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S:\Ilaria\pubblicazione bilanci\2020\"/>
    </mc:Choice>
  </mc:AlternateContent>
  <xr:revisionPtr revIDLastSave="0" documentId="8_{14D8021C-0967-4A8E-94A4-10C439BF1AC9}" xr6:coauthVersionLast="47" xr6:coauthVersionMax="47" xr10:uidLastSave="{00000000-0000-0000-0000-000000000000}"/>
  <bookViews>
    <workbookView xWindow="-120" yWindow="-120" windowWidth="24240" windowHeight="13140" tabRatio="770" firstSheet="1" activeTab="4"/>
  </bookViews>
  <sheets>
    <sheet name="Info" sheetId="1" r:id="rId1"/>
    <sheet name="Codifica_SP" sheetId="2" r:id="rId2"/>
    <sheet name="SP" sheetId="3" r:id="rId3"/>
    <sheet name="NI-Tot_SP" sheetId="4" r:id="rId4"/>
    <sheet name="NI-San_SP" sheetId="5" r:id="rId5"/>
    <sheet name="Dettaglio_SP_San" sheetId="6" r:id="rId6"/>
    <sheet name="NI-Soc_SP" sheetId="7" state="hidden" r:id="rId7"/>
    <sheet name="Dettaglio_SP_Soc" sheetId="8" state="hidden" r:id="rId8"/>
    <sheet name="NI-Ric_SP" sheetId="9" state="hidden" r:id="rId9"/>
    <sheet name="Dettaglio_SP_Ric" sheetId="10" state="hidden" r:id="rId10"/>
    <sheet name="Utilizzi_Fondi_San" sheetId="11" r:id="rId11"/>
    <sheet name="Utilizzi_Fondi_Soc" sheetId="12" state="hidden" r:id="rId12"/>
    <sheet name="Utilizzi_Fondi_Ric" sheetId="13" state="hidden" r:id="rId13"/>
    <sheet name="Cons" sheetId="14" r:id="rId14"/>
    <sheet name="Rend_Finanz_Input" sheetId="15" r:id="rId15"/>
    <sheet name="Rend_Finanz_Output" sheetId="16" r:id="rId16"/>
    <sheet name="SPMin-Attivo" sheetId="17" r:id="rId17"/>
    <sheet name="SPMin-Passivo" sheetId="18" r:id="rId18"/>
    <sheet name="INFO_OUT" sheetId="19" state="hidden" r:id="rId19"/>
    <sheet name="VERSIONI" sheetId="20" state="hidden" r:id="rId20"/>
    <sheet name="ANAGR" sheetId="21" state="hidden" r:id="rId21"/>
    <sheet name="ESTR_PREC" sheetId="22" state="hidden" r:id="rId22"/>
    <sheet name="ESTR_REND_PREC" sheetId="23" state="hidden" r:id="rId23"/>
    <sheet name="ESTR_PREC_SP" sheetId="24" state="hidden" r:id="rId24"/>
  </sheets>
  <definedNames>
    <definedName name="_xlnm._FilterDatabase" localSheetId="1" hidden="1">Codifica_SP!$A$1:$AM$2172</definedName>
    <definedName name="_xlnm._FilterDatabase" localSheetId="12" hidden="1">Utilizzi_Fondi_Ric!$C$5:$AA$789</definedName>
    <definedName name="_xlnm._FilterDatabase" localSheetId="10" hidden="1">Utilizzi_Fondi_San!$C$5:$AB$789</definedName>
    <definedName name="_xlnm._FilterDatabase" localSheetId="11" hidden="1">Utilizzi_Fondi_Soc!$C$5:$AB$789</definedName>
    <definedName name="__xlfn_FORMULATEXT">NA()</definedName>
    <definedName name="__xlfn_IFERROR">NA()</definedName>
    <definedName name="ANAGR">ANAGR!$A$1:$G$2</definedName>
    <definedName name="_xlnm.Print_Area" localSheetId="13">Cons!$B$1:$AX$37</definedName>
    <definedName name="_xlnm.Print_Area" localSheetId="9">Dettaglio_SP_Ric!$B$1:$Q$788</definedName>
    <definedName name="_xlnm.Print_Area" localSheetId="5">Dettaglio_SP_San!$B$1:$Q$788</definedName>
    <definedName name="_xlnm.Print_Area" localSheetId="7">Dettaglio_SP_Soc!$B$1:$Q$788</definedName>
    <definedName name="_xlnm.Print_Area" localSheetId="8">'NI-Ric_SP'!$B$1:$AM$1097</definedName>
    <definedName name="_xlnm.Print_Area" localSheetId="4">'NI-San_SP'!$B$1:$AM$1096</definedName>
    <definedName name="_xlnm.Print_Area" localSheetId="6">'NI-Soc_SP'!$B$1:$AM$1096</definedName>
    <definedName name="_xlnm.Print_Area" localSheetId="3">'NI-Tot_SP'!$B$1:$AM$1096</definedName>
    <definedName name="_xlnm.Print_Area" localSheetId="14">Rend_Finanz_Input!$B$2:$J$143</definedName>
    <definedName name="_xlnm.Print_Area" localSheetId="15">Rend_Finanz_Output!$B$4:$E$114</definedName>
    <definedName name="_xlnm.Print_Area" localSheetId="2">SP!$A$1:$Q$172</definedName>
    <definedName name="_xlnm.Print_Area" localSheetId="16">'SPMin-Attivo'!$A$1:$AI$216</definedName>
    <definedName name="_xlnm.Print_Area" localSheetId="17">'SPMin-Passivo'!$A$1:$AI$185</definedName>
    <definedName name="_xlnm.Print_Area" localSheetId="12">Utilizzi_Fondi_Ric!$A$1:$AB$789</definedName>
    <definedName name="_xlnm.Print_Area" localSheetId="10">Utilizzi_Fondi_San!$A$1:$AC$789</definedName>
    <definedName name="_xlnm.Print_Area" localSheetId="11">Utilizzi_Fondi_Soc!$A$1:$AC$789</definedName>
    <definedName name="COD_AZ">Codifica_SP!$A$2:$T$722</definedName>
    <definedName name="DATI_TOTALE">Codifica_SP!$O$2:$T$2132</definedName>
    <definedName name="DATI_TOTALE_ANNO_P">Codifica_SP!$R$2:$R$2132</definedName>
    <definedName name="DATI_TOTALE_DETT_1">Codifica_SP!$S$2:$S$2132</definedName>
    <definedName name="DATI_TOTALE_DETT_2">Codifica_SP!$T$2:$T$2132</definedName>
    <definedName name="DB_SP_RIC">Codifica_SP!$E$727:$AL$1445</definedName>
    <definedName name="DB_SP_SAN">Codifica_SP!$E$2:$AO$722</definedName>
    <definedName name="DB_SP_SOC">Codifica_SP!$E$1450:$AL$2132</definedName>
    <definedName name="ESTR_PREC">ESTR_PREC!$A$1:$E$471</definedName>
    <definedName name="ESTR_PREC_SP">ESTR_PREC_SP!$A$1:$E$703</definedName>
    <definedName name="ESTR_REND_PREC">ESTR_REND_PREC!$A$1:$B$60</definedName>
    <definedName name="Excel_BuiltIn__FilterDatabase" localSheetId="1">Codifica_SP!$A$1:$AM$2172</definedName>
    <definedName name="Excel_BuiltIn__FilterDatabase" localSheetId="8">'NI-Ric_SP'!$A$5:$P$1092</definedName>
    <definedName name="Excel_BuiltIn__FilterDatabase" localSheetId="4">'NI-San_SP'!$A$5:$P$1092</definedName>
    <definedName name="Excel_BuiltIn__FilterDatabase" localSheetId="6">'NI-Soc_SP'!$A$5:$P$1092</definedName>
    <definedName name="Excel_BuiltIn__FilterDatabase" localSheetId="3">'NI-Tot_SP'!$A$5:$P$1092</definedName>
    <definedName name="Excel_BuiltIn__FilterDatabase" localSheetId="12">Utilizzi_Fondi_Ric!$C$5:$AA$789</definedName>
    <definedName name="Excel_BuiltIn__FilterDatabase" localSheetId="10">Utilizzi_Fondi_San!$C$5:$AB$789</definedName>
    <definedName name="Excel_BuiltIn__FilterDatabase" localSheetId="11">Utilizzi_Fondi_Soc!$C$5:$AB$789</definedName>
    <definedName name="Excel_BuiltIn_Print_Area" localSheetId="13">Cons!$B$1:$AX$37</definedName>
    <definedName name="Excel_BuiltIn_Print_Area" localSheetId="9">Dettaglio_SP_Ric!$B$1:$Q$788</definedName>
    <definedName name="Excel_BuiltIn_Print_Area" localSheetId="5">Dettaglio_SP_San!$B$1:$Q$788</definedName>
    <definedName name="Excel_BuiltIn_Print_Area" localSheetId="7">Dettaglio_SP_Soc!$B$1:$Q$788</definedName>
    <definedName name="Excel_BuiltIn_Print_Area" localSheetId="8">'NI-Ric_SP'!$B$1:$AM$1097</definedName>
    <definedName name="Excel_BuiltIn_Print_Area" localSheetId="4">'NI-San_SP'!$B$1:$AM$1096</definedName>
    <definedName name="Excel_BuiltIn_Print_Area" localSheetId="6">'NI-Soc_SP'!$B$1:$AM$1096</definedName>
    <definedName name="Excel_BuiltIn_Print_Area" localSheetId="3">'NI-Tot_SP'!$B$1:$AM$1096</definedName>
    <definedName name="Excel_BuiltIn_Print_Area" localSheetId="14">Rend_Finanz_Input!$B$2:$J$143</definedName>
    <definedName name="Excel_BuiltIn_Print_Area" localSheetId="15">Rend_Finanz_Output!$B$4:$E$114</definedName>
    <definedName name="Excel_BuiltIn_Print_Area" localSheetId="2">SP!$A$1:$Q$172</definedName>
    <definedName name="Excel_BuiltIn_Print_Area" localSheetId="16">'SPMin-Attivo'!$A$1:$AI$216</definedName>
    <definedName name="Excel_BuiltIn_Print_Area" localSheetId="17">'SPMin-Passivo'!$A$1:$AI$185</definedName>
    <definedName name="Excel_BuiltIn_Print_Area" localSheetId="12">Utilizzi_Fondi_Ric!$A$1:$AB$789</definedName>
    <definedName name="Excel_BuiltIn_Print_Area" localSheetId="10">Utilizzi_Fondi_San!$A$1:$AC$789</definedName>
    <definedName name="Excel_BuiltIn_Print_Area" localSheetId="11">Utilizzi_Fondi_Soc!$A$1:$AC$789</definedName>
    <definedName name="Excel_BuiltIn_Print_Titles" localSheetId="13">Cons!$C:$D</definedName>
    <definedName name="Excel_BuiltIn_Print_Titles" localSheetId="16">'SPMin-Attivo'!$1:$31</definedName>
    <definedName name="Excel_BuiltIn_Print_Titles" localSheetId="17">'SPMin-Passivo'!$1:$31</definedName>
    <definedName name="INFO_OUT">INFO_OUT!$A$1:$A$2</definedName>
    <definedName name="RFTOT01">Codifica_SP!$L$2:$R$2132</definedName>
    <definedName name="RFVALAC">Codifica_SP!$R$2:$R$2132</definedName>
    <definedName name="RFVALAP">Codifica_SP!$Q$2:$Q$2132</definedName>
    <definedName name="RIC">Codifica_SP!$O$727:$T$1449</definedName>
    <definedName name="RIC_ANNO_C">Codifica_SP!$R$727:$R$1449</definedName>
    <definedName name="RIC_ANNO_P">Codifica_SP!$Q$727:$Q$1449</definedName>
    <definedName name="SAN">Codifica_SP!$O$2:$T$726</definedName>
    <definedName name="SAN_ANNO_C">Codifica_SP!$R$2:$R$726</definedName>
    <definedName name="SAN_ANNO_P">Codifica_SP!$Q$2:$Q$726</definedName>
    <definedName name="SOC">Codifica_SP!$O$1450:$T$2172</definedName>
    <definedName name="SOC_ANNO_C">Codifica_SP!$R$1450:$R$2172</definedName>
    <definedName name="SOC_ANNO_P">Codifica_SP!$Q$1450:$Q$2172</definedName>
    <definedName name="_xlnm.Print_Titles" localSheetId="13">Cons!$C:$D</definedName>
    <definedName name="_xlnm.Print_Titles" localSheetId="16">'SPMin-Attivo'!$1:$31</definedName>
    <definedName name="_xlnm.Print_Titles" localSheetId="17">'SPMin-Passivo'!$1:$31</definedName>
    <definedName name="VERSIONI">VERSIONI!$A$2:$A$10</definedName>
    <definedName name="Z_B99F11EE_27F8_4B9F_91EE_89B41EF86889__wvu_Cols" localSheetId="13">Cons!$H:$H</definedName>
    <definedName name="Z_B99F11EE_27F8_4B9F_91EE_89B41EF86889__wvu_Cols" localSheetId="0">Info!$I:$IV</definedName>
    <definedName name="Z_B99F11EE_27F8_4B9F_91EE_89B41EF86889__wvu_FilterData" localSheetId="1">Codifica_SP!$A$1:$T$2132</definedName>
    <definedName name="Z_B99F11EE_27F8_4B9F_91EE_89B41EF86889__wvu_FilterData" localSheetId="8">'NI-Ric_SP'!$A$5:$P$1092</definedName>
    <definedName name="Z_B99F11EE_27F8_4B9F_91EE_89B41EF86889__wvu_FilterData" localSheetId="4">'NI-San_SP'!$A$5:$P$1092</definedName>
    <definedName name="Z_B99F11EE_27F8_4B9F_91EE_89B41EF86889__wvu_FilterData" localSheetId="6">'NI-Soc_SP'!$A$5:$P$1092</definedName>
    <definedName name="Z_B99F11EE_27F8_4B9F_91EE_89B41EF86889__wvu_FilterData" localSheetId="3">'NI-Tot_SP'!$A$5:$P$1092</definedName>
    <definedName name="Z_B99F11EE_27F8_4B9F_91EE_89B41EF86889__wvu_PrintArea" localSheetId="13">Cons!$B$1:$AX$37</definedName>
    <definedName name="Z_B99F11EE_27F8_4B9F_91EE_89B41EF86889__wvu_PrintArea" localSheetId="9">Dettaglio_SP_Ric!$D$1:$Q$788</definedName>
    <definedName name="Z_B99F11EE_27F8_4B9F_91EE_89B41EF86889__wvu_PrintArea" localSheetId="5">Dettaglio_SP_San!$D$1:$Q$788</definedName>
    <definedName name="Z_B99F11EE_27F8_4B9F_91EE_89B41EF86889__wvu_PrintArea" localSheetId="7">Dettaglio_SP_Soc!$D$1:$Q$788</definedName>
    <definedName name="Z_B99F11EE_27F8_4B9F_91EE_89B41EF86889__wvu_PrintArea" localSheetId="8">'NI-Ric_SP'!$C$5:$AJ$1092</definedName>
    <definedName name="Z_B99F11EE_27F8_4B9F_91EE_89B41EF86889__wvu_PrintArea" localSheetId="4">'NI-San_SP'!$C$5:$AJ$1092</definedName>
    <definedName name="Z_B99F11EE_27F8_4B9F_91EE_89B41EF86889__wvu_PrintArea" localSheetId="6">'NI-Soc_SP'!$C$5:$AJ$1092</definedName>
    <definedName name="Z_B99F11EE_27F8_4B9F_91EE_89B41EF86889__wvu_PrintArea" localSheetId="3">'NI-Tot_SP'!$C$5:$AJ$1092</definedName>
    <definedName name="Z_B99F11EE_27F8_4B9F_91EE_89B41EF86889__wvu_PrintArea" localSheetId="14">Rend_Finanz_Input!$B$2:$J$5</definedName>
    <definedName name="Z_B99F11EE_27F8_4B9F_91EE_89B41EF86889__wvu_PrintArea" localSheetId="15">Rend_Finanz_Output!$B$4:$E$114</definedName>
    <definedName name="Z_B99F11EE_27F8_4B9F_91EE_89B41EF86889__wvu_PrintArea" localSheetId="2">SP!$A$1:$J$171</definedName>
    <definedName name="Z_B99F11EE_27F8_4B9F_91EE_89B41EF86889__wvu_PrintArea" localSheetId="16">'SPMin-Attivo'!$A$1:$AI$216</definedName>
    <definedName name="Z_B99F11EE_27F8_4B9F_91EE_89B41EF86889__wvu_PrintArea" localSheetId="17">'SPMin-Passivo'!$A$1:$AI$185</definedName>
    <definedName name="Z_B99F11EE_27F8_4B9F_91EE_89B41EF86889__wvu_PrintTitles" localSheetId="13">Cons!$C:$D</definedName>
    <definedName name="Z_B99F11EE_27F8_4B9F_91EE_89B41EF86889__wvu_PrintTitles" localSheetId="16">'SPMin-Attivo'!$1:$31</definedName>
    <definedName name="Z_B99F11EE_27F8_4B9F_91EE_89B41EF86889__wvu_PrintTitles" localSheetId="17">'SPMin-Passivo'!$1:$31</definedName>
    <definedName name="Z_B99F11EE_27F8_4B9F_91EE_89B41EF86889__wvu_Rows" localSheetId="9">(Dettaglio_SP_Ric!$316:$323,Dettaglio_SP_Ric!$721:$727)</definedName>
    <definedName name="Z_B99F11EE_27F8_4B9F_91EE_89B41EF86889__wvu_Rows" localSheetId="5">(Dettaglio_SP_San!$316:$323,Dettaglio_SP_San!$721:$727)</definedName>
    <definedName name="Z_B99F11EE_27F8_4B9F_91EE_89B41EF86889__wvu_Rows" localSheetId="7">(Dettaglio_SP_Soc!$316:$323,Dettaglio_SP_Soc!$721:$727)</definedName>
    <definedName name="Z_B99F11EE_27F8_4B9F_91EE_89B41EF86889__wvu_Rows" localSheetId="0">(Info!$55:$65536,Info!$12:$54)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013" i="5" l="1"/>
  <c r="Y1014" i="5"/>
  <c r="AA1013" i="5"/>
  <c r="V1013" i="5"/>
  <c r="V1012" i="5"/>
  <c r="AA1012" i="5"/>
  <c r="X1004" i="5"/>
  <c r="H130" i="15"/>
  <c r="G130" i="15"/>
  <c r="AF669" i="5"/>
  <c r="AI710" i="5"/>
  <c r="X707" i="5"/>
  <c r="V707" i="5"/>
  <c r="AF707" i="5"/>
  <c r="AG707" i="5"/>
  <c r="AI707" i="5"/>
  <c r="AF677" i="5"/>
  <c r="AH677" i="5"/>
  <c r="AI671" i="5"/>
  <c r="X672" i="5"/>
  <c r="V672" i="5"/>
  <c r="AI677" i="5"/>
  <c r="AI669" i="5"/>
  <c r="AF604" i="5"/>
  <c r="T855" i="5"/>
  <c r="Y305" i="5"/>
  <c r="Y306" i="5"/>
  <c r="Z306" i="5"/>
  <c r="F99" i="6"/>
  <c r="AI965" i="5"/>
  <c r="U1044" i="5"/>
  <c r="U965" i="5"/>
  <c r="U968" i="5"/>
  <c r="T677" i="5"/>
  <c r="AP8" i="14"/>
  <c r="U671" i="5"/>
  <c r="Q8" i="14"/>
  <c r="AD1013" i="5"/>
  <c r="U715" i="5"/>
  <c r="U707" i="5"/>
  <c r="U697" i="5"/>
  <c r="Z403" i="5"/>
  <c r="Z413" i="5"/>
  <c r="Z308" i="5"/>
  <c r="Z246" i="5"/>
  <c r="U669" i="5"/>
  <c r="Z275" i="5"/>
  <c r="X625" i="5"/>
  <c r="X637" i="5"/>
  <c r="X624" i="5"/>
  <c r="X804" i="5"/>
  <c r="Z113" i="5"/>
  <c r="U564" i="5"/>
  <c r="U884" i="5"/>
  <c r="U581" i="5"/>
  <c r="U548" i="5"/>
  <c r="U546" i="5"/>
  <c r="U525" i="5"/>
  <c r="U524" i="5"/>
  <c r="U522" i="5"/>
  <c r="V977" i="5"/>
  <c r="Y1022" i="5"/>
  <c r="X1022" i="5"/>
  <c r="AC1012" i="5"/>
  <c r="AB89" i="5"/>
  <c r="V1044" i="5"/>
  <c r="V965" i="5"/>
  <c r="V1004" i="5"/>
  <c r="U868" i="5"/>
  <c r="K788" i="11"/>
  <c r="AB377" i="5"/>
  <c r="AB323" i="5"/>
  <c r="AB319" i="5"/>
  <c r="V1022" i="5"/>
  <c r="AB420" i="5"/>
  <c r="U802" i="5"/>
  <c r="V1038" i="5"/>
  <c r="Z669" i="5"/>
  <c r="V669" i="5"/>
  <c r="X669" i="5"/>
  <c r="Y1044" i="5"/>
  <c r="X1044" i="5"/>
  <c r="AA1044" i="5"/>
  <c r="V1037" i="5"/>
  <c r="V1026" i="5"/>
  <c r="Y968" i="5"/>
  <c r="X968" i="5"/>
  <c r="V968" i="5"/>
  <c r="Q410" i="11"/>
  <c r="X715" i="5"/>
  <c r="V715" i="5"/>
  <c r="V710" i="5"/>
  <c r="U710" i="5"/>
  <c r="X710" i="5"/>
  <c r="Z707" i="5"/>
  <c r="U677" i="5"/>
  <c r="Z677" i="5"/>
  <c r="V677" i="5"/>
  <c r="X677" i="5"/>
  <c r="U672" i="5"/>
  <c r="V671" i="5"/>
  <c r="Z671" i="5"/>
  <c r="X628" i="5"/>
  <c r="V637" i="5"/>
  <c r="V627" i="5"/>
  <c r="V626" i="5"/>
  <c r="AG637" i="5"/>
  <c r="AF637" i="5"/>
  <c r="U627" i="5"/>
  <c r="U626" i="5"/>
  <c r="U637" i="5"/>
  <c r="U628" i="5"/>
  <c r="X627" i="5"/>
  <c r="H474" i="6"/>
  <c r="U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U3" i="2"/>
  <c r="V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U4" i="2"/>
  <c r="V4" i="2"/>
  <c r="Y4" i="2"/>
  <c r="Z4" i="2"/>
  <c r="AA4" i="2"/>
  <c r="AC4" i="2"/>
  <c r="AD4" i="2"/>
  <c r="AE4" i="2"/>
  <c r="AF4" i="2"/>
  <c r="AG4" i="2"/>
  <c r="AI4" i="2"/>
  <c r="AJ4" i="2"/>
  <c r="AK4" i="2"/>
  <c r="AL4" i="2"/>
  <c r="AM4" i="2"/>
  <c r="AN4" i="2"/>
  <c r="U5" i="2"/>
  <c r="V5" i="2"/>
  <c r="X5" i="2"/>
  <c r="Y5" i="2"/>
  <c r="Z5" i="2"/>
  <c r="AA5" i="2"/>
  <c r="AC5" i="2"/>
  <c r="AD5" i="2"/>
  <c r="AE5" i="2"/>
  <c r="AF5" i="2"/>
  <c r="AG5" i="2"/>
  <c r="AH5" i="2"/>
  <c r="AI5" i="2"/>
  <c r="AJ5" i="2"/>
  <c r="AK5" i="2"/>
  <c r="AL5" i="2"/>
  <c r="AM5" i="2"/>
  <c r="AN5" i="2"/>
  <c r="Z6" i="2"/>
  <c r="AJ6" i="2"/>
  <c r="AK6" i="2"/>
  <c r="AL6" i="2"/>
  <c r="AM6" i="2"/>
  <c r="AN6" i="2"/>
  <c r="U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U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X9" i="2"/>
  <c r="Y9" i="2"/>
  <c r="Z9" i="2"/>
  <c r="AE9" i="2"/>
  <c r="AF9" i="2"/>
  <c r="AG9" i="2"/>
  <c r="AH9" i="2"/>
  <c r="AI9" i="2"/>
  <c r="AJ9" i="2"/>
  <c r="AK9" i="2"/>
  <c r="AL9" i="2"/>
  <c r="AM9" i="2"/>
  <c r="AN9" i="2"/>
  <c r="AN10" i="2"/>
  <c r="U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U12" i="2"/>
  <c r="V12" i="2"/>
  <c r="X12" i="2"/>
  <c r="Y12" i="2"/>
  <c r="Z12" i="2"/>
  <c r="AA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Z13" i="2"/>
  <c r="AJ13" i="2"/>
  <c r="AK13" i="2"/>
  <c r="AL13" i="2"/>
  <c r="AM13" i="2"/>
  <c r="AN13" i="2"/>
  <c r="U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U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X16" i="2"/>
  <c r="Y16" i="2"/>
  <c r="Z16" i="2"/>
  <c r="AE16" i="2"/>
  <c r="AF16" i="2"/>
  <c r="AG16" i="2"/>
  <c r="AH16" i="2"/>
  <c r="AI16" i="2"/>
  <c r="AJ16" i="2"/>
  <c r="AK16" i="2"/>
  <c r="AL16" i="2"/>
  <c r="AM16" i="2"/>
  <c r="AN16" i="2"/>
  <c r="U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U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U19" i="2"/>
  <c r="V19" i="2"/>
  <c r="X19" i="2"/>
  <c r="Y19" i="2"/>
  <c r="Z19" i="2"/>
  <c r="AA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Z20" i="2"/>
  <c r="AJ20" i="2"/>
  <c r="AK20" i="2"/>
  <c r="AL20" i="2"/>
  <c r="AM20" i="2"/>
  <c r="AN20" i="2"/>
  <c r="U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U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U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U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X25" i="2"/>
  <c r="Y25" i="2"/>
  <c r="Z25" i="2"/>
  <c r="AE25" i="2"/>
  <c r="AF25" i="2"/>
  <c r="AG25" i="2"/>
  <c r="AH25" i="2"/>
  <c r="AI25" i="2"/>
  <c r="AJ25" i="2"/>
  <c r="AK25" i="2"/>
  <c r="AL25" i="2"/>
  <c r="AM25" i="2"/>
  <c r="AN25" i="2"/>
  <c r="U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U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U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U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Z30" i="2"/>
  <c r="AJ30" i="2"/>
  <c r="AK30" i="2"/>
  <c r="AL30" i="2"/>
  <c r="AM30" i="2"/>
  <c r="AN30" i="2"/>
  <c r="U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U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U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U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X35" i="2"/>
  <c r="Y35" i="2"/>
  <c r="Z35" i="2"/>
  <c r="AE35" i="2"/>
  <c r="AF35" i="2"/>
  <c r="AG35" i="2"/>
  <c r="AH35" i="2"/>
  <c r="AI35" i="2"/>
  <c r="AJ35" i="2"/>
  <c r="AK35" i="2"/>
  <c r="AL35" i="2"/>
  <c r="AM35" i="2"/>
  <c r="AN35" i="2"/>
  <c r="U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U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U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U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Z40" i="2"/>
  <c r="AJ40" i="2"/>
  <c r="AK40" i="2"/>
  <c r="AL40" i="2"/>
  <c r="AM40" i="2"/>
  <c r="AN40" i="2"/>
  <c r="U41" i="2"/>
  <c r="W41" i="2"/>
  <c r="X41" i="2"/>
  <c r="Y41" i="2"/>
  <c r="Z41" i="2"/>
  <c r="AA41" i="2"/>
  <c r="AC41" i="2"/>
  <c r="AD41" i="2"/>
  <c r="AE41" i="2"/>
  <c r="AG41" i="2"/>
  <c r="AH41" i="2"/>
  <c r="AI41" i="2"/>
  <c r="AJ41" i="2"/>
  <c r="AK41" i="2"/>
  <c r="AL41" i="2"/>
  <c r="AM41" i="2"/>
  <c r="AN41" i="2"/>
  <c r="U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Z43" i="2"/>
  <c r="AJ43" i="2"/>
  <c r="AK43" i="2"/>
  <c r="AL43" i="2"/>
  <c r="AM43" i="2"/>
  <c r="AN43" i="2"/>
  <c r="Z44" i="2"/>
  <c r="AJ44" i="2"/>
  <c r="AK44" i="2"/>
  <c r="AL44" i="2"/>
  <c r="AM44" i="2"/>
  <c r="AN44" i="2"/>
  <c r="U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U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U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U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U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U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U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U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X53" i="2"/>
  <c r="Y53" i="2"/>
  <c r="Z53" i="2"/>
  <c r="AE53" i="2"/>
  <c r="AF53" i="2"/>
  <c r="AG53" i="2"/>
  <c r="AH53" i="2"/>
  <c r="AI53" i="2"/>
  <c r="AJ53" i="2"/>
  <c r="AK53" i="2"/>
  <c r="AL53" i="2"/>
  <c r="AM53" i="2"/>
  <c r="AN53" i="2"/>
  <c r="U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U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U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U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U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U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Y60" i="2"/>
  <c r="Z60" i="2"/>
  <c r="AJ60" i="2"/>
  <c r="AK60" i="2"/>
  <c r="AL60" i="2"/>
  <c r="AM60" i="2"/>
  <c r="AN60" i="2"/>
  <c r="U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U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X63" i="2"/>
  <c r="Y63" i="2"/>
  <c r="Z63" i="2"/>
  <c r="AE63" i="2"/>
  <c r="AF63" i="2"/>
  <c r="AG63" i="2"/>
  <c r="AH63" i="2"/>
  <c r="AI63" i="2"/>
  <c r="AJ63" i="2"/>
  <c r="AK63" i="2"/>
  <c r="AL63" i="2"/>
  <c r="AM63" i="2"/>
  <c r="AN63" i="2"/>
  <c r="U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U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Z66" i="2"/>
  <c r="AJ66" i="2"/>
  <c r="AK66" i="2"/>
  <c r="AL66" i="2"/>
  <c r="AM66" i="2"/>
  <c r="AN66" i="2"/>
  <c r="U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U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X69" i="2"/>
  <c r="Y69" i="2"/>
  <c r="Z69" i="2"/>
  <c r="AE69" i="2"/>
  <c r="AF69" i="2"/>
  <c r="AG69" i="2"/>
  <c r="AH69" i="2"/>
  <c r="AI69" i="2"/>
  <c r="AJ69" i="2"/>
  <c r="AK69" i="2"/>
  <c r="AL69" i="2"/>
  <c r="AM69" i="2"/>
  <c r="AN69" i="2"/>
  <c r="U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U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Z72" i="2"/>
  <c r="AJ72" i="2"/>
  <c r="AK72" i="2"/>
  <c r="AL72" i="2"/>
  <c r="AM72" i="2"/>
  <c r="AN72" i="2"/>
  <c r="U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U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U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U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X77" i="2"/>
  <c r="Y77" i="2"/>
  <c r="Z77" i="2"/>
  <c r="AE77" i="2"/>
  <c r="AF77" i="2"/>
  <c r="AG77" i="2"/>
  <c r="AH77" i="2"/>
  <c r="AI77" i="2"/>
  <c r="AJ77" i="2"/>
  <c r="AK77" i="2"/>
  <c r="AL77" i="2"/>
  <c r="AM77" i="2"/>
  <c r="AN77" i="2"/>
  <c r="U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U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U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U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U82" i="2"/>
  <c r="V82" i="2"/>
  <c r="W82" i="2"/>
  <c r="X82" i="2"/>
  <c r="Y82" i="2"/>
  <c r="Z82" i="2"/>
  <c r="AA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X83" i="2"/>
  <c r="Y83" i="2"/>
  <c r="Z83" i="2"/>
  <c r="AE83" i="2"/>
  <c r="AF83" i="2"/>
  <c r="AG83" i="2"/>
  <c r="AH83" i="2"/>
  <c r="AI83" i="2"/>
  <c r="AJ83" i="2"/>
  <c r="AK83" i="2"/>
  <c r="AL83" i="2"/>
  <c r="AM83" i="2"/>
  <c r="AN83" i="2"/>
  <c r="U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U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X86" i="2"/>
  <c r="Y86" i="2"/>
  <c r="Z86" i="2"/>
  <c r="AE86" i="2"/>
  <c r="AF86" i="2"/>
  <c r="AG86" i="2"/>
  <c r="AH86" i="2"/>
  <c r="AI86" i="2"/>
  <c r="AJ86" i="2"/>
  <c r="AK86" i="2"/>
  <c r="AL86" i="2"/>
  <c r="AM86" i="2"/>
  <c r="AN86" i="2"/>
  <c r="U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U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X89" i="2"/>
  <c r="Y89" i="2"/>
  <c r="Z89" i="2"/>
  <c r="AE89" i="2"/>
  <c r="AF89" i="2"/>
  <c r="AG89" i="2"/>
  <c r="AH89" i="2"/>
  <c r="AI89" i="2"/>
  <c r="AJ89" i="2"/>
  <c r="AK89" i="2"/>
  <c r="AL89" i="2"/>
  <c r="AM89" i="2"/>
  <c r="AN89" i="2"/>
  <c r="U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U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X92" i="2"/>
  <c r="Y92" i="2"/>
  <c r="Z92" i="2"/>
  <c r="AE92" i="2"/>
  <c r="AF92" i="2"/>
  <c r="AG92" i="2"/>
  <c r="AH92" i="2"/>
  <c r="AI92" i="2"/>
  <c r="AJ92" i="2"/>
  <c r="AK92" i="2"/>
  <c r="AL92" i="2"/>
  <c r="AM92" i="2"/>
  <c r="AN92" i="2"/>
  <c r="U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U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U95" i="2"/>
  <c r="V95" i="2"/>
  <c r="Y95" i="2"/>
  <c r="Z95" i="2"/>
  <c r="AA95" i="2"/>
  <c r="AC95" i="2"/>
  <c r="AD95" i="2"/>
  <c r="AE95" i="2"/>
  <c r="AF95" i="2"/>
  <c r="AG95" i="2"/>
  <c r="AI95" i="2"/>
  <c r="AJ95" i="2"/>
  <c r="AK95" i="2"/>
  <c r="AL95" i="2"/>
  <c r="AM95" i="2"/>
  <c r="AN95" i="2"/>
  <c r="Z96" i="2"/>
  <c r="AJ96" i="2"/>
  <c r="AK96" i="2"/>
  <c r="AL96" i="2"/>
  <c r="AM96" i="2"/>
  <c r="AN96" i="2"/>
  <c r="Z97" i="2"/>
  <c r="AJ97" i="2"/>
  <c r="AK97" i="2"/>
  <c r="AL97" i="2"/>
  <c r="AM97" i="2"/>
  <c r="AN97" i="2"/>
  <c r="U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U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U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U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U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U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Z104" i="2"/>
  <c r="AJ104" i="2"/>
  <c r="AK104" i="2"/>
  <c r="AL104" i="2"/>
  <c r="AM104" i="2"/>
  <c r="AN104" i="2"/>
  <c r="U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U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U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U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U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U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U111" i="2"/>
  <c r="V111" i="2"/>
  <c r="X111" i="2"/>
  <c r="Y111" i="2"/>
  <c r="Z111" i="2"/>
  <c r="AA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U112" i="2"/>
  <c r="V112" i="2"/>
  <c r="X112" i="2"/>
  <c r="Y112" i="2"/>
  <c r="Z112" i="2"/>
  <c r="AA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Z113" i="2"/>
  <c r="AJ113" i="2"/>
  <c r="AK113" i="2"/>
  <c r="AL113" i="2"/>
  <c r="AM113" i="2"/>
  <c r="AN113" i="2"/>
  <c r="U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U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U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U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X118" i="2"/>
  <c r="Y118" i="2"/>
  <c r="Z118" i="2"/>
  <c r="AE118" i="2"/>
  <c r="AF118" i="2"/>
  <c r="AG118" i="2"/>
  <c r="AH118" i="2"/>
  <c r="AI118" i="2"/>
  <c r="AJ118" i="2"/>
  <c r="AK118" i="2"/>
  <c r="AL118" i="2"/>
  <c r="AM118" i="2"/>
  <c r="AN118" i="2"/>
  <c r="U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U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U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U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U123" i="2"/>
  <c r="V123" i="2"/>
  <c r="W123" i="2"/>
  <c r="X123" i="2"/>
  <c r="Y123" i="2"/>
  <c r="Z123" i="2"/>
  <c r="AA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Z124" i="2"/>
  <c r="AJ124" i="2"/>
  <c r="AK124" i="2"/>
  <c r="AL124" i="2"/>
  <c r="AM124" i="2"/>
  <c r="AN124" i="2"/>
  <c r="U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U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U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U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X129" i="2"/>
  <c r="Y129" i="2"/>
  <c r="Z129" i="2"/>
  <c r="AE129" i="2"/>
  <c r="AF129" i="2"/>
  <c r="AG129" i="2"/>
  <c r="AH129" i="2"/>
  <c r="AI129" i="2"/>
  <c r="AJ129" i="2"/>
  <c r="AK129" i="2"/>
  <c r="AL129" i="2"/>
  <c r="AM129" i="2"/>
  <c r="AN129" i="2"/>
  <c r="U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U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U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U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U134" i="2"/>
  <c r="V134" i="2"/>
  <c r="X134" i="2"/>
  <c r="Y134" i="2"/>
  <c r="Z134" i="2"/>
  <c r="AA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Z135" i="2"/>
  <c r="AJ135" i="2"/>
  <c r="AK135" i="2"/>
  <c r="AL135" i="2"/>
  <c r="AM135" i="2"/>
  <c r="AN135" i="2"/>
  <c r="U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U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U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U139" i="2"/>
  <c r="W139" i="2"/>
  <c r="X139" i="2"/>
  <c r="Y139" i="2"/>
  <c r="Z139" i="2"/>
  <c r="AA139" i="2"/>
  <c r="AB139" i="2"/>
  <c r="AC139" i="2"/>
  <c r="AD139" i="2"/>
  <c r="AE139" i="2"/>
  <c r="AF139" i="2"/>
  <c r="AH139" i="2"/>
  <c r="AI139" i="2"/>
  <c r="AJ139" i="2"/>
  <c r="AK139" i="2"/>
  <c r="AL139" i="2"/>
  <c r="AM139" i="2"/>
  <c r="AN139" i="2"/>
  <c r="U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U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U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U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U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U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U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U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U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U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X150" i="2"/>
  <c r="Y150" i="2"/>
  <c r="Z150" i="2"/>
  <c r="AE150" i="2"/>
  <c r="AF150" i="2"/>
  <c r="AG150" i="2"/>
  <c r="AH150" i="2"/>
  <c r="AI150" i="2"/>
  <c r="AJ150" i="2"/>
  <c r="AK150" i="2"/>
  <c r="AL150" i="2"/>
  <c r="AM150" i="2"/>
  <c r="AN150" i="2"/>
  <c r="U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U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U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U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U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U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U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U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U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U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U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U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U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U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U165" i="2"/>
  <c r="V165" i="2"/>
  <c r="X165" i="2"/>
  <c r="Y165" i="2"/>
  <c r="Z165" i="2"/>
  <c r="AA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Z166" i="2"/>
  <c r="AJ166" i="2"/>
  <c r="AK166" i="2"/>
  <c r="AL166" i="2"/>
  <c r="AM166" i="2"/>
  <c r="AN166" i="2"/>
  <c r="U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U168" i="2"/>
  <c r="W168" i="2"/>
  <c r="X168" i="2"/>
  <c r="Y168" i="2"/>
  <c r="Z168" i="2"/>
  <c r="AA168" i="2"/>
  <c r="AB168" i="2"/>
  <c r="AC168" i="2"/>
  <c r="AD168" i="2"/>
  <c r="AE168" i="2"/>
  <c r="AG168" i="2"/>
  <c r="AH168" i="2"/>
  <c r="AI168" i="2"/>
  <c r="AJ168" i="2"/>
  <c r="AK168" i="2"/>
  <c r="AL168" i="2"/>
  <c r="AM168" i="2"/>
  <c r="AN168" i="2"/>
  <c r="U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U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U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U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X173" i="2"/>
  <c r="Y173" i="2"/>
  <c r="Z173" i="2"/>
  <c r="AE173" i="2"/>
  <c r="AF173" i="2"/>
  <c r="AG173" i="2"/>
  <c r="AH173" i="2"/>
  <c r="AI173" i="2"/>
  <c r="AJ173" i="2"/>
  <c r="AK173" i="2"/>
  <c r="AL173" i="2"/>
  <c r="AM173" i="2"/>
  <c r="AN173" i="2"/>
  <c r="U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U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U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U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U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U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U180" i="2"/>
  <c r="V180" i="2"/>
  <c r="X180" i="2"/>
  <c r="Y180" i="2"/>
  <c r="Z180" i="2"/>
  <c r="AA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Z181" i="2"/>
  <c r="AJ181" i="2"/>
  <c r="AK181" i="2"/>
  <c r="AL181" i="2"/>
  <c r="AM181" i="2"/>
  <c r="AN181" i="2"/>
  <c r="U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U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U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U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U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U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U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U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X190" i="2"/>
  <c r="Y190" i="2"/>
  <c r="Z190" i="2"/>
  <c r="AE190" i="2"/>
  <c r="AF190" i="2"/>
  <c r="AG190" i="2"/>
  <c r="AH190" i="2"/>
  <c r="AI190" i="2"/>
  <c r="AJ190" i="2"/>
  <c r="AK190" i="2"/>
  <c r="AL190" i="2"/>
  <c r="AM190" i="2"/>
  <c r="AN190" i="2"/>
  <c r="U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U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U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U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U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U196" i="2"/>
  <c r="W196" i="2"/>
  <c r="X196" i="2"/>
  <c r="Y196" i="2"/>
  <c r="Z196" i="2"/>
  <c r="AA196" i="2"/>
  <c r="AB196" i="2"/>
  <c r="AD196" i="2"/>
  <c r="AE196" i="2"/>
  <c r="AF196" i="2"/>
  <c r="AG196" i="2"/>
  <c r="AH196" i="2"/>
  <c r="AI196" i="2"/>
  <c r="AJ196" i="2"/>
  <c r="AK196" i="2"/>
  <c r="AL196" i="2"/>
  <c r="AM196" i="2"/>
  <c r="AN196" i="2"/>
  <c r="U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U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U199" i="2"/>
  <c r="V199" i="2"/>
  <c r="W199" i="2"/>
  <c r="X199" i="2"/>
  <c r="Y199" i="2"/>
  <c r="Z199" i="2"/>
  <c r="AA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Z200" i="2"/>
  <c r="AJ200" i="2"/>
  <c r="AK200" i="2"/>
  <c r="AL200" i="2"/>
  <c r="AM200" i="2"/>
  <c r="AN200" i="2"/>
  <c r="U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U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U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U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U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U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U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U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U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U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X211" i="2"/>
  <c r="Y211" i="2"/>
  <c r="Z211" i="2"/>
  <c r="AE211" i="2"/>
  <c r="AF211" i="2"/>
  <c r="AG211" i="2"/>
  <c r="AH211" i="2"/>
  <c r="AI211" i="2"/>
  <c r="AJ211" i="2"/>
  <c r="AK211" i="2"/>
  <c r="AL211" i="2"/>
  <c r="AM211" i="2"/>
  <c r="AN211" i="2"/>
  <c r="U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U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U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U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U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U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U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U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U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U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U222" i="2"/>
  <c r="V222" i="2"/>
  <c r="X222" i="2"/>
  <c r="Y222" i="2"/>
  <c r="Z222" i="2"/>
  <c r="AA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Z223" i="2"/>
  <c r="AJ223" i="2"/>
  <c r="AK223" i="2"/>
  <c r="AL223" i="2"/>
  <c r="AM223" i="2"/>
  <c r="AN223" i="2"/>
  <c r="U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U225" i="2"/>
  <c r="V225" i="2"/>
  <c r="X225" i="2"/>
  <c r="Y225" i="2"/>
  <c r="Z225" i="2"/>
  <c r="AA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Z226" i="2"/>
  <c r="AJ226" i="2"/>
  <c r="AK226" i="2"/>
  <c r="AL226" i="2"/>
  <c r="AM226" i="2"/>
  <c r="AN226" i="2"/>
  <c r="U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U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U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U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U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U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U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U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U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U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U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U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X239" i="2"/>
  <c r="Y239" i="2"/>
  <c r="Z239" i="2"/>
  <c r="AE239" i="2"/>
  <c r="AF239" i="2"/>
  <c r="AG239" i="2"/>
  <c r="AH239" i="2"/>
  <c r="AI239" i="2"/>
  <c r="AJ239" i="2"/>
  <c r="AK239" i="2"/>
  <c r="AL239" i="2"/>
  <c r="AM239" i="2"/>
  <c r="AN239" i="2"/>
  <c r="U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U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U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U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U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U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U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U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U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U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U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U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Z252" i="2"/>
  <c r="AJ252" i="2"/>
  <c r="AK252" i="2"/>
  <c r="AL252" i="2"/>
  <c r="AM252" i="2"/>
  <c r="AN252" i="2"/>
  <c r="U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J253" i="2"/>
  <c r="AK253" i="2"/>
  <c r="AL253" i="2"/>
  <c r="AM253" i="2"/>
  <c r="AN253" i="2"/>
  <c r="U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U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U256" i="2"/>
  <c r="V256" i="2"/>
  <c r="X256" i="2"/>
  <c r="Y256" i="2"/>
  <c r="Z256" i="2"/>
  <c r="AA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X257" i="2"/>
  <c r="Y257" i="2"/>
  <c r="Z257" i="2"/>
  <c r="AE257" i="2"/>
  <c r="AF257" i="2"/>
  <c r="AG257" i="2"/>
  <c r="AH257" i="2"/>
  <c r="AI257" i="2"/>
  <c r="AJ257" i="2"/>
  <c r="AK257" i="2"/>
  <c r="AL257" i="2"/>
  <c r="AM257" i="2"/>
  <c r="AN257" i="2"/>
  <c r="U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U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U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U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X262" i="2"/>
  <c r="Y262" i="2"/>
  <c r="Z262" i="2"/>
  <c r="AE262" i="2"/>
  <c r="AF262" i="2"/>
  <c r="AG262" i="2"/>
  <c r="AH262" i="2"/>
  <c r="AI262" i="2"/>
  <c r="AJ262" i="2"/>
  <c r="AK262" i="2"/>
  <c r="AL262" i="2"/>
  <c r="AM262" i="2"/>
  <c r="AN262" i="2"/>
  <c r="U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U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U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U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X267" i="2"/>
  <c r="Y267" i="2"/>
  <c r="Z267" i="2"/>
  <c r="AE267" i="2"/>
  <c r="AF267" i="2"/>
  <c r="AG267" i="2"/>
  <c r="AH267" i="2"/>
  <c r="AI267" i="2"/>
  <c r="AJ267" i="2"/>
  <c r="AK267" i="2"/>
  <c r="AL267" i="2"/>
  <c r="AM267" i="2"/>
  <c r="AN267" i="2"/>
  <c r="U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U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X270" i="2"/>
  <c r="Y270" i="2"/>
  <c r="Z270" i="2"/>
  <c r="AE270" i="2"/>
  <c r="AF270" i="2"/>
  <c r="AG270" i="2"/>
  <c r="AH270" i="2"/>
  <c r="AI270" i="2"/>
  <c r="AJ270" i="2"/>
  <c r="AK270" i="2"/>
  <c r="AL270" i="2"/>
  <c r="AM270" i="2"/>
  <c r="AN270" i="2"/>
  <c r="U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U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U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U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X275" i="2"/>
  <c r="Y275" i="2"/>
  <c r="Z275" i="2"/>
  <c r="AE275" i="2"/>
  <c r="AF275" i="2"/>
  <c r="AG275" i="2"/>
  <c r="AH275" i="2"/>
  <c r="AI275" i="2"/>
  <c r="AJ275" i="2"/>
  <c r="AK275" i="2"/>
  <c r="AL275" i="2"/>
  <c r="AM275" i="2"/>
  <c r="AN275" i="2"/>
  <c r="U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U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X278" i="2"/>
  <c r="Y278" i="2"/>
  <c r="Z278" i="2"/>
  <c r="AE278" i="2"/>
  <c r="AF278" i="2"/>
  <c r="AG278" i="2"/>
  <c r="AH278" i="2"/>
  <c r="AI278" i="2"/>
  <c r="AJ278" i="2"/>
  <c r="AK278" i="2"/>
  <c r="AL278" i="2"/>
  <c r="AM278" i="2"/>
  <c r="AN278" i="2"/>
  <c r="U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U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X281" i="2"/>
  <c r="Y281" i="2"/>
  <c r="Z281" i="2"/>
  <c r="AE281" i="2"/>
  <c r="AF281" i="2"/>
  <c r="AG281" i="2"/>
  <c r="AH281" i="2"/>
  <c r="AI281" i="2"/>
  <c r="AJ281" i="2"/>
  <c r="AK281" i="2"/>
  <c r="AL281" i="2"/>
  <c r="AM281" i="2"/>
  <c r="AN281" i="2"/>
  <c r="U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X283" i="2"/>
  <c r="Y283" i="2"/>
  <c r="Z283" i="2"/>
  <c r="AE283" i="2"/>
  <c r="AF283" i="2"/>
  <c r="AG283" i="2"/>
  <c r="AH283" i="2"/>
  <c r="AI283" i="2"/>
  <c r="AJ283" i="2"/>
  <c r="AK283" i="2"/>
  <c r="AL283" i="2"/>
  <c r="AM283" i="2"/>
  <c r="AN283" i="2"/>
  <c r="U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U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N287" i="2"/>
  <c r="S288" i="2"/>
  <c r="U288" i="2"/>
  <c r="W288" i="2"/>
  <c r="X288" i="2"/>
  <c r="Y288" i="2"/>
  <c r="Z288" i="2"/>
  <c r="AA288" i="2"/>
  <c r="AB288" i="2"/>
  <c r="AE288" i="2"/>
  <c r="AF288" i="2"/>
  <c r="AG288" i="2"/>
  <c r="AI288" i="2"/>
  <c r="AJ288" i="2"/>
  <c r="AK288" i="2"/>
  <c r="AL288" i="2"/>
  <c r="AN288" i="2"/>
  <c r="S289" i="2"/>
  <c r="U289" i="2"/>
  <c r="W289" i="2"/>
  <c r="X289" i="2"/>
  <c r="Y289" i="2"/>
  <c r="Z289" i="2"/>
  <c r="AA289" i="2"/>
  <c r="AB289" i="2"/>
  <c r="AE289" i="2"/>
  <c r="AF289" i="2"/>
  <c r="AG289" i="2"/>
  <c r="AI289" i="2"/>
  <c r="AJ289" i="2"/>
  <c r="AK289" i="2"/>
  <c r="AL289" i="2"/>
  <c r="AN289" i="2"/>
  <c r="S290" i="2"/>
  <c r="U290" i="2"/>
  <c r="W290" i="2"/>
  <c r="X290" i="2"/>
  <c r="Y290" i="2"/>
  <c r="Z290" i="2"/>
  <c r="AA290" i="2"/>
  <c r="AB290" i="2"/>
  <c r="AE290" i="2"/>
  <c r="AF290" i="2"/>
  <c r="AG290" i="2"/>
  <c r="AI290" i="2"/>
  <c r="AJ290" i="2"/>
  <c r="AK290" i="2"/>
  <c r="AL290" i="2"/>
  <c r="AN290" i="2"/>
  <c r="S291" i="2"/>
  <c r="U291" i="2"/>
  <c r="W291" i="2"/>
  <c r="X291" i="2"/>
  <c r="Y291" i="2"/>
  <c r="Z291" i="2"/>
  <c r="AA291" i="2"/>
  <c r="AB291" i="2"/>
  <c r="AE291" i="2"/>
  <c r="AF291" i="2"/>
  <c r="AG291" i="2"/>
  <c r="AI291" i="2"/>
  <c r="AJ291" i="2"/>
  <c r="AK291" i="2"/>
  <c r="AL291" i="2"/>
  <c r="AN291" i="2"/>
  <c r="AH292" i="2"/>
  <c r="AI292" i="2"/>
  <c r="AJ292" i="2"/>
  <c r="AK292" i="2"/>
  <c r="AL292" i="2"/>
  <c r="AM292" i="2"/>
  <c r="AN292" i="2"/>
  <c r="AH293" i="2"/>
  <c r="AI293" i="2"/>
  <c r="AJ293" i="2"/>
  <c r="AK293" i="2"/>
  <c r="AL293" i="2"/>
  <c r="AM293" i="2"/>
  <c r="AN293" i="2"/>
  <c r="U294" i="2"/>
  <c r="W294" i="2"/>
  <c r="X294" i="2"/>
  <c r="Y294" i="2"/>
  <c r="AA294" i="2"/>
  <c r="AH294" i="2"/>
  <c r="AJ294" i="2"/>
  <c r="AK294" i="2"/>
  <c r="AL294" i="2"/>
  <c r="AM294" i="2"/>
  <c r="AN294" i="2"/>
  <c r="U295" i="2"/>
  <c r="W295" i="2"/>
  <c r="X295" i="2"/>
  <c r="Y295" i="2"/>
  <c r="AA295" i="2"/>
  <c r="AH295" i="2"/>
  <c r="AJ295" i="2"/>
  <c r="AK295" i="2"/>
  <c r="AL295" i="2"/>
  <c r="AM295" i="2"/>
  <c r="AN295" i="2"/>
  <c r="U296" i="2"/>
  <c r="W296" i="2"/>
  <c r="X296" i="2"/>
  <c r="Y296" i="2"/>
  <c r="AA296" i="2"/>
  <c r="AH296" i="2"/>
  <c r="AJ296" i="2"/>
  <c r="AK296" i="2"/>
  <c r="AL296" i="2"/>
  <c r="AM296" i="2"/>
  <c r="AN296" i="2"/>
  <c r="AH297" i="2"/>
  <c r="AI297" i="2"/>
  <c r="AJ297" i="2"/>
  <c r="AK297" i="2"/>
  <c r="AL297" i="2"/>
  <c r="AM297" i="2"/>
  <c r="AN297" i="2"/>
  <c r="U298" i="2"/>
  <c r="W298" i="2"/>
  <c r="X298" i="2"/>
  <c r="Y298" i="2"/>
  <c r="AA298" i="2"/>
  <c r="AB298" i="2"/>
  <c r="AC298" i="2"/>
  <c r="AD298" i="2"/>
  <c r="AE298" i="2"/>
  <c r="AF298" i="2"/>
  <c r="AH298" i="2"/>
  <c r="AI298" i="2"/>
  <c r="AJ298" i="2"/>
  <c r="AK298" i="2"/>
  <c r="AL298" i="2"/>
  <c r="AM298" i="2"/>
  <c r="AN298" i="2"/>
  <c r="U299" i="2"/>
  <c r="W299" i="2"/>
  <c r="X299" i="2"/>
  <c r="Y299" i="2"/>
  <c r="AA299" i="2"/>
  <c r="AB299" i="2"/>
  <c r="AC299" i="2"/>
  <c r="AD299" i="2"/>
  <c r="AE299" i="2"/>
  <c r="AF299" i="2"/>
  <c r="AH299" i="2"/>
  <c r="AI299" i="2"/>
  <c r="AJ299" i="2"/>
  <c r="AK299" i="2"/>
  <c r="AL299" i="2"/>
  <c r="AM299" i="2"/>
  <c r="AN299" i="2"/>
  <c r="U300" i="2"/>
  <c r="W300" i="2"/>
  <c r="X300" i="2"/>
  <c r="Y300" i="2"/>
  <c r="AA300" i="2"/>
  <c r="AB300" i="2"/>
  <c r="AC300" i="2"/>
  <c r="AD300" i="2"/>
  <c r="AE300" i="2"/>
  <c r="AF300" i="2"/>
  <c r="AH300" i="2"/>
  <c r="AI300" i="2"/>
  <c r="AJ300" i="2"/>
  <c r="AK300" i="2"/>
  <c r="AL300" i="2"/>
  <c r="AM300" i="2"/>
  <c r="AN300" i="2"/>
  <c r="U301" i="2"/>
  <c r="W301" i="2"/>
  <c r="X301" i="2"/>
  <c r="Y301" i="2"/>
  <c r="AA301" i="2"/>
  <c r="AB301" i="2"/>
  <c r="AC301" i="2"/>
  <c r="AD301" i="2"/>
  <c r="AE301" i="2"/>
  <c r="AF301" i="2"/>
  <c r="AH301" i="2"/>
  <c r="AI301" i="2"/>
  <c r="AJ301" i="2"/>
  <c r="AK301" i="2"/>
  <c r="AL301" i="2"/>
  <c r="AM301" i="2"/>
  <c r="AN301" i="2"/>
  <c r="U302" i="2"/>
  <c r="V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U303" i="2"/>
  <c r="V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G304" i="2"/>
  <c r="AH304" i="2"/>
  <c r="AI304" i="2"/>
  <c r="AJ304" i="2"/>
  <c r="AK304" i="2"/>
  <c r="AL304" i="2"/>
  <c r="AM304" i="2"/>
  <c r="AN304" i="2"/>
  <c r="Q305" i="2"/>
  <c r="R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Q306" i="2"/>
  <c r="R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U307" i="2"/>
  <c r="W307" i="2"/>
  <c r="X307" i="2"/>
  <c r="Y307" i="2"/>
  <c r="Z307" i="2"/>
  <c r="AA307" i="2"/>
  <c r="AB307" i="2"/>
  <c r="AE307" i="2"/>
  <c r="AF307" i="2"/>
  <c r="AG307" i="2"/>
  <c r="AH307" i="2"/>
  <c r="AI307" i="2"/>
  <c r="AJ307" i="2"/>
  <c r="AK307" i="2"/>
  <c r="AL307" i="2"/>
  <c r="AM307" i="2"/>
  <c r="AN307" i="2"/>
  <c r="U308" i="2"/>
  <c r="W308" i="2"/>
  <c r="X308" i="2"/>
  <c r="Y308" i="2"/>
  <c r="Z308" i="2"/>
  <c r="AA308" i="2"/>
  <c r="AB308" i="2"/>
  <c r="AE308" i="2"/>
  <c r="AF308" i="2"/>
  <c r="AG308" i="2"/>
  <c r="AH308" i="2"/>
  <c r="AI308" i="2"/>
  <c r="AJ308" i="2"/>
  <c r="AK308" i="2"/>
  <c r="AL308" i="2"/>
  <c r="AM308" i="2"/>
  <c r="AN308" i="2"/>
  <c r="U309" i="2"/>
  <c r="W309" i="2"/>
  <c r="X309" i="2"/>
  <c r="Y309" i="2"/>
  <c r="Z309" i="2"/>
  <c r="AA309" i="2"/>
  <c r="AB309" i="2"/>
  <c r="AE309" i="2"/>
  <c r="AF309" i="2"/>
  <c r="AG309" i="2"/>
  <c r="AH309" i="2"/>
  <c r="AI309" i="2"/>
  <c r="AJ309" i="2"/>
  <c r="AK309" i="2"/>
  <c r="AL309" i="2"/>
  <c r="AM309" i="2"/>
  <c r="AN309" i="2"/>
  <c r="U310" i="2"/>
  <c r="W310" i="2"/>
  <c r="X310" i="2"/>
  <c r="Y310" i="2"/>
  <c r="Z310" i="2"/>
  <c r="AA310" i="2"/>
  <c r="AB310" i="2"/>
  <c r="AE310" i="2"/>
  <c r="AF310" i="2"/>
  <c r="AG310" i="2"/>
  <c r="AH310" i="2"/>
  <c r="AI310" i="2"/>
  <c r="AJ310" i="2"/>
  <c r="AK310" i="2"/>
  <c r="AL310" i="2"/>
  <c r="AM310" i="2"/>
  <c r="AN310" i="2"/>
  <c r="U311" i="2"/>
  <c r="W311" i="2"/>
  <c r="X311" i="2"/>
  <c r="Y311" i="2"/>
  <c r="Z311" i="2"/>
  <c r="AA311" i="2"/>
  <c r="AB311" i="2"/>
  <c r="AE311" i="2"/>
  <c r="AF311" i="2"/>
  <c r="AG311" i="2"/>
  <c r="AH311" i="2"/>
  <c r="AI311" i="2"/>
  <c r="AJ311" i="2"/>
  <c r="AK311" i="2"/>
  <c r="AL311" i="2"/>
  <c r="AM311" i="2"/>
  <c r="AN311" i="2"/>
  <c r="U312" i="2"/>
  <c r="W312" i="2"/>
  <c r="X312" i="2"/>
  <c r="Y312" i="2"/>
  <c r="Z312" i="2"/>
  <c r="AA312" i="2"/>
  <c r="AB312" i="2"/>
  <c r="AC312" i="2"/>
  <c r="AE312" i="2"/>
  <c r="AF312" i="2"/>
  <c r="AG312" i="2"/>
  <c r="AH312" i="2"/>
  <c r="AI312" i="2"/>
  <c r="AJ312" i="2"/>
  <c r="AK312" i="2"/>
  <c r="AL312" i="2"/>
  <c r="AM312" i="2"/>
  <c r="AN312" i="2"/>
  <c r="U313" i="2"/>
  <c r="W313" i="2"/>
  <c r="X313" i="2"/>
  <c r="Y313" i="2"/>
  <c r="Z313" i="2"/>
  <c r="AA313" i="2"/>
  <c r="AB313" i="2"/>
  <c r="AC313" i="2"/>
  <c r="AE313" i="2"/>
  <c r="AF313" i="2"/>
  <c r="AG313" i="2"/>
  <c r="AH313" i="2"/>
  <c r="AI313" i="2"/>
  <c r="AJ313" i="2"/>
  <c r="AK313" i="2"/>
  <c r="AL313" i="2"/>
  <c r="AM313" i="2"/>
  <c r="AN313" i="2"/>
  <c r="U314" i="2"/>
  <c r="W314" i="2"/>
  <c r="X314" i="2"/>
  <c r="Y314" i="2"/>
  <c r="Z314" i="2"/>
  <c r="AA314" i="2"/>
  <c r="AB314" i="2"/>
  <c r="AE314" i="2"/>
  <c r="AF314" i="2"/>
  <c r="AG314" i="2"/>
  <c r="AH314" i="2"/>
  <c r="AI314" i="2"/>
  <c r="AJ314" i="2"/>
  <c r="AK314" i="2"/>
  <c r="AL314" i="2"/>
  <c r="AM314" i="2"/>
  <c r="AN314" i="2"/>
  <c r="U315" i="2"/>
  <c r="W315" i="2"/>
  <c r="X315" i="2"/>
  <c r="Y315" i="2"/>
  <c r="Z315" i="2"/>
  <c r="AA315" i="2"/>
  <c r="AB315" i="2"/>
  <c r="AE315" i="2"/>
  <c r="AF315" i="2"/>
  <c r="AG315" i="2"/>
  <c r="AH315" i="2"/>
  <c r="AI315" i="2"/>
  <c r="AJ315" i="2"/>
  <c r="AK315" i="2"/>
  <c r="AL315" i="2"/>
  <c r="AM315" i="2"/>
  <c r="AN315" i="2"/>
  <c r="U316" i="2"/>
  <c r="W316" i="2"/>
  <c r="X316" i="2"/>
  <c r="Y316" i="2"/>
  <c r="Z316" i="2"/>
  <c r="AA316" i="2"/>
  <c r="AB316" i="2"/>
  <c r="AC316" i="2"/>
  <c r="AE316" i="2"/>
  <c r="AF316" i="2"/>
  <c r="AG316" i="2"/>
  <c r="AH316" i="2"/>
  <c r="AI316" i="2"/>
  <c r="AJ316" i="2"/>
  <c r="AK316" i="2"/>
  <c r="AL316" i="2"/>
  <c r="AM316" i="2"/>
  <c r="AN316" i="2"/>
  <c r="U317" i="2"/>
  <c r="W317" i="2"/>
  <c r="X317" i="2"/>
  <c r="Y317" i="2"/>
  <c r="Z317" i="2"/>
  <c r="AA317" i="2"/>
  <c r="AB317" i="2"/>
  <c r="AC317" i="2"/>
  <c r="AE317" i="2"/>
  <c r="AF317" i="2"/>
  <c r="AG317" i="2"/>
  <c r="AH317" i="2"/>
  <c r="AI317" i="2"/>
  <c r="AJ317" i="2"/>
  <c r="AK317" i="2"/>
  <c r="AL317" i="2"/>
  <c r="AM317" i="2"/>
  <c r="AN317" i="2"/>
  <c r="U318" i="2"/>
  <c r="W318" i="2"/>
  <c r="X318" i="2"/>
  <c r="Y318" i="2"/>
  <c r="Z318" i="2"/>
  <c r="AA318" i="2"/>
  <c r="AB318" i="2"/>
  <c r="AE318" i="2"/>
  <c r="AF318" i="2"/>
  <c r="AG318" i="2"/>
  <c r="AH318" i="2"/>
  <c r="AI318" i="2"/>
  <c r="AJ318" i="2"/>
  <c r="AK318" i="2"/>
  <c r="AL318" i="2"/>
  <c r="AM318" i="2"/>
  <c r="AN318" i="2"/>
  <c r="U319" i="2"/>
  <c r="W319" i="2"/>
  <c r="X319" i="2"/>
  <c r="Y319" i="2"/>
  <c r="Z319" i="2"/>
  <c r="AA319" i="2"/>
  <c r="AB319" i="2"/>
  <c r="AE319" i="2"/>
  <c r="AF319" i="2"/>
  <c r="AG319" i="2"/>
  <c r="AH319" i="2"/>
  <c r="AI319" i="2"/>
  <c r="AJ319" i="2"/>
  <c r="AK319" i="2"/>
  <c r="AL319" i="2"/>
  <c r="AM319" i="2"/>
  <c r="AN319" i="2"/>
  <c r="U320" i="2"/>
  <c r="W320" i="2"/>
  <c r="X320" i="2"/>
  <c r="Y320" i="2"/>
  <c r="Z320" i="2"/>
  <c r="AA320" i="2"/>
  <c r="AB320" i="2"/>
  <c r="AE320" i="2"/>
  <c r="AF320" i="2"/>
  <c r="AG320" i="2"/>
  <c r="AH320" i="2"/>
  <c r="AI320" i="2"/>
  <c r="AJ320" i="2"/>
  <c r="AK320" i="2"/>
  <c r="AL320" i="2"/>
  <c r="AM320" i="2"/>
  <c r="AN320" i="2"/>
  <c r="U321" i="2"/>
  <c r="W321" i="2"/>
  <c r="X321" i="2"/>
  <c r="Y321" i="2"/>
  <c r="Z321" i="2"/>
  <c r="AA321" i="2"/>
  <c r="AB321" i="2"/>
  <c r="AE321" i="2"/>
  <c r="AF321" i="2"/>
  <c r="AG321" i="2"/>
  <c r="AH321" i="2"/>
  <c r="AI321" i="2"/>
  <c r="AJ321" i="2"/>
  <c r="AK321" i="2"/>
  <c r="AL321" i="2"/>
  <c r="AM321" i="2"/>
  <c r="AN321" i="2"/>
  <c r="U322" i="2"/>
  <c r="W322" i="2"/>
  <c r="X322" i="2"/>
  <c r="Y322" i="2"/>
  <c r="Z322" i="2"/>
  <c r="AA322" i="2"/>
  <c r="AB322" i="2"/>
  <c r="AC322" i="2"/>
  <c r="AE322" i="2"/>
  <c r="AF322" i="2"/>
  <c r="AG322" i="2"/>
  <c r="AH322" i="2"/>
  <c r="AI322" i="2"/>
  <c r="AJ322" i="2"/>
  <c r="AK322" i="2"/>
  <c r="AL322" i="2"/>
  <c r="AM322" i="2"/>
  <c r="AN322" i="2"/>
  <c r="U323" i="2"/>
  <c r="W323" i="2"/>
  <c r="X323" i="2"/>
  <c r="Y323" i="2"/>
  <c r="Z323" i="2"/>
  <c r="AA323" i="2"/>
  <c r="AB323" i="2"/>
  <c r="AE323" i="2"/>
  <c r="AF323" i="2"/>
  <c r="AG323" i="2"/>
  <c r="AH323" i="2"/>
  <c r="AI323" i="2"/>
  <c r="AJ323" i="2"/>
  <c r="AK323" i="2"/>
  <c r="AL323" i="2"/>
  <c r="AM323" i="2"/>
  <c r="AN323" i="2"/>
  <c r="U324" i="2"/>
  <c r="W324" i="2"/>
  <c r="X324" i="2"/>
  <c r="Y324" i="2"/>
  <c r="Z324" i="2"/>
  <c r="AA324" i="2"/>
  <c r="AB324" i="2"/>
  <c r="AC324" i="2"/>
  <c r="AE324" i="2"/>
  <c r="AF324" i="2"/>
  <c r="AG324" i="2"/>
  <c r="AH324" i="2"/>
  <c r="AI324" i="2"/>
  <c r="AJ324" i="2"/>
  <c r="AK324" i="2"/>
  <c r="AL324" i="2"/>
  <c r="AM324" i="2"/>
  <c r="AN324" i="2"/>
  <c r="U325" i="2"/>
  <c r="W325" i="2"/>
  <c r="X325" i="2"/>
  <c r="Y325" i="2"/>
  <c r="Z325" i="2"/>
  <c r="AA325" i="2"/>
  <c r="AB325" i="2"/>
  <c r="AC325" i="2"/>
  <c r="AE325" i="2"/>
  <c r="AF325" i="2"/>
  <c r="AG325" i="2"/>
  <c r="AH325" i="2"/>
  <c r="AI325" i="2"/>
  <c r="AJ325" i="2"/>
  <c r="AK325" i="2"/>
  <c r="AL325" i="2"/>
  <c r="AM325" i="2"/>
  <c r="AN325" i="2"/>
  <c r="U326" i="2"/>
  <c r="W326" i="2"/>
  <c r="X326" i="2"/>
  <c r="Y326" i="2"/>
  <c r="Z326" i="2"/>
  <c r="AA326" i="2"/>
  <c r="AB326" i="2"/>
  <c r="AC326" i="2"/>
  <c r="AE326" i="2"/>
  <c r="AF326" i="2"/>
  <c r="AG326" i="2"/>
  <c r="AH326" i="2"/>
  <c r="AI326" i="2"/>
  <c r="AJ326" i="2"/>
  <c r="AK326" i="2"/>
  <c r="AL326" i="2"/>
  <c r="AM326" i="2"/>
  <c r="AN326" i="2"/>
  <c r="U327" i="2"/>
  <c r="W327" i="2"/>
  <c r="X327" i="2"/>
  <c r="Y327" i="2"/>
  <c r="Z327" i="2"/>
  <c r="AA327" i="2"/>
  <c r="AB327" i="2"/>
  <c r="AC327" i="2"/>
  <c r="AE327" i="2"/>
  <c r="AF327" i="2"/>
  <c r="AG327" i="2"/>
  <c r="AH327" i="2"/>
  <c r="AI327" i="2"/>
  <c r="AJ327" i="2"/>
  <c r="AK327" i="2"/>
  <c r="AL327" i="2"/>
  <c r="AM327" i="2"/>
  <c r="AN327" i="2"/>
  <c r="U328" i="2"/>
  <c r="W328" i="2"/>
  <c r="X328" i="2"/>
  <c r="Y328" i="2"/>
  <c r="Z328" i="2"/>
  <c r="AA328" i="2"/>
  <c r="AB328" i="2"/>
  <c r="AC328" i="2"/>
  <c r="AE328" i="2"/>
  <c r="AF328" i="2"/>
  <c r="AG328" i="2"/>
  <c r="AH328" i="2"/>
  <c r="AI328" i="2"/>
  <c r="AJ328" i="2"/>
  <c r="AK328" i="2"/>
  <c r="AL328" i="2"/>
  <c r="AM328" i="2"/>
  <c r="AN328" i="2"/>
  <c r="U329" i="2"/>
  <c r="W329" i="2"/>
  <c r="X329" i="2"/>
  <c r="Y329" i="2"/>
  <c r="Z329" i="2"/>
  <c r="AA329" i="2"/>
  <c r="AB329" i="2"/>
  <c r="AE329" i="2"/>
  <c r="AF329" i="2"/>
  <c r="AG329" i="2"/>
  <c r="AH329" i="2"/>
  <c r="AI329" i="2"/>
  <c r="AJ329" i="2"/>
  <c r="AK329" i="2"/>
  <c r="AL329" i="2"/>
  <c r="AM329" i="2"/>
  <c r="AN329" i="2"/>
  <c r="U330" i="2"/>
  <c r="W330" i="2"/>
  <c r="X330" i="2"/>
  <c r="Y330" i="2"/>
  <c r="Z330" i="2"/>
  <c r="AA330" i="2"/>
  <c r="AB330" i="2"/>
  <c r="AE330" i="2"/>
  <c r="AF330" i="2"/>
  <c r="AG330" i="2"/>
  <c r="AH330" i="2"/>
  <c r="AI330" i="2"/>
  <c r="AJ330" i="2"/>
  <c r="AK330" i="2"/>
  <c r="AL330" i="2"/>
  <c r="AM330" i="2"/>
  <c r="AN330" i="2"/>
  <c r="U331" i="2"/>
  <c r="W331" i="2"/>
  <c r="X331" i="2"/>
  <c r="Y331" i="2"/>
  <c r="Z331" i="2"/>
  <c r="AA331" i="2"/>
  <c r="AB331" i="2"/>
  <c r="AE331" i="2"/>
  <c r="AF331" i="2"/>
  <c r="AG331" i="2"/>
  <c r="AH331" i="2"/>
  <c r="AI331" i="2"/>
  <c r="AJ331" i="2"/>
  <c r="AK331" i="2"/>
  <c r="AL331" i="2"/>
  <c r="AM331" i="2"/>
  <c r="AN331" i="2"/>
  <c r="U332" i="2"/>
  <c r="W332" i="2"/>
  <c r="X332" i="2"/>
  <c r="Y332" i="2"/>
  <c r="Z332" i="2"/>
  <c r="AA332" i="2"/>
  <c r="AB332" i="2"/>
  <c r="AE332" i="2"/>
  <c r="AF332" i="2"/>
  <c r="AG332" i="2"/>
  <c r="AH332" i="2"/>
  <c r="AI332" i="2"/>
  <c r="AJ332" i="2"/>
  <c r="AK332" i="2"/>
  <c r="AL332" i="2"/>
  <c r="AM332" i="2"/>
  <c r="AN332" i="2"/>
  <c r="U333" i="2"/>
  <c r="W333" i="2"/>
  <c r="X333" i="2"/>
  <c r="Z333" i="2"/>
  <c r="AA333" i="2"/>
  <c r="AB333" i="2"/>
  <c r="AE333" i="2"/>
  <c r="AF333" i="2"/>
  <c r="AG333" i="2"/>
  <c r="AH333" i="2"/>
  <c r="AI333" i="2"/>
  <c r="AJ333" i="2"/>
  <c r="AK333" i="2"/>
  <c r="AL333" i="2"/>
  <c r="AM333" i="2"/>
  <c r="AN333" i="2"/>
  <c r="U334" i="2"/>
  <c r="W334" i="2"/>
  <c r="X334" i="2"/>
  <c r="Y334" i="2"/>
  <c r="Z334" i="2"/>
  <c r="AA334" i="2"/>
  <c r="AB334" i="2"/>
  <c r="AE334" i="2"/>
  <c r="AF334" i="2"/>
  <c r="AG334" i="2"/>
  <c r="AH334" i="2"/>
  <c r="AI334" i="2"/>
  <c r="AJ334" i="2"/>
  <c r="AK334" i="2"/>
  <c r="AL334" i="2"/>
  <c r="AM334" i="2"/>
  <c r="AN334" i="2"/>
  <c r="U335" i="2"/>
  <c r="W335" i="2"/>
  <c r="X335" i="2"/>
  <c r="Y335" i="2"/>
  <c r="Z335" i="2"/>
  <c r="AA335" i="2"/>
  <c r="AB335" i="2"/>
  <c r="AE335" i="2"/>
  <c r="AF335" i="2"/>
  <c r="AG335" i="2"/>
  <c r="AH335" i="2"/>
  <c r="AI335" i="2"/>
  <c r="AJ335" i="2"/>
  <c r="AK335" i="2"/>
  <c r="AL335" i="2"/>
  <c r="AM335" i="2"/>
  <c r="AN335" i="2"/>
  <c r="U336" i="2"/>
  <c r="W336" i="2"/>
  <c r="X336" i="2"/>
  <c r="Y336" i="2"/>
  <c r="Z336" i="2"/>
  <c r="AA336" i="2"/>
  <c r="AB336" i="2"/>
  <c r="AE336" i="2"/>
  <c r="AF336" i="2"/>
  <c r="AG336" i="2"/>
  <c r="AH336" i="2"/>
  <c r="AI336" i="2"/>
  <c r="AJ336" i="2"/>
  <c r="AK336" i="2"/>
  <c r="AL336" i="2"/>
  <c r="AM336" i="2"/>
  <c r="AN336" i="2"/>
  <c r="U337" i="2"/>
  <c r="W337" i="2"/>
  <c r="X337" i="2"/>
  <c r="Y337" i="2"/>
  <c r="Z337" i="2"/>
  <c r="AA337" i="2"/>
  <c r="AB337" i="2"/>
  <c r="AC337" i="2"/>
  <c r="AE337" i="2"/>
  <c r="AF337" i="2"/>
  <c r="AG337" i="2"/>
  <c r="AH337" i="2"/>
  <c r="AI337" i="2"/>
  <c r="AJ337" i="2"/>
  <c r="AK337" i="2"/>
  <c r="AL337" i="2"/>
  <c r="AM337" i="2"/>
  <c r="AN337" i="2"/>
  <c r="U338" i="2"/>
  <c r="W338" i="2"/>
  <c r="X338" i="2"/>
  <c r="Y338" i="2"/>
  <c r="Z338" i="2"/>
  <c r="AA338" i="2"/>
  <c r="AB338" i="2"/>
  <c r="AC338" i="2"/>
  <c r="AE338" i="2"/>
  <c r="AF338" i="2"/>
  <c r="AG338" i="2"/>
  <c r="AH338" i="2"/>
  <c r="AI338" i="2"/>
  <c r="AJ338" i="2"/>
  <c r="AK338" i="2"/>
  <c r="AL338" i="2"/>
  <c r="AM338" i="2"/>
  <c r="AN338" i="2"/>
  <c r="U339" i="2"/>
  <c r="W339" i="2"/>
  <c r="X339" i="2"/>
  <c r="Y339" i="2"/>
  <c r="Z339" i="2"/>
  <c r="AA339" i="2"/>
  <c r="AB339" i="2"/>
  <c r="AC339" i="2"/>
  <c r="AE339" i="2"/>
  <c r="AF339" i="2"/>
  <c r="AG339" i="2"/>
  <c r="AH339" i="2"/>
  <c r="AI339" i="2"/>
  <c r="AJ339" i="2"/>
  <c r="AK339" i="2"/>
  <c r="AL339" i="2"/>
  <c r="AM339" i="2"/>
  <c r="AN339" i="2"/>
  <c r="U340" i="2"/>
  <c r="W340" i="2"/>
  <c r="X340" i="2"/>
  <c r="Y340" i="2"/>
  <c r="Z340" i="2"/>
  <c r="AA340" i="2"/>
  <c r="AB340" i="2"/>
  <c r="AC340" i="2"/>
  <c r="AE340" i="2"/>
  <c r="AF340" i="2"/>
  <c r="AG340" i="2"/>
  <c r="AH340" i="2"/>
  <c r="AI340" i="2"/>
  <c r="AJ340" i="2"/>
  <c r="AK340" i="2"/>
  <c r="AL340" i="2"/>
  <c r="AM340" i="2"/>
  <c r="AN340" i="2"/>
  <c r="U341" i="2"/>
  <c r="W341" i="2"/>
  <c r="X341" i="2"/>
  <c r="Y341" i="2"/>
  <c r="Z341" i="2"/>
  <c r="AA341" i="2"/>
  <c r="AB341" i="2"/>
  <c r="AE341" i="2"/>
  <c r="AF341" i="2"/>
  <c r="AG341" i="2"/>
  <c r="AH341" i="2"/>
  <c r="AI341" i="2"/>
  <c r="AJ341" i="2"/>
  <c r="AK341" i="2"/>
  <c r="AL341" i="2"/>
  <c r="AM341" i="2"/>
  <c r="AN341" i="2"/>
  <c r="U342" i="2"/>
  <c r="W342" i="2"/>
  <c r="X342" i="2"/>
  <c r="Y342" i="2"/>
  <c r="Z342" i="2"/>
  <c r="AA342" i="2"/>
  <c r="AB342" i="2"/>
  <c r="AE342" i="2"/>
  <c r="AF342" i="2"/>
  <c r="AG342" i="2"/>
  <c r="AH342" i="2"/>
  <c r="AI342" i="2"/>
  <c r="AJ342" i="2"/>
  <c r="AK342" i="2"/>
  <c r="AL342" i="2"/>
  <c r="AM342" i="2"/>
  <c r="AN342" i="2"/>
  <c r="U343" i="2"/>
  <c r="W343" i="2"/>
  <c r="X343" i="2"/>
  <c r="Y343" i="2"/>
  <c r="Z343" i="2"/>
  <c r="AA343" i="2"/>
  <c r="AB343" i="2"/>
  <c r="AC343" i="2"/>
  <c r="AE343" i="2"/>
  <c r="AF343" i="2"/>
  <c r="AG343" i="2"/>
  <c r="AH343" i="2"/>
  <c r="AI343" i="2"/>
  <c r="AJ343" i="2"/>
  <c r="AK343" i="2"/>
  <c r="AL343" i="2"/>
  <c r="AM343" i="2"/>
  <c r="AN343" i="2"/>
  <c r="U344" i="2"/>
  <c r="W344" i="2"/>
  <c r="X344" i="2"/>
  <c r="Y344" i="2"/>
  <c r="Z344" i="2"/>
  <c r="AA344" i="2"/>
  <c r="AB344" i="2"/>
  <c r="AE344" i="2"/>
  <c r="AF344" i="2"/>
  <c r="AG344" i="2"/>
  <c r="AH344" i="2"/>
  <c r="AI344" i="2"/>
  <c r="AJ344" i="2"/>
  <c r="AK344" i="2"/>
  <c r="AL344" i="2"/>
  <c r="AM344" i="2"/>
  <c r="AN344" i="2"/>
  <c r="U345" i="2"/>
  <c r="W345" i="2"/>
  <c r="X345" i="2"/>
  <c r="Y345" i="2"/>
  <c r="Z345" i="2"/>
  <c r="AA345" i="2"/>
  <c r="AB345" i="2"/>
  <c r="AC345" i="2"/>
  <c r="AE345" i="2"/>
  <c r="AF345" i="2"/>
  <c r="AG345" i="2"/>
  <c r="AH345" i="2"/>
  <c r="AI345" i="2"/>
  <c r="AJ345" i="2"/>
  <c r="AK345" i="2"/>
  <c r="AL345" i="2"/>
  <c r="AM345" i="2"/>
  <c r="AN345" i="2"/>
  <c r="U346" i="2"/>
  <c r="W346" i="2"/>
  <c r="X346" i="2"/>
  <c r="Y346" i="2"/>
  <c r="Z346" i="2"/>
  <c r="AA346" i="2"/>
  <c r="AB346" i="2"/>
  <c r="AC346" i="2"/>
  <c r="AE346" i="2"/>
  <c r="AF346" i="2"/>
  <c r="AG346" i="2"/>
  <c r="AH346" i="2"/>
  <c r="AI346" i="2"/>
  <c r="AJ346" i="2"/>
  <c r="AK346" i="2"/>
  <c r="AL346" i="2"/>
  <c r="AM346" i="2"/>
  <c r="AN346" i="2"/>
  <c r="U347" i="2"/>
  <c r="W347" i="2"/>
  <c r="X347" i="2"/>
  <c r="Y347" i="2"/>
  <c r="Z347" i="2"/>
  <c r="AA347" i="2"/>
  <c r="AB347" i="2"/>
  <c r="AC347" i="2"/>
  <c r="AE347" i="2"/>
  <c r="AF347" i="2"/>
  <c r="AG347" i="2"/>
  <c r="AH347" i="2"/>
  <c r="AI347" i="2"/>
  <c r="AJ347" i="2"/>
  <c r="AK347" i="2"/>
  <c r="AL347" i="2"/>
  <c r="AM347" i="2"/>
  <c r="AN347" i="2"/>
  <c r="U348" i="2"/>
  <c r="W348" i="2"/>
  <c r="X348" i="2"/>
  <c r="Y348" i="2"/>
  <c r="Z348" i="2"/>
  <c r="AA348" i="2"/>
  <c r="AB348" i="2"/>
  <c r="AC348" i="2"/>
  <c r="AE348" i="2"/>
  <c r="AF348" i="2"/>
  <c r="AG348" i="2"/>
  <c r="AH348" i="2"/>
  <c r="AI348" i="2"/>
  <c r="AJ348" i="2"/>
  <c r="AK348" i="2"/>
  <c r="AL348" i="2"/>
  <c r="AM348" i="2"/>
  <c r="AN348" i="2"/>
  <c r="U349" i="2"/>
  <c r="W349" i="2"/>
  <c r="X349" i="2"/>
  <c r="Y349" i="2"/>
  <c r="Z349" i="2"/>
  <c r="AA349" i="2"/>
  <c r="AB349" i="2"/>
  <c r="AE349" i="2"/>
  <c r="AF349" i="2"/>
  <c r="AG349" i="2"/>
  <c r="AH349" i="2"/>
  <c r="AI349" i="2"/>
  <c r="AJ349" i="2"/>
  <c r="AK349" i="2"/>
  <c r="AL349" i="2"/>
  <c r="AM349" i="2"/>
  <c r="AN349" i="2"/>
  <c r="U350" i="2"/>
  <c r="W350" i="2"/>
  <c r="X350" i="2"/>
  <c r="Y350" i="2"/>
  <c r="Z350" i="2"/>
  <c r="AA350" i="2"/>
  <c r="AB350" i="2"/>
  <c r="AC350" i="2"/>
  <c r="AE350" i="2"/>
  <c r="AF350" i="2"/>
  <c r="AG350" i="2"/>
  <c r="AH350" i="2"/>
  <c r="AI350" i="2"/>
  <c r="AJ350" i="2"/>
  <c r="AK350" i="2"/>
  <c r="AL350" i="2"/>
  <c r="AM350" i="2"/>
  <c r="AN350" i="2"/>
  <c r="U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G352" i="2"/>
  <c r="AH352" i="2"/>
  <c r="AI352" i="2"/>
  <c r="AJ352" i="2"/>
  <c r="AK352" i="2"/>
  <c r="AL352" i="2"/>
  <c r="AM352" i="2"/>
  <c r="AN352" i="2"/>
  <c r="U353" i="2"/>
  <c r="W353" i="2"/>
  <c r="X353" i="2"/>
  <c r="Y353" i="2"/>
  <c r="Z353" i="2"/>
  <c r="AA353" i="2"/>
  <c r="AB353" i="2"/>
  <c r="AE353" i="2"/>
  <c r="AF353" i="2"/>
  <c r="AG353" i="2"/>
  <c r="AH353" i="2"/>
  <c r="AI353" i="2"/>
  <c r="AJ353" i="2"/>
  <c r="AK353" i="2"/>
  <c r="AL353" i="2"/>
  <c r="AM353" i="2"/>
  <c r="AN353" i="2"/>
  <c r="U354" i="2"/>
  <c r="W354" i="2"/>
  <c r="X354" i="2"/>
  <c r="Y354" i="2"/>
  <c r="Z354" i="2"/>
  <c r="AA354" i="2"/>
  <c r="AB354" i="2"/>
  <c r="AE354" i="2"/>
  <c r="AF354" i="2"/>
  <c r="AG354" i="2"/>
  <c r="AH354" i="2"/>
  <c r="AI354" i="2"/>
  <c r="AJ354" i="2"/>
  <c r="AK354" i="2"/>
  <c r="AL354" i="2"/>
  <c r="AM354" i="2"/>
  <c r="AN354" i="2"/>
  <c r="U355" i="2"/>
  <c r="W355" i="2"/>
  <c r="X355" i="2"/>
  <c r="Y355" i="2"/>
  <c r="Z355" i="2"/>
  <c r="AA355" i="2"/>
  <c r="AB355" i="2"/>
  <c r="AC355" i="2"/>
  <c r="AE355" i="2"/>
  <c r="AF355" i="2"/>
  <c r="AG355" i="2"/>
  <c r="AH355" i="2"/>
  <c r="AI355" i="2"/>
  <c r="AJ355" i="2"/>
  <c r="AK355" i="2"/>
  <c r="AL355" i="2"/>
  <c r="AM355" i="2"/>
  <c r="AN355" i="2"/>
  <c r="U356" i="2"/>
  <c r="W356" i="2"/>
  <c r="X356" i="2"/>
  <c r="Y356" i="2"/>
  <c r="Z356" i="2"/>
  <c r="AA356" i="2"/>
  <c r="AB356" i="2"/>
  <c r="AC356" i="2"/>
  <c r="AE356" i="2"/>
  <c r="AF356" i="2"/>
  <c r="AG356" i="2"/>
  <c r="AH356" i="2"/>
  <c r="AI356" i="2"/>
  <c r="AJ356" i="2"/>
  <c r="AK356" i="2"/>
  <c r="AL356" i="2"/>
  <c r="AM356" i="2"/>
  <c r="AN356" i="2"/>
  <c r="U357" i="2"/>
  <c r="W357" i="2"/>
  <c r="X357" i="2"/>
  <c r="Y357" i="2"/>
  <c r="Z357" i="2"/>
  <c r="AA357" i="2"/>
  <c r="AB357" i="2"/>
  <c r="AE357" i="2"/>
  <c r="AF357" i="2"/>
  <c r="AG357" i="2"/>
  <c r="AH357" i="2"/>
  <c r="AI357" i="2"/>
  <c r="AJ357" i="2"/>
  <c r="AK357" i="2"/>
  <c r="AL357" i="2"/>
  <c r="AM357" i="2"/>
  <c r="AN357" i="2"/>
  <c r="U358" i="2"/>
  <c r="W358" i="2"/>
  <c r="X358" i="2"/>
  <c r="Y358" i="2"/>
  <c r="Z358" i="2"/>
  <c r="AA358" i="2"/>
  <c r="AB358" i="2"/>
  <c r="AE358" i="2"/>
  <c r="AF358" i="2"/>
  <c r="AG358" i="2"/>
  <c r="AH358" i="2"/>
  <c r="AI358" i="2"/>
  <c r="AJ358" i="2"/>
  <c r="AK358" i="2"/>
  <c r="AL358" i="2"/>
  <c r="AM358" i="2"/>
  <c r="AN358" i="2"/>
  <c r="U359" i="2"/>
  <c r="W359" i="2"/>
  <c r="X359" i="2"/>
  <c r="Y359" i="2"/>
  <c r="Z359" i="2"/>
  <c r="AA359" i="2"/>
  <c r="AB359" i="2"/>
  <c r="AC359" i="2"/>
  <c r="AE359" i="2"/>
  <c r="AF359" i="2"/>
  <c r="AG359" i="2"/>
  <c r="AH359" i="2"/>
  <c r="AI359" i="2"/>
  <c r="AJ359" i="2"/>
  <c r="AK359" i="2"/>
  <c r="AL359" i="2"/>
  <c r="AM359" i="2"/>
  <c r="AN359" i="2"/>
  <c r="U360" i="2"/>
  <c r="W360" i="2"/>
  <c r="X360" i="2"/>
  <c r="Y360" i="2"/>
  <c r="Z360" i="2"/>
  <c r="AA360" i="2"/>
  <c r="AB360" i="2"/>
  <c r="AE360" i="2"/>
  <c r="AF360" i="2"/>
  <c r="AG360" i="2"/>
  <c r="AH360" i="2"/>
  <c r="AI360" i="2"/>
  <c r="AJ360" i="2"/>
  <c r="AK360" i="2"/>
  <c r="AL360" i="2"/>
  <c r="AM360" i="2"/>
  <c r="AN360" i="2"/>
  <c r="U361" i="2"/>
  <c r="W361" i="2"/>
  <c r="X361" i="2"/>
  <c r="Y361" i="2"/>
  <c r="Z361" i="2"/>
  <c r="AA361" i="2"/>
  <c r="AB361" i="2"/>
  <c r="AC361" i="2"/>
  <c r="AE361" i="2"/>
  <c r="AF361" i="2"/>
  <c r="AG361" i="2"/>
  <c r="AH361" i="2"/>
  <c r="AI361" i="2"/>
  <c r="AJ361" i="2"/>
  <c r="AK361" i="2"/>
  <c r="AL361" i="2"/>
  <c r="AM361" i="2"/>
  <c r="AN361" i="2"/>
  <c r="U362" i="2"/>
  <c r="W362" i="2"/>
  <c r="X362" i="2"/>
  <c r="Y362" i="2"/>
  <c r="Z362" i="2"/>
  <c r="AA362" i="2"/>
  <c r="AB362" i="2"/>
  <c r="AE362" i="2"/>
  <c r="AF362" i="2"/>
  <c r="AG362" i="2"/>
  <c r="AH362" i="2"/>
  <c r="AI362" i="2"/>
  <c r="AJ362" i="2"/>
  <c r="AK362" i="2"/>
  <c r="AL362" i="2"/>
  <c r="AM362" i="2"/>
  <c r="AN362" i="2"/>
  <c r="U363" i="2"/>
  <c r="W363" i="2"/>
  <c r="X363" i="2"/>
  <c r="Y363" i="2"/>
  <c r="Z363" i="2"/>
  <c r="AA363" i="2"/>
  <c r="AB363" i="2"/>
  <c r="AC363" i="2"/>
  <c r="AE363" i="2"/>
  <c r="AF363" i="2"/>
  <c r="AG363" i="2"/>
  <c r="AH363" i="2"/>
  <c r="AI363" i="2"/>
  <c r="AJ363" i="2"/>
  <c r="AK363" i="2"/>
  <c r="AL363" i="2"/>
  <c r="AM363" i="2"/>
  <c r="AN363" i="2"/>
  <c r="U364" i="2"/>
  <c r="W364" i="2"/>
  <c r="X364" i="2"/>
  <c r="Y364" i="2"/>
  <c r="Z364" i="2"/>
  <c r="AA364" i="2"/>
  <c r="AB364" i="2"/>
  <c r="AC364" i="2"/>
  <c r="AE364" i="2"/>
  <c r="AF364" i="2"/>
  <c r="AG364" i="2"/>
  <c r="AH364" i="2"/>
  <c r="AI364" i="2"/>
  <c r="AJ364" i="2"/>
  <c r="AK364" i="2"/>
  <c r="AL364" i="2"/>
  <c r="AM364" i="2"/>
  <c r="AN364" i="2"/>
  <c r="U365" i="2"/>
  <c r="W365" i="2"/>
  <c r="X365" i="2"/>
  <c r="Y365" i="2"/>
  <c r="Z365" i="2"/>
  <c r="AA365" i="2"/>
  <c r="AB365" i="2"/>
  <c r="AE365" i="2"/>
  <c r="AF365" i="2"/>
  <c r="AG365" i="2"/>
  <c r="AH365" i="2"/>
  <c r="AI365" i="2"/>
  <c r="AJ365" i="2"/>
  <c r="AK365" i="2"/>
  <c r="AL365" i="2"/>
  <c r="AM365" i="2"/>
  <c r="AN365" i="2"/>
  <c r="U366" i="2"/>
  <c r="W366" i="2"/>
  <c r="X366" i="2"/>
  <c r="Y366" i="2"/>
  <c r="Z366" i="2"/>
  <c r="AA366" i="2"/>
  <c r="AB366" i="2"/>
  <c r="AC366" i="2"/>
  <c r="AE366" i="2"/>
  <c r="AF366" i="2"/>
  <c r="AG366" i="2"/>
  <c r="AH366" i="2"/>
  <c r="AI366" i="2"/>
  <c r="AJ366" i="2"/>
  <c r="AK366" i="2"/>
  <c r="AL366" i="2"/>
  <c r="AM366" i="2"/>
  <c r="AN366" i="2"/>
  <c r="U367" i="2"/>
  <c r="W367" i="2"/>
  <c r="X367" i="2"/>
  <c r="Y367" i="2"/>
  <c r="Z367" i="2"/>
  <c r="AA367" i="2"/>
  <c r="AB367" i="2"/>
  <c r="AC367" i="2"/>
  <c r="AE367" i="2"/>
  <c r="AF367" i="2"/>
  <c r="AG367" i="2"/>
  <c r="AH367" i="2"/>
  <c r="AI367" i="2"/>
  <c r="AJ367" i="2"/>
  <c r="AK367" i="2"/>
  <c r="AL367" i="2"/>
  <c r="AM367" i="2"/>
  <c r="AN367" i="2"/>
  <c r="S368" i="2"/>
  <c r="T368" i="2"/>
  <c r="U368" i="2"/>
  <c r="V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N369" i="2"/>
  <c r="S370" i="2"/>
  <c r="T370" i="2"/>
  <c r="U370" i="2"/>
  <c r="W370" i="2"/>
  <c r="X370" i="2"/>
  <c r="Y370" i="2"/>
  <c r="Z370" i="2"/>
  <c r="AA370" i="2"/>
  <c r="AB370" i="2"/>
  <c r="AD370" i="2"/>
  <c r="AF370" i="2"/>
  <c r="AG370" i="2"/>
  <c r="AH370" i="2"/>
  <c r="AJ370" i="2"/>
  <c r="AK370" i="2"/>
  <c r="AL370" i="2"/>
  <c r="AM370" i="2"/>
  <c r="AN370" i="2"/>
  <c r="S371" i="2"/>
  <c r="T371" i="2"/>
  <c r="U371" i="2"/>
  <c r="W371" i="2"/>
  <c r="X371" i="2"/>
  <c r="Y371" i="2"/>
  <c r="Z371" i="2"/>
  <c r="AA371" i="2"/>
  <c r="AB371" i="2"/>
  <c r="AD371" i="2"/>
  <c r="AF371" i="2"/>
  <c r="AG371" i="2"/>
  <c r="AH371" i="2"/>
  <c r="AJ371" i="2"/>
  <c r="AK371" i="2"/>
  <c r="AL371" i="2"/>
  <c r="AM371" i="2"/>
  <c r="AN371" i="2"/>
  <c r="AN372" i="2"/>
  <c r="S373" i="2"/>
  <c r="T373" i="2"/>
  <c r="U373" i="2"/>
  <c r="W373" i="2"/>
  <c r="X373" i="2"/>
  <c r="Y373" i="2"/>
  <c r="Z373" i="2"/>
  <c r="AA373" i="2"/>
  <c r="AB373" i="2"/>
  <c r="AD373" i="2"/>
  <c r="AF373" i="2"/>
  <c r="AG373" i="2"/>
  <c r="AH373" i="2"/>
  <c r="AJ373" i="2"/>
  <c r="AK373" i="2"/>
  <c r="AL373" i="2"/>
  <c r="AM373" i="2"/>
  <c r="AN373" i="2"/>
  <c r="S374" i="2"/>
  <c r="T374" i="2"/>
  <c r="U374" i="2"/>
  <c r="W374" i="2"/>
  <c r="X374" i="2"/>
  <c r="Y374" i="2"/>
  <c r="Z374" i="2"/>
  <c r="AA374" i="2"/>
  <c r="AB374" i="2"/>
  <c r="AD374" i="2"/>
  <c r="AF374" i="2"/>
  <c r="AG374" i="2"/>
  <c r="AH374" i="2"/>
  <c r="AJ374" i="2"/>
  <c r="AK374" i="2"/>
  <c r="AL374" i="2"/>
  <c r="AM374" i="2"/>
  <c r="AN374" i="2"/>
  <c r="S375" i="2"/>
  <c r="T375" i="2"/>
  <c r="U375" i="2"/>
  <c r="W375" i="2"/>
  <c r="X375" i="2"/>
  <c r="Y375" i="2"/>
  <c r="Z375" i="2"/>
  <c r="AA375" i="2"/>
  <c r="AB375" i="2"/>
  <c r="AD375" i="2"/>
  <c r="AF375" i="2"/>
  <c r="AG375" i="2"/>
  <c r="AH375" i="2"/>
  <c r="AJ375" i="2"/>
  <c r="AK375" i="2"/>
  <c r="AL375" i="2"/>
  <c r="AM375" i="2"/>
  <c r="AN375" i="2"/>
  <c r="S376" i="2"/>
  <c r="T376" i="2"/>
  <c r="U376" i="2"/>
  <c r="W376" i="2"/>
  <c r="X376" i="2"/>
  <c r="Y376" i="2"/>
  <c r="Z376" i="2"/>
  <c r="AA376" i="2"/>
  <c r="AB376" i="2"/>
  <c r="AD376" i="2"/>
  <c r="AF376" i="2"/>
  <c r="AG376" i="2"/>
  <c r="AH376" i="2"/>
  <c r="AJ376" i="2"/>
  <c r="AK376" i="2"/>
  <c r="AL376" i="2"/>
  <c r="AM376" i="2"/>
  <c r="AN376" i="2"/>
  <c r="S377" i="2"/>
  <c r="T377" i="2"/>
  <c r="U377" i="2"/>
  <c r="W377" i="2"/>
  <c r="X377" i="2"/>
  <c r="Y377" i="2"/>
  <c r="Z377" i="2"/>
  <c r="AA377" i="2"/>
  <c r="AB377" i="2"/>
  <c r="AD377" i="2"/>
  <c r="AF377" i="2"/>
  <c r="AG377" i="2"/>
  <c r="AH377" i="2"/>
  <c r="AJ377" i="2"/>
  <c r="AK377" i="2"/>
  <c r="AL377" i="2"/>
  <c r="AM377" i="2"/>
  <c r="AN377" i="2"/>
  <c r="S378" i="2"/>
  <c r="T378" i="2"/>
  <c r="U378" i="2"/>
  <c r="W378" i="2"/>
  <c r="X378" i="2"/>
  <c r="Y378" i="2"/>
  <c r="Z378" i="2"/>
  <c r="AA378" i="2"/>
  <c r="AB378" i="2"/>
  <c r="AD378" i="2"/>
  <c r="AF378" i="2"/>
  <c r="AG378" i="2"/>
  <c r="AH378" i="2"/>
  <c r="AJ378" i="2"/>
  <c r="AK378" i="2"/>
  <c r="AL378" i="2"/>
  <c r="AM378" i="2"/>
  <c r="AN378" i="2"/>
  <c r="S379" i="2"/>
  <c r="T379" i="2"/>
  <c r="U379" i="2"/>
  <c r="W379" i="2"/>
  <c r="X379" i="2"/>
  <c r="Y379" i="2"/>
  <c r="Z379" i="2"/>
  <c r="AA379" i="2"/>
  <c r="AB379" i="2"/>
  <c r="AD379" i="2"/>
  <c r="AF379" i="2"/>
  <c r="AG379" i="2"/>
  <c r="AH379" i="2"/>
  <c r="AJ379" i="2"/>
  <c r="AK379" i="2"/>
  <c r="AL379" i="2"/>
  <c r="AM379" i="2"/>
  <c r="AN379" i="2"/>
  <c r="S380" i="2"/>
  <c r="T380" i="2"/>
  <c r="U380" i="2"/>
  <c r="W380" i="2"/>
  <c r="X380" i="2"/>
  <c r="Y380" i="2"/>
  <c r="Z380" i="2"/>
  <c r="AA380" i="2"/>
  <c r="AB380" i="2"/>
  <c r="AD380" i="2"/>
  <c r="AF380" i="2"/>
  <c r="AG380" i="2"/>
  <c r="AH380" i="2"/>
  <c r="AJ380" i="2"/>
  <c r="AK380" i="2"/>
  <c r="AL380" i="2"/>
  <c r="AM380" i="2"/>
  <c r="AN380" i="2"/>
  <c r="AN381" i="2"/>
  <c r="S382" i="2"/>
  <c r="T382" i="2"/>
  <c r="U382" i="2"/>
  <c r="W382" i="2"/>
  <c r="X382" i="2"/>
  <c r="Y382" i="2"/>
  <c r="Z382" i="2"/>
  <c r="AA382" i="2"/>
  <c r="AB382" i="2"/>
  <c r="AD382" i="2"/>
  <c r="AF382" i="2"/>
  <c r="AG382" i="2"/>
  <c r="AH382" i="2"/>
  <c r="AJ382" i="2"/>
  <c r="AK382" i="2"/>
  <c r="AL382" i="2"/>
  <c r="AM382" i="2"/>
  <c r="AN382" i="2"/>
  <c r="S383" i="2"/>
  <c r="T383" i="2"/>
  <c r="U383" i="2"/>
  <c r="W383" i="2"/>
  <c r="X383" i="2"/>
  <c r="Y383" i="2"/>
  <c r="Z383" i="2"/>
  <c r="AA383" i="2"/>
  <c r="AB383" i="2"/>
  <c r="AD383" i="2"/>
  <c r="AF383" i="2"/>
  <c r="AG383" i="2"/>
  <c r="AH383" i="2"/>
  <c r="AJ383" i="2"/>
  <c r="AK383" i="2"/>
  <c r="AL383" i="2"/>
  <c r="AM383" i="2"/>
  <c r="AN383" i="2"/>
  <c r="S384" i="2"/>
  <c r="T384" i="2"/>
  <c r="U384" i="2"/>
  <c r="W384" i="2"/>
  <c r="X384" i="2"/>
  <c r="Y384" i="2"/>
  <c r="Z384" i="2"/>
  <c r="AA384" i="2"/>
  <c r="AB384" i="2"/>
  <c r="AD384" i="2"/>
  <c r="AF384" i="2"/>
  <c r="AG384" i="2"/>
  <c r="AH384" i="2"/>
  <c r="AJ384" i="2"/>
  <c r="AK384" i="2"/>
  <c r="AL384" i="2"/>
  <c r="AM384" i="2"/>
  <c r="AN384" i="2"/>
  <c r="S385" i="2"/>
  <c r="T385" i="2"/>
  <c r="U385" i="2"/>
  <c r="W385" i="2"/>
  <c r="X385" i="2"/>
  <c r="Y385" i="2"/>
  <c r="Z385" i="2"/>
  <c r="AA385" i="2"/>
  <c r="AB385" i="2"/>
  <c r="AD385" i="2"/>
  <c r="AF385" i="2"/>
  <c r="AG385" i="2"/>
  <c r="AH385" i="2"/>
  <c r="AJ385" i="2"/>
  <c r="AK385" i="2"/>
  <c r="AL385" i="2"/>
  <c r="AM385" i="2"/>
  <c r="AN385" i="2"/>
  <c r="S386" i="2"/>
  <c r="T386" i="2"/>
  <c r="U386" i="2"/>
  <c r="W386" i="2"/>
  <c r="X386" i="2"/>
  <c r="Y386" i="2"/>
  <c r="Z386" i="2"/>
  <c r="AA386" i="2"/>
  <c r="AB386" i="2"/>
  <c r="AD386" i="2"/>
  <c r="AF386" i="2"/>
  <c r="AG386" i="2"/>
  <c r="AH386" i="2"/>
  <c r="AJ386" i="2"/>
  <c r="AK386" i="2"/>
  <c r="AL386" i="2"/>
  <c r="AM386" i="2"/>
  <c r="AN386" i="2"/>
  <c r="AN387" i="2"/>
  <c r="AN388" i="2"/>
  <c r="S389" i="2"/>
  <c r="T389" i="2"/>
  <c r="U389" i="2"/>
  <c r="W389" i="2"/>
  <c r="X389" i="2"/>
  <c r="Y389" i="2"/>
  <c r="Z389" i="2"/>
  <c r="AA389" i="2"/>
  <c r="AB389" i="2"/>
  <c r="AD389" i="2"/>
  <c r="AF389" i="2"/>
  <c r="AG389" i="2"/>
  <c r="AH389" i="2"/>
  <c r="AJ389" i="2"/>
  <c r="AK389" i="2"/>
  <c r="AL389" i="2"/>
  <c r="AM389" i="2"/>
  <c r="AN389" i="2"/>
  <c r="S390" i="2"/>
  <c r="T390" i="2"/>
  <c r="U390" i="2"/>
  <c r="W390" i="2"/>
  <c r="X390" i="2"/>
  <c r="Y390" i="2"/>
  <c r="Z390" i="2"/>
  <c r="AA390" i="2"/>
  <c r="AB390" i="2"/>
  <c r="AD390" i="2"/>
  <c r="AF390" i="2"/>
  <c r="AG390" i="2"/>
  <c r="AH390" i="2"/>
  <c r="AJ390" i="2"/>
  <c r="AK390" i="2"/>
  <c r="AL390" i="2"/>
  <c r="AM390" i="2"/>
  <c r="AN390" i="2"/>
  <c r="AN391" i="2"/>
  <c r="S392" i="2"/>
  <c r="T392" i="2"/>
  <c r="U392" i="2"/>
  <c r="W392" i="2"/>
  <c r="X392" i="2"/>
  <c r="Y392" i="2"/>
  <c r="Z392" i="2"/>
  <c r="AA392" i="2"/>
  <c r="AB392" i="2"/>
  <c r="AD392" i="2"/>
  <c r="AF392" i="2"/>
  <c r="AG392" i="2"/>
  <c r="AH392" i="2"/>
  <c r="AJ392" i="2"/>
  <c r="AK392" i="2"/>
  <c r="AL392" i="2"/>
  <c r="AM392" i="2"/>
  <c r="AN392" i="2"/>
  <c r="S393" i="2"/>
  <c r="T393" i="2"/>
  <c r="U393" i="2"/>
  <c r="W393" i="2"/>
  <c r="X393" i="2"/>
  <c r="Y393" i="2"/>
  <c r="Z393" i="2"/>
  <c r="AA393" i="2"/>
  <c r="AB393" i="2"/>
  <c r="AD393" i="2"/>
  <c r="AF393" i="2"/>
  <c r="AG393" i="2"/>
  <c r="AH393" i="2"/>
  <c r="AJ393" i="2"/>
  <c r="AK393" i="2"/>
  <c r="AL393" i="2"/>
  <c r="AM393" i="2"/>
  <c r="AN393" i="2"/>
  <c r="S394" i="2"/>
  <c r="T394" i="2"/>
  <c r="U394" i="2"/>
  <c r="W394" i="2"/>
  <c r="X394" i="2"/>
  <c r="Y394" i="2"/>
  <c r="Z394" i="2"/>
  <c r="AA394" i="2"/>
  <c r="AB394" i="2"/>
  <c r="AD394" i="2"/>
  <c r="AF394" i="2"/>
  <c r="AG394" i="2"/>
  <c r="AH394" i="2"/>
  <c r="AJ394" i="2"/>
  <c r="AK394" i="2"/>
  <c r="AL394" i="2"/>
  <c r="AM394" i="2"/>
  <c r="AN394" i="2"/>
  <c r="S395" i="2"/>
  <c r="T395" i="2"/>
  <c r="U395" i="2"/>
  <c r="W395" i="2"/>
  <c r="X395" i="2"/>
  <c r="Y395" i="2"/>
  <c r="Z395" i="2"/>
  <c r="AA395" i="2"/>
  <c r="AB395" i="2"/>
  <c r="AD395" i="2"/>
  <c r="AF395" i="2"/>
  <c r="AG395" i="2"/>
  <c r="AH395" i="2"/>
  <c r="AJ395" i="2"/>
  <c r="AK395" i="2"/>
  <c r="AL395" i="2"/>
  <c r="AM395" i="2"/>
  <c r="AN395" i="2"/>
  <c r="S396" i="2"/>
  <c r="T396" i="2"/>
  <c r="U396" i="2"/>
  <c r="W396" i="2"/>
  <c r="X396" i="2"/>
  <c r="Y396" i="2"/>
  <c r="Z396" i="2"/>
  <c r="AA396" i="2"/>
  <c r="AB396" i="2"/>
  <c r="AD396" i="2"/>
  <c r="AF396" i="2"/>
  <c r="AG396" i="2"/>
  <c r="AH396" i="2"/>
  <c r="AJ396" i="2"/>
  <c r="AK396" i="2"/>
  <c r="AL396" i="2"/>
  <c r="AM396" i="2"/>
  <c r="AN396" i="2"/>
  <c r="S397" i="2"/>
  <c r="T397" i="2"/>
  <c r="U397" i="2"/>
  <c r="W397" i="2"/>
  <c r="X397" i="2"/>
  <c r="Z397" i="2"/>
  <c r="AA397" i="2"/>
  <c r="AD397" i="2"/>
  <c r="AF397" i="2"/>
  <c r="AG397" i="2"/>
  <c r="AH397" i="2"/>
  <c r="AJ397" i="2"/>
  <c r="AK397" i="2"/>
  <c r="AL397" i="2"/>
  <c r="AM397" i="2"/>
  <c r="AN397" i="2"/>
  <c r="S398" i="2"/>
  <c r="T398" i="2"/>
  <c r="U398" i="2"/>
  <c r="W398" i="2"/>
  <c r="X398" i="2"/>
  <c r="Y398" i="2"/>
  <c r="Z398" i="2"/>
  <c r="AA398" i="2"/>
  <c r="AB398" i="2"/>
  <c r="AD398" i="2"/>
  <c r="AF398" i="2"/>
  <c r="AG398" i="2"/>
  <c r="AH398" i="2"/>
  <c r="AJ398" i="2"/>
  <c r="AK398" i="2"/>
  <c r="AL398" i="2"/>
  <c r="AM398" i="2"/>
  <c r="AN398" i="2"/>
  <c r="S399" i="2"/>
  <c r="T399" i="2"/>
  <c r="U399" i="2"/>
  <c r="W399" i="2"/>
  <c r="X399" i="2"/>
  <c r="Y399" i="2"/>
  <c r="Z399" i="2"/>
  <c r="AA399" i="2"/>
  <c r="AB399" i="2"/>
  <c r="AD399" i="2"/>
  <c r="AF399" i="2"/>
  <c r="AG399" i="2"/>
  <c r="AH399" i="2"/>
  <c r="AJ399" i="2"/>
  <c r="AK399" i="2"/>
  <c r="AL399" i="2"/>
  <c r="AM399" i="2"/>
  <c r="AN399" i="2"/>
  <c r="AN400" i="2"/>
  <c r="S401" i="2"/>
  <c r="T401" i="2"/>
  <c r="U401" i="2"/>
  <c r="W401" i="2"/>
  <c r="X401" i="2"/>
  <c r="Y401" i="2"/>
  <c r="Z401" i="2"/>
  <c r="AA401" i="2"/>
  <c r="AB401" i="2"/>
  <c r="AD401" i="2"/>
  <c r="AF401" i="2"/>
  <c r="AG401" i="2"/>
  <c r="AH401" i="2"/>
  <c r="AJ401" i="2"/>
  <c r="AK401" i="2"/>
  <c r="AL401" i="2"/>
  <c r="AM401" i="2"/>
  <c r="AN401" i="2"/>
  <c r="S402" i="2"/>
  <c r="T402" i="2"/>
  <c r="U402" i="2"/>
  <c r="W402" i="2"/>
  <c r="X402" i="2"/>
  <c r="Y402" i="2"/>
  <c r="Z402" i="2"/>
  <c r="AA402" i="2"/>
  <c r="AB402" i="2"/>
  <c r="AD402" i="2"/>
  <c r="AF402" i="2"/>
  <c r="AG402" i="2"/>
  <c r="AH402" i="2"/>
  <c r="AJ402" i="2"/>
  <c r="AK402" i="2"/>
  <c r="AL402" i="2"/>
  <c r="AM402" i="2"/>
  <c r="AN402" i="2"/>
  <c r="S403" i="2"/>
  <c r="T403" i="2"/>
  <c r="U403" i="2"/>
  <c r="W403" i="2"/>
  <c r="X403" i="2"/>
  <c r="Y403" i="2"/>
  <c r="Z403" i="2"/>
  <c r="AA403" i="2"/>
  <c r="AB403" i="2"/>
  <c r="AD403" i="2"/>
  <c r="AF403" i="2"/>
  <c r="AG403" i="2"/>
  <c r="AH403" i="2"/>
  <c r="AJ403" i="2"/>
  <c r="AK403" i="2"/>
  <c r="AL403" i="2"/>
  <c r="AM403" i="2"/>
  <c r="AN403" i="2"/>
  <c r="S404" i="2"/>
  <c r="T404" i="2"/>
  <c r="U404" i="2"/>
  <c r="W404" i="2"/>
  <c r="X404" i="2"/>
  <c r="Y404" i="2"/>
  <c r="Z404" i="2"/>
  <c r="AA404" i="2"/>
  <c r="AB404" i="2"/>
  <c r="AD404" i="2"/>
  <c r="AF404" i="2"/>
  <c r="AG404" i="2"/>
  <c r="AH404" i="2"/>
  <c r="AJ404" i="2"/>
  <c r="AK404" i="2"/>
  <c r="AL404" i="2"/>
  <c r="AM404" i="2"/>
  <c r="AN404" i="2"/>
  <c r="S405" i="2"/>
  <c r="T405" i="2"/>
  <c r="U405" i="2"/>
  <c r="W405" i="2"/>
  <c r="X405" i="2"/>
  <c r="Y405" i="2"/>
  <c r="Z405" i="2"/>
  <c r="AA405" i="2"/>
  <c r="AB405" i="2"/>
  <c r="AD405" i="2"/>
  <c r="AF405" i="2"/>
  <c r="AG405" i="2"/>
  <c r="AH405" i="2"/>
  <c r="AJ405" i="2"/>
  <c r="AK405" i="2"/>
  <c r="AL405" i="2"/>
  <c r="AM405" i="2"/>
  <c r="AN405" i="2"/>
  <c r="S406" i="2"/>
  <c r="T406" i="2"/>
  <c r="U406" i="2"/>
  <c r="W406" i="2"/>
  <c r="X406" i="2"/>
  <c r="Y406" i="2"/>
  <c r="Z406" i="2"/>
  <c r="AA406" i="2"/>
  <c r="AB406" i="2"/>
  <c r="AD406" i="2"/>
  <c r="AF406" i="2"/>
  <c r="AG406" i="2"/>
  <c r="AH406" i="2"/>
  <c r="AJ406" i="2"/>
  <c r="AK406" i="2"/>
  <c r="AL406" i="2"/>
  <c r="AM406" i="2"/>
  <c r="AN406" i="2"/>
  <c r="S407" i="2"/>
  <c r="T407" i="2"/>
  <c r="U407" i="2"/>
  <c r="W407" i="2"/>
  <c r="X407" i="2"/>
  <c r="Y407" i="2"/>
  <c r="Z407" i="2"/>
  <c r="AA407" i="2"/>
  <c r="AB407" i="2"/>
  <c r="AD407" i="2"/>
  <c r="AF407" i="2"/>
  <c r="AG407" i="2"/>
  <c r="AH407" i="2"/>
  <c r="AJ407" i="2"/>
  <c r="AK407" i="2"/>
  <c r="AL407" i="2"/>
  <c r="AM407" i="2"/>
  <c r="AN407" i="2"/>
  <c r="S408" i="2"/>
  <c r="T408" i="2"/>
  <c r="U408" i="2"/>
  <c r="W408" i="2"/>
  <c r="X408" i="2"/>
  <c r="Y408" i="2"/>
  <c r="Z408" i="2"/>
  <c r="AA408" i="2"/>
  <c r="AB408" i="2"/>
  <c r="AD408" i="2"/>
  <c r="AF408" i="2"/>
  <c r="AG408" i="2"/>
  <c r="AH408" i="2"/>
  <c r="AJ408" i="2"/>
  <c r="AK408" i="2"/>
  <c r="AL408" i="2"/>
  <c r="AM408" i="2"/>
  <c r="AN408" i="2"/>
  <c r="S409" i="2"/>
  <c r="T409" i="2"/>
  <c r="U409" i="2"/>
  <c r="W409" i="2"/>
  <c r="X409" i="2"/>
  <c r="Y409" i="2"/>
  <c r="Z409" i="2"/>
  <c r="AA409" i="2"/>
  <c r="AB409" i="2"/>
  <c r="AD409" i="2"/>
  <c r="AF409" i="2"/>
  <c r="AG409" i="2"/>
  <c r="AH409" i="2"/>
  <c r="AJ409" i="2"/>
  <c r="AK409" i="2"/>
  <c r="AL409" i="2"/>
  <c r="AM409" i="2"/>
  <c r="AN409" i="2"/>
  <c r="S410" i="2"/>
  <c r="T410" i="2"/>
  <c r="U410" i="2"/>
  <c r="W410" i="2"/>
  <c r="X410" i="2"/>
  <c r="Y410" i="2"/>
  <c r="Z410" i="2"/>
  <c r="AA410" i="2"/>
  <c r="AB410" i="2"/>
  <c r="AD410" i="2"/>
  <c r="AF410" i="2"/>
  <c r="AG410" i="2"/>
  <c r="AH410" i="2"/>
  <c r="AJ410" i="2"/>
  <c r="AK410" i="2"/>
  <c r="AL410" i="2"/>
  <c r="AM410" i="2"/>
  <c r="AN410" i="2"/>
  <c r="AN411" i="2"/>
  <c r="U412" i="2"/>
  <c r="W412" i="2"/>
  <c r="X412" i="2"/>
  <c r="Z412" i="2"/>
  <c r="AA412" i="2"/>
  <c r="AB412" i="2"/>
  <c r="AD412" i="2"/>
  <c r="AF412" i="2"/>
  <c r="AG412" i="2"/>
  <c r="AH412" i="2"/>
  <c r="AN412" i="2"/>
  <c r="S413" i="2"/>
  <c r="T413" i="2"/>
  <c r="U413" i="2"/>
  <c r="W413" i="2"/>
  <c r="X413" i="2"/>
  <c r="Y413" i="2"/>
  <c r="Z413" i="2"/>
  <c r="AA413" i="2"/>
  <c r="AB413" i="2"/>
  <c r="AD413" i="2"/>
  <c r="AF413" i="2"/>
  <c r="AG413" i="2"/>
  <c r="AH413" i="2"/>
  <c r="AJ413" i="2"/>
  <c r="AK413" i="2"/>
  <c r="AL413" i="2"/>
  <c r="AM413" i="2"/>
  <c r="AN413" i="2"/>
  <c r="S414" i="2"/>
  <c r="T414" i="2"/>
  <c r="U414" i="2"/>
  <c r="W414" i="2"/>
  <c r="X414" i="2"/>
  <c r="Y414" i="2"/>
  <c r="Z414" i="2"/>
  <c r="AA414" i="2"/>
  <c r="AB414" i="2"/>
  <c r="AD414" i="2"/>
  <c r="AF414" i="2"/>
  <c r="AG414" i="2"/>
  <c r="AH414" i="2"/>
  <c r="AJ414" i="2"/>
  <c r="AK414" i="2"/>
  <c r="AL414" i="2"/>
  <c r="AM414" i="2"/>
  <c r="AN414" i="2"/>
  <c r="S415" i="2"/>
  <c r="T415" i="2"/>
  <c r="U415" i="2"/>
  <c r="W415" i="2"/>
  <c r="X415" i="2"/>
  <c r="Y415" i="2"/>
  <c r="Z415" i="2"/>
  <c r="AA415" i="2"/>
  <c r="AB415" i="2"/>
  <c r="AD415" i="2"/>
  <c r="AF415" i="2"/>
  <c r="AG415" i="2"/>
  <c r="AH415" i="2"/>
  <c r="AJ415" i="2"/>
  <c r="AK415" i="2"/>
  <c r="AL415" i="2"/>
  <c r="AM415" i="2"/>
  <c r="AN415" i="2"/>
  <c r="S416" i="2"/>
  <c r="T416" i="2"/>
  <c r="U416" i="2"/>
  <c r="W416" i="2"/>
  <c r="X416" i="2"/>
  <c r="Y416" i="2"/>
  <c r="Z416" i="2"/>
  <c r="AA416" i="2"/>
  <c r="AB416" i="2"/>
  <c r="AD416" i="2"/>
  <c r="AF416" i="2"/>
  <c r="AG416" i="2"/>
  <c r="AH416" i="2"/>
  <c r="AJ416" i="2"/>
  <c r="AK416" i="2"/>
  <c r="AL416" i="2"/>
  <c r="AM416" i="2"/>
  <c r="AN416" i="2"/>
  <c r="S417" i="2"/>
  <c r="T417" i="2"/>
  <c r="U417" i="2"/>
  <c r="W417" i="2"/>
  <c r="X417" i="2"/>
  <c r="Y417" i="2"/>
  <c r="Z417" i="2"/>
  <c r="AA417" i="2"/>
  <c r="AB417" i="2"/>
  <c r="AD417" i="2"/>
  <c r="AF417" i="2"/>
  <c r="AG417" i="2"/>
  <c r="AH417" i="2"/>
  <c r="AJ417" i="2"/>
  <c r="AK417" i="2"/>
  <c r="AL417" i="2"/>
  <c r="AM417" i="2"/>
  <c r="AN417" i="2"/>
  <c r="S418" i="2"/>
  <c r="T418" i="2"/>
  <c r="U418" i="2"/>
  <c r="W418" i="2"/>
  <c r="X418" i="2"/>
  <c r="Y418" i="2"/>
  <c r="Z418" i="2"/>
  <c r="AA418" i="2"/>
  <c r="AB418" i="2"/>
  <c r="AD418" i="2"/>
  <c r="AF418" i="2"/>
  <c r="AG418" i="2"/>
  <c r="AH418" i="2"/>
  <c r="AJ418" i="2"/>
  <c r="AK418" i="2"/>
  <c r="AL418" i="2"/>
  <c r="AM418" i="2"/>
  <c r="AN418" i="2"/>
  <c r="S419" i="2"/>
  <c r="T419" i="2"/>
  <c r="U419" i="2"/>
  <c r="W419" i="2"/>
  <c r="X419" i="2"/>
  <c r="Y419" i="2"/>
  <c r="Z419" i="2"/>
  <c r="AA419" i="2"/>
  <c r="AB419" i="2"/>
  <c r="AD419" i="2"/>
  <c r="AF419" i="2"/>
  <c r="AG419" i="2"/>
  <c r="AH419" i="2"/>
  <c r="AJ419" i="2"/>
  <c r="AK419" i="2"/>
  <c r="AL419" i="2"/>
  <c r="AM419" i="2"/>
  <c r="AN419" i="2"/>
  <c r="S420" i="2"/>
  <c r="T420" i="2"/>
  <c r="U420" i="2"/>
  <c r="W420" i="2"/>
  <c r="X420" i="2"/>
  <c r="AA420" i="2"/>
  <c r="AD420" i="2"/>
  <c r="AF420" i="2"/>
  <c r="AG420" i="2"/>
  <c r="AH420" i="2"/>
  <c r="AJ420" i="2"/>
  <c r="AK420" i="2"/>
  <c r="AL420" i="2"/>
  <c r="AM420" i="2"/>
  <c r="AN420" i="2"/>
  <c r="AN421" i="2"/>
  <c r="AN422" i="2"/>
  <c r="AN423" i="2"/>
  <c r="S424" i="2"/>
  <c r="T424" i="2"/>
  <c r="U424" i="2"/>
  <c r="W424" i="2"/>
  <c r="X424" i="2"/>
  <c r="Y424" i="2"/>
  <c r="Z424" i="2"/>
  <c r="AA424" i="2"/>
  <c r="AB424" i="2"/>
  <c r="AD424" i="2"/>
  <c r="AE424" i="2"/>
  <c r="AF424" i="2"/>
  <c r="AG424" i="2"/>
  <c r="AH424" i="2"/>
  <c r="AJ424" i="2"/>
  <c r="AK424" i="2"/>
  <c r="AL424" i="2"/>
  <c r="AM424" i="2"/>
  <c r="AN424" i="2"/>
  <c r="S425" i="2"/>
  <c r="T425" i="2"/>
  <c r="U425" i="2"/>
  <c r="W425" i="2"/>
  <c r="X425" i="2"/>
  <c r="Y425" i="2"/>
  <c r="Z425" i="2"/>
  <c r="AA425" i="2"/>
  <c r="AB425" i="2"/>
  <c r="AD425" i="2"/>
  <c r="AF425" i="2"/>
  <c r="AG425" i="2"/>
  <c r="AH425" i="2"/>
  <c r="AJ425" i="2"/>
  <c r="AK425" i="2"/>
  <c r="AL425" i="2"/>
  <c r="AM425" i="2"/>
  <c r="AN425" i="2"/>
  <c r="AN426" i="2"/>
  <c r="S427" i="2"/>
  <c r="T427" i="2"/>
  <c r="U427" i="2"/>
  <c r="W427" i="2"/>
  <c r="X427" i="2"/>
  <c r="Y427" i="2"/>
  <c r="Z427" i="2"/>
  <c r="AA427" i="2"/>
  <c r="AB427" i="2"/>
  <c r="AD427" i="2"/>
  <c r="AE427" i="2"/>
  <c r="AF427" i="2"/>
  <c r="AG427" i="2"/>
  <c r="AH427" i="2"/>
  <c r="AJ427" i="2"/>
  <c r="AK427" i="2"/>
  <c r="AL427" i="2"/>
  <c r="AM427" i="2"/>
  <c r="AN427" i="2"/>
  <c r="S428" i="2"/>
  <c r="T428" i="2"/>
  <c r="U428" i="2"/>
  <c r="W428" i="2"/>
  <c r="X428" i="2"/>
  <c r="Y428" i="2"/>
  <c r="Z428" i="2"/>
  <c r="AA428" i="2"/>
  <c r="AB428" i="2"/>
  <c r="AD428" i="2"/>
  <c r="AF428" i="2"/>
  <c r="AG428" i="2"/>
  <c r="AH428" i="2"/>
  <c r="AJ428" i="2"/>
  <c r="AK428" i="2"/>
  <c r="AL428" i="2"/>
  <c r="AM428" i="2"/>
  <c r="AN428" i="2"/>
  <c r="AN429" i="2"/>
  <c r="S430" i="2"/>
  <c r="T430" i="2"/>
  <c r="U430" i="2"/>
  <c r="W430" i="2"/>
  <c r="X430" i="2"/>
  <c r="Y430" i="2"/>
  <c r="Z430" i="2"/>
  <c r="AA430" i="2"/>
  <c r="AB430" i="2"/>
  <c r="AD430" i="2"/>
  <c r="AE430" i="2"/>
  <c r="AF430" i="2"/>
  <c r="AG430" i="2"/>
  <c r="AH430" i="2"/>
  <c r="AJ430" i="2"/>
  <c r="AK430" i="2"/>
  <c r="AL430" i="2"/>
  <c r="AM430" i="2"/>
  <c r="AN430" i="2"/>
  <c r="S431" i="2"/>
  <c r="T431" i="2"/>
  <c r="U431" i="2"/>
  <c r="W431" i="2"/>
  <c r="X431" i="2"/>
  <c r="Y431" i="2"/>
  <c r="Z431" i="2"/>
  <c r="AA431" i="2"/>
  <c r="AB431" i="2"/>
  <c r="AD431" i="2"/>
  <c r="AF431" i="2"/>
  <c r="AG431" i="2"/>
  <c r="AH431" i="2"/>
  <c r="AJ431" i="2"/>
  <c r="AK431" i="2"/>
  <c r="AL431" i="2"/>
  <c r="AM431" i="2"/>
  <c r="AN431" i="2"/>
  <c r="S432" i="2"/>
  <c r="T432" i="2"/>
  <c r="U432" i="2"/>
  <c r="W432" i="2"/>
  <c r="X432" i="2"/>
  <c r="Y432" i="2"/>
  <c r="Z432" i="2"/>
  <c r="AA432" i="2"/>
  <c r="AB432" i="2"/>
  <c r="AD432" i="2"/>
  <c r="AF432" i="2"/>
  <c r="AG432" i="2"/>
  <c r="AH432" i="2"/>
  <c r="AJ432" i="2"/>
  <c r="AK432" i="2"/>
  <c r="AL432" i="2"/>
  <c r="AM432" i="2"/>
  <c r="AN432" i="2"/>
  <c r="S433" i="2"/>
  <c r="T433" i="2"/>
  <c r="U433" i="2"/>
  <c r="W433" i="2"/>
  <c r="X433" i="2"/>
  <c r="Y433" i="2"/>
  <c r="Z433" i="2"/>
  <c r="AA433" i="2"/>
  <c r="AB433" i="2"/>
  <c r="AD433" i="2"/>
  <c r="AF433" i="2"/>
  <c r="AG433" i="2"/>
  <c r="AH433" i="2"/>
  <c r="AJ433" i="2"/>
  <c r="AK433" i="2"/>
  <c r="AL433" i="2"/>
  <c r="AM433" i="2"/>
  <c r="AN433" i="2"/>
  <c r="S434" i="2"/>
  <c r="T434" i="2"/>
  <c r="U434" i="2"/>
  <c r="W434" i="2"/>
  <c r="X434" i="2"/>
  <c r="Y434" i="2"/>
  <c r="Z434" i="2"/>
  <c r="AA434" i="2"/>
  <c r="AB434" i="2"/>
  <c r="AD434" i="2"/>
  <c r="AF434" i="2"/>
  <c r="AG434" i="2"/>
  <c r="AH434" i="2"/>
  <c r="AJ434" i="2"/>
  <c r="AK434" i="2"/>
  <c r="AL434" i="2"/>
  <c r="AM434" i="2"/>
  <c r="AN434" i="2"/>
  <c r="S435" i="2"/>
  <c r="T435" i="2"/>
  <c r="U435" i="2"/>
  <c r="W435" i="2"/>
  <c r="X435" i="2"/>
  <c r="Y435" i="2"/>
  <c r="Z435" i="2"/>
  <c r="AA435" i="2"/>
  <c r="AB435" i="2"/>
  <c r="AD435" i="2"/>
  <c r="AF435" i="2"/>
  <c r="AG435" i="2"/>
  <c r="AH435" i="2"/>
  <c r="AJ435" i="2"/>
  <c r="AK435" i="2"/>
  <c r="AL435" i="2"/>
  <c r="AM435" i="2"/>
  <c r="AN435" i="2"/>
  <c r="S436" i="2"/>
  <c r="T436" i="2"/>
  <c r="U436" i="2"/>
  <c r="W436" i="2"/>
  <c r="X436" i="2"/>
  <c r="Y436" i="2"/>
  <c r="Z436" i="2"/>
  <c r="AA436" i="2"/>
  <c r="AB436" i="2"/>
  <c r="AD436" i="2"/>
  <c r="AF436" i="2"/>
  <c r="AG436" i="2"/>
  <c r="AH436" i="2"/>
  <c r="AJ436" i="2"/>
  <c r="AK436" i="2"/>
  <c r="AL436" i="2"/>
  <c r="AM436" i="2"/>
  <c r="AN436" i="2"/>
  <c r="S437" i="2"/>
  <c r="T437" i="2"/>
  <c r="U437" i="2"/>
  <c r="W437" i="2"/>
  <c r="X437" i="2"/>
  <c r="Y437" i="2"/>
  <c r="Z437" i="2"/>
  <c r="AA437" i="2"/>
  <c r="AB437" i="2"/>
  <c r="AD437" i="2"/>
  <c r="AF437" i="2"/>
  <c r="AG437" i="2"/>
  <c r="AH437" i="2"/>
  <c r="AJ437" i="2"/>
  <c r="AK437" i="2"/>
  <c r="AL437" i="2"/>
  <c r="AM437" i="2"/>
  <c r="AN437" i="2"/>
  <c r="S438" i="2"/>
  <c r="T438" i="2"/>
  <c r="U438" i="2"/>
  <c r="W438" i="2"/>
  <c r="X438" i="2"/>
  <c r="Y438" i="2"/>
  <c r="Z438" i="2"/>
  <c r="AA438" i="2"/>
  <c r="AB438" i="2"/>
  <c r="AD438" i="2"/>
  <c r="AF438" i="2"/>
  <c r="AG438" i="2"/>
  <c r="AH438" i="2"/>
  <c r="AJ438" i="2"/>
  <c r="AK438" i="2"/>
  <c r="AL438" i="2"/>
  <c r="AM438" i="2"/>
  <c r="AN438" i="2"/>
  <c r="S439" i="2"/>
  <c r="T439" i="2"/>
  <c r="U439" i="2"/>
  <c r="W439" i="2"/>
  <c r="X439" i="2"/>
  <c r="Y439" i="2"/>
  <c r="Z439" i="2"/>
  <c r="AA439" i="2"/>
  <c r="AB439" i="2"/>
  <c r="AD439" i="2"/>
  <c r="AF439" i="2"/>
  <c r="AG439" i="2"/>
  <c r="AH439" i="2"/>
  <c r="AJ439" i="2"/>
  <c r="AK439" i="2"/>
  <c r="AL439" i="2"/>
  <c r="AM439" i="2"/>
  <c r="AN439" i="2"/>
  <c r="S440" i="2"/>
  <c r="T440" i="2"/>
  <c r="U440" i="2"/>
  <c r="W440" i="2"/>
  <c r="X440" i="2"/>
  <c r="Y440" i="2"/>
  <c r="Z440" i="2"/>
  <c r="AA440" i="2"/>
  <c r="AB440" i="2"/>
  <c r="AD440" i="2"/>
  <c r="AF440" i="2"/>
  <c r="AG440" i="2"/>
  <c r="AH440" i="2"/>
  <c r="AJ440" i="2"/>
  <c r="AK440" i="2"/>
  <c r="AL440" i="2"/>
  <c r="AM440" i="2"/>
  <c r="AN440" i="2"/>
  <c r="S441" i="2"/>
  <c r="T441" i="2"/>
  <c r="U441" i="2"/>
  <c r="W441" i="2"/>
  <c r="X441" i="2"/>
  <c r="Y441" i="2"/>
  <c r="Z441" i="2"/>
  <c r="AA441" i="2"/>
  <c r="AB441" i="2"/>
  <c r="AD441" i="2"/>
  <c r="AF441" i="2"/>
  <c r="AG441" i="2"/>
  <c r="AH441" i="2"/>
  <c r="AJ441" i="2"/>
  <c r="AK441" i="2"/>
  <c r="AL441" i="2"/>
  <c r="AM441" i="2"/>
  <c r="AN441" i="2"/>
  <c r="S442" i="2"/>
  <c r="T442" i="2"/>
  <c r="U442" i="2"/>
  <c r="W442" i="2"/>
  <c r="X442" i="2"/>
  <c r="Y442" i="2"/>
  <c r="Z442" i="2"/>
  <c r="AA442" i="2"/>
  <c r="AB442" i="2"/>
  <c r="AD442" i="2"/>
  <c r="AF442" i="2"/>
  <c r="AG442" i="2"/>
  <c r="AH442" i="2"/>
  <c r="AJ442" i="2"/>
  <c r="AK442" i="2"/>
  <c r="AL442" i="2"/>
  <c r="AM442" i="2"/>
  <c r="AN442" i="2"/>
  <c r="AN443" i="2"/>
  <c r="AN444" i="2"/>
  <c r="S445" i="2"/>
  <c r="T445" i="2"/>
  <c r="U445" i="2"/>
  <c r="W445" i="2"/>
  <c r="X445" i="2"/>
  <c r="Y445" i="2"/>
  <c r="Z445" i="2"/>
  <c r="AA445" i="2"/>
  <c r="AB445" i="2"/>
  <c r="AD445" i="2"/>
  <c r="AF445" i="2"/>
  <c r="AG445" i="2"/>
  <c r="AH445" i="2"/>
  <c r="AJ445" i="2"/>
  <c r="AK445" i="2"/>
  <c r="AL445" i="2"/>
  <c r="AM445" i="2"/>
  <c r="AN445" i="2"/>
  <c r="S446" i="2"/>
  <c r="T446" i="2"/>
  <c r="U446" i="2"/>
  <c r="W446" i="2"/>
  <c r="X446" i="2"/>
  <c r="Y446" i="2"/>
  <c r="Z446" i="2"/>
  <c r="AA446" i="2"/>
  <c r="AB446" i="2"/>
  <c r="AD446" i="2"/>
  <c r="AF446" i="2"/>
  <c r="AG446" i="2"/>
  <c r="AH446" i="2"/>
  <c r="AJ446" i="2"/>
  <c r="AK446" i="2"/>
  <c r="AL446" i="2"/>
  <c r="AM446" i="2"/>
  <c r="AN446" i="2"/>
  <c r="S447" i="2"/>
  <c r="T447" i="2"/>
  <c r="U447" i="2"/>
  <c r="W447" i="2"/>
  <c r="X447" i="2"/>
  <c r="Y447" i="2"/>
  <c r="Z447" i="2"/>
  <c r="AA447" i="2"/>
  <c r="AB447" i="2"/>
  <c r="AD447" i="2"/>
  <c r="AF447" i="2"/>
  <c r="AG447" i="2"/>
  <c r="AH447" i="2"/>
  <c r="AJ447" i="2"/>
  <c r="AK447" i="2"/>
  <c r="AL447" i="2"/>
  <c r="AM447" i="2"/>
  <c r="AN447" i="2"/>
  <c r="S448" i="2"/>
  <c r="T448" i="2"/>
  <c r="U448" i="2"/>
  <c r="W448" i="2"/>
  <c r="X448" i="2"/>
  <c r="Y448" i="2"/>
  <c r="Z448" i="2"/>
  <c r="AA448" i="2"/>
  <c r="AB448" i="2"/>
  <c r="AD448" i="2"/>
  <c r="AF448" i="2"/>
  <c r="AG448" i="2"/>
  <c r="AH448" i="2"/>
  <c r="AJ448" i="2"/>
  <c r="AK448" i="2"/>
  <c r="AL448" i="2"/>
  <c r="AM448" i="2"/>
  <c r="AN448" i="2"/>
  <c r="S449" i="2"/>
  <c r="T449" i="2"/>
  <c r="U449" i="2"/>
  <c r="W449" i="2"/>
  <c r="X449" i="2"/>
  <c r="Y449" i="2"/>
  <c r="Z449" i="2"/>
  <c r="AA449" i="2"/>
  <c r="AB449" i="2"/>
  <c r="AD449" i="2"/>
  <c r="AF449" i="2"/>
  <c r="AG449" i="2"/>
  <c r="AH449" i="2"/>
  <c r="AJ449" i="2"/>
  <c r="AK449" i="2"/>
  <c r="AL449" i="2"/>
  <c r="AM449" i="2"/>
  <c r="AN449" i="2"/>
  <c r="AN450" i="2"/>
  <c r="S451" i="2"/>
  <c r="T451" i="2"/>
  <c r="U451" i="2"/>
  <c r="W451" i="2"/>
  <c r="X451" i="2"/>
  <c r="Y451" i="2"/>
  <c r="Z451" i="2"/>
  <c r="AA451" i="2"/>
  <c r="AB451" i="2"/>
  <c r="AC451" i="2"/>
  <c r="AD451" i="2"/>
  <c r="AF451" i="2"/>
  <c r="AG451" i="2"/>
  <c r="AH451" i="2"/>
  <c r="AI451" i="2"/>
  <c r="AJ451" i="2"/>
  <c r="AK451" i="2"/>
  <c r="AL451" i="2"/>
  <c r="AM451" i="2"/>
  <c r="AN451" i="2"/>
  <c r="S452" i="2"/>
  <c r="T452" i="2"/>
  <c r="U452" i="2"/>
  <c r="W452" i="2"/>
  <c r="X452" i="2"/>
  <c r="Y452" i="2"/>
  <c r="Z452" i="2"/>
  <c r="AA452" i="2"/>
  <c r="AB452" i="2"/>
  <c r="AD452" i="2"/>
  <c r="AF452" i="2"/>
  <c r="AG452" i="2"/>
  <c r="AH452" i="2"/>
  <c r="AJ452" i="2"/>
  <c r="AK452" i="2"/>
  <c r="AL452" i="2"/>
  <c r="AM452" i="2"/>
  <c r="AN452" i="2"/>
  <c r="S453" i="2"/>
  <c r="T453" i="2"/>
  <c r="U453" i="2"/>
  <c r="W453" i="2"/>
  <c r="X453" i="2"/>
  <c r="Y453" i="2"/>
  <c r="Z453" i="2"/>
  <c r="AA453" i="2"/>
  <c r="AB453" i="2"/>
  <c r="AD453" i="2"/>
  <c r="AF453" i="2"/>
  <c r="AG453" i="2"/>
  <c r="AH453" i="2"/>
  <c r="AJ453" i="2"/>
  <c r="AK453" i="2"/>
  <c r="AL453" i="2"/>
  <c r="AM453" i="2"/>
  <c r="AN453" i="2"/>
  <c r="S454" i="2"/>
  <c r="T454" i="2"/>
  <c r="U454" i="2"/>
  <c r="W454" i="2"/>
  <c r="X454" i="2"/>
  <c r="Y454" i="2"/>
  <c r="Z454" i="2"/>
  <c r="AA454" i="2"/>
  <c r="AB454" i="2"/>
  <c r="AD454" i="2"/>
  <c r="AF454" i="2"/>
  <c r="AG454" i="2"/>
  <c r="AH454" i="2"/>
  <c r="AJ454" i="2"/>
  <c r="AK454" i="2"/>
  <c r="AL454" i="2"/>
  <c r="AM454" i="2"/>
  <c r="AN454" i="2"/>
  <c r="S455" i="2"/>
  <c r="T455" i="2"/>
  <c r="U455" i="2"/>
  <c r="W455" i="2"/>
  <c r="X455" i="2"/>
  <c r="Y455" i="2"/>
  <c r="Z455" i="2"/>
  <c r="AA455" i="2"/>
  <c r="AB455" i="2"/>
  <c r="AD455" i="2"/>
  <c r="AF455" i="2"/>
  <c r="AG455" i="2"/>
  <c r="AH455" i="2"/>
  <c r="AJ455" i="2"/>
  <c r="AK455" i="2"/>
  <c r="AL455" i="2"/>
  <c r="AM455" i="2"/>
  <c r="AN455" i="2"/>
  <c r="S456" i="2"/>
  <c r="T456" i="2"/>
  <c r="U456" i="2"/>
  <c r="W456" i="2"/>
  <c r="X456" i="2"/>
  <c r="Y456" i="2"/>
  <c r="Z456" i="2"/>
  <c r="AA456" i="2"/>
  <c r="AB456" i="2"/>
  <c r="AD456" i="2"/>
  <c r="AF456" i="2"/>
  <c r="AG456" i="2"/>
  <c r="AH456" i="2"/>
  <c r="AJ456" i="2"/>
  <c r="AK456" i="2"/>
  <c r="AL456" i="2"/>
  <c r="AM456" i="2"/>
  <c r="AN456" i="2"/>
  <c r="AN457" i="2"/>
  <c r="AN458" i="2"/>
  <c r="S459" i="2"/>
  <c r="T459" i="2"/>
  <c r="U459" i="2"/>
  <c r="W459" i="2"/>
  <c r="X459" i="2"/>
  <c r="Y459" i="2"/>
  <c r="Z459" i="2"/>
  <c r="AA459" i="2"/>
  <c r="AB459" i="2"/>
  <c r="AD459" i="2"/>
  <c r="AF459" i="2"/>
  <c r="AG459" i="2"/>
  <c r="AH459" i="2"/>
  <c r="AJ459" i="2"/>
  <c r="AK459" i="2"/>
  <c r="AL459" i="2"/>
  <c r="AM459" i="2"/>
  <c r="AN459" i="2"/>
  <c r="S460" i="2"/>
  <c r="T460" i="2"/>
  <c r="U460" i="2"/>
  <c r="W460" i="2"/>
  <c r="X460" i="2"/>
  <c r="Y460" i="2"/>
  <c r="Z460" i="2"/>
  <c r="AA460" i="2"/>
  <c r="AB460" i="2"/>
  <c r="AD460" i="2"/>
  <c r="AF460" i="2"/>
  <c r="AG460" i="2"/>
  <c r="AH460" i="2"/>
  <c r="AJ460" i="2"/>
  <c r="AK460" i="2"/>
  <c r="AL460" i="2"/>
  <c r="AM460" i="2"/>
  <c r="AN460" i="2"/>
  <c r="AN461" i="2"/>
  <c r="S462" i="2"/>
  <c r="T462" i="2"/>
  <c r="U462" i="2"/>
  <c r="W462" i="2"/>
  <c r="X462" i="2"/>
  <c r="Y462" i="2"/>
  <c r="Z462" i="2"/>
  <c r="AA462" i="2"/>
  <c r="AB462" i="2"/>
  <c r="AD462" i="2"/>
  <c r="AF462" i="2"/>
  <c r="AG462" i="2"/>
  <c r="AH462" i="2"/>
  <c r="AJ462" i="2"/>
  <c r="AK462" i="2"/>
  <c r="AL462" i="2"/>
  <c r="AM462" i="2"/>
  <c r="AN462" i="2"/>
  <c r="S463" i="2"/>
  <c r="T463" i="2"/>
  <c r="U463" i="2"/>
  <c r="W463" i="2"/>
  <c r="X463" i="2"/>
  <c r="Y463" i="2"/>
  <c r="Z463" i="2"/>
  <c r="AA463" i="2"/>
  <c r="AB463" i="2"/>
  <c r="AD463" i="2"/>
  <c r="AF463" i="2"/>
  <c r="AG463" i="2"/>
  <c r="AH463" i="2"/>
  <c r="AJ463" i="2"/>
  <c r="AK463" i="2"/>
  <c r="AL463" i="2"/>
  <c r="AM463" i="2"/>
  <c r="AN463" i="2"/>
  <c r="S464" i="2"/>
  <c r="T464" i="2"/>
  <c r="U464" i="2"/>
  <c r="W464" i="2"/>
  <c r="X464" i="2"/>
  <c r="Y464" i="2"/>
  <c r="Z464" i="2"/>
  <c r="AA464" i="2"/>
  <c r="AB464" i="2"/>
  <c r="AD464" i="2"/>
  <c r="AF464" i="2"/>
  <c r="AG464" i="2"/>
  <c r="AH464" i="2"/>
  <c r="AJ464" i="2"/>
  <c r="AK464" i="2"/>
  <c r="AL464" i="2"/>
  <c r="AM464" i="2"/>
  <c r="AN464" i="2"/>
  <c r="S465" i="2"/>
  <c r="T465" i="2"/>
  <c r="U465" i="2"/>
  <c r="W465" i="2"/>
  <c r="X465" i="2"/>
  <c r="Y465" i="2"/>
  <c r="Z465" i="2"/>
  <c r="AA465" i="2"/>
  <c r="AB465" i="2"/>
  <c r="AD465" i="2"/>
  <c r="AF465" i="2"/>
  <c r="AG465" i="2"/>
  <c r="AH465" i="2"/>
  <c r="AJ465" i="2"/>
  <c r="AK465" i="2"/>
  <c r="AL465" i="2"/>
  <c r="AM465" i="2"/>
  <c r="AN465" i="2"/>
  <c r="S466" i="2"/>
  <c r="T466" i="2"/>
  <c r="U466" i="2"/>
  <c r="W466" i="2"/>
  <c r="X466" i="2"/>
  <c r="Y466" i="2"/>
  <c r="Z466" i="2"/>
  <c r="AA466" i="2"/>
  <c r="AB466" i="2"/>
  <c r="AD466" i="2"/>
  <c r="AF466" i="2"/>
  <c r="AG466" i="2"/>
  <c r="AH466" i="2"/>
  <c r="AJ466" i="2"/>
  <c r="AK466" i="2"/>
  <c r="AL466" i="2"/>
  <c r="AM466" i="2"/>
  <c r="AN466" i="2"/>
  <c r="AN467" i="2"/>
  <c r="S468" i="2"/>
  <c r="T468" i="2"/>
  <c r="U468" i="2"/>
  <c r="W468" i="2"/>
  <c r="X468" i="2"/>
  <c r="Y468" i="2"/>
  <c r="Z468" i="2"/>
  <c r="AA468" i="2"/>
  <c r="AB468" i="2"/>
  <c r="AD468" i="2"/>
  <c r="AF468" i="2"/>
  <c r="AG468" i="2"/>
  <c r="AH468" i="2"/>
  <c r="AJ468" i="2"/>
  <c r="AK468" i="2"/>
  <c r="AL468" i="2"/>
  <c r="AM468" i="2"/>
  <c r="AN468" i="2"/>
  <c r="S469" i="2"/>
  <c r="T469" i="2"/>
  <c r="U469" i="2"/>
  <c r="W469" i="2"/>
  <c r="X469" i="2"/>
  <c r="Y469" i="2"/>
  <c r="Z469" i="2"/>
  <c r="AA469" i="2"/>
  <c r="AB469" i="2"/>
  <c r="AD469" i="2"/>
  <c r="AF469" i="2"/>
  <c r="AG469" i="2"/>
  <c r="AH469" i="2"/>
  <c r="AJ469" i="2"/>
  <c r="AK469" i="2"/>
  <c r="AL469" i="2"/>
  <c r="AM469" i="2"/>
  <c r="AN469" i="2"/>
  <c r="AH470" i="2"/>
  <c r="AI470" i="2"/>
  <c r="AJ470" i="2"/>
  <c r="AK470" i="2"/>
  <c r="AL470" i="2"/>
  <c r="AM470" i="2"/>
  <c r="AN470" i="2"/>
  <c r="U471" i="2"/>
  <c r="W471" i="2"/>
  <c r="X471" i="2"/>
  <c r="Y471" i="2"/>
  <c r="AA471" i="2"/>
  <c r="AH471" i="2"/>
  <c r="AI471" i="2"/>
  <c r="AJ471" i="2"/>
  <c r="AK471" i="2"/>
  <c r="AL471" i="2"/>
  <c r="AM471" i="2"/>
  <c r="AN471" i="2"/>
  <c r="U472" i="2"/>
  <c r="W472" i="2"/>
  <c r="X472" i="2"/>
  <c r="Y472" i="2"/>
  <c r="AA472" i="2"/>
  <c r="AH472" i="2"/>
  <c r="AI472" i="2"/>
  <c r="AJ472" i="2"/>
  <c r="AK472" i="2"/>
  <c r="AL472" i="2"/>
  <c r="AM472" i="2"/>
  <c r="AN472" i="2"/>
  <c r="U473" i="2"/>
  <c r="W473" i="2"/>
  <c r="X473" i="2"/>
  <c r="Y473" i="2"/>
  <c r="AA473" i="2"/>
  <c r="AH473" i="2"/>
  <c r="AI473" i="2"/>
  <c r="AJ473" i="2"/>
  <c r="AK473" i="2"/>
  <c r="AL473" i="2"/>
  <c r="AM473" i="2"/>
  <c r="AN473" i="2"/>
  <c r="U474" i="2"/>
  <c r="W474" i="2"/>
  <c r="X474" i="2"/>
  <c r="Y474" i="2"/>
  <c r="AA474" i="2"/>
  <c r="AB474" i="2"/>
  <c r="AC474" i="2"/>
  <c r="AD474" i="2"/>
  <c r="AE474" i="2"/>
  <c r="AF474" i="2"/>
  <c r="AH474" i="2"/>
  <c r="AI474" i="2"/>
  <c r="AJ474" i="2"/>
  <c r="AK474" i="2"/>
  <c r="AL474" i="2"/>
  <c r="AM474" i="2"/>
  <c r="AN474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U476" i="2"/>
  <c r="W476" i="2"/>
  <c r="X476" i="2"/>
  <c r="Y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U477" i="2"/>
  <c r="W477" i="2"/>
  <c r="X477" i="2"/>
  <c r="Y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U478" i="2"/>
  <c r="W478" i="2"/>
  <c r="X478" i="2"/>
  <c r="Y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U479" i="2"/>
  <c r="W479" i="2"/>
  <c r="X479" i="2"/>
  <c r="Y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U482" i="2"/>
  <c r="W482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W483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U484" i="2"/>
  <c r="W484" i="2"/>
  <c r="X484" i="2"/>
  <c r="Y484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U485" i="2"/>
  <c r="W485" i="2"/>
  <c r="X485" i="2"/>
  <c r="Y485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U486" i="2"/>
  <c r="W486" i="2"/>
  <c r="X486" i="2"/>
  <c r="Y486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U488" i="2"/>
  <c r="W488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U489" i="2"/>
  <c r="W489" i="2"/>
  <c r="X489" i="2"/>
  <c r="Y489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U490" i="2"/>
  <c r="V490" i="2"/>
  <c r="Y490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U491" i="2"/>
  <c r="W491" i="2"/>
  <c r="X491" i="2"/>
  <c r="Y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U492" i="2"/>
  <c r="W492" i="2"/>
  <c r="X492" i="2"/>
  <c r="Y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U493" i="2"/>
  <c r="W493" i="2"/>
  <c r="X493" i="2"/>
  <c r="Y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U494" i="2"/>
  <c r="W494" i="2"/>
  <c r="X494" i="2"/>
  <c r="Y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Q496" i="2"/>
  <c r="R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U497" i="2"/>
  <c r="W497" i="2"/>
  <c r="X497" i="2"/>
  <c r="Y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U498" i="2"/>
  <c r="W498" i="2"/>
  <c r="X498" i="2"/>
  <c r="Y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U499" i="2"/>
  <c r="W499" i="2"/>
  <c r="X499" i="2"/>
  <c r="Y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Q500" i="2"/>
  <c r="R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U501" i="2"/>
  <c r="W501" i="2"/>
  <c r="X501" i="2"/>
  <c r="Y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U502" i="2"/>
  <c r="W502" i="2"/>
  <c r="X502" i="2"/>
  <c r="Y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U503" i="2"/>
  <c r="W503" i="2"/>
  <c r="X503" i="2"/>
  <c r="Y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U504" i="2"/>
  <c r="W504" i="2"/>
  <c r="X504" i="2"/>
  <c r="Y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Q505" i="2"/>
  <c r="R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U506" i="2"/>
  <c r="W506" i="2"/>
  <c r="X506" i="2"/>
  <c r="Y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U507" i="2"/>
  <c r="W507" i="2"/>
  <c r="X507" i="2"/>
  <c r="Y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U508" i="2"/>
  <c r="W508" i="2"/>
  <c r="X508" i="2"/>
  <c r="Y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U509" i="2"/>
  <c r="W509" i="2"/>
  <c r="X509" i="2"/>
  <c r="Y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U510" i="2"/>
  <c r="V510" i="2"/>
  <c r="Y510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E511" i="2"/>
  <c r="AF511" i="2"/>
  <c r="AG511" i="2"/>
  <c r="AH511" i="2"/>
  <c r="AI511" i="2"/>
  <c r="AJ511" i="2"/>
  <c r="AK511" i="2"/>
  <c r="AL511" i="2"/>
  <c r="AM511" i="2"/>
  <c r="AN511" i="2"/>
  <c r="U512" i="2"/>
  <c r="W512" i="2"/>
  <c r="X512" i="2"/>
  <c r="Y512" i="2"/>
  <c r="Z512" i="2"/>
  <c r="AA512" i="2"/>
  <c r="AB512" i="2"/>
  <c r="AE512" i="2"/>
  <c r="AF512" i="2"/>
  <c r="AG512" i="2"/>
  <c r="AH512" i="2"/>
  <c r="AI512" i="2"/>
  <c r="AJ512" i="2"/>
  <c r="AK512" i="2"/>
  <c r="AL512" i="2"/>
  <c r="AM512" i="2"/>
  <c r="AN512" i="2"/>
  <c r="AH513" i="2"/>
  <c r="AI513" i="2"/>
  <c r="AJ513" i="2"/>
  <c r="AK513" i="2"/>
  <c r="AL513" i="2"/>
  <c r="AM513" i="2"/>
  <c r="AN513" i="2"/>
  <c r="U514" i="2"/>
  <c r="W514" i="2"/>
  <c r="X514" i="2"/>
  <c r="Y514" i="2"/>
  <c r="Z514" i="2"/>
  <c r="AA514" i="2"/>
  <c r="AB514" i="2"/>
  <c r="AE514" i="2"/>
  <c r="AF514" i="2"/>
  <c r="AG514" i="2"/>
  <c r="AH514" i="2"/>
  <c r="AI514" i="2"/>
  <c r="AJ514" i="2"/>
  <c r="AK514" i="2"/>
  <c r="AL514" i="2"/>
  <c r="AM514" i="2"/>
  <c r="AN514" i="2"/>
  <c r="AH515" i="2"/>
  <c r="AI515" i="2"/>
  <c r="AJ515" i="2"/>
  <c r="AK515" i="2"/>
  <c r="AL515" i="2"/>
  <c r="AM515" i="2"/>
  <c r="AN515" i="2"/>
  <c r="U516" i="2"/>
  <c r="W516" i="2"/>
  <c r="X516" i="2"/>
  <c r="Y516" i="2"/>
  <c r="Z516" i="2"/>
  <c r="AA516" i="2"/>
  <c r="AB516" i="2"/>
  <c r="AE516" i="2"/>
  <c r="AF516" i="2"/>
  <c r="AG516" i="2"/>
  <c r="AH516" i="2"/>
  <c r="AI516" i="2"/>
  <c r="AJ516" i="2"/>
  <c r="AK516" i="2"/>
  <c r="AL516" i="2"/>
  <c r="AM516" i="2"/>
  <c r="AN516" i="2"/>
  <c r="U517" i="2"/>
  <c r="W517" i="2"/>
  <c r="X517" i="2"/>
  <c r="Y517" i="2"/>
  <c r="Z517" i="2"/>
  <c r="AA517" i="2"/>
  <c r="AB517" i="2"/>
  <c r="AE517" i="2"/>
  <c r="AF517" i="2"/>
  <c r="AG517" i="2"/>
  <c r="AH517" i="2"/>
  <c r="AI517" i="2"/>
  <c r="AJ517" i="2"/>
  <c r="AK517" i="2"/>
  <c r="AL517" i="2"/>
  <c r="AM517" i="2"/>
  <c r="AN517" i="2"/>
  <c r="U518" i="2"/>
  <c r="W518" i="2"/>
  <c r="X518" i="2"/>
  <c r="Y518" i="2"/>
  <c r="Z518" i="2"/>
  <c r="AA518" i="2"/>
  <c r="AB518" i="2"/>
  <c r="AE518" i="2"/>
  <c r="AF518" i="2"/>
  <c r="AG518" i="2"/>
  <c r="AH518" i="2"/>
  <c r="AI518" i="2"/>
  <c r="AJ518" i="2"/>
  <c r="AK518" i="2"/>
  <c r="AL518" i="2"/>
  <c r="AM518" i="2"/>
  <c r="AN518" i="2"/>
  <c r="U519" i="2"/>
  <c r="W519" i="2"/>
  <c r="X519" i="2"/>
  <c r="Y519" i="2"/>
  <c r="Z519" i="2"/>
  <c r="AA519" i="2"/>
  <c r="AB519" i="2"/>
  <c r="AE519" i="2"/>
  <c r="AF519" i="2"/>
  <c r="AG519" i="2"/>
  <c r="AH519" i="2"/>
  <c r="AI519" i="2"/>
  <c r="AJ519" i="2"/>
  <c r="AK519" i="2"/>
  <c r="AL519" i="2"/>
  <c r="AM519" i="2"/>
  <c r="AN519" i="2"/>
  <c r="U520" i="2"/>
  <c r="W520" i="2"/>
  <c r="X520" i="2"/>
  <c r="Y520" i="2"/>
  <c r="Z520" i="2"/>
  <c r="AA520" i="2"/>
  <c r="AB520" i="2"/>
  <c r="AE520" i="2"/>
  <c r="AF520" i="2"/>
  <c r="AG520" i="2"/>
  <c r="AH520" i="2"/>
  <c r="AI520" i="2"/>
  <c r="AJ520" i="2"/>
  <c r="AK520" i="2"/>
  <c r="AL520" i="2"/>
  <c r="AM520" i="2"/>
  <c r="AN520" i="2"/>
  <c r="U521" i="2"/>
  <c r="W521" i="2"/>
  <c r="X521" i="2"/>
  <c r="Y521" i="2"/>
  <c r="Z521" i="2"/>
  <c r="AA521" i="2"/>
  <c r="AE521" i="2"/>
  <c r="AF521" i="2"/>
  <c r="AG521" i="2"/>
  <c r="AH521" i="2"/>
  <c r="AI521" i="2"/>
  <c r="AJ521" i="2"/>
  <c r="AK521" i="2"/>
  <c r="AL521" i="2"/>
  <c r="AM521" i="2"/>
  <c r="AN521" i="2"/>
  <c r="U522" i="2"/>
  <c r="W522" i="2"/>
  <c r="X522" i="2"/>
  <c r="Y522" i="2"/>
  <c r="Z522" i="2"/>
  <c r="AA522" i="2"/>
  <c r="AB522" i="2"/>
  <c r="AE522" i="2"/>
  <c r="AF522" i="2"/>
  <c r="AG522" i="2"/>
  <c r="AH522" i="2"/>
  <c r="AI522" i="2"/>
  <c r="AJ522" i="2"/>
  <c r="AK522" i="2"/>
  <c r="AL522" i="2"/>
  <c r="AM522" i="2"/>
  <c r="AN522" i="2"/>
  <c r="AH523" i="2"/>
  <c r="AI523" i="2"/>
  <c r="AJ523" i="2"/>
  <c r="AK523" i="2"/>
  <c r="AL523" i="2"/>
  <c r="AM523" i="2"/>
  <c r="AN523" i="2"/>
  <c r="U524" i="2"/>
  <c r="W524" i="2"/>
  <c r="X524" i="2"/>
  <c r="Y524" i="2"/>
  <c r="Z524" i="2"/>
  <c r="AA524" i="2"/>
  <c r="AB524" i="2"/>
  <c r="AE524" i="2"/>
  <c r="AF524" i="2"/>
  <c r="AG524" i="2"/>
  <c r="AH524" i="2"/>
  <c r="AI524" i="2"/>
  <c r="AJ524" i="2"/>
  <c r="AK524" i="2"/>
  <c r="AL524" i="2"/>
  <c r="AM524" i="2"/>
  <c r="AN524" i="2"/>
  <c r="U525" i="2"/>
  <c r="W525" i="2"/>
  <c r="X525" i="2"/>
  <c r="Y525" i="2"/>
  <c r="Z525" i="2"/>
  <c r="AA525" i="2"/>
  <c r="AB525" i="2"/>
  <c r="AE525" i="2"/>
  <c r="AF525" i="2"/>
  <c r="AG525" i="2"/>
  <c r="AH525" i="2"/>
  <c r="AI525" i="2"/>
  <c r="AJ525" i="2"/>
  <c r="AK525" i="2"/>
  <c r="AL525" i="2"/>
  <c r="AM525" i="2"/>
  <c r="AN525" i="2"/>
  <c r="U526" i="2"/>
  <c r="W526" i="2"/>
  <c r="X526" i="2"/>
  <c r="Y526" i="2"/>
  <c r="Z526" i="2"/>
  <c r="AA526" i="2"/>
  <c r="AB526" i="2"/>
  <c r="AE526" i="2"/>
  <c r="AF526" i="2"/>
  <c r="AG526" i="2"/>
  <c r="AH526" i="2"/>
  <c r="AI526" i="2"/>
  <c r="AJ526" i="2"/>
  <c r="AK526" i="2"/>
  <c r="AL526" i="2"/>
  <c r="AM526" i="2"/>
  <c r="AN526" i="2"/>
  <c r="U527" i="2"/>
  <c r="W527" i="2"/>
  <c r="X527" i="2"/>
  <c r="Y527" i="2"/>
  <c r="Z527" i="2"/>
  <c r="AA527" i="2"/>
  <c r="AB527" i="2"/>
  <c r="AE527" i="2"/>
  <c r="AF527" i="2"/>
  <c r="AG527" i="2"/>
  <c r="AH527" i="2"/>
  <c r="AI527" i="2"/>
  <c r="AJ527" i="2"/>
  <c r="AK527" i="2"/>
  <c r="AL527" i="2"/>
  <c r="AM527" i="2"/>
  <c r="AN527" i="2"/>
  <c r="U528" i="2"/>
  <c r="W528" i="2"/>
  <c r="X528" i="2"/>
  <c r="Y528" i="2"/>
  <c r="Z528" i="2"/>
  <c r="AA528" i="2"/>
  <c r="AB528" i="2"/>
  <c r="AE528" i="2"/>
  <c r="AF528" i="2"/>
  <c r="AG528" i="2"/>
  <c r="AH528" i="2"/>
  <c r="AI528" i="2"/>
  <c r="AJ528" i="2"/>
  <c r="AK528" i="2"/>
  <c r="AL528" i="2"/>
  <c r="AM528" i="2"/>
  <c r="AN528" i="2"/>
  <c r="AH529" i="2"/>
  <c r="AI529" i="2"/>
  <c r="AJ529" i="2"/>
  <c r="AK529" i="2"/>
  <c r="AL529" i="2"/>
  <c r="AM529" i="2"/>
  <c r="AN529" i="2"/>
  <c r="U530" i="2"/>
  <c r="W530" i="2"/>
  <c r="X530" i="2"/>
  <c r="Y530" i="2"/>
  <c r="Z530" i="2"/>
  <c r="AA530" i="2"/>
  <c r="AB530" i="2"/>
  <c r="AE530" i="2"/>
  <c r="AF530" i="2"/>
  <c r="AG530" i="2"/>
  <c r="AH530" i="2"/>
  <c r="AI530" i="2"/>
  <c r="AJ530" i="2"/>
  <c r="AK530" i="2"/>
  <c r="AL530" i="2"/>
  <c r="AM530" i="2"/>
  <c r="AN530" i="2"/>
  <c r="U531" i="2"/>
  <c r="W531" i="2"/>
  <c r="X531" i="2"/>
  <c r="Y531" i="2"/>
  <c r="Z531" i="2"/>
  <c r="AA531" i="2"/>
  <c r="AB531" i="2"/>
  <c r="AE531" i="2"/>
  <c r="AF531" i="2"/>
  <c r="AG531" i="2"/>
  <c r="AH531" i="2"/>
  <c r="AI531" i="2"/>
  <c r="AJ531" i="2"/>
  <c r="AK531" i="2"/>
  <c r="AL531" i="2"/>
  <c r="AM531" i="2"/>
  <c r="AN531" i="2"/>
  <c r="U532" i="2"/>
  <c r="W532" i="2"/>
  <c r="X532" i="2"/>
  <c r="Y532" i="2"/>
  <c r="Z532" i="2"/>
  <c r="AA532" i="2"/>
  <c r="AB532" i="2"/>
  <c r="AE532" i="2"/>
  <c r="AF532" i="2"/>
  <c r="AG532" i="2"/>
  <c r="AH532" i="2"/>
  <c r="AI532" i="2"/>
  <c r="AJ532" i="2"/>
  <c r="AK532" i="2"/>
  <c r="AL532" i="2"/>
  <c r="AM532" i="2"/>
  <c r="AN532" i="2"/>
  <c r="U533" i="2"/>
  <c r="W533" i="2"/>
  <c r="X533" i="2"/>
  <c r="Y533" i="2"/>
  <c r="Z533" i="2"/>
  <c r="AA533" i="2"/>
  <c r="AB533" i="2"/>
  <c r="AE533" i="2"/>
  <c r="AF533" i="2"/>
  <c r="AG533" i="2"/>
  <c r="AH533" i="2"/>
  <c r="AI533" i="2"/>
  <c r="AJ533" i="2"/>
  <c r="AK533" i="2"/>
  <c r="AL533" i="2"/>
  <c r="AM533" i="2"/>
  <c r="AN533" i="2"/>
  <c r="U534" i="2"/>
  <c r="W534" i="2"/>
  <c r="X534" i="2"/>
  <c r="Y534" i="2"/>
  <c r="Z534" i="2"/>
  <c r="AA534" i="2"/>
  <c r="AB534" i="2"/>
  <c r="AD534" i="2"/>
  <c r="AE534" i="2"/>
  <c r="AF534" i="2"/>
  <c r="AG534" i="2"/>
  <c r="AH534" i="2"/>
  <c r="AI534" i="2"/>
  <c r="AJ534" i="2"/>
  <c r="AK534" i="2"/>
  <c r="AL534" i="2"/>
  <c r="AM534" i="2"/>
  <c r="AN534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U537" i="2"/>
  <c r="W537" i="2"/>
  <c r="X537" i="2"/>
  <c r="Y537" i="2"/>
  <c r="AA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U538" i="2"/>
  <c r="W538" i="2"/>
  <c r="X538" i="2"/>
  <c r="Y538" i="2"/>
  <c r="AA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U540" i="2"/>
  <c r="W540" i="2"/>
  <c r="X540" i="2"/>
  <c r="Y540" i="2"/>
  <c r="AA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U541" i="2"/>
  <c r="W541" i="2"/>
  <c r="X541" i="2"/>
  <c r="Y541" i="2"/>
  <c r="AA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U542" i="2"/>
  <c r="W542" i="2"/>
  <c r="X542" i="2"/>
  <c r="Y542" i="2"/>
  <c r="AA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U543" i="2"/>
  <c r="W543" i="2"/>
  <c r="X543" i="2"/>
  <c r="Y543" i="2"/>
  <c r="AA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U544" i="2"/>
  <c r="W544" i="2"/>
  <c r="X544" i="2"/>
  <c r="Y544" i="2"/>
  <c r="AA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U545" i="2"/>
  <c r="W545" i="2"/>
  <c r="X545" i="2"/>
  <c r="Y545" i="2"/>
  <c r="AA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U546" i="2"/>
  <c r="W546" i="2"/>
  <c r="X546" i="2"/>
  <c r="Y546" i="2"/>
  <c r="AA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U548" i="2"/>
  <c r="V548" i="2"/>
  <c r="W548" i="2"/>
  <c r="X548" i="2"/>
  <c r="Y548" i="2"/>
  <c r="Z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U549" i="2"/>
  <c r="V549" i="2"/>
  <c r="W549" i="2"/>
  <c r="X549" i="2"/>
  <c r="Y549" i="2"/>
  <c r="Z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U550" i="2"/>
  <c r="V550" i="2"/>
  <c r="W550" i="2"/>
  <c r="X550" i="2"/>
  <c r="Y550" i="2"/>
  <c r="Z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U551" i="2"/>
  <c r="V551" i="2"/>
  <c r="W551" i="2"/>
  <c r="X551" i="2"/>
  <c r="Y551" i="2"/>
  <c r="Z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U552" i="2"/>
  <c r="V552" i="2"/>
  <c r="W552" i="2"/>
  <c r="X552" i="2"/>
  <c r="Y552" i="2"/>
  <c r="Z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U553" i="2"/>
  <c r="V553" i="2"/>
  <c r="W553" i="2"/>
  <c r="X553" i="2"/>
  <c r="Y553" i="2"/>
  <c r="Z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U554" i="2"/>
  <c r="V554" i="2"/>
  <c r="W554" i="2"/>
  <c r="X554" i="2"/>
  <c r="Y554" i="2"/>
  <c r="Z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U555" i="2"/>
  <c r="V555" i="2"/>
  <c r="W555" i="2"/>
  <c r="X555" i="2"/>
  <c r="Y555" i="2"/>
  <c r="Z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U557" i="2"/>
  <c r="W557" i="2"/>
  <c r="X557" i="2"/>
  <c r="Y557" i="2"/>
  <c r="Z557" i="2"/>
  <c r="AA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U559" i="2"/>
  <c r="W559" i="2"/>
  <c r="X559" i="2"/>
  <c r="Y559" i="2"/>
  <c r="Z559" i="2"/>
  <c r="AA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U560" i="2"/>
  <c r="W560" i="2"/>
  <c r="Y560" i="2"/>
  <c r="Z560" i="2"/>
  <c r="AA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U561" i="2"/>
  <c r="W561" i="2"/>
  <c r="X561" i="2"/>
  <c r="Y561" i="2"/>
  <c r="Z561" i="2"/>
  <c r="AA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U562" i="2"/>
  <c r="W562" i="2"/>
  <c r="X562" i="2"/>
  <c r="Y562" i="2"/>
  <c r="Z562" i="2"/>
  <c r="AA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U563" i="2"/>
  <c r="W563" i="2"/>
  <c r="X563" i="2"/>
  <c r="Y563" i="2"/>
  <c r="Z563" i="2"/>
  <c r="AA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U565" i="2"/>
  <c r="W565" i="2"/>
  <c r="X565" i="2"/>
  <c r="Y565" i="2"/>
  <c r="Z565" i="2"/>
  <c r="AA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U566" i="2"/>
  <c r="W566" i="2"/>
  <c r="X566" i="2"/>
  <c r="Y566" i="2"/>
  <c r="Z566" i="2"/>
  <c r="AA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U567" i="2"/>
  <c r="W567" i="2"/>
  <c r="X567" i="2"/>
  <c r="Y567" i="2"/>
  <c r="Z567" i="2"/>
  <c r="AA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U568" i="2"/>
  <c r="W568" i="2"/>
  <c r="X568" i="2"/>
  <c r="Y568" i="2"/>
  <c r="Z568" i="2"/>
  <c r="AA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U569" i="2"/>
  <c r="W569" i="2"/>
  <c r="X569" i="2"/>
  <c r="Y569" i="2"/>
  <c r="Z569" i="2"/>
  <c r="AA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U570" i="2"/>
  <c r="W570" i="2"/>
  <c r="X570" i="2"/>
  <c r="Y570" i="2"/>
  <c r="Z570" i="2"/>
  <c r="AA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U573" i="2"/>
  <c r="W573" i="2"/>
  <c r="X573" i="2"/>
  <c r="Y573" i="2"/>
  <c r="AA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U574" i="2"/>
  <c r="W574" i="2"/>
  <c r="X574" i="2"/>
  <c r="Y574" i="2"/>
  <c r="AA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U576" i="2"/>
  <c r="W576" i="2"/>
  <c r="X576" i="2"/>
  <c r="Y576" i="2"/>
  <c r="AA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U577" i="2"/>
  <c r="W577" i="2"/>
  <c r="X577" i="2"/>
  <c r="Y577" i="2"/>
  <c r="AA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U578" i="2"/>
  <c r="W578" i="2"/>
  <c r="X578" i="2"/>
  <c r="Y578" i="2"/>
  <c r="AA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U579" i="2"/>
  <c r="W579" i="2"/>
  <c r="X579" i="2"/>
  <c r="Y579" i="2"/>
  <c r="AA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U580" i="2"/>
  <c r="W580" i="2"/>
  <c r="X580" i="2"/>
  <c r="Y580" i="2"/>
  <c r="AA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Q581" i="2"/>
  <c r="R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U582" i="2"/>
  <c r="W582" i="2"/>
  <c r="X582" i="2"/>
  <c r="Y582" i="2"/>
  <c r="AA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U583" i="2"/>
  <c r="W583" i="2"/>
  <c r="Y583" i="2"/>
  <c r="AA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U584" i="2"/>
  <c r="W584" i="2"/>
  <c r="X584" i="2"/>
  <c r="Y584" i="2"/>
  <c r="AA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U587" i="2"/>
  <c r="W587" i="2"/>
  <c r="X587" i="2"/>
  <c r="Y587" i="2"/>
  <c r="AA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U588" i="2"/>
  <c r="W588" i="2"/>
  <c r="X588" i="2"/>
  <c r="Y588" i="2"/>
  <c r="AA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U589" i="2"/>
  <c r="W589" i="2"/>
  <c r="X589" i="2"/>
  <c r="Y589" i="2"/>
  <c r="AA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U590" i="2"/>
  <c r="W590" i="2"/>
  <c r="X590" i="2"/>
  <c r="Y590" i="2"/>
  <c r="AA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U591" i="2"/>
  <c r="W591" i="2"/>
  <c r="X591" i="2"/>
  <c r="Y591" i="2"/>
  <c r="AA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N592" i="2"/>
  <c r="S593" i="2"/>
  <c r="U593" i="2"/>
  <c r="W593" i="2"/>
  <c r="X593" i="2"/>
  <c r="Y593" i="2"/>
  <c r="Z593" i="2"/>
  <c r="AA593" i="2"/>
  <c r="AB593" i="2"/>
  <c r="AC593" i="2"/>
  <c r="AE593" i="2"/>
  <c r="AF593" i="2"/>
  <c r="AG593" i="2"/>
  <c r="AH593" i="2"/>
  <c r="AI593" i="2"/>
  <c r="AJ593" i="2"/>
  <c r="AM593" i="2"/>
  <c r="AN593" i="2"/>
  <c r="AN594" i="2"/>
  <c r="S595" i="2"/>
  <c r="U595" i="2"/>
  <c r="W595" i="2"/>
  <c r="X595" i="2"/>
  <c r="Y595" i="2"/>
  <c r="Z595" i="2"/>
  <c r="AA595" i="2"/>
  <c r="AB595" i="2"/>
  <c r="AC595" i="2"/>
  <c r="AE595" i="2"/>
  <c r="AF595" i="2"/>
  <c r="AG595" i="2"/>
  <c r="AH595" i="2"/>
  <c r="AI595" i="2"/>
  <c r="AJ595" i="2"/>
  <c r="AM595" i="2"/>
  <c r="AN595" i="2"/>
  <c r="S596" i="2"/>
  <c r="U596" i="2"/>
  <c r="W596" i="2"/>
  <c r="X596" i="2"/>
  <c r="Y596" i="2"/>
  <c r="Z596" i="2"/>
  <c r="AA596" i="2"/>
  <c r="AB596" i="2"/>
  <c r="AC596" i="2"/>
  <c r="AE596" i="2"/>
  <c r="AF596" i="2"/>
  <c r="AG596" i="2"/>
  <c r="AH596" i="2"/>
  <c r="AI596" i="2"/>
  <c r="AJ596" i="2"/>
  <c r="AM596" i="2"/>
  <c r="AN596" i="2"/>
  <c r="S597" i="2"/>
  <c r="U597" i="2"/>
  <c r="W597" i="2"/>
  <c r="X597" i="2"/>
  <c r="Y597" i="2"/>
  <c r="Z597" i="2"/>
  <c r="AA597" i="2"/>
  <c r="AB597" i="2"/>
  <c r="AC597" i="2"/>
  <c r="AE597" i="2"/>
  <c r="AF597" i="2"/>
  <c r="AG597" i="2"/>
  <c r="AH597" i="2"/>
  <c r="AI597" i="2"/>
  <c r="AJ597" i="2"/>
  <c r="AM597" i="2"/>
  <c r="AN597" i="2"/>
  <c r="S598" i="2"/>
  <c r="U598" i="2"/>
  <c r="W598" i="2"/>
  <c r="X598" i="2"/>
  <c r="Y598" i="2"/>
  <c r="Z598" i="2"/>
  <c r="AA598" i="2"/>
  <c r="AB598" i="2"/>
  <c r="AC598" i="2"/>
  <c r="AE598" i="2"/>
  <c r="AF598" i="2"/>
  <c r="AG598" i="2"/>
  <c r="AH598" i="2"/>
  <c r="AI598" i="2"/>
  <c r="AJ598" i="2"/>
  <c r="AM598" i="2"/>
  <c r="AN598" i="2"/>
  <c r="S599" i="2"/>
  <c r="U599" i="2"/>
  <c r="W599" i="2"/>
  <c r="X599" i="2"/>
  <c r="Y599" i="2"/>
  <c r="Z599" i="2"/>
  <c r="AA599" i="2"/>
  <c r="AB599" i="2"/>
  <c r="AC599" i="2"/>
  <c r="AE599" i="2"/>
  <c r="AF599" i="2"/>
  <c r="AG599" i="2"/>
  <c r="AH599" i="2"/>
  <c r="AI599" i="2"/>
  <c r="AJ599" i="2"/>
  <c r="AM599" i="2"/>
  <c r="AN599" i="2"/>
  <c r="AN600" i="2"/>
  <c r="S601" i="2"/>
  <c r="U601" i="2"/>
  <c r="W601" i="2"/>
  <c r="X601" i="2"/>
  <c r="Y601" i="2"/>
  <c r="Z601" i="2"/>
  <c r="AA601" i="2"/>
  <c r="AB601" i="2"/>
  <c r="AC601" i="2"/>
  <c r="AE601" i="2"/>
  <c r="AF601" i="2"/>
  <c r="AG601" i="2"/>
  <c r="AH601" i="2"/>
  <c r="AI601" i="2"/>
  <c r="AJ601" i="2"/>
  <c r="AM601" i="2"/>
  <c r="AN601" i="2"/>
  <c r="S602" i="2"/>
  <c r="U602" i="2"/>
  <c r="W602" i="2"/>
  <c r="X602" i="2"/>
  <c r="Y602" i="2"/>
  <c r="Z602" i="2"/>
  <c r="AA602" i="2"/>
  <c r="AB602" i="2"/>
  <c r="AC602" i="2"/>
  <c r="AE602" i="2"/>
  <c r="AF602" i="2"/>
  <c r="AG602" i="2"/>
  <c r="AH602" i="2"/>
  <c r="AI602" i="2"/>
  <c r="AJ602" i="2"/>
  <c r="AM602" i="2"/>
  <c r="AN602" i="2"/>
  <c r="S603" i="2"/>
  <c r="U603" i="2"/>
  <c r="W603" i="2"/>
  <c r="X603" i="2"/>
  <c r="Y603" i="2"/>
  <c r="Z603" i="2"/>
  <c r="AA603" i="2"/>
  <c r="AB603" i="2"/>
  <c r="AC603" i="2"/>
  <c r="AE603" i="2"/>
  <c r="AF603" i="2"/>
  <c r="AG603" i="2"/>
  <c r="AH603" i="2"/>
  <c r="AI603" i="2"/>
  <c r="AJ603" i="2"/>
  <c r="AM603" i="2"/>
  <c r="AN603" i="2"/>
  <c r="S604" i="2"/>
  <c r="U604" i="2"/>
  <c r="W604" i="2"/>
  <c r="X604" i="2"/>
  <c r="Y604" i="2"/>
  <c r="Z604" i="2"/>
  <c r="AA604" i="2"/>
  <c r="AB604" i="2"/>
  <c r="AC604" i="2"/>
  <c r="AE604" i="2"/>
  <c r="AF604" i="2"/>
  <c r="AG604" i="2"/>
  <c r="AH604" i="2"/>
  <c r="AI604" i="2"/>
  <c r="AJ604" i="2"/>
  <c r="AM604" i="2"/>
  <c r="AN604" i="2"/>
  <c r="S605" i="2"/>
  <c r="U605" i="2"/>
  <c r="W605" i="2"/>
  <c r="X605" i="2"/>
  <c r="Y605" i="2"/>
  <c r="Z605" i="2"/>
  <c r="AA605" i="2"/>
  <c r="AB605" i="2"/>
  <c r="AC605" i="2"/>
  <c r="AE605" i="2"/>
  <c r="AF605" i="2"/>
  <c r="AG605" i="2"/>
  <c r="AH605" i="2"/>
  <c r="AI605" i="2"/>
  <c r="AJ605" i="2"/>
  <c r="AM605" i="2"/>
  <c r="AN605" i="2"/>
  <c r="S606" i="2"/>
  <c r="U606" i="2"/>
  <c r="W606" i="2"/>
  <c r="X606" i="2"/>
  <c r="Y606" i="2"/>
  <c r="Z606" i="2"/>
  <c r="AA606" i="2"/>
  <c r="AB606" i="2"/>
  <c r="AC606" i="2"/>
  <c r="AE606" i="2"/>
  <c r="AF606" i="2"/>
  <c r="AG606" i="2"/>
  <c r="AH606" i="2"/>
  <c r="AI606" i="2"/>
  <c r="AJ606" i="2"/>
  <c r="AM606" i="2"/>
  <c r="AN606" i="2"/>
  <c r="S607" i="2"/>
  <c r="U607" i="2"/>
  <c r="W607" i="2"/>
  <c r="X607" i="2"/>
  <c r="Y607" i="2"/>
  <c r="Z607" i="2"/>
  <c r="AA607" i="2"/>
  <c r="AB607" i="2"/>
  <c r="AC607" i="2"/>
  <c r="AE607" i="2"/>
  <c r="AF607" i="2"/>
  <c r="AG607" i="2"/>
  <c r="AH607" i="2"/>
  <c r="AI607" i="2"/>
  <c r="AJ607" i="2"/>
  <c r="AM607" i="2"/>
  <c r="AN607" i="2"/>
  <c r="S608" i="2"/>
  <c r="U608" i="2"/>
  <c r="W608" i="2"/>
  <c r="X608" i="2"/>
  <c r="Y608" i="2"/>
  <c r="Z608" i="2"/>
  <c r="AA608" i="2"/>
  <c r="AB608" i="2"/>
  <c r="AC608" i="2"/>
  <c r="AE608" i="2"/>
  <c r="AF608" i="2"/>
  <c r="AG608" i="2"/>
  <c r="AH608" i="2"/>
  <c r="AI608" i="2"/>
  <c r="AJ608" i="2"/>
  <c r="AM608" i="2"/>
  <c r="AN608" i="2"/>
  <c r="S609" i="2"/>
  <c r="U609" i="2"/>
  <c r="W609" i="2"/>
  <c r="X609" i="2"/>
  <c r="Y609" i="2"/>
  <c r="Z609" i="2"/>
  <c r="AA609" i="2"/>
  <c r="AB609" i="2"/>
  <c r="AC609" i="2"/>
  <c r="AE609" i="2"/>
  <c r="AF609" i="2"/>
  <c r="AG609" i="2"/>
  <c r="AH609" i="2"/>
  <c r="AI609" i="2"/>
  <c r="AJ609" i="2"/>
  <c r="AM609" i="2"/>
  <c r="AN609" i="2"/>
  <c r="S610" i="2"/>
  <c r="U610" i="2"/>
  <c r="W610" i="2"/>
  <c r="X610" i="2"/>
  <c r="Y610" i="2"/>
  <c r="Z610" i="2"/>
  <c r="AA610" i="2"/>
  <c r="AB610" i="2"/>
  <c r="AC610" i="2"/>
  <c r="AE610" i="2"/>
  <c r="AF610" i="2"/>
  <c r="AG610" i="2"/>
  <c r="AH610" i="2"/>
  <c r="AI610" i="2"/>
  <c r="AJ610" i="2"/>
  <c r="AM610" i="2"/>
  <c r="AN610" i="2"/>
  <c r="S611" i="2"/>
  <c r="U611" i="2"/>
  <c r="W611" i="2"/>
  <c r="X611" i="2"/>
  <c r="Y611" i="2"/>
  <c r="Z611" i="2"/>
  <c r="AA611" i="2"/>
  <c r="AB611" i="2"/>
  <c r="AC611" i="2"/>
  <c r="AE611" i="2"/>
  <c r="AF611" i="2"/>
  <c r="AG611" i="2"/>
  <c r="AH611" i="2"/>
  <c r="AI611" i="2"/>
  <c r="AJ611" i="2"/>
  <c r="AM611" i="2"/>
  <c r="AN611" i="2"/>
  <c r="S612" i="2"/>
  <c r="U612" i="2"/>
  <c r="W612" i="2"/>
  <c r="X612" i="2"/>
  <c r="Y612" i="2"/>
  <c r="Z612" i="2"/>
  <c r="AA612" i="2"/>
  <c r="AB612" i="2"/>
  <c r="AC612" i="2"/>
  <c r="AE612" i="2"/>
  <c r="AF612" i="2"/>
  <c r="AG612" i="2"/>
  <c r="AH612" i="2"/>
  <c r="AI612" i="2"/>
  <c r="AJ612" i="2"/>
  <c r="AM612" i="2"/>
  <c r="AN612" i="2"/>
  <c r="S613" i="2"/>
  <c r="U613" i="2"/>
  <c r="W613" i="2"/>
  <c r="X613" i="2"/>
  <c r="Y613" i="2"/>
  <c r="Z613" i="2"/>
  <c r="AA613" i="2"/>
  <c r="AB613" i="2"/>
  <c r="AC613" i="2"/>
  <c r="AE613" i="2"/>
  <c r="AF613" i="2"/>
  <c r="AG613" i="2"/>
  <c r="AH613" i="2"/>
  <c r="AI613" i="2"/>
  <c r="AJ613" i="2"/>
  <c r="AM613" i="2"/>
  <c r="AN613" i="2"/>
  <c r="AN614" i="2"/>
  <c r="AN615" i="2"/>
  <c r="AN616" i="2"/>
  <c r="S617" i="2"/>
  <c r="U617" i="2"/>
  <c r="W617" i="2"/>
  <c r="X617" i="2"/>
  <c r="Y617" i="2"/>
  <c r="Z617" i="2"/>
  <c r="AA617" i="2"/>
  <c r="AB617" i="2"/>
  <c r="AC617" i="2"/>
  <c r="AE617" i="2"/>
  <c r="AF617" i="2"/>
  <c r="AG617" i="2"/>
  <c r="AH617" i="2"/>
  <c r="AI617" i="2"/>
  <c r="AJ617" i="2"/>
  <c r="AM617" i="2"/>
  <c r="AN617" i="2"/>
  <c r="U618" i="2"/>
  <c r="W618" i="2"/>
  <c r="X618" i="2"/>
  <c r="Y618" i="2"/>
  <c r="Z618" i="2"/>
  <c r="AA618" i="2"/>
  <c r="AB618" i="2"/>
  <c r="AC618" i="2"/>
  <c r="AE618" i="2"/>
  <c r="AF618" i="2"/>
  <c r="AG618" i="2"/>
  <c r="AH618" i="2"/>
  <c r="AI618" i="2"/>
  <c r="AJ618" i="2"/>
  <c r="AM618" i="2"/>
  <c r="AN618" i="2"/>
  <c r="O619" i="2"/>
  <c r="S619" i="2"/>
  <c r="U619" i="2"/>
  <c r="W619" i="2"/>
  <c r="X619" i="2"/>
  <c r="Y619" i="2"/>
  <c r="Z619" i="2"/>
  <c r="AA619" i="2"/>
  <c r="AB619" i="2"/>
  <c r="AC619" i="2"/>
  <c r="AE619" i="2"/>
  <c r="AF619" i="2"/>
  <c r="AG619" i="2"/>
  <c r="AH619" i="2"/>
  <c r="AI619" i="2"/>
  <c r="AJ619" i="2"/>
  <c r="AM619" i="2"/>
  <c r="AN619" i="2"/>
  <c r="U620" i="2"/>
  <c r="W620" i="2"/>
  <c r="X620" i="2"/>
  <c r="Y620" i="2"/>
  <c r="Z620" i="2"/>
  <c r="AA620" i="2"/>
  <c r="AB620" i="2"/>
  <c r="AC620" i="2"/>
  <c r="AE620" i="2"/>
  <c r="AF620" i="2"/>
  <c r="AG620" i="2"/>
  <c r="AH620" i="2"/>
  <c r="AI620" i="2"/>
  <c r="AJ620" i="2"/>
  <c r="AM620" i="2"/>
  <c r="AN620" i="2"/>
  <c r="S621" i="2"/>
  <c r="U621" i="2"/>
  <c r="W621" i="2"/>
  <c r="X621" i="2"/>
  <c r="Y621" i="2"/>
  <c r="Z621" i="2"/>
  <c r="AA621" i="2"/>
  <c r="AB621" i="2"/>
  <c r="AC621" i="2"/>
  <c r="AE621" i="2"/>
  <c r="AF621" i="2"/>
  <c r="AG621" i="2"/>
  <c r="AH621" i="2"/>
  <c r="AI621" i="2"/>
  <c r="AJ621" i="2"/>
  <c r="AM621" i="2"/>
  <c r="AN621" i="2"/>
  <c r="S622" i="2"/>
  <c r="U622" i="2"/>
  <c r="W622" i="2"/>
  <c r="X622" i="2"/>
  <c r="Y622" i="2"/>
  <c r="Z622" i="2"/>
  <c r="AA622" i="2"/>
  <c r="AB622" i="2"/>
  <c r="AC622" i="2"/>
  <c r="AE622" i="2"/>
  <c r="AF622" i="2"/>
  <c r="AG622" i="2"/>
  <c r="AH622" i="2"/>
  <c r="AI622" i="2"/>
  <c r="AJ622" i="2"/>
  <c r="AM622" i="2"/>
  <c r="AN622" i="2"/>
  <c r="S623" i="2"/>
  <c r="U623" i="2"/>
  <c r="W623" i="2"/>
  <c r="X623" i="2"/>
  <c r="Y623" i="2"/>
  <c r="Z623" i="2"/>
  <c r="AA623" i="2"/>
  <c r="AB623" i="2"/>
  <c r="AC623" i="2"/>
  <c r="AE623" i="2"/>
  <c r="AF623" i="2"/>
  <c r="AG623" i="2"/>
  <c r="AH623" i="2"/>
  <c r="AI623" i="2"/>
  <c r="AJ623" i="2"/>
  <c r="AM623" i="2"/>
  <c r="AN623" i="2"/>
  <c r="S624" i="2"/>
  <c r="U624" i="2"/>
  <c r="W624" i="2"/>
  <c r="X624" i="2"/>
  <c r="Y624" i="2"/>
  <c r="Z624" i="2"/>
  <c r="AA624" i="2"/>
  <c r="AB624" i="2"/>
  <c r="AC624" i="2"/>
  <c r="AE624" i="2"/>
  <c r="AF624" i="2"/>
  <c r="AG624" i="2"/>
  <c r="AH624" i="2"/>
  <c r="AI624" i="2"/>
  <c r="AJ624" i="2"/>
  <c r="AM624" i="2"/>
  <c r="AN624" i="2"/>
  <c r="AN625" i="2"/>
  <c r="S626" i="2"/>
  <c r="U626" i="2"/>
  <c r="W626" i="2"/>
  <c r="X626" i="2"/>
  <c r="Y626" i="2"/>
  <c r="Z626" i="2"/>
  <c r="AA626" i="2"/>
  <c r="AB626" i="2"/>
  <c r="AC626" i="2"/>
  <c r="AE626" i="2"/>
  <c r="AF626" i="2"/>
  <c r="AG626" i="2"/>
  <c r="AH626" i="2"/>
  <c r="AI626" i="2"/>
  <c r="AJ626" i="2"/>
  <c r="AM626" i="2"/>
  <c r="AN626" i="2"/>
  <c r="U627" i="2"/>
  <c r="W627" i="2"/>
  <c r="X627" i="2"/>
  <c r="Y627" i="2"/>
  <c r="Z627" i="2"/>
  <c r="AA627" i="2"/>
  <c r="AB627" i="2"/>
  <c r="AC627" i="2"/>
  <c r="AE627" i="2"/>
  <c r="AF627" i="2"/>
  <c r="AG627" i="2"/>
  <c r="AH627" i="2"/>
  <c r="AI627" i="2"/>
  <c r="AJ627" i="2"/>
  <c r="AM627" i="2"/>
  <c r="AN627" i="2"/>
  <c r="S628" i="2"/>
  <c r="U628" i="2"/>
  <c r="W628" i="2"/>
  <c r="X628" i="2"/>
  <c r="Y628" i="2"/>
  <c r="Z628" i="2"/>
  <c r="AA628" i="2"/>
  <c r="AB628" i="2"/>
  <c r="AC628" i="2"/>
  <c r="AE628" i="2"/>
  <c r="AF628" i="2"/>
  <c r="AG628" i="2"/>
  <c r="AH628" i="2"/>
  <c r="AI628" i="2"/>
  <c r="AJ628" i="2"/>
  <c r="AM628" i="2"/>
  <c r="AN628" i="2"/>
  <c r="S629" i="2"/>
  <c r="U629" i="2"/>
  <c r="W629" i="2"/>
  <c r="X629" i="2"/>
  <c r="Y629" i="2"/>
  <c r="Z629" i="2"/>
  <c r="AA629" i="2"/>
  <c r="AB629" i="2"/>
  <c r="AC629" i="2"/>
  <c r="AE629" i="2"/>
  <c r="AF629" i="2"/>
  <c r="AG629" i="2"/>
  <c r="AH629" i="2"/>
  <c r="AI629" i="2"/>
  <c r="AJ629" i="2"/>
  <c r="AM629" i="2"/>
  <c r="AN629" i="2"/>
  <c r="AN630" i="2"/>
  <c r="S631" i="2"/>
  <c r="U631" i="2"/>
  <c r="W631" i="2"/>
  <c r="X631" i="2"/>
  <c r="Y631" i="2"/>
  <c r="Z631" i="2"/>
  <c r="AA631" i="2"/>
  <c r="AB631" i="2"/>
  <c r="AC631" i="2"/>
  <c r="AE631" i="2"/>
  <c r="AF631" i="2"/>
  <c r="AG631" i="2"/>
  <c r="AH631" i="2"/>
  <c r="AI631" i="2"/>
  <c r="AJ631" i="2"/>
  <c r="AM631" i="2"/>
  <c r="AN631" i="2"/>
  <c r="U632" i="2"/>
  <c r="W632" i="2"/>
  <c r="X632" i="2"/>
  <c r="Y632" i="2"/>
  <c r="AA632" i="2"/>
  <c r="AF632" i="2"/>
  <c r="AH632" i="2"/>
  <c r="AI632" i="2"/>
  <c r="AJ632" i="2"/>
  <c r="AM632" i="2"/>
  <c r="AN632" i="2"/>
  <c r="S633" i="2"/>
  <c r="U633" i="2"/>
  <c r="W633" i="2"/>
  <c r="X633" i="2"/>
  <c r="Y633" i="2"/>
  <c r="Z633" i="2"/>
  <c r="AA633" i="2"/>
  <c r="AB633" i="2"/>
  <c r="AC633" i="2"/>
  <c r="AE633" i="2"/>
  <c r="AF633" i="2"/>
  <c r="AG633" i="2"/>
  <c r="AH633" i="2"/>
  <c r="AI633" i="2"/>
  <c r="AJ633" i="2"/>
  <c r="AM633" i="2"/>
  <c r="AN633" i="2"/>
  <c r="U634" i="2"/>
  <c r="W634" i="2"/>
  <c r="X634" i="2"/>
  <c r="Y634" i="2"/>
  <c r="AA634" i="2"/>
  <c r="AC634" i="2"/>
  <c r="AF634" i="2"/>
  <c r="AG634" i="2"/>
  <c r="AH634" i="2"/>
  <c r="AI634" i="2"/>
  <c r="AJ634" i="2"/>
  <c r="AM634" i="2"/>
  <c r="AN634" i="2"/>
  <c r="S635" i="2"/>
  <c r="U635" i="2"/>
  <c r="W635" i="2"/>
  <c r="X635" i="2"/>
  <c r="Y635" i="2"/>
  <c r="AA635" i="2"/>
  <c r="AC635" i="2"/>
  <c r="AE635" i="2"/>
  <c r="AF635" i="2"/>
  <c r="AG635" i="2"/>
  <c r="AH635" i="2"/>
  <c r="AI635" i="2"/>
  <c r="AJ635" i="2"/>
  <c r="AM635" i="2"/>
  <c r="AN635" i="2"/>
  <c r="U636" i="2"/>
  <c r="W636" i="2"/>
  <c r="X636" i="2"/>
  <c r="Y636" i="2"/>
  <c r="Z636" i="2"/>
  <c r="AA636" i="2"/>
  <c r="AB636" i="2"/>
  <c r="AC636" i="2"/>
  <c r="AE636" i="2"/>
  <c r="AF636" i="2"/>
  <c r="AG636" i="2"/>
  <c r="AH636" i="2"/>
  <c r="AI636" i="2"/>
  <c r="AJ636" i="2"/>
  <c r="AM636" i="2"/>
  <c r="AN636" i="2"/>
  <c r="U637" i="2"/>
  <c r="W637" i="2"/>
  <c r="X637" i="2"/>
  <c r="Y637" i="2"/>
  <c r="Z637" i="2"/>
  <c r="AA637" i="2"/>
  <c r="AB637" i="2"/>
  <c r="AC637" i="2"/>
  <c r="AE637" i="2"/>
  <c r="AF637" i="2"/>
  <c r="AG637" i="2"/>
  <c r="AH637" i="2"/>
  <c r="AI637" i="2"/>
  <c r="AJ637" i="2"/>
  <c r="AM637" i="2"/>
  <c r="AN637" i="2"/>
  <c r="U638" i="2"/>
  <c r="W638" i="2"/>
  <c r="X638" i="2"/>
  <c r="Y638" i="2"/>
  <c r="Z638" i="2"/>
  <c r="AA638" i="2"/>
  <c r="AB638" i="2"/>
  <c r="AC638" i="2"/>
  <c r="AE638" i="2"/>
  <c r="AF638" i="2"/>
  <c r="AG638" i="2"/>
  <c r="AH638" i="2"/>
  <c r="AI638" i="2"/>
  <c r="AJ638" i="2"/>
  <c r="AM638" i="2"/>
  <c r="AN638" i="2"/>
  <c r="U639" i="2"/>
  <c r="W639" i="2"/>
  <c r="X639" i="2"/>
  <c r="Y639" i="2"/>
  <c r="Z639" i="2"/>
  <c r="AA639" i="2"/>
  <c r="AB639" i="2"/>
  <c r="AC639" i="2"/>
  <c r="AE639" i="2"/>
  <c r="AF639" i="2"/>
  <c r="AG639" i="2"/>
  <c r="AH639" i="2"/>
  <c r="AI639" i="2"/>
  <c r="AJ639" i="2"/>
  <c r="AM639" i="2"/>
  <c r="AN639" i="2"/>
  <c r="U640" i="2"/>
  <c r="W640" i="2"/>
  <c r="X640" i="2"/>
  <c r="Y640" i="2"/>
  <c r="Z640" i="2"/>
  <c r="AA640" i="2"/>
  <c r="AB640" i="2"/>
  <c r="AC640" i="2"/>
  <c r="AE640" i="2"/>
  <c r="AF640" i="2"/>
  <c r="AG640" i="2"/>
  <c r="AH640" i="2"/>
  <c r="AI640" i="2"/>
  <c r="AJ640" i="2"/>
  <c r="AM640" i="2"/>
  <c r="AN640" i="2"/>
  <c r="U641" i="2"/>
  <c r="W641" i="2"/>
  <c r="X641" i="2"/>
  <c r="Y641" i="2"/>
  <c r="Z641" i="2"/>
  <c r="AA641" i="2"/>
  <c r="AB641" i="2"/>
  <c r="AC641" i="2"/>
  <c r="AE641" i="2"/>
  <c r="AF641" i="2"/>
  <c r="AG641" i="2"/>
  <c r="AH641" i="2"/>
  <c r="AI641" i="2"/>
  <c r="AJ641" i="2"/>
  <c r="AM641" i="2"/>
  <c r="AN641" i="2"/>
  <c r="U642" i="2"/>
  <c r="W642" i="2"/>
  <c r="X642" i="2"/>
  <c r="Y642" i="2"/>
  <c r="Z642" i="2"/>
  <c r="AA642" i="2"/>
  <c r="AB642" i="2"/>
  <c r="AC642" i="2"/>
  <c r="AE642" i="2"/>
  <c r="AF642" i="2"/>
  <c r="AG642" i="2"/>
  <c r="AH642" i="2"/>
  <c r="AI642" i="2"/>
  <c r="AJ642" i="2"/>
  <c r="AM642" i="2"/>
  <c r="AN642" i="2"/>
  <c r="AN643" i="2"/>
  <c r="S644" i="2"/>
  <c r="U644" i="2"/>
  <c r="W644" i="2"/>
  <c r="X644" i="2"/>
  <c r="Y644" i="2"/>
  <c r="AA644" i="2"/>
  <c r="AE644" i="2"/>
  <c r="AF644" i="2"/>
  <c r="AG644" i="2"/>
  <c r="AH644" i="2"/>
  <c r="AI644" i="2"/>
  <c r="AJ644" i="2"/>
  <c r="AM644" i="2"/>
  <c r="AN644" i="2"/>
  <c r="S645" i="2"/>
  <c r="U645" i="2"/>
  <c r="W645" i="2"/>
  <c r="X645" i="2"/>
  <c r="Y645" i="2"/>
  <c r="Z645" i="2"/>
  <c r="AA645" i="2"/>
  <c r="AB645" i="2"/>
  <c r="AC645" i="2"/>
  <c r="AE645" i="2"/>
  <c r="AF645" i="2"/>
  <c r="AG645" i="2"/>
  <c r="AH645" i="2"/>
  <c r="AI645" i="2"/>
  <c r="AJ645" i="2"/>
  <c r="AM645" i="2"/>
  <c r="AN645" i="2"/>
  <c r="AN646" i="2"/>
  <c r="S647" i="2"/>
  <c r="U647" i="2"/>
  <c r="W647" i="2"/>
  <c r="X647" i="2"/>
  <c r="Y647" i="2"/>
  <c r="Z647" i="2"/>
  <c r="AA647" i="2"/>
  <c r="AB647" i="2"/>
  <c r="AC647" i="2"/>
  <c r="AE647" i="2"/>
  <c r="AF647" i="2"/>
  <c r="AG647" i="2"/>
  <c r="AH647" i="2"/>
  <c r="AI647" i="2"/>
  <c r="AJ647" i="2"/>
  <c r="AM647" i="2"/>
  <c r="AN647" i="2"/>
  <c r="S648" i="2"/>
  <c r="U648" i="2"/>
  <c r="W648" i="2"/>
  <c r="X648" i="2"/>
  <c r="Y648" i="2"/>
  <c r="Z648" i="2"/>
  <c r="AA648" i="2"/>
  <c r="AB648" i="2"/>
  <c r="AC648" i="2"/>
  <c r="AE648" i="2"/>
  <c r="AF648" i="2"/>
  <c r="AG648" i="2"/>
  <c r="AH648" i="2"/>
  <c r="AI648" i="2"/>
  <c r="AJ648" i="2"/>
  <c r="AM648" i="2"/>
  <c r="AN648" i="2"/>
  <c r="S649" i="2"/>
  <c r="U649" i="2"/>
  <c r="W649" i="2"/>
  <c r="X649" i="2"/>
  <c r="Y649" i="2"/>
  <c r="Z649" i="2"/>
  <c r="AA649" i="2"/>
  <c r="AB649" i="2"/>
  <c r="AC649" i="2"/>
  <c r="AE649" i="2"/>
  <c r="AF649" i="2"/>
  <c r="AG649" i="2"/>
  <c r="AH649" i="2"/>
  <c r="AI649" i="2"/>
  <c r="AJ649" i="2"/>
  <c r="AM649" i="2"/>
  <c r="AN649" i="2"/>
  <c r="S650" i="2"/>
  <c r="U650" i="2"/>
  <c r="W650" i="2"/>
  <c r="X650" i="2"/>
  <c r="Y650" i="2"/>
  <c r="Z650" i="2"/>
  <c r="AA650" i="2"/>
  <c r="AB650" i="2"/>
  <c r="AC650" i="2"/>
  <c r="AE650" i="2"/>
  <c r="AF650" i="2"/>
  <c r="AG650" i="2"/>
  <c r="AH650" i="2"/>
  <c r="AI650" i="2"/>
  <c r="AJ650" i="2"/>
  <c r="AM650" i="2"/>
  <c r="AN650" i="2"/>
  <c r="S651" i="2"/>
  <c r="U651" i="2"/>
  <c r="W651" i="2"/>
  <c r="X651" i="2"/>
  <c r="Y651" i="2"/>
  <c r="Z651" i="2"/>
  <c r="AA651" i="2"/>
  <c r="AB651" i="2"/>
  <c r="AC651" i="2"/>
  <c r="AE651" i="2"/>
  <c r="AF651" i="2"/>
  <c r="AG651" i="2"/>
  <c r="AH651" i="2"/>
  <c r="AI651" i="2"/>
  <c r="AJ651" i="2"/>
  <c r="AM651" i="2"/>
  <c r="AN651" i="2"/>
  <c r="AN652" i="2"/>
  <c r="AN653" i="2"/>
  <c r="S654" i="2"/>
  <c r="U654" i="2"/>
  <c r="W654" i="2"/>
  <c r="X654" i="2"/>
  <c r="Y654" i="2"/>
  <c r="Z654" i="2"/>
  <c r="AA654" i="2"/>
  <c r="AB654" i="2"/>
  <c r="AC654" i="2"/>
  <c r="AE654" i="2"/>
  <c r="AF654" i="2"/>
  <c r="AG654" i="2"/>
  <c r="AH654" i="2"/>
  <c r="AI654" i="2"/>
  <c r="AJ654" i="2"/>
  <c r="AM654" i="2"/>
  <c r="AN654" i="2"/>
  <c r="S655" i="2"/>
  <c r="U655" i="2"/>
  <c r="W655" i="2"/>
  <c r="X655" i="2"/>
  <c r="Y655" i="2"/>
  <c r="Z655" i="2"/>
  <c r="AA655" i="2"/>
  <c r="AB655" i="2"/>
  <c r="AC655" i="2"/>
  <c r="AE655" i="2"/>
  <c r="AF655" i="2"/>
  <c r="AG655" i="2"/>
  <c r="AH655" i="2"/>
  <c r="AI655" i="2"/>
  <c r="AJ655" i="2"/>
  <c r="AM655" i="2"/>
  <c r="AN655" i="2"/>
  <c r="S656" i="2"/>
  <c r="U656" i="2"/>
  <c r="W656" i="2"/>
  <c r="X656" i="2"/>
  <c r="Y656" i="2"/>
  <c r="Z656" i="2"/>
  <c r="AA656" i="2"/>
  <c r="AB656" i="2"/>
  <c r="AC656" i="2"/>
  <c r="AE656" i="2"/>
  <c r="AF656" i="2"/>
  <c r="AG656" i="2"/>
  <c r="AH656" i="2"/>
  <c r="AI656" i="2"/>
  <c r="AJ656" i="2"/>
  <c r="AM656" i="2"/>
  <c r="AN656" i="2"/>
  <c r="AN657" i="2"/>
  <c r="S658" i="2"/>
  <c r="U658" i="2"/>
  <c r="W658" i="2"/>
  <c r="X658" i="2"/>
  <c r="Y658" i="2"/>
  <c r="Z658" i="2"/>
  <c r="AA658" i="2"/>
  <c r="AB658" i="2"/>
  <c r="AC658" i="2"/>
  <c r="AE658" i="2"/>
  <c r="AF658" i="2"/>
  <c r="AG658" i="2"/>
  <c r="AH658" i="2"/>
  <c r="AI658" i="2"/>
  <c r="AJ658" i="2"/>
  <c r="AM658" i="2"/>
  <c r="AN658" i="2"/>
  <c r="S659" i="2"/>
  <c r="U659" i="2"/>
  <c r="W659" i="2"/>
  <c r="X659" i="2"/>
  <c r="Y659" i="2"/>
  <c r="Z659" i="2"/>
  <c r="AA659" i="2"/>
  <c r="AB659" i="2"/>
  <c r="AC659" i="2"/>
  <c r="AE659" i="2"/>
  <c r="AF659" i="2"/>
  <c r="AG659" i="2"/>
  <c r="AH659" i="2"/>
  <c r="AI659" i="2"/>
  <c r="AJ659" i="2"/>
  <c r="AM659" i="2"/>
  <c r="AN659" i="2"/>
  <c r="AN660" i="2"/>
  <c r="AN661" i="2"/>
  <c r="S662" i="2"/>
  <c r="U662" i="2"/>
  <c r="W662" i="2"/>
  <c r="X662" i="2"/>
  <c r="Y662" i="2"/>
  <c r="AA662" i="2"/>
  <c r="AF662" i="2"/>
  <c r="AG662" i="2"/>
  <c r="AH662" i="2"/>
  <c r="AI662" i="2"/>
  <c r="AJ662" i="2"/>
  <c r="AM662" i="2"/>
  <c r="AN662" i="2"/>
  <c r="S663" i="2"/>
  <c r="U663" i="2"/>
  <c r="W663" i="2"/>
  <c r="X663" i="2"/>
  <c r="Y663" i="2"/>
  <c r="Z663" i="2"/>
  <c r="AA663" i="2"/>
  <c r="AB663" i="2"/>
  <c r="AC663" i="2"/>
  <c r="AE663" i="2"/>
  <c r="AF663" i="2"/>
  <c r="AG663" i="2"/>
  <c r="AH663" i="2"/>
  <c r="AI663" i="2"/>
  <c r="AJ663" i="2"/>
  <c r="AM663" i="2"/>
  <c r="AN663" i="2"/>
  <c r="S664" i="2"/>
  <c r="U664" i="2"/>
  <c r="W664" i="2"/>
  <c r="X664" i="2"/>
  <c r="Y664" i="2"/>
  <c r="Z664" i="2"/>
  <c r="AA664" i="2"/>
  <c r="AB664" i="2"/>
  <c r="AC664" i="2"/>
  <c r="AE664" i="2"/>
  <c r="AF664" i="2"/>
  <c r="AG664" i="2"/>
  <c r="AH664" i="2"/>
  <c r="AI664" i="2"/>
  <c r="AJ664" i="2"/>
  <c r="AM664" i="2"/>
  <c r="AN664" i="2"/>
  <c r="S665" i="2"/>
  <c r="U665" i="2"/>
  <c r="W665" i="2"/>
  <c r="X665" i="2"/>
  <c r="Y665" i="2"/>
  <c r="Z665" i="2"/>
  <c r="AA665" i="2"/>
  <c r="AB665" i="2"/>
  <c r="AC665" i="2"/>
  <c r="AE665" i="2"/>
  <c r="AF665" i="2"/>
  <c r="AG665" i="2"/>
  <c r="AH665" i="2"/>
  <c r="AI665" i="2"/>
  <c r="AJ665" i="2"/>
  <c r="AM665" i="2"/>
  <c r="AN665" i="2"/>
  <c r="S666" i="2"/>
  <c r="U666" i="2"/>
  <c r="W666" i="2"/>
  <c r="X666" i="2"/>
  <c r="Y666" i="2"/>
  <c r="Z666" i="2"/>
  <c r="AA666" i="2"/>
  <c r="AB666" i="2"/>
  <c r="AC666" i="2"/>
  <c r="AE666" i="2"/>
  <c r="AF666" i="2"/>
  <c r="AG666" i="2"/>
  <c r="AH666" i="2"/>
  <c r="AI666" i="2"/>
  <c r="AJ666" i="2"/>
  <c r="AM666" i="2"/>
  <c r="AN666" i="2"/>
  <c r="S667" i="2"/>
  <c r="U667" i="2"/>
  <c r="W667" i="2"/>
  <c r="X667" i="2"/>
  <c r="Y667" i="2"/>
  <c r="Z667" i="2"/>
  <c r="AA667" i="2"/>
  <c r="AB667" i="2"/>
  <c r="AC667" i="2"/>
  <c r="AE667" i="2"/>
  <c r="AF667" i="2"/>
  <c r="AG667" i="2"/>
  <c r="AH667" i="2"/>
  <c r="AI667" i="2"/>
  <c r="AJ667" i="2"/>
  <c r="AM667" i="2"/>
  <c r="AN667" i="2"/>
  <c r="S668" i="2"/>
  <c r="U668" i="2"/>
  <c r="W668" i="2"/>
  <c r="X668" i="2"/>
  <c r="Y668" i="2"/>
  <c r="Z668" i="2"/>
  <c r="AA668" i="2"/>
  <c r="AB668" i="2"/>
  <c r="AC668" i="2"/>
  <c r="AE668" i="2"/>
  <c r="AF668" i="2"/>
  <c r="AG668" i="2"/>
  <c r="AH668" i="2"/>
  <c r="AI668" i="2"/>
  <c r="AJ668" i="2"/>
  <c r="AM668" i="2"/>
  <c r="AN668" i="2"/>
  <c r="AN669" i="2"/>
  <c r="U670" i="2"/>
  <c r="W670" i="2"/>
  <c r="X670" i="2"/>
  <c r="Y670" i="2"/>
  <c r="AA670" i="2"/>
  <c r="AH670" i="2"/>
  <c r="AI670" i="2"/>
  <c r="AM670" i="2"/>
  <c r="AN670" i="2"/>
  <c r="S671" i="2"/>
  <c r="U671" i="2"/>
  <c r="W671" i="2"/>
  <c r="X671" i="2"/>
  <c r="Y671" i="2"/>
  <c r="AA671" i="2"/>
  <c r="AF671" i="2"/>
  <c r="AG671" i="2"/>
  <c r="AH671" i="2"/>
  <c r="AI671" i="2"/>
  <c r="AJ671" i="2"/>
  <c r="AM671" i="2"/>
  <c r="AN671" i="2"/>
  <c r="S672" i="2"/>
  <c r="U672" i="2"/>
  <c r="W672" i="2"/>
  <c r="X672" i="2"/>
  <c r="Y672" i="2"/>
  <c r="Z672" i="2"/>
  <c r="AA672" i="2"/>
  <c r="AB672" i="2"/>
  <c r="AC672" i="2"/>
  <c r="AE672" i="2"/>
  <c r="AF672" i="2"/>
  <c r="AG672" i="2"/>
  <c r="AH672" i="2"/>
  <c r="AI672" i="2"/>
  <c r="AJ672" i="2"/>
  <c r="AM672" i="2"/>
  <c r="AN672" i="2"/>
  <c r="S673" i="2"/>
  <c r="T673" i="2"/>
  <c r="U673" i="2"/>
  <c r="W673" i="2"/>
  <c r="X673" i="2"/>
  <c r="Y673" i="2"/>
  <c r="Z673" i="2"/>
  <c r="AA673" i="2"/>
  <c r="AB673" i="2"/>
  <c r="AC673" i="2"/>
  <c r="AE673" i="2"/>
  <c r="AF673" i="2"/>
  <c r="AG673" i="2"/>
  <c r="AH673" i="2"/>
  <c r="AI673" i="2"/>
  <c r="AJ673" i="2"/>
  <c r="AK673" i="2"/>
  <c r="AL673" i="2"/>
  <c r="AM673" i="2"/>
  <c r="AN673" i="2"/>
  <c r="S674" i="2"/>
  <c r="U674" i="2"/>
  <c r="W674" i="2"/>
  <c r="X674" i="2"/>
  <c r="Y674" i="2"/>
  <c r="AA674" i="2"/>
  <c r="AE674" i="2"/>
  <c r="AF674" i="2"/>
  <c r="AG674" i="2"/>
  <c r="AH674" i="2"/>
  <c r="AI674" i="2"/>
  <c r="AJ674" i="2"/>
  <c r="AM674" i="2"/>
  <c r="AN674" i="2"/>
  <c r="U675" i="2"/>
  <c r="W675" i="2"/>
  <c r="X675" i="2"/>
  <c r="Y675" i="2"/>
  <c r="AA675" i="2"/>
  <c r="AE675" i="2"/>
  <c r="AF675" i="2"/>
  <c r="AG675" i="2"/>
  <c r="AH675" i="2"/>
  <c r="AI675" i="2"/>
  <c r="AM675" i="2"/>
  <c r="AN675" i="2"/>
  <c r="AN676" i="2"/>
  <c r="S677" i="2"/>
  <c r="U677" i="2"/>
  <c r="W677" i="2"/>
  <c r="X677" i="2"/>
  <c r="Y677" i="2"/>
  <c r="Z677" i="2"/>
  <c r="AA677" i="2"/>
  <c r="AB677" i="2"/>
  <c r="AC677" i="2"/>
  <c r="AE677" i="2"/>
  <c r="AF677" i="2"/>
  <c r="AG677" i="2"/>
  <c r="AH677" i="2"/>
  <c r="AI677" i="2"/>
  <c r="AJ677" i="2"/>
  <c r="AM677" i="2"/>
  <c r="AN677" i="2"/>
  <c r="W678" i="2"/>
  <c r="AN678" i="2"/>
  <c r="Q679" i="2"/>
  <c r="R679" i="2"/>
  <c r="S679" i="2"/>
  <c r="T679" i="2"/>
  <c r="U679" i="2"/>
  <c r="W679" i="2"/>
  <c r="X679" i="2"/>
  <c r="Y679" i="2"/>
  <c r="Z679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S680" i="2"/>
  <c r="U680" i="2"/>
  <c r="W680" i="2"/>
  <c r="X680" i="2"/>
  <c r="Y680" i="2"/>
  <c r="Z680" i="2"/>
  <c r="AA680" i="2"/>
  <c r="AB680" i="2"/>
  <c r="AC680" i="2"/>
  <c r="AE680" i="2"/>
  <c r="AF680" i="2"/>
  <c r="AG680" i="2"/>
  <c r="AH680" i="2"/>
  <c r="AI680" i="2"/>
  <c r="AJ680" i="2"/>
  <c r="AM680" i="2"/>
  <c r="AN680" i="2"/>
  <c r="S681" i="2"/>
  <c r="U681" i="2"/>
  <c r="W681" i="2"/>
  <c r="X681" i="2"/>
  <c r="Y681" i="2"/>
  <c r="AA681" i="2"/>
  <c r="AE681" i="2"/>
  <c r="AF681" i="2"/>
  <c r="AG681" i="2"/>
  <c r="AH681" i="2"/>
  <c r="AI681" i="2"/>
  <c r="AJ681" i="2"/>
  <c r="AM681" i="2"/>
  <c r="AN681" i="2"/>
  <c r="S682" i="2"/>
  <c r="U682" i="2"/>
  <c r="W682" i="2"/>
  <c r="X682" i="2"/>
  <c r="Y682" i="2"/>
  <c r="Z682" i="2"/>
  <c r="AA682" i="2"/>
  <c r="AB682" i="2"/>
  <c r="AC682" i="2"/>
  <c r="AE682" i="2"/>
  <c r="AF682" i="2"/>
  <c r="AG682" i="2"/>
  <c r="AH682" i="2"/>
  <c r="AI682" i="2"/>
  <c r="AJ682" i="2"/>
  <c r="AM682" i="2"/>
  <c r="AN682" i="2"/>
  <c r="S683" i="2"/>
  <c r="U683" i="2"/>
  <c r="W683" i="2"/>
  <c r="X683" i="2"/>
  <c r="Y683" i="2"/>
  <c r="Z683" i="2"/>
  <c r="AA683" i="2"/>
  <c r="AB683" i="2"/>
  <c r="AC683" i="2"/>
  <c r="AE683" i="2"/>
  <c r="AF683" i="2"/>
  <c r="AG683" i="2"/>
  <c r="AH683" i="2"/>
  <c r="AI683" i="2"/>
  <c r="AJ683" i="2"/>
  <c r="AM683" i="2"/>
  <c r="AN683" i="2"/>
  <c r="S684" i="2"/>
  <c r="U684" i="2"/>
  <c r="W684" i="2"/>
  <c r="X684" i="2"/>
  <c r="Y684" i="2"/>
  <c r="Z684" i="2"/>
  <c r="AA684" i="2"/>
  <c r="AB684" i="2"/>
  <c r="AC684" i="2"/>
  <c r="AE684" i="2"/>
  <c r="AF684" i="2"/>
  <c r="AG684" i="2"/>
  <c r="AH684" i="2"/>
  <c r="AI684" i="2"/>
  <c r="AJ684" i="2"/>
  <c r="AM684" i="2"/>
  <c r="AN684" i="2"/>
  <c r="S685" i="2"/>
  <c r="U685" i="2"/>
  <c r="W685" i="2"/>
  <c r="X685" i="2"/>
  <c r="Y685" i="2"/>
  <c r="Z685" i="2"/>
  <c r="AA685" i="2"/>
  <c r="AB685" i="2"/>
  <c r="AC685" i="2"/>
  <c r="AE685" i="2"/>
  <c r="AF685" i="2"/>
  <c r="AG685" i="2"/>
  <c r="AH685" i="2"/>
  <c r="AI685" i="2"/>
  <c r="AJ685" i="2"/>
  <c r="AM685" i="2"/>
  <c r="AN685" i="2"/>
  <c r="W686" i="2"/>
  <c r="AN686" i="2"/>
  <c r="U687" i="2"/>
  <c r="W687" i="2"/>
  <c r="X687" i="2"/>
  <c r="Y687" i="2"/>
  <c r="AA687" i="2"/>
  <c r="AE687" i="2"/>
  <c r="AF687" i="2"/>
  <c r="AG687" i="2"/>
  <c r="AH687" i="2"/>
  <c r="AI687" i="2"/>
  <c r="AM687" i="2"/>
  <c r="AN687" i="2"/>
  <c r="S688" i="2"/>
  <c r="U688" i="2"/>
  <c r="W688" i="2"/>
  <c r="X688" i="2"/>
  <c r="Y688" i="2"/>
  <c r="Z688" i="2"/>
  <c r="AA688" i="2"/>
  <c r="AC688" i="2"/>
  <c r="AE688" i="2"/>
  <c r="AF688" i="2"/>
  <c r="AG688" i="2"/>
  <c r="AH688" i="2"/>
  <c r="AI688" i="2"/>
  <c r="AJ688" i="2"/>
  <c r="AM688" i="2"/>
  <c r="AN688" i="2"/>
  <c r="W689" i="2"/>
  <c r="AN689" i="2"/>
  <c r="S690" i="2"/>
  <c r="U690" i="2"/>
  <c r="W690" i="2"/>
  <c r="X690" i="2"/>
  <c r="Y690" i="2"/>
  <c r="Z690" i="2"/>
  <c r="AA690" i="2"/>
  <c r="AB690" i="2"/>
  <c r="AC690" i="2"/>
  <c r="AE690" i="2"/>
  <c r="AF690" i="2"/>
  <c r="AG690" i="2"/>
  <c r="AH690" i="2"/>
  <c r="AI690" i="2"/>
  <c r="AJ690" i="2"/>
  <c r="AM690" i="2"/>
  <c r="AN690" i="2"/>
  <c r="S691" i="2"/>
  <c r="U691" i="2"/>
  <c r="W691" i="2"/>
  <c r="X691" i="2"/>
  <c r="Y691" i="2"/>
  <c r="Z691" i="2"/>
  <c r="AA691" i="2"/>
  <c r="AB691" i="2"/>
  <c r="AC691" i="2"/>
  <c r="AE691" i="2"/>
  <c r="AF691" i="2"/>
  <c r="AG691" i="2"/>
  <c r="AH691" i="2"/>
  <c r="AI691" i="2"/>
  <c r="AJ691" i="2"/>
  <c r="AM691" i="2"/>
  <c r="AN691" i="2"/>
  <c r="S692" i="2"/>
  <c r="U692" i="2"/>
  <c r="W692" i="2"/>
  <c r="X692" i="2"/>
  <c r="Y692" i="2"/>
  <c r="Z692" i="2"/>
  <c r="AA692" i="2"/>
  <c r="AB692" i="2"/>
  <c r="AC692" i="2"/>
  <c r="AE692" i="2"/>
  <c r="AF692" i="2"/>
  <c r="AG692" i="2"/>
  <c r="AH692" i="2"/>
  <c r="AI692" i="2"/>
  <c r="AJ692" i="2"/>
  <c r="AM692" i="2"/>
  <c r="AN692" i="2"/>
  <c r="S693" i="2"/>
  <c r="U693" i="2"/>
  <c r="W693" i="2"/>
  <c r="X693" i="2"/>
  <c r="Y693" i="2"/>
  <c r="Z693" i="2"/>
  <c r="AA693" i="2"/>
  <c r="AB693" i="2"/>
  <c r="AC693" i="2"/>
  <c r="AE693" i="2"/>
  <c r="AF693" i="2"/>
  <c r="AG693" i="2"/>
  <c r="AH693" i="2"/>
  <c r="AI693" i="2"/>
  <c r="AJ693" i="2"/>
  <c r="AM693" i="2"/>
  <c r="AN693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Z695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U696" i="2"/>
  <c r="W696" i="2"/>
  <c r="Z696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W697" i="2"/>
  <c r="Z697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U698" i="2"/>
  <c r="W698" i="2"/>
  <c r="X698" i="2"/>
  <c r="Y698" i="2"/>
  <c r="Z698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U699" i="2"/>
  <c r="W699" i="2"/>
  <c r="X699" i="2"/>
  <c r="Y699" i="2"/>
  <c r="Z699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U700" i="2"/>
  <c r="W700" i="2"/>
  <c r="X700" i="2"/>
  <c r="Y700" i="2"/>
  <c r="Z700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U701" i="2"/>
  <c r="W701" i="2"/>
  <c r="X701" i="2"/>
  <c r="Y701" i="2"/>
  <c r="Z701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U702" i="2"/>
  <c r="W702" i="2"/>
  <c r="X702" i="2"/>
  <c r="Y702" i="2"/>
  <c r="Z702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Z703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U704" i="2"/>
  <c r="W704" i="2"/>
  <c r="Z704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U705" i="2"/>
  <c r="W705" i="2"/>
  <c r="X705" i="2"/>
  <c r="Y705" i="2"/>
  <c r="Z705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S706" i="2"/>
  <c r="T706" i="2"/>
  <c r="U706" i="2"/>
  <c r="W706" i="2"/>
  <c r="X706" i="2"/>
  <c r="Y706" i="2"/>
  <c r="Z706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U707" i="2"/>
  <c r="V707" i="2"/>
  <c r="Y707" i="2"/>
  <c r="Z707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U708" i="2"/>
  <c r="W708" i="2"/>
  <c r="X708" i="2"/>
  <c r="Y708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U709" i="2"/>
  <c r="W709" i="2"/>
  <c r="X709" i="2"/>
  <c r="Y709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U710" i="2"/>
  <c r="W710" i="2"/>
  <c r="X710" i="2"/>
  <c r="Y710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U711" i="2"/>
  <c r="W711" i="2"/>
  <c r="X711" i="2"/>
  <c r="Y711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Q713" i="2"/>
  <c r="R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U714" i="2"/>
  <c r="W714" i="2"/>
  <c r="X714" i="2"/>
  <c r="Y714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U715" i="2"/>
  <c r="W715" i="2"/>
  <c r="X715" i="2"/>
  <c r="Y715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U716" i="2"/>
  <c r="W716" i="2"/>
  <c r="X716" i="2"/>
  <c r="Y716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Q717" i="2"/>
  <c r="R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U718" i="2"/>
  <c r="W718" i="2"/>
  <c r="X718" i="2"/>
  <c r="Y718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U719" i="2"/>
  <c r="W719" i="2"/>
  <c r="X719" i="2"/>
  <c r="Y719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U720" i="2"/>
  <c r="W720" i="2"/>
  <c r="X720" i="2"/>
  <c r="Y720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U721" i="2"/>
  <c r="W721" i="2"/>
  <c r="X721" i="2"/>
  <c r="Y721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Q722" i="2"/>
  <c r="R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U723" i="2"/>
  <c r="W723" i="2"/>
  <c r="X723" i="2"/>
  <c r="Y723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U724" i="2"/>
  <c r="W724" i="2"/>
  <c r="X724" i="2"/>
  <c r="Y724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U725" i="2"/>
  <c r="W725" i="2"/>
  <c r="X725" i="2"/>
  <c r="Y725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U726" i="2"/>
  <c r="W726" i="2"/>
  <c r="X726" i="2"/>
  <c r="Y726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U727" i="2"/>
  <c r="V727" i="2"/>
  <c r="Y727" i="2"/>
  <c r="Z727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U728" i="2"/>
  <c r="V728" i="2"/>
  <c r="X728" i="2"/>
  <c r="Y728" i="2"/>
  <c r="Z728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U729" i="2"/>
  <c r="V729" i="2"/>
  <c r="Y729" i="2"/>
  <c r="Z729" i="2"/>
  <c r="AA729" i="2"/>
  <c r="AC729" i="2"/>
  <c r="AD729" i="2"/>
  <c r="AE729" i="2"/>
  <c r="AF729" i="2"/>
  <c r="AG729" i="2"/>
  <c r="AI729" i="2"/>
  <c r="AJ729" i="2"/>
  <c r="AK729" i="2"/>
  <c r="AL729" i="2"/>
  <c r="AM729" i="2"/>
  <c r="AN729" i="2"/>
  <c r="U730" i="2"/>
  <c r="V730" i="2"/>
  <c r="X730" i="2"/>
  <c r="Y730" i="2"/>
  <c r="Z730" i="2"/>
  <c r="AA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Z731" i="2"/>
  <c r="AJ731" i="2"/>
  <c r="AK731" i="2"/>
  <c r="AL731" i="2"/>
  <c r="AM731" i="2"/>
  <c r="AN731" i="2"/>
  <c r="U732" i="2"/>
  <c r="W732" i="2"/>
  <c r="X732" i="2"/>
  <c r="Y732" i="2"/>
  <c r="Z732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U733" i="2"/>
  <c r="W733" i="2"/>
  <c r="X733" i="2"/>
  <c r="Y733" i="2"/>
  <c r="Z733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X734" i="2"/>
  <c r="Y734" i="2"/>
  <c r="Z734" i="2"/>
  <c r="AE734" i="2"/>
  <c r="AF734" i="2"/>
  <c r="AG734" i="2"/>
  <c r="AH734" i="2"/>
  <c r="AI734" i="2"/>
  <c r="AJ734" i="2"/>
  <c r="AK734" i="2"/>
  <c r="AL734" i="2"/>
  <c r="AM734" i="2"/>
  <c r="AN734" i="2"/>
  <c r="U735" i="2"/>
  <c r="W735" i="2"/>
  <c r="X735" i="2"/>
  <c r="Y735" i="2"/>
  <c r="Z735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U736" i="2"/>
  <c r="W736" i="2"/>
  <c r="X736" i="2"/>
  <c r="Y736" i="2"/>
  <c r="Z736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V737" i="2"/>
  <c r="X737" i="2"/>
  <c r="Y737" i="2"/>
  <c r="Z737" i="2"/>
  <c r="AA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Z738" i="2"/>
  <c r="AJ738" i="2"/>
  <c r="AK738" i="2"/>
  <c r="AL738" i="2"/>
  <c r="AM738" i="2"/>
  <c r="AN738" i="2"/>
  <c r="U739" i="2"/>
  <c r="W739" i="2"/>
  <c r="X739" i="2"/>
  <c r="Y739" i="2"/>
  <c r="Z739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U740" i="2"/>
  <c r="W740" i="2"/>
  <c r="X740" i="2"/>
  <c r="Y740" i="2"/>
  <c r="Z740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X741" i="2"/>
  <c r="Y741" i="2"/>
  <c r="Z741" i="2"/>
  <c r="AE741" i="2"/>
  <c r="AF741" i="2"/>
  <c r="AG741" i="2"/>
  <c r="AH741" i="2"/>
  <c r="AI741" i="2"/>
  <c r="AJ741" i="2"/>
  <c r="AK741" i="2"/>
  <c r="AL741" i="2"/>
  <c r="AM741" i="2"/>
  <c r="AN741" i="2"/>
  <c r="U742" i="2"/>
  <c r="W742" i="2"/>
  <c r="X742" i="2"/>
  <c r="Y742" i="2"/>
  <c r="Z742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U743" i="2"/>
  <c r="W743" i="2"/>
  <c r="X743" i="2"/>
  <c r="Y743" i="2"/>
  <c r="Z743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V744" i="2"/>
  <c r="X744" i="2"/>
  <c r="Y744" i="2"/>
  <c r="Z744" i="2"/>
  <c r="AA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Z745" i="2"/>
  <c r="AJ745" i="2"/>
  <c r="AK745" i="2"/>
  <c r="AL745" i="2"/>
  <c r="AM745" i="2"/>
  <c r="AN745" i="2"/>
  <c r="U746" i="2"/>
  <c r="W746" i="2"/>
  <c r="X746" i="2"/>
  <c r="Y746" i="2"/>
  <c r="Z746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U747" i="2"/>
  <c r="W747" i="2"/>
  <c r="X747" i="2"/>
  <c r="Y747" i="2"/>
  <c r="Z747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U748" i="2"/>
  <c r="W748" i="2"/>
  <c r="X748" i="2"/>
  <c r="Y748" i="2"/>
  <c r="Z748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U749" i="2"/>
  <c r="W749" i="2"/>
  <c r="X749" i="2"/>
  <c r="Y749" i="2"/>
  <c r="Z749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X750" i="2"/>
  <c r="Y750" i="2"/>
  <c r="Z750" i="2"/>
  <c r="AE750" i="2"/>
  <c r="AF750" i="2"/>
  <c r="AG750" i="2"/>
  <c r="AH750" i="2"/>
  <c r="AI750" i="2"/>
  <c r="AJ750" i="2"/>
  <c r="AK750" i="2"/>
  <c r="AL750" i="2"/>
  <c r="AM750" i="2"/>
  <c r="AN750" i="2"/>
  <c r="U751" i="2"/>
  <c r="W751" i="2"/>
  <c r="X751" i="2"/>
  <c r="Y751" i="2"/>
  <c r="Z751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U752" i="2"/>
  <c r="W752" i="2"/>
  <c r="X752" i="2"/>
  <c r="Y752" i="2"/>
  <c r="Z752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U753" i="2"/>
  <c r="W753" i="2"/>
  <c r="X753" i="2"/>
  <c r="Y753" i="2"/>
  <c r="Z753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U754" i="2"/>
  <c r="W754" i="2"/>
  <c r="X754" i="2"/>
  <c r="Y754" i="2"/>
  <c r="Z754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Z755" i="2"/>
  <c r="AJ755" i="2"/>
  <c r="AK755" i="2"/>
  <c r="AL755" i="2"/>
  <c r="AM755" i="2"/>
  <c r="AN755" i="2"/>
  <c r="U756" i="2"/>
  <c r="W756" i="2"/>
  <c r="X756" i="2"/>
  <c r="Y756" i="2"/>
  <c r="Z756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U757" i="2"/>
  <c r="W757" i="2"/>
  <c r="X757" i="2"/>
  <c r="Y757" i="2"/>
  <c r="Z757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U758" i="2"/>
  <c r="W758" i="2"/>
  <c r="X758" i="2"/>
  <c r="Y758" i="2"/>
  <c r="Z758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U759" i="2"/>
  <c r="W759" i="2"/>
  <c r="X759" i="2"/>
  <c r="Y759" i="2"/>
  <c r="Z759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X760" i="2"/>
  <c r="Y760" i="2"/>
  <c r="Z760" i="2"/>
  <c r="AE760" i="2"/>
  <c r="AF760" i="2"/>
  <c r="AG760" i="2"/>
  <c r="AH760" i="2"/>
  <c r="AI760" i="2"/>
  <c r="AJ760" i="2"/>
  <c r="AK760" i="2"/>
  <c r="AL760" i="2"/>
  <c r="AM760" i="2"/>
  <c r="AN760" i="2"/>
  <c r="U761" i="2"/>
  <c r="W761" i="2"/>
  <c r="X761" i="2"/>
  <c r="Y761" i="2"/>
  <c r="Z761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U762" i="2"/>
  <c r="W762" i="2"/>
  <c r="X762" i="2"/>
  <c r="Y762" i="2"/>
  <c r="Z762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U763" i="2"/>
  <c r="W763" i="2"/>
  <c r="X763" i="2"/>
  <c r="Y763" i="2"/>
  <c r="Z763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U764" i="2"/>
  <c r="W764" i="2"/>
  <c r="X764" i="2"/>
  <c r="Y764" i="2"/>
  <c r="Z764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Z765" i="2"/>
  <c r="AJ765" i="2"/>
  <c r="AK765" i="2"/>
  <c r="AL765" i="2"/>
  <c r="AM765" i="2"/>
  <c r="AN765" i="2"/>
  <c r="U766" i="2"/>
  <c r="W766" i="2"/>
  <c r="X766" i="2"/>
  <c r="Y766" i="2"/>
  <c r="Z766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U767" i="2"/>
  <c r="W767" i="2"/>
  <c r="X767" i="2"/>
  <c r="Y767" i="2"/>
  <c r="Z767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Z768" i="2"/>
  <c r="AJ768" i="2"/>
  <c r="AK768" i="2"/>
  <c r="AL768" i="2"/>
  <c r="AM768" i="2"/>
  <c r="AN768" i="2"/>
  <c r="Z769" i="2"/>
  <c r="AJ769" i="2"/>
  <c r="AK769" i="2"/>
  <c r="AL769" i="2"/>
  <c r="AM769" i="2"/>
  <c r="AN769" i="2"/>
  <c r="U770" i="2"/>
  <c r="W770" i="2"/>
  <c r="X770" i="2"/>
  <c r="Y770" i="2"/>
  <c r="Z770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U771" i="2"/>
  <c r="W771" i="2"/>
  <c r="X771" i="2"/>
  <c r="Y771" i="2"/>
  <c r="Z771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U772" i="2"/>
  <c r="W772" i="2"/>
  <c r="X772" i="2"/>
  <c r="Y772" i="2"/>
  <c r="Z772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U773" i="2"/>
  <c r="W773" i="2"/>
  <c r="X773" i="2"/>
  <c r="Y773" i="2"/>
  <c r="Z773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U774" i="2"/>
  <c r="W774" i="2"/>
  <c r="X774" i="2"/>
  <c r="Y774" i="2"/>
  <c r="Z774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U775" i="2"/>
  <c r="W775" i="2"/>
  <c r="X775" i="2"/>
  <c r="Y775" i="2"/>
  <c r="Z775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U776" i="2"/>
  <c r="W776" i="2"/>
  <c r="X776" i="2"/>
  <c r="Y776" i="2"/>
  <c r="Z776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U777" i="2"/>
  <c r="W777" i="2"/>
  <c r="X777" i="2"/>
  <c r="Y777" i="2"/>
  <c r="Z777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X778" i="2"/>
  <c r="Y778" i="2"/>
  <c r="Z778" i="2"/>
  <c r="AE778" i="2"/>
  <c r="AF778" i="2"/>
  <c r="AG778" i="2"/>
  <c r="AH778" i="2"/>
  <c r="AI778" i="2"/>
  <c r="AJ778" i="2"/>
  <c r="AK778" i="2"/>
  <c r="AL778" i="2"/>
  <c r="AM778" i="2"/>
  <c r="AN778" i="2"/>
  <c r="U779" i="2"/>
  <c r="W779" i="2"/>
  <c r="X779" i="2"/>
  <c r="Y779" i="2"/>
  <c r="Z779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U780" i="2"/>
  <c r="W780" i="2"/>
  <c r="X780" i="2"/>
  <c r="Y780" i="2"/>
  <c r="Z780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U781" i="2"/>
  <c r="W781" i="2"/>
  <c r="X781" i="2"/>
  <c r="Y781" i="2"/>
  <c r="Z781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U782" i="2"/>
  <c r="W782" i="2"/>
  <c r="X782" i="2"/>
  <c r="Y782" i="2"/>
  <c r="Z782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U783" i="2"/>
  <c r="W783" i="2"/>
  <c r="X783" i="2"/>
  <c r="Y783" i="2"/>
  <c r="Z783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U784" i="2"/>
  <c r="W784" i="2"/>
  <c r="X784" i="2"/>
  <c r="Y784" i="2"/>
  <c r="Z784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Z785" i="2"/>
  <c r="AJ785" i="2"/>
  <c r="AK785" i="2"/>
  <c r="AL785" i="2"/>
  <c r="AM785" i="2"/>
  <c r="AN785" i="2"/>
  <c r="U786" i="2"/>
  <c r="W786" i="2"/>
  <c r="X786" i="2"/>
  <c r="Y786" i="2"/>
  <c r="Z786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U787" i="2"/>
  <c r="W787" i="2"/>
  <c r="X787" i="2"/>
  <c r="Y787" i="2"/>
  <c r="Z787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X788" i="2"/>
  <c r="Y788" i="2"/>
  <c r="Z788" i="2"/>
  <c r="AE788" i="2"/>
  <c r="AF788" i="2"/>
  <c r="AG788" i="2"/>
  <c r="AH788" i="2"/>
  <c r="AI788" i="2"/>
  <c r="AJ788" i="2"/>
  <c r="AK788" i="2"/>
  <c r="AL788" i="2"/>
  <c r="AM788" i="2"/>
  <c r="AN788" i="2"/>
  <c r="U789" i="2"/>
  <c r="W789" i="2"/>
  <c r="X789" i="2"/>
  <c r="Y789" i="2"/>
  <c r="Z789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U790" i="2"/>
  <c r="W790" i="2"/>
  <c r="X790" i="2"/>
  <c r="Y790" i="2"/>
  <c r="Z790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Z791" i="2"/>
  <c r="AJ791" i="2"/>
  <c r="AK791" i="2"/>
  <c r="AL791" i="2"/>
  <c r="AM791" i="2"/>
  <c r="AN791" i="2"/>
  <c r="U792" i="2"/>
  <c r="W792" i="2"/>
  <c r="X792" i="2"/>
  <c r="Y792" i="2"/>
  <c r="Z792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U793" i="2"/>
  <c r="W793" i="2"/>
  <c r="X793" i="2"/>
  <c r="Y793" i="2"/>
  <c r="Z793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X794" i="2"/>
  <c r="Y794" i="2"/>
  <c r="Z794" i="2"/>
  <c r="AE794" i="2"/>
  <c r="AF794" i="2"/>
  <c r="AG794" i="2"/>
  <c r="AH794" i="2"/>
  <c r="AI794" i="2"/>
  <c r="AJ794" i="2"/>
  <c r="AK794" i="2"/>
  <c r="AL794" i="2"/>
  <c r="AM794" i="2"/>
  <c r="AN794" i="2"/>
  <c r="U795" i="2"/>
  <c r="W795" i="2"/>
  <c r="X795" i="2"/>
  <c r="Y795" i="2"/>
  <c r="Z795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U796" i="2"/>
  <c r="W796" i="2"/>
  <c r="X796" i="2"/>
  <c r="Y796" i="2"/>
  <c r="Z796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Z797" i="2"/>
  <c r="AJ797" i="2"/>
  <c r="AK797" i="2"/>
  <c r="AL797" i="2"/>
  <c r="AM797" i="2"/>
  <c r="AN797" i="2"/>
  <c r="U798" i="2"/>
  <c r="W798" i="2"/>
  <c r="X798" i="2"/>
  <c r="Y798" i="2"/>
  <c r="Z798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U799" i="2"/>
  <c r="W799" i="2"/>
  <c r="X799" i="2"/>
  <c r="Y799" i="2"/>
  <c r="Z799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U800" i="2"/>
  <c r="W800" i="2"/>
  <c r="X800" i="2"/>
  <c r="Y800" i="2"/>
  <c r="Z800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U801" i="2"/>
  <c r="W801" i="2"/>
  <c r="X801" i="2"/>
  <c r="Y801" i="2"/>
  <c r="Z801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X802" i="2"/>
  <c r="Y802" i="2"/>
  <c r="Z802" i="2"/>
  <c r="AE802" i="2"/>
  <c r="AF802" i="2"/>
  <c r="AG802" i="2"/>
  <c r="AH802" i="2"/>
  <c r="AI802" i="2"/>
  <c r="AJ802" i="2"/>
  <c r="AK802" i="2"/>
  <c r="AL802" i="2"/>
  <c r="AM802" i="2"/>
  <c r="AN802" i="2"/>
  <c r="U803" i="2"/>
  <c r="W803" i="2"/>
  <c r="X803" i="2"/>
  <c r="Y803" i="2"/>
  <c r="Z803" i="2"/>
  <c r="AA803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U804" i="2"/>
  <c r="W804" i="2"/>
  <c r="X804" i="2"/>
  <c r="Y804" i="2"/>
  <c r="Z804" i="2"/>
  <c r="AA804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U805" i="2"/>
  <c r="W805" i="2"/>
  <c r="X805" i="2"/>
  <c r="Y805" i="2"/>
  <c r="Z805" i="2"/>
  <c r="AA805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U806" i="2"/>
  <c r="W806" i="2"/>
  <c r="X806" i="2"/>
  <c r="Y806" i="2"/>
  <c r="Z806" i="2"/>
  <c r="AA806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V807" i="2"/>
  <c r="W807" i="2"/>
  <c r="X807" i="2"/>
  <c r="Y807" i="2"/>
  <c r="Z807" i="2"/>
  <c r="AA807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X808" i="2"/>
  <c r="Y808" i="2"/>
  <c r="Z808" i="2"/>
  <c r="AE808" i="2"/>
  <c r="AF808" i="2"/>
  <c r="AG808" i="2"/>
  <c r="AH808" i="2"/>
  <c r="AI808" i="2"/>
  <c r="AJ808" i="2"/>
  <c r="AK808" i="2"/>
  <c r="AL808" i="2"/>
  <c r="AM808" i="2"/>
  <c r="AN808" i="2"/>
  <c r="U809" i="2"/>
  <c r="W809" i="2"/>
  <c r="X809" i="2"/>
  <c r="Y809" i="2"/>
  <c r="Z809" i="2"/>
  <c r="AA809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U810" i="2"/>
  <c r="W810" i="2"/>
  <c r="X810" i="2"/>
  <c r="Y810" i="2"/>
  <c r="Z810" i="2"/>
  <c r="AA810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X811" i="2"/>
  <c r="Y811" i="2"/>
  <c r="Z811" i="2"/>
  <c r="AE811" i="2"/>
  <c r="AF811" i="2"/>
  <c r="AG811" i="2"/>
  <c r="AH811" i="2"/>
  <c r="AI811" i="2"/>
  <c r="AJ811" i="2"/>
  <c r="AK811" i="2"/>
  <c r="AL811" i="2"/>
  <c r="AM811" i="2"/>
  <c r="AN811" i="2"/>
  <c r="U812" i="2"/>
  <c r="W812" i="2"/>
  <c r="X812" i="2"/>
  <c r="Y812" i="2"/>
  <c r="Z812" i="2"/>
  <c r="AA812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U813" i="2"/>
  <c r="W813" i="2"/>
  <c r="X813" i="2"/>
  <c r="Y813" i="2"/>
  <c r="Z813" i="2"/>
  <c r="AA813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X814" i="2"/>
  <c r="Y814" i="2"/>
  <c r="Z814" i="2"/>
  <c r="AE814" i="2"/>
  <c r="AF814" i="2"/>
  <c r="AG814" i="2"/>
  <c r="AH814" i="2"/>
  <c r="AI814" i="2"/>
  <c r="AJ814" i="2"/>
  <c r="AK814" i="2"/>
  <c r="AL814" i="2"/>
  <c r="AM814" i="2"/>
  <c r="AN814" i="2"/>
  <c r="U815" i="2"/>
  <c r="W815" i="2"/>
  <c r="X815" i="2"/>
  <c r="Y815" i="2"/>
  <c r="Z815" i="2"/>
  <c r="AA815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U816" i="2"/>
  <c r="W816" i="2"/>
  <c r="X816" i="2"/>
  <c r="Y816" i="2"/>
  <c r="Z816" i="2"/>
  <c r="AA816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X817" i="2"/>
  <c r="Y817" i="2"/>
  <c r="Z817" i="2"/>
  <c r="AE817" i="2"/>
  <c r="AF817" i="2"/>
  <c r="AG817" i="2"/>
  <c r="AH817" i="2"/>
  <c r="AI817" i="2"/>
  <c r="AJ817" i="2"/>
  <c r="AK817" i="2"/>
  <c r="AL817" i="2"/>
  <c r="AM817" i="2"/>
  <c r="AN817" i="2"/>
  <c r="U818" i="2"/>
  <c r="W818" i="2"/>
  <c r="X818" i="2"/>
  <c r="Y818" i="2"/>
  <c r="Z818" i="2"/>
  <c r="AA818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U819" i="2"/>
  <c r="W819" i="2"/>
  <c r="X819" i="2"/>
  <c r="Y819" i="2"/>
  <c r="Z819" i="2"/>
  <c r="AA819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V820" i="2"/>
  <c r="Y820" i="2"/>
  <c r="Z820" i="2"/>
  <c r="AA820" i="2"/>
  <c r="AC820" i="2"/>
  <c r="AD820" i="2"/>
  <c r="AE820" i="2"/>
  <c r="AF820" i="2"/>
  <c r="AG820" i="2"/>
  <c r="AI820" i="2"/>
  <c r="AJ820" i="2"/>
  <c r="AK820" i="2"/>
  <c r="AL820" i="2"/>
  <c r="AM820" i="2"/>
  <c r="AN820" i="2"/>
  <c r="Z821" i="2"/>
  <c r="AJ821" i="2"/>
  <c r="AK821" i="2"/>
  <c r="AL821" i="2"/>
  <c r="AM821" i="2"/>
  <c r="AN821" i="2"/>
  <c r="Z822" i="2"/>
  <c r="AJ822" i="2"/>
  <c r="AK822" i="2"/>
  <c r="AL822" i="2"/>
  <c r="AM822" i="2"/>
  <c r="AN822" i="2"/>
  <c r="U823" i="2"/>
  <c r="W823" i="2"/>
  <c r="X823" i="2"/>
  <c r="Y823" i="2"/>
  <c r="Z823" i="2"/>
  <c r="AA823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U824" i="2"/>
  <c r="W824" i="2"/>
  <c r="X824" i="2"/>
  <c r="Y824" i="2"/>
  <c r="Z824" i="2"/>
  <c r="AA824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U825" i="2"/>
  <c r="W825" i="2"/>
  <c r="X825" i="2"/>
  <c r="Y825" i="2"/>
  <c r="Z825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U826" i="2"/>
  <c r="W826" i="2"/>
  <c r="X826" i="2"/>
  <c r="Y826" i="2"/>
  <c r="Z826" i="2"/>
  <c r="AA826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U827" i="2"/>
  <c r="W827" i="2"/>
  <c r="X827" i="2"/>
  <c r="Y827" i="2"/>
  <c r="Z827" i="2"/>
  <c r="AA827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U828" i="2"/>
  <c r="W828" i="2"/>
  <c r="X828" i="2"/>
  <c r="Y828" i="2"/>
  <c r="Z828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Z829" i="2"/>
  <c r="AJ829" i="2"/>
  <c r="AK829" i="2"/>
  <c r="AL829" i="2"/>
  <c r="AM829" i="2"/>
  <c r="AN829" i="2"/>
  <c r="U830" i="2"/>
  <c r="W830" i="2"/>
  <c r="X830" i="2"/>
  <c r="Y830" i="2"/>
  <c r="Z830" i="2"/>
  <c r="AA830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U831" i="2"/>
  <c r="W831" i="2"/>
  <c r="X831" i="2"/>
  <c r="Y831" i="2"/>
  <c r="Z831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U832" i="2"/>
  <c r="W832" i="2"/>
  <c r="X832" i="2"/>
  <c r="Y832" i="2"/>
  <c r="Z832" i="2"/>
  <c r="AA832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U833" i="2"/>
  <c r="W833" i="2"/>
  <c r="X833" i="2"/>
  <c r="Y833" i="2"/>
  <c r="Z833" i="2"/>
  <c r="AA833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U834" i="2"/>
  <c r="W834" i="2"/>
  <c r="X834" i="2"/>
  <c r="Y834" i="2"/>
  <c r="Z834" i="2"/>
  <c r="AA834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U835" i="2"/>
  <c r="W835" i="2"/>
  <c r="X835" i="2"/>
  <c r="Y835" i="2"/>
  <c r="Z835" i="2"/>
  <c r="AA835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U836" i="2"/>
  <c r="V836" i="2"/>
  <c r="X836" i="2"/>
  <c r="Y836" i="2"/>
  <c r="Z836" i="2"/>
  <c r="AA836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U837" i="2"/>
  <c r="V837" i="2"/>
  <c r="X837" i="2"/>
  <c r="Y837" i="2"/>
  <c r="Z837" i="2"/>
  <c r="AA837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Z838" i="2"/>
  <c r="AJ838" i="2"/>
  <c r="AK838" i="2"/>
  <c r="AL838" i="2"/>
  <c r="AM838" i="2"/>
  <c r="AN838" i="2"/>
  <c r="U839" i="2"/>
  <c r="W839" i="2"/>
  <c r="X839" i="2"/>
  <c r="Y839" i="2"/>
  <c r="Z839" i="2"/>
  <c r="AA839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U840" i="2"/>
  <c r="W840" i="2"/>
  <c r="X840" i="2"/>
  <c r="Y840" i="2"/>
  <c r="Z840" i="2"/>
  <c r="AA840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U841" i="2"/>
  <c r="W841" i="2"/>
  <c r="X841" i="2"/>
  <c r="Y841" i="2"/>
  <c r="Z841" i="2"/>
  <c r="AA841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U842" i="2"/>
  <c r="W842" i="2"/>
  <c r="X842" i="2"/>
  <c r="Y842" i="2"/>
  <c r="Z842" i="2"/>
  <c r="AA842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X843" i="2"/>
  <c r="Y843" i="2"/>
  <c r="Z843" i="2"/>
  <c r="AE843" i="2"/>
  <c r="AF843" i="2"/>
  <c r="AG843" i="2"/>
  <c r="AH843" i="2"/>
  <c r="AI843" i="2"/>
  <c r="AJ843" i="2"/>
  <c r="AK843" i="2"/>
  <c r="AL843" i="2"/>
  <c r="AM843" i="2"/>
  <c r="AN843" i="2"/>
  <c r="U844" i="2"/>
  <c r="W844" i="2"/>
  <c r="X844" i="2"/>
  <c r="Y844" i="2"/>
  <c r="Z844" i="2"/>
  <c r="AA844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U845" i="2"/>
  <c r="W845" i="2"/>
  <c r="X845" i="2"/>
  <c r="Y845" i="2"/>
  <c r="Z845" i="2"/>
  <c r="AA845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U846" i="2"/>
  <c r="W846" i="2"/>
  <c r="X846" i="2"/>
  <c r="Y846" i="2"/>
  <c r="Z846" i="2"/>
  <c r="AA846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U847" i="2"/>
  <c r="W847" i="2"/>
  <c r="X847" i="2"/>
  <c r="Y847" i="2"/>
  <c r="Z847" i="2"/>
  <c r="AA847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U848" i="2"/>
  <c r="V848" i="2"/>
  <c r="W848" i="2"/>
  <c r="X848" i="2"/>
  <c r="Y848" i="2"/>
  <c r="Z848" i="2"/>
  <c r="AA848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Z849" i="2"/>
  <c r="AJ849" i="2"/>
  <c r="AK849" i="2"/>
  <c r="AL849" i="2"/>
  <c r="AM849" i="2"/>
  <c r="AN849" i="2"/>
  <c r="U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U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U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U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X854" i="2"/>
  <c r="Y854" i="2"/>
  <c r="Z854" i="2"/>
  <c r="AE854" i="2"/>
  <c r="AF854" i="2"/>
  <c r="AG854" i="2"/>
  <c r="AH854" i="2"/>
  <c r="AI854" i="2"/>
  <c r="AJ854" i="2"/>
  <c r="AK854" i="2"/>
  <c r="AL854" i="2"/>
  <c r="AM854" i="2"/>
  <c r="AN854" i="2"/>
  <c r="U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U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U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U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U859" i="2"/>
  <c r="V859" i="2"/>
  <c r="X859" i="2"/>
  <c r="Y859" i="2"/>
  <c r="Z859" i="2"/>
  <c r="AA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Z860" i="2"/>
  <c r="AJ860" i="2"/>
  <c r="AK860" i="2"/>
  <c r="AL860" i="2"/>
  <c r="AM860" i="2"/>
  <c r="AN860" i="2"/>
  <c r="U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U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U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U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U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U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U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U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U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U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U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U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U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U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X875" i="2"/>
  <c r="Y875" i="2"/>
  <c r="Z875" i="2"/>
  <c r="AE875" i="2"/>
  <c r="AF875" i="2"/>
  <c r="AG875" i="2"/>
  <c r="AH875" i="2"/>
  <c r="AI875" i="2"/>
  <c r="AJ875" i="2"/>
  <c r="AK875" i="2"/>
  <c r="AL875" i="2"/>
  <c r="AM875" i="2"/>
  <c r="AN875" i="2"/>
  <c r="U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U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U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U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U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U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U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U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U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U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U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U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U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U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U890" i="2"/>
  <c r="V890" i="2"/>
  <c r="X890" i="2"/>
  <c r="Y890" i="2"/>
  <c r="Z890" i="2"/>
  <c r="AA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Z891" i="2"/>
  <c r="AJ891" i="2"/>
  <c r="AK891" i="2"/>
  <c r="AL891" i="2"/>
  <c r="AM891" i="2"/>
  <c r="AN891" i="2"/>
  <c r="U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U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U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U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U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U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X898" i="2"/>
  <c r="Y898" i="2"/>
  <c r="Z898" i="2"/>
  <c r="AE898" i="2"/>
  <c r="AF898" i="2"/>
  <c r="AG898" i="2"/>
  <c r="AH898" i="2"/>
  <c r="AI898" i="2"/>
  <c r="AJ898" i="2"/>
  <c r="AK898" i="2"/>
  <c r="AL898" i="2"/>
  <c r="AM898" i="2"/>
  <c r="AN898" i="2"/>
  <c r="U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U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U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U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U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U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U905" i="2"/>
  <c r="V905" i="2"/>
  <c r="X905" i="2"/>
  <c r="Y905" i="2"/>
  <c r="Z905" i="2"/>
  <c r="AA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Z906" i="2"/>
  <c r="AJ906" i="2"/>
  <c r="AK906" i="2"/>
  <c r="AL906" i="2"/>
  <c r="AM906" i="2"/>
  <c r="AN906" i="2"/>
  <c r="U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U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U909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U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U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U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U913" i="2"/>
  <c r="W913" i="2"/>
  <c r="X913" i="2"/>
  <c r="Y913" i="2"/>
  <c r="Z913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U914" i="2"/>
  <c r="W914" i="2"/>
  <c r="X914" i="2"/>
  <c r="Y914" i="2"/>
  <c r="Z914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X915" i="2"/>
  <c r="Y915" i="2"/>
  <c r="Z915" i="2"/>
  <c r="AE915" i="2"/>
  <c r="AF915" i="2"/>
  <c r="AG915" i="2"/>
  <c r="AH915" i="2"/>
  <c r="AI915" i="2"/>
  <c r="AJ915" i="2"/>
  <c r="AK915" i="2"/>
  <c r="AL915" i="2"/>
  <c r="AM915" i="2"/>
  <c r="AN915" i="2"/>
  <c r="U916" i="2"/>
  <c r="W916" i="2"/>
  <c r="X916" i="2"/>
  <c r="Y916" i="2"/>
  <c r="Z916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U917" i="2"/>
  <c r="W917" i="2"/>
  <c r="X917" i="2"/>
  <c r="Y917" i="2"/>
  <c r="Z917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U918" i="2"/>
  <c r="W918" i="2"/>
  <c r="X918" i="2"/>
  <c r="Y918" i="2"/>
  <c r="Z918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U919" i="2"/>
  <c r="W919" i="2"/>
  <c r="X919" i="2"/>
  <c r="Y919" i="2"/>
  <c r="Z919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U920" i="2"/>
  <c r="W920" i="2"/>
  <c r="X920" i="2"/>
  <c r="Y920" i="2"/>
  <c r="Z920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U921" i="2"/>
  <c r="W921" i="2"/>
  <c r="X921" i="2"/>
  <c r="Y921" i="2"/>
  <c r="Z921" i="2"/>
  <c r="AA921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U922" i="2"/>
  <c r="W922" i="2"/>
  <c r="X922" i="2"/>
  <c r="Y922" i="2"/>
  <c r="Z922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U923" i="2"/>
  <c r="W923" i="2"/>
  <c r="X923" i="2"/>
  <c r="Y923" i="2"/>
  <c r="Z923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U924" i="2"/>
  <c r="V924" i="2"/>
  <c r="X924" i="2"/>
  <c r="Y924" i="2"/>
  <c r="Z924" i="2"/>
  <c r="AA924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Z925" i="2"/>
  <c r="AJ925" i="2"/>
  <c r="AK925" i="2"/>
  <c r="AL925" i="2"/>
  <c r="AM925" i="2"/>
  <c r="AN925" i="2"/>
  <c r="U926" i="2"/>
  <c r="W926" i="2"/>
  <c r="X926" i="2"/>
  <c r="Y926" i="2"/>
  <c r="Z926" i="2"/>
  <c r="AA926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U927" i="2"/>
  <c r="W927" i="2"/>
  <c r="X927" i="2"/>
  <c r="Y927" i="2"/>
  <c r="Z927" i="2"/>
  <c r="AA927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U928" i="2"/>
  <c r="W928" i="2"/>
  <c r="X928" i="2"/>
  <c r="Y928" i="2"/>
  <c r="Z928" i="2"/>
  <c r="AA928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U929" i="2"/>
  <c r="W929" i="2"/>
  <c r="X929" i="2"/>
  <c r="Y929" i="2"/>
  <c r="Z929" i="2"/>
  <c r="AA929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U930" i="2"/>
  <c r="W930" i="2"/>
  <c r="X930" i="2"/>
  <c r="Y930" i="2"/>
  <c r="Z930" i="2"/>
  <c r="AA930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U931" i="2"/>
  <c r="W931" i="2"/>
  <c r="X931" i="2"/>
  <c r="Y931" i="2"/>
  <c r="Z931" i="2"/>
  <c r="AA931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U932" i="2"/>
  <c r="W932" i="2"/>
  <c r="X932" i="2"/>
  <c r="Y932" i="2"/>
  <c r="Z932" i="2"/>
  <c r="AA932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U933" i="2"/>
  <c r="W933" i="2"/>
  <c r="X933" i="2"/>
  <c r="Y933" i="2"/>
  <c r="Z933" i="2"/>
  <c r="AA933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U934" i="2"/>
  <c r="W934" i="2"/>
  <c r="X934" i="2"/>
  <c r="Y934" i="2"/>
  <c r="Z934" i="2"/>
  <c r="AA934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U935" i="2"/>
  <c r="W935" i="2"/>
  <c r="X935" i="2"/>
  <c r="Y935" i="2"/>
  <c r="Z935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X936" i="2"/>
  <c r="Y936" i="2"/>
  <c r="Z936" i="2"/>
  <c r="AE936" i="2"/>
  <c r="AF936" i="2"/>
  <c r="AG936" i="2"/>
  <c r="AH936" i="2"/>
  <c r="AI936" i="2"/>
  <c r="AJ936" i="2"/>
  <c r="AK936" i="2"/>
  <c r="AL936" i="2"/>
  <c r="AM936" i="2"/>
  <c r="AN936" i="2"/>
  <c r="U937" i="2"/>
  <c r="W937" i="2"/>
  <c r="X937" i="2"/>
  <c r="Y937" i="2"/>
  <c r="Z937" i="2"/>
  <c r="AA937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U938" i="2"/>
  <c r="W938" i="2"/>
  <c r="X938" i="2"/>
  <c r="Y938" i="2"/>
  <c r="Z938" i="2"/>
  <c r="AA938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U939" i="2"/>
  <c r="W939" i="2"/>
  <c r="X939" i="2"/>
  <c r="Y939" i="2"/>
  <c r="Z939" i="2"/>
  <c r="AA939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U940" i="2"/>
  <c r="W940" i="2"/>
  <c r="X940" i="2"/>
  <c r="Y940" i="2"/>
  <c r="Z940" i="2"/>
  <c r="AA940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U941" i="2"/>
  <c r="W941" i="2"/>
  <c r="X941" i="2"/>
  <c r="Y941" i="2"/>
  <c r="Z941" i="2"/>
  <c r="AA941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U942" i="2"/>
  <c r="W942" i="2"/>
  <c r="X942" i="2"/>
  <c r="Y942" i="2"/>
  <c r="Z942" i="2"/>
  <c r="AA942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U943" i="2"/>
  <c r="W943" i="2"/>
  <c r="X943" i="2"/>
  <c r="Y943" i="2"/>
  <c r="Z943" i="2"/>
  <c r="AA943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U944" i="2"/>
  <c r="W944" i="2"/>
  <c r="X944" i="2"/>
  <c r="Y944" i="2"/>
  <c r="Z944" i="2"/>
  <c r="AA944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U945" i="2"/>
  <c r="W945" i="2"/>
  <c r="X945" i="2"/>
  <c r="Y945" i="2"/>
  <c r="Z945" i="2"/>
  <c r="AA945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U946" i="2"/>
  <c r="W946" i="2"/>
  <c r="X946" i="2"/>
  <c r="Y946" i="2"/>
  <c r="Z946" i="2"/>
  <c r="AA946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U947" i="2"/>
  <c r="V947" i="2"/>
  <c r="X947" i="2"/>
  <c r="Y947" i="2"/>
  <c r="Z947" i="2"/>
  <c r="AA947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Z948" i="2"/>
  <c r="AJ948" i="2"/>
  <c r="AK948" i="2"/>
  <c r="AL948" i="2"/>
  <c r="AM948" i="2"/>
  <c r="AN948" i="2"/>
  <c r="U949" i="2"/>
  <c r="W949" i="2"/>
  <c r="X949" i="2"/>
  <c r="Y949" i="2"/>
  <c r="Z949" i="2"/>
  <c r="AA949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U950" i="2"/>
  <c r="V950" i="2"/>
  <c r="X950" i="2"/>
  <c r="Y950" i="2"/>
  <c r="Z950" i="2"/>
  <c r="AA950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Z951" i="2"/>
  <c r="AJ951" i="2"/>
  <c r="AK951" i="2"/>
  <c r="AL951" i="2"/>
  <c r="AM951" i="2"/>
  <c r="AN951" i="2"/>
  <c r="U952" i="2"/>
  <c r="W952" i="2"/>
  <c r="X952" i="2"/>
  <c r="Y952" i="2"/>
  <c r="Z952" i="2"/>
  <c r="AA952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U953" i="2"/>
  <c r="W953" i="2"/>
  <c r="X953" i="2"/>
  <c r="Y953" i="2"/>
  <c r="Z953" i="2"/>
  <c r="AA953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U954" i="2"/>
  <c r="W954" i="2"/>
  <c r="X954" i="2"/>
  <c r="Y954" i="2"/>
  <c r="Z954" i="2"/>
  <c r="AA954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U955" i="2"/>
  <c r="W955" i="2"/>
  <c r="X955" i="2"/>
  <c r="Y955" i="2"/>
  <c r="Z955" i="2"/>
  <c r="AA955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U956" i="2"/>
  <c r="W956" i="2"/>
  <c r="X956" i="2"/>
  <c r="Y956" i="2"/>
  <c r="Z956" i="2"/>
  <c r="AA956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U957" i="2"/>
  <c r="W957" i="2"/>
  <c r="X957" i="2"/>
  <c r="Y957" i="2"/>
  <c r="Z957" i="2"/>
  <c r="AA957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U958" i="2"/>
  <c r="W958" i="2"/>
  <c r="X958" i="2"/>
  <c r="Y958" i="2"/>
  <c r="Z958" i="2"/>
  <c r="AA958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U959" i="2"/>
  <c r="W959" i="2"/>
  <c r="X959" i="2"/>
  <c r="Y959" i="2"/>
  <c r="Z959" i="2"/>
  <c r="AA959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U960" i="2"/>
  <c r="W960" i="2"/>
  <c r="X960" i="2"/>
  <c r="Y960" i="2"/>
  <c r="Z960" i="2"/>
  <c r="AA960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U961" i="2"/>
  <c r="W961" i="2"/>
  <c r="X961" i="2"/>
  <c r="Y961" i="2"/>
  <c r="Z961" i="2"/>
  <c r="AA961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U962" i="2"/>
  <c r="W962" i="2"/>
  <c r="X962" i="2"/>
  <c r="Y962" i="2"/>
  <c r="Z962" i="2"/>
  <c r="AA962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U963" i="2"/>
  <c r="W963" i="2"/>
  <c r="X963" i="2"/>
  <c r="Y963" i="2"/>
  <c r="Z963" i="2"/>
  <c r="AA963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X964" i="2"/>
  <c r="Y964" i="2"/>
  <c r="Z964" i="2"/>
  <c r="AE964" i="2"/>
  <c r="AF964" i="2"/>
  <c r="AG964" i="2"/>
  <c r="AH964" i="2"/>
  <c r="AI964" i="2"/>
  <c r="AJ964" i="2"/>
  <c r="AK964" i="2"/>
  <c r="AL964" i="2"/>
  <c r="AM964" i="2"/>
  <c r="AN964" i="2"/>
  <c r="U965" i="2"/>
  <c r="W965" i="2"/>
  <c r="X965" i="2"/>
  <c r="Y965" i="2"/>
  <c r="Z965" i="2"/>
  <c r="AA965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U966" i="2"/>
  <c r="W966" i="2"/>
  <c r="X966" i="2"/>
  <c r="Y966" i="2"/>
  <c r="Z966" i="2"/>
  <c r="AA966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U967" i="2"/>
  <c r="W967" i="2"/>
  <c r="X967" i="2"/>
  <c r="Y967" i="2"/>
  <c r="Z967" i="2"/>
  <c r="AA967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U968" i="2"/>
  <c r="W968" i="2"/>
  <c r="X968" i="2"/>
  <c r="Y968" i="2"/>
  <c r="Z968" i="2"/>
  <c r="AA968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U969" i="2"/>
  <c r="W969" i="2"/>
  <c r="X969" i="2"/>
  <c r="Y969" i="2"/>
  <c r="Z969" i="2"/>
  <c r="AA969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U970" i="2"/>
  <c r="W970" i="2"/>
  <c r="X970" i="2"/>
  <c r="Y970" i="2"/>
  <c r="Z970" i="2"/>
  <c r="AA970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U971" i="2"/>
  <c r="W971" i="2"/>
  <c r="X971" i="2"/>
  <c r="Y971" i="2"/>
  <c r="Z971" i="2"/>
  <c r="AA971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U972" i="2"/>
  <c r="W972" i="2"/>
  <c r="X972" i="2"/>
  <c r="Y972" i="2"/>
  <c r="Z972" i="2"/>
  <c r="AA972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U973" i="2"/>
  <c r="W973" i="2"/>
  <c r="X973" i="2"/>
  <c r="Y973" i="2"/>
  <c r="Z973" i="2"/>
  <c r="AA973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U974" i="2"/>
  <c r="W974" i="2"/>
  <c r="X974" i="2"/>
  <c r="Y974" i="2"/>
  <c r="Z974" i="2"/>
  <c r="AA974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U975" i="2"/>
  <c r="W975" i="2"/>
  <c r="X975" i="2"/>
  <c r="Y975" i="2"/>
  <c r="Z975" i="2"/>
  <c r="AA975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U976" i="2"/>
  <c r="W976" i="2"/>
  <c r="X976" i="2"/>
  <c r="Y976" i="2"/>
  <c r="Z976" i="2"/>
  <c r="AA976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Z977" i="2"/>
  <c r="AJ977" i="2"/>
  <c r="AK977" i="2"/>
  <c r="AL977" i="2"/>
  <c r="AM977" i="2"/>
  <c r="AN977" i="2"/>
  <c r="U978" i="2"/>
  <c r="W978" i="2"/>
  <c r="X978" i="2"/>
  <c r="Y978" i="2"/>
  <c r="Z978" i="2"/>
  <c r="AA978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U979" i="2"/>
  <c r="W979" i="2"/>
  <c r="X979" i="2"/>
  <c r="Y979" i="2"/>
  <c r="Z979" i="2"/>
  <c r="AA979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U980" i="2"/>
  <c r="W980" i="2"/>
  <c r="X980" i="2"/>
  <c r="Y980" i="2"/>
  <c r="Z980" i="2"/>
  <c r="AA980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U981" i="2"/>
  <c r="V981" i="2"/>
  <c r="X981" i="2"/>
  <c r="Y981" i="2"/>
  <c r="Z981" i="2"/>
  <c r="AA981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X982" i="2"/>
  <c r="Y982" i="2"/>
  <c r="Z982" i="2"/>
  <c r="AE982" i="2"/>
  <c r="AF982" i="2"/>
  <c r="AG982" i="2"/>
  <c r="AH982" i="2"/>
  <c r="AI982" i="2"/>
  <c r="AJ982" i="2"/>
  <c r="AK982" i="2"/>
  <c r="AL982" i="2"/>
  <c r="AM982" i="2"/>
  <c r="AN982" i="2"/>
  <c r="U983" i="2"/>
  <c r="W983" i="2"/>
  <c r="X983" i="2"/>
  <c r="Y983" i="2"/>
  <c r="Z983" i="2"/>
  <c r="AA983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U984" i="2"/>
  <c r="W984" i="2"/>
  <c r="X984" i="2"/>
  <c r="Y984" i="2"/>
  <c r="Z984" i="2"/>
  <c r="AA984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U985" i="2"/>
  <c r="W985" i="2"/>
  <c r="X985" i="2"/>
  <c r="Y985" i="2"/>
  <c r="Z985" i="2"/>
  <c r="AA985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U986" i="2"/>
  <c r="W986" i="2"/>
  <c r="X986" i="2"/>
  <c r="Y986" i="2"/>
  <c r="Z986" i="2"/>
  <c r="AA986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X987" i="2"/>
  <c r="Y987" i="2"/>
  <c r="Z987" i="2"/>
  <c r="AE987" i="2"/>
  <c r="AF987" i="2"/>
  <c r="AG987" i="2"/>
  <c r="AH987" i="2"/>
  <c r="AI987" i="2"/>
  <c r="AJ987" i="2"/>
  <c r="AK987" i="2"/>
  <c r="AL987" i="2"/>
  <c r="AM987" i="2"/>
  <c r="AN987" i="2"/>
  <c r="U988" i="2"/>
  <c r="W988" i="2"/>
  <c r="X988" i="2"/>
  <c r="Y988" i="2"/>
  <c r="Z988" i="2"/>
  <c r="AA988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U989" i="2"/>
  <c r="W989" i="2"/>
  <c r="X989" i="2"/>
  <c r="Y989" i="2"/>
  <c r="Z989" i="2"/>
  <c r="AA989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U990" i="2"/>
  <c r="W990" i="2"/>
  <c r="X990" i="2"/>
  <c r="Y990" i="2"/>
  <c r="Z990" i="2"/>
  <c r="AA990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U991" i="2"/>
  <c r="W991" i="2"/>
  <c r="X991" i="2"/>
  <c r="Y991" i="2"/>
  <c r="Z991" i="2"/>
  <c r="AA991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X992" i="2"/>
  <c r="Y992" i="2"/>
  <c r="Z992" i="2"/>
  <c r="AE992" i="2"/>
  <c r="AF992" i="2"/>
  <c r="AG992" i="2"/>
  <c r="AH992" i="2"/>
  <c r="AI992" i="2"/>
  <c r="AJ992" i="2"/>
  <c r="AK992" i="2"/>
  <c r="AL992" i="2"/>
  <c r="AM992" i="2"/>
  <c r="AN992" i="2"/>
  <c r="U993" i="2"/>
  <c r="W993" i="2"/>
  <c r="X993" i="2"/>
  <c r="Y993" i="2"/>
  <c r="Z993" i="2"/>
  <c r="AA993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U994" i="2"/>
  <c r="W994" i="2"/>
  <c r="X994" i="2"/>
  <c r="Y994" i="2"/>
  <c r="Z994" i="2"/>
  <c r="AA994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X995" i="2"/>
  <c r="Y995" i="2"/>
  <c r="Z995" i="2"/>
  <c r="AE995" i="2"/>
  <c r="AF995" i="2"/>
  <c r="AG995" i="2"/>
  <c r="AH995" i="2"/>
  <c r="AI995" i="2"/>
  <c r="AJ995" i="2"/>
  <c r="AK995" i="2"/>
  <c r="AL995" i="2"/>
  <c r="AM995" i="2"/>
  <c r="AN995" i="2"/>
  <c r="U996" i="2"/>
  <c r="W996" i="2"/>
  <c r="X996" i="2"/>
  <c r="Y996" i="2"/>
  <c r="Z996" i="2"/>
  <c r="AA996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U997" i="2"/>
  <c r="W997" i="2"/>
  <c r="X997" i="2"/>
  <c r="Y997" i="2"/>
  <c r="Z997" i="2"/>
  <c r="AA997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U998" i="2"/>
  <c r="W998" i="2"/>
  <c r="X998" i="2"/>
  <c r="Y998" i="2"/>
  <c r="Z998" i="2"/>
  <c r="AA998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U999" i="2"/>
  <c r="W999" i="2"/>
  <c r="X999" i="2"/>
  <c r="Y999" i="2"/>
  <c r="Z999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X1000" i="2"/>
  <c r="Y1000" i="2"/>
  <c r="Z1000" i="2"/>
  <c r="AE1000" i="2"/>
  <c r="AF1000" i="2"/>
  <c r="AG1000" i="2"/>
  <c r="AH1000" i="2"/>
  <c r="AI1000" i="2"/>
  <c r="AJ1000" i="2"/>
  <c r="AK1000" i="2"/>
  <c r="AL1000" i="2"/>
  <c r="AM1000" i="2"/>
  <c r="AN1000" i="2"/>
  <c r="U1001" i="2"/>
  <c r="W1001" i="2"/>
  <c r="X1001" i="2"/>
  <c r="Y1001" i="2"/>
  <c r="Z1001" i="2"/>
  <c r="AA1001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U1002" i="2"/>
  <c r="W1002" i="2"/>
  <c r="X1002" i="2"/>
  <c r="Y1002" i="2"/>
  <c r="Z1002" i="2"/>
  <c r="AA1002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X1003" i="2"/>
  <c r="Y1003" i="2"/>
  <c r="Z1003" i="2"/>
  <c r="AE1003" i="2"/>
  <c r="AF1003" i="2"/>
  <c r="AG1003" i="2"/>
  <c r="AH1003" i="2"/>
  <c r="AI1003" i="2"/>
  <c r="AJ1003" i="2"/>
  <c r="AK1003" i="2"/>
  <c r="AL1003" i="2"/>
  <c r="AM1003" i="2"/>
  <c r="AN1003" i="2"/>
  <c r="U1004" i="2"/>
  <c r="W1004" i="2"/>
  <c r="X1004" i="2"/>
  <c r="Y1004" i="2"/>
  <c r="Z1004" i="2"/>
  <c r="AA1004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U1005" i="2"/>
  <c r="W1005" i="2"/>
  <c r="X1005" i="2"/>
  <c r="Y1005" i="2"/>
  <c r="Z1005" i="2"/>
  <c r="AA1005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X1006" i="2"/>
  <c r="Y1006" i="2"/>
  <c r="Z1006" i="2"/>
  <c r="AE1006" i="2"/>
  <c r="AF1006" i="2"/>
  <c r="AG1006" i="2"/>
  <c r="AH1006" i="2"/>
  <c r="AI1006" i="2"/>
  <c r="AJ1006" i="2"/>
  <c r="AK1006" i="2"/>
  <c r="AL1006" i="2"/>
  <c r="AM1006" i="2"/>
  <c r="AN1006" i="2"/>
  <c r="U1007" i="2"/>
  <c r="W1007" i="2"/>
  <c r="X1007" i="2"/>
  <c r="Y1007" i="2"/>
  <c r="Z1007" i="2"/>
  <c r="AA1007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X1008" i="2"/>
  <c r="Y1008" i="2"/>
  <c r="Z1008" i="2"/>
  <c r="AE1008" i="2"/>
  <c r="AF1008" i="2"/>
  <c r="AG1008" i="2"/>
  <c r="AH1008" i="2"/>
  <c r="AI1008" i="2"/>
  <c r="AJ1008" i="2"/>
  <c r="AK1008" i="2"/>
  <c r="AL1008" i="2"/>
  <c r="AM1008" i="2"/>
  <c r="AN1008" i="2"/>
  <c r="U1009" i="2"/>
  <c r="W1009" i="2"/>
  <c r="X1009" i="2"/>
  <c r="Y1009" i="2"/>
  <c r="Z1009" i="2"/>
  <c r="AA1009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U1010" i="2"/>
  <c r="W1010" i="2"/>
  <c r="X1010" i="2"/>
  <c r="Y1010" i="2"/>
  <c r="Z1010" i="2"/>
  <c r="AA1010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N1012" i="2"/>
  <c r="S1013" i="2"/>
  <c r="U1013" i="2"/>
  <c r="W1013" i="2"/>
  <c r="X1013" i="2"/>
  <c r="Y1013" i="2"/>
  <c r="Z1013" i="2"/>
  <c r="AA1013" i="2"/>
  <c r="AB1013" i="2"/>
  <c r="AE1013" i="2"/>
  <c r="AF1013" i="2"/>
  <c r="AG1013" i="2"/>
  <c r="AI1013" i="2"/>
  <c r="AJ1013" i="2"/>
  <c r="AK1013" i="2"/>
  <c r="AL1013" i="2"/>
  <c r="AN1013" i="2"/>
  <c r="S1014" i="2"/>
  <c r="U1014" i="2"/>
  <c r="W1014" i="2"/>
  <c r="X1014" i="2"/>
  <c r="Y1014" i="2"/>
  <c r="Z1014" i="2"/>
  <c r="AA1014" i="2"/>
  <c r="AB1014" i="2"/>
  <c r="AE1014" i="2"/>
  <c r="AF1014" i="2"/>
  <c r="AG1014" i="2"/>
  <c r="AI1014" i="2"/>
  <c r="AJ1014" i="2"/>
  <c r="AK1014" i="2"/>
  <c r="AL1014" i="2"/>
  <c r="AN1014" i="2"/>
  <c r="S1015" i="2"/>
  <c r="U1015" i="2"/>
  <c r="W1015" i="2"/>
  <c r="X1015" i="2"/>
  <c r="Y1015" i="2"/>
  <c r="Z1015" i="2"/>
  <c r="AA1015" i="2"/>
  <c r="AB1015" i="2"/>
  <c r="AE1015" i="2"/>
  <c r="AF1015" i="2"/>
  <c r="AG1015" i="2"/>
  <c r="AI1015" i="2"/>
  <c r="AJ1015" i="2"/>
  <c r="AK1015" i="2"/>
  <c r="AL1015" i="2"/>
  <c r="AN1015" i="2"/>
  <c r="S1016" i="2"/>
  <c r="U1016" i="2"/>
  <c r="W1016" i="2"/>
  <c r="X1016" i="2"/>
  <c r="Y1016" i="2"/>
  <c r="Z1016" i="2"/>
  <c r="AA1016" i="2"/>
  <c r="AB1016" i="2"/>
  <c r="AE1016" i="2"/>
  <c r="AF1016" i="2"/>
  <c r="AG1016" i="2"/>
  <c r="AI1016" i="2"/>
  <c r="AJ1016" i="2"/>
  <c r="AK1016" i="2"/>
  <c r="AL1016" i="2"/>
  <c r="AN1016" i="2"/>
  <c r="Y1017" i="2"/>
  <c r="AH1017" i="2"/>
  <c r="AI1017" i="2"/>
  <c r="AJ1017" i="2"/>
  <c r="AK1017" i="2"/>
  <c r="AL1017" i="2"/>
  <c r="AM1017" i="2"/>
  <c r="AN1017" i="2"/>
  <c r="Y1018" i="2"/>
  <c r="AH1018" i="2"/>
  <c r="AI1018" i="2"/>
  <c r="AJ1018" i="2"/>
  <c r="AK1018" i="2"/>
  <c r="AL1018" i="2"/>
  <c r="AM1018" i="2"/>
  <c r="AN1018" i="2"/>
  <c r="U1019" i="2"/>
  <c r="W1019" i="2"/>
  <c r="X1019" i="2"/>
  <c r="Y1019" i="2"/>
  <c r="AA1019" i="2"/>
  <c r="AH1019" i="2"/>
  <c r="AJ1019" i="2"/>
  <c r="AK1019" i="2"/>
  <c r="AL1019" i="2"/>
  <c r="AM1019" i="2"/>
  <c r="AN1019" i="2"/>
  <c r="U1020" i="2"/>
  <c r="W1020" i="2"/>
  <c r="X1020" i="2"/>
  <c r="Y1020" i="2"/>
  <c r="AA1020" i="2"/>
  <c r="AH1020" i="2"/>
  <c r="AJ1020" i="2"/>
  <c r="AK1020" i="2"/>
  <c r="AL1020" i="2"/>
  <c r="AM1020" i="2"/>
  <c r="AN1020" i="2"/>
  <c r="U1021" i="2"/>
  <c r="W1021" i="2"/>
  <c r="X1021" i="2"/>
  <c r="Y1021" i="2"/>
  <c r="AA1021" i="2"/>
  <c r="AH1021" i="2"/>
  <c r="AJ1021" i="2"/>
  <c r="AK1021" i="2"/>
  <c r="AL1021" i="2"/>
  <c r="AM1021" i="2"/>
  <c r="AN1021" i="2"/>
  <c r="Y1022" i="2"/>
  <c r="AH1022" i="2"/>
  <c r="AI1022" i="2"/>
  <c r="AJ1022" i="2"/>
  <c r="AK1022" i="2"/>
  <c r="AL1022" i="2"/>
  <c r="AM1022" i="2"/>
  <c r="AN1022" i="2"/>
  <c r="U1023" i="2"/>
  <c r="W1023" i="2"/>
  <c r="X1023" i="2"/>
  <c r="Y1023" i="2"/>
  <c r="AA1023" i="2"/>
  <c r="AB1023" i="2"/>
  <c r="AC1023" i="2"/>
  <c r="AD1023" i="2"/>
  <c r="AE1023" i="2"/>
  <c r="AF1023" i="2"/>
  <c r="AH1023" i="2"/>
  <c r="AI1023" i="2"/>
  <c r="AJ1023" i="2"/>
  <c r="AK1023" i="2"/>
  <c r="AL1023" i="2"/>
  <c r="AM1023" i="2"/>
  <c r="AN1023" i="2"/>
  <c r="U1024" i="2"/>
  <c r="W1024" i="2"/>
  <c r="X1024" i="2"/>
  <c r="Y1024" i="2"/>
  <c r="AA1024" i="2"/>
  <c r="AB1024" i="2"/>
  <c r="AC1024" i="2"/>
  <c r="AD1024" i="2"/>
  <c r="AE1024" i="2"/>
  <c r="AF1024" i="2"/>
  <c r="AH1024" i="2"/>
  <c r="AI1024" i="2"/>
  <c r="AJ1024" i="2"/>
  <c r="AK1024" i="2"/>
  <c r="AL1024" i="2"/>
  <c r="AM1024" i="2"/>
  <c r="AN1024" i="2"/>
  <c r="U1025" i="2"/>
  <c r="W1025" i="2"/>
  <c r="X1025" i="2"/>
  <c r="Y1025" i="2"/>
  <c r="AA1025" i="2"/>
  <c r="AB1025" i="2"/>
  <c r="AC1025" i="2"/>
  <c r="AD1025" i="2"/>
  <c r="AE1025" i="2"/>
  <c r="AF1025" i="2"/>
  <c r="AH1025" i="2"/>
  <c r="AI1025" i="2"/>
  <c r="AJ1025" i="2"/>
  <c r="AK1025" i="2"/>
  <c r="AL1025" i="2"/>
  <c r="AM1025" i="2"/>
  <c r="AN1025" i="2"/>
  <c r="U1026" i="2"/>
  <c r="W1026" i="2"/>
  <c r="X1026" i="2"/>
  <c r="Y1026" i="2"/>
  <c r="AA1026" i="2"/>
  <c r="AB1026" i="2"/>
  <c r="AC1026" i="2"/>
  <c r="AD1026" i="2"/>
  <c r="AE1026" i="2"/>
  <c r="AF1026" i="2"/>
  <c r="AH1026" i="2"/>
  <c r="AI1026" i="2"/>
  <c r="AJ1026" i="2"/>
  <c r="AK1026" i="2"/>
  <c r="AL1026" i="2"/>
  <c r="AM1026" i="2"/>
  <c r="AN1026" i="2"/>
  <c r="U1027" i="2"/>
  <c r="V1027" i="2"/>
  <c r="X1027" i="2"/>
  <c r="Y1027" i="2"/>
  <c r="Z1027" i="2"/>
  <c r="AA1027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U1028" i="2"/>
  <c r="V1028" i="2"/>
  <c r="X1028" i="2"/>
  <c r="Y1028" i="2"/>
  <c r="Z1028" i="2"/>
  <c r="AA1028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G1029" i="2"/>
  <c r="AH1029" i="2"/>
  <c r="AI1029" i="2"/>
  <c r="AJ1029" i="2"/>
  <c r="AK1029" i="2"/>
  <c r="AL1029" i="2"/>
  <c r="AM1029" i="2"/>
  <c r="AN1029" i="2"/>
  <c r="Q1030" i="2"/>
  <c r="R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Q1031" i="2"/>
  <c r="R1031" i="2"/>
  <c r="U1031" i="2"/>
  <c r="W1031" i="2"/>
  <c r="X1031" i="2"/>
  <c r="Y1031" i="2"/>
  <c r="Z1031" i="2"/>
  <c r="AA1031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U1032" i="2"/>
  <c r="W1032" i="2"/>
  <c r="X1032" i="2"/>
  <c r="Y1032" i="2"/>
  <c r="Z1032" i="2"/>
  <c r="AA1032" i="2"/>
  <c r="AB1032" i="2"/>
  <c r="AC1032" i="2"/>
  <c r="AE1032" i="2"/>
  <c r="AF1032" i="2"/>
  <c r="AG1032" i="2"/>
  <c r="AH1032" i="2"/>
  <c r="AI1032" i="2"/>
  <c r="AJ1032" i="2"/>
  <c r="AK1032" i="2"/>
  <c r="AL1032" i="2"/>
  <c r="AM1032" i="2"/>
  <c r="AN1032" i="2"/>
  <c r="U1033" i="2"/>
  <c r="W1033" i="2"/>
  <c r="X1033" i="2"/>
  <c r="Y1033" i="2"/>
  <c r="Z1033" i="2"/>
  <c r="AA1033" i="2"/>
  <c r="AB1033" i="2"/>
  <c r="AC1033" i="2"/>
  <c r="AE1033" i="2"/>
  <c r="AF1033" i="2"/>
  <c r="AG1033" i="2"/>
  <c r="AH1033" i="2"/>
  <c r="AI1033" i="2"/>
  <c r="AJ1033" i="2"/>
  <c r="AK1033" i="2"/>
  <c r="AL1033" i="2"/>
  <c r="AM1033" i="2"/>
  <c r="AN1033" i="2"/>
  <c r="U1034" i="2"/>
  <c r="W1034" i="2"/>
  <c r="X1034" i="2"/>
  <c r="Y1034" i="2"/>
  <c r="Z1034" i="2"/>
  <c r="AA1034" i="2"/>
  <c r="AB1034" i="2"/>
  <c r="AC1034" i="2"/>
  <c r="AE1034" i="2"/>
  <c r="AF1034" i="2"/>
  <c r="AG1034" i="2"/>
  <c r="AH1034" i="2"/>
  <c r="AI1034" i="2"/>
  <c r="AJ1034" i="2"/>
  <c r="AK1034" i="2"/>
  <c r="AL1034" i="2"/>
  <c r="AM1034" i="2"/>
  <c r="AN1034" i="2"/>
  <c r="U1035" i="2"/>
  <c r="W1035" i="2"/>
  <c r="X1035" i="2"/>
  <c r="Y1035" i="2"/>
  <c r="Z1035" i="2"/>
  <c r="AA1035" i="2"/>
  <c r="AB1035" i="2"/>
  <c r="AC1035" i="2"/>
  <c r="AE1035" i="2"/>
  <c r="AF1035" i="2"/>
  <c r="AG1035" i="2"/>
  <c r="AH1035" i="2"/>
  <c r="AI1035" i="2"/>
  <c r="AJ1035" i="2"/>
  <c r="AK1035" i="2"/>
  <c r="AL1035" i="2"/>
  <c r="AM1035" i="2"/>
  <c r="AN1035" i="2"/>
  <c r="U1036" i="2"/>
  <c r="W1036" i="2"/>
  <c r="X1036" i="2"/>
  <c r="Y1036" i="2"/>
  <c r="Z1036" i="2"/>
  <c r="AA1036" i="2"/>
  <c r="AB1036" i="2"/>
  <c r="AC1036" i="2"/>
  <c r="AE1036" i="2"/>
  <c r="AF1036" i="2"/>
  <c r="AG1036" i="2"/>
  <c r="AH1036" i="2"/>
  <c r="AI1036" i="2"/>
  <c r="AJ1036" i="2"/>
  <c r="AK1036" i="2"/>
  <c r="AL1036" i="2"/>
  <c r="AM1036" i="2"/>
  <c r="AN1036" i="2"/>
  <c r="U1037" i="2"/>
  <c r="W1037" i="2"/>
  <c r="X1037" i="2"/>
  <c r="Y1037" i="2"/>
  <c r="Z1037" i="2"/>
  <c r="AA1037" i="2"/>
  <c r="AB1037" i="2"/>
  <c r="AC1037" i="2"/>
  <c r="AE1037" i="2"/>
  <c r="AF1037" i="2"/>
  <c r="AG1037" i="2"/>
  <c r="AH1037" i="2"/>
  <c r="AI1037" i="2"/>
  <c r="AJ1037" i="2"/>
  <c r="AK1037" i="2"/>
  <c r="AL1037" i="2"/>
  <c r="AM1037" i="2"/>
  <c r="AN1037" i="2"/>
  <c r="U1038" i="2"/>
  <c r="W1038" i="2"/>
  <c r="X1038" i="2"/>
  <c r="Y1038" i="2"/>
  <c r="Z1038" i="2"/>
  <c r="AA1038" i="2"/>
  <c r="AB1038" i="2"/>
  <c r="AC1038" i="2"/>
  <c r="AE1038" i="2"/>
  <c r="AF1038" i="2"/>
  <c r="AG1038" i="2"/>
  <c r="AH1038" i="2"/>
  <c r="AI1038" i="2"/>
  <c r="AJ1038" i="2"/>
  <c r="AK1038" i="2"/>
  <c r="AL1038" i="2"/>
  <c r="AM1038" i="2"/>
  <c r="AN1038" i="2"/>
  <c r="U1039" i="2"/>
  <c r="W1039" i="2"/>
  <c r="X1039" i="2"/>
  <c r="Y1039" i="2"/>
  <c r="Z1039" i="2"/>
  <c r="AA1039" i="2"/>
  <c r="AB1039" i="2"/>
  <c r="AC1039" i="2"/>
  <c r="AE1039" i="2"/>
  <c r="AF1039" i="2"/>
  <c r="AG1039" i="2"/>
  <c r="AH1039" i="2"/>
  <c r="AI1039" i="2"/>
  <c r="AJ1039" i="2"/>
  <c r="AK1039" i="2"/>
  <c r="AL1039" i="2"/>
  <c r="AM1039" i="2"/>
  <c r="AN1039" i="2"/>
  <c r="U1040" i="2"/>
  <c r="W1040" i="2"/>
  <c r="X1040" i="2"/>
  <c r="Y1040" i="2"/>
  <c r="Z1040" i="2"/>
  <c r="AA1040" i="2"/>
  <c r="AB1040" i="2"/>
  <c r="AC1040" i="2"/>
  <c r="AE1040" i="2"/>
  <c r="AF1040" i="2"/>
  <c r="AG1040" i="2"/>
  <c r="AH1040" i="2"/>
  <c r="AI1040" i="2"/>
  <c r="AJ1040" i="2"/>
  <c r="AK1040" i="2"/>
  <c r="AL1040" i="2"/>
  <c r="AM1040" i="2"/>
  <c r="AN1040" i="2"/>
  <c r="U1041" i="2"/>
  <c r="W1041" i="2"/>
  <c r="X1041" i="2"/>
  <c r="Y1041" i="2"/>
  <c r="Z1041" i="2"/>
  <c r="AA1041" i="2"/>
  <c r="AB1041" i="2"/>
  <c r="AC1041" i="2"/>
  <c r="AE1041" i="2"/>
  <c r="AF1041" i="2"/>
  <c r="AG1041" i="2"/>
  <c r="AH1041" i="2"/>
  <c r="AI1041" i="2"/>
  <c r="AJ1041" i="2"/>
  <c r="AK1041" i="2"/>
  <c r="AL1041" i="2"/>
  <c r="AM1041" i="2"/>
  <c r="AN1041" i="2"/>
  <c r="U1042" i="2"/>
  <c r="W1042" i="2"/>
  <c r="X1042" i="2"/>
  <c r="Y1042" i="2"/>
  <c r="Z1042" i="2"/>
  <c r="AA1042" i="2"/>
  <c r="AB1042" i="2"/>
  <c r="AC1042" i="2"/>
  <c r="AE1042" i="2"/>
  <c r="AF1042" i="2"/>
  <c r="AG1042" i="2"/>
  <c r="AH1042" i="2"/>
  <c r="AI1042" i="2"/>
  <c r="AJ1042" i="2"/>
  <c r="AK1042" i="2"/>
  <c r="AL1042" i="2"/>
  <c r="AM1042" i="2"/>
  <c r="AN1042" i="2"/>
  <c r="U1043" i="2"/>
  <c r="W1043" i="2"/>
  <c r="X1043" i="2"/>
  <c r="Y1043" i="2"/>
  <c r="Z1043" i="2"/>
  <c r="AA1043" i="2"/>
  <c r="AB1043" i="2"/>
  <c r="AC1043" i="2"/>
  <c r="AE1043" i="2"/>
  <c r="AF1043" i="2"/>
  <c r="AG1043" i="2"/>
  <c r="AH1043" i="2"/>
  <c r="AI1043" i="2"/>
  <c r="AJ1043" i="2"/>
  <c r="AK1043" i="2"/>
  <c r="AL1043" i="2"/>
  <c r="AM1043" i="2"/>
  <c r="AN1043" i="2"/>
  <c r="U1044" i="2"/>
  <c r="W1044" i="2"/>
  <c r="X1044" i="2"/>
  <c r="Y1044" i="2"/>
  <c r="Z1044" i="2"/>
  <c r="AA1044" i="2"/>
  <c r="AB1044" i="2"/>
  <c r="AC1044" i="2"/>
  <c r="AE1044" i="2"/>
  <c r="AF1044" i="2"/>
  <c r="AG1044" i="2"/>
  <c r="AH1044" i="2"/>
  <c r="AI1044" i="2"/>
  <c r="AJ1044" i="2"/>
  <c r="AK1044" i="2"/>
  <c r="AL1044" i="2"/>
  <c r="AM1044" i="2"/>
  <c r="AN1044" i="2"/>
  <c r="U1045" i="2"/>
  <c r="W1045" i="2"/>
  <c r="X1045" i="2"/>
  <c r="Y1045" i="2"/>
  <c r="Z1045" i="2"/>
  <c r="AA1045" i="2"/>
  <c r="AB1045" i="2"/>
  <c r="AC1045" i="2"/>
  <c r="AE1045" i="2"/>
  <c r="AF1045" i="2"/>
  <c r="AG1045" i="2"/>
  <c r="AH1045" i="2"/>
  <c r="AI1045" i="2"/>
  <c r="AJ1045" i="2"/>
  <c r="AK1045" i="2"/>
  <c r="AL1045" i="2"/>
  <c r="AM1045" i="2"/>
  <c r="AN1045" i="2"/>
  <c r="U1046" i="2"/>
  <c r="W1046" i="2"/>
  <c r="X1046" i="2"/>
  <c r="Y1046" i="2"/>
  <c r="Z1046" i="2"/>
  <c r="AA1046" i="2"/>
  <c r="AB1046" i="2"/>
  <c r="AC1046" i="2"/>
  <c r="AE1046" i="2"/>
  <c r="AF1046" i="2"/>
  <c r="AG1046" i="2"/>
  <c r="AH1046" i="2"/>
  <c r="AI1046" i="2"/>
  <c r="AJ1046" i="2"/>
  <c r="AK1046" i="2"/>
  <c r="AL1046" i="2"/>
  <c r="AM1046" i="2"/>
  <c r="AN1046" i="2"/>
  <c r="U1047" i="2"/>
  <c r="W1047" i="2"/>
  <c r="X1047" i="2"/>
  <c r="Y1047" i="2"/>
  <c r="Z1047" i="2"/>
  <c r="AA1047" i="2"/>
  <c r="AB1047" i="2"/>
  <c r="AC1047" i="2"/>
  <c r="AE1047" i="2"/>
  <c r="AF1047" i="2"/>
  <c r="AG1047" i="2"/>
  <c r="AH1047" i="2"/>
  <c r="AI1047" i="2"/>
  <c r="AJ1047" i="2"/>
  <c r="AK1047" i="2"/>
  <c r="AL1047" i="2"/>
  <c r="AM1047" i="2"/>
  <c r="AN1047" i="2"/>
  <c r="U1048" i="2"/>
  <c r="W1048" i="2"/>
  <c r="X1048" i="2"/>
  <c r="Y1048" i="2"/>
  <c r="Z1048" i="2"/>
  <c r="AA1048" i="2"/>
  <c r="AB1048" i="2"/>
  <c r="AC1048" i="2"/>
  <c r="AE1048" i="2"/>
  <c r="AF1048" i="2"/>
  <c r="AG1048" i="2"/>
  <c r="AH1048" i="2"/>
  <c r="AI1048" i="2"/>
  <c r="AJ1048" i="2"/>
  <c r="AK1048" i="2"/>
  <c r="AL1048" i="2"/>
  <c r="AM1048" i="2"/>
  <c r="AN1048" i="2"/>
  <c r="U1049" i="2"/>
  <c r="W1049" i="2"/>
  <c r="X1049" i="2"/>
  <c r="Y1049" i="2"/>
  <c r="Z1049" i="2"/>
  <c r="AA1049" i="2"/>
  <c r="AB1049" i="2"/>
  <c r="AC1049" i="2"/>
  <c r="AE1049" i="2"/>
  <c r="AF1049" i="2"/>
  <c r="AG1049" i="2"/>
  <c r="AH1049" i="2"/>
  <c r="AI1049" i="2"/>
  <c r="AJ1049" i="2"/>
  <c r="AK1049" i="2"/>
  <c r="AL1049" i="2"/>
  <c r="AM1049" i="2"/>
  <c r="AN1049" i="2"/>
  <c r="U1050" i="2"/>
  <c r="W1050" i="2"/>
  <c r="X1050" i="2"/>
  <c r="Y1050" i="2"/>
  <c r="Z1050" i="2"/>
  <c r="AA1050" i="2"/>
  <c r="AB1050" i="2"/>
  <c r="AC1050" i="2"/>
  <c r="AE1050" i="2"/>
  <c r="AF1050" i="2"/>
  <c r="AG1050" i="2"/>
  <c r="AH1050" i="2"/>
  <c r="AI1050" i="2"/>
  <c r="AJ1050" i="2"/>
  <c r="AK1050" i="2"/>
  <c r="AL1050" i="2"/>
  <c r="AM1050" i="2"/>
  <c r="AN1050" i="2"/>
  <c r="U1051" i="2"/>
  <c r="W1051" i="2"/>
  <c r="X1051" i="2"/>
  <c r="Y1051" i="2"/>
  <c r="Z1051" i="2"/>
  <c r="AA1051" i="2"/>
  <c r="AB1051" i="2"/>
  <c r="AC1051" i="2"/>
  <c r="AE1051" i="2"/>
  <c r="AF1051" i="2"/>
  <c r="AG1051" i="2"/>
  <c r="AH1051" i="2"/>
  <c r="AI1051" i="2"/>
  <c r="AJ1051" i="2"/>
  <c r="AK1051" i="2"/>
  <c r="AL1051" i="2"/>
  <c r="AM1051" i="2"/>
  <c r="AN1051" i="2"/>
  <c r="U1052" i="2"/>
  <c r="W1052" i="2"/>
  <c r="X1052" i="2"/>
  <c r="Y1052" i="2"/>
  <c r="Z1052" i="2"/>
  <c r="AA1052" i="2"/>
  <c r="AB1052" i="2"/>
  <c r="AC1052" i="2"/>
  <c r="AE1052" i="2"/>
  <c r="AF1052" i="2"/>
  <c r="AG1052" i="2"/>
  <c r="AH1052" i="2"/>
  <c r="AI1052" i="2"/>
  <c r="AJ1052" i="2"/>
  <c r="AK1052" i="2"/>
  <c r="AL1052" i="2"/>
  <c r="AM1052" i="2"/>
  <c r="AN1052" i="2"/>
  <c r="U1053" i="2"/>
  <c r="W1053" i="2"/>
  <c r="X1053" i="2"/>
  <c r="Y1053" i="2"/>
  <c r="Z1053" i="2"/>
  <c r="AA1053" i="2"/>
  <c r="AB1053" i="2"/>
  <c r="AC1053" i="2"/>
  <c r="AE1053" i="2"/>
  <c r="AF1053" i="2"/>
  <c r="AG1053" i="2"/>
  <c r="AH1053" i="2"/>
  <c r="AI1053" i="2"/>
  <c r="AJ1053" i="2"/>
  <c r="AK1053" i="2"/>
  <c r="AL1053" i="2"/>
  <c r="AM1053" i="2"/>
  <c r="AN1053" i="2"/>
  <c r="U1054" i="2"/>
  <c r="W1054" i="2"/>
  <c r="X1054" i="2"/>
  <c r="Y1054" i="2"/>
  <c r="Z1054" i="2"/>
  <c r="AA1054" i="2"/>
  <c r="AB1054" i="2"/>
  <c r="AC1054" i="2"/>
  <c r="AE1054" i="2"/>
  <c r="AF1054" i="2"/>
  <c r="AG1054" i="2"/>
  <c r="AH1054" i="2"/>
  <c r="AI1054" i="2"/>
  <c r="AJ1054" i="2"/>
  <c r="AK1054" i="2"/>
  <c r="AL1054" i="2"/>
  <c r="AM1054" i="2"/>
  <c r="AN1054" i="2"/>
  <c r="U1055" i="2"/>
  <c r="W1055" i="2"/>
  <c r="X1055" i="2"/>
  <c r="Y1055" i="2"/>
  <c r="Z1055" i="2"/>
  <c r="AA1055" i="2"/>
  <c r="AB1055" i="2"/>
  <c r="AC1055" i="2"/>
  <c r="AE1055" i="2"/>
  <c r="AF1055" i="2"/>
  <c r="AG1055" i="2"/>
  <c r="AH1055" i="2"/>
  <c r="AI1055" i="2"/>
  <c r="AJ1055" i="2"/>
  <c r="AK1055" i="2"/>
  <c r="AL1055" i="2"/>
  <c r="AM1055" i="2"/>
  <c r="AN1055" i="2"/>
  <c r="U1056" i="2"/>
  <c r="W1056" i="2"/>
  <c r="X1056" i="2"/>
  <c r="Y1056" i="2"/>
  <c r="Z1056" i="2"/>
  <c r="AA1056" i="2"/>
  <c r="AB1056" i="2"/>
  <c r="AC1056" i="2"/>
  <c r="AE1056" i="2"/>
  <c r="AF1056" i="2"/>
  <c r="AG1056" i="2"/>
  <c r="AH1056" i="2"/>
  <c r="AI1056" i="2"/>
  <c r="AJ1056" i="2"/>
  <c r="AK1056" i="2"/>
  <c r="AL1056" i="2"/>
  <c r="AM1056" i="2"/>
  <c r="AN1056" i="2"/>
  <c r="U1057" i="2"/>
  <c r="W1057" i="2"/>
  <c r="X1057" i="2"/>
  <c r="Y1057" i="2"/>
  <c r="Z1057" i="2"/>
  <c r="AA1057" i="2"/>
  <c r="AB1057" i="2"/>
  <c r="AC1057" i="2"/>
  <c r="AE1057" i="2"/>
  <c r="AF1057" i="2"/>
  <c r="AG1057" i="2"/>
  <c r="AH1057" i="2"/>
  <c r="AI1057" i="2"/>
  <c r="AJ1057" i="2"/>
  <c r="AK1057" i="2"/>
  <c r="AL1057" i="2"/>
  <c r="AM1057" i="2"/>
  <c r="AN1057" i="2"/>
  <c r="U1058" i="2"/>
  <c r="W1058" i="2"/>
  <c r="X1058" i="2"/>
  <c r="Y1058" i="2"/>
  <c r="Z1058" i="2"/>
  <c r="AA1058" i="2"/>
  <c r="AB1058" i="2"/>
  <c r="AC1058" i="2"/>
  <c r="AE1058" i="2"/>
  <c r="AF1058" i="2"/>
  <c r="AG1058" i="2"/>
  <c r="AH1058" i="2"/>
  <c r="AI1058" i="2"/>
  <c r="AJ1058" i="2"/>
  <c r="AK1058" i="2"/>
  <c r="AL1058" i="2"/>
  <c r="AM1058" i="2"/>
  <c r="AN1058" i="2"/>
  <c r="U1059" i="2"/>
  <c r="W1059" i="2"/>
  <c r="X1059" i="2"/>
  <c r="Y1059" i="2"/>
  <c r="Z1059" i="2"/>
  <c r="AA1059" i="2"/>
  <c r="AB1059" i="2"/>
  <c r="AC1059" i="2"/>
  <c r="AE1059" i="2"/>
  <c r="AF1059" i="2"/>
  <c r="AG1059" i="2"/>
  <c r="AH1059" i="2"/>
  <c r="AI1059" i="2"/>
  <c r="AJ1059" i="2"/>
  <c r="AK1059" i="2"/>
  <c r="AL1059" i="2"/>
  <c r="AM1059" i="2"/>
  <c r="AN1059" i="2"/>
  <c r="U1060" i="2"/>
  <c r="W1060" i="2"/>
  <c r="X1060" i="2"/>
  <c r="Y1060" i="2"/>
  <c r="Z1060" i="2"/>
  <c r="AA1060" i="2"/>
  <c r="AB1060" i="2"/>
  <c r="AC1060" i="2"/>
  <c r="AE1060" i="2"/>
  <c r="AF1060" i="2"/>
  <c r="AG1060" i="2"/>
  <c r="AH1060" i="2"/>
  <c r="AI1060" i="2"/>
  <c r="AJ1060" i="2"/>
  <c r="AK1060" i="2"/>
  <c r="AL1060" i="2"/>
  <c r="AM1060" i="2"/>
  <c r="AN1060" i="2"/>
  <c r="U1061" i="2"/>
  <c r="W1061" i="2"/>
  <c r="X1061" i="2"/>
  <c r="Y1061" i="2"/>
  <c r="Z1061" i="2"/>
  <c r="AA1061" i="2"/>
  <c r="AB1061" i="2"/>
  <c r="AC1061" i="2"/>
  <c r="AE1061" i="2"/>
  <c r="AF1061" i="2"/>
  <c r="AG1061" i="2"/>
  <c r="AH1061" i="2"/>
  <c r="AI1061" i="2"/>
  <c r="AJ1061" i="2"/>
  <c r="AK1061" i="2"/>
  <c r="AL1061" i="2"/>
  <c r="AM1061" i="2"/>
  <c r="AN1061" i="2"/>
  <c r="U1062" i="2"/>
  <c r="W1062" i="2"/>
  <c r="X1062" i="2"/>
  <c r="Y1062" i="2"/>
  <c r="Z1062" i="2"/>
  <c r="AA1062" i="2"/>
  <c r="AB1062" i="2"/>
  <c r="AC1062" i="2"/>
  <c r="AE1062" i="2"/>
  <c r="AF1062" i="2"/>
  <c r="AG1062" i="2"/>
  <c r="AH1062" i="2"/>
  <c r="AI1062" i="2"/>
  <c r="AJ1062" i="2"/>
  <c r="AK1062" i="2"/>
  <c r="AL1062" i="2"/>
  <c r="AM1062" i="2"/>
  <c r="AN1062" i="2"/>
  <c r="U1063" i="2"/>
  <c r="W1063" i="2"/>
  <c r="X1063" i="2"/>
  <c r="Y1063" i="2"/>
  <c r="Z1063" i="2"/>
  <c r="AA1063" i="2"/>
  <c r="AB1063" i="2"/>
  <c r="AC1063" i="2"/>
  <c r="AE1063" i="2"/>
  <c r="AF1063" i="2"/>
  <c r="AG1063" i="2"/>
  <c r="AH1063" i="2"/>
  <c r="AI1063" i="2"/>
  <c r="AJ1063" i="2"/>
  <c r="AK1063" i="2"/>
  <c r="AL1063" i="2"/>
  <c r="AM1063" i="2"/>
  <c r="AN1063" i="2"/>
  <c r="U1064" i="2"/>
  <c r="W1064" i="2"/>
  <c r="X1064" i="2"/>
  <c r="Y1064" i="2"/>
  <c r="Z1064" i="2"/>
  <c r="AA1064" i="2"/>
  <c r="AB1064" i="2"/>
  <c r="AC1064" i="2"/>
  <c r="AE1064" i="2"/>
  <c r="AF1064" i="2"/>
  <c r="AG1064" i="2"/>
  <c r="AH1064" i="2"/>
  <c r="AI1064" i="2"/>
  <c r="AJ1064" i="2"/>
  <c r="AK1064" i="2"/>
  <c r="AL1064" i="2"/>
  <c r="AM1064" i="2"/>
  <c r="AN1064" i="2"/>
  <c r="U1065" i="2"/>
  <c r="W1065" i="2"/>
  <c r="X1065" i="2"/>
  <c r="Y1065" i="2"/>
  <c r="Z1065" i="2"/>
  <c r="AA1065" i="2"/>
  <c r="AB1065" i="2"/>
  <c r="AC1065" i="2"/>
  <c r="AE1065" i="2"/>
  <c r="AF1065" i="2"/>
  <c r="AG1065" i="2"/>
  <c r="AH1065" i="2"/>
  <c r="AI1065" i="2"/>
  <c r="AJ1065" i="2"/>
  <c r="AK1065" i="2"/>
  <c r="AL1065" i="2"/>
  <c r="AM1065" i="2"/>
  <c r="AN1065" i="2"/>
  <c r="U1066" i="2"/>
  <c r="W1066" i="2"/>
  <c r="X1066" i="2"/>
  <c r="Y1066" i="2"/>
  <c r="Z1066" i="2"/>
  <c r="AA1066" i="2"/>
  <c r="AB1066" i="2"/>
  <c r="AC1066" i="2"/>
  <c r="AE1066" i="2"/>
  <c r="AF1066" i="2"/>
  <c r="AG1066" i="2"/>
  <c r="AH1066" i="2"/>
  <c r="AI1066" i="2"/>
  <c r="AJ1066" i="2"/>
  <c r="AK1066" i="2"/>
  <c r="AL1066" i="2"/>
  <c r="AM1066" i="2"/>
  <c r="AN1066" i="2"/>
  <c r="U1067" i="2"/>
  <c r="W1067" i="2"/>
  <c r="X1067" i="2"/>
  <c r="Y1067" i="2"/>
  <c r="Z1067" i="2"/>
  <c r="AA1067" i="2"/>
  <c r="AB1067" i="2"/>
  <c r="AC1067" i="2"/>
  <c r="AE1067" i="2"/>
  <c r="AF1067" i="2"/>
  <c r="AG1067" i="2"/>
  <c r="AH1067" i="2"/>
  <c r="AI1067" i="2"/>
  <c r="AJ1067" i="2"/>
  <c r="AK1067" i="2"/>
  <c r="AL1067" i="2"/>
  <c r="AM1067" i="2"/>
  <c r="AN1067" i="2"/>
  <c r="U1068" i="2"/>
  <c r="W1068" i="2"/>
  <c r="X1068" i="2"/>
  <c r="Y1068" i="2"/>
  <c r="Z1068" i="2"/>
  <c r="AA1068" i="2"/>
  <c r="AB1068" i="2"/>
  <c r="AC1068" i="2"/>
  <c r="AE1068" i="2"/>
  <c r="AF1068" i="2"/>
  <c r="AG1068" i="2"/>
  <c r="AH1068" i="2"/>
  <c r="AI1068" i="2"/>
  <c r="AJ1068" i="2"/>
  <c r="AK1068" i="2"/>
  <c r="AL1068" i="2"/>
  <c r="AM1068" i="2"/>
  <c r="AN1068" i="2"/>
  <c r="U1069" i="2"/>
  <c r="W1069" i="2"/>
  <c r="X1069" i="2"/>
  <c r="Y1069" i="2"/>
  <c r="Z1069" i="2"/>
  <c r="AA1069" i="2"/>
  <c r="AB1069" i="2"/>
  <c r="AC1069" i="2"/>
  <c r="AE1069" i="2"/>
  <c r="AF1069" i="2"/>
  <c r="AG1069" i="2"/>
  <c r="AH1069" i="2"/>
  <c r="AI1069" i="2"/>
  <c r="AJ1069" i="2"/>
  <c r="AK1069" i="2"/>
  <c r="AL1069" i="2"/>
  <c r="AM1069" i="2"/>
  <c r="AN1069" i="2"/>
  <c r="U1070" i="2"/>
  <c r="W1070" i="2"/>
  <c r="X1070" i="2"/>
  <c r="Y1070" i="2"/>
  <c r="Z1070" i="2"/>
  <c r="AA1070" i="2"/>
  <c r="AB1070" i="2"/>
  <c r="AC1070" i="2"/>
  <c r="AE1070" i="2"/>
  <c r="AF1070" i="2"/>
  <c r="AG1070" i="2"/>
  <c r="AH1070" i="2"/>
  <c r="AI1070" i="2"/>
  <c r="AJ1070" i="2"/>
  <c r="AK1070" i="2"/>
  <c r="AL1070" i="2"/>
  <c r="AM1070" i="2"/>
  <c r="AN1070" i="2"/>
  <c r="U1071" i="2"/>
  <c r="W1071" i="2"/>
  <c r="X1071" i="2"/>
  <c r="Y1071" i="2"/>
  <c r="Z1071" i="2"/>
  <c r="AA1071" i="2"/>
  <c r="AB1071" i="2"/>
  <c r="AC1071" i="2"/>
  <c r="AE1071" i="2"/>
  <c r="AF1071" i="2"/>
  <c r="AG1071" i="2"/>
  <c r="AH1071" i="2"/>
  <c r="AI1071" i="2"/>
  <c r="AJ1071" i="2"/>
  <c r="AK1071" i="2"/>
  <c r="AL1071" i="2"/>
  <c r="AM1071" i="2"/>
  <c r="AN1071" i="2"/>
  <c r="U1072" i="2"/>
  <c r="W1072" i="2"/>
  <c r="X1072" i="2"/>
  <c r="Y1072" i="2"/>
  <c r="Z1072" i="2"/>
  <c r="AA1072" i="2"/>
  <c r="AB1072" i="2"/>
  <c r="AC1072" i="2"/>
  <c r="AE1072" i="2"/>
  <c r="AF1072" i="2"/>
  <c r="AG1072" i="2"/>
  <c r="AH1072" i="2"/>
  <c r="AI1072" i="2"/>
  <c r="AJ1072" i="2"/>
  <c r="AK1072" i="2"/>
  <c r="AL1072" i="2"/>
  <c r="AM1072" i="2"/>
  <c r="AN1072" i="2"/>
  <c r="U1073" i="2"/>
  <c r="W1073" i="2"/>
  <c r="X1073" i="2"/>
  <c r="Y1073" i="2"/>
  <c r="Z1073" i="2"/>
  <c r="AA1073" i="2"/>
  <c r="AB1073" i="2"/>
  <c r="AC1073" i="2"/>
  <c r="AE1073" i="2"/>
  <c r="AF1073" i="2"/>
  <c r="AG1073" i="2"/>
  <c r="AH1073" i="2"/>
  <c r="AI1073" i="2"/>
  <c r="AJ1073" i="2"/>
  <c r="AK1073" i="2"/>
  <c r="AL1073" i="2"/>
  <c r="AM1073" i="2"/>
  <c r="AN1073" i="2"/>
  <c r="U1074" i="2"/>
  <c r="W1074" i="2"/>
  <c r="X1074" i="2"/>
  <c r="Y1074" i="2"/>
  <c r="Z1074" i="2"/>
  <c r="AA1074" i="2"/>
  <c r="AB1074" i="2"/>
  <c r="AC1074" i="2"/>
  <c r="AE1074" i="2"/>
  <c r="AF1074" i="2"/>
  <c r="AG1074" i="2"/>
  <c r="AH1074" i="2"/>
  <c r="AI1074" i="2"/>
  <c r="AJ1074" i="2"/>
  <c r="AK1074" i="2"/>
  <c r="AL1074" i="2"/>
  <c r="AM1074" i="2"/>
  <c r="AN1074" i="2"/>
  <c r="U1075" i="2"/>
  <c r="W1075" i="2"/>
  <c r="X1075" i="2"/>
  <c r="Y1075" i="2"/>
  <c r="Z1075" i="2"/>
  <c r="AA1075" i="2"/>
  <c r="AB1075" i="2"/>
  <c r="AC1075" i="2"/>
  <c r="AE1075" i="2"/>
  <c r="AF1075" i="2"/>
  <c r="AG1075" i="2"/>
  <c r="AH1075" i="2"/>
  <c r="AI1075" i="2"/>
  <c r="AJ1075" i="2"/>
  <c r="AK1075" i="2"/>
  <c r="AL1075" i="2"/>
  <c r="AM1075" i="2"/>
  <c r="AN1075" i="2"/>
  <c r="U1076" i="2"/>
  <c r="W1076" i="2"/>
  <c r="X1076" i="2"/>
  <c r="Y1076" i="2"/>
  <c r="Z1076" i="2"/>
  <c r="AA1076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Y1077" i="2"/>
  <c r="AG1077" i="2"/>
  <c r="AH1077" i="2"/>
  <c r="AI1077" i="2"/>
  <c r="AJ1077" i="2"/>
  <c r="AK1077" i="2"/>
  <c r="AL1077" i="2"/>
  <c r="AM1077" i="2"/>
  <c r="AN1077" i="2"/>
  <c r="U1078" i="2"/>
  <c r="W1078" i="2"/>
  <c r="X1078" i="2"/>
  <c r="Y1078" i="2"/>
  <c r="Z1078" i="2"/>
  <c r="AA1078" i="2"/>
  <c r="AB1078" i="2"/>
  <c r="AC1078" i="2"/>
  <c r="AE1078" i="2"/>
  <c r="AF1078" i="2"/>
  <c r="AG1078" i="2"/>
  <c r="AH1078" i="2"/>
  <c r="AI1078" i="2"/>
  <c r="AJ1078" i="2"/>
  <c r="AK1078" i="2"/>
  <c r="AL1078" i="2"/>
  <c r="AM1078" i="2"/>
  <c r="AN1078" i="2"/>
  <c r="U1079" i="2"/>
  <c r="W1079" i="2"/>
  <c r="X1079" i="2"/>
  <c r="Y1079" i="2"/>
  <c r="Z1079" i="2"/>
  <c r="AA1079" i="2"/>
  <c r="AB1079" i="2"/>
  <c r="AC1079" i="2"/>
  <c r="AE1079" i="2"/>
  <c r="AF1079" i="2"/>
  <c r="AG1079" i="2"/>
  <c r="AH1079" i="2"/>
  <c r="AI1079" i="2"/>
  <c r="AJ1079" i="2"/>
  <c r="AK1079" i="2"/>
  <c r="AL1079" i="2"/>
  <c r="AM1079" i="2"/>
  <c r="AN1079" i="2"/>
  <c r="U1080" i="2"/>
  <c r="W1080" i="2"/>
  <c r="X1080" i="2"/>
  <c r="Y1080" i="2"/>
  <c r="Z1080" i="2"/>
  <c r="AA1080" i="2"/>
  <c r="AB1080" i="2"/>
  <c r="AC1080" i="2"/>
  <c r="AE1080" i="2"/>
  <c r="AF1080" i="2"/>
  <c r="AG1080" i="2"/>
  <c r="AH1080" i="2"/>
  <c r="AI1080" i="2"/>
  <c r="AJ1080" i="2"/>
  <c r="AK1080" i="2"/>
  <c r="AL1080" i="2"/>
  <c r="AM1080" i="2"/>
  <c r="AN1080" i="2"/>
  <c r="U1081" i="2"/>
  <c r="W1081" i="2"/>
  <c r="X1081" i="2"/>
  <c r="Y1081" i="2"/>
  <c r="Z1081" i="2"/>
  <c r="AA1081" i="2"/>
  <c r="AB1081" i="2"/>
  <c r="AC1081" i="2"/>
  <c r="AE1081" i="2"/>
  <c r="AF1081" i="2"/>
  <c r="AG1081" i="2"/>
  <c r="AH1081" i="2"/>
  <c r="AI1081" i="2"/>
  <c r="AJ1081" i="2"/>
  <c r="AK1081" i="2"/>
  <c r="AL1081" i="2"/>
  <c r="AM1081" i="2"/>
  <c r="AN1081" i="2"/>
  <c r="U1082" i="2"/>
  <c r="W1082" i="2"/>
  <c r="X1082" i="2"/>
  <c r="Y1082" i="2"/>
  <c r="Z1082" i="2"/>
  <c r="AA1082" i="2"/>
  <c r="AB1082" i="2"/>
  <c r="AC1082" i="2"/>
  <c r="AE1082" i="2"/>
  <c r="AF1082" i="2"/>
  <c r="AG1082" i="2"/>
  <c r="AH1082" i="2"/>
  <c r="AI1082" i="2"/>
  <c r="AJ1082" i="2"/>
  <c r="AK1082" i="2"/>
  <c r="AL1082" i="2"/>
  <c r="AM1082" i="2"/>
  <c r="AN1082" i="2"/>
  <c r="U1083" i="2"/>
  <c r="W1083" i="2"/>
  <c r="X1083" i="2"/>
  <c r="Y1083" i="2"/>
  <c r="Z1083" i="2"/>
  <c r="AA1083" i="2"/>
  <c r="AB1083" i="2"/>
  <c r="AC1083" i="2"/>
  <c r="AE1083" i="2"/>
  <c r="AF1083" i="2"/>
  <c r="AG1083" i="2"/>
  <c r="AH1083" i="2"/>
  <c r="AI1083" i="2"/>
  <c r="AJ1083" i="2"/>
  <c r="AK1083" i="2"/>
  <c r="AL1083" i="2"/>
  <c r="AM1083" i="2"/>
  <c r="AN1083" i="2"/>
  <c r="U1084" i="2"/>
  <c r="W1084" i="2"/>
  <c r="X1084" i="2"/>
  <c r="Y1084" i="2"/>
  <c r="Z1084" i="2"/>
  <c r="AA1084" i="2"/>
  <c r="AB1084" i="2"/>
  <c r="AC1084" i="2"/>
  <c r="AE1084" i="2"/>
  <c r="AF1084" i="2"/>
  <c r="AG1084" i="2"/>
  <c r="AH1084" i="2"/>
  <c r="AI1084" i="2"/>
  <c r="AJ1084" i="2"/>
  <c r="AK1084" i="2"/>
  <c r="AL1084" i="2"/>
  <c r="AM1084" i="2"/>
  <c r="AN1084" i="2"/>
  <c r="U1085" i="2"/>
  <c r="W1085" i="2"/>
  <c r="X1085" i="2"/>
  <c r="Y1085" i="2"/>
  <c r="Z1085" i="2"/>
  <c r="AA1085" i="2"/>
  <c r="AB1085" i="2"/>
  <c r="AC1085" i="2"/>
  <c r="AE1085" i="2"/>
  <c r="AF1085" i="2"/>
  <c r="AG1085" i="2"/>
  <c r="AH1085" i="2"/>
  <c r="AI1085" i="2"/>
  <c r="AJ1085" i="2"/>
  <c r="AK1085" i="2"/>
  <c r="AL1085" i="2"/>
  <c r="AM1085" i="2"/>
  <c r="AN1085" i="2"/>
  <c r="U1086" i="2"/>
  <c r="W1086" i="2"/>
  <c r="X1086" i="2"/>
  <c r="Y1086" i="2"/>
  <c r="Z1086" i="2"/>
  <c r="AA1086" i="2"/>
  <c r="AB1086" i="2"/>
  <c r="AC1086" i="2"/>
  <c r="AE1086" i="2"/>
  <c r="AF1086" i="2"/>
  <c r="AG1086" i="2"/>
  <c r="AH1086" i="2"/>
  <c r="AI1086" i="2"/>
  <c r="AJ1086" i="2"/>
  <c r="AK1086" i="2"/>
  <c r="AL1086" i="2"/>
  <c r="AM1086" i="2"/>
  <c r="AN1086" i="2"/>
  <c r="U1087" i="2"/>
  <c r="W1087" i="2"/>
  <c r="X1087" i="2"/>
  <c r="Y1087" i="2"/>
  <c r="Z1087" i="2"/>
  <c r="AA1087" i="2"/>
  <c r="AB1087" i="2"/>
  <c r="AC1087" i="2"/>
  <c r="AE1087" i="2"/>
  <c r="AF1087" i="2"/>
  <c r="AG1087" i="2"/>
  <c r="AH1087" i="2"/>
  <c r="AI1087" i="2"/>
  <c r="AJ1087" i="2"/>
  <c r="AK1087" i="2"/>
  <c r="AL1087" i="2"/>
  <c r="AM1087" i="2"/>
  <c r="AN1087" i="2"/>
  <c r="U1088" i="2"/>
  <c r="W1088" i="2"/>
  <c r="X1088" i="2"/>
  <c r="Y1088" i="2"/>
  <c r="Z1088" i="2"/>
  <c r="AA1088" i="2"/>
  <c r="AB1088" i="2"/>
  <c r="AC1088" i="2"/>
  <c r="AE1088" i="2"/>
  <c r="AF1088" i="2"/>
  <c r="AG1088" i="2"/>
  <c r="AH1088" i="2"/>
  <c r="AI1088" i="2"/>
  <c r="AJ1088" i="2"/>
  <c r="AK1088" i="2"/>
  <c r="AL1088" i="2"/>
  <c r="AM1088" i="2"/>
  <c r="AN1088" i="2"/>
  <c r="U1089" i="2"/>
  <c r="W1089" i="2"/>
  <c r="X1089" i="2"/>
  <c r="Y1089" i="2"/>
  <c r="Z1089" i="2"/>
  <c r="AA1089" i="2"/>
  <c r="AB1089" i="2"/>
  <c r="AC1089" i="2"/>
  <c r="AE1089" i="2"/>
  <c r="AF1089" i="2"/>
  <c r="AG1089" i="2"/>
  <c r="AH1089" i="2"/>
  <c r="AI1089" i="2"/>
  <c r="AJ1089" i="2"/>
  <c r="AK1089" i="2"/>
  <c r="AL1089" i="2"/>
  <c r="AM1089" i="2"/>
  <c r="AN1089" i="2"/>
  <c r="U1090" i="2"/>
  <c r="W1090" i="2"/>
  <c r="X1090" i="2"/>
  <c r="Y1090" i="2"/>
  <c r="Z1090" i="2"/>
  <c r="AA1090" i="2"/>
  <c r="AB1090" i="2"/>
  <c r="AC1090" i="2"/>
  <c r="AE1090" i="2"/>
  <c r="AF1090" i="2"/>
  <c r="AG1090" i="2"/>
  <c r="AH1090" i="2"/>
  <c r="AI1090" i="2"/>
  <c r="AJ1090" i="2"/>
  <c r="AK1090" i="2"/>
  <c r="AL1090" i="2"/>
  <c r="AM1090" i="2"/>
  <c r="AN1090" i="2"/>
  <c r="U1091" i="2"/>
  <c r="W1091" i="2"/>
  <c r="X1091" i="2"/>
  <c r="Y1091" i="2"/>
  <c r="Z1091" i="2"/>
  <c r="AA1091" i="2"/>
  <c r="AB1091" i="2"/>
  <c r="AC1091" i="2"/>
  <c r="AE1091" i="2"/>
  <c r="AF1091" i="2"/>
  <c r="AG1091" i="2"/>
  <c r="AH1091" i="2"/>
  <c r="AI1091" i="2"/>
  <c r="AJ1091" i="2"/>
  <c r="AK1091" i="2"/>
  <c r="AL1091" i="2"/>
  <c r="AM1091" i="2"/>
  <c r="AN1091" i="2"/>
  <c r="U1092" i="2"/>
  <c r="W1092" i="2"/>
  <c r="X1092" i="2"/>
  <c r="Y1092" i="2"/>
  <c r="Z1092" i="2"/>
  <c r="AA1092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S1093" i="2"/>
  <c r="T1093" i="2"/>
  <c r="U1093" i="2"/>
  <c r="V1093" i="2"/>
  <c r="X1093" i="2"/>
  <c r="Y1093" i="2"/>
  <c r="Z1093" i="2"/>
  <c r="AA1093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N1094" i="2"/>
  <c r="S1095" i="2"/>
  <c r="T1095" i="2"/>
  <c r="U1095" i="2"/>
  <c r="W1095" i="2"/>
  <c r="X1095" i="2"/>
  <c r="Y1095" i="2"/>
  <c r="Z1095" i="2"/>
  <c r="AA1095" i="2"/>
  <c r="AB1095" i="2"/>
  <c r="AD1095" i="2"/>
  <c r="AF1095" i="2"/>
  <c r="AG1095" i="2"/>
  <c r="AH1095" i="2"/>
  <c r="AJ1095" i="2"/>
  <c r="AK1095" i="2"/>
  <c r="AL1095" i="2"/>
  <c r="AM1095" i="2"/>
  <c r="AN1095" i="2"/>
  <c r="S1096" i="2"/>
  <c r="T1096" i="2"/>
  <c r="U1096" i="2"/>
  <c r="W1096" i="2"/>
  <c r="X1096" i="2"/>
  <c r="Y1096" i="2"/>
  <c r="Z1096" i="2"/>
  <c r="AA1096" i="2"/>
  <c r="AB1096" i="2"/>
  <c r="AD1096" i="2"/>
  <c r="AF1096" i="2"/>
  <c r="AG1096" i="2"/>
  <c r="AH1096" i="2"/>
  <c r="AJ1096" i="2"/>
  <c r="AK1096" i="2"/>
  <c r="AL1096" i="2"/>
  <c r="AM1096" i="2"/>
  <c r="AN1096" i="2"/>
  <c r="AN1097" i="2"/>
  <c r="S1098" i="2"/>
  <c r="T1098" i="2"/>
  <c r="U1098" i="2"/>
  <c r="W1098" i="2"/>
  <c r="X1098" i="2"/>
  <c r="Y1098" i="2"/>
  <c r="Z1098" i="2"/>
  <c r="AA1098" i="2"/>
  <c r="AB1098" i="2"/>
  <c r="AD1098" i="2"/>
  <c r="AF1098" i="2"/>
  <c r="AG1098" i="2"/>
  <c r="AH1098" i="2"/>
  <c r="AJ1098" i="2"/>
  <c r="AK1098" i="2"/>
  <c r="AL1098" i="2"/>
  <c r="AM1098" i="2"/>
  <c r="AN1098" i="2"/>
  <c r="S1099" i="2"/>
  <c r="T1099" i="2"/>
  <c r="U1099" i="2"/>
  <c r="W1099" i="2"/>
  <c r="X1099" i="2"/>
  <c r="Y1099" i="2"/>
  <c r="Z1099" i="2"/>
  <c r="AA1099" i="2"/>
  <c r="AB1099" i="2"/>
  <c r="AD1099" i="2"/>
  <c r="AF1099" i="2"/>
  <c r="AG1099" i="2"/>
  <c r="AH1099" i="2"/>
  <c r="AJ1099" i="2"/>
  <c r="AK1099" i="2"/>
  <c r="AL1099" i="2"/>
  <c r="AM1099" i="2"/>
  <c r="AN1099" i="2"/>
  <c r="S1100" i="2"/>
  <c r="T1100" i="2"/>
  <c r="U1100" i="2"/>
  <c r="W1100" i="2"/>
  <c r="X1100" i="2"/>
  <c r="Y1100" i="2"/>
  <c r="Z1100" i="2"/>
  <c r="AA1100" i="2"/>
  <c r="AB1100" i="2"/>
  <c r="AD1100" i="2"/>
  <c r="AF1100" i="2"/>
  <c r="AG1100" i="2"/>
  <c r="AH1100" i="2"/>
  <c r="AJ1100" i="2"/>
  <c r="AK1100" i="2"/>
  <c r="AL1100" i="2"/>
  <c r="AM1100" i="2"/>
  <c r="AN1100" i="2"/>
  <c r="S1101" i="2"/>
  <c r="T1101" i="2"/>
  <c r="U1101" i="2"/>
  <c r="W1101" i="2"/>
  <c r="X1101" i="2"/>
  <c r="Y1101" i="2"/>
  <c r="Z1101" i="2"/>
  <c r="AA1101" i="2"/>
  <c r="AB1101" i="2"/>
  <c r="AD1101" i="2"/>
  <c r="AF1101" i="2"/>
  <c r="AG1101" i="2"/>
  <c r="AH1101" i="2"/>
  <c r="AJ1101" i="2"/>
  <c r="AK1101" i="2"/>
  <c r="AL1101" i="2"/>
  <c r="AM1101" i="2"/>
  <c r="AN1101" i="2"/>
  <c r="S1102" i="2"/>
  <c r="T1102" i="2"/>
  <c r="U1102" i="2"/>
  <c r="W1102" i="2"/>
  <c r="X1102" i="2"/>
  <c r="Y1102" i="2"/>
  <c r="Z1102" i="2"/>
  <c r="AA1102" i="2"/>
  <c r="AB1102" i="2"/>
  <c r="AD1102" i="2"/>
  <c r="AF1102" i="2"/>
  <c r="AG1102" i="2"/>
  <c r="AH1102" i="2"/>
  <c r="AJ1102" i="2"/>
  <c r="AK1102" i="2"/>
  <c r="AL1102" i="2"/>
  <c r="AM1102" i="2"/>
  <c r="AN1102" i="2"/>
  <c r="S1103" i="2"/>
  <c r="T1103" i="2"/>
  <c r="U1103" i="2"/>
  <c r="W1103" i="2"/>
  <c r="X1103" i="2"/>
  <c r="Y1103" i="2"/>
  <c r="Z1103" i="2"/>
  <c r="AA1103" i="2"/>
  <c r="AB1103" i="2"/>
  <c r="AD1103" i="2"/>
  <c r="AF1103" i="2"/>
  <c r="AG1103" i="2"/>
  <c r="AH1103" i="2"/>
  <c r="AJ1103" i="2"/>
  <c r="AK1103" i="2"/>
  <c r="AL1103" i="2"/>
  <c r="AM1103" i="2"/>
  <c r="AN1103" i="2"/>
  <c r="S1104" i="2"/>
  <c r="T1104" i="2"/>
  <c r="U1104" i="2"/>
  <c r="W1104" i="2"/>
  <c r="X1104" i="2"/>
  <c r="Y1104" i="2"/>
  <c r="Z1104" i="2"/>
  <c r="AA1104" i="2"/>
  <c r="AB1104" i="2"/>
  <c r="AD1104" i="2"/>
  <c r="AF1104" i="2"/>
  <c r="AG1104" i="2"/>
  <c r="AH1104" i="2"/>
  <c r="AJ1104" i="2"/>
  <c r="AK1104" i="2"/>
  <c r="AL1104" i="2"/>
  <c r="AM1104" i="2"/>
  <c r="AN1104" i="2"/>
  <c r="S1105" i="2"/>
  <c r="T1105" i="2"/>
  <c r="U1105" i="2"/>
  <c r="W1105" i="2"/>
  <c r="X1105" i="2"/>
  <c r="Y1105" i="2"/>
  <c r="Z1105" i="2"/>
  <c r="AA1105" i="2"/>
  <c r="AB1105" i="2"/>
  <c r="AD1105" i="2"/>
  <c r="AF1105" i="2"/>
  <c r="AG1105" i="2"/>
  <c r="AH1105" i="2"/>
  <c r="AJ1105" i="2"/>
  <c r="AK1105" i="2"/>
  <c r="AL1105" i="2"/>
  <c r="AM1105" i="2"/>
  <c r="AN1105" i="2"/>
  <c r="AN1106" i="2"/>
  <c r="S1107" i="2"/>
  <c r="T1107" i="2"/>
  <c r="U1107" i="2"/>
  <c r="W1107" i="2"/>
  <c r="X1107" i="2"/>
  <c r="Y1107" i="2"/>
  <c r="Z1107" i="2"/>
  <c r="AA1107" i="2"/>
  <c r="AB1107" i="2"/>
  <c r="AD1107" i="2"/>
  <c r="AF1107" i="2"/>
  <c r="AG1107" i="2"/>
  <c r="AH1107" i="2"/>
  <c r="AJ1107" i="2"/>
  <c r="AK1107" i="2"/>
  <c r="AL1107" i="2"/>
  <c r="AM1107" i="2"/>
  <c r="AN1107" i="2"/>
  <c r="S1108" i="2"/>
  <c r="T1108" i="2"/>
  <c r="U1108" i="2"/>
  <c r="W1108" i="2"/>
  <c r="X1108" i="2"/>
  <c r="Y1108" i="2"/>
  <c r="Z1108" i="2"/>
  <c r="AA1108" i="2"/>
  <c r="AB1108" i="2"/>
  <c r="AD1108" i="2"/>
  <c r="AF1108" i="2"/>
  <c r="AG1108" i="2"/>
  <c r="AH1108" i="2"/>
  <c r="AJ1108" i="2"/>
  <c r="AK1108" i="2"/>
  <c r="AL1108" i="2"/>
  <c r="AM1108" i="2"/>
  <c r="AN1108" i="2"/>
  <c r="S1109" i="2"/>
  <c r="T1109" i="2"/>
  <c r="U1109" i="2"/>
  <c r="W1109" i="2"/>
  <c r="X1109" i="2"/>
  <c r="Y1109" i="2"/>
  <c r="Z1109" i="2"/>
  <c r="AA1109" i="2"/>
  <c r="AB1109" i="2"/>
  <c r="AD1109" i="2"/>
  <c r="AF1109" i="2"/>
  <c r="AG1109" i="2"/>
  <c r="AH1109" i="2"/>
  <c r="AJ1109" i="2"/>
  <c r="AK1109" i="2"/>
  <c r="AL1109" i="2"/>
  <c r="AM1109" i="2"/>
  <c r="AN1109" i="2"/>
  <c r="S1110" i="2"/>
  <c r="T1110" i="2"/>
  <c r="U1110" i="2"/>
  <c r="W1110" i="2"/>
  <c r="X1110" i="2"/>
  <c r="Y1110" i="2"/>
  <c r="Z1110" i="2"/>
  <c r="AA1110" i="2"/>
  <c r="AB1110" i="2"/>
  <c r="AD1110" i="2"/>
  <c r="AF1110" i="2"/>
  <c r="AG1110" i="2"/>
  <c r="AH1110" i="2"/>
  <c r="AJ1110" i="2"/>
  <c r="AK1110" i="2"/>
  <c r="AL1110" i="2"/>
  <c r="AM1110" i="2"/>
  <c r="AN1110" i="2"/>
  <c r="S1111" i="2"/>
  <c r="T1111" i="2"/>
  <c r="U1111" i="2"/>
  <c r="W1111" i="2"/>
  <c r="X1111" i="2"/>
  <c r="Y1111" i="2"/>
  <c r="Z1111" i="2"/>
  <c r="AA1111" i="2"/>
  <c r="AB1111" i="2"/>
  <c r="AD1111" i="2"/>
  <c r="AF1111" i="2"/>
  <c r="AG1111" i="2"/>
  <c r="AH1111" i="2"/>
  <c r="AJ1111" i="2"/>
  <c r="AK1111" i="2"/>
  <c r="AL1111" i="2"/>
  <c r="AM1111" i="2"/>
  <c r="AN1111" i="2"/>
  <c r="AN1112" i="2"/>
  <c r="AN1113" i="2"/>
  <c r="S1114" i="2"/>
  <c r="T1114" i="2"/>
  <c r="U1114" i="2"/>
  <c r="W1114" i="2"/>
  <c r="X1114" i="2"/>
  <c r="Y1114" i="2"/>
  <c r="Z1114" i="2"/>
  <c r="AA1114" i="2"/>
  <c r="AB1114" i="2"/>
  <c r="AD1114" i="2"/>
  <c r="AF1114" i="2"/>
  <c r="AG1114" i="2"/>
  <c r="AH1114" i="2"/>
  <c r="AJ1114" i="2"/>
  <c r="AK1114" i="2"/>
  <c r="AL1114" i="2"/>
  <c r="AM1114" i="2"/>
  <c r="AN1114" i="2"/>
  <c r="S1115" i="2"/>
  <c r="T1115" i="2"/>
  <c r="U1115" i="2"/>
  <c r="W1115" i="2"/>
  <c r="X1115" i="2"/>
  <c r="Y1115" i="2"/>
  <c r="Z1115" i="2"/>
  <c r="AA1115" i="2"/>
  <c r="AB1115" i="2"/>
  <c r="AD1115" i="2"/>
  <c r="AF1115" i="2"/>
  <c r="AG1115" i="2"/>
  <c r="AH1115" i="2"/>
  <c r="AJ1115" i="2"/>
  <c r="AK1115" i="2"/>
  <c r="AL1115" i="2"/>
  <c r="AM1115" i="2"/>
  <c r="AN1115" i="2"/>
  <c r="AN1116" i="2"/>
  <c r="S1117" i="2"/>
  <c r="T1117" i="2"/>
  <c r="U1117" i="2"/>
  <c r="W1117" i="2"/>
  <c r="X1117" i="2"/>
  <c r="Y1117" i="2"/>
  <c r="Z1117" i="2"/>
  <c r="AA1117" i="2"/>
  <c r="AB1117" i="2"/>
  <c r="AD1117" i="2"/>
  <c r="AF1117" i="2"/>
  <c r="AG1117" i="2"/>
  <c r="AH1117" i="2"/>
  <c r="AJ1117" i="2"/>
  <c r="AK1117" i="2"/>
  <c r="AL1117" i="2"/>
  <c r="AM1117" i="2"/>
  <c r="AN1117" i="2"/>
  <c r="S1118" i="2"/>
  <c r="T1118" i="2"/>
  <c r="U1118" i="2"/>
  <c r="W1118" i="2"/>
  <c r="X1118" i="2"/>
  <c r="Y1118" i="2"/>
  <c r="Z1118" i="2"/>
  <c r="AA1118" i="2"/>
  <c r="AB1118" i="2"/>
  <c r="AD1118" i="2"/>
  <c r="AF1118" i="2"/>
  <c r="AG1118" i="2"/>
  <c r="AH1118" i="2"/>
  <c r="AJ1118" i="2"/>
  <c r="AK1118" i="2"/>
  <c r="AL1118" i="2"/>
  <c r="AM1118" i="2"/>
  <c r="AN1118" i="2"/>
  <c r="S1119" i="2"/>
  <c r="T1119" i="2"/>
  <c r="U1119" i="2"/>
  <c r="W1119" i="2"/>
  <c r="X1119" i="2"/>
  <c r="Y1119" i="2"/>
  <c r="Z1119" i="2"/>
  <c r="AA1119" i="2"/>
  <c r="AB1119" i="2"/>
  <c r="AD1119" i="2"/>
  <c r="AF1119" i="2"/>
  <c r="AG1119" i="2"/>
  <c r="AH1119" i="2"/>
  <c r="AJ1119" i="2"/>
  <c r="AK1119" i="2"/>
  <c r="AL1119" i="2"/>
  <c r="AM1119" i="2"/>
  <c r="AN1119" i="2"/>
  <c r="S1120" i="2"/>
  <c r="T1120" i="2"/>
  <c r="U1120" i="2"/>
  <c r="W1120" i="2"/>
  <c r="X1120" i="2"/>
  <c r="Y1120" i="2"/>
  <c r="Z1120" i="2"/>
  <c r="AA1120" i="2"/>
  <c r="AB1120" i="2"/>
  <c r="AD1120" i="2"/>
  <c r="AF1120" i="2"/>
  <c r="AG1120" i="2"/>
  <c r="AH1120" i="2"/>
  <c r="AJ1120" i="2"/>
  <c r="AK1120" i="2"/>
  <c r="AL1120" i="2"/>
  <c r="AM1120" i="2"/>
  <c r="AN1120" i="2"/>
  <c r="S1121" i="2"/>
  <c r="T1121" i="2"/>
  <c r="U1121" i="2"/>
  <c r="W1121" i="2"/>
  <c r="X1121" i="2"/>
  <c r="Y1121" i="2"/>
  <c r="Z1121" i="2"/>
  <c r="AA1121" i="2"/>
  <c r="AB1121" i="2"/>
  <c r="AD1121" i="2"/>
  <c r="AF1121" i="2"/>
  <c r="AG1121" i="2"/>
  <c r="AH1121" i="2"/>
  <c r="AJ1121" i="2"/>
  <c r="AK1121" i="2"/>
  <c r="AL1121" i="2"/>
  <c r="AM1121" i="2"/>
  <c r="AN1121" i="2"/>
  <c r="S1122" i="2"/>
  <c r="T1122" i="2"/>
  <c r="U1122" i="2"/>
  <c r="W1122" i="2"/>
  <c r="X1122" i="2"/>
  <c r="Y1122" i="2"/>
  <c r="Z1122" i="2"/>
  <c r="AA1122" i="2"/>
  <c r="AB1122" i="2"/>
  <c r="AD1122" i="2"/>
  <c r="AF1122" i="2"/>
  <c r="AG1122" i="2"/>
  <c r="AH1122" i="2"/>
  <c r="AJ1122" i="2"/>
  <c r="AK1122" i="2"/>
  <c r="AL1122" i="2"/>
  <c r="AM1122" i="2"/>
  <c r="AN1122" i="2"/>
  <c r="S1123" i="2"/>
  <c r="T1123" i="2"/>
  <c r="U1123" i="2"/>
  <c r="W1123" i="2"/>
  <c r="X1123" i="2"/>
  <c r="Y1123" i="2"/>
  <c r="Z1123" i="2"/>
  <c r="AA1123" i="2"/>
  <c r="AB1123" i="2"/>
  <c r="AD1123" i="2"/>
  <c r="AF1123" i="2"/>
  <c r="AG1123" i="2"/>
  <c r="AH1123" i="2"/>
  <c r="AJ1123" i="2"/>
  <c r="AK1123" i="2"/>
  <c r="AL1123" i="2"/>
  <c r="AM1123" i="2"/>
  <c r="AN1123" i="2"/>
  <c r="AN1124" i="2"/>
  <c r="S1125" i="2"/>
  <c r="T1125" i="2"/>
  <c r="U1125" i="2"/>
  <c r="W1125" i="2"/>
  <c r="X1125" i="2"/>
  <c r="Y1125" i="2"/>
  <c r="Z1125" i="2"/>
  <c r="AA1125" i="2"/>
  <c r="AB1125" i="2"/>
  <c r="AD1125" i="2"/>
  <c r="AF1125" i="2"/>
  <c r="AG1125" i="2"/>
  <c r="AH1125" i="2"/>
  <c r="AJ1125" i="2"/>
  <c r="AK1125" i="2"/>
  <c r="AL1125" i="2"/>
  <c r="AM1125" i="2"/>
  <c r="AN1125" i="2"/>
  <c r="S1126" i="2"/>
  <c r="T1126" i="2"/>
  <c r="U1126" i="2"/>
  <c r="W1126" i="2"/>
  <c r="X1126" i="2"/>
  <c r="Y1126" i="2"/>
  <c r="Z1126" i="2"/>
  <c r="AA1126" i="2"/>
  <c r="AB1126" i="2"/>
  <c r="AD1126" i="2"/>
  <c r="AF1126" i="2"/>
  <c r="AG1126" i="2"/>
  <c r="AH1126" i="2"/>
  <c r="AJ1126" i="2"/>
  <c r="AK1126" i="2"/>
  <c r="AL1126" i="2"/>
  <c r="AM1126" i="2"/>
  <c r="AN1126" i="2"/>
  <c r="S1127" i="2"/>
  <c r="T1127" i="2"/>
  <c r="U1127" i="2"/>
  <c r="W1127" i="2"/>
  <c r="X1127" i="2"/>
  <c r="Y1127" i="2"/>
  <c r="Z1127" i="2"/>
  <c r="AA1127" i="2"/>
  <c r="AB1127" i="2"/>
  <c r="AD1127" i="2"/>
  <c r="AF1127" i="2"/>
  <c r="AG1127" i="2"/>
  <c r="AH1127" i="2"/>
  <c r="AJ1127" i="2"/>
  <c r="AK1127" i="2"/>
  <c r="AL1127" i="2"/>
  <c r="AM1127" i="2"/>
  <c r="AN1127" i="2"/>
  <c r="S1128" i="2"/>
  <c r="T1128" i="2"/>
  <c r="U1128" i="2"/>
  <c r="W1128" i="2"/>
  <c r="X1128" i="2"/>
  <c r="Y1128" i="2"/>
  <c r="Z1128" i="2"/>
  <c r="AA1128" i="2"/>
  <c r="AB1128" i="2"/>
  <c r="AD1128" i="2"/>
  <c r="AF1128" i="2"/>
  <c r="AG1128" i="2"/>
  <c r="AH1128" i="2"/>
  <c r="AJ1128" i="2"/>
  <c r="AK1128" i="2"/>
  <c r="AL1128" i="2"/>
  <c r="AM1128" i="2"/>
  <c r="AN1128" i="2"/>
  <c r="S1129" i="2"/>
  <c r="T1129" i="2"/>
  <c r="U1129" i="2"/>
  <c r="W1129" i="2"/>
  <c r="X1129" i="2"/>
  <c r="Y1129" i="2"/>
  <c r="Z1129" i="2"/>
  <c r="AA1129" i="2"/>
  <c r="AB1129" i="2"/>
  <c r="AD1129" i="2"/>
  <c r="AF1129" i="2"/>
  <c r="AG1129" i="2"/>
  <c r="AH1129" i="2"/>
  <c r="AJ1129" i="2"/>
  <c r="AK1129" i="2"/>
  <c r="AL1129" i="2"/>
  <c r="AM1129" i="2"/>
  <c r="AN1129" i="2"/>
  <c r="S1130" i="2"/>
  <c r="T1130" i="2"/>
  <c r="U1130" i="2"/>
  <c r="W1130" i="2"/>
  <c r="X1130" i="2"/>
  <c r="Y1130" i="2"/>
  <c r="Z1130" i="2"/>
  <c r="AA1130" i="2"/>
  <c r="AB1130" i="2"/>
  <c r="AD1130" i="2"/>
  <c r="AF1130" i="2"/>
  <c r="AG1130" i="2"/>
  <c r="AH1130" i="2"/>
  <c r="AJ1130" i="2"/>
  <c r="AK1130" i="2"/>
  <c r="AL1130" i="2"/>
  <c r="AM1130" i="2"/>
  <c r="AN1130" i="2"/>
  <c r="S1131" i="2"/>
  <c r="T1131" i="2"/>
  <c r="U1131" i="2"/>
  <c r="W1131" i="2"/>
  <c r="X1131" i="2"/>
  <c r="Y1131" i="2"/>
  <c r="Z1131" i="2"/>
  <c r="AA1131" i="2"/>
  <c r="AB1131" i="2"/>
  <c r="AD1131" i="2"/>
  <c r="AF1131" i="2"/>
  <c r="AG1131" i="2"/>
  <c r="AH1131" i="2"/>
  <c r="AJ1131" i="2"/>
  <c r="AK1131" i="2"/>
  <c r="AL1131" i="2"/>
  <c r="AM1131" i="2"/>
  <c r="AN1131" i="2"/>
  <c r="S1132" i="2"/>
  <c r="T1132" i="2"/>
  <c r="U1132" i="2"/>
  <c r="W1132" i="2"/>
  <c r="X1132" i="2"/>
  <c r="Y1132" i="2"/>
  <c r="Z1132" i="2"/>
  <c r="AA1132" i="2"/>
  <c r="AB1132" i="2"/>
  <c r="AD1132" i="2"/>
  <c r="AF1132" i="2"/>
  <c r="AG1132" i="2"/>
  <c r="AH1132" i="2"/>
  <c r="AJ1132" i="2"/>
  <c r="AK1132" i="2"/>
  <c r="AL1132" i="2"/>
  <c r="AM1132" i="2"/>
  <c r="AN1132" i="2"/>
  <c r="S1133" i="2"/>
  <c r="T1133" i="2"/>
  <c r="U1133" i="2"/>
  <c r="W1133" i="2"/>
  <c r="X1133" i="2"/>
  <c r="Y1133" i="2"/>
  <c r="Z1133" i="2"/>
  <c r="AA1133" i="2"/>
  <c r="AB1133" i="2"/>
  <c r="AD1133" i="2"/>
  <c r="AF1133" i="2"/>
  <c r="AG1133" i="2"/>
  <c r="AH1133" i="2"/>
  <c r="AJ1133" i="2"/>
  <c r="AK1133" i="2"/>
  <c r="AL1133" i="2"/>
  <c r="AM1133" i="2"/>
  <c r="AN1133" i="2"/>
  <c r="S1134" i="2"/>
  <c r="T1134" i="2"/>
  <c r="U1134" i="2"/>
  <c r="W1134" i="2"/>
  <c r="X1134" i="2"/>
  <c r="Y1134" i="2"/>
  <c r="Z1134" i="2"/>
  <c r="AA1134" i="2"/>
  <c r="AB1134" i="2"/>
  <c r="AD1134" i="2"/>
  <c r="AF1134" i="2"/>
  <c r="AG1134" i="2"/>
  <c r="AH1134" i="2"/>
  <c r="AJ1134" i="2"/>
  <c r="AK1134" i="2"/>
  <c r="AL1134" i="2"/>
  <c r="AM1134" i="2"/>
  <c r="AN1134" i="2"/>
  <c r="AN1135" i="2"/>
  <c r="S1136" i="2"/>
  <c r="T1136" i="2"/>
  <c r="U1136" i="2"/>
  <c r="W1136" i="2"/>
  <c r="X1136" i="2"/>
  <c r="Y1136" i="2"/>
  <c r="Z1136" i="2"/>
  <c r="AA1136" i="2"/>
  <c r="AB1136" i="2"/>
  <c r="AD1136" i="2"/>
  <c r="AF1136" i="2"/>
  <c r="AG1136" i="2"/>
  <c r="AH1136" i="2"/>
  <c r="AJ1136" i="2"/>
  <c r="AK1136" i="2"/>
  <c r="AL1136" i="2"/>
  <c r="AM1136" i="2"/>
  <c r="AN1136" i="2"/>
  <c r="S1137" i="2"/>
  <c r="T1137" i="2"/>
  <c r="U1137" i="2"/>
  <c r="W1137" i="2"/>
  <c r="X1137" i="2"/>
  <c r="Y1137" i="2"/>
  <c r="Z1137" i="2"/>
  <c r="AA1137" i="2"/>
  <c r="AB1137" i="2"/>
  <c r="AD1137" i="2"/>
  <c r="AF1137" i="2"/>
  <c r="AG1137" i="2"/>
  <c r="AH1137" i="2"/>
  <c r="AJ1137" i="2"/>
  <c r="AK1137" i="2"/>
  <c r="AL1137" i="2"/>
  <c r="AM1137" i="2"/>
  <c r="AN1137" i="2"/>
  <c r="S1138" i="2"/>
  <c r="T1138" i="2"/>
  <c r="U1138" i="2"/>
  <c r="W1138" i="2"/>
  <c r="X1138" i="2"/>
  <c r="Y1138" i="2"/>
  <c r="Z1138" i="2"/>
  <c r="AA1138" i="2"/>
  <c r="AB1138" i="2"/>
  <c r="AD1138" i="2"/>
  <c r="AF1138" i="2"/>
  <c r="AG1138" i="2"/>
  <c r="AH1138" i="2"/>
  <c r="AJ1138" i="2"/>
  <c r="AK1138" i="2"/>
  <c r="AL1138" i="2"/>
  <c r="AM1138" i="2"/>
  <c r="AN1138" i="2"/>
  <c r="S1139" i="2"/>
  <c r="T1139" i="2"/>
  <c r="U1139" i="2"/>
  <c r="W1139" i="2"/>
  <c r="X1139" i="2"/>
  <c r="Y1139" i="2"/>
  <c r="Z1139" i="2"/>
  <c r="AA1139" i="2"/>
  <c r="AB1139" i="2"/>
  <c r="AD1139" i="2"/>
  <c r="AF1139" i="2"/>
  <c r="AG1139" i="2"/>
  <c r="AH1139" i="2"/>
  <c r="AJ1139" i="2"/>
  <c r="AK1139" i="2"/>
  <c r="AL1139" i="2"/>
  <c r="AM1139" i="2"/>
  <c r="AN1139" i="2"/>
  <c r="S1140" i="2"/>
  <c r="T1140" i="2"/>
  <c r="U1140" i="2"/>
  <c r="W1140" i="2"/>
  <c r="X1140" i="2"/>
  <c r="Y1140" i="2"/>
  <c r="Z1140" i="2"/>
  <c r="AA1140" i="2"/>
  <c r="AB1140" i="2"/>
  <c r="AD1140" i="2"/>
  <c r="AF1140" i="2"/>
  <c r="AG1140" i="2"/>
  <c r="AH1140" i="2"/>
  <c r="AJ1140" i="2"/>
  <c r="AK1140" i="2"/>
  <c r="AL1140" i="2"/>
  <c r="AM1140" i="2"/>
  <c r="AN1140" i="2"/>
  <c r="S1141" i="2"/>
  <c r="T1141" i="2"/>
  <c r="U1141" i="2"/>
  <c r="W1141" i="2"/>
  <c r="X1141" i="2"/>
  <c r="Y1141" i="2"/>
  <c r="Z1141" i="2"/>
  <c r="AA1141" i="2"/>
  <c r="AB1141" i="2"/>
  <c r="AD1141" i="2"/>
  <c r="AF1141" i="2"/>
  <c r="AG1141" i="2"/>
  <c r="AH1141" i="2"/>
  <c r="AJ1141" i="2"/>
  <c r="AK1141" i="2"/>
  <c r="AL1141" i="2"/>
  <c r="AM1141" i="2"/>
  <c r="AN1141" i="2"/>
  <c r="S1142" i="2"/>
  <c r="T1142" i="2"/>
  <c r="U1142" i="2"/>
  <c r="W1142" i="2"/>
  <c r="X1142" i="2"/>
  <c r="Y1142" i="2"/>
  <c r="Z1142" i="2"/>
  <c r="AA1142" i="2"/>
  <c r="AB1142" i="2"/>
  <c r="AD1142" i="2"/>
  <c r="AF1142" i="2"/>
  <c r="AG1142" i="2"/>
  <c r="AH1142" i="2"/>
  <c r="AJ1142" i="2"/>
  <c r="AK1142" i="2"/>
  <c r="AL1142" i="2"/>
  <c r="AM1142" i="2"/>
  <c r="AN1142" i="2"/>
  <c r="S1143" i="2"/>
  <c r="T1143" i="2"/>
  <c r="U1143" i="2"/>
  <c r="W1143" i="2"/>
  <c r="X1143" i="2"/>
  <c r="Y1143" i="2"/>
  <c r="Z1143" i="2"/>
  <c r="AA1143" i="2"/>
  <c r="AB1143" i="2"/>
  <c r="AD1143" i="2"/>
  <c r="AF1143" i="2"/>
  <c r="AG1143" i="2"/>
  <c r="AH1143" i="2"/>
  <c r="AJ1143" i="2"/>
  <c r="AK1143" i="2"/>
  <c r="AL1143" i="2"/>
  <c r="AM1143" i="2"/>
  <c r="AN1143" i="2"/>
  <c r="S1144" i="2"/>
  <c r="T1144" i="2"/>
  <c r="U1144" i="2"/>
  <c r="W1144" i="2"/>
  <c r="X1144" i="2"/>
  <c r="Y1144" i="2"/>
  <c r="Z1144" i="2"/>
  <c r="AA1144" i="2"/>
  <c r="AB1144" i="2"/>
  <c r="AD1144" i="2"/>
  <c r="AF1144" i="2"/>
  <c r="AG1144" i="2"/>
  <c r="AH1144" i="2"/>
  <c r="AJ1144" i="2"/>
  <c r="AK1144" i="2"/>
  <c r="AL1144" i="2"/>
  <c r="AM1144" i="2"/>
  <c r="AN1144" i="2"/>
  <c r="AN1145" i="2"/>
  <c r="AN1146" i="2"/>
  <c r="AN1147" i="2"/>
  <c r="S1148" i="2"/>
  <c r="T1148" i="2"/>
  <c r="U1148" i="2"/>
  <c r="W1148" i="2"/>
  <c r="X1148" i="2"/>
  <c r="Y1148" i="2"/>
  <c r="Z1148" i="2"/>
  <c r="AA1148" i="2"/>
  <c r="AB1148" i="2"/>
  <c r="AD1148" i="2"/>
  <c r="AE1148" i="2"/>
  <c r="AF1148" i="2"/>
  <c r="AG1148" i="2"/>
  <c r="AH1148" i="2"/>
  <c r="AJ1148" i="2"/>
  <c r="AK1148" i="2"/>
  <c r="AL1148" i="2"/>
  <c r="AM1148" i="2"/>
  <c r="AN1148" i="2"/>
  <c r="S1149" i="2"/>
  <c r="T1149" i="2"/>
  <c r="U1149" i="2"/>
  <c r="W1149" i="2"/>
  <c r="X1149" i="2"/>
  <c r="Y1149" i="2"/>
  <c r="Z1149" i="2"/>
  <c r="AA1149" i="2"/>
  <c r="AB1149" i="2"/>
  <c r="AD1149" i="2"/>
  <c r="AF1149" i="2"/>
  <c r="AG1149" i="2"/>
  <c r="AH1149" i="2"/>
  <c r="AJ1149" i="2"/>
  <c r="AK1149" i="2"/>
  <c r="AL1149" i="2"/>
  <c r="AM1149" i="2"/>
  <c r="AN1149" i="2"/>
  <c r="AN1150" i="2"/>
  <c r="S1151" i="2"/>
  <c r="T1151" i="2"/>
  <c r="U1151" i="2"/>
  <c r="W1151" i="2"/>
  <c r="X1151" i="2"/>
  <c r="Y1151" i="2"/>
  <c r="Z1151" i="2"/>
  <c r="AA1151" i="2"/>
  <c r="AB1151" i="2"/>
  <c r="AD1151" i="2"/>
  <c r="AE1151" i="2"/>
  <c r="AF1151" i="2"/>
  <c r="AG1151" i="2"/>
  <c r="AH1151" i="2"/>
  <c r="AJ1151" i="2"/>
  <c r="AK1151" i="2"/>
  <c r="AL1151" i="2"/>
  <c r="AM1151" i="2"/>
  <c r="AN1151" i="2"/>
  <c r="S1152" i="2"/>
  <c r="T1152" i="2"/>
  <c r="U1152" i="2"/>
  <c r="W1152" i="2"/>
  <c r="X1152" i="2"/>
  <c r="Y1152" i="2"/>
  <c r="Z1152" i="2"/>
  <c r="AA1152" i="2"/>
  <c r="AB1152" i="2"/>
  <c r="AD1152" i="2"/>
  <c r="AF1152" i="2"/>
  <c r="AG1152" i="2"/>
  <c r="AH1152" i="2"/>
  <c r="AJ1152" i="2"/>
  <c r="AK1152" i="2"/>
  <c r="AL1152" i="2"/>
  <c r="AM1152" i="2"/>
  <c r="AN1152" i="2"/>
  <c r="AN1153" i="2"/>
  <c r="S1154" i="2"/>
  <c r="T1154" i="2"/>
  <c r="U1154" i="2"/>
  <c r="W1154" i="2"/>
  <c r="X1154" i="2"/>
  <c r="Y1154" i="2"/>
  <c r="Z1154" i="2"/>
  <c r="AA1154" i="2"/>
  <c r="AB1154" i="2"/>
  <c r="AD1154" i="2"/>
  <c r="AE1154" i="2"/>
  <c r="AF1154" i="2"/>
  <c r="AG1154" i="2"/>
  <c r="AH1154" i="2"/>
  <c r="AJ1154" i="2"/>
  <c r="AK1154" i="2"/>
  <c r="AL1154" i="2"/>
  <c r="AM1154" i="2"/>
  <c r="AN1154" i="2"/>
  <c r="S1155" i="2"/>
  <c r="T1155" i="2"/>
  <c r="U1155" i="2"/>
  <c r="W1155" i="2"/>
  <c r="X1155" i="2"/>
  <c r="Y1155" i="2"/>
  <c r="Z1155" i="2"/>
  <c r="AA1155" i="2"/>
  <c r="AB1155" i="2"/>
  <c r="AD1155" i="2"/>
  <c r="AF1155" i="2"/>
  <c r="AG1155" i="2"/>
  <c r="AH1155" i="2"/>
  <c r="AJ1155" i="2"/>
  <c r="AK1155" i="2"/>
  <c r="AL1155" i="2"/>
  <c r="AM1155" i="2"/>
  <c r="AN1155" i="2"/>
  <c r="S1156" i="2"/>
  <c r="T1156" i="2"/>
  <c r="U1156" i="2"/>
  <c r="W1156" i="2"/>
  <c r="X1156" i="2"/>
  <c r="Y1156" i="2"/>
  <c r="Z1156" i="2"/>
  <c r="AA1156" i="2"/>
  <c r="AB1156" i="2"/>
  <c r="AD1156" i="2"/>
  <c r="AF1156" i="2"/>
  <c r="AG1156" i="2"/>
  <c r="AH1156" i="2"/>
  <c r="AJ1156" i="2"/>
  <c r="AK1156" i="2"/>
  <c r="AL1156" i="2"/>
  <c r="AM1156" i="2"/>
  <c r="AN1156" i="2"/>
  <c r="S1157" i="2"/>
  <c r="T1157" i="2"/>
  <c r="U1157" i="2"/>
  <c r="W1157" i="2"/>
  <c r="X1157" i="2"/>
  <c r="Y1157" i="2"/>
  <c r="Z1157" i="2"/>
  <c r="AA1157" i="2"/>
  <c r="AB1157" i="2"/>
  <c r="AD1157" i="2"/>
  <c r="AF1157" i="2"/>
  <c r="AG1157" i="2"/>
  <c r="AH1157" i="2"/>
  <c r="AJ1157" i="2"/>
  <c r="AK1157" i="2"/>
  <c r="AL1157" i="2"/>
  <c r="AM1157" i="2"/>
  <c r="AN1157" i="2"/>
  <c r="S1158" i="2"/>
  <c r="T1158" i="2"/>
  <c r="U1158" i="2"/>
  <c r="W1158" i="2"/>
  <c r="X1158" i="2"/>
  <c r="Y1158" i="2"/>
  <c r="Z1158" i="2"/>
  <c r="AA1158" i="2"/>
  <c r="AB1158" i="2"/>
  <c r="AD1158" i="2"/>
  <c r="AF1158" i="2"/>
  <c r="AG1158" i="2"/>
  <c r="AH1158" i="2"/>
  <c r="AJ1158" i="2"/>
  <c r="AK1158" i="2"/>
  <c r="AL1158" i="2"/>
  <c r="AM1158" i="2"/>
  <c r="AN1158" i="2"/>
  <c r="S1159" i="2"/>
  <c r="T1159" i="2"/>
  <c r="U1159" i="2"/>
  <c r="W1159" i="2"/>
  <c r="X1159" i="2"/>
  <c r="Y1159" i="2"/>
  <c r="Z1159" i="2"/>
  <c r="AA1159" i="2"/>
  <c r="AB1159" i="2"/>
  <c r="AD1159" i="2"/>
  <c r="AF1159" i="2"/>
  <c r="AG1159" i="2"/>
  <c r="AH1159" i="2"/>
  <c r="AJ1159" i="2"/>
  <c r="AK1159" i="2"/>
  <c r="AL1159" i="2"/>
  <c r="AM1159" i="2"/>
  <c r="AN1159" i="2"/>
  <c r="S1160" i="2"/>
  <c r="T1160" i="2"/>
  <c r="U1160" i="2"/>
  <c r="W1160" i="2"/>
  <c r="X1160" i="2"/>
  <c r="Y1160" i="2"/>
  <c r="Z1160" i="2"/>
  <c r="AA1160" i="2"/>
  <c r="AB1160" i="2"/>
  <c r="AD1160" i="2"/>
  <c r="AF1160" i="2"/>
  <c r="AG1160" i="2"/>
  <c r="AH1160" i="2"/>
  <c r="AJ1160" i="2"/>
  <c r="AK1160" i="2"/>
  <c r="AL1160" i="2"/>
  <c r="AM1160" i="2"/>
  <c r="AN1160" i="2"/>
  <c r="S1161" i="2"/>
  <c r="T1161" i="2"/>
  <c r="U1161" i="2"/>
  <c r="W1161" i="2"/>
  <c r="X1161" i="2"/>
  <c r="Y1161" i="2"/>
  <c r="Z1161" i="2"/>
  <c r="AA1161" i="2"/>
  <c r="AB1161" i="2"/>
  <c r="AD1161" i="2"/>
  <c r="AF1161" i="2"/>
  <c r="AG1161" i="2"/>
  <c r="AH1161" i="2"/>
  <c r="AJ1161" i="2"/>
  <c r="AK1161" i="2"/>
  <c r="AL1161" i="2"/>
  <c r="AM1161" i="2"/>
  <c r="AN1161" i="2"/>
  <c r="S1162" i="2"/>
  <c r="T1162" i="2"/>
  <c r="U1162" i="2"/>
  <c r="W1162" i="2"/>
  <c r="X1162" i="2"/>
  <c r="Y1162" i="2"/>
  <c r="Z1162" i="2"/>
  <c r="AA1162" i="2"/>
  <c r="AB1162" i="2"/>
  <c r="AD1162" i="2"/>
  <c r="AF1162" i="2"/>
  <c r="AG1162" i="2"/>
  <c r="AH1162" i="2"/>
  <c r="AJ1162" i="2"/>
  <c r="AK1162" i="2"/>
  <c r="AL1162" i="2"/>
  <c r="AM1162" i="2"/>
  <c r="AN1162" i="2"/>
  <c r="S1163" i="2"/>
  <c r="T1163" i="2"/>
  <c r="U1163" i="2"/>
  <c r="W1163" i="2"/>
  <c r="X1163" i="2"/>
  <c r="Y1163" i="2"/>
  <c r="Z1163" i="2"/>
  <c r="AA1163" i="2"/>
  <c r="AB1163" i="2"/>
  <c r="AD1163" i="2"/>
  <c r="AF1163" i="2"/>
  <c r="AG1163" i="2"/>
  <c r="AH1163" i="2"/>
  <c r="AJ1163" i="2"/>
  <c r="AK1163" i="2"/>
  <c r="AL1163" i="2"/>
  <c r="AM1163" i="2"/>
  <c r="AN1163" i="2"/>
  <c r="S1164" i="2"/>
  <c r="T1164" i="2"/>
  <c r="U1164" i="2"/>
  <c r="W1164" i="2"/>
  <c r="X1164" i="2"/>
  <c r="Y1164" i="2"/>
  <c r="Z1164" i="2"/>
  <c r="AA1164" i="2"/>
  <c r="AB1164" i="2"/>
  <c r="AD1164" i="2"/>
  <c r="AF1164" i="2"/>
  <c r="AG1164" i="2"/>
  <c r="AH1164" i="2"/>
  <c r="AJ1164" i="2"/>
  <c r="AK1164" i="2"/>
  <c r="AL1164" i="2"/>
  <c r="AM1164" i="2"/>
  <c r="AN1164" i="2"/>
  <c r="S1165" i="2"/>
  <c r="T1165" i="2"/>
  <c r="U1165" i="2"/>
  <c r="W1165" i="2"/>
  <c r="X1165" i="2"/>
  <c r="Y1165" i="2"/>
  <c r="Z1165" i="2"/>
  <c r="AA1165" i="2"/>
  <c r="AB1165" i="2"/>
  <c r="AD1165" i="2"/>
  <c r="AF1165" i="2"/>
  <c r="AG1165" i="2"/>
  <c r="AH1165" i="2"/>
  <c r="AJ1165" i="2"/>
  <c r="AK1165" i="2"/>
  <c r="AL1165" i="2"/>
  <c r="AM1165" i="2"/>
  <c r="AN1165" i="2"/>
  <c r="S1166" i="2"/>
  <c r="T1166" i="2"/>
  <c r="U1166" i="2"/>
  <c r="W1166" i="2"/>
  <c r="X1166" i="2"/>
  <c r="Y1166" i="2"/>
  <c r="Z1166" i="2"/>
  <c r="AA1166" i="2"/>
  <c r="AB1166" i="2"/>
  <c r="AD1166" i="2"/>
  <c r="AF1166" i="2"/>
  <c r="AG1166" i="2"/>
  <c r="AH1166" i="2"/>
  <c r="AJ1166" i="2"/>
  <c r="AK1166" i="2"/>
  <c r="AL1166" i="2"/>
  <c r="AM1166" i="2"/>
  <c r="AN1166" i="2"/>
  <c r="AN1167" i="2"/>
  <c r="AN1168" i="2"/>
  <c r="S1169" i="2"/>
  <c r="T1169" i="2"/>
  <c r="U1169" i="2"/>
  <c r="W1169" i="2"/>
  <c r="X1169" i="2"/>
  <c r="Y1169" i="2"/>
  <c r="Z1169" i="2"/>
  <c r="AA1169" i="2"/>
  <c r="AB1169" i="2"/>
  <c r="AD1169" i="2"/>
  <c r="AF1169" i="2"/>
  <c r="AG1169" i="2"/>
  <c r="AH1169" i="2"/>
  <c r="AJ1169" i="2"/>
  <c r="AK1169" i="2"/>
  <c r="AL1169" i="2"/>
  <c r="AM1169" i="2"/>
  <c r="AN1169" i="2"/>
  <c r="S1170" i="2"/>
  <c r="T1170" i="2"/>
  <c r="U1170" i="2"/>
  <c r="W1170" i="2"/>
  <c r="X1170" i="2"/>
  <c r="Y1170" i="2"/>
  <c r="Z1170" i="2"/>
  <c r="AA1170" i="2"/>
  <c r="AB1170" i="2"/>
  <c r="AD1170" i="2"/>
  <c r="AF1170" i="2"/>
  <c r="AG1170" i="2"/>
  <c r="AH1170" i="2"/>
  <c r="AJ1170" i="2"/>
  <c r="AK1170" i="2"/>
  <c r="AL1170" i="2"/>
  <c r="AM1170" i="2"/>
  <c r="AN1170" i="2"/>
  <c r="S1171" i="2"/>
  <c r="T1171" i="2"/>
  <c r="U1171" i="2"/>
  <c r="W1171" i="2"/>
  <c r="X1171" i="2"/>
  <c r="Y1171" i="2"/>
  <c r="Z1171" i="2"/>
  <c r="AA1171" i="2"/>
  <c r="AB1171" i="2"/>
  <c r="AD1171" i="2"/>
  <c r="AF1171" i="2"/>
  <c r="AG1171" i="2"/>
  <c r="AH1171" i="2"/>
  <c r="AJ1171" i="2"/>
  <c r="AK1171" i="2"/>
  <c r="AL1171" i="2"/>
  <c r="AM1171" i="2"/>
  <c r="AN1171" i="2"/>
  <c r="S1172" i="2"/>
  <c r="T1172" i="2"/>
  <c r="U1172" i="2"/>
  <c r="W1172" i="2"/>
  <c r="X1172" i="2"/>
  <c r="Y1172" i="2"/>
  <c r="Z1172" i="2"/>
  <c r="AA1172" i="2"/>
  <c r="AB1172" i="2"/>
  <c r="AD1172" i="2"/>
  <c r="AF1172" i="2"/>
  <c r="AG1172" i="2"/>
  <c r="AH1172" i="2"/>
  <c r="AJ1172" i="2"/>
  <c r="AK1172" i="2"/>
  <c r="AL1172" i="2"/>
  <c r="AM1172" i="2"/>
  <c r="AN1172" i="2"/>
  <c r="S1173" i="2"/>
  <c r="T1173" i="2"/>
  <c r="U1173" i="2"/>
  <c r="W1173" i="2"/>
  <c r="X1173" i="2"/>
  <c r="Y1173" i="2"/>
  <c r="Z1173" i="2"/>
  <c r="AA1173" i="2"/>
  <c r="AB1173" i="2"/>
  <c r="AD1173" i="2"/>
  <c r="AF1173" i="2"/>
  <c r="AG1173" i="2"/>
  <c r="AH1173" i="2"/>
  <c r="AJ1173" i="2"/>
  <c r="AK1173" i="2"/>
  <c r="AL1173" i="2"/>
  <c r="AM1173" i="2"/>
  <c r="AN1173" i="2"/>
  <c r="AN1174" i="2"/>
  <c r="Q1175" i="2"/>
  <c r="S1175" i="2"/>
  <c r="T1175" i="2"/>
  <c r="U1175" i="2"/>
  <c r="W1175" i="2"/>
  <c r="X1175" i="2"/>
  <c r="Y1175" i="2"/>
  <c r="Z1175" i="2"/>
  <c r="AA1175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S1176" i="2"/>
  <c r="T1176" i="2"/>
  <c r="U1176" i="2"/>
  <c r="W1176" i="2"/>
  <c r="X1176" i="2"/>
  <c r="Y1176" i="2"/>
  <c r="Z1176" i="2"/>
  <c r="AA1176" i="2"/>
  <c r="AB1176" i="2"/>
  <c r="AD1176" i="2"/>
  <c r="AF1176" i="2"/>
  <c r="AG1176" i="2"/>
  <c r="AH1176" i="2"/>
  <c r="AJ1176" i="2"/>
  <c r="AK1176" i="2"/>
  <c r="AL1176" i="2"/>
  <c r="AM1176" i="2"/>
  <c r="AN1176" i="2"/>
  <c r="S1177" i="2"/>
  <c r="T1177" i="2"/>
  <c r="U1177" i="2"/>
  <c r="W1177" i="2"/>
  <c r="X1177" i="2"/>
  <c r="Y1177" i="2"/>
  <c r="Z1177" i="2"/>
  <c r="AA1177" i="2"/>
  <c r="AB1177" i="2"/>
  <c r="AD1177" i="2"/>
  <c r="AF1177" i="2"/>
  <c r="AG1177" i="2"/>
  <c r="AH1177" i="2"/>
  <c r="AJ1177" i="2"/>
  <c r="AK1177" i="2"/>
  <c r="AL1177" i="2"/>
  <c r="AM1177" i="2"/>
  <c r="AN1177" i="2"/>
  <c r="S1178" i="2"/>
  <c r="T1178" i="2"/>
  <c r="U1178" i="2"/>
  <c r="W1178" i="2"/>
  <c r="X1178" i="2"/>
  <c r="Y1178" i="2"/>
  <c r="Z1178" i="2"/>
  <c r="AA1178" i="2"/>
  <c r="AB1178" i="2"/>
  <c r="AD1178" i="2"/>
  <c r="AF1178" i="2"/>
  <c r="AG1178" i="2"/>
  <c r="AH1178" i="2"/>
  <c r="AJ1178" i="2"/>
  <c r="AK1178" i="2"/>
  <c r="AL1178" i="2"/>
  <c r="AM1178" i="2"/>
  <c r="AN1178" i="2"/>
  <c r="S1179" i="2"/>
  <c r="T1179" i="2"/>
  <c r="U1179" i="2"/>
  <c r="W1179" i="2"/>
  <c r="X1179" i="2"/>
  <c r="Y1179" i="2"/>
  <c r="Z1179" i="2"/>
  <c r="AA1179" i="2"/>
  <c r="AB1179" i="2"/>
  <c r="AD1179" i="2"/>
  <c r="AF1179" i="2"/>
  <c r="AG1179" i="2"/>
  <c r="AH1179" i="2"/>
  <c r="AJ1179" i="2"/>
  <c r="AK1179" i="2"/>
  <c r="AL1179" i="2"/>
  <c r="AM1179" i="2"/>
  <c r="AN1179" i="2"/>
  <c r="S1180" i="2"/>
  <c r="T1180" i="2"/>
  <c r="U1180" i="2"/>
  <c r="W1180" i="2"/>
  <c r="X1180" i="2"/>
  <c r="Y1180" i="2"/>
  <c r="Z1180" i="2"/>
  <c r="AA1180" i="2"/>
  <c r="AB1180" i="2"/>
  <c r="AD1180" i="2"/>
  <c r="AF1180" i="2"/>
  <c r="AG1180" i="2"/>
  <c r="AH1180" i="2"/>
  <c r="AJ1180" i="2"/>
  <c r="AK1180" i="2"/>
  <c r="AL1180" i="2"/>
  <c r="AM1180" i="2"/>
  <c r="AN1180" i="2"/>
  <c r="AN1181" i="2"/>
  <c r="AN1182" i="2"/>
  <c r="S1183" i="2"/>
  <c r="T1183" i="2"/>
  <c r="U1183" i="2"/>
  <c r="W1183" i="2"/>
  <c r="X1183" i="2"/>
  <c r="Y1183" i="2"/>
  <c r="Z1183" i="2"/>
  <c r="AA1183" i="2"/>
  <c r="AB1183" i="2"/>
  <c r="AD1183" i="2"/>
  <c r="AF1183" i="2"/>
  <c r="AG1183" i="2"/>
  <c r="AH1183" i="2"/>
  <c r="AJ1183" i="2"/>
  <c r="AK1183" i="2"/>
  <c r="AL1183" i="2"/>
  <c r="AM1183" i="2"/>
  <c r="AN1183" i="2"/>
  <c r="S1184" i="2"/>
  <c r="T1184" i="2"/>
  <c r="U1184" i="2"/>
  <c r="W1184" i="2"/>
  <c r="X1184" i="2"/>
  <c r="Y1184" i="2"/>
  <c r="Z1184" i="2"/>
  <c r="AA1184" i="2"/>
  <c r="AB1184" i="2"/>
  <c r="AD1184" i="2"/>
  <c r="AF1184" i="2"/>
  <c r="AG1184" i="2"/>
  <c r="AH1184" i="2"/>
  <c r="AJ1184" i="2"/>
  <c r="AK1184" i="2"/>
  <c r="AL1184" i="2"/>
  <c r="AM1184" i="2"/>
  <c r="AN1184" i="2"/>
  <c r="AN1185" i="2"/>
  <c r="S1186" i="2"/>
  <c r="T1186" i="2"/>
  <c r="U1186" i="2"/>
  <c r="W1186" i="2"/>
  <c r="X1186" i="2"/>
  <c r="Y1186" i="2"/>
  <c r="Z1186" i="2"/>
  <c r="AA1186" i="2"/>
  <c r="AB1186" i="2"/>
  <c r="AD1186" i="2"/>
  <c r="AF1186" i="2"/>
  <c r="AG1186" i="2"/>
  <c r="AH1186" i="2"/>
  <c r="AJ1186" i="2"/>
  <c r="AK1186" i="2"/>
  <c r="AL1186" i="2"/>
  <c r="AM1186" i="2"/>
  <c r="AN1186" i="2"/>
  <c r="S1187" i="2"/>
  <c r="T1187" i="2"/>
  <c r="U1187" i="2"/>
  <c r="W1187" i="2"/>
  <c r="X1187" i="2"/>
  <c r="Y1187" i="2"/>
  <c r="Z1187" i="2"/>
  <c r="AA1187" i="2"/>
  <c r="AB1187" i="2"/>
  <c r="AD1187" i="2"/>
  <c r="AF1187" i="2"/>
  <c r="AG1187" i="2"/>
  <c r="AH1187" i="2"/>
  <c r="AJ1187" i="2"/>
  <c r="AK1187" i="2"/>
  <c r="AL1187" i="2"/>
  <c r="AM1187" i="2"/>
  <c r="AN1187" i="2"/>
  <c r="S1188" i="2"/>
  <c r="T1188" i="2"/>
  <c r="U1188" i="2"/>
  <c r="W1188" i="2"/>
  <c r="X1188" i="2"/>
  <c r="Y1188" i="2"/>
  <c r="Z1188" i="2"/>
  <c r="AA1188" i="2"/>
  <c r="AB1188" i="2"/>
  <c r="AD1188" i="2"/>
  <c r="AF1188" i="2"/>
  <c r="AG1188" i="2"/>
  <c r="AH1188" i="2"/>
  <c r="AJ1188" i="2"/>
  <c r="AK1188" i="2"/>
  <c r="AL1188" i="2"/>
  <c r="AM1188" i="2"/>
  <c r="AN1188" i="2"/>
  <c r="S1189" i="2"/>
  <c r="T1189" i="2"/>
  <c r="U1189" i="2"/>
  <c r="W1189" i="2"/>
  <c r="X1189" i="2"/>
  <c r="Y1189" i="2"/>
  <c r="Z1189" i="2"/>
  <c r="AA1189" i="2"/>
  <c r="AB1189" i="2"/>
  <c r="AD1189" i="2"/>
  <c r="AF1189" i="2"/>
  <c r="AG1189" i="2"/>
  <c r="AH1189" i="2"/>
  <c r="AJ1189" i="2"/>
  <c r="AK1189" i="2"/>
  <c r="AL1189" i="2"/>
  <c r="AM1189" i="2"/>
  <c r="AN1189" i="2"/>
  <c r="S1190" i="2"/>
  <c r="T1190" i="2"/>
  <c r="U1190" i="2"/>
  <c r="W1190" i="2"/>
  <c r="X1190" i="2"/>
  <c r="Y1190" i="2"/>
  <c r="Z1190" i="2"/>
  <c r="AA1190" i="2"/>
  <c r="AB1190" i="2"/>
  <c r="AD1190" i="2"/>
  <c r="AF1190" i="2"/>
  <c r="AG1190" i="2"/>
  <c r="AH1190" i="2"/>
  <c r="AJ1190" i="2"/>
  <c r="AK1190" i="2"/>
  <c r="AL1190" i="2"/>
  <c r="AM1190" i="2"/>
  <c r="AN1190" i="2"/>
  <c r="AN1191" i="2"/>
  <c r="S1192" i="2"/>
  <c r="T1192" i="2"/>
  <c r="U1192" i="2"/>
  <c r="W1192" i="2"/>
  <c r="X1192" i="2"/>
  <c r="Y1192" i="2"/>
  <c r="Z1192" i="2"/>
  <c r="AA1192" i="2"/>
  <c r="AB1192" i="2"/>
  <c r="AD1192" i="2"/>
  <c r="AF1192" i="2"/>
  <c r="AG1192" i="2"/>
  <c r="AH1192" i="2"/>
  <c r="AJ1192" i="2"/>
  <c r="AK1192" i="2"/>
  <c r="AL1192" i="2"/>
  <c r="AM1192" i="2"/>
  <c r="AN1192" i="2"/>
  <c r="S1193" i="2"/>
  <c r="T1193" i="2"/>
  <c r="U1193" i="2"/>
  <c r="W1193" i="2"/>
  <c r="X1193" i="2"/>
  <c r="Y1193" i="2"/>
  <c r="Z1193" i="2"/>
  <c r="AA1193" i="2"/>
  <c r="AB1193" i="2"/>
  <c r="AD1193" i="2"/>
  <c r="AF1193" i="2"/>
  <c r="AG1193" i="2"/>
  <c r="AH1193" i="2"/>
  <c r="AJ1193" i="2"/>
  <c r="AK1193" i="2"/>
  <c r="AL1193" i="2"/>
  <c r="AM1193" i="2"/>
  <c r="AN1193" i="2"/>
  <c r="AH1194" i="2"/>
  <c r="AI1194" i="2"/>
  <c r="AJ1194" i="2"/>
  <c r="AK1194" i="2"/>
  <c r="AL1194" i="2"/>
  <c r="AM1194" i="2"/>
  <c r="AN1194" i="2"/>
  <c r="U1195" i="2"/>
  <c r="W1195" i="2"/>
  <c r="X1195" i="2"/>
  <c r="Y1195" i="2"/>
  <c r="AA1195" i="2"/>
  <c r="AH1195" i="2"/>
  <c r="AI1195" i="2"/>
  <c r="AJ1195" i="2"/>
  <c r="AK1195" i="2"/>
  <c r="AL1195" i="2"/>
  <c r="AM1195" i="2"/>
  <c r="AN1195" i="2"/>
  <c r="U1196" i="2"/>
  <c r="W1196" i="2"/>
  <c r="X1196" i="2"/>
  <c r="Y1196" i="2"/>
  <c r="AA1196" i="2"/>
  <c r="AH1196" i="2"/>
  <c r="AI1196" i="2"/>
  <c r="AJ1196" i="2"/>
  <c r="AK1196" i="2"/>
  <c r="AL1196" i="2"/>
  <c r="AM1196" i="2"/>
  <c r="AN1196" i="2"/>
  <c r="U1197" i="2"/>
  <c r="W1197" i="2"/>
  <c r="X1197" i="2"/>
  <c r="Y1197" i="2"/>
  <c r="AA1197" i="2"/>
  <c r="AH1197" i="2"/>
  <c r="AI1197" i="2"/>
  <c r="AJ1197" i="2"/>
  <c r="AK1197" i="2"/>
  <c r="AL1197" i="2"/>
  <c r="AM1197" i="2"/>
  <c r="AN1197" i="2"/>
  <c r="U1198" i="2"/>
  <c r="W1198" i="2"/>
  <c r="X1198" i="2"/>
  <c r="Y1198" i="2"/>
  <c r="AA1198" i="2"/>
  <c r="AB1198" i="2"/>
  <c r="AC1198" i="2"/>
  <c r="AD1198" i="2"/>
  <c r="AE1198" i="2"/>
  <c r="AF1198" i="2"/>
  <c r="AH1198" i="2"/>
  <c r="AI1198" i="2"/>
  <c r="AJ1198" i="2"/>
  <c r="AK1198" i="2"/>
  <c r="AL1198" i="2"/>
  <c r="AM1198" i="2"/>
  <c r="AN1198" i="2"/>
  <c r="AA1199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U1200" i="2"/>
  <c r="W1200" i="2"/>
  <c r="X1200" i="2"/>
  <c r="Y1200" i="2"/>
  <c r="AA1200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U1201" i="2"/>
  <c r="W1201" i="2"/>
  <c r="X1201" i="2"/>
  <c r="Y1201" i="2"/>
  <c r="AA1201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U1202" i="2"/>
  <c r="W1202" i="2"/>
  <c r="X1202" i="2"/>
  <c r="Y1202" i="2"/>
  <c r="AA1202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U1203" i="2"/>
  <c r="W1203" i="2"/>
  <c r="X1203" i="2"/>
  <c r="Y1203" i="2"/>
  <c r="AA1203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U1204" i="2"/>
  <c r="V1204" i="2"/>
  <c r="W1204" i="2"/>
  <c r="X1204" i="2"/>
  <c r="Y1204" i="2"/>
  <c r="Z1204" i="2"/>
  <c r="AA1204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Z1205" i="2"/>
  <c r="AA1205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U1206" i="2"/>
  <c r="W1206" i="2"/>
  <c r="Z1206" i="2"/>
  <c r="AA1206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W1207" i="2"/>
  <c r="Z1207" i="2"/>
  <c r="AA1207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U1208" i="2"/>
  <c r="W1208" i="2"/>
  <c r="X1208" i="2"/>
  <c r="Y1208" i="2"/>
  <c r="Z1208" i="2"/>
  <c r="AA1208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U1209" i="2"/>
  <c r="W1209" i="2"/>
  <c r="X1209" i="2"/>
  <c r="Y1209" i="2"/>
  <c r="Z1209" i="2"/>
  <c r="AA1209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U1210" i="2"/>
  <c r="W1210" i="2"/>
  <c r="X1210" i="2"/>
  <c r="Y1210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U1212" i="2"/>
  <c r="W1212" i="2"/>
  <c r="Z1212" i="2"/>
  <c r="AA1212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U1213" i="2"/>
  <c r="W1213" i="2"/>
  <c r="X1213" i="2"/>
  <c r="Y1213" i="2"/>
  <c r="Z1213" i="2"/>
  <c r="AA1213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U1214" i="2"/>
  <c r="V1214" i="2"/>
  <c r="Y1214" i="2"/>
  <c r="Z1214" i="2"/>
  <c r="AA1214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U1215" i="2"/>
  <c r="W1215" i="2"/>
  <c r="X1215" i="2"/>
  <c r="Y1215" i="2"/>
  <c r="AA1215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U1216" i="2"/>
  <c r="W1216" i="2"/>
  <c r="X1216" i="2"/>
  <c r="Y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U1217" i="2"/>
  <c r="W1217" i="2"/>
  <c r="X1217" i="2"/>
  <c r="Y1217" i="2"/>
  <c r="AA1217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U1218" i="2"/>
  <c r="W1218" i="2"/>
  <c r="X1218" i="2"/>
  <c r="Y1218" i="2"/>
  <c r="AA1218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Y1219" i="2"/>
  <c r="AA1219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Q1220" i="2"/>
  <c r="R1220" i="2"/>
  <c r="U1220" i="2"/>
  <c r="V1220" i="2"/>
  <c r="W1220" i="2"/>
  <c r="X1220" i="2"/>
  <c r="Y1220" i="2"/>
  <c r="Z1220" i="2"/>
  <c r="AA1220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U1221" i="2"/>
  <c r="W1221" i="2"/>
  <c r="X1221" i="2"/>
  <c r="Y1221" i="2"/>
  <c r="AA1221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U1222" i="2"/>
  <c r="W1222" i="2"/>
  <c r="X1222" i="2"/>
  <c r="Y1222" i="2"/>
  <c r="AA1222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U1223" i="2"/>
  <c r="W1223" i="2"/>
  <c r="X1223" i="2"/>
  <c r="Y1223" i="2"/>
  <c r="AA1223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Q1224" i="2"/>
  <c r="R1224" i="2"/>
  <c r="U1224" i="2"/>
  <c r="V1224" i="2"/>
  <c r="W1224" i="2"/>
  <c r="X1224" i="2"/>
  <c r="Y1224" i="2"/>
  <c r="Z1224" i="2"/>
  <c r="AA1224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U1225" i="2"/>
  <c r="W1225" i="2"/>
  <c r="X1225" i="2"/>
  <c r="Y1225" i="2"/>
  <c r="AA1225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U1226" i="2"/>
  <c r="W1226" i="2"/>
  <c r="X1226" i="2"/>
  <c r="Y1226" i="2"/>
  <c r="AA1226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U1227" i="2"/>
  <c r="W1227" i="2"/>
  <c r="X1227" i="2"/>
  <c r="Y1227" i="2"/>
  <c r="AA1227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U1228" i="2"/>
  <c r="W1228" i="2"/>
  <c r="X1228" i="2"/>
  <c r="Y1228" i="2"/>
  <c r="AA1228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Q1229" i="2"/>
  <c r="R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U1230" i="2"/>
  <c r="W1230" i="2"/>
  <c r="X1230" i="2"/>
  <c r="Y1230" i="2"/>
  <c r="AA1230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U1231" i="2"/>
  <c r="W1231" i="2"/>
  <c r="X1231" i="2"/>
  <c r="Y1231" i="2"/>
  <c r="AA1231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U1232" i="2"/>
  <c r="W1232" i="2"/>
  <c r="X1232" i="2"/>
  <c r="Y1232" i="2"/>
  <c r="AA1232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U1233" i="2"/>
  <c r="W1233" i="2"/>
  <c r="X1233" i="2"/>
  <c r="Y1233" i="2"/>
  <c r="AA1233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U1234" i="2"/>
  <c r="V1234" i="2"/>
  <c r="Y1234" i="2"/>
  <c r="Z1234" i="2"/>
  <c r="AA1234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E1235" i="2"/>
  <c r="AF1235" i="2"/>
  <c r="AG1235" i="2"/>
  <c r="AH1235" i="2"/>
  <c r="AI1235" i="2"/>
  <c r="AJ1235" i="2"/>
  <c r="AK1235" i="2"/>
  <c r="AL1235" i="2"/>
  <c r="AM1235" i="2"/>
  <c r="AN1235" i="2"/>
  <c r="U1236" i="2"/>
  <c r="W1236" i="2"/>
  <c r="X1236" i="2"/>
  <c r="Y1236" i="2"/>
  <c r="Z1236" i="2"/>
  <c r="AA1236" i="2"/>
  <c r="AB1236" i="2"/>
  <c r="AE1236" i="2"/>
  <c r="AF1236" i="2"/>
  <c r="AG1236" i="2"/>
  <c r="AH1236" i="2"/>
  <c r="AI1236" i="2"/>
  <c r="AJ1236" i="2"/>
  <c r="AK1236" i="2"/>
  <c r="AL1236" i="2"/>
  <c r="AM1236" i="2"/>
  <c r="AN1236" i="2"/>
  <c r="W1237" i="2"/>
  <c r="AH1237" i="2"/>
  <c r="AI1237" i="2"/>
  <c r="AJ1237" i="2"/>
  <c r="AK1237" i="2"/>
  <c r="AL1237" i="2"/>
  <c r="AM1237" i="2"/>
  <c r="AN1237" i="2"/>
  <c r="U1238" i="2"/>
  <c r="W1238" i="2"/>
  <c r="X1238" i="2"/>
  <c r="Y1238" i="2"/>
  <c r="Z1238" i="2"/>
  <c r="AA1238" i="2"/>
  <c r="AB1238" i="2"/>
  <c r="AE1238" i="2"/>
  <c r="AF1238" i="2"/>
  <c r="AG1238" i="2"/>
  <c r="AH1238" i="2"/>
  <c r="AI1238" i="2"/>
  <c r="AJ1238" i="2"/>
  <c r="AK1238" i="2"/>
  <c r="AL1238" i="2"/>
  <c r="AM1238" i="2"/>
  <c r="AN1238" i="2"/>
  <c r="W1239" i="2"/>
  <c r="AH1239" i="2"/>
  <c r="AI1239" i="2"/>
  <c r="AJ1239" i="2"/>
  <c r="AK1239" i="2"/>
  <c r="AL1239" i="2"/>
  <c r="AM1239" i="2"/>
  <c r="AN1239" i="2"/>
  <c r="U1240" i="2"/>
  <c r="W1240" i="2"/>
  <c r="X1240" i="2"/>
  <c r="Y1240" i="2"/>
  <c r="Z1240" i="2"/>
  <c r="AA1240" i="2"/>
  <c r="AB1240" i="2"/>
  <c r="AE1240" i="2"/>
  <c r="AF1240" i="2"/>
  <c r="AG1240" i="2"/>
  <c r="AH1240" i="2"/>
  <c r="AI1240" i="2"/>
  <c r="AJ1240" i="2"/>
  <c r="AK1240" i="2"/>
  <c r="AL1240" i="2"/>
  <c r="AM1240" i="2"/>
  <c r="AN1240" i="2"/>
  <c r="U1241" i="2"/>
  <c r="W1241" i="2"/>
  <c r="X1241" i="2"/>
  <c r="Y1241" i="2"/>
  <c r="Z1241" i="2"/>
  <c r="AA1241" i="2"/>
  <c r="AB1241" i="2"/>
  <c r="AE1241" i="2"/>
  <c r="AF1241" i="2"/>
  <c r="AG1241" i="2"/>
  <c r="AH1241" i="2"/>
  <c r="AI1241" i="2"/>
  <c r="AJ1241" i="2"/>
  <c r="AK1241" i="2"/>
  <c r="AL1241" i="2"/>
  <c r="AM1241" i="2"/>
  <c r="AN1241" i="2"/>
  <c r="U1242" i="2"/>
  <c r="W1242" i="2"/>
  <c r="X1242" i="2"/>
  <c r="Y1242" i="2"/>
  <c r="Z1242" i="2"/>
  <c r="AA1242" i="2"/>
  <c r="AB1242" i="2"/>
  <c r="AE1242" i="2"/>
  <c r="AF1242" i="2"/>
  <c r="AG1242" i="2"/>
  <c r="AH1242" i="2"/>
  <c r="AI1242" i="2"/>
  <c r="AJ1242" i="2"/>
  <c r="AK1242" i="2"/>
  <c r="AL1242" i="2"/>
  <c r="AM1242" i="2"/>
  <c r="AN1242" i="2"/>
  <c r="U1243" i="2"/>
  <c r="W1243" i="2"/>
  <c r="X1243" i="2"/>
  <c r="Y1243" i="2"/>
  <c r="Z1243" i="2"/>
  <c r="AA1243" i="2"/>
  <c r="AB1243" i="2"/>
  <c r="AE1243" i="2"/>
  <c r="AF1243" i="2"/>
  <c r="AG1243" i="2"/>
  <c r="AH1243" i="2"/>
  <c r="AI1243" i="2"/>
  <c r="AJ1243" i="2"/>
  <c r="AK1243" i="2"/>
  <c r="AL1243" i="2"/>
  <c r="AM1243" i="2"/>
  <c r="AN1243" i="2"/>
  <c r="U1244" i="2"/>
  <c r="W1244" i="2"/>
  <c r="X1244" i="2"/>
  <c r="Y1244" i="2"/>
  <c r="Z1244" i="2"/>
  <c r="AA1244" i="2"/>
  <c r="AB1244" i="2"/>
  <c r="AE1244" i="2"/>
  <c r="AF1244" i="2"/>
  <c r="AG1244" i="2"/>
  <c r="AH1244" i="2"/>
  <c r="AI1244" i="2"/>
  <c r="AJ1244" i="2"/>
  <c r="AK1244" i="2"/>
  <c r="AL1244" i="2"/>
  <c r="AM1244" i="2"/>
  <c r="AN1244" i="2"/>
  <c r="U1245" i="2"/>
  <c r="W1245" i="2"/>
  <c r="X1245" i="2"/>
  <c r="Y1245" i="2"/>
  <c r="Z1245" i="2"/>
  <c r="AA1245" i="2"/>
  <c r="AB1245" i="2"/>
  <c r="AE1245" i="2"/>
  <c r="AF1245" i="2"/>
  <c r="AG1245" i="2"/>
  <c r="AH1245" i="2"/>
  <c r="AI1245" i="2"/>
  <c r="AJ1245" i="2"/>
  <c r="AK1245" i="2"/>
  <c r="AL1245" i="2"/>
  <c r="AM1245" i="2"/>
  <c r="AN1245" i="2"/>
  <c r="U1246" i="2"/>
  <c r="W1246" i="2"/>
  <c r="X1246" i="2"/>
  <c r="Y1246" i="2"/>
  <c r="Z1246" i="2"/>
  <c r="AA1246" i="2"/>
  <c r="AB1246" i="2"/>
  <c r="AE1246" i="2"/>
  <c r="AF1246" i="2"/>
  <c r="AG1246" i="2"/>
  <c r="AH1246" i="2"/>
  <c r="AI1246" i="2"/>
  <c r="AJ1246" i="2"/>
  <c r="AK1246" i="2"/>
  <c r="AL1246" i="2"/>
  <c r="AM1246" i="2"/>
  <c r="AN1246" i="2"/>
  <c r="W1247" i="2"/>
  <c r="AH1247" i="2"/>
  <c r="AI1247" i="2"/>
  <c r="AJ1247" i="2"/>
  <c r="AK1247" i="2"/>
  <c r="AL1247" i="2"/>
  <c r="AM1247" i="2"/>
  <c r="AN1247" i="2"/>
  <c r="U1248" i="2"/>
  <c r="W1248" i="2"/>
  <c r="X1248" i="2"/>
  <c r="Y1248" i="2"/>
  <c r="Z1248" i="2"/>
  <c r="AA1248" i="2"/>
  <c r="AB1248" i="2"/>
  <c r="AE1248" i="2"/>
  <c r="AF1248" i="2"/>
  <c r="AG1248" i="2"/>
  <c r="AH1248" i="2"/>
  <c r="AI1248" i="2"/>
  <c r="AJ1248" i="2"/>
  <c r="AK1248" i="2"/>
  <c r="AL1248" i="2"/>
  <c r="AM1248" i="2"/>
  <c r="AN1248" i="2"/>
  <c r="U1249" i="2"/>
  <c r="W1249" i="2"/>
  <c r="X1249" i="2"/>
  <c r="Y1249" i="2"/>
  <c r="Z1249" i="2"/>
  <c r="AA1249" i="2"/>
  <c r="AB1249" i="2"/>
  <c r="AE1249" i="2"/>
  <c r="AF1249" i="2"/>
  <c r="AG1249" i="2"/>
  <c r="AH1249" i="2"/>
  <c r="AI1249" i="2"/>
  <c r="AJ1249" i="2"/>
  <c r="AK1249" i="2"/>
  <c r="AL1249" i="2"/>
  <c r="AM1249" i="2"/>
  <c r="AN1249" i="2"/>
  <c r="U1250" i="2"/>
  <c r="W1250" i="2"/>
  <c r="X1250" i="2"/>
  <c r="Y1250" i="2"/>
  <c r="Z1250" i="2"/>
  <c r="AA1250" i="2"/>
  <c r="AB1250" i="2"/>
  <c r="AE1250" i="2"/>
  <c r="AF1250" i="2"/>
  <c r="AG1250" i="2"/>
  <c r="AH1250" i="2"/>
  <c r="AI1250" i="2"/>
  <c r="AJ1250" i="2"/>
  <c r="AK1250" i="2"/>
  <c r="AL1250" i="2"/>
  <c r="AM1250" i="2"/>
  <c r="AN1250" i="2"/>
  <c r="U1251" i="2"/>
  <c r="W1251" i="2"/>
  <c r="X1251" i="2"/>
  <c r="Y1251" i="2"/>
  <c r="Z1251" i="2"/>
  <c r="AA1251" i="2"/>
  <c r="AB1251" i="2"/>
  <c r="AE1251" i="2"/>
  <c r="AF1251" i="2"/>
  <c r="AG1251" i="2"/>
  <c r="AH1251" i="2"/>
  <c r="AI1251" i="2"/>
  <c r="AJ1251" i="2"/>
  <c r="AK1251" i="2"/>
  <c r="AL1251" i="2"/>
  <c r="AM1251" i="2"/>
  <c r="AN1251" i="2"/>
  <c r="U1252" i="2"/>
  <c r="W1252" i="2"/>
  <c r="X1252" i="2"/>
  <c r="Y1252" i="2"/>
  <c r="Z1252" i="2"/>
  <c r="AA1252" i="2"/>
  <c r="AB1252" i="2"/>
  <c r="AE1252" i="2"/>
  <c r="AF1252" i="2"/>
  <c r="AG1252" i="2"/>
  <c r="AH1252" i="2"/>
  <c r="AI1252" i="2"/>
  <c r="AJ1252" i="2"/>
  <c r="AK1252" i="2"/>
  <c r="AL1252" i="2"/>
  <c r="AM1252" i="2"/>
  <c r="AN1252" i="2"/>
  <c r="W1253" i="2"/>
  <c r="AH1253" i="2"/>
  <c r="AI1253" i="2"/>
  <c r="AJ1253" i="2"/>
  <c r="AK1253" i="2"/>
  <c r="AL1253" i="2"/>
  <c r="AM1253" i="2"/>
  <c r="AN1253" i="2"/>
  <c r="U1254" i="2"/>
  <c r="W1254" i="2"/>
  <c r="X1254" i="2"/>
  <c r="Y1254" i="2"/>
  <c r="Z1254" i="2"/>
  <c r="AA1254" i="2"/>
  <c r="AB1254" i="2"/>
  <c r="AE1254" i="2"/>
  <c r="AF1254" i="2"/>
  <c r="AG1254" i="2"/>
  <c r="AH1254" i="2"/>
  <c r="AI1254" i="2"/>
  <c r="AJ1254" i="2"/>
  <c r="AK1254" i="2"/>
  <c r="AL1254" i="2"/>
  <c r="AM1254" i="2"/>
  <c r="AN1254" i="2"/>
  <c r="U1255" i="2"/>
  <c r="W1255" i="2"/>
  <c r="X1255" i="2"/>
  <c r="Y1255" i="2"/>
  <c r="Z1255" i="2"/>
  <c r="AA1255" i="2"/>
  <c r="AB1255" i="2"/>
  <c r="AE1255" i="2"/>
  <c r="AF1255" i="2"/>
  <c r="AG1255" i="2"/>
  <c r="AH1255" i="2"/>
  <c r="AI1255" i="2"/>
  <c r="AJ1255" i="2"/>
  <c r="AK1255" i="2"/>
  <c r="AL1255" i="2"/>
  <c r="AM1255" i="2"/>
  <c r="AN1255" i="2"/>
  <c r="U1256" i="2"/>
  <c r="W1256" i="2"/>
  <c r="X1256" i="2"/>
  <c r="Y1256" i="2"/>
  <c r="Z1256" i="2"/>
  <c r="AA1256" i="2"/>
  <c r="AB1256" i="2"/>
  <c r="AE1256" i="2"/>
  <c r="AF1256" i="2"/>
  <c r="AG1256" i="2"/>
  <c r="AH1256" i="2"/>
  <c r="AI1256" i="2"/>
  <c r="AJ1256" i="2"/>
  <c r="AK1256" i="2"/>
  <c r="AL1256" i="2"/>
  <c r="AM1256" i="2"/>
  <c r="AN1256" i="2"/>
  <c r="U1257" i="2"/>
  <c r="W1257" i="2"/>
  <c r="X1257" i="2"/>
  <c r="Y1257" i="2"/>
  <c r="Z1257" i="2"/>
  <c r="AA1257" i="2"/>
  <c r="AB1257" i="2"/>
  <c r="AE1257" i="2"/>
  <c r="AF1257" i="2"/>
  <c r="AG1257" i="2"/>
  <c r="AH1257" i="2"/>
  <c r="AI1257" i="2"/>
  <c r="AJ1257" i="2"/>
  <c r="AK1257" i="2"/>
  <c r="AL1257" i="2"/>
  <c r="AM1257" i="2"/>
  <c r="AN1257" i="2"/>
  <c r="U1258" i="2"/>
  <c r="W1258" i="2"/>
  <c r="X1258" i="2"/>
  <c r="Y1258" i="2"/>
  <c r="Z1258" i="2"/>
  <c r="AA1258" i="2"/>
  <c r="AB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U1261" i="2"/>
  <c r="W1261" i="2"/>
  <c r="X1261" i="2"/>
  <c r="Y1261" i="2"/>
  <c r="AA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U1262" i="2"/>
  <c r="W1262" i="2"/>
  <c r="X1262" i="2"/>
  <c r="Y1262" i="2"/>
  <c r="AA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U1264" i="2"/>
  <c r="W1264" i="2"/>
  <c r="X1264" i="2"/>
  <c r="Y1264" i="2"/>
  <c r="AA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U1265" i="2"/>
  <c r="W1265" i="2"/>
  <c r="X1265" i="2"/>
  <c r="Y1265" i="2"/>
  <c r="AA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U1266" i="2"/>
  <c r="W1266" i="2"/>
  <c r="X1266" i="2"/>
  <c r="Y1266" i="2"/>
  <c r="AA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U1267" i="2"/>
  <c r="W1267" i="2"/>
  <c r="X1267" i="2"/>
  <c r="Y1267" i="2"/>
  <c r="AA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U1268" i="2"/>
  <c r="W1268" i="2"/>
  <c r="X1268" i="2"/>
  <c r="Y1268" i="2"/>
  <c r="AA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U1269" i="2"/>
  <c r="W1269" i="2"/>
  <c r="X1269" i="2"/>
  <c r="Y1269" i="2"/>
  <c r="AA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U1270" i="2"/>
  <c r="W1270" i="2"/>
  <c r="X1270" i="2"/>
  <c r="Y1270" i="2"/>
  <c r="AA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U1272" i="2"/>
  <c r="V1272" i="2"/>
  <c r="W1272" i="2"/>
  <c r="X1272" i="2"/>
  <c r="Y1272" i="2"/>
  <c r="Z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U1273" i="2"/>
  <c r="V1273" i="2"/>
  <c r="W1273" i="2"/>
  <c r="X1273" i="2"/>
  <c r="Y1273" i="2"/>
  <c r="Z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U1274" i="2"/>
  <c r="V1274" i="2"/>
  <c r="W1274" i="2"/>
  <c r="X1274" i="2"/>
  <c r="Y1274" i="2"/>
  <c r="Z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U1275" i="2"/>
  <c r="V1275" i="2"/>
  <c r="W1275" i="2"/>
  <c r="X1275" i="2"/>
  <c r="Y1275" i="2"/>
  <c r="Z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U1276" i="2"/>
  <c r="V1276" i="2"/>
  <c r="W1276" i="2"/>
  <c r="X1276" i="2"/>
  <c r="Y1276" i="2"/>
  <c r="Z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U1277" i="2"/>
  <c r="V1277" i="2"/>
  <c r="W1277" i="2"/>
  <c r="X1277" i="2"/>
  <c r="Y1277" i="2"/>
  <c r="Z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U1278" i="2"/>
  <c r="V1278" i="2"/>
  <c r="W1278" i="2"/>
  <c r="X1278" i="2"/>
  <c r="Y1278" i="2"/>
  <c r="Z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U1279" i="2"/>
  <c r="V1279" i="2"/>
  <c r="W1279" i="2"/>
  <c r="X1279" i="2"/>
  <c r="Y1279" i="2"/>
  <c r="Z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U1281" i="2"/>
  <c r="W1281" i="2"/>
  <c r="X1281" i="2"/>
  <c r="Y1281" i="2"/>
  <c r="Z1281" i="2"/>
  <c r="AA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U1283" i="2"/>
  <c r="W1283" i="2"/>
  <c r="X1283" i="2"/>
  <c r="Y1283" i="2"/>
  <c r="Z1283" i="2"/>
  <c r="AA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U1284" i="2"/>
  <c r="W1284" i="2"/>
  <c r="X1284" i="2"/>
  <c r="Y1284" i="2"/>
  <c r="Z1284" i="2"/>
  <c r="AA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U1285" i="2"/>
  <c r="W1285" i="2"/>
  <c r="X1285" i="2"/>
  <c r="Y1285" i="2"/>
  <c r="Z1285" i="2"/>
  <c r="AA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U1286" i="2"/>
  <c r="W1286" i="2"/>
  <c r="X1286" i="2"/>
  <c r="Y1286" i="2"/>
  <c r="Z1286" i="2"/>
  <c r="AA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U1287" i="2"/>
  <c r="W1287" i="2"/>
  <c r="X1287" i="2"/>
  <c r="Y1287" i="2"/>
  <c r="Z1287" i="2"/>
  <c r="AA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U1289" i="2"/>
  <c r="W1289" i="2"/>
  <c r="X1289" i="2"/>
  <c r="Y1289" i="2"/>
  <c r="Z1289" i="2"/>
  <c r="AA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U1290" i="2"/>
  <c r="W1290" i="2"/>
  <c r="X1290" i="2"/>
  <c r="Y1290" i="2"/>
  <c r="Z1290" i="2"/>
  <c r="AA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U1291" i="2"/>
  <c r="W1291" i="2"/>
  <c r="X1291" i="2"/>
  <c r="Y1291" i="2"/>
  <c r="Z1291" i="2"/>
  <c r="AA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U1292" i="2"/>
  <c r="W1292" i="2"/>
  <c r="X1292" i="2"/>
  <c r="Y1292" i="2"/>
  <c r="Z1292" i="2"/>
  <c r="AA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U1293" i="2"/>
  <c r="W1293" i="2"/>
  <c r="X1293" i="2"/>
  <c r="Y1293" i="2"/>
  <c r="Z1293" i="2"/>
  <c r="AA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U1294" i="2"/>
  <c r="W1294" i="2"/>
  <c r="X1294" i="2"/>
  <c r="Y1294" i="2"/>
  <c r="Z1294" i="2"/>
  <c r="AA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U1297" i="2"/>
  <c r="W1297" i="2"/>
  <c r="X1297" i="2"/>
  <c r="Y1297" i="2"/>
  <c r="AA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U1298" i="2"/>
  <c r="W1298" i="2"/>
  <c r="X1298" i="2"/>
  <c r="Y1298" i="2"/>
  <c r="AA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U1300" i="2"/>
  <c r="W1300" i="2"/>
  <c r="X1300" i="2"/>
  <c r="Y1300" i="2"/>
  <c r="AA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U1301" i="2"/>
  <c r="W1301" i="2"/>
  <c r="X1301" i="2"/>
  <c r="Y1301" i="2"/>
  <c r="AA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U1302" i="2"/>
  <c r="W1302" i="2"/>
  <c r="X1302" i="2"/>
  <c r="Y1302" i="2"/>
  <c r="AA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U1303" i="2"/>
  <c r="W1303" i="2"/>
  <c r="X1303" i="2"/>
  <c r="Y1303" i="2"/>
  <c r="AA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U1304" i="2"/>
  <c r="W1304" i="2"/>
  <c r="X1304" i="2"/>
  <c r="Y1304" i="2"/>
  <c r="AA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Q1305" i="2"/>
  <c r="R1305" i="2"/>
  <c r="U1305" i="2"/>
  <c r="W1305" i="2"/>
  <c r="X1305" i="2"/>
  <c r="Y1305" i="2"/>
  <c r="Z1305" i="2"/>
  <c r="AA1305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U1306" i="2"/>
  <c r="W1306" i="2"/>
  <c r="X1306" i="2"/>
  <c r="Y1306" i="2"/>
  <c r="AA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U1307" i="2"/>
  <c r="W1307" i="2"/>
  <c r="X1307" i="2"/>
  <c r="Y1307" i="2"/>
  <c r="AA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U1308" i="2"/>
  <c r="W1308" i="2"/>
  <c r="X1308" i="2"/>
  <c r="Y1308" i="2"/>
  <c r="AA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U1311" i="2"/>
  <c r="W1311" i="2"/>
  <c r="X1311" i="2"/>
  <c r="Y1311" i="2"/>
  <c r="AA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U1312" i="2"/>
  <c r="W1312" i="2"/>
  <c r="X1312" i="2"/>
  <c r="Y1312" i="2"/>
  <c r="AA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U1313" i="2"/>
  <c r="W1313" i="2"/>
  <c r="X1313" i="2"/>
  <c r="Y1313" i="2"/>
  <c r="AA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U1314" i="2"/>
  <c r="W1314" i="2"/>
  <c r="X1314" i="2"/>
  <c r="Y1314" i="2"/>
  <c r="AA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U1315" i="2"/>
  <c r="W1315" i="2"/>
  <c r="X1315" i="2"/>
  <c r="Y1315" i="2"/>
  <c r="AA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N1316" i="2"/>
  <c r="S1317" i="2"/>
  <c r="U1317" i="2"/>
  <c r="W1317" i="2"/>
  <c r="X1317" i="2"/>
  <c r="Y1317" i="2"/>
  <c r="Z1317" i="2"/>
  <c r="AA1317" i="2"/>
  <c r="AB1317" i="2"/>
  <c r="AC1317" i="2"/>
  <c r="AE1317" i="2"/>
  <c r="AF1317" i="2"/>
  <c r="AG1317" i="2"/>
  <c r="AH1317" i="2"/>
  <c r="AI1317" i="2"/>
  <c r="AJ1317" i="2"/>
  <c r="AM1317" i="2"/>
  <c r="AN1317" i="2"/>
  <c r="AN1318" i="2"/>
  <c r="S1319" i="2"/>
  <c r="U1319" i="2"/>
  <c r="W1319" i="2"/>
  <c r="X1319" i="2"/>
  <c r="Y1319" i="2"/>
  <c r="Z1319" i="2"/>
  <c r="AA1319" i="2"/>
  <c r="AB1319" i="2"/>
  <c r="AC1319" i="2"/>
  <c r="AE1319" i="2"/>
  <c r="AF1319" i="2"/>
  <c r="AG1319" i="2"/>
  <c r="AH1319" i="2"/>
  <c r="AI1319" i="2"/>
  <c r="AJ1319" i="2"/>
  <c r="AM1319" i="2"/>
  <c r="AN1319" i="2"/>
  <c r="S1320" i="2"/>
  <c r="U1320" i="2"/>
  <c r="W1320" i="2"/>
  <c r="X1320" i="2"/>
  <c r="Y1320" i="2"/>
  <c r="Z1320" i="2"/>
  <c r="AA1320" i="2"/>
  <c r="AB1320" i="2"/>
  <c r="AC1320" i="2"/>
  <c r="AE1320" i="2"/>
  <c r="AF1320" i="2"/>
  <c r="AG1320" i="2"/>
  <c r="AH1320" i="2"/>
  <c r="AI1320" i="2"/>
  <c r="AJ1320" i="2"/>
  <c r="AM1320" i="2"/>
  <c r="AN1320" i="2"/>
  <c r="S1321" i="2"/>
  <c r="U1321" i="2"/>
  <c r="W1321" i="2"/>
  <c r="X1321" i="2"/>
  <c r="Y1321" i="2"/>
  <c r="Z1321" i="2"/>
  <c r="AA1321" i="2"/>
  <c r="AB1321" i="2"/>
  <c r="AC1321" i="2"/>
  <c r="AE1321" i="2"/>
  <c r="AF1321" i="2"/>
  <c r="AG1321" i="2"/>
  <c r="AH1321" i="2"/>
  <c r="AI1321" i="2"/>
  <c r="AJ1321" i="2"/>
  <c r="AM1321" i="2"/>
  <c r="AN1321" i="2"/>
  <c r="S1322" i="2"/>
  <c r="U1322" i="2"/>
  <c r="W1322" i="2"/>
  <c r="X1322" i="2"/>
  <c r="Y1322" i="2"/>
  <c r="Z1322" i="2"/>
  <c r="AA1322" i="2"/>
  <c r="AB1322" i="2"/>
  <c r="AC1322" i="2"/>
  <c r="AE1322" i="2"/>
  <c r="AF1322" i="2"/>
  <c r="AG1322" i="2"/>
  <c r="AH1322" i="2"/>
  <c r="AI1322" i="2"/>
  <c r="AJ1322" i="2"/>
  <c r="AM1322" i="2"/>
  <c r="AN1322" i="2"/>
  <c r="S1323" i="2"/>
  <c r="U1323" i="2"/>
  <c r="W1323" i="2"/>
  <c r="X1323" i="2"/>
  <c r="Y1323" i="2"/>
  <c r="Z1323" i="2"/>
  <c r="AA1323" i="2"/>
  <c r="AB1323" i="2"/>
  <c r="AC1323" i="2"/>
  <c r="AE1323" i="2"/>
  <c r="AF1323" i="2"/>
  <c r="AG1323" i="2"/>
  <c r="AH1323" i="2"/>
  <c r="AI1323" i="2"/>
  <c r="AJ1323" i="2"/>
  <c r="AM1323" i="2"/>
  <c r="AN1323" i="2"/>
  <c r="AN1324" i="2"/>
  <c r="S1325" i="2"/>
  <c r="U1325" i="2"/>
  <c r="W1325" i="2"/>
  <c r="X1325" i="2"/>
  <c r="Y1325" i="2"/>
  <c r="Z1325" i="2"/>
  <c r="AA1325" i="2"/>
  <c r="AB1325" i="2"/>
  <c r="AC1325" i="2"/>
  <c r="AE1325" i="2"/>
  <c r="AF1325" i="2"/>
  <c r="AG1325" i="2"/>
  <c r="AH1325" i="2"/>
  <c r="AI1325" i="2"/>
  <c r="AJ1325" i="2"/>
  <c r="AM1325" i="2"/>
  <c r="AN1325" i="2"/>
  <c r="U1326" i="2"/>
  <c r="W1326" i="2"/>
  <c r="X1326" i="2"/>
  <c r="Y1326" i="2"/>
  <c r="Z1326" i="2"/>
  <c r="AA1326" i="2"/>
  <c r="AB1326" i="2"/>
  <c r="AC1326" i="2"/>
  <c r="AE1326" i="2"/>
  <c r="AF1326" i="2"/>
  <c r="AG1326" i="2"/>
  <c r="AH1326" i="2"/>
  <c r="AI1326" i="2"/>
  <c r="AJ1326" i="2"/>
  <c r="AM1326" i="2"/>
  <c r="AN1326" i="2"/>
  <c r="S1327" i="2"/>
  <c r="U1327" i="2"/>
  <c r="W1327" i="2"/>
  <c r="X1327" i="2"/>
  <c r="Y1327" i="2"/>
  <c r="Z1327" i="2"/>
  <c r="AA1327" i="2"/>
  <c r="AB1327" i="2"/>
  <c r="AC1327" i="2"/>
  <c r="AE1327" i="2"/>
  <c r="AF1327" i="2"/>
  <c r="AG1327" i="2"/>
  <c r="AH1327" i="2"/>
  <c r="AI1327" i="2"/>
  <c r="AJ1327" i="2"/>
  <c r="AM1327" i="2"/>
  <c r="AN1327" i="2"/>
  <c r="S1328" i="2"/>
  <c r="U1328" i="2"/>
  <c r="W1328" i="2"/>
  <c r="X1328" i="2"/>
  <c r="Y1328" i="2"/>
  <c r="Z1328" i="2"/>
  <c r="AA1328" i="2"/>
  <c r="AB1328" i="2"/>
  <c r="AC1328" i="2"/>
  <c r="AE1328" i="2"/>
  <c r="AF1328" i="2"/>
  <c r="AG1328" i="2"/>
  <c r="AH1328" i="2"/>
  <c r="AI1328" i="2"/>
  <c r="AJ1328" i="2"/>
  <c r="AM1328" i="2"/>
  <c r="AN1328" i="2"/>
  <c r="S1329" i="2"/>
  <c r="U1329" i="2"/>
  <c r="W1329" i="2"/>
  <c r="X1329" i="2"/>
  <c r="Y1329" i="2"/>
  <c r="Z1329" i="2"/>
  <c r="AA1329" i="2"/>
  <c r="AB1329" i="2"/>
  <c r="AC1329" i="2"/>
  <c r="AE1329" i="2"/>
  <c r="AF1329" i="2"/>
  <c r="AG1329" i="2"/>
  <c r="AH1329" i="2"/>
  <c r="AI1329" i="2"/>
  <c r="AJ1329" i="2"/>
  <c r="AM1329" i="2"/>
  <c r="AN1329" i="2"/>
  <c r="S1330" i="2"/>
  <c r="U1330" i="2"/>
  <c r="W1330" i="2"/>
  <c r="X1330" i="2"/>
  <c r="Y1330" i="2"/>
  <c r="Z1330" i="2"/>
  <c r="AA1330" i="2"/>
  <c r="AB1330" i="2"/>
  <c r="AC1330" i="2"/>
  <c r="AE1330" i="2"/>
  <c r="AF1330" i="2"/>
  <c r="AG1330" i="2"/>
  <c r="AH1330" i="2"/>
  <c r="AI1330" i="2"/>
  <c r="AJ1330" i="2"/>
  <c r="AM1330" i="2"/>
  <c r="AN1330" i="2"/>
  <c r="S1331" i="2"/>
  <c r="U1331" i="2"/>
  <c r="W1331" i="2"/>
  <c r="X1331" i="2"/>
  <c r="Y1331" i="2"/>
  <c r="Z1331" i="2"/>
  <c r="AA1331" i="2"/>
  <c r="AB1331" i="2"/>
  <c r="AC1331" i="2"/>
  <c r="AE1331" i="2"/>
  <c r="AF1331" i="2"/>
  <c r="AG1331" i="2"/>
  <c r="AH1331" i="2"/>
  <c r="AI1331" i="2"/>
  <c r="AJ1331" i="2"/>
  <c r="AM1331" i="2"/>
  <c r="AN1331" i="2"/>
  <c r="S1332" i="2"/>
  <c r="U1332" i="2"/>
  <c r="W1332" i="2"/>
  <c r="X1332" i="2"/>
  <c r="Y1332" i="2"/>
  <c r="Z1332" i="2"/>
  <c r="AA1332" i="2"/>
  <c r="AB1332" i="2"/>
  <c r="AC1332" i="2"/>
  <c r="AE1332" i="2"/>
  <c r="AF1332" i="2"/>
  <c r="AG1332" i="2"/>
  <c r="AH1332" i="2"/>
  <c r="AI1332" i="2"/>
  <c r="AJ1332" i="2"/>
  <c r="AM1332" i="2"/>
  <c r="AN1332" i="2"/>
  <c r="S1333" i="2"/>
  <c r="U1333" i="2"/>
  <c r="W1333" i="2"/>
  <c r="X1333" i="2"/>
  <c r="Y1333" i="2"/>
  <c r="Z1333" i="2"/>
  <c r="AA1333" i="2"/>
  <c r="AB1333" i="2"/>
  <c r="AC1333" i="2"/>
  <c r="AE1333" i="2"/>
  <c r="AF1333" i="2"/>
  <c r="AG1333" i="2"/>
  <c r="AH1333" i="2"/>
  <c r="AI1333" i="2"/>
  <c r="AJ1333" i="2"/>
  <c r="AM1333" i="2"/>
  <c r="AN1333" i="2"/>
  <c r="S1334" i="2"/>
  <c r="U1334" i="2"/>
  <c r="W1334" i="2"/>
  <c r="X1334" i="2"/>
  <c r="Y1334" i="2"/>
  <c r="Z1334" i="2"/>
  <c r="AA1334" i="2"/>
  <c r="AB1334" i="2"/>
  <c r="AC1334" i="2"/>
  <c r="AE1334" i="2"/>
  <c r="AF1334" i="2"/>
  <c r="AG1334" i="2"/>
  <c r="AH1334" i="2"/>
  <c r="AI1334" i="2"/>
  <c r="AJ1334" i="2"/>
  <c r="AM1334" i="2"/>
  <c r="AN1334" i="2"/>
  <c r="S1335" i="2"/>
  <c r="U1335" i="2"/>
  <c r="W1335" i="2"/>
  <c r="X1335" i="2"/>
  <c r="Y1335" i="2"/>
  <c r="Z1335" i="2"/>
  <c r="AA1335" i="2"/>
  <c r="AB1335" i="2"/>
  <c r="AC1335" i="2"/>
  <c r="AE1335" i="2"/>
  <c r="AF1335" i="2"/>
  <c r="AG1335" i="2"/>
  <c r="AH1335" i="2"/>
  <c r="AI1335" i="2"/>
  <c r="AJ1335" i="2"/>
  <c r="AM1335" i="2"/>
  <c r="AN1335" i="2"/>
  <c r="S1336" i="2"/>
  <c r="U1336" i="2"/>
  <c r="W1336" i="2"/>
  <c r="X1336" i="2"/>
  <c r="Y1336" i="2"/>
  <c r="Z1336" i="2"/>
  <c r="AA1336" i="2"/>
  <c r="AB1336" i="2"/>
  <c r="AC1336" i="2"/>
  <c r="AE1336" i="2"/>
  <c r="AF1336" i="2"/>
  <c r="AG1336" i="2"/>
  <c r="AH1336" i="2"/>
  <c r="AI1336" i="2"/>
  <c r="AJ1336" i="2"/>
  <c r="AM1336" i="2"/>
  <c r="AN1336" i="2"/>
  <c r="S1337" i="2"/>
  <c r="W1337" i="2"/>
  <c r="X1337" i="2"/>
  <c r="Y1337" i="2"/>
  <c r="Z1337" i="2"/>
  <c r="AA1337" i="2"/>
  <c r="AB1337" i="2"/>
  <c r="AC1337" i="2"/>
  <c r="AE1337" i="2"/>
  <c r="AF1337" i="2"/>
  <c r="AG1337" i="2"/>
  <c r="AH1337" i="2"/>
  <c r="AI1337" i="2"/>
  <c r="AJ1337" i="2"/>
  <c r="AM1337" i="2"/>
  <c r="AN1337" i="2"/>
  <c r="AN1338" i="2"/>
  <c r="AN1339" i="2"/>
  <c r="AN1340" i="2"/>
  <c r="S1341" i="2"/>
  <c r="U1341" i="2"/>
  <c r="W1341" i="2"/>
  <c r="X1341" i="2"/>
  <c r="Y1341" i="2"/>
  <c r="Z1341" i="2"/>
  <c r="AA1341" i="2"/>
  <c r="AB1341" i="2"/>
  <c r="AC1341" i="2"/>
  <c r="AE1341" i="2"/>
  <c r="AF1341" i="2"/>
  <c r="AG1341" i="2"/>
  <c r="AH1341" i="2"/>
  <c r="AI1341" i="2"/>
  <c r="AJ1341" i="2"/>
  <c r="AM1341" i="2"/>
  <c r="AN1341" i="2"/>
  <c r="S1342" i="2"/>
  <c r="U1342" i="2"/>
  <c r="W1342" i="2"/>
  <c r="X1342" i="2"/>
  <c r="Y1342" i="2"/>
  <c r="Z1342" i="2"/>
  <c r="AA1342" i="2"/>
  <c r="AB1342" i="2"/>
  <c r="AC1342" i="2"/>
  <c r="AE1342" i="2"/>
  <c r="AF1342" i="2"/>
  <c r="AG1342" i="2"/>
  <c r="AH1342" i="2"/>
  <c r="AI1342" i="2"/>
  <c r="AJ1342" i="2"/>
  <c r="AM1342" i="2"/>
  <c r="AN1342" i="2"/>
  <c r="S1343" i="2"/>
  <c r="U1343" i="2"/>
  <c r="W1343" i="2"/>
  <c r="X1343" i="2"/>
  <c r="Y1343" i="2"/>
  <c r="Z1343" i="2"/>
  <c r="AA1343" i="2"/>
  <c r="AB1343" i="2"/>
  <c r="AC1343" i="2"/>
  <c r="AE1343" i="2"/>
  <c r="AF1343" i="2"/>
  <c r="AG1343" i="2"/>
  <c r="AH1343" i="2"/>
  <c r="AI1343" i="2"/>
  <c r="AJ1343" i="2"/>
  <c r="AM1343" i="2"/>
  <c r="AN1343" i="2"/>
  <c r="S1344" i="2"/>
  <c r="U1344" i="2"/>
  <c r="W1344" i="2"/>
  <c r="X1344" i="2"/>
  <c r="Y1344" i="2"/>
  <c r="Z1344" i="2"/>
  <c r="AA1344" i="2"/>
  <c r="AB1344" i="2"/>
  <c r="AC1344" i="2"/>
  <c r="AE1344" i="2"/>
  <c r="AF1344" i="2"/>
  <c r="AG1344" i="2"/>
  <c r="AH1344" i="2"/>
  <c r="AI1344" i="2"/>
  <c r="AJ1344" i="2"/>
  <c r="AM1344" i="2"/>
  <c r="AN1344" i="2"/>
  <c r="S1345" i="2"/>
  <c r="U1345" i="2"/>
  <c r="W1345" i="2"/>
  <c r="X1345" i="2"/>
  <c r="Y1345" i="2"/>
  <c r="Z1345" i="2"/>
  <c r="AA1345" i="2"/>
  <c r="AB1345" i="2"/>
  <c r="AC1345" i="2"/>
  <c r="AE1345" i="2"/>
  <c r="AF1345" i="2"/>
  <c r="AG1345" i="2"/>
  <c r="AH1345" i="2"/>
  <c r="AI1345" i="2"/>
  <c r="AJ1345" i="2"/>
  <c r="AM1345" i="2"/>
  <c r="AN1345" i="2"/>
  <c r="S1346" i="2"/>
  <c r="U1346" i="2"/>
  <c r="W1346" i="2"/>
  <c r="X1346" i="2"/>
  <c r="Y1346" i="2"/>
  <c r="Z1346" i="2"/>
  <c r="AA1346" i="2"/>
  <c r="AB1346" i="2"/>
  <c r="AC1346" i="2"/>
  <c r="AE1346" i="2"/>
  <c r="AF1346" i="2"/>
  <c r="AG1346" i="2"/>
  <c r="AH1346" i="2"/>
  <c r="AI1346" i="2"/>
  <c r="AJ1346" i="2"/>
  <c r="AM1346" i="2"/>
  <c r="AN1346" i="2"/>
  <c r="S1347" i="2"/>
  <c r="U1347" i="2"/>
  <c r="W1347" i="2"/>
  <c r="X1347" i="2"/>
  <c r="Y1347" i="2"/>
  <c r="Z1347" i="2"/>
  <c r="AA1347" i="2"/>
  <c r="AB1347" i="2"/>
  <c r="AC1347" i="2"/>
  <c r="AE1347" i="2"/>
  <c r="AF1347" i="2"/>
  <c r="AG1347" i="2"/>
  <c r="AH1347" i="2"/>
  <c r="AI1347" i="2"/>
  <c r="AJ1347" i="2"/>
  <c r="AM1347" i="2"/>
  <c r="AN1347" i="2"/>
  <c r="AN1348" i="2"/>
  <c r="S1349" i="2"/>
  <c r="U1349" i="2"/>
  <c r="W1349" i="2"/>
  <c r="X1349" i="2"/>
  <c r="Y1349" i="2"/>
  <c r="Z1349" i="2"/>
  <c r="AA1349" i="2"/>
  <c r="AB1349" i="2"/>
  <c r="AC1349" i="2"/>
  <c r="AE1349" i="2"/>
  <c r="AF1349" i="2"/>
  <c r="AG1349" i="2"/>
  <c r="AH1349" i="2"/>
  <c r="AI1349" i="2"/>
  <c r="AJ1349" i="2"/>
  <c r="AM1349" i="2"/>
  <c r="AN1349" i="2"/>
  <c r="S1350" i="2"/>
  <c r="U1350" i="2"/>
  <c r="W1350" i="2"/>
  <c r="X1350" i="2"/>
  <c r="Y1350" i="2"/>
  <c r="Z1350" i="2"/>
  <c r="AA1350" i="2"/>
  <c r="AB1350" i="2"/>
  <c r="AC1350" i="2"/>
  <c r="AE1350" i="2"/>
  <c r="AF1350" i="2"/>
  <c r="AG1350" i="2"/>
  <c r="AH1350" i="2"/>
  <c r="AI1350" i="2"/>
  <c r="AJ1350" i="2"/>
  <c r="AM1350" i="2"/>
  <c r="AN1350" i="2"/>
  <c r="S1351" i="2"/>
  <c r="U1351" i="2"/>
  <c r="W1351" i="2"/>
  <c r="X1351" i="2"/>
  <c r="Y1351" i="2"/>
  <c r="Z1351" i="2"/>
  <c r="AA1351" i="2"/>
  <c r="AB1351" i="2"/>
  <c r="AC1351" i="2"/>
  <c r="AE1351" i="2"/>
  <c r="AF1351" i="2"/>
  <c r="AG1351" i="2"/>
  <c r="AH1351" i="2"/>
  <c r="AI1351" i="2"/>
  <c r="AJ1351" i="2"/>
  <c r="AM1351" i="2"/>
  <c r="AN1351" i="2"/>
  <c r="S1352" i="2"/>
  <c r="U1352" i="2"/>
  <c r="W1352" i="2"/>
  <c r="X1352" i="2"/>
  <c r="Y1352" i="2"/>
  <c r="Z1352" i="2"/>
  <c r="AA1352" i="2"/>
  <c r="AB1352" i="2"/>
  <c r="AC1352" i="2"/>
  <c r="AE1352" i="2"/>
  <c r="AF1352" i="2"/>
  <c r="AG1352" i="2"/>
  <c r="AH1352" i="2"/>
  <c r="AI1352" i="2"/>
  <c r="AJ1352" i="2"/>
  <c r="AM1352" i="2"/>
  <c r="AN1352" i="2"/>
  <c r="AN1353" i="2"/>
  <c r="S1354" i="2"/>
  <c r="U1354" i="2"/>
  <c r="W1354" i="2"/>
  <c r="X1354" i="2"/>
  <c r="Y1354" i="2"/>
  <c r="Z1354" i="2"/>
  <c r="AA1354" i="2"/>
  <c r="AB1354" i="2"/>
  <c r="AC1354" i="2"/>
  <c r="AE1354" i="2"/>
  <c r="AF1354" i="2"/>
  <c r="AG1354" i="2"/>
  <c r="AH1354" i="2"/>
  <c r="AI1354" i="2"/>
  <c r="AJ1354" i="2"/>
  <c r="AM1354" i="2"/>
  <c r="AN1354" i="2"/>
  <c r="S1355" i="2"/>
  <c r="U1355" i="2"/>
  <c r="W1355" i="2"/>
  <c r="X1355" i="2"/>
  <c r="Y1355" i="2"/>
  <c r="Z1355" i="2"/>
  <c r="AA1355" i="2"/>
  <c r="AB1355" i="2"/>
  <c r="AC1355" i="2"/>
  <c r="AE1355" i="2"/>
  <c r="AF1355" i="2"/>
  <c r="AG1355" i="2"/>
  <c r="AH1355" i="2"/>
  <c r="AI1355" i="2"/>
  <c r="AJ1355" i="2"/>
  <c r="AM1355" i="2"/>
  <c r="AN1355" i="2"/>
  <c r="S1356" i="2"/>
  <c r="U1356" i="2"/>
  <c r="W1356" i="2"/>
  <c r="X1356" i="2"/>
  <c r="Y1356" i="2"/>
  <c r="Z1356" i="2"/>
  <c r="AA1356" i="2"/>
  <c r="AB1356" i="2"/>
  <c r="AC1356" i="2"/>
  <c r="AE1356" i="2"/>
  <c r="AF1356" i="2"/>
  <c r="AG1356" i="2"/>
  <c r="AH1356" i="2"/>
  <c r="AI1356" i="2"/>
  <c r="AJ1356" i="2"/>
  <c r="AM1356" i="2"/>
  <c r="AN1356" i="2"/>
  <c r="S1357" i="2"/>
  <c r="U1357" i="2"/>
  <c r="W1357" i="2"/>
  <c r="X1357" i="2"/>
  <c r="Y1357" i="2"/>
  <c r="Z1357" i="2"/>
  <c r="AA1357" i="2"/>
  <c r="AB1357" i="2"/>
  <c r="AC1357" i="2"/>
  <c r="AE1357" i="2"/>
  <c r="AF1357" i="2"/>
  <c r="AG1357" i="2"/>
  <c r="AH1357" i="2"/>
  <c r="AI1357" i="2"/>
  <c r="AJ1357" i="2"/>
  <c r="AM1357" i="2"/>
  <c r="AN1357" i="2"/>
  <c r="S1358" i="2"/>
  <c r="U1358" i="2"/>
  <c r="W1358" i="2"/>
  <c r="X1358" i="2"/>
  <c r="Y1358" i="2"/>
  <c r="Z1358" i="2"/>
  <c r="AA1358" i="2"/>
  <c r="AB1358" i="2"/>
  <c r="AC1358" i="2"/>
  <c r="AE1358" i="2"/>
  <c r="AF1358" i="2"/>
  <c r="AG1358" i="2"/>
  <c r="AH1358" i="2"/>
  <c r="AI1358" i="2"/>
  <c r="AJ1358" i="2"/>
  <c r="AM1358" i="2"/>
  <c r="AN1358" i="2"/>
  <c r="S1359" i="2"/>
  <c r="U1359" i="2"/>
  <c r="W1359" i="2"/>
  <c r="X1359" i="2"/>
  <c r="Y1359" i="2"/>
  <c r="Z1359" i="2"/>
  <c r="AA1359" i="2"/>
  <c r="AB1359" i="2"/>
  <c r="AC1359" i="2"/>
  <c r="AE1359" i="2"/>
  <c r="AF1359" i="2"/>
  <c r="AG1359" i="2"/>
  <c r="AH1359" i="2"/>
  <c r="AI1359" i="2"/>
  <c r="AJ1359" i="2"/>
  <c r="AM1359" i="2"/>
  <c r="AN1359" i="2"/>
  <c r="S1360" i="2"/>
  <c r="U1360" i="2"/>
  <c r="W1360" i="2"/>
  <c r="X1360" i="2"/>
  <c r="Y1360" i="2"/>
  <c r="Z1360" i="2"/>
  <c r="AA1360" i="2"/>
  <c r="AB1360" i="2"/>
  <c r="AC1360" i="2"/>
  <c r="AE1360" i="2"/>
  <c r="AF1360" i="2"/>
  <c r="AG1360" i="2"/>
  <c r="AH1360" i="2"/>
  <c r="AI1360" i="2"/>
  <c r="AJ1360" i="2"/>
  <c r="AM1360" i="2"/>
  <c r="AN1360" i="2"/>
  <c r="S1361" i="2"/>
  <c r="U1361" i="2"/>
  <c r="W1361" i="2"/>
  <c r="X1361" i="2"/>
  <c r="Y1361" i="2"/>
  <c r="Z1361" i="2"/>
  <c r="AA1361" i="2"/>
  <c r="AB1361" i="2"/>
  <c r="AC1361" i="2"/>
  <c r="AE1361" i="2"/>
  <c r="AF1361" i="2"/>
  <c r="AG1361" i="2"/>
  <c r="AH1361" i="2"/>
  <c r="AI1361" i="2"/>
  <c r="AJ1361" i="2"/>
  <c r="AM1361" i="2"/>
  <c r="AN1361" i="2"/>
  <c r="S1362" i="2"/>
  <c r="U1362" i="2"/>
  <c r="W1362" i="2"/>
  <c r="X1362" i="2"/>
  <c r="Y1362" i="2"/>
  <c r="Z1362" i="2"/>
  <c r="AA1362" i="2"/>
  <c r="AB1362" i="2"/>
  <c r="AC1362" i="2"/>
  <c r="AE1362" i="2"/>
  <c r="AF1362" i="2"/>
  <c r="AG1362" i="2"/>
  <c r="AH1362" i="2"/>
  <c r="AI1362" i="2"/>
  <c r="AJ1362" i="2"/>
  <c r="AM1362" i="2"/>
  <c r="AN1362" i="2"/>
  <c r="S1363" i="2"/>
  <c r="U1363" i="2"/>
  <c r="W1363" i="2"/>
  <c r="X1363" i="2"/>
  <c r="Y1363" i="2"/>
  <c r="Z1363" i="2"/>
  <c r="AA1363" i="2"/>
  <c r="AB1363" i="2"/>
  <c r="AC1363" i="2"/>
  <c r="AE1363" i="2"/>
  <c r="AF1363" i="2"/>
  <c r="AG1363" i="2"/>
  <c r="AH1363" i="2"/>
  <c r="AI1363" i="2"/>
  <c r="AJ1363" i="2"/>
  <c r="AM1363" i="2"/>
  <c r="AN1363" i="2"/>
  <c r="S1364" i="2"/>
  <c r="U1364" i="2"/>
  <c r="W1364" i="2"/>
  <c r="X1364" i="2"/>
  <c r="Y1364" i="2"/>
  <c r="Z1364" i="2"/>
  <c r="AA1364" i="2"/>
  <c r="AB1364" i="2"/>
  <c r="AC1364" i="2"/>
  <c r="AE1364" i="2"/>
  <c r="AF1364" i="2"/>
  <c r="AG1364" i="2"/>
  <c r="AH1364" i="2"/>
  <c r="AI1364" i="2"/>
  <c r="AJ1364" i="2"/>
  <c r="AM1364" i="2"/>
  <c r="AN1364" i="2"/>
  <c r="S1365" i="2"/>
  <c r="U1365" i="2"/>
  <c r="W1365" i="2"/>
  <c r="X1365" i="2"/>
  <c r="Y1365" i="2"/>
  <c r="Z1365" i="2"/>
  <c r="AA1365" i="2"/>
  <c r="AB1365" i="2"/>
  <c r="AC1365" i="2"/>
  <c r="AE1365" i="2"/>
  <c r="AF1365" i="2"/>
  <c r="AG1365" i="2"/>
  <c r="AH1365" i="2"/>
  <c r="AI1365" i="2"/>
  <c r="AJ1365" i="2"/>
  <c r="AM1365" i="2"/>
  <c r="AN1365" i="2"/>
  <c r="AN1366" i="2"/>
  <c r="S1367" i="2"/>
  <c r="U1367" i="2"/>
  <c r="W1367" i="2"/>
  <c r="X1367" i="2"/>
  <c r="Y1367" i="2"/>
  <c r="Z1367" i="2"/>
  <c r="AA1367" i="2"/>
  <c r="AB1367" i="2"/>
  <c r="AC1367" i="2"/>
  <c r="AE1367" i="2"/>
  <c r="AF1367" i="2"/>
  <c r="AG1367" i="2"/>
  <c r="AH1367" i="2"/>
  <c r="AI1367" i="2"/>
  <c r="AJ1367" i="2"/>
  <c r="AM1367" i="2"/>
  <c r="AN1367" i="2"/>
  <c r="S1368" i="2"/>
  <c r="U1368" i="2"/>
  <c r="W1368" i="2"/>
  <c r="X1368" i="2"/>
  <c r="Y1368" i="2"/>
  <c r="Z1368" i="2"/>
  <c r="AA1368" i="2"/>
  <c r="AB1368" i="2"/>
  <c r="AC1368" i="2"/>
  <c r="AE1368" i="2"/>
  <c r="AF1368" i="2"/>
  <c r="AG1368" i="2"/>
  <c r="AH1368" i="2"/>
  <c r="AI1368" i="2"/>
  <c r="AJ1368" i="2"/>
  <c r="AM1368" i="2"/>
  <c r="AN1368" i="2"/>
  <c r="AN1369" i="2"/>
  <c r="S1370" i="2"/>
  <c r="U1370" i="2"/>
  <c r="W1370" i="2"/>
  <c r="X1370" i="2"/>
  <c r="Y1370" i="2"/>
  <c r="Z1370" i="2"/>
  <c r="AA1370" i="2"/>
  <c r="AB1370" i="2"/>
  <c r="AC1370" i="2"/>
  <c r="AE1370" i="2"/>
  <c r="AF1370" i="2"/>
  <c r="AG1370" i="2"/>
  <c r="AH1370" i="2"/>
  <c r="AI1370" i="2"/>
  <c r="AJ1370" i="2"/>
  <c r="AM1370" i="2"/>
  <c r="AN1370" i="2"/>
  <c r="S1371" i="2"/>
  <c r="U1371" i="2"/>
  <c r="W1371" i="2"/>
  <c r="X1371" i="2"/>
  <c r="Y1371" i="2"/>
  <c r="Z1371" i="2"/>
  <c r="AA1371" i="2"/>
  <c r="AB1371" i="2"/>
  <c r="AC1371" i="2"/>
  <c r="AE1371" i="2"/>
  <c r="AF1371" i="2"/>
  <c r="AG1371" i="2"/>
  <c r="AH1371" i="2"/>
  <c r="AI1371" i="2"/>
  <c r="AJ1371" i="2"/>
  <c r="AM1371" i="2"/>
  <c r="AN1371" i="2"/>
  <c r="S1372" i="2"/>
  <c r="U1372" i="2"/>
  <c r="W1372" i="2"/>
  <c r="X1372" i="2"/>
  <c r="Y1372" i="2"/>
  <c r="Z1372" i="2"/>
  <c r="AA1372" i="2"/>
  <c r="AB1372" i="2"/>
  <c r="AC1372" i="2"/>
  <c r="AE1372" i="2"/>
  <c r="AF1372" i="2"/>
  <c r="AG1372" i="2"/>
  <c r="AH1372" i="2"/>
  <c r="AI1372" i="2"/>
  <c r="AJ1372" i="2"/>
  <c r="AM1372" i="2"/>
  <c r="AN1372" i="2"/>
  <c r="S1373" i="2"/>
  <c r="U1373" i="2"/>
  <c r="W1373" i="2"/>
  <c r="X1373" i="2"/>
  <c r="Y1373" i="2"/>
  <c r="Z1373" i="2"/>
  <c r="AA1373" i="2"/>
  <c r="AB1373" i="2"/>
  <c r="AC1373" i="2"/>
  <c r="AE1373" i="2"/>
  <c r="AF1373" i="2"/>
  <c r="AG1373" i="2"/>
  <c r="AH1373" i="2"/>
  <c r="AI1373" i="2"/>
  <c r="AJ1373" i="2"/>
  <c r="AM1373" i="2"/>
  <c r="AN1373" i="2"/>
  <c r="S1374" i="2"/>
  <c r="U1374" i="2"/>
  <c r="W1374" i="2"/>
  <c r="X1374" i="2"/>
  <c r="Y1374" i="2"/>
  <c r="Z1374" i="2"/>
  <c r="AA1374" i="2"/>
  <c r="AB1374" i="2"/>
  <c r="AC1374" i="2"/>
  <c r="AE1374" i="2"/>
  <c r="AF1374" i="2"/>
  <c r="AG1374" i="2"/>
  <c r="AH1374" i="2"/>
  <c r="AI1374" i="2"/>
  <c r="AJ1374" i="2"/>
  <c r="AM1374" i="2"/>
  <c r="AN1374" i="2"/>
  <c r="U1375" i="2"/>
  <c r="AN1375" i="2"/>
  <c r="AN1376" i="2"/>
  <c r="S1377" i="2"/>
  <c r="U1377" i="2"/>
  <c r="W1377" i="2"/>
  <c r="X1377" i="2"/>
  <c r="Y1377" i="2"/>
  <c r="Z1377" i="2"/>
  <c r="AA1377" i="2"/>
  <c r="AB1377" i="2"/>
  <c r="AC1377" i="2"/>
  <c r="AE1377" i="2"/>
  <c r="AF1377" i="2"/>
  <c r="AG1377" i="2"/>
  <c r="AH1377" i="2"/>
  <c r="AI1377" i="2"/>
  <c r="AJ1377" i="2"/>
  <c r="AM1377" i="2"/>
  <c r="AN1377" i="2"/>
  <c r="S1378" i="2"/>
  <c r="U1378" i="2"/>
  <c r="W1378" i="2"/>
  <c r="X1378" i="2"/>
  <c r="Y1378" i="2"/>
  <c r="Z1378" i="2"/>
  <c r="AA1378" i="2"/>
  <c r="AB1378" i="2"/>
  <c r="AC1378" i="2"/>
  <c r="AE1378" i="2"/>
  <c r="AF1378" i="2"/>
  <c r="AG1378" i="2"/>
  <c r="AH1378" i="2"/>
  <c r="AI1378" i="2"/>
  <c r="AJ1378" i="2"/>
  <c r="AM1378" i="2"/>
  <c r="AN1378" i="2"/>
  <c r="S1379" i="2"/>
  <c r="U1379" i="2"/>
  <c r="W1379" i="2"/>
  <c r="X1379" i="2"/>
  <c r="Y1379" i="2"/>
  <c r="Z1379" i="2"/>
  <c r="AA1379" i="2"/>
  <c r="AB1379" i="2"/>
  <c r="AC1379" i="2"/>
  <c r="AE1379" i="2"/>
  <c r="AF1379" i="2"/>
  <c r="AG1379" i="2"/>
  <c r="AH1379" i="2"/>
  <c r="AI1379" i="2"/>
  <c r="AJ1379" i="2"/>
  <c r="AM1379" i="2"/>
  <c r="AN1379" i="2"/>
  <c r="AN1380" i="2"/>
  <c r="S1381" i="2"/>
  <c r="U1381" i="2"/>
  <c r="W1381" i="2"/>
  <c r="X1381" i="2"/>
  <c r="Y1381" i="2"/>
  <c r="Z1381" i="2"/>
  <c r="AA1381" i="2"/>
  <c r="AB1381" i="2"/>
  <c r="AC1381" i="2"/>
  <c r="AE1381" i="2"/>
  <c r="AF1381" i="2"/>
  <c r="AG1381" i="2"/>
  <c r="AH1381" i="2"/>
  <c r="AI1381" i="2"/>
  <c r="AJ1381" i="2"/>
  <c r="AM1381" i="2"/>
  <c r="AN1381" i="2"/>
  <c r="S1382" i="2"/>
  <c r="U1382" i="2"/>
  <c r="W1382" i="2"/>
  <c r="X1382" i="2"/>
  <c r="Y1382" i="2"/>
  <c r="Z1382" i="2"/>
  <c r="AA1382" i="2"/>
  <c r="AB1382" i="2"/>
  <c r="AC1382" i="2"/>
  <c r="AE1382" i="2"/>
  <c r="AF1382" i="2"/>
  <c r="AG1382" i="2"/>
  <c r="AH1382" i="2"/>
  <c r="AI1382" i="2"/>
  <c r="AJ1382" i="2"/>
  <c r="AM1382" i="2"/>
  <c r="AN1382" i="2"/>
  <c r="AN1383" i="2"/>
  <c r="AN1384" i="2"/>
  <c r="S1385" i="2"/>
  <c r="U1385" i="2"/>
  <c r="W1385" i="2"/>
  <c r="X1385" i="2"/>
  <c r="Y1385" i="2"/>
  <c r="Z1385" i="2"/>
  <c r="AA1385" i="2"/>
  <c r="AB1385" i="2"/>
  <c r="AC1385" i="2"/>
  <c r="AE1385" i="2"/>
  <c r="AF1385" i="2"/>
  <c r="AG1385" i="2"/>
  <c r="AH1385" i="2"/>
  <c r="AI1385" i="2"/>
  <c r="AJ1385" i="2"/>
  <c r="AM1385" i="2"/>
  <c r="AN1385" i="2"/>
  <c r="S1386" i="2"/>
  <c r="U1386" i="2"/>
  <c r="W1386" i="2"/>
  <c r="X1386" i="2"/>
  <c r="Y1386" i="2"/>
  <c r="Z1386" i="2"/>
  <c r="AA1386" i="2"/>
  <c r="AB1386" i="2"/>
  <c r="AC1386" i="2"/>
  <c r="AE1386" i="2"/>
  <c r="AF1386" i="2"/>
  <c r="AG1386" i="2"/>
  <c r="AH1386" i="2"/>
  <c r="AI1386" i="2"/>
  <c r="AJ1386" i="2"/>
  <c r="AM1386" i="2"/>
  <c r="AN1386" i="2"/>
  <c r="S1387" i="2"/>
  <c r="U1387" i="2"/>
  <c r="W1387" i="2"/>
  <c r="X1387" i="2"/>
  <c r="Y1387" i="2"/>
  <c r="Z1387" i="2"/>
  <c r="AA1387" i="2"/>
  <c r="AB1387" i="2"/>
  <c r="AC1387" i="2"/>
  <c r="AE1387" i="2"/>
  <c r="AF1387" i="2"/>
  <c r="AG1387" i="2"/>
  <c r="AH1387" i="2"/>
  <c r="AI1387" i="2"/>
  <c r="AJ1387" i="2"/>
  <c r="AM1387" i="2"/>
  <c r="AN1387" i="2"/>
  <c r="S1388" i="2"/>
  <c r="U1388" i="2"/>
  <c r="W1388" i="2"/>
  <c r="X1388" i="2"/>
  <c r="Y1388" i="2"/>
  <c r="Z1388" i="2"/>
  <c r="AA1388" i="2"/>
  <c r="AB1388" i="2"/>
  <c r="AC1388" i="2"/>
  <c r="AE1388" i="2"/>
  <c r="AF1388" i="2"/>
  <c r="AG1388" i="2"/>
  <c r="AH1388" i="2"/>
  <c r="AI1388" i="2"/>
  <c r="AJ1388" i="2"/>
  <c r="AM1388" i="2"/>
  <c r="AN1388" i="2"/>
  <c r="S1389" i="2"/>
  <c r="U1389" i="2"/>
  <c r="W1389" i="2"/>
  <c r="X1389" i="2"/>
  <c r="Y1389" i="2"/>
  <c r="Z1389" i="2"/>
  <c r="AA1389" i="2"/>
  <c r="AB1389" i="2"/>
  <c r="AC1389" i="2"/>
  <c r="AE1389" i="2"/>
  <c r="AF1389" i="2"/>
  <c r="AG1389" i="2"/>
  <c r="AH1389" i="2"/>
  <c r="AI1389" i="2"/>
  <c r="AJ1389" i="2"/>
  <c r="AM1389" i="2"/>
  <c r="AN1389" i="2"/>
  <c r="S1390" i="2"/>
  <c r="U1390" i="2"/>
  <c r="W1390" i="2"/>
  <c r="X1390" i="2"/>
  <c r="Y1390" i="2"/>
  <c r="Z1390" i="2"/>
  <c r="AA1390" i="2"/>
  <c r="AB1390" i="2"/>
  <c r="AC1390" i="2"/>
  <c r="AE1390" i="2"/>
  <c r="AF1390" i="2"/>
  <c r="AG1390" i="2"/>
  <c r="AH1390" i="2"/>
  <c r="AI1390" i="2"/>
  <c r="AJ1390" i="2"/>
  <c r="AM1390" i="2"/>
  <c r="AN1390" i="2"/>
  <c r="S1391" i="2"/>
  <c r="U1391" i="2"/>
  <c r="W1391" i="2"/>
  <c r="X1391" i="2"/>
  <c r="Y1391" i="2"/>
  <c r="Z1391" i="2"/>
  <c r="AA1391" i="2"/>
  <c r="AB1391" i="2"/>
  <c r="AC1391" i="2"/>
  <c r="AE1391" i="2"/>
  <c r="AF1391" i="2"/>
  <c r="AG1391" i="2"/>
  <c r="AH1391" i="2"/>
  <c r="AI1391" i="2"/>
  <c r="AJ1391" i="2"/>
  <c r="AM1391" i="2"/>
  <c r="AN1391" i="2"/>
  <c r="AN1392" i="2"/>
  <c r="S1393" i="2"/>
  <c r="U1393" i="2"/>
  <c r="W1393" i="2"/>
  <c r="X1393" i="2"/>
  <c r="Y1393" i="2"/>
  <c r="Z1393" i="2"/>
  <c r="AA1393" i="2"/>
  <c r="AB1393" i="2"/>
  <c r="AC1393" i="2"/>
  <c r="AE1393" i="2"/>
  <c r="AF1393" i="2"/>
  <c r="AG1393" i="2"/>
  <c r="AH1393" i="2"/>
  <c r="AI1393" i="2"/>
  <c r="AJ1393" i="2"/>
  <c r="AM1393" i="2"/>
  <c r="AN1393" i="2"/>
  <c r="S1394" i="2"/>
  <c r="U1394" i="2"/>
  <c r="W1394" i="2"/>
  <c r="X1394" i="2"/>
  <c r="Y1394" i="2"/>
  <c r="Z1394" i="2"/>
  <c r="AA1394" i="2"/>
  <c r="AB1394" i="2"/>
  <c r="AC1394" i="2"/>
  <c r="AE1394" i="2"/>
  <c r="AF1394" i="2"/>
  <c r="AG1394" i="2"/>
  <c r="AH1394" i="2"/>
  <c r="AI1394" i="2"/>
  <c r="AJ1394" i="2"/>
  <c r="AM1394" i="2"/>
  <c r="AN1394" i="2"/>
  <c r="S1395" i="2"/>
  <c r="U1395" i="2"/>
  <c r="W1395" i="2"/>
  <c r="X1395" i="2"/>
  <c r="Y1395" i="2"/>
  <c r="Z1395" i="2"/>
  <c r="AA1395" i="2"/>
  <c r="AB1395" i="2"/>
  <c r="AC1395" i="2"/>
  <c r="AE1395" i="2"/>
  <c r="AF1395" i="2"/>
  <c r="AG1395" i="2"/>
  <c r="AH1395" i="2"/>
  <c r="AI1395" i="2"/>
  <c r="AJ1395" i="2"/>
  <c r="AM1395" i="2"/>
  <c r="AN1395" i="2"/>
  <c r="S1396" i="2"/>
  <c r="T1396" i="2"/>
  <c r="U1396" i="2"/>
  <c r="W1396" i="2"/>
  <c r="X1396" i="2"/>
  <c r="Y1396" i="2"/>
  <c r="Z1396" i="2"/>
  <c r="AA1396" i="2"/>
  <c r="AB1396" i="2"/>
  <c r="AC1396" i="2"/>
  <c r="AE1396" i="2"/>
  <c r="AF1396" i="2"/>
  <c r="AG1396" i="2"/>
  <c r="AH1396" i="2"/>
  <c r="AI1396" i="2"/>
  <c r="AJ1396" i="2"/>
  <c r="AK1396" i="2"/>
  <c r="AL1396" i="2"/>
  <c r="AM1396" i="2"/>
  <c r="AN1396" i="2"/>
  <c r="S1397" i="2"/>
  <c r="U1397" i="2"/>
  <c r="W1397" i="2"/>
  <c r="X1397" i="2"/>
  <c r="Y1397" i="2"/>
  <c r="Z1397" i="2"/>
  <c r="AA1397" i="2"/>
  <c r="AB1397" i="2"/>
  <c r="AC1397" i="2"/>
  <c r="AE1397" i="2"/>
  <c r="AF1397" i="2"/>
  <c r="AG1397" i="2"/>
  <c r="AH1397" i="2"/>
  <c r="AI1397" i="2"/>
  <c r="AJ1397" i="2"/>
  <c r="AM1397" i="2"/>
  <c r="AN1397" i="2"/>
  <c r="S1398" i="2"/>
  <c r="U1398" i="2"/>
  <c r="W1398" i="2"/>
  <c r="X1398" i="2"/>
  <c r="Y1398" i="2"/>
  <c r="Z1398" i="2"/>
  <c r="AA1398" i="2"/>
  <c r="AB1398" i="2"/>
  <c r="AC1398" i="2"/>
  <c r="AE1398" i="2"/>
  <c r="AF1398" i="2"/>
  <c r="AG1398" i="2"/>
  <c r="AH1398" i="2"/>
  <c r="AI1398" i="2"/>
  <c r="AJ1398" i="2"/>
  <c r="AM1398" i="2"/>
  <c r="AN1398" i="2"/>
  <c r="Y1399" i="2"/>
  <c r="AN1399" i="2"/>
  <c r="S1400" i="2"/>
  <c r="U1400" i="2"/>
  <c r="W1400" i="2"/>
  <c r="X1400" i="2"/>
  <c r="Y1400" i="2"/>
  <c r="Z1400" i="2"/>
  <c r="AA1400" i="2"/>
  <c r="AB1400" i="2"/>
  <c r="AC1400" i="2"/>
  <c r="AE1400" i="2"/>
  <c r="AF1400" i="2"/>
  <c r="AG1400" i="2"/>
  <c r="AH1400" i="2"/>
  <c r="AI1400" i="2"/>
  <c r="AJ1400" i="2"/>
  <c r="AM1400" i="2"/>
  <c r="AN1400" i="2"/>
  <c r="AN1401" i="2"/>
  <c r="Q1402" i="2"/>
  <c r="R1402" i="2"/>
  <c r="S1402" i="2"/>
  <c r="T1402" i="2"/>
  <c r="U1402" i="2"/>
  <c r="W1402" i="2"/>
  <c r="X1402" i="2"/>
  <c r="Y1402" i="2"/>
  <c r="Z1402" i="2"/>
  <c r="AA1402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S1403" i="2"/>
  <c r="U1403" i="2"/>
  <c r="W1403" i="2"/>
  <c r="X1403" i="2"/>
  <c r="Y1403" i="2"/>
  <c r="Z1403" i="2"/>
  <c r="AA1403" i="2"/>
  <c r="AB1403" i="2"/>
  <c r="AC1403" i="2"/>
  <c r="AE1403" i="2"/>
  <c r="AF1403" i="2"/>
  <c r="AG1403" i="2"/>
  <c r="AH1403" i="2"/>
  <c r="AI1403" i="2"/>
  <c r="AJ1403" i="2"/>
  <c r="AM1403" i="2"/>
  <c r="AN1403" i="2"/>
  <c r="S1404" i="2"/>
  <c r="U1404" i="2"/>
  <c r="W1404" i="2"/>
  <c r="X1404" i="2"/>
  <c r="Y1404" i="2"/>
  <c r="Z1404" i="2"/>
  <c r="AA1404" i="2"/>
  <c r="AB1404" i="2"/>
  <c r="AC1404" i="2"/>
  <c r="AE1404" i="2"/>
  <c r="AF1404" i="2"/>
  <c r="AG1404" i="2"/>
  <c r="AH1404" i="2"/>
  <c r="AI1404" i="2"/>
  <c r="AJ1404" i="2"/>
  <c r="AM1404" i="2"/>
  <c r="AN1404" i="2"/>
  <c r="S1405" i="2"/>
  <c r="U1405" i="2"/>
  <c r="W1405" i="2"/>
  <c r="X1405" i="2"/>
  <c r="Y1405" i="2"/>
  <c r="Z1405" i="2"/>
  <c r="AA1405" i="2"/>
  <c r="AB1405" i="2"/>
  <c r="AC1405" i="2"/>
  <c r="AE1405" i="2"/>
  <c r="AF1405" i="2"/>
  <c r="AG1405" i="2"/>
  <c r="AH1405" i="2"/>
  <c r="AI1405" i="2"/>
  <c r="AJ1405" i="2"/>
  <c r="AM1405" i="2"/>
  <c r="AN1405" i="2"/>
  <c r="S1406" i="2"/>
  <c r="U1406" i="2"/>
  <c r="W1406" i="2"/>
  <c r="X1406" i="2"/>
  <c r="Y1406" i="2"/>
  <c r="Z1406" i="2"/>
  <c r="AA1406" i="2"/>
  <c r="AB1406" i="2"/>
  <c r="AC1406" i="2"/>
  <c r="AE1406" i="2"/>
  <c r="AF1406" i="2"/>
  <c r="AG1406" i="2"/>
  <c r="AH1406" i="2"/>
  <c r="AI1406" i="2"/>
  <c r="AJ1406" i="2"/>
  <c r="AM1406" i="2"/>
  <c r="AN1406" i="2"/>
  <c r="S1407" i="2"/>
  <c r="U1407" i="2"/>
  <c r="W1407" i="2"/>
  <c r="X1407" i="2"/>
  <c r="Y1407" i="2"/>
  <c r="Z1407" i="2"/>
  <c r="AA1407" i="2"/>
  <c r="AB1407" i="2"/>
  <c r="AC1407" i="2"/>
  <c r="AE1407" i="2"/>
  <c r="AF1407" i="2"/>
  <c r="AG1407" i="2"/>
  <c r="AH1407" i="2"/>
  <c r="AI1407" i="2"/>
  <c r="AJ1407" i="2"/>
  <c r="AM1407" i="2"/>
  <c r="AN1407" i="2"/>
  <c r="S1408" i="2"/>
  <c r="U1408" i="2"/>
  <c r="W1408" i="2"/>
  <c r="X1408" i="2"/>
  <c r="Y1408" i="2"/>
  <c r="Z1408" i="2"/>
  <c r="AA1408" i="2"/>
  <c r="AB1408" i="2"/>
  <c r="AC1408" i="2"/>
  <c r="AE1408" i="2"/>
  <c r="AF1408" i="2"/>
  <c r="AG1408" i="2"/>
  <c r="AH1408" i="2"/>
  <c r="AI1408" i="2"/>
  <c r="AJ1408" i="2"/>
  <c r="AM1408" i="2"/>
  <c r="AN1408" i="2"/>
  <c r="AN1409" i="2"/>
  <c r="S1410" i="2"/>
  <c r="U1410" i="2"/>
  <c r="W1410" i="2"/>
  <c r="X1410" i="2"/>
  <c r="Y1410" i="2"/>
  <c r="Z1410" i="2"/>
  <c r="AA1410" i="2"/>
  <c r="AB1410" i="2"/>
  <c r="AC1410" i="2"/>
  <c r="AE1410" i="2"/>
  <c r="AF1410" i="2"/>
  <c r="AG1410" i="2"/>
  <c r="AH1410" i="2"/>
  <c r="AI1410" i="2"/>
  <c r="AJ1410" i="2"/>
  <c r="AM1410" i="2"/>
  <c r="AN1410" i="2"/>
  <c r="S1411" i="2"/>
  <c r="U1411" i="2"/>
  <c r="W1411" i="2"/>
  <c r="X1411" i="2"/>
  <c r="Y1411" i="2"/>
  <c r="Z1411" i="2"/>
  <c r="AA1411" i="2"/>
  <c r="AB1411" i="2"/>
  <c r="AC1411" i="2"/>
  <c r="AE1411" i="2"/>
  <c r="AF1411" i="2"/>
  <c r="AG1411" i="2"/>
  <c r="AH1411" i="2"/>
  <c r="AI1411" i="2"/>
  <c r="AJ1411" i="2"/>
  <c r="AM1411" i="2"/>
  <c r="AN1411" i="2"/>
  <c r="AN1412" i="2"/>
  <c r="S1413" i="2"/>
  <c r="U1413" i="2"/>
  <c r="W1413" i="2"/>
  <c r="X1413" i="2"/>
  <c r="Y1413" i="2"/>
  <c r="Z1413" i="2"/>
  <c r="AA1413" i="2"/>
  <c r="AB1413" i="2"/>
  <c r="AC1413" i="2"/>
  <c r="AE1413" i="2"/>
  <c r="AF1413" i="2"/>
  <c r="AG1413" i="2"/>
  <c r="AH1413" i="2"/>
  <c r="AI1413" i="2"/>
  <c r="AJ1413" i="2"/>
  <c r="AM1413" i="2"/>
  <c r="AN1413" i="2"/>
  <c r="S1414" i="2"/>
  <c r="U1414" i="2"/>
  <c r="W1414" i="2"/>
  <c r="X1414" i="2"/>
  <c r="Y1414" i="2"/>
  <c r="Z1414" i="2"/>
  <c r="AA1414" i="2"/>
  <c r="AB1414" i="2"/>
  <c r="AC1414" i="2"/>
  <c r="AE1414" i="2"/>
  <c r="AF1414" i="2"/>
  <c r="AG1414" i="2"/>
  <c r="AH1414" i="2"/>
  <c r="AI1414" i="2"/>
  <c r="AJ1414" i="2"/>
  <c r="AM1414" i="2"/>
  <c r="AN1414" i="2"/>
  <c r="S1415" i="2"/>
  <c r="U1415" i="2"/>
  <c r="W1415" i="2"/>
  <c r="X1415" i="2"/>
  <c r="Y1415" i="2"/>
  <c r="Z1415" i="2"/>
  <c r="AA1415" i="2"/>
  <c r="AB1415" i="2"/>
  <c r="AC1415" i="2"/>
  <c r="AE1415" i="2"/>
  <c r="AF1415" i="2"/>
  <c r="AG1415" i="2"/>
  <c r="AH1415" i="2"/>
  <c r="AI1415" i="2"/>
  <c r="AJ1415" i="2"/>
  <c r="AM1415" i="2"/>
  <c r="AN1415" i="2"/>
  <c r="S1416" i="2"/>
  <c r="U1416" i="2"/>
  <c r="W1416" i="2"/>
  <c r="X1416" i="2"/>
  <c r="Y1416" i="2"/>
  <c r="Z1416" i="2"/>
  <c r="AA1416" i="2"/>
  <c r="AB1416" i="2"/>
  <c r="AC1416" i="2"/>
  <c r="AE1416" i="2"/>
  <c r="AF1416" i="2"/>
  <c r="AG1416" i="2"/>
  <c r="AH1416" i="2"/>
  <c r="AI1416" i="2"/>
  <c r="AJ1416" i="2"/>
  <c r="AM1416" i="2"/>
  <c r="AN1416" i="2"/>
  <c r="U1417" i="2"/>
  <c r="V1417" i="2"/>
  <c r="W1417" i="2"/>
  <c r="X1417" i="2"/>
  <c r="Y1417" i="2"/>
  <c r="Z1417" i="2"/>
  <c r="AA1417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Z1418" i="2"/>
  <c r="AA1418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U1419" i="2"/>
  <c r="W1419" i="2"/>
  <c r="Z1419" i="2"/>
  <c r="AA1419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W1420" i="2"/>
  <c r="Z1420" i="2"/>
  <c r="AA1420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U1421" i="2"/>
  <c r="W1421" i="2"/>
  <c r="X1421" i="2"/>
  <c r="Y1421" i="2"/>
  <c r="Z1421" i="2"/>
  <c r="AA1421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U1422" i="2"/>
  <c r="W1422" i="2"/>
  <c r="X1422" i="2"/>
  <c r="Y1422" i="2"/>
  <c r="Z1422" i="2"/>
  <c r="AA1422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U1423" i="2"/>
  <c r="W1423" i="2"/>
  <c r="X1423" i="2"/>
  <c r="Y1423" i="2"/>
  <c r="Z1423" i="2"/>
  <c r="AA1423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U1424" i="2"/>
  <c r="W1424" i="2"/>
  <c r="X1424" i="2"/>
  <c r="Y1424" i="2"/>
  <c r="Z1424" i="2"/>
  <c r="AA1424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U1425" i="2"/>
  <c r="W1425" i="2"/>
  <c r="X1425" i="2"/>
  <c r="Y1425" i="2"/>
  <c r="Z1425" i="2"/>
  <c r="AA1425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Z1426" i="2"/>
  <c r="AA1426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U1427" i="2"/>
  <c r="W1427" i="2"/>
  <c r="Z1427" i="2"/>
  <c r="AA1427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U1428" i="2"/>
  <c r="W1428" i="2"/>
  <c r="X1428" i="2"/>
  <c r="Y1428" i="2"/>
  <c r="Z1428" i="2"/>
  <c r="AA1428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U1429" i="2"/>
  <c r="W1429" i="2"/>
  <c r="X1429" i="2"/>
  <c r="Y1429" i="2"/>
  <c r="Z1429" i="2"/>
  <c r="AA1429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U1430" i="2"/>
  <c r="V1430" i="2"/>
  <c r="Y1430" i="2"/>
  <c r="Z1430" i="2"/>
  <c r="AA1430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U1431" i="2"/>
  <c r="W1431" i="2"/>
  <c r="X1431" i="2"/>
  <c r="Y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U1432" i="2"/>
  <c r="W1432" i="2"/>
  <c r="X1432" i="2"/>
  <c r="Y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U1433" i="2"/>
  <c r="W1433" i="2"/>
  <c r="X1433" i="2"/>
  <c r="Y1433" i="2"/>
  <c r="AA1433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S1434" i="2"/>
  <c r="T1434" i="2"/>
  <c r="U1434" i="2"/>
  <c r="W1434" i="2"/>
  <c r="X1434" i="2"/>
  <c r="Y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Q1436" i="2"/>
  <c r="R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U1437" i="2"/>
  <c r="W1437" i="2"/>
  <c r="X1437" i="2"/>
  <c r="Y1437" i="2"/>
  <c r="AA1437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U1438" i="2"/>
  <c r="W1438" i="2"/>
  <c r="X1438" i="2"/>
  <c r="Y1438" i="2"/>
  <c r="AA1438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U1439" i="2"/>
  <c r="W1439" i="2"/>
  <c r="X1439" i="2"/>
  <c r="Y1439" i="2"/>
  <c r="AA1439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Q1440" i="2"/>
  <c r="R1440" i="2"/>
  <c r="U1440" i="2"/>
  <c r="V1440" i="2"/>
  <c r="W1440" i="2"/>
  <c r="X1440" i="2"/>
  <c r="Y1440" i="2"/>
  <c r="Z1440" i="2"/>
  <c r="AA1440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U1441" i="2"/>
  <c r="W1441" i="2"/>
  <c r="X1441" i="2"/>
  <c r="Y1441" i="2"/>
  <c r="AA1441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U1442" i="2"/>
  <c r="W1442" i="2"/>
  <c r="X1442" i="2"/>
  <c r="Y1442" i="2"/>
  <c r="AA1442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U1443" i="2"/>
  <c r="W1443" i="2"/>
  <c r="X1443" i="2"/>
  <c r="Y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U1444" i="2"/>
  <c r="W1444" i="2"/>
  <c r="X1444" i="2"/>
  <c r="Y1444" i="2"/>
  <c r="AA1444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Q1445" i="2"/>
  <c r="R1445" i="2"/>
  <c r="U1445" i="2"/>
  <c r="V1445" i="2"/>
  <c r="W1445" i="2"/>
  <c r="X1445" i="2"/>
  <c r="Y1445" i="2"/>
  <c r="Z1445" i="2"/>
  <c r="AA1445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U1446" i="2"/>
  <c r="W1446" i="2"/>
  <c r="X1446" i="2"/>
  <c r="Y1446" i="2"/>
  <c r="AA1446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U1447" i="2"/>
  <c r="W1447" i="2"/>
  <c r="X1447" i="2"/>
  <c r="Y1447" i="2"/>
  <c r="AA1447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U1448" i="2"/>
  <c r="W1448" i="2"/>
  <c r="X1448" i="2"/>
  <c r="Y1448" i="2"/>
  <c r="AA1448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U1449" i="2"/>
  <c r="W1449" i="2"/>
  <c r="X1449" i="2"/>
  <c r="Y1449" i="2"/>
  <c r="AA1449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U1450" i="2"/>
  <c r="V1450" i="2"/>
  <c r="Y1450" i="2"/>
  <c r="Z1450" i="2"/>
  <c r="AA1450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U1451" i="2"/>
  <c r="V1451" i="2"/>
  <c r="X1451" i="2"/>
  <c r="Y1451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U1452" i="2"/>
  <c r="V1452" i="2"/>
  <c r="Y1452" i="2"/>
  <c r="Z1452" i="2"/>
  <c r="AA1452" i="2"/>
  <c r="AC1452" i="2"/>
  <c r="AD1452" i="2"/>
  <c r="AE1452" i="2"/>
  <c r="AF1452" i="2"/>
  <c r="AG1452" i="2"/>
  <c r="AI1452" i="2"/>
  <c r="AJ1452" i="2"/>
  <c r="AK1452" i="2"/>
  <c r="AL1452" i="2"/>
  <c r="AM1452" i="2"/>
  <c r="AN1452" i="2"/>
  <c r="U1453" i="2"/>
  <c r="V1453" i="2"/>
  <c r="X1453" i="2"/>
  <c r="Y1453" i="2"/>
  <c r="Z1453" i="2"/>
  <c r="AA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Z1454" i="2"/>
  <c r="AJ1454" i="2"/>
  <c r="AK1454" i="2"/>
  <c r="AL1454" i="2"/>
  <c r="AM1454" i="2"/>
  <c r="AN1454" i="2"/>
  <c r="U1455" i="2"/>
  <c r="W1455" i="2"/>
  <c r="X1455" i="2"/>
  <c r="Y1455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U1456" i="2"/>
  <c r="W1456" i="2"/>
  <c r="X1456" i="2"/>
  <c r="Y1456" i="2"/>
  <c r="Z1456" i="2"/>
  <c r="AA1456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X1457" i="2"/>
  <c r="Y1457" i="2"/>
  <c r="Z1457" i="2"/>
  <c r="AE1457" i="2"/>
  <c r="AF1457" i="2"/>
  <c r="AG1457" i="2"/>
  <c r="AH1457" i="2"/>
  <c r="AI1457" i="2"/>
  <c r="AJ1457" i="2"/>
  <c r="AK1457" i="2"/>
  <c r="AL1457" i="2"/>
  <c r="AM1457" i="2"/>
  <c r="AN1457" i="2"/>
  <c r="AN1458" i="2"/>
  <c r="U1459" i="2"/>
  <c r="W1459" i="2"/>
  <c r="X1459" i="2"/>
  <c r="Y1459" i="2"/>
  <c r="Z1459" i="2"/>
  <c r="AA1459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V1460" i="2"/>
  <c r="X1460" i="2"/>
  <c r="Y1460" i="2"/>
  <c r="Z1460" i="2"/>
  <c r="AA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Z1461" i="2"/>
  <c r="AJ1461" i="2"/>
  <c r="AK1461" i="2"/>
  <c r="AL1461" i="2"/>
  <c r="AM1461" i="2"/>
  <c r="AN1461" i="2"/>
  <c r="U1462" i="2"/>
  <c r="W1462" i="2"/>
  <c r="X1462" i="2"/>
  <c r="Y1462" i="2"/>
  <c r="Z1462" i="2"/>
  <c r="AA1462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U1463" i="2"/>
  <c r="W1463" i="2"/>
  <c r="X1463" i="2"/>
  <c r="Y1463" i="2"/>
  <c r="Z1463" i="2"/>
  <c r="AA1463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X1464" i="2"/>
  <c r="Y1464" i="2"/>
  <c r="Z1464" i="2"/>
  <c r="AE1464" i="2"/>
  <c r="AF1464" i="2"/>
  <c r="AG1464" i="2"/>
  <c r="AH1464" i="2"/>
  <c r="AI1464" i="2"/>
  <c r="AJ1464" i="2"/>
  <c r="AK1464" i="2"/>
  <c r="AL1464" i="2"/>
  <c r="AM1464" i="2"/>
  <c r="AN1464" i="2"/>
  <c r="U1465" i="2"/>
  <c r="W1465" i="2"/>
  <c r="X1465" i="2"/>
  <c r="Y1465" i="2"/>
  <c r="Z1465" i="2"/>
  <c r="AA1465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U1466" i="2"/>
  <c r="W1466" i="2"/>
  <c r="X1466" i="2"/>
  <c r="Y1466" i="2"/>
  <c r="Z1466" i="2"/>
  <c r="AA1466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V1467" i="2"/>
  <c r="X1467" i="2"/>
  <c r="Y1467" i="2"/>
  <c r="Z1467" i="2"/>
  <c r="AA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Z1468" i="2"/>
  <c r="AJ1468" i="2"/>
  <c r="AK1468" i="2"/>
  <c r="AL1468" i="2"/>
  <c r="AM1468" i="2"/>
  <c r="AN1468" i="2"/>
  <c r="U1469" i="2"/>
  <c r="W1469" i="2"/>
  <c r="X1469" i="2"/>
  <c r="Y1469" i="2"/>
  <c r="Z1469" i="2"/>
  <c r="AA1469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U1470" i="2"/>
  <c r="W1470" i="2"/>
  <c r="X1470" i="2"/>
  <c r="Y1470" i="2"/>
  <c r="Z1470" i="2"/>
  <c r="AA1470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U1471" i="2"/>
  <c r="W1471" i="2"/>
  <c r="X1471" i="2"/>
  <c r="Y1471" i="2"/>
  <c r="Z1471" i="2"/>
  <c r="AA1471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U1472" i="2"/>
  <c r="W1472" i="2"/>
  <c r="X1472" i="2"/>
  <c r="Y1472" i="2"/>
  <c r="Z1472" i="2"/>
  <c r="AA1472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X1473" i="2"/>
  <c r="Y1473" i="2"/>
  <c r="Z1473" i="2"/>
  <c r="AE1473" i="2"/>
  <c r="AF1473" i="2"/>
  <c r="AG1473" i="2"/>
  <c r="AH1473" i="2"/>
  <c r="AI1473" i="2"/>
  <c r="AJ1473" i="2"/>
  <c r="AK1473" i="2"/>
  <c r="AL1473" i="2"/>
  <c r="AM1473" i="2"/>
  <c r="AN1473" i="2"/>
  <c r="U1474" i="2"/>
  <c r="W1474" i="2"/>
  <c r="X1474" i="2"/>
  <c r="Y1474" i="2"/>
  <c r="Z1474" i="2"/>
  <c r="AA1474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U1475" i="2"/>
  <c r="W1475" i="2"/>
  <c r="X1475" i="2"/>
  <c r="Y1475" i="2"/>
  <c r="Z1475" i="2"/>
  <c r="AA1475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U1476" i="2"/>
  <c r="W1476" i="2"/>
  <c r="X1476" i="2"/>
  <c r="Y1476" i="2"/>
  <c r="Z1476" i="2"/>
  <c r="AA1476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U1477" i="2"/>
  <c r="W1477" i="2"/>
  <c r="X1477" i="2"/>
  <c r="Y1477" i="2"/>
  <c r="Z1477" i="2"/>
  <c r="AA1477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Z1478" i="2"/>
  <c r="AJ1478" i="2"/>
  <c r="AK1478" i="2"/>
  <c r="AL1478" i="2"/>
  <c r="AM1478" i="2"/>
  <c r="AN1478" i="2"/>
  <c r="U1479" i="2"/>
  <c r="W1479" i="2"/>
  <c r="X1479" i="2"/>
  <c r="Y1479" i="2"/>
  <c r="Z1479" i="2"/>
  <c r="AA1479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U1480" i="2"/>
  <c r="W1480" i="2"/>
  <c r="X1480" i="2"/>
  <c r="Y1480" i="2"/>
  <c r="Z1480" i="2"/>
  <c r="AA1480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U1481" i="2"/>
  <c r="W1481" i="2"/>
  <c r="X1481" i="2"/>
  <c r="Y1481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U1482" i="2"/>
  <c r="W1482" i="2"/>
  <c r="X1482" i="2"/>
  <c r="Y1482" i="2"/>
  <c r="Z1482" i="2"/>
  <c r="AA1482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X1483" i="2"/>
  <c r="Y1483" i="2"/>
  <c r="Z1483" i="2"/>
  <c r="AE1483" i="2"/>
  <c r="AF1483" i="2"/>
  <c r="AG1483" i="2"/>
  <c r="AH1483" i="2"/>
  <c r="AI1483" i="2"/>
  <c r="AJ1483" i="2"/>
  <c r="AK1483" i="2"/>
  <c r="AL1483" i="2"/>
  <c r="AM1483" i="2"/>
  <c r="AN1483" i="2"/>
  <c r="U1484" i="2"/>
  <c r="W1484" i="2"/>
  <c r="X1484" i="2"/>
  <c r="Y1484" i="2"/>
  <c r="Z1484" i="2"/>
  <c r="AA1484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U1485" i="2"/>
  <c r="W1485" i="2"/>
  <c r="X1485" i="2"/>
  <c r="Y1485" i="2"/>
  <c r="Z1485" i="2"/>
  <c r="AA1485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U1486" i="2"/>
  <c r="W1486" i="2"/>
  <c r="X1486" i="2"/>
  <c r="Y1486" i="2"/>
  <c r="Z1486" i="2"/>
  <c r="AA1486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U1487" i="2"/>
  <c r="W1487" i="2"/>
  <c r="X1487" i="2"/>
  <c r="Y1487" i="2"/>
  <c r="Z1487" i="2"/>
  <c r="AA1487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Z1488" i="2"/>
  <c r="AJ1488" i="2"/>
  <c r="AK1488" i="2"/>
  <c r="AL1488" i="2"/>
  <c r="AM1488" i="2"/>
  <c r="AN1488" i="2"/>
  <c r="U1489" i="2"/>
  <c r="W1489" i="2"/>
  <c r="X1489" i="2"/>
  <c r="Y1489" i="2"/>
  <c r="Z1489" i="2"/>
  <c r="AA1489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U1490" i="2"/>
  <c r="W1490" i="2"/>
  <c r="X1490" i="2"/>
  <c r="Y1490" i="2"/>
  <c r="Z1490" i="2"/>
  <c r="AA1490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Z1491" i="2"/>
  <c r="AJ1491" i="2"/>
  <c r="AK1491" i="2"/>
  <c r="AL1491" i="2"/>
  <c r="AM1491" i="2"/>
  <c r="AN1491" i="2"/>
  <c r="Z1492" i="2"/>
  <c r="AJ1492" i="2"/>
  <c r="AK1492" i="2"/>
  <c r="AL1492" i="2"/>
  <c r="AM1492" i="2"/>
  <c r="AN1492" i="2"/>
  <c r="U1493" i="2"/>
  <c r="W1493" i="2"/>
  <c r="X1493" i="2"/>
  <c r="Y1493" i="2"/>
  <c r="Z1493" i="2"/>
  <c r="AA1493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U1494" i="2"/>
  <c r="W1494" i="2"/>
  <c r="X1494" i="2"/>
  <c r="Y1494" i="2"/>
  <c r="Z1494" i="2"/>
  <c r="AA1494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U1495" i="2"/>
  <c r="W1495" i="2"/>
  <c r="X1495" i="2"/>
  <c r="Y1495" i="2"/>
  <c r="Z1495" i="2"/>
  <c r="AA1495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U1496" i="2"/>
  <c r="W1496" i="2"/>
  <c r="X1496" i="2"/>
  <c r="Y1496" i="2"/>
  <c r="Z1496" i="2"/>
  <c r="AA1496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U1497" i="2"/>
  <c r="W1497" i="2"/>
  <c r="X1497" i="2"/>
  <c r="Y1497" i="2"/>
  <c r="Z1497" i="2"/>
  <c r="AA1497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U1498" i="2"/>
  <c r="W1498" i="2"/>
  <c r="X1498" i="2"/>
  <c r="Y1498" i="2"/>
  <c r="Z1498" i="2"/>
  <c r="AA1498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U1499" i="2"/>
  <c r="W1499" i="2"/>
  <c r="X1499" i="2"/>
  <c r="Y1499" i="2"/>
  <c r="Z1499" i="2"/>
  <c r="AA1499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U1500" i="2"/>
  <c r="W1500" i="2"/>
  <c r="X1500" i="2"/>
  <c r="Y1500" i="2"/>
  <c r="Z1500" i="2"/>
  <c r="AA1500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X1501" i="2"/>
  <c r="Y1501" i="2"/>
  <c r="Z1501" i="2"/>
  <c r="AE1501" i="2"/>
  <c r="AF1501" i="2"/>
  <c r="AG1501" i="2"/>
  <c r="AH1501" i="2"/>
  <c r="AI1501" i="2"/>
  <c r="AJ1501" i="2"/>
  <c r="AK1501" i="2"/>
  <c r="AL1501" i="2"/>
  <c r="AM1501" i="2"/>
  <c r="AN1501" i="2"/>
  <c r="U1502" i="2"/>
  <c r="W1502" i="2"/>
  <c r="X1502" i="2"/>
  <c r="Y1502" i="2"/>
  <c r="Z1502" i="2"/>
  <c r="AA1502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U1503" i="2"/>
  <c r="W1503" i="2"/>
  <c r="X1503" i="2"/>
  <c r="Y1503" i="2"/>
  <c r="Z1503" i="2"/>
  <c r="AA1503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U1504" i="2"/>
  <c r="W1504" i="2"/>
  <c r="X1504" i="2"/>
  <c r="Y1504" i="2"/>
  <c r="Z1504" i="2"/>
  <c r="AA1504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U1505" i="2"/>
  <c r="W1505" i="2"/>
  <c r="X1505" i="2"/>
  <c r="Y1505" i="2"/>
  <c r="Z1505" i="2"/>
  <c r="AA1505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U1506" i="2"/>
  <c r="W1506" i="2"/>
  <c r="X1506" i="2"/>
  <c r="Y1506" i="2"/>
  <c r="Z1506" i="2"/>
  <c r="AA1506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U1507" i="2"/>
  <c r="W1507" i="2"/>
  <c r="X1507" i="2"/>
  <c r="Y1507" i="2"/>
  <c r="Z1507" i="2"/>
  <c r="AA1507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Z1508" i="2"/>
  <c r="AJ1508" i="2"/>
  <c r="AK1508" i="2"/>
  <c r="AL1508" i="2"/>
  <c r="AM1508" i="2"/>
  <c r="AN1508" i="2"/>
  <c r="U1509" i="2"/>
  <c r="W1509" i="2"/>
  <c r="X1509" i="2"/>
  <c r="Y1509" i="2"/>
  <c r="Z1509" i="2"/>
  <c r="AA1509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U1510" i="2"/>
  <c r="W1510" i="2"/>
  <c r="X1510" i="2"/>
  <c r="Y1510" i="2"/>
  <c r="Z1510" i="2"/>
  <c r="AA1510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X1511" i="2"/>
  <c r="Y1511" i="2"/>
  <c r="Z1511" i="2"/>
  <c r="AE1511" i="2"/>
  <c r="AF1511" i="2"/>
  <c r="AG1511" i="2"/>
  <c r="AH1511" i="2"/>
  <c r="AI1511" i="2"/>
  <c r="AJ1511" i="2"/>
  <c r="AK1511" i="2"/>
  <c r="AL1511" i="2"/>
  <c r="AM1511" i="2"/>
  <c r="AN1511" i="2"/>
  <c r="U1512" i="2"/>
  <c r="W1512" i="2"/>
  <c r="X1512" i="2"/>
  <c r="Y1512" i="2"/>
  <c r="Z1512" i="2"/>
  <c r="AA1512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U1513" i="2"/>
  <c r="W1513" i="2"/>
  <c r="X1513" i="2"/>
  <c r="Y1513" i="2"/>
  <c r="Z1513" i="2"/>
  <c r="AA1513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Z1514" i="2"/>
  <c r="AJ1514" i="2"/>
  <c r="AK1514" i="2"/>
  <c r="AL1514" i="2"/>
  <c r="AM1514" i="2"/>
  <c r="AN1514" i="2"/>
  <c r="U1515" i="2"/>
  <c r="W1515" i="2"/>
  <c r="X1515" i="2"/>
  <c r="Y1515" i="2"/>
  <c r="Z1515" i="2"/>
  <c r="AA1515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U1516" i="2"/>
  <c r="W1516" i="2"/>
  <c r="X1516" i="2"/>
  <c r="Y1516" i="2"/>
  <c r="Z1516" i="2"/>
  <c r="AA1516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X1517" i="2"/>
  <c r="Y1517" i="2"/>
  <c r="Z1517" i="2"/>
  <c r="AE1517" i="2"/>
  <c r="AF1517" i="2"/>
  <c r="AG1517" i="2"/>
  <c r="AH1517" i="2"/>
  <c r="AI1517" i="2"/>
  <c r="AJ1517" i="2"/>
  <c r="AK1517" i="2"/>
  <c r="AL1517" i="2"/>
  <c r="AM1517" i="2"/>
  <c r="AN1517" i="2"/>
  <c r="U1518" i="2"/>
  <c r="W1518" i="2"/>
  <c r="X1518" i="2"/>
  <c r="Y1518" i="2"/>
  <c r="Z1518" i="2"/>
  <c r="AA1518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U1519" i="2"/>
  <c r="W1519" i="2"/>
  <c r="X1519" i="2"/>
  <c r="Y1519" i="2"/>
  <c r="Z1519" i="2"/>
  <c r="AA1519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Z1520" i="2"/>
  <c r="AJ1520" i="2"/>
  <c r="AK1520" i="2"/>
  <c r="AL1520" i="2"/>
  <c r="AM1520" i="2"/>
  <c r="AN1520" i="2"/>
  <c r="U1521" i="2"/>
  <c r="W1521" i="2"/>
  <c r="X1521" i="2"/>
  <c r="Y1521" i="2"/>
  <c r="Z1521" i="2"/>
  <c r="AA1521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U1522" i="2"/>
  <c r="W1522" i="2"/>
  <c r="X1522" i="2"/>
  <c r="Y1522" i="2"/>
  <c r="Z1522" i="2"/>
  <c r="AA1522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U1523" i="2"/>
  <c r="W1523" i="2"/>
  <c r="X1523" i="2"/>
  <c r="Y1523" i="2"/>
  <c r="Z1523" i="2"/>
  <c r="AA1523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U1524" i="2"/>
  <c r="W1524" i="2"/>
  <c r="X1524" i="2"/>
  <c r="Y1524" i="2"/>
  <c r="Z1524" i="2"/>
  <c r="AA1524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X1525" i="2"/>
  <c r="Y1525" i="2"/>
  <c r="Z1525" i="2"/>
  <c r="AE1525" i="2"/>
  <c r="AF1525" i="2"/>
  <c r="AG1525" i="2"/>
  <c r="AH1525" i="2"/>
  <c r="AI1525" i="2"/>
  <c r="AJ1525" i="2"/>
  <c r="AK1525" i="2"/>
  <c r="AL1525" i="2"/>
  <c r="AM1525" i="2"/>
  <c r="AN1525" i="2"/>
  <c r="U1526" i="2"/>
  <c r="W1526" i="2"/>
  <c r="X1526" i="2"/>
  <c r="Y1526" i="2"/>
  <c r="Z1526" i="2"/>
  <c r="AA1526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U1527" i="2"/>
  <c r="W1527" i="2"/>
  <c r="X1527" i="2"/>
  <c r="Y1527" i="2"/>
  <c r="Z1527" i="2"/>
  <c r="AA1527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U1528" i="2"/>
  <c r="W1528" i="2"/>
  <c r="X1528" i="2"/>
  <c r="Y1528" i="2"/>
  <c r="Z1528" i="2"/>
  <c r="AA1528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U1529" i="2"/>
  <c r="W1529" i="2"/>
  <c r="X1529" i="2"/>
  <c r="Y1529" i="2"/>
  <c r="Z1529" i="2"/>
  <c r="AA1529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V1530" i="2"/>
  <c r="W1530" i="2"/>
  <c r="X1530" i="2"/>
  <c r="Y1530" i="2"/>
  <c r="Z1530" i="2"/>
  <c r="AA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X1531" i="2"/>
  <c r="Y1531" i="2"/>
  <c r="Z1531" i="2"/>
  <c r="AE1531" i="2"/>
  <c r="AF1531" i="2"/>
  <c r="AG1531" i="2"/>
  <c r="AH1531" i="2"/>
  <c r="AI1531" i="2"/>
  <c r="AJ1531" i="2"/>
  <c r="AK1531" i="2"/>
  <c r="AL1531" i="2"/>
  <c r="AM1531" i="2"/>
  <c r="AN1531" i="2"/>
  <c r="U1532" i="2"/>
  <c r="W1532" i="2"/>
  <c r="X1532" i="2"/>
  <c r="Y1532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U1533" i="2"/>
  <c r="W1533" i="2"/>
  <c r="X1533" i="2"/>
  <c r="Y1533" i="2"/>
  <c r="Z1533" i="2"/>
  <c r="AA1533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X1534" i="2"/>
  <c r="Y1534" i="2"/>
  <c r="Z1534" i="2"/>
  <c r="AE1534" i="2"/>
  <c r="AF1534" i="2"/>
  <c r="AG1534" i="2"/>
  <c r="AH1534" i="2"/>
  <c r="AI1534" i="2"/>
  <c r="AJ1534" i="2"/>
  <c r="AK1534" i="2"/>
  <c r="AL1534" i="2"/>
  <c r="AM1534" i="2"/>
  <c r="AN1534" i="2"/>
  <c r="U1535" i="2"/>
  <c r="W1535" i="2"/>
  <c r="X1535" i="2"/>
  <c r="Y1535" i="2"/>
  <c r="Z1535" i="2"/>
  <c r="AA1535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U1536" i="2"/>
  <c r="W1536" i="2"/>
  <c r="X1536" i="2"/>
  <c r="Y1536" i="2"/>
  <c r="Z1536" i="2"/>
  <c r="AA1536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X1537" i="2"/>
  <c r="Y1537" i="2"/>
  <c r="Z1537" i="2"/>
  <c r="AE1537" i="2"/>
  <c r="AF1537" i="2"/>
  <c r="AG1537" i="2"/>
  <c r="AH1537" i="2"/>
  <c r="AI1537" i="2"/>
  <c r="AJ1537" i="2"/>
  <c r="AK1537" i="2"/>
  <c r="AL1537" i="2"/>
  <c r="AM1537" i="2"/>
  <c r="AN1537" i="2"/>
  <c r="U1538" i="2"/>
  <c r="W1538" i="2"/>
  <c r="X1538" i="2"/>
  <c r="Y1538" i="2"/>
  <c r="Z1538" i="2"/>
  <c r="AA1538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U1539" i="2"/>
  <c r="W1539" i="2"/>
  <c r="X1539" i="2"/>
  <c r="Y1539" i="2"/>
  <c r="Z1539" i="2"/>
  <c r="AA1539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X1540" i="2"/>
  <c r="Y1540" i="2"/>
  <c r="Z1540" i="2"/>
  <c r="AE1540" i="2"/>
  <c r="AF1540" i="2"/>
  <c r="AG1540" i="2"/>
  <c r="AH1540" i="2"/>
  <c r="AI1540" i="2"/>
  <c r="AJ1540" i="2"/>
  <c r="AK1540" i="2"/>
  <c r="AL1540" i="2"/>
  <c r="AM1540" i="2"/>
  <c r="AN1540" i="2"/>
  <c r="U1541" i="2"/>
  <c r="X1541" i="2"/>
  <c r="Y1541" i="2"/>
  <c r="Z1541" i="2"/>
  <c r="AA1541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U1542" i="2"/>
  <c r="X1542" i="2"/>
  <c r="Y1542" i="2"/>
  <c r="Z1542" i="2"/>
  <c r="AA1542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V1543" i="2"/>
  <c r="Y1543" i="2"/>
  <c r="Z1543" i="2"/>
  <c r="AA1543" i="2"/>
  <c r="AC1543" i="2"/>
  <c r="AD1543" i="2"/>
  <c r="AE1543" i="2"/>
  <c r="AF1543" i="2"/>
  <c r="AG1543" i="2"/>
  <c r="AI1543" i="2"/>
  <c r="AJ1543" i="2"/>
  <c r="AK1543" i="2"/>
  <c r="AL1543" i="2"/>
  <c r="AM1543" i="2"/>
  <c r="AN1543" i="2"/>
  <c r="Z1544" i="2"/>
  <c r="AJ1544" i="2"/>
  <c r="AK1544" i="2"/>
  <c r="AL1544" i="2"/>
  <c r="AM1544" i="2"/>
  <c r="AN1544" i="2"/>
  <c r="Z1545" i="2"/>
  <c r="AJ1545" i="2"/>
  <c r="AK1545" i="2"/>
  <c r="AL1545" i="2"/>
  <c r="AM1545" i="2"/>
  <c r="AN1545" i="2"/>
  <c r="U1546" i="2"/>
  <c r="W1546" i="2"/>
  <c r="X1546" i="2"/>
  <c r="Y1546" i="2"/>
  <c r="Z1546" i="2"/>
  <c r="AA1546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U1547" i="2"/>
  <c r="W1547" i="2"/>
  <c r="X1547" i="2"/>
  <c r="Y1547" i="2"/>
  <c r="Z1547" i="2"/>
  <c r="AA1547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U1548" i="2"/>
  <c r="W1548" i="2"/>
  <c r="X1548" i="2"/>
  <c r="Y1548" i="2"/>
  <c r="Z1548" i="2"/>
  <c r="AA1548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U1549" i="2"/>
  <c r="W1549" i="2"/>
  <c r="X1549" i="2"/>
  <c r="Y1549" i="2"/>
  <c r="Z1549" i="2"/>
  <c r="AA1549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U1550" i="2"/>
  <c r="W1550" i="2"/>
  <c r="X1550" i="2"/>
  <c r="Y1550" i="2"/>
  <c r="Z1550" i="2"/>
  <c r="AA1550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U1551" i="2"/>
  <c r="W1551" i="2"/>
  <c r="X1551" i="2"/>
  <c r="Y1551" i="2"/>
  <c r="Z1551" i="2"/>
  <c r="AA1551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Z1552" i="2"/>
  <c r="AJ1552" i="2"/>
  <c r="AK1552" i="2"/>
  <c r="AL1552" i="2"/>
  <c r="AM1552" i="2"/>
  <c r="AN1552" i="2"/>
  <c r="U1553" i="2"/>
  <c r="W1553" i="2"/>
  <c r="X1553" i="2"/>
  <c r="Y1553" i="2"/>
  <c r="Z1553" i="2"/>
  <c r="AA1553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U1554" i="2"/>
  <c r="W1554" i="2"/>
  <c r="X1554" i="2"/>
  <c r="Y1554" i="2"/>
  <c r="Z1554" i="2"/>
  <c r="AA1554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U1555" i="2"/>
  <c r="W1555" i="2"/>
  <c r="X1555" i="2"/>
  <c r="Y1555" i="2"/>
  <c r="Z1555" i="2"/>
  <c r="AA1555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U1556" i="2"/>
  <c r="W1556" i="2"/>
  <c r="X1556" i="2"/>
  <c r="Y1556" i="2"/>
  <c r="Z1556" i="2"/>
  <c r="AA1556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U1557" i="2"/>
  <c r="W1557" i="2"/>
  <c r="X1557" i="2"/>
  <c r="Y1557" i="2"/>
  <c r="Z1557" i="2"/>
  <c r="AA1557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U1558" i="2"/>
  <c r="W1558" i="2"/>
  <c r="X1558" i="2"/>
  <c r="Y1558" i="2"/>
  <c r="Z1558" i="2"/>
  <c r="AA1558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U1559" i="2"/>
  <c r="V1559" i="2"/>
  <c r="X1559" i="2"/>
  <c r="Y1559" i="2"/>
  <c r="Z1559" i="2"/>
  <c r="AA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U1560" i="2"/>
  <c r="V1560" i="2"/>
  <c r="X1560" i="2"/>
  <c r="Y1560" i="2"/>
  <c r="Z1560" i="2"/>
  <c r="AA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Z1561" i="2"/>
  <c r="AJ1561" i="2"/>
  <c r="AK1561" i="2"/>
  <c r="AL1561" i="2"/>
  <c r="AM1561" i="2"/>
  <c r="AN1561" i="2"/>
  <c r="U1562" i="2"/>
  <c r="W1562" i="2"/>
  <c r="X1562" i="2"/>
  <c r="Y1562" i="2"/>
  <c r="Z1562" i="2"/>
  <c r="AA1562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U1563" i="2"/>
  <c r="W1563" i="2"/>
  <c r="X1563" i="2"/>
  <c r="Y1563" i="2"/>
  <c r="Z1563" i="2"/>
  <c r="AA1563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U1564" i="2"/>
  <c r="W1564" i="2"/>
  <c r="X1564" i="2"/>
  <c r="Y1564" i="2"/>
  <c r="Z1564" i="2"/>
  <c r="AA1564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U1565" i="2"/>
  <c r="W1565" i="2"/>
  <c r="X1565" i="2"/>
  <c r="Y1565" i="2"/>
  <c r="Z1565" i="2"/>
  <c r="AA1565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X1566" i="2"/>
  <c r="Y1566" i="2"/>
  <c r="Z1566" i="2"/>
  <c r="AE1566" i="2"/>
  <c r="AF1566" i="2"/>
  <c r="AG1566" i="2"/>
  <c r="AH1566" i="2"/>
  <c r="AI1566" i="2"/>
  <c r="AJ1566" i="2"/>
  <c r="AK1566" i="2"/>
  <c r="AL1566" i="2"/>
  <c r="AM1566" i="2"/>
  <c r="AN1566" i="2"/>
  <c r="U1567" i="2"/>
  <c r="W1567" i="2"/>
  <c r="X1567" i="2"/>
  <c r="Y1567" i="2"/>
  <c r="Z1567" i="2"/>
  <c r="AA1567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U1568" i="2"/>
  <c r="W1568" i="2"/>
  <c r="X1568" i="2"/>
  <c r="Y1568" i="2"/>
  <c r="Z1568" i="2"/>
  <c r="AA1568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U1569" i="2"/>
  <c r="W1569" i="2"/>
  <c r="X1569" i="2"/>
  <c r="Y1569" i="2"/>
  <c r="Z1569" i="2"/>
  <c r="AA1569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U1570" i="2"/>
  <c r="W1570" i="2"/>
  <c r="X1570" i="2"/>
  <c r="Y1570" i="2"/>
  <c r="Z1570" i="2"/>
  <c r="AA1570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U1571" i="2"/>
  <c r="V1571" i="2"/>
  <c r="W1571" i="2"/>
  <c r="X1571" i="2"/>
  <c r="Y1571" i="2"/>
  <c r="Z1571" i="2"/>
  <c r="AA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Z1572" i="2"/>
  <c r="AJ1572" i="2"/>
  <c r="AK1572" i="2"/>
  <c r="AL1572" i="2"/>
  <c r="AM1572" i="2"/>
  <c r="AN1572" i="2"/>
  <c r="U1573" i="2"/>
  <c r="W1573" i="2"/>
  <c r="X1573" i="2"/>
  <c r="Y1573" i="2"/>
  <c r="Z1573" i="2"/>
  <c r="AA1573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U1574" i="2"/>
  <c r="W1574" i="2"/>
  <c r="X1574" i="2"/>
  <c r="Y1574" i="2"/>
  <c r="Z1574" i="2"/>
  <c r="AA1574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U1575" i="2"/>
  <c r="W1575" i="2"/>
  <c r="X1575" i="2"/>
  <c r="Y1575" i="2"/>
  <c r="Z1575" i="2"/>
  <c r="AA1575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U1576" i="2"/>
  <c r="W1576" i="2"/>
  <c r="X1576" i="2"/>
  <c r="Y1576" i="2"/>
  <c r="Z1576" i="2"/>
  <c r="AA1576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X1577" i="2"/>
  <c r="Y1577" i="2"/>
  <c r="Z1577" i="2"/>
  <c r="AE1577" i="2"/>
  <c r="AF1577" i="2"/>
  <c r="AG1577" i="2"/>
  <c r="AH1577" i="2"/>
  <c r="AI1577" i="2"/>
  <c r="AJ1577" i="2"/>
  <c r="AK1577" i="2"/>
  <c r="AL1577" i="2"/>
  <c r="AM1577" i="2"/>
  <c r="AN1577" i="2"/>
  <c r="U1578" i="2"/>
  <c r="W1578" i="2"/>
  <c r="X1578" i="2"/>
  <c r="Y1578" i="2"/>
  <c r="Z1578" i="2"/>
  <c r="AA1578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U1579" i="2"/>
  <c r="W1579" i="2"/>
  <c r="X1579" i="2"/>
  <c r="Y1579" i="2"/>
  <c r="Z1579" i="2"/>
  <c r="AA1579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U1580" i="2"/>
  <c r="W1580" i="2"/>
  <c r="X1580" i="2"/>
  <c r="Y1580" i="2"/>
  <c r="Z1580" i="2"/>
  <c r="AA1580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U1581" i="2"/>
  <c r="W1581" i="2"/>
  <c r="X1581" i="2"/>
  <c r="Y1581" i="2"/>
  <c r="Z1581" i="2"/>
  <c r="AA1581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U1582" i="2"/>
  <c r="V1582" i="2"/>
  <c r="X1582" i="2"/>
  <c r="Y1582" i="2"/>
  <c r="Z1582" i="2"/>
  <c r="AA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Z1583" i="2"/>
  <c r="AJ1583" i="2"/>
  <c r="AK1583" i="2"/>
  <c r="AL1583" i="2"/>
  <c r="AM1583" i="2"/>
  <c r="AN1583" i="2"/>
  <c r="U1584" i="2"/>
  <c r="W1584" i="2"/>
  <c r="X1584" i="2"/>
  <c r="Y1584" i="2"/>
  <c r="Z1584" i="2"/>
  <c r="AA1584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U1585" i="2"/>
  <c r="W1585" i="2"/>
  <c r="X1585" i="2"/>
  <c r="Y1585" i="2"/>
  <c r="Z1585" i="2"/>
  <c r="AA1585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U1586" i="2"/>
  <c r="W1586" i="2"/>
  <c r="X1586" i="2"/>
  <c r="Y1586" i="2"/>
  <c r="Z1586" i="2"/>
  <c r="AA1586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U1587" i="2"/>
  <c r="W1587" i="2"/>
  <c r="X1587" i="2"/>
  <c r="Y1587" i="2"/>
  <c r="Z1587" i="2"/>
  <c r="AA1587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U1588" i="2"/>
  <c r="W1588" i="2"/>
  <c r="X1588" i="2"/>
  <c r="Y1588" i="2"/>
  <c r="Z1588" i="2"/>
  <c r="AA1588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U1589" i="2"/>
  <c r="W1589" i="2"/>
  <c r="X1589" i="2"/>
  <c r="Y1589" i="2"/>
  <c r="Z1589" i="2"/>
  <c r="AA1589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U1590" i="2"/>
  <c r="W1590" i="2"/>
  <c r="X1590" i="2"/>
  <c r="Y1590" i="2"/>
  <c r="Z1590" i="2"/>
  <c r="AA1590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U1591" i="2"/>
  <c r="W1591" i="2"/>
  <c r="X1591" i="2"/>
  <c r="Y1591" i="2"/>
  <c r="Z1591" i="2"/>
  <c r="AA1591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U1592" i="2"/>
  <c r="W1592" i="2"/>
  <c r="X1592" i="2"/>
  <c r="Y1592" i="2"/>
  <c r="Z1592" i="2"/>
  <c r="AA1592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U1593" i="2"/>
  <c r="W1593" i="2"/>
  <c r="X1593" i="2"/>
  <c r="Y1593" i="2"/>
  <c r="Z1593" i="2"/>
  <c r="AA1593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U1594" i="2"/>
  <c r="W1594" i="2"/>
  <c r="X1594" i="2"/>
  <c r="Y1594" i="2"/>
  <c r="Z1594" i="2"/>
  <c r="AA1594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U1595" i="2"/>
  <c r="W1595" i="2"/>
  <c r="X1595" i="2"/>
  <c r="Y1595" i="2"/>
  <c r="Z1595" i="2"/>
  <c r="AA1595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U1596" i="2"/>
  <c r="W1596" i="2"/>
  <c r="X1596" i="2"/>
  <c r="Y1596" i="2"/>
  <c r="Z1596" i="2"/>
  <c r="AA1596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U1597" i="2"/>
  <c r="W1597" i="2"/>
  <c r="X1597" i="2"/>
  <c r="Y1597" i="2"/>
  <c r="Z1597" i="2"/>
  <c r="AA1597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X1598" i="2"/>
  <c r="Y1598" i="2"/>
  <c r="Z1598" i="2"/>
  <c r="AE1598" i="2"/>
  <c r="AF1598" i="2"/>
  <c r="AG1598" i="2"/>
  <c r="AH1598" i="2"/>
  <c r="AI1598" i="2"/>
  <c r="AJ1598" i="2"/>
  <c r="AK1598" i="2"/>
  <c r="AL1598" i="2"/>
  <c r="AM1598" i="2"/>
  <c r="AN1598" i="2"/>
  <c r="U1599" i="2"/>
  <c r="W1599" i="2"/>
  <c r="X1599" i="2"/>
  <c r="Y1599" i="2"/>
  <c r="Z1599" i="2"/>
  <c r="AA1599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U1600" i="2"/>
  <c r="W1600" i="2"/>
  <c r="X1600" i="2"/>
  <c r="Y1600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U1601" i="2"/>
  <c r="W1601" i="2"/>
  <c r="X1601" i="2"/>
  <c r="Y1601" i="2"/>
  <c r="Z1601" i="2"/>
  <c r="AA1601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U1602" i="2"/>
  <c r="W1602" i="2"/>
  <c r="X1602" i="2"/>
  <c r="Y1602" i="2"/>
  <c r="Z1602" i="2"/>
  <c r="AA1602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U1603" i="2"/>
  <c r="W1603" i="2"/>
  <c r="X1603" i="2"/>
  <c r="Y1603" i="2"/>
  <c r="Z1603" i="2"/>
  <c r="AA1603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U1604" i="2"/>
  <c r="W1604" i="2"/>
  <c r="X1604" i="2"/>
  <c r="Y1604" i="2"/>
  <c r="Z1604" i="2"/>
  <c r="AA1604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U1605" i="2"/>
  <c r="W1605" i="2"/>
  <c r="X1605" i="2"/>
  <c r="Y1605" i="2"/>
  <c r="Z1605" i="2"/>
  <c r="AA1605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U1606" i="2"/>
  <c r="W1606" i="2"/>
  <c r="X1606" i="2"/>
  <c r="Y1606" i="2"/>
  <c r="Z1606" i="2"/>
  <c r="AA1606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U1607" i="2"/>
  <c r="W1607" i="2"/>
  <c r="X1607" i="2"/>
  <c r="Y1607" i="2"/>
  <c r="Z1607" i="2"/>
  <c r="AA1607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U1608" i="2"/>
  <c r="W1608" i="2"/>
  <c r="X1608" i="2"/>
  <c r="Y1608" i="2"/>
  <c r="Z1608" i="2"/>
  <c r="AA1608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U1609" i="2"/>
  <c r="W1609" i="2"/>
  <c r="X1609" i="2"/>
  <c r="Y1609" i="2"/>
  <c r="Z1609" i="2"/>
  <c r="AA1609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U1610" i="2"/>
  <c r="W1610" i="2"/>
  <c r="X1610" i="2"/>
  <c r="Y1610" i="2"/>
  <c r="Z1610" i="2"/>
  <c r="AA1610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U1611" i="2"/>
  <c r="W1611" i="2"/>
  <c r="X1611" i="2"/>
  <c r="Y1611" i="2"/>
  <c r="Z1611" i="2"/>
  <c r="AA1611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U1612" i="2"/>
  <c r="W1612" i="2"/>
  <c r="X1612" i="2"/>
  <c r="Y1612" i="2"/>
  <c r="Z1612" i="2"/>
  <c r="AA1612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U1613" i="2"/>
  <c r="V1613" i="2"/>
  <c r="X1613" i="2"/>
  <c r="Y1613" i="2"/>
  <c r="Z1613" i="2"/>
  <c r="AA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Z1614" i="2"/>
  <c r="AJ1614" i="2"/>
  <c r="AK1614" i="2"/>
  <c r="AL1614" i="2"/>
  <c r="AM1614" i="2"/>
  <c r="AN1614" i="2"/>
  <c r="U1615" i="2"/>
  <c r="W1615" i="2"/>
  <c r="X1615" i="2"/>
  <c r="Y1615" i="2"/>
  <c r="Z1615" i="2"/>
  <c r="AA1615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U1616" i="2"/>
  <c r="W1616" i="2"/>
  <c r="X1616" i="2"/>
  <c r="Y1616" i="2"/>
  <c r="Z1616" i="2"/>
  <c r="AA1616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U1617" i="2"/>
  <c r="W1617" i="2"/>
  <c r="X1617" i="2"/>
  <c r="Y1617" i="2"/>
  <c r="Z1617" i="2"/>
  <c r="AA1617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U1618" i="2"/>
  <c r="W1618" i="2"/>
  <c r="X1618" i="2"/>
  <c r="Y1618" i="2"/>
  <c r="Z1618" i="2"/>
  <c r="AA1618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U1619" i="2"/>
  <c r="W1619" i="2"/>
  <c r="X1619" i="2"/>
  <c r="Y1619" i="2"/>
  <c r="Z1619" i="2"/>
  <c r="AA1619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U1620" i="2"/>
  <c r="W1620" i="2"/>
  <c r="X1620" i="2"/>
  <c r="Y1620" i="2"/>
  <c r="Z1620" i="2"/>
  <c r="AA1620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X1621" i="2"/>
  <c r="Y1621" i="2"/>
  <c r="Z1621" i="2"/>
  <c r="AE1621" i="2"/>
  <c r="AF1621" i="2"/>
  <c r="AG1621" i="2"/>
  <c r="AH1621" i="2"/>
  <c r="AI1621" i="2"/>
  <c r="AJ1621" i="2"/>
  <c r="AK1621" i="2"/>
  <c r="AL1621" i="2"/>
  <c r="AM1621" i="2"/>
  <c r="AN1621" i="2"/>
  <c r="U1622" i="2"/>
  <c r="W1622" i="2"/>
  <c r="X1622" i="2"/>
  <c r="Y1622" i="2"/>
  <c r="Z1622" i="2"/>
  <c r="AA1622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U1623" i="2"/>
  <c r="W1623" i="2"/>
  <c r="X1623" i="2"/>
  <c r="Y1623" i="2"/>
  <c r="Z1623" i="2"/>
  <c r="AA1623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U1624" i="2"/>
  <c r="W1624" i="2"/>
  <c r="X1624" i="2"/>
  <c r="Y1624" i="2"/>
  <c r="Z1624" i="2"/>
  <c r="AA1624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U1625" i="2"/>
  <c r="W1625" i="2"/>
  <c r="X1625" i="2"/>
  <c r="Y1625" i="2"/>
  <c r="Z1625" i="2"/>
  <c r="AA1625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U1626" i="2"/>
  <c r="W1626" i="2"/>
  <c r="X1626" i="2"/>
  <c r="Y1626" i="2"/>
  <c r="Z1626" i="2"/>
  <c r="AA1626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U1627" i="2"/>
  <c r="W1627" i="2"/>
  <c r="X1627" i="2"/>
  <c r="Y1627" i="2"/>
  <c r="Z1627" i="2"/>
  <c r="AA1627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U1628" i="2"/>
  <c r="V1628" i="2"/>
  <c r="X1628" i="2"/>
  <c r="Y1628" i="2"/>
  <c r="Z1628" i="2"/>
  <c r="AA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Z1629" i="2"/>
  <c r="AJ1629" i="2"/>
  <c r="AK1629" i="2"/>
  <c r="AL1629" i="2"/>
  <c r="AM1629" i="2"/>
  <c r="AN1629" i="2"/>
  <c r="U1630" i="2"/>
  <c r="W1630" i="2"/>
  <c r="X1630" i="2"/>
  <c r="Y1630" i="2"/>
  <c r="Z1630" i="2"/>
  <c r="AA1630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U1631" i="2"/>
  <c r="W1631" i="2"/>
  <c r="X1631" i="2"/>
  <c r="Y1631" i="2"/>
  <c r="Z1631" i="2"/>
  <c r="AA1631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U1632" i="2"/>
  <c r="W1632" i="2"/>
  <c r="X1632" i="2"/>
  <c r="Y1632" i="2"/>
  <c r="Z1632" i="2"/>
  <c r="AA1632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U1633" i="2"/>
  <c r="W1633" i="2"/>
  <c r="X1633" i="2"/>
  <c r="Y1633" i="2"/>
  <c r="Z1633" i="2"/>
  <c r="AA1633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U1634" i="2"/>
  <c r="W1634" i="2"/>
  <c r="X1634" i="2"/>
  <c r="Y1634" i="2"/>
  <c r="Z1634" i="2"/>
  <c r="AA1634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U1635" i="2"/>
  <c r="W1635" i="2"/>
  <c r="X1635" i="2"/>
  <c r="Y1635" i="2"/>
  <c r="Z1635" i="2"/>
  <c r="AA1635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U1636" i="2"/>
  <c r="W1636" i="2"/>
  <c r="X1636" i="2"/>
  <c r="Y1636" i="2"/>
  <c r="Z1636" i="2"/>
  <c r="AA1636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U1637" i="2"/>
  <c r="W1637" i="2"/>
  <c r="X1637" i="2"/>
  <c r="Y1637" i="2"/>
  <c r="Z1637" i="2"/>
  <c r="AA1637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X1638" i="2"/>
  <c r="Y1638" i="2"/>
  <c r="Z1638" i="2"/>
  <c r="AE1638" i="2"/>
  <c r="AF1638" i="2"/>
  <c r="AG1638" i="2"/>
  <c r="AH1638" i="2"/>
  <c r="AI1638" i="2"/>
  <c r="AJ1638" i="2"/>
  <c r="AK1638" i="2"/>
  <c r="AL1638" i="2"/>
  <c r="AM1638" i="2"/>
  <c r="AN1638" i="2"/>
  <c r="U1639" i="2"/>
  <c r="W1639" i="2"/>
  <c r="X1639" i="2"/>
  <c r="Y1639" i="2"/>
  <c r="Z1639" i="2"/>
  <c r="AA1639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U1640" i="2"/>
  <c r="W1640" i="2"/>
  <c r="X1640" i="2"/>
  <c r="Y1640" i="2"/>
  <c r="Z1640" i="2"/>
  <c r="AA1640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U1641" i="2"/>
  <c r="W1641" i="2"/>
  <c r="X1641" i="2"/>
  <c r="Y1641" i="2"/>
  <c r="Z1641" i="2"/>
  <c r="AA1641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U1642" i="2"/>
  <c r="W1642" i="2"/>
  <c r="X1642" i="2"/>
  <c r="Y1642" i="2"/>
  <c r="Z1642" i="2"/>
  <c r="AA1642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U1643" i="2"/>
  <c r="W1643" i="2"/>
  <c r="X1643" i="2"/>
  <c r="Y1643" i="2"/>
  <c r="Z1643" i="2"/>
  <c r="AA1643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U1644" i="2"/>
  <c r="W1644" i="2"/>
  <c r="X1644" i="2"/>
  <c r="Y1644" i="2"/>
  <c r="Z1644" i="2"/>
  <c r="AA1644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U1645" i="2"/>
  <c r="W1645" i="2"/>
  <c r="X1645" i="2"/>
  <c r="Y1645" i="2"/>
  <c r="Z1645" i="2"/>
  <c r="AA1645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U1646" i="2"/>
  <c r="W1646" i="2"/>
  <c r="X1646" i="2"/>
  <c r="Y1646" i="2"/>
  <c r="Z1646" i="2"/>
  <c r="AA1646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U1647" i="2"/>
  <c r="V1647" i="2"/>
  <c r="W1647" i="2"/>
  <c r="X1647" i="2"/>
  <c r="Y1647" i="2"/>
  <c r="Z1647" i="2"/>
  <c r="AA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Z1648" i="2"/>
  <c r="AJ1648" i="2"/>
  <c r="AK1648" i="2"/>
  <c r="AL1648" i="2"/>
  <c r="AM1648" i="2"/>
  <c r="AN1648" i="2"/>
  <c r="U1649" i="2"/>
  <c r="W1649" i="2"/>
  <c r="X1649" i="2"/>
  <c r="Y1649" i="2"/>
  <c r="Z1649" i="2"/>
  <c r="AA1649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U1650" i="2"/>
  <c r="W1650" i="2"/>
  <c r="X1650" i="2"/>
  <c r="Y1650" i="2"/>
  <c r="Z1650" i="2"/>
  <c r="AA1650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U1651" i="2"/>
  <c r="W1651" i="2"/>
  <c r="X1651" i="2"/>
  <c r="Y1651" i="2"/>
  <c r="Z1651" i="2"/>
  <c r="AA1651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U1652" i="2"/>
  <c r="W1652" i="2"/>
  <c r="X1652" i="2"/>
  <c r="Y1652" i="2"/>
  <c r="Z1652" i="2"/>
  <c r="AA1652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U1653" i="2"/>
  <c r="W1653" i="2"/>
  <c r="X1653" i="2"/>
  <c r="Y1653" i="2"/>
  <c r="Z1653" i="2"/>
  <c r="AA1653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U1654" i="2"/>
  <c r="W1654" i="2"/>
  <c r="X1654" i="2"/>
  <c r="Y1654" i="2"/>
  <c r="Z1654" i="2"/>
  <c r="AA1654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U1655" i="2"/>
  <c r="W1655" i="2"/>
  <c r="X1655" i="2"/>
  <c r="Y1655" i="2"/>
  <c r="Z1655" i="2"/>
  <c r="AA1655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U1656" i="2"/>
  <c r="W1656" i="2"/>
  <c r="X1656" i="2"/>
  <c r="Y1656" i="2"/>
  <c r="Z1656" i="2"/>
  <c r="AA1656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U1657" i="2"/>
  <c r="W1657" i="2"/>
  <c r="X1657" i="2"/>
  <c r="Y1657" i="2"/>
  <c r="Z1657" i="2"/>
  <c r="AA1657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U1658" i="2"/>
  <c r="W1658" i="2"/>
  <c r="X1658" i="2"/>
  <c r="Y1658" i="2"/>
  <c r="Z1658" i="2"/>
  <c r="AA1658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X1659" i="2"/>
  <c r="Y1659" i="2"/>
  <c r="Z1659" i="2"/>
  <c r="AE1659" i="2"/>
  <c r="AF1659" i="2"/>
  <c r="AG1659" i="2"/>
  <c r="AH1659" i="2"/>
  <c r="AI1659" i="2"/>
  <c r="AJ1659" i="2"/>
  <c r="AK1659" i="2"/>
  <c r="AL1659" i="2"/>
  <c r="AM1659" i="2"/>
  <c r="AN1659" i="2"/>
  <c r="U1660" i="2"/>
  <c r="W1660" i="2"/>
  <c r="X1660" i="2"/>
  <c r="Y1660" i="2"/>
  <c r="Z1660" i="2"/>
  <c r="AA1660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U1661" i="2"/>
  <c r="W1661" i="2"/>
  <c r="X1661" i="2"/>
  <c r="Y1661" i="2"/>
  <c r="Z1661" i="2"/>
  <c r="AA1661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U1662" i="2"/>
  <c r="W1662" i="2"/>
  <c r="X1662" i="2"/>
  <c r="Y1662" i="2"/>
  <c r="Z1662" i="2"/>
  <c r="AA1662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U1663" i="2"/>
  <c r="W1663" i="2"/>
  <c r="X1663" i="2"/>
  <c r="Y1663" i="2"/>
  <c r="Z1663" i="2"/>
  <c r="AA1663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U1664" i="2"/>
  <c r="W1664" i="2"/>
  <c r="X1664" i="2"/>
  <c r="Y1664" i="2"/>
  <c r="Z1664" i="2"/>
  <c r="AA1664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U1665" i="2"/>
  <c r="W1665" i="2"/>
  <c r="X1665" i="2"/>
  <c r="Y1665" i="2"/>
  <c r="Z1665" i="2"/>
  <c r="AA1665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U1666" i="2"/>
  <c r="W1666" i="2"/>
  <c r="X1666" i="2"/>
  <c r="Y1666" i="2"/>
  <c r="Z1666" i="2"/>
  <c r="AA1666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U1667" i="2"/>
  <c r="W1667" i="2"/>
  <c r="X1667" i="2"/>
  <c r="Y1667" i="2"/>
  <c r="Z1667" i="2"/>
  <c r="AA1667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U1668" i="2"/>
  <c r="W1668" i="2"/>
  <c r="X1668" i="2"/>
  <c r="Y1668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U1669" i="2"/>
  <c r="W1669" i="2"/>
  <c r="X1669" i="2"/>
  <c r="Y1669" i="2"/>
  <c r="Z1669" i="2"/>
  <c r="AA1669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U1670" i="2"/>
  <c r="V1670" i="2"/>
  <c r="X1670" i="2"/>
  <c r="Y1670" i="2"/>
  <c r="Z1670" i="2"/>
  <c r="AA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Z1671" i="2"/>
  <c r="AJ1671" i="2"/>
  <c r="AK1671" i="2"/>
  <c r="AL1671" i="2"/>
  <c r="AM1671" i="2"/>
  <c r="AN1671" i="2"/>
  <c r="U1672" i="2"/>
  <c r="W1672" i="2"/>
  <c r="X1672" i="2"/>
  <c r="Y1672" i="2"/>
  <c r="Z1672" i="2"/>
  <c r="AA1672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U1673" i="2"/>
  <c r="V1673" i="2"/>
  <c r="X1673" i="2"/>
  <c r="Y1673" i="2"/>
  <c r="Z1673" i="2"/>
  <c r="AA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Z1674" i="2"/>
  <c r="AJ1674" i="2"/>
  <c r="AK1674" i="2"/>
  <c r="AL1674" i="2"/>
  <c r="AM1674" i="2"/>
  <c r="AN1674" i="2"/>
  <c r="U1675" i="2"/>
  <c r="W1675" i="2"/>
  <c r="X1675" i="2"/>
  <c r="Y1675" i="2"/>
  <c r="Z1675" i="2"/>
  <c r="AA1675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U1676" i="2"/>
  <c r="W1676" i="2"/>
  <c r="X1676" i="2"/>
  <c r="Y1676" i="2"/>
  <c r="Z1676" i="2"/>
  <c r="AA1676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U1677" i="2"/>
  <c r="W1677" i="2"/>
  <c r="X1677" i="2"/>
  <c r="Y1677" i="2"/>
  <c r="Z1677" i="2"/>
  <c r="AA1677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U1678" i="2"/>
  <c r="W1678" i="2"/>
  <c r="X1678" i="2"/>
  <c r="Y1678" i="2"/>
  <c r="Z1678" i="2"/>
  <c r="AA1678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U1679" i="2"/>
  <c r="W1679" i="2"/>
  <c r="X1679" i="2"/>
  <c r="Y1679" i="2"/>
  <c r="Z1679" i="2"/>
  <c r="AA1679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U1680" i="2"/>
  <c r="W1680" i="2"/>
  <c r="X1680" i="2"/>
  <c r="Y1680" i="2"/>
  <c r="Z1680" i="2"/>
  <c r="AA1680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U1681" i="2"/>
  <c r="W1681" i="2"/>
  <c r="X1681" i="2"/>
  <c r="Y1681" i="2"/>
  <c r="Z1681" i="2"/>
  <c r="AA1681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U1682" i="2"/>
  <c r="W1682" i="2"/>
  <c r="X1682" i="2"/>
  <c r="Y1682" i="2"/>
  <c r="Z1682" i="2"/>
  <c r="AA1682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U1683" i="2"/>
  <c r="W1683" i="2"/>
  <c r="X1683" i="2"/>
  <c r="Y1683" i="2"/>
  <c r="Z1683" i="2"/>
  <c r="AA1683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U1684" i="2"/>
  <c r="W1684" i="2"/>
  <c r="X1684" i="2"/>
  <c r="Y1684" i="2"/>
  <c r="Z1684" i="2"/>
  <c r="AA1684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U1685" i="2"/>
  <c r="W1685" i="2"/>
  <c r="X1685" i="2"/>
  <c r="Y1685" i="2"/>
  <c r="Z1685" i="2"/>
  <c r="AA1685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U1686" i="2"/>
  <c r="W1686" i="2"/>
  <c r="X1686" i="2"/>
  <c r="Y1686" i="2"/>
  <c r="Z1686" i="2"/>
  <c r="AA1686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X1687" i="2"/>
  <c r="Y1687" i="2"/>
  <c r="Z1687" i="2"/>
  <c r="AE1687" i="2"/>
  <c r="AF1687" i="2"/>
  <c r="AG1687" i="2"/>
  <c r="AH1687" i="2"/>
  <c r="AI1687" i="2"/>
  <c r="AJ1687" i="2"/>
  <c r="AK1687" i="2"/>
  <c r="AL1687" i="2"/>
  <c r="AM1687" i="2"/>
  <c r="AN1687" i="2"/>
  <c r="U1688" i="2"/>
  <c r="W1688" i="2"/>
  <c r="X1688" i="2"/>
  <c r="Y1688" i="2"/>
  <c r="Z1688" i="2"/>
  <c r="AA1688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U1689" i="2"/>
  <c r="W1689" i="2"/>
  <c r="X1689" i="2"/>
  <c r="Y1689" i="2"/>
  <c r="Z1689" i="2"/>
  <c r="AA1689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U1690" i="2"/>
  <c r="W1690" i="2"/>
  <c r="X1690" i="2"/>
  <c r="Y1690" i="2"/>
  <c r="Z1690" i="2"/>
  <c r="AA1690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U1691" i="2"/>
  <c r="W1691" i="2"/>
  <c r="X1691" i="2"/>
  <c r="Y1691" i="2"/>
  <c r="Z1691" i="2"/>
  <c r="AA1691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U1692" i="2"/>
  <c r="W1692" i="2"/>
  <c r="X1692" i="2"/>
  <c r="Y1692" i="2"/>
  <c r="Z1692" i="2"/>
  <c r="AA1692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U1693" i="2"/>
  <c r="W1693" i="2"/>
  <c r="X1693" i="2"/>
  <c r="Y1693" i="2"/>
  <c r="Z1693" i="2"/>
  <c r="AA1693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U1694" i="2"/>
  <c r="W1694" i="2"/>
  <c r="X1694" i="2"/>
  <c r="Y1694" i="2"/>
  <c r="Z1694" i="2"/>
  <c r="AA1694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U1695" i="2"/>
  <c r="W1695" i="2"/>
  <c r="X1695" i="2"/>
  <c r="Y1695" i="2"/>
  <c r="Z1695" i="2"/>
  <c r="AA1695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U1696" i="2"/>
  <c r="W1696" i="2"/>
  <c r="X1696" i="2"/>
  <c r="Y1696" i="2"/>
  <c r="Z1696" i="2"/>
  <c r="AA1696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U1697" i="2"/>
  <c r="W1697" i="2"/>
  <c r="X1697" i="2"/>
  <c r="Y1697" i="2"/>
  <c r="Z1697" i="2"/>
  <c r="AA1697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U1698" i="2"/>
  <c r="W1698" i="2"/>
  <c r="X1698" i="2"/>
  <c r="Y1698" i="2"/>
  <c r="Z1698" i="2"/>
  <c r="AA1698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U1699" i="2"/>
  <c r="W1699" i="2"/>
  <c r="X1699" i="2"/>
  <c r="Y1699" i="2"/>
  <c r="Z1699" i="2"/>
  <c r="AA1699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Z1700" i="2"/>
  <c r="AJ1700" i="2"/>
  <c r="AK1700" i="2"/>
  <c r="AL1700" i="2"/>
  <c r="AM1700" i="2"/>
  <c r="AN1700" i="2"/>
  <c r="U1701" i="2"/>
  <c r="W1701" i="2"/>
  <c r="X1701" i="2"/>
  <c r="Y1701" i="2"/>
  <c r="Z1701" i="2"/>
  <c r="AA1701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U1702" i="2"/>
  <c r="W1702" i="2"/>
  <c r="X1702" i="2"/>
  <c r="Y1702" i="2"/>
  <c r="Z1702" i="2"/>
  <c r="AA1702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U1703" i="2"/>
  <c r="W1703" i="2"/>
  <c r="X1703" i="2"/>
  <c r="Y1703" i="2"/>
  <c r="Z1703" i="2"/>
  <c r="AA1703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U1704" i="2"/>
  <c r="V1704" i="2"/>
  <c r="X1704" i="2"/>
  <c r="Y1704" i="2"/>
  <c r="Z1704" i="2"/>
  <c r="AA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X1705" i="2"/>
  <c r="Y1705" i="2"/>
  <c r="Z1705" i="2"/>
  <c r="AE1705" i="2"/>
  <c r="AF1705" i="2"/>
  <c r="AG1705" i="2"/>
  <c r="AH1705" i="2"/>
  <c r="AI1705" i="2"/>
  <c r="AJ1705" i="2"/>
  <c r="AK1705" i="2"/>
  <c r="AL1705" i="2"/>
  <c r="AM1705" i="2"/>
  <c r="AN1705" i="2"/>
  <c r="U1706" i="2"/>
  <c r="W1706" i="2"/>
  <c r="X1706" i="2"/>
  <c r="Y1706" i="2"/>
  <c r="Z1706" i="2"/>
  <c r="AA1706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U1707" i="2"/>
  <c r="W1707" i="2"/>
  <c r="X1707" i="2"/>
  <c r="Y1707" i="2"/>
  <c r="Z1707" i="2"/>
  <c r="AA1707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U1708" i="2"/>
  <c r="W1708" i="2"/>
  <c r="X1708" i="2"/>
  <c r="Y1708" i="2"/>
  <c r="Z1708" i="2"/>
  <c r="AA1708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U1709" i="2"/>
  <c r="W1709" i="2"/>
  <c r="X1709" i="2"/>
  <c r="Y1709" i="2"/>
  <c r="Z1709" i="2"/>
  <c r="AA1709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X1710" i="2"/>
  <c r="Y1710" i="2"/>
  <c r="Z1710" i="2"/>
  <c r="AE1710" i="2"/>
  <c r="AF1710" i="2"/>
  <c r="AG1710" i="2"/>
  <c r="AH1710" i="2"/>
  <c r="AI1710" i="2"/>
  <c r="AJ1710" i="2"/>
  <c r="AK1710" i="2"/>
  <c r="AL1710" i="2"/>
  <c r="AM1710" i="2"/>
  <c r="AN1710" i="2"/>
  <c r="U1711" i="2"/>
  <c r="W1711" i="2"/>
  <c r="X1711" i="2"/>
  <c r="Y1711" i="2"/>
  <c r="Z1711" i="2"/>
  <c r="AA1711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U1712" i="2"/>
  <c r="W1712" i="2"/>
  <c r="X1712" i="2"/>
  <c r="Y1712" i="2"/>
  <c r="Z1712" i="2"/>
  <c r="AA1712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U1713" i="2"/>
  <c r="W1713" i="2"/>
  <c r="X1713" i="2"/>
  <c r="Y1713" i="2"/>
  <c r="Z1713" i="2"/>
  <c r="AA1713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U1714" i="2"/>
  <c r="W1714" i="2"/>
  <c r="X1714" i="2"/>
  <c r="Y1714" i="2"/>
  <c r="Z1714" i="2"/>
  <c r="AA1714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X1715" i="2"/>
  <c r="Y1715" i="2"/>
  <c r="Z1715" i="2"/>
  <c r="AE1715" i="2"/>
  <c r="AF1715" i="2"/>
  <c r="AG1715" i="2"/>
  <c r="AH1715" i="2"/>
  <c r="AI1715" i="2"/>
  <c r="AJ1715" i="2"/>
  <c r="AK1715" i="2"/>
  <c r="AL1715" i="2"/>
  <c r="AM1715" i="2"/>
  <c r="AN1715" i="2"/>
  <c r="U1716" i="2"/>
  <c r="W1716" i="2"/>
  <c r="X1716" i="2"/>
  <c r="Y1716" i="2"/>
  <c r="Z1716" i="2"/>
  <c r="AA1716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U1717" i="2"/>
  <c r="W1717" i="2"/>
  <c r="X1717" i="2"/>
  <c r="Y1717" i="2"/>
  <c r="Z1717" i="2"/>
  <c r="AA1717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X1718" i="2"/>
  <c r="Y1718" i="2"/>
  <c r="Z1718" i="2"/>
  <c r="AE1718" i="2"/>
  <c r="AF1718" i="2"/>
  <c r="AG1718" i="2"/>
  <c r="AH1718" i="2"/>
  <c r="AI1718" i="2"/>
  <c r="AJ1718" i="2"/>
  <c r="AK1718" i="2"/>
  <c r="AL1718" i="2"/>
  <c r="AM1718" i="2"/>
  <c r="AN1718" i="2"/>
  <c r="U1719" i="2"/>
  <c r="W1719" i="2"/>
  <c r="X1719" i="2"/>
  <c r="Y1719" i="2"/>
  <c r="Z1719" i="2"/>
  <c r="AA1719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U1720" i="2"/>
  <c r="W1720" i="2"/>
  <c r="X1720" i="2"/>
  <c r="Y1720" i="2"/>
  <c r="Z1720" i="2"/>
  <c r="AA1720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U1721" i="2"/>
  <c r="W1721" i="2"/>
  <c r="X1721" i="2"/>
  <c r="Y1721" i="2"/>
  <c r="Z1721" i="2"/>
  <c r="AA1721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U1722" i="2"/>
  <c r="W1722" i="2"/>
  <c r="X1722" i="2"/>
  <c r="Y1722" i="2"/>
  <c r="Z1722" i="2"/>
  <c r="AA1722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X1723" i="2"/>
  <c r="Y1723" i="2"/>
  <c r="Z1723" i="2"/>
  <c r="AE1723" i="2"/>
  <c r="AF1723" i="2"/>
  <c r="AG1723" i="2"/>
  <c r="AH1723" i="2"/>
  <c r="AI1723" i="2"/>
  <c r="AJ1723" i="2"/>
  <c r="AK1723" i="2"/>
  <c r="AL1723" i="2"/>
  <c r="AM1723" i="2"/>
  <c r="AN1723" i="2"/>
  <c r="U1724" i="2"/>
  <c r="W1724" i="2"/>
  <c r="X1724" i="2"/>
  <c r="Y1724" i="2"/>
  <c r="Z1724" i="2"/>
  <c r="AA1724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U1725" i="2"/>
  <c r="W1725" i="2"/>
  <c r="X1725" i="2"/>
  <c r="Y1725" i="2"/>
  <c r="Z1725" i="2"/>
  <c r="AA1725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X1726" i="2"/>
  <c r="Y1726" i="2"/>
  <c r="Z1726" i="2"/>
  <c r="AE1726" i="2"/>
  <c r="AF1726" i="2"/>
  <c r="AG1726" i="2"/>
  <c r="AH1726" i="2"/>
  <c r="AI1726" i="2"/>
  <c r="AJ1726" i="2"/>
  <c r="AK1726" i="2"/>
  <c r="AL1726" i="2"/>
  <c r="AM1726" i="2"/>
  <c r="AN1726" i="2"/>
  <c r="U1727" i="2"/>
  <c r="W1727" i="2"/>
  <c r="X1727" i="2"/>
  <c r="Y1727" i="2"/>
  <c r="Z1727" i="2"/>
  <c r="AA1727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U1728" i="2"/>
  <c r="W1728" i="2"/>
  <c r="X1728" i="2"/>
  <c r="Y1728" i="2"/>
  <c r="Z1728" i="2"/>
  <c r="AA1728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X1729" i="2"/>
  <c r="Y1729" i="2"/>
  <c r="Z1729" i="2"/>
  <c r="AE1729" i="2"/>
  <c r="AF1729" i="2"/>
  <c r="AG1729" i="2"/>
  <c r="AH1729" i="2"/>
  <c r="AI1729" i="2"/>
  <c r="AJ1729" i="2"/>
  <c r="AK1729" i="2"/>
  <c r="AL1729" i="2"/>
  <c r="AM1729" i="2"/>
  <c r="AN1729" i="2"/>
  <c r="U1730" i="2"/>
  <c r="W1730" i="2"/>
  <c r="X1730" i="2"/>
  <c r="Y1730" i="2"/>
  <c r="Z1730" i="2"/>
  <c r="AA1730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X1731" i="2"/>
  <c r="Y1731" i="2"/>
  <c r="Z1731" i="2"/>
  <c r="AE1731" i="2"/>
  <c r="AF1731" i="2"/>
  <c r="AG1731" i="2"/>
  <c r="AH1731" i="2"/>
  <c r="AI1731" i="2"/>
  <c r="AJ1731" i="2"/>
  <c r="AK1731" i="2"/>
  <c r="AL1731" i="2"/>
  <c r="AM1731" i="2"/>
  <c r="AN1731" i="2"/>
  <c r="U1732" i="2"/>
  <c r="W1732" i="2"/>
  <c r="X1732" i="2"/>
  <c r="Y1732" i="2"/>
  <c r="Z1732" i="2"/>
  <c r="AA1732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U1733" i="2"/>
  <c r="W1733" i="2"/>
  <c r="X1733" i="2"/>
  <c r="Y1733" i="2"/>
  <c r="Z1733" i="2"/>
  <c r="AA1733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U1734" i="2"/>
  <c r="V1734" i="2"/>
  <c r="W1734" i="2"/>
  <c r="X1734" i="2"/>
  <c r="Y1734" i="2"/>
  <c r="Z1734" i="2"/>
  <c r="AA1734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N1735" i="2"/>
  <c r="S1736" i="2"/>
  <c r="U1736" i="2"/>
  <c r="W1736" i="2"/>
  <c r="X1736" i="2"/>
  <c r="Y1736" i="2"/>
  <c r="Z1736" i="2"/>
  <c r="AA1736" i="2"/>
  <c r="AB1736" i="2"/>
  <c r="AE1736" i="2"/>
  <c r="AF1736" i="2"/>
  <c r="AG1736" i="2"/>
  <c r="AI1736" i="2"/>
  <c r="AJ1736" i="2"/>
  <c r="AK1736" i="2"/>
  <c r="AL1736" i="2"/>
  <c r="AN1736" i="2"/>
  <c r="S1737" i="2"/>
  <c r="U1737" i="2"/>
  <c r="W1737" i="2"/>
  <c r="X1737" i="2"/>
  <c r="Y1737" i="2"/>
  <c r="Z1737" i="2"/>
  <c r="AA1737" i="2"/>
  <c r="AB1737" i="2"/>
  <c r="AE1737" i="2"/>
  <c r="AF1737" i="2"/>
  <c r="AG1737" i="2"/>
  <c r="AI1737" i="2"/>
  <c r="AJ1737" i="2"/>
  <c r="AK1737" i="2"/>
  <c r="AL1737" i="2"/>
  <c r="AN1737" i="2"/>
  <c r="S1738" i="2"/>
  <c r="U1738" i="2"/>
  <c r="W1738" i="2"/>
  <c r="X1738" i="2"/>
  <c r="Y1738" i="2"/>
  <c r="Z1738" i="2"/>
  <c r="AA1738" i="2"/>
  <c r="AB1738" i="2"/>
  <c r="AE1738" i="2"/>
  <c r="AF1738" i="2"/>
  <c r="AG1738" i="2"/>
  <c r="AI1738" i="2"/>
  <c r="AJ1738" i="2"/>
  <c r="AK1738" i="2"/>
  <c r="AL1738" i="2"/>
  <c r="AN1738" i="2"/>
  <c r="S1739" i="2"/>
  <c r="U1739" i="2"/>
  <c r="W1739" i="2"/>
  <c r="X1739" i="2"/>
  <c r="Y1739" i="2"/>
  <c r="Z1739" i="2"/>
  <c r="AA1739" i="2"/>
  <c r="AB1739" i="2"/>
  <c r="AE1739" i="2"/>
  <c r="AF1739" i="2"/>
  <c r="AG1739" i="2"/>
  <c r="AI1739" i="2"/>
  <c r="AJ1739" i="2"/>
  <c r="AK1739" i="2"/>
  <c r="AL1739" i="2"/>
  <c r="AN1739" i="2"/>
  <c r="AH1740" i="2"/>
  <c r="AI1740" i="2"/>
  <c r="AJ1740" i="2"/>
  <c r="AK1740" i="2"/>
  <c r="AL1740" i="2"/>
  <c r="AM1740" i="2"/>
  <c r="AN1740" i="2"/>
  <c r="AH1741" i="2"/>
  <c r="AI1741" i="2"/>
  <c r="AJ1741" i="2"/>
  <c r="AK1741" i="2"/>
  <c r="AL1741" i="2"/>
  <c r="AM1741" i="2"/>
  <c r="AN1741" i="2"/>
  <c r="U1742" i="2"/>
  <c r="W1742" i="2"/>
  <c r="X1742" i="2"/>
  <c r="Y1742" i="2"/>
  <c r="AA1742" i="2"/>
  <c r="AH1742" i="2"/>
  <c r="AJ1742" i="2"/>
  <c r="AK1742" i="2"/>
  <c r="AL1742" i="2"/>
  <c r="AM1742" i="2"/>
  <c r="AN1742" i="2"/>
  <c r="U1743" i="2"/>
  <c r="W1743" i="2"/>
  <c r="X1743" i="2"/>
  <c r="Y1743" i="2"/>
  <c r="AA1743" i="2"/>
  <c r="AH1743" i="2"/>
  <c r="AJ1743" i="2"/>
  <c r="AK1743" i="2"/>
  <c r="AL1743" i="2"/>
  <c r="AM1743" i="2"/>
  <c r="AN1743" i="2"/>
  <c r="U1744" i="2"/>
  <c r="W1744" i="2"/>
  <c r="X1744" i="2"/>
  <c r="Y1744" i="2"/>
  <c r="AA1744" i="2"/>
  <c r="AH1744" i="2"/>
  <c r="AJ1744" i="2"/>
  <c r="AK1744" i="2"/>
  <c r="AL1744" i="2"/>
  <c r="AM1744" i="2"/>
  <c r="AN1744" i="2"/>
  <c r="AH1745" i="2"/>
  <c r="AI1745" i="2"/>
  <c r="AJ1745" i="2"/>
  <c r="AK1745" i="2"/>
  <c r="AL1745" i="2"/>
  <c r="AM1745" i="2"/>
  <c r="AN1745" i="2"/>
  <c r="U1746" i="2"/>
  <c r="W1746" i="2"/>
  <c r="X1746" i="2"/>
  <c r="Y1746" i="2"/>
  <c r="AA1746" i="2"/>
  <c r="AB1746" i="2"/>
  <c r="AC1746" i="2"/>
  <c r="AD1746" i="2"/>
  <c r="AE1746" i="2"/>
  <c r="AF1746" i="2"/>
  <c r="AH1746" i="2"/>
  <c r="AI1746" i="2"/>
  <c r="AJ1746" i="2"/>
  <c r="AK1746" i="2"/>
  <c r="AL1746" i="2"/>
  <c r="AM1746" i="2"/>
  <c r="AN1746" i="2"/>
  <c r="U1747" i="2"/>
  <c r="W1747" i="2"/>
  <c r="X1747" i="2"/>
  <c r="Y1747" i="2"/>
  <c r="AA1747" i="2"/>
  <c r="AB1747" i="2"/>
  <c r="AC1747" i="2"/>
  <c r="AD1747" i="2"/>
  <c r="AE1747" i="2"/>
  <c r="AF1747" i="2"/>
  <c r="AH1747" i="2"/>
  <c r="AI1747" i="2"/>
  <c r="AJ1747" i="2"/>
  <c r="AK1747" i="2"/>
  <c r="AL1747" i="2"/>
  <c r="AM1747" i="2"/>
  <c r="AN1747" i="2"/>
  <c r="U1748" i="2"/>
  <c r="W1748" i="2"/>
  <c r="X1748" i="2"/>
  <c r="Y1748" i="2"/>
  <c r="AA1748" i="2"/>
  <c r="AB1748" i="2"/>
  <c r="AC1748" i="2"/>
  <c r="AD1748" i="2"/>
  <c r="AE1748" i="2"/>
  <c r="AF1748" i="2"/>
  <c r="AH1748" i="2"/>
  <c r="AI1748" i="2"/>
  <c r="AJ1748" i="2"/>
  <c r="AK1748" i="2"/>
  <c r="AL1748" i="2"/>
  <c r="AM1748" i="2"/>
  <c r="AN1748" i="2"/>
  <c r="U1749" i="2"/>
  <c r="W1749" i="2"/>
  <c r="X1749" i="2"/>
  <c r="Y1749" i="2"/>
  <c r="AA1749" i="2"/>
  <c r="AB1749" i="2"/>
  <c r="AC1749" i="2"/>
  <c r="AD1749" i="2"/>
  <c r="AE1749" i="2"/>
  <c r="AF1749" i="2"/>
  <c r="AH1749" i="2"/>
  <c r="AI1749" i="2"/>
  <c r="AJ1749" i="2"/>
  <c r="AK1749" i="2"/>
  <c r="AL1749" i="2"/>
  <c r="AM1749" i="2"/>
  <c r="AN1749" i="2"/>
  <c r="U1750" i="2"/>
  <c r="V1750" i="2"/>
  <c r="X1750" i="2"/>
  <c r="Y1750" i="2"/>
  <c r="Z1750" i="2"/>
  <c r="AA1750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U1751" i="2"/>
  <c r="V1751" i="2"/>
  <c r="X1751" i="2"/>
  <c r="Y1751" i="2"/>
  <c r="Z1751" i="2"/>
  <c r="AA1751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G1752" i="2"/>
  <c r="AH1752" i="2"/>
  <c r="AI1752" i="2"/>
  <c r="AJ1752" i="2"/>
  <c r="AK1752" i="2"/>
  <c r="AL1752" i="2"/>
  <c r="AM1752" i="2"/>
  <c r="AN1752" i="2"/>
  <c r="Q1753" i="2"/>
  <c r="R1753" i="2"/>
  <c r="U1753" i="2"/>
  <c r="V1753" i="2"/>
  <c r="W1753" i="2"/>
  <c r="X1753" i="2"/>
  <c r="Y1753" i="2"/>
  <c r="Z1753" i="2"/>
  <c r="AA1753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Q1754" i="2"/>
  <c r="R1754" i="2"/>
  <c r="U1754" i="2"/>
  <c r="W1754" i="2"/>
  <c r="X1754" i="2"/>
  <c r="Y1754" i="2"/>
  <c r="Z1754" i="2"/>
  <c r="AA1754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U1755" i="2"/>
  <c r="W1755" i="2"/>
  <c r="X1755" i="2"/>
  <c r="Y1755" i="2"/>
  <c r="Z1755" i="2"/>
  <c r="AA1755" i="2"/>
  <c r="AB1755" i="2"/>
  <c r="AC1755" i="2"/>
  <c r="AE1755" i="2"/>
  <c r="AF1755" i="2"/>
  <c r="AG1755" i="2"/>
  <c r="AH1755" i="2"/>
  <c r="AI1755" i="2"/>
  <c r="AJ1755" i="2"/>
  <c r="AK1755" i="2"/>
  <c r="AL1755" i="2"/>
  <c r="AM1755" i="2"/>
  <c r="AN1755" i="2"/>
  <c r="U1756" i="2"/>
  <c r="W1756" i="2"/>
  <c r="X1756" i="2"/>
  <c r="Y1756" i="2"/>
  <c r="Z1756" i="2"/>
  <c r="AA1756" i="2"/>
  <c r="AB1756" i="2"/>
  <c r="AC1756" i="2"/>
  <c r="AE1756" i="2"/>
  <c r="AF1756" i="2"/>
  <c r="AG1756" i="2"/>
  <c r="AH1756" i="2"/>
  <c r="AI1756" i="2"/>
  <c r="AJ1756" i="2"/>
  <c r="AK1756" i="2"/>
  <c r="AL1756" i="2"/>
  <c r="AM1756" i="2"/>
  <c r="AN1756" i="2"/>
  <c r="U1757" i="2"/>
  <c r="W1757" i="2"/>
  <c r="X1757" i="2"/>
  <c r="Y1757" i="2"/>
  <c r="Z1757" i="2"/>
  <c r="AA1757" i="2"/>
  <c r="AB1757" i="2"/>
  <c r="AC1757" i="2"/>
  <c r="AE1757" i="2"/>
  <c r="AF1757" i="2"/>
  <c r="AG1757" i="2"/>
  <c r="AH1757" i="2"/>
  <c r="AI1757" i="2"/>
  <c r="AJ1757" i="2"/>
  <c r="AK1757" i="2"/>
  <c r="AL1757" i="2"/>
  <c r="AM1757" i="2"/>
  <c r="AN1757" i="2"/>
  <c r="U1758" i="2"/>
  <c r="W1758" i="2"/>
  <c r="X1758" i="2"/>
  <c r="Y1758" i="2"/>
  <c r="Z1758" i="2"/>
  <c r="AA1758" i="2"/>
  <c r="AB1758" i="2"/>
  <c r="AC1758" i="2"/>
  <c r="AE1758" i="2"/>
  <c r="AF1758" i="2"/>
  <c r="AG1758" i="2"/>
  <c r="AH1758" i="2"/>
  <c r="AI1758" i="2"/>
  <c r="AJ1758" i="2"/>
  <c r="AK1758" i="2"/>
  <c r="AL1758" i="2"/>
  <c r="AM1758" i="2"/>
  <c r="AN1758" i="2"/>
  <c r="U1759" i="2"/>
  <c r="W1759" i="2"/>
  <c r="X1759" i="2"/>
  <c r="Y1759" i="2"/>
  <c r="Z1759" i="2"/>
  <c r="AA1759" i="2"/>
  <c r="AB1759" i="2"/>
  <c r="AC1759" i="2"/>
  <c r="AE1759" i="2"/>
  <c r="AF1759" i="2"/>
  <c r="AG1759" i="2"/>
  <c r="AH1759" i="2"/>
  <c r="AI1759" i="2"/>
  <c r="AJ1759" i="2"/>
  <c r="AK1759" i="2"/>
  <c r="AL1759" i="2"/>
  <c r="AM1759" i="2"/>
  <c r="AN1759" i="2"/>
  <c r="U1760" i="2"/>
  <c r="W1760" i="2"/>
  <c r="X1760" i="2"/>
  <c r="Y1760" i="2"/>
  <c r="Z1760" i="2"/>
  <c r="AA1760" i="2"/>
  <c r="AB1760" i="2"/>
  <c r="AC1760" i="2"/>
  <c r="AE1760" i="2"/>
  <c r="AF1760" i="2"/>
  <c r="AG1760" i="2"/>
  <c r="AH1760" i="2"/>
  <c r="AI1760" i="2"/>
  <c r="AJ1760" i="2"/>
  <c r="AK1760" i="2"/>
  <c r="AL1760" i="2"/>
  <c r="AM1760" i="2"/>
  <c r="AN1760" i="2"/>
  <c r="U1761" i="2"/>
  <c r="W1761" i="2"/>
  <c r="X1761" i="2"/>
  <c r="Y1761" i="2"/>
  <c r="Z1761" i="2"/>
  <c r="AA1761" i="2"/>
  <c r="AB1761" i="2"/>
  <c r="AC1761" i="2"/>
  <c r="AE1761" i="2"/>
  <c r="AF1761" i="2"/>
  <c r="AG1761" i="2"/>
  <c r="AH1761" i="2"/>
  <c r="AI1761" i="2"/>
  <c r="AJ1761" i="2"/>
  <c r="AK1761" i="2"/>
  <c r="AL1761" i="2"/>
  <c r="AM1761" i="2"/>
  <c r="AN1761" i="2"/>
  <c r="U1762" i="2"/>
  <c r="W1762" i="2"/>
  <c r="X1762" i="2"/>
  <c r="Y1762" i="2"/>
  <c r="Z1762" i="2"/>
  <c r="AA1762" i="2"/>
  <c r="AB1762" i="2"/>
  <c r="AC1762" i="2"/>
  <c r="AE1762" i="2"/>
  <c r="AF1762" i="2"/>
  <c r="AG1762" i="2"/>
  <c r="AH1762" i="2"/>
  <c r="AI1762" i="2"/>
  <c r="AJ1762" i="2"/>
  <c r="AK1762" i="2"/>
  <c r="AL1762" i="2"/>
  <c r="AM1762" i="2"/>
  <c r="AN1762" i="2"/>
  <c r="U1763" i="2"/>
  <c r="W1763" i="2"/>
  <c r="X1763" i="2"/>
  <c r="Y1763" i="2"/>
  <c r="Z1763" i="2"/>
  <c r="AA1763" i="2"/>
  <c r="AB1763" i="2"/>
  <c r="AC1763" i="2"/>
  <c r="AE1763" i="2"/>
  <c r="AF1763" i="2"/>
  <c r="AG1763" i="2"/>
  <c r="AH1763" i="2"/>
  <c r="AI1763" i="2"/>
  <c r="AJ1763" i="2"/>
  <c r="AK1763" i="2"/>
  <c r="AL1763" i="2"/>
  <c r="AM1763" i="2"/>
  <c r="AN1763" i="2"/>
  <c r="U1764" i="2"/>
  <c r="W1764" i="2"/>
  <c r="X1764" i="2"/>
  <c r="Y1764" i="2"/>
  <c r="Z1764" i="2"/>
  <c r="AA1764" i="2"/>
  <c r="AB1764" i="2"/>
  <c r="AC1764" i="2"/>
  <c r="AE1764" i="2"/>
  <c r="AF1764" i="2"/>
  <c r="AG1764" i="2"/>
  <c r="AH1764" i="2"/>
  <c r="AI1764" i="2"/>
  <c r="AJ1764" i="2"/>
  <c r="AK1764" i="2"/>
  <c r="AL1764" i="2"/>
  <c r="AM1764" i="2"/>
  <c r="AN1764" i="2"/>
  <c r="U1765" i="2"/>
  <c r="W1765" i="2"/>
  <c r="X1765" i="2"/>
  <c r="Y1765" i="2"/>
  <c r="Z1765" i="2"/>
  <c r="AA1765" i="2"/>
  <c r="AB1765" i="2"/>
  <c r="AC1765" i="2"/>
  <c r="AE1765" i="2"/>
  <c r="AF1765" i="2"/>
  <c r="AG1765" i="2"/>
  <c r="AH1765" i="2"/>
  <c r="AI1765" i="2"/>
  <c r="AJ1765" i="2"/>
  <c r="AK1765" i="2"/>
  <c r="AL1765" i="2"/>
  <c r="AM1765" i="2"/>
  <c r="AN1765" i="2"/>
  <c r="U1766" i="2"/>
  <c r="W1766" i="2"/>
  <c r="X1766" i="2"/>
  <c r="Y1766" i="2"/>
  <c r="Z1766" i="2"/>
  <c r="AA1766" i="2"/>
  <c r="AB1766" i="2"/>
  <c r="AC1766" i="2"/>
  <c r="AE1766" i="2"/>
  <c r="AF1766" i="2"/>
  <c r="AG1766" i="2"/>
  <c r="AH1766" i="2"/>
  <c r="AI1766" i="2"/>
  <c r="AJ1766" i="2"/>
  <c r="AK1766" i="2"/>
  <c r="AL1766" i="2"/>
  <c r="AM1766" i="2"/>
  <c r="AN1766" i="2"/>
  <c r="U1767" i="2"/>
  <c r="W1767" i="2"/>
  <c r="X1767" i="2"/>
  <c r="Y1767" i="2"/>
  <c r="Z1767" i="2"/>
  <c r="AA1767" i="2"/>
  <c r="AB1767" i="2"/>
  <c r="AC1767" i="2"/>
  <c r="AE1767" i="2"/>
  <c r="AF1767" i="2"/>
  <c r="AG1767" i="2"/>
  <c r="AH1767" i="2"/>
  <c r="AI1767" i="2"/>
  <c r="AJ1767" i="2"/>
  <c r="AK1767" i="2"/>
  <c r="AL1767" i="2"/>
  <c r="AM1767" i="2"/>
  <c r="AN1767" i="2"/>
  <c r="U1768" i="2"/>
  <c r="W1768" i="2"/>
  <c r="X1768" i="2"/>
  <c r="Y1768" i="2"/>
  <c r="Z1768" i="2"/>
  <c r="AA1768" i="2"/>
  <c r="AB1768" i="2"/>
  <c r="AC1768" i="2"/>
  <c r="AE1768" i="2"/>
  <c r="AF1768" i="2"/>
  <c r="AG1768" i="2"/>
  <c r="AH1768" i="2"/>
  <c r="AI1768" i="2"/>
  <c r="AJ1768" i="2"/>
  <c r="AK1768" i="2"/>
  <c r="AL1768" i="2"/>
  <c r="AM1768" i="2"/>
  <c r="AN1768" i="2"/>
  <c r="U1769" i="2"/>
  <c r="W1769" i="2"/>
  <c r="X1769" i="2"/>
  <c r="Y1769" i="2"/>
  <c r="Z1769" i="2"/>
  <c r="AA1769" i="2"/>
  <c r="AB1769" i="2"/>
  <c r="AC1769" i="2"/>
  <c r="AE1769" i="2"/>
  <c r="AF1769" i="2"/>
  <c r="AG1769" i="2"/>
  <c r="AH1769" i="2"/>
  <c r="AI1769" i="2"/>
  <c r="AJ1769" i="2"/>
  <c r="AK1769" i="2"/>
  <c r="AL1769" i="2"/>
  <c r="AM1769" i="2"/>
  <c r="AN1769" i="2"/>
  <c r="U1770" i="2"/>
  <c r="W1770" i="2"/>
  <c r="X1770" i="2"/>
  <c r="Y1770" i="2"/>
  <c r="Z1770" i="2"/>
  <c r="AA1770" i="2"/>
  <c r="AB1770" i="2"/>
  <c r="AC1770" i="2"/>
  <c r="AE1770" i="2"/>
  <c r="AF1770" i="2"/>
  <c r="AG1770" i="2"/>
  <c r="AH1770" i="2"/>
  <c r="AI1770" i="2"/>
  <c r="AJ1770" i="2"/>
  <c r="AK1770" i="2"/>
  <c r="AL1770" i="2"/>
  <c r="AM1770" i="2"/>
  <c r="AN1770" i="2"/>
  <c r="U1771" i="2"/>
  <c r="W1771" i="2"/>
  <c r="X1771" i="2"/>
  <c r="Y1771" i="2"/>
  <c r="Z1771" i="2"/>
  <c r="AA1771" i="2"/>
  <c r="AB1771" i="2"/>
  <c r="AC1771" i="2"/>
  <c r="AE1771" i="2"/>
  <c r="AF1771" i="2"/>
  <c r="AG1771" i="2"/>
  <c r="AH1771" i="2"/>
  <c r="AI1771" i="2"/>
  <c r="AJ1771" i="2"/>
  <c r="AK1771" i="2"/>
  <c r="AL1771" i="2"/>
  <c r="AM1771" i="2"/>
  <c r="AN1771" i="2"/>
  <c r="U1772" i="2"/>
  <c r="W1772" i="2"/>
  <c r="X1772" i="2"/>
  <c r="Y1772" i="2"/>
  <c r="Z1772" i="2"/>
  <c r="AA1772" i="2"/>
  <c r="AB1772" i="2"/>
  <c r="AC1772" i="2"/>
  <c r="AE1772" i="2"/>
  <c r="AF1772" i="2"/>
  <c r="AG1772" i="2"/>
  <c r="AH1772" i="2"/>
  <c r="AI1772" i="2"/>
  <c r="AJ1772" i="2"/>
  <c r="AK1772" i="2"/>
  <c r="AL1772" i="2"/>
  <c r="AM1772" i="2"/>
  <c r="AN1772" i="2"/>
  <c r="U1773" i="2"/>
  <c r="W1773" i="2"/>
  <c r="X1773" i="2"/>
  <c r="Y1773" i="2"/>
  <c r="Z1773" i="2"/>
  <c r="AA1773" i="2"/>
  <c r="AB1773" i="2"/>
  <c r="AC1773" i="2"/>
  <c r="AE1773" i="2"/>
  <c r="AF1773" i="2"/>
  <c r="AG1773" i="2"/>
  <c r="AH1773" i="2"/>
  <c r="AI1773" i="2"/>
  <c r="AJ1773" i="2"/>
  <c r="AK1773" i="2"/>
  <c r="AL1773" i="2"/>
  <c r="AM1773" i="2"/>
  <c r="AN1773" i="2"/>
  <c r="U1774" i="2"/>
  <c r="W1774" i="2"/>
  <c r="X1774" i="2"/>
  <c r="Y1774" i="2"/>
  <c r="Z1774" i="2"/>
  <c r="AA1774" i="2"/>
  <c r="AB1774" i="2"/>
  <c r="AC1774" i="2"/>
  <c r="AE1774" i="2"/>
  <c r="AF1774" i="2"/>
  <c r="AG1774" i="2"/>
  <c r="AH1774" i="2"/>
  <c r="AI1774" i="2"/>
  <c r="AJ1774" i="2"/>
  <c r="AK1774" i="2"/>
  <c r="AL1774" i="2"/>
  <c r="AM1774" i="2"/>
  <c r="AN1774" i="2"/>
  <c r="U1775" i="2"/>
  <c r="W1775" i="2"/>
  <c r="X1775" i="2"/>
  <c r="Y1775" i="2"/>
  <c r="Z1775" i="2"/>
  <c r="AA1775" i="2"/>
  <c r="AB1775" i="2"/>
  <c r="AC1775" i="2"/>
  <c r="AE1775" i="2"/>
  <c r="AF1775" i="2"/>
  <c r="AG1775" i="2"/>
  <c r="AH1775" i="2"/>
  <c r="AI1775" i="2"/>
  <c r="AJ1775" i="2"/>
  <c r="AK1775" i="2"/>
  <c r="AL1775" i="2"/>
  <c r="AM1775" i="2"/>
  <c r="AN1775" i="2"/>
  <c r="U1776" i="2"/>
  <c r="W1776" i="2"/>
  <c r="X1776" i="2"/>
  <c r="Y1776" i="2"/>
  <c r="Z1776" i="2"/>
  <c r="AA1776" i="2"/>
  <c r="AB1776" i="2"/>
  <c r="AC1776" i="2"/>
  <c r="AE1776" i="2"/>
  <c r="AF1776" i="2"/>
  <c r="AG1776" i="2"/>
  <c r="AH1776" i="2"/>
  <c r="AI1776" i="2"/>
  <c r="AJ1776" i="2"/>
  <c r="AK1776" i="2"/>
  <c r="AL1776" i="2"/>
  <c r="AM1776" i="2"/>
  <c r="AN1776" i="2"/>
  <c r="U1777" i="2"/>
  <c r="W1777" i="2"/>
  <c r="X1777" i="2"/>
  <c r="Y1777" i="2"/>
  <c r="Z1777" i="2"/>
  <c r="AA1777" i="2"/>
  <c r="AB1777" i="2"/>
  <c r="AC1777" i="2"/>
  <c r="AE1777" i="2"/>
  <c r="AF1777" i="2"/>
  <c r="AG1777" i="2"/>
  <c r="AH1777" i="2"/>
  <c r="AI1777" i="2"/>
  <c r="AJ1777" i="2"/>
  <c r="AK1777" i="2"/>
  <c r="AL1777" i="2"/>
  <c r="AM1777" i="2"/>
  <c r="AN1777" i="2"/>
  <c r="U1778" i="2"/>
  <c r="W1778" i="2"/>
  <c r="X1778" i="2"/>
  <c r="Y1778" i="2"/>
  <c r="Z1778" i="2"/>
  <c r="AA1778" i="2"/>
  <c r="AB1778" i="2"/>
  <c r="AC1778" i="2"/>
  <c r="AE1778" i="2"/>
  <c r="AF1778" i="2"/>
  <c r="AG1778" i="2"/>
  <c r="AH1778" i="2"/>
  <c r="AI1778" i="2"/>
  <c r="AJ1778" i="2"/>
  <c r="AK1778" i="2"/>
  <c r="AL1778" i="2"/>
  <c r="AM1778" i="2"/>
  <c r="AN1778" i="2"/>
  <c r="U1779" i="2"/>
  <c r="W1779" i="2"/>
  <c r="X1779" i="2"/>
  <c r="Y1779" i="2"/>
  <c r="Z1779" i="2"/>
  <c r="AA1779" i="2"/>
  <c r="AB1779" i="2"/>
  <c r="AC1779" i="2"/>
  <c r="AE1779" i="2"/>
  <c r="AF1779" i="2"/>
  <c r="AG1779" i="2"/>
  <c r="AH1779" i="2"/>
  <c r="AI1779" i="2"/>
  <c r="AJ1779" i="2"/>
  <c r="AK1779" i="2"/>
  <c r="AL1779" i="2"/>
  <c r="AM1779" i="2"/>
  <c r="AN1779" i="2"/>
  <c r="U1780" i="2"/>
  <c r="W1780" i="2"/>
  <c r="X1780" i="2"/>
  <c r="Y1780" i="2"/>
  <c r="Z1780" i="2"/>
  <c r="AA1780" i="2"/>
  <c r="AB1780" i="2"/>
  <c r="AC1780" i="2"/>
  <c r="AE1780" i="2"/>
  <c r="AF1780" i="2"/>
  <c r="AG1780" i="2"/>
  <c r="AH1780" i="2"/>
  <c r="AI1780" i="2"/>
  <c r="AJ1780" i="2"/>
  <c r="AK1780" i="2"/>
  <c r="AL1780" i="2"/>
  <c r="AM1780" i="2"/>
  <c r="AN1780" i="2"/>
  <c r="U1781" i="2"/>
  <c r="W1781" i="2"/>
  <c r="X1781" i="2"/>
  <c r="Y1781" i="2"/>
  <c r="Z1781" i="2"/>
  <c r="AA1781" i="2"/>
  <c r="AB1781" i="2"/>
  <c r="AC1781" i="2"/>
  <c r="AE1781" i="2"/>
  <c r="AF1781" i="2"/>
  <c r="AG1781" i="2"/>
  <c r="AH1781" i="2"/>
  <c r="AI1781" i="2"/>
  <c r="AJ1781" i="2"/>
  <c r="AK1781" i="2"/>
  <c r="AL1781" i="2"/>
  <c r="AM1781" i="2"/>
  <c r="AN1781" i="2"/>
  <c r="U1782" i="2"/>
  <c r="W1782" i="2"/>
  <c r="X1782" i="2"/>
  <c r="Y1782" i="2"/>
  <c r="Z1782" i="2"/>
  <c r="AA1782" i="2"/>
  <c r="AB1782" i="2"/>
  <c r="AC1782" i="2"/>
  <c r="AE1782" i="2"/>
  <c r="AF1782" i="2"/>
  <c r="AG1782" i="2"/>
  <c r="AH1782" i="2"/>
  <c r="AI1782" i="2"/>
  <c r="AJ1782" i="2"/>
  <c r="AK1782" i="2"/>
  <c r="AL1782" i="2"/>
  <c r="AM1782" i="2"/>
  <c r="AN1782" i="2"/>
  <c r="U1783" i="2"/>
  <c r="W1783" i="2"/>
  <c r="X1783" i="2"/>
  <c r="Y1783" i="2"/>
  <c r="Z1783" i="2"/>
  <c r="AA1783" i="2"/>
  <c r="AB1783" i="2"/>
  <c r="AC1783" i="2"/>
  <c r="AE1783" i="2"/>
  <c r="AF1783" i="2"/>
  <c r="AG1783" i="2"/>
  <c r="AH1783" i="2"/>
  <c r="AI1783" i="2"/>
  <c r="AJ1783" i="2"/>
  <c r="AK1783" i="2"/>
  <c r="AL1783" i="2"/>
  <c r="AM1783" i="2"/>
  <c r="AN1783" i="2"/>
  <c r="U1784" i="2"/>
  <c r="W1784" i="2"/>
  <c r="X1784" i="2"/>
  <c r="Y1784" i="2"/>
  <c r="Z1784" i="2"/>
  <c r="AA1784" i="2"/>
  <c r="AB1784" i="2"/>
  <c r="AC1784" i="2"/>
  <c r="AE1784" i="2"/>
  <c r="AF1784" i="2"/>
  <c r="AG1784" i="2"/>
  <c r="AH1784" i="2"/>
  <c r="AI1784" i="2"/>
  <c r="AJ1784" i="2"/>
  <c r="AK1784" i="2"/>
  <c r="AL1784" i="2"/>
  <c r="AM1784" i="2"/>
  <c r="AN1784" i="2"/>
  <c r="U1785" i="2"/>
  <c r="W1785" i="2"/>
  <c r="X1785" i="2"/>
  <c r="Y1785" i="2"/>
  <c r="Z1785" i="2"/>
  <c r="AA1785" i="2"/>
  <c r="AB1785" i="2"/>
  <c r="AC1785" i="2"/>
  <c r="AE1785" i="2"/>
  <c r="AF1785" i="2"/>
  <c r="AG1785" i="2"/>
  <c r="AH1785" i="2"/>
  <c r="AI1785" i="2"/>
  <c r="AJ1785" i="2"/>
  <c r="AK1785" i="2"/>
  <c r="AL1785" i="2"/>
  <c r="AM1785" i="2"/>
  <c r="AN1785" i="2"/>
  <c r="U1786" i="2"/>
  <c r="W1786" i="2"/>
  <c r="X1786" i="2"/>
  <c r="Y1786" i="2"/>
  <c r="Z1786" i="2"/>
  <c r="AA1786" i="2"/>
  <c r="AB1786" i="2"/>
  <c r="AC1786" i="2"/>
  <c r="AE1786" i="2"/>
  <c r="AF1786" i="2"/>
  <c r="AG1786" i="2"/>
  <c r="AH1786" i="2"/>
  <c r="AI1786" i="2"/>
  <c r="AJ1786" i="2"/>
  <c r="AK1786" i="2"/>
  <c r="AL1786" i="2"/>
  <c r="AM1786" i="2"/>
  <c r="AN1786" i="2"/>
  <c r="U1787" i="2"/>
  <c r="W1787" i="2"/>
  <c r="X1787" i="2"/>
  <c r="Y1787" i="2"/>
  <c r="Z1787" i="2"/>
  <c r="AA1787" i="2"/>
  <c r="AB1787" i="2"/>
  <c r="AC1787" i="2"/>
  <c r="AE1787" i="2"/>
  <c r="AF1787" i="2"/>
  <c r="AG1787" i="2"/>
  <c r="AH1787" i="2"/>
  <c r="AI1787" i="2"/>
  <c r="AJ1787" i="2"/>
  <c r="AK1787" i="2"/>
  <c r="AL1787" i="2"/>
  <c r="AM1787" i="2"/>
  <c r="AN1787" i="2"/>
  <c r="U1788" i="2"/>
  <c r="W1788" i="2"/>
  <c r="X1788" i="2"/>
  <c r="Y1788" i="2"/>
  <c r="Z1788" i="2"/>
  <c r="AA1788" i="2"/>
  <c r="AB1788" i="2"/>
  <c r="AC1788" i="2"/>
  <c r="AE1788" i="2"/>
  <c r="AF1788" i="2"/>
  <c r="AG1788" i="2"/>
  <c r="AH1788" i="2"/>
  <c r="AI1788" i="2"/>
  <c r="AJ1788" i="2"/>
  <c r="AK1788" i="2"/>
  <c r="AL1788" i="2"/>
  <c r="AM1788" i="2"/>
  <c r="AN1788" i="2"/>
  <c r="U1789" i="2"/>
  <c r="W1789" i="2"/>
  <c r="X1789" i="2"/>
  <c r="Y1789" i="2"/>
  <c r="Z1789" i="2"/>
  <c r="AA1789" i="2"/>
  <c r="AB1789" i="2"/>
  <c r="AC1789" i="2"/>
  <c r="AE1789" i="2"/>
  <c r="AF1789" i="2"/>
  <c r="AG1789" i="2"/>
  <c r="AH1789" i="2"/>
  <c r="AI1789" i="2"/>
  <c r="AJ1789" i="2"/>
  <c r="AK1789" i="2"/>
  <c r="AL1789" i="2"/>
  <c r="AM1789" i="2"/>
  <c r="AN1789" i="2"/>
  <c r="U1790" i="2"/>
  <c r="W1790" i="2"/>
  <c r="X1790" i="2"/>
  <c r="Y1790" i="2"/>
  <c r="Z1790" i="2"/>
  <c r="AA1790" i="2"/>
  <c r="AB1790" i="2"/>
  <c r="AC1790" i="2"/>
  <c r="AE1790" i="2"/>
  <c r="AF1790" i="2"/>
  <c r="AG1790" i="2"/>
  <c r="AH1790" i="2"/>
  <c r="AI1790" i="2"/>
  <c r="AJ1790" i="2"/>
  <c r="AK1790" i="2"/>
  <c r="AL1790" i="2"/>
  <c r="AM1790" i="2"/>
  <c r="AN1790" i="2"/>
  <c r="U1791" i="2"/>
  <c r="W1791" i="2"/>
  <c r="X1791" i="2"/>
  <c r="Y1791" i="2"/>
  <c r="Z1791" i="2"/>
  <c r="AA1791" i="2"/>
  <c r="AB1791" i="2"/>
  <c r="AC1791" i="2"/>
  <c r="AE1791" i="2"/>
  <c r="AF1791" i="2"/>
  <c r="AG1791" i="2"/>
  <c r="AH1791" i="2"/>
  <c r="AI1791" i="2"/>
  <c r="AJ1791" i="2"/>
  <c r="AK1791" i="2"/>
  <c r="AL1791" i="2"/>
  <c r="AM1791" i="2"/>
  <c r="AN1791" i="2"/>
  <c r="U1792" i="2"/>
  <c r="W1792" i="2"/>
  <c r="X1792" i="2"/>
  <c r="Y1792" i="2"/>
  <c r="Z1792" i="2"/>
  <c r="AA1792" i="2"/>
  <c r="AB1792" i="2"/>
  <c r="AC1792" i="2"/>
  <c r="AE1792" i="2"/>
  <c r="AF1792" i="2"/>
  <c r="AG1792" i="2"/>
  <c r="AH1792" i="2"/>
  <c r="AI1792" i="2"/>
  <c r="AJ1792" i="2"/>
  <c r="AK1792" i="2"/>
  <c r="AL1792" i="2"/>
  <c r="AM1792" i="2"/>
  <c r="AN1792" i="2"/>
  <c r="U1793" i="2"/>
  <c r="W1793" i="2"/>
  <c r="X1793" i="2"/>
  <c r="Y1793" i="2"/>
  <c r="Z1793" i="2"/>
  <c r="AA1793" i="2"/>
  <c r="AB1793" i="2"/>
  <c r="AC1793" i="2"/>
  <c r="AE1793" i="2"/>
  <c r="AF1793" i="2"/>
  <c r="AG1793" i="2"/>
  <c r="AH1793" i="2"/>
  <c r="AI1793" i="2"/>
  <c r="AJ1793" i="2"/>
  <c r="AK1793" i="2"/>
  <c r="AL1793" i="2"/>
  <c r="AM1793" i="2"/>
  <c r="AN1793" i="2"/>
  <c r="U1794" i="2"/>
  <c r="W1794" i="2"/>
  <c r="X1794" i="2"/>
  <c r="Y1794" i="2"/>
  <c r="Z1794" i="2"/>
  <c r="AA1794" i="2"/>
  <c r="AB1794" i="2"/>
  <c r="AC1794" i="2"/>
  <c r="AE1794" i="2"/>
  <c r="AF1794" i="2"/>
  <c r="AG1794" i="2"/>
  <c r="AH1794" i="2"/>
  <c r="AI1794" i="2"/>
  <c r="AJ1794" i="2"/>
  <c r="AK1794" i="2"/>
  <c r="AL1794" i="2"/>
  <c r="AM1794" i="2"/>
  <c r="AN1794" i="2"/>
  <c r="U1795" i="2"/>
  <c r="W1795" i="2"/>
  <c r="X1795" i="2"/>
  <c r="Y1795" i="2"/>
  <c r="Z1795" i="2"/>
  <c r="AA1795" i="2"/>
  <c r="AB1795" i="2"/>
  <c r="AC1795" i="2"/>
  <c r="AE1795" i="2"/>
  <c r="AF1795" i="2"/>
  <c r="AG1795" i="2"/>
  <c r="AH1795" i="2"/>
  <c r="AI1795" i="2"/>
  <c r="AJ1795" i="2"/>
  <c r="AK1795" i="2"/>
  <c r="AL1795" i="2"/>
  <c r="AM1795" i="2"/>
  <c r="AN1795" i="2"/>
  <c r="U1796" i="2"/>
  <c r="W1796" i="2"/>
  <c r="X1796" i="2"/>
  <c r="Y1796" i="2"/>
  <c r="Z1796" i="2"/>
  <c r="AA1796" i="2"/>
  <c r="AB1796" i="2"/>
  <c r="AC1796" i="2"/>
  <c r="AE1796" i="2"/>
  <c r="AF1796" i="2"/>
  <c r="AG1796" i="2"/>
  <c r="AH1796" i="2"/>
  <c r="AI1796" i="2"/>
  <c r="AJ1796" i="2"/>
  <c r="AK1796" i="2"/>
  <c r="AL1796" i="2"/>
  <c r="AM1796" i="2"/>
  <c r="AN1796" i="2"/>
  <c r="U1797" i="2"/>
  <c r="W1797" i="2"/>
  <c r="X1797" i="2"/>
  <c r="Y1797" i="2"/>
  <c r="Z1797" i="2"/>
  <c r="AA1797" i="2"/>
  <c r="AB1797" i="2"/>
  <c r="AC1797" i="2"/>
  <c r="AE1797" i="2"/>
  <c r="AF1797" i="2"/>
  <c r="AG1797" i="2"/>
  <c r="AH1797" i="2"/>
  <c r="AI1797" i="2"/>
  <c r="AJ1797" i="2"/>
  <c r="AK1797" i="2"/>
  <c r="AL1797" i="2"/>
  <c r="AM1797" i="2"/>
  <c r="AN1797" i="2"/>
  <c r="U1798" i="2"/>
  <c r="W1798" i="2"/>
  <c r="X1798" i="2"/>
  <c r="Y1798" i="2"/>
  <c r="Z1798" i="2"/>
  <c r="AA1798" i="2"/>
  <c r="AB1798" i="2"/>
  <c r="AC1798" i="2"/>
  <c r="AE1798" i="2"/>
  <c r="AF1798" i="2"/>
  <c r="AG1798" i="2"/>
  <c r="AH1798" i="2"/>
  <c r="AI1798" i="2"/>
  <c r="AJ1798" i="2"/>
  <c r="AK1798" i="2"/>
  <c r="AL1798" i="2"/>
  <c r="AM1798" i="2"/>
  <c r="AN1798" i="2"/>
  <c r="U1799" i="2"/>
  <c r="W1799" i="2"/>
  <c r="X1799" i="2"/>
  <c r="Y1799" i="2"/>
  <c r="Z1799" i="2"/>
  <c r="AA1799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G1800" i="2"/>
  <c r="AH1800" i="2"/>
  <c r="AI1800" i="2"/>
  <c r="AJ1800" i="2"/>
  <c r="AK1800" i="2"/>
  <c r="AL1800" i="2"/>
  <c r="AM1800" i="2"/>
  <c r="AN1800" i="2"/>
  <c r="U1801" i="2"/>
  <c r="W1801" i="2"/>
  <c r="X1801" i="2"/>
  <c r="Y1801" i="2"/>
  <c r="Z1801" i="2"/>
  <c r="AA1801" i="2"/>
  <c r="AB1801" i="2"/>
  <c r="AC1801" i="2"/>
  <c r="AE1801" i="2"/>
  <c r="AF1801" i="2"/>
  <c r="AG1801" i="2"/>
  <c r="AH1801" i="2"/>
  <c r="AI1801" i="2"/>
  <c r="AJ1801" i="2"/>
  <c r="AK1801" i="2"/>
  <c r="AL1801" i="2"/>
  <c r="AM1801" i="2"/>
  <c r="AN1801" i="2"/>
  <c r="U1802" i="2"/>
  <c r="W1802" i="2"/>
  <c r="X1802" i="2"/>
  <c r="Y1802" i="2"/>
  <c r="Z1802" i="2"/>
  <c r="AA1802" i="2"/>
  <c r="AB1802" i="2"/>
  <c r="AC1802" i="2"/>
  <c r="AE1802" i="2"/>
  <c r="AF1802" i="2"/>
  <c r="AG1802" i="2"/>
  <c r="AH1802" i="2"/>
  <c r="AI1802" i="2"/>
  <c r="AJ1802" i="2"/>
  <c r="AK1802" i="2"/>
  <c r="AL1802" i="2"/>
  <c r="AM1802" i="2"/>
  <c r="AN1802" i="2"/>
  <c r="U1803" i="2"/>
  <c r="W1803" i="2"/>
  <c r="X1803" i="2"/>
  <c r="Y1803" i="2"/>
  <c r="Z1803" i="2"/>
  <c r="AA1803" i="2"/>
  <c r="AB1803" i="2"/>
  <c r="AC1803" i="2"/>
  <c r="AE1803" i="2"/>
  <c r="AF1803" i="2"/>
  <c r="AG1803" i="2"/>
  <c r="AH1803" i="2"/>
  <c r="AI1803" i="2"/>
  <c r="AJ1803" i="2"/>
  <c r="AK1803" i="2"/>
  <c r="AL1803" i="2"/>
  <c r="AM1803" i="2"/>
  <c r="AN1803" i="2"/>
  <c r="U1804" i="2"/>
  <c r="W1804" i="2"/>
  <c r="X1804" i="2"/>
  <c r="Y1804" i="2"/>
  <c r="Z1804" i="2"/>
  <c r="AA1804" i="2"/>
  <c r="AB1804" i="2"/>
  <c r="AC1804" i="2"/>
  <c r="AE1804" i="2"/>
  <c r="AF1804" i="2"/>
  <c r="AG1804" i="2"/>
  <c r="AH1804" i="2"/>
  <c r="AI1804" i="2"/>
  <c r="AJ1804" i="2"/>
  <c r="AK1804" i="2"/>
  <c r="AL1804" i="2"/>
  <c r="AM1804" i="2"/>
  <c r="AN1804" i="2"/>
  <c r="U1805" i="2"/>
  <c r="W1805" i="2"/>
  <c r="X1805" i="2"/>
  <c r="Y1805" i="2"/>
  <c r="Z1805" i="2"/>
  <c r="AA1805" i="2"/>
  <c r="AB1805" i="2"/>
  <c r="AC1805" i="2"/>
  <c r="AE1805" i="2"/>
  <c r="AF1805" i="2"/>
  <c r="AG1805" i="2"/>
  <c r="AH1805" i="2"/>
  <c r="AI1805" i="2"/>
  <c r="AJ1805" i="2"/>
  <c r="AK1805" i="2"/>
  <c r="AL1805" i="2"/>
  <c r="AM1805" i="2"/>
  <c r="AN1805" i="2"/>
  <c r="U1806" i="2"/>
  <c r="W1806" i="2"/>
  <c r="X1806" i="2"/>
  <c r="Y1806" i="2"/>
  <c r="Z1806" i="2"/>
  <c r="AA1806" i="2"/>
  <c r="AB1806" i="2"/>
  <c r="AC1806" i="2"/>
  <c r="AE1806" i="2"/>
  <c r="AF1806" i="2"/>
  <c r="AG1806" i="2"/>
  <c r="AH1806" i="2"/>
  <c r="AI1806" i="2"/>
  <c r="AJ1806" i="2"/>
  <c r="AK1806" i="2"/>
  <c r="AL1806" i="2"/>
  <c r="AM1806" i="2"/>
  <c r="AN1806" i="2"/>
  <c r="U1807" i="2"/>
  <c r="W1807" i="2"/>
  <c r="X1807" i="2"/>
  <c r="Y1807" i="2"/>
  <c r="Z1807" i="2"/>
  <c r="AA1807" i="2"/>
  <c r="AB1807" i="2"/>
  <c r="AC1807" i="2"/>
  <c r="AE1807" i="2"/>
  <c r="AF1807" i="2"/>
  <c r="AG1807" i="2"/>
  <c r="AH1807" i="2"/>
  <c r="AI1807" i="2"/>
  <c r="AJ1807" i="2"/>
  <c r="AK1807" i="2"/>
  <c r="AL1807" i="2"/>
  <c r="AM1807" i="2"/>
  <c r="AN1807" i="2"/>
  <c r="U1808" i="2"/>
  <c r="W1808" i="2"/>
  <c r="X1808" i="2"/>
  <c r="Y1808" i="2"/>
  <c r="Z1808" i="2"/>
  <c r="AA1808" i="2"/>
  <c r="AB1808" i="2"/>
  <c r="AC1808" i="2"/>
  <c r="AE1808" i="2"/>
  <c r="AF1808" i="2"/>
  <c r="AG1808" i="2"/>
  <c r="AH1808" i="2"/>
  <c r="AI1808" i="2"/>
  <c r="AJ1808" i="2"/>
  <c r="AK1808" i="2"/>
  <c r="AL1808" i="2"/>
  <c r="AM1808" i="2"/>
  <c r="AN1808" i="2"/>
  <c r="U1809" i="2"/>
  <c r="W1809" i="2"/>
  <c r="X1809" i="2"/>
  <c r="Y1809" i="2"/>
  <c r="Z1809" i="2"/>
  <c r="AA1809" i="2"/>
  <c r="AB1809" i="2"/>
  <c r="AC1809" i="2"/>
  <c r="AE1809" i="2"/>
  <c r="AF1809" i="2"/>
  <c r="AG1809" i="2"/>
  <c r="AH1809" i="2"/>
  <c r="AI1809" i="2"/>
  <c r="AJ1809" i="2"/>
  <c r="AK1809" i="2"/>
  <c r="AL1809" i="2"/>
  <c r="AM1809" i="2"/>
  <c r="AN1809" i="2"/>
  <c r="U1810" i="2"/>
  <c r="W1810" i="2"/>
  <c r="X1810" i="2"/>
  <c r="Y1810" i="2"/>
  <c r="Z1810" i="2"/>
  <c r="AA1810" i="2"/>
  <c r="AB1810" i="2"/>
  <c r="AC1810" i="2"/>
  <c r="AE1810" i="2"/>
  <c r="AF1810" i="2"/>
  <c r="AG1810" i="2"/>
  <c r="AH1810" i="2"/>
  <c r="AI1810" i="2"/>
  <c r="AJ1810" i="2"/>
  <c r="AK1810" i="2"/>
  <c r="AL1810" i="2"/>
  <c r="AM1810" i="2"/>
  <c r="AN1810" i="2"/>
  <c r="U1811" i="2"/>
  <c r="W1811" i="2"/>
  <c r="X1811" i="2"/>
  <c r="Y1811" i="2"/>
  <c r="Z1811" i="2"/>
  <c r="AA1811" i="2"/>
  <c r="AB1811" i="2"/>
  <c r="AC1811" i="2"/>
  <c r="AE1811" i="2"/>
  <c r="AF1811" i="2"/>
  <c r="AG1811" i="2"/>
  <c r="AH1811" i="2"/>
  <c r="AI1811" i="2"/>
  <c r="AJ1811" i="2"/>
  <c r="AK1811" i="2"/>
  <c r="AL1811" i="2"/>
  <c r="AM1811" i="2"/>
  <c r="AN1811" i="2"/>
  <c r="U1812" i="2"/>
  <c r="W1812" i="2"/>
  <c r="X1812" i="2"/>
  <c r="Y1812" i="2"/>
  <c r="Z1812" i="2"/>
  <c r="AA1812" i="2"/>
  <c r="AB1812" i="2"/>
  <c r="AC1812" i="2"/>
  <c r="AE1812" i="2"/>
  <c r="AF1812" i="2"/>
  <c r="AG1812" i="2"/>
  <c r="AH1812" i="2"/>
  <c r="AI1812" i="2"/>
  <c r="AJ1812" i="2"/>
  <c r="AK1812" i="2"/>
  <c r="AL1812" i="2"/>
  <c r="AM1812" i="2"/>
  <c r="AN1812" i="2"/>
  <c r="U1813" i="2"/>
  <c r="W1813" i="2"/>
  <c r="X1813" i="2"/>
  <c r="Y1813" i="2"/>
  <c r="Z1813" i="2"/>
  <c r="AA1813" i="2"/>
  <c r="AB1813" i="2"/>
  <c r="AC1813" i="2"/>
  <c r="AE1813" i="2"/>
  <c r="AF1813" i="2"/>
  <c r="AG1813" i="2"/>
  <c r="AH1813" i="2"/>
  <c r="AI1813" i="2"/>
  <c r="AJ1813" i="2"/>
  <c r="AK1813" i="2"/>
  <c r="AL1813" i="2"/>
  <c r="AM1813" i="2"/>
  <c r="AN1813" i="2"/>
  <c r="U1814" i="2"/>
  <c r="W1814" i="2"/>
  <c r="X1814" i="2"/>
  <c r="Y1814" i="2"/>
  <c r="Z1814" i="2"/>
  <c r="AA1814" i="2"/>
  <c r="AB1814" i="2"/>
  <c r="AC1814" i="2"/>
  <c r="AE1814" i="2"/>
  <c r="AF1814" i="2"/>
  <c r="AG1814" i="2"/>
  <c r="AH1814" i="2"/>
  <c r="AI1814" i="2"/>
  <c r="AJ1814" i="2"/>
  <c r="AK1814" i="2"/>
  <c r="AL1814" i="2"/>
  <c r="AM1814" i="2"/>
  <c r="AN1814" i="2"/>
  <c r="U1815" i="2"/>
  <c r="W1815" i="2"/>
  <c r="X1815" i="2"/>
  <c r="Y1815" i="2"/>
  <c r="Z1815" i="2"/>
  <c r="AA1815" i="2"/>
  <c r="AB1815" i="2"/>
  <c r="AC1815" i="2"/>
  <c r="AE1815" i="2"/>
  <c r="AF1815" i="2"/>
  <c r="AG1815" i="2"/>
  <c r="AH1815" i="2"/>
  <c r="AI1815" i="2"/>
  <c r="AJ1815" i="2"/>
  <c r="AK1815" i="2"/>
  <c r="AL1815" i="2"/>
  <c r="AM1815" i="2"/>
  <c r="AN1815" i="2"/>
  <c r="S1816" i="2"/>
  <c r="T1816" i="2"/>
  <c r="U1816" i="2"/>
  <c r="V1816" i="2"/>
  <c r="X1816" i="2"/>
  <c r="Y1816" i="2"/>
  <c r="Z1816" i="2"/>
  <c r="AA1816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N1817" i="2"/>
  <c r="S1818" i="2"/>
  <c r="T1818" i="2"/>
  <c r="U1818" i="2"/>
  <c r="W1818" i="2"/>
  <c r="X1818" i="2"/>
  <c r="Y1818" i="2"/>
  <c r="Z1818" i="2"/>
  <c r="AA1818" i="2"/>
  <c r="AB1818" i="2"/>
  <c r="AD1818" i="2"/>
  <c r="AF1818" i="2"/>
  <c r="AG1818" i="2"/>
  <c r="AH1818" i="2"/>
  <c r="AJ1818" i="2"/>
  <c r="AK1818" i="2"/>
  <c r="AL1818" i="2"/>
  <c r="AM1818" i="2"/>
  <c r="AN1818" i="2"/>
  <c r="S1819" i="2"/>
  <c r="T1819" i="2"/>
  <c r="U1819" i="2"/>
  <c r="W1819" i="2"/>
  <c r="X1819" i="2"/>
  <c r="Y1819" i="2"/>
  <c r="Z1819" i="2"/>
  <c r="AA1819" i="2"/>
  <c r="AB1819" i="2"/>
  <c r="AD1819" i="2"/>
  <c r="AF1819" i="2"/>
  <c r="AG1819" i="2"/>
  <c r="AH1819" i="2"/>
  <c r="AJ1819" i="2"/>
  <c r="AK1819" i="2"/>
  <c r="AL1819" i="2"/>
  <c r="AM1819" i="2"/>
  <c r="AN1819" i="2"/>
  <c r="AN1820" i="2"/>
  <c r="S1821" i="2"/>
  <c r="T1821" i="2"/>
  <c r="U1821" i="2"/>
  <c r="W1821" i="2"/>
  <c r="X1821" i="2"/>
  <c r="Y1821" i="2"/>
  <c r="Z1821" i="2"/>
  <c r="AA1821" i="2"/>
  <c r="AB1821" i="2"/>
  <c r="AD1821" i="2"/>
  <c r="AF1821" i="2"/>
  <c r="AG1821" i="2"/>
  <c r="AH1821" i="2"/>
  <c r="AJ1821" i="2"/>
  <c r="AK1821" i="2"/>
  <c r="AL1821" i="2"/>
  <c r="AM1821" i="2"/>
  <c r="AN1821" i="2"/>
  <c r="S1822" i="2"/>
  <c r="T1822" i="2"/>
  <c r="U1822" i="2"/>
  <c r="W1822" i="2"/>
  <c r="X1822" i="2"/>
  <c r="Y1822" i="2"/>
  <c r="Z1822" i="2"/>
  <c r="AA1822" i="2"/>
  <c r="AB1822" i="2"/>
  <c r="AD1822" i="2"/>
  <c r="AF1822" i="2"/>
  <c r="AG1822" i="2"/>
  <c r="AH1822" i="2"/>
  <c r="AJ1822" i="2"/>
  <c r="AK1822" i="2"/>
  <c r="AL1822" i="2"/>
  <c r="AM1822" i="2"/>
  <c r="AN1822" i="2"/>
  <c r="S1823" i="2"/>
  <c r="T1823" i="2"/>
  <c r="U1823" i="2"/>
  <c r="W1823" i="2"/>
  <c r="X1823" i="2"/>
  <c r="Y1823" i="2"/>
  <c r="Z1823" i="2"/>
  <c r="AA1823" i="2"/>
  <c r="AB1823" i="2"/>
  <c r="AD1823" i="2"/>
  <c r="AF1823" i="2"/>
  <c r="AG1823" i="2"/>
  <c r="AH1823" i="2"/>
  <c r="AJ1823" i="2"/>
  <c r="AK1823" i="2"/>
  <c r="AL1823" i="2"/>
  <c r="AM1823" i="2"/>
  <c r="AN1823" i="2"/>
  <c r="S1824" i="2"/>
  <c r="T1824" i="2"/>
  <c r="U1824" i="2"/>
  <c r="W1824" i="2"/>
  <c r="X1824" i="2"/>
  <c r="Y1824" i="2"/>
  <c r="Z1824" i="2"/>
  <c r="AA1824" i="2"/>
  <c r="AB1824" i="2"/>
  <c r="AD1824" i="2"/>
  <c r="AF1824" i="2"/>
  <c r="AG1824" i="2"/>
  <c r="AH1824" i="2"/>
  <c r="AJ1824" i="2"/>
  <c r="AK1824" i="2"/>
  <c r="AL1824" i="2"/>
  <c r="AM1824" i="2"/>
  <c r="AN1824" i="2"/>
  <c r="S1825" i="2"/>
  <c r="T1825" i="2"/>
  <c r="U1825" i="2"/>
  <c r="W1825" i="2"/>
  <c r="X1825" i="2"/>
  <c r="Y1825" i="2"/>
  <c r="Z1825" i="2"/>
  <c r="AA1825" i="2"/>
  <c r="AB1825" i="2"/>
  <c r="AD1825" i="2"/>
  <c r="AF1825" i="2"/>
  <c r="AG1825" i="2"/>
  <c r="AH1825" i="2"/>
  <c r="AJ1825" i="2"/>
  <c r="AK1825" i="2"/>
  <c r="AL1825" i="2"/>
  <c r="AM1825" i="2"/>
  <c r="AN1825" i="2"/>
  <c r="S1826" i="2"/>
  <c r="T1826" i="2"/>
  <c r="U1826" i="2"/>
  <c r="W1826" i="2"/>
  <c r="X1826" i="2"/>
  <c r="Y1826" i="2"/>
  <c r="Z1826" i="2"/>
  <c r="AA1826" i="2"/>
  <c r="AB1826" i="2"/>
  <c r="AD1826" i="2"/>
  <c r="AF1826" i="2"/>
  <c r="AG1826" i="2"/>
  <c r="AH1826" i="2"/>
  <c r="AJ1826" i="2"/>
  <c r="AK1826" i="2"/>
  <c r="AL1826" i="2"/>
  <c r="AM1826" i="2"/>
  <c r="AN1826" i="2"/>
  <c r="S1827" i="2"/>
  <c r="T1827" i="2"/>
  <c r="U1827" i="2"/>
  <c r="W1827" i="2"/>
  <c r="X1827" i="2"/>
  <c r="Y1827" i="2"/>
  <c r="Z1827" i="2"/>
  <c r="AA1827" i="2"/>
  <c r="AB1827" i="2"/>
  <c r="AD1827" i="2"/>
  <c r="AF1827" i="2"/>
  <c r="AG1827" i="2"/>
  <c r="AH1827" i="2"/>
  <c r="AJ1827" i="2"/>
  <c r="AK1827" i="2"/>
  <c r="AL1827" i="2"/>
  <c r="AM1827" i="2"/>
  <c r="AN1827" i="2"/>
  <c r="S1828" i="2"/>
  <c r="T1828" i="2"/>
  <c r="U1828" i="2"/>
  <c r="W1828" i="2"/>
  <c r="X1828" i="2"/>
  <c r="Y1828" i="2"/>
  <c r="Z1828" i="2"/>
  <c r="AA1828" i="2"/>
  <c r="AB1828" i="2"/>
  <c r="AD1828" i="2"/>
  <c r="AF1828" i="2"/>
  <c r="AG1828" i="2"/>
  <c r="AH1828" i="2"/>
  <c r="AJ1828" i="2"/>
  <c r="AK1828" i="2"/>
  <c r="AL1828" i="2"/>
  <c r="AM1828" i="2"/>
  <c r="AN1828" i="2"/>
  <c r="AN1829" i="2"/>
  <c r="S1830" i="2"/>
  <c r="T1830" i="2"/>
  <c r="U1830" i="2"/>
  <c r="W1830" i="2"/>
  <c r="X1830" i="2"/>
  <c r="Y1830" i="2"/>
  <c r="Z1830" i="2"/>
  <c r="AA1830" i="2"/>
  <c r="AB1830" i="2"/>
  <c r="AD1830" i="2"/>
  <c r="AF1830" i="2"/>
  <c r="AG1830" i="2"/>
  <c r="AH1830" i="2"/>
  <c r="AJ1830" i="2"/>
  <c r="AK1830" i="2"/>
  <c r="AL1830" i="2"/>
  <c r="AM1830" i="2"/>
  <c r="AN1830" i="2"/>
  <c r="S1831" i="2"/>
  <c r="T1831" i="2"/>
  <c r="U1831" i="2"/>
  <c r="W1831" i="2"/>
  <c r="X1831" i="2"/>
  <c r="Y1831" i="2"/>
  <c r="Z1831" i="2"/>
  <c r="AA1831" i="2"/>
  <c r="AB1831" i="2"/>
  <c r="AD1831" i="2"/>
  <c r="AF1831" i="2"/>
  <c r="AG1831" i="2"/>
  <c r="AH1831" i="2"/>
  <c r="AJ1831" i="2"/>
  <c r="AK1831" i="2"/>
  <c r="AL1831" i="2"/>
  <c r="AM1831" i="2"/>
  <c r="AN1831" i="2"/>
  <c r="S1832" i="2"/>
  <c r="T1832" i="2"/>
  <c r="U1832" i="2"/>
  <c r="W1832" i="2"/>
  <c r="X1832" i="2"/>
  <c r="Y1832" i="2"/>
  <c r="Z1832" i="2"/>
  <c r="AA1832" i="2"/>
  <c r="AB1832" i="2"/>
  <c r="AD1832" i="2"/>
  <c r="AF1832" i="2"/>
  <c r="AG1832" i="2"/>
  <c r="AH1832" i="2"/>
  <c r="AJ1832" i="2"/>
  <c r="AK1832" i="2"/>
  <c r="AL1832" i="2"/>
  <c r="AM1832" i="2"/>
  <c r="AN1832" i="2"/>
  <c r="S1833" i="2"/>
  <c r="T1833" i="2"/>
  <c r="U1833" i="2"/>
  <c r="W1833" i="2"/>
  <c r="X1833" i="2"/>
  <c r="Y1833" i="2"/>
  <c r="Z1833" i="2"/>
  <c r="AA1833" i="2"/>
  <c r="AB1833" i="2"/>
  <c r="AD1833" i="2"/>
  <c r="AF1833" i="2"/>
  <c r="AG1833" i="2"/>
  <c r="AH1833" i="2"/>
  <c r="AJ1833" i="2"/>
  <c r="AK1833" i="2"/>
  <c r="AL1833" i="2"/>
  <c r="AM1833" i="2"/>
  <c r="AN1833" i="2"/>
  <c r="S1834" i="2"/>
  <c r="T1834" i="2"/>
  <c r="U1834" i="2"/>
  <c r="W1834" i="2"/>
  <c r="X1834" i="2"/>
  <c r="Y1834" i="2"/>
  <c r="Z1834" i="2"/>
  <c r="AA1834" i="2"/>
  <c r="AB1834" i="2"/>
  <c r="AD1834" i="2"/>
  <c r="AF1834" i="2"/>
  <c r="AG1834" i="2"/>
  <c r="AH1834" i="2"/>
  <c r="AJ1834" i="2"/>
  <c r="AK1834" i="2"/>
  <c r="AL1834" i="2"/>
  <c r="AM1834" i="2"/>
  <c r="AN1834" i="2"/>
  <c r="AN1835" i="2"/>
  <c r="Y1836" i="2"/>
  <c r="AN1836" i="2"/>
  <c r="S1837" i="2"/>
  <c r="T1837" i="2"/>
  <c r="U1837" i="2"/>
  <c r="W1837" i="2"/>
  <c r="X1837" i="2"/>
  <c r="Y1837" i="2"/>
  <c r="Z1837" i="2"/>
  <c r="AA1837" i="2"/>
  <c r="AB1837" i="2"/>
  <c r="AD1837" i="2"/>
  <c r="AF1837" i="2"/>
  <c r="AG1837" i="2"/>
  <c r="AH1837" i="2"/>
  <c r="AJ1837" i="2"/>
  <c r="AK1837" i="2"/>
  <c r="AL1837" i="2"/>
  <c r="AM1837" i="2"/>
  <c r="AN1837" i="2"/>
  <c r="S1838" i="2"/>
  <c r="T1838" i="2"/>
  <c r="U1838" i="2"/>
  <c r="W1838" i="2"/>
  <c r="X1838" i="2"/>
  <c r="Y1838" i="2"/>
  <c r="Z1838" i="2"/>
  <c r="AA1838" i="2"/>
  <c r="AB1838" i="2"/>
  <c r="AD1838" i="2"/>
  <c r="AF1838" i="2"/>
  <c r="AG1838" i="2"/>
  <c r="AH1838" i="2"/>
  <c r="AJ1838" i="2"/>
  <c r="AK1838" i="2"/>
  <c r="AL1838" i="2"/>
  <c r="AM1838" i="2"/>
  <c r="AN1838" i="2"/>
  <c r="Y1839" i="2"/>
  <c r="AN1839" i="2"/>
  <c r="S1840" i="2"/>
  <c r="T1840" i="2"/>
  <c r="U1840" i="2"/>
  <c r="W1840" i="2"/>
  <c r="X1840" i="2"/>
  <c r="Y1840" i="2"/>
  <c r="Z1840" i="2"/>
  <c r="AA1840" i="2"/>
  <c r="AB1840" i="2"/>
  <c r="AD1840" i="2"/>
  <c r="AF1840" i="2"/>
  <c r="AG1840" i="2"/>
  <c r="AH1840" i="2"/>
  <c r="AJ1840" i="2"/>
  <c r="AK1840" i="2"/>
  <c r="AL1840" i="2"/>
  <c r="AM1840" i="2"/>
  <c r="AN1840" i="2"/>
  <c r="S1841" i="2"/>
  <c r="T1841" i="2"/>
  <c r="U1841" i="2"/>
  <c r="W1841" i="2"/>
  <c r="X1841" i="2"/>
  <c r="Y1841" i="2"/>
  <c r="Z1841" i="2"/>
  <c r="AA1841" i="2"/>
  <c r="AB1841" i="2"/>
  <c r="AD1841" i="2"/>
  <c r="AF1841" i="2"/>
  <c r="AG1841" i="2"/>
  <c r="AH1841" i="2"/>
  <c r="AJ1841" i="2"/>
  <c r="AK1841" i="2"/>
  <c r="AL1841" i="2"/>
  <c r="AM1841" i="2"/>
  <c r="AN1841" i="2"/>
  <c r="S1842" i="2"/>
  <c r="T1842" i="2"/>
  <c r="U1842" i="2"/>
  <c r="W1842" i="2"/>
  <c r="X1842" i="2"/>
  <c r="Y1842" i="2"/>
  <c r="Z1842" i="2"/>
  <c r="AA1842" i="2"/>
  <c r="AB1842" i="2"/>
  <c r="AD1842" i="2"/>
  <c r="AF1842" i="2"/>
  <c r="AG1842" i="2"/>
  <c r="AH1842" i="2"/>
  <c r="AJ1842" i="2"/>
  <c r="AK1842" i="2"/>
  <c r="AL1842" i="2"/>
  <c r="AM1842" i="2"/>
  <c r="AN1842" i="2"/>
  <c r="S1843" i="2"/>
  <c r="T1843" i="2"/>
  <c r="U1843" i="2"/>
  <c r="W1843" i="2"/>
  <c r="X1843" i="2"/>
  <c r="Y1843" i="2"/>
  <c r="Z1843" i="2"/>
  <c r="AA1843" i="2"/>
  <c r="AB1843" i="2"/>
  <c r="AD1843" i="2"/>
  <c r="AF1843" i="2"/>
  <c r="AG1843" i="2"/>
  <c r="AH1843" i="2"/>
  <c r="AJ1843" i="2"/>
  <c r="AK1843" i="2"/>
  <c r="AL1843" i="2"/>
  <c r="AM1843" i="2"/>
  <c r="AN1843" i="2"/>
  <c r="S1844" i="2"/>
  <c r="T1844" i="2"/>
  <c r="U1844" i="2"/>
  <c r="W1844" i="2"/>
  <c r="X1844" i="2"/>
  <c r="Y1844" i="2"/>
  <c r="Z1844" i="2"/>
  <c r="AA1844" i="2"/>
  <c r="AB1844" i="2"/>
  <c r="AD1844" i="2"/>
  <c r="AF1844" i="2"/>
  <c r="AG1844" i="2"/>
  <c r="AH1844" i="2"/>
  <c r="AJ1844" i="2"/>
  <c r="AK1844" i="2"/>
  <c r="AL1844" i="2"/>
  <c r="AM1844" i="2"/>
  <c r="AN1844" i="2"/>
  <c r="S1845" i="2"/>
  <c r="T1845" i="2"/>
  <c r="U1845" i="2"/>
  <c r="W1845" i="2"/>
  <c r="X1845" i="2"/>
  <c r="Y1845" i="2"/>
  <c r="Z1845" i="2"/>
  <c r="AA1845" i="2"/>
  <c r="AB1845" i="2"/>
  <c r="AD1845" i="2"/>
  <c r="AF1845" i="2"/>
  <c r="AG1845" i="2"/>
  <c r="AH1845" i="2"/>
  <c r="AJ1845" i="2"/>
  <c r="AK1845" i="2"/>
  <c r="AL1845" i="2"/>
  <c r="AM1845" i="2"/>
  <c r="AN1845" i="2"/>
  <c r="S1846" i="2"/>
  <c r="T1846" i="2"/>
  <c r="U1846" i="2"/>
  <c r="W1846" i="2"/>
  <c r="X1846" i="2"/>
  <c r="Y1846" i="2"/>
  <c r="Z1846" i="2"/>
  <c r="AA1846" i="2"/>
  <c r="AB1846" i="2"/>
  <c r="AD1846" i="2"/>
  <c r="AF1846" i="2"/>
  <c r="AG1846" i="2"/>
  <c r="AH1846" i="2"/>
  <c r="AJ1846" i="2"/>
  <c r="AK1846" i="2"/>
  <c r="AL1846" i="2"/>
  <c r="AM1846" i="2"/>
  <c r="AN1846" i="2"/>
  <c r="Y1847" i="2"/>
  <c r="AN1847" i="2"/>
  <c r="S1848" i="2"/>
  <c r="T1848" i="2"/>
  <c r="U1848" i="2"/>
  <c r="W1848" i="2"/>
  <c r="X1848" i="2"/>
  <c r="Y1848" i="2"/>
  <c r="Z1848" i="2"/>
  <c r="AA1848" i="2"/>
  <c r="AB1848" i="2"/>
  <c r="AD1848" i="2"/>
  <c r="AF1848" i="2"/>
  <c r="AG1848" i="2"/>
  <c r="AH1848" i="2"/>
  <c r="AJ1848" i="2"/>
  <c r="AK1848" i="2"/>
  <c r="AL1848" i="2"/>
  <c r="AM1848" i="2"/>
  <c r="AN1848" i="2"/>
  <c r="S1849" i="2"/>
  <c r="T1849" i="2"/>
  <c r="U1849" i="2"/>
  <c r="W1849" i="2"/>
  <c r="X1849" i="2"/>
  <c r="Y1849" i="2"/>
  <c r="Z1849" i="2"/>
  <c r="AA1849" i="2"/>
  <c r="AB1849" i="2"/>
  <c r="AD1849" i="2"/>
  <c r="AF1849" i="2"/>
  <c r="AG1849" i="2"/>
  <c r="AH1849" i="2"/>
  <c r="AJ1849" i="2"/>
  <c r="AK1849" i="2"/>
  <c r="AL1849" i="2"/>
  <c r="AM1849" i="2"/>
  <c r="AN1849" i="2"/>
  <c r="S1850" i="2"/>
  <c r="T1850" i="2"/>
  <c r="U1850" i="2"/>
  <c r="W1850" i="2"/>
  <c r="X1850" i="2"/>
  <c r="Y1850" i="2"/>
  <c r="Z1850" i="2"/>
  <c r="AA1850" i="2"/>
  <c r="AB1850" i="2"/>
  <c r="AD1850" i="2"/>
  <c r="AF1850" i="2"/>
  <c r="AG1850" i="2"/>
  <c r="AH1850" i="2"/>
  <c r="AJ1850" i="2"/>
  <c r="AK1850" i="2"/>
  <c r="AL1850" i="2"/>
  <c r="AM1850" i="2"/>
  <c r="AN1850" i="2"/>
  <c r="S1851" i="2"/>
  <c r="T1851" i="2"/>
  <c r="U1851" i="2"/>
  <c r="W1851" i="2"/>
  <c r="X1851" i="2"/>
  <c r="Y1851" i="2"/>
  <c r="Z1851" i="2"/>
  <c r="AA1851" i="2"/>
  <c r="AB1851" i="2"/>
  <c r="AD1851" i="2"/>
  <c r="AF1851" i="2"/>
  <c r="AG1851" i="2"/>
  <c r="AH1851" i="2"/>
  <c r="AJ1851" i="2"/>
  <c r="AK1851" i="2"/>
  <c r="AL1851" i="2"/>
  <c r="AM1851" i="2"/>
  <c r="AN1851" i="2"/>
  <c r="S1852" i="2"/>
  <c r="T1852" i="2"/>
  <c r="U1852" i="2"/>
  <c r="W1852" i="2"/>
  <c r="X1852" i="2"/>
  <c r="Y1852" i="2"/>
  <c r="Z1852" i="2"/>
  <c r="AA1852" i="2"/>
  <c r="AB1852" i="2"/>
  <c r="AD1852" i="2"/>
  <c r="AF1852" i="2"/>
  <c r="AG1852" i="2"/>
  <c r="AH1852" i="2"/>
  <c r="AJ1852" i="2"/>
  <c r="AK1852" i="2"/>
  <c r="AL1852" i="2"/>
  <c r="AM1852" i="2"/>
  <c r="AN1852" i="2"/>
  <c r="S1853" i="2"/>
  <c r="T1853" i="2"/>
  <c r="U1853" i="2"/>
  <c r="W1853" i="2"/>
  <c r="X1853" i="2"/>
  <c r="Y1853" i="2"/>
  <c r="Z1853" i="2"/>
  <c r="AA1853" i="2"/>
  <c r="AB1853" i="2"/>
  <c r="AD1853" i="2"/>
  <c r="AF1853" i="2"/>
  <c r="AG1853" i="2"/>
  <c r="AH1853" i="2"/>
  <c r="AJ1853" i="2"/>
  <c r="AK1853" i="2"/>
  <c r="AL1853" i="2"/>
  <c r="AM1853" i="2"/>
  <c r="AN1853" i="2"/>
  <c r="S1854" i="2"/>
  <c r="T1854" i="2"/>
  <c r="U1854" i="2"/>
  <c r="W1854" i="2"/>
  <c r="X1854" i="2"/>
  <c r="Y1854" i="2"/>
  <c r="Z1854" i="2"/>
  <c r="AA1854" i="2"/>
  <c r="AB1854" i="2"/>
  <c r="AD1854" i="2"/>
  <c r="AF1854" i="2"/>
  <c r="AG1854" i="2"/>
  <c r="AH1854" i="2"/>
  <c r="AJ1854" i="2"/>
  <c r="AK1854" i="2"/>
  <c r="AL1854" i="2"/>
  <c r="AM1854" i="2"/>
  <c r="AN1854" i="2"/>
  <c r="S1855" i="2"/>
  <c r="T1855" i="2"/>
  <c r="U1855" i="2"/>
  <c r="W1855" i="2"/>
  <c r="X1855" i="2"/>
  <c r="Y1855" i="2"/>
  <c r="Z1855" i="2"/>
  <c r="AA1855" i="2"/>
  <c r="AB1855" i="2"/>
  <c r="AD1855" i="2"/>
  <c r="AF1855" i="2"/>
  <c r="AG1855" i="2"/>
  <c r="AH1855" i="2"/>
  <c r="AJ1855" i="2"/>
  <c r="AK1855" i="2"/>
  <c r="AL1855" i="2"/>
  <c r="AM1855" i="2"/>
  <c r="AN1855" i="2"/>
  <c r="S1856" i="2"/>
  <c r="T1856" i="2"/>
  <c r="U1856" i="2"/>
  <c r="W1856" i="2"/>
  <c r="X1856" i="2"/>
  <c r="Y1856" i="2"/>
  <c r="Z1856" i="2"/>
  <c r="AA1856" i="2"/>
  <c r="AB1856" i="2"/>
  <c r="AD1856" i="2"/>
  <c r="AF1856" i="2"/>
  <c r="AG1856" i="2"/>
  <c r="AH1856" i="2"/>
  <c r="AJ1856" i="2"/>
  <c r="AK1856" i="2"/>
  <c r="AL1856" i="2"/>
  <c r="AM1856" i="2"/>
  <c r="AN1856" i="2"/>
  <c r="S1857" i="2"/>
  <c r="T1857" i="2"/>
  <c r="U1857" i="2"/>
  <c r="W1857" i="2"/>
  <c r="X1857" i="2"/>
  <c r="Y1857" i="2"/>
  <c r="Z1857" i="2"/>
  <c r="AA1857" i="2"/>
  <c r="AB1857" i="2"/>
  <c r="AD1857" i="2"/>
  <c r="AF1857" i="2"/>
  <c r="AG1857" i="2"/>
  <c r="AH1857" i="2"/>
  <c r="AJ1857" i="2"/>
  <c r="AK1857" i="2"/>
  <c r="AL1857" i="2"/>
  <c r="AM1857" i="2"/>
  <c r="AN1857" i="2"/>
  <c r="Y1858" i="2"/>
  <c r="AN1858" i="2"/>
  <c r="S1859" i="2"/>
  <c r="T1859" i="2"/>
  <c r="U1859" i="2"/>
  <c r="W1859" i="2"/>
  <c r="X1859" i="2"/>
  <c r="Y1859" i="2"/>
  <c r="Z1859" i="2"/>
  <c r="AA1859" i="2"/>
  <c r="AB1859" i="2"/>
  <c r="AD1859" i="2"/>
  <c r="AF1859" i="2"/>
  <c r="AG1859" i="2"/>
  <c r="AH1859" i="2"/>
  <c r="AJ1859" i="2"/>
  <c r="AK1859" i="2"/>
  <c r="AL1859" i="2"/>
  <c r="AM1859" i="2"/>
  <c r="AN1859" i="2"/>
  <c r="S1860" i="2"/>
  <c r="T1860" i="2"/>
  <c r="U1860" i="2"/>
  <c r="W1860" i="2"/>
  <c r="X1860" i="2"/>
  <c r="Y1860" i="2"/>
  <c r="Z1860" i="2"/>
  <c r="AA1860" i="2"/>
  <c r="AB1860" i="2"/>
  <c r="AD1860" i="2"/>
  <c r="AF1860" i="2"/>
  <c r="AG1860" i="2"/>
  <c r="AH1860" i="2"/>
  <c r="AJ1860" i="2"/>
  <c r="AK1860" i="2"/>
  <c r="AL1860" i="2"/>
  <c r="AM1860" i="2"/>
  <c r="AN1860" i="2"/>
  <c r="S1861" i="2"/>
  <c r="T1861" i="2"/>
  <c r="U1861" i="2"/>
  <c r="W1861" i="2"/>
  <c r="X1861" i="2"/>
  <c r="Y1861" i="2"/>
  <c r="Z1861" i="2"/>
  <c r="AA1861" i="2"/>
  <c r="AB1861" i="2"/>
  <c r="AD1861" i="2"/>
  <c r="AF1861" i="2"/>
  <c r="AG1861" i="2"/>
  <c r="AH1861" i="2"/>
  <c r="AJ1861" i="2"/>
  <c r="AK1861" i="2"/>
  <c r="AL1861" i="2"/>
  <c r="AM1861" i="2"/>
  <c r="AN1861" i="2"/>
  <c r="S1862" i="2"/>
  <c r="T1862" i="2"/>
  <c r="U1862" i="2"/>
  <c r="W1862" i="2"/>
  <c r="X1862" i="2"/>
  <c r="Y1862" i="2"/>
  <c r="Z1862" i="2"/>
  <c r="AA1862" i="2"/>
  <c r="AB1862" i="2"/>
  <c r="AD1862" i="2"/>
  <c r="AF1862" i="2"/>
  <c r="AG1862" i="2"/>
  <c r="AH1862" i="2"/>
  <c r="AJ1862" i="2"/>
  <c r="AK1862" i="2"/>
  <c r="AL1862" i="2"/>
  <c r="AM1862" i="2"/>
  <c r="AN1862" i="2"/>
  <c r="S1863" i="2"/>
  <c r="T1863" i="2"/>
  <c r="U1863" i="2"/>
  <c r="W1863" i="2"/>
  <c r="X1863" i="2"/>
  <c r="Y1863" i="2"/>
  <c r="Z1863" i="2"/>
  <c r="AA1863" i="2"/>
  <c r="AB1863" i="2"/>
  <c r="AD1863" i="2"/>
  <c r="AF1863" i="2"/>
  <c r="AG1863" i="2"/>
  <c r="AH1863" i="2"/>
  <c r="AJ1863" i="2"/>
  <c r="AK1863" i="2"/>
  <c r="AL1863" i="2"/>
  <c r="AM1863" i="2"/>
  <c r="AN1863" i="2"/>
  <c r="S1864" i="2"/>
  <c r="T1864" i="2"/>
  <c r="U1864" i="2"/>
  <c r="W1864" i="2"/>
  <c r="X1864" i="2"/>
  <c r="Y1864" i="2"/>
  <c r="Z1864" i="2"/>
  <c r="AA1864" i="2"/>
  <c r="AB1864" i="2"/>
  <c r="AD1864" i="2"/>
  <c r="AF1864" i="2"/>
  <c r="AG1864" i="2"/>
  <c r="AH1864" i="2"/>
  <c r="AJ1864" i="2"/>
  <c r="AK1864" i="2"/>
  <c r="AL1864" i="2"/>
  <c r="AM1864" i="2"/>
  <c r="AN1864" i="2"/>
  <c r="S1865" i="2"/>
  <c r="T1865" i="2"/>
  <c r="U1865" i="2"/>
  <c r="W1865" i="2"/>
  <c r="X1865" i="2"/>
  <c r="Y1865" i="2"/>
  <c r="Z1865" i="2"/>
  <c r="AA1865" i="2"/>
  <c r="AB1865" i="2"/>
  <c r="AD1865" i="2"/>
  <c r="AF1865" i="2"/>
  <c r="AG1865" i="2"/>
  <c r="AH1865" i="2"/>
  <c r="AJ1865" i="2"/>
  <c r="AK1865" i="2"/>
  <c r="AL1865" i="2"/>
  <c r="AM1865" i="2"/>
  <c r="AN1865" i="2"/>
  <c r="S1866" i="2"/>
  <c r="T1866" i="2"/>
  <c r="U1866" i="2"/>
  <c r="W1866" i="2"/>
  <c r="X1866" i="2"/>
  <c r="Y1866" i="2"/>
  <c r="Z1866" i="2"/>
  <c r="AA1866" i="2"/>
  <c r="AB1866" i="2"/>
  <c r="AD1866" i="2"/>
  <c r="AF1866" i="2"/>
  <c r="AG1866" i="2"/>
  <c r="AH1866" i="2"/>
  <c r="AJ1866" i="2"/>
  <c r="AK1866" i="2"/>
  <c r="AL1866" i="2"/>
  <c r="AM1866" i="2"/>
  <c r="AN1866" i="2"/>
  <c r="S1867" i="2"/>
  <c r="T1867" i="2"/>
  <c r="U1867" i="2"/>
  <c r="W1867" i="2"/>
  <c r="X1867" i="2"/>
  <c r="Y1867" i="2"/>
  <c r="Z1867" i="2"/>
  <c r="AA1867" i="2"/>
  <c r="AB1867" i="2"/>
  <c r="AD1867" i="2"/>
  <c r="AF1867" i="2"/>
  <c r="AG1867" i="2"/>
  <c r="AH1867" i="2"/>
  <c r="AJ1867" i="2"/>
  <c r="AK1867" i="2"/>
  <c r="AL1867" i="2"/>
  <c r="AM1867" i="2"/>
  <c r="AN1867" i="2"/>
  <c r="AN1868" i="2"/>
  <c r="Y1869" i="2"/>
  <c r="AN1869" i="2"/>
  <c r="Y1870" i="2"/>
  <c r="AN1870" i="2"/>
  <c r="S1871" i="2"/>
  <c r="T1871" i="2"/>
  <c r="U1871" i="2"/>
  <c r="W1871" i="2"/>
  <c r="X1871" i="2"/>
  <c r="Y1871" i="2"/>
  <c r="Z1871" i="2"/>
  <c r="AA1871" i="2"/>
  <c r="AB1871" i="2"/>
  <c r="AD1871" i="2"/>
  <c r="AE1871" i="2"/>
  <c r="AF1871" i="2"/>
  <c r="AG1871" i="2"/>
  <c r="AH1871" i="2"/>
  <c r="AJ1871" i="2"/>
  <c r="AK1871" i="2"/>
  <c r="AL1871" i="2"/>
  <c r="AM1871" i="2"/>
  <c r="AN1871" i="2"/>
  <c r="S1872" i="2"/>
  <c r="T1872" i="2"/>
  <c r="U1872" i="2"/>
  <c r="W1872" i="2"/>
  <c r="X1872" i="2"/>
  <c r="Y1872" i="2"/>
  <c r="Z1872" i="2"/>
  <c r="AA1872" i="2"/>
  <c r="AB1872" i="2"/>
  <c r="AD1872" i="2"/>
  <c r="AF1872" i="2"/>
  <c r="AG1872" i="2"/>
  <c r="AH1872" i="2"/>
  <c r="AJ1872" i="2"/>
  <c r="AK1872" i="2"/>
  <c r="AL1872" i="2"/>
  <c r="AM1872" i="2"/>
  <c r="AN1872" i="2"/>
  <c r="Y1873" i="2"/>
  <c r="AN1873" i="2"/>
  <c r="S1874" i="2"/>
  <c r="T1874" i="2"/>
  <c r="U1874" i="2"/>
  <c r="W1874" i="2"/>
  <c r="X1874" i="2"/>
  <c r="Y1874" i="2"/>
  <c r="Z1874" i="2"/>
  <c r="AA1874" i="2"/>
  <c r="AB1874" i="2"/>
  <c r="AD1874" i="2"/>
  <c r="AE1874" i="2"/>
  <c r="AF1874" i="2"/>
  <c r="AG1874" i="2"/>
  <c r="AH1874" i="2"/>
  <c r="AJ1874" i="2"/>
  <c r="AK1874" i="2"/>
  <c r="AL1874" i="2"/>
  <c r="AM1874" i="2"/>
  <c r="AN1874" i="2"/>
  <c r="S1875" i="2"/>
  <c r="T1875" i="2"/>
  <c r="U1875" i="2"/>
  <c r="W1875" i="2"/>
  <c r="X1875" i="2"/>
  <c r="Y1875" i="2"/>
  <c r="Z1875" i="2"/>
  <c r="AA1875" i="2"/>
  <c r="AB1875" i="2"/>
  <c r="AD1875" i="2"/>
  <c r="AF1875" i="2"/>
  <c r="AG1875" i="2"/>
  <c r="AH1875" i="2"/>
  <c r="AJ1875" i="2"/>
  <c r="AK1875" i="2"/>
  <c r="AL1875" i="2"/>
  <c r="AM1875" i="2"/>
  <c r="AN1875" i="2"/>
  <c r="Y1876" i="2"/>
  <c r="AN1876" i="2"/>
  <c r="S1877" i="2"/>
  <c r="T1877" i="2"/>
  <c r="U1877" i="2"/>
  <c r="W1877" i="2"/>
  <c r="X1877" i="2"/>
  <c r="Y1877" i="2"/>
  <c r="Z1877" i="2"/>
  <c r="AA1877" i="2"/>
  <c r="AB1877" i="2"/>
  <c r="AD1877" i="2"/>
  <c r="AE1877" i="2"/>
  <c r="AF1877" i="2"/>
  <c r="AG1877" i="2"/>
  <c r="AH1877" i="2"/>
  <c r="AJ1877" i="2"/>
  <c r="AK1877" i="2"/>
  <c r="AL1877" i="2"/>
  <c r="AM1877" i="2"/>
  <c r="AN1877" i="2"/>
  <c r="S1878" i="2"/>
  <c r="T1878" i="2"/>
  <c r="U1878" i="2"/>
  <c r="W1878" i="2"/>
  <c r="X1878" i="2"/>
  <c r="Y1878" i="2"/>
  <c r="Z1878" i="2"/>
  <c r="AA1878" i="2"/>
  <c r="AB1878" i="2"/>
  <c r="AD1878" i="2"/>
  <c r="AF1878" i="2"/>
  <c r="AG1878" i="2"/>
  <c r="AH1878" i="2"/>
  <c r="AJ1878" i="2"/>
  <c r="AK1878" i="2"/>
  <c r="AL1878" i="2"/>
  <c r="AM1878" i="2"/>
  <c r="AN1878" i="2"/>
  <c r="S1879" i="2"/>
  <c r="T1879" i="2"/>
  <c r="U1879" i="2"/>
  <c r="W1879" i="2"/>
  <c r="X1879" i="2"/>
  <c r="Y1879" i="2"/>
  <c r="Z1879" i="2"/>
  <c r="AA1879" i="2"/>
  <c r="AB1879" i="2"/>
  <c r="AD1879" i="2"/>
  <c r="AF1879" i="2"/>
  <c r="AG1879" i="2"/>
  <c r="AH1879" i="2"/>
  <c r="AJ1879" i="2"/>
  <c r="AK1879" i="2"/>
  <c r="AL1879" i="2"/>
  <c r="AM1879" i="2"/>
  <c r="AN1879" i="2"/>
  <c r="S1880" i="2"/>
  <c r="T1880" i="2"/>
  <c r="U1880" i="2"/>
  <c r="W1880" i="2"/>
  <c r="X1880" i="2"/>
  <c r="Y1880" i="2"/>
  <c r="Z1880" i="2"/>
  <c r="AA1880" i="2"/>
  <c r="AB1880" i="2"/>
  <c r="AD1880" i="2"/>
  <c r="AF1880" i="2"/>
  <c r="AG1880" i="2"/>
  <c r="AH1880" i="2"/>
  <c r="AJ1880" i="2"/>
  <c r="AK1880" i="2"/>
  <c r="AL1880" i="2"/>
  <c r="AM1880" i="2"/>
  <c r="AN1880" i="2"/>
  <c r="S1881" i="2"/>
  <c r="T1881" i="2"/>
  <c r="U1881" i="2"/>
  <c r="W1881" i="2"/>
  <c r="X1881" i="2"/>
  <c r="Y1881" i="2"/>
  <c r="Z1881" i="2"/>
  <c r="AA1881" i="2"/>
  <c r="AB1881" i="2"/>
  <c r="AD1881" i="2"/>
  <c r="AF1881" i="2"/>
  <c r="AG1881" i="2"/>
  <c r="AH1881" i="2"/>
  <c r="AJ1881" i="2"/>
  <c r="AK1881" i="2"/>
  <c r="AL1881" i="2"/>
  <c r="AM1881" i="2"/>
  <c r="AN1881" i="2"/>
  <c r="S1882" i="2"/>
  <c r="T1882" i="2"/>
  <c r="U1882" i="2"/>
  <c r="W1882" i="2"/>
  <c r="X1882" i="2"/>
  <c r="Y1882" i="2"/>
  <c r="Z1882" i="2"/>
  <c r="AA1882" i="2"/>
  <c r="AB1882" i="2"/>
  <c r="AD1882" i="2"/>
  <c r="AF1882" i="2"/>
  <c r="AG1882" i="2"/>
  <c r="AH1882" i="2"/>
  <c r="AJ1882" i="2"/>
  <c r="AK1882" i="2"/>
  <c r="AL1882" i="2"/>
  <c r="AM1882" i="2"/>
  <c r="AN1882" i="2"/>
  <c r="S1883" i="2"/>
  <c r="T1883" i="2"/>
  <c r="U1883" i="2"/>
  <c r="W1883" i="2"/>
  <c r="X1883" i="2"/>
  <c r="Y1883" i="2"/>
  <c r="Z1883" i="2"/>
  <c r="AA1883" i="2"/>
  <c r="AB1883" i="2"/>
  <c r="AD1883" i="2"/>
  <c r="AF1883" i="2"/>
  <c r="AG1883" i="2"/>
  <c r="AH1883" i="2"/>
  <c r="AJ1883" i="2"/>
  <c r="AK1883" i="2"/>
  <c r="AL1883" i="2"/>
  <c r="AM1883" i="2"/>
  <c r="AN1883" i="2"/>
  <c r="S1884" i="2"/>
  <c r="T1884" i="2"/>
  <c r="U1884" i="2"/>
  <c r="W1884" i="2"/>
  <c r="X1884" i="2"/>
  <c r="Y1884" i="2"/>
  <c r="Z1884" i="2"/>
  <c r="AA1884" i="2"/>
  <c r="AB1884" i="2"/>
  <c r="AD1884" i="2"/>
  <c r="AF1884" i="2"/>
  <c r="AG1884" i="2"/>
  <c r="AH1884" i="2"/>
  <c r="AJ1884" i="2"/>
  <c r="AK1884" i="2"/>
  <c r="AL1884" i="2"/>
  <c r="AM1884" i="2"/>
  <c r="AN1884" i="2"/>
  <c r="S1885" i="2"/>
  <c r="T1885" i="2"/>
  <c r="U1885" i="2"/>
  <c r="W1885" i="2"/>
  <c r="X1885" i="2"/>
  <c r="Y1885" i="2"/>
  <c r="Z1885" i="2"/>
  <c r="AA1885" i="2"/>
  <c r="AB1885" i="2"/>
  <c r="AD1885" i="2"/>
  <c r="AF1885" i="2"/>
  <c r="AG1885" i="2"/>
  <c r="AH1885" i="2"/>
  <c r="AJ1885" i="2"/>
  <c r="AK1885" i="2"/>
  <c r="AL1885" i="2"/>
  <c r="AM1885" i="2"/>
  <c r="AN1885" i="2"/>
  <c r="S1886" i="2"/>
  <c r="T1886" i="2"/>
  <c r="U1886" i="2"/>
  <c r="W1886" i="2"/>
  <c r="X1886" i="2"/>
  <c r="Y1886" i="2"/>
  <c r="Z1886" i="2"/>
  <c r="AA1886" i="2"/>
  <c r="AB1886" i="2"/>
  <c r="AD1886" i="2"/>
  <c r="AF1886" i="2"/>
  <c r="AG1886" i="2"/>
  <c r="AH1886" i="2"/>
  <c r="AJ1886" i="2"/>
  <c r="AK1886" i="2"/>
  <c r="AL1886" i="2"/>
  <c r="AM1886" i="2"/>
  <c r="AN1886" i="2"/>
  <c r="S1887" i="2"/>
  <c r="T1887" i="2"/>
  <c r="U1887" i="2"/>
  <c r="W1887" i="2"/>
  <c r="X1887" i="2"/>
  <c r="Y1887" i="2"/>
  <c r="Z1887" i="2"/>
  <c r="AA1887" i="2"/>
  <c r="AB1887" i="2"/>
  <c r="AD1887" i="2"/>
  <c r="AF1887" i="2"/>
  <c r="AG1887" i="2"/>
  <c r="AH1887" i="2"/>
  <c r="AJ1887" i="2"/>
  <c r="AK1887" i="2"/>
  <c r="AL1887" i="2"/>
  <c r="AM1887" i="2"/>
  <c r="AN1887" i="2"/>
  <c r="S1888" i="2"/>
  <c r="T1888" i="2"/>
  <c r="U1888" i="2"/>
  <c r="W1888" i="2"/>
  <c r="X1888" i="2"/>
  <c r="Y1888" i="2"/>
  <c r="Z1888" i="2"/>
  <c r="AA1888" i="2"/>
  <c r="AB1888" i="2"/>
  <c r="AD1888" i="2"/>
  <c r="AF1888" i="2"/>
  <c r="AG1888" i="2"/>
  <c r="AH1888" i="2"/>
  <c r="AJ1888" i="2"/>
  <c r="AK1888" i="2"/>
  <c r="AL1888" i="2"/>
  <c r="AM1888" i="2"/>
  <c r="AN1888" i="2"/>
  <c r="S1889" i="2"/>
  <c r="T1889" i="2"/>
  <c r="U1889" i="2"/>
  <c r="W1889" i="2"/>
  <c r="X1889" i="2"/>
  <c r="Y1889" i="2"/>
  <c r="Z1889" i="2"/>
  <c r="AA1889" i="2"/>
  <c r="AB1889" i="2"/>
  <c r="AD1889" i="2"/>
  <c r="AF1889" i="2"/>
  <c r="AG1889" i="2"/>
  <c r="AH1889" i="2"/>
  <c r="AJ1889" i="2"/>
  <c r="AK1889" i="2"/>
  <c r="AL1889" i="2"/>
  <c r="AM1889" i="2"/>
  <c r="AN1889" i="2"/>
  <c r="AN1890" i="2"/>
  <c r="Y1891" i="2"/>
  <c r="AN1891" i="2"/>
  <c r="S1892" i="2"/>
  <c r="T1892" i="2"/>
  <c r="U1892" i="2"/>
  <c r="W1892" i="2"/>
  <c r="X1892" i="2"/>
  <c r="Y1892" i="2"/>
  <c r="Z1892" i="2"/>
  <c r="AA1892" i="2"/>
  <c r="AB1892" i="2"/>
  <c r="AD1892" i="2"/>
  <c r="AF1892" i="2"/>
  <c r="AG1892" i="2"/>
  <c r="AH1892" i="2"/>
  <c r="AJ1892" i="2"/>
  <c r="AK1892" i="2"/>
  <c r="AL1892" i="2"/>
  <c r="AM1892" i="2"/>
  <c r="AN1892" i="2"/>
  <c r="S1893" i="2"/>
  <c r="T1893" i="2"/>
  <c r="U1893" i="2"/>
  <c r="W1893" i="2"/>
  <c r="X1893" i="2"/>
  <c r="Y1893" i="2"/>
  <c r="Z1893" i="2"/>
  <c r="AA1893" i="2"/>
  <c r="AB1893" i="2"/>
  <c r="AD1893" i="2"/>
  <c r="AF1893" i="2"/>
  <c r="AG1893" i="2"/>
  <c r="AH1893" i="2"/>
  <c r="AJ1893" i="2"/>
  <c r="AK1893" i="2"/>
  <c r="AL1893" i="2"/>
  <c r="AM1893" i="2"/>
  <c r="AN1893" i="2"/>
  <c r="S1894" i="2"/>
  <c r="T1894" i="2"/>
  <c r="U1894" i="2"/>
  <c r="W1894" i="2"/>
  <c r="X1894" i="2"/>
  <c r="Y1894" i="2"/>
  <c r="Z1894" i="2"/>
  <c r="AA1894" i="2"/>
  <c r="AB1894" i="2"/>
  <c r="AD1894" i="2"/>
  <c r="AF1894" i="2"/>
  <c r="AG1894" i="2"/>
  <c r="AH1894" i="2"/>
  <c r="AJ1894" i="2"/>
  <c r="AK1894" i="2"/>
  <c r="AL1894" i="2"/>
  <c r="AM1894" i="2"/>
  <c r="AN1894" i="2"/>
  <c r="S1895" i="2"/>
  <c r="T1895" i="2"/>
  <c r="U1895" i="2"/>
  <c r="W1895" i="2"/>
  <c r="X1895" i="2"/>
  <c r="Y1895" i="2"/>
  <c r="Z1895" i="2"/>
  <c r="AA1895" i="2"/>
  <c r="AB1895" i="2"/>
  <c r="AD1895" i="2"/>
  <c r="AF1895" i="2"/>
  <c r="AG1895" i="2"/>
  <c r="AH1895" i="2"/>
  <c r="AJ1895" i="2"/>
  <c r="AK1895" i="2"/>
  <c r="AL1895" i="2"/>
  <c r="AM1895" i="2"/>
  <c r="AN1895" i="2"/>
  <c r="S1896" i="2"/>
  <c r="T1896" i="2"/>
  <c r="U1896" i="2"/>
  <c r="W1896" i="2"/>
  <c r="X1896" i="2"/>
  <c r="Y1896" i="2"/>
  <c r="Z1896" i="2"/>
  <c r="AA1896" i="2"/>
  <c r="AB1896" i="2"/>
  <c r="AD1896" i="2"/>
  <c r="AF1896" i="2"/>
  <c r="AG1896" i="2"/>
  <c r="AH1896" i="2"/>
  <c r="AJ1896" i="2"/>
  <c r="AK1896" i="2"/>
  <c r="AL1896" i="2"/>
  <c r="AM1896" i="2"/>
  <c r="AN1896" i="2"/>
  <c r="AN1897" i="2"/>
  <c r="Q1898" i="2"/>
  <c r="S1898" i="2"/>
  <c r="T1898" i="2"/>
  <c r="U1898" i="2"/>
  <c r="W1898" i="2"/>
  <c r="X1898" i="2"/>
  <c r="Y1898" i="2"/>
  <c r="Z1898" i="2"/>
  <c r="AA1898" i="2"/>
  <c r="AB1898" i="2"/>
  <c r="AC1898" i="2"/>
  <c r="AD1898" i="2"/>
  <c r="AF1898" i="2"/>
  <c r="AG1898" i="2"/>
  <c r="AH1898" i="2"/>
  <c r="AI1898" i="2"/>
  <c r="AJ1898" i="2"/>
  <c r="AK1898" i="2"/>
  <c r="AL1898" i="2"/>
  <c r="AM1898" i="2"/>
  <c r="AN1898" i="2"/>
  <c r="S1899" i="2"/>
  <c r="T1899" i="2"/>
  <c r="U1899" i="2"/>
  <c r="W1899" i="2"/>
  <c r="X1899" i="2"/>
  <c r="Y1899" i="2"/>
  <c r="Z1899" i="2"/>
  <c r="AA1899" i="2"/>
  <c r="AB1899" i="2"/>
  <c r="AD1899" i="2"/>
  <c r="AF1899" i="2"/>
  <c r="AG1899" i="2"/>
  <c r="AH1899" i="2"/>
  <c r="AJ1899" i="2"/>
  <c r="AK1899" i="2"/>
  <c r="AL1899" i="2"/>
  <c r="AM1899" i="2"/>
  <c r="AN1899" i="2"/>
  <c r="S1900" i="2"/>
  <c r="T1900" i="2"/>
  <c r="U1900" i="2"/>
  <c r="W1900" i="2"/>
  <c r="X1900" i="2"/>
  <c r="Y1900" i="2"/>
  <c r="Z1900" i="2"/>
  <c r="AA1900" i="2"/>
  <c r="AB1900" i="2"/>
  <c r="AD1900" i="2"/>
  <c r="AF1900" i="2"/>
  <c r="AG1900" i="2"/>
  <c r="AH1900" i="2"/>
  <c r="AJ1900" i="2"/>
  <c r="AK1900" i="2"/>
  <c r="AL1900" i="2"/>
  <c r="AM1900" i="2"/>
  <c r="AN1900" i="2"/>
  <c r="S1901" i="2"/>
  <c r="T1901" i="2"/>
  <c r="U1901" i="2"/>
  <c r="W1901" i="2"/>
  <c r="X1901" i="2"/>
  <c r="Y1901" i="2"/>
  <c r="Z1901" i="2"/>
  <c r="AA1901" i="2"/>
  <c r="AB1901" i="2"/>
  <c r="AD1901" i="2"/>
  <c r="AF1901" i="2"/>
  <c r="AG1901" i="2"/>
  <c r="AH1901" i="2"/>
  <c r="AJ1901" i="2"/>
  <c r="AK1901" i="2"/>
  <c r="AL1901" i="2"/>
  <c r="AM1901" i="2"/>
  <c r="AN1901" i="2"/>
  <c r="S1902" i="2"/>
  <c r="T1902" i="2"/>
  <c r="U1902" i="2"/>
  <c r="W1902" i="2"/>
  <c r="X1902" i="2"/>
  <c r="Y1902" i="2"/>
  <c r="Z1902" i="2"/>
  <c r="AA1902" i="2"/>
  <c r="AB1902" i="2"/>
  <c r="AD1902" i="2"/>
  <c r="AF1902" i="2"/>
  <c r="AG1902" i="2"/>
  <c r="AH1902" i="2"/>
  <c r="AJ1902" i="2"/>
  <c r="AK1902" i="2"/>
  <c r="AL1902" i="2"/>
  <c r="AM1902" i="2"/>
  <c r="AN1902" i="2"/>
  <c r="S1903" i="2"/>
  <c r="T1903" i="2"/>
  <c r="U1903" i="2"/>
  <c r="W1903" i="2"/>
  <c r="X1903" i="2"/>
  <c r="Y1903" i="2"/>
  <c r="Z1903" i="2"/>
  <c r="AA1903" i="2"/>
  <c r="AB1903" i="2"/>
  <c r="AD1903" i="2"/>
  <c r="AF1903" i="2"/>
  <c r="AG1903" i="2"/>
  <c r="AH1903" i="2"/>
  <c r="AJ1903" i="2"/>
  <c r="AK1903" i="2"/>
  <c r="AL1903" i="2"/>
  <c r="AM1903" i="2"/>
  <c r="AN1903" i="2"/>
  <c r="Y1904" i="2"/>
  <c r="AN1904" i="2"/>
  <c r="Y1905" i="2"/>
  <c r="AN1905" i="2"/>
  <c r="S1906" i="2"/>
  <c r="T1906" i="2"/>
  <c r="U1906" i="2"/>
  <c r="W1906" i="2"/>
  <c r="X1906" i="2"/>
  <c r="Y1906" i="2"/>
  <c r="Z1906" i="2"/>
  <c r="AA1906" i="2"/>
  <c r="AB1906" i="2"/>
  <c r="AD1906" i="2"/>
  <c r="AF1906" i="2"/>
  <c r="AG1906" i="2"/>
  <c r="AH1906" i="2"/>
  <c r="AJ1906" i="2"/>
  <c r="AK1906" i="2"/>
  <c r="AL1906" i="2"/>
  <c r="AM1906" i="2"/>
  <c r="AN1906" i="2"/>
  <c r="S1907" i="2"/>
  <c r="T1907" i="2"/>
  <c r="U1907" i="2"/>
  <c r="W1907" i="2"/>
  <c r="X1907" i="2"/>
  <c r="Y1907" i="2"/>
  <c r="Z1907" i="2"/>
  <c r="AA1907" i="2"/>
  <c r="AB1907" i="2"/>
  <c r="AD1907" i="2"/>
  <c r="AF1907" i="2"/>
  <c r="AG1907" i="2"/>
  <c r="AH1907" i="2"/>
  <c r="AJ1907" i="2"/>
  <c r="AK1907" i="2"/>
  <c r="AL1907" i="2"/>
  <c r="AM1907" i="2"/>
  <c r="AN1907" i="2"/>
  <c r="Y1908" i="2"/>
  <c r="AN1908" i="2"/>
  <c r="S1909" i="2"/>
  <c r="T1909" i="2"/>
  <c r="U1909" i="2"/>
  <c r="W1909" i="2"/>
  <c r="X1909" i="2"/>
  <c r="Y1909" i="2"/>
  <c r="Z1909" i="2"/>
  <c r="AA1909" i="2"/>
  <c r="AB1909" i="2"/>
  <c r="AD1909" i="2"/>
  <c r="AF1909" i="2"/>
  <c r="AG1909" i="2"/>
  <c r="AH1909" i="2"/>
  <c r="AJ1909" i="2"/>
  <c r="AK1909" i="2"/>
  <c r="AL1909" i="2"/>
  <c r="AM1909" i="2"/>
  <c r="AN1909" i="2"/>
  <c r="S1910" i="2"/>
  <c r="T1910" i="2"/>
  <c r="U1910" i="2"/>
  <c r="W1910" i="2"/>
  <c r="X1910" i="2"/>
  <c r="Y1910" i="2"/>
  <c r="Z1910" i="2"/>
  <c r="AA1910" i="2"/>
  <c r="AB1910" i="2"/>
  <c r="AD1910" i="2"/>
  <c r="AF1910" i="2"/>
  <c r="AG1910" i="2"/>
  <c r="AH1910" i="2"/>
  <c r="AJ1910" i="2"/>
  <c r="AK1910" i="2"/>
  <c r="AL1910" i="2"/>
  <c r="AM1910" i="2"/>
  <c r="AN1910" i="2"/>
  <c r="S1911" i="2"/>
  <c r="T1911" i="2"/>
  <c r="U1911" i="2"/>
  <c r="W1911" i="2"/>
  <c r="X1911" i="2"/>
  <c r="Y1911" i="2"/>
  <c r="Z1911" i="2"/>
  <c r="AA1911" i="2"/>
  <c r="AB1911" i="2"/>
  <c r="AD1911" i="2"/>
  <c r="AF1911" i="2"/>
  <c r="AG1911" i="2"/>
  <c r="AH1911" i="2"/>
  <c r="AJ1911" i="2"/>
  <c r="AK1911" i="2"/>
  <c r="AL1911" i="2"/>
  <c r="AM1911" i="2"/>
  <c r="AN1911" i="2"/>
  <c r="S1912" i="2"/>
  <c r="T1912" i="2"/>
  <c r="U1912" i="2"/>
  <c r="W1912" i="2"/>
  <c r="X1912" i="2"/>
  <c r="Y1912" i="2"/>
  <c r="Z1912" i="2"/>
  <c r="AA1912" i="2"/>
  <c r="AB1912" i="2"/>
  <c r="AD1912" i="2"/>
  <c r="AF1912" i="2"/>
  <c r="AG1912" i="2"/>
  <c r="AH1912" i="2"/>
  <c r="AJ1912" i="2"/>
  <c r="AK1912" i="2"/>
  <c r="AL1912" i="2"/>
  <c r="AM1912" i="2"/>
  <c r="AN1912" i="2"/>
  <c r="S1913" i="2"/>
  <c r="T1913" i="2"/>
  <c r="U1913" i="2"/>
  <c r="W1913" i="2"/>
  <c r="X1913" i="2"/>
  <c r="Y1913" i="2"/>
  <c r="Z1913" i="2"/>
  <c r="AA1913" i="2"/>
  <c r="AB1913" i="2"/>
  <c r="AD1913" i="2"/>
  <c r="AF1913" i="2"/>
  <c r="AG1913" i="2"/>
  <c r="AH1913" i="2"/>
  <c r="AJ1913" i="2"/>
  <c r="AK1913" i="2"/>
  <c r="AL1913" i="2"/>
  <c r="AM1913" i="2"/>
  <c r="AN1913" i="2"/>
  <c r="U1914" i="2"/>
  <c r="W1914" i="2"/>
  <c r="Y1914" i="2"/>
  <c r="AN1914" i="2"/>
  <c r="S1915" i="2"/>
  <c r="T1915" i="2"/>
  <c r="U1915" i="2"/>
  <c r="W1915" i="2"/>
  <c r="X1915" i="2"/>
  <c r="Y1915" i="2"/>
  <c r="Z1915" i="2"/>
  <c r="AA1915" i="2"/>
  <c r="AB1915" i="2"/>
  <c r="AD1915" i="2"/>
  <c r="AF1915" i="2"/>
  <c r="AG1915" i="2"/>
  <c r="AH1915" i="2"/>
  <c r="AJ1915" i="2"/>
  <c r="AK1915" i="2"/>
  <c r="AL1915" i="2"/>
  <c r="AM1915" i="2"/>
  <c r="AN1915" i="2"/>
  <c r="S1916" i="2"/>
  <c r="T1916" i="2"/>
  <c r="U1916" i="2"/>
  <c r="W1916" i="2"/>
  <c r="X1916" i="2"/>
  <c r="Y1916" i="2"/>
  <c r="Z1916" i="2"/>
  <c r="AA1916" i="2"/>
  <c r="AB1916" i="2"/>
  <c r="AD1916" i="2"/>
  <c r="AF1916" i="2"/>
  <c r="AG1916" i="2"/>
  <c r="AH1916" i="2"/>
  <c r="AJ1916" i="2"/>
  <c r="AK1916" i="2"/>
  <c r="AL1916" i="2"/>
  <c r="AM1916" i="2"/>
  <c r="AN1916" i="2"/>
  <c r="S1917" i="2"/>
  <c r="T1917" i="2"/>
  <c r="Y1917" i="2"/>
  <c r="AH1917" i="2"/>
  <c r="AI1917" i="2"/>
  <c r="AJ1917" i="2"/>
  <c r="AK1917" i="2"/>
  <c r="AL1917" i="2"/>
  <c r="AM1917" i="2"/>
  <c r="AN1917" i="2"/>
  <c r="S1918" i="2"/>
  <c r="T1918" i="2"/>
  <c r="U1918" i="2"/>
  <c r="W1918" i="2"/>
  <c r="X1918" i="2"/>
  <c r="Y1918" i="2"/>
  <c r="AA1918" i="2"/>
  <c r="AH1918" i="2"/>
  <c r="AI1918" i="2"/>
  <c r="AJ1918" i="2"/>
  <c r="AK1918" i="2"/>
  <c r="AL1918" i="2"/>
  <c r="AM1918" i="2"/>
  <c r="AN1918" i="2"/>
  <c r="S1919" i="2"/>
  <c r="T1919" i="2"/>
  <c r="U1919" i="2"/>
  <c r="W1919" i="2"/>
  <c r="X1919" i="2"/>
  <c r="Y1919" i="2"/>
  <c r="AA1919" i="2"/>
  <c r="AH1919" i="2"/>
  <c r="AI1919" i="2"/>
  <c r="AJ1919" i="2"/>
  <c r="AK1919" i="2"/>
  <c r="AL1919" i="2"/>
  <c r="AM1919" i="2"/>
  <c r="AN1919" i="2"/>
  <c r="S1920" i="2"/>
  <c r="T1920" i="2"/>
  <c r="U1920" i="2"/>
  <c r="W1920" i="2"/>
  <c r="X1920" i="2"/>
  <c r="Y1920" i="2"/>
  <c r="AA1920" i="2"/>
  <c r="AH1920" i="2"/>
  <c r="AI1920" i="2"/>
  <c r="AJ1920" i="2"/>
  <c r="AK1920" i="2"/>
  <c r="AL1920" i="2"/>
  <c r="AM1920" i="2"/>
  <c r="AN1920" i="2"/>
  <c r="S1921" i="2"/>
  <c r="T1921" i="2"/>
  <c r="U1921" i="2"/>
  <c r="W1921" i="2"/>
  <c r="X1921" i="2"/>
  <c r="Y1921" i="2"/>
  <c r="AA1921" i="2"/>
  <c r="AB1921" i="2"/>
  <c r="AC1921" i="2"/>
  <c r="AD1921" i="2"/>
  <c r="AE1921" i="2"/>
  <c r="AF1921" i="2"/>
  <c r="AH1921" i="2"/>
  <c r="AI1921" i="2"/>
  <c r="AJ1921" i="2"/>
  <c r="AK1921" i="2"/>
  <c r="AL1921" i="2"/>
  <c r="AM1921" i="2"/>
  <c r="AN1921" i="2"/>
  <c r="S1922" i="2"/>
  <c r="T1922" i="2"/>
  <c r="AA1922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S1923" i="2"/>
  <c r="T1923" i="2"/>
  <c r="U1923" i="2"/>
  <c r="W1923" i="2"/>
  <c r="X1923" i="2"/>
  <c r="Y1923" i="2"/>
  <c r="AA1923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S1924" i="2"/>
  <c r="T1924" i="2"/>
  <c r="U1924" i="2"/>
  <c r="W1924" i="2"/>
  <c r="X1924" i="2"/>
  <c r="Y1924" i="2"/>
  <c r="AA1924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S1925" i="2"/>
  <c r="T1925" i="2"/>
  <c r="U1925" i="2"/>
  <c r="W1925" i="2"/>
  <c r="X1925" i="2"/>
  <c r="Y1925" i="2"/>
  <c r="AA1925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S1926" i="2"/>
  <c r="T1926" i="2"/>
  <c r="U1926" i="2"/>
  <c r="W1926" i="2"/>
  <c r="X1926" i="2"/>
  <c r="Y1926" i="2"/>
  <c r="AA1926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S1927" i="2"/>
  <c r="T1927" i="2"/>
  <c r="U1927" i="2"/>
  <c r="V1927" i="2"/>
  <c r="W1927" i="2"/>
  <c r="X1927" i="2"/>
  <c r="Y1927" i="2"/>
  <c r="Z1927" i="2"/>
  <c r="AA1927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S1928" i="2"/>
  <c r="T1928" i="2"/>
  <c r="Z1928" i="2"/>
  <c r="AA1928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S1929" i="2"/>
  <c r="T1929" i="2"/>
  <c r="U1929" i="2"/>
  <c r="W1929" i="2"/>
  <c r="Z1929" i="2"/>
  <c r="AA1929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S1930" i="2"/>
  <c r="T1930" i="2"/>
  <c r="W1930" i="2"/>
  <c r="Z1930" i="2"/>
  <c r="AA1930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S1931" i="2"/>
  <c r="T1931" i="2"/>
  <c r="U1931" i="2"/>
  <c r="W1931" i="2"/>
  <c r="X1931" i="2"/>
  <c r="Y1931" i="2"/>
  <c r="Z1931" i="2"/>
  <c r="AA1931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S1932" i="2"/>
  <c r="T1932" i="2"/>
  <c r="U1932" i="2"/>
  <c r="W1932" i="2"/>
  <c r="X1932" i="2"/>
  <c r="Y1932" i="2"/>
  <c r="Z1932" i="2"/>
  <c r="AA1932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S1933" i="2"/>
  <c r="T1933" i="2"/>
  <c r="U1933" i="2"/>
  <c r="W1933" i="2"/>
  <c r="X1933" i="2"/>
  <c r="Y1933" i="2"/>
  <c r="Z1933" i="2"/>
  <c r="AA1933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S1934" i="2"/>
  <c r="T1934" i="2"/>
  <c r="Z1934" i="2"/>
  <c r="AA1934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U1935" i="2"/>
  <c r="W1935" i="2"/>
  <c r="Z1935" i="2"/>
  <c r="AA1935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U1936" i="2"/>
  <c r="W1936" i="2"/>
  <c r="X1936" i="2"/>
  <c r="Y1936" i="2"/>
  <c r="Z1936" i="2"/>
  <c r="AA1936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U1937" i="2"/>
  <c r="V1937" i="2"/>
  <c r="Y1937" i="2"/>
  <c r="Z1937" i="2"/>
  <c r="AA1937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U1938" i="2"/>
  <c r="W1938" i="2"/>
  <c r="X1938" i="2"/>
  <c r="Y1938" i="2"/>
  <c r="AA1938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U1939" i="2"/>
  <c r="W1939" i="2"/>
  <c r="X1939" i="2"/>
  <c r="Y1939" i="2"/>
  <c r="AA1939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U1940" i="2"/>
  <c r="W1940" i="2"/>
  <c r="X1940" i="2"/>
  <c r="Y1940" i="2"/>
  <c r="AA1940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U1941" i="2"/>
  <c r="W1941" i="2"/>
  <c r="X1941" i="2"/>
  <c r="Y1941" i="2"/>
  <c r="AA1941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A1942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Q1943" i="2"/>
  <c r="R1943" i="2"/>
  <c r="U1943" i="2"/>
  <c r="V1943" i="2"/>
  <c r="W1943" i="2"/>
  <c r="X1943" i="2"/>
  <c r="Y1943" i="2"/>
  <c r="Z1943" i="2"/>
  <c r="AA1943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U1944" i="2"/>
  <c r="V1944" i="2"/>
  <c r="W1944" i="2"/>
  <c r="X1944" i="2"/>
  <c r="Y1944" i="2"/>
  <c r="AA1944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U1945" i="2"/>
  <c r="V1945" i="2"/>
  <c r="W1945" i="2"/>
  <c r="X1945" i="2"/>
  <c r="Y1945" i="2"/>
  <c r="AA1945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U1946" i="2"/>
  <c r="W1946" i="2"/>
  <c r="X1946" i="2"/>
  <c r="Y1946" i="2"/>
  <c r="AA1946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Q1947" i="2"/>
  <c r="R1947" i="2"/>
  <c r="U1947" i="2"/>
  <c r="V1947" i="2"/>
  <c r="W1947" i="2"/>
  <c r="X1947" i="2"/>
  <c r="Y1947" i="2"/>
  <c r="Z1947" i="2"/>
  <c r="AA1947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U1948" i="2"/>
  <c r="V1948" i="2"/>
  <c r="W1948" i="2"/>
  <c r="X1948" i="2"/>
  <c r="Y1948" i="2"/>
  <c r="AA1948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U1949" i="2"/>
  <c r="V1949" i="2"/>
  <c r="W1949" i="2"/>
  <c r="X1949" i="2"/>
  <c r="Y1949" i="2"/>
  <c r="AA1949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U1950" i="2"/>
  <c r="W1950" i="2"/>
  <c r="X1950" i="2"/>
  <c r="Y1950" i="2"/>
  <c r="AA1950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U1951" i="2"/>
  <c r="W1951" i="2"/>
  <c r="X1951" i="2"/>
  <c r="Y1951" i="2"/>
  <c r="AA1951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Q1952" i="2"/>
  <c r="R1952" i="2"/>
  <c r="U1952" i="2"/>
  <c r="V1952" i="2"/>
  <c r="W1952" i="2"/>
  <c r="X1952" i="2"/>
  <c r="Y1952" i="2"/>
  <c r="Z1952" i="2"/>
  <c r="AA1952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U1953" i="2"/>
  <c r="V1953" i="2"/>
  <c r="W1953" i="2"/>
  <c r="X1953" i="2"/>
  <c r="Y1953" i="2"/>
  <c r="AA1953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U1954" i="2"/>
  <c r="V1954" i="2"/>
  <c r="W1954" i="2"/>
  <c r="X1954" i="2"/>
  <c r="Y1954" i="2"/>
  <c r="AA1954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U1955" i="2"/>
  <c r="V1955" i="2"/>
  <c r="W1955" i="2"/>
  <c r="X1955" i="2"/>
  <c r="Y1955" i="2"/>
  <c r="AA1955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U1956" i="2"/>
  <c r="W1956" i="2"/>
  <c r="X1956" i="2"/>
  <c r="Y1956" i="2"/>
  <c r="AA1956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U1957" i="2"/>
  <c r="V1957" i="2"/>
  <c r="Y1957" i="2"/>
  <c r="Z1957" i="2"/>
  <c r="AA1957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E1958" i="2"/>
  <c r="AF1958" i="2"/>
  <c r="AG1958" i="2"/>
  <c r="AH1958" i="2"/>
  <c r="AI1958" i="2"/>
  <c r="AJ1958" i="2"/>
  <c r="AK1958" i="2"/>
  <c r="AL1958" i="2"/>
  <c r="AM1958" i="2"/>
  <c r="AN1958" i="2"/>
  <c r="U1959" i="2"/>
  <c r="W1959" i="2"/>
  <c r="X1959" i="2"/>
  <c r="Y1959" i="2"/>
  <c r="Z1959" i="2"/>
  <c r="AA1959" i="2"/>
  <c r="AB1959" i="2"/>
  <c r="AE1959" i="2"/>
  <c r="AF1959" i="2"/>
  <c r="AG1959" i="2"/>
  <c r="AH1959" i="2"/>
  <c r="AI1959" i="2"/>
  <c r="AJ1959" i="2"/>
  <c r="AK1959" i="2"/>
  <c r="AL1959" i="2"/>
  <c r="AM1959" i="2"/>
  <c r="AN1959" i="2"/>
  <c r="Y1960" i="2"/>
  <c r="AH1960" i="2"/>
  <c r="AI1960" i="2"/>
  <c r="AJ1960" i="2"/>
  <c r="AK1960" i="2"/>
  <c r="AL1960" i="2"/>
  <c r="AM1960" i="2"/>
  <c r="AN1960" i="2"/>
  <c r="U1961" i="2"/>
  <c r="W1961" i="2"/>
  <c r="X1961" i="2"/>
  <c r="Y1961" i="2"/>
  <c r="Z1961" i="2"/>
  <c r="AA1961" i="2"/>
  <c r="AB1961" i="2"/>
  <c r="AE1961" i="2"/>
  <c r="AF1961" i="2"/>
  <c r="AG1961" i="2"/>
  <c r="AH1961" i="2"/>
  <c r="AI1961" i="2"/>
  <c r="AJ1961" i="2"/>
  <c r="AK1961" i="2"/>
  <c r="AL1961" i="2"/>
  <c r="AM1961" i="2"/>
  <c r="AN1961" i="2"/>
  <c r="Y1962" i="2"/>
  <c r="AH1962" i="2"/>
  <c r="AI1962" i="2"/>
  <c r="AJ1962" i="2"/>
  <c r="AK1962" i="2"/>
  <c r="AL1962" i="2"/>
  <c r="AM1962" i="2"/>
  <c r="AN1962" i="2"/>
  <c r="U1963" i="2"/>
  <c r="W1963" i="2"/>
  <c r="X1963" i="2"/>
  <c r="Y1963" i="2"/>
  <c r="Z1963" i="2"/>
  <c r="AA1963" i="2"/>
  <c r="AB1963" i="2"/>
  <c r="AE1963" i="2"/>
  <c r="AF1963" i="2"/>
  <c r="AG1963" i="2"/>
  <c r="AH1963" i="2"/>
  <c r="AI1963" i="2"/>
  <c r="AJ1963" i="2"/>
  <c r="AK1963" i="2"/>
  <c r="AL1963" i="2"/>
  <c r="AM1963" i="2"/>
  <c r="AN1963" i="2"/>
  <c r="U1964" i="2"/>
  <c r="W1964" i="2"/>
  <c r="X1964" i="2"/>
  <c r="Y1964" i="2"/>
  <c r="Z1964" i="2"/>
  <c r="AA1964" i="2"/>
  <c r="AB1964" i="2"/>
  <c r="AE1964" i="2"/>
  <c r="AF1964" i="2"/>
  <c r="AG1964" i="2"/>
  <c r="AH1964" i="2"/>
  <c r="AI1964" i="2"/>
  <c r="AJ1964" i="2"/>
  <c r="AK1964" i="2"/>
  <c r="AL1964" i="2"/>
  <c r="AM1964" i="2"/>
  <c r="AN1964" i="2"/>
  <c r="U1965" i="2"/>
  <c r="W1965" i="2"/>
  <c r="X1965" i="2"/>
  <c r="Y1965" i="2"/>
  <c r="Z1965" i="2"/>
  <c r="AA1965" i="2"/>
  <c r="AB1965" i="2"/>
  <c r="AE1965" i="2"/>
  <c r="AF1965" i="2"/>
  <c r="AG1965" i="2"/>
  <c r="AH1965" i="2"/>
  <c r="AI1965" i="2"/>
  <c r="AJ1965" i="2"/>
  <c r="AK1965" i="2"/>
  <c r="AL1965" i="2"/>
  <c r="AM1965" i="2"/>
  <c r="AN1965" i="2"/>
  <c r="U1966" i="2"/>
  <c r="W1966" i="2"/>
  <c r="X1966" i="2"/>
  <c r="Y1966" i="2"/>
  <c r="Z1966" i="2"/>
  <c r="AA1966" i="2"/>
  <c r="AB1966" i="2"/>
  <c r="AE1966" i="2"/>
  <c r="AF1966" i="2"/>
  <c r="AG1966" i="2"/>
  <c r="AH1966" i="2"/>
  <c r="AI1966" i="2"/>
  <c r="AJ1966" i="2"/>
  <c r="AK1966" i="2"/>
  <c r="AL1966" i="2"/>
  <c r="AM1966" i="2"/>
  <c r="AN1966" i="2"/>
  <c r="U1967" i="2"/>
  <c r="W1967" i="2"/>
  <c r="X1967" i="2"/>
  <c r="Y1967" i="2"/>
  <c r="Z1967" i="2"/>
  <c r="AA1967" i="2"/>
  <c r="AB1967" i="2"/>
  <c r="AE1967" i="2"/>
  <c r="AF1967" i="2"/>
  <c r="AG1967" i="2"/>
  <c r="AH1967" i="2"/>
  <c r="AI1967" i="2"/>
  <c r="AJ1967" i="2"/>
  <c r="AK1967" i="2"/>
  <c r="AL1967" i="2"/>
  <c r="AM1967" i="2"/>
  <c r="AN1967" i="2"/>
  <c r="U1968" i="2"/>
  <c r="W1968" i="2"/>
  <c r="X1968" i="2"/>
  <c r="Y1968" i="2"/>
  <c r="Z1968" i="2"/>
  <c r="AA1968" i="2"/>
  <c r="AB1968" i="2"/>
  <c r="AE1968" i="2"/>
  <c r="AF1968" i="2"/>
  <c r="AG1968" i="2"/>
  <c r="AH1968" i="2"/>
  <c r="AI1968" i="2"/>
  <c r="AJ1968" i="2"/>
  <c r="AK1968" i="2"/>
  <c r="AL1968" i="2"/>
  <c r="AM1968" i="2"/>
  <c r="AN1968" i="2"/>
  <c r="U1969" i="2"/>
  <c r="W1969" i="2"/>
  <c r="X1969" i="2"/>
  <c r="Y1969" i="2"/>
  <c r="Z1969" i="2"/>
  <c r="AA1969" i="2"/>
  <c r="AB1969" i="2"/>
  <c r="AE1969" i="2"/>
  <c r="AF1969" i="2"/>
  <c r="AG1969" i="2"/>
  <c r="AH1969" i="2"/>
  <c r="AI1969" i="2"/>
  <c r="AJ1969" i="2"/>
  <c r="AK1969" i="2"/>
  <c r="AL1969" i="2"/>
  <c r="AM1969" i="2"/>
  <c r="AN1969" i="2"/>
  <c r="Y1970" i="2"/>
  <c r="AH1970" i="2"/>
  <c r="AI1970" i="2"/>
  <c r="AJ1970" i="2"/>
  <c r="AK1970" i="2"/>
  <c r="AL1970" i="2"/>
  <c r="AM1970" i="2"/>
  <c r="AN1970" i="2"/>
  <c r="U1971" i="2"/>
  <c r="W1971" i="2"/>
  <c r="X1971" i="2"/>
  <c r="Y1971" i="2"/>
  <c r="Z1971" i="2"/>
  <c r="AA1971" i="2"/>
  <c r="AB1971" i="2"/>
  <c r="AE1971" i="2"/>
  <c r="AF1971" i="2"/>
  <c r="AG1971" i="2"/>
  <c r="AH1971" i="2"/>
  <c r="AI1971" i="2"/>
  <c r="AJ1971" i="2"/>
  <c r="AK1971" i="2"/>
  <c r="AL1971" i="2"/>
  <c r="AM1971" i="2"/>
  <c r="AN1971" i="2"/>
  <c r="U1972" i="2"/>
  <c r="W1972" i="2"/>
  <c r="X1972" i="2"/>
  <c r="Y1972" i="2"/>
  <c r="Z1972" i="2"/>
  <c r="AA1972" i="2"/>
  <c r="AB1972" i="2"/>
  <c r="AE1972" i="2"/>
  <c r="AF1972" i="2"/>
  <c r="AG1972" i="2"/>
  <c r="AH1972" i="2"/>
  <c r="AI1972" i="2"/>
  <c r="AJ1972" i="2"/>
  <c r="AK1972" i="2"/>
  <c r="AL1972" i="2"/>
  <c r="AM1972" i="2"/>
  <c r="AN1972" i="2"/>
  <c r="U1973" i="2"/>
  <c r="W1973" i="2"/>
  <c r="X1973" i="2"/>
  <c r="Y1973" i="2"/>
  <c r="Z1973" i="2"/>
  <c r="AA1973" i="2"/>
  <c r="AB1973" i="2"/>
  <c r="AE1973" i="2"/>
  <c r="AF1973" i="2"/>
  <c r="AG1973" i="2"/>
  <c r="AH1973" i="2"/>
  <c r="AI1973" i="2"/>
  <c r="AJ1973" i="2"/>
  <c r="AK1973" i="2"/>
  <c r="AL1973" i="2"/>
  <c r="AM1973" i="2"/>
  <c r="AN1973" i="2"/>
  <c r="U1974" i="2"/>
  <c r="W1974" i="2"/>
  <c r="X1974" i="2"/>
  <c r="Y1974" i="2"/>
  <c r="Z1974" i="2"/>
  <c r="AA1974" i="2"/>
  <c r="AB1974" i="2"/>
  <c r="AE1974" i="2"/>
  <c r="AF1974" i="2"/>
  <c r="AG1974" i="2"/>
  <c r="AH1974" i="2"/>
  <c r="AI1974" i="2"/>
  <c r="AJ1974" i="2"/>
  <c r="AK1974" i="2"/>
  <c r="AL1974" i="2"/>
  <c r="AM1974" i="2"/>
  <c r="AN1974" i="2"/>
  <c r="U1975" i="2"/>
  <c r="W1975" i="2"/>
  <c r="X1975" i="2"/>
  <c r="Y1975" i="2"/>
  <c r="Z1975" i="2"/>
  <c r="AA1975" i="2"/>
  <c r="AB1975" i="2"/>
  <c r="AE1975" i="2"/>
  <c r="AF1975" i="2"/>
  <c r="AG1975" i="2"/>
  <c r="AH1975" i="2"/>
  <c r="AI1975" i="2"/>
  <c r="AJ1975" i="2"/>
  <c r="AK1975" i="2"/>
  <c r="AL1975" i="2"/>
  <c r="AM1975" i="2"/>
  <c r="AN1975" i="2"/>
  <c r="Y1976" i="2"/>
  <c r="AH1976" i="2"/>
  <c r="AI1976" i="2"/>
  <c r="AJ1976" i="2"/>
  <c r="AK1976" i="2"/>
  <c r="AL1976" i="2"/>
  <c r="AM1976" i="2"/>
  <c r="AN1976" i="2"/>
  <c r="U1977" i="2"/>
  <c r="W1977" i="2"/>
  <c r="X1977" i="2"/>
  <c r="Y1977" i="2"/>
  <c r="Z1977" i="2"/>
  <c r="AA1977" i="2"/>
  <c r="AB1977" i="2"/>
  <c r="AE1977" i="2"/>
  <c r="AF1977" i="2"/>
  <c r="AG1977" i="2"/>
  <c r="AH1977" i="2"/>
  <c r="AI1977" i="2"/>
  <c r="AJ1977" i="2"/>
  <c r="AK1977" i="2"/>
  <c r="AL1977" i="2"/>
  <c r="AM1977" i="2"/>
  <c r="AN1977" i="2"/>
  <c r="U1978" i="2"/>
  <c r="W1978" i="2"/>
  <c r="X1978" i="2"/>
  <c r="Y1978" i="2"/>
  <c r="Z1978" i="2"/>
  <c r="AA1978" i="2"/>
  <c r="AB1978" i="2"/>
  <c r="AE1978" i="2"/>
  <c r="AF1978" i="2"/>
  <c r="AG1978" i="2"/>
  <c r="AH1978" i="2"/>
  <c r="AI1978" i="2"/>
  <c r="AJ1978" i="2"/>
  <c r="AK1978" i="2"/>
  <c r="AL1978" i="2"/>
  <c r="AM1978" i="2"/>
  <c r="AN1978" i="2"/>
  <c r="U1979" i="2"/>
  <c r="W1979" i="2"/>
  <c r="X1979" i="2"/>
  <c r="Y1979" i="2"/>
  <c r="Z1979" i="2"/>
  <c r="AA1979" i="2"/>
  <c r="AB1979" i="2"/>
  <c r="AE1979" i="2"/>
  <c r="AF1979" i="2"/>
  <c r="AG1979" i="2"/>
  <c r="AH1979" i="2"/>
  <c r="AI1979" i="2"/>
  <c r="AJ1979" i="2"/>
  <c r="AK1979" i="2"/>
  <c r="AL1979" i="2"/>
  <c r="AM1979" i="2"/>
  <c r="AN1979" i="2"/>
  <c r="U1980" i="2"/>
  <c r="W1980" i="2"/>
  <c r="X1980" i="2"/>
  <c r="Y1980" i="2"/>
  <c r="Z1980" i="2"/>
  <c r="AA1980" i="2"/>
  <c r="AB1980" i="2"/>
  <c r="AE1980" i="2"/>
  <c r="AF1980" i="2"/>
  <c r="AG1980" i="2"/>
  <c r="AH1980" i="2"/>
  <c r="AI1980" i="2"/>
  <c r="AJ1980" i="2"/>
  <c r="AK1980" i="2"/>
  <c r="AL1980" i="2"/>
  <c r="AM1980" i="2"/>
  <c r="AN1980" i="2"/>
  <c r="U1981" i="2"/>
  <c r="W1981" i="2"/>
  <c r="X1981" i="2"/>
  <c r="Y1981" i="2"/>
  <c r="Z1981" i="2"/>
  <c r="AA1981" i="2"/>
  <c r="AB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U1984" i="2"/>
  <c r="W1984" i="2"/>
  <c r="X1984" i="2"/>
  <c r="Y1984" i="2"/>
  <c r="AA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U1985" i="2"/>
  <c r="W1985" i="2"/>
  <c r="X1985" i="2"/>
  <c r="Y1985" i="2"/>
  <c r="AA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U1987" i="2"/>
  <c r="W1987" i="2"/>
  <c r="X1987" i="2"/>
  <c r="Y1987" i="2"/>
  <c r="AA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U1988" i="2"/>
  <c r="W1988" i="2"/>
  <c r="X1988" i="2"/>
  <c r="Y1988" i="2"/>
  <c r="AA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U1989" i="2"/>
  <c r="W1989" i="2"/>
  <c r="X1989" i="2"/>
  <c r="Y1989" i="2"/>
  <c r="AA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U1990" i="2"/>
  <c r="W1990" i="2"/>
  <c r="X1990" i="2"/>
  <c r="Y1990" i="2"/>
  <c r="AA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S1991" i="2"/>
  <c r="T1991" i="2"/>
  <c r="U1991" i="2"/>
  <c r="W1991" i="2"/>
  <c r="X1991" i="2"/>
  <c r="Y1991" i="2"/>
  <c r="AA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S1992" i="2"/>
  <c r="T1992" i="2"/>
  <c r="U1992" i="2"/>
  <c r="W1992" i="2"/>
  <c r="X1992" i="2"/>
  <c r="Y1992" i="2"/>
  <c r="AA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U1993" i="2"/>
  <c r="W1993" i="2"/>
  <c r="X1993" i="2"/>
  <c r="Y1993" i="2"/>
  <c r="AA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U1995" i="2"/>
  <c r="V1995" i="2"/>
  <c r="W1995" i="2"/>
  <c r="X1995" i="2"/>
  <c r="Y1995" i="2"/>
  <c r="Z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U1996" i="2"/>
  <c r="V1996" i="2"/>
  <c r="W1996" i="2"/>
  <c r="X1996" i="2"/>
  <c r="Y1996" i="2"/>
  <c r="Z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U1997" i="2"/>
  <c r="V1997" i="2"/>
  <c r="W1997" i="2"/>
  <c r="X1997" i="2"/>
  <c r="Y1997" i="2"/>
  <c r="Z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U1998" i="2"/>
  <c r="V1998" i="2"/>
  <c r="W1998" i="2"/>
  <c r="X1998" i="2"/>
  <c r="Y1998" i="2"/>
  <c r="Z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U1999" i="2"/>
  <c r="V1999" i="2"/>
  <c r="W1999" i="2"/>
  <c r="X1999" i="2"/>
  <c r="Y1999" i="2"/>
  <c r="Z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U2000" i="2"/>
  <c r="V2000" i="2"/>
  <c r="W2000" i="2"/>
  <c r="X2000" i="2"/>
  <c r="Y2000" i="2"/>
  <c r="Z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U2001" i="2"/>
  <c r="V2001" i="2"/>
  <c r="W2001" i="2"/>
  <c r="X2001" i="2"/>
  <c r="Y2001" i="2"/>
  <c r="Z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S2002" i="2"/>
  <c r="T2002" i="2"/>
  <c r="U2002" i="2"/>
  <c r="V2002" i="2"/>
  <c r="W2002" i="2"/>
  <c r="X2002" i="2"/>
  <c r="Y2002" i="2"/>
  <c r="Z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U2004" i="2"/>
  <c r="W2004" i="2"/>
  <c r="X2004" i="2"/>
  <c r="Y2004" i="2"/>
  <c r="Z2004" i="2"/>
  <c r="AA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Y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U2006" i="2"/>
  <c r="W2006" i="2"/>
  <c r="X2006" i="2"/>
  <c r="Y2006" i="2"/>
  <c r="Z2006" i="2"/>
  <c r="AA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U2007" i="2"/>
  <c r="W2007" i="2"/>
  <c r="X2007" i="2"/>
  <c r="Y2007" i="2"/>
  <c r="Z2007" i="2"/>
  <c r="AA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U2008" i="2"/>
  <c r="W2008" i="2"/>
  <c r="X2008" i="2"/>
  <c r="Y2008" i="2"/>
  <c r="Z2008" i="2"/>
  <c r="AA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U2009" i="2"/>
  <c r="W2009" i="2"/>
  <c r="X2009" i="2"/>
  <c r="Y2009" i="2"/>
  <c r="Z2009" i="2"/>
  <c r="AA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U2010" i="2"/>
  <c r="W2010" i="2"/>
  <c r="X2010" i="2"/>
  <c r="Y2010" i="2"/>
  <c r="Z2010" i="2"/>
  <c r="AA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Y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U2012" i="2"/>
  <c r="W2012" i="2"/>
  <c r="X2012" i="2"/>
  <c r="Y2012" i="2"/>
  <c r="Z2012" i="2"/>
  <c r="AA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U2013" i="2"/>
  <c r="W2013" i="2"/>
  <c r="X2013" i="2"/>
  <c r="Y2013" i="2"/>
  <c r="Z2013" i="2"/>
  <c r="AA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U2014" i="2"/>
  <c r="W2014" i="2"/>
  <c r="X2014" i="2"/>
  <c r="Y2014" i="2"/>
  <c r="Z2014" i="2"/>
  <c r="AA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U2015" i="2"/>
  <c r="W2015" i="2"/>
  <c r="X2015" i="2"/>
  <c r="Y2015" i="2"/>
  <c r="Z2015" i="2"/>
  <c r="AA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U2016" i="2"/>
  <c r="W2016" i="2"/>
  <c r="X2016" i="2"/>
  <c r="Y2016" i="2"/>
  <c r="Z2016" i="2"/>
  <c r="AA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U2017" i="2"/>
  <c r="W2017" i="2"/>
  <c r="X2017" i="2"/>
  <c r="Y2017" i="2"/>
  <c r="Z2017" i="2"/>
  <c r="AA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Y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U2020" i="2"/>
  <c r="W2020" i="2"/>
  <c r="X2020" i="2"/>
  <c r="Y2020" i="2"/>
  <c r="AA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U2021" i="2"/>
  <c r="W2021" i="2"/>
  <c r="X2021" i="2"/>
  <c r="Y2021" i="2"/>
  <c r="AA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Y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U2023" i="2"/>
  <c r="W2023" i="2"/>
  <c r="X2023" i="2"/>
  <c r="Y2023" i="2"/>
  <c r="AA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U2024" i="2"/>
  <c r="W2024" i="2"/>
  <c r="X2024" i="2"/>
  <c r="Y2024" i="2"/>
  <c r="AA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U2025" i="2"/>
  <c r="W2025" i="2"/>
  <c r="X2025" i="2"/>
  <c r="Y2025" i="2"/>
  <c r="AA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U2026" i="2"/>
  <c r="W2026" i="2"/>
  <c r="X2026" i="2"/>
  <c r="Y2026" i="2"/>
  <c r="AA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U2027" i="2"/>
  <c r="W2027" i="2"/>
  <c r="X2027" i="2"/>
  <c r="Y2027" i="2"/>
  <c r="AA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Q2028" i="2"/>
  <c r="R2028" i="2"/>
  <c r="U2028" i="2"/>
  <c r="W2028" i="2"/>
  <c r="X2028" i="2"/>
  <c r="Y2028" i="2"/>
  <c r="Z2028" i="2"/>
  <c r="AA2028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U2029" i="2"/>
  <c r="W2029" i="2"/>
  <c r="X2029" i="2"/>
  <c r="Y2029" i="2"/>
  <c r="AA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U2030" i="2"/>
  <c r="W2030" i="2"/>
  <c r="X2030" i="2"/>
  <c r="Y2030" i="2"/>
  <c r="AA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U2031" i="2"/>
  <c r="W2031" i="2"/>
  <c r="X2031" i="2"/>
  <c r="Y2031" i="2"/>
  <c r="AA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U2034" i="2"/>
  <c r="W2034" i="2"/>
  <c r="X2034" i="2"/>
  <c r="Y2034" i="2"/>
  <c r="AA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U2035" i="2"/>
  <c r="W2035" i="2"/>
  <c r="X2035" i="2"/>
  <c r="Y2035" i="2"/>
  <c r="AA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U2036" i="2"/>
  <c r="W2036" i="2"/>
  <c r="X2036" i="2"/>
  <c r="Y2036" i="2"/>
  <c r="AA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U2037" i="2"/>
  <c r="W2037" i="2"/>
  <c r="X2037" i="2"/>
  <c r="Y2037" i="2"/>
  <c r="AA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S2038" i="2"/>
  <c r="T2038" i="2"/>
  <c r="U2038" i="2"/>
  <c r="W2038" i="2"/>
  <c r="X2038" i="2"/>
  <c r="Y2038" i="2"/>
  <c r="AA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N2039" i="2"/>
  <c r="S2040" i="2"/>
  <c r="U2040" i="2"/>
  <c r="W2040" i="2"/>
  <c r="X2040" i="2"/>
  <c r="Y2040" i="2"/>
  <c r="Z2040" i="2"/>
  <c r="AA2040" i="2"/>
  <c r="AB2040" i="2"/>
  <c r="AC2040" i="2"/>
  <c r="AE2040" i="2"/>
  <c r="AF2040" i="2"/>
  <c r="AG2040" i="2"/>
  <c r="AH2040" i="2"/>
  <c r="AI2040" i="2"/>
  <c r="AJ2040" i="2"/>
  <c r="AM2040" i="2"/>
  <c r="AN2040" i="2"/>
  <c r="AN2041" i="2"/>
  <c r="S2042" i="2"/>
  <c r="U2042" i="2"/>
  <c r="W2042" i="2"/>
  <c r="X2042" i="2"/>
  <c r="Y2042" i="2"/>
  <c r="Z2042" i="2"/>
  <c r="AA2042" i="2"/>
  <c r="AB2042" i="2"/>
  <c r="AC2042" i="2"/>
  <c r="AE2042" i="2"/>
  <c r="AF2042" i="2"/>
  <c r="AG2042" i="2"/>
  <c r="AH2042" i="2"/>
  <c r="AI2042" i="2"/>
  <c r="AJ2042" i="2"/>
  <c r="AM2042" i="2"/>
  <c r="AN2042" i="2"/>
  <c r="S2043" i="2"/>
  <c r="U2043" i="2"/>
  <c r="W2043" i="2"/>
  <c r="X2043" i="2"/>
  <c r="Y2043" i="2"/>
  <c r="Z2043" i="2"/>
  <c r="AA2043" i="2"/>
  <c r="AB2043" i="2"/>
  <c r="AC2043" i="2"/>
  <c r="AE2043" i="2"/>
  <c r="AF2043" i="2"/>
  <c r="AG2043" i="2"/>
  <c r="AH2043" i="2"/>
  <c r="AI2043" i="2"/>
  <c r="AJ2043" i="2"/>
  <c r="AM2043" i="2"/>
  <c r="AN2043" i="2"/>
  <c r="S2044" i="2"/>
  <c r="U2044" i="2"/>
  <c r="W2044" i="2"/>
  <c r="X2044" i="2"/>
  <c r="Y2044" i="2"/>
  <c r="Z2044" i="2"/>
  <c r="AA2044" i="2"/>
  <c r="AB2044" i="2"/>
  <c r="AC2044" i="2"/>
  <c r="AE2044" i="2"/>
  <c r="AF2044" i="2"/>
  <c r="AG2044" i="2"/>
  <c r="AH2044" i="2"/>
  <c r="AI2044" i="2"/>
  <c r="AJ2044" i="2"/>
  <c r="AM2044" i="2"/>
  <c r="AN2044" i="2"/>
  <c r="S2045" i="2"/>
  <c r="U2045" i="2"/>
  <c r="W2045" i="2"/>
  <c r="X2045" i="2"/>
  <c r="Y2045" i="2"/>
  <c r="Z2045" i="2"/>
  <c r="AA2045" i="2"/>
  <c r="AB2045" i="2"/>
  <c r="AC2045" i="2"/>
  <c r="AE2045" i="2"/>
  <c r="AF2045" i="2"/>
  <c r="AG2045" i="2"/>
  <c r="AH2045" i="2"/>
  <c r="AI2045" i="2"/>
  <c r="AJ2045" i="2"/>
  <c r="AM2045" i="2"/>
  <c r="AN2045" i="2"/>
  <c r="S2046" i="2"/>
  <c r="U2046" i="2"/>
  <c r="W2046" i="2"/>
  <c r="X2046" i="2"/>
  <c r="Y2046" i="2"/>
  <c r="Z2046" i="2"/>
  <c r="AA2046" i="2"/>
  <c r="AB2046" i="2"/>
  <c r="AC2046" i="2"/>
  <c r="AE2046" i="2"/>
  <c r="AF2046" i="2"/>
  <c r="AG2046" i="2"/>
  <c r="AH2046" i="2"/>
  <c r="AI2046" i="2"/>
  <c r="AJ2046" i="2"/>
  <c r="AM2046" i="2"/>
  <c r="AN2046" i="2"/>
  <c r="Y2047" i="2"/>
  <c r="AN2047" i="2"/>
  <c r="S2048" i="2"/>
  <c r="U2048" i="2"/>
  <c r="W2048" i="2"/>
  <c r="X2048" i="2"/>
  <c r="Y2048" i="2"/>
  <c r="Z2048" i="2"/>
  <c r="AA2048" i="2"/>
  <c r="AB2048" i="2"/>
  <c r="AC2048" i="2"/>
  <c r="AE2048" i="2"/>
  <c r="AF2048" i="2"/>
  <c r="AG2048" i="2"/>
  <c r="AH2048" i="2"/>
  <c r="AI2048" i="2"/>
  <c r="AJ2048" i="2"/>
  <c r="AM2048" i="2"/>
  <c r="AN2048" i="2"/>
  <c r="U2049" i="2"/>
  <c r="W2049" i="2"/>
  <c r="X2049" i="2"/>
  <c r="Y2049" i="2"/>
  <c r="Z2049" i="2"/>
  <c r="AA2049" i="2"/>
  <c r="AB2049" i="2"/>
  <c r="AC2049" i="2"/>
  <c r="AE2049" i="2"/>
  <c r="AF2049" i="2"/>
  <c r="AG2049" i="2"/>
  <c r="AH2049" i="2"/>
  <c r="AI2049" i="2"/>
  <c r="AJ2049" i="2"/>
  <c r="AM2049" i="2"/>
  <c r="AN2049" i="2"/>
  <c r="S2050" i="2"/>
  <c r="U2050" i="2"/>
  <c r="W2050" i="2"/>
  <c r="X2050" i="2"/>
  <c r="Y2050" i="2"/>
  <c r="Z2050" i="2"/>
  <c r="AA2050" i="2"/>
  <c r="AB2050" i="2"/>
  <c r="AC2050" i="2"/>
  <c r="AE2050" i="2"/>
  <c r="AF2050" i="2"/>
  <c r="AG2050" i="2"/>
  <c r="AH2050" i="2"/>
  <c r="AI2050" i="2"/>
  <c r="AJ2050" i="2"/>
  <c r="AM2050" i="2"/>
  <c r="AN2050" i="2"/>
  <c r="S2051" i="2"/>
  <c r="U2051" i="2"/>
  <c r="W2051" i="2"/>
  <c r="X2051" i="2"/>
  <c r="Y2051" i="2"/>
  <c r="Z2051" i="2"/>
  <c r="AA2051" i="2"/>
  <c r="AB2051" i="2"/>
  <c r="AC2051" i="2"/>
  <c r="AE2051" i="2"/>
  <c r="AF2051" i="2"/>
  <c r="AG2051" i="2"/>
  <c r="AH2051" i="2"/>
  <c r="AI2051" i="2"/>
  <c r="AJ2051" i="2"/>
  <c r="AM2051" i="2"/>
  <c r="AN2051" i="2"/>
  <c r="U2052" i="2"/>
  <c r="W2052" i="2"/>
  <c r="X2052" i="2"/>
  <c r="Y2052" i="2"/>
  <c r="Z2052" i="2"/>
  <c r="AA2052" i="2"/>
  <c r="AB2052" i="2"/>
  <c r="AC2052" i="2"/>
  <c r="AE2052" i="2"/>
  <c r="AF2052" i="2"/>
  <c r="AG2052" i="2"/>
  <c r="AH2052" i="2"/>
  <c r="AI2052" i="2"/>
  <c r="AJ2052" i="2"/>
  <c r="AM2052" i="2"/>
  <c r="AN2052" i="2"/>
  <c r="U2053" i="2"/>
  <c r="W2053" i="2"/>
  <c r="X2053" i="2"/>
  <c r="Y2053" i="2"/>
  <c r="Z2053" i="2"/>
  <c r="AA2053" i="2"/>
  <c r="AB2053" i="2"/>
  <c r="AC2053" i="2"/>
  <c r="AE2053" i="2"/>
  <c r="AF2053" i="2"/>
  <c r="AG2053" i="2"/>
  <c r="AH2053" i="2"/>
  <c r="AI2053" i="2"/>
  <c r="AJ2053" i="2"/>
  <c r="AM2053" i="2"/>
  <c r="AN2053" i="2"/>
  <c r="U2054" i="2"/>
  <c r="W2054" i="2"/>
  <c r="X2054" i="2"/>
  <c r="Y2054" i="2"/>
  <c r="Z2054" i="2"/>
  <c r="AA2054" i="2"/>
  <c r="AB2054" i="2"/>
  <c r="AC2054" i="2"/>
  <c r="AE2054" i="2"/>
  <c r="AF2054" i="2"/>
  <c r="AG2054" i="2"/>
  <c r="AH2054" i="2"/>
  <c r="AI2054" i="2"/>
  <c r="AJ2054" i="2"/>
  <c r="AM2054" i="2"/>
  <c r="AN2054" i="2"/>
  <c r="U2055" i="2"/>
  <c r="W2055" i="2"/>
  <c r="X2055" i="2"/>
  <c r="Y2055" i="2"/>
  <c r="Z2055" i="2"/>
  <c r="AA2055" i="2"/>
  <c r="AB2055" i="2"/>
  <c r="AC2055" i="2"/>
  <c r="AE2055" i="2"/>
  <c r="AF2055" i="2"/>
  <c r="AG2055" i="2"/>
  <c r="AH2055" i="2"/>
  <c r="AI2055" i="2"/>
  <c r="AJ2055" i="2"/>
  <c r="AM2055" i="2"/>
  <c r="AN2055" i="2"/>
  <c r="U2056" i="2"/>
  <c r="W2056" i="2"/>
  <c r="X2056" i="2"/>
  <c r="Y2056" i="2"/>
  <c r="Z2056" i="2"/>
  <c r="AA2056" i="2"/>
  <c r="AB2056" i="2"/>
  <c r="AC2056" i="2"/>
  <c r="AE2056" i="2"/>
  <c r="AF2056" i="2"/>
  <c r="AG2056" i="2"/>
  <c r="AH2056" i="2"/>
  <c r="AI2056" i="2"/>
  <c r="AJ2056" i="2"/>
  <c r="AM2056" i="2"/>
  <c r="AN2056" i="2"/>
  <c r="S2057" i="2"/>
  <c r="U2057" i="2"/>
  <c r="W2057" i="2"/>
  <c r="X2057" i="2"/>
  <c r="Y2057" i="2"/>
  <c r="Z2057" i="2"/>
  <c r="AA2057" i="2"/>
  <c r="AB2057" i="2"/>
  <c r="AC2057" i="2"/>
  <c r="AE2057" i="2"/>
  <c r="AF2057" i="2"/>
  <c r="AG2057" i="2"/>
  <c r="AH2057" i="2"/>
  <c r="AI2057" i="2"/>
  <c r="AJ2057" i="2"/>
  <c r="AM2057" i="2"/>
  <c r="AN2057" i="2"/>
  <c r="S2058" i="2"/>
  <c r="U2058" i="2"/>
  <c r="W2058" i="2"/>
  <c r="X2058" i="2"/>
  <c r="Y2058" i="2"/>
  <c r="Z2058" i="2"/>
  <c r="AA2058" i="2"/>
  <c r="AB2058" i="2"/>
  <c r="AC2058" i="2"/>
  <c r="AE2058" i="2"/>
  <c r="AF2058" i="2"/>
  <c r="AG2058" i="2"/>
  <c r="AH2058" i="2"/>
  <c r="AI2058" i="2"/>
  <c r="AJ2058" i="2"/>
  <c r="AM2058" i="2"/>
  <c r="AN2058" i="2"/>
  <c r="S2059" i="2"/>
  <c r="U2059" i="2"/>
  <c r="W2059" i="2"/>
  <c r="X2059" i="2"/>
  <c r="Y2059" i="2"/>
  <c r="Z2059" i="2"/>
  <c r="AA2059" i="2"/>
  <c r="AB2059" i="2"/>
  <c r="AC2059" i="2"/>
  <c r="AE2059" i="2"/>
  <c r="AF2059" i="2"/>
  <c r="AG2059" i="2"/>
  <c r="AH2059" i="2"/>
  <c r="AI2059" i="2"/>
  <c r="AJ2059" i="2"/>
  <c r="AM2059" i="2"/>
  <c r="AN2059" i="2"/>
  <c r="S2060" i="2"/>
  <c r="W2060" i="2"/>
  <c r="X2060" i="2"/>
  <c r="Y2060" i="2"/>
  <c r="Z2060" i="2"/>
  <c r="AA2060" i="2"/>
  <c r="AB2060" i="2"/>
  <c r="AC2060" i="2"/>
  <c r="AE2060" i="2"/>
  <c r="AF2060" i="2"/>
  <c r="AG2060" i="2"/>
  <c r="AH2060" i="2"/>
  <c r="AI2060" i="2"/>
  <c r="AJ2060" i="2"/>
  <c r="AM2060" i="2"/>
  <c r="AN2060" i="2"/>
  <c r="Y2061" i="2"/>
  <c r="AN2061" i="2"/>
  <c r="AN2062" i="2"/>
  <c r="AN2063" i="2"/>
  <c r="S2064" i="2"/>
  <c r="U2064" i="2"/>
  <c r="W2064" i="2"/>
  <c r="X2064" i="2"/>
  <c r="Y2064" i="2"/>
  <c r="Z2064" i="2"/>
  <c r="AA2064" i="2"/>
  <c r="AB2064" i="2"/>
  <c r="AC2064" i="2"/>
  <c r="AE2064" i="2"/>
  <c r="AF2064" i="2"/>
  <c r="AG2064" i="2"/>
  <c r="AH2064" i="2"/>
  <c r="AI2064" i="2"/>
  <c r="AJ2064" i="2"/>
  <c r="AM2064" i="2"/>
  <c r="AN2064" i="2"/>
  <c r="S2065" i="2"/>
  <c r="U2065" i="2"/>
  <c r="W2065" i="2"/>
  <c r="X2065" i="2"/>
  <c r="Y2065" i="2"/>
  <c r="Z2065" i="2"/>
  <c r="AA2065" i="2"/>
  <c r="AB2065" i="2"/>
  <c r="AC2065" i="2"/>
  <c r="AE2065" i="2"/>
  <c r="AF2065" i="2"/>
  <c r="AG2065" i="2"/>
  <c r="AH2065" i="2"/>
  <c r="AI2065" i="2"/>
  <c r="AJ2065" i="2"/>
  <c r="AM2065" i="2"/>
  <c r="AN2065" i="2"/>
  <c r="S2066" i="2"/>
  <c r="U2066" i="2"/>
  <c r="W2066" i="2"/>
  <c r="X2066" i="2"/>
  <c r="Y2066" i="2"/>
  <c r="Z2066" i="2"/>
  <c r="AA2066" i="2"/>
  <c r="AB2066" i="2"/>
  <c r="AC2066" i="2"/>
  <c r="AE2066" i="2"/>
  <c r="AF2066" i="2"/>
  <c r="AG2066" i="2"/>
  <c r="AH2066" i="2"/>
  <c r="AI2066" i="2"/>
  <c r="AJ2066" i="2"/>
  <c r="AM2066" i="2"/>
  <c r="AN2066" i="2"/>
  <c r="S2067" i="2"/>
  <c r="U2067" i="2"/>
  <c r="W2067" i="2"/>
  <c r="X2067" i="2"/>
  <c r="Y2067" i="2"/>
  <c r="Z2067" i="2"/>
  <c r="AA2067" i="2"/>
  <c r="AB2067" i="2"/>
  <c r="AC2067" i="2"/>
  <c r="AE2067" i="2"/>
  <c r="AF2067" i="2"/>
  <c r="AG2067" i="2"/>
  <c r="AH2067" i="2"/>
  <c r="AI2067" i="2"/>
  <c r="AJ2067" i="2"/>
  <c r="AM2067" i="2"/>
  <c r="AN2067" i="2"/>
  <c r="S2068" i="2"/>
  <c r="U2068" i="2"/>
  <c r="W2068" i="2"/>
  <c r="X2068" i="2"/>
  <c r="Y2068" i="2"/>
  <c r="Z2068" i="2"/>
  <c r="AA2068" i="2"/>
  <c r="AB2068" i="2"/>
  <c r="AC2068" i="2"/>
  <c r="AE2068" i="2"/>
  <c r="AF2068" i="2"/>
  <c r="AG2068" i="2"/>
  <c r="AH2068" i="2"/>
  <c r="AI2068" i="2"/>
  <c r="AJ2068" i="2"/>
  <c r="AM2068" i="2"/>
  <c r="AN2068" i="2"/>
  <c r="S2069" i="2"/>
  <c r="U2069" i="2"/>
  <c r="W2069" i="2"/>
  <c r="X2069" i="2"/>
  <c r="Y2069" i="2"/>
  <c r="Z2069" i="2"/>
  <c r="AA2069" i="2"/>
  <c r="AB2069" i="2"/>
  <c r="AC2069" i="2"/>
  <c r="AE2069" i="2"/>
  <c r="AF2069" i="2"/>
  <c r="AG2069" i="2"/>
  <c r="AH2069" i="2"/>
  <c r="AI2069" i="2"/>
  <c r="AJ2069" i="2"/>
  <c r="AM2069" i="2"/>
  <c r="AN2069" i="2"/>
  <c r="S2070" i="2"/>
  <c r="U2070" i="2"/>
  <c r="W2070" i="2"/>
  <c r="X2070" i="2"/>
  <c r="Y2070" i="2"/>
  <c r="Z2070" i="2"/>
  <c r="AA2070" i="2"/>
  <c r="AB2070" i="2"/>
  <c r="AC2070" i="2"/>
  <c r="AE2070" i="2"/>
  <c r="AF2070" i="2"/>
  <c r="AG2070" i="2"/>
  <c r="AH2070" i="2"/>
  <c r="AI2070" i="2"/>
  <c r="AJ2070" i="2"/>
  <c r="AM2070" i="2"/>
  <c r="AN2070" i="2"/>
  <c r="AN2071" i="2"/>
  <c r="S2072" i="2"/>
  <c r="U2072" i="2"/>
  <c r="W2072" i="2"/>
  <c r="X2072" i="2"/>
  <c r="Y2072" i="2"/>
  <c r="Z2072" i="2"/>
  <c r="AA2072" i="2"/>
  <c r="AB2072" i="2"/>
  <c r="AC2072" i="2"/>
  <c r="AE2072" i="2"/>
  <c r="AF2072" i="2"/>
  <c r="AG2072" i="2"/>
  <c r="AH2072" i="2"/>
  <c r="AI2072" i="2"/>
  <c r="AJ2072" i="2"/>
  <c r="AM2072" i="2"/>
  <c r="AN2072" i="2"/>
  <c r="S2073" i="2"/>
  <c r="U2073" i="2"/>
  <c r="W2073" i="2"/>
  <c r="X2073" i="2"/>
  <c r="Y2073" i="2"/>
  <c r="Z2073" i="2"/>
  <c r="AA2073" i="2"/>
  <c r="AB2073" i="2"/>
  <c r="AC2073" i="2"/>
  <c r="AE2073" i="2"/>
  <c r="AF2073" i="2"/>
  <c r="AG2073" i="2"/>
  <c r="AH2073" i="2"/>
  <c r="AI2073" i="2"/>
  <c r="AJ2073" i="2"/>
  <c r="AM2073" i="2"/>
  <c r="AN2073" i="2"/>
  <c r="S2074" i="2"/>
  <c r="U2074" i="2"/>
  <c r="W2074" i="2"/>
  <c r="X2074" i="2"/>
  <c r="Y2074" i="2"/>
  <c r="Z2074" i="2"/>
  <c r="AA2074" i="2"/>
  <c r="AB2074" i="2"/>
  <c r="AC2074" i="2"/>
  <c r="AE2074" i="2"/>
  <c r="AF2074" i="2"/>
  <c r="AG2074" i="2"/>
  <c r="AH2074" i="2"/>
  <c r="AI2074" i="2"/>
  <c r="AJ2074" i="2"/>
  <c r="AM2074" i="2"/>
  <c r="AN2074" i="2"/>
  <c r="S2075" i="2"/>
  <c r="U2075" i="2"/>
  <c r="W2075" i="2"/>
  <c r="X2075" i="2"/>
  <c r="Y2075" i="2"/>
  <c r="Z2075" i="2"/>
  <c r="AA2075" i="2"/>
  <c r="AB2075" i="2"/>
  <c r="AC2075" i="2"/>
  <c r="AE2075" i="2"/>
  <c r="AF2075" i="2"/>
  <c r="AG2075" i="2"/>
  <c r="AH2075" i="2"/>
  <c r="AI2075" i="2"/>
  <c r="AJ2075" i="2"/>
  <c r="AM2075" i="2"/>
  <c r="AN2075" i="2"/>
  <c r="AN2076" i="2"/>
  <c r="S2077" i="2"/>
  <c r="U2077" i="2"/>
  <c r="W2077" i="2"/>
  <c r="X2077" i="2"/>
  <c r="Y2077" i="2"/>
  <c r="Z2077" i="2"/>
  <c r="AA2077" i="2"/>
  <c r="AB2077" i="2"/>
  <c r="AC2077" i="2"/>
  <c r="AE2077" i="2"/>
  <c r="AF2077" i="2"/>
  <c r="AG2077" i="2"/>
  <c r="AH2077" i="2"/>
  <c r="AI2077" i="2"/>
  <c r="AJ2077" i="2"/>
  <c r="AM2077" i="2"/>
  <c r="AN2077" i="2"/>
  <c r="S2078" i="2"/>
  <c r="U2078" i="2"/>
  <c r="W2078" i="2"/>
  <c r="X2078" i="2"/>
  <c r="Y2078" i="2"/>
  <c r="Z2078" i="2"/>
  <c r="AA2078" i="2"/>
  <c r="AB2078" i="2"/>
  <c r="AC2078" i="2"/>
  <c r="AE2078" i="2"/>
  <c r="AF2078" i="2"/>
  <c r="AG2078" i="2"/>
  <c r="AH2078" i="2"/>
  <c r="AI2078" i="2"/>
  <c r="AJ2078" i="2"/>
  <c r="AM2078" i="2"/>
  <c r="AN2078" i="2"/>
  <c r="S2079" i="2"/>
  <c r="U2079" i="2"/>
  <c r="W2079" i="2"/>
  <c r="X2079" i="2"/>
  <c r="Y2079" i="2"/>
  <c r="Z2079" i="2"/>
  <c r="AA2079" i="2"/>
  <c r="AB2079" i="2"/>
  <c r="AC2079" i="2"/>
  <c r="AE2079" i="2"/>
  <c r="AF2079" i="2"/>
  <c r="AG2079" i="2"/>
  <c r="AH2079" i="2"/>
  <c r="AI2079" i="2"/>
  <c r="AJ2079" i="2"/>
  <c r="AM2079" i="2"/>
  <c r="AN2079" i="2"/>
  <c r="S2080" i="2"/>
  <c r="U2080" i="2"/>
  <c r="W2080" i="2"/>
  <c r="X2080" i="2"/>
  <c r="Y2080" i="2"/>
  <c r="Z2080" i="2"/>
  <c r="AA2080" i="2"/>
  <c r="AB2080" i="2"/>
  <c r="AC2080" i="2"/>
  <c r="AE2080" i="2"/>
  <c r="AF2080" i="2"/>
  <c r="AG2080" i="2"/>
  <c r="AH2080" i="2"/>
  <c r="AI2080" i="2"/>
  <c r="AJ2080" i="2"/>
  <c r="AM2080" i="2"/>
  <c r="AN2080" i="2"/>
  <c r="S2081" i="2"/>
  <c r="U2081" i="2"/>
  <c r="W2081" i="2"/>
  <c r="X2081" i="2"/>
  <c r="Y2081" i="2"/>
  <c r="Z2081" i="2"/>
  <c r="AA2081" i="2"/>
  <c r="AB2081" i="2"/>
  <c r="AC2081" i="2"/>
  <c r="AE2081" i="2"/>
  <c r="AF2081" i="2"/>
  <c r="AG2081" i="2"/>
  <c r="AH2081" i="2"/>
  <c r="AI2081" i="2"/>
  <c r="AJ2081" i="2"/>
  <c r="AM2081" i="2"/>
  <c r="AN2081" i="2"/>
  <c r="S2082" i="2"/>
  <c r="U2082" i="2"/>
  <c r="W2082" i="2"/>
  <c r="X2082" i="2"/>
  <c r="Y2082" i="2"/>
  <c r="Z2082" i="2"/>
  <c r="AA2082" i="2"/>
  <c r="AB2082" i="2"/>
  <c r="AC2082" i="2"/>
  <c r="AE2082" i="2"/>
  <c r="AF2082" i="2"/>
  <c r="AG2082" i="2"/>
  <c r="AH2082" i="2"/>
  <c r="AI2082" i="2"/>
  <c r="AJ2082" i="2"/>
  <c r="AM2082" i="2"/>
  <c r="AN2082" i="2"/>
  <c r="S2083" i="2"/>
  <c r="U2083" i="2"/>
  <c r="W2083" i="2"/>
  <c r="X2083" i="2"/>
  <c r="Y2083" i="2"/>
  <c r="Z2083" i="2"/>
  <c r="AA2083" i="2"/>
  <c r="AB2083" i="2"/>
  <c r="AC2083" i="2"/>
  <c r="AE2083" i="2"/>
  <c r="AF2083" i="2"/>
  <c r="AG2083" i="2"/>
  <c r="AH2083" i="2"/>
  <c r="AI2083" i="2"/>
  <c r="AJ2083" i="2"/>
  <c r="AM2083" i="2"/>
  <c r="AN2083" i="2"/>
  <c r="S2084" i="2"/>
  <c r="U2084" i="2"/>
  <c r="W2084" i="2"/>
  <c r="X2084" i="2"/>
  <c r="Y2084" i="2"/>
  <c r="Z2084" i="2"/>
  <c r="AA2084" i="2"/>
  <c r="AB2084" i="2"/>
  <c r="AC2084" i="2"/>
  <c r="AE2084" i="2"/>
  <c r="AF2084" i="2"/>
  <c r="AG2084" i="2"/>
  <c r="AH2084" i="2"/>
  <c r="AI2084" i="2"/>
  <c r="AJ2084" i="2"/>
  <c r="AM2084" i="2"/>
  <c r="AN2084" i="2"/>
  <c r="S2085" i="2"/>
  <c r="U2085" i="2"/>
  <c r="W2085" i="2"/>
  <c r="X2085" i="2"/>
  <c r="Y2085" i="2"/>
  <c r="Z2085" i="2"/>
  <c r="AA2085" i="2"/>
  <c r="AB2085" i="2"/>
  <c r="AC2085" i="2"/>
  <c r="AE2085" i="2"/>
  <c r="AF2085" i="2"/>
  <c r="AG2085" i="2"/>
  <c r="AH2085" i="2"/>
  <c r="AI2085" i="2"/>
  <c r="AJ2085" i="2"/>
  <c r="AM2085" i="2"/>
  <c r="AN2085" i="2"/>
  <c r="S2086" i="2"/>
  <c r="U2086" i="2"/>
  <c r="W2086" i="2"/>
  <c r="X2086" i="2"/>
  <c r="Y2086" i="2"/>
  <c r="Z2086" i="2"/>
  <c r="AA2086" i="2"/>
  <c r="AB2086" i="2"/>
  <c r="AC2086" i="2"/>
  <c r="AE2086" i="2"/>
  <c r="AF2086" i="2"/>
  <c r="AG2086" i="2"/>
  <c r="AH2086" i="2"/>
  <c r="AI2086" i="2"/>
  <c r="AJ2086" i="2"/>
  <c r="AM2086" i="2"/>
  <c r="AN2086" i="2"/>
  <c r="S2087" i="2"/>
  <c r="U2087" i="2"/>
  <c r="W2087" i="2"/>
  <c r="X2087" i="2"/>
  <c r="Y2087" i="2"/>
  <c r="Z2087" i="2"/>
  <c r="AA2087" i="2"/>
  <c r="AB2087" i="2"/>
  <c r="AC2087" i="2"/>
  <c r="AE2087" i="2"/>
  <c r="AF2087" i="2"/>
  <c r="AG2087" i="2"/>
  <c r="AH2087" i="2"/>
  <c r="AI2087" i="2"/>
  <c r="AJ2087" i="2"/>
  <c r="AM2087" i="2"/>
  <c r="AN2087" i="2"/>
  <c r="S2088" i="2"/>
  <c r="U2088" i="2"/>
  <c r="W2088" i="2"/>
  <c r="X2088" i="2"/>
  <c r="Y2088" i="2"/>
  <c r="Z2088" i="2"/>
  <c r="AA2088" i="2"/>
  <c r="AB2088" i="2"/>
  <c r="AC2088" i="2"/>
  <c r="AE2088" i="2"/>
  <c r="AF2088" i="2"/>
  <c r="AG2088" i="2"/>
  <c r="AH2088" i="2"/>
  <c r="AI2088" i="2"/>
  <c r="AJ2088" i="2"/>
  <c r="AM2088" i="2"/>
  <c r="AN2088" i="2"/>
  <c r="AN2089" i="2"/>
  <c r="S2090" i="2"/>
  <c r="U2090" i="2"/>
  <c r="W2090" i="2"/>
  <c r="X2090" i="2"/>
  <c r="Y2090" i="2"/>
  <c r="Z2090" i="2"/>
  <c r="AA2090" i="2"/>
  <c r="AB2090" i="2"/>
  <c r="AC2090" i="2"/>
  <c r="AE2090" i="2"/>
  <c r="AF2090" i="2"/>
  <c r="AG2090" i="2"/>
  <c r="AH2090" i="2"/>
  <c r="AI2090" i="2"/>
  <c r="AJ2090" i="2"/>
  <c r="AM2090" i="2"/>
  <c r="AN2090" i="2"/>
  <c r="S2091" i="2"/>
  <c r="U2091" i="2"/>
  <c r="W2091" i="2"/>
  <c r="X2091" i="2"/>
  <c r="Y2091" i="2"/>
  <c r="Z2091" i="2"/>
  <c r="AA2091" i="2"/>
  <c r="AB2091" i="2"/>
  <c r="AC2091" i="2"/>
  <c r="AE2091" i="2"/>
  <c r="AF2091" i="2"/>
  <c r="AG2091" i="2"/>
  <c r="AH2091" i="2"/>
  <c r="AI2091" i="2"/>
  <c r="AJ2091" i="2"/>
  <c r="AM2091" i="2"/>
  <c r="AN2091" i="2"/>
  <c r="AN2092" i="2"/>
  <c r="S2093" i="2"/>
  <c r="U2093" i="2"/>
  <c r="W2093" i="2"/>
  <c r="X2093" i="2"/>
  <c r="Y2093" i="2"/>
  <c r="Z2093" i="2"/>
  <c r="AA2093" i="2"/>
  <c r="AB2093" i="2"/>
  <c r="AC2093" i="2"/>
  <c r="AE2093" i="2"/>
  <c r="AF2093" i="2"/>
  <c r="AG2093" i="2"/>
  <c r="AH2093" i="2"/>
  <c r="AI2093" i="2"/>
  <c r="AJ2093" i="2"/>
  <c r="AM2093" i="2"/>
  <c r="AN2093" i="2"/>
  <c r="S2094" i="2"/>
  <c r="U2094" i="2"/>
  <c r="W2094" i="2"/>
  <c r="X2094" i="2"/>
  <c r="Y2094" i="2"/>
  <c r="Z2094" i="2"/>
  <c r="AA2094" i="2"/>
  <c r="AB2094" i="2"/>
  <c r="AC2094" i="2"/>
  <c r="AE2094" i="2"/>
  <c r="AF2094" i="2"/>
  <c r="AG2094" i="2"/>
  <c r="AH2094" i="2"/>
  <c r="AI2094" i="2"/>
  <c r="AJ2094" i="2"/>
  <c r="AM2094" i="2"/>
  <c r="AN2094" i="2"/>
  <c r="S2095" i="2"/>
  <c r="U2095" i="2"/>
  <c r="W2095" i="2"/>
  <c r="X2095" i="2"/>
  <c r="Y2095" i="2"/>
  <c r="Z2095" i="2"/>
  <c r="AA2095" i="2"/>
  <c r="AB2095" i="2"/>
  <c r="AC2095" i="2"/>
  <c r="AE2095" i="2"/>
  <c r="AF2095" i="2"/>
  <c r="AG2095" i="2"/>
  <c r="AH2095" i="2"/>
  <c r="AI2095" i="2"/>
  <c r="AJ2095" i="2"/>
  <c r="AM2095" i="2"/>
  <c r="AN2095" i="2"/>
  <c r="S2096" i="2"/>
  <c r="U2096" i="2"/>
  <c r="W2096" i="2"/>
  <c r="X2096" i="2"/>
  <c r="Y2096" i="2"/>
  <c r="Z2096" i="2"/>
  <c r="AA2096" i="2"/>
  <c r="AB2096" i="2"/>
  <c r="AC2096" i="2"/>
  <c r="AE2096" i="2"/>
  <c r="AF2096" i="2"/>
  <c r="AG2096" i="2"/>
  <c r="AH2096" i="2"/>
  <c r="AI2096" i="2"/>
  <c r="AJ2096" i="2"/>
  <c r="AM2096" i="2"/>
  <c r="AN2096" i="2"/>
  <c r="S2097" i="2"/>
  <c r="U2097" i="2"/>
  <c r="W2097" i="2"/>
  <c r="X2097" i="2"/>
  <c r="Y2097" i="2"/>
  <c r="Z2097" i="2"/>
  <c r="AA2097" i="2"/>
  <c r="AB2097" i="2"/>
  <c r="AC2097" i="2"/>
  <c r="AE2097" i="2"/>
  <c r="AF2097" i="2"/>
  <c r="AG2097" i="2"/>
  <c r="AH2097" i="2"/>
  <c r="AI2097" i="2"/>
  <c r="AJ2097" i="2"/>
  <c r="AM2097" i="2"/>
  <c r="AN2097" i="2"/>
  <c r="U2098" i="2"/>
  <c r="AN2098" i="2"/>
  <c r="AN2099" i="2"/>
  <c r="S2100" i="2"/>
  <c r="U2100" i="2"/>
  <c r="W2100" i="2"/>
  <c r="X2100" i="2"/>
  <c r="Y2100" i="2"/>
  <c r="Z2100" i="2"/>
  <c r="AA2100" i="2"/>
  <c r="AB2100" i="2"/>
  <c r="AC2100" i="2"/>
  <c r="AE2100" i="2"/>
  <c r="AF2100" i="2"/>
  <c r="AG2100" i="2"/>
  <c r="AH2100" i="2"/>
  <c r="AI2100" i="2"/>
  <c r="AJ2100" i="2"/>
  <c r="AM2100" i="2"/>
  <c r="AN2100" i="2"/>
  <c r="S2101" i="2"/>
  <c r="U2101" i="2"/>
  <c r="W2101" i="2"/>
  <c r="X2101" i="2"/>
  <c r="Y2101" i="2"/>
  <c r="Z2101" i="2"/>
  <c r="AA2101" i="2"/>
  <c r="AB2101" i="2"/>
  <c r="AC2101" i="2"/>
  <c r="AE2101" i="2"/>
  <c r="AF2101" i="2"/>
  <c r="AG2101" i="2"/>
  <c r="AH2101" i="2"/>
  <c r="AI2101" i="2"/>
  <c r="AJ2101" i="2"/>
  <c r="AM2101" i="2"/>
  <c r="AN2101" i="2"/>
  <c r="S2102" i="2"/>
  <c r="U2102" i="2"/>
  <c r="W2102" i="2"/>
  <c r="X2102" i="2"/>
  <c r="Y2102" i="2"/>
  <c r="Z2102" i="2"/>
  <c r="AA2102" i="2"/>
  <c r="AB2102" i="2"/>
  <c r="AC2102" i="2"/>
  <c r="AE2102" i="2"/>
  <c r="AF2102" i="2"/>
  <c r="AG2102" i="2"/>
  <c r="AH2102" i="2"/>
  <c r="AI2102" i="2"/>
  <c r="AJ2102" i="2"/>
  <c r="AM2102" i="2"/>
  <c r="AN2102" i="2"/>
  <c r="AN2103" i="2"/>
  <c r="S2104" i="2"/>
  <c r="U2104" i="2"/>
  <c r="W2104" i="2"/>
  <c r="X2104" i="2"/>
  <c r="Y2104" i="2"/>
  <c r="Z2104" i="2"/>
  <c r="AA2104" i="2"/>
  <c r="AB2104" i="2"/>
  <c r="AC2104" i="2"/>
  <c r="AE2104" i="2"/>
  <c r="AF2104" i="2"/>
  <c r="AG2104" i="2"/>
  <c r="AH2104" i="2"/>
  <c r="AI2104" i="2"/>
  <c r="AJ2104" i="2"/>
  <c r="AM2104" i="2"/>
  <c r="AN2104" i="2"/>
  <c r="S2105" i="2"/>
  <c r="U2105" i="2"/>
  <c r="W2105" i="2"/>
  <c r="X2105" i="2"/>
  <c r="Y2105" i="2"/>
  <c r="Z2105" i="2"/>
  <c r="AA2105" i="2"/>
  <c r="AB2105" i="2"/>
  <c r="AC2105" i="2"/>
  <c r="AE2105" i="2"/>
  <c r="AF2105" i="2"/>
  <c r="AG2105" i="2"/>
  <c r="AH2105" i="2"/>
  <c r="AI2105" i="2"/>
  <c r="AJ2105" i="2"/>
  <c r="AM2105" i="2"/>
  <c r="AN2105" i="2"/>
  <c r="AN2106" i="2"/>
  <c r="AN2107" i="2"/>
  <c r="S2108" i="2"/>
  <c r="U2108" i="2"/>
  <c r="W2108" i="2"/>
  <c r="X2108" i="2"/>
  <c r="Y2108" i="2"/>
  <c r="Z2108" i="2"/>
  <c r="AA2108" i="2"/>
  <c r="AB2108" i="2"/>
  <c r="AC2108" i="2"/>
  <c r="AE2108" i="2"/>
  <c r="AF2108" i="2"/>
  <c r="AG2108" i="2"/>
  <c r="AH2108" i="2"/>
  <c r="AI2108" i="2"/>
  <c r="AJ2108" i="2"/>
  <c r="AM2108" i="2"/>
  <c r="AN2108" i="2"/>
  <c r="S2109" i="2"/>
  <c r="U2109" i="2"/>
  <c r="W2109" i="2"/>
  <c r="X2109" i="2"/>
  <c r="Y2109" i="2"/>
  <c r="Z2109" i="2"/>
  <c r="AA2109" i="2"/>
  <c r="AB2109" i="2"/>
  <c r="AC2109" i="2"/>
  <c r="AE2109" i="2"/>
  <c r="AF2109" i="2"/>
  <c r="AG2109" i="2"/>
  <c r="AH2109" i="2"/>
  <c r="AI2109" i="2"/>
  <c r="AJ2109" i="2"/>
  <c r="AM2109" i="2"/>
  <c r="AN2109" i="2"/>
  <c r="S2110" i="2"/>
  <c r="U2110" i="2"/>
  <c r="W2110" i="2"/>
  <c r="X2110" i="2"/>
  <c r="Y2110" i="2"/>
  <c r="Z2110" i="2"/>
  <c r="AA2110" i="2"/>
  <c r="AB2110" i="2"/>
  <c r="AC2110" i="2"/>
  <c r="AE2110" i="2"/>
  <c r="AF2110" i="2"/>
  <c r="AG2110" i="2"/>
  <c r="AH2110" i="2"/>
  <c r="AI2110" i="2"/>
  <c r="AJ2110" i="2"/>
  <c r="AM2110" i="2"/>
  <c r="AN2110" i="2"/>
  <c r="S2111" i="2"/>
  <c r="U2111" i="2"/>
  <c r="W2111" i="2"/>
  <c r="X2111" i="2"/>
  <c r="Y2111" i="2"/>
  <c r="Z2111" i="2"/>
  <c r="AA2111" i="2"/>
  <c r="AB2111" i="2"/>
  <c r="AC2111" i="2"/>
  <c r="AE2111" i="2"/>
  <c r="AF2111" i="2"/>
  <c r="AG2111" i="2"/>
  <c r="AH2111" i="2"/>
  <c r="AI2111" i="2"/>
  <c r="AJ2111" i="2"/>
  <c r="AM2111" i="2"/>
  <c r="AN2111" i="2"/>
  <c r="S2112" i="2"/>
  <c r="U2112" i="2"/>
  <c r="W2112" i="2"/>
  <c r="X2112" i="2"/>
  <c r="Y2112" i="2"/>
  <c r="Z2112" i="2"/>
  <c r="AA2112" i="2"/>
  <c r="AB2112" i="2"/>
  <c r="AC2112" i="2"/>
  <c r="AE2112" i="2"/>
  <c r="AF2112" i="2"/>
  <c r="AG2112" i="2"/>
  <c r="AH2112" i="2"/>
  <c r="AI2112" i="2"/>
  <c r="AJ2112" i="2"/>
  <c r="AM2112" i="2"/>
  <c r="AN2112" i="2"/>
  <c r="S2113" i="2"/>
  <c r="U2113" i="2"/>
  <c r="W2113" i="2"/>
  <c r="X2113" i="2"/>
  <c r="Y2113" i="2"/>
  <c r="Z2113" i="2"/>
  <c r="AA2113" i="2"/>
  <c r="AB2113" i="2"/>
  <c r="AC2113" i="2"/>
  <c r="AE2113" i="2"/>
  <c r="AF2113" i="2"/>
  <c r="AG2113" i="2"/>
  <c r="AH2113" i="2"/>
  <c r="AI2113" i="2"/>
  <c r="AJ2113" i="2"/>
  <c r="AM2113" i="2"/>
  <c r="AN2113" i="2"/>
  <c r="U2114" i="2"/>
  <c r="W2114" i="2"/>
  <c r="X2114" i="2"/>
  <c r="Y2114" i="2"/>
  <c r="Z2114" i="2"/>
  <c r="AA2114" i="2"/>
  <c r="AB2114" i="2"/>
  <c r="AC2114" i="2"/>
  <c r="AE2114" i="2"/>
  <c r="AF2114" i="2"/>
  <c r="AG2114" i="2"/>
  <c r="AH2114" i="2"/>
  <c r="AI2114" i="2"/>
  <c r="AJ2114" i="2"/>
  <c r="AM2114" i="2"/>
  <c r="AN2114" i="2"/>
  <c r="AN2115" i="2"/>
  <c r="S2116" i="2"/>
  <c r="U2116" i="2"/>
  <c r="W2116" i="2"/>
  <c r="X2116" i="2"/>
  <c r="Y2116" i="2"/>
  <c r="Z2116" i="2"/>
  <c r="AA2116" i="2"/>
  <c r="AB2116" i="2"/>
  <c r="AC2116" i="2"/>
  <c r="AE2116" i="2"/>
  <c r="AF2116" i="2"/>
  <c r="AG2116" i="2"/>
  <c r="AH2116" i="2"/>
  <c r="AI2116" i="2"/>
  <c r="AJ2116" i="2"/>
  <c r="AM2116" i="2"/>
  <c r="AN2116" i="2"/>
  <c r="S2117" i="2"/>
  <c r="U2117" i="2"/>
  <c r="W2117" i="2"/>
  <c r="X2117" i="2"/>
  <c r="Y2117" i="2"/>
  <c r="Z2117" i="2"/>
  <c r="AA2117" i="2"/>
  <c r="AB2117" i="2"/>
  <c r="AC2117" i="2"/>
  <c r="AE2117" i="2"/>
  <c r="AF2117" i="2"/>
  <c r="AG2117" i="2"/>
  <c r="AH2117" i="2"/>
  <c r="AI2117" i="2"/>
  <c r="AJ2117" i="2"/>
  <c r="AM2117" i="2"/>
  <c r="AN2117" i="2"/>
  <c r="U2118" i="2"/>
  <c r="W2118" i="2"/>
  <c r="X2118" i="2"/>
  <c r="Y2118" i="2"/>
  <c r="Z2118" i="2"/>
  <c r="AA2118" i="2"/>
  <c r="AB2118" i="2"/>
  <c r="AC2118" i="2"/>
  <c r="AE2118" i="2"/>
  <c r="AF2118" i="2"/>
  <c r="AG2118" i="2"/>
  <c r="AH2118" i="2"/>
  <c r="AI2118" i="2"/>
  <c r="AJ2118" i="2"/>
  <c r="AM2118" i="2"/>
  <c r="AN2118" i="2"/>
  <c r="S2119" i="2"/>
  <c r="T2119" i="2"/>
  <c r="U2119" i="2"/>
  <c r="W2119" i="2"/>
  <c r="X2119" i="2"/>
  <c r="Y2119" i="2"/>
  <c r="Z2119" i="2"/>
  <c r="AA2119" i="2"/>
  <c r="AB2119" i="2"/>
  <c r="AC2119" i="2"/>
  <c r="AE2119" i="2"/>
  <c r="AF2119" i="2"/>
  <c r="AG2119" i="2"/>
  <c r="AH2119" i="2"/>
  <c r="AI2119" i="2"/>
  <c r="AJ2119" i="2"/>
  <c r="AK2119" i="2"/>
  <c r="AL2119" i="2"/>
  <c r="AM2119" i="2"/>
  <c r="AN2119" i="2"/>
  <c r="S2120" i="2"/>
  <c r="U2120" i="2"/>
  <c r="W2120" i="2"/>
  <c r="X2120" i="2"/>
  <c r="Y2120" i="2"/>
  <c r="Z2120" i="2"/>
  <c r="AA2120" i="2"/>
  <c r="AB2120" i="2"/>
  <c r="AC2120" i="2"/>
  <c r="AE2120" i="2"/>
  <c r="AF2120" i="2"/>
  <c r="AG2120" i="2"/>
  <c r="AH2120" i="2"/>
  <c r="AI2120" i="2"/>
  <c r="AJ2120" i="2"/>
  <c r="AM2120" i="2"/>
  <c r="AN2120" i="2"/>
  <c r="S2121" i="2"/>
  <c r="U2121" i="2"/>
  <c r="W2121" i="2"/>
  <c r="X2121" i="2"/>
  <c r="Y2121" i="2"/>
  <c r="Z2121" i="2"/>
  <c r="AA2121" i="2"/>
  <c r="AB2121" i="2"/>
  <c r="AC2121" i="2"/>
  <c r="AE2121" i="2"/>
  <c r="AF2121" i="2"/>
  <c r="AG2121" i="2"/>
  <c r="AH2121" i="2"/>
  <c r="AI2121" i="2"/>
  <c r="AJ2121" i="2"/>
  <c r="AM2121" i="2"/>
  <c r="AN2121" i="2"/>
  <c r="AN2122" i="2"/>
  <c r="S2123" i="2"/>
  <c r="U2123" i="2"/>
  <c r="W2123" i="2"/>
  <c r="X2123" i="2"/>
  <c r="Y2123" i="2"/>
  <c r="Z2123" i="2"/>
  <c r="AA2123" i="2"/>
  <c r="AB2123" i="2"/>
  <c r="AC2123" i="2"/>
  <c r="AE2123" i="2"/>
  <c r="AF2123" i="2"/>
  <c r="AG2123" i="2"/>
  <c r="AH2123" i="2"/>
  <c r="AI2123" i="2"/>
  <c r="AJ2123" i="2"/>
  <c r="AM2123" i="2"/>
  <c r="AN2123" i="2"/>
  <c r="W2124" i="2"/>
  <c r="AN2124" i="2"/>
  <c r="Q2125" i="2"/>
  <c r="R2125" i="2"/>
  <c r="S2125" i="2"/>
  <c r="T2125" i="2"/>
  <c r="U2125" i="2"/>
  <c r="W2125" i="2"/>
  <c r="X2125" i="2"/>
  <c r="Y2125" i="2"/>
  <c r="Z2125" i="2"/>
  <c r="AA2125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S2126" i="2"/>
  <c r="U2126" i="2"/>
  <c r="V2126" i="2"/>
  <c r="W2126" i="2"/>
  <c r="X2126" i="2"/>
  <c r="Y2126" i="2"/>
  <c r="Z2126" i="2"/>
  <c r="AA2126" i="2"/>
  <c r="AB2126" i="2"/>
  <c r="AC2126" i="2"/>
  <c r="AE2126" i="2"/>
  <c r="AF2126" i="2"/>
  <c r="AG2126" i="2"/>
  <c r="AH2126" i="2"/>
  <c r="AI2126" i="2"/>
  <c r="AJ2126" i="2"/>
  <c r="AM2126" i="2"/>
  <c r="AN2126" i="2"/>
  <c r="S2127" i="2"/>
  <c r="U2127" i="2"/>
  <c r="W2127" i="2"/>
  <c r="X2127" i="2"/>
  <c r="Y2127" i="2"/>
  <c r="Z2127" i="2"/>
  <c r="AA2127" i="2"/>
  <c r="AB2127" i="2"/>
  <c r="AC2127" i="2"/>
  <c r="AE2127" i="2"/>
  <c r="AF2127" i="2"/>
  <c r="AG2127" i="2"/>
  <c r="AH2127" i="2"/>
  <c r="AI2127" i="2"/>
  <c r="AJ2127" i="2"/>
  <c r="AM2127" i="2"/>
  <c r="AN2127" i="2"/>
  <c r="S2128" i="2"/>
  <c r="U2128" i="2"/>
  <c r="W2128" i="2"/>
  <c r="X2128" i="2"/>
  <c r="Y2128" i="2"/>
  <c r="Z2128" i="2"/>
  <c r="AA2128" i="2"/>
  <c r="AB2128" i="2"/>
  <c r="AC2128" i="2"/>
  <c r="AE2128" i="2"/>
  <c r="AF2128" i="2"/>
  <c r="AG2128" i="2"/>
  <c r="AH2128" i="2"/>
  <c r="AI2128" i="2"/>
  <c r="AJ2128" i="2"/>
  <c r="AM2128" i="2"/>
  <c r="AN2128" i="2"/>
  <c r="S2129" i="2"/>
  <c r="U2129" i="2"/>
  <c r="W2129" i="2"/>
  <c r="X2129" i="2"/>
  <c r="Y2129" i="2"/>
  <c r="Z2129" i="2"/>
  <c r="AA2129" i="2"/>
  <c r="AB2129" i="2"/>
  <c r="AC2129" i="2"/>
  <c r="AE2129" i="2"/>
  <c r="AF2129" i="2"/>
  <c r="AG2129" i="2"/>
  <c r="AH2129" i="2"/>
  <c r="AI2129" i="2"/>
  <c r="AJ2129" i="2"/>
  <c r="AM2129" i="2"/>
  <c r="AN2129" i="2"/>
  <c r="S2130" i="2"/>
  <c r="U2130" i="2"/>
  <c r="W2130" i="2"/>
  <c r="X2130" i="2"/>
  <c r="Y2130" i="2"/>
  <c r="Z2130" i="2"/>
  <c r="AA2130" i="2"/>
  <c r="AB2130" i="2"/>
  <c r="AC2130" i="2"/>
  <c r="AE2130" i="2"/>
  <c r="AF2130" i="2"/>
  <c r="AG2130" i="2"/>
  <c r="AH2130" i="2"/>
  <c r="AI2130" i="2"/>
  <c r="AJ2130" i="2"/>
  <c r="AM2130" i="2"/>
  <c r="AN2130" i="2"/>
  <c r="S2131" i="2"/>
  <c r="U2131" i="2"/>
  <c r="W2131" i="2"/>
  <c r="X2131" i="2"/>
  <c r="Y2131" i="2"/>
  <c r="Z2131" i="2"/>
  <c r="AA2131" i="2"/>
  <c r="AB2131" i="2"/>
  <c r="AC2131" i="2"/>
  <c r="AE2131" i="2"/>
  <c r="AF2131" i="2"/>
  <c r="AG2131" i="2"/>
  <c r="AH2131" i="2"/>
  <c r="AI2131" i="2"/>
  <c r="AJ2131" i="2"/>
  <c r="AM2131" i="2"/>
  <c r="AN2131" i="2"/>
  <c r="W2132" i="2"/>
  <c r="AN2132" i="2"/>
  <c r="S2133" i="2"/>
  <c r="U2133" i="2"/>
  <c r="W2133" i="2"/>
  <c r="X2133" i="2"/>
  <c r="Y2133" i="2"/>
  <c r="Z2133" i="2"/>
  <c r="AA2133" i="2"/>
  <c r="AB2133" i="2"/>
  <c r="AC2133" i="2"/>
  <c r="AE2133" i="2"/>
  <c r="AF2133" i="2"/>
  <c r="AG2133" i="2"/>
  <c r="AH2133" i="2"/>
  <c r="AI2133" i="2"/>
  <c r="AJ2133" i="2"/>
  <c r="AM2133" i="2"/>
  <c r="AN2133" i="2"/>
  <c r="S2134" i="2"/>
  <c r="U2134" i="2"/>
  <c r="W2134" i="2"/>
  <c r="X2134" i="2"/>
  <c r="Y2134" i="2"/>
  <c r="Z2134" i="2"/>
  <c r="AA2134" i="2"/>
  <c r="AB2134" i="2"/>
  <c r="AC2134" i="2"/>
  <c r="AE2134" i="2"/>
  <c r="AF2134" i="2"/>
  <c r="AG2134" i="2"/>
  <c r="AH2134" i="2"/>
  <c r="AI2134" i="2"/>
  <c r="AJ2134" i="2"/>
  <c r="AM2134" i="2"/>
  <c r="AN2134" i="2"/>
  <c r="W2135" i="2"/>
  <c r="AN2135" i="2"/>
  <c r="S2136" i="2"/>
  <c r="U2136" i="2"/>
  <c r="W2136" i="2"/>
  <c r="X2136" i="2"/>
  <c r="Y2136" i="2"/>
  <c r="Z2136" i="2"/>
  <c r="AA2136" i="2"/>
  <c r="AB2136" i="2"/>
  <c r="AC2136" i="2"/>
  <c r="AE2136" i="2"/>
  <c r="AF2136" i="2"/>
  <c r="AG2136" i="2"/>
  <c r="AH2136" i="2"/>
  <c r="AI2136" i="2"/>
  <c r="AJ2136" i="2"/>
  <c r="AM2136" i="2"/>
  <c r="AN2136" i="2"/>
  <c r="S2137" i="2"/>
  <c r="U2137" i="2"/>
  <c r="W2137" i="2"/>
  <c r="X2137" i="2"/>
  <c r="Y2137" i="2"/>
  <c r="Z2137" i="2"/>
  <c r="AA2137" i="2"/>
  <c r="AB2137" i="2"/>
  <c r="AC2137" i="2"/>
  <c r="AE2137" i="2"/>
  <c r="AF2137" i="2"/>
  <c r="AG2137" i="2"/>
  <c r="AH2137" i="2"/>
  <c r="AI2137" i="2"/>
  <c r="AJ2137" i="2"/>
  <c r="AM2137" i="2"/>
  <c r="AN2137" i="2"/>
  <c r="S2138" i="2"/>
  <c r="U2138" i="2"/>
  <c r="W2138" i="2"/>
  <c r="X2138" i="2"/>
  <c r="Y2138" i="2"/>
  <c r="Z2138" i="2"/>
  <c r="AA2138" i="2"/>
  <c r="AB2138" i="2"/>
  <c r="AC2138" i="2"/>
  <c r="AE2138" i="2"/>
  <c r="AF2138" i="2"/>
  <c r="AG2138" i="2"/>
  <c r="AH2138" i="2"/>
  <c r="AI2138" i="2"/>
  <c r="AJ2138" i="2"/>
  <c r="AM2138" i="2"/>
  <c r="AN2138" i="2"/>
  <c r="S2139" i="2"/>
  <c r="U2139" i="2"/>
  <c r="W2139" i="2"/>
  <c r="X2139" i="2"/>
  <c r="Y2139" i="2"/>
  <c r="Z2139" i="2"/>
  <c r="AA2139" i="2"/>
  <c r="AB2139" i="2"/>
  <c r="AC2139" i="2"/>
  <c r="AE2139" i="2"/>
  <c r="AF2139" i="2"/>
  <c r="AG2139" i="2"/>
  <c r="AH2139" i="2"/>
  <c r="AI2139" i="2"/>
  <c r="AJ2139" i="2"/>
  <c r="AM2139" i="2"/>
  <c r="AN2139" i="2"/>
  <c r="U2140" i="2"/>
  <c r="V2140" i="2"/>
  <c r="W2140" i="2"/>
  <c r="X2140" i="2"/>
  <c r="Y2140" i="2"/>
  <c r="Z2140" i="2"/>
  <c r="AA2140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Z2141" i="2"/>
  <c r="AA2141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U2142" i="2"/>
  <c r="W2142" i="2"/>
  <c r="Z2142" i="2"/>
  <c r="AA2142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W2143" i="2"/>
  <c r="Z2143" i="2"/>
  <c r="AA2143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U2144" i="2"/>
  <c r="W2144" i="2"/>
  <c r="X2144" i="2"/>
  <c r="Y2144" i="2"/>
  <c r="Z2144" i="2"/>
  <c r="AA2144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U2145" i="2"/>
  <c r="W2145" i="2"/>
  <c r="X2145" i="2"/>
  <c r="Y2145" i="2"/>
  <c r="Z2145" i="2"/>
  <c r="AA2145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U2146" i="2"/>
  <c r="W2146" i="2"/>
  <c r="X2146" i="2"/>
  <c r="Y2146" i="2"/>
  <c r="Z2146" i="2"/>
  <c r="AA2146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U2147" i="2"/>
  <c r="W2147" i="2"/>
  <c r="X2147" i="2"/>
  <c r="Y2147" i="2"/>
  <c r="Z2147" i="2"/>
  <c r="AA2147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U2148" i="2"/>
  <c r="W2148" i="2"/>
  <c r="X2148" i="2"/>
  <c r="Y2148" i="2"/>
  <c r="Z2148" i="2"/>
  <c r="AA2148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Z2149" i="2"/>
  <c r="AA2149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U2150" i="2"/>
  <c r="W2150" i="2"/>
  <c r="Z2150" i="2"/>
  <c r="AA2150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U2151" i="2"/>
  <c r="W2151" i="2"/>
  <c r="X2151" i="2"/>
  <c r="Y2151" i="2"/>
  <c r="Z2151" i="2"/>
  <c r="AA2151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U2152" i="2"/>
  <c r="W2152" i="2"/>
  <c r="X2152" i="2"/>
  <c r="Y2152" i="2"/>
  <c r="Z2152" i="2"/>
  <c r="AA2152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U2153" i="2"/>
  <c r="V2153" i="2"/>
  <c r="Y2153" i="2"/>
  <c r="Z2153" i="2"/>
  <c r="AA2153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U2154" i="2"/>
  <c r="W2154" i="2"/>
  <c r="X2154" i="2"/>
  <c r="Y2154" i="2"/>
  <c r="AA2154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U2155" i="2"/>
  <c r="W2155" i="2"/>
  <c r="X2155" i="2"/>
  <c r="Y2155" i="2"/>
  <c r="AA2155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U2156" i="2"/>
  <c r="W2156" i="2"/>
  <c r="X2156" i="2"/>
  <c r="Y2156" i="2"/>
  <c r="AA2156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U2157" i="2"/>
  <c r="W2157" i="2"/>
  <c r="X2157" i="2"/>
  <c r="Y2157" i="2"/>
  <c r="AA2157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A2158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Q2159" i="2"/>
  <c r="R2159" i="2"/>
  <c r="U2159" i="2"/>
  <c r="V2159" i="2"/>
  <c r="W2159" i="2"/>
  <c r="X2159" i="2"/>
  <c r="Y2159" i="2"/>
  <c r="Z2159" i="2"/>
  <c r="AA2159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U2160" i="2"/>
  <c r="W2160" i="2"/>
  <c r="X2160" i="2"/>
  <c r="Y2160" i="2"/>
  <c r="AA2160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U2161" i="2"/>
  <c r="W2161" i="2"/>
  <c r="X2161" i="2"/>
  <c r="Y2161" i="2"/>
  <c r="AA2161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U2162" i="2"/>
  <c r="W2162" i="2"/>
  <c r="X2162" i="2"/>
  <c r="Y2162" i="2"/>
  <c r="AA2162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Q2163" i="2"/>
  <c r="R2163" i="2"/>
  <c r="U2163" i="2"/>
  <c r="V2163" i="2"/>
  <c r="W2163" i="2"/>
  <c r="X2163" i="2"/>
  <c r="Y2163" i="2"/>
  <c r="Z2163" i="2"/>
  <c r="AA2163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U2164" i="2"/>
  <c r="W2164" i="2"/>
  <c r="X2164" i="2"/>
  <c r="Y2164" i="2"/>
  <c r="AA2164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U2165" i="2"/>
  <c r="W2165" i="2"/>
  <c r="X2165" i="2"/>
  <c r="Y2165" i="2"/>
  <c r="AA2165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U2166" i="2"/>
  <c r="W2166" i="2"/>
  <c r="X2166" i="2"/>
  <c r="Y2166" i="2"/>
  <c r="AA2166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U2167" i="2"/>
  <c r="W2167" i="2"/>
  <c r="X2167" i="2"/>
  <c r="Y2167" i="2"/>
  <c r="AA2167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Q2168" i="2"/>
  <c r="R2168" i="2"/>
  <c r="U2168" i="2"/>
  <c r="V2168" i="2"/>
  <c r="W2168" i="2"/>
  <c r="X2168" i="2"/>
  <c r="Y2168" i="2"/>
  <c r="Z2168" i="2"/>
  <c r="AA2168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U2169" i="2"/>
  <c r="W2169" i="2"/>
  <c r="X2169" i="2"/>
  <c r="Y2169" i="2"/>
  <c r="AA2169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U2170" i="2"/>
  <c r="W2170" i="2"/>
  <c r="X2170" i="2"/>
  <c r="Y2170" i="2"/>
  <c r="AA2170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U2171" i="2"/>
  <c r="W2171" i="2"/>
  <c r="X2171" i="2"/>
  <c r="Y2171" i="2"/>
  <c r="AA2171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U2172" i="2"/>
  <c r="W2172" i="2"/>
  <c r="X2172" i="2"/>
  <c r="Y2172" i="2"/>
  <c r="AA2172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F4" i="14"/>
  <c r="F5" i="14"/>
  <c r="AY5" i="14"/>
  <c r="F6" i="14"/>
  <c r="AY6" i="14"/>
  <c r="F7" i="14"/>
  <c r="AY7" i="14"/>
  <c r="F8" i="14"/>
  <c r="AY8" i="14"/>
  <c r="F9" i="14"/>
  <c r="AY9" i="14"/>
  <c r="F10" i="14"/>
  <c r="AY10" i="14"/>
  <c r="F11" i="14"/>
  <c r="F12" i="14"/>
  <c r="F13" i="14"/>
  <c r="F14" i="14"/>
  <c r="AY14" i="14"/>
  <c r="F15" i="14"/>
  <c r="AY15" i="14"/>
  <c r="F16" i="14"/>
  <c r="AY16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AC3" i="10"/>
  <c r="C6" i="10"/>
  <c r="G6" i="10"/>
  <c r="C7" i="10"/>
  <c r="G7" i="10"/>
  <c r="G27" i="10"/>
  <c r="AD3" i="10"/>
  <c r="C8" i="10"/>
  <c r="G8" i="10"/>
  <c r="C9" i="10"/>
  <c r="G9" i="10"/>
  <c r="C10" i="10"/>
  <c r="G10" i="10"/>
  <c r="C11" i="10"/>
  <c r="G11" i="10"/>
  <c r="C12" i="10"/>
  <c r="G12" i="10"/>
  <c r="C13" i="10"/>
  <c r="G13" i="10"/>
  <c r="C14" i="10"/>
  <c r="G14" i="10"/>
  <c r="C15" i="10"/>
  <c r="G15" i="10"/>
  <c r="C16" i="10"/>
  <c r="G16" i="10"/>
  <c r="C17" i="10"/>
  <c r="G17" i="10"/>
  <c r="C18" i="10"/>
  <c r="G18" i="10"/>
  <c r="C19" i="10"/>
  <c r="G19" i="10"/>
  <c r="C20" i="10"/>
  <c r="G20" i="10"/>
  <c r="C21" i="10"/>
  <c r="G21" i="10"/>
  <c r="C22" i="10"/>
  <c r="G22" i="10"/>
  <c r="C23" i="10"/>
  <c r="G23" i="10"/>
  <c r="C24" i="10"/>
  <c r="G24" i="10"/>
  <c r="C25" i="10"/>
  <c r="G25" i="10"/>
  <c r="C26" i="10"/>
  <c r="G26" i="10"/>
  <c r="E27" i="10"/>
  <c r="F27" i="10"/>
  <c r="AC29" i="10"/>
  <c r="C32" i="10"/>
  <c r="G32" i="10"/>
  <c r="C33" i="10"/>
  <c r="G33" i="10"/>
  <c r="C34" i="10"/>
  <c r="G34" i="10"/>
  <c r="C35" i="10"/>
  <c r="G35" i="10"/>
  <c r="C36" i="10"/>
  <c r="G36" i="10"/>
  <c r="C37" i="10"/>
  <c r="G37" i="10"/>
  <c r="C38" i="10"/>
  <c r="G38" i="10"/>
  <c r="C39" i="10"/>
  <c r="G39" i="10"/>
  <c r="C40" i="10"/>
  <c r="G40" i="10"/>
  <c r="C41" i="10"/>
  <c r="G41" i="10"/>
  <c r="C42" i="10"/>
  <c r="G42" i="10"/>
  <c r="C43" i="10"/>
  <c r="G43" i="10"/>
  <c r="C44" i="10"/>
  <c r="G44" i="10"/>
  <c r="C45" i="10"/>
  <c r="G45" i="10"/>
  <c r="C46" i="10"/>
  <c r="G46" i="10"/>
  <c r="C47" i="10"/>
  <c r="G47" i="10"/>
  <c r="C48" i="10"/>
  <c r="G48" i="10"/>
  <c r="C49" i="10"/>
  <c r="G49" i="10"/>
  <c r="C50" i="10"/>
  <c r="G50" i="10"/>
  <c r="C51" i="10"/>
  <c r="G51" i="10"/>
  <c r="C52" i="10"/>
  <c r="G52" i="10"/>
  <c r="E53" i="10"/>
  <c r="F53" i="10"/>
  <c r="AC55" i="10"/>
  <c r="C58" i="10"/>
  <c r="G58" i="10"/>
  <c r="G79" i="10"/>
  <c r="C59" i="10"/>
  <c r="G59" i="10"/>
  <c r="C60" i="10"/>
  <c r="G60" i="10"/>
  <c r="C61" i="10"/>
  <c r="G61" i="10"/>
  <c r="C62" i="10"/>
  <c r="G62" i="10"/>
  <c r="C63" i="10"/>
  <c r="G63" i="10"/>
  <c r="C64" i="10"/>
  <c r="G64" i="10"/>
  <c r="C65" i="10"/>
  <c r="G65" i="10"/>
  <c r="C66" i="10"/>
  <c r="G66" i="10"/>
  <c r="C67" i="10"/>
  <c r="G67" i="10"/>
  <c r="C68" i="10"/>
  <c r="G68" i="10"/>
  <c r="C69" i="10"/>
  <c r="G69" i="10"/>
  <c r="C70" i="10"/>
  <c r="G70" i="10"/>
  <c r="C71" i="10"/>
  <c r="G71" i="10"/>
  <c r="C72" i="10"/>
  <c r="G72" i="10"/>
  <c r="C73" i="10"/>
  <c r="G73" i="10"/>
  <c r="C74" i="10"/>
  <c r="G74" i="10"/>
  <c r="C75" i="10"/>
  <c r="G75" i="10"/>
  <c r="C76" i="10"/>
  <c r="G76" i="10"/>
  <c r="C77" i="10"/>
  <c r="G77" i="10"/>
  <c r="C78" i="10"/>
  <c r="G78" i="10"/>
  <c r="E79" i="10"/>
  <c r="F79" i="10"/>
  <c r="E84" i="10"/>
  <c r="F84" i="10"/>
  <c r="AC84" i="10"/>
  <c r="G85" i="10"/>
  <c r="G84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E98" i="10"/>
  <c r="F98" i="10"/>
  <c r="AC98" i="10"/>
  <c r="G99" i="10"/>
  <c r="G98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C117" i="10"/>
  <c r="J117" i="10"/>
  <c r="AC117" i="10"/>
  <c r="C118" i="10"/>
  <c r="J118" i="10"/>
  <c r="C119" i="10"/>
  <c r="J119" i="10"/>
  <c r="C120" i="10"/>
  <c r="J120" i="10"/>
  <c r="C121" i="10"/>
  <c r="J121" i="10"/>
  <c r="C122" i="10"/>
  <c r="J122" i="10"/>
  <c r="C123" i="10"/>
  <c r="J123" i="10"/>
  <c r="C124" i="10"/>
  <c r="J124" i="10"/>
  <c r="C125" i="10"/>
  <c r="J125" i="10"/>
  <c r="C126" i="10"/>
  <c r="J126" i="10"/>
  <c r="C127" i="10"/>
  <c r="J127" i="10"/>
  <c r="C128" i="10"/>
  <c r="J128" i="10"/>
  <c r="C129" i="10"/>
  <c r="J129" i="10"/>
  <c r="C130" i="10"/>
  <c r="J13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E184" i="10"/>
  <c r="F184" i="10"/>
  <c r="G184" i="10"/>
  <c r="I184" i="10"/>
  <c r="J184" i="10"/>
  <c r="K184" i="10"/>
  <c r="L184" i="10"/>
  <c r="M184" i="10"/>
  <c r="C185" i="10"/>
  <c r="D185" i="10"/>
  <c r="H185" i="10"/>
  <c r="N185" i="10"/>
  <c r="C186" i="10"/>
  <c r="D186" i="10"/>
  <c r="H186" i="10"/>
  <c r="N186" i="10"/>
  <c r="C187" i="10"/>
  <c r="D187" i="10"/>
  <c r="H187" i="10"/>
  <c r="C188" i="10"/>
  <c r="D188" i="10"/>
  <c r="H188" i="10"/>
  <c r="N188" i="10"/>
  <c r="C189" i="10"/>
  <c r="D189" i="10"/>
  <c r="H189" i="10"/>
  <c r="N189" i="10"/>
  <c r="C190" i="10"/>
  <c r="D190" i="10"/>
  <c r="H190" i="10"/>
  <c r="N190" i="10"/>
  <c r="C191" i="10"/>
  <c r="D191" i="10"/>
  <c r="H191" i="10"/>
  <c r="N191" i="10"/>
  <c r="C192" i="10"/>
  <c r="D192" i="10"/>
  <c r="H192" i="10"/>
  <c r="N192" i="10"/>
  <c r="C193" i="10"/>
  <c r="D193" i="10"/>
  <c r="H193" i="10"/>
  <c r="N193" i="10"/>
  <c r="C194" i="10"/>
  <c r="D194" i="10"/>
  <c r="H194" i="10"/>
  <c r="N194" i="10"/>
  <c r="C195" i="10"/>
  <c r="D195" i="10"/>
  <c r="H195" i="10"/>
  <c r="N195" i="10"/>
  <c r="C196" i="10"/>
  <c r="D196" i="10"/>
  <c r="H196" i="10"/>
  <c r="N196" i="10"/>
  <c r="E197" i="10"/>
  <c r="F197" i="10"/>
  <c r="G197" i="10"/>
  <c r="I197" i="10"/>
  <c r="J197" i="10"/>
  <c r="K197" i="10"/>
  <c r="L197" i="10"/>
  <c r="M197" i="10"/>
  <c r="C198" i="10"/>
  <c r="D198" i="10"/>
  <c r="H198" i="10"/>
  <c r="N198" i="10"/>
  <c r="C199" i="10"/>
  <c r="D199" i="10"/>
  <c r="H199" i="10"/>
  <c r="H197" i="10"/>
  <c r="C200" i="10"/>
  <c r="D200" i="10"/>
  <c r="H200" i="10"/>
  <c r="N200" i="10"/>
  <c r="C201" i="10"/>
  <c r="D201" i="10"/>
  <c r="H201" i="10"/>
  <c r="N201" i="10"/>
  <c r="C202" i="10"/>
  <c r="D202" i="10"/>
  <c r="H202" i="10"/>
  <c r="N202" i="10"/>
  <c r="C203" i="10"/>
  <c r="D203" i="10"/>
  <c r="H203" i="10"/>
  <c r="N203" i="10"/>
  <c r="C204" i="10"/>
  <c r="D204" i="10"/>
  <c r="H204" i="10"/>
  <c r="N204" i="10"/>
  <c r="C205" i="10"/>
  <c r="D205" i="10"/>
  <c r="H205" i="10"/>
  <c r="N205" i="10"/>
  <c r="C206" i="10"/>
  <c r="D206" i="10"/>
  <c r="H206" i="10"/>
  <c r="N206" i="10"/>
  <c r="C207" i="10"/>
  <c r="D207" i="10"/>
  <c r="H207" i="10"/>
  <c r="N207" i="10"/>
  <c r="C208" i="10"/>
  <c r="D208" i="10"/>
  <c r="H208" i="10"/>
  <c r="N208" i="10"/>
  <c r="C209" i="10"/>
  <c r="D209" i="10"/>
  <c r="H209" i="10"/>
  <c r="N209" i="10"/>
  <c r="E210" i="10"/>
  <c r="F210" i="10"/>
  <c r="G210" i="10"/>
  <c r="I210" i="10"/>
  <c r="J210" i="10"/>
  <c r="K210" i="10"/>
  <c r="L210" i="10"/>
  <c r="M210" i="10"/>
  <c r="C211" i="10"/>
  <c r="D211" i="10"/>
  <c r="H211" i="10"/>
  <c r="C212" i="10"/>
  <c r="D212" i="10"/>
  <c r="H212" i="10"/>
  <c r="N212" i="10"/>
  <c r="C213" i="10"/>
  <c r="D213" i="10"/>
  <c r="H213" i="10"/>
  <c r="N213" i="10"/>
  <c r="C214" i="10"/>
  <c r="D214" i="10"/>
  <c r="H214" i="10"/>
  <c r="N214" i="10"/>
  <c r="C215" i="10"/>
  <c r="D215" i="10"/>
  <c r="H215" i="10"/>
  <c r="N215" i="10"/>
  <c r="C216" i="10"/>
  <c r="D216" i="10"/>
  <c r="H216" i="10"/>
  <c r="N216" i="10"/>
  <c r="C217" i="10"/>
  <c r="D217" i="10"/>
  <c r="H217" i="10"/>
  <c r="N217" i="10"/>
  <c r="C218" i="10"/>
  <c r="D218" i="10"/>
  <c r="H218" i="10"/>
  <c r="N218" i="10"/>
  <c r="C219" i="10"/>
  <c r="D219" i="10"/>
  <c r="H219" i="10"/>
  <c r="N219" i="10"/>
  <c r="C220" i="10"/>
  <c r="D220" i="10"/>
  <c r="H220" i="10"/>
  <c r="N220" i="10"/>
  <c r="C221" i="10"/>
  <c r="D221" i="10"/>
  <c r="H221" i="10"/>
  <c r="N221" i="10"/>
  <c r="C222" i="10"/>
  <c r="D222" i="10"/>
  <c r="H222" i="10"/>
  <c r="N22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E276" i="10"/>
  <c r="F276" i="10"/>
  <c r="G276" i="10"/>
  <c r="I276" i="10"/>
  <c r="J276" i="10"/>
  <c r="K276" i="10"/>
  <c r="L276" i="10"/>
  <c r="M276" i="10"/>
  <c r="C277" i="10"/>
  <c r="D277" i="10"/>
  <c r="H277" i="10"/>
  <c r="N277" i="10"/>
  <c r="C278" i="10"/>
  <c r="D278" i="10"/>
  <c r="H278" i="10"/>
  <c r="N278" i="10"/>
  <c r="C279" i="10"/>
  <c r="D279" i="10"/>
  <c r="H279" i="10"/>
  <c r="C280" i="10"/>
  <c r="D280" i="10"/>
  <c r="H280" i="10"/>
  <c r="N280" i="10"/>
  <c r="C281" i="10"/>
  <c r="D281" i="10"/>
  <c r="H281" i="10"/>
  <c r="N281" i="10"/>
  <c r="C282" i="10"/>
  <c r="D282" i="10"/>
  <c r="H282" i="10"/>
  <c r="N282" i="10"/>
  <c r="C283" i="10"/>
  <c r="D283" i="10"/>
  <c r="H283" i="10"/>
  <c r="N283" i="10"/>
  <c r="C284" i="10"/>
  <c r="D284" i="10"/>
  <c r="H284" i="10"/>
  <c r="N284" i="10"/>
  <c r="C285" i="10"/>
  <c r="D285" i="10"/>
  <c r="H285" i="10"/>
  <c r="N285" i="10"/>
  <c r="C286" i="10"/>
  <c r="D286" i="10"/>
  <c r="H286" i="10"/>
  <c r="N286" i="10"/>
  <c r="C287" i="10"/>
  <c r="D287" i="10"/>
  <c r="H287" i="10"/>
  <c r="N287" i="10"/>
  <c r="C288" i="10"/>
  <c r="D288" i="10"/>
  <c r="H288" i="10"/>
  <c r="N288" i="10"/>
  <c r="E289" i="10"/>
  <c r="F289" i="10"/>
  <c r="G289" i="10"/>
  <c r="I289" i="10"/>
  <c r="J289" i="10"/>
  <c r="K289" i="10"/>
  <c r="L289" i="10"/>
  <c r="M289" i="10"/>
  <c r="C290" i="10"/>
  <c r="D290" i="10"/>
  <c r="H290" i="10"/>
  <c r="N290" i="10"/>
  <c r="C291" i="10"/>
  <c r="D291" i="10"/>
  <c r="H291" i="10"/>
  <c r="N291" i="10"/>
  <c r="C292" i="10"/>
  <c r="D292" i="10"/>
  <c r="H292" i="10"/>
  <c r="N292" i="10"/>
  <c r="C293" i="10"/>
  <c r="D293" i="10"/>
  <c r="H293" i="10"/>
  <c r="N293" i="10"/>
  <c r="C294" i="10"/>
  <c r="D294" i="10"/>
  <c r="H294" i="10"/>
  <c r="N294" i="10"/>
  <c r="C295" i="10"/>
  <c r="D295" i="10"/>
  <c r="H295" i="10"/>
  <c r="N295" i="10"/>
  <c r="C296" i="10"/>
  <c r="D296" i="10"/>
  <c r="H296" i="10"/>
  <c r="N296" i="10"/>
  <c r="C297" i="10"/>
  <c r="D297" i="10"/>
  <c r="H297" i="10"/>
  <c r="N297" i="10"/>
  <c r="C298" i="10"/>
  <c r="D298" i="10"/>
  <c r="H298" i="10"/>
  <c r="N298" i="10"/>
  <c r="C299" i="10"/>
  <c r="D299" i="10"/>
  <c r="H299" i="10"/>
  <c r="N299" i="10"/>
  <c r="C300" i="10"/>
  <c r="D300" i="10"/>
  <c r="H300" i="10"/>
  <c r="N300" i="10"/>
  <c r="C301" i="10"/>
  <c r="D301" i="10"/>
  <c r="H301" i="10"/>
  <c r="N301" i="10"/>
  <c r="E302" i="10"/>
  <c r="F302" i="10"/>
  <c r="G302" i="10"/>
  <c r="I302" i="10"/>
  <c r="J302" i="10"/>
  <c r="K302" i="10"/>
  <c r="L302" i="10"/>
  <c r="M302" i="10"/>
  <c r="C303" i="10"/>
  <c r="D303" i="10"/>
  <c r="H303" i="10"/>
  <c r="C304" i="10"/>
  <c r="D304" i="10"/>
  <c r="H304" i="10"/>
  <c r="N304" i="10"/>
  <c r="C305" i="10"/>
  <c r="D305" i="10"/>
  <c r="H305" i="10"/>
  <c r="N305" i="10"/>
  <c r="C306" i="10"/>
  <c r="D306" i="10"/>
  <c r="H306" i="10"/>
  <c r="N306" i="10"/>
  <c r="C307" i="10"/>
  <c r="D307" i="10"/>
  <c r="H307" i="10"/>
  <c r="N307" i="10"/>
  <c r="C308" i="10"/>
  <c r="D308" i="10"/>
  <c r="H308" i="10"/>
  <c r="N308" i="10"/>
  <c r="C309" i="10"/>
  <c r="D309" i="10"/>
  <c r="H309" i="10"/>
  <c r="N309" i="10"/>
  <c r="C310" i="10"/>
  <c r="D310" i="10"/>
  <c r="H310" i="10"/>
  <c r="N310" i="10"/>
  <c r="C311" i="10"/>
  <c r="D311" i="10"/>
  <c r="H311" i="10"/>
  <c r="N311" i="10"/>
  <c r="C312" i="10"/>
  <c r="D312" i="10"/>
  <c r="H312" i="10"/>
  <c r="N312" i="10"/>
  <c r="C313" i="10"/>
  <c r="D313" i="10"/>
  <c r="H313" i="10"/>
  <c r="N313" i="10"/>
  <c r="C314" i="10"/>
  <c r="D314" i="10"/>
  <c r="H314" i="10"/>
  <c r="N314" i="10"/>
  <c r="B315" i="10"/>
  <c r="B316" i="10"/>
  <c r="B317" i="10"/>
  <c r="B318" i="10"/>
  <c r="B319" i="10"/>
  <c r="B320" i="10"/>
  <c r="B321" i="10"/>
  <c r="B322" i="10"/>
  <c r="B323" i="10"/>
  <c r="B324" i="10"/>
  <c r="B325" i="10"/>
  <c r="C326" i="10"/>
  <c r="K326" i="10"/>
  <c r="K348" i="10"/>
  <c r="AD348" i="10"/>
  <c r="C327" i="10"/>
  <c r="K327" i="10"/>
  <c r="C328" i="10"/>
  <c r="K328" i="10"/>
  <c r="C329" i="10"/>
  <c r="K329" i="10"/>
  <c r="C330" i="10"/>
  <c r="K330" i="10"/>
  <c r="C331" i="10"/>
  <c r="K331" i="10"/>
  <c r="C332" i="10"/>
  <c r="K332" i="10"/>
  <c r="C333" i="10"/>
  <c r="K333" i="10"/>
  <c r="C334" i="10"/>
  <c r="K334" i="10"/>
  <c r="C335" i="10"/>
  <c r="K335" i="10"/>
  <c r="C336" i="10"/>
  <c r="K336" i="10"/>
  <c r="C337" i="10"/>
  <c r="K337" i="10"/>
  <c r="C338" i="10"/>
  <c r="K338" i="10"/>
  <c r="C339" i="10"/>
  <c r="K339" i="10"/>
  <c r="C340" i="10"/>
  <c r="K340" i="10"/>
  <c r="C341" i="10"/>
  <c r="K341" i="10"/>
  <c r="C342" i="10"/>
  <c r="K342" i="10"/>
  <c r="C343" i="10"/>
  <c r="K343" i="10"/>
  <c r="C344" i="10"/>
  <c r="K344" i="10"/>
  <c r="C345" i="10"/>
  <c r="K345" i="10"/>
  <c r="C346" i="10"/>
  <c r="K346" i="10"/>
  <c r="C347" i="10"/>
  <c r="K347" i="10"/>
  <c r="H348" i="10"/>
  <c r="I348" i="10"/>
  <c r="J348" i="10"/>
  <c r="AC348" i="10"/>
  <c r="C349" i="10"/>
  <c r="K349" i="10"/>
  <c r="C350" i="10"/>
  <c r="K350" i="10"/>
  <c r="C351" i="10"/>
  <c r="K351" i="10"/>
  <c r="C352" i="10"/>
  <c r="K352" i="10"/>
  <c r="C353" i="10"/>
  <c r="K353" i="10"/>
  <c r="C354" i="10"/>
  <c r="K354" i="10"/>
  <c r="C355" i="10"/>
  <c r="K355" i="10"/>
  <c r="C356" i="10"/>
  <c r="K356" i="10"/>
  <c r="C357" i="10"/>
  <c r="K357" i="10"/>
  <c r="C358" i="10"/>
  <c r="K358" i="10"/>
  <c r="C359" i="10"/>
  <c r="K359" i="10"/>
  <c r="C360" i="10"/>
  <c r="K360" i="10"/>
  <c r="C361" i="10"/>
  <c r="K361" i="10"/>
  <c r="C362" i="10"/>
  <c r="K362" i="10"/>
  <c r="C363" i="10"/>
  <c r="K363" i="10"/>
  <c r="C364" i="10"/>
  <c r="K364" i="10"/>
  <c r="C365" i="10"/>
  <c r="K365" i="10"/>
  <c r="C366" i="10"/>
  <c r="K366" i="10"/>
  <c r="C367" i="10"/>
  <c r="K367" i="10"/>
  <c r="C368" i="10"/>
  <c r="K368" i="10"/>
  <c r="C369" i="10"/>
  <c r="K369" i="10"/>
  <c r="C370" i="10"/>
  <c r="K370" i="10"/>
  <c r="H371" i="10"/>
  <c r="I371" i="10"/>
  <c r="J371" i="10"/>
  <c r="K371" i="10"/>
  <c r="AD371" i="10"/>
  <c r="AC371" i="10"/>
  <c r="C372" i="10"/>
  <c r="K372" i="10"/>
  <c r="C373" i="10"/>
  <c r="K373" i="10"/>
  <c r="C374" i="10"/>
  <c r="K374" i="10"/>
  <c r="C375" i="10"/>
  <c r="K375" i="10"/>
  <c r="C376" i="10"/>
  <c r="K376" i="10"/>
  <c r="C377" i="10"/>
  <c r="K377" i="10"/>
  <c r="C378" i="10"/>
  <c r="K378" i="10"/>
  <c r="C379" i="10"/>
  <c r="K379" i="10"/>
  <c r="C380" i="10"/>
  <c r="K380" i="10"/>
  <c r="C381" i="10"/>
  <c r="K381" i="10"/>
  <c r="C382" i="10"/>
  <c r="K382" i="10"/>
  <c r="C383" i="10"/>
  <c r="K383" i="10"/>
  <c r="C384" i="10"/>
  <c r="K384" i="10"/>
  <c r="C385" i="10"/>
  <c r="K385" i="10"/>
  <c r="C386" i="10"/>
  <c r="K386" i="10"/>
  <c r="C387" i="10"/>
  <c r="K387" i="10"/>
  <c r="C388" i="10"/>
  <c r="K388" i="10"/>
  <c r="C389" i="10"/>
  <c r="K389" i="10"/>
  <c r="C390" i="10"/>
  <c r="K390" i="10"/>
  <c r="C391" i="10"/>
  <c r="K391" i="10"/>
  <c r="C392" i="10"/>
  <c r="K392" i="10"/>
  <c r="C393" i="10"/>
  <c r="K393" i="10"/>
  <c r="H394" i="10"/>
  <c r="I394" i="10"/>
  <c r="J394" i="10"/>
  <c r="AC394" i="10"/>
  <c r="C395" i="10"/>
  <c r="K395" i="10"/>
  <c r="C396" i="10"/>
  <c r="K396" i="10"/>
  <c r="C397" i="10"/>
  <c r="K397" i="10"/>
  <c r="C398" i="10"/>
  <c r="K398" i="10"/>
  <c r="C399" i="10"/>
  <c r="K399" i="10"/>
  <c r="C400" i="10"/>
  <c r="K400" i="10"/>
  <c r="C401" i="10"/>
  <c r="K401" i="10"/>
  <c r="C402" i="10"/>
  <c r="K402" i="10"/>
  <c r="C403" i="10"/>
  <c r="K403" i="10"/>
  <c r="C404" i="10"/>
  <c r="K404" i="10"/>
  <c r="C405" i="10"/>
  <c r="K405" i="10"/>
  <c r="C406" i="10"/>
  <c r="K406" i="10"/>
  <c r="C407" i="10"/>
  <c r="K407" i="10"/>
  <c r="H408" i="10"/>
  <c r="I408" i="10"/>
  <c r="J408" i="10"/>
  <c r="AC408" i="10"/>
  <c r="C409" i="10"/>
  <c r="K409" i="10"/>
  <c r="C410" i="10"/>
  <c r="K410" i="10"/>
  <c r="K422" i="10"/>
  <c r="AD422" i="10"/>
  <c r="C411" i="10"/>
  <c r="K411" i="10"/>
  <c r="C412" i="10"/>
  <c r="K412" i="10"/>
  <c r="C413" i="10"/>
  <c r="K413" i="10"/>
  <c r="C414" i="10"/>
  <c r="K414" i="10"/>
  <c r="C415" i="10"/>
  <c r="K415" i="10"/>
  <c r="C416" i="10"/>
  <c r="K416" i="10"/>
  <c r="C417" i="10"/>
  <c r="K417" i="10"/>
  <c r="C418" i="10"/>
  <c r="K418" i="10"/>
  <c r="C419" i="10"/>
  <c r="K419" i="10"/>
  <c r="C420" i="10"/>
  <c r="K420" i="10"/>
  <c r="C421" i="10"/>
  <c r="K421" i="10"/>
  <c r="H422" i="10"/>
  <c r="I422" i="10"/>
  <c r="J422" i="10"/>
  <c r="AC422" i="10"/>
  <c r="C423" i="10"/>
  <c r="K423" i="10"/>
  <c r="C424" i="10"/>
  <c r="K424" i="10"/>
  <c r="C425" i="10"/>
  <c r="K425" i="10"/>
  <c r="C426" i="10"/>
  <c r="K426" i="10"/>
  <c r="C427" i="10"/>
  <c r="K427" i="10"/>
  <c r="C428" i="10"/>
  <c r="K428" i="10"/>
  <c r="C429" i="10"/>
  <c r="K429" i="10"/>
  <c r="C430" i="10"/>
  <c r="K430" i="10"/>
  <c r="C431" i="10"/>
  <c r="K431" i="10"/>
  <c r="C432" i="10"/>
  <c r="K432" i="10"/>
  <c r="C433" i="10"/>
  <c r="K433" i="10"/>
  <c r="C434" i="10"/>
  <c r="K434" i="10"/>
  <c r="C435" i="10"/>
  <c r="K435" i="10"/>
  <c r="H436" i="10"/>
  <c r="I436" i="10"/>
  <c r="J436" i="10"/>
  <c r="K436" i="10"/>
  <c r="AD436" i="10"/>
  <c r="AC436" i="10"/>
  <c r="C441" i="10"/>
  <c r="J441" i="10"/>
  <c r="C442" i="10"/>
  <c r="J442" i="10"/>
  <c r="C443" i="10"/>
  <c r="J443" i="10"/>
  <c r="C444" i="10"/>
  <c r="J444" i="10"/>
  <c r="C445" i="10"/>
  <c r="J445" i="10"/>
  <c r="C446" i="10"/>
  <c r="J446" i="10"/>
  <c r="C447" i="10"/>
  <c r="J447" i="10"/>
  <c r="C448" i="10"/>
  <c r="J448" i="10"/>
  <c r="C449" i="10"/>
  <c r="J449" i="10"/>
  <c r="C450" i="10"/>
  <c r="J450" i="10"/>
  <c r="C451" i="10"/>
  <c r="J451" i="10"/>
  <c r="C452" i="10"/>
  <c r="J452" i="10"/>
  <c r="C453" i="10"/>
  <c r="J453" i="10"/>
  <c r="C454" i="10"/>
  <c r="J454" i="10"/>
  <c r="C455" i="10"/>
  <c r="J455" i="10"/>
  <c r="C456" i="10"/>
  <c r="J456" i="10"/>
  <c r="C457" i="10"/>
  <c r="J457" i="10"/>
  <c r="C458" i="10"/>
  <c r="J458" i="10"/>
  <c r="C459" i="10"/>
  <c r="J459" i="10"/>
  <c r="C460" i="10"/>
  <c r="J460" i="10"/>
  <c r="C461" i="10"/>
  <c r="J461" i="10"/>
  <c r="C462" i="10"/>
  <c r="J462" i="10"/>
  <c r="C463" i="10"/>
  <c r="J463" i="10"/>
  <c r="C464" i="10"/>
  <c r="J464" i="10"/>
  <c r="C465" i="10"/>
  <c r="J465" i="10"/>
  <c r="C466" i="10"/>
  <c r="J466" i="10"/>
  <c r="C467" i="10"/>
  <c r="J467" i="10"/>
  <c r="H468" i="10"/>
  <c r="I468" i="10"/>
  <c r="C471" i="10"/>
  <c r="J471" i="10"/>
  <c r="C472" i="10"/>
  <c r="J472" i="10"/>
  <c r="C473" i="10"/>
  <c r="J473" i="10"/>
  <c r="C474" i="10"/>
  <c r="J474" i="10"/>
  <c r="C475" i="10"/>
  <c r="J475" i="10"/>
  <c r="C476" i="10"/>
  <c r="J476" i="10"/>
  <c r="C477" i="10"/>
  <c r="J477" i="10"/>
  <c r="C478" i="10"/>
  <c r="J478" i="10"/>
  <c r="C479" i="10"/>
  <c r="J479" i="10"/>
  <c r="C480" i="10"/>
  <c r="J480" i="10"/>
  <c r="C481" i="10"/>
  <c r="J481" i="10"/>
  <c r="J498" i="10"/>
  <c r="C482" i="10"/>
  <c r="J482" i="10"/>
  <c r="C483" i="10"/>
  <c r="J483" i="10"/>
  <c r="C484" i="10"/>
  <c r="J484" i="10"/>
  <c r="C485" i="10"/>
  <c r="J485" i="10"/>
  <c r="C486" i="10"/>
  <c r="J486" i="10"/>
  <c r="C487" i="10"/>
  <c r="J487" i="10"/>
  <c r="C488" i="10"/>
  <c r="J488" i="10"/>
  <c r="C489" i="10"/>
  <c r="J489" i="10"/>
  <c r="C490" i="10"/>
  <c r="J490" i="10"/>
  <c r="C491" i="10"/>
  <c r="J491" i="10"/>
  <c r="C492" i="10"/>
  <c r="J492" i="10"/>
  <c r="C493" i="10"/>
  <c r="J493" i="10"/>
  <c r="C494" i="10"/>
  <c r="J494" i="10"/>
  <c r="C495" i="10"/>
  <c r="J495" i="10"/>
  <c r="C496" i="10"/>
  <c r="J496" i="10"/>
  <c r="C497" i="10"/>
  <c r="J497" i="10"/>
  <c r="H498" i="10"/>
  <c r="I498" i="10"/>
  <c r="B502" i="10"/>
  <c r="B503" i="10"/>
  <c r="J504" i="10"/>
  <c r="K504" i="10"/>
  <c r="N504" i="10"/>
  <c r="AC504" i="10"/>
  <c r="C505" i="10"/>
  <c r="O505" i="10"/>
  <c r="C506" i="10"/>
  <c r="J506" i="10"/>
  <c r="K506" i="10"/>
  <c r="L506" i="10"/>
  <c r="L504" i="10"/>
  <c r="M506" i="10"/>
  <c r="M504" i="10"/>
  <c r="N506" i="10"/>
  <c r="O506" i="10"/>
  <c r="O504" i="10"/>
  <c r="AD504" i="10"/>
  <c r="P506" i="10"/>
  <c r="P504" i="10"/>
  <c r="Q506" i="10"/>
  <c r="Q504" i="10"/>
  <c r="C507" i="10"/>
  <c r="O507" i="10"/>
  <c r="C508" i="10"/>
  <c r="O508" i="10"/>
  <c r="C509" i="10"/>
  <c r="O509" i="10"/>
  <c r="C510" i="10"/>
  <c r="O510" i="10"/>
  <c r="C511" i="10"/>
  <c r="O511" i="10"/>
  <c r="C512" i="10"/>
  <c r="O512" i="10"/>
  <c r="C513" i="10"/>
  <c r="O513" i="10"/>
  <c r="C514" i="10"/>
  <c r="O514" i="10"/>
  <c r="C515" i="10"/>
  <c r="O515" i="10"/>
  <c r="C516" i="10"/>
  <c r="O516" i="10"/>
  <c r="J517" i="10"/>
  <c r="K517" i="10"/>
  <c r="N517" i="10"/>
  <c r="AC517" i="10"/>
  <c r="C518" i="10"/>
  <c r="O518" i="10"/>
  <c r="C519" i="10"/>
  <c r="J519" i="10"/>
  <c r="K519" i="10"/>
  <c r="L519" i="10"/>
  <c r="L517" i="10"/>
  <c r="M519" i="10"/>
  <c r="M517" i="10"/>
  <c r="N519" i="10"/>
  <c r="P519" i="10"/>
  <c r="P517" i="10"/>
  <c r="Q519" i="10"/>
  <c r="Q517" i="10"/>
  <c r="C520" i="10"/>
  <c r="O520" i="10"/>
  <c r="C521" i="10"/>
  <c r="O521" i="10"/>
  <c r="C522" i="10"/>
  <c r="O522" i="10"/>
  <c r="C523" i="10"/>
  <c r="O523" i="10"/>
  <c r="C524" i="10"/>
  <c r="O524" i="10"/>
  <c r="C525" i="10"/>
  <c r="O525" i="10"/>
  <c r="C526" i="10"/>
  <c r="O526" i="10"/>
  <c r="C527" i="10"/>
  <c r="O527" i="10"/>
  <c r="C528" i="10"/>
  <c r="O528" i="10"/>
  <c r="C529" i="10"/>
  <c r="O529" i="10"/>
  <c r="C530" i="10"/>
  <c r="O530" i="10"/>
  <c r="C531" i="10"/>
  <c r="O531" i="10"/>
  <c r="C532" i="10"/>
  <c r="O532" i="10"/>
  <c r="C533" i="10"/>
  <c r="O533" i="10"/>
  <c r="C534" i="10"/>
  <c r="O534" i="10"/>
  <c r="C535" i="10"/>
  <c r="O535" i="10"/>
  <c r="C536" i="10"/>
  <c r="O536" i="10"/>
  <c r="C537" i="10"/>
  <c r="O537" i="10"/>
  <c r="C538" i="10"/>
  <c r="O538" i="10"/>
  <c r="C539" i="10"/>
  <c r="O539" i="10"/>
  <c r="C540" i="10"/>
  <c r="O540" i="10"/>
  <c r="C541" i="10"/>
  <c r="O541" i="10"/>
  <c r="C542" i="10"/>
  <c r="O542" i="10"/>
  <c r="C543" i="10"/>
  <c r="O543" i="10"/>
  <c r="C544" i="10"/>
  <c r="O544" i="10"/>
  <c r="C545" i="10"/>
  <c r="O545" i="10"/>
  <c r="C546" i="10"/>
  <c r="O546" i="10"/>
  <c r="C547" i="10"/>
  <c r="O547" i="10"/>
  <c r="C548" i="10"/>
  <c r="O548" i="10"/>
  <c r="C549" i="10"/>
  <c r="O549" i="10"/>
  <c r="J550" i="10"/>
  <c r="L550" i="10"/>
  <c r="AC550" i="10"/>
  <c r="C551" i="10"/>
  <c r="O551" i="10"/>
  <c r="C552" i="10"/>
  <c r="J552" i="10"/>
  <c r="K552" i="10"/>
  <c r="K550" i="10"/>
  <c r="L552" i="10"/>
  <c r="M552" i="10"/>
  <c r="M550" i="10"/>
  <c r="N552" i="10"/>
  <c r="N550" i="10"/>
  <c r="P552" i="10"/>
  <c r="P550" i="10"/>
  <c r="Q552" i="10"/>
  <c r="Q550" i="10"/>
  <c r="C553" i="10"/>
  <c r="O553" i="10"/>
  <c r="C554" i="10"/>
  <c r="O554" i="10"/>
  <c r="C555" i="10"/>
  <c r="O555" i="10"/>
  <c r="C556" i="10"/>
  <c r="O556" i="10"/>
  <c r="C557" i="10"/>
  <c r="O557" i="10"/>
  <c r="C558" i="10"/>
  <c r="O558" i="10"/>
  <c r="C559" i="10"/>
  <c r="O559" i="10"/>
  <c r="C560" i="10"/>
  <c r="O560" i="10"/>
  <c r="C561" i="10"/>
  <c r="O561" i="10"/>
  <c r="C562" i="10"/>
  <c r="O562" i="10"/>
  <c r="C563" i="10"/>
  <c r="O563" i="10"/>
  <c r="C564" i="10"/>
  <c r="O564" i="10"/>
  <c r="C565" i="10"/>
  <c r="O565" i="10"/>
  <c r="C566" i="10"/>
  <c r="O566" i="10"/>
  <c r="C567" i="10"/>
  <c r="O567" i="10"/>
  <c r="C568" i="10"/>
  <c r="O568" i="10"/>
  <c r="C569" i="10"/>
  <c r="O569" i="10"/>
  <c r="C570" i="10"/>
  <c r="O570" i="10"/>
  <c r="C571" i="10"/>
  <c r="O571" i="10"/>
  <c r="C572" i="10"/>
  <c r="O572" i="10"/>
  <c r="C573" i="10"/>
  <c r="O573" i="10"/>
  <c r="C574" i="10"/>
  <c r="O574" i="10"/>
  <c r="C575" i="10"/>
  <c r="O575" i="10"/>
  <c r="C576" i="10"/>
  <c r="O576" i="10"/>
  <c r="C577" i="10"/>
  <c r="O577" i="10"/>
  <c r="C578" i="10"/>
  <c r="O578" i="10"/>
  <c r="C579" i="10"/>
  <c r="O579" i="10"/>
  <c r="C580" i="10"/>
  <c r="O580" i="10"/>
  <c r="C581" i="10"/>
  <c r="O581" i="10"/>
  <c r="C582" i="10"/>
  <c r="O582" i="10"/>
  <c r="C583" i="10"/>
  <c r="O583" i="10"/>
  <c r="C584" i="10"/>
  <c r="O584" i="10"/>
  <c r="C585" i="10"/>
  <c r="O585" i="10"/>
  <c r="C586" i="10"/>
  <c r="O586" i="10"/>
  <c r="C587" i="10"/>
  <c r="O587" i="10"/>
  <c r="C588" i="10"/>
  <c r="O588" i="10"/>
  <c r="C589" i="10"/>
  <c r="O589" i="10"/>
  <c r="C590" i="10"/>
  <c r="O590" i="10"/>
  <c r="C591" i="10"/>
  <c r="O591" i="10"/>
  <c r="C592" i="10"/>
  <c r="O592" i="10"/>
  <c r="C593" i="10"/>
  <c r="O593" i="10"/>
  <c r="C594" i="10"/>
  <c r="O594" i="10"/>
  <c r="C595" i="10"/>
  <c r="O595" i="10"/>
  <c r="C596" i="10"/>
  <c r="O596" i="10"/>
  <c r="C597" i="10"/>
  <c r="O597" i="10"/>
  <c r="C598" i="10"/>
  <c r="O598" i="10"/>
  <c r="C599" i="10"/>
  <c r="O599" i="10"/>
  <c r="C600" i="10"/>
  <c r="O600" i="10"/>
  <c r="C601" i="10"/>
  <c r="O601" i="10"/>
  <c r="C602" i="10"/>
  <c r="O602" i="10"/>
  <c r="J603" i="10"/>
  <c r="L603" i="10"/>
  <c r="N603" i="10"/>
  <c r="AC603" i="10"/>
  <c r="C604" i="10"/>
  <c r="O604" i="10"/>
  <c r="C605" i="10"/>
  <c r="J605" i="10"/>
  <c r="K605" i="10"/>
  <c r="K603" i="10"/>
  <c r="L605" i="10"/>
  <c r="M605" i="10"/>
  <c r="M603" i="10"/>
  <c r="N605" i="10"/>
  <c r="P605" i="10"/>
  <c r="P603" i="10"/>
  <c r="Q605" i="10"/>
  <c r="Q603" i="10"/>
  <c r="C606" i="10"/>
  <c r="O606" i="10"/>
  <c r="C607" i="10"/>
  <c r="O607" i="10"/>
  <c r="C608" i="10"/>
  <c r="O608" i="10"/>
  <c r="C609" i="10"/>
  <c r="O609" i="10"/>
  <c r="C610" i="10"/>
  <c r="O610" i="10"/>
  <c r="C611" i="10"/>
  <c r="O611" i="10"/>
  <c r="C612" i="10"/>
  <c r="O612" i="10"/>
  <c r="C613" i="10"/>
  <c r="O613" i="10"/>
  <c r="C614" i="10"/>
  <c r="O614" i="10"/>
  <c r="C615" i="10"/>
  <c r="O615" i="10"/>
  <c r="C616" i="10"/>
  <c r="O616" i="10"/>
  <c r="C617" i="10"/>
  <c r="O617" i="10"/>
  <c r="C618" i="10"/>
  <c r="O618" i="10"/>
  <c r="C619" i="10"/>
  <c r="O619" i="10"/>
  <c r="C620" i="10"/>
  <c r="O620" i="10"/>
  <c r="C621" i="10"/>
  <c r="O621" i="10"/>
  <c r="C622" i="10"/>
  <c r="O622" i="10"/>
  <c r="C623" i="10"/>
  <c r="O623" i="10"/>
  <c r="C624" i="10"/>
  <c r="O624" i="10"/>
  <c r="C625" i="10"/>
  <c r="O625" i="10"/>
  <c r="C626" i="10"/>
  <c r="O626" i="10"/>
  <c r="C627" i="10"/>
  <c r="O627" i="10"/>
  <c r="C628" i="10"/>
  <c r="O628" i="10"/>
  <c r="C629" i="10"/>
  <c r="O629" i="10"/>
  <c r="C630" i="10"/>
  <c r="O630" i="10"/>
  <c r="C631" i="10"/>
  <c r="O631" i="10"/>
  <c r="C632" i="10"/>
  <c r="O632" i="10"/>
  <c r="C633" i="10"/>
  <c r="O633" i="10"/>
  <c r="C634" i="10"/>
  <c r="O634" i="10"/>
  <c r="C635" i="10"/>
  <c r="O635" i="10"/>
  <c r="J636" i="10"/>
  <c r="K636" i="10"/>
  <c r="L636" i="10"/>
  <c r="N636" i="10"/>
  <c r="P636" i="10"/>
  <c r="AC636" i="10"/>
  <c r="C637" i="10"/>
  <c r="O637" i="10"/>
  <c r="C638" i="10"/>
  <c r="J638" i="10"/>
  <c r="K638" i="10"/>
  <c r="L638" i="10"/>
  <c r="M638" i="10"/>
  <c r="M636" i="10"/>
  <c r="N638" i="10"/>
  <c r="P638" i="10"/>
  <c r="Q638" i="10"/>
  <c r="Q636" i="10"/>
  <c r="C639" i="10"/>
  <c r="O639" i="10"/>
  <c r="C640" i="10"/>
  <c r="O640" i="10"/>
  <c r="O638" i="10"/>
  <c r="O636" i="10"/>
  <c r="AD636" i="10"/>
  <c r="C641" i="10"/>
  <c r="O641" i="10"/>
  <c r="C642" i="10"/>
  <c r="O642" i="10"/>
  <c r="C643" i="10"/>
  <c r="O643" i="10"/>
  <c r="C644" i="10"/>
  <c r="O644" i="10"/>
  <c r="C645" i="10"/>
  <c r="O645" i="10"/>
  <c r="C646" i="10"/>
  <c r="O646" i="10"/>
  <c r="C647" i="10"/>
  <c r="O647" i="10"/>
  <c r="C648" i="10"/>
  <c r="O648" i="10"/>
  <c r="C649" i="10"/>
  <c r="O649" i="10"/>
  <c r="C650" i="10"/>
  <c r="O650" i="10"/>
  <c r="C651" i="10"/>
  <c r="O651" i="10"/>
  <c r="C652" i="10"/>
  <c r="O652" i="10"/>
  <c r="C653" i="10"/>
  <c r="O653" i="10"/>
  <c r="C654" i="10"/>
  <c r="O654" i="10"/>
  <c r="C655" i="10"/>
  <c r="O655" i="10"/>
  <c r="C656" i="10"/>
  <c r="O656" i="10"/>
  <c r="C657" i="10"/>
  <c r="O657" i="10"/>
  <c r="C658" i="10"/>
  <c r="O658" i="10"/>
  <c r="C659" i="10"/>
  <c r="O659" i="10"/>
  <c r="C660" i="10"/>
  <c r="O660" i="10"/>
  <c r="C661" i="10"/>
  <c r="O661" i="10"/>
  <c r="C662" i="10"/>
  <c r="O662" i="10"/>
  <c r="C663" i="10"/>
  <c r="O663" i="10"/>
  <c r="C664" i="10"/>
  <c r="O664" i="10"/>
  <c r="C665" i="10"/>
  <c r="O665" i="10"/>
  <c r="C666" i="10"/>
  <c r="O666" i="10"/>
  <c r="C667" i="10"/>
  <c r="O667" i="10"/>
  <c r="C668" i="10"/>
  <c r="O668" i="10"/>
  <c r="C669" i="10"/>
  <c r="O669" i="10"/>
  <c r="C670" i="10"/>
  <c r="O670" i="10"/>
  <c r="C671" i="10"/>
  <c r="O671" i="10"/>
  <c r="C672" i="10"/>
  <c r="O672" i="10"/>
  <c r="C673" i="10"/>
  <c r="O673" i="10"/>
  <c r="C674" i="10"/>
  <c r="O674" i="10"/>
  <c r="C675" i="10"/>
  <c r="O675" i="10"/>
  <c r="C676" i="10"/>
  <c r="O676" i="10"/>
  <c r="C677" i="10"/>
  <c r="O677" i="10"/>
  <c r="C678" i="10"/>
  <c r="O678" i="10"/>
  <c r="C679" i="10"/>
  <c r="O679" i="10"/>
  <c r="C680" i="10"/>
  <c r="O680" i="10"/>
  <c r="C681" i="10"/>
  <c r="O681" i="10"/>
  <c r="C682" i="10"/>
  <c r="O682" i="10"/>
  <c r="C683" i="10"/>
  <c r="O683" i="10"/>
  <c r="C684" i="10"/>
  <c r="O684" i="10"/>
  <c r="C685" i="10"/>
  <c r="O685" i="10"/>
  <c r="C686" i="10"/>
  <c r="O686" i="10"/>
  <c r="C687" i="10"/>
  <c r="O687" i="10"/>
  <c r="C688" i="10"/>
  <c r="O688" i="10"/>
  <c r="B689" i="10"/>
  <c r="B690" i="10"/>
  <c r="B691" i="10"/>
  <c r="B692" i="10"/>
  <c r="B693" i="10"/>
  <c r="G693" i="10"/>
  <c r="G698" i="10"/>
  <c r="H693" i="10"/>
  <c r="H698" i="10"/>
  <c r="I693" i="10"/>
  <c r="I698" i="10"/>
  <c r="B694" i="10"/>
  <c r="B695" i="10"/>
  <c r="B696" i="10"/>
  <c r="B697" i="10"/>
  <c r="B698" i="10"/>
  <c r="F698" i="10"/>
  <c r="B699" i="10"/>
  <c r="B700" i="10"/>
  <c r="B701" i="10"/>
  <c r="B702" i="10"/>
  <c r="B703" i="10"/>
  <c r="B704" i="10"/>
  <c r="B705" i="10"/>
  <c r="B706" i="10"/>
  <c r="B707" i="10"/>
  <c r="B708" i="10"/>
  <c r="F708" i="10"/>
  <c r="G703" i="10"/>
  <c r="G708" i="10"/>
  <c r="H703" i="10"/>
  <c r="H708" i="10"/>
  <c r="I703" i="10"/>
  <c r="I708" i="10"/>
  <c r="B709" i="10"/>
  <c r="B710" i="10"/>
  <c r="B711" i="10"/>
  <c r="C712" i="10"/>
  <c r="C713" i="10"/>
  <c r="C714" i="10"/>
  <c r="C715" i="10"/>
  <c r="C716" i="10"/>
  <c r="C717" i="10"/>
  <c r="C718" i="10"/>
  <c r="I719" i="10"/>
  <c r="K719" i="10"/>
  <c r="AD719" i="10"/>
  <c r="AC719" i="10"/>
  <c r="B720" i="10"/>
  <c r="B721" i="10"/>
  <c r="B722" i="10"/>
  <c r="B723" i="10"/>
  <c r="B724" i="10"/>
  <c r="B725" i="10"/>
  <c r="B726" i="10"/>
  <c r="B727" i="10"/>
  <c r="B728" i="10"/>
  <c r="B729" i="10"/>
  <c r="B730" i="10"/>
  <c r="C731" i="10"/>
  <c r="J731" i="10"/>
  <c r="C732" i="10"/>
  <c r="J732" i="10"/>
  <c r="C733" i="10"/>
  <c r="J733" i="10"/>
  <c r="C734" i="10"/>
  <c r="J734" i="10"/>
  <c r="C735" i="10"/>
  <c r="J735" i="10"/>
  <c r="J758" i="10"/>
  <c r="C736" i="10"/>
  <c r="J736" i="10"/>
  <c r="C737" i="10"/>
  <c r="J737" i="10"/>
  <c r="C738" i="10"/>
  <c r="J738" i="10"/>
  <c r="C739" i="10"/>
  <c r="J739" i="10"/>
  <c r="C740" i="10"/>
  <c r="J740" i="10"/>
  <c r="C741" i="10"/>
  <c r="J741" i="10"/>
  <c r="C742" i="10"/>
  <c r="J742" i="10"/>
  <c r="C743" i="10"/>
  <c r="J743" i="10"/>
  <c r="C744" i="10"/>
  <c r="J744" i="10"/>
  <c r="C745" i="10"/>
  <c r="J745" i="10"/>
  <c r="C746" i="10"/>
  <c r="J746" i="10"/>
  <c r="C747" i="10"/>
  <c r="J747" i="10"/>
  <c r="C748" i="10"/>
  <c r="J748" i="10"/>
  <c r="C749" i="10"/>
  <c r="J749" i="10"/>
  <c r="C750" i="10"/>
  <c r="J750" i="10"/>
  <c r="C751" i="10"/>
  <c r="J751" i="10"/>
  <c r="C752" i="10"/>
  <c r="J752" i="10"/>
  <c r="C753" i="10"/>
  <c r="J753" i="10"/>
  <c r="C754" i="10"/>
  <c r="J754" i="10"/>
  <c r="C755" i="10"/>
  <c r="J755" i="10"/>
  <c r="C756" i="10"/>
  <c r="J756" i="10"/>
  <c r="C757" i="10"/>
  <c r="J757" i="10"/>
  <c r="H758" i="10"/>
  <c r="I758" i="10"/>
  <c r="C761" i="10"/>
  <c r="J761" i="10"/>
  <c r="C762" i="10"/>
  <c r="J762" i="10"/>
  <c r="C763" i="10"/>
  <c r="J763" i="10"/>
  <c r="C764" i="10"/>
  <c r="J764" i="10"/>
  <c r="C765" i="10"/>
  <c r="J765" i="10"/>
  <c r="C766" i="10"/>
  <c r="J766" i="10"/>
  <c r="C767" i="10"/>
  <c r="J767" i="10"/>
  <c r="C768" i="10"/>
  <c r="J768" i="10"/>
  <c r="C769" i="10"/>
  <c r="J769" i="10"/>
  <c r="C770" i="10"/>
  <c r="J770" i="10"/>
  <c r="C771" i="10"/>
  <c r="J771" i="10"/>
  <c r="C772" i="10"/>
  <c r="J772" i="10"/>
  <c r="C773" i="10"/>
  <c r="J773" i="10"/>
  <c r="C774" i="10"/>
  <c r="J774" i="10"/>
  <c r="C775" i="10"/>
  <c r="J775" i="10"/>
  <c r="C776" i="10"/>
  <c r="J776" i="10"/>
  <c r="C777" i="10"/>
  <c r="J777" i="10"/>
  <c r="C778" i="10"/>
  <c r="J778" i="10"/>
  <c r="C779" i="10"/>
  <c r="J779" i="10"/>
  <c r="C780" i="10"/>
  <c r="J780" i="10"/>
  <c r="C781" i="10"/>
  <c r="J781" i="10"/>
  <c r="C782" i="10"/>
  <c r="J782" i="10"/>
  <c r="C783" i="10"/>
  <c r="J783" i="10"/>
  <c r="C784" i="10"/>
  <c r="J784" i="10"/>
  <c r="C785" i="10"/>
  <c r="J785" i="10"/>
  <c r="C786" i="10"/>
  <c r="J786" i="10"/>
  <c r="C787" i="10"/>
  <c r="J787" i="10"/>
  <c r="H788" i="10"/>
  <c r="I788" i="10"/>
  <c r="AC3" i="6"/>
  <c r="C6" i="6"/>
  <c r="G6" i="6"/>
  <c r="C7" i="6"/>
  <c r="G7" i="6"/>
  <c r="C8" i="6"/>
  <c r="G8" i="6"/>
  <c r="C9" i="6"/>
  <c r="G9" i="6"/>
  <c r="G27" i="6"/>
  <c r="C10" i="6"/>
  <c r="G10" i="6"/>
  <c r="C11" i="6"/>
  <c r="G11" i="6"/>
  <c r="C12" i="6"/>
  <c r="G12" i="6"/>
  <c r="C13" i="6"/>
  <c r="G13" i="6"/>
  <c r="C14" i="6"/>
  <c r="G14" i="6"/>
  <c r="C15" i="6"/>
  <c r="G15" i="6"/>
  <c r="C16" i="6"/>
  <c r="G16" i="6"/>
  <c r="C17" i="6"/>
  <c r="G17" i="6"/>
  <c r="C18" i="6"/>
  <c r="G18" i="6"/>
  <c r="C19" i="6"/>
  <c r="G19" i="6"/>
  <c r="C20" i="6"/>
  <c r="G20" i="6"/>
  <c r="C21" i="6"/>
  <c r="G21" i="6"/>
  <c r="C22" i="6"/>
  <c r="G22" i="6"/>
  <c r="C23" i="6"/>
  <c r="G23" i="6"/>
  <c r="C24" i="6"/>
  <c r="G24" i="6"/>
  <c r="C25" i="6"/>
  <c r="G25" i="6"/>
  <c r="C26" i="6"/>
  <c r="G26" i="6"/>
  <c r="E27" i="6"/>
  <c r="F27" i="6"/>
  <c r="AC29" i="6"/>
  <c r="C32" i="6"/>
  <c r="G32" i="6"/>
  <c r="C33" i="6"/>
  <c r="G33" i="6"/>
  <c r="C34" i="6"/>
  <c r="G34" i="6"/>
  <c r="C35" i="6"/>
  <c r="G35" i="6"/>
  <c r="C36" i="6"/>
  <c r="G36" i="6"/>
  <c r="C37" i="6"/>
  <c r="G37" i="6"/>
  <c r="C38" i="6"/>
  <c r="G38" i="6"/>
  <c r="C39" i="6"/>
  <c r="G39" i="6"/>
  <c r="C40" i="6"/>
  <c r="G40" i="6"/>
  <c r="C41" i="6"/>
  <c r="G41" i="6"/>
  <c r="C42" i="6"/>
  <c r="G42" i="6"/>
  <c r="C43" i="6"/>
  <c r="G43" i="6"/>
  <c r="C44" i="6"/>
  <c r="G44" i="6"/>
  <c r="C45" i="6"/>
  <c r="G45" i="6"/>
  <c r="C46" i="6"/>
  <c r="G46" i="6"/>
  <c r="C47" i="6"/>
  <c r="G47" i="6"/>
  <c r="C48" i="6"/>
  <c r="G48" i="6"/>
  <c r="C49" i="6"/>
  <c r="G49" i="6"/>
  <c r="C50" i="6"/>
  <c r="G50" i="6"/>
  <c r="C51" i="6"/>
  <c r="G51" i="6"/>
  <c r="C52" i="6"/>
  <c r="G52" i="6"/>
  <c r="E53" i="6"/>
  <c r="F53" i="6"/>
  <c r="AC55" i="6"/>
  <c r="C58" i="6"/>
  <c r="G58" i="6"/>
  <c r="C59" i="6"/>
  <c r="G59" i="6"/>
  <c r="G79" i="6"/>
  <c r="C60" i="6"/>
  <c r="G60" i="6"/>
  <c r="C61" i="6"/>
  <c r="G61" i="6"/>
  <c r="C62" i="6"/>
  <c r="G62" i="6"/>
  <c r="C63" i="6"/>
  <c r="G63" i="6"/>
  <c r="C64" i="6"/>
  <c r="G64" i="6"/>
  <c r="C65" i="6"/>
  <c r="G65" i="6"/>
  <c r="C66" i="6"/>
  <c r="G66" i="6"/>
  <c r="C67" i="6"/>
  <c r="G67" i="6"/>
  <c r="C68" i="6"/>
  <c r="G68" i="6"/>
  <c r="C69" i="6"/>
  <c r="G69" i="6"/>
  <c r="C70" i="6"/>
  <c r="G70" i="6"/>
  <c r="C71" i="6"/>
  <c r="G71" i="6"/>
  <c r="C72" i="6"/>
  <c r="G72" i="6"/>
  <c r="C73" i="6"/>
  <c r="G73" i="6"/>
  <c r="C74" i="6"/>
  <c r="G74" i="6"/>
  <c r="C75" i="6"/>
  <c r="G75" i="6"/>
  <c r="C76" i="6"/>
  <c r="G76" i="6"/>
  <c r="C77" i="6"/>
  <c r="G77" i="6"/>
  <c r="C78" i="6"/>
  <c r="G78" i="6"/>
  <c r="E79" i="6"/>
  <c r="F79" i="6"/>
  <c r="E84" i="6"/>
  <c r="F84" i="6"/>
  <c r="AC84" i="6"/>
  <c r="AD84" i="6"/>
  <c r="G85" i="6"/>
  <c r="G86" i="6"/>
  <c r="G87" i="6"/>
  <c r="G88" i="6"/>
  <c r="G89" i="6"/>
  <c r="G84" i="6"/>
  <c r="G90" i="6"/>
  <c r="G91" i="6"/>
  <c r="G92" i="6"/>
  <c r="G93" i="6"/>
  <c r="G94" i="6"/>
  <c r="G95" i="6"/>
  <c r="G96" i="6"/>
  <c r="G97" i="6"/>
  <c r="E98" i="6"/>
  <c r="F98" i="6"/>
  <c r="AC98" i="6"/>
  <c r="G99" i="6"/>
  <c r="G98" i="6"/>
  <c r="AD98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C117" i="6"/>
  <c r="J117" i="6"/>
  <c r="AC117" i="6"/>
  <c r="C118" i="6"/>
  <c r="J118" i="6"/>
  <c r="C119" i="6"/>
  <c r="J119" i="6"/>
  <c r="C120" i="6"/>
  <c r="J120" i="6"/>
  <c r="C121" i="6"/>
  <c r="J121" i="6"/>
  <c r="C122" i="6"/>
  <c r="J122" i="6"/>
  <c r="C123" i="6"/>
  <c r="J123" i="6"/>
  <c r="C124" i="6"/>
  <c r="J124" i="6"/>
  <c r="C125" i="6"/>
  <c r="J125" i="6"/>
  <c r="C126" i="6"/>
  <c r="J126" i="6"/>
  <c r="C127" i="6"/>
  <c r="J127" i="6"/>
  <c r="J131" i="6"/>
  <c r="AD117" i="6"/>
  <c r="C128" i="6"/>
  <c r="J128" i="6"/>
  <c r="C129" i="6"/>
  <c r="J129" i="6"/>
  <c r="C130" i="6"/>
  <c r="J13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E184" i="6"/>
  <c r="F184" i="6"/>
  <c r="G184" i="6"/>
  <c r="I184" i="6"/>
  <c r="J184" i="6"/>
  <c r="K184" i="6"/>
  <c r="L184" i="6"/>
  <c r="M184" i="6"/>
  <c r="C185" i="6"/>
  <c r="D185" i="6"/>
  <c r="H185" i="6"/>
  <c r="C186" i="6"/>
  <c r="D186" i="6"/>
  <c r="H186" i="6"/>
  <c r="N186" i="6"/>
  <c r="C187" i="6"/>
  <c r="D187" i="6"/>
  <c r="H187" i="6"/>
  <c r="N187" i="6"/>
  <c r="C188" i="6"/>
  <c r="D188" i="6"/>
  <c r="H188" i="6"/>
  <c r="N188" i="6"/>
  <c r="C189" i="6"/>
  <c r="D189" i="6"/>
  <c r="H189" i="6"/>
  <c r="N189" i="6"/>
  <c r="C190" i="6"/>
  <c r="D190" i="6"/>
  <c r="H190" i="6"/>
  <c r="N190" i="6"/>
  <c r="C191" i="6"/>
  <c r="D191" i="6"/>
  <c r="H191" i="6"/>
  <c r="N191" i="6"/>
  <c r="C192" i="6"/>
  <c r="D192" i="6"/>
  <c r="H192" i="6"/>
  <c r="N192" i="6"/>
  <c r="C193" i="6"/>
  <c r="D193" i="6"/>
  <c r="H193" i="6"/>
  <c r="N193" i="6"/>
  <c r="C194" i="6"/>
  <c r="D194" i="6"/>
  <c r="H194" i="6"/>
  <c r="N194" i="6"/>
  <c r="C195" i="6"/>
  <c r="D195" i="6"/>
  <c r="H195" i="6"/>
  <c r="N195" i="6"/>
  <c r="C196" i="6"/>
  <c r="D196" i="6"/>
  <c r="H196" i="6"/>
  <c r="N196" i="6"/>
  <c r="E197" i="6"/>
  <c r="F197" i="6"/>
  <c r="G197" i="6"/>
  <c r="I197" i="6"/>
  <c r="J197" i="6"/>
  <c r="K197" i="6"/>
  <c r="L197" i="6"/>
  <c r="M197" i="6"/>
  <c r="C198" i="6"/>
  <c r="D198" i="6"/>
  <c r="H198" i="6"/>
  <c r="C199" i="6"/>
  <c r="D199" i="6"/>
  <c r="H199" i="6"/>
  <c r="N199" i="6"/>
  <c r="C200" i="6"/>
  <c r="D200" i="6"/>
  <c r="H200" i="6"/>
  <c r="N200" i="6"/>
  <c r="C201" i="6"/>
  <c r="D201" i="6"/>
  <c r="H201" i="6"/>
  <c r="N201" i="6"/>
  <c r="C202" i="6"/>
  <c r="D202" i="6"/>
  <c r="H202" i="6"/>
  <c r="N202" i="6"/>
  <c r="C203" i="6"/>
  <c r="D203" i="6"/>
  <c r="H203" i="6"/>
  <c r="N203" i="6"/>
  <c r="C204" i="6"/>
  <c r="D204" i="6"/>
  <c r="H204" i="6"/>
  <c r="N204" i="6"/>
  <c r="C205" i="6"/>
  <c r="D205" i="6"/>
  <c r="H205" i="6"/>
  <c r="N205" i="6"/>
  <c r="C206" i="6"/>
  <c r="D206" i="6"/>
  <c r="H206" i="6"/>
  <c r="N206" i="6"/>
  <c r="C207" i="6"/>
  <c r="D207" i="6"/>
  <c r="H207" i="6"/>
  <c r="N207" i="6"/>
  <c r="C208" i="6"/>
  <c r="D208" i="6"/>
  <c r="H208" i="6"/>
  <c r="N208" i="6"/>
  <c r="C209" i="6"/>
  <c r="D209" i="6"/>
  <c r="H209" i="6"/>
  <c r="N209" i="6"/>
  <c r="E210" i="6"/>
  <c r="F210" i="6"/>
  <c r="G210" i="6"/>
  <c r="I210" i="6"/>
  <c r="J210" i="6"/>
  <c r="K210" i="6"/>
  <c r="L210" i="6"/>
  <c r="M210" i="6"/>
  <c r="C211" i="6"/>
  <c r="D211" i="6"/>
  <c r="H211" i="6"/>
  <c r="N211" i="6"/>
  <c r="C212" i="6"/>
  <c r="D212" i="6"/>
  <c r="H212" i="6"/>
  <c r="N212" i="6"/>
  <c r="C213" i="6"/>
  <c r="D213" i="6"/>
  <c r="H213" i="6"/>
  <c r="N213" i="6"/>
  <c r="C214" i="6"/>
  <c r="D214" i="6"/>
  <c r="H214" i="6"/>
  <c r="H210" i="6"/>
  <c r="C215" i="6"/>
  <c r="D215" i="6"/>
  <c r="H215" i="6"/>
  <c r="N215" i="6"/>
  <c r="C216" i="6"/>
  <c r="D216" i="6"/>
  <c r="H216" i="6"/>
  <c r="N216" i="6"/>
  <c r="C217" i="6"/>
  <c r="D217" i="6"/>
  <c r="H217" i="6"/>
  <c r="N217" i="6"/>
  <c r="C218" i="6"/>
  <c r="D218" i="6"/>
  <c r="H218" i="6"/>
  <c r="N218" i="6"/>
  <c r="C219" i="6"/>
  <c r="D219" i="6"/>
  <c r="H219" i="6"/>
  <c r="N219" i="6"/>
  <c r="C220" i="6"/>
  <c r="D220" i="6"/>
  <c r="H220" i="6"/>
  <c r="N220" i="6"/>
  <c r="C221" i="6"/>
  <c r="D221" i="6"/>
  <c r="H221" i="6"/>
  <c r="N221" i="6"/>
  <c r="C222" i="6"/>
  <c r="D222" i="6"/>
  <c r="H222" i="6"/>
  <c r="N22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E276" i="6"/>
  <c r="F276" i="6"/>
  <c r="G276" i="6"/>
  <c r="I276" i="6"/>
  <c r="J276" i="6"/>
  <c r="K276" i="6"/>
  <c r="L276" i="6"/>
  <c r="M276" i="6"/>
  <c r="C277" i="6"/>
  <c r="D277" i="6"/>
  <c r="H277" i="6"/>
  <c r="C278" i="6"/>
  <c r="D278" i="6"/>
  <c r="H278" i="6"/>
  <c r="N278" i="6"/>
  <c r="C279" i="6"/>
  <c r="D279" i="6"/>
  <c r="H279" i="6"/>
  <c r="N279" i="6"/>
  <c r="C280" i="6"/>
  <c r="D280" i="6"/>
  <c r="H280" i="6"/>
  <c r="N280" i="6"/>
  <c r="C281" i="6"/>
  <c r="D281" i="6"/>
  <c r="H281" i="6"/>
  <c r="N281" i="6"/>
  <c r="C282" i="6"/>
  <c r="D282" i="6"/>
  <c r="H282" i="6"/>
  <c r="N282" i="6"/>
  <c r="C283" i="6"/>
  <c r="D283" i="6"/>
  <c r="H283" i="6"/>
  <c r="N283" i="6"/>
  <c r="C284" i="6"/>
  <c r="D284" i="6"/>
  <c r="H284" i="6"/>
  <c r="N284" i="6"/>
  <c r="C285" i="6"/>
  <c r="D285" i="6"/>
  <c r="H285" i="6"/>
  <c r="N285" i="6"/>
  <c r="C286" i="6"/>
  <c r="D286" i="6"/>
  <c r="H286" i="6"/>
  <c r="N286" i="6"/>
  <c r="C287" i="6"/>
  <c r="D287" i="6"/>
  <c r="H287" i="6"/>
  <c r="N287" i="6"/>
  <c r="C288" i="6"/>
  <c r="D288" i="6"/>
  <c r="H288" i="6"/>
  <c r="N288" i="6"/>
  <c r="E289" i="6"/>
  <c r="F289" i="6"/>
  <c r="G289" i="6"/>
  <c r="I289" i="6"/>
  <c r="J289" i="6"/>
  <c r="K289" i="6"/>
  <c r="L289" i="6"/>
  <c r="M289" i="6"/>
  <c r="C290" i="6"/>
  <c r="D290" i="6"/>
  <c r="H290" i="6"/>
  <c r="C291" i="6"/>
  <c r="D291" i="6"/>
  <c r="H291" i="6"/>
  <c r="N291" i="6"/>
  <c r="C292" i="6"/>
  <c r="D292" i="6"/>
  <c r="H292" i="6"/>
  <c r="N292" i="6"/>
  <c r="C293" i="6"/>
  <c r="D293" i="6"/>
  <c r="H293" i="6"/>
  <c r="N293" i="6"/>
  <c r="C294" i="6"/>
  <c r="D294" i="6"/>
  <c r="H294" i="6"/>
  <c r="N294" i="6"/>
  <c r="C295" i="6"/>
  <c r="D295" i="6"/>
  <c r="H295" i="6"/>
  <c r="N295" i="6"/>
  <c r="C296" i="6"/>
  <c r="D296" i="6"/>
  <c r="H296" i="6"/>
  <c r="N296" i="6"/>
  <c r="C297" i="6"/>
  <c r="D297" i="6"/>
  <c r="H297" i="6"/>
  <c r="N297" i="6"/>
  <c r="C298" i="6"/>
  <c r="D298" i="6"/>
  <c r="H298" i="6"/>
  <c r="N298" i="6"/>
  <c r="C299" i="6"/>
  <c r="D299" i="6"/>
  <c r="H299" i="6"/>
  <c r="N299" i="6"/>
  <c r="C300" i="6"/>
  <c r="D300" i="6"/>
  <c r="H300" i="6"/>
  <c r="N300" i="6"/>
  <c r="C301" i="6"/>
  <c r="D301" i="6"/>
  <c r="H301" i="6"/>
  <c r="N301" i="6"/>
  <c r="E302" i="6"/>
  <c r="F302" i="6"/>
  <c r="G302" i="6"/>
  <c r="I302" i="6"/>
  <c r="J302" i="6"/>
  <c r="K302" i="6"/>
  <c r="L302" i="6"/>
  <c r="M302" i="6"/>
  <c r="C303" i="6"/>
  <c r="D303" i="6"/>
  <c r="H303" i="6"/>
  <c r="N303" i="6"/>
  <c r="C304" i="6"/>
  <c r="D304" i="6"/>
  <c r="H304" i="6"/>
  <c r="N304" i="6"/>
  <c r="C305" i="6"/>
  <c r="D305" i="6"/>
  <c r="H305" i="6"/>
  <c r="N305" i="6"/>
  <c r="C306" i="6"/>
  <c r="D306" i="6"/>
  <c r="H306" i="6"/>
  <c r="H302" i="6"/>
  <c r="C307" i="6"/>
  <c r="D307" i="6"/>
  <c r="H307" i="6"/>
  <c r="N307" i="6"/>
  <c r="C308" i="6"/>
  <c r="D308" i="6"/>
  <c r="H308" i="6"/>
  <c r="N308" i="6"/>
  <c r="C309" i="6"/>
  <c r="D309" i="6"/>
  <c r="H309" i="6"/>
  <c r="N309" i="6"/>
  <c r="C310" i="6"/>
  <c r="D310" i="6"/>
  <c r="H310" i="6"/>
  <c r="N310" i="6"/>
  <c r="C311" i="6"/>
  <c r="D311" i="6"/>
  <c r="H311" i="6"/>
  <c r="N311" i="6"/>
  <c r="C312" i="6"/>
  <c r="D312" i="6"/>
  <c r="H312" i="6"/>
  <c r="N312" i="6"/>
  <c r="C313" i="6"/>
  <c r="D313" i="6"/>
  <c r="H313" i="6"/>
  <c r="N313" i="6"/>
  <c r="C314" i="6"/>
  <c r="D314" i="6"/>
  <c r="H314" i="6"/>
  <c r="N314" i="6"/>
  <c r="B315" i="6"/>
  <c r="B316" i="6"/>
  <c r="B317" i="6"/>
  <c r="B318" i="6"/>
  <c r="B319" i="6"/>
  <c r="B320" i="6"/>
  <c r="B321" i="6"/>
  <c r="B322" i="6"/>
  <c r="B323" i="6"/>
  <c r="B324" i="6"/>
  <c r="B325" i="6"/>
  <c r="C326" i="6"/>
  <c r="K326" i="6"/>
  <c r="K348" i="6"/>
  <c r="C327" i="6"/>
  <c r="K327" i="6"/>
  <c r="C328" i="6"/>
  <c r="K328" i="6"/>
  <c r="C329" i="6"/>
  <c r="K329" i="6"/>
  <c r="C330" i="6"/>
  <c r="K330" i="6"/>
  <c r="C331" i="6"/>
  <c r="K331" i="6"/>
  <c r="C332" i="6"/>
  <c r="K332" i="6"/>
  <c r="C333" i="6"/>
  <c r="K333" i="6"/>
  <c r="C334" i="6"/>
  <c r="K334" i="6"/>
  <c r="C335" i="6"/>
  <c r="K335" i="6"/>
  <c r="C336" i="6"/>
  <c r="K336" i="6"/>
  <c r="C337" i="6"/>
  <c r="K337" i="6"/>
  <c r="C338" i="6"/>
  <c r="K338" i="6"/>
  <c r="C339" i="6"/>
  <c r="K339" i="6"/>
  <c r="C340" i="6"/>
  <c r="K340" i="6"/>
  <c r="C341" i="6"/>
  <c r="K341" i="6"/>
  <c r="C342" i="6"/>
  <c r="K342" i="6"/>
  <c r="C343" i="6"/>
  <c r="K343" i="6"/>
  <c r="C344" i="6"/>
  <c r="K344" i="6"/>
  <c r="C345" i="6"/>
  <c r="K345" i="6"/>
  <c r="C346" i="6"/>
  <c r="K346" i="6"/>
  <c r="C347" i="6"/>
  <c r="K347" i="6"/>
  <c r="H348" i="6"/>
  <c r="I348" i="6"/>
  <c r="J348" i="6"/>
  <c r="AC348" i="6"/>
  <c r="C349" i="6"/>
  <c r="K349" i="6"/>
  <c r="C350" i="6"/>
  <c r="K350" i="6"/>
  <c r="C351" i="6"/>
  <c r="K351" i="6"/>
  <c r="C352" i="6"/>
  <c r="K352" i="6"/>
  <c r="C353" i="6"/>
  <c r="K353" i="6"/>
  <c r="C354" i="6"/>
  <c r="K354" i="6"/>
  <c r="C355" i="6"/>
  <c r="K355" i="6"/>
  <c r="C356" i="6"/>
  <c r="K356" i="6"/>
  <c r="C357" i="6"/>
  <c r="K357" i="6"/>
  <c r="C358" i="6"/>
  <c r="K358" i="6"/>
  <c r="C359" i="6"/>
  <c r="K359" i="6"/>
  <c r="C360" i="6"/>
  <c r="K360" i="6"/>
  <c r="C361" i="6"/>
  <c r="K361" i="6"/>
  <c r="C362" i="6"/>
  <c r="K362" i="6"/>
  <c r="C363" i="6"/>
  <c r="K363" i="6"/>
  <c r="C364" i="6"/>
  <c r="K364" i="6"/>
  <c r="C365" i="6"/>
  <c r="K365" i="6"/>
  <c r="C366" i="6"/>
  <c r="K366" i="6"/>
  <c r="C367" i="6"/>
  <c r="K367" i="6"/>
  <c r="C368" i="6"/>
  <c r="K368" i="6"/>
  <c r="C369" i="6"/>
  <c r="K369" i="6"/>
  <c r="C370" i="6"/>
  <c r="K370" i="6"/>
  <c r="H371" i="6"/>
  <c r="I371" i="6"/>
  <c r="J371" i="6"/>
  <c r="AC371" i="6"/>
  <c r="C372" i="6"/>
  <c r="K372" i="6"/>
  <c r="C373" i="6"/>
  <c r="K373" i="6"/>
  <c r="K394" i="6"/>
  <c r="C374" i="6"/>
  <c r="K374" i="6"/>
  <c r="C375" i="6"/>
  <c r="K375" i="6"/>
  <c r="C376" i="6"/>
  <c r="K376" i="6"/>
  <c r="C377" i="6"/>
  <c r="K377" i="6"/>
  <c r="C378" i="6"/>
  <c r="K378" i="6"/>
  <c r="C379" i="6"/>
  <c r="K379" i="6"/>
  <c r="C380" i="6"/>
  <c r="K380" i="6"/>
  <c r="C381" i="6"/>
  <c r="K381" i="6"/>
  <c r="C382" i="6"/>
  <c r="K382" i="6"/>
  <c r="C383" i="6"/>
  <c r="K383" i="6"/>
  <c r="C384" i="6"/>
  <c r="K384" i="6"/>
  <c r="C385" i="6"/>
  <c r="K385" i="6"/>
  <c r="C386" i="6"/>
  <c r="K386" i="6"/>
  <c r="C387" i="6"/>
  <c r="K387" i="6"/>
  <c r="C388" i="6"/>
  <c r="K388" i="6"/>
  <c r="C389" i="6"/>
  <c r="K389" i="6"/>
  <c r="C390" i="6"/>
  <c r="K390" i="6"/>
  <c r="C391" i="6"/>
  <c r="K391" i="6"/>
  <c r="C392" i="6"/>
  <c r="K392" i="6"/>
  <c r="C393" i="6"/>
  <c r="K393" i="6"/>
  <c r="H394" i="6"/>
  <c r="I394" i="6"/>
  <c r="J394" i="6"/>
  <c r="AC394" i="6"/>
  <c r="C395" i="6"/>
  <c r="K395" i="6"/>
  <c r="C396" i="6"/>
  <c r="K396" i="6"/>
  <c r="C397" i="6"/>
  <c r="K397" i="6"/>
  <c r="C398" i="6"/>
  <c r="K398" i="6"/>
  <c r="C399" i="6"/>
  <c r="K399" i="6"/>
  <c r="C400" i="6"/>
  <c r="K400" i="6"/>
  <c r="C401" i="6"/>
  <c r="K401" i="6"/>
  <c r="C402" i="6"/>
  <c r="K402" i="6"/>
  <c r="C403" i="6"/>
  <c r="K403" i="6"/>
  <c r="C404" i="6"/>
  <c r="K404" i="6"/>
  <c r="C405" i="6"/>
  <c r="K405" i="6"/>
  <c r="C406" i="6"/>
  <c r="K406" i="6"/>
  <c r="C407" i="6"/>
  <c r="K407" i="6"/>
  <c r="H408" i="6"/>
  <c r="I408" i="6"/>
  <c r="J408" i="6"/>
  <c r="AC408" i="6"/>
  <c r="C409" i="6"/>
  <c r="K409" i="6"/>
  <c r="C410" i="6"/>
  <c r="K410" i="6"/>
  <c r="C411" i="6"/>
  <c r="K411" i="6"/>
  <c r="C412" i="6"/>
  <c r="K412" i="6"/>
  <c r="C413" i="6"/>
  <c r="K413" i="6"/>
  <c r="C414" i="6"/>
  <c r="K414" i="6"/>
  <c r="C415" i="6"/>
  <c r="K415" i="6"/>
  <c r="C416" i="6"/>
  <c r="K416" i="6"/>
  <c r="C417" i="6"/>
  <c r="K417" i="6"/>
  <c r="C418" i="6"/>
  <c r="K418" i="6"/>
  <c r="C419" i="6"/>
  <c r="K419" i="6"/>
  <c r="C420" i="6"/>
  <c r="K420" i="6"/>
  <c r="C421" i="6"/>
  <c r="K421" i="6"/>
  <c r="H422" i="6"/>
  <c r="I422" i="6"/>
  <c r="J422" i="6"/>
  <c r="K422" i="6"/>
  <c r="AC422" i="6"/>
  <c r="C423" i="6"/>
  <c r="K423" i="6"/>
  <c r="C424" i="6"/>
  <c r="K424" i="6"/>
  <c r="C425" i="6"/>
  <c r="K425" i="6"/>
  <c r="C426" i="6"/>
  <c r="K426" i="6"/>
  <c r="C427" i="6"/>
  <c r="K427" i="6"/>
  <c r="C428" i="6"/>
  <c r="K428" i="6"/>
  <c r="C429" i="6"/>
  <c r="K429" i="6"/>
  <c r="C430" i="6"/>
  <c r="K430" i="6"/>
  <c r="C431" i="6"/>
  <c r="K431" i="6"/>
  <c r="C432" i="6"/>
  <c r="K432" i="6"/>
  <c r="C433" i="6"/>
  <c r="K433" i="6"/>
  <c r="C434" i="6"/>
  <c r="K434" i="6"/>
  <c r="C435" i="6"/>
  <c r="K435" i="6"/>
  <c r="H436" i="6"/>
  <c r="I436" i="6"/>
  <c r="J436" i="6"/>
  <c r="AC436" i="6"/>
  <c r="C441" i="6"/>
  <c r="J441" i="6"/>
  <c r="C442" i="6"/>
  <c r="J442" i="6"/>
  <c r="C443" i="6"/>
  <c r="J443" i="6"/>
  <c r="C444" i="6"/>
  <c r="J444" i="6"/>
  <c r="C445" i="6"/>
  <c r="J445" i="6"/>
  <c r="J468" i="6"/>
  <c r="C446" i="6"/>
  <c r="J446" i="6"/>
  <c r="C447" i="6"/>
  <c r="J447" i="6"/>
  <c r="C448" i="6"/>
  <c r="J448" i="6"/>
  <c r="C449" i="6"/>
  <c r="J449" i="6"/>
  <c r="C450" i="6"/>
  <c r="J450" i="6"/>
  <c r="C451" i="6"/>
  <c r="J451" i="6"/>
  <c r="C452" i="6"/>
  <c r="J452" i="6"/>
  <c r="C453" i="6"/>
  <c r="J453" i="6"/>
  <c r="C454" i="6"/>
  <c r="J454" i="6"/>
  <c r="C455" i="6"/>
  <c r="J455" i="6"/>
  <c r="C456" i="6"/>
  <c r="J456" i="6"/>
  <c r="C457" i="6"/>
  <c r="J457" i="6"/>
  <c r="C458" i="6"/>
  <c r="J458" i="6"/>
  <c r="C459" i="6"/>
  <c r="J459" i="6"/>
  <c r="C460" i="6"/>
  <c r="J460" i="6"/>
  <c r="C461" i="6"/>
  <c r="J461" i="6"/>
  <c r="C462" i="6"/>
  <c r="J462" i="6"/>
  <c r="C463" i="6"/>
  <c r="J463" i="6"/>
  <c r="C464" i="6"/>
  <c r="J464" i="6"/>
  <c r="C465" i="6"/>
  <c r="J465" i="6"/>
  <c r="C466" i="6"/>
  <c r="J466" i="6"/>
  <c r="C467" i="6"/>
  <c r="J467" i="6"/>
  <c r="H468" i="6"/>
  <c r="I468" i="6"/>
  <c r="C471" i="6"/>
  <c r="J471" i="6"/>
  <c r="C472" i="6"/>
  <c r="J472" i="6"/>
  <c r="C473" i="6"/>
  <c r="J473" i="6"/>
  <c r="C474" i="6"/>
  <c r="J474" i="6"/>
  <c r="C475" i="6"/>
  <c r="J475" i="6"/>
  <c r="C476" i="6"/>
  <c r="J476" i="6"/>
  <c r="C477" i="6"/>
  <c r="J477" i="6"/>
  <c r="C478" i="6"/>
  <c r="J478" i="6"/>
  <c r="C479" i="6"/>
  <c r="J479" i="6"/>
  <c r="C480" i="6"/>
  <c r="J480" i="6"/>
  <c r="C481" i="6"/>
  <c r="J481" i="6"/>
  <c r="C482" i="6"/>
  <c r="J482" i="6"/>
  <c r="C483" i="6"/>
  <c r="J483" i="6"/>
  <c r="C484" i="6"/>
  <c r="J484" i="6"/>
  <c r="C485" i="6"/>
  <c r="J485" i="6"/>
  <c r="C486" i="6"/>
  <c r="J486" i="6"/>
  <c r="C487" i="6"/>
  <c r="J487" i="6"/>
  <c r="C488" i="6"/>
  <c r="J488" i="6"/>
  <c r="C489" i="6"/>
  <c r="J489" i="6"/>
  <c r="C490" i="6"/>
  <c r="J490" i="6"/>
  <c r="C491" i="6"/>
  <c r="J491" i="6"/>
  <c r="C492" i="6"/>
  <c r="J492" i="6"/>
  <c r="C493" i="6"/>
  <c r="J493" i="6"/>
  <c r="C494" i="6"/>
  <c r="J494" i="6"/>
  <c r="C495" i="6"/>
  <c r="J495" i="6"/>
  <c r="C496" i="6"/>
  <c r="J496" i="6"/>
  <c r="C497" i="6"/>
  <c r="J497" i="6"/>
  <c r="H498" i="6"/>
  <c r="T761" i="5"/>
  <c r="I498" i="6"/>
  <c r="J504" i="6"/>
  <c r="N504" i="6"/>
  <c r="P504" i="6"/>
  <c r="AC504" i="6"/>
  <c r="C505" i="6"/>
  <c r="O505" i="6"/>
  <c r="C506" i="6"/>
  <c r="J506" i="6"/>
  <c r="K506" i="6"/>
  <c r="K504" i="6"/>
  <c r="L506" i="6"/>
  <c r="L504" i="6"/>
  <c r="M506" i="6"/>
  <c r="M504" i="6"/>
  <c r="N506" i="6"/>
  <c r="P506" i="6"/>
  <c r="Q506" i="6"/>
  <c r="Q504" i="6"/>
  <c r="C507" i="6"/>
  <c r="O507" i="6"/>
  <c r="C508" i="6"/>
  <c r="O508" i="6"/>
  <c r="C509" i="6"/>
  <c r="O509" i="6"/>
  <c r="C510" i="6"/>
  <c r="O510" i="6"/>
  <c r="O506" i="6"/>
  <c r="O504" i="6"/>
  <c r="AD504" i="6"/>
  <c r="C511" i="6"/>
  <c r="O511" i="6"/>
  <c r="C512" i="6"/>
  <c r="O512" i="6"/>
  <c r="C513" i="6"/>
  <c r="O513" i="6"/>
  <c r="C514" i="6"/>
  <c r="O514" i="6"/>
  <c r="C515" i="6"/>
  <c r="O515" i="6"/>
  <c r="C516" i="6"/>
  <c r="O516" i="6"/>
  <c r="J517" i="6"/>
  <c r="L517" i="6"/>
  <c r="N517" i="6"/>
  <c r="AC517" i="6"/>
  <c r="C518" i="6"/>
  <c r="O518" i="6"/>
  <c r="C519" i="6"/>
  <c r="J519" i="6"/>
  <c r="K519" i="6"/>
  <c r="K517" i="6"/>
  <c r="L519" i="6"/>
  <c r="M519" i="6"/>
  <c r="M517" i="6"/>
  <c r="N519" i="6"/>
  <c r="P519" i="6"/>
  <c r="P517" i="6"/>
  <c r="Q519" i="6"/>
  <c r="Q517" i="6"/>
  <c r="C520" i="6"/>
  <c r="O520" i="6"/>
  <c r="C521" i="6"/>
  <c r="O521" i="6"/>
  <c r="C522" i="6"/>
  <c r="O522" i="6"/>
  <c r="C523" i="6"/>
  <c r="O523" i="6"/>
  <c r="C524" i="6"/>
  <c r="O524" i="6"/>
  <c r="C525" i="6"/>
  <c r="O525" i="6"/>
  <c r="C526" i="6"/>
  <c r="O526" i="6"/>
  <c r="C527" i="6"/>
  <c r="O527" i="6"/>
  <c r="C528" i="6"/>
  <c r="O528" i="6"/>
  <c r="C529" i="6"/>
  <c r="O529" i="6"/>
  <c r="C530" i="6"/>
  <c r="O530" i="6"/>
  <c r="C531" i="6"/>
  <c r="O531" i="6"/>
  <c r="C532" i="6"/>
  <c r="O532" i="6"/>
  <c r="C533" i="6"/>
  <c r="O533" i="6"/>
  <c r="C534" i="6"/>
  <c r="O534" i="6"/>
  <c r="C535" i="6"/>
  <c r="O535" i="6"/>
  <c r="C536" i="6"/>
  <c r="O536" i="6"/>
  <c r="C537" i="6"/>
  <c r="O537" i="6"/>
  <c r="C538" i="6"/>
  <c r="O538" i="6"/>
  <c r="C539" i="6"/>
  <c r="O539" i="6"/>
  <c r="C540" i="6"/>
  <c r="O540" i="6"/>
  <c r="C541" i="6"/>
  <c r="O541" i="6"/>
  <c r="C542" i="6"/>
  <c r="O542" i="6"/>
  <c r="C543" i="6"/>
  <c r="O543" i="6"/>
  <c r="C544" i="6"/>
  <c r="O544" i="6"/>
  <c r="C545" i="6"/>
  <c r="O545" i="6"/>
  <c r="C546" i="6"/>
  <c r="O546" i="6"/>
  <c r="C547" i="6"/>
  <c r="O547" i="6"/>
  <c r="C548" i="6"/>
  <c r="O548" i="6"/>
  <c r="C549" i="6"/>
  <c r="O549" i="6"/>
  <c r="K550" i="6"/>
  <c r="N550" i="6"/>
  <c r="Q550" i="6"/>
  <c r="AC550" i="6"/>
  <c r="C551" i="6"/>
  <c r="J551" i="6"/>
  <c r="C552" i="6"/>
  <c r="J552" i="6"/>
  <c r="K552" i="6"/>
  <c r="L552" i="6"/>
  <c r="L550" i="6"/>
  <c r="M552" i="6"/>
  <c r="M550" i="6"/>
  <c r="N552" i="6"/>
  <c r="P552" i="6"/>
  <c r="P550" i="6"/>
  <c r="Q552" i="6"/>
  <c r="C553" i="6"/>
  <c r="O553" i="6"/>
  <c r="P553" i="6"/>
  <c r="C554" i="6"/>
  <c r="O554" i="6"/>
  <c r="P554" i="6"/>
  <c r="C555" i="6"/>
  <c r="O555" i="6"/>
  <c r="C556" i="6"/>
  <c r="O556" i="6"/>
  <c r="C557" i="6"/>
  <c r="O557" i="6"/>
  <c r="C558" i="6"/>
  <c r="O558" i="6"/>
  <c r="C559" i="6"/>
  <c r="O559" i="6"/>
  <c r="P559" i="6"/>
  <c r="C560" i="6"/>
  <c r="O560" i="6"/>
  <c r="C561" i="6"/>
  <c r="O561" i="6"/>
  <c r="C562" i="6"/>
  <c r="O562" i="6"/>
  <c r="C563" i="6"/>
  <c r="O563" i="6"/>
  <c r="C564" i="6"/>
  <c r="O564" i="6"/>
  <c r="C565" i="6"/>
  <c r="O565" i="6"/>
  <c r="C566" i="6"/>
  <c r="O566" i="6"/>
  <c r="P566" i="6"/>
  <c r="C567" i="6"/>
  <c r="O567" i="6"/>
  <c r="C568" i="6"/>
  <c r="O568" i="6"/>
  <c r="C569" i="6"/>
  <c r="O569" i="6"/>
  <c r="C570" i="6"/>
  <c r="O570" i="6"/>
  <c r="C571" i="6"/>
  <c r="O571" i="6"/>
  <c r="C572" i="6"/>
  <c r="O572" i="6"/>
  <c r="C573" i="6"/>
  <c r="O573" i="6"/>
  <c r="C574" i="6"/>
  <c r="O574" i="6"/>
  <c r="C575" i="6"/>
  <c r="O575" i="6"/>
  <c r="C576" i="6"/>
  <c r="O576" i="6"/>
  <c r="C577" i="6"/>
  <c r="O577" i="6"/>
  <c r="C578" i="6"/>
  <c r="O578" i="6"/>
  <c r="C579" i="6"/>
  <c r="O579" i="6"/>
  <c r="C580" i="6"/>
  <c r="O580" i="6"/>
  <c r="C581" i="6"/>
  <c r="O581" i="6"/>
  <c r="C582" i="6"/>
  <c r="O582" i="6"/>
  <c r="C583" i="6"/>
  <c r="O583" i="6"/>
  <c r="C584" i="6"/>
  <c r="O584" i="6"/>
  <c r="C585" i="6"/>
  <c r="O585" i="6"/>
  <c r="C586" i="6"/>
  <c r="O586" i="6"/>
  <c r="C587" i="6"/>
  <c r="O587" i="6"/>
  <c r="C588" i="6"/>
  <c r="O588" i="6"/>
  <c r="C589" i="6"/>
  <c r="O589" i="6"/>
  <c r="C590" i="6"/>
  <c r="O590" i="6"/>
  <c r="C591" i="6"/>
  <c r="O591" i="6"/>
  <c r="C592" i="6"/>
  <c r="O592" i="6"/>
  <c r="C593" i="6"/>
  <c r="O593" i="6"/>
  <c r="C594" i="6"/>
  <c r="O594" i="6"/>
  <c r="C595" i="6"/>
  <c r="O595" i="6"/>
  <c r="C596" i="6"/>
  <c r="O596" i="6"/>
  <c r="C597" i="6"/>
  <c r="O597" i="6"/>
  <c r="C598" i="6"/>
  <c r="O598" i="6"/>
  <c r="C599" i="6"/>
  <c r="O599" i="6"/>
  <c r="C600" i="6"/>
  <c r="O600" i="6"/>
  <c r="C601" i="6"/>
  <c r="O601" i="6"/>
  <c r="C602" i="6"/>
  <c r="O602" i="6"/>
  <c r="K603" i="6"/>
  <c r="Q603" i="6"/>
  <c r="AC603" i="6"/>
  <c r="C604" i="6"/>
  <c r="O604" i="6"/>
  <c r="C605" i="6"/>
  <c r="J605" i="6"/>
  <c r="J603" i="6"/>
  <c r="K605" i="6"/>
  <c r="L605" i="6"/>
  <c r="L603" i="6"/>
  <c r="M605" i="6"/>
  <c r="M603" i="6"/>
  <c r="N605" i="6"/>
  <c r="N603" i="6"/>
  <c r="P605" i="6"/>
  <c r="P603" i="6"/>
  <c r="Q605" i="6"/>
  <c r="C606" i="6"/>
  <c r="O606" i="6"/>
  <c r="C607" i="6"/>
  <c r="O607" i="6"/>
  <c r="C608" i="6"/>
  <c r="O608" i="6"/>
  <c r="C609" i="6"/>
  <c r="O609" i="6"/>
  <c r="C610" i="6"/>
  <c r="O610" i="6"/>
  <c r="C611" i="6"/>
  <c r="O611" i="6"/>
  <c r="C612" i="6"/>
  <c r="O612" i="6"/>
  <c r="C613" i="6"/>
  <c r="O613" i="6"/>
  <c r="C614" i="6"/>
  <c r="O614" i="6"/>
  <c r="C615" i="6"/>
  <c r="O615" i="6"/>
  <c r="C616" i="6"/>
  <c r="O616" i="6"/>
  <c r="C617" i="6"/>
  <c r="O617" i="6"/>
  <c r="C618" i="6"/>
  <c r="O618" i="6"/>
  <c r="C619" i="6"/>
  <c r="O619" i="6"/>
  <c r="C620" i="6"/>
  <c r="O620" i="6"/>
  <c r="C621" i="6"/>
  <c r="O621" i="6"/>
  <c r="C622" i="6"/>
  <c r="O622" i="6"/>
  <c r="C623" i="6"/>
  <c r="O623" i="6"/>
  <c r="C624" i="6"/>
  <c r="O624" i="6"/>
  <c r="C625" i="6"/>
  <c r="O625" i="6"/>
  <c r="C626" i="6"/>
  <c r="O626" i="6"/>
  <c r="C627" i="6"/>
  <c r="O627" i="6"/>
  <c r="C628" i="6"/>
  <c r="O628" i="6"/>
  <c r="C629" i="6"/>
  <c r="O629" i="6"/>
  <c r="C630" i="6"/>
  <c r="O630" i="6"/>
  <c r="C631" i="6"/>
  <c r="O631" i="6"/>
  <c r="C632" i="6"/>
  <c r="O632" i="6"/>
  <c r="C633" i="6"/>
  <c r="O633" i="6"/>
  <c r="C634" i="6"/>
  <c r="O634" i="6"/>
  <c r="C635" i="6"/>
  <c r="O635" i="6"/>
  <c r="K636" i="6"/>
  <c r="M636" i="6"/>
  <c r="Q636" i="6"/>
  <c r="AC636" i="6"/>
  <c r="C637" i="6"/>
  <c r="O637" i="6"/>
  <c r="C638" i="6"/>
  <c r="J638" i="6"/>
  <c r="J636" i="6"/>
  <c r="K638" i="6"/>
  <c r="L638" i="6"/>
  <c r="L636" i="6"/>
  <c r="M638" i="6"/>
  <c r="N638" i="6"/>
  <c r="N636" i="6"/>
  <c r="P638" i="6"/>
  <c r="P636" i="6"/>
  <c r="Q638" i="6"/>
  <c r="C639" i="6"/>
  <c r="O639" i="6"/>
  <c r="C640" i="6"/>
  <c r="O640" i="6"/>
  <c r="C641" i="6"/>
  <c r="O641" i="6"/>
  <c r="C642" i="6"/>
  <c r="O642" i="6"/>
  <c r="C643" i="6"/>
  <c r="O643" i="6"/>
  <c r="C644" i="6"/>
  <c r="O644" i="6"/>
  <c r="C645" i="6"/>
  <c r="O645" i="6"/>
  <c r="C646" i="6"/>
  <c r="O646" i="6"/>
  <c r="C647" i="6"/>
  <c r="O647" i="6"/>
  <c r="C648" i="6"/>
  <c r="O648" i="6"/>
  <c r="C649" i="6"/>
  <c r="O649" i="6"/>
  <c r="C650" i="6"/>
  <c r="O650" i="6"/>
  <c r="C651" i="6"/>
  <c r="O651" i="6"/>
  <c r="C652" i="6"/>
  <c r="O652" i="6"/>
  <c r="C653" i="6"/>
  <c r="O653" i="6"/>
  <c r="C654" i="6"/>
  <c r="O654" i="6"/>
  <c r="C655" i="6"/>
  <c r="O655" i="6"/>
  <c r="C656" i="6"/>
  <c r="O656" i="6"/>
  <c r="C657" i="6"/>
  <c r="O657" i="6"/>
  <c r="C658" i="6"/>
  <c r="O658" i="6"/>
  <c r="C659" i="6"/>
  <c r="O659" i="6"/>
  <c r="C660" i="6"/>
  <c r="O660" i="6"/>
  <c r="C661" i="6"/>
  <c r="O661" i="6"/>
  <c r="C662" i="6"/>
  <c r="O662" i="6"/>
  <c r="C663" i="6"/>
  <c r="O663" i="6"/>
  <c r="C664" i="6"/>
  <c r="O664" i="6"/>
  <c r="C665" i="6"/>
  <c r="O665" i="6"/>
  <c r="C666" i="6"/>
  <c r="O666" i="6"/>
  <c r="C667" i="6"/>
  <c r="O667" i="6"/>
  <c r="C668" i="6"/>
  <c r="O668" i="6"/>
  <c r="C669" i="6"/>
  <c r="O669" i="6"/>
  <c r="C670" i="6"/>
  <c r="O670" i="6"/>
  <c r="C671" i="6"/>
  <c r="O671" i="6"/>
  <c r="C672" i="6"/>
  <c r="O672" i="6"/>
  <c r="C673" i="6"/>
  <c r="O673" i="6"/>
  <c r="C674" i="6"/>
  <c r="O674" i="6"/>
  <c r="C675" i="6"/>
  <c r="O675" i="6"/>
  <c r="C676" i="6"/>
  <c r="O676" i="6"/>
  <c r="C677" i="6"/>
  <c r="O677" i="6"/>
  <c r="C678" i="6"/>
  <c r="O678" i="6"/>
  <c r="C679" i="6"/>
  <c r="O679" i="6"/>
  <c r="C680" i="6"/>
  <c r="O680" i="6"/>
  <c r="C681" i="6"/>
  <c r="O681" i="6"/>
  <c r="C682" i="6"/>
  <c r="O682" i="6"/>
  <c r="C683" i="6"/>
  <c r="O683" i="6"/>
  <c r="C684" i="6"/>
  <c r="O684" i="6"/>
  <c r="C685" i="6"/>
  <c r="O685" i="6"/>
  <c r="C686" i="6"/>
  <c r="O686" i="6"/>
  <c r="C687" i="6"/>
  <c r="O687" i="6"/>
  <c r="C688" i="6"/>
  <c r="O688" i="6"/>
  <c r="B689" i="6"/>
  <c r="B690" i="6"/>
  <c r="B691" i="6"/>
  <c r="B692" i="6"/>
  <c r="B693" i="6"/>
  <c r="B694" i="6"/>
  <c r="B695" i="6"/>
  <c r="B696" i="6"/>
  <c r="B697" i="6"/>
  <c r="B698" i="6"/>
  <c r="F698" i="6"/>
  <c r="G693" i="6"/>
  <c r="G698" i="6"/>
  <c r="H693" i="6"/>
  <c r="H698" i="6"/>
  <c r="I693" i="6"/>
  <c r="I698" i="6"/>
  <c r="B699" i="6"/>
  <c r="B700" i="6"/>
  <c r="B701" i="6"/>
  <c r="B702" i="6"/>
  <c r="B703" i="6"/>
  <c r="H703" i="6"/>
  <c r="H708" i="6"/>
  <c r="I703" i="6"/>
  <c r="I708" i="6"/>
  <c r="B704" i="6"/>
  <c r="B705" i="6"/>
  <c r="B706" i="6"/>
  <c r="B707" i="6"/>
  <c r="B708" i="6"/>
  <c r="F708" i="6"/>
  <c r="G703" i="6"/>
  <c r="G708" i="6"/>
  <c r="B709" i="6"/>
  <c r="B710" i="6"/>
  <c r="B711" i="6"/>
  <c r="C712" i="6"/>
  <c r="C713" i="6"/>
  <c r="C714" i="6"/>
  <c r="C715" i="6"/>
  <c r="C716" i="6"/>
  <c r="C717" i="6"/>
  <c r="C718" i="6"/>
  <c r="I719" i="6"/>
  <c r="K719" i="6"/>
  <c r="AC719" i="6"/>
  <c r="C731" i="6"/>
  <c r="J731" i="6"/>
  <c r="C732" i="6"/>
  <c r="J732" i="6"/>
  <c r="C733" i="6"/>
  <c r="J733" i="6"/>
  <c r="C734" i="6"/>
  <c r="J734" i="6"/>
  <c r="C735" i="6"/>
  <c r="J735" i="6"/>
  <c r="J758" i="6"/>
  <c r="C736" i="6"/>
  <c r="J736" i="6"/>
  <c r="C737" i="6"/>
  <c r="J737" i="6"/>
  <c r="C738" i="6"/>
  <c r="J738" i="6"/>
  <c r="C739" i="6"/>
  <c r="J739" i="6"/>
  <c r="C740" i="6"/>
  <c r="J740" i="6"/>
  <c r="C741" i="6"/>
  <c r="J741" i="6"/>
  <c r="C742" i="6"/>
  <c r="J742" i="6"/>
  <c r="C743" i="6"/>
  <c r="J743" i="6"/>
  <c r="C744" i="6"/>
  <c r="J744" i="6"/>
  <c r="C745" i="6"/>
  <c r="J745" i="6"/>
  <c r="C746" i="6"/>
  <c r="J746" i="6"/>
  <c r="C747" i="6"/>
  <c r="J747" i="6"/>
  <c r="C748" i="6"/>
  <c r="J748" i="6"/>
  <c r="C749" i="6"/>
  <c r="J749" i="6"/>
  <c r="C750" i="6"/>
  <c r="J750" i="6"/>
  <c r="C751" i="6"/>
  <c r="J751" i="6"/>
  <c r="C752" i="6"/>
  <c r="J752" i="6"/>
  <c r="C753" i="6"/>
  <c r="J753" i="6"/>
  <c r="C754" i="6"/>
  <c r="J754" i="6"/>
  <c r="C755" i="6"/>
  <c r="J755" i="6"/>
  <c r="C756" i="6"/>
  <c r="J756" i="6"/>
  <c r="C757" i="6"/>
  <c r="J757" i="6"/>
  <c r="H758" i="6"/>
  <c r="I758" i="6"/>
  <c r="C761" i="6"/>
  <c r="J761" i="6"/>
  <c r="C762" i="6"/>
  <c r="J762" i="6"/>
  <c r="C763" i="6"/>
  <c r="J763" i="6"/>
  <c r="C764" i="6"/>
  <c r="J764" i="6"/>
  <c r="C765" i="6"/>
  <c r="J765" i="6"/>
  <c r="C766" i="6"/>
  <c r="J766" i="6"/>
  <c r="C767" i="6"/>
  <c r="J767" i="6"/>
  <c r="C768" i="6"/>
  <c r="J768" i="6"/>
  <c r="C769" i="6"/>
  <c r="J769" i="6"/>
  <c r="C770" i="6"/>
  <c r="J770" i="6"/>
  <c r="C771" i="6"/>
  <c r="J771" i="6"/>
  <c r="C772" i="6"/>
  <c r="J772" i="6"/>
  <c r="C773" i="6"/>
  <c r="J773" i="6"/>
  <c r="C774" i="6"/>
  <c r="J774" i="6"/>
  <c r="C775" i="6"/>
  <c r="J775" i="6"/>
  <c r="C776" i="6"/>
  <c r="J776" i="6"/>
  <c r="C777" i="6"/>
  <c r="J777" i="6"/>
  <c r="C778" i="6"/>
  <c r="J778" i="6"/>
  <c r="C779" i="6"/>
  <c r="J779" i="6"/>
  <c r="C780" i="6"/>
  <c r="J780" i="6"/>
  <c r="C781" i="6"/>
  <c r="J781" i="6"/>
  <c r="C782" i="6"/>
  <c r="J782" i="6"/>
  <c r="C783" i="6"/>
  <c r="J783" i="6"/>
  <c r="C784" i="6"/>
  <c r="J784" i="6"/>
  <c r="C785" i="6"/>
  <c r="J785" i="6"/>
  <c r="C786" i="6"/>
  <c r="J786" i="6"/>
  <c r="C787" i="6"/>
  <c r="J787" i="6"/>
  <c r="H788" i="6"/>
  <c r="I788" i="6"/>
  <c r="AC3" i="8"/>
  <c r="C6" i="8"/>
  <c r="G6" i="8"/>
  <c r="G27" i="8"/>
  <c r="C7" i="8"/>
  <c r="G7" i="8"/>
  <c r="C8" i="8"/>
  <c r="G8" i="8"/>
  <c r="C9" i="8"/>
  <c r="G9" i="8"/>
  <c r="C10" i="8"/>
  <c r="G10" i="8"/>
  <c r="C11" i="8"/>
  <c r="G11" i="8"/>
  <c r="C12" i="8"/>
  <c r="G12" i="8"/>
  <c r="C13" i="8"/>
  <c r="G13" i="8"/>
  <c r="C14" i="8"/>
  <c r="G14" i="8"/>
  <c r="C15" i="8"/>
  <c r="G15" i="8"/>
  <c r="C16" i="8"/>
  <c r="G16" i="8"/>
  <c r="C17" i="8"/>
  <c r="G17" i="8"/>
  <c r="C18" i="8"/>
  <c r="G18" i="8"/>
  <c r="C19" i="8"/>
  <c r="G19" i="8"/>
  <c r="C20" i="8"/>
  <c r="G20" i="8"/>
  <c r="C21" i="8"/>
  <c r="G21" i="8"/>
  <c r="C22" i="8"/>
  <c r="G22" i="8"/>
  <c r="C23" i="8"/>
  <c r="G23" i="8"/>
  <c r="C24" i="8"/>
  <c r="G24" i="8"/>
  <c r="C25" i="8"/>
  <c r="G25" i="8"/>
  <c r="C26" i="8"/>
  <c r="G26" i="8"/>
  <c r="E27" i="8"/>
  <c r="F27" i="8"/>
  <c r="AC29" i="8"/>
  <c r="C32" i="8"/>
  <c r="G32" i="8"/>
  <c r="C33" i="8"/>
  <c r="G33" i="8"/>
  <c r="G53" i="8"/>
  <c r="C34" i="8"/>
  <c r="G34" i="8"/>
  <c r="C35" i="8"/>
  <c r="G35" i="8"/>
  <c r="C36" i="8"/>
  <c r="G36" i="8"/>
  <c r="C37" i="8"/>
  <c r="G37" i="8"/>
  <c r="C38" i="8"/>
  <c r="G38" i="8"/>
  <c r="C39" i="8"/>
  <c r="G39" i="8"/>
  <c r="C40" i="8"/>
  <c r="G40" i="8"/>
  <c r="C41" i="8"/>
  <c r="G41" i="8"/>
  <c r="C42" i="8"/>
  <c r="G42" i="8"/>
  <c r="C43" i="8"/>
  <c r="G43" i="8"/>
  <c r="C44" i="8"/>
  <c r="G44" i="8"/>
  <c r="C45" i="8"/>
  <c r="G45" i="8"/>
  <c r="C46" i="8"/>
  <c r="G46" i="8"/>
  <c r="C47" i="8"/>
  <c r="G47" i="8"/>
  <c r="C48" i="8"/>
  <c r="G48" i="8"/>
  <c r="C49" i="8"/>
  <c r="G49" i="8"/>
  <c r="C50" i="8"/>
  <c r="G50" i="8"/>
  <c r="C51" i="8"/>
  <c r="G51" i="8"/>
  <c r="C52" i="8"/>
  <c r="G52" i="8"/>
  <c r="E53" i="8"/>
  <c r="F53" i="8"/>
  <c r="AC55" i="8"/>
  <c r="C58" i="8"/>
  <c r="G58" i="8"/>
  <c r="C59" i="8"/>
  <c r="G59" i="8"/>
  <c r="C60" i="8"/>
  <c r="G60" i="8"/>
  <c r="C61" i="8"/>
  <c r="G61" i="8"/>
  <c r="C62" i="8"/>
  <c r="G62" i="8"/>
  <c r="C63" i="8"/>
  <c r="G63" i="8"/>
  <c r="C64" i="8"/>
  <c r="G64" i="8"/>
  <c r="C65" i="8"/>
  <c r="G65" i="8"/>
  <c r="C66" i="8"/>
  <c r="G66" i="8"/>
  <c r="C67" i="8"/>
  <c r="G67" i="8"/>
  <c r="C68" i="8"/>
  <c r="G68" i="8"/>
  <c r="C69" i="8"/>
  <c r="G69" i="8"/>
  <c r="C70" i="8"/>
  <c r="G70" i="8"/>
  <c r="C71" i="8"/>
  <c r="G71" i="8"/>
  <c r="C72" i="8"/>
  <c r="G72" i="8"/>
  <c r="C73" i="8"/>
  <c r="G73" i="8"/>
  <c r="C74" i="8"/>
  <c r="G74" i="8"/>
  <c r="C75" i="8"/>
  <c r="G75" i="8"/>
  <c r="C76" i="8"/>
  <c r="G76" i="8"/>
  <c r="C77" i="8"/>
  <c r="G77" i="8"/>
  <c r="C78" i="8"/>
  <c r="G78" i="8"/>
  <c r="E79" i="8"/>
  <c r="F79" i="8"/>
  <c r="E84" i="8"/>
  <c r="F84" i="8"/>
  <c r="AC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E98" i="8"/>
  <c r="F98" i="8"/>
  <c r="G98" i="8"/>
  <c r="AC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C117" i="8"/>
  <c r="J117" i="8"/>
  <c r="J131" i="8"/>
  <c r="AC117" i="8"/>
  <c r="C118" i="8"/>
  <c r="J118" i="8"/>
  <c r="C119" i="8"/>
  <c r="J119" i="8"/>
  <c r="C120" i="8"/>
  <c r="J120" i="8"/>
  <c r="C121" i="8"/>
  <c r="J121" i="8"/>
  <c r="C122" i="8"/>
  <c r="J122" i="8"/>
  <c r="C123" i="8"/>
  <c r="J123" i="8"/>
  <c r="C124" i="8"/>
  <c r="J124" i="8"/>
  <c r="C125" i="8"/>
  <c r="J125" i="8"/>
  <c r="C126" i="8"/>
  <c r="J126" i="8"/>
  <c r="C127" i="8"/>
  <c r="J127" i="8"/>
  <c r="C128" i="8"/>
  <c r="J128" i="8"/>
  <c r="C129" i="8"/>
  <c r="J129" i="8"/>
  <c r="C130" i="8"/>
  <c r="J13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E184" i="8"/>
  <c r="F184" i="8"/>
  <c r="G184" i="8"/>
  <c r="I184" i="8"/>
  <c r="J184" i="8"/>
  <c r="K184" i="8"/>
  <c r="L184" i="8"/>
  <c r="M184" i="8"/>
  <c r="C185" i="8"/>
  <c r="D185" i="8"/>
  <c r="H185" i="8"/>
  <c r="C186" i="8"/>
  <c r="D186" i="8"/>
  <c r="H186" i="8"/>
  <c r="N186" i="8"/>
  <c r="C187" i="8"/>
  <c r="D187" i="8"/>
  <c r="H187" i="8"/>
  <c r="N187" i="8"/>
  <c r="C188" i="8"/>
  <c r="D188" i="8"/>
  <c r="H188" i="8"/>
  <c r="N188" i="8"/>
  <c r="C189" i="8"/>
  <c r="D189" i="8"/>
  <c r="H189" i="8"/>
  <c r="N189" i="8"/>
  <c r="C190" i="8"/>
  <c r="D190" i="8"/>
  <c r="H190" i="8"/>
  <c r="N190" i="8"/>
  <c r="C191" i="8"/>
  <c r="D191" i="8"/>
  <c r="H191" i="8"/>
  <c r="N191" i="8"/>
  <c r="C192" i="8"/>
  <c r="D192" i="8"/>
  <c r="H192" i="8"/>
  <c r="N192" i="8"/>
  <c r="C193" i="8"/>
  <c r="D193" i="8"/>
  <c r="H193" i="8"/>
  <c r="N193" i="8"/>
  <c r="C194" i="8"/>
  <c r="D194" i="8"/>
  <c r="H194" i="8"/>
  <c r="N194" i="8"/>
  <c r="C195" i="8"/>
  <c r="D195" i="8"/>
  <c r="H195" i="8"/>
  <c r="N195" i="8"/>
  <c r="C196" i="8"/>
  <c r="D196" i="8"/>
  <c r="H196" i="8"/>
  <c r="N196" i="8"/>
  <c r="E197" i="8"/>
  <c r="F197" i="8"/>
  <c r="G197" i="8"/>
  <c r="I197" i="8"/>
  <c r="J197" i="8"/>
  <c r="K197" i="8"/>
  <c r="L197" i="8"/>
  <c r="M197" i="8"/>
  <c r="C198" i="8"/>
  <c r="D198" i="8"/>
  <c r="H198" i="8"/>
  <c r="N198" i="8"/>
  <c r="N197" i="8"/>
  <c r="C199" i="8"/>
  <c r="D199" i="8"/>
  <c r="H199" i="8"/>
  <c r="N199" i="8"/>
  <c r="C200" i="8"/>
  <c r="D200" i="8"/>
  <c r="H200" i="8"/>
  <c r="N200" i="8"/>
  <c r="C201" i="8"/>
  <c r="D201" i="8"/>
  <c r="H201" i="8"/>
  <c r="N201" i="8"/>
  <c r="C202" i="8"/>
  <c r="D202" i="8"/>
  <c r="H202" i="8"/>
  <c r="N202" i="8"/>
  <c r="C203" i="8"/>
  <c r="D203" i="8"/>
  <c r="H203" i="8"/>
  <c r="N203" i="8"/>
  <c r="C204" i="8"/>
  <c r="D204" i="8"/>
  <c r="H204" i="8"/>
  <c r="N204" i="8"/>
  <c r="C205" i="8"/>
  <c r="D205" i="8"/>
  <c r="H205" i="8"/>
  <c r="N205" i="8"/>
  <c r="C206" i="8"/>
  <c r="D206" i="8"/>
  <c r="H206" i="8"/>
  <c r="N206" i="8"/>
  <c r="C207" i="8"/>
  <c r="D207" i="8"/>
  <c r="H207" i="8"/>
  <c r="N207" i="8"/>
  <c r="C208" i="8"/>
  <c r="D208" i="8"/>
  <c r="H208" i="8"/>
  <c r="N208" i="8"/>
  <c r="C209" i="8"/>
  <c r="D209" i="8"/>
  <c r="H209" i="8"/>
  <c r="N209" i="8"/>
  <c r="E210" i="8"/>
  <c r="F210" i="8"/>
  <c r="G210" i="8"/>
  <c r="I210" i="8"/>
  <c r="J210" i="8"/>
  <c r="K210" i="8"/>
  <c r="L210" i="8"/>
  <c r="M210" i="8"/>
  <c r="C211" i="8"/>
  <c r="D211" i="8"/>
  <c r="H211" i="8"/>
  <c r="N211" i="8"/>
  <c r="C212" i="8"/>
  <c r="D212" i="8"/>
  <c r="H212" i="8"/>
  <c r="N212" i="8"/>
  <c r="C213" i="8"/>
  <c r="D213" i="8"/>
  <c r="H213" i="8"/>
  <c r="N213" i="8"/>
  <c r="C214" i="8"/>
  <c r="D214" i="8"/>
  <c r="H214" i="8"/>
  <c r="N214" i="8"/>
  <c r="C215" i="8"/>
  <c r="D215" i="8"/>
  <c r="H215" i="8"/>
  <c r="N215" i="8"/>
  <c r="C216" i="8"/>
  <c r="D216" i="8"/>
  <c r="H216" i="8"/>
  <c r="N216" i="8"/>
  <c r="C217" i="8"/>
  <c r="D217" i="8"/>
  <c r="H217" i="8"/>
  <c r="N217" i="8"/>
  <c r="C218" i="8"/>
  <c r="D218" i="8"/>
  <c r="H218" i="8"/>
  <c r="N218" i="8"/>
  <c r="C219" i="8"/>
  <c r="D219" i="8"/>
  <c r="H219" i="8"/>
  <c r="N219" i="8"/>
  <c r="C220" i="8"/>
  <c r="D220" i="8"/>
  <c r="H220" i="8"/>
  <c r="N220" i="8"/>
  <c r="C221" i="8"/>
  <c r="D221" i="8"/>
  <c r="H221" i="8"/>
  <c r="N221" i="8"/>
  <c r="C222" i="8"/>
  <c r="D222" i="8"/>
  <c r="H222" i="8"/>
  <c r="N22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E276" i="8"/>
  <c r="F276" i="8"/>
  <c r="G276" i="8"/>
  <c r="I276" i="8"/>
  <c r="J276" i="8"/>
  <c r="K276" i="8"/>
  <c r="L276" i="8"/>
  <c r="M276" i="8"/>
  <c r="C277" i="8"/>
  <c r="D277" i="8"/>
  <c r="H277" i="8"/>
  <c r="C278" i="8"/>
  <c r="D278" i="8"/>
  <c r="H278" i="8"/>
  <c r="N278" i="8"/>
  <c r="C279" i="8"/>
  <c r="D279" i="8"/>
  <c r="H279" i="8"/>
  <c r="N279" i="8"/>
  <c r="C280" i="8"/>
  <c r="D280" i="8"/>
  <c r="H280" i="8"/>
  <c r="N280" i="8"/>
  <c r="C281" i="8"/>
  <c r="D281" i="8"/>
  <c r="H281" i="8"/>
  <c r="N281" i="8"/>
  <c r="C282" i="8"/>
  <c r="D282" i="8"/>
  <c r="H282" i="8"/>
  <c r="N282" i="8"/>
  <c r="C283" i="8"/>
  <c r="D283" i="8"/>
  <c r="H283" i="8"/>
  <c r="N283" i="8"/>
  <c r="C284" i="8"/>
  <c r="D284" i="8"/>
  <c r="H284" i="8"/>
  <c r="N284" i="8"/>
  <c r="C285" i="8"/>
  <c r="D285" i="8"/>
  <c r="H285" i="8"/>
  <c r="N285" i="8"/>
  <c r="C286" i="8"/>
  <c r="D286" i="8"/>
  <c r="H286" i="8"/>
  <c r="N286" i="8"/>
  <c r="C287" i="8"/>
  <c r="D287" i="8"/>
  <c r="H287" i="8"/>
  <c r="N287" i="8"/>
  <c r="C288" i="8"/>
  <c r="D288" i="8"/>
  <c r="H288" i="8"/>
  <c r="N288" i="8"/>
  <c r="E289" i="8"/>
  <c r="F289" i="8"/>
  <c r="G289" i="8"/>
  <c r="H289" i="8"/>
  <c r="I289" i="8"/>
  <c r="J289" i="8"/>
  <c r="K289" i="8"/>
  <c r="L289" i="8"/>
  <c r="M289" i="8"/>
  <c r="C290" i="8"/>
  <c r="D290" i="8"/>
  <c r="H290" i="8"/>
  <c r="N290" i="8"/>
  <c r="N289" i="8"/>
  <c r="C291" i="8"/>
  <c r="D291" i="8"/>
  <c r="H291" i="8"/>
  <c r="N291" i="8"/>
  <c r="C292" i="8"/>
  <c r="D292" i="8"/>
  <c r="H292" i="8"/>
  <c r="N292" i="8"/>
  <c r="C293" i="8"/>
  <c r="D293" i="8"/>
  <c r="H293" i="8"/>
  <c r="N293" i="8"/>
  <c r="C294" i="8"/>
  <c r="D294" i="8"/>
  <c r="H294" i="8"/>
  <c r="N294" i="8"/>
  <c r="C295" i="8"/>
  <c r="D295" i="8"/>
  <c r="H295" i="8"/>
  <c r="N295" i="8"/>
  <c r="C296" i="8"/>
  <c r="D296" i="8"/>
  <c r="H296" i="8"/>
  <c r="N296" i="8"/>
  <c r="C297" i="8"/>
  <c r="D297" i="8"/>
  <c r="H297" i="8"/>
  <c r="N297" i="8"/>
  <c r="C298" i="8"/>
  <c r="D298" i="8"/>
  <c r="H298" i="8"/>
  <c r="N298" i="8"/>
  <c r="C299" i="8"/>
  <c r="D299" i="8"/>
  <c r="H299" i="8"/>
  <c r="N299" i="8"/>
  <c r="C300" i="8"/>
  <c r="D300" i="8"/>
  <c r="H300" i="8"/>
  <c r="N300" i="8"/>
  <c r="C301" i="8"/>
  <c r="D301" i="8"/>
  <c r="H301" i="8"/>
  <c r="N301" i="8"/>
  <c r="E302" i="8"/>
  <c r="F302" i="8"/>
  <c r="G302" i="8"/>
  <c r="I302" i="8"/>
  <c r="J302" i="8"/>
  <c r="K302" i="8"/>
  <c r="L302" i="8"/>
  <c r="M302" i="8"/>
  <c r="C303" i="8"/>
  <c r="D303" i="8"/>
  <c r="H303" i="8"/>
  <c r="N303" i="8"/>
  <c r="C304" i="8"/>
  <c r="D304" i="8"/>
  <c r="H304" i="8"/>
  <c r="N304" i="8"/>
  <c r="C305" i="8"/>
  <c r="D305" i="8"/>
  <c r="H305" i="8"/>
  <c r="N305" i="8"/>
  <c r="C306" i="8"/>
  <c r="D306" i="8"/>
  <c r="H306" i="8"/>
  <c r="N306" i="8"/>
  <c r="C307" i="8"/>
  <c r="D307" i="8"/>
  <c r="H307" i="8"/>
  <c r="N307" i="8"/>
  <c r="C308" i="8"/>
  <c r="D308" i="8"/>
  <c r="H308" i="8"/>
  <c r="N308" i="8"/>
  <c r="C309" i="8"/>
  <c r="D309" i="8"/>
  <c r="H309" i="8"/>
  <c r="N309" i="8"/>
  <c r="C310" i="8"/>
  <c r="D310" i="8"/>
  <c r="H310" i="8"/>
  <c r="N310" i="8"/>
  <c r="C311" i="8"/>
  <c r="D311" i="8"/>
  <c r="H311" i="8"/>
  <c r="N311" i="8"/>
  <c r="C312" i="8"/>
  <c r="D312" i="8"/>
  <c r="H312" i="8"/>
  <c r="N312" i="8"/>
  <c r="C313" i="8"/>
  <c r="D313" i="8"/>
  <c r="H313" i="8"/>
  <c r="N313" i="8"/>
  <c r="C314" i="8"/>
  <c r="D314" i="8"/>
  <c r="H314" i="8"/>
  <c r="N314" i="8"/>
  <c r="B315" i="8"/>
  <c r="B316" i="8"/>
  <c r="B317" i="8"/>
  <c r="B318" i="8"/>
  <c r="B319" i="8"/>
  <c r="B320" i="8"/>
  <c r="B321" i="8"/>
  <c r="B322" i="8"/>
  <c r="B323" i="8"/>
  <c r="B324" i="8"/>
  <c r="B325" i="8"/>
  <c r="C326" i="8"/>
  <c r="K326" i="8"/>
  <c r="K348" i="8"/>
  <c r="C327" i="8"/>
  <c r="K327" i="8"/>
  <c r="C328" i="8"/>
  <c r="K328" i="8"/>
  <c r="C329" i="8"/>
  <c r="K329" i="8"/>
  <c r="C330" i="8"/>
  <c r="K330" i="8"/>
  <c r="C331" i="8"/>
  <c r="K331" i="8"/>
  <c r="C332" i="8"/>
  <c r="K332" i="8"/>
  <c r="C333" i="8"/>
  <c r="K333" i="8"/>
  <c r="C334" i="8"/>
  <c r="K334" i="8"/>
  <c r="C335" i="8"/>
  <c r="K335" i="8"/>
  <c r="C336" i="8"/>
  <c r="K336" i="8"/>
  <c r="C337" i="8"/>
  <c r="K337" i="8"/>
  <c r="C338" i="8"/>
  <c r="K338" i="8"/>
  <c r="C339" i="8"/>
  <c r="K339" i="8"/>
  <c r="C340" i="8"/>
  <c r="K340" i="8"/>
  <c r="C341" i="8"/>
  <c r="K341" i="8"/>
  <c r="C342" i="8"/>
  <c r="K342" i="8"/>
  <c r="C343" i="8"/>
  <c r="K343" i="8"/>
  <c r="C344" i="8"/>
  <c r="K344" i="8"/>
  <c r="C345" i="8"/>
  <c r="K345" i="8"/>
  <c r="C346" i="8"/>
  <c r="K346" i="8"/>
  <c r="C347" i="8"/>
  <c r="K347" i="8"/>
  <c r="H348" i="8"/>
  <c r="I348" i="8"/>
  <c r="J348" i="8"/>
  <c r="AC348" i="8"/>
  <c r="C349" i="8"/>
  <c r="K349" i="8"/>
  <c r="C350" i="8"/>
  <c r="K350" i="8"/>
  <c r="C351" i="8"/>
  <c r="K351" i="8"/>
  <c r="C352" i="8"/>
  <c r="K352" i="8"/>
  <c r="C353" i="8"/>
  <c r="K353" i="8"/>
  <c r="C354" i="8"/>
  <c r="K354" i="8"/>
  <c r="C355" i="8"/>
  <c r="K355" i="8"/>
  <c r="C356" i="8"/>
  <c r="K356" i="8"/>
  <c r="C357" i="8"/>
  <c r="K357" i="8"/>
  <c r="C358" i="8"/>
  <c r="K358" i="8"/>
  <c r="C359" i="8"/>
  <c r="K359" i="8"/>
  <c r="C360" i="8"/>
  <c r="K360" i="8"/>
  <c r="C361" i="8"/>
  <c r="K361" i="8"/>
  <c r="C362" i="8"/>
  <c r="K362" i="8"/>
  <c r="C363" i="8"/>
  <c r="K363" i="8"/>
  <c r="C364" i="8"/>
  <c r="K364" i="8"/>
  <c r="C365" i="8"/>
  <c r="K365" i="8"/>
  <c r="C366" i="8"/>
  <c r="K366" i="8"/>
  <c r="C367" i="8"/>
  <c r="K367" i="8"/>
  <c r="C368" i="8"/>
  <c r="K368" i="8"/>
  <c r="C369" i="8"/>
  <c r="K369" i="8"/>
  <c r="C370" i="8"/>
  <c r="K370" i="8"/>
  <c r="H371" i="8"/>
  <c r="I371" i="8"/>
  <c r="J371" i="8"/>
  <c r="AC371" i="8"/>
  <c r="C372" i="8"/>
  <c r="K372" i="8"/>
  <c r="C373" i="8"/>
  <c r="K373" i="8"/>
  <c r="C374" i="8"/>
  <c r="K374" i="8"/>
  <c r="C375" i="8"/>
  <c r="K375" i="8"/>
  <c r="C376" i="8"/>
  <c r="K376" i="8"/>
  <c r="C377" i="8"/>
  <c r="K377" i="8"/>
  <c r="C378" i="8"/>
  <c r="K378" i="8"/>
  <c r="C379" i="8"/>
  <c r="K379" i="8"/>
  <c r="C380" i="8"/>
  <c r="K380" i="8"/>
  <c r="C381" i="8"/>
  <c r="K381" i="8"/>
  <c r="C382" i="8"/>
  <c r="K382" i="8"/>
  <c r="C383" i="8"/>
  <c r="K383" i="8"/>
  <c r="C384" i="8"/>
  <c r="K384" i="8"/>
  <c r="C385" i="8"/>
  <c r="K385" i="8"/>
  <c r="C386" i="8"/>
  <c r="K386" i="8"/>
  <c r="C387" i="8"/>
  <c r="K387" i="8"/>
  <c r="C388" i="8"/>
  <c r="K388" i="8"/>
  <c r="C389" i="8"/>
  <c r="K389" i="8"/>
  <c r="C390" i="8"/>
  <c r="K390" i="8"/>
  <c r="C391" i="8"/>
  <c r="K391" i="8"/>
  <c r="C392" i="8"/>
  <c r="K392" i="8"/>
  <c r="C393" i="8"/>
  <c r="K393" i="8"/>
  <c r="H394" i="8"/>
  <c r="I394" i="8"/>
  <c r="J394" i="8"/>
  <c r="AC394" i="8"/>
  <c r="C395" i="8"/>
  <c r="E395" i="8"/>
  <c r="K395" i="8"/>
  <c r="C396" i="8"/>
  <c r="K396" i="8"/>
  <c r="C397" i="8"/>
  <c r="K397" i="8"/>
  <c r="C398" i="8"/>
  <c r="K398" i="8"/>
  <c r="C399" i="8"/>
  <c r="K399" i="8"/>
  <c r="C400" i="8"/>
  <c r="K400" i="8"/>
  <c r="K408" i="8"/>
  <c r="C401" i="8"/>
  <c r="K401" i="8"/>
  <c r="C402" i="8"/>
  <c r="K402" i="8"/>
  <c r="C403" i="8"/>
  <c r="E403" i="8"/>
  <c r="K403" i="8"/>
  <c r="C404" i="8"/>
  <c r="K404" i="8"/>
  <c r="C405" i="8"/>
  <c r="K405" i="8"/>
  <c r="C406" i="8"/>
  <c r="K406" i="8"/>
  <c r="C407" i="8"/>
  <c r="K407" i="8"/>
  <c r="H408" i="8"/>
  <c r="I408" i="8"/>
  <c r="J408" i="8"/>
  <c r="AC408" i="8"/>
  <c r="C409" i="8"/>
  <c r="K409" i="8"/>
  <c r="C410" i="8"/>
  <c r="K410" i="8"/>
  <c r="C411" i="8"/>
  <c r="K411" i="8"/>
  <c r="C412" i="8"/>
  <c r="K412" i="8"/>
  <c r="C413" i="8"/>
  <c r="E413" i="8"/>
  <c r="K413" i="8"/>
  <c r="C414" i="8"/>
  <c r="K414" i="8"/>
  <c r="C415" i="8"/>
  <c r="K415" i="8"/>
  <c r="K422" i="8"/>
  <c r="C416" i="8"/>
  <c r="K416" i="8"/>
  <c r="C417" i="8"/>
  <c r="K417" i="8"/>
  <c r="C418" i="8"/>
  <c r="K418" i="8"/>
  <c r="C419" i="8"/>
  <c r="K419" i="8"/>
  <c r="C420" i="8"/>
  <c r="E420" i="8"/>
  <c r="K420" i="8"/>
  <c r="C421" i="8"/>
  <c r="K421" i="8"/>
  <c r="H422" i="8"/>
  <c r="I422" i="8"/>
  <c r="J422" i="8"/>
  <c r="AC422" i="8"/>
  <c r="C423" i="8"/>
  <c r="K423" i="8"/>
  <c r="C424" i="8"/>
  <c r="K424" i="8"/>
  <c r="C425" i="8"/>
  <c r="K425" i="8"/>
  <c r="C426" i="8"/>
  <c r="K426" i="8"/>
  <c r="C427" i="8"/>
  <c r="K427" i="8"/>
  <c r="A428" i="8"/>
  <c r="C428" i="8"/>
  <c r="K428" i="8"/>
  <c r="C429" i="8"/>
  <c r="K429" i="8"/>
  <c r="C430" i="8"/>
  <c r="K430" i="8"/>
  <c r="C431" i="8"/>
  <c r="K431" i="8"/>
  <c r="C432" i="8"/>
  <c r="E432" i="8"/>
  <c r="K432" i="8"/>
  <c r="C433" i="8"/>
  <c r="K433" i="8"/>
  <c r="C434" i="8"/>
  <c r="K434" i="8"/>
  <c r="C435" i="8"/>
  <c r="K435" i="8"/>
  <c r="H436" i="8"/>
  <c r="I436" i="8"/>
  <c r="J436" i="8"/>
  <c r="AC436" i="8"/>
  <c r="A438" i="8"/>
  <c r="C441" i="8"/>
  <c r="J441" i="8"/>
  <c r="C442" i="8"/>
  <c r="J442" i="8"/>
  <c r="C443" i="8"/>
  <c r="J443" i="8"/>
  <c r="C444" i="8"/>
  <c r="J444" i="8"/>
  <c r="C445" i="8"/>
  <c r="J445" i="8"/>
  <c r="C446" i="8"/>
  <c r="J446" i="8"/>
  <c r="C447" i="8"/>
  <c r="J447" i="8"/>
  <c r="C448" i="8"/>
  <c r="J448" i="8"/>
  <c r="C449" i="8"/>
  <c r="J449" i="8"/>
  <c r="C450" i="8"/>
  <c r="J450" i="8"/>
  <c r="C451" i="8"/>
  <c r="J451" i="8"/>
  <c r="C452" i="8"/>
  <c r="J452" i="8"/>
  <c r="C453" i="8"/>
  <c r="J453" i="8"/>
  <c r="A454" i="8"/>
  <c r="C454" i="8"/>
  <c r="J454" i="8"/>
  <c r="A455" i="8"/>
  <c r="C455" i="8"/>
  <c r="J455" i="8"/>
  <c r="C456" i="8"/>
  <c r="J456" i="8"/>
  <c r="C457" i="8"/>
  <c r="J457" i="8"/>
  <c r="C458" i="8"/>
  <c r="J458" i="8"/>
  <c r="C459" i="8"/>
  <c r="J459" i="8"/>
  <c r="A460" i="8"/>
  <c r="C460" i="8"/>
  <c r="J460" i="8"/>
  <c r="A461" i="8"/>
  <c r="C461" i="8"/>
  <c r="J461" i="8"/>
  <c r="C462" i="8"/>
  <c r="J462" i="8"/>
  <c r="C463" i="8"/>
  <c r="J463" i="8"/>
  <c r="C464" i="8"/>
  <c r="J464" i="8"/>
  <c r="C465" i="8"/>
  <c r="J465" i="8"/>
  <c r="A466" i="8"/>
  <c r="C466" i="8"/>
  <c r="J466" i="8"/>
  <c r="A467" i="8"/>
  <c r="C467" i="8"/>
  <c r="J467" i="8"/>
  <c r="H468" i="8"/>
  <c r="I468" i="8"/>
  <c r="C471" i="8"/>
  <c r="J471" i="8"/>
  <c r="C472" i="8"/>
  <c r="J472" i="8"/>
  <c r="C473" i="8"/>
  <c r="J473" i="8"/>
  <c r="C474" i="8"/>
  <c r="J474" i="8"/>
  <c r="C475" i="8"/>
  <c r="J475" i="8"/>
  <c r="C476" i="8"/>
  <c r="J476" i="8"/>
  <c r="C477" i="8"/>
  <c r="J477" i="8"/>
  <c r="C478" i="8"/>
  <c r="J478" i="8"/>
  <c r="C479" i="8"/>
  <c r="J479" i="8"/>
  <c r="C480" i="8"/>
  <c r="J480" i="8"/>
  <c r="A481" i="8"/>
  <c r="C481" i="8"/>
  <c r="J481" i="8"/>
  <c r="A482" i="8"/>
  <c r="C482" i="8"/>
  <c r="J482" i="8"/>
  <c r="C483" i="8"/>
  <c r="J483" i="8"/>
  <c r="C484" i="8"/>
  <c r="J484" i="8"/>
  <c r="C485" i="8"/>
  <c r="J485" i="8"/>
  <c r="C486" i="8"/>
  <c r="J486" i="8"/>
  <c r="A487" i="8"/>
  <c r="C487" i="8"/>
  <c r="J487" i="8"/>
  <c r="A488" i="8"/>
  <c r="C488" i="8"/>
  <c r="J488" i="8"/>
  <c r="C489" i="8"/>
  <c r="J489" i="8"/>
  <c r="C490" i="8"/>
  <c r="J490" i="8"/>
  <c r="C491" i="8"/>
  <c r="J491" i="8"/>
  <c r="C492" i="8"/>
  <c r="J492" i="8"/>
  <c r="A493" i="8"/>
  <c r="C493" i="8"/>
  <c r="J493" i="8"/>
  <c r="A494" i="8"/>
  <c r="C494" i="8"/>
  <c r="J494" i="8"/>
  <c r="C495" i="8"/>
  <c r="J495" i="8"/>
  <c r="C496" i="8"/>
  <c r="J496" i="8"/>
  <c r="C497" i="8"/>
  <c r="J497" i="8"/>
  <c r="H498" i="8"/>
  <c r="I498" i="8"/>
  <c r="B499" i="8"/>
  <c r="B500" i="8"/>
  <c r="B501" i="8"/>
  <c r="B502" i="8"/>
  <c r="B503" i="8"/>
  <c r="K504" i="8"/>
  <c r="N504" i="8"/>
  <c r="Q504" i="8"/>
  <c r="AC504" i="8"/>
  <c r="C505" i="8"/>
  <c r="D505" i="8"/>
  <c r="O505" i="8"/>
  <c r="C506" i="8"/>
  <c r="J506" i="8"/>
  <c r="J504" i="8"/>
  <c r="K506" i="8"/>
  <c r="L506" i="8"/>
  <c r="L504" i="8"/>
  <c r="M506" i="8"/>
  <c r="M504" i="8"/>
  <c r="N506" i="8"/>
  <c r="P506" i="8"/>
  <c r="P504" i="8"/>
  <c r="Q506" i="8"/>
  <c r="C507" i="8"/>
  <c r="O507" i="8"/>
  <c r="C508" i="8"/>
  <c r="O508" i="8"/>
  <c r="O506" i="8"/>
  <c r="C509" i="8"/>
  <c r="O509" i="8"/>
  <c r="C510" i="8"/>
  <c r="O510" i="8"/>
  <c r="A511" i="8"/>
  <c r="C511" i="8"/>
  <c r="O511" i="8"/>
  <c r="C512" i="8"/>
  <c r="O512" i="8"/>
  <c r="C513" i="8"/>
  <c r="O513" i="8"/>
  <c r="C514" i="8"/>
  <c r="O514" i="8"/>
  <c r="C515" i="8"/>
  <c r="O515" i="8"/>
  <c r="C516" i="8"/>
  <c r="O516" i="8"/>
  <c r="A517" i="8"/>
  <c r="L517" i="8"/>
  <c r="P517" i="8"/>
  <c r="Q517" i="8"/>
  <c r="AC517" i="8"/>
  <c r="C518" i="8"/>
  <c r="O518" i="8"/>
  <c r="A519" i="8"/>
  <c r="C519" i="8"/>
  <c r="J519" i="8"/>
  <c r="J517" i="8"/>
  <c r="K519" i="8"/>
  <c r="K517" i="8"/>
  <c r="L519" i="8"/>
  <c r="M519" i="8"/>
  <c r="M517" i="8"/>
  <c r="N519" i="8"/>
  <c r="N517" i="8"/>
  <c r="P519" i="8"/>
  <c r="Q519" i="8"/>
  <c r="A520" i="8"/>
  <c r="C520" i="8"/>
  <c r="O520" i="8"/>
  <c r="C521" i="8"/>
  <c r="O521" i="8"/>
  <c r="O519" i="8"/>
  <c r="O517" i="8"/>
  <c r="AD517" i="8"/>
  <c r="C522" i="8"/>
  <c r="O522" i="8"/>
  <c r="A523" i="8"/>
  <c r="C523" i="8"/>
  <c r="O523" i="8"/>
  <c r="C524" i="8"/>
  <c r="O524" i="8"/>
  <c r="C525" i="8"/>
  <c r="O525" i="8"/>
  <c r="C526" i="8"/>
  <c r="O526" i="8"/>
  <c r="C527" i="8"/>
  <c r="O527" i="8"/>
  <c r="C528" i="8"/>
  <c r="O528" i="8"/>
  <c r="C529" i="8"/>
  <c r="O529" i="8"/>
  <c r="C530" i="8"/>
  <c r="O530" i="8"/>
  <c r="C531" i="8"/>
  <c r="O531" i="8"/>
  <c r="C532" i="8"/>
  <c r="O532" i="8"/>
  <c r="A533" i="8"/>
  <c r="C533" i="8"/>
  <c r="O533" i="8"/>
  <c r="A534" i="8"/>
  <c r="C534" i="8"/>
  <c r="O534" i="8"/>
  <c r="C535" i="8"/>
  <c r="O535" i="8"/>
  <c r="C536" i="8"/>
  <c r="O536" i="8"/>
  <c r="C537" i="8"/>
  <c r="O537" i="8"/>
  <c r="C538" i="8"/>
  <c r="O538" i="8"/>
  <c r="C539" i="8"/>
  <c r="O539" i="8"/>
  <c r="C540" i="8"/>
  <c r="O540" i="8"/>
  <c r="C541" i="8"/>
  <c r="O541" i="8"/>
  <c r="C542" i="8"/>
  <c r="O542" i="8"/>
  <c r="C543" i="8"/>
  <c r="O543" i="8"/>
  <c r="A544" i="8"/>
  <c r="C544" i="8"/>
  <c r="O544" i="8"/>
  <c r="A545" i="8"/>
  <c r="C545" i="8"/>
  <c r="O545" i="8"/>
  <c r="C546" i="8"/>
  <c r="O546" i="8"/>
  <c r="A547" i="8"/>
  <c r="C547" i="8"/>
  <c r="O547" i="8"/>
  <c r="A548" i="8"/>
  <c r="C548" i="8"/>
  <c r="O548" i="8"/>
  <c r="C549" i="8"/>
  <c r="O549" i="8"/>
  <c r="J550" i="8"/>
  <c r="N550" i="8"/>
  <c r="P550" i="8"/>
  <c r="Q550" i="8"/>
  <c r="AC550" i="8"/>
  <c r="C551" i="8"/>
  <c r="D551" i="8"/>
  <c r="O551" i="8"/>
  <c r="C552" i="8"/>
  <c r="J552" i="8"/>
  <c r="K552" i="8"/>
  <c r="K550" i="8"/>
  <c r="L552" i="8"/>
  <c r="L550" i="8"/>
  <c r="M552" i="8"/>
  <c r="M550" i="8"/>
  <c r="N552" i="8"/>
  <c r="P552" i="8"/>
  <c r="Q552" i="8"/>
  <c r="C553" i="8"/>
  <c r="O553" i="8"/>
  <c r="A554" i="8"/>
  <c r="C554" i="8"/>
  <c r="O554" i="8"/>
  <c r="C555" i="8"/>
  <c r="O555" i="8"/>
  <c r="C556" i="8"/>
  <c r="O556" i="8"/>
  <c r="A557" i="8"/>
  <c r="C557" i="8"/>
  <c r="O557" i="8"/>
  <c r="A558" i="8"/>
  <c r="C558" i="8"/>
  <c r="O558" i="8"/>
  <c r="C559" i="8"/>
  <c r="O559" i="8"/>
  <c r="C560" i="8"/>
  <c r="O560" i="8"/>
  <c r="C561" i="8"/>
  <c r="O561" i="8"/>
  <c r="C562" i="8"/>
  <c r="O562" i="8"/>
  <c r="C563" i="8"/>
  <c r="O563" i="8"/>
  <c r="C564" i="8"/>
  <c r="O564" i="8"/>
  <c r="C565" i="8"/>
  <c r="O565" i="8"/>
  <c r="C566" i="8"/>
  <c r="O566" i="8"/>
  <c r="C567" i="8"/>
  <c r="O567" i="8"/>
  <c r="A568" i="8"/>
  <c r="C568" i="8"/>
  <c r="O568" i="8"/>
  <c r="A569" i="8"/>
  <c r="C569" i="8"/>
  <c r="O569" i="8"/>
  <c r="C570" i="8"/>
  <c r="O570" i="8"/>
  <c r="C571" i="8"/>
  <c r="O571" i="8"/>
  <c r="A572" i="8"/>
  <c r="C572" i="8"/>
  <c r="O572" i="8"/>
  <c r="C573" i="8"/>
  <c r="O573" i="8"/>
  <c r="C574" i="8"/>
  <c r="O574" i="8"/>
  <c r="C575" i="8"/>
  <c r="O575" i="8"/>
  <c r="C576" i="8"/>
  <c r="O576" i="8"/>
  <c r="C577" i="8"/>
  <c r="O577" i="8"/>
  <c r="C578" i="8"/>
  <c r="O578" i="8"/>
  <c r="C579" i="8"/>
  <c r="O579" i="8"/>
  <c r="C580" i="8"/>
  <c r="O580" i="8"/>
  <c r="C581" i="8"/>
  <c r="O581" i="8"/>
  <c r="A582" i="8"/>
  <c r="C582" i="8"/>
  <c r="O582" i="8"/>
  <c r="A583" i="8"/>
  <c r="C583" i="8"/>
  <c r="O583" i="8"/>
  <c r="C584" i="8"/>
  <c r="O584" i="8"/>
  <c r="C585" i="8"/>
  <c r="O585" i="8"/>
  <c r="C586" i="8"/>
  <c r="O586" i="8"/>
  <c r="C587" i="8"/>
  <c r="O587" i="8"/>
  <c r="C588" i="8"/>
  <c r="O588" i="8"/>
  <c r="C589" i="8"/>
  <c r="O589" i="8"/>
  <c r="C590" i="8"/>
  <c r="O590" i="8"/>
  <c r="C591" i="8"/>
  <c r="O591" i="8"/>
  <c r="C592" i="8"/>
  <c r="O592" i="8"/>
  <c r="A593" i="8"/>
  <c r="C593" i="8"/>
  <c r="O593" i="8"/>
  <c r="A594" i="8"/>
  <c r="C594" i="8"/>
  <c r="O594" i="8"/>
  <c r="C595" i="8"/>
  <c r="O595" i="8"/>
  <c r="A596" i="8"/>
  <c r="C596" i="8"/>
  <c r="O596" i="8"/>
  <c r="A597" i="8"/>
  <c r="C597" i="8"/>
  <c r="O597" i="8"/>
  <c r="C598" i="8"/>
  <c r="O598" i="8"/>
  <c r="C599" i="8"/>
  <c r="O599" i="8"/>
  <c r="C600" i="8"/>
  <c r="O600" i="8"/>
  <c r="C601" i="8"/>
  <c r="O601" i="8"/>
  <c r="C602" i="8"/>
  <c r="O602" i="8"/>
  <c r="J603" i="8"/>
  <c r="K603" i="8"/>
  <c r="L603" i="8"/>
  <c r="M603" i="8"/>
  <c r="N603" i="8"/>
  <c r="AC603" i="8"/>
  <c r="C604" i="8"/>
  <c r="O604" i="8"/>
  <c r="C605" i="8"/>
  <c r="D605" i="8"/>
  <c r="J605" i="8"/>
  <c r="K605" i="8"/>
  <c r="L605" i="8"/>
  <c r="M605" i="8"/>
  <c r="N605" i="8"/>
  <c r="P605" i="8"/>
  <c r="P603" i="8"/>
  <c r="Q605" i="8"/>
  <c r="Q603" i="8"/>
  <c r="C606" i="8"/>
  <c r="O606" i="8"/>
  <c r="C607" i="8"/>
  <c r="O607" i="8"/>
  <c r="C608" i="8"/>
  <c r="O608" i="8"/>
  <c r="C609" i="8"/>
  <c r="O609" i="8"/>
  <c r="C610" i="8"/>
  <c r="O610" i="8"/>
  <c r="A611" i="8"/>
  <c r="C611" i="8"/>
  <c r="O611" i="8"/>
  <c r="C612" i="8"/>
  <c r="O612" i="8"/>
  <c r="C613" i="8"/>
  <c r="O613" i="8"/>
  <c r="A614" i="8"/>
  <c r="C614" i="8"/>
  <c r="O614" i="8"/>
  <c r="A615" i="8"/>
  <c r="C615" i="8"/>
  <c r="O615" i="8"/>
  <c r="C616" i="8"/>
  <c r="O616" i="8"/>
  <c r="C617" i="8"/>
  <c r="O617" i="8"/>
  <c r="C618" i="8"/>
  <c r="O618" i="8"/>
  <c r="C619" i="8"/>
  <c r="O619" i="8"/>
  <c r="C620" i="8"/>
  <c r="O620" i="8"/>
  <c r="C621" i="8"/>
  <c r="O621" i="8"/>
  <c r="C622" i="8"/>
  <c r="O622" i="8"/>
  <c r="C623" i="8"/>
  <c r="O623" i="8"/>
  <c r="C624" i="8"/>
  <c r="O624" i="8"/>
  <c r="A625" i="8"/>
  <c r="C625" i="8"/>
  <c r="O625" i="8"/>
  <c r="A626" i="8"/>
  <c r="C626" i="8"/>
  <c r="O626" i="8"/>
  <c r="C627" i="8"/>
  <c r="O627" i="8"/>
  <c r="C628" i="8"/>
  <c r="O628" i="8"/>
  <c r="A629" i="8"/>
  <c r="C629" i="8"/>
  <c r="O629" i="8"/>
  <c r="C630" i="8"/>
  <c r="O630" i="8"/>
  <c r="C631" i="8"/>
  <c r="O631" i="8"/>
  <c r="C632" i="8"/>
  <c r="O632" i="8"/>
  <c r="C633" i="8"/>
  <c r="O633" i="8"/>
  <c r="C634" i="8"/>
  <c r="O634" i="8"/>
  <c r="C635" i="8"/>
  <c r="O635" i="8"/>
  <c r="J636" i="8"/>
  <c r="K636" i="8"/>
  <c r="N636" i="8"/>
  <c r="P636" i="8"/>
  <c r="AC636" i="8"/>
  <c r="C637" i="8"/>
  <c r="D637" i="8"/>
  <c r="O637" i="8"/>
  <c r="C638" i="8"/>
  <c r="J638" i="8"/>
  <c r="K638" i="8"/>
  <c r="L638" i="8"/>
  <c r="L636" i="8"/>
  <c r="M638" i="8"/>
  <c r="M636" i="8"/>
  <c r="N638" i="8"/>
  <c r="P638" i="8"/>
  <c r="Q638" i="8"/>
  <c r="Q636" i="8"/>
  <c r="C639" i="8"/>
  <c r="O639" i="8"/>
  <c r="A640" i="8"/>
  <c r="C640" i="8"/>
  <c r="O640" i="8"/>
  <c r="A641" i="8"/>
  <c r="C641" i="8"/>
  <c r="O641" i="8"/>
  <c r="C642" i="8"/>
  <c r="O642" i="8"/>
  <c r="C643" i="8"/>
  <c r="O643" i="8"/>
  <c r="C644" i="8"/>
  <c r="O644" i="8"/>
  <c r="C645" i="8"/>
  <c r="O645" i="8"/>
  <c r="C646" i="8"/>
  <c r="O646" i="8"/>
  <c r="C647" i="8"/>
  <c r="O647" i="8"/>
  <c r="A648" i="8"/>
  <c r="C648" i="8"/>
  <c r="O648" i="8"/>
  <c r="A649" i="8"/>
  <c r="C649" i="8"/>
  <c r="O649" i="8"/>
  <c r="C650" i="8"/>
  <c r="O650" i="8"/>
  <c r="C651" i="8"/>
  <c r="O651" i="8"/>
  <c r="C652" i="8"/>
  <c r="O652" i="8"/>
  <c r="C653" i="8"/>
  <c r="O653" i="8"/>
  <c r="C654" i="8"/>
  <c r="O654" i="8"/>
  <c r="C655" i="8"/>
  <c r="O655" i="8"/>
  <c r="A656" i="8"/>
  <c r="C656" i="8"/>
  <c r="O656" i="8"/>
  <c r="A657" i="8"/>
  <c r="C657" i="8"/>
  <c r="O657" i="8"/>
  <c r="C658" i="8"/>
  <c r="O658" i="8"/>
  <c r="C659" i="8"/>
  <c r="O659" i="8"/>
  <c r="C660" i="8"/>
  <c r="O660" i="8"/>
  <c r="C661" i="8"/>
  <c r="O661" i="8"/>
  <c r="C662" i="8"/>
  <c r="O662" i="8"/>
  <c r="C663" i="8"/>
  <c r="O663" i="8"/>
  <c r="A664" i="8"/>
  <c r="C664" i="8"/>
  <c r="O664" i="8"/>
  <c r="A665" i="8"/>
  <c r="C665" i="8"/>
  <c r="O665" i="8"/>
  <c r="C666" i="8"/>
  <c r="O666" i="8"/>
  <c r="C667" i="8"/>
  <c r="O667" i="8"/>
  <c r="C668" i="8"/>
  <c r="O668" i="8"/>
  <c r="C669" i="8"/>
  <c r="O669" i="8"/>
  <c r="C670" i="8"/>
  <c r="O670" i="8"/>
  <c r="C671" i="8"/>
  <c r="O671" i="8"/>
  <c r="A672" i="8"/>
  <c r="C672" i="8"/>
  <c r="O672" i="8"/>
  <c r="A673" i="8"/>
  <c r="C673" i="8"/>
  <c r="O673" i="8"/>
  <c r="C674" i="8"/>
  <c r="O674" i="8"/>
  <c r="C675" i="8"/>
  <c r="O675" i="8"/>
  <c r="C676" i="8"/>
  <c r="O676" i="8"/>
  <c r="C677" i="8"/>
  <c r="O677" i="8"/>
  <c r="C678" i="8"/>
  <c r="O678" i="8"/>
  <c r="C679" i="8"/>
  <c r="O679" i="8"/>
  <c r="A680" i="8"/>
  <c r="C680" i="8"/>
  <c r="O680" i="8"/>
  <c r="A681" i="8"/>
  <c r="C681" i="8"/>
  <c r="O681" i="8"/>
  <c r="C682" i="8"/>
  <c r="O682" i="8"/>
  <c r="C683" i="8"/>
  <c r="O683" i="8"/>
  <c r="C684" i="8"/>
  <c r="O684" i="8"/>
  <c r="C685" i="8"/>
  <c r="O685" i="8"/>
  <c r="C686" i="8"/>
  <c r="O686" i="8"/>
  <c r="C687" i="8"/>
  <c r="O687" i="8"/>
  <c r="A688" i="8"/>
  <c r="C688" i="8"/>
  <c r="O688" i="8"/>
  <c r="A689" i="8"/>
  <c r="B689" i="8"/>
  <c r="B690" i="8"/>
  <c r="B691" i="8"/>
  <c r="B692" i="8"/>
  <c r="F692" i="8"/>
  <c r="F702" i="8"/>
  <c r="B693" i="8"/>
  <c r="G693" i="8"/>
  <c r="G698" i="8"/>
  <c r="H693" i="8"/>
  <c r="H698" i="8"/>
  <c r="I693" i="8"/>
  <c r="I698" i="8"/>
  <c r="A694" i="8"/>
  <c r="B694" i="8"/>
  <c r="B695" i="8"/>
  <c r="B696" i="8"/>
  <c r="B697" i="8"/>
  <c r="A698" i="8"/>
  <c r="B698" i="8"/>
  <c r="F698" i="8"/>
  <c r="B699" i="8"/>
  <c r="A700" i="8"/>
  <c r="B700" i="8"/>
  <c r="B701" i="8"/>
  <c r="B702" i="8"/>
  <c r="B703" i="8"/>
  <c r="B704" i="8"/>
  <c r="A705" i="8"/>
  <c r="B705" i="8"/>
  <c r="B706" i="8"/>
  <c r="B707" i="8"/>
  <c r="B708" i="8"/>
  <c r="F708" i="8"/>
  <c r="G703" i="8"/>
  <c r="G708" i="8"/>
  <c r="H703" i="8"/>
  <c r="H708" i="8"/>
  <c r="I703" i="8"/>
  <c r="I708" i="8"/>
  <c r="B709" i="8"/>
  <c r="B710" i="8"/>
  <c r="A711" i="8"/>
  <c r="B711" i="8"/>
  <c r="C712" i="8"/>
  <c r="C713" i="8"/>
  <c r="C714" i="8"/>
  <c r="A715" i="8"/>
  <c r="C715" i="8"/>
  <c r="C716" i="8"/>
  <c r="C717" i="8"/>
  <c r="C718" i="8"/>
  <c r="A719" i="8"/>
  <c r="I719" i="8"/>
  <c r="K719" i="8"/>
  <c r="AD719" i="8"/>
  <c r="AC719" i="8"/>
  <c r="B720" i="8"/>
  <c r="B721" i="8"/>
  <c r="A722" i="8"/>
  <c r="B722" i="8"/>
  <c r="B723" i="8"/>
  <c r="B724" i="8"/>
  <c r="B725" i="8"/>
  <c r="A726" i="8"/>
  <c r="B726" i="8"/>
  <c r="B727" i="8"/>
  <c r="B728" i="8"/>
  <c r="B729" i="8"/>
  <c r="A730" i="8"/>
  <c r="B730" i="8"/>
  <c r="C731" i="8"/>
  <c r="J731" i="8"/>
  <c r="C732" i="8"/>
  <c r="J732" i="8"/>
  <c r="C733" i="8"/>
  <c r="J733" i="8"/>
  <c r="C734" i="8"/>
  <c r="J734" i="8"/>
  <c r="A735" i="8"/>
  <c r="C735" i="8"/>
  <c r="J735" i="8"/>
  <c r="A736" i="8"/>
  <c r="C736" i="8"/>
  <c r="J736" i="8"/>
  <c r="C737" i="8"/>
  <c r="J737" i="8"/>
  <c r="C738" i="8"/>
  <c r="J738" i="8"/>
  <c r="C739" i="8"/>
  <c r="J739" i="8"/>
  <c r="C740" i="8"/>
  <c r="J740" i="8"/>
  <c r="C741" i="8"/>
  <c r="J741" i="8"/>
  <c r="C742" i="8"/>
  <c r="J742" i="8"/>
  <c r="A743" i="8"/>
  <c r="C743" i="8"/>
  <c r="J743" i="8"/>
  <c r="A744" i="8"/>
  <c r="C744" i="8"/>
  <c r="J744" i="8"/>
  <c r="C745" i="8"/>
  <c r="J745" i="8"/>
  <c r="J758" i="8"/>
  <c r="C746" i="8"/>
  <c r="J746" i="8"/>
  <c r="C747" i="8"/>
  <c r="J747" i="8"/>
  <c r="C748" i="8"/>
  <c r="J748" i="8"/>
  <c r="C749" i="8"/>
  <c r="J749" i="8"/>
  <c r="C750" i="8"/>
  <c r="J750" i="8"/>
  <c r="A751" i="8"/>
  <c r="C751" i="8"/>
  <c r="J751" i="8"/>
  <c r="A752" i="8"/>
  <c r="C752" i="8"/>
  <c r="J752" i="8"/>
  <c r="C753" i="8"/>
  <c r="J753" i="8"/>
  <c r="C754" i="8"/>
  <c r="J754" i="8"/>
  <c r="C755" i="8"/>
  <c r="J755" i="8"/>
  <c r="C756" i="8"/>
  <c r="J756" i="8"/>
  <c r="C757" i="8"/>
  <c r="J757" i="8"/>
  <c r="H758" i="8"/>
  <c r="I758" i="8"/>
  <c r="C761" i="8"/>
  <c r="J761" i="8"/>
  <c r="A762" i="8"/>
  <c r="C762" i="8"/>
  <c r="J762" i="8"/>
  <c r="A763" i="8"/>
  <c r="C763" i="8"/>
  <c r="J763" i="8"/>
  <c r="C764" i="8"/>
  <c r="J764" i="8"/>
  <c r="C765" i="8"/>
  <c r="J765" i="8"/>
  <c r="C766" i="8"/>
  <c r="J766" i="8"/>
  <c r="C767" i="8"/>
  <c r="J767" i="8"/>
  <c r="C768" i="8"/>
  <c r="J768" i="8"/>
  <c r="C769" i="8"/>
  <c r="J769" i="8"/>
  <c r="A770" i="8"/>
  <c r="C770" i="8"/>
  <c r="J770" i="8"/>
  <c r="A771" i="8"/>
  <c r="C771" i="8"/>
  <c r="J771" i="8"/>
  <c r="C772" i="8"/>
  <c r="J772" i="8"/>
  <c r="C773" i="8"/>
  <c r="J773" i="8"/>
  <c r="C774" i="8"/>
  <c r="J774" i="8"/>
  <c r="C775" i="8"/>
  <c r="J775" i="8"/>
  <c r="C776" i="8"/>
  <c r="J776" i="8"/>
  <c r="C777" i="8"/>
  <c r="J777" i="8"/>
  <c r="A778" i="8"/>
  <c r="C778" i="8"/>
  <c r="J778" i="8"/>
  <c r="A779" i="8"/>
  <c r="C779" i="8"/>
  <c r="J779" i="8"/>
  <c r="C780" i="8"/>
  <c r="J780" i="8"/>
  <c r="C781" i="8"/>
  <c r="J781" i="8"/>
  <c r="C782" i="8"/>
  <c r="J782" i="8"/>
  <c r="C783" i="8"/>
  <c r="J783" i="8"/>
  <c r="C784" i="8"/>
  <c r="J784" i="8"/>
  <c r="C785" i="8"/>
  <c r="J785" i="8"/>
  <c r="A786" i="8"/>
  <c r="C786" i="8"/>
  <c r="J786" i="8"/>
  <c r="A787" i="8"/>
  <c r="C787" i="8"/>
  <c r="J787" i="8"/>
  <c r="H788" i="8"/>
  <c r="I788" i="8"/>
  <c r="B2" i="1"/>
  <c r="A572" i="10"/>
  <c r="C2" i="1"/>
  <c r="C1" i="14"/>
  <c r="B3" i="1"/>
  <c r="B5" i="1"/>
  <c r="C8" i="1"/>
  <c r="A2" i="19"/>
  <c r="O15" i="9"/>
  <c r="O30" i="9"/>
  <c r="O40" i="9"/>
  <c r="P15" i="9"/>
  <c r="P193" i="9"/>
  <c r="Q22" i="9"/>
  <c r="U731" i="2"/>
  <c r="S22" i="9"/>
  <c r="T22" i="9"/>
  <c r="X731" i="2"/>
  <c r="U22" i="9"/>
  <c r="Y731" i="2"/>
  <c r="W22" i="9"/>
  <c r="AA731" i="2"/>
  <c r="X22" i="9"/>
  <c r="AB731" i="2"/>
  <c r="Y22" i="9"/>
  <c r="AC731" i="2"/>
  <c r="Z22" i="9"/>
  <c r="AD731" i="2"/>
  <c r="AA22" i="9"/>
  <c r="AE731" i="2"/>
  <c r="AB22" i="9"/>
  <c r="AF731" i="2"/>
  <c r="AC22" i="9"/>
  <c r="AG731" i="2"/>
  <c r="AD22" i="9"/>
  <c r="AH731" i="2"/>
  <c r="AE22" i="9"/>
  <c r="AI731" i="2"/>
  <c r="R24" i="9"/>
  <c r="N25" i="9"/>
  <c r="R25" i="9"/>
  <c r="V732" i="2"/>
  <c r="R26" i="9"/>
  <c r="V733" i="2"/>
  <c r="Q28" i="9"/>
  <c r="U734" i="2"/>
  <c r="S28" i="9"/>
  <c r="W734" i="2"/>
  <c r="W28" i="9"/>
  <c r="AA734" i="2"/>
  <c r="X28" i="9"/>
  <c r="AB734" i="2"/>
  <c r="Y28" i="9"/>
  <c r="AC734" i="2"/>
  <c r="Z28" i="9"/>
  <c r="AD734" i="2"/>
  <c r="O31" i="9"/>
  <c r="R735" i="2"/>
  <c r="R31" i="9"/>
  <c r="V735" i="2"/>
  <c r="N32" i="9"/>
  <c r="Q736" i="2"/>
  <c r="O32" i="9"/>
  <c r="R736" i="2"/>
  <c r="R32" i="9"/>
  <c r="V736" i="2"/>
  <c r="O35" i="9"/>
  <c r="P35" i="9"/>
  <c r="S36" i="9"/>
  <c r="W737" i="2"/>
  <c r="Q38" i="9"/>
  <c r="U738" i="2"/>
  <c r="S38" i="9"/>
  <c r="W738" i="2"/>
  <c r="T38" i="9"/>
  <c r="X738" i="2"/>
  <c r="U38" i="9"/>
  <c r="Y738" i="2"/>
  <c r="W38" i="9"/>
  <c r="AA738" i="2"/>
  <c r="X38" i="9"/>
  <c r="Y38" i="9"/>
  <c r="AC738" i="2"/>
  <c r="Z38" i="9"/>
  <c r="AD738" i="2"/>
  <c r="AA38" i="9"/>
  <c r="AE738" i="2"/>
  <c r="AB38" i="9"/>
  <c r="AF738" i="2"/>
  <c r="AC38" i="9"/>
  <c r="AG738" i="2"/>
  <c r="AD38" i="9"/>
  <c r="AH738" i="2"/>
  <c r="AE38" i="9"/>
  <c r="AI738" i="2"/>
  <c r="R40" i="9"/>
  <c r="R41" i="9"/>
  <c r="V739" i="2"/>
  <c r="N42" i="9"/>
  <c r="R42" i="9"/>
  <c r="V740" i="2"/>
  <c r="Q44" i="9"/>
  <c r="U741" i="2"/>
  <c r="R44" i="9"/>
  <c r="V741" i="2"/>
  <c r="S44" i="9"/>
  <c r="W741" i="2"/>
  <c r="W44" i="9"/>
  <c r="AA741" i="2"/>
  <c r="X44" i="9"/>
  <c r="AB741" i="2"/>
  <c r="Y44" i="9"/>
  <c r="AC741" i="2"/>
  <c r="Z44" i="9"/>
  <c r="AD741" i="2"/>
  <c r="O46" i="9"/>
  <c r="R46" i="9"/>
  <c r="O47" i="9"/>
  <c r="R742" i="2"/>
  <c r="R47" i="9"/>
  <c r="V742" i="2"/>
  <c r="O48" i="9"/>
  <c r="R743" i="2"/>
  <c r="R48" i="9"/>
  <c r="V743" i="2"/>
  <c r="Q51" i="9"/>
  <c r="U744" i="2"/>
  <c r="Q53" i="9"/>
  <c r="U745" i="2"/>
  <c r="S53" i="9"/>
  <c r="T53" i="9"/>
  <c r="X745" i="2"/>
  <c r="U53" i="9"/>
  <c r="Y745" i="2"/>
  <c r="W53" i="9"/>
  <c r="AA745" i="2"/>
  <c r="X53" i="9"/>
  <c r="AB745" i="2"/>
  <c r="Y53" i="9"/>
  <c r="AC745" i="2"/>
  <c r="Z53" i="9"/>
  <c r="AD745" i="2"/>
  <c r="AA53" i="9"/>
  <c r="AE745" i="2"/>
  <c r="AB53" i="9"/>
  <c r="AF745" i="2"/>
  <c r="AC53" i="9"/>
  <c r="AG745" i="2"/>
  <c r="AD53" i="9"/>
  <c r="AH745" i="2"/>
  <c r="AE53" i="9"/>
  <c r="AI745" i="2"/>
  <c r="O55" i="9"/>
  <c r="R55" i="9"/>
  <c r="N56" i="9"/>
  <c r="R56" i="9"/>
  <c r="V746" i="2"/>
  <c r="R57" i="9"/>
  <c r="V747" i="2"/>
  <c r="N58" i="9"/>
  <c r="R58" i="9"/>
  <c r="V748" i="2"/>
  <c r="R59" i="9"/>
  <c r="V749" i="2"/>
  <c r="Q61" i="9"/>
  <c r="U750" i="2"/>
  <c r="S61" i="9"/>
  <c r="W750" i="2"/>
  <c r="W61" i="9"/>
  <c r="AA750" i="2"/>
  <c r="X61" i="9"/>
  <c r="AB750" i="2"/>
  <c r="Y61" i="9"/>
  <c r="AC750" i="2"/>
  <c r="Z61" i="9"/>
  <c r="AD750" i="2"/>
  <c r="O63" i="9"/>
  <c r="R63" i="9"/>
  <c r="O64" i="9"/>
  <c r="R751" i="2"/>
  <c r="R64" i="9"/>
  <c r="V751" i="2"/>
  <c r="O65" i="9"/>
  <c r="R752" i="2"/>
  <c r="R65" i="9"/>
  <c r="V752" i="2"/>
  <c r="O66" i="9"/>
  <c r="R753" i="2"/>
  <c r="R66" i="9"/>
  <c r="V753" i="2"/>
  <c r="O67" i="9"/>
  <c r="R754" i="2"/>
  <c r="R67" i="9"/>
  <c r="V754" i="2"/>
  <c r="Q69" i="9"/>
  <c r="U755" i="2"/>
  <c r="S69" i="9"/>
  <c r="W755" i="2"/>
  <c r="T69" i="9"/>
  <c r="X755" i="2"/>
  <c r="U69" i="9"/>
  <c r="Y755" i="2"/>
  <c r="W69" i="9"/>
  <c r="AA755" i="2"/>
  <c r="X69" i="9"/>
  <c r="AB755" i="2"/>
  <c r="Y69" i="9"/>
  <c r="AC755" i="2"/>
  <c r="Z69" i="9"/>
  <c r="AD755" i="2"/>
  <c r="AA69" i="9"/>
  <c r="AE755" i="2"/>
  <c r="AB69" i="9"/>
  <c r="AF755" i="2"/>
  <c r="AC69" i="9"/>
  <c r="AG755" i="2"/>
  <c r="AD69" i="9"/>
  <c r="AH755" i="2"/>
  <c r="AE69" i="9"/>
  <c r="AI755" i="2"/>
  <c r="P71" i="9"/>
  <c r="R71" i="9"/>
  <c r="N72" i="9"/>
  <c r="Q756" i="2"/>
  <c r="R72" i="9"/>
  <c r="V756" i="2"/>
  <c r="N73" i="9"/>
  <c r="Q757" i="2"/>
  <c r="O73" i="9"/>
  <c r="R73" i="9"/>
  <c r="V757" i="2"/>
  <c r="N74" i="9"/>
  <c r="Q758" i="2"/>
  <c r="R74" i="9"/>
  <c r="V758" i="2"/>
  <c r="N75" i="9"/>
  <c r="Q759" i="2"/>
  <c r="O75" i="9"/>
  <c r="R75" i="9"/>
  <c r="V759" i="2"/>
  <c r="Q77" i="9"/>
  <c r="U760" i="2"/>
  <c r="S77" i="9"/>
  <c r="W760" i="2"/>
  <c r="W77" i="9"/>
  <c r="AA760" i="2"/>
  <c r="X77" i="9"/>
  <c r="AB760" i="2"/>
  <c r="Y77" i="9"/>
  <c r="AC760" i="2"/>
  <c r="Z77" i="9"/>
  <c r="AD760" i="2"/>
  <c r="O79" i="9"/>
  <c r="R79" i="9"/>
  <c r="N80" i="9"/>
  <c r="Q761" i="2"/>
  <c r="O80" i="9"/>
  <c r="R761" i="2"/>
  <c r="P80" i="9"/>
  <c r="R80" i="9"/>
  <c r="V761" i="2"/>
  <c r="R81" i="9"/>
  <c r="N82" i="9"/>
  <c r="Q763" i="2"/>
  <c r="O82" i="9"/>
  <c r="R763" i="2"/>
  <c r="P82" i="9"/>
  <c r="R82" i="9"/>
  <c r="V763" i="2"/>
  <c r="R83" i="9"/>
  <c r="O85" i="9"/>
  <c r="Q86" i="9"/>
  <c r="U765" i="2"/>
  <c r="S86" i="9"/>
  <c r="W765" i="2"/>
  <c r="T86" i="9"/>
  <c r="X765" i="2"/>
  <c r="U86" i="9"/>
  <c r="Y765" i="2"/>
  <c r="W86" i="9"/>
  <c r="AA765" i="2"/>
  <c r="X86" i="9"/>
  <c r="AB765" i="2"/>
  <c r="Y86" i="9"/>
  <c r="AC765" i="2"/>
  <c r="Z86" i="9"/>
  <c r="AD765" i="2"/>
  <c r="AA86" i="9"/>
  <c r="AE765" i="2"/>
  <c r="AB86" i="9"/>
  <c r="AF765" i="2"/>
  <c r="AC86" i="9"/>
  <c r="AG765" i="2"/>
  <c r="AD86" i="9"/>
  <c r="AH765" i="2"/>
  <c r="AE86" i="9"/>
  <c r="AI765" i="2"/>
  <c r="R88" i="9"/>
  <c r="N89" i="9"/>
  <c r="Q766" i="2"/>
  <c r="R89" i="9"/>
  <c r="V766" i="2"/>
  <c r="R90" i="9"/>
  <c r="AA94" i="9"/>
  <c r="AE768" i="2"/>
  <c r="Q96" i="9"/>
  <c r="S96" i="9"/>
  <c r="W769" i="2"/>
  <c r="T96" i="9"/>
  <c r="X769" i="2"/>
  <c r="U96" i="9"/>
  <c r="Y769" i="2"/>
  <c r="W96" i="9"/>
  <c r="AA769" i="2"/>
  <c r="X96" i="9"/>
  <c r="AB769" i="2"/>
  <c r="Y96" i="9"/>
  <c r="AC769" i="2"/>
  <c r="Z96" i="9"/>
  <c r="AA96" i="9"/>
  <c r="AE769" i="2"/>
  <c r="AB96" i="9"/>
  <c r="AF769" i="2"/>
  <c r="AC96" i="9"/>
  <c r="AG769" i="2"/>
  <c r="AD96" i="9"/>
  <c r="AH769" i="2"/>
  <c r="AE96" i="9"/>
  <c r="AI769" i="2"/>
  <c r="O98" i="9"/>
  <c r="R98" i="9"/>
  <c r="R99" i="9"/>
  <c r="V770" i="2"/>
  <c r="R100" i="9"/>
  <c r="V771" i="2"/>
  <c r="R101" i="9"/>
  <c r="V772" i="2"/>
  <c r="R102" i="9"/>
  <c r="V773" i="2"/>
  <c r="R103" i="9"/>
  <c r="V774" i="2"/>
  <c r="R104" i="9"/>
  <c r="V775" i="2"/>
  <c r="R105" i="9"/>
  <c r="V776" i="2"/>
  <c r="R106" i="9"/>
  <c r="V777" i="2"/>
  <c r="Q108" i="9"/>
  <c r="U778" i="2"/>
  <c r="S108" i="9"/>
  <c r="W778" i="2"/>
  <c r="W108" i="9"/>
  <c r="AA778" i="2"/>
  <c r="X108" i="9"/>
  <c r="AB778" i="2"/>
  <c r="Y108" i="9"/>
  <c r="AC778" i="2"/>
  <c r="Z108" i="9"/>
  <c r="AD778" i="2"/>
  <c r="O110" i="9"/>
  <c r="R110" i="9"/>
  <c r="N111" i="9"/>
  <c r="R111" i="9"/>
  <c r="V779" i="2"/>
  <c r="O112" i="9"/>
  <c r="R780" i="2"/>
  <c r="R112" i="9"/>
  <c r="V780" i="2"/>
  <c r="N113" i="9"/>
  <c r="Q781" i="2"/>
  <c r="R113" i="9"/>
  <c r="V781" i="2"/>
  <c r="O114" i="9"/>
  <c r="R782" i="2"/>
  <c r="R114" i="9"/>
  <c r="V782" i="2"/>
  <c r="N115" i="9"/>
  <c r="Q783" i="2"/>
  <c r="R115" i="9"/>
  <c r="V783" i="2"/>
  <c r="O116" i="9"/>
  <c r="R784" i="2"/>
  <c r="R116" i="9"/>
  <c r="V784" i="2"/>
  <c r="Q118" i="9"/>
  <c r="U785" i="2"/>
  <c r="S118" i="9"/>
  <c r="W785" i="2"/>
  <c r="T118" i="9"/>
  <c r="X785" i="2"/>
  <c r="U118" i="9"/>
  <c r="Y785" i="2"/>
  <c r="W118" i="9"/>
  <c r="AA785" i="2"/>
  <c r="X118" i="9"/>
  <c r="AB785" i="2"/>
  <c r="Y118" i="9"/>
  <c r="AC785" i="2"/>
  <c r="Z118" i="9"/>
  <c r="AD785" i="2"/>
  <c r="AA118" i="9"/>
  <c r="AE785" i="2"/>
  <c r="AB118" i="9"/>
  <c r="AF785" i="2"/>
  <c r="AC118" i="9"/>
  <c r="AG785" i="2"/>
  <c r="AD118" i="9"/>
  <c r="AH785" i="2"/>
  <c r="AE118" i="9"/>
  <c r="AI785" i="2"/>
  <c r="O120" i="9"/>
  <c r="R120" i="9"/>
  <c r="R121" i="9"/>
  <c r="N122" i="9"/>
  <c r="Q787" i="2"/>
  <c r="R122" i="9"/>
  <c r="V787" i="2"/>
  <c r="Q124" i="9"/>
  <c r="U788" i="2"/>
  <c r="R124" i="9"/>
  <c r="V788" i="2"/>
  <c r="S124" i="9"/>
  <c r="W788" i="2"/>
  <c r="W124" i="9"/>
  <c r="AA788" i="2"/>
  <c r="X124" i="9"/>
  <c r="AB788" i="2"/>
  <c r="Y124" i="9"/>
  <c r="AC788" i="2"/>
  <c r="Z124" i="9"/>
  <c r="AD788" i="2"/>
  <c r="O126" i="9"/>
  <c r="R126" i="9"/>
  <c r="N127" i="9"/>
  <c r="Q789" i="2"/>
  <c r="O127" i="9"/>
  <c r="R789" i="2"/>
  <c r="R127" i="9"/>
  <c r="V789" i="2"/>
  <c r="N128" i="9"/>
  <c r="Q790" i="2"/>
  <c r="O128" i="9"/>
  <c r="R128" i="9"/>
  <c r="V790" i="2"/>
  <c r="Q130" i="9"/>
  <c r="U791" i="2"/>
  <c r="S130" i="9"/>
  <c r="W791" i="2"/>
  <c r="T130" i="9"/>
  <c r="X791" i="2"/>
  <c r="U130" i="9"/>
  <c r="Y791" i="2"/>
  <c r="W130" i="9"/>
  <c r="AA791" i="2"/>
  <c r="X130" i="9"/>
  <c r="AB791" i="2"/>
  <c r="Y130" i="9"/>
  <c r="AC791" i="2"/>
  <c r="Z130" i="9"/>
  <c r="AD791" i="2"/>
  <c r="AA130" i="9"/>
  <c r="AE791" i="2"/>
  <c r="AB130" i="9"/>
  <c r="AF791" i="2"/>
  <c r="AC130" i="9"/>
  <c r="AG791" i="2"/>
  <c r="AD130" i="9"/>
  <c r="AH791" i="2"/>
  <c r="AE130" i="9"/>
  <c r="AI791" i="2"/>
  <c r="O132" i="9"/>
  <c r="R132" i="9"/>
  <c r="N133" i="9"/>
  <c r="R133" i="9"/>
  <c r="V792" i="2"/>
  <c r="R134" i="9"/>
  <c r="V793" i="2"/>
  <c r="Q136" i="9"/>
  <c r="U794" i="2"/>
  <c r="S136" i="9"/>
  <c r="W794" i="2"/>
  <c r="W136" i="9"/>
  <c r="AA794" i="2"/>
  <c r="X136" i="9"/>
  <c r="AB794" i="2"/>
  <c r="Y136" i="9"/>
  <c r="AC794" i="2"/>
  <c r="Z136" i="9"/>
  <c r="AD794" i="2"/>
  <c r="O138" i="9"/>
  <c r="R138" i="9"/>
  <c r="O139" i="9"/>
  <c r="R795" i="2"/>
  <c r="R139" i="9"/>
  <c r="V795" i="2"/>
  <c r="O140" i="9"/>
  <c r="R796" i="2"/>
  <c r="R140" i="9"/>
  <c r="V796" i="2"/>
  <c r="Q142" i="9"/>
  <c r="U797" i="2"/>
  <c r="S142" i="9"/>
  <c r="W797" i="2"/>
  <c r="T142" i="9"/>
  <c r="X797" i="2"/>
  <c r="U142" i="9"/>
  <c r="Y797" i="2"/>
  <c r="W142" i="9"/>
  <c r="AA797" i="2"/>
  <c r="X142" i="9"/>
  <c r="AB797" i="2"/>
  <c r="Y142" i="9"/>
  <c r="AC797" i="2"/>
  <c r="Z142" i="9"/>
  <c r="AD797" i="2"/>
  <c r="AA142" i="9"/>
  <c r="AE797" i="2"/>
  <c r="AB142" i="9"/>
  <c r="AF797" i="2"/>
  <c r="AC142" i="9"/>
  <c r="AG797" i="2"/>
  <c r="AD142" i="9"/>
  <c r="AH797" i="2"/>
  <c r="AE142" i="9"/>
  <c r="AI797" i="2"/>
  <c r="O144" i="9"/>
  <c r="R144" i="9"/>
  <c r="N145" i="9"/>
  <c r="Q798" i="2"/>
  <c r="R145" i="9"/>
  <c r="V798" i="2"/>
  <c r="N146" i="9"/>
  <c r="Q799" i="2"/>
  <c r="O146" i="9"/>
  <c r="R146" i="9"/>
  <c r="V799" i="2"/>
  <c r="N147" i="9"/>
  <c r="Q800" i="2"/>
  <c r="R147" i="9"/>
  <c r="V800" i="2"/>
  <c r="N148" i="9"/>
  <c r="Q801" i="2"/>
  <c r="O148" i="9"/>
  <c r="R148" i="9"/>
  <c r="V801" i="2"/>
  <c r="Q150" i="9"/>
  <c r="U802" i="2"/>
  <c r="S150" i="9"/>
  <c r="W802" i="2"/>
  <c r="W150" i="9"/>
  <c r="AA802" i="2"/>
  <c r="X150" i="9"/>
  <c r="AB802" i="2"/>
  <c r="Y150" i="9"/>
  <c r="AC802" i="2"/>
  <c r="Z150" i="9"/>
  <c r="AD802" i="2"/>
  <c r="O152" i="9"/>
  <c r="R152" i="9"/>
  <c r="N153" i="9"/>
  <c r="Q803" i="2"/>
  <c r="O153" i="9"/>
  <c r="R803" i="2"/>
  <c r="P153" i="9"/>
  <c r="R153" i="9"/>
  <c r="V803" i="2"/>
  <c r="R154" i="9"/>
  <c r="N155" i="9"/>
  <c r="Q805" i="2"/>
  <c r="O155" i="9"/>
  <c r="R805" i="2"/>
  <c r="P155" i="9"/>
  <c r="R155" i="9"/>
  <c r="V805" i="2"/>
  <c r="R156" i="9"/>
  <c r="O158" i="9"/>
  <c r="Q161" i="9"/>
  <c r="U808" i="2"/>
  <c r="R161" i="9"/>
  <c r="V808" i="2"/>
  <c r="S161" i="9"/>
  <c r="W808" i="2"/>
  <c r="W161" i="9"/>
  <c r="AA808" i="2"/>
  <c r="X161" i="9"/>
  <c r="AB808" i="2"/>
  <c r="Y161" i="9"/>
  <c r="AC808" i="2"/>
  <c r="Z161" i="9"/>
  <c r="AD808" i="2"/>
  <c r="O163" i="9"/>
  <c r="R163" i="9"/>
  <c r="N164" i="9"/>
  <c r="Q809" i="2"/>
  <c r="O164" i="9"/>
  <c r="R164" i="9"/>
  <c r="V809" i="2"/>
  <c r="N165" i="9"/>
  <c r="Q810" i="2"/>
  <c r="R165" i="9"/>
  <c r="V810" i="2"/>
  <c r="Q167" i="9"/>
  <c r="U811" i="2"/>
  <c r="S167" i="9"/>
  <c r="W811" i="2"/>
  <c r="W167" i="9"/>
  <c r="AA811" i="2"/>
  <c r="X167" i="9"/>
  <c r="AB811" i="2"/>
  <c r="Y167" i="9"/>
  <c r="AC811" i="2"/>
  <c r="Z167" i="9"/>
  <c r="AD811" i="2"/>
  <c r="O169" i="9"/>
  <c r="R169" i="9"/>
  <c r="R170" i="9"/>
  <c r="N171" i="9"/>
  <c r="Q813" i="2"/>
  <c r="O171" i="9"/>
  <c r="R813" i="2"/>
  <c r="P171" i="9"/>
  <c r="R171" i="9"/>
  <c r="V813" i="2"/>
  <c r="Q173" i="9"/>
  <c r="R173" i="9"/>
  <c r="V814" i="2"/>
  <c r="S173" i="9"/>
  <c r="W814" i="2"/>
  <c r="W173" i="9"/>
  <c r="AA814" i="2"/>
  <c r="X173" i="9"/>
  <c r="AB814" i="2"/>
  <c r="Y173" i="9"/>
  <c r="AC814" i="2"/>
  <c r="Z173" i="9"/>
  <c r="AD814" i="2"/>
  <c r="O175" i="9"/>
  <c r="R175" i="9"/>
  <c r="N176" i="9"/>
  <c r="Q815" i="2"/>
  <c r="R176" i="9"/>
  <c r="V815" i="2"/>
  <c r="N177" i="9"/>
  <c r="Q816" i="2"/>
  <c r="O177" i="9"/>
  <c r="R177" i="9"/>
  <c r="V816" i="2"/>
  <c r="Q179" i="9"/>
  <c r="U817" i="2"/>
  <c r="S179" i="9"/>
  <c r="W817" i="2"/>
  <c r="W179" i="9"/>
  <c r="AA817" i="2"/>
  <c r="X179" i="9"/>
  <c r="AB817" i="2"/>
  <c r="Y179" i="9"/>
  <c r="AC817" i="2"/>
  <c r="Z179" i="9"/>
  <c r="AD817" i="2"/>
  <c r="O181" i="9"/>
  <c r="R181" i="9"/>
  <c r="N182" i="9"/>
  <c r="Q818" i="2"/>
  <c r="O182" i="9"/>
  <c r="R818" i="2"/>
  <c r="P182" i="9"/>
  <c r="R182" i="9"/>
  <c r="V818" i="2"/>
  <c r="R183" i="9"/>
  <c r="O185" i="9"/>
  <c r="O188" i="9"/>
  <c r="X189" i="9"/>
  <c r="AA189" i="9"/>
  <c r="AE821" i="2"/>
  <c r="Q191" i="9"/>
  <c r="U822" i="2"/>
  <c r="S191" i="9"/>
  <c r="W822" i="2"/>
  <c r="T191" i="9"/>
  <c r="X822" i="2"/>
  <c r="U191" i="9"/>
  <c r="Y822" i="2"/>
  <c r="W191" i="9"/>
  <c r="X191" i="9"/>
  <c r="AB822" i="2"/>
  <c r="Y191" i="9"/>
  <c r="AC822" i="2"/>
  <c r="Z191" i="9"/>
  <c r="AD822" i="2"/>
  <c r="AA191" i="9"/>
  <c r="AE822" i="2"/>
  <c r="AB191" i="9"/>
  <c r="AF822" i="2"/>
  <c r="AC191" i="9"/>
  <c r="AG822" i="2"/>
  <c r="AD191" i="9"/>
  <c r="AH822" i="2"/>
  <c r="AE191" i="9"/>
  <c r="O193" i="9"/>
  <c r="R193" i="9"/>
  <c r="R194" i="9"/>
  <c r="N195" i="9"/>
  <c r="Q824" i="2"/>
  <c r="R195" i="9"/>
  <c r="V824" i="2"/>
  <c r="R196" i="9"/>
  <c r="R197" i="9"/>
  <c r="V826" i="2"/>
  <c r="R198" i="9"/>
  <c r="R199" i="9"/>
  <c r="V828" i="2"/>
  <c r="Q201" i="9"/>
  <c r="U829" i="2"/>
  <c r="S201" i="9"/>
  <c r="W829" i="2"/>
  <c r="T201" i="9"/>
  <c r="X829" i="2"/>
  <c r="U201" i="9"/>
  <c r="Y829" i="2"/>
  <c r="W201" i="9"/>
  <c r="AA829" i="2"/>
  <c r="X201" i="9"/>
  <c r="AB829" i="2"/>
  <c r="Y201" i="9"/>
  <c r="AC829" i="2"/>
  <c r="Z201" i="9"/>
  <c r="AD829" i="2"/>
  <c r="AA201" i="9"/>
  <c r="AE829" i="2"/>
  <c r="AB201" i="9"/>
  <c r="AF829" i="2"/>
  <c r="AC201" i="9"/>
  <c r="AG829" i="2"/>
  <c r="AD201" i="9"/>
  <c r="AH829" i="2"/>
  <c r="AE201" i="9"/>
  <c r="AI829" i="2"/>
  <c r="O203" i="9"/>
  <c r="R203" i="9"/>
  <c r="R204" i="9"/>
  <c r="V830" i="2"/>
  <c r="R205" i="9"/>
  <c r="V831" i="2"/>
  <c r="R206" i="9"/>
  <c r="V832" i="2"/>
  <c r="R207" i="9"/>
  <c r="V833" i="2"/>
  <c r="R208" i="9"/>
  <c r="V834" i="2"/>
  <c r="R209" i="9"/>
  <c r="V835" i="2"/>
  <c r="O211" i="9"/>
  <c r="Q216" i="9"/>
  <c r="U838" i="2"/>
  <c r="S216" i="9"/>
  <c r="W838" i="2"/>
  <c r="T216" i="9"/>
  <c r="X838" i="2"/>
  <c r="U216" i="9"/>
  <c r="Y838" i="2"/>
  <c r="W216" i="9"/>
  <c r="AA838" i="2"/>
  <c r="X216" i="9"/>
  <c r="Y216" i="9"/>
  <c r="AC838" i="2"/>
  <c r="Z216" i="9"/>
  <c r="AD838" i="2"/>
  <c r="AA216" i="9"/>
  <c r="AE838" i="2"/>
  <c r="AB216" i="9"/>
  <c r="AF838" i="2"/>
  <c r="AC216" i="9"/>
  <c r="AG838" i="2"/>
  <c r="AD216" i="9"/>
  <c r="AH838" i="2"/>
  <c r="AE216" i="9"/>
  <c r="AI838" i="2"/>
  <c r="O218" i="9"/>
  <c r="R218" i="9"/>
  <c r="N219" i="9"/>
  <c r="Q839" i="2"/>
  <c r="O219" i="9"/>
  <c r="R839" i="2"/>
  <c r="R219" i="9"/>
  <c r="V839" i="2"/>
  <c r="N220" i="9"/>
  <c r="R220" i="9"/>
  <c r="V840" i="2"/>
  <c r="R221" i="9"/>
  <c r="V841" i="2"/>
  <c r="N222" i="9"/>
  <c r="R222" i="9"/>
  <c r="V842" i="2"/>
  <c r="Q224" i="9"/>
  <c r="U843" i="2"/>
  <c r="R224" i="9"/>
  <c r="V843" i="2"/>
  <c r="S224" i="9"/>
  <c r="W843" i="2"/>
  <c r="W224" i="9"/>
  <c r="AA843" i="2"/>
  <c r="X224" i="9"/>
  <c r="AB843" i="2"/>
  <c r="Y224" i="9"/>
  <c r="AC843" i="2"/>
  <c r="Z224" i="9"/>
  <c r="AD843" i="2"/>
  <c r="O226" i="9"/>
  <c r="R226" i="9"/>
  <c r="O227" i="9"/>
  <c r="R844" i="2"/>
  <c r="R227" i="9"/>
  <c r="V844" i="2"/>
  <c r="R228" i="9"/>
  <c r="V845" i="2"/>
  <c r="O229" i="9"/>
  <c r="R846" i="2"/>
  <c r="R229" i="9"/>
  <c r="V846" i="2"/>
  <c r="R230" i="9"/>
  <c r="V847" i="2"/>
  <c r="X232" i="9"/>
  <c r="AB848" i="2"/>
  <c r="Q234" i="9"/>
  <c r="U849" i="2"/>
  <c r="S234" i="9"/>
  <c r="W849" i="2"/>
  <c r="T234" i="9"/>
  <c r="X849" i="2"/>
  <c r="U234" i="9"/>
  <c r="Y849" i="2"/>
  <c r="W234" i="9"/>
  <c r="AA849" i="2"/>
  <c r="X234" i="9"/>
  <c r="AB849" i="2"/>
  <c r="Y234" i="9"/>
  <c r="AC849" i="2"/>
  <c r="Z234" i="9"/>
  <c r="AD849" i="2"/>
  <c r="AA234" i="9"/>
  <c r="AE849" i="2"/>
  <c r="AB234" i="9"/>
  <c r="AF849" i="2"/>
  <c r="AC234" i="9"/>
  <c r="AG849" i="2"/>
  <c r="AD234" i="9"/>
  <c r="AH849" i="2"/>
  <c r="AE234" i="9"/>
  <c r="AI849" i="2"/>
  <c r="O236" i="9"/>
  <c r="R236" i="9"/>
  <c r="N237" i="9"/>
  <c r="Q850" i="2"/>
  <c r="R237" i="9"/>
  <c r="V850" i="2"/>
  <c r="N238" i="9"/>
  <c r="Q851" i="2"/>
  <c r="O238" i="9"/>
  <c r="R238" i="9"/>
  <c r="V851" i="2"/>
  <c r="N239" i="9"/>
  <c r="Q852" i="2"/>
  <c r="R239" i="9"/>
  <c r="V852" i="2"/>
  <c r="N240" i="9"/>
  <c r="Q853" i="2"/>
  <c r="O240" i="9"/>
  <c r="R240" i="9"/>
  <c r="V853" i="2"/>
  <c r="Q242" i="9"/>
  <c r="U854" i="2"/>
  <c r="S242" i="9"/>
  <c r="W854" i="2"/>
  <c r="W242" i="9"/>
  <c r="AA854" i="2"/>
  <c r="X242" i="9"/>
  <c r="AB854" i="2"/>
  <c r="Y242" i="9"/>
  <c r="AC854" i="2"/>
  <c r="Z242" i="9"/>
  <c r="AD854" i="2"/>
  <c r="O244" i="9"/>
  <c r="R244" i="9"/>
  <c r="N245" i="9"/>
  <c r="Q855" i="2"/>
  <c r="R245" i="9"/>
  <c r="V855" i="2"/>
  <c r="R246" i="9"/>
  <c r="N247" i="9"/>
  <c r="Q857" i="2"/>
  <c r="R247" i="9"/>
  <c r="V857" i="2"/>
  <c r="R248" i="9"/>
  <c r="O250" i="9"/>
  <c r="X251" i="9"/>
  <c r="AB859" i="2"/>
  <c r="Q253" i="9"/>
  <c r="U860" i="2"/>
  <c r="S253" i="9"/>
  <c r="W860" i="2"/>
  <c r="T253" i="9"/>
  <c r="X860" i="2"/>
  <c r="U253" i="9"/>
  <c r="Y860" i="2"/>
  <c r="W253" i="9"/>
  <c r="AA860" i="2"/>
  <c r="X253" i="9"/>
  <c r="AB860" i="2"/>
  <c r="Y253" i="9"/>
  <c r="AC860" i="2"/>
  <c r="Z253" i="9"/>
  <c r="AD860" i="2"/>
  <c r="AA253" i="9"/>
  <c r="AE860" i="2"/>
  <c r="AB253" i="9"/>
  <c r="AF860" i="2"/>
  <c r="AC253" i="9"/>
  <c r="AG860" i="2"/>
  <c r="AD253" i="9"/>
  <c r="AH860" i="2"/>
  <c r="AE253" i="9"/>
  <c r="AI860" i="2"/>
  <c r="O255" i="9"/>
  <c r="R255" i="9"/>
  <c r="R256" i="9"/>
  <c r="V861" i="2"/>
  <c r="R257" i="9"/>
  <c r="V862" i="2"/>
  <c r="R258" i="9"/>
  <c r="V863" i="2"/>
  <c r="R259" i="9"/>
  <c r="V864" i="2"/>
  <c r="R260" i="9"/>
  <c r="V865" i="2"/>
  <c r="R261" i="9"/>
  <c r="V866" i="2"/>
  <c r="R262" i="9"/>
  <c r="V867" i="2"/>
  <c r="R263" i="9"/>
  <c r="V868" i="2"/>
  <c r="R264" i="9"/>
  <c r="V869" i="2"/>
  <c r="R265" i="9"/>
  <c r="V870" i="2"/>
  <c r="R266" i="9"/>
  <c r="V871" i="2"/>
  <c r="R267" i="9"/>
  <c r="V872" i="2"/>
  <c r="R268" i="9"/>
  <c r="V873" i="2"/>
  <c r="R269" i="9"/>
  <c r="V874" i="2"/>
  <c r="Q271" i="9"/>
  <c r="U875" i="2"/>
  <c r="S271" i="9"/>
  <c r="W875" i="2"/>
  <c r="W271" i="9"/>
  <c r="AA875" i="2"/>
  <c r="X271" i="9"/>
  <c r="AB875" i="2"/>
  <c r="Y271" i="9"/>
  <c r="AC875" i="2"/>
  <c r="Z271" i="9"/>
  <c r="AD875" i="2"/>
  <c r="O273" i="9"/>
  <c r="R273" i="9"/>
  <c r="N274" i="9"/>
  <c r="Q876" i="2"/>
  <c r="O274" i="9"/>
  <c r="R876" i="2"/>
  <c r="R274" i="9"/>
  <c r="V876" i="2"/>
  <c r="N275" i="9"/>
  <c r="Q877" i="2"/>
  <c r="O275" i="9"/>
  <c r="R877" i="2"/>
  <c r="R275" i="9"/>
  <c r="V877" i="2"/>
  <c r="O276" i="9"/>
  <c r="R878" i="2"/>
  <c r="R276" i="9"/>
  <c r="V878" i="2"/>
  <c r="N277" i="9"/>
  <c r="Q879" i="2"/>
  <c r="O277" i="9"/>
  <c r="R879" i="2"/>
  <c r="R277" i="9"/>
  <c r="V879" i="2"/>
  <c r="O278" i="9"/>
  <c r="R880" i="2"/>
  <c r="R278" i="9"/>
  <c r="V880" i="2"/>
  <c r="N279" i="9"/>
  <c r="Q881" i="2"/>
  <c r="O279" i="9"/>
  <c r="R881" i="2"/>
  <c r="R279" i="9"/>
  <c r="V881" i="2"/>
  <c r="O280" i="9"/>
  <c r="R882" i="2"/>
  <c r="R280" i="9"/>
  <c r="V882" i="2"/>
  <c r="N281" i="9"/>
  <c r="Q883" i="2"/>
  <c r="O281" i="9"/>
  <c r="R883" i="2"/>
  <c r="R281" i="9"/>
  <c r="V883" i="2"/>
  <c r="O282" i="9"/>
  <c r="R884" i="2"/>
  <c r="R282" i="9"/>
  <c r="V884" i="2"/>
  <c r="N283" i="9"/>
  <c r="Q885" i="2"/>
  <c r="O283" i="9"/>
  <c r="R885" i="2"/>
  <c r="R283" i="9"/>
  <c r="V885" i="2"/>
  <c r="R284" i="9"/>
  <c r="V886" i="2"/>
  <c r="N285" i="9"/>
  <c r="Q887" i="2"/>
  <c r="R285" i="9"/>
  <c r="V887" i="2"/>
  <c r="R286" i="9"/>
  <c r="V888" i="2"/>
  <c r="N287" i="9"/>
  <c r="Q889" i="2"/>
  <c r="R287" i="9"/>
  <c r="V889" i="2"/>
  <c r="O289" i="9"/>
  <c r="Q292" i="9"/>
  <c r="U891" i="2"/>
  <c r="S292" i="9"/>
  <c r="W891" i="2"/>
  <c r="T292" i="9"/>
  <c r="X891" i="2"/>
  <c r="U292" i="9"/>
  <c r="Y891" i="2"/>
  <c r="W292" i="9"/>
  <c r="AA891" i="2"/>
  <c r="X292" i="9"/>
  <c r="AB891" i="2"/>
  <c r="Y292" i="9"/>
  <c r="AC891" i="2"/>
  <c r="Z292" i="9"/>
  <c r="AD891" i="2"/>
  <c r="AA292" i="9"/>
  <c r="AE891" i="2"/>
  <c r="AB292" i="9"/>
  <c r="AF891" i="2"/>
  <c r="AC292" i="9"/>
  <c r="AG891" i="2"/>
  <c r="AD292" i="9"/>
  <c r="AH891" i="2"/>
  <c r="AE292" i="9"/>
  <c r="AI891" i="2"/>
  <c r="O294" i="9"/>
  <c r="R294" i="9"/>
  <c r="N295" i="9"/>
  <c r="Q892" i="2"/>
  <c r="R295" i="9"/>
  <c r="V892" i="2"/>
  <c r="R296" i="9"/>
  <c r="N297" i="9"/>
  <c r="Q894" i="2"/>
  <c r="R297" i="9"/>
  <c r="V894" i="2"/>
  <c r="R298" i="9"/>
  <c r="N299" i="9"/>
  <c r="Q896" i="2"/>
  <c r="R299" i="9"/>
  <c r="V896" i="2"/>
  <c r="R300" i="9"/>
  <c r="Q302" i="9"/>
  <c r="U898" i="2"/>
  <c r="R302" i="9"/>
  <c r="V898" i="2"/>
  <c r="S302" i="9"/>
  <c r="W898" i="2"/>
  <c r="W302" i="9"/>
  <c r="AA898" i="2"/>
  <c r="X302" i="9"/>
  <c r="Y302" i="9"/>
  <c r="AC898" i="2"/>
  <c r="Z302" i="9"/>
  <c r="AD898" i="2"/>
  <c r="O304" i="9"/>
  <c r="R304" i="9"/>
  <c r="N305" i="9"/>
  <c r="Q899" i="2"/>
  <c r="O305" i="9"/>
  <c r="R305" i="9"/>
  <c r="V899" i="2"/>
  <c r="N306" i="9"/>
  <c r="Q900" i="2"/>
  <c r="O306" i="9"/>
  <c r="R900" i="2"/>
  <c r="R306" i="9"/>
  <c r="V900" i="2"/>
  <c r="N307" i="9"/>
  <c r="Q901" i="2"/>
  <c r="O307" i="9"/>
  <c r="R307" i="9"/>
  <c r="V901" i="2"/>
  <c r="N308" i="9"/>
  <c r="Q902" i="2"/>
  <c r="O308" i="9"/>
  <c r="R902" i="2"/>
  <c r="R308" i="9"/>
  <c r="V902" i="2"/>
  <c r="N309" i="9"/>
  <c r="Q903" i="2"/>
  <c r="O309" i="9"/>
  <c r="R309" i="9"/>
  <c r="V903" i="2"/>
  <c r="N310" i="9"/>
  <c r="Q904" i="2"/>
  <c r="O310" i="9"/>
  <c r="R904" i="2"/>
  <c r="R310" i="9"/>
  <c r="V904" i="2"/>
  <c r="O312" i="9"/>
  <c r="Q315" i="9"/>
  <c r="U906" i="2"/>
  <c r="S315" i="9"/>
  <c r="W906" i="2"/>
  <c r="T315" i="9"/>
  <c r="X906" i="2"/>
  <c r="U315" i="9"/>
  <c r="Y906" i="2"/>
  <c r="W315" i="9"/>
  <c r="AA906" i="2"/>
  <c r="X315" i="9"/>
  <c r="Y315" i="9"/>
  <c r="AC906" i="2"/>
  <c r="Z315" i="9"/>
  <c r="AD906" i="2"/>
  <c r="AA315" i="9"/>
  <c r="AE906" i="2"/>
  <c r="AB315" i="9"/>
  <c r="AF906" i="2"/>
  <c r="AC315" i="9"/>
  <c r="AG906" i="2"/>
  <c r="AD315" i="9"/>
  <c r="AH906" i="2"/>
  <c r="AE315" i="9"/>
  <c r="AI906" i="2"/>
  <c r="O317" i="9"/>
  <c r="R317" i="9"/>
  <c r="R318" i="9"/>
  <c r="V907" i="2"/>
  <c r="N319" i="9"/>
  <c r="R319" i="9"/>
  <c r="V908" i="2"/>
  <c r="R320" i="9"/>
  <c r="V909" i="2"/>
  <c r="N321" i="9"/>
  <c r="R321" i="9"/>
  <c r="V910" i="2"/>
  <c r="R322" i="9"/>
  <c r="V911" i="2"/>
  <c r="R323" i="9"/>
  <c r="V912" i="2"/>
  <c r="R324" i="9"/>
  <c r="V913" i="2"/>
  <c r="R325" i="9"/>
  <c r="V914" i="2"/>
  <c r="Q327" i="9"/>
  <c r="U915" i="2"/>
  <c r="R327" i="9"/>
  <c r="V915" i="2"/>
  <c r="S327" i="9"/>
  <c r="W915" i="2"/>
  <c r="W327" i="9"/>
  <c r="AA915" i="2"/>
  <c r="X327" i="9"/>
  <c r="AB915" i="2"/>
  <c r="Y327" i="9"/>
  <c r="AC915" i="2"/>
  <c r="Z327" i="9"/>
  <c r="AD915" i="2"/>
  <c r="O329" i="9"/>
  <c r="R329" i="9"/>
  <c r="O330" i="9"/>
  <c r="R330" i="9"/>
  <c r="V916" i="2"/>
  <c r="O331" i="9"/>
  <c r="R917" i="2"/>
  <c r="R331" i="9"/>
  <c r="V917" i="2"/>
  <c r="O332" i="9"/>
  <c r="R332" i="9"/>
  <c r="V918" i="2"/>
  <c r="O333" i="9"/>
  <c r="R919" i="2"/>
  <c r="R333" i="9"/>
  <c r="V919" i="2"/>
  <c r="O334" i="9"/>
  <c r="R334" i="9"/>
  <c r="V920" i="2"/>
  <c r="O335" i="9"/>
  <c r="R921" i="2"/>
  <c r="R335" i="9"/>
  <c r="V921" i="2"/>
  <c r="O336" i="9"/>
  <c r="R336" i="9"/>
  <c r="V922" i="2"/>
  <c r="O337" i="9"/>
  <c r="R923" i="2"/>
  <c r="R337" i="9"/>
  <c r="V923" i="2"/>
  <c r="O339" i="9"/>
  <c r="S340" i="9"/>
  <c r="W924" i="2"/>
  <c r="Q342" i="9"/>
  <c r="U925" i="2"/>
  <c r="S342" i="9"/>
  <c r="W925" i="2"/>
  <c r="T342" i="9"/>
  <c r="X925" i="2"/>
  <c r="U342" i="9"/>
  <c r="Y925" i="2"/>
  <c r="W342" i="9"/>
  <c r="AA925" i="2"/>
  <c r="X342" i="9"/>
  <c r="Y342" i="9"/>
  <c r="AC925" i="2"/>
  <c r="Z342" i="9"/>
  <c r="AD925" i="2"/>
  <c r="AA342" i="9"/>
  <c r="AE925" i="2"/>
  <c r="AB342" i="9"/>
  <c r="AF925" i="2"/>
  <c r="AC342" i="9"/>
  <c r="AG925" i="2"/>
  <c r="AD342" i="9"/>
  <c r="AH925" i="2"/>
  <c r="AE342" i="9"/>
  <c r="AI925" i="2"/>
  <c r="O344" i="9"/>
  <c r="R344" i="9"/>
  <c r="N345" i="9"/>
  <c r="Q926" i="2"/>
  <c r="O345" i="9"/>
  <c r="R345" i="9"/>
  <c r="V926" i="2"/>
  <c r="N346" i="9"/>
  <c r="R346" i="9"/>
  <c r="V927" i="2"/>
  <c r="N347" i="9"/>
  <c r="Q928" i="2"/>
  <c r="O347" i="9"/>
  <c r="R347" i="9"/>
  <c r="V928" i="2"/>
  <c r="N348" i="9"/>
  <c r="R348" i="9"/>
  <c r="V929" i="2"/>
  <c r="N349" i="9"/>
  <c r="Q930" i="2"/>
  <c r="O349" i="9"/>
  <c r="R349" i="9"/>
  <c r="V930" i="2"/>
  <c r="N350" i="9"/>
  <c r="R350" i="9"/>
  <c r="V931" i="2"/>
  <c r="R351" i="9"/>
  <c r="V932" i="2"/>
  <c r="N352" i="9"/>
  <c r="R352" i="9"/>
  <c r="V933" i="2"/>
  <c r="R353" i="9"/>
  <c r="V934" i="2"/>
  <c r="N354" i="9"/>
  <c r="R354" i="9"/>
  <c r="V935" i="2"/>
  <c r="Q357" i="9"/>
  <c r="U936" i="2"/>
  <c r="S357" i="9"/>
  <c r="W936" i="2"/>
  <c r="W357" i="9"/>
  <c r="AA936" i="2"/>
  <c r="X357" i="9"/>
  <c r="AB936" i="2"/>
  <c r="Y357" i="9"/>
  <c r="AC936" i="2"/>
  <c r="Z357" i="9"/>
  <c r="AD936" i="2"/>
  <c r="O359" i="9"/>
  <c r="R359" i="9"/>
  <c r="R360" i="9"/>
  <c r="N361" i="9"/>
  <c r="Q938" i="2"/>
  <c r="O361" i="9"/>
  <c r="R938" i="2"/>
  <c r="P361" i="9"/>
  <c r="R361" i="9"/>
  <c r="V938" i="2"/>
  <c r="R362" i="9"/>
  <c r="N363" i="9"/>
  <c r="Q940" i="2"/>
  <c r="O363" i="9"/>
  <c r="R940" i="2"/>
  <c r="P363" i="9"/>
  <c r="R363" i="9"/>
  <c r="V940" i="2"/>
  <c r="R364" i="9"/>
  <c r="N365" i="9"/>
  <c r="Q942" i="2"/>
  <c r="O365" i="9"/>
  <c r="R942" i="2"/>
  <c r="P365" i="9"/>
  <c r="R365" i="9"/>
  <c r="V942" i="2"/>
  <c r="R366" i="9"/>
  <c r="N367" i="9"/>
  <c r="Q944" i="2"/>
  <c r="O367" i="9"/>
  <c r="R944" i="2"/>
  <c r="P367" i="9"/>
  <c r="R367" i="9"/>
  <c r="V944" i="2"/>
  <c r="R368" i="9"/>
  <c r="N369" i="9"/>
  <c r="Q946" i="2"/>
  <c r="O369" i="9"/>
  <c r="R946" i="2"/>
  <c r="P369" i="9"/>
  <c r="R369" i="9"/>
  <c r="V946" i="2"/>
  <c r="O371" i="9"/>
  <c r="S372" i="9"/>
  <c r="W947" i="2"/>
  <c r="X372" i="9"/>
  <c r="AB947" i="2"/>
  <c r="Q374" i="9"/>
  <c r="U948" i="2"/>
  <c r="R374" i="9"/>
  <c r="V948" i="2"/>
  <c r="S374" i="9"/>
  <c r="W948" i="2"/>
  <c r="T374" i="9"/>
  <c r="X948" i="2"/>
  <c r="U374" i="9"/>
  <c r="Y948" i="2"/>
  <c r="W374" i="9"/>
  <c r="AA948" i="2"/>
  <c r="X374" i="9"/>
  <c r="AB948" i="2"/>
  <c r="Y374" i="9"/>
  <c r="AC948" i="2"/>
  <c r="Z374" i="9"/>
  <c r="AD948" i="2"/>
  <c r="AA374" i="9"/>
  <c r="AE948" i="2"/>
  <c r="AB374" i="9"/>
  <c r="AF948" i="2"/>
  <c r="AC374" i="9"/>
  <c r="AG948" i="2"/>
  <c r="AD374" i="9"/>
  <c r="AH948" i="2"/>
  <c r="AE374" i="9"/>
  <c r="AI948" i="2"/>
  <c r="O376" i="9"/>
  <c r="R376" i="9"/>
  <c r="N377" i="9"/>
  <c r="Q949" i="2"/>
  <c r="O377" i="9"/>
  <c r="R377" i="9"/>
  <c r="V949" i="2"/>
  <c r="O379" i="9"/>
  <c r="Q382" i="9"/>
  <c r="U951" i="2"/>
  <c r="S382" i="9"/>
  <c r="T382" i="9"/>
  <c r="X951" i="2"/>
  <c r="U382" i="9"/>
  <c r="Y951" i="2"/>
  <c r="W382" i="9"/>
  <c r="AA951" i="2"/>
  <c r="X382" i="9"/>
  <c r="AB951" i="2"/>
  <c r="Y382" i="9"/>
  <c r="AC951" i="2"/>
  <c r="Z382" i="9"/>
  <c r="AD951" i="2"/>
  <c r="AA382" i="9"/>
  <c r="AE951" i="2"/>
  <c r="AB382" i="9"/>
  <c r="AF951" i="2"/>
  <c r="AC382" i="9"/>
  <c r="AG951" i="2"/>
  <c r="AD382" i="9"/>
  <c r="AH951" i="2"/>
  <c r="AE382" i="9"/>
  <c r="AI951" i="2"/>
  <c r="O384" i="9"/>
  <c r="R384" i="9"/>
  <c r="N385" i="9"/>
  <c r="R385" i="9"/>
  <c r="V952" i="2"/>
  <c r="R386" i="9"/>
  <c r="V953" i="2"/>
  <c r="N387" i="9"/>
  <c r="R387" i="9"/>
  <c r="V954" i="2"/>
  <c r="R388" i="9"/>
  <c r="V955" i="2"/>
  <c r="N389" i="9"/>
  <c r="R389" i="9"/>
  <c r="V956" i="2"/>
  <c r="R390" i="9"/>
  <c r="V957" i="2"/>
  <c r="N391" i="9"/>
  <c r="R391" i="9"/>
  <c r="V958" i="2"/>
  <c r="R392" i="9"/>
  <c r="V959" i="2"/>
  <c r="N393" i="9"/>
  <c r="R393" i="9"/>
  <c r="V960" i="2"/>
  <c r="R394" i="9"/>
  <c r="V961" i="2"/>
  <c r="N395" i="9"/>
  <c r="R395" i="9"/>
  <c r="V962" i="2"/>
  <c r="R396" i="9"/>
  <c r="V963" i="2"/>
  <c r="Q399" i="9"/>
  <c r="U964" i="2"/>
  <c r="S399" i="9"/>
  <c r="W964" i="2"/>
  <c r="W399" i="9"/>
  <c r="AA964" i="2"/>
  <c r="X399" i="9"/>
  <c r="AB964" i="2"/>
  <c r="Y399" i="9"/>
  <c r="AC964" i="2"/>
  <c r="Z399" i="9"/>
  <c r="AD964" i="2"/>
  <c r="O401" i="9"/>
  <c r="R401" i="9"/>
  <c r="N402" i="9"/>
  <c r="Q965" i="2"/>
  <c r="O402" i="9"/>
  <c r="R965" i="2"/>
  <c r="P402" i="9"/>
  <c r="R402" i="9"/>
  <c r="V965" i="2"/>
  <c r="R403" i="9"/>
  <c r="N404" i="9"/>
  <c r="Q967" i="2"/>
  <c r="O404" i="9"/>
  <c r="R967" i="2"/>
  <c r="P404" i="9"/>
  <c r="R404" i="9"/>
  <c r="V967" i="2"/>
  <c r="R405" i="9"/>
  <c r="N406" i="9"/>
  <c r="Q969" i="2"/>
  <c r="O406" i="9"/>
  <c r="R969" i="2"/>
  <c r="P406" i="9"/>
  <c r="R406" i="9"/>
  <c r="V969" i="2"/>
  <c r="R407" i="9"/>
  <c r="N408" i="9"/>
  <c r="Q971" i="2"/>
  <c r="O408" i="9"/>
  <c r="R971" i="2"/>
  <c r="P408" i="9"/>
  <c r="R408" i="9"/>
  <c r="V971" i="2"/>
  <c r="R409" i="9"/>
  <c r="N410" i="9"/>
  <c r="Q973" i="2"/>
  <c r="O410" i="9"/>
  <c r="R973" i="2"/>
  <c r="P410" i="9"/>
  <c r="R410" i="9"/>
  <c r="V973" i="2"/>
  <c r="R411" i="9"/>
  <c r="N412" i="9"/>
  <c r="Q975" i="2"/>
  <c r="O412" i="9"/>
  <c r="R975" i="2"/>
  <c r="P412" i="9"/>
  <c r="R412" i="9"/>
  <c r="V975" i="2"/>
  <c r="R413" i="9"/>
  <c r="O416" i="9"/>
  <c r="Q417" i="9"/>
  <c r="U977" i="2"/>
  <c r="S417" i="9"/>
  <c r="W977" i="2"/>
  <c r="T417" i="9"/>
  <c r="X977" i="2"/>
  <c r="U417" i="9"/>
  <c r="Y977" i="2"/>
  <c r="W417" i="9"/>
  <c r="AA977" i="2"/>
  <c r="X417" i="9"/>
  <c r="AB977" i="2"/>
  <c r="Y417" i="9"/>
  <c r="AC977" i="2"/>
  <c r="Z417" i="9"/>
  <c r="AD977" i="2"/>
  <c r="AA417" i="9"/>
  <c r="AE977" i="2"/>
  <c r="AB417" i="9"/>
  <c r="AF977" i="2"/>
  <c r="AC417" i="9"/>
  <c r="AG977" i="2"/>
  <c r="AD417" i="9"/>
  <c r="AH977" i="2"/>
  <c r="AE417" i="9"/>
  <c r="AI977" i="2"/>
  <c r="O419" i="9"/>
  <c r="R419" i="9"/>
  <c r="N420" i="9"/>
  <c r="Q978" i="2"/>
  <c r="O420" i="9"/>
  <c r="P420" i="9"/>
  <c r="R420" i="9"/>
  <c r="V978" i="2"/>
  <c r="R421" i="9"/>
  <c r="N422" i="9"/>
  <c r="Q980" i="2"/>
  <c r="O422" i="9"/>
  <c r="R980" i="2"/>
  <c r="R422" i="9"/>
  <c r="V980" i="2"/>
  <c r="O424" i="9"/>
  <c r="Q427" i="9"/>
  <c r="U982" i="2"/>
  <c r="S427" i="9"/>
  <c r="W982" i="2"/>
  <c r="W427" i="9"/>
  <c r="AA982" i="2"/>
  <c r="X427" i="9"/>
  <c r="AB982" i="2"/>
  <c r="Y427" i="9"/>
  <c r="AC982" i="2"/>
  <c r="Z427" i="9"/>
  <c r="AD982" i="2"/>
  <c r="O429" i="9"/>
  <c r="R429" i="9"/>
  <c r="N430" i="9"/>
  <c r="O430" i="9"/>
  <c r="R983" i="2"/>
  <c r="R430" i="9"/>
  <c r="V983" i="2"/>
  <c r="R431" i="9"/>
  <c r="N432" i="9"/>
  <c r="Q985" i="2"/>
  <c r="O432" i="9"/>
  <c r="R985" i="2"/>
  <c r="R432" i="9"/>
  <c r="V985" i="2"/>
  <c r="R433" i="9"/>
  <c r="Q435" i="9"/>
  <c r="U987" i="2"/>
  <c r="S435" i="9"/>
  <c r="W987" i="2"/>
  <c r="W435" i="9"/>
  <c r="AA987" i="2"/>
  <c r="X435" i="9"/>
  <c r="AB987" i="2"/>
  <c r="Y435" i="9"/>
  <c r="AC987" i="2"/>
  <c r="Z435" i="9"/>
  <c r="AD987" i="2"/>
  <c r="O437" i="9"/>
  <c r="R437" i="9"/>
  <c r="N438" i="9"/>
  <c r="Q988" i="2"/>
  <c r="O438" i="9"/>
  <c r="P438" i="9"/>
  <c r="R438" i="9"/>
  <c r="V988" i="2"/>
  <c r="R439" i="9"/>
  <c r="N440" i="9"/>
  <c r="Q990" i="2"/>
  <c r="O440" i="9"/>
  <c r="R990" i="2"/>
  <c r="P440" i="9"/>
  <c r="R440" i="9"/>
  <c r="V990" i="2"/>
  <c r="R441" i="9"/>
  <c r="Q443" i="9"/>
  <c r="U992" i="2"/>
  <c r="S443" i="9"/>
  <c r="W992" i="2"/>
  <c r="W443" i="9"/>
  <c r="AA992" i="2"/>
  <c r="X443" i="9"/>
  <c r="AB992" i="2"/>
  <c r="Y443" i="9"/>
  <c r="AC992" i="2"/>
  <c r="Z443" i="9"/>
  <c r="AD992" i="2"/>
  <c r="O445" i="9"/>
  <c r="R445" i="9"/>
  <c r="R446" i="9"/>
  <c r="N447" i="9"/>
  <c r="Q994" i="2"/>
  <c r="O447" i="9"/>
  <c r="R994" i="2"/>
  <c r="R447" i="9"/>
  <c r="V994" i="2"/>
  <c r="Q449" i="9"/>
  <c r="U995" i="2"/>
  <c r="S449" i="9"/>
  <c r="W995" i="2"/>
  <c r="W449" i="9"/>
  <c r="AA995" i="2"/>
  <c r="X449" i="9"/>
  <c r="AB995" i="2"/>
  <c r="Y449" i="9"/>
  <c r="AC995" i="2"/>
  <c r="Z449" i="9"/>
  <c r="AD995" i="2"/>
  <c r="O451" i="9"/>
  <c r="R451" i="9"/>
  <c r="R452" i="9"/>
  <c r="N453" i="9"/>
  <c r="Q997" i="2"/>
  <c r="O453" i="9"/>
  <c r="R997" i="2"/>
  <c r="R453" i="9"/>
  <c r="V997" i="2"/>
  <c r="R454" i="9"/>
  <c r="R449" i="9"/>
  <c r="V995" i="2"/>
  <c r="N455" i="9"/>
  <c r="Q999" i="2"/>
  <c r="O455" i="9"/>
  <c r="R999" i="2"/>
  <c r="R455" i="9"/>
  <c r="V999" i="2"/>
  <c r="Q457" i="9"/>
  <c r="U1000" i="2"/>
  <c r="S457" i="9"/>
  <c r="W1000" i="2"/>
  <c r="W457" i="9"/>
  <c r="AA1000" i="2"/>
  <c r="X457" i="9"/>
  <c r="AB1000" i="2"/>
  <c r="Y457" i="9"/>
  <c r="AC1000" i="2"/>
  <c r="Z457" i="9"/>
  <c r="AD1000" i="2"/>
  <c r="O459" i="9"/>
  <c r="R459" i="9"/>
  <c r="N460" i="9"/>
  <c r="O460" i="9"/>
  <c r="R1001" i="2"/>
  <c r="R460" i="9"/>
  <c r="V1001" i="2"/>
  <c r="R461" i="9"/>
  <c r="Q463" i="9"/>
  <c r="U1003" i="2"/>
  <c r="S463" i="9"/>
  <c r="W1003" i="2"/>
  <c r="W463" i="9"/>
  <c r="AA1003" i="2"/>
  <c r="X463" i="9"/>
  <c r="AB1003" i="2"/>
  <c r="Y463" i="9"/>
  <c r="AC1003" i="2"/>
  <c r="Z463" i="9"/>
  <c r="AD1003" i="2"/>
  <c r="O465" i="9"/>
  <c r="R465" i="9"/>
  <c r="N466" i="9"/>
  <c r="Q1004" i="2"/>
  <c r="O466" i="9"/>
  <c r="P466" i="9"/>
  <c r="R466" i="9"/>
  <c r="V1004" i="2"/>
  <c r="R467" i="9"/>
  <c r="Q469" i="9"/>
  <c r="U1006" i="2"/>
  <c r="S469" i="9"/>
  <c r="W1006" i="2"/>
  <c r="W469" i="9"/>
  <c r="AA1006" i="2"/>
  <c r="X469" i="9"/>
  <c r="AB1006" i="2"/>
  <c r="Y469" i="9"/>
  <c r="AC1006" i="2"/>
  <c r="Z469" i="9"/>
  <c r="AD1006" i="2"/>
  <c r="O471" i="9"/>
  <c r="R471" i="9"/>
  <c r="R472" i="9"/>
  <c r="Q474" i="9"/>
  <c r="U1008" i="2"/>
  <c r="S474" i="9"/>
  <c r="W1008" i="2"/>
  <c r="W474" i="9"/>
  <c r="AA1008" i="2"/>
  <c r="X474" i="9"/>
  <c r="AB1008" i="2"/>
  <c r="Y474" i="9"/>
  <c r="AC1008" i="2"/>
  <c r="Z474" i="9"/>
  <c r="AD1008" i="2"/>
  <c r="O476" i="9"/>
  <c r="R476" i="9"/>
  <c r="N477" i="9"/>
  <c r="Q1009" i="2"/>
  <c r="O477" i="9"/>
  <c r="P477" i="9"/>
  <c r="R477" i="9"/>
  <c r="V1009" i="2"/>
  <c r="R478" i="9"/>
  <c r="O481" i="9"/>
  <c r="Q484" i="9"/>
  <c r="U1012" i="2"/>
  <c r="R484" i="9"/>
  <c r="V1012" i="2"/>
  <c r="S484" i="9"/>
  <c r="W1012" i="2"/>
  <c r="T484" i="9"/>
  <c r="X1012" i="2"/>
  <c r="U484" i="9"/>
  <c r="Y1012" i="2"/>
  <c r="V484" i="9"/>
  <c r="Z1012" i="2"/>
  <c r="W484" i="9"/>
  <c r="AA1012" i="2"/>
  <c r="X484" i="9"/>
  <c r="AB1012" i="2"/>
  <c r="AA484" i="9"/>
  <c r="AE1012" i="2"/>
  <c r="AB484" i="9"/>
  <c r="AF1012" i="2"/>
  <c r="AD484" i="9"/>
  <c r="AH1012" i="2"/>
  <c r="AE484" i="9"/>
  <c r="AI1012" i="2"/>
  <c r="AF484" i="9"/>
  <c r="AJ1012" i="2"/>
  <c r="AG484" i="9"/>
  <c r="AJ484" i="9"/>
  <c r="AK484" i="9"/>
  <c r="AL484" i="9"/>
  <c r="AE486" i="9"/>
  <c r="AJ486" i="9"/>
  <c r="O487" i="9"/>
  <c r="R487" i="9"/>
  <c r="Y487" i="9"/>
  <c r="Z487" i="9"/>
  <c r="AD487" i="9"/>
  <c r="N488" i="9"/>
  <c r="Q1013" i="2"/>
  <c r="R488" i="9"/>
  <c r="V1013" i="2"/>
  <c r="Z488" i="9"/>
  <c r="AD1013" i="2"/>
  <c r="AD488" i="9"/>
  <c r="AH1013" i="2"/>
  <c r="N489" i="9"/>
  <c r="Q1014" i="2"/>
  <c r="O489" i="9"/>
  <c r="R489" i="9"/>
  <c r="V1014" i="2"/>
  <c r="Y489" i="9"/>
  <c r="AC1014" i="2"/>
  <c r="Z489" i="9"/>
  <c r="AD1014" i="2"/>
  <c r="AD489" i="9"/>
  <c r="AH1014" i="2"/>
  <c r="AI489" i="9"/>
  <c r="AJ489" i="9"/>
  <c r="N490" i="9"/>
  <c r="Q1015" i="2"/>
  <c r="R490" i="9"/>
  <c r="V1015" i="2"/>
  <c r="Y490" i="9"/>
  <c r="AC1015" i="2"/>
  <c r="Z490" i="9"/>
  <c r="Z484" i="9"/>
  <c r="AD1012" i="2"/>
  <c r="AI490" i="9"/>
  <c r="R491" i="9"/>
  <c r="V1016" i="2"/>
  <c r="Y491" i="9"/>
  <c r="Z491" i="9"/>
  <c r="AD1016" i="2"/>
  <c r="AD491" i="9"/>
  <c r="AH1016" i="2"/>
  <c r="AI491" i="9"/>
  <c r="Q493" i="9"/>
  <c r="U1017" i="2"/>
  <c r="Q495" i="9"/>
  <c r="U1018" i="2"/>
  <c r="R495" i="9"/>
  <c r="S495" i="9"/>
  <c r="W1018" i="2"/>
  <c r="T495" i="9"/>
  <c r="X1018" i="2"/>
  <c r="W495" i="9"/>
  <c r="AA1018" i="2"/>
  <c r="AA495" i="9"/>
  <c r="O497" i="9"/>
  <c r="R497" i="9"/>
  <c r="R498" i="9"/>
  <c r="V1019" i="2"/>
  <c r="V498" i="9"/>
  <c r="X498" i="9"/>
  <c r="AB1019" i="2"/>
  <c r="Y498" i="9"/>
  <c r="AC1019" i="2"/>
  <c r="Z498" i="9"/>
  <c r="AD1019" i="2"/>
  <c r="AA498" i="9"/>
  <c r="AE1019" i="2"/>
  <c r="AB498" i="9"/>
  <c r="N499" i="9"/>
  <c r="Q1020" i="2"/>
  <c r="R499" i="9"/>
  <c r="V1020" i="2"/>
  <c r="V499" i="9"/>
  <c r="Z1020" i="2"/>
  <c r="X499" i="9"/>
  <c r="AB1020" i="2"/>
  <c r="Y499" i="9"/>
  <c r="AC1020" i="2"/>
  <c r="Z499" i="9"/>
  <c r="AA499" i="9"/>
  <c r="AE1020" i="2"/>
  <c r="AB499" i="9"/>
  <c r="AF1020" i="2"/>
  <c r="AE499" i="9"/>
  <c r="AI1020" i="2"/>
  <c r="R500" i="9"/>
  <c r="V1021" i="2"/>
  <c r="V500" i="9"/>
  <c r="X500" i="9"/>
  <c r="AB1021" i="2"/>
  <c r="Y500" i="9"/>
  <c r="AC1021" i="2"/>
  <c r="Z500" i="9"/>
  <c r="AD1021" i="2"/>
  <c r="AA500" i="9"/>
  <c r="AE1021" i="2"/>
  <c r="AB500" i="9"/>
  <c r="AF1021" i="2"/>
  <c r="AE500" i="9"/>
  <c r="AI1021" i="2"/>
  <c r="Q504" i="9"/>
  <c r="U1022" i="2"/>
  <c r="S504" i="9"/>
  <c r="W1022" i="2"/>
  <c r="T504" i="9"/>
  <c r="X1022" i="2"/>
  <c r="W504" i="9"/>
  <c r="AA1022" i="2"/>
  <c r="X504" i="9"/>
  <c r="AB1022" i="2"/>
  <c r="Y504" i="9"/>
  <c r="AC1022" i="2"/>
  <c r="Z504" i="9"/>
  <c r="AD1022" i="2"/>
  <c r="AA504" i="9"/>
  <c r="AE1022" i="2"/>
  <c r="AB504" i="9"/>
  <c r="AF1022" i="2"/>
  <c r="O506" i="9"/>
  <c r="R506" i="9"/>
  <c r="R507" i="9"/>
  <c r="V507" i="9"/>
  <c r="AC507" i="9"/>
  <c r="R508" i="9"/>
  <c r="V1024" i="2"/>
  <c r="V508" i="9"/>
  <c r="AC508" i="9"/>
  <c r="N509" i="9"/>
  <c r="Q1025" i="2"/>
  <c r="O509" i="9"/>
  <c r="R509" i="9"/>
  <c r="V1025" i="2"/>
  <c r="V509" i="9"/>
  <c r="Z1025" i="2"/>
  <c r="AC509" i="9"/>
  <c r="AG1025" i="2"/>
  <c r="R510" i="9"/>
  <c r="O514" i="9"/>
  <c r="Q517" i="9"/>
  <c r="U1029" i="2"/>
  <c r="S517" i="9"/>
  <c r="W1029" i="2"/>
  <c r="T517" i="9"/>
  <c r="X1029" i="2"/>
  <c r="U517" i="9"/>
  <c r="Y1029" i="2"/>
  <c r="V517" i="9"/>
  <c r="Z1029" i="2"/>
  <c r="W517" i="9"/>
  <c r="AA1029" i="2"/>
  <c r="X517" i="9"/>
  <c r="AB1029" i="2"/>
  <c r="Y517" i="9"/>
  <c r="AC1029" i="2"/>
  <c r="AA517" i="9"/>
  <c r="AE1029" i="2"/>
  <c r="AB517" i="9"/>
  <c r="AF1029" i="2"/>
  <c r="O519" i="9"/>
  <c r="R521" i="9"/>
  <c r="V1031" i="2"/>
  <c r="R522" i="9"/>
  <c r="V1032" i="2"/>
  <c r="Z522" i="9"/>
  <c r="N523" i="9"/>
  <c r="Q1033" i="2"/>
  <c r="R523" i="9"/>
  <c r="V1033" i="2"/>
  <c r="R524" i="9"/>
  <c r="Z524" i="9"/>
  <c r="N525" i="9"/>
  <c r="Q1035" i="2"/>
  <c r="O525" i="9"/>
  <c r="R525" i="9"/>
  <c r="V1035" i="2"/>
  <c r="Z525" i="9"/>
  <c r="AD1035" i="2"/>
  <c r="R526" i="9"/>
  <c r="V1036" i="2"/>
  <c r="Z526" i="9"/>
  <c r="AD1036" i="2"/>
  <c r="R527" i="9"/>
  <c r="Z527" i="9"/>
  <c r="N528" i="9"/>
  <c r="Q1038" i="2"/>
  <c r="O528" i="9"/>
  <c r="R1038" i="2"/>
  <c r="P528" i="9"/>
  <c r="R528" i="9"/>
  <c r="V1038" i="2"/>
  <c r="Z528" i="9"/>
  <c r="AD1038" i="2"/>
  <c r="N529" i="9"/>
  <c r="Q1039" i="2"/>
  <c r="R529" i="9"/>
  <c r="V1039" i="2"/>
  <c r="Z529" i="9"/>
  <c r="AD1039" i="2"/>
  <c r="N530" i="9"/>
  <c r="Q1040" i="2"/>
  <c r="R530" i="9"/>
  <c r="V1040" i="2"/>
  <c r="Z530" i="9"/>
  <c r="N531" i="9"/>
  <c r="Q1041" i="2"/>
  <c r="R531" i="9"/>
  <c r="R532" i="9"/>
  <c r="Z532" i="9"/>
  <c r="AD1042" i="2"/>
  <c r="N533" i="9"/>
  <c r="Q1043" i="2"/>
  <c r="R533" i="9"/>
  <c r="V1043" i="2"/>
  <c r="Z533" i="9"/>
  <c r="AD1043" i="2"/>
  <c r="R534" i="9"/>
  <c r="V1044" i="2"/>
  <c r="Z534" i="9"/>
  <c r="AD1044" i="2"/>
  <c r="R535" i="9"/>
  <c r="Z535" i="9"/>
  <c r="N536" i="9"/>
  <c r="Q1046" i="2"/>
  <c r="O536" i="9"/>
  <c r="R1046" i="2"/>
  <c r="R536" i="9"/>
  <c r="V1046" i="2"/>
  <c r="Z536" i="9"/>
  <c r="AD1046" i="2"/>
  <c r="R537" i="9"/>
  <c r="V1047" i="2"/>
  <c r="Z537" i="9"/>
  <c r="AD1047" i="2"/>
  <c r="R538" i="9"/>
  <c r="V1048" i="2"/>
  <c r="Z538" i="9"/>
  <c r="R539" i="9"/>
  <c r="R540" i="9"/>
  <c r="Z540" i="9"/>
  <c r="AD1050" i="2"/>
  <c r="N541" i="9"/>
  <c r="Q1051" i="2"/>
  <c r="R541" i="9"/>
  <c r="V1051" i="2"/>
  <c r="Z541" i="9"/>
  <c r="AD1051" i="2"/>
  <c r="R542" i="9"/>
  <c r="V1052" i="2"/>
  <c r="R543" i="9"/>
  <c r="Z543" i="9"/>
  <c r="AD1053" i="2"/>
  <c r="N544" i="9"/>
  <c r="Q1054" i="2"/>
  <c r="O544" i="9"/>
  <c r="R1054" i="2"/>
  <c r="P544" i="9"/>
  <c r="R544" i="9"/>
  <c r="V1054" i="2"/>
  <c r="Z544" i="9"/>
  <c r="AD1054" i="2"/>
  <c r="R545" i="9"/>
  <c r="V1055" i="2"/>
  <c r="Z545" i="9"/>
  <c r="AD1055" i="2"/>
  <c r="N546" i="9"/>
  <c r="Q1056" i="2"/>
  <c r="R546" i="9"/>
  <c r="V1056" i="2"/>
  <c r="R547" i="9"/>
  <c r="N548" i="9"/>
  <c r="Q1058" i="2"/>
  <c r="R548" i="9"/>
  <c r="V1058" i="2"/>
  <c r="Z548" i="9"/>
  <c r="AD1058" i="2"/>
  <c r="R549" i="9"/>
  <c r="V1059" i="2"/>
  <c r="Z549" i="9"/>
  <c r="AD1059" i="2"/>
  <c r="R550" i="9"/>
  <c r="V1060" i="2"/>
  <c r="Z550" i="9"/>
  <c r="AD1060" i="2"/>
  <c r="R551" i="9"/>
  <c r="Z551" i="9"/>
  <c r="N552" i="9"/>
  <c r="Q1062" i="2"/>
  <c r="R552" i="9"/>
  <c r="V1062" i="2"/>
  <c r="Z552" i="9"/>
  <c r="AD1062" i="2"/>
  <c r="N553" i="9"/>
  <c r="Q1063" i="2"/>
  <c r="R553" i="9"/>
  <c r="V1063" i="2"/>
  <c r="N554" i="9"/>
  <c r="Q1064" i="2"/>
  <c r="R554" i="9"/>
  <c r="V1064" i="2"/>
  <c r="Z554" i="9"/>
  <c r="N555" i="9"/>
  <c r="Q1065" i="2"/>
  <c r="R555" i="9"/>
  <c r="R556" i="9"/>
  <c r="V1066" i="2"/>
  <c r="Z556" i="9"/>
  <c r="AD1066" i="2"/>
  <c r="R557" i="9"/>
  <c r="V1067" i="2"/>
  <c r="Z557" i="9"/>
  <c r="AD1067" i="2"/>
  <c r="R558" i="9"/>
  <c r="V1068" i="2"/>
  <c r="R559" i="9"/>
  <c r="Z559" i="9"/>
  <c r="N560" i="9"/>
  <c r="Q1070" i="2"/>
  <c r="O560" i="9"/>
  <c r="R1070" i="2"/>
  <c r="P560" i="9"/>
  <c r="R560" i="9"/>
  <c r="V1070" i="2"/>
  <c r="Z560" i="9"/>
  <c r="AD1070" i="2"/>
  <c r="R561" i="9"/>
  <c r="V1071" i="2"/>
  <c r="Z561" i="9"/>
  <c r="AD1071" i="2"/>
  <c r="N562" i="9"/>
  <c r="Q1072" i="2"/>
  <c r="R562" i="9"/>
  <c r="V1072" i="2"/>
  <c r="R563" i="9"/>
  <c r="N564" i="9"/>
  <c r="Q1074" i="2"/>
  <c r="R564" i="9"/>
  <c r="V1074" i="2"/>
  <c r="Z564" i="9"/>
  <c r="AD1074" i="2"/>
  <c r="R565" i="9"/>
  <c r="V1075" i="2"/>
  <c r="Z565" i="9"/>
  <c r="AD1075" i="2"/>
  <c r="O566" i="9"/>
  <c r="R1076" i="2"/>
  <c r="R566" i="9"/>
  <c r="V1076" i="2"/>
  <c r="Q569" i="9"/>
  <c r="U1077" i="2"/>
  <c r="R569" i="9"/>
  <c r="V1077" i="2"/>
  <c r="S569" i="9"/>
  <c r="W1077" i="2"/>
  <c r="T569" i="9"/>
  <c r="X1077" i="2"/>
  <c r="V569" i="9"/>
  <c r="Z1077" i="2"/>
  <c r="W569" i="9"/>
  <c r="AA1077" i="2"/>
  <c r="X569" i="9"/>
  <c r="AB1077" i="2"/>
  <c r="Y569" i="9"/>
  <c r="AC1077" i="2"/>
  <c r="AA569" i="9"/>
  <c r="AE1077" i="2"/>
  <c r="AB569" i="9"/>
  <c r="AF1077" i="2"/>
  <c r="O571" i="9"/>
  <c r="R572" i="9"/>
  <c r="Z572" i="9"/>
  <c r="AD1078" i="2"/>
  <c r="N573" i="9"/>
  <c r="Q1079" i="2"/>
  <c r="R573" i="9"/>
  <c r="V1079" i="2"/>
  <c r="Z573" i="9"/>
  <c r="AD1079" i="2"/>
  <c r="N574" i="9"/>
  <c r="Q1080" i="2"/>
  <c r="O574" i="9"/>
  <c r="R1080" i="2"/>
  <c r="P574" i="9"/>
  <c r="R574" i="9"/>
  <c r="V1080" i="2"/>
  <c r="Z574" i="9"/>
  <c r="AD1080" i="2"/>
  <c r="R575" i="9"/>
  <c r="V1081" i="2"/>
  <c r="N576" i="9"/>
  <c r="Q1082" i="2"/>
  <c r="R576" i="9"/>
  <c r="R577" i="9"/>
  <c r="V1083" i="2"/>
  <c r="Z577" i="9"/>
  <c r="AD1083" i="2"/>
  <c r="N578" i="9"/>
  <c r="Q1084" i="2"/>
  <c r="R578" i="9"/>
  <c r="V1084" i="2"/>
  <c r="R579" i="9"/>
  <c r="V1085" i="2"/>
  <c r="Z579" i="9"/>
  <c r="AD1085" i="2"/>
  <c r="R580" i="9"/>
  <c r="Z580" i="9"/>
  <c r="AD1086" i="2"/>
  <c r="N581" i="9"/>
  <c r="Q1087" i="2"/>
  <c r="O581" i="9"/>
  <c r="R1087" i="2"/>
  <c r="P581" i="9"/>
  <c r="R581" i="9"/>
  <c r="V1087" i="2"/>
  <c r="Z581" i="9"/>
  <c r="AD1087" i="2"/>
  <c r="R582" i="9"/>
  <c r="V1088" i="2"/>
  <c r="N583" i="9"/>
  <c r="Q1089" i="2"/>
  <c r="R583" i="9"/>
  <c r="V1089" i="2"/>
  <c r="Z583" i="9"/>
  <c r="R584" i="9"/>
  <c r="N585" i="9"/>
  <c r="Q1091" i="2"/>
  <c r="R585" i="9"/>
  <c r="V1091" i="2"/>
  <c r="N586" i="9"/>
  <c r="Q1092" i="2"/>
  <c r="O586" i="9"/>
  <c r="R586" i="9"/>
  <c r="V1092" i="2"/>
  <c r="O589" i="9"/>
  <c r="Z592" i="9"/>
  <c r="AD1094" i="2"/>
  <c r="AH592" i="9"/>
  <c r="AM592" i="9"/>
  <c r="AF594" i="9"/>
  <c r="AK594" i="9"/>
  <c r="O595" i="9"/>
  <c r="R595" i="9"/>
  <c r="Y595" i="9"/>
  <c r="AA595" i="9"/>
  <c r="AE595" i="9"/>
  <c r="R596" i="9"/>
  <c r="N596" i="9"/>
  <c r="Q1095" i="2"/>
  <c r="AA596" i="9"/>
  <c r="AE1095" i="2"/>
  <c r="AE596" i="9"/>
  <c r="AI1095" i="2"/>
  <c r="R597" i="9"/>
  <c r="V1096" i="2"/>
  <c r="Y597" i="9"/>
  <c r="AC1096" i="2"/>
  <c r="AA597" i="9"/>
  <c r="AE1096" i="2"/>
  <c r="AJ597" i="9"/>
  <c r="Q598" i="9"/>
  <c r="U1097" i="2"/>
  <c r="S598" i="9"/>
  <c r="W1097" i="2"/>
  <c r="T598" i="9"/>
  <c r="X1097" i="2"/>
  <c r="U598" i="9"/>
  <c r="V598" i="9"/>
  <c r="Z1097" i="2"/>
  <c r="W598" i="9"/>
  <c r="AA1097" i="2"/>
  <c r="X598" i="9"/>
  <c r="AB1097" i="2"/>
  <c r="Z598" i="9"/>
  <c r="AD1097" i="2"/>
  <c r="AA598" i="9"/>
  <c r="AE1097" i="2"/>
  <c r="AB598" i="9"/>
  <c r="AF1097" i="2"/>
  <c r="AC598" i="9"/>
  <c r="AG1097" i="2"/>
  <c r="AD598" i="9"/>
  <c r="AF598" i="9"/>
  <c r="AJ1097" i="2"/>
  <c r="AG598" i="9"/>
  <c r="AF592" i="9"/>
  <c r="AJ1094" i="2"/>
  <c r="AH598" i="9"/>
  <c r="AI598" i="9"/>
  <c r="AM1097" i="2"/>
  <c r="AL598" i="9"/>
  <c r="AM598" i="9"/>
  <c r="AL592" i="9"/>
  <c r="O599" i="9"/>
  <c r="R1098" i="2"/>
  <c r="R599" i="9"/>
  <c r="Y599" i="9"/>
  <c r="AJ599" i="9"/>
  <c r="AA599" i="9"/>
  <c r="AE1098" i="2"/>
  <c r="AE599" i="9"/>
  <c r="AI1098" i="2"/>
  <c r="N600" i="9"/>
  <c r="Q1099" i="2"/>
  <c r="O600" i="9"/>
  <c r="R1099" i="2"/>
  <c r="P600" i="9"/>
  <c r="R600" i="9"/>
  <c r="V1099" i="2"/>
  <c r="Y600" i="9"/>
  <c r="AC1099" i="2"/>
  <c r="AA600" i="9"/>
  <c r="AE1099" i="2"/>
  <c r="AE600" i="9"/>
  <c r="AI1099" i="2"/>
  <c r="N601" i="9"/>
  <c r="Q1100" i="2"/>
  <c r="R601" i="9"/>
  <c r="V1100" i="2"/>
  <c r="AA601" i="9"/>
  <c r="AE1100" i="2"/>
  <c r="N602" i="9"/>
  <c r="Q1101" i="2"/>
  <c r="R602" i="9"/>
  <c r="V1101" i="2"/>
  <c r="Y602" i="9"/>
  <c r="AC1101" i="2"/>
  <c r="AA602" i="9"/>
  <c r="AE1101" i="2"/>
  <c r="AJ602" i="9"/>
  <c r="R603" i="9"/>
  <c r="V1102" i="2"/>
  <c r="AA603" i="9"/>
  <c r="AE1102" i="2"/>
  <c r="AE603" i="9"/>
  <c r="AI1102" i="2"/>
  <c r="R604" i="9"/>
  <c r="V1103" i="2"/>
  <c r="AA604" i="9"/>
  <c r="AE1103" i="2"/>
  <c r="AE604" i="9"/>
  <c r="AI1103" i="2"/>
  <c r="R605" i="9"/>
  <c r="V1104" i="2"/>
  <c r="Y605" i="9"/>
  <c r="AC1104" i="2"/>
  <c r="AA605" i="9"/>
  <c r="AE1104" i="2"/>
  <c r="R606" i="9"/>
  <c r="V1105" i="2"/>
  <c r="Y606" i="9"/>
  <c r="AJ606" i="9"/>
  <c r="AA606" i="9"/>
  <c r="AE1105" i="2"/>
  <c r="AE606" i="9"/>
  <c r="AI1105" i="2"/>
  <c r="Q607" i="9"/>
  <c r="U1106" i="2"/>
  <c r="S607" i="9"/>
  <c r="W1106" i="2"/>
  <c r="T607" i="9"/>
  <c r="X1106" i="2"/>
  <c r="U607" i="9"/>
  <c r="Y1106" i="2"/>
  <c r="V607" i="9"/>
  <c r="Z1106" i="2"/>
  <c r="W607" i="9"/>
  <c r="AA1106" i="2"/>
  <c r="X607" i="9"/>
  <c r="AB1106" i="2"/>
  <c r="Z607" i="9"/>
  <c r="AD1106" i="2"/>
  <c r="AB607" i="9"/>
  <c r="AF1106" i="2"/>
  <c r="AC607" i="9"/>
  <c r="AG1106" i="2"/>
  <c r="AD607" i="9"/>
  <c r="AH1106" i="2"/>
  <c r="AF607" i="9"/>
  <c r="AJ1106" i="2"/>
  <c r="AG607" i="9"/>
  <c r="AH607" i="9"/>
  <c r="AG592" i="9"/>
  <c r="AI607" i="9"/>
  <c r="AM1106" i="2"/>
  <c r="AL607" i="9"/>
  <c r="AM607" i="9"/>
  <c r="N608" i="9"/>
  <c r="Q1107" i="2"/>
  <c r="R608" i="9"/>
  <c r="V1107" i="2"/>
  <c r="AA608" i="9"/>
  <c r="AE1107" i="2"/>
  <c r="N609" i="9"/>
  <c r="Q1108" i="2"/>
  <c r="R609" i="9"/>
  <c r="V1108" i="2"/>
  <c r="Y609" i="9"/>
  <c r="AC1108" i="2"/>
  <c r="AA609" i="9"/>
  <c r="AE1108" i="2"/>
  <c r="AJ609" i="9"/>
  <c r="R610" i="9"/>
  <c r="V1109" i="2"/>
  <c r="AA610" i="9"/>
  <c r="AE1109" i="2"/>
  <c r="AE610" i="9"/>
  <c r="AI1109" i="2"/>
  <c r="R611" i="9"/>
  <c r="V1110" i="2"/>
  <c r="AA611" i="9"/>
  <c r="AE1110" i="2"/>
  <c r="AE611" i="9"/>
  <c r="AI1110" i="2"/>
  <c r="R612" i="9"/>
  <c r="V1111" i="2"/>
  <c r="Y612" i="9"/>
  <c r="AC1111" i="2"/>
  <c r="AA612" i="9"/>
  <c r="AE1111" i="2"/>
  <c r="AM614" i="9"/>
  <c r="AF616" i="9"/>
  <c r="AK616" i="9"/>
  <c r="O617" i="9"/>
  <c r="R617" i="9"/>
  <c r="Y617" i="9"/>
  <c r="Z617" i="9"/>
  <c r="AA617" i="9"/>
  <c r="AE617" i="9"/>
  <c r="V618" i="9"/>
  <c r="Z1113" i="2"/>
  <c r="AC618" i="9"/>
  <c r="AG1113" i="2"/>
  <c r="AD618" i="9"/>
  <c r="AH1113" i="2"/>
  <c r="AL618" i="9"/>
  <c r="AK614" i="9"/>
  <c r="R619" i="9"/>
  <c r="V1114" i="2"/>
  <c r="AA619" i="9"/>
  <c r="AE1114" i="2"/>
  <c r="AE619" i="9"/>
  <c r="AI1114" i="2"/>
  <c r="R620" i="9"/>
  <c r="V1115" i="2"/>
  <c r="Y620" i="9"/>
  <c r="AC1115" i="2"/>
  <c r="AA620" i="9"/>
  <c r="AE1115" i="2"/>
  <c r="Q621" i="9"/>
  <c r="U1116" i="2"/>
  <c r="R621" i="9"/>
  <c r="S621" i="9"/>
  <c r="W1116" i="2"/>
  <c r="T621" i="9"/>
  <c r="X1116" i="2"/>
  <c r="V621" i="9"/>
  <c r="Z1116" i="2"/>
  <c r="W621" i="9"/>
  <c r="AA1116" i="2"/>
  <c r="X621" i="9"/>
  <c r="AB1116" i="2"/>
  <c r="Z621" i="9"/>
  <c r="AB621" i="9"/>
  <c r="AF1116" i="2"/>
  <c r="AC621" i="9"/>
  <c r="AG1116" i="2"/>
  <c r="AD621" i="9"/>
  <c r="AH1116" i="2"/>
  <c r="AF621" i="9"/>
  <c r="AJ1116" i="2"/>
  <c r="AG621" i="9"/>
  <c r="AH621" i="9"/>
  <c r="AI621" i="9"/>
  <c r="AM1116" i="2"/>
  <c r="AL621" i="9"/>
  <c r="AM621" i="9"/>
  <c r="AM618" i="9"/>
  <c r="AL614" i="9"/>
  <c r="N622" i="9"/>
  <c r="Q1117" i="2"/>
  <c r="O622" i="9"/>
  <c r="R1117" i="2"/>
  <c r="P622" i="9"/>
  <c r="R622" i="9"/>
  <c r="V1117" i="2"/>
  <c r="Y622" i="9"/>
  <c r="AC1117" i="2"/>
  <c r="AA622" i="9"/>
  <c r="AE1117" i="2"/>
  <c r="AE622" i="9"/>
  <c r="AI1117" i="2"/>
  <c r="N623" i="9"/>
  <c r="Q1118" i="2"/>
  <c r="R623" i="9"/>
  <c r="V1118" i="2"/>
  <c r="AA623" i="9"/>
  <c r="AE1118" i="2"/>
  <c r="N624" i="9"/>
  <c r="Q1119" i="2"/>
  <c r="R624" i="9"/>
  <c r="V1119" i="2"/>
  <c r="Y624" i="9"/>
  <c r="AC1119" i="2"/>
  <c r="AA624" i="9"/>
  <c r="AE1119" i="2"/>
  <c r="AJ624" i="9"/>
  <c r="R625" i="9"/>
  <c r="V1120" i="2"/>
  <c r="AA625" i="9"/>
  <c r="AE1120" i="2"/>
  <c r="AE625" i="9"/>
  <c r="AI1120" i="2"/>
  <c r="R626" i="9"/>
  <c r="V1121" i="2"/>
  <c r="AA626" i="9"/>
  <c r="AE1121" i="2"/>
  <c r="AE626" i="9"/>
  <c r="AI1121" i="2"/>
  <c r="R627" i="9"/>
  <c r="V1122" i="2"/>
  <c r="Y627" i="9"/>
  <c r="AC1122" i="2"/>
  <c r="AA627" i="9"/>
  <c r="R629" i="9"/>
  <c r="V1123" i="2"/>
  <c r="Y629" i="9"/>
  <c r="AA629" i="9"/>
  <c r="AE1123" i="2"/>
  <c r="AE629" i="9"/>
  <c r="AI1123" i="2"/>
  <c r="Q630" i="9"/>
  <c r="U1124" i="2"/>
  <c r="S630" i="9"/>
  <c r="W1124" i="2"/>
  <c r="T630" i="9"/>
  <c r="X1124" i="2"/>
  <c r="U630" i="9"/>
  <c r="Y1124" i="2"/>
  <c r="V630" i="9"/>
  <c r="Z1124" i="2"/>
  <c r="W630" i="9"/>
  <c r="AA1124" i="2"/>
  <c r="X630" i="9"/>
  <c r="AB1124" i="2"/>
  <c r="Z630" i="9"/>
  <c r="AD1124" i="2"/>
  <c r="AB630" i="9"/>
  <c r="AF1124" i="2"/>
  <c r="AC630" i="9"/>
  <c r="AG1124" i="2"/>
  <c r="AD630" i="9"/>
  <c r="AH1124" i="2"/>
  <c r="AF630" i="9"/>
  <c r="AJ1124" i="2"/>
  <c r="AG630" i="9"/>
  <c r="AH630" i="9"/>
  <c r="AI630" i="9"/>
  <c r="AM1124" i="2"/>
  <c r="AL630" i="9"/>
  <c r="AM630" i="9"/>
  <c r="N631" i="9"/>
  <c r="Q1125" i="2"/>
  <c r="R631" i="9"/>
  <c r="V1125" i="2"/>
  <c r="AA631" i="9"/>
  <c r="AE1125" i="2"/>
  <c r="N632" i="9"/>
  <c r="Q1126" i="2"/>
  <c r="R632" i="9"/>
  <c r="V1126" i="2"/>
  <c r="Y632" i="9"/>
  <c r="AC1126" i="2"/>
  <c r="AA632" i="9"/>
  <c r="AE1126" i="2"/>
  <c r="AJ632" i="9"/>
  <c r="R633" i="9"/>
  <c r="V1127" i="2"/>
  <c r="AA633" i="9"/>
  <c r="AE1127" i="2"/>
  <c r="AE633" i="9"/>
  <c r="AI1127" i="2"/>
  <c r="R634" i="9"/>
  <c r="V1128" i="2"/>
  <c r="AA634" i="9"/>
  <c r="AE1128" i="2"/>
  <c r="AE634" i="9"/>
  <c r="AI1128" i="2"/>
  <c r="R635" i="9"/>
  <c r="V1129" i="2"/>
  <c r="Y635" i="9"/>
  <c r="AC1129" i="2"/>
  <c r="AA635" i="9"/>
  <c r="R636" i="9"/>
  <c r="V1130" i="2"/>
  <c r="Y636" i="9"/>
  <c r="AA636" i="9"/>
  <c r="AE1130" i="2"/>
  <c r="AE636" i="9"/>
  <c r="AI1130" i="2"/>
  <c r="R637" i="9"/>
  <c r="AA637" i="9"/>
  <c r="AE1131" i="2"/>
  <c r="N638" i="9"/>
  <c r="Q1132" i="2"/>
  <c r="O638" i="9"/>
  <c r="R1132" i="2"/>
  <c r="P638" i="9"/>
  <c r="R638" i="9"/>
  <c r="V1132" i="2"/>
  <c r="Y638" i="9"/>
  <c r="AC1132" i="2"/>
  <c r="AA638" i="9"/>
  <c r="AE1132" i="2"/>
  <c r="AE638" i="9"/>
  <c r="AI1132" i="2"/>
  <c r="N639" i="9"/>
  <c r="Q1133" i="2"/>
  <c r="R639" i="9"/>
  <c r="V1133" i="2"/>
  <c r="AA639" i="9"/>
  <c r="AE1133" i="2"/>
  <c r="N640" i="9"/>
  <c r="Q1134" i="2"/>
  <c r="R640" i="9"/>
  <c r="V1134" i="2"/>
  <c r="Y640" i="9"/>
  <c r="AC1134" i="2"/>
  <c r="AA640" i="9"/>
  <c r="AE1134" i="2"/>
  <c r="AJ640" i="9"/>
  <c r="Q641" i="9"/>
  <c r="U1135" i="2"/>
  <c r="S641" i="9"/>
  <c r="W1135" i="2"/>
  <c r="T641" i="9"/>
  <c r="X1135" i="2"/>
  <c r="U641" i="9"/>
  <c r="V641" i="9"/>
  <c r="Z1135" i="2"/>
  <c r="W641" i="9"/>
  <c r="AA1135" i="2"/>
  <c r="X641" i="9"/>
  <c r="AB1135" i="2"/>
  <c r="Z641" i="9"/>
  <c r="AD1135" i="2"/>
  <c r="AB641" i="9"/>
  <c r="AF1135" i="2"/>
  <c r="AC641" i="9"/>
  <c r="AG1135" i="2"/>
  <c r="AD641" i="9"/>
  <c r="AH1135" i="2"/>
  <c r="AF641" i="9"/>
  <c r="AJ1135" i="2"/>
  <c r="AG641" i="9"/>
  <c r="AH641" i="9"/>
  <c r="AI641" i="9"/>
  <c r="AM1135" i="2"/>
  <c r="AL641" i="9"/>
  <c r="AM641" i="9"/>
  <c r="R642" i="9"/>
  <c r="V1136" i="2"/>
  <c r="Y642" i="9"/>
  <c r="AA642" i="9"/>
  <c r="R643" i="9"/>
  <c r="V1137" i="2"/>
  <c r="Y643" i="9"/>
  <c r="AA643" i="9"/>
  <c r="AE1137" i="2"/>
  <c r="AE643" i="9"/>
  <c r="AI1137" i="2"/>
  <c r="R644" i="9"/>
  <c r="AA644" i="9"/>
  <c r="AE1138" i="2"/>
  <c r="N645" i="9"/>
  <c r="Q1139" i="2"/>
  <c r="O645" i="9"/>
  <c r="R1139" i="2"/>
  <c r="P645" i="9"/>
  <c r="R645" i="9"/>
  <c r="V1139" i="2"/>
  <c r="Y645" i="9"/>
  <c r="AC1139" i="2"/>
  <c r="AA645" i="9"/>
  <c r="AE1139" i="2"/>
  <c r="AE645" i="9"/>
  <c r="AI1139" i="2"/>
  <c r="N646" i="9"/>
  <c r="Q1140" i="2"/>
  <c r="R646" i="9"/>
  <c r="V1140" i="2"/>
  <c r="AA646" i="9"/>
  <c r="AE1140" i="2"/>
  <c r="N647" i="9"/>
  <c r="Q1141" i="2"/>
  <c r="R647" i="9"/>
  <c r="V1141" i="2"/>
  <c r="Y647" i="9"/>
  <c r="AA647" i="9"/>
  <c r="AE1141" i="2"/>
  <c r="AE647" i="9"/>
  <c r="AI1141" i="2"/>
  <c r="AJ647" i="9"/>
  <c r="AK647" i="9"/>
  <c r="R648" i="9"/>
  <c r="V1142" i="2"/>
  <c r="AA648" i="9"/>
  <c r="AE1142" i="2"/>
  <c r="AE648" i="9"/>
  <c r="AI1142" i="2"/>
  <c r="R649" i="9"/>
  <c r="V1143" i="2"/>
  <c r="Y649" i="9"/>
  <c r="AC1143" i="2"/>
  <c r="AA649" i="9"/>
  <c r="AE1143" i="2"/>
  <c r="AE649" i="9"/>
  <c r="AF651" i="9"/>
  <c r="AK651" i="9"/>
  <c r="AK658" i="9"/>
  <c r="AK687" i="9"/>
  <c r="AK695" i="9"/>
  <c r="AK704" i="9"/>
  <c r="O652" i="9"/>
  <c r="R652" i="9"/>
  <c r="R659" i="9"/>
  <c r="R688" i="9"/>
  <c r="R696" i="9"/>
  <c r="R705" i="9"/>
  <c r="Y652" i="9"/>
  <c r="Z652" i="9"/>
  <c r="AA652" i="9"/>
  <c r="AE652" i="9"/>
  <c r="AE659" i="9"/>
  <c r="AE688" i="9"/>
  <c r="AE696" i="9"/>
  <c r="AE705" i="9"/>
  <c r="R653" i="9"/>
  <c r="AA653" i="9"/>
  <c r="AE1144" i="2"/>
  <c r="AM656" i="9"/>
  <c r="AF658" i="9"/>
  <c r="AF687" i="9"/>
  <c r="AF695" i="9"/>
  <c r="AF704" i="9"/>
  <c r="O659" i="9"/>
  <c r="Y659" i="9"/>
  <c r="Z659" i="9"/>
  <c r="AA659" i="9"/>
  <c r="AA688" i="9"/>
  <c r="AA696" i="9"/>
  <c r="AA705" i="9"/>
  <c r="AB660" i="9"/>
  <c r="AF1146" i="2"/>
  <c r="N661" i="9"/>
  <c r="Q1147" i="2"/>
  <c r="Q661" i="9"/>
  <c r="U1147" i="2"/>
  <c r="R661" i="9"/>
  <c r="S661" i="9"/>
  <c r="W1147" i="2"/>
  <c r="T661" i="9"/>
  <c r="X1147" i="2"/>
  <c r="U661" i="9"/>
  <c r="Y1147" i="2"/>
  <c r="V661" i="9"/>
  <c r="Z1147" i="2"/>
  <c r="W661" i="9"/>
  <c r="AA1147" i="2"/>
  <c r="X661" i="9"/>
  <c r="AB1147" i="2"/>
  <c r="Z661" i="9"/>
  <c r="AB661" i="9"/>
  <c r="AF1147" i="2"/>
  <c r="AC661" i="9"/>
  <c r="AG1147" i="2"/>
  <c r="AD661" i="9"/>
  <c r="AH1147" i="2"/>
  <c r="AF661" i="9"/>
  <c r="AJ1147" i="2"/>
  <c r="AG661" i="9"/>
  <c r="AH661" i="9"/>
  <c r="AI661" i="9"/>
  <c r="AM1147" i="2"/>
  <c r="AL661" i="9"/>
  <c r="AL660" i="9"/>
  <c r="AK656" i="9"/>
  <c r="AM661" i="9"/>
  <c r="N662" i="9"/>
  <c r="Q1148" i="2"/>
  <c r="O662" i="9"/>
  <c r="R1148" i="2"/>
  <c r="P662" i="9"/>
  <c r="R662" i="9"/>
  <c r="V1148" i="2"/>
  <c r="Y662" i="9"/>
  <c r="AC1148" i="2"/>
  <c r="AE662" i="9"/>
  <c r="AI1148" i="2"/>
  <c r="AJ662" i="9"/>
  <c r="N663" i="9"/>
  <c r="Q1149" i="2"/>
  <c r="O663" i="9"/>
  <c r="R1149" i="2"/>
  <c r="P663" i="9"/>
  <c r="R663" i="9"/>
  <c r="V1149" i="2"/>
  <c r="Y663" i="9"/>
  <c r="AC1149" i="2"/>
  <c r="AA663" i="9"/>
  <c r="AE1149" i="2"/>
  <c r="AE663" i="9"/>
  <c r="AI1149" i="2"/>
  <c r="Q664" i="9"/>
  <c r="U1150" i="2"/>
  <c r="S664" i="9"/>
  <c r="W1150" i="2"/>
  <c r="T664" i="9"/>
  <c r="X1150" i="2"/>
  <c r="U664" i="9"/>
  <c r="Y1150" i="2"/>
  <c r="V664" i="9"/>
  <c r="Z1150" i="2"/>
  <c r="W664" i="9"/>
  <c r="AA1150" i="2"/>
  <c r="X664" i="9"/>
  <c r="AB1150" i="2"/>
  <c r="Z664" i="9"/>
  <c r="AD1150" i="2"/>
  <c r="AA664" i="9"/>
  <c r="AE1150" i="2"/>
  <c r="AB664" i="9"/>
  <c r="AF1150" i="2"/>
  <c r="AC664" i="9"/>
  <c r="AG1150" i="2"/>
  <c r="AD664" i="9"/>
  <c r="AH1150" i="2"/>
  <c r="AE664" i="9"/>
  <c r="AI1150" i="2"/>
  <c r="AF664" i="9"/>
  <c r="AJ1150" i="2"/>
  <c r="AG664" i="9"/>
  <c r="AH664" i="9"/>
  <c r="AI664" i="9"/>
  <c r="AM1150" i="2"/>
  <c r="AL664" i="9"/>
  <c r="AM664" i="9"/>
  <c r="R665" i="9"/>
  <c r="V1151" i="2"/>
  <c r="AE665" i="9"/>
  <c r="AI1151" i="2"/>
  <c r="R666" i="9"/>
  <c r="V1152" i="2"/>
  <c r="AA666" i="9"/>
  <c r="AE1152" i="2"/>
  <c r="AE666" i="9"/>
  <c r="AI1152" i="2"/>
  <c r="Q667" i="9"/>
  <c r="U1153" i="2"/>
  <c r="S667" i="9"/>
  <c r="W1153" i="2"/>
  <c r="T667" i="9"/>
  <c r="X1153" i="2"/>
  <c r="U667" i="9"/>
  <c r="Y1153" i="2"/>
  <c r="V667" i="9"/>
  <c r="Z1153" i="2"/>
  <c r="W667" i="9"/>
  <c r="AA1153" i="2"/>
  <c r="X667" i="9"/>
  <c r="AB1153" i="2"/>
  <c r="Z667" i="9"/>
  <c r="AD1153" i="2"/>
  <c r="AA667" i="9"/>
  <c r="AE1153" i="2"/>
  <c r="AB667" i="9"/>
  <c r="AF1153" i="2"/>
  <c r="AC667" i="9"/>
  <c r="AG1153" i="2"/>
  <c r="AD667" i="9"/>
  <c r="AH1153" i="2"/>
  <c r="AF667" i="9"/>
  <c r="AJ1153" i="2"/>
  <c r="AG667" i="9"/>
  <c r="AH667" i="9"/>
  <c r="AI667" i="9"/>
  <c r="AM1153" i="2"/>
  <c r="AL667" i="9"/>
  <c r="AM667" i="9"/>
  <c r="R668" i="9"/>
  <c r="V1154" i="2"/>
  <c r="Y668" i="9"/>
  <c r="AE668" i="9"/>
  <c r="AI1154" i="2"/>
  <c r="R669" i="9"/>
  <c r="V1155" i="2"/>
  <c r="Y669" i="9"/>
  <c r="AA669" i="9"/>
  <c r="AE1155" i="2"/>
  <c r="AE669" i="9"/>
  <c r="AI1155" i="2"/>
  <c r="R670" i="9"/>
  <c r="AA670" i="9"/>
  <c r="AE1156" i="2"/>
  <c r="N671" i="9"/>
  <c r="Q1157" i="2"/>
  <c r="O671" i="9"/>
  <c r="R1157" i="2"/>
  <c r="P671" i="9"/>
  <c r="R671" i="9"/>
  <c r="V1157" i="2"/>
  <c r="Y671" i="9"/>
  <c r="AC1157" i="2"/>
  <c r="AA671" i="9"/>
  <c r="AE1157" i="2"/>
  <c r="AE671" i="9"/>
  <c r="AI1157" i="2"/>
  <c r="N672" i="9"/>
  <c r="Q1158" i="2"/>
  <c r="R672" i="9"/>
  <c r="V1158" i="2"/>
  <c r="AA672" i="9"/>
  <c r="AE1158" i="2"/>
  <c r="N673" i="9"/>
  <c r="Q1159" i="2"/>
  <c r="R673" i="9"/>
  <c r="V1159" i="2"/>
  <c r="Y673" i="9"/>
  <c r="AC1159" i="2"/>
  <c r="AA673" i="9"/>
  <c r="AE1159" i="2"/>
  <c r="AE673" i="9"/>
  <c r="AI1159" i="2"/>
  <c r="AJ673" i="9"/>
  <c r="AK673" i="9"/>
  <c r="R674" i="9"/>
  <c r="V1160" i="2"/>
  <c r="AA674" i="9"/>
  <c r="AE1160" i="2"/>
  <c r="AE674" i="9"/>
  <c r="AI1160" i="2"/>
  <c r="R675" i="9"/>
  <c r="V1161" i="2"/>
  <c r="Y675" i="9"/>
  <c r="AC1161" i="2"/>
  <c r="AA675" i="9"/>
  <c r="AE1161" i="2"/>
  <c r="AE675" i="9"/>
  <c r="R676" i="9"/>
  <c r="V1162" i="2"/>
  <c r="Y676" i="9"/>
  <c r="AC1162" i="2"/>
  <c r="AA676" i="9"/>
  <c r="R677" i="9"/>
  <c r="V1163" i="2"/>
  <c r="Y677" i="9"/>
  <c r="AA677" i="9"/>
  <c r="AE1163" i="2"/>
  <c r="AE677" i="9"/>
  <c r="AI1163" i="2"/>
  <c r="R678" i="9"/>
  <c r="AA678" i="9"/>
  <c r="AE1164" i="2"/>
  <c r="N679" i="9"/>
  <c r="Q1165" i="2"/>
  <c r="O679" i="9"/>
  <c r="R1165" i="2"/>
  <c r="P679" i="9"/>
  <c r="R679" i="9"/>
  <c r="V1165" i="2"/>
  <c r="Y679" i="9"/>
  <c r="AC1165" i="2"/>
  <c r="AA679" i="9"/>
  <c r="AE1165" i="2"/>
  <c r="AE679" i="9"/>
  <c r="AI1165" i="2"/>
  <c r="N680" i="9"/>
  <c r="Q1166" i="2"/>
  <c r="R680" i="9"/>
  <c r="V1166" i="2"/>
  <c r="AA680" i="9"/>
  <c r="AE1166" i="2"/>
  <c r="O684" i="9"/>
  <c r="S685" i="9"/>
  <c r="W1167" i="2"/>
  <c r="U685" i="9"/>
  <c r="Y1167" i="2"/>
  <c r="Z685" i="9"/>
  <c r="AD1167" i="2"/>
  <c r="AE685" i="9"/>
  <c r="AI1167" i="2"/>
  <c r="AG685" i="9"/>
  <c r="AH685" i="9"/>
  <c r="AM685" i="9"/>
  <c r="O688" i="9"/>
  <c r="Y688" i="9"/>
  <c r="Z688" i="9"/>
  <c r="Q689" i="9"/>
  <c r="U1168" i="2"/>
  <c r="S689" i="9"/>
  <c r="W1168" i="2"/>
  <c r="T689" i="9"/>
  <c r="X1168" i="2"/>
  <c r="U689" i="9"/>
  <c r="Y1168" i="2"/>
  <c r="V689" i="9"/>
  <c r="Z1168" i="2"/>
  <c r="W689" i="9"/>
  <c r="X689" i="9"/>
  <c r="AB1168" i="2"/>
  <c r="Z689" i="9"/>
  <c r="AD1168" i="2"/>
  <c r="AB689" i="9"/>
  <c r="AF1168" i="2"/>
  <c r="AC689" i="9"/>
  <c r="AG1168" i="2"/>
  <c r="AD689" i="9"/>
  <c r="AH1168" i="2"/>
  <c r="AF689" i="9"/>
  <c r="AJ1168" i="2"/>
  <c r="AG689" i="9"/>
  <c r="AF685" i="9"/>
  <c r="AJ1167" i="2"/>
  <c r="AH689" i="9"/>
  <c r="AI689" i="9"/>
  <c r="AM1168" i="2"/>
  <c r="AL689" i="9"/>
  <c r="AK685" i="9"/>
  <c r="AM689" i="9"/>
  <c r="AL685" i="9"/>
  <c r="R690" i="9"/>
  <c r="V1169" i="2"/>
  <c r="AA690" i="9"/>
  <c r="AE1169" i="2"/>
  <c r="AE690" i="9"/>
  <c r="AI1169" i="2"/>
  <c r="R691" i="9"/>
  <c r="V1170" i="2"/>
  <c r="Y691" i="9"/>
  <c r="AC1170" i="2"/>
  <c r="AA691" i="9"/>
  <c r="AE1170" i="2"/>
  <c r="AE691" i="9"/>
  <c r="R692" i="9"/>
  <c r="V1171" i="2"/>
  <c r="Y692" i="9"/>
  <c r="AC1171" i="2"/>
  <c r="AA692" i="9"/>
  <c r="R693" i="9"/>
  <c r="V1172" i="2"/>
  <c r="Y693" i="9"/>
  <c r="AA693" i="9"/>
  <c r="AE1172" i="2"/>
  <c r="AE693" i="9"/>
  <c r="AI1172" i="2"/>
  <c r="O696" i="9"/>
  <c r="Y696" i="9"/>
  <c r="Z696" i="9"/>
  <c r="Z705" i="9"/>
  <c r="N697" i="9"/>
  <c r="Q1173" i="2"/>
  <c r="R697" i="9"/>
  <c r="V1173" i="2"/>
  <c r="AA697" i="9"/>
  <c r="AE1173" i="2"/>
  <c r="O701" i="9"/>
  <c r="O705" i="9"/>
  <c r="Y705" i="9"/>
  <c r="R706" i="9"/>
  <c r="V1175" i="2"/>
  <c r="N707" i="9"/>
  <c r="R707" i="9"/>
  <c r="V1176" i="2"/>
  <c r="Y707" i="9"/>
  <c r="AC1176" i="2"/>
  <c r="AA707" i="9"/>
  <c r="AE1176" i="2"/>
  <c r="AE707" i="9"/>
  <c r="AI1176" i="2"/>
  <c r="AJ707" i="9"/>
  <c r="AK707" i="9"/>
  <c r="R708" i="9"/>
  <c r="V1177" i="2"/>
  <c r="AA708" i="9"/>
  <c r="AE1177" i="2"/>
  <c r="AE708" i="9"/>
  <c r="AI1177" i="2"/>
  <c r="R709" i="9"/>
  <c r="V1178" i="2"/>
  <c r="Y709" i="9"/>
  <c r="AC1178" i="2"/>
  <c r="AA709" i="9"/>
  <c r="AE1178" i="2"/>
  <c r="AE709" i="9"/>
  <c r="R710" i="9"/>
  <c r="V1179" i="2"/>
  <c r="Y710" i="9"/>
  <c r="AC1179" i="2"/>
  <c r="AA710" i="9"/>
  <c r="R711" i="9"/>
  <c r="V1180" i="2"/>
  <c r="Y711" i="9"/>
  <c r="AA711" i="9"/>
  <c r="AE1180" i="2"/>
  <c r="AE711" i="9"/>
  <c r="AI1180" i="2"/>
  <c r="Q712" i="9"/>
  <c r="U712" i="9"/>
  <c r="Y1181" i="2"/>
  <c r="X712" i="9"/>
  <c r="AB1181" i="2"/>
  <c r="AC712" i="9"/>
  <c r="AG1181" i="2"/>
  <c r="AF712" i="9"/>
  <c r="AJ1181" i="2"/>
  <c r="AG712" i="9"/>
  <c r="Q713" i="9"/>
  <c r="U1182" i="2"/>
  <c r="S713" i="9"/>
  <c r="W1182" i="2"/>
  <c r="T713" i="9"/>
  <c r="X1182" i="2"/>
  <c r="U713" i="9"/>
  <c r="Y1182" i="2"/>
  <c r="V713" i="9"/>
  <c r="Z1182" i="2"/>
  <c r="W713" i="9"/>
  <c r="X713" i="9"/>
  <c r="AB1182" i="2"/>
  <c r="Z713" i="9"/>
  <c r="AD1182" i="2"/>
  <c r="AB713" i="9"/>
  <c r="AF1182" i="2"/>
  <c r="AC713" i="9"/>
  <c r="AG1182" i="2"/>
  <c r="AD713" i="9"/>
  <c r="AH1182" i="2"/>
  <c r="AF713" i="9"/>
  <c r="AJ1182" i="2"/>
  <c r="AG713" i="9"/>
  <c r="AH713" i="9"/>
  <c r="AI713" i="9"/>
  <c r="AM1182" i="2"/>
  <c r="AL713" i="9"/>
  <c r="AL712" i="9"/>
  <c r="AK702" i="9"/>
  <c r="AM713" i="9"/>
  <c r="AM712" i="9"/>
  <c r="AL702" i="9"/>
  <c r="R714" i="9"/>
  <c r="V1183" i="2"/>
  <c r="AA714" i="9"/>
  <c r="AE1183" i="2"/>
  <c r="AE714" i="9"/>
  <c r="AI1183" i="2"/>
  <c r="R715" i="9"/>
  <c r="V1184" i="2"/>
  <c r="Y715" i="9"/>
  <c r="AC1184" i="2"/>
  <c r="AA715" i="9"/>
  <c r="AE1184" i="2"/>
  <c r="AE715" i="9"/>
  <c r="AI1184" i="2"/>
  <c r="Q716" i="9"/>
  <c r="U1185" i="2"/>
  <c r="S716" i="9"/>
  <c r="W1185" i="2"/>
  <c r="T716" i="9"/>
  <c r="X1185" i="2"/>
  <c r="U716" i="9"/>
  <c r="Y1185" i="2"/>
  <c r="V716" i="9"/>
  <c r="Z1185" i="2"/>
  <c r="W716" i="9"/>
  <c r="AA1185" i="2"/>
  <c r="X716" i="9"/>
  <c r="AB1185" i="2"/>
  <c r="Z716" i="9"/>
  <c r="AD1185" i="2"/>
  <c r="AA716" i="9"/>
  <c r="AB716" i="9"/>
  <c r="AF1185" i="2"/>
  <c r="AC716" i="9"/>
  <c r="AG1185" i="2"/>
  <c r="AD716" i="9"/>
  <c r="AH1185" i="2"/>
  <c r="AF716" i="9"/>
  <c r="AJ1185" i="2"/>
  <c r="AG716" i="9"/>
  <c r="AH716" i="9"/>
  <c r="AI716" i="9"/>
  <c r="AM1185" i="2"/>
  <c r="AL716" i="9"/>
  <c r="AM716" i="9"/>
  <c r="R717" i="9"/>
  <c r="AA717" i="9"/>
  <c r="AE1186" i="2"/>
  <c r="N718" i="9"/>
  <c r="Q1187" i="2"/>
  <c r="O718" i="9"/>
  <c r="R1187" i="2"/>
  <c r="P718" i="9"/>
  <c r="R718" i="9"/>
  <c r="V1187" i="2"/>
  <c r="Y718" i="9"/>
  <c r="AC1187" i="2"/>
  <c r="AA718" i="9"/>
  <c r="AE1187" i="2"/>
  <c r="AE718" i="9"/>
  <c r="AI1187" i="2"/>
  <c r="N719" i="9"/>
  <c r="Q1188" i="2"/>
  <c r="R719" i="9"/>
  <c r="V1188" i="2"/>
  <c r="AA719" i="9"/>
  <c r="AE1188" i="2"/>
  <c r="N720" i="9"/>
  <c r="Q1189" i="2"/>
  <c r="R720" i="9"/>
  <c r="V1189" i="2"/>
  <c r="Y720" i="9"/>
  <c r="AC1189" i="2"/>
  <c r="AA720" i="9"/>
  <c r="AE1189" i="2"/>
  <c r="AE720" i="9"/>
  <c r="AI1189" i="2"/>
  <c r="AJ720" i="9"/>
  <c r="AK720" i="9"/>
  <c r="R721" i="9"/>
  <c r="V1190" i="2"/>
  <c r="AA721" i="9"/>
  <c r="AE1190" i="2"/>
  <c r="AE721" i="9"/>
  <c r="AI1190" i="2"/>
  <c r="Q722" i="9"/>
  <c r="U1191" i="2"/>
  <c r="S722" i="9"/>
  <c r="W1191" i="2"/>
  <c r="T722" i="9"/>
  <c r="X1191" i="2"/>
  <c r="U722" i="9"/>
  <c r="Y1191" i="2"/>
  <c r="V722" i="9"/>
  <c r="Z1191" i="2"/>
  <c r="W722" i="9"/>
  <c r="AA1191" i="2"/>
  <c r="X722" i="9"/>
  <c r="AB1191" i="2"/>
  <c r="Z722" i="9"/>
  <c r="AD1191" i="2"/>
  <c r="AA722" i="9"/>
  <c r="AE1191" i="2"/>
  <c r="AB722" i="9"/>
  <c r="AF1191" i="2"/>
  <c r="AC722" i="9"/>
  <c r="AG1191" i="2"/>
  <c r="AD722" i="9"/>
  <c r="AH1191" i="2"/>
  <c r="AF722" i="9"/>
  <c r="AJ1191" i="2"/>
  <c r="AG722" i="9"/>
  <c r="AH722" i="9"/>
  <c r="AI722" i="9"/>
  <c r="AM1191" i="2"/>
  <c r="AL722" i="9"/>
  <c r="AM722" i="9"/>
  <c r="R723" i="9"/>
  <c r="V1192" i="2"/>
  <c r="Y723" i="9"/>
  <c r="AA723" i="9"/>
  <c r="AE1192" i="2"/>
  <c r="AE723" i="9"/>
  <c r="AI1192" i="2"/>
  <c r="R724" i="9"/>
  <c r="AA724" i="9"/>
  <c r="AE1193" i="2"/>
  <c r="Q727" i="9"/>
  <c r="U1194" i="2"/>
  <c r="S727" i="9"/>
  <c r="W1194" i="2"/>
  <c r="T727" i="9"/>
  <c r="X1194" i="2"/>
  <c r="U727" i="9"/>
  <c r="Y1194" i="2"/>
  <c r="W727" i="9"/>
  <c r="AA1194" i="2"/>
  <c r="X727" i="9"/>
  <c r="AB1194" i="2"/>
  <c r="AB727" i="9"/>
  <c r="AF1194" i="2"/>
  <c r="O729" i="9"/>
  <c r="R729" i="9"/>
  <c r="N730" i="9"/>
  <c r="Q1195" i="2"/>
  <c r="R730" i="9"/>
  <c r="V1195" i="2"/>
  <c r="V730" i="9"/>
  <c r="Z1195" i="2"/>
  <c r="X730" i="9"/>
  <c r="AB1195" i="2"/>
  <c r="Y730" i="9"/>
  <c r="Z730" i="9"/>
  <c r="AD1195" i="2"/>
  <c r="AA730" i="9"/>
  <c r="AE1195" i="2"/>
  <c r="AB730" i="9"/>
  <c r="AF1195" i="2"/>
  <c r="R731" i="9"/>
  <c r="X731" i="9"/>
  <c r="AB1196" i="2"/>
  <c r="Y731" i="9"/>
  <c r="AC1196" i="2"/>
  <c r="Z731" i="9"/>
  <c r="AD1196" i="2"/>
  <c r="AA731" i="9"/>
  <c r="AE1196" i="2"/>
  <c r="AB731" i="9"/>
  <c r="AF1196" i="2"/>
  <c r="N732" i="9"/>
  <c r="Q1197" i="2"/>
  <c r="R732" i="9"/>
  <c r="V1197" i="2"/>
  <c r="V732" i="9"/>
  <c r="Z1197" i="2"/>
  <c r="X732" i="9"/>
  <c r="AB1197" i="2"/>
  <c r="Y732" i="9"/>
  <c r="AC1197" i="2"/>
  <c r="Z732" i="9"/>
  <c r="AD1197" i="2"/>
  <c r="AA732" i="9"/>
  <c r="AE1197" i="2"/>
  <c r="AB732" i="9"/>
  <c r="AF1197" i="2"/>
  <c r="R733" i="9"/>
  <c r="V1198" i="2"/>
  <c r="V733" i="9"/>
  <c r="Z1198" i="2"/>
  <c r="AC733" i="9"/>
  <c r="Q736" i="9"/>
  <c r="U1199" i="2"/>
  <c r="S736" i="9"/>
  <c r="W1199" i="2"/>
  <c r="T736" i="9"/>
  <c r="X1199" i="2"/>
  <c r="U736" i="9"/>
  <c r="Y1199" i="2"/>
  <c r="O738" i="9"/>
  <c r="R739" i="9"/>
  <c r="N740" i="9"/>
  <c r="Q1201" i="2"/>
  <c r="R740" i="9"/>
  <c r="V1201" i="2"/>
  <c r="V740" i="9"/>
  <c r="Z1201" i="2"/>
  <c r="N741" i="9"/>
  <c r="Q1202" i="2"/>
  <c r="R741" i="9"/>
  <c r="V1202" i="2"/>
  <c r="R742" i="9"/>
  <c r="V1203" i="2"/>
  <c r="V742" i="9"/>
  <c r="Q748" i="9"/>
  <c r="U1205" i="2"/>
  <c r="R748" i="9"/>
  <c r="V1205" i="2"/>
  <c r="S748" i="9"/>
  <c r="W1205" i="2"/>
  <c r="T748" i="9"/>
  <c r="X1205" i="2"/>
  <c r="O750" i="9"/>
  <c r="T750" i="9"/>
  <c r="H440" i="10"/>
  <c r="H470" i="10"/>
  <c r="H730" i="10"/>
  <c r="H760" i="10"/>
  <c r="U750" i="9"/>
  <c r="I440" i="10"/>
  <c r="I470" i="10"/>
  <c r="I730" i="10"/>
  <c r="I760" i="10"/>
  <c r="N751" i="9"/>
  <c r="Q1206" i="2"/>
  <c r="R751" i="9"/>
  <c r="V1206" i="2"/>
  <c r="T751" i="9"/>
  <c r="X1206" i="2"/>
  <c r="U751" i="9"/>
  <c r="Y1206" i="2"/>
  <c r="Q752" i="9"/>
  <c r="U1207" i="2"/>
  <c r="R752" i="9"/>
  <c r="V1207" i="2"/>
  <c r="T752" i="9"/>
  <c r="X1207" i="2"/>
  <c r="U752" i="9"/>
  <c r="Y1207" i="2"/>
  <c r="N753" i="9"/>
  <c r="Q1208" i="2"/>
  <c r="O753" i="9"/>
  <c r="R753" i="9"/>
  <c r="V1208" i="2"/>
  <c r="O754" i="9"/>
  <c r="R1209" i="2"/>
  <c r="R754" i="9"/>
  <c r="V1209" i="2"/>
  <c r="N755" i="9"/>
  <c r="Q1210" i="2"/>
  <c r="O755" i="9"/>
  <c r="R755" i="9"/>
  <c r="V1210" i="2"/>
  <c r="Q758" i="9"/>
  <c r="U1211" i="2"/>
  <c r="R758" i="9"/>
  <c r="V1211" i="2"/>
  <c r="S758" i="9"/>
  <c r="W1211" i="2"/>
  <c r="U758" i="9"/>
  <c r="Y1211" i="2"/>
  <c r="O760" i="9"/>
  <c r="T760" i="9"/>
  <c r="U760" i="9"/>
  <c r="O761" i="9"/>
  <c r="R1212" i="2"/>
  <c r="R761" i="9"/>
  <c r="V1212" i="2"/>
  <c r="T761" i="9"/>
  <c r="X1212" i="2"/>
  <c r="U761" i="9"/>
  <c r="Y1212" i="2"/>
  <c r="N762" i="9"/>
  <c r="Q1213" i="2"/>
  <c r="O762" i="9"/>
  <c r="R762" i="9"/>
  <c r="V1213" i="2"/>
  <c r="O768" i="9"/>
  <c r="R769" i="9"/>
  <c r="V1215" i="2"/>
  <c r="V769" i="9"/>
  <c r="Z1215" i="2"/>
  <c r="N770" i="9"/>
  <c r="Q1216" i="2"/>
  <c r="R770" i="9"/>
  <c r="V1216" i="2"/>
  <c r="V770" i="9"/>
  <c r="Z1216" i="2"/>
  <c r="R771" i="9"/>
  <c r="N772" i="9"/>
  <c r="Q1218" i="2"/>
  <c r="R772" i="9"/>
  <c r="V1218" i="2"/>
  <c r="V772" i="9"/>
  <c r="Z1218" i="2"/>
  <c r="Q773" i="9"/>
  <c r="U1219" i="2"/>
  <c r="S773" i="9"/>
  <c r="W1219" i="2"/>
  <c r="T773" i="9"/>
  <c r="X1219" i="2"/>
  <c r="N775" i="9"/>
  <c r="Q1221" i="2"/>
  <c r="R775" i="9"/>
  <c r="V1221" i="2"/>
  <c r="R776" i="9"/>
  <c r="V1222" i="2"/>
  <c r="V776" i="9"/>
  <c r="R777" i="9"/>
  <c r="V1223" i="2"/>
  <c r="N779" i="9"/>
  <c r="Q1225" i="2"/>
  <c r="O779" i="9"/>
  <c r="R1225" i="2"/>
  <c r="P779" i="9"/>
  <c r="R779" i="9"/>
  <c r="V1225" i="2"/>
  <c r="V779" i="9"/>
  <c r="Z1225" i="2"/>
  <c r="R780" i="9"/>
  <c r="V1226" i="2"/>
  <c r="V780" i="9"/>
  <c r="Z1226" i="2"/>
  <c r="N781" i="9"/>
  <c r="Q1227" i="2"/>
  <c r="R781" i="9"/>
  <c r="V1227" i="2"/>
  <c r="V781" i="9"/>
  <c r="Z1227" i="2"/>
  <c r="R782" i="9"/>
  <c r="N784" i="9"/>
  <c r="Q1230" i="2"/>
  <c r="R784" i="9"/>
  <c r="V1230" i="2"/>
  <c r="V784" i="9"/>
  <c r="Z1230" i="2"/>
  <c r="N785" i="9"/>
  <c r="Q1231" i="2"/>
  <c r="R785" i="9"/>
  <c r="V1231" i="2"/>
  <c r="R786" i="9"/>
  <c r="V1232" i="2"/>
  <c r="V786" i="9"/>
  <c r="R787" i="9"/>
  <c r="V1233" i="2"/>
  <c r="S792" i="9"/>
  <c r="O794" i="9"/>
  <c r="R795" i="9"/>
  <c r="V1236" i="2"/>
  <c r="Y795" i="9"/>
  <c r="AC1236" i="2"/>
  <c r="Z795" i="9"/>
  <c r="Q796" i="9"/>
  <c r="U1237" i="2"/>
  <c r="T796" i="9"/>
  <c r="X1237" i="2"/>
  <c r="U796" i="9"/>
  <c r="Y1237" i="2"/>
  <c r="V796" i="9"/>
  <c r="AB796" i="9"/>
  <c r="AF1237" i="2"/>
  <c r="AC796" i="9"/>
  <c r="AG1237" i="2"/>
  <c r="N797" i="9"/>
  <c r="R797" i="9"/>
  <c r="V1238" i="2"/>
  <c r="Y797" i="9"/>
  <c r="AC1238" i="2"/>
  <c r="Q798" i="9"/>
  <c r="U1239" i="2"/>
  <c r="T798" i="9"/>
  <c r="X1239" i="2"/>
  <c r="U798" i="9"/>
  <c r="Y1239" i="2"/>
  <c r="V798" i="9"/>
  <c r="Z1239" i="2"/>
  <c r="W798" i="9"/>
  <c r="AA1239" i="2"/>
  <c r="X798" i="9"/>
  <c r="AB1239" i="2"/>
  <c r="Y798" i="9"/>
  <c r="AC1239" i="2"/>
  <c r="AA798" i="9"/>
  <c r="AE1239" i="2"/>
  <c r="AB798" i="9"/>
  <c r="AF1239" i="2"/>
  <c r="AC798" i="9"/>
  <c r="AG1239" i="2"/>
  <c r="R799" i="9"/>
  <c r="Y799" i="9"/>
  <c r="AC1240" i="2"/>
  <c r="R800" i="9"/>
  <c r="V1241" i="2"/>
  <c r="Y800" i="9"/>
  <c r="AC1241" i="2"/>
  <c r="Z800" i="9"/>
  <c r="R801" i="9"/>
  <c r="V1242" i="2"/>
  <c r="Y801" i="9"/>
  <c r="AC1242" i="2"/>
  <c r="N802" i="9"/>
  <c r="Q1243" i="2"/>
  <c r="O802" i="9"/>
  <c r="R802" i="9"/>
  <c r="V1243" i="2"/>
  <c r="Y802" i="9"/>
  <c r="AC1243" i="2"/>
  <c r="Z802" i="9"/>
  <c r="R803" i="9"/>
  <c r="Y803" i="9"/>
  <c r="AC1244" i="2"/>
  <c r="R804" i="9"/>
  <c r="V1245" i="2"/>
  <c r="Y804" i="9"/>
  <c r="AC1245" i="2"/>
  <c r="R805" i="9"/>
  <c r="V1246" i="2"/>
  <c r="Y805" i="9"/>
  <c r="AC1246" i="2"/>
  <c r="Q806" i="9"/>
  <c r="U1247" i="2"/>
  <c r="T806" i="9"/>
  <c r="X1247" i="2"/>
  <c r="U806" i="9"/>
  <c r="Y1247" i="2"/>
  <c r="V806" i="9"/>
  <c r="Z1247" i="2"/>
  <c r="W806" i="9"/>
  <c r="AA1247" i="2"/>
  <c r="X806" i="9"/>
  <c r="AB1247" i="2"/>
  <c r="AA806" i="9"/>
  <c r="AE1247" i="2"/>
  <c r="AB806" i="9"/>
  <c r="AF1247" i="2"/>
  <c r="AC806" i="9"/>
  <c r="AG1247" i="2"/>
  <c r="N807" i="9"/>
  <c r="Q1248" i="2"/>
  <c r="R807" i="9"/>
  <c r="V1248" i="2"/>
  <c r="Y807" i="9"/>
  <c r="AC1248" i="2"/>
  <c r="R808" i="9"/>
  <c r="Y808" i="9"/>
  <c r="AC1249" i="2"/>
  <c r="N809" i="9"/>
  <c r="Q1250" i="2"/>
  <c r="R809" i="9"/>
  <c r="V1250" i="2"/>
  <c r="Y809" i="9"/>
  <c r="AC1250" i="2"/>
  <c r="Z809" i="9"/>
  <c r="N810" i="9"/>
  <c r="Q1251" i="2"/>
  <c r="R810" i="9"/>
  <c r="V1251" i="2"/>
  <c r="Y810" i="9"/>
  <c r="AC1251" i="2"/>
  <c r="N811" i="9"/>
  <c r="Q1252" i="2"/>
  <c r="R811" i="9"/>
  <c r="V1252" i="2"/>
  <c r="Y811" i="9"/>
  <c r="AC1252" i="2"/>
  <c r="Q812" i="9"/>
  <c r="U1253" i="2"/>
  <c r="R812" i="9"/>
  <c r="V1253" i="2"/>
  <c r="T812" i="9"/>
  <c r="X1253" i="2"/>
  <c r="U812" i="9"/>
  <c r="Y1253" i="2"/>
  <c r="V812" i="9"/>
  <c r="Z1253" i="2"/>
  <c r="W812" i="9"/>
  <c r="AA1253" i="2"/>
  <c r="X812" i="9"/>
  <c r="AB1253" i="2"/>
  <c r="AA812" i="9"/>
  <c r="AE1253" i="2"/>
  <c r="AB812" i="9"/>
  <c r="AF1253" i="2"/>
  <c r="AC812" i="9"/>
  <c r="AG1253" i="2"/>
  <c r="R813" i="9"/>
  <c r="V1254" i="2"/>
  <c r="Y813" i="9"/>
  <c r="AC1254" i="2"/>
  <c r="R814" i="9"/>
  <c r="V1255" i="2"/>
  <c r="Y814" i="9"/>
  <c r="AC1255" i="2"/>
  <c r="N815" i="9"/>
  <c r="Q1256" i="2"/>
  <c r="O815" i="9"/>
  <c r="R815" i="9"/>
  <c r="V1256" i="2"/>
  <c r="Y815" i="9"/>
  <c r="AC1256" i="2"/>
  <c r="Z815" i="9"/>
  <c r="AD1256" i="2"/>
  <c r="R816" i="9"/>
  <c r="Y816" i="9"/>
  <c r="AC1257" i="2"/>
  <c r="O817" i="9"/>
  <c r="R1258" i="2"/>
  <c r="R817" i="9"/>
  <c r="V1258" i="2"/>
  <c r="Y817" i="9"/>
  <c r="AC1258" i="2"/>
  <c r="Q823" i="9"/>
  <c r="U1260" i="2"/>
  <c r="R823" i="9"/>
  <c r="S823" i="9"/>
  <c r="T823" i="9"/>
  <c r="X1260" i="2"/>
  <c r="U823" i="9"/>
  <c r="Y1260" i="2"/>
  <c r="W823" i="9"/>
  <c r="AA1260" i="2"/>
  <c r="O825" i="9"/>
  <c r="R826" i="9"/>
  <c r="V1261" i="2"/>
  <c r="N827" i="9"/>
  <c r="Q1262" i="2"/>
  <c r="R827" i="9"/>
  <c r="V1262" i="2"/>
  <c r="Q829" i="9"/>
  <c r="U1263" i="2"/>
  <c r="S829" i="9"/>
  <c r="W1263" i="2"/>
  <c r="T829" i="9"/>
  <c r="X1263" i="2"/>
  <c r="U829" i="9"/>
  <c r="Y1263" i="2"/>
  <c r="W829" i="9"/>
  <c r="AA1263" i="2"/>
  <c r="O831" i="9"/>
  <c r="O842" i="9"/>
  <c r="R832" i="9"/>
  <c r="V1264" i="2"/>
  <c r="R833" i="9"/>
  <c r="V1265" i="2"/>
  <c r="N834" i="9"/>
  <c r="Q1266" i="2"/>
  <c r="R834" i="9"/>
  <c r="V1266" i="2"/>
  <c r="R835" i="9"/>
  <c r="R836" i="9"/>
  <c r="V1268" i="2"/>
  <c r="R837" i="9"/>
  <c r="V1269" i="2"/>
  <c r="N838" i="9"/>
  <c r="Q1270" i="2"/>
  <c r="R838" i="9"/>
  <c r="V1270" i="2"/>
  <c r="Q840" i="9"/>
  <c r="U1271" i="2"/>
  <c r="R840" i="9"/>
  <c r="V1271" i="2"/>
  <c r="S840" i="9"/>
  <c r="W1271" i="2"/>
  <c r="T840" i="9"/>
  <c r="X1271" i="2"/>
  <c r="U840" i="9"/>
  <c r="Y1271" i="2"/>
  <c r="V840" i="9"/>
  <c r="Z1271" i="2"/>
  <c r="N843" i="9"/>
  <c r="Q1272" i="2"/>
  <c r="W843" i="9"/>
  <c r="AA1272" i="2"/>
  <c r="X843" i="9"/>
  <c r="AB1272" i="2"/>
  <c r="N844" i="9"/>
  <c r="Q1273" i="2"/>
  <c r="O844" i="9"/>
  <c r="W844" i="9"/>
  <c r="AA1273" i="2"/>
  <c r="X844" i="9"/>
  <c r="AB1273" i="2"/>
  <c r="N845" i="9"/>
  <c r="Q1274" i="2"/>
  <c r="W845" i="9"/>
  <c r="AA1274" i="2"/>
  <c r="X845" i="9"/>
  <c r="N846" i="9"/>
  <c r="Q1275" i="2"/>
  <c r="O846" i="9"/>
  <c r="R1275" i="2"/>
  <c r="W846" i="9"/>
  <c r="AA1275" i="2"/>
  <c r="X846" i="9"/>
  <c r="AB1275" i="2"/>
  <c r="N847" i="9"/>
  <c r="Q1276" i="2"/>
  <c r="O847" i="9"/>
  <c r="R1276" i="2"/>
  <c r="P847" i="9"/>
  <c r="W847" i="9"/>
  <c r="AA1276" i="2"/>
  <c r="X847" i="9"/>
  <c r="AB1276" i="2"/>
  <c r="N848" i="9"/>
  <c r="Q1277" i="2"/>
  <c r="W848" i="9"/>
  <c r="AA1277" i="2"/>
  <c r="X848" i="9"/>
  <c r="N849" i="9"/>
  <c r="Q1278" i="2"/>
  <c r="W849" i="9"/>
  <c r="AA1278" i="2"/>
  <c r="X849" i="9"/>
  <c r="AB1278" i="2"/>
  <c r="N850" i="9"/>
  <c r="Q1279" i="2"/>
  <c r="O850" i="9"/>
  <c r="R1279" i="2"/>
  <c r="P850" i="9"/>
  <c r="W850" i="9"/>
  <c r="AA1279" i="2"/>
  <c r="X850" i="9"/>
  <c r="AB1279" i="2"/>
  <c r="S852" i="9"/>
  <c r="W1280" i="2"/>
  <c r="V852" i="9"/>
  <c r="Z1280" i="2"/>
  <c r="O854" i="9"/>
  <c r="N855" i="9"/>
  <c r="Q1281" i="2"/>
  <c r="R855" i="9"/>
  <c r="V1281" i="2"/>
  <c r="X855" i="9"/>
  <c r="AB1281" i="2"/>
  <c r="Q856" i="9"/>
  <c r="S856" i="9"/>
  <c r="W1282" i="2"/>
  <c r="T856" i="9"/>
  <c r="X1282" i="2"/>
  <c r="U856" i="9"/>
  <c r="Y1282" i="2"/>
  <c r="V856" i="9"/>
  <c r="Z1282" i="2"/>
  <c r="W856" i="9"/>
  <c r="AA1282" i="2"/>
  <c r="N857" i="9"/>
  <c r="R857" i="9"/>
  <c r="V1283" i="2"/>
  <c r="X857" i="9"/>
  <c r="AB1283" i="2"/>
  <c r="R858" i="9"/>
  <c r="N859" i="9"/>
  <c r="Q1285" i="2"/>
  <c r="R859" i="9"/>
  <c r="V1285" i="2"/>
  <c r="X859" i="9"/>
  <c r="AB1285" i="2"/>
  <c r="N860" i="9"/>
  <c r="Q1286" i="2"/>
  <c r="R860" i="9"/>
  <c r="V1286" i="2"/>
  <c r="R861" i="9"/>
  <c r="X861" i="9"/>
  <c r="Q862" i="9"/>
  <c r="U1288" i="2"/>
  <c r="S862" i="9"/>
  <c r="W1288" i="2"/>
  <c r="T862" i="9"/>
  <c r="X1288" i="2"/>
  <c r="U862" i="9"/>
  <c r="Y1288" i="2"/>
  <c r="V862" i="9"/>
  <c r="Z1288" i="2"/>
  <c r="W862" i="9"/>
  <c r="AA1288" i="2"/>
  <c r="R863" i="9"/>
  <c r="X863" i="9"/>
  <c r="R864" i="9"/>
  <c r="V1290" i="2"/>
  <c r="N865" i="9"/>
  <c r="Q1291" i="2"/>
  <c r="O865" i="9"/>
  <c r="R1291" i="2"/>
  <c r="P865" i="9"/>
  <c r="R865" i="9"/>
  <c r="V1291" i="2"/>
  <c r="X865" i="9"/>
  <c r="AB1291" i="2"/>
  <c r="R866" i="9"/>
  <c r="V1292" i="2"/>
  <c r="X866" i="9"/>
  <c r="N867" i="9"/>
  <c r="Q1293" i="2"/>
  <c r="R867" i="9"/>
  <c r="V1293" i="2"/>
  <c r="X867" i="9"/>
  <c r="AB1293" i="2"/>
  <c r="R868" i="9"/>
  <c r="S871" i="9"/>
  <c r="W1295" i="2"/>
  <c r="T871" i="9"/>
  <c r="X1295" i="2"/>
  <c r="O873" i="9"/>
  <c r="Q874" i="9"/>
  <c r="U1296" i="2"/>
  <c r="S874" i="9"/>
  <c r="W1296" i="2"/>
  <c r="T874" i="9"/>
  <c r="X1296" i="2"/>
  <c r="U874" i="9"/>
  <c r="W874" i="9"/>
  <c r="AA1296" i="2"/>
  <c r="R875" i="9"/>
  <c r="V1297" i="2"/>
  <c r="R876" i="9"/>
  <c r="V1298" i="2"/>
  <c r="Q877" i="9"/>
  <c r="U1299" i="2"/>
  <c r="S877" i="9"/>
  <c r="W1299" i="2"/>
  <c r="T877" i="9"/>
  <c r="X1299" i="2"/>
  <c r="U877" i="9"/>
  <c r="Y1299" i="2"/>
  <c r="W877" i="9"/>
  <c r="AA1299" i="2"/>
  <c r="N878" i="9"/>
  <c r="Q1300" i="2"/>
  <c r="R878" i="9"/>
  <c r="V1300" i="2"/>
  <c r="N879" i="9"/>
  <c r="Q1301" i="2"/>
  <c r="R879" i="9"/>
  <c r="V1301" i="2"/>
  <c r="N880" i="9"/>
  <c r="Q1302" i="2"/>
  <c r="R880" i="9"/>
  <c r="V1302" i="2"/>
  <c r="R881" i="9"/>
  <c r="N882" i="9"/>
  <c r="Q1304" i="2"/>
  <c r="R882" i="9"/>
  <c r="V1304" i="2"/>
  <c r="R883" i="9"/>
  <c r="V1305" i="2"/>
  <c r="R884" i="9"/>
  <c r="V1306" i="2"/>
  <c r="N885" i="9"/>
  <c r="Q1307" i="2"/>
  <c r="R885" i="9"/>
  <c r="V1307" i="2"/>
  <c r="R886" i="9"/>
  <c r="Q889" i="9"/>
  <c r="U1309" i="2"/>
  <c r="S889" i="9"/>
  <c r="W1309" i="2"/>
  <c r="U889" i="9"/>
  <c r="Y1309" i="2"/>
  <c r="W889" i="9"/>
  <c r="AA1309" i="2"/>
  <c r="Q891" i="9"/>
  <c r="U1310" i="2"/>
  <c r="S891" i="9"/>
  <c r="W1310" i="2"/>
  <c r="T891" i="9"/>
  <c r="U891" i="9"/>
  <c r="Y1310" i="2"/>
  <c r="W891" i="9"/>
  <c r="AA1310" i="2"/>
  <c r="O893" i="9"/>
  <c r="R894" i="9"/>
  <c r="N895" i="9"/>
  <c r="Q1312" i="2"/>
  <c r="R895" i="9"/>
  <c r="V1312" i="2"/>
  <c r="N896" i="9"/>
  <c r="Q1313" i="2"/>
  <c r="R896" i="9"/>
  <c r="V1313" i="2"/>
  <c r="O899" i="9"/>
  <c r="R900" i="9"/>
  <c r="O902" i="9"/>
  <c r="N903" i="9"/>
  <c r="Q1315" i="2"/>
  <c r="R903" i="9"/>
  <c r="V1315" i="2"/>
  <c r="V903" i="9"/>
  <c r="Z1315" i="2"/>
  <c r="X903" i="9"/>
  <c r="AC908" i="9"/>
  <c r="AC915" i="9"/>
  <c r="AC925" i="9"/>
  <c r="AH908" i="9"/>
  <c r="AH915" i="9"/>
  <c r="AH925" i="9"/>
  <c r="AH940" i="9"/>
  <c r="O909" i="9"/>
  <c r="R910" i="9"/>
  <c r="V1317" i="2"/>
  <c r="Q913" i="9"/>
  <c r="U1318" i="2"/>
  <c r="S913" i="9"/>
  <c r="T913" i="9"/>
  <c r="X1318" i="2"/>
  <c r="U913" i="9"/>
  <c r="Y1318" i="2"/>
  <c r="V913" i="9"/>
  <c r="Z1318" i="2"/>
  <c r="W913" i="9"/>
  <c r="X913" i="9"/>
  <c r="AB1318" i="2"/>
  <c r="Y913" i="9"/>
  <c r="AC1318" i="2"/>
  <c r="AA913" i="9"/>
  <c r="AB913" i="9"/>
  <c r="AF1318" i="2"/>
  <c r="AC913" i="9"/>
  <c r="AG1318" i="2"/>
  <c r="AD913" i="9"/>
  <c r="AH1318" i="2"/>
  <c r="AE913" i="9"/>
  <c r="AF913" i="9"/>
  <c r="AI913" i="9"/>
  <c r="AJ913" i="9"/>
  <c r="O916" i="9"/>
  <c r="N917" i="9"/>
  <c r="R917" i="9"/>
  <c r="V1319" i="2"/>
  <c r="N918" i="9"/>
  <c r="Q1320" i="2"/>
  <c r="O918" i="9"/>
  <c r="R1320" i="2"/>
  <c r="P918" i="9"/>
  <c r="R918" i="9"/>
  <c r="V1320" i="2"/>
  <c r="Z918" i="9"/>
  <c r="AD1320" i="2"/>
  <c r="AH918" i="9"/>
  <c r="AL1320" i="2"/>
  <c r="R919" i="9"/>
  <c r="R920" i="9"/>
  <c r="V1322" i="2"/>
  <c r="Z920" i="9"/>
  <c r="O921" i="9"/>
  <c r="R921" i="9"/>
  <c r="V1323" i="2"/>
  <c r="Z921" i="9"/>
  <c r="AG921" i="9"/>
  <c r="Q923" i="9"/>
  <c r="U1324" i="2"/>
  <c r="S923" i="9"/>
  <c r="W1324" i="2"/>
  <c r="T923" i="9"/>
  <c r="U923" i="9"/>
  <c r="Y1324" i="2"/>
  <c r="V923" i="9"/>
  <c r="Z1324" i="2"/>
  <c r="W923" i="9"/>
  <c r="AA1324" i="2"/>
  <c r="X923" i="9"/>
  <c r="Y923" i="9"/>
  <c r="AC1324" i="2"/>
  <c r="AA923" i="9"/>
  <c r="AE1324" i="2"/>
  <c r="AB923" i="9"/>
  <c r="AC923" i="9"/>
  <c r="AG1324" i="2"/>
  <c r="AD923" i="9"/>
  <c r="AH1324" i="2"/>
  <c r="AE923" i="9"/>
  <c r="AI1324" i="2"/>
  <c r="AF923" i="9"/>
  <c r="AI923" i="9"/>
  <c r="AM1324" i="2"/>
  <c r="AJ923" i="9"/>
  <c r="O926" i="9"/>
  <c r="N927" i="9"/>
  <c r="Q1325" i="2"/>
  <c r="O927" i="9"/>
  <c r="P927" i="9"/>
  <c r="R927" i="9"/>
  <c r="V1325" i="2"/>
  <c r="Z927" i="9"/>
  <c r="AD1325" i="2"/>
  <c r="AH927" i="9"/>
  <c r="R928" i="9"/>
  <c r="R929" i="9"/>
  <c r="V1327" i="2"/>
  <c r="R930" i="9"/>
  <c r="V1328" i="2"/>
  <c r="Z930" i="9"/>
  <c r="AG930" i="9"/>
  <c r="N931" i="9"/>
  <c r="Q1329" i="2"/>
  <c r="R931" i="9"/>
  <c r="V1329" i="2"/>
  <c r="Z931" i="9"/>
  <c r="AD1329" i="2"/>
  <c r="AG931" i="9"/>
  <c r="AH931" i="9"/>
  <c r="AL1329" i="2"/>
  <c r="R932" i="9"/>
  <c r="N933" i="9"/>
  <c r="Q1331" i="2"/>
  <c r="R933" i="9"/>
  <c r="V1331" i="2"/>
  <c r="Z933" i="9"/>
  <c r="N934" i="9"/>
  <c r="Q1332" i="2"/>
  <c r="R934" i="9"/>
  <c r="N935" i="9"/>
  <c r="Q1333" i="2"/>
  <c r="O935" i="9"/>
  <c r="R1333" i="2"/>
  <c r="R935" i="9"/>
  <c r="V1333" i="2"/>
  <c r="Z935" i="9"/>
  <c r="AH935" i="9"/>
  <c r="AL1333" i="2"/>
  <c r="R936" i="9"/>
  <c r="N937" i="9"/>
  <c r="Q1335" i="2"/>
  <c r="R937" i="9"/>
  <c r="V1335" i="2"/>
  <c r="R938" i="9"/>
  <c r="V1336" i="2"/>
  <c r="Z938" i="9"/>
  <c r="AG938" i="9"/>
  <c r="AC940" i="9"/>
  <c r="O941" i="9"/>
  <c r="N942" i="9"/>
  <c r="Q1337" i="2"/>
  <c r="Q942" i="9"/>
  <c r="U1337" i="2"/>
  <c r="R942" i="9"/>
  <c r="V1337" i="2"/>
  <c r="Z942" i="9"/>
  <c r="AH942" i="9"/>
  <c r="AL1337" i="2"/>
  <c r="AC946" i="9"/>
  <c r="AC988" i="9"/>
  <c r="AC1001" i="9"/>
  <c r="AC1016" i="9"/>
  <c r="AC1020" i="9"/>
  <c r="AC1024" i="9"/>
  <c r="AC1032" i="9"/>
  <c r="AH946" i="9"/>
  <c r="O947" i="9"/>
  <c r="Q948" i="9"/>
  <c r="U1339" i="2"/>
  <c r="S948" i="9"/>
  <c r="W1339" i="2"/>
  <c r="U948" i="9"/>
  <c r="Y1339" i="2"/>
  <c r="AC948" i="9"/>
  <c r="AG1339" i="2"/>
  <c r="Q949" i="9"/>
  <c r="U1340" i="2"/>
  <c r="R949" i="9"/>
  <c r="V1340" i="2"/>
  <c r="S949" i="9"/>
  <c r="W1340" i="2"/>
  <c r="T949" i="9"/>
  <c r="U949" i="9"/>
  <c r="Y1340" i="2"/>
  <c r="V949" i="9"/>
  <c r="W949" i="9"/>
  <c r="AA1340" i="2"/>
  <c r="X949" i="9"/>
  <c r="Y949" i="9"/>
  <c r="AC1340" i="2"/>
  <c r="AA949" i="9"/>
  <c r="AE1340" i="2"/>
  <c r="AB949" i="9"/>
  <c r="AC949" i="9"/>
  <c r="AG1340" i="2"/>
  <c r="AD949" i="9"/>
  <c r="AE949" i="9"/>
  <c r="AI1340" i="2"/>
  <c r="AF949" i="9"/>
  <c r="AI949" i="9"/>
  <c r="AM1340" i="2"/>
  <c r="AJ949" i="9"/>
  <c r="R950" i="9"/>
  <c r="N951" i="9"/>
  <c r="Q1342" i="2"/>
  <c r="R951" i="9"/>
  <c r="V1342" i="2"/>
  <c r="Z951" i="9"/>
  <c r="AH951" i="9"/>
  <c r="AL1342" i="2"/>
  <c r="N952" i="9"/>
  <c r="Q1343" i="2"/>
  <c r="R952" i="9"/>
  <c r="N953" i="9"/>
  <c r="Q1344" i="2"/>
  <c r="O953" i="9"/>
  <c r="R1344" i="2"/>
  <c r="R953" i="9"/>
  <c r="V1344" i="2"/>
  <c r="Z953" i="9"/>
  <c r="AH953" i="9"/>
  <c r="AL1344" i="2"/>
  <c r="R954" i="9"/>
  <c r="R956" i="9"/>
  <c r="V1346" i="2"/>
  <c r="R957" i="9"/>
  <c r="Z957" i="9"/>
  <c r="AG957" i="9"/>
  <c r="Q958" i="9"/>
  <c r="U1348" i="2"/>
  <c r="S958" i="9"/>
  <c r="W1348" i="2"/>
  <c r="T958" i="9"/>
  <c r="X1348" i="2"/>
  <c r="U958" i="9"/>
  <c r="Y1348" i="2"/>
  <c r="V958" i="9"/>
  <c r="Z1348" i="2"/>
  <c r="W958" i="9"/>
  <c r="AA1348" i="2"/>
  <c r="X958" i="9"/>
  <c r="AB1348" i="2"/>
  <c r="Y958" i="9"/>
  <c r="AC1348" i="2"/>
  <c r="AA958" i="9"/>
  <c r="AE1348" i="2"/>
  <c r="AB958" i="9"/>
  <c r="AF1348" i="2"/>
  <c r="AC958" i="9"/>
  <c r="AG1348" i="2"/>
  <c r="AD958" i="9"/>
  <c r="AH1348" i="2"/>
  <c r="AE958" i="9"/>
  <c r="AI1348" i="2"/>
  <c r="AF958" i="9"/>
  <c r="AI958" i="9"/>
  <c r="AM1348" i="2"/>
  <c r="AJ958" i="9"/>
  <c r="R959" i="9"/>
  <c r="N960" i="9"/>
  <c r="Q1350" i="2"/>
  <c r="R960" i="9"/>
  <c r="V1350" i="2"/>
  <c r="Z960" i="9"/>
  <c r="AH960" i="9"/>
  <c r="AL1350" i="2"/>
  <c r="R961" i="9"/>
  <c r="N961" i="9"/>
  <c r="Q1351" i="2"/>
  <c r="N962" i="9"/>
  <c r="Q1352" i="2"/>
  <c r="R962" i="9"/>
  <c r="V1352" i="2"/>
  <c r="Z962" i="9"/>
  <c r="AH962" i="9"/>
  <c r="AL1352" i="2"/>
  <c r="Q963" i="9"/>
  <c r="U1353" i="2"/>
  <c r="S963" i="9"/>
  <c r="W1353" i="2"/>
  <c r="T963" i="9"/>
  <c r="X1353" i="2"/>
  <c r="U963" i="9"/>
  <c r="Y1353" i="2"/>
  <c r="V963" i="9"/>
  <c r="Z1353" i="2"/>
  <c r="W963" i="9"/>
  <c r="AA1353" i="2"/>
  <c r="X963" i="9"/>
  <c r="AB1353" i="2"/>
  <c r="Y963" i="9"/>
  <c r="AC1353" i="2"/>
  <c r="AA963" i="9"/>
  <c r="AE1353" i="2"/>
  <c r="AB963" i="9"/>
  <c r="AF1353" i="2"/>
  <c r="AC963" i="9"/>
  <c r="AG1353" i="2"/>
  <c r="AD963" i="9"/>
  <c r="AH1353" i="2"/>
  <c r="AE963" i="9"/>
  <c r="AI1353" i="2"/>
  <c r="AF963" i="9"/>
  <c r="AI963" i="9"/>
  <c r="AM1353" i="2"/>
  <c r="AJ963" i="9"/>
  <c r="N964" i="9"/>
  <c r="R964" i="9"/>
  <c r="Z964" i="9"/>
  <c r="AH964" i="9"/>
  <c r="R965" i="9"/>
  <c r="Z965" i="9"/>
  <c r="N966" i="9"/>
  <c r="Q1356" i="2"/>
  <c r="R966" i="9"/>
  <c r="V1356" i="2"/>
  <c r="Z966" i="9"/>
  <c r="AG966" i="9"/>
  <c r="AH966" i="9"/>
  <c r="AL1356" i="2"/>
  <c r="R967" i="9"/>
  <c r="N968" i="9"/>
  <c r="Q1358" i="2"/>
  <c r="R968" i="9"/>
  <c r="V1358" i="2"/>
  <c r="Z968" i="9"/>
  <c r="AH968" i="9"/>
  <c r="AL1358" i="2"/>
  <c r="N969" i="9"/>
  <c r="Q1359" i="2"/>
  <c r="R969" i="9"/>
  <c r="N970" i="9"/>
  <c r="Q1360" i="2"/>
  <c r="O970" i="9"/>
  <c r="R1360" i="2"/>
  <c r="R970" i="9"/>
  <c r="V1360" i="2"/>
  <c r="Z970" i="9"/>
  <c r="AH970" i="9"/>
  <c r="AL1360" i="2"/>
  <c r="R971" i="9"/>
  <c r="N972" i="9"/>
  <c r="Q1362" i="2"/>
  <c r="R972" i="9"/>
  <c r="V1362" i="2"/>
  <c r="Z972" i="9"/>
  <c r="AH972" i="9"/>
  <c r="AL1362" i="2"/>
  <c r="R973" i="9"/>
  <c r="Z973" i="9"/>
  <c r="AG973" i="9"/>
  <c r="N974" i="9"/>
  <c r="Q1364" i="2"/>
  <c r="R974" i="9"/>
  <c r="V1364" i="2"/>
  <c r="Z974" i="9"/>
  <c r="AG974" i="9"/>
  <c r="AH974" i="9"/>
  <c r="AL1364" i="2"/>
  <c r="R975" i="9"/>
  <c r="Q976" i="9"/>
  <c r="U1366" i="2"/>
  <c r="R976" i="9"/>
  <c r="V1366" i="2"/>
  <c r="S976" i="9"/>
  <c r="W1366" i="2"/>
  <c r="T976" i="9"/>
  <c r="X1366" i="2"/>
  <c r="U976" i="9"/>
  <c r="Y1366" i="2"/>
  <c r="V976" i="9"/>
  <c r="Z1366" i="2"/>
  <c r="W976" i="9"/>
  <c r="AA1366" i="2"/>
  <c r="X976" i="9"/>
  <c r="AB1366" i="2"/>
  <c r="Y976" i="9"/>
  <c r="AC1366" i="2"/>
  <c r="AA976" i="9"/>
  <c r="AE1366" i="2"/>
  <c r="AB976" i="9"/>
  <c r="AF1366" i="2"/>
  <c r="AC976" i="9"/>
  <c r="AG1366" i="2"/>
  <c r="AD976" i="9"/>
  <c r="AH1366" i="2"/>
  <c r="AE976" i="9"/>
  <c r="AI1366" i="2"/>
  <c r="AF976" i="9"/>
  <c r="AI976" i="9"/>
  <c r="AM1366" i="2"/>
  <c r="AJ976" i="9"/>
  <c r="N977" i="9"/>
  <c r="Q1367" i="2"/>
  <c r="R977" i="9"/>
  <c r="N978" i="9"/>
  <c r="Q1368" i="2"/>
  <c r="R978" i="9"/>
  <c r="V1368" i="2"/>
  <c r="Z978" i="9"/>
  <c r="AH978" i="9"/>
  <c r="AL1368" i="2"/>
  <c r="Q979" i="9"/>
  <c r="U1369" i="2"/>
  <c r="S979" i="9"/>
  <c r="W1369" i="2"/>
  <c r="T979" i="9"/>
  <c r="X1369" i="2"/>
  <c r="U979" i="9"/>
  <c r="Y1369" i="2"/>
  <c r="V979" i="9"/>
  <c r="Z1369" i="2"/>
  <c r="W979" i="9"/>
  <c r="AA1369" i="2"/>
  <c r="X979" i="9"/>
  <c r="AB1369" i="2"/>
  <c r="Y979" i="9"/>
  <c r="AC1369" i="2"/>
  <c r="AA979" i="9"/>
  <c r="AE1369" i="2"/>
  <c r="AB979" i="9"/>
  <c r="AF1369" i="2"/>
  <c r="AC979" i="9"/>
  <c r="AG1369" i="2"/>
  <c r="AD979" i="9"/>
  <c r="AH1369" i="2"/>
  <c r="AE979" i="9"/>
  <c r="AI1369" i="2"/>
  <c r="AF979" i="9"/>
  <c r="AI979" i="9"/>
  <c r="AM1369" i="2"/>
  <c r="AJ979" i="9"/>
  <c r="R980" i="9"/>
  <c r="Z980" i="9"/>
  <c r="R981" i="9"/>
  <c r="Z981" i="9"/>
  <c r="N982" i="9"/>
  <c r="Q1372" i="2"/>
  <c r="R982" i="9"/>
  <c r="V1372" i="2"/>
  <c r="Z982" i="9"/>
  <c r="AG982" i="9"/>
  <c r="AH982" i="9"/>
  <c r="AL1372" i="2"/>
  <c r="R983" i="9"/>
  <c r="N984" i="9"/>
  <c r="Q1374" i="2"/>
  <c r="R984" i="9"/>
  <c r="V1374" i="2"/>
  <c r="Z984" i="9"/>
  <c r="AH984" i="9"/>
  <c r="AL1374" i="2"/>
  <c r="AE986" i="9"/>
  <c r="AI1375" i="2"/>
  <c r="AH988" i="9"/>
  <c r="AH1001" i="9"/>
  <c r="AH1016" i="9"/>
  <c r="AH1020" i="9"/>
  <c r="AH1024" i="9"/>
  <c r="AH1032" i="9"/>
  <c r="O989" i="9"/>
  <c r="Q990" i="9"/>
  <c r="U1376" i="2"/>
  <c r="S990" i="9"/>
  <c r="T990" i="9"/>
  <c r="X1376" i="2"/>
  <c r="U990" i="9"/>
  <c r="Y1376" i="2"/>
  <c r="V990" i="9"/>
  <c r="Z1376" i="2"/>
  <c r="W990" i="9"/>
  <c r="AA1376" i="2"/>
  <c r="X990" i="9"/>
  <c r="AB1376" i="2"/>
  <c r="Y990" i="9"/>
  <c r="AC1376" i="2"/>
  <c r="AA990" i="9"/>
  <c r="AB990" i="9"/>
  <c r="AF1376" i="2"/>
  <c r="AC990" i="9"/>
  <c r="AG1376" i="2"/>
  <c r="AD990" i="9"/>
  <c r="AH1376" i="2"/>
  <c r="AE990" i="9"/>
  <c r="AI1376" i="2"/>
  <c r="AF990" i="9"/>
  <c r="AI990" i="9"/>
  <c r="AJ990" i="9"/>
  <c r="AJ986" i="9"/>
  <c r="R991" i="9"/>
  <c r="N992" i="9"/>
  <c r="Q1378" i="2"/>
  <c r="R992" i="9"/>
  <c r="V1378" i="2"/>
  <c r="Z992" i="9"/>
  <c r="AH992" i="9"/>
  <c r="AL1378" i="2"/>
  <c r="R993" i="9"/>
  <c r="N993" i="9"/>
  <c r="Q1379" i="2"/>
  <c r="Q994" i="9"/>
  <c r="U1380" i="2"/>
  <c r="S994" i="9"/>
  <c r="W1380" i="2"/>
  <c r="T994" i="9"/>
  <c r="X1380" i="2"/>
  <c r="U994" i="9"/>
  <c r="Y1380" i="2"/>
  <c r="V994" i="9"/>
  <c r="Z1380" i="2"/>
  <c r="W994" i="9"/>
  <c r="AA1380" i="2"/>
  <c r="X994" i="9"/>
  <c r="AB1380" i="2"/>
  <c r="Y994" i="9"/>
  <c r="AC1380" i="2"/>
  <c r="AA994" i="9"/>
  <c r="AE1380" i="2"/>
  <c r="AB994" i="9"/>
  <c r="AF1380" i="2"/>
  <c r="AC994" i="9"/>
  <c r="AG1380" i="2"/>
  <c r="AD994" i="9"/>
  <c r="AH1380" i="2"/>
  <c r="AE994" i="9"/>
  <c r="AI1380" i="2"/>
  <c r="AF994" i="9"/>
  <c r="AI994" i="9"/>
  <c r="AM1380" i="2"/>
  <c r="AJ994" i="9"/>
  <c r="R995" i="9"/>
  <c r="R996" i="9"/>
  <c r="V1382" i="2"/>
  <c r="W999" i="9"/>
  <c r="AA1383" i="2"/>
  <c r="AA999" i="9"/>
  <c r="AE1383" i="2"/>
  <c r="O1002" i="9"/>
  <c r="Q1003" i="9"/>
  <c r="U1384" i="2"/>
  <c r="S1003" i="9"/>
  <c r="W1384" i="2"/>
  <c r="T1003" i="9"/>
  <c r="X1384" i="2"/>
  <c r="U1003" i="9"/>
  <c r="Y1384" i="2"/>
  <c r="V1003" i="9"/>
  <c r="W1003" i="9"/>
  <c r="AA1384" i="2"/>
  <c r="X1003" i="9"/>
  <c r="AB1384" i="2"/>
  <c r="Y1003" i="9"/>
  <c r="AC1384" i="2"/>
  <c r="AA1003" i="9"/>
  <c r="AE1384" i="2"/>
  <c r="AB1003" i="9"/>
  <c r="AF1384" i="2"/>
  <c r="AC1003" i="9"/>
  <c r="AG1384" i="2"/>
  <c r="AD1003" i="9"/>
  <c r="AE1003" i="9"/>
  <c r="AI1384" i="2"/>
  <c r="AF1003" i="9"/>
  <c r="AI1003" i="9"/>
  <c r="AM1384" i="2"/>
  <c r="AJ1003" i="9"/>
  <c r="AJ999" i="9"/>
  <c r="N1004" i="9"/>
  <c r="Q1385" i="2"/>
  <c r="O1004" i="9"/>
  <c r="R1385" i="2"/>
  <c r="P1004" i="9"/>
  <c r="R1004" i="9"/>
  <c r="V1385" i="2"/>
  <c r="Z1004" i="9"/>
  <c r="AH1004" i="9"/>
  <c r="R1005" i="9"/>
  <c r="N1006" i="9"/>
  <c r="Q1387" i="2"/>
  <c r="R1006" i="9"/>
  <c r="V1387" i="2"/>
  <c r="Z1006" i="9"/>
  <c r="AH1006" i="9"/>
  <c r="AL1387" i="2"/>
  <c r="R1007" i="9"/>
  <c r="Z1007" i="9"/>
  <c r="N1008" i="9"/>
  <c r="Q1389" i="2"/>
  <c r="R1008" i="9"/>
  <c r="V1389" i="2"/>
  <c r="Z1008" i="9"/>
  <c r="AG1008" i="9"/>
  <c r="AH1008" i="9"/>
  <c r="AL1389" i="2"/>
  <c r="R1009" i="9"/>
  <c r="N1010" i="9"/>
  <c r="Q1391" i="2"/>
  <c r="R1010" i="9"/>
  <c r="V1391" i="2"/>
  <c r="Z1010" i="9"/>
  <c r="AH1010" i="9"/>
  <c r="AL1391" i="2"/>
  <c r="Q1011" i="9"/>
  <c r="U1392" i="2"/>
  <c r="S1011" i="9"/>
  <c r="W1392" i="2"/>
  <c r="T1011" i="9"/>
  <c r="X1392" i="2"/>
  <c r="U1011" i="9"/>
  <c r="Y1392" i="2"/>
  <c r="V1011" i="9"/>
  <c r="Z1392" i="2"/>
  <c r="W1011" i="9"/>
  <c r="AA1392" i="2"/>
  <c r="X1011" i="9"/>
  <c r="AB1392" i="2"/>
  <c r="Y1011" i="9"/>
  <c r="AC1392" i="2"/>
  <c r="AA1011" i="9"/>
  <c r="AE1392" i="2"/>
  <c r="AB1011" i="9"/>
  <c r="AF1392" i="2"/>
  <c r="AC1011" i="9"/>
  <c r="AG1392" i="2"/>
  <c r="AD1011" i="9"/>
  <c r="AH1392" i="2"/>
  <c r="AE1011" i="9"/>
  <c r="AI1392" i="2"/>
  <c r="AF1011" i="9"/>
  <c r="AF999" i="9"/>
  <c r="AI1011" i="9"/>
  <c r="AM1392" i="2"/>
  <c r="AJ1011" i="9"/>
  <c r="N1012" i="9"/>
  <c r="Q1393" i="2"/>
  <c r="O1012" i="9"/>
  <c r="R1393" i="2"/>
  <c r="R1012" i="9"/>
  <c r="V1393" i="2"/>
  <c r="Z1012" i="9"/>
  <c r="AH1012" i="9"/>
  <c r="AL1393" i="2"/>
  <c r="R1013" i="9"/>
  <c r="R1014" i="9"/>
  <c r="V1395" i="2"/>
  <c r="Z1014" i="9"/>
  <c r="AH1014" i="9"/>
  <c r="AL1395" i="2"/>
  <c r="O1017" i="9"/>
  <c r="N1018" i="9"/>
  <c r="Q1396" i="2"/>
  <c r="R1018" i="9"/>
  <c r="V1396" i="2"/>
  <c r="Z1018" i="9"/>
  <c r="O1021" i="9"/>
  <c r="N1022" i="9"/>
  <c r="Q1397" i="2"/>
  <c r="R1022" i="9"/>
  <c r="V1397" i="2"/>
  <c r="Z1022" i="9"/>
  <c r="AG1022" i="9"/>
  <c r="O1025" i="9"/>
  <c r="N1026" i="9"/>
  <c r="Q1398" i="2"/>
  <c r="O1026" i="9"/>
  <c r="R1398" i="2"/>
  <c r="P1026" i="9"/>
  <c r="R1026" i="9"/>
  <c r="V1398" i="2"/>
  <c r="Z1026" i="9"/>
  <c r="AH1026" i="9"/>
  <c r="AL1398" i="2"/>
  <c r="Q1030" i="9"/>
  <c r="U1399" i="2"/>
  <c r="S1030" i="9"/>
  <c r="W1399" i="2"/>
  <c r="O1033" i="9"/>
  <c r="N1034" i="9"/>
  <c r="R1034" i="9"/>
  <c r="V1400" i="2"/>
  <c r="Z1034" i="9"/>
  <c r="AH1034" i="9"/>
  <c r="Q1035" i="9"/>
  <c r="U1401" i="2"/>
  <c r="S1035" i="9"/>
  <c r="W1401" i="2"/>
  <c r="T1035" i="9"/>
  <c r="X1401" i="2"/>
  <c r="U1035" i="9"/>
  <c r="Y1401" i="2"/>
  <c r="V1035" i="9"/>
  <c r="Z1401" i="2"/>
  <c r="W1035" i="9"/>
  <c r="X1035" i="9"/>
  <c r="AB1401" i="2"/>
  <c r="Y1035" i="9"/>
  <c r="AC1401" i="2"/>
  <c r="AA1035" i="9"/>
  <c r="AB1035" i="9"/>
  <c r="AF1401" i="2"/>
  <c r="AC1035" i="9"/>
  <c r="AD1035" i="9"/>
  <c r="AH1401" i="2"/>
  <c r="AE1035" i="9"/>
  <c r="AF1035" i="9"/>
  <c r="AI1035" i="9"/>
  <c r="AJ1035" i="9"/>
  <c r="R1036" i="9"/>
  <c r="R1037" i="9"/>
  <c r="N1037" i="9"/>
  <c r="N1038" i="9"/>
  <c r="Q1404" i="2"/>
  <c r="R1038" i="9"/>
  <c r="V1404" i="2"/>
  <c r="Z1038" i="9"/>
  <c r="AH1038" i="9"/>
  <c r="AL1404" i="2"/>
  <c r="R1039" i="9"/>
  <c r="R1040" i="9"/>
  <c r="V1406" i="2"/>
  <c r="O1041" i="9"/>
  <c r="R1041" i="9"/>
  <c r="Z1041" i="9"/>
  <c r="AG1041" i="9"/>
  <c r="N1042" i="9"/>
  <c r="Q1408" i="2"/>
  <c r="R1042" i="9"/>
  <c r="V1408" i="2"/>
  <c r="Z1042" i="9"/>
  <c r="AG1042" i="9"/>
  <c r="Q1043" i="9"/>
  <c r="U1409" i="2"/>
  <c r="S1043" i="9"/>
  <c r="W1409" i="2"/>
  <c r="U1043" i="9"/>
  <c r="Y1409" i="2"/>
  <c r="W1043" i="9"/>
  <c r="AA1409" i="2"/>
  <c r="Y1043" i="9"/>
  <c r="AC1409" i="2"/>
  <c r="AA1043" i="9"/>
  <c r="AE1409" i="2"/>
  <c r="AC1043" i="9"/>
  <c r="AG1409" i="2"/>
  <c r="AI1043" i="9"/>
  <c r="AM1409" i="2"/>
  <c r="AJ1043" i="9"/>
  <c r="AJ1030" i="9"/>
  <c r="N1044" i="9"/>
  <c r="R1044" i="9"/>
  <c r="V1410" i="2"/>
  <c r="Z1044" i="9"/>
  <c r="AH1044" i="9"/>
  <c r="AL1410" i="2"/>
  <c r="R1045" i="9"/>
  <c r="N1045" i="9"/>
  <c r="Q1411" i="2"/>
  <c r="Q1046" i="9"/>
  <c r="U1412" i="2"/>
  <c r="S1046" i="9"/>
  <c r="W1412" i="2"/>
  <c r="T1046" i="9"/>
  <c r="X1412" i="2"/>
  <c r="U1046" i="9"/>
  <c r="Y1412" i="2"/>
  <c r="V1046" i="9"/>
  <c r="W1046" i="9"/>
  <c r="AA1412" i="2"/>
  <c r="X1046" i="9"/>
  <c r="Y1046" i="9"/>
  <c r="AC1412" i="2"/>
  <c r="AA1046" i="9"/>
  <c r="AE1412" i="2"/>
  <c r="AB1046" i="9"/>
  <c r="AF1412" i="2"/>
  <c r="AC1046" i="9"/>
  <c r="AG1412" i="2"/>
  <c r="AD1046" i="9"/>
  <c r="AE1046" i="9"/>
  <c r="AI1412" i="2"/>
  <c r="AF1046" i="9"/>
  <c r="AI1046" i="9"/>
  <c r="AM1412" i="2"/>
  <c r="AJ1046" i="9"/>
  <c r="N1047" i="9"/>
  <c r="Q1413" i="2"/>
  <c r="R1047" i="9"/>
  <c r="R1048" i="9"/>
  <c r="V1414" i="2"/>
  <c r="R1049" i="9"/>
  <c r="Z1049" i="9"/>
  <c r="AG1049" i="9"/>
  <c r="N1050" i="9"/>
  <c r="Q1416" i="2"/>
  <c r="R1050" i="9"/>
  <c r="V1416" i="2"/>
  <c r="Z1050" i="9"/>
  <c r="AH1050" i="9"/>
  <c r="AL1416" i="2"/>
  <c r="AG1050" i="9"/>
  <c r="Q1055" i="9"/>
  <c r="U1418" i="2"/>
  <c r="S1055" i="9"/>
  <c r="W1418" i="2"/>
  <c r="O1057" i="9"/>
  <c r="T1057" i="9"/>
  <c r="U1057" i="9"/>
  <c r="R1058" i="9"/>
  <c r="V1419" i="2"/>
  <c r="T1058" i="9"/>
  <c r="U1058" i="9"/>
  <c r="Q1059" i="9"/>
  <c r="U1420" i="2"/>
  <c r="T1059" i="9"/>
  <c r="X1420" i="2"/>
  <c r="U1059" i="9"/>
  <c r="Y1420" i="2"/>
  <c r="O1060" i="9"/>
  <c r="R1060" i="9"/>
  <c r="V1421" i="2"/>
  <c r="N1061" i="9"/>
  <c r="Q1422" i="2"/>
  <c r="O1061" i="9"/>
  <c r="R1422" i="2"/>
  <c r="R1061" i="9"/>
  <c r="V1422" i="2"/>
  <c r="O1062" i="9"/>
  <c r="R1062" i="9"/>
  <c r="V1423" i="2"/>
  <c r="N1063" i="9"/>
  <c r="Q1424" i="2"/>
  <c r="O1063" i="9"/>
  <c r="R1424" i="2"/>
  <c r="R1063" i="9"/>
  <c r="V1424" i="2"/>
  <c r="O1064" i="9"/>
  <c r="R1064" i="9"/>
  <c r="V1425" i="2"/>
  <c r="Q1067" i="9"/>
  <c r="U1426" i="2"/>
  <c r="S1067" i="9"/>
  <c r="W1426" i="2"/>
  <c r="U1067" i="9"/>
  <c r="Y1426" i="2"/>
  <c r="O1069" i="9"/>
  <c r="T1069" i="9"/>
  <c r="U1069" i="9"/>
  <c r="R1070" i="9"/>
  <c r="T1070" i="9"/>
  <c r="O1070" i="9"/>
  <c r="U1070" i="9"/>
  <c r="Y1427" i="2"/>
  <c r="O1071" i="9"/>
  <c r="R1071" i="9"/>
  <c r="V1429" i="2"/>
  <c r="O1072" i="9"/>
  <c r="R1428" i="2"/>
  <c r="R1072" i="9"/>
  <c r="V1428" i="2"/>
  <c r="S1075" i="9"/>
  <c r="W1430" i="2"/>
  <c r="O1077" i="9"/>
  <c r="N1078" i="9"/>
  <c r="Q1431" i="2"/>
  <c r="R1078" i="9"/>
  <c r="V1431" i="2"/>
  <c r="N1079" i="9"/>
  <c r="Q1432" i="2"/>
  <c r="R1079" i="9"/>
  <c r="V1432" i="2"/>
  <c r="R1080" i="9"/>
  <c r="V1433" i="2"/>
  <c r="N1081" i="9"/>
  <c r="Q1434" i="2"/>
  <c r="O1081" i="9"/>
  <c r="R1434" i="2"/>
  <c r="R1081" i="9"/>
  <c r="V1434" i="2"/>
  <c r="V1081" i="9"/>
  <c r="Z1434" i="2"/>
  <c r="Q1082" i="9"/>
  <c r="U1435" i="2"/>
  <c r="S1082" i="9"/>
  <c r="W1435" i="2"/>
  <c r="T1082" i="9"/>
  <c r="X1435" i="2"/>
  <c r="U1082" i="9"/>
  <c r="Y1435" i="2"/>
  <c r="N1084" i="9"/>
  <c r="Q1437" i="2"/>
  <c r="R1084" i="9"/>
  <c r="V1437" i="2"/>
  <c r="R1085" i="9"/>
  <c r="V1438" i="2"/>
  <c r="N1086" i="9"/>
  <c r="Q1439" i="2"/>
  <c r="O1086" i="9"/>
  <c r="R1439" i="2"/>
  <c r="R1086" i="9"/>
  <c r="V1439" i="2"/>
  <c r="V1086" i="9"/>
  <c r="Z1439" i="2"/>
  <c r="R1088" i="9"/>
  <c r="V1441" i="2"/>
  <c r="N1089" i="9"/>
  <c r="Q1442" i="2"/>
  <c r="R1089" i="9"/>
  <c r="V1442" i="2"/>
  <c r="V1089" i="9"/>
  <c r="Z1442" i="2"/>
  <c r="N1090" i="9"/>
  <c r="Q1443" i="2"/>
  <c r="O1090" i="9"/>
  <c r="R1443" i="2"/>
  <c r="R1090" i="9"/>
  <c r="V1443" i="2"/>
  <c r="V1090" i="9"/>
  <c r="Z1443" i="2"/>
  <c r="N1091" i="9"/>
  <c r="Q1444" i="2"/>
  <c r="R1091" i="9"/>
  <c r="V1444" i="2"/>
  <c r="V1091" i="9"/>
  <c r="Z1444" i="2"/>
  <c r="N1093" i="9"/>
  <c r="Q1446" i="2"/>
  <c r="R1093" i="9"/>
  <c r="V1446" i="2"/>
  <c r="N1094" i="9"/>
  <c r="Q1447" i="2"/>
  <c r="R1094" i="9"/>
  <c r="V1447" i="2"/>
  <c r="R1095" i="9"/>
  <c r="V1448" i="2"/>
  <c r="N1096" i="9"/>
  <c r="Q1449" i="2"/>
  <c r="O1096" i="9"/>
  <c r="R1449" i="2"/>
  <c r="R1096" i="9"/>
  <c r="V1449" i="2"/>
  <c r="V1096" i="9"/>
  <c r="Z1449" i="2"/>
  <c r="L5" i="5"/>
  <c r="N15" i="5"/>
  <c r="N30" i="5"/>
  <c r="O15" i="5"/>
  <c r="O19" i="5"/>
  <c r="P19" i="5"/>
  <c r="Q22" i="5"/>
  <c r="U6" i="2"/>
  <c r="S22" i="5"/>
  <c r="W6" i="2"/>
  <c r="T22" i="5"/>
  <c r="X6" i="2"/>
  <c r="U22" i="5"/>
  <c r="Y6" i="2"/>
  <c r="W22" i="5"/>
  <c r="AA6" i="2"/>
  <c r="X22" i="5"/>
  <c r="AB6" i="2"/>
  <c r="Y22" i="5"/>
  <c r="AC6" i="2"/>
  <c r="Z22" i="5"/>
  <c r="AD6" i="2"/>
  <c r="AA22" i="5"/>
  <c r="AE6" i="2"/>
  <c r="AB22" i="5"/>
  <c r="AF6" i="2"/>
  <c r="AC22" i="5"/>
  <c r="AG6" i="2"/>
  <c r="AD22" i="5"/>
  <c r="AE22" i="5"/>
  <c r="AI6" i="2"/>
  <c r="P24" i="5"/>
  <c r="R24" i="5"/>
  <c r="N25" i="5"/>
  <c r="Q7" i="2"/>
  <c r="R25" i="5"/>
  <c r="V7" i="2"/>
  <c r="R26" i="5"/>
  <c r="Q28" i="5"/>
  <c r="U9" i="2"/>
  <c r="S28" i="5"/>
  <c r="W9" i="2"/>
  <c r="W28" i="5"/>
  <c r="AA9" i="2"/>
  <c r="X28" i="5"/>
  <c r="Y28" i="5"/>
  <c r="AC9" i="2"/>
  <c r="Z28" i="5"/>
  <c r="AD9" i="2"/>
  <c r="P30" i="5"/>
  <c r="R30" i="5"/>
  <c r="N31" i="5"/>
  <c r="R31" i="5"/>
  <c r="R28" i="5"/>
  <c r="V9" i="2"/>
  <c r="O32" i="5"/>
  <c r="R11" i="2"/>
  <c r="R32" i="5"/>
  <c r="N32" i="5"/>
  <c r="V11" i="2"/>
  <c r="P35" i="5"/>
  <c r="Q38" i="5"/>
  <c r="U13" i="2"/>
  <c r="S38" i="5"/>
  <c r="W13" i="2"/>
  <c r="T38" i="5"/>
  <c r="X13" i="2"/>
  <c r="U38" i="5"/>
  <c r="Y13" i="2"/>
  <c r="W38" i="5"/>
  <c r="AA13" i="2"/>
  <c r="X38" i="5"/>
  <c r="AB13" i="2"/>
  <c r="Y38" i="5"/>
  <c r="AC13" i="2"/>
  <c r="Z38" i="5"/>
  <c r="AD13" i="2"/>
  <c r="AA38" i="5"/>
  <c r="AE13" i="2"/>
  <c r="AB38" i="5"/>
  <c r="AF13" i="2"/>
  <c r="AC38" i="5"/>
  <c r="AG13" i="2"/>
  <c r="AD38" i="5"/>
  <c r="AH13" i="2"/>
  <c r="AE38" i="5"/>
  <c r="AI13" i="2"/>
  <c r="O40" i="5"/>
  <c r="P40" i="5"/>
  <c r="R40" i="5"/>
  <c r="R41" i="5"/>
  <c r="R42" i="5"/>
  <c r="Q44" i="5"/>
  <c r="U16" i="2"/>
  <c r="S44" i="5"/>
  <c r="W16" i="2"/>
  <c r="W44" i="5"/>
  <c r="AA16" i="2"/>
  <c r="X44" i="5"/>
  <c r="Y44" i="5"/>
  <c r="AC16" i="2"/>
  <c r="Z44" i="5"/>
  <c r="AD16" i="2"/>
  <c r="P46" i="5"/>
  <c r="R46" i="5"/>
  <c r="Q17" i="2"/>
  <c r="O47" i="5"/>
  <c r="R47" i="5"/>
  <c r="N47" i="5"/>
  <c r="V17" i="2"/>
  <c r="R48" i="5"/>
  <c r="V18" i="2"/>
  <c r="P50" i="5"/>
  <c r="Q53" i="5"/>
  <c r="U20" i="2"/>
  <c r="S53" i="5"/>
  <c r="W20" i="2"/>
  <c r="T53" i="5"/>
  <c r="X20" i="2"/>
  <c r="U53" i="5"/>
  <c r="Y20" i="2"/>
  <c r="W53" i="5"/>
  <c r="AA20" i="2"/>
  <c r="X53" i="5"/>
  <c r="Y53" i="5"/>
  <c r="AC20" i="2"/>
  <c r="Z53" i="5"/>
  <c r="AD20" i="2"/>
  <c r="AA53" i="5"/>
  <c r="AE20" i="2"/>
  <c r="AB53" i="5"/>
  <c r="AF20" i="2"/>
  <c r="AC53" i="5"/>
  <c r="AG20" i="2"/>
  <c r="AD53" i="5"/>
  <c r="AH20" i="2"/>
  <c r="AE53" i="5"/>
  <c r="AI20" i="2"/>
  <c r="P55" i="5"/>
  <c r="R55" i="5"/>
  <c r="N56" i="5"/>
  <c r="Q21" i="2"/>
  <c r="R56" i="5"/>
  <c r="V21" i="2"/>
  <c r="N57" i="5"/>
  <c r="R57" i="5"/>
  <c r="V22" i="2"/>
  <c r="R58" i="5"/>
  <c r="R59" i="5"/>
  <c r="V24" i="2"/>
  <c r="Q61" i="5"/>
  <c r="U25" i="2"/>
  <c r="S61" i="5"/>
  <c r="W25" i="2"/>
  <c r="W61" i="5"/>
  <c r="AA25" i="2"/>
  <c r="X61" i="5"/>
  <c r="AB25" i="2"/>
  <c r="Y61" i="5"/>
  <c r="AC25" i="2"/>
  <c r="Z61" i="5"/>
  <c r="AD25" i="2"/>
  <c r="P63" i="5"/>
  <c r="R63" i="5"/>
  <c r="R64" i="5"/>
  <c r="R65" i="5"/>
  <c r="V27" i="2"/>
  <c r="N66" i="5"/>
  <c r="Q28" i="2"/>
  <c r="R66" i="5"/>
  <c r="R67" i="5"/>
  <c r="V29" i="2"/>
  <c r="Q69" i="5"/>
  <c r="U30" i="2"/>
  <c r="S69" i="5"/>
  <c r="W30" i="2"/>
  <c r="T69" i="5"/>
  <c r="X30" i="2"/>
  <c r="U69" i="5"/>
  <c r="Y30" i="2"/>
  <c r="W69" i="5"/>
  <c r="AA30" i="2"/>
  <c r="X69" i="5"/>
  <c r="AB30" i="2"/>
  <c r="Y69" i="5"/>
  <c r="AC30" i="2"/>
  <c r="Z69" i="5"/>
  <c r="AD30" i="2"/>
  <c r="AA69" i="5"/>
  <c r="AE30" i="2"/>
  <c r="AB69" i="5"/>
  <c r="AF30" i="2"/>
  <c r="AC69" i="5"/>
  <c r="AG30" i="2"/>
  <c r="AD69" i="5"/>
  <c r="AH30" i="2"/>
  <c r="AE69" i="5"/>
  <c r="AI30" i="2"/>
  <c r="P71" i="5"/>
  <c r="R71" i="5"/>
  <c r="R72" i="5"/>
  <c r="N72" i="5"/>
  <c r="V31" i="2"/>
  <c r="R73" i="5"/>
  <c r="V32" i="2"/>
  <c r="N74" i="5"/>
  <c r="R74" i="5"/>
  <c r="V33" i="2"/>
  <c r="R75" i="5"/>
  <c r="V34" i="2"/>
  <c r="Q77" i="5"/>
  <c r="U35" i="2"/>
  <c r="S77" i="5"/>
  <c r="W35" i="2"/>
  <c r="W77" i="5"/>
  <c r="AA35" i="2"/>
  <c r="X77" i="5"/>
  <c r="AB35" i="2"/>
  <c r="Y77" i="5"/>
  <c r="AC35" i="2"/>
  <c r="Z77" i="5"/>
  <c r="AD35" i="2"/>
  <c r="P79" i="5"/>
  <c r="R79" i="5"/>
  <c r="R80" i="5"/>
  <c r="N81" i="5"/>
  <c r="Q37" i="2"/>
  <c r="R81" i="5"/>
  <c r="V37" i="2"/>
  <c r="R82" i="5"/>
  <c r="N83" i="5"/>
  <c r="Q39" i="2"/>
  <c r="R83" i="5"/>
  <c r="V39" i="2"/>
  <c r="O85" i="5"/>
  <c r="P85" i="5"/>
  <c r="Q86" i="5"/>
  <c r="U40" i="2"/>
  <c r="S86" i="5"/>
  <c r="W40" i="2"/>
  <c r="T86" i="5"/>
  <c r="X40" i="2"/>
  <c r="U86" i="5"/>
  <c r="Y40" i="2"/>
  <c r="W86" i="5"/>
  <c r="AA40" i="2"/>
  <c r="Y86" i="5"/>
  <c r="AC40" i="2"/>
  <c r="Z86" i="5"/>
  <c r="AD40" i="2"/>
  <c r="AA86" i="5"/>
  <c r="AE40" i="2"/>
  <c r="AC86" i="5"/>
  <c r="AG40" i="2"/>
  <c r="AD86" i="5"/>
  <c r="AH40" i="2"/>
  <c r="AE86" i="5"/>
  <c r="AI40" i="2"/>
  <c r="P88" i="5"/>
  <c r="R88" i="5"/>
  <c r="R89" i="5"/>
  <c r="X89" i="5"/>
  <c r="AB41" i="2"/>
  <c r="AF41" i="2"/>
  <c r="R90" i="5"/>
  <c r="V42" i="2"/>
  <c r="O93" i="5"/>
  <c r="P93" i="5"/>
  <c r="Q96" i="5"/>
  <c r="U44" i="2"/>
  <c r="S96" i="5"/>
  <c r="T96" i="5"/>
  <c r="X44" i="2"/>
  <c r="U96" i="5"/>
  <c r="Y44" i="2"/>
  <c r="W96" i="5"/>
  <c r="AA44" i="2"/>
  <c r="X96" i="5"/>
  <c r="AB44" i="2"/>
  <c r="Y96" i="5"/>
  <c r="AC44" i="2"/>
  <c r="Z96" i="5"/>
  <c r="AD44" i="2"/>
  <c r="AA96" i="5"/>
  <c r="AE44" i="2"/>
  <c r="AB96" i="5"/>
  <c r="AC96" i="5"/>
  <c r="AD96" i="5"/>
  <c r="AH44" i="2"/>
  <c r="AE96" i="5"/>
  <c r="AI44" i="2"/>
  <c r="P98" i="5"/>
  <c r="R98" i="5"/>
  <c r="R99" i="5"/>
  <c r="R100" i="5"/>
  <c r="N101" i="5"/>
  <c r="R101" i="5"/>
  <c r="V47" i="2"/>
  <c r="N102" i="5"/>
  <c r="Q48" i="2"/>
  <c r="R102" i="5"/>
  <c r="V48" i="2"/>
  <c r="R103" i="5"/>
  <c r="R104" i="5"/>
  <c r="V50" i="2"/>
  <c r="R105" i="5"/>
  <c r="N105" i="5"/>
  <c r="R106" i="5"/>
  <c r="V52" i="2"/>
  <c r="Q108" i="5"/>
  <c r="U53" i="2"/>
  <c r="S108" i="5"/>
  <c r="W53" i="2"/>
  <c r="W108" i="5"/>
  <c r="AA53" i="2"/>
  <c r="X108" i="5"/>
  <c r="AB53" i="2"/>
  <c r="Y108" i="5"/>
  <c r="Z108" i="5"/>
  <c r="AD53" i="2"/>
  <c r="P110" i="5"/>
  <c r="R110" i="5"/>
  <c r="Q54" i="2"/>
  <c r="R111" i="5"/>
  <c r="N111" i="5"/>
  <c r="V54" i="2"/>
  <c r="N112" i="5"/>
  <c r="Q55" i="2"/>
  <c r="O112" i="5"/>
  <c r="R55" i="2"/>
  <c r="R112" i="5"/>
  <c r="V55" i="2"/>
  <c r="R113" i="5"/>
  <c r="V56" i="2"/>
  <c r="N114" i="5"/>
  <c r="Q57" i="2"/>
  <c r="O114" i="5"/>
  <c r="R57" i="2"/>
  <c r="R114" i="5"/>
  <c r="V57" i="2"/>
  <c r="R115" i="5"/>
  <c r="V58" i="2"/>
  <c r="N116" i="5"/>
  <c r="Q59" i="2"/>
  <c r="O116" i="5"/>
  <c r="R59" i="2"/>
  <c r="R116" i="5"/>
  <c r="V59" i="2"/>
  <c r="Q118" i="5"/>
  <c r="U60" i="2"/>
  <c r="S118" i="5"/>
  <c r="W60" i="2"/>
  <c r="T118" i="5"/>
  <c r="X60" i="2"/>
  <c r="W118" i="5"/>
  <c r="AA60" i="2"/>
  <c r="X118" i="5"/>
  <c r="AB60" i="2"/>
  <c r="Y118" i="5"/>
  <c r="AC60" i="2"/>
  <c r="Z118" i="5"/>
  <c r="AD60" i="2"/>
  <c r="AA118" i="5"/>
  <c r="AE60" i="2"/>
  <c r="AB118" i="5"/>
  <c r="AF60" i="2"/>
  <c r="AC118" i="5"/>
  <c r="AG60" i="2"/>
  <c r="AD118" i="5"/>
  <c r="AH60" i="2"/>
  <c r="AE118" i="5"/>
  <c r="AI60" i="2"/>
  <c r="P120" i="5"/>
  <c r="R120" i="5"/>
  <c r="R121" i="5"/>
  <c r="V61" i="2"/>
  <c r="R122" i="5"/>
  <c r="V62" i="2"/>
  <c r="Q124" i="5"/>
  <c r="U63" i="2"/>
  <c r="S124" i="5"/>
  <c r="W63" i="2"/>
  <c r="W124" i="5"/>
  <c r="AA63" i="2"/>
  <c r="X124" i="5"/>
  <c r="AB63" i="2"/>
  <c r="Y124" i="5"/>
  <c r="AC63" i="2"/>
  <c r="Z124" i="5"/>
  <c r="AD63" i="2"/>
  <c r="P126" i="5"/>
  <c r="R126" i="5"/>
  <c r="O127" i="5"/>
  <c r="R64" i="2"/>
  <c r="R127" i="5"/>
  <c r="N127" i="5"/>
  <c r="V64" i="2"/>
  <c r="R128" i="5"/>
  <c r="V65" i="2"/>
  <c r="Q130" i="5"/>
  <c r="U66" i="2"/>
  <c r="S130" i="5"/>
  <c r="W66" i="2"/>
  <c r="T130" i="5"/>
  <c r="X66" i="2"/>
  <c r="U130" i="5"/>
  <c r="Y66" i="2"/>
  <c r="W130" i="5"/>
  <c r="AA66" i="2"/>
  <c r="X130" i="5"/>
  <c r="AB66" i="2"/>
  <c r="Y130" i="5"/>
  <c r="AC66" i="2"/>
  <c r="Z130" i="5"/>
  <c r="AD66" i="2"/>
  <c r="AA130" i="5"/>
  <c r="AE66" i="2"/>
  <c r="AB130" i="5"/>
  <c r="AF66" i="2"/>
  <c r="AC130" i="5"/>
  <c r="AG66" i="2"/>
  <c r="AD130" i="5"/>
  <c r="AH66" i="2"/>
  <c r="AE130" i="5"/>
  <c r="AI66" i="2"/>
  <c r="O132" i="5"/>
  <c r="P132" i="5"/>
  <c r="R132" i="5"/>
  <c r="R133" i="5"/>
  <c r="R134" i="5"/>
  <c r="Q136" i="5"/>
  <c r="U69" i="2"/>
  <c r="R136" i="5"/>
  <c r="V69" i="2"/>
  <c r="S136" i="5"/>
  <c r="W69" i="2"/>
  <c r="W136" i="5"/>
  <c r="AA69" i="2"/>
  <c r="X136" i="5"/>
  <c r="AB69" i="2"/>
  <c r="Y136" i="5"/>
  <c r="AC69" i="2"/>
  <c r="Z136" i="5"/>
  <c r="AD69" i="2"/>
  <c r="P138" i="5"/>
  <c r="R138" i="5"/>
  <c r="R139" i="5"/>
  <c r="R140" i="5"/>
  <c r="Q142" i="5"/>
  <c r="U72" i="2"/>
  <c r="S142" i="5"/>
  <c r="W72" i="2"/>
  <c r="T142" i="5"/>
  <c r="X72" i="2"/>
  <c r="U142" i="5"/>
  <c r="Y72" i="2"/>
  <c r="W142" i="5"/>
  <c r="AA72" i="2"/>
  <c r="X142" i="5"/>
  <c r="AB72" i="2"/>
  <c r="Y142" i="5"/>
  <c r="AC72" i="2"/>
  <c r="Z142" i="5"/>
  <c r="AD72" i="2"/>
  <c r="AA142" i="5"/>
  <c r="AE72" i="2"/>
  <c r="AB142" i="5"/>
  <c r="AF72" i="2"/>
  <c r="AC142" i="5"/>
  <c r="AG72" i="2"/>
  <c r="AD142" i="5"/>
  <c r="AH72" i="2"/>
  <c r="AE142" i="5"/>
  <c r="AI72" i="2"/>
  <c r="P144" i="5"/>
  <c r="R144" i="5"/>
  <c r="R145" i="5"/>
  <c r="R146" i="5"/>
  <c r="V74" i="2"/>
  <c r="R147" i="5"/>
  <c r="N147" i="5"/>
  <c r="R148" i="5"/>
  <c r="V76" i="2"/>
  <c r="Q150" i="5"/>
  <c r="U77" i="2"/>
  <c r="S150" i="5"/>
  <c r="W77" i="2"/>
  <c r="W150" i="5"/>
  <c r="AA77" i="2"/>
  <c r="X150" i="5"/>
  <c r="AB77" i="2"/>
  <c r="Y150" i="5"/>
  <c r="AC77" i="2"/>
  <c r="Z150" i="5"/>
  <c r="AD77" i="2"/>
  <c r="O152" i="5"/>
  <c r="P152" i="5"/>
  <c r="R152" i="5"/>
  <c r="R153" i="5"/>
  <c r="V78" i="2"/>
  <c r="O154" i="5"/>
  <c r="R79" i="2"/>
  <c r="R154" i="5"/>
  <c r="V79" i="2"/>
  <c r="R155" i="5"/>
  <c r="V80" i="2"/>
  <c r="R156" i="5"/>
  <c r="V81" i="2"/>
  <c r="P158" i="5"/>
  <c r="Q161" i="5"/>
  <c r="U83" i="2"/>
  <c r="S161" i="5"/>
  <c r="W83" i="2"/>
  <c r="W161" i="5"/>
  <c r="AA83" i="2"/>
  <c r="X161" i="5"/>
  <c r="AB83" i="2"/>
  <c r="Y161" i="5"/>
  <c r="AC83" i="2"/>
  <c r="Z161" i="5"/>
  <c r="AD83" i="2"/>
  <c r="P163" i="5"/>
  <c r="R163" i="5"/>
  <c r="R164" i="5"/>
  <c r="N164" i="5"/>
  <c r="Q84" i="2"/>
  <c r="V84" i="2"/>
  <c r="N165" i="5"/>
  <c r="Q85" i="2"/>
  <c r="O165" i="5"/>
  <c r="R165" i="5"/>
  <c r="V85" i="2"/>
  <c r="Q167" i="5"/>
  <c r="U86" i="2"/>
  <c r="S167" i="5"/>
  <c r="W86" i="2"/>
  <c r="W167" i="5"/>
  <c r="AA86" i="2"/>
  <c r="X167" i="5"/>
  <c r="AB86" i="2"/>
  <c r="Y167" i="5"/>
  <c r="AC86" i="2"/>
  <c r="Z167" i="5"/>
  <c r="AD86" i="2"/>
  <c r="P169" i="5"/>
  <c r="R169" i="5"/>
  <c r="Q87" i="2"/>
  <c r="R170" i="5"/>
  <c r="N170" i="5"/>
  <c r="V87" i="2"/>
  <c r="R171" i="5"/>
  <c r="Q173" i="5"/>
  <c r="U89" i="2"/>
  <c r="S173" i="5"/>
  <c r="W89" i="2"/>
  <c r="W173" i="5"/>
  <c r="AA89" i="2"/>
  <c r="X173" i="5"/>
  <c r="AB89" i="2"/>
  <c r="Y173" i="5"/>
  <c r="AC89" i="2"/>
  <c r="Z173" i="5"/>
  <c r="AD89" i="2"/>
  <c r="O175" i="5"/>
  <c r="P175" i="5"/>
  <c r="R175" i="5"/>
  <c r="R176" i="5"/>
  <c r="N177" i="5"/>
  <c r="Q91" i="2"/>
  <c r="R177" i="5"/>
  <c r="V91" i="2"/>
  <c r="Q179" i="5"/>
  <c r="U92" i="2"/>
  <c r="W179" i="5"/>
  <c r="AA92" i="2"/>
  <c r="X179" i="5"/>
  <c r="AB92" i="2"/>
  <c r="Y179" i="5"/>
  <c r="AC92" i="2"/>
  <c r="Z179" i="5"/>
  <c r="AD92" i="2"/>
  <c r="O181" i="5"/>
  <c r="P181" i="5"/>
  <c r="R181" i="5"/>
  <c r="R182" i="5"/>
  <c r="S182" i="5"/>
  <c r="W93" i="2"/>
  <c r="R183" i="5"/>
  <c r="S183" i="5"/>
  <c r="W94" i="2"/>
  <c r="P185" i="5"/>
  <c r="O188" i="5"/>
  <c r="P188" i="5"/>
  <c r="Q191" i="5"/>
  <c r="S191" i="5"/>
  <c r="W97" i="2"/>
  <c r="T191" i="5"/>
  <c r="X97" i="2"/>
  <c r="U191" i="5"/>
  <c r="Y97" i="2"/>
  <c r="W191" i="5"/>
  <c r="AA97" i="2"/>
  <c r="X191" i="5"/>
  <c r="AB97" i="2"/>
  <c r="Y191" i="5"/>
  <c r="AC97" i="2"/>
  <c r="Z191" i="5"/>
  <c r="AA191" i="5"/>
  <c r="AB191" i="5"/>
  <c r="AC191" i="5"/>
  <c r="AG97" i="2"/>
  <c r="AD191" i="5"/>
  <c r="AH97" i="2"/>
  <c r="AE191" i="5"/>
  <c r="AI97" i="2"/>
  <c r="O193" i="5"/>
  <c r="P193" i="5"/>
  <c r="R193" i="5"/>
  <c r="N194" i="5"/>
  <c r="R194" i="5"/>
  <c r="V98" i="2"/>
  <c r="R195" i="5"/>
  <c r="V99" i="2"/>
  <c r="N196" i="5"/>
  <c r="Q100" i="2"/>
  <c r="R196" i="5"/>
  <c r="V100" i="2"/>
  <c r="R197" i="5"/>
  <c r="V101" i="2"/>
  <c r="R198" i="5"/>
  <c r="V102" i="2"/>
  <c r="R199" i="5"/>
  <c r="V103" i="2"/>
  <c r="Q201" i="5"/>
  <c r="U104" i="2"/>
  <c r="S201" i="5"/>
  <c r="S189" i="5"/>
  <c r="W96" i="2"/>
  <c r="W104" i="2"/>
  <c r="T201" i="5"/>
  <c r="X104" i="2"/>
  <c r="U201" i="5"/>
  <c r="Y104" i="2"/>
  <c r="W201" i="5"/>
  <c r="AA104" i="2"/>
  <c r="X201" i="5"/>
  <c r="AB104" i="2"/>
  <c r="Y201" i="5"/>
  <c r="AC104" i="2"/>
  <c r="Z201" i="5"/>
  <c r="AD104" i="2"/>
  <c r="AA201" i="5"/>
  <c r="AE104" i="2"/>
  <c r="AB201" i="5"/>
  <c r="AF104" i="2"/>
  <c r="AC201" i="5"/>
  <c r="AG104" i="2"/>
  <c r="AD201" i="5"/>
  <c r="AH104" i="2"/>
  <c r="AE201" i="5"/>
  <c r="AI104" i="2"/>
  <c r="O203" i="5"/>
  <c r="P203" i="5"/>
  <c r="R203" i="5"/>
  <c r="O204" i="5"/>
  <c r="R204" i="5"/>
  <c r="N204" i="5"/>
  <c r="Q105" i="2"/>
  <c r="V105" i="2"/>
  <c r="N205" i="5"/>
  <c r="Q106" i="2"/>
  <c r="R205" i="5"/>
  <c r="V106" i="2"/>
  <c r="R206" i="5"/>
  <c r="N206" i="5"/>
  <c r="N207" i="5"/>
  <c r="Q108" i="2"/>
  <c r="R207" i="5"/>
  <c r="V108" i="2"/>
  <c r="R208" i="5"/>
  <c r="V109" i="2"/>
  <c r="R209" i="5"/>
  <c r="V110" i="2"/>
  <c r="O211" i="5"/>
  <c r="P211" i="5"/>
  <c r="Q216" i="5"/>
  <c r="U113" i="2"/>
  <c r="S216" i="5"/>
  <c r="W113" i="2"/>
  <c r="T216" i="5"/>
  <c r="X113" i="2"/>
  <c r="U216" i="5"/>
  <c r="Y113" i="2"/>
  <c r="W216" i="5"/>
  <c r="AA113" i="2"/>
  <c r="X216" i="5"/>
  <c r="AB113" i="2"/>
  <c r="Y216" i="5"/>
  <c r="AC113" i="2"/>
  <c r="Z216" i="5"/>
  <c r="AD113" i="2"/>
  <c r="AA216" i="5"/>
  <c r="AE113" i="2"/>
  <c r="AB216" i="5"/>
  <c r="AF113" i="2"/>
  <c r="AC216" i="5"/>
  <c r="AG113" i="2"/>
  <c r="AD216" i="5"/>
  <c r="AH113" i="2"/>
  <c r="AE216" i="5"/>
  <c r="AI113" i="2"/>
  <c r="O218" i="5"/>
  <c r="P218" i="5"/>
  <c r="R218" i="5"/>
  <c r="N219" i="5"/>
  <c r="Q114" i="2"/>
  <c r="R219" i="5"/>
  <c r="V114" i="2"/>
  <c r="R220" i="5"/>
  <c r="R221" i="5"/>
  <c r="R222" i="5"/>
  <c r="Q224" i="5"/>
  <c r="U118" i="2"/>
  <c r="S224" i="5"/>
  <c r="W118" i="2"/>
  <c r="W224" i="5"/>
  <c r="AA118" i="2"/>
  <c r="X224" i="5"/>
  <c r="Y224" i="5"/>
  <c r="AC118" i="2"/>
  <c r="Z224" i="5"/>
  <c r="AD118" i="2"/>
  <c r="O226" i="5"/>
  <c r="P226" i="5"/>
  <c r="R226" i="5"/>
  <c r="O227" i="5"/>
  <c r="R227" i="5"/>
  <c r="V119" i="2"/>
  <c r="R228" i="5"/>
  <c r="V120" i="2"/>
  <c r="O229" i="5"/>
  <c r="R229" i="5"/>
  <c r="V121" i="2"/>
  <c r="R230" i="5"/>
  <c r="V122" i="2"/>
  <c r="Q234" i="5"/>
  <c r="U124" i="2"/>
  <c r="S234" i="5"/>
  <c r="W124" i="2"/>
  <c r="T234" i="5"/>
  <c r="X124" i="2"/>
  <c r="U234" i="5"/>
  <c r="Y124" i="2"/>
  <c r="W234" i="5"/>
  <c r="AA124" i="2"/>
  <c r="X234" i="5"/>
  <c r="AB124" i="2"/>
  <c r="Y234" i="5"/>
  <c r="AC124" i="2"/>
  <c r="Z234" i="5"/>
  <c r="AD124" i="2"/>
  <c r="AA234" i="5"/>
  <c r="AE124" i="2"/>
  <c r="AB234" i="5"/>
  <c r="AF124" i="2"/>
  <c r="AC234" i="5"/>
  <c r="AG124" i="2"/>
  <c r="AD234" i="5"/>
  <c r="AH124" i="2"/>
  <c r="AE234" i="5"/>
  <c r="AI124" i="2"/>
  <c r="P236" i="5"/>
  <c r="R236" i="5"/>
  <c r="R237" i="5"/>
  <c r="V125" i="2"/>
  <c r="R238" i="5"/>
  <c r="V126" i="2"/>
  <c r="R239" i="5"/>
  <c r="N239" i="5"/>
  <c r="R240" i="5"/>
  <c r="V128" i="2"/>
  <c r="Q242" i="5"/>
  <c r="U129" i="2"/>
  <c r="S242" i="5"/>
  <c r="W129" i="2"/>
  <c r="W242" i="5"/>
  <c r="AA129" i="2"/>
  <c r="X242" i="5"/>
  <c r="AB129" i="2"/>
  <c r="Y242" i="5"/>
  <c r="AC129" i="2"/>
  <c r="Z242" i="5"/>
  <c r="AD129" i="2"/>
  <c r="O244" i="5"/>
  <c r="P244" i="5"/>
  <c r="R244" i="5"/>
  <c r="R245" i="5"/>
  <c r="V130" i="2"/>
  <c r="N246" i="5"/>
  <c r="Q131" i="2"/>
  <c r="R246" i="5"/>
  <c r="O246" i="5"/>
  <c r="R131" i="2"/>
  <c r="R247" i="5"/>
  <c r="V132" i="2"/>
  <c r="R248" i="5"/>
  <c r="O250" i="5"/>
  <c r="P250" i="5"/>
  <c r="Q253" i="5"/>
  <c r="U135" i="2"/>
  <c r="S253" i="5"/>
  <c r="W135" i="2"/>
  <c r="T253" i="5"/>
  <c r="X135" i="2"/>
  <c r="U253" i="5"/>
  <c r="Y135" i="2"/>
  <c r="W253" i="5"/>
  <c r="AA135" i="2"/>
  <c r="X253" i="5"/>
  <c r="AB135" i="2"/>
  <c r="Y253" i="5"/>
  <c r="AC135" i="2"/>
  <c r="Z253" i="5"/>
  <c r="AD135" i="2"/>
  <c r="AA253" i="5"/>
  <c r="AE135" i="2"/>
  <c r="AB253" i="5"/>
  <c r="AF135" i="2"/>
  <c r="AD253" i="5"/>
  <c r="AH135" i="2"/>
  <c r="AE253" i="5"/>
  <c r="AI135" i="2"/>
  <c r="O255" i="5"/>
  <c r="P255" i="5"/>
  <c r="R255" i="5"/>
  <c r="R256" i="5"/>
  <c r="V136" i="2"/>
  <c r="R257" i="5"/>
  <c r="V137" i="2"/>
  <c r="R258" i="5"/>
  <c r="V138" i="2"/>
  <c r="R259" i="5"/>
  <c r="V139" i="2"/>
  <c r="AC259" i="5"/>
  <c r="AG139" i="2"/>
  <c r="R260" i="5"/>
  <c r="V140" i="2"/>
  <c r="R261" i="5"/>
  <c r="R262" i="5"/>
  <c r="V142" i="2"/>
  <c r="N263" i="5"/>
  <c r="R263" i="5"/>
  <c r="V143" i="2"/>
  <c r="R264" i="5"/>
  <c r="V144" i="2"/>
  <c r="R265" i="5"/>
  <c r="V145" i="2"/>
  <c r="R266" i="5"/>
  <c r="V146" i="2"/>
  <c r="R267" i="5"/>
  <c r="N267" i="5"/>
  <c r="R268" i="5"/>
  <c r="V148" i="2"/>
  <c r="R269" i="5"/>
  <c r="N269" i="5"/>
  <c r="Q271" i="5"/>
  <c r="U150" i="2"/>
  <c r="R271" i="5"/>
  <c r="V150" i="2"/>
  <c r="S271" i="5"/>
  <c r="W150" i="2"/>
  <c r="W271" i="5"/>
  <c r="AA150" i="2"/>
  <c r="X271" i="5"/>
  <c r="AB150" i="2"/>
  <c r="Y271" i="5"/>
  <c r="AC150" i="2"/>
  <c r="Z271" i="5"/>
  <c r="AD150" i="2"/>
  <c r="O273" i="5"/>
  <c r="P273" i="5"/>
  <c r="R273" i="5"/>
  <c r="N274" i="5"/>
  <c r="Q151" i="2"/>
  <c r="R274" i="5"/>
  <c r="O274" i="5"/>
  <c r="R151" i="2"/>
  <c r="V151" i="2"/>
  <c r="R275" i="5"/>
  <c r="V152" i="2"/>
  <c r="N276" i="5"/>
  <c r="Q153" i="2"/>
  <c r="R276" i="5"/>
  <c r="O276" i="5"/>
  <c r="R153" i="2"/>
  <c r="V153" i="2"/>
  <c r="R277" i="5"/>
  <c r="V154" i="2"/>
  <c r="N278" i="5"/>
  <c r="Q155" i="2"/>
  <c r="R278" i="5"/>
  <c r="O278" i="5"/>
  <c r="R155" i="2"/>
  <c r="V155" i="2"/>
  <c r="R279" i="5"/>
  <c r="V156" i="2"/>
  <c r="N280" i="5"/>
  <c r="Q157" i="2"/>
  <c r="R280" i="5"/>
  <c r="O280" i="5"/>
  <c r="R157" i="2"/>
  <c r="V157" i="2"/>
  <c r="R281" i="5"/>
  <c r="V158" i="2"/>
  <c r="N282" i="5"/>
  <c r="Q159" i="2"/>
  <c r="R282" i="5"/>
  <c r="O282" i="5"/>
  <c r="R159" i="2"/>
  <c r="V159" i="2"/>
  <c r="R283" i="5"/>
  <c r="V160" i="2"/>
  <c r="N284" i="5"/>
  <c r="Q161" i="2"/>
  <c r="R284" i="5"/>
  <c r="O284" i="5"/>
  <c r="R161" i="2"/>
  <c r="V161" i="2"/>
  <c r="R285" i="5"/>
  <c r="V162" i="2"/>
  <c r="N286" i="5"/>
  <c r="Q163" i="2"/>
  <c r="R286" i="5"/>
  <c r="O286" i="5"/>
  <c r="R163" i="2"/>
  <c r="V163" i="2"/>
  <c r="R287" i="5"/>
  <c r="V164" i="2"/>
  <c r="O289" i="5"/>
  <c r="P289" i="5"/>
  <c r="Q292" i="5"/>
  <c r="U166" i="2"/>
  <c r="S292" i="5"/>
  <c r="T292" i="5"/>
  <c r="X166" i="2"/>
  <c r="U292" i="5"/>
  <c r="Y166" i="2"/>
  <c r="W292" i="5"/>
  <c r="AA166" i="2"/>
  <c r="X292" i="5"/>
  <c r="AB166" i="2"/>
  <c r="Y292" i="5"/>
  <c r="AC166" i="2"/>
  <c r="Z292" i="5"/>
  <c r="AD166" i="2"/>
  <c r="AA292" i="5"/>
  <c r="AE166" i="2"/>
  <c r="AC292" i="5"/>
  <c r="AG166" i="2"/>
  <c r="AD292" i="5"/>
  <c r="AH166" i="2"/>
  <c r="AE292" i="5"/>
  <c r="AI166" i="2"/>
  <c r="O294" i="5"/>
  <c r="P294" i="5"/>
  <c r="R294" i="5"/>
  <c r="R295" i="5"/>
  <c r="V167" i="2"/>
  <c r="R296" i="5"/>
  <c r="N296" i="5"/>
  <c r="Q168" i="2"/>
  <c r="AB296" i="5"/>
  <c r="AF168" i="2"/>
  <c r="N297" i="5"/>
  <c r="R297" i="5"/>
  <c r="V169" i="2"/>
  <c r="R298" i="5"/>
  <c r="V170" i="2"/>
  <c r="N299" i="5"/>
  <c r="R299" i="5"/>
  <c r="V171" i="2"/>
  <c r="R300" i="5"/>
  <c r="V172" i="2"/>
  <c r="Q302" i="5"/>
  <c r="U173" i="2"/>
  <c r="S302" i="5"/>
  <c r="W173" i="2"/>
  <c r="W302" i="5"/>
  <c r="AA173" i="2"/>
  <c r="X302" i="5"/>
  <c r="AB173" i="2"/>
  <c r="Y302" i="5"/>
  <c r="AC173" i="2"/>
  <c r="Z302" i="5"/>
  <c r="AD173" i="2"/>
  <c r="O304" i="5"/>
  <c r="P304" i="5"/>
  <c r="R304" i="5"/>
  <c r="R305" i="5"/>
  <c r="V174" i="2"/>
  <c r="R306" i="5"/>
  <c r="R307" i="5"/>
  <c r="V176" i="2"/>
  <c r="R308" i="5"/>
  <c r="V177" i="2"/>
  <c r="R309" i="5"/>
  <c r="V178" i="2"/>
  <c r="O310" i="5"/>
  <c r="R179" i="2"/>
  <c r="R310" i="5"/>
  <c r="V179" i="2"/>
  <c r="O312" i="5"/>
  <c r="P312" i="5"/>
  <c r="Q315" i="5"/>
  <c r="U181" i="2"/>
  <c r="S315" i="5"/>
  <c r="W181" i="2"/>
  <c r="T315" i="5"/>
  <c r="X181" i="2"/>
  <c r="U315" i="5"/>
  <c r="Y181" i="2"/>
  <c r="W315" i="5"/>
  <c r="AA181" i="2"/>
  <c r="X315" i="5"/>
  <c r="AB181" i="2"/>
  <c r="Y315" i="5"/>
  <c r="AC181" i="2"/>
  <c r="Z315" i="5"/>
  <c r="AD181" i="2"/>
  <c r="AA315" i="5"/>
  <c r="AE181" i="2"/>
  <c r="AB315" i="5"/>
  <c r="AF181" i="2"/>
  <c r="AC315" i="5"/>
  <c r="AG181" i="2"/>
  <c r="AD315" i="5"/>
  <c r="AH181" i="2"/>
  <c r="AE315" i="5"/>
  <c r="AI181" i="2"/>
  <c r="O317" i="5"/>
  <c r="P317" i="5"/>
  <c r="R317" i="5"/>
  <c r="R318" i="5"/>
  <c r="R319" i="5"/>
  <c r="V183" i="2"/>
  <c r="N320" i="5"/>
  <c r="Q184" i="2"/>
  <c r="R320" i="5"/>
  <c r="V184" i="2"/>
  <c r="R321" i="5"/>
  <c r="V185" i="2"/>
  <c r="R322" i="5"/>
  <c r="R323" i="5"/>
  <c r="V187" i="2"/>
  <c r="N324" i="5"/>
  <c r="Q188" i="2"/>
  <c r="R324" i="5"/>
  <c r="V188" i="2"/>
  <c r="R325" i="5"/>
  <c r="V189" i="2"/>
  <c r="Q327" i="5"/>
  <c r="U190" i="2"/>
  <c r="S327" i="5"/>
  <c r="W190" i="2"/>
  <c r="W327" i="5"/>
  <c r="AA190" i="2"/>
  <c r="X327" i="5"/>
  <c r="AB190" i="2"/>
  <c r="Z327" i="5"/>
  <c r="AD190" i="2"/>
  <c r="O329" i="5"/>
  <c r="P329" i="5"/>
  <c r="R329" i="5"/>
  <c r="R330" i="5"/>
  <c r="V191" i="2"/>
  <c r="R331" i="5"/>
  <c r="N332" i="5"/>
  <c r="Q193" i="2"/>
  <c r="O332" i="5"/>
  <c r="R193" i="2"/>
  <c r="R332" i="5"/>
  <c r="V193" i="2"/>
  <c r="R333" i="5"/>
  <c r="R195" i="2"/>
  <c r="R334" i="5"/>
  <c r="O334" i="5"/>
  <c r="R335" i="5"/>
  <c r="Y335" i="5"/>
  <c r="AC196" i="2"/>
  <c r="N336" i="5"/>
  <c r="Q197" i="2"/>
  <c r="O336" i="5"/>
  <c r="R197" i="2"/>
  <c r="R336" i="5"/>
  <c r="V197" i="2"/>
  <c r="R337" i="5"/>
  <c r="V198" i="2"/>
  <c r="O339" i="5"/>
  <c r="P339" i="5"/>
  <c r="X340" i="5"/>
  <c r="AB199" i="2"/>
  <c r="Q342" i="5"/>
  <c r="U200" i="2"/>
  <c r="S342" i="5"/>
  <c r="W200" i="2"/>
  <c r="T342" i="5"/>
  <c r="X200" i="2"/>
  <c r="U342" i="5"/>
  <c r="Y200" i="2"/>
  <c r="W342" i="5"/>
  <c r="AA200" i="2"/>
  <c r="X342" i="5"/>
  <c r="AB200" i="2"/>
  <c r="Y342" i="5"/>
  <c r="AC200" i="2"/>
  <c r="Z342" i="5"/>
  <c r="AD200" i="2"/>
  <c r="AA342" i="5"/>
  <c r="AE200" i="2"/>
  <c r="AB342" i="5"/>
  <c r="AF200" i="2"/>
  <c r="AC342" i="5"/>
  <c r="AG200" i="2"/>
  <c r="AD342" i="5"/>
  <c r="AH200" i="2"/>
  <c r="AE342" i="5"/>
  <c r="AI200" i="2"/>
  <c r="O344" i="5"/>
  <c r="P344" i="5"/>
  <c r="R344" i="5"/>
  <c r="R345" i="5"/>
  <c r="V201" i="2"/>
  <c r="N346" i="5"/>
  <c r="Q202" i="2"/>
  <c r="O346" i="5"/>
  <c r="R202" i="2"/>
  <c r="R346" i="5"/>
  <c r="V202" i="2"/>
  <c r="R347" i="5"/>
  <c r="V203" i="2"/>
  <c r="N348" i="5"/>
  <c r="Q204" i="2"/>
  <c r="O348" i="5"/>
  <c r="R204" i="2"/>
  <c r="R348" i="5"/>
  <c r="V204" i="2"/>
  <c r="R349" i="5"/>
  <c r="V205" i="2"/>
  <c r="N350" i="5"/>
  <c r="Q206" i="2"/>
  <c r="R350" i="5"/>
  <c r="V206" i="2"/>
  <c r="R351" i="5"/>
  <c r="V207" i="2"/>
  <c r="N352" i="5"/>
  <c r="Q208" i="2"/>
  <c r="O352" i="5"/>
  <c r="R208" i="2"/>
  <c r="R352" i="5"/>
  <c r="V208" i="2"/>
  <c r="R353" i="5"/>
  <c r="V209" i="2"/>
  <c r="N354" i="5"/>
  <c r="Q210" i="2"/>
  <c r="O354" i="5"/>
  <c r="R210" i="2"/>
  <c r="R354" i="5"/>
  <c r="V210" i="2"/>
  <c r="Q357" i="5"/>
  <c r="U211" i="2"/>
  <c r="S357" i="5"/>
  <c r="W211" i="2"/>
  <c r="W357" i="5"/>
  <c r="AA211" i="2"/>
  <c r="X357" i="5"/>
  <c r="AB211" i="2"/>
  <c r="Y357" i="5"/>
  <c r="AC211" i="2"/>
  <c r="Z357" i="5"/>
  <c r="AD211" i="2"/>
  <c r="N359" i="5"/>
  <c r="O359" i="5"/>
  <c r="P359" i="5"/>
  <c r="R359" i="5"/>
  <c r="R360" i="5"/>
  <c r="N361" i="5"/>
  <c r="Q213" i="2"/>
  <c r="R361" i="5"/>
  <c r="O361" i="5"/>
  <c r="R213" i="2"/>
  <c r="V213" i="2"/>
  <c r="R362" i="5"/>
  <c r="O362" i="5"/>
  <c r="R214" i="2"/>
  <c r="V214" i="2"/>
  <c r="O363" i="5"/>
  <c r="R215" i="2"/>
  <c r="R363" i="5"/>
  <c r="O364" i="5"/>
  <c r="R216" i="2"/>
  <c r="R364" i="5"/>
  <c r="V216" i="2"/>
  <c r="N365" i="5"/>
  <c r="Q217" i="2"/>
  <c r="R365" i="5"/>
  <c r="O365" i="5"/>
  <c r="R217" i="2"/>
  <c r="R366" i="5"/>
  <c r="O366" i="5"/>
  <c r="R218" i="2"/>
  <c r="V218" i="2"/>
  <c r="N367" i="5"/>
  <c r="Q219" i="2"/>
  <c r="O367" i="5"/>
  <c r="R219" i="2"/>
  <c r="R367" i="5"/>
  <c r="V219" i="2"/>
  <c r="R368" i="5"/>
  <c r="N369" i="5"/>
  <c r="Q221" i="2"/>
  <c r="R369" i="5"/>
  <c r="O369" i="5"/>
  <c r="R221" i="2"/>
  <c r="O371" i="5"/>
  <c r="P371" i="5"/>
  <c r="X372" i="5"/>
  <c r="AB222" i="2"/>
  <c r="Q374" i="5"/>
  <c r="U223" i="2"/>
  <c r="S374" i="5"/>
  <c r="W223" i="2"/>
  <c r="T374" i="5"/>
  <c r="X223" i="2"/>
  <c r="U374" i="5"/>
  <c r="Y223" i="2"/>
  <c r="W374" i="5"/>
  <c r="AA223" i="2"/>
  <c r="X374" i="5"/>
  <c r="AB223" i="2"/>
  <c r="Y374" i="5"/>
  <c r="AC223" i="2"/>
  <c r="Z374" i="5"/>
  <c r="AD223" i="2"/>
  <c r="AA374" i="5"/>
  <c r="AE223" i="2"/>
  <c r="AB374" i="5"/>
  <c r="AF223" i="2"/>
  <c r="AC374" i="5"/>
  <c r="AG223" i="2"/>
  <c r="AD374" i="5"/>
  <c r="AH223" i="2"/>
  <c r="AE374" i="5"/>
  <c r="AI223" i="2"/>
  <c r="O376" i="5"/>
  <c r="P376" i="5"/>
  <c r="R376" i="5"/>
  <c r="R377" i="5"/>
  <c r="R374" i="5"/>
  <c r="V223" i="2"/>
  <c r="O379" i="5"/>
  <c r="P379" i="5"/>
  <c r="Q382" i="5"/>
  <c r="U226" i="2"/>
  <c r="S382" i="5"/>
  <c r="T382" i="5"/>
  <c r="X226" i="2"/>
  <c r="U382" i="5"/>
  <c r="Y226" i="2"/>
  <c r="W382" i="5"/>
  <c r="AA226" i="2"/>
  <c r="X382" i="5"/>
  <c r="AB226" i="2"/>
  <c r="Y382" i="5"/>
  <c r="AC226" i="2"/>
  <c r="Z382" i="5"/>
  <c r="AD226" i="2"/>
  <c r="AA382" i="5"/>
  <c r="AE226" i="2"/>
  <c r="AB382" i="5"/>
  <c r="AF226" i="2"/>
  <c r="AC382" i="5"/>
  <c r="AG226" i="2"/>
  <c r="AD382" i="5"/>
  <c r="AH226" i="2"/>
  <c r="AE382" i="5"/>
  <c r="AI226" i="2"/>
  <c r="O384" i="5"/>
  <c r="P384" i="5"/>
  <c r="R384" i="5"/>
  <c r="R385" i="5"/>
  <c r="V227" i="2"/>
  <c r="R386" i="5"/>
  <c r="V228" i="2"/>
  <c r="R387" i="5"/>
  <c r="V229" i="2"/>
  <c r="R388" i="5"/>
  <c r="V230" i="2"/>
  <c r="R389" i="5"/>
  <c r="V231" i="2"/>
  <c r="R390" i="5"/>
  <c r="V232" i="2"/>
  <c r="R391" i="5"/>
  <c r="V233" i="2"/>
  <c r="R392" i="5"/>
  <c r="V234" i="2"/>
  <c r="R393" i="5"/>
  <c r="V235" i="2"/>
  <c r="R394" i="5"/>
  <c r="V236" i="2"/>
  <c r="R395" i="5"/>
  <c r="V237" i="2"/>
  <c r="R396" i="5"/>
  <c r="V238" i="2"/>
  <c r="Q399" i="5"/>
  <c r="U239" i="2"/>
  <c r="S399" i="5"/>
  <c r="W239" i="2"/>
  <c r="W399" i="5"/>
  <c r="AA239" i="2"/>
  <c r="X399" i="5"/>
  <c r="AB239" i="2"/>
  <c r="Y399" i="5"/>
  <c r="AC239" i="2"/>
  <c r="Z399" i="5"/>
  <c r="AD239" i="2"/>
  <c r="O401" i="5"/>
  <c r="P401" i="5"/>
  <c r="R401" i="5"/>
  <c r="R402" i="5"/>
  <c r="N402" i="5"/>
  <c r="V240" i="2"/>
  <c r="O403" i="5"/>
  <c r="R241" i="2"/>
  <c r="R403" i="5"/>
  <c r="V241" i="2"/>
  <c r="R404" i="5"/>
  <c r="R405" i="5"/>
  <c r="V243" i="2"/>
  <c r="R406" i="5"/>
  <c r="N406" i="5"/>
  <c r="Q244" i="2"/>
  <c r="R407" i="5"/>
  <c r="O407" i="5"/>
  <c r="R245" i="2"/>
  <c r="O408" i="5"/>
  <c r="R246" i="2"/>
  <c r="R408" i="5"/>
  <c r="V246" i="2"/>
  <c r="R409" i="5"/>
  <c r="O409" i="5"/>
  <c r="R247" i="2"/>
  <c r="O410" i="5"/>
  <c r="R248" i="2"/>
  <c r="R410" i="5"/>
  <c r="V248" i="2"/>
  <c r="O411" i="5"/>
  <c r="R249" i="2"/>
  <c r="R411" i="5"/>
  <c r="V249" i="2"/>
  <c r="N412" i="5"/>
  <c r="Q250" i="2"/>
  <c r="O412" i="5"/>
  <c r="R250" i="2"/>
  <c r="R412" i="5"/>
  <c r="V250" i="2"/>
  <c r="R413" i="5"/>
  <c r="V251" i="2"/>
  <c r="N416" i="5"/>
  <c r="O416" i="5"/>
  <c r="P416" i="5"/>
  <c r="Q417" i="5"/>
  <c r="U252" i="2"/>
  <c r="S417" i="5"/>
  <c r="W252" i="2"/>
  <c r="T417" i="5"/>
  <c r="X252" i="2"/>
  <c r="U417" i="5"/>
  <c r="Y252" i="2"/>
  <c r="W417" i="5"/>
  <c r="AA252" i="2"/>
  <c r="X417" i="5"/>
  <c r="AB252" i="2"/>
  <c r="Y417" i="5"/>
  <c r="AC252" i="2"/>
  <c r="Z417" i="5"/>
  <c r="AD252" i="2"/>
  <c r="AA417" i="5"/>
  <c r="AE252" i="2"/>
  <c r="AB417" i="5"/>
  <c r="AF252" i="2"/>
  <c r="AC417" i="5"/>
  <c r="AG252" i="2"/>
  <c r="AD417" i="5"/>
  <c r="AH252" i="2"/>
  <c r="O419" i="5"/>
  <c r="P419" i="5"/>
  <c r="R419" i="5"/>
  <c r="N420" i="5"/>
  <c r="R420" i="5"/>
  <c r="V253" i="2"/>
  <c r="AE420" i="5"/>
  <c r="AE417" i="5"/>
  <c r="AI252" i="2"/>
  <c r="AI253" i="2"/>
  <c r="R421" i="5"/>
  <c r="R422" i="5"/>
  <c r="N422" i="5"/>
  <c r="Q255" i="2"/>
  <c r="V255" i="2"/>
  <c r="O424" i="5"/>
  <c r="P424" i="5"/>
  <c r="Q427" i="5"/>
  <c r="U257" i="2"/>
  <c r="S427" i="5"/>
  <c r="W257" i="2"/>
  <c r="W427" i="5"/>
  <c r="AA257" i="2"/>
  <c r="X427" i="5"/>
  <c r="AB257" i="2"/>
  <c r="Y427" i="5"/>
  <c r="AC257" i="2"/>
  <c r="Z427" i="5"/>
  <c r="AD257" i="2"/>
  <c r="O429" i="5"/>
  <c r="P429" i="5"/>
  <c r="R429" i="5"/>
  <c r="N430" i="5"/>
  <c r="Q258" i="2"/>
  <c r="R430" i="5"/>
  <c r="V258" i="2"/>
  <c r="N431" i="5"/>
  <c r="Q259" i="2"/>
  <c r="O431" i="5"/>
  <c r="R431" i="5"/>
  <c r="V259" i="2"/>
  <c r="R432" i="5"/>
  <c r="R427" i="5"/>
  <c r="V257" i="2"/>
  <c r="V260" i="2"/>
  <c r="N433" i="5"/>
  <c r="Q261" i="2"/>
  <c r="R433" i="5"/>
  <c r="O433" i="5"/>
  <c r="Q435" i="5"/>
  <c r="U262" i="2"/>
  <c r="S435" i="5"/>
  <c r="W435" i="5"/>
  <c r="AA262" i="2"/>
  <c r="X435" i="5"/>
  <c r="AB262" i="2"/>
  <c r="Y435" i="5"/>
  <c r="AC262" i="2"/>
  <c r="Z435" i="5"/>
  <c r="AD262" i="2"/>
  <c r="O437" i="5"/>
  <c r="P437" i="5"/>
  <c r="R437" i="5"/>
  <c r="R438" i="5"/>
  <c r="R439" i="5"/>
  <c r="R440" i="5"/>
  <c r="N440" i="5"/>
  <c r="Q265" i="2"/>
  <c r="V265" i="2"/>
  <c r="R441" i="5"/>
  <c r="Q443" i="5"/>
  <c r="U267" i="2"/>
  <c r="S443" i="5"/>
  <c r="W267" i="2"/>
  <c r="W443" i="5"/>
  <c r="AA267" i="2"/>
  <c r="X443" i="5"/>
  <c r="AB267" i="2"/>
  <c r="Y443" i="5"/>
  <c r="AC267" i="2"/>
  <c r="Z443" i="5"/>
  <c r="AD267" i="2"/>
  <c r="O445" i="5"/>
  <c r="P445" i="5"/>
  <c r="R445" i="5"/>
  <c r="R446" i="5"/>
  <c r="R447" i="5"/>
  <c r="V269" i="2"/>
  <c r="Q449" i="5"/>
  <c r="U270" i="2"/>
  <c r="S449" i="5"/>
  <c r="W270" i="2"/>
  <c r="W449" i="5"/>
  <c r="AA270" i="2"/>
  <c r="X449" i="5"/>
  <c r="AB270" i="2"/>
  <c r="Y449" i="5"/>
  <c r="AC270" i="2"/>
  <c r="Z449" i="5"/>
  <c r="AD270" i="2"/>
  <c r="O451" i="5"/>
  <c r="P451" i="5"/>
  <c r="R451" i="5"/>
  <c r="R452" i="5"/>
  <c r="O453" i="5"/>
  <c r="R272" i="2"/>
  <c r="R453" i="5"/>
  <c r="V272" i="2"/>
  <c r="R454" i="5"/>
  <c r="R455" i="5"/>
  <c r="N455" i="5"/>
  <c r="Q274" i="2"/>
  <c r="Q457" i="5"/>
  <c r="U275" i="2"/>
  <c r="S457" i="5"/>
  <c r="W275" i="2"/>
  <c r="W457" i="5"/>
  <c r="AA275" i="2"/>
  <c r="X457" i="5"/>
  <c r="AB275" i="2"/>
  <c r="Y457" i="5"/>
  <c r="AC275" i="2"/>
  <c r="Z457" i="5"/>
  <c r="AD275" i="2"/>
  <c r="O459" i="5"/>
  <c r="P459" i="5"/>
  <c r="R459" i="5"/>
  <c r="N460" i="5"/>
  <c r="Q276" i="2"/>
  <c r="R460" i="5"/>
  <c r="V276" i="2"/>
  <c r="O461" i="5"/>
  <c r="R461" i="5"/>
  <c r="R457" i="5"/>
  <c r="V275" i="2"/>
  <c r="Q463" i="5"/>
  <c r="U278" i="2"/>
  <c r="S463" i="5"/>
  <c r="W278" i="2"/>
  <c r="W463" i="5"/>
  <c r="AA278" i="2"/>
  <c r="X463" i="5"/>
  <c r="AB278" i="2"/>
  <c r="Y463" i="5"/>
  <c r="AC278" i="2"/>
  <c r="Z463" i="5"/>
  <c r="AD278" i="2"/>
  <c r="O465" i="5"/>
  <c r="P465" i="5"/>
  <c r="R465" i="5"/>
  <c r="N466" i="5"/>
  <c r="Q279" i="2"/>
  <c r="O466" i="5"/>
  <c r="R279" i="2"/>
  <c r="R466" i="5"/>
  <c r="V279" i="2"/>
  <c r="R467" i="5"/>
  <c r="Q469" i="5"/>
  <c r="U281" i="2"/>
  <c r="S469" i="5"/>
  <c r="W281" i="2"/>
  <c r="W469" i="5"/>
  <c r="AA281" i="2"/>
  <c r="X469" i="5"/>
  <c r="AB281" i="2"/>
  <c r="Y469" i="5"/>
  <c r="AC281" i="2"/>
  <c r="Z469" i="5"/>
  <c r="AD281" i="2"/>
  <c r="O471" i="5"/>
  <c r="P471" i="5"/>
  <c r="R471" i="5"/>
  <c r="O472" i="5"/>
  <c r="R472" i="5"/>
  <c r="R469" i="5"/>
  <c r="V281" i="2"/>
  <c r="V282" i="2"/>
  <c r="Q474" i="5"/>
  <c r="U283" i="2"/>
  <c r="S474" i="5"/>
  <c r="W283" i="2"/>
  <c r="W474" i="5"/>
  <c r="AA283" i="2"/>
  <c r="X474" i="5"/>
  <c r="AB283" i="2"/>
  <c r="Y474" i="5"/>
  <c r="AC283" i="2"/>
  <c r="Z474" i="5"/>
  <c r="AD283" i="2"/>
  <c r="O476" i="5"/>
  <c r="P476" i="5"/>
  <c r="R476" i="5"/>
  <c r="R477" i="5"/>
  <c r="R478" i="5"/>
  <c r="O481" i="5"/>
  <c r="P481" i="5"/>
  <c r="Q484" i="5"/>
  <c r="U287" i="2"/>
  <c r="S484" i="5"/>
  <c r="W287" i="2"/>
  <c r="T484" i="5"/>
  <c r="X287" i="2"/>
  <c r="U484" i="5"/>
  <c r="Y287" i="2"/>
  <c r="V484" i="5"/>
  <c r="Z287" i="2"/>
  <c r="W484" i="5"/>
  <c r="AA287" i="2"/>
  <c r="X484" i="5"/>
  <c r="AB287" i="2"/>
  <c r="AA484" i="5"/>
  <c r="AE287" i="2"/>
  <c r="AB484" i="5"/>
  <c r="AF287" i="2"/>
  <c r="AC484" i="5"/>
  <c r="AG287" i="2"/>
  <c r="AE484" i="5"/>
  <c r="AI287" i="2"/>
  <c r="AF484" i="5"/>
  <c r="AJ287" i="2"/>
  <c r="AG484" i="5"/>
  <c r="AH484" i="5"/>
  <c r="AK484" i="5"/>
  <c r="AL484" i="5"/>
  <c r="AE486" i="5"/>
  <c r="AF594" i="5"/>
  <c r="AJ486" i="5"/>
  <c r="AK594" i="5"/>
  <c r="AK616" i="5"/>
  <c r="O487" i="5"/>
  <c r="P487" i="5"/>
  <c r="R487" i="5"/>
  <c r="Y487" i="5"/>
  <c r="Z487" i="5"/>
  <c r="AD487" i="5"/>
  <c r="AE595" i="5"/>
  <c r="AE617" i="5"/>
  <c r="N488" i="5"/>
  <c r="Q288" i="2"/>
  <c r="R488" i="5"/>
  <c r="V288" i="2"/>
  <c r="Z488" i="5"/>
  <c r="AD288" i="2"/>
  <c r="AD488" i="5"/>
  <c r="AH288" i="2"/>
  <c r="R489" i="5"/>
  <c r="V289" i="2"/>
  <c r="Z489" i="5"/>
  <c r="AD289" i="2"/>
  <c r="AD489" i="5"/>
  <c r="AH289" i="2"/>
  <c r="R490" i="5"/>
  <c r="V290" i="2"/>
  <c r="Y490" i="5"/>
  <c r="Z490" i="5"/>
  <c r="R491" i="5"/>
  <c r="V291" i="2"/>
  <c r="Y491" i="5"/>
  <c r="Z491" i="5"/>
  <c r="AD291" i="2"/>
  <c r="Q495" i="5"/>
  <c r="Q493" i="5"/>
  <c r="U292" i="2"/>
  <c r="U293" i="2"/>
  <c r="S495" i="5"/>
  <c r="W293" i="2"/>
  <c r="T495" i="5"/>
  <c r="X293" i="2"/>
  <c r="U495" i="5"/>
  <c r="Y293" i="2"/>
  <c r="W495" i="5"/>
  <c r="AA293" i="2"/>
  <c r="Y495" i="5"/>
  <c r="AC293" i="2"/>
  <c r="O497" i="5"/>
  <c r="P497" i="5"/>
  <c r="R497" i="5"/>
  <c r="R498" i="5"/>
  <c r="V498" i="5"/>
  <c r="X498" i="5"/>
  <c r="AB294" i="2"/>
  <c r="Y498" i="5"/>
  <c r="AC294" i="2"/>
  <c r="Z498" i="5"/>
  <c r="AA498" i="5"/>
  <c r="AE294" i="2"/>
  <c r="AB498" i="5"/>
  <c r="AF294" i="2"/>
  <c r="R499" i="5"/>
  <c r="AE499" i="5"/>
  <c r="AI295" i="2"/>
  <c r="X499" i="5"/>
  <c r="AB295" i="2"/>
  <c r="Y499" i="5"/>
  <c r="AC295" i="2"/>
  <c r="Z499" i="5"/>
  <c r="AD295" i="2"/>
  <c r="AA499" i="5"/>
  <c r="AE295" i="2"/>
  <c r="AB499" i="5"/>
  <c r="R500" i="5"/>
  <c r="AE500" i="5"/>
  <c r="AI296" i="2"/>
  <c r="V296" i="2"/>
  <c r="X500" i="5"/>
  <c r="AB296" i="2"/>
  <c r="Y500" i="5"/>
  <c r="AC296" i="2"/>
  <c r="Z500" i="5"/>
  <c r="AA500" i="5"/>
  <c r="AE296" i="2"/>
  <c r="AB500" i="5"/>
  <c r="AF296" i="2"/>
  <c r="Q504" i="5"/>
  <c r="U297" i="2"/>
  <c r="S504" i="5"/>
  <c r="W297" i="2"/>
  <c r="T504" i="5"/>
  <c r="X297" i="2"/>
  <c r="U504" i="5"/>
  <c r="Y297" i="2"/>
  <c r="W504" i="5"/>
  <c r="AA297" i="2"/>
  <c r="X504" i="5"/>
  <c r="AB297" i="2"/>
  <c r="Y504" i="5"/>
  <c r="AC297" i="2"/>
  <c r="Z504" i="5"/>
  <c r="AD297" i="2"/>
  <c r="AA504" i="5"/>
  <c r="AE297" i="2"/>
  <c r="AB504" i="5"/>
  <c r="AF297" i="2"/>
  <c r="O506" i="5"/>
  <c r="P506" i="5"/>
  <c r="R506" i="5"/>
  <c r="R507" i="5"/>
  <c r="V298" i="2"/>
  <c r="V507" i="5"/>
  <c r="R508" i="5"/>
  <c r="R509" i="5"/>
  <c r="R510" i="5"/>
  <c r="V510" i="5"/>
  <c r="N510" i="5"/>
  <c r="Q301" i="2"/>
  <c r="V301" i="2"/>
  <c r="O514" i="5"/>
  <c r="P514" i="5"/>
  <c r="Q517" i="5"/>
  <c r="U304" i="2"/>
  <c r="S517" i="5"/>
  <c r="W304" i="2"/>
  <c r="T517" i="5"/>
  <c r="X304" i="2"/>
  <c r="V517" i="5"/>
  <c r="Z304" i="2"/>
  <c r="W517" i="5"/>
  <c r="AA304" i="2"/>
  <c r="X517" i="5"/>
  <c r="AB304" i="2"/>
  <c r="AA517" i="5"/>
  <c r="AE304" i="2"/>
  <c r="AB517" i="5"/>
  <c r="AF304" i="2"/>
  <c r="O519" i="5"/>
  <c r="P519" i="5"/>
  <c r="R522" i="5"/>
  <c r="V307" i="2"/>
  <c r="Y522" i="5"/>
  <c r="AC307" i="2"/>
  <c r="R523" i="5"/>
  <c r="V308" i="2"/>
  <c r="Y523" i="5"/>
  <c r="R524" i="5"/>
  <c r="V309" i="2"/>
  <c r="Y524" i="5"/>
  <c r="AC309" i="2"/>
  <c r="Q310" i="2"/>
  <c r="R525" i="5"/>
  <c r="N525" i="5"/>
  <c r="V310" i="2"/>
  <c r="Y525" i="5"/>
  <c r="AC310" i="2"/>
  <c r="R526" i="5"/>
  <c r="V311" i="2"/>
  <c r="Y526" i="5"/>
  <c r="AC311" i="2"/>
  <c r="R527" i="5"/>
  <c r="Z527" i="5"/>
  <c r="V312" i="2"/>
  <c r="N528" i="5"/>
  <c r="Q313" i="2"/>
  <c r="R528" i="5"/>
  <c r="V313" i="2"/>
  <c r="Z528" i="5"/>
  <c r="AD313" i="2"/>
  <c r="R529" i="5"/>
  <c r="V314" i="2"/>
  <c r="Y529" i="5"/>
  <c r="AC314" i="2"/>
  <c r="R530" i="5"/>
  <c r="V315" i="2"/>
  <c r="Y530" i="5"/>
  <c r="R531" i="5"/>
  <c r="V316" i="2"/>
  <c r="R532" i="5"/>
  <c r="D533" i="5"/>
  <c r="R533" i="5"/>
  <c r="R517" i="5"/>
  <c r="V304" i="2"/>
  <c r="Y533" i="5"/>
  <c r="AC318" i="2"/>
  <c r="D534" i="5"/>
  <c r="R534" i="5"/>
  <c r="V319" i="2"/>
  <c r="Y534" i="5"/>
  <c r="D535" i="5"/>
  <c r="N535" i="5"/>
  <c r="Q320" i="2"/>
  <c r="R535" i="5"/>
  <c r="V320" i="2"/>
  <c r="Y535" i="5"/>
  <c r="AC320" i="2"/>
  <c r="Z535" i="5"/>
  <c r="R536" i="5"/>
  <c r="V321" i="2"/>
  <c r="Y536" i="5"/>
  <c r="AC321" i="2"/>
  <c r="R537" i="5"/>
  <c r="Z537" i="5"/>
  <c r="O537" i="5"/>
  <c r="AD322" i="2"/>
  <c r="R538" i="5"/>
  <c r="V323" i="2"/>
  <c r="Y538" i="5"/>
  <c r="R539" i="5"/>
  <c r="V324" i="2"/>
  <c r="R540" i="5"/>
  <c r="Z540" i="5"/>
  <c r="O540" i="5"/>
  <c r="V325" i="2"/>
  <c r="R541" i="5"/>
  <c r="Z541" i="5"/>
  <c r="R542" i="5"/>
  <c r="N542" i="5"/>
  <c r="Q327" i="2"/>
  <c r="Z542" i="5"/>
  <c r="D543" i="5"/>
  <c r="R543" i="5"/>
  <c r="V328" i="2"/>
  <c r="Z543" i="5"/>
  <c r="O543" i="5"/>
  <c r="R544" i="5"/>
  <c r="V329" i="2"/>
  <c r="Y544" i="5"/>
  <c r="N545" i="5"/>
  <c r="Q330" i="2"/>
  <c r="R545" i="5"/>
  <c r="V330" i="2"/>
  <c r="Y545" i="5"/>
  <c r="AC330" i="2"/>
  <c r="N546" i="5"/>
  <c r="Q331" i="2"/>
  <c r="R546" i="5"/>
  <c r="V331" i="2"/>
  <c r="Y546" i="5"/>
  <c r="AC331" i="2"/>
  <c r="D547" i="5"/>
  <c r="R547" i="5"/>
  <c r="V332" i="2"/>
  <c r="Y547" i="5"/>
  <c r="AC332" i="2"/>
  <c r="R548" i="5"/>
  <c r="Y333" i="2"/>
  <c r="D549" i="5"/>
  <c r="R549" i="5"/>
  <c r="Y549" i="5"/>
  <c r="AC334" i="2"/>
  <c r="D550" i="5"/>
  <c r="R550" i="5"/>
  <c r="V335" i="2"/>
  <c r="Y550" i="5"/>
  <c r="D551" i="5"/>
  <c r="N551" i="5"/>
  <c r="Q336" i="2"/>
  <c r="R551" i="5"/>
  <c r="V336" i="2"/>
  <c r="Y551" i="5"/>
  <c r="AC336" i="2"/>
  <c r="Z551" i="5"/>
  <c r="N552" i="5"/>
  <c r="Q337" i="2"/>
  <c r="R552" i="5"/>
  <c r="Z552" i="5"/>
  <c r="O552" i="5"/>
  <c r="R337" i="2"/>
  <c r="V337" i="2"/>
  <c r="R553" i="5"/>
  <c r="V338" i="2"/>
  <c r="N554" i="5"/>
  <c r="Q339" i="2"/>
  <c r="R554" i="5"/>
  <c r="Z554" i="5"/>
  <c r="V339" i="2"/>
  <c r="AD339" i="2"/>
  <c r="N555" i="5"/>
  <c r="Q340" i="2"/>
  <c r="R555" i="5"/>
  <c r="V340" i="2"/>
  <c r="D556" i="5"/>
  <c r="R556" i="5"/>
  <c r="V341" i="2"/>
  <c r="Y556" i="5"/>
  <c r="AC341" i="2"/>
  <c r="R557" i="5"/>
  <c r="V342" i="2"/>
  <c r="Y557" i="5"/>
  <c r="N558" i="5"/>
  <c r="Q343" i="2"/>
  <c r="R558" i="5"/>
  <c r="V343" i="2"/>
  <c r="R559" i="5"/>
  <c r="V344" i="2"/>
  <c r="Y559" i="5"/>
  <c r="AC344" i="2"/>
  <c r="R560" i="5"/>
  <c r="R561" i="5"/>
  <c r="N561" i="5"/>
  <c r="Q346" i="2"/>
  <c r="O562" i="5"/>
  <c r="R562" i="5"/>
  <c r="Z562" i="5"/>
  <c r="V347" i="2"/>
  <c r="AD347" i="2"/>
  <c r="R563" i="5"/>
  <c r="V348" i="2"/>
  <c r="Z563" i="5"/>
  <c r="R564" i="5"/>
  <c r="V349" i="2"/>
  <c r="Y564" i="5"/>
  <c r="AC349" i="2"/>
  <c r="R565" i="5"/>
  <c r="Z565" i="5"/>
  <c r="AD350" i="2"/>
  <c r="O566" i="5"/>
  <c r="R351" i="2"/>
  <c r="R566" i="5"/>
  <c r="V351" i="2"/>
  <c r="Q569" i="5"/>
  <c r="U352" i="2"/>
  <c r="S569" i="5"/>
  <c r="W352" i="2"/>
  <c r="T569" i="5"/>
  <c r="X352" i="2"/>
  <c r="U569" i="5"/>
  <c r="Y352" i="2"/>
  <c r="V569" i="5"/>
  <c r="Z352" i="2"/>
  <c r="W569" i="5"/>
  <c r="AA352" i="2"/>
  <c r="X569" i="5"/>
  <c r="AB352" i="2"/>
  <c r="AA569" i="5"/>
  <c r="AE352" i="2"/>
  <c r="AB569" i="5"/>
  <c r="AF352" i="2"/>
  <c r="O571" i="5"/>
  <c r="P571" i="5"/>
  <c r="N572" i="5"/>
  <c r="Q353" i="2"/>
  <c r="R572" i="5"/>
  <c r="V353" i="2"/>
  <c r="Y572" i="5"/>
  <c r="AC353" i="2"/>
  <c r="N573" i="5"/>
  <c r="Q354" i="2"/>
  <c r="R573" i="5"/>
  <c r="V354" i="2"/>
  <c r="Y573" i="5"/>
  <c r="AC354" i="2"/>
  <c r="R574" i="5"/>
  <c r="N575" i="5"/>
  <c r="Q356" i="2"/>
  <c r="R575" i="5"/>
  <c r="V356" i="2"/>
  <c r="R576" i="5"/>
  <c r="V357" i="2"/>
  <c r="Y576" i="5"/>
  <c r="AC357" i="2"/>
  <c r="R577" i="5"/>
  <c r="Y577" i="5"/>
  <c r="AC358" i="2"/>
  <c r="R578" i="5"/>
  <c r="Z578" i="5"/>
  <c r="V359" i="2"/>
  <c r="R579" i="5"/>
  <c r="Y579" i="5"/>
  <c r="AC360" i="2"/>
  <c r="R580" i="5"/>
  <c r="V361" i="2"/>
  <c r="R581" i="5"/>
  <c r="V362" i="2"/>
  <c r="Y581" i="5"/>
  <c r="N582" i="5"/>
  <c r="Q363" i="2"/>
  <c r="R582" i="5"/>
  <c r="V363" i="2"/>
  <c r="R583" i="5"/>
  <c r="V364" i="2"/>
  <c r="Z583" i="5"/>
  <c r="AD364" i="2"/>
  <c r="R584" i="5"/>
  <c r="V365" i="2"/>
  <c r="Y584" i="5"/>
  <c r="AC365" i="2"/>
  <c r="N585" i="5"/>
  <c r="Q366" i="2"/>
  <c r="R585" i="5"/>
  <c r="V366" i="2"/>
  <c r="R586" i="5"/>
  <c r="O589" i="5"/>
  <c r="P589" i="5"/>
  <c r="Z592" i="5"/>
  <c r="AD369" i="2"/>
  <c r="AH592" i="5"/>
  <c r="AL369" i="2"/>
  <c r="O595" i="5"/>
  <c r="P595" i="5"/>
  <c r="R595" i="5"/>
  <c r="Y595" i="5"/>
  <c r="AA595" i="5"/>
  <c r="R596" i="5"/>
  <c r="AA596" i="5"/>
  <c r="AE370" i="2"/>
  <c r="R597" i="5"/>
  <c r="Y597" i="5"/>
  <c r="AC371" i="2"/>
  <c r="AA597" i="5"/>
  <c r="AE597" i="5"/>
  <c r="AI371" i="2"/>
  <c r="Q598" i="5"/>
  <c r="U372" i="2"/>
  <c r="S598" i="5"/>
  <c r="W372" i="2"/>
  <c r="T598" i="5"/>
  <c r="X372" i="2"/>
  <c r="U598" i="5"/>
  <c r="Y372" i="2"/>
  <c r="V598" i="5"/>
  <c r="W598" i="5"/>
  <c r="X598" i="5"/>
  <c r="AB372" i="2"/>
  <c r="Z598" i="5"/>
  <c r="AD372" i="2"/>
  <c r="AB598" i="5"/>
  <c r="AF372" i="2"/>
  <c r="AC598" i="5"/>
  <c r="AG372" i="2"/>
  <c r="AD598" i="5"/>
  <c r="AF598" i="5"/>
  <c r="AJ372" i="2"/>
  <c r="AG598" i="5"/>
  <c r="AH598" i="5"/>
  <c r="AI598" i="5"/>
  <c r="AL598" i="5"/>
  <c r="AL592" i="5"/>
  <c r="AM598" i="5"/>
  <c r="R599" i="5"/>
  <c r="AA599" i="5"/>
  <c r="R600" i="5"/>
  <c r="V374" i="2"/>
  <c r="AA600" i="5"/>
  <c r="AE600" i="5"/>
  <c r="R601" i="5"/>
  <c r="V375" i="2"/>
  <c r="Y601" i="5"/>
  <c r="AA601" i="5"/>
  <c r="R602" i="5"/>
  <c r="Y602" i="5"/>
  <c r="AA602" i="5"/>
  <c r="R603" i="5"/>
  <c r="AA603" i="5"/>
  <c r="AE377" i="2"/>
  <c r="R604" i="5"/>
  <c r="V378" i="2"/>
  <c r="Y604" i="5"/>
  <c r="O604" i="5"/>
  <c r="AA604" i="5"/>
  <c r="AE604" i="5"/>
  <c r="AI378" i="2"/>
  <c r="R605" i="5"/>
  <c r="V379" i="2"/>
  <c r="AA605" i="5"/>
  <c r="AE379" i="2"/>
  <c r="R606" i="5"/>
  <c r="V380" i="2"/>
  <c r="Y606" i="5"/>
  <c r="AA606" i="5"/>
  <c r="AE606" i="5"/>
  <c r="AJ606" i="5"/>
  <c r="Q607" i="5"/>
  <c r="U381" i="2"/>
  <c r="S607" i="5"/>
  <c r="W381" i="2"/>
  <c r="T607" i="5"/>
  <c r="X381" i="2"/>
  <c r="U607" i="5"/>
  <c r="V607" i="5"/>
  <c r="Z381" i="2"/>
  <c r="W607" i="5"/>
  <c r="AA381" i="2"/>
  <c r="X607" i="5"/>
  <c r="AB381" i="2"/>
  <c r="Z607" i="5"/>
  <c r="AD381" i="2"/>
  <c r="AB607" i="5"/>
  <c r="AF381" i="2"/>
  <c r="AC607" i="5"/>
  <c r="AD607" i="5"/>
  <c r="AH381" i="2"/>
  <c r="AF607" i="5"/>
  <c r="AJ381" i="2"/>
  <c r="AG607" i="5"/>
  <c r="AH607" i="5"/>
  <c r="AI607" i="5"/>
  <c r="AM381" i="2"/>
  <c r="AL607" i="5"/>
  <c r="AM607" i="5"/>
  <c r="R608" i="5"/>
  <c r="V382" i="2"/>
  <c r="Y608" i="5"/>
  <c r="AJ608" i="5"/>
  <c r="AA608" i="5"/>
  <c r="R609" i="5"/>
  <c r="Y609" i="5"/>
  <c r="AA609" i="5"/>
  <c r="AE609" i="5"/>
  <c r="AE383" i="2"/>
  <c r="AI383" i="2"/>
  <c r="R610" i="5"/>
  <c r="AA610" i="5"/>
  <c r="R611" i="5"/>
  <c r="Y611" i="5"/>
  <c r="O611" i="5"/>
  <c r="R385" i="2"/>
  <c r="AA611" i="5"/>
  <c r="AE385" i="2"/>
  <c r="AE611" i="5"/>
  <c r="AI385" i="2"/>
  <c r="R612" i="5"/>
  <c r="AA612" i="5"/>
  <c r="AE386" i="2"/>
  <c r="AF616" i="5"/>
  <c r="O617" i="5"/>
  <c r="P617" i="5"/>
  <c r="R617" i="5"/>
  <c r="Y617" i="5"/>
  <c r="Y652" i="5"/>
  <c r="Y659" i="5"/>
  <c r="Z617" i="5"/>
  <c r="AA617" i="5"/>
  <c r="AB618" i="5"/>
  <c r="R619" i="5"/>
  <c r="AA619" i="5"/>
  <c r="AE389" i="2"/>
  <c r="AE619" i="5"/>
  <c r="AI389" i="2"/>
  <c r="R620" i="5"/>
  <c r="N620" i="5"/>
  <c r="Q390" i="2"/>
  <c r="AA620" i="5"/>
  <c r="AE390" i="2"/>
  <c r="Q621" i="5"/>
  <c r="U391" i="2"/>
  <c r="S621" i="5"/>
  <c r="W391" i="2"/>
  <c r="T621" i="5"/>
  <c r="X391" i="2"/>
  <c r="V621" i="5"/>
  <c r="V621" i="4"/>
  <c r="W621" i="5"/>
  <c r="AA391" i="2"/>
  <c r="Z621" i="5"/>
  <c r="AD391" i="2"/>
  <c r="AB621" i="5"/>
  <c r="AF391" i="2"/>
  <c r="AC621" i="5"/>
  <c r="AD621" i="5"/>
  <c r="AF621" i="5"/>
  <c r="AG621" i="5"/>
  <c r="AH621" i="5"/>
  <c r="AI621" i="5"/>
  <c r="AM391" i="2"/>
  <c r="AL621" i="5"/>
  <c r="AL618" i="5"/>
  <c r="AL614" i="5"/>
  <c r="AM621" i="5"/>
  <c r="R622" i="5"/>
  <c r="V392" i="2"/>
  <c r="Y622" i="5"/>
  <c r="AA622" i="5"/>
  <c r="AE622" i="5"/>
  <c r="R623" i="5"/>
  <c r="V393" i="2"/>
  <c r="Y623" i="5"/>
  <c r="AJ623" i="5"/>
  <c r="AA623" i="5"/>
  <c r="R624" i="5"/>
  <c r="Y624" i="5"/>
  <c r="O624" i="5"/>
  <c r="AA624" i="5"/>
  <c r="AE394" i="2"/>
  <c r="AE624" i="5"/>
  <c r="AI394" i="2"/>
  <c r="R625" i="5"/>
  <c r="Y625" i="5"/>
  <c r="AA625" i="5"/>
  <c r="R626" i="5"/>
  <c r="Y626" i="5"/>
  <c r="AA626" i="5"/>
  <c r="AE396" i="2"/>
  <c r="AE626" i="5"/>
  <c r="AI396" i="2"/>
  <c r="R627" i="5"/>
  <c r="U621" i="5"/>
  <c r="X621" i="5"/>
  <c r="X621" i="4"/>
  <c r="AA627" i="5"/>
  <c r="AE627" i="5"/>
  <c r="AI397" i="2"/>
  <c r="R628" i="5"/>
  <c r="N628" i="5"/>
  <c r="Q398" i="2"/>
  <c r="Y628" i="5"/>
  <c r="AJ628" i="5"/>
  <c r="AJ628" i="4"/>
  <c r="AA628" i="5"/>
  <c r="AE398" i="2"/>
  <c r="R629" i="5"/>
  <c r="V399" i="2"/>
  <c r="Y629" i="5"/>
  <c r="AJ629" i="5"/>
  <c r="AA629" i="5"/>
  <c r="AE399" i="2"/>
  <c r="Q630" i="5"/>
  <c r="U400" i="2"/>
  <c r="S630" i="5"/>
  <c r="T630" i="5"/>
  <c r="X400" i="2"/>
  <c r="U630" i="5"/>
  <c r="Y400" i="2"/>
  <c r="V630" i="5"/>
  <c r="Z400" i="2"/>
  <c r="W630" i="5"/>
  <c r="AA400" i="2"/>
  <c r="X630" i="5"/>
  <c r="AB400" i="2"/>
  <c r="Z630" i="5"/>
  <c r="AD400" i="2"/>
  <c r="AB630" i="5"/>
  <c r="AF400" i="2"/>
  <c r="AC630" i="5"/>
  <c r="AG400" i="2"/>
  <c r="AD630" i="5"/>
  <c r="AH400" i="2"/>
  <c r="AF630" i="5"/>
  <c r="AJ400" i="2"/>
  <c r="AG630" i="5"/>
  <c r="AH630" i="5"/>
  <c r="AI630" i="5"/>
  <c r="AL630" i="5"/>
  <c r="AM630" i="5"/>
  <c r="AM618" i="5"/>
  <c r="R631" i="5"/>
  <c r="Y631" i="5"/>
  <c r="AA631" i="5"/>
  <c r="AE401" i="2"/>
  <c r="R632" i="5"/>
  <c r="AA632" i="5"/>
  <c r="AA630" i="5"/>
  <c r="AE400" i="2"/>
  <c r="R633" i="5"/>
  <c r="V403" i="2"/>
  <c r="AA633" i="5"/>
  <c r="R634" i="5"/>
  <c r="V404" i="2"/>
  <c r="AA634" i="5"/>
  <c r="R635" i="5"/>
  <c r="V405" i="2"/>
  <c r="AA635" i="5"/>
  <c r="R636" i="5"/>
  <c r="V406" i="2"/>
  <c r="Y636" i="5"/>
  <c r="AJ636" i="5"/>
  <c r="AJ636" i="4"/>
  <c r="AA636" i="5"/>
  <c r="AE406" i="2"/>
  <c r="R637" i="5"/>
  <c r="Y637" i="5"/>
  <c r="AC407" i="2"/>
  <c r="AA637" i="5"/>
  <c r="AE407" i="2"/>
  <c r="R638" i="5"/>
  <c r="Y638" i="5"/>
  <c r="AA638" i="5"/>
  <c r="R639" i="5"/>
  <c r="Y639" i="5"/>
  <c r="AA639" i="5"/>
  <c r="AE409" i="2"/>
  <c r="AE639" i="5"/>
  <c r="AI409" i="2"/>
  <c r="R640" i="5"/>
  <c r="AA640" i="5"/>
  <c r="AE410" i="2"/>
  <c r="Q641" i="5"/>
  <c r="U411" i="2"/>
  <c r="S641" i="5"/>
  <c r="W411" i="2"/>
  <c r="T641" i="5"/>
  <c r="X411" i="2"/>
  <c r="V641" i="5"/>
  <c r="Z411" i="2"/>
  <c r="W641" i="5"/>
  <c r="AA411" i="2"/>
  <c r="X641" i="5"/>
  <c r="AB411" i="2"/>
  <c r="Z641" i="5"/>
  <c r="AD411" i="2"/>
  <c r="AB641" i="5"/>
  <c r="AF411" i="2"/>
  <c r="AC641" i="5"/>
  <c r="AG411" i="2"/>
  <c r="AD641" i="5"/>
  <c r="AH411" i="2"/>
  <c r="AL641" i="5"/>
  <c r="AM641" i="5"/>
  <c r="R642" i="5"/>
  <c r="V412" i="2"/>
  <c r="U642" i="5"/>
  <c r="Y412" i="2"/>
  <c r="AA642" i="5"/>
  <c r="N642" i="5"/>
  <c r="AE642" i="5"/>
  <c r="AI412" i="2"/>
  <c r="AF642" i="5"/>
  <c r="AJ412" i="2"/>
  <c r="AG642" i="5"/>
  <c r="AH642" i="5"/>
  <c r="AH641" i="5"/>
  <c r="AI642" i="5"/>
  <c r="AM412" i="2"/>
  <c r="N643" i="5"/>
  <c r="Q413" i="2"/>
  <c r="R643" i="5"/>
  <c r="Y643" i="5"/>
  <c r="V413" i="2"/>
  <c r="AA643" i="5"/>
  <c r="AE413" i="2"/>
  <c r="AE643" i="5"/>
  <c r="AI413" i="2"/>
  <c r="Q414" i="2"/>
  <c r="R644" i="5"/>
  <c r="AA644" i="5"/>
  <c r="N644" i="5"/>
  <c r="AE414" i="2"/>
  <c r="AE644" i="5"/>
  <c r="AI414" i="2"/>
  <c r="R645" i="5"/>
  <c r="Y645" i="5"/>
  <c r="AA645" i="5"/>
  <c r="AE645" i="5"/>
  <c r="AI415" i="2"/>
  <c r="AE415" i="2"/>
  <c r="R646" i="5"/>
  <c r="Y646" i="5"/>
  <c r="AA646" i="5"/>
  <c r="AE416" i="2"/>
  <c r="R647" i="5"/>
  <c r="Y647" i="5"/>
  <c r="V417" i="2"/>
  <c r="AA647" i="5"/>
  <c r="AE647" i="5"/>
  <c r="AE417" i="2"/>
  <c r="AI417" i="2"/>
  <c r="R648" i="5"/>
  <c r="Y648" i="5"/>
  <c r="AJ648" i="5"/>
  <c r="AA648" i="5"/>
  <c r="R649" i="5"/>
  <c r="V419" i="2"/>
  <c r="AA649" i="5"/>
  <c r="AE419" i="2"/>
  <c r="AF651" i="5"/>
  <c r="AK651" i="5"/>
  <c r="AK658" i="5"/>
  <c r="AK687" i="5"/>
  <c r="AK695" i="5"/>
  <c r="N652" i="5"/>
  <c r="O652" i="5"/>
  <c r="P652" i="5"/>
  <c r="R652" i="5"/>
  <c r="R659" i="5"/>
  <c r="R688" i="5"/>
  <c r="R696" i="5"/>
  <c r="R705" i="5"/>
  <c r="Z652" i="5"/>
  <c r="Z659" i="5"/>
  <c r="Z688" i="5"/>
  <c r="Z696" i="5"/>
  <c r="Z705" i="5"/>
  <c r="AA652" i="5"/>
  <c r="AE652" i="5"/>
  <c r="R653" i="5"/>
  <c r="V420" i="2"/>
  <c r="U653" i="5"/>
  <c r="Y420" i="2"/>
  <c r="V653" i="5"/>
  <c r="Z420" i="2"/>
  <c r="X653" i="5"/>
  <c r="AB420" i="2"/>
  <c r="AA653" i="5"/>
  <c r="AE420" i="2"/>
  <c r="AF658" i="5"/>
  <c r="AF687" i="5"/>
  <c r="AF695" i="5"/>
  <c r="AF704" i="5"/>
  <c r="N659" i="5"/>
  <c r="O659" i="5"/>
  <c r="P659" i="5"/>
  <c r="AA659" i="5"/>
  <c r="AE659" i="5"/>
  <c r="AE688" i="5"/>
  <c r="Q661" i="5"/>
  <c r="U423" i="2"/>
  <c r="S661" i="5"/>
  <c r="W423" i="2"/>
  <c r="T661" i="5"/>
  <c r="X423" i="2"/>
  <c r="U661" i="5"/>
  <c r="Y423" i="2"/>
  <c r="V661" i="5"/>
  <c r="Z423" i="2"/>
  <c r="W661" i="5"/>
  <c r="X661" i="5"/>
  <c r="AB423" i="2"/>
  <c r="Z661" i="5"/>
  <c r="AE423" i="2"/>
  <c r="AB661" i="5"/>
  <c r="AF423" i="2"/>
  <c r="AC661" i="5"/>
  <c r="AG423" i="2"/>
  <c r="AD661" i="5"/>
  <c r="AH423" i="2"/>
  <c r="AF661" i="5"/>
  <c r="AJ423" i="2"/>
  <c r="AG661" i="5"/>
  <c r="AG660" i="5"/>
  <c r="AG656" i="5"/>
  <c r="AH661" i="5"/>
  <c r="AI661" i="5"/>
  <c r="AM423" i="2"/>
  <c r="AL661" i="5"/>
  <c r="AM661" i="5"/>
  <c r="R662" i="5"/>
  <c r="Y662" i="5"/>
  <c r="AK662" i="5"/>
  <c r="AE662" i="5"/>
  <c r="AI424" i="2"/>
  <c r="R663" i="5"/>
  <c r="Y663" i="5"/>
  <c r="AA663" i="5"/>
  <c r="AA661" i="5"/>
  <c r="Q664" i="5"/>
  <c r="U426" i="2"/>
  <c r="S664" i="5"/>
  <c r="W426" i="2"/>
  <c r="T664" i="5"/>
  <c r="X426" i="2"/>
  <c r="U664" i="5"/>
  <c r="Y426" i="2"/>
  <c r="V664" i="5"/>
  <c r="Z426" i="2"/>
  <c r="W664" i="5"/>
  <c r="AA426" i="2"/>
  <c r="X664" i="5"/>
  <c r="AB426" i="2"/>
  <c r="Z664" i="5"/>
  <c r="AD426" i="2"/>
  <c r="AB664" i="5"/>
  <c r="AF426" i="2"/>
  <c r="AC664" i="5"/>
  <c r="AG426" i="2"/>
  <c r="AD664" i="5"/>
  <c r="AH426" i="2"/>
  <c r="AF664" i="5"/>
  <c r="AJ426" i="2"/>
  <c r="AG664" i="5"/>
  <c r="AH664" i="5"/>
  <c r="AI664" i="5"/>
  <c r="AM426" i="2"/>
  <c r="AL664" i="5"/>
  <c r="AM664" i="5"/>
  <c r="N665" i="5"/>
  <c r="Q427" i="2"/>
  <c r="R665" i="5"/>
  <c r="V427" i="2"/>
  <c r="Y665" i="5"/>
  <c r="AC427" i="2"/>
  <c r="AE665" i="5"/>
  <c r="AI427" i="2"/>
  <c r="R666" i="5"/>
  <c r="V428" i="2"/>
  <c r="AA666" i="5"/>
  <c r="AE666" i="5"/>
  <c r="AI428" i="2"/>
  <c r="AE428" i="2"/>
  <c r="Q667" i="5"/>
  <c r="U429" i="2"/>
  <c r="S667" i="5"/>
  <c r="W429" i="2"/>
  <c r="T667" i="5"/>
  <c r="X429" i="2"/>
  <c r="U667" i="5"/>
  <c r="Y429" i="2"/>
  <c r="V667" i="5"/>
  <c r="Z429" i="2"/>
  <c r="W667" i="5"/>
  <c r="AA429" i="2"/>
  <c r="X667" i="5"/>
  <c r="AB429" i="2"/>
  <c r="Z667" i="5"/>
  <c r="AD429" i="2"/>
  <c r="AB667" i="5"/>
  <c r="AF429" i="2"/>
  <c r="AC667" i="5"/>
  <c r="AG429" i="2"/>
  <c r="AD667" i="5"/>
  <c r="AH429" i="2"/>
  <c r="AF667" i="5"/>
  <c r="AJ429" i="2"/>
  <c r="AG667" i="5"/>
  <c r="AH667" i="5"/>
  <c r="AI667" i="5"/>
  <c r="AM429" i="2"/>
  <c r="AL667" i="5"/>
  <c r="AL660" i="5"/>
  <c r="AL656" i="5"/>
  <c r="AM667" i="5"/>
  <c r="R668" i="5"/>
  <c r="Y668" i="5"/>
  <c r="AE668" i="5"/>
  <c r="AI430" i="2"/>
  <c r="R669" i="5"/>
  <c r="Y669" i="5"/>
  <c r="AJ669" i="5"/>
  <c r="AJ669" i="4"/>
  <c r="AA669" i="5"/>
  <c r="AE669" i="5"/>
  <c r="AI431" i="2"/>
  <c r="AA670" i="5"/>
  <c r="R670" i="5"/>
  <c r="V432" i="2"/>
  <c r="AE432" i="2"/>
  <c r="R671" i="5"/>
  <c r="Y671" i="5"/>
  <c r="AJ671" i="5"/>
  <c r="AJ671" i="4"/>
  <c r="AA671" i="5"/>
  <c r="R672" i="5"/>
  <c r="N672" i="5"/>
  <c r="Q434" i="2"/>
  <c r="AA672" i="5"/>
  <c r="AE434" i="2"/>
  <c r="AE672" i="5"/>
  <c r="AI434" i="2"/>
  <c r="R673" i="5"/>
  <c r="AA673" i="5"/>
  <c r="N673" i="5"/>
  <c r="Q435" i="2"/>
  <c r="R674" i="5"/>
  <c r="Y674" i="5"/>
  <c r="AA674" i="5"/>
  <c r="R675" i="5"/>
  <c r="AA675" i="5"/>
  <c r="R676" i="5"/>
  <c r="N676" i="5"/>
  <c r="Q438" i="2"/>
  <c r="V438" i="2"/>
  <c r="Y676" i="5"/>
  <c r="AA676" i="5"/>
  <c r="AE438" i="2"/>
  <c r="AE676" i="5"/>
  <c r="AI438" i="2"/>
  <c r="AJ676" i="5"/>
  <c r="R677" i="5"/>
  <c r="Y677" i="5"/>
  <c r="AJ677" i="5"/>
  <c r="AJ677" i="4"/>
  <c r="AA677" i="5"/>
  <c r="AE439" i="2"/>
  <c r="R678" i="5"/>
  <c r="AA678" i="5"/>
  <c r="R679" i="5"/>
  <c r="Y679" i="5"/>
  <c r="AA679" i="5"/>
  <c r="R680" i="5"/>
  <c r="V442" i="2"/>
  <c r="AA680" i="5"/>
  <c r="N684" i="5"/>
  <c r="O684" i="5"/>
  <c r="P684" i="5"/>
  <c r="Z685" i="5"/>
  <c r="AD443" i="2"/>
  <c r="AC685" i="5"/>
  <c r="AG443" i="2"/>
  <c r="N688" i="5"/>
  <c r="O688" i="5"/>
  <c r="P688" i="5"/>
  <c r="Y688" i="5"/>
  <c r="Y696" i="5"/>
  <c r="Y705" i="5"/>
  <c r="AA688" i="5"/>
  <c r="AA696" i="5"/>
  <c r="Q689" i="5"/>
  <c r="S689" i="5"/>
  <c r="S685" i="5"/>
  <c r="W443" i="2"/>
  <c r="T689" i="5"/>
  <c r="X444" i="2"/>
  <c r="U689" i="5"/>
  <c r="U685" i="5"/>
  <c r="Y443" i="2"/>
  <c r="Y444" i="2"/>
  <c r="V689" i="5"/>
  <c r="Z444" i="2"/>
  <c r="W689" i="5"/>
  <c r="X689" i="5"/>
  <c r="X685" i="5"/>
  <c r="AB443" i="2"/>
  <c r="Z689" i="5"/>
  <c r="AD444" i="2"/>
  <c r="AB689" i="5"/>
  <c r="AF444" i="2"/>
  <c r="AC689" i="5"/>
  <c r="AG444" i="2"/>
  <c r="AD689" i="5"/>
  <c r="AH444" i="2"/>
  <c r="AF689" i="5"/>
  <c r="AG689" i="5"/>
  <c r="AH689" i="5"/>
  <c r="AH685" i="5"/>
  <c r="AI689" i="5"/>
  <c r="AI685" i="5"/>
  <c r="AM443" i="2"/>
  <c r="AM444" i="2"/>
  <c r="AL689" i="5"/>
  <c r="AL685" i="5"/>
  <c r="AM689" i="5"/>
  <c r="AM685" i="5"/>
  <c r="R690" i="5"/>
  <c r="N690" i="5"/>
  <c r="Q445" i="2"/>
  <c r="AA690" i="5"/>
  <c r="AE445" i="2"/>
  <c r="AE690" i="5"/>
  <c r="AI445" i="2"/>
  <c r="R691" i="5"/>
  <c r="AA691" i="5"/>
  <c r="AE446" i="2"/>
  <c r="R692" i="5"/>
  <c r="Y692" i="5"/>
  <c r="AK692" i="5"/>
  <c r="AA692" i="5"/>
  <c r="AE692" i="5"/>
  <c r="AI447" i="2"/>
  <c r="AE447" i="2"/>
  <c r="AJ692" i="5"/>
  <c r="R693" i="5"/>
  <c r="Y693" i="5"/>
  <c r="AA693" i="5"/>
  <c r="AE693" i="5"/>
  <c r="AE448" i="2"/>
  <c r="AI448" i="2"/>
  <c r="AK704" i="5"/>
  <c r="N696" i="5"/>
  <c r="O696" i="5"/>
  <c r="P696" i="5"/>
  <c r="AE696" i="5"/>
  <c r="R697" i="5"/>
  <c r="V449" i="2"/>
  <c r="AA697" i="5"/>
  <c r="AE449" i="2"/>
  <c r="AE697" i="5"/>
  <c r="AI449" i="2"/>
  <c r="N701" i="5"/>
  <c r="O701" i="5"/>
  <c r="P701" i="5"/>
  <c r="N705" i="5"/>
  <c r="O705" i="5"/>
  <c r="P705" i="5"/>
  <c r="AA705" i="5"/>
  <c r="AE705" i="5"/>
  <c r="R706" i="5"/>
  <c r="V451" i="2"/>
  <c r="AA706" i="5"/>
  <c r="AE451" i="2"/>
  <c r="R707" i="5"/>
  <c r="V452" i="2"/>
  <c r="AA707" i="5"/>
  <c r="AE707" i="5"/>
  <c r="AI452" i="2"/>
  <c r="N708" i="5"/>
  <c r="Q453" i="2"/>
  <c r="R708" i="5"/>
  <c r="V453" i="2"/>
  <c r="Y708" i="5"/>
  <c r="AA708" i="5"/>
  <c r="AE453" i="2"/>
  <c r="R709" i="5"/>
  <c r="V454" i="2"/>
  <c r="Y709" i="5"/>
  <c r="AJ709" i="5"/>
  <c r="AC454" i="2"/>
  <c r="AA709" i="5"/>
  <c r="AE709" i="5"/>
  <c r="AI454" i="2"/>
  <c r="R710" i="5"/>
  <c r="V455" i="2"/>
  <c r="AA710" i="5"/>
  <c r="AE455" i="2"/>
  <c r="AE710" i="5"/>
  <c r="AI455" i="2"/>
  <c r="R711" i="5"/>
  <c r="V456" i="2"/>
  <c r="Y711" i="5"/>
  <c r="AC456" i="2"/>
  <c r="AA711" i="5"/>
  <c r="AE456" i="2"/>
  <c r="Q713" i="5"/>
  <c r="U458" i="2"/>
  <c r="S713" i="5"/>
  <c r="W458" i="2"/>
  <c r="T713" i="5"/>
  <c r="X458" i="2"/>
  <c r="U713" i="5"/>
  <c r="Y458" i="2"/>
  <c r="V713" i="5"/>
  <c r="Z458" i="2"/>
  <c r="W713" i="5"/>
  <c r="AA458" i="2"/>
  <c r="X713" i="5"/>
  <c r="AB458" i="2"/>
  <c r="Z713" i="5"/>
  <c r="AD458" i="2"/>
  <c r="AB713" i="5"/>
  <c r="AF458" i="2"/>
  <c r="AC713" i="5"/>
  <c r="AG458" i="2"/>
  <c r="AD713" i="5"/>
  <c r="AH458" i="2"/>
  <c r="AF713" i="5"/>
  <c r="AJ458" i="2"/>
  <c r="AG713" i="5"/>
  <c r="AG712" i="5"/>
  <c r="AH713" i="5"/>
  <c r="AH712" i="5"/>
  <c r="AH702" i="5"/>
  <c r="AI713" i="5"/>
  <c r="AM458" i="2"/>
  <c r="AL713" i="5"/>
  <c r="AL712" i="5"/>
  <c r="AL702" i="5"/>
  <c r="AM713" i="5"/>
  <c r="AM712" i="5"/>
  <c r="AM702" i="5"/>
  <c r="R714" i="5"/>
  <c r="V459" i="2"/>
  <c r="AA714" i="5"/>
  <c r="AE459" i="2"/>
  <c r="R715" i="5"/>
  <c r="V460" i="2"/>
  <c r="Y715" i="5"/>
  <c r="AC460" i="2"/>
  <c r="AA715" i="5"/>
  <c r="AE460" i="2"/>
  <c r="AE715" i="5"/>
  <c r="AI460" i="2"/>
  <c r="Q716" i="5"/>
  <c r="U461" i="2"/>
  <c r="S716" i="5"/>
  <c r="W461" i="2"/>
  <c r="T716" i="5"/>
  <c r="X461" i="2"/>
  <c r="U716" i="5"/>
  <c r="Y461" i="2"/>
  <c r="V716" i="5"/>
  <c r="Z461" i="2"/>
  <c r="W716" i="5"/>
  <c r="AA461" i="2"/>
  <c r="X716" i="5"/>
  <c r="AB461" i="2"/>
  <c r="Z716" i="5"/>
  <c r="AD461" i="2"/>
  <c r="AA716" i="5"/>
  <c r="AE461" i="2"/>
  <c r="AB716" i="5"/>
  <c r="AF461" i="2"/>
  <c r="AC716" i="5"/>
  <c r="AG461" i="2"/>
  <c r="AD716" i="5"/>
  <c r="AH461" i="2"/>
  <c r="AF716" i="5"/>
  <c r="AJ461" i="2"/>
  <c r="AG716" i="5"/>
  <c r="AH716" i="5"/>
  <c r="AI716" i="5"/>
  <c r="AM461" i="2"/>
  <c r="AL716" i="5"/>
  <c r="AM716" i="5"/>
  <c r="R717" i="5"/>
  <c r="AA717" i="5"/>
  <c r="AE462" i="2"/>
  <c r="AE717" i="5"/>
  <c r="AI462" i="2"/>
  <c r="R718" i="5"/>
  <c r="V463" i="2"/>
  <c r="AA718" i="5"/>
  <c r="AE463" i="2"/>
  <c r="R719" i="5"/>
  <c r="AA719" i="5"/>
  <c r="AE719" i="5"/>
  <c r="AI464" i="2"/>
  <c r="AE464" i="2"/>
  <c r="Q465" i="2"/>
  <c r="R720" i="5"/>
  <c r="N720" i="5"/>
  <c r="AA720" i="5"/>
  <c r="AE720" i="5"/>
  <c r="AI465" i="2"/>
  <c r="AE465" i="2"/>
  <c r="R721" i="5"/>
  <c r="AA721" i="5"/>
  <c r="AE466" i="2"/>
  <c r="Q722" i="5"/>
  <c r="U467" i="2"/>
  <c r="S722" i="5"/>
  <c r="W467" i="2"/>
  <c r="T722" i="5"/>
  <c r="X467" i="2"/>
  <c r="U722" i="5"/>
  <c r="Y467" i="2"/>
  <c r="V722" i="5"/>
  <c r="Z467" i="2"/>
  <c r="W722" i="5"/>
  <c r="AA467" i="2"/>
  <c r="X722" i="5"/>
  <c r="AB467" i="2"/>
  <c r="Z722" i="5"/>
  <c r="AD467" i="2"/>
  <c r="AB722" i="5"/>
  <c r="AF467" i="2"/>
  <c r="AC722" i="5"/>
  <c r="AG467" i="2"/>
  <c r="AD722" i="5"/>
  <c r="AH467" i="2"/>
  <c r="AF722" i="5"/>
  <c r="AJ467" i="2"/>
  <c r="AG722" i="5"/>
  <c r="AH722" i="5"/>
  <c r="AI722" i="5"/>
  <c r="AM467" i="2"/>
  <c r="AL722" i="5"/>
  <c r="AM722" i="5"/>
  <c r="R723" i="5"/>
  <c r="Y723" i="5"/>
  <c r="AC468" i="2"/>
  <c r="AA723" i="5"/>
  <c r="AE468" i="2"/>
  <c r="R724" i="5"/>
  <c r="V469" i="2"/>
  <c r="Y724" i="5"/>
  <c r="AC469" i="2"/>
  <c r="AA724" i="5"/>
  <c r="AE724" i="5"/>
  <c r="AI469" i="2"/>
  <c r="AE469" i="2"/>
  <c r="Q727" i="5"/>
  <c r="U470" i="2"/>
  <c r="S727" i="5"/>
  <c r="W470" i="2"/>
  <c r="T727" i="5"/>
  <c r="X470" i="2"/>
  <c r="U727" i="5"/>
  <c r="Y470" i="2"/>
  <c r="W727" i="5"/>
  <c r="AA470" i="2"/>
  <c r="X727" i="5"/>
  <c r="AB470" i="2"/>
  <c r="N729" i="5"/>
  <c r="O729" i="5"/>
  <c r="P729" i="5"/>
  <c r="R729" i="5"/>
  <c r="R730" i="5"/>
  <c r="V730" i="5"/>
  <c r="Z471" i="2"/>
  <c r="X730" i="5"/>
  <c r="AB471" i="2"/>
  <c r="Y730" i="5"/>
  <c r="AC471" i="2"/>
  <c r="Z730" i="5"/>
  <c r="AD471" i="2"/>
  <c r="AA730" i="5"/>
  <c r="AE471" i="2"/>
  <c r="AB730" i="5"/>
  <c r="AF471" i="2"/>
  <c r="R731" i="5"/>
  <c r="V472" i="2"/>
  <c r="V731" i="5"/>
  <c r="Z472" i="2"/>
  <c r="X731" i="5"/>
  <c r="AB472" i="2"/>
  <c r="Y731" i="5"/>
  <c r="AC472" i="2"/>
  <c r="Z731" i="5"/>
  <c r="AD472" i="2"/>
  <c r="AA731" i="5"/>
  <c r="AE472" i="2"/>
  <c r="AB731" i="5"/>
  <c r="AF472" i="2"/>
  <c r="R732" i="5"/>
  <c r="V473" i="2"/>
  <c r="X732" i="5"/>
  <c r="AB473" i="2"/>
  <c r="Y732" i="5"/>
  <c r="Y727" i="5"/>
  <c r="AC470" i="2"/>
  <c r="Z732" i="5"/>
  <c r="AD473" i="2"/>
  <c r="AA732" i="5"/>
  <c r="AE473" i="2"/>
  <c r="AB732" i="5"/>
  <c r="AF473" i="2"/>
  <c r="R733" i="5"/>
  <c r="V474" i="2"/>
  <c r="Q736" i="5"/>
  <c r="U475" i="2"/>
  <c r="S736" i="5"/>
  <c r="W475" i="2"/>
  <c r="T736" i="5"/>
  <c r="X475" i="2"/>
  <c r="U736" i="5"/>
  <c r="Y475" i="2"/>
  <c r="N738" i="5"/>
  <c r="O738" i="5"/>
  <c r="P738" i="5"/>
  <c r="R739" i="5"/>
  <c r="V476" i="2"/>
  <c r="V739" i="5"/>
  <c r="Z476" i="2"/>
  <c r="R740" i="5"/>
  <c r="V477" i="2"/>
  <c r="V740" i="5"/>
  <c r="Z477" i="2"/>
  <c r="R741" i="5"/>
  <c r="V741" i="5"/>
  <c r="Z478" i="2"/>
  <c r="V478" i="2"/>
  <c r="R742" i="5"/>
  <c r="V479" i="2"/>
  <c r="V742" i="5"/>
  <c r="Z479" i="2"/>
  <c r="S748" i="5"/>
  <c r="W481" i="2"/>
  <c r="N750" i="5"/>
  <c r="O750" i="5"/>
  <c r="P750" i="5"/>
  <c r="R750" i="5"/>
  <c r="T750" i="5"/>
  <c r="H440" i="6"/>
  <c r="H470" i="6"/>
  <c r="H730" i="6"/>
  <c r="H760" i="6"/>
  <c r="U750" i="5"/>
  <c r="I440" i="6"/>
  <c r="I470" i="6"/>
  <c r="I730" i="6"/>
  <c r="I760" i="6"/>
  <c r="R751" i="5"/>
  <c r="V482" i="2"/>
  <c r="T751" i="5"/>
  <c r="X482" i="2"/>
  <c r="U751" i="5"/>
  <c r="Y482" i="2"/>
  <c r="O752" i="5"/>
  <c r="R483" i="2"/>
  <c r="Q752" i="5"/>
  <c r="U483" i="2"/>
  <c r="T752" i="5"/>
  <c r="X483" i="2"/>
  <c r="U752" i="5"/>
  <c r="Y483" i="2"/>
  <c r="N753" i="5"/>
  <c r="Q484" i="2"/>
  <c r="O753" i="5"/>
  <c r="R484" i="2"/>
  <c r="P753" i="5"/>
  <c r="R753" i="5"/>
  <c r="V484" i="2"/>
  <c r="O754" i="5"/>
  <c r="R485" i="2"/>
  <c r="R754" i="5"/>
  <c r="V485" i="2"/>
  <c r="O755" i="5"/>
  <c r="R755" i="5"/>
  <c r="V486" i="2"/>
  <c r="Q758" i="5"/>
  <c r="U487" i="2"/>
  <c r="R758" i="5"/>
  <c r="V487" i="2"/>
  <c r="S758" i="5"/>
  <c r="W487" i="2"/>
  <c r="N760" i="5"/>
  <c r="R760" i="5"/>
  <c r="O760" i="5"/>
  <c r="P760" i="5"/>
  <c r="T760" i="5"/>
  <c r="U760" i="5"/>
  <c r="R761" i="5"/>
  <c r="V488" i="2"/>
  <c r="U761" i="5"/>
  <c r="Y488" i="2"/>
  <c r="N762" i="5"/>
  <c r="Q489" i="2"/>
  <c r="O762" i="5"/>
  <c r="R489" i="2"/>
  <c r="E16" i="14"/>
  <c r="R762" i="5"/>
  <c r="V489" i="2"/>
  <c r="N768" i="5"/>
  <c r="O768" i="5"/>
  <c r="P768" i="5"/>
  <c r="R769" i="5"/>
  <c r="V491" i="2"/>
  <c r="N770" i="5"/>
  <c r="Q492" i="2"/>
  <c r="R770" i="5"/>
  <c r="V492" i="2"/>
  <c r="R771" i="5"/>
  <c r="V493" i="2"/>
  <c r="R772" i="5"/>
  <c r="V772" i="5"/>
  <c r="Z494" i="2"/>
  <c r="V494" i="2"/>
  <c r="Q773" i="5"/>
  <c r="U495" i="2"/>
  <c r="S773" i="5"/>
  <c r="S766" i="5"/>
  <c r="W490" i="2"/>
  <c r="T773" i="5"/>
  <c r="X495" i="2"/>
  <c r="U773" i="5"/>
  <c r="Y495" i="2"/>
  <c r="Q497" i="2"/>
  <c r="R775" i="5"/>
  <c r="N775" i="5"/>
  <c r="R776" i="5"/>
  <c r="V498" i="2"/>
  <c r="R777" i="5"/>
  <c r="V777" i="5"/>
  <c r="Z499" i="2"/>
  <c r="V499" i="2"/>
  <c r="N779" i="5"/>
  <c r="Q501" i="2"/>
  <c r="R779" i="5"/>
  <c r="V779" i="5"/>
  <c r="Z501" i="2"/>
  <c r="V501" i="2"/>
  <c r="R780" i="5"/>
  <c r="V502" i="2"/>
  <c r="V780" i="5"/>
  <c r="Z502" i="2"/>
  <c r="N781" i="5"/>
  <c r="Q503" i="2"/>
  <c r="R781" i="5"/>
  <c r="V781" i="5"/>
  <c r="V503" i="2"/>
  <c r="Z503" i="2"/>
  <c r="R782" i="5"/>
  <c r="V504" i="2"/>
  <c r="R784" i="5"/>
  <c r="V506" i="2"/>
  <c r="N785" i="5"/>
  <c r="Q507" i="2"/>
  <c r="R785" i="5"/>
  <c r="V507" i="2"/>
  <c r="R786" i="5"/>
  <c r="V508" i="2"/>
  <c r="R787" i="5"/>
  <c r="V787" i="5"/>
  <c r="Z509" i="2"/>
  <c r="V509" i="2"/>
  <c r="N794" i="5"/>
  <c r="O794" i="5"/>
  <c r="P794" i="5"/>
  <c r="R795" i="5"/>
  <c r="V512" i="2"/>
  <c r="Y795" i="5"/>
  <c r="AC512" i="2"/>
  <c r="R797" i="5"/>
  <c r="V514" i="2"/>
  <c r="Y797" i="5"/>
  <c r="AC514" i="2"/>
  <c r="Q798" i="5"/>
  <c r="U515" i="2"/>
  <c r="S798" i="5"/>
  <c r="W515" i="2"/>
  <c r="T798" i="5"/>
  <c r="X515" i="2"/>
  <c r="U798" i="5"/>
  <c r="U796" i="5"/>
  <c r="Y513" i="2"/>
  <c r="Y515" i="2"/>
  <c r="V798" i="5"/>
  <c r="Z515" i="2"/>
  <c r="W798" i="5"/>
  <c r="AA515" i="2"/>
  <c r="X798" i="5"/>
  <c r="AB515" i="2"/>
  <c r="AA798" i="5"/>
  <c r="AE515" i="2"/>
  <c r="AB798" i="5"/>
  <c r="AB796" i="5"/>
  <c r="AF513" i="2"/>
  <c r="AC798" i="5"/>
  <c r="AC796" i="5"/>
  <c r="AG513" i="2"/>
  <c r="N799" i="5"/>
  <c r="Q516" i="2"/>
  <c r="R799" i="5"/>
  <c r="V516" i="2"/>
  <c r="Y799" i="5"/>
  <c r="AC516" i="2"/>
  <c r="Z799" i="5"/>
  <c r="R800" i="5"/>
  <c r="V517" i="2"/>
  <c r="Y800" i="5"/>
  <c r="AC517" i="2"/>
  <c r="R801" i="5"/>
  <c r="V518" i="2"/>
  <c r="Y801" i="5"/>
  <c r="AC518" i="2"/>
  <c r="R802" i="5"/>
  <c r="V519" i="2"/>
  <c r="Y802" i="5"/>
  <c r="AC519" i="2"/>
  <c r="R803" i="5"/>
  <c r="N803" i="5"/>
  <c r="Q520" i="2"/>
  <c r="V520" i="2"/>
  <c r="Y803" i="5"/>
  <c r="Y803" i="4"/>
  <c r="R804" i="5"/>
  <c r="V521" i="2"/>
  <c r="Y804" i="5"/>
  <c r="AC521" i="2"/>
  <c r="R805" i="5"/>
  <c r="V522" i="2"/>
  <c r="Y805" i="5"/>
  <c r="AC522" i="2"/>
  <c r="Q806" i="5"/>
  <c r="U523" i="2"/>
  <c r="S806" i="5"/>
  <c r="W523" i="2"/>
  <c r="T806" i="5"/>
  <c r="X523" i="2"/>
  <c r="U806" i="5"/>
  <c r="Y523" i="2"/>
  <c r="V806" i="5"/>
  <c r="Z523" i="2"/>
  <c r="W806" i="5"/>
  <c r="AA523" i="2"/>
  <c r="X806" i="5"/>
  <c r="AB523" i="2"/>
  <c r="AA806" i="5"/>
  <c r="AE523" i="2"/>
  <c r="AB806" i="5"/>
  <c r="AF523" i="2"/>
  <c r="AC806" i="5"/>
  <c r="AG523" i="2"/>
  <c r="R807" i="5"/>
  <c r="V524" i="2"/>
  <c r="Y807" i="5"/>
  <c r="AC524" i="2"/>
  <c r="Z807" i="5"/>
  <c r="AD524" i="2"/>
  <c r="N808" i="5"/>
  <c r="Q525" i="2"/>
  <c r="R808" i="5"/>
  <c r="V525" i="2"/>
  <c r="Y808" i="5"/>
  <c r="AC525" i="2"/>
  <c r="Z808" i="5"/>
  <c r="AD525" i="2"/>
  <c r="N809" i="5"/>
  <c r="Q526" i="2"/>
  <c r="R809" i="5"/>
  <c r="V526" i="2"/>
  <c r="Y809" i="5"/>
  <c r="AC526" i="2"/>
  <c r="R810" i="5"/>
  <c r="V527" i="2"/>
  <c r="Y810" i="5"/>
  <c r="AC527" i="2"/>
  <c r="R811" i="5"/>
  <c r="V528" i="2"/>
  <c r="Y811" i="5"/>
  <c r="AC528" i="2"/>
  <c r="Z811" i="5"/>
  <c r="AD528" i="2"/>
  <c r="Q812" i="5"/>
  <c r="U529" i="2"/>
  <c r="S812" i="5"/>
  <c r="W529" i="2"/>
  <c r="T812" i="5"/>
  <c r="X529" i="2"/>
  <c r="U812" i="5"/>
  <c r="Y529" i="2"/>
  <c r="V812" i="5"/>
  <c r="Z529" i="2"/>
  <c r="W812" i="5"/>
  <c r="AA529" i="2"/>
  <c r="X812" i="5"/>
  <c r="AB529" i="2"/>
  <c r="AA812" i="5"/>
  <c r="AE529" i="2"/>
  <c r="AB812" i="5"/>
  <c r="AF529" i="2"/>
  <c r="AC812" i="5"/>
  <c r="AG529" i="2"/>
  <c r="R813" i="5"/>
  <c r="Z813" i="5"/>
  <c r="AD530" i="2"/>
  <c r="Y813" i="5"/>
  <c r="AC530" i="2"/>
  <c r="Q531" i="2"/>
  <c r="R814" i="5"/>
  <c r="N814" i="5"/>
  <c r="Y814" i="5"/>
  <c r="AC531" i="2"/>
  <c r="R815" i="5"/>
  <c r="V532" i="2"/>
  <c r="Y815" i="5"/>
  <c r="AC532" i="2"/>
  <c r="R816" i="5"/>
  <c r="Z816" i="5"/>
  <c r="AD533" i="2"/>
  <c r="Y816" i="5"/>
  <c r="AC533" i="2"/>
  <c r="Q534" i="2"/>
  <c r="O817" i="5"/>
  <c r="R534" i="2"/>
  <c r="R817" i="5"/>
  <c r="N817" i="5"/>
  <c r="V534" i="2"/>
  <c r="Y817" i="5"/>
  <c r="AC534" i="2"/>
  <c r="Q823" i="5"/>
  <c r="U536" i="2"/>
  <c r="S823" i="5"/>
  <c r="W536" i="2"/>
  <c r="T823" i="5"/>
  <c r="X536" i="2"/>
  <c r="U823" i="5"/>
  <c r="Y536" i="2"/>
  <c r="W823" i="5"/>
  <c r="AA536" i="2"/>
  <c r="N825" i="5"/>
  <c r="O825" i="5"/>
  <c r="P825" i="5"/>
  <c r="N826" i="5"/>
  <c r="Q537" i="2"/>
  <c r="R826" i="5"/>
  <c r="V537" i="2"/>
  <c r="R827" i="5"/>
  <c r="V538" i="2"/>
  <c r="Q829" i="5"/>
  <c r="U539" i="2"/>
  <c r="S829" i="5"/>
  <c r="W539" i="2"/>
  <c r="T829" i="5"/>
  <c r="X539" i="2"/>
  <c r="U829" i="5"/>
  <c r="Y539" i="2"/>
  <c r="W829" i="5"/>
  <c r="AA539" i="2"/>
  <c r="N831" i="5"/>
  <c r="N842" i="5"/>
  <c r="O831" i="5"/>
  <c r="P831" i="5"/>
  <c r="R832" i="5"/>
  <c r="N833" i="5"/>
  <c r="Q541" i="2"/>
  <c r="R833" i="5"/>
  <c r="V541" i="2"/>
  <c r="R834" i="5"/>
  <c r="V542" i="2"/>
  <c r="R835" i="5"/>
  <c r="V543" i="2"/>
  <c r="Q544" i="2"/>
  <c r="R836" i="5"/>
  <c r="N836" i="5"/>
  <c r="R837" i="5"/>
  <c r="V545" i="2"/>
  <c r="R838" i="5"/>
  <c r="V546" i="2"/>
  <c r="Q840" i="5"/>
  <c r="U547" i="2"/>
  <c r="R840" i="5"/>
  <c r="V547" i="2"/>
  <c r="S840" i="5"/>
  <c r="W547" i="2"/>
  <c r="T840" i="5"/>
  <c r="X547" i="2"/>
  <c r="U840" i="5"/>
  <c r="Y547" i="2"/>
  <c r="V840" i="5"/>
  <c r="Z547" i="2"/>
  <c r="O842" i="5"/>
  <c r="N843" i="5"/>
  <c r="Q548" i="2"/>
  <c r="O843" i="5"/>
  <c r="R548" i="2"/>
  <c r="W843" i="5"/>
  <c r="AA548" i="2"/>
  <c r="X843" i="5"/>
  <c r="AB548" i="2"/>
  <c r="N844" i="5"/>
  <c r="Q549" i="2"/>
  <c r="W844" i="5"/>
  <c r="AA549" i="2"/>
  <c r="X844" i="5"/>
  <c r="AB549" i="2"/>
  <c r="N845" i="5"/>
  <c r="Q550" i="2"/>
  <c r="W845" i="5"/>
  <c r="AA550" i="2"/>
  <c r="X845" i="5"/>
  <c r="AB550" i="2"/>
  <c r="N846" i="5"/>
  <c r="Q551" i="2"/>
  <c r="R551" i="2"/>
  <c r="W846" i="5"/>
  <c r="AA551" i="2"/>
  <c r="X846" i="5"/>
  <c r="O846" i="5"/>
  <c r="AB551" i="2"/>
  <c r="N847" i="5"/>
  <c r="Q552" i="2"/>
  <c r="W847" i="5"/>
  <c r="AA552" i="2"/>
  <c r="X847" i="5"/>
  <c r="AB552" i="2"/>
  <c r="N848" i="5"/>
  <c r="Q553" i="2"/>
  <c r="W848" i="5"/>
  <c r="AA553" i="2"/>
  <c r="X848" i="5"/>
  <c r="AB553" i="2"/>
  <c r="N849" i="5"/>
  <c r="Q554" i="2"/>
  <c r="W849" i="5"/>
  <c r="AA554" i="2"/>
  <c r="X849" i="5"/>
  <c r="AB554" i="2"/>
  <c r="N850" i="5"/>
  <c r="Q555" i="2"/>
  <c r="W850" i="5"/>
  <c r="AA555" i="2"/>
  <c r="X850" i="5"/>
  <c r="AB555" i="2"/>
  <c r="N854" i="5"/>
  <c r="O854" i="5"/>
  <c r="P854" i="5"/>
  <c r="R855" i="5"/>
  <c r="V557" i="2"/>
  <c r="Q856" i="5"/>
  <c r="U558" i="2"/>
  <c r="S856" i="5"/>
  <c r="W558" i="2"/>
  <c r="T856" i="5"/>
  <c r="X558" i="2"/>
  <c r="U856" i="5"/>
  <c r="Y558" i="2"/>
  <c r="V856" i="5"/>
  <c r="Z558" i="2"/>
  <c r="W856" i="5"/>
  <c r="AA558" i="2"/>
  <c r="R857" i="5"/>
  <c r="V559" i="2"/>
  <c r="R858" i="5"/>
  <c r="V560" i="2"/>
  <c r="X560" i="2"/>
  <c r="R859" i="5"/>
  <c r="V561" i="2"/>
  <c r="R860" i="5"/>
  <c r="V562" i="2"/>
  <c r="R861" i="5"/>
  <c r="V563" i="2"/>
  <c r="Q862" i="5"/>
  <c r="U564" i="2"/>
  <c r="S862" i="5"/>
  <c r="W564" i="2"/>
  <c r="T862" i="5"/>
  <c r="X564" i="2"/>
  <c r="U862" i="5"/>
  <c r="Y564" i="2"/>
  <c r="V862" i="5"/>
  <c r="Z564" i="2"/>
  <c r="W862" i="5"/>
  <c r="AA564" i="2"/>
  <c r="R863" i="5"/>
  <c r="V565" i="2"/>
  <c r="R864" i="5"/>
  <c r="N864" i="5"/>
  <c r="Q566" i="2"/>
  <c r="R865" i="5"/>
  <c r="V567" i="2"/>
  <c r="R866" i="5"/>
  <c r="O867" i="5"/>
  <c r="R569" i="2"/>
  <c r="R867" i="5"/>
  <c r="V569" i="2"/>
  <c r="X867" i="5"/>
  <c r="AB569" i="2"/>
  <c r="R868" i="5"/>
  <c r="V570" i="2"/>
  <c r="X868" i="5"/>
  <c r="AB570" i="2"/>
  <c r="U871" i="5"/>
  <c r="U821" i="5"/>
  <c r="Y535" i="2"/>
  <c r="N873" i="5"/>
  <c r="O873" i="5"/>
  <c r="P873" i="5"/>
  <c r="Q874" i="5"/>
  <c r="U572" i="2"/>
  <c r="S874" i="5"/>
  <c r="W572" i="2"/>
  <c r="T874" i="5"/>
  <c r="X572" i="2"/>
  <c r="U874" i="5"/>
  <c r="Y572" i="2"/>
  <c r="W874" i="5"/>
  <c r="AA572" i="2"/>
  <c r="R875" i="5"/>
  <c r="V573" i="2"/>
  <c r="N876" i="5"/>
  <c r="Q574" i="2"/>
  <c r="R876" i="5"/>
  <c r="V574" i="2"/>
  <c r="Q877" i="5"/>
  <c r="U575" i="2"/>
  <c r="S877" i="5"/>
  <c r="S871" i="5"/>
  <c r="W571" i="2"/>
  <c r="W575" i="2"/>
  <c r="T877" i="5"/>
  <c r="X575" i="2"/>
  <c r="U877" i="5"/>
  <c r="Y575" i="2"/>
  <c r="W877" i="5"/>
  <c r="AA575" i="2"/>
  <c r="Q576" i="2"/>
  <c r="R878" i="5"/>
  <c r="N878" i="5"/>
  <c r="V576" i="2"/>
  <c r="R879" i="5"/>
  <c r="V577" i="2"/>
  <c r="R880" i="5"/>
  <c r="V578" i="2"/>
  <c r="R881" i="5"/>
  <c r="V579" i="2"/>
  <c r="N882" i="5"/>
  <c r="Q580" i="2"/>
  <c r="R882" i="5"/>
  <c r="V580" i="2"/>
  <c r="R884" i="5"/>
  <c r="V582" i="2"/>
  <c r="R885" i="5"/>
  <c r="V583" i="2"/>
  <c r="T885" i="5"/>
  <c r="X583" i="2"/>
  <c r="R886" i="5"/>
  <c r="V584" i="2"/>
  <c r="T889" i="5"/>
  <c r="X585" i="2"/>
  <c r="Y585" i="2"/>
  <c r="Q891" i="5"/>
  <c r="U586" i="2"/>
  <c r="S891" i="5"/>
  <c r="W586" i="2"/>
  <c r="T891" i="5"/>
  <c r="X586" i="2"/>
  <c r="U891" i="5"/>
  <c r="U889" i="5"/>
  <c r="Y586" i="2"/>
  <c r="W891" i="5"/>
  <c r="AA586" i="2"/>
  <c r="N893" i="5"/>
  <c r="O893" i="5"/>
  <c r="P893" i="5"/>
  <c r="R894" i="5"/>
  <c r="V587" i="2"/>
  <c r="N895" i="5"/>
  <c r="Q588" i="2"/>
  <c r="R895" i="5"/>
  <c r="V588" i="2"/>
  <c r="R896" i="5"/>
  <c r="V589" i="2"/>
  <c r="N899" i="5"/>
  <c r="O899" i="5"/>
  <c r="P899" i="5"/>
  <c r="R900" i="5"/>
  <c r="N900" i="5"/>
  <c r="Q590" i="2"/>
  <c r="V590" i="2"/>
  <c r="N902" i="5"/>
  <c r="O902" i="5"/>
  <c r="P902" i="5"/>
  <c r="N903" i="5"/>
  <c r="Q591" i="2"/>
  <c r="R903" i="5"/>
  <c r="V591" i="2"/>
  <c r="AC908" i="5"/>
  <c r="AC915" i="5"/>
  <c r="AC925" i="5"/>
  <c r="AC940" i="5"/>
  <c r="AC946" i="5"/>
  <c r="AC988" i="5"/>
  <c r="AC1001" i="5"/>
  <c r="AC1016" i="5"/>
  <c r="AC1020" i="5"/>
  <c r="AC1024" i="5"/>
  <c r="AC1032" i="5"/>
  <c r="AH908" i="5"/>
  <c r="AH915" i="5"/>
  <c r="AH925" i="5"/>
  <c r="AH940" i="5"/>
  <c r="AH946" i="5"/>
  <c r="AH988" i="5"/>
  <c r="AH1001" i="5"/>
  <c r="AH1016" i="5"/>
  <c r="AH1020" i="5"/>
  <c r="AH1024" i="5"/>
  <c r="AH1032" i="5"/>
  <c r="N909" i="5"/>
  <c r="O909" i="5"/>
  <c r="P909" i="5"/>
  <c r="R910" i="5"/>
  <c r="V593" i="2"/>
  <c r="Q913" i="5"/>
  <c r="U594" i="2"/>
  <c r="S913" i="5"/>
  <c r="W594" i="2"/>
  <c r="T913" i="5"/>
  <c r="X594" i="2"/>
  <c r="U913" i="5"/>
  <c r="Y594" i="2"/>
  <c r="V913" i="5"/>
  <c r="Z594" i="2"/>
  <c r="W913" i="5"/>
  <c r="AA594" i="2"/>
  <c r="X913" i="5"/>
  <c r="AB594" i="2"/>
  <c r="Y913" i="5"/>
  <c r="AC594" i="2"/>
  <c r="AA913" i="5"/>
  <c r="AE594" i="2"/>
  <c r="AB913" i="5"/>
  <c r="AF594" i="2"/>
  <c r="AC913" i="5"/>
  <c r="AG594" i="2"/>
  <c r="AD913" i="5"/>
  <c r="AH594" i="2"/>
  <c r="AE913" i="5"/>
  <c r="AI594" i="2"/>
  <c r="AF913" i="5"/>
  <c r="AI913" i="5"/>
  <c r="AM594" i="2"/>
  <c r="AJ913" i="5"/>
  <c r="N916" i="5"/>
  <c r="O916" i="5"/>
  <c r="P916" i="5"/>
  <c r="R917" i="5"/>
  <c r="V595" i="2"/>
  <c r="R918" i="5"/>
  <c r="V596" i="2"/>
  <c r="R919" i="5"/>
  <c r="V597" i="2"/>
  <c r="Z919" i="5"/>
  <c r="AD597" i="2"/>
  <c r="R920" i="5"/>
  <c r="V598" i="2"/>
  <c r="R921" i="5"/>
  <c r="Q923" i="5"/>
  <c r="U600" i="2"/>
  <c r="S923" i="5"/>
  <c r="W600" i="2"/>
  <c r="T923" i="5"/>
  <c r="X600" i="2"/>
  <c r="U923" i="5"/>
  <c r="Y600" i="2"/>
  <c r="V923" i="5"/>
  <c r="Z600" i="2"/>
  <c r="W923" i="5"/>
  <c r="AA600" i="2"/>
  <c r="X923" i="5"/>
  <c r="AB600" i="2"/>
  <c r="Y923" i="5"/>
  <c r="AC600" i="2"/>
  <c r="AA923" i="5"/>
  <c r="AE600" i="2"/>
  <c r="AB923" i="5"/>
  <c r="AF600" i="2"/>
  <c r="AC923" i="5"/>
  <c r="AG600" i="2"/>
  <c r="AD923" i="5"/>
  <c r="AH600" i="2"/>
  <c r="AE923" i="5"/>
  <c r="AI600" i="2"/>
  <c r="AF923" i="5"/>
  <c r="AI923" i="5"/>
  <c r="AM600" i="2"/>
  <c r="AJ923" i="5"/>
  <c r="N926" i="5"/>
  <c r="O926" i="5"/>
  <c r="P926" i="5"/>
  <c r="R927" i="5"/>
  <c r="V601" i="2"/>
  <c r="R928" i="5"/>
  <c r="V602" i="2"/>
  <c r="Z928" i="5"/>
  <c r="AD602" i="2"/>
  <c r="R929" i="5"/>
  <c r="V603" i="2"/>
  <c r="R930" i="5"/>
  <c r="Z930" i="5"/>
  <c r="AH930" i="5"/>
  <c r="AL604" i="2"/>
  <c r="V604" i="2"/>
  <c r="R931" i="5"/>
  <c r="N931" i="5"/>
  <c r="Q605" i="2"/>
  <c r="V605" i="2"/>
  <c r="R932" i="5"/>
  <c r="Z932" i="5"/>
  <c r="V606" i="2"/>
  <c r="AG932" i="5"/>
  <c r="O933" i="5"/>
  <c r="R607" i="2"/>
  <c r="R933" i="5"/>
  <c r="Z933" i="5"/>
  <c r="AH933" i="5"/>
  <c r="AL607" i="2"/>
  <c r="V607" i="2"/>
  <c r="R934" i="5"/>
  <c r="R935" i="5"/>
  <c r="V609" i="2"/>
  <c r="R936" i="5"/>
  <c r="Z936" i="5"/>
  <c r="AD610" i="2"/>
  <c r="R937" i="5"/>
  <c r="V611" i="2"/>
  <c r="R938" i="5"/>
  <c r="V612" i="2"/>
  <c r="N941" i="5"/>
  <c r="O941" i="5"/>
  <c r="P941" i="5"/>
  <c r="R942" i="5"/>
  <c r="N947" i="5"/>
  <c r="O947" i="5"/>
  <c r="P947" i="5"/>
  <c r="Q949" i="5"/>
  <c r="U616" i="2"/>
  <c r="S949" i="5"/>
  <c r="W616" i="2"/>
  <c r="T949" i="5"/>
  <c r="X616" i="2"/>
  <c r="U949" i="5"/>
  <c r="Y616" i="2"/>
  <c r="V949" i="5"/>
  <c r="Z616" i="2"/>
  <c r="W949" i="5"/>
  <c r="AA616" i="2"/>
  <c r="X949" i="5"/>
  <c r="AB616" i="2"/>
  <c r="Y949" i="5"/>
  <c r="AC616" i="2"/>
  <c r="AA949" i="5"/>
  <c r="AE616" i="2"/>
  <c r="AB949" i="5"/>
  <c r="AF616" i="2"/>
  <c r="AC949" i="5"/>
  <c r="AG616" i="2"/>
  <c r="AD949" i="5"/>
  <c r="AH616" i="2"/>
  <c r="AE949" i="5"/>
  <c r="AI616" i="2"/>
  <c r="AF949" i="5"/>
  <c r="AI949" i="5"/>
  <c r="AM616" i="2"/>
  <c r="AJ949" i="5"/>
  <c r="R950" i="5"/>
  <c r="R951" i="5"/>
  <c r="R952" i="5"/>
  <c r="V619" i="2"/>
  <c r="R953" i="5"/>
  <c r="Z953" i="5"/>
  <c r="AD620" i="2"/>
  <c r="V620" i="2"/>
  <c r="R954" i="5"/>
  <c r="V621" i="2"/>
  <c r="R955" i="5"/>
  <c r="V622" i="2"/>
  <c r="N956" i="5"/>
  <c r="Q623" i="2"/>
  <c r="R956" i="5"/>
  <c r="V623" i="2"/>
  <c r="Z956" i="5"/>
  <c r="AG956" i="5"/>
  <c r="R957" i="5"/>
  <c r="N957" i="5"/>
  <c r="Q624" i="2"/>
  <c r="Q958" i="5"/>
  <c r="U625" i="2"/>
  <c r="S958" i="5"/>
  <c r="S948" i="5"/>
  <c r="W615" i="2"/>
  <c r="T958" i="5"/>
  <c r="X625" i="2"/>
  <c r="U958" i="5"/>
  <c r="Y625" i="2"/>
  <c r="V958" i="5"/>
  <c r="Z625" i="2"/>
  <c r="W958" i="5"/>
  <c r="AA625" i="2"/>
  <c r="X958" i="5"/>
  <c r="AB625" i="2"/>
  <c r="Y958" i="5"/>
  <c r="AC625" i="2"/>
  <c r="AA958" i="5"/>
  <c r="AE625" i="2"/>
  <c r="AB958" i="5"/>
  <c r="AF625" i="2"/>
  <c r="AC958" i="5"/>
  <c r="AG625" i="2"/>
  <c r="AD958" i="5"/>
  <c r="AH625" i="2"/>
  <c r="AE958" i="5"/>
  <c r="AI625" i="2"/>
  <c r="AF958" i="5"/>
  <c r="AI958" i="5"/>
  <c r="AM625" i="2"/>
  <c r="AJ958" i="5"/>
  <c r="R959" i="5"/>
  <c r="N959" i="5"/>
  <c r="Q626" i="2"/>
  <c r="R960" i="5"/>
  <c r="V627" i="2"/>
  <c r="R961" i="5"/>
  <c r="V628" i="2"/>
  <c r="Z961" i="5"/>
  <c r="AD628" i="2"/>
  <c r="R962" i="5"/>
  <c r="V629" i="2"/>
  <c r="Q963" i="5"/>
  <c r="U630" i="2"/>
  <c r="S963" i="5"/>
  <c r="W630" i="2"/>
  <c r="T963" i="5"/>
  <c r="X630" i="2"/>
  <c r="U963" i="5"/>
  <c r="U963" i="4"/>
  <c r="W963" i="5"/>
  <c r="AA630" i="2"/>
  <c r="AB963" i="5"/>
  <c r="AF630" i="2"/>
  <c r="AD963" i="5"/>
  <c r="AH630" i="2"/>
  <c r="AE963" i="5"/>
  <c r="AI630" i="2"/>
  <c r="AF963" i="5"/>
  <c r="AI963" i="5"/>
  <c r="AM630" i="2"/>
  <c r="AJ963" i="5"/>
  <c r="R964" i="5"/>
  <c r="N964" i="5"/>
  <c r="Q631" i="2"/>
  <c r="Z964" i="5"/>
  <c r="AD631" i="2"/>
  <c r="AH964" i="5"/>
  <c r="AL631" i="2"/>
  <c r="N965" i="5"/>
  <c r="Q632" i="2"/>
  <c r="R965" i="5"/>
  <c r="V632" i="2"/>
  <c r="Z632" i="2"/>
  <c r="X965" i="5"/>
  <c r="AB632" i="2"/>
  <c r="Y965" i="5"/>
  <c r="AC632" i="2"/>
  <c r="AA965" i="5"/>
  <c r="AE632" i="2"/>
  <c r="AC965" i="5"/>
  <c r="AG632" i="2"/>
  <c r="R966" i="5"/>
  <c r="V633" i="2"/>
  <c r="R967" i="5"/>
  <c r="V634" i="2"/>
  <c r="V967" i="5"/>
  <c r="Z634" i="2"/>
  <c r="X967" i="5"/>
  <c r="AB634" i="2"/>
  <c r="AA967" i="5"/>
  <c r="AE634" i="2"/>
  <c r="R968" i="5"/>
  <c r="V635" i="2"/>
  <c r="Z635" i="2"/>
  <c r="AB635" i="2"/>
  <c r="N969" i="5"/>
  <c r="Q636" i="2"/>
  <c r="R969" i="5"/>
  <c r="V636" i="2"/>
  <c r="R970" i="5"/>
  <c r="V637" i="2"/>
  <c r="R971" i="5"/>
  <c r="V638" i="2"/>
  <c r="R972" i="5"/>
  <c r="V639" i="2"/>
  <c r="R973" i="5"/>
  <c r="V640" i="2"/>
  <c r="Z973" i="5"/>
  <c r="AD640" i="2"/>
  <c r="N974" i="5"/>
  <c r="Q641" i="2"/>
  <c r="R974" i="5"/>
  <c r="V641" i="2"/>
  <c r="Z974" i="5"/>
  <c r="AD641" i="2"/>
  <c r="R975" i="5"/>
  <c r="V642" i="2"/>
  <c r="Q976" i="5"/>
  <c r="U643" i="2"/>
  <c r="S976" i="5"/>
  <c r="W643" i="2"/>
  <c r="T976" i="5"/>
  <c r="X643" i="2"/>
  <c r="U976" i="5"/>
  <c r="Y643" i="2"/>
  <c r="W976" i="5"/>
  <c r="AA643" i="2"/>
  <c r="AA976" i="5"/>
  <c r="AE643" i="2"/>
  <c r="AB976" i="5"/>
  <c r="AF643" i="2"/>
  <c r="AC976" i="5"/>
  <c r="AG643" i="2"/>
  <c r="AD976" i="5"/>
  <c r="AH643" i="2"/>
  <c r="AE976" i="5"/>
  <c r="AI643" i="2"/>
  <c r="AF976" i="5"/>
  <c r="AI976" i="5"/>
  <c r="AM643" i="2"/>
  <c r="AJ976" i="5"/>
  <c r="R977" i="5"/>
  <c r="V644" i="2"/>
  <c r="V976" i="5"/>
  <c r="V976" i="4"/>
  <c r="V944" i="4"/>
  <c r="X977" i="5"/>
  <c r="X976" i="5"/>
  <c r="AB643" i="2"/>
  <c r="AB644" i="2"/>
  <c r="Y977" i="5"/>
  <c r="AC644" i="2"/>
  <c r="N978" i="5"/>
  <c r="Q645" i="2"/>
  <c r="R978" i="5"/>
  <c r="Z978" i="5"/>
  <c r="V645" i="2"/>
  <c r="Q979" i="5"/>
  <c r="U646" i="2"/>
  <c r="S979" i="5"/>
  <c r="W646" i="2"/>
  <c r="T979" i="5"/>
  <c r="X646" i="2"/>
  <c r="U979" i="5"/>
  <c r="Y646" i="2"/>
  <c r="V979" i="5"/>
  <c r="Z646" i="2"/>
  <c r="W979" i="5"/>
  <c r="AA646" i="2"/>
  <c r="X979" i="5"/>
  <c r="AB646" i="2"/>
  <c r="Y979" i="5"/>
  <c r="AC646" i="2"/>
  <c r="AA979" i="5"/>
  <c r="AE646" i="2"/>
  <c r="AB979" i="5"/>
  <c r="AF646" i="2"/>
  <c r="AC979" i="5"/>
  <c r="AG646" i="2"/>
  <c r="AD979" i="5"/>
  <c r="AH646" i="2"/>
  <c r="AE979" i="5"/>
  <c r="AI646" i="2"/>
  <c r="AF979" i="5"/>
  <c r="AI979" i="5"/>
  <c r="AM646" i="2"/>
  <c r="AJ979" i="5"/>
  <c r="R980" i="5"/>
  <c r="N980" i="5"/>
  <c r="Q647" i="2"/>
  <c r="R981" i="5"/>
  <c r="V648" i="2"/>
  <c r="R982" i="5"/>
  <c r="V649" i="2"/>
  <c r="Z982" i="5"/>
  <c r="AD649" i="2"/>
  <c r="R983" i="5"/>
  <c r="V650" i="2"/>
  <c r="R984" i="5"/>
  <c r="V651" i="2"/>
  <c r="N989" i="5"/>
  <c r="O989" i="5"/>
  <c r="P989" i="5"/>
  <c r="Q990" i="5"/>
  <c r="U653" i="2"/>
  <c r="S990" i="5"/>
  <c r="W653" i="2"/>
  <c r="T990" i="5"/>
  <c r="X653" i="2"/>
  <c r="U990" i="5"/>
  <c r="Y653" i="2"/>
  <c r="V990" i="5"/>
  <c r="Z653" i="2"/>
  <c r="W990" i="5"/>
  <c r="AA653" i="2"/>
  <c r="X990" i="5"/>
  <c r="AB653" i="2"/>
  <c r="Y990" i="5"/>
  <c r="AC653" i="2"/>
  <c r="AA990" i="5"/>
  <c r="AE653" i="2"/>
  <c r="AB990" i="5"/>
  <c r="AF653" i="2"/>
  <c r="AC990" i="5"/>
  <c r="AG653" i="2"/>
  <c r="AD990" i="5"/>
  <c r="AH653" i="2"/>
  <c r="AE990" i="5"/>
  <c r="AI653" i="2"/>
  <c r="AF990" i="5"/>
  <c r="AF986" i="5"/>
  <c r="AI990" i="5"/>
  <c r="AM653" i="2"/>
  <c r="AJ990" i="5"/>
  <c r="R991" i="5"/>
  <c r="V654" i="2"/>
  <c r="R992" i="5"/>
  <c r="V655" i="2"/>
  <c r="R993" i="5"/>
  <c r="V656" i="2"/>
  <c r="Z993" i="5"/>
  <c r="AD656" i="2"/>
  <c r="Q994" i="5"/>
  <c r="U657" i="2"/>
  <c r="S994" i="5"/>
  <c r="W657" i="2"/>
  <c r="T994" i="5"/>
  <c r="X657" i="2"/>
  <c r="U994" i="5"/>
  <c r="Y657" i="2"/>
  <c r="V994" i="5"/>
  <c r="Z657" i="2"/>
  <c r="W994" i="5"/>
  <c r="AA657" i="2"/>
  <c r="X994" i="5"/>
  <c r="AB657" i="2"/>
  <c r="Y994" i="5"/>
  <c r="AC657" i="2"/>
  <c r="AA994" i="5"/>
  <c r="AE657" i="2"/>
  <c r="AB994" i="5"/>
  <c r="AF657" i="2"/>
  <c r="AC994" i="5"/>
  <c r="AG657" i="2"/>
  <c r="AD994" i="5"/>
  <c r="AH657" i="2"/>
  <c r="AE994" i="5"/>
  <c r="AI657" i="2"/>
  <c r="AF994" i="5"/>
  <c r="AI994" i="5"/>
  <c r="AM657" i="2"/>
  <c r="AJ994" i="5"/>
  <c r="AJ986" i="5"/>
  <c r="R995" i="5"/>
  <c r="V658" i="2"/>
  <c r="R996" i="5"/>
  <c r="V659" i="2"/>
  <c r="Z996" i="5"/>
  <c r="O996" i="5"/>
  <c r="R659" i="2"/>
  <c r="AH996" i="5"/>
  <c r="AL659" i="2"/>
  <c r="N1002" i="5"/>
  <c r="O1002" i="5"/>
  <c r="P1002" i="5"/>
  <c r="Q1003" i="5"/>
  <c r="U661" i="2"/>
  <c r="S1003" i="5"/>
  <c r="W661" i="2"/>
  <c r="T1003" i="5"/>
  <c r="X661" i="2"/>
  <c r="U1003" i="5"/>
  <c r="Y661" i="2"/>
  <c r="W1003" i="5"/>
  <c r="AA661" i="2"/>
  <c r="AB1003" i="5"/>
  <c r="AF661" i="2"/>
  <c r="AC1003" i="5"/>
  <c r="AG661" i="2"/>
  <c r="AD1003" i="5"/>
  <c r="AH661" i="2"/>
  <c r="AE1003" i="5"/>
  <c r="AI661" i="2"/>
  <c r="AF1003" i="5"/>
  <c r="AI1003" i="5"/>
  <c r="AM661" i="2"/>
  <c r="AJ1003" i="5"/>
  <c r="AJ999" i="5"/>
  <c r="N1004" i="5"/>
  <c r="Q662" i="2"/>
  <c r="R1004" i="5"/>
  <c r="V662" i="2"/>
  <c r="Z662" i="2"/>
  <c r="AB662" i="2"/>
  <c r="Y1004" i="5"/>
  <c r="AC662" i="2"/>
  <c r="Z1004" i="5"/>
  <c r="O1004" i="5"/>
  <c r="AE662" i="2"/>
  <c r="R1005" i="5"/>
  <c r="V663" i="2"/>
  <c r="R1006" i="5"/>
  <c r="V664" i="2"/>
  <c r="R1007" i="5"/>
  <c r="V665" i="2"/>
  <c r="Z1007" i="5"/>
  <c r="AD665" i="2"/>
  <c r="N1008" i="5"/>
  <c r="Q666" i="2"/>
  <c r="R1008" i="5"/>
  <c r="V666" i="2"/>
  <c r="Z1008" i="5"/>
  <c r="AD666" i="2"/>
  <c r="N1009" i="5"/>
  <c r="Q667" i="2"/>
  <c r="R1009" i="5"/>
  <c r="V667" i="2"/>
  <c r="Z1009" i="5"/>
  <c r="AD667" i="2"/>
  <c r="AG1009" i="5"/>
  <c r="N1010" i="5"/>
  <c r="Q668" i="2"/>
  <c r="R1010" i="5"/>
  <c r="Z1010" i="5"/>
  <c r="V668" i="2"/>
  <c r="Q1011" i="5"/>
  <c r="U669" i="2"/>
  <c r="S1011" i="5"/>
  <c r="W669" i="2"/>
  <c r="T1011" i="5"/>
  <c r="X669" i="2"/>
  <c r="U1011" i="5"/>
  <c r="Y669" i="2"/>
  <c r="W1011" i="5"/>
  <c r="AA669" i="2"/>
  <c r="AD1011" i="5"/>
  <c r="AH669" i="2"/>
  <c r="AE1011" i="5"/>
  <c r="AI669" i="2"/>
  <c r="AI1011" i="5"/>
  <c r="AM669" i="2"/>
  <c r="AJ1011" i="5"/>
  <c r="R1012" i="5"/>
  <c r="V670" i="2"/>
  <c r="Z670" i="2"/>
  <c r="X1012" i="5"/>
  <c r="AB670" i="2"/>
  <c r="Y1012" i="5"/>
  <c r="AC670" i="2"/>
  <c r="AE670" i="2"/>
  <c r="AB1012" i="5"/>
  <c r="AF670" i="2"/>
  <c r="AG670" i="2"/>
  <c r="AF1012" i="5"/>
  <c r="R1013" i="5"/>
  <c r="V671" i="2"/>
  <c r="Z671" i="2"/>
  <c r="AB671" i="2"/>
  <c r="Y1013" i="5"/>
  <c r="AC671" i="2"/>
  <c r="AE671" i="2"/>
  <c r="R1014" i="5"/>
  <c r="N1014" i="5"/>
  <c r="Q672" i="2"/>
  <c r="V672" i="2"/>
  <c r="N1017" i="5"/>
  <c r="O1017" i="5"/>
  <c r="P1017" i="5"/>
  <c r="R1018" i="5"/>
  <c r="V673" i="2"/>
  <c r="Z1018" i="5"/>
  <c r="AD673" i="2"/>
  <c r="N1021" i="5"/>
  <c r="O1021" i="5"/>
  <c r="P1021" i="5"/>
  <c r="R1022" i="5"/>
  <c r="V674" i="2"/>
  <c r="Z674" i="2"/>
  <c r="AB674" i="2"/>
  <c r="AC674" i="2"/>
  <c r="N1025" i="5"/>
  <c r="O1025" i="5"/>
  <c r="P1025" i="5"/>
  <c r="R1026" i="5"/>
  <c r="V675" i="2"/>
  <c r="Z675" i="2"/>
  <c r="X1026" i="5"/>
  <c r="AB675" i="2"/>
  <c r="Y1026" i="5"/>
  <c r="AC675" i="2"/>
  <c r="AF1026" i="5"/>
  <c r="S1030" i="5"/>
  <c r="W676" i="2"/>
  <c r="N1033" i="5"/>
  <c r="O1033" i="5"/>
  <c r="P1033" i="5"/>
  <c r="R1034" i="5"/>
  <c r="V677" i="2"/>
  <c r="Z1034" i="5"/>
  <c r="AD677" i="2"/>
  <c r="Q1035" i="5"/>
  <c r="U678" i="2"/>
  <c r="R1035" i="5"/>
  <c r="V678" i="2"/>
  <c r="T1035" i="5"/>
  <c r="X678" i="2"/>
  <c r="U1035" i="5"/>
  <c r="Y678" i="2"/>
  <c r="W1035" i="5"/>
  <c r="AA678" i="2"/>
  <c r="AA1035" i="5"/>
  <c r="AE678" i="2"/>
  <c r="AB1035" i="5"/>
  <c r="AF678" i="2"/>
  <c r="AC1035" i="5"/>
  <c r="AG678" i="2"/>
  <c r="AD1035" i="5"/>
  <c r="AH678" i="2"/>
  <c r="AE1035" i="5"/>
  <c r="AI678" i="2"/>
  <c r="AF1035" i="5"/>
  <c r="AI1035" i="5"/>
  <c r="AM678" i="2"/>
  <c r="AJ1035" i="5"/>
  <c r="R1036" i="5"/>
  <c r="V679" i="2"/>
  <c r="N1037" i="5"/>
  <c r="Q680" i="2"/>
  <c r="R1037" i="5"/>
  <c r="V680" i="2"/>
  <c r="N1038" i="5"/>
  <c r="Q681" i="2"/>
  <c r="R1038" i="5"/>
  <c r="V681" i="2"/>
  <c r="V1035" i="5"/>
  <c r="V1035" i="4"/>
  <c r="Z681" i="2"/>
  <c r="X1038" i="5"/>
  <c r="AB681" i="2"/>
  <c r="Y1038" i="5"/>
  <c r="AC681" i="2"/>
  <c r="R1039" i="5"/>
  <c r="N1039" i="5"/>
  <c r="Q682" i="2"/>
  <c r="R1040" i="5"/>
  <c r="N1040" i="5"/>
  <c r="Q683" i="2"/>
  <c r="N1041" i="5"/>
  <c r="Q684" i="2"/>
  <c r="R1041" i="5"/>
  <c r="V684" i="2"/>
  <c r="Z1041" i="5"/>
  <c r="O1041" i="5"/>
  <c r="R1042" i="5"/>
  <c r="N1042" i="5"/>
  <c r="Q685" i="2"/>
  <c r="Q1043" i="5"/>
  <c r="R1043" i="5"/>
  <c r="V686" i="2"/>
  <c r="AA1043" i="5"/>
  <c r="AE686" i="2"/>
  <c r="R1044" i="5"/>
  <c r="V687" i="2"/>
  <c r="Z687" i="2"/>
  <c r="AC687" i="2"/>
  <c r="AF1044" i="5"/>
  <c r="AJ1044" i="5"/>
  <c r="AJ1043" i="5"/>
  <c r="R1045" i="5"/>
  <c r="V688" i="2"/>
  <c r="X1045" i="5"/>
  <c r="AB688" i="2"/>
  <c r="Q1046" i="5"/>
  <c r="U689" i="2"/>
  <c r="T1046" i="5"/>
  <c r="X689" i="2"/>
  <c r="U1046" i="5"/>
  <c r="Y689" i="2"/>
  <c r="V1046" i="5"/>
  <c r="Z689" i="2"/>
  <c r="W1046" i="5"/>
  <c r="AA689" i="2"/>
  <c r="X1046" i="5"/>
  <c r="AB689" i="2"/>
  <c r="Y1046" i="5"/>
  <c r="AC689" i="2"/>
  <c r="AA1046" i="5"/>
  <c r="AE689" i="2"/>
  <c r="AB1046" i="5"/>
  <c r="AF689" i="2"/>
  <c r="AC1046" i="5"/>
  <c r="AG689" i="2"/>
  <c r="AD1046" i="5"/>
  <c r="AH689" i="2"/>
  <c r="AE1046" i="5"/>
  <c r="AI689" i="2"/>
  <c r="AF1046" i="5"/>
  <c r="AI1046" i="5"/>
  <c r="AI1043" i="5"/>
  <c r="AM686" i="2"/>
  <c r="AJ1046" i="5"/>
  <c r="R1047" i="5"/>
  <c r="R1048" i="5"/>
  <c r="V691" i="2"/>
  <c r="Z1048" i="5"/>
  <c r="R1049" i="5"/>
  <c r="V692" i="2"/>
  <c r="R1050" i="5"/>
  <c r="V693" i="2"/>
  <c r="Z1050" i="5"/>
  <c r="AD693" i="2"/>
  <c r="S1055" i="5"/>
  <c r="W695" i="2"/>
  <c r="N1057" i="5"/>
  <c r="R1057" i="5"/>
  <c r="O1057" i="5"/>
  <c r="P1057" i="5"/>
  <c r="T1057" i="5"/>
  <c r="T1069" i="5"/>
  <c r="U1057" i="5"/>
  <c r="R1058" i="5"/>
  <c r="V696" i="2"/>
  <c r="T1058" i="5"/>
  <c r="X696" i="2"/>
  <c r="U1058" i="5"/>
  <c r="Y696" i="2"/>
  <c r="Q1059" i="5"/>
  <c r="Q1055" i="5"/>
  <c r="U695" i="2"/>
  <c r="T1059" i="5"/>
  <c r="X697" i="2"/>
  <c r="U1059" i="5"/>
  <c r="Y697" i="2"/>
  <c r="N1060" i="5"/>
  <c r="Q698" i="2"/>
  <c r="O1060" i="5"/>
  <c r="R1060" i="5"/>
  <c r="V698" i="2"/>
  <c r="O1061" i="5"/>
  <c r="R699" i="2"/>
  <c r="E34" i="14"/>
  <c r="R1061" i="5"/>
  <c r="V699" i="2"/>
  <c r="O1062" i="5"/>
  <c r="R1062" i="5"/>
  <c r="N1062" i="5"/>
  <c r="Q700" i="2"/>
  <c r="V700" i="2"/>
  <c r="O1063" i="5"/>
  <c r="R701" i="2"/>
  <c r="R1063" i="5"/>
  <c r="V701" i="2"/>
  <c r="O1064" i="5"/>
  <c r="R1064" i="5"/>
  <c r="V702" i="2"/>
  <c r="Q1067" i="5"/>
  <c r="U703" i="2"/>
  <c r="S1067" i="5"/>
  <c r="W703" i="2"/>
  <c r="N1069" i="5"/>
  <c r="R1069" i="5"/>
  <c r="O1069" i="5"/>
  <c r="P1069" i="5"/>
  <c r="U1069" i="5"/>
  <c r="N1070" i="5"/>
  <c r="Q704" i="2"/>
  <c r="R1070" i="5"/>
  <c r="V704" i="2"/>
  <c r="T1070" i="5"/>
  <c r="T1067" i="5"/>
  <c r="X703" i="2"/>
  <c r="X704" i="2"/>
  <c r="U1070" i="5"/>
  <c r="Y704" i="2"/>
  <c r="O1071" i="5"/>
  <c r="R1071" i="5"/>
  <c r="V705" i="2"/>
  <c r="O1072" i="5"/>
  <c r="R706" i="2"/>
  <c r="R1072" i="5"/>
  <c r="V706" i="2"/>
  <c r="N1077" i="5"/>
  <c r="O1077" i="5"/>
  <c r="P1077" i="5"/>
  <c r="R1078" i="5"/>
  <c r="N1078" i="5"/>
  <c r="Q708" i="2"/>
  <c r="R1079" i="5"/>
  <c r="V709" i="2"/>
  <c r="N1080" i="5"/>
  <c r="Q710" i="2"/>
  <c r="R1080" i="5"/>
  <c r="V1080" i="5"/>
  <c r="Z710" i="2"/>
  <c r="V710" i="2"/>
  <c r="R1081" i="5"/>
  <c r="V711" i="2"/>
  <c r="Q1082" i="5"/>
  <c r="U712" i="2"/>
  <c r="S1082" i="5"/>
  <c r="T1082" i="5"/>
  <c r="X712" i="2"/>
  <c r="U1082" i="5"/>
  <c r="Y712" i="2"/>
  <c r="R1084" i="5"/>
  <c r="V714" i="2"/>
  <c r="V1084" i="5"/>
  <c r="R1085" i="5"/>
  <c r="N1085" i="5"/>
  <c r="Q715" i="2"/>
  <c r="V1085" i="5"/>
  <c r="Z715" i="2"/>
  <c r="N1086" i="5"/>
  <c r="Q716" i="2"/>
  <c r="R1086" i="5"/>
  <c r="V716" i="2"/>
  <c r="R1088" i="5"/>
  <c r="V718" i="2"/>
  <c r="N1089" i="5"/>
  <c r="Q719" i="2"/>
  <c r="O1089" i="5"/>
  <c r="R719" i="2"/>
  <c r="R1089" i="5"/>
  <c r="V719" i="2"/>
  <c r="V1089" i="5"/>
  <c r="Z719" i="2"/>
  <c r="R1090" i="5"/>
  <c r="R1091" i="5"/>
  <c r="V721" i="2"/>
  <c r="V1091" i="5"/>
  <c r="Z721" i="2"/>
  <c r="N1093" i="5"/>
  <c r="Q723" i="2"/>
  <c r="R1093" i="5"/>
  <c r="V723" i="2"/>
  <c r="R1094" i="5"/>
  <c r="V724" i="2"/>
  <c r="V1094" i="5"/>
  <c r="R1095" i="5"/>
  <c r="N1095" i="5"/>
  <c r="Q725" i="2"/>
  <c r="V1095" i="5"/>
  <c r="Z725" i="2"/>
  <c r="N1096" i="5"/>
  <c r="Q726" i="2"/>
  <c r="R1096" i="5"/>
  <c r="V726" i="2"/>
  <c r="L5" i="7"/>
  <c r="N15" i="7"/>
  <c r="N46" i="7"/>
  <c r="N79" i="7"/>
  <c r="O15" i="7"/>
  <c r="O24" i="7"/>
  <c r="P15" i="7"/>
  <c r="P55" i="7"/>
  <c r="O19" i="7"/>
  <c r="Q22" i="7"/>
  <c r="U1454" i="2"/>
  <c r="S22" i="7"/>
  <c r="T22" i="7"/>
  <c r="X1454" i="2"/>
  <c r="U22" i="7"/>
  <c r="Y1454" i="2"/>
  <c r="W22" i="7"/>
  <c r="AA1454" i="2"/>
  <c r="X22" i="7"/>
  <c r="AB1454" i="2"/>
  <c r="Y22" i="7"/>
  <c r="AC1454" i="2"/>
  <c r="Z22" i="7"/>
  <c r="AD1454" i="2"/>
  <c r="AA22" i="7"/>
  <c r="AE1454" i="2"/>
  <c r="AB22" i="7"/>
  <c r="AF1454" i="2"/>
  <c r="AC22" i="7"/>
  <c r="AG1454" i="2"/>
  <c r="AD22" i="7"/>
  <c r="AH1454" i="2"/>
  <c r="AE22" i="7"/>
  <c r="AI1454" i="2"/>
  <c r="R24" i="7"/>
  <c r="N25" i="7"/>
  <c r="R25" i="7"/>
  <c r="V1455" i="2"/>
  <c r="R26" i="7"/>
  <c r="V1456" i="2"/>
  <c r="Q28" i="7"/>
  <c r="U1457" i="2"/>
  <c r="S28" i="7"/>
  <c r="W1457" i="2"/>
  <c r="W28" i="7"/>
  <c r="AA1457" i="2"/>
  <c r="X28" i="7"/>
  <c r="AB1457" i="2"/>
  <c r="Y28" i="7"/>
  <c r="AC1457" i="2"/>
  <c r="Z28" i="7"/>
  <c r="AD1457" i="2"/>
  <c r="O30" i="7"/>
  <c r="P30" i="7"/>
  <c r="R30" i="7"/>
  <c r="N31" i="7"/>
  <c r="R31" i="7"/>
  <c r="O31" i="7"/>
  <c r="R32" i="7"/>
  <c r="V1459" i="2"/>
  <c r="N35" i="7"/>
  <c r="O35" i="7"/>
  <c r="P35" i="7"/>
  <c r="Q38" i="7"/>
  <c r="U1461" i="2"/>
  <c r="S38" i="7"/>
  <c r="W1461" i="2"/>
  <c r="T38" i="7"/>
  <c r="X1461" i="2"/>
  <c r="U38" i="7"/>
  <c r="Y1461" i="2"/>
  <c r="W38" i="7"/>
  <c r="AA1461" i="2"/>
  <c r="X38" i="7"/>
  <c r="Y38" i="7"/>
  <c r="AC1461" i="2"/>
  <c r="Z38" i="7"/>
  <c r="AD1461" i="2"/>
  <c r="AA38" i="7"/>
  <c r="AE1461" i="2"/>
  <c r="AB38" i="7"/>
  <c r="AF1461" i="2"/>
  <c r="AC38" i="7"/>
  <c r="AG1461" i="2"/>
  <c r="AD38" i="7"/>
  <c r="AH1461" i="2"/>
  <c r="AE38" i="7"/>
  <c r="AI1461" i="2"/>
  <c r="O40" i="7"/>
  <c r="P40" i="7"/>
  <c r="R40" i="7"/>
  <c r="R41" i="7"/>
  <c r="V1462" i="2"/>
  <c r="N42" i="7"/>
  <c r="R42" i="7"/>
  <c r="V1463" i="2"/>
  <c r="Q44" i="7"/>
  <c r="U1464" i="2"/>
  <c r="R44" i="7"/>
  <c r="V1464" i="2"/>
  <c r="S44" i="7"/>
  <c r="W1464" i="2"/>
  <c r="W44" i="7"/>
  <c r="AA1464" i="2"/>
  <c r="X44" i="7"/>
  <c r="AB1464" i="2"/>
  <c r="Y44" i="7"/>
  <c r="AC1464" i="2"/>
  <c r="Z44" i="7"/>
  <c r="AD1464" i="2"/>
  <c r="R46" i="7"/>
  <c r="R47" i="7"/>
  <c r="V1465" i="2"/>
  <c r="N48" i="7"/>
  <c r="Q1466" i="2"/>
  <c r="R48" i="7"/>
  <c r="V1466" i="2"/>
  <c r="O50" i="7"/>
  <c r="P50" i="7"/>
  <c r="Q51" i="7"/>
  <c r="U1467" i="2"/>
  <c r="Q53" i="7"/>
  <c r="U1468" i="2"/>
  <c r="S53" i="7"/>
  <c r="T53" i="7"/>
  <c r="X1468" i="2"/>
  <c r="U53" i="7"/>
  <c r="Y1468" i="2"/>
  <c r="W53" i="7"/>
  <c r="AA1468" i="2"/>
  <c r="X53" i="7"/>
  <c r="AB1468" i="2"/>
  <c r="Y53" i="7"/>
  <c r="AC1468" i="2"/>
  <c r="Z53" i="7"/>
  <c r="AD1468" i="2"/>
  <c r="AA53" i="7"/>
  <c r="AE1468" i="2"/>
  <c r="AB53" i="7"/>
  <c r="AF1468" i="2"/>
  <c r="AC53" i="7"/>
  <c r="AG1468" i="2"/>
  <c r="AD53" i="7"/>
  <c r="AH1468" i="2"/>
  <c r="AE53" i="7"/>
  <c r="AI1468" i="2"/>
  <c r="O55" i="7"/>
  <c r="R55" i="7"/>
  <c r="N56" i="7"/>
  <c r="R56" i="7"/>
  <c r="V1469" i="2"/>
  <c r="R57" i="7"/>
  <c r="V1470" i="2"/>
  <c r="N58" i="7"/>
  <c r="R58" i="7"/>
  <c r="V1471" i="2"/>
  <c r="R59" i="7"/>
  <c r="V1472" i="2"/>
  <c r="Q61" i="7"/>
  <c r="U1473" i="2"/>
  <c r="S61" i="7"/>
  <c r="W1473" i="2"/>
  <c r="W61" i="7"/>
  <c r="AA1473" i="2"/>
  <c r="X61" i="7"/>
  <c r="AB1473" i="2"/>
  <c r="Y61" i="7"/>
  <c r="AC1473" i="2"/>
  <c r="Z61" i="7"/>
  <c r="AD1473" i="2"/>
  <c r="O63" i="7"/>
  <c r="R63" i="7"/>
  <c r="N64" i="7"/>
  <c r="Q1474" i="2"/>
  <c r="R64" i="7"/>
  <c r="V1474" i="2"/>
  <c r="R65" i="7"/>
  <c r="V1475" i="2"/>
  <c r="N66" i="7"/>
  <c r="Q1476" i="2"/>
  <c r="R66" i="7"/>
  <c r="V1476" i="2"/>
  <c r="R67" i="7"/>
  <c r="V1477" i="2"/>
  <c r="Q69" i="7"/>
  <c r="U1478" i="2"/>
  <c r="S69" i="7"/>
  <c r="W1478" i="2"/>
  <c r="T69" i="7"/>
  <c r="X1478" i="2"/>
  <c r="U69" i="7"/>
  <c r="Y1478" i="2"/>
  <c r="W69" i="7"/>
  <c r="AA1478" i="2"/>
  <c r="X69" i="7"/>
  <c r="AB1478" i="2"/>
  <c r="Y69" i="7"/>
  <c r="AC1478" i="2"/>
  <c r="Z69" i="7"/>
  <c r="AD1478" i="2"/>
  <c r="AA69" i="7"/>
  <c r="AE1478" i="2"/>
  <c r="AB69" i="7"/>
  <c r="AF1478" i="2"/>
  <c r="AC69" i="7"/>
  <c r="AG1478" i="2"/>
  <c r="AD69" i="7"/>
  <c r="AH1478" i="2"/>
  <c r="AE69" i="7"/>
  <c r="AI1478" i="2"/>
  <c r="R71" i="7"/>
  <c r="R72" i="7"/>
  <c r="N73" i="7"/>
  <c r="Q1480" i="2"/>
  <c r="O73" i="7"/>
  <c r="R73" i="7"/>
  <c r="V1480" i="2"/>
  <c r="R74" i="7"/>
  <c r="N75" i="7"/>
  <c r="Q1482" i="2"/>
  <c r="O75" i="7"/>
  <c r="R75" i="7"/>
  <c r="V1482" i="2"/>
  <c r="Q77" i="7"/>
  <c r="U1483" i="2"/>
  <c r="S77" i="7"/>
  <c r="W1483" i="2"/>
  <c r="W77" i="7"/>
  <c r="AA1483" i="2"/>
  <c r="X77" i="7"/>
  <c r="AB1483" i="2"/>
  <c r="Y77" i="7"/>
  <c r="AC1483" i="2"/>
  <c r="Z77" i="7"/>
  <c r="AD1483" i="2"/>
  <c r="O79" i="7"/>
  <c r="P79" i="7"/>
  <c r="R79" i="7"/>
  <c r="N80" i="7"/>
  <c r="Q1484" i="2"/>
  <c r="R80" i="7"/>
  <c r="V1484" i="2"/>
  <c r="O81" i="7"/>
  <c r="R81" i="7"/>
  <c r="N82" i="7"/>
  <c r="Q1486" i="2"/>
  <c r="R82" i="7"/>
  <c r="V1486" i="2"/>
  <c r="R83" i="7"/>
  <c r="N85" i="7"/>
  <c r="O85" i="7"/>
  <c r="Q86" i="7"/>
  <c r="U1488" i="2"/>
  <c r="S86" i="7"/>
  <c r="W1488" i="2"/>
  <c r="T86" i="7"/>
  <c r="X1488" i="2"/>
  <c r="U86" i="7"/>
  <c r="Y1488" i="2"/>
  <c r="W86" i="7"/>
  <c r="AA1488" i="2"/>
  <c r="X86" i="7"/>
  <c r="AB1488" i="2"/>
  <c r="Y86" i="7"/>
  <c r="AC1488" i="2"/>
  <c r="Z86" i="7"/>
  <c r="AD1488" i="2"/>
  <c r="AA86" i="7"/>
  <c r="AE1488" i="2"/>
  <c r="AB86" i="7"/>
  <c r="AF1488" i="2"/>
  <c r="AC86" i="7"/>
  <c r="AG1488" i="2"/>
  <c r="AD86" i="7"/>
  <c r="AH1488" i="2"/>
  <c r="AE86" i="7"/>
  <c r="AI1488" i="2"/>
  <c r="O88" i="7"/>
  <c r="R88" i="7"/>
  <c r="N89" i="7"/>
  <c r="Q1489" i="2"/>
  <c r="R89" i="7"/>
  <c r="V1489" i="2"/>
  <c r="R90" i="7"/>
  <c r="N93" i="7"/>
  <c r="O93" i="7"/>
  <c r="AA94" i="7"/>
  <c r="AE1491" i="2"/>
  <c r="Q96" i="7"/>
  <c r="S96" i="7"/>
  <c r="W1492" i="2"/>
  <c r="T96" i="7"/>
  <c r="X1492" i="2"/>
  <c r="U96" i="7"/>
  <c r="Y1492" i="2"/>
  <c r="W96" i="7"/>
  <c r="AA1492" i="2"/>
  <c r="X96" i="7"/>
  <c r="Y96" i="7"/>
  <c r="AC1492" i="2"/>
  <c r="Z96" i="7"/>
  <c r="AA96" i="7"/>
  <c r="AE1492" i="2"/>
  <c r="AB96" i="7"/>
  <c r="AF1492" i="2"/>
  <c r="AC96" i="7"/>
  <c r="AG1492" i="2"/>
  <c r="AD96" i="7"/>
  <c r="AH1492" i="2"/>
  <c r="AE96" i="7"/>
  <c r="AI1492" i="2"/>
  <c r="N98" i="7"/>
  <c r="O98" i="7"/>
  <c r="P98" i="7"/>
  <c r="R98" i="7"/>
  <c r="R99" i="7"/>
  <c r="V1493" i="2"/>
  <c r="N100" i="7"/>
  <c r="R100" i="7"/>
  <c r="V1494" i="2"/>
  <c r="R101" i="7"/>
  <c r="V1495" i="2"/>
  <c r="N102" i="7"/>
  <c r="R102" i="7"/>
  <c r="V1496" i="2"/>
  <c r="R103" i="7"/>
  <c r="V1497" i="2"/>
  <c r="N104" i="7"/>
  <c r="R104" i="7"/>
  <c r="V1498" i="2"/>
  <c r="R105" i="7"/>
  <c r="V1499" i="2"/>
  <c r="N106" i="7"/>
  <c r="R106" i="7"/>
  <c r="V1500" i="2"/>
  <c r="Q108" i="7"/>
  <c r="U1501" i="2"/>
  <c r="R108" i="7"/>
  <c r="V1501" i="2"/>
  <c r="S108" i="7"/>
  <c r="W1501" i="2"/>
  <c r="W108" i="7"/>
  <c r="AA1501" i="2"/>
  <c r="X108" i="7"/>
  <c r="AB1501" i="2"/>
  <c r="Y108" i="7"/>
  <c r="AC1501" i="2"/>
  <c r="Z108" i="7"/>
  <c r="AD1501" i="2"/>
  <c r="O110" i="7"/>
  <c r="R110" i="7"/>
  <c r="N111" i="7"/>
  <c r="O111" i="7"/>
  <c r="R111" i="7"/>
  <c r="V1502" i="2"/>
  <c r="R112" i="7"/>
  <c r="V1503" i="2"/>
  <c r="N113" i="7"/>
  <c r="Q1504" i="2"/>
  <c r="O113" i="7"/>
  <c r="R113" i="7"/>
  <c r="V1504" i="2"/>
  <c r="R114" i="7"/>
  <c r="V1505" i="2"/>
  <c r="N115" i="7"/>
  <c r="Q1506" i="2"/>
  <c r="O115" i="7"/>
  <c r="R115" i="7"/>
  <c r="V1506" i="2"/>
  <c r="R116" i="7"/>
  <c r="V1507" i="2"/>
  <c r="Q118" i="7"/>
  <c r="U1508" i="2"/>
  <c r="S118" i="7"/>
  <c r="W1508" i="2"/>
  <c r="T118" i="7"/>
  <c r="X1508" i="2"/>
  <c r="U118" i="7"/>
  <c r="Y1508" i="2"/>
  <c r="W118" i="7"/>
  <c r="AA1508" i="2"/>
  <c r="X118" i="7"/>
  <c r="AB1508" i="2"/>
  <c r="Y118" i="7"/>
  <c r="AC1508" i="2"/>
  <c r="Z118" i="7"/>
  <c r="AD1508" i="2"/>
  <c r="AA118" i="7"/>
  <c r="AE1508" i="2"/>
  <c r="AB118" i="7"/>
  <c r="AF1508" i="2"/>
  <c r="AC118" i="7"/>
  <c r="AG1508" i="2"/>
  <c r="AD118" i="7"/>
  <c r="AH1508" i="2"/>
  <c r="AE118" i="7"/>
  <c r="AI1508" i="2"/>
  <c r="N120" i="7"/>
  <c r="O120" i="7"/>
  <c r="R120" i="7"/>
  <c r="R121" i="7"/>
  <c r="N122" i="7"/>
  <c r="R122" i="7"/>
  <c r="V1510" i="2"/>
  <c r="Q124" i="7"/>
  <c r="U1511" i="2"/>
  <c r="S124" i="7"/>
  <c r="W1511" i="2"/>
  <c r="W124" i="7"/>
  <c r="AA1511" i="2"/>
  <c r="X124" i="7"/>
  <c r="AB1511" i="2"/>
  <c r="Y124" i="7"/>
  <c r="AC1511" i="2"/>
  <c r="Z124" i="7"/>
  <c r="AD1511" i="2"/>
  <c r="N126" i="7"/>
  <c r="O126" i="7"/>
  <c r="R126" i="7"/>
  <c r="R127" i="7"/>
  <c r="R124" i="7"/>
  <c r="V1511" i="2"/>
  <c r="N128" i="7"/>
  <c r="Q1513" i="2"/>
  <c r="O128" i="7"/>
  <c r="R1513" i="2"/>
  <c r="R128" i="7"/>
  <c r="V1513" i="2"/>
  <c r="Q130" i="7"/>
  <c r="U1514" i="2"/>
  <c r="S130" i="7"/>
  <c r="T130" i="7"/>
  <c r="X1514" i="2"/>
  <c r="U130" i="7"/>
  <c r="Y1514" i="2"/>
  <c r="W130" i="7"/>
  <c r="AA1514" i="2"/>
  <c r="X130" i="7"/>
  <c r="AB1514" i="2"/>
  <c r="Y130" i="7"/>
  <c r="AC1514" i="2"/>
  <c r="Z130" i="7"/>
  <c r="AD1514" i="2"/>
  <c r="AA130" i="7"/>
  <c r="AE1514" i="2"/>
  <c r="AB130" i="7"/>
  <c r="AC130" i="7"/>
  <c r="AG1514" i="2"/>
  <c r="AD130" i="7"/>
  <c r="AH1514" i="2"/>
  <c r="AE130" i="7"/>
  <c r="AI1514" i="2"/>
  <c r="O132" i="7"/>
  <c r="R132" i="7"/>
  <c r="N133" i="7"/>
  <c r="O133" i="7"/>
  <c r="R133" i="7"/>
  <c r="V1515" i="2"/>
  <c r="R134" i="7"/>
  <c r="V1516" i="2"/>
  <c r="Q136" i="7"/>
  <c r="U1517" i="2"/>
  <c r="S136" i="7"/>
  <c r="W1517" i="2"/>
  <c r="W136" i="7"/>
  <c r="AA1517" i="2"/>
  <c r="X136" i="7"/>
  <c r="AB1517" i="2"/>
  <c r="Y136" i="7"/>
  <c r="AC1517" i="2"/>
  <c r="Z136" i="7"/>
  <c r="AD1517" i="2"/>
  <c r="O138" i="7"/>
  <c r="R138" i="7"/>
  <c r="R139" i="7"/>
  <c r="N139" i="7"/>
  <c r="R140" i="7"/>
  <c r="V1519" i="2"/>
  <c r="Q142" i="7"/>
  <c r="U1520" i="2"/>
  <c r="S142" i="7"/>
  <c r="W1520" i="2"/>
  <c r="T142" i="7"/>
  <c r="X1520" i="2"/>
  <c r="U142" i="7"/>
  <c r="Y1520" i="2"/>
  <c r="W142" i="7"/>
  <c r="AA1520" i="2"/>
  <c r="X142" i="7"/>
  <c r="AB1520" i="2"/>
  <c r="Y142" i="7"/>
  <c r="AC1520" i="2"/>
  <c r="Z142" i="7"/>
  <c r="AD1520" i="2"/>
  <c r="AA142" i="7"/>
  <c r="AE1520" i="2"/>
  <c r="AB142" i="7"/>
  <c r="AF1520" i="2"/>
  <c r="AC142" i="7"/>
  <c r="AG1520" i="2"/>
  <c r="AD142" i="7"/>
  <c r="AH1520" i="2"/>
  <c r="AE142" i="7"/>
  <c r="AI1520" i="2"/>
  <c r="O144" i="7"/>
  <c r="P144" i="7"/>
  <c r="R144" i="7"/>
  <c r="R145" i="7"/>
  <c r="N146" i="7"/>
  <c r="Q1522" i="2"/>
  <c r="O146" i="7"/>
  <c r="R1522" i="2"/>
  <c r="P146" i="7"/>
  <c r="R146" i="7"/>
  <c r="V1522" i="2"/>
  <c r="R147" i="7"/>
  <c r="N148" i="7"/>
  <c r="Q1524" i="2"/>
  <c r="O148" i="7"/>
  <c r="R1524" i="2"/>
  <c r="R148" i="7"/>
  <c r="V1524" i="2"/>
  <c r="Q150" i="7"/>
  <c r="U1525" i="2"/>
  <c r="S150" i="7"/>
  <c r="W1525" i="2"/>
  <c r="W150" i="7"/>
  <c r="AA1525" i="2"/>
  <c r="X150" i="7"/>
  <c r="AB1525" i="2"/>
  <c r="Y150" i="7"/>
  <c r="AC1525" i="2"/>
  <c r="Z150" i="7"/>
  <c r="AD1525" i="2"/>
  <c r="N152" i="7"/>
  <c r="O152" i="7"/>
  <c r="P152" i="7"/>
  <c r="R152" i="7"/>
  <c r="N153" i="7"/>
  <c r="R153" i="7"/>
  <c r="V1526" i="2"/>
  <c r="O154" i="7"/>
  <c r="R154" i="7"/>
  <c r="N155" i="7"/>
  <c r="Q1528" i="2"/>
  <c r="R155" i="7"/>
  <c r="V1528" i="2"/>
  <c r="R156" i="7"/>
  <c r="O156" i="7"/>
  <c r="N158" i="7"/>
  <c r="O158" i="7"/>
  <c r="Q161" i="7"/>
  <c r="U1531" i="2"/>
  <c r="S161" i="7"/>
  <c r="W1531" i="2"/>
  <c r="W161" i="7"/>
  <c r="AA1531" i="2"/>
  <c r="X161" i="7"/>
  <c r="AB1531" i="2"/>
  <c r="Y161" i="7"/>
  <c r="AC1531" i="2"/>
  <c r="Z161" i="7"/>
  <c r="AD1531" i="2"/>
  <c r="O163" i="7"/>
  <c r="P163" i="7"/>
  <c r="R163" i="7"/>
  <c r="N164" i="7"/>
  <c r="Q1532" i="2"/>
  <c r="O164" i="7"/>
  <c r="P164" i="7"/>
  <c r="R164" i="7"/>
  <c r="V1532" i="2"/>
  <c r="R165" i="7"/>
  <c r="Q167" i="7"/>
  <c r="U1534" i="2"/>
  <c r="S167" i="7"/>
  <c r="W1534" i="2"/>
  <c r="W167" i="7"/>
  <c r="AA1534" i="2"/>
  <c r="X167" i="7"/>
  <c r="AB1534" i="2"/>
  <c r="Y167" i="7"/>
  <c r="AC1534" i="2"/>
  <c r="Z167" i="7"/>
  <c r="AD1534" i="2"/>
  <c r="N169" i="7"/>
  <c r="O169" i="7"/>
  <c r="P169" i="7"/>
  <c r="R169" i="7"/>
  <c r="R170" i="7"/>
  <c r="N171" i="7"/>
  <c r="Q1536" i="2"/>
  <c r="R171" i="7"/>
  <c r="V1536" i="2"/>
  <c r="Q173" i="7"/>
  <c r="R173" i="7"/>
  <c r="V1537" i="2"/>
  <c r="S173" i="7"/>
  <c r="W1537" i="2"/>
  <c r="W173" i="7"/>
  <c r="AA1537" i="2"/>
  <c r="X173" i="7"/>
  <c r="AB1537" i="2"/>
  <c r="Y173" i="7"/>
  <c r="AC1537" i="2"/>
  <c r="Z173" i="7"/>
  <c r="AD1537" i="2"/>
  <c r="N175" i="7"/>
  <c r="O175" i="7"/>
  <c r="R175" i="7"/>
  <c r="R176" i="7"/>
  <c r="N177" i="7"/>
  <c r="Q1539" i="2"/>
  <c r="O177" i="7"/>
  <c r="R1539" i="2"/>
  <c r="R177" i="7"/>
  <c r="V1539" i="2"/>
  <c r="Q179" i="7"/>
  <c r="U1540" i="2"/>
  <c r="S179" i="7"/>
  <c r="W1540" i="2"/>
  <c r="W179" i="7"/>
  <c r="AA1540" i="2"/>
  <c r="X179" i="7"/>
  <c r="AB1540" i="2"/>
  <c r="Y179" i="7"/>
  <c r="AC1540" i="2"/>
  <c r="Z179" i="7"/>
  <c r="AD1540" i="2"/>
  <c r="N181" i="7"/>
  <c r="O181" i="7"/>
  <c r="P181" i="7"/>
  <c r="R181" i="7"/>
  <c r="N182" i="7"/>
  <c r="R182" i="7"/>
  <c r="V1541" i="2"/>
  <c r="S182" i="7"/>
  <c r="W1541" i="2"/>
  <c r="N183" i="7"/>
  <c r="Q1542" i="2"/>
  <c r="R183" i="7"/>
  <c r="S183" i="7"/>
  <c r="W1542" i="2"/>
  <c r="O185" i="7"/>
  <c r="N188" i="7"/>
  <c r="O188" i="7"/>
  <c r="P188" i="7"/>
  <c r="S189" i="7"/>
  <c r="W189" i="7"/>
  <c r="AA1544" i="2"/>
  <c r="AB189" i="7"/>
  <c r="AF1544" i="2"/>
  <c r="AE189" i="7"/>
  <c r="AI1544" i="2"/>
  <c r="Q191" i="7"/>
  <c r="U1545" i="2"/>
  <c r="S191" i="7"/>
  <c r="W1545" i="2"/>
  <c r="T191" i="7"/>
  <c r="U191" i="7"/>
  <c r="Y1545" i="2"/>
  <c r="W191" i="7"/>
  <c r="AA1545" i="2"/>
  <c r="X191" i="7"/>
  <c r="AB1545" i="2"/>
  <c r="Y191" i="7"/>
  <c r="AC1545" i="2"/>
  <c r="Z191" i="7"/>
  <c r="AD1545" i="2"/>
  <c r="AA191" i="7"/>
  <c r="AB191" i="7"/>
  <c r="AF1545" i="2"/>
  <c r="AC191" i="7"/>
  <c r="AD191" i="7"/>
  <c r="AH1545" i="2"/>
  <c r="AE191" i="7"/>
  <c r="AI1545" i="2"/>
  <c r="O193" i="7"/>
  <c r="P193" i="7"/>
  <c r="R193" i="7"/>
  <c r="N194" i="7"/>
  <c r="Q1546" i="2"/>
  <c r="O194" i="7"/>
  <c r="P194" i="7"/>
  <c r="R194" i="7"/>
  <c r="V1546" i="2"/>
  <c r="R195" i="7"/>
  <c r="R191" i="7"/>
  <c r="N196" i="7"/>
  <c r="Q1548" i="2"/>
  <c r="O196" i="7"/>
  <c r="R1548" i="2"/>
  <c r="P196" i="7"/>
  <c r="R196" i="7"/>
  <c r="V1548" i="2"/>
  <c r="R197" i="7"/>
  <c r="N198" i="7"/>
  <c r="Q1550" i="2"/>
  <c r="O198" i="7"/>
  <c r="R1550" i="2"/>
  <c r="R198" i="7"/>
  <c r="V1550" i="2"/>
  <c r="R199" i="7"/>
  <c r="Q201" i="7"/>
  <c r="U1552" i="2"/>
  <c r="S201" i="7"/>
  <c r="W1552" i="2"/>
  <c r="T201" i="7"/>
  <c r="X1552" i="2"/>
  <c r="U201" i="7"/>
  <c r="Y1552" i="2"/>
  <c r="W201" i="7"/>
  <c r="AA1552" i="2"/>
  <c r="X201" i="7"/>
  <c r="Y201" i="7"/>
  <c r="AC1552" i="2"/>
  <c r="Z201" i="7"/>
  <c r="AD1552" i="2"/>
  <c r="AA201" i="7"/>
  <c r="AE1552" i="2"/>
  <c r="AB201" i="7"/>
  <c r="AF1552" i="2"/>
  <c r="AC201" i="7"/>
  <c r="AG1552" i="2"/>
  <c r="AD201" i="7"/>
  <c r="AH1552" i="2"/>
  <c r="AE201" i="7"/>
  <c r="AI1552" i="2"/>
  <c r="N203" i="7"/>
  <c r="O203" i="7"/>
  <c r="P203" i="7"/>
  <c r="R203" i="7"/>
  <c r="R204" i="7"/>
  <c r="V1553" i="2"/>
  <c r="N205" i="7"/>
  <c r="Q1554" i="2"/>
  <c r="R205" i="7"/>
  <c r="V1554" i="2"/>
  <c r="R206" i="7"/>
  <c r="V1555" i="2"/>
  <c r="N207" i="7"/>
  <c r="Q1556" i="2"/>
  <c r="R207" i="7"/>
  <c r="V1556" i="2"/>
  <c r="R208" i="7"/>
  <c r="V1557" i="2"/>
  <c r="N209" i="7"/>
  <c r="Q1558" i="2"/>
  <c r="O209" i="7"/>
  <c r="R209" i="7"/>
  <c r="V1558" i="2"/>
  <c r="N211" i="7"/>
  <c r="O211" i="7"/>
  <c r="P211" i="7"/>
  <c r="X214" i="7"/>
  <c r="Q216" i="7"/>
  <c r="U1561" i="2"/>
  <c r="S216" i="7"/>
  <c r="T216" i="7"/>
  <c r="X1561" i="2"/>
  <c r="U216" i="7"/>
  <c r="Y1561" i="2"/>
  <c r="W216" i="7"/>
  <c r="AA1561" i="2"/>
  <c r="X216" i="7"/>
  <c r="AB1561" i="2"/>
  <c r="Y216" i="7"/>
  <c r="AC1561" i="2"/>
  <c r="Z216" i="7"/>
  <c r="AD1561" i="2"/>
  <c r="AA216" i="7"/>
  <c r="AE1561" i="2"/>
  <c r="AB216" i="7"/>
  <c r="AF1561" i="2"/>
  <c r="AC216" i="7"/>
  <c r="AG1561" i="2"/>
  <c r="AD216" i="7"/>
  <c r="AH1561" i="2"/>
  <c r="AE216" i="7"/>
  <c r="AI1561" i="2"/>
  <c r="N218" i="7"/>
  <c r="O218" i="7"/>
  <c r="P218" i="7"/>
  <c r="R218" i="7"/>
  <c r="R219" i="7"/>
  <c r="R220" i="7"/>
  <c r="V1563" i="2"/>
  <c r="N221" i="7"/>
  <c r="Q1564" i="2"/>
  <c r="R221" i="7"/>
  <c r="V1564" i="2"/>
  <c r="R222" i="7"/>
  <c r="V1565" i="2"/>
  <c r="Q224" i="7"/>
  <c r="U1566" i="2"/>
  <c r="S224" i="7"/>
  <c r="W1566" i="2"/>
  <c r="W224" i="7"/>
  <c r="AA1566" i="2"/>
  <c r="X224" i="7"/>
  <c r="AB1566" i="2"/>
  <c r="Y224" i="7"/>
  <c r="AC1566" i="2"/>
  <c r="Z224" i="7"/>
  <c r="AD1566" i="2"/>
  <c r="N226" i="7"/>
  <c r="O226" i="7"/>
  <c r="P226" i="7"/>
  <c r="R226" i="7"/>
  <c r="R227" i="7"/>
  <c r="N228" i="7"/>
  <c r="Q1568" i="2"/>
  <c r="O228" i="7"/>
  <c r="R228" i="7"/>
  <c r="V1568" i="2"/>
  <c r="R229" i="7"/>
  <c r="N230" i="7"/>
  <c r="Q1570" i="2"/>
  <c r="O230" i="7"/>
  <c r="R230" i="7"/>
  <c r="V1570" i="2"/>
  <c r="Q234" i="7"/>
  <c r="U1572" i="2"/>
  <c r="S234" i="7"/>
  <c r="W1572" i="2"/>
  <c r="T234" i="7"/>
  <c r="X1572" i="2"/>
  <c r="U234" i="7"/>
  <c r="Y1572" i="2"/>
  <c r="W234" i="7"/>
  <c r="AA1572" i="2"/>
  <c r="X234" i="7"/>
  <c r="AB1572" i="2"/>
  <c r="Y234" i="7"/>
  <c r="AC1572" i="2"/>
  <c r="Z234" i="7"/>
  <c r="AD1572" i="2"/>
  <c r="AA234" i="7"/>
  <c r="AE1572" i="2"/>
  <c r="AB234" i="7"/>
  <c r="AF1572" i="2"/>
  <c r="AC234" i="7"/>
  <c r="AG1572" i="2"/>
  <c r="AD234" i="7"/>
  <c r="AH1572" i="2"/>
  <c r="AE234" i="7"/>
  <c r="AI1572" i="2"/>
  <c r="N236" i="7"/>
  <c r="O236" i="7"/>
  <c r="P236" i="7"/>
  <c r="R236" i="7"/>
  <c r="R237" i="7"/>
  <c r="N238" i="7"/>
  <c r="R238" i="7"/>
  <c r="V1574" i="2"/>
  <c r="R239" i="7"/>
  <c r="N240" i="7"/>
  <c r="R240" i="7"/>
  <c r="V1576" i="2"/>
  <c r="Q242" i="7"/>
  <c r="U1577" i="2"/>
  <c r="S242" i="7"/>
  <c r="W1577" i="2"/>
  <c r="W242" i="7"/>
  <c r="AA1577" i="2"/>
  <c r="X242" i="7"/>
  <c r="AB1577" i="2"/>
  <c r="Y242" i="7"/>
  <c r="AC1577" i="2"/>
  <c r="Z242" i="7"/>
  <c r="AD1577" i="2"/>
  <c r="N244" i="7"/>
  <c r="O244" i="7"/>
  <c r="P244" i="7"/>
  <c r="R244" i="7"/>
  <c r="R245" i="7"/>
  <c r="N246" i="7"/>
  <c r="Q1579" i="2"/>
  <c r="O246" i="7"/>
  <c r="R1579" i="2"/>
  <c r="R246" i="7"/>
  <c r="V1579" i="2"/>
  <c r="R247" i="7"/>
  <c r="R242" i="7"/>
  <c r="V1577" i="2"/>
  <c r="N248" i="7"/>
  <c r="Q1581" i="2"/>
  <c r="O248" i="7"/>
  <c r="R1581" i="2"/>
  <c r="R248" i="7"/>
  <c r="V1581" i="2"/>
  <c r="N250" i="7"/>
  <c r="O250" i="7"/>
  <c r="P250" i="7"/>
  <c r="S251" i="7"/>
  <c r="W1582" i="2"/>
  <c r="Q253" i="7"/>
  <c r="U1583" i="2"/>
  <c r="S253" i="7"/>
  <c r="W1583" i="2"/>
  <c r="T253" i="7"/>
  <c r="X1583" i="2"/>
  <c r="U253" i="7"/>
  <c r="Y1583" i="2"/>
  <c r="W253" i="7"/>
  <c r="AA1583" i="2"/>
  <c r="X253" i="7"/>
  <c r="AB1583" i="2"/>
  <c r="Y253" i="7"/>
  <c r="AC1583" i="2"/>
  <c r="Z253" i="7"/>
  <c r="AD1583" i="2"/>
  <c r="AA253" i="7"/>
  <c r="AE1583" i="2"/>
  <c r="AB253" i="7"/>
  <c r="AF1583" i="2"/>
  <c r="AC253" i="7"/>
  <c r="AG1583" i="2"/>
  <c r="AD253" i="7"/>
  <c r="AH1583" i="2"/>
  <c r="AE253" i="7"/>
  <c r="AI1583" i="2"/>
  <c r="N255" i="7"/>
  <c r="O255" i="7"/>
  <c r="P255" i="7"/>
  <c r="R255" i="7"/>
  <c r="N256" i="7"/>
  <c r="O256" i="7"/>
  <c r="R256" i="7"/>
  <c r="V1584" i="2"/>
  <c r="R257" i="7"/>
  <c r="N258" i="7"/>
  <c r="Q1586" i="2"/>
  <c r="R258" i="7"/>
  <c r="V1586" i="2"/>
  <c r="R259" i="7"/>
  <c r="N260" i="7"/>
  <c r="Q1588" i="2"/>
  <c r="R260" i="7"/>
  <c r="V1588" i="2"/>
  <c r="R261" i="7"/>
  <c r="N262" i="7"/>
  <c r="Q1590" i="2"/>
  <c r="R262" i="7"/>
  <c r="V1590" i="2"/>
  <c r="R263" i="7"/>
  <c r="N264" i="7"/>
  <c r="Q1592" i="2"/>
  <c r="O264" i="7"/>
  <c r="R264" i="7"/>
  <c r="V1592" i="2"/>
  <c r="R265" i="7"/>
  <c r="N266" i="7"/>
  <c r="Q1594" i="2"/>
  <c r="O266" i="7"/>
  <c r="R266" i="7"/>
  <c r="V1594" i="2"/>
  <c r="R267" i="7"/>
  <c r="N268" i="7"/>
  <c r="Q1596" i="2"/>
  <c r="O268" i="7"/>
  <c r="R268" i="7"/>
  <c r="V1596" i="2"/>
  <c r="R269" i="7"/>
  <c r="Q271" i="7"/>
  <c r="U1598" i="2"/>
  <c r="S271" i="7"/>
  <c r="W1598" i="2"/>
  <c r="W271" i="7"/>
  <c r="AA1598" i="2"/>
  <c r="X271" i="7"/>
  <c r="AB1598" i="2"/>
  <c r="Y271" i="7"/>
  <c r="AC1598" i="2"/>
  <c r="Z271" i="7"/>
  <c r="AD1598" i="2"/>
  <c r="N273" i="7"/>
  <c r="O273" i="7"/>
  <c r="P273" i="7"/>
  <c r="R273" i="7"/>
  <c r="R274" i="7"/>
  <c r="R275" i="7"/>
  <c r="R276" i="7"/>
  <c r="V1601" i="2"/>
  <c r="R277" i="7"/>
  <c r="N278" i="7"/>
  <c r="Q1603" i="2"/>
  <c r="O278" i="7"/>
  <c r="R1603" i="2"/>
  <c r="R278" i="7"/>
  <c r="V1603" i="2"/>
  <c r="R279" i="7"/>
  <c r="R280" i="7"/>
  <c r="V1605" i="2"/>
  <c r="R281" i="7"/>
  <c r="N282" i="7"/>
  <c r="Q1607" i="2"/>
  <c r="O282" i="7"/>
  <c r="R1607" i="2"/>
  <c r="P282" i="7"/>
  <c r="R282" i="7"/>
  <c r="V1607" i="2"/>
  <c r="R283" i="7"/>
  <c r="O284" i="7"/>
  <c r="R1609" i="2"/>
  <c r="R284" i="7"/>
  <c r="V1609" i="2"/>
  <c r="R285" i="7"/>
  <c r="N286" i="7"/>
  <c r="Q1611" i="2"/>
  <c r="R286" i="7"/>
  <c r="V1611" i="2"/>
  <c r="R287" i="7"/>
  <c r="N289" i="7"/>
  <c r="O289" i="7"/>
  <c r="P289" i="7"/>
  <c r="Q292" i="7"/>
  <c r="U1614" i="2"/>
  <c r="S292" i="7"/>
  <c r="W1614" i="2"/>
  <c r="T292" i="7"/>
  <c r="X1614" i="2"/>
  <c r="U292" i="7"/>
  <c r="Y1614" i="2"/>
  <c r="W292" i="7"/>
  <c r="AA1614" i="2"/>
  <c r="X292" i="7"/>
  <c r="AB1614" i="2"/>
  <c r="Y292" i="7"/>
  <c r="AC1614" i="2"/>
  <c r="Z292" i="7"/>
  <c r="AD1614" i="2"/>
  <c r="AA292" i="7"/>
  <c r="AE1614" i="2"/>
  <c r="AB292" i="7"/>
  <c r="AF1614" i="2"/>
  <c r="AC292" i="7"/>
  <c r="AG1614" i="2"/>
  <c r="AD292" i="7"/>
  <c r="AH1614" i="2"/>
  <c r="AE292" i="7"/>
  <c r="AI1614" i="2"/>
  <c r="N294" i="7"/>
  <c r="O294" i="7"/>
  <c r="P294" i="7"/>
  <c r="R294" i="7"/>
  <c r="R295" i="7"/>
  <c r="N296" i="7"/>
  <c r="Q1616" i="2"/>
  <c r="R296" i="7"/>
  <c r="V1616" i="2"/>
  <c r="R297" i="7"/>
  <c r="N298" i="7"/>
  <c r="Q1618" i="2"/>
  <c r="R298" i="7"/>
  <c r="V1618" i="2"/>
  <c r="R299" i="7"/>
  <c r="N300" i="7"/>
  <c r="Q1620" i="2"/>
  <c r="R300" i="7"/>
  <c r="V1620" i="2"/>
  <c r="Q302" i="7"/>
  <c r="U1621" i="2"/>
  <c r="S302" i="7"/>
  <c r="W1621" i="2"/>
  <c r="W302" i="7"/>
  <c r="AA1621" i="2"/>
  <c r="X302" i="7"/>
  <c r="AB1621" i="2"/>
  <c r="Y302" i="7"/>
  <c r="AC1621" i="2"/>
  <c r="Z302" i="7"/>
  <c r="AD1621" i="2"/>
  <c r="N304" i="7"/>
  <c r="O304" i="7"/>
  <c r="P304" i="7"/>
  <c r="R304" i="7"/>
  <c r="N305" i="7"/>
  <c r="O305" i="7"/>
  <c r="R1622" i="2"/>
  <c r="R305" i="7"/>
  <c r="V1622" i="2"/>
  <c r="R306" i="7"/>
  <c r="V1623" i="2"/>
  <c r="N307" i="7"/>
  <c r="O307" i="7"/>
  <c r="R1624" i="2"/>
  <c r="R307" i="7"/>
  <c r="V1624" i="2"/>
  <c r="N308" i="7"/>
  <c r="Q1625" i="2"/>
  <c r="R308" i="7"/>
  <c r="V1625" i="2"/>
  <c r="N309" i="7"/>
  <c r="Q1626" i="2"/>
  <c r="R309" i="7"/>
  <c r="V1626" i="2"/>
  <c r="N310" i="7"/>
  <c r="Q1627" i="2"/>
  <c r="O310" i="7"/>
  <c r="R1627" i="2"/>
  <c r="R310" i="7"/>
  <c r="V1627" i="2"/>
  <c r="N312" i="7"/>
  <c r="O312" i="7"/>
  <c r="P312" i="7"/>
  <c r="Q315" i="7"/>
  <c r="U1629" i="2"/>
  <c r="S315" i="7"/>
  <c r="W1629" i="2"/>
  <c r="T315" i="7"/>
  <c r="X1629" i="2"/>
  <c r="U315" i="7"/>
  <c r="Y1629" i="2"/>
  <c r="W315" i="7"/>
  <c r="AA1629" i="2"/>
  <c r="X315" i="7"/>
  <c r="AB1629" i="2"/>
  <c r="Y315" i="7"/>
  <c r="AC1629" i="2"/>
  <c r="Z315" i="7"/>
  <c r="AD1629" i="2"/>
  <c r="AA315" i="7"/>
  <c r="AE1629" i="2"/>
  <c r="AB315" i="7"/>
  <c r="AF1629" i="2"/>
  <c r="AC315" i="7"/>
  <c r="AG1629" i="2"/>
  <c r="AD315" i="7"/>
  <c r="AH1629" i="2"/>
  <c r="AE315" i="7"/>
  <c r="AI1629" i="2"/>
  <c r="N317" i="7"/>
  <c r="O317" i="7"/>
  <c r="P317" i="7"/>
  <c r="R317" i="7"/>
  <c r="R318" i="7"/>
  <c r="V1630" i="2"/>
  <c r="R319" i="7"/>
  <c r="R320" i="7"/>
  <c r="V1632" i="2"/>
  <c r="R321" i="7"/>
  <c r="N322" i="7"/>
  <c r="Q1634" i="2"/>
  <c r="R322" i="7"/>
  <c r="V1634" i="2"/>
  <c r="R323" i="7"/>
  <c r="R324" i="7"/>
  <c r="V1636" i="2"/>
  <c r="R325" i="7"/>
  <c r="Q327" i="7"/>
  <c r="U1638" i="2"/>
  <c r="S327" i="7"/>
  <c r="W1638" i="2"/>
  <c r="W327" i="7"/>
  <c r="AA1638" i="2"/>
  <c r="X327" i="7"/>
  <c r="AB1638" i="2"/>
  <c r="Y327" i="7"/>
  <c r="AC1638" i="2"/>
  <c r="Z327" i="7"/>
  <c r="AD1638" i="2"/>
  <c r="N329" i="7"/>
  <c r="O329" i="7"/>
  <c r="P329" i="7"/>
  <c r="R329" i="7"/>
  <c r="N330" i="7"/>
  <c r="Q1639" i="2"/>
  <c r="R330" i="7"/>
  <c r="O331" i="7"/>
  <c r="R331" i="7"/>
  <c r="V1640" i="2"/>
  <c r="N332" i="7"/>
  <c r="Q1641" i="2"/>
  <c r="O332" i="7"/>
  <c r="R1641" i="2"/>
  <c r="R332" i="7"/>
  <c r="V1641" i="2"/>
  <c r="R333" i="7"/>
  <c r="V1642" i="2"/>
  <c r="N334" i="7"/>
  <c r="Q1643" i="2"/>
  <c r="O334" i="7"/>
  <c r="R1643" i="2"/>
  <c r="R334" i="7"/>
  <c r="V1643" i="2"/>
  <c r="N335" i="7"/>
  <c r="Q1644" i="2"/>
  <c r="O335" i="7"/>
  <c r="R335" i="7"/>
  <c r="V1644" i="2"/>
  <c r="R336" i="7"/>
  <c r="V1645" i="2"/>
  <c r="R337" i="7"/>
  <c r="V1646" i="2"/>
  <c r="N339" i="7"/>
  <c r="O339" i="7"/>
  <c r="P339" i="7"/>
  <c r="Q342" i="7"/>
  <c r="U1648" i="2"/>
  <c r="S342" i="7"/>
  <c r="W1648" i="2"/>
  <c r="T342" i="7"/>
  <c r="X1648" i="2"/>
  <c r="U342" i="7"/>
  <c r="Y1648" i="2"/>
  <c r="W342" i="7"/>
  <c r="AA1648" i="2"/>
  <c r="X342" i="7"/>
  <c r="Y342" i="7"/>
  <c r="AC1648" i="2"/>
  <c r="Z342" i="7"/>
  <c r="AD1648" i="2"/>
  <c r="AA342" i="7"/>
  <c r="AE1648" i="2"/>
  <c r="AB342" i="7"/>
  <c r="AF1648" i="2"/>
  <c r="AC342" i="7"/>
  <c r="AG1648" i="2"/>
  <c r="AD342" i="7"/>
  <c r="AH1648" i="2"/>
  <c r="AE342" i="7"/>
  <c r="AI1648" i="2"/>
  <c r="N344" i="7"/>
  <c r="O344" i="7"/>
  <c r="P344" i="7"/>
  <c r="R344" i="7"/>
  <c r="N345" i="7"/>
  <c r="Q1649" i="2"/>
  <c r="O345" i="7"/>
  <c r="R1649" i="2"/>
  <c r="R345" i="7"/>
  <c r="V1649" i="2"/>
  <c r="R346" i="7"/>
  <c r="V1650" i="2"/>
  <c r="N347" i="7"/>
  <c r="Q1651" i="2"/>
  <c r="O347" i="7"/>
  <c r="R1651" i="2"/>
  <c r="R347" i="7"/>
  <c r="V1651" i="2"/>
  <c r="R348" i="7"/>
  <c r="V1652" i="2"/>
  <c r="N349" i="7"/>
  <c r="Q1653" i="2"/>
  <c r="O349" i="7"/>
  <c r="R1653" i="2"/>
  <c r="R349" i="7"/>
  <c r="V1653" i="2"/>
  <c r="R350" i="7"/>
  <c r="V1654" i="2"/>
  <c r="N351" i="7"/>
  <c r="Q1655" i="2"/>
  <c r="O351" i="7"/>
  <c r="R1655" i="2"/>
  <c r="R351" i="7"/>
  <c r="V1655" i="2"/>
  <c r="R352" i="7"/>
  <c r="V1656" i="2"/>
  <c r="N353" i="7"/>
  <c r="Q1657" i="2"/>
  <c r="O353" i="7"/>
  <c r="R1657" i="2"/>
  <c r="R353" i="7"/>
  <c r="V1657" i="2"/>
  <c r="R354" i="7"/>
  <c r="V1658" i="2"/>
  <c r="Q357" i="7"/>
  <c r="U1659" i="2"/>
  <c r="S357" i="7"/>
  <c r="W1659" i="2"/>
  <c r="W357" i="7"/>
  <c r="AA1659" i="2"/>
  <c r="X357" i="7"/>
  <c r="AB1659" i="2"/>
  <c r="Y357" i="7"/>
  <c r="AC1659" i="2"/>
  <c r="Z357" i="7"/>
  <c r="AD1659" i="2"/>
  <c r="N359" i="7"/>
  <c r="O359" i="7"/>
  <c r="P359" i="7"/>
  <c r="R359" i="7"/>
  <c r="R360" i="7"/>
  <c r="V1660" i="2"/>
  <c r="O361" i="7"/>
  <c r="R1661" i="2"/>
  <c r="R361" i="7"/>
  <c r="V1661" i="2"/>
  <c r="R362" i="7"/>
  <c r="V1662" i="2"/>
  <c r="O363" i="7"/>
  <c r="R1663" i="2"/>
  <c r="R363" i="7"/>
  <c r="V1663" i="2"/>
  <c r="R364" i="7"/>
  <c r="V1664" i="2"/>
  <c r="O365" i="7"/>
  <c r="R1665" i="2"/>
  <c r="R365" i="7"/>
  <c r="V1665" i="2"/>
  <c r="R366" i="7"/>
  <c r="V1666" i="2"/>
  <c r="O367" i="7"/>
  <c r="R1667" i="2"/>
  <c r="R367" i="7"/>
  <c r="V1667" i="2"/>
  <c r="R368" i="7"/>
  <c r="V1668" i="2"/>
  <c r="O369" i="7"/>
  <c r="R1669" i="2"/>
  <c r="R369" i="7"/>
  <c r="V1669" i="2"/>
  <c r="N371" i="7"/>
  <c r="O371" i="7"/>
  <c r="P371" i="7"/>
  <c r="Q374" i="7"/>
  <c r="U1671" i="2"/>
  <c r="S374" i="7"/>
  <c r="W1671" i="2"/>
  <c r="T374" i="7"/>
  <c r="X1671" i="2"/>
  <c r="U374" i="7"/>
  <c r="Y1671" i="2"/>
  <c r="W374" i="7"/>
  <c r="AA1671" i="2"/>
  <c r="X374" i="7"/>
  <c r="AB1671" i="2"/>
  <c r="Y374" i="7"/>
  <c r="AC1671" i="2"/>
  <c r="Z374" i="7"/>
  <c r="AD1671" i="2"/>
  <c r="AA374" i="7"/>
  <c r="AE1671" i="2"/>
  <c r="AB374" i="7"/>
  <c r="AF1671" i="2"/>
  <c r="AC374" i="7"/>
  <c r="AG1671" i="2"/>
  <c r="AD374" i="7"/>
  <c r="AH1671" i="2"/>
  <c r="AE374" i="7"/>
  <c r="AI1671" i="2"/>
  <c r="N376" i="7"/>
  <c r="O376" i="7"/>
  <c r="P376" i="7"/>
  <c r="R376" i="7"/>
  <c r="N377" i="7"/>
  <c r="Q1672" i="2"/>
  <c r="R377" i="7"/>
  <c r="V1672" i="2"/>
  <c r="N379" i="7"/>
  <c r="O379" i="7"/>
  <c r="P379" i="7"/>
  <c r="Q382" i="7"/>
  <c r="U1674" i="2"/>
  <c r="S382" i="7"/>
  <c r="W1674" i="2"/>
  <c r="T382" i="7"/>
  <c r="X1674" i="2"/>
  <c r="U382" i="7"/>
  <c r="Y1674" i="2"/>
  <c r="W382" i="7"/>
  <c r="AA1674" i="2"/>
  <c r="X382" i="7"/>
  <c r="AB1674" i="2"/>
  <c r="Y382" i="7"/>
  <c r="AC1674" i="2"/>
  <c r="Z382" i="7"/>
  <c r="AD1674" i="2"/>
  <c r="AA382" i="7"/>
  <c r="AE1674" i="2"/>
  <c r="AB382" i="7"/>
  <c r="AF1674" i="2"/>
  <c r="AC382" i="7"/>
  <c r="AG1674" i="2"/>
  <c r="AD382" i="7"/>
  <c r="AH1674" i="2"/>
  <c r="AE382" i="7"/>
  <c r="AI1674" i="2"/>
  <c r="N384" i="7"/>
  <c r="O384" i="7"/>
  <c r="P384" i="7"/>
  <c r="R384" i="7"/>
  <c r="R385" i="7"/>
  <c r="V1675" i="2"/>
  <c r="N386" i="7"/>
  <c r="Q1676" i="2"/>
  <c r="O386" i="7"/>
  <c r="R1676" i="2"/>
  <c r="R386" i="7"/>
  <c r="V1676" i="2"/>
  <c r="R387" i="7"/>
  <c r="V1677" i="2"/>
  <c r="N388" i="7"/>
  <c r="Q1678" i="2"/>
  <c r="O388" i="7"/>
  <c r="R1678" i="2"/>
  <c r="R388" i="7"/>
  <c r="V1678" i="2"/>
  <c r="R389" i="7"/>
  <c r="V1679" i="2"/>
  <c r="N390" i="7"/>
  <c r="Q1680" i="2"/>
  <c r="O390" i="7"/>
  <c r="R1680" i="2"/>
  <c r="R390" i="7"/>
  <c r="V1680" i="2"/>
  <c r="R391" i="7"/>
  <c r="V1681" i="2"/>
  <c r="N392" i="7"/>
  <c r="Q1682" i="2"/>
  <c r="O392" i="7"/>
  <c r="R1682" i="2"/>
  <c r="R392" i="7"/>
  <c r="V1682" i="2"/>
  <c r="R393" i="7"/>
  <c r="V1683" i="2"/>
  <c r="N394" i="7"/>
  <c r="Q1684" i="2"/>
  <c r="O394" i="7"/>
  <c r="R1684" i="2"/>
  <c r="R394" i="7"/>
  <c r="V1684" i="2"/>
  <c r="R395" i="7"/>
  <c r="V1685" i="2"/>
  <c r="N396" i="7"/>
  <c r="Q1686" i="2"/>
  <c r="O396" i="7"/>
  <c r="P396" i="7"/>
  <c r="R396" i="7"/>
  <c r="V1686" i="2"/>
  <c r="Q399" i="7"/>
  <c r="U1687" i="2"/>
  <c r="S399" i="7"/>
  <c r="W1687" i="2"/>
  <c r="W399" i="7"/>
  <c r="AA1687" i="2"/>
  <c r="X399" i="7"/>
  <c r="AB1687" i="2"/>
  <c r="Y399" i="7"/>
  <c r="AC1687" i="2"/>
  <c r="Z399" i="7"/>
  <c r="AD1687" i="2"/>
  <c r="N401" i="7"/>
  <c r="O401" i="7"/>
  <c r="P401" i="7"/>
  <c r="R401" i="7"/>
  <c r="O402" i="7"/>
  <c r="R1688" i="2"/>
  <c r="R402" i="7"/>
  <c r="V1688" i="2"/>
  <c r="R403" i="7"/>
  <c r="V1689" i="2"/>
  <c r="O404" i="7"/>
  <c r="R1690" i="2"/>
  <c r="R404" i="7"/>
  <c r="V1690" i="2"/>
  <c r="R405" i="7"/>
  <c r="V1691" i="2"/>
  <c r="O406" i="7"/>
  <c r="R1692" i="2"/>
  <c r="R406" i="7"/>
  <c r="V1692" i="2"/>
  <c r="R407" i="7"/>
  <c r="V1693" i="2"/>
  <c r="O408" i="7"/>
  <c r="R1694" i="2"/>
  <c r="R408" i="7"/>
  <c r="V1694" i="2"/>
  <c r="R409" i="7"/>
  <c r="V1695" i="2"/>
  <c r="O410" i="7"/>
  <c r="R1696" i="2"/>
  <c r="R410" i="7"/>
  <c r="V1696" i="2"/>
  <c r="R411" i="7"/>
  <c r="V1697" i="2"/>
  <c r="O412" i="7"/>
  <c r="R1698" i="2"/>
  <c r="R412" i="7"/>
  <c r="V1698" i="2"/>
  <c r="R413" i="7"/>
  <c r="V1699" i="2"/>
  <c r="N416" i="7"/>
  <c r="O416" i="7"/>
  <c r="P416" i="7"/>
  <c r="Q417" i="7"/>
  <c r="U1700" i="2"/>
  <c r="S417" i="7"/>
  <c r="W1700" i="2"/>
  <c r="T417" i="7"/>
  <c r="X1700" i="2"/>
  <c r="U417" i="7"/>
  <c r="Y1700" i="2"/>
  <c r="W417" i="7"/>
  <c r="AA1700" i="2"/>
  <c r="X417" i="7"/>
  <c r="AB1700" i="2"/>
  <c r="Y417" i="7"/>
  <c r="AC1700" i="2"/>
  <c r="Z417" i="7"/>
  <c r="AD1700" i="2"/>
  <c r="AA417" i="7"/>
  <c r="AE1700" i="2"/>
  <c r="AB417" i="7"/>
  <c r="AF1700" i="2"/>
  <c r="AC417" i="7"/>
  <c r="AG1700" i="2"/>
  <c r="AD417" i="7"/>
  <c r="AH1700" i="2"/>
  <c r="AE417" i="7"/>
  <c r="AI1700" i="2"/>
  <c r="N419" i="7"/>
  <c r="O419" i="7"/>
  <c r="P419" i="7"/>
  <c r="R419" i="7"/>
  <c r="R420" i="7"/>
  <c r="V1701" i="2"/>
  <c r="R421" i="7"/>
  <c r="V1702" i="2"/>
  <c r="R422" i="7"/>
  <c r="V1703" i="2"/>
  <c r="N424" i="7"/>
  <c r="O424" i="7"/>
  <c r="P424" i="7"/>
  <c r="Q427" i="7"/>
  <c r="U1705" i="2"/>
  <c r="S427" i="7"/>
  <c r="W1705" i="2"/>
  <c r="W427" i="7"/>
  <c r="AA1705" i="2"/>
  <c r="X427" i="7"/>
  <c r="AB1705" i="2"/>
  <c r="Y427" i="7"/>
  <c r="AC1705" i="2"/>
  <c r="Z427" i="7"/>
  <c r="AD1705" i="2"/>
  <c r="N429" i="7"/>
  <c r="O429" i="7"/>
  <c r="P429" i="7"/>
  <c r="R429" i="7"/>
  <c r="O430" i="7"/>
  <c r="R1706" i="2"/>
  <c r="R430" i="7"/>
  <c r="V1706" i="2"/>
  <c r="O431" i="7"/>
  <c r="R1707" i="2"/>
  <c r="R431" i="7"/>
  <c r="V1707" i="2"/>
  <c r="O432" i="7"/>
  <c r="R1708" i="2"/>
  <c r="R432" i="7"/>
  <c r="V1708" i="2"/>
  <c r="O433" i="7"/>
  <c r="R1709" i="2"/>
  <c r="R433" i="7"/>
  <c r="V1709" i="2"/>
  <c r="Q435" i="7"/>
  <c r="U1710" i="2"/>
  <c r="S435" i="7"/>
  <c r="W1710" i="2"/>
  <c r="W435" i="7"/>
  <c r="AA1710" i="2"/>
  <c r="X435" i="7"/>
  <c r="AB1710" i="2"/>
  <c r="Y435" i="7"/>
  <c r="AC1710" i="2"/>
  <c r="Z435" i="7"/>
  <c r="AD1710" i="2"/>
  <c r="N437" i="7"/>
  <c r="O437" i="7"/>
  <c r="P437" i="7"/>
  <c r="R437" i="7"/>
  <c r="O438" i="7"/>
  <c r="R1711" i="2"/>
  <c r="R438" i="7"/>
  <c r="V1711" i="2"/>
  <c r="R439" i="7"/>
  <c r="V1712" i="2"/>
  <c r="O440" i="7"/>
  <c r="R1713" i="2"/>
  <c r="R440" i="7"/>
  <c r="V1713" i="2"/>
  <c r="R441" i="7"/>
  <c r="V1714" i="2"/>
  <c r="Q443" i="7"/>
  <c r="U1715" i="2"/>
  <c r="S443" i="7"/>
  <c r="W1715" i="2"/>
  <c r="W443" i="7"/>
  <c r="AA1715" i="2"/>
  <c r="X443" i="7"/>
  <c r="AB1715" i="2"/>
  <c r="Y443" i="7"/>
  <c r="AC1715" i="2"/>
  <c r="Z443" i="7"/>
  <c r="AD1715" i="2"/>
  <c r="N445" i="7"/>
  <c r="O445" i="7"/>
  <c r="P445" i="7"/>
  <c r="R445" i="7"/>
  <c r="O446" i="7"/>
  <c r="R1716" i="2"/>
  <c r="R446" i="7"/>
  <c r="V1716" i="2"/>
  <c r="O447" i="7"/>
  <c r="R1717" i="2"/>
  <c r="R447" i="7"/>
  <c r="V1717" i="2"/>
  <c r="Q449" i="7"/>
  <c r="U1718" i="2"/>
  <c r="S449" i="7"/>
  <c r="W1718" i="2"/>
  <c r="W449" i="7"/>
  <c r="AA1718" i="2"/>
  <c r="X449" i="7"/>
  <c r="AB1718" i="2"/>
  <c r="Y449" i="7"/>
  <c r="AC1718" i="2"/>
  <c r="Z449" i="7"/>
  <c r="AD1718" i="2"/>
  <c r="N451" i="7"/>
  <c r="O451" i="7"/>
  <c r="P451" i="7"/>
  <c r="R451" i="7"/>
  <c r="R452" i="7"/>
  <c r="V1719" i="2"/>
  <c r="O453" i="7"/>
  <c r="R1720" i="2"/>
  <c r="R453" i="7"/>
  <c r="V1720" i="2"/>
  <c r="R454" i="7"/>
  <c r="V1721" i="2"/>
  <c r="O455" i="7"/>
  <c r="R1722" i="2"/>
  <c r="R455" i="7"/>
  <c r="V1722" i="2"/>
  <c r="Q457" i="7"/>
  <c r="U1723" i="2"/>
  <c r="S457" i="7"/>
  <c r="W1723" i="2"/>
  <c r="W457" i="7"/>
  <c r="AA1723" i="2"/>
  <c r="X457" i="7"/>
  <c r="AB1723" i="2"/>
  <c r="Y457" i="7"/>
  <c r="AC1723" i="2"/>
  <c r="Z457" i="7"/>
  <c r="AD1723" i="2"/>
  <c r="N459" i="7"/>
  <c r="O459" i="7"/>
  <c r="P459" i="7"/>
  <c r="R459" i="7"/>
  <c r="O460" i="7"/>
  <c r="R1724" i="2"/>
  <c r="R460" i="7"/>
  <c r="V1724" i="2"/>
  <c r="O461" i="7"/>
  <c r="R1725" i="2"/>
  <c r="R461" i="7"/>
  <c r="V1725" i="2"/>
  <c r="Q463" i="7"/>
  <c r="U1726" i="2"/>
  <c r="S463" i="7"/>
  <c r="W1726" i="2"/>
  <c r="W463" i="7"/>
  <c r="AA1726" i="2"/>
  <c r="X463" i="7"/>
  <c r="AB1726" i="2"/>
  <c r="Y463" i="7"/>
  <c r="AC1726" i="2"/>
  <c r="Z463" i="7"/>
  <c r="AD1726" i="2"/>
  <c r="N465" i="7"/>
  <c r="O465" i="7"/>
  <c r="P465" i="7"/>
  <c r="R465" i="7"/>
  <c r="O466" i="7"/>
  <c r="R1727" i="2"/>
  <c r="R466" i="7"/>
  <c r="V1727" i="2"/>
  <c r="R467" i="7"/>
  <c r="V1728" i="2"/>
  <c r="Q469" i="7"/>
  <c r="U1729" i="2"/>
  <c r="S469" i="7"/>
  <c r="W1729" i="2"/>
  <c r="W469" i="7"/>
  <c r="AA1729" i="2"/>
  <c r="X469" i="7"/>
  <c r="AB1729" i="2"/>
  <c r="Y469" i="7"/>
  <c r="AC1729" i="2"/>
  <c r="Z469" i="7"/>
  <c r="AD1729" i="2"/>
  <c r="N471" i="7"/>
  <c r="O471" i="7"/>
  <c r="P471" i="7"/>
  <c r="R471" i="7"/>
  <c r="O472" i="7"/>
  <c r="R1730" i="2"/>
  <c r="R472" i="7"/>
  <c r="V1730" i="2"/>
  <c r="Q474" i="7"/>
  <c r="U1731" i="2"/>
  <c r="S474" i="7"/>
  <c r="W1731" i="2"/>
  <c r="W474" i="7"/>
  <c r="AA1731" i="2"/>
  <c r="X474" i="7"/>
  <c r="AB1731" i="2"/>
  <c r="Y474" i="7"/>
  <c r="AC1731" i="2"/>
  <c r="Z474" i="7"/>
  <c r="AD1731" i="2"/>
  <c r="N476" i="7"/>
  <c r="O476" i="7"/>
  <c r="P476" i="7"/>
  <c r="R476" i="7"/>
  <c r="O477" i="7"/>
  <c r="R1732" i="2"/>
  <c r="R477" i="7"/>
  <c r="V1732" i="2"/>
  <c r="R478" i="7"/>
  <c r="V1733" i="2"/>
  <c r="N481" i="7"/>
  <c r="O481" i="7"/>
  <c r="P481" i="7"/>
  <c r="Q484" i="7"/>
  <c r="U1735" i="2"/>
  <c r="S484" i="7"/>
  <c r="W1735" i="2"/>
  <c r="T484" i="7"/>
  <c r="X1735" i="2"/>
  <c r="U484" i="7"/>
  <c r="Y1735" i="2"/>
  <c r="V484" i="7"/>
  <c r="Z1735" i="2"/>
  <c r="W484" i="7"/>
  <c r="AA1735" i="2"/>
  <c r="X484" i="7"/>
  <c r="AB1735" i="2"/>
  <c r="AA484" i="7"/>
  <c r="AE1735" i="2"/>
  <c r="AB484" i="7"/>
  <c r="AF1735" i="2"/>
  <c r="AD484" i="7"/>
  <c r="AH1735" i="2"/>
  <c r="AE484" i="7"/>
  <c r="AI1735" i="2"/>
  <c r="AF484" i="7"/>
  <c r="AJ1735" i="2"/>
  <c r="AG484" i="7"/>
  <c r="AJ484" i="7"/>
  <c r="AK484" i="7"/>
  <c r="AE486" i="7"/>
  <c r="AJ486" i="7"/>
  <c r="N487" i="7"/>
  <c r="O487" i="7"/>
  <c r="P487" i="7"/>
  <c r="R487" i="7"/>
  <c r="Y487" i="7"/>
  <c r="Z487" i="7"/>
  <c r="AD487" i="7"/>
  <c r="N488" i="7"/>
  <c r="Q1736" i="2"/>
  <c r="R488" i="7"/>
  <c r="V1736" i="2"/>
  <c r="Y488" i="7"/>
  <c r="AC1736" i="2"/>
  <c r="Z488" i="7"/>
  <c r="AD1736" i="2"/>
  <c r="AD488" i="7"/>
  <c r="AH1736" i="2"/>
  <c r="AJ488" i="7"/>
  <c r="R489" i="7"/>
  <c r="V1737" i="2"/>
  <c r="Z489" i="7"/>
  <c r="AD1737" i="2"/>
  <c r="N490" i="7"/>
  <c r="Q1738" i="2"/>
  <c r="R490" i="7"/>
  <c r="V1738" i="2"/>
  <c r="Y490" i="7"/>
  <c r="AC1738" i="2"/>
  <c r="Z490" i="7"/>
  <c r="AD1738" i="2"/>
  <c r="AD490" i="7"/>
  <c r="AH1738" i="2"/>
  <c r="R491" i="7"/>
  <c r="V1739" i="2"/>
  <c r="Z491" i="7"/>
  <c r="AD1739" i="2"/>
  <c r="Q495" i="7"/>
  <c r="U1741" i="2"/>
  <c r="R495" i="7"/>
  <c r="V1741" i="2"/>
  <c r="S495" i="7"/>
  <c r="W1741" i="2"/>
  <c r="T495" i="7"/>
  <c r="X1741" i="2"/>
  <c r="U495" i="7"/>
  <c r="Y1741" i="2"/>
  <c r="W495" i="7"/>
  <c r="AA1741" i="2"/>
  <c r="X495" i="7"/>
  <c r="AB1741" i="2"/>
  <c r="Z495" i="7"/>
  <c r="AD1741" i="2"/>
  <c r="AB495" i="7"/>
  <c r="AF1741" i="2"/>
  <c r="N497" i="7"/>
  <c r="O497" i="7"/>
  <c r="P497" i="7"/>
  <c r="R497" i="7"/>
  <c r="N498" i="7"/>
  <c r="Q1742" i="2"/>
  <c r="R498" i="7"/>
  <c r="V1742" i="2"/>
  <c r="V498" i="7"/>
  <c r="Z1742" i="2"/>
  <c r="X498" i="7"/>
  <c r="AB1742" i="2"/>
  <c r="Y498" i="7"/>
  <c r="AC1742" i="2"/>
  <c r="Z498" i="7"/>
  <c r="AD1742" i="2"/>
  <c r="AA498" i="7"/>
  <c r="AE1742" i="2"/>
  <c r="AB498" i="7"/>
  <c r="AF1742" i="2"/>
  <c r="AE498" i="7"/>
  <c r="AI1742" i="2"/>
  <c r="R499" i="7"/>
  <c r="V1743" i="2"/>
  <c r="V499" i="7"/>
  <c r="Z1743" i="2"/>
  <c r="X499" i="7"/>
  <c r="AB1743" i="2"/>
  <c r="Y499" i="7"/>
  <c r="AC1743" i="2"/>
  <c r="Z499" i="7"/>
  <c r="AD1743" i="2"/>
  <c r="AA499" i="7"/>
  <c r="AE1743" i="2"/>
  <c r="AB499" i="7"/>
  <c r="AF1743" i="2"/>
  <c r="AE499" i="7"/>
  <c r="AI1743" i="2"/>
  <c r="N500" i="7"/>
  <c r="Q1744" i="2"/>
  <c r="R500" i="7"/>
  <c r="V1744" i="2"/>
  <c r="V500" i="7"/>
  <c r="Z1744" i="2"/>
  <c r="X500" i="7"/>
  <c r="AB1744" i="2"/>
  <c r="Y500" i="7"/>
  <c r="AC1744" i="2"/>
  <c r="Z500" i="7"/>
  <c r="AD1744" i="2"/>
  <c r="AA500" i="7"/>
  <c r="AE1744" i="2"/>
  <c r="AB500" i="7"/>
  <c r="AF1744" i="2"/>
  <c r="AE500" i="7"/>
  <c r="AI1744" i="2"/>
  <c r="Q504" i="7"/>
  <c r="U1745" i="2"/>
  <c r="R504" i="7"/>
  <c r="V1745" i="2"/>
  <c r="S504" i="7"/>
  <c r="W1745" i="2"/>
  <c r="T504" i="7"/>
  <c r="X1745" i="2"/>
  <c r="U504" i="7"/>
  <c r="Y1745" i="2"/>
  <c r="W504" i="7"/>
  <c r="AA1745" i="2"/>
  <c r="X504" i="7"/>
  <c r="AB1745" i="2"/>
  <c r="Y504" i="7"/>
  <c r="AC1745" i="2"/>
  <c r="Z504" i="7"/>
  <c r="AD1745" i="2"/>
  <c r="AA504" i="7"/>
  <c r="AE1745" i="2"/>
  <c r="AB504" i="7"/>
  <c r="AF1745" i="2"/>
  <c r="N506" i="7"/>
  <c r="O506" i="7"/>
  <c r="P506" i="7"/>
  <c r="R506" i="7"/>
  <c r="N507" i="7"/>
  <c r="Q1746" i="2"/>
  <c r="R507" i="7"/>
  <c r="V1746" i="2"/>
  <c r="V507" i="7"/>
  <c r="Z1746" i="2"/>
  <c r="R508" i="7"/>
  <c r="V1747" i="2"/>
  <c r="V508" i="7"/>
  <c r="Z1747" i="2"/>
  <c r="R509" i="7"/>
  <c r="V1748" i="2"/>
  <c r="V509" i="7"/>
  <c r="Z1748" i="2"/>
  <c r="N510" i="7"/>
  <c r="Q1749" i="2"/>
  <c r="R510" i="7"/>
  <c r="V1749" i="2"/>
  <c r="V510" i="7"/>
  <c r="Z1749" i="2"/>
  <c r="N514" i="7"/>
  <c r="O514" i="7"/>
  <c r="P514" i="7"/>
  <c r="Q517" i="7"/>
  <c r="U1752" i="2"/>
  <c r="S517" i="7"/>
  <c r="W1752" i="2"/>
  <c r="T517" i="7"/>
  <c r="X1752" i="2"/>
  <c r="U517" i="7"/>
  <c r="Y1752" i="2"/>
  <c r="V517" i="7"/>
  <c r="Z1752" i="2"/>
  <c r="W517" i="7"/>
  <c r="AA1752" i="2"/>
  <c r="X517" i="7"/>
  <c r="AB1752" i="2"/>
  <c r="Y517" i="7"/>
  <c r="AC1752" i="2"/>
  <c r="AA517" i="7"/>
  <c r="AE1752" i="2"/>
  <c r="AB517" i="7"/>
  <c r="AF1752" i="2"/>
  <c r="N519" i="7"/>
  <c r="O519" i="7"/>
  <c r="P519" i="7"/>
  <c r="R521" i="7"/>
  <c r="V1754" i="2"/>
  <c r="N522" i="7"/>
  <c r="Q1755" i="2"/>
  <c r="R522" i="7"/>
  <c r="V1755" i="2"/>
  <c r="Z522" i="7"/>
  <c r="AD1755" i="2"/>
  <c r="R523" i="7"/>
  <c r="V1756" i="2"/>
  <c r="N524" i="7"/>
  <c r="Q1757" i="2"/>
  <c r="R524" i="7"/>
  <c r="V1757" i="2"/>
  <c r="Z524" i="7"/>
  <c r="AD1757" i="2"/>
  <c r="R525" i="7"/>
  <c r="V1758" i="2"/>
  <c r="N526" i="7"/>
  <c r="Q1759" i="2"/>
  <c r="R526" i="7"/>
  <c r="V1759" i="2"/>
  <c r="Z526" i="7"/>
  <c r="AD1759" i="2"/>
  <c r="R527" i="7"/>
  <c r="V1760" i="2"/>
  <c r="N528" i="7"/>
  <c r="Q1761" i="2"/>
  <c r="R528" i="7"/>
  <c r="V1761" i="2"/>
  <c r="Z528" i="7"/>
  <c r="AD1761" i="2"/>
  <c r="R529" i="7"/>
  <c r="V1762" i="2"/>
  <c r="N530" i="7"/>
  <c r="Q1763" i="2"/>
  <c r="R530" i="7"/>
  <c r="V1763" i="2"/>
  <c r="Z530" i="7"/>
  <c r="AD1763" i="2"/>
  <c r="R531" i="7"/>
  <c r="V1764" i="2"/>
  <c r="N532" i="7"/>
  <c r="Q1765" i="2"/>
  <c r="R532" i="7"/>
  <c r="V1765" i="2"/>
  <c r="Z532" i="7"/>
  <c r="AD1765" i="2"/>
  <c r="R533" i="7"/>
  <c r="V1766" i="2"/>
  <c r="N534" i="7"/>
  <c r="Q1767" i="2"/>
  <c r="R534" i="7"/>
  <c r="V1767" i="2"/>
  <c r="Z534" i="7"/>
  <c r="AD1767" i="2"/>
  <c r="R535" i="7"/>
  <c r="V1768" i="2"/>
  <c r="N536" i="7"/>
  <c r="Q1769" i="2"/>
  <c r="R536" i="7"/>
  <c r="V1769" i="2"/>
  <c r="Z536" i="7"/>
  <c r="AD1769" i="2"/>
  <c r="R537" i="7"/>
  <c r="V1770" i="2"/>
  <c r="N538" i="7"/>
  <c r="Q1771" i="2"/>
  <c r="R538" i="7"/>
  <c r="V1771" i="2"/>
  <c r="Z538" i="7"/>
  <c r="AD1771" i="2"/>
  <c r="R539" i="7"/>
  <c r="V1772" i="2"/>
  <c r="N540" i="7"/>
  <c r="Q1773" i="2"/>
  <c r="R540" i="7"/>
  <c r="V1773" i="2"/>
  <c r="Z540" i="7"/>
  <c r="AD1773" i="2"/>
  <c r="R541" i="7"/>
  <c r="V1774" i="2"/>
  <c r="N542" i="7"/>
  <c r="Q1775" i="2"/>
  <c r="R542" i="7"/>
  <c r="V1775" i="2"/>
  <c r="Z542" i="7"/>
  <c r="AD1775" i="2"/>
  <c r="R543" i="7"/>
  <c r="V1776" i="2"/>
  <c r="N544" i="7"/>
  <c r="Q1777" i="2"/>
  <c r="R544" i="7"/>
  <c r="V1777" i="2"/>
  <c r="Z544" i="7"/>
  <c r="AD1777" i="2"/>
  <c r="R545" i="7"/>
  <c r="V1778" i="2"/>
  <c r="N546" i="7"/>
  <c r="Q1779" i="2"/>
  <c r="R546" i="7"/>
  <c r="V1779" i="2"/>
  <c r="Z546" i="7"/>
  <c r="AD1779" i="2"/>
  <c r="R547" i="7"/>
  <c r="V1780" i="2"/>
  <c r="N548" i="7"/>
  <c r="Q1781" i="2"/>
  <c r="R548" i="7"/>
  <c r="V1781" i="2"/>
  <c r="Z548" i="7"/>
  <c r="AD1781" i="2"/>
  <c r="R549" i="7"/>
  <c r="V1782" i="2"/>
  <c r="N550" i="7"/>
  <c r="Q1783" i="2"/>
  <c r="R550" i="7"/>
  <c r="V1783" i="2"/>
  <c r="Z550" i="7"/>
  <c r="AD1783" i="2"/>
  <c r="R551" i="7"/>
  <c r="V1784" i="2"/>
  <c r="N552" i="7"/>
  <c r="Q1785" i="2"/>
  <c r="R552" i="7"/>
  <c r="V1785" i="2"/>
  <c r="Z552" i="7"/>
  <c r="AD1785" i="2"/>
  <c r="R553" i="7"/>
  <c r="V1786" i="2"/>
  <c r="N554" i="7"/>
  <c r="Q1787" i="2"/>
  <c r="R554" i="7"/>
  <c r="V1787" i="2"/>
  <c r="Z554" i="7"/>
  <c r="AD1787" i="2"/>
  <c r="R555" i="7"/>
  <c r="V1788" i="2"/>
  <c r="N556" i="7"/>
  <c r="Q1789" i="2"/>
  <c r="R556" i="7"/>
  <c r="V1789" i="2"/>
  <c r="Z556" i="7"/>
  <c r="AD1789" i="2"/>
  <c r="R557" i="7"/>
  <c r="V1790" i="2"/>
  <c r="N558" i="7"/>
  <c r="Q1791" i="2"/>
  <c r="R558" i="7"/>
  <c r="V1791" i="2"/>
  <c r="Z558" i="7"/>
  <c r="AD1791" i="2"/>
  <c r="R559" i="7"/>
  <c r="V1792" i="2"/>
  <c r="N560" i="7"/>
  <c r="Q1793" i="2"/>
  <c r="R560" i="7"/>
  <c r="V1793" i="2"/>
  <c r="Z560" i="7"/>
  <c r="AD1793" i="2"/>
  <c r="R561" i="7"/>
  <c r="V1794" i="2"/>
  <c r="N562" i="7"/>
  <c r="Q1795" i="2"/>
  <c r="R562" i="7"/>
  <c r="V1795" i="2"/>
  <c r="Z562" i="7"/>
  <c r="AD1795" i="2"/>
  <c r="R563" i="7"/>
  <c r="V1796" i="2"/>
  <c r="N564" i="7"/>
  <c r="Q1797" i="2"/>
  <c r="R564" i="7"/>
  <c r="V1797" i="2"/>
  <c r="Z564" i="7"/>
  <c r="AD1797" i="2"/>
  <c r="R565" i="7"/>
  <c r="V1798" i="2"/>
  <c r="N566" i="7"/>
  <c r="Q1799" i="2"/>
  <c r="O566" i="7"/>
  <c r="R1799" i="2"/>
  <c r="R566" i="7"/>
  <c r="V1799" i="2"/>
  <c r="Q569" i="7"/>
  <c r="U1800" i="2"/>
  <c r="S569" i="7"/>
  <c r="W1800" i="2"/>
  <c r="T569" i="7"/>
  <c r="X1800" i="2"/>
  <c r="U569" i="7"/>
  <c r="Y1800" i="2"/>
  <c r="V569" i="7"/>
  <c r="Z1800" i="2"/>
  <c r="W569" i="7"/>
  <c r="AA1800" i="2"/>
  <c r="X569" i="7"/>
  <c r="AB1800" i="2"/>
  <c r="Y569" i="7"/>
  <c r="AC1800" i="2"/>
  <c r="AA569" i="7"/>
  <c r="AE1800" i="2"/>
  <c r="AB569" i="7"/>
  <c r="AF1800" i="2"/>
  <c r="N571" i="7"/>
  <c r="O571" i="7"/>
  <c r="P571" i="7"/>
  <c r="N572" i="7"/>
  <c r="Q1801" i="2"/>
  <c r="R572" i="7"/>
  <c r="V1801" i="2"/>
  <c r="Z572" i="7"/>
  <c r="AD1801" i="2"/>
  <c r="R573" i="7"/>
  <c r="V1802" i="2"/>
  <c r="N574" i="7"/>
  <c r="Q1803" i="2"/>
  <c r="R574" i="7"/>
  <c r="V1803" i="2"/>
  <c r="Z574" i="7"/>
  <c r="AD1803" i="2"/>
  <c r="R575" i="7"/>
  <c r="V1804" i="2"/>
  <c r="N576" i="7"/>
  <c r="Q1805" i="2"/>
  <c r="R576" i="7"/>
  <c r="V1805" i="2"/>
  <c r="Z576" i="7"/>
  <c r="AD1805" i="2"/>
  <c r="R577" i="7"/>
  <c r="V1806" i="2"/>
  <c r="N578" i="7"/>
  <c r="Q1807" i="2"/>
  <c r="R578" i="7"/>
  <c r="V1807" i="2"/>
  <c r="Z578" i="7"/>
  <c r="AD1807" i="2"/>
  <c r="R579" i="7"/>
  <c r="V1808" i="2"/>
  <c r="N580" i="7"/>
  <c r="Q1809" i="2"/>
  <c r="R580" i="7"/>
  <c r="V1809" i="2"/>
  <c r="Z580" i="7"/>
  <c r="AD1809" i="2"/>
  <c r="R581" i="7"/>
  <c r="V1810" i="2"/>
  <c r="N582" i="7"/>
  <c r="Q1811" i="2"/>
  <c r="R582" i="7"/>
  <c r="V1811" i="2"/>
  <c r="Z582" i="7"/>
  <c r="AD1811" i="2"/>
  <c r="R583" i="7"/>
  <c r="V1812" i="2"/>
  <c r="N584" i="7"/>
  <c r="Q1813" i="2"/>
  <c r="R584" i="7"/>
  <c r="V1813" i="2"/>
  <c r="Z584" i="7"/>
  <c r="AD1813" i="2"/>
  <c r="R585" i="7"/>
  <c r="V1814" i="2"/>
  <c r="N586" i="7"/>
  <c r="Q1815" i="2"/>
  <c r="R586" i="7"/>
  <c r="V1815" i="2"/>
  <c r="Z586" i="7"/>
  <c r="AD1815" i="2"/>
  <c r="N589" i="7"/>
  <c r="O589" i="7"/>
  <c r="P589" i="7"/>
  <c r="S592" i="7"/>
  <c r="W1817" i="2"/>
  <c r="T592" i="7"/>
  <c r="X1817" i="2"/>
  <c r="AB592" i="7"/>
  <c r="AF1817" i="2"/>
  <c r="AF592" i="7"/>
  <c r="AJ1817" i="2"/>
  <c r="AH592" i="7"/>
  <c r="AL592" i="7"/>
  <c r="AF594" i="7"/>
  <c r="AK594" i="7"/>
  <c r="AK616" i="7"/>
  <c r="AK651" i="7"/>
  <c r="AK658" i="7"/>
  <c r="AK687" i="7"/>
  <c r="AK695" i="7"/>
  <c r="AK704" i="7"/>
  <c r="N595" i="7"/>
  <c r="O595" i="7"/>
  <c r="P595" i="7"/>
  <c r="R595" i="7"/>
  <c r="R617" i="7"/>
  <c r="R652" i="7"/>
  <c r="R659" i="7"/>
  <c r="R688" i="7"/>
  <c r="R696" i="7"/>
  <c r="R705" i="7"/>
  <c r="Y595" i="7"/>
  <c r="AA595" i="7"/>
  <c r="AE595" i="7"/>
  <c r="N596" i="7"/>
  <c r="Q1818" i="2"/>
  <c r="R596" i="7"/>
  <c r="V1818" i="2"/>
  <c r="Y596" i="7"/>
  <c r="AC1818" i="2"/>
  <c r="AA596" i="7"/>
  <c r="AE1818" i="2"/>
  <c r="AE596" i="7"/>
  <c r="AI1818" i="2"/>
  <c r="R597" i="7"/>
  <c r="V1819" i="2"/>
  <c r="AA597" i="7"/>
  <c r="AE1819" i="2"/>
  <c r="Q598" i="7"/>
  <c r="U1820" i="2"/>
  <c r="R598" i="7"/>
  <c r="V1820" i="2"/>
  <c r="S598" i="7"/>
  <c r="W1820" i="2"/>
  <c r="T598" i="7"/>
  <c r="X1820" i="2"/>
  <c r="U598" i="7"/>
  <c r="Y1820" i="2"/>
  <c r="V598" i="7"/>
  <c r="Z1820" i="2"/>
  <c r="W598" i="7"/>
  <c r="AA1820" i="2"/>
  <c r="X598" i="7"/>
  <c r="AB1820" i="2"/>
  <c r="Z598" i="7"/>
  <c r="AD1820" i="2"/>
  <c r="AB598" i="7"/>
  <c r="AF1820" i="2"/>
  <c r="AC598" i="7"/>
  <c r="AG1820" i="2"/>
  <c r="AD598" i="7"/>
  <c r="AH1820" i="2"/>
  <c r="AF598" i="7"/>
  <c r="AJ1820" i="2"/>
  <c r="AG598" i="7"/>
  <c r="AH598" i="7"/>
  <c r="AI598" i="7"/>
  <c r="AM1820" i="2"/>
  <c r="AL598" i="7"/>
  <c r="AK592" i="7"/>
  <c r="AM598" i="7"/>
  <c r="N599" i="7"/>
  <c r="Q1821" i="2"/>
  <c r="R599" i="7"/>
  <c r="V1821" i="2"/>
  <c r="Y599" i="7"/>
  <c r="AC1821" i="2"/>
  <c r="AA599" i="7"/>
  <c r="AE1821" i="2"/>
  <c r="AE599" i="7"/>
  <c r="AI1821" i="2"/>
  <c r="AK599" i="7"/>
  <c r="R600" i="7"/>
  <c r="V1822" i="2"/>
  <c r="AA600" i="7"/>
  <c r="AE1822" i="2"/>
  <c r="N601" i="7"/>
  <c r="Q1823" i="2"/>
  <c r="R601" i="7"/>
  <c r="V1823" i="2"/>
  <c r="Y601" i="7"/>
  <c r="AC1823" i="2"/>
  <c r="AA601" i="7"/>
  <c r="AE1823" i="2"/>
  <c r="AE601" i="7"/>
  <c r="AI1823" i="2"/>
  <c r="R602" i="7"/>
  <c r="V1824" i="2"/>
  <c r="AA602" i="7"/>
  <c r="AE1824" i="2"/>
  <c r="N603" i="7"/>
  <c r="Q1825" i="2"/>
  <c r="R603" i="7"/>
  <c r="V1825" i="2"/>
  <c r="Y603" i="7"/>
  <c r="AC1825" i="2"/>
  <c r="AA603" i="7"/>
  <c r="AE1825" i="2"/>
  <c r="AE603" i="7"/>
  <c r="AI1825" i="2"/>
  <c r="R604" i="7"/>
  <c r="V1826" i="2"/>
  <c r="AA604" i="7"/>
  <c r="AE1826" i="2"/>
  <c r="N605" i="7"/>
  <c r="Q1827" i="2"/>
  <c r="R605" i="7"/>
  <c r="V1827" i="2"/>
  <c r="Y605" i="7"/>
  <c r="AC1827" i="2"/>
  <c r="AA605" i="7"/>
  <c r="AE1827" i="2"/>
  <c r="AE605" i="7"/>
  <c r="AI1827" i="2"/>
  <c r="R606" i="7"/>
  <c r="V1828" i="2"/>
  <c r="AA606" i="7"/>
  <c r="AE1828" i="2"/>
  <c r="Q607" i="7"/>
  <c r="U1829" i="2"/>
  <c r="S607" i="7"/>
  <c r="W1829" i="2"/>
  <c r="T607" i="7"/>
  <c r="X1829" i="2"/>
  <c r="U607" i="7"/>
  <c r="Y1829" i="2"/>
  <c r="V607" i="7"/>
  <c r="Z1829" i="2"/>
  <c r="W607" i="7"/>
  <c r="AA1829" i="2"/>
  <c r="X607" i="7"/>
  <c r="AB1829" i="2"/>
  <c r="Z607" i="7"/>
  <c r="AD1829" i="2"/>
  <c r="AB607" i="7"/>
  <c r="AF1829" i="2"/>
  <c r="AC607" i="7"/>
  <c r="AG1829" i="2"/>
  <c r="AD607" i="7"/>
  <c r="AH1829" i="2"/>
  <c r="AF607" i="7"/>
  <c r="AJ1829" i="2"/>
  <c r="AG607" i="7"/>
  <c r="AH607" i="7"/>
  <c r="AI607" i="7"/>
  <c r="AM1829" i="2"/>
  <c r="AL607" i="7"/>
  <c r="AM607" i="7"/>
  <c r="N608" i="7"/>
  <c r="Q1830" i="2"/>
  <c r="R608" i="7"/>
  <c r="V1830" i="2"/>
  <c r="Y608" i="7"/>
  <c r="AC1830" i="2"/>
  <c r="AA608" i="7"/>
  <c r="AE1830" i="2"/>
  <c r="AE608" i="7"/>
  <c r="AI1830" i="2"/>
  <c r="R609" i="7"/>
  <c r="V1831" i="2"/>
  <c r="AA609" i="7"/>
  <c r="AE1831" i="2"/>
  <c r="N610" i="7"/>
  <c r="Q1832" i="2"/>
  <c r="R610" i="7"/>
  <c r="V1832" i="2"/>
  <c r="Y610" i="7"/>
  <c r="AC1832" i="2"/>
  <c r="AA610" i="7"/>
  <c r="AE1832" i="2"/>
  <c r="AE610" i="7"/>
  <c r="AI1832" i="2"/>
  <c r="R611" i="7"/>
  <c r="V1833" i="2"/>
  <c r="AA611" i="7"/>
  <c r="AE1833" i="2"/>
  <c r="N612" i="7"/>
  <c r="Q1834" i="2"/>
  <c r="R612" i="7"/>
  <c r="V1834" i="2"/>
  <c r="Y612" i="7"/>
  <c r="AC1834" i="2"/>
  <c r="AA612" i="7"/>
  <c r="AE1834" i="2"/>
  <c r="AE612" i="7"/>
  <c r="AI1834" i="2"/>
  <c r="U614" i="7"/>
  <c r="Y1835" i="2"/>
  <c r="AF616" i="7"/>
  <c r="AF651" i="7"/>
  <c r="AF658" i="7"/>
  <c r="AF687" i="7"/>
  <c r="AF695" i="7"/>
  <c r="AF704" i="7"/>
  <c r="N617" i="7"/>
  <c r="O617" i="7"/>
  <c r="P617" i="7"/>
  <c r="Y617" i="7"/>
  <c r="Y652" i="7"/>
  <c r="Y659" i="7"/>
  <c r="Y688" i="7"/>
  <c r="Y696" i="7"/>
  <c r="Y705" i="7"/>
  <c r="Z617" i="7"/>
  <c r="AA617" i="7"/>
  <c r="AA652" i="7"/>
  <c r="AA659" i="7"/>
  <c r="AA688" i="7"/>
  <c r="AA696" i="7"/>
  <c r="AA705" i="7"/>
  <c r="AE617" i="7"/>
  <c r="T618" i="7"/>
  <c r="X1836" i="2"/>
  <c r="W618" i="7"/>
  <c r="AA1836" i="2"/>
  <c r="AC618" i="7"/>
  <c r="AG1836" i="2"/>
  <c r="AG618" i="7"/>
  <c r="AI618" i="7"/>
  <c r="AM1836" i="2"/>
  <c r="AM618" i="7"/>
  <c r="AL614" i="7"/>
  <c r="R619" i="7"/>
  <c r="V1837" i="2"/>
  <c r="AA619" i="7"/>
  <c r="AE1837" i="2"/>
  <c r="N620" i="7"/>
  <c r="Q1838" i="2"/>
  <c r="R620" i="7"/>
  <c r="V1838" i="2"/>
  <c r="Y620" i="7"/>
  <c r="AC1838" i="2"/>
  <c r="AA620" i="7"/>
  <c r="AE1838" i="2"/>
  <c r="AE620" i="7"/>
  <c r="AI1838" i="2"/>
  <c r="Q621" i="7"/>
  <c r="U1839" i="2"/>
  <c r="S621" i="7"/>
  <c r="W1839" i="2"/>
  <c r="T621" i="7"/>
  <c r="X1839" i="2"/>
  <c r="V621" i="7"/>
  <c r="Z1839" i="2"/>
  <c r="W621" i="7"/>
  <c r="AA1839" i="2"/>
  <c r="X621" i="7"/>
  <c r="AB1839" i="2"/>
  <c r="Z621" i="7"/>
  <c r="AD1839" i="2"/>
  <c r="AB621" i="7"/>
  <c r="AF1839" i="2"/>
  <c r="AC621" i="7"/>
  <c r="AG1839" i="2"/>
  <c r="AD621" i="7"/>
  <c r="AH1839" i="2"/>
  <c r="AF621" i="7"/>
  <c r="AJ1839" i="2"/>
  <c r="AG621" i="7"/>
  <c r="AH621" i="7"/>
  <c r="AI621" i="7"/>
  <c r="AM1839" i="2"/>
  <c r="AL621" i="7"/>
  <c r="AL618" i="7"/>
  <c r="AK614" i="7"/>
  <c r="AM621" i="7"/>
  <c r="N622" i="7"/>
  <c r="Q1840" i="2"/>
  <c r="R622" i="7"/>
  <c r="V1840" i="2"/>
  <c r="Y622" i="7"/>
  <c r="AC1840" i="2"/>
  <c r="AA622" i="7"/>
  <c r="AE1840" i="2"/>
  <c r="AE622" i="7"/>
  <c r="AI1840" i="2"/>
  <c r="R623" i="7"/>
  <c r="V1841" i="2"/>
  <c r="AA623" i="7"/>
  <c r="AE1841" i="2"/>
  <c r="N624" i="7"/>
  <c r="Q1842" i="2"/>
  <c r="R624" i="7"/>
  <c r="V1842" i="2"/>
  <c r="Y624" i="7"/>
  <c r="AC1842" i="2"/>
  <c r="AA624" i="7"/>
  <c r="AE1842" i="2"/>
  <c r="AE624" i="7"/>
  <c r="AI1842" i="2"/>
  <c r="AK624" i="7"/>
  <c r="R625" i="7"/>
  <c r="V1843" i="2"/>
  <c r="AA625" i="7"/>
  <c r="AE1843" i="2"/>
  <c r="N626" i="7"/>
  <c r="Q1844" i="2"/>
  <c r="R626" i="7"/>
  <c r="V1844" i="2"/>
  <c r="Y626" i="7"/>
  <c r="AC1844" i="2"/>
  <c r="AA626" i="7"/>
  <c r="AE1844" i="2"/>
  <c r="AE626" i="7"/>
  <c r="AI1844" i="2"/>
  <c r="R627" i="7"/>
  <c r="V1845" i="2"/>
  <c r="AA627" i="7"/>
  <c r="AE1845" i="2"/>
  <c r="N629" i="7"/>
  <c r="Q1846" i="2"/>
  <c r="R629" i="7"/>
  <c r="V1846" i="2"/>
  <c r="Y629" i="7"/>
  <c r="AC1846" i="2"/>
  <c r="AA629" i="7"/>
  <c r="AE1846" i="2"/>
  <c r="AE629" i="7"/>
  <c r="AI1846" i="2"/>
  <c r="Q630" i="7"/>
  <c r="U1847" i="2"/>
  <c r="S630" i="7"/>
  <c r="W1847" i="2"/>
  <c r="T630" i="7"/>
  <c r="X1847" i="2"/>
  <c r="V630" i="7"/>
  <c r="Z1847" i="2"/>
  <c r="W630" i="7"/>
  <c r="AA1847" i="2"/>
  <c r="X630" i="7"/>
  <c r="AB1847" i="2"/>
  <c r="Z630" i="7"/>
  <c r="AD1847" i="2"/>
  <c r="AB630" i="7"/>
  <c r="AF1847" i="2"/>
  <c r="AC630" i="7"/>
  <c r="AG1847" i="2"/>
  <c r="AD630" i="7"/>
  <c r="AH1847" i="2"/>
  <c r="AF630" i="7"/>
  <c r="AJ1847" i="2"/>
  <c r="AG630" i="7"/>
  <c r="AH630" i="7"/>
  <c r="AI630" i="7"/>
  <c r="AM1847" i="2"/>
  <c r="AL630" i="7"/>
  <c r="AM630" i="7"/>
  <c r="N631" i="7"/>
  <c r="Q1848" i="2"/>
  <c r="R631" i="7"/>
  <c r="V1848" i="2"/>
  <c r="Y631" i="7"/>
  <c r="AC1848" i="2"/>
  <c r="AA631" i="7"/>
  <c r="AE1848" i="2"/>
  <c r="AE631" i="7"/>
  <c r="AI1848" i="2"/>
  <c r="R632" i="7"/>
  <c r="V1849" i="2"/>
  <c r="AA632" i="7"/>
  <c r="AE1849" i="2"/>
  <c r="N633" i="7"/>
  <c r="Q1850" i="2"/>
  <c r="R633" i="7"/>
  <c r="V1850" i="2"/>
  <c r="Y633" i="7"/>
  <c r="AC1850" i="2"/>
  <c r="AA633" i="7"/>
  <c r="AE1850" i="2"/>
  <c r="AE633" i="7"/>
  <c r="AI1850" i="2"/>
  <c r="AK633" i="7"/>
  <c r="R634" i="7"/>
  <c r="V1851" i="2"/>
  <c r="AA634" i="7"/>
  <c r="AE1851" i="2"/>
  <c r="N635" i="7"/>
  <c r="Q1852" i="2"/>
  <c r="R635" i="7"/>
  <c r="V1852" i="2"/>
  <c r="Y635" i="7"/>
  <c r="AC1852" i="2"/>
  <c r="AA635" i="7"/>
  <c r="AE1852" i="2"/>
  <c r="AE635" i="7"/>
  <c r="AI1852" i="2"/>
  <c r="R636" i="7"/>
  <c r="V1853" i="2"/>
  <c r="AA636" i="7"/>
  <c r="AE1853" i="2"/>
  <c r="N637" i="7"/>
  <c r="Q1854" i="2"/>
  <c r="R637" i="7"/>
  <c r="V1854" i="2"/>
  <c r="Y637" i="7"/>
  <c r="AC1854" i="2"/>
  <c r="AA637" i="7"/>
  <c r="AE1854" i="2"/>
  <c r="AE637" i="7"/>
  <c r="AI1854" i="2"/>
  <c r="R638" i="7"/>
  <c r="V1855" i="2"/>
  <c r="AA638" i="7"/>
  <c r="AE1855" i="2"/>
  <c r="N639" i="7"/>
  <c r="Q1856" i="2"/>
  <c r="R639" i="7"/>
  <c r="V1856" i="2"/>
  <c r="Y639" i="7"/>
  <c r="AC1856" i="2"/>
  <c r="AA639" i="7"/>
  <c r="AE1856" i="2"/>
  <c r="AE639" i="7"/>
  <c r="AI1856" i="2"/>
  <c r="R640" i="7"/>
  <c r="V1857" i="2"/>
  <c r="AA640" i="7"/>
  <c r="AE1857" i="2"/>
  <c r="Q641" i="7"/>
  <c r="U1858" i="2"/>
  <c r="S641" i="7"/>
  <c r="W1858" i="2"/>
  <c r="T641" i="7"/>
  <c r="X1858" i="2"/>
  <c r="V641" i="7"/>
  <c r="Z1858" i="2"/>
  <c r="W641" i="7"/>
  <c r="AA1858" i="2"/>
  <c r="X641" i="7"/>
  <c r="AB1858" i="2"/>
  <c r="Z641" i="7"/>
  <c r="AD1858" i="2"/>
  <c r="AB641" i="7"/>
  <c r="AF1858" i="2"/>
  <c r="AC641" i="7"/>
  <c r="AG1858" i="2"/>
  <c r="AD641" i="7"/>
  <c r="AH1858" i="2"/>
  <c r="AF641" i="7"/>
  <c r="AJ1858" i="2"/>
  <c r="AG641" i="7"/>
  <c r="AH641" i="7"/>
  <c r="AI641" i="7"/>
  <c r="AM1858" i="2"/>
  <c r="AL641" i="7"/>
  <c r="AM641" i="7"/>
  <c r="R642" i="7"/>
  <c r="V1859" i="2"/>
  <c r="AA642" i="7"/>
  <c r="AE1859" i="2"/>
  <c r="N643" i="7"/>
  <c r="Q1860" i="2"/>
  <c r="R643" i="7"/>
  <c r="V1860" i="2"/>
  <c r="Y643" i="7"/>
  <c r="AJ643" i="7"/>
  <c r="AA643" i="7"/>
  <c r="AE1860" i="2"/>
  <c r="AE643" i="7"/>
  <c r="AI1860" i="2"/>
  <c r="R644" i="7"/>
  <c r="V1861" i="2"/>
  <c r="AA644" i="7"/>
  <c r="AE1861" i="2"/>
  <c r="N645" i="7"/>
  <c r="Q1862" i="2"/>
  <c r="R645" i="7"/>
  <c r="V1862" i="2"/>
  <c r="Y645" i="7"/>
  <c r="AC1862" i="2"/>
  <c r="AA645" i="7"/>
  <c r="AE1862" i="2"/>
  <c r="AE645" i="7"/>
  <c r="AI1862" i="2"/>
  <c r="R646" i="7"/>
  <c r="V1863" i="2"/>
  <c r="AA646" i="7"/>
  <c r="AE1863" i="2"/>
  <c r="N647" i="7"/>
  <c r="Q1864" i="2"/>
  <c r="R647" i="7"/>
  <c r="V1864" i="2"/>
  <c r="Y647" i="7"/>
  <c r="AA647" i="7"/>
  <c r="AE1864" i="2"/>
  <c r="AE647" i="7"/>
  <c r="AI1864" i="2"/>
  <c r="R648" i="7"/>
  <c r="V1865" i="2"/>
  <c r="AA648" i="7"/>
  <c r="AE1865" i="2"/>
  <c r="N649" i="7"/>
  <c r="Q1866" i="2"/>
  <c r="R649" i="7"/>
  <c r="V1866" i="2"/>
  <c r="Y649" i="7"/>
  <c r="AC1866" i="2"/>
  <c r="AA649" i="7"/>
  <c r="AE1866" i="2"/>
  <c r="AE649" i="7"/>
  <c r="AI1866" i="2"/>
  <c r="AK649" i="7"/>
  <c r="N652" i="7"/>
  <c r="O652" i="7"/>
  <c r="P652" i="7"/>
  <c r="Z652" i="7"/>
  <c r="Z659" i="7"/>
  <c r="Z688" i="7"/>
  <c r="Z696" i="7"/>
  <c r="Z705" i="7"/>
  <c r="AE652" i="7"/>
  <c r="AE659" i="7"/>
  <c r="AE688" i="7"/>
  <c r="AE696" i="7"/>
  <c r="AE705" i="7"/>
  <c r="R653" i="7"/>
  <c r="V1867" i="2"/>
  <c r="AA653" i="7"/>
  <c r="AE1867" i="2"/>
  <c r="U656" i="7"/>
  <c r="Y1868" i="2"/>
  <c r="V656" i="7"/>
  <c r="Z1868" i="2"/>
  <c r="Z656" i="7"/>
  <c r="AD1868" i="2"/>
  <c r="N659" i="7"/>
  <c r="O659" i="7"/>
  <c r="P659" i="7"/>
  <c r="Q660" i="7"/>
  <c r="U1869" i="2"/>
  <c r="S660" i="7"/>
  <c r="W1869" i="2"/>
  <c r="V660" i="7"/>
  <c r="Z1869" i="2"/>
  <c r="X660" i="7"/>
  <c r="AB1869" i="2"/>
  <c r="Z660" i="7"/>
  <c r="AD1869" i="2"/>
  <c r="AB660" i="7"/>
  <c r="AF1869" i="2"/>
  <c r="AD660" i="7"/>
  <c r="AH1869" i="2"/>
  <c r="AF660" i="7"/>
  <c r="AJ1869" i="2"/>
  <c r="AH660" i="7"/>
  <c r="AL660" i="7"/>
  <c r="AK656" i="7"/>
  <c r="Q661" i="7"/>
  <c r="U1870" i="2"/>
  <c r="S661" i="7"/>
  <c r="W1870" i="2"/>
  <c r="T661" i="7"/>
  <c r="X1870" i="2"/>
  <c r="V661" i="7"/>
  <c r="Z1870" i="2"/>
  <c r="W661" i="7"/>
  <c r="AA1870" i="2"/>
  <c r="X661" i="7"/>
  <c r="AB1870" i="2"/>
  <c r="Z661" i="7"/>
  <c r="AD1870" i="2"/>
  <c r="AA661" i="7"/>
  <c r="AE1870" i="2"/>
  <c r="AB661" i="7"/>
  <c r="AF1870" i="2"/>
  <c r="AC661" i="7"/>
  <c r="AG1870" i="2"/>
  <c r="AD661" i="7"/>
  <c r="AH1870" i="2"/>
  <c r="AE661" i="7"/>
  <c r="AI1870" i="2"/>
  <c r="AF661" i="7"/>
  <c r="AJ1870" i="2"/>
  <c r="AG661" i="7"/>
  <c r="AH661" i="7"/>
  <c r="AI661" i="7"/>
  <c r="AM1870" i="2"/>
  <c r="AL661" i="7"/>
  <c r="AM661" i="7"/>
  <c r="AM660" i="7"/>
  <c r="AL656" i="7"/>
  <c r="R662" i="7"/>
  <c r="V1871" i="2"/>
  <c r="AE662" i="7"/>
  <c r="AI1871" i="2"/>
  <c r="R663" i="7"/>
  <c r="V1872" i="2"/>
  <c r="AA663" i="7"/>
  <c r="AE1872" i="2"/>
  <c r="Q664" i="7"/>
  <c r="U1873" i="2"/>
  <c r="S664" i="7"/>
  <c r="W1873" i="2"/>
  <c r="T664" i="7"/>
  <c r="X1873" i="2"/>
  <c r="V664" i="7"/>
  <c r="Z1873" i="2"/>
  <c r="W664" i="7"/>
  <c r="AA1873" i="2"/>
  <c r="X664" i="7"/>
  <c r="AB1873" i="2"/>
  <c r="Z664" i="7"/>
  <c r="AD1873" i="2"/>
  <c r="AB664" i="7"/>
  <c r="AF1873" i="2"/>
  <c r="AC664" i="7"/>
  <c r="AG1873" i="2"/>
  <c r="AD664" i="7"/>
  <c r="AH1873" i="2"/>
  <c r="AF664" i="7"/>
  <c r="AJ1873" i="2"/>
  <c r="AG664" i="7"/>
  <c r="AH664" i="7"/>
  <c r="AI664" i="7"/>
  <c r="AM1873" i="2"/>
  <c r="AL664" i="7"/>
  <c r="AM664" i="7"/>
  <c r="R665" i="7"/>
  <c r="V1874" i="2"/>
  <c r="AE665" i="7"/>
  <c r="AI1874" i="2"/>
  <c r="R666" i="7"/>
  <c r="V1875" i="2"/>
  <c r="AA666" i="7"/>
  <c r="AE1875" i="2"/>
  <c r="Q667" i="7"/>
  <c r="U1876" i="2"/>
  <c r="S667" i="7"/>
  <c r="W1876" i="2"/>
  <c r="T667" i="7"/>
  <c r="X1876" i="2"/>
  <c r="V667" i="7"/>
  <c r="Z1876" i="2"/>
  <c r="W667" i="7"/>
  <c r="AA1876" i="2"/>
  <c r="X667" i="7"/>
  <c r="AB1876" i="2"/>
  <c r="Z667" i="7"/>
  <c r="AD1876" i="2"/>
  <c r="AA667" i="7"/>
  <c r="AE1876" i="2"/>
  <c r="AB667" i="7"/>
  <c r="AF1876" i="2"/>
  <c r="AC667" i="7"/>
  <c r="AG1876" i="2"/>
  <c r="AD667" i="7"/>
  <c r="AH1876" i="2"/>
  <c r="AF667" i="7"/>
  <c r="AJ1876" i="2"/>
  <c r="AG667" i="7"/>
  <c r="AH667" i="7"/>
  <c r="AI667" i="7"/>
  <c r="AM1876" i="2"/>
  <c r="AL667" i="7"/>
  <c r="AM667" i="7"/>
  <c r="R668" i="7"/>
  <c r="V1877" i="2"/>
  <c r="AE668" i="7"/>
  <c r="AI1877" i="2"/>
  <c r="R669" i="7"/>
  <c r="V1878" i="2"/>
  <c r="AA669" i="7"/>
  <c r="AE1878" i="2"/>
  <c r="AA670" i="7"/>
  <c r="AE1879" i="2"/>
  <c r="AE670" i="7"/>
  <c r="AI1879" i="2"/>
  <c r="R671" i="7"/>
  <c r="V1880" i="2"/>
  <c r="AA671" i="7"/>
  <c r="AE1880" i="2"/>
  <c r="N672" i="7"/>
  <c r="Q1881" i="2"/>
  <c r="R672" i="7"/>
  <c r="V1881" i="2"/>
  <c r="Y672" i="7"/>
  <c r="AC1881" i="2"/>
  <c r="AA672" i="7"/>
  <c r="AE1881" i="2"/>
  <c r="AE672" i="7"/>
  <c r="AI1881" i="2"/>
  <c r="AK672" i="7"/>
  <c r="R673" i="7"/>
  <c r="V1882" i="2"/>
  <c r="AA673" i="7"/>
  <c r="AE1882" i="2"/>
  <c r="N674" i="7"/>
  <c r="Q1883" i="2"/>
  <c r="R674" i="7"/>
  <c r="V1883" i="2"/>
  <c r="Y674" i="7"/>
  <c r="AC1883" i="2"/>
  <c r="AA674" i="7"/>
  <c r="AE1883" i="2"/>
  <c r="AE674" i="7"/>
  <c r="AI1883" i="2"/>
  <c r="R675" i="7"/>
  <c r="V1884" i="2"/>
  <c r="AA675" i="7"/>
  <c r="AE1884" i="2"/>
  <c r="N676" i="7"/>
  <c r="Q1885" i="2"/>
  <c r="R676" i="7"/>
  <c r="V1885" i="2"/>
  <c r="Y676" i="7"/>
  <c r="AC1885" i="2"/>
  <c r="AA676" i="7"/>
  <c r="AE1885" i="2"/>
  <c r="AE676" i="7"/>
  <c r="AI1885" i="2"/>
  <c r="R677" i="7"/>
  <c r="AA677" i="7"/>
  <c r="AE1886" i="2"/>
  <c r="N678" i="7"/>
  <c r="Q1887" i="2"/>
  <c r="R678" i="7"/>
  <c r="V1887" i="2"/>
  <c r="Y678" i="7"/>
  <c r="AC1887" i="2"/>
  <c r="AA678" i="7"/>
  <c r="AE1887" i="2"/>
  <c r="AE678" i="7"/>
  <c r="AI1887" i="2"/>
  <c r="R679" i="7"/>
  <c r="V1888" i="2"/>
  <c r="AA679" i="7"/>
  <c r="AE1888" i="2"/>
  <c r="N680" i="7"/>
  <c r="Q1889" i="2"/>
  <c r="R680" i="7"/>
  <c r="V1889" i="2"/>
  <c r="Y680" i="7"/>
  <c r="AC1889" i="2"/>
  <c r="AA680" i="7"/>
  <c r="AE1889" i="2"/>
  <c r="AE680" i="7"/>
  <c r="AI1889" i="2"/>
  <c r="AK680" i="7"/>
  <c r="N684" i="7"/>
  <c r="O684" i="7"/>
  <c r="P684" i="7"/>
  <c r="T685" i="7"/>
  <c r="X1890" i="2"/>
  <c r="U685" i="7"/>
  <c r="Y1890" i="2"/>
  <c r="V685" i="7"/>
  <c r="Z1890" i="2"/>
  <c r="Z685" i="7"/>
  <c r="AD1890" i="2"/>
  <c r="AB685" i="7"/>
  <c r="AF1890" i="2"/>
  <c r="AF685" i="7"/>
  <c r="AJ1890" i="2"/>
  <c r="AH685" i="7"/>
  <c r="AL685" i="7"/>
  <c r="N688" i="7"/>
  <c r="O688" i="7"/>
  <c r="P688" i="7"/>
  <c r="Q689" i="7"/>
  <c r="U1891" i="2"/>
  <c r="S689" i="7"/>
  <c r="W1891" i="2"/>
  <c r="T689" i="7"/>
  <c r="X1891" i="2"/>
  <c r="V689" i="7"/>
  <c r="Z1891" i="2"/>
  <c r="W689" i="7"/>
  <c r="AA1891" i="2"/>
  <c r="X689" i="7"/>
  <c r="Z689" i="7"/>
  <c r="AD1891" i="2"/>
  <c r="AB689" i="7"/>
  <c r="AF1891" i="2"/>
  <c r="AC689" i="7"/>
  <c r="AG1891" i="2"/>
  <c r="AD689" i="7"/>
  <c r="AH1891" i="2"/>
  <c r="AF689" i="7"/>
  <c r="AG689" i="7"/>
  <c r="AH689" i="7"/>
  <c r="AI689" i="7"/>
  <c r="AM1891" i="2"/>
  <c r="AL689" i="7"/>
  <c r="AK685" i="7"/>
  <c r="AM689" i="7"/>
  <c r="N690" i="7"/>
  <c r="R690" i="7"/>
  <c r="V1892" i="2"/>
  <c r="Y690" i="7"/>
  <c r="AC1892" i="2"/>
  <c r="AA690" i="7"/>
  <c r="AE1892" i="2"/>
  <c r="AE690" i="7"/>
  <c r="AI1892" i="2"/>
  <c r="AK690" i="7"/>
  <c r="R691" i="7"/>
  <c r="V1893" i="2"/>
  <c r="AA691" i="7"/>
  <c r="AE1893" i="2"/>
  <c r="N692" i="7"/>
  <c r="Q1894" i="2"/>
  <c r="R692" i="7"/>
  <c r="V1894" i="2"/>
  <c r="Y692" i="7"/>
  <c r="AC1894" i="2"/>
  <c r="AA692" i="7"/>
  <c r="AE1894" i="2"/>
  <c r="AE692" i="7"/>
  <c r="R693" i="7"/>
  <c r="V1895" i="2"/>
  <c r="AA693" i="7"/>
  <c r="N696" i="7"/>
  <c r="O696" i="7"/>
  <c r="P696" i="7"/>
  <c r="N697" i="7"/>
  <c r="Q1896" i="2"/>
  <c r="R697" i="7"/>
  <c r="V1896" i="2"/>
  <c r="Y697" i="7"/>
  <c r="AC1896" i="2"/>
  <c r="AA697" i="7"/>
  <c r="AE1896" i="2"/>
  <c r="AE697" i="7"/>
  <c r="AI1896" i="2"/>
  <c r="N701" i="7"/>
  <c r="O701" i="7"/>
  <c r="P701" i="7"/>
  <c r="U702" i="7"/>
  <c r="Y1897" i="2"/>
  <c r="AM702" i="7"/>
  <c r="N705" i="7"/>
  <c r="O705" i="7"/>
  <c r="P705" i="7"/>
  <c r="R706" i="7"/>
  <c r="V1898" i="2"/>
  <c r="AA706" i="7"/>
  <c r="AE1898" i="2"/>
  <c r="R707" i="7"/>
  <c r="V1899" i="2"/>
  <c r="AA707" i="7"/>
  <c r="AE1899" i="2"/>
  <c r="N708" i="7"/>
  <c r="Q1900" i="2"/>
  <c r="R708" i="7"/>
  <c r="V1900" i="2"/>
  <c r="Y708" i="7"/>
  <c r="AC1900" i="2"/>
  <c r="AA708" i="7"/>
  <c r="AE1900" i="2"/>
  <c r="AE708" i="7"/>
  <c r="R709" i="7"/>
  <c r="V1901" i="2"/>
  <c r="AA709" i="7"/>
  <c r="N710" i="7"/>
  <c r="Q1902" i="2"/>
  <c r="R710" i="7"/>
  <c r="V1902" i="2"/>
  <c r="Y710" i="7"/>
  <c r="AA710" i="7"/>
  <c r="AE1902" i="2"/>
  <c r="AE710" i="7"/>
  <c r="AI1902" i="2"/>
  <c r="R711" i="7"/>
  <c r="AA711" i="7"/>
  <c r="AE1903" i="2"/>
  <c r="AG712" i="7"/>
  <c r="Q713" i="7"/>
  <c r="U1905" i="2"/>
  <c r="S713" i="7"/>
  <c r="W1905" i="2"/>
  <c r="T713" i="7"/>
  <c r="X1905" i="2"/>
  <c r="V713" i="7"/>
  <c r="Z1905" i="2"/>
  <c r="W713" i="7"/>
  <c r="AA1905" i="2"/>
  <c r="X713" i="7"/>
  <c r="Z713" i="7"/>
  <c r="AD1905" i="2"/>
  <c r="AB713" i="7"/>
  <c r="AF1905" i="2"/>
  <c r="AC713" i="7"/>
  <c r="AG1905" i="2"/>
  <c r="AD713" i="7"/>
  <c r="AH1905" i="2"/>
  <c r="AF713" i="7"/>
  <c r="AG713" i="7"/>
  <c r="AH713" i="7"/>
  <c r="AI713" i="7"/>
  <c r="AM1905" i="2"/>
  <c r="AL713" i="7"/>
  <c r="AL712" i="7"/>
  <c r="AK702" i="7"/>
  <c r="AM713" i="7"/>
  <c r="N714" i="7"/>
  <c r="R714" i="7"/>
  <c r="V1906" i="2"/>
  <c r="Y714" i="7"/>
  <c r="AC1906" i="2"/>
  <c r="AA714" i="7"/>
  <c r="AE1906" i="2"/>
  <c r="AE714" i="7"/>
  <c r="AI1906" i="2"/>
  <c r="AK714" i="7"/>
  <c r="R715" i="7"/>
  <c r="V1907" i="2"/>
  <c r="AA715" i="7"/>
  <c r="AE1907" i="2"/>
  <c r="Q716" i="7"/>
  <c r="U1908" i="2"/>
  <c r="S716" i="7"/>
  <c r="W1908" i="2"/>
  <c r="T716" i="7"/>
  <c r="V716" i="7"/>
  <c r="Z1908" i="2"/>
  <c r="W716" i="7"/>
  <c r="AA1908" i="2"/>
  <c r="X716" i="7"/>
  <c r="AB1908" i="2"/>
  <c r="Z716" i="7"/>
  <c r="AD1908" i="2"/>
  <c r="AB716" i="7"/>
  <c r="AF1908" i="2"/>
  <c r="AC716" i="7"/>
  <c r="AD716" i="7"/>
  <c r="AH1908" i="2"/>
  <c r="AF716" i="7"/>
  <c r="AJ1908" i="2"/>
  <c r="AG716" i="7"/>
  <c r="AH716" i="7"/>
  <c r="AI716" i="7"/>
  <c r="AM1908" i="2"/>
  <c r="AL716" i="7"/>
  <c r="AM716" i="7"/>
  <c r="AM712" i="7"/>
  <c r="AL702" i="7"/>
  <c r="R717" i="7"/>
  <c r="V1909" i="2"/>
  <c r="AA717" i="7"/>
  <c r="N718" i="7"/>
  <c r="Q1910" i="2"/>
  <c r="R718" i="7"/>
  <c r="V1910" i="2"/>
  <c r="Y718" i="7"/>
  <c r="AA718" i="7"/>
  <c r="AE1910" i="2"/>
  <c r="AE718" i="7"/>
  <c r="AI1910" i="2"/>
  <c r="R719" i="7"/>
  <c r="AA719" i="7"/>
  <c r="AE1911" i="2"/>
  <c r="N720" i="7"/>
  <c r="Q1912" i="2"/>
  <c r="R720" i="7"/>
  <c r="V1912" i="2"/>
  <c r="Y720" i="7"/>
  <c r="AC1912" i="2"/>
  <c r="AA720" i="7"/>
  <c r="AE1912" i="2"/>
  <c r="AE720" i="7"/>
  <c r="AI1912" i="2"/>
  <c r="R721" i="7"/>
  <c r="V1913" i="2"/>
  <c r="AA721" i="7"/>
  <c r="AE1913" i="2"/>
  <c r="T722" i="7"/>
  <c r="X1914" i="2"/>
  <c r="V722" i="7"/>
  <c r="Z1914" i="2"/>
  <c r="W722" i="7"/>
  <c r="AA1914" i="2"/>
  <c r="X722" i="7"/>
  <c r="AB1914" i="2"/>
  <c r="Z722" i="7"/>
  <c r="AD1914" i="2"/>
  <c r="AA722" i="7"/>
  <c r="AE1914" i="2"/>
  <c r="AB722" i="7"/>
  <c r="AF1914" i="2"/>
  <c r="AC722" i="7"/>
  <c r="AG1914" i="2"/>
  <c r="AD722" i="7"/>
  <c r="AH1914" i="2"/>
  <c r="AF722" i="7"/>
  <c r="AJ1914" i="2"/>
  <c r="AG722" i="7"/>
  <c r="AH722" i="7"/>
  <c r="AI722" i="7"/>
  <c r="AM1914" i="2"/>
  <c r="AL722" i="7"/>
  <c r="AM722" i="7"/>
  <c r="R723" i="7"/>
  <c r="V1915" i="2"/>
  <c r="AA723" i="7"/>
  <c r="AE1915" i="2"/>
  <c r="N724" i="7"/>
  <c r="Q1916" i="2"/>
  <c r="R724" i="7"/>
  <c r="V1916" i="2"/>
  <c r="Y724" i="7"/>
  <c r="AC1916" i="2"/>
  <c r="AA724" i="7"/>
  <c r="AE1916" i="2"/>
  <c r="AE724" i="7"/>
  <c r="AI1916" i="2"/>
  <c r="AK724" i="7"/>
  <c r="Q727" i="7"/>
  <c r="U1917" i="2"/>
  <c r="S727" i="7"/>
  <c r="W1917" i="2"/>
  <c r="T727" i="7"/>
  <c r="X1917" i="2"/>
  <c r="W727" i="7"/>
  <c r="AA1917" i="2"/>
  <c r="Z727" i="7"/>
  <c r="AD1917" i="2"/>
  <c r="N729" i="7"/>
  <c r="O729" i="7"/>
  <c r="P729" i="7"/>
  <c r="R729" i="7"/>
  <c r="R730" i="7"/>
  <c r="V1918" i="2"/>
  <c r="V730" i="7"/>
  <c r="X730" i="7"/>
  <c r="AB1918" i="2"/>
  <c r="Y730" i="7"/>
  <c r="AC1918" i="2"/>
  <c r="Z730" i="7"/>
  <c r="AD1918" i="2"/>
  <c r="AA730" i="7"/>
  <c r="AE1918" i="2"/>
  <c r="AB730" i="7"/>
  <c r="AF1918" i="2"/>
  <c r="R731" i="7"/>
  <c r="V1919" i="2"/>
  <c r="X731" i="7"/>
  <c r="AB1919" i="2"/>
  <c r="Y731" i="7"/>
  <c r="AC1919" i="2"/>
  <c r="Z731" i="7"/>
  <c r="AD1919" i="2"/>
  <c r="AA731" i="7"/>
  <c r="AE1919" i="2"/>
  <c r="AB731" i="7"/>
  <c r="N732" i="7"/>
  <c r="Q1920" i="2"/>
  <c r="R732" i="7"/>
  <c r="V1920" i="2"/>
  <c r="V732" i="7"/>
  <c r="Z1920" i="2"/>
  <c r="X732" i="7"/>
  <c r="AB1920" i="2"/>
  <c r="Y732" i="7"/>
  <c r="Z732" i="7"/>
  <c r="AD1920" i="2"/>
  <c r="AA732" i="7"/>
  <c r="AE1920" i="2"/>
  <c r="AB732" i="7"/>
  <c r="AF1920" i="2"/>
  <c r="R733" i="7"/>
  <c r="Q736" i="7"/>
  <c r="U1922" i="2"/>
  <c r="S736" i="7"/>
  <c r="W1922" i="2"/>
  <c r="T736" i="7"/>
  <c r="X1922" i="2"/>
  <c r="U736" i="7"/>
  <c r="Y1922" i="2"/>
  <c r="N738" i="7"/>
  <c r="O738" i="7"/>
  <c r="P738" i="7"/>
  <c r="R739" i="7"/>
  <c r="V1923" i="2"/>
  <c r="N740" i="7"/>
  <c r="Q1924" i="2"/>
  <c r="R740" i="7"/>
  <c r="V1924" i="2"/>
  <c r="V740" i="7"/>
  <c r="R741" i="7"/>
  <c r="V1925" i="2"/>
  <c r="N742" i="7"/>
  <c r="Q1926" i="2"/>
  <c r="R742" i="7"/>
  <c r="V1926" i="2"/>
  <c r="V742" i="7"/>
  <c r="Z1926" i="2"/>
  <c r="S748" i="7"/>
  <c r="W1928" i="2"/>
  <c r="N750" i="7"/>
  <c r="R750" i="7"/>
  <c r="O750" i="7"/>
  <c r="P750" i="7"/>
  <c r="T750" i="7"/>
  <c r="H440" i="8"/>
  <c r="H470" i="8"/>
  <c r="H730" i="8"/>
  <c r="H760" i="8"/>
  <c r="U750" i="7"/>
  <c r="I440" i="8"/>
  <c r="I470" i="8"/>
  <c r="I730" i="8"/>
  <c r="I760" i="8"/>
  <c r="N751" i="7"/>
  <c r="Q1929" i="2"/>
  <c r="R751" i="7"/>
  <c r="V1929" i="2"/>
  <c r="T751" i="7"/>
  <c r="U751" i="7"/>
  <c r="Y1929" i="2"/>
  <c r="Q752" i="7"/>
  <c r="U1930" i="2"/>
  <c r="T752" i="7"/>
  <c r="X1930" i="2"/>
  <c r="U752" i="7"/>
  <c r="O753" i="7"/>
  <c r="R1931" i="2"/>
  <c r="R753" i="7"/>
  <c r="V1931" i="2"/>
  <c r="O754" i="7"/>
  <c r="R1932" i="2"/>
  <c r="R754" i="7"/>
  <c r="O755" i="7"/>
  <c r="R1933" i="2"/>
  <c r="R755" i="7"/>
  <c r="V1933" i="2"/>
  <c r="Q758" i="7"/>
  <c r="U1934" i="2"/>
  <c r="S758" i="7"/>
  <c r="W1934" i="2"/>
  <c r="N760" i="7"/>
  <c r="R760" i="7"/>
  <c r="O760" i="7"/>
  <c r="P760" i="7"/>
  <c r="T760" i="7"/>
  <c r="U760" i="7"/>
  <c r="R761" i="7"/>
  <c r="V1935" i="2"/>
  <c r="T761" i="7"/>
  <c r="X1935" i="2"/>
  <c r="U761" i="7"/>
  <c r="O762" i="7"/>
  <c r="R1936" i="2"/>
  <c r="R762" i="7"/>
  <c r="V1936" i="2"/>
  <c r="S766" i="7"/>
  <c r="N768" i="7"/>
  <c r="O768" i="7"/>
  <c r="P768" i="7"/>
  <c r="R769" i="7"/>
  <c r="N770" i="7"/>
  <c r="Q1939" i="2"/>
  <c r="R770" i="7"/>
  <c r="V1939" i="2"/>
  <c r="V770" i="7"/>
  <c r="Z1939" i="2"/>
  <c r="R771" i="7"/>
  <c r="V1940" i="2"/>
  <c r="N772" i="7"/>
  <c r="Q1941" i="2"/>
  <c r="R772" i="7"/>
  <c r="V1941" i="2"/>
  <c r="V772" i="7"/>
  <c r="Q773" i="7"/>
  <c r="U1942" i="2"/>
  <c r="S773" i="7"/>
  <c r="W1942" i="2"/>
  <c r="T773" i="7"/>
  <c r="X1942" i="2"/>
  <c r="U773" i="7"/>
  <c r="Y1942" i="2"/>
  <c r="N775" i="7"/>
  <c r="O775" i="7"/>
  <c r="R1944" i="2"/>
  <c r="V775" i="7"/>
  <c r="Z1944" i="2"/>
  <c r="N776" i="7"/>
  <c r="Q1945" i="2"/>
  <c r="O776" i="7"/>
  <c r="R1945" i="2"/>
  <c r="P776" i="7"/>
  <c r="V776" i="7"/>
  <c r="Z1945" i="2"/>
  <c r="N777" i="7"/>
  <c r="Q1946" i="2"/>
  <c r="R777" i="7"/>
  <c r="V1946" i="2"/>
  <c r="V777" i="7"/>
  <c r="Z1946" i="2"/>
  <c r="N779" i="7"/>
  <c r="Q1948" i="2"/>
  <c r="O779" i="7"/>
  <c r="V779" i="7"/>
  <c r="Z1948" i="2"/>
  <c r="N780" i="7"/>
  <c r="Q1949" i="2"/>
  <c r="O780" i="7"/>
  <c r="R1949" i="2"/>
  <c r="V780" i="7"/>
  <c r="Z1949" i="2"/>
  <c r="R781" i="7"/>
  <c r="N782" i="7"/>
  <c r="Q1951" i="2"/>
  <c r="R782" i="7"/>
  <c r="V1951" i="2"/>
  <c r="V782" i="7"/>
  <c r="N784" i="7"/>
  <c r="Q1953" i="2"/>
  <c r="O784" i="7"/>
  <c r="V784" i="7"/>
  <c r="Z1953" i="2"/>
  <c r="N785" i="7"/>
  <c r="Q1954" i="2"/>
  <c r="V785" i="7"/>
  <c r="N786" i="7"/>
  <c r="Q1955" i="2"/>
  <c r="V786" i="7"/>
  <c r="Z1955" i="2"/>
  <c r="R787" i="7"/>
  <c r="Q792" i="7"/>
  <c r="U1958" i="2"/>
  <c r="U792" i="7"/>
  <c r="Y1958" i="2"/>
  <c r="N794" i="7"/>
  <c r="O794" i="7"/>
  <c r="P794" i="7"/>
  <c r="O795" i="7"/>
  <c r="R795" i="7"/>
  <c r="Y795" i="7"/>
  <c r="AC1959" i="2"/>
  <c r="Z795" i="7"/>
  <c r="Q796" i="7"/>
  <c r="U1960" i="2"/>
  <c r="S796" i="7"/>
  <c r="S792" i="7"/>
  <c r="V796" i="7"/>
  <c r="X796" i="7"/>
  <c r="AB1960" i="2"/>
  <c r="AB796" i="7"/>
  <c r="AF1960" i="2"/>
  <c r="N797" i="7"/>
  <c r="R797" i="7"/>
  <c r="V1961" i="2"/>
  <c r="Y797" i="7"/>
  <c r="AC1961" i="2"/>
  <c r="Q798" i="7"/>
  <c r="U1962" i="2"/>
  <c r="S798" i="7"/>
  <c r="W1962" i="2"/>
  <c r="T798" i="7"/>
  <c r="V798" i="7"/>
  <c r="Z1962" i="2"/>
  <c r="W798" i="7"/>
  <c r="X798" i="7"/>
  <c r="AB1962" i="2"/>
  <c r="AA798" i="7"/>
  <c r="AE1962" i="2"/>
  <c r="AB798" i="7"/>
  <c r="AF1962" i="2"/>
  <c r="AC798" i="7"/>
  <c r="R799" i="7"/>
  <c r="Y799" i="7"/>
  <c r="AC1963" i="2"/>
  <c r="R800" i="7"/>
  <c r="Z800" i="7"/>
  <c r="Y800" i="7"/>
  <c r="AC1964" i="2"/>
  <c r="R801" i="7"/>
  <c r="Z801" i="7"/>
  <c r="Y801" i="7"/>
  <c r="AC1965" i="2"/>
  <c r="R802" i="7"/>
  <c r="V1966" i="2"/>
  <c r="Y802" i="7"/>
  <c r="AC1966" i="2"/>
  <c r="Z802" i="7"/>
  <c r="O802" i="7"/>
  <c r="R803" i="7"/>
  <c r="Y803" i="7"/>
  <c r="AC1967" i="2"/>
  <c r="R804" i="7"/>
  <c r="Y804" i="7"/>
  <c r="AC1968" i="2"/>
  <c r="Z804" i="7"/>
  <c r="O804" i="7"/>
  <c r="R805" i="7"/>
  <c r="Z805" i="7"/>
  <c r="Y805" i="7"/>
  <c r="AC1969" i="2"/>
  <c r="Q806" i="7"/>
  <c r="U1970" i="2"/>
  <c r="S806" i="7"/>
  <c r="T806" i="7"/>
  <c r="X1970" i="2"/>
  <c r="V806" i="7"/>
  <c r="Z1970" i="2"/>
  <c r="W806" i="7"/>
  <c r="AA1970" i="2"/>
  <c r="X806" i="7"/>
  <c r="AB1970" i="2"/>
  <c r="AA806" i="7"/>
  <c r="AE1970" i="2"/>
  <c r="AB806" i="7"/>
  <c r="AF1970" i="2"/>
  <c r="AC806" i="7"/>
  <c r="AG1970" i="2"/>
  <c r="N807" i="7"/>
  <c r="R807" i="7"/>
  <c r="V1971" i="2"/>
  <c r="Y807" i="7"/>
  <c r="AC1971" i="2"/>
  <c r="N808" i="7"/>
  <c r="Q1972" i="2"/>
  <c r="R808" i="7"/>
  <c r="V1972" i="2"/>
  <c r="Y808" i="7"/>
  <c r="AC1972" i="2"/>
  <c r="N809" i="7"/>
  <c r="Q1973" i="2"/>
  <c r="R809" i="7"/>
  <c r="V1973" i="2"/>
  <c r="Y809" i="7"/>
  <c r="N810" i="7"/>
  <c r="Q1974" i="2"/>
  <c r="R810" i="7"/>
  <c r="V1974" i="2"/>
  <c r="Y810" i="7"/>
  <c r="AC1974" i="2"/>
  <c r="N811" i="7"/>
  <c r="Q1975" i="2"/>
  <c r="R811" i="7"/>
  <c r="V1975" i="2"/>
  <c r="Y811" i="7"/>
  <c r="Q812" i="7"/>
  <c r="U1976" i="2"/>
  <c r="S812" i="7"/>
  <c r="W1976" i="2"/>
  <c r="T812" i="7"/>
  <c r="X1976" i="2"/>
  <c r="V812" i="7"/>
  <c r="Z1976" i="2"/>
  <c r="W812" i="7"/>
  <c r="AA1976" i="2"/>
  <c r="X812" i="7"/>
  <c r="AB1976" i="2"/>
  <c r="AA812" i="7"/>
  <c r="AE1976" i="2"/>
  <c r="AB812" i="7"/>
  <c r="AF1976" i="2"/>
  <c r="AC812" i="7"/>
  <c r="AG1976" i="2"/>
  <c r="R813" i="7"/>
  <c r="Z813" i="7"/>
  <c r="Y813" i="7"/>
  <c r="AC1977" i="2"/>
  <c r="R814" i="7"/>
  <c r="Z814" i="7"/>
  <c r="Y814" i="7"/>
  <c r="AC1978" i="2"/>
  <c r="R815" i="7"/>
  <c r="Z815" i="7"/>
  <c r="Y815" i="7"/>
  <c r="AC1979" i="2"/>
  <c r="R816" i="7"/>
  <c r="Z816" i="7"/>
  <c r="Y816" i="7"/>
  <c r="AC1980" i="2"/>
  <c r="O817" i="7"/>
  <c r="R817" i="7"/>
  <c r="Y817" i="7"/>
  <c r="AC1981" i="2"/>
  <c r="Q823" i="7"/>
  <c r="S823" i="7"/>
  <c r="T823" i="7"/>
  <c r="X1983" i="2"/>
  <c r="U823" i="7"/>
  <c r="W823" i="7"/>
  <c r="N825" i="7"/>
  <c r="O825" i="7"/>
  <c r="P825" i="7"/>
  <c r="R826" i="7"/>
  <c r="R827" i="7"/>
  <c r="Q829" i="7"/>
  <c r="U1986" i="2"/>
  <c r="S829" i="7"/>
  <c r="W1986" i="2"/>
  <c r="T829" i="7"/>
  <c r="X1986" i="2"/>
  <c r="U829" i="7"/>
  <c r="Y1986" i="2"/>
  <c r="W829" i="7"/>
  <c r="AA1986" i="2"/>
  <c r="N831" i="7"/>
  <c r="O831" i="7"/>
  <c r="P831" i="7"/>
  <c r="R832" i="7"/>
  <c r="R833" i="7"/>
  <c r="R834" i="7"/>
  <c r="R835" i="7"/>
  <c r="R836" i="7"/>
  <c r="R837" i="7"/>
  <c r="R838" i="7"/>
  <c r="Q840" i="7"/>
  <c r="U1994" i="2"/>
  <c r="R840" i="7"/>
  <c r="V1994" i="2"/>
  <c r="S840" i="7"/>
  <c r="W1994" i="2"/>
  <c r="T840" i="7"/>
  <c r="X1994" i="2"/>
  <c r="U840" i="7"/>
  <c r="Y1994" i="2"/>
  <c r="V840" i="7"/>
  <c r="Z1994" i="2"/>
  <c r="N842" i="7"/>
  <c r="O842" i="7"/>
  <c r="N843" i="7"/>
  <c r="W843" i="7"/>
  <c r="AA1995" i="2"/>
  <c r="X843" i="7"/>
  <c r="N844" i="7"/>
  <c r="Q1996" i="2"/>
  <c r="O844" i="7"/>
  <c r="W844" i="7"/>
  <c r="AA1996" i="2"/>
  <c r="X844" i="7"/>
  <c r="AB1996" i="2"/>
  <c r="N845" i="7"/>
  <c r="Q1997" i="2"/>
  <c r="W845" i="7"/>
  <c r="AA1997" i="2"/>
  <c r="X845" i="7"/>
  <c r="N846" i="7"/>
  <c r="Q1998" i="2"/>
  <c r="O846" i="7"/>
  <c r="W846" i="7"/>
  <c r="AA1998" i="2"/>
  <c r="X846" i="7"/>
  <c r="AB1998" i="2"/>
  <c r="N847" i="7"/>
  <c r="Q1999" i="2"/>
  <c r="W847" i="7"/>
  <c r="AA1999" i="2"/>
  <c r="X847" i="7"/>
  <c r="N848" i="7"/>
  <c r="Q2000" i="2"/>
  <c r="O848" i="7"/>
  <c r="W848" i="7"/>
  <c r="AA2000" i="2"/>
  <c r="X848" i="7"/>
  <c r="AB2000" i="2"/>
  <c r="N849" i="7"/>
  <c r="Q2001" i="2"/>
  <c r="W849" i="7"/>
  <c r="AA2001" i="2"/>
  <c r="X849" i="7"/>
  <c r="N850" i="7"/>
  <c r="Q2002" i="2"/>
  <c r="O850" i="7"/>
  <c r="W850" i="7"/>
  <c r="AA2002" i="2"/>
  <c r="X850" i="7"/>
  <c r="AB2002" i="2"/>
  <c r="U852" i="7"/>
  <c r="Y2003" i="2"/>
  <c r="N854" i="7"/>
  <c r="O854" i="7"/>
  <c r="P854" i="7"/>
  <c r="N855" i="7"/>
  <c r="Q2004" i="2"/>
  <c r="R855" i="7"/>
  <c r="V2004" i="2"/>
  <c r="X855" i="7"/>
  <c r="Q856" i="7"/>
  <c r="S856" i="7"/>
  <c r="T856" i="7"/>
  <c r="X2005" i="2"/>
  <c r="V856" i="7"/>
  <c r="Z2005" i="2"/>
  <c r="W856" i="7"/>
  <c r="AA2005" i="2"/>
  <c r="R857" i="7"/>
  <c r="N858" i="7"/>
  <c r="Q2007" i="2"/>
  <c r="R858" i="7"/>
  <c r="V2007" i="2"/>
  <c r="X858" i="7"/>
  <c r="R859" i="7"/>
  <c r="N860" i="7"/>
  <c r="Q2009" i="2"/>
  <c r="R860" i="7"/>
  <c r="V2009" i="2"/>
  <c r="X860" i="7"/>
  <c r="R861" i="7"/>
  <c r="Q862" i="7"/>
  <c r="U2011" i="2"/>
  <c r="S862" i="7"/>
  <c r="W2011" i="2"/>
  <c r="T862" i="7"/>
  <c r="X2011" i="2"/>
  <c r="V862" i="7"/>
  <c r="Z2011" i="2"/>
  <c r="W862" i="7"/>
  <c r="N863" i="7"/>
  <c r="Q2012" i="2"/>
  <c r="R863" i="7"/>
  <c r="V2012" i="2"/>
  <c r="X863" i="7"/>
  <c r="R864" i="7"/>
  <c r="R862" i="7"/>
  <c r="V2011" i="2"/>
  <c r="N865" i="7"/>
  <c r="Q2014" i="2"/>
  <c r="R865" i="7"/>
  <c r="V2014" i="2"/>
  <c r="X865" i="7"/>
  <c r="R866" i="7"/>
  <c r="N867" i="7"/>
  <c r="Q2016" i="2"/>
  <c r="R867" i="7"/>
  <c r="V2016" i="2"/>
  <c r="X867" i="7"/>
  <c r="R868" i="7"/>
  <c r="Q871" i="7"/>
  <c r="U2018" i="2"/>
  <c r="U871" i="7"/>
  <c r="Y2018" i="2"/>
  <c r="N873" i="7"/>
  <c r="O873" i="7"/>
  <c r="P873" i="7"/>
  <c r="N874" i="7"/>
  <c r="Q2019" i="2"/>
  <c r="Q874" i="7"/>
  <c r="U2019" i="2"/>
  <c r="R874" i="7"/>
  <c r="S874" i="7"/>
  <c r="W2019" i="2"/>
  <c r="T874" i="7"/>
  <c r="X2019" i="2"/>
  <c r="W874" i="7"/>
  <c r="N875" i="7"/>
  <c r="Q2020" i="2"/>
  <c r="R875" i="7"/>
  <c r="V2020" i="2"/>
  <c r="N876" i="7"/>
  <c r="Q2021" i="2"/>
  <c r="R876" i="7"/>
  <c r="V2021" i="2"/>
  <c r="Q877" i="7"/>
  <c r="U2022" i="2"/>
  <c r="R877" i="7"/>
  <c r="S877" i="7"/>
  <c r="W2022" i="2"/>
  <c r="T877" i="7"/>
  <c r="X2022" i="2"/>
  <c r="W877" i="7"/>
  <c r="AA2022" i="2"/>
  <c r="N878" i="7"/>
  <c r="Q2023" i="2"/>
  <c r="R878" i="7"/>
  <c r="V2023" i="2"/>
  <c r="N879" i="7"/>
  <c r="Q2024" i="2"/>
  <c r="R879" i="7"/>
  <c r="V2024" i="2"/>
  <c r="N880" i="7"/>
  <c r="Q2025" i="2"/>
  <c r="R880" i="7"/>
  <c r="V2025" i="2"/>
  <c r="N881" i="7"/>
  <c r="Q2026" i="2"/>
  <c r="R881" i="7"/>
  <c r="V2026" i="2"/>
  <c r="N882" i="7"/>
  <c r="Q2027" i="2"/>
  <c r="R882" i="7"/>
  <c r="V2027" i="2"/>
  <c r="R883" i="7"/>
  <c r="V2028" i="2"/>
  <c r="R884" i="7"/>
  <c r="R885" i="7"/>
  <c r="R886" i="7"/>
  <c r="Q889" i="7"/>
  <c r="U2032" i="2"/>
  <c r="S889" i="7"/>
  <c r="W2032" i="2"/>
  <c r="U889" i="7"/>
  <c r="Y2032" i="2"/>
  <c r="W889" i="7"/>
  <c r="AA2032" i="2"/>
  <c r="Q891" i="7"/>
  <c r="U2033" i="2"/>
  <c r="R891" i="7"/>
  <c r="S891" i="7"/>
  <c r="W2033" i="2"/>
  <c r="T891" i="7"/>
  <c r="U891" i="7"/>
  <c r="Y2033" i="2"/>
  <c r="W891" i="7"/>
  <c r="AA2033" i="2"/>
  <c r="N893" i="7"/>
  <c r="O893" i="7"/>
  <c r="P893" i="7"/>
  <c r="N894" i="7"/>
  <c r="Q2034" i="2"/>
  <c r="R894" i="7"/>
  <c r="V2034" i="2"/>
  <c r="N895" i="7"/>
  <c r="Q2035" i="2"/>
  <c r="R895" i="7"/>
  <c r="V2035" i="2"/>
  <c r="N896" i="7"/>
  <c r="Q2036" i="2"/>
  <c r="R896" i="7"/>
  <c r="V2036" i="2"/>
  <c r="N899" i="7"/>
  <c r="O899" i="7"/>
  <c r="P899" i="7"/>
  <c r="R900" i="7"/>
  <c r="N902" i="7"/>
  <c r="O902" i="7"/>
  <c r="P902" i="7"/>
  <c r="N903" i="7"/>
  <c r="Q2038" i="2"/>
  <c r="R903" i="7"/>
  <c r="V2038" i="2"/>
  <c r="AC908" i="7"/>
  <c r="AH908" i="7"/>
  <c r="AH915" i="7"/>
  <c r="AH925" i="7"/>
  <c r="N909" i="7"/>
  <c r="O909" i="7"/>
  <c r="P909" i="7"/>
  <c r="N910" i="7"/>
  <c r="Q2040" i="2"/>
  <c r="R910" i="7"/>
  <c r="V2040" i="2"/>
  <c r="Z910" i="7"/>
  <c r="AH910" i="7"/>
  <c r="AL2040" i="2"/>
  <c r="Q913" i="7"/>
  <c r="S913" i="7"/>
  <c r="T913" i="7"/>
  <c r="X2041" i="2"/>
  <c r="U913" i="7"/>
  <c r="V913" i="7"/>
  <c r="Z2041" i="2"/>
  <c r="W913" i="7"/>
  <c r="X913" i="7"/>
  <c r="AB2041" i="2"/>
  <c r="Y913" i="7"/>
  <c r="AA913" i="7"/>
  <c r="AB913" i="7"/>
  <c r="AF2041" i="2"/>
  <c r="AC913" i="7"/>
  <c r="AD913" i="7"/>
  <c r="AH2041" i="2"/>
  <c r="AE913" i="7"/>
  <c r="AF913" i="7"/>
  <c r="AI913" i="7"/>
  <c r="AJ913" i="7"/>
  <c r="AC915" i="7"/>
  <c r="AC925" i="7"/>
  <c r="AC940" i="7"/>
  <c r="AC946" i="7"/>
  <c r="AC988" i="7"/>
  <c r="AC1001" i="7"/>
  <c r="AC1016" i="7"/>
  <c r="AC1020" i="7"/>
  <c r="AC1024" i="7"/>
  <c r="AC1032" i="7"/>
  <c r="N916" i="7"/>
  <c r="O916" i="7"/>
  <c r="P916" i="7"/>
  <c r="R917" i="7"/>
  <c r="N918" i="7"/>
  <c r="Q2043" i="2"/>
  <c r="R918" i="7"/>
  <c r="V2043" i="2"/>
  <c r="Z918" i="7"/>
  <c r="AH918" i="7"/>
  <c r="AL2043" i="2"/>
  <c r="R919" i="7"/>
  <c r="N920" i="7"/>
  <c r="Q2045" i="2"/>
  <c r="R920" i="7"/>
  <c r="V2045" i="2"/>
  <c r="Z920" i="7"/>
  <c r="AH920" i="7"/>
  <c r="AL2045" i="2"/>
  <c r="R921" i="7"/>
  <c r="Q923" i="7"/>
  <c r="U2047" i="2"/>
  <c r="S923" i="7"/>
  <c r="W2047" i="2"/>
  <c r="T923" i="7"/>
  <c r="X2047" i="2"/>
  <c r="V923" i="7"/>
  <c r="Z2047" i="2"/>
  <c r="W923" i="7"/>
  <c r="AA2047" i="2"/>
  <c r="X923" i="7"/>
  <c r="AB2047" i="2"/>
  <c r="Y923" i="7"/>
  <c r="AC2047" i="2"/>
  <c r="AA923" i="7"/>
  <c r="AE2047" i="2"/>
  <c r="AB923" i="7"/>
  <c r="AF2047" i="2"/>
  <c r="AC923" i="7"/>
  <c r="AG2047" i="2"/>
  <c r="AD923" i="7"/>
  <c r="AH2047" i="2"/>
  <c r="AE923" i="7"/>
  <c r="AI2047" i="2"/>
  <c r="AF923" i="7"/>
  <c r="AI923" i="7"/>
  <c r="AM2047" i="2"/>
  <c r="AJ923" i="7"/>
  <c r="N926" i="7"/>
  <c r="O926" i="7"/>
  <c r="P926" i="7"/>
  <c r="R927" i="7"/>
  <c r="N928" i="7"/>
  <c r="Q2049" i="2"/>
  <c r="R928" i="7"/>
  <c r="V2049" i="2"/>
  <c r="Z928" i="7"/>
  <c r="AH928" i="7"/>
  <c r="R929" i="7"/>
  <c r="N930" i="7"/>
  <c r="Q2051" i="2"/>
  <c r="R930" i="7"/>
  <c r="V2051" i="2"/>
  <c r="Z930" i="7"/>
  <c r="AH930" i="7"/>
  <c r="AL2051" i="2"/>
  <c r="R931" i="7"/>
  <c r="N932" i="7"/>
  <c r="Q2053" i="2"/>
  <c r="R932" i="7"/>
  <c r="V2053" i="2"/>
  <c r="Z932" i="7"/>
  <c r="AH932" i="7"/>
  <c r="R933" i="7"/>
  <c r="N934" i="7"/>
  <c r="Q2055" i="2"/>
  <c r="R934" i="7"/>
  <c r="V2055" i="2"/>
  <c r="Z934" i="7"/>
  <c r="AH934" i="7"/>
  <c r="R935" i="7"/>
  <c r="N936" i="7"/>
  <c r="Q2057" i="2"/>
  <c r="R936" i="7"/>
  <c r="V2057" i="2"/>
  <c r="Z936" i="7"/>
  <c r="AH936" i="7"/>
  <c r="AL2057" i="2"/>
  <c r="R937" i="7"/>
  <c r="N938" i="7"/>
  <c r="Q2059" i="2"/>
  <c r="R938" i="7"/>
  <c r="V2059" i="2"/>
  <c r="Z938" i="7"/>
  <c r="AH938" i="7"/>
  <c r="AL2059" i="2"/>
  <c r="AH940" i="7"/>
  <c r="AH946" i="7"/>
  <c r="N941" i="7"/>
  <c r="O941" i="7"/>
  <c r="P941" i="7"/>
  <c r="Q942" i="7"/>
  <c r="U2060" i="2"/>
  <c r="R942" i="7"/>
  <c r="N947" i="7"/>
  <c r="O947" i="7"/>
  <c r="P947" i="7"/>
  <c r="U948" i="7"/>
  <c r="Y2062" i="2"/>
  <c r="Y948" i="7"/>
  <c r="AC2062" i="2"/>
  <c r="Q949" i="7"/>
  <c r="U2063" i="2"/>
  <c r="S949" i="7"/>
  <c r="W2063" i="2"/>
  <c r="T949" i="7"/>
  <c r="U949" i="7"/>
  <c r="Y2063" i="2"/>
  <c r="V949" i="7"/>
  <c r="W949" i="7"/>
  <c r="AA2063" i="2"/>
  <c r="X949" i="7"/>
  <c r="Y949" i="7"/>
  <c r="AC2063" i="2"/>
  <c r="AA949" i="7"/>
  <c r="AE2063" i="2"/>
  <c r="AB949" i="7"/>
  <c r="AC949" i="7"/>
  <c r="AG2063" i="2"/>
  <c r="AD949" i="7"/>
  <c r="AE949" i="7"/>
  <c r="AI2063" i="2"/>
  <c r="AF949" i="7"/>
  <c r="AI949" i="7"/>
  <c r="AM2063" i="2"/>
  <c r="AJ949" i="7"/>
  <c r="R950" i="7"/>
  <c r="N951" i="7"/>
  <c r="Q2065" i="2"/>
  <c r="R951" i="7"/>
  <c r="V2065" i="2"/>
  <c r="Z951" i="7"/>
  <c r="AH951" i="7"/>
  <c r="AL2065" i="2"/>
  <c r="R952" i="7"/>
  <c r="N953" i="7"/>
  <c r="Q2067" i="2"/>
  <c r="R953" i="7"/>
  <c r="V2067" i="2"/>
  <c r="Z953" i="7"/>
  <c r="AH953" i="7"/>
  <c r="AL2067" i="2"/>
  <c r="R954" i="7"/>
  <c r="N956" i="7"/>
  <c r="Q2069" i="2"/>
  <c r="R956" i="7"/>
  <c r="V2069" i="2"/>
  <c r="Z956" i="7"/>
  <c r="AH956" i="7"/>
  <c r="AL2069" i="2"/>
  <c r="R957" i="7"/>
  <c r="Q958" i="7"/>
  <c r="U2071" i="2"/>
  <c r="S958" i="7"/>
  <c r="W2071" i="2"/>
  <c r="T958" i="7"/>
  <c r="X2071" i="2"/>
  <c r="U958" i="7"/>
  <c r="Y2071" i="2"/>
  <c r="V958" i="7"/>
  <c r="Z2071" i="2"/>
  <c r="W958" i="7"/>
  <c r="AA2071" i="2"/>
  <c r="X958" i="7"/>
  <c r="AB2071" i="2"/>
  <c r="Y958" i="7"/>
  <c r="AC2071" i="2"/>
  <c r="AA958" i="7"/>
  <c r="AE2071" i="2"/>
  <c r="AB958" i="7"/>
  <c r="AF2071" i="2"/>
  <c r="AC958" i="7"/>
  <c r="AG2071" i="2"/>
  <c r="AD958" i="7"/>
  <c r="AH2071" i="2"/>
  <c r="AE958" i="7"/>
  <c r="AI2071" i="2"/>
  <c r="AF958" i="7"/>
  <c r="AI958" i="7"/>
  <c r="AM2071" i="2"/>
  <c r="AJ958" i="7"/>
  <c r="R959" i="7"/>
  <c r="N960" i="7"/>
  <c r="Q2073" i="2"/>
  <c r="R960" i="7"/>
  <c r="V2073" i="2"/>
  <c r="Z960" i="7"/>
  <c r="AH960" i="7"/>
  <c r="AL2073" i="2"/>
  <c r="R961" i="7"/>
  <c r="N962" i="7"/>
  <c r="Q2075" i="2"/>
  <c r="R962" i="7"/>
  <c r="V2075" i="2"/>
  <c r="Z962" i="7"/>
  <c r="AH962" i="7"/>
  <c r="AL2075" i="2"/>
  <c r="Q963" i="7"/>
  <c r="U2076" i="2"/>
  <c r="S963" i="7"/>
  <c r="W2076" i="2"/>
  <c r="T963" i="7"/>
  <c r="X2076" i="2"/>
  <c r="U963" i="7"/>
  <c r="Y2076" i="2"/>
  <c r="V963" i="7"/>
  <c r="Z2076" i="2"/>
  <c r="W963" i="7"/>
  <c r="AA2076" i="2"/>
  <c r="X963" i="7"/>
  <c r="AB2076" i="2"/>
  <c r="Y963" i="7"/>
  <c r="AC2076" i="2"/>
  <c r="AA963" i="7"/>
  <c r="AE2076" i="2"/>
  <c r="AB963" i="7"/>
  <c r="AF2076" i="2"/>
  <c r="AC963" i="7"/>
  <c r="AG2076" i="2"/>
  <c r="AD963" i="7"/>
  <c r="AH2076" i="2"/>
  <c r="AE963" i="7"/>
  <c r="AI2076" i="2"/>
  <c r="AF963" i="7"/>
  <c r="AI963" i="7"/>
  <c r="AM2076" i="2"/>
  <c r="AJ963" i="7"/>
  <c r="N964" i="7"/>
  <c r="R964" i="7"/>
  <c r="V2077" i="2"/>
  <c r="Z964" i="7"/>
  <c r="AH964" i="7"/>
  <c r="R965" i="7"/>
  <c r="N966" i="7"/>
  <c r="Q2079" i="2"/>
  <c r="R966" i="7"/>
  <c r="V2079" i="2"/>
  <c r="Z966" i="7"/>
  <c r="AH966" i="7"/>
  <c r="AL2079" i="2"/>
  <c r="R967" i="7"/>
  <c r="N968" i="7"/>
  <c r="Q2081" i="2"/>
  <c r="R968" i="7"/>
  <c r="V2081" i="2"/>
  <c r="Z968" i="7"/>
  <c r="AH968" i="7"/>
  <c r="AL2081" i="2"/>
  <c r="R969" i="7"/>
  <c r="N970" i="7"/>
  <c r="Q2083" i="2"/>
  <c r="R970" i="7"/>
  <c r="V2083" i="2"/>
  <c r="Z970" i="7"/>
  <c r="AH970" i="7"/>
  <c r="AL2083" i="2"/>
  <c r="R971" i="7"/>
  <c r="N972" i="7"/>
  <c r="Q2085" i="2"/>
  <c r="R972" i="7"/>
  <c r="V2085" i="2"/>
  <c r="Z972" i="7"/>
  <c r="AH972" i="7"/>
  <c r="AL2085" i="2"/>
  <c r="R973" i="7"/>
  <c r="N974" i="7"/>
  <c r="Q2087" i="2"/>
  <c r="R974" i="7"/>
  <c r="V2087" i="2"/>
  <c r="Z974" i="7"/>
  <c r="AH974" i="7"/>
  <c r="AL2087" i="2"/>
  <c r="R975" i="7"/>
  <c r="Q976" i="7"/>
  <c r="U2089" i="2"/>
  <c r="R976" i="7"/>
  <c r="V2089" i="2"/>
  <c r="S976" i="7"/>
  <c r="W2089" i="2"/>
  <c r="T976" i="7"/>
  <c r="X2089" i="2"/>
  <c r="U976" i="7"/>
  <c r="Y2089" i="2"/>
  <c r="V976" i="7"/>
  <c r="Z2089" i="2"/>
  <c r="W976" i="7"/>
  <c r="AA2089" i="2"/>
  <c r="X976" i="7"/>
  <c r="AB2089" i="2"/>
  <c r="Y976" i="7"/>
  <c r="AC2089" i="2"/>
  <c r="AA976" i="7"/>
  <c r="AE2089" i="2"/>
  <c r="AB976" i="7"/>
  <c r="AF2089" i="2"/>
  <c r="AC976" i="7"/>
  <c r="AG2089" i="2"/>
  <c r="AD976" i="7"/>
  <c r="AH2089" i="2"/>
  <c r="AE976" i="7"/>
  <c r="AI2089" i="2"/>
  <c r="AF976" i="7"/>
  <c r="AI976" i="7"/>
  <c r="AM2089" i="2"/>
  <c r="AJ976" i="7"/>
  <c r="R977" i="7"/>
  <c r="N978" i="7"/>
  <c r="Q2091" i="2"/>
  <c r="R978" i="7"/>
  <c r="V2091" i="2"/>
  <c r="Z978" i="7"/>
  <c r="AH978" i="7"/>
  <c r="AL2091" i="2"/>
  <c r="Q979" i="7"/>
  <c r="U2092" i="2"/>
  <c r="S979" i="7"/>
  <c r="W2092" i="2"/>
  <c r="T979" i="7"/>
  <c r="X2092" i="2"/>
  <c r="U979" i="7"/>
  <c r="Y2092" i="2"/>
  <c r="V979" i="7"/>
  <c r="Z2092" i="2"/>
  <c r="W979" i="7"/>
  <c r="AA2092" i="2"/>
  <c r="X979" i="7"/>
  <c r="AB2092" i="2"/>
  <c r="Y979" i="7"/>
  <c r="AC2092" i="2"/>
  <c r="AA979" i="7"/>
  <c r="AE2092" i="2"/>
  <c r="AB979" i="7"/>
  <c r="AF2092" i="2"/>
  <c r="AC979" i="7"/>
  <c r="AG2092" i="2"/>
  <c r="AD979" i="7"/>
  <c r="AH2092" i="2"/>
  <c r="AE979" i="7"/>
  <c r="AI2092" i="2"/>
  <c r="AF979" i="7"/>
  <c r="AI979" i="7"/>
  <c r="AM2092" i="2"/>
  <c r="AJ979" i="7"/>
  <c r="N980" i="7"/>
  <c r="R980" i="7"/>
  <c r="V2093" i="2"/>
  <c r="Z980" i="7"/>
  <c r="AH980" i="7"/>
  <c r="R981" i="7"/>
  <c r="N982" i="7"/>
  <c r="Q2095" i="2"/>
  <c r="R982" i="7"/>
  <c r="V2095" i="2"/>
  <c r="Z982" i="7"/>
  <c r="AH982" i="7"/>
  <c r="AL2095" i="2"/>
  <c r="R983" i="7"/>
  <c r="N984" i="7"/>
  <c r="Q2097" i="2"/>
  <c r="R984" i="7"/>
  <c r="V2097" i="2"/>
  <c r="Z984" i="7"/>
  <c r="AH984" i="7"/>
  <c r="AL2097" i="2"/>
  <c r="V986" i="7"/>
  <c r="Z2098" i="2"/>
  <c r="X986" i="7"/>
  <c r="AB2098" i="2"/>
  <c r="AD986" i="7"/>
  <c r="AH2098" i="2"/>
  <c r="AH988" i="7"/>
  <c r="AH1001" i="7"/>
  <c r="N989" i="7"/>
  <c r="O989" i="7"/>
  <c r="P989" i="7"/>
  <c r="Q990" i="7"/>
  <c r="U2099" i="2"/>
  <c r="S990" i="7"/>
  <c r="W2099" i="2"/>
  <c r="T990" i="7"/>
  <c r="X2099" i="2"/>
  <c r="U990" i="7"/>
  <c r="Y2099" i="2"/>
  <c r="V990" i="7"/>
  <c r="Z2099" i="2"/>
  <c r="W990" i="7"/>
  <c r="AA2099" i="2"/>
  <c r="X990" i="7"/>
  <c r="AB2099" i="2"/>
  <c r="Y990" i="7"/>
  <c r="AC2099" i="2"/>
  <c r="AA990" i="7"/>
  <c r="AE2099" i="2"/>
  <c r="AB990" i="7"/>
  <c r="AF2099" i="2"/>
  <c r="AC990" i="7"/>
  <c r="AG2099" i="2"/>
  <c r="AD990" i="7"/>
  <c r="AH2099" i="2"/>
  <c r="AE990" i="7"/>
  <c r="AI2099" i="2"/>
  <c r="AF990" i="7"/>
  <c r="AI990" i="7"/>
  <c r="AM2099" i="2"/>
  <c r="AJ990" i="7"/>
  <c r="AJ986" i="7"/>
  <c r="R991" i="7"/>
  <c r="R990" i="7"/>
  <c r="N992" i="7"/>
  <c r="Q2101" i="2"/>
  <c r="R992" i="7"/>
  <c r="V2101" i="2"/>
  <c r="Z992" i="7"/>
  <c r="AH992" i="7"/>
  <c r="AL2101" i="2"/>
  <c r="R993" i="7"/>
  <c r="Q994" i="7"/>
  <c r="U2103" i="2"/>
  <c r="S994" i="7"/>
  <c r="W2103" i="2"/>
  <c r="T994" i="7"/>
  <c r="X2103" i="2"/>
  <c r="U994" i="7"/>
  <c r="Y2103" i="2"/>
  <c r="V994" i="7"/>
  <c r="Z2103" i="2"/>
  <c r="W994" i="7"/>
  <c r="AA2103" i="2"/>
  <c r="X994" i="7"/>
  <c r="AB2103" i="2"/>
  <c r="Y994" i="7"/>
  <c r="AC2103" i="2"/>
  <c r="AA994" i="7"/>
  <c r="AE2103" i="2"/>
  <c r="AB994" i="7"/>
  <c r="AF2103" i="2"/>
  <c r="AC994" i="7"/>
  <c r="AG2103" i="2"/>
  <c r="AD994" i="7"/>
  <c r="AH2103" i="2"/>
  <c r="AE994" i="7"/>
  <c r="AI2103" i="2"/>
  <c r="AF994" i="7"/>
  <c r="AI994" i="7"/>
  <c r="AM2103" i="2"/>
  <c r="AJ994" i="7"/>
  <c r="R995" i="7"/>
  <c r="Z995" i="7"/>
  <c r="N996" i="7"/>
  <c r="Q2105" i="2"/>
  <c r="R996" i="7"/>
  <c r="V2105" i="2"/>
  <c r="Z996" i="7"/>
  <c r="AG996" i="7"/>
  <c r="T999" i="7"/>
  <c r="X2106" i="2"/>
  <c r="W999" i="7"/>
  <c r="AA2106" i="2"/>
  <c r="AB999" i="7"/>
  <c r="AF2106" i="2"/>
  <c r="AJ999" i="7"/>
  <c r="N1002" i="7"/>
  <c r="O1002" i="7"/>
  <c r="P1002" i="7"/>
  <c r="Q1003" i="7"/>
  <c r="U2107" i="2"/>
  <c r="S1003" i="7"/>
  <c r="W2107" i="2"/>
  <c r="T1003" i="7"/>
  <c r="X2107" i="2"/>
  <c r="U1003" i="7"/>
  <c r="Y2107" i="2"/>
  <c r="V1003" i="7"/>
  <c r="Z2107" i="2"/>
  <c r="W1003" i="7"/>
  <c r="AA2107" i="2"/>
  <c r="X1003" i="7"/>
  <c r="Y1003" i="7"/>
  <c r="AC2107" i="2"/>
  <c r="AA1003" i="7"/>
  <c r="AE2107" i="2"/>
  <c r="AB1003" i="7"/>
  <c r="AF2107" i="2"/>
  <c r="AC1003" i="7"/>
  <c r="AG2107" i="2"/>
  <c r="AD1003" i="7"/>
  <c r="AH2107" i="2"/>
  <c r="AE1003" i="7"/>
  <c r="AI2107" i="2"/>
  <c r="AF1003" i="7"/>
  <c r="AI1003" i="7"/>
  <c r="AM2107" i="2"/>
  <c r="AJ1003" i="7"/>
  <c r="N1004" i="7"/>
  <c r="R1004" i="7"/>
  <c r="Z1004" i="7"/>
  <c r="R1005" i="7"/>
  <c r="Z1005" i="7"/>
  <c r="N1006" i="7"/>
  <c r="Q2110" i="2"/>
  <c r="R1006" i="7"/>
  <c r="V2110" i="2"/>
  <c r="Z1006" i="7"/>
  <c r="AG1006" i="7"/>
  <c r="AH1006" i="7"/>
  <c r="AL2110" i="2"/>
  <c r="R1007" i="7"/>
  <c r="N1008" i="7"/>
  <c r="Q2112" i="2"/>
  <c r="R1008" i="7"/>
  <c r="V2112" i="2"/>
  <c r="Z1008" i="7"/>
  <c r="AH1008" i="7"/>
  <c r="AL2112" i="2"/>
  <c r="N1009" i="7"/>
  <c r="Q2113" i="2"/>
  <c r="R1009" i="7"/>
  <c r="N1010" i="7"/>
  <c r="Q2114" i="2"/>
  <c r="R1010" i="7"/>
  <c r="V2114" i="2"/>
  <c r="Z1010" i="7"/>
  <c r="AH1010" i="7"/>
  <c r="Q1011" i="7"/>
  <c r="U2115" i="2"/>
  <c r="S1011" i="7"/>
  <c r="W2115" i="2"/>
  <c r="T1011" i="7"/>
  <c r="X2115" i="2"/>
  <c r="U1011" i="7"/>
  <c r="Y2115" i="2"/>
  <c r="V1011" i="7"/>
  <c r="Z2115" i="2"/>
  <c r="W1011" i="7"/>
  <c r="AA2115" i="2"/>
  <c r="X1011" i="7"/>
  <c r="AB2115" i="2"/>
  <c r="Y1011" i="7"/>
  <c r="AC2115" i="2"/>
  <c r="AA1011" i="7"/>
  <c r="AE2115" i="2"/>
  <c r="AB1011" i="7"/>
  <c r="AF2115" i="2"/>
  <c r="AC1011" i="7"/>
  <c r="AG2115" i="2"/>
  <c r="AD1011" i="7"/>
  <c r="AH2115" i="2"/>
  <c r="AE1011" i="7"/>
  <c r="AI2115" i="2"/>
  <c r="AF1011" i="7"/>
  <c r="AI1011" i="7"/>
  <c r="AM2115" i="2"/>
  <c r="AJ1011" i="7"/>
  <c r="R1012" i="7"/>
  <c r="Z1012" i="7"/>
  <c r="AH1012" i="7"/>
  <c r="R1013" i="7"/>
  <c r="Z1013" i="7"/>
  <c r="AG1013" i="7"/>
  <c r="N1014" i="7"/>
  <c r="Q2118" i="2"/>
  <c r="R1014" i="7"/>
  <c r="V2118" i="2"/>
  <c r="Z1014" i="7"/>
  <c r="AG1014" i="7"/>
  <c r="AH1016" i="7"/>
  <c r="AH1020" i="7"/>
  <c r="AH1024" i="7"/>
  <c r="AH1032" i="7"/>
  <c r="N1017" i="7"/>
  <c r="O1017" i="7"/>
  <c r="P1017" i="7"/>
  <c r="N1018" i="7"/>
  <c r="Q2119" i="2"/>
  <c r="R1018" i="7"/>
  <c r="V2119" i="2"/>
  <c r="Z1018" i="7"/>
  <c r="AD2119" i="2"/>
  <c r="N1021" i="7"/>
  <c r="O1021" i="7"/>
  <c r="P1021" i="7"/>
  <c r="N1022" i="7"/>
  <c r="Q2120" i="2"/>
  <c r="R1022" i="7"/>
  <c r="V2120" i="2"/>
  <c r="Z1022" i="7"/>
  <c r="AH1022" i="7"/>
  <c r="AL2120" i="2"/>
  <c r="N1025" i="7"/>
  <c r="O1025" i="7"/>
  <c r="P1025" i="7"/>
  <c r="N1026" i="7"/>
  <c r="Q2121" i="2"/>
  <c r="R1026" i="7"/>
  <c r="V2121" i="2"/>
  <c r="Z1026" i="7"/>
  <c r="AH1026" i="7"/>
  <c r="AL2121" i="2"/>
  <c r="S1030" i="7"/>
  <c r="W2122" i="2"/>
  <c r="AE1030" i="7"/>
  <c r="AI2122" i="2"/>
  <c r="N1033" i="7"/>
  <c r="O1033" i="7"/>
  <c r="P1033" i="7"/>
  <c r="R1034" i="7"/>
  <c r="Q1035" i="7"/>
  <c r="U2124" i="2"/>
  <c r="T1035" i="7"/>
  <c r="X2124" i="2"/>
  <c r="U1035" i="7"/>
  <c r="Y2124" i="2"/>
  <c r="V1035" i="7"/>
  <c r="Z2124" i="2"/>
  <c r="W1035" i="7"/>
  <c r="AA2124" i="2"/>
  <c r="X1035" i="7"/>
  <c r="Y1035" i="7"/>
  <c r="AC2124" i="2"/>
  <c r="AA1035" i="7"/>
  <c r="AE2124" i="2"/>
  <c r="AB1035" i="7"/>
  <c r="AF2124" i="2"/>
  <c r="AC1035" i="7"/>
  <c r="AG2124" i="2"/>
  <c r="AD1035" i="7"/>
  <c r="AH2124" i="2"/>
  <c r="AE1035" i="7"/>
  <c r="AI2124" i="2"/>
  <c r="AF1035" i="7"/>
  <c r="AI1035" i="7"/>
  <c r="AM2124" i="2"/>
  <c r="AJ1035" i="7"/>
  <c r="R1036" i="7"/>
  <c r="V2125" i="2"/>
  <c r="N1037" i="7"/>
  <c r="Q2126" i="2"/>
  <c r="O1037" i="7"/>
  <c r="R2126" i="2"/>
  <c r="Z1037" i="7"/>
  <c r="AH1037" i="7"/>
  <c r="AL2126" i="2"/>
  <c r="R1038" i="7"/>
  <c r="Z1038" i="7"/>
  <c r="R1039" i="7"/>
  <c r="V2128" i="2"/>
  <c r="Z1039" i="7"/>
  <c r="AG1039" i="7"/>
  <c r="R1040" i="7"/>
  <c r="Z1040" i="7"/>
  <c r="N1041" i="7"/>
  <c r="Q2130" i="2"/>
  <c r="R1041" i="7"/>
  <c r="V2130" i="2"/>
  <c r="Z1041" i="7"/>
  <c r="AH1041" i="7"/>
  <c r="AL2130" i="2"/>
  <c r="AG1041" i="7"/>
  <c r="R1042" i="7"/>
  <c r="V1043" i="7"/>
  <c r="Z2132" i="2"/>
  <c r="W1043" i="7"/>
  <c r="AA2132" i="2"/>
  <c r="X1043" i="7"/>
  <c r="AB2132" i="2"/>
  <c r="AA1043" i="7"/>
  <c r="AE2132" i="2"/>
  <c r="AD1043" i="7"/>
  <c r="AH2132" i="2"/>
  <c r="AE1043" i="7"/>
  <c r="AI2132" i="2"/>
  <c r="AF1043" i="7"/>
  <c r="AI1043" i="7"/>
  <c r="AM2132" i="2"/>
  <c r="R1044" i="7"/>
  <c r="V2133" i="2"/>
  <c r="R1045" i="7"/>
  <c r="Z1045" i="7"/>
  <c r="AG1045" i="7"/>
  <c r="Q1046" i="7"/>
  <c r="T1046" i="7"/>
  <c r="U1046" i="7"/>
  <c r="Y2135" i="2"/>
  <c r="V1046" i="7"/>
  <c r="Z2135" i="2"/>
  <c r="W1046" i="7"/>
  <c r="AA2135" i="2"/>
  <c r="X1046" i="7"/>
  <c r="AB2135" i="2"/>
  <c r="Y1046" i="7"/>
  <c r="AC2135" i="2"/>
  <c r="AA1046" i="7"/>
  <c r="AE2135" i="2"/>
  <c r="AB1046" i="7"/>
  <c r="AC1046" i="7"/>
  <c r="AG2135" i="2"/>
  <c r="AD1046" i="7"/>
  <c r="AH2135" i="2"/>
  <c r="AE1046" i="7"/>
  <c r="AI2135" i="2"/>
  <c r="AF1046" i="7"/>
  <c r="AI1046" i="7"/>
  <c r="AM2135" i="2"/>
  <c r="AJ1046" i="7"/>
  <c r="AJ1043" i="7"/>
  <c r="N1047" i="7"/>
  <c r="Q2136" i="2"/>
  <c r="R1047" i="7"/>
  <c r="V2136" i="2"/>
  <c r="Z1047" i="7"/>
  <c r="AG1047" i="7"/>
  <c r="AH1047" i="7"/>
  <c r="AL2136" i="2"/>
  <c r="N1048" i="7"/>
  <c r="Q2137" i="2"/>
  <c r="R1048" i="7"/>
  <c r="V2137" i="2"/>
  <c r="Z1048" i="7"/>
  <c r="AD2137" i="2"/>
  <c r="N1049" i="7"/>
  <c r="Q2138" i="2"/>
  <c r="O1049" i="7"/>
  <c r="R2138" i="2"/>
  <c r="R1049" i="7"/>
  <c r="V2138" i="2"/>
  <c r="Z1049" i="7"/>
  <c r="AD2138" i="2"/>
  <c r="AG1049" i="7"/>
  <c r="N1050" i="7"/>
  <c r="Q2139" i="2"/>
  <c r="R1050" i="7"/>
  <c r="Q1055" i="7"/>
  <c r="U2141" i="2"/>
  <c r="S1055" i="7"/>
  <c r="W2141" i="2"/>
  <c r="T1055" i="7"/>
  <c r="X2141" i="2"/>
  <c r="N1057" i="7"/>
  <c r="R1057" i="7"/>
  <c r="O1057" i="7"/>
  <c r="P1057" i="7"/>
  <c r="T1057" i="7"/>
  <c r="T1069" i="7"/>
  <c r="U1057" i="7"/>
  <c r="N1058" i="7"/>
  <c r="Q2142" i="2"/>
  <c r="R1058" i="7"/>
  <c r="V2142" i="2"/>
  <c r="T1058" i="7"/>
  <c r="X2142" i="2"/>
  <c r="U1058" i="7"/>
  <c r="Y2142" i="2"/>
  <c r="Q1059" i="7"/>
  <c r="U2143" i="2"/>
  <c r="T1059" i="7"/>
  <c r="X2143" i="2"/>
  <c r="U1059" i="7"/>
  <c r="Y2143" i="2"/>
  <c r="O1060" i="7"/>
  <c r="R2144" i="2"/>
  <c r="R1060" i="7"/>
  <c r="V2144" i="2"/>
  <c r="O1061" i="7"/>
  <c r="R2145" i="2"/>
  <c r="R1061" i="7"/>
  <c r="V2145" i="2"/>
  <c r="O1062" i="7"/>
  <c r="R2146" i="2"/>
  <c r="R1062" i="7"/>
  <c r="V2146" i="2"/>
  <c r="O1063" i="7"/>
  <c r="R2147" i="2"/>
  <c r="R1063" i="7"/>
  <c r="V2147" i="2"/>
  <c r="O1064" i="7"/>
  <c r="R2148" i="2"/>
  <c r="R1064" i="7"/>
  <c r="V2148" i="2"/>
  <c r="Q1067" i="7"/>
  <c r="U2149" i="2"/>
  <c r="S1067" i="7"/>
  <c r="W2149" i="2"/>
  <c r="T1067" i="7"/>
  <c r="X2149" i="2"/>
  <c r="N1069" i="7"/>
  <c r="R1069" i="7"/>
  <c r="O1069" i="7"/>
  <c r="P1069" i="7"/>
  <c r="U1069" i="7"/>
  <c r="R1070" i="7"/>
  <c r="V2150" i="2"/>
  <c r="T1070" i="7"/>
  <c r="X2150" i="2"/>
  <c r="U1070" i="7"/>
  <c r="Y2150" i="2"/>
  <c r="O1071" i="7"/>
  <c r="R2151" i="2"/>
  <c r="R1071" i="7"/>
  <c r="V2151" i="2"/>
  <c r="O1072" i="7"/>
  <c r="R2152" i="2"/>
  <c r="R1072" i="7"/>
  <c r="V2152" i="2"/>
  <c r="S1075" i="7"/>
  <c r="W2153" i="2"/>
  <c r="N1077" i="7"/>
  <c r="O1077" i="7"/>
  <c r="P1077" i="7"/>
  <c r="R1078" i="7"/>
  <c r="V2154" i="2"/>
  <c r="N1079" i="7"/>
  <c r="Q2155" i="2"/>
  <c r="R1079" i="7"/>
  <c r="V2155" i="2"/>
  <c r="V1079" i="7"/>
  <c r="Z2155" i="2"/>
  <c r="R1080" i="7"/>
  <c r="V2156" i="2"/>
  <c r="N1081" i="7"/>
  <c r="Q2157" i="2"/>
  <c r="R1081" i="7"/>
  <c r="V2157" i="2"/>
  <c r="V1081" i="7"/>
  <c r="Z2157" i="2"/>
  <c r="Q1082" i="7"/>
  <c r="U2158" i="2"/>
  <c r="S1082" i="7"/>
  <c r="W2158" i="2"/>
  <c r="T1082" i="7"/>
  <c r="X2158" i="2"/>
  <c r="U1082" i="7"/>
  <c r="Y2158" i="2"/>
  <c r="N1084" i="7"/>
  <c r="Q2160" i="2"/>
  <c r="R1084" i="7"/>
  <c r="V2160" i="2"/>
  <c r="V1084" i="7"/>
  <c r="Z2160" i="2"/>
  <c r="R1085" i="7"/>
  <c r="V2161" i="2"/>
  <c r="N1086" i="7"/>
  <c r="Q2162" i="2"/>
  <c r="R1086" i="7"/>
  <c r="V2162" i="2"/>
  <c r="V1086" i="7"/>
  <c r="Z2162" i="2"/>
  <c r="R1088" i="7"/>
  <c r="V2164" i="2"/>
  <c r="N1089" i="7"/>
  <c r="Q2165" i="2"/>
  <c r="R1089" i="7"/>
  <c r="V2165" i="2"/>
  <c r="V1089" i="7"/>
  <c r="Z2165" i="2"/>
  <c r="R1090" i="7"/>
  <c r="V2166" i="2"/>
  <c r="N1091" i="7"/>
  <c r="Q2167" i="2"/>
  <c r="R1091" i="7"/>
  <c r="V2167" i="2"/>
  <c r="V1091" i="7"/>
  <c r="Z2167" i="2"/>
  <c r="R1093" i="7"/>
  <c r="V2169" i="2"/>
  <c r="N1094" i="7"/>
  <c r="Q2170" i="2"/>
  <c r="R1094" i="7"/>
  <c r="V2170" i="2"/>
  <c r="V1094" i="7"/>
  <c r="Z2170" i="2"/>
  <c r="R1095" i="7"/>
  <c r="V2171" i="2"/>
  <c r="N1096" i="7"/>
  <c r="Q2172" i="2"/>
  <c r="R1096" i="7"/>
  <c r="V2172" i="2"/>
  <c r="V1096" i="7"/>
  <c r="Z2172" i="2"/>
  <c r="L5" i="4"/>
  <c r="N15" i="4"/>
  <c r="N55" i="4"/>
  <c r="N63" i="4"/>
  <c r="O15" i="4"/>
  <c r="O98" i="4"/>
  <c r="O79" i="4"/>
  <c r="P15" i="4"/>
  <c r="P19" i="4"/>
  <c r="O19" i="4"/>
  <c r="Y22" i="4"/>
  <c r="N24" i="4"/>
  <c r="O24" i="4"/>
  <c r="R24" i="4"/>
  <c r="Q25" i="4"/>
  <c r="R25" i="4"/>
  <c r="R22" i="4"/>
  <c r="S25" i="4"/>
  <c r="T25" i="4"/>
  <c r="U25" i="4"/>
  <c r="W25" i="4"/>
  <c r="X25" i="4"/>
  <c r="Y25" i="4"/>
  <c r="Z25" i="4"/>
  <c r="AA25" i="4"/>
  <c r="Z22" i="4"/>
  <c r="AB25" i="4"/>
  <c r="AC25" i="4"/>
  <c r="AD25" i="4"/>
  <c r="AE25" i="4"/>
  <c r="AE22" i="4"/>
  <c r="Q26" i="4"/>
  <c r="R26" i="4"/>
  <c r="S26" i="4"/>
  <c r="T26" i="4"/>
  <c r="U26" i="4"/>
  <c r="W26" i="4"/>
  <c r="X26" i="4"/>
  <c r="Y26" i="4"/>
  <c r="Z26" i="4"/>
  <c r="AA26" i="4"/>
  <c r="AB26" i="4"/>
  <c r="AB22" i="4"/>
  <c r="AC26" i="4"/>
  <c r="AD26" i="4"/>
  <c r="AE26" i="4"/>
  <c r="N30" i="4"/>
  <c r="O30" i="4"/>
  <c r="R30" i="4"/>
  <c r="Q31" i="4"/>
  <c r="R31" i="4"/>
  <c r="R28" i="4"/>
  <c r="S31" i="4"/>
  <c r="W31" i="4"/>
  <c r="X31" i="4"/>
  <c r="X28" i="4"/>
  <c r="Y31" i="4"/>
  <c r="Z31" i="4"/>
  <c r="Z28" i="4"/>
  <c r="N32" i="4"/>
  <c r="Q32" i="4"/>
  <c r="R32" i="4"/>
  <c r="S32" i="4"/>
  <c r="W32" i="4"/>
  <c r="W28" i="4"/>
  <c r="X32" i="4"/>
  <c r="Y32" i="4"/>
  <c r="Y28" i="4"/>
  <c r="Z32" i="4"/>
  <c r="N35" i="4"/>
  <c r="O35" i="4"/>
  <c r="U38" i="4"/>
  <c r="N40" i="4"/>
  <c r="R40" i="4"/>
  <c r="Q41" i="4"/>
  <c r="Q38" i="4"/>
  <c r="R41" i="4"/>
  <c r="S41" i="4"/>
  <c r="T41" i="4"/>
  <c r="U41" i="4"/>
  <c r="T38" i="4"/>
  <c r="W41" i="4"/>
  <c r="X41" i="4"/>
  <c r="X38" i="4"/>
  <c r="Y41" i="4"/>
  <c r="Y38" i="4"/>
  <c r="Z41" i="4"/>
  <c r="AA41" i="4"/>
  <c r="AB41" i="4"/>
  <c r="AB38" i="4"/>
  <c r="AC41" i="4"/>
  <c r="AD41" i="4"/>
  <c r="AE41" i="4"/>
  <c r="Q42" i="4"/>
  <c r="R42" i="4"/>
  <c r="S42" i="4"/>
  <c r="T42" i="4"/>
  <c r="S38" i="4"/>
  <c r="U42" i="4"/>
  <c r="W42" i="4"/>
  <c r="X42" i="4"/>
  <c r="Y42" i="4"/>
  <c r="Z42" i="4"/>
  <c r="Z38" i="4"/>
  <c r="AA42" i="4"/>
  <c r="AA38" i="4"/>
  <c r="AB42" i="4"/>
  <c r="AC42" i="4"/>
  <c r="AD42" i="4"/>
  <c r="AD38" i="4"/>
  <c r="AE42" i="4"/>
  <c r="N46" i="4"/>
  <c r="O46" i="4"/>
  <c r="R46" i="4"/>
  <c r="Q47" i="4"/>
  <c r="R47" i="4"/>
  <c r="S47" i="4"/>
  <c r="W47" i="4"/>
  <c r="X47" i="4"/>
  <c r="Y47" i="4"/>
  <c r="Z47" i="4"/>
  <c r="Q48" i="4"/>
  <c r="Q44" i="4"/>
  <c r="R48" i="4"/>
  <c r="N48" i="4"/>
  <c r="S48" i="4"/>
  <c r="W48" i="4"/>
  <c r="W44" i="4"/>
  <c r="X48" i="4"/>
  <c r="Y48" i="4"/>
  <c r="Z48" i="4"/>
  <c r="Z44" i="4"/>
  <c r="O50" i="4"/>
  <c r="O55" i="4"/>
  <c r="R55" i="4"/>
  <c r="Q56" i="4"/>
  <c r="Q53" i="4"/>
  <c r="R56" i="4"/>
  <c r="S56" i="4"/>
  <c r="T56" i="4"/>
  <c r="U56" i="4"/>
  <c r="W56" i="4"/>
  <c r="X56" i="4"/>
  <c r="Y56" i="4"/>
  <c r="Z56" i="4"/>
  <c r="AA56" i="4"/>
  <c r="AB56" i="4"/>
  <c r="AC56" i="4"/>
  <c r="AD56" i="4"/>
  <c r="AD53" i="4"/>
  <c r="AE56" i="4"/>
  <c r="Q57" i="4"/>
  <c r="R57" i="4"/>
  <c r="N57" i="4"/>
  <c r="S57" i="4"/>
  <c r="T57" i="4"/>
  <c r="U57" i="4"/>
  <c r="W57" i="4"/>
  <c r="W53" i="4"/>
  <c r="X57" i="4"/>
  <c r="Y57" i="4"/>
  <c r="Z57" i="4"/>
  <c r="AA57" i="4"/>
  <c r="AB57" i="4"/>
  <c r="AC57" i="4"/>
  <c r="AD57" i="4"/>
  <c r="AE57" i="4"/>
  <c r="Q58" i="4"/>
  <c r="R58" i="4"/>
  <c r="S58" i="4"/>
  <c r="T58" i="4"/>
  <c r="U58" i="4"/>
  <c r="W58" i="4"/>
  <c r="X58" i="4"/>
  <c r="Y58" i="4"/>
  <c r="Z58" i="4"/>
  <c r="AA58" i="4"/>
  <c r="AB58" i="4"/>
  <c r="AC58" i="4"/>
  <c r="AD58" i="4"/>
  <c r="AE58" i="4"/>
  <c r="Q59" i="4"/>
  <c r="R59" i="4"/>
  <c r="N59" i="4"/>
  <c r="S59" i="4"/>
  <c r="T59" i="4"/>
  <c r="U59" i="4"/>
  <c r="W59" i="4"/>
  <c r="X59" i="4"/>
  <c r="Y59" i="4"/>
  <c r="Z59" i="4"/>
  <c r="AA59" i="4"/>
  <c r="AB59" i="4"/>
  <c r="AC59" i="4"/>
  <c r="AD59" i="4"/>
  <c r="AE59" i="4"/>
  <c r="O63" i="4"/>
  <c r="R63" i="4"/>
  <c r="Q64" i="4"/>
  <c r="R64" i="4"/>
  <c r="S64" i="4"/>
  <c r="W64" i="4"/>
  <c r="X64" i="4"/>
  <c r="Y64" i="4"/>
  <c r="Z64" i="4"/>
  <c r="N65" i="4"/>
  <c r="Q65" i="4"/>
  <c r="R65" i="4"/>
  <c r="S65" i="4"/>
  <c r="W65" i="4"/>
  <c r="X65" i="4"/>
  <c r="Y65" i="4"/>
  <c r="Z65" i="4"/>
  <c r="Q66" i="4"/>
  <c r="R66" i="4"/>
  <c r="N66" i="4"/>
  <c r="S66" i="4"/>
  <c r="W66" i="4"/>
  <c r="X66" i="4"/>
  <c r="Y66" i="4"/>
  <c r="Z66" i="4"/>
  <c r="Q67" i="4"/>
  <c r="R67" i="4"/>
  <c r="S67" i="4"/>
  <c r="W67" i="4"/>
  <c r="X67" i="4"/>
  <c r="Y67" i="4"/>
  <c r="Z67" i="4"/>
  <c r="N71" i="4"/>
  <c r="O71" i="4"/>
  <c r="P71" i="4"/>
  <c r="R71" i="4"/>
  <c r="Q72" i="4"/>
  <c r="R72" i="4"/>
  <c r="S72" i="4"/>
  <c r="T72" i="4"/>
  <c r="U72" i="4"/>
  <c r="W72" i="4"/>
  <c r="X72" i="4"/>
  <c r="Y72" i="4"/>
  <c r="Z72" i="4"/>
  <c r="AA72" i="4"/>
  <c r="AB72" i="4"/>
  <c r="AC72" i="4"/>
  <c r="AC69" i="4"/>
  <c r="AD72" i="4"/>
  <c r="AE72" i="4"/>
  <c r="Q73" i="4"/>
  <c r="R73" i="4"/>
  <c r="S73" i="4"/>
  <c r="T73" i="4"/>
  <c r="U73" i="4"/>
  <c r="W73" i="4"/>
  <c r="X73" i="4"/>
  <c r="Y73" i="4"/>
  <c r="Z73" i="4"/>
  <c r="AA73" i="4"/>
  <c r="AB73" i="4"/>
  <c r="AC73" i="4"/>
  <c r="AD73" i="4"/>
  <c r="AE73" i="4"/>
  <c r="Q74" i="4"/>
  <c r="R74" i="4"/>
  <c r="S74" i="4"/>
  <c r="T74" i="4"/>
  <c r="U74" i="4"/>
  <c r="W74" i="4"/>
  <c r="X74" i="4"/>
  <c r="Y74" i="4"/>
  <c r="Z74" i="4"/>
  <c r="AA74" i="4"/>
  <c r="AB74" i="4"/>
  <c r="AB69" i="4"/>
  <c r="AC74" i="4"/>
  <c r="AD74" i="4"/>
  <c r="AE74" i="4"/>
  <c r="Q75" i="4"/>
  <c r="Q69" i="4"/>
  <c r="R75" i="4"/>
  <c r="S75" i="4"/>
  <c r="T75" i="4"/>
  <c r="U75" i="4"/>
  <c r="W75" i="4"/>
  <c r="X75" i="4"/>
  <c r="Y75" i="4"/>
  <c r="Z75" i="4"/>
  <c r="AA75" i="4"/>
  <c r="AB75" i="4"/>
  <c r="AC75" i="4"/>
  <c r="AD75" i="4"/>
  <c r="AE75" i="4"/>
  <c r="N79" i="4"/>
  <c r="P79" i="4"/>
  <c r="R79" i="4"/>
  <c r="Q80" i="4"/>
  <c r="Q77" i="4"/>
  <c r="R80" i="4"/>
  <c r="S80" i="4"/>
  <c r="W80" i="4"/>
  <c r="X80" i="4"/>
  <c r="Y80" i="4"/>
  <c r="Z80" i="4"/>
  <c r="Q81" i="4"/>
  <c r="R81" i="4"/>
  <c r="N81" i="4"/>
  <c r="S81" i="4"/>
  <c r="W81" i="4"/>
  <c r="X81" i="4"/>
  <c r="Y81" i="4"/>
  <c r="Z81" i="4"/>
  <c r="Z77" i="4"/>
  <c r="Q82" i="4"/>
  <c r="R82" i="4"/>
  <c r="N82" i="4"/>
  <c r="S82" i="4"/>
  <c r="W82" i="4"/>
  <c r="X82" i="4"/>
  <c r="Y82" i="4"/>
  <c r="Z82" i="4"/>
  <c r="N83" i="4"/>
  <c r="Q83" i="4"/>
  <c r="R83" i="4"/>
  <c r="S83" i="4"/>
  <c r="W83" i="4"/>
  <c r="X83" i="4"/>
  <c r="Y83" i="4"/>
  <c r="Z83" i="4"/>
  <c r="N85" i="4"/>
  <c r="O85" i="4"/>
  <c r="P85" i="4"/>
  <c r="N88" i="4"/>
  <c r="P88" i="4"/>
  <c r="R88" i="4"/>
  <c r="Q89" i="4"/>
  <c r="R89" i="4"/>
  <c r="S89" i="4"/>
  <c r="S86" i="4"/>
  <c r="T89" i="4"/>
  <c r="U89" i="4"/>
  <c r="U86" i="4"/>
  <c r="W89" i="4"/>
  <c r="W86" i="4"/>
  <c r="X89" i="4"/>
  <c r="Y89" i="4"/>
  <c r="Y86" i="4"/>
  <c r="Z89" i="4"/>
  <c r="AA89" i="4"/>
  <c r="AB89" i="4"/>
  <c r="AB86" i="4"/>
  <c r="AC89" i="4"/>
  <c r="AC86" i="4"/>
  <c r="AD89" i="4"/>
  <c r="AE89" i="4"/>
  <c r="Q90" i="4"/>
  <c r="R90" i="4"/>
  <c r="S90" i="4"/>
  <c r="T90" i="4"/>
  <c r="T86" i="4"/>
  <c r="U90" i="4"/>
  <c r="W90" i="4"/>
  <c r="X90" i="4"/>
  <c r="Y90" i="4"/>
  <c r="Z90" i="4"/>
  <c r="Z86" i="4"/>
  <c r="AA90" i="4"/>
  <c r="AB90" i="4"/>
  <c r="AC90" i="4"/>
  <c r="AD90" i="4"/>
  <c r="AD86" i="4"/>
  <c r="AE90" i="4"/>
  <c r="N93" i="4"/>
  <c r="O93" i="4"/>
  <c r="P93" i="4"/>
  <c r="P98" i="4"/>
  <c r="R98" i="4"/>
  <c r="Q99" i="4"/>
  <c r="R99" i="4"/>
  <c r="S99" i="4"/>
  <c r="T99" i="4"/>
  <c r="U99" i="4"/>
  <c r="W99" i="4"/>
  <c r="X99" i="4"/>
  <c r="Y99" i="4"/>
  <c r="Z99" i="4"/>
  <c r="AA99" i="4"/>
  <c r="AB99" i="4"/>
  <c r="AC99" i="4"/>
  <c r="AD99" i="4"/>
  <c r="AE99" i="4"/>
  <c r="Q100" i="4"/>
  <c r="R100" i="4"/>
  <c r="S100" i="4"/>
  <c r="T100" i="4"/>
  <c r="U100" i="4"/>
  <c r="W100" i="4"/>
  <c r="X100" i="4"/>
  <c r="Y100" i="4"/>
  <c r="Z100" i="4"/>
  <c r="AA100" i="4"/>
  <c r="AB100" i="4"/>
  <c r="AC100" i="4"/>
  <c r="AD100" i="4"/>
  <c r="AE100" i="4"/>
  <c r="Q101" i="4"/>
  <c r="R101" i="4"/>
  <c r="S101" i="4"/>
  <c r="T101" i="4"/>
  <c r="U101" i="4"/>
  <c r="W101" i="4"/>
  <c r="X101" i="4"/>
  <c r="Y101" i="4"/>
  <c r="Z101" i="4"/>
  <c r="AA101" i="4"/>
  <c r="AB101" i="4"/>
  <c r="AC101" i="4"/>
  <c r="AD101" i="4"/>
  <c r="AD96" i="4"/>
  <c r="AE101" i="4"/>
  <c r="Q102" i="4"/>
  <c r="R102" i="4"/>
  <c r="N102" i="4"/>
  <c r="S102" i="4"/>
  <c r="T102" i="4"/>
  <c r="U102" i="4"/>
  <c r="W102" i="4"/>
  <c r="X102" i="4"/>
  <c r="Y102" i="4"/>
  <c r="Z102" i="4"/>
  <c r="AA102" i="4"/>
  <c r="AB102" i="4"/>
  <c r="AC102" i="4"/>
  <c r="AD102" i="4"/>
  <c r="AE102" i="4"/>
  <c r="Q103" i="4"/>
  <c r="R103" i="4"/>
  <c r="S103" i="4"/>
  <c r="T103" i="4"/>
  <c r="U103" i="4"/>
  <c r="W103" i="4"/>
  <c r="X103" i="4"/>
  <c r="Y103" i="4"/>
  <c r="Z103" i="4"/>
  <c r="AA103" i="4"/>
  <c r="AB103" i="4"/>
  <c r="AC103" i="4"/>
  <c r="AD103" i="4"/>
  <c r="AE103" i="4"/>
  <c r="Q104" i="4"/>
  <c r="R104" i="4"/>
  <c r="S104" i="4"/>
  <c r="T104" i="4"/>
  <c r="U104" i="4"/>
  <c r="W104" i="4"/>
  <c r="X104" i="4"/>
  <c r="Y104" i="4"/>
  <c r="Z104" i="4"/>
  <c r="AA104" i="4"/>
  <c r="AB104" i="4"/>
  <c r="AC104" i="4"/>
  <c r="AD104" i="4"/>
  <c r="AE104" i="4"/>
  <c r="Q105" i="4"/>
  <c r="R105" i="4"/>
  <c r="N105" i="4"/>
  <c r="S105" i="4"/>
  <c r="T105" i="4"/>
  <c r="U105" i="4"/>
  <c r="W105" i="4"/>
  <c r="X105" i="4"/>
  <c r="Y105" i="4"/>
  <c r="Z105" i="4"/>
  <c r="AA105" i="4"/>
  <c r="O105" i="4"/>
  <c r="P105" i="4"/>
  <c r="AB105" i="4"/>
  <c r="AC105" i="4"/>
  <c r="AD105" i="4"/>
  <c r="AE105" i="4"/>
  <c r="Q106" i="4"/>
  <c r="R106" i="4"/>
  <c r="S106" i="4"/>
  <c r="T106" i="4"/>
  <c r="U106" i="4"/>
  <c r="W106" i="4"/>
  <c r="X106" i="4"/>
  <c r="Y106" i="4"/>
  <c r="Z106" i="4"/>
  <c r="AA106" i="4"/>
  <c r="AB106" i="4"/>
  <c r="AC106" i="4"/>
  <c r="AD106" i="4"/>
  <c r="AE106" i="4"/>
  <c r="N110" i="4"/>
  <c r="O110" i="4"/>
  <c r="R110" i="4"/>
  <c r="Q111" i="4"/>
  <c r="R111" i="4"/>
  <c r="S111" i="4"/>
  <c r="W111" i="4"/>
  <c r="X111" i="4"/>
  <c r="Y111" i="4"/>
  <c r="Z111" i="4"/>
  <c r="Q112" i="4"/>
  <c r="R112" i="4"/>
  <c r="N112" i="4"/>
  <c r="S112" i="4"/>
  <c r="W112" i="4"/>
  <c r="X112" i="4"/>
  <c r="Y112" i="4"/>
  <c r="Z112" i="4"/>
  <c r="Q113" i="4"/>
  <c r="R113" i="4"/>
  <c r="S113" i="4"/>
  <c r="W113" i="4"/>
  <c r="X113" i="4"/>
  <c r="X108" i="4"/>
  <c r="Y113" i="4"/>
  <c r="Z113" i="4"/>
  <c r="Q114" i="4"/>
  <c r="R114" i="4"/>
  <c r="N114" i="4"/>
  <c r="S114" i="4"/>
  <c r="W114" i="4"/>
  <c r="X114" i="4"/>
  <c r="Y114" i="4"/>
  <c r="Z114" i="4"/>
  <c r="Q115" i="4"/>
  <c r="R115" i="4"/>
  <c r="N115" i="4"/>
  <c r="S115" i="4"/>
  <c r="W115" i="4"/>
  <c r="W108" i="4"/>
  <c r="X115" i="4"/>
  <c r="Y115" i="4"/>
  <c r="Z115" i="4"/>
  <c r="N116" i="4"/>
  <c r="Q116" i="4"/>
  <c r="R116" i="4"/>
  <c r="S116" i="4"/>
  <c r="W116" i="4"/>
  <c r="X116" i="4"/>
  <c r="Y116" i="4"/>
  <c r="Z116" i="4"/>
  <c r="N120" i="4"/>
  <c r="P120" i="4"/>
  <c r="R120" i="4"/>
  <c r="Q121" i="4"/>
  <c r="R121" i="4"/>
  <c r="S121" i="4"/>
  <c r="T121" i="4"/>
  <c r="U121" i="4"/>
  <c r="W121" i="4"/>
  <c r="X121" i="4"/>
  <c r="X118" i="4"/>
  <c r="Y121" i="4"/>
  <c r="Z121" i="4"/>
  <c r="AA121" i="4"/>
  <c r="AA118" i="4"/>
  <c r="AB121" i="4"/>
  <c r="AC121" i="4"/>
  <c r="AC118" i="4"/>
  <c r="AD121" i="4"/>
  <c r="AE121" i="4"/>
  <c r="AE118" i="4"/>
  <c r="Q122" i="4"/>
  <c r="R122" i="4"/>
  <c r="R118" i="4"/>
  <c r="S122" i="4"/>
  <c r="T122" i="4"/>
  <c r="U122" i="4"/>
  <c r="W122" i="4"/>
  <c r="W118" i="4"/>
  <c r="X122" i="4"/>
  <c r="Y122" i="4"/>
  <c r="Z122" i="4"/>
  <c r="AA122" i="4"/>
  <c r="AB122" i="4"/>
  <c r="AC122" i="4"/>
  <c r="AD122" i="4"/>
  <c r="AE122" i="4"/>
  <c r="N126" i="4"/>
  <c r="P126" i="4"/>
  <c r="R126" i="4"/>
  <c r="N127" i="4"/>
  <c r="Q127" i="4"/>
  <c r="Q124" i="4"/>
  <c r="R127" i="4"/>
  <c r="S127" i="4"/>
  <c r="S124" i="4"/>
  <c r="W127" i="4"/>
  <c r="X127" i="4"/>
  <c r="X124" i="4"/>
  <c r="Y127" i="4"/>
  <c r="Z127" i="4"/>
  <c r="Q128" i="4"/>
  <c r="R128" i="4"/>
  <c r="R124" i="4"/>
  <c r="N128" i="4"/>
  <c r="S128" i="4"/>
  <c r="W128" i="4"/>
  <c r="W124" i="4"/>
  <c r="X128" i="4"/>
  <c r="Y128" i="4"/>
  <c r="Y124" i="4"/>
  <c r="Z128" i="4"/>
  <c r="Z124" i="4"/>
  <c r="N132" i="4"/>
  <c r="P132" i="4"/>
  <c r="R132" i="4"/>
  <c r="Q133" i="4"/>
  <c r="Q130" i="4"/>
  <c r="R133" i="4"/>
  <c r="S133" i="4"/>
  <c r="T133" i="4"/>
  <c r="U133" i="4"/>
  <c r="W133" i="4"/>
  <c r="W130" i="4"/>
  <c r="X133" i="4"/>
  <c r="Y133" i="4"/>
  <c r="Z133" i="4"/>
  <c r="AA133" i="4"/>
  <c r="AA130" i="4"/>
  <c r="AB133" i="4"/>
  <c r="AC133" i="4"/>
  <c r="AC130" i="4"/>
  <c r="AD133" i="4"/>
  <c r="AE133" i="4"/>
  <c r="AE130" i="4"/>
  <c r="Q134" i="4"/>
  <c r="R134" i="4"/>
  <c r="R130" i="4"/>
  <c r="S134" i="4"/>
  <c r="T134" i="4"/>
  <c r="S130" i="4"/>
  <c r="U134" i="4"/>
  <c r="W134" i="4"/>
  <c r="X134" i="4"/>
  <c r="Y134" i="4"/>
  <c r="Y130" i="4"/>
  <c r="Z134" i="4"/>
  <c r="Z130" i="4"/>
  <c r="AA134" i="4"/>
  <c r="AB134" i="4"/>
  <c r="AC134" i="4"/>
  <c r="AD134" i="4"/>
  <c r="AE134" i="4"/>
  <c r="N138" i="4"/>
  <c r="P138" i="4"/>
  <c r="R138" i="4"/>
  <c r="Q139" i="4"/>
  <c r="R139" i="4"/>
  <c r="R136" i="4"/>
  <c r="S139" i="4"/>
  <c r="W139" i="4"/>
  <c r="X139" i="4"/>
  <c r="Y139" i="4"/>
  <c r="Z139" i="4"/>
  <c r="Q140" i="4"/>
  <c r="R140" i="4"/>
  <c r="N140" i="4"/>
  <c r="S140" i="4"/>
  <c r="W140" i="4"/>
  <c r="W136" i="4"/>
  <c r="X140" i="4"/>
  <c r="X136" i="4"/>
  <c r="Y140" i="4"/>
  <c r="Z140" i="4"/>
  <c r="Z136" i="4"/>
  <c r="N144" i="4"/>
  <c r="O144" i="4"/>
  <c r="P144" i="4"/>
  <c r="R144" i="4"/>
  <c r="Q145" i="4"/>
  <c r="R145" i="4"/>
  <c r="S145" i="4"/>
  <c r="T145" i="4"/>
  <c r="U145" i="4"/>
  <c r="W145" i="4"/>
  <c r="X145" i="4"/>
  <c r="Y145" i="4"/>
  <c r="Z145" i="4"/>
  <c r="AA145" i="4"/>
  <c r="AB145" i="4"/>
  <c r="AC145" i="4"/>
  <c r="AD145" i="4"/>
  <c r="AE145" i="4"/>
  <c r="Q146" i="4"/>
  <c r="R146" i="4"/>
  <c r="S146" i="4"/>
  <c r="T146" i="4"/>
  <c r="U146" i="4"/>
  <c r="W146" i="4"/>
  <c r="X146" i="4"/>
  <c r="Y146" i="4"/>
  <c r="Z146" i="4"/>
  <c r="AA146" i="4"/>
  <c r="AB146" i="4"/>
  <c r="AC146" i="4"/>
  <c r="AD146" i="4"/>
  <c r="AE146" i="4"/>
  <c r="Q147" i="4"/>
  <c r="R147" i="4"/>
  <c r="S147" i="4"/>
  <c r="T147" i="4"/>
  <c r="U147" i="4"/>
  <c r="W147" i="4"/>
  <c r="X147" i="4"/>
  <c r="Y147" i="4"/>
  <c r="Z147" i="4"/>
  <c r="AA147" i="4"/>
  <c r="AB147" i="4"/>
  <c r="AC147" i="4"/>
  <c r="AD147" i="4"/>
  <c r="AE147" i="4"/>
  <c r="Q148" i="4"/>
  <c r="R148" i="4"/>
  <c r="S148" i="4"/>
  <c r="T148" i="4"/>
  <c r="U148" i="4"/>
  <c r="W148" i="4"/>
  <c r="X148" i="4"/>
  <c r="Y148" i="4"/>
  <c r="Z148" i="4"/>
  <c r="AA148" i="4"/>
  <c r="AB148" i="4"/>
  <c r="AB142" i="4"/>
  <c r="AC148" i="4"/>
  <c r="AD148" i="4"/>
  <c r="AE148" i="4"/>
  <c r="N152" i="4"/>
  <c r="O152" i="4"/>
  <c r="P152" i="4"/>
  <c r="R152" i="4"/>
  <c r="Q153" i="4"/>
  <c r="Q150" i="4"/>
  <c r="R153" i="4"/>
  <c r="N153" i="4"/>
  <c r="S153" i="4"/>
  <c r="S150" i="4"/>
  <c r="W153" i="4"/>
  <c r="X153" i="4"/>
  <c r="Y153" i="4"/>
  <c r="Z153" i="4"/>
  <c r="Q154" i="4"/>
  <c r="R154" i="4"/>
  <c r="N154" i="4"/>
  <c r="S154" i="4"/>
  <c r="W154" i="4"/>
  <c r="X154" i="4"/>
  <c r="X150" i="4"/>
  <c r="Y154" i="4"/>
  <c r="Z154" i="4"/>
  <c r="Q155" i="4"/>
  <c r="R155" i="4"/>
  <c r="N155" i="4"/>
  <c r="S155" i="4"/>
  <c r="W155" i="4"/>
  <c r="X155" i="4"/>
  <c r="Y155" i="4"/>
  <c r="Z155" i="4"/>
  <c r="Q156" i="4"/>
  <c r="R156" i="4"/>
  <c r="N156" i="4"/>
  <c r="S156" i="4"/>
  <c r="W156" i="4"/>
  <c r="X156" i="4"/>
  <c r="Y156" i="4"/>
  <c r="Z156" i="4"/>
  <c r="N158" i="4"/>
  <c r="O158" i="4"/>
  <c r="P158" i="4"/>
  <c r="N163" i="4"/>
  <c r="O163" i="4"/>
  <c r="P163" i="4"/>
  <c r="R163" i="4"/>
  <c r="Q164" i="4"/>
  <c r="R164" i="4"/>
  <c r="R161" i="4"/>
  <c r="S164" i="4"/>
  <c r="W164" i="4"/>
  <c r="W161" i="4"/>
  <c r="X164" i="4"/>
  <c r="Y164" i="4"/>
  <c r="Z164" i="4"/>
  <c r="Q165" i="4"/>
  <c r="Q161" i="4"/>
  <c r="R165" i="4"/>
  <c r="N165" i="4"/>
  <c r="S165" i="4"/>
  <c r="W165" i="4"/>
  <c r="X165" i="4"/>
  <c r="Y165" i="4"/>
  <c r="Y161" i="4"/>
  <c r="Z165" i="4"/>
  <c r="N169" i="4"/>
  <c r="O169" i="4"/>
  <c r="P169" i="4"/>
  <c r="R169" i="4"/>
  <c r="Q170" i="4"/>
  <c r="R170" i="4"/>
  <c r="S170" i="4"/>
  <c r="W170" i="4"/>
  <c r="X170" i="4"/>
  <c r="Y170" i="4"/>
  <c r="Z170" i="4"/>
  <c r="Q171" i="4"/>
  <c r="R171" i="4"/>
  <c r="N171" i="4"/>
  <c r="R167" i="4"/>
  <c r="S171" i="4"/>
  <c r="W171" i="4"/>
  <c r="X171" i="4"/>
  <c r="Y171" i="4"/>
  <c r="Y167" i="4"/>
  <c r="Z171" i="4"/>
  <c r="Z167" i="4"/>
  <c r="N175" i="4"/>
  <c r="O175" i="4"/>
  <c r="P175" i="4"/>
  <c r="R175" i="4"/>
  <c r="Q176" i="4"/>
  <c r="R176" i="4"/>
  <c r="S176" i="4"/>
  <c r="S173" i="4"/>
  <c r="W176" i="4"/>
  <c r="X176" i="4"/>
  <c r="Y176" i="4"/>
  <c r="Z176" i="4"/>
  <c r="Q177" i="4"/>
  <c r="R177" i="4"/>
  <c r="S177" i="4"/>
  <c r="W177" i="4"/>
  <c r="W173" i="4"/>
  <c r="X177" i="4"/>
  <c r="Y177" i="4"/>
  <c r="Z177" i="4"/>
  <c r="N181" i="4"/>
  <c r="O181" i="4"/>
  <c r="P181" i="4"/>
  <c r="R181" i="4"/>
  <c r="Q182" i="4"/>
  <c r="R182" i="4"/>
  <c r="S182" i="4"/>
  <c r="S179" i="4"/>
  <c r="W182" i="4"/>
  <c r="X182" i="4"/>
  <c r="Y182" i="4"/>
  <c r="Z182" i="4"/>
  <c r="Z179" i="4"/>
  <c r="Q183" i="4"/>
  <c r="R183" i="4"/>
  <c r="S183" i="4"/>
  <c r="W183" i="4"/>
  <c r="X183" i="4"/>
  <c r="Y183" i="4"/>
  <c r="Y179" i="4"/>
  <c r="Z183" i="4"/>
  <c r="N185" i="4"/>
  <c r="O185" i="4"/>
  <c r="P185" i="4"/>
  <c r="N188" i="4"/>
  <c r="O188" i="4"/>
  <c r="P188" i="4"/>
  <c r="N193" i="4"/>
  <c r="O193" i="4"/>
  <c r="P193" i="4"/>
  <c r="R193" i="4"/>
  <c r="Q194" i="4"/>
  <c r="R194" i="4"/>
  <c r="N194" i="4"/>
  <c r="S194" i="4"/>
  <c r="T194" i="4"/>
  <c r="U194" i="4"/>
  <c r="W194" i="4"/>
  <c r="X194" i="4"/>
  <c r="Y194" i="4"/>
  <c r="Z194" i="4"/>
  <c r="AA194" i="4"/>
  <c r="AB194" i="4"/>
  <c r="AC194" i="4"/>
  <c r="AD194" i="4"/>
  <c r="AE194" i="4"/>
  <c r="Q195" i="4"/>
  <c r="R195" i="4"/>
  <c r="S195" i="4"/>
  <c r="T195" i="4"/>
  <c r="U195" i="4"/>
  <c r="W195" i="4"/>
  <c r="X195" i="4"/>
  <c r="Y195" i="4"/>
  <c r="Z195" i="4"/>
  <c r="AA195" i="4"/>
  <c r="AB195" i="4"/>
  <c r="AC195" i="4"/>
  <c r="AD195" i="4"/>
  <c r="AE195" i="4"/>
  <c r="Q196" i="4"/>
  <c r="R196" i="4"/>
  <c r="S196" i="4"/>
  <c r="T196" i="4"/>
  <c r="U196" i="4"/>
  <c r="W196" i="4"/>
  <c r="X196" i="4"/>
  <c r="Y196" i="4"/>
  <c r="Z196" i="4"/>
  <c r="AA196" i="4"/>
  <c r="AB196" i="4"/>
  <c r="AC196" i="4"/>
  <c r="AD196" i="4"/>
  <c r="AE196" i="4"/>
  <c r="Q197" i="4"/>
  <c r="R197" i="4"/>
  <c r="S197" i="4"/>
  <c r="T197" i="4"/>
  <c r="U197" i="4"/>
  <c r="W197" i="4"/>
  <c r="X197" i="4"/>
  <c r="Y197" i="4"/>
  <c r="Z197" i="4"/>
  <c r="AA197" i="4"/>
  <c r="AB197" i="4"/>
  <c r="AC197" i="4"/>
  <c r="AD197" i="4"/>
  <c r="AE197" i="4"/>
  <c r="Q198" i="4"/>
  <c r="R198" i="4"/>
  <c r="S198" i="4"/>
  <c r="T198" i="4"/>
  <c r="U198" i="4"/>
  <c r="T191" i="4"/>
  <c r="W198" i="4"/>
  <c r="X198" i="4"/>
  <c r="Y198" i="4"/>
  <c r="Z198" i="4"/>
  <c r="AA198" i="4"/>
  <c r="AB198" i="4"/>
  <c r="AC198" i="4"/>
  <c r="AD198" i="4"/>
  <c r="AE198" i="4"/>
  <c r="Q199" i="4"/>
  <c r="R199" i="4"/>
  <c r="N199" i="4"/>
  <c r="S199" i="4"/>
  <c r="T199" i="4"/>
  <c r="U199" i="4"/>
  <c r="W199" i="4"/>
  <c r="X199" i="4"/>
  <c r="Y199" i="4"/>
  <c r="Z199" i="4"/>
  <c r="AA199" i="4"/>
  <c r="AB199" i="4"/>
  <c r="AC199" i="4"/>
  <c r="AD199" i="4"/>
  <c r="AE199" i="4"/>
  <c r="N203" i="4"/>
  <c r="O203" i="4"/>
  <c r="P203" i="4"/>
  <c r="R203" i="4"/>
  <c r="Q204" i="4"/>
  <c r="Q201" i="4"/>
  <c r="R204" i="4"/>
  <c r="S204" i="4"/>
  <c r="T204" i="4"/>
  <c r="N204" i="4"/>
  <c r="U204" i="4"/>
  <c r="W204" i="4"/>
  <c r="X204" i="4"/>
  <c r="Y204" i="4"/>
  <c r="Z204" i="4"/>
  <c r="AA204" i="4"/>
  <c r="AB204" i="4"/>
  <c r="AC204" i="4"/>
  <c r="AD204" i="4"/>
  <c r="AE204" i="4"/>
  <c r="Q205" i="4"/>
  <c r="R205" i="4"/>
  <c r="S205" i="4"/>
  <c r="T205" i="4"/>
  <c r="U205" i="4"/>
  <c r="W205" i="4"/>
  <c r="X205" i="4"/>
  <c r="Y205" i="4"/>
  <c r="Z205" i="4"/>
  <c r="AA205" i="4"/>
  <c r="AB205" i="4"/>
  <c r="AC205" i="4"/>
  <c r="AD205" i="4"/>
  <c r="AE205" i="4"/>
  <c r="Q206" i="4"/>
  <c r="R206" i="4"/>
  <c r="S206" i="4"/>
  <c r="T206" i="4"/>
  <c r="N206" i="4"/>
  <c r="U206" i="4"/>
  <c r="W206" i="4"/>
  <c r="X206" i="4"/>
  <c r="Y206" i="4"/>
  <c r="Z206" i="4"/>
  <c r="AA206" i="4"/>
  <c r="AB206" i="4"/>
  <c r="AC206" i="4"/>
  <c r="AD206" i="4"/>
  <c r="AE206" i="4"/>
  <c r="Q207" i="4"/>
  <c r="R207" i="4"/>
  <c r="R201" i="4"/>
  <c r="S207" i="4"/>
  <c r="T207" i="4"/>
  <c r="U207" i="4"/>
  <c r="W207" i="4"/>
  <c r="X207" i="4"/>
  <c r="Y207" i="4"/>
  <c r="Z207" i="4"/>
  <c r="AA207" i="4"/>
  <c r="AB207" i="4"/>
  <c r="AC207" i="4"/>
  <c r="AD207" i="4"/>
  <c r="AE207" i="4"/>
  <c r="Q208" i="4"/>
  <c r="R208" i="4"/>
  <c r="S208" i="4"/>
  <c r="T208" i="4"/>
  <c r="N208" i="4"/>
  <c r="U208" i="4"/>
  <c r="W208" i="4"/>
  <c r="X208" i="4"/>
  <c r="Y208" i="4"/>
  <c r="Z208" i="4"/>
  <c r="AA208" i="4"/>
  <c r="AB208" i="4"/>
  <c r="AC208" i="4"/>
  <c r="AD208" i="4"/>
  <c r="AE208" i="4"/>
  <c r="Q209" i="4"/>
  <c r="R209" i="4"/>
  <c r="S209" i="4"/>
  <c r="T209" i="4"/>
  <c r="U209" i="4"/>
  <c r="W209" i="4"/>
  <c r="X209" i="4"/>
  <c r="Y209" i="4"/>
  <c r="Z209" i="4"/>
  <c r="AA209" i="4"/>
  <c r="AB209" i="4"/>
  <c r="AC209" i="4"/>
  <c r="AD209" i="4"/>
  <c r="AE209" i="4"/>
  <c r="N211" i="4"/>
  <c r="O211" i="4"/>
  <c r="P211" i="4"/>
  <c r="N218" i="4"/>
  <c r="O218" i="4"/>
  <c r="P218" i="4"/>
  <c r="R218" i="4"/>
  <c r="Q219" i="4"/>
  <c r="Q216" i="4"/>
  <c r="R219" i="4"/>
  <c r="S219" i="4"/>
  <c r="T219" i="4"/>
  <c r="U219" i="4"/>
  <c r="W219" i="4"/>
  <c r="X219" i="4"/>
  <c r="Y219" i="4"/>
  <c r="Y216" i="4"/>
  <c r="Z219" i="4"/>
  <c r="AA219" i="4"/>
  <c r="AB219" i="4"/>
  <c r="AC219" i="4"/>
  <c r="AD219" i="4"/>
  <c r="AE219" i="4"/>
  <c r="Q220" i="4"/>
  <c r="R220" i="4"/>
  <c r="N220" i="4"/>
  <c r="S220" i="4"/>
  <c r="T220" i="4"/>
  <c r="U220" i="4"/>
  <c r="U216" i="4"/>
  <c r="W220" i="4"/>
  <c r="X220" i="4"/>
  <c r="Y220" i="4"/>
  <c r="Z220" i="4"/>
  <c r="AA220" i="4"/>
  <c r="AB220" i="4"/>
  <c r="AC220" i="4"/>
  <c r="AD220" i="4"/>
  <c r="AE220" i="4"/>
  <c r="Q221" i="4"/>
  <c r="R221" i="4"/>
  <c r="S221" i="4"/>
  <c r="T221" i="4"/>
  <c r="U221" i="4"/>
  <c r="W221" i="4"/>
  <c r="X221" i="4"/>
  <c r="Y221" i="4"/>
  <c r="Z221" i="4"/>
  <c r="AA221" i="4"/>
  <c r="AB221" i="4"/>
  <c r="AC221" i="4"/>
  <c r="AD221" i="4"/>
  <c r="AE221" i="4"/>
  <c r="Q222" i="4"/>
  <c r="R222" i="4"/>
  <c r="S222" i="4"/>
  <c r="T222" i="4"/>
  <c r="U222" i="4"/>
  <c r="W222" i="4"/>
  <c r="W216" i="4"/>
  <c r="X222" i="4"/>
  <c r="Y222" i="4"/>
  <c r="Z222" i="4"/>
  <c r="AA222" i="4"/>
  <c r="AB222" i="4"/>
  <c r="AC222" i="4"/>
  <c r="AD222" i="4"/>
  <c r="AD216" i="4"/>
  <c r="AE222" i="4"/>
  <c r="N226" i="4"/>
  <c r="O226" i="4"/>
  <c r="P226" i="4"/>
  <c r="R226" i="4"/>
  <c r="Q227" i="4"/>
  <c r="R227" i="4"/>
  <c r="N227" i="4"/>
  <c r="S227" i="4"/>
  <c r="W227" i="4"/>
  <c r="X227" i="4"/>
  <c r="Y227" i="4"/>
  <c r="Z227" i="4"/>
  <c r="Q228" i="4"/>
  <c r="R228" i="4"/>
  <c r="N228" i="4"/>
  <c r="S228" i="4"/>
  <c r="W228" i="4"/>
  <c r="W224" i="4"/>
  <c r="X228" i="4"/>
  <c r="Y228" i="4"/>
  <c r="Y224" i="4"/>
  <c r="Z228" i="4"/>
  <c r="Q229" i="4"/>
  <c r="R229" i="4"/>
  <c r="S229" i="4"/>
  <c r="W229" i="4"/>
  <c r="X229" i="4"/>
  <c r="Y229" i="4"/>
  <c r="Z229" i="4"/>
  <c r="Q230" i="4"/>
  <c r="R230" i="4"/>
  <c r="N230" i="4"/>
  <c r="S230" i="4"/>
  <c r="W230" i="4"/>
  <c r="X230" i="4"/>
  <c r="X224" i="4"/>
  <c r="Y230" i="4"/>
  <c r="Z230" i="4"/>
  <c r="N236" i="4"/>
  <c r="O236" i="4"/>
  <c r="P236" i="4"/>
  <c r="R236" i="4"/>
  <c r="Q237" i="4"/>
  <c r="R237" i="4"/>
  <c r="R234" i="4"/>
  <c r="S237" i="4"/>
  <c r="T237" i="4"/>
  <c r="U237" i="4"/>
  <c r="W237" i="4"/>
  <c r="X237" i="4"/>
  <c r="Y237" i="4"/>
  <c r="Z237" i="4"/>
  <c r="AA237" i="4"/>
  <c r="AB237" i="4"/>
  <c r="AC237" i="4"/>
  <c r="AD237" i="4"/>
  <c r="AE237" i="4"/>
  <c r="Q238" i="4"/>
  <c r="R238" i="4"/>
  <c r="S238" i="4"/>
  <c r="T238" i="4"/>
  <c r="U238" i="4"/>
  <c r="W238" i="4"/>
  <c r="X238" i="4"/>
  <c r="Y238" i="4"/>
  <c r="Z238" i="4"/>
  <c r="Z234" i="4"/>
  <c r="AA238" i="4"/>
  <c r="AB238" i="4"/>
  <c r="AC238" i="4"/>
  <c r="AD238" i="4"/>
  <c r="AE238" i="4"/>
  <c r="Q239" i="4"/>
  <c r="R239" i="4"/>
  <c r="S239" i="4"/>
  <c r="T239" i="4"/>
  <c r="U239" i="4"/>
  <c r="W239" i="4"/>
  <c r="X239" i="4"/>
  <c r="Y239" i="4"/>
  <c r="Z239" i="4"/>
  <c r="AA239" i="4"/>
  <c r="AB239" i="4"/>
  <c r="AC239" i="4"/>
  <c r="AD239" i="4"/>
  <c r="AE239" i="4"/>
  <c r="Q240" i="4"/>
  <c r="R240" i="4"/>
  <c r="S240" i="4"/>
  <c r="T240" i="4"/>
  <c r="N240" i="4"/>
  <c r="U240" i="4"/>
  <c r="W240" i="4"/>
  <c r="X240" i="4"/>
  <c r="Y240" i="4"/>
  <c r="Z240" i="4"/>
  <c r="AA240" i="4"/>
  <c r="AB240" i="4"/>
  <c r="AB234" i="4"/>
  <c r="AC240" i="4"/>
  <c r="AD240" i="4"/>
  <c r="AE240" i="4"/>
  <c r="N244" i="4"/>
  <c r="O244" i="4"/>
  <c r="P244" i="4"/>
  <c r="R244" i="4"/>
  <c r="N245" i="4"/>
  <c r="Q245" i="4"/>
  <c r="R245" i="4"/>
  <c r="S245" i="4"/>
  <c r="W245" i="4"/>
  <c r="W242" i="4"/>
  <c r="X245" i="4"/>
  <c r="Y245" i="4"/>
  <c r="Z245" i="4"/>
  <c r="Q246" i="4"/>
  <c r="R246" i="4"/>
  <c r="N246" i="4"/>
  <c r="S246" i="4"/>
  <c r="W246" i="4"/>
  <c r="X246" i="4"/>
  <c r="Y246" i="4"/>
  <c r="Z246" i="4"/>
  <c r="O246" i="4"/>
  <c r="Q247" i="4"/>
  <c r="R247" i="4"/>
  <c r="N247" i="4"/>
  <c r="S247" i="4"/>
  <c r="W247" i="4"/>
  <c r="X247" i="4"/>
  <c r="Y247" i="4"/>
  <c r="Z247" i="4"/>
  <c r="Q248" i="4"/>
  <c r="R248" i="4"/>
  <c r="N248" i="4"/>
  <c r="S248" i="4"/>
  <c r="W248" i="4"/>
  <c r="X248" i="4"/>
  <c r="Y248" i="4"/>
  <c r="Z248" i="4"/>
  <c r="N250" i="4"/>
  <c r="O250" i="4"/>
  <c r="P250" i="4"/>
  <c r="N255" i="4"/>
  <c r="O255" i="4"/>
  <c r="P255" i="4"/>
  <c r="R255" i="4"/>
  <c r="Q256" i="4"/>
  <c r="R256" i="4"/>
  <c r="S256" i="4"/>
  <c r="T256" i="4"/>
  <c r="U256" i="4"/>
  <c r="W256" i="4"/>
  <c r="X256" i="4"/>
  <c r="Y256" i="4"/>
  <c r="Z256" i="4"/>
  <c r="AA256" i="4"/>
  <c r="AB256" i="4"/>
  <c r="AC256" i="4"/>
  <c r="AD256" i="4"/>
  <c r="AE256" i="4"/>
  <c r="Q257" i="4"/>
  <c r="R257" i="4"/>
  <c r="S257" i="4"/>
  <c r="T257" i="4"/>
  <c r="U257" i="4"/>
  <c r="W257" i="4"/>
  <c r="X257" i="4"/>
  <c r="Y257" i="4"/>
  <c r="Z257" i="4"/>
  <c r="AA257" i="4"/>
  <c r="AB257" i="4"/>
  <c r="AC257" i="4"/>
  <c r="AC253" i="4"/>
  <c r="AD257" i="4"/>
  <c r="AE257" i="4"/>
  <c r="Q258" i="4"/>
  <c r="R258" i="4"/>
  <c r="S258" i="4"/>
  <c r="T258" i="4"/>
  <c r="U258" i="4"/>
  <c r="W258" i="4"/>
  <c r="X258" i="4"/>
  <c r="Y258" i="4"/>
  <c r="Z258" i="4"/>
  <c r="AA258" i="4"/>
  <c r="AB258" i="4"/>
  <c r="AC258" i="4"/>
  <c r="AD258" i="4"/>
  <c r="AE258" i="4"/>
  <c r="Q259" i="4"/>
  <c r="R259" i="4"/>
  <c r="S259" i="4"/>
  <c r="T259" i="4"/>
  <c r="U259" i="4"/>
  <c r="W259" i="4"/>
  <c r="X259" i="4"/>
  <c r="Y259" i="4"/>
  <c r="Z259" i="4"/>
  <c r="AA259" i="4"/>
  <c r="AB259" i="4"/>
  <c r="AC259" i="4"/>
  <c r="AD259" i="4"/>
  <c r="AE259" i="4"/>
  <c r="Q260" i="4"/>
  <c r="R260" i="4"/>
  <c r="S260" i="4"/>
  <c r="T260" i="4"/>
  <c r="U260" i="4"/>
  <c r="N260" i="4"/>
  <c r="W260" i="4"/>
  <c r="X260" i="4"/>
  <c r="Y260" i="4"/>
  <c r="Z260" i="4"/>
  <c r="AA260" i="4"/>
  <c r="AB260" i="4"/>
  <c r="AC260" i="4"/>
  <c r="AD260" i="4"/>
  <c r="AE260" i="4"/>
  <c r="Q261" i="4"/>
  <c r="R261" i="4"/>
  <c r="S261" i="4"/>
  <c r="T261" i="4"/>
  <c r="U261" i="4"/>
  <c r="N261" i="4"/>
  <c r="W261" i="4"/>
  <c r="X261" i="4"/>
  <c r="Y261" i="4"/>
  <c r="Z261" i="4"/>
  <c r="AA261" i="4"/>
  <c r="AB261" i="4"/>
  <c r="AC261" i="4"/>
  <c r="AD261" i="4"/>
  <c r="AE261" i="4"/>
  <c r="N262" i="4"/>
  <c r="Q262" i="4"/>
  <c r="R262" i="4"/>
  <c r="S262" i="4"/>
  <c r="T262" i="4"/>
  <c r="U262" i="4"/>
  <c r="W262" i="4"/>
  <c r="X262" i="4"/>
  <c r="Y262" i="4"/>
  <c r="Z262" i="4"/>
  <c r="AA262" i="4"/>
  <c r="AB262" i="4"/>
  <c r="AC262" i="4"/>
  <c r="AD262" i="4"/>
  <c r="AE262" i="4"/>
  <c r="Q263" i="4"/>
  <c r="R263" i="4"/>
  <c r="N263" i="4"/>
  <c r="S263" i="4"/>
  <c r="T263" i="4"/>
  <c r="U263" i="4"/>
  <c r="W263" i="4"/>
  <c r="X263" i="4"/>
  <c r="Y263" i="4"/>
  <c r="Z263" i="4"/>
  <c r="AA263" i="4"/>
  <c r="AB263" i="4"/>
  <c r="AC263" i="4"/>
  <c r="AD263" i="4"/>
  <c r="AE263" i="4"/>
  <c r="Q264" i="4"/>
  <c r="R264" i="4"/>
  <c r="S264" i="4"/>
  <c r="T264" i="4"/>
  <c r="U264" i="4"/>
  <c r="W264" i="4"/>
  <c r="X264" i="4"/>
  <c r="Y264" i="4"/>
  <c r="Z264" i="4"/>
  <c r="AA264" i="4"/>
  <c r="AB264" i="4"/>
  <c r="AC264" i="4"/>
  <c r="AD264" i="4"/>
  <c r="AE264" i="4"/>
  <c r="Q265" i="4"/>
  <c r="R265" i="4"/>
  <c r="S265" i="4"/>
  <c r="T265" i="4"/>
  <c r="U265" i="4"/>
  <c r="W265" i="4"/>
  <c r="X265" i="4"/>
  <c r="Y265" i="4"/>
  <c r="Z265" i="4"/>
  <c r="AA265" i="4"/>
  <c r="AB265" i="4"/>
  <c r="AC265" i="4"/>
  <c r="AD265" i="4"/>
  <c r="AE265" i="4"/>
  <c r="Q266" i="4"/>
  <c r="R266" i="4"/>
  <c r="S266" i="4"/>
  <c r="T266" i="4"/>
  <c r="U266" i="4"/>
  <c r="N266" i="4"/>
  <c r="W266" i="4"/>
  <c r="X266" i="4"/>
  <c r="Y266" i="4"/>
  <c r="Z266" i="4"/>
  <c r="AA266" i="4"/>
  <c r="AB266" i="4"/>
  <c r="AC266" i="4"/>
  <c r="AD266" i="4"/>
  <c r="AE266" i="4"/>
  <c r="Q267" i="4"/>
  <c r="R267" i="4"/>
  <c r="S267" i="4"/>
  <c r="T267" i="4"/>
  <c r="U267" i="4"/>
  <c r="W267" i="4"/>
  <c r="X267" i="4"/>
  <c r="Y267" i="4"/>
  <c r="Z267" i="4"/>
  <c r="AA267" i="4"/>
  <c r="AB267" i="4"/>
  <c r="AC267" i="4"/>
  <c r="AD267" i="4"/>
  <c r="AE267" i="4"/>
  <c r="Q268" i="4"/>
  <c r="R268" i="4"/>
  <c r="S268" i="4"/>
  <c r="T268" i="4"/>
  <c r="U268" i="4"/>
  <c r="W268" i="4"/>
  <c r="X268" i="4"/>
  <c r="Y268" i="4"/>
  <c r="Z268" i="4"/>
  <c r="AA268" i="4"/>
  <c r="AB268" i="4"/>
  <c r="AC268" i="4"/>
  <c r="AD268" i="4"/>
  <c r="AE268" i="4"/>
  <c r="Q269" i="4"/>
  <c r="R269" i="4"/>
  <c r="S269" i="4"/>
  <c r="T269" i="4"/>
  <c r="U269" i="4"/>
  <c r="W269" i="4"/>
  <c r="X269" i="4"/>
  <c r="Y269" i="4"/>
  <c r="Z269" i="4"/>
  <c r="AA269" i="4"/>
  <c r="AB269" i="4"/>
  <c r="AC269" i="4"/>
  <c r="AD269" i="4"/>
  <c r="AE269" i="4"/>
  <c r="N273" i="4"/>
  <c r="O273" i="4"/>
  <c r="P273" i="4"/>
  <c r="R273" i="4"/>
  <c r="N274" i="4"/>
  <c r="Q274" i="4"/>
  <c r="R274" i="4"/>
  <c r="S274" i="4"/>
  <c r="W274" i="4"/>
  <c r="X274" i="4"/>
  <c r="Y274" i="4"/>
  <c r="Z274" i="4"/>
  <c r="Q275" i="4"/>
  <c r="R275" i="4"/>
  <c r="N275" i="4"/>
  <c r="S275" i="4"/>
  <c r="W275" i="4"/>
  <c r="X275" i="4"/>
  <c r="Y275" i="4"/>
  <c r="Z275" i="4"/>
  <c r="Q276" i="4"/>
  <c r="R276" i="4"/>
  <c r="N276" i="4"/>
  <c r="S276" i="4"/>
  <c r="W276" i="4"/>
  <c r="X276" i="4"/>
  <c r="Y276" i="4"/>
  <c r="Z276" i="4"/>
  <c r="Q277" i="4"/>
  <c r="R277" i="4"/>
  <c r="N277" i="4"/>
  <c r="S277" i="4"/>
  <c r="W277" i="4"/>
  <c r="X277" i="4"/>
  <c r="Y277" i="4"/>
  <c r="Z277" i="4"/>
  <c r="N278" i="4"/>
  <c r="Q278" i="4"/>
  <c r="R278" i="4"/>
  <c r="S278" i="4"/>
  <c r="W278" i="4"/>
  <c r="X278" i="4"/>
  <c r="Y278" i="4"/>
  <c r="Z278" i="4"/>
  <c r="N279" i="4"/>
  <c r="Q279" i="4"/>
  <c r="R279" i="4"/>
  <c r="S279" i="4"/>
  <c r="W279" i="4"/>
  <c r="X279" i="4"/>
  <c r="Y279" i="4"/>
  <c r="Z279" i="4"/>
  <c r="Q280" i="4"/>
  <c r="R280" i="4"/>
  <c r="N280" i="4"/>
  <c r="S280" i="4"/>
  <c r="W280" i="4"/>
  <c r="X280" i="4"/>
  <c r="Y280" i="4"/>
  <c r="Z280" i="4"/>
  <c r="Q281" i="4"/>
  <c r="R281" i="4"/>
  <c r="N281" i="4"/>
  <c r="S281" i="4"/>
  <c r="W281" i="4"/>
  <c r="X281" i="4"/>
  <c r="Y281" i="4"/>
  <c r="Z281" i="4"/>
  <c r="N282" i="4"/>
  <c r="Q282" i="4"/>
  <c r="R282" i="4"/>
  <c r="S282" i="4"/>
  <c r="W282" i="4"/>
  <c r="X282" i="4"/>
  <c r="Y282" i="4"/>
  <c r="Z282" i="4"/>
  <c r="Q283" i="4"/>
  <c r="R283" i="4"/>
  <c r="S283" i="4"/>
  <c r="W283" i="4"/>
  <c r="X283" i="4"/>
  <c r="Y283" i="4"/>
  <c r="Z283" i="4"/>
  <c r="Q284" i="4"/>
  <c r="R284" i="4"/>
  <c r="N284" i="4"/>
  <c r="S284" i="4"/>
  <c r="W284" i="4"/>
  <c r="X284" i="4"/>
  <c r="Y284" i="4"/>
  <c r="Z284" i="4"/>
  <c r="Q285" i="4"/>
  <c r="R285" i="4"/>
  <c r="N285" i="4"/>
  <c r="S285" i="4"/>
  <c r="W285" i="4"/>
  <c r="X285" i="4"/>
  <c r="Y285" i="4"/>
  <c r="Z285" i="4"/>
  <c r="Q286" i="4"/>
  <c r="R286" i="4"/>
  <c r="S286" i="4"/>
  <c r="W286" i="4"/>
  <c r="X286" i="4"/>
  <c r="Y286" i="4"/>
  <c r="Z286" i="4"/>
  <c r="Q287" i="4"/>
  <c r="R287" i="4"/>
  <c r="N287" i="4"/>
  <c r="S287" i="4"/>
  <c r="W287" i="4"/>
  <c r="X287" i="4"/>
  <c r="Y287" i="4"/>
  <c r="Z287" i="4"/>
  <c r="N289" i="4"/>
  <c r="O289" i="4"/>
  <c r="P289" i="4"/>
  <c r="N294" i="4"/>
  <c r="O294" i="4"/>
  <c r="P294" i="4"/>
  <c r="R294" i="4"/>
  <c r="Q295" i="4"/>
  <c r="R295" i="4"/>
  <c r="S295" i="4"/>
  <c r="T295" i="4"/>
  <c r="N295" i="4"/>
  <c r="U295" i="4"/>
  <c r="W295" i="4"/>
  <c r="X295" i="4"/>
  <c r="Y295" i="4"/>
  <c r="Z295" i="4"/>
  <c r="AA295" i="4"/>
  <c r="AA292" i="4"/>
  <c r="AB295" i="4"/>
  <c r="AC295" i="4"/>
  <c r="AD295" i="4"/>
  <c r="AE295" i="4"/>
  <c r="Q296" i="4"/>
  <c r="R296" i="4"/>
  <c r="S296" i="4"/>
  <c r="T296" i="4"/>
  <c r="N296" i="4"/>
  <c r="O296" i="4"/>
  <c r="P296" i="4"/>
  <c r="U296" i="4"/>
  <c r="W296" i="4"/>
  <c r="X296" i="4"/>
  <c r="Y296" i="4"/>
  <c r="Z296" i="4"/>
  <c r="AA296" i="4"/>
  <c r="AB296" i="4"/>
  <c r="AC296" i="4"/>
  <c r="AD296" i="4"/>
  <c r="AE296" i="4"/>
  <c r="Q297" i="4"/>
  <c r="R297" i="4"/>
  <c r="N297" i="4"/>
  <c r="S297" i="4"/>
  <c r="T297" i="4"/>
  <c r="U297" i="4"/>
  <c r="W297" i="4"/>
  <c r="X297" i="4"/>
  <c r="Y297" i="4"/>
  <c r="Z297" i="4"/>
  <c r="Z292" i="4"/>
  <c r="AA297" i="4"/>
  <c r="AB297" i="4"/>
  <c r="AC297" i="4"/>
  <c r="AD297" i="4"/>
  <c r="AE297" i="4"/>
  <c r="Q298" i="4"/>
  <c r="R298" i="4"/>
  <c r="S298" i="4"/>
  <c r="T298" i="4"/>
  <c r="U298" i="4"/>
  <c r="W298" i="4"/>
  <c r="X298" i="4"/>
  <c r="Y298" i="4"/>
  <c r="Z298" i="4"/>
  <c r="AA298" i="4"/>
  <c r="AB298" i="4"/>
  <c r="AC298" i="4"/>
  <c r="AD298" i="4"/>
  <c r="AE298" i="4"/>
  <c r="Q299" i="4"/>
  <c r="R299" i="4"/>
  <c r="S299" i="4"/>
  <c r="T299" i="4"/>
  <c r="U299" i="4"/>
  <c r="W299" i="4"/>
  <c r="X299" i="4"/>
  <c r="Y299" i="4"/>
  <c r="Z299" i="4"/>
  <c r="AA299" i="4"/>
  <c r="AB299" i="4"/>
  <c r="AC299" i="4"/>
  <c r="AD299" i="4"/>
  <c r="AE299" i="4"/>
  <c r="Q300" i="4"/>
  <c r="R300" i="4"/>
  <c r="S300" i="4"/>
  <c r="T300" i="4"/>
  <c r="U300" i="4"/>
  <c r="N300" i="4"/>
  <c r="W300" i="4"/>
  <c r="X300" i="4"/>
  <c r="Y300" i="4"/>
  <c r="Z300" i="4"/>
  <c r="AA300" i="4"/>
  <c r="AB300" i="4"/>
  <c r="AC300" i="4"/>
  <c r="AD300" i="4"/>
  <c r="AE300" i="4"/>
  <c r="N304" i="4"/>
  <c r="O304" i="4"/>
  <c r="P304" i="4"/>
  <c r="R304" i="4"/>
  <c r="Q305" i="4"/>
  <c r="R305" i="4"/>
  <c r="N305" i="4"/>
  <c r="S305" i="4"/>
  <c r="W305" i="4"/>
  <c r="X305" i="4"/>
  <c r="Y305" i="4"/>
  <c r="Z305" i="4"/>
  <c r="Q306" i="4"/>
  <c r="R306" i="4"/>
  <c r="N306" i="4"/>
  <c r="S306" i="4"/>
  <c r="W306" i="4"/>
  <c r="X306" i="4"/>
  <c r="X302" i="4"/>
  <c r="Y306" i="4"/>
  <c r="O306" i="4"/>
  <c r="Z306" i="4"/>
  <c r="Q307" i="4"/>
  <c r="R307" i="4"/>
  <c r="S307" i="4"/>
  <c r="W307" i="4"/>
  <c r="X307" i="4"/>
  <c r="Y307" i="4"/>
  <c r="Z307" i="4"/>
  <c r="Q308" i="4"/>
  <c r="R308" i="4"/>
  <c r="N308" i="4"/>
  <c r="S308" i="4"/>
  <c r="W308" i="4"/>
  <c r="X308" i="4"/>
  <c r="Y308" i="4"/>
  <c r="Z308" i="4"/>
  <c r="Q309" i="4"/>
  <c r="R309" i="4"/>
  <c r="N309" i="4"/>
  <c r="S309" i="4"/>
  <c r="W309" i="4"/>
  <c r="X309" i="4"/>
  <c r="Y309" i="4"/>
  <c r="Z309" i="4"/>
  <c r="Q310" i="4"/>
  <c r="R310" i="4"/>
  <c r="N310" i="4"/>
  <c r="S310" i="4"/>
  <c r="W310" i="4"/>
  <c r="X310" i="4"/>
  <c r="Y310" i="4"/>
  <c r="Z310" i="4"/>
  <c r="N312" i="4"/>
  <c r="O312" i="4"/>
  <c r="P312" i="4"/>
  <c r="N317" i="4"/>
  <c r="O317" i="4"/>
  <c r="P317" i="4"/>
  <c r="R317" i="4"/>
  <c r="Q318" i="4"/>
  <c r="R318" i="4"/>
  <c r="N318" i="4"/>
  <c r="S318" i="4"/>
  <c r="T318" i="4"/>
  <c r="U318" i="4"/>
  <c r="W318" i="4"/>
  <c r="X318" i="4"/>
  <c r="Y318" i="4"/>
  <c r="Z318" i="4"/>
  <c r="AA318" i="4"/>
  <c r="AB318" i="4"/>
  <c r="AC318" i="4"/>
  <c r="AD318" i="4"/>
  <c r="AE318" i="4"/>
  <c r="Q319" i="4"/>
  <c r="R319" i="4"/>
  <c r="N319" i="4"/>
  <c r="S319" i="4"/>
  <c r="T319" i="4"/>
  <c r="U319" i="4"/>
  <c r="W319" i="4"/>
  <c r="X319" i="4"/>
  <c r="X315" i="4"/>
  <c r="Y319" i="4"/>
  <c r="Z319" i="4"/>
  <c r="AA319" i="4"/>
  <c r="AB319" i="4"/>
  <c r="AC319" i="4"/>
  <c r="AD319" i="4"/>
  <c r="AE319" i="4"/>
  <c r="Q320" i="4"/>
  <c r="R320" i="4"/>
  <c r="S320" i="4"/>
  <c r="T320" i="4"/>
  <c r="U320" i="4"/>
  <c r="W320" i="4"/>
  <c r="X320" i="4"/>
  <c r="Y320" i="4"/>
  <c r="Z320" i="4"/>
  <c r="AA320" i="4"/>
  <c r="AB320" i="4"/>
  <c r="AC320" i="4"/>
  <c r="AD320" i="4"/>
  <c r="AE320" i="4"/>
  <c r="Q321" i="4"/>
  <c r="R321" i="4"/>
  <c r="S321" i="4"/>
  <c r="T321" i="4"/>
  <c r="U321" i="4"/>
  <c r="W321" i="4"/>
  <c r="X321" i="4"/>
  <c r="Y321" i="4"/>
  <c r="Z321" i="4"/>
  <c r="Z315" i="4"/>
  <c r="AA321" i="4"/>
  <c r="AB321" i="4"/>
  <c r="AC321" i="4"/>
  <c r="AD321" i="4"/>
  <c r="AE321" i="4"/>
  <c r="Q322" i="4"/>
  <c r="R322" i="4"/>
  <c r="N322" i="4"/>
  <c r="O322" i="4"/>
  <c r="P322" i="4"/>
  <c r="S322" i="4"/>
  <c r="T322" i="4"/>
  <c r="U322" i="4"/>
  <c r="W322" i="4"/>
  <c r="X322" i="4"/>
  <c r="Y322" i="4"/>
  <c r="Z322" i="4"/>
  <c r="AA322" i="4"/>
  <c r="AB322" i="4"/>
  <c r="AC322" i="4"/>
  <c r="AD322" i="4"/>
  <c r="AE322" i="4"/>
  <c r="Q323" i="4"/>
  <c r="R323" i="4"/>
  <c r="S323" i="4"/>
  <c r="T323" i="4"/>
  <c r="U323" i="4"/>
  <c r="W323" i="4"/>
  <c r="X323" i="4"/>
  <c r="Y323" i="4"/>
  <c r="Z323" i="4"/>
  <c r="AA323" i="4"/>
  <c r="AB323" i="4"/>
  <c r="AC323" i="4"/>
  <c r="AD323" i="4"/>
  <c r="AE323" i="4"/>
  <c r="Q324" i="4"/>
  <c r="R324" i="4"/>
  <c r="S324" i="4"/>
  <c r="T324" i="4"/>
  <c r="U324" i="4"/>
  <c r="W324" i="4"/>
  <c r="X324" i="4"/>
  <c r="Y324" i="4"/>
  <c r="Z324" i="4"/>
  <c r="AA324" i="4"/>
  <c r="AB324" i="4"/>
  <c r="AC324" i="4"/>
  <c r="AD324" i="4"/>
  <c r="AE324" i="4"/>
  <c r="Q325" i="4"/>
  <c r="R325" i="4"/>
  <c r="S325" i="4"/>
  <c r="T325" i="4"/>
  <c r="U325" i="4"/>
  <c r="N325" i="4"/>
  <c r="W325" i="4"/>
  <c r="X325" i="4"/>
  <c r="Y325" i="4"/>
  <c r="Z325" i="4"/>
  <c r="AA325" i="4"/>
  <c r="AB325" i="4"/>
  <c r="AC325" i="4"/>
  <c r="AD325" i="4"/>
  <c r="O325" i="4"/>
  <c r="P325" i="4"/>
  <c r="AE325" i="4"/>
  <c r="N329" i="4"/>
  <c r="O329" i="4"/>
  <c r="P329" i="4"/>
  <c r="R329" i="4"/>
  <c r="Q330" i="4"/>
  <c r="R330" i="4"/>
  <c r="N330" i="4"/>
  <c r="S330" i="4"/>
  <c r="W330" i="4"/>
  <c r="X330" i="4"/>
  <c r="Y330" i="4"/>
  <c r="Y327" i="4"/>
  <c r="Z330" i="4"/>
  <c r="Q331" i="4"/>
  <c r="R331" i="4"/>
  <c r="N331" i="4"/>
  <c r="S331" i="4"/>
  <c r="W331" i="4"/>
  <c r="X331" i="4"/>
  <c r="Y331" i="4"/>
  <c r="Z331" i="4"/>
  <c r="Q332" i="4"/>
  <c r="R332" i="4"/>
  <c r="N332" i="4"/>
  <c r="S332" i="4"/>
  <c r="W332" i="4"/>
  <c r="X332" i="4"/>
  <c r="Y332" i="4"/>
  <c r="Z332" i="4"/>
  <c r="Q333" i="4"/>
  <c r="R333" i="4"/>
  <c r="N333" i="4"/>
  <c r="S333" i="4"/>
  <c r="W333" i="4"/>
  <c r="X333" i="4"/>
  <c r="Y333" i="4"/>
  <c r="Z333" i="4"/>
  <c r="Q334" i="4"/>
  <c r="R334" i="4"/>
  <c r="N334" i="4"/>
  <c r="O334" i="4"/>
  <c r="P334" i="4"/>
  <c r="S334" i="4"/>
  <c r="W334" i="4"/>
  <c r="X334" i="4"/>
  <c r="Y334" i="4"/>
  <c r="Z334" i="4"/>
  <c r="Q335" i="4"/>
  <c r="R335" i="4"/>
  <c r="N335" i="4"/>
  <c r="S335" i="4"/>
  <c r="W335" i="4"/>
  <c r="X335" i="4"/>
  <c r="Y335" i="4"/>
  <c r="Z335" i="4"/>
  <c r="Q336" i="4"/>
  <c r="R336" i="4"/>
  <c r="N336" i="4"/>
  <c r="S336" i="4"/>
  <c r="W336" i="4"/>
  <c r="X336" i="4"/>
  <c r="Y336" i="4"/>
  <c r="Z336" i="4"/>
  <c r="Q337" i="4"/>
  <c r="R337" i="4"/>
  <c r="S337" i="4"/>
  <c r="W337" i="4"/>
  <c r="X337" i="4"/>
  <c r="Y337" i="4"/>
  <c r="Z337" i="4"/>
  <c r="N339" i="4"/>
  <c r="O339" i="4"/>
  <c r="P339" i="4"/>
  <c r="N344" i="4"/>
  <c r="O344" i="4"/>
  <c r="P344" i="4"/>
  <c r="R344" i="4"/>
  <c r="Q345" i="4"/>
  <c r="R345" i="4"/>
  <c r="S345" i="4"/>
  <c r="T345" i="4"/>
  <c r="U345" i="4"/>
  <c r="W345" i="4"/>
  <c r="X345" i="4"/>
  <c r="Y345" i="4"/>
  <c r="Z345" i="4"/>
  <c r="AA345" i="4"/>
  <c r="AB345" i="4"/>
  <c r="AC345" i="4"/>
  <c r="AD345" i="4"/>
  <c r="AE345" i="4"/>
  <c r="Q346" i="4"/>
  <c r="R346" i="4"/>
  <c r="N346" i="4"/>
  <c r="S346" i="4"/>
  <c r="T346" i="4"/>
  <c r="U346" i="4"/>
  <c r="W346" i="4"/>
  <c r="X346" i="4"/>
  <c r="Y346" i="4"/>
  <c r="Z346" i="4"/>
  <c r="AA346" i="4"/>
  <c r="AB346" i="4"/>
  <c r="AC346" i="4"/>
  <c r="AD346" i="4"/>
  <c r="AE346" i="4"/>
  <c r="Q347" i="4"/>
  <c r="R347" i="4"/>
  <c r="S347" i="4"/>
  <c r="T347" i="4"/>
  <c r="U347" i="4"/>
  <c r="W347" i="4"/>
  <c r="X347" i="4"/>
  <c r="Y347" i="4"/>
  <c r="Z347" i="4"/>
  <c r="AA347" i="4"/>
  <c r="AB347" i="4"/>
  <c r="AC347" i="4"/>
  <c r="AD347" i="4"/>
  <c r="AE347" i="4"/>
  <c r="Q348" i="4"/>
  <c r="R348" i="4"/>
  <c r="S348" i="4"/>
  <c r="T348" i="4"/>
  <c r="U348" i="4"/>
  <c r="W348" i="4"/>
  <c r="X348" i="4"/>
  <c r="Y348" i="4"/>
  <c r="Z348" i="4"/>
  <c r="AA348" i="4"/>
  <c r="AB348" i="4"/>
  <c r="AC348" i="4"/>
  <c r="AD348" i="4"/>
  <c r="AE348" i="4"/>
  <c r="Q349" i="4"/>
  <c r="R349" i="4"/>
  <c r="S349" i="4"/>
  <c r="T349" i="4"/>
  <c r="U349" i="4"/>
  <c r="W349" i="4"/>
  <c r="X349" i="4"/>
  <c r="Y349" i="4"/>
  <c r="Z349" i="4"/>
  <c r="AA349" i="4"/>
  <c r="AB349" i="4"/>
  <c r="AC349" i="4"/>
  <c r="AD349" i="4"/>
  <c r="AE349" i="4"/>
  <c r="Q350" i="4"/>
  <c r="R350" i="4"/>
  <c r="S350" i="4"/>
  <c r="T350" i="4"/>
  <c r="U350" i="4"/>
  <c r="W350" i="4"/>
  <c r="X350" i="4"/>
  <c r="Y350" i="4"/>
  <c r="Z350" i="4"/>
  <c r="AA350" i="4"/>
  <c r="AB350" i="4"/>
  <c r="AC350" i="4"/>
  <c r="AD350" i="4"/>
  <c r="AE350" i="4"/>
  <c r="Q351" i="4"/>
  <c r="R351" i="4"/>
  <c r="S351" i="4"/>
  <c r="T351" i="4"/>
  <c r="U351" i="4"/>
  <c r="W351" i="4"/>
  <c r="X351" i="4"/>
  <c r="Y351" i="4"/>
  <c r="Z351" i="4"/>
  <c r="AA351" i="4"/>
  <c r="AB351" i="4"/>
  <c r="AC351" i="4"/>
  <c r="AD351" i="4"/>
  <c r="AE351" i="4"/>
  <c r="Q352" i="4"/>
  <c r="R352" i="4"/>
  <c r="S352" i="4"/>
  <c r="T352" i="4"/>
  <c r="U352" i="4"/>
  <c r="W352" i="4"/>
  <c r="X352" i="4"/>
  <c r="Y352" i="4"/>
  <c r="Z352" i="4"/>
  <c r="AA352" i="4"/>
  <c r="AB352" i="4"/>
  <c r="AC352" i="4"/>
  <c r="AC342" i="4"/>
  <c r="AD352" i="4"/>
  <c r="AE352" i="4"/>
  <c r="Q353" i="4"/>
  <c r="R353" i="4"/>
  <c r="S353" i="4"/>
  <c r="T353" i="4"/>
  <c r="U353" i="4"/>
  <c r="W353" i="4"/>
  <c r="X353" i="4"/>
  <c r="Y353" i="4"/>
  <c r="Z353" i="4"/>
  <c r="AA353" i="4"/>
  <c r="AB353" i="4"/>
  <c r="AC353" i="4"/>
  <c r="AD353" i="4"/>
  <c r="AE353" i="4"/>
  <c r="Q354" i="4"/>
  <c r="R354" i="4"/>
  <c r="S354" i="4"/>
  <c r="T354" i="4"/>
  <c r="N354" i="4"/>
  <c r="U354" i="4"/>
  <c r="W354" i="4"/>
  <c r="X354" i="4"/>
  <c r="Y354" i="4"/>
  <c r="Z354" i="4"/>
  <c r="AA354" i="4"/>
  <c r="AB354" i="4"/>
  <c r="AC354" i="4"/>
  <c r="AD354" i="4"/>
  <c r="AE354" i="4"/>
  <c r="N359" i="4"/>
  <c r="O359" i="4"/>
  <c r="P359" i="4"/>
  <c r="R359" i="4"/>
  <c r="Q360" i="4"/>
  <c r="R360" i="4"/>
  <c r="S360" i="4"/>
  <c r="W360" i="4"/>
  <c r="X360" i="4"/>
  <c r="Y360" i="4"/>
  <c r="Z360" i="4"/>
  <c r="Q361" i="4"/>
  <c r="R361" i="4"/>
  <c r="N361" i="4"/>
  <c r="S361" i="4"/>
  <c r="W361" i="4"/>
  <c r="X361" i="4"/>
  <c r="Y361" i="4"/>
  <c r="Z361" i="4"/>
  <c r="Q362" i="4"/>
  <c r="R362" i="4"/>
  <c r="N362" i="4"/>
  <c r="S362" i="4"/>
  <c r="W362" i="4"/>
  <c r="X362" i="4"/>
  <c r="Y362" i="4"/>
  <c r="O362" i="4"/>
  <c r="P362" i="4"/>
  <c r="Z362" i="4"/>
  <c r="Q363" i="4"/>
  <c r="R363" i="4"/>
  <c r="N363" i="4"/>
  <c r="S363" i="4"/>
  <c r="W363" i="4"/>
  <c r="X363" i="4"/>
  <c r="Y363" i="4"/>
  <c r="Z363" i="4"/>
  <c r="Q364" i="4"/>
  <c r="R364" i="4"/>
  <c r="N364" i="4"/>
  <c r="S364" i="4"/>
  <c r="W364" i="4"/>
  <c r="X364" i="4"/>
  <c r="Y364" i="4"/>
  <c r="Z364" i="4"/>
  <c r="N365" i="4"/>
  <c r="Q365" i="4"/>
  <c r="R365" i="4"/>
  <c r="S365" i="4"/>
  <c r="W365" i="4"/>
  <c r="X365" i="4"/>
  <c r="O365" i="4"/>
  <c r="P365" i="4"/>
  <c r="Y365" i="4"/>
  <c r="Z365" i="4"/>
  <c r="Q366" i="4"/>
  <c r="R366" i="4"/>
  <c r="N366" i="4"/>
  <c r="S366" i="4"/>
  <c r="W366" i="4"/>
  <c r="X366" i="4"/>
  <c r="Y366" i="4"/>
  <c r="O366" i="4"/>
  <c r="P366" i="4"/>
  <c r="Z366" i="4"/>
  <c r="Q367" i="4"/>
  <c r="R367" i="4"/>
  <c r="N367" i="4"/>
  <c r="S367" i="4"/>
  <c r="W367" i="4"/>
  <c r="X367" i="4"/>
  <c r="Y367" i="4"/>
  <c r="Z367" i="4"/>
  <c r="Q368" i="4"/>
  <c r="R368" i="4"/>
  <c r="N368" i="4"/>
  <c r="S368" i="4"/>
  <c r="W368" i="4"/>
  <c r="X368" i="4"/>
  <c r="Y368" i="4"/>
  <c r="Z368" i="4"/>
  <c r="N369" i="4"/>
  <c r="Q369" i="4"/>
  <c r="R369" i="4"/>
  <c r="S369" i="4"/>
  <c r="W369" i="4"/>
  <c r="X369" i="4"/>
  <c r="Y369" i="4"/>
  <c r="Z369" i="4"/>
  <c r="N371" i="4"/>
  <c r="O371" i="4"/>
  <c r="P371" i="4"/>
  <c r="N376" i="4"/>
  <c r="O376" i="4"/>
  <c r="P376" i="4"/>
  <c r="R376" i="4"/>
  <c r="Q377" i="4"/>
  <c r="Q374" i="4"/>
  <c r="R377" i="4"/>
  <c r="R374" i="4"/>
  <c r="S377" i="4"/>
  <c r="S374" i="4"/>
  <c r="T377" i="4"/>
  <c r="T374" i="4"/>
  <c r="U377" i="4"/>
  <c r="U374" i="4"/>
  <c r="W377" i="4"/>
  <c r="W374" i="4"/>
  <c r="X377" i="4"/>
  <c r="X374" i="4"/>
  <c r="X372" i="4"/>
  <c r="Y377" i="4"/>
  <c r="Y374" i="4"/>
  <c r="Z377" i="4"/>
  <c r="Z374" i="4"/>
  <c r="AA377" i="4"/>
  <c r="AA374" i="4"/>
  <c r="AB377" i="4"/>
  <c r="AB374" i="4"/>
  <c r="AC377" i="4"/>
  <c r="AC374" i="4"/>
  <c r="AD377" i="4"/>
  <c r="AD374" i="4"/>
  <c r="AE377" i="4"/>
  <c r="AE374" i="4"/>
  <c r="N379" i="4"/>
  <c r="O379" i="4"/>
  <c r="P379" i="4"/>
  <c r="N384" i="4"/>
  <c r="O384" i="4"/>
  <c r="P384" i="4"/>
  <c r="R384" i="4"/>
  <c r="Q385" i="4"/>
  <c r="R385" i="4"/>
  <c r="S385" i="4"/>
  <c r="T385" i="4"/>
  <c r="U385" i="4"/>
  <c r="W385" i="4"/>
  <c r="X385" i="4"/>
  <c r="Y385" i="4"/>
  <c r="Z385" i="4"/>
  <c r="AA385" i="4"/>
  <c r="AB385" i="4"/>
  <c r="AC385" i="4"/>
  <c r="AD385" i="4"/>
  <c r="AD382" i="4"/>
  <c r="AE385" i="4"/>
  <c r="Q386" i="4"/>
  <c r="R386" i="4"/>
  <c r="S386" i="4"/>
  <c r="T386" i="4"/>
  <c r="U386" i="4"/>
  <c r="W386" i="4"/>
  <c r="X386" i="4"/>
  <c r="Y386" i="4"/>
  <c r="Z386" i="4"/>
  <c r="AA386" i="4"/>
  <c r="AB386" i="4"/>
  <c r="AC386" i="4"/>
  <c r="AD386" i="4"/>
  <c r="AE386" i="4"/>
  <c r="Q387" i="4"/>
  <c r="R387" i="4"/>
  <c r="S387" i="4"/>
  <c r="T387" i="4"/>
  <c r="U387" i="4"/>
  <c r="W387" i="4"/>
  <c r="X387" i="4"/>
  <c r="Y387" i="4"/>
  <c r="Z387" i="4"/>
  <c r="AA387" i="4"/>
  <c r="AB387" i="4"/>
  <c r="AC387" i="4"/>
  <c r="AD387" i="4"/>
  <c r="AE387" i="4"/>
  <c r="Q388" i="4"/>
  <c r="R388" i="4"/>
  <c r="S388" i="4"/>
  <c r="T388" i="4"/>
  <c r="N388" i="4"/>
  <c r="U388" i="4"/>
  <c r="W388" i="4"/>
  <c r="X388" i="4"/>
  <c r="Y388" i="4"/>
  <c r="Z388" i="4"/>
  <c r="AA388" i="4"/>
  <c r="AB388" i="4"/>
  <c r="AC388" i="4"/>
  <c r="AD388" i="4"/>
  <c r="AE388" i="4"/>
  <c r="Q389" i="4"/>
  <c r="R389" i="4"/>
  <c r="S389" i="4"/>
  <c r="T389" i="4"/>
  <c r="U389" i="4"/>
  <c r="W389" i="4"/>
  <c r="X389" i="4"/>
  <c r="Y389" i="4"/>
  <c r="Z389" i="4"/>
  <c r="AA389" i="4"/>
  <c r="AB389" i="4"/>
  <c r="AC389" i="4"/>
  <c r="AD389" i="4"/>
  <c r="AE389" i="4"/>
  <c r="Q390" i="4"/>
  <c r="R390" i="4"/>
  <c r="S390" i="4"/>
  <c r="T390" i="4"/>
  <c r="U390" i="4"/>
  <c r="N390" i="4"/>
  <c r="O390" i="4"/>
  <c r="P390" i="4"/>
  <c r="W390" i="4"/>
  <c r="X390" i="4"/>
  <c r="Y390" i="4"/>
  <c r="Z390" i="4"/>
  <c r="AA390" i="4"/>
  <c r="AB390" i="4"/>
  <c r="AC390" i="4"/>
  <c r="AD390" i="4"/>
  <c r="AE390" i="4"/>
  <c r="Q391" i="4"/>
  <c r="R391" i="4"/>
  <c r="S391" i="4"/>
  <c r="T391" i="4"/>
  <c r="U391" i="4"/>
  <c r="W391" i="4"/>
  <c r="X391" i="4"/>
  <c r="Y391" i="4"/>
  <c r="Z391" i="4"/>
  <c r="AA391" i="4"/>
  <c r="AB391" i="4"/>
  <c r="AC391" i="4"/>
  <c r="AD391" i="4"/>
  <c r="AE391" i="4"/>
  <c r="Q392" i="4"/>
  <c r="R392" i="4"/>
  <c r="S392" i="4"/>
  <c r="T392" i="4"/>
  <c r="U392" i="4"/>
  <c r="W392" i="4"/>
  <c r="X392" i="4"/>
  <c r="Y392" i="4"/>
  <c r="Z392" i="4"/>
  <c r="AA392" i="4"/>
  <c r="AB392" i="4"/>
  <c r="AC392" i="4"/>
  <c r="AD392" i="4"/>
  <c r="AE392" i="4"/>
  <c r="Q393" i="4"/>
  <c r="R393" i="4"/>
  <c r="N393" i="4"/>
  <c r="S393" i="4"/>
  <c r="T393" i="4"/>
  <c r="U393" i="4"/>
  <c r="W393" i="4"/>
  <c r="X393" i="4"/>
  <c r="Y393" i="4"/>
  <c r="Z393" i="4"/>
  <c r="AA393" i="4"/>
  <c r="AB393" i="4"/>
  <c r="AC393" i="4"/>
  <c r="AD393" i="4"/>
  <c r="AE393" i="4"/>
  <c r="Q394" i="4"/>
  <c r="R394" i="4"/>
  <c r="S394" i="4"/>
  <c r="T394" i="4"/>
  <c r="U394" i="4"/>
  <c r="W394" i="4"/>
  <c r="X394" i="4"/>
  <c r="Y394" i="4"/>
  <c r="Z394" i="4"/>
  <c r="AA394" i="4"/>
  <c r="AB394" i="4"/>
  <c r="AC394" i="4"/>
  <c r="AD394" i="4"/>
  <c r="AE394" i="4"/>
  <c r="Q395" i="4"/>
  <c r="R395" i="4"/>
  <c r="N395" i="4"/>
  <c r="S395" i="4"/>
  <c r="T395" i="4"/>
  <c r="U395" i="4"/>
  <c r="W395" i="4"/>
  <c r="X395" i="4"/>
  <c r="Y395" i="4"/>
  <c r="Z395" i="4"/>
  <c r="AA395" i="4"/>
  <c r="AB395" i="4"/>
  <c r="AC395" i="4"/>
  <c r="AD395" i="4"/>
  <c r="AE395" i="4"/>
  <c r="Q396" i="4"/>
  <c r="R396" i="4"/>
  <c r="S396" i="4"/>
  <c r="T396" i="4"/>
  <c r="U396" i="4"/>
  <c r="W396" i="4"/>
  <c r="X396" i="4"/>
  <c r="Y396" i="4"/>
  <c r="Z396" i="4"/>
  <c r="AA396" i="4"/>
  <c r="AB396" i="4"/>
  <c r="AC396" i="4"/>
  <c r="AD396" i="4"/>
  <c r="AE396" i="4"/>
  <c r="N401" i="4"/>
  <c r="O401" i="4"/>
  <c r="P401" i="4"/>
  <c r="R401" i="4"/>
  <c r="Q402" i="4"/>
  <c r="R402" i="4"/>
  <c r="N402" i="4"/>
  <c r="S402" i="4"/>
  <c r="W402" i="4"/>
  <c r="X402" i="4"/>
  <c r="Y402" i="4"/>
  <c r="Z402" i="4"/>
  <c r="Q403" i="4"/>
  <c r="R403" i="4"/>
  <c r="N403" i="4"/>
  <c r="S403" i="4"/>
  <c r="W403" i="4"/>
  <c r="X403" i="4"/>
  <c r="Y403" i="4"/>
  <c r="Z403" i="4"/>
  <c r="Q404" i="4"/>
  <c r="R404" i="4"/>
  <c r="S404" i="4"/>
  <c r="W404" i="4"/>
  <c r="X404" i="4"/>
  <c r="Y404" i="4"/>
  <c r="Z404" i="4"/>
  <c r="Q405" i="4"/>
  <c r="R405" i="4"/>
  <c r="S405" i="4"/>
  <c r="W405" i="4"/>
  <c r="X405" i="4"/>
  <c r="Y405" i="4"/>
  <c r="Z405" i="4"/>
  <c r="N406" i="4"/>
  <c r="Q406" i="4"/>
  <c r="R406" i="4"/>
  <c r="S406" i="4"/>
  <c r="W406" i="4"/>
  <c r="X406" i="4"/>
  <c r="Y406" i="4"/>
  <c r="Z406" i="4"/>
  <c r="Q407" i="4"/>
  <c r="R407" i="4"/>
  <c r="S407" i="4"/>
  <c r="W407" i="4"/>
  <c r="X407" i="4"/>
  <c r="Y407" i="4"/>
  <c r="Z407" i="4"/>
  <c r="Q408" i="4"/>
  <c r="R408" i="4"/>
  <c r="N408" i="4"/>
  <c r="S408" i="4"/>
  <c r="W408" i="4"/>
  <c r="X408" i="4"/>
  <c r="Y408" i="4"/>
  <c r="Z408" i="4"/>
  <c r="Q409" i="4"/>
  <c r="R409" i="4"/>
  <c r="S409" i="4"/>
  <c r="W409" i="4"/>
  <c r="X409" i="4"/>
  <c r="Y409" i="4"/>
  <c r="Z409" i="4"/>
  <c r="Q410" i="4"/>
  <c r="R410" i="4"/>
  <c r="N410" i="4"/>
  <c r="S410" i="4"/>
  <c r="W410" i="4"/>
  <c r="X410" i="4"/>
  <c r="Y410" i="4"/>
  <c r="Z410" i="4"/>
  <c r="Q411" i="4"/>
  <c r="R411" i="4"/>
  <c r="N411" i="4"/>
  <c r="S411" i="4"/>
  <c r="W411" i="4"/>
  <c r="X411" i="4"/>
  <c r="Y411" i="4"/>
  <c r="Z411" i="4"/>
  <c r="Q412" i="4"/>
  <c r="R412" i="4"/>
  <c r="N412" i="4"/>
  <c r="S412" i="4"/>
  <c r="W412" i="4"/>
  <c r="X412" i="4"/>
  <c r="Y412" i="4"/>
  <c r="Z412" i="4"/>
  <c r="Q413" i="4"/>
  <c r="R413" i="4"/>
  <c r="N413" i="4"/>
  <c r="S413" i="4"/>
  <c r="O413" i="4"/>
  <c r="W413" i="4"/>
  <c r="X413" i="4"/>
  <c r="Y413" i="4"/>
  <c r="Z413" i="4"/>
  <c r="N416" i="4"/>
  <c r="O416" i="4"/>
  <c r="P416" i="4"/>
  <c r="N419" i="4"/>
  <c r="O419" i="4"/>
  <c r="P419" i="4"/>
  <c r="R419" i="4"/>
  <c r="Q420" i="4"/>
  <c r="Q417" i="4"/>
  <c r="R420" i="4"/>
  <c r="N420" i="4"/>
  <c r="S420" i="4"/>
  <c r="T420" i="4"/>
  <c r="U420" i="4"/>
  <c r="W420" i="4"/>
  <c r="W417" i="4"/>
  <c r="X420" i="4"/>
  <c r="X417" i="4"/>
  <c r="Y420" i="4"/>
  <c r="Y417" i="4"/>
  <c r="Z420" i="4"/>
  <c r="AA420" i="4"/>
  <c r="AB420" i="4"/>
  <c r="AC420" i="4"/>
  <c r="AD420" i="4"/>
  <c r="AE420" i="4"/>
  <c r="Q421" i="4"/>
  <c r="R421" i="4"/>
  <c r="S421" i="4"/>
  <c r="T421" i="4"/>
  <c r="T417" i="4"/>
  <c r="U421" i="4"/>
  <c r="W421" i="4"/>
  <c r="X421" i="4"/>
  <c r="Y421" i="4"/>
  <c r="Z421" i="4"/>
  <c r="AA421" i="4"/>
  <c r="AB421" i="4"/>
  <c r="AC421" i="4"/>
  <c r="AD421" i="4"/>
  <c r="AD417" i="4"/>
  <c r="AE421" i="4"/>
  <c r="Q422" i="4"/>
  <c r="R422" i="4"/>
  <c r="N422" i="4"/>
  <c r="S422" i="4"/>
  <c r="T422" i="4"/>
  <c r="U422" i="4"/>
  <c r="W422" i="4"/>
  <c r="X422" i="4"/>
  <c r="Y422" i="4"/>
  <c r="Z422" i="4"/>
  <c r="AA422" i="4"/>
  <c r="AA417" i="4"/>
  <c r="AB422" i="4"/>
  <c r="AC422" i="4"/>
  <c r="AD422" i="4"/>
  <c r="AE422" i="4"/>
  <c r="N424" i="4"/>
  <c r="O424" i="4"/>
  <c r="P424" i="4"/>
  <c r="N429" i="4"/>
  <c r="O429" i="4"/>
  <c r="P429" i="4"/>
  <c r="R429" i="4"/>
  <c r="Q430" i="4"/>
  <c r="R430" i="4"/>
  <c r="N430" i="4"/>
  <c r="S430" i="4"/>
  <c r="W430" i="4"/>
  <c r="W427" i="4"/>
  <c r="X430" i="4"/>
  <c r="Y430" i="4"/>
  <c r="Z430" i="4"/>
  <c r="Q431" i="4"/>
  <c r="Q427" i="4"/>
  <c r="R431" i="4"/>
  <c r="N431" i="4"/>
  <c r="S431" i="4"/>
  <c r="W431" i="4"/>
  <c r="X431" i="4"/>
  <c r="Y431" i="4"/>
  <c r="Z431" i="4"/>
  <c r="Q432" i="4"/>
  <c r="R432" i="4"/>
  <c r="N432" i="4"/>
  <c r="S432" i="4"/>
  <c r="W432" i="4"/>
  <c r="X432" i="4"/>
  <c r="Y432" i="4"/>
  <c r="Z432" i="4"/>
  <c r="Q433" i="4"/>
  <c r="R433" i="4"/>
  <c r="N433" i="4"/>
  <c r="S433" i="4"/>
  <c r="O433" i="4"/>
  <c r="W433" i="4"/>
  <c r="X433" i="4"/>
  <c r="Y433" i="4"/>
  <c r="Z433" i="4"/>
  <c r="N437" i="4"/>
  <c r="O437" i="4"/>
  <c r="P437" i="4"/>
  <c r="R437" i="4"/>
  <c r="Q438" i="4"/>
  <c r="R438" i="4"/>
  <c r="O438" i="4"/>
  <c r="S438" i="4"/>
  <c r="W438" i="4"/>
  <c r="X438" i="4"/>
  <c r="Y438" i="4"/>
  <c r="Z438" i="4"/>
  <c r="Z435" i="4"/>
  <c r="Q439" i="4"/>
  <c r="R439" i="4"/>
  <c r="S439" i="4"/>
  <c r="W439" i="4"/>
  <c r="X439" i="4"/>
  <c r="Y439" i="4"/>
  <c r="Y435" i="4"/>
  <c r="Z439" i="4"/>
  <c r="Q440" i="4"/>
  <c r="R440" i="4"/>
  <c r="N440" i="4"/>
  <c r="S440" i="4"/>
  <c r="W440" i="4"/>
  <c r="X440" i="4"/>
  <c r="O440" i="4"/>
  <c r="P440" i="4"/>
  <c r="Y440" i="4"/>
  <c r="Z440" i="4"/>
  <c r="Q441" i="4"/>
  <c r="R441" i="4"/>
  <c r="N441" i="4"/>
  <c r="S441" i="4"/>
  <c r="W441" i="4"/>
  <c r="W435" i="4"/>
  <c r="X441" i="4"/>
  <c r="Y441" i="4"/>
  <c r="Z441" i="4"/>
  <c r="N445" i="4"/>
  <c r="O445" i="4"/>
  <c r="P445" i="4"/>
  <c r="R445" i="4"/>
  <c r="Q446" i="4"/>
  <c r="R446" i="4"/>
  <c r="R443" i="4"/>
  <c r="S446" i="4"/>
  <c r="W446" i="4"/>
  <c r="X446" i="4"/>
  <c r="Y446" i="4"/>
  <c r="Z446" i="4"/>
  <c r="Z443" i="4"/>
  <c r="Q447" i="4"/>
  <c r="R447" i="4"/>
  <c r="N447" i="4"/>
  <c r="S447" i="4"/>
  <c r="W447" i="4"/>
  <c r="W443" i="4"/>
  <c r="X447" i="4"/>
  <c r="Y447" i="4"/>
  <c r="Z447" i="4"/>
  <c r="N451" i="4"/>
  <c r="O451" i="4"/>
  <c r="P451" i="4"/>
  <c r="R451" i="4"/>
  <c r="Q452" i="4"/>
  <c r="R452" i="4"/>
  <c r="S452" i="4"/>
  <c r="W452" i="4"/>
  <c r="X452" i="4"/>
  <c r="X449" i="4"/>
  <c r="Y452" i="4"/>
  <c r="Z452" i="4"/>
  <c r="Q453" i="4"/>
  <c r="R453" i="4"/>
  <c r="O453" i="4"/>
  <c r="S453" i="4"/>
  <c r="W453" i="4"/>
  <c r="W449" i="4"/>
  <c r="X453" i="4"/>
  <c r="Y453" i="4"/>
  <c r="Z453" i="4"/>
  <c r="Z449" i="4"/>
  <c r="Q454" i="4"/>
  <c r="R454" i="4"/>
  <c r="S454" i="4"/>
  <c r="W454" i="4"/>
  <c r="X454" i="4"/>
  <c r="Y454" i="4"/>
  <c r="Z454" i="4"/>
  <c r="Q455" i="4"/>
  <c r="R455" i="4"/>
  <c r="N455" i="4"/>
  <c r="S455" i="4"/>
  <c r="W455" i="4"/>
  <c r="X455" i="4"/>
  <c r="Y455" i="4"/>
  <c r="Z455" i="4"/>
  <c r="N459" i="4"/>
  <c r="O459" i="4"/>
  <c r="P459" i="4"/>
  <c r="R459" i="4"/>
  <c r="Q460" i="4"/>
  <c r="R460" i="4"/>
  <c r="R457" i="4"/>
  <c r="S460" i="4"/>
  <c r="S457" i="4"/>
  <c r="W460" i="4"/>
  <c r="X460" i="4"/>
  <c r="Y460" i="4"/>
  <c r="Z460" i="4"/>
  <c r="Q461" i="4"/>
  <c r="Q457" i="4"/>
  <c r="R461" i="4"/>
  <c r="S461" i="4"/>
  <c r="W461" i="4"/>
  <c r="X461" i="4"/>
  <c r="Y461" i="4"/>
  <c r="Y457" i="4"/>
  <c r="Z461" i="4"/>
  <c r="N465" i="4"/>
  <c r="O465" i="4"/>
  <c r="P465" i="4"/>
  <c r="R465" i="4"/>
  <c r="Q466" i="4"/>
  <c r="R466" i="4"/>
  <c r="S466" i="4"/>
  <c r="W466" i="4"/>
  <c r="X466" i="4"/>
  <c r="Y466" i="4"/>
  <c r="Z466" i="4"/>
  <c r="Q467" i="4"/>
  <c r="R467" i="4"/>
  <c r="S467" i="4"/>
  <c r="W467" i="4"/>
  <c r="X467" i="4"/>
  <c r="Y467" i="4"/>
  <c r="Y463" i="4"/>
  <c r="Z467" i="4"/>
  <c r="N471" i="4"/>
  <c r="O471" i="4"/>
  <c r="P471" i="4"/>
  <c r="R471" i="4"/>
  <c r="Q472" i="4"/>
  <c r="Q469" i="4"/>
  <c r="R472" i="4"/>
  <c r="N472" i="4"/>
  <c r="N469" i="4"/>
  <c r="S472" i="4"/>
  <c r="S469" i="4"/>
  <c r="W472" i="4"/>
  <c r="W469" i="4"/>
  <c r="X472" i="4"/>
  <c r="X469" i="4"/>
  <c r="Y472" i="4"/>
  <c r="Y469" i="4"/>
  <c r="Z472" i="4"/>
  <c r="Z469" i="4"/>
  <c r="N476" i="4"/>
  <c r="O476" i="4"/>
  <c r="P476" i="4"/>
  <c r="R476" i="4"/>
  <c r="Q477" i="4"/>
  <c r="R477" i="4"/>
  <c r="N477" i="4"/>
  <c r="S477" i="4"/>
  <c r="W477" i="4"/>
  <c r="X477" i="4"/>
  <c r="Y477" i="4"/>
  <c r="Z477" i="4"/>
  <c r="Q478" i="4"/>
  <c r="Q474" i="4"/>
  <c r="R478" i="4"/>
  <c r="S478" i="4"/>
  <c r="W478" i="4"/>
  <c r="X478" i="4"/>
  <c r="Y478" i="4"/>
  <c r="Z478" i="4"/>
  <c r="Z474" i="4"/>
  <c r="N481" i="4"/>
  <c r="O481" i="4"/>
  <c r="P481" i="4"/>
  <c r="AE486" i="4"/>
  <c r="AJ486" i="4"/>
  <c r="N487" i="4"/>
  <c r="O487" i="4"/>
  <c r="P487" i="4"/>
  <c r="R487" i="4"/>
  <c r="Y487" i="4"/>
  <c r="Z487" i="4"/>
  <c r="AD487" i="4"/>
  <c r="Q488" i="4"/>
  <c r="R488" i="4"/>
  <c r="N488" i="4"/>
  <c r="S488" i="4"/>
  <c r="S484" i="4"/>
  <c r="T488" i="4"/>
  <c r="U488" i="4"/>
  <c r="V488" i="4"/>
  <c r="W488" i="4"/>
  <c r="X488" i="4"/>
  <c r="Z488" i="4"/>
  <c r="AA488" i="4"/>
  <c r="AB488" i="4"/>
  <c r="AC488" i="4"/>
  <c r="AD488" i="4"/>
  <c r="AE488" i="4"/>
  <c r="AF488" i="4"/>
  <c r="AG488" i="4"/>
  <c r="AH488" i="4"/>
  <c r="AK488" i="4"/>
  <c r="AL488" i="4"/>
  <c r="Q489" i="4"/>
  <c r="R489" i="4"/>
  <c r="N489" i="4"/>
  <c r="S489" i="4"/>
  <c r="T489" i="4"/>
  <c r="U489" i="4"/>
  <c r="V489" i="4"/>
  <c r="W489" i="4"/>
  <c r="X489" i="4"/>
  <c r="Z489" i="4"/>
  <c r="AA489" i="4"/>
  <c r="AB489" i="4"/>
  <c r="AC489" i="4"/>
  <c r="AE489" i="4"/>
  <c r="AF489" i="4"/>
  <c r="AG489" i="4"/>
  <c r="AH489" i="4"/>
  <c r="AH484" i="4"/>
  <c r="AK489" i="4"/>
  <c r="AL489" i="4"/>
  <c r="Q490" i="4"/>
  <c r="R490" i="4"/>
  <c r="S490" i="4"/>
  <c r="T490" i="4"/>
  <c r="U490" i="4"/>
  <c r="V490" i="4"/>
  <c r="W490" i="4"/>
  <c r="W484" i="4"/>
  <c r="X490" i="4"/>
  <c r="Y490" i="4"/>
  <c r="Z490" i="4"/>
  <c r="AA490" i="4"/>
  <c r="AB490" i="4"/>
  <c r="AC490" i="4"/>
  <c r="AC484" i="4"/>
  <c r="AE490" i="4"/>
  <c r="AF490" i="4"/>
  <c r="AG490" i="4"/>
  <c r="AH490" i="4"/>
  <c r="AK490" i="4"/>
  <c r="AL490" i="4"/>
  <c r="Q491" i="4"/>
  <c r="R491" i="4"/>
  <c r="N491" i="4"/>
  <c r="S491" i="4"/>
  <c r="T491" i="4"/>
  <c r="U491" i="4"/>
  <c r="V491" i="4"/>
  <c r="W491" i="4"/>
  <c r="X491" i="4"/>
  <c r="Z491" i="4"/>
  <c r="AA491" i="4"/>
  <c r="AB491" i="4"/>
  <c r="AC491" i="4"/>
  <c r="AE491" i="4"/>
  <c r="AF491" i="4"/>
  <c r="AG491" i="4"/>
  <c r="AH491" i="4"/>
  <c r="AK491" i="4"/>
  <c r="AL491" i="4"/>
  <c r="N497" i="4"/>
  <c r="O497" i="4"/>
  <c r="P497" i="4"/>
  <c r="R497" i="4"/>
  <c r="Q498" i="4"/>
  <c r="R498" i="4"/>
  <c r="S498" i="4"/>
  <c r="T498" i="4"/>
  <c r="T495" i="4"/>
  <c r="U498" i="4"/>
  <c r="U495" i="4"/>
  <c r="V498" i="4"/>
  <c r="N498" i="4"/>
  <c r="W498" i="4"/>
  <c r="X498" i="4"/>
  <c r="Y498" i="4"/>
  <c r="Z498" i="4"/>
  <c r="AA498" i="4"/>
  <c r="AB498" i="4"/>
  <c r="Q499" i="4"/>
  <c r="R499" i="4"/>
  <c r="R495" i="4"/>
  <c r="S499" i="4"/>
  <c r="T499" i="4"/>
  <c r="U499" i="4"/>
  <c r="W499" i="4"/>
  <c r="X499" i="4"/>
  <c r="Y499" i="4"/>
  <c r="Z499" i="4"/>
  <c r="AA499" i="4"/>
  <c r="AB499" i="4"/>
  <c r="Q500" i="4"/>
  <c r="R500" i="4"/>
  <c r="S500" i="4"/>
  <c r="T500" i="4"/>
  <c r="U500" i="4"/>
  <c r="W500" i="4"/>
  <c r="X500" i="4"/>
  <c r="Y500" i="4"/>
  <c r="Z500" i="4"/>
  <c r="Z495" i="4"/>
  <c r="Z493" i="4"/>
  <c r="AA500" i="4"/>
  <c r="AB500" i="4"/>
  <c r="N506" i="4"/>
  <c r="O506" i="4"/>
  <c r="P506" i="4"/>
  <c r="R506" i="4"/>
  <c r="Q507" i="4"/>
  <c r="R507" i="4"/>
  <c r="R504" i="4"/>
  <c r="S507" i="4"/>
  <c r="T507" i="4"/>
  <c r="U507" i="4"/>
  <c r="V507" i="4"/>
  <c r="N507" i="4"/>
  <c r="W507" i="4"/>
  <c r="X507" i="4"/>
  <c r="Y507" i="4"/>
  <c r="Z507" i="4"/>
  <c r="AA507" i="4"/>
  <c r="AB507" i="4"/>
  <c r="Q508" i="4"/>
  <c r="R508" i="4"/>
  <c r="S508" i="4"/>
  <c r="T508" i="4"/>
  <c r="U508" i="4"/>
  <c r="W508" i="4"/>
  <c r="X508" i="4"/>
  <c r="Y508" i="4"/>
  <c r="Z508" i="4"/>
  <c r="AA508" i="4"/>
  <c r="AB508" i="4"/>
  <c r="Q509" i="4"/>
  <c r="Q504" i="4"/>
  <c r="R509" i="4"/>
  <c r="S509" i="4"/>
  <c r="T509" i="4"/>
  <c r="U509" i="4"/>
  <c r="W509" i="4"/>
  <c r="X509" i="4"/>
  <c r="Y509" i="4"/>
  <c r="Z509" i="4"/>
  <c r="Z504" i="4"/>
  <c r="AA509" i="4"/>
  <c r="AB509" i="4"/>
  <c r="Q510" i="4"/>
  <c r="R510" i="4"/>
  <c r="S510" i="4"/>
  <c r="T510" i="4"/>
  <c r="U510" i="4"/>
  <c r="W510" i="4"/>
  <c r="X510" i="4"/>
  <c r="Y510" i="4"/>
  <c r="Z510" i="4"/>
  <c r="AA510" i="4"/>
  <c r="AB510" i="4"/>
  <c r="N514" i="4"/>
  <c r="O514" i="4"/>
  <c r="P514" i="4"/>
  <c r="N519" i="4"/>
  <c r="O519" i="4"/>
  <c r="P519" i="4"/>
  <c r="R521" i="4"/>
  <c r="Q522" i="4"/>
  <c r="R522" i="4"/>
  <c r="S522" i="4"/>
  <c r="T522" i="4"/>
  <c r="U522" i="4"/>
  <c r="V522" i="4"/>
  <c r="W522" i="4"/>
  <c r="X522" i="4"/>
  <c r="Y522" i="4"/>
  <c r="AA522" i="4"/>
  <c r="AB522" i="4"/>
  <c r="Q523" i="4"/>
  <c r="R523" i="4"/>
  <c r="N523" i="4"/>
  <c r="S523" i="4"/>
  <c r="T523" i="4"/>
  <c r="U523" i="4"/>
  <c r="V523" i="4"/>
  <c r="W523" i="4"/>
  <c r="X523" i="4"/>
  <c r="Y523" i="4"/>
  <c r="AA523" i="4"/>
  <c r="AB523" i="4"/>
  <c r="Q524" i="4"/>
  <c r="R524" i="4"/>
  <c r="N524" i="4"/>
  <c r="S524" i="4"/>
  <c r="T524" i="4"/>
  <c r="U524" i="4"/>
  <c r="V524" i="4"/>
  <c r="W524" i="4"/>
  <c r="X524" i="4"/>
  <c r="Y524" i="4"/>
  <c r="AA524" i="4"/>
  <c r="AB524" i="4"/>
  <c r="Q525" i="4"/>
  <c r="R525" i="4"/>
  <c r="S525" i="4"/>
  <c r="T525" i="4"/>
  <c r="U525" i="4"/>
  <c r="V525" i="4"/>
  <c r="W525" i="4"/>
  <c r="X525" i="4"/>
  <c r="Y525" i="4"/>
  <c r="AA525" i="4"/>
  <c r="AB525" i="4"/>
  <c r="Q526" i="4"/>
  <c r="R526" i="4"/>
  <c r="N526" i="4"/>
  <c r="S526" i="4"/>
  <c r="T526" i="4"/>
  <c r="U526" i="4"/>
  <c r="V526" i="4"/>
  <c r="W526" i="4"/>
  <c r="X526" i="4"/>
  <c r="Y526" i="4"/>
  <c r="AA526" i="4"/>
  <c r="AB526" i="4"/>
  <c r="Q527" i="4"/>
  <c r="R527" i="4"/>
  <c r="N527" i="4"/>
  <c r="S527" i="4"/>
  <c r="T527" i="4"/>
  <c r="U527" i="4"/>
  <c r="V527" i="4"/>
  <c r="W527" i="4"/>
  <c r="X527" i="4"/>
  <c r="Y527" i="4"/>
  <c r="AA527" i="4"/>
  <c r="AB527" i="4"/>
  <c r="Q528" i="4"/>
  <c r="R528" i="4"/>
  <c r="N528" i="4"/>
  <c r="S528" i="4"/>
  <c r="T528" i="4"/>
  <c r="U528" i="4"/>
  <c r="V528" i="4"/>
  <c r="W528" i="4"/>
  <c r="X528" i="4"/>
  <c r="Y528" i="4"/>
  <c r="Z528" i="4"/>
  <c r="O528" i="4"/>
  <c r="P528" i="4"/>
  <c r="AA528" i="4"/>
  <c r="AB528" i="4"/>
  <c r="Q529" i="4"/>
  <c r="R529" i="4"/>
  <c r="N529" i="4"/>
  <c r="S529" i="4"/>
  <c r="T529" i="4"/>
  <c r="U529" i="4"/>
  <c r="V529" i="4"/>
  <c r="W529" i="4"/>
  <c r="X529" i="4"/>
  <c r="Y529" i="4"/>
  <c r="AA529" i="4"/>
  <c r="AB529" i="4"/>
  <c r="Q530" i="4"/>
  <c r="R530" i="4"/>
  <c r="N530" i="4"/>
  <c r="S530" i="4"/>
  <c r="T530" i="4"/>
  <c r="U530" i="4"/>
  <c r="V530" i="4"/>
  <c r="W530" i="4"/>
  <c r="X530" i="4"/>
  <c r="Y530" i="4"/>
  <c r="AA530" i="4"/>
  <c r="AB530" i="4"/>
  <c r="Q531" i="4"/>
  <c r="R531" i="4"/>
  <c r="N531" i="4"/>
  <c r="S531" i="4"/>
  <c r="T531" i="4"/>
  <c r="U531" i="4"/>
  <c r="V531" i="4"/>
  <c r="W531" i="4"/>
  <c r="X531" i="4"/>
  <c r="Y531" i="4"/>
  <c r="AA531" i="4"/>
  <c r="AB531" i="4"/>
  <c r="Q532" i="4"/>
  <c r="R532" i="4"/>
  <c r="N532" i="4"/>
  <c r="S532" i="4"/>
  <c r="T532" i="4"/>
  <c r="U532" i="4"/>
  <c r="V532" i="4"/>
  <c r="W532" i="4"/>
  <c r="X532" i="4"/>
  <c r="Y532" i="4"/>
  <c r="AA532" i="4"/>
  <c r="AB532" i="4"/>
  <c r="Q533" i="4"/>
  <c r="R533" i="4"/>
  <c r="N533" i="4"/>
  <c r="S533" i="4"/>
  <c r="T533" i="4"/>
  <c r="U533" i="4"/>
  <c r="V533" i="4"/>
  <c r="W533" i="4"/>
  <c r="X533" i="4"/>
  <c r="Y533" i="4"/>
  <c r="AA533" i="4"/>
  <c r="AB533" i="4"/>
  <c r="Q534" i="4"/>
  <c r="R534" i="4"/>
  <c r="N534" i="4"/>
  <c r="S534" i="4"/>
  <c r="T534" i="4"/>
  <c r="U534" i="4"/>
  <c r="V534" i="4"/>
  <c r="W534" i="4"/>
  <c r="X534" i="4"/>
  <c r="Y534" i="4"/>
  <c r="AA534" i="4"/>
  <c r="AB534" i="4"/>
  <c r="Q535" i="4"/>
  <c r="R535" i="4"/>
  <c r="N535" i="4"/>
  <c r="S535" i="4"/>
  <c r="T535" i="4"/>
  <c r="U535" i="4"/>
  <c r="V535" i="4"/>
  <c r="W535" i="4"/>
  <c r="X535" i="4"/>
  <c r="Y535" i="4"/>
  <c r="AA535" i="4"/>
  <c r="AB535" i="4"/>
  <c r="Q536" i="4"/>
  <c r="R536" i="4"/>
  <c r="N536" i="4"/>
  <c r="S536" i="4"/>
  <c r="T536" i="4"/>
  <c r="U536" i="4"/>
  <c r="V536" i="4"/>
  <c r="W536" i="4"/>
  <c r="X536" i="4"/>
  <c r="Y536" i="4"/>
  <c r="AA536" i="4"/>
  <c r="AB536" i="4"/>
  <c r="Q537" i="4"/>
  <c r="R537" i="4"/>
  <c r="N537" i="4"/>
  <c r="S537" i="4"/>
  <c r="T537" i="4"/>
  <c r="U537" i="4"/>
  <c r="V537" i="4"/>
  <c r="W537" i="4"/>
  <c r="X537" i="4"/>
  <c r="Y537" i="4"/>
  <c r="AA537" i="4"/>
  <c r="AB537" i="4"/>
  <c r="Q538" i="4"/>
  <c r="R538" i="4"/>
  <c r="N538" i="4"/>
  <c r="S538" i="4"/>
  <c r="T538" i="4"/>
  <c r="U538" i="4"/>
  <c r="V538" i="4"/>
  <c r="W538" i="4"/>
  <c r="X538" i="4"/>
  <c r="Y538" i="4"/>
  <c r="AA538" i="4"/>
  <c r="AB538" i="4"/>
  <c r="Q539" i="4"/>
  <c r="R539" i="4"/>
  <c r="N539" i="4"/>
  <c r="S539" i="4"/>
  <c r="T539" i="4"/>
  <c r="U539" i="4"/>
  <c r="V539" i="4"/>
  <c r="W539" i="4"/>
  <c r="X539" i="4"/>
  <c r="Y539" i="4"/>
  <c r="AA539" i="4"/>
  <c r="AB539" i="4"/>
  <c r="Q540" i="4"/>
  <c r="R540" i="4"/>
  <c r="N540" i="4"/>
  <c r="S540" i="4"/>
  <c r="T540" i="4"/>
  <c r="U540" i="4"/>
  <c r="V540" i="4"/>
  <c r="W540" i="4"/>
  <c r="X540" i="4"/>
  <c r="Y540" i="4"/>
  <c r="Z540" i="4"/>
  <c r="O540" i="4"/>
  <c r="AA540" i="4"/>
  <c r="AB540" i="4"/>
  <c r="Q541" i="4"/>
  <c r="R541" i="4"/>
  <c r="N541" i="4"/>
  <c r="S541" i="4"/>
  <c r="T541" i="4"/>
  <c r="U541" i="4"/>
  <c r="V541" i="4"/>
  <c r="W541" i="4"/>
  <c r="X541" i="4"/>
  <c r="Y541" i="4"/>
  <c r="AA541" i="4"/>
  <c r="AB541" i="4"/>
  <c r="Q542" i="4"/>
  <c r="R542" i="4"/>
  <c r="N542" i="4"/>
  <c r="S542" i="4"/>
  <c r="T542" i="4"/>
  <c r="U542" i="4"/>
  <c r="V542" i="4"/>
  <c r="W542" i="4"/>
  <c r="X542" i="4"/>
  <c r="Y542" i="4"/>
  <c r="AA542" i="4"/>
  <c r="AB542" i="4"/>
  <c r="Q543" i="4"/>
  <c r="R543" i="4"/>
  <c r="N543" i="4"/>
  <c r="S543" i="4"/>
  <c r="T543" i="4"/>
  <c r="U543" i="4"/>
  <c r="V543" i="4"/>
  <c r="W543" i="4"/>
  <c r="X543" i="4"/>
  <c r="Y543" i="4"/>
  <c r="AA543" i="4"/>
  <c r="AB543" i="4"/>
  <c r="Q544" i="4"/>
  <c r="R544" i="4"/>
  <c r="N544" i="4"/>
  <c r="S544" i="4"/>
  <c r="T544" i="4"/>
  <c r="U544" i="4"/>
  <c r="V544" i="4"/>
  <c r="W544" i="4"/>
  <c r="X544" i="4"/>
  <c r="Y544" i="4"/>
  <c r="AA544" i="4"/>
  <c r="AB544" i="4"/>
  <c r="Q545" i="4"/>
  <c r="R545" i="4"/>
  <c r="N545" i="4"/>
  <c r="S545" i="4"/>
  <c r="T545" i="4"/>
  <c r="U545" i="4"/>
  <c r="V545" i="4"/>
  <c r="W545" i="4"/>
  <c r="X545" i="4"/>
  <c r="Y545" i="4"/>
  <c r="AA545" i="4"/>
  <c r="AB545" i="4"/>
  <c r="Q546" i="4"/>
  <c r="R546" i="4"/>
  <c r="N546" i="4"/>
  <c r="S546" i="4"/>
  <c r="T546" i="4"/>
  <c r="U546" i="4"/>
  <c r="V546" i="4"/>
  <c r="W546" i="4"/>
  <c r="X546" i="4"/>
  <c r="Y546" i="4"/>
  <c r="AA546" i="4"/>
  <c r="AB546" i="4"/>
  <c r="Q547" i="4"/>
  <c r="R547" i="4"/>
  <c r="N547" i="4"/>
  <c r="S547" i="4"/>
  <c r="T547" i="4"/>
  <c r="U547" i="4"/>
  <c r="V547" i="4"/>
  <c r="W547" i="4"/>
  <c r="X547" i="4"/>
  <c r="Y547" i="4"/>
  <c r="AA547" i="4"/>
  <c r="AB547" i="4"/>
  <c r="Q548" i="4"/>
  <c r="R548" i="4"/>
  <c r="N548" i="4"/>
  <c r="S548" i="4"/>
  <c r="T548" i="4"/>
  <c r="U548" i="4"/>
  <c r="V548" i="4"/>
  <c r="W548" i="4"/>
  <c r="X548" i="4"/>
  <c r="AA548" i="4"/>
  <c r="AB548" i="4"/>
  <c r="N549" i="4"/>
  <c r="Q549" i="4"/>
  <c r="R549" i="4"/>
  <c r="S549" i="4"/>
  <c r="T549" i="4"/>
  <c r="U549" i="4"/>
  <c r="V549" i="4"/>
  <c r="W549" i="4"/>
  <c r="X549" i="4"/>
  <c r="Y549" i="4"/>
  <c r="AA549" i="4"/>
  <c r="AB549" i="4"/>
  <c r="Q550" i="4"/>
  <c r="R550" i="4"/>
  <c r="N550" i="4"/>
  <c r="S550" i="4"/>
  <c r="T550" i="4"/>
  <c r="U550" i="4"/>
  <c r="V550" i="4"/>
  <c r="W550" i="4"/>
  <c r="X550" i="4"/>
  <c r="Y550" i="4"/>
  <c r="AA550" i="4"/>
  <c r="AB550" i="4"/>
  <c r="Q551" i="4"/>
  <c r="R551" i="4"/>
  <c r="N551" i="4"/>
  <c r="S551" i="4"/>
  <c r="T551" i="4"/>
  <c r="U551" i="4"/>
  <c r="V551" i="4"/>
  <c r="W551" i="4"/>
  <c r="X551" i="4"/>
  <c r="Y551" i="4"/>
  <c r="AA551" i="4"/>
  <c r="AB551" i="4"/>
  <c r="Q552" i="4"/>
  <c r="R552" i="4"/>
  <c r="N552" i="4"/>
  <c r="S552" i="4"/>
  <c r="T552" i="4"/>
  <c r="U552" i="4"/>
  <c r="V552" i="4"/>
  <c r="W552" i="4"/>
  <c r="X552" i="4"/>
  <c r="Y552" i="4"/>
  <c r="Z552" i="4"/>
  <c r="O552" i="4"/>
  <c r="P552" i="4"/>
  <c r="AA552" i="4"/>
  <c r="AB552" i="4"/>
  <c r="Q553" i="4"/>
  <c r="R553" i="4"/>
  <c r="N553" i="4"/>
  <c r="S553" i="4"/>
  <c r="T553" i="4"/>
  <c r="U553" i="4"/>
  <c r="V553" i="4"/>
  <c r="W553" i="4"/>
  <c r="X553" i="4"/>
  <c r="Y553" i="4"/>
  <c r="AA553" i="4"/>
  <c r="AB553" i="4"/>
  <c r="Q554" i="4"/>
  <c r="R554" i="4"/>
  <c r="N554" i="4"/>
  <c r="S554" i="4"/>
  <c r="T554" i="4"/>
  <c r="U554" i="4"/>
  <c r="V554" i="4"/>
  <c r="W554" i="4"/>
  <c r="X554" i="4"/>
  <c r="Y554" i="4"/>
  <c r="Z554" i="4"/>
  <c r="O554" i="4"/>
  <c r="AA554" i="4"/>
  <c r="AB554" i="4"/>
  <c r="N555" i="4"/>
  <c r="Q555" i="4"/>
  <c r="R555" i="4"/>
  <c r="S555" i="4"/>
  <c r="T555" i="4"/>
  <c r="U555" i="4"/>
  <c r="V555" i="4"/>
  <c r="W555" i="4"/>
  <c r="X555" i="4"/>
  <c r="Y555" i="4"/>
  <c r="AA555" i="4"/>
  <c r="AB555" i="4"/>
  <c r="Q556" i="4"/>
  <c r="R556" i="4"/>
  <c r="N556" i="4"/>
  <c r="S556" i="4"/>
  <c r="T556" i="4"/>
  <c r="U556" i="4"/>
  <c r="V556" i="4"/>
  <c r="W556" i="4"/>
  <c r="X556" i="4"/>
  <c r="Y556" i="4"/>
  <c r="AA556" i="4"/>
  <c r="AB556" i="4"/>
  <c r="N557" i="4"/>
  <c r="Q557" i="4"/>
  <c r="R557" i="4"/>
  <c r="S557" i="4"/>
  <c r="T557" i="4"/>
  <c r="U557" i="4"/>
  <c r="V557" i="4"/>
  <c r="W557" i="4"/>
  <c r="X557" i="4"/>
  <c r="Y557" i="4"/>
  <c r="AA557" i="4"/>
  <c r="AB557" i="4"/>
  <c r="N558" i="4"/>
  <c r="Q558" i="4"/>
  <c r="R558" i="4"/>
  <c r="S558" i="4"/>
  <c r="T558" i="4"/>
  <c r="U558" i="4"/>
  <c r="V558" i="4"/>
  <c r="W558" i="4"/>
  <c r="X558" i="4"/>
  <c r="Y558" i="4"/>
  <c r="AA558" i="4"/>
  <c r="AB558" i="4"/>
  <c r="Q559" i="4"/>
  <c r="R559" i="4"/>
  <c r="N559" i="4"/>
  <c r="S559" i="4"/>
  <c r="T559" i="4"/>
  <c r="U559" i="4"/>
  <c r="V559" i="4"/>
  <c r="W559" i="4"/>
  <c r="X559" i="4"/>
  <c r="Y559" i="4"/>
  <c r="AA559" i="4"/>
  <c r="AB559" i="4"/>
  <c r="Q560" i="4"/>
  <c r="R560" i="4"/>
  <c r="N560" i="4"/>
  <c r="S560" i="4"/>
  <c r="T560" i="4"/>
  <c r="U560" i="4"/>
  <c r="V560" i="4"/>
  <c r="W560" i="4"/>
  <c r="X560" i="4"/>
  <c r="Y560" i="4"/>
  <c r="AA560" i="4"/>
  <c r="AB560" i="4"/>
  <c r="Q561" i="4"/>
  <c r="R561" i="4"/>
  <c r="N561" i="4"/>
  <c r="S561" i="4"/>
  <c r="T561" i="4"/>
  <c r="U561" i="4"/>
  <c r="V561" i="4"/>
  <c r="W561" i="4"/>
  <c r="X561" i="4"/>
  <c r="Y561" i="4"/>
  <c r="AA561" i="4"/>
  <c r="AB561" i="4"/>
  <c r="Q562" i="4"/>
  <c r="R562" i="4"/>
  <c r="N562" i="4"/>
  <c r="S562" i="4"/>
  <c r="T562" i="4"/>
  <c r="U562" i="4"/>
  <c r="V562" i="4"/>
  <c r="W562" i="4"/>
  <c r="X562" i="4"/>
  <c r="Y562" i="4"/>
  <c r="AA562" i="4"/>
  <c r="AB562" i="4"/>
  <c r="N563" i="4"/>
  <c r="Q563" i="4"/>
  <c r="R563" i="4"/>
  <c r="S563" i="4"/>
  <c r="T563" i="4"/>
  <c r="U563" i="4"/>
  <c r="V563" i="4"/>
  <c r="W563" i="4"/>
  <c r="X563" i="4"/>
  <c r="Y563" i="4"/>
  <c r="AA563" i="4"/>
  <c r="AB563" i="4"/>
  <c r="Q564" i="4"/>
  <c r="R564" i="4"/>
  <c r="N564" i="4"/>
  <c r="S564" i="4"/>
  <c r="T564" i="4"/>
  <c r="U564" i="4"/>
  <c r="V564" i="4"/>
  <c r="W564" i="4"/>
  <c r="X564" i="4"/>
  <c r="Y564" i="4"/>
  <c r="AA564" i="4"/>
  <c r="AB564" i="4"/>
  <c r="N565" i="4"/>
  <c r="Q565" i="4"/>
  <c r="R565" i="4"/>
  <c r="S565" i="4"/>
  <c r="T565" i="4"/>
  <c r="U565" i="4"/>
  <c r="V565" i="4"/>
  <c r="W565" i="4"/>
  <c r="X565" i="4"/>
  <c r="Y565" i="4"/>
  <c r="AA565" i="4"/>
  <c r="AB565" i="4"/>
  <c r="O566" i="4"/>
  <c r="R566" i="4"/>
  <c r="N566" i="4"/>
  <c r="Z566" i="4"/>
  <c r="N571" i="4"/>
  <c r="O571" i="4"/>
  <c r="P571" i="4"/>
  <c r="Q572" i="4"/>
  <c r="R572" i="4"/>
  <c r="N572" i="4"/>
  <c r="S572" i="4"/>
  <c r="T572" i="4"/>
  <c r="U572" i="4"/>
  <c r="V572" i="4"/>
  <c r="W572" i="4"/>
  <c r="X572" i="4"/>
  <c r="Y572" i="4"/>
  <c r="AA572" i="4"/>
  <c r="AB572" i="4"/>
  <c r="Q573" i="4"/>
  <c r="R573" i="4"/>
  <c r="N573" i="4"/>
  <c r="S573" i="4"/>
  <c r="T573" i="4"/>
  <c r="U573" i="4"/>
  <c r="V573" i="4"/>
  <c r="W573" i="4"/>
  <c r="X573" i="4"/>
  <c r="Y573" i="4"/>
  <c r="AA573" i="4"/>
  <c r="AB573" i="4"/>
  <c r="Q574" i="4"/>
  <c r="R574" i="4"/>
  <c r="N574" i="4"/>
  <c r="S574" i="4"/>
  <c r="T574" i="4"/>
  <c r="U574" i="4"/>
  <c r="V574" i="4"/>
  <c r="W574" i="4"/>
  <c r="X574" i="4"/>
  <c r="Y574" i="4"/>
  <c r="AA574" i="4"/>
  <c r="AB574" i="4"/>
  <c r="Q575" i="4"/>
  <c r="R575" i="4"/>
  <c r="N575" i="4"/>
  <c r="S575" i="4"/>
  <c r="T575" i="4"/>
  <c r="U575" i="4"/>
  <c r="V575" i="4"/>
  <c r="W575" i="4"/>
  <c r="X575" i="4"/>
  <c r="Y575" i="4"/>
  <c r="AA575" i="4"/>
  <c r="AB575" i="4"/>
  <c r="Q576" i="4"/>
  <c r="R576" i="4"/>
  <c r="N576" i="4"/>
  <c r="S576" i="4"/>
  <c r="T576" i="4"/>
  <c r="U576" i="4"/>
  <c r="V576" i="4"/>
  <c r="W576" i="4"/>
  <c r="X576" i="4"/>
  <c r="Y576" i="4"/>
  <c r="AA576" i="4"/>
  <c r="AB576" i="4"/>
  <c r="Q577" i="4"/>
  <c r="R577" i="4"/>
  <c r="N577" i="4"/>
  <c r="S577" i="4"/>
  <c r="T577" i="4"/>
  <c r="U577" i="4"/>
  <c r="V577" i="4"/>
  <c r="W577" i="4"/>
  <c r="X577" i="4"/>
  <c r="Y577" i="4"/>
  <c r="AA577" i="4"/>
  <c r="AB577" i="4"/>
  <c r="Q578" i="4"/>
  <c r="R578" i="4"/>
  <c r="N578" i="4"/>
  <c r="S578" i="4"/>
  <c r="T578" i="4"/>
  <c r="U578" i="4"/>
  <c r="V578" i="4"/>
  <c r="W578" i="4"/>
  <c r="X578" i="4"/>
  <c r="Y578" i="4"/>
  <c r="AA578" i="4"/>
  <c r="AB578" i="4"/>
  <c r="Q579" i="4"/>
  <c r="R579" i="4"/>
  <c r="N579" i="4"/>
  <c r="S579" i="4"/>
  <c r="T579" i="4"/>
  <c r="U579" i="4"/>
  <c r="V579" i="4"/>
  <c r="W579" i="4"/>
  <c r="X579" i="4"/>
  <c r="Y579" i="4"/>
  <c r="AA579" i="4"/>
  <c r="AB579" i="4"/>
  <c r="Q580" i="4"/>
  <c r="R580" i="4"/>
  <c r="N580" i="4"/>
  <c r="S580" i="4"/>
  <c r="T580" i="4"/>
  <c r="U580" i="4"/>
  <c r="V580" i="4"/>
  <c r="W580" i="4"/>
  <c r="X580" i="4"/>
  <c r="Y580" i="4"/>
  <c r="AA580" i="4"/>
  <c r="AB580" i="4"/>
  <c r="Q581" i="4"/>
  <c r="R581" i="4"/>
  <c r="N581" i="4"/>
  <c r="S581" i="4"/>
  <c r="T581" i="4"/>
  <c r="U581" i="4"/>
  <c r="V581" i="4"/>
  <c r="W581" i="4"/>
  <c r="X581" i="4"/>
  <c r="Y581" i="4"/>
  <c r="AA581" i="4"/>
  <c r="AB581" i="4"/>
  <c r="Q582" i="4"/>
  <c r="R582" i="4"/>
  <c r="N582" i="4"/>
  <c r="S582" i="4"/>
  <c r="T582" i="4"/>
  <c r="U582" i="4"/>
  <c r="V582" i="4"/>
  <c r="W582" i="4"/>
  <c r="X582" i="4"/>
  <c r="Y582" i="4"/>
  <c r="AA582" i="4"/>
  <c r="AB582" i="4"/>
  <c r="Q583" i="4"/>
  <c r="R583" i="4"/>
  <c r="N583" i="4"/>
  <c r="S583" i="4"/>
  <c r="T583" i="4"/>
  <c r="U583" i="4"/>
  <c r="V583" i="4"/>
  <c r="W583" i="4"/>
  <c r="X583" i="4"/>
  <c r="Y583" i="4"/>
  <c r="AA583" i="4"/>
  <c r="AB583" i="4"/>
  <c r="Q584" i="4"/>
  <c r="R584" i="4"/>
  <c r="N584" i="4"/>
  <c r="S584" i="4"/>
  <c r="T584" i="4"/>
  <c r="U584" i="4"/>
  <c r="V584" i="4"/>
  <c r="W584" i="4"/>
  <c r="X584" i="4"/>
  <c r="Y584" i="4"/>
  <c r="AA584" i="4"/>
  <c r="AB584" i="4"/>
  <c r="Q585" i="4"/>
  <c r="R585" i="4"/>
  <c r="N585" i="4"/>
  <c r="S585" i="4"/>
  <c r="T585" i="4"/>
  <c r="U585" i="4"/>
  <c r="V585" i="4"/>
  <c r="W585" i="4"/>
  <c r="X585" i="4"/>
  <c r="Y585" i="4"/>
  <c r="AA585" i="4"/>
  <c r="AB585" i="4"/>
  <c r="R586" i="4"/>
  <c r="N586" i="4"/>
  <c r="N589" i="4"/>
  <c r="O589" i="4"/>
  <c r="P589" i="4"/>
  <c r="AF594" i="4"/>
  <c r="AK594" i="4"/>
  <c r="N595" i="4"/>
  <c r="O595" i="4"/>
  <c r="P595" i="4"/>
  <c r="R595" i="4"/>
  <c r="Y595" i="4"/>
  <c r="AA595" i="4"/>
  <c r="AE595" i="4"/>
  <c r="Q596" i="4"/>
  <c r="R596" i="4"/>
  <c r="S596" i="4"/>
  <c r="T596" i="4"/>
  <c r="U596" i="4"/>
  <c r="V596" i="4"/>
  <c r="W596" i="4"/>
  <c r="X596" i="4"/>
  <c r="Z596" i="4"/>
  <c r="AA596" i="4"/>
  <c r="N596" i="4"/>
  <c r="AB596" i="4"/>
  <c r="AC596" i="4"/>
  <c r="AD596" i="4"/>
  <c r="AF596" i="4"/>
  <c r="AG596" i="4"/>
  <c r="AH596" i="4"/>
  <c r="AI596" i="4"/>
  <c r="AL596" i="4"/>
  <c r="AM596" i="4"/>
  <c r="Q597" i="4"/>
  <c r="R597" i="4"/>
  <c r="S597" i="4"/>
  <c r="T597" i="4"/>
  <c r="U597" i="4"/>
  <c r="V597" i="4"/>
  <c r="W597" i="4"/>
  <c r="X597" i="4"/>
  <c r="Z597" i="4"/>
  <c r="AA597" i="4"/>
  <c r="AB597" i="4"/>
  <c r="AC597" i="4"/>
  <c r="AD597" i="4"/>
  <c r="AF597" i="4"/>
  <c r="AG597" i="4"/>
  <c r="AH597" i="4"/>
  <c r="AI597" i="4"/>
  <c r="AL597" i="4"/>
  <c r="AM597" i="4"/>
  <c r="Q598" i="4"/>
  <c r="S598" i="4"/>
  <c r="T598" i="4"/>
  <c r="U598" i="4"/>
  <c r="V598" i="4"/>
  <c r="W598" i="4"/>
  <c r="X598" i="4"/>
  <c r="Z598" i="4"/>
  <c r="AB598" i="4"/>
  <c r="AC598" i="4"/>
  <c r="AD598" i="4"/>
  <c r="AF598" i="4"/>
  <c r="AG598" i="4"/>
  <c r="AH598" i="4"/>
  <c r="AI598" i="4"/>
  <c r="AL598" i="4"/>
  <c r="AM598" i="4"/>
  <c r="Q599" i="4"/>
  <c r="R599" i="4"/>
  <c r="S599" i="4"/>
  <c r="T599" i="4"/>
  <c r="U599" i="4"/>
  <c r="V599" i="4"/>
  <c r="W599" i="4"/>
  <c r="X599" i="4"/>
  <c r="Z599" i="4"/>
  <c r="AA599" i="4"/>
  <c r="AB599" i="4"/>
  <c r="AC599" i="4"/>
  <c r="AD599" i="4"/>
  <c r="AF599" i="4"/>
  <c r="AG599" i="4"/>
  <c r="AH599" i="4"/>
  <c r="AI599" i="4"/>
  <c r="AL599" i="4"/>
  <c r="AM599" i="4"/>
  <c r="Q600" i="4"/>
  <c r="R600" i="4"/>
  <c r="S600" i="4"/>
  <c r="T600" i="4"/>
  <c r="U600" i="4"/>
  <c r="V600" i="4"/>
  <c r="W600" i="4"/>
  <c r="X600" i="4"/>
  <c r="Z600" i="4"/>
  <c r="AA600" i="4"/>
  <c r="AB600" i="4"/>
  <c r="AC600" i="4"/>
  <c r="AD600" i="4"/>
  <c r="AF600" i="4"/>
  <c r="AG600" i="4"/>
  <c r="AH600" i="4"/>
  <c r="AI600" i="4"/>
  <c r="AL600" i="4"/>
  <c r="AM600" i="4"/>
  <c r="N601" i="4"/>
  <c r="Q601" i="4"/>
  <c r="R601" i="4"/>
  <c r="S601" i="4"/>
  <c r="T601" i="4"/>
  <c r="U601" i="4"/>
  <c r="V601" i="4"/>
  <c r="W601" i="4"/>
  <c r="X601" i="4"/>
  <c r="Z601" i="4"/>
  <c r="AA601" i="4"/>
  <c r="AB601" i="4"/>
  <c r="AC601" i="4"/>
  <c r="AD601" i="4"/>
  <c r="AF601" i="4"/>
  <c r="AG601" i="4"/>
  <c r="AH601" i="4"/>
  <c r="AI601" i="4"/>
  <c r="AL601" i="4"/>
  <c r="AM601" i="4"/>
  <c r="N602" i="4"/>
  <c r="Q602" i="4"/>
  <c r="R602" i="4"/>
  <c r="S602" i="4"/>
  <c r="T602" i="4"/>
  <c r="U602" i="4"/>
  <c r="V602" i="4"/>
  <c r="W602" i="4"/>
  <c r="X602" i="4"/>
  <c r="Z602" i="4"/>
  <c r="AA602" i="4"/>
  <c r="AB602" i="4"/>
  <c r="AC602" i="4"/>
  <c r="AD602" i="4"/>
  <c r="AF602" i="4"/>
  <c r="AG602" i="4"/>
  <c r="AH602" i="4"/>
  <c r="AI602" i="4"/>
  <c r="AL602" i="4"/>
  <c r="AM602" i="4"/>
  <c r="Q603" i="4"/>
  <c r="R603" i="4"/>
  <c r="S603" i="4"/>
  <c r="T603" i="4"/>
  <c r="U603" i="4"/>
  <c r="V603" i="4"/>
  <c r="W603" i="4"/>
  <c r="X603" i="4"/>
  <c r="Z603" i="4"/>
  <c r="AA603" i="4"/>
  <c r="AB603" i="4"/>
  <c r="AC603" i="4"/>
  <c r="AD603" i="4"/>
  <c r="AF603" i="4"/>
  <c r="AG603" i="4"/>
  <c r="AH603" i="4"/>
  <c r="AI603" i="4"/>
  <c r="AL603" i="4"/>
  <c r="AM603" i="4"/>
  <c r="Q604" i="4"/>
  <c r="R604" i="4"/>
  <c r="S604" i="4"/>
  <c r="T604" i="4"/>
  <c r="U604" i="4"/>
  <c r="U592" i="4"/>
  <c r="V604" i="4"/>
  <c r="W604" i="4"/>
  <c r="X604" i="4"/>
  <c r="Z604" i="4"/>
  <c r="AA604" i="4"/>
  <c r="AB604" i="4"/>
  <c r="AC604" i="4"/>
  <c r="AD604" i="4"/>
  <c r="AF604" i="4"/>
  <c r="AG604" i="4"/>
  <c r="AG592" i="4"/>
  <c r="AH604" i="4"/>
  <c r="AI604" i="4"/>
  <c r="AL604" i="4"/>
  <c r="AM604" i="4"/>
  <c r="Q605" i="4"/>
  <c r="R605" i="4"/>
  <c r="N605" i="4"/>
  <c r="S605" i="4"/>
  <c r="T605" i="4"/>
  <c r="U605" i="4"/>
  <c r="V605" i="4"/>
  <c r="W605" i="4"/>
  <c r="X605" i="4"/>
  <c r="Z605" i="4"/>
  <c r="AA605" i="4"/>
  <c r="AB605" i="4"/>
  <c r="AC605" i="4"/>
  <c r="AD605" i="4"/>
  <c r="AF605" i="4"/>
  <c r="AG605" i="4"/>
  <c r="AH605" i="4"/>
  <c r="AI605" i="4"/>
  <c r="AL605" i="4"/>
  <c r="AM605" i="4"/>
  <c r="Q606" i="4"/>
  <c r="R606" i="4"/>
  <c r="S606" i="4"/>
  <c r="T606" i="4"/>
  <c r="U606" i="4"/>
  <c r="V606" i="4"/>
  <c r="W606" i="4"/>
  <c r="X606" i="4"/>
  <c r="Z606" i="4"/>
  <c r="AA606" i="4"/>
  <c r="AB606" i="4"/>
  <c r="AC606" i="4"/>
  <c r="AD606" i="4"/>
  <c r="AF606" i="4"/>
  <c r="AG606" i="4"/>
  <c r="AH606" i="4"/>
  <c r="AI606" i="4"/>
  <c r="AL606" i="4"/>
  <c r="AM606" i="4"/>
  <c r="Q607" i="4"/>
  <c r="S607" i="4"/>
  <c r="T607" i="4"/>
  <c r="U607" i="4"/>
  <c r="V607" i="4"/>
  <c r="W607" i="4"/>
  <c r="X607" i="4"/>
  <c r="Z607" i="4"/>
  <c r="AB607" i="4"/>
  <c r="AC607" i="4"/>
  <c r="AD607" i="4"/>
  <c r="AF607" i="4"/>
  <c r="AG607" i="4"/>
  <c r="AH607" i="4"/>
  <c r="AI607" i="4"/>
  <c r="AL607" i="4"/>
  <c r="AM607" i="4"/>
  <c r="Q608" i="4"/>
  <c r="R608" i="4"/>
  <c r="S608" i="4"/>
  <c r="T608" i="4"/>
  <c r="U608" i="4"/>
  <c r="V608" i="4"/>
  <c r="W608" i="4"/>
  <c r="X608" i="4"/>
  <c r="Z608" i="4"/>
  <c r="AA608" i="4"/>
  <c r="N608" i="4"/>
  <c r="AB608" i="4"/>
  <c r="AC608" i="4"/>
  <c r="AD608" i="4"/>
  <c r="AF608" i="4"/>
  <c r="AG608" i="4"/>
  <c r="AH608" i="4"/>
  <c r="AI608" i="4"/>
  <c r="AL608" i="4"/>
  <c r="AM608" i="4"/>
  <c r="Q609" i="4"/>
  <c r="R609" i="4"/>
  <c r="S609" i="4"/>
  <c r="T609" i="4"/>
  <c r="U609" i="4"/>
  <c r="V609" i="4"/>
  <c r="W609" i="4"/>
  <c r="X609" i="4"/>
  <c r="Z609" i="4"/>
  <c r="AA609" i="4"/>
  <c r="AB609" i="4"/>
  <c r="AC609" i="4"/>
  <c r="AD609" i="4"/>
  <c r="AF609" i="4"/>
  <c r="AG609" i="4"/>
  <c r="AH609" i="4"/>
  <c r="AI609" i="4"/>
  <c r="AL609" i="4"/>
  <c r="AM609" i="4"/>
  <c r="Q610" i="4"/>
  <c r="R610" i="4"/>
  <c r="S610" i="4"/>
  <c r="T610" i="4"/>
  <c r="U610" i="4"/>
  <c r="V610" i="4"/>
  <c r="W610" i="4"/>
  <c r="X610" i="4"/>
  <c r="Z610" i="4"/>
  <c r="AA610" i="4"/>
  <c r="AB610" i="4"/>
  <c r="AC610" i="4"/>
  <c r="AD610" i="4"/>
  <c r="AF610" i="4"/>
  <c r="AG610" i="4"/>
  <c r="AH610" i="4"/>
  <c r="AI610" i="4"/>
  <c r="AL610" i="4"/>
  <c r="AM610" i="4"/>
  <c r="Q611" i="4"/>
  <c r="R611" i="4"/>
  <c r="S611" i="4"/>
  <c r="T611" i="4"/>
  <c r="U611" i="4"/>
  <c r="V611" i="4"/>
  <c r="W611" i="4"/>
  <c r="X611" i="4"/>
  <c r="Z611" i="4"/>
  <c r="AA611" i="4"/>
  <c r="N611" i="4"/>
  <c r="AB611" i="4"/>
  <c r="AC611" i="4"/>
  <c r="AD611" i="4"/>
  <c r="AF611" i="4"/>
  <c r="AG611" i="4"/>
  <c r="AH611" i="4"/>
  <c r="AI611" i="4"/>
  <c r="AL611" i="4"/>
  <c r="AM611" i="4"/>
  <c r="Q612" i="4"/>
  <c r="R612" i="4"/>
  <c r="S612" i="4"/>
  <c r="T612" i="4"/>
  <c r="U612" i="4"/>
  <c r="V612" i="4"/>
  <c r="W612" i="4"/>
  <c r="X612" i="4"/>
  <c r="Z612" i="4"/>
  <c r="AA612" i="4"/>
  <c r="N612" i="4"/>
  <c r="AB612" i="4"/>
  <c r="AC612" i="4"/>
  <c r="AD612" i="4"/>
  <c r="AF612" i="4"/>
  <c r="AG612" i="4"/>
  <c r="AH612" i="4"/>
  <c r="AI612" i="4"/>
  <c r="AL612" i="4"/>
  <c r="AM612" i="4"/>
  <c r="AM592" i="4"/>
  <c r="AF616" i="4"/>
  <c r="AK616" i="4"/>
  <c r="N617" i="4"/>
  <c r="O617" i="4"/>
  <c r="P617" i="4"/>
  <c r="R617" i="4"/>
  <c r="Y617" i="4"/>
  <c r="Z617" i="4"/>
  <c r="AA617" i="4"/>
  <c r="AE617" i="4"/>
  <c r="Q619" i="4"/>
  <c r="R619" i="4"/>
  <c r="S619" i="4"/>
  <c r="T619" i="4"/>
  <c r="U619" i="4"/>
  <c r="V619" i="4"/>
  <c r="W619" i="4"/>
  <c r="X619" i="4"/>
  <c r="Z619" i="4"/>
  <c r="AA619" i="4"/>
  <c r="AB619" i="4"/>
  <c r="AC619" i="4"/>
  <c r="AD619" i="4"/>
  <c r="AF619" i="4"/>
  <c r="AG619" i="4"/>
  <c r="AH619" i="4"/>
  <c r="AI619" i="4"/>
  <c r="AL619" i="4"/>
  <c r="AM619" i="4"/>
  <c r="Q620" i="4"/>
  <c r="R620" i="4"/>
  <c r="N620" i="4"/>
  <c r="S620" i="4"/>
  <c r="T620" i="4"/>
  <c r="U620" i="4"/>
  <c r="V620" i="4"/>
  <c r="W620" i="4"/>
  <c r="X620" i="4"/>
  <c r="Z620" i="4"/>
  <c r="AA620" i="4"/>
  <c r="AB620" i="4"/>
  <c r="AC620" i="4"/>
  <c r="AD620" i="4"/>
  <c r="AF620" i="4"/>
  <c r="AG620" i="4"/>
  <c r="AH620" i="4"/>
  <c r="AI620" i="4"/>
  <c r="AL620" i="4"/>
  <c r="AM620" i="4"/>
  <c r="Q621" i="4"/>
  <c r="S621" i="4"/>
  <c r="T621" i="4"/>
  <c r="W621" i="4"/>
  <c r="Z621" i="4"/>
  <c r="AB621" i="4"/>
  <c r="AC621" i="4"/>
  <c r="AD621" i="4"/>
  <c r="AF621" i="4"/>
  <c r="AG621" i="4"/>
  <c r="AH621" i="4"/>
  <c r="AL621" i="4"/>
  <c r="AM621" i="4"/>
  <c r="Q622" i="4"/>
  <c r="R622" i="4"/>
  <c r="S622" i="4"/>
  <c r="T622" i="4"/>
  <c r="U622" i="4"/>
  <c r="V622" i="4"/>
  <c r="W622" i="4"/>
  <c r="X622" i="4"/>
  <c r="Y622" i="4"/>
  <c r="Z622" i="4"/>
  <c r="AA622" i="4"/>
  <c r="N622" i="4"/>
  <c r="AB622" i="4"/>
  <c r="AC622" i="4"/>
  <c r="AD622" i="4"/>
  <c r="AE622" i="4"/>
  <c r="O622" i="4"/>
  <c r="AF622" i="4"/>
  <c r="AG622" i="4"/>
  <c r="AH622" i="4"/>
  <c r="AI622" i="4"/>
  <c r="AL622" i="4"/>
  <c r="AM622" i="4"/>
  <c r="Q623" i="4"/>
  <c r="R623" i="4"/>
  <c r="S623" i="4"/>
  <c r="T623" i="4"/>
  <c r="U623" i="4"/>
  <c r="V623" i="4"/>
  <c r="W623" i="4"/>
  <c r="X623" i="4"/>
  <c r="Z623" i="4"/>
  <c r="AA623" i="4"/>
  <c r="AB623" i="4"/>
  <c r="AC623" i="4"/>
  <c r="AD623" i="4"/>
  <c r="AF623" i="4"/>
  <c r="AG623" i="4"/>
  <c r="AH623" i="4"/>
  <c r="AI623" i="4"/>
  <c r="AL623" i="4"/>
  <c r="AM623" i="4"/>
  <c r="Q624" i="4"/>
  <c r="R624" i="4"/>
  <c r="S624" i="4"/>
  <c r="T624" i="4"/>
  <c r="U624" i="4"/>
  <c r="V624" i="4"/>
  <c r="W624" i="4"/>
  <c r="X624" i="4"/>
  <c r="Z624" i="4"/>
  <c r="AA624" i="4"/>
  <c r="AB624" i="4"/>
  <c r="AC624" i="4"/>
  <c r="AD624" i="4"/>
  <c r="AF624" i="4"/>
  <c r="AG624" i="4"/>
  <c r="AH624" i="4"/>
  <c r="AI624" i="4"/>
  <c r="AL624" i="4"/>
  <c r="AM624" i="4"/>
  <c r="Q625" i="4"/>
  <c r="R625" i="4"/>
  <c r="N625" i="4"/>
  <c r="S625" i="4"/>
  <c r="T625" i="4"/>
  <c r="U625" i="4"/>
  <c r="V625" i="4"/>
  <c r="W625" i="4"/>
  <c r="X625" i="4"/>
  <c r="Z625" i="4"/>
  <c r="AA625" i="4"/>
  <c r="AB625" i="4"/>
  <c r="AC625" i="4"/>
  <c r="AD625" i="4"/>
  <c r="AF625" i="4"/>
  <c r="AG625" i="4"/>
  <c r="AH625" i="4"/>
  <c r="AI625" i="4"/>
  <c r="AL625" i="4"/>
  <c r="AM625" i="4"/>
  <c r="Q626" i="4"/>
  <c r="R626" i="4"/>
  <c r="S626" i="4"/>
  <c r="T626" i="4"/>
  <c r="U626" i="4"/>
  <c r="V626" i="4"/>
  <c r="W626" i="4"/>
  <c r="X626" i="4"/>
  <c r="Z626" i="4"/>
  <c r="AA626" i="4"/>
  <c r="AB626" i="4"/>
  <c r="AC626" i="4"/>
  <c r="AD626" i="4"/>
  <c r="AE626" i="4"/>
  <c r="AF626" i="4"/>
  <c r="AG626" i="4"/>
  <c r="AH626" i="4"/>
  <c r="AI626" i="4"/>
  <c r="AL626" i="4"/>
  <c r="AM626" i="4"/>
  <c r="Q627" i="4"/>
  <c r="R627" i="4"/>
  <c r="S627" i="4"/>
  <c r="T627" i="4"/>
  <c r="U627" i="4"/>
  <c r="V627" i="4"/>
  <c r="W627" i="4"/>
  <c r="X627" i="4"/>
  <c r="Z627" i="4"/>
  <c r="AA627" i="4"/>
  <c r="AB627" i="4"/>
  <c r="AC627" i="4"/>
  <c r="AD627" i="4"/>
  <c r="AF627" i="4"/>
  <c r="AG627" i="4"/>
  <c r="AH627" i="4"/>
  <c r="AI627" i="4"/>
  <c r="AL627" i="4"/>
  <c r="AM627" i="4"/>
  <c r="Q628" i="4"/>
  <c r="R628" i="4"/>
  <c r="N628" i="4"/>
  <c r="S628" i="4"/>
  <c r="T628" i="4"/>
  <c r="U628" i="4"/>
  <c r="V628" i="4"/>
  <c r="W628" i="4"/>
  <c r="X628" i="4"/>
  <c r="Z628" i="4"/>
  <c r="AA628" i="4"/>
  <c r="AB628" i="4"/>
  <c r="AC628" i="4"/>
  <c r="AD628" i="4"/>
  <c r="AF628" i="4"/>
  <c r="AG628" i="4"/>
  <c r="AH628" i="4"/>
  <c r="AI628" i="4"/>
  <c r="AL628" i="4"/>
  <c r="AM628" i="4"/>
  <c r="Q629" i="4"/>
  <c r="R629" i="4"/>
  <c r="N629" i="4"/>
  <c r="S629" i="4"/>
  <c r="T629" i="4"/>
  <c r="U629" i="4"/>
  <c r="V629" i="4"/>
  <c r="W629" i="4"/>
  <c r="X629" i="4"/>
  <c r="Y629" i="4"/>
  <c r="Z629" i="4"/>
  <c r="AA629" i="4"/>
  <c r="AB629" i="4"/>
  <c r="AC629" i="4"/>
  <c r="AD629" i="4"/>
  <c r="AF629" i="4"/>
  <c r="AG629" i="4"/>
  <c r="AH629" i="4"/>
  <c r="AI629" i="4"/>
  <c r="AL629" i="4"/>
  <c r="AM629" i="4"/>
  <c r="Q630" i="4"/>
  <c r="S630" i="4"/>
  <c r="T630" i="4"/>
  <c r="U630" i="4"/>
  <c r="V630" i="4"/>
  <c r="W630" i="4"/>
  <c r="X630" i="4"/>
  <c r="Z630" i="4"/>
  <c r="AB630" i="4"/>
  <c r="AC630" i="4"/>
  <c r="AD630" i="4"/>
  <c r="AF630" i="4"/>
  <c r="AG630" i="4"/>
  <c r="AH630" i="4"/>
  <c r="AI630" i="4"/>
  <c r="AL630" i="4"/>
  <c r="AM630" i="4"/>
  <c r="Q631" i="4"/>
  <c r="R631" i="4"/>
  <c r="S631" i="4"/>
  <c r="T631" i="4"/>
  <c r="U631" i="4"/>
  <c r="V631" i="4"/>
  <c r="W631" i="4"/>
  <c r="X631" i="4"/>
  <c r="Z631" i="4"/>
  <c r="AA631" i="4"/>
  <c r="AB631" i="4"/>
  <c r="AC631" i="4"/>
  <c r="AD631" i="4"/>
  <c r="AF631" i="4"/>
  <c r="AG631" i="4"/>
  <c r="AH631" i="4"/>
  <c r="AI631" i="4"/>
  <c r="AL631" i="4"/>
  <c r="AM631" i="4"/>
  <c r="Q632" i="4"/>
  <c r="R632" i="4"/>
  <c r="S632" i="4"/>
  <c r="T632" i="4"/>
  <c r="U632" i="4"/>
  <c r="V632" i="4"/>
  <c r="W632" i="4"/>
  <c r="X632" i="4"/>
  <c r="Z632" i="4"/>
  <c r="AA632" i="4"/>
  <c r="AB632" i="4"/>
  <c r="AC632" i="4"/>
  <c r="AD632" i="4"/>
  <c r="AF632" i="4"/>
  <c r="AG632" i="4"/>
  <c r="AH632" i="4"/>
  <c r="AI632" i="4"/>
  <c r="AL632" i="4"/>
  <c r="AM632" i="4"/>
  <c r="Q633" i="4"/>
  <c r="R633" i="4"/>
  <c r="S633" i="4"/>
  <c r="T633" i="4"/>
  <c r="U633" i="4"/>
  <c r="V633" i="4"/>
  <c r="W633" i="4"/>
  <c r="X633" i="4"/>
  <c r="Z633" i="4"/>
  <c r="AA633" i="4"/>
  <c r="AB633" i="4"/>
  <c r="AC633" i="4"/>
  <c r="AD633" i="4"/>
  <c r="AF633" i="4"/>
  <c r="AG633" i="4"/>
  <c r="AH633" i="4"/>
  <c r="AI633" i="4"/>
  <c r="AL633" i="4"/>
  <c r="AM633" i="4"/>
  <c r="Q634" i="4"/>
  <c r="R634" i="4"/>
  <c r="S634" i="4"/>
  <c r="T634" i="4"/>
  <c r="U634" i="4"/>
  <c r="V634" i="4"/>
  <c r="W634" i="4"/>
  <c r="X634" i="4"/>
  <c r="Z634" i="4"/>
  <c r="AA634" i="4"/>
  <c r="N634" i="4"/>
  <c r="AB634" i="4"/>
  <c r="AC634" i="4"/>
  <c r="AD634" i="4"/>
  <c r="AF634" i="4"/>
  <c r="AG634" i="4"/>
  <c r="AH634" i="4"/>
  <c r="AI634" i="4"/>
  <c r="AL634" i="4"/>
  <c r="AM634" i="4"/>
  <c r="Q635" i="4"/>
  <c r="R635" i="4"/>
  <c r="S635" i="4"/>
  <c r="T635" i="4"/>
  <c r="U635" i="4"/>
  <c r="V635" i="4"/>
  <c r="W635" i="4"/>
  <c r="X635" i="4"/>
  <c r="Z635" i="4"/>
  <c r="AA635" i="4"/>
  <c r="AB635" i="4"/>
  <c r="AC635" i="4"/>
  <c r="AD635" i="4"/>
  <c r="AF635" i="4"/>
  <c r="AG635" i="4"/>
  <c r="AH635" i="4"/>
  <c r="AI635" i="4"/>
  <c r="AL635" i="4"/>
  <c r="AM635" i="4"/>
  <c r="Q636" i="4"/>
  <c r="R636" i="4"/>
  <c r="S636" i="4"/>
  <c r="T636" i="4"/>
  <c r="U636" i="4"/>
  <c r="V636" i="4"/>
  <c r="W636" i="4"/>
  <c r="X636" i="4"/>
  <c r="Z636" i="4"/>
  <c r="AA636" i="4"/>
  <c r="AB636" i="4"/>
  <c r="AC636" i="4"/>
  <c r="AD636" i="4"/>
  <c r="AF636" i="4"/>
  <c r="AG636" i="4"/>
  <c r="AH636" i="4"/>
  <c r="AI636" i="4"/>
  <c r="AL636" i="4"/>
  <c r="AM636" i="4"/>
  <c r="Q637" i="4"/>
  <c r="R637" i="4"/>
  <c r="S637" i="4"/>
  <c r="T637" i="4"/>
  <c r="U637" i="4"/>
  <c r="V637" i="4"/>
  <c r="W637" i="4"/>
  <c r="X637" i="4"/>
  <c r="Z637" i="4"/>
  <c r="AA637" i="4"/>
  <c r="N637" i="4"/>
  <c r="AB637" i="4"/>
  <c r="AC637" i="4"/>
  <c r="AD637" i="4"/>
  <c r="AF637" i="4"/>
  <c r="AF618" i="4"/>
  <c r="AF614" i="4"/>
  <c r="AG637" i="4"/>
  <c r="AH637" i="4"/>
  <c r="AI637" i="4"/>
  <c r="AL637" i="4"/>
  <c r="AM637" i="4"/>
  <c r="Q638" i="4"/>
  <c r="R638" i="4"/>
  <c r="S638" i="4"/>
  <c r="T638" i="4"/>
  <c r="U638" i="4"/>
  <c r="V638" i="4"/>
  <c r="W638" i="4"/>
  <c r="X638" i="4"/>
  <c r="Z638" i="4"/>
  <c r="AA638" i="4"/>
  <c r="N638" i="4"/>
  <c r="AB638" i="4"/>
  <c r="AC638" i="4"/>
  <c r="AD638" i="4"/>
  <c r="AF638" i="4"/>
  <c r="AG638" i="4"/>
  <c r="AH638" i="4"/>
  <c r="AI638" i="4"/>
  <c r="AL638" i="4"/>
  <c r="AM638" i="4"/>
  <c r="Q639" i="4"/>
  <c r="R639" i="4"/>
  <c r="N639" i="4"/>
  <c r="S639" i="4"/>
  <c r="T639" i="4"/>
  <c r="U639" i="4"/>
  <c r="V639" i="4"/>
  <c r="W639" i="4"/>
  <c r="X639" i="4"/>
  <c r="Z639" i="4"/>
  <c r="AA639" i="4"/>
  <c r="AB639" i="4"/>
  <c r="AC639" i="4"/>
  <c r="AD639" i="4"/>
  <c r="AF639" i="4"/>
  <c r="AG639" i="4"/>
  <c r="AH639" i="4"/>
  <c r="AI639" i="4"/>
  <c r="AL639" i="4"/>
  <c r="AM639" i="4"/>
  <c r="Q640" i="4"/>
  <c r="R640" i="4"/>
  <c r="N640" i="4"/>
  <c r="S640" i="4"/>
  <c r="U640" i="4"/>
  <c r="V640" i="4"/>
  <c r="W640" i="4"/>
  <c r="X640" i="4"/>
  <c r="Z640" i="4"/>
  <c r="AA640" i="4"/>
  <c r="AB640" i="4"/>
  <c r="AC640" i="4"/>
  <c r="AD640" i="4"/>
  <c r="AF640" i="4"/>
  <c r="AG640" i="4"/>
  <c r="AH640" i="4"/>
  <c r="AI640" i="4"/>
  <c r="AL640" i="4"/>
  <c r="AM640" i="4"/>
  <c r="Q641" i="4"/>
  <c r="S641" i="4"/>
  <c r="T641" i="4"/>
  <c r="V641" i="4"/>
  <c r="W641" i="4"/>
  <c r="X641" i="4"/>
  <c r="Z641" i="4"/>
  <c r="AB641" i="4"/>
  <c r="AC641" i="4"/>
  <c r="AD641" i="4"/>
  <c r="AH641" i="4"/>
  <c r="AL641" i="4"/>
  <c r="AM641" i="4"/>
  <c r="Q642" i="4"/>
  <c r="R642" i="4"/>
  <c r="S642" i="4"/>
  <c r="T642" i="4"/>
  <c r="U642" i="4"/>
  <c r="V642" i="4"/>
  <c r="W642" i="4"/>
  <c r="X642" i="4"/>
  <c r="Z642" i="4"/>
  <c r="AA642" i="4"/>
  <c r="N642" i="4"/>
  <c r="AB642" i="4"/>
  <c r="AC642" i="4"/>
  <c r="AD642" i="4"/>
  <c r="AF642" i="4"/>
  <c r="AG642" i="4"/>
  <c r="AH642" i="4"/>
  <c r="AI642" i="4"/>
  <c r="AL642" i="4"/>
  <c r="AM642" i="4"/>
  <c r="Q643" i="4"/>
  <c r="R643" i="4"/>
  <c r="S643" i="4"/>
  <c r="T643" i="4"/>
  <c r="U643" i="4"/>
  <c r="V643" i="4"/>
  <c r="W643" i="4"/>
  <c r="X643" i="4"/>
  <c r="Y643" i="4"/>
  <c r="O643" i="4"/>
  <c r="Z643" i="4"/>
  <c r="AA643" i="4"/>
  <c r="N643" i="4"/>
  <c r="AB643" i="4"/>
  <c r="AC643" i="4"/>
  <c r="AD643" i="4"/>
  <c r="AE643" i="4"/>
  <c r="AF643" i="4"/>
  <c r="AG643" i="4"/>
  <c r="AH643" i="4"/>
  <c r="AI643" i="4"/>
  <c r="AL643" i="4"/>
  <c r="AM643" i="4"/>
  <c r="Q644" i="4"/>
  <c r="R644" i="4"/>
  <c r="N644" i="4"/>
  <c r="S644" i="4"/>
  <c r="T644" i="4"/>
  <c r="U644" i="4"/>
  <c r="V644" i="4"/>
  <c r="W644" i="4"/>
  <c r="X644" i="4"/>
  <c r="Z644" i="4"/>
  <c r="AA644" i="4"/>
  <c r="AB644" i="4"/>
  <c r="AC644" i="4"/>
  <c r="AD644" i="4"/>
  <c r="AF644" i="4"/>
  <c r="AG644" i="4"/>
  <c r="AH644" i="4"/>
  <c r="AI644" i="4"/>
  <c r="AL644" i="4"/>
  <c r="AM644" i="4"/>
  <c r="Q645" i="4"/>
  <c r="R645" i="4"/>
  <c r="N645" i="4"/>
  <c r="S645" i="4"/>
  <c r="T645" i="4"/>
  <c r="U645" i="4"/>
  <c r="V645" i="4"/>
  <c r="W645" i="4"/>
  <c r="X645" i="4"/>
  <c r="Y645" i="4"/>
  <c r="O645" i="4"/>
  <c r="P645" i="4"/>
  <c r="Z645" i="4"/>
  <c r="AA645" i="4"/>
  <c r="AB645" i="4"/>
  <c r="AC645" i="4"/>
  <c r="AD645" i="4"/>
  <c r="AE645" i="4"/>
  <c r="AF645" i="4"/>
  <c r="AG645" i="4"/>
  <c r="AH645" i="4"/>
  <c r="AI645" i="4"/>
  <c r="AL645" i="4"/>
  <c r="AM645" i="4"/>
  <c r="Q646" i="4"/>
  <c r="R646" i="4"/>
  <c r="S646" i="4"/>
  <c r="T646" i="4"/>
  <c r="U646" i="4"/>
  <c r="V646" i="4"/>
  <c r="W646" i="4"/>
  <c r="X646" i="4"/>
  <c r="Z646" i="4"/>
  <c r="AA646" i="4"/>
  <c r="N646" i="4"/>
  <c r="AB646" i="4"/>
  <c r="AC646" i="4"/>
  <c r="AD646" i="4"/>
  <c r="AF646" i="4"/>
  <c r="AG646" i="4"/>
  <c r="AH646" i="4"/>
  <c r="AI646" i="4"/>
  <c r="AL646" i="4"/>
  <c r="AM646" i="4"/>
  <c r="Q647" i="4"/>
  <c r="R647" i="4"/>
  <c r="S647" i="4"/>
  <c r="T647" i="4"/>
  <c r="U647" i="4"/>
  <c r="V647" i="4"/>
  <c r="W647" i="4"/>
  <c r="X647" i="4"/>
  <c r="Y647" i="4"/>
  <c r="Z647" i="4"/>
  <c r="AA647" i="4"/>
  <c r="N647" i="4"/>
  <c r="AB647" i="4"/>
  <c r="AC647" i="4"/>
  <c r="AD647" i="4"/>
  <c r="AE647" i="4"/>
  <c r="AF647" i="4"/>
  <c r="AG647" i="4"/>
  <c r="AH647" i="4"/>
  <c r="AI647" i="4"/>
  <c r="AL647" i="4"/>
  <c r="AM647" i="4"/>
  <c r="Q648" i="4"/>
  <c r="R648" i="4"/>
  <c r="S648" i="4"/>
  <c r="T648" i="4"/>
  <c r="U648" i="4"/>
  <c r="V648" i="4"/>
  <c r="W648" i="4"/>
  <c r="X648" i="4"/>
  <c r="Z648" i="4"/>
  <c r="AA648" i="4"/>
  <c r="N648" i="4"/>
  <c r="AB648" i="4"/>
  <c r="AC648" i="4"/>
  <c r="AD648" i="4"/>
  <c r="AF648" i="4"/>
  <c r="AG648" i="4"/>
  <c r="AH648" i="4"/>
  <c r="AI648" i="4"/>
  <c r="AL648" i="4"/>
  <c r="AM648" i="4"/>
  <c r="Q649" i="4"/>
  <c r="R649" i="4"/>
  <c r="S649" i="4"/>
  <c r="T649" i="4"/>
  <c r="U649" i="4"/>
  <c r="V649" i="4"/>
  <c r="W649" i="4"/>
  <c r="X649" i="4"/>
  <c r="Z649" i="4"/>
  <c r="AA649" i="4"/>
  <c r="AB649" i="4"/>
  <c r="AC649" i="4"/>
  <c r="AD649" i="4"/>
  <c r="AF649" i="4"/>
  <c r="AG649" i="4"/>
  <c r="AH649" i="4"/>
  <c r="AI649" i="4"/>
  <c r="AL649" i="4"/>
  <c r="AM649" i="4"/>
  <c r="AF651" i="4"/>
  <c r="AF658" i="4"/>
  <c r="AF687" i="4"/>
  <c r="AF695" i="4"/>
  <c r="AF704" i="4"/>
  <c r="AK651" i="4"/>
  <c r="N652" i="4"/>
  <c r="O652" i="4"/>
  <c r="P652" i="4"/>
  <c r="R652" i="4"/>
  <c r="Y652" i="4"/>
  <c r="Z652" i="4"/>
  <c r="AA652" i="4"/>
  <c r="AA659" i="4"/>
  <c r="AA688" i="4"/>
  <c r="AA696" i="4"/>
  <c r="AA705" i="4"/>
  <c r="AE652" i="4"/>
  <c r="Q653" i="4"/>
  <c r="R653" i="4"/>
  <c r="S653" i="4"/>
  <c r="T653" i="4"/>
  <c r="U653" i="4"/>
  <c r="V653" i="4"/>
  <c r="W653" i="4"/>
  <c r="X653" i="4"/>
  <c r="Z653" i="4"/>
  <c r="AA653" i="4"/>
  <c r="N653" i="4"/>
  <c r="AB653" i="4"/>
  <c r="AC653" i="4"/>
  <c r="AD653" i="4"/>
  <c r="AF653" i="4"/>
  <c r="AG653" i="4"/>
  <c r="AH653" i="4"/>
  <c r="AI653" i="4"/>
  <c r="AL653" i="4"/>
  <c r="AM653" i="4"/>
  <c r="AK658" i="4"/>
  <c r="N659" i="4"/>
  <c r="O659" i="4"/>
  <c r="P659" i="4"/>
  <c r="R659" i="4"/>
  <c r="Y659" i="4"/>
  <c r="Z659" i="4"/>
  <c r="AE659" i="4"/>
  <c r="AL660" i="4"/>
  <c r="Q661" i="4"/>
  <c r="S661" i="4"/>
  <c r="T661" i="4"/>
  <c r="U661" i="4"/>
  <c r="V661" i="4"/>
  <c r="W661" i="4"/>
  <c r="X661" i="4"/>
  <c r="Z661" i="4"/>
  <c r="AB661" i="4"/>
  <c r="AC661" i="4"/>
  <c r="AD661" i="4"/>
  <c r="AF661" i="4"/>
  <c r="AG661" i="4"/>
  <c r="AH661" i="4"/>
  <c r="AI661" i="4"/>
  <c r="AL661" i="4"/>
  <c r="AM661" i="4"/>
  <c r="Q662" i="4"/>
  <c r="R662" i="4"/>
  <c r="S662" i="4"/>
  <c r="T662" i="4"/>
  <c r="U662" i="4"/>
  <c r="V662" i="4"/>
  <c r="W662" i="4"/>
  <c r="X662" i="4"/>
  <c r="Z662" i="4"/>
  <c r="AA662" i="4"/>
  <c r="N662" i="4"/>
  <c r="AB662" i="4"/>
  <c r="AC662" i="4"/>
  <c r="AD662" i="4"/>
  <c r="AE662" i="4"/>
  <c r="AF662" i="4"/>
  <c r="AG662" i="4"/>
  <c r="AH662" i="4"/>
  <c r="AI662" i="4"/>
  <c r="AL662" i="4"/>
  <c r="AM662" i="4"/>
  <c r="Q663" i="4"/>
  <c r="R663" i="4"/>
  <c r="S663" i="4"/>
  <c r="T663" i="4"/>
  <c r="U663" i="4"/>
  <c r="V663" i="4"/>
  <c r="W663" i="4"/>
  <c r="X663" i="4"/>
  <c r="Z663" i="4"/>
  <c r="AA663" i="4"/>
  <c r="AB663" i="4"/>
  <c r="AC663" i="4"/>
  <c r="AD663" i="4"/>
  <c r="AF663" i="4"/>
  <c r="AG663" i="4"/>
  <c r="AH663" i="4"/>
  <c r="AI663" i="4"/>
  <c r="AL663" i="4"/>
  <c r="AM663" i="4"/>
  <c r="Q664" i="4"/>
  <c r="S664" i="4"/>
  <c r="T664" i="4"/>
  <c r="U664" i="4"/>
  <c r="V664" i="4"/>
  <c r="W664" i="4"/>
  <c r="X664" i="4"/>
  <c r="Z664" i="4"/>
  <c r="AB664" i="4"/>
  <c r="AC664" i="4"/>
  <c r="AD664" i="4"/>
  <c r="AF664" i="4"/>
  <c r="AG664" i="4"/>
  <c r="AH664" i="4"/>
  <c r="AI664" i="4"/>
  <c r="AL664" i="4"/>
  <c r="AM664" i="4"/>
  <c r="Q665" i="4"/>
  <c r="R665" i="4"/>
  <c r="S665" i="4"/>
  <c r="T665" i="4"/>
  <c r="U665" i="4"/>
  <c r="V665" i="4"/>
  <c r="W665" i="4"/>
  <c r="X665" i="4"/>
  <c r="Z665" i="4"/>
  <c r="AA665" i="4"/>
  <c r="N665" i="4"/>
  <c r="AB665" i="4"/>
  <c r="AC665" i="4"/>
  <c r="AD665" i="4"/>
  <c r="AE665" i="4"/>
  <c r="AF665" i="4"/>
  <c r="AG665" i="4"/>
  <c r="AH665" i="4"/>
  <c r="AI665" i="4"/>
  <c r="AL665" i="4"/>
  <c r="AM665" i="4"/>
  <c r="Q666" i="4"/>
  <c r="R666" i="4"/>
  <c r="S666" i="4"/>
  <c r="T666" i="4"/>
  <c r="U666" i="4"/>
  <c r="V666" i="4"/>
  <c r="W666" i="4"/>
  <c r="X666" i="4"/>
  <c r="Z666" i="4"/>
  <c r="AA666" i="4"/>
  <c r="N666" i="4"/>
  <c r="AB666" i="4"/>
  <c r="AC666" i="4"/>
  <c r="AD666" i="4"/>
  <c r="AF666" i="4"/>
  <c r="AG666" i="4"/>
  <c r="AH666" i="4"/>
  <c r="AI666" i="4"/>
  <c r="AL666" i="4"/>
  <c r="AM666" i="4"/>
  <c r="Q667" i="4"/>
  <c r="S667" i="4"/>
  <c r="X667" i="4"/>
  <c r="Z667" i="4"/>
  <c r="AB667" i="4"/>
  <c r="AC667" i="4"/>
  <c r="AD667" i="4"/>
  <c r="AF667" i="4"/>
  <c r="AG667" i="4"/>
  <c r="AH667" i="4"/>
  <c r="AI667" i="4"/>
  <c r="AL667" i="4"/>
  <c r="AM667" i="4"/>
  <c r="Q668" i="4"/>
  <c r="R668" i="4"/>
  <c r="S668" i="4"/>
  <c r="T668" i="4"/>
  <c r="U668" i="4"/>
  <c r="V668" i="4"/>
  <c r="W668" i="4"/>
  <c r="X668" i="4"/>
  <c r="Z668" i="4"/>
  <c r="AA668" i="4"/>
  <c r="AB668" i="4"/>
  <c r="AC668" i="4"/>
  <c r="AD668" i="4"/>
  <c r="AE668" i="4"/>
  <c r="AF668" i="4"/>
  <c r="AG668" i="4"/>
  <c r="AH668" i="4"/>
  <c r="AI668" i="4"/>
  <c r="AL668" i="4"/>
  <c r="AM668" i="4"/>
  <c r="Q669" i="4"/>
  <c r="R669" i="4"/>
  <c r="S669" i="4"/>
  <c r="T669" i="4"/>
  <c r="U669" i="4"/>
  <c r="V669" i="4"/>
  <c r="W669" i="4"/>
  <c r="X669" i="4"/>
  <c r="Z669" i="4"/>
  <c r="AA669" i="4"/>
  <c r="N669" i="4"/>
  <c r="AB669" i="4"/>
  <c r="AC669" i="4"/>
  <c r="AD669" i="4"/>
  <c r="AF669" i="4"/>
  <c r="AG669" i="4"/>
  <c r="AH669" i="4"/>
  <c r="AI669" i="4"/>
  <c r="AL669" i="4"/>
  <c r="AM669" i="4"/>
  <c r="Q670" i="4"/>
  <c r="S670" i="4"/>
  <c r="T670" i="4"/>
  <c r="U670" i="4"/>
  <c r="V670" i="4"/>
  <c r="W670" i="4"/>
  <c r="X670" i="4"/>
  <c r="Z670" i="4"/>
  <c r="AA670" i="4"/>
  <c r="AB670" i="4"/>
  <c r="AC670" i="4"/>
  <c r="AD670" i="4"/>
  <c r="AF670" i="4"/>
  <c r="AG670" i="4"/>
  <c r="AH670" i="4"/>
  <c r="AI670" i="4"/>
  <c r="AL670" i="4"/>
  <c r="AM670" i="4"/>
  <c r="Q671" i="4"/>
  <c r="R671" i="4"/>
  <c r="S671" i="4"/>
  <c r="T671" i="4"/>
  <c r="U671" i="4"/>
  <c r="V671" i="4"/>
  <c r="W671" i="4"/>
  <c r="X671" i="4"/>
  <c r="Z671" i="4"/>
  <c r="AA671" i="4"/>
  <c r="N671" i="4"/>
  <c r="AB671" i="4"/>
  <c r="AC671" i="4"/>
  <c r="AD671" i="4"/>
  <c r="AF671" i="4"/>
  <c r="AG671" i="4"/>
  <c r="AH671" i="4"/>
  <c r="AI671" i="4"/>
  <c r="AL671" i="4"/>
  <c r="AM671" i="4"/>
  <c r="Q672" i="4"/>
  <c r="R672" i="4"/>
  <c r="S672" i="4"/>
  <c r="T672" i="4"/>
  <c r="U672" i="4"/>
  <c r="V672" i="4"/>
  <c r="W672" i="4"/>
  <c r="X672" i="4"/>
  <c r="Z672" i="4"/>
  <c r="AA672" i="4"/>
  <c r="N672" i="4"/>
  <c r="AB672" i="4"/>
  <c r="AC672" i="4"/>
  <c r="AD672" i="4"/>
  <c r="AF672" i="4"/>
  <c r="AG672" i="4"/>
  <c r="AH672" i="4"/>
  <c r="AI672" i="4"/>
  <c r="AL672" i="4"/>
  <c r="AM672" i="4"/>
  <c r="Q673" i="4"/>
  <c r="R673" i="4"/>
  <c r="S673" i="4"/>
  <c r="T673" i="4"/>
  <c r="U673" i="4"/>
  <c r="V673" i="4"/>
  <c r="W673" i="4"/>
  <c r="X673" i="4"/>
  <c r="Z673" i="4"/>
  <c r="AA673" i="4"/>
  <c r="N673" i="4"/>
  <c r="AB673" i="4"/>
  <c r="AC673" i="4"/>
  <c r="AD673" i="4"/>
  <c r="AF673" i="4"/>
  <c r="AG673" i="4"/>
  <c r="AH673" i="4"/>
  <c r="AI673" i="4"/>
  <c r="AL673" i="4"/>
  <c r="AM673" i="4"/>
  <c r="Q674" i="4"/>
  <c r="R674" i="4"/>
  <c r="S674" i="4"/>
  <c r="T674" i="4"/>
  <c r="U674" i="4"/>
  <c r="V674" i="4"/>
  <c r="W674" i="4"/>
  <c r="X674" i="4"/>
  <c r="Z674" i="4"/>
  <c r="AA674" i="4"/>
  <c r="N674" i="4"/>
  <c r="AB674" i="4"/>
  <c r="AC674" i="4"/>
  <c r="AD674" i="4"/>
  <c r="AF674" i="4"/>
  <c r="AG674" i="4"/>
  <c r="AH674" i="4"/>
  <c r="AI674" i="4"/>
  <c r="AL674" i="4"/>
  <c r="AM674" i="4"/>
  <c r="Q675" i="4"/>
  <c r="R675" i="4"/>
  <c r="S675" i="4"/>
  <c r="T675" i="4"/>
  <c r="U675" i="4"/>
  <c r="V675" i="4"/>
  <c r="W675" i="4"/>
  <c r="X675" i="4"/>
  <c r="Z675" i="4"/>
  <c r="AA675" i="4"/>
  <c r="AB675" i="4"/>
  <c r="AC675" i="4"/>
  <c r="AD675" i="4"/>
  <c r="AF675" i="4"/>
  <c r="AG675" i="4"/>
  <c r="AH675" i="4"/>
  <c r="AI675" i="4"/>
  <c r="AL675" i="4"/>
  <c r="AM675" i="4"/>
  <c r="Q676" i="4"/>
  <c r="R676" i="4"/>
  <c r="S676" i="4"/>
  <c r="T676" i="4"/>
  <c r="U676" i="4"/>
  <c r="V676" i="4"/>
  <c r="W676" i="4"/>
  <c r="X676" i="4"/>
  <c r="Y676" i="4"/>
  <c r="Z676" i="4"/>
  <c r="AA676" i="4"/>
  <c r="AB676" i="4"/>
  <c r="AC676" i="4"/>
  <c r="AD676" i="4"/>
  <c r="AF676" i="4"/>
  <c r="AG676" i="4"/>
  <c r="AH676" i="4"/>
  <c r="AI676" i="4"/>
  <c r="AL676" i="4"/>
  <c r="AM676" i="4"/>
  <c r="Q677" i="4"/>
  <c r="R677" i="4"/>
  <c r="S677" i="4"/>
  <c r="T677" i="4"/>
  <c r="U677" i="4"/>
  <c r="V677" i="4"/>
  <c r="W677" i="4"/>
  <c r="X677" i="4"/>
  <c r="Z677" i="4"/>
  <c r="AA677" i="4"/>
  <c r="N677" i="4"/>
  <c r="AB677" i="4"/>
  <c r="AC677" i="4"/>
  <c r="AD677" i="4"/>
  <c r="AF677" i="4"/>
  <c r="AG677" i="4"/>
  <c r="AH677" i="4"/>
  <c r="AI677" i="4"/>
  <c r="AL677" i="4"/>
  <c r="AM677" i="4"/>
  <c r="Q678" i="4"/>
  <c r="R678" i="4"/>
  <c r="S678" i="4"/>
  <c r="T678" i="4"/>
  <c r="U678" i="4"/>
  <c r="V678" i="4"/>
  <c r="W678" i="4"/>
  <c r="X678" i="4"/>
  <c r="Z678" i="4"/>
  <c r="AA678" i="4"/>
  <c r="AB678" i="4"/>
  <c r="AC678" i="4"/>
  <c r="AD678" i="4"/>
  <c r="AF678" i="4"/>
  <c r="AG678" i="4"/>
  <c r="AH678" i="4"/>
  <c r="AI678" i="4"/>
  <c r="AL678" i="4"/>
  <c r="AM678" i="4"/>
  <c r="Q679" i="4"/>
  <c r="R679" i="4"/>
  <c r="S679" i="4"/>
  <c r="T679" i="4"/>
  <c r="U679" i="4"/>
  <c r="V679" i="4"/>
  <c r="W679" i="4"/>
  <c r="X679" i="4"/>
  <c r="Z679" i="4"/>
  <c r="AA679" i="4"/>
  <c r="N679" i="4"/>
  <c r="AB679" i="4"/>
  <c r="AC679" i="4"/>
  <c r="AD679" i="4"/>
  <c r="AF679" i="4"/>
  <c r="AG679" i="4"/>
  <c r="AH679" i="4"/>
  <c r="AI679" i="4"/>
  <c r="AL679" i="4"/>
  <c r="AM679" i="4"/>
  <c r="Q680" i="4"/>
  <c r="R680" i="4"/>
  <c r="S680" i="4"/>
  <c r="T680" i="4"/>
  <c r="U680" i="4"/>
  <c r="V680" i="4"/>
  <c r="W680" i="4"/>
  <c r="X680" i="4"/>
  <c r="Z680" i="4"/>
  <c r="AA680" i="4"/>
  <c r="AB680" i="4"/>
  <c r="AC680" i="4"/>
  <c r="AD680" i="4"/>
  <c r="AF680" i="4"/>
  <c r="AG680" i="4"/>
  <c r="AH680" i="4"/>
  <c r="AI680" i="4"/>
  <c r="AL680" i="4"/>
  <c r="AM680" i="4"/>
  <c r="N684" i="4"/>
  <c r="O684" i="4"/>
  <c r="P684" i="4"/>
  <c r="AK687" i="4"/>
  <c r="N688" i="4"/>
  <c r="O688" i="4"/>
  <c r="P688" i="4"/>
  <c r="R688" i="4"/>
  <c r="Y688" i="4"/>
  <c r="Z688" i="4"/>
  <c r="AE688" i="4"/>
  <c r="Q689" i="4"/>
  <c r="S689" i="4"/>
  <c r="T689" i="4"/>
  <c r="U689" i="4"/>
  <c r="V689" i="4"/>
  <c r="W689" i="4"/>
  <c r="X689" i="4"/>
  <c r="X685" i="4"/>
  <c r="Z689" i="4"/>
  <c r="AB689" i="4"/>
  <c r="AC689" i="4"/>
  <c r="AD689" i="4"/>
  <c r="AF689" i="4"/>
  <c r="AG689" i="4"/>
  <c r="AH689" i="4"/>
  <c r="AI689" i="4"/>
  <c r="AI685" i="4"/>
  <c r="AL689" i="4"/>
  <c r="AM689" i="4"/>
  <c r="Q690" i="4"/>
  <c r="R690" i="4"/>
  <c r="S690" i="4"/>
  <c r="T690" i="4"/>
  <c r="U690" i="4"/>
  <c r="V690" i="4"/>
  <c r="W690" i="4"/>
  <c r="X690" i="4"/>
  <c r="Z690" i="4"/>
  <c r="AA690" i="4"/>
  <c r="N690" i="4"/>
  <c r="AB690" i="4"/>
  <c r="AC690" i="4"/>
  <c r="AD690" i="4"/>
  <c r="AE690" i="4"/>
  <c r="AF690" i="4"/>
  <c r="AG690" i="4"/>
  <c r="AH690" i="4"/>
  <c r="AI690" i="4"/>
  <c r="AL690" i="4"/>
  <c r="AM690" i="4"/>
  <c r="Q691" i="4"/>
  <c r="R691" i="4"/>
  <c r="S691" i="4"/>
  <c r="T691" i="4"/>
  <c r="U691" i="4"/>
  <c r="V691" i="4"/>
  <c r="W691" i="4"/>
  <c r="X691" i="4"/>
  <c r="Z691" i="4"/>
  <c r="AA691" i="4"/>
  <c r="AB691" i="4"/>
  <c r="AC691" i="4"/>
  <c r="AD691" i="4"/>
  <c r="AF691" i="4"/>
  <c r="AG691" i="4"/>
  <c r="AH691" i="4"/>
  <c r="AI691" i="4"/>
  <c r="AL691" i="4"/>
  <c r="AM691" i="4"/>
  <c r="Q692" i="4"/>
  <c r="R692" i="4"/>
  <c r="S692" i="4"/>
  <c r="T692" i="4"/>
  <c r="U692" i="4"/>
  <c r="V692" i="4"/>
  <c r="V685" i="4"/>
  <c r="W692" i="4"/>
  <c r="X692" i="4"/>
  <c r="Y692" i="4"/>
  <c r="Z692" i="4"/>
  <c r="AA692" i="4"/>
  <c r="AB692" i="4"/>
  <c r="AC692" i="4"/>
  <c r="AD692" i="4"/>
  <c r="AD685" i="4"/>
  <c r="AF692" i="4"/>
  <c r="AF685" i="4"/>
  <c r="AG692" i="4"/>
  <c r="AH692" i="4"/>
  <c r="AI692" i="4"/>
  <c r="AL692" i="4"/>
  <c r="AM692" i="4"/>
  <c r="Q693" i="4"/>
  <c r="R693" i="4"/>
  <c r="S693" i="4"/>
  <c r="T693" i="4"/>
  <c r="T685" i="4"/>
  <c r="U693" i="4"/>
  <c r="V693" i="4"/>
  <c r="W693" i="4"/>
  <c r="X693" i="4"/>
  <c r="Z693" i="4"/>
  <c r="AA693" i="4"/>
  <c r="AB693" i="4"/>
  <c r="AC693" i="4"/>
  <c r="AD693" i="4"/>
  <c r="AF693" i="4"/>
  <c r="AG693" i="4"/>
  <c r="AH693" i="4"/>
  <c r="AI693" i="4"/>
  <c r="AL693" i="4"/>
  <c r="AM693" i="4"/>
  <c r="AK695" i="4"/>
  <c r="N696" i="4"/>
  <c r="O696" i="4"/>
  <c r="P696" i="4"/>
  <c r="R696" i="4"/>
  <c r="Y696" i="4"/>
  <c r="Y705" i="4"/>
  <c r="Z696" i="4"/>
  <c r="AE696" i="4"/>
  <c r="Q697" i="4"/>
  <c r="R697" i="4"/>
  <c r="S697" i="4"/>
  <c r="T697" i="4"/>
  <c r="U697" i="4"/>
  <c r="V697" i="4"/>
  <c r="W697" i="4"/>
  <c r="X697" i="4"/>
  <c r="Z697" i="4"/>
  <c r="AA697" i="4"/>
  <c r="AB697" i="4"/>
  <c r="AC697" i="4"/>
  <c r="AD697" i="4"/>
  <c r="AF697" i="4"/>
  <c r="AG697" i="4"/>
  <c r="AH697" i="4"/>
  <c r="AI697" i="4"/>
  <c r="AL697" i="4"/>
  <c r="AM697" i="4"/>
  <c r="N701" i="4"/>
  <c r="O701" i="4"/>
  <c r="P701" i="4"/>
  <c r="AM702" i="4"/>
  <c r="AK704" i="4"/>
  <c r="N705" i="4"/>
  <c r="O705" i="4"/>
  <c r="P705" i="4"/>
  <c r="R705" i="4"/>
  <c r="Z705" i="4"/>
  <c r="AE705" i="4"/>
  <c r="Q706" i="4"/>
  <c r="R706" i="4"/>
  <c r="S706" i="4"/>
  <c r="T706" i="4"/>
  <c r="U706" i="4"/>
  <c r="V706" i="4"/>
  <c r="W706" i="4"/>
  <c r="X706" i="4"/>
  <c r="Y706" i="4"/>
  <c r="Z706" i="4"/>
  <c r="AA706" i="4"/>
  <c r="N706" i="4"/>
  <c r="AB706" i="4"/>
  <c r="AC706" i="4"/>
  <c r="AD706" i="4"/>
  <c r="AE706" i="4"/>
  <c r="AF706" i="4"/>
  <c r="AG706" i="4"/>
  <c r="AH706" i="4"/>
  <c r="AI706" i="4"/>
  <c r="AJ706" i="4"/>
  <c r="AK706" i="4"/>
  <c r="AL706" i="4"/>
  <c r="AM706" i="4"/>
  <c r="Q707" i="4"/>
  <c r="R707" i="4"/>
  <c r="S707" i="4"/>
  <c r="T707" i="4"/>
  <c r="U707" i="4"/>
  <c r="V707" i="4"/>
  <c r="W707" i="4"/>
  <c r="X707" i="4"/>
  <c r="Z707" i="4"/>
  <c r="AA707" i="4"/>
  <c r="AB707" i="4"/>
  <c r="AC707" i="4"/>
  <c r="AD707" i="4"/>
  <c r="AF707" i="4"/>
  <c r="AG707" i="4"/>
  <c r="AH707" i="4"/>
  <c r="AI707" i="4"/>
  <c r="AL707" i="4"/>
  <c r="AM707" i="4"/>
  <c r="Q708" i="4"/>
  <c r="R708" i="4"/>
  <c r="S708" i="4"/>
  <c r="T708" i="4"/>
  <c r="U708" i="4"/>
  <c r="V708" i="4"/>
  <c r="W708" i="4"/>
  <c r="X708" i="4"/>
  <c r="Z708" i="4"/>
  <c r="AA708" i="4"/>
  <c r="AB708" i="4"/>
  <c r="AC708" i="4"/>
  <c r="AD708" i="4"/>
  <c r="AF708" i="4"/>
  <c r="AG708" i="4"/>
  <c r="AH708" i="4"/>
  <c r="AI708" i="4"/>
  <c r="AL708" i="4"/>
  <c r="AM708" i="4"/>
  <c r="Q709" i="4"/>
  <c r="R709" i="4"/>
  <c r="S709" i="4"/>
  <c r="T709" i="4"/>
  <c r="U709" i="4"/>
  <c r="V709" i="4"/>
  <c r="W709" i="4"/>
  <c r="X709" i="4"/>
  <c r="Z709" i="4"/>
  <c r="AA709" i="4"/>
  <c r="N709" i="4"/>
  <c r="AB709" i="4"/>
  <c r="AC709" i="4"/>
  <c r="AD709" i="4"/>
  <c r="AF709" i="4"/>
  <c r="AG709" i="4"/>
  <c r="AH709" i="4"/>
  <c r="AI709" i="4"/>
  <c r="AL709" i="4"/>
  <c r="AM709" i="4"/>
  <c r="Q710" i="4"/>
  <c r="R710" i="4"/>
  <c r="S710" i="4"/>
  <c r="T710" i="4"/>
  <c r="U710" i="4"/>
  <c r="V710" i="4"/>
  <c r="W710" i="4"/>
  <c r="X710" i="4"/>
  <c r="Z710" i="4"/>
  <c r="AA710" i="4"/>
  <c r="AB710" i="4"/>
  <c r="AC710" i="4"/>
  <c r="AD710" i="4"/>
  <c r="AF710" i="4"/>
  <c r="AG710" i="4"/>
  <c r="AH710" i="4"/>
  <c r="AI710" i="4"/>
  <c r="AL710" i="4"/>
  <c r="AM710" i="4"/>
  <c r="Q711" i="4"/>
  <c r="R711" i="4"/>
  <c r="S711" i="4"/>
  <c r="T711" i="4"/>
  <c r="U711" i="4"/>
  <c r="V711" i="4"/>
  <c r="W711" i="4"/>
  <c r="X711" i="4"/>
  <c r="Z711" i="4"/>
  <c r="AA711" i="4"/>
  <c r="N711" i="4"/>
  <c r="AB711" i="4"/>
  <c r="AC711" i="4"/>
  <c r="AD711" i="4"/>
  <c r="AF711" i="4"/>
  <c r="AG711" i="4"/>
  <c r="AH711" i="4"/>
  <c r="AI711" i="4"/>
  <c r="AL711" i="4"/>
  <c r="AM711" i="4"/>
  <c r="AG712" i="4"/>
  <c r="AL712" i="4"/>
  <c r="AM712" i="4"/>
  <c r="Q713" i="4"/>
  <c r="S713" i="4"/>
  <c r="T713" i="4"/>
  <c r="W713" i="4"/>
  <c r="X713" i="4"/>
  <c r="Z713" i="4"/>
  <c r="AB713" i="4"/>
  <c r="AC713" i="4"/>
  <c r="AD713" i="4"/>
  <c r="AF713" i="4"/>
  <c r="AG713" i="4"/>
  <c r="AH713" i="4"/>
  <c r="AI713" i="4"/>
  <c r="AL713" i="4"/>
  <c r="AM713" i="4"/>
  <c r="Q714" i="4"/>
  <c r="R714" i="4"/>
  <c r="S714" i="4"/>
  <c r="T714" i="4"/>
  <c r="U714" i="4"/>
  <c r="V714" i="4"/>
  <c r="W714" i="4"/>
  <c r="X714" i="4"/>
  <c r="Z714" i="4"/>
  <c r="AA714" i="4"/>
  <c r="N714" i="4"/>
  <c r="AB714" i="4"/>
  <c r="AC714" i="4"/>
  <c r="AD714" i="4"/>
  <c r="AF714" i="4"/>
  <c r="AG714" i="4"/>
  <c r="AH714" i="4"/>
  <c r="AI714" i="4"/>
  <c r="AL714" i="4"/>
  <c r="AM714" i="4"/>
  <c r="Q715" i="4"/>
  <c r="R715" i="4"/>
  <c r="S715" i="4"/>
  <c r="T715" i="4"/>
  <c r="U715" i="4"/>
  <c r="V715" i="4"/>
  <c r="W715" i="4"/>
  <c r="X715" i="4"/>
  <c r="Z715" i="4"/>
  <c r="AA715" i="4"/>
  <c r="AB715" i="4"/>
  <c r="AC715" i="4"/>
  <c r="AD715" i="4"/>
  <c r="AF715" i="4"/>
  <c r="AG715" i="4"/>
  <c r="AH715" i="4"/>
  <c r="AI715" i="4"/>
  <c r="AL715" i="4"/>
  <c r="AM715" i="4"/>
  <c r="B716" i="4"/>
  <c r="Q717" i="4"/>
  <c r="R717" i="4"/>
  <c r="S717" i="4"/>
  <c r="T717" i="4"/>
  <c r="U717" i="4"/>
  <c r="V717" i="4"/>
  <c r="W717" i="4"/>
  <c r="X717" i="4"/>
  <c r="Z717" i="4"/>
  <c r="Z716" i="4"/>
  <c r="AA717" i="4"/>
  <c r="AB717" i="4"/>
  <c r="AC717" i="4"/>
  <c r="AD717" i="4"/>
  <c r="AF717" i="4"/>
  <c r="AF716" i="4"/>
  <c r="AG717" i="4"/>
  <c r="AH717" i="4"/>
  <c r="AI717" i="4"/>
  <c r="AL717" i="4"/>
  <c r="AM717" i="4"/>
  <c r="Q718" i="4"/>
  <c r="R718" i="4"/>
  <c r="S718" i="4"/>
  <c r="S716" i="4"/>
  <c r="T718" i="4"/>
  <c r="U718" i="4"/>
  <c r="V718" i="4"/>
  <c r="W718" i="4"/>
  <c r="X718" i="4"/>
  <c r="Z718" i="4"/>
  <c r="AA718" i="4"/>
  <c r="AB718" i="4"/>
  <c r="AC718" i="4"/>
  <c r="AD718" i="4"/>
  <c r="AF718" i="4"/>
  <c r="AG718" i="4"/>
  <c r="AH718" i="4"/>
  <c r="AI718" i="4"/>
  <c r="AL718" i="4"/>
  <c r="AM718" i="4"/>
  <c r="Q719" i="4"/>
  <c r="R719" i="4"/>
  <c r="S719" i="4"/>
  <c r="T719" i="4"/>
  <c r="U719" i="4"/>
  <c r="V719" i="4"/>
  <c r="W719" i="4"/>
  <c r="X719" i="4"/>
  <c r="X716" i="4"/>
  <c r="Z719" i="4"/>
  <c r="AA719" i="4"/>
  <c r="AB719" i="4"/>
  <c r="AC719" i="4"/>
  <c r="AD719" i="4"/>
  <c r="AF719" i="4"/>
  <c r="AG719" i="4"/>
  <c r="AH719" i="4"/>
  <c r="AI719" i="4"/>
  <c r="AI716" i="4"/>
  <c r="AL719" i="4"/>
  <c r="AM719" i="4"/>
  <c r="Q720" i="4"/>
  <c r="R720" i="4"/>
  <c r="S720" i="4"/>
  <c r="T720" i="4"/>
  <c r="U720" i="4"/>
  <c r="V720" i="4"/>
  <c r="W720" i="4"/>
  <c r="X720" i="4"/>
  <c r="Z720" i="4"/>
  <c r="AA720" i="4"/>
  <c r="AB720" i="4"/>
  <c r="AC720" i="4"/>
  <c r="AD720" i="4"/>
  <c r="AE720" i="4"/>
  <c r="AF720" i="4"/>
  <c r="AG720" i="4"/>
  <c r="AH720" i="4"/>
  <c r="AI720" i="4"/>
  <c r="AL720" i="4"/>
  <c r="AM720" i="4"/>
  <c r="Q721" i="4"/>
  <c r="R721" i="4"/>
  <c r="S721" i="4"/>
  <c r="T721" i="4"/>
  <c r="U721" i="4"/>
  <c r="V721" i="4"/>
  <c r="W721" i="4"/>
  <c r="X721" i="4"/>
  <c r="Z721" i="4"/>
  <c r="AA721" i="4"/>
  <c r="AB721" i="4"/>
  <c r="AC721" i="4"/>
  <c r="AD721" i="4"/>
  <c r="AF721" i="4"/>
  <c r="AG721" i="4"/>
  <c r="AH721" i="4"/>
  <c r="AI721" i="4"/>
  <c r="AL721" i="4"/>
  <c r="AM721" i="4"/>
  <c r="Q723" i="4"/>
  <c r="R723" i="4"/>
  <c r="S723" i="4"/>
  <c r="T723" i="4"/>
  <c r="U723" i="4"/>
  <c r="U722" i="4"/>
  <c r="V723" i="4"/>
  <c r="W723" i="4"/>
  <c r="X723" i="4"/>
  <c r="X722" i="4"/>
  <c r="Z723" i="4"/>
  <c r="AA723" i="4"/>
  <c r="AB723" i="4"/>
  <c r="AC723" i="4"/>
  <c r="AD723" i="4"/>
  <c r="AD722" i="4"/>
  <c r="AF723" i="4"/>
  <c r="AG723" i="4"/>
  <c r="AH723" i="4"/>
  <c r="AH722" i="4"/>
  <c r="AI723" i="4"/>
  <c r="AL723" i="4"/>
  <c r="AM723" i="4"/>
  <c r="Q724" i="4"/>
  <c r="R724" i="4"/>
  <c r="S724" i="4"/>
  <c r="S722" i="4"/>
  <c r="T724" i="4"/>
  <c r="T722" i="4"/>
  <c r="U724" i="4"/>
  <c r="V724" i="4"/>
  <c r="W724" i="4"/>
  <c r="W722" i="4"/>
  <c r="X724" i="4"/>
  <c r="Z724" i="4"/>
  <c r="AA724" i="4"/>
  <c r="N724" i="4"/>
  <c r="AB724" i="4"/>
  <c r="AB722" i="4"/>
  <c r="AC724" i="4"/>
  <c r="AD724" i="4"/>
  <c r="AF724" i="4"/>
  <c r="AG724" i="4"/>
  <c r="AH724" i="4"/>
  <c r="AI724" i="4"/>
  <c r="AI722" i="4"/>
  <c r="AL724" i="4"/>
  <c r="AM724" i="4"/>
  <c r="AM722" i="4"/>
  <c r="U727" i="4"/>
  <c r="N729" i="4"/>
  <c r="O729" i="4"/>
  <c r="P729" i="4"/>
  <c r="R729" i="4"/>
  <c r="Q730" i="4"/>
  <c r="Q727" i="4"/>
  <c r="R730" i="4"/>
  <c r="S730" i="4"/>
  <c r="T730" i="4"/>
  <c r="V730" i="4"/>
  <c r="N730" i="4"/>
  <c r="W730" i="4"/>
  <c r="X730" i="4"/>
  <c r="X727" i="4"/>
  <c r="Y730" i="4"/>
  <c r="Z730" i="4"/>
  <c r="AA730" i="4"/>
  <c r="AA727" i="4"/>
  <c r="AB730" i="4"/>
  <c r="Q731" i="4"/>
  <c r="R731" i="4"/>
  <c r="S731" i="4"/>
  <c r="T731" i="4"/>
  <c r="W731" i="4"/>
  <c r="X731" i="4"/>
  <c r="Y731" i="4"/>
  <c r="Z731" i="4"/>
  <c r="AA731" i="4"/>
  <c r="AB731" i="4"/>
  <c r="Q732" i="4"/>
  <c r="R732" i="4"/>
  <c r="S732" i="4"/>
  <c r="T732" i="4"/>
  <c r="W732" i="4"/>
  <c r="X732" i="4"/>
  <c r="Y732" i="4"/>
  <c r="Z732" i="4"/>
  <c r="AA732" i="4"/>
  <c r="AB732" i="4"/>
  <c r="Q733" i="4"/>
  <c r="R733" i="4"/>
  <c r="S733" i="4"/>
  <c r="T733" i="4"/>
  <c r="T727" i="4"/>
  <c r="W733" i="4"/>
  <c r="X733" i="4"/>
  <c r="Y733" i="4"/>
  <c r="Z733" i="4"/>
  <c r="AA733" i="4"/>
  <c r="AB733" i="4"/>
  <c r="U736" i="4"/>
  <c r="N738" i="4"/>
  <c r="O738" i="4"/>
  <c r="P738" i="4"/>
  <c r="Q739" i="4"/>
  <c r="R739" i="4"/>
  <c r="S739" i="4"/>
  <c r="T739" i="4"/>
  <c r="Q740" i="4"/>
  <c r="R740" i="4"/>
  <c r="N740" i="4"/>
  <c r="S740" i="4"/>
  <c r="T740" i="4"/>
  <c r="V740" i="4"/>
  <c r="O740" i="4"/>
  <c r="Q741" i="4"/>
  <c r="R741" i="4"/>
  <c r="N741" i="4"/>
  <c r="S741" i="4"/>
  <c r="T741" i="4"/>
  <c r="Q742" i="4"/>
  <c r="R742" i="4"/>
  <c r="N742" i="4"/>
  <c r="S742" i="4"/>
  <c r="T742" i="4"/>
  <c r="V742" i="4"/>
  <c r="O742" i="4"/>
  <c r="N750" i="4"/>
  <c r="R750" i="4"/>
  <c r="O750" i="4"/>
  <c r="P750" i="4"/>
  <c r="T750" i="4"/>
  <c r="U750" i="4"/>
  <c r="Q751" i="4"/>
  <c r="R751" i="4"/>
  <c r="N751" i="4"/>
  <c r="S751" i="4"/>
  <c r="T751" i="4"/>
  <c r="T748" i="4"/>
  <c r="U751" i="4"/>
  <c r="U748" i="4"/>
  <c r="Q752" i="4"/>
  <c r="Q748" i="4"/>
  <c r="S752" i="4"/>
  <c r="T752" i="4"/>
  <c r="U752" i="4"/>
  <c r="Q753" i="4"/>
  <c r="R753" i="4"/>
  <c r="N753" i="4"/>
  <c r="S753" i="4"/>
  <c r="T753" i="4"/>
  <c r="O753" i="4"/>
  <c r="U753" i="4"/>
  <c r="Q754" i="4"/>
  <c r="R754" i="4"/>
  <c r="N754" i="4"/>
  <c r="S754" i="4"/>
  <c r="T754" i="4"/>
  <c r="O754" i="4"/>
  <c r="U754" i="4"/>
  <c r="Q755" i="4"/>
  <c r="R755" i="4"/>
  <c r="N755" i="4"/>
  <c r="S755" i="4"/>
  <c r="T755" i="4"/>
  <c r="U755" i="4"/>
  <c r="N760" i="4"/>
  <c r="R760" i="4"/>
  <c r="O760" i="4"/>
  <c r="P760" i="4"/>
  <c r="T760" i="4"/>
  <c r="U760" i="4"/>
  <c r="Q761" i="4"/>
  <c r="R761" i="4"/>
  <c r="S761" i="4"/>
  <c r="S758" i="4"/>
  <c r="U761" i="4"/>
  <c r="U758" i="4"/>
  <c r="Q762" i="4"/>
  <c r="R762" i="4"/>
  <c r="N762" i="4"/>
  <c r="P762" i="4"/>
  <c r="S762" i="4"/>
  <c r="T762" i="4"/>
  <c r="U762" i="4"/>
  <c r="O762" i="4"/>
  <c r="N768" i="4"/>
  <c r="O768" i="4"/>
  <c r="P768" i="4"/>
  <c r="Q769" i="4"/>
  <c r="R769" i="4"/>
  <c r="N769" i="4"/>
  <c r="S769" i="4"/>
  <c r="T769" i="4"/>
  <c r="U769" i="4"/>
  <c r="Q770" i="4"/>
  <c r="R770" i="4"/>
  <c r="N770" i="4"/>
  <c r="S770" i="4"/>
  <c r="T770" i="4"/>
  <c r="U770" i="4"/>
  <c r="Q771" i="4"/>
  <c r="R771" i="4"/>
  <c r="N771" i="4"/>
  <c r="S771" i="4"/>
  <c r="T771" i="4"/>
  <c r="U771" i="4"/>
  <c r="Q772" i="4"/>
  <c r="R772" i="4"/>
  <c r="N772" i="4"/>
  <c r="P772" i="4"/>
  <c r="S772" i="4"/>
  <c r="T772" i="4"/>
  <c r="U772" i="4"/>
  <c r="V772" i="4"/>
  <c r="O772" i="4"/>
  <c r="Q773" i="4"/>
  <c r="S773" i="4"/>
  <c r="T773" i="4"/>
  <c r="U773" i="4"/>
  <c r="R774" i="4"/>
  <c r="Q775" i="4"/>
  <c r="R775" i="4"/>
  <c r="N775" i="4"/>
  <c r="S775" i="4"/>
  <c r="T775" i="4"/>
  <c r="U775" i="4"/>
  <c r="Q776" i="4"/>
  <c r="R776" i="4"/>
  <c r="N776" i="4"/>
  <c r="S776" i="4"/>
  <c r="T776" i="4"/>
  <c r="U776" i="4"/>
  <c r="Q777" i="4"/>
  <c r="R777" i="4"/>
  <c r="N777" i="4"/>
  <c r="S777" i="4"/>
  <c r="T777" i="4"/>
  <c r="U777" i="4"/>
  <c r="R778" i="4"/>
  <c r="Q779" i="4"/>
  <c r="R779" i="4"/>
  <c r="N779" i="4"/>
  <c r="S779" i="4"/>
  <c r="T779" i="4"/>
  <c r="U779" i="4"/>
  <c r="V779" i="4"/>
  <c r="O779" i="4"/>
  <c r="Q780" i="4"/>
  <c r="R780" i="4"/>
  <c r="N780" i="4"/>
  <c r="S780" i="4"/>
  <c r="T780" i="4"/>
  <c r="U780" i="4"/>
  <c r="V780" i="4"/>
  <c r="O780" i="4"/>
  <c r="Q781" i="4"/>
  <c r="R781" i="4"/>
  <c r="N781" i="4"/>
  <c r="S781" i="4"/>
  <c r="T781" i="4"/>
  <c r="U781" i="4"/>
  <c r="Q782" i="4"/>
  <c r="R782" i="4"/>
  <c r="N782" i="4"/>
  <c r="S782" i="4"/>
  <c r="T782" i="4"/>
  <c r="U782" i="4"/>
  <c r="R783" i="4"/>
  <c r="Q784" i="4"/>
  <c r="R784" i="4"/>
  <c r="N784" i="4"/>
  <c r="S784" i="4"/>
  <c r="T784" i="4"/>
  <c r="U784" i="4"/>
  <c r="Q785" i="4"/>
  <c r="R785" i="4"/>
  <c r="N785" i="4"/>
  <c r="S785" i="4"/>
  <c r="T785" i="4"/>
  <c r="U785" i="4"/>
  <c r="Q786" i="4"/>
  <c r="R786" i="4"/>
  <c r="N786" i="4"/>
  <c r="S786" i="4"/>
  <c r="T786" i="4"/>
  <c r="U786" i="4"/>
  <c r="Q787" i="4"/>
  <c r="R787" i="4"/>
  <c r="N787" i="4"/>
  <c r="S787" i="4"/>
  <c r="T787" i="4"/>
  <c r="U787" i="4"/>
  <c r="N794" i="4"/>
  <c r="O794" i="4"/>
  <c r="P794" i="4"/>
  <c r="Q795" i="4"/>
  <c r="R795" i="4"/>
  <c r="N795" i="4"/>
  <c r="S795" i="4"/>
  <c r="T795" i="4"/>
  <c r="U795" i="4"/>
  <c r="V795" i="4"/>
  <c r="W795" i="4"/>
  <c r="X795" i="4"/>
  <c r="Y795" i="4"/>
  <c r="AA795" i="4"/>
  <c r="AB795" i="4"/>
  <c r="AC795" i="4"/>
  <c r="U796" i="4"/>
  <c r="AB796" i="4"/>
  <c r="Q797" i="4"/>
  <c r="R797" i="4"/>
  <c r="N797" i="4"/>
  <c r="S797" i="4"/>
  <c r="T797" i="4"/>
  <c r="U797" i="4"/>
  <c r="V797" i="4"/>
  <c r="W797" i="4"/>
  <c r="X797" i="4"/>
  <c r="Y797" i="4"/>
  <c r="AA797" i="4"/>
  <c r="AB797" i="4"/>
  <c r="AC797" i="4"/>
  <c r="Q798" i="4"/>
  <c r="S798" i="4"/>
  <c r="T798" i="4"/>
  <c r="U798" i="4"/>
  <c r="V798" i="4"/>
  <c r="W798" i="4"/>
  <c r="X798" i="4"/>
  <c r="AA798" i="4"/>
  <c r="AB798" i="4"/>
  <c r="AC798" i="4"/>
  <c r="Q799" i="4"/>
  <c r="R799" i="4"/>
  <c r="N799" i="4"/>
  <c r="S799" i="4"/>
  <c r="T799" i="4"/>
  <c r="U799" i="4"/>
  <c r="V799" i="4"/>
  <c r="W799" i="4"/>
  <c r="X799" i="4"/>
  <c r="Y799" i="4"/>
  <c r="AA799" i="4"/>
  <c r="AB799" i="4"/>
  <c r="AC799" i="4"/>
  <c r="Q800" i="4"/>
  <c r="R800" i="4"/>
  <c r="N800" i="4"/>
  <c r="S800" i="4"/>
  <c r="T800" i="4"/>
  <c r="U800" i="4"/>
  <c r="V800" i="4"/>
  <c r="W800" i="4"/>
  <c r="X800" i="4"/>
  <c r="Y800" i="4"/>
  <c r="AA800" i="4"/>
  <c r="AB800" i="4"/>
  <c r="AC800" i="4"/>
  <c r="Q801" i="4"/>
  <c r="R801" i="4"/>
  <c r="N801" i="4"/>
  <c r="S801" i="4"/>
  <c r="T801" i="4"/>
  <c r="U801" i="4"/>
  <c r="V801" i="4"/>
  <c r="W801" i="4"/>
  <c r="X801" i="4"/>
  <c r="Y801" i="4"/>
  <c r="AA801" i="4"/>
  <c r="AB801" i="4"/>
  <c r="AC801" i="4"/>
  <c r="Q802" i="4"/>
  <c r="R802" i="4"/>
  <c r="N802" i="4"/>
  <c r="S802" i="4"/>
  <c r="T802" i="4"/>
  <c r="U802" i="4"/>
  <c r="V802" i="4"/>
  <c r="W802" i="4"/>
  <c r="X802" i="4"/>
  <c r="Y802" i="4"/>
  <c r="AA802" i="4"/>
  <c r="AB802" i="4"/>
  <c r="AC802" i="4"/>
  <c r="Q803" i="4"/>
  <c r="R803" i="4"/>
  <c r="N803" i="4"/>
  <c r="S803" i="4"/>
  <c r="T803" i="4"/>
  <c r="U803" i="4"/>
  <c r="V803" i="4"/>
  <c r="W803" i="4"/>
  <c r="X803" i="4"/>
  <c r="AA803" i="4"/>
  <c r="AB803" i="4"/>
  <c r="AC803" i="4"/>
  <c r="Q804" i="4"/>
  <c r="R804" i="4"/>
  <c r="N804" i="4"/>
  <c r="S804" i="4"/>
  <c r="T804" i="4"/>
  <c r="U804" i="4"/>
  <c r="V804" i="4"/>
  <c r="W804" i="4"/>
  <c r="X804" i="4"/>
  <c r="Y804" i="4"/>
  <c r="AA804" i="4"/>
  <c r="AB804" i="4"/>
  <c r="AC804" i="4"/>
  <c r="Q805" i="4"/>
  <c r="R805" i="4"/>
  <c r="N805" i="4"/>
  <c r="S805" i="4"/>
  <c r="T805" i="4"/>
  <c r="U805" i="4"/>
  <c r="V805" i="4"/>
  <c r="W805" i="4"/>
  <c r="X805" i="4"/>
  <c r="Y805" i="4"/>
  <c r="AA805" i="4"/>
  <c r="AB805" i="4"/>
  <c r="AC805" i="4"/>
  <c r="Q806" i="4"/>
  <c r="S806" i="4"/>
  <c r="T806" i="4"/>
  <c r="U806" i="4"/>
  <c r="V806" i="4"/>
  <c r="W806" i="4"/>
  <c r="X806" i="4"/>
  <c r="AA806" i="4"/>
  <c r="AB806" i="4"/>
  <c r="AC806" i="4"/>
  <c r="Q807" i="4"/>
  <c r="R807" i="4"/>
  <c r="N807" i="4"/>
  <c r="S807" i="4"/>
  <c r="T807" i="4"/>
  <c r="U807" i="4"/>
  <c r="V807" i="4"/>
  <c r="W807" i="4"/>
  <c r="X807" i="4"/>
  <c r="Y807" i="4"/>
  <c r="AA807" i="4"/>
  <c r="AB807" i="4"/>
  <c r="AC807" i="4"/>
  <c r="Q808" i="4"/>
  <c r="R808" i="4"/>
  <c r="N808" i="4"/>
  <c r="S808" i="4"/>
  <c r="T808" i="4"/>
  <c r="U808" i="4"/>
  <c r="V808" i="4"/>
  <c r="W808" i="4"/>
  <c r="X808" i="4"/>
  <c r="Y808" i="4"/>
  <c r="AA808" i="4"/>
  <c r="AB808" i="4"/>
  <c r="AC808" i="4"/>
  <c r="Q809" i="4"/>
  <c r="R809" i="4"/>
  <c r="N809" i="4"/>
  <c r="S809" i="4"/>
  <c r="T809" i="4"/>
  <c r="U809" i="4"/>
  <c r="V809" i="4"/>
  <c r="W809" i="4"/>
  <c r="X809" i="4"/>
  <c r="Y809" i="4"/>
  <c r="AA809" i="4"/>
  <c r="AB809" i="4"/>
  <c r="AC809" i="4"/>
  <c r="Q810" i="4"/>
  <c r="R810" i="4"/>
  <c r="N810" i="4"/>
  <c r="S810" i="4"/>
  <c r="T810" i="4"/>
  <c r="U810" i="4"/>
  <c r="V810" i="4"/>
  <c r="W810" i="4"/>
  <c r="X810" i="4"/>
  <c r="Y810" i="4"/>
  <c r="AA810" i="4"/>
  <c r="AB810" i="4"/>
  <c r="AC810" i="4"/>
  <c r="Q811" i="4"/>
  <c r="R811" i="4"/>
  <c r="N811" i="4"/>
  <c r="N806" i="4"/>
  <c r="S811" i="4"/>
  <c r="T811" i="4"/>
  <c r="U811" i="4"/>
  <c r="V811" i="4"/>
  <c r="W811" i="4"/>
  <c r="X811" i="4"/>
  <c r="Y811" i="4"/>
  <c r="AA811" i="4"/>
  <c r="AB811" i="4"/>
  <c r="AC811" i="4"/>
  <c r="Q812" i="4"/>
  <c r="S812" i="4"/>
  <c r="T812" i="4"/>
  <c r="U812" i="4"/>
  <c r="V812" i="4"/>
  <c r="W812" i="4"/>
  <c r="X812" i="4"/>
  <c r="AA812" i="4"/>
  <c r="AB812" i="4"/>
  <c r="AC812" i="4"/>
  <c r="Q813" i="4"/>
  <c r="R813" i="4"/>
  <c r="N813" i="4"/>
  <c r="S813" i="4"/>
  <c r="T813" i="4"/>
  <c r="U813" i="4"/>
  <c r="V813" i="4"/>
  <c r="W813" i="4"/>
  <c r="X813" i="4"/>
  <c r="Y813" i="4"/>
  <c r="AA813" i="4"/>
  <c r="AB813" i="4"/>
  <c r="AC813" i="4"/>
  <c r="Q814" i="4"/>
  <c r="R814" i="4"/>
  <c r="N814" i="4"/>
  <c r="S814" i="4"/>
  <c r="T814" i="4"/>
  <c r="U814" i="4"/>
  <c r="V814" i="4"/>
  <c r="W814" i="4"/>
  <c r="X814" i="4"/>
  <c r="Y814" i="4"/>
  <c r="AA814" i="4"/>
  <c r="AB814" i="4"/>
  <c r="AC814" i="4"/>
  <c r="Q815" i="4"/>
  <c r="R815" i="4"/>
  <c r="N815" i="4"/>
  <c r="S815" i="4"/>
  <c r="T815" i="4"/>
  <c r="U815" i="4"/>
  <c r="V815" i="4"/>
  <c r="W815" i="4"/>
  <c r="X815" i="4"/>
  <c r="Y815" i="4"/>
  <c r="AA815" i="4"/>
  <c r="AB815" i="4"/>
  <c r="AC815" i="4"/>
  <c r="Q816" i="4"/>
  <c r="R816" i="4"/>
  <c r="N816" i="4"/>
  <c r="S816" i="4"/>
  <c r="T816" i="4"/>
  <c r="U816" i="4"/>
  <c r="V816" i="4"/>
  <c r="W816" i="4"/>
  <c r="X816" i="4"/>
  <c r="Y816" i="4"/>
  <c r="AA816" i="4"/>
  <c r="AB816" i="4"/>
  <c r="AC816" i="4"/>
  <c r="Q817" i="4"/>
  <c r="R817" i="4"/>
  <c r="N817" i="4"/>
  <c r="S817" i="4"/>
  <c r="T817" i="4"/>
  <c r="U817" i="4"/>
  <c r="V817" i="4"/>
  <c r="W817" i="4"/>
  <c r="X817" i="4"/>
  <c r="Y817" i="4"/>
  <c r="Z817" i="4"/>
  <c r="O817" i="4"/>
  <c r="AA817" i="4"/>
  <c r="AB817" i="4"/>
  <c r="AC817" i="4"/>
  <c r="N825" i="4"/>
  <c r="O825" i="4"/>
  <c r="P825" i="4"/>
  <c r="Q826" i="4"/>
  <c r="R826" i="4"/>
  <c r="R823" i="4"/>
  <c r="S826" i="4"/>
  <c r="T826" i="4"/>
  <c r="U826" i="4"/>
  <c r="W826" i="4"/>
  <c r="W823" i="4"/>
  <c r="Q827" i="4"/>
  <c r="Q823" i="4"/>
  <c r="R827" i="4"/>
  <c r="N827" i="4"/>
  <c r="S827" i="4"/>
  <c r="T827" i="4"/>
  <c r="U827" i="4"/>
  <c r="U823" i="4"/>
  <c r="W827" i="4"/>
  <c r="N831" i="4"/>
  <c r="O831" i="4"/>
  <c r="P831" i="4"/>
  <c r="Q832" i="4"/>
  <c r="R832" i="4"/>
  <c r="N832" i="4"/>
  <c r="S832" i="4"/>
  <c r="T832" i="4"/>
  <c r="U832" i="4"/>
  <c r="W832" i="4"/>
  <c r="Q833" i="4"/>
  <c r="R833" i="4"/>
  <c r="N833" i="4"/>
  <c r="S833" i="4"/>
  <c r="T833" i="4"/>
  <c r="U833" i="4"/>
  <c r="W833" i="4"/>
  <c r="Q834" i="4"/>
  <c r="R834" i="4"/>
  <c r="S834" i="4"/>
  <c r="T834" i="4"/>
  <c r="U834" i="4"/>
  <c r="W834" i="4"/>
  <c r="Q835" i="4"/>
  <c r="R835" i="4"/>
  <c r="N835" i="4"/>
  <c r="S835" i="4"/>
  <c r="T835" i="4"/>
  <c r="U835" i="4"/>
  <c r="W835" i="4"/>
  <c r="Q836" i="4"/>
  <c r="R836" i="4"/>
  <c r="N836" i="4"/>
  <c r="S836" i="4"/>
  <c r="T836" i="4"/>
  <c r="U836" i="4"/>
  <c r="W836" i="4"/>
  <c r="Q837" i="4"/>
  <c r="R837" i="4"/>
  <c r="N837" i="4"/>
  <c r="S837" i="4"/>
  <c r="T837" i="4"/>
  <c r="U837" i="4"/>
  <c r="W837" i="4"/>
  <c r="N838" i="4"/>
  <c r="Q838" i="4"/>
  <c r="R838" i="4"/>
  <c r="S838" i="4"/>
  <c r="T838" i="4"/>
  <c r="U838" i="4"/>
  <c r="W838" i="4"/>
  <c r="Q840" i="4"/>
  <c r="R840" i="4"/>
  <c r="S840" i="4"/>
  <c r="T840" i="4"/>
  <c r="U840" i="4"/>
  <c r="V840" i="4"/>
  <c r="N842" i="4"/>
  <c r="O842" i="4"/>
  <c r="N843" i="4"/>
  <c r="N840" i="4"/>
  <c r="W843" i="4"/>
  <c r="X843" i="4"/>
  <c r="X840" i="4"/>
  <c r="N844" i="4"/>
  <c r="O844" i="4"/>
  <c r="P844" i="4"/>
  <c r="W844" i="4"/>
  <c r="W840" i="4"/>
  <c r="X844" i="4"/>
  <c r="N845" i="4"/>
  <c r="W845" i="4"/>
  <c r="X845" i="4"/>
  <c r="O845" i="4"/>
  <c r="P845" i="4"/>
  <c r="N846" i="4"/>
  <c r="O846" i="4"/>
  <c r="P846" i="4"/>
  <c r="W846" i="4"/>
  <c r="X846" i="4"/>
  <c r="N847" i="4"/>
  <c r="W847" i="4"/>
  <c r="X847" i="4"/>
  <c r="O847" i="4"/>
  <c r="P847" i="4"/>
  <c r="N848" i="4"/>
  <c r="O848" i="4"/>
  <c r="P848" i="4"/>
  <c r="W848" i="4"/>
  <c r="X848" i="4"/>
  <c r="N849" i="4"/>
  <c r="O849" i="4"/>
  <c r="P849" i="4"/>
  <c r="W849" i="4"/>
  <c r="X849" i="4"/>
  <c r="N850" i="4"/>
  <c r="O850" i="4"/>
  <c r="P850" i="4"/>
  <c r="W850" i="4"/>
  <c r="X850" i="4"/>
  <c r="N854" i="4"/>
  <c r="O854" i="4"/>
  <c r="P854" i="4"/>
  <c r="Q855" i="4"/>
  <c r="R855" i="4"/>
  <c r="N855" i="4"/>
  <c r="S855" i="4"/>
  <c r="T855" i="4"/>
  <c r="U855" i="4"/>
  <c r="V855" i="4"/>
  <c r="W855" i="4"/>
  <c r="Q856" i="4"/>
  <c r="S856" i="4"/>
  <c r="U856" i="4"/>
  <c r="V856" i="4"/>
  <c r="W856" i="4"/>
  <c r="Q857" i="4"/>
  <c r="R857" i="4"/>
  <c r="N857" i="4"/>
  <c r="S857" i="4"/>
  <c r="T857" i="4"/>
  <c r="U857" i="4"/>
  <c r="V857" i="4"/>
  <c r="W857" i="4"/>
  <c r="Q858" i="4"/>
  <c r="R858" i="4"/>
  <c r="N858" i="4"/>
  <c r="S858" i="4"/>
  <c r="T858" i="4"/>
  <c r="U858" i="4"/>
  <c r="V858" i="4"/>
  <c r="W858" i="4"/>
  <c r="Q859" i="4"/>
  <c r="R859" i="4"/>
  <c r="N859" i="4"/>
  <c r="S859" i="4"/>
  <c r="T859" i="4"/>
  <c r="U859" i="4"/>
  <c r="V859" i="4"/>
  <c r="W859" i="4"/>
  <c r="Q860" i="4"/>
  <c r="R860" i="4"/>
  <c r="N860" i="4"/>
  <c r="S860" i="4"/>
  <c r="T860" i="4"/>
  <c r="U860" i="4"/>
  <c r="V860" i="4"/>
  <c r="W860" i="4"/>
  <c r="Q861" i="4"/>
  <c r="R861" i="4"/>
  <c r="N861" i="4"/>
  <c r="S861" i="4"/>
  <c r="T861" i="4"/>
  <c r="U861" i="4"/>
  <c r="V861" i="4"/>
  <c r="W861" i="4"/>
  <c r="Q862" i="4"/>
  <c r="S862" i="4"/>
  <c r="T862" i="4"/>
  <c r="U862" i="4"/>
  <c r="V862" i="4"/>
  <c r="W862" i="4"/>
  <c r="Q863" i="4"/>
  <c r="R863" i="4"/>
  <c r="N863" i="4"/>
  <c r="S863" i="4"/>
  <c r="T863" i="4"/>
  <c r="U863" i="4"/>
  <c r="V863" i="4"/>
  <c r="W863" i="4"/>
  <c r="Q864" i="4"/>
  <c r="R864" i="4"/>
  <c r="N864" i="4"/>
  <c r="S864" i="4"/>
  <c r="T864" i="4"/>
  <c r="U864" i="4"/>
  <c r="V864" i="4"/>
  <c r="W864" i="4"/>
  <c r="Q865" i="4"/>
  <c r="R865" i="4"/>
  <c r="N865" i="4"/>
  <c r="S865" i="4"/>
  <c r="T865" i="4"/>
  <c r="U865" i="4"/>
  <c r="V865" i="4"/>
  <c r="W865" i="4"/>
  <c r="Q866" i="4"/>
  <c r="R866" i="4"/>
  <c r="N866" i="4"/>
  <c r="S866" i="4"/>
  <c r="T866" i="4"/>
  <c r="U866" i="4"/>
  <c r="V866" i="4"/>
  <c r="W866" i="4"/>
  <c r="Q867" i="4"/>
  <c r="R867" i="4"/>
  <c r="N867" i="4"/>
  <c r="S867" i="4"/>
  <c r="T867" i="4"/>
  <c r="U867" i="4"/>
  <c r="V867" i="4"/>
  <c r="W867" i="4"/>
  <c r="X867" i="4"/>
  <c r="O867" i="4"/>
  <c r="Q868" i="4"/>
  <c r="R868" i="4"/>
  <c r="N868" i="4"/>
  <c r="S868" i="4"/>
  <c r="T868" i="4"/>
  <c r="U868" i="4"/>
  <c r="V868" i="4"/>
  <c r="W868" i="4"/>
  <c r="N873" i="4"/>
  <c r="O873" i="4"/>
  <c r="P873" i="4"/>
  <c r="Q874" i="4"/>
  <c r="S874" i="4"/>
  <c r="T874" i="4"/>
  <c r="U874" i="4"/>
  <c r="W874" i="4"/>
  <c r="Q875" i="4"/>
  <c r="R875" i="4"/>
  <c r="N875" i="4"/>
  <c r="S875" i="4"/>
  <c r="T875" i="4"/>
  <c r="U875" i="4"/>
  <c r="W875" i="4"/>
  <c r="Q876" i="4"/>
  <c r="R876" i="4"/>
  <c r="N876" i="4"/>
  <c r="S876" i="4"/>
  <c r="T876" i="4"/>
  <c r="U876" i="4"/>
  <c r="W876" i="4"/>
  <c r="Q877" i="4"/>
  <c r="S877" i="4"/>
  <c r="T877" i="4"/>
  <c r="U877" i="4"/>
  <c r="W877" i="4"/>
  <c r="Q878" i="4"/>
  <c r="R878" i="4"/>
  <c r="N878" i="4"/>
  <c r="S878" i="4"/>
  <c r="T878" i="4"/>
  <c r="U878" i="4"/>
  <c r="W878" i="4"/>
  <c r="Q879" i="4"/>
  <c r="R879" i="4"/>
  <c r="N879" i="4"/>
  <c r="S879" i="4"/>
  <c r="T879" i="4"/>
  <c r="U879" i="4"/>
  <c r="W879" i="4"/>
  <c r="Q880" i="4"/>
  <c r="R880" i="4"/>
  <c r="N880" i="4"/>
  <c r="S880" i="4"/>
  <c r="T880" i="4"/>
  <c r="U880" i="4"/>
  <c r="W880" i="4"/>
  <c r="Q881" i="4"/>
  <c r="R881" i="4"/>
  <c r="N881" i="4"/>
  <c r="S881" i="4"/>
  <c r="T881" i="4"/>
  <c r="U881" i="4"/>
  <c r="W881" i="4"/>
  <c r="Q882" i="4"/>
  <c r="R882" i="4"/>
  <c r="N882" i="4"/>
  <c r="S882" i="4"/>
  <c r="T882" i="4"/>
  <c r="U882" i="4"/>
  <c r="W882" i="4"/>
  <c r="Q883" i="4"/>
  <c r="R883" i="4"/>
  <c r="N883" i="4"/>
  <c r="P883" i="4"/>
  <c r="S883" i="4"/>
  <c r="T883" i="4"/>
  <c r="U883" i="4"/>
  <c r="V883" i="4"/>
  <c r="W883" i="4"/>
  <c r="X883" i="4"/>
  <c r="Q884" i="4"/>
  <c r="R884" i="4"/>
  <c r="N884" i="4"/>
  <c r="S884" i="4"/>
  <c r="T884" i="4"/>
  <c r="U884" i="4"/>
  <c r="W884" i="4"/>
  <c r="Q885" i="4"/>
  <c r="R885" i="4"/>
  <c r="N885" i="4"/>
  <c r="S885" i="4"/>
  <c r="T885" i="4"/>
  <c r="U885" i="4"/>
  <c r="W885" i="4"/>
  <c r="Q886" i="4"/>
  <c r="R886" i="4"/>
  <c r="N886" i="4"/>
  <c r="S886" i="4"/>
  <c r="T886" i="4"/>
  <c r="U886" i="4"/>
  <c r="W886" i="4"/>
  <c r="N893" i="4"/>
  <c r="O893" i="4"/>
  <c r="P893" i="4"/>
  <c r="Q894" i="4"/>
  <c r="R894" i="4"/>
  <c r="N894" i="4"/>
  <c r="S894" i="4"/>
  <c r="T894" i="4"/>
  <c r="W894" i="4"/>
  <c r="Q895" i="4"/>
  <c r="R895" i="4"/>
  <c r="N895" i="4"/>
  <c r="S895" i="4"/>
  <c r="T895" i="4"/>
  <c r="W895" i="4"/>
  <c r="Q896" i="4"/>
  <c r="R896" i="4"/>
  <c r="N896" i="4"/>
  <c r="S896" i="4"/>
  <c r="S891" i="4"/>
  <c r="T896" i="4"/>
  <c r="W896" i="4"/>
  <c r="W891" i="4"/>
  <c r="N899" i="4"/>
  <c r="O899" i="4"/>
  <c r="P899" i="4"/>
  <c r="Q900" i="4"/>
  <c r="R900" i="4"/>
  <c r="N900" i="4"/>
  <c r="S900" i="4"/>
  <c r="T900" i="4"/>
  <c r="W900" i="4"/>
  <c r="N902" i="4"/>
  <c r="O902" i="4"/>
  <c r="P902" i="4"/>
  <c r="Q903" i="4"/>
  <c r="R903" i="4"/>
  <c r="N903" i="4"/>
  <c r="S903" i="4"/>
  <c r="T903" i="4"/>
  <c r="U903" i="4"/>
  <c r="W903" i="4"/>
  <c r="AC908" i="4"/>
  <c r="AH908" i="4"/>
  <c r="N909" i="4"/>
  <c r="O909" i="4"/>
  <c r="P909" i="4"/>
  <c r="Q910" i="4"/>
  <c r="R910" i="4"/>
  <c r="N910" i="4"/>
  <c r="S910" i="4"/>
  <c r="T910" i="4"/>
  <c r="U910" i="4"/>
  <c r="V910" i="4"/>
  <c r="W910" i="4"/>
  <c r="X910" i="4"/>
  <c r="Y910" i="4"/>
  <c r="AA910" i="4"/>
  <c r="AB910" i="4"/>
  <c r="AC910" i="4"/>
  <c r="AD910" i="4"/>
  <c r="AE910" i="4"/>
  <c r="AF910" i="4"/>
  <c r="AI910" i="4"/>
  <c r="AJ910" i="4"/>
  <c r="AC915" i="4"/>
  <c r="AH915" i="4"/>
  <c r="N916" i="4"/>
  <c r="O916" i="4"/>
  <c r="P916" i="4"/>
  <c r="Q917" i="4"/>
  <c r="Q913" i="4"/>
  <c r="R917" i="4"/>
  <c r="S917" i="4"/>
  <c r="T917" i="4"/>
  <c r="U917" i="4"/>
  <c r="V917" i="4"/>
  <c r="W917" i="4"/>
  <c r="X917" i="4"/>
  <c r="Y917" i="4"/>
  <c r="AA917" i="4"/>
  <c r="AA913" i="4"/>
  <c r="AB917" i="4"/>
  <c r="AC917" i="4"/>
  <c r="AD917" i="4"/>
  <c r="AE917" i="4"/>
  <c r="AF917" i="4"/>
  <c r="AI917" i="4"/>
  <c r="AJ917" i="4"/>
  <c r="Q918" i="4"/>
  <c r="R918" i="4"/>
  <c r="N918" i="4"/>
  <c r="S918" i="4"/>
  <c r="T918" i="4"/>
  <c r="U918" i="4"/>
  <c r="V918" i="4"/>
  <c r="W918" i="4"/>
  <c r="X918" i="4"/>
  <c r="Y918" i="4"/>
  <c r="AA918" i="4"/>
  <c r="AB918" i="4"/>
  <c r="AC918" i="4"/>
  <c r="AD918" i="4"/>
  <c r="AE918" i="4"/>
  <c r="AF918" i="4"/>
  <c r="AI918" i="4"/>
  <c r="AJ918" i="4"/>
  <c r="Q919" i="4"/>
  <c r="R919" i="4"/>
  <c r="N919" i="4"/>
  <c r="S919" i="4"/>
  <c r="T919" i="4"/>
  <c r="U919" i="4"/>
  <c r="V919" i="4"/>
  <c r="W919" i="4"/>
  <c r="W913" i="4"/>
  <c r="X919" i="4"/>
  <c r="Y919" i="4"/>
  <c r="AA919" i="4"/>
  <c r="AB919" i="4"/>
  <c r="AC919" i="4"/>
  <c r="AD919" i="4"/>
  <c r="AE919" i="4"/>
  <c r="AF919" i="4"/>
  <c r="AI919" i="4"/>
  <c r="AJ919" i="4"/>
  <c r="Q920" i="4"/>
  <c r="R920" i="4"/>
  <c r="N920" i="4"/>
  <c r="S920" i="4"/>
  <c r="T920" i="4"/>
  <c r="U920" i="4"/>
  <c r="V920" i="4"/>
  <c r="W920" i="4"/>
  <c r="X920" i="4"/>
  <c r="Y920" i="4"/>
  <c r="AA920" i="4"/>
  <c r="AB920" i="4"/>
  <c r="AC920" i="4"/>
  <c r="AD920" i="4"/>
  <c r="AE920" i="4"/>
  <c r="AF920" i="4"/>
  <c r="AI920" i="4"/>
  <c r="AJ920" i="4"/>
  <c r="Q921" i="4"/>
  <c r="R921" i="4"/>
  <c r="N921" i="4"/>
  <c r="S921" i="4"/>
  <c r="T921" i="4"/>
  <c r="U921" i="4"/>
  <c r="V921" i="4"/>
  <c r="W921" i="4"/>
  <c r="X921" i="4"/>
  <c r="Y921" i="4"/>
  <c r="AA921" i="4"/>
  <c r="AB921" i="4"/>
  <c r="AC921" i="4"/>
  <c r="AD921" i="4"/>
  <c r="AE921" i="4"/>
  <c r="AF921" i="4"/>
  <c r="AI921" i="4"/>
  <c r="AJ921" i="4"/>
  <c r="AC925" i="4"/>
  <c r="AH925" i="4"/>
  <c r="N926" i="4"/>
  <c r="O926" i="4"/>
  <c r="P926" i="4"/>
  <c r="Q927" i="4"/>
  <c r="R927" i="4"/>
  <c r="S927" i="4"/>
  <c r="T927" i="4"/>
  <c r="U927" i="4"/>
  <c r="V927" i="4"/>
  <c r="W927" i="4"/>
  <c r="X927" i="4"/>
  <c r="Y927" i="4"/>
  <c r="AA927" i="4"/>
  <c r="AB927" i="4"/>
  <c r="AC927" i="4"/>
  <c r="AD927" i="4"/>
  <c r="AE927" i="4"/>
  <c r="AF927" i="4"/>
  <c r="AI927" i="4"/>
  <c r="AJ927" i="4"/>
  <c r="Q928" i="4"/>
  <c r="R928" i="4"/>
  <c r="N928" i="4"/>
  <c r="S928" i="4"/>
  <c r="T928" i="4"/>
  <c r="U928" i="4"/>
  <c r="V928" i="4"/>
  <c r="V923" i="4"/>
  <c r="W928" i="4"/>
  <c r="X928" i="4"/>
  <c r="Y928" i="4"/>
  <c r="AA928" i="4"/>
  <c r="AB928" i="4"/>
  <c r="AC928" i="4"/>
  <c r="AD928" i="4"/>
  <c r="AE928" i="4"/>
  <c r="AF928" i="4"/>
  <c r="AI928" i="4"/>
  <c r="AJ928" i="4"/>
  <c r="Q929" i="4"/>
  <c r="R929" i="4"/>
  <c r="N929" i="4"/>
  <c r="S929" i="4"/>
  <c r="T929" i="4"/>
  <c r="U929" i="4"/>
  <c r="V929" i="4"/>
  <c r="W929" i="4"/>
  <c r="X929" i="4"/>
  <c r="Y929" i="4"/>
  <c r="AA929" i="4"/>
  <c r="AB929" i="4"/>
  <c r="AC929" i="4"/>
  <c r="AD929" i="4"/>
  <c r="AE929" i="4"/>
  <c r="AF929" i="4"/>
  <c r="AI929" i="4"/>
  <c r="AJ929" i="4"/>
  <c r="Q930" i="4"/>
  <c r="R930" i="4"/>
  <c r="N930" i="4"/>
  <c r="S930" i="4"/>
  <c r="T930" i="4"/>
  <c r="U930" i="4"/>
  <c r="V930" i="4"/>
  <c r="W930" i="4"/>
  <c r="X930" i="4"/>
  <c r="Y930" i="4"/>
  <c r="Z930" i="4"/>
  <c r="O930" i="4"/>
  <c r="P930" i="4"/>
  <c r="AA930" i="4"/>
  <c r="AB930" i="4"/>
  <c r="AC930" i="4"/>
  <c r="AD930" i="4"/>
  <c r="AE930" i="4"/>
  <c r="AF930" i="4"/>
  <c r="AI930" i="4"/>
  <c r="AJ930" i="4"/>
  <c r="Q931" i="4"/>
  <c r="R931" i="4"/>
  <c r="N931" i="4"/>
  <c r="S931" i="4"/>
  <c r="W931" i="4"/>
  <c r="X931" i="4"/>
  <c r="X923" i="4"/>
  <c r="AA931" i="4"/>
  <c r="AB931" i="4"/>
  <c r="AC931" i="4"/>
  <c r="AD931" i="4"/>
  <c r="AE931" i="4"/>
  <c r="AF931" i="4"/>
  <c r="AI931" i="4"/>
  <c r="AJ931" i="4"/>
  <c r="Q932" i="4"/>
  <c r="R932" i="4"/>
  <c r="N932" i="4"/>
  <c r="S932" i="4"/>
  <c r="T932" i="4"/>
  <c r="U932" i="4"/>
  <c r="V932" i="4"/>
  <c r="W932" i="4"/>
  <c r="X932" i="4"/>
  <c r="Y932" i="4"/>
  <c r="AA932" i="4"/>
  <c r="AB932" i="4"/>
  <c r="AC932" i="4"/>
  <c r="AD932" i="4"/>
  <c r="AE932" i="4"/>
  <c r="AF932" i="4"/>
  <c r="AI932" i="4"/>
  <c r="AJ932" i="4"/>
  <c r="Q933" i="4"/>
  <c r="R933" i="4"/>
  <c r="N933" i="4"/>
  <c r="S933" i="4"/>
  <c r="T933" i="4"/>
  <c r="U933" i="4"/>
  <c r="V933" i="4"/>
  <c r="W933" i="4"/>
  <c r="X933" i="4"/>
  <c r="Y933" i="4"/>
  <c r="AA933" i="4"/>
  <c r="AB933" i="4"/>
  <c r="AC933" i="4"/>
  <c r="AD933" i="4"/>
  <c r="AE933" i="4"/>
  <c r="AF933" i="4"/>
  <c r="AI933" i="4"/>
  <c r="AJ933" i="4"/>
  <c r="Q934" i="4"/>
  <c r="R934" i="4"/>
  <c r="N934" i="4"/>
  <c r="S934" i="4"/>
  <c r="T934" i="4"/>
  <c r="U934" i="4"/>
  <c r="V934" i="4"/>
  <c r="W934" i="4"/>
  <c r="X934" i="4"/>
  <c r="AA934" i="4"/>
  <c r="AB934" i="4"/>
  <c r="AC934" i="4"/>
  <c r="AD934" i="4"/>
  <c r="AE934" i="4"/>
  <c r="AF934" i="4"/>
  <c r="AI934" i="4"/>
  <c r="AJ934" i="4"/>
  <c r="Q935" i="4"/>
  <c r="R935" i="4"/>
  <c r="N935" i="4"/>
  <c r="S935" i="4"/>
  <c r="T935" i="4"/>
  <c r="U935" i="4"/>
  <c r="V935" i="4"/>
  <c r="W935" i="4"/>
  <c r="X935" i="4"/>
  <c r="AA935" i="4"/>
  <c r="AB935" i="4"/>
  <c r="AC935" i="4"/>
  <c r="AD935" i="4"/>
  <c r="AE935" i="4"/>
  <c r="AF935" i="4"/>
  <c r="AI935" i="4"/>
  <c r="AJ935" i="4"/>
  <c r="Q936" i="4"/>
  <c r="R936" i="4"/>
  <c r="N936" i="4"/>
  <c r="S936" i="4"/>
  <c r="T936" i="4"/>
  <c r="U936" i="4"/>
  <c r="V936" i="4"/>
  <c r="W936" i="4"/>
  <c r="X936" i="4"/>
  <c r="Y936" i="4"/>
  <c r="AA936" i="4"/>
  <c r="AB936" i="4"/>
  <c r="AC936" i="4"/>
  <c r="AD936" i="4"/>
  <c r="AE936" i="4"/>
  <c r="AF936" i="4"/>
  <c r="AI936" i="4"/>
  <c r="AJ936" i="4"/>
  <c r="Q937" i="4"/>
  <c r="R937" i="4"/>
  <c r="N937" i="4"/>
  <c r="S937" i="4"/>
  <c r="T937" i="4"/>
  <c r="U937" i="4"/>
  <c r="V937" i="4"/>
  <c r="W937" i="4"/>
  <c r="X937" i="4"/>
  <c r="Y937" i="4"/>
  <c r="AA937" i="4"/>
  <c r="AB937" i="4"/>
  <c r="AC937" i="4"/>
  <c r="AD937" i="4"/>
  <c r="AE937" i="4"/>
  <c r="AF937" i="4"/>
  <c r="AI937" i="4"/>
  <c r="AJ937" i="4"/>
  <c r="Q938" i="4"/>
  <c r="R938" i="4"/>
  <c r="N938" i="4"/>
  <c r="S938" i="4"/>
  <c r="T938" i="4"/>
  <c r="U938" i="4"/>
  <c r="V938" i="4"/>
  <c r="W938" i="4"/>
  <c r="X938" i="4"/>
  <c r="Y938" i="4"/>
  <c r="AA938" i="4"/>
  <c r="AB938" i="4"/>
  <c r="AC938" i="4"/>
  <c r="AD938" i="4"/>
  <c r="AE938" i="4"/>
  <c r="AF938" i="4"/>
  <c r="AI938" i="4"/>
  <c r="AJ938" i="4"/>
  <c r="AC940" i="4"/>
  <c r="AC946" i="4"/>
  <c r="AC988" i="4"/>
  <c r="AC1001" i="4"/>
  <c r="AC1016" i="4"/>
  <c r="AC1020" i="4"/>
  <c r="AC1024" i="4"/>
  <c r="AC1032" i="4"/>
  <c r="AH940" i="4"/>
  <c r="N941" i="4"/>
  <c r="O941" i="4"/>
  <c r="P941" i="4"/>
  <c r="R942" i="4"/>
  <c r="N942" i="4"/>
  <c r="S942" i="4"/>
  <c r="T942" i="4"/>
  <c r="U942" i="4"/>
  <c r="V942" i="4"/>
  <c r="W942" i="4"/>
  <c r="X942" i="4"/>
  <c r="Y942" i="4"/>
  <c r="AA942" i="4"/>
  <c r="AB942" i="4"/>
  <c r="Q942" i="4"/>
  <c r="AC942" i="4"/>
  <c r="AD942" i="4"/>
  <c r="AE942" i="4"/>
  <c r="AF942" i="4"/>
  <c r="AI942" i="4"/>
  <c r="AJ942" i="4"/>
  <c r="AH946" i="4"/>
  <c r="N947" i="4"/>
  <c r="O947" i="4"/>
  <c r="P947" i="4"/>
  <c r="Q949" i="4"/>
  <c r="S949" i="4"/>
  <c r="T949" i="4"/>
  <c r="U949" i="4"/>
  <c r="V949" i="4"/>
  <c r="W949" i="4"/>
  <c r="X949" i="4"/>
  <c r="Y949" i="4"/>
  <c r="AA949" i="4"/>
  <c r="AB949" i="4"/>
  <c r="AC949" i="4"/>
  <c r="AD949" i="4"/>
  <c r="AE949" i="4"/>
  <c r="AF949" i="4"/>
  <c r="AI949" i="4"/>
  <c r="AJ949" i="4"/>
  <c r="Q950" i="4"/>
  <c r="R950" i="4"/>
  <c r="N950" i="4"/>
  <c r="S950" i="4"/>
  <c r="T950" i="4"/>
  <c r="U950" i="4"/>
  <c r="V950" i="4"/>
  <c r="W950" i="4"/>
  <c r="X950" i="4"/>
  <c r="Y950" i="4"/>
  <c r="AA950" i="4"/>
  <c r="AB950" i="4"/>
  <c r="AC950" i="4"/>
  <c r="AD950" i="4"/>
  <c r="AE950" i="4"/>
  <c r="AF950" i="4"/>
  <c r="AI950" i="4"/>
  <c r="AJ950" i="4"/>
  <c r="Q951" i="4"/>
  <c r="R951" i="4"/>
  <c r="N951" i="4"/>
  <c r="S951" i="4"/>
  <c r="T951" i="4"/>
  <c r="U951" i="4"/>
  <c r="V951" i="4"/>
  <c r="W951" i="4"/>
  <c r="X951" i="4"/>
  <c r="Y951" i="4"/>
  <c r="AA951" i="4"/>
  <c r="AB951" i="4"/>
  <c r="AC951" i="4"/>
  <c r="AD951" i="4"/>
  <c r="AE951" i="4"/>
  <c r="AF951" i="4"/>
  <c r="AI951" i="4"/>
  <c r="AJ951" i="4"/>
  <c r="Q952" i="4"/>
  <c r="R952" i="4"/>
  <c r="N952" i="4"/>
  <c r="S952" i="4"/>
  <c r="T952" i="4"/>
  <c r="U952" i="4"/>
  <c r="V952" i="4"/>
  <c r="W952" i="4"/>
  <c r="X952" i="4"/>
  <c r="Y952" i="4"/>
  <c r="AA952" i="4"/>
  <c r="AB952" i="4"/>
  <c r="AC952" i="4"/>
  <c r="AD952" i="4"/>
  <c r="AE952" i="4"/>
  <c r="AF952" i="4"/>
  <c r="AI952" i="4"/>
  <c r="AJ952" i="4"/>
  <c r="Q953" i="4"/>
  <c r="R953" i="4"/>
  <c r="N953" i="4"/>
  <c r="S953" i="4"/>
  <c r="T953" i="4"/>
  <c r="U953" i="4"/>
  <c r="V953" i="4"/>
  <c r="W953" i="4"/>
  <c r="X953" i="4"/>
  <c r="Y953" i="4"/>
  <c r="Z953" i="4"/>
  <c r="O953" i="4"/>
  <c r="AA953" i="4"/>
  <c r="AB953" i="4"/>
  <c r="AC953" i="4"/>
  <c r="AD953" i="4"/>
  <c r="AE953" i="4"/>
  <c r="AF953" i="4"/>
  <c r="AI953" i="4"/>
  <c r="AJ953" i="4"/>
  <c r="Q954" i="4"/>
  <c r="R954" i="4"/>
  <c r="N954" i="4"/>
  <c r="S954" i="4"/>
  <c r="T954" i="4"/>
  <c r="U954" i="4"/>
  <c r="V954" i="4"/>
  <c r="W954" i="4"/>
  <c r="X954" i="4"/>
  <c r="Y954" i="4"/>
  <c r="AA954" i="4"/>
  <c r="AB954" i="4"/>
  <c r="AC954" i="4"/>
  <c r="AD954" i="4"/>
  <c r="AE954" i="4"/>
  <c r="AF954" i="4"/>
  <c r="AI954" i="4"/>
  <c r="AJ954" i="4"/>
  <c r="Q955" i="4"/>
  <c r="R955" i="4"/>
  <c r="N955" i="4"/>
  <c r="S955" i="4"/>
  <c r="T955" i="4"/>
  <c r="U955" i="4"/>
  <c r="V955" i="4"/>
  <c r="W955" i="4"/>
  <c r="X955" i="4"/>
  <c r="Y955" i="4"/>
  <c r="AA955" i="4"/>
  <c r="AB955" i="4"/>
  <c r="AC955" i="4"/>
  <c r="AD955" i="4"/>
  <c r="AE955" i="4"/>
  <c r="AF955" i="4"/>
  <c r="AI955" i="4"/>
  <c r="AJ955" i="4"/>
  <c r="Q956" i="4"/>
  <c r="R956" i="4"/>
  <c r="N956" i="4"/>
  <c r="S956" i="4"/>
  <c r="T956" i="4"/>
  <c r="U956" i="4"/>
  <c r="V956" i="4"/>
  <c r="W956" i="4"/>
  <c r="X956" i="4"/>
  <c r="Y956" i="4"/>
  <c r="AA956" i="4"/>
  <c r="AB956" i="4"/>
  <c r="AC956" i="4"/>
  <c r="AD956" i="4"/>
  <c r="AE956" i="4"/>
  <c r="AF956" i="4"/>
  <c r="AI956" i="4"/>
  <c r="AJ956" i="4"/>
  <c r="Q957" i="4"/>
  <c r="R957" i="4"/>
  <c r="N957" i="4"/>
  <c r="S957" i="4"/>
  <c r="T957" i="4"/>
  <c r="U957" i="4"/>
  <c r="V957" i="4"/>
  <c r="W957" i="4"/>
  <c r="X957" i="4"/>
  <c r="Y957" i="4"/>
  <c r="AA957" i="4"/>
  <c r="AB957" i="4"/>
  <c r="AC957" i="4"/>
  <c r="AD957" i="4"/>
  <c r="AE957" i="4"/>
  <c r="AF957" i="4"/>
  <c r="AI957" i="4"/>
  <c r="AJ957" i="4"/>
  <c r="Q958" i="4"/>
  <c r="S958" i="4"/>
  <c r="T958" i="4"/>
  <c r="U958" i="4"/>
  <c r="V958" i="4"/>
  <c r="W958" i="4"/>
  <c r="X958" i="4"/>
  <c r="Y958" i="4"/>
  <c r="AA958" i="4"/>
  <c r="AB958" i="4"/>
  <c r="AC958" i="4"/>
  <c r="AD958" i="4"/>
  <c r="AE958" i="4"/>
  <c r="AF958" i="4"/>
  <c r="AI958" i="4"/>
  <c r="AJ958" i="4"/>
  <c r="Q959" i="4"/>
  <c r="R959" i="4"/>
  <c r="N959" i="4"/>
  <c r="S959" i="4"/>
  <c r="T959" i="4"/>
  <c r="U959" i="4"/>
  <c r="V959" i="4"/>
  <c r="W959" i="4"/>
  <c r="X959" i="4"/>
  <c r="Y959" i="4"/>
  <c r="AA959" i="4"/>
  <c r="AB959" i="4"/>
  <c r="AC959" i="4"/>
  <c r="AD959" i="4"/>
  <c r="AE959" i="4"/>
  <c r="AF959" i="4"/>
  <c r="AI959" i="4"/>
  <c r="AJ959" i="4"/>
  <c r="Q960" i="4"/>
  <c r="R960" i="4"/>
  <c r="N960" i="4"/>
  <c r="S960" i="4"/>
  <c r="T960" i="4"/>
  <c r="U960" i="4"/>
  <c r="V960" i="4"/>
  <c r="W960" i="4"/>
  <c r="X960" i="4"/>
  <c r="Y960" i="4"/>
  <c r="AA960" i="4"/>
  <c r="AB960" i="4"/>
  <c r="AC960" i="4"/>
  <c r="AD960" i="4"/>
  <c r="AE960" i="4"/>
  <c r="AF960" i="4"/>
  <c r="AI960" i="4"/>
  <c r="AJ960" i="4"/>
  <c r="Q961" i="4"/>
  <c r="R961" i="4"/>
  <c r="N961" i="4"/>
  <c r="S961" i="4"/>
  <c r="T961" i="4"/>
  <c r="U961" i="4"/>
  <c r="V961" i="4"/>
  <c r="W961" i="4"/>
  <c r="X961" i="4"/>
  <c r="Y961" i="4"/>
  <c r="AA961" i="4"/>
  <c r="AB961" i="4"/>
  <c r="AC961" i="4"/>
  <c r="AD961" i="4"/>
  <c r="AE961" i="4"/>
  <c r="AF961" i="4"/>
  <c r="AI961" i="4"/>
  <c r="AJ961" i="4"/>
  <c r="Q962" i="4"/>
  <c r="R962" i="4"/>
  <c r="N962" i="4"/>
  <c r="S962" i="4"/>
  <c r="T962" i="4"/>
  <c r="U962" i="4"/>
  <c r="V962" i="4"/>
  <c r="W962" i="4"/>
  <c r="X962" i="4"/>
  <c r="Y962" i="4"/>
  <c r="AA962" i="4"/>
  <c r="AB962" i="4"/>
  <c r="AC962" i="4"/>
  <c r="AD962" i="4"/>
  <c r="AE962" i="4"/>
  <c r="AF962" i="4"/>
  <c r="AI962" i="4"/>
  <c r="AJ962" i="4"/>
  <c r="Q964" i="4"/>
  <c r="R964" i="4"/>
  <c r="N964" i="4"/>
  <c r="S964" i="4"/>
  <c r="T964" i="4"/>
  <c r="U964" i="4"/>
  <c r="V964" i="4"/>
  <c r="W964" i="4"/>
  <c r="X964" i="4"/>
  <c r="Y964" i="4"/>
  <c r="Z964" i="4"/>
  <c r="O964" i="4"/>
  <c r="AA964" i="4"/>
  <c r="AB964" i="4"/>
  <c r="AC964" i="4"/>
  <c r="AD964" i="4"/>
  <c r="AE964" i="4"/>
  <c r="AF964" i="4"/>
  <c r="AH964" i="4"/>
  <c r="AI964" i="4"/>
  <c r="AJ964" i="4"/>
  <c r="Q965" i="4"/>
  <c r="R965" i="4"/>
  <c r="N965" i="4"/>
  <c r="S965" i="4"/>
  <c r="T965" i="4"/>
  <c r="U965" i="4"/>
  <c r="V965" i="4"/>
  <c r="W965" i="4"/>
  <c r="X965" i="4"/>
  <c r="Y965" i="4"/>
  <c r="AA965" i="4"/>
  <c r="AB965" i="4"/>
  <c r="AC965" i="4"/>
  <c r="AD965" i="4"/>
  <c r="AE965" i="4"/>
  <c r="AF965" i="4"/>
  <c r="AI965" i="4"/>
  <c r="AJ965" i="4"/>
  <c r="N966" i="4"/>
  <c r="Q966" i="4"/>
  <c r="Q963" i="4"/>
  <c r="R966" i="4"/>
  <c r="S966" i="4"/>
  <c r="T966" i="4"/>
  <c r="U966" i="4"/>
  <c r="V966" i="4"/>
  <c r="W966" i="4"/>
  <c r="X966" i="4"/>
  <c r="Y966" i="4"/>
  <c r="AA966" i="4"/>
  <c r="AB966" i="4"/>
  <c r="AC966" i="4"/>
  <c r="AD966" i="4"/>
  <c r="AE966" i="4"/>
  <c r="AF966" i="4"/>
  <c r="AI966" i="4"/>
  <c r="AJ966" i="4"/>
  <c r="Q967" i="4"/>
  <c r="R967" i="4"/>
  <c r="N967" i="4"/>
  <c r="S967" i="4"/>
  <c r="T967" i="4"/>
  <c r="U967" i="4"/>
  <c r="V967" i="4"/>
  <c r="W967" i="4"/>
  <c r="X967" i="4"/>
  <c r="Y967" i="4"/>
  <c r="AA967" i="4"/>
  <c r="AB967" i="4"/>
  <c r="AC967" i="4"/>
  <c r="AD967" i="4"/>
  <c r="AE967" i="4"/>
  <c r="AF967" i="4"/>
  <c r="AI967" i="4"/>
  <c r="AJ967" i="4"/>
  <c r="Q968" i="4"/>
  <c r="R968" i="4"/>
  <c r="N968" i="4"/>
  <c r="S968" i="4"/>
  <c r="T968" i="4"/>
  <c r="U968" i="4"/>
  <c r="V968" i="4"/>
  <c r="W968" i="4"/>
  <c r="X968" i="4"/>
  <c r="Y968" i="4"/>
  <c r="Y963" i="4"/>
  <c r="AA968" i="4"/>
  <c r="AB968" i="4"/>
  <c r="AC968" i="4"/>
  <c r="AD968" i="4"/>
  <c r="AE968" i="4"/>
  <c r="AF968" i="4"/>
  <c r="AI968" i="4"/>
  <c r="AJ968" i="4"/>
  <c r="Q969" i="4"/>
  <c r="R969" i="4"/>
  <c r="N969" i="4"/>
  <c r="S969" i="4"/>
  <c r="T969" i="4"/>
  <c r="U969" i="4"/>
  <c r="V969" i="4"/>
  <c r="W969" i="4"/>
  <c r="X969" i="4"/>
  <c r="Y969" i="4"/>
  <c r="AA969" i="4"/>
  <c r="AB969" i="4"/>
  <c r="AC969" i="4"/>
  <c r="AD969" i="4"/>
  <c r="AE969" i="4"/>
  <c r="AF969" i="4"/>
  <c r="AI969" i="4"/>
  <c r="AJ969" i="4"/>
  <c r="Q970" i="4"/>
  <c r="R970" i="4"/>
  <c r="N970" i="4"/>
  <c r="S970" i="4"/>
  <c r="T970" i="4"/>
  <c r="U970" i="4"/>
  <c r="V970" i="4"/>
  <c r="W970" i="4"/>
  <c r="X970" i="4"/>
  <c r="Y970" i="4"/>
  <c r="AA970" i="4"/>
  <c r="AB970" i="4"/>
  <c r="AC970" i="4"/>
  <c r="AD970" i="4"/>
  <c r="AE970" i="4"/>
  <c r="AF970" i="4"/>
  <c r="AI970" i="4"/>
  <c r="AJ970" i="4"/>
  <c r="Q971" i="4"/>
  <c r="R971" i="4"/>
  <c r="N971" i="4"/>
  <c r="S971" i="4"/>
  <c r="T971" i="4"/>
  <c r="U971" i="4"/>
  <c r="V971" i="4"/>
  <c r="W971" i="4"/>
  <c r="Y971" i="4"/>
  <c r="AA971" i="4"/>
  <c r="AB971" i="4"/>
  <c r="AC971" i="4"/>
  <c r="AD971" i="4"/>
  <c r="AE971" i="4"/>
  <c r="AF971" i="4"/>
  <c r="AI971" i="4"/>
  <c r="AJ971" i="4"/>
  <c r="N972" i="4"/>
  <c r="Q972" i="4"/>
  <c r="R972" i="4"/>
  <c r="S972" i="4"/>
  <c r="T972" i="4"/>
  <c r="U972" i="4"/>
  <c r="V972" i="4"/>
  <c r="W972" i="4"/>
  <c r="Y972" i="4"/>
  <c r="AA972" i="4"/>
  <c r="AB972" i="4"/>
  <c r="AC972" i="4"/>
  <c r="AD972" i="4"/>
  <c r="AE972" i="4"/>
  <c r="AF972" i="4"/>
  <c r="AI972" i="4"/>
  <c r="AJ972" i="4"/>
  <c r="N973" i="4"/>
  <c r="Q973" i="4"/>
  <c r="R973" i="4"/>
  <c r="S973" i="4"/>
  <c r="T973" i="4"/>
  <c r="U973" i="4"/>
  <c r="V973" i="4"/>
  <c r="W973" i="4"/>
  <c r="Y973" i="4"/>
  <c r="AA973" i="4"/>
  <c r="AB973" i="4"/>
  <c r="AC973" i="4"/>
  <c r="AD973" i="4"/>
  <c r="AE973" i="4"/>
  <c r="AF973" i="4"/>
  <c r="AI973" i="4"/>
  <c r="AJ973" i="4"/>
  <c r="Q974" i="4"/>
  <c r="R974" i="4"/>
  <c r="N974" i="4"/>
  <c r="S974" i="4"/>
  <c r="T974" i="4"/>
  <c r="U974" i="4"/>
  <c r="V974" i="4"/>
  <c r="W974" i="4"/>
  <c r="Y974" i="4"/>
  <c r="Z974" i="4"/>
  <c r="O974" i="4"/>
  <c r="P974" i="4"/>
  <c r="AA974" i="4"/>
  <c r="AB974" i="4"/>
  <c r="AC974" i="4"/>
  <c r="AD974" i="4"/>
  <c r="AE974" i="4"/>
  <c r="AF974" i="4"/>
  <c r="AI974" i="4"/>
  <c r="AJ974" i="4"/>
  <c r="Q975" i="4"/>
  <c r="R975" i="4"/>
  <c r="N975" i="4"/>
  <c r="S975" i="4"/>
  <c r="T975" i="4"/>
  <c r="U975" i="4"/>
  <c r="V975" i="4"/>
  <c r="W975" i="4"/>
  <c r="Y975" i="4"/>
  <c r="AA975" i="4"/>
  <c r="AB975" i="4"/>
  <c r="AC975" i="4"/>
  <c r="AD975" i="4"/>
  <c r="AE975" i="4"/>
  <c r="AF975" i="4"/>
  <c r="AI975" i="4"/>
  <c r="AJ975" i="4"/>
  <c r="Q976" i="4"/>
  <c r="S976" i="4"/>
  <c r="T976" i="4"/>
  <c r="U976" i="4"/>
  <c r="W976" i="4"/>
  <c r="X976" i="4"/>
  <c r="AA976" i="4"/>
  <c r="AB976" i="4"/>
  <c r="AC976" i="4"/>
  <c r="AD976" i="4"/>
  <c r="AE976" i="4"/>
  <c r="AF976" i="4"/>
  <c r="AI976" i="4"/>
  <c r="AJ976" i="4"/>
  <c r="Q977" i="4"/>
  <c r="R977" i="4"/>
  <c r="N977" i="4"/>
  <c r="S977" i="4"/>
  <c r="T977" i="4"/>
  <c r="U977" i="4"/>
  <c r="V977" i="4"/>
  <c r="W977" i="4"/>
  <c r="X977" i="4"/>
  <c r="Y977" i="4"/>
  <c r="AA977" i="4"/>
  <c r="AB977" i="4"/>
  <c r="AC977" i="4"/>
  <c r="AD977" i="4"/>
  <c r="AE977" i="4"/>
  <c r="AF977" i="4"/>
  <c r="AI977" i="4"/>
  <c r="AJ977" i="4"/>
  <c r="N978" i="4"/>
  <c r="Q978" i="4"/>
  <c r="R978" i="4"/>
  <c r="S978" i="4"/>
  <c r="T978" i="4"/>
  <c r="U978" i="4"/>
  <c r="V978" i="4"/>
  <c r="W978" i="4"/>
  <c r="X978" i="4"/>
  <c r="Y978" i="4"/>
  <c r="Z978" i="4"/>
  <c r="O978" i="4"/>
  <c r="P978" i="4"/>
  <c r="AA978" i="4"/>
  <c r="AB978" i="4"/>
  <c r="AC978" i="4"/>
  <c r="AD978" i="4"/>
  <c r="AE978" i="4"/>
  <c r="AF978" i="4"/>
  <c r="AI978" i="4"/>
  <c r="AJ978" i="4"/>
  <c r="U979" i="4"/>
  <c r="Q980" i="4"/>
  <c r="R980" i="4"/>
  <c r="S980" i="4"/>
  <c r="T980" i="4"/>
  <c r="U980" i="4"/>
  <c r="V980" i="4"/>
  <c r="W980" i="4"/>
  <c r="X980" i="4"/>
  <c r="Y980" i="4"/>
  <c r="AA980" i="4"/>
  <c r="AB980" i="4"/>
  <c r="AC980" i="4"/>
  <c r="AD980" i="4"/>
  <c r="AE980" i="4"/>
  <c r="AF980" i="4"/>
  <c r="AI980" i="4"/>
  <c r="AJ980" i="4"/>
  <c r="Q981" i="4"/>
  <c r="R981" i="4"/>
  <c r="N981" i="4"/>
  <c r="S981" i="4"/>
  <c r="T981" i="4"/>
  <c r="U981" i="4"/>
  <c r="V981" i="4"/>
  <c r="W981" i="4"/>
  <c r="X981" i="4"/>
  <c r="Y981" i="4"/>
  <c r="AA981" i="4"/>
  <c r="AB981" i="4"/>
  <c r="AC981" i="4"/>
  <c r="AD981" i="4"/>
  <c r="AD979" i="4"/>
  <c r="AE981" i="4"/>
  <c r="AF981" i="4"/>
  <c r="AI981" i="4"/>
  <c r="AJ981" i="4"/>
  <c r="Q982" i="4"/>
  <c r="R982" i="4"/>
  <c r="N982" i="4"/>
  <c r="S982" i="4"/>
  <c r="T982" i="4"/>
  <c r="U982" i="4"/>
  <c r="V982" i="4"/>
  <c r="W982" i="4"/>
  <c r="X982" i="4"/>
  <c r="Y982" i="4"/>
  <c r="Z982" i="4"/>
  <c r="O982" i="4"/>
  <c r="P982" i="4"/>
  <c r="AA982" i="4"/>
  <c r="AB982" i="4"/>
  <c r="AC982" i="4"/>
  <c r="AD982" i="4"/>
  <c r="AE982" i="4"/>
  <c r="AF982" i="4"/>
  <c r="AI982" i="4"/>
  <c r="AJ982" i="4"/>
  <c r="Q983" i="4"/>
  <c r="R983" i="4"/>
  <c r="N983" i="4"/>
  <c r="S983" i="4"/>
  <c r="T983" i="4"/>
  <c r="U983" i="4"/>
  <c r="V983" i="4"/>
  <c r="W983" i="4"/>
  <c r="X983" i="4"/>
  <c r="Y983" i="4"/>
  <c r="AA983" i="4"/>
  <c r="AB983" i="4"/>
  <c r="AC983" i="4"/>
  <c r="AD983" i="4"/>
  <c r="AE983" i="4"/>
  <c r="AF983" i="4"/>
  <c r="AI983" i="4"/>
  <c r="AJ983" i="4"/>
  <c r="N984" i="4"/>
  <c r="Q984" i="4"/>
  <c r="R984" i="4"/>
  <c r="S984" i="4"/>
  <c r="T984" i="4"/>
  <c r="U984" i="4"/>
  <c r="V984" i="4"/>
  <c r="W984" i="4"/>
  <c r="W979" i="4"/>
  <c r="X984" i="4"/>
  <c r="Y984" i="4"/>
  <c r="AA984" i="4"/>
  <c r="AB984" i="4"/>
  <c r="AC984" i="4"/>
  <c r="AD984" i="4"/>
  <c r="AE984" i="4"/>
  <c r="AF984" i="4"/>
  <c r="AI984" i="4"/>
  <c r="AJ984" i="4"/>
  <c r="AH988" i="4"/>
  <c r="N989" i="4"/>
  <c r="O989" i="4"/>
  <c r="P989" i="4"/>
  <c r="Q990" i="4"/>
  <c r="S990" i="4"/>
  <c r="T990" i="4"/>
  <c r="U990" i="4"/>
  <c r="V990" i="4"/>
  <c r="W990" i="4"/>
  <c r="X990" i="4"/>
  <c r="Y990" i="4"/>
  <c r="AA990" i="4"/>
  <c r="AB990" i="4"/>
  <c r="AC990" i="4"/>
  <c r="AD990" i="4"/>
  <c r="AE990" i="4"/>
  <c r="AF990" i="4"/>
  <c r="AI990" i="4"/>
  <c r="AJ990" i="4"/>
  <c r="Q991" i="4"/>
  <c r="R991" i="4"/>
  <c r="N991" i="4"/>
  <c r="S991" i="4"/>
  <c r="T991" i="4"/>
  <c r="U991" i="4"/>
  <c r="V991" i="4"/>
  <c r="W991" i="4"/>
  <c r="X991" i="4"/>
  <c r="Y991" i="4"/>
  <c r="AA991" i="4"/>
  <c r="AB991" i="4"/>
  <c r="AC991" i="4"/>
  <c r="AD991" i="4"/>
  <c r="AE991" i="4"/>
  <c r="AF991" i="4"/>
  <c r="AI991" i="4"/>
  <c r="AJ991" i="4"/>
  <c r="Q992" i="4"/>
  <c r="R992" i="4"/>
  <c r="N992" i="4"/>
  <c r="S992" i="4"/>
  <c r="T992" i="4"/>
  <c r="U992" i="4"/>
  <c r="V992" i="4"/>
  <c r="W992" i="4"/>
  <c r="X992" i="4"/>
  <c r="Y992" i="4"/>
  <c r="AA992" i="4"/>
  <c r="AB992" i="4"/>
  <c r="AC992" i="4"/>
  <c r="AD992" i="4"/>
  <c r="AE992" i="4"/>
  <c r="AF992" i="4"/>
  <c r="AI992" i="4"/>
  <c r="AJ992" i="4"/>
  <c r="Q993" i="4"/>
  <c r="R993" i="4"/>
  <c r="N993" i="4"/>
  <c r="S993" i="4"/>
  <c r="T993" i="4"/>
  <c r="U993" i="4"/>
  <c r="V993" i="4"/>
  <c r="W993" i="4"/>
  <c r="X993" i="4"/>
  <c r="Y993" i="4"/>
  <c r="AA993" i="4"/>
  <c r="AB993" i="4"/>
  <c r="AC993" i="4"/>
  <c r="AD993" i="4"/>
  <c r="AE993" i="4"/>
  <c r="AF993" i="4"/>
  <c r="AI993" i="4"/>
  <c r="AJ993" i="4"/>
  <c r="Q994" i="4"/>
  <c r="S994" i="4"/>
  <c r="T994" i="4"/>
  <c r="U994" i="4"/>
  <c r="V994" i="4"/>
  <c r="W994" i="4"/>
  <c r="W986" i="4"/>
  <c r="X994" i="4"/>
  <c r="Y994" i="4"/>
  <c r="Y986" i="4"/>
  <c r="AA994" i="4"/>
  <c r="AB994" i="4"/>
  <c r="AB986" i="4"/>
  <c r="AC994" i="4"/>
  <c r="AD994" i="4"/>
  <c r="AD986" i="4"/>
  <c r="AE994" i="4"/>
  <c r="AF994" i="4"/>
  <c r="AF986" i="4"/>
  <c r="AI994" i="4"/>
  <c r="AJ994" i="4"/>
  <c r="Q995" i="4"/>
  <c r="R995" i="4"/>
  <c r="N995" i="4"/>
  <c r="N994" i="4"/>
  <c r="S995" i="4"/>
  <c r="T995" i="4"/>
  <c r="U995" i="4"/>
  <c r="V995" i="4"/>
  <c r="W995" i="4"/>
  <c r="X995" i="4"/>
  <c r="Y995" i="4"/>
  <c r="AA995" i="4"/>
  <c r="AB995" i="4"/>
  <c r="AC995" i="4"/>
  <c r="AD995" i="4"/>
  <c r="AE995" i="4"/>
  <c r="AF995" i="4"/>
  <c r="AI995" i="4"/>
  <c r="AJ995" i="4"/>
  <c r="Q996" i="4"/>
  <c r="R996" i="4"/>
  <c r="N996" i="4"/>
  <c r="S996" i="4"/>
  <c r="T996" i="4"/>
  <c r="U996" i="4"/>
  <c r="V996" i="4"/>
  <c r="W996" i="4"/>
  <c r="X996" i="4"/>
  <c r="Y996" i="4"/>
  <c r="AA996" i="4"/>
  <c r="AB996" i="4"/>
  <c r="AC996" i="4"/>
  <c r="AD996" i="4"/>
  <c r="AE996" i="4"/>
  <c r="AF996" i="4"/>
  <c r="AI996" i="4"/>
  <c r="AJ996" i="4"/>
  <c r="AH1001" i="4"/>
  <c r="N1002" i="4"/>
  <c r="O1002" i="4"/>
  <c r="P1002" i="4"/>
  <c r="Q1004" i="4"/>
  <c r="R1004" i="4"/>
  <c r="N1004" i="4"/>
  <c r="S1004" i="4"/>
  <c r="T1004" i="4"/>
  <c r="V1004" i="4"/>
  <c r="W1004" i="4"/>
  <c r="X1004" i="4"/>
  <c r="Y1004" i="4"/>
  <c r="AA1004" i="4"/>
  <c r="AB1004" i="4"/>
  <c r="AC1004" i="4"/>
  <c r="AD1004" i="4"/>
  <c r="AE1004" i="4"/>
  <c r="AF1004" i="4"/>
  <c r="AI1004" i="4"/>
  <c r="AJ1004" i="4"/>
  <c r="Q1005" i="4"/>
  <c r="R1005" i="4"/>
  <c r="N1005" i="4"/>
  <c r="S1005" i="4"/>
  <c r="T1005" i="4"/>
  <c r="V1005" i="4"/>
  <c r="W1005" i="4"/>
  <c r="X1005" i="4"/>
  <c r="Y1005" i="4"/>
  <c r="AA1005" i="4"/>
  <c r="AB1005" i="4"/>
  <c r="AC1005" i="4"/>
  <c r="AD1005" i="4"/>
  <c r="AE1005" i="4"/>
  <c r="AF1005" i="4"/>
  <c r="AI1005" i="4"/>
  <c r="AJ1005" i="4"/>
  <c r="AJ1003" i="4"/>
  <c r="AJ999" i="4"/>
  <c r="Q1006" i="4"/>
  <c r="R1006" i="4"/>
  <c r="N1006" i="4"/>
  <c r="S1006" i="4"/>
  <c r="T1006" i="4"/>
  <c r="V1006" i="4"/>
  <c r="W1006" i="4"/>
  <c r="X1006" i="4"/>
  <c r="Y1006" i="4"/>
  <c r="AA1006" i="4"/>
  <c r="AB1006" i="4"/>
  <c r="AC1006" i="4"/>
  <c r="AD1006" i="4"/>
  <c r="AE1006" i="4"/>
  <c r="AF1006" i="4"/>
  <c r="AI1006" i="4"/>
  <c r="AJ1006" i="4"/>
  <c r="Q1007" i="4"/>
  <c r="R1007" i="4"/>
  <c r="N1007" i="4"/>
  <c r="S1007" i="4"/>
  <c r="T1007" i="4"/>
  <c r="V1007" i="4"/>
  <c r="W1007" i="4"/>
  <c r="X1007" i="4"/>
  <c r="Y1007" i="4"/>
  <c r="AA1007" i="4"/>
  <c r="AB1007" i="4"/>
  <c r="AC1007" i="4"/>
  <c r="AD1007" i="4"/>
  <c r="AE1007" i="4"/>
  <c r="AF1007" i="4"/>
  <c r="AI1007" i="4"/>
  <c r="AJ1007" i="4"/>
  <c r="Q1008" i="4"/>
  <c r="R1008" i="4"/>
  <c r="N1008" i="4"/>
  <c r="S1008" i="4"/>
  <c r="T1008" i="4"/>
  <c r="V1008" i="4"/>
  <c r="W1008" i="4"/>
  <c r="X1008" i="4"/>
  <c r="Y1008" i="4"/>
  <c r="Z1008" i="4"/>
  <c r="O1008" i="4"/>
  <c r="P1008" i="4"/>
  <c r="AA1008" i="4"/>
  <c r="AB1008" i="4"/>
  <c r="AC1008" i="4"/>
  <c r="AD1008" i="4"/>
  <c r="AE1008" i="4"/>
  <c r="AF1008" i="4"/>
  <c r="AI1008" i="4"/>
  <c r="AJ1008" i="4"/>
  <c r="Q1009" i="4"/>
  <c r="R1009" i="4"/>
  <c r="N1009" i="4"/>
  <c r="S1009" i="4"/>
  <c r="T1009" i="4"/>
  <c r="V1009" i="4"/>
  <c r="W1009" i="4"/>
  <c r="X1009" i="4"/>
  <c r="Y1009" i="4"/>
  <c r="AA1009" i="4"/>
  <c r="AB1009" i="4"/>
  <c r="AC1009" i="4"/>
  <c r="AD1009" i="4"/>
  <c r="AE1009" i="4"/>
  <c r="AF1009" i="4"/>
  <c r="AI1009" i="4"/>
  <c r="AJ1009" i="4"/>
  <c r="Q1010" i="4"/>
  <c r="R1010" i="4"/>
  <c r="N1010" i="4"/>
  <c r="S1010" i="4"/>
  <c r="T1010" i="4"/>
  <c r="V1010" i="4"/>
  <c r="W1010" i="4"/>
  <c r="X1010" i="4"/>
  <c r="Y1010" i="4"/>
  <c r="Z1010" i="4"/>
  <c r="O1010" i="4"/>
  <c r="AA1010" i="4"/>
  <c r="AB1010" i="4"/>
  <c r="AC1010" i="4"/>
  <c r="AD1010" i="4"/>
  <c r="AE1010" i="4"/>
  <c r="AF1010" i="4"/>
  <c r="AI1010" i="4"/>
  <c r="AJ1010" i="4"/>
  <c r="Q1011" i="4"/>
  <c r="S1011" i="4"/>
  <c r="T1011" i="4"/>
  <c r="W1011" i="4"/>
  <c r="AD1011" i="4"/>
  <c r="AE1011" i="4"/>
  <c r="AI1011" i="4"/>
  <c r="AJ1011" i="4"/>
  <c r="Q1012" i="4"/>
  <c r="R1012" i="4"/>
  <c r="N1012" i="4"/>
  <c r="S1012" i="4"/>
  <c r="T1012" i="4"/>
  <c r="V1012" i="4"/>
  <c r="W1012" i="4"/>
  <c r="X1012" i="4"/>
  <c r="Y1012" i="4"/>
  <c r="AA1012" i="4"/>
  <c r="AB1012" i="4"/>
  <c r="AC1012" i="4"/>
  <c r="AD1012" i="4"/>
  <c r="AE1012" i="4"/>
  <c r="AF1012" i="4"/>
  <c r="AI1012" i="4"/>
  <c r="AJ1012" i="4"/>
  <c r="Q1013" i="4"/>
  <c r="R1013" i="4"/>
  <c r="N1013" i="4"/>
  <c r="S1013" i="4"/>
  <c r="T1013" i="4"/>
  <c r="V1013" i="4"/>
  <c r="W1013" i="4"/>
  <c r="X1013" i="4"/>
  <c r="Y1013" i="4"/>
  <c r="AA1013" i="4"/>
  <c r="AB1013" i="4"/>
  <c r="AC1013" i="4"/>
  <c r="AD1013" i="4"/>
  <c r="AE1013" i="4"/>
  <c r="AF1013" i="4"/>
  <c r="AI1013" i="4"/>
  <c r="AJ1013" i="4"/>
  <c r="Q1014" i="4"/>
  <c r="R1014" i="4"/>
  <c r="N1014" i="4"/>
  <c r="S1014" i="4"/>
  <c r="T1014" i="4"/>
  <c r="V1014" i="4"/>
  <c r="W1014" i="4"/>
  <c r="X1014" i="4"/>
  <c r="Y1014" i="4"/>
  <c r="AA1014" i="4"/>
  <c r="AB1014" i="4"/>
  <c r="AC1014" i="4"/>
  <c r="AD1014" i="4"/>
  <c r="AE1014" i="4"/>
  <c r="AF1014" i="4"/>
  <c r="AI1014" i="4"/>
  <c r="AJ1014" i="4"/>
  <c r="AH1016" i="4"/>
  <c r="AH1020" i="4"/>
  <c r="AH1024" i="4"/>
  <c r="AH1032" i="4"/>
  <c r="N1017" i="4"/>
  <c r="O1017" i="4"/>
  <c r="P1017" i="4"/>
  <c r="Q1018" i="4"/>
  <c r="R1018" i="4"/>
  <c r="N1018" i="4"/>
  <c r="S1018" i="4"/>
  <c r="T1018" i="4"/>
  <c r="U1018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999" i="4"/>
  <c r="V1018" i="4"/>
  <c r="W1018" i="4"/>
  <c r="X1018" i="4"/>
  <c r="Y1018" i="4"/>
  <c r="Z1018" i="4"/>
  <c r="O1018" i="4"/>
  <c r="P1018" i="4"/>
  <c r="AA1018" i="4"/>
  <c r="AB1018" i="4"/>
  <c r="AC1018" i="4"/>
  <c r="AD1018" i="4"/>
  <c r="AE1018" i="4"/>
  <c r="AF1018" i="4"/>
  <c r="AG1018" i="4"/>
  <c r="AH1018" i="4"/>
  <c r="AI1018" i="4"/>
  <c r="AJ1018" i="4"/>
  <c r="N1021" i="4"/>
  <c r="O1021" i="4"/>
  <c r="P1021" i="4"/>
  <c r="Q1022" i="4"/>
  <c r="R1022" i="4"/>
  <c r="N1022" i="4"/>
  <c r="S1022" i="4"/>
  <c r="T1022" i="4"/>
  <c r="U1022" i="4"/>
  <c r="V1022" i="4"/>
  <c r="W1022" i="4"/>
  <c r="X1022" i="4"/>
  <c r="Y1022" i="4"/>
  <c r="AA1022" i="4"/>
  <c r="AB1022" i="4"/>
  <c r="AC1022" i="4"/>
  <c r="AD1022" i="4"/>
  <c r="AE1022" i="4"/>
  <c r="AF1022" i="4"/>
  <c r="AI1022" i="4"/>
  <c r="AJ1022" i="4"/>
  <c r="N1025" i="4"/>
  <c r="O1025" i="4"/>
  <c r="P1025" i="4"/>
  <c r="Q1026" i="4"/>
  <c r="R1026" i="4"/>
  <c r="N1026" i="4"/>
  <c r="S1026" i="4"/>
  <c r="T1026" i="4"/>
  <c r="U1026" i="4"/>
  <c r="V1026" i="4"/>
  <c r="W1026" i="4"/>
  <c r="X1026" i="4"/>
  <c r="Y1026" i="4"/>
  <c r="AA1026" i="4"/>
  <c r="AB1026" i="4"/>
  <c r="AC1026" i="4"/>
  <c r="AD1026" i="4"/>
  <c r="AE1026" i="4"/>
  <c r="AF1026" i="4"/>
  <c r="AI1026" i="4"/>
  <c r="AJ1026" i="4"/>
  <c r="N1033" i="4"/>
  <c r="O1033" i="4"/>
  <c r="P1033" i="4"/>
  <c r="Q1034" i="4"/>
  <c r="R1034" i="4"/>
  <c r="S1034" i="4"/>
  <c r="T1034" i="4"/>
  <c r="U1034" i="4"/>
  <c r="V1034" i="4"/>
  <c r="W1034" i="4"/>
  <c r="X1034" i="4"/>
  <c r="Y1034" i="4"/>
  <c r="AA1034" i="4"/>
  <c r="AB1034" i="4"/>
  <c r="AC1034" i="4"/>
  <c r="AD1034" i="4"/>
  <c r="AE1034" i="4"/>
  <c r="AF1034" i="4"/>
  <c r="AI1034" i="4"/>
  <c r="AJ1034" i="4"/>
  <c r="Q1035" i="4"/>
  <c r="S1035" i="4"/>
  <c r="T1035" i="4"/>
  <c r="U1035" i="4"/>
  <c r="W1035" i="4"/>
  <c r="AA1035" i="4"/>
  <c r="AB1035" i="4"/>
  <c r="AC1035" i="4"/>
  <c r="AD1035" i="4"/>
  <c r="AE1035" i="4"/>
  <c r="AF1035" i="4"/>
  <c r="AI1035" i="4"/>
  <c r="AJ1035" i="4"/>
  <c r="AJ1030" i="4"/>
  <c r="Q1036" i="4"/>
  <c r="R1036" i="4"/>
  <c r="N1036" i="4"/>
  <c r="P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Q1037" i="4"/>
  <c r="R1037" i="4"/>
  <c r="N1037" i="4"/>
  <c r="N1035" i="4"/>
  <c r="S1037" i="4"/>
  <c r="T1037" i="4"/>
  <c r="U1037" i="4"/>
  <c r="V1037" i="4"/>
  <c r="W1037" i="4"/>
  <c r="X1037" i="4"/>
  <c r="Y1037" i="4"/>
  <c r="AA1037" i="4"/>
  <c r="AB1037" i="4"/>
  <c r="AC1037" i="4"/>
  <c r="AD1037" i="4"/>
  <c r="AE1037" i="4"/>
  <c r="AF1037" i="4"/>
  <c r="AI1037" i="4"/>
  <c r="AJ1037" i="4"/>
  <c r="Q1038" i="4"/>
  <c r="R1038" i="4"/>
  <c r="N1038" i="4"/>
  <c r="S1038" i="4"/>
  <c r="T1038" i="4"/>
  <c r="U1038" i="4"/>
  <c r="V1038" i="4"/>
  <c r="W1038" i="4"/>
  <c r="X1038" i="4"/>
  <c r="Y1038" i="4"/>
  <c r="AA1038" i="4"/>
  <c r="AB1038" i="4"/>
  <c r="AC1038" i="4"/>
  <c r="AD1038" i="4"/>
  <c r="AE1038" i="4"/>
  <c r="AF1038" i="4"/>
  <c r="AI1038" i="4"/>
  <c r="AJ1038" i="4"/>
  <c r="Q1039" i="4"/>
  <c r="R1039" i="4"/>
  <c r="N1039" i="4"/>
  <c r="S1039" i="4"/>
  <c r="T1039" i="4"/>
  <c r="U1039" i="4"/>
  <c r="V1039" i="4"/>
  <c r="W1039" i="4"/>
  <c r="X1039" i="4"/>
  <c r="Y1039" i="4"/>
  <c r="AA1039" i="4"/>
  <c r="AB1039" i="4"/>
  <c r="AC1039" i="4"/>
  <c r="AD1039" i="4"/>
  <c r="AE1039" i="4"/>
  <c r="AF1039" i="4"/>
  <c r="AI1039" i="4"/>
  <c r="AJ1039" i="4"/>
  <c r="Q1040" i="4"/>
  <c r="R1040" i="4"/>
  <c r="N1040" i="4"/>
  <c r="S1040" i="4"/>
  <c r="T1040" i="4"/>
  <c r="U1040" i="4"/>
  <c r="V1040" i="4"/>
  <c r="W1040" i="4"/>
  <c r="X1040" i="4"/>
  <c r="Y1040" i="4"/>
  <c r="AA1040" i="4"/>
  <c r="AB1040" i="4"/>
  <c r="AC1040" i="4"/>
  <c r="AD1040" i="4"/>
  <c r="AE1040" i="4"/>
  <c r="AF1040" i="4"/>
  <c r="AI1040" i="4"/>
  <c r="AJ1040" i="4"/>
  <c r="Q1041" i="4"/>
  <c r="R1041" i="4"/>
  <c r="N1041" i="4"/>
  <c r="S1041" i="4"/>
  <c r="T1041" i="4"/>
  <c r="U1041" i="4"/>
  <c r="V1041" i="4"/>
  <c r="W1041" i="4"/>
  <c r="X1041" i="4"/>
  <c r="Y1041" i="4"/>
  <c r="Z1041" i="4"/>
  <c r="O1041" i="4"/>
  <c r="AA1041" i="4"/>
  <c r="AB1041" i="4"/>
  <c r="AC1041" i="4"/>
  <c r="AD1041" i="4"/>
  <c r="AE1041" i="4"/>
  <c r="AF1041" i="4"/>
  <c r="AI1041" i="4"/>
  <c r="AJ1041" i="4"/>
  <c r="Q1042" i="4"/>
  <c r="R1042" i="4"/>
  <c r="N1042" i="4"/>
  <c r="S1042" i="4"/>
  <c r="T1042" i="4"/>
  <c r="U1042" i="4"/>
  <c r="V1042" i="4"/>
  <c r="W1042" i="4"/>
  <c r="X1042" i="4"/>
  <c r="Y1042" i="4"/>
  <c r="AA1042" i="4"/>
  <c r="AB1042" i="4"/>
  <c r="AC1042" i="4"/>
  <c r="AD1042" i="4"/>
  <c r="AE1042" i="4"/>
  <c r="AF1042" i="4"/>
  <c r="AI1042" i="4"/>
  <c r="AJ1042" i="4"/>
  <c r="S1043" i="4"/>
  <c r="AA1043" i="4"/>
  <c r="AI1043" i="4"/>
  <c r="AJ1043" i="4"/>
  <c r="Q1044" i="4"/>
  <c r="R1044" i="4"/>
  <c r="N1044" i="4"/>
  <c r="S1044" i="4"/>
  <c r="T1044" i="4"/>
  <c r="U1044" i="4"/>
  <c r="V1044" i="4"/>
  <c r="W1044" i="4"/>
  <c r="X1044" i="4"/>
  <c r="Y1044" i="4"/>
  <c r="AA1044" i="4"/>
  <c r="AB1044" i="4"/>
  <c r="AC1044" i="4"/>
  <c r="AD1044" i="4"/>
  <c r="AE1044" i="4"/>
  <c r="AF1044" i="4"/>
  <c r="AI1044" i="4"/>
  <c r="AJ1044" i="4"/>
  <c r="Q1045" i="4"/>
  <c r="R1045" i="4"/>
  <c r="N1045" i="4"/>
  <c r="S1045" i="4"/>
  <c r="T1045" i="4"/>
  <c r="U1045" i="4"/>
  <c r="V1045" i="4"/>
  <c r="W1045" i="4"/>
  <c r="X1045" i="4"/>
  <c r="Y1045" i="4"/>
  <c r="AA1045" i="4"/>
  <c r="AB1045" i="4"/>
  <c r="AC1045" i="4"/>
  <c r="AD1045" i="4"/>
  <c r="AE1045" i="4"/>
  <c r="AF1045" i="4"/>
  <c r="AI1045" i="4"/>
  <c r="AJ1045" i="4"/>
  <c r="Q1047" i="4"/>
  <c r="R1047" i="4"/>
  <c r="S1047" i="4"/>
  <c r="T1047" i="4"/>
  <c r="U1047" i="4"/>
  <c r="V1047" i="4"/>
  <c r="W1047" i="4"/>
  <c r="X1047" i="4"/>
  <c r="Y1047" i="4"/>
  <c r="AA1047" i="4"/>
  <c r="AB1047" i="4"/>
  <c r="AC1047" i="4"/>
  <c r="AD1047" i="4"/>
  <c r="AE1047" i="4"/>
  <c r="AF1047" i="4"/>
  <c r="AI1047" i="4"/>
  <c r="AJ1047" i="4"/>
  <c r="Q1048" i="4"/>
  <c r="R1048" i="4"/>
  <c r="N1048" i="4"/>
  <c r="S1048" i="4"/>
  <c r="T1048" i="4"/>
  <c r="U1048" i="4"/>
  <c r="V1048" i="4"/>
  <c r="W1048" i="4"/>
  <c r="X1048" i="4"/>
  <c r="Y1048" i="4"/>
  <c r="AA1048" i="4"/>
  <c r="AB1048" i="4"/>
  <c r="AC1048" i="4"/>
  <c r="AD1048" i="4"/>
  <c r="AE1048" i="4"/>
  <c r="AF1048" i="4"/>
  <c r="AI1048" i="4"/>
  <c r="AJ1048" i="4"/>
  <c r="Q1049" i="4"/>
  <c r="R1049" i="4"/>
  <c r="N1049" i="4"/>
  <c r="S1049" i="4"/>
  <c r="T1049" i="4"/>
  <c r="U1049" i="4"/>
  <c r="V1049" i="4"/>
  <c r="W1049" i="4"/>
  <c r="X1049" i="4"/>
  <c r="Y1049" i="4"/>
  <c r="AA1049" i="4"/>
  <c r="AB1049" i="4"/>
  <c r="AC1049" i="4"/>
  <c r="AD1049" i="4"/>
  <c r="AE1049" i="4"/>
  <c r="AF1049" i="4"/>
  <c r="AI1049" i="4"/>
  <c r="AJ1049" i="4"/>
  <c r="Q1050" i="4"/>
  <c r="R1050" i="4"/>
  <c r="N1050" i="4"/>
  <c r="S1050" i="4"/>
  <c r="T1050" i="4"/>
  <c r="U1050" i="4"/>
  <c r="V1050" i="4"/>
  <c r="W1050" i="4"/>
  <c r="X1050" i="4"/>
  <c r="Y1050" i="4"/>
  <c r="AA1050" i="4"/>
  <c r="AB1050" i="4"/>
  <c r="AC1050" i="4"/>
  <c r="AD1050" i="4"/>
  <c r="AE1050" i="4"/>
  <c r="AF1050" i="4"/>
  <c r="AI1050" i="4"/>
  <c r="AJ1050" i="4"/>
  <c r="N1057" i="4"/>
  <c r="R1057" i="4"/>
  <c r="O1057" i="4"/>
  <c r="P1057" i="4"/>
  <c r="T1057" i="4"/>
  <c r="U1057" i="4"/>
  <c r="Q1058" i="4"/>
  <c r="Q1055" i="4"/>
  <c r="R1058" i="4"/>
  <c r="N1058" i="4"/>
  <c r="S1058" i="4"/>
  <c r="S1055" i="4"/>
  <c r="T1058" i="4"/>
  <c r="T1055" i="4"/>
  <c r="U1058" i="4"/>
  <c r="Q1059" i="4"/>
  <c r="S1059" i="4"/>
  <c r="T1059" i="4"/>
  <c r="U1059" i="4"/>
  <c r="U1055" i="4"/>
  <c r="Q1060" i="4"/>
  <c r="R1060" i="4"/>
  <c r="N1060" i="4"/>
  <c r="S1060" i="4"/>
  <c r="T1060" i="4"/>
  <c r="O1060" i="4"/>
  <c r="U1060" i="4"/>
  <c r="Q1061" i="4"/>
  <c r="R1061" i="4"/>
  <c r="N1061" i="4"/>
  <c r="S1061" i="4"/>
  <c r="O1061" i="4"/>
  <c r="T1061" i="4"/>
  <c r="U1061" i="4"/>
  <c r="Q1062" i="4"/>
  <c r="R1062" i="4"/>
  <c r="N1062" i="4"/>
  <c r="S1062" i="4"/>
  <c r="T1062" i="4"/>
  <c r="O1062" i="4"/>
  <c r="U1062" i="4"/>
  <c r="Q1063" i="4"/>
  <c r="R1063" i="4"/>
  <c r="N1063" i="4"/>
  <c r="S1063" i="4"/>
  <c r="T1063" i="4"/>
  <c r="O1063" i="4"/>
  <c r="P1063" i="4"/>
  <c r="U1063" i="4"/>
  <c r="Q1064" i="4"/>
  <c r="R1064" i="4"/>
  <c r="N1064" i="4"/>
  <c r="S1064" i="4"/>
  <c r="T1064" i="4"/>
  <c r="U1064" i="4"/>
  <c r="N1069" i="4"/>
  <c r="R1069" i="4"/>
  <c r="O1069" i="4"/>
  <c r="P1069" i="4"/>
  <c r="T1069" i="4"/>
  <c r="U1069" i="4"/>
  <c r="Q1070" i="4"/>
  <c r="R1070" i="4"/>
  <c r="S1070" i="4"/>
  <c r="T1070" i="4"/>
  <c r="U1070" i="4"/>
  <c r="Q1071" i="4"/>
  <c r="R1071" i="4"/>
  <c r="N1071" i="4"/>
  <c r="S1071" i="4"/>
  <c r="T1071" i="4"/>
  <c r="U1071" i="4"/>
  <c r="Q1072" i="4"/>
  <c r="Q1067" i="4"/>
  <c r="R1072" i="4"/>
  <c r="N1072" i="4"/>
  <c r="S1072" i="4"/>
  <c r="T1072" i="4"/>
  <c r="O1072" i="4"/>
  <c r="U1072" i="4"/>
  <c r="N1077" i="4"/>
  <c r="O1077" i="4"/>
  <c r="P1077" i="4"/>
  <c r="Q1078" i="4"/>
  <c r="R1078" i="4"/>
  <c r="N1078" i="4"/>
  <c r="S1078" i="4"/>
  <c r="T1078" i="4"/>
  <c r="Q1079" i="4"/>
  <c r="R1079" i="4"/>
  <c r="N1079" i="4"/>
  <c r="S1079" i="4"/>
  <c r="T1079" i="4"/>
  <c r="Q1080" i="4"/>
  <c r="R1080" i="4"/>
  <c r="N1080" i="4"/>
  <c r="S1080" i="4"/>
  <c r="T1080" i="4"/>
  <c r="U1080" i="4"/>
  <c r="Q1081" i="4"/>
  <c r="R1081" i="4"/>
  <c r="N1081" i="4"/>
  <c r="S1081" i="4"/>
  <c r="T1081" i="4"/>
  <c r="R1083" i="4"/>
  <c r="Q1084" i="4"/>
  <c r="R1084" i="4"/>
  <c r="S1084" i="4"/>
  <c r="T1084" i="4"/>
  <c r="U1084" i="4"/>
  <c r="N1085" i="4"/>
  <c r="Q1085" i="4"/>
  <c r="R1085" i="4"/>
  <c r="S1085" i="4"/>
  <c r="T1085" i="4"/>
  <c r="U1085" i="4"/>
  <c r="Q1086" i="4"/>
  <c r="R1086" i="4"/>
  <c r="N1086" i="4"/>
  <c r="S1086" i="4"/>
  <c r="T1086" i="4"/>
  <c r="R1087" i="4"/>
  <c r="Q1088" i="4"/>
  <c r="R1088" i="4"/>
  <c r="N1088" i="4"/>
  <c r="S1088" i="4"/>
  <c r="T1088" i="4"/>
  <c r="Q1089" i="4"/>
  <c r="R1089" i="4"/>
  <c r="N1089" i="4"/>
  <c r="S1089" i="4"/>
  <c r="T1089" i="4"/>
  <c r="U1089" i="4"/>
  <c r="V1089" i="4"/>
  <c r="O1089" i="4"/>
  <c r="P1089" i="4"/>
  <c r="Q1090" i="4"/>
  <c r="R1090" i="4"/>
  <c r="N1090" i="4"/>
  <c r="S1090" i="4"/>
  <c r="T1090" i="4"/>
  <c r="Q1091" i="4"/>
  <c r="R1091" i="4"/>
  <c r="N1091" i="4"/>
  <c r="S1091" i="4"/>
  <c r="T1091" i="4"/>
  <c r="U1091" i="4"/>
  <c r="V1091" i="4"/>
  <c r="O1091" i="4"/>
  <c r="P1091" i="4"/>
  <c r="R1092" i="4"/>
  <c r="Q1093" i="4"/>
  <c r="R1093" i="4"/>
  <c r="N1093" i="4"/>
  <c r="S1093" i="4"/>
  <c r="T1093" i="4"/>
  <c r="Q1094" i="4"/>
  <c r="R1094" i="4"/>
  <c r="N1094" i="4"/>
  <c r="S1094" i="4"/>
  <c r="T1094" i="4"/>
  <c r="U1094" i="4"/>
  <c r="Q1095" i="4"/>
  <c r="R1095" i="4"/>
  <c r="N1095" i="4"/>
  <c r="S1095" i="4"/>
  <c r="T1095" i="4"/>
  <c r="U1095" i="4"/>
  <c r="Q1096" i="4"/>
  <c r="R1096" i="4"/>
  <c r="N1096" i="4"/>
  <c r="S1096" i="4"/>
  <c r="T1096" i="4"/>
  <c r="C2" i="15"/>
  <c r="D2" i="15"/>
  <c r="G6" i="15"/>
  <c r="G5" i="15"/>
  <c r="H6" i="15"/>
  <c r="H5" i="15"/>
  <c r="G12" i="15"/>
  <c r="H12" i="15"/>
  <c r="G17" i="15"/>
  <c r="H17" i="15"/>
  <c r="G23" i="15"/>
  <c r="H23" i="15"/>
  <c r="G33" i="15"/>
  <c r="G22" i="15"/>
  <c r="G4" i="15"/>
  <c r="H33" i="15"/>
  <c r="H22" i="15"/>
  <c r="H4" i="15"/>
  <c r="G40" i="15"/>
  <c r="H40" i="15"/>
  <c r="G49" i="15"/>
  <c r="H49" i="15"/>
  <c r="G53" i="15"/>
  <c r="H53" i="15"/>
  <c r="G58" i="15"/>
  <c r="H58" i="15"/>
  <c r="G77" i="15"/>
  <c r="H77" i="15"/>
  <c r="G80" i="15"/>
  <c r="H80" i="15"/>
  <c r="G89" i="15"/>
  <c r="G87" i="15"/>
  <c r="H89" i="15"/>
  <c r="H87" i="15"/>
  <c r="B99" i="15"/>
  <c r="C99" i="15"/>
  <c r="E99" i="15"/>
  <c r="I99" i="15"/>
  <c r="B100" i="15"/>
  <c r="D100" i="15"/>
  <c r="E100" i="15"/>
  <c r="I100" i="15"/>
  <c r="F100" i="15"/>
  <c r="J100" i="15"/>
  <c r="E6" i="16"/>
  <c r="G103" i="15"/>
  <c r="H103" i="15"/>
  <c r="G109" i="15"/>
  <c r="H109" i="15"/>
  <c r="G117" i="15"/>
  <c r="H117" i="15"/>
  <c r="G122" i="15"/>
  <c r="H122" i="15"/>
  <c r="G126" i="15"/>
  <c r="H126" i="15"/>
  <c r="G129" i="15"/>
  <c r="H129" i="15"/>
  <c r="D4" i="16"/>
  <c r="E4" i="16"/>
  <c r="D6" i="16"/>
  <c r="D8" i="16"/>
  <c r="D9" i="16"/>
  <c r="D11" i="16"/>
  <c r="D27" i="16"/>
  <c r="D10" i="16"/>
  <c r="D12" i="16"/>
  <c r="D13" i="16"/>
  <c r="D14" i="16"/>
  <c r="D15" i="16"/>
  <c r="D16" i="16"/>
  <c r="D17" i="16"/>
  <c r="D19" i="16"/>
  <c r="D18" i="16"/>
  <c r="D21" i="16"/>
  <c r="D22" i="16"/>
  <c r="D23" i="16"/>
  <c r="D24" i="16"/>
  <c r="D25" i="16"/>
  <c r="D26" i="16"/>
  <c r="D28" i="16"/>
  <c r="D29" i="16"/>
  <c r="D30" i="16"/>
  <c r="D36" i="16"/>
  <c r="D31" i="16"/>
  <c r="D32" i="16"/>
  <c r="D33" i="16"/>
  <c r="D34" i="16"/>
  <c r="D35" i="16"/>
  <c r="D37" i="16"/>
  <c r="D38" i="16"/>
  <c r="D51" i="16"/>
  <c r="D39" i="16"/>
  <c r="D43" i="16"/>
  <c r="D44" i="16"/>
  <c r="D45" i="16"/>
  <c r="D46" i="16"/>
  <c r="D47" i="16"/>
  <c r="D48" i="16"/>
  <c r="D49" i="16"/>
  <c r="D50" i="16"/>
  <c r="D52" i="16"/>
  <c r="D53" i="16"/>
  <c r="D54" i="16"/>
  <c r="D55" i="16"/>
  <c r="D58" i="16"/>
  <c r="D59" i="16"/>
  <c r="D60" i="16"/>
  <c r="D61" i="16"/>
  <c r="D62" i="16"/>
  <c r="D63" i="16"/>
  <c r="D64" i="16"/>
  <c r="D65" i="16"/>
  <c r="D66" i="16"/>
  <c r="D67" i="16"/>
  <c r="D69" i="16"/>
  <c r="D68" i="16"/>
  <c r="D70" i="16"/>
  <c r="D71" i="16"/>
  <c r="D72" i="16"/>
  <c r="D73" i="16"/>
  <c r="D74" i="16"/>
  <c r="D79" i="16"/>
  <c r="D75" i="16"/>
  <c r="D76" i="16"/>
  <c r="D77" i="16"/>
  <c r="D78" i="16"/>
  <c r="D80" i="16"/>
  <c r="D81" i="16"/>
  <c r="D82" i="16"/>
  <c r="D83" i="16"/>
  <c r="D84" i="16"/>
  <c r="D85" i="16"/>
  <c r="D86" i="16"/>
  <c r="D87" i="16"/>
  <c r="D88" i="16"/>
  <c r="D89" i="16"/>
  <c r="D90" i="16"/>
  <c r="D92" i="16"/>
  <c r="D91" i="16"/>
  <c r="D93" i="16"/>
  <c r="D95" i="16"/>
  <c r="D94" i="16"/>
  <c r="D96" i="16"/>
  <c r="D99" i="16"/>
  <c r="D100" i="16"/>
  <c r="D101" i="16"/>
  <c r="D102" i="16"/>
  <c r="D103" i="16"/>
  <c r="D105" i="16"/>
  <c r="D106" i="16"/>
  <c r="D108" i="16"/>
  <c r="D109" i="16"/>
  <c r="D110" i="16"/>
  <c r="D113" i="16"/>
  <c r="D114" i="16"/>
  <c r="B1" i="3"/>
  <c r="J1" i="3"/>
  <c r="B3" i="3"/>
  <c r="B4" i="3"/>
  <c r="C5" i="3"/>
  <c r="D5" i="3"/>
  <c r="E5" i="3"/>
  <c r="F5" i="3"/>
  <c r="G5" i="3"/>
  <c r="O5" i="3"/>
  <c r="H5" i="3"/>
  <c r="I5" i="3"/>
  <c r="J5" i="3"/>
  <c r="N5" i="3"/>
  <c r="P5" i="3"/>
  <c r="Q5" i="3"/>
  <c r="F172" i="18"/>
  <c r="F4" i="13"/>
  <c r="V826" i="9"/>
  <c r="G4" i="13"/>
  <c r="V827" i="9"/>
  <c r="H4" i="13"/>
  <c r="V832" i="9"/>
  <c r="I4" i="13"/>
  <c r="V833" i="9"/>
  <c r="Z1265" i="2"/>
  <c r="J4" i="13"/>
  <c r="V834" i="9"/>
  <c r="K4" i="13"/>
  <c r="V835" i="9"/>
  <c r="Z1267" i="2"/>
  <c r="L4" i="13"/>
  <c r="V836" i="9"/>
  <c r="M4" i="13"/>
  <c r="V837" i="9"/>
  <c r="Z1269" i="2"/>
  <c r="N4" i="13"/>
  <c r="V838" i="9"/>
  <c r="O4" i="13"/>
  <c r="V875" i="9"/>
  <c r="P4" i="13"/>
  <c r="V876" i="9"/>
  <c r="Z1298" i="2"/>
  <c r="Q4" i="13"/>
  <c r="V878" i="9"/>
  <c r="R4" i="13"/>
  <c r="V879" i="9"/>
  <c r="S4" i="13"/>
  <c r="V880" i="9"/>
  <c r="T4" i="13"/>
  <c r="V881" i="9"/>
  <c r="Z1303" i="2"/>
  <c r="U4" i="13"/>
  <c r="V882" i="9"/>
  <c r="V4" i="13"/>
  <c r="V884" i="9"/>
  <c r="Z1306" i="2"/>
  <c r="W4" i="13"/>
  <c r="V885" i="9"/>
  <c r="X4" i="13"/>
  <c r="V886" i="9"/>
  <c r="Z1308" i="2"/>
  <c r="Y4" i="13"/>
  <c r="V894" i="9"/>
  <c r="Z4" i="13"/>
  <c r="V895" i="9"/>
  <c r="AA4" i="13"/>
  <c r="V896" i="9"/>
  <c r="AB4" i="13"/>
  <c r="V900" i="9"/>
  <c r="Z1314" i="2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F4" i="11"/>
  <c r="V826" i="5"/>
  <c r="G4" i="11"/>
  <c r="V827" i="5"/>
  <c r="H4" i="11"/>
  <c r="V832" i="5"/>
  <c r="I4" i="11"/>
  <c r="V833" i="5"/>
  <c r="J4" i="11"/>
  <c r="V834" i="5"/>
  <c r="K4" i="11"/>
  <c r="V835" i="5"/>
  <c r="L4" i="11"/>
  <c r="V836" i="5"/>
  <c r="M4" i="11"/>
  <c r="V837" i="5"/>
  <c r="N4" i="11"/>
  <c r="V838" i="5"/>
  <c r="O4" i="11"/>
  <c r="V875" i="5"/>
  <c r="P4" i="11"/>
  <c r="V876" i="5"/>
  <c r="Q4" i="11"/>
  <c r="V878" i="5"/>
  <c r="R4" i="11"/>
  <c r="V879" i="5"/>
  <c r="S4" i="11"/>
  <c r="V880" i="5"/>
  <c r="T4" i="11"/>
  <c r="V881" i="5"/>
  <c r="U4" i="11"/>
  <c r="V882" i="5"/>
  <c r="V4" i="11"/>
  <c r="V884" i="5"/>
  <c r="X4" i="11"/>
  <c r="V886" i="5"/>
  <c r="Y4" i="11"/>
  <c r="V894" i="5"/>
  <c r="Z4" i="11"/>
  <c r="V895" i="5"/>
  <c r="AA4" i="11"/>
  <c r="V896" i="5"/>
  <c r="AB4" i="11"/>
  <c r="V900" i="5"/>
  <c r="AC4" i="11"/>
  <c r="V903" i="5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W285" i="11"/>
  <c r="W4" i="11"/>
  <c r="V885" i="5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F4" i="12"/>
  <c r="V826" i="7"/>
  <c r="G4" i="12"/>
  <c r="V827" i="7"/>
  <c r="H4" i="12"/>
  <c r="V832" i="7"/>
  <c r="I4" i="12"/>
  <c r="V833" i="7"/>
  <c r="Z1988" i="2"/>
  <c r="J4" i="12"/>
  <c r="V834" i="7"/>
  <c r="Z1989" i="2"/>
  <c r="K4" i="12"/>
  <c r="V835" i="7"/>
  <c r="L4" i="12"/>
  <c r="V836" i="7"/>
  <c r="Z1991" i="2"/>
  <c r="M4" i="12"/>
  <c r="V837" i="7"/>
  <c r="N4" i="12"/>
  <c r="V838" i="7"/>
  <c r="Z1993" i="2"/>
  <c r="O4" i="12"/>
  <c r="V875" i="7"/>
  <c r="P4" i="12"/>
  <c r="V876" i="7"/>
  <c r="Q4" i="12"/>
  <c r="V878" i="7"/>
  <c r="R4" i="12"/>
  <c r="V879" i="7"/>
  <c r="S4" i="12"/>
  <c r="V880" i="7"/>
  <c r="T4" i="12"/>
  <c r="V881" i="7"/>
  <c r="Z2026" i="2"/>
  <c r="U4" i="12"/>
  <c r="V882" i="7"/>
  <c r="V4" i="12"/>
  <c r="V884" i="7"/>
  <c r="W4" i="12"/>
  <c r="V885" i="7"/>
  <c r="X4" i="12"/>
  <c r="V886" i="7"/>
  <c r="Z2031" i="2"/>
  <c r="Y4" i="12"/>
  <c r="V894" i="7"/>
  <c r="Z4" i="12"/>
  <c r="V895" i="7"/>
  <c r="AA4" i="12"/>
  <c r="V896" i="7"/>
  <c r="AB4" i="12"/>
  <c r="V900" i="7"/>
  <c r="Z2037" i="2"/>
  <c r="AC4" i="12"/>
  <c r="V903" i="7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Z583" i="2"/>
  <c r="V885" i="4"/>
  <c r="Z2030" i="2"/>
  <c r="X885" i="7"/>
  <c r="Z2020" i="2"/>
  <c r="V874" i="7"/>
  <c r="Z1985" i="2"/>
  <c r="X827" i="7"/>
  <c r="Z573" i="2"/>
  <c r="V874" i="5"/>
  <c r="V875" i="4"/>
  <c r="Z538" i="2"/>
  <c r="V827" i="4"/>
  <c r="Z1304" i="2"/>
  <c r="X882" i="9"/>
  <c r="N812" i="4"/>
  <c r="Z2029" i="2"/>
  <c r="X884" i="7"/>
  <c r="Z1984" i="2"/>
  <c r="V823" i="7"/>
  <c r="X826" i="7"/>
  <c r="Z582" i="2"/>
  <c r="V884" i="4"/>
  <c r="Z546" i="2"/>
  <c r="V838" i="4"/>
  <c r="Z537" i="2"/>
  <c r="V823" i="5"/>
  <c r="V826" i="4"/>
  <c r="V823" i="4"/>
  <c r="Z1268" i="2"/>
  <c r="X836" i="9"/>
  <c r="N958" i="4"/>
  <c r="N856" i="4"/>
  <c r="N752" i="4"/>
  <c r="N748" i="4"/>
  <c r="Z2038" i="2"/>
  <c r="X903" i="7"/>
  <c r="Z2027" i="2"/>
  <c r="X882" i="7"/>
  <c r="Z1992" i="2"/>
  <c r="X837" i="7"/>
  <c r="Z591" i="2"/>
  <c r="X903" i="5"/>
  <c r="V903" i="4"/>
  <c r="Z580" i="2"/>
  <c r="X882" i="5"/>
  <c r="V882" i="4"/>
  <c r="Z545" i="2"/>
  <c r="V837" i="4"/>
  <c r="Z1313" i="2"/>
  <c r="X896" i="9"/>
  <c r="Z1302" i="2"/>
  <c r="X880" i="9"/>
  <c r="N891" i="4"/>
  <c r="N889" i="4"/>
  <c r="N798" i="4"/>
  <c r="N796" i="4"/>
  <c r="N792" i="4"/>
  <c r="P742" i="4"/>
  <c r="Z590" i="2"/>
  <c r="U900" i="4"/>
  <c r="V900" i="4"/>
  <c r="Z579" i="2"/>
  <c r="X881" i="5"/>
  <c r="V881" i="4"/>
  <c r="Z544" i="2"/>
  <c r="X836" i="5"/>
  <c r="V836" i="4"/>
  <c r="Z1312" i="2"/>
  <c r="X895" i="9"/>
  <c r="Z1301" i="2"/>
  <c r="X879" i="9"/>
  <c r="Z1266" i="2"/>
  <c r="X834" i="9"/>
  <c r="D56" i="16"/>
  <c r="Z2036" i="2"/>
  <c r="X896" i="7"/>
  <c r="Z2025" i="2"/>
  <c r="X880" i="7"/>
  <c r="Z1990" i="2"/>
  <c r="X835" i="7"/>
  <c r="Z589" i="2"/>
  <c r="U896" i="4"/>
  <c r="V896" i="4"/>
  <c r="Z578" i="2"/>
  <c r="V880" i="4"/>
  <c r="Z1311" i="2"/>
  <c r="V891" i="9"/>
  <c r="Z1300" i="2"/>
  <c r="X878" i="9"/>
  <c r="V877" i="9"/>
  <c r="Z1299" i="2"/>
  <c r="P964" i="4"/>
  <c r="Z2035" i="2"/>
  <c r="X895" i="7"/>
  <c r="Z2024" i="2"/>
  <c r="X879" i="7"/>
  <c r="Z588" i="2"/>
  <c r="X895" i="5"/>
  <c r="U895" i="4"/>
  <c r="V895" i="4"/>
  <c r="Z577" i="2"/>
  <c r="V879" i="4"/>
  <c r="Z542" i="2"/>
  <c r="V834" i="4"/>
  <c r="Z1264" i="2"/>
  <c r="V829" i="9"/>
  <c r="Z1263" i="2"/>
  <c r="X832" i="9"/>
  <c r="D97" i="16"/>
  <c r="P622" i="4"/>
  <c r="Z2034" i="2"/>
  <c r="V891" i="7"/>
  <c r="Z2023" i="2"/>
  <c r="V877" i="7"/>
  <c r="Z2022" i="2"/>
  <c r="X878" i="7"/>
  <c r="Z587" i="2"/>
  <c r="V891" i="5"/>
  <c r="X894" i="5"/>
  <c r="U894" i="4"/>
  <c r="V894" i="4"/>
  <c r="V891" i="4"/>
  <c r="V889" i="4"/>
  <c r="Z541" i="2"/>
  <c r="V833" i="4"/>
  <c r="Z1307" i="2"/>
  <c r="X885" i="9"/>
  <c r="Z1297" i="2"/>
  <c r="V874" i="9"/>
  <c r="X875" i="9"/>
  <c r="Z1262" i="2"/>
  <c r="X827" i="9"/>
  <c r="P817" i="4"/>
  <c r="Z2021" i="2"/>
  <c r="X876" i="7"/>
  <c r="Z1987" i="2"/>
  <c r="V829" i="7"/>
  <c r="Z1986" i="2"/>
  <c r="Z584" i="2"/>
  <c r="X886" i="5"/>
  <c r="V886" i="4"/>
  <c r="Z574" i="2"/>
  <c r="X876" i="5"/>
  <c r="V876" i="4"/>
  <c r="Z540" i="2"/>
  <c r="X832" i="5"/>
  <c r="V832" i="4"/>
  <c r="Z1270" i="2"/>
  <c r="X838" i="9"/>
  <c r="Z1261" i="2"/>
  <c r="V823" i="9"/>
  <c r="P753" i="4"/>
  <c r="R891" i="4"/>
  <c r="R889" i="4"/>
  <c r="N707" i="4"/>
  <c r="AD2127" i="2"/>
  <c r="AH1038" i="7"/>
  <c r="AG1038" i="7"/>
  <c r="O1038" i="7"/>
  <c r="AD1977" i="2"/>
  <c r="O813" i="7"/>
  <c r="N1047" i="4"/>
  <c r="N826" i="4"/>
  <c r="N823" i="4"/>
  <c r="R716" i="4"/>
  <c r="AK2117" i="2"/>
  <c r="X886" i="7"/>
  <c r="X834" i="7"/>
  <c r="R1966" i="2"/>
  <c r="W1958" i="2"/>
  <c r="F99" i="15"/>
  <c r="J99" i="15"/>
  <c r="N980" i="4"/>
  <c r="N979" i="4"/>
  <c r="N917" i="4"/>
  <c r="N913" i="4"/>
  <c r="O843" i="4"/>
  <c r="N242" i="4"/>
  <c r="AD2109" i="2"/>
  <c r="AH1005" i="7"/>
  <c r="AL2109" i="2"/>
  <c r="O1005" i="7"/>
  <c r="AG1005" i="7"/>
  <c r="X900" i="7"/>
  <c r="X833" i="7"/>
  <c r="AD1980" i="2"/>
  <c r="O816" i="7"/>
  <c r="O1058" i="4"/>
  <c r="N1034" i="4"/>
  <c r="N927" i="4"/>
  <c r="N923" i="4"/>
  <c r="O318" i="4"/>
  <c r="T2136" i="2"/>
  <c r="AK2136" i="2"/>
  <c r="AL2116" i="2"/>
  <c r="AD2108" i="2"/>
  <c r="O1004" i="7"/>
  <c r="AG1004" i="7"/>
  <c r="AH1004" i="7"/>
  <c r="X832" i="7"/>
  <c r="AD1969" i="2"/>
  <c r="O805" i="7"/>
  <c r="AA722" i="4"/>
  <c r="P413" i="4"/>
  <c r="AK2105" i="2"/>
  <c r="AD1979" i="2"/>
  <c r="O815" i="7"/>
  <c r="R1968" i="2"/>
  <c r="O1070" i="4"/>
  <c r="O751" i="4"/>
  <c r="R722" i="4"/>
  <c r="N427" i="4"/>
  <c r="AK2134" i="2"/>
  <c r="AD2129" i="2"/>
  <c r="O1040" i="7"/>
  <c r="AG1040" i="7"/>
  <c r="AH1040" i="7"/>
  <c r="AL2129" i="2"/>
  <c r="AL2114" i="2"/>
  <c r="T2114" i="2"/>
  <c r="V2099" i="2"/>
  <c r="R986" i="7"/>
  <c r="V2098" i="2"/>
  <c r="AL2077" i="2"/>
  <c r="X838" i="7"/>
  <c r="AD1965" i="2"/>
  <c r="O801" i="7"/>
  <c r="P566" i="4"/>
  <c r="O295" i="4"/>
  <c r="AK2128" i="2"/>
  <c r="AD1978" i="2"/>
  <c r="O814" i="7"/>
  <c r="N834" i="4"/>
  <c r="N739" i="4"/>
  <c r="N736" i="4"/>
  <c r="N569" i="4"/>
  <c r="T2110" i="2"/>
  <c r="AK2110" i="2"/>
  <c r="AD2104" i="2"/>
  <c r="AH995" i="7"/>
  <c r="AG995" i="7"/>
  <c r="Z994" i="7"/>
  <c r="O995" i="7"/>
  <c r="X836" i="7"/>
  <c r="AD1964" i="2"/>
  <c r="O800" i="7"/>
  <c r="N522" i="4"/>
  <c r="R484" i="4"/>
  <c r="N466" i="4"/>
  <c r="N461" i="4"/>
  <c r="N452" i="4"/>
  <c r="N438" i="4"/>
  <c r="N385" i="4"/>
  <c r="O330" i="4"/>
  <c r="R315" i="4"/>
  <c r="N298" i="4"/>
  <c r="O298" i="4"/>
  <c r="P298" i="4"/>
  <c r="O275" i="4"/>
  <c r="P275" i="4"/>
  <c r="R253" i="4"/>
  <c r="R224" i="4"/>
  <c r="N219" i="4"/>
  <c r="N195" i="4"/>
  <c r="O195" i="4"/>
  <c r="P195" i="4"/>
  <c r="O194" i="4"/>
  <c r="R173" i="4"/>
  <c r="N170" i="4"/>
  <c r="N167" i="4"/>
  <c r="N146" i="4"/>
  <c r="O146" i="4"/>
  <c r="P146" i="4"/>
  <c r="O139" i="4"/>
  <c r="N134" i="4"/>
  <c r="O134" i="4"/>
  <c r="P134" i="4"/>
  <c r="O127" i="4"/>
  <c r="N122" i="4"/>
  <c r="O122" i="4"/>
  <c r="P122" i="4"/>
  <c r="N99" i="4"/>
  <c r="R96" i="4"/>
  <c r="N90" i="4"/>
  <c r="O90" i="4"/>
  <c r="P90" i="4"/>
  <c r="O80" i="4"/>
  <c r="N75" i="4"/>
  <c r="O75" i="4"/>
  <c r="P75" i="4"/>
  <c r="O1096" i="7"/>
  <c r="N1093" i="7"/>
  <c r="Q2169" i="2"/>
  <c r="V1088" i="7"/>
  <c r="O1086" i="7"/>
  <c r="R1082" i="7"/>
  <c r="O1081" i="7"/>
  <c r="N1078" i="7"/>
  <c r="N1071" i="7"/>
  <c r="Q2151" i="2"/>
  <c r="R1067" i="7"/>
  <c r="V2149" i="2"/>
  <c r="N1064" i="7"/>
  <c r="Q2148" i="2"/>
  <c r="N1062" i="7"/>
  <c r="Q2146" i="2"/>
  <c r="N1060" i="7"/>
  <c r="V2139" i="2"/>
  <c r="Z1050" i="7"/>
  <c r="P1049" i="7"/>
  <c r="R1046" i="7"/>
  <c r="V2135" i="2"/>
  <c r="O1045" i="7"/>
  <c r="AJ1030" i="7"/>
  <c r="O1018" i="7"/>
  <c r="AD2118" i="2"/>
  <c r="O1014" i="7"/>
  <c r="S2115" i="2"/>
  <c r="AJ2115" i="2"/>
  <c r="Y999" i="7"/>
  <c r="AC2106" i="2"/>
  <c r="Q2077" i="2"/>
  <c r="N963" i="7"/>
  <c r="Q2076" i="2"/>
  <c r="AH2063" i="2"/>
  <c r="AD948" i="7"/>
  <c r="Z2063" i="2"/>
  <c r="V948" i="7"/>
  <c r="AI948" i="7"/>
  <c r="S948" i="7"/>
  <c r="W2041" i="2"/>
  <c r="V2030" i="2"/>
  <c r="N885" i="7"/>
  <c r="Q2030" i="2"/>
  <c r="N877" i="7"/>
  <c r="Q2022" i="2"/>
  <c r="U2005" i="2"/>
  <c r="Q852" i="7"/>
  <c r="U2003" i="2"/>
  <c r="Q1971" i="2"/>
  <c r="N806" i="7"/>
  <c r="Q1970" i="2"/>
  <c r="W1970" i="2"/>
  <c r="Y806" i="7"/>
  <c r="AC1970" i="2"/>
  <c r="V1968" i="2"/>
  <c r="N804" i="7"/>
  <c r="Q1968" i="2"/>
  <c r="AA1962" i="2"/>
  <c r="W796" i="7"/>
  <c r="AD1959" i="2"/>
  <c r="Z1951" i="2"/>
  <c r="O782" i="7"/>
  <c r="AC1902" i="2"/>
  <c r="O710" i="7"/>
  <c r="AJ710" i="7"/>
  <c r="AK710" i="7"/>
  <c r="AJ1891" i="2"/>
  <c r="AE685" i="7"/>
  <c r="AI1890" i="2"/>
  <c r="AL1890" i="2"/>
  <c r="S463" i="4"/>
  <c r="O460" i="4"/>
  <c r="S449" i="4"/>
  <c r="O446" i="4"/>
  <c r="S435" i="4"/>
  <c r="R382" i="4"/>
  <c r="R302" i="4"/>
  <c r="R216" i="4"/>
  <c r="R191" i="4"/>
  <c r="R189" i="4"/>
  <c r="O183" i="4"/>
  <c r="S167" i="4"/>
  <c r="O164" i="4"/>
  <c r="R150" i="4"/>
  <c r="O111" i="4"/>
  <c r="S61" i="4"/>
  <c r="O47" i="4"/>
  <c r="O31" i="4"/>
  <c r="U2135" i="2"/>
  <c r="Q1043" i="7"/>
  <c r="S2132" i="2"/>
  <c r="AJ2132" i="2"/>
  <c r="V2131" i="2"/>
  <c r="Z1042" i="7"/>
  <c r="AD2128" i="2"/>
  <c r="O1039" i="7"/>
  <c r="AA1030" i="7"/>
  <c r="AE2122" i="2"/>
  <c r="AD2116" i="2"/>
  <c r="O1012" i="7"/>
  <c r="Z1011" i="7"/>
  <c r="AD2115" i="2"/>
  <c r="AG1012" i="7"/>
  <c r="AD2114" i="2"/>
  <c r="AG1010" i="7"/>
  <c r="V2111" i="2"/>
  <c r="Z1007" i="7"/>
  <c r="N1007" i="7"/>
  <c r="Q2111" i="2"/>
  <c r="Q2108" i="2"/>
  <c r="AD2105" i="2"/>
  <c r="O996" i="7"/>
  <c r="Q2093" i="2"/>
  <c r="V2074" i="2"/>
  <c r="N961" i="7"/>
  <c r="Q2074" i="2"/>
  <c r="Z961" i="7"/>
  <c r="V2072" i="2"/>
  <c r="N959" i="7"/>
  <c r="Z959" i="7"/>
  <c r="V2070" i="2"/>
  <c r="Z957" i="7"/>
  <c r="N957" i="7"/>
  <c r="Q2070" i="2"/>
  <c r="V2068" i="2"/>
  <c r="Z954" i="7"/>
  <c r="N954" i="7"/>
  <c r="Q2068" i="2"/>
  <c r="V2066" i="2"/>
  <c r="N952" i="7"/>
  <c r="Q2066" i="2"/>
  <c r="Z952" i="7"/>
  <c r="V2064" i="2"/>
  <c r="N950" i="7"/>
  <c r="Z950" i="7"/>
  <c r="Q948" i="7"/>
  <c r="V2058" i="2"/>
  <c r="Z937" i="7"/>
  <c r="N937" i="7"/>
  <c r="Q2058" i="2"/>
  <c r="V2056" i="2"/>
  <c r="N935" i="7"/>
  <c r="Q2056" i="2"/>
  <c r="Z935" i="7"/>
  <c r="V2054" i="2"/>
  <c r="N933" i="7"/>
  <c r="Q2054" i="2"/>
  <c r="Z933" i="7"/>
  <c r="V2052" i="2"/>
  <c r="Z931" i="7"/>
  <c r="N931" i="7"/>
  <c r="Q2052" i="2"/>
  <c r="V2050" i="2"/>
  <c r="Z929" i="7"/>
  <c r="N929" i="7"/>
  <c r="Q2050" i="2"/>
  <c r="V2048" i="2"/>
  <c r="N927" i="7"/>
  <c r="Z927" i="7"/>
  <c r="AE2041" i="2"/>
  <c r="U2041" i="2"/>
  <c r="V2037" i="2"/>
  <c r="N900" i="7"/>
  <c r="Q2037" i="2"/>
  <c r="X2033" i="2"/>
  <c r="T889" i="7"/>
  <c r="X2032" i="2"/>
  <c r="AA2019" i="2"/>
  <c r="W871" i="7"/>
  <c r="AA2018" i="2"/>
  <c r="V2015" i="2"/>
  <c r="N866" i="7"/>
  <c r="Q2015" i="2"/>
  <c r="X866" i="7"/>
  <c r="AB2012" i="2"/>
  <c r="O863" i="7"/>
  <c r="V2006" i="2"/>
  <c r="R856" i="7"/>
  <c r="X857" i="7"/>
  <c r="N857" i="7"/>
  <c r="V1991" i="2"/>
  <c r="N836" i="7"/>
  <c r="Q1991" i="2"/>
  <c r="V1985" i="2"/>
  <c r="N827" i="7"/>
  <c r="Q1985" i="2"/>
  <c r="AA1983" i="2"/>
  <c r="R812" i="7"/>
  <c r="V1963" i="2"/>
  <c r="R798" i="7"/>
  <c r="Z799" i="7"/>
  <c r="N799" i="7"/>
  <c r="Q1961" i="2"/>
  <c r="O786" i="7"/>
  <c r="R1948" i="2"/>
  <c r="P779" i="7"/>
  <c r="Y1935" i="2"/>
  <c r="U758" i="7"/>
  <c r="Y1934" i="2"/>
  <c r="O761" i="7"/>
  <c r="V1921" i="2"/>
  <c r="V733" i="7"/>
  <c r="AC1910" i="2"/>
  <c r="O718" i="7"/>
  <c r="AJ718" i="7"/>
  <c r="AK718" i="7"/>
  <c r="AK1904" i="2"/>
  <c r="S1904" i="2"/>
  <c r="AF702" i="7"/>
  <c r="AJ1897" i="2"/>
  <c r="V1545" i="2"/>
  <c r="R463" i="4"/>
  <c r="N460" i="4"/>
  <c r="N457" i="4"/>
  <c r="N446" i="4"/>
  <c r="N443" i="4"/>
  <c r="T292" i="4"/>
  <c r="N183" i="4"/>
  <c r="N164" i="4"/>
  <c r="N161" i="4"/>
  <c r="N111" i="4"/>
  <c r="T69" i="4"/>
  <c r="P63" i="4"/>
  <c r="N47" i="4"/>
  <c r="N44" i="4"/>
  <c r="N31" i="4"/>
  <c r="N28" i="4"/>
  <c r="V1095" i="7"/>
  <c r="O1094" i="7"/>
  <c r="N1090" i="7"/>
  <c r="Q2166" i="2"/>
  <c r="V1085" i="7"/>
  <c r="O1084" i="7"/>
  <c r="V1080" i="7"/>
  <c r="O1079" i="7"/>
  <c r="P1063" i="7"/>
  <c r="Z1044" i="7"/>
  <c r="U1043" i="7"/>
  <c r="Y2132" i="2"/>
  <c r="AB2124" i="2"/>
  <c r="X1030" i="7"/>
  <c r="AB2122" i="2"/>
  <c r="V2116" i="2"/>
  <c r="R1011" i="7"/>
  <c r="V2115" i="2"/>
  <c r="AI999" i="7"/>
  <c r="AM2106" i="2"/>
  <c r="U999" i="7"/>
  <c r="Y2106" i="2"/>
  <c r="R994" i="7"/>
  <c r="AD2101" i="2"/>
  <c r="O992" i="7"/>
  <c r="AG992" i="7"/>
  <c r="T986" i="7"/>
  <c r="X2098" i="2"/>
  <c r="V2090" i="2"/>
  <c r="N977" i="7"/>
  <c r="Z977" i="7"/>
  <c r="V2088" i="2"/>
  <c r="N975" i="7"/>
  <c r="Q2088" i="2"/>
  <c r="Z975" i="7"/>
  <c r="V2086" i="2"/>
  <c r="Z973" i="7"/>
  <c r="N973" i="7"/>
  <c r="Q2086" i="2"/>
  <c r="V2084" i="2"/>
  <c r="Z971" i="7"/>
  <c r="N971" i="7"/>
  <c r="Q2084" i="2"/>
  <c r="V2082" i="2"/>
  <c r="N969" i="7"/>
  <c r="Q2082" i="2"/>
  <c r="Z969" i="7"/>
  <c r="V2080" i="2"/>
  <c r="N967" i="7"/>
  <c r="Q2080" i="2"/>
  <c r="Z967" i="7"/>
  <c r="V2078" i="2"/>
  <c r="Z965" i="7"/>
  <c r="R963" i="7"/>
  <c r="V2076" i="2"/>
  <c r="N965" i="7"/>
  <c r="Q2078" i="2"/>
  <c r="AF2063" i="2"/>
  <c r="AB948" i="7"/>
  <c r="X2063" i="2"/>
  <c r="T948" i="7"/>
  <c r="AE948" i="7"/>
  <c r="AM2041" i="2"/>
  <c r="AC2041" i="2"/>
  <c r="AB2004" i="2"/>
  <c r="O855" i="7"/>
  <c r="V852" i="7"/>
  <c r="Z2003" i="2"/>
  <c r="R2002" i="2"/>
  <c r="P850" i="7"/>
  <c r="R2000" i="2"/>
  <c r="P848" i="7"/>
  <c r="R1998" i="2"/>
  <c r="P846" i="7"/>
  <c r="R1996" i="2"/>
  <c r="P844" i="7"/>
  <c r="W840" i="7"/>
  <c r="AA1994" i="2"/>
  <c r="V1988" i="2"/>
  <c r="N833" i="7"/>
  <c r="Q1988" i="2"/>
  <c r="Y1983" i="2"/>
  <c r="U821" i="7"/>
  <c r="Y1982" i="2"/>
  <c r="V1980" i="2"/>
  <c r="N816" i="7"/>
  <c r="Q1980" i="2"/>
  <c r="V1978" i="2"/>
  <c r="N814" i="7"/>
  <c r="Q1978" i="2"/>
  <c r="X1962" i="2"/>
  <c r="T796" i="7"/>
  <c r="V1959" i="2"/>
  <c r="N795" i="7"/>
  <c r="P795" i="7"/>
  <c r="Z1941" i="2"/>
  <c r="O772" i="7"/>
  <c r="V1938" i="2"/>
  <c r="N769" i="7"/>
  <c r="V769" i="7"/>
  <c r="Y1930" i="2"/>
  <c r="U748" i="7"/>
  <c r="Y1928" i="2"/>
  <c r="AF1919" i="2"/>
  <c r="AB727" i="7"/>
  <c r="AF1917" i="2"/>
  <c r="AB1905" i="2"/>
  <c r="X712" i="7"/>
  <c r="Q1892" i="2"/>
  <c r="R569" i="4"/>
  <c r="O478" i="4"/>
  <c r="O431" i="4"/>
  <c r="P431" i="4"/>
  <c r="O403" i="4"/>
  <c r="P403" i="4"/>
  <c r="O228" i="4"/>
  <c r="P228" i="4"/>
  <c r="N207" i="4"/>
  <c r="O207" i="4"/>
  <c r="P207" i="4"/>
  <c r="O182" i="4"/>
  <c r="O177" i="4"/>
  <c r="R1059" i="7"/>
  <c r="AH1048" i="7"/>
  <c r="AL2137" i="2"/>
  <c r="AD2136" i="2"/>
  <c r="O1047" i="7"/>
  <c r="S2135" i="2"/>
  <c r="AJ2135" i="2"/>
  <c r="N1046" i="7"/>
  <c r="Q2135" i="2"/>
  <c r="R1043" i="7"/>
  <c r="N1042" i="7"/>
  <c r="Q2131" i="2"/>
  <c r="AD2126" i="2"/>
  <c r="Z1035" i="7"/>
  <c r="AG1037" i="7"/>
  <c r="S2124" i="2"/>
  <c r="AJ2124" i="2"/>
  <c r="AF1030" i="7"/>
  <c r="AD2121" i="2"/>
  <c r="O1026" i="7"/>
  <c r="AG1026" i="7"/>
  <c r="AD2112" i="2"/>
  <c r="AG1008" i="7"/>
  <c r="O1008" i="7"/>
  <c r="V2109" i="2"/>
  <c r="N1005" i="7"/>
  <c r="Q2109" i="2"/>
  <c r="V2096" i="2"/>
  <c r="N983" i="7"/>
  <c r="Q2096" i="2"/>
  <c r="Z983" i="7"/>
  <c r="V2094" i="2"/>
  <c r="Z981" i="7"/>
  <c r="R979" i="7"/>
  <c r="V2092" i="2"/>
  <c r="N981" i="7"/>
  <c r="Q2094" i="2"/>
  <c r="AJ948" i="7"/>
  <c r="AC948" i="7"/>
  <c r="V2060" i="2"/>
  <c r="Z942" i="7"/>
  <c r="T2055" i="2"/>
  <c r="AL2055" i="2"/>
  <c r="T2053" i="2"/>
  <c r="AL2053" i="2"/>
  <c r="AL2049" i="2"/>
  <c r="T2049" i="2"/>
  <c r="V2046" i="2"/>
  <c r="Z921" i="7"/>
  <c r="N921" i="7"/>
  <c r="Q2046" i="2"/>
  <c r="V2044" i="2"/>
  <c r="N919" i="7"/>
  <c r="Q2044" i="2"/>
  <c r="Z919" i="7"/>
  <c r="V2042" i="2"/>
  <c r="R913" i="7"/>
  <c r="N917" i="7"/>
  <c r="Z917" i="7"/>
  <c r="V2033" i="2"/>
  <c r="R889" i="7"/>
  <c r="V2032" i="2"/>
  <c r="V2029" i="2"/>
  <c r="N884" i="7"/>
  <c r="Q2029" i="2"/>
  <c r="V2017" i="2"/>
  <c r="N868" i="7"/>
  <c r="Q2017" i="2"/>
  <c r="X868" i="7"/>
  <c r="AB2014" i="2"/>
  <c r="O865" i="7"/>
  <c r="V2008" i="2"/>
  <c r="N859" i="7"/>
  <c r="Q2008" i="2"/>
  <c r="X859" i="7"/>
  <c r="V1993" i="2"/>
  <c r="N838" i="7"/>
  <c r="Q1993" i="2"/>
  <c r="Y812" i="7"/>
  <c r="AC1976" i="2"/>
  <c r="V1967" i="2"/>
  <c r="Z803" i="7"/>
  <c r="N803" i="7"/>
  <c r="Q1967" i="2"/>
  <c r="V1965" i="2"/>
  <c r="N801" i="7"/>
  <c r="Q1965" i="2"/>
  <c r="AG1962" i="2"/>
  <c r="AC796" i="7"/>
  <c r="R1959" i="2"/>
  <c r="Z1954" i="2"/>
  <c r="O785" i="7"/>
  <c r="V1950" i="2"/>
  <c r="N781" i="7"/>
  <c r="Q1950" i="2"/>
  <c r="V781" i="7"/>
  <c r="AE1901" i="2"/>
  <c r="AE709" i="7"/>
  <c r="AE1895" i="2"/>
  <c r="AE693" i="7"/>
  <c r="V1886" i="2"/>
  <c r="N677" i="7"/>
  <c r="Q1886" i="2"/>
  <c r="Y677" i="7"/>
  <c r="R1529" i="2"/>
  <c r="R1515" i="2"/>
  <c r="P133" i="7"/>
  <c r="O368" i="4"/>
  <c r="P368" i="4"/>
  <c r="O364" i="4"/>
  <c r="P364" i="4"/>
  <c r="O360" i="4"/>
  <c r="O336" i="4"/>
  <c r="P336" i="4"/>
  <c r="O332" i="4"/>
  <c r="P332" i="4"/>
  <c r="O310" i="4"/>
  <c r="P310" i="4"/>
  <c r="O285" i="4"/>
  <c r="P285" i="4"/>
  <c r="O281" i="4"/>
  <c r="P281" i="4"/>
  <c r="O277" i="4"/>
  <c r="P277" i="4"/>
  <c r="O248" i="4"/>
  <c r="P248" i="4"/>
  <c r="U201" i="4"/>
  <c r="T189" i="4"/>
  <c r="O154" i="4"/>
  <c r="P154" i="4"/>
  <c r="O138" i="4"/>
  <c r="O132" i="4"/>
  <c r="O126" i="4"/>
  <c r="O120" i="4"/>
  <c r="P110" i="4"/>
  <c r="N98" i="4"/>
  <c r="O88" i="4"/>
  <c r="O82" i="4"/>
  <c r="P82" i="4"/>
  <c r="P55" i="4"/>
  <c r="P50" i="4"/>
  <c r="P46" i="4"/>
  <c r="P40" i="4"/>
  <c r="P35" i="4"/>
  <c r="P30" i="4"/>
  <c r="P24" i="4"/>
  <c r="V1093" i="7"/>
  <c r="O1091" i="7"/>
  <c r="N1088" i="7"/>
  <c r="Q2164" i="2"/>
  <c r="V1078" i="7"/>
  <c r="T1075" i="7"/>
  <c r="X2153" i="2"/>
  <c r="N1072" i="7"/>
  <c r="Q2152" i="2"/>
  <c r="N1063" i="7"/>
  <c r="Q2147" i="2"/>
  <c r="N1061" i="7"/>
  <c r="Q2145" i="2"/>
  <c r="O1058" i="7"/>
  <c r="U1055" i="7"/>
  <c r="Y2141" i="2"/>
  <c r="AH1049" i="7"/>
  <c r="AL2138" i="2"/>
  <c r="AG1048" i="7"/>
  <c r="AC1043" i="7"/>
  <c r="N1039" i="7"/>
  <c r="Q2128" i="2"/>
  <c r="P1037" i="7"/>
  <c r="AI1030" i="7"/>
  <c r="AM2122" i="2"/>
  <c r="W1030" i="7"/>
  <c r="AA2122" i="2"/>
  <c r="N1012" i="7"/>
  <c r="O1010" i="7"/>
  <c r="AB2107" i="2"/>
  <c r="X999" i="7"/>
  <c r="AB2106" i="2"/>
  <c r="AE999" i="7"/>
  <c r="AI2106" i="2"/>
  <c r="S999" i="7"/>
  <c r="W2106" i="2"/>
  <c r="S2103" i="2"/>
  <c r="AJ2103" i="2"/>
  <c r="S2099" i="2"/>
  <c r="AJ2099" i="2"/>
  <c r="AF986" i="7"/>
  <c r="AD2075" i="2"/>
  <c r="O962" i="7"/>
  <c r="AG962" i="7"/>
  <c r="AD2073" i="2"/>
  <c r="O960" i="7"/>
  <c r="AG960" i="7"/>
  <c r="R958" i="7"/>
  <c r="AD2069" i="2"/>
  <c r="AG956" i="7"/>
  <c r="O956" i="7"/>
  <c r="AD2067" i="2"/>
  <c r="O953" i="7"/>
  <c r="AG953" i="7"/>
  <c r="AD2065" i="2"/>
  <c r="O951" i="7"/>
  <c r="AG951" i="7"/>
  <c r="R949" i="7"/>
  <c r="AA948" i="7"/>
  <c r="Y944" i="7"/>
  <c r="AC2061" i="2"/>
  <c r="AD2059" i="2"/>
  <c r="AG938" i="7"/>
  <c r="O938" i="7"/>
  <c r="AD2057" i="2"/>
  <c r="O936" i="7"/>
  <c r="AG936" i="7"/>
  <c r="AD2055" i="2"/>
  <c r="O934" i="7"/>
  <c r="AG934" i="7"/>
  <c r="AD2053" i="2"/>
  <c r="AG932" i="7"/>
  <c r="O932" i="7"/>
  <c r="AD2051" i="2"/>
  <c r="AG930" i="7"/>
  <c r="O930" i="7"/>
  <c r="AD2049" i="2"/>
  <c r="O928" i="7"/>
  <c r="AG928" i="7"/>
  <c r="AA2041" i="2"/>
  <c r="AD2040" i="2"/>
  <c r="N719" i="8"/>
  <c r="AE719" i="8"/>
  <c r="O910" i="7"/>
  <c r="AG910" i="7"/>
  <c r="V2019" i="2"/>
  <c r="X874" i="7"/>
  <c r="T852" i="7"/>
  <c r="AB2001" i="2"/>
  <c r="O849" i="7"/>
  <c r="AB1999" i="2"/>
  <c r="O847" i="7"/>
  <c r="AB1997" i="2"/>
  <c r="O845" i="7"/>
  <c r="AB1995" i="2"/>
  <c r="O843" i="7"/>
  <c r="X840" i="7"/>
  <c r="AB1994" i="2"/>
  <c r="V1990" i="2"/>
  <c r="N835" i="7"/>
  <c r="Q1990" i="2"/>
  <c r="V1984" i="2"/>
  <c r="N826" i="7"/>
  <c r="R823" i="7"/>
  <c r="W1983" i="2"/>
  <c r="Q1944" i="2"/>
  <c r="P775" i="7"/>
  <c r="AE1909" i="2"/>
  <c r="AA716" i="7"/>
  <c r="AE717" i="7"/>
  <c r="X1908" i="2"/>
  <c r="T712" i="7"/>
  <c r="O477" i="4"/>
  <c r="O472" i="4"/>
  <c r="O430" i="4"/>
  <c r="N421" i="4"/>
  <c r="O421" i="4"/>
  <c r="P421" i="4"/>
  <c r="O420" i="4"/>
  <c r="O402" i="4"/>
  <c r="N377" i="4"/>
  <c r="N360" i="4"/>
  <c r="N357" i="4"/>
  <c r="N345" i="4"/>
  <c r="O319" i="4"/>
  <c r="P319" i="4"/>
  <c r="N237" i="4"/>
  <c r="O227" i="4"/>
  <c r="N205" i="4"/>
  <c r="O205" i="4"/>
  <c r="P205" i="4"/>
  <c r="O176" i="4"/>
  <c r="O171" i="4"/>
  <c r="P171" i="4"/>
  <c r="O1070" i="7"/>
  <c r="U1067" i="7"/>
  <c r="Y2149" i="2"/>
  <c r="T2138" i="2"/>
  <c r="AK2138" i="2"/>
  <c r="AD2134" i="2"/>
  <c r="AH1045" i="7"/>
  <c r="AL2134" i="2"/>
  <c r="T2130" i="2"/>
  <c r="AK2130" i="2"/>
  <c r="V2129" i="2"/>
  <c r="N1040" i="7"/>
  <c r="Q2129" i="2"/>
  <c r="V2123" i="2"/>
  <c r="Z1034" i="7"/>
  <c r="U1030" i="7"/>
  <c r="Y2122" i="2"/>
  <c r="AD2120" i="2"/>
  <c r="AG1022" i="7"/>
  <c r="O1022" i="7"/>
  <c r="AD2117" i="2"/>
  <c r="AH1013" i="7"/>
  <c r="AL2117" i="2"/>
  <c r="AD2110" i="2"/>
  <c r="O1006" i="7"/>
  <c r="S2107" i="2"/>
  <c r="AJ2107" i="2"/>
  <c r="AF999" i="7"/>
  <c r="AC999" i="7"/>
  <c r="AG2106" i="2"/>
  <c r="Q999" i="7"/>
  <c r="U2106" i="2"/>
  <c r="AL2093" i="2"/>
  <c r="AD2091" i="2"/>
  <c r="O978" i="7"/>
  <c r="AG978" i="7"/>
  <c r="AD2087" i="2"/>
  <c r="AG974" i="7"/>
  <c r="O974" i="7"/>
  <c r="AD2085" i="2"/>
  <c r="AG972" i="7"/>
  <c r="O972" i="7"/>
  <c r="AD2083" i="2"/>
  <c r="O970" i="7"/>
  <c r="AG970" i="7"/>
  <c r="AD2081" i="2"/>
  <c r="O968" i="7"/>
  <c r="AG968" i="7"/>
  <c r="AD2079" i="2"/>
  <c r="AG966" i="7"/>
  <c r="O966" i="7"/>
  <c r="AD2077" i="2"/>
  <c r="Z963" i="7"/>
  <c r="AD2076" i="2"/>
  <c r="AG964" i="7"/>
  <c r="O964" i="7"/>
  <c r="AI2041" i="2"/>
  <c r="V2031" i="2"/>
  <c r="N886" i="7"/>
  <c r="Q2031" i="2"/>
  <c r="V2022" i="2"/>
  <c r="X877" i="7"/>
  <c r="AB2022" i="2"/>
  <c r="AB2016" i="2"/>
  <c r="O867" i="7"/>
  <c r="AA2011" i="2"/>
  <c r="W852" i="7"/>
  <c r="AA2003" i="2"/>
  <c r="V2010" i="2"/>
  <c r="N861" i="7"/>
  <c r="Q2010" i="2"/>
  <c r="X861" i="7"/>
  <c r="AB2007" i="2"/>
  <c r="O858" i="7"/>
  <c r="V1987" i="2"/>
  <c r="R829" i="7"/>
  <c r="V1986" i="2"/>
  <c r="N832" i="7"/>
  <c r="U1983" i="2"/>
  <c r="Q821" i="7"/>
  <c r="U1982" i="2"/>
  <c r="AC1975" i="2"/>
  <c r="Z811" i="7"/>
  <c r="AC1973" i="2"/>
  <c r="Z809" i="7"/>
  <c r="V1969" i="2"/>
  <c r="N805" i="7"/>
  <c r="Q1969" i="2"/>
  <c r="AD1966" i="2"/>
  <c r="E550" i="8"/>
  <c r="Z1960" i="2"/>
  <c r="V792" i="7"/>
  <c r="Z1958" i="2"/>
  <c r="Z1924" i="2"/>
  <c r="O740" i="7"/>
  <c r="AC1920" i="2"/>
  <c r="AC732" i="7"/>
  <c r="AJ1905" i="2"/>
  <c r="AF712" i="7"/>
  <c r="V1903" i="2"/>
  <c r="N711" i="7"/>
  <c r="Q1903" i="2"/>
  <c r="Y711" i="7"/>
  <c r="AI1900" i="2"/>
  <c r="AK708" i="7"/>
  <c r="AI1894" i="2"/>
  <c r="AK692" i="7"/>
  <c r="AB1891" i="2"/>
  <c r="X685" i="7"/>
  <c r="AB1890" i="2"/>
  <c r="O367" i="4"/>
  <c r="P367" i="4"/>
  <c r="O363" i="4"/>
  <c r="P363" i="4"/>
  <c r="O335" i="4"/>
  <c r="O331" i="4"/>
  <c r="P331" i="4"/>
  <c r="O309" i="4"/>
  <c r="P309" i="4"/>
  <c r="O305" i="4"/>
  <c r="P305" i="4"/>
  <c r="O284" i="4"/>
  <c r="P284" i="4"/>
  <c r="O280" i="4"/>
  <c r="P280" i="4"/>
  <c r="O276" i="4"/>
  <c r="P276" i="4"/>
  <c r="O247" i="4"/>
  <c r="P247" i="4"/>
  <c r="N176" i="4"/>
  <c r="O153" i="4"/>
  <c r="O140" i="4"/>
  <c r="P140" i="4"/>
  <c r="O128" i="4"/>
  <c r="P128" i="4"/>
  <c r="O81" i="4"/>
  <c r="P81" i="4"/>
  <c r="N1095" i="7"/>
  <c r="Q2171" i="2"/>
  <c r="V1090" i="7"/>
  <c r="O1089" i="7"/>
  <c r="N1085" i="7"/>
  <c r="Q2161" i="2"/>
  <c r="N1080" i="7"/>
  <c r="Q2156" i="2"/>
  <c r="P1071" i="7"/>
  <c r="N1070" i="7"/>
  <c r="P1064" i="7"/>
  <c r="P1062" i="7"/>
  <c r="P1060" i="7"/>
  <c r="O1059" i="7"/>
  <c r="V2134" i="2"/>
  <c r="N1045" i="7"/>
  <c r="Q2134" i="2"/>
  <c r="N1044" i="7"/>
  <c r="Y1043" i="7"/>
  <c r="AC2132" i="2"/>
  <c r="AD2130" i="2"/>
  <c r="O1041" i="7"/>
  <c r="AH1014" i="7"/>
  <c r="V2117" i="2"/>
  <c r="N1013" i="7"/>
  <c r="Q2117" i="2"/>
  <c r="AB986" i="7"/>
  <c r="AF2098" i="2"/>
  <c r="AD2097" i="2"/>
  <c r="O984" i="7"/>
  <c r="AG984" i="7"/>
  <c r="AD2095" i="2"/>
  <c r="AG982" i="7"/>
  <c r="O982" i="7"/>
  <c r="AD2093" i="2"/>
  <c r="Z979" i="7"/>
  <c r="AD2092" i="2"/>
  <c r="AG980" i="7"/>
  <c r="O980" i="7"/>
  <c r="S2071" i="2"/>
  <c r="AJ2071" i="2"/>
  <c r="AJ2063" i="2"/>
  <c r="S2063" i="2"/>
  <c r="AF948" i="7"/>
  <c r="AB2063" i="2"/>
  <c r="X948" i="7"/>
  <c r="W948" i="7"/>
  <c r="N942" i="7"/>
  <c r="Q2060" i="2"/>
  <c r="R923" i="7"/>
  <c r="V2047" i="2"/>
  <c r="AD2045" i="2"/>
  <c r="O920" i="7"/>
  <c r="AG920" i="7"/>
  <c r="AD2043" i="2"/>
  <c r="O918" i="7"/>
  <c r="AG918" i="7"/>
  <c r="Y2041" i="2"/>
  <c r="N891" i="7"/>
  <c r="T871" i="7"/>
  <c r="X2018" i="2"/>
  <c r="V1992" i="2"/>
  <c r="N837" i="7"/>
  <c r="Q1992" i="2"/>
  <c r="V1981" i="2"/>
  <c r="N817" i="7"/>
  <c r="Q1981" i="2"/>
  <c r="V1979" i="2"/>
  <c r="N815" i="7"/>
  <c r="Q1979" i="2"/>
  <c r="V1977" i="2"/>
  <c r="N813" i="7"/>
  <c r="AD1968" i="2"/>
  <c r="E636" i="8"/>
  <c r="V1964" i="2"/>
  <c r="N800" i="7"/>
  <c r="Q1964" i="2"/>
  <c r="Y798" i="7"/>
  <c r="AC1962" i="2"/>
  <c r="W1960" i="2"/>
  <c r="Y796" i="7"/>
  <c r="R1953" i="2"/>
  <c r="P784" i="7"/>
  <c r="W1937" i="2"/>
  <c r="T766" i="7"/>
  <c r="X1937" i="2"/>
  <c r="V1932" i="2"/>
  <c r="N754" i="7"/>
  <c r="Q1932" i="2"/>
  <c r="X1929" i="2"/>
  <c r="O751" i="7"/>
  <c r="T748" i="7"/>
  <c r="X1928" i="2"/>
  <c r="Z1918" i="2"/>
  <c r="AC730" i="7"/>
  <c r="N730" i="7"/>
  <c r="V727" i="7"/>
  <c r="Z1917" i="2"/>
  <c r="V1911" i="2"/>
  <c r="N719" i="7"/>
  <c r="Q1911" i="2"/>
  <c r="Y719" i="7"/>
  <c r="AG1908" i="2"/>
  <c r="AC712" i="7"/>
  <c r="O1048" i="7"/>
  <c r="AF2135" i="2"/>
  <c r="AB1043" i="7"/>
  <c r="AF2132" i="2"/>
  <c r="X2135" i="2"/>
  <c r="T1043" i="7"/>
  <c r="X2132" i="2"/>
  <c r="AH1039" i="7"/>
  <c r="T2128" i="2"/>
  <c r="V2127" i="2"/>
  <c r="N1038" i="7"/>
  <c r="R1035" i="7"/>
  <c r="N1034" i="7"/>
  <c r="R1030" i="7"/>
  <c r="V2122" i="2"/>
  <c r="S2118" i="2"/>
  <c r="AK2118" i="2"/>
  <c r="O1013" i="7"/>
  <c r="V2113" i="2"/>
  <c r="Z1009" i="7"/>
  <c r="V2108" i="2"/>
  <c r="R1003" i="7"/>
  <c r="AA999" i="7"/>
  <c r="AE2106" i="2"/>
  <c r="AH996" i="7"/>
  <c r="V2104" i="2"/>
  <c r="N995" i="7"/>
  <c r="V2102" i="2"/>
  <c r="N993" i="7"/>
  <c r="Q2102" i="2"/>
  <c r="Z993" i="7"/>
  <c r="V2100" i="2"/>
  <c r="N991" i="7"/>
  <c r="Z991" i="7"/>
  <c r="S2089" i="2"/>
  <c r="AJ2089" i="2"/>
  <c r="AG2041" i="2"/>
  <c r="R871" i="7"/>
  <c r="V2018" i="2"/>
  <c r="V2013" i="2"/>
  <c r="X864" i="7"/>
  <c r="N864" i="7"/>
  <c r="Q2013" i="2"/>
  <c r="AB2009" i="2"/>
  <c r="O860" i="7"/>
  <c r="W2005" i="2"/>
  <c r="S852" i="7"/>
  <c r="W2003" i="2"/>
  <c r="Q1995" i="2"/>
  <c r="N840" i="7"/>
  <c r="Q1994" i="2"/>
  <c r="V1989" i="2"/>
  <c r="N834" i="7"/>
  <c r="Q1989" i="2"/>
  <c r="R1981" i="2"/>
  <c r="V1956" i="2"/>
  <c r="N787" i="7"/>
  <c r="Q1956" i="2"/>
  <c r="V787" i="7"/>
  <c r="AK1914" i="2"/>
  <c r="S1914" i="2"/>
  <c r="Q1906" i="2"/>
  <c r="Q1518" i="2"/>
  <c r="AK1908" i="2"/>
  <c r="S1908" i="2"/>
  <c r="AK676" i="7"/>
  <c r="AE667" i="7"/>
  <c r="AI1876" i="2"/>
  <c r="AK1873" i="2"/>
  <c r="S1873" i="2"/>
  <c r="R661" i="7"/>
  <c r="AK645" i="7"/>
  <c r="AA641" i="7"/>
  <c r="R641" i="7"/>
  <c r="AK637" i="7"/>
  <c r="AK629" i="7"/>
  <c r="AK620" i="7"/>
  <c r="AK1836" i="2"/>
  <c r="S1836" i="2"/>
  <c r="AK610" i="7"/>
  <c r="AL1829" i="2"/>
  <c r="T1829" i="2"/>
  <c r="R607" i="7"/>
  <c r="AK603" i="7"/>
  <c r="AK596" i="7"/>
  <c r="X592" i="7"/>
  <c r="AB1817" i="2"/>
  <c r="P566" i="7"/>
  <c r="N509" i="7"/>
  <c r="Q1748" i="2"/>
  <c r="V504" i="7"/>
  <c r="Z1745" i="2"/>
  <c r="N499" i="7"/>
  <c r="Q1743" i="2"/>
  <c r="V495" i="7"/>
  <c r="X425" i="7"/>
  <c r="AB1704" i="2"/>
  <c r="S380" i="7"/>
  <c r="W1673" i="2"/>
  <c r="X372" i="7"/>
  <c r="AB1670" i="2"/>
  <c r="O333" i="7"/>
  <c r="N331" i="7"/>
  <c r="Q1640" i="2"/>
  <c r="V1635" i="2"/>
  <c r="N323" i="7"/>
  <c r="R315" i="7"/>
  <c r="V1629" i="2"/>
  <c r="O296" i="7"/>
  <c r="X290" i="7"/>
  <c r="AB1613" i="2"/>
  <c r="O286" i="7"/>
  <c r="N280" i="7"/>
  <c r="Q1605" i="2"/>
  <c r="V1589" i="2"/>
  <c r="N261" i="7"/>
  <c r="O258" i="7"/>
  <c r="Q1576" i="2"/>
  <c r="O240" i="7"/>
  <c r="O221" i="7"/>
  <c r="AE1545" i="2"/>
  <c r="AA189" i="7"/>
  <c r="AE1544" i="2"/>
  <c r="AF1514" i="2"/>
  <c r="AB94" i="7"/>
  <c r="AF1491" i="2"/>
  <c r="W1514" i="2"/>
  <c r="S94" i="7"/>
  <c r="W1491" i="2"/>
  <c r="Q1502" i="2"/>
  <c r="W1468" i="2"/>
  <c r="S51" i="7"/>
  <c r="W1467" i="2"/>
  <c r="Z714" i="2"/>
  <c r="O1084" i="5"/>
  <c r="R705" i="2"/>
  <c r="E37" i="14"/>
  <c r="AD691" i="2"/>
  <c r="O1048" i="5"/>
  <c r="AG1048" i="5"/>
  <c r="AH1048" i="5"/>
  <c r="S457" i="2"/>
  <c r="AK457" i="2"/>
  <c r="AG702" i="5"/>
  <c r="AK450" i="2"/>
  <c r="S421" i="2"/>
  <c r="AK421" i="2"/>
  <c r="AC383" i="2"/>
  <c r="AJ609" i="5"/>
  <c r="AK609" i="5"/>
  <c r="O609" i="5"/>
  <c r="AD1030" i="7"/>
  <c r="AH2122" i="2"/>
  <c r="V1030" i="7"/>
  <c r="Z2122" i="2"/>
  <c r="AC986" i="7"/>
  <c r="AG2098" i="2"/>
  <c r="U986" i="7"/>
  <c r="Y2098" i="2"/>
  <c r="AJ2047" i="2"/>
  <c r="S2047" i="2"/>
  <c r="N802" i="7"/>
  <c r="Q1966" i="2"/>
  <c r="O777" i="7"/>
  <c r="V771" i="7"/>
  <c r="O770" i="7"/>
  <c r="N761" i="7"/>
  <c r="T758" i="7"/>
  <c r="X1934" i="2"/>
  <c r="O752" i="7"/>
  <c r="V739" i="7"/>
  <c r="V731" i="7"/>
  <c r="Y727" i="7"/>
  <c r="AC1917" i="2"/>
  <c r="Y723" i="7"/>
  <c r="R722" i="7"/>
  <c r="V1914" i="2"/>
  <c r="Y721" i="7"/>
  <c r="AE719" i="7"/>
  <c r="N717" i="7"/>
  <c r="AA713" i="7"/>
  <c r="R713" i="7"/>
  <c r="AB712" i="7"/>
  <c r="AF1904" i="2"/>
  <c r="S712" i="7"/>
  <c r="AE711" i="7"/>
  <c r="AI1903" i="2"/>
  <c r="N709" i="7"/>
  <c r="Q1901" i="2"/>
  <c r="O708" i="7"/>
  <c r="N693" i="7"/>
  <c r="Q1895" i="2"/>
  <c r="O692" i="7"/>
  <c r="AA689" i="7"/>
  <c r="R689" i="7"/>
  <c r="AC685" i="7"/>
  <c r="AG1890" i="2"/>
  <c r="Y679" i="7"/>
  <c r="AE677" i="7"/>
  <c r="AI1886" i="2"/>
  <c r="AJ676" i="7"/>
  <c r="N675" i="7"/>
  <c r="Q1884" i="2"/>
  <c r="O674" i="7"/>
  <c r="Y671" i="7"/>
  <c r="AE669" i="7"/>
  <c r="N666" i="7"/>
  <c r="Q1875" i="2"/>
  <c r="N665" i="7"/>
  <c r="AL1870" i="2"/>
  <c r="T1870" i="2"/>
  <c r="AI660" i="7"/>
  <c r="AC656" i="7"/>
  <c r="AG1868" i="2"/>
  <c r="N653" i="7"/>
  <c r="Q1867" i="2"/>
  <c r="Y648" i="7"/>
  <c r="AE646" i="7"/>
  <c r="AI1863" i="2"/>
  <c r="AJ645" i="7"/>
  <c r="N644" i="7"/>
  <c r="Q1861" i="2"/>
  <c r="O643" i="7"/>
  <c r="AL1858" i="2"/>
  <c r="T1858" i="2"/>
  <c r="Y640" i="7"/>
  <c r="AE638" i="7"/>
  <c r="AI1855" i="2"/>
  <c r="AJ637" i="7"/>
  <c r="N636" i="7"/>
  <c r="Q1853" i="2"/>
  <c r="O635" i="7"/>
  <c r="Y632" i="7"/>
  <c r="AJ629" i="7"/>
  <c r="N627" i="7"/>
  <c r="Q1845" i="2"/>
  <c r="O626" i="7"/>
  <c r="Y623" i="7"/>
  <c r="AJ620" i="7"/>
  <c r="N619" i="7"/>
  <c r="AF618" i="7"/>
  <c r="X618" i="7"/>
  <c r="AH614" i="7"/>
  <c r="AE611" i="7"/>
  <c r="AJ610" i="7"/>
  <c r="N609" i="7"/>
  <c r="Q1831" i="2"/>
  <c r="O608" i="7"/>
  <c r="AK1829" i="2"/>
  <c r="S1829" i="2"/>
  <c r="Y606" i="7"/>
  <c r="AE604" i="7"/>
  <c r="AJ603" i="7"/>
  <c r="N602" i="7"/>
  <c r="Q1824" i="2"/>
  <c r="O601" i="7"/>
  <c r="AA598" i="7"/>
  <c r="AE1820" i="2"/>
  <c r="AE597" i="7"/>
  <c r="AD592" i="7"/>
  <c r="AH1817" i="2"/>
  <c r="AJ596" i="7"/>
  <c r="AE592" i="7"/>
  <c r="AI1817" i="2"/>
  <c r="W592" i="7"/>
  <c r="AA1817" i="2"/>
  <c r="Z583" i="7"/>
  <c r="O582" i="7"/>
  <c r="N579" i="7"/>
  <c r="Q1808" i="2"/>
  <c r="Z575" i="7"/>
  <c r="O574" i="7"/>
  <c r="N563" i="7"/>
  <c r="Q1796" i="2"/>
  <c r="Z559" i="7"/>
  <c r="O558" i="7"/>
  <c r="N555" i="7"/>
  <c r="Q1788" i="2"/>
  <c r="Z551" i="7"/>
  <c r="O550" i="7"/>
  <c r="N547" i="7"/>
  <c r="Q1780" i="2"/>
  <c r="Z543" i="7"/>
  <c r="O542" i="7"/>
  <c r="N539" i="7"/>
  <c r="Q1772" i="2"/>
  <c r="Z535" i="7"/>
  <c r="O534" i="7"/>
  <c r="N531" i="7"/>
  <c r="Q1764" i="2"/>
  <c r="Z527" i="7"/>
  <c r="O526" i="7"/>
  <c r="N523" i="7"/>
  <c r="Q1756" i="2"/>
  <c r="AC508" i="7"/>
  <c r="U493" i="7"/>
  <c r="Y1740" i="2"/>
  <c r="N491" i="7"/>
  <c r="Q1739" i="2"/>
  <c r="O490" i="7"/>
  <c r="Z484" i="7"/>
  <c r="AD1735" i="2"/>
  <c r="R484" i="7"/>
  <c r="V1735" i="2"/>
  <c r="N460" i="7"/>
  <c r="R449" i="7"/>
  <c r="V1718" i="2"/>
  <c r="N447" i="7"/>
  <c r="Q1717" i="2"/>
  <c r="N432" i="7"/>
  <c r="Q1708" i="2"/>
  <c r="N430" i="7"/>
  <c r="S425" i="7"/>
  <c r="W1704" i="2"/>
  <c r="N395" i="7"/>
  <c r="N393" i="7"/>
  <c r="N391" i="7"/>
  <c r="N389" i="7"/>
  <c r="N387" i="7"/>
  <c r="N385" i="7"/>
  <c r="O377" i="7"/>
  <c r="S372" i="7"/>
  <c r="W1670" i="2"/>
  <c r="P369" i="7"/>
  <c r="R357" i="7"/>
  <c r="V1659" i="2"/>
  <c r="N354" i="7"/>
  <c r="N352" i="7"/>
  <c r="N350" i="7"/>
  <c r="N348" i="7"/>
  <c r="N346" i="7"/>
  <c r="AB1648" i="2"/>
  <c r="X340" i="7"/>
  <c r="AB1647" i="2"/>
  <c r="R1644" i="2"/>
  <c r="P335" i="7"/>
  <c r="N333" i="7"/>
  <c r="Q1642" i="2"/>
  <c r="V1639" i="2"/>
  <c r="R327" i="7"/>
  <c r="V1638" i="2"/>
  <c r="O306" i="7"/>
  <c r="V1604" i="2"/>
  <c r="N279" i="7"/>
  <c r="Q1604" i="2"/>
  <c r="O279" i="7"/>
  <c r="O276" i="7"/>
  <c r="V1595" i="2"/>
  <c r="N267" i="7"/>
  <c r="R1592" i="2"/>
  <c r="P264" i="7"/>
  <c r="P248" i="7"/>
  <c r="V1578" i="2"/>
  <c r="N245" i="7"/>
  <c r="O245" i="7"/>
  <c r="V1575" i="2"/>
  <c r="N239" i="7"/>
  <c r="V1569" i="2"/>
  <c r="O229" i="7"/>
  <c r="N229" i="7"/>
  <c r="Q1569" i="2"/>
  <c r="AB1560" i="2"/>
  <c r="R1558" i="2"/>
  <c r="P209" i="7"/>
  <c r="U1537" i="2"/>
  <c r="Q159" i="7"/>
  <c r="U1530" i="2"/>
  <c r="Q1515" i="2"/>
  <c r="Q1498" i="2"/>
  <c r="O104" i="7"/>
  <c r="Q1494" i="2"/>
  <c r="O100" i="7"/>
  <c r="V1485" i="2"/>
  <c r="N81" i="7"/>
  <c r="Q1485" i="2"/>
  <c r="R77" i="7"/>
  <c r="V1483" i="2"/>
  <c r="V1481" i="2"/>
  <c r="N74" i="7"/>
  <c r="Q1469" i="2"/>
  <c r="O56" i="7"/>
  <c r="R698" i="2"/>
  <c r="O1059" i="5"/>
  <c r="P1060" i="5"/>
  <c r="R684" i="2"/>
  <c r="P1041" i="5"/>
  <c r="AL450" i="2"/>
  <c r="T443" i="2"/>
  <c r="AL443" i="2"/>
  <c r="Q412" i="2"/>
  <c r="X727" i="7"/>
  <c r="AB1917" i="2"/>
  <c r="AL1905" i="2"/>
  <c r="T1905" i="2"/>
  <c r="AI712" i="7"/>
  <c r="AL1891" i="2"/>
  <c r="T1891" i="2"/>
  <c r="AK674" i="7"/>
  <c r="AK1870" i="2"/>
  <c r="S1870" i="2"/>
  <c r="AL1869" i="2"/>
  <c r="AC1864" i="2"/>
  <c r="E436" i="8"/>
  <c r="AE436" i="8"/>
  <c r="AK643" i="7"/>
  <c r="AK1858" i="2"/>
  <c r="S1858" i="2"/>
  <c r="AK635" i="7"/>
  <c r="AK626" i="7"/>
  <c r="AK608" i="7"/>
  <c r="AK601" i="7"/>
  <c r="AL1820" i="2"/>
  <c r="T1820" i="2"/>
  <c r="V592" i="7"/>
  <c r="Z1817" i="2"/>
  <c r="R569" i="7"/>
  <c r="V1800" i="2"/>
  <c r="S515" i="7"/>
  <c r="AC500" i="7"/>
  <c r="AC498" i="7"/>
  <c r="AB493" i="7"/>
  <c r="AF1740" i="2"/>
  <c r="T493" i="7"/>
  <c r="X1740" i="2"/>
  <c r="AJ490" i="7"/>
  <c r="S1735" i="2"/>
  <c r="AK1735" i="2"/>
  <c r="O469" i="7"/>
  <c r="O443" i="7"/>
  <c r="R382" i="7"/>
  <c r="V1674" i="2"/>
  <c r="N342" i="7"/>
  <c r="O337" i="7"/>
  <c r="V1637" i="2"/>
  <c r="N325" i="7"/>
  <c r="N320" i="7"/>
  <c r="O308" i="7"/>
  <c r="N306" i="7"/>
  <c r="Q1623" i="2"/>
  <c r="O298" i="7"/>
  <c r="V1615" i="2"/>
  <c r="R292" i="7"/>
  <c r="V1614" i="2"/>
  <c r="N295" i="7"/>
  <c r="V1610" i="2"/>
  <c r="N285" i="7"/>
  <c r="Q1610" i="2"/>
  <c r="O285" i="7"/>
  <c r="N276" i="7"/>
  <c r="Q1601" i="2"/>
  <c r="V1585" i="2"/>
  <c r="N257" i="7"/>
  <c r="AB1552" i="2"/>
  <c r="X189" i="7"/>
  <c r="V1551" i="2"/>
  <c r="N199" i="7"/>
  <c r="V1542" i="2"/>
  <c r="R179" i="7"/>
  <c r="V1540" i="2"/>
  <c r="O183" i="7"/>
  <c r="X159" i="7"/>
  <c r="AB1530" i="2"/>
  <c r="P148" i="7"/>
  <c r="V1521" i="2"/>
  <c r="R142" i="7"/>
  <c r="V1520" i="2"/>
  <c r="N145" i="7"/>
  <c r="R1504" i="2"/>
  <c r="P113" i="7"/>
  <c r="R1485" i="2"/>
  <c r="P81" i="7"/>
  <c r="AB1461" i="2"/>
  <c r="X36" i="7"/>
  <c r="AB1460" i="2"/>
  <c r="V690" i="2"/>
  <c r="N1047" i="5"/>
  <c r="Z1047" i="5"/>
  <c r="R1046" i="5"/>
  <c r="V689" i="2"/>
  <c r="AB687" i="2"/>
  <c r="X1043" i="5"/>
  <c r="U686" i="2"/>
  <c r="Q1030" i="5"/>
  <c r="U676" i="2"/>
  <c r="S652" i="2"/>
  <c r="AJ652" i="2"/>
  <c r="AC425" i="2"/>
  <c r="AJ663" i="5"/>
  <c r="AC376" i="2"/>
  <c r="AJ602" i="5"/>
  <c r="AB1030" i="7"/>
  <c r="AF2122" i="2"/>
  <c r="T1030" i="7"/>
  <c r="X2122" i="2"/>
  <c r="AD999" i="7"/>
  <c r="AH2106" i="2"/>
  <c r="V999" i="7"/>
  <c r="Z2106" i="2"/>
  <c r="AI986" i="7"/>
  <c r="AM2098" i="2"/>
  <c r="AA986" i="7"/>
  <c r="AE2098" i="2"/>
  <c r="S986" i="7"/>
  <c r="W2098" i="2"/>
  <c r="X894" i="7"/>
  <c r="X881" i="7"/>
  <c r="X875" i="7"/>
  <c r="S871" i="7"/>
  <c r="W2018" i="2"/>
  <c r="Z810" i="7"/>
  <c r="Z797" i="7"/>
  <c r="AA796" i="7"/>
  <c r="AE1960" i="2"/>
  <c r="R796" i="7"/>
  <c r="R792" i="7"/>
  <c r="V1958" i="2"/>
  <c r="X792" i="7"/>
  <c r="AB1958" i="2"/>
  <c r="N762" i="7"/>
  <c r="Q1936" i="2"/>
  <c r="R758" i="7"/>
  <c r="V1934" i="2"/>
  <c r="N755" i="7"/>
  <c r="Q1933" i="2"/>
  <c r="N753" i="7"/>
  <c r="Q748" i="7"/>
  <c r="U1928" i="2"/>
  <c r="N741" i="7"/>
  <c r="Q1925" i="2"/>
  <c r="O724" i="7"/>
  <c r="AL1914" i="2"/>
  <c r="T1914" i="2"/>
  <c r="N715" i="7"/>
  <c r="Q1907" i="2"/>
  <c r="O714" i="7"/>
  <c r="AK1905" i="2"/>
  <c r="S1905" i="2"/>
  <c r="AH712" i="7"/>
  <c r="Z712" i="7"/>
  <c r="Q712" i="7"/>
  <c r="AJ708" i="7"/>
  <c r="N707" i="7"/>
  <c r="AJ692" i="7"/>
  <c r="N691" i="7"/>
  <c r="Q1893" i="2"/>
  <c r="O690" i="7"/>
  <c r="AK1891" i="2"/>
  <c r="S1891" i="2"/>
  <c r="S685" i="7"/>
  <c r="W1890" i="2"/>
  <c r="O680" i="7"/>
  <c r="AE675" i="7"/>
  <c r="AJ674" i="7"/>
  <c r="N673" i="7"/>
  <c r="Q1882" i="2"/>
  <c r="O672" i="7"/>
  <c r="R670" i="7"/>
  <c r="Y669" i="7"/>
  <c r="Y668" i="7"/>
  <c r="AE666" i="7"/>
  <c r="N663" i="7"/>
  <c r="Q1872" i="2"/>
  <c r="N662" i="7"/>
  <c r="AG660" i="7"/>
  <c r="S656" i="7"/>
  <c r="W1868" i="2"/>
  <c r="AE653" i="7"/>
  <c r="AI1867" i="2"/>
  <c r="O649" i="7"/>
  <c r="Y646" i="7"/>
  <c r="AE644" i="7"/>
  <c r="N642" i="7"/>
  <c r="Y638" i="7"/>
  <c r="AE636" i="7"/>
  <c r="AI1853" i="2"/>
  <c r="AJ635" i="7"/>
  <c r="N634" i="7"/>
  <c r="Q1851" i="2"/>
  <c r="O633" i="7"/>
  <c r="AA630" i="7"/>
  <c r="R630" i="7"/>
  <c r="AE627" i="7"/>
  <c r="AJ626" i="7"/>
  <c r="N625" i="7"/>
  <c r="Q1843" i="2"/>
  <c r="O624" i="7"/>
  <c r="AA621" i="7"/>
  <c r="R621" i="7"/>
  <c r="AE619" i="7"/>
  <c r="AD618" i="7"/>
  <c r="V618" i="7"/>
  <c r="AF614" i="7"/>
  <c r="AJ1835" i="2"/>
  <c r="Y611" i="7"/>
  <c r="AE609" i="7"/>
  <c r="AE607" i="7"/>
  <c r="AI1829" i="2"/>
  <c r="AJ608" i="7"/>
  <c r="Y604" i="7"/>
  <c r="AE602" i="7"/>
  <c r="AJ601" i="7"/>
  <c r="N600" i="7"/>
  <c r="Q1822" i="2"/>
  <c r="O599" i="7"/>
  <c r="AK1820" i="2"/>
  <c r="S1820" i="2"/>
  <c r="Y598" i="7"/>
  <c r="AC1820" i="2"/>
  <c r="Y597" i="7"/>
  <c r="AC592" i="7"/>
  <c r="AG1817" i="2"/>
  <c r="U592" i="7"/>
  <c r="Y1817" i="2"/>
  <c r="N585" i="7"/>
  <c r="Q1814" i="2"/>
  <c r="Z581" i="7"/>
  <c r="O580" i="7"/>
  <c r="N577" i="7"/>
  <c r="Q1806" i="2"/>
  <c r="Z573" i="7"/>
  <c r="O572" i="7"/>
  <c r="Z565" i="7"/>
  <c r="O564" i="7"/>
  <c r="N561" i="7"/>
  <c r="Q1794" i="2"/>
  <c r="Z557" i="7"/>
  <c r="O556" i="7"/>
  <c r="N553" i="7"/>
  <c r="Q1786" i="2"/>
  <c r="Z549" i="7"/>
  <c r="O548" i="7"/>
  <c r="N545" i="7"/>
  <c r="Q1778" i="2"/>
  <c r="Z541" i="7"/>
  <c r="O540" i="7"/>
  <c r="N537" i="7"/>
  <c r="Q1770" i="2"/>
  <c r="Z533" i="7"/>
  <c r="O532" i="7"/>
  <c r="N529" i="7"/>
  <c r="Q1762" i="2"/>
  <c r="Z525" i="7"/>
  <c r="O524" i="7"/>
  <c r="AC509" i="7"/>
  <c r="AA495" i="7"/>
  <c r="S493" i="7"/>
  <c r="W1740" i="2"/>
  <c r="AD491" i="7"/>
  <c r="AH1739" i="2"/>
  <c r="AI490" i="7"/>
  <c r="N489" i="7"/>
  <c r="Q1737" i="2"/>
  <c r="O488" i="7"/>
  <c r="N477" i="7"/>
  <c r="N466" i="7"/>
  <c r="R457" i="7"/>
  <c r="V1723" i="2"/>
  <c r="N455" i="7"/>
  <c r="Q1722" i="2"/>
  <c r="N453" i="7"/>
  <c r="Q1720" i="2"/>
  <c r="N440" i="7"/>
  <c r="Q1713" i="2"/>
  <c r="N438" i="7"/>
  <c r="R427" i="7"/>
  <c r="V1705" i="2"/>
  <c r="N422" i="7"/>
  <c r="N420" i="7"/>
  <c r="N412" i="7"/>
  <c r="Q1698" i="2"/>
  <c r="N410" i="7"/>
  <c r="Q1696" i="2"/>
  <c r="N408" i="7"/>
  <c r="Q1694" i="2"/>
  <c r="N406" i="7"/>
  <c r="Q1692" i="2"/>
  <c r="N404" i="7"/>
  <c r="Q1690" i="2"/>
  <c r="N402" i="7"/>
  <c r="P402" i="7"/>
  <c r="P394" i="7"/>
  <c r="P392" i="7"/>
  <c r="P390" i="7"/>
  <c r="P388" i="7"/>
  <c r="P386" i="7"/>
  <c r="R374" i="7"/>
  <c r="V1671" i="2"/>
  <c r="N369" i="7"/>
  <c r="Q1669" i="2"/>
  <c r="N367" i="7"/>
  <c r="Q1667" i="2"/>
  <c r="N365" i="7"/>
  <c r="Q1665" i="2"/>
  <c r="N363" i="7"/>
  <c r="Q1663" i="2"/>
  <c r="N361" i="7"/>
  <c r="Q1661" i="2"/>
  <c r="P353" i="7"/>
  <c r="P351" i="7"/>
  <c r="P349" i="7"/>
  <c r="P347" i="7"/>
  <c r="P345" i="7"/>
  <c r="N337" i="7"/>
  <c r="Q1646" i="2"/>
  <c r="P332" i="7"/>
  <c r="O330" i="7"/>
  <c r="V1631" i="2"/>
  <c r="N319" i="7"/>
  <c r="X313" i="7"/>
  <c r="AB1628" i="2"/>
  <c r="P310" i="7"/>
  <c r="P278" i="7"/>
  <c r="V1600" i="2"/>
  <c r="N275" i="7"/>
  <c r="Q1600" i="2"/>
  <c r="O275" i="7"/>
  <c r="V1591" i="2"/>
  <c r="N263" i="7"/>
  <c r="O260" i="7"/>
  <c r="V1562" i="2"/>
  <c r="R216" i="7"/>
  <c r="V1561" i="2"/>
  <c r="O205" i="7"/>
  <c r="AD189" i="7"/>
  <c r="P177" i="7"/>
  <c r="V1533" i="2"/>
  <c r="R161" i="7"/>
  <c r="V1531" i="2"/>
  <c r="N165" i="7"/>
  <c r="O165" i="7"/>
  <c r="V1527" i="2"/>
  <c r="N154" i="7"/>
  <c r="Q1527" i="2"/>
  <c r="R150" i="7"/>
  <c r="V1525" i="2"/>
  <c r="P128" i="7"/>
  <c r="U1492" i="2"/>
  <c r="Q94" i="7"/>
  <c r="U1491" i="2"/>
  <c r="R1480" i="2"/>
  <c r="P73" i="7"/>
  <c r="W1454" i="2"/>
  <c r="S20" i="7"/>
  <c r="AC416" i="2"/>
  <c r="E422" i="6"/>
  <c r="AE422" i="6"/>
  <c r="AF422" i="6"/>
  <c r="AJ646" i="5"/>
  <c r="AC401" i="2"/>
  <c r="AJ631" i="5"/>
  <c r="R667" i="7"/>
  <c r="AL1847" i="2"/>
  <c r="T1847" i="2"/>
  <c r="AL1839" i="2"/>
  <c r="T1839" i="2"/>
  <c r="W614" i="7"/>
  <c r="AA1835" i="2"/>
  <c r="Z493" i="7"/>
  <c r="AD1740" i="2"/>
  <c r="R493" i="7"/>
  <c r="V1740" i="2"/>
  <c r="R417" i="7"/>
  <c r="V1700" i="2"/>
  <c r="R1686" i="2"/>
  <c r="P334" i="7"/>
  <c r="O322" i="7"/>
  <c r="S313" i="7"/>
  <c r="W1628" i="2"/>
  <c r="O300" i="7"/>
  <c r="V1617" i="2"/>
  <c r="N297" i="7"/>
  <c r="V1606" i="2"/>
  <c r="N281" i="7"/>
  <c r="Q1606" i="2"/>
  <c r="O281" i="7"/>
  <c r="V1599" i="2"/>
  <c r="R271" i="7"/>
  <c r="V1598" i="2"/>
  <c r="V1597" i="2"/>
  <c r="N269" i="7"/>
  <c r="R1594" i="2"/>
  <c r="P266" i="7"/>
  <c r="V1580" i="2"/>
  <c r="N247" i="7"/>
  <c r="Q1580" i="2"/>
  <c r="O247" i="7"/>
  <c r="X232" i="7"/>
  <c r="AB1571" i="2"/>
  <c r="R1568" i="2"/>
  <c r="P228" i="7"/>
  <c r="P198" i="7"/>
  <c r="V1547" i="2"/>
  <c r="N195" i="7"/>
  <c r="R1527" i="2"/>
  <c r="P154" i="7"/>
  <c r="Q1510" i="2"/>
  <c r="O122" i="7"/>
  <c r="AD1492" i="2"/>
  <c r="Z94" i="7"/>
  <c r="AD1491" i="2"/>
  <c r="V1490" i="2"/>
  <c r="N90" i="7"/>
  <c r="Q1455" i="2"/>
  <c r="O25" i="7"/>
  <c r="V720" i="2"/>
  <c r="N1090" i="5"/>
  <c r="Q720" i="2"/>
  <c r="V1090" i="5"/>
  <c r="W712" i="2"/>
  <c r="S1075" i="5"/>
  <c r="R700" i="2"/>
  <c r="E35" i="14"/>
  <c r="P1062" i="5"/>
  <c r="Y986" i="7"/>
  <c r="AC2098" i="2"/>
  <c r="Z807" i="7"/>
  <c r="R806" i="7"/>
  <c r="N771" i="7"/>
  <c r="Q1940" i="2"/>
  <c r="P754" i="7"/>
  <c r="O742" i="7"/>
  <c r="N739" i="7"/>
  <c r="R736" i="7"/>
  <c r="V1922" i="2"/>
  <c r="AJ724" i="7"/>
  <c r="N723" i="7"/>
  <c r="N721" i="7"/>
  <c r="Q1913" i="2"/>
  <c r="O720" i="7"/>
  <c r="Y717" i="7"/>
  <c r="AE715" i="7"/>
  <c r="AJ714" i="7"/>
  <c r="Y709" i="7"/>
  <c r="AE707" i="7"/>
  <c r="O697" i="7"/>
  <c r="Y693" i="7"/>
  <c r="AE691" i="7"/>
  <c r="AJ690" i="7"/>
  <c r="AG685" i="7"/>
  <c r="Q685" i="7"/>
  <c r="U1890" i="2"/>
  <c r="AJ680" i="7"/>
  <c r="N679" i="7"/>
  <c r="Q1888" i="2"/>
  <c r="O678" i="7"/>
  <c r="Y675" i="7"/>
  <c r="AE673" i="7"/>
  <c r="AI1882" i="2"/>
  <c r="AJ672" i="7"/>
  <c r="N671" i="7"/>
  <c r="Q1880" i="2"/>
  <c r="AL1876" i="2"/>
  <c r="T1876" i="2"/>
  <c r="Y666" i="7"/>
  <c r="Y665" i="7"/>
  <c r="AE663" i="7"/>
  <c r="AI1872" i="2"/>
  <c r="W660" i="7"/>
  <c r="AG656" i="7"/>
  <c r="Q656" i="7"/>
  <c r="U1868" i="2"/>
  <c r="Y653" i="7"/>
  <c r="AJ649" i="7"/>
  <c r="N648" i="7"/>
  <c r="Q1865" i="2"/>
  <c r="O647" i="7"/>
  <c r="Y644" i="7"/>
  <c r="AE642" i="7"/>
  <c r="N640" i="7"/>
  <c r="Q1857" i="2"/>
  <c r="O639" i="7"/>
  <c r="Y636" i="7"/>
  <c r="AE634" i="7"/>
  <c r="AJ633" i="7"/>
  <c r="N632" i="7"/>
  <c r="Q1849" i="2"/>
  <c r="O631" i="7"/>
  <c r="AK1847" i="2"/>
  <c r="S1847" i="2"/>
  <c r="Y627" i="7"/>
  <c r="AE625" i="7"/>
  <c r="AI1843" i="2"/>
  <c r="AJ624" i="7"/>
  <c r="N623" i="7"/>
  <c r="Q1841" i="2"/>
  <c r="O622" i="7"/>
  <c r="AK1839" i="2"/>
  <c r="S1839" i="2"/>
  <c r="Y619" i="7"/>
  <c r="AB618" i="7"/>
  <c r="AF1836" i="2"/>
  <c r="S618" i="7"/>
  <c r="O612" i="7"/>
  <c r="Y609" i="7"/>
  <c r="N606" i="7"/>
  <c r="Q1828" i="2"/>
  <c r="O605" i="7"/>
  <c r="Y602" i="7"/>
  <c r="AE600" i="7"/>
  <c r="AJ599" i="7"/>
  <c r="AE598" i="7"/>
  <c r="O586" i="7"/>
  <c r="N583" i="7"/>
  <c r="Q1812" i="2"/>
  <c r="Z579" i="7"/>
  <c r="O578" i="7"/>
  <c r="N575" i="7"/>
  <c r="Q1804" i="2"/>
  <c r="Z563" i="7"/>
  <c r="O562" i="7"/>
  <c r="N559" i="7"/>
  <c r="Q1792" i="2"/>
  <c r="Z555" i="7"/>
  <c r="O554" i="7"/>
  <c r="N551" i="7"/>
  <c r="Q1784" i="2"/>
  <c r="Z547" i="7"/>
  <c r="O546" i="7"/>
  <c r="N543" i="7"/>
  <c r="Q1776" i="2"/>
  <c r="Z539" i="7"/>
  <c r="O538" i="7"/>
  <c r="N535" i="7"/>
  <c r="Q1768" i="2"/>
  <c r="Z531" i="7"/>
  <c r="O530" i="7"/>
  <c r="N527" i="7"/>
  <c r="Q1760" i="2"/>
  <c r="Z523" i="7"/>
  <c r="O522" i="7"/>
  <c r="R517" i="7"/>
  <c r="V1752" i="2"/>
  <c r="AC510" i="7"/>
  <c r="Y495" i="7"/>
  <c r="Q493" i="7"/>
  <c r="U1740" i="2"/>
  <c r="Y491" i="7"/>
  <c r="AD489" i="7"/>
  <c r="AI488" i="7"/>
  <c r="N484" i="7"/>
  <c r="R474" i="7"/>
  <c r="V1731" i="2"/>
  <c r="N472" i="7"/>
  <c r="R463" i="7"/>
  <c r="V1726" i="2"/>
  <c r="N461" i="7"/>
  <c r="Q1725" i="2"/>
  <c r="N446" i="7"/>
  <c r="P446" i="7"/>
  <c r="R435" i="7"/>
  <c r="V1710" i="2"/>
  <c r="N433" i="7"/>
  <c r="Q1709" i="2"/>
  <c r="N431" i="7"/>
  <c r="Q1707" i="2"/>
  <c r="R399" i="7"/>
  <c r="V1687" i="2"/>
  <c r="Q1622" i="2"/>
  <c r="N302" i="7"/>
  <c r="Q1621" i="2"/>
  <c r="P305" i="7"/>
  <c r="V1612" i="2"/>
  <c r="N287" i="7"/>
  <c r="Q1612" i="2"/>
  <c r="O287" i="7"/>
  <c r="V1587" i="2"/>
  <c r="N259" i="7"/>
  <c r="R1584" i="2"/>
  <c r="P256" i="7"/>
  <c r="Q1574" i="2"/>
  <c r="O238" i="7"/>
  <c r="V1535" i="2"/>
  <c r="N170" i="7"/>
  <c r="R167" i="7"/>
  <c r="V1534" i="2"/>
  <c r="V1523" i="2"/>
  <c r="N147" i="7"/>
  <c r="V1509" i="2"/>
  <c r="N121" i="7"/>
  <c r="R118" i="7"/>
  <c r="V1508" i="2"/>
  <c r="R1506" i="2"/>
  <c r="P115" i="7"/>
  <c r="Q1500" i="2"/>
  <c r="O106" i="7"/>
  <c r="Q1496" i="2"/>
  <c r="O102" i="7"/>
  <c r="V1487" i="2"/>
  <c r="N83" i="7"/>
  <c r="Q1487" i="2"/>
  <c r="V1479" i="2"/>
  <c r="R69" i="7"/>
  <c r="V1478" i="2"/>
  <c r="N72" i="7"/>
  <c r="Q1471" i="2"/>
  <c r="O58" i="7"/>
  <c r="Q1463" i="2"/>
  <c r="O42" i="7"/>
  <c r="Z724" i="2"/>
  <c r="O1094" i="5"/>
  <c r="S689" i="2"/>
  <c r="AJ689" i="2"/>
  <c r="AF1043" i="5"/>
  <c r="AJ1030" i="5"/>
  <c r="AC409" i="2"/>
  <c r="AJ639" i="5"/>
  <c r="AK639" i="5"/>
  <c r="O639" i="5"/>
  <c r="AC396" i="2"/>
  <c r="AJ626" i="5"/>
  <c r="AJ626" i="4"/>
  <c r="AK626" i="5"/>
  <c r="O626" i="5"/>
  <c r="P626" i="5"/>
  <c r="R752" i="7"/>
  <c r="AE722" i="7"/>
  <c r="AI1914" i="2"/>
  <c r="AK720" i="7"/>
  <c r="R716" i="7"/>
  <c r="V1908" i="2"/>
  <c r="W712" i="7"/>
  <c r="AK697" i="7"/>
  <c r="AK678" i="7"/>
  <c r="AK1876" i="2"/>
  <c r="S1876" i="2"/>
  <c r="AA664" i="7"/>
  <c r="AA660" i="7"/>
  <c r="R664" i="7"/>
  <c r="X656" i="7"/>
  <c r="AB1868" i="2"/>
  <c r="AK647" i="7"/>
  <c r="AC1860" i="2"/>
  <c r="E394" i="8"/>
  <c r="AE394" i="8"/>
  <c r="AK639" i="7"/>
  <c r="AK631" i="7"/>
  <c r="AK622" i="7"/>
  <c r="AA618" i="7"/>
  <c r="R618" i="7"/>
  <c r="AK612" i="7"/>
  <c r="AK605" i="7"/>
  <c r="N598" i="7"/>
  <c r="Q1820" i="2"/>
  <c r="AL1817" i="2"/>
  <c r="Z592" i="7"/>
  <c r="AD1817" i="2"/>
  <c r="R592" i="7"/>
  <c r="V1817" i="2"/>
  <c r="N508" i="7"/>
  <c r="Q1747" i="2"/>
  <c r="AC499" i="7"/>
  <c r="X493" i="7"/>
  <c r="AB1740" i="2"/>
  <c r="AC484" i="7"/>
  <c r="AG1735" i="2"/>
  <c r="O478" i="7"/>
  <c r="O467" i="7"/>
  <c r="O457" i="7"/>
  <c r="O454" i="7"/>
  <c r="O452" i="7"/>
  <c r="O441" i="7"/>
  <c r="O439" i="7"/>
  <c r="O427" i="7"/>
  <c r="O413" i="7"/>
  <c r="O411" i="7"/>
  <c r="O409" i="7"/>
  <c r="O407" i="7"/>
  <c r="O405" i="7"/>
  <c r="O403" i="7"/>
  <c r="O399" i="7"/>
  <c r="O368" i="7"/>
  <c r="O366" i="7"/>
  <c r="O364" i="7"/>
  <c r="O362" i="7"/>
  <c r="O360" i="7"/>
  <c r="R342" i="7"/>
  <c r="V1648" i="2"/>
  <c r="O336" i="7"/>
  <c r="V1633" i="2"/>
  <c r="N321" i="7"/>
  <c r="Q1624" i="2"/>
  <c r="P307" i="7"/>
  <c r="V1619" i="2"/>
  <c r="N299" i="7"/>
  <c r="N284" i="7"/>
  <c r="V1602" i="2"/>
  <c r="N277" i="7"/>
  <c r="Q1602" i="2"/>
  <c r="O277" i="7"/>
  <c r="O274" i="7"/>
  <c r="V1593" i="2"/>
  <c r="N265" i="7"/>
  <c r="O262" i="7"/>
  <c r="Q1584" i="2"/>
  <c r="P246" i="7"/>
  <c r="V1573" i="2"/>
  <c r="N237" i="7"/>
  <c r="R234" i="7"/>
  <c r="V1572" i="2"/>
  <c r="V1567" i="2"/>
  <c r="O227" i="7"/>
  <c r="R224" i="7"/>
  <c r="V1566" i="2"/>
  <c r="N227" i="7"/>
  <c r="N219" i="7"/>
  <c r="W1561" i="2"/>
  <c r="S214" i="7"/>
  <c r="O207" i="7"/>
  <c r="AG1545" i="2"/>
  <c r="AC189" i="7"/>
  <c r="AG1544" i="2"/>
  <c r="X1545" i="2"/>
  <c r="T189" i="7"/>
  <c r="X1544" i="2"/>
  <c r="U189" i="7"/>
  <c r="Y1544" i="2"/>
  <c r="V1538" i="2"/>
  <c r="N176" i="7"/>
  <c r="O176" i="7"/>
  <c r="O170" i="7"/>
  <c r="R1532" i="2"/>
  <c r="O161" i="7"/>
  <c r="Q1526" i="2"/>
  <c r="V1512" i="2"/>
  <c r="N127" i="7"/>
  <c r="O127" i="7"/>
  <c r="AB1492" i="2"/>
  <c r="X94" i="7"/>
  <c r="AB1491" i="2"/>
  <c r="Y94" i="7"/>
  <c r="AC1491" i="2"/>
  <c r="O83" i="7"/>
  <c r="P31" i="7"/>
  <c r="AE986" i="7"/>
  <c r="AI2098" i="2"/>
  <c r="W986" i="7"/>
  <c r="AA2098" i="2"/>
  <c r="S2092" i="2"/>
  <c r="AJ2092" i="2"/>
  <c r="S2076" i="2"/>
  <c r="AJ2076" i="2"/>
  <c r="S2041" i="2"/>
  <c r="AJ2041" i="2"/>
  <c r="Z808" i="7"/>
  <c r="P780" i="7"/>
  <c r="R773" i="7"/>
  <c r="V741" i="7"/>
  <c r="AA727" i="7"/>
  <c r="AE1917" i="2"/>
  <c r="R727" i="7"/>
  <c r="V1917" i="2"/>
  <c r="AE723" i="7"/>
  <c r="AI1915" i="2"/>
  <c r="AE721" i="7"/>
  <c r="AI1913" i="2"/>
  <c r="AJ720" i="7"/>
  <c r="AL1908" i="2"/>
  <c r="T1908" i="2"/>
  <c r="Y715" i="7"/>
  <c r="AD712" i="7"/>
  <c r="V712" i="7"/>
  <c r="Y707" i="7"/>
  <c r="AJ697" i="7"/>
  <c r="Y691" i="7"/>
  <c r="W685" i="7"/>
  <c r="AA1890" i="2"/>
  <c r="AE679" i="7"/>
  <c r="AI1888" i="2"/>
  <c r="AJ678" i="7"/>
  <c r="O676" i="7"/>
  <c r="Y673" i="7"/>
  <c r="AE671" i="7"/>
  <c r="AI1880" i="2"/>
  <c r="N669" i="7"/>
  <c r="Q1878" i="2"/>
  <c r="N668" i="7"/>
  <c r="AL1873" i="2"/>
  <c r="T1873" i="2"/>
  <c r="Y663" i="7"/>
  <c r="Y662" i="7"/>
  <c r="AC660" i="7"/>
  <c r="T660" i="7"/>
  <c r="AE656" i="7"/>
  <c r="AI1868" i="2"/>
  <c r="AE648" i="7"/>
  <c r="AI1865" i="2"/>
  <c r="AJ647" i="7"/>
  <c r="N646" i="7"/>
  <c r="Q1863" i="2"/>
  <c r="O645" i="7"/>
  <c r="Y642" i="7"/>
  <c r="AE640" i="7"/>
  <c r="AI1857" i="2"/>
  <c r="AJ639" i="7"/>
  <c r="N638" i="7"/>
  <c r="Q1855" i="2"/>
  <c r="O637" i="7"/>
  <c r="Y634" i="7"/>
  <c r="AE632" i="7"/>
  <c r="AI1849" i="2"/>
  <c r="AJ631" i="7"/>
  <c r="N630" i="7"/>
  <c r="Q1847" i="2"/>
  <c r="O629" i="7"/>
  <c r="Y625" i="7"/>
  <c r="AE623" i="7"/>
  <c r="AI1841" i="2"/>
  <c r="AJ622" i="7"/>
  <c r="N621" i="7"/>
  <c r="Q1839" i="2"/>
  <c r="O620" i="7"/>
  <c r="AH618" i="7"/>
  <c r="Z618" i="7"/>
  <c r="Q618" i="7"/>
  <c r="AB614" i="7"/>
  <c r="AF1835" i="2"/>
  <c r="T614" i="7"/>
  <c r="X1835" i="2"/>
  <c r="AJ612" i="7"/>
  <c r="N611" i="7"/>
  <c r="Q1833" i="2"/>
  <c r="O610" i="7"/>
  <c r="AA607" i="7"/>
  <c r="AE1829" i="2"/>
  <c r="AE606" i="7"/>
  <c r="AJ605" i="7"/>
  <c r="N604" i="7"/>
  <c r="Q1826" i="2"/>
  <c r="O603" i="7"/>
  <c r="Y600" i="7"/>
  <c r="N597" i="7"/>
  <c r="Q1819" i="2"/>
  <c r="O596" i="7"/>
  <c r="AG592" i="7"/>
  <c r="Q592" i="7"/>
  <c r="U1817" i="2"/>
  <c r="Z585" i="7"/>
  <c r="O584" i="7"/>
  <c r="N581" i="7"/>
  <c r="Q1810" i="2"/>
  <c r="Z577" i="7"/>
  <c r="O576" i="7"/>
  <c r="N573" i="7"/>
  <c r="Q1802" i="2"/>
  <c r="N565" i="7"/>
  <c r="Q1798" i="2"/>
  <c r="Z561" i="7"/>
  <c r="O560" i="7"/>
  <c r="N557" i="7"/>
  <c r="Q1790" i="2"/>
  <c r="Z553" i="7"/>
  <c r="O552" i="7"/>
  <c r="N549" i="7"/>
  <c r="Q1782" i="2"/>
  <c r="Z545" i="7"/>
  <c r="O544" i="7"/>
  <c r="N541" i="7"/>
  <c r="Q1774" i="2"/>
  <c r="Z537" i="7"/>
  <c r="O536" i="7"/>
  <c r="N533" i="7"/>
  <c r="Q1766" i="2"/>
  <c r="Z529" i="7"/>
  <c r="O528" i="7"/>
  <c r="N525" i="7"/>
  <c r="Q1758" i="2"/>
  <c r="AC507" i="7"/>
  <c r="W493" i="7"/>
  <c r="AA1740" i="2"/>
  <c r="Y489" i="7"/>
  <c r="N478" i="7"/>
  <c r="Q1733" i="2"/>
  <c r="R469" i="7"/>
  <c r="V1729" i="2"/>
  <c r="N467" i="7"/>
  <c r="Q1728" i="2"/>
  <c r="P460" i="7"/>
  <c r="N454" i="7"/>
  <c r="Q1721" i="2"/>
  <c r="N452" i="7"/>
  <c r="P447" i="7"/>
  <c r="R443" i="7"/>
  <c r="V1715" i="2"/>
  <c r="N441" i="7"/>
  <c r="Q1714" i="2"/>
  <c r="N439" i="7"/>
  <c r="Q1712" i="2"/>
  <c r="P432" i="7"/>
  <c r="P430" i="7"/>
  <c r="N421" i="7"/>
  <c r="N413" i="7"/>
  <c r="Q1699" i="2"/>
  <c r="N411" i="7"/>
  <c r="Q1697" i="2"/>
  <c r="N409" i="7"/>
  <c r="Q1695" i="2"/>
  <c r="N407" i="7"/>
  <c r="Q1693" i="2"/>
  <c r="N405" i="7"/>
  <c r="Q1691" i="2"/>
  <c r="N403" i="7"/>
  <c r="Q1689" i="2"/>
  <c r="X380" i="7"/>
  <c r="AB1673" i="2"/>
  <c r="N374" i="7"/>
  <c r="N368" i="7"/>
  <c r="Q1668" i="2"/>
  <c r="N366" i="7"/>
  <c r="Q1666" i="2"/>
  <c r="N364" i="7"/>
  <c r="Q1664" i="2"/>
  <c r="N362" i="7"/>
  <c r="Q1662" i="2"/>
  <c r="N360" i="7"/>
  <c r="N336" i="7"/>
  <c r="Q1645" i="2"/>
  <c r="R1640" i="2"/>
  <c r="P331" i="7"/>
  <c r="N324" i="7"/>
  <c r="N318" i="7"/>
  <c r="R302" i="7"/>
  <c r="V1621" i="2"/>
  <c r="V1608" i="2"/>
  <c r="N283" i="7"/>
  <c r="Q1608" i="2"/>
  <c r="O283" i="7"/>
  <c r="O280" i="7"/>
  <c r="N274" i="7"/>
  <c r="R1596" i="2"/>
  <c r="P268" i="7"/>
  <c r="R253" i="7"/>
  <c r="V1583" i="2"/>
  <c r="R1570" i="2"/>
  <c r="P230" i="7"/>
  <c r="V1549" i="2"/>
  <c r="N197" i="7"/>
  <c r="R1546" i="2"/>
  <c r="W1544" i="2"/>
  <c r="Q1541" i="2"/>
  <c r="N179" i="7"/>
  <c r="Q1540" i="2"/>
  <c r="V1529" i="2"/>
  <c r="N156" i="7"/>
  <c r="Q1529" i="2"/>
  <c r="V1518" i="2"/>
  <c r="O139" i="7"/>
  <c r="R136" i="7"/>
  <c r="V1517" i="2"/>
  <c r="R1502" i="2"/>
  <c r="P111" i="7"/>
  <c r="R86" i="7"/>
  <c r="V1488" i="2"/>
  <c r="R1482" i="2"/>
  <c r="P75" i="7"/>
  <c r="R702" i="2"/>
  <c r="E36" i="14"/>
  <c r="AC408" i="2"/>
  <c r="AJ638" i="5"/>
  <c r="AC395" i="2"/>
  <c r="AJ625" i="5"/>
  <c r="AJ625" i="4"/>
  <c r="S290" i="7"/>
  <c r="W1613" i="2"/>
  <c r="N208" i="7"/>
  <c r="N206" i="7"/>
  <c r="N204" i="7"/>
  <c r="Z189" i="7"/>
  <c r="AD1544" i="2"/>
  <c r="Q189" i="7"/>
  <c r="N134" i="7"/>
  <c r="N132" i="7"/>
  <c r="N116" i="7"/>
  <c r="Q1507" i="2"/>
  <c r="N114" i="7"/>
  <c r="Q1505" i="2"/>
  <c r="N112" i="7"/>
  <c r="Q1503" i="2"/>
  <c r="N110" i="7"/>
  <c r="AE94" i="7"/>
  <c r="AI1491" i="2"/>
  <c r="W94" i="7"/>
  <c r="AA1491" i="2"/>
  <c r="N86" i="7"/>
  <c r="Q1488" i="2"/>
  <c r="R61" i="7"/>
  <c r="V1473" i="2"/>
  <c r="N59" i="7"/>
  <c r="N57" i="7"/>
  <c r="N55" i="7"/>
  <c r="N41" i="7"/>
  <c r="Q36" i="7"/>
  <c r="U1460" i="2"/>
  <c r="R28" i="7"/>
  <c r="V1457" i="2"/>
  <c r="N26" i="7"/>
  <c r="N24" i="7"/>
  <c r="N1094" i="5"/>
  <c r="Q724" i="2"/>
  <c r="N1084" i="5"/>
  <c r="N1079" i="5"/>
  <c r="Q709" i="2"/>
  <c r="R1059" i="5"/>
  <c r="N1048" i="5"/>
  <c r="Q691" i="2"/>
  <c r="Z1045" i="5"/>
  <c r="AD1043" i="5"/>
  <c r="V1043" i="5"/>
  <c r="Z686" i="2"/>
  <c r="AG1041" i="5"/>
  <c r="Z1040" i="5"/>
  <c r="Z1037" i="5"/>
  <c r="N1022" i="5"/>
  <c r="Q674" i="2"/>
  <c r="Z1012" i="5"/>
  <c r="AB1011" i="5"/>
  <c r="N1005" i="5"/>
  <c r="Q663" i="2"/>
  <c r="S661" i="2"/>
  <c r="AJ661" i="2"/>
  <c r="X1003" i="5"/>
  <c r="T999" i="5"/>
  <c r="X660" i="2"/>
  <c r="N991" i="5"/>
  <c r="Y986" i="5"/>
  <c r="AC652" i="2"/>
  <c r="Q986" i="5"/>
  <c r="U652" i="2"/>
  <c r="N982" i="5"/>
  <c r="Q649" i="2"/>
  <c r="N971" i="5"/>
  <c r="Q638" i="2"/>
  <c r="N966" i="5"/>
  <c r="Q633" i="2"/>
  <c r="S630" i="2"/>
  <c r="AJ630" i="2"/>
  <c r="X963" i="5"/>
  <c r="AB630" i="2"/>
  <c r="N961" i="5"/>
  <c r="Q628" i="2"/>
  <c r="Z957" i="5"/>
  <c r="N953" i="5"/>
  <c r="Q620" i="2"/>
  <c r="R949" i="5"/>
  <c r="Q948" i="5"/>
  <c r="N936" i="5"/>
  <c r="Q610" i="2"/>
  <c r="N928" i="5"/>
  <c r="Q602" i="2"/>
  <c r="N919" i="5"/>
  <c r="Q597" i="2"/>
  <c r="AJ594" i="2"/>
  <c r="S594" i="2"/>
  <c r="X896" i="5"/>
  <c r="N886" i="5"/>
  <c r="Q584" i="2"/>
  <c r="X884" i="5"/>
  <c r="X879" i="5"/>
  <c r="Q871" i="5"/>
  <c r="U571" i="2"/>
  <c r="N868" i="5"/>
  <c r="Q570" i="2"/>
  <c r="X864" i="5"/>
  <c r="R862" i="5"/>
  <c r="O850" i="5"/>
  <c r="W840" i="5"/>
  <c r="X837" i="5"/>
  <c r="X833" i="5"/>
  <c r="X826" i="5"/>
  <c r="O816" i="5"/>
  <c r="Z814" i="5"/>
  <c r="Y812" i="5"/>
  <c r="O811" i="5"/>
  <c r="Z809" i="5"/>
  <c r="O807" i="5"/>
  <c r="Z804" i="5"/>
  <c r="N801" i="5"/>
  <c r="Q518" i="2"/>
  <c r="R798" i="5"/>
  <c r="X796" i="5"/>
  <c r="N795" i="5"/>
  <c r="V785" i="5"/>
  <c r="N780" i="5"/>
  <c r="Q502" i="2"/>
  <c r="V775" i="5"/>
  <c r="V770" i="5"/>
  <c r="R752" i="5"/>
  <c r="N742" i="5"/>
  <c r="Q479" i="2"/>
  <c r="V732" i="5"/>
  <c r="AC730" i="5"/>
  <c r="AB727" i="5"/>
  <c r="AF470" i="2"/>
  <c r="AJ724" i="5"/>
  <c r="N723" i="5"/>
  <c r="Y720" i="5"/>
  <c r="AE718" i="5"/>
  <c r="AE716" i="5"/>
  <c r="AI461" i="2"/>
  <c r="AA713" i="5"/>
  <c r="AC712" i="5"/>
  <c r="N711" i="5"/>
  <c r="Q456" i="2"/>
  <c r="Y707" i="5"/>
  <c r="AC452" i="2"/>
  <c r="N691" i="5"/>
  <c r="Q446" i="2"/>
  <c r="AA444" i="2"/>
  <c r="W685" i="5"/>
  <c r="AA443" i="2"/>
  <c r="AE441" i="2"/>
  <c r="AE679" i="5"/>
  <c r="Y678" i="5"/>
  <c r="V439" i="2"/>
  <c r="N677" i="5"/>
  <c r="Q439" i="2"/>
  <c r="AE670" i="5"/>
  <c r="V430" i="2"/>
  <c r="N668" i="5"/>
  <c r="R667" i="5"/>
  <c r="S429" i="2"/>
  <c r="AK429" i="2"/>
  <c r="S426" i="2"/>
  <c r="AK426" i="2"/>
  <c r="AB660" i="5"/>
  <c r="Q660" i="5"/>
  <c r="AE653" i="5"/>
  <c r="N653" i="5"/>
  <c r="Q420" i="2"/>
  <c r="AE646" i="5"/>
  <c r="AK646" i="5"/>
  <c r="AC413" i="2"/>
  <c r="E394" i="6"/>
  <c r="AE394" i="6"/>
  <c r="AF394" i="6"/>
  <c r="T412" i="2"/>
  <c r="AL412" i="2"/>
  <c r="U641" i="5"/>
  <c r="AE637" i="5"/>
  <c r="AL400" i="2"/>
  <c r="T400" i="2"/>
  <c r="AE628" i="5"/>
  <c r="AM614" i="5"/>
  <c r="AG391" i="2"/>
  <c r="AC618" i="5"/>
  <c r="AH618" i="5"/>
  <c r="AC385" i="2"/>
  <c r="AJ611" i="5"/>
  <c r="AK611" i="5"/>
  <c r="AC375" i="2"/>
  <c r="AJ601" i="5"/>
  <c r="AA372" i="2"/>
  <c r="W592" i="5"/>
  <c r="AA369" i="2"/>
  <c r="R347" i="2"/>
  <c r="AD290" i="2"/>
  <c r="AD490" i="5"/>
  <c r="Z484" i="5"/>
  <c r="AD287" i="2"/>
  <c r="N490" i="5"/>
  <c r="Q290" i="2"/>
  <c r="R277" i="2"/>
  <c r="V273" i="2"/>
  <c r="N454" i="5"/>
  <c r="Q273" i="2"/>
  <c r="O454" i="5"/>
  <c r="Q147" i="2"/>
  <c r="O267" i="5"/>
  <c r="V93" i="2"/>
  <c r="R179" i="5"/>
  <c r="V92" i="2"/>
  <c r="N182" i="5"/>
  <c r="O182" i="5"/>
  <c r="V41" i="2"/>
  <c r="R86" i="5"/>
  <c r="V40" i="2"/>
  <c r="N89" i="5"/>
  <c r="V15" i="2"/>
  <c r="N42" i="5"/>
  <c r="Q11" i="2"/>
  <c r="N28" i="5"/>
  <c r="Q9" i="2"/>
  <c r="AH6" i="2"/>
  <c r="AK1408" i="2"/>
  <c r="AL1354" i="2"/>
  <c r="R201" i="7"/>
  <c r="V1552" i="2"/>
  <c r="N193" i="7"/>
  <c r="Y189" i="7"/>
  <c r="AC1544" i="2"/>
  <c r="N185" i="7"/>
  <c r="N163" i="7"/>
  <c r="O140" i="7"/>
  <c r="AD94" i="7"/>
  <c r="AH1491" i="2"/>
  <c r="U94" i="7"/>
  <c r="Y1491" i="2"/>
  <c r="N77" i="7"/>
  <c r="Q1483" i="2"/>
  <c r="O67" i="7"/>
  <c r="O65" i="7"/>
  <c r="O47" i="7"/>
  <c r="R38" i="7"/>
  <c r="V1461" i="2"/>
  <c r="O32" i="7"/>
  <c r="N19" i="7"/>
  <c r="V1093" i="5"/>
  <c r="O1091" i="5"/>
  <c r="N1088" i="5"/>
  <c r="Q718" i="2"/>
  <c r="V1078" i="5"/>
  <c r="N1072" i="5"/>
  <c r="N1063" i="5"/>
  <c r="N1061" i="5"/>
  <c r="O1058" i="5"/>
  <c r="U1055" i="5"/>
  <c r="Y695" i="2"/>
  <c r="O1050" i="5"/>
  <c r="N1049" i="5"/>
  <c r="Q692" i="2"/>
  <c r="S687" i="2"/>
  <c r="AJ687" i="2"/>
  <c r="N1044" i="5"/>
  <c r="Q687" i="2"/>
  <c r="AC1043" i="5"/>
  <c r="U1043" i="5"/>
  <c r="U1030" i="5"/>
  <c r="Y676" i="2"/>
  <c r="Y1035" i="5"/>
  <c r="O1034" i="5"/>
  <c r="AI1030" i="5"/>
  <c r="AM676" i="2"/>
  <c r="AA1030" i="5"/>
  <c r="AE676" i="2"/>
  <c r="S675" i="2"/>
  <c r="AJ675" i="2"/>
  <c r="N1026" i="5"/>
  <c r="Q675" i="2"/>
  <c r="Z1022" i="5"/>
  <c r="O1018" i="5"/>
  <c r="N1013" i="5"/>
  <c r="Q671" i="2"/>
  <c r="AA1011" i="5"/>
  <c r="O1007" i="5"/>
  <c r="N1006" i="5"/>
  <c r="Q664" i="2"/>
  <c r="AI999" i="5"/>
  <c r="AM660" i="2"/>
  <c r="S999" i="5"/>
  <c r="W660" i="2"/>
  <c r="S657" i="2"/>
  <c r="AJ657" i="2"/>
  <c r="O993" i="5"/>
  <c r="N992" i="5"/>
  <c r="Q655" i="2"/>
  <c r="X986" i="5"/>
  <c r="AB652" i="2"/>
  <c r="N983" i="5"/>
  <c r="Q650" i="2"/>
  <c r="R979" i="5"/>
  <c r="V646" i="2"/>
  <c r="R976" i="5"/>
  <c r="O973" i="5"/>
  <c r="N972" i="5"/>
  <c r="Q639" i="2"/>
  <c r="Z968" i="5"/>
  <c r="O968" i="5"/>
  <c r="N967" i="5"/>
  <c r="Q634" i="2"/>
  <c r="N962" i="5"/>
  <c r="Q629" i="2"/>
  <c r="R958" i="5"/>
  <c r="N954" i="5"/>
  <c r="Q621" i="2"/>
  <c r="N937" i="5"/>
  <c r="Q611" i="2"/>
  <c r="O930" i="5"/>
  <c r="N929" i="5"/>
  <c r="Q603" i="2"/>
  <c r="AJ600" i="2"/>
  <c r="S600" i="2"/>
  <c r="N920" i="5"/>
  <c r="Q598" i="2"/>
  <c r="N910" i="5"/>
  <c r="N894" i="5"/>
  <c r="W889" i="5"/>
  <c r="AA585" i="2"/>
  <c r="X885" i="5"/>
  <c r="N881" i="5"/>
  <c r="Q579" i="2"/>
  <c r="R874" i="5"/>
  <c r="N863" i="5"/>
  <c r="N861" i="5"/>
  <c r="Q563" i="2"/>
  <c r="N858" i="5"/>
  <c r="Q560" i="2"/>
  <c r="Q852" i="5"/>
  <c r="Q821" i="5"/>
  <c r="U535" i="2"/>
  <c r="O845" i="5"/>
  <c r="N840" i="5"/>
  <c r="Q547" i="2"/>
  <c r="N835" i="5"/>
  <c r="Q543" i="2"/>
  <c r="P817" i="5"/>
  <c r="N816" i="5"/>
  <c r="Q533" i="2"/>
  <c r="N811" i="5"/>
  <c r="Q528" i="2"/>
  <c r="N807" i="5"/>
  <c r="Z800" i="5"/>
  <c r="Y798" i="5"/>
  <c r="W796" i="5"/>
  <c r="U792" i="5"/>
  <c r="Y511" i="2"/>
  <c r="O787" i="5"/>
  <c r="N784" i="5"/>
  <c r="Q506" i="2"/>
  <c r="O777" i="5"/>
  <c r="R773" i="5"/>
  <c r="O772" i="5"/>
  <c r="N769" i="5"/>
  <c r="N754" i="5"/>
  <c r="O751" i="5"/>
  <c r="U748" i="5"/>
  <c r="Y481" i="2"/>
  <c r="O740" i="5"/>
  <c r="AA727" i="5"/>
  <c r="AE470" i="2"/>
  <c r="AJ723" i="5"/>
  <c r="T458" i="2"/>
  <c r="AL458" i="2"/>
  <c r="R713" i="5"/>
  <c r="AB712" i="5"/>
  <c r="T712" i="5"/>
  <c r="AJ711" i="5"/>
  <c r="N710" i="5"/>
  <c r="Q455" i="2"/>
  <c r="O709" i="5"/>
  <c r="N697" i="5"/>
  <c r="Q449" i="2"/>
  <c r="N689" i="5"/>
  <c r="AB685" i="5"/>
  <c r="AF443" i="2"/>
  <c r="AC441" i="2"/>
  <c r="AK679" i="5"/>
  <c r="O668" i="5"/>
  <c r="AC415" i="2"/>
  <c r="O645" i="5"/>
  <c r="V414" i="2"/>
  <c r="Y644" i="5"/>
  <c r="V409" i="2"/>
  <c r="N639" i="5"/>
  <c r="Q409" i="2"/>
  <c r="V401" i="2"/>
  <c r="N631" i="5"/>
  <c r="S400" i="2"/>
  <c r="AK400" i="2"/>
  <c r="AG618" i="5"/>
  <c r="AG381" i="2"/>
  <c r="AC592" i="5"/>
  <c r="AG369" i="2"/>
  <c r="V377" i="2"/>
  <c r="Y603" i="5"/>
  <c r="N603" i="5"/>
  <c r="Q377" i="2"/>
  <c r="Z372" i="2"/>
  <c r="V592" i="5"/>
  <c r="Z369" i="2"/>
  <c r="AB592" i="5"/>
  <c r="AF369" i="2"/>
  <c r="AC342" i="2"/>
  <c r="Z557" i="5"/>
  <c r="AC329" i="2"/>
  <c r="Z544" i="5"/>
  <c r="AC315" i="2"/>
  <c r="Z530" i="5"/>
  <c r="AD312" i="2"/>
  <c r="O527" i="5"/>
  <c r="V285" i="2"/>
  <c r="N478" i="5"/>
  <c r="Q285" i="2"/>
  <c r="O478" i="5"/>
  <c r="R474" i="5"/>
  <c r="V283" i="2"/>
  <c r="R261" i="2"/>
  <c r="P433" i="5"/>
  <c r="V254" i="2"/>
  <c r="N421" i="5"/>
  <c r="R121" i="2"/>
  <c r="V115" i="2"/>
  <c r="N220" i="5"/>
  <c r="U97" i="2"/>
  <c r="Q189" i="5"/>
  <c r="U96" i="2"/>
  <c r="V88" i="2"/>
  <c r="N171" i="5"/>
  <c r="Q88" i="2"/>
  <c r="O171" i="5"/>
  <c r="R167" i="5"/>
  <c r="V86" i="2"/>
  <c r="R1427" i="2"/>
  <c r="O1067" i="9"/>
  <c r="AK1363" i="2"/>
  <c r="O309" i="7"/>
  <c r="X251" i="7"/>
  <c r="AB1582" i="2"/>
  <c r="N222" i="7"/>
  <c r="N220" i="7"/>
  <c r="N191" i="7"/>
  <c r="O182" i="7"/>
  <c r="O171" i="7"/>
  <c r="O155" i="7"/>
  <c r="O153" i="7"/>
  <c r="N140" i="7"/>
  <c r="Q1519" i="2"/>
  <c r="N138" i="7"/>
  <c r="N105" i="7"/>
  <c r="N103" i="7"/>
  <c r="N101" i="7"/>
  <c r="N99" i="7"/>
  <c r="AC94" i="7"/>
  <c r="AG1491" i="2"/>
  <c r="T94" i="7"/>
  <c r="X1491" i="2"/>
  <c r="O89" i="7"/>
  <c r="O82" i="7"/>
  <c r="O80" i="7"/>
  <c r="N67" i="7"/>
  <c r="Q1477" i="2"/>
  <c r="N65" i="7"/>
  <c r="Q1475" i="2"/>
  <c r="N63" i="7"/>
  <c r="X51" i="7"/>
  <c r="AB1467" i="2"/>
  <c r="N50" i="7"/>
  <c r="N47" i="7"/>
  <c r="N32" i="7"/>
  <c r="N30" i="7"/>
  <c r="X20" i="7"/>
  <c r="AD16" i="7"/>
  <c r="AH1452" i="2"/>
  <c r="V1096" i="5"/>
  <c r="O1095" i="5"/>
  <c r="N1091" i="5"/>
  <c r="Q721" i="2"/>
  <c r="P1089" i="5"/>
  <c r="V1086" i="5"/>
  <c r="O1085" i="5"/>
  <c r="V1081" i="5"/>
  <c r="O1080" i="5"/>
  <c r="R710" i="2"/>
  <c r="O1070" i="5"/>
  <c r="U1067" i="5"/>
  <c r="Y703" i="2"/>
  <c r="N1058" i="5"/>
  <c r="T1055" i="5"/>
  <c r="X695" i="2"/>
  <c r="N1050" i="5"/>
  <c r="Q693" i="2"/>
  <c r="Z1044" i="5"/>
  <c r="AH1044" i="5"/>
  <c r="AB1043" i="5"/>
  <c r="T1043" i="5"/>
  <c r="Z1042" i="5"/>
  <c r="S678" i="2"/>
  <c r="AJ678" i="2"/>
  <c r="X1035" i="5"/>
  <c r="N1034" i="5"/>
  <c r="R1030" i="5"/>
  <c r="V676" i="2"/>
  <c r="Z1026" i="5"/>
  <c r="N1018" i="5"/>
  <c r="Q673" i="2"/>
  <c r="Z1014" i="5"/>
  <c r="Z1013" i="5"/>
  <c r="Z1011" i="5"/>
  <c r="R1011" i="5"/>
  <c r="O1008" i="5"/>
  <c r="N1007" i="5"/>
  <c r="Q665" i="2"/>
  <c r="V1003" i="5"/>
  <c r="N993" i="5"/>
  <c r="Q656" i="2"/>
  <c r="AE986" i="5"/>
  <c r="AI652" i="2"/>
  <c r="W986" i="5"/>
  <c r="AA652" i="2"/>
  <c r="N984" i="5"/>
  <c r="Q651" i="2"/>
  <c r="AH982" i="5"/>
  <c r="Z980" i="5"/>
  <c r="Y976" i="5"/>
  <c r="O974" i="5"/>
  <c r="N973" i="5"/>
  <c r="Q640" i="2"/>
  <c r="Z969" i="5"/>
  <c r="O964" i="5"/>
  <c r="V963" i="5"/>
  <c r="V948" i="5"/>
  <c r="AH961" i="5"/>
  <c r="Z959" i="5"/>
  <c r="O956" i="5"/>
  <c r="N955" i="5"/>
  <c r="Q622" i="2"/>
  <c r="AH953" i="5"/>
  <c r="Z951" i="5"/>
  <c r="S616" i="2"/>
  <c r="AJ616" i="2"/>
  <c r="AE948" i="5"/>
  <c r="W948" i="5"/>
  <c r="S944" i="5"/>
  <c r="W614" i="2"/>
  <c r="Z942" i="5"/>
  <c r="N938" i="5"/>
  <c r="Q612" i="2"/>
  <c r="AH936" i="5"/>
  <c r="Z934" i="5"/>
  <c r="N930" i="5"/>
  <c r="Q604" i="2"/>
  <c r="AH928" i="5"/>
  <c r="N921" i="5"/>
  <c r="Q599" i="2"/>
  <c r="AH919" i="5"/>
  <c r="Z917" i="5"/>
  <c r="X880" i="5"/>
  <c r="R877" i="5"/>
  <c r="N875" i="5"/>
  <c r="W871" i="5"/>
  <c r="AA571" i="2"/>
  <c r="N866" i="5"/>
  <c r="Q568" i="2"/>
  <c r="X860" i="5"/>
  <c r="X857" i="5"/>
  <c r="X855" i="5"/>
  <c r="X855" i="4"/>
  <c r="O855" i="4"/>
  <c r="P855" i="4"/>
  <c r="O848" i="5"/>
  <c r="P843" i="5"/>
  <c r="X838" i="5"/>
  <c r="X834" i="5"/>
  <c r="X827" i="5"/>
  <c r="Z815" i="5"/>
  <c r="O813" i="5"/>
  <c r="Z810" i="5"/>
  <c r="O808" i="5"/>
  <c r="Z805" i="5"/>
  <c r="N802" i="5"/>
  <c r="Q519" i="2"/>
  <c r="N797" i="5"/>
  <c r="V796" i="5"/>
  <c r="N787" i="5"/>
  <c r="Q509" i="2"/>
  <c r="V782" i="5"/>
  <c r="O781" i="5"/>
  <c r="N777" i="5"/>
  <c r="Q499" i="2"/>
  <c r="N772" i="5"/>
  <c r="Q494" i="2"/>
  <c r="U758" i="5"/>
  <c r="Y487" i="2"/>
  <c r="N751" i="5"/>
  <c r="T748" i="5"/>
  <c r="X481" i="2"/>
  <c r="N740" i="5"/>
  <c r="Q477" i="2"/>
  <c r="N730" i="5"/>
  <c r="Z727" i="5"/>
  <c r="AD470" i="2"/>
  <c r="R727" i="5"/>
  <c r="V470" i="2"/>
  <c r="AE723" i="5"/>
  <c r="Y718" i="5"/>
  <c r="N715" i="5"/>
  <c r="Q460" i="2"/>
  <c r="S458" i="2"/>
  <c r="AK458" i="2"/>
  <c r="AI712" i="5"/>
  <c r="T457" i="2"/>
  <c r="S712" i="5"/>
  <c r="AE711" i="5"/>
  <c r="AK711" i="5"/>
  <c r="AK709" i="5"/>
  <c r="N709" i="5"/>
  <c r="Q454" i="2"/>
  <c r="Y680" i="5"/>
  <c r="V441" i="2"/>
  <c r="N679" i="5"/>
  <c r="Q441" i="2"/>
  <c r="AE433" i="2"/>
  <c r="AE671" i="5"/>
  <c r="Y670" i="5"/>
  <c r="V431" i="2"/>
  <c r="N669" i="5"/>
  <c r="Q431" i="2"/>
  <c r="Y653" i="5"/>
  <c r="V410" i="2"/>
  <c r="Y640" i="5"/>
  <c r="V402" i="2"/>
  <c r="Y632" i="5"/>
  <c r="AE629" i="5"/>
  <c r="V396" i="2"/>
  <c r="N626" i="5"/>
  <c r="Q396" i="2"/>
  <c r="AF388" i="2"/>
  <c r="AB614" i="5"/>
  <c r="AF387" i="2"/>
  <c r="V383" i="2"/>
  <c r="N609" i="5"/>
  <c r="Q383" i="2"/>
  <c r="AC362" i="2"/>
  <c r="Y569" i="5"/>
  <c r="AC352" i="2"/>
  <c r="AD336" i="2"/>
  <c r="O551" i="5"/>
  <c r="AC323" i="2"/>
  <c r="Z538" i="5"/>
  <c r="AD320" i="2"/>
  <c r="O535" i="5"/>
  <c r="AD296" i="2"/>
  <c r="AD294" i="2"/>
  <c r="Z495" i="5"/>
  <c r="AC498" i="5"/>
  <c r="Y493" i="5"/>
  <c r="AC292" i="2"/>
  <c r="V280" i="2"/>
  <c r="N467" i="5"/>
  <c r="Q280" i="2"/>
  <c r="O467" i="5"/>
  <c r="R463" i="5"/>
  <c r="V278" i="2"/>
  <c r="V196" i="2"/>
  <c r="N335" i="5"/>
  <c r="Q196" i="2"/>
  <c r="O335" i="5"/>
  <c r="V192" i="2"/>
  <c r="N331" i="5"/>
  <c r="Q192" i="2"/>
  <c r="O331" i="5"/>
  <c r="R327" i="5"/>
  <c r="V190" i="2"/>
  <c r="Q127" i="2"/>
  <c r="O239" i="5"/>
  <c r="AB118" i="2"/>
  <c r="X214" i="5"/>
  <c r="AD97" i="2"/>
  <c r="Z189" i="5"/>
  <c r="AD96" i="2"/>
  <c r="Q75" i="2"/>
  <c r="O147" i="5"/>
  <c r="AB20" i="2"/>
  <c r="X51" i="5"/>
  <c r="AB19" i="2"/>
  <c r="AK1336" i="2"/>
  <c r="R96" i="7"/>
  <c r="N1035" i="5"/>
  <c r="Q678" i="2"/>
  <c r="Y1011" i="5"/>
  <c r="Q999" i="5"/>
  <c r="U660" i="2"/>
  <c r="R990" i="5"/>
  <c r="AD986" i="5"/>
  <c r="AH652" i="2"/>
  <c r="V986" i="5"/>
  <c r="Z652" i="2"/>
  <c r="AG982" i="5"/>
  <c r="Z981" i="5"/>
  <c r="S646" i="2"/>
  <c r="AJ646" i="2"/>
  <c r="S643" i="2"/>
  <c r="AJ643" i="2"/>
  <c r="Z970" i="5"/>
  <c r="Z967" i="5"/>
  <c r="AC963" i="5"/>
  <c r="AG961" i="5"/>
  <c r="Z960" i="5"/>
  <c r="S625" i="2"/>
  <c r="AJ625" i="2"/>
  <c r="AG953" i="5"/>
  <c r="Z952" i="5"/>
  <c r="AD948" i="5"/>
  <c r="AG936" i="5"/>
  <c r="Z935" i="5"/>
  <c r="AG928" i="5"/>
  <c r="Z927" i="5"/>
  <c r="AG919" i="5"/>
  <c r="Z918" i="5"/>
  <c r="R891" i="5"/>
  <c r="X865" i="5"/>
  <c r="W852" i="5"/>
  <c r="AA556" i="2"/>
  <c r="P846" i="5"/>
  <c r="Z801" i="5"/>
  <c r="Z795" i="5"/>
  <c r="V786" i="5"/>
  <c r="V776" i="5"/>
  <c r="V771" i="5"/>
  <c r="P762" i="5"/>
  <c r="V736" i="5"/>
  <c r="Z475" i="2"/>
  <c r="AL457" i="2"/>
  <c r="AC424" i="2"/>
  <c r="AJ662" i="5"/>
  <c r="AI660" i="5"/>
  <c r="AE418" i="2"/>
  <c r="AE648" i="5"/>
  <c r="AC417" i="2"/>
  <c r="E436" i="6"/>
  <c r="AE436" i="6"/>
  <c r="AF436" i="6"/>
  <c r="AJ647" i="5"/>
  <c r="AJ647" i="4"/>
  <c r="O647" i="5"/>
  <c r="V416" i="2"/>
  <c r="N646" i="5"/>
  <c r="Q416" i="2"/>
  <c r="R641" i="5"/>
  <c r="V407" i="2"/>
  <c r="N637" i="5"/>
  <c r="Q407" i="2"/>
  <c r="V397" i="2"/>
  <c r="Y627" i="5"/>
  <c r="AC397" i="2"/>
  <c r="AC394" i="2"/>
  <c r="AI392" i="2"/>
  <c r="V386" i="2"/>
  <c r="Y612" i="5"/>
  <c r="AI374" i="2"/>
  <c r="AH372" i="2"/>
  <c r="AD592" i="5"/>
  <c r="AH369" i="2"/>
  <c r="AD359" i="2"/>
  <c r="O578" i="5"/>
  <c r="V345" i="2"/>
  <c r="Z560" i="5"/>
  <c r="N560" i="5"/>
  <c r="Q345" i="2"/>
  <c r="V334" i="2"/>
  <c r="Z549" i="5"/>
  <c r="N549" i="5"/>
  <c r="Q334" i="2"/>
  <c r="AD326" i="2"/>
  <c r="O541" i="5"/>
  <c r="V318" i="2"/>
  <c r="Z533" i="5"/>
  <c r="N533" i="5"/>
  <c r="Q318" i="2"/>
  <c r="AC308" i="2"/>
  <c r="Z523" i="5"/>
  <c r="V300" i="2"/>
  <c r="R504" i="5"/>
  <c r="V297" i="2"/>
  <c r="V509" i="5"/>
  <c r="V264" i="2"/>
  <c r="N439" i="5"/>
  <c r="Q264" i="2"/>
  <c r="O439" i="5"/>
  <c r="R435" i="5"/>
  <c r="V262" i="2"/>
  <c r="Q171" i="2"/>
  <c r="O299" i="5"/>
  <c r="R105" i="2"/>
  <c r="P204" i="5"/>
  <c r="AD1371" i="2"/>
  <c r="AH981" i="9"/>
  <c r="AL1371" i="2"/>
  <c r="O981" i="9"/>
  <c r="AG981" i="9"/>
  <c r="AK1347" i="2"/>
  <c r="S670" i="2"/>
  <c r="AJ670" i="2"/>
  <c r="AF1011" i="5"/>
  <c r="X1011" i="5"/>
  <c r="AC986" i="5"/>
  <c r="AG652" i="2"/>
  <c r="U986" i="5"/>
  <c r="Y652" i="2"/>
  <c r="V852" i="5"/>
  <c r="Z556" i="2"/>
  <c r="Q712" i="5"/>
  <c r="AE435" i="2"/>
  <c r="AE673" i="5"/>
  <c r="V433" i="2"/>
  <c r="N671" i="5"/>
  <c r="Q433" i="2"/>
  <c r="AE425" i="2"/>
  <c r="AE663" i="5"/>
  <c r="V424" i="2"/>
  <c r="N662" i="5"/>
  <c r="T423" i="2"/>
  <c r="AL423" i="2"/>
  <c r="AH660" i="5"/>
  <c r="AD423" i="2"/>
  <c r="Z660" i="5"/>
  <c r="R661" i="5"/>
  <c r="S422" i="2"/>
  <c r="AK422" i="2"/>
  <c r="V660" i="5"/>
  <c r="Z422" i="2"/>
  <c r="AC418" i="2"/>
  <c r="AK648" i="5"/>
  <c r="AE412" i="2"/>
  <c r="AA641" i="5"/>
  <c r="AE408" i="2"/>
  <c r="AE638" i="5"/>
  <c r="O638" i="5"/>
  <c r="AC399" i="2"/>
  <c r="AK629" i="5"/>
  <c r="O629" i="5"/>
  <c r="V394" i="2"/>
  <c r="R621" i="5"/>
  <c r="N624" i="5"/>
  <c r="Q394" i="2"/>
  <c r="AE392" i="2"/>
  <c r="AA621" i="5"/>
  <c r="AE384" i="2"/>
  <c r="AE610" i="5"/>
  <c r="AE382" i="2"/>
  <c r="AE608" i="5"/>
  <c r="O608" i="5"/>
  <c r="AA607" i="5"/>
  <c r="AE374" i="2"/>
  <c r="N600" i="5"/>
  <c r="AA598" i="5"/>
  <c r="AM592" i="5"/>
  <c r="AD348" i="2"/>
  <c r="O563" i="5"/>
  <c r="V271" i="2"/>
  <c r="R449" i="5"/>
  <c r="V270" i="2"/>
  <c r="N452" i="5"/>
  <c r="O452" i="5"/>
  <c r="Q253" i="2"/>
  <c r="O420" i="5"/>
  <c r="P420" i="5"/>
  <c r="N417" i="5"/>
  <c r="Q252" i="2"/>
  <c r="R119" i="2"/>
  <c r="Q64" i="2"/>
  <c r="Q47" i="2"/>
  <c r="O101" i="5"/>
  <c r="V38" i="2"/>
  <c r="N82" i="5"/>
  <c r="Q38" i="2"/>
  <c r="O82" i="5"/>
  <c r="Q22" i="2"/>
  <c r="O57" i="5"/>
  <c r="AB16" i="2"/>
  <c r="X36" i="5"/>
  <c r="AB12" i="2"/>
  <c r="Q1403" i="2"/>
  <c r="T1389" i="2"/>
  <c r="AK1389" i="2"/>
  <c r="AD1370" i="2"/>
  <c r="AG980" i="9"/>
  <c r="O980" i="9"/>
  <c r="AH980" i="9"/>
  <c r="R130" i="7"/>
  <c r="V1514" i="2"/>
  <c r="N71" i="7"/>
  <c r="O66" i="7"/>
  <c r="O64" i="7"/>
  <c r="R53" i="7"/>
  <c r="V1468" i="2"/>
  <c r="O48" i="7"/>
  <c r="R22" i="7"/>
  <c r="V1454" i="2"/>
  <c r="V1088" i="5"/>
  <c r="Z718" i="2"/>
  <c r="R1082" i="5"/>
  <c r="V712" i="2"/>
  <c r="R1067" i="5"/>
  <c r="V703" i="2"/>
  <c r="AG1050" i="5"/>
  <c r="Z1049" i="5"/>
  <c r="Y1043" i="5"/>
  <c r="AC686" i="2"/>
  <c r="AG1034" i="5"/>
  <c r="AG1007" i="5"/>
  <c r="Z1006" i="5"/>
  <c r="AA1003" i="5"/>
  <c r="AE999" i="5"/>
  <c r="AI660" i="2"/>
  <c r="W999" i="5"/>
  <c r="AA660" i="2"/>
  <c r="AG993" i="5"/>
  <c r="Z992" i="5"/>
  <c r="S653" i="2"/>
  <c r="AJ653" i="2"/>
  <c r="AB986" i="5"/>
  <c r="AF652" i="2"/>
  <c r="T986" i="5"/>
  <c r="X652" i="2"/>
  <c r="Z983" i="5"/>
  <c r="AG973" i="5"/>
  <c r="Z972" i="5"/>
  <c r="Z965" i="5"/>
  <c r="AA963" i="5"/>
  <c r="Z962" i="5"/>
  <c r="Z954" i="5"/>
  <c r="AB948" i="5"/>
  <c r="T948" i="5"/>
  <c r="Z937" i="5"/>
  <c r="AG930" i="5"/>
  <c r="Z929" i="5"/>
  <c r="Z920" i="5"/>
  <c r="Z910" i="5"/>
  <c r="N896" i="5"/>
  <c r="Q589" i="2"/>
  <c r="S889" i="5"/>
  <c r="W585" i="2"/>
  <c r="N884" i="5"/>
  <c r="Q582" i="2"/>
  <c r="N879" i="5"/>
  <c r="Q577" i="2"/>
  <c r="X875" i="5"/>
  <c r="T871" i="5"/>
  <c r="X571" i="2"/>
  <c r="N867" i="5"/>
  <c r="Q569" i="2"/>
  <c r="X863" i="5"/>
  <c r="X861" i="5"/>
  <c r="R856" i="5"/>
  <c r="U852" i="5"/>
  <c r="Y556" i="2"/>
  <c r="O849" i="5"/>
  <c r="N837" i="5"/>
  <c r="Q545" i="2"/>
  <c r="R829" i="5"/>
  <c r="V539" i="2"/>
  <c r="Z806" i="5"/>
  <c r="R806" i="5"/>
  <c r="Z802" i="5"/>
  <c r="Z797" i="5"/>
  <c r="AA796" i="5"/>
  <c r="S796" i="5"/>
  <c r="V784" i="5"/>
  <c r="V769" i="5"/>
  <c r="T766" i="5"/>
  <c r="X490" i="2"/>
  <c r="Q748" i="5"/>
  <c r="U481" i="2"/>
  <c r="V733" i="5"/>
  <c r="AC731" i="5"/>
  <c r="AA722" i="5"/>
  <c r="AE467" i="2"/>
  <c r="AE721" i="5"/>
  <c r="T461" i="2"/>
  <c r="AL461" i="2"/>
  <c r="R716" i="5"/>
  <c r="V461" i="2"/>
  <c r="AE714" i="5"/>
  <c r="AF712" i="5"/>
  <c r="Y710" i="5"/>
  <c r="AC455" i="2"/>
  <c r="AE708" i="5"/>
  <c r="O708" i="5"/>
  <c r="Y697" i="5"/>
  <c r="V685" i="5"/>
  <c r="Z443" i="2"/>
  <c r="AE677" i="5"/>
  <c r="V435" i="2"/>
  <c r="Y673" i="5"/>
  <c r="N670" i="5"/>
  <c r="Q432" i="2"/>
  <c r="AJ668" i="5"/>
  <c r="S423" i="2"/>
  <c r="AK423" i="2"/>
  <c r="Y661" i="5"/>
  <c r="Y649" i="5"/>
  <c r="V418" i="2"/>
  <c r="N648" i="5"/>
  <c r="Q418" i="2"/>
  <c r="AK645" i="5"/>
  <c r="AJ643" i="5"/>
  <c r="Y642" i="5"/>
  <c r="N640" i="5"/>
  <c r="Q410" i="2"/>
  <c r="AE636" i="5"/>
  <c r="N632" i="5"/>
  <c r="Q402" i="2"/>
  <c r="AE395" i="2"/>
  <c r="AE625" i="5"/>
  <c r="AK625" i="5"/>
  <c r="Z391" i="2"/>
  <c r="T618" i="5"/>
  <c r="N612" i="5"/>
  <c r="V384" i="2"/>
  <c r="Y610" i="5"/>
  <c r="Y607" i="5"/>
  <c r="N610" i="5"/>
  <c r="Q384" i="2"/>
  <c r="AC382" i="2"/>
  <c r="R328" i="2"/>
  <c r="AC291" i="2"/>
  <c r="AI491" i="5"/>
  <c r="Q240" i="2"/>
  <c r="Q149" i="2"/>
  <c r="O269" i="5"/>
  <c r="AC53" i="2"/>
  <c r="Y94" i="5"/>
  <c r="AC43" i="2"/>
  <c r="Q51" i="2"/>
  <c r="O105" i="5"/>
  <c r="R17" i="2"/>
  <c r="P47" i="5"/>
  <c r="AK1397" i="2"/>
  <c r="AD1030" i="5"/>
  <c r="AH676" i="2"/>
  <c r="R1003" i="5"/>
  <c r="AD999" i="5"/>
  <c r="AH660" i="2"/>
  <c r="AI986" i="5"/>
  <c r="AM652" i="2"/>
  <c r="AA986" i="5"/>
  <c r="AE652" i="2"/>
  <c r="S986" i="5"/>
  <c r="W652" i="2"/>
  <c r="R963" i="5"/>
  <c r="AK623" i="2"/>
  <c r="N917" i="5"/>
  <c r="R913" i="5"/>
  <c r="V594" i="2"/>
  <c r="N860" i="5"/>
  <c r="Q562" i="2"/>
  <c r="N857" i="5"/>
  <c r="N855" i="5"/>
  <c r="Q557" i="2"/>
  <c r="O844" i="5"/>
  <c r="O840" i="5"/>
  <c r="Y806" i="5"/>
  <c r="N804" i="5"/>
  <c r="Q521" i="2"/>
  <c r="N800" i="5"/>
  <c r="Q517" i="2"/>
  <c r="N782" i="5"/>
  <c r="Q504" i="2"/>
  <c r="O739" i="5"/>
  <c r="V727" i="5"/>
  <c r="Z470" i="2"/>
  <c r="O724" i="5"/>
  <c r="T467" i="2"/>
  <c r="AL467" i="2"/>
  <c r="R722" i="5"/>
  <c r="V467" i="2"/>
  <c r="N718" i="5"/>
  <c r="Q463" i="2"/>
  <c r="S461" i="2"/>
  <c r="AK461" i="2"/>
  <c r="W712" i="5"/>
  <c r="AC448" i="2"/>
  <c r="AK693" i="5"/>
  <c r="AC447" i="2"/>
  <c r="O692" i="5"/>
  <c r="V446" i="2"/>
  <c r="Y691" i="5"/>
  <c r="T444" i="2"/>
  <c r="AL444" i="2"/>
  <c r="U444" i="2"/>
  <c r="Q685" i="5"/>
  <c r="U443" i="2"/>
  <c r="N680" i="5"/>
  <c r="Q442" i="2"/>
  <c r="AC438" i="2"/>
  <c r="O676" i="5"/>
  <c r="V437" i="2"/>
  <c r="Y675" i="5"/>
  <c r="AA667" i="5"/>
  <c r="V425" i="2"/>
  <c r="N663" i="5"/>
  <c r="Q425" i="2"/>
  <c r="O662" i="5"/>
  <c r="AD660" i="5"/>
  <c r="N647" i="5"/>
  <c r="Q417" i="2"/>
  <c r="AJ645" i="5"/>
  <c r="AL411" i="2"/>
  <c r="V408" i="2"/>
  <c r="N638" i="5"/>
  <c r="Q408" i="2"/>
  <c r="W400" i="2"/>
  <c r="S618" i="5"/>
  <c r="N627" i="5"/>
  <c r="Q397" i="2"/>
  <c r="AE393" i="2"/>
  <c r="AE623" i="5"/>
  <c r="AE621" i="5"/>
  <c r="AJ391" i="2"/>
  <c r="AF618" i="5"/>
  <c r="AF614" i="5"/>
  <c r="AJ387" i="2"/>
  <c r="Y391" i="2"/>
  <c r="U618" i="5"/>
  <c r="U614" i="5"/>
  <c r="Y387" i="2"/>
  <c r="V390" i="2"/>
  <c r="Y620" i="5"/>
  <c r="V376" i="2"/>
  <c r="N602" i="5"/>
  <c r="Q376" i="2"/>
  <c r="V358" i="2"/>
  <c r="Z577" i="5"/>
  <c r="N577" i="5"/>
  <c r="Q358" i="2"/>
  <c r="V333" i="2"/>
  <c r="N548" i="5"/>
  <c r="Q333" i="2"/>
  <c r="R322" i="2"/>
  <c r="V295" i="2"/>
  <c r="R495" i="5"/>
  <c r="V499" i="5"/>
  <c r="W262" i="2"/>
  <c r="S425" i="5"/>
  <c r="W256" i="2"/>
  <c r="R259" i="2"/>
  <c r="P431" i="5"/>
  <c r="V194" i="2"/>
  <c r="N333" i="5"/>
  <c r="Q194" i="2"/>
  <c r="O333" i="5"/>
  <c r="Q169" i="2"/>
  <c r="O297" i="5"/>
  <c r="Q143" i="2"/>
  <c r="O263" i="5"/>
  <c r="V117" i="2"/>
  <c r="N222" i="5"/>
  <c r="R85" i="2"/>
  <c r="P165" i="5"/>
  <c r="AK1415" i="2"/>
  <c r="AL1400" i="2"/>
  <c r="AK1328" i="2"/>
  <c r="O116" i="7"/>
  <c r="O114" i="7"/>
  <c r="O112" i="7"/>
  <c r="N88" i="7"/>
  <c r="S36" i="7"/>
  <c r="W1460" i="2"/>
  <c r="AE1043" i="5"/>
  <c r="W1043" i="5"/>
  <c r="W1030" i="5"/>
  <c r="AA676" i="2"/>
  <c r="N1043" i="5"/>
  <c r="Q686" i="2"/>
  <c r="AC1030" i="5"/>
  <c r="AG676" i="2"/>
  <c r="N1012" i="5"/>
  <c r="AC1011" i="5"/>
  <c r="AK667" i="2"/>
  <c r="Y1003" i="5"/>
  <c r="AC661" i="2"/>
  <c r="U999" i="5"/>
  <c r="Y660" i="2"/>
  <c r="O982" i="5"/>
  <c r="N981" i="5"/>
  <c r="Q648" i="2"/>
  <c r="Z977" i="5"/>
  <c r="AD644" i="2"/>
  <c r="N970" i="5"/>
  <c r="Q637" i="2"/>
  <c r="N968" i="5"/>
  <c r="Q635" i="2"/>
  <c r="Y963" i="5"/>
  <c r="AC630" i="2"/>
  <c r="O961" i="5"/>
  <c r="N960" i="5"/>
  <c r="Q627" i="2"/>
  <c r="O953" i="5"/>
  <c r="N952" i="5"/>
  <c r="O936" i="5"/>
  <c r="N935" i="5"/>
  <c r="Q609" i="2"/>
  <c r="AK606" i="2"/>
  <c r="O928" i="5"/>
  <c r="N927" i="5"/>
  <c r="R923" i="5"/>
  <c r="V600" i="2"/>
  <c r="O919" i="5"/>
  <c r="N918" i="5"/>
  <c r="Q596" i="2"/>
  <c r="X900" i="5"/>
  <c r="Q889" i="5"/>
  <c r="U585" i="2"/>
  <c r="N885" i="5"/>
  <c r="Q583" i="2"/>
  <c r="N880" i="5"/>
  <c r="Q578" i="2"/>
  <c r="O868" i="5"/>
  <c r="N865" i="5"/>
  <c r="Q567" i="2"/>
  <c r="S852" i="5"/>
  <c r="W556" i="2"/>
  <c r="O847" i="5"/>
  <c r="X840" i="5"/>
  <c r="AB547" i="2"/>
  <c r="N838" i="5"/>
  <c r="Q546" i="2"/>
  <c r="N834" i="5"/>
  <c r="Q542" i="2"/>
  <c r="N827" i="5"/>
  <c r="R823" i="5"/>
  <c r="N815" i="5"/>
  <c r="Q532" i="2"/>
  <c r="Z812" i="5"/>
  <c r="R812" i="5"/>
  <c r="N810" i="5"/>
  <c r="Q527" i="2"/>
  <c r="N805" i="5"/>
  <c r="Q522" i="2"/>
  <c r="N786" i="5"/>
  <c r="Q508" i="2"/>
  <c r="O780" i="5"/>
  <c r="N776" i="5"/>
  <c r="Q498" i="2"/>
  <c r="N771" i="5"/>
  <c r="Q493" i="2"/>
  <c r="O742" i="5"/>
  <c r="N739" i="5"/>
  <c r="R736" i="5"/>
  <c r="V475" i="2"/>
  <c r="N731" i="5"/>
  <c r="Q472" i="2"/>
  <c r="AK724" i="5"/>
  <c r="N724" i="5"/>
  <c r="Q469" i="2"/>
  <c r="O723" i="5"/>
  <c r="S467" i="2"/>
  <c r="AK467" i="2"/>
  <c r="Y722" i="5"/>
  <c r="N717" i="5"/>
  <c r="AD712" i="5"/>
  <c r="V712" i="5"/>
  <c r="Z457" i="2"/>
  <c r="O711" i="5"/>
  <c r="V448" i="2"/>
  <c r="N693" i="5"/>
  <c r="Q448" i="2"/>
  <c r="S444" i="2"/>
  <c r="AK444" i="2"/>
  <c r="AG685" i="5"/>
  <c r="AD685" i="5"/>
  <c r="AH443" i="2"/>
  <c r="T685" i="5"/>
  <c r="X443" i="2"/>
  <c r="AJ679" i="5"/>
  <c r="AC439" i="2"/>
  <c r="AK677" i="5"/>
  <c r="AK677" i="4"/>
  <c r="T426" i="2"/>
  <c r="AL426" i="2"/>
  <c r="AE661" i="5"/>
  <c r="AC660" i="5"/>
  <c r="S660" i="5"/>
  <c r="O648" i="5"/>
  <c r="AF641" i="5"/>
  <c r="N635" i="5"/>
  <c r="Q405" i="2"/>
  <c r="AM400" i="2"/>
  <c r="R630" i="5"/>
  <c r="V395" i="2"/>
  <c r="N625" i="5"/>
  <c r="Q395" i="2"/>
  <c r="AC393" i="2"/>
  <c r="O623" i="5"/>
  <c r="N622" i="5"/>
  <c r="AH391" i="2"/>
  <c r="AD618" i="5"/>
  <c r="Y381" i="2"/>
  <c r="U592" i="5"/>
  <c r="Y369" i="2"/>
  <c r="AE375" i="2"/>
  <c r="AE601" i="5"/>
  <c r="AK601" i="5"/>
  <c r="V370" i="2"/>
  <c r="Y596" i="5"/>
  <c r="N596" i="5"/>
  <c r="Q370" i="2"/>
  <c r="V355" i="2"/>
  <c r="Z574" i="5"/>
  <c r="N574" i="5"/>
  <c r="AC335" i="2"/>
  <c r="Z550" i="5"/>
  <c r="R325" i="2"/>
  <c r="AC319" i="2"/>
  <c r="Z534" i="5"/>
  <c r="R282" i="2"/>
  <c r="O469" i="5"/>
  <c r="V266" i="2"/>
  <c r="N441" i="5"/>
  <c r="Q266" i="2"/>
  <c r="O441" i="5"/>
  <c r="V67" i="2"/>
  <c r="R130" i="5"/>
  <c r="V66" i="2"/>
  <c r="N133" i="5"/>
  <c r="AF44" i="2"/>
  <c r="AB94" i="5"/>
  <c r="AF43" i="2"/>
  <c r="W44" i="2"/>
  <c r="S94" i="5"/>
  <c r="W43" i="2"/>
  <c r="V36" i="2"/>
  <c r="R77" i="5"/>
  <c r="V35" i="2"/>
  <c r="N80" i="5"/>
  <c r="O80" i="5"/>
  <c r="AD1388" i="2"/>
  <c r="AH1007" i="9"/>
  <c r="AL1388" i="2"/>
  <c r="AG1007" i="9"/>
  <c r="O1007" i="9"/>
  <c r="AD1355" i="2"/>
  <c r="AH965" i="9"/>
  <c r="AL1355" i="2"/>
  <c r="O965" i="9"/>
  <c r="AG965" i="9"/>
  <c r="N619" i="5"/>
  <c r="N611" i="5"/>
  <c r="Q385" i="2"/>
  <c r="N604" i="5"/>
  <c r="Q378" i="2"/>
  <c r="AK597" i="5"/>
  <c r="N597" i="5"/>
  <c r="N595" i="5"/>
  <c r="N586" i="5"/>
  <c r="N583" i="5"/>
  <c r="Q364" i="2"/>
  <c r="N580" i="5"/>
  <c r="Q361" i="2"/>
  <c r="Z572" i="5"/>
  <c r="N571" i="5"/>
  <c r="N565" i="5"/>
  <c r="Q350" i="2"/>
  <c r="N562" i="5"/>
  <c r="Q347" i="2"/>
  <c r="N559" i="5"/>
  <c r="Q344" i="2"/>
  <c r="N547" i="5"/>
  <c r="Q332" i="2"/>
  <c r="Z545" i="5"/>
  <c r="N543" i="5"/>
  <c r="Q328" i="2"/>
  <c r="N540" i="5"/>
  <c r="Q325" i="2"/>
  <c r="N537" i="5"/>
  <c r="Q322" i="2"/>
  <c r="N532" i="5"/>
  <c r="Q317" i="2"/>
  <c r="Z524" i="5"/>
  <c r="X495" i="5"/>
  <c r="N472" i="5"/>
  <c r="P472" i="5"/>
  <c r="N461" i="5"/>
  <c r="Q277" i="2"/>
  <c r="N459" i="5"/>
  <c r="N429" i="5"/>
  <c r="R417" i="5"/>
  <c r="V252" i="2"/>
  <c r="O337" i="5"/>
  <c r="N325" i="5"/>
  <c r="N323" i="5"/>
  <c r="N321" i="5"/>
  <c r="N319" i="5"/>
  <c r="N317" i="5"/>
  <c r="O309" i="5"/>
  <c r="O307" i="5"/>
  <c r="O305" i="5"/>
  <c r="N295" i="5"/>
  <c r="AB292" i="5"/>
  <c r="AF166" i="2"/>
  <c r="O287" i="5"/>
  <c r="O285" i="5"/>
  <c r="O283" i="5"/>
  <c r="O281" i="5"/>
  <c r="O279" i="5"/>
  <c r="R156" i="2"/>
  <c r="O277" i="5"/>
  <c r="O275" i="5"/>
  <c r="N259" i="5"/>
  <c r="N257" i="5"/>
  <c r="N255" i="5"/>
  <c r="O247" i="5"/>
  <c r="O245" i="5"/>
  <c r="R234" i="5"/>
  <c r="V124" i="2"/>
  <c r="N229" i="5"/>
  <c r="Q121" i="2"/>
  <c r="N227" i="5"/>
  <c r="P227" i="5"/>
  <c r="N211" i="5"/>
  <c r="N208" i="5"/>
  <c r="N185" i="5"/>
  <c r="N163" i="5"/>
  <c r="O155" i="5"/>
  <c r="O153" i="5"/>
  <c r="R142" i="5"/>
  <c r="V72" i="2"/>
  <c r="N138" i="5"/>
  <c r="O115" i="5"/>
  <c r="O113" i="5"/>
  <c r="O111" i="5"/>
  <c r="R96" i="5"/>
  <c r="N93" i="5"/>
  <c r="O67" i="5"/>
  <c r="O65" i="5"/>
  <c r="N50" i="5"/>
  <c r="O25" i="5"/>
  <c r="S20" i="5"/>
  <c r="V1095" i="9"/>
  <c r="V1085" i="9"/>
  <c r="V1080" i="9"/>
  <c r="V1427" i="2"/>
  <c r="N1070" i="9"/>
  <c r="R1423" i="2"/>
  <c r="N1060" i="9"/>
  <c r="X1419" i="2"/>
  <c r="O1058" i="9"/>
  <c r="Z1040" i="9"/>
  <c r="AD1393" i="2"/>
  <c r="AG1012" i="9"/>
  <c r="S1383" i="2"/>
  <c r="AJ1383" i="2"/>
  <c r="Y999" i="9"/>
  <c r="AC1383" i="2"/>
  <c r="Z996" i="9"/>
  <c r="AD986" i="9"/>
  <c r="AH1375" i="2"/>
  <c r="V1363" i="2"/>
  <c r="N973" i="9"/>
  <c r="Q1363" i="2"/>
  <c r="V1361" i="2"/>
  <c r="Z971" i="9"/>
  <c r="N971" i="9"/>
  <c r="Q1361" i="2"/>
  <c r="AD1356" i="2"/>
  <c r="O966" i="9"/>
  <c r="AJ1353" i="2"/>
  <c r="S1353" i="2"/>
  <c r="N956" i="9"/>
  <c r="Q1346" i="2"/>
  <c r="P953" i="9"/>
  <c r="AD1342" i="2"/>
  <c r="O951" i="9"/>
  <c r="AG951" i="9"/>
  <c r="AJ948" i="9"/>
  <c r="AJ944" i="9"/>
  <c r="AE948" i="9"/>
  <c r="N929" i="9"/>
  <c r="Q1327" i="2"/>
  <c r="X1324" i="2"/>
  <c r="AD1322" i="2"/>
  <c r="AG920" i="9"/>
  <c r="AH920" i="9"/>
  <c r="AL1322" i="2"/>
  <c r="O920" i="9"/>
  <c r="N910" i="9"/>
  <c r="V1311" i="2"/>
  <c r="X894" i="9"/>
  <c r="R891" i="9"/>
  <c r="Q1283" i="2"/>
  <c r="V1267" i="2"/>
  <c r="X835" i="9"/>
  <c r="N835" i="9"/>
  <c r="Q1267" i="2"/>
  <c r="Z1222" i="2"/>
  <c r="O776" i="9"/>
  <c r="AC1195" i="2"/>
  <c r="Y727" i="9"/>
  <c r="AC1194" i="2"/>
  <c r="V1186" i="2"/>
  <c r="Y717" i="9"/>
  <c r="N717" i="9"/>
  <c r="R716" i="9"/>
  <c r="V1185" i="2"/>
  <c r="AA1168" i="2"/>
  <c r="W685" i="9"/>
  <c r="AA1167" i="2"/>
  <c r="AE1162" i="2"/>
  <c r="AE676" i="9"/>
  <c r="V1138" i="2"/>
  <c r="Y644" i="9"/>
  <c r="N644" i="9"/>
  <c r="Q1138" i="2"/>
  <c r="AD1045" i="2"/>
  <c r="O535" i="9"/>
  <c r="T429" i="2"/>
  <c r="AL429" i="2"/>
  <c r="AI641" i="5"/>
  <c r="AE640" i="5"/>
  <c r="Y634" i="5"/>
  <c r="AE632" i="5"/>
  <c r="AE620" i="5"/>
  <c r="W618" i="5"/>
  <c r="AE612" i="5"/>
  <c r="AL381" i="2"/>
  <c r="T381" i="2"/>
  <c r="R607" i="5"/>
  <c r="AE605" i="5"/>
  <c r="AJ604" i="5"/>
  <c r="AJ592" i="5"/>
  <c r="Y599" i="5"/>
  <c r="AJ597" i="5"/>
  <c r="Q592" i="5"/>
  <c r="U369" i="2"/>
  <c r="Z585" i="5"/>
  <c r="Z582" i="5"/>
  <c r="Z579" i="5"/>
  <c r="Z564" i="5"/>
  <c r="AD349" i="2"/>
  <c r="Z561" i="5"/>
  <c r="Z558" i="5"/>
  <c r="N556" i="5"/>
  <c r="Q341" i="2"/>
  <c r="N553" i="5"/>
  <c r="Q338" i="2"/>
  <c r="Z539" i="5"/>
  <c r="Z536" i="5"/>
  <c r="Z531" i="5"/>
  <c r="N529" i="5"/>
  <c r="Q314" i="2"/>
  <c r="N526" i="5"/>
  <c r="Q311" i="2"/>
  <c r="N522" i="5"/>
  <c r="AC507" i="5"/>
  <c r="W493" i="5"/>
  <c r="AA292" i="2"/>
  <c r="Y489" i="5"/>
  <c r="R399" i="5"/>
  <c r="V239" i="2"/>
  <c r="N396" i="5"/>
  <c r="N394" i="5"/>
  <c r="N392" i="5"/>
  <c r="N390" i="5"/>
  <c r="N388" i="5"/>
  <c r="N386" i="5"/>
  <c r="N384" i="5"/>
  <c r="N353" i="5"/>
  <c r="N351" i="5"/>
  <c r="N349" i="5"/>
  <c r="N347" i="5"/>
  <c r="N345" i="5"/>
  <c r="N337" i="5"/>
  <c r="Q198" i="2"/>
  <c r="N312" i="5"/>
  <c r="N309" i="5"/>
  <c r="Q178" i="2"/>
  <c r="N307" i="5"/>
  <c r="Q176" i="2"/>
  <c r="N305" i="5"/>
  <c r="R292" i="5"/>
  <c r="V166" i="2"/>
  <c r="N287" i="5"/>
  <c r="Q164" i="2"/>
  <c r="N285" i="5"/>
  <c r="Q162" i="2"/>
  <c r="N283" i="5"/>
  <c r="Q160" i="2"/>
  <c r="N281" i="5"/>
  <c r="Q158" i="2"/>
  <c r="N279" i="5"/>
  <c r="Q156" i="2"/>
  <c r="N277" i="5"/>
  <c r="Q154" i="2"/>
  <c r="N275" i="5"/>
  <c r="Q152" i="2"/>
  <c r="N273" i="5"/>
  <c r="N250" i="5"/>
  <c r="N247" i="5"/>
  <c r="Q132" i="2"/>
  <c r="N245" i="5"/>
  <c r="R201" i="5"/>
  <c r="V104" i="2"/>
  <c r="N199" i="5"/>
  <c r="N197" i="5"/>
  <c r="N195" i="5"/>
  <c r="N193" i="5"/>
  <c r="N158" i="5"/>
  <c r="N155" i="5"/>
  <c r="Q80" i="2"/>
  <c r="N153" i="5"/>
  <c r="R124" i="5"/>
  <c r="V63" i="2"/>
  <c r="N122" i="5"/>
  <c r="N120" i="5"/>
  <c r="N115" i="5"/>
  <c r="Q58" i="2"/>
  <c r="N113" i="5"/>
  <c r="AA94" i="5"/>
  <c r="AE43" i="2"/>
  <c r="R69" i="5"/>
  <c r="V30" i="2"/>
  <c r="N67" i="5"/>
  <c r="Q29" i="2"/>
  <c r="N65" i="5"/>
  <c r="N63" i="5"/>
  <c r="R1425" i="2"/>
  <c r="N1062" i="9"/>
  <c r="Q1423" i="2"/>
  <c r="AD1415" i="2"/>
  <c r="AH1049" i="9"/>
  <c r="AL1415" i="2"/>
  <c r="R1046" i="9"/>
  <c r="V1412" i="2"/>
  <c r="T1043" i="9"/>
  <c r="X1409" i="2"/>
  <c r="AD1404" i="2"/>
  <c r="AG1038" i="9"/>
  <c r="AG1401" i="2"/>
  <c r="AC1030" i="9"/>
  <c r="AG1399" i="2"/>
  <c r="AD1391" i="2"/>
  <c r="O1010" i="9"/>
  <c r="AG1010" i="9"/>
  <c r="V1388" i="2"/>
  <c r="N1007" i="9"/>
  <c r="Q1388" i="2"/>
  <c r="V1386" i="2"/>
  <c r="Z1005" i="9"/>
  <c r="R1003" i="9"/>
  <c r="N1005" i="9"/>
  <c r="Q1386" i="2"/>
  <c r="AI999" i="9"/>
  <c r="AM1383" i="2"/>
  <c r="R994" i="9"/>
  <c r="V1380" i="2"/>
  <c r="V1377" i="2"/>
  <c r="N991" i="9"/>
  <c r="Z991" i="9"/>
  <c r="AB986" i="9"/>
  <c r="AF1375" i="2"/>
  <c r="V1373" i="2"/>
  <c r="N983" i="9"/>
  <c r="Q1373" i="2"/>
  <c r="Z983" i="9"/>
  <c r="Z979" i="9"/>
  <c r="AD1369" i="2"/>
  <c r="N980" i="9"/>
  <c r="O978" i="9"/>
  <c r="T1364" i="2"/>
  <c r="AK1364" i="2"/>
  <c r="O973" i="9"/>
  <c r="AD1354" i="2"/>
  <c r="AG964" i="9"/>
  <c r="O964" i="9"/>
  <c r="AD1352" i="2"/>
  <c r="AG962" i="9"/>
  <c r="V1349" i="2"/>
  <c r="N959" i="9"/>
  <c r="Z959" i="9"/>
  <c r="AD1347" i="2"/>
  <c r="AH957" i="9"/>
  <c r="AL1347" i="2"/>
  <c r="U944" i="9"/>
  <c r="AD1336" i="2"/>
  <c r="AH938" i="9"/>
  <c r="T1336" i="2"/>
  <c r="V1334" i="2"/>
  <c r="Z936" i="9"/>
  <c r="N936" i="9"/>
  <c r="Q1334" i="2"/>
  <c r="V1326" i="2"/>
  <c r="Z928" i="9"/>
  <c r="N928" i="9"/>
  <c r="R923" i="9"/>
  <c r="V1324" i="2"/>
  <c r="AF1324" i="2"/>
  <c r="N894" i="9"/>
  <c r="AB1277" i="2"/>
  <c r="O848" i="9"/>
  <c r="X840" i="9"/>
  <c r="AB1271" i="2"/>
  <c r="V1244" i="2"/>
  <c r="Z803" i="9"/>
  <c r="N803" i="9"/>
  <c r="Q1244" i="2"/>
  <c r="W1235" i="2"/>
  <c r="V1193" i="2"/>
  <c r="Y724" i="9"/>
  <c r="N724" i="9"/>
  <c r="Q1193" i="2"/>
  <c r="AE1179" i="2"/>
  <c r="AE710" i="9"/>
  <c r="AE1171" i="2"/>
  <c r="AE692" i="9"/>
  <c r="AC1155" i="2"/>
  <c r="AJ669" i="9"/>
  <c r="AK669" i="9"/>
  <c r="O669" i="9"/>
  <c r="AE1129" i="2"/>
  <c r="AE635" i="9"/>
  <c r="S1124" i="2"/>
  <c r="AK1124" i="2"/>
  <c r="AC1123" i="2"/>
  <c r="AJ629" i="9"/>
  <c r="AK629" i="9"/>
  <c r="O629" i="9"/>
  <c r="AL1116" i="2"/>
  <c r="T1116" i="2"/>
  <c r="AH618" i="9"/>
  <c r="T391" i="2"/>
  <c r="AL391" i="2"/>
  <c r="N617" i="5"/>
  <c r="S381" i="2"/>
  <c r="AK381" i="2"/>
  <c r="AC380" i="2"/>
  <c r="E348" i="6"/>
  <c r="AE348" i="6"/>
  <c r="AF348" i="6"/>
  <c r="AF592" i="5"/>
  <c r="AJ369" i="2"/>
  <c r="X592" i="5"/>
  <c r="AB369" i="2"/>
  <c r="Z576" i="5"/>
  <c r="Z573" i="5"/>
  <c r="Z546" i="5"/>
  <c r="Z525" i="5"/>
  <c r="N514" i="5"/>
  <c r="N506" i="5"/>
  <c r="N497" i="5"/>
  <c r="N476" i="5"/>
  <c r="N465" i="5"/>
  <c r="N457" i="5"/>
  <c r="Q275" i="2"/>
  <c r="N437" i="5"/>
  <c r="N424" i="5"/>
  <c r="N379" i="5"/>
  <c r="N376" i="5"/>
  <c r="R342" i="5"/>
  <c r="V200" i="2"/>
  <c r="N329" i="5"/>
  <c r="X313" i="5"/>
  <c r="AB180" i="2"/>
  <c r="X251" i="5"/>
  <c r="AB134" i="2"/>
  <c r="R224" i="5"/>
  <c r="V118" i="2"/>
  <c r="N218" i="5"/>
  <c r="X189" i="5"/>
  <c r="R173" i="5"/>
  <c r="V89" i="2"/>
  <c r="N169" i="5"/>
  <c r="N161" i="5"/>
  <c r="O128" i="5"/>
  <c r="O102" i="5"/>
  <c r="Z94" i="5"/>
  <c r="AD43" i="2"/>
  <c r="Q94" i="5"/>
  <c r="U43" i="2"/>
  <c r="AB86" i="5"/>
  <c r="AF40" i="2"/>
  <c r="N85" i="5"/>
  <c r="O56" i="5"/>
  <c r="S51" i="5"/>
  <c r="W19" i="2"/>
  <c r="R44" i="5"/>
  <c r="V16" i="2"/>
  <c r="N40" i="5"/>
  <c r="O35" i="5"/>
  <c r="O31" i="5"/>
  <c r="R22" i="5"/>
  <c r="V6" i="2"/>
  <c r="V1093" i="9"/>
  <c r="O1091" i="9"/>
  <c r="N1088" i="9"/>
  <c r="Q1441" i="2"/>
  <c r="V1078" i="9"/>
  <c r="T1075" i="9"/>
  <c r="X1430" i="2"/>
  <c r="N1072" i="9"/>
  <c r="Q1428" i="2"/>
  <c r="N1064" i="9"/>
  <c r="Q1425" i="2"/>
  <c r="T1055" i="9"/>
  <c r="X1418" i="2"/>
  <c r="V1415" i="2"/>
  <c r="N1049" i="9"/>
  <c r="Q1415" i="2"/>
  <c r="N1048" i="9"/>
  <c r="Q1414" i="2"/>
  <c r="AE1043" i="9"/>
  <c r="AI1409" i="2"/>
  <c r="V1402" i="2"/>
  <c r="R1035" i="9"/>
  <c r="V1401" i="2"/>
  <c r="Q1400" i="2"/>
  <c r="N1014" i="9"/>
  <c r="Q1395" i="2"/>
  <c r="P1012" i="9"/>
  <c r="U999" i="9"/>
  <c r="Y1383" i="2"/>
  <c r="AJ1366" i="2"/>
  <c r="S1366" i="2"/>
  <c r="AD1364" i="2"/>
  <c r="O974" i="9"/>
  <c r="V1359" i="2"/>
  <c r="Z969" i="9"/>
  <c r="V1354" i="2"/>
  <c r="R963" i="9"/>
  <c r="V1353" i="2"/>
  <c r="V1347" i="2"/>
  <c r="N957" i="9"/>
  <c r="Q1347" i="2"/>
  <c r="V1345" i="2"/>
  <c r="Z954" i="9"/>
  <c r="N954" i="9"/>
  <c r="Q1345" i="2"/>
  <c r="AA948" i="9"/>
  <c r="S944" i="9"/>
  <c r="W1338" i="2"/>
  <c r="O942" i="9"/>
  <c r="V1332" i="2"/>
  <c r="Z934" i="9"/>
  <c r="V1330" i="2"/>
  <c r="N932" i="9"/>
  <c r="Q1330" i="2"/>
  <c r="Z932" i="9"/>
  <c r="N920" i="9"/>
  <c r="Q1322" i="2"/>
  <c r="AE1318" i="2"/>
  <c r="W1318" i="2"/>
  <c r="V1308" i="2"/>
  <c r="X886" i="9"/>
  <c r="N886" i="9"/>
  <c r="Q1308" i="2"/>
  <c r="R1273" i="2"/>
  <c r="P844" i="9"/>
  <c r="V1249" i="2"/>
  <c r="Z808" i="9"/>
  <c r="N808" i="9"/>
  <c r="AD1241" i="2"/>
  <c r="O800" i="9"/>
  <c r="R1208" i="2"/>
  <c r="O752" i="9"/>
  <c r="P753" i="9"/>
  <c r="AE1185" i="2"/>
  <c r="AE716" i="9"/>
  <c r="AI1185" i="2"/>
  <c r="Q1176" i="2"/>
  <c r="AM660" i="9"/>
  <c r="V1147" i="2"/>
  <c r="Y661" i="9"/>
  <c r="AG1023" i="2"/>
  <c r="O507" i="9"/>
  <c r="AA689" i="5"/>
  <c r="AA664" i="5"/>
  <c r="AF660" i="5"/>
  <c r="X660" i="5"/>
  <c r="S412" i="2"/>
  <c r="AK412" i="2"/>
  <c r="AG641" i="5"/>
  <c r="N636" i="5"/>
  <c r="Q406" i="2"/>
  <c r="N629" i="5"/>
  <c r="Q399" i="2"/>
  <c r="O628" i="5"/>
  <c r="R398" i="2"/>
  <c r="N623" i="5"/>
  <c r="Q393" i="2"/>
  <c r="O622" i="5"/>
  <c r="S391" i="2"/>
  <c r="AK391" i="2"/>
  <c r="N608" i="5"/>
  <c r="Q382" i="2"/>
  <c r="Y605" i="5"/>
  <c r="AE603" i="5"/>
  <c r="N601" i="5"/>
  <c r="Q375" i="2"/>
  <c r="T372" i="2"/>
  <c r="AL372" i="2"/>
  <c r="R598" i="5"/>
  <c r="AE596" i="5"/>
  <c r="N589" i="5"/>
  <c r="N584" i="5"/>
  <c r="Q365" i="2"/>
  <c r="N581" i="5"/>
  <c r="Q362" i="2"/>
  <c r="N578" i="5"/>
  <c r="Q359" i="2"/>
  <c r="R569" i="5"/>
  <c r="V352" i="2"/>
  <c r="N566" i="5"/>
  <c r="Q351" i="2"/>
  <c r="N563" i="5"/>
  <c r="Q348" i="2"/>
  <c r="Z559" i="5"/>
  <c r="N557" i="5"/>
  <c r="Q342" i="2"/>
  <c r="Z555" i="5"/>
  <c r="O554" i="5"/>
  <c r="N550" i="5"/>
  <c r="Q335" i="2"/>
  <c r="Z547" i="5"/>
  <c r="N544" i="5"/>
  <c r="Q329" i="2"/>
  <c r="N541" i="5"/>
  <c r="Q326" i="2"/>
  <c r="N538" i="5"/>
  <c r="Q323" i="2"/>
  <c r="N534" i="5"/>
  <c r="Q319" i="2"/>
  <c r="N530" i="5"/>
  <c r="Q315" i="2"/>
  <c r="N527" i="5"/>
  <c r="Q312" i="2"/>
  <c r="N523" i="5"/>
  <c r="Q308" i="2"/>
  <c r="U493" i="5"/>
  <c r="Y292" i="2"/>
  <c r="N491" i="5"/>
  <c r="Q291" i="2"/>
  <c r="O490" i="5"/>
  <c r="O463" i="5"/>
  <c r="O460" i="5"/>
  <c r="O447" i="5"/>
  <c r="O432" i="5"/>
  <c r="O430" i="5"/>
  <c r="X425" i="5"/>
  <c r="AB256" i="2"/>
  <c r="N419" i="5"/>
  <c r="N413" i="5"/>
  <c r="Q251" i="2"/>
  <c r="N411" i="5"/>
  <c r="Q249" i="2"/>
  <c r="N409" i="5"/>
  <c r="Q247" i="2"/>
  <c r="N407" i="5"/>
  <c r="Q245" i="2"/>
  <c r="N405" i="5"/>
  <c r="Q243" i="2"/>
  <c r="N403" i="5"/>
  <c r="Q241" i="2"/>
  <c r="N401" i="5"/>
  <c r="X380" i="5"/>
  <c r="AB225" i="2"/>
  <c r="N371" i="5"/>
  <c r="N368" i="5"/>
  <c r="Q220" i="2"/>
  <c r="N366" i="5"/>
  <c r="Q218" i="2"/>
  <c r="N364" i="5"/>
  <c r="Q216" i="2"/>
  <c r="N362" i="5"/>
  <c r="Q214" i="2"/>
  <c r="N360" i="5"/>
  <c r="P354" i="5"/>
  <c r="P352" i="5"/>
  <c r="P348" i="5"/>
  <c r="P346" i="5"/>
  <c r="P336" i="5"/>
  <c r="O324" i="5"/>
  <c r="O320" i="5"/>
  <c r="S313" i="5"/>
  <c r="W180" i="2"/>
  <c r="R302" i="5"/>
  <c r="V173" i="2"/>
  <c r="N300" i="5"/>
  <c r="N298" i="5"/>
  <c r="O296" i="5"/>
  <c r="P286" i="5"/>
  <c r="P284" i="5"/>
  <c r="P282" i="5"/>
  <c r="P280" i="5"/>
  <c r="P278" i="5"/>
  <c r="P276" i="5"/>
  <c r="P274" i="5"/>
  <c r="N271" i="5"/>
  <c r="Q150" i="2"/>
  <c r="N268" i="5"/>
  <c r="N266" i="5"/>
  <c r="N264" i="5"/>
  <c r="N262" i="5"/>
  <c r="N260" i="5"/>
  <c r="AC253" i="5"/>
  <c r="AG135" i="2"/>
  <c r="S251" i="5"/>
  <c r="W134" i="2"/>
  <c r="P246" i="5"/>
  <c r="R242" i="5"/>
  <c r="V129" i="2"/>
  <c r="N240" i="5"/>
  <c r="N238" i="5"/>
  <c r="N236" i="5"/>
  <c r="O230" i="5"/>
  <c r="O224" i="5"/>
  <c r="O228" i="5"/>
  <c r="O207" i="5"/>
  <c r="O205" i="5"/>
  <c r="AE189" i="5"/>
  <c r="AI96" i="2"/>
  <c r="W189" i="5"/>
  <c r="AA96" i="2"/>
  <c r="S179" i="5"/>
  <c r="W92" i="2"/>
  <c r="O177" i="5"/>
  <c r="O164" i="5"/>
  <c r="X159" i="5"/>
  <c r="AB82" i="2"/>
  <c r="R150" i="5"/>
  <c r="V77" i="2"/>
  <c r="N148" i="5"/>
  <c r="N146" i="5"/>
  <c r="N144" i="5"/>
  <c r="O139" i="5"/>
  <c r="N128" i="5"/>
  <c r="Q65" i="2"/>
  <c r="N126" i="5"/>
  <c r="P116" i="5"/>
  <c r="P114" i="5"/>
  <c r="P112" i="5"/>
  <c r="R108" i="5"/>
  <c r="V53" i="2"/>
  <c r="N106" i="5"/>
  <c r="N104" i="5"/>
  <c r="N98" i="5"/>
  <c r="O48" i="5"/>
  <c r="O44" i="5"/>
  <c r="N35" i="5"/>
  <c r="R1067" i="9"/>
  <c r="V1426" i="2"/>
  <c r="P1061" i="9"/>
  <c r="R1059" i="9"/>
  <c r="V1420" i="2"/>
  <c r="N1058" i="9"/>
  <c r="T1416" i="2"/>
  <c r="AK1416" i="2"/>
  <c r="S1412" i="2"/>
  <c r="AJ1412" i="2"/>
  <c r="AF1043" i="9"/>
  <c r="AB1412" i="2"/>
  <c r="X1043" i="9"/>
  <c r="AD1410" i="2"/>
  <c r="O1044" i="9"/>
  <c r="AG1044" i="9"/>
  <c r="AK1407" i="2"/>
  <c r="N1040" i="9"/>
  <c r="Q1406" i="2"/>
  <c r="AE1401" i="2"/>
  <c r="AA1030" i="9"/>
  <c r="AE1399" i="2"/>
  <c r="AD1389" i="2"/>
  <c r="O1008" i="9"/>
  <c r="S999" i="9"/>
  <c r="W1383" i="2"/>
  <c r="N996" i="9"/>
  <c r="Q1382" i="2"/>
  <c r="S1380" i="2"/>
  <c r="AJ1380" i="2"/>
  <c r="AD1378" i="2"/>
  <c r="O992" i="9"/>
  <c r="AG992" i="9"/>
  <c r="AE1376" i="2"/>
  <c r="AA986" i="9"/>
  <c r="AE1375" i="2"/>
  <c r="W1376" i="2"/>
  <c r="S986" i="9"/>
  <c r="W1375" i="2"/>
  <c r="X986" i="9"/>
  <c r="AB1375" i="2"/>
  <c r="AD1374" i="2"/>
  <c r="O984" i="9"/>
  <c r="AG984" i="9"/>
  <c r="V1371" i="2"/>
  <c r="N981" i="9"/>
  <c r="Q1371" i="2"/>
  <c r="N976" i="9"/>
  <c r="Q1366" i="2"/>
  <c r="AD1362" i="2"/>
  <c r="AG972" i="9"/>
  <c r="O972" i="9"/>
  <c r="AD1350" i="2"/>
  <c r="O960" i="9"/>
  <c r="AG960" i="9"/>
  <c r="O957" i="9"/>
  <c r="S1340" i="2"/>
  <c r="AJ1340" i="2"/>
  <c r="AF948" i="9"/>
  <c r="AB1340" i="2"/>
  <c r="X948" i="9"/>
  <c r="Q944" i="9"/>
  <c r="U1338" i="2"/>
  <c r="O938" i="9"/>
  <c r="AD1328" i="2"/>
  <c r="AH930" i="9"/>
  <c r="AL1325" i="2"/>
  <c r="AJ906" i="9"/>
  <c r="V1321" i="2"/>
  <c r="Z919" i="9"/>
  <c r="N919" i="9"/>
  <c r="Q1321" i="2"/>
  <c r="AM1318" i="2"/>
  <c r="R913" i="9"/>
  <c r="V1318" i="2"/>
  <c r="R1256" i="2"/>
  <c r="P815" i="9"/>
  <c r="AD1236" i="2"/>
  <c r="O795" i="9"/>
  <c r="V1164" i="2"/>
  <c r="Y678" i="9"/>
  <c r="N678" i="9"/>
  <c r="Q1164" i="2"/>
  <c r="AI1161" i="2"/>
  <c r="AK675" i="9"/>
  <c r="AD1147" i="2"/>
  <c r="Z660" i="9"/>
  <c r="V1144" i="2"/>
  <c r="Y653" i="9"/>
  <c r="N653" i="9"/>
  <c r="Q1144" i="2"/>
  <c r="AC1137" i="2"/>
  <c r="E394" i="10"/>
  <c r="AE394" i="10"/>
  <c r="AJ643" i="9"/>
  <c r="AK643" i="9"/>
  <c r="O643" i="9"/>
  <c r="AE1122" i="2"/>
  <c r="AE627" i="9"/>
  <c r="AI1122" i="2"/>
  <c r="S372" i="2"/>
  <c r="AK372" i="2"/>
  <c r="Z556" i="5"/>
  <c r="P552" i="5"/>
  <c r="Z529" i="5"/>
  <c r="Z526" i="5"/>
  <c r="Z522" i="5"/>
  <c r="O522" i="5"/>
  <c r="N519" i="5"/>
  <c r="U517" i="5"/>
  <c r="Y304" i="2"/>
  <c r="S515" i="5"/>
  <c r="T493" i="5"/>
  <c r="X292" i="2"/>
  <c r="AL287" i="2"/>
  <c r="N471" i="5"/>
  <c r="P466" i="5"/>
  <c r="N463" i="5"/>
  <c r="Q278" i="2"/>
  <c r="N445" i="5"/>
  <c r="P332" i="5"/>
  <c r="Y327" i="5"/>
  <c r="AC190" i="2"/>
  <c r="N294" i="5"/>
  <c r="N258" i="5"/>
  <c r="N256" i="5"/>
  <c r="N230" i="5"/>
  <c r="Q122" i="2"/>
  <c r="N228" i="5"/>
  <c r="Q120" i="2"/>
  <c r="N226" i="5"/>
  <c r="N209" i="5"/>
  <c r="N203" i="5"/>
  <c r="AD189" i="5"/>
  <c r="U189" i="5"/>
  <c r="Y96" i="2"/>
  <c r="N175" i="5"/>
  <c r="N167" i="5"/>
  <c r="Q86" i="2"/>
  <c r="O124" i="5"/>
  <c r="X94" i="5"/>
  <c r="AB43" i="2"/>
  <c r="N90" i="5"/>
  <c r="N75" i="5"/>
  <c r="N73" i="5"/>
  <c r="N71" i="5"/>
  <c r="R53" i="5"/>
  <c r="V20" i="2"/>
  <c r="N48" i="5"/>
  <c r="N46" i="5"/>
  <c r="O24" i="5"/>
  <c r="N1095" i="9"/>
  <c r="Q1448" i="2"/>
  <c r="O1089" i="9"/>
  <c r="N1085" i="9"/>
  <c r="Q1438" i="2"/>
  <c r="N1080" i="9"/>
  <c r="Q1433" i="2"/>
  <c r="R1429" i="2"/>
  <c r="P1063" i="9"/>
  <c r="R1055" i="9"/>
  <c r="V1418" i="2"/>
  <c r="AD1416" i="2"/>
  <c r="O1050" i="9"/>
  <c r="O1049" i="9"/>
  <c r="V1413" i="2"/>
  <c r="Z1047" i="9"/>
  <c r="AB1043" i="9"/>
  <c r="AD1407" i="2"/>
  <c r="AH1041" i="9"/>
  <c r="O1038" i="9"/>
  <c r="AM1401" i="2"/>
  <c r="AI1030" i="9"/>
  <c r="AM1399" i="2"/>
  <c r="V1394" i="2"/>
  <c r="Z1013" i="9"/>
  <c r="Z1011" i="9"/>
  <c r="R1011" i="9"/>
  <c r="V1392" i="2"/>
  <c r="N1013" i="9"/>
  <c r="AD1387" i="2"/>
  <c r="AG1006" i="9"/>
  <c r="O1006" i="9"/>
  <c r="AL1385" i="2"/>
  <c r="AE999" i="9"/>
  <c r="AI1383" i="2"/>
  <c r="AM1376" i="2"/>
  <c r="AI986" i="9"/>
  <c r="AM1375" i="2"/>
  <c r="R990" i="9"/>
  <c r="W986" i="9"/>
  <c r="AA1375" i="2"/>
  <c r="T1372" i="2"/>
  <c r="AK1372" i="2"/>
  <c r="V1367" i="2"/>
  <c r="Z977" i="9"/>
  <c r="AD1360" i="2"/>
  <c r="AG970" i="9"/>
  <c r="V1357" i="2"/>
  <c r="N967" i="9"/>
  <c r="Q1357" i="2"/>
  <c r="Z967" i="9"/>
  <c r="Q1354" i="2"/>
  <c r="O962" i="9"/>
  <c r="R958" i="9"/>
  <c r="R948" i="9"/>
  <c r="V1343" i="2"/>
  <c r="Z952" i="9"/>
  <c r="Y948" i="9"/>
  <c r="AC944" i="9"/>
  <c r="AD1333" i="2"/>
  <c r="AG935" i="9"/>
  <c r="AB1324" i="2"/>
  <c r="T1323" i="2"/>
  <c r="AK1323" i="2"/>
  <c r="AB1292" i="2"/>
  <c r="O866" i="9"/>
  <c r="AB1289" i="2"/>
  <c r="O863" i="9"/>
  <c r="AB1287" i="2"/>
  <c r="O861" i="9"/>
  <c r="V1284" i="2"/>
  <c r="X858" i="9"/>
  <c r="N858" i="9"/>
  <c r="Q1284" i="2"/>
  <c r="W1260" i="2"/>
  <c r="S821" i="9"/>
  <c r="W1259" i="2"/>
  <c r="Q1238" i="2"/>
  <c r="Z1232" i="2"/>
  <c r="O786" i="9"/>
  <c r="V1228" i="2"/>
  <c r="V782" i="9"/>
  <c r="N782" i="9"/>
  <c r="Q1228" i="2"/>
  <c r="V1217" i="2"/>
  <c r="V771" i="9"/>
  <c r="N771" i="9"/>
  <c r="Q1217" i="2"/>
  <c r="AG1198" i="2"/>
  <c r="O733" i="9"/>
  <c r="V1196" i="2"/>
  <c r="V731" i="9"/>
  <c r="R727" i="9"/>
  <c r="V1194" i="2"/>
  <c r="AC1192" i="2"/>
  <c r="AJ723" i="9"/>
  <c r="AK723" i="9"/>
  <c r="Y722" i="9"/>
  <c r="AC1191" i="2"/>
  <c r="O723" i="9"/>
  <c r="U1181" i="2"/>
  <c r="Q702" i="9"/>
  <c r="U1174" i="2"/>
  <c r="AI1178" i="2"/>
  <c r="AK709" i="9"/>
  <c r="AI1170" i="2"/>
  <c r="AK691" i="9"/>
  <c r="AC1154" i="2"/>
  <c r="AJ668" i="9"/>
  <c r="AK668" i="9"/>
  <c r="O668" i="9"/>
  <c r="V1131" i="2"/>
  <c r="Y637" i="9"/>
  <c r="N637" i="9"/>
  <c r="Q1131" i="2"/>
  <c r="Z553" i="5"/>
  <c r="Y548" i="5"/>
  <c r="Z548" i="5"/>
  <c r="N531" i="5"/>
  <c r="Q316" i="2"/>
  <c r="O528" i="5"/>
  <c r="N524" i="5"/>
  <c r="Q309" i="2"/>
  <c r="AA495" i="5"/>
  <c r="S493" i="5"/>
  <c r="W292" i="2"/>
  <c r="AD491" i="5"/>
  <c r="N489" i="5"/>
  <c r="Q289" i="2"/>
  <c r="N487" i="5"/>
  <c r="S287" i="2"/>
  <c r="AK287" i="2"/>
  <c r="O422" i="5"/>
  <c r="P412" i="5"/>
  <c r="N395" i="5"/>
  <c r="N393" i="5"/>
  <c r="N391" i="5"/>
  <c r="N389" i="5"/>
  <c r="N387" i="5"/>
  <c r="N385" i="5"/>
  <c r="S372" i="5"/>
  <c r="W222" i="2"/>
  <c r="P369" i="5"/>
  <c r="P367" i="5"/>
  <c r="P365" i="5"/>
  <c r="P361" i="5"/>
  <c r="R357" i="5"/>
  <c r="V211" i="2"/>
  <c r="N344" i="5"/>
  <c r="N339" i="5"/>
  <c r="R315" i="5"/>
  <c r="V181" i="2"/>
  <c r="N310" i="5"/>
  <c r="Q179" i="2"/>
  <c r="N304" i="5"/>
  <c r="N289" i="5"/>
  <c r="R253" i="5"/>
  <c r="V135" i="2"/>
  <c r="N244" i="5"/>
  <c r="X232" i="5"/>
  <c r="AB123" i="2"/>
  <c r="O219" i="5"/>
  <c r="S214" i="5"/>
  <c r="N198" i="5"/>
  <c r="AC189" i="5"/>
  <c r="AG96" i="2"/>
  <c r="T189" i="5"/>
  <c r="X96" i="2"/>
  <c r="N183" i="5"/>
  <c r="Q94" i="2"/>
  <c r="O170" i="5"/>
  <c r="N156" i="5"/>
  <c r="Q81" i="2"/>
  <c r="N154" i="5"/>
  <c r="Q79" i="2"/>
  <c r="N152" i="5"/>
  <c r="P127" i="5"/>
  <c r="N121" i="5"/>
  <c r="R118" i="5"/>
  <c r="V60" i="2"/>
  <c r="N110" i="5"/>
  <c r="AE94" i="5"/>
  <c r="AI43" i="2"/>
  <c r="W94" i="5"/>
  <c r="AA43" i="2"/>
  <c r="O83" i="5"/>
  <c r="O81" i="5"/>
  <c r="N69" i="5"/>
  <c r="Q30" i="2"/>
  <c r="S36" i="5"/>
  <c r="W12" i="2"/>
  <c r="P32" i="5"/>
  <c r="N24" i="5"/>
  <c r="P1096" i="9"/>
  <c r="V1094" i="9"/>
  <c r="P1086" i="9"/>
  <c r="V1084" i="9"/>
  <c r="P1081" i="9"/>
  <c r="V1079" i="9"/>
  <c r="N1071" i="9"/>
  <c r="Q1429" i="2"/>
  <c r="AH1412" i="2"/>
  <c r="AD1043" i="9"/>
  <c r="AH1409" i="2"/>
  <c r="Z1412" i="2"/>
  <c r="V1043" i="9"/>
  <c r="Z1409" i="2"/>
  <c r="N1046" i="9"/>
  <c r="Q1412" i="2"/>
  <c r="AH1042" i="9"/>
  <c r="AL1408" i="2"/>
  <c r="V1407" i="2"/>
  <c r="N1041" i="9"/>
  <c r="Q1407" i="2"/>
  <c r="V1405" i="2"/>
  <c r="Z1039" i="9"/>
  <c r="N1039" i="9"/>
  <c r="Q1405" i="2"/>
  <c r="Y1030" i="9"/>
  <c r="AC1399" i="2"/>
  <c r="AD1398" i="2"/>
  <c r="AG1026" i="9"/>
  <c r="AH1022" i="9"/>
  <c r="AL1397" i="2"/>
  <c r="AD1385" i="2"/>
  <c r="AG1004" i="9"/>
  <c r="AC999" i="9"/>
  <c r="AG1383" i="2"/>
  <c r="Q999" i="9"/>
  <c r="U1383" i="2"/>
  <c r="V1381" i="2"/>
  <c r="Z995" i="9"/>
  <c r="N995" i="9"/>
  <c r="V986" i="9"/>
  <c r="Z1375" i="2"/>
  <c r="AD1372" i="2"/>
  <c r="O982" i="9"/>
  <c r="AJ1369" i="2"/>
  <c r="S1369" i="2"/>
  <c r="Z956" i="9"/>
  <c r="AH1340" i="2"/>
  <c r="AD948" i="9"/>
  <c r="Z1340" i="2"/>
  <c r="V948" i="9"/>
  <c r="AI948" i="9"/>
  <c r="W948" i="9"/>
  <c r="Z937" i="9"/>
  <c r="AD1331" i="2"/>
  <c r="O933" i="9"/>
  <c r="AG933" i="9"/>
  <c r="AH933" i="9"/>
  <c r="AL1331" i="2"/>
  <c r="AK1329" i="2"/>
  <c r="T1329" i="2"/>
  <c r="O930" i="9"/>
  <c r="S1324" i="2"/>
  <c r="AJ1324" i="2"/>
  <c r="AD1323" i="2"/>
  <c r="AH921" i="9"/>
  <c r="AL1323" i="2"/>
  <c r="AB1315" i="2"/>
  <c r="O903" i="9"/>
  <c r="V1314" i="2"/>
  <c r="N900" i="9"/>
  <c r="Q1314" i="2"/>
  <c r="X900" i="9"/>
  <c r="V1289" i="2"/>
  <c r="N863" i="9"/>
  <c r="R862" i="9"/>
  <c r="V1288" i="2"/>
  <c r="V1287" i="2"/>
  <c r="N861" i="9"/>
  <c r="Q1287" i="2"/>
  <c r="AB1274" i="2"/>
  <c r="O845" i="9"/>
  <c r="V1260" i="2"/>
  <c r="AD1250" i="2"/>
  <c r="O809" i="9"/>
  <c r="Z804" i="9"/>
  <c r="R1210" i="2"/>
  <c r="P755" i="9"/>
  <c r="Z1203" i="2"/>
  <c r="O742" i="9"/>
  <c r="V1200" i="2"/>
  <c r="V739" i="9"/>
  <c r="R736" i="9"/>
  <c r="V1199" i="2"/>
  <c r="N739" i="9"/>
  <c r="T1147" i="2"/>
  <c r="AL1147" i="2"/>
  <c r="AH660" i="9"/>
  <c r="AI1143" i="2"/>
  <c r="AK649" i="9"/>
  <c r="AE1136" i="2"/>
  <c r="AE642" i="9"/>
  <c r="AI1136" i="2"/>
  <c r="AA641" i="9"/>
  <c r="V1116" i="2"/>
  <c r="AD1069" i="2"/>
  <c r="O559" i="9"/>
  <c r="AD1061" i="2"/>
  <c r="O551" i="9"/>
  <c r="AD1034" i="2"/>
  <c r="O524" i="9"/>
  <c r="N481" i="5"/>
  <c r="N451" i="5"/>
  <c r="R382" i="5"/>
  <c r="V226" i="2"/>
  <c r="R191" i="5"/>
  <c r="N188" i="5"/>
  <c r="N181" i="5"/>
  <c r="N132" i="5"/>
  <c r="AD94" i="5"/>
  <c r="AH43" i="2"/>
  <c r="U94" i="5"/>
  <c r="Y43" i="2"/>
  <c r="N88" i="5"/>
  <c r="X86" i="5"/>
  <c r="AB40" i="2"/>
  <c r="N79" i="5"/>
  <c r="N19" i="5"/>
  <c r="P1090" i="9"/>
  <c r="V1088" i="9"/>
  <c r="R1082" i="9"/>
  <c r="Z1048" i="9"/>
  <c r="Q1410" i="2"/>
  <c r="R1407" i="2"/>
  <c r="AA1401" i="2"/>
  <c r="W1030" i="9"/>
  <c r="AA1399" i="2"/>
  <c r="Z1384" i="2"/>
  <c r="V999" i="9"/>
  <c r="Z1383" i="2"/>
  <c r="S1376" i="2"/>
  <c r="AJ1376" i="2"/>
  <c r="AF986" i="9"/>
  <c r="T986" i="9"/>
  <c r="X1375" i="2"/>
  <c r="AD1368" i="2"/>
  <c r="AG978" i="9"/>
  <c r="V1365" i="2"/>
  <c r="N975" i="9"/>
  <c r="Q1365" i="2"/>
  <c r="Z975" i="9"/>
  <c r="P970" i="9"/>
  <c r="AD1358" i="2"/>
  <c r="O968" i="9"/>
  <c r="AG968" i="9"/>
  <c r="V1355" i="2"/>
  <c r="N965" i="9"/>
  <c r="Q1355" i="2"/>
  <c r="S1348" i="2"/>
  <c r="AJ1348" i="2"/>
  <c r="AD1344" i="2"/>
  <c r="AG953" i="9"/>
  <c r="V1341" i="2"/>
  <c r="N950" i="9"/>
  <c r="Z950" i="9"/>
  <c r="P935" i="9"/>
  <c r="Z929" i="9"/>
  <c r="Q1319" i="2"/>
  <c r="AI1318" i="2"/>
  <c r="AA1318" i="2"/>
  <c r="Z910" i="9"/>
  <c r="V1303" i="2"/>
  <c r="X881" i="9"/>
  <c r="N881" i="9"/>
  <c r="Y1296" i="2"/>
  <c r="U871" i="9"/>
  <c r="Y1295" i="2"/>
  <c r="V1257" i="2"/>
  <c r="Z816" i="9"/>
  <c r="N816" i="9"/>
  <c r="Q1257" i="2"/>
  <c r="R1243" i="2"/>
  <c r="P802" i="9"/>
  <c r="V1240" i="2"/>
  <c r="R798" i="9"/>
  <c r="Z799" i="9"/>
  <c r="N799" i="9"/>
  <c r="R1213" i="2"/>
  <c r="P762" i="9"/>
  <c r="O758" i="9"/>
  <c r="S1181" i="2"/>
  <c r="AK1181" i="2"/>
  <c r="AF702" i="9"/>
  <c r="AJ1174" i="2"/>
  <c r="AC1163" i="2"/>
  <c r="AJ677" i="9"/>
  <c r="AK677" i="9"/>
  <c r="O677" i="9"/>
  <c r="V1156" i="2"/>
  <c r="Y670" i="9"/>
  <c r="N670" i="9"/>
  <c r="Q1156" i="2"/>
  <c r="Y1135" i="2"/>
  <c r="U621" i="9"/>
  <c r="Y621" i="9"/>
  <c r="X1427" i="2"/>
  <c r="T1067" i="9"/>
  <c r="X1426" i="2"/>
  <c r="R1421" i="2"/>
  <c r="O1059" i="9"/>
  <c r="P1060" i="9"/>
  <c r="Y1419" i="2"/>
  <c r="U1055" i="9"/>
  <c r="Y1418" i="2"/>
  <c r="V1411" i="2"/>
  <c r="Z1045" i="9"/>
  <c r="R1043" i="9"/>
  <c r="V1409" i="2"/>
  <c r="AD1408" i="2"/>
  <c r="O1042" i="9"/>
  <c r="V1403" i="2"/>
  <c r="Z1037" i="9"/>
  <c r="AI1401" i="2"/>
  <c r="AE1030" i="9"/>
  <c r="AI1399" i="2"/>
  <c r="AD1400" i="2"/>
  <c r="O1034" i="9"/>
  <c r="AG1034" i="9"/>
  <c r="V1030" i="9"/>
  <c r="Z1399" i="2"/>
  <c r="AD1397" i="2"/>
  <c r="O1022" i="9"/>
  <c r="AD1396" i="2"/>
  <c r="O1018" i="9"/>
  <c r="AD1395" i="2"/>
  <c r="AG1014" i="9"/>
  <c r="O1014" i="9"/>
  <c r="V1390" i="2"/>
  <c r="N1009" i="9"/>
  <c r="Q1390" i="2"/>
  <c r="Z1009" i="9"/>
  <c r="AH1384" i="2"/>
  <c r="AD999" i="9"/>
  <c r="AH1383" i="2"/>
  <c r="V1379" i="2"/>
  <c r="Z993" i="9"/>
  <c r="V1370" i="2"/>
  <c r="R979" i="9"/>
  <c r="V1369" i="2"/>
  <c r="AD1363" i="2"/>
  <c r="AH973" i="9"/>
  <c r="AL1363" i="2"/>
  <c r="T1356" i="2"/>
  <c r="AK1356" i="2"/>
  <c r="V1351" i="2"/>
  <c r="Z961" i="9"/>
  <c r="AF1340" i="2"/>
  <c r="AB948" i="9"/>
  <c r="X1340" i="2"/>
  <c r="T948" i="9"/>
  <c r="AD1337" i="2"/>
  <c r="AG942" i="9"/>
  <c r="R1325" i="2"/>
  <c r="R1323" i="2"/>
  <c r="X1310" i="2"/>
  <c r="T889" i="9"/>
  <c r="X1309" i="2"/>
  <c r="V1294" i="2"/>
  <c r="X868" i="9"/>
  <c r="N868" i="9"/>
  <c r="Q1294" i="2"/>
  <c r="U1282" i="2"/>
  <c r="Q852" i="9"/>
  <c r="U1280" i="2"/>
  <c r="T852" i="9"/>
  <c r="Z813" i="9"/>
  <c r="Z1237" i="2"/>
  <c r="V792" i="9"/>
  <c r="Z1235" i="2"/>
  <c r="AA1182" i="2"/>
  <c r="W712" i="9"/>
  <c r="AC1180" i="2"/>
  <c r="AJ711" i="9"/>
  <c r="AK711" i="9"/>
  <c r="O711" i="9"/>
  <c r="AC1172" i="2"/>
  <c r="AJ693" i="9"/>
  <c r="AK693" i="9"/>
  <c r="O693" i="9"/>
  <c r="T660" i="9"/>
  <c r="AC1130" i="2"/>
  <c r="AJ636" i="9"/>
  <c r="AK636" i="9"/>
  <c r="O636" i="9"/>
  <c r="AD1116" i="2"/>
  <c r="Z618" i="9"/>
  <c r="S1094" i="2"/>
  <c r="AK1094" i="2"/>
  <c r="T1185" i="2"/>
  <c r="AL1185" i="2"/>
  <c r="AL1167" i="2"/>
  <c r="S1147" i="2"/>
  <c r="AK1147" i="2"/>
  <c r="AI660" i="9"/>
  <c r="S660" i="9"/>
  <c r="AC1136" i="2"/>
  <c r="E371" i="10"/>
  <c r="AE371" i="10"/>
  <c r="AK1116" i="2"/>
  <c r="S1116" i="2"/>
  <c r="O598" i="9"/>
  <c r="AL1094" i="2"/>
  <c r="V1078" i="2"/>
  <c r="N572" i="9"/>
  <c r="V1073" i="2"/>
  <c r="Z563" i="9"/>
  <c r="AD1064" i="2"/>
  <c r="O554" i="9"/>
  <c r="V1057" i="2"/>
  <c r="Z547" i="9"/>
  <c r="V1050" i="2"/>
  <c r="N540" i="9"/>
  <c r="Q1050" i="2"/>
  <c r="AD1040" i="2"/>
  <c r="O530" i="9"/>
  <c r="V1023" i="2"/>
  <c r="R504" i="9"/>
  <c r="V1022" i="2"/>
  <c r="Z1021" i="2"/>
  <c r="AC500" i="9"/>
  <c r="N500" i="9"/>
  <c r="Q1021" i="2"/>
  <c r="R1014" i="2"/>
  <c r="P489" i="9"/>
  <c r="V1007" i="2"/>
  <c r="R469" i="9"/>
  <c r="V1006" i="2"/>
  <c r="N472" i="9"/>
  <c r="S425" i="9"/>
  <c r="W981" i="2"/>
  <c r="V970" i="2"/>
  <c r="N407" i="9"/>
  <c r="Q970" i="2"/>
  <c r="O407" i="9"/>
  <c r="Q960" i="2"/>
  <c r="O393" i="9"/>
  <c r="Q956" i="2"/>
  <c r="O389" i="9"/>
  <c r="Q952" i="2"/>
  <c r="O385" i="9"/>
  <c r="Q929" i="2"/>
  <c r="O348" i="9"/>
  <c r="N323" i="9"/>
  <c r="R903" i="2"/>
  <c r="P309" i="9"/>
  <c r="V897" i="2"/>
  <c r="N300" i="9"/>
  <c r="R292" i="9"/>
  <c r="V891" i="2"/>
  <c r="V858" i="2"/>
  <c r="N248" i="9"/>
  <c r="Q858" i="2"/>
  <c r="O248" i="9"/>
  <c r="R853" i="2"/>
  <c r="P240" i="9"/>
  <c r="AB838" i="2"/>
  <c r="X214" i="9"/>
  <c r="Q792" i="2"/>
  <c r="O133" i="9"/>
  <c r="Q779" i="2"/>
  <c r="R757" i="2"/>
  <c r="P73" i="9"/>
  <c r="O552" i="8"/>
  <c r="O550" i="8"/>
  <c r="AD550" i="8"/>
  <c r="J468" i="8"/>
  <c r="AD117" i="8"/>
  <c r="AD29" i="8"/>
  <c r="Z923" i="9"/>
  <c r="AD1324" i="2"/>
  <c r="X884" i="9"/>
  <c r="X876" i="9"/>
  <c r="W840" i="9"/>
  <c r="AA1271" i="2"/>
  <c r="X837" i="9"/>
  <c r="X833" i="9"/>
  <c r="X826" i="9"/>
  <c r="Z814" i="9"/>
  <c r="Y812" i="9"/>
  <c r="AC1253" i="2"/>
  <c r="Z805" i="9"/>
  <c r="Z801" i="9"/>
  <c r="Q792" i="9"/>
  <c r="U1235" i="2"/>
  <c r="S766" i="9"/>
  <c r="V727" i="9"/>
  <c r="Z1194" i="2"/>
  <c r="T1191" i="2"/>
  <c r="AL1191" i="2"/>
  <c r="R722" i="9"/>
  <c r="V1191" i="2"/>
  <c r="AK718" i="9"/>
  <c r="S1185" i="2"/>
  <c r="AK1185" i="2"/>
  <c r="S1167" i="2"/>
  <c r="AK1167" i="2"/>
  <c r="Q685" i="9"/>
  <c r="U1167" i="2"/>
  <c r="AK679" i="9"/>
  <c r="AK671" i="9"/>
  <c r="T1153" i="2"/>
  <c r="AL1153" i="2"/>
  <c r="R667" i="9"/>
  <c r="AK663" i="9"/>
  <c r="AK645" i="9"/>
  <c r="AE640" i="9"/>
  <c r="AK638" i="9"/>
  <c r="Y634" i="9"/>
  <c r="AE632" i="9"/>
  <c r="Y626" i="9"/>
  <c r="AE624" i="9"/>
  <c r="AK622" i="9"/>
  <c r="Y619" i="9"/>
  <c r="AB618" i="9"/>
  <c r="AF1113" i="2"/>
  <c r="T618" i="9"/>
  <c r="Y611" i="9"/>
  <c r="AE609" i="9"/>
  <c r="Y604" i="9"/>
  <c r="AE602" i="9"/>
  <c r="AK600" i="9"/>
  <c r="AE598" i="9"/>
  <c r="AI1097" i="2"/>
  <c r="X592" i="9"/>
  <c r="AB1094" i="2"/>
  <c r="V1090" i="2"/>
  <c r="Z584" i="9"/>
  <c r="Z582" i="9"/>
  <c r="Z575" i="9"/>
  <c r="O565" i="9"/>
  <c r="O549" i="9"/>
  <c r="N538" i="9"/>
  <c r="Q1048" i="2"/>
  <c r="P536" i="9"/>
  <c r="V1042" i="2"/>
  <c r="N532" i="9"/>
  <c r="Q1042" i="2"/>
  <c r="AD1032" i="2"/>
  <c r="O522" i="9"/>
  <c r="R1025" i="2"/>
  <c r="P509" i="9"/>
  <c r="V1010" i="2"/>
  <c r="N478" i="9"/>
  <c r="O478" i="9"/>
  <c r="O472" i="9"/>
  <c r="R1004" i="2"/>
  <c r="Q1001" i="2"/>
  <c r="P453" i="9"/>
  <c r="V991" i="2"/>
  <c r="N441" i="9"/>
  <c r="Q991" i="2"/>
  <c r="O441" i="9"/>
  <c r="R988" i="2"/>
  <c r="V979" i="2"/>
  <c r="N421" i="9"/>
  <c r="V976" i="2"/>
  <c r="N413" i="9"/>
  <c r="Q976" i="2"/>
  <c r="O413" i="9"/>
  <c r="V939" i="2"/>
  <c r="N362" i="9"/>
  <c r="Q939" i="2"/>
  <c r="O362" i="9"/>
  <c r="R916" i="2"/>
  <c r="O327" i="9"/>
  <c r="Q840" i="2"/>
  <c r="O220" i="9"/>
  <c r="V823" i="2"/>
  <c r="R191" i="9"/>
  <c r="N194" i="9"/>
  <c r="V806" i="2"/>
  <c r="N156" i="9"/>
  <c r="Q806" i="2"/>
  <c r="O156" i="9"/>
  <c r="V767" i="2"/>
  <c r="N90" i="9"/>
  <c r="W731" i="2"/>
  <c r="S20" i="9"/>
  <c r="J788" i="8"/>
  <c r="AF719" i="8"/>
  <c r="N302" i="8"/>
  <c r="X999" i="9"/>
  <c r="AB1383" i="2"/>
  <c r="AC986" i="9"/>
  <c r="AG1375" i="2"/>
  <c r="U986" i="9"/>
  <c r="Y1375" i="2"/>
  <c r="S1318" i="2"/>
  <c r="AJ1318" i="2"/>
  <c r="Q871" i="9"/>
  <c r="U1295" i="2"/>
  <c r="X864" i="9"/>
  <c r="N840" i="9"/>
  <c r="Q1271" i="2"/>
  <c r="Z810" i="9"/>
  <c r="Z797" i="9"/>
  <c r="AA796" i="9"/>
  <c r="AE1237" i="2"/>
  <c r="V787" i="9"/>
  <c r="V777" i="9"/>
  <c r="S1191" i="2"/>
  <c r="AK1191" i="2"/>
  <c r="Y721" i="9"/>
  <c r="AE719" i="9"/>
  <c r="AI1188" i="2"/>
  <c r="AJ718" i="9"/>
  <c r="Y714" i="9"/>
  <c r="AD712" i="9"/>
  <c r="V712" i="9"/>
  <c r="Y708" i="9"/>
  <c r="X702" i="9"/>
  <c r="AB1174" i="2"/>
  <c r="AE697" i="9"/>
  <c r="Y690" i="9"/>
  <c r="X685" i="9"/>
  <c r="AB1167" i="2"/>
  <c r="AE680" i="9"/>
  <c r="AJ679" i="9"/>
  <c r="Y674" i="9"/>
  <c r="AE672" i="9"/>
  <c r="AJ671" i="9"/>
  <c r="S1153" i="2"/>
  <c r="AK1153" i="2"/>
  <c r="Y666" i="9"/>
  <c r="Y665" i="9"/>
  <c r="AJ663" i="9"/>
  <c r="AK662" i="9"/>
  <c r="O661" i="9"/>
  <c r="AG660" i="9"/>
  <c r="Q660" i="9"/>
  <c r="Y648" i="9"/>
  <c r="AE646" i="9"/>
  <c r="AI1140" i="2"/>
  <c r="AJ645" i="9"/>
  <c r="T1135" i="2"/>
  <c r="AL1135" i="2"/>
  <c r="R641" i="9"/>
  <c r="AE639" i="9"/>
  <c r="AJ638" i="9"/>
  <c r="Y633" i="9"/>
  <c r="AE631" i="9"/>
  <c r="Y625" i="9"/>
  <c r="AE623" i="9"/>
  <c r="AI1118" i="2"/>
  <c r="AJ622" i="9"/>
  <c r="AI618" i="9"/>
  <c r="S618" i="9"/>
  <c r="Y610" i="9"/>
  <c r="AE608" i="9"/>
  <c r="O606" i="9"/>
  <c r="Y603" i="9"/>
  <c r="AE601" i="9"/>
  <c r="AI1100" i="2"/>
  <c r="AJ600" i="9"/>
  <c r="AJ598" i="9"/>
  <c r="AK592" i="9"/>
  <c r="AH1097" i="2"/>
  <c r="AC592" i="9"/>
  <c r="AG1094" i="2"/>
  <c r="N597" i="9"/>
  <c r="Q1096" i="2"/>
  <c r="W592" i="9"/>
  <c r="AA1094" i="2"/>
  <c r="R1092" i="2"/>
  <c r="P586" i="9"/>
  <c r="O579" i="9"/>
  <c r="O572" i="9"/>
  <c r="N565" i="9"/>
  <c r="Q1075" i="2"/>
  <c r="N558" i="9"/>
  <c r="Q1068" i="2"/>
  <c r="O556" i="9"/>
  <c r="N549" i="9"/>
  <c r="Q1059" i="2"/>
  <c r="N542" i="9"/>
  <c r="Q1052" i="2"/>
  <c r="O540" i="9"/>
  <c r="O534" i="9"/>
  <c r="V1034" i="2"/>
  <c r="N524" i="9"/>
  <c r="Q1034" i="2"/>
  <c r="V1026" i="2"/>
  <c r="V510" i="9"/>
  <c r="Z1019" i="2"/>
  <c r="AC498" i="9"/>
  <c r="N498" i="9"/>
  <c r="AE1018" i="2"/>
  <c r="AA493" i="9"/>
  <c r="AE1017" i="2"/>
  <c r="AC1016" i="2"/>
  <c r="AJ491" i="9"/>
  <c r="O491" i="9"/>
  <c r="V984" i="2"/>
  <c r="R427" i="9"/>
  <c r="V982" i="2"/>
  <c r="N431" i="9"/>
  <c r="Q984" i="2"/>
  <c r="V966" i="2"/>
  <c r="N403" i="9"/>
  <c r="O403" i="9"/>
  <c r="R399" i="9"/>
  <c r="V964" i="2"/>
  <c r="V945" i="2"/>
  <c r="N368" i="9"/>
  <c r="Q945" i="2"/>
  <c r="O368" i="9"/>
  <c r="R928" i="2"/>
  <c r="P347" i="9"/>
  <c r="R922" i="2"/>
  <c r="R816" i="2"/>
  <c r="P177" i="9"/>
  <c r="R809" i="2"/>
  <c r="P164" i="9"/>
  <c r="R799" i="2"/>
  <c r="P146" i="9"/>
  <c r="R790" i="2"/>
  <c r="P128" i="9"/>
  <c r="Q748" i="2"/>
  <c r="O58" i="9"/>
  <c r="AB738" i="2"/>
  <c r="X36" i="9"/>
  <c r="AB737" i="2"/>
  <c r="AD422" i="8"/>
  <c r="R874" i="9"/>
  <c r="AD1243" i="2"/>
  <c r="E550" i="10"/>
  <c r="N786" i="9"/>
  <c r="Q1232" i="2"/>
  <c r="O780" i="9"/>
  <c r="N776" i="9"/>
  <c r="Q1222" i="2"/>
  <c r="O769" i="9"/>
  <c r="N742" i="9"/>
  <c r="Q1203" i="2"/>
  <c r="AC730" i="9"/>
  <c r="N723" i="9"/>
  <c r="AA713" i="9"/>
  <c r="N711" i="9"/>
  <c r="Q1180" i="2"/>
  <c r="O710" i="9"/>
  <c r="AE702" i="9"/>
  <c r="AI1174" i="2"/>
  <c r="N693" i="9"/>
  <c r="Q1172" i="2"/>
  <c r="O692" i="9"/>
  <c r="AA689" i="9"/>
  <c r="N677" i="9"/>
  <c r="Q1163" i="2"/>
  <c r="O676" i="9"/>
  <c r="N669" i="9"/>
  <c r="Q1155" i="2"/>
  <c r="N668" i="9"/>
  <c r="AF660" i="9"/>
  <c r="X660" i="9"/>
  <c r="AC1141" i="2"/>
  <c r="E436" i="10"/>
  <c r="N643" i="9"/>
  <c r="Q1137" i="2"/>
  <c r="O642" i="9"/>
  <c r="S1135" i="2"/>
  <c r="AK1135" i="2"/>
  <c r="N636" i="9"/>
  <c r="Q1130" i="2"/>
  <c r="O635" i="9"/>
  <c r="N629" i="9"/>
  <c r="Q1123" i="2"/>
  <c r="O627" i="9"/>
  <c r="V614" i="9"/>
  <c r="Z1112" i="2"/>
  <c r="AK606" i="9"/>
  <c r="N606" i="9"/>
  <c r="Q1105" i="2"/>
  <c r="Y1097" i="2"/>
  <c r="U592" i="9"/>
  <c r="Y1094" i="2"/>
  <c r="AE592" i="9"/>
  <c r="AI1094" i="2"/>
  <c r="V592" i="9"/>
  <c r="Z1094" i="2"/>
  <c r="N579" i="9"/>
  <c r="Q1085" i="2"/>
  <c r="O577" i="9"/>
  <c r="N563" i="9"/>
  <c r="Q1073" i="2"/>
  <c r="O561" i="9"/>
  <c r="V1069" i="2"/>
  <c r="N559" i="9"/>
  <c r="Q1069" i="2"/>
  <c r="N556" i="9"/>
  <c r="Q1066" i="2"/>
  <c r="N547" i="9"/>
  <c r="Q1057" i="2"/>
  <c r="O545" i="9"/>
  <c r="V1053" i="2"/>
  <c r="N543" i="9"/>
  <c r="Q1053" i="2"/>
  <c r="V1049" i="2"/>
  <c r="Z539" i="9"/>
  <c r="N534" i="9"/>
  <c r="Q1044" i="2"/>
  <c r="O532" i="9"/>
  <c r="O526" i="9"/>
  <c r="AG1024" i="2"/>
  <c r="O508" i="9"/>
  <c r="V993" i="2"/>
  <c r="R443" i="9"/>
  <c r="V992" i="2"/>
  <c r="N446" i="9"/>
  <c r="O431" i="9"/>
  <c r="V972" i="2"/>
  <c r="N409" i="9"/>
  <c r="Q972" i="2"/>
  <c r="O409" i="9"/>
  <c r="Q935" i="2"/>
  <c r="O354" i="9"/>
  <c r="Q931" i="2"/>
  <c r="O350" i="9"/>
  <c r="Q910" i="2"/>
  <c r="O321" i="9"/>
  <c r="AB906" i="2"/>
  <c r="X313" i="9"/>
  <c r="AB905" i="2"/>
  <c r="AB898" i="2"/>
  <c r="X290" i="9"/>
  <c r="AB890" i="2"/>
  <c r="V895" i="2"/>
  <c r="N298" i="9"/>
  <c r="V856" i="2"/>
  <c r="N246" i="9"/>
  <c r="O246" i="9"/>
  <c r="V819" i="2"/>
  <c r="N183" i="9"/>
  <c r="O183" i="9"/>
  <c r="R179" i="9"/>
  <c r="V817" i="2"/>
  <c r="V786" i="2"/>
  <c r="R118" i="9"/>
  <c r="V785" i="2"/>
  <c r="N121" i="9"/>
  <c r="R86" i="9"/>
  <c r="V765" i="2"/>
  <c r="R759" i="2"/>
  <c r="P75" i="9"/>
  <c r="W745" i="2"/>
  <c r="S51" i="9"/>
  <c r="W744" i="2"/>
  <c r="O638" i="8"/>
  <c r="O636" i="8"/>
  <c r="AD636" i="8"/>
  <c r="T1030" i="9"/>
  <c r="X1399" i="2"/>
  <c r="N938" i="9"/>
  <c r="Q1336" i="2"/>
  <c r="O931" i="9"/>
  <c r="N930" i="9"/>
  <c r="Q1328" i="2"/>
  <c r="AG927" i="9"/>
  <c r="N921" i="9"/>
  <c r="Q1323" i="2"/>
  <c r="AG918" i="9"/>
  <c r="Z917" i="9"/>
  <c r="Q906" i="9"/>
  <c r="U1316" i="2"/>
  <c r="R877" i="9"/>
  <c r="N875" i="9"/>
  <c r="W871" i="9"/>
  <c r="AA1295" i="2"/>
  <c r="N866" i="9"/>
  <c r="Q1292" i="2"/>
  <c r="X860" i="9"/>
  <c r="O859" i="9"/>
  <c r="W852" i="9"/>
  <c r="AA1280" i="2"/>
  <c r="P846" i="9"/>
  <c r="O843" i="9"/>
  <c r="N836" i="9"/>
  <c r="Q1268" i="2"/>
  <c r="N832" i="9"/>
  <c r="Q821" i="9"/>
  <c r="U1259" i="2"/>
  <c r="N817" i="9"/>
  <c r="Q1258" i="2"/>
  <c r="N813" i="9"/>
  <c r="Z811" i="9"/>
  <c r="Z807" i="9"/>
  <c r="R806" i="9"/>
  <c r="N804" i="9"/>
  <c r="Q1245" i="2"/>
  <c r="N800" i="9"/>
  <c r="Q1241" i="2"/>
  <c r="N795" i="9"/>
  <c r="V785" i="9"/>
  <c r="O784" i="9"/>
  <c r="N780" i="9"/>
  <c r="Q1226" i="2"/>
  <c r="V775" i="9"/>
  <c r="R773" i="9"/>
  <c r="O772" i="9"/>
  <c r="N769" i="9"/>
  <c r="N754" i="9"/>
  <c r="P754" i="9"/>
  <c r="O751" i="9"/>
  <c r="U748" i="9"/>
  <c r="Y1205" i="2"/>
  <c r="V741" i="9"/>
  <c r="O740" i="9"/>
  <c r="N733" i="9"/>
  <c r="Q1198" i="2"/>
  <c r="AA727" i="9"/>
  <c r="AE1194" i="2"/>
  <c r="AE724" i="9"/>
  <c r="AE722" i="9"/>
  <c r="AI1191" i="2"/>
  <c r="Y719" i="9"/>
  <c r="AE717" i="9"/>
  <c r="AI1186" i="2"/>
  <c r="O715" i="9"/>
  <c r="T1182" i="2"/>
  <c r="AL1182" i="2"/>
  <c r="R713" i="9"/>
  <c r="AB712" i="9"/>
  <c r="AF1181" i="2"/>
  <c r="T712" i="9"/>
  <c r="AK710" i="9"/>
  <c r="N710" i="9"/>
  <c r="Q1179" i="2"/>
  <c r="O709" i="9"/>
  <c r="Y697" i="9"/>
  <c r="AK692" i="9"/>
  <c r="N692" i="9"/>
  <c r="Q1171" i="2"/>
  <c r="O691" i="9"/>
  <c r="T1168" i="2"/>
  <c r="AL1168" i="2"/>
  <c r="R689" i="9"/>
  <c r="V685" i="9"/>
  <c r="Z1167" i="2"/>
  <c r="Y680" i="9"/>
  <c r="AE678" i="9"/>
  <c r="AK676" i="9"/>
  <c r="N676" i="9"/>
  <c r="Q1162" i="2"/>
  <c r="O675" i="9"/>
  <c r="Y672" i="9"/>
  <c r="AE670" i="9"/>
  <c r="AI1156" i="2"/>
  <c r="AE667" i="9"/>
  <c r="AI1153" i="2"/>
  <c r="T1150" i="2"/>
  <c r="AL1150" i="2"/>
  <c r="R664" i="9"/>
  <c r="R660" i="9"/>
  <c r="W660" i="9"/>
  <c r="AE653" i="9"/>
  <c r="AI1144" i="2"/>
  <c r="O649" i="9"/>
  <c r="Y646" i="9"/>
  <c r="AE644" i="9"/>
  <c r="AI1138" i="2"/>
  <c r="AK642" i="9"/>
  <c r="N642" i="9"/>
  <c r="Y639" i="9"/>
  <c r="AE637" i="9"/>
  <c r="AI1131" i="2"/>
  <c r="AK635" i="9"/>
  <c r="N635" i="9"/>
  <c r="Q1129" i="2"/>
  <c r="Y631" i="9"/>
  <c r="AK627" i="9"/>
  <c r="N627" i="9"/>
  <c r="Q1122" i="2"/>
  <c r="Y623" i="9"/>
  <c r="N620" i="9"/>
  <c r="Q1115" i="2"/>
  <c r="AG618" i="9"/>
  <c r="Q618" i="9"/>
  <c r="AC614" i="9"/>
  <c r="AG1112" i="2"/>
  <c r="N612" i="9"/>
  <c r="Y608" i="9"/>
  <c r="N605" i="9"/>
  <c r="Q1104" i="2"/>
  <c r="Y601" i="9"/>
  <c r="AE597" i="9"/>
  <c r="T592" i="9"/>
  <c r="X1094" i="2"/>
  <c r="Z585" i="9"/>
  <c r="N584" i="9"/>
  <c r="Q1090" i="2"/>
  <c r="V1086" i="2"/>
  <c r="N580" i="9"/>
  <c r="Q1086" i="2"/>
  <c r="Z578" i="9"/>
  <c r="N577" i="9"/>
  <c r="Q1083" i="2"/>
  <c r="N575" i="9"/>
  <c r="Q1081" i="2"/>
  <c r="Z562" i="9"/>
  <c r="N561" i="9"/>
  <c r="Q1071" i="2"/>
  <c r="V1065" i="2"/>
  <c r="Z555" i="9"/>
  <c r="Z553" i="9"/>
  <c r="O552" i="9"/>
  <c r="Z546" i="9"/>
  <c r="N545" i="9"/>
  <c r="Q1055" i="2"/>
  <c r="V1041" i="2"/>
  <c r="Z531" i="9"/>
  <c r="N526" i="9"/>
  <c r="Q1036" i="2"/>
  <c r="S515" i="9"/>
  <c r="Z1024" i="2"/>
  <c r="N508" i="9"/>
  <c r="Q1024" i="2"/>
  <c r="AE498" i="9"/>
  <c r="AI1019" i="2"/>
  <c r="V495" i="9"/>
  <c r="T493" i="9"/>
  <c r="X1017" i="2"/>
  <c r="R1009" i="2"/>
  <c r="O474" i="9"/>
  <c r="P455" i="9"/>
  <c r="V996" i="2"/>
  <c r="N452" i="9"/>
  <c r="O452" i="9"/>
  <c r="O446" i="9"/>
  <c r="R978" i="2"/>
  <c r="Q962" i="2"/>
  <c r="O395" i="9"/>
  <c r="Q958" i="2"/>
  <c r="O391" i="9"/>
  <c r="Q954" i="2"/>
  <c r="O387" i="9"/>
  <c r="V941" i="2"/>
  <c r="N364" i="9"/>
  <c r="Q941" i="2"/>
  <c r="O364" i="9"/>
  <c r="AB925" i="2"/>
  <c r="X340" i="9"/>
  <c r="AB924" i="2"/>
  <c r="R918" i="2"/>
  <c r="R899" i="2"/>
  <c r="P305" i="9"/>
  <c r="O302" i="9"/>
  <c r="V827" i="2"/>
  <c r="N198" i="9"/>
  <c r="AB821" i="2"/>
  <c r="V812" i="2"/>
  <c r="R167" i="9"/>
  <c r="V811" i="2"/>
  <c r="N170" i="9"/>
  <c r="O170" i="9"/>
  <c r="U769" i="2"/>
  <c r="Q94" i="9"/>
  <c r="U768" i="2"/>
  <c r="V762" i="2"/>
  <c r="N81" i="9"/>
  <c r="O81" i="9"/>
  <c r="R77" i="9"/>
  <c r="V760" i="2"/>
  <c r="Q732" i="2"/>
  <c r="O25" i="9"/>
  <c r="AD408" i="8"/>
  <c r="X796" i="9"/>
  <c r="U792" i="9"/>
  <c r="Y1235" i="2"/>
  <c r="AC732" i="9"/>
  <c r="Z727" i="9"/>
  <c r="AD1194" i="2"/>
  <c r="AK715" i="9"/>
  <c r="N715" i="9"/>
  <c r="Q1184" i="2"/>
  <c r="S1182" i="2"/>
  <c r="AK1182" i="2"/>
  <c r="AI712" i="9"/>
  <c r="S712" i="9"/>
  <c r="AJ710" i="9"/>
  <c r="N709" i="9"/>
  <c r="Q1178" i="2"/>
  <c r="U702" i="9"/>
  <c r="Y1174" i="2"/>
  <c r="AJ692" i="9"/>
  <c r="N691" i="9"/>
  <c r="Q1170" i="2"/>
  <c r="S1168" i="2"/>
  <c r="AK1168" i="2"/>
  <c r="AC685" i="9"/>
  <c r="AG1167" i="2"/>
  <c r="AJ676" i="9"/>
  <c r="N675" i="9"/>
  <c r="Q1161" i="2"/>
  <c r="S1150" i="2"/>
  <c r="AK1150" i="2"/>
  <c r="AD660" i="9"/>
  <c r="V660" i="9"/>
  <c r="N649" i="9"/>
  <c r="Q1143" i="2"/>
  <c r="AJ642" i="9"/>
  <c r="AJ635" i="9"/>
  <c r="N634" i="9"/>
  <c r="Q1128" i="2"/>
  <c r="AA630" i="9"/>
  <c r="AJ627" i="9"/>
  <c r="N626" i="9"/>
  <c r="Q1121" i="2"/>
  <c r="AJ620" i="9"/>
  <c r="N619" i="9"/>
  <c r="AF618" i="9"/>
  <c r="X618" i="9"/>
  <c r="AB614" i="9"/>
  <c r="AF1112" i="2"/>
  <c r="AJ612" i="9"/>
  <c r="N611" i="9"/>
  <c r="Q1110" i="2"/>
  <c r="AA607" i="9"/>
  <c r="AE1106" i="2"/>
  <c r="AJ605" i="9"/>
  <c r="N604" i="9"/>
  <c r="Q1103" i="2"/>
  <c r="AC1098" i="2"/>
  <c r="AK599" i="9"/>
  <c r="AK598" i="9"/>
  <c r="AB592" i="9"/>
  <c r="AF1094" i="2"/>
  <c r="S592" i="9"/>
  <c r="AD1089" i="2"/>
  <c r="O583" i="9"/>
  <c r="N582" i="9"/>
  <c r="Q1088" i="2"/>
  <c r="V1082" i="2"/>
  <c r="Z576" i="9"/>
  <c r="O573" i="9"/>
  <c r="O557" i="9"/>
  <c r="O550" i="9"/>
  <c r="O543" i="9"/>
  <c r="O541" i="9"/>
  <c r="O537" i="9"/>
  <c r="V1045" i="2"/>
  <c r="N535" i="9"/>
  <c r="Q1045" i="2"/>
  <c r="AD1037" i="2"/>
  <c r="O527" i="9"/>
  <c r="V504" i="9"/>
  <c r="Z1022" i="2"/>
  <c r="AF1019" i="2"/>
  <c r="AB495" i="9"/>
  <c r="S493" i="9"/>
  <c r="W1017" i="2"/>
  <c r="T1015" i="2"/>
  <c r="AM1015" i="2"/>
  <c r="V1002" i="2"/>
  <c r="R457" i="9"/>
  <c r="V1000" i="2"/>
  <c r="N461" i="9"/>
  <c r="Q1002" i="2"/>
  <c r="V986" i="2"/>
  <c r="N433" i="9"/>
  <c r="Q986" i="2"/>
  <c r="R417" i="9"/>
  <c r="V977" i="2"/>
  <c r="V968" i="2"/>
  <c r="N405" i="9"/>
  <c r="Q968" i="2"/>
  <c r="O405" i="9"/>
  <c r="R930" i="2"/>
  <c r="P349" i="9"/>
  <c r="Q927" i="2"/>
  <c r="O346" i="9"/>
  <c r="N325" i="9"/>
  <c r="R851" i="2"/>
  <c r="P238" i="9"/>
  <c r="AI822" i="2"/>
  <c r="AE189" i="9"/>
  <c r="AI821" i="2"/>
  <c r="AA822" i="2"/>
  <c r="W189" i="9"/>
  <c r="AA821" i="2"/>
  <c r="R801" i="2"/>
  <c r="P148" i="9"/>
  <c r="AD769" i="2"/>
  <c r="Z94" i="9"/>
  <c r="AD768" i="2"/>
  <c r="Q746" i="2"/>
  <c r="O56" i="9"/>
  <c r="S1401" i="2"/>
  <c r="AJ1401" i="2"/>
  <c r="R1030" i="9"/>
  <c r="V1399" i="2"/>
  <c r="S1392" i="2"/>
  <c r="AJ1392" i="2"/>
  <c r="S1384" i="2"/>
  <c r="AJ1384" i="2"/>
  <c r="AB999" i="9"/>
  <c r="AF1383" i="2"/>
  <c r="T999" i="9"/>
  <c r="X1383" i="2"/>
  <c r="Y986" i="9"/>
  <c r="AC1375" i="2"/>
  <c r="N884" i="9"/>
  <c r="Q1306" i="2"/>
  <c r="N876" i="9"/>
  <c r="Q1298" i="2"/>
  <c r="O867" i="9"/>
  <c r="N864" i="9"/>
  <c r="Q1290" i="2"/>
  <c r="O857" i="9"/>
  <c r="R856" i="9"/>
  <c r="O855" i="9"/>
  <c r="U852" i="9"/>
  <c r="O849" i="9"/>
  <c r="N837" i="9"/>
  <c r="Q1269" i="2"/>
  <c r="N833" i="9"/>
  <c r="Q1265" i="2"/>
  <c r="R829" i="9"/>
  <c r="V1263" i="2"/>
  <c r="N826" i="9"/>
  <c r="W821" i="9"/>
  <c r="AA1259" i="2"/>
  <c r="N814" i="9"/>
  <c r="Q1255" i="2"/>
  <c r="Y806" i="9"/>
  <c r="AC1247" i="2"/>
  <c r="N805" i="9"/>
  <c r="Q1246" i="2"/>
  <c r="N801" i="9"/>
  <c r="Q1242" i="2"/>
  <c r="W796" i="9"/>
  <c r="T792" i="9"/>
  <c r="X1235" i="2"/>
  <c r="N787" i="9"/>
  <c r="Q1233" i="2"/>
  <c r="O781" i="9"/>
  <c r="N777" i="9"/>
  <c r="Q1223" i="2"/>
  <c r="O770" i="9"/>
  <c r="N761" i="9"/>
  <c r="T758" i="9"/>
  <c r="X1211" i="2"/>
  <c r="N721" i="9"/>
  <c r="Q1190" i="2"/>
  <c r="O720" i="9"/>
  <c r="AJ715" i="9"/>
  <c r="N714" i="9"/>
  <c r="AH712" i="9"/>
  <c r="Z712" i="9"/>
  <c r="AJ709" i="9"/>
  <c r="N708" i="9"/>
  <c r="Q1177" i="2"/>
  <c r="O707" i="9"/>
  <c r="AB702" i="9"/>
  <c r="AF1174" i="2"/>
  <c r="AJ691" i="9"/>
  <c r="N690" i="9"/>
  <c r="AB685" i="9"/>
  <c r="AF1167" i="2"/>
  <c r="T685" i="9"/>
  <c r="X1167" i="2"/>
  <c r="AJ675" i="9"/>
  <c r="N674" i="9"/>
  <c r="Q1160" i="2"/>
  <c r="O673" i="9"/>
  <c r="N666" i="9"/>
  <c r="Q1152" i="2"/>
  <c r="N665" i="9"/>
  <c r="AA661" i="9"/>
  <c r="AC660" i="9"/>
  <c r="U660" i="9"/>
  <c r="AJ649" i="9"/>
  <c r="N648" i="9"/>
  <c r="Q1142" i="2"/>
  <c r="O647" i="9"/>
  <c r="O640" i="9"/>
  <c r="N633" i="9"/>
  <c r="Q1127" i="2"/>
  <c r="O632" i="9"/>
  <c r="T1124" i="2"/>
  <c r="AL1124" i="2"/>
  <c r="R630" i="9"/>
  <c r="N625" i="9"/>
  <c r="Q1120" i="2"/>
  <c r="O624" i="9"/>
  <c r="AA621" i="9"/>
  <c r="AA618" i="9"/>
  <c r="AE620" i="9"/>
  <c r="AI1115" i="2"/>
  <c r="W618" i="9"/>
  <c r="AE612" i="9"/>
  <c r="O612" i="9"/>
  <c r="N610" i="9"/>
  <c r="Q1109" i="2"/>
  <c r="O609" i="9"/>
  <c r="AL1106" i="2"/>
  <c r="T1106" i="2"/>
  <c r="R607" i="9"/>
  <c r="AE605" i="9"/>
  <c r="AI1104" i="2"/>
  <c r="N603" i="9"/>
  <c r="Q1102" i="2"/>
  <c r="O602" i="9"/>
  <c r="V1098" i="2"/>
  <c r="N599" i="9"/>
  <c r="AL1097" i="2"/>
  <c r="T1097" i="2"/>
  <c r="R598" i="9"/>
  <c r="R592" i="9"/>
  <c r="V1094" i="2"/>
  <c r="O580" i="9"/>
  <c r="N566" i="9"/>
  <c r="Q1076" i="2"/>
  <c r="O564" i="9"/>
  <c r="Z558" i="9"/>
  <c r="N557" i="9"/>
  <c r="Q1067" i="2"/>
  <c r="N550" i="9"/>
  <c r="Q1060" i="2"/>
  <c r="O548" i="9"/>
  <c r="Z542" i="9"/>
  <c r="N539" i="9"/>
  <c r="Q1049" i="2"/>
  <c r="N537" i="9"/>
  <c r="Q1047" i="2"/>
  <c r="O533" i="9"/>
  <c r="O529" i="9"/>
  <c r="V1037" i="2"/>
  <c r="N527" i="9"/>
  <c r="Q1037" i="2"/>
  <c r="AD1020" i="2"/>
  <c r="Z495" i="9"/>
  <c r="AD1015" i="2"/>
  <c r="AD490" i="9"/>
  <c r="S1012" i="2"/>
  <c r="AK1012" i="2"/>
  <c r="V1005" i="2"/>
  <c r="N467" i="9"/>
  <c r="O467" i="9"/>
  <c r="O463" i="9"/>
  <c r="O461" i="9"/>
  <c r="V989" i="2"/>
  <c r="N439" i="9"/>
  <c r="O439" i="9"/>
  <c r="R435" i="9"/>
  <c r="V987" i="2"/>
  <c r="O433" i="9"/>
  <c r="Q983" i="2"/>
  <c r="P422" i="9"/>
  <c r="V974" i="2"/>
  <c r="N411" i="9"/>
  <c r="Q974" i="2"/>
  <c r="O411" i="9"/>
  <c r="R949" i="2"/>
  <c r="P377" i="9"/>
  <c r="O374" i="9"/>
  <c r="V937" i="2"/>
  <c r="N360" i="9"/>
  <c r="O360" i="9"/>
  <c r="Q908" i="2"/>
  <c r="O319" i="9"/>
  <c r="R901" i="2"/>
  <c r="P307" i="9"/>
  <c r="V893" i="2"/>
  <c r="N296" i="9"/>
  <c r="Q842" i="2"/>
  <c r="O222" i="9"/>
  <c r="V825" i="2"/>
  <c r="N196" i="9"/>
  <c r="X159" i="9"/>
  <c r="AB807" i="2"/>
  <c r="V804" i="2"/>
  <c r="N154" i="9"/>
  <c r="O154" i="9"/>
  <c r="R150" i="9"/>
  <c r="V802" i="2"/>
  <c r="AK1106" i="2"/>
  <c r="S1106" i="2"/>
  <c r="AC1105" i="2"/>
  <c r="E348" i="10"/>
  <c r="AK1097" i="2"/>
  <c r="S1097" i="2"/>
  <c r="V1095" i="2"/>
  <c r="Y596" i="9"/>
  <c r="Q592" i="9"/>
  <c r="U1094" i="2"/>
  <c r="V1061" i="2"/>
  <c r="N551" i="9"/>
  <c r="Q1061" i="2"/>
  <c r="AD1048" i="2"/>
  <c r="O538" i="9"/>
  <c r="R1035" i="2"/>
  <c r="P525" i="9"/>
  <c r="Z1023" i="2"/>
  <c r="N507" i="9"/>
  <c r="V1018" i="2"/>
  <c r="R493" i="9"/>
  <c r="V1017" i="2"/>
  <c r="T1016" i="2"/>
  <c r="AM1016" i="2"/>
  <c r="V998" i="2"/>
  <c r="N454" i="9"/>
  <c r="Q998" i="2"/>
  <c r="O454" i="9"/>
  <c r="W951" i="2"/>
  <c r="S380" i="9"/>
  <c r="W950" i="2"/>
  <c r="V943" i="2"/>
  <c r="N366" i="9"/>
  <c r="Q943" i="2"/>
  <c r="O366" i="9"/>
  <c r="R357" i="9"/>
  <c r="V936" i="2"/>
  <c r="Q933" i="2"/>
  <c r="O352" i="9"/>
  <c r="R926" i="2"/>
  <c r="P345" i="9"/>
  <c r="R920" i="2"/>
  <c r="U814" i="2"/>
  <c r="Q159" i="9"/>
  <c r="U807" i="2"/>
  <c r="V764" i="2"/>
  <c r="N83" i="9"/>
  <c r="Q764" i="2"/>
  <c r="O83" i="9"/>
  <c r="Q740" i="2"/>
  <c r="O42" i="9"/>
  <c r="O605" i="8"/>
  <c r="AD348" i="8"/>
  <c r="AD3" i="8"/>
  <c r="R474" i="9"/>
  <c r="V1008" i="2"/>
  <c r="R463" i="9"/>
  <c r="V1003" i="2"/>
  <c r="N396" i="9"/>
  <c r="N394" i="9"/>
  <c r="N392" i="9"/>
  <c r="N390" i="9"/>
  <c r="N388" i="9"/>
  <c r="N386" i="9"/>
  <c r="N353" i="9"/>
  <c r="N351" i="9"/>
  <c r="S251" i="9"/>
  <c r="W859" i="2"/>
  <c r="R242" i="9"/>
  <c r="V854" i="2"/>
  <c r="O230" i="9"/>
  <c r="O228" i="9"/>
  <c r="R130" i="9"/>
  <c r="V791" i="2"/>
  <c r="R53" i="9"/>
  <c r="V745" i="2"/>
  <c r="R22" i="9"/>
  <c r="V731" i="2"/>
  <c r="L5" i="9"/>
  <c r="E327" i="10"/>
  <c r="E329" i="10"/>
  <c r="E331" i="10"/>
  <c r="E333" i="10"/>
  <c r="E335" i="10"/>
  <c r="E337" i="10"/>
  <c r="E339" i="10"/>
  <c r="E341" i="10"/>
  <c r="E343" i="10"/>
  <c r="E345" i="10"/>
  <c r="E347" i="10"/>
  <c r="E410" i="10"/>
  <c r="E412" i="10"/>
  <c r="E414" i="10"/>
  <c r="E416" i="10"/>
  <c r="E418" i="10"/>
  <c r="E420" i="10"/>
  <c r="D506" i="10"/>
  <c r="E396" i="10"/>
  <c r="E398" i="10"/>
  <c r="E400" i="10"/>
  <c r="E402" i="10"/>
  <c r="E404" i="10"/>
  <c r="E406" i="10"/>
  <c r="E372" i="10"/>
  <c r="E374" i="10"/>
  <c r="E376" i="10"/>
  <c r="E378" i="10"/>
  <c r="E380" i="10"/>
  <c r="E382" i="10"/>
  <c r="E384" i="10"/>
  <c r="E386" i="10"/>
  <c r="E388" i="10"/>
  <c r="E390" i="10"/>
  <c r="E392" i="10"/>
  <c r="E326" i="10"/>
  <c r="E328" i="10"/>
  <c r="E330" i="10"/>
  <c r="E332" i="10"/>
  <c r="E334" i="10"/>
  <c r="E336" i="10"/>
  <c r="E338" i="10"/>
  <c r="E340" i="10"/>
  <c r="E342" i="10"/>
  <c r="E344" i="10"/>
  <c r="E346" i="10"/>
  <c r="E409" i="10"/>
  <c r="E411" i="10"/>
  <c r="E413" i="10"/>
  <c r="E415" i="10"/>
  <c r="E417" i="10"/>
  <c r="E419" i="10"/>
  <c r="E421" i="10"/>
  <c r="E395" i="10"/>
  <c r="E397" i="10"/>
  <c r="E399" i="10"/>
  <c r="E401" i="10"/>
  <c r="E403" i="10"/>
  <c r="E405" i="10"/>
  <c r="E407" i="10"/>
  <c r="E354" i="10"/>
  <c r="E362" i="10"/>
  <c r="E370" i="10"/>
  <c r="E377" i="10"/>
  <c r="E393" i="10"/>
  <c r="E424" i="10"/>
  <c r="E432" i="10"/>
  <c r="E396" i="6"/>
  <c r="E398" i="6"/>
  <c r="E400" i="6"/>
  <c r="E402" i="6"/>
  <c r="E404" i="6"/>
  <c r="E406" i="6"/>
  <c r="E349" i="10"/>
  <c r="E357" i="10"/>
  <c r="E365" i="10"/>
  <c r="E387" i="10"/>
  <c r="E427" i="10"/>
  <c r="E435" i="10"/>
  <c r="D637" i="10"/>
  <c r="E372" i="6"/>
  <c r="E374" i="6"/>
  <c r="E376" i="6"/>
  <c r="E378" i="6"/>
  <c r="E380" i="6"/>
  <c r="E382" i="6"/>
  <c r="E384" i="6"/>
  <c r="E386" i="6"/>
  <c r="E388" i="6"/>
  <c r="E390" i="6"/>
  <c r="E392" i="6"/>
  <c r="E352" i="10"/>
  <c r="E360" i="10"/>
  <c r="E368" i="10"/>
  <c r="E381" i="10"/>
  <c r="E430" i="10"/>
  <c r="D505" i="10"/>
  <c r="D551" i="10"/>
  <c r="E350" i="6"/>
  <c r="E352" i="6"/>
  <c r="E354" i="6"/>
  <c r="E356" i="6"/>
  <c r="E358" i="6"/>
  <c r="E360" i="6"/>
  <c r="E362" i="6"/>
  <c r="E364" i="6"/>
  <c r="E366" i="6"/>
  <c r="E368" i="6"/>
  <c r="E370" i="6"/>
  <c r="E423" i="6"/>
  <c r="E425" i="6"/>
  <c r="E427" i="6"/>
  <c r="E429" i="6"/>
  <c r="E431" i="6"/>
  <c r="E433" i="6"/>
  <c r="E435" i="6"/>
  <c r="D552" i="6"/>
  <c r="D605" i="6"/>
  <c r="D638" i="6"/>
  <c r="G692" i="6"/>
  <c r="G702" i="6"/>
  <c r="E396" i="8"/>
  <c r="E398" i="8"/>
  <c r="E400" i="8"/>
  <c r="E402" i="8"/>
  <c r="E404" i="8"/>
  <c r="E406" i="8"/>
  <c r="E355" i="10"/>
  <c r="E363" i="10"/>
  <c r="E350" i="10"/>
  <c r="E358" i="10"/>
  <c r="E366" i="10"/>
  <c r="E385" i="10"/>
  <c r="E428" i="10"/>
  <c r="F692" i="10"/>
  <c r="F702" i="10"/>
  <c r="E395" i="6"/>
  <c r="E397" i="6"/>
  <c r="E399" i="6"/>
  <c r="E401" i="6"/>
  <c r="E403" i="6"/>
  <c r="E405" i="6"/>
  <c r="E407" i="6"/>
  <c r="E350" i="8"/>
  <c r="E352" i="8"/>
  <c r="E354" i="8"/>
  <c r="E356" i="8"/>
  <c r="E358" i="8"/>
  <c r="E360" i="8"/>
  <c r="E362" i="8"/>
  <c r="E364" i="8"/>
  <c r="E366" i="8"/>
  <c r="E368" i="8"/>
  <c r="E370" i="8"/>
  <c r="E423" i="8"/>
  <c r="E425" i="8"/>
  <c r="E427" i="8"/>
  <c r="E429" i="8"/>
  <c r="E431" i="8"/>
  <c r="E433" i="8"/>
  <c r="E435" i="8"/>
  <c r="D506" i="8"/>
  <c r="E353" i="10"/>
  <c r="E361" i="10"/>
  <c r="E369" i="10"/>
  <c r="E379" i="10"/>
  <c r="E423" i="10"/>
  <c r="E431" i="10"/>
  <c r="D552" i="10"/>
  <c r="D638" i="10"/>
  <c r="G692" i="10"/>
  <c r="G702" i="10"/>
  <c r="E373" i="6"/>
  <c r="E375" i="6"/>
  <c r="E377" i="6"/>
  <c r="E379" i="6"/>
  <c r="E381" i="6"/>
  <c r="E383" i="6"/>
  <c r="E385" i="6"/>
  <c r="E387" i="6"/>
  <c r="E389" i="6"/>
  <c r="E391" i="6"/>
  <c r="E393" i="6"/>
  <c r="D506" i="6"/>
  <c r="D518" i="6"/>
  <c r="D551" i="6"/>
  <c r="E356" i="10"/>
  <c r="E364" i="10"/>
  <c r="E373" i="10"/>
  <c r="E389" i="10"/>
  <c r="E426" i="10"/>
  <c r="E434" i="10"/>
  <c r="D519" i="10"/>
  <c r="H692" i="10"/>
  <c r="H702" i="10"/>
  <c r="E349" i="6"/>
  <c r="E351" i="6"/>
  <c r="E353" i="6"/>
  <c r="E355" i="6"/>
  <c r="E357" i="6"/>
  <c r="E359" i="6"/>
  <c r="E361" i="6"/>
  <c r="E363" i="6"/>
  <c r="E365" i="6"/>
  <c r="E367" i="6"/>
  <c r="E369" i="6"/>
  <c r="E424" i="6"/>
  <c r="E426" i="6"/>
  <c r="E428" i="6"/>
  <c r="E430" i="6"/>
  <c r="E432" i="6"/>
  <c r="E434" i="6"/>
  <c r="E351" i="10"/>
  <c r="E359" i="10"/>
  <c r="E367" i="10"/>
  <c r="E383" i="10"/>
  <c r="E429" i="10"/>
  <c r="D605" i="10"/>
  <c r="E327" i="6"/>
  <c r="E329" i="6"/>
  <c r="E331" i="6"/>
  <c r="E333" i="6"/>
  <c r="E335" i="6"/>
  <c r="E337" i="6"/>
  <c r="E339" i="6"/>
  <c r="E341" i="6"/>
  <c r="E343" i="6"/>
  <c r="E345" i="6"/>
  <c r="E347" i="6"/>
  <c r="E410" i="6"/>
  <c r="E412" i="6"/>
  <c r="E414" i="6"/>
  <c r="E416" i="6"/>
  <c r="E418" i="6"/>
  <c r="E420" i="6"/>
  <c r="E373" i="8"/>
  <c r="E375" i="8"/>
  <c r="E377" i="8"/>
  <c r="E379" i="8"/>
  <c r="E381" i="8"/>
  <c r="E383" i="8"/>
  <c r="E385" i="8"/>
  <c r="E387" i="8"/>
  <c r="E389" i="8"/>
  <c r="E391" i="8"/>
  <c r="E393" i="8"/>
  <c r="A783" i="8"/>
  <c r="A775" i="8"/>
  <c r="A767" i="8"/>
  <c r="A756" i="8"/>
  <c r="A748" i="8"/>
  <c r="A740" i="8"/>
  <c r="A732" i="8"/>
  <c r="A717" i="8"/>
  <c r="A713" i="8"/>
  <c r="A709" i="8"/>
  <c r="A707" i="8"/>
  <c r="A702" i="8"/>
  <c r="A696" i="8"/>
  <c r="A691" i="8"/>
  <c r="A685" i="8"/>
  <c r="A677" i="8"/>
  <c r="A669" i="8"/>
  <c r="A661" i="8"/>
  <c r="A653" i="8"/>
  <c r="A645" i="8"/>
  <c r="A633" i="8"/>
  <c r="A622" i="8"/>
  <c r="A619" i="8"/>
  <c r="A608" i="8"/>
  <c r="A601" i="8"/>
  <c r="A590" i="8"/>
  <c r="A576" i="8"/>
  <c r="A565" i="8"/>
  <c r="A562" i="8"/>
  <c r="A541" i="8"/>
  <c r="A527" i="8"/>
  <c r="A514" i="8"/>
  <c r="A508" i="8"/>
  <c r="A502" i="8"/>
  <c r="A498" i="8"/>
  <c r="A478" i="8"/>
  <c r="A472" i="8"/>
  <c r="A451" i="8"/>
  <c r="A445" i="8"/>
  <c r="A437" i="8"/>
  <c r="A436" i="8"/>
  <c r="A429" i="8"/>
  <c r="E424" i="8"/>
  <c r="E421" i="8"/>
  <c r="A417" i="8"/>
  <c r="E412" i="8"/>
  <c r="E407" i="8"/>
  <c r="A402" i="8"/>
  <c r="E399" i="8"/>
  <c r="A393" i="8"/>
  <c r="E388" i="8"/>
  <c r="A384" i="8"/>
  <c r="A377" i="8"/>
  <c r="E372" i="8"/>
  <c r="A369" i="8"/>
  <c r="E363" i="8"/>
  <c r="A361" i="8"/>
  <c r="E355" i="8"/>
  <c r="A353" i="8"/>
  <c r="E342" i="8"/>
  <c r="A338" i="8"/>
  <c r="E333" i="8"/>
  <c r="E326" i="8"/>
  <c r="A318" i="8"/>
  <c r="A303" i="8"/>
  <c r="A297" i="8"/>
  <c r="A295" i="8"/>
  <c r="A287" i="8"/>
  <c r="A285" i="8"/>
  <c r="A259" i="8"/>
  <c r="A245" i="8"/>
  <c r="A236" i="8"/>
  <c r="A223" i="8"/>
  <c r="A219" i="8"/>
  <c r="A213" i="8"/>
  <c r="A205" i="8"/>
  <c r="A201" i="8"/>
  <c r="A187" i="8"/>
  <c r="A182" i="8"/>
  <c r="A175" i="8"/>
  <c r="A152" i="8"/>
  <c r="A118" i="8"/>
  <c r="A111" i="8"/>
  <c r="A102" i="8"/>
  <c r="A91" i="8"/>
  <c r="A75" i="8"/>
  <c r="A59" i="8"/>
  <c r="A54" i="8"/>
  <c r="A48" i="8"/>
  <c r="A32" i="8"/>
  <c r="A27" i="8"/>
  <c r="A11" i="8"/>
  <c r="A786" i="6"/>
  <c r="A770" i="6"/>
  <c r="A760" i="6"/>
  <c r="A716" i="6"/>
  <c r="A700" i="6"/>
  <c r="H692" i="6"/>
  <c r="H702" i="6"/>
  <c r="A689" i="6"/>
  <c r="A663" i="6"/>
  <c r="A656" i="6"/>
  <c r="A649" i="6"/>
  <c r="A631" i="6"/>
  <c r="A624" i="6"/>
  <c r="A581" i="6"/>
  <c r="A560" i="6"/>
  <c r="A557" i="6"/>
  <c r="A549" i="6"/>
  <c r="A494" i="6"/>
  <c r="A443" i="6"/>
  <c r="A383" i="6"/>
  <c r="E332" i="6"/>
  <c r="H289" i="6"/>
  <c r="N290" i="6"/>
  <c r="N289" i="6"/>
  <c r="A238" i="6"/>
  <c r="A111" i="6"/>
  <c r="A25" i="6"/>
  <c r="AD3" i="6"/>
  <c r="A727" i="10"/>
  <c r="A670" i="10"/>
  <c r="A607" i="10"/>
  <c r="A475" i="10"/>
  <c r="E425" i="10"/>
  <c r="E391" i="10"/>
  <c r="Y495" i="9"/>
  <c r="AC484" i="9"/>
  <c r="AG1012" i="2"/>
  <c r="O457" i="9"/>
  <c r="O427" i="9"/>
  <c r="R342" i="9"/>
  <c r="V925" i="2"/>
  <c r="N337" i="9"/>
  <c r="N335" i="9"/>
  <c r="N333" i="9"/>
  <c r="N331" i="9"/>
  <c r="P274" i="9"/>
  <c r="N268" i="9"/>
  <c r="N266" i="9"/>
  <c r="N264" i="9"/>
  <c r="N262" i="9"/>
  <c r="N260" i="9"/>
  <c r="N258" i="9"/>
  <c r="N256" i="9"/>
  <c r="N234" i="9"/>
  <c r="N230" i="9"/>
  <c r="Q847" i="2"/>
  <c r="N228" i="9"/>
  <c r="Q845" i="2"/>
  <c r="P219" i="9"/>
  <c r="N209" i="9"/>
  <c r="N207" i="9"/>
  <c r="N205" i="9"/>
  <c r="AD189" i="9"/>
  <c r="U189" i="9"/>
  <c r="Y821" i="2"/>
  <c r="N142" i="9"/>
  <c r="Q797" i="2"/>
  <c r="N139" i="9"/>
  <c r="O124" i="9"/>
  <c r="P110" i="9"/>
  <c r="R108" i="9"/>
  <c r="V778" i="2"/>
  <c r="N106" i="9"/>
  <c r="N104" i="9"/>
  <c r="N102" i="9"/>
  <c r="N100" i="9"/>
  <c r="Y94" i="9"/>
  <c r="AC768" i="2"/>
  <c r="N69" i="9"/>
  <c r="Q755" i="2"/>
  <c r="N66" i="9"/>
  <c r="N64" i="9"/>
  <c r="P55" i="9"/>
  <c r="N48" i="9"/>
  <c r="N31" i="9"/>
  <c r="P24" i="9"/>
  <c r="A788" i="8"/>
  <c r="A780" i="8"/>
  <c r="A772" i="8"/>
  <c r="A764" i="8"/>
  <c r="A753" i="8"/>
  <c r="A745" i="8"/>
  <c r="A737" i="8"/>
  <c r="A729" i="8"/>
  <c r="A725" i="8"/>
  <c r="A721" i="8"/>
  <c r="L719" i="8"/>
  <c r="A693" i="8"/>
  <c r="A682" i="8"/>
  <c r="A674" i="8"/>
  <c r="A666" i="8"/>
  <c r="A658" i="8"/>
  <c r="A650" i="8"/>
  <c r="A642" i="8"/>
  <c r="A637" i="8"/>
  <c r="A630" i="8"/>
  <c r="A627" i="8"/>
  <c r="A616" i="8"/>
  <c r="A605" i="8"/>
  <c r="A598" i="8"/>
  <c r="A584" i="8"/>
  <c r="A573" i="8"/>
  <c r="A570" i="8"/>
  <c r="A559" i="8"/>
  <c r="A551" i="8"/>
  <c r="A549" i="8"/>
  <c r="A535" i="8"/>
  <c r="A524" i="8"/>
  <c r="A521" i="8"/>
  <c r="D518" i="8"/>
  <c r="A505" i="8"/>
  <c r="A495" i="8"/>
  <c r="A489" i="8"/>
  <c r="J498" i="8"/>
  <c r="A468" i="8"/>
  <c r="A462" i="8"/>
  <c r="A442" i="8"/>
  <c r="A431" i="8"/>
  <c r="E426" i="8"/>
  <c r="A419" i="8"/>
  <c r="E414" i="8"/>
  <c r="E390" i="8"/>
  <c r="A386" i="8"/>
  <c r="A379" i="8"/>
  <c r="E374" i="8"/>
  <c r="K371" i="8"/>
  <c r="E344" i="8"/>
  <c r="A340" i="8"/>
  <c r="E335" i="8"/>
  <c r="E328" i="8"/>
  <c r="A322" i="8"/>
  <c r="A314" i="8"/>
  <c r="A312" i="8"/>
  <c r="A293" i="8"/>
  <c r="A283" i="8"/>
  <c r="A277" i="8"/>
  <c r="A263" i="8"/>
  <c r="A251" i="8"/>
  <c r="A240" i="8"/>
  <c r="A215" i="8"/>
  <c r="A211" i="8"/>
  <c r="A181" i="8"/>
  <c r="A170" i="8"/>
  <c r="A142" i="8"/>
  <c r="A127" i="8"/>
  <c r="A124" i="8"/>
  <c r="A106" i="8"/>
  <c r="A95" i="8"/>
  <c r="A86" i="8"/>
  <c r="A83" i="8"/>
  <c r="A20" i="8"/>
  <c r="A17" i="8"/>
  <c r="A779" i="6"/>
  <c r="A776" i="6"/>
  <c r="A763" i="6"/>
  <c r="A743" i="6"/>
  <c r="A729" i="6"/>
  <c r="AD719" i="6"/>
  <c r="A711" i="6"/>
  <c r="A707" i="6"/>
  <c r="A696" i="6"/>
  <c r="F692" i="6"/>
  <c r="F702" i="6"/>
  <c r="A639" i="6"/>
  <c r="A614" i="6"/>
  <c r="A607" i="6"/>
  <c r="A591" i="6"/>
  <c r="A531" i="6"/>
  <c r="D519" i="6"/>
  <c r="A472" i="6"/>
  <c r="A453" i="6"/>
  <c r="E419" i="6"/>
  <c r="A417" i="6"/>
  <c r="E411" i="6"/>
  <c r="A409" i="6"/>
  <c r="A389" i="6"/>
  <c r="A373" i="6"/>
  <c r="E338" i="6"/>
  <c r="A319" i="6"/>
  <c r="A287" i="6"/>
  <c r="H276" i="6"/>
  <c r="A267" i="6"/>
  <c r="H197" i="6"/>
  <c r="N198" i="6"/>
  <c r="N197" i="6"/>
  <c r="A146" i="6"/>
  <c r="A79" i="6"/>
  <c r="G53" i="6"/>
  <c r="A17" i="6"/>
  <c r="A662" i="10"/>
  <c r="A558" i="10"/>
  <c r="A531" i="10"/>
  <c r="A509" i="10"/>
  <c r="E375" i="10"/>
  <c r="Z523" i="9"/>
  <c r="R517" i="9"/>
  <c r="V1029" i="2"/>
  <c r="AC499" i="9"/>
  <c r="X495" i="9"/>
  <c r="W493" i="9"/>
  <c r="AA1017" i="2"/>
  <c r="Y488" i="9"/>
  <c r="P460" i="9"/>
  <c r="P447" i="9"/>
  <c r="P432" i="9"/>
  <c r="P430" i="9"/>
  <c r="X380" i="9"/>
  <c r="AB950" i="2"/>
  <c r="N374" i="9"/>
  <c r="S313" i="9"/>
  <c r="W905" i="2"/>
  <c r="P310" i="9"/>
  <c r="P308" i="9"/>
  <c r="P306" i="9"/>
  <c r="O286" i="9"/>
  <c r="O284" i="9"/>
  <c r="R253" i="9"/>
  <c r="V860" i="2"/>
  <c r="O224" i="9"/>
  <c r="S214" i="9"/>
  <c r="AC189" i="9"/>
  <c r="AG821" i="2"/>
  <c r="T189" i="9"/>
  <c r="X821" i="2"/>
  <c r="N173" i="9"/>
  <c r="Q814" i="2"/>
  <c r="P127" i="9"/>
  <c r="N124" i="9"/>
  <c r="Q788" i="2"/>
  <c r="X94" i="9"/>
  <c r="AB768" i="2"/>
  <c r="O44" i="9"/>
  <c r="R30" i="9"/>
  <c r="O24" i="9"/>
  <c r="P19" i="9"/>
  <c r="A785" i="8"/>
  <c r="A777" i="8"/>
  <c r="A769" i="8"/>
  <c r="A761" i="8"/>
  <c r="A758" i="8"/>
  <c r="A750" i="8"/>
  <c r="A742" i="8"/>
  <c r="A734" i="8"/>
  <c r="A716" i="8"/>
  <c r="A712" i="8"/>
  <c r="A706" i="8"/>
  <c r="A701" i="8"/>
  <c r="A695" i="8"/>
  <c r="H692" i="8"/>
  <c r="H702" i="8"/>
  <c r="A690" i="8"/>
  <c r="A687" i="8"/>
  <c r="A679" i="8"/>
  <c r="A671" i="8"/>
  <c r="A663" i="8"/>
  <c r="A655" i="8"/>
  <c r="A647" i="8"/>
  <c r="A639" i="8"/>
  <c r="A635" i="8"/>
  <c r="A624" i="8"/>
  <c r="A613" i="8"/>
  <c r="A610" i="8"/>
  <c r="O603" i="8"/>
  <c r="AD603" i="8"/>
  <c r="A592" i="8"/>
  <c r="A581" i="8"/>
  <c r="A578" i="8"/>
  <c r="A567" i="8"/>
  <c r="A556" i="8"/>
  <c r="A553" i="8"/>
  <c r="A543" i="8"/>
  <c r="A532" i="8"/>
  <c r="A529" i="8"/>
  <c r="A516" i="8"/>
  <c r="A510" i="8"/>
  <c r="A501" i="8"/>
  <c r="A486" i="8"/>
  <c r="A480" i="8"/>
  <c r="A474" i="8"/>
  <c r="A459" i="8"/>
  <c r="A453" i="8"/>
  <c r="A447" i="8"/>
  <c r="A433" i="8"/>
  <c r="E428" i="8"/>
  <c r="A424" i="8"/>
  <c r="A421" i="8"/>
  <c r="E416" i="8"/>
  <c r="E409" i="8"/>
  <c r="A404" i="8"/>
  <c r="E401" i="8"/>
  <c r="A396" i="8"/>
  <c r="E392" i="8"/>
  <c r="A388" i="8"/>
  <c r="A381" i="8"/>
  <c r="E376" i="8"/>
  <c r="A372" i="8"/>
  <c r="A371" i="8"/>
  <c r="E365" i="8"/>
  <c r="A363" i="8"/>
  <c r="E357" i="8"/>
  <c r="A355" i="8"/>
  <c r="E349" i="8"/>
  <c r="E346" i="8"/>
  <c r="A342" i="8"/>
  <c r="E337" i="8"/>
  <c r="E330" i="8"/>
  <c r="A326" i="8"/>
  <c r="A317" i="8"/>
  <c r="A302" i="8"/>
  <c r="A279" i="8"/>
  <c r="A274" i="8"/>
  <c r="A267" i="8"/>
  <c r="A244" i="8"/>
  <c r="A210" i="8"/>
  <c r="A192" i="8"/>
  <c r="A174" i="8"/>
  <c r="A163" i="8"/>
  <c r="A146" i="8"/>
  <c r="A120" i="8"/>
  <c r="A110" i="8"/>
  <c r="A101" i="8"/>
  <c r="A90" i="8"/>
  <c r="G84" i="8"/>
  <c r="A82" i="8"/>
  <c r="A65" i="8"/>
  <c r="A38" i="8"/>
  <c r="A13" i="8"/>
  <c r="A788" i="6"/>
  <c r="A772" i="6"/>
  <c r="J788" i="6"/>
  <c r="A752" i="6"/>
  <c r="A749" i="6"/>
  <c r="A736" i="6"/>
  <c r="A733" i="6"/>
  <c r="A727" i="6"/>
  <c r="A715" i="6"/>
  <c r="A679" i="6"/>
  <c r="A672" i="6"/>
  <c r="A665" i="6"/>
  <c r="O605" i="6"/>
  <c r="O603" i="6"/>
  <c r="AD603" i="6"/>
  <c r="A573" i="6"/>
  <c r="O552" i="6"/>
  <c r="A541" i="6"/>
  <c r="A514" i="6"/>
  <c r="A486" i="6"/>
  <c r="J498" i="6"/>
  <c r="A467" i="6"/>
  <c r="A379" i="6"/>
  <c r="K371" i="6"/>
  <c r="E344" i="6"/>
  <c r="E328" i="6"/>
  <c r="A307" i="6"/>
  <c r="A297" i="6"/>
  <c r="A195" i="6"/>
  <c r="H184" i="6"/>
  <c r="A175" i="6"/>
  <c r="A103" i="6"/>
  <c r="A91" i="6"/>
  <c r="A71" i="6"/>
  <c r="AD55" i="6"/>
  <c r="A9" i="6"/>
  <c r="A3" i="6"/>
  <c r="A654" i="10"/>
  <c r="A629" i="10"/>
  <c r="A534" i="10"/>
  <c r="A457" i="10"/>
  <c r="AF371" i="10"/>
  <c r="N522" i="9"/>
  <c r="N491" i="9"/>
  <c r="Q1016" i="2"/>
  <c r="X425" i="9"/>
  <c r="AB981" i="2"/>
  <c r="N417" i="9"/>
  <c r="Q977" i="2"/>
  <c r="O399" i="9"/>
  <c r="N324" i="9"/>
  <c r="N322" i="9"/>
  <c r="N320" i="9"/>
  <c r="N318" i="9"/>
  <c r="N292" i="9"/>
  <c r="N286" i="9"/>
  <c r="Q888" i="2"/>
  <c r="N284" i="9"/>
  <c r="Q886" i="2"/>
  <c r="N282" i="9"/>
  <c r="Q884" i="2"/>
  <c r="N280" i="9"/>
  <c r="Q882" i="2"/>
  <c r="N278" i="9"/>
  <c r="Q880" i="2"/>
  <c r="N276" i="9"/>
  <c r="Q878" i="2"/>
  <c r="O239" i="9"/>
  <c r="O237" i="9"/>
  <c r="N221" i="9"/>
  <c r="N216" i="9"/>
  <c r="AB189" i="9"/>
  <c r="AF821" i="2"/>
  <c r="S189" i="9"/>
  <c r="O179" i="9"/>
  <c r="O176" i="9"/>
  <c r="O165" i="9"/>
  <c r="O161" i="9"/>
  <c r="O150" i="9"/>
  <c r="O147" i="9"/>
  <c r="O145" i="9"/>
  <c r="R136" i="9"/>
  <c r="V794" i="2"/>
  <c r="N134" i="9"/>
  <c r="N116" i="9"/>
  <c r="Q784" i="2"/>
  <c r="N114" i="9"/>
  <c r="Q782" i="2"/>
  <c r="N112" i="9"/>
  <c r="Q780" i="2"/>
  <c r="AE94" i="9"/>
  <c r="AI768" i="2"/>
  <c r="W94" i="9"/>
  <c r="AA768" i="2"/>
  <c r="N86" i="9"/>
  <c r="Q765" i="2"/>
  <c r="O77" i="9"/>
  <c r="O74" i="9"/>
  <c r="O72" i="9"/>
  <c r="P63" i="9"/>
  <c r="R61" i="9"/>
  <c r="V750" i="2"/>
  <c r="N59" i="9"/>
  <c r="N57" i="9"/>
  <c r="P50" i="9"/>
  <c r="N41" i="9"/>
  <c r="Q36" i="9"/>
  <c r="U737" i="2"/>
  <c r="P32" i="9"/>
  <c r="P30" i="9"/>
  <c r="R28" i="9"/>
  <c r="V734" i="2"/>
  <c r="N26" i="9"/>
  <c r="O19" i="9"/>
  <c r="A782" i="8"/>
  <c r="A774" i="8"/>
  <c r="A766" i="8"/>
  <c r="A755" i="8"/>
  <c r="A747" i="8"/>
  <c r="A739" i="8"/>
  <c r="A731" i="8"/>
  <c r="A728" i="8"/>
  <c r="A724" i="8"/>
  <c r="A720" i="8"/>
  <c r="A703" i="8"/>
  <c r="G692" i="8"/>
  <c r="G702" i="8"/>
  <c r="A684" i="8"/>
  <c r="A676" i="8"/>
  <c r="A668" i="8"/>
  <c r="A660" i="8"/>
  <c r="A652" i="8"/>
  <c r="A644" i="8"/>
  <c r="D638" i="8"/>
  <c r="A632" i="8"/>
  <c r="A621" i="8"/>
  <c r="A618" i="8"/>
  <c r="A607" i="8"/>
  <c r="D604" i="8"/>
  <c r="A600" i="8"/>
  <c r="A589" i="8"/>
  <c r="A586" i="8"/>
  <c r="A575" i="8"/>
  <c r="A564" i="8"/>
  <c r="A561" i="8"/>
  <c r="D552" i="8"/>
  <c r="A540" i="8"/>
  <c r="A537" i="8"/>
  <c r="A526" i="8"/>
  <c r="A518" i="8"/>
  <c r="A507" i="8"/>
  <c r="A497" i="8"/>
  <c r="A477" i="8"/>
  <c r="A471" i="8"/>
  <c r="A450" i="8"/>
  <c r="A444" i="8"/>
  <c r="A435" i="8"/>
  <c r="E430" i="8"/>
  <c r="A426" i="8"/>
  <c r="K436" i="8"/>
  <c r="E418" i="8"/>
  <c r="E411" i="8"/>
  <c r="A390" i="8"/>
  <c r="A383" i="8"/>
  <c r="E378" i="8"/>
  <c r="A374" i="8"/>
  <c r="A344" i="8"/>
  <c r="E339" i="8"/>
  <c r="E332" i="8"/>
  <c r="A328" i="8"/>
  <c r="A321" i="8"/>
  <c r="A306" i="8"/>
  <c r="A304" i="8"/>
  <c r="A273" i="8"/>
  <c r="A262" i="8"/>
  <c r="A234" i="8"/>
  <c r="A220" i="8"/>
  <c r="A202" i="8"/>
  <c r="H197" i="8"/>
  <c r="A178" i="8"/>
  <c r="A169" i="8"/>
  <c r="A150" i="8"/>
  <c r="A141" i="8"/>
  <c r="A105" i="8"/>
  <c r="A94" i="8"/>
  <c r="A80" i="8"/>
  <c r="A74" i="8"/>
  <c r="A71" i="8"/>
  <c r="A58" i="8"/>
  <c r="A47" i="8"/>
  <c r="A44" i="8"/>
  <c r="A745" i="6"/>
  <c r="A724" i="6"/>
  <c r="A719" i="6"/>
  <c r="A706" i="6"/>
  <c r="A695" i="6"/>
  <c r="A688" i="6"/>
  <c r="A685" i="6"/>
  <c r="A655" i="6"/>
  <c r="A648" i="6"/>
  <c r="A641" i="6"/>
  <c r="D637" i="6"/>
  <c r="A630" i="6"/>
  <c r="A623" i="6"/>
  <c r="A616" i="6"/>
  <c r="A583" i="6"/>
  <c r="A562" i="6"/>
  <c r="A523" i="6"/>
  <c r="A506" i="6"/>
  <c r="A496" i="6"/>
  <c r="A445" i="6"/>
  <c r="K436" i="6"/>
  <c r="E421" i="6"/>
  <c r="A419" i="6"/>
  <c r="E413" i="6"/>
  <c r="A411" i="6"/>
  <c r="A385" i="6"/>
  <c r="E334" i="6"/>
  <c r="A259" i="6"/>
  <c r="A242" i="6"/>
  <c r="A215" i="6"/>
  <c r="A205" i="6"/>
  <c r="A63" i="6"/>
  <c r="A757" i="10"/>
  <c r="A646" i="10"/>
  <c r="A638" i="10"/>
  <c r="A621" i="10"/>
  <c r="D518" i="10"/>
  <c r="A464" i="10"/>
  <c r="R315" i="9"/>
  <c r="V906" i="2"/>
  <c r="R216" i="9"/>
  <c r="V838" i="2"/>
  <c r="AD94" i="9"/>
  <c r="AH768" i="2"/>
  <c r="U94" i="9"/>
  <c r="Y768" i="2"/>
  <c r="R38" i="9"/>
  <c r="V738" i="2"/>
  <c r="A409" i="8"/>
  <c r="A406" i="8"/>
  <c r="A398" i="8"/>
  <c r="A392" i="8"/>
  <c r="A385" i="8"/>
  <c r="E380" i="8"/>
  <c r="A376" i="8"/>
  <c r="K394" i="8"/>
  <c r="E367" i="8"/>
  <c r="A365" i="8"/>
  <c r="E359" i="8"/>
  <c r="A357" i="8"/>
  <c r="E351" i="8"/>
  <c r="A349" i="8"/>
  <c r="A346" i="8"/>
  <c r="E341" i="8"/>
  <c r="E334" i="8"/>
  <c r="A330" i="8"/>
  <c r="A325" i="8"/>
  <c r="A296" i="8"/>
  <c r="A294" i="8"/>
  <c r="A286" i="8"/>
  <c r="A284" i="8"/>
  <c r="A266" i="8"/>
  <c r="A255" i="8"/>
  <c r="A238" i="8"/>
  <c r="A212" i="8"/>
  <c r="H184" i="8"/>
  <c r="N185" i="8"/>
  <c r="N184" i="8"/>
  <c r="A173" i="8"/>
  <c r="A155" i="8"/>
  <c r="A145" i="8"/>
  <c r="A139" i="8"/>
  <c r="A126" i="8"/>
  <c r="A109" i="8"/>
  <c r="A98" i="8"/>
  <c r="A89" i="8"/>
  <c r="A67" i="8"/>
  <c r="A57" i="8"/>
  <c r="A40" i="8"/>
  <c r="A28" i="8"/>
  <c r="A19" i="8"/>
  <c r="A5" i="8"/>
  <c r="A778" i="6"/>
  <c r="A762" i="6"/>
  <c r="A723" i="6"/>
  <c r="A709" i="6"/>
  <c r="A702" i="6"/>
  <c r="A691" i="6"/>
  <c r="A681" i="6"/>
  <c r="A606" i="6"/>
  <c r="A597" i="6"/>
  <c r="A553" i="6"/>
  <c r="A533" i="6"/>
  <c r="A499" i="6"/>
  <c r="A478" i="6"/>
  <c r="A470" i="6"/>
  <c r="A459" i="6"/>
  <c r="K408" i="6"/>
  <c r="A391" i="6"/>
  <c r="A375" i="6"/>
  <c r="E340" i="6"/>
  <c r="A323" i="6"/>
  <c r="A273" i="6"/>
  <c r="A167" i="6"/>
  <c r="A150" i="6"/>
  <c r="J788" i="10"/>
  <c r="A749" i="10"/>
  <c r="D604" i="10"/>
  <c r="R382" i="9"/>
  <c r="V951" i="2"/>
  <c r="N342" i="9"/>
  <c r="N336" i="9"/>
  <c r="Q922" i="2"/>
  <c r="N334" i="9"/>
  <c r="Q920" i="2"/>
  <c r="N332" i="9"/>
  <c r="Q918" i="2"/>
  <c r="N330" i="9"/>
  <c r="P330" i="9"/>
  <c r="O299" i="9"/>
  <c r="O297" i="9"/>
  <c r="O295" i="9"/>
  <c r="S290" i="9"/>
  <c r="W890" i="2"/>
  <c r="P283" i="9"/>
  <c r="P281" i="9"/>
  <c r="P279" i="9"/>
  <c r="P277" i="9"/>
  <c r="P275" i="9"/>
  <c r="R271" i="9"/>
  <c r="V875" i="2"/>
  <c r="N269" i="9"/>
  <c r="N267" i="9"/>
  <c r="N265" i="9"/>
  <c r="N263" i="9"/>
  <c r="N261" i="9"/>
  <c r="N259" i="9"/>
  <c r="N257" i="9"/>
  <c r="O247" i="9"/>
  <c r="O245" i="9"/>
  <c r="R234" i="9"/>
  <c r="V849" i="2"/>
  <c r="N229" i="9"/>
  <c r="Q846" i="2"/>
  <c r="N227" i="9"/>
  <c r="P227" i="9"/>
  <c r="N208" i="9"/>
  <c r="N206" i="9"/>
  <c r="N204" i="9"/>
  <c r="O195" i="9"/>
  <c r="Z189" i="9"/>
  <c r="AD821" i="2"/>
  <c r="Q189" i="9"/>
  <c r="R142" i="9"/>
  <c r="V797" i="2"/>
  <c r="N140" i="9"/>
  <c r="Q796" i="2"/>
  <c r="O122" i="9"/>
  <c r="N105" i="9"/>
  <c r="N103" i="9"/>
  <c r="N101" i="9"/>
  <c r="N99" i="9"/>
  <c r="AC94" i="9"/>
  <c r="AG768" i="2"/>
  <c r="T94" i="9"/>
  <c r="X768" i="2"/>
  <c r="O89" i="9"/>
  <c r="R69" i="9"/>
  <c r="V755" i="2"/>
  <c r="N67" i="9"/>
  <c r="Q754" i="2"/>
  <c r="N65" i="9"/>
  <c r="Q752" i="2"/>
  <c r="X51" i="9"/>
  <c r="AB744" i="2"/>
  <c r="N47" i="9"/>
  <c r="P47" i="9"/>
  <c r="X20" i="9"/>
  <c r="AD16" i="9"/>
  <c r="AH729" i="2"/>
  <c r="G14" i="14"/>
  <c r="G16" i="14"/>
  <c r="G22" i="14"/>
  <c r="G30" i="14"/>
  <c r="A7" i="10"/>
  <c r="A15" i="10"/>
  <c r="A23" i="10"/>
  <c r="A30" i="10"/>
  <c r="A34" i="10"/>
  <c r="A42" i="10"/>
  <c r="A50" i="10"/>
  <c r="A55" i="10"/>
  <c r="A61" i="10"/>
  <c r="A69" i="10"/>
  <c r="A77" i="10"/>
  <c r="A84" i="10"/>
  <c r="A88" i="10"/>
  <c r="A92" i="10"/>
  <c r="A96" i="10"/>
  <c r="A100" i="10"/>
  <c r="A104" i="10"/>
  <c r="A108" i="10"/>
  <c r="A112" i="10"/>
  <c r="A122" i="10"/>
  <c r="A130" i="10"/>
  <c r="A133" i="10"/>
  <c r="A143" i="10"/>
  <c r="A147" i="10"/>
  <c r="A151" i="10"/>
  <c r="A168" i="10"/>
  <c r="A172" i="10"/>
  <c r="A176" i="10"/>
  <c r="A183" i="10"/>
  <c r="A189" i="10"/>
  <c r="A197" i="10"/>
  <c r="A199" i="10"/>
  <c r="A207" i="10"/>
  <c r="A217" i="10"/>
  <c r="A225" i="10"/>
  <c r="A235" i="10"/>
  <c r="A239" i="10"/>
  <c r="A243" i="10"/>
  <c r="A260" i="10"/>
  <c r="A264" i="10"/>
  <c r="A268" i="10"/>
  <c r="A275" i="10"/>
  <c r="A281" i="10"/>
  <c r="A289" i="10"/>
  <c r="A291" i="10"/>
  <c r="A299" i="10"/>
  <c r="A309" i="10"/>
  <c r="F2" i="14"/>
  <c r="G12" i="14"/>
  <c r="G20" i="14"/>
  <c r="G28" i="14"/>
  <c r="G36" i="14"/>
  <c r="A13" i="10"/>
  <c r="A21" i="10"/>
  <c r="A28" i="10"/>
  <c r="A32" i="10"/>
  <c r="A40" i="10"/>
  <c r="A48" i="10"/>
  <c r="A59" i="10"/>
  <c r="A67" i="10"/>
  <c r="A75" i="10"/>
  <c r="A89" i="10"/>
  <c r="A93" i="10"/>
  <c r="A97" i="10"/>
  <c r="A101" i="10"/>
  <c r="A105" i="10"/>
  <c r="A109" i="10"/>
  <c r="A114" i="10"/>
  <c r="A120" i="10"/>
  <c r="A128" i="10"/>
  <c r="A139" i="10"/>
  <c r="A144" i="10"/>
  <c r="A148" i="10"/>
  <c r="A152" i="10"/>
  <c r="A169" i="10"/>
  <c r="A173" i="10"/>
  <c r="A177" i="10"/>
  <c r="A191" i="10"/>
  <c r="A201" i="10"/>
  <c r="A209" i="10"/>
  <c r="A211" i="10"/>
  <c r="A219" i="10"/>
  <c r="A231" i="10"/>
  <c r="A236" i="10"/>
  <c r="A240" i="10"/>
  <c r="A244" i="10"/>
  <c r="A261" i="10"/>
  <c r="A265" i="10"/>
  <c r="A269" i="10"/>
  <c r="A283" i="10"/>
  <c r="A293" i="10"/>
  <c r="A301" i="10"/>
  <c r="A303" i="10"/>
  <c r="A311" i="10"/>
  <c r="A317" i="10"/>
  <c r="A321" i="10"/>
  <c r="A325" i="10"/>
  <c r="A372" i="10"/>
  <c r="A374" i="10"/>
  <c r="A376" i="10"/>
  <c r="A378" i="10"/>
  <c r="A380" i="10"/>
  <c r="A382" i="10"/>
  <c r="A384" i="10"/>
  <c r="A386" i="10"/>
  <c r="A388" i="10"/>
  <c r="A390" i="10"/>
  <c r="A392" i="10"/>
  <c r="A394" i="10"/>
  <c r="A437" i="10"/>
  <c r="A447" i="10"/>
  <c r="A455" i="10"/>
  <c r="A463" i="10"/>
  <c r="A474" i="10"/>
  <c r="A482" i="10"/>
  <c r="A490" i="10"/>
  <c r="A498" i="10"/>
  <c r="A512" i="10"/>
  <c r="G6" i="14"/>
  <c r="G8" i="14"/>
  <c r="G10" i="14"/>
  <c r="G23" i="14"/>
  <c r="G31" i="14"/>
  <c r="A4" i="10"/>
  <c r="A8" i="10"/>
  <c r="A16" i="10"/>
  <c r="A24" i="10"/>
  <c r="A29" i="10"/>
  <c r="A35" i="10"/>
  <c r="A43" i="10"/>
  <c r="A51" i="10"/>
  <c r="A62" i="10"/>
  <c r="A70" i="10"/>
  <c r="A78" i="10"/>
  <c r="A115" i="10"/>
  <c r="A123" i="10"/>
  <c r="A131" i="10"/>
  <c r="A140" i="10"/>
  <c r="A157" i="10"/>
  <c r="A161" i="10"/>
  <c r="A165" i="10"/>
  <c r="A188" i="10"/>
  <c r="A196" i="10"/>
  <c r="A198" i="10"/>
  <c r="A206" i="10"/>
  <c r="A216" i="10"/>
  <c r="A232" i="10"/>
  <c r="A249" i="10"/>
  <c r="A253" i="10"/>
  <c r="A257" i="10"/>
  <c r="A280" i="10"/>
  <c r="A288" i="10"/>
  <c r="A290" i="10"/>
  <c r="A298" i="10"/>
  <c r="A308" i="10"/>
  <c r="A350" i="10"/>
  <c r="A352" i="10"/>
  <c r="A354" i="10"/>
  <c r="A356" i="10"/>
  <c r="A358" i="10"/>
  <c r="A360" i="10"/>
  <c r="A362" i="10"/>
  <c r="A364" i="10"/>
  <c r="A366" i="10"/>
  <c r="A368" i="10"/>
  <c r="A370" i="10"/>
  <c r="A423" i="10"/>
  <c r="A425" i="10"/>
  <c r="A427" i="10"/>
  <c r="A429" i="10"/>
  <c r="A431" i="10"/>
  <c r="A433" i="10"/>
  <c r="A435" i="10"/>
  <c r="A438" i="10"/>
  <c r="A442" i="10"/>
  <c r="A450" i="10"/>
  <c r="A458" i="10"/>
  <c r="A466" i="10"/>
  <c r="A477" i="10"/>
  <c r="A485" i="10"/>
  <c r="A493" i="10"/>
  <c r="A503" i="10"/>
  <c r="A507" i="10"/>
  <c r="A515" i="10"/>
  <c r="A524" i="10"/>
  <c r="A532" i="10"/>
  <c r="A540" i="10"/>
  <c r="A548" i="10"/>
  <c r="G4" i="14"/>
  <c r="G15" i="14"/>
  <c r="G18" i="14"/>
  <c r="G26" i="14"/>
  <c r="G34" i="14"/>
  <c r="A5" i="10"/>
  <c r="A11" i="10"/>
  <c r="A19" i="10"/>
  <c r="A27" i="10"/>
  <c r="A38" i="10"/>
  <c r="A46" i="10"/>
  <c r="A65" i="10"/>
  <c r="A73" i="10"/>
  <c r="A80" i="10"/>
  <c r="A86" i="10"/>
  <c r="A90" i="10"/>
  <c r="A94" i="10"/>
  <c r="A98" i="10"/>
  <c r="A102" i="10"/>
  <c r="A106" i="10"/>
  <c r="A110" i="10"/>
  <c r="A116" i="10"/>
  <c r="A118" i="10"/>
  <c r="A126" i="10"/>
  <c r="A141" i="10"/>
  <c r="A145" i="10"/>
  <c r="A149" i="10"/>
  <c r="A153" i="10"/>
  <c r="A170" i="10"/>
  <c r="A174" i="10"/>
  <c r="A178" i="10"/>
  <c r="A185" i="10"/>
  <c r="A193" i="10"/>
  <c r="A203" i="10"/>
  <c r="A213" i="10"/>
  <c r="A221" i="10"/>
  <c r="A233" i="10"/>
  <c r="A237" i="10"/>
  <c r="A241" i="10"/>
  <c r="A245" i="10"/>
  <c r="A262" i="10"/>
  <c r="A266" i="10"/>
  <c r="A270" i="10"/>
  <c r="A277" i="10"/>
  <c r="A285" i="10"/>
  <c r="A295" i="10"/>
  <c r="A305" i="10"/>
  <c r="A313" i="10"/>
  <c r="A318" i="10"/>
  <c r="A322" i="10"/>
  <c r="A326" i="10"/>
  <c r="A328" i="10"/>
  <c r="A330" i="10"/>
  <c r="A332" i="10"/>
  <c r="A334" i="10"/>
  <c r="A336" i="10"/>
  <c r="A338" i="10"/>
  <c r="A340" i="10"/>
  <c r="A342" i="10"/>
  <c r="A344" i="10"/>
  <c r="A346" i="10"/>
  <c r="A348" i="10"/>
  <c r="A409" i="10"/>
  <c r="A411" i="10"/>
  <c r="A413" i="10"/>
  <c r="A415" i="10"/>
  <c r="A417" i="10"/>
  <c r="A419" i="10"/>
  <c r="A421" i="10"/>
  <c r="A439" i="10"/>
  <c r="A445" i="10"/>
  <c r="A453" i="10"/>
  <c r="A461" i="10"/>
  <c r="A472" i="10"/>
  <c r="A480" i="10"/>
  <c r="A488" i="10"/>
  <c r="A496" i="10"/>
  <c r="A505" i="10"/>
  <c r="A510" i="10"/>
  <c r="A519" i="10"/>
  <c r="A527" i="10"/>
  <c r="A535" i="10"/>
  <c r="A543" i="10"/>
  <c r="A552" i="10"/>
  <c r="G13" i="14"/>
  <c r="G21" i="14"/>
  <c r="G29" i="14"/>
  <c r="G37" i="14"/>
  <c r="A6" i="10"/>
  <c r="A14" i="10"/>
  <c r="A22" i="10"/>
  <c r="A33" i="10"/>
  <c r="A41" i="10"/>
  <c r="A49" i="10"/>
  <c r="A56" i="10"/>
  <c r="A60" i="10"/>
  <c r="A68" i="10"/>
  <c r="A76" i="10"/>
  <c r="A81" i="10"/>
  <c r="A99" i="10"/>
  <c r="A117" i="10"/>
  <c r="A121" i="10"/>
  <c r="A129" i="10"/>
  <c r="A154" i="10"/>
  <c r="A158" i="10"/>
  <c r="A162" i="10"/>
  <c r="A166" i="10"/>
  <c r="A190" i="10"/>
  <c r="A200" i="10"/>
  <c r="A208" i="10"/>
  <c r="A218" i="10"/>
  <c r="A246" i="10"/>
  <c r="A250" i="10"/>
  <c r="A254" i="10"/>
  <c r="A258" i="10"/>
  <c r="A282" i="10"/>
  <c r="A292" i="10"/>
  <c r="A300" i="10"/>
  <c r="A310" i="10"/>
  <c r="G24" i="14"/>
  <c r="G32" i="14"/>
  <c r="A3" i="10"/>
  <c r="A9" i="10"/>
  <c r="A17" i="10"/>
  <c r="A25" i="10"/>
  <c r="A36" i="10"/>
  <c r="A44" i="10"/>
  <c r="A52" i="10"/>
  <c r="A57" i="10"/>
  <c r="A63" i="10"/>
  <c r="A71" i="10"/>
  <c r="A79" i="10"/>
  <c r="A82" i="10"/>
  <c r="A87" i="10"/>
  <c r="A91" i="10"/>
  <c r="A95" i="10"/>
  <c r="A103" i="10"/>
  <c r="A107" i="10"/>
  <c r="A111" i="10"/>
  <c r="A124" i="10"/>
  <c r="A142" i="10"/>
  <c r="A146" i="10"/>
  <c r="A150" i="10"/>
  <c r="A167" i="10"/>
  <c r="A171" i="10"/>
  <c r="A175" i="10"/>
  <c r="A181" i="10"/>
  <c r="A187" i="10"/>
  <c r="A195" i="10"/>
  <c r="A205" i="10"/>
  <c r="A215" i="10"/>
  <c r="A223" i="10"/>
  <c r="A234" i="10"/>
  <c r="A238" i="10"/>
  <c r="A242" i="10"/>
  <c r="A259" i="10"/>
  <c r="A263" i="10"/>
  <c r="A267" i="10"/>
  <c r="A273" i="10"/>
  <c r="A279" i="10"/>
  <c r="A287" i="10"/>
  <c r="A297" i="10"/>
  <c r="A307" i="10"/>
  <c r="A315" i="10"/>
  <c r="A319" i="10"/>
  <c r="A323" i="10"/>
  <c r="A373" i="10"/>
  <c r="A375" i="10"/>
  <c r="A377" i="10"/>
  <c r="A379" i="10"/>
  <c r="A381" i="10"/>
  <c r="A383" i="10"/>
  <c r="A385" i="10"/>
  <c r="A387" i="10"/>
  <c r="A389" i="10"/>
  <c r="A391" i="10"/>
  <c r="A393" i="10"/>
  <c r="A443" i="10"/>
  <c r="A451" i="10"/>
  <c r="A459" i="10"/>
  <c r="A467" i="10"/>
  <c r="A470" i="10"/>
  <c r="A478" i="10"/>
  <c r="A486" i="10"/>
  <c r="A494" i="10"/>
  <c r="A499" i="10"/>
  <c r="G5" i="14"/>
  <c r="G7" i="14"/>
  <c r="G9" i="14"/>
  <c r="G11" i="14"/>
  <c r="G19" i="14"/>
  <c r="G27" i="14"/>
  <c r="G35" i="14"/>
  <c r="A12" i="10"/>
  <c r="A20" i="10"/>
  <c r="A39" i="10"/>
  <c r="A47" i="10"/>
  <c r="A54" i="10"/>
  <c r="A58" i="10"/>
  <c r="A66" i="10"/>
  <c r="A74" i="10"/>
  <c r="A83" i="10"/>
  <c r="A119" i="10"/>
  <c r="A127" i="10"/>
  <c r="A132" i="10"/>
  <c r="A155" i="10"/>
  <c r="A159" i="10"/>
  <c r="A163" i="10"/>
  <c r="A182" i="10"/>
  <c r="A192" i="10"/>
  <c r="A202" i="10"/>
  <c r="A210" i="10"/>
  <c r="A212" i="10"/>
  <c r="A220" i="10"/>
  <c r="A224" i="10"/>
  <c r="A247" i="10"/>
  <c r="A251" i="10"/>
  <c r="A255" i="10"/>
  <c r="A274" i="10"/>
  <c r="A284" i="10"/>
  <c r="A294" i="10"/>
  <c r="A302" i="10"/>
  <c r="A304" i="10"/>
  <c r="A312" i="10"/>
  <c r="A349" i="10"/>
  <c r="A351" i="10"/>
  <c r="A353" i="10"/>
  <c r="A355" i="10"/>
  <c r="A357" i="10"/>
  <c r="A359" i="10"/>
  <c r="A361" i="10"/>
  <c r="A363" i="10"/>
  <c r="A365" i="10"/>
  <c r="A367" i="10"/>
  <c r="A369" i="10"/>
  <c r="A371" i="10"/>
  <c r="A424" i="10"/>
  <c r="A426" i="10"/>
  <c r="A428" i="10"/>
  <c r="A430" i="10"/>
  <c r="A432" i="10"/>
  <c r="A434" i="10"/>
  <c r="A436" i="10"/>
  <c r="A446" i="10"/>
  <c r="A454" i="10"/>
  <c r="A462" i="10"/>
  <c r="A473" i="10"/>
  <c r="A481" i="10"/>
  <c r="A489" i="10"/>
  <c r="A497" i="10"/>
  <c r="A500" i="10"/>
  <c r="A511" i="10"/>
  <c r="A520" i="10"/>
  <c r="A528" i="10"/>
  <c r="A536" i="10"/>
  <c r="A544" i="10"/>
  <c r="A553" i="10"/>
  <c r="A561" i="10"/>
  <c r="A569" i="10"/>
  <c r="A577" i="10"/>
  <c r="A585" i="10"/>
  <c r="A593" i="10"/>
  <c r="A601" i="10"/>
  <c r="A610" i="10"/>
  <c r="A618" i="10"/>
  <c r="A37" i="10"/>
  <c r="A85" i="10"/>
  <c r="A194" i="10"/>
  <c r="A252" i="10"/>
  <c r="A296" i="10"/>
  <c r="A314" i="10"/>
  <c r="A324" i="10"/>
  <c r="A341" i="10"/>
  <c r="A398" i="10"/>
  <c r="A406" i="10"/>
  <c r="A414" i="10"/>
  <c r="A449" i="10"/>
  <c r="A456" i="10"/>
  <c r="A469" i="10"/>
  <c r="A487" i="10"/>
  <c r="A508" i="10"/>
  <c r="A521" i="10"/>
  <c r="A530" i="10"/>
  <c r="A533" i="10"/>
  <c r="A539" i="10"/>
  <c r="A542" i="10"/>
  <c r="A551" i="10"/>
  <c r="A557" i="10"/>
  <c r="A568" i="10"/>
  <c r="A571" i="10"/>
  <c r="A582" i="10"/>
  <c r="A596" i="10"/>
  <c r="A606" i="10"/>
  <c r="A617" i="10"/>
  <c r="A620" i="10"/>
  <c r="A628" i="10"/>
  <c r="A636" i="10"/>
  <c r="A645" i="10"/>
  <c r="A653" i="10"/>
  <c r="A661" i="10"/>
  <c r="A669" i="10"/>
  <c r="A677" i="10"/>
  <c r="A685" i="10"/>
  <c r="A691" i="10"/>
  <c r="A696" i="10"/>
  <c r="A702" i="10"/>
  <c r="A707" i="10"/>
  <c r="A709" i="10"/>
  <c r="A713" i="10"/>
  <c r="A717" i="10"/>
  <c r="A732" i="10"/>
  <c r="A740" i="10"/>
  <c r="A748" i="10"/>
  <c r="A756" i="10"/>
  <c r="A767" i="10"/>
  <c r="A775" i="10"/>
  <c r="A783" i="10"/>
  <c r="A4" i="6"/>
  <c r="A8" i="6"/>
  <c r="A16" i="6"/>
  <c r="A24" i="6"/>
  <c r="A29" i="6"/>
  <c r="A35" i="6"/>
  <c r="A43" i="6"/>
  <c r="A51" i="6"/>
  <c r="A62" i="6"/>
  <c r="A70" i="6"/>
  <c r="A78" i="6"/>
  <c r="A115" i="6"/>
  <c r="A123" i="6"/>
  <c r="A131" i="6"/>
  <c r="A140" i="6"/>
  <c r="A157" i="6"/>
  <c r="A161" i="6"/>
  <c r="A165" i="6"/>
  <c r="A188" i="6"/>
  <c r="A196" i="6"/>
  <c r="A198" i="6"/>
  <c r="A206" i="6"/>
  <c r="A216" i="6"/>
  <c r="A232" i="6"/>
  <c r="A249" i="6"/>
  <c r="A253" i="6"/>
  <c r="A257" i="6"/>
  <c r="A280" i="6"/>
  <c r="A288" i="6"/>
  <c r="A290" i="6"/>
  <c r="A298" i="6"/>
  <c r="A308" i="6"/>
  <c r="A350" i="6"/>
  <c r="A352" i="6"/>
  <c r="A354" i="6"/>
  <c r="A356" i="6"/>
  <c r="A358" i="6"/>
  <c r="A360" i="6"/>
  <c r="A362" i="6"/>
  <c r="A364" i="6"/>
  <c r="A366" i="6"/>
  <c r="A368" i="6"/>
  <c r="A370" i="6"/>
  <c r="A423" i="6"/>
  <c r="A425" i="6"/>
  <c r="A427" i="6"/>
  <c r="A429" i="6"/>
  <c r="A431" i="6"/>
  <c r="A433" i="6"/>
  <c r="A435" i="6"/>
  <c r="A438" i="6"/>
  <c r="A442" i="6"/>
  <c r="A450" i="6"/>
  <c r="A458" i="6"/>
  <c r="A466" i="6"/>
  <c r="A477" i="6"/>
  <c r="A485" i="6"/>
  <c r="A493" i="6"/>
  <c r="A504" i="6"/>
  <c r="A513" i="6"/>
  <c r="A522" i="6"/>
  <c r="A530" i="6"/>
  <c r="A538" i="6"/>
  <c r="A546" i="6"/>
  <c r="A552" i="6"/>
  <c r="A572" i="6"/>
  <c r="A580" i="6"/>
  <c r="A588" i="6"/>
  <c r="A596" i="6"/>
  <c r="A605" i="6"/>
  <c r="A613" i="6"/>
  <c r="A621" i="6"/>
  <c r="A629" i="6"/>
  <c r="A638" i="6"/>
  <c r="A646" i="6"/>
  <c r="A654" i="6"/>
  <c r="A662" i="6"/>
  <c r="A670" i="6"/>
  <c r="A678" i="6"/>
  <c r="A686" i="6"/>
  <c r="A726" i="6"/>
  <c r="A734" i="6"/>
  <c r="A742" i="6"/>
  <c r="A750" i="6"/>
  <c r="A758" i="6"/>
  <c r="A761" i="6"/>
  <c r="A769" i="6"/>
  <c r="A777" i="6"/>
  <c r="A785" i="6"/>
  <c r="A10" i="8"/>
  <c r="A18" i="8"/>
  <c r="A26" i="8"/>
  <c r="A31" i="8"/>
  <c r="A37" i="8"/>
  <c r="A45" i="8"/>
  <c r="A53" i="8"/>
  <c r="A64" i="8"/>
  <c r="A72" i="8"/>
  <c r="A85" i="8"/>
  <c r="A113" i="8"/>
  <c r="A125" i="8"/>
  <c r="A138" i="8"/>
  <c r="A156" i="8"/>
  <c r="A160" i="8"/>
  <c r="A164" i="8"/>
  <c r="A184" i="8"/>
  <c r="A186" i="8"/>
  <c r="A194" i="8"/>
  <c r="A204" i="8"/>
  <c r="A214" i="8"/>
  <c r="A222" i="8"/>
  <c r="A230" i="8"/>
  <c r="A248" i="8"/>
  <c r="A252" i="8"/>
  <c r="A256" i="8"/>
  <c r="A276" i="8"/>
  <c r="A278" i="8"/>
  <c r="A45" i="10"/>
  <c r="A125" i="10"/>
  <c r="A204" i="10"/>
  <c r="A278" i="10"/>
  <c r="A335" i="10"/>
  <c r="A401" i="10"/>
  <c r="A484" i="10"/>
  <c r="A491" i="10"/>
  <c r="A504" i="10"/>
  <c r="A518" i="10"/>
  <c r="A560" i="10"/>
  <c r="A563" i="10"/>
  <c r="A574" i="10"/>
  <c r="A588" i="10"/>
  <c r="A599" i="10"/>
  <c r="A602" i="10"/>
  <c r="A604" i="10"/>
  <c r="A609" i="10"/>
  <c r="A612" i="10"/>
  <c r="A623" i="10"/>
  <c r="A631" i="10"/>
  <c r="A640" i="10"/>
  <c r="A648" i="10"/>
  <c r="A656" i="10"/>
  <c r="A664" i="10"/>
  <c r="A672" i="10"/>
  <c r="A680" i="10"/>
  <c r="A688" i="10"/>
  <c r="A722" i="10"/>
  <c r="A726" i="10"/>
  <c r="A730" i="10"/>
  <c r="A735" i="10"/>
  <c r="A743" i="10"/>
  <c r="A751" i="10"/>
  <c r="A762" i="10"/>
  <c r="A770" i="10"/>
  <c r="A778" i="10"/>
  <c r="A786" i="10"/>
  <c r="A5" i="6"/>
  <c r="A11" i="6"/>
  <c r="A19" i="6"/>
  <c r="A27" i="6"/>
  <c r="A38" i="6"/>
  <c r="A46" i="6"/>
  <c r="A65" i="6"/>
  <c r="A73" i="6"/>
  <c r="A80" i="6"/>
  <c r="A86" i="6"/>
  <c r="A90" i="6"/>
  <c r="A94" i="6"/>
  <c r="A98" i="6"/>
  <c r="A102" i="6"/>
  <c r="A106" i="6"/>
  <c r="A110" i="6"/>
  <c r="A116" i="6"/>
  <c r="A118" i="6"/>
  <c r="A126" i="6"/>
  <c r="A141" i="6"/>
  <c r="A145" i="6"/>
  <c r="A149" i="6"/>
  <c r="A153" i="6"/>
  <c r="A170" i="6"/>
  <c r="A174" i="6"/>
  <c r="A178" i="6"/>
  <c r="A185" i="6"/>
  <c r="A193" i="6"/>
  <c r="A203" i="6"/>
  <c r="A213" i="6"/>
  <c r="A221" i="6"/>
  <c r="A233" i="6"/>
  <c r="A237" i="6"/>
  <c r="A241" i="6"/>
  <c r="A245" i="6"/>
  <c r="A262" i="6"/>
  <c r="A266" i="6"/>
  <c r="A270" i="6"/>
  <c r="A277" i="6"/>
  <c r="A285" i="6"/>
  <c r="A295" i="6"/>
  <c r="A305" i="6"/>
  <c r="A313" i="6"/>
  <c r="A318" i="6"/>
  <c r="A322" i="6"/>
  <c r="A326" i="6"/>
  <c r="A328" i="6"/>
  <c r="A330" i="6"/>
  <c r="A332" i="6"/>
  <c r="A334" i="6"/>
  <c r="A336" i="6"/>
  <c r="A338" i="6"/>
  <c r="A340" i="6"/>
  <c r="A342" i="6"/>
  <c r="A344" i="6"/>
  <c r="A346" i="6"/>
  <c r="A348" i="6"/>
  <c r="A53" i="10"/>
  <c r="A64" i="10"/>
  <c r="A160" i="10"/>
  <c r="A214" i="10"/>
  <c r="A306" i="10"/>
  <c r="A329" i="10"/>
  <c r="A345" i="10"/>
  <c r="A396" i="10"/>
  <c r="A404" i="10"/>
  <c r="A418" i="10"/>
  <c r="A460" i="10"/>
  <c r="A471" i="10"/>
  <c r="A537" i="10"/>
  <c r="A546" i="10"/>
  <c r="A549" i="10"/>
  <c r="A555" i="10"/>
  <c r="A566" i="10"/>
  <c r="A580" i="10"/>
  <c r="A591" i="10"/>
  <c r="A594" i="10"/>
  <c r="A615" i="10"/>
  <c r="A626" i="10"/>
  <c r="A634" i="10"/>
  <c r="A643" i="10"/>
  <c r="A651" i="10"/>
  <c r="A659" i="10"/>
  <c r="A667" i="10"/>
  <c r="A675" i="10"/>
  <c r="A683" i="10"/>
  <c r="A692" i="10"/>
  <c r="A697" i="10"/>
  <c r="A699" i="10"/>
  <c r="A704" i="10"/>
  <c r="A708" i="10"/>
  <c r="A710" i="10"/>
  <c r="A714" i="10"/>
  <c r="A718" i="10"/>
  <c r="A738" i="10"/>
  <c r="A746" i="10"/>
  <c r="A754" i="10"/>
  <c r="A759" i="10"/>
  <c r="A765" i="10"/>
  <c r="A773" i="10"/>
  <c r="A781" i="10"/>
  <c r="A6" i="6"/>
  <c r="A14" i="6"/>
  <c r="A22" i="6"/>
  <c r="A33" i="6"/>
  <c r="A41" i="6"/>
  <c r="A49" i="6"/>
  <c r="A56" i="6"/>
  <c r="A60" i="6"/>
  <c r="A68" i="6"/>
  <c r="A76" i="6"/>
  <c r="A81" i="6"/>
  <c r="A99" i="6"/>
  <c r="A117" i="6"/>
  <c r="A121" i="6"/>
  <c r="A129" i="6"/>
  <c r="A154" i="6"/>
  <c r="A158" i="6"/>
  <c r="A162" i="6"/>
  <c r="A166" i="6"/>
  <c r="A190" i="6"/>
  <c r="A200" i="6"/>
  <c r="A208" i="6"/>
  <c r="A218" i="6"/>
  <c r="A246" i="6"/>
  <c r="A250" i="6"/>
  <c r="A254" i="6"/>
  <c r="A258" i="6"/>
  <c r="A282" i="6"/>
  <c r="A292" i="6"/>
  <c r="A300" i="6"/>
  <c r="A310" i="6"/>
  <c r="A395" i="6"/>
  <c r="A397" i="6"/>
  <c r="A399" i="6"/>
  <c r="A401" i="6"/>
  <c r="A403" i="6"/>
  <c r="A405" i="6"/>
  <c r="A407" i="6"/>
  <c r="A440" i="6"/>
  <c r="A448" i="6"/>
  <c r="A456" i="6"/>
  <c r="A464" i="6"/>
  <c r="A469" i="6"/>
  <c r="A475" i="6"/>
  <c r="A483" i="6"/>
  <c r="A491" i="6"/>
  <c r="A511" i="6"/>
  <c r="A520" i="6"/>
  <c r="A528" i="6"/>
  <c r="A536" i="6"/>
  <c r="A544" i="6"/>
  <c r="A565" i="6"/>
  <c r="A570" i="6"/>
  <c r="A578" i="6"/>
  <c r="A586" i="6"/>
  <c r="A594" i="6"/>
  <c r="A602" i="6"/>
  <c r="A611" i="6"/>
  <c r="A619" i="6"/>
  <c r="A627" i="6"/>
  <c r="A635" i="6"/>
  <c r="A644" i="6"/>
  <c r="A652" i="6"/>
  <c r="A660" i="6"/>
  <c r="A668" i="6"/>
  <c r="A676" i="6"/>
  <c r="A684" i="6"/>
  <c r="A703" i="6"/>
  <c r="A720" i="6"/>
  <c r="A728" i="6"/>
  <c r="A732" i="6"/>
  <c r="A740" i="6"/>
  <c r="A748" i="6"/>
  <c r="A756" i="6"/>
  <c r="A767" i="6"/>
  <c r="A775" i="6"/>
  <c r="A783" i="6"/>
  <c r="A4" i="8"/>
  <c r="A8" i="8"/>
  <c r="A16" i="8"/>
  <c r="A24" i="8"/>
  <c r="A29" i="8"/>
  <c r="A35" i="8"/>
  <c r="A43" i="8"/>
  <c r="A51" i="8"/>
  <c r="A62" i="8"/>
  <c r="A70" i="8"/>
  <c r="A78" i="8"/>
  <c r="A115" i="8"/>
  <c r="A123" i="8"/>
  <c r="A131" i="8"/>
  <c r="A140" i="8"/>
  <c r="A157" i="8"/>
  <c r="A161" i="8"/>
  <c r="A165" i="8"/>
  <c r="A188" i="8"/>
  <c r="A196" i="8"/>
  <c r="A198" i="8"/>
  <c r="A206" i="8"/>
  <c r="A216" i="8"/>
  <c r="A232" i="8"/>
  <c r="A249" i="8"/>
  <c r="A253" i="8"/>
  <c r="A257" i="8"/>
  <c r="A280" i="8"/>
  <c r="A288" i="8"/>
  <c r="A290" i="8"/>
  <c r="A298" i="8"/>
  <c r="A308" i="8"/>
  <c r="A350" i="8"/>
  <c r="A352" i="8"/>
  <c r="A354" i="8"/>
  <c r="A356" i="8"/>
  <c r="A358" i="8"/>
  <c r="A360" i="8"/>
  <c r="A362" i="8"/>
  <c r="A364" i="8"/>
  <c r="A366" i="8"/>
  <c r="A368" i="8"/>
  <c r="A370" i="8"/>
  <c r="G25" i="14"/>
  <c r="A72" i="10"/>
  <c r="A186" i="10"/>
  <c r="A248" i="10"/>
  <c r="A320" i="10"/>
  <c r="A339" i="10"/>
  <c r="A10" i="10"/>
  <c r="A230" i="10"/>
  <c r="A276" i="10"/>
  <c r="A333" i="10"/>
  <c r="A402" i="10"/>
  <c r="A422" i="10"/>
  <c r="A440" i="10"/>
  <c r="A444" i="10"/>
  <c r="A492" i="10"/>
  <c r="A506" i="10"/>
  <c r="A513" i="10"/>
  <c r="A516" i="10"/>
  <c r="A564" i="10"/>
  <c r="A575" i="10"/>
  <c r="A578" i="10"/>
  <c r="A589" i="10"/>
  <c r="A600" i="10"/>
  <c r="A603" i="10"/>
  <c r="A613" i="10"/>
  <c r="A624" i="10"/>
  <c r="A632" i="10"/>
  <c r="A641" i="10"/>
  <c r="A649" i="10"/>
  <c r="A657" i="10"/>
  <c r="A665" i="10"/>
  <c r="A673" i="10"/>
  <c r="A681" i="10"/>
  <c r="A689" i="10"/>
  <c r="A694" i="10"/>
  <c r="A698" i="10"/>
  <c r="A700" i="10"/>
  <c r="A705" i="10"/>
  <c r="A711" i="10"/>
  <c r="A715" i="10"/>
  <c r="A719" i="10"/>
  <c r="A736" i="10"/>
  <c r="A744" i="10"/>
  <c r="A752" i="10"/>
  <c r="A763" i="10"/>
  <c r="A771" i="10"/>
  <c r="A779" i="10"/>
  <c r="A787" i="10"/>
  <c r="A12" i="6"/>
  <c r="A20" i="6"/>
  <c r="A39" i="6"/>
  <c r="A47" i="6"/>
  <c r="A54" i="6"/>
  <c r="A58" i="6"/>
  <c r="A66" i="6"/>
  <c r="A74" i="6"/>
  <c r="A83" i="6"/>
  <c r="A119" i="6"/>
  <c r="A127" i="6"/>
  <c r="A132" i="6"/>
  <c r="A155" i="6"/>
  <c r="A159" i="6"/>
  <c r="A163" i="6"/>
  <c r="A182" i="6"/>
  <c r="A192" i="6"/>
  <c r="A202" i="6"/>
  <c r="A210" i="6"/>
  <c r="A212" i="6"/>
  <c r="A220" i="6"/>
  <c r="A224" i="6"/>
  <c r="A247" i="6"/>
  <c r="A251" i="6"/>
  <c r="A255" i="6"/>
  <c r="A274" i="6"/>
  <c r="A284" i="6"/>
  <c r="A294" i="6"/>
  <c r="A302" i="6"/>
  <c r="A304" i="6"/>
  <c r="A312" i="6"/>
  <c r="A349" i="6"/>
  <c r="A351" i="6"/>
  <c r="A353" i="6"/>
  <c r="A355" i="6"/>
  <c r="A357" i="6"/>
  <c r="A359" i="6"/>
  <c r="A361" i="6"/>
  <c r="A363" i="6"/>
  <c r="A365" i="6"/>
  <c r="A367" i="6"/>
  <c r="A369" i="6"/>
  <c r="A371" i="6"/>
  <c r="A424" i="6"/>
  <c r="A426" i="6"/>
  <c r="A428" i="6"/>
  <c r="A430" i="6"/>
  <c r="A432" i="6"/>
  <c r="A434" i="6"/>
  <c r="A436" i="6"/>
  <c r="A446" i="6"/>
  <c r="A454" i="6"/>
  <c r="A462" i="6"/>
  <c r="A473" i="6"/>
  <c r="A481" i="6"/>
  <c r="A489" i="6"/>
  <c r="A497" i="6"/>
  <c r="A500" i="6"/>
  <c r="A509" i="6"/>
  <c r="A517" i="6"/>
  <c r="A526" i="6"/>
  <c r="A534" i="6"/>
  <c r="A542" i="6"/>
  <c r="A550" i="6"/>
  <c r="A558" i="6"/>
  <c r="A563" i="6"/>
  <c r="A568" i="6"/>
  <c r="A576" i="6"/>
  <c r="A584" i="6"/>
  <c r="A592" i="6"/>
  <c r="A600" i="6"/>
  <c r="A604" i="6"/>
  <c r="A609" i="6"/>
  <c r="A617" i="6"/>
  <c r="A625" i="6"/>
  <c r="A633" i="6"/>
  <c r="A637" i="6"/>
  <c r="A642" i="6"/>
  <c r="A650" i="6"/>
  <c r="A658" i="6"/>
  <c r="A666" i="6"/>
  <c r="A674" i="6"/>
  <c r="A682" i="6"/>
  <c r="A693" i="6"/>
  <c r="A722" i="6"/>
  <c r="A730" i="6"/>
  <c r="A738" i="6"/>
  <c r="A746" i="6"/>
  <c r="A754" i="6"/>
  <c r="A759" i="6"/>
  <c r="A765" i="6"/>
  <c r="A773" i="6"/>
  <c r="A781" i="6"/>
  <c r="A6" i="8"/>
  <c r="A14" i="8"/>
  <c r="A22" i="8"/>
  <c r="A33" i="8"/>
  <c r="A41" i="8"/>
  <c r="A49" i="8"/>
  <c r="A56" i="8"/>
  <c r="A60" i="8"/>
  <c r="A68" i="8"/>
  <c r="A76" i="8"/>
  <c r="A81" i="8"/>
  <c r="A99" i="8"/>
  <c r="A117" i="8"/>
  <c r="A121" i="8"/>
  <c r="A129" i="8"/>
  <c r="A154" i="8"/>
  <c r="A158" i="8"/>
  <c r="A162" i="8"/>
  <c r="A166" i="8"/>
  <c r="A190" i="8"/>
  <c r="A200" i="8"/>
  <c r="A208" i="8"/>
  <c r="A218" i="8"/>
  <c r="A246" i="8"/>
  <c r="A250" i="8"/>
  <c r="A254" i="8"/>
  <c r="A258" i="8"/>
  <c r="A282" i="8"/>
  <c r="A292" i="8"/>
  <c r="A300" i="8"/>
  <c r="A310" i="8"/>
  <c r="A395" i="8"/>
  <c r="A397" i="8"/>
  <c r="A399" i="8"/>
  <c r="A401" i="8"/>
  <c r="A403" i="8"/>
  <c r="A405" i="8"/>
  <c r="A407" i="8"/>
  <c r="A440" i="8"/>
  <c r="A448" i="8"/>
  <c r="A456" i="8"/>
  <c r="A464" i="8"/>
  <c r="A469" i="8"/>
  <c r="A475" i="8"/>
  <c r="A483" i="8"/>
  <c r="A491" i="8"/>
  <c r="A512" i="8"/>
  <c r="G33" i="14"/>
  <c r="A18" i="10"/>
  <c r="A31" i="10"/>
  <c r="A156" i="10"/>
  <c r="A256" i="10"/>
  <c r="A327" i="10"/>
  <c r="A343" i="10"/>
  <c r="A397" i="10"/>
  <c r="A405" i="10"/>
  <c r="A416" i="10"/>
  <c r="A441" i="10"/>
  <c r="A448" i="10"/>
  <c r="A468" i="10"/>
  <c r="A479" i="10"/>
  <c r="A501" i="10"/>
  <c r="A529" i="10"/>
  <c r="A538" i="10"/>
  <c r="A541" i="10"/>
  <c r="A547" i="10"/>
  <c r="A550" i="10"/>
  <c r="A556" i="10"/>
  <c r="A567" i="10"/>
  <c r="A570" i="10"/>
  <c r="A581" i="10"/>
  <c r="A592" i="10"/>
  <c r="A595" i="10"/>
  <c r="A605" i="10"/>
  <c r="A616" i="10"/>
  <c r="A619" i="10"/>
  <c r="A627" i="10"/>
  <c r="A635" i="10"/>
  <c r="A644" i="10"/>
  <c r="A652" i="10"/>
  <c r="A660" i="10"/>
  <c r="A668" i="10"/>
  <c r="A676" i="10"/>
  <c r="A684" i="10"/>
  <c r="A703" i="10"/>
  <c r="A720" i="10"/>
  <c r="A724" i="10"/>
  <c r="A728" i="10"/>
  <c r="A731" i="10"/>
  <c r="A739" i="10"/>
  <c r="A747" i="10"/>
  <c r="A755" i="10"/>
  <c r="A766" i="10"/>
  <c r="A774" i="10"/>
  <c r="A782" i="10"/>
  <c r="A7" i="6"/>
  <c r="A15" i="6"/>
  <c r="A23" i="6"/>
  <c r="A30" i="6"/>
  <c r="A34" i="6"/>
  <c r="A42" i="6"/>
  <c r="A50" i="6"/>
  <c r="A55" i="6"/>
  <c r="A61" i="6"/>
  <c r="A69" i="6"/>
  <c r="A77" i="6"/>
  <c r="A84" i="6"/>
  <c r="A88" i="6"/>
  <c r="A92" i="6"/>
  <c r="A96" i="6"/>
  <c r="A100" i="6"/>
  <c r="A104" i="6"/>
  <c r="A108" i="6"/>
  <c r="A112" i="6"/>
  <c r="A122" i="6"/>
  <c r="A130" i="6"/>
  <c r="A133" i="6"/>
  <c r="A143" i="6"/>
  <c r="A147" i="6"/>
  <c r="A151" i="6"/>
  <c r="A168" i="6"/>
  <c r="A172" i="6"/>
  <c r="A176" i="6"/>
  <c r="A183" i="6"/>
  <c r="A189" i="6"/>
  <c r="A197" i="6"/>
  <c r="A199" i="6"/>
  <c r="A207" i="6"/>
  <c r="A217" i="6"/>
  <c r="A225" i="6"/>
  <c r="A235" i="6"/>
  <c r="A239" i="6"/>
  <c r="A243" i="6"/>
  <c r="A260" i="6"/>
  <c r="A264" i="6"/>
  <c r="A268" i="6"/>
  <c r="A275" i="6"/>
  <c r="A281" i="6"/>
  <c r="A289" i="6"/>
  <c r="A291" i="6"/>
  <c r="A299" i="6"/>
  <c r="A309" i="6"/>
  <c r="A316" i="6"/>
  <c r="A320" i="6"/>
  <c r="A324" i="6"/>
  <c r="A327" i="6"/>
  <c r="A329" i="6"/>
  <c r="A331" i="6"/>
  <c r="A333" i="6"/>
  <c r="A335" i="6"/>
  <c r="A337" i="6"/>
  <c r="A339" i="6"/>
  <c r="A341" i="6"/>
  <c r="A343" i="6"/>
  <c r="A345" i="6"/>
  <c r="A347" i="6"/>
  <c r="A410" i="6"/>
  <c r="A412" i="6"/>
  <c r="A414" i="6"/>
  <c r="A416" i="6"/>
  <c r="A418" i="6"/>
  <c r="A420" i="6"/>
  <c r="A422" i="6"/>
  <c r="A441" i="6"/>
  <c r="A449" i="6"/>
  <c r="A457" i="6"/>
  <c r="A465" i="6"/>
  <c r="A476" i="6"/>
  <c r="A484" i="6"/>
  <c r="A492" i="6"/>
  <c r="A501" i="6"/>
  <c r="A512" i="6"/>
  <c r="A521" i="6"/>
  <c r="A529" i="6"/>
  <c r="A537" i="6"/>
  <c r="A545" i="6"/>
  <c r="A566" i="6"/>
  <c r="A571" i="6"/>
  <c r="A579" i="6"/>
  <c r="A587" i="6"/>
  <c r="A595" i="6"/>
  <c r="A603" i="6"/>
  <c r="A612" i="6"/>
  <c r="A620" i="6"/>
  <c r="A628" i="6"/>
  <c r="A636" i="6"/>
  <c r="A645" i="6"/>
  <c r="A653" i="6"/>
  <c r="A661" i="6"/>
  <c r="A669" i="6"/>
  <c r="A677" i="6"/>
  <c r="A26" i="10"/>
  <c r="A113" i="10"/>
  <c r="A138" i="10"/>
  <c r="A184" i="10"/>
  <c r="A286" i="10"/>
  <c r="A316" i="10"/>
  <c r="A337" i="10"/>
  <c r="A400" i="10"/>
  <c r="A408" i="10"/>
  <c r="A410" i="10"/>
  <c r="A465" i="10"/>
  <c r="A476" i="10"/>
  <c r="A483" i="10"/>
  <c r="A502" i="10"/>
  <c r="A523" i="10"/>
  <c r="A526" i="10"/>
  <c r="A559" i="10"/>
  <c r="A562" i="10"/>
  <c r="A573" i="10"/>
  <c r="A584" i="10"/>
  <c r="A587" i="10"/>
  <c r="A598" i="10"/>
  <c r="A608" i="10"/>
  <c r="A611" i="10"/>
  <c r="A622" i="10"/>
  <c r="A630" i="10"/>
  <c r="A639" i="10"/>
  <c r="A647" i="10"/>
  <c r="A655" i="10"/>
  <c r="A663" i="10"/>
  <c r="A671" i="10"/>
  <c r="A679" i="10"/>
  <c r="A687" i="10"/>
  <c r="A690" i="10"/>
  <c r="A695" i="10"/>
  <c r="A701" i="10"/>
  <c r="A706" i="10"/>
  <c r="A712" i="10"/>
  <c r="A716" i="10"/>
  <c r="A734" i="10"/>
  <c r="A742" i="10"/>
  <c r="A750" i="10"/>
  <c r="A758" i="10"/>
  <c r="A761" i="10"/>
  <c r="A769" i="10"/>
  <c r="A777" i="10"/>
  <c r="A785" i="10"/>
  <c r="A10" i="6"/>
  <c r="A18" i="6"/>
  <c r="A26" i="6"/>
  <c r="A31" i="6"/>
  <c r="A37" i="6"/>
  <c r="A45" i="6"/>
  <c r="A53" i="6"/>
  <c r="A64" i="6"/>
  <c r="A72" i="6"/>
  <c r="A85" i="6"/>
  <c r="A113" i="6"/>
  <c r="A125" i="6"/>
  <c r="A138" i="6"/>
  <c r="A156" i="6"/>
  <c r="A160" i="6"/>
  <c r="A164" i="6"/>
  <c r="A184" i="6"/>
  <c r="A186" i="6"/>
  <c r="A194" i="6"/>
  <c r="A204" i="6"/>
  <c r="A214" i="6"/>
  <c r="A222" i="6"/>
  <c r="A230" i="6"/>
  <c r="A248" i="6"/>
  <c r="A252" i="6"/>
  <c r="A256" i="6"/>
  <c r="A276" i="6"/>
  <c r="A278" i="6"/>
  <c r="A286" i="6"/>
  <c r="A296" i="6"/>
  <c r="A306" i="6"/>
  <c r="A314" i="6"/>
  <c r="A396" i="6"/>
  <c r="A398" i="6"/>
  <c r="A400" i="6"/>
  <c r="A402" i="6"/>
  <c r="A404" i="6"/>
  <c r="A406" i="6"/>
  <c r="A408" i="6"/>
  <c r="A444" i="6"/>
  <c r="A452" i="6"/>
  <c r="A460" i="6"/>
  <c r="A468" i="6"/>
  <c r="A471" i="6"/>
  <c r="A479" i="6"/>
  <c r="A487" i="6"/>
  <c r="A495" i="6"/>
  <c r="A502" i="6"/>
  <c r="A507" i="6"/>
  <c r="A515" i="6"/>
  <c r="A524" i="6"/>
  <c r="A532" i="6"/>
  <c r="A540" i="6"/>
  <c r="A548" i="6"/>
  <c r="A556" i="6"/>
  <c r="A561" i="6"/>
  <c r="A574" i="6"/>
  <c r="A582" i="6"/>
  <c r="A590" i="6"/>
  <c r="A598" i="6"/>
  <c r="A164" i="10"/>
  <c r="A222" i="10"/>
  <c r="A331" i="10"/>
  <c r="A347" i="10"/>
  <c r="A395" i="10"/>
  <c r="A403" i="10"/>
  <c r="A420" i="10"/>
  <c r="A452" i="10"/>
  <c r="A514" i="10"/>
  <c r="A517" i="10"/>
  <c r="A545" i="10"/>
  <c r="A554" i="10"/>
  <c r="A565" i="10"/>
  <c r="A576" i="10"/>
  <c r="A579" i="10"/>
  <c r="A590" i="10"/>
  <c r="A614" i="10"/>
  <c r="A625" i="10"/>
  <c r="A633" i="10"/>
  <c r="A637" i="10"/>
  <c r="A642" i="10"/>
  <c r="A650" i="10"/>
  <c r="A658" i="10"/>
  <c r="A666" i="10"/>
  <c r="A674" i="10"/>
  <c r="A682" i="10"/>
  <c r="A693" i="10"/>
  <c r="A721" i="10"/>
  <c r="A725" i="10"/>
  <c r="A729" i="10"/>
  <c r="A737" i="10"/>
  <c r="A745" i="10"/>
  <c r="A753" i="10"/>
  <c r="A764" i="10"/>
  <c r="A772" i="10"/>
  <c r="A780" i="10"/>
  <c r="A788" i="10"/>
  <c r="A13" i="6"/>
  <c r="A21" i="6"/>
  <c r="A28" i="6"/>
  <c r="A32" i="6"/>
  <c r="A40" i="6"/>
  <c r="A48" i="6"/>
  <c r="A59" i="6"/>
  <c r="A67" i="6"/>
  <c r="A75" i="6"/>
  <c r="A89" i="6"/>
  <c r="A93" i="6"/>
  <c r="A97" i="6"/>
  <c r="A101" i="6"/>
  <c r="A105" i="6"/>
  <c r="A109" i="6"/>
  <c r="A114" i="6"/>
  <c r="A120" i="6"/>
  <c r="A128" i="6"/>
  <c r="A139" i="6"/>
  <c r="A144" i="6"/>
  <c r="A148" i="6"/>
  <c r="A152" i="6"/>
  <c r="A169" i="6"/>
  <c r="A173" i="6"/>
  <c r="A177" i="6"/>
  <c r="A191" i="6"/>
  <c r="A201" i="6"/>
  <c r="A209" i="6"/>
  <c r="A211" i="6"/>
  <c r="A219" i="6"/>
  <c r="A231" i="6"/>
  <c r="A236" i="6"/>
  <c r="A240" i="6"/>
  <c r="A244" i="6"/>
  <c r="A261" i="6"/>
  <c r="A265" i="6"/>
  <c r="A269" i="6"/>
  <c r="A283" i="6"/>
  <c r="A293" i="6"/>
  <c r="A301" i="6"/>
  <c r="A303" i="6"/>
  <c r="A311" i="6"/>
  <c r="A317" i="6"/>
  <c r="A321" i="6"/>
  <c r="A325" i="6"/>
  <c r="A372" i="6"/>
  <c r="A374" i="6"/>
  <c r="A376" i="6"/>
  <c r="A378" i="6"/>
  <c r="A380" i="6"/>
  <c r="A382" i="6"/>
  <c r="A384" i="6"/>
  <c r="A386" i="6"/>
  <c r="A388" i="6"/>
  <c r="A390" i="6"/>
  <c r="A392" i="6"/>
  <c r="A394" i="6"/>
  <c r="A437" i="6"/>
  <c r="A447" i="6"/>
  <c r="A455" i="6"/>
  <c r="A463" i="6"/>
  <c r="A474" i="6"/>
  <c r="A482" i="6"/>
  <c r="A490" i="6"/>
  <c r="A498" i="6"/>
  <c r="A503" i="6"/>
  <c r="A505" i="6"/>
  <c r="A510" i="6"/>
  <c r="A519" i="6"/>
  <c r="A527" i="6"/>
  <c r="A535" i="6"/>
  <c r="A543" i="6"/>
  <c r="A554" i="6"/>
  <c r="A559" i="6"/>
  <c r="A564" i="6"/>
  <c r="A569" i="6"/>
  <c r="A577" i="6"/>
  <c r="A585" i="6"/>
  <c r="A593" i="6"/>
  <c r="A601" i="6"/>
  <c r="A610" i="6"/>
  <c r="A618" i="6"/>
  <c r="A626" i="6"/>
  <c r="A634" i="6"/>
  <c r="A643" i="6"/>
  <c r="A651" i="6"/>
  <c r="A659" i="6"/>
  <c r="A667" i="6"/>
  <c r="A675" i="6"/>
  <c r="A683" i="6"/>
  <c r="A692" i="6"/>
  <c r="A697" i="6"/>
  <c r="A699" i="6"/>
  <c r="A704" i="6"/>
  <c r="A708" i="6"/>
  <c r="A710" i="6"/>
  <c r="A714" i="6"/>
  <c r="A718" i="6"/>
  <c r="A725" i="6"/>
  <c r="A731" i="6"/>
  <c r="A739" i="6"/>
  <c r="A747" i="6"/>
  <c r="A755" i="6"/>
  <c r="A766" i="6"/>
  <c r="A774" i="6"/>
  <c r="A782" i="6"/>
  <c r="A7" i="8"/>
  <c r="A15" i="8"/>
  <c r="A23" i="8"/>
  <c r="A30" i="8"/>
  <c r="A34" i="8"/>
  <c r="A42" i="8"/>
  <c r="A50" i="8"/>
  <c r="A55" i="8"/>
  <c r="A61" i="8"/>
  <c r="A69" i="8"/>
  <c r="A77" i="8"/>
  <c r="A84" i="8"/>
  <c r="A88" i="8"/>
  <c r="A92" i="8"/>
  <c r="A96" i="8"/>
  <c r="A100" i="8"/>
  <c r="A104" i="8"/>
  <c r="A108" i="8"/>
  <c r="A112" i="8"/>
  <c r="A122" i="8"/>
  <c r="A130" i="8"/>
  <c r="A133" i="8"/>
  <c r="A143" i="8"/>
  <c r="A147" i="8"/>
  <c r="A151" i="8"/>
  <c r="A168" i="8"/>
  <c r="A172" i="8"/>
  <c r="A176" i="8"/>
  <c r="A183" i="8"/>
  <c r="A189" i="8"/>
  <c r="A197" i="8"/>
  <c r="A199" i="8"/>
  <c r="A207" i="8"/>
  <c r="A217" i="8"/>
  <c r="A225" i="8"/>
  <c r="A235" i="8"/>
  <c r="A239" i="8"/>
  <c r="A243" i="8"/>
  <c r="A260" i="8"/>
  <c r="A264" i="8"/>
  <c r="A268" i="8"/>
  <c r="A275" i="8"/>
  <c r="A281" i="8"/>
  <c r="A289" i="8"/>
  <c r="A291" i="8"/>
  <c r="A299" i="8"/>
  <c r="A309" i="8"/>
  <c r="A316" i="8"/>
  <c r="A320" i="8"/>
  <c r="A324" i="8"/>
  <c r="A327" i="8"/>
  <c r="A329" i="8"/>
  <c r="A331" i="8"/>
  <c r="A333" i="8"/>
  <c r="A335" i="8"/>
  <c r="A337" i="8"/>
  <c r="A339" i="8"/>
  <c r="A341" i="8"/>
  <c r="A343" i="8"/>
  <c r="A345" i="8"/>
  <c r="A347" i="8"/>
  <c r="A410" i="8"/>
  <c r="A412" i="8"/>
  <c r="A414" i="8"/>
  <c r="A416" i="8"/>
  <c r="A418" i="8"/>
  <c r="A420" i="8"/>
  <c r="A422" i="8"/>
  <c r="A441" i="8"/>
  <c r="A449" i="8"/>
  <c r="A457" i="8"/>
  <c r="A465" i="8"/>
  <c r="A476" i="8"/>
  <c r="A484" i="8"/>
  <c r="A492" i="8"/>
  <c r="A500" i="8"/>
  <c r="A504" i="8"/>
  <c r="A513" i="8"/>
  <c r="A522" i="8"/>
  <c r="A530" i="8"/>
  <c r="A538" i="8"/>
  <c r="A546" i="8"/>
  <c r="A555" i="8"/>
  <c r="A563" i="8"/>
  <c r="A571" i="8"/>
  <c r="A579" i="8"/>
  <c r="A587" i="8"/>
  <c r="A595" i="8"/>
  <c r="A603" i="8"/>
  <c r="A612" i="8"/>
  <c r="A620" i="8"/>
  <c r="A628" i="8"/>
  <c r="A636" i="8"/>
  <c r="A784" i="8"/>
  <c r="A776" i="8"/>
  <c r="A768" i="8"/>
  <c r="A760" i="8"/>
  <c r="A757" i="8"/>
  <c r="A749" i="8"/>
  <c r="A741" i="8"/>
  <c r="A733" i="8"/>
  <c r="A727" i="8"/>
  <c r="A723" i="8"/>
  <c r="A686" i="8"/>
  <c r="A678" i="8"/>
  <c r="A670" i="8"/>
  <c r="A662" i="8"/>
  <c r="A654" i="8"/>
  <c r="A646" i="8"/>
  <c r="A638" i="8"/>
  <c r="A634" i="8"/>
  <c r="A623" i="8"/>
  <c r="A609" i="8"/>
  <c r="A604" i="8"/>
  <c r="A602" i="8"/>
  <c r="A591" i="8"/>
  <c r="A580" i="8"/>
  <c r="A577" i="8"/>
  <c r="A566" i="8"/>
  <c r="A552" i="8"/>
  <c r="A542" i="8"/>
  <c r="A531" i="8"/>
  <c r="A528" i="8"/>
  <c r="D519" i="8"/>
  <c r="A515" i="8"/>
  <c r="A509" i="8"/>
  <c r="A506" i="8"/>
  <c r="A499" i="8"/>
  <c r="A485" i="8"/>
  <c r="A479" i="8"/>
  <c r="A473" i="8"/>
  <c r="A470" i="8"/>
  <c r="A458" i="8"/>
  <c r="A452" i="8"/>
  <c r="A446" i="8"/>
  <c r="E434" i="8"/>
  <c r="A430" i="8"/>
  <c r="A423" i="8"/>
  <c r="E415" i="8"/>
  <c r="A411" i="8"/>
  <c r="A394" i="8"/>
  <c r="A387" i="8"/>
  <c r="E382" i="8"/>
  <c r="A378" i="8"/>
  <c r="A348" i="8"/>
  <c r="E343" i="8"/>
  <c r="E336" i="8"/>
  <c r="A332" i="8"/>
  <c r="E327" i="8"/>
  <c r="A315" i="8"/>
  <c r="A313" i="8"/>
  <c r="H302" i="8"/>
  <c r="A270" i="8"/>
  <c r="A261" i="8"/>
  <c r="A242" i="8"/>
  <c r="A233" i="8"/>
  <c r="N210" i="8"/>
  <c r="A177" i="8"/>
  <c r="A149" i="8"/>
  <c r="A132" i="8"/>
  <c r="A119" i="8"/>
  <c r="A116" i="8"/>
  <c r="A93" i="8"/>
  <c r="A25" i="8"/>
  <c r="A12" i="8"/>
  <c r="A9" i="8"/>
  <c r="A787" i="6"/>
  <c r="A784" i="6"/>
  <c r="A771" i="6"/>
  <c r="A768" i="6"/>
  <c r="A751" i="6"/>
  <c r="A735" i="6"/>
  <c r="A721" i="6"/>
  <c r="A713" i="6"/>
  <c r="A705" i="6"/>
  <c r="A694" i="6"/>
  <c r="A671" i="6"/>
  <c r="A664" i="6"/>
  <c r="A657" i="6"/>
  <c r="A632" i="6"/>
  <c r="A575" i="6"/>
  <c r="A555" i="6"/>
  <c r="J550" i="6"/>
  <c r="A547" i="6"/>
  <c r="A518" i="6"/>
  <c r="A516" i="6"/>
  <c r="D505" i="6"/>
  <c r="A488" i="6"/>
  <c r="A421" i="6"/>
  <c r="E415" i="6"/>
  <c r="A413" i="6"/>
  <c r="A381" i="6"/>
  <c r="E346" i="6"/>
  <c r="E330" i="6"/>
  <c r="N302" i="6"/>
  <c r="A279" i="6"/>
  <c r="A234" i="6"/>
  <c r="A181" i="6"/>
  <c r="A107" i="6"/>
  <c r="A95" i="6"/>
  <c r="A52" i="6"/>
  <c r="A784" i="10"/>
  <c r="A741" i="10"/>
  <c r="A723" i="10"/>
  <c r="A583" i="10"/>
  <c r="A522" i="10"/>
  <c r="A407" i="10"/>
  <c r="K394" i="10"/>
  <c r="AD55" i="10"/>
  <c r="T1014" i="2"/>
  <c r="AM1014" i="2"/>
  <c r="N302" i="9"/>
  <c r="Q898" i="2"/>
  <c r="O287" i="9"/>
  <c r="O285" i="9"/>
  <c r="R201" i="9"/>
  <c r="V829" i="2"/>
  <c r="N199" i="9"/>
  <c r="N197" i="9"/>
  <c r="Y189" i="9"/>
  <c r="AC821" i="2"/>
  <c r="N161" i="9"/>
  <c r="O136" i="9"/>
  <c r="O115" i="9"/>
  <c r="O113" i="9"/>
  <c r="O111" i="9"/>
  <c r="R96" i="9"/>
  <c r="AB94" i="9"/>
  <c r="AF768" i="2"/>
  <c r="S94" i="9"/>
  <c r="W768" i="2"/>
  <c r="O61" i="9"/>
  <c r="O28" i="9"/>
  <c r="A781" i="8"/>
  <c r="A773" i="8"/>
  <c r="A765" i="8"/>
  <c r="A759" i="8"/>
  <c r="A754" i="8"/>
  <c r="A746" i="8"/>
  <c r="A738" i="8"/>
  <c r="A718" i="8"/>
  <c r="A714" i="8"/>
  <c r="A710" i="8"/>
  <c r="A708" i="8"/>
  <c r="A704" i="8"/>
  <c r="A699" i="8"/>
  <c r="A697" i="8"/>
  <c r="A692" i="8"/>
  <c r="A683" i="8"/>
  <c r="A675" i="8"/>
  <c r="A667" i="8"/>
  <c r="A659" i="8"/>
  <c r="A651" i="8"/>
  <c r="A643" i="8"/>
  <c r="A631" i="8"/>
  <c r="A617" i="8"/>
  <c r="A606" i="8"/>
  <c r="A599" i="8"/>
  <c r="A588" i="8"/>
  <c r="A585" i="8"/>
  <c r="A574" i="8"/>
  <c r="A560" i="8"/>
  <c r="A550" i="8"/>
  <c r="A539" i="8"/>
  <c r="A536" i="8"/>
  <c r="A525" i="8"/>
  <c r="O504" i="8"/>
  <c r="AD504" i="8"/>
  <c r="A503" i="8"/>
  <c r="A496" i="8"/>
  <c r="A490" i="8"/>
  <c r="A463" i="8"/>
  <c r="A443" i="8"/>
  <c r="A439" i="8"/>
  <c r="A432" i="8"/>
  <c r="A425" i="8"/>
  <c r="E417" i="8"/>
  <c r="A413" i="8"/>
  <c r="A408" i="8"/>
  <c r="E405" i="8"/>
  <c r="A400" i="8"/>
  <c r="E397" i="8"/>
  <c r="A389" i="8"/>
  <c r="E384" i="8"/>
  <c r="A380" i="8"/>
  <c r="A373" i="8"/>
  <c r="E369" i="8"/>
  <c r="A367" i="8"/>
  <c r="E361" i="8"/>
  <c r="A359" i="8"/>
  <c r="E353" i="8"/>
  <c r="A351" i="8"/>
  <c r="E345" i="8"/>
  <c r="E338" i="8"/>
  <c r="A334" i="8"/>
  <c r="E329" i="8"/>
  <c r="A319" i="8"/>
  <c r="A311" i="8"/>
  <c r="H276" i="8"/>
  <c r="N277" i="8"/>
  <c r="N276" i="8"/>
  <c r="A265" i="8"/>
  <c r="A247" i="8"/>
  <c r="A237" i="8"/>
  <c r="A231" i="8"/>
  <c r="H210" i="8"/>
  <c r="A193" i="8"/>
  <c r="A167" i="8"/>
  <c r="A153" i="8"/>
  <c r="A144" i="8"/>
  <c r="A128" i="8"/>
  <c r="A114" i="8"/>
  <c r="A103" i="8"/>
  <c r="A97" i="8"/>
  <c r="A73" i="8"/>
  <c r="G79" i="8"/>
  <c r="A46" i="8"/>
  <c r="A21" i="8"/>
  <c r="A780" i="6"/>
  <c r="A764" i="6"/>
  <c r="A757" i="6"/>
  <c r="A744" i="6"/>
  <c r="A741" i="6"/>
  <c r="A717" i="6"/>
  <c r="A701" i="6"/>
  <c r="A698" i="6"/>
  <c r="A690" i="6"/>
  <c r="A687" i="6"/>
  <c r="A647" i="6"/>
  <c r="A640" i="6"/>
  <c r="A622" i="6"/>
  <c r="A615" i="6"/>
  <c r="A608" i="6"/>
  <c r="D604" i="6"/>
  <c r="A589" i="6"/>
  <c r="A525" i="6"/>
  <c r="O519" i="6"/>
  <c r="O517" i="6"/>
  <c r="AD517" i="6"/>
  <c r="A451" i="6"/>
  <c r="A439" i="6"/>
  <c r="AD422" i="6"/>
  <c r="A387" i="6"/>
  <c r="E336" i="6"/>
  <c r="AD348" i="6"/>
  <c r="A315" i="6"/>
  <c r="A263" i="6"/>
  <c r="A187" i="6"/>
  <c r="A142" i="6"/>
  <c r="A82" i="6"/>
  <c r="A57" i="6"/>
  <c r="A44" i="6"/>
  <c r="A776" i="10"/>
  <c r="A760" i="10"/>
  <c r="A733" i="10"/>
  <c r="A686" i="10"/>
  <c r="O605" i="10"/>
  <c r="O603" i="10"/>
  <c r="AD603" i="10"/>
  <c r="A586" i="10"/>
  <c r="A525" i="10"/>
  <c r="A399" i="10"/>
  <c r="A434" i="8"/>
  <c r="A427" i="8"/>
  <c r="E419" i="8"/>
  <c r="A415" i="8"/>
  <c r="E410" i="8"/>
  <c r="A391" i="8"/>
  <c r="E386" i="8"/>
  <c r="A382" i="8"/>
  <c r="A375" i="8"/>
  <c r="E347" i="8"/>
  <c r="E340" i="8"/>
  <c r="A336" i="8"/>
  <c r="E331" i="8"/>
  <c r="A323" i="8"/>
  <c r="A307" i="8"/>
  <c r="A305" i="8"/>
  <c r="A301" i="8"/>
  <c r="A269" i="8"/>
  <c r="A241" i="8"/>
  <c r="A224" i="8"/>
  <c r="A221" i="8"/>
  <c r="A209" i="8"/>
  <c r="A203" i="8"/>
  <c r="A195" i="8"/>
  <c r="A191" i="8"/>
  <c r="A185" i="8"/>
  <c r="A171" i="8"/>
  <c r="A159" i="8"/>
  <c r="A148" i="8"/>
  <c r="A107" i="8"/>
  <c r="AD98" i="8"/>
  <c r="A87" i="8"/>
  <c r="A79" i="8"/>
  <c r="A66" i="8"/>
  <c r="A63" i="8"/>
  <c r="A52" i="8"/>
  <c r="A39" i="8"/>
  <c r="A36" i="8"/>
  <c r="A3" i="8"/>
  <c r="A753" i="6"/>
  <c r="A737" i="6"/>
  <c r="A712" i="6"/>
  <c r="A680" i="6"/>
  <c r="A673" i="6"/>
  <c r="O638" i="6"/>
  <c r="O636" i="6"/>
  <c r="AD636" i="6"/>
  <c r="A599" i="6"/>
  <c r="A567" i="6"/>
  <c r="A551" i="6"/>
  <c r="A539" i="6"/>
  <c r="A508" i="6"/>
  <c r="A480" i="6"/>
  <c r="A461" i="6"/>
  <c r="E417" i="6"/>
  <c r="A415" i="6"/>
  <c r="E409" i="6"/>
  <c r="A393" i="6"/>
  <c r="A377" i="6"/>
  <c r="AD394" i="6"/>
  <c r="E342" i="6"/>
  <c r="E326" i="6"/>
  <c r="A223" i="6"/>
  <c r="A171" i="6"/>
  <c r="A124" i="6"/>
  <c r="A87" i="6"/>
  <c r="A36" i="6"/>
  <c r="A768" i="10"/>
  <c r="A678" i="10"/>
  <c r="A597" i="10"/>
  <c r="A495" i="10"/>
  <c r="E433" i="10"/>
  <c r="A412" i="10"/>
  <c r="O551" i="6"/>
  <c r="O550" i="6"/>
  <c r="AD550" i="6"/>
  <c r="O519" i="10"/>
  <c r="O517" i="10"/>
  <c r="AD517" i="10"/>
  <c r="O552" i="10"/>
  <c r="O550" i="10"/>
  <c r="AD550" i="10"/>
  <c r="N277" i="6"/>
  <c r="N276" i="6"/>
  <c r="N185" i="6"/>
  <c r="N184" i="6"/>
  <c r="N289" i="10"/>
  <c r="G53" i="10"/>
  <c r="N306" i="6"/>
  <c r="N214" i="6"/>
  <c r="N210" i="6"/>
  <c r="D371" i="10"/>
  <c r="H302" i="10"/>
  <c r="H210" i="10"/>
  <c r="N187" i="10"/>
  <c r="H184" i="10"/>
  <c r="N184" i="10"/>
  <c r="J468" i="10"/>
  <c r="K408" i="10"/>
  <c r="AD98" i="10"/>
  <c r="AD84" i="10"/>
  <c r="H289" i="10"/>
  <c r="N279" i="10"/>
  <c r="H276" i="10"/>
  <c r="N276" i="10"/>
  <c r="J131" i="10"/>
  <c r="N303" i="10"/>
  <c r="N302" i="10"/>
  <c r="N211" i="10"/>
  <c r="N210" i="10"/>
  <c r="N199" i="10"/>
  <c r="N197" i="10"/>
  <c r="R1687" i="2"/>
  <c r="R808" i="2"/>
  <c r="P161" i="9"/>
  <c r="AD1392" i="2"/>
  <c r="AH1011" i="9"/>
  <c r="AL1392" i="2"/>
  <c r="AG1011" i="9"/>
  <c r="R453" i="2"/>
  <c r="P708" i="5"/>
  <c r="AI391" i="2"/>
  <c r="R547" i="2"/>
  <c r="P840" i="5"/>
  <c r="AE1869" i="2"/>
  <c r="AE660" i="7"/>
  <c r="AA656" i="7"/>
  <c r="AE1868" i="2"/>
  <c r="R1003" i="2"/>
  <c r="AE1113" i="2"/>
  <c r="AA614" i="9"/>
  <c r="AE1112" i="2"/>
  <c r="V1339" i="2"/>
  <c r="R944" i="9"/>
  <c r="V1338" i="2"/>
  <c r="Q838" i="2"/>
  <c r="AC1116" i="2"/>
  <c r="AJ621" i="9"/>
  <c r="R408" i="2"/>
  <c r="P638" i="5"/>
  <c r="AJ156" i="17"/>
  <c r="V1146" i="2"/>
  <c r="R656" i="9"/>
  <c r="V1145" i="2"/>
  <c r="Y660" i="9"/>
  <c r="R1111" i="2"/>
  <c r="P612" i="9"/>
  <c r="R794" i="2"/>
  <c r="R750" i="2"/>
  <c r="Q808" i="2"/>
  <c r="AB730" i="2"/>
  <c r="X16" i="9"/>
  <c r="AB729" i="2"/>
  <c r="U821" i="2"/>
  <c r="Q186" i="9"/>
  <c r="U820" i="2"/>
  <c r="Q872" i="2"/>
  <c r="O267" i="9"/>
  <c r="Q925" i="2"/>
  <c r="D394" i="8"/>
  <c r="AD394" i="8"/>
  <c r="AF394" i="8"/>
  <c r="R756" i="2"/>
  <c r="P72" i="9"/>
  <c r="O69" i="9"/>
  <c r="R815" i="2"/>
  <c r="P176" i="9"/>
  <c r="O173" i="9"/>
  <c r="R852" i="2"/>
  <c r="P239" i="9"/>
  <c r="Q907" i="2"/>
  <c r="O318" i="9"/>
  <c r="N315" i="9"/>
  <c r="Q1032" i="2"/>
  <c r="N517" i="9"/>
  <c r="AD84" i="8"/>
  <c r="W837" i="2"/>
  <c r="S212" i="9"/>
  <c r="W836" i="2"/>
  <c r="Q753" i="2"/>
  <c r="P66" i="9"/>
  <c r="AH821" i="2"/>
  <c r="AD186" i="9"/>
  <c r="AH820" i="2"/>
  <c r="Q861" i="2"/>
  <c r="N253" i="9"/>
  <c r="O256" i="9"/>
  <c r="Q923" i="2"/>
  <c r="P337" i="9"/>
  <c r="Q932" i="2"/>
  <c r="O351" i="9"/>
  <c r="O342" i="9"/>
  <c r="R740" i="2"/>
  <c r="P42" i="9"/>
  <c r="R1039" i="2"/>
  <c r="P529" i="9"/>
  <c r="AD1068" i="2"/>
  <c r="O558" i="9"/>
  <c r="R1119" i="2"/>
  <c r="P624" i="9"/>
  <c r="R1141" i="2"/>
  <c r="P647" i="9"/>
  <c r="R1159" i="2"/>
  <c r="P673" i="9"/>
  <c r="R1176" i="2"/>
  <c r="P707" i="9"/>
  <c r="AA1237" i="2"/>
  <c r="W792" i="9"/>
  <c r="AA1235" i="2"/>
  <c r="R1293" i="2"/>
  <c r="P867" i="9"/>
  <c r="AD1082" i="2"/>
  <c r="O576" i="9"/>
  <c r="AJ1113" i="2"/>
  <c r="AE614" i="9"/>
  <c r="AI1112" i="2"/>
  <c r="AG1197" i="2"/>
  <c r="O732" i="9"/>
  <c r="R732" i="2"/>
  <c r="P25" i="9"/>
  <c r="R812" i="2"/>
  <c r="P170" i="9"/>
  <c r="O167" i="9"/>
  <c r="R898" i="2"/>
  <c r="P302" i="9"/>
  <c r="AD1041" i="2"/>
  <c r="O531" i="9"/>
  <c r="Q1111" i="2"/>
  <c r="AC1166" i="2"/>
  <c r="AJ680" i="9"/>
  <c r="AK680" i="9"/>
  <c r="O680" i="9"/>
  <c r="AC1173" i="2"/>
  <c r="AJ697" i="9"/>
  <c r="AK697" i="9"/>
  <c r="O697" i="9"/>
  <c r="R1218" i="2"/>
  <c r="P772" i="9"/>
  <c r="Q1264" i="2"/>
  <c r="N829" i="9"/>
  <c r="Q1263" i="2"/>
  <c r="T1325" i="2"/>
  <c r="AK1325" i="2"/>
  <c r="Q819" i="2"/>
  <c r="N179" i="9"/>
  <c r="Q817" i="2"/>
  <c r="R1024" i="2"/>
  <c r="P508" i="9"/>
  <c r="R1083" i="2"/>
  <c r="P577" i="9"/>
  <c r="AJ1146" i="2"/>
  <c r="AE656" i="9"/>
  <c r="AI1145" i="2"/>
  <c r="Q1019" i="2"/>
  <c r="N495" i="9"/>
  <c r="R1050" i="2"/>
  <c r="P540" i="9"/>
  <c r="AI1133" i="2"/>
  <c r="AE639" i="4"/>
  <c r="S1146" i="2"/>
  <c r="AK1146" i="2"/>
  <c r="AF656" i="9"/>
  <c r="AJ1145" i="2"/>
  <c r="P817" i="9"/>
  <c r="R806" i="2"/>
  <c r="P156" i="9"/>
  <c r="R915" i="2"/>
  <c r="AI1134" i="2"/>
  <c r="AK640" i="9"/>
  <c r="AD1246" i="2"/>
  <c r="O805" i="9"/>
  <c r="AB1306" i="2"/>
  <c r="O884" i="9"/>
  <c r="AB837" i="2"/>
  <c r="X212" i="9"/>
  <c r="Q897" i="2"/>
  <c r="O300" i="9"/>
  <c r="R952" i="2"/>
  <c r="P385" i="9"/>
  <c r="AG1021" i="2"/>
  <c r="O500" i="9"/>
  <c r="AD1057" i="2"/>
  <c r="O547" i="9"/>
  <c r="R1180" i="2"/>
  <c r="P711" i="9"/>
  <c r="AD1254" i="2"/>
  <c r="O813" i="9"/>
  <c r="Z813" i="4"/>
  <c r="O813" i="4"/>
  <c r="AD1390" i="2"/>
  <c r="AG1009" i="9"/>
  <c r="AH1009" i="9"/>
  <c r="AL1390" i="2"/>
  <c r="O1009" i="9"/>
  <c r="R1397" i="2"/>
  <c r="P1022" i="9"/>
  <c r="AD1403" i="2"/>
  <c r="Z1035" i="9"/>
  <c r="AH1037" i="9"/>
  <c r="AL1403" i="2"/>
  <c r="AG1037" i="9"/>
  <c r="O1037" i="9"/>
  <c r="R1211" i="2"/>
  <c r="AD1327" i="2"/>
  <c r="AG929" i="9"/>
  <c r="AH929" i="9"/>
  <c r="AL1327" i="2"/>
  <c r="O929" i="9"/>
  <c r="AD1365" i="2"/>
  <c r="O975" i="9"/>
  <c r="AG975" i="9"/>
  <c r="AH975" i="9"/>
  <c r="AL1365" i="2"/>
  <c r="V97" i="2"/>
  <c r="R189" i="5"/>
  <c r="V96" i="2"/>
  <c r="R1069" i="2"/>
  <c r="P559" i="9"/>
  <c r="Z812" i="9"/>
  <c r="AD1253" i="2"/>
  <c r="Q1289" i="2"/>
  <c r="N862" i="9"/>
  <c r="Q1288" i="2"/>
  <c r="AK1331" i="2"/>
  <c r="T1331" i="2"/>
  <c r="R114" i="2"/>
  <c r="P219" i="5"/>
  <c r="Q237" i="2"/>
  <c r="O395" i="5"/>
  <c r="AH291" i="2"/>
  <c r="AD491" i="4"/>
  <c r="R1192" i="2"/>
  <c r="P723" i="9"/>
  <c r="R1198" i="2"/>
  <c r="P733" i="9"/>
  <c r="AB1284" i="2"/>
  <c r="O858" i="9"/>
  <c r="X856" i="9"/>
  <c r="AG1338" i="2"/>
  <c r="AC906" i="9"/>
  <c r="AG1316" i="2"/>
  <c r="AD1357" i="2"/>
  <c r="O967" i="9"/>
  <c r="AG967" i="9"/>
  <c r="AH967" i="9"/>
  <c r="AL1357" i="2"/>
  <c r="Q138" i="2"/>
  <c r="O258" i="5"/>
  <c r="AB1339" i="2"/>
  <c r="X944" i="9"/>
  <c r="R1374" i="2"/>
  <c r="P984" i="9"/>
  <c r="R1378" i="2"/>
  <c r="P992" i="9"/>
  <c r="R1410" i="2"/>
  <c r="P1044" i="9"/>
  <c r="Q126" i="2"/>
  <c r="O238" i="5"/>
  <c r="Q142" i="2"/>
  <c r="O262" i="5"/>
  <c r="R258" i="2"/>
  <c r="P430" i="5"/>
  <c r="O427" i="5"/>
  <c r="AI370" i="2"/>
  <c r="AE596" i="4"/>
  <c r="AE444" i="2"/>
  <c r="AA685" i="5"/>
  <c r="AE443" i="2"/>
  <c r="AE689" i="5"/>
  <c r="AA689" i="4"/>
  <c r="AA685" i="4"/>
  <c r="Z1446" i="2"/>
  <c r="O1093" i="9"/>
  <c r="R65" i="2"/>
  <c r="P128" i="5"/>
  <c r="AD354" i="2"/>
  <c r="O573" i="5"/>
  <c r="Z573" i="4"/>
  <c r="O573" i="4"/>
  <c r="P573" i="4"/>
  <c r="Z963" i="9"/>
  <c r="AD1353" i="2"/>
  <c r="Q78" i="2"/>
  <c r="N150" i="5"/>
  <c r="Q77" i="2"/>
  <c r="Q232" i="2"/>
  <c r="O390" i="5"/>
  <c r="P409" i="5"/>
  <c r="AI390" i="2"/>
  <c r="AE620" i="4"/>
  <c r="R1045" i="2"/>
  <c r="P535" i="9"/>
  <c r="AB1311" i="2"/>
  <c r="O894" i="9"/>
  <c r="X891" i="9"/>
  <c r="T1393" i="2"/>
  <c r="AK1393" i="2"/>
  <c r="V44" i="2"/>
  <c r="R94" i="5"/>
  <c r="V43" i="2"/>
  <c r="R132" i="2"/>
  <c r="P247" i="5"/>
  <c r="R160" i="2"/>
  <c r="P283" i="5"/>
  <c r="Y517" i="5"/>
  <c r="AC304" i="2"/>
  <c r="Q389" i="2"/>
  <c r="R393" i="2"/>
  <c r="P623" i="5"/>
  <c r="AI423" i="2"/>
  <c r="R502" i="2"/>
  <c r="P780" i="5"/>
  <c r="R649" i="2"/>
  <c r="P982" i="5"/>
  <c r="AA686" i="2"/>
  <c r="W1043" i="4"/>
  <c r="W1030" i="4"/>
  <c r="V293" i="2"/>
  <c r="R493" i="5"/>
  <c r="V292" i="2"/>
  <c r="AD358" i="2"/>
  <c r="O577" i="5"/>
  <c r="Z577" i="4"/>
  <c r="O577" i="4"/>
  <c r="P577" i="4"/>
  <c r="AC390" i="2"/>
  <c r="AJ620" i="5"/>
  <c r="AJ620" i="4"/>
  <c r="O620" i="5"/>
  <c r="AK620" i="5"/>
  <c r="Y620" i="4"/>
  <c r="O620" i="4"/>
  <c r="P620" i="4"/>
  <c r="AC437" i="2"/>
  <c r="AJ675" i="5"/>
  <c r="Y675" i="4"/>
  <c r="R469" i="2"/>
  <c r="P724" i="5"/>
  <c r="Q595" i="2"/>
  <c r="N913" i="5"/>
  <c r="Q594" i="2"/>
  <c r="AC384" i="2"/>
  <c r="AJ610" i="5"/>
  <c r="AK610" i="5"/>
  <c r="O610" i="5"/>
  <c r="Y610" i="4"/>
  <c r="AC435" i="2"/>
  <c r="O673" i="5"/>
  <c r="AJ673" i="5"/>
  <c r="AK673" i="5"/>
  <c r="Y673" i="4"/>
  <c r="AI466" i="2"/>
  <c r="AE721" i="4"/>
  <c r="Z506" i="2"/>
  <c r="O784" i="5"/>
  <c r="V784" i="4"/>
  <c r="O784" i="4"/>
  <c r="P784" i="4"/>
  <c r="AD523" i="2"/>
  <c r="X615" i="2"/>
  <c r="T944" i="5"/>
  <c r="T948" i="4"/>
  <c r="AD639" i="2"/>
  <c r="AG972" i="5"/>
  <c r="AH972" i="5"/>
  <c r="O972" i="5"/>
  <c r="Z972" i="4"/>
  <c r="O972" i="4"/>
  <c r="P972" i="4"/>
  <c r="AK665" i="2"/>
  <c r="R1476" i="2"/>
  <c r="P66" i="7"/>
  <c r="Q271" i="2"/>
  <c r="V423" i="2"/>
  <c r="R661" i="4"/>
  <c r="AI425" i="2"/>
  <c r="AE663" i="4"/>
  <c r="U457" i="2"/>
  <c r="Q702" i="5"/>
  <c r="U450" i="2"/>
  <c r="Q712" i="4"/>
  <c r="S669" i="2"/>
  <c r="AJ669" i="2"/>
  <c r="AF999" i="5"/>
  <c r="AF1011" i="4"/>
  <c r="AD518" i="2"/>
  <c r="O801" i="5"/>
  <c r="Z801" i="4"/>
  <c r="O801" i="4"/>
  <c r="P801" i="4"/>
  <c r="AD596" i="2"/>
  <c r="O918" i="5"/>
  <c r="AG918" i="5"/>
  <c r="AH918" i="5"/>
  <c r="Z918" i="4"/>
  <c r="O918" i="4"/>
  <c r="P918" i="4"/>
  <c r="AH615" i="2"/>
  <c r="AD944" i="5"/>
  <c r="AD948" i="4"/>
  <c r="AD944" i="4"/>
  <c r="T628" i="2"/>
  <c r="AK628" i="2"/>
  <c r="AC420" i="2"/>
  <c r="AJ653" i="5"/>
  <c r="O653" i="5"/>
  <c r="AK653" i="5"/>
  <c r="Y653" i="4"/>
  <c r="AM457" i="2"/>
  <c r="AI702" i="5"/>
  <c r="AM450" i="2"/>
  <c r="AI712" i="4"/>
  <c r="AD527" i="2"/>
  <c r="O810" i="5"/>
  <c r="Z810" i="4"/>
  <c r="O810" i="4"/>
  <c r="P810" i="4"/>
  <c r="AB557" i="2"/>
  <c r="AB578" i="2"/>
  <c r="O880" i="5"/>
  <c r="X880" i="4"/>
  <c r="O880" i="4"/>
  <c r="P880" i="4"/>
  <c r="AA615" i="2"/>
  <c r="W944" i="5"/>
  <c r="W948" i="4"/>
  <c r="W944" i="4"/>
  <c r="AD626" i="2"/>
  <c r="O959" i="5"/>
  <c r="Z958" i="5"/>
  <c r="AG959" i="5"/>
  <c r="AH959" i="5"/>
  <c r="Z959" i="4"/>
  <c r="O959" i="4"/>
  <c r="AD672" i="2"/>
  <c r="O1014" i="5"/>
  <c r="AG1014" i="5"/>
  <c r="AG1014" i="4"/>
  <c r="AH1014" i="5"/>
  <c r="Z1014" i="4"/>
  <c r="O1014" i="4"/>
  <c r="Q1465" i="2"/>
  <c r="N44" i="7"/>
  <c r="Q1464" i="2"/>
  <c r="R1489" i="2"/>
  <c r="P89" i="7"/>
  <c r="R88" i="2"/>
  <c r="P171" i="5"/>
  <c r="R285" i="2"/>
  <c r="P478" i="5"/>
  <c r="R494" i="2"/>
  <c r="P772" i="5"/>
  <c r="AD517" i="2"/>
  <c r="O800" i="5"/>
  <c r="Z800" i="4"/>
  <c r="O800" i="4"/>
  <c r="P800" i="4"/>
  <c r="AD674" i="2"/>
  <c r="O1022" i="5"/>
  <c r="P1022" i="5"/>
  <c r="AH1022" i="5"/>
  <c r="AG1022" i="5"/>
  <c r="Z1022" i="4"/>
  <c r="O1022" i="4"/>
  <c r="R696" i="2"/>
  <c r="O1055" i="5"/>
  <c r="P1058" i="5"/>
  <c r="Z723" i="2"/>
  <c r="O1093" i="5"/>
  <c r="U1093" i="4"/>
  <c r="V1093" i="4"/>
  <c r="O1093" i="4"/>
  <c r="P1093" i="4"/>
  <c r="AH963" i="9"/>
  <c r="AL1353" i="2"/>
  <c r="Q15" i="2"/>
  <c r="O42" i="5"/>
  <c r="Q93" i="2"/>
  <c r="N179" i="5"/>
  <c r="Q92" i="2"/>
  <c r="P461" i="5"/>
  <c r="O601" i="5"/>
  <c r="AG388" i="2"/>
  <c r="AC614" i="5"/>
  <c r="AG387" i="2"/>
  <c r="U422" i="2"/>
  <c r="Q656" i="5"/>
  <c r="U421" i="2"/>
  <c r="Q660" i="4"/>
  <c r="Q656" i="4"/>
  <c r="V429" i="2"/>
  <c r="R667" i="4"/>
  <c r="AI441" i="2"/>
  <c r="O679" i="5"/>
  <c r="AE679" i="4"/>
  <c r="AC465" i="2"/>
  <c r="AJ720" i="5"/>
  <c r="AJ720" i="4"/>
  <c r="AK720" i="5"/>
  <c r="AK720" i="4"/>
  <c r="O720" i="5"/>
  <c r="Y720" i="4"/>
  <c r="O720" i="4"/>
  <c r="V483" i="2"/>
  <c r="R748" i="5"/>
  <c r="V481" i="2"/>
  <c r="R752" i="4"/>
  <c r="R748" i="4"/>
  <c r="Z798" i="5"/>
  <c r="R533" i="2"/>
  <c r="P816" i="5"/>
  <c r="AB589" i="2"/>
  <c r="O896" i="5"/>
  <c r="X896" i="4"/>
  <c r="O896" i="4"/>
  <c r="P896" i="4"/>
  <c r="AK684" i="2"/>
  <c r="AG1041" i="4"/>
  <c r="Q1472" i="2"/>
  <c r="O59" i="7"/>
  <c r="R1518" i="2"/>
  <c r="O136" i="7"/>
  <c r="P139" i="7"/>
  <c r="Q1636" i="2"/>
  <c r="O324" i="7"/>
  <c r="Q1719" i="2"/>
  <c r="N449" i="7"/>
  <c r="Q1718" i="2"/>
  <c r="AG1746" i="2"/>
  <c r="O507" i="7"/>
  <c r="AC504" i="7"/>
  <c r="AG1745" i="2"/>
  <c r="R1777" i="2"/>
  <c r="P544" i="7"/>
  <c r="AI1828" i="2"/>
  <c r="AE606" i="4"/>
  <c r="AD1836" i="2"/>
  <c r="Z614" i="7"/>
  <c r="AD1835" i="2"/>
  <c r="AC1859" i="2"/>
  <c r="E371" i="8"/>
  <c r="AE371" i="8"/>
  <c r="AJ642" i="7"/>
  <c r="AK642" i="7"/>
  <c r="O642" i="7"/>
  <c r="AC1871" i="2"/>
  <c r="AJ662" i="7"/>
  <c r="AJ662" i="4"/>
  <c r="AK662" i="7"/>
  <c r="AK662" i="4"/>
  <c r="O662" i="7"/>
  <c r="Y662" i="4"/>
  <c r="O662" i="4"/>
  <c r="R1885" i="2"/>
  <c r="P676" i="7"/>
  <c r="AH1904" i="2"/>
  <c r="AC702" i="7"/>
  <c r="AG1897" i="2"/>
  <c r="R1567" i="2"/>
  <c r="P227" i="7"/>
  <c r="O224" i="7"/>
  <c r="R1590" i="2"/>
  <c r="P262" i="7"/>
  <c r="Q1619" i="2"/>
  <c r="O299" i="7"/>
  <c r="R1660" i="2"/>
  <c r="P360" i="7"/>
  <c r="O357" i="7"/>
  <c r="R1695" i="2"/>
  <c r="P409" i="7"/>
  <c r="R1723" i="2"/>
  <c r="AE1836" i="2"/>
  <c r="AA614" i="7"/>
  <c r="AE1835" i="2"/>
  <c r="V1873" i="2"/>
  <c r="Y664" i="7"/>
  <c r="S686" i="2"/>
  <c r="AJ686" i="2"/>
  <c r="AF1030" i="5"/>
  <c r="AF1043" i="4"/>
  <c r="AF1030" i="4"/>
  <c r="R1471" i="2"/>
  <c r="P58" i="7"/>
  <c r="Q1523" i="2"/>
  <c r="O147" i="7"/>
  <c r="AC1741" i="2"/>
  <c r="Y493" i="7"/>
  <c r="AC1740" i="2"/>
  <c r="AD1764" i="2"/>
  <c r="O531" i="7"/>
  <c r="R1787" i="2"/>
  <c r="P554" i="7"/>
  <c r="R1840" i="2"/>
  <c r="P622" i="7"/>
  <c r="R1864" i="2"/>
  <c r="P647" i="7"/>
  <c r="AC1874" i="2"/>
  <c r="AJ665" i="7"/>
  <c r="AK665" i="7"/>
  <c r="O665" i="7"/>
  <c r="Y665" i="4"/>
  <c r="O665" i="4"/>
  <c r="R1887" i="2"/>
  <c r="P678" i="7"/>
  <c r="R1896" i="2"/>
  <c r="P697" i="7"/>
  <c r="V1970" i="2"/>
  <c r="Z806" i="7"/>
  <c r="AD1970" i="2"/>
  <c r="Q1533" i="2"/>
  <c r="N161" i="7"/>
  <c r="R1588" i="2"/>
  <c r="P260" i="7"/>
  <c r="P433" i="7"/>
  <c r="Q1727" i="2"/>
  <c r="N463" i="7"/>
  <c r="Q1726" i="2"/>
  <c r="AE1741" i="2"/>
  <c r="AA493" i="7"/>
  <c r="AE1740" i="2"/>
  <c r="R1773" i="2"/>
  <c r="P540" i="7"/>
  <c r="R1821" i="2"/>
  <c r="P599" i="7"/>
  <c r="AC1833" i="2"/>
  <c r="AK611" i="7"/>
  <c r="O611" i="7"/>
  <c r="AJ611" i="7"/>
  <c r="Y611" i="4"/>
  <c r="AK1869" i="2"/>
  <c r="S1869" i="2"/>
  <c r="AF656" i="7"/>
  <c r="AJ1868" i="2"/>
  <c r="AG660" i="4"/>
  <c r="AG656" i="4"/>
  <c r="AD1961" i="2"/>
  <c r="E504" i="8"/>
  <c r="O797" i="7"/>
  <c r="R1646" i="2"/>
  <c r="P337" i="7"/>
  <c r="R1469" i="2"/>
  <c r="P56" i="7"/>
  <c r="R1494" i="2"/>
  <c r="P100" i="7"/>
  <c r="Q1652" i="2"/>
  <c r="O348" i="7"/>
  <c r="P367" i="7"/>
  <c r="Q1683" i="2"/>
  <c r="O393" i="7"/>
  <c r="P455" i="7"/>
  <c r="AD1768" i="2"/>
  <c r="O535" i="7"/>
  <c r="Z535" i="4"/>
  <c r="O535" i="4"/>
  <c r="P535" i="4"/>
  <c r="R1791" i="2"/>
  <c r="P558" i="7"/>
  <c r="AI1826" i="2"/>
  <c r="AE604" i="4"/>
  <c r="AL1835" i="2"/>
  <c r="AJ629" i="4"/>
  <c r="R1883" i="2"/>
  <c r="P674" i="7"/>
  <c r="R1894" i="2"/>
  <c r="P692" i="7"/>
  <c r="AE1905" i="2"/>
  <c r="AE713" i="7"/>
  <c r="AI1905" i="2"/>
  <c r="AA712" i="7"/>
  <c r="Z1923" i="2"/>
  <c r="V736" i="7"/>
  <c r="Z1922" i="2"/>
  <c r="O739" i="7"/>
  <c r="V739" i="4"/>
  <c r="Z1940" i="2"/>
  <c r="O771" i="7"/>
  <c r="R691" i="2"/>
  <c r="P1048" i="5"/>
  <c r="R1611" i="2"/>
  <c r="P286" i="7"/>
  <c r="Z1741" i="2"/>
  <c r="V493" i="7"/>
  <c r="Z1740" i="2"/>
  <c r="AD2100" i="2"/>
  <c r="AH991" i="7"/>
  <c r="AL2100" i="2"/>
  <c r="AG991" i="7"/>
  <c r="Z990" i="7"/>
  <c r="O991" i="7"/>
  <c r="AL2105" i="2"/>
  <c r="U906" i="7"/>
  <c r="Y2039" i="2"/>
  <c r="R2130" i="2"/>
  <c r="P1041" i="7"/>
  <c r="AB2010" i="2"/>
  <c r="O861" i="7"/>
  <c r="R2083" i="2"/>
  <c r="P970" i="7"/>
  <c r="T2091" i="2"/>
  <c r="AK2091" i="2"/>
  <c r="P402" i="4"/>
  <c r="AI1909" i="2"/>
  <c r="AE717" i="4"/>
  <c r="N862" i="7"/>
  <c r="Q2011" i="2"/>
  <c r="S2053" i="2"/>
  <c r="AK2053" i="2"/>
  <c r="R2059" i="2"/>
  <c r="P938" i="7"/>
  <c r="T2073" i="2"/>
  <c r="AK2073" i="2"/>
  <c r="Q2116" i="2"/>
  <c r="N1011" i="7"/>
  <c r="Q2115" i="2"/>
  <c r="AD2042" i="2"/>
  <c r="AH917" i="7"/>
  <c r="Z913" i="7"/>
  <c r="O917" i="7"/>
  <c r="AG917" i="7"/>
  <c r="AD2046" i="2"/>
  <c r="AH921" i="7"/>
  <c r="O921" i="7"/>
  <c r="AG921" i="7"/>
  <c r="AD2060" i="2"/>
  <c r="AH942" i="7"/>
  <c r="AL2060" i="2"/>
  <c r="O942" i="7"/>
  <c r="AG942" i="7"/>
  <c r="AD2096" i="2"/>
  <c r="AH983" i="7"/>
  <c r="AL2096" i="2"/>
  <c r="O983" i="7"/>
  <c r="AG983" i="7"/>
  <c r="T2121" i="2"/>
  <c r="AK2121" i="2"/>
  <c r="AD2124" i="2"/>
  <c r="AH1035" i="7"/>
  <c r="AL2124" i="2"/>
  <c r="AG1035" i="7"/>
  <c r="P1061" i="7"/>
  <c r="R2170" i="2"/>
  <c r="P1094" i="7"/>
  <c r="Z1921" i="2"/>
  <c r="N733" i="7"/>
  <c r="Q1921" i="2"/>
  <c r="AC733" i="7"/>
  <c r="AD2052" i="2"/>
  <c r="AH931" i="7"/>
  <c r="O931" i="7"/>
  <c r="AG931" i="7"/>
  <c r="AD2072" i="2"/>
  <c r="AH959" i="7"/>
  <c r="AL2072" i="2"/>
  <c r="O959" i="7"/>
  <c r="AG959" i="7"/>
  <c r="R2105" i="2"/>
  <c r="P996" i="7"/>
  <c r="AD2131" i="2"/>
  <c r="AH1042" i="7"/>
  <c r="AL2131" i="2"/>
  <c r="O1042" i="7"/>
  <c r="AG1042" i="7"/>
  <c r="R2119" i="2"/>
  <c r="P1018" i="7"/>
  <c r="Z2164" i="2"/>
  <c r="O1088" i="7"/>
  <c r="O99" i="4"/>
  <c r="AD2103" i="2"/>
  <c r="AG994" i="7"/>
  <c r="AH994" i="7"/>
  <c r="AL2103" i="2"/>
  <c r="R1979" i="2"/>
  <c r="P815" i="7"/>
  <c r="R2108" i="2"/>
  <c r="P1004" i="7"/>
  <c r="T2117" i="2"/>
  <c r="AB1985" i="2"/>
  <c r="O827" i="7"/>
  <c r="Q742" i="2"/>
  <c r="N44" i="9"/>
  <c r="Q741" i="2"/>
  <c r="Q770" i="2"/>
  <c r="O99" i="9"/>
  <c r="N96" i="9"/>
  <c r="R855" i="2"/>
  <c r="P245" i="9"/>
  <c r="O242" i="9"/>
  <c r="Q874" i="2"/>
  <c r="O269" i="9"/>
  <c r="R892" i="2"/>
  <c r="P295" i="9"/>
  <c r="R758" i="2"/>
  <c r="P74" i="9"/>
  <c r="Q793" i="2"/>
  <c r="O134" i="9"/>
  <c r="R817" i="2"/>
  <c r="P179" i="9"/>
  <c r="Q909" i="2"/>
  <c r="O320" i="9"/>
  <c r="R741" i="2"/>
  <c r="P44" i="9"/>
  <c r="R843" i="2"/>
  <c r="Q948" i="2"/>
  <c r="N372" i="9"/>
  <c r="Q947" i="2"/>
  <c r="AB1018" i="2"/>
  <c r="X493" i="9"/>
  <c r="AB1017" i="2"/>
  <c r="D371" i="8"/>
  <c r="AD371" i="8"/>
  <c r="AF371" i="8"/>
  <c r="P112" i="9"/>
  <c r="Q831" i="2"/>
  <c r="O205" i="9"/>
  <c r="Q863" i="2"/>
  <c r="O258" i="9"/>
  <c r="P276" i="9"/>
  <c r="Q934" i="2"/>
  <c r="O353" i="9"/>
  <c r="Q825" i="2"/>
  <c r="O196" i="9"/>
  <c r="R908" i="2"/>
  <c r="P319" i="9"/>
  <c r="R974" i="2"/>
  <c r="P411" i="9"/>
  <c r="R989" i="2"/>
  <c r="P439" i="9"/>
  <c r="R1043" i="2"/>
  <c r="P533" i="9"/>
  <c r="R1074" i="2"/>
  <c r="P564" i="9"/>
  <c r="Q1098" i="2"/>
  <c r="P599" i="9"/>
  <c r="N598" i="9"/>
  <c r="Q1097" i="2"/>
  <c r="R1108" i="2"/>
  <c r="P609" i="9"/>
  <c r="Q1114" i="2"/>
  <c r="W1181" i="2"/>
  <c r="S702" i="9"/>
  <c r="W1174" i="2"/>
  <c r="Q812" i="2"/>
  <c r="N167" i="9"/>
  <c r="Q811" i="2"/>
  <c r="AD1072" i="2"/>
  <c r="O562" i="9"/>
  <c r="Z562" i="4"/>
  <c r="O562" i="4"/>
  <c r="P562" i="4"/>
  <c r="AD1091" i="2"/>
  <c r="O585" i="9"/>
  <c r="AK612" i="9"/>
  <c r="R1201" i="2"/>
  <c r="P740" i="9"/>
  <c r="V1219" i="2"/>
  <c r="V773" i="9"/>
  <c r="Z1219" i="2"/>
  <c r="Q1297" i="2"/>
  <c r="N874" i="9"/>
  <c r="R972" i="2"/>
  <c r="P409" i="9"/>
  <c r="R1055" i="2"/>
  <c r="P545" i="9"/>
  <c r="Q1154" i="2"/>
  <c r="N667" i="9"/>
  <c r="Q1153" i="2"/>
  <c r="R1179" i="2"/>
  <c r="P710" i="9"/>
  <c r="R1226" i="2"/>
  <c r="P780" i="9"/>
  <c r="R945" i="2"/>
  <c r="P368" i="9"/>
  <c r="AG1019" i="2"/>
  <c r="O498" i="9"/>
  <c r="AC495" i="9"/>
  <c r="AC1102" i="2"/>
  <c r="AJ603" i="9"/>
  <c r="AK603" i="9"/>
  <c r="O603" i="9"/>
  <c r="V1135" i="2"/>
  <c r="Y641" i="9"/>
  <c r="R1147" i="2"/>
  <c r="P661" i="9"/>
  <c r="AI1158" i="2"/>
  <c r="AE672" i="4"/>
  <c r="AC1177" i="2"/>
  <c r="AK708" i="9"/>
  <c r="O708" i="9"/>
  <c r="AJ708" i="9"/>
  <c r="Y708" i="4"/>
  <c r="Q979" i="2"/>
  <c r="O421" i="9"/>
  <c r="N457" i="9"/>
  <c r="Q1000" i="2"/>
  <c r="AC1114" i="2"/>
  <c r="AJ619" i="9"/>
  <c r="AK619" i="9"/>
  <c r="O619" i="9"/>
  <c r="W1146" i="2"/>
  <c r="S656" i="9"/>
  <c r="W1145" i="2"/>
  <c r="X1280" i="2"/>
  <c r="T821" i="9"/>
  <c r="X1259" i="2"/>
  <c r="P921" i="9"/>
  <c r="AF1339" i="2"/>
  <c r="AB944" i="9"/>
  <c r="R1163" i="2"/>
  <c r="P677" i="9"/>
  <c r="AD1317" i="2"/>
  <c r="N719" i="10"/>
  <c r="AG910" i="9"/>
  <c r="AH910" i="9"/>
  <c r="O910" i="9"/>
  <c r="AD1414" i="2"/>
  <c r="AG1048" i="9"/>
  <c r="AH1048" i="9"/>
  <c r="AL1414" i="2"/>
  <c r="O1048" i="9"/>
  <c r="Z1048" i="4"/>
  <c r="O1048" i="4"/>
  <c r="P1048" i="4"/>
  <c r="R1203" i="2"/>
  <c r="P742" i="9"/>
  <c r="R1331" i="2"/>
  <c r="P933" i="9"/>
  <c r="AH1339" i="2"/>
  <c r="AD944" i="9"/>
  <c r="Q1381" i="2"/>
  <c r="N994" i="9"/>
  <c r="Q1380" i="2"/>
  <c r="R87" i="2"/>
  <c r="P170" i="5"/>
  <c r="O167" i="5"/>
  <c r="R1232" i="2"/>
  <c r="P786" i="9"/>
  <c r="AC1339" i="2"/>
  <c r="Y944" i="9"/>
  <c r="R1387" i="2"/>
  <c r="P1006" i="9"/>
  <c r="R1415" i="2"/>
  <c r="P1049" i="9"/>
  <c r="Q32" i="2"/>
  <c r="O73" i="5"/>
  <c r="AH96" i="2"/>
  <c r="AD186" i="5"/>
  <c r="AH95" i="2"/>
  <c r="R1362" i="2"/>
  <c r="P972" i="9"/>
  <c r="Q1419" i="2"/>
  <c r="Q128" i="2"/>
  <c r="O240" i="5"/>
  <c r="Q144" i="2"/>
  <c r="O264" i="5"/>
  <c r="R260" i="2"/>
  <c r="V372" i="2"/>
  <c r="R598" i="4"/>
  <c r="Q1249" i="2"/>
  <c r="N806" i="9"/>
  <c r="Q1247" i="2"/>
  <c r="S906" i="9"/>
  <c r="W1316" i="2"/>
  <c r="AD1332" i="2"/>
  <c r="AH934" i="9"/>
  <c r="AL1332" i="2"/>
  <c r="O934" i="9"/>
  <c r="AG934" i="9"/>
  <c r="AD357" i="2"/>
  <c r="O576" i="5"/>
  <c r="Z576" i="4"/>
  <c r="O576" i="4"/>
  <c r="P576" i="4"/>
  <c r="S790" i="9"/>
  <c r="Q1311" i="2"/>
  <c r="N891" i="9"/>
  <c r="AD1349" i="2"/>
  <c r="AH959" i="9"/>
  <c r="AL1349" i="2"/>
  <c r="O959" i="9"/>
  <c r="AG959" i="9"/>
  <c r="V1384" i="2"/>
  <c r="R999" i="9"/>
  <c r="V1383" i="2"/>
  <c r="Q130" i="2"/>
  <c r="P362" i="5"/>
  <c r="Q234" i="2"/>
  <c r="O392" i="5"/>
  <c r="P411" i="5"/>
  <c r="AD316" i="2"/>
  <c r="O531" i="5"/>
  <c r="Z531" i="4"/>
  <c r="O531" i="4"/>
  <c r="P531" i="4"/>
  <c r="P566" i="5"/>
  <c r="AI379" i="2"/>
  <c r="AE605" i="4"/>
  <c r="W5" i="2"/>
  <c r="S16" i="5"/>
  <c r="R54" i="2"/>
  <c r="O108" i="5"/>
  <c r="P111" i="5"/>
  <c r="R162" i="2"/>
  <c r="P285" i="5"/>
  <c r="Q183" i="2"/>
  <c r="O319" i="5"/>
  <c r="AD309" i="2"/>
  <c r="O524" i="5"/>
  <c r="Z524" i="4"/>
  <c r="O524" i="4"/>
  <c r="P524" i="4"/>
  <c r="AK1355" i="2"/>
  <c r="T1355" i="2"/>
  <c r="R36" i="2"/>
  <c r="P80" i="5"/>
  <c r="O77" i="5"/>
  <c r="Q67" i="2"/>
  <c r="O133" i="5"/>
  <c r="R281" i="2"/>
  <c r="Q355" i="2"/>
  <c r="AH457" i="2"/>
  <c r="AD702" i="5"/>
  <c r="AH450" i="2"/>
  <c r="AD712" i="4"/>
  <c r="AC702" i="4"/>
  <c r="R610" i="2"/>
  <c r="P936" i="5"/>
  <c r="AI686" i="2"/>
  <c r="AE1043" i="4"/>
  <c r="AE1030" i="4"/>
  <c r="Q117" i="2"/>
  <c r="O222" i="5"/>
  <c r="W388" i="2"/>
  <c r="S614" i="5"/>
  <c r="AC446" i="2"/>
  <c r="AJ691" i="5"/>
  <c r="Y691" i="4"/>
  <c r="R51" i="2"/>
  <c r="P105" i="5"/>
  <c r="AC419" i="2"/>
  <c r="AJ649" i="5"/>
  <c r="AJ649" i="4"/>
  <c r="Y649" i="4"/>
  <c r="AJ457" i="2"/>
  <c r="AF702" i="5"/>
  <c r="AJ450" i="2"/>
  <c r="AF712" i="4"/>
  <c r="AD593" i="2"/>
  <c r="N719" i="6"/>
  <c r="AE719" i="6"/>
  <c r="AF719" i="6"/>
  <c r="AG910" i="5"/>
  <c r="AH910" i="5"/>
  <c r="O910" i="5"/>
  <c r="Z910" i="4"/>
  <c r="AF615" i="2"/>
  <c r="AB944" i="5"/>
  <c r="AB948" i="4"/>
  <c r="AK640" i="2"/>
  <c r="AE381" i="2"/>
  <c r="AA607" i="4"/>
  <c r="AE411" i="2"/>
  <c r="AE641" i="5"/>
  <c r="AA641" i="4"/>
  <c r="AD422" i="2"/>
  <c r="Z656" i="5"/>
  <c r="AD421" i="2"/>
  <c r="Z660" i="4"/>
  <c r="Z656" i="4"/>
  <c r="R264" i="2"/>
  <c r="P439" i="5"/>
  <c r="R417" i="2"/>
  <c r="P647" i="5"/>
  <c r="AK597" i="2"/>
  <c r="T597" i="2"/>
  <c r="AG630" i="2"/>
  <c r="AC948" i="5"/>
  <c r="V1492" i="2"/>
  <c r="R94" i="7"/>
  <c r="V1491" i="2"/>
  <c r="R280" i="2"/>
  <c r="P467" i="5"/>
  <c r="AI468" i="2"/>
  <c r="AE722" i="5"/>
  <c r="AI467" i="2"/>
  <c r="AE723" i="4"/>
  <c r="Z513" i="2"/>
  <c r="V792" i="5"/>
  <c r="Z511" i="2"/>
  <c r="V796" i="4"/>
  <c r="V792" i="4"/>
  <c r="R530" i="2"/>
  <c r="AB559" i="2"/>
  <c r="O857" i="5"/>
  <c r="X857" i="4"/>
  <c r="O857" i="4"/>
  <c r="AI615" i="2"/>
  <c r="AE944" i="5"/>
  <c r="AE948" i="4"/>
  <c r="AL628" i="2"/>
  <c r="R641" i="2"/>
  <c r="P974" i="5"/>
  <c r="Q696" i="2"/>
  <c r="R1526" i="2"/>
  <c r="P153" i="7"/>
  <c r="O150" i="7"/>
  <c r="R1626" i="2"/>
  <c r="P309" i="7"/>
  <c r="AD342" i="2"/>
  <c r="O557" i="5"/>
  <c r="Z557" i="4"/>
  <c r="O557" i="4"/>
  <c r="P557" i="4"/>
  <c r="Q444" i="2"/>
  <c r="V495" i="2"/>
  <c r="R773" i="4"/>
  <c r="Q524" i="2"/>
  <c r="N806" i="5"/>
  <c r="Q523" i="2"/>
  <c r="R550" i="2"/>
  <c r="P845" i="5"/>
  <c r="AB583" i="2"/>
  <c r="O885" i="5"/>
  <c r="X885" i="4"/>
  <c r="O885" i="4"/>
  <c r="P885" i="4"/>
  <c r="V625" i="2"/>
  <c r="R958" i="4"/>
  <c r="AG686" i="2"/>
  <c r="AC1043" i="4"/>
  <c r="AC1030" i="4"/>
  <c r="Q699" i="2"/>
  <c r="P1061" i="5"/>
  <c r="AF422" i="2"/>
  <c r="AB656" i="5"/>
  <c r="AF421" i="2"/>
  <c r="AB660" i="4"/>
  <c r="AB656" i="4"/>
  <c r="Q430" i="2"/>
  <c r="N667" i="5"/>
  <c r="Q429" i="2"/>
  <c r="Q468" i="2"/>
  <c r="N722" i="5"/>
  <c r="Q467" i="2"/>
  <c r="Z492" i="2"/>
  <c r="O770" i="5"/>
  <c r="V770" i="4"/>
  <c r="O770" i="4"/>
  <c r="P770" i="4"/>
  <c r="V564" i="2"/>
  <c r="R862" i="4"/>
  <c r="S906" i="5"/>
  <c r="W592" i="2"/>
  <c r="AF669" i="2"/>
  <c r="AB1011" i="4"/>
  <c r="O302" i="7"/>
  <c r="Q1599" i="2"/>
  <c r="N271" i="7"/>
  <c r="Q1598" i="2"/>
  <c r="Q1671" i="2"/>
  <c r="N372" i="7"/>
  <c r="Q1670" i="2"/>
  <c r="Q1702" i="2"/>
  <c r="O421" i="7"/>
  <c r="AD1778" i="2"/>
  <c r="O545" i="7"/>
  <c r="S1817" i="2"/>
  <c r="AK1817" i="2"/>
  <c r="AL1836" i="2"/>
  <c r="T1836" i="2"/>
  <c r="AG614" i="7"/>
  <c r="R1862" i="2"/>
  <c r="P645" i="7"/>
  <c r="AC1872" i="2"/>
  <c r="AJ663" i="7"/>
  <c r="AK663" i="7"/>
  <c r="O663" i="7"/>
  <c r="Y663" i="4"/>
  <c r="O663" i="4"/>
  <c r="AC1907" i="2"/>
  <c r="AK715" i="7"/>
  <c r="O715" i="7"/>
  <c r="AJ715" i="7"/>
  <c r="Y715" i="4"/>
  <c r="O715" i="4"/>
  <c r="Z1925" i="2"/>
  <c r="O741" i="7"/>
  <c r="V741" i="4"/>
  <c r="O741" i="4"/>
  <c r="P741" i="4"/>
  <c r="R1535" i="2"/>
  <c r="P170" i="7"/>
  <c r="O167" i="7"/>
  <c r="Q1593" i="2"/>
  <c r="O265" i="7"/>
  <c r="R1662" i="2"/>
  <c r="P362" i="7"/>
  <c r="R1697" i="2"/>
  <c r="P411" i="7"/>
  <c r="R1728" i="2"/>
  <c r="P467" i="7"/>
  <c r="AE1873" i="2"/>
  <c r="AE664" i="7"/>
  <c r="AI1873" i="2"/>
  <c r="R409" i="2"/>
  <c r="P639" i="5"/>
  <c r="R1500" i="2"/>
  <c r="P106" i="7"/>
  <c r="Q1730" i="2"/>
  <c r="N469" i="7"/>
  <c r="Q1729" i="2"/>
  <c r="AG1749" i="2"/>
  <c r="O510" i="7"/>
  <c r="AD1788" i="2"/>
  <c r="O555" i="7"/>
  <c r="R1815" i="2"/>
  <c r="P586" i="7"/>
  <c r="AC1831" i="2"/>
  <c r="AJ609" i="7"/>
  <c r="AK609" i="7"/>
  <c r="O609" i="7"/>
  <c r="Y609" i="4"/>
  <c r="AC1875" i="2"/>
  <c r="AJ666" i="7"/>
  <c r="AK666" i="7"/>
  <c r="O666" i="7"/>
  <c r="Q1915" i="2"/>
  <c r="N722" i="7"/>
  <c r="Q1914" i="2"/>
  <c r="AD1971" i="2"/>
  <c r="O807" i="7"/>
  <c r="Z807" i="4"/>
  <c r="O807" i="4"/>
  <c r="Z720" i="2"/>
  <c r="O1090" i="5"/>
  <c r="U1090" i="4"/>
  <c r="V1090" i="4"/>
  <c r="O1090" i="4"/>
  <c r="P1090" i="4"/>
  <c r="Q1617" i="2"/>
  <c r="O297" i="7"/>
  <c r="V1876" i="2"/>
  <c r="Y667" i="7"/>
  <c r="Q1591" i="2"/>
  <c r="O263" i="7"/>
  <c r="Q1631" i="2"/>
  <c r="O319" i="7"/>
  <c r="Q1711" i="2"/>
  <c r="N435" i="7"/>
  <c r="Q1710" i="2"/>
  <c r="P472" i="7"/>
  <c r="AG1748" i="2"/>
  <c r="O509" i="7"/>
  <c r="AD1774" i="2"/>
  <c r="O541" i="7"/>
  <c r="Z541" i="4"/>
  <c r="O541" i="4"/>
  <c r="P541" i="4"/>
  <c r="R1797" i="2"/>
  <c r="P564" i="7"/>
  <c r="AC1855" i="2"/>
  <c r="AK638" i="7"/>
  <c r="O638" i="7"/>
  <c r="AJ638" i="7"/>
  <c r="AJ638" i="4"/>
  <c r="Y638" i="4"/>
  <c r="Q1871" i="2"/>
  <c r="N661" i="7"/>
  <c r="AJ692" i="4"/>
  <c r="Q1931" i="2"/>
  <c r="N752" i="7"/>
  <c r="AD1974" i="2"/>
  <c r="O810" i="7"/>
  <c r="O663" i="5"/>
  <c r="AB686" i="2"/>
  <c r="X1043" i="4"/>
  <c r="X1030" i="4"/>
  <c r="Q1585" i="2"/>
  <c r="O257" i="7"/>
  <c r="Q1648" i="2"/>
  <c r="R1578" i="2"/>
  <c r="P245" i="7"/>
  <c r="O242" i="7"/>
  <c r="R1601" i="2"/>
  <c r="P276" i="7"/>
  <c r="Q1654" i="2"/>
  <c r="O350" i="7"/>
  <c r="Q1685" i="2"/>
  <c r="O395" i="7"/>
  <c r="Q1706" i="2"/>
  <c r="N427" i="7"/>
  <c r="Q1724" i="2"/>
  <c r="N457" i="7"/>
  <c r="Q1723" i="2"/>
  <c r="AG1747" i="2"/>
  <c r="O508" i="7"/>
  <c r="AD1792" i="2"/>
  <c r="O559" i="7"/>
  <c r="AC1828" i="2"/>
  <c r="E348" i="8"/>
  <c r="AJ606" i="7"/>
  <c r="AJ606" i="4"/>
  <c r="AK606" i="7"/>
  <c r="O606" i="7"/>
  <c r="Y606" i="4"/>
  <c r="O606" i="4"/>
  <c r="AB1836" i="2"/>
  <c r="X614" i="7"/>
  <c r="AB1835" i="2"/>
  <c r="AC1849" i="2"/>
  <c r="AJ632" i="7"/>
  <c r="AK632" i="7"/>
  <c r="O632" i="7"/>
  <c r="R1860" i="2"/>
  <c r="P643" i="7"/>
  <c r="AM1869" i="2"/>
  <c r="AH656" i="7"/>
  <c r="Q1909" i="2"/>
  <c r="N716" i="7"/>
  <c r="Q1908" i="2"/>
  <c r="R1930" i="2"/>
  <c r="R1946" i="2"/>
  <c r="P777" i="7"/>
  <c r="S450" i="2"/>
  <c r="N108" i="7"/>
  <c r="Q1501" i="2"/>
  <c r="R1564" i="2"/>
  <c r="P221" i="7"/>
  <c r="V1829" i="2"/>
  <c r="N607" i="7"/>
  <c r="Q1829" i="2"/>
  <c r="Y607" i="7"/>
  <c r="AB2013" i="2"/>
  <c r="O864" i="7"/>
  <c r="Q2100" i="2"/>
  <c r="N990" i="7"/>
  <c r="T2097" i="2"/>
  <c r="AK2097" i="2"/>
  <c r="AJ1904" i="2"/>
  <c r="AE702" i="7"/>
  <c r="AI1897" i="2"/>
  <c r="F550" i="8"/>
  <c r="AE550" i="8"/>
  <c r="AF550" i="8"/>
  <c r="R2079" i="2"/>
  <c r="P966" i="7"/>
  <c r="R2091" i="2"/>
  <c r="P978" i="7"/>
  <c r="P227" i="4"/>
  <c r="P420" i="4"/>
  <c r="AE1908" i="2"/>
  <c r="AE716" i="7"/>
  <c r="AI1908" i="2"/>
  <c r="V1983" i="2"/>
  <c r="R1997" i="2"/>
  <c r="P845" i="7"/>
  <c r="AB2019" i="2"/>
  <c r="X871" i="7"/>
  <c r="AB2018" i="2"/>
  <c r="S2049" i="2"/>
  <c r="AK2049" i="2"/>
  <c r="T2059" i="2"/>
  <c r="AK2059" i="2"/>
  <c r="T2067" i="2"/>
  <c r="AK2067" i="2"/>
  <c r="R2073" i="2"/>
  <c r="P960" i="7"/>
  <c r="R2142" i="2"/>
  <c r="P1058" i="7"/>
  <c r="O1055" i="7"/>
  <c r="R2167" i="2"/>
  <c r="P1091" i="7"/>
  <c r="AI1901" i="2"/>
  <c r="AE709" i="4"/>
  <c r="AB2017" i="2"/>
  <c r="O868" i="7"/>
  <c r="X868" i="4"/>
  <c r="O868" i="4"/>
  <c r="P868" i="4"/>
  <c r="Q2042" i="2"/>
  <c r="N913" i="7"/>
  <c r="R2121" i="2"/>
  <c r="P1026" i="7"/>
  <c r="Q1959" i="2"/>
  <c r="N871" i="7"/>
  <c r="Q2018" i="2"/>
  <c r="AF2062" i="2"/>
  <c r="AB944" i="7"/>
  <c r="AD2086" i="2"/>
  <c r="AH973" i="7"/>
  <c r="O973" i="7"/>
  <c r="AG973" i="7"/>
  <c r="AG973" i="4"/>
  <c r="Z973" i="4"/>
  <c r="O973" i="4"/>
  <c r="P973" i="4"/>
  <c r="Z2171" i="2"/>
  <c r="O1095" i="7"/>
  <c r="V1095" i="4"/>
  <c r="O1095" i="4"/>
  <c r="P1095" i="4"/>
  <c r="R2012" i="2"/>
  <c r="P863" i="7"/>
  <c r="AD2048" i="2"/>
  <c r="Z923" i="7"/>
  <c r="AD2047" i="2"/>
  <c r="AH927" i="7"/>
  <c r="O927" i="7"/>
  <c r="AG927" i="7"/>
  <c r="AD2058" i="2"/>
  <c r="AH937" i="7"/>
  <c r="AL2058" i="2"/>
  <c r="O937" i="7"/>
  <c r="AG937" i="7"/>
  <c r="Q2072" i="2"/>
  <c r="N958" i="7"/>
  <c r="Q2071" i="2"/>
  <c r="T2116" i="2"/>
  <c r="AK2116" i="2"/>
  <c r="AG1011" i="7"/>
  <c r="P111" i="4"/>
  <c r="T2104" i="2"/>
  <c r="AK2104" i="2"/>
  <c r="R1980" i="2"/>
  <c r="P816" i="7"/>
  <c r="AB584" i="2"/>
  <c r="O886" i="5"/>
  <c r="X886" i="4"/>
  <c r="O886" i="4"/>
  <c r="P886" i="4"/>
  <c r="AB1307" i="2"/>
  <c r="O885" i="9"/>
  <c r="Z2033" i="2"/>
  <c r="V889" i="7"/>
  <c r="Z2032" i="2"/>
  <c r="Z1310" i="2"/>
  <c r="V889" i="9"/>
  <c r="Z1309" i="2"/>
  <c r="AB544" i="2"/>
  <c r="O836" i="5"/>
  <c r="X836" i="4"/>
  <c r="O836" i="4"/>
  <c r="P836" i="4"/>
  <c r="AB1992" i="2"/>
  <c r="O837" i="7"/>
  <c r="AB1268" i="2"/>
  <c r="O836" i="9"/>
  <c r="AB1304" i="2"/>
  <c r="O882" i="9"/>
  <c r="Q826" i="2"/>
  <c r="O197" i="9"/>
  <c r="Q772" i="2"/>
  <c r="O101" i="9"/>
  <c r="R824" i="2"/>
  <c r="P195" i="9"/>
  <c r="R857" i="2"/>
  <c r="P247" i="9"/>
  <c r="R894" i="2"/>
  <c r="P297" i="9"/>
  <c r="Q733" i="2"/>
  <c r="O26" i="9"/>
  <c r="O22" i="9"/>
  <c r="Q747" i="2"/>
  <c r="O57" i="9"/>
  <c r="R760" i="2"/>
  <c r="W821" i="2"/>
  <c r="S186" i="9"/>
  <c r="Q911" i="2"/>
  <c r="O322" i="9"/>
  <c r="AG1020" i="2"/>
  <c r="O499" i="9"/>
  <c r="P114" i="9"/>
  <c r="Q833" i="2"/>
  <c r="O207" i="9"/>
  <c r="Q865" i="2"/>
  <c r="O260" i="9"/>
  <c r="P278" i="9"/>
  <c r="R982" i="2"/>
  <c r="Q953" i="2"/>
  <c r="O386" i="9"/>
  <c r="N484" i="9"/>
  <c r="R764" i="2"/>
  <c r="P83" i="9"/>
  <c r="Q1023" i="2"/>
  <c r="Q989" i="2"/>
  <c r="N435" i="9"/>
  <c r="Q987" i="2"/>
  <c r="AH1015" i="2"/>
  <c r="O490" i="9"/>
  <c r="AJ490" i="9"/>
  <c r="V1124" i="2"/>
  <c r="Y630" i="9"/>
  <c r="Y618" i="9"/>
  <c r="Q1212" i="2"/>
  <c r="N758" i="9"/>
  <c r="Q1211" i="2"/>
  <c r="R1278" i="2"/>
  <c r="P849" i="9"/>
  <c r="Q914" i="2"/>
  <c r="O325" i="9"/>
  <c r="R1047" i="2"/>
  <c r="P537" i="9"/>
  <c r="AM1181" i="2"/>
  <c r="AH702" i="9"/>
  <c r="AB1237" i="2"/>
  <c r="X792" i="9"/>
  <c r="AB1235" i="2"/>
  <c r="R954" i="2"/>
  <c r="P387" i="9"/>
  <c r="R993" i="2"/>
  <c r="P446" i="9"/>
  <c r="O443" i="9"/>
  <c r="Z1018" i="2"/>
  <c r="V493" i="9"/>
  <c r="Z1017" i="2"/>
  <c r="P566" i="9"/>
  <c r="AC1125" i="2"/>
  <c r="AJ631" i="9"/>
  <c r="AK631" i="9"/>
  <c r="O631" i="9"/>
  <c r="Y631" i="4"/>
  <c r="AC1140" i="2"/>
  <c r="E422" i="10"/>
  <c r="AJ646" i="9"/>
  <c r="AK646" i="9"/>
  <c r="O646" i="9"/>
  <c r="V1168" i="2"/>
  <c r="Y689" i="9"/>
  <c r="R685" i="9"/>
  <c r="V1167" i="2"/>
  <c r="R1178" i="2"/>
  <c r="P709" i="9"/>
  <c r="R1184" i="2"/>
  <c r="P715" i="9"/>
  <c r="Z1202" i="2"/>
  <c r="O741" i="9"/>
  <c r="Z1221" i="2"/>
  <c r="O775" i="9"/>
  <c r="V1247" i="2"/>
  <c r="Z806" i="9"/>
  <c r="AD1247" i="2"/>
  <c r="R1272" i="2"/>
  <c r="P843" i="9"/>
  <c r="O840" i="9"/>
  <c r="V1299" i="2"/>
  <c r="X877" i="9"/>
  <c r="AB1299" i="2"/>
  <c r="R1329" i="2"/>
  <c r="P931" i="9"/>
  <c r="R856" i="2"/>
  <c r="P246" i="9"/>
  <c r="R1036" i="2"/>
  <c r="P526" i="9"/>
  <c r="R748" i="2"/>
  <c r="P58" i="9"/>
  <c r="R1105" i="2"/>
  <c r="P606" i="9"/>
  <c r="AC1160" i="2"/>
  <c r="AK674" i="9"/>
  <c r="O674" i="9"/>
  <c r="AJ674" i="9"/>
  <c r="Y674" i="4"/>
  <c r="Z1181" i="2"/>
  <c r="V702" i="9"/>
  <c r="Z1174" i="2"/>
  <c r="AB1290" i="2"/>
  <c r="O864" i="9"/>
  <c r="R1059" i="2"/>
  <c r="P549" i="9"/>
  <c r="AD1255" i="2"/>
  <c r="O814" i="9"/>
  <c r="R956" i="2"/>
  <c r="P389" i="9"/>
  <c r="Q1007" i="2"/>
  <c r="N469" i="9"/>
  <c r="Q1006" i="2"/>
  <c r="R1064" i="2"/>
  <c r="P554" i="9"/>
  <c r="AM1146" i="2"/>
  <c r="AH656" i="9"/>
  <c r="N773" i="9"/>
  <c r="Q1219" i="2"/>
  <c r="R1408" i="2"/>
  <c r="P1042" i="9"/>
  <c r="R1420" i="2"/>
  <c r="AD1257" i="2"/>
  <c r="O816" i="9"/>
  <c r="Z816" i="4"/>
  <c r="O816" i="4"/>
  <c r="P816" i="4"/>
  <c r="T1146" i="2"/>
  <c r="AL1146" i="2"/>
  <c r="AG656" i="9"/>
  <c r="AB1314" i="2"/>
  <c r="O900" i="9"/>
  <c r="AD1381" i="2"/>
  <c r="AH995" i="9"/>
  <c r="AL1381" i="2"/>
  <c r="O995" i="9"/>
  <c r="AG995" i="9"/>
  <c r="Z994" i="9"/>
  <c r="Z1432" i="2"/>
  <c r="O1079" i="9"/>
  <c r="AE293" i="2"/>
  <c r="AA493" i="5"/>
  <c r="AE292" i="2"/>
  <c r="AC1131" i="2"/>
  <c r="AJ637" i="9"/>
  <c r="AK637" i="9"/>
  <c r="O637" i="9"/>
  <c r="R1287" i="2"/>
  <c r="P861" i="9"/>
  <c r="AD1343" i="2"/>
  <c r="AH952" i="9"/>
  <c r="AL1343" i="2"/>
  <c r="O952" i="9"/>
  <c r="AG952" i="9"/>
  <c r="V1376" i="2"/>
  <c r="R986" i="9"/>
  <c r="V1375" i="2"/>
  <c r="T1387" i="2"/>
  <c r="AK1387" i="2"/>
  <c r="R1416" i="2"/>
  <c r="P1050" i="9"/>
  <c r="R1442" i="2"/>
  <c r="P1089" i="9"/>
  <c r="Q34" i="2"/>
  <c r="O75" i="5"/>
  <c r="AD307" i="2"/>
  <c r="AC1164" i="2"/>
  <c r="AJ678" i="9"/>
  <c r="AK678" i="9"/>
  <c r="O678" i="9"/>
  <c r="R906" i="9"/>
  <c r="V1316" i="2"/>
  <c r="S1339" i="2"/>
  <c r="AJ1339" i="2"/>
  <c r="AF944" i="9"/>
  <c r="T1362" i="2"/>
  <c r="AK1362" i="2"/>
  <c r="AB1409" i="2"/>
  <c r="X1030" i="9"/>
  <c r="AB1399" i="2"/>
  <c r="Q50" i="2"/>
  <c r="O104" i="5"/>
  <c r="R70" i="2"/>
  <c r="R84" i="2"/>
  <c r="P164" i="5"/>
  <c r="O161" i="5"/>
  <c r="R106" i="2"/>
  <c r="P205" i="5"/>
  <c r="Q146" i="2"/>
  <c r="O266" i="5"/>
  <c r="P310" i="5"/>
  <c r="AD332" i="2"/>
  <c r="O547" i="5"/>
  <c r="Z547" i="4"/>
  <c r="O547" i="4"/>
  <c r="P547" i="4"/>
  <c r="S411" i="2"/>
  <c r="AK411" i="2"/>
  <c r="AG641" i="4"/>
  <c r="R1023" i="2"/>
  <c r="P507" i="9"/>
  <c r="AD1249" i="2"/>
  <c r="O808" i="9"/>
  <c r="P31" i="5"/>
  <c r="O28" i="5"/>
  <c r="Q83" i="2"/>
  <c r="AI1171" i="2"/>
  <c r="AE692" i="4"/>
  <c r="O692" i="4"/>
  <c r="AD1334" i="2"/>
  <c r="AH936" i="9"/>
  <c r="AL1334" i="2"/>
  <c r="O936" i="9"/>
  <c r="AG936" i="9"/>
  <c r="Z936" i="4"/>
  <c r="O936" i="4"/>
  <c r="P936" i="4"/>
  <c r="Q1349" i="2"/>
  <c r="N958" i="9"/>
  <c r="Q1348" i="2"/>
  <c r="R1363" i="2"/>
  <c r="P973" i="9"/>
  <c r="AD1386" i="2"/>
  <c r="AH1005" i="9"/>
  <c r="O1005" i="9"/>
  <c r="AG1005" i="9"/>
  <c r="P364" i="5"/>
  <c r="Q236" i="2"/>
  <c r="O394" i="5"/>
  <c r="AD321" i="2"/>
  <c r="AD360" i="2"/>
  <c r="O579" i="5"/>
  <c r="Z579" i="4"/>
  <c r="O579" i="4"/>
  <c r="P579" i="4"/>
  <c r="V381" i="2"/>
  <c r="N607" i="5"/>
  <c r="Q381" i="2"/>
  <c r="R607" i="4"/>
  <c r="N607" i="4"/>
  <c r="AI402" i="2"/>
  <c r="AE632" i="4"/>
  <c r="Q1186" i="2"/>
  <c r="N716" i="9"/>
  <c r="Q1185" i="2"/>
  <c r="Q1317" i="2"/>
  <c r="Q1427" i="2"/>
  <c r="N1067" i="9"/>
  <c r="Q1426" i="2"/>
  <c r="R7" i="2"/>
  <c r="P25" i="5"/>
  <c r="R56" i="2"/>
  <c r="P113" i="5"/>
  <c r="Q109" i="2"/>
  <c r="O208" i="5"/>
  <c r="Q137" i="2"/>
  <c r="O257" i="5"/>
  <c r="R164" i="2"/>
  <c r="P287" i="5"/>
  <c r="Q185" i="2"/>
  <c r="O321" i="5"/>
  <c r="R1355" i="2"/>
  <c r="P965" i="9"/>
  <c r="Q36" i="2"/>
  <c r="N77" i="5"/>
  <c r="Q35" i="2"/>
  <c r="AD355" i="2"/>
  <c r="O574" i="5"/>
  <c r="Z574" i="4"/>
  <c r="O574" i="4"/>
  <c r="P574" i="4"/>
  <c r="S443" i="2"/>
  <c r="AK443" i="2"/>
  <c r="Q462" i="2"/>
  <c r="V536" i="2"/>
  <c r="R570" i="2"/>
  <c r="P868" i="5"/>
  <c r="R597" i="2"/>
  <c r="P919" i="5"/>
  <c r="Q619" i="2"/>
  <c r="P537" i="5"/>
  <c r="Y388" i="2"/>
  <c r="AH422" i="2"/>
  <c r="AD656" i="5"/>
  <c r="AH421" i="2"/>
  <c r="AD660" i="4"/>
  <c r="AD656" i="4"/>
  <c r="R438" i="2"/>
  <c r="P676" i="5"/>
  <c r="R476" i="2"/>
  <c r="P739" i="5"/>
  <c r="Q559" i="2"/>
  <c r="O491" i="5"/>
  <c r="Q386" i="2"/>
  <c r="AI406" i="2"/>
  <c r="AE636" i="4"/>
  <c r="AI439" i="2"/>
  <c r="O677" i="5"/>
  <c r="R439" i="2"/>
  <c r="AE677" i="4"/>
  <c r="AG472" i="2"/>
  <c r="O731" i="5"/>
  <c r="AB573" i="2"/>
  <c r="X874" i="5"/>
  <c r="O875" i="5"/>
  <c r="X875" i="4"/>
  <c r="O875" i="4"/>
  <c r="AD598" i="2"/>
  <c r="AG920" i="5"/>
  <c r="AH920" i="5"/>
  <c r="O920" i="5"/>
  <c r="Z920" i="4"/>
  <c r="O920" i="4"/>
  <c r="P920" i="4"/>
  <c r="AD621" i="2"/>
  <c r="AG954" i="5"/>
  <c r="AH954" i="5"/>
  <c r="O954" i="5"/>
  <c r="Z954" i="4"/>
  <c r="O954" i="4"/>
  <c r="P954" i="4"/>
  <c r="AD655" i="2"/>
  <c r="AG992" i="5"/>
  <c r="AH992" i="5"/>
  <c r="O992" i="5"/>
  <c r="Z992" i="4"/>
  <c r="O992" i="4"/>
  <c r="P992" i="4"/>
  <c r="AE1030" i="5"/>
  <c r="AI676" i="2"/>
  <c r="N1035" i="9"/>
  <c r="R38" i="2"/>
  <c r="P82" i="5"/>
  <c r="AI382" i="2"/>
  <c r="AE607" i="5"/>
  <c r="AE608" i="4"/>
  <c r="V391" i="2"/>
  <c r="R621" i="4"/>
  <c r="AD318" i="2"/>
  <c r="O533" i="5"/>
  <c r="Z533" i="4"/>
  <c r="O533" i="4"/>
  <c r="P533" i="4"/>
  <c r="AD345" i="2"/>
  <c r="O560" i="5"/>
  <c r="Z560" i="4"/>
  <c r="O560" i="4"/>
  <c r="P560" i="4"/>
  <c r="R592" i="5"/>
  <c r="V369" i="2"/>
  <c r="Z493" i="2"/>
  <c r="O771" i="5"/>
  <c r="V771" i="4"/>
  <c r="O771" i="4"/>
  <c r="P771" i="4"/>
  <c r="AD601" i="2"/>
  <c r="O927" i="5"/>
  <c r="AG927" i="5"/>
  <c r="AH927" i="5"/>
  <c r="Z927" i="4"/>
  <c r="AB112" i="2"/>
  <c r="X212" i="5"/>
  <c r="AB111" i="2"/>
  <c r="R196" i="2"/>
  <c r="P335" i="5"/>
  <c r="R320" i="2"/>
  <c r="P535" i="5"/>
  <c r="AI399" i="2"/>
  <c r="AE629" i="4"/>
  <c r="O629" i="4"/>
  <c r="P629" i="4"/>
  <c r="AC442" i="2"/>
  <c r="AJ680" i="5"/>
  <c r="AJ680" i="4"/>
  <c r="Y680" i="4"/>
  <c r="Q514" i="2"/>
  <c r="AD532" i="2"/>
  <c r="O815" i="5"/>
  <c r="Z815" i="4"/>
  <c r="O815" i="4"/>
  <c r="P815" i="4"/>
  <c r="AD608" i="2"/>
  <c r="O934" i="5"/>
  <c r="AG934" i="5"/>
  <c r="AH934" i="5"/>
  <c r="Z934" i="4"/>
  <c r="O934" i="4"/>
  <c r="P934" i="4"/>
  <c r="N963" i="5"/>
  <c r="Q630" i="2"/>
  <c r="AD675" i="2"/>
  <c r="AH1026" i="5"/>
  <c r="O1026" i="5"/>
  <c r="AG1026" i="5"/>
  <c r="AK675" i="2"/>
  <c r="Z1026" i="4"/>
  <c r="O1026" i="4"/>
  <c r="P1026" i="4"/>
  <c r="R725" i="2"/>
  <c r="P1095" i="5"/>
  <c r="R1528" i="2"/>
  <c r="P155" i="7"/>
  <c r="R430" i="2"/>
  <c r="P668" i="5"/>
  <c r="X457" i="2"/>
  <c r="T702" i="5"/>
  <c r="X450" i="2"/>
  <c r="T712" i="4"/>
  <c r="T702" i="4"/>
  <c r="R477" i="2"/>
  <c r="P740" i="5"/>
  <c r="R499" i="2"/>
  <c r="P777" i="5"/>
  <c r="Q701" i="2"/>
  <c r="P1063" i="5"/>
  <c r="R1459" i="2"/>
  <c r="P32" i="7"/>
  <c r="R1519" i="2"/>
  <c r="P140" i="7"/>
  <c r="AK723" i="5"/>
  <c r="Z497" i="2"/>
  <c r="V773" i="5"/>
  <c r="Z495" i="2"/>
  <c r="O775" i="5"/>
  <c r="V775" i="4"/>
  <c r="O775" i="4"/>
  <c r="AD521" i="2"/>
  <c r="E636" i="6"/>
  <c r="F636" i="6"/>
  <c r="O804" i="5"/>
  <c r="Z804" i="4"/>
  <c r="O804" i="4"/>
  <c r="AB537" i="2"/>
  <c r="O826" i="5"/>
  <c r="X823" i="5"/>
  <c r="X826" i="4"/>
  <c r="AB566" i="2"/>
  <c r="O864" i="5"/>
  <c r="X864" i="4"/>
  <c r="O864" i="4"/>
  <c r="P864" i="4"/>
  <c r="AB999" i="5"/>
  <c r="AF660" i="2"/>
  <c r="AD670" i="2"/>
  <c r="O1012" i="5"/>
  <c r="AG1012" i="5"/>
  <c r="AG1012" i="4"/>
  <c r="AH1012" i="5"/>
  <c r="Z1012" i="4"/>
  <c r="O1012" i="4"/>
  <c r="P1012" i="4"/>
  <c r="AH686" i="2"/>
  <c r="AD1043" i="4"/>
  <c r="AD1030" i="4"/>
  <c r="Q1456" i="2"/>
  <c r="O26" i="7"/>
  <c r="Q1516" i="2"/>
  <c r="O134" i="7"/>
  <c r="O625" i="5"/>
  <c r="Q1549" i="2"/>
  <c r="O197" i="7"/>
  <c r="R1605" i="2"/>
  <c r="P280" i="7"/>
  <c r="R1761" i="2"/>
  <c r="P528" i="7"/>
  <c r="R1805" i="2"/>
  <c r="P576" i="7"/>
  <c r="R1818" i="2"/>
  <c r="P596" i="7"/>
  <c r="R1832" i="2"/>
  <c r="P610" i="7"/>
  <c r="R1838" i="2"/>
  <c r="P620" i="7"/>
  <c r="V1942" i="2"/>
  <c r="V773" i="7"/>
  <c r="Z1942" i="2"/>
  <c r="R1512" i="2"/>
  <c r="P127" i="7"/>
  <c r="O124" i="7"/>
  <c r="R1538" i="2"/>
  <c r="P176" i="7"/>
  <c r="O173" i="7"/>
  <c r="R1556" i="2"/>
  <c r="P207" i="7"/>
  <c r="R1664" i="2"/>
  <c r="P364" i="7"/>
  <c r="R1699" i="2"/>
  <c r="P413" i="7"/>
  <c r="R1733" i="2"/>
  <c r="P478" i="7"/>
  <c r="Q1479" i="2"/>
  <c r="O72" i="7"/>
  <c r="N69" i="7"/>
  <c r="Q1478" i="2"/>
  <c r="Q1587" i="2"/>
  <c r="O259" i="7"/>
  <c r="R1771" i="2"/>
  <c r="P538" i="7"/>
  <c r="AA592" i="7"/>
  <c r="AE1817" i="2"/>
  <c r="R1834" i="2"/>
  <c r="P612" i="7"/>
  <c r="AI1851" i="2"/>
  <c r="AI1899" i="2"/>
  <c r="AE707" i="4"/>
  <c r="Q1597" i="2"/>
  <c r="O269" i="7"/>
  <c r="Q1732" i="2"/>
  <c r="N474" i="7"/>
  <c r="Q1731" i="2"/>
  <c r="R1757" i="2"/>
  <c r="P524" i="7"/>
  <c r="AD1798" i="2"/>
  <c r="O565" i="7"/>
  <c r="Z565" i="4"/>
  <c r="O565" i="4"/>
  <c r="P565" i="4"/>
  <c r="Z1836" i="2"/>
  <c r="V614" i="7"/>
  <c r="Z1835" i="2"/>
  <c r="AI1845" i="2"/>
  <c r="AE627" i="4"/>
  <c r="Q1859" i="2"/>
  <c r="N641" i="7"/>
  <c r="Q1858" i="2"/>
  <c r="AI1884" i="2"/>
  <c r="Q1899" i="2"/>
  <c r="R1906" i="2"/>
  <c r="P714" i="7"/>
  <c r="O713" i="7"/>
  <c r="AJ663" i="4"/>
  <c r="R1542" i="2"/>
  <c r="P183" i="7"/>
  <c r="R1618" i="2"/>
  <c r="P298" i="7"/>
  <c r="AG1742" i="2"/>
  <c r="O498" i="7"/>
  <c r="AC495" i="7"/>
  <c r="N61" i="7"/>
  <c r="Q1473" i="2"/>
  <c r="R1498" i="2"/>
  <c r="P104" i="7"/>
  <c r="X212" i="7"/>
  <c r="AB1559" i="2"/>
  <c r="Q1578" i="2"/>
  <c r="N242" i="7"/>
  <c r="Q1577" i="2"/>
  <c r="R1604" i="2"/>
  <c r="P279" i="7"/>
  <c r="Q1656" i="2"/>
  <c r="O352" i="7"/>
  <c r="P466" i="7"/>
  <c r="N517" i="7"/>
  <c r="R1775" i="2"/>
  <c r="P542" i="7"/>
  <c r="AJ1836" i="2"/>
  <c r="AE614" i="7"/>
  <c r="AI1835" i="2"/>
  <c r="R1852" i="2"/>
  <c r="P635" i="7"/>
  <c r="AJ676" i="4"/>
  <c r="R1900" i="2"/>
  <c r="P708" i="7"/>
  <c r="AI1911" i="2"/>
  <c r="AE719" i="4"/>
  <c r="P753" i="7"/>
  <c r="R1576" i="2"/>
  <c r="P240" i="7"/>
  <c r="R1616" i="2"/>
  <c r="P296" i="7"/>
  <c r="N504" i="7"/>
  <c r="Q1745" i="2"/>
  <c r="V1858" i="2"/>
  <c r="Y641" i="7"/>
  <c r="V2107" i="2"/>
  <c r="R999" i="7"/>
  <c r="V2106" i="2"/>
  <c r="Q2123" i="2"/>
  <c r="Q1918" i="2"/>
  <c r="T2043" i="2"/>
  <c r="AK2043" i="2"/>
  <c r="AA2062" i="2"/>
  <c r="W944" i="7"/>
  <c r="R2093" i="2"/>
  <c r="P980" i="7"/>
  <c r="R2097" i="2"/>
  <c r="P984" i="7"/>
  <c r="Q2150" i="2"/>
  <c r="N1067" i="7"/>
  <c r="Q2149" i="2"/>
  <c r="AK692" i="4"/>
  <c r="T2079" i="2"/>
  <c r="AK2079" i="2"/>
  <c r="R2085" i="2"/>
  <c r="P972" i="7"/>
  <c r="R2110" i="2"/>
  <c r="P1006" i="7"/>
  <c r="AD2123" i="2"/>
  <c r="AH1034" i="7"/>
  <c r="O1034" i="7"/>
  <c r="AG1034" i="7"/>
  <c r="Z1034" i="4"/>
  <c r="O237" i="4"/>
  <c r="Q1984" i="2"/>
  <c r="N823" i="7"/>
  <c r="R2049" i="2"/>
  <c r="P928" i="7"/>
  <c r="AK2055" i="2"/>
  <c r="S2055" i="2"/>
  <c r="R2067" i="2"/>
  <c r="P953" i="7"/>
  <c r="Z2169" i="2"/>
  <c r="O1093" i="7"/>
  <c r="P156" i="7"/>
  <c r="AG1960" i="2"/>
  <c r="AC796" i="4"/>
  <c r="V2041" i="2"/>
  <c r="AG2062" i="2"/>
  <c r="AC944" i="7"/>
  <c r="V2143" i="2"/>
  <c r="R1055" i="7"/>
  <c r="V2141" i="2"/>
  <c r="AD2082" i="2"/>
  <c r="AH969" i="7"/>
  <c r="AL2082" i="2"/>
  <c r="O969" i="7"/>
  <c r="AG969" i="7"/>
  <c r="T2101" i="2"/>
  <c r="AK2101" i="2"/>
  <c r="O1035" i="7"/>
  <c r="P1072" i="7"/>
  <c r="R1935" i="2"/>
  <c r="P761" i="7"/>
  <c r="O758" i="7"/>
  <c r="Q1963" i="2"/>
  <c r="N798" i="7"/>
  <c r="X862" i="7"/>
  <c r="AB2011" i="2"/>
  <c r="Q2048" i="2"/>
  <c r="N923" i="7"/>
  <c r="Q2047" i="2"/>
  <c r="AD2054" i="2"/>
  <c r="AH933" i="7"/>
  <c r="O933" i="7"/>
  <c r="AG933" i="7"/>
  <c r="Z933" i="4"/>
  <c r="O933" i="4"/>
  <c r="P933" i="4"/>
  <c r="N1003" i="7"/>
  <c r="R2134" i="2"/>
  <c r="P1045" i="7"/>
  <c r="R2172" i="2"/>
  <c r="P1096" i="7"/>
  <c r="AL2104" i="2"/>
  <c r="T2134" i="2"/>
  <c r="R1969" i="2"/>
  <c r="P805" i="7"/>
  <c r="AH1011" i="7"/>
  <c r="AL2115" i="2"/>
  <c r="P318" i="4"/>
  <c r="U891" i="4"/>
  <c r="U889" i="4"/>
  <c r="AB1264" i="2"/>
  <c r="O832" i="9"/>
  <c r="X829" i="9"/>
  <c r="AB1263" i="2"/>
  <c r="AB1266" i="2"/>
  <c r="O834" i="9"/>
  <c r="AB1984" i="2"/>
  <c r="X823" i="7"/>
  <c r="O826" i="7"/>
  <c r="Z2019" i="2"/>
  <c r="V871" i="7"/>
  <c r="Z2018" i="2"/>
  <c r="AD117" i="10"/>
  <c r="V769" i="2"/>
  <c r="R94" i="9"/>
  <c r="V768" i="2"/>
  <c r="Q828" i="2"/>
  <c r="O199" i="9"/>
  <c r="Q774" i="2"/>
  <c r="O103" i="9"/>
  <c r="Q830" i="2"/>
  <c r="O204" i="9"/>
  <c r="N201" i="9"/>
  <c r="Q829" i="2"/>
  <c r="Q862" i="2"/>
  <c r="O257" i="9"/>
  <c r="R896" i="2"/>
  <c r="P299" i="9"/>
  <c r="Q749" i="2"/>
  <c r="O59" i="9"/>
  <c r="P140" i="9"/>
  <c r="Q913" i="2"/>
  <c r="O324" i="9"/>
  <c r="R886" i="2"/>
  <c r="P284" i="9"/>
  <c r="AD29" i="6"/>
  <c r="Q771" i="2"/>
  <c r="O100" i="9"/>
  <c r="P116" i="9"/>
  <c r="Q835" i="2"/>
  <c r="O209" i="9"/>
  <c r="Q867" i="2"/>
  <c r="O262" i="9"/>
  <c r="P280" i="9"/>
  <c r="R1000" i="2"/>
  <c r="P457" i="9"/>
  <c r="R845" i="2"/>
  <c r="P228" i="9"/>
  <c r="Q955" i="2"/>
  <c r="O388" i="9"/>
  <c r="R933" i="2"/>
  <c r="P352" i="9"/>
  <c r="R998" i="2"/>
  <c r="P454" i="9"/>
  <c r="AC1095" i="2"/>
  <c r="AJ596" i="9"/>
  <c r="AK596" i="9"/>
  <c r="O596" i="9"/>
  <c r="R842" i="2"/>
  <c r="P222" i="9"/>
  <c r="R937" i="2"/>
  <c r="P360" i="9"/>
  <c r="O357" i="9"/>
  <c r="R1086" i="2"/>
  <c r="P580" i="9"/>
  <c r="R1101" i="2"/>
  <c r="P602" i="9"/>
  <c r="AI1111" i="2"/>
  <c r="Y1146" i="2"/>
  <c r="U656" i="9"/>
  <c r="Y1145" i="2"/>
  <c r="AD1181" i="2"/>
  <c r="Z702" i="9"/>
  <c r="AD1174" i="2"/>
  <c r="R1216" i="2"/>
  <c r="P770" i="9"/>
  <c r="Y1280" i="2"/>
  <c r="U821" i="9"/>
  <c r="Y1259" i="2"/>
  <c r="R927" i="2"/>
  <c r="P346" i="9"/>
  <c r="AF1018" i="2"/>
  <c r="AB493" i="9"/>
  <c r="AF1017" i="2"/>
  <c r="R1051" i="2"/>
  <c r="P541" i="9"/>
  <c r="R1089" i="2"/>
  <c r="P583" i="9"/>
  <c r="Z1146" i="2"/>
  <c r="V656" i="9"/>
  <c r="Z1145" i="2"/>
  <c r="R762" i="2"/>
  <c r="P81" i="9"/>
  <c r="P332" i="9"/>
  <c r="R996" i="2"/>
  <c r="P452" i="9"/>
  <c r="O449" i="9"/>
  <c r="AD1056" i="2"/>
  <c r="O546" i="9"/>
  <c r="AI1096" i="2"/>
  <c r="AK597" i="9"/>
  <c r="O597" i="9"/>
  <c r="U1113" i="2"/>
  <c r="Q614" i="9"/>
  <c r="U1112" i="2"/>
  <c r="R1143" i="2"/>
  <c r="P649" i="9"/>
  <c r="AC1158" i="2"/>
  <c r="AJ672" i="9"/>
  <c r="AK672" i="9"/>
  <c r="O672" i="9"/>
  <c r="AD1248" i="2"/>
  <c r="O807" i="9"/>
  <c r="Q786" i="2"/>
  <c r="O121" i="9"/>
  <c r="N118" i="9"/>
  <c r="Q785" i="2"/>
  <c r="Q856" i="2"/>
  <c r="N242" i="9"/>
  <c r="Q854" i="2"/>
  <c r="R910" i="2"/>
  <c r="P321" i="9"/>
  <c r="R1042" i="2"/>
  <c r="P532" i="9"/>
  <c r="O620" i="9"/>
  <c r="R1136" i="2"/>
  <c r="P642" i="9"/>
  <c r="R1162" i="2"/>
  <c r="P676" i="9"/>
  <c r="AE1182" i="2"/>
  <c r="AA712" i="9"/>
  <c r="AE713" i="9"/>
  <c r="AI1182" i="2"/>
  <c r="F550" i="10"/>
  <c r="AE550" i="10"/>
  <c r="AF550" i="10"/>
  <c r="R1016" i="2"/>
  <c r="P491" i="9"/>
  <c r="Z1026" i="2"/>
  <c r="AC510" i="9"/>
  <c r="N510" i="9"/>
  <c r="Q1026" i="2"/>
  <c r="V510" i="4"/>
  <c r="N510" i="4"/>
  <c r="R1066" i="2"/>
  <c r="P556" i="9"/>
  <c r="AI1107" i="2"/>
  <c r="AE607" i="9"/>
  <c r="AI1106" i="2"/>
  <c r="AC1120" i="2"/>
  <c r="AK625" i="9"/>
  <c r="O625" i="9"/>
  <c r="AJ625" i="9"/>
  <c r="AH1181" i="2"/>
  <c r="AC702" i="9"/>
  <c r="AG1174" i="2"/>
  <c r="Z1223" i="2"/>
  <c r="O777" i="9"/>
  <c r="V777" i="4"/>
  <c r="O777" i="4"/>
  <c r="P777" i="4"/>
  <c r="Q823" i="2"/>
  <c r="O194" i="9"/>
  <c r="N191" i="9"/>
  <c r="R939" i="2"/>
  <c r="P362" i="9"/>
  <c r="O435" i="9"/>
  <c r="R1032" i="2"/>
  <c r="P522" i="9"/>
  <c r="R1075" i="2"/>
  <c r="P565" i="9"/>
  <c r="AI1101" i="2"/>
  <c r="AK602" i="9"/>
  <c r="AI1119" i="2"/>
  <c r="AK624" i="9"/>
  <c r="AE624" i="4"/>
  <c r="V1153" i="2"/>
  <c r="Y667" i="9"/>
  <c r="AB1261" i="2"/>
  <c r="O826" i="9"/>
  <c r="X823" i="9"/>
  <c r="N108" i="9"/>
  <c r="Q778" i="2"/>
  <c r="X1146" i="2"/>
  <c r="T656" i="9"/>
  <c r="X1145" i="2"/>
  <c r="AD1351" i="2"/>
  <c r="AH961" i="9"/>
  <c r="AL1351" i="2"/>
  <c r="AG961" i="9"/>
  <c r="O961" i="9"/>
  <c r="AD1379" i="2"/>
  <c r="AH993" i="9"/>
  <c r="AL1379" i="2"/>
  <c r="AG993" i="9"/>
  <c r="O993" i="9"/>
  <c r="R1395" i="2"/>
  <c r="P1014" i="9"/>
  <c r="T1400" i="2"/>
  <c r="AK1400" i="2"/>
  <c r="Q1240" i="2"/>
  <c r="N798" i="9"/>
  <c r="AD1341" i="2"/>
  <c r="O950" i="9"/>
  <c r="AG950" i="9"/>
  <c r="AH950" i="9"/>
  <c r="AL1341" i="2"/>
  <c r="Z949" i="9"/>
  <c r="T1368" i="2"/>
  <c r="AK1368" i="2"/>
  <c r="V1435" i="2"/>
  <c r="V1082" i="9"/>
  <c r="Z1435" i="2"/>
  <c r="R618" i="9"/>
  <c r="R1274" i="2"/>
  <c r="P845" i="9"/>
  <c r="AD1335" i="2"/>
  <c r="AG937" i="9"/>
  <c r="O937" i="9"/>
  <c r="AH937" i="9"/>
  <c r="AL1335" i="2"/>
  <c r="AD1346" i="2"/>
  <c r="AG956" i="9"/>
  <c r="O956" i="9"/>
  <c r="AH956" i="9"/>
  <c r="Z956" i="4"/>
  <c r="O956" i="4"/>
  <c r="P956" i="4"/>
  <c r="T1398" i="2"/>
  <c r="AK1398" i="2"/>
  <c r="Q61" i="2"/>
  <c r="O121" i="5"/>
  <c r="N118" i="5"/>
  <c r="Q60" i="2"/>
  <c r="Q227" i="2"/>
  <c r="O385" i="5"/>
  <c r="N382" i="5"/>
  <c r="T1360" i="2"/>
  <c r="AK1360" i="2"/>
  <c r="R1404" i="2"/>
  <c r="P1038" i="9"/>
  <c r="Q42" i="2"/>
  <c r="O90" i="5"/>
  <c r="Q110" i="2"/>
  <c r="O209" i="5"/>
  <c r="AD311" i="2"/>
  <c r="O526" i="5"/>
  <c r="Z526" i="4"/>
  <c r="O526" i="4"/>
  <c r="P526" i="4"/>
  <c r="AC1144" i="2"/>
  <c r="AJ653" i="9"/>
  <c r="AK653" i="9"/>
  <c r="O653" i="9"/>
  <c r="Q52" i="2"/>
  <c r="O106" i="5"/>
  <c r="R91" i="2"/>
  <c r="P177" i="5"/>
  <c r="R108" i="2"/>
  <c r="P207" i="5"/>
  <c r="Q148" i="2"/>
  <c r="O268" i="5"/>
  <c r="R269" i="2"/>
  <c r="R1337" i="2"/>
  <c r="P942" i="9"/>
  <c r="AL1113" i="2"/>
  <c r="T1113" i="2"/>
  <c r="AG614" i="9"/>
  <c r="AD1377" i="2"/>
  <c r="AH991" i="9"/>
  <c r="AL1377" i="2"/>
  <c r="Z990" i="9"/>
  <c r="O991" i="9"/>
  <c r="AG991" i="9"/>
  <c r="T1404" i="2"/>
  <c r="AK1404" i="2"/>
  <c r="P1064" i="9"/>
  <c r="Q56" i="2"/>
  <c r="N108" i="5"/>
  <c r="Q53" i="2"/>
  <c r="Q201" i="2"/>
  <c r="N342" i="5"/>
  <c r="O345" i="5"/>
  <c r="P366" i="5"/>
  <c r="Q238" i="2"/>
  <c r="O396" i="5"/>
  <c r="AC289" i="2"/>
  <c r="AI489" i="5"/>
  <c r="AJ489" i="5"/>
  <c r="O489" i="5"/>
  <c r="Y489" i="4"/>
  <c r="AD324" i="2"/>
  <c r="O539" i="5"/>
  <c r="Z539" i="4"/>
  <c r="O539" i="4"/>
  <c r="P539" i="4"/>
  <c r="AD363" i="2"/>
  <c r="O582" i="5"/>
  <c r="Z582" i="4"/>
  <c r="O582" i="4"/>
  <c r="P582" i="4"/>
  <c r="AC404" i="2"/>
  <c r="AJ634" i="5"/>
  <c r="Y634" i="4"/>
  <c r="AC1138" i="2"/>
  <c r="E408" i="10"/>
  <c r="AE408" i="10"/>
  <c r="AJ644" i="9"/>
  <c r="AK644" i="9"/>
  <c r="O644" i="9"/>
  <c r="O641" i="9"/>
  <c r="AC1186" i="2"/>
  <c r="AJ717" i="9"/>
  <c r="AK717" i="9"/>
  <c r="Y716" i="9"/>
  <c r="O717" i="9"/>
  <c r="AB1267" i="2"/>
  <c r="O835" i="9"/>
  <c r="R1322" i="2"/>
  <c r="P920" i="9"/>
  <c r="AI1339" i="2"/>
  <c r="AE944" i="9"/>
  <c r="AD1406" i="2"/>
  <c r="AG1040" i="9"/>
  <c r="O1040" i="9"/>
  <c r="AH1040" i="9"/>
  <c r="AL1406" i="2"/>
  <c r="R58" i="2"/>
  <c r="P115" i="5"/>
  <c r="Q139" i="2"/>
  <c r="O259" i="5"/>
  <c r="Q187" i="2"/>
  <c r="O323" i="5"/>
  <c r="Q282" i="2"/>
  <c r="N469" i="5"/>
  <c r="Q281" i="2"/>
  <c r="Q371" i="2"/>
  <c r="AD319" i="2"/>
  <c r="O534" i="5"/>
  <c r="Z534" i="4"/>
  <c r="O534" i="4"/>
  <c r="P534" i="4"/>
  <c r="Q538" i="2"/>
  <c r="N823" i="5"/>
  <c r="R620" i="2"/>
  <c r="E19" i="14"/>
  <c r="P953" i="5"/>
  <c r="AG669" i="2"/>
  <c r="AC1011" i="4"/>
  <c r="R143" i="2"/>
  <c r="P263" i="5"/>
  <c r="R424" i="2"/>
  <c r="O661" i="5"/>
  <c r="P662" i="5"/>
  <c r="R447" i="2"/>
  <c r="AJ491" i="5"/>
  <c r="R382" i="2"/>
  <c r="P608" i="5"/>
  <c r="X388" i="2"/>
  <c r="T614" i="5"/>
  <c r="X387" i="2"/>
  <c r="AC423" i="2"/>
  <c r="AJ661" i="5"/>
  <c r="AK661" i="5"/>
  <c r="AI459" i="2"/>
  <c r="AE714" i="4"/>
  <c r="Z474" i="2"/>
  <c r="AC733" i="5"/>
  <c r="N733" i="5"/>
  <c r="Q474" i="2"/>
  <c r="V733" i="4"/>
  <c r="N733" i="4"/>
  <c r="W513" i="2"/>
  <c r="S792" i="5"/>
  <c r="S796" i="4"/>
  <c r="S792" i="4"/>
  <c r="R554" i="2"/>
  <c r="P849" i="5"/>
  <c r="N979" i="5"/>
  <c r="Q646" i="2"/>
  <c r="AK656" i="2"/>
  <c r="AK677" i="2"/>
  <c r="AG1034" i="4"/>
  <c r="V1088" i="4"/>
  <c r="AL1370" i="2"/>
  <c r="R348" i="2"/>
  <c r="P563" i="5"/>
  <c r="T422" i="2"/>
  <c r="AL422" i="2"/>
  <c r="AH656" i="5"/>
  <c r="AH660" i="4"/>
  <c r="AH656" i="4"/>
  <c r="N798" i="5"/>
  <c r="Q515" i="2"/>
  <c r="T1347" i="2"/>
  <c r="AC386" i="2"/>
  <c r="AJ612" i="5"/>
  <c r="O612" i="5"/>
  <c r="AK612" i="5"/>
  <c r="Y612" i="4"/>
  <c r="Z498" i="2"/>
  <c r="O776" i="5"/>
  <c r="V776" i="4"/>
  <c r="O776" i="4"/>
  <c r="P776" i="4"/>
  <c r="T602" i="2"/>
  <c r="AK602" i="2"/>
  <c r="AD619" i="2"/>
  <c r="O952" i="5"/>
  <c r="AG952" i="5"/>
  <c r="AH952" i="5"/>
  <c r="Z952" i="4"/>
  <c r="O952" i="4"/>
  <c r="P952" i="4"/>
  <c r="AD634" i="2"/>
  <c r="AG967" i="5"/>
  <c r="AK634" i="2"/>
  <c r="O967" i="5"/>
  <c r="R634" i="2"/>
  <c r="E26" i="14"/>
  <c r="AH967" i="5"/>
  <c r="AH967" i="4"/>
  <c r="Z967" i="4"/>
  <c r="O967" i="4"/>
  <c r="P967" i="4"/>
  <c r="AD648" i="2"/>
  <c r="O981" i="5"/>
  <c r="AG981" i="5"/>
  <c r="AH981" i="5"/>
  <c r="Z981" i="4"/>
  <c r="O981" i="4"/>
  <c r="P981" i="4"/>
  <c r="AC402" i="2"/>
  <c r="AJ632" i="5"/>
  <c r="AJ632" i="4"/>
  <c r="O632" i="5"/>
  <c r="AK632" i="5"/>
  <c r="Y632" i="4"/>
  <c r="O632" i="4"/>
  <c r="AB538" i="2"/>
  <c r="O827" i="5"/>
  <c r="X827" i="4"/>
  <c r="O827" i="4"/>
  <c r="P827" i="4"/>
  <c r="AB562" i="2"/>
  <c r="O860" i="5"/>
  <c r="X860" i="4"/>
  <c r="O860" i="4"/>
  <c r="AD595" i="2"/>
  <c r="O917" i="5"/>
  <c r="AG917" i="5"/>
  <c r="AH917" i="5"/>
  <c r="Z917" i="4"/>
  <c r="AL610" i="2"/>
  <c r="AH936" i="4"/>
  <c r="AC643" i="2"/>
  <c r="Y976" i="4"/>
  <c r="AD685" i="2"/>
  <c r="O1042" i="5"/>
  <c r="AG1042" i="5"/>
  <c r="AH1042" i="5"/>
  <c r="Z1042" i="4"/>
  <c r="O1042" i="4"/>
  <c r="P1042" i="4"/>
  <c r="R704" i="2"/>
  <c r="P1070" i="5"/>
  <c r="O1067" i="5"/>
  <c r="Z726" i="2"/>
  <c r="O1096" i="5"/>
  <c r="U1096" i="4"/>
  <c r="V1096" i="4"/>
  <c r="O1096" i="4"/>
  <c r="P1096" i="4"/>
  <c r="Q1493" i="2"/>
  <c r="N96" i="7"/>
  <c r="O99" i="7"/>
  <c r="R1536" i="2"/>
  <c r="P171" i="7"/>
  <c r="T1363" i="2"/>
  <c r="Q254" i="2"/>
  <c r="O421" i="5"/>
  <c r="R312" i="2"/>
  <c r="P527" i="5"/>
  <c r="S388" i="2"/>
  <c r="AK388" i="2"/>
  <c r="AG614" i="5"/>
  <c r="S387" i="2"/>
  <c r="AC414" i="2"/>
  <c r="E408" i="6"/>
  <c r="D408" i="6"/>
  <c r="AJ644" i="5"/>
  <c r="AK644" i="5"/>
  <c r="O644" i="5"/>
  <c r="Y644" i="4"/>
  <c r="AF457" i="2"/>
  <c r="AB702" i="5"/>
  <c r="AF450" i="2"/>
  <c r="AB712" i="4"/>
  <c r="Q587" i="2"/>
  <c r="N891" i="5"/>
  <c r="R604" i="2"/>
  <c r="P930" i="5"/>
  <c r="T1408" i="2"/>
  <c r="R147" i="2"/>
  <c r="P267" i="5"/>
  <c r="AI398" i="2"/>
  <c r="AE628" i="4"/>
  <c r="AI432" i="2"/>
  <c r="AE670" i="4"/>
  <c r="AG457" i="2"/>
  <c r="AC702" i="5"/>
  <c r="AG450" i="2"/>
  <c r="AC712" i="4"/>
  <c r="R524" i="2"/>
  <c r="P807" i="5"/>
  <c r="AB541" i="2"/>
  <c r="O833" i="5"/>
  <c r="X833" i="4"/>
  <c r="O833" i="4"/>
  <c r="P833" i="4"/>
  <c r="AD624" i="2"/>
  <c r="AG957" i="5"/>
  <c r="AH957" i="5"/>
  <c r="O957" i="5"/>
  <c r="Z957" i="4"/>
  <c r="O957" i="4"/>
  <c r="P957" i="4"/>
  <c r="AB661" i="2"/>
  <c r="X999" i="5"/>
  <c r="AB660" i="2"/>
  <c r="AD688" i="2"/>
  <c r="AG1045" i="5"/>
  <c r="AH1045" i="5"/>
  <c r="O1045" i="5"/>
  <c r="Z1045" i="4"/>
  <c r="O1045" i="4"/>
  <c r="P1045" i="4"/>
  <c r="U1544" i="2"/>
  <c r="Q186" i="7"/>
  <c r="U1543" i="2"/>
  <c r="R1608" i="2"/>
  <c r="P283" i="7"/>
  <c r="AD1762" i="2"/>
  <c r="O529" i="7"/>
  <c r="R1785" i="2"/>
  <c r="P552" i="7"/>
  <c r="AD1806" i="2"/>
  <c r="O577" i="7"/>
  <c r="AC1851" i="2"/>
  <c r="AJ634" i="7"/>
  <c r="AK634" i="7"/>
  <c r="O634" i="7"/>
  <c r="Q1512" i="2"/>
  <c r="N124" i="7"/>
  <c r="Q1511" i="2"/>
  <c r="Q1538" i="2"/>
  <c r="N173" i="7"/>
  <c r="Q1537" i="2"/>
  <c r="W1560" i="2"/>
  <c r="S212" i="7"/>
  <c r="Q1573" i="2"/>
  <c r="N234" i="7"/>
  <c r="O237" i="7"/>
  <c r="R1599" i="2"/>
  <c r="P274" i="7"/>
  <c r="O271" i="7"/>
  <c r="R1666" i="2"/>
  <c r="P366" i="7"/>
  <c r="R1705" i="2"/>
  <c r="P427" i="7"/>
  <c r="R724" i="2"/>
  <c r="P1094" i="5"/>
  <c r="Q1535" i="2"/>
  <c r="N167" i="7"/>
  <c r="Q1534" i="2"/>
  <c r="Q1735" i="2"/>
  <c r="Z517" i="7"/>
  <c r="AD1752" i="2"/>
  <c r="AD1772" i="2"/>
  <c r="O539" i="7"/>
  <c r="R1795" i="2"/>
  <c r="P562" i="7"/>
  <c r="AI1820" i="2"/>
  <c r="W1836" i="2"/>
  <c r="S614" i="7"/>
  <c r="AC1853" i="2"/>
  <c r="AJ636" i="7"/>
  <c r="AK636" i="7"/>
  <c r="O636" i="7"/>
  <c r="AC1867" i="2"/>
  <c r="AJ653" i="7"/>
  <c r="AK653" i="7"/>
  <c r="O653" i="7"/>
  <c r="AC1901" i="2"/>
  <c r="AJ709" i="7"/>
  <c r="AJ709" i="4"/>
  <c r="AK709" i="7"/>
  <c r="O709" i="7"/>
  <c r="Y709" i="4"/>
  <c r="O709" i="4"/>
  <c r="P709" i="4"/>
  <c r="R1510" i="2"/>
  <c r="P122" i="7"/>
  <c r="R1620" i="2"/>
  <c r="P300" i="7"/>
  <c r="R1600" i="2"/>
  <c r="P275" i="7"/>
  <c r="R1639" i="2"/>
  <c r="P330" i="7"/>
  <c r="O327" i="7"/>
  <c r="R1736" i="2"/>
  <c r="P488" i="7"/>
  <c r="AD1758" i="2"/>
  <c r="O525" i="7"/>
  <c r="R1781" i="2"/>
  <c r="P548" i="7"/>
  <c r="R1801" i="2"/>
  <c r="P572" i="7"/>
  <c r="AI1824" i="2"/>
  <c r="AH1836" i="2"/>
  <c r="AC614" i="7"/>
  <c r="AG1835" i="2"/>
  <c r="V1847" i="2"/>
  <c r="Y630" i="7"/>
  <c r="AI1861" i="2"/>
  <c r="AE644" i="4"/>
  <c r="AI1875" i="2"/>
  <c r="AE666" i="4"/>
  <c r="R1889" i="2"/>
  <c r="P680" i="7"/>
  <c r="AB2020" i="2"/>
  <c r="O875" i="7"/>
  <c r="AK663" i="5"/>
  <c r="AK663" i="4"/>
  <c r="R1715" i="2"/>
  <c r="AG1744" i="2"/>
  <c r="O500" i="7"/>
  <c r="AM1904" i="2"/>
  <c r="AH702" i="7"/>
  <c r="Q1481" i="2"/>
  <c r="O74" i="7"/>
  <c r="Q1658" i="2"/>
  <c r="O354" i="7"/>
  <c r="R1672" i="2"/>
  <c r="O374" i="7"/>
  <c r="P377" i="7"/>
  <c r="P404" i="7"/>
  <c r="P438" i="7"/>
  <c r="P477" i="7"/>
  <c r="AD1776" i="2"/>
  <c r="O543" i="7"/>
  <c r="Z543" i="4"/>
  <c r="O543" i="4"/>
  <c r="P543" i="4"/>
  <c r="R1803" i="2"/>
  <c r="P574" i="7"/>
  <c r="AI1819" i="2"/>
  <c r="AE597" i="4"/>
  <c r="Q1837" i="2"/>
  <c r="N618" i="7"/>
  <c r="AC1913" i="2"/>
  <c r="AJ721" i="7"/>
  <c r="AK721" i="7"/>
  <c r="O721" i="7"/>
  <c r="P755" i="7"/>
  <c r="R383" i="2"/>
  <c r="P609" i="5"/>
  <c r="AE1858" i="2"/>
  <c r="AE641" i="7"/>
  <c r="AI1858" i="2"/>
  <c r="Z1956" i="2"/>
  <c r="O787" i="7"/>
  <c r="V787" i="4"/>
  <c r="O787" i="4"/>
  <c r="P787" i="4"/>
  <c r="AD2102" i="2"/>
  <c r="AH993" i="7"/>
  <c r="AG993" i="7"/>
  <c r="O993" i="7"/>
  <c r="Z993" i="4"/>
  <c r="O993" i="4"/>
  <c r="P993" i="4"/>
  <c r="V2124" i="2"/>
  <c r="R1035" i="4"/>
  <c r="R2137" i="2"/>
  <c r="P1048" i="7"/>
  <c r="AG1918" i="2"/>
  <c r="O730" i="7"/>
  <c r="F636" i="8"/>
  <c r="AE636" i="8"/>
  <c r="R2043" i="2"/>
  <c r="P918" i="7"/>
  <c r="AB2062" i="2"/>
  <c r="X944" i="7"/>
  <c r="T2093" i="2"/>
  <c r="AK2093" i="2"/>
  <c r="Q2133" i="2"/>
  <c r="N1043" i="7"/>
  <c r="Q2132" i="2"/>
  <c r="AG1920" i="2"/>
  <c r="O732" i="7"/>
  <c r="Q1987" i="2"/>
  <c r="N829" i="7"/>
  <c r="Q1986" i="2"/>
  <c r="T2085" i="2"/>
  <c r="AK2085" i="2"/>
  <c r="P430" i="4"/>
  <c r="R1999" i="2"/>
  <c r="P847" i="7"/>
  <c r="T2040" i="2"/>
  <c r="AK2040" i="2"/>
  <c r="R2055" i="2"/>
  <c r="P934" i="7"/>
  <c r="T2075" i="2"/>
  <c r="AK2075" i="2"/>
  <c r="Z1950" i="2"/>
  <c r="O781" i="7"/>
  <c r="O773" i="7"/>
  <c r="V781" i="4"/>
  <c r="O781" i="4"/>
  <c r="P781" i="4"/>
  <c r="AJ944" i="7"/>
  <c r="AJ906" i="7"/>
  <c r="Y1030" i="7"/>
  <c r="AC2122" i="2"/>
  <c r="V2132" i="2"/>
  <c r="R1043" i="4"/>
  <c r="N689" i="7"/>
  <c r="Z1938" i="2"/>
  <c r="O769" i="7"/>
  <c r="X1960" i="2"/>
  <c r="T792" i="7"/>
  <c r="X1958" i="2"/>
  <c r="AD2088" i="2"/>
  <c r="AH975" i="7"/>
  <c r="O975" i="7"/>
  <c r="AG975" i="7"/>
  <c r="R2101" i="2"/>
  <c r="P992" i="7"/>
  <c r="R2155" i="2"/>
  <c r="P1079" i="7"/>
  <c r="AD1963" i="2"/>
  <c r="O799" i="7"/>
  <c r="Z799" i="4"/>
  <c r="O799" i="4"/>
  <c r="U2062" i="2"/>
  <c r="Q944" i="7"/>
  <c r="AD2068" i="2"/>
  <c r="AH954" i="7"/>
  <c r="AL2068" i="2"/>
  <c r="O954" i="7"/>
  <c r="AG954" i="7"/>
  <c r="AD2074" i="2"/>
  <c r="AH961" i="7"/>
  <c r="AL2074" i="2"/>
  <c r="O961" i="7"/>
  <c r="AG961" i="7"/>
  <c r="Z961" i="4"/>
  <c r="O961" i="4"/>
  <c r="P961" i="4"/>
  <c r="R2116" i="2"/>
  <c r="O1011" i="7"/>
  <c r="P1012" i="7"/>
  <c r="P164" i="4"/>
  <c r="P446" i="4"/>
  <c r="AA1960" i="2"/>
  <c r="W792" i="7"/>
  <c r="AA1958" i="2"/>
  <c r="W2062" i="2"/>
  <c r="S944" i="7"/>
  <c r="S948" i="4"/>
  <c r="P127" i="4"/>
  <c r="O124" i="4"/>
  <c r="P194" i="4"/>
  <c r="P295" i="4"/>
  <c r="P751" i="4"/>
  <c r="T2105" i="2"/>
  <c r="AB1988" i="2"/>
  <c r="O833" i="7"/>
  <c r="P802" i="7"/>
  <c r="R1977" i="2"/>
  <c r="O812" i="7"/>
  <c r="P813" i="7"/>
  <c r="AB540" i="2"/>
  <c r="O832" i="5"/>
  <c r="X832" i="4"/>
  <c r="AB587" i="2"/>
  <c r="X891" i="5"/>
  <c r="O894" i="5"/>
  <c r="X894" i="4"/>
  <c r="AB588" i="2"/>
  <c r="O895" i="5"/>
  <c r="X895" i="4"/>
  <c r="O895" i="4"/>
  <c r="P895" i="4"/>
  <c r="AB1990" i="2"/>
  <c r="O835" i="7"/>
  <c r="AB2027" i="2"/>
  <c r="O882" i="7"/>
  <c r="Z1983" i="2"/>
  <c r="V821" i="7"/>
  <c r="Z1982" i="2"/>
  <c r="R734" i="2"/>
  <c r="D408" i="10"/>
  <c r="AD408" i="10"/>
  <c r="AF408" i="10"/>
  <c r="R779" i="2"/>
  <c r="P111" i="9"/>
  <c r="O108" i="9"/>
  <c r="AD394" i="10"/>
  <c r="AF394" i="10"/>
  <c r="D394" i="10"/>
  <c r="Q776" i="2"/>
  <c r="O105" i="9"/>
  <c r="Q832" i="2"/>
  <c r="O206" i="9"/>
  <c r="Q864" i="2"/>
  <c r="O259" i="9"/>
  <c r="Q916" i="2"/>
  <c r="N327" i="9"/>
  <c r="Q915" i="2"/>
  <c r="D436" i="8"/>
  <c r="AD436" i="8"/>
  <c r="AF436" i="8"/>
  <c r="R798" i="2"/>
  <c r="P145" i="9"/>
  <c r="O142" i="9"/>
  <c r="Q841" i="2"/>
  <c r="O221" i="9"/>
  <c r="R964" i="2"/>
  <c r="R888" i="2"/>
  <c r="P286" i="9"/>
  <c r="AD1033" i="2"/>
  <c r="O523" i="9"/>
  <c r="Q735" i="2"/>
  <c r="N28" i="9"/>
  <c r="Q734" i="2"/>
  <c r="P31" i="9"/>
  <c r="Q773" i="2"/>
  <c r="O102" i="9"/>
  <c r="R788" i="2"/>
  <c r="P124" i="9"/>
  <c r="Q869" i="2"/>
  <c r="O264" i="9"/>
  <c r="P282" i="9"/>
  <c r="R847" i="2"/>
  <c r="P230" i="9"/>
  <c r="Q957" i="2"/>
  <c r="O390" i="9"/>
  <c r="Q937" i="2"/>
  <c r="N357" i="9"/>
  <c r="Q936" i="2"/>
  <c r="R1002" i="2"/>
  <c r="P461" i="9"/>
  <c r="AD1018" i="2"/>
  <c r="Z493" i="9"/>
  <c r="AD1017" i="2"/>
  <c r="AD1052" i="2"/>
  <c r="O542" i="9"/>
  <c r="Z542" i="4"/>
  <c r="O542" i="4"/>
  <c r="P542" i="4"/>
  <c r="AA1113" i="2"/>
  <c r="W614" i="9"/>
  <c r="AA1112" i="2"/>
  <c r="AG1146" i="2"/>
  <c r="AB656" i="9"/>
  <c r="AF1145" i="2"/>
  <c r="T1181" i="2"/>
  <c r="AL1181" i="2"/>
  <c r="AG702" i="9"/>
  <c r="R1281" i="2"/>
  <c r="P855" i="9"/>
  <c r="R1053" i="2"/>
  <c r="P543" i="9"/>
  <c r="AH1146" i="2"/>
  <c r="AC656" i="9"/>
  <c r="AG1145" i="2"/>
  <c r="Q762" i="2"/>
  <c r="N77" i="9"/>
  <c r="Q760" i="2"/>
  <c r="R958" i="2"/>
  <c r="P391" i="9"/>
  <c r="Q996" i="2"/>
  <c r="N449" i="9"/>
  <c r="Q995" i="2"/>
  <c r="R1062" i="2"/>
  <c r="P552" i="9"/>
  <c r="AC1100" i="2"/>
  <c r="O601" i="9"/>
  <c r="AJ601" i="9"/>
  <c r="AJ601" i="4"/>
  <c r="AK601" i="9"/>
  <c r="AK601" i="4"/>
  <c r="Y601" i="4"/>
  <c r="S1113" i="2"/>
  <c r="AK1113" i="2"/>
  <c r="AF614" i="9"/>
  <c r="AJ1112" i="2"/>
  <c r="R1161" i="2"/>
  <c r="P675" i="9"/>
  <c r="AC1188" i="2"/>
  <c r="AJ719" i="9"/>
  <c r="AK719" i="9"/>
  <c r="O719" i="9"/>
  <c r="R1206" i="2"/>
  <c r="P751" i="9"/>
  <c r="O748" i="9"/>
  <c r="R1230" i="2"/>
  <c r="P784" i="9"/>
  <c r="AD1252" i="2"/>
  <c r="O811" i="9"/>
  <c r="R984" i="2"/>
  <c r="P431" i="9"/>
  <c r="N621" i="9"/>
  <c r="Q1116" i="2"/>
  <c r="Q1192" i="2"/>
  <c r="N722" i="9"/>
  <c r="Q1191" i="2"/>
  <c r="AC1109" i="2"/>
  <c r="AJ610" i="9"/>
  <c r="AK610" i="9"/>
  <c r="O610" i="9"/>
  <c r="N630" i="9"/>
  <c r="Q1124" i="2"/>
  <c r="AC1151" i="2"/>
  <c r="O665" i="9"/>
  <c r="AJ665" i="9"/>
  <c r="AK665" i="9"/>
  <c r="AI1166" i="2"/>
  <c r="AC1183" i="2"/>
  <c r="AK714" i="9"/>
  <c r="Y713" i="9"/>
  <c r="O714" i="9"/>
  <c r="AJ714" i="9"/>
  <c r="Z1233" i="2"/>
  <c r="O787" i="9"/>
  <c r="W730" i="2"/>
  <c r="S16" i="9"/>
  <c r="V822" i="2"/>
  <c r="R189" i="9"/>
  <c r="V821" i="2"/>
  <c r="Z517" i="9"/>
  <c r="AD1029" i="2"/>
  <c r="AD1081" i="2"/>
  <c r="O575" i="9"/>
  <c r="AC1103" i="2"/>
  <c r="AJ604" i="9"/>
  <c r="AK604" i="9"/>
  <c r="O604" i="9"/>
  <c r="AC1121" i="2"/>
  <c r="AJ626" i="9"/>
  <c r="AK626" i="9"/>
  <c r="O626" i="9"/>
  <c r="Y626" i="4"/>
  <c r="O626" i="4"/>
  <c r="P626" i="4"/>
  <c r="W1214" i="2"/>
  <c r="T766" i="9"/>
  <c r="X1214" i="2"/>
  <c r="AB1265" i="2"/>
  <c r="O833" i="9"/>
  <c r="R858" i="2"/>
  <c r="P248" i="9"/>
  <c r="Q912" i="2"/>
  <c r="O323" i="9"/>
  <c r="R960" i="2"/>
  <c r="P393" i="9"/>
  <c r="R1040" i="2"/>
  <c r="P530" i="9"/>
  <c r="AD1073" i="2"/>
  <c r="O563" i="9"/>
  <c r="R1097" i="2"/>
  <c r="P598" i="9"/>
  <c r="R1172" i="2"/>
  <c r="P693" i="9"/>
  <c r="AA1181" i="2"/>
  <c r="W702" i="9"/>
  <c r="AA1174" i="2"/>
  <c r="T1395" i="2"/>
  <c r="AK1395" i="2"/>
  <c r="R1400" i="2"/>
  <c r="P1034" i="9"/>
  <c r="Y1116" i="2"/>
  <c r="U618" i="9"/>
  <c r="U621" i="4"/>
  <c r="AD1240" i="2"/>
  <c r="O799" i="9"/>
  <c r="Q1341" i="2"/>
  <c r="N949" i="9"/>
  <c r="T1358" i="2"/>
  <c r="AK1358" i="2"/>
  <c r="Z1441" i="2"/>
  <c r="O1088" i="9"/>
  <c r="R1034" i="2"/>
  <c r="P524" i="9"/>
  <c r="R1328" i="2"/>
  <c r="P930" i="9"/>
  <c r="Z1437" i="2"/>
  <c r="O1084" i="9"/>
  <c r="V1084" i="4"/>
  <c r="Q229" i="2"/>
  <c r="O387" i="5"/>
  <c r="R313" i="2"/>
  <c r="P528" i="5"/>
  <c r="R1154" i="2"/>
  <c r="P668" i="9"/>
  <c r="Z1217" i="2"/>
  <c r="O771" i="9"/>
  <c r="R1289" i="2"/>
  <c r="O862" i="9"/>
  <c r="P863" i="9"/>
  <c r="V1348" i="2"/>
  <c r="Z958" i="9"/>
  <c r="Q1394" i="2"/>
  <c r="N1011" i="9"/>
  <c r="Q1392" i="2"/>
  <c r="AL1407" i="2"/>
  <c r="AD314" i="2"/>
  <c r="O529" i="5"/>
  <c r="Z529" i="4"/>
  <c r="O529" i="4"/>
  <c r="P529" i="4"/>
  <c r="AL1328" i="2"/>
  <c r="AH930" i="4"/>
  <c r="S1409" i="2"/>
  <c r="AJ1409" i="2"/>
  <c r="AF1030" i="9"/>
  <c r="Q74" i="2"/>
  <c r="O146" i="5"/>
  <c r="R168" i="2"/>
  <c r="P296" i="5"/>
  <c r="R276" i="2"/>
  <c r="P460" i="5"/>
  <c r="O457" i="5"/>
  <c r="R339" i="2"/>
  <c r="P554" i="5"/>
  <c r="R392" i="2"/>
  <c r="P622" i="5"/>
  <c r="AC1147" i="2"/>
  <c r="AJ661" i="9"/>
  <c r="Z1431" i="2"/>
  <c r="O1078" i="9"/>
  <c r="AI1129" i="2"/>
  <c r="AI1179" i="2"/>
  <c r="AE710" i="4"/>
  <c r="AD1244" i="2"/>
  <c r="E603" i="10"/>
  <c r="O803" i="9"/>
  <c r="AL1336" i="2"/>
  <c r="AK1352" i="2"/>
  <c r="T1352" i="2"/>
  <c r="Q1377" i="2"/>
  <c r="N990" i="9"/>
  <c r="Q203" i="2"/>
  <c r="O347" i="5"/>
  <c r="AD366" i="2"/>
  <c r="O585" i="5"/>
  <c r="Z585" i="4"/>
  <c r="O585" i="4"/>
  <c r="P585" i="4"/>
  <c r="AI410" i="2"/>
  <c r="AE640" i="4"/>
  <c r="R1356" i="2"/>
  <c r="P966" i="9"/>
  <c r="AD1382" i="2"/>
  <c r="AG996" i="9"/>
  <c r="O996" i="9"/>
  <c r="AH996" i="9"/>
  <c r="AL1382" i="2"/>
  <c r="Z996" i="4"/>
  <c r="O996" i="4"/>
  <c r="P996" i="4"/>
  <c r="R1419" i="2"/>
  <c r="O1055" i="9"/>
  <c r="P1058" i="9"/>
  <c r="P1072" i="9"/>
  <c r="Q119" i="2"/>
  <c r="N224" i="5"/>
  <c r="Q118" i="2"/>
  <c r="R152" i="2"/>
  <c r="P275" i="5"/>
  <c r="Q167" i="2"/>
  <c r="N292" i="5"/>
  <c r="O295" i="5"/>
  <c r="Q189" i="2"/>
  <c r="O325" i="5"/>
  <c r="N484" i="5"/>
  <c r="AD353" i="2"/>
  <c r="O572" i="5"/>
  <c r="Z572" i="4"/>
  <c r="AJ411" i="2"/>
  <c r="AF641" i="4"/>
  <c r="AC467" i="2"/>
  <c r="AJ722" i="5"/>
  <c r="AK722" i="5"/>
  <c r="Q476" i="2"/>
  <c r="Q601" i="2"/>
  <c r="Q670" i="2"/>
  <c r="N1011" i="5"/>
  <c r="Q669" i="2"/>
  <c r="R1503" i="2"/>
  <c r="P112" i="7"/>
  <c r="T1415" i="2"/>
  <c r="AJ388" i="2"/>
  <c r="N877" i="5"/>
  <c r="Q575" i="2"/>
  <c r="V661" i="2"/>
  <c r="R999" i="5"/>
  <c r="V660" i="2"/>
  <c r="AM291" i="2"/>
  <c r="T291" i="2"/>
  <c r="AC381" i="2"/>
  <c r="O607" i="5"/>
  <c r="AC412" i="2"/>
  <c r="E371" i="6"/>
  <c r="D371" i="6"/>
  <c r="Y641" i="5"/>
  <c r="O642" i="5"/>
  <c r="AJ642" i="5"/>
  <c r="AJ642" i="4"/>
  <c r="AK642" i="5"/>
  <c r="AK642" i="4"/>
  <c r="Y642" i="4"/>
  <c r="AC449" i="2"/>
  <c r="AJ697" i="5"/>
  <c r="AJ697" i="4"/>
  <c r="AK697" i="5"/>
  <c r="AK697" i="4"/>
  <c r="O697" i="5"/>
  <c r="Y697" i="4"/>
  <c r="AE513" i="2"/>
  <c r="AA796" i="4"/>
  <c r="AD603" i="2"/>
  <c r="AG929" i="5"/>
  <c r="AH929" i="5"/>
  <c r="O929" i="5"/>
  <c r="Z929" i="4"/>
  <c r="O929" i="4"/>
  <c r="P929" i="4"/>
  <c r="N958" i="5"/>
  <c r="Q625" i="2"/>
  <c r="AD650" i="2"/>
  <c r="AG983" i="5"/>
  <c r="AH983" i="5"/>
  <c r="O983" i="5"/>
  <c r="Z983" i="4"/>
  <c r="O983" i="4"/>
  <c r="P983" i="4"/>
  <c r="R1370" i="2"/>
  <c r="P980" i="9"/>
  <c r="AI384" i="2"/>
  <c r="AE610" i="4"/>
  <c r="R399" i="2"/>
  <c r="P629" i="5"/>
  <c r="AJ150" i="17"/>
  <c r="Z300" i="2"/>
  <c r="AC509" i="5"/>
  <c r="N509" i="5"/>
  <c r="V509" i="4"/>
  <c r="R326" i="2"/>
  <c r="P541" i="5"/>
  <c r="R359" i="2"/>
  <c r="P578" i="5"/>
  <c r="AK620" i="2"/>
  <c r="AG953" i="4"/>
  <c r="AD637" i="2"/>
  <c r="O970" i="5"/>
  <c r="AG970" i="5"/>
  <c r="AH970" i="5"/>
  <c r="Z970" i="4"/>
  <c r="O970" i="4"/>
  <c r="P970" i="4"/>
  <c r="T649" i="2"/>
  <c r="AK649" i="2"/>
  <c r="AG982" i="4"/>
  <c r="R127" i="2"/>
  <c r="P239" i="5"/>
  <c r="AD323" i="2"/>
  <c r="O538" i="5"/>
  <c r="Z538" i="4"/>
  <c r="O538" i="4"/>
  <c r="P538" i="4"/>
  <c r="Q471" i="2"/>
  <c r="AB542" i="2"/>
  <c r="O834" i="5"/>
  <c r="X834" i="4"/>
  <c r="O834" i="4"/>
  <c r="P834" i="4"/>
  <c r="AL597" i="2"/>
  <c r="AD618" i="2"/>
  <c r="O951" i="5"/>
  <c r="AG951" i="5"/>
  <c r="AH951" i="5"/>
  <c r="Z951" i="4"/>
  <c r="O951" i="4"/>
  <c r="P951" i="4"/>
  <c r="R631" i="2"/>
  <c r="P964" i="5"/>
  <c r="R666" i="2"/>
  <c r="P1008" i="5"/>
  <c r="X686" i="2"/>
  <c r="T1043" i="4"/>
  <c r="T1030" i="4"/>
  <c r="P1080" i="5"/>
  <c r="Q1495" i="2"/>
  <c r="O101" i="7"/>
  <c r="R1541" i="2"/>
  <c r="P182" i="7"/>
  <c r="O179" i="7"/>
  <c r="P1070" i="9"/>
  <c r="V458" i="2"/>
  <c r="R712" i="5"/>
  <c r="R713" i="4"/>
  <c r="R482" i="2"/>
  <c r="O748" i="5"/>
  <c r="P751" i="5"/>
  <c r="R509" i="2"/>
  <c r="P787" i="5"/>
  <c r="R665" i="2"/>
  <c r="P1007" i="5"/>
  <c r="Q706" i="2"/>
  <c r="P1072" i="5"/>
  <c r="R1465" i="2"/>
  <c r="O44" i="7"/>
  <c r="P47" i="7"/>
  <c r="AD16" i="5"/>
  <c r="AH4" i="2"/>
  <c r="AH290" i="2"/>
  <c r="AJ490" i="5"/>
  <c r="AJ490" i="4"/>
  <c r="AD490" i="4"/>
  <c r="O490" i="4"/>
  <c r="AI416" i="2"/>
  <c r="AE646" i="4"/>
  <c r="O646" i="4"/>
  <c r="P646" i="4"/>
  <c r="AE458" i="2"/>
  <c r="AE713" i="5"/>
  <c r="AA712" i="5"/>
  <c r="AA713" i="4"/>
  <c r="Z507" i="2"/>
  <c r="O785" i="5"/>
  <c r="V785" i="4"/>
  <c r="O785" i="4"/>
  <c r="P785" i="4"/>
  <c r="AD526" i="2"/>
  <c r="O809" i="5"/>
  <c r="Z809" i="4"/>
  <c r="O809" i="4"/>
  <c r="P809" i="4"/>
  <c r="AB545" i="2"/>
  <c r="O837" i="5"/>
  <c r="X837" i="4"/>
  <c r="O837" i="4"/>
  <c r="P837" i="4"/>
  <c r="U615" i="2"/>
  <c r="Q944" i="5"/>
  <c r="Q948" i="4"/>
  <c r="T1030" i="5"/>
  <c r="X676" i="2"/>
  <c r="O108" i="7"/>
  <c r="Q1660" i="2"/>
  <c r="N357" i="7"/>
  <c r="Q1659" i="2"/>
  <c r="AD1786" i="2"/>
  <c r="O553" i="7"/>
  <c r="AC1822" i="2"/>
  <c r="AJ600" i="7"/>
  <c r="AK600" i="7"/>
  <c r="AK598" i="7"/>
  <c r="O600" i="7"/>
  <c r="R1854" i="2"/>
  <c r="P637" i="7"/>
  <c r="Q1877" i="2"/>
  <c r="AC1893" i="2"/>
  <c r="AK691" i="7"/>
  <c r="O691" i="7"/>
  <c r="AJ691" i="7"/>
  <c r="AD1972" i="2"/>
  <c r="O808" i="7"/>
  <c r="Z808" i="4"/>
  <c r="O808" i="4"/>
  <c r="P808" i="4"/>
  <c r="R1602" i="2"/>
  <c r="P277" i="7"/>
  <c r="Q1633" i="2"/>
  <c r="O321" i="7"/>
  <c r="R1668" i="2"/>
  <c r="P368" i="7"/>
  <c r="R1712" i="2"/>
  <c r="P439" i="7"/>
  <c r="V1930" i="2"/>
  <c r="R748" i="7"/>
  <c r="V1928" i="2"/>
  <c r="R1612" i="2"/>
  <c r="P287" i="7"/>
  <c r="T1736" i="2"/>
  <c r="AM1736" i="2"/>
  <c r="R1755" i="2"/>
  <c r="P522" i="7"/>
  <c r="AD1796" i="2"/>
  <c r="O563" i="7"/>
  <c r="Z563" i="4"/>
  <c r="O563" i="4"/>
  <c r="P563" i="4"/>
  <c r="AC1845" i="2"/>
  <c r="AJ627" i="7"/>
  <c r="AK627" i="7"/>
  <c r="O627" i="7"/>
  <c r="R1856" i="2"/>
  <c r="P639" i="7"/>
  <c r="AK1890" i="2"/>
  <c r="S1890" i="2"/>
  <c r="Q1923" i="2"/>
  <c r="N736" i="7"/>
  <c r="Q1922" i="2"/>
  <c r="N22" i="7"/>
  <c r="AH1544" i="2"/>
  <c r="AD186" i="7"/>
  <c r="AH1543" i="2"/>
  <c r="Q1701" i="2"/>
  <c r="O420" i="7"/>
  <c r="N417" i="7"/>
  <c r="Q1700" i="2"/>
  <c r="AD1782" i="2"/>
  <c r="O549" i="7"/>
  <c r="AD1802" i="2"/>
  <c r="O573" i="7"/>
  <c r="Z569" i="7"/>
  <c r="AD1800" i="2"/>
  <c r="AC1819" i="2"/>
  <c r="AK597" i="7"/>
  <c r="AK597" i="4"/>
  <c r="O597" i="7"/>
  <c r="AJ597" i="7"/>
  <c r="Y597" i="4"/>
  <c r="AC1826" i="2"/>
  <c r="AK604" i="7"/>
  <c r="O604" i="7"/>
  <c r="AJ604" i="7"/>
  <c r="Y604" i="4"/>
  <c r="O604" i="4"/>
  <c r="AI1837" i="2"/>
  <c r="AE619" i="4"/>
  <c r="AE1847" i="2"/>
  <c r="AE630" i="7"/>
  <c r="AI1847" i="2"/>
  <c r="AA630" i="4"/>
  <c r="AC1863" i="2"/>
  <c r="E422" i="8"/>
  <c r="AK646" i="7"/>
  <c r="AK646" i="4"/>
  <c r="O646" i="7"/>
  <c r="AJ646" i="7"/>
  <c r="AJ646" i="4"/>
  <c r="Y646" i="4"/>
  <c r="AC1877" i="2"/>
  <c r="O668" i="7"/>
  <c r="AJ668" i="7"/>
  <c r="AK668" i="7"/>
  <c r="Y668" i="4"/>
  <c r="O668" i="4"/>
  <c r="U1904" i="2"/>
  <c r="Q702" i="7"/>
  <c r="U1897" i="2"/>
  <c r="AB2026" i="2"/>
  <c r="O881" i="7"/>
  <c r="AD690" i="2"/>
  <c r="O1047" i="5"/>
  <c r="Z1046" i="5"/>
  <c r="AG1047" i="5"/>
  <c r="AH1047" i="5"/>
  <c r="Z1047" i="4"/>
  <c r="R1610" i="2"/>
  <c r="P285" i="7"/>
  <c r="R1625" i="2"/>
  <c r="P308" i="7"/>
  <c r="R1729" i="2"/>
  <c r="P469" i="7"/>
  <c r="W1751" i="2"/>
  <c r="AK607" i="7"/>
  <c r="T1869" i="2"/>
  <c r="N130" i="7"/>
  <c r="Q1514" i="2"/>
  <c r="Q1675" i="2"/>
  <c r="N382" i="7"/>
  <c r="O385" i="7"/>
  <c r="P406" i="7"/>
  <c r="P440" i="7"/>
  <c r="R1759" i="2"/>
  <c r="P526" i="7"/>
  <c r="AD1804" i="2"/>
  <c r="O575" i="7"/>
  <c r="R1830" i="2"/>
  <c r="P608" i="7"/>
  <c r="Q1874" i="2"/>
  <c r="N664" i="7"/>
  <c r="Q1873" i="2"/>
  <c r="AC1888" i="2"/>
  <c r="AJ679" i="7"/>
  <c r="AK679" i="7"/>
  <c r="O679" i="7"/>
  <c r="Y679" i="4"/>
  <c r="O679" i="4"/>
  <c r="P679" i="4"/>
  <c r="R1586" i="2"/>
  <c r="P258" i="7"/>
  <c r="Q1635" i="2"/>
  <c r="O323" i="7"/>
  <c r="O435" i="7"/>
  <c r="O425" i="7"/>
  <c r="N136" i="7"/>
  <c r="Q1517" i="2"/>
  <c r="AD2113" i="2"/>
  <c r="AH1009" i="7"/>
  <c r="AG1009" i="7"/>
  <c r="O1009" i="7"/>
  <c r="Z1009" i="4"/>
  <c r="O1009" i="4"/>
  <c r="P1009" i="4"/>
  <c r="Q2127" i="2"/>
  <c r="N1035" i="7"/>
  <c r="Q2124" i="2"/>
  <c r="AG1904" i="2"/>
  <c r="AB702" i="7"/>
  <c r="AF1897" i="2"/>
  <c r="P153" i="4"/>
  <c r="T2081" i="2"/>
  <c r="AK2081" i="2"/>
  <c r="P472" i="4"/>
  <c r="O469" i="4"/>
  <c r="P469" i="4"/>
  <c r="N773" i="7"/>
  <c r="Q1942" i="2"/>
  <c r="R2040" i="2"/>
  <c r="P910" i="7"/>
  <c r="R2051" i="2"/>
  <c r="P930" i="7"/>
  <c r="AE2062" i="2"/>
  <c r="AA944" i="7"/>
  <c r="R2069" i="2"/>
  <c r="P956" i="7"/>
  <c r="R2075" i="2"/>
  <c r="P962" i="7"/>
  <c r="P360" i="4"/>
  <c r="AC1886" i="2"/>
  <c r="AK677" i="7"/>
  <c r="O677" i="7"/>
  <c r="AJ677" i="7"/>
  <c r="Y677" i="4"/>
  <c r="O677" i="4"/>
  <c r="P677" i="4"/>
  <c r="AB2008" i="2"/>
  <c r="O859" i="7"/>
  <c r="AD2044" i="2"/>
  <c r="AH919" i="7"/>
  <c r="AL2044" i="2"/>
  <c r="O919" i="7"/>
  <c r="AG919" i="7"/>
  <c r="Z919" i="4"/>
  <c r="O919" i="4"/>
  <c r="P919" i="4"/>
  <c r="S2122" i="2"/>
  <c r="AJ2122" i="2"/>
  <c r="O179" i="4"/>
  <c r="Q1938" i="2"/>
  <c r="N766" i="7"/>
  <c r="Q1937" i="2"/>
  <c r="Z2156" i="2"/>
  <c r="O1080" i="7"/>
  <c r="V1080" i="4"/>
  <c r="O1080" i="4"/>
  <c r="V1962" i="2"/>
  <c r="Z798" i="7"/>
  <c r="AB2015" i="2"/>
  <c r="O866" i="7"/>
  <c r="O862" i="7"/>
  <c r="AD2064" i="2"/>
  <c r="AH950" i="7"/>
  <c r="Z949" i="7"/>
  <c r="O950" i="7"/>
  <c r="AG950" i="7"/>
  <c r="U2132" i="2"/>
  <c r="Q1030" i="7"/>
  <c r="U2122" i="2"/>
  <c r="Q1043" i="4"/>
  <c r="Q1030" i="4"/>
  <c r="AM2062" i="2"/>
  <c r="AI944" i="7"/>
  <c r="Q2154" i="2"/>
  <c r="P330" i="4"/>
  <c r="R1964" i="2"/>
  <c r="P800" i="7"/>
  <c r="R1965" i="2"/>
  <c r="P801" i="7"/>
  <c r="AB1987" i="2"/>
  <c r="X829" i="7"/>
  <c r="AB1986" i="2"/>
  <c r="O832" i="7"/>
  <c r="AB2037" i="2"/>
  <c r="O900" i="7"/>
  <c r="AB1262" i="2"/>
  <c r="O827" i="9"/>
  <c r="Z586" i="2"/>
  <c r="V889" i="5"/>
  <c r="Z585" i="2"/>
  <c r="AB1301" i="2"/>
  <c r="O879" i="9"/>
  <c r="AB579" i="2"/>
  <c r="O881" i="5"/>
  <c r="X881" i="4"/>
  <c r="O881" i="4"/>
  <c r="P881" i="4"/>
  <c r="AB580" i="2"/>
  <c r="O882" i="5"/>
  <c r="X882" i="4"/>
  <c r="O882" i="4"/>
  <c r="Z536" i="2"/>
  <c r="AB2030" i="2"/>
  <c r="O885" i="7"/>
  <c r="AD29" i="10"/>
  <c r="R781" i="2"/>
  <c r="P113" i="9"/>
  <c r="R887" i="2"/>
  <c r="P285" i="9"/>
  <c r="R787" i="2"/>
  <c r="P122" i="9"/>
  <c r="Q834" i="2"/>
  <c r="O208" i="9"/>
  <c r="Q866" i="2"/>
  <c r="O261" i="9"/>
  <c r="AD408" i="6"/>
  <c r="R800" i="2"/>
  <c r="P147" i="9"/>
  <c r="Q743" i="2"/>
  <c r="P48" i="9"/>
  <c r="Q775" i="2"/>
  <c r="O104" i="9"/>
  <c r="Q795" i="2"/>
  <c r="N136" i="9"/>
  <c r="Q794" i="2"/>
  <c r="P139" i="9"/>
  <c r="Q871" i="2"/>
  <c r="O266" i="9"/>
  <c r="Q917" i="2"/>
  <c r="P331" i="9"/>
  <c r="AC1018" i="2"/>
  <c r="Y493" i="9"/>
  <c r="AC1017" i="2"/>
  <c r="Q959" i="2"/>
  <c r="O392" i="9"/>
  <c r="R804" i="2"/>
  <c r="P154" i="9"/>
  <c r="Q893" i="2"/>
  <c r="O296" i="9"/>
  <c r="O292" i="9"/>
  <c r="N427" i="9"/>
  <c r="R1005" i="2"/>
  <c r="P467" i="9"/>
  <c r="R1058" i="2"/>
  <c r="P548" i="9"/>
  <c r="AA592" i="9"/>
  <c r="AE1094" i="2"/>
  <c r="R1126" i="2"/>
  <c r="P632" i="9"/>
  <c r="AE1147" i="2"/>
  <c r="AE661" i="9"/>
  <c r="AI1147" i="2"/>
  <c r="AA660" i="9"/>
  <c r="AA661" i="4"/>
  <c r="Q1169" i="2"/>
  <c r="N689" i="9"/>
  <c r="Q1183" i="2"/>
  <c r="N713" i="9"/>
  <c r="R1227" i="2"/>
  <c r="P781" i="9"/>
  <c r="V1282" i="2"/>
  <c r="R852" i="9"/>
  <c r="V1280" i="2"/>
  <c r="N53" i="9"/>
  <c r="R1060" i="2"/>
  <c r="P550" i="9"/>
  <c r="W1094" i="2"/>
  <c r="S590" i="9"/>
  <c r="W1093" i="2"/>
  <c r="AE1124" i="2"/>
  <c r="AE630" i="9"/>
  <c r="AI1124" i="2"/>
  <c r="AD1063" i="2"/>
  <c r="O553" i="9"/>
  <c r="AD1084" i="2"/>
  <c r="O578" i="9"/>
  <c r="Z578" i="4"/>
  <c r="O578" i="4"/>
  <c r="P578" i="4"/>
  <c r="AA1146" i="2"/>
  <c r="W656" i="9"/>
  <c r="AA1145" i="2"/>
  <c r="R1170" i="2"/>
  <c r="P691" i="9"/>
  <c r="X1181" i="2"/>
  <c r="T702" i="9"/>
  <c r="X1174" i="2"/>
  <c r="Q1209" i="2"/>
  <c r="N752" i="9"/>
  <c r="Z1231" i="2"/>
  <c r="O785" i="9"/>
  <c r="Q1254" i="2"/>
  <c r="N812" i="9"/>
  <c r="Q1253" i="2"/>
  <c r="R1285" i="2"/>
  <c r="P859" i="9"/>
  <c r="AD1319" i="2"/>
  <c r="AH917" i="9"/>
  <c r="O917" i="9"/>
  <c r="Z913" i="9"/>
  <c r="AD1318" i="2"/>
  <c r="AG917" i="9"/>
  <c r="AF636" i="8"/>
  <c r="Q895" i="2"/>
  <c r="O298" i="9"/>
  <c r="R931" i="2"/>
  <c r="P350" i="9"/>
  <c r="Q993" i="2"/>
  <c r="N443" i="9"/>
  <c r="Q992" i="2"/>
  <c r="AD1049" i="2"/>
  <c r="O539" i="9"/>
  <c r="R1122" i="2"/>
  <c r="P627" i="9"/>
  <c r="AE436" i="10"/>
  <c r="AF436" i="10"/>
  <c r="D436" i="10"/>
  <c r="AE1168" i="2"/>
  <c r="AE689" i="9"/>
  <c r="AA685" i="9"/>
  <c r="AE1167" i="2"/>
  <c r="AG1195" i="2"/>
  <c r="O730" i="9"/>
  <c r="V1296" i="2"/>
  <c r="X874" i="9"/>
  <c r="R871" i="9"/>
  <c r="V1295" i="2"/>
  <c r="P336" i="9"/>
  <c r="R966" i="2"/>
  <c r="P403" i="9"/>
  <c r="W1113" i="2"/>
  <c r="S614" i="9"/>
  <c r="W1112" i="2"/>
  <c r="AI1125" i="2"/>
  <c r="AC1152" i="2"/>
  <c r="AK666" i="9"/>
  <c r="O666" i="9"/>
  <c r="AJ666" i="9"/>
  <c r="R991" i="2"/>
  <c r="P441" i="9"/>
  <c r="R1007" i="2"/>
  <c r="P472" i="9"/>
  <c r="O469" i="9"/>
  <c r="AD1088" i="2"/>
  <c r="O582" i="9"/>
  <c r="AI1108" i="2"/>
  <c r="AK609" i="9"/>
  <c r="AK609" i="4"/>
  <c r="AI1126" i="2"/>
  <c r="AK632" i="9"/>
  <c r="AB1269" i="2"/>
  <c r="O837" i="9"/>
  <c r="N130" i="9"/>
  <c r="Q791" i="2"/>
  <c r="R929" i="2"/>
  <c r="P348" i="9"/>
  <c r="AD1113" i="2"/>
  <c r="Z614" i="9"/>
  <c r="AD1112" i="2"/>
  <c r="AB1294" i="2"/>
  <c r="O868" i="9"/>
  <c r="AK1337" i="2"/>
  <c r="T1337" i="2"/>
  <c r="AD1411" i="2"/>
  <c r="AH1045" i="9"/>
  <c r="AL1411" i="2"/>
  <c r="AG1045" i="9"/>
  <c r="O1045" i="9"/>
  <c r="V1239" i="2"/>
  <c r="Z798" i="9"/>
  <c r="R796" i="9"/>
  <c r="R1358" i="2"/>
  <c r="P968" i="9"/>
  <c r="P1041" i="9"/>
  <c r="AE1135" i="2"/>
  <c r="AE641" i="9"/>
  <c r="AI1135" i="2"/>
  <c r="Q1200" i="2"/>
  <c r="N736" i="9"/>
  <c r="Q1199" i="2"/>
  <c r="AD1245" i="2"/>
  <c r="E636" i="10"/>
  <c r="O804" i="9"/>
  <c r="R1315" i="2"/>
  <c r="P903" i="9"/>
  <c r="AA1339" i="2"/>
  <c r="W944" i="9"/>
  <c r="R37" i="2"/>
  <c r="P81" i="5"/>
  <c r="Q102" i="2"/>
  <c r="O198" i="5"/>
  <c r="Q231" i="2"/>
  <c r="O389" i="5"/>
  <c r="X862" i="9"/>
  <c r="AB1288" i="2"/>
  <c r="R1352" i="2"/>
  <c r="P962" i="9"/>
  <c r="AD1367" i="2"/>
  <c r="AH977" i="9"/>
  <c r="AL1367" i="2"/>
  <c r="O977" i="9"/>
  <c r="AG977" i="9"/>
  <c r="Z976" i="9"/>
  <c r="R63" i="2"/>
  <c r="R1137" i="2"/>
  <c r="P643" i="9"/>
  <c r="AD1146" i="2"/>
  <c r="Z656" i="9"/>
  <c r="AD1145" i="2"/>
  <c r="R1236" i="2"/>
  <c r="P795" i="9"/>
  <c r="R1347" i="2"/>
  <c r="P957" i="9"/>
  <c r="T1407" i="2"/>
  <c r="Q76" i="2"/>
  <c r="O148" i="5"/>
  <c r="R120" i="2"/>
  <c r="P228" i="5"/>
  <c r="Q170" i="2"/>
  <c r="O298" i="5"/>
  <c r="R184" i="2"/>
  <c r="P320" i="5"/>
  <c r="R278" i="2"/>
  <c r="P463" i="5"/>
  <c r="AD340" i="2"/>
  <c r="O555" i="5"/>
  <c r="Z555" i="4"/>
  <c r="O555" i="4"/>
  <c r="P555" i="4"/>
  <c r="AB422" i="2"/>
  <c r="X656" i="5"/>
  <c r="AB421" i="2"/>
  <c r="X660" i="4"/>
  <c r="X656" i="4"/>
  <c r="R1207" i="2"/>
  <c r="P752" i="9"/>
  <c r="AE1339" i="2"/>
  <c r="AA944" i="9"/>
  <c r="AD1359" i="2"/>
  <c r="AH969" i="9"/>
  <c r="AL1359" i="2"/>
  <c r="O969" i="9"/>
  <c r="AG969" i="9"/>
  <c r="N1082" i="9"/>
  <c r="R1368" i="2"/>
  <c r="P978" i="9"/>
  <c r="Q99" i="2"/>
  <c r="O195" i="5"/>
  <c r="Q174" i="2"/>
  <c r="Q205" i="2"/>
  <c r="O349" i="5"/>
  <c r="P403" i="5"/>
  <c r="AG298" i="2"/>
  <c r="O507" i="5"/>
  <c r="AC507" i="4"/>
  <c r="AI386" i="2"/>
  <c r="AE612" i="4"/>
  <c r="AM411" i="2"/>
  <c r="AI641" i="4"/>
  <c r="AI1162" i="2"/>
  <c r="AE676" i="4"/>
  <c r="O676" i="4"/>
  <c r="N856" i="9"/>
  <c r="T1322" i="2"/>
  <c r="AK1322" i="2"/>
  <c r="AK1342" i="2"/>
  <c r="T1342" i="2"/>
  <c r="Z1433" i="2"/>
  <c r="O1080" i="9"/>
  <c r="R27" i="2"/>
  <c r="P65" i="5"/>
  <c r="R154" i="2"/>
  <c r="P277" i="5"/>
  <c r="R174" i="2"/>
  <c r="P305" i="5"/>
  <c r="R198" i="2"/>
  <c r="P337" i="5"/>
  <c r="AD484" i="5"/>
  <c r="AH287" i="2"/>
  <c r="R1388" i="2"/>
  <c r="P1007" i="9"/>
  <c r="P540" i="5"/>
  <c r="AC370" i="2"/>
  <c r="AJ596" i="5"/>
  <c r="AJ596" i="4"/>
  <c r="AK596" i="5"/>
  <c r="AK596" i="4"/>
  <c r="O596" i="5"/>
  <c r="Y596" i="4"/>
  <c r="O596" i="4"/>
  <c r="P596" i="4"/>
  <c r="AH388" i="2"/>
  <c r="AD614" i="5"/>
  <c r="AH387" i="2"/>
  <c r="V400" i="2"/>
  <c r="R630" i="4"/>
  <c r="R418" i="2"/>
  <c r="P648" i="5"/>
  <c r="R479" i="2"/>
  <c r="P742" i="5"/>
  <c r="R602" i="2"/>
  <c r="P928" i="5"/>
  <c r="R628" i="2"/>
  <c r="P961" i="5"/>
  <c r="R1505" i="2"/>
  <c r="P114" i="7"/>
  <c r="R169" i="2"/>
  <c r="P297" i="5"/>
  <c r="V630" i="2"/>
  <c r="R963" i="4"/>
  <c r="T1397" i="2"/>
  <c r="AK608" i="5"/>
  <c r="AJ643" i="4"/>
  <c r="AD514" i="2"/>
  <c r="E504" i="6"/>
  <c r="F504" i="6"/>
  <c r="O797" i="5"/>
  <c r="Z797" i="4"/>
  <c r="O797" i="4"/>
  <c r="V558" i="2"/>
  <c r="R852" i="5"/>
  <c r="V556" i="2"/>
  <c r="R856" i="4"/>
  <c r="R852" i="4"/>
  <c r="T604" i="2"/>
  <c r="AK604" i="2"/>
  <c r="AG930" i="4"/>
  <c r="AD629" i="2"/>
  <c r="AG962" i="5"/>
  <c r="AH962" i="5"/>
  <c r="O962" i="5"/>
  <c r="Z962" i="4"/>
  <c r="O962" i="4"/>
  <c r="P962" i="4"/>
  <c r="R1466" i="2"/>
  <c r="P48" i="7"/>
  <c r="T1370" i="2"/>
  <c r="AK1370" i="2"/>
  <c r="R47" i="2"/>
  <c r="P101" i="5"/>
  <c r="R253" i="2"/>
  <c r="AK629" i="4"/>
  <c r="T1371" i="2"/>
  <c r="AK1371" i="2"/>
  <c r="AI418" i="2"/>
  <c r="AE648" i="4"/>
  <c r="Z508" i="2"/>
  <c r="O786" i="5"/>
  <c r="V786" i="4"/>
  <c r="O786" i="4"/>
  <c r="P786" i="4"/>
  <c r="AB567" i="2"/>
  <c r="O865" i="5"/>
  <c r="X865" i="4"/>
  <c r="O865" i="4"/>
  <c r="P865" i="4"/>
  <c r="AD609" i="2"/>
  <c r="O935" i="5"/>
  <c r="AG935" i="5"/>
  <c r="AH935" i="5"/>
  <c r="Z935" i="4"/>
  <c r="O935" i="4"/>
  <c r="P935" i="4"/>
  <c r="AG294" i="2"/>
  <c r="O498" i="5"/>
  <c r="AC498" i="4"/>
  <c r="P611" i="5"/>
  <c r="AC410" i="2"/>
  <c r="AJ640" i="5"/>
  <c r="O640" i="5"/>
  <c r="AK640" i="5"/>
  <c r="Y640" i="4"/>
  <c r="O640" i="4"/>
  <c r="P640" i="4"/>
  <c r="AC432" i="2"/>
  <c r="AJ670" i="5"/>
  <c r="O670" i="5"/>
  <c r="AK670" i="5"/>
  <c r="AK709" i="4"/>
  <c r="R503" i="2"/>
  <c r="P781" i="5"/>
  <c r="AB546" i="2"/>
  <c r="O838" i="5"/>
  <c r="X838" i="4"/>
  <c r="O838" i="4"/>
  <c r="P838" i="4"/>
  <c r="AD613" i="2"/>
  <c r="O942" i="5"/>
  <c r="AG942" i="5"/>
  <c r="AH942" i="5"/>
  <c r="Z942" i="4"/>
  <c r="O942" i="4"/>
  <c r="P942" i="4"/>
  <c r="AL620" i="2"/>
  <c r="AH953" i="4"/>
  <c r="AD647" i="2"/>
  <c r="O980" i="5"/>
  <c r="AG980" i="5"/>
  <c r="AH980" i="5"/>
  <c r="Z980" i="4"/>
  <c r="AF686" i="2"/>
  <c r="AB1043" i="4"/>
  <c r="AB1030" i="4"/>
  <c r="Z711" i="2"/>
  <c r="O1081" i="5"/>
  <c r="U1081" i="4"/>
  <c r="V1081" i="4"/>
  <c r="O1081" i="4"/>
  <c r="P1081" i="4"/>
  <c r="AB1453" i="2"/>
  <c r="X16" i="7"/>
  <c r="AB1452" i="2"/>
  <c r="Q1497" i="2"/>
  <c r="O103" i="7"/>
  <c r="Q1545" i="2"/>
  <c r="R1426" i="2"/>
  <c r="P1067" i="9"/>
  <c r="Q115" i="2"/>
  <c r="O220" i="5"/>
  <c r="AD315" i="2"/>
  <c r="O530" i="5"/>
  <c r="Z530" i="4"/>
  <c r="O530" i="4"/>
  <c r="P530" i="4"/>
  <c r="R415" i="2"/>
  <c r="Q485" i="2"/>
  <c r="P754" i="5"/>
  <c r="S821" i="5"/>
  <c r="W535" i="2"/>
  <c r="Q565" i="2"/>
  <c r="N862" i="5"/>
  <c r="Q564" i="2"/>
  <c r="Q593" i="2"/>
  <c r="R656" i="2"/>
  <c r="P993" i="5"/>
  <c r="AE669" i="2"/>
  <c r="AA1011" i="4"/>
  <c r="Z708" i="2"/>
  <c r="O1078" i="5"/>
  <c r="U1078" i="4"/>
  <c r="V1078" i="4"/>
  <c r="O1078" i="4"/>
  <c r="R1475" i="2"/>
  <c r="P65" i="7"/>
  <c r="R273" i="2"/>
  <c r="P454" i="5"/>
  <c r="AG471" i="2"/>
  <c r="O730" i="5"/>
  <c r="AC730" i="4"/>
  <c r="Q512" i="2"/>
  <c r="R528" i="2"/>
  <c r="P811" i="5"/>
  <c r="AB577" i="2"/>
  <c r="O879" i="5"/>
  <c r="X879" i="4"/>
  <c r="O879" i="4"/>
  <c r="Y948" i="5"/>
  <c r="Y948" i="4"/>
  <c r="Y944" i="4"/>
  <c r="Q654" i="2"/>
  <c r="N990" i="5"/>
  <c r="AB1030" i="5"/>
  <c r="AF676" i="2"/>
  <c r="V697" i="2"/>
  <c r="R1055" i="5"/>
  <c r="V695" i="2"/>
  <c r="R1059" i="4"/>
  <c r="R1055" i="4"/>
  <c r="Q1462" i="2"/>
  <c r="O41" i="7"/>
  <c r="N38" i="7"/>
  <c r="Q1553" i="2"/>
  <c r="O204" i="7"/>
  <c r="N201" i="7"/>
  <c r="Q1552" i="2"/>
  <c r="R1769" i="2"/>
  <c r="P536" i="7"/>
  <c r="R1813" i="2"/>
  <c r="P584" i="7"/>
  <c r="R1825" i="2"/>
  <c r="P603" i="7"/>
  <c r="N150" i="7"/>
  <c r="Q1525" i="2"/>
  <c r="Q1562" i="2"/>
  <c r="O219" i="7"/>
  <c r="N216" i="7"/>
  <c r="R1689" i="2"/>
  <c r="P403" i="7"/>
  <c r="R1714" i="2"/>
  <c r="P441" i="7"/>
  <c r="AG1743" i="2"/>
  <c r="O499" i="7"/>
  <c r="R396" i="2"/>
  <c r="O28" i="7"/>
  <c r="R1574" i="2"/>
  <c r="P238" i="7"/>
  <c r="AH1737" i="2"/>
  <c r="AD489" i="4"/>
  <c r="AD484" i="4"/>
  <c r="AD1756" i="2"/>
  <c r="O523" i="7"/>
  <c r="O517" i="7"/>
  <c r="R1779" i="2"/>
  <c r="P546" i="7"/>
  <c r="AI1822" i="2"/>
  <c r="AE600" i="4"/>
  <c r="AC1837" i="2"/>
  <c r="AJ619" i="7"/>
  <c r="AK619" i="7"/>
  <c r="O619" i="7"/>
  <c r="AK1868" i="2"/>
  <c r="S1868" i="2"/>
  <c r="AI1907" i="2"/>
  <c r="AE715" i="4"/>
  <c r="R1926" i="2"/>
  <c r="P742" i="7"/>
  <c r="R1455" i="2"/>
  <c r="P25" i="7"/>
  <c r="O22" i="7"/>
  <c r="R1580" i="2"/>
  <c r="P247" i="7"/>
  <c r="R1634" i="2"/>
  <c r="P322" i="7"/>
  <c r="AJ631" i="4"/>
  <c r="W1453" i="2"/>
  <c r="S16" i="7"/>
  <c r="R1554" i="2"/>
  <c r="P205" i="7"/>
  <c r="Q1703" i="2"/>
  <c r="O422" i="7"/>
  <c r="T1738" i="2"/>
  <c r="AM1738" i="2"/>
  <c r="R1765" i="2"/>
  <c r="P532" i="7"/>
  <c r="V1839" i="2"/>
  <c r="Y621" i="7"/>
  <c r="R1850" i="2"/>
  <c r="P633" i="7"/>
  <c r="R1866" i="2"/>
  <c r="P649" i="7"/>
  <c r="AC1878" i="2"/>
  <c r="AK669" i="7"/>
  <c r="O669" i="7"/>
  <c r="AJ669" i="7"/>
  <c r="Y669" i="4"/>
  <c r="O669" i="4"/>
  <c r="P669" i="4"/>
  <c r="AD1904" i="2"/>
  <c r="Z702" i="7"/>
  <c r="AD1897" i="2"/>
  <c r="AB2034" i="2"/>
  <c r="O894" i="7"/>
  <c r="X891" i="7"/>
  <c r="Q690" i="2"/>
  <c r="N1046" i="5"/>
  <c r="Q689" i="2"/>
  <c r="Q1521" i="2"/>
  <c r="O145" i="7"/>
  <c r="N142" i="7"/>
  <c r="Q1520" i="2"/>
  <c r="Q1551" i="2"/>
  <c r="O199" i="7"/>
  <c r="Q1632" i="2"/>
  <c r="O320" i="7"/>
  <c r="R697" i="2"/>
  <c r="R1569" i="2"/>
  <c r="P229" i="7"/>
  <c r="R1623" i="2"/>
  <c r="P306" i="7"/>
  <c r="P361" i="7"/>
  <c r="Q1677" i="2"/>
  <c r="O387" i="7"/>
  <c r="P408" i="7"/>
  <c r="AD1760" i="2"/>
  <c r="O527" i="7"/>
  <c r="Z527" i="4"/>
  <c r="O527" i="4"/>
  <c r="P527" i="4"/>
  <c r="R1783" i="2"/>
  <c r="P550" i="7"/>
  <c r="R1823" i="2"/>
  <c r="P601" i="7"/>
  <c r="AC1841" i="2"/>
  <c r="AJ623" i="7"/>
  <c r="AK623" i="7"/>
  <c r="O623" i="7"/>
  <c r="O621" i="7"/>
  <c r="Y623" i="4"/>
  <c r="AC1865" i="2"/>
  <c r="AJ648" i="7"/>
  <c r="AK648" i="7"/>
  <c r="AK648" i="4"/>
  <c r="O648" i="7"/>
  <c r="Y648" i="4"/>
  <c r="O648" i="4"/>
  <c r="P648" i="4"/>
  <c r="W1904" i="2"/>
  <c r="S702" i="7"/>
  <c r="W1897" i="2"/>
  <c r="AC1915" i="2"/>
  <c r="AJ723" i="7"/>
  <c r="AJ722" i="7"/>
  <c r="AK723" i="7"/>
  <c r="AK722" i="7"/>
  <c r="Y722" i="7"/>
  <c r="AC1914" i="2"/>
  <c r="O723" i="7"/>
  <c r="Y723" i="4"/>
  <c r="Q1935" i="2"/>
  <c r="N758" i="7"/>
  <c r="Q1934" i="2"/>
  <c r="AJ609" i="4"/>
  <c r="R714" i="2"/>
  <c r="P1084" i="5"/>
  <c r="Q1589" i="2"/>
  <c r="O261" i="7"/>
  <c r="O463" i="7"/>
  <c r="V1870" i="2"/>
  <c r="Y661" i="7"/>
  <c r="R660" i="7"/>
  <c r="Q1977" i="2"/>
  <c r="N812" i="7"/>
  <c r="Q1976" i="2"/>
  <c r="T2045" i="2"/>
  <c r="AK2045" i="2"/>
  <c r="AJ2062" i="2"/>
  <c r="S2062" i="2"/>
  <c r="AF944" i="7"/>
  <c r="R1924" i="2"/>
  <c r="P740" i="7"/>
  <c r="AD1973" i="2"/>
  <c r="O809" i="7"/>
  <c r="R2016" i="2"/>
  <c r="P867" i="7"/>
  <c r="R2077" i="2"/>
  <c r="P964" i="7"/>
  <c r="R2081" i="2"/>
  <c r="P968" i="7"/>
  <c r="R2087" i="2"/>
  <c r="P974" i="7"/>
  <c r="R2150" i="2"/>
  <c r="P1070" i="7"/>
  <c r="O1067" i="7"/>
  <c r="O345" i="4"/>
  <c r="P477" i="4"/>
  <c r="O474" i="4"/>
  <c r="R2001" i="2"/>
  <c r="P849" i="7"/>
  <c r="T2051" i="2"/>
  <c r="AK2051" i="2"/>
  <c r="T2057" i="2"/>
  <c r="AK2057" i="2"/>
  <c r="V2063" i="2"/>
  <c r="R948" i="7"/>
  <c r="T2069" i="2"/>
  <c r="AK2069" i="2"/>
  <c r="AG956" i="4"/>
  <c r="AG2132" i="2"/>
  <c r="AC1030" i="7"/>
  <c r="AG2122" i="2"/>
  <c r="R2112" i="2"/>
  <c r="P1008" i="7"/>
  <c r="AB1904" i="2"/>
  <c r="X702" i="7"/>
  <c r="AB1897" i="2"/>
  <c r="AD2078" i="2"/>
  <c r="AH965" i="7"/>
  <c r="O965" i="7"/>
  <c r="O963" i="7"/>
  <c r="AG965" i="7"/>
  <c r="V2103" i="2"/>
  <c r="R2160" i="2"/>
  <c r="P1084" i="7"/>
  <c r="Q2006" i="2"/>
  <c r="N856" i="7"/>
  <c r="AD2050" i="2"/>
  <c r="AH929" i="7"/>
  <c r="AL2050" i="2"/>
  <c r="O929" i="7"/>
  <c r="AG929" i="7"/>
  <c r="AD2056" i="2"/>
  <c r="AH935" i="7"/>
  <c r="O935" i="7"/>
  <c r="AG935" i="7"/>
  <c r="Q2064" i="2"/>
  <c r="N949" i="7"/>
  <c r="AD2111" i="2"/>
  <c r="AH1007" i="7"/>
  <c r="O1007" i="7"/>
  <c r="AG1007" i="7"/>
  <c r="Z1007" i="4"/>
  <c r="O1007" i="4"/>
  <c r="P1007" i="4"/>
  <c r="P183" i="4"/>
  <c r="P460" i="4"/>
  <c r="R1902" i="2"/>
  <c r="P710" i="7"/>
  <c r="Z2062" i="2"/>
  <c r="V944" i="7"/>
  <c r="AD2139" i="2"/>
  <c r="AG1050" i="7"/>
  <c r="AH1050" i="7"/>
  <c r="O1050" i="7"/>
  <c r="Z1046" i="7"/>
  <c r="Z1050" i="4"/>
  <c r="O1050" i="4"/>
  <c r="P1050" i="4"/>
  <c r="R2157" i="2"/>
  <c r="P1081" i="7"/>
  <c r="O219" i="4"/>
  <c r="O385" i="4"/>
  <c r="AL2108" i="2"/>
  <c r="AH1003" i="7"/>
  <c r="T2109" i="2"/>
  <c r="AK2109" i="2"/>
  <c r="O840" i="4"/>
  <c r="P840" i="4"/>
  <c r="P843" i="4"/>
  <c r="AB1989" i="2"/>
  <c r="O834" i="7"/>
  <c r="R2127" i="2"/>
  <c r="P1038" i="7"/>
  <c r="Z1260" i="2"/>
  <c r="AB2021" i="2"/>
  <c r="O876" i="7"/>
  <c r="AB2024" i="2"/>
  <c r="O879" i="7"/>
  <c r="AB2025" i="2"/>
  <c r="O880" i="7"/>
  <c r="AB1302" i="2"/>
  <c r="O880" i="9"/>
  <c r="AB2038" i="2"/>
  <c r="O903" i="7"/>
  <c r="AB2029" i="2"/>
  <c r="O884" i="7"/>
  <c r="AD55" i="8"/>
  <c r="R783" i="2"/>
  <c r="P115" i="9"/>
  <c r="R889" i="2"/>
  <c r="P287" i="9"/>
  <c r="R766" i="2"/>
  <c r="P89" i="9"/>
  <c r="O86" i="9"/>
  <c r="Q844" i="2"/>
  <c r="N224" i="9"/>
  <c r="Q843" i="2"/>
  <c r="Q868" i="2"/>
  <c r="O263" i="9"/>
  <c r="P65" i="9"/>
  <c r="R802" i="2"/>
  <c r="P150" i="9"/>
  <c r="P229" i="9"/>
  <c r="AD371" i="6"/>
  <c r="Q777" i="2"/>
  <c r="O106" i="9"/>
  <c r="Q873" i="2"/>
  <c r="O268" i="9"/>
  <c r="Q919" i="2"/>
  <c r="P333" i="9"/>
  <c r="Q961" i="2"/>
  <c r="O394" i="9"/>
  <c r="R943" i="2"/>
  <c r="P366" i="9"/>
  <c r="R1048" i="2"/>
  <c r="P538" i="9"/>
  <c r="Q804" i="2"/>
  <c r="N150" i="9"/>
  <c r="Q802" i="2"/>
  <c r="R948" i="2"/>
  <c r="O372" i="9"/>
  <c r="P374" i="9"/>
  <c r="Q1005" i="2"/>
  <c r="N463" i="9"/>
  <c r="Q1003" i="2"/>
  <c r="V1097" i="2"/>
  <c r="Y598" i="9"/>
  <c r="AC1097" i="2"/>
  <c r="V1106" i="2"/>
  <c r="Y607" i="9"/>
  <c r="Y607" i="4"/>
  <c r="N607" i="9"/>
  <c r="Q1106" i="2"/>
  <c r="Q1151" i="2"/>
  <c r="N664" i="9"/>
  <c r="Q1261" i="2"/>
  <c r="N823" i="9"/>
  <c r="R1283" i="2"/>
  <c r="P857" i="9"/>
  <c r="R746" i="2"/>
  <c r="P56" i="9"/>
  <c r="O53" i="9"/>
  <c r="R1037" i="2"/>
  <c r="P527" i="9"/>
  <c r="R1067" i="2"/>
  <c r="P557" i="9"/>
  <c r="Q827" i="2"/>
  <c r="O198" i="9"/>
  <c r="R962" i="2"/>
  <c r="H85" i="10"/>
  <c r="P395" i="9"/>
  <c r="W1028" i="2"/>
  <c r="S512" i="9"/>
  <c r="W1027" i="2"/>
  <c r="AD1065" i="2"/>
  <c r="O555" i="9"/>
  <c r="AK605" i="9"/>
  <c r="AK620" i="9"/>
  <c r="AC1133" i="2"/>
  <c r="AJ639" i="9"/>
  <c r="AJ639" i="4"/>
  <c r="AK639" i="9"/>
  <c r="AK639" i="4"/>
  <c r="O639" i="9"/>
  <c r="Y639" i="4"/>
  <c r="O639" i="4"/>
  <c r="P639" i="4"/>
  <c r="V1150" i="2"/>
  <c r="Y664" i="9"/>
  <c r="AI1193" i="2"/>
  <c r="AE724" i="4"/>
  <c r="P761" i="9"/>
  <c r="Q1236" i="2"/>
  <c r="AB1286" i="2"/>
  <c r="O860" i="9"/>
  <c r="T1320" i="2"/>
  <c r="AK1320" i="2"/>
  <c r="R1071" i="2"/>
  <c r="P561" i="9"/>
  <c r="O605" i="9"/>
  <c r="R1171" i="2"/>
  <c r="P692" i="9"/>
  <c r="Q966" i="2"/>
  <c r="N399" i="9"/>
  <c r="Q964" i="2"/>
  <c r="R1078" i="2"/>
  <c r="P572" i="9"/>
  <c r="AC1127" i="2"/>
  <c r="AK633" i="9"/>
  <c r="O633" i="9"/>
  <c r="AJ633" i="9"/>
  <c r="AC1142" i="2"/>
  <c r="AK648" i="9"/>
  <c r="O648" i="9"/>
  <c r="AJ648" i="9"/>
  <c r="AC1169" i="2"/>
  <c r="AK690" i="9"/>
  <c r="O690" i="9"/>
  <c r="AJ690" i="9"/>
  <c r="AD1238" i="2"/>
  <c r="E504" i="10"/>
  <c r="O797" i="9"/>
  <c r="Q767" i="2"/>
  <c r="O90" i="9"/>
  <c r="R840" i="2"/>
  <c r="P220" i="9"/>
  <c r="O216" i="9"/>
  <c r="R976" i="2"/>
  <c r="P413" i="9"/>
  <c r="R1010" i="2"/>
  <c r="P478" i="9"/>
  <c r="AD1090" i="2"/>
  <c r="O584" i="9"/>
  <c r="O569" i="9"/>
  <c r="AC1110" i="2"/>
  <c r="AJ611" i="9"/>
  <c r="AJ611" i="4"/>
  <c r="AK611" i="9"/>
  <c r="AK611" i="4"/>
  <c r="O611" i="9"/>
  <c r="AC1128" i="2"/>
  <c r="AJ634" i="9"/>
  <c r="AK634" i="9"/>
  <c r="O634" i="9"/>
  <c r="R792" i="2"/>
  <c r="P133" i="9"/>
  <c r="O130" i="9"/>
  <c r="R970" i="2"/>
  <c r="P407" i="9"/>
  <c r="Z569" i="9"/>
  <c r="AD1077" i="2"/>
  <c r="R1396" i="2"/>
  <c r="P1018" i="9"/>
  <c r="Q1303" i="2"/>
  <c r="N877" i="9"/>
  <c r="Q1299" i="2"/>
  <c r="N913" i="9"/>
  <c r="Q1318" i="2"/>
  <c r="AK1344" i="2"/>
  <c r="T1344" i="2"/>
  <c r="S1375" i="2"/>
  <c r="AJ1375" i="2"/>
  <c r="R1061" i="2"/>
  <c r="P551" i="9"/>
  <c r="R1250" i="2"/>
  <c r="P809" i="9"/>
  <c r="AM1339" i="2"/>
  <c r="AI944" i="9"/>
  <c r="R1372" i="2"/>
  <c r="P982" i="9"/>
  <c r="T1385" i="2"/>
  <c r="AK1385" i="2"/>
  <c r="AG1003" i="9"/>
  <c r="Z1447" i="2"/>
  <c r="O1094" i="9"/>
  <c r="V1094" i="4"/>
  <c r="O1094" i="4"/>
  <c r="P1094" i="4"/>
  <c r="R39" i="2"/>
  <c r="P83" i="5"/>
  <c r="N201" i="5"/>
  <c r="Q104" i="2"/>
  <c r="Q233" i="2"/>
  <c r="O391" i="5"/>
  <c r="AC333" i="2"/>
  <c r="Y548" i="4"/>
  <c r="Y517" i="4"/>
  <c r="Z1196" i="2"/>
  <c r="N731" i="9"/>
  <c r="AC731" i="9"/>
  <c r="AK1333" i="2"/>
  <c r="T1333" i="2"/>
  <c r="N963" i="9"/>
  <c r="Q1353" i="2"/>
  <c r="N1003" i="9"/>
  <c r="AD1394" i="2"/>
  <c r="AH1013" i="9"/>
  <c r="AL1394" i="2"/>
  <c r="O1013" i="9"/>
  <c r="AG1013" i="9"/>
  <c r="AF1409" i="2"/>
  <c r="AB1030" i="9"/>
  <c r="AF1399" i="2"/>
  <c r="P1071" i="9"/>
  <c r="Q18" i="2"/>
  <c r="N44" i="5"/>
  <c r="Q16" i="2"/>
  <c r="R1336" i="2"/>
  <c r="P938" i="9"/>
  <c r="AK1350" i="2"/>
  <c r="T1350" i="2"/>
  <c r="T1410" i="2"/>
  <c r="AK1410" i="2"/>
  <c r="R122" i="2"/>
  <c r="P230" i="5"/>
  <c r="Q172" i="2"/>
  <c r="O300" i="5"/>
  <c r="AI377" i="2"/>
  <c r="AE603" i="4"/>
  <c r="AJ422" i="2"/>
  <c r="AF656" i="5"/>
  <c r="AJ421" i="2"/>
  <c r="AF660" i="4"/>
  <c r="AF656" i="4"/>
  <c r="AD1330" i="2"/>
  <c r="AG932" i="9"/>
  <c r="AG932" i="4"/>
  <c r="O932" i="9"/>
  <c r="AH932" i="9"/>
  <c r="Z932" i="4"/>
  <c r="O932" i="4"/>
  <c r="AB96" i="2"/>
  <c r="AD310" i="2"/>
  <c r="O525" i="5"/>
  <c r="Z525" i="4"/>
  <c r="O525" i="4"/>
  <c r="P525" i="4"/>
  <c r="R1123" i="2"/>
  <c r="P629" i="9"/>
  <c r="R1155" i="2"/>
  <c r="P669" i="9"/>
  <c r="Q1326" i="2"/>
  <c r="N923" i="9"/>
  <c r="Q1324" i="2"/>
  <c r="Y1338" i="2"/>
  <c r="U906" i="9"/>
  <c r="Y1316" i="2"/>
  <c r="R1354" i="2"/>
  <c r="O963" i="9"/>
  <c r="P964" i="9"/>
  <c r="Q1370" i="2"/>
  <c r="N979" i="9"/>
  <c r="Q1369" i="2"/>
  <c r="T1391" i="2"/>
  <c r="AK1391" i="2"/>
  <c r="Q62" i="2"/>
  <c r="O122" i="5"/>
  <c r="Q101" i="2"/>
  <c r="O197" i="5"/>
  <c r="Q207" i="2"/>
  <c r="O351" i="5"/>
  <c r="Q228" i="2"/>
  <c r="O386" i="5"/>
  <c r="Q307" i="2"/>
  <c r="AD343" i="2"/>
  <c r="O558" i="5"/>
  <c r="Z558" i="4"/>
  <c r="O558" i="4"/>
  <c r="P558" i="4"/>
  <c r="AJ597" i="4"/>
  <c r="AA388" i="2"/>
  <c r="W614" i="5"/>
  <c r="AA387" i="2"/>
  <c r="R1342" i="2"/>
  <c r="P951" i="9"/>
  <c r="Q1421" i="2"/>
  <c r="N1059" i="9"/>
  <c r="Q1420" i="2"/>
  <c r="Z1438" i="2"/>
  <c r="O1085" i="9"/>
  <c r="R29" i="2"/>
  <c r="P67" i="5"/>
  <c r="R78" i="2"/>
  <c r="P153" i="5"/>
  <c r="R176" i="2"/>
  <c r="P307" i="5"/>
  <c r="AB293" i="2"/>
  <c r="X493" i="5"/>
  <c r="AB292" i="2"/>
  <c r="AD330" i="2"/>
  <c r="O545" i="5"/>
  <c r="Z545" i="4"/>
  <c r="O545" i="4"/>
  <c r="P545" i="4"/>
  <c r="T1388" i="2"/>
  <c r="AK1388" i="2"/>
  <c r="R266" i="2"/>
  <c r="P441" i="5"/>
  <c r="W422" i="2"/>
  <c r="S656" i="5"/>
  <c r="W421" i="2"/>
  <c r="S660" i="4"/>
  <c r="S656" i="4"/>
  <c r="V529" i="2"/>
  <c r="R812" i="4"/>
  <c r="AB590" i="2"/>
  <c r="O900" i="5"/>
  <c r="X900" i="4"/>
  <c r="O900" i="4"/>
  <c r="P900" i="4"/>
  <c r="AC999" i="5"/>
  <c r="AG660" i="2"/>
  <c r="R1507" i="2"/>
  <c r="P116" i="7"/>
  <c r="R618" i="5"/>
  <c r="AI393" i="2"/>
  <c r="AE623" i="4"/>
  <c r="T411" i="2"/>
  <c r="AE429" i="2"/>
  <c r="AE667" i="5"/>
  <c r="AA667" i="4"/>
  <c r="AC523" i="2"/>
  <c r="Y806" i="4"/>
  <c r="R149" i="2"/>
  <c r="P269" i="5"/>
  <c r="P543" i="5"/>
  <c r="AI395" i="2"/>
  <c r="AE625" i="4"/>
  <c r="AK645" i="4"/>
  <c r="AJ668" i="4"/>
  <c r="AI453" i="2"/>
  <c r="AK708" i="5"/>
  <c r="AK708" i="4"/>
  <c r="AE708" i="4"/>
  <c r="Z491" i="2"/>
  <c r="O769" i="5"/>
  <c r="V769" i="4"/>
  <c r="O769" i="4"/>
  <c r="P769" i="4"/>
  <c r="AD519" i="2"/>
  <c r="E550" i="6"/>
  <c r="F550" i="6"/>
  <c r="O802" i="5"/>
  <c r="Z802" i="4"/>
  <c r="O802" i="4"/>
  <c r="AB563" i="2"/>
  <c r="O861" i="5"/>
  <c r="X861" i="4"/>
  <c r="O861" i="4"/>
  <c r="P861" i="4"/>
  <c r="AD611" i="2"/>
  <c r="AG937" i="5"/>
  <c r="AH937" i="5"/>
  <c r="O937" i="5"/>
  <c r="Z937" i="4"/>
  <c r="O937" i="4"/>
  <c r="P937" i="4"/>
  <c r="AE630" i="2"/>
  <c r="AA948" i="5"/>
  <c r="AE661" i="2"/>
  <c r="AA999" i="5"/>
  <c r="AE660" i="2"/>
  <c r="AD692" i="2"/>
  <c r="AH1049" i="5"/>
  <c r="O1049" i="5"/>
  <c r="AG1049" i="5"/>
  <c r="Z1049" i="4"/>
  <c r="O1049" i="4"/>
  <c r="P1049" i="4"/>
  <c r="R22" i="2"/>
  <c r="P57" i="5"/>
  <c r="AE372" i="2"/>
  <c r="AA592" i="5"/>
  <c r="AE369" i="2"/>
  <c r="AA598" i="4"/>
  <c r="AA592" i="4"/>
  <c r="Q424" i="2"/>
  <c r="N661" i="5"/>
  <c r="AI435" i="2"/>
  <c r="AE673" i="4"/>
  <c r="R1371" i="2"/>
  <c r="P981" i="9"/>
  <c r="R171" i="2"/>
  <c r="P299" i="5"/>
  <c r="V411" i="2"/>
  <c r="R641" i="4"/>
  <c r="AD512" i="2"/>
  <c r="O795" i="5"/>
  <c r="Z795" i="4"/>
  <c r="P867" i="5"/>
  <c r="T610" i="2"/>
  <c r="AK610" i="2"/>
  <c r="AG936" i="4"/>
  <c r="R75" i="2"/>
  <c r="P147" i="5"/>
  <c r="AD293" i="2"/>
  <c r="Z493" i="5"/>
  <c r="AD292" i="2"/>
  <c r="R336" i="2"/>
  <c r="P551" i="5"/>
  <c r="AI433" i="2"/>
  <c r="AE671" i="4"/>
  <c r="AI456" i="2"/>
  <c r="AE711" i="4"/>
  <c r="Z504" i="2"/>
  <c r="O782" i="5"/>
  <c r="V782" i="4"/>
  <c r="O782" i="4"/>
  <c r="P782" i="4"/>
  <c r="AD522" i="2"/>
  <c r="O805" i="5"/>
  <c r="Z805" i="4"/>
  <c r="O805" i="4"/>
  <c r="P805" i="4"/>
  <c r="Q573" i="2"/>
  <c r="N874" i="5"/>
  <c r="AL602" i="2"/>
  <c r="AD636" i="2"/>
  <c r="O969" i="5"/>
  <c r="AG969" i="5"/>
  <c r="AH969" i="5"/>
  <c r="Z969" i="4"/>
  <c r="O969" i="4"/>
  <c r="P969" i="4"/>
  <c r="AL649" i="2"/>
  <c r="AH982" i="4"/>
  <c r="N1003" i="5"/>
  <c r="V669" i="2"/>
  <c r="R1011" i="4"/>
  <c r="Q677" i="2"/>
  <c r="N1030" i="5"/>
  <c r="Q676" i="2"/>
  <c r="R715" i="2"/>
  <c r="P1085" i="5"/>
  <c r="R1484" i="2"/>
  <c r="P80" i="7"/>
  <c r="O77" i="7"/>
  <c r="Q1499" i="2"/>
  <c r="O105" i="7"/>
  <c r="Q1563" i="2"/>
  <c r="O220" i="7"/>
  <c r="Q401" i="2"/>
  <c r="AK679" i="4"/>
  <c r="AA513" i="2"/>
  <c r="W792" i="5"/>
  <c r="AA511" i="2"/>
  <c r="W796" i="4"/>
  <c r="W792" i="4"/>
  <c r="R640" i="2"/>
  <c r="P973" i="5"/>
  <c r="R677" i="2"/>
  <c r="P1034" i="5"/>
  <c r="AK146" i="18"/>
  <c r="R693" i="2"/>
  <c r="P1050" i="5"/>
  <c r="R1477" i="2"/>
  <c r="P67" i="7"/>
  <c r="P562" i="5"/>
  <c r="AI407" i="2"/>
  <c r="AE637" i="4"/>
  <c r="AI420" i="2"/>
  <c r="AE653" i="4"/>
  <c r="Z473" i="2"/>
  <c r="N732" i="5"/>
  <c r="Q473" i="2"/>
  <c r="AC732" i="5"/>
  <c r="V732" i="4"/>
  <c r="N732" i="4"/>
  <c r="AB513" i="2"/>
  <c r="X792" i="5"/>
  <c r="AB511" i="2"/>
  <c r="X796" i="4"/>
  <c r="X792" i="4"/>
  <c r="AC529" i="2"/>
  <c r="Y812" i="4"/>
  <c r="AA547" i="2"/>
  <c r="W821" i="5"/>
  <c r="AA535" i="2"/>
  <c r="AB582" i="2"/>
  <c r="O884" i="5"/>
  <c r="R582" i="2"/>
  <c r="X884" i="4"/>
  <c r="O884" i="4"/>
  <c r="V616" i="2"/>
  <c r="R948" i="5"/>
  <c r="R949" i="4"/>
  <c r="AD680" i="2"/>
  <c r="AG1037" i="5"/>
  <c r="AH1037" i="5"/>
  <c r="O1037" i="5"/>
  <c r="R680" i="2"/>
  <c r="Z1037" i="4"/>
  <c r="O1037" i="4"/>
  <c r="Q1555" i="2"/>
  <c r="O206" i="7"/>
  <c r="AC1737" i="2"/>
  <c r="AI489" i="7"/>
  <c r="AJ489" i="7"/>
  <c r="AI484" i="7"/>
  <c r="AM1735" i="2"/>
  <c r="Y484" i="7"/>
  <c r="AC1735" i="2"/>
  <c r="O489" i="7"/>
  <c r="AD1770" i="2"/>
  <c r="O537" i="7"/>
  <c r="Z537" i="4"/>
  <c r="O537" i="4"/>
  <c r="P537" i="4"/>
  <c r="R1793" i="2"/>
  <c r="P560" i="7"/>
  <c r="AD1814" i="2"/>
  <c r="O585" i="7"/>
  <c r="AC1843" i="2"/>
  <c r="AJ625" i="7"/>
  <c r="AK625" i="7"/>
  <c r="AK625" i="4"/>
  <c r="O625" i="7"/>
  <c r="Y625" i="4"/>
  <c r="O625" i="4"/>
  <c r="P625" i="4"/>
  <c r="X1869" i="2"/>
  <c r="T656" i="7"/>
  <c r="X1868" i="2"/>
  <c r="AC1899" i="2"/>
  <c r="AK707" i="7"/>
  <c r="O707" i="7"/>
  <c r="AJ707" i="7"/>
  <c r="R1487" i="2"/>
  <c r="P83" i="7"/>
  <c r="Q1567" i="2"/>
  <c r="N224" i="7"/>
  <c r="Q1566" i="2"/>
  <c r="N253" i="7"/>
  <c r="R1645" i="2"/>
  <c r="P336" i="7"/>
  <c r="R1691" i="2"/>
  <c r="P405" i="7"/>
  <c r="R1719" i="2"/>
  <c r="P452" i="7"/>
  <c r="O449" i="7"/>
  <c r="AK626" i="4"/>
  <c r="R1463" i="2"/>
  <c r="P42" i="7"/>
  <c r="Q1509" i="2"/>
  <c r="O121" i="7"/>
  <c r="N118" i="7"/>
  <c r="Q1508" i="2"/>
  <c r="Q1716" i="2"/>
  <c r="N443" i="7"/>
  <c r="Q1715" i="2"/>
  <c r="AC1739" i="2"/>
  <c r="AI491" i="7"/>
  <c r="AJ491" i="7"/>
  <c r="O491" i="7"/>
  <c r="Y491" i="4"/>
  <c r="O491" i="4"/>
  <c r="P491" i="4"/>
  <c r="AD1780" i="2"/>
  <c r="O547" i="7"/>
  <c r="R1807" i="2"/>
  <c r="P578" i="7"/>
  <c r="AC1824" i="2"/>
  <c r="AJ602" i="7"/>
  <c r="AK602" i="7"/>
  <c r="AJ592" i="7"/>
  <c r="O602" i="7"/>
  <c r="Y602" i="4"/>
  <c r="AI1859" i="2"/>
  <c r="AE642" i="4"/>
  <c r="AA1869" i="2"/>
  <c r="W656" i="7"/>
  <c r="AA1868" i="2"/>
  <c r="AI1893" i="2"/>
  <c r="AC1909" i="2"/>
  <c r="AJ717" i="7"/>
  <c r="AK717" i="7"/>
  <c r="Y716" i="7"/>
  <c r="O717" i="7"/>
  <c r="R1606" i="2"/>
  <c r="P281" i="7"/>
  <c r="Q1688" i="2"/>
  <c r="N399" i="7"/>
  <c r="Q1687" i="2"/>
  <c r="AD1766" i="2"/>
  <c r="O533" i="7"/>
  <c r="R1789" i="2"/>
  <c r="P556" i="7"/>
  <c r="R1809" i="2"/>
  <c r="P580" i="7"/>
  <c r="AJ607" i="7"/>
  <c r="AE1839" i="2"/>
  <c r="AE621" i="7"/>
  <c r="AI1839" i="2"/>
  <c r="V1879" i="2"/>
  <c r="N670" i="7"/>
  <c r="Q1879" i="2"/>
  <c r="Y670" i="7"/>
  <c r="R670" i="4"/>
  <c r="N670" i="4"/>
  <c r="AL1904" i="2"/>
  <c r="T1904" i="2"/>
  <c r="AG702" i="7"/>
  <c r="AH712" i="4"/>
  <c r="AG702" i="4"/>
  <c r="R1916" i="2"/>
  <c r="P724" i="7"/>
  <c r="V1960" i="2"/>
  <c r="Z796" i="7"/>
  <c r="Q1637" i="2"/>
  <c r="O325" i="7"/>
  <c r="N592" i="7"/>
  <c r="N327" i="7"/>
  <c r="Q1638" i="2"/>
  <c r="P363" i="7"/>
  <c r="Q1679" i="2"/>
  <c r="O389" i="7"/>
  <c r="P410" i="7"/>
  <c r="R1738" i="2"/>
  <c r="P490" i="7"/>
  <c r="AD1784" i="2"/>
  <c r="O551" i="7"/>
  <c r="Z551" i="4"/>
  <c r="O551" i="4"/>
  <c r="P551" i="4"/>
  <c r="R1811" i="2"/>
  <c r="P582" i="7"/>
  <c r="R1844" i="2"/>
  <c r="P626" i="7"/>
  <c r="AC1857" i="2"/>
  <c r="AJ640" i="7"/>
  <c r="AK640" i="7"/>
  <c r="O640" i="7"/>
  <c r="AI1878" i="2"/>
  <c r="AE669" i="4"/>
  <c r="V1891" i="2"/>
  <c r="Y689" i="7"/>
  <c r="R685" i="7"/>
  <c r="V1890" i="2"/>
  <c r="P762" i="7"/>
  <c r="AL691" i="2"/>
  <c r="AH1048" i="4"/>
  <c r="O474" i="7"/>
  <c r="P817" i="7"/>
  <c r="R2009" i="2"/>
  <c r="P860" i="7"/>
  <c r="Q2104" i="2"/>
  <c r="N994" i="7"/>
  <c r="Q2103" i="2"/>
  <c r="R2117" i="2"/>
  <c r="P1013" i="7"/>
  <c r="AL2128" i="2"/>
  <c r="AC1911" i="2"/>
  <c r="AK719" i="7"/>
  <c r="O719" i="7"/>
  <c r="AJ719" i="7"/>
  <c r="R1929" i="2"/>
  <c r="P751" i="7"/>
  <c r="O748" i="7"/>
  <c r="AC1960" i="2"/>
  <c r="Y792" i="7"/>
  <c r="AC1958" i="2"/>
  <c r="Q2033" i="2"/>
  <c r="N889" i="7"/>
  <c r="Q2032" i="2"/>
  <c r="R2045" i="2"/>
  <c r="P920" i="7"/>
  <c r="R2095" i="2"/>
  <c r="P982" i="7"/>
  <c r="R2143" i="2"/>
  <c r="R2165" i="2"/>
  <c r="P1089" i="7"/>
  <c r="AC1903" i="2"/>
  <c r="AK711" i="7"/>
  <c r="AK711" i="4"/>
  <c r="O711" i="7"/>
  <c r="AJ711" i="7"/>
  <c r="AJ711" i="4"/>
  <c r="Y711" i="4"/>
  <c r="R2007" i="2"/>
  <c r="P858" i="7"/>
  <c r="T2077" i="2"/>
  <c r="AK2077" i="2"/>
  <c r="T2087" i="2"/>
  <c r="AK2087" i="2"/>
  <c r="R2120" i="2"/>
  <c r="P1022" i="7"/>
  <c r="X1904" i="2"/>
  <c r="T702" i="7"/>
  <c r="X1897" i="2"/>
  <c r="R2057" i="2"/>
  <c r="P936" i="7"/>
  <c r="T2065" i="2"/>
  <c r="AK2065" i="2"/>
  <c r="S2098" i="2"/>
  <c r="AJ2098" i="2"/>
  <c r="T2137" i="2"/>
  <c r="AK2137" i="2"/>
  <c r="Z2154" i="2"/>
  <c r="O1078" i="7"/>
  <c r="R1954" i="2"/>
  <c r="P785" i="7"/>
  <c r="AD2094" i="2"/>
  <c r="AH981" i="7"/>
  <c r="O981" i="7"/>
  <c r="O979" i="7"/>
  <c r="AG981" i="7"/>
  <c r="T2112" i="2"/>
  <c r="AK2112" i="2"/>
  <c r="R1941" i="2"/>
  <c r="P772" i="7"/>
  <c r="AI2062" i="2"/>
  <c r="AE944" i="7"/>
  <c r="AD2084" i="2"/>
  <c r="AH971" i="7"/>
  <c r="AL2084" i="2"/>
  <c r="O971" i="7"/>
  <c r="AG971" i="7"/>
  <c r="AD2090" i="2"/>
  <c r="AH977" i="7"/>
  <c r="AL2090" i="2"/>
  <c r="Z976" i="7"/>
  <c r="O977" i="7"/>
  <c r="AG977" i="7"/>
  <c r="AD2133" i="2"/>
  <c r="AG1044" i="7"/>
  <c r="O1044" i="7"/>
  <c r="AH1044" i="7"/>
  <c r="AL2133" i="2"/>
  <c r="Z2161" i="2"/>
  <c r="O1085" i="7"/>
  <c r="V1085" i="4"/>
  <c r="O1085" i="4"/>
  <c r="P1085" i="4"/>
  <c r="R189" i="7"/>
  <c r="V1544" i="2"/>
  <c r="R1910" i="2"/>
  <c r="P718" i="7"/>
  <c r="V1976" i="2"/>
  <c r="Z812" i="7"/>
  <c r="AD1976" i="2"/>
  <c r="AB2006" i="2"/>
  <c r="X856" i="7"/>
  <c r="O857" i="7"/>
  <c r="AD2070" i="2"/>
  <c r="AH957" i="7"/>
  <c r="AL2070" i="2"/>
  <c r="O957" i="7"/>
  <c r="AG957" i="7"/>
  <c r="N979" i="7"/>
  <c r="Q2092" i="2"/>
  <c r="R2128" i="2"/>
  <c r="P1039" i="7"/>
  <c r="P31" i="4"/>
  <c r="R2118" i="2"/>
  <c r="P1014" i="7"/>
  <c r="V2158" i="2"/>
  <c r="V1082" i="7"/>
  <c r="Z2158" i="2"/>
  <c r="O136" i="4"/>
  <c r="AB1991" i="2"/>
  <c r="O836" i="7"/>
  <c r="R1978" i="2"/>
  <c r="P814" i="7"/>
  <c r="AB1993" i="2"/>
  <c r="O838" i="7"/>
  <c r="T2129" i="2"/>
  <c r="AK2129" i="2"/>
  <c r="P804" i="7"/>
  <c r="T2108" i="2"/>
  <c r="AK2108" i="2"/>
  <c r="AG1003" i="7"/>
  <c r="R2109" i="2"/>
  <c r="P1005" i="7"/>
  <c r="AB2031" i="2"/>
  <c r="O886" i="7"/>
  <c r="T2127" i="2"/>
  <c r="AK2127" i="2"/>
  <c r="AB574" i="2"/>
  <c r="O876" i="5"/>
  <c r="X876" i="4"/>
  <c r="O876" i="4"/>
  <c r="P876" i="4"/>
  <c r="AB1297" i="2"/>
  <c r="O875" i="9"/>
  <c r="AB2023" i="2"/>
  <c r="O878" i="7"/>
  <c r="AB1312" i="2"/>
  <c r="O895" i="9"/>
  <c r="Z572" i="2"/>
  <c r="V874" i="4"/>
  <c r="Q870" i="2"/>
  <c r="O265" i="9"/>
  <c r="AD436" i="6"/>
  <c r="Q739" i="2"/>
  <c r="O41" i="9"/>
  <c r="N38" i="9"/>
  <c r="P67" i="9"/>
  <c r="R810" i="2"/>
  <c r="P165" i="9"/>
  <c r="R850" i="2"/>
  <c r="P237" i="9"/>
  <c r="O234" i="9"/>
  <c r="Q891" i="2"/>
  <c r="N290" i="9"/>
  <c r="Q890" i="2"/>
  <c r="AC1013" i="2"/>
  <c r="AJ488" i="9"/>
  <c r="O488" i="9"/>
  <c r="Y484" i="9"/>
  <c r="AC1012" i="2"/>
  <c r="AI488" i="9"/>
  <c r="Q751" i="2"/>
  <c r="N61" i="9"/>
  <c r="Q750" i="2"/>
  <c r="P64" i="9"/>
  <c r="Q849" i="2"/>
  <c r="N232" i="9"/>
  <c r="Q848" i="2"/>
  <c r="N271" i="9"/>
  <c r="Q875" i="2"/>
  <c r="Q921" i="2"/>
  <c r="P335" i="9"/>
  <c r="O271" i="9"/>
  <c r="Q963" i="2"/>
  <c r="O396" i="9"/>
  <c r="P334" i="9"/>
  <c r="D348" i="10"/>
  <c r="AE348" i="10"/>
  <c r="AF348" i="10"/>
  <c r="R986" i="2"/>
  <c r="P433" i="9"/>
  <c r="AE1116" i="2"/>
  <c r="AE621" i="9"/>
  <c r="AK621" i="9"/>
  <c r="R1134" i="2"/>
  <c r="P640" i="9"/>
  <c r="R1189" i="2"/>
  <c r="P720" i="9"/>
  <c r="R968" i="2"/>
  <c r="P405" i="9"/>
  <c r="R1079" i="2"/>
  <c r="P573" i="9"/>
  <c r="AB1113" i="2"/>
  <c r="X614" i="9"/>
  <c r="AB1112" i="2"/>
  <c r="N22" i="9"/>
  <c r="R941" i="2"/>
  <c r="P364" i="9"/>
  <c r="R1008" i="2"/>
  <c r="AC1107" i="2"/>
  <c r="O608" i="9"/>
  <c r="AJ608" i="9"/>
  <c r="AJ607" i="9"/>
  <c r="AI592" i="9"/>
  <c r="AK608" i="9"/>
  <c r="AK607" i="9"/>
  <c r="Y608" i="4"/>
  <c r="O608" i="4"/>
  <c r="P608" i="4"/>
  <c r="AC1118" i="2"/>
  <c r="AJ623" i="9"/>
  <c r="AK623" i="9"/>
  <c r="O623" i="9"/>
  <c r="Q1136" i="2"/>
  <c r="N641" i="9"/>
  <c r="Q1135" i="2"/>
  <c r="AI1164" i="2"/>
  <c r="V1182" i="2"/>
  <c r="R712" i="9"/>
  <c r="Q1215" i="2"/>
  <c r="N766" i="9"/>
  <c r="Q1214" i="2"/>
  <c r="Y796" i="9"/>
  <c r="R819" i="2"/>
  <c r="P183" i="9"/>
  <c r="R935" i="2"/>
  <c r="P354" i="9"/>
  <c r="R1129" i="2"/>
  <c r="P635" i="9"/>
  <c r="AB1146" i="2"/>
  <c r="X656" i="9"/>
  <c r="AB1145" i="2"/>
  <c r="R1215" i="2"/>
  <c r="P769" i="9"/>
  <c r="R1044" i="2"/>
  <c r="P534" i="9"/>
  <c r="R1085" i="2"/>
  <c r="P579" i="9"/>
  <c r="AM1113" i="2"/>
  <c r="AH614" i="9"/>
  <c r="U1146" i="2"/>
  <c r="Q656" i="9"/>
  <c r="U1145" i="2"/>
  <c r="AI1173" i="2"/>
  <c r="AE697" i="4"/>
  <c r="AC1190" i="2"/>
  <c r="AK721" i="9"/>
  <c r="O721" i="9"/>
  <c r="AJ721" i="9"/>
  <c r="AD1251" i="2"/>
  <c r="O810" i="9"/>
  <c r="Q1010" i="2"/>
  <c r="N474" i="9"/>
  <c r="Q1008" i="2"/>
  <c r="X1113" i="2"/>
  <c r="T614" i="9"/>
  <c r="X1112" i="2"/>
  <c r="AD1242" i="2"/>
  <c r="O801" i="9"/>
  <c r="AB1298" i="2"/>
  <c r="O876" i="9"/>
  <c r="N382" i="9"/>
  <c r="Q1078" i="2"/>
  <c r="N569" i="9"/>
  <c r="Q1077" i="2"/>
  <c r="R1130" i="2"/>
  <c r="P636" i="9"/>
  <c r="X1339" i="2"/>
  <c r="T944" i="9"/>
  <c r="AC1156" i="2"/>
  <c r="AJ670" i="9"/>
  <c r="AK670" i="9"/>
  <c r="O670" i="9"/>
  <c r="O667" i="9"/>
  <c r="AB1303" i="2"/>
  <c r="O881" i="9"/>
  <c r="N1043" i="9"/>
  <c r="Q1409" i="2"/>
  <c r="Z1200" i="2"/>
  <c r="V736" i="9"/>
  <c r="Z1199" i="2"/>
  <c r="O739" i="9"/>
  <c r="Z1339" i="2"/>
  <c r="V944" i="9"/>
  <c r="Z1003" i="9"/>
  <c r="AD1405" i="2"/>
  <c r="AH1039" i="9"/>
  <c r="AL1405" i="2"/>
  <c r="O1039" i="9"/>
  <c r="AG1039" i="9"/>
  <c r="W112" i="2"/>
  <c r="S212" i="5"/>
  <c r="Q235" i="2"/>
  <c r="O393" i="5"/>
  <c r="R255" i="2"/>
  <c r="P422" i="5"/>
  <c r="AD338" i="2"/>
  <c r="O553" i="5"/>
  <c r="Z553" i="4"/>
  <c r="O553" i="4"/>
  <c r="P553" i="4"/>
  <c r="Z1228" i="2"/>
  <c r="O782" i="9"/>
  <c r="R1292" i="2"/>
  <c r="P866" i="9"/>
  <c r="AD1413" i="2"/>
  <c r="AH1047" i="9"/>
  <c r="AL1413" i="2"/>
  <c r="O1047" i="9"/>
  <c r="AG1047" i="9"/>
  <c r="Z1046" i="9"/>
  <c r="Q136" i="2"/>
  <c r="O256" i="5"/>
  <c r="W303" i="2"/>
  <c r="AD341" i="2"/>
  <c r="O556" i="5"/>
  <c r="Z556" i="4"/>
  <c r="O556" i="4"/>
  <c r="P556" i="4"/>
  <c r="AD1321" i="2"/>
  <c r="AG919" i="9"/>
  <c r="AH919" i="9"/>
  <c r="AL1321" i="2"/>
  <c r="O919" i="9"/>
  <c r="R1350" i="2"/>
  <c r="P960" i="9"/>
  <c r="T1374" i="2"/>
  <c r="AK1374" i="2"/>
  <c r="T1378" i="2"/>
  <c r="AK1378" i="2"/>
  <c r="R1389" i="2"/>
  <c r="P1008" i="9"/>
  <c r="Z1043" i="9"/>
  <c r="R18" i="2"/>
  <c r="P48" i="5"/>
  <c r="P154" i="5"/>
  <c r="Q140" i="2"/>
  <c r="O260" i="5"/>
  <c r="R188" i="2"/>
  <c r="P324" i="5"/>
  <c r="Q212" i="2"/>
  <c r="R290" i="2"/>
  <c r="P490" i="5"/>
  <c r="AD344" i="2"/>
  <c r="O559" i="5"/>
  <c r="Z559" i="4"/>
  <c r="O559" i="4"/>
  <c r="P559" i="4"/>
  <c r="AC379" i="2"/>
  <c r="AJ605" i="5"/>
  <c r="AJ605" i="4"/>
  <c r="AK605" i="5"/>
  <c r="AK605" i="4"/>
  <c r="O605" i="5"/>
  <c r="Y605" i="4"/>
  <c r="O605" i="4"/>
  <c r="P605" i="4"/>
  <c r="AE426" i="2"/>
  <c r="AE664" i="5"/>
  <c r="AA664" i="4"/>
  <c r="AL656" i="9"/>
  <c r="R1241" i="2"/>
  <c r="P800" i="9"/>
  <c r="AB1308" i="2"/>
  <c r="O886" i="9"/>
  <c r="AD1345" i="2"/>
  <c r="AH954" i="9"/>
  <c r="AL1345" i="2"/>
  <c r="O954" i="9"/>
  <c r="AG954" i="9"/>
  <c r="R1364" i="2"/>
  <c r="P974" i="9"/>
  <c r="AD1030" i="9"/>
  <c r="AH1399" i="2"/>
  <c r="R1444" i="2"/>
  <c r="P1091" i="9"/>
  <c r="R21" i="2"/>
  <c r="P56" i="5"/>
  <c r="R48" i="2"/>
  <c r="P102" i="5"/>
  <c r="N191" i="5"/>
  <c r="AD331" i="2"/>
  <c r="O546" i="5"/>
  <c r="Z546" i="4"/>
  <c r="O546" i="4"/>
  <c r="P546" i="4"/>
  <c r="AC1193" i="2"/>
  <c r="AJ724" i="9"/>
  <c r="AJ722" i="9"/>
  <c r="AK724" i="9"/>
  <c r="AK722" i="9"/>
  <c r="O724" i="9"/>
  <c r="Y724" i="4"/>
  <c r="O724" i="4"/>
  <c r="P724" i="4"/>
  <c r="R1277" i="2"/>
  <c r="P848" i="9"/>
  <c r="AD1326" i="2"/>
  <c r="AG928" i="9"/>
  <c r="AK1326" i="2"/>
  <c r="AH928" i="9"/>
  <c r="O928" i="9"/>
  <c r="Z928" i="4"/>
  <c r="O928" i="4"/>
  <c r="P928" i="4"/>
  <c r="AK1354" i="2"/>
  <c r="T1354" i="2"/>
  <c r="AG963" i="9"/>
  <c r="AD1373" i="2"/>
  <c r="AH983" i="9"/>
  <c r="AL1373" i="2"/>
  <c r="O983" i="9"/>
  <c r="O979" i="9"/>
  <c r="AG983" i="9"/>
  <c r="AG979" i="9"/>
  <c r="R1391" i="2"/>
  <c r="P1010" i="9"/>
  <c r="Q27" i="2"/>
  <c r="Q103" i="2"/>
  <c r="O199" i="5"/>
  <c r="Q209" i="2"/>
  <c r="O353" i="5"/>
  <c r="Q230" i="2"/>
  <c r="O388" i="5"/>
  <c r="P407" i="5"/>
  <c r="AD346" i="2"/>
  <c r="O561" i="5"/>
  <c r="Z561" i="4"/>
  <c r="O561" i="4"/>
  <c r="P561" i="4"/>
  <c r="AC373" i="2"/>
  <c r="AJ599" i="5"/>
  <c r="Y599" i="4"/>
  <c r="R1222" i="2"/>
  <c r="P776" i="9"/>
  <c r="V1310" i="2"/>
  <c r="R889" i="9"/>
  <c r="V1309" i="2"/>
  <c r="AD1361" i="2"/>
  <c r="AH971" i="9"/>
  <c r="AL1361" i="2"/>
  <c r="AG971" i="9"/>
  <c r="O971" i="9"/>
  <c r="P1062" i="9"/>
  <c r="Z1448" i="2"/>
  <c r="O1095" i="9"/>
  <c r="R80" i="2"/>
  <c r="P155" i="5"/>
  <c r="R130" i="2"/>
  <c r="P245" i="5"/>
  <c r="R158" i="2"/>
  <c r="P281" i="5"/>
  <c r="R178" i="2"/>
  <c r="P309" i="5"/>
  <c r="Q367" i="2"/>
  <c r="AD335" i="2"/>
  <c r="O550" i="5"/>
  <c r="Z550" i="4"/>
  <c r="O550" i="4"/>
  <c r="P550" i="4"/>
  <c r="AI375" i="2"/>
  <c r="AE601" i="4"/>
  <c r="Q392" i="2"/>
  <c r="N621" i="5"/>
  <c r="Q391" i="2"/>
  <c r="AG422" i="2"/>
  <c r="AC656" i="5"/>
  <c r="AG421" i="2"/>
  <c r="AC660" i="4"/>
  <c r="AC656" i="4"/>
  <c r="AJ679" i="4"/>
  <c r="R456" i="2"/>
  <c r="P711" i="5"/>
  <c r="R468" i="2"/>
  <c r="P723" i="5"/>
  <c r="O722" i="5"/>
  <c r="AD529" i="2"/>
  <c r="Z812" i="4"/>
  <c r="R552" i="2"/>
  <c r="P847" i="5"/>
  <c r="T1328" i="2"/>
  <c r="R194" i="2"/>
  <c r="P333" i="5"/>
  <c r="Z295" i="2"/>
  <c r="N499" i="5"/>
  <c r="AC499" i="5"/>
  <c r="V499" i="4"/>
  <c r="AJ645" i="4"/>
  <c r="AA457" i="2"/>
  <c r="W702" i="5"/>
  <c r="AA450" i="2"/>
  <c r="W712" i="4"/>
  <c r="W702" i="4"/>
  <c r="R549" i="2"/>
  <c r="P844" i="5"/>
  <c r="Y710" i="4"/>
  <c r="O710" i="4"/>
  <c r="N773" i="5"/>
  <c r="Q495" i="2"/>
  <c r="V523" i="2"/>
  <c r="R806" i="4"/>
  <c r="AB565" i="2"/>
  <c r="O863" i="5"/>
  <c r="X863" i="4"/>
  <c r="O863" i="4"/>
  <c r="AD632" i="2"/>
  <c r="O965" i="5"/>
  <c r="R632" i="2"/>
  <c r="E25" i="14"/>
  <c r="AG965" i="5"/>
  <c r="AK632" i="2"/>
  <c r="AH965" i="5"/>
  <c r="AL632" i="2"/>
  <c r="Z965" i="4"/>
  <c r="O965" i="4"/>
  <c r="P965" i="4"/>
  <c r="AD664" i="2"/>
  <c r="AG1006" i="5"/>
  <c r="AH1006" i="5"/>
  <c r="O1006" i="5"/>
  <c r="Z1006" i="4"/>
  <c r="O1006" i="4"/>
  <c r="P1006" i="4"/>
  <c r="AK693" i="2"/>
  <c r="AG1050" i="4"/>
  <c r="R1474" i="2"/>
  <c r="O61" i="7"/>
  <c r="P64" i="7"/>
  <c r="N124" i="5"/>
  <c r="Q63" i="2"/>
  <c r="R271" i="2"/>
  <c r="P452" i="5"/>
  <c r="Q374" i="2"/>
  <c r="AE391" i="2"/>
  <c r="AA618" i="5"/>
  <c r="AA621" i="4"/>
  <c r="AA618" i="4"/>
  <c r="AA614" i="4"/>
  <c r="AI408" i="2"/>
  <c r="AE638" i="4"/>
  <c r="AB669" i="2"/>
  <c r="X1011" i="4"/>
  <c r="AD308" i="2"/>
  <c r="O523" i="5"/>
  <c r="Z523" i="4"/>
  <c r="O523" i="4"/>
  <c r="P523" i="4"/>
  <c r="AD334" i="2"/>
  <c r="O549" i="5"/>
  <c r="Z549" i="4"/>
  <c r="O549" i="4"/>
  <c r="P549" i="4"/>
  <c r="AM422" i="2"/>
  <c r="AI656" i="5"/>
  <c r="AM421" i="2"/>
  <c r="AI660" i="4"/>
  <c r="AI656" i="4"/>
  <c r="V586" i="2"/>
  <c r="R889" i="5"/>
  <c r="V585" i="2"/>
  <c r="AD627" i="2"/>
  <c r="O960" i="5"/>
  <c r="O958" i="5"/>
  <c r="AG960" i="5"/>
  <c r="AH960" i="5"/>
  <c r="Z960" i="4"/>
  <c r="O960" i="4"/>
  <c r="V653" i="2"/>
  <c r="R990" i="4"/>
  <c r="AC669" i="2"/>
  <c r="Y1011" i="4"/>
  <c r="R192" i="2"/>
  <c r="P331" i="5"/>
  <c r="W457" i="2"/>
  <c r="S702" i="5"/>
  <c r="W450" i="2"/>
  <c r="S712" i="4"/>
  <c r="S702" i="4"/>
  <c r="AC463" i="2"/>
  <c r="AJ718" i="5"/>
  <c r="AJ718" i="4"/>
  <c r="AK718" i="5"/>
  <c r="AK718" i="4"/>
  <c r="O718" i="5"/>
  <c r="Y718" i="4"/>
  <c r="Q482" i="2"/>
  <c r="R525" i="2"/>
  <c r="P808" i="5"/>
  <c r="R553" i="2"/>
  <c r="P848" i="5"/>
  <c r="V575" i="2"/>
  <c r="R877" i="4"/>
  <c r="R623" i="2"/>
  <c r="E21" i="14"/>
  <c r="P956" i="5"/>
  <c r="Z661" i="2"/>
  <c r="AB678" i="2"/>
  <c r="X1030" i="5"/>
  <c r="AB676" i="2"/>
  <c r="X1035" i="4"/>
  <c r="Z716" i="2"/>
  <c r="O1086" i="5"/>
  <c r="U1086" i="4"/>
  <c r="V1086" i="4"/>
  <c r="O1086" i="4"/>
  <c r="P1086" i="4"/>
  <c r="Q1459" i="2"/>
  <c r="N28" i="7"/>
  <c r="Q1457" i="2"/>
  <c r="R1486" i="2"/>
  <c r="P82" i="7"/>
  <c r="Q1565" i="2"/>
  <c r="O222" i="7"/>
  <c r="P229" i="5"/>
  <c r="AD329" i="2"/>
  <c r="O544" i="5"/>
  <c r="Z544" i="4"/>
  <c r="O544" i="4"/>
  <c r="P544" i="4"/>
  <c r="AC377" i="2"/>
  <c r="AJ603" i="5"/>
  <c r="AJ603" i="4"/>
  <c r="AK603" i="5"/>
  <c r="AK603" i="4"/>
  <c r="O603" i="5"/>
  <c r="Y603" i="4"/>
  <c r="O603" i="4"/>
  <c r="AA660" i="5"/>
  <c r="R454" i="2"/>
  <c r="P709" i="5"/>
  <c r="Q491" i="2"/>
  <c r="AC515" i="2"/>
  <c r="Y798" i="4"/>
  <c r="V572" i="2"/>
  <c r="R871" i="5"/>
  <c r="V571" i="2"/>
  <c r="R874" i="4"/>
  <c r="R871" i="4"/>
  <c r="V643" i="2"/>
  <c r="R976" i="4"/>
  <c r="R673" i="2"/>
  <c r="P1018" i="5"/>
  <c r="AK142" i="18"/>
  <c r="AC678" i="2"/>
  <c r="Y1035" i="4"/>
  <c r="R721" i="2"/>
  <c r="P1091" i="5"/>
  <c r="Q41" i="2"/>
  <c r="O89" i="5"/>
  <c r="R41" i="2"/>
  <c r="N86" i="5"/>
  <c r="Q40" i="2"/>
  <c r="R93" i="2"/>
  <c r="P182" i="5"/>
  <c r="Y411" i="2"/>
  <c r="U641" i="4"/>
  <c r="AC440" i="2"/>
  <c r="AJ678" i="5"/>
  <c r="AJ678" i="4"/>
  <c r="Y678" i="4"/>
  <c r="AK707" i="5"/>
  <c r="AK707" i="4"/>
  <c r="AJ702" i="4"/>
  <c r="Y707" i="4"/>
  <c r="AI463" i="2"/>
  <c r="AE718" i="4"/>
  <c r="V515" i="2"/>
  <c r="R796" i="5"/>
  <c r="R798" i="4"/>
  <c r="AD531" i="2"/>
  <c r="O814" i="5"/>
  <c r="O812" i="5"/>
  <c r="Z814" i="4"/>
  <c r="O814" i="4"/>
  <c r="R555" i="2"/>
  <c r="P850" i="5"/>
  <c r="AD683" i="2"/>
  <c r="AG1040" i="5"/>
  <c r="AH1040" i="5"/>
  <c r="O1040" i="5"/>
  <c r="Z1040" i="4"/>
  <c r="O1040" i="4"/>
  <c r="Q714" i="2"/>
  <c r="N1082" i="5"/>
  <c r="Q1470" i="2"/>
  <c r="O57" i="7"/>
  <c r="Q1557" i="2"/>
  <c r="O208" i="7"/>
  <c r="AK638" i="5"/>
  <c r="Q1630" i="2"/>
  <c r="O318" i="7"/>
  <c r="N315" i="7"/>
  <c r="AD1794" i="2"/>
  <c r="O561" i="7"/>
  <c r="U1836" i="2"/>
  <c r="Q614" i="7"/>
  <c r="U1835" i="2"/>
  <c r="R1846" i="2"/>
  <c r="P629" i="7"/>
  <c r="AG1869" i="2"/>
  <c r="AB656" i="7"/>
  <c r="AF1868" i="2"/>
  <c r="AC1882" i="2"/>
  <c r="AJ673" i="7"/>
  <c r="AK673" i="7"/>
  <c r="O673" i="7"/>
  <c r="Z1904" i="2"/>
  <c r="V702" i="7"/>
  <c r="Z1897" i="2"/>
  <c r="R1531" i="2"/>
  <c r="O159" i="7"/>
  <c r="P161" i="7"/>
  <c r="Q1609" i="2"/>
  <c r="P284" i="7"/>
  <c r="R1693" i="2"/>
  <c r="P407" i="7"/>
  <c r="R1721" i="2"/>
  <c r="P454" i="7"/>
  <c r="N569" i="7"/>
  <c r="Q1800" i="2"/>
  <c r="V1836" i="2"/>
  <c r="R614" i="7"/>
  <c r="V1835" i="2"/>
  <c r="AA1904" i="2"/>
  <c r="W702" i="7"/>
  <c r="AA1897" i="2"/>
  <c r="R1496" i="2"/>
  <c r="P102" i="7"/>
  <c r="R1763" i="2"/>
  <c r="P530" i="7"/>
  <c r="AD1808" i="2"/>
  <c r="O579" i="7"/>
  <c r="R1827" i="2"/>
  <c r="P605" i="7"/>
  <c r="R1848" i="2"/>
  <c r="O630" i="7"/>
  <c r="P631" i="7"/>
  <c r="AC1861" i="2"/>
  <c r="E408" i="8"/>
  <c r="AJ644" i="7"/>
  <c r="AK644" i="7"/>
  <c r="O644" i="7"/>
  <c r="AC1884" i="2"/>
  <c r="AJ675" i="7"/>
  <c r="AK675" i="7"/>
  <c r="O675" i="7"/>
  <c r="AC1895" i="2"/>
  <c r="AJ693" i="7"/>
  <c r="AK693" i="7"/>
  <c r="AK693" i="4"/>
  <c r="O693" i="7"/>
  <c r="Y693" i="4"/>
  <c r="O693" i="4"/>
  <c r="R1912" i="2"/>
  <c r="P720" i="7"/>
  <c r="W707" i="2"/>
  <c r="T1075" i="5"/>
  <c r="X707" i="2"/>
  <c r="Q1490" i="2"/>
  <c r="O90" i="7"/>
  <c r="O86" i="7"/>
  <c r="Q1547" i="2"/>
  <c r="O195" i="7"/>
  <c r="H99" i="8"/>
  <c r="O646" i="5"/>
  <c r="R1533" i="2"/>
  <c r="P165" i="7"/>
  <c r="P431" i="7"/>
  <c r="P461" i="7"/>
  <c r="AD1790" i="2"/>
  <c r="O557" i="7"/>
  <c r="AD1810" i="2"/>
  <c r="O581" i="7"/>
  <c r="AI1831" i="2"/>
  <c r="AE609" i="4"/>
  <c r="O609" i="4"/>
  <c r="R1842" i="2"/>
  <c r="P624" i="7"/>
  <c r="R1881" i="2"/>
  <c r="P672" i="7"/>
  <c r="R1892" i="2"/>
  <c r="P690" i="7"/>
  <c r="O689" i="7"/>
  <c r="Y713" i="7"/>
  <c r="AJ602" i="4"/>
  <c r="AB1544" i="2"/>
  <c r="X186" i="7"/>
  <c r="AB1543" i="2"/>
  <c r="Q1615" i="2"/>
  <c r="O295" i="7"/>
  <c r="N292" i="7"/>
  <c r="N53" i="7"/>
  <c r="Q1575" i="2"/>
  <c r="O239" i="7"/>
  <c r="Q1595" i="2"/>
  <c r="O267" i="7"/>
  <c r="Q1650" i="2"/>
  <c r="O346" i="7"/>
  <c r="P365" i="7"/>
  <c r="Q1681" i="2"/>
  <c r="O391" i="7"/>
  <c r="P412" i="7"/>
  <c r="P453" i="7"/>
  <c r="R1767" i="2"/>
  <c r="P534" i="7"/>
  <c r="AD1812" i="2"/>
  <c r="O583" i="7"/>
  <c r="Z583" i="4"/>
  <c r="O583" i="4"/>
  <c r="P583" i="4"/>
  <c r="AI1833" i="2"/>
  <c r="AE611" i="4"/>
  <c r="AC1880" i="2"/>
  <c r="AJ671" i="7"/>
  <c r="AK671" i="7"/>
  <c r="O671" i="7"/>
  <c r="Y671" i="4"/>
  <c r="O671" i="4"/>
  <c r="AE1891" i="2"/>
  <c r="AE689" i="7"/>
  <c r="AA685" i="7"/>
  <c r="AE1890" i="2"/>
  <c r="V1905" i="2"/>
  <c r="R712" i="7"/>
  <c r="Z1919" i="2"/>
  <c r="N731" i="7"/>
  <c r="Q1919" i="2"/>
  <c r="AC731" i="7"/>
  <c r="V731" i="4"/>
  <c r="R1939" i="2"/>
  <c r="P770" i="7"/>
  <c r="AK691" i="2"/>
  <c r="T691" i="2"/>
  <c r="AG1048" i="4"/>
  <c r="R1642" i="2"/>
  <c r="P333" i="7"/>
  <c r="N495" i="7"/>
  <c r="N713" i="7"/>
  <c r="T2095" i="2"/>
  <c r="AK2095" i="2"/>
  <c r="AL2118" i="2"/>
  <c r="T2118" i="2"/>
  <c r="Z2166" i="2"/>
  <c r="O1090" i="7"/>
  <c r="AD1975" i="2"/>
  <c r="O811" i="7"/>
  <c r="Z811" i="4"/>
  <c r="O811" i="4"/>
  <c r="P811" i="4"/>
  <c r="T2083" i="2"/>
  <c r="AK2083" i="2"/>
  <c r="S2106" i="2"/>
  <c r="AJ2106" i="2"/>
  <c r="T2120" i="2"/>
  <c r="AK2120" i="2"/>
  <c r="P176" i="4"/>
  <c r="O173" i="4"/>
  <c r="O377" i="4"/>
  <c r="N374" i="4"/>
  <c r="N372" i="4"/>
  <c r="S821" i="7"/>
  <c r="R1995" i="2"/>
  <c r="P843" i="7"/>
  <c r="O840" i="7"/>
  <c r="X2003" i="2"/>
  <c r="T821" i="7"/>
  <c r="X1982" i="2"/>
  <c r="R2053" i="2"/>
  <c r="P932" i="7"/>
  <c r="R2065" i="2"/>
  <c r="P951" i="7"/>
  <c r="V2071" i="2"/>
  <c r="Z958" i="7"/>
  <c r="R2114" i="2"/>
  <c r="P1010" i="7"/>
  <c r="N1082" i="7"/>
  <c r="Q2158" i="2"/>
  <c r="AI1895" i="2"/>
  <c r="AE693" i="4"/>
  <c r="AD1967" i="2"/>
  <c r="E603" i="8"/>
  <c r="O803" i="7"/>
  <c r="R2014" i="2"/>
  <c r="P865" i="7"/>
  <c r="T2126" i="2"/>
  <c r="AK2126" i="2"/>
  <c r="R2136" i="2"/>
  <c r="O1046" i="7"/>
  <c r="P1047" i="7"/>
  <c r="R2004" i="2"/>
  <c r="P855" i="7"/>
  <c r="X2062" i="2"/>
  <c r="T944" i="7"/>
  <c r="AD2080" i="2"/>
  <c r="AH967" i="7"/>
  <c r="AL2080" i="2"/>
  <c r="O967" i="7"/>
  <c r="AG967" i="7"/>
  <c r="AG963" i="7"/>
  <c r="Q2090" i="2"/>
  <c r="N976" i="7"/>
  <c r="Q2089" i="2"/>
  <c r="R1955" i="2"/>
  <c r="P786" i="7"/>
  <c r="W821" i="7"/>
  <c r="AA1982" i="2"/>
  <c r="V2005" i="2"/>
  <c r="R852" i="7"/>
  <c r="V2003" i="2"/>
  <c r="AD2066" i="2"/>
  <c r="AH952" i="7"/>
  <c r="AL2066" i="2"/>
  <c r="O952" i="7"/>
  <c r="AG952" i="7"/>
  <c r="S2114" i="2"/>
  <c r="AK2114" i="2"/>
  <c r="P47" i="4"/>
  <c r="R1951" i="2"/>
  <c r="P782" i="7"/>
  <c r="AH2062" i="2"/>
  <c r="AD944" i="7"/>
  <c r="Q2144" i="2"/>
  <c r="N1059" i="7"/>
  <c r="R2162" i="2"/>
  <c r="P1086" i="7"/>
  <c r="R2104" i="2"/>
  <c r="O994" i="7"/>
  <c r="P995" i="7"/>
  <c r="N417" i="4"/>
  <c r="R2129" i="2"/>
  <c r="P1040" i="7"/>
  <c r="Z1003" i="7"/>
  <c r="AL2127" i="2"/>
  <c r="AB1270" i="2"/>
  <c r="O838" i="9"/>
  <c r="Z1296" i="2"/>
  <c r="V871" i="9"/>
  <c r="Z1295" i="2"/>
  <c r="AB2035" i="2"/>
  <c r="O895" i="7"/>
  <c r="AB1300" i="2"/>
  <c r="O878" i="9"/>
  <c r="AB2036" i="2"/>
  <c r="O896" i="7"/>
  <c r="AB1313" i="2"/>
  <c r="O896" i="9"/>
  <c r="AB591" i="2"/>
  <c r="O903" i="5"/>
  <c r="X903" i="4"/>
  <c r="O903" i="4"/>
  <c r="P903" i="4"/>
  <c r="R1369" i="2"/>
  <c r="P979" i="9"/>
  <c r="R1153" i="2"/>
  <c r="P667" i="9"/>
  <c r="R2092" i="2"/>
  <c r="P979" i="7"/>
  <c r="R925" i="2"/>
  <c r="P342" i="9"/>
  <c r="O340" i="9"/>
  <c r="R2076" i="2"/>
  <c r="P963" i="7"/>
  <c r="R1942" i="2"/>
  <c r="P773" i="7"/>
  <c r="AC1113" i="2"/>
  <c r="Y614" i="9"/>
  <c r="AC1112" i="2"/>
  <c r="R1704" i="2"/>
  <c r="R1839" i="2"/>
  <c r="P621" i="7"/>
  <c r="R529" i="2"/>
  <c r="R1488" i="2"/>
  <c r="P86" i="7"/>
  <c r="AM1094" i="2"/>
  <c r="T1094" i="2"/>
  <c r="R2011" i="2"/>
  <c r="P862" i="7"/>
  <c r="R1135" i="2"/>
  <c r="P641" i="9"/>
  <c r="R1077" i="2"/>
  <c r="P569" i="9"/>
  <c r="AK2076" i="2"/>
  <c r="AK1369" i="2"/>
  <c r="R1752" i="2"/>
  <c r="P517" i="7"/>
  <c r="R731" i="2"/>
  <c r="H27" i="10"/>
  <c r="P22" i="9"/>
  <c r="O20" i="9"/>
  <c r="R891" i="2"/>
  <c r="P292" i="9"/>
  <c r="O290" i="9"/>
  <c r="R1967" i="2"/>
  <c r="P803" i="7"/>
  <c r="Q1741" i="2"/>
  <c r="N493" i="7"/>
  <c r="R1991" i="2"/>
  <c r="P836" i="7"/>
  <c r="R2084" i="2"/>
  <c r="P971" i="7"/>
  <c r="R2154" i="2"/>
  <c r="P1078" i="7"/>
  <c r="R1928" i="2"/>
  <c r="O746" i="7"/>
  <c r="AL680" i="2"/>
  <c r="AH1037" i="4"/>
  <c r="Q572" i="2"/>
  <c r="N871" i="5"/>
  <c r="Q571" i="2"/>
  <c r="AL692" i="2"/>
  <c r="AH1049" i="4"/>
  <c r="AL611" i="2"/>
  <c r="AH937" i="4"/>
  <c r="R590" i="2"/>
  <c r="P900" i="5"/>
  <c r="R343" i="2"/>
  <c r="P558" i="5"/>
  <c r="Q1384" i="2"/>
  <c r="N999" i="9"/>
  <c r="Q1383" i="2"/>
  <c r="R791" i="2"/>
  <c r="H79" i="10"/>
  <c r="P130" i="9"/>
  <c r="R1110" i="2"/>
  <c r="P611" i="9"/>
  <c r="R1238" i="2"/>
  <c r="P797" i="9"/>
  <c r="R1104" i="2"/>
  <c r="P605" i="9"/>
  <c r="R765" i="2"/>
  <c r="P86" i="9"/>
  <c r="P385" i="4"/>
  <c r="AD2135" i="2"/>
  <c r="AG1046" i="7"/>
  <c r="AH1046" i="7"/>
  <c r="AL2135" i="2"/>
  <c r="R2050" i="2"/>
  <c r="P929" i="7"/>
  <c r="R1915" i="2"/>
  <c r="O722" i="7"/>
  <c r="P723" i="7"/>
  <c r="R1865" i="2"/>
  <c r="P648" i="7"/>
  <c r="Q653" i="2"/>
  <c r="R708" i="2"/>
  <c r="P1078" i="5"/>
  <c r="T647" i="2"/>
  <c r="AK647" i="2"/>
  <c r="AG980" i="4"/>
  <c r="R294" i="2"/>
  <c r="R1433" i="2"/>
  <c r="P1080" i="9"/>
  <c r="R298" i="2"/>
  <c r="AE1338" i="2"/>
  <c r="AA906" i="9"/>
  <c r="AE1316" i="2"/>
  <c r="R340" i="2"/>
  <c r="P555" i="5"/>
  <c r="R170" i="2"/>
  <c r="P298" i="5"/>
  <c r="F636" i="10"/>
  <c r="AE636" i="10"/>
  <c r="AF636" i="10"/>
  <c r="AI1168" i="2"/>
  <c r="AD685" i="9"/>
  <c r="AH1167" i="2"/>
  <c r="R1231" i="2"/>
  <c r="P785" i="9"/>
  <c r="AE1146" i="2"/>
  <c r="AA656" i="9"/>
  <c r="AE1145" i="2"/>
  <c r="AE660" i="9"/>
  <c r="R959" i="2"/>
  <c r="P392" i="9"/>
  <c r="R2064" i="2"/>
  <c r="O949" i="7"/>
  <c r="P950" i="7"/>
  <c r="R2008" i="2"/>
  <c r="P859" i="7"/>
  <c r="R2113" i="2"/>
  <c r="P1009" i="7"/>
  <c r="R2026" i="2"/>
  <c r="P881" i="7"/>
  <c r="R1802" i="2"/>
  <c r="P573" i="7"/>
  <c r="R1786" i="2"/>
  <c r="P553" i="7"/>
  <c r="AI458" i="2"/>
  <c r="AE713" i="4"/>
  <c r="R650" i="2"/>
  <c r="P983" i="5"/>
  <c r="T603" i="2"/>
  <c r="AK603" i="2"/>
  <c r="AG929" i="4"/>
  <c r="R203" i="2"/>
  <c r="P347" i="5"/>
  <c r="R1244" i="2"/>
  <c r="P803" i="9"/>
  <c r="R1217" i="2"/>
  <c r="P771" i="9"/>
  <c r="R1233" i="2"/>
  <c r="P787" i="9"/>
  <c r="R1252" i="2"/>
  <c r="P811" i="9"/>
  <c r="O601" i="4"/>
  <c r="P601" i="4"/>
  <c r="R869" i="2"/>
  <c r="P264" i="9"/>
  <c r="R864" i="2"/>
  <c r="P259" i="9"/>
  <c r="R778" i="2"/>
  <c r="P108" i="9"/>
  <c r="R1988" i="2"/>
  <c r="P833" i="7"/>
  <c r="R2115" i="2"/>
  <c r="P1011" i="7"/>
  <c r="R2068" i="2"/>
  <c r="P954" i="7"/>
  <c r="R1030" i="4"/>
  <c r="R1956" i="2"/>
  <c r="P787" i="7"/>
  <c r="AL1897" i="2"/>
  <c r="AC1847" i="2"/>
  <c r="AJ630" i="7"/>
  <c r="AK630" i="7"/>
  <c r="R1638" i="2"/>
  <c r="P327" i="7"/>
  <c r="R1772" i="2"/>
  <c r="P539" i="7"/>
  <c r="R726" i="2"/>
  <c r="P1096" i="5"/>
  <c r="R685" i="2"/>
  <c r="P1042" i="5"/>
  <c r="AK148" i="18"/>
  <c r="T595" i="2"/>
  <c r="AK595" i="2"/>
  <c r="AG917" i="4"/>
  <c r="R538" i="2"/>
  <c r="P827" i="5"/>
  <c r="AL648" i="2"/>
  <c r="AH981" i="4"/>
  <c r="AJ612" i="4"/>
  <c r="AG474" i="2"/>
  <c r="O733" i="5"/>
  <c r="AC733" i="4"/>
  <c r="O733" i="4"/>
  <c r="P733" i="4"/>
  <c r="Q536" i="2"/>
  <c r="R1267" i="2"/>
  <c r="P835" i="9"/>
  <c r="R289" i="2"/>
  <c r="P489" i="5"/>
  <c r="Q200" i="2"/>
  <c r="R1377" i="2"/>
  <c r="O990" i="9"/>
  <c r="P991" i="9"/>
  <c r="R42" i="2"/>
  <c r="P90" i="5"/>
  <c r="R227" i="2"/>
  <c r="P385" i="5"/>
  <c r="O382" i="5"/>
  <c r="R1335" i="2"/>
  <c r="P937" i="9"/>
  <c r="R1223" i="2"/>
  <c r="P777" i="9"/>
  <c r="R830" i="2"/>
  <c r="P204" i="9"/>
  <c r="O201" i="9"/>
  <c r="R2124" i="2"/>
  <c r="P1035" i="7"/>
  <c r="R2123" i="2"/>
  <c r="P1034" i="7"/>
  <c r="Q1752" i="2"/>
  <c r="N515" i="7"/>
  <c r="R1549" i="2"/>
  <c r="P197" i="7"/>
  <c r="R521" i="2"/>
  <c r="P804" i="5"/>
  <c r="AL675" i="2"/>
  <c r="AH1026" i="4"/>
  <c r="AL608" i="2"/>
  <c r="AH934" i="4"/>
  <c r="O927" i="4"/>
  <c r="T621" i="2"/>
  <c r="AK621" i="2"/>
  <c r="AG954" i="4"/>
  <c r="R573" i="2"/>
  <c r="O874" i="5"/>
  <c r="P875" i="5"/>
  <c r="R236" i="2"/>
  <c r="P394" i="5"/>
  <c r="AK1343" i="2"/>
  <c r="T1343" i="2"/>
  <c r="R1131" i="2"/>
  <c r="P637" i="9"/>
  <c r="R1257" i="2"/>
  <c r="P816" i="9"/>
  <c r="R1271" i="2"/>
  <c r="P840" i="9"/>
  <c r="R1140" i="2"/>
  <c r="P646" i="9"/>
  <c r="R914" i="2"/>
  <c r="P325" i="9"/>
  <c r="R865" i="2"/>
  <c r="P260" i="9"/>
  <c r="R1268" i="2"/>
  <c r="P836" i="9"/>
  <c r="R2058" i="2"/>
  <c r="P937" i="7"/>
  <c r="R2086" i="2"/>
  <c r="P973" i="7"/>
  <c r="AE348" i="8"/>
  <c r="AF348" i="8"/>
  <c r="D348" i="8"/>
  <c r="Q1705" i="2"/>
  <c r="N425" i="7"/>
  <c r="Q1704" i="2"/>
  <c r="R1577" i="2"/>
  <c r="P242" i="7"/>
  <c r="R1617" i="2"/>
  <c r="P297" i="7"/>
  <c r="R1788" i="2"/>
  <c r="P555" i="7"/>
  <c r="AK1835" i="2"/>
  <c r="S1835" i="2"/>
  <c r="R1525" i="2"/>
  <c r="P150" i="7"/>
  <c r="P857" i="4"/>
  <c r="O910" i="4"/>
  <c r="R35" i="2"/>
  <c r="P77" i="5"/>
  <c r="R183" i="2"/>
  <c r="P319" i="5"/>
  <c r="R1332" i="2"/>
  <c r="P934" i="9"/>
  <c r="R128" i="2"/>
  <c r="P240" i="5"/>
  <c r="R32" i="2"/>
  <c r="P73" i="5"/>
  <c r="T1317" i="2"/>
  <c r="AK1317" i="2"/>
  <c r="R1102" i="2"/>
  <c r="P603" i="9"/>
  <c r="T2072" i="2"/>
  <c r="AK2072" i="2"/>
  <c r="T2060" i="2"/>
  <c r="AK2060" i="2"/>
  <c r="AE716" i="4"/>
  <c r="O611" i="4"/>
  <c r="P611" i="4"/>
  <c r="R674" i="2"/>
  <c r="R626" i="2"/>
  <c r="P959" i="5"/>
  <c r="R578" i="2"/>
  <c r="P880" i="5"/>
  <c r="AH614" i="2"/>
  <c r="AD906" i="5"/>
  <c r="AH592" i="2"/>
  <c r="R518" i="2"/>
  <c r="P801" i="5"/>
  <c r="R126" i="2"/>
  <c r="P238" i="5"/>
  <c r="R1327" i="2"/>
  <c r="P929" i="9"/>
  <c r="R1021" i="2"/>
  <c r="P500" i="9"/>
  <c r="P327" i="9"/>
  <c r="Q860" i="2"/>
  <c r="N251" i="9"/>
  <c r="Q859" i="2"/>
  <c r="AI1869" i="2"/>
  <c r="AD656" i="7"/>
  <c r="AH1868" i="2"/>
  <c r="R1251" i="2"/>
  <c r="P810" i="9"/>
  <c r="AD2107" i="2"/>
  <c r="Z999" i="7"/>
  <c r="AD2106" i="2"/>
  <c r="Q2143" i="2"/>
  <c r="N1055" i="7"/>
  <c r="R2080" i="2"/>
  <c r="P967" i="7"/>
  <c r="R2135" i="2"/>
  <c r="P1046" i="7"/>
  <c r="F603" i="8"/>
  <c r="AE603" i="8"/>
  <c r="AF603" i="8"/>
  <c r="R2166" i="2"/>
  <c r="P1090" i="7"/>
  <c r="AG1919" i="2"/>
  <c r="O731" i="7"/>
  <c r="R1812" i="2"/>
  <c r="P583" i="7"/>
  <c r="Q1614" i="2"/>
  <c r="N290" i="7"/>
  <c r="Q1613" i="2"/>
  <c r="AE408" i="8"/>
  <c r="AF408" i="8"/>
  <c r="D408" i="8"/>
  <c r="R1794" i="2"/>
  <c r="P561" i="7"/>
  <c r="R1470" i="2"/>
  <c r="P57" i="7"/>
  <c r="V513" i="2"/>
  <c r="R792" i="5"/>
  <c r="V511" i="2"/>
  <c r="R796" i="4"/>
  <c r="R792" i="4"/>
  <c r="O86" i="5"/>
  <c r="R40" i="2"/>
  <c r="R329" i="2"/>
  <c r="P544" i="5"/>
  <c r="R230" i="2"/>
  <c r="P388" i="5"/>
  <c r="Q97" i="2"/>
  <c r="N189" i="5"/>
  <c r="R136" i="2"/>
  <c r="P256" i="5"/>
  <c r="R235" i="2"/>
  <c r="P393" i="5"/>
  <c r="X1338" i="2"/>
  <c r="T906" i="9"/>
  <c r="X1316" i="2"/>
  <c r="T1013" i="2"/>
  <c r="AM1013" i="2"/>
  <c r="AH484" i="9"/>
  <c r="R849" i="2"/>
  <c r="O232" i="9"/>
  <c r="P234" i="9"/>
  <c r="R1312" i="2"/>
  <c r="P895" i="9"/>
  <c r="R1297" i="2"/>
  <c r="O874" i="9"/>
  <c r="P875" i="9"/>
  <c r="R2031" i="2"/>
  <c r="P886" i="7"/>
  <c r="R2006" i="2"/>
  <c r="P857" i="7"/>
  <c r="O856" i="7"/>
  <c r="T2090" i="2"/>
  <c r="AK2090" i="2"/>
  <c r="R1903" i="2"/>
  <c r="P711" i="7"/>
  <c r="R1731" i="2"/>
  <c r="P474" i="7"/>
  <c r="R1679" i="2"/>
  <c r="P389" i="7"/>
  <c r="AD1960" i="2"/>
  <c r="Z792" i="7"/>
  <c r="AD1958" i="2"/>
  <c r="R1824" i="2"/>
  <c r="P602" i="7"/>
  <c r="R1509" i="2"/>
  <c r="P121" i="7"/>
  <c r="O118" i="7"/>
  <c r="T1737" i="2"/>
  <c r="AM1737" i="2"/>
  <c r="T680" i="2"/>
  <c r="AK680" i="2"/>
  <c r="AG1037" i="4"/>
  <c r="R512" i="2"/>
  <c r="P795" i="5"/>
  <c r="T611" i="2"/>
  <c r="AK611" i="2"/>
  <c r="AG937" i="4"/>
  <c r="R101" i="2"/>
  <c r="P197" i="5"/>
  <c r="R233" i="2"/>
  <c r="P391" i="5"/>
  <c r="AK1384" i="2"/>
  <c r="AG999" i="9"/>
  <c r="AE504" i="10"/>
  <c r="AF504" i="10"/>
  <c r="F504" i="10"/>
  <c r="R1142" i="2"/>
  <c r="P648" i="9"/>
  <c r="Q1260" i="2"/>
  <c r="R2025" i="2"/>
  <c r="P880" i="7"/>
  <c r="R2139" i="2"/>
  <c r="P1050" i="7"/>
  <c r="Q2063" i="2"/>
  <c r="N948" i="7"/>
  <c r="R1677" i="2"/>
  <c r="P387" i="7"/>
  <c r="Q1461" i="2"/>
  <c r="N36" i="7"/>
  <c r="Q1460" i="2"/>
  <c r="AL613" i="2"/>
  <c r="AH942" i="4"/>
  <c r="AK640" i="4"/>
  <c r="AL609" i="2"/>
  <c r="AH935" i="4"/>
  <c r="R508" i="2"/>
  <c r="P786" i="5"/>
  <c r="P124" i="5"/>
  <c r="V1237" i="2"/>
  <c r="Z796" i="9"/>
  <c r="R792" i="9"/>
  <c r="V1235" i="2"/>
  <c r="R1269" i="2"/>
  <c r="P837" i="9"/>
  <c r="R1006" i="2"/>
  <c r="P469" i="9"/>
  <c r="R1319" i="2"/>
  <c r="P917" i="9"/>
  <c r="O913" i="9"/>
  <c r="R2030" i="2"/>
  <c r="P885" i="7"/>
  <c r="R1987" i="2"/>
  <c r="P832" i="7"/>
  <c r="O829" i="7"/>
  <c r="AM2061" i="2"/>
  <c r="AI906" i="7"/>
  <c r="AM2039" i="2"/>
  <c r="AD2063" i="2"/>
  <c r="Z948" i="7"/>
  <c r="AG949" i="7"/>
  <c r="AH949" i="7"/>
  <c r="T2113" i="2"/>
  <c r="AK2113" i="2"/>
  <c r="AG1009" i="4"/>
  <c r="R1796" i="2"/>
  <c r="P563" i="7"/>
  <c r="R526" i="2"/>
  <c r="P809" i="5"/>
  <c r="V457" i="2"/>
  <c r="R712" i="4"/>
  <c r="R702" i="4"/>
  <c r="R702" i="5"/>
  <c r="V450" i="2"/>
  <c r="AH919" i="4"/>
  <c r="AL650" i="2"/>
  <c r="AH983" i="4"/>
  <c r="O642" i="4"/>
  <c r="R353" i="2"/>
  <c r="P572" i="5"/>
  <c r="R1418" i="2"/>
  <c r="O1053" i="9"/>
  <c r="F603" i="10"/>
  <c r="AE603" i="10"/>
  <c r="AF603" i="10"/>
  <c r="AK661" i="9"/>
  <c r="R1240" i="2"/>
  <c r="O798" i="9"/>
  <c r="O796" i="9"/>
  <c r="P799" i="9"/>
  <c r="R1073" i="2"/>
  <c r="P563" i="9"/>
  <c r="R1121" i="2"/>
  <c r="P626" i="9"/>
  <c r="R1081" i="2"/>
  <c r="P575" i="9"/>
  <c r="R1033" i="2"/>
  <c r="P523" i="9"/>
  <c r="R797" i="2"/>
  <c r="P142" i="9"/>
  <c r="O894" i="4"/>
  <c r="X891" i="4"/>
  <c r="X889" i="4"/>
  <c r="R1913" i="2"/>
  <c r="P721" i="7"/>
  <c r="R1867" i="2"/>
  <c r="P653" i="7"/>
  <c r="R624" i="2"/>
  <c r="E22" i="14"/>
  <c r="P957" i="5"/>
  <c r="O806" i="5"/>
  <c r="R595" i="2"/>
  <c r="P917" i="5"/>
  <c r="T648" i="2"/>
  <c r="AK648" i="2"/>
  <c r="AG981" i="4"/>
  <c r="R1406" i="2"/>
  <c r="P1040" i="9"/>
  <c r="AJ489" i="4"/>
  <c r="AD1376" i="2"/>
  <c r="AG990" i="9"/>
  <c r="AH990" i="9"/>
  <c r="Z986" i="9"/>
  <c r="AD1375" i="2"/>
  <c r="AK1335" i="2"/>
  <c r="T1335" i="2"/>
  <c r="AB1260" i="2"/>
  <c r="R987" i="2"/>
  <c r="P435" i="9"/>
  <c r="R1158" i="2"/>
  <c r="P672" i="9"/>
  <c r="R1096" i="2"/>
  <c r="P597" i="9"/>
  <c r="R749" i="2"/>
  <c r="P59" i="9"/>
  <c r="R1266" i="2"/>
  <c r="P834" i="9"/>
  <c r="Q2107" i="2"/>
  <c r="N999" i="7"/>
  <c r="Q2106" i="2"/>
  <c r="R2169" i="2"/>
  <c r="P1093" i="7"/>
  <c r="Q1983" i="2"/>
  <c r="AL2123" i="2"/>
  <c r="N1030" i="7"/>
  <c r="Q2122" i="2"/>
  <c r="R1597" i="2"/>
  <c r="P269" i="7"/>
  <c r="R1479" i="2"/>
  <c r="P72" i="7"/>
  <c r="O69" i="7"/>
  <c r="R566" i="2"/>
  <c r="P864" i="5"/>
  <c r="T608" i="2"/>
  <c r="AK608" i="2"/>
  <c r="AG934" i="4"/>
  <c r="N796" i="5"/>
  <c r="AL601" i="2"/>
  <c r="AH927" i="4"/>
  <c r="R655" i="2"/>
  <c r="P992" i="5"/>
  <c r="AB572" i="2"/>
  <c r="X874" i="4"/>
  <c r="R821" i="5"/>
  <c r="V535" i="2"/>
  <c r="R185" i="2"/>
  <c r="P321" i="5"/>
  <c r="R1249" i="2"/>
  <c r="P808" i="9"/>
  <c r="R1343" i="2"/>
  <c r="P952" i="9"/>
  <c r="R1160" i="2"/>
  <c r="P674" i="9"/>
  <c r="R1015" i="2"/>
  <c r="P490" i="9"/>
  <c r="Q1012" i="2"/>
  <c r="W820" i="2"/>
  <c r="T186" i="9"/>
  <c r="X820" i="2"/>
  <c r="R826" i="2"/>
  <c r="P197" i="9"/>
  <c r="AL2086" i="2"/>
  <c r="AC1829" i="2"/>
  <c r="O607" i="7"/>
  <c r="Y592" i="7"/>
  <c r="AC1817" i="2"/>
  <c r="Q1870" i="2"/>
  <c r="R559" i="2"/>
  <c r="P857" i="5"/>
  <c r="AG615" i="2"/>
  <c r="AC944" i="5"/>
  <c r="AC948" i="4"/>
  <c r="R593" i="2"/>
  <c r="P910" i="5"/>
  <c r="AK94" i="18"/>
  <c r="W1234" i="2"/>
  <c r="T790" i="9"/>
  <c r="X1234" i="2"/>
  <c r="AH1338" i="2"/>
  <c r="AD906" i="9"/>
  <c r="AH1316" i="2"/>
  <c r="R1414" i="2"/>
  <c r="P1048" i="9"/>
  <c r="AE719" i="10"/>
  <c r="AF719" i="10"/>
  <c r="L719" i="10"/>
  <c r="AJ592" i="9"/>
  <c r="R863" i="2"/>
  <c r="P258" i="9"/>
  <c r="R909" i="2"/>
  <c r="P320" i="9"/>
  <c r="Q769" i="2"/>
  <c r="N94" i="9"/>
  <c r="Q768" i="2"/>
  <c r="R2072" i="2"/>
  <c r="O958" i="7"/>
  <c r="P959" i="7"/>
  <c r="AG1921" i="2"/>
  <c r="O733" i="7"/>
  <c r="R2060" i="2"/>
  <c r="P942" i="7"/>
  <c r="T2042" i="2"/>
  <c r="AK2042" i="2"/>
  <c r="AG913" i="7"/>
  <c r="R2010" i="2"/>
  <c r="P861" i="7"/>
  <c r="R2100" i="2"/>
  <c r="O990" i="7"/>
  <c r="P991" i="7"/>
  <c r="R1768" i="2"/>
  <c r="P535" i="7"/>
  <c r="R1961" i="2"/>
  <c r="P797" i="7"/>
  <c r="Q1531" i="2"/>
  <c r="N159" i="7"/>
  <c r="Q1530" i="2"/>
  <c r="P662" i="4"/>
  <c r="R1517" i="2"/>
  <c r="P136" i="7"/>
  <c r="AD515" i="2"/>
  <c r="E517" i="6"/>
  <c r="F517" i="6"/>
  <c r="Z798" i="4"/>
  <c r="R15" i="2"/>
  <c r="P42" i="5"/>
  <c r="R695" i="2"/>
  <c r="O1053" i="5"/>
  <c r="AJ723" i="4"/>
  <c r="Z806" i="4"/>
  <c r="O610" i="4"/>
  <c r="AJ675" i="4"/>
  <c r="AI444" i="2"/>
  <c r="AE685" i="5"/>
  <c r="AI443" i="2"/>
  <c r="AE689" i="4"/>
  <c r="AE685" i="4"/>
  <c r="R257" i="2"/>
  <c r="AB1338" i="2"/>
  <c r="X906" i="9"/>
  <c r="AB1316" i="2"/>
  <c r="AD1401" i="2"/>
  <c r="AH1035" i="9"/>
  <c r="AG1035" i="9"/>
  <c r="Z1030" i="9"/>
  <c r="AD1399" i="2"/>
  <c r="P813" i="4"/>
  <c r="R1166" i="2"/>
  <c r="P680" i="9"/>
  <c r="R1197" i="2"/>
  <c r="P732" i="9"/>
  <c r="R814" i="2"/>
  <c r="P173" i="9"/>
  <c r="N340" i="9"/>
  <c r="Q924" i="2"/>
  <c r="N159" i="9"/>
  <c r="Q807" i="2"/>
  <c r="P399" i="7"/>
  <c r="R1994" i="2"/>
  <c r="P840" i="7"/>
  <c r="N731" i="4"/>
  <c r="N727" i="4"/>
  <c r="V727" i="4"/>
  <c r="Q1468" i="2"/>
  <c r="N51" i="7"/>
  <c r="Q1467" i="2"/>
  <c r="R1808" i="2"/>
  <c r="P579" i="7"/>
  <c r="T683" i="2"/>
  <c r="AK683" i="2"/>
  <c r="AG1040" i="4"/>
  <c r="R2036" i="2"/>
  <c r="P896" i="7"/>
  <c r="R1884" i="2"/>
  <c r="P675" i="7"/>
  <c r="AE422" i="2"/>
  <c r="AE660" i="5"/>
  <c r="AA656" i="5"/>
  <c r="AE421" i="2"/>
  <c r="AA660" i="4"/>
  <c r="AA656" i="4"/>
  <c r="N499" i="4"/>
  <c r="R1193" i="2"/>
  <c r="P724" i="9"/>
  <c r="R379" i="2"/>
  <c r="R341" i="2"/>
  <c r="P556" i="5"/>
  <c r="R1228" i="2"/>
  <c r="P782" i="9"/>
  <c r="AD1384" i="2"/>
  <c r="Z999" i="9"/>
  <c r="AD1383" i="2"/>
  <c r="R1242" i="2"/>
  <c r="P801" i="9"/>
  <c r="AL1112" i="2"/>
  <c r="Q731" i="2"/>
  <c r="N20" i="9"/>
  <c r="AB2005" i="2"/>
  <c r="X852" i="7"/>
  <c r="AB2003" i="2"/>
  <c r="R2161" i="2"/>
  <c r="P1085" i="7"/>
  <c r="R2090" i="2"/>
  <c r="O976" i="7"/>
  <c r="P977" i="7"/>
  <c r="T2094" i="2"/>
  <c r="AK2094" i="2"/>
  <c r="AC1879" i="2"/>
  <c r="AJ670" i="7"/>
  <c r="AK670" i="7"/>
  <c r="O670" i="7"/>
  <c r="R1739" i="2"/>
  <c r="P491" i="7"/>
  <c r="AL636" i="2"/>
  <c r="AH969" i="4"/>
  <c r="R1353" i="2"/>
  <c r="P963" i="9"/>
  <c r="AE84" i="10"/>
  <c r="AF84" i="10"/>
  <c r="H84" i="10"/>
  <c r="R873" i="2"/>
  <c r="P268" i="9"/>
  <c r="AL2107" i="2"/>
  <c r="AH999" i="7"/>
  <c r="AL2106" i="2"/>
  <c r="P219" i="4"/>
  <c r="AL2139" i="2"/>
  <c r="T2078" i="2"/>
  <c r="AK2078" i="2"/>
  <c r="P345" i="4"/>
  <c r="AJ648" i="4"/>
  <c r="R1632" i="2"/>
  <c r="P320" i="7"/>
  <c r="R1457" i="2"/>
  <c r="P28" i="7"/>
  <c r="R1462" i="2"/>
  <c r="P41" i="7"/>
  <c r="O38" i="7"/>
  <c r="AC615" i="2"/>
  <c r="Y944" i="5"/>
  <c r="O730" i="4"/>
  <c r="N189" i="7"/>
  <c r="R711" i="2"/>
  <c r="R647" i="2"/>
  <c r="P980" i="5"/>
  <c r="T613" i="2"/>
  <c r="AK613" i="2"/>
  <c r="AG942" i="4"/>
  <c r="R410" i="2"/>
  <c r="P640" i="5"/>
  <c r="T609" i="2"/>
  <c r="AK609" i="2"/>
  <c r="AG935" i="4"/>
  <c r="AD1239" i="2"/>
  <c r="E517" i="10"/>
  <c r="R1294" i="2"/>
  <c r="P868" i="9"/>
  <c r="AB1296" i="2"/>
  <c r="X871" i="9"/>
  <c r="AB1295" i="2"/>
  <c r="AL1319" i="2"/>
  <c r="AH913" i="9"/>
  <c r="AL1318" i="2"/>
  <c r="Q1207" i="2"/>
  <c r="N748" i="9"/>
  <c r="Q982" i="2"/>
  <c r="N425" i="9"/>
  <c r="Q981" i="2"/>
  <c r="R579" i="2"/>
  <c r="P881" i="5"/>
  <c r="AL2064" i="2"/>
  <c r="R2156" i="2"/>
  <c r="P1080" i="7"/>
  <c r="AL2113" i="2"/>
  <c r="Z1046" i="4"/>
  <c r="O1047" i="4"/>
  <c r="R1782" i="2"/>
  <c r="P549" i="7"/>
  <c r="Q1454" i="2"/>
  <c r="N20" i="7"/>
  <c r="R1633" i="2"/>
  <c r="P321" i="7"/>
  <c r="R1893" i="2"/>
  <c r="P691" i="7"/>
  <c r="R323" i="2"/>
  <c r="P538" i="5"/>
  <c r="AL637" i="2"/>
  <c r="AH970" i="4"/>
  <c r="T650" i="2"/>
  <c r="AK650" i="2"/>
  <c r="AG983" i="4"/>
  <c r="Q1376" i="2"/>
  <c r="N986" i="9"/>
  <c r="Q1375" i="2"/>
  <c r="R229" i="2"/>
  <c r="P387" i="5"/>
  <c r="R832" i="2"/>
  <c r="P206" i="9"/>
  <c r="R2027" i="2"/>
  <c r="P882" i="7"/>
  <c r="R587" i="2"/>
  <c r="P894" i="5"/>
  <c r="O891" i="5"/>
  <c r="AG979" i="7"/>
  <c r="R1671" i="2"/>
  <c r="P374" i="7"/>
  <c r="O372" i="7"/>
  <c r="R1744" i="2"/>
  <c r="P500" i="7"/>
  <c r="W1835" i="2"/>
  <c r="S590" i="7"/>
  <c r="R1573" i="2"/>
  <c r="P237" i="7"/>
  <c r="O234" i="7"/>
  <c r="R688" i="2"/>
  <c r="AL624" i="2"/>
  <c r="AH957" i="4"/>
  <c r="R703" i="2"/>
  <c r="R648" i="2"/>
  <c r="P981" i="5"/>
  <c r="AL619" i="2"/>
  <c r="AH952" i="4"/>
  <c r="R498" i="2"/>
  <c r="P776" i="5"/>
  <c r="R187" i="2"/>
  <c r="P323" i="5"/>
  <c r="T1406" i="2"/>
  <c r="AK1406" i="2"/>
  <c r="R1186" i="2"/>
  <c r="O716" i="9"/>
  <c r="P717" i="9"/>
  <c r="R363" i="2"/>
  <c r="P582" i="5"/>
  <c r="AM289" i="2"/>
  <c r="T289" i="2"/>
  <c r="AI489" i="4"/>
  <c r="AD1340" i="2"/>
  <c r="AG949" i="9"/>
  <c r="Z948" i="9"/>
  <c r="AH949" i="9"/>
  <c r="R1351" i="2"/>
  <c r="P961" i="9"/>
  <c r="R1261" i="2"/>
  <c r="P826" i="9"/>
  <c r="O823" i="9"/>
  <c r="R1095" i="2"/>
  <c r="P596" i="9"/>
  <c r="R867" i="2"/>
  <c r="P262" i="9"/>
  <c r="R774" i="2"/>
  <c r="P103" i="9"/>
  <c r="Q1962" i="2"/>
  <c r="N796" i="7"/>
  <c r="AG2061" i="2"/>
  <c r="AC906" i="7"/>
  <c r="AG2039" i="2"/>
  <c r="R1656" i="2"/>
  <c r="P352" i="7"/>
  <c r="R395" i="2"/>
  <c r="P625" i="5"/>
  <c r="AL670" i="2"/>
  <c r="AH1012" i="4"/>
  <c r="R608" i="2"/>
  <c r="T601" i="2"/>
  <c r="AK601" i="2"/>
  <c r="AG927" i="4"/>
  <c r="R345" i="2"/>
  <c r="P560" i="5"/>
  <c r="AI381" i="2"/>
  <c r="AE607" i="4"/>
  <c r="AL655" i="2"/>
  <c r="AH992" i="4"/>
  <c r="R291" i="2"/>
  <c r="AC102" i="17"/>
  <c r="P491" i="5"/>
  <c r="R360" i="2"/>
  <c r="R332" i="2"/>
  <c r="P547" i="5"/>
  <c r="R146" i="2"/>
  <c r="P266" i="5"/>
  <c r="S1338" i="2"/>
  <c r="AJ1338" i="2"/>
  <c r="AF906" i="9"/>
  <c r="R1432" i="2"/>
  <c r="P1079" i="9"/>
  <c r="R1314" i="2"/>
  <c r="P900" i="9"/>
  <c r="P1059" i="9"/>
  <c r="R953" i="2"/>
  <c r="P386" i="9"/>
  <c r="R833" i="2"/>
  <c r="P207" i="9"/>
  <c r="R1992" i="2"/>
  <c r="P837" i="7"/>
  <c r="T2115" i="2"/>
  <c r="AK2115" i="2"/>
  <c r="Q2041" i="2"/>
  <c r="R821" i="7"/>
  <c r="V1982" i="2"/>
  <c r="AL1868" i="2"/>
  <c r="R1792" i="2"/>
  <c r="P559" i="7"/>
  <c r="R1685" i="2"/>
  <c r="H85" i="8"/>
  <c r="P395" i="7"/>
  <c r="R425" i="2"/>
  <c r="E5" i="14"/>
  <c r="P663" i="5"/>
  <c r="R1631" i="2"/>
  <c r="P319" i="7"/>
  <c r="R1831" i="2"/>
  <c r="P609" i="7"/>
  <c r="R1925" i="2"/>
  <c r="P741" i="7"/>
  <c r="R1872" i="2"/>
  <c r="P663" i="7"/>
  <c r="R342" i="2"/>
  <c r="P557" i="5"/>
  <c r="AE722" i="4"/>
  <c r="W387" i="2"/>
  <c r="R234" i="2"/>
  <c r="P392" i="5"/>
  <c r="R592" i="4"/>
  <c r="N1055" i="9"/>
  <c r="R979" i="2"/>
  <c r="P421" i="9"/>
  <c r="O417" i="9"/>
  <c r="R1091" i="2"/>
  <c r="P585" i="9"/>
  <c r="R770" i="2"/>
  <c r="P99" i="9"/>
  <c r="O96" i="9"/>
  <c r="T2103" i="2"/>
  <c r="AK2103" i="2"/>
  <c r="T2131" i="2"/>
  <c r="AK2131" i="2"/>
  <c r="R2042" i="2"/>
  <c r="P917" i="7"/>
  <c r="O913" i="7"/>
  <c r="AD2099" i="2"/>
  <c r="AG990" i="7"/>
  <c r="Z986" i="7"/>
  <c r="AD2098" i="2"/>
  <c r="AH990" i="7"/>
  <c r="AE1904" i="2"/>
  <c r="AE712" i="7"/>
  <c r="AA702" i="7"/>
  <c r="AE1897" i="2"/>
  <c r="AE504" i="8"/>
  <c r="AF504" i="8"/>
  <c r="F504" i="8"/>
  <c r="R1833" i="2"/>
  <c r="P611" i="7"/>
  <c r="P665" i="4"/>
  <c r="R1523" i="2"/>
  <c r="P147" i="7"/>
  <c r="R1566" i="2"/>
  <c r="P224" i="7"/>
  <c r="R1871" i="2"/>
  <c r="O661" i="7"/>
  <c r="P662" i="7"/>
  <c r="R1746" i="2"/>
  <c r="O504" i="7"/>
  <c r="P507" i="7"/>
  <c r="R639" i="2"/>
  <c r="E31" i="14"/>
  <c r="P972" i="5"/>
  <c r="R384" i="2"/>
  <c r="P610" i="5"/>
  <c r="R358" i="2"/>
  <c r="P577" i="5"/>
  <c r="O722" i="9"/>
  <c r="AK1327" i="2"/>
  <c r="T1327" i="2"/>
  <c r="R1254" i="2"/>
  <c r="O812" i="9"/>
  <c r="P813" i="9"/>
  <c r="O382" i="9"/>
  <c r="R1306" i="2"/>
  <c r="P884" i="9"/>
  <c r="Q1029" i="2"/>
  <c r="N515" i="9"/>
  <c r="R1298" i="2"/>
  <c r="P876" i="9"/>
  <c r="R2103" i="2"/>
  <c r="P994" i="7"/>
  <c r="R1880" i="2"/>
  <c r="P671" i="7"/>
  <c r="R1650" i="2"/>
  <c r="P346" i="7"/>
  <c r="O342" i="7"/>
  <c r="R1615" i="2"/>
  <c r="O292" i="7"/>
  <c r="P295" i="7"/>
  <c r="AH2061" i="2"/>
  <c r="AD906" i="7"/>
  <c r="AH2039" i="2"/>
  <c r="W1982" i="2"/>
  <c r="R1810" i="2"/>
  <c r="P581" i="7"/>
  <c r="R416" i="2"/>
  <c r="P646" i="5"/>
  <c r="R1530" i="2"/>
  <c r="P159" i="7"/>
  <c r="Q1629" i="2"/>
  <c r="N313" i="7"/>
  <c r="Q1628" i="2"/>
  <c r="Q712" i="2"/>
  <c r="R565" i="2"/>
  <c r="P863" i="5"/>
  <c r="AG295" i="2"/>
  <c r="O499" i="5"/>
  <c r="AC499" i="4"/>
  <c r="O499" i="4"/>
  <c r="P499" i="4"/>
  <c r="R209" i="2"/>
  <c r="P353" i="5"/>
  <c r="T1373" i="2"/>
  <c r="AK1373" i="2"/>
  <c r="R1326" i="2"/>
  <c r="P928" i="9"/>
  <c r="O923" i="9"/>
  <c r="AD1412" i="2"/>
  <c r="AG1046" i="9"/>
  <c r="AH1046" i="9"/>
  <c r="AL1412" i="2"/>
  <c r="W111" i="2"/>
  <c r="Z1338" i="2"/>
  <c r="V906" i="9"/>
  <c r="Z1316" i="2"/>
  <c r="R1303" i="2"/>
  <c r="P881" i="9"/>
  <c r="R1190" i="2"/>
  <c r="P721" i="9"/>
  <c r="R1013" i="2"/>
  <c r="O484" i="9"/>
  <c r="P488" i="9"/>
  <c r="R2023" i="2"/>
  <c r="O877" i="7"/>
  <c r="P878" i="7"/>
  <c r="AD2089" i="2"/>
  <c r="AG976" i="7"/>
  <c r="AH976" i="7"/>
  <c r="AL2089" i="2"/>
  <c r="AI2061" i="2"/>
  <c r="AE906" i="7"/>
  <c r="AI2039" i="2"/>
  <c r="R2094" i="2"/>
  <c r="P981" i="7"/>
  <c r="R1857" i="2"/>
  <c r="P640" i="7"/>
  <c r="R1843" i="2"/>
  <c r="P625" i="7"/>
  <c r="R1555" i="2"/>
  <c r="P206" i="7"/>
  <c r="R1563" i="2"/>
  <c r="P220" i="7"/>
  <c r="AK636" i="2"/>
  <c r="AG969" i="4"/>
  <c r="R522" i="2"/>
  <c r="P805" i="5"/>
  <c r="R491" i="2"/>
  <c r="P769" i="5"/>
  <c r="V388" i="2"/>
  <c r="R614" i="5"/>
  <c r="V387" i="2"/>
  <c r="R618" i="4"/>
  <c r="R614" i="4"/>
  <c r="R62" i="2"/>
  <c r="P122" i="5"/>
  <c r="R172" i="2"/>
  <c r="P300" i="5"/>
  <c r="R838" i="2"/>
  <c r="P216" i="9"/>
  <c r="O214" i="9"/>
  <c r="R745" i="2"/>
  <c r="P53" i="9"/>
  <c r="O51" i="9"/>
  <c r="Q1150" i="2"/>
  <c r="N660" i="9"/>
  <c r="R2029" i="2"/>
  <c r="P884" i="7"/>
  <c r="R2024" i="2"/>
  <c r="P879" i="7"/>
  <c r="R1989" i="2"/>
  <c r="P834" i="7"/>
  <c r="T2139" i="2"/>
  <c r="AK2139" i="2"/>
  <c r="AK2056" i="2"/>
  <c r="S2056" i="2"/>
  <c r="Q2005" i="2"/>
  <c r="N852" i="7"/>
  <c r="Q2003" i="2"/>
  <c r="R2078" i="2"/>
  <c r="P965" i="7"/>
  <c r="R2149" i="2"/>
  <c r="P1067" i="7"/>
  <c r="V1869" i="2"/>
  <c r="R656" i="7"/>
  <c r="V1868" i="2"/>
  <c r="Y660" i="7"/>
  <c r="R1703" i="2"/>
  <c r="P422" i="7"/>
  <c r="R1837" i="2"/>
  <c r="P619" i="7"/>
  <c r="O618" i="7"/>
  <c r="R471" i="2"/>
  <c r="P730" i="5"/>
  <c r="R613" i="2"/>
  <c r="AK112" i="18"/>
  <c r="Y670" i="4"/>
  <c r="O670" i="4"/>
  <c r="AJ640" i="4"/>
  <c r="R609" i="2"/>
  <c r="P935" i="5"/>
  <c r="R629" i="2"/>
  <c r="E24" i="14"/>
  <c r="P962" i="5"/>
  <c r="AK607" i="5"/>
  <c r="AK607" i="4"/>
  <c r="AK608" i="4"/>
  <c r="R205" i="2"/>
  <c r="P349" i="5"/>
  <c r="Q1435" i="2"/>
  <c r="N1075" i="9"/>
  <c r="Q1430" i="2"/>
  <c r="AD1366" i="2"/>
  <c r="AG976" i="9"/>
  <c r="AH976" i="9"/>
  <c r="AL1366" i="2"/>
  <c r="R231" i="2"/>
  <c r="P389" i="5"/>
  <c r="AA1338" i="2"/>
  <c r="W906" i="9"/>
  <c r="AA1316" i="2"/>
  <c r="R1084" i="2"/>
  <c r="P578" i="9"/>
  <c r="Q1182" i="2"/>
  <c r="N712" i="9"/>
  <c r="R893" i="2"/>
  <c r="P296" i="9"/>
  <c r="R775" i="2"/>
  <c r="P104" i="9"/>
  <c r="R866" i="2"/>
  <c r="P261" i="9"/>
  <c r="R1262" i="2"/>
  <c r="P827" i="9"/>
  <c r="T2044" i="2"/>
  <c r="AK2044" i="2"/>
  <c r="R1675" i="2"/>
  <c r="P385" i="7"/>
  <c r="O382" i="7"/>
  <c r="AL690" i="2"/>
  <c r="AH1047" i="4"/>
  <c r="R1863" i="2"/>
  <c r="P646" i="7"/>
  <c r="AE618" i="7"/>
  <c r="R1845" i="2"/>
  <c r="P627" i="7"/>
  <c r="U614" i="2"/>
  <c r="Q906" i="5"/>
  <c r="U592" i="2"/>
  <c r="AK637" i="2"/>
  <c r="AG970" i="4"/>
  <c r="R381" i="2"/>
  <c r="P607" i="5"/>
  <c r="Q287" i="2"/>
  <c r="R275" i="2"/>
  <c r="P457" i="5"/>
  <c r="AD1348" i="2"/>
  <c r="AG958" i="9"/>
  <c r="AH958" i="9"/>
  <c r="AL1348" i="2"/>
  <c r="R1441" i="2"/>
  <c r="P1088" i="9"/>
  <c r="R1100" i="2"/>
  <c r="P601" i="9"/>
  <c r="S1174" i="2"/>
  <c r="AK1174" i="2"/>
  <c r="R1052" i="2"/>
  <c r="P542" i="9"/>
  <c r="R957" i="2"/>
  <c r="P390" i="9"/>
  <c r="AB586" i="2"/>
  <c r="X889" i="5"/>
  <c r="AB585" i="2"/>
  <c r="R1976" i="2"/>
  <c r="P812" i="7"/>
  <c r="T2074" i="2"/>
  <c r="AK2074" i="2"/>
  <c r="U2061" i="2"/>
  <c r="Q906" i="7"/>
  <c r="U2039" i="2"/>
  <c r="AC727" i="7"/>
  <c r="AG1917" i="2"/>
  <c r="R2102" i="2"/>
  <c r="P993" i="7"/>
  <c r="R1758" i="2"/>
  <c r="P525" i="7"/>
  <c r="Q1572" i="2"/>
  <c r="N232" i="7"/>
  <c r="Q1571" i="2"/>
  <c r="R1851" i="2"/>
  <c r="P634" i="7"/>
  <c r="R1762" i="2"/>
  <c r="P529" i="7"/>
  <c r="AL688" i="2"/>
  <c r="AH1045" i="4"/>
  <c r="T624" i="2"/>
  <c r="AK624" i="2"/>
  <c r="AG957" i="4"/>
  <c r="R1493" i="2"/>
  <c r="P99" i="7"/>
  <c r="O96" i="7"/>
  <c r="AK632" i="4"/>
  <c r="T619" i="2"/>
  <c r="AK619" i="2"/>
  <c r="AG952" i="4"/>
  <c r="W511" i="2"/>
  <c r="S790" i="5"/>
  <c r="AC1185" i="2"/>
  <c r="AJ716" i="9"/>
  <c r="AK716" i="9"/>
  <c r="R61" i="2"/>
  <c r="P121" i="5"/>
  <c r="O118" i="5"/>
  <c r="AL1346" i="2"/>
  <c r="AK1351" i="2"/>
  <c r="T1351" i="2"/>
  <c r="R955" i="2"/>
  <c r="P388" i="9"/>
  <c r="S2054" i="2"/>
  <c r="AK2054" i="2"/>
  <c r="T2082" i="2"/>
  <c r="AK2082" i="2"/>
  <c r="AA2061" i="2"/>
  <c r="W906" i="7"/>
  <c r="AA2039" i="2"/>
  <c r="R1798" i="2"/>
  <c r="P565" i="7"/>
  <c r="R1516" i="2"/>
  <c r="P134" i="7"/>
  <c r="O130" i="7"/>
  <c r="X823" i="4"/>
  <c r="O826" i="4"/>
  <c r="P775" i="4"/>
  <c r="R601" i="2"/>
  <c r="P927" i="5"/>
  <c r="T655" i="2"/>
  <c r="AK655" i="2"/>
  <c r="AG992" i="4"/>
  <c r="R598" i="2"/>
  <c r="P920" i="5"/>
  <c r="AC731" i="4"/>
  <c r="O731" i="4"/>
  <c r="P731" i="4"/>
  <c r="R355" i="2"/>
  <c r="P574" i="5"/>
  <c r="R1290" i="2"/>
  <c r="P864" i="9"/>
  <c r="D422" i="10"/>
  <c r="AE422" i="10"/>
  <c r="AF422" i="10"/>
  <c r="P77" i="9"/>
  <c r="AK2048" i="2"/>
  <c r="T2048" i="2"/>
  <c r="AG923" i="7"/>
  <c r="AF2061" i="2"/>
  <c r="AB906" i="7"/>
  <c r="AF2039" i="2"/>
  <c r="R2141" i="2"/>
  <c r="P1055" i="7"/>
  <c r="O1053" i="7"/>
  <c r="R1974" i="2"/>
  <c r="P810" i="7"/>
  <c r="O638" i="4"/>
  <c r="P638" i="4"/>
  <c r="R1774" i="2"/>
  <c r="P541" i="7"/>
  <c r="R1749" i="2"/>
  <c r="P510" i="7"/>
  <c r="R492" i="2"/>
  <c r="P770" i="5"/>
  <c r="AH961" i="4"/>
  <c r="AG919" i="4"/>
  <c r="AL593" i="2"/>
  <c r="AH910" i="4"/>
  <c r="AJ691" i="4"/>
  <c r="P469" i="5"/>
  <c r="AK1349" i="2"/>
  <c r="T1349" i="2"/>
  <c r="R357" i="2"/>
  <c r="T1414" i="2"/>
  <c r="AK1414" i="2"/>
  <c r="Q1296" i="2"/>
  <c r="N871" i="9"/>
  <c r="Q1295" i="2"/>
  <c r="N618" i="9"/>
  <c r="R831" i="2"/>
  <c r="P205" i="9"/>
  <c r="R2131" i="2"/>
  <c r="P1042" i="7"/>
  <c r="AD2041" i="2"/>
  <c r="T2100" i="2"/>
  <c r="AK2100" i="2"/>
  <c r="O53" i="7"/>
  <c r="R1874" i="2"/>
  <c r="P665" i="7"/>
  <c r="O664" i="7"/>
  <c r="AC1873" i="2"/>
  <c r="AJ664" i="7"/>
  <c r="AK664" i="7"/>
  <c r="R1659" i="2"/>
  <c r="P357" i="7"/>
  <c r="R589" i="2"/>
  <c r="P896" i="5"/>
  <c r="R441" i="2"/>
  <c r="E12" i="14"/>
  <c r="P679" i="5"/>
  <c r="AA614" i="2"/>
  <c r="W906" i="5"/>
  <c r="AA592" i="2"/>
  <c r="AL596" i="2"/>
  <c r="AH918" i="4"/>
  <c r="AL639" i="2"/>
  <c r="AH972" i="4"/>
  <c r="AK610" i="4"/>
  <c r="AE661" i="4"/>
  <c r="AB1310" i="2"/>
  <c r="X889" i="9"/>
  <c r="AB1309" i="2"/>
  <c r="R138" i="2"/>
  <c r="P258" i="5"/>
  <c r="R811" i="2"/>
  <c r="P167" i="9"/>
  <c r="O706" i="9"/>
  <c r="R1175" i="2"/>
  <c r="R932" i="2"/>
  <c r="P351" i="9"/>
  <c r="R872" i="2"/>
  <c r="P267" i="9"/>
  <c r="P61" i="9"/>
  <c r="AD2071" i="2"/>
  <c r="AG958" i="7"/>
  <c r="AH958" i="7"/>
  <c r="AL2071" i="2"/>
  <c r="T1361" i="2"/>
  <c r="AK1361" i="2"/>
  <c r="V1904" i="2"/>
  <c r="R702" i="7"/>
  <c r="V1897" i="2"/>
  <c r="R1595" i="2"/>
  <c r="P267" i="7"/>
  <c r="AE98" i="8"/>
  <c r="AF98" i="8"/>
  <c r="H98" i="8"/>
  <c r="R1847" i="2"/>
  <c r="P630" i="7"/>
  <c r="R1630" i="2"/>
  <c r="O315" i="7"/>
  <c r="P318" i="7"/>
  <c r="N766" i="5"/>
  <c r="Q490" i="2"/>
  <c r="R377" i="2"/>
  <c r="P603" i="5"/>
  <c r="R1565" i="2"/>
  <c r="P222" i="7"/>
  <c r="R716" i="2"/>
  <c r="P1086" i="5"/>
  <c r="O718" i="4"/>
  <c r="AL627" i="2"/>
  <c r="AH960" i="4"/>
  <c r="R334" i="2"/>
  <c r="P549" i="5"/>
  <c r="Q295" i="2"/>
  <c r="R1448" i="2"/>
  <c r="P1095" i="9"/>
  <c r="R1373" i="2"/>
  <c r="P983" i="9"/>
  <c r="AL1326" i="2"/>
  <c r="AH923" i="9"/>
  <c r="AL1324" i="2"/>
  <c r="AK1345" i="2"/>
  <c r="T1345" i="2"/>
  <c r="AD1409" i="2"/>
  <c r="AH1043" i="9"/>
  <c r="AL1409" i="2"/>
  <c r="O1043" i="9"/>
  <c r="AG1043" i="9"/>
  <c r="T1413" i="2"/>
  <c r="AK1413" i="2"/>
  <c r="AC1237" i="2"/>
  <c r="Y792" i="9"/>
  <c r="AC1235" i="2"/>
  <c r="R1107" i="2"/>
  <c r="P608" i="9"/>
  <c r="R963" i="2"/>
  <c r="H99" i="10"/>
  <c r="P396" i="9"/>
  <c r="AI484" i="9"/>
  <c r="AM1012" i="2"/>
  <c r="R870" i="2"/>
  <c r="P265" i="9"/>
  <c r="R574" i="2"/>
  <c r="P876" i="5"/>
  <c r="R1993" i="2"/>
  <c r="P838" i="7"/>
  <c r="AL2094" i="2"/>
  <c r="AH979" i="7"/>
  <c r="AL2092" i="2"/>
  <c r="R1784" i="2"/>
  <c r="P551" i="7"/>
  <c r="R1909" i="2"/>
  <c r="P717" i="7"/>
  <c r="O716" i="7"/>
  <c r="O712" i="7"/>
  <c r="T1739" i="2"/>
  <c r="AM1739" i="2"/>
  <c r="R1899" i="2"/>
  <c r="O706" i="7"/>
  <c r="R1898" i="2"/>
  <c r="P707" i="7"/>
  <c r="R1770" i="2"/>
  <c r="P537" i="7"/>
  <c r="AG473" i="2"/>
  <c r="O732" i="5"/>
  <c r="AC732" i="4"/>
  <c r="O732" i="4"/>
  <c r="P732" i="4"/>
  <c r="R636" i="2"/>
  <c r="E28" i="14"/>
  <c r="P969" i="5"/>
  <c r="AE615" i="2"/>
  <c r="AA944" i="5"/>
  <c r="AA948" i="4"/>
  <c r="R563" i="2"/>
  <c r="P861" i="5"/>
  <c r="AL1330" i="2"/>
  <c r="T1394" i="2"/>
  <c r="AK1394" i="2"/>
  <c r="AG1196" i="2"/>
  <c r="O731" i="9"/>
  <c r="R1128" i="2"/>
  <c r="P634" i="9"/>
  <c r="AC1150" i="2"/>
  <c r="AJ664" i="9"/>
  <c r="AK664" i="9"/>
  <c r="R827" i="2"/>
  <c r="P198" i="9"/>
  <c r="R777" i="2"/>
  <c r="P106" i="9"/>
  <c r="R868" i="2"/>
  <c r="P263" i="9"/>
  <c r="R2056" i="2"/>
  <c r="P935" i="7"/>
  <c r="AL2078" i="2"/>
  <c r="AH963" i="7"/>
  <c r="AL2076" i="2"/>
  <c r="AJ2061" i="2"/>
  <c r="S2061" i="2"/>
  <c r="AF906" i="7"/>
  <c r="AC1870" i="2"/>
  <c r="AJ661" i="7"/>
  <c r="AK661" i="7"/>
  <c r="O623" i="4"/>
  <c r="R1551" i="2"/>
  <c r="P199" i="7"/>
  <c r="AC1839" i="2"/>
  <c r="AJ621" i="7"/>
  <c r="AK621" i="7"/>
  <c r="Y618" i="7"/>
  <c r="R1756" i="2"/>
  <c r="P523" i="7"/>
  <c r="Q1561" i="2"/>
  <c r="N214" i="7"/>
  <c r="R577" i="2"/>
  <c r="P879" i="5"/>
  <c r="AC727" i="5"/>
  <c r="AG470" i="2"/>
  <c r="R315" i="2"/>
  <c r="P530" i="5"/>
  <c r="R1497" i="2"/>
  <c r="P103" i="7"/>
  <c r="AK670" i="4"/>
  <c r="AL629" i="2"/>
  <c r="AH962" i="4"/>
  <c r="AK1359" i="2"/>
  <c r="T1359" i="2"/>
  <c r="T1367" i="2"/>
  <c r="AK1367" i="2"/>
  <c r="R1411" i="2"/>
  <c r="P1045" i="9"/>
  <c r="AC727" i="9"/>
  <c r="AG1194" i="2"/>
  <c r="R895" i="2"/>
  <c r="P298" i="9"/>
  <c r="R1301" i="2"/>
  <c r="P879" i="9"/>
  <c r="R2044" i="2"/>
  <c r="P919" i="7"/>
  <c r="R1886" i="2"/>
  <c r="P677" i="7"/>
  <c r="R1888" i="2"/>
  <c r="P679" i="7"/>
  <c r="Q1674" i="2"/>
  <c r="N380" i="7"/>
  <c r="Q1673" i="2"/>
  <c r="T690" i="2"/>
  <c r="AK690" i="2"/>
  <c r="AG1047" i="4"/>
  <c r="R1819" i="2"/>
  <c r="P597" i="7"/>
  <c r="R1822" i="2"/>
  <c r="P600" i="7"/>
  <c r="R1501" i="2"/>
  <c r="P108" i="7"/>
  <c r="R507" i="2"/>
  <c r="P785" i="5"/>
  <c r="R1540" i="2"/>
  <c r="P179" i="7"/>
  <c r="R542" i="2"/>
  <c r="P834" i="5"/>
  <c r="R637" i="2"/>
  <c r="E29" i="14"/>
  <c r="P970" i="5"/>
  <c r="O697" i="4"/>
  <c r="R412" i="2"/>
  <c r="P642" i="5"/>
  <c r="R189" i="2"/>
  <c r="P325" i="5"/>
  <c r="O1084" i="4"/>
  <c r="Y1113" i="2"/>
  <c r="U614" i="9"/>
  <c r="Y1112" i="2"/>
  <c r="R1265" i="2"/>
  <c r="P833" i="9"/>
  <c r="R1183" i="2"/>
  <c r="P714" i="9"/>
  <c r="O713" i="9"/>
  <c r="R1151" i="2"/>
  <c r="P665" i="9"/>
  <c r="O664" i="9"/>
  <c r="R1205" i="2"/>
  <c r="O746" i="9"/>
  <c r="P748" i="9"/>
  <c r="R773" i="2"/>
  <c r="P102" i="9"/>
  <c r="R776" i="2"/>
  <c r="P105" i="9"/>
  <c r="R1990" i="2"/>
  <c r="P835" i="7"/>
  <c r="R2074" i="2"/>
  <c r="P961" i="7"/>
  <c r="R1938" i="2"/>
  <c r="O766" i="7"/>
  <c r="P769" i="7"/>
  <c r="R1918" i="2"/>
  <c r="P730" i="7"/>
  <c r="O727" i="7"/>
  <c r="T2102" i="2"/>
  <c r="AK2102" i="2"/>
  <c r="R1776" i="2"/>
  <c r="P543" i="7"/>
  <c r="R1658" i="2"/>
  <c r="P354" i="7"/>
  <c r="P443" i="7"/>
  <c r="T688" i="2"/>
  <c r="AK688" i="2"/>
  <c r="AG1045" i="4"/>
  <c r="AJ724" i="4"/>
  <c r="R414" i="2"/>
  <c r="P644" i="5"/>
  <c r="Q1492" i="2"/>
  <c r="N94" i="7"/>
  <c r="Q1491" i="2"/>
  <c r="R402" i="2"/>
  <c r="P632" i="5"/>
  <c r="R619" i="2"/>
  <c r="P952" i="5"/>
  <c r="AH979" i="9"/>
  <c r="AL1369" i="2"/>
  <c r="R319" i="2"/>
  <c r="P534" i="5"/>
  <c r="R139" i="2"/>
  <c r="P259" i="5"/>
  <c r="AI1338" i="2"/>
  <c r="AE906" i="9"/>
  <c r="AI1316" i="2"/>
  <c r="R238" i="2"/>
  <c r="P396" i="5"/>
  <c r="S1112" i="2"/>
  <c r="AK1112" i="2"/>
  <c r="R311" i="2"/>
  <c r="P526" i="5"/>
  <c r="R1346" i="2"/>
  <c r="P956" i="9"/>
  <c r="AK1341" i="2"/>
  <c r="T1341" i="2"/>
  <c r="Q822" i="2"/>
  <c r="N189" i="9"/>
  <c r="R1115" i="2"/>
  <c r="P620" i="9"/>
  <c r="R786" i="2"/>
  <c r="O118" i="9"/>
  <c r="P121" i="9"/>
  <c r="R1056" i="2"/>
  <c r="P546" i="9"/>
  <c r="R835" i="2"/>
  <c r="P209" i="9"/>
  <c r="R1264" i="2"/>
  <c r="P832" i="9"/>
  <c r="O829" i="9"/>
  <c r="R2054" i="2"/>
  <c r="P933" i="7"/>
  <c r="R1934" i="2"/>
  <c r="P758" i="7"/>
  <c r="R2082" i="2"/>
  <c r="P969" i="7"/>
  <c r="P237" i="4"/>
  <c r="R1537" i="2"/>
  <c r="P173" i="7"/>
  <c r="AB536" i="2"/>
  <c r="R497" i="2"/>
  <c r="P775" i="5"/>
  <c r="AL598" i="2"/>
  <c r="AH920" i="4"/>
  <c r="R472" i="2"/>
  <c r="P731" i="5"/>
  <c r="T1386" i="2"/>
  <c r="AK1386" i="2"/>
  <c r="R50" i="2"/>
  <c r="P104" i="5"/>
  <c r="S1145" i="2"/>
  <c r="AK1145" i="2"/>
  <c r="AL1174" i="2"/>
  <c r="P427" i="9"/>
  <c r="R1307" i="2"/>
  <c r="P885" i="9"/>
  <c r="R2048" i="2"/>
  <c r="P927" i="7"/>
  <c r="O923" i="7"/>
  <c r="R2171" i="2"/>
  <c r="P1095" i="7"/>
  <c r="Q2099" i="2"/>
  <c r="N986" i="7"/>
  <c r="Q2098" i="2"/>
  <c r="R1747" i="2"/>
  <c r="P508" i="7"/>
  <c r="R1654" i="2"/>
  <c r="P350" i="7"/>
  <c r="N340" i="7"/>
  <c r="Q1647" i="2"/>
  <c r="R1591" i="2"/>
  <c r="P263" i="7"/>
  <c r="R720" i="2"/>
  <c r="P1090" i="5"/>
  <c r="R1875" i="2"/>
  <c r="P666" i="7"/>
  <c r="R1593" i="2"/>
  <c r="P265" i="7"/>
  <c r="R583" i="2"/>
  <c r="P885" i="5"/>
  <c r="AK593" i="2"/>
  <c r="T593" i="2"/>
  <c r="AG910" i="4"/>
  <c r="R117" i="2"/>
  <c r="P222" i="5"/>
  <c r="R1349" i="2"/>
  <c r="O958" i="9"/>
  <c r="P959" i="9"/>
  <c r="R86" i="2"/>
  <c r="P167" i="5"/>
  <c r="R1114" i="2"/>
  <c r="P619" i="9"/>
  <c r="O708" i="4"/>
  <c r="AG1018" i="2"/>
  <c r="AC493" i="9"/>
  <c r="AG1017" i="2"/>
  <c r="R825" i="2"/>
  <c r="P196" i="9"/>
  <c r="P224" i="9"/>
  <c r="R874" i="2"/>
  <c r="P269" i="9"/>
  <c r="T2096" i="2"/>
  <c r="AK2096" i="2"/>
  <c r="AL2042" i="2"/>
  <c r="AH913" i="7"/>
  <c r="R1940" i="2"/>
  <c r="P771" i="7"/>
  <c r="R1683" i="2"/>
  <c r="P393" i="7"/>
  <c r="R375" i="2"/>
  <c r="P601" i="5"/>
  <c r="P959" i="4"/>
  <c r="O653" i="4"/>
  <c r="P653" i="4"/>
  <c r="AG961" i="4"/>
  <c r="T596" i="2"/>
  <c r="AK596" i="2"/>
  <c r="AG918" i="4"/>
  <c r="AK639" i="2"/>
  <c r="AG972" i="4"/>
  <c r="R506" i="2"/>
  <c r="P784" i="5"/>
  <c r="O673" i="4"/>
  <c r="P673" i="4"/>
  <c r="AJ610" i="4"/>
  <c r="AJ607" i="5"/>
  <c r="AJ607" i="4"/>
  <c r="R1311" i="2"/>
  <c r="P894" i="9"/>
  <c r="O891" i="9"/>
  <c r="AB1282" i="2"/>
  <c r="X852" i="9"/>
  <c r="AB1280" i="2"/>
  <c r="P758" i="9"/>
  <c r="R1246" i="2"/>
  <c r="P805" i="9"/>
  <c r="Q1018" i="2"/>
  <c r="Q906" i="2"/>
  <c r="N313" i="9"/>
  <c r="Q905" i="2"/>
  <c r="R755" i="2"/>
  <c r="P69" i="9"/>
  <c r="AC1146" i="2"/>
  <c r="Y656" i="9"/>
  <c r="AC1145" i="2"/>
  <c r="AK660" i="9"/>
  <c r="AJ656" i="9"/>
  <c r="AJ660" i="9"/>
  <c r="AI656" i="9"/>
  <c r="AM1145" i="2"/>
  <c r="P463" i="9"/>
  <c r="AJ599" i="4"/>
  <c r="R739" i="2"/>
  <c r="P41" i="9"/>
  <c r="O38" i="9"/>
  <c r="R1300" i="2"/>
  <c r="P878" i="9"/>
  <c r="O877" i="9"/>
  <c r="R1790" i="2"/>
  <c r="P557" i="7"/>
  <c r="R463" i="2"/>
  <c r="P718" i="5"/>
  <c r="AK627" i="2"/>
  <c r="AG960" i="4"/>
  <c r="R664" i="2"/>
  <c r="P1006" i="5"/>
  <c r="R335" i="2"/>
  <c r="P550" i="5"/>
  <c r="R103" i="2"/>
  <c r="P199" i="5"/>
  <c r="R1345" i="2"/>
  <c r="P954" i="9"/>
  <c r="R1321" i="2"/>
  <c r="P919" i="9"/>
  <c r="R1413" i="2"/>
  <c r="P1047" i="9"/>
  <c r="O1046" i="9"/>
  <c r="R338" i="2"/>
  <c r="P553" i="5"/>
  <c r="R1200" i="2"/>
  <c r="O736" i="9"/>
  <c r="P739" i="9"/>
  <c r="R1156" i="2"/>
  <c r="P670" i="9"/>
  <c r="R1118" i="2"/>
  <c r="P623" i="9"/>
  <c r="O621" i="9"/>
  <c r="O618" i="9"/>
  <c r="AI1116" i="2"/>
  <c r="AE618" i="9"/>
  <c r="T2107" i="2"/>
  <c r="AK2107" i="2"/>
  <c r="AG999" i="7"/>
  <c r="T2070" i="2"/>
  <c r="AK2070" i="2"/>
  <c r="R2133" i="2"/>
  <c r="P1044" i="7"/>
  <c r="R1911" i="2"/>
  <c r="P719" i="7"/>
  <c r="Q1817" i="2"/>
  <c r="R1766" i="2"/>
  <c r="P533" i="7"/>
  <c r="AC1908" i="2"/>
  <c r="AJ716" i="7"/>
  <c r="AK716" i="7"/>
  <c r="P1037" i="4"/>
  <c r="R1499" i="2"/>
  <c r="P105" i="7"/>
  <c r="Q423" i="2"/>
  <c r="R228" i="2"/>
  <c r="P386" i="5"/>
  <c r="R310" i="2"/>
  <c r="P525" i="5"/>
  <c r="R1330" i="2"/>
  <c r="P932" i="9"/>
  <c r="R1394" i="2"/>
  <c r="O1011" i="9"/>
  <c r="P1013" i="9"/>
  <c r="Q1196" i="2"/>
  <c r="N727" i="9"/>
  <c r="Q1194" i="2"/>
  <c r="R1090" i="2"/>
  <c r="P584" i="9"/>
  <c r="R1169" i="2"/>
  <c r="P690" i="9"/>
  <c r="O689" i="9"/>
  <c r="R1286" i="2"/>
  <c r="P860" i="9"/>
  <c r="R1065" i="2"/>
  <c r="P555" i="9"/>
  <c r="R947" i="2"/>
  <c r="P372" i="9"/>
  <c r="R961" i="2"/>
  <c r="P394" i="9"/>
  <c r="R2038" i="2"/>
  <c r="P903" i="7"/>
  <c r="R2021" i="2"/>
  <c r="P876" i="7"/>
  <c r="Z2061" i="2"/>
  <c r="V906" i="7"/>
  <c r="Z2039" i="2"/>
  <c r="T2111" i="2"/>
  <c r="AK2111" i="2"/>
  <c r="AL2056" i="2"/>
  <c r="T2056" i="2"/>
  <c r="R1841" i="2"/>
  <c r="P623" i="7"/>
  <c r="AB2033" i="2"/>
  <c r="X889" i="7"/>
  <c r="AB2032" i="2"/>
  <c r="R1878" i="2"/>
  <c r="P669" i="7"/>
  <c r="AK618" i="7"/>
  <c r="AJ614" i="7"/>
  <c r="R1562" i="2"/>
  <c r="O216" i="7"/>
  <c r="P219" i="7"/>
  <c r="R432" i="2"/>
  <c r="P670" i="5"/>
  <c r="T629" i="2"/>
  <c r="AK629" i="2"/>
  <c r="AG962" i="4"/>
  <c r="P797" i="4"/>
  <c r="R1359" i="2"/>
  <c r="P969" i="9"/>
  <c r="R76" i="2"/>
  <c r="P148" i="5"/>
  <c r="R1367" i="2"/>
  <c r="O976" i="9"/>
  <c r="P977" i="9"/>
  <c r="R102" i="2"/>
  <c r="P198" i="5"/>
  <c r="T1411" i="2"/>
  <c r="AK1411" i="2"/>
  <c r="R1195" i="2"/>
  <c r="P730" i="9"/>
  <c r="O727" i="9"/>
  <c r="R1063" i="2"/>
  <c r="P553" i="9"/>
  <c r="Q1168" i="2"/>
  <c r="N685" i="9"/>
  <c r="Q1167" i="2"/>
  <c r="R834" i="2"/>
  <c r="P208" i="9"/>
  <c r="R2015" i="2"/>
  <c r="P866" i="7"/>
  <c r="AE2061" i="2"/>
  <c r="AA906" i="7"/>
  <c r="AE2039" i="2"/>
  <c r="R1710" i="2"/>
  <c r="P435" i="7"/>
  <c r="R1804" i="2"/>
  <c r="P575" i="7"/>
  <c r="AD689" i="2"/>
  <c r="AG1046" i="5"/>
  <c r="AH1046" i="5"/>
  <c r="AL689" i="2"/>
  <c r="AE422" i="8"/>
  <c r="AF422" i="8"/>
  <c r="D422" i="8"/>
  <c r="R1701" i="2"/>
  <c r="O417" i="7"/>
  <c r="P420" i="7"/>
  <c r="N667" i="7"/>
  <c r="Q1876" i="2"/>
  <c r="AL618" i="2"/>
  <c r="AH951" i="4"/>
  <c r="N509" i="4"/>
  <c r="R449" i="2"/>
  <c r="P697" i="5"/>
  <c r="AC411" i="2"/>
  <c r="AJ641" i="5"/>
  <c r="AK641" i="5"/>
  <c r="Y641" i="4"/>
  <c r="AI491" i="4"/>
  <c r="R1382" i="2"/>
  <c r="P996" i="9"/>
  <c r="R366" i="2"/>
  <c r="P585" i="5"/>
  <c r="R74" i="2"/>
  <c r="P146" i="5"/>
  <c r="R314" i="2"/>
  <c r="P529" i="5"/>
  <c r="R1437" i="2"/>
  <c r="P1084" i="9"/>
  <c r="O1082" i="9"/>
  <c r="R1103" i="2"/>
  <c r="P604" i="9"/>
  <c r="AC1182" i="2"/>
  <c r="AJ713" i="9"/>
  <c r="AK713" i="9"/>
  <c r="Y712" i="9"/>
  <c r="P399" i="9"/>
  <c r="P28" i="9"/>
  <c r="O832" i="4"/>
  <c r="T2088" i="2"/>
  <c r="AK2088" i="2"/>
  <c r="R1950" i="2"/>
  <c r="P781" i="7"/>
  <c r="AB2061" i="2"/>
  <c r="X906" i="7"/>
  <c r="AB2039" i="2"/>
  <c r="AL2102" i="2"/>
  <c r="Q1836" i="2"/>
  <c r="N614" i="7"/>
  <c r="Q1835" i="2"/>
  <c r="R1901" i="2"/>
  <c r="P709" i="7"/>
  <c r="W1559" i="2"/>
  <c r="S186" i="7"/>
  <c r="Q586" i="2"/>
  <c r="N889" i="5"/>
  <c r="Q585" i="2"/>
  <c r="AK644" i="4"/>
  <c r="R562" i="2"/>
  <c r="P860" i="5"/>
  <c r="AL634" i="2"/>
  <c r="O612" i="4"/>
  <c r="Y661" i="4"/>
  <c r="R324" i="2"/>
  <c r="R52" i="2"/>
  <c r="P106" i="5"/>
  <c r="AK1346" i="2"/>
  <c r="T1346" i="2"/>
  <c r="V1113" i="2"/>
  <c r="R614" i="9"/>
  <c r="V1112" i="2"/>
  <c r="R1341" i="2"/>
  <c r="O949" i="9"/>
  <c r="P950" i="9"/>
  <c r="AC1153" i="2"/>
  <c r="AK667" i="9"/>
  <c r="AJ667" i="9"/>
  <c r="R823" i="2"/>
  <c r="O191" i="9"/>
  <c r="P194" i="9"/>
  <c r="R1120" i="2"/>
  <c r="P625" i="9"/>
  <c r="AE1181" i="2"/>
  <c r="AE712" i="9"/>
  <c r="AA702" i="9"/>
  <c r="AE1174" i="2"/>
  <c r="R936" i="2"/>
  <c r="P357" i="9"/>
  <c r="R862" i="2"/>
  <c r="P257" i="9"/>
  <c r="R828" i="2"/>
  <c r="P199" i="9"/>
  <c r="T2054" i="2"/>
  <c r="AL2054" i="2"/>
  <c r="AH933" i="4"/>
  <c r="O1034" i="4"/>
  <c r="AC1858" i="2"/>
  <c r="AJ641" i="7"/>
  <c r="AK641" i="7"/>
  <c r="AG1741" i="2"/>
  <c r="AC493" i="7"/>
  <c r="AG1740" i="2"/>
  <c r="R1905" i="2"/>
  <c r="P713" i="7"/>
  <c r="R1456" i="2"/>
  <c r="P26" i="7"/>
  <c r="R670" i="2"/>
  <c r="P1012" i="5"/>
  <c r="R537" i="2"/>
  <c r="P826" i="5"/>
  <c r="O823" i="5"/>
  <c r="R318" i="2"/>
  <c r="P533" i="5"/>
  <c r="T598" i="2"/>
  <c r="AK598" i="2"/>
  <c r="AG920" i="4"/>
  <c r="R137" i="2"/>
  <c r="P257" i="5"/>
  <c r="R1386" i="2"/>
  <c r="P1005" i="9"/>
  <c r="O1003" i="9"/>
  <c r="AK1334" i="2"/>
  <c r="T1334" i="2"/>
  <c r="AD1380" i="2"/>
  <c r="AG994" i="9"/>
  <c r="AH994" i="9"/>
  <c r="R1221" i="2"/>
  <c r="P775" i="9"/>
  <c r="O773" i="9"/>
  <c r="R992" i="2"/>
  <c r="P443" i="9"/>
  <c r="N504" i="9"/>
  <c r="Q1022" i="2"/>
  <c r="O425" i="9"/>
  <c r="R1020" i="2"/>
  <c r="P499" i="9"/>
  <c r="R747" i="2"/>
  <c r="P57" i="9"/>
  <c r="R544" i="2"/>
  <c r="P836" i="5"/>
  <c r="AL2048" i="2"/>
  <c r="AH923" i="7"/>
  <c r="AL2047" i="2"/>
  <c r="R2017" i="2"/>
  <c r="P868" i="7"/>
  <c r="R1828" i="2"/>
  <c r="P606" i="7"/>
  <c r="Q1930" i="2"/>
  <c r="N748" i="7"/>
  <c r="R1855" i="2"/>
  <c r="P638" i="7"/>
  <c r="R1748" i="2"/>
  <c r="P509" i="7"/>
  <c r="R1778" i="2"/>
  <c r="P545" i="7"/>
  <c r="R1621" i="2"/>
  <c r="P302" i="7"/>
  <c r="AK724" i="4"/>
  <c r="R53" i="2"/>
  <c r="P108" i="5"/>
  <c r="R821" i="9"/>
  <c r="V1259" i="2"/>
  <c r="AF1338" i="2"/>
  <c r="AB906" i="9"/>
  <c r="AF1316" i="2"/>
  <c r="R1019" i="2"/>
  <c r="P498" i="9"/>
  <c r="O495" i="9"/>
  <c r="R1072" i="2"/>
  <c r="P562" i="9"/>
  <c r="R793" i="2"/>
  <c r="P134" i="9"/>
  <c r="P99" i="4"/>
  <c r="S2052" i="2"/>
  <c r="AK2052" i="2"/>
  <c r="R2096" i="2"/>
  <c r="P983" i="7"/>
  <c r="AK2046" i="2"/>
  <c r="T2046" i="2"/>
  <c r="R1472" i="2"/>
  <c r="P59" i="7"/>
  <c r="R517" i="2"/>
  <c r="P800" i="5"/>
  <c r="AL672" i="2"/>
  <c r="AH1014" i="4"/>
  <c r="AL626" i="2"/>
  <c r="AH959" i="4"/>
  <c r="AK653" i="4"/>
  <c r="R596" i="2"/>
  <c r="P918" i="5"/>
  <c r="AK100" i="18"/>
  <c r="AK673" i="4"/>
  <c r="AK620" i="4"/>
  <c r="R354" i="2"/>
  <c r="P573" i="5"/>
  <c r="R1446" i="2"/>
  <c r="P1093" i="9"/>
  <c r="R1284" i="2"/>
  <c r="P858" i="9"/>
  <c r="T1365" i="2"/>
  <c r="AK1365" i="2"/>
  <c r="R1390" i="2"/>
  <c r="P1009" i="9"/>
  <c r="R897" i="2"/>
  <c r="P300" i="9"/>
  <c r="R1173" i="2"/>
  <c r="P697" i="9"/>
  <c r="N592" i="9"/>
  <c r="R1082" i="2"/>
  <c r="P576" i="9"/>
  <c r="R1068" i="2"/>
  <c r="P558" i="9"/>
  <c r="R907" i="2"/>
  <c r="P318" i="9"/>
  <c r="O315" i="9"/>
  <c r="N214" i="9"/>
  <c r="O159" i="9"/>
  <c r="R1313" i="2"/>
  <c r="P896" i="9"/>
  <c r="T2080" i="2"/>
  <c r="AK2080" i="2"/>
  <c r="T2066" i="2"/>
  <c r="AK2066" i="2"/>
  <c r="P377" i="4"/>
  <c r="O374" i="4"/>
  <c r="P374" i="4"/>
  <c r="O707" i="4"/>
  <c r="O706" i="4"/>
  <c r="P706" i="4"/>
  <c r="R591" i="2"/>
  <c r="P903" i="5"/>
  <c r="R2035" i="2"/>
  <c r="P895" i="7"/>
  <c r="R1575" i="2"/>
  <c r="P239" i="7"/>
  <c r="R1895" i="2"/>
  <c r="P693" i="7"/>
  <c r="R1861" i="2"/>
  <c r="P644" i="7"/>
  <c r="R683" i="2"/>
  <c r="P1040" i="5"/>
  <c r="R531" i="2"/>
  <c r="P814" i="5"/>
  <c r="R627" i="2"/>
  <c r="E23" i="14"/>
  <c r="P960" i="5"/>
  <c r="AE388" i="2"/>
  <c r="AA614" i="5"/>
  <c r="AE387" i="2"/>
  <c r="AL664" i="2"/>
  <c r="AH1006" i="4"/>
  <c r="R346" i="2"/>
  <c r="P561" i="5"/>
  <c r="T1405" i="2"/>
  <c r="AK1405" i="2"/>
  <c r="P474" i="9"/>
  <c r="R875" i="2"/>
  <c r="P271" i="9"/>
  <c r="R2070" i="2"/>
  <c r="P957" i="7"/>
  <c r="T2133" i="2"/>
  <c r="AK2133" i="2"/>
  <c r="P1059" i="7"/>
  <c r="R1637" i="2"/>
  <c r="P325" i="7"/>
  <c r="AK1897" i="2"/>
  <c r="S1897" i="2"/>
  <c r="Q1583" i="2"/>
  <c r="N251" i="7"/>
  <c r="Q1582" i="2"/>
  <c r="R1737" i="2"/>
  <c r="P489" i="7"/>
  <c r="Q661" i="2"/>
  <c r="N999" i="5"/>
  <c r="Q660" i="2"/>
  <c r="AH928" i="4"/>
  <c r="R504" i="2"/>
  <c r="P782" i="5"/>
  <c r="T692" i="2"/>
  <c r="AK692" i="2"/>
  <c r="AG1049" i="4"/>
  <c r="AI429" i="2"/>
  <c r="AE667" i="4"/>
  <c r="R1438" i="2"/>
  <c r="P1085" i="9"/>
  <c r="AK1330" i="2"/>
  <c r="T1330" i="2"/>
  <c r="AM1338" i="2"/>
  <c r="AI906" i="9"/>
  <c r="AM1316" i="2"/>
  <c r="R767" i="2"/>
  <c r="P90" i="9"/>
  <c r="R1127" i="2"/>
  <c r="P633" i="9"/>
  <c r="O856" i="9"/>
  <c r="AC1106" i="2"/>
  <c r="O607" i="9"/>
  <c r="O592" i="9"/>
  <c r="R2111" i="2"/>
  <c r="P1007" i="7"/>
  <c r="O1082" i="7"/>
  <c r="O1075" i="7"/>
  <c r="R2153" i="2"/>
  <c r="R1726" i="2"/>
  <c r="P463" i="7"/>
  <c r="R1760" i="2"/>
  <c r="P527" i="7"/>
  <c r="R2034" i="2"/>
  <c r="O891" i="7"/>
  <c r="P894" i="7"/>
  <c r="R1454" i="2"/>
  <c r="H27" i="8"/>
  <c r="P22" i="7"/>
  <c r="O20" i="7"/>
  <c r="AJ618" i="7"/>
  <c r="AI614" i="7"/>
  <c r="R1743" i="2"/>
  <c r="P499" i="7"/>
  <c r="P1078" i="4"/>
  <c r="R115" i="2"/>
  <c r="P220" i="5"/>
  <c r="O980" i="4"/>
  <c r="R546" i="2"/>
  <c r="P838" i="5"/>
  <c r="AJ670" i="4"/>
  <c r="O498" i="4"/>
  <c r="R567" i="2"/>
  <c r="P865" i="5"/>
  <c r="R514" i="2"/>
  <c r="P797" i="5"/>
  <c r="Q1282" i="2"/>
  <c r="N852" i="9"/>
  <c r="Q1280" i="2"/>
  <c r="O507" i="4"/>
  <c r="R1049" i="2"/>
  <c r="P539" i="9"/>
  <c r="Q745" i="2"/>
  <c r="N51" i="9"/>
  <c r="Q744" i="2"/>
  <c r="R871" i="2"/>
  <c r="P266" i="9"/>
  <c r="N1075" i="7"/>
  <c r="Q2153" i="2"/>
  <c r="R1635" i="2"/>
  <c r="P323" i="7"/>
  <c r="R690" i="2"/>
  <c r="P1047" i="5"/>
  <c r="O1046" i="5"/>
  <c r="R545" i="2"/>
  <c r="P837" i="5"/>
  <c r="R481" i="2"/>
  <c r="AK618" i="2"/>
  <c r="AG951" i="4"/>
  <c r="N727" i="5"/>
  <c r="Q470" i="2"/>
  <c r="Q300" i="2"/>
  <c r="R603" i="2"/>
  <c r="P929" i="5"/>
  <c r="R167" i="2"/>
  <c r="P295" i="5"/>
  <c r="O292" i="5"/>
  <c r="T1382" i="2"/>
  <c r="AK1382" i="2"/>
  <c r="R1288" i="2"/>
  <c r="P862" i="9"/>
  <c r="W729" i="2"/>
  <c r="S13" i="9"/>
  <c r="T16" i="9"/>
  <c r="X729" i="2"/>
  <c r="R540" i="2"/>
  <c r="R1963" i="2"/>
  <c r="O798" i="7"/>
  <c r="O796" i="7"/>
  <c r="P799" i="7"/>
  <c r="R2088" i="2"/>
  <c r="P975" i="7"/>
  <c r="Q1891" i="2"/>
  <c r="N685" i="7"/>
  <c r="Q1890" i="2"/>
  <c r="R1920" i="2"/>
  <c r="P732" i="7"/>
  <c r="R1481" i="2"/>
  <c r="P74" i="7"/>
  <c r="O484" i="7"/>
  <c r="R1853" i="2"/>
  <c r="P636" i="7"/>
  <c r="AJ644" i="4"/>
  <c r="R254" i="2"/>
  <c r="P421" i="5"/>
  <c r="AL685" i="2"/>
  <c r="AH1042" i="4"/>
  <c r="O917" i="4"/>
  <c r="AG928" i="4"/>
  <c r="AK612" i="4"/>
  <c r="AL421" i="2"/>
  <c r="AG993" i="4"/>
  <c r="AK661" i="4"/>
  <c r="AJ491" i="4"/>
  <c r="R423" i="2"/>
  <c r="P661" i="5"/>
  <c r="AJ634" i="4"/>
  <c r="R110" i="2"/>
  <c r="P209" i="5"/>
  <c r="R1379" i="2"/>
  <c r="P993" i="9"/>
  <c r="O517" i="9"/>
  <c r="AG1026" i="2"/>
  <c r="O510" i="9"/>
  <c r="AC504" i="9"/>
  <c r="AG1022" i="2"/>
  <c r="R1248" i="2"/>
  <c r="P807" i="9"/>
  <c r="O806" i="9"/>
  <c r="R995" i="2"/>
  <c r="P449" i="9"/>
  <c r="R913" i="2"/>
  <c r="P324" i="9"/>
  <c r="R1984" i="2"/>
  <c r="P826" i="7"/>
  <c r="O823" i="7"/>
  <c r="R1742" i="2"/>
  <c r="O495" i="7"/>
  <c r="P498" i="7"/>
  <c r="R1587" i="2"/>
  <c r="P259" i="7"/>
  <c r="T675" i="2"/>
  <c r="Q1401" i="2"/>
  <c r="N1030" i="9"/>
  <c r="Q1399" i="2"/>
  <c r="R621" i="2"/>
  <c r="E20" i="14"/>
  <c r="P954" i="5"/>
  <c r="AL1386" i="2"/>
  <c r="AH1003" i="9"/>
  <c r="T1384" i="2"/>
  <c r="R1334" i="2"/>
  <c r="P936" i="9"/>
  <c r="R83" i="2"/>
  <c r="P161" i="5"/>
  <c r="R1164" i="2"/>
  <c r="P678" i="9"/>
  <c r="R34" i="2"/>
  <c r="P75" i="5"/>
  <c r="T1381" i="2"/>
  <c r="AK1381" i="2"/>
  <c r="AC1168" i="2"/>
  <c r="AJ689" i="9"/>
  <c r="AI685" i="9"/>
  <c r="Y685" i="9"/>
  <c r="AC1167" i="2"/>
  <c r="AK689" i="9"/>
  <c r="AJ685" i="9"/>
  <c r="R1125" i="2"/>
  <c r="P631" i="9"/>
  <c r="O630" i="9"/>
  <c r="AC1124" i="2"/>
  <c r="AJ630" i="9"/>
  <c r="AK630" i="9"/>
  <c r="R1304" i="2"/>
  <c r="P882" i="9"/>
  <c r="R2013" i="2"/>
  <c r="P864" i="7"/>
  <c r="P752" i="7"/>
  <c r="R1849" i="2"/>
  <c r="P632" i="7"/>
  <c r="R1585" i="2"/>
  <c r="P257" i="7"/>
  <c r="O253" i="7"/>
  <c r="AC1876" i="2"/>
  <c r="AJ667" i="7"/>
  <c r="AK667" i="7"/>
  <c r="O806" i="4"/>
  <c r="P806" i="4"/>
  <c r="P807" i="4"/>
  <c r="R1534" i="2"/>
  <c r="P167" i="7"/>
  <c r="R1907" i="2"/>
  <c r="P715" i="7"/>
  <c r="AI614" i="2"/>
  <c r="AE906" i="5"/>
  <c r="AI592" i="2"/>
  <c r="AF614" i="2"/>
  <c r="AB906" i="5"/>
  <c r="AF592" i="2"/>
  <c r="R67" i="2"/>
  <c r="P133" i="5"/>
  <c r="R309" i="2"/>
  <c r="P524" i="5"/>
  <c r="R144" i="2"/>
  <c r="P264" i="5"/>
  <c r="AC1338" i="2"/>
  <c r="Y906" i="9"/>
  <c r="AC1316" i="2"/>
  <c r="R1317" i="2"/>
  <c r="P910" i="9"/>
  <c r="AK618" i="9"/>
  <c r="AJ614" i="9"/>
  <c r="R1177" i="2"/>
  <c r="P708" i="9"/>
  <c r="AC1135" i="2"/>
  <c r="AJ641" i="9"/>
  <c r="AK641" i="9"/>
  <c r="R934" i="2"/>
  <c r="P353" i="9"/>
  <c r="R854" i="2"/>
  <c r="P242" i="9"/>
  <c r="R1985" i="2"/>
  <c r="P827" i="7"/>
  <c r="R2164" i="2"/>
  <c r="P1088" i="7"/>
  <c r="R2052" i="2"/>
  <c r="P931" i="7"/>
  <c r="R2046" i="2"/>
  <c r="P921" i="7"/>
  <c r="AH996" i="4"/>
  <c r="O739" i="4"/>
  <c r="V736" i="4"/>
  <c r="O598" i="7"/>
  <c r="O592" i="7"/>
  <c r="R1764" i="2"/>
  <c r="P531" i="7"/>
  <c r="R1619" i="2"/>
  <c r="P299" i="7"/>
  <c r="R1859" i="2"/>
  <c r="O641" i="7"/>
  <c r="P642" i="7"/>
  <c r="R1636" i="2"/>
  <c r="P324" i="7"/>
  <c r="R465" i="2"/>
  <c r="P720" i="5"/>
  <c r="R723" i="2"/>
  <c r="P1093" i="5"/>
  <c r="T674" i="2"/>
  <c r="AK674" i="2"/>
  <c r="AG1022" i="4"/>
  <c r="T626" i="2"/>
  <c r="AK626" i="2"/>
  <c r="AG959" i="4"/>
  <c r="R527" i="2"/>
  <c r="P810" i="5"/>
  <c r="R420" i="2"/>
  <c r="P653" i="5"/>
  <c r="AJ168" i="17"/>
  <c r="AG1007" i="4"/>
  <c r="AJ673" i="4"/>
  <c r="R390" i="2"/>
  <c r="P620" i="5"/>
  <c r="R142" i="2"/>
  <c r="P262" i="5"/>
  <c r="T1357" i="2"/>
  <c r="AK1357" i="2"/>
  <c r="R237" i="2"/>
  <c r="H85" i="6"/>
  <c r="AE84" i="6"/>
  <c r="AF84" i="6"/>
  <c r="P395" i="5"/>
  <c r="R1365" i="2"/>
  <c r="P975" i="9"/>
  <c r="R1403" i="2"/>
  <c r="P1037" i="9"/>
  <c r="O1035" i="9"/>
  <c r="R1057" i="2"/>
  <c r="P547" i="9"/>
  <c r="AG923" i="9"/>
  <c r="Y592" i="9"/>
  <c r="AC1094" i="2"/>
  <c r="R1891" i="2"/>
  <c r="O685" i="7"/>
  <c r="P689" i="7"/>
  <c r="R1308" i="2"/>
  <c r="P886" i="9"/>
  <c r="R1270" i="2"/>
  <c r="P838" i="9"/>
  <c r="X2061" i="2"/>
  <c r="T906" i="7"/>
  <c r="X2039" i="2"/>
  <c r="R2066" i="2"/>
  <c r="P952" i="7"/>
  <c r="R1547" i="2"/>
  <c r="P195" i="7"/>
  <c r="O191" i="7"/>
  <c r="R1975" i="2"/>
  <c r="P811" i="7"/>
  <c r="Q1905" i="2"/>
  <c r="N712" i="7"/>
  <c r="AI1891" i="2"/>
  <c r="AD685" i="7"/>
  <c r="AH1890" i="2"/>
  <c r="R1681" i="2"/>
  <c r="P391" i="7"/>
  <c r="AC1905" i="2"/>
  <c r="AK713" i="7"/>
  <c r="AJ713" i="7"/>
  <c r="Y712" i="7"/>
  <c r="R1490" i="2"/>
  <c r="P90" i="7"/>
  <c r="R1882" i="2"/>
  <c r="P673" i="7"/>
  <c r="R1557" i="2"/>
  <c r="P208" i="7"/>
  <c r="AL683" i="2"/>
  <c r="AH1040" i="4"/>
  <c r="R308" i="2"/>
  <c r="P523" i="5"/>
  <c r="R1473" i="2"/>
  <c r="P61" i="7"/>
  <c r="T664" i="2"/>
  <c r="AK664" i="2"/>
  <c r="AG1006" i="4"/>
  <c r="R467" i="2"/>
  <c r="P722" i="5"/>
  <c r="R1361" i="2"/>
  <c r="P971" i="9"/>
  <c r="AK1353" i="2"/>
  <c r="T1353" i="2"/>
  <c r="R331" i="2"/>
  <c r="P546" i="5"/>
  <c r="AI426" i="2"/>
  <c r="AE664" i="4"/>
  <c r="R344" i="2"/>
  <c r="P559" i="5"/>
  <c r="R140" i="2"/>
  <c r="P260" i="5"/>
  <c r="T1321" i="2"/>
  <c r="AK1321" i="2"/>
  <c r="R1405" i="2"/>
  <c r="P1039" i="9"/>
  <c r="Q951" i="2"/>
  <c r="N380" i="9"/>
  <c r="Q950" i="2"/>
  <c r="V1181" i="2"/>
  <c r="R702" i="9"/>
  <c r="V1174" i="2"/>
  <c r="Q738" i="2"/>
  <c r="N36" i="9"/>
  <c r="Q737" i="2"/>
  <c r="Z1043" i="7"/>
  <c r="T2084" i="2"/>
  <c r="AK2084" i="2"/>
  <c r="AC1891" i="2"/>
  <c r="AK689" i="7"/>
  <c r="AJ685" i="7"/>
  <c r="Y685" i="7"/>
  <c r="AC1890" i="2"/>
  <c r="AJ689" i="7"/>
  <c r="AI685" i="7"/>
  <c r="AJ608" i="4"/>
  <c r="R1780" i="2"/>
  <c r="P547" i="7"/>
  <c r="R1718" i="2"/>
  <c r="P449" i="7"/>
  <c r="R1814" i="2"/>
  <c r="P585" i="7"/>
  <c r="V615" i="2"/>
  <c r="R944" i="5"/>
  <c r="R948" i="4"/>
  <c r="R1483" i="2"/>
  <c r="P77" i="7"/>
  <c r="O795" i="4"/>
  <c r="R692" i="2"/>
  <c r="P1049" i="5"/>
  <c r="R611" i="2"/>
  <c r="P937" i="5"/>
  <c r="R519" i="2"/>
  <c r="P802" i="5"/>
  <c r="R330" i="2"/>
  <c r="P545" i="5"/>
  <c r="R207" i="2"/>
  <c r="P351" i="5"/>
  <c r="R1447" i="2"/>
  <c r="P1094" i="9"/>
  <c r="R1133" i="2"/>
  <c r="P639" i="9"/>
  <c r="R1302" i="2"/>
  <c r="P880" i="9"/>
  <c r="V821" i="9"/>
  <c r="Z1259" i="2"/>
  <c r="AL2111" i="2"/>
  <c r="T2050" i="2"/>
  <c r="AK2050" i="2"/>
  <c r="V2062" i="2"/>
  <c r="R944" i="7"/>
  <c r="R1973" i="2"/>
  <c r="P809" i="7"/>
  <c r="R1589" i="2"/>
  <c r="P261" i="7"/>
  <c r="Y722" i="4"/>
  <c r="O723" i="4"/>
  <c r="AJ623" i="4"/>
  <c r="R1521" i="2"/>
  <c r="P145" i="7"/>
  <c r="O142" i="7"/>
  <c r="W1452" i="2"/>
  <c r="S13" i="7"/>
  <c r="T16" i="7"/>
  <c r="X1452" i="2"/>
  <c r="R1553" i="2"/>
  <c r="P204" i="7"/>
  <c r="O201" i="7"/>
  <c r="AL647" i="2"/>
  <c r="AH980" i="4"/>
  <c r="R370" i="2"/>
  <c r="P596" i="5"/>
  <c r="R99" i="2"/>
  <c r="P195" i="5"/>
  <c r="R1245" i="2"/>
  <c r="P804" i="9"/>
  <c r="R1088" i="2"/>
  <c r="P582" i="9"/>
  <c r="R1152" i="2"/>
  <c r="P666" i="9"/>
  <c r="T1319" i="2"/>
  <c r="AK1319" i="2"/>
  <c r="AG913" i="9"/>
  <c r="R580" i="2"/>
  <c r="P882" i="5"/>
  <c r="R2037" i="2"/>
  <c r="P900" i="7"/>
  <c r="T2064" i="2"/>
  <c r="AK2064" i="2"/>
  <c r="AD1962" i="2"/>
  <c r="E517" i="8"/>
  <c r="R1877" i="2"/>
  <c r="O667" i="7"/>
  <c r="P668" i="7"/>
  <c r="R1826" i="2"/>
  <c r="P604" i="7"/>
  <c r="AJ598" i="7"/>
  <c r="AI592" i="7"/>
  <c r="AH484" i="7"/>
  <c r="R1972" i="2"/>
  <c r="P808" i="7"/>
  <c r="AE457" i="2"/>
  <c r="AE712" i="5"/>
  <c r="AA712" i="4"/>
  <c r="AA702" i="4"/>
  <c r="AA702" i="5"/>
  <c r="AE450" i="2"/>
  <c r="R1464" i="2"/>
  <c r="P44" i="7"/>
  <c r="R1495" i="2"/>
  <c r="P101" i="7"/>
  <c r="R618" i="2"/>
  <c r="E18" i="14"/>
  <c r="AG300" i="2"/>
  <c r="O509" i="5"/>
  <c r="R300" i="2"/>
  <c r="AC509" i="4"/>
  <c r="O509" i="4"/>
  <c r="P509" i="4"/>
  <c r="AL603" i="2"/>
  <c r="AH929" i="4"/>
  <c r="O572" i="4"/>
  <c r="Q166" i="2"/>
  <c r="R1431" i="2"/>
  <c r="O1075" i="9"/>
  <c r="R1430" i="2"/>
  <c r="P1078" i="9"/>
  <c r="S1399" i="2"/>
  <c r="AJ1399" i="2"/>
  <c r="Q1340" i="2"/>
  <c r="N948" i="9"/>
  <c r="R912" i="2"/>
  <c r="P323" i="9"/>
  <c r="R1109" i="2"/>
  <c r="P610" i="9"/>
  <c r="R1188" i="2"/>
  <c r="P719" i="9"/>
  <c r="R841" i="2"/>
  <c r="P221" i="9"/>
  <c r="R588" i="2"/>
  <c r="P895" i="5"/>
  <c r="W2061" i="2"/>
  <c r="S906" i="7"/>
  <c r="W2039" i="2"/>
  <c r="T2068" i="2"/>
  <c r="AK2068" i="2"/>
  <c r="AL2088" i="2"/>
  <c r="R2020" i="2"/>
  <c r="O874" i="7"/>
  <c r="P875" i="7"/>
  <c r="O569" i="7"/>
  <c r="R1598" i="2"/>
  <c r="P271" i="7"/>
  <c r="R1806" i="2"/>
  <c r="P577" i="7"/>
  <c r="R541" i="2"/>
  <c r="P833" i="5"/>
  <c r="T685" i="2"/>
  <c r="AK685" i="2"/>
  <c r="AG1042" i="4"/>
  <c r="AL595" i="2"/>
  <c r="AH917" i="4"/>
  <c r="R386" i="2"/>
  <c r="P612" i="5"/>
  <c r="AJ661" i="4"/>
  <c r="R1138" i="2"/>
  <c r="P644" i="9"/>
  <c r="O489" i="4"/>
  <c r="R201" i="2"/>
  <c r="P345" i="5"/>
  <c r="T1377" i="2"/>
  <c r="AK1377" i="2"/>
  <c r="R148" i="2"/>
  <c r="P268" i="5"/>
  <c r="R1144" i="2"/>
  <c r="P653" i="9"/>
  <c r="Q226" i="2"/>
  <c r="Q1239" i="2"/>
  <c r="N796" i="9"/>
  <c r="T1379" i="2"/>
  <c r="AK1379" i="2"/>
  <c r="AD592" i="9"/>
  <c r="AH1094" i="2"/>
  <c r="R771" i="2"/>
  <c r="P100" i="9"/>
  <c r="AB1983" i="2"/>
  <c r="X821" i="7"/>
  <c r="AB1982" i="2"/>
  <c r="Y906" i="7"/>
  <c r="AC2039" i="2"/>
  <c r="T2123" i="2"/>
  <c r="AK2123" i="2"/>
  <c r="N727" i="7"/>
  <c r="Q1917" i="2"/>
  <c r="R1511" i="2"/>
  <c r="P124" i="7"/>
  <c r="AK723" i="4"/>
  <c r="AK722" i="4"/>
  <c r="R675" i="2"/>
  <c r="P1026" i="5"/>
  <c r="AK144" i="18"/>
  <c r="R532" i="2"/>
  <c r="P815" i="5"/>
  <c r="R493" i="2"/>
  <c r="P771" i="5"/>
  <c r="AL621" i="2"/>
  <c r="AH954" i="4"/>
  <c r="O874" i="4"/>
  <c r="P875" i="4"/>
  <c r="R109" i="2"/>
  <c r="P208" i="5"/>
  <c r="R9" i="2"/>
  <c r="P28" i="5"/>
  <c r="R1381" i="2"/>
  <c r="P995" i="9"/>
  <c r="O994" i="9"/>
  <c r="T1145" i="2"/>
  <c r="AL1145" i="2"/>
  <c r="R1255" i="2"/>
  <c r="P814" i="9"/>
  <c r="R1202" i="2"/>
  <c r="P741" i="9"/>
  <c r="R911" i="2"/>
  <c r="P322" i="9"/>
  <c r="R733" i="2"/>
  <c r="P26" i="9"/>
  <c r="R772" i="2"/>
  <c r="P101" i="9"/>
  <c r="R584" i="2"/>
  <c r="P886" i="5"/>
  <c r="T2058" i="2"/>
  <c r="AK2058" i="2"/>
  <c r="T2086" i="2"/>
  <c r="AK2086" i="2"/>
  <c r="R1971" i="2"/>
  <c r="P807" i="7"/>
  <c r="O806" i="7"/>
  <c r="R1702" i="2"/>
  <c r="P421" i="7"/>
  <c r="AI411" i="2"/>
  <c r="AE641" i="4"/>
  <c r="W4" i="2"/>
  <c r="T16" i="5"/>
  <c r="X4" i="2"/>
  <c r="R316" i="2"/>
  <c r="P531" i="5"/>
  <c r="Q1310" i="2"/>
  <c r="N889" i="9"/>
  <c r="Q1309" i="2"/>
  <c r="AK1332" i="2"/>
  <c r="T1332" i="2"/>
  <c r="AL1317" i="2"/>
  <c r="O1003" i="7"/>
  <c r="T2052" i="2"/>
  <c r="AL2052" i="2"/>
  <c r="T2124" i="2"/>
  <c r="AK2124" i="2"/>
  <c r="AL2046" i="2"/>
  <c r="R1923" i="2"/>
  <c r="P739" i="7"/>
  <c r="O736" i="7"/>
  <c r="R1652" i="2"/>
  <c r="P348" i="7"/>
  <c r="S676" i="2"/>
  <c r="AJ676" i="2"/>
  <c r="P457" i="7"/>
  <c r="AL674" i="2"/>
  <c r="AH1022" i="4"/>
  <c r="R672" i="2"/>
  <c r="P1014" i="5"/>
  <c r="AD625" i="2"/>
  <c r="AG958" i="5"/>
  <c r="AH958" i="5"/>
  <c r="Z958" i="4"/>
  <c r="AJ653" i="4"/>
  <c r="S660" i="2"/>
  <c r="AJ660" i="2"/>
  <c r="X614" i="2"/>
  <c r="T906" i="5"/>
  <c r="X592" i="2"/>
  <c r="R435" i="2"/>
  <c r="E10" i="14"/>
  <c r="P673" i="5"/>
  <c r="R232" i="2"/>
  <c r="P390" i="5"/>
  <c r="R1357" i="2"/>
  <c r="P967" i="9"/>
  <c r="T1403" i="2"/>
  <c r="AK1403" i="2"/>
  <c r="T1390" i="2"/>
  <c r="AK1390" i="2"/>
  <c r="AB836" i="2"/>
  <c r="X186" i="9"/>
  <c r="AB820" i="2"/>
  <c r="R1041" i="2"/>
  <c r="P531" i="9"/>
  <c r="R861" i="2"/>
  <c r="O253" i="9"/>
  <c r="P256" i="9"/>
  <c r="P136" i="9"/>
  <c r="AE621" i="4"/>
  <c r="T1392" i="2"/>
  <c r="AK1392" i="2"/>
  <c r="AM1817" i="2"/>
  <c r="T1817" i="2"/>
  <c r="R1094" i="2"/>
  <c r="P592" i="9"/>
  <c r="R1904" i="2"/>
  <c r="P712" i="7"/>
  <c r="O702" i="7"/>
  <c r="R1237" i="2"/>
  <c r="P796" i="9"/>
  <c r="O792" i="9"/>
  <c r="R1960" i="2"/>
  <c r="P796" i="7"/>
  <c r="O792" i="7"/>
  <c r="R1113" i="2"/>
  <c r="P618" i="9"/>
  <c r="O614" i="9"/>
  <c r="R1817" i="2"/>
  <c r="P592" i="7"/>
  <c r="R1970" i="2"/>
  <c r="P806" i="7"/>
  <c r="R1890" i="2"/>
  <c r="P685" i="7"/>
  <c r="R860" i="2"/>
  <c r="P253" i="9"/>
  <c r="O251" i="9"/>
  <c r="R1876" i="2"/>
  <c r="P667" i="7"/>
  <c r="AM1890" i="2"/>
  <c r="T1890" i="2"/>
  <c r="R1858" i="2"/>
  <c r="P641" i="7"/>
  <c r="R1983" i="2"/>
  <c r="P823" i="7"/>
  <c r="P917" i="4"/>
  <c r="W728" i="2"/>
  <c r="S10" i="9"/>
  <c r="R166" i="2"/>
  <c r="P292" i="5"/>
  <c r="R689" i="2"/>
  <c r="P1046" i="5"/>
  <c r="AM1835" i="2"/>
  <c r="T1835" i="2"/>
  <c r="R1219" i="2"/>
  <c r="P773" i="9"/>
  <c r="O766" i="9"/>
  <c r="AC1181" i="2"/>
  <c r="AJ712" i="9"/>
  <c r="AI702" i="9"/>
  <c r="AK712" i="9"/>
  <c r="AJ702" i="9"/>
  <c r="Y702" i="9"/>
  <c r="AC1174" i="2"/>
  <c r="AK641" i="4"/>
  <c r="R1412" i="2"/>
  <c r="P1046" i="9"/>
  <c r="R1310" i="2"/>
  <c r="P891" i="9"/>
  <c r="O889" i="9"/>
  <c r="R744" i="2"/>
  <c r="P51" i="9"/>
  <c r="T1412" i="2"/>
  <c r="AK1412" i="2"/>
  <c r="R1614" i="2"/>
  <c r="O290" i="7"/>
  <c r="P292" i="7"/>
  <c r="R951" i="2"/>
  <c r="O380" i="9"/>
  <c r="P382" i="9"/>
  <c r="T2099" i="2"/>
  <c r="AK2099" i="2"/>
  <c r="AG986" i="7"/>
  <c r="R1260" i="2"/>
  <c r="P823" i="9"/>
  <c r="R1185" i="2"/>
  <c r="P716" i="9"/>
  <c r="R586" i="2"/>
  <c r="P891" i="5"/>
  <c r="O889" i="5"/>
  <c r="R1461" i="2"/>
  <c r="H53" i="8"/>
  <c r="I53" i="8"/>
  <c r="P38" i="7"/>
  <c r="O36" i="7"/>
  <c r="O16" i="7"/>
  <c r="R1921" i="2"/>
  <c r="P733" i="7"/>
  <c r="R523" i="2"/>
  <c r="P806" i="5"/>
  <c r="P894" i="4"/>
  <c r="O891" i="4"/>
  <c r="AL2063" i="2"/>
  <c r="AH948" i="7"/>
  <c r="N821" i="9"/>
  <c r="Q1259" i="2"/>
  <c r="R1508" i="2"/>
  <c r="P118" i="7"/>
  <c r="R2005" i="2"/>
  <c r="O852" i="7"/>
  <c r="O821" i="7"/>
  <c r="P856" i="7"/>
  <c r="P910" i="4"/>
  <c r="R890" i="2"/>
  <c r="P290" i="9"/>
  <c r="P425" i="7"/>
  <c r="R2107" i="2"/>
  <c r="O999" i="7"/>
  <c r="P1003" i="7"/>
  <c r="R1800" i="2"/>
  <c r="P569" i="7"/>
  <c r="R1552" i="2"/>
  <c r="P201" i="7"/>
  <c r="V2061" i="2"/>
  <c r="R906" i="7"/>
  <c r="V2039" i="2"/>
  <c r="R1453" i="2"/>
  <c r="P20" i="7"/>
  <c r="R1282" i="2"/>
  <c r="O852" i="9"/>
  <c r="P856" i="9"/>
  <c r="O372" i="4"/>
  <c r="P372" i="4"/>
  <c r="R1340" i="2"/>
  <c r="P949" i="9"/>
  <c r="O948" i="9"/>
  <c r="AJ641" i="4"/>
  <c r="AL2041" i="2"/>
  <c r="R1937" i="2"/>
  <c r="P766" i="7"/>
  <c r="R1182" i="2"/>
  <c r="P713" i="9"/>
  <c r="O712" i="9"/>
  <c r="S2039" i="2"/>
  <c r="AJ2039" i="2"/>
  <c r="R1629" i="2"/>
  <c r="P315" i="7"/>
  <c r="O313" i="7"/>
  <c r="AK2047" i="2"/>
  <c r="T2047" i="2"/>
  <c r="W510" i="2"/>
  <c r="T790" i="5"/>
  <c r="X510" i="2"/>
  <c r="AK1348" i="2"/>
  <c r="T1348" i="2"/>
  <c r="R769" i="2"/>
  <c r="O94" i="9"/>
  <c r="P96" i="9"/>
  <c r="Q1418" i="2"/>
  <c r="N1053" i="9"/>
  <c r="Q1417" i="2"/>
  <c r="O1046" i="4"/>
  <c r="P1047" i="4"/>
  <c r="P1046" i="4"/>
  <c r="R1478" i="2"/>
  <c r="P69" i="7"/>
  <c r="AL1376" i="2"/>
  <c r="AH986" i="9"/>
  <c r="AL1375" i="2"/>
  <c r="R1417" i="2"/>
  <c r="P1053" i="9"/>
  <c r="T2063" i="2"/>
  <c r="AK2063" i="2"/>
  <c r="AG948" i="7"/>
  <c r="Q2141" i="2"/>
  <c r="N1053" i="7"/>
  <c r="Q2140" i="2"/>
  <c r="R1376" i="2"/>
  <c r="P990" i="9"/>
  <c r="O986" i="9"/>
  <c r="R2063" i="2"/>
  <c r="P949" i="7"/>
  <c r="O948" i="7"/>
  <c r="O515" i="7"/>
  <c r="F517" i="8"/>
  <c r="AE517" i="8"/>
  <c r="AF517" i="8"/>
  <c r="R1545" i="2"/>
  <c r="O189" i="7"/>
  <c r="P191" i="7"/>
  <c r="R1401" i="2"/>
  <c r="P1035" i="9"/>
  <c r="O1030" i="9"/>
  <c r="R807" i="2"/>
  <c r="P159" i="9"/>
  <c r="R1384" i="2"/>
  <c r="P1003" i="9"/>
  <c r="O999" i="9"/>
  <c r="R536" i="2"/>
  <c r="P823" i="5"/>
  <c r="P1034" i="4"/>
  <c r="P612" i="4"/>
  <c r="AG1046" i="4"/>
  <c r="R1873" i="2"/>
  <c r="P664" i="7"/>
  <c r="R60" i="2"/>
  <c r="P118" i="5"/>
  <c r="AI1836" i="2"/>
  <c r="AD614" i="7"/>
  <c r="AH1835" i="2"/>
  <c r="R2022" i="2"/>
  <c r="P877" i="7"/>
  <c r="R1324" i="2"/>
  <c r="P923" i="9"/>
  <c r="R1648" i="2"/>
  <c r="O340" i="7"/>
  <c r="P342" i="7"/>
  <c r="R1253" i="2"/>
  <c r="P812" i="9"/>
  <c r="R2041" i="2"/>
  <c r="P913" i="7"/>
  <c r="R1670" i="2"/>
  <c r="P372" i="7"/>
  <c r="Q1544" i="2"/>
  <c r="N186" i="7"/>
  <c r="Q1543" i="2"/>
  <c r="AJ722" i="4"/>
  <c r="N660" i="7"/>
  <c r="N821" i="7"/>
  <c r="Q1982" i="2"/>
  <c r="T1376" i="2"/>
  <c r="AK1376" i="2"/>
  <c r="AG986" i="9"/>
  <c r="P1055" i="9"/>
  <c r="P642" i="4"/>
  <c r="AD2062" i="2"/>
  <c r="Z944" i="7"/>
  <c r="Q2062" i="2"/>
  <c r="N944" i="7"/>
  <c r="R625" i="2"/>
  <c r="P958" i="5"/>
  <c r="P927" i="4"/>
  <c r="R1914" i="2"/>
  <c r="P722" i="7"/>
  <c r="Q1740" i="2"/>
  <c r="N482" i="7"/>
  <c r="Q1734" i="2"/>
  <c r="AL625" i="2"/>
  <c r="AH958" i="4"/>
  <c r="R1380" i="2"/>
  <c r="P994" i="9"/>
  <c r="T625" i="2"/>
  <c r="AK625" i="2"/>
  <c r="AG958" i="4"/>
  <c r="AJ618" i="9"/>
  <c r="AI614" i="9"/>
  <c r="R2019" i="2"/>
  <c r="O871" i="7"/>
  <c r="P874" i="7"/>
  <c r="T1735" i="2"/>
  <c r="AL1735" i="2"/>
  <c r="O722" i="4"/>
  <c r="P739" i="4"/>
  <c r="O736" i="4"/>
  <c r="P736" i="4"/>
  <c r="E113" i="16"/>
  <c r="R1026" i="2"/>
  <c r="P510" i="9"/>
  <c r="O504" i="9"/>
  <c r="AE3" i="8"/>
  <c r="AF3" i="8"/>
  <c r="I27" i="8"/>
  <c r="Q837" i="2"/>
  <c r="N212" i="9"/>
  <c r="Q836" i="2"/>
  <c r="R1018" i="2"/>
  <c r="O493" i="9"/>
  <c r="P495" i="9"/>
  <c r="R981" i="2"/>
  <c r="P425" i="9"/>
  <c r="AL1380" i="2"/>
  <c r="R822" i="2"/>
  <c r="P191" i="9"/>
  <c r="O189" i="9"/>
  <c r="W1543" i="2"/>
  <c r="T186" i="7"/>
  <c r="X1543" i="2"/>
  <c r="T689" i="2"/>
  <c r="AK689" i="2"/>
  <c r="R1194" i="2"/>
  <c r="P727" i="9"/>
  <c r="R1366" i="2"/>
  <c r="P976" i="9"/>
  <c r="R1561" i="2"/>
  <c r="O214" i="7"/>
  <c r="P216" i="7"/>
  <c r="R1299" i="2"/>
  <c r="P877" i="9"/>
  <c r="Q821" i="2"/>
  <c r="N186" i="9"/>
  <c r="Q820" i="2"/>
  <c r="Q1560" i="2"/>
  <c r="N212" i="7"/>
  <c r="Q1559" i="2"/>
  <c r="R1196" i="2"/>
  <c r="P731" i="9"/>
  <c r="R473" i="2"/>
  <c r="P732" i="5"/>
  <c r="P826" i="4"/>
  <c r="O823" i="4"/>
  <c r="O727" i="5"/>
  <c r="R470" i="2"/>
  <c r="AC1869" i="2"/>
  <c r="AK660" i="7"/>
  <c r="AJ656" i="7"/>
  <c r="Y656" i="7"/>
  <c r="AC1868" i="2"/>
  <c r="AJ660" i="7"/>
  <c r="AI656" i="7"/>
  <c r="S790" i="7"/>
  <c r="AE84" i="8"/>
  <c r="AF84" i="8"/>
  <c r="H84" i="8"/>
  <c r="S1316" i="2"/>
  <c r="AJ1316" i="2"/>
  <c r="R1572" i="2"/>
  <c r="O232" i="7"/>
  <c r="P234" i="7"/>
  <c r="AC727" i="4"/>
  <c r="Q730" i="2"/>
  <c r="N16" i="9"/>
  <c r="R694" i="2"/>
  <c r="AK150" i="18"/>
  <c r="T2041" i="2"/>
  <c r="AK2041" i="2"/>
  <c r="R2071" i="2"/>
  <c r="P958" i="7"/>
  <c r="R848" i="2"/>
  <c r="P232" i="9"/>
  <c r="R226" i="2"/>
  <c r="P382" i="5"/>
  <c r="R730" i="2"/>
  <c r="P20" i="9"/>
  <c r="P572" i="4"/>
  <c r="P795" i="4"/>
  <c r="V614" i="2"/>
  <c r="AM1167" i="2"/>
  <c r="T1167" i="2"/>
  <c r="AL1384" i="2"/>
  <c r="AH999" i="9"/>
  <c r="AL1383" i="2"/>
  <c r="R1735" i="2"/>
  <c r="P484" i="7"/>
  <c r="P980" i="4"/>
  <c r="R2158" i="2"/>
  <c r="P1082" i="7"/>
  <c r="P1075" i="7"/>
  <c r="T1380" i="2"/>
  <c r="AK1380" i="2"/>
  <c r="AI1113" i="2"/>
  <c r="AD614" i="9"/>
  <c r="AH1112" i="2"/>
  <c r="R1199" i="2"/>
  <c r="P736" i="9"/>
  <c r="R1204" i="2"/>
  <c r="AE614" i="2"/>
  <c r="AA906" i="5"/>
  <c r="AE592" i="2"/>
  <c r="R2140" i="2"/>
  <c r="P1053" i="7"/>
  <c r="Q1181" i="2"/>
  <c r="N702" i="9"/>
  <c r="Q1174" i="2"/>
  <c r="R295" i="2"/>
  <c r="P499" i="5"/>
  <c r="Q1028" i="2"/>
  <c r="R1745" i="2"/>
  <c r="P504" i="7"/>
  <c r="AI1904" i="2"/>
  <c r="AD702" i="7"/>
  <c r="AH1897" i="2"/>
  <c r="Q1960" i="2"/>
  <c r="N792" i="7"/>
  <c r="Q1453" i="2"/>
  <c r="N16" i="7"/>
  <c r="P730" i="4"/>
  <c r="O727" i="4"/>
  <c r="P727" i="4"/>
  <c r="T1401" i="2"/>
  <c r="AK1401" i="2"/>
  <c r="AG1030" i="9"/>
  <c r="AG614" i="2"/>
  <c r="AC906" i="5"/>
  <c r="AG592" i="2"/>
  <c r="X821" i="9"/>
  <c r="AB1259" i="2"/>
  <c r="R1239" i="2"/>
  <c r="P798" i="9"/>
  <c r="R1318" i="2"/>
  <c r="P913" i="9"/>
  <c r="AD1237" i="2"/>
  <c r="Z792" i="9"/>
  <c r="AD1235" i="2"/>
  <c r="Q1751" i="2"/>
  <c r="R829" i="2"/>
  <c r="P201" i="9"/>
  <c r="R474" i="2"/>
  <c r="P733" i="5"/>
  <c r="T1369" i="2"/>
  <c r="W1451" i="2"/>
  <c r="R1029" i="2"/>
  <c r="O515" i="9"/>
  <c r="P517" i="9"/>
  <c r="Q1928" i="2"/>
  <c r="N746" i="7"/>
  <c r="Q1927" i="2"/>
  <c r="P832" i="4"/>
  <c r="R1917" i="2"/>
  <c r="P727" i="7"/>
  <c r="R1908" i="2"/>
  <c r="P716" i="7"/>
  <c r="AE98" i="10"/>
  <c r="AF98" i="10"/>
  <c r="H98" i="10"/>
  <c r="T1409" i="2"/>
  <c r="AK1409" i="2"/>
  <c r="R1468" i="2"/>
  <c r="P53" i="7"/>
  <c r="O51" i="7"/>
  <c r="T1366" i="2"/>
  <c r="AK1366" i="2"/>
  <c r="R1836" i="2"/>
  <c r="O614" i="7"/>
  <c r="P618" i="7"/>
  <c r="R837" i="2"/>
  <c r="P214" i="9"/>
  <c r="O212" i="9"/>
  <c r="R1012" i="2"/>
  <c r="P484" i="9"/>
  <c r="O482" i="9"/>
  <c r="AL1340" i="2"/>
  <c r="AH948" i="9"/>
  <c r="T2092" i="2"/>
  <c r="AK2092" i="2"/>
  <c r="R2089" i="2"/>
  <c r="P976" i="7"/>
  <c r="AL1401" i="2"/>
  <c r="AH1030" i="9"/>
  <c r="AL1399" i="2"/>
  <c r="R1829" i="2"/>
  <c r="P607" i="7"/>
  <c r="T1012" i="2"/>
  <c r="AL1012" i="2"/>
  <c r="R572" i="2"/>
  <c r="P874" i="5"/>
  <c r="AI1146" i="2"/>
  <c r="AD656" i="9"/>
  <c r="AH1145" i="2"/>
  <c r="AE55" i="10"/>
  <c r="AF55" i="10"/>
  <c r="I79" i="10"/>
  <c r="AE3" i="10"/>
  <c r="AF3" i="10"/>
  <c r="I27" i="10"/>
  <c r="R924" i="2"/>
  <c r="P340" i="9"/>
  <c r="T1318" i="2"/>
  <c r="AK1318" i="2"/>
  <c r="AC1904" i="2"/>
  <c r="AJ712" i="7"/>
  <c r="AI702" i="7"/>
  <c r="AK712" i="7"/>
  <c r="AJ702" i="7"/>
  <c r="Y702" i="7"/>
  <c r="AC1897" i="2"/>
  <c r="R1820" i="2"/>
  <c r="P598" i="7"/>
  <c r="R1583" i="2"/>
  <c r="P253" i="7"/>
  <c r="O251" i="7"/>
  <c r="R1741" i="2"/>
  <c r="O493" i="7"/>
  <c r="P495" i="7"/>
  <c r="R1962" i="2"/>
  <c r="P798" i="7"/>
  <c r="R2033" i="2"/>
  <c r="P891" i="7"/>
  <c r="O889" i="7"/>
  <c r="Q1094" i="2"/>
  <c r="N590" i="9"/>
  <c r="Q1093" i="2"/>
  <c r="AI1181" i="2"/>
  <c r="AD702" i="9"/>
  <c r="AH1174" i="2"/>
  <c r="R1435" i="2"/>
  <c r="P1082" i="9"/>
  <c r="R1700" i="2"/>
  <c r="E131" i="8"/>
  <c r="P417" i="7"/>
  <c r="R1168" i="2"/>
  <c r="P689" i="9"/>
  <c r="O685" i="9"/>
  <c r="R1392" i="2"/>
  <c r="P1011" i="9"/>
  <c r="R1116" i="2"/>
  <c r="P621" i="9"/>
  <c r="R738" i="2"/>
  <c r="H53" i="10"/>
  <c r="P38" i="9"/>
  <c r="O36" i="9"/>
  <c r="R1348" i="2"/>
  <c r="P958" i="9"/>
  <c r="R1150" i="2"/>
  <c r="P664" i="9"/>
  <c r="O660" i="9"/>
  <c r="R1409" i="2"/>
  <c r="P1043" i="9"/>
  <c r="T2071" i="2"/>
  <c r="AK2071" i="2"/>
  <c r="Q1113" i="2"/>
  <c r="N614" i="9"/>
  <c r="Q1112" i="2"/>
  <c r="Q1146" i="2"/>
  <c r="N656" i="9"/>
  <c r="Q1145" i="2"/>
  <c r="R1191" i="2"/>
  <c r="P722" i="9"/>
  <c r="AL2099" i="2"/>
  <c r="AH986" i="7"/>
  <c r="AL2098" i="2"/>
  <c r="R977" i="2"/>
  <c r="E131" i="10"/>
  <c r="AE117" i="10"/>
  <c r="AF117" i="10"/>
  <c r="P417" i="9"/>
  <c r="AD1339" i="2"/>
  <c r="Z944" i="9"/>
  <c r="W1816" i="2"/>
  <c r="S512" i="7"/>
  <c r="W1750" i="2"/>
  <c r="Q1205" i="2"/>
  <c r="N746" i="9"/>
  <c r="Q1204" i="2"/>
  <c r="F517" i="10"/>
  <c r="AE517" i="10"/>
  <c r="AF517" i="10"/>
  <c r="AC614" i="2"/>
  <c r="R1879" i="2"/>
  <c r="P670" i="7"/>
  <c r="AI422" i="2"/>
  <c r="AE660" i="4"/>
  <c r="R1986" i="2"/>
  <c r="P829" i="7"/>
  <c r="T1383" i="2"/>
  <c r="AK1383" i="2"/>
  <c r="R1296" i="2"/>
  <c r="P874" i="9"/>
  <c r="O871" i="9"/>
  <c r="P748" i="7"/>
  <c r="R1922" i="2"/>
  <c r="P736" i="7"/>
  <c r="P1075" i="9"/>
  <c r="AD2132" i="2"/>
  <c r="AH1043" i="7"/>
  <c r="O1043" i="7"/>
  <c r="AG1043" i="7"/>
  <c r="Z1030" i="7"/>
  <c r="AD2122" i="2"/>
  <c r="Q1904" i="2"/>
  <c r="N702" i="7"/>
  <c r="Q1897" i="2"/>
  <c r="Q1237" i="2"/>
  <c r="N792" i="9"/>
  <c r="Q1339" i="2"/>
  <c r="N944" i="9"/>
  <c r="AI457" i="2"/>
  <c r="AE712" i="4"/>
  <c r="AD702" i="4"/>
  <c r="AE702" i="5"/>
  <c r="AI450" i="2"/>
  <c r="R1520" i="2"/>
  <c r="P142" i="7"/>
  <c r="T1324" i="2"/>
  <c r="AK1324" i="2"/>
  <c r="R1124" i="2"/>
  <c r="P630" i="9"/>
  <c r="R1247" i="2"/>
  <c r="P806" i="9"/>
  <c r="P507" i="4"/>
  <c r="P498" i="4"/>
  <c r="R1106" i="2"/>
  <c r="P607" i="9"/>
  <c r="R906" i="2"/>
  <c r="P315" i="9"/>
  <c r="O313" i="9"/>
  <c r="T2106" i="2"/>
  <c r="AK2106" i="2"/>
  <c r="N493" i="9"/>
  <c r="R2047" i="2"/>
  <c r="P923" i="7"/>
  <c r="R1263" i="2"/>
  <c r="P829" i="9"/>
  <c r="R785" i="2"/>
  <c r="P118" i="9"/>
  <c r="AC1836" i="2"/>
  <c r="Y614" i="7"/>
  <c r="AC1835" i="2"/>
  <c r="R1514" i="2"/>
  <c r="H79" i="8"/>
  <c r="I79" i="8"/>
  <c r="P130" i="7"/>
  <c r="R1492" i="2"/>
  <c r="O94" i="7"/>
  <c r="P96" i="7"/>
  <c r="R1674" i="2"/>
  <c r="P382" i="7"/>
  <c r="O380" i="7"/>
  <c r="T2089" i="2"/>
  <c r="AK2089" i="2"/>
  <c r="R1870" i="2"/>
  <c r="O660" i="7"/>
  <c r="P661" i="7"/>
  <c r="AK1340" i="2"/>
  <c r="T1340" i="2"/>
  <c r="AG948" i="9"/>
  <c r="R2099" i="2"/>
  <c r="O986" i="7"/>
  <c r="P990" i="7"/>
  <c r="Q513" i="2"/>
  <c r="Q96" i="2"/>
  <c r="R1919" i="2"/>
  <c r="P731" i="7"/>
  <c r="T2135" i="2"/>
  <c r="AK2135" i="2"/>
  <c r="R1927" i="2"/>
  <c r="P746" i="7"/>
  <c r="T2076" i="2"/>
  <c r="R1452" i="2"/>
  <c r="P16" i="7"/>
  <c r="R1982" i="2"/>
  <c r="P821" i="7"/>
  <c r="AE117" i="8"/>
  <c r="AF117" i="8"/>
  <c r="F131" i="8"/>
  <c r="R1011" i="2"/>
  <c r="Q729" i="2"/>
  <c r="Q1869" i="2"/>
  <c r="N656" i="7"/>
  <c r="R1280" i="2"/>
  <c r="P852" i="9"/>
  <c r="R1214" i="2"/>
  <c r="P766" i="9"/>
  <c r="W727" i="2"/>
  <c r="T10" i="9"/>
  <c r="X727" i="2"/>
  <c r="R2098" i="2"/>
  <c r="P986" i="7"/>
  <c r="T2132" i="2"/>
  <c r="AK2132" i="2"/>
  <c r="AG1030" i="7"/>
  <c r="AD1338" i="2"/>
  <c r="Z906" i="9"/>
  <c r="AD1316" i="2"/>
  <c r="S10" i="7"/>
  <c r="Q1452" i="2"/>
  <c r="N13" i="7"/>
  <c r="R2018" i="2"/>
  <c r="P871" i="7"/>
  <c r="R1628" i="2"/>
  <c r="P313" i="7"/>
  <c r="O821" i="9"/>
  <c r="R1491" i="2"/>
  <c r="P94" i="7"/>
  <c r="Q1338" i="2"/>
  <c r="N906" i="9"/>
  <c r="Q1316" i="2"/>
  <c r="R2132" i="2"/>
  <c r="P1043" i="7"/>
  <c r="O1030" i="7"/>
  <c r="R1582" i="2"/>
  <c r="P251" i="7"/>
  <c r="AM1897" i="2"/>
  <c r="T1897" i="2"/>
  <c r="P746" i="9"/>
  <c r="R1560" i="2"/>
  <c r="O212" i="7"/>
  <c r="P214" i="7"/>
  <c r="R1647" i="2"/>
  <c r="P340" i="7"/>
  <c r="R1383" i="2"/>
  <c r="P999" i="9"/>
  <c r="R1399" i="2"/>
  <c r="P1030" i="9"/>
  <c r="R1751" i="2"/>
  <c r="P515" i="7"/>
  <c r="R1375" i="2"/>
  <c r="P986" i="9"/>
  <c r="AK2062" i="2"/>
  <c r="T2062" i="2"/>
  <c r="AG944" i="7"/>
  <c r="R1339" i="2"/>
  <c r="P948" i="9"/>
  <c r="O944" i="9"/>
  <c r="R1613" i="2"/>
  <c r="P290" i="7"/>
  <c r="R1958" i="2"/>
  <c r="P792" i="7"/>
  <c r="R1869" i="2"/>
  <c r="O656" i="7"/>
  <c r="P660" i="7"/>
  <c r="R737" i="2"/>
  <c r="P36" i="9"/>
  <c r="AL2132" i="2"/>
  <c r="AH1030" i="7"/>
  <c r="AL2122" i="2"/>
  <c r="R1295" i="2"/>
  <c r="P871" i="9"/>
  <c r="R1146" i="2"/>
  <c r="P660" i="9"/>
  <c r="O656" i="9"/>
  <c r="R2032" i="2"/>
  <c r="P889" i="7"/>
  <c r="AL1339" i="2"/>
  <c r="AH944" i="9"/>
  <c r="R836" i="2"/>
  <c r="P212" i="9"/>
  <c r="R1467" i="2"/>
  <c r="P51" i="7"/>
  <c r="Q1958" i="2"/>
  <c r="N790" i="7"/>
  <c r="N512" i="9"/>
  <c r="Q1027" i="2"/>
  <c r="W1957" i="2"/>
  <c r="T790" i="7"/>
  <c r="X1957" i="2"/>
  <c r="R585" i="2"/>
  <c r="P889" i="5"/>
  <c r="AK89" i="18"/>
  <c r="T2098" i="2"/>
  <c r="AK2098" i="2"/>
  <c r="R1897" i="2"/>
  <c r="P702" i="7"/>
  <c r="Q1017" i="2"/>
  <c r="N482" i="9"/>
  <c r="Q1011" i="2"/>
  <c r="Q1235" i="2"/>
  <c r="N790" i="9"/>
  <c r="AE29" i="10"/>
  <c r="AF29" i="10"/>
  <c r="I53" i="10"/>
  <c r="R1167" i="2"/>
  <c r="P685" i="9"/>
  <c r="T1399" i="2"/>
  <c r="AK1399" i="2"/>
  <c r="O16" i="9"/>
  <c r="R1571" i="2"/>
  <c r="P232" i="7"/>
  <c r="R821" i="2"/>
  <c r="P189" i="9"/>
  <c r="O186" i="9"/>
  <c r="R1017" i="2"/>
  <c r="P493" i="9"/>
  <c r="T1375" i="2"/>
  <c r="AK1375" i="2"/>
  <c r="AL2062" i="2"/>
  <c r="AH944" i="7"/>
  <c r="R1112" i="2"/>
  <c r="P614" i="9"/>
  <c r="AE55" i="8"/>
  <c r="AF55" i="8"/>
  <c r="P823" i="4"/>
  <c r="R1022" i="2"/>
  <c r="P504" i="9"/>
  <c r="AM1112" i="2"/>
  <c r="T1112" i="2"/>
  <c r="Q2061" i="2"/>
  <c r="N906" i="7"/>
  <c r="Q2039" i="2"/>
  <c r="R1235" i="2"/>
  <c r="P792" i="9"/>
  <c r="AK1339" i="2"/>
  <c r="T1339" i="2"/>
  <c r="AG944" i="9"/>
  <c r="R1673" i="2"/>
  <c r="P380" i="7"/>
  <c r="R1740" i="2"/>
  <c r="P493" i="7"/>
  <c r="O482" i="7"/>
  <c r="AM1868" i="2"/>
  <c r="T1868" i="2"/>
  <c r="R1544" i="2"/>
  <c r="O186" i="7"/>
  <c r="O13" i="7"/>
  <c r="P189" i="7"/>
  <c r="R2062" i="2"/>
  <c r="O944" i="7"/>
  <c r="P948" i="7"/>
  <c r="R1181" i="2"/>
  <c r="P712" i="9"/>
  <c r="O702" i="9"/>
  <c r="O590" i="9"/>
  <c r="O889" i="4"/>
  <c r="P889" i="4"/>
  <c r="P891" i="4"/>
  <c r="R1460" i="2"/>
  <c r="P36" i="7"/>
  <c r="R1309" i="2"/>
  <c r="P889" i="9"/>
  <c r="AM1174" i="2"/>
  <c r="T1174" i="2"/>
  <c r="R859" i="2"/>
  <c r="P251" i="9"/>
  <c r="R905" i="2"/>
  <c r="P313" i="9"/>
  <c r="R1835" i="2"/>
  <c r="P614" i="7"/>
  <c r="R1028" i="2"/>
  <c r="P515" i="9"/>
  <c r="AD2061" i="2"/>
  <c r="Z906" i="7"/>
  <c r="AD2039" i="2"/>
  <c r="R768" i="2"/>
  <c r="P94" i="9"/>
  <c r="R2106" i="2"/>
  <c r="P999" i="7"/>
  <c r="R2003" i="2"/>
  <c r="P852" i="7"/>
  <c r="R950" i="2"/>
  <c r="P380" i="9"/>
  <c r="R1451" i="2"/>
  <c r="P13" i="7"/>
  <c r="R1093" i="2"/>
  <c r="P590" i="9"/>
  <c r="O512" i="9"/>
  <c r="AK1338" i="2"/>
  <c r="T1338" i="2"/>
  <c r="AG906" i="9"/>
  <c r="R2061" i="2"/>
  <c r="P944" i="7"/>
  <c r="O906" i="7"/>
  <c r="R729" i="2"/>
  <c r="O13" i="9"/>
  <c r="P16" i="9"/>
  <c r="R1145" i="2"/>
  <c r="P656" i="9"/>
  <c r="R1338" i="2"/>
  <c r="P944" i="9"/>
  <c r="O906" i="9"/>
  <c r="R1259" i="2"/>
  <c r="P821" i="9"/>
  <c r="T2122" i="2"/>
  <c r="AK2122" i="2"/>
  <c r="Q1234" i="2"/>
  <c r="U3" i="1"/>
  <c r="AL1338" i="2"/>
  <c r="AH906" i="9"/>
  <c r="AL1316" i="2"/>
  <c r="Q1868" i="2"/>
  <c r="N590" i="7"/>
  <c r="P482" i="9"/>
  <c r="R1734" i="2"/>
  <c r="P482" i="7"/>
  <c r="R1543" i="2"/>
  <c r="P186" i="7"/>
  <c r="R820" i="2"/>
  <c r="P186" i="9"/>
  <c r="Q1451" i="2"/>
  <c r="F70" i="3"/>
  <c r="AL2061" i="2"/>
  <c r="AH906" i="7"/>
  <c r="AL2039" i="2"/>
  <c r="Q1957" i="2"/>
  <c r="U4" i="1"/>
  <c r="R1868" i="2"/>
  <c r="P656" i="7"/>
  <c r="N13" i="9"/>
  <c r="O590" i="7"/>
  <c r="AK2061" i="2"/>
  <c r="T2061" i="2"/>
  <c r="AG906" i="7"/>
  <c r="W1450" i="2"/>
  <c r="T10" i="7"/>
  <c r="X1450" i="2"/>
  <c r="R1174" i="2"/>
  <c r="P702" i="9"/>
  <c r="R1559" i="2"/>
  <c r="P212" i="7"/>
  <c r="R2122" i="2"/>
  <c r="P1030" i="7"/>
  <c r="T2039" i="2"/>
  <c r="AK2039" i="2"/>
  <c r="R1027" i="2"/>
  <c r="P512" i="9"/>
  <c r="Q1816" i="2"/>
  <c r="N512" i="7"/>
  <c r="R728" i="2"/>
  <c r="O10" i="9"/>
  <c r="P13" i="9"/>
  <c r="R1816" i="2"/>
  <c r="P590" i="7"/>
  <c r="O512" i="7"/>
  <c r="Q728" i="2"/>
  <c r="N10" i="9"/>
  <c r="R1316" i="2"/>
  <c r="P906" i="9"/>
  <c r="O790" i="9"/>
  <c r="R2039" i="2"/>
  <c r="P906" i="7"/>
  <c r="O790" i="7"/>
  <c r="T1316" i="2"/>
  <c r="AK1316" i="2"/>
  <c r="R1234" i="2"/>
  <c r="U10" i="1"/>
  <c r="P790" i="9"/>
  <c r="R1750" i="2"/>
  <c r="P512" i="7"/>
  <c r="O10" i="7"/>
  <c r="Q1750" i="2"/>
  <c r="N10" i="7"/>
  <c r="Q727" i="2"/>
  <c r="U6" i="1"/>
  <c r="R1957" i="2"/>
  <c r="R5" i="7"/>
  <c r="T5" i="7"/>
  <c r="P790" i="7"/>
  <c r="R727" i="2"/>
  <c r="E136" i="3"/>
  <c r="P10" i="9"/>
  <c r="U12" i="1"/>
  <c r="R1450" i="2"/>
  <c r="P10" i="7"/>
  <c r="R1" i="7"/>
  <c r="T1" i="7"/>
  <c r="I22" i="3"/>
  <c r="I63" i="3"/>
  <c r="E81" i="3"/>
  <c r="I107" i="3"/>
  <c r="E114" i="3"/>
  <c r="I124" i="3"/>
  <c r="I41" i="3"/>
  <c r="I62" i="3"/>
  <c r="E64" i="3"/>
  <c r="I78" i="3"/>
  <c r="E140" i="3"/>
  <c r="E144" i="3"/>
  <c r="E152" i="3"/>
  <c r="I17" i="3"/>
  <c r="I19" i="3"/>
  <c r="I25" i="3"/>
  <c r="E47" i="3"/>
  <c r="E51" i="3"/>
  <c r="I61" i="3"/>
  <c r="E75" i="3"/>
  <c r="E79" i="3"/>
  <c r="I88" i="3"/>
  <c r="E99" i="3"/>
  <c r="I100" i="3"/>
  <c r="E109" i="3"/>
  <c r="I112" i="3"/>
  <c r="I114" i="3"/>
  <c r="E115" i="3"/>
  <c r="E122" i="3"/>
  <c r="E124" i="3"/>
  <c r="E129" i="3"/>
  <c r="I133" i="3"/>
  <c r="E143" i="3"/>
  <c r="I33" i="3"/>
  <c r="E41" i="3"/>
  <c r="I42" i="3"/>
  <c r="E54" i="3"/>
  <c r="I64" i="3"/>
  <c r="E70" i="3"/>
  <c r="I72" i="3"/>
  <c r="E134" i="3"/>
  <c r="E138" i="3"/>
  <c r="I144" i="3"/>
  <c r="I148" i="3"/>
  <c r="E162" i="3"/>
  <c r="I153" i="3"/>
  <c r="I147" i="3"/>
  <c r="I161" i="3"/>
  <c r="E156" i="3"/>
  <c r="E149" i="3"/>
  <c r="E157" i="3"/>
  <c r="I163" i="3"/>
  <c r="E153" i="3"/>
  <c r="I126" i="3"/>
  <c r="I149" i="3"/>
  <c r="I157" i="3"/>
  <c r="Q1450" i="2"/>
  <c r="U7" i="1"/>
  <c r="F41" i="3"/>
  <c r="J42" i="3"/>
  <c r="F43" i="3"/>
  <c r="J64" i="3"/>
  <c r="J68" i="3"/>
  <c r="J16" i="3"/>
  <c r="F19" i="3"/>
  <c r="F25" i="3"/>
  <c r="J26" i="3"/>
  <c r="F27" i="3"/>
  <c r="J51" i="3"/>
  <c r="J55" i="3"/>
  <c r="F33" i="3"/>
  <c r="J35" i="3"/>
  <c r="F52" i="3"/>
  <c r="J54" i="3"/>
  <c r="F60" i="3"/>
  <c r="J11" i="3"/>
  <c r="J21" i="3"/>
  <c r="F22" i="3"/>
  <c r="J23" i="3"/>
  <c r="F32" i="3"/>
  <c r="F36" i="3"/>
  <c r="J61" i="3"/>
  <c r="J65" i="3"/>
  <c r="J76" i="3"/>
  <c r="F82" i="3"/>
  <c r="J125" i="3"/>
  <c r="J157" i="3"/>
  <c r="F81" i="3"/>
  <c r="F110" i="3"/>
  <c r="J111" i="3"/>
  <c r="F114" i="3"/>
  <c r="J138" i="3"/>
  <c r="F142" i="3"/>
  <c r="F162" i="3"/>
  <c r="F143" i="3"/>
  <c r="F148" i="3"/>
  <c r="J150" i="3"/>
  <c r="F79" i="3"/>
  <c r="J81" i="3"/>
  <c r="F85" i="3"/>
  <c r="F105" i="3"/>
  <c r="F109" i="3"/>
  <c r="J110" i="3"/>
  <c r="J123" i="3"/>
  <c r="F133" i="3"/>
  <c r="F134" i="3"/>
  <c r="J80" i="3"/>
  <c r="F129" i="3"/>
  <c r="F130" i="3"/>
  <c r="J162" i="3"/>
  <c r="F77" i="3"/>
  <c r="J79" i="3"/>
  <c r="J94" i="3"/>
  <c r="F98" i="3"/>
  <c r="J99" i="3"/>
  <c r="J117" i="3"/>
  <c r="J122" i="3"/>
  <c r="F126" i="3"/>
  <c r="J148" i="3"/>
  <c r="F149" i="3"/>
  <c r="J151" i="3"/>
  <c r="J130" i="3"/>
  <c r="J134" i="3"/>
  <c r="F138" i="3"/>
  <c r="F87" i="3"/>
  <c r="J88" i="3"/>
  <c r="J93" i="3"/>
  <c r="F115" i="3"/>
  <c r="J116" i="3"/>
  <c r="F119" i="3"/>
  <c r="F150" i="3"/>
  <c r="J152" i="3"/>
  <c r="F153" i="3"/>
  <c r="P279" i="5"/>
  <c r="Z536" i="4"/>
  <c r="O536" i="4"/>
  <c r="P536" i="4"/>
  <c r="O536" i="5"/>
  <c r="R321" i="2"/>
  <c r="X488" i="2"/>
  <c r="O761" i="5"/>
  <c r="T761" i="4"/>
  <c r="T758" i="4"/>
  <c r="T758" i="5"/>
  <c r="X487" i="2"/>
  <c r="O1088" i="4"/>
  <c r="P1088" i="4"/>
  <c r="V1082" i="5"/>
  <c r="Z712" i="2"/>
  <c r="U1088" i="4"/>
  <c r="U1082" i="4"/>
  <c r="O1088" i="5"/>
  <c r="V773" i="4"/>
  <c r="O779" i="5"/>
  <c r="R501" i="2"/>
  <c r="O773" i="4"/>
  <c r="P779" i="4"/>
  <c r="O761" i="4"/>
  <c r="R488" i="2"/>
  <c r="O758" i="5"/>
  <c r="O746" i="5"/>
  <c r="R718" i="2"/>
  <c r="P1088" i="5"/>
  <c r="O1082" i="5"/>
  <c r="P1082" i="5"/>
  <c r="P779" i="5"/>
  <c r="O758" i="4"/>
  <c r="R487" i="2"/>
  <c r="O636" i="5"/>
  <c r="R406" i="2"/>
  <c r="AC406" i="2"/>
  <c r="Y636" i="4"/>
  <c r="O636" i="4"/>
  <c r="R480" i="2"/>
  <c r="I93" i="3"/>
  <c r="I69" i="3"/>
  <c r="I27" i="3"/>
  <c r="E12" i="3"/>
  <c r="I134" i="3"/>
  <c r="E48" i="3"/>
  <c r="E118" i="3"/>
  <c r="E90" i="3"/>
  <c r="I36" i="3"/>
  <c r="I16" i="3"/>
  <c r="R712" i="2"/>
  <c r="O773" i="5"/>
  <c r="F63" i="3"/>
  <c r="F12" i="3"/>
  <c r="J31" i="3"/>
  <c r="F17" i="3"/>
  <c r="J40" i="3"/>
  <c r="I156" i="3"/>
  <c r="I158" i="3" s="1"/>
  <c r="I143" i="3"/>
  <c r="I139" i="3"/>
  <c r="I136" i="3"/>
  <c r="E62" i="3"/>
  <c r="I145" i="3"/>
  <c r="I123" i="3"/>
  <c r="E111" i="3"/>
  <c r="E89" i="3"/>
  <c r="I65" i="3"/>
  <c r="E26" i="3"/>
  <c r="E10" i="3"/>
  <c r="I82" i="3"/>
  <c r="E42" i="3"/>
  <c r="E116" i="3"/>
  <c r="E84" i="3"/>
  <c r="E30" i="3"/>
  <c r="I70" i="3"/>
  <c r="E142" i="3"/>
  <c r="F131" i="10"/>
  <c r="R118" i="2"/>
  <c r="P224" i="5"/>
  <c r="P509" i="5"/>
  <c r="F161" i="3"/>
  <c r="F47" i="3"/>
  <c r="F10" i="3"/>
  <c r="F53" i="3"/>
  <c r="F31" i="3"/>
  <c r="I135" i="3"/>
  <c r="E130" i="3"/>
  <c r="I152" i="3"/>
  <c r="E82" i="3"/>
  <c r="I48" i="3"/>
  <c r="E139" i="3"/>
  <c r="E119" i="3"/>
  <c r="E105" i="3"/>
  <c r="E87" i="3"/>
  <c r="E55" i="3"/>
  <c r="I23" i="3"/>
  <c r="I150" i="3"/>
  <c r="E72" i="3"/>
  <c r="E40" i="3"/>
  <c r="I111" i="3"/>
  <c r="E77" i="3"/>
  <c r="E11" i="3"/>
  <c r="I164" i="3"/>
  <c r="E164" i="3"/>
  <c r="E150" i="3"/>
  <c r="E78" i="3"/>
  <c r="E43" i="3"/>
  <c r="E135" i="3"/>
  <c r="E117" i="3"/>
  <c r="E101" i="3"/>
  <c r="I84" i="3"/>
  <c r="I53" i="3"/>
  <c r="I21" i="3"/>
  <c r="E148" i="3"/>
  <c r="E68" i="3"/>
  <c r="E33" i="3"/>
  <c r="E110" i="3"/>
  <c r="E65" i="3"/>
  <c r="P44" i="5"/>
  <c r="R16" i="2"/>
  <c r="I122" i="3"/>
  <c r="E98" i="3"/>
  <c r="I59" i="3"/>
  <c r="P727" i="5"/>
  <c r="O661" i="4"/>
  <c r="E147" i="3"/>
  <c r="I151" i="3"/>
  <c r="E133" i="3"/>
  <c r="I140" i="3"/>
  <c r="I68" i="3"/>
  <c r="I40" i="3"/>
  <c r="I125" i="3"/>
  <c r="E113" i="3"/>
  <c r="I98" i="3"/>
  <c r="E71" i="3"/>
  <c r="E32" i="3"/>
  <c r="E16" i="3"/>
  <c r="I54" i="3"/>
  <c r="I119" i="3"/>
  <c r="I94" i="3"/>
  <c r="I47" i="3"/>
  <c r="P609" i="4"/>
  <c r="V1082" i="4"/>
  <c r="O271" i="5"/>
  <c r="O597" i="4"/>
  <c r="AE702" i="4"/>
  <c r="R944" i="4"/>
  <c r="P606" i="4"/>
  <c r="O711" i="4"/>
  <c r="O644" i="4"/>
  <c r="AI1046" i="4"/>
  <c r="X1046" i="4"/>
  <c r="T1003" i="4"/>
  <c r="T999" i="4"/>
  <c r="AE1003" i="4"/>
  <c r="AE999" i="4"/>
  <c r="AF1003" i="4"/>
  <c r="AF999" i="4"/>
  <c r="X1003" i="4"/>
  <c r="X999" i="4"/>
  <c r="X906" i="4"/>
  <c r="AK623" i="5"/>
  <c r="AK623" i="4"/>
  <c r="U556" i="2"/>
  <c r="N852" i="4"/>
  <c r="T1067" i="4"/>
  <c r="AF1046" i="4"/>
  <c r="W1046" i="4"/>
  <c r="AJ986" i="4"/>
  <c r="N1046" i="4"/>
  <c r="S1067" i="4"/>
  <c r="AE1046" i="4"/>
  <c r="V1046" i="4"/>
  <c r="S1030" i="4"/>
  <c r="AD1003" i="4"/>
  <c r="AD999" i="4"/>
  <c r="V1003" i="4"/>
  <c r="T1082" i="4"/>
  <c r="R1082" i="4"/>
  <c r="U1067" i="4"/>
  <c r="R1067" i="4"/>
  <c r="O1064" i="4"/>
  <c r="P1064" i="4"/>
  <c r="AD1046" i="4"/>
  <c r="U1046" i="4"/>
  <c r="AA1030" i="4"/>
  <c r="AC1003" i="4"/>
  <c r="AC999" i="4"/>
  <c r="Q1082" i="4"/>
  <c r="O1071" i="4"/>
  <c r="AC1046" i="4"/>
  <c r="T1046" i="4"/>
  <c r="AB1003" i="4"/>
  <c r="AB999" i="4"/>
  <c r="S1003" i="4"/>
  <c r="S999" i="4"/>
  <c r="P438" i="4"/>
  <c r="P1061" i="4"/>
  <c r="AB1046" i="4"/>
  <c r="S1046" i="4"/>
  <c r="AI1030" i="4"/>
  <c r="AA1003" i="4"/>
  <c r="AA999" i="4"/>
  <c r="S1082" i="4"/>
  <c r="AA1046" i="4"/>
  <c r="R1046" i="4"/>
  <c r="Q1003" i="4"/>
  <c r="Q999" i="4"/>
  <c r="X986" i="4"/>
  <c r="AE979" i="4"/>
  <c r="AE944" i="4"/>
  <c r="AJ1046" i="4"/>
  <c r="Y1046" i="4"/>
  <c r="Q1046" i="4"/>
  <c r="W1003" i="4"/>
  <c r="W999" i="4"/>
  <c r="AI1003" i="4"/>
  <c r="AI999" i="4"/>
  <c r="Y1003" i="4"/>
  <c r="Y999" i="4"/>
  <c r="Y906" i="4"/>
  <c r="AE986" i="4"/>
  <c r="V986" i="4"/>
  <c r="Y979" i="4"/>
  <c r="S979" i="4"/>
  <c r="S944" i="4"/>
  <c r="N976" i="4"/>
  <c r="N963" i="4"/>
  <c r="U871" i="4"/>
  <c r="U821" i="4"/>
  <c r="Q829" i="4"/>
  <c r="Q758" i="4"/>
  <c r="Z722" i="4"/>
  <c r="T716" i="4"/>
  <c r="AH716" i="4"/>
  <c r="AM716" i="4"/>
  <c r="AL685" i="4"/>
  <c r="N689" i="4"/>
  <c r="N685" i="4"/>
  <c r="W685" i="4"/>
  <c r="N678" i="4"/>
  <c r="N668" i="4"/>
  <c r="P668" i="4"/>
  <c r="N661" i="4"/>
  <c r="T618" i="4"/>
  <c r="T614" i="4"/>
  <c r="AB618" i="4"/>
  <c r="AB614" i="4"/>
  <c r="S592" i="4"/>
  <c r="X592" i="4"/>
  <c r="T592" i="4"/>
  <c r="Y443" i="4"/>
  <c r="N391" i="4"/>
  <c r="U382" i="4"/>
  <c r="AC315" i="4"/>
  <c r="AA315" i="4"/>
  <c r="O308" i="4"/>
  <c r="P308" i="4"/>
  <c r="N299" i="4"/>
  <c r="U292" i="4"/>
  <c r="Z173" i="4"/>
  <c r="O170" i="4"/>
  <c r="X161" i="4"/>
  <c r="O113" i="4"/>
  <c r="O108" i="4"/>
  <c r="Q108" i="4"/>
  <c r="N89" i="4"/>
  <c r="O89" i="4"/>
  <c r="U986" i="4"/>
  <c r="AA979" i="4"/>
  <c r="AA944" i="4"/>
  <c r="R979" i="4"/>
  <c r="S889" i="4"/>
  <c r="Q871" i="4"/>
  <c r="W829" i="4"/>
  <c r="S736" i="4"/>
  <c r="Q722" i="4"/>
  <c r="Q702" i="4"/>
  <c r="W716" i="4"/>
  <c r="AL716" i="4"/>
  <c r="N713" i="4"/>
  <c r="N708" i="4"/>
  <c r="P708" i="4"/>
  <c r="N697" i="4"/>
  <c r="P697" i="4"/>
  <c r="Z685" i="4"/>
  <c r="N692" i="4"/>
  <c r="P692" i="4"/>
  <c r="N633" i="4"/>
  <c r="Q618" i="4"/>
  <c r="Q614" i="4"/>
  <c r="AC618" i="4"/>
  <c r="AC614" i="4"/>
  <c r="N626" i="4"/>
  <c r="N624" i="4"/>
  <c r="AH592" i="4"/>
  <c r="N606" i="4"/>
  <c r="Y569" i="4"/>
  <c r="U569" i="4"/>
  <c r="W495" i="4"/>
  <c r="U484" i="4"/>
  <c r="W457" i="4"/>
  <c r="O447" i="4"/>
  <c r="X443" i="4"/>
  <c r="S399" i="4"/>
  <c r="O395" i="4"/>
  <c r="P395" i="4"/>
  <c r="O391" i="4"/>
  <c r="P391" i="4"/>
  <c r="AC382" i="4"/>
  <c r="T382" i="4"/>
  <c r="R357" i="4"/>
  <c r="O354" i="4"/>
  <c r="P354" i="4"/>
  <c r="N349" i="4"/>
  <c r="W342" i="4"/>
  <c r="X327" i="4"/>
  <c r="X313" i="4"/>
  <c r="Q302" i="4"/>
  <c r="O300" i="4"/>
  <c r="P300" i="4"/>
  <c r="AC292" i="4"/>
  <c r="Y201" i="4"/>
  <c r="N198" i="4"/>
  <c r="W142" i="4"/>
  <c r="O102" i="4"/>
  <c r="P102" i="4"/>
  <c r="N990" i="4"/>
  <c r="AC986" i="4"/>
  <c r="T986" i="4"/>
  <c r="AJ979" i="4"/>
  <c r="P953" i="4"/>
  <c r="AF923" i="4"/>
  <c r="AA923" i="4"/>
  <c r="S913" i="4"/>
  <c r="AD913" i="4"/>
  <c r="V913" i="4"/>
  <c r="W852" i="4"/>
  <c r="U852" i="4"/>
  <c r="U829" i="4"/>
  <c r="P740" i="4"/>
  <c r="R736" i="4"/>
  <c r="R727" i="4"/>
  <c r="AL702" i="4"/>
  <c r="AC722" i="4"/>
  <c r="AB702" i="4"/>
  <c r="AG722" i="4"/>
  <c r="AF702" i="4"/>
  <c r="N719" i="4"/>
  <c r="V716" i="4"/>
  <c r="N717" i="4"/>
  <c r="Q685" i="4"/>
  <c r="N680" i="4"/>
  <c r="AL656" i="4"/>
  <c r="N675" i="4"/>
  <c r="N641" i="4"/>
  <c r="N635" i="4"/>
  <c r="Z618" i="4"/>
  <c r="Z614" i="4"/>
  <c r="AM618" i="4"/>
  <c r="AM614" i="4"/>
  <c r="S618" i="4"/>
  <c r="S614" i="4"/>
  <c r="Q592" i="4"/>
  <c r="N609" i="4"/>
  <c r="N599" i="4"/>
  <c r="X569" i="4"/>
  <c r="AB504" i="4"/>
  <c r="W504" i="4"/>
  <c r="Q495" i="4"/>
  <c r="Q493" i="4"/>
  <c r="N490" i="4"/>
  <c r="N484" i="4"/>
  <c r="T484" i="4"/>
  <c r="Q449" i="4"/>
  <c r="X427" i="4"/>
  <c r="Z427" i="4"/>
  <c r="AB417" i="4"/>
  <c r="O411" i="4"/>
  <c r="P411" i="4"/>
  <c r="O410" i="4"/>
  <c r="P410" i="4"/>
  <c r="W382" i="4"/>
  <c r="N351" i="4"/>
  <c r="O351" i="4"/>
  <c r="P351" i="4"/>
  <c r="Z342" i="4"/>
  <c r="W327" i="4"/>
  <c r="N321" i="4"/>
  <c r="O321" i="4"/>
  <c r="P321" i="4"/>
  <c r="Q315" i="4"/>
  <c r="Y315" i="4"/>
  <c r="Z302" i="4"/>
  <c r="Y271" i="4"/>
  <c r="N256" i="4"/>
  <c r="O256" i="4"/>
  <c r="P256" i="4"/>
  <c r="Z242" i="4"/>
  <c r="AD234" i="4"/>
  <c r="O198" i="4"/>
  <c r="P198" i="4"/>
  <c r="N182" i="4"/>
  <c r="P182" i="4"/>
  <c r="R179" i="4"/>
  <c r="X173" i="4"/>
  <c r="Z108" i="4"/>
  <c r="AE86" i="4"/>
  <c r="S986" i="4"/>
  <c r="AI979" i="4"/>
  <c r="X979" i="4"/>
  <c r="Q979" i="4"/>
  <c r="Q944" i="4"/>
  <c r="AJ963" i="4"/>
  <c r="AI963" i="4"/>
  <c r="AI923" i="4"/>
  <c r="T891" i="4"/>
  <c r="T889" i="4"/>
  <c r="N877" i="4"/>
  <c r="N862" i="4"/>
  <c r="V852" i="4"/>
  <c r="N829" i="4"/>
  <c r="T823" i="4"/>
  <c r="N773" i="4"/>
  <c r="Q736" i="4"/>
  <c r="AF722" i="4"/>
  <c r="V722" i="4"/>
  <c r="N721" i="4"/>
  <c r="U716" i="4"/>
  <c r="Q716" i="4"/>
  <c r="N710" i="4"/>
  <c r="AG685" i="4"/>
  <c r="N649" i="4"/>
  <c r="AH618" i="4"/>
  <c r="N603" i="4"/>
  <c r="P603" i="4"/>
  <c r="AB569" i="4"/>
  <c r="P554" i="4"/>
  <c r="AA504" i="4"/>
  <c r="T504" i="4"/>
  <c r="T493" i="4"/>
  <c r="AB495" i="4"/>
  <c r="AB484" i="4"/>
  <c r="X484" i="4"/>
  <c r="X474" i="4"/>
  <c r="O455" i="4"/>
  <c r="P455" i="4"/>
  <c r="Q435" i="4"/>
  <c r="O422" i="4"/>
  <c r="R417" i="4"/>
  <c r="N396" i="4"/>
  <c r="O396" i="4"/>
  <c r="P396" i="4"/>
  <c r="Y302" i="4"/>
  <c r="S292" i="4"/>
  <c r="S271" i="4"/>
  <c r="N268" i="4"/>
  <c r="O268" i="4"/>
  <c r="P268" i="4"/>
  <c r="Q253" i="4"/>
  <c r="N264" i="4"/>
  <c r="AC234" i="4"/>
  <c r="AE216" i="4"/>
  <c r="AA201" i="4"/>
  <c r="Y191" i="4"/>
  <c r="Z150" i="4"/>
  <c r="O59" i="4"/>
  <c r="P59" i="4"/>
  <c r="AG978" i="5"/>
  <c r="AH978" i="5"/>
  <c r="O978" i="5"/>
  <c r="AD645" i="2"/>
  <c r="V979" i="4"/>
  <c r="AF979" i="4"/>
  <c r="X913" i="4"/>
  <c r="AB913" i="4"/>
  <c r="T913" i="4"/>
  <c r="S823" i="4"/>
  <c r="N691" i="4"/>
  <c r="S685" i="4"/>
  <c r="N663" i="4"/>
  <c r="P663" i="4"/>
  <c r="N623" i="4"/>
  <c r="AG618" i="4"/>
  <c r="AG614" i="4"/>
  <c r="W618" i="4"/>
  <c r="W614" i="4"/>
  <c r="W592" i="4"/>
  <c r="AA495" i="4"/>
  <c r="AF484" i="4"/>
  <c r="W474" i="4"/>
  <c r="R469" i="4"/>
  <c r="Z463" i="4"/>
  <c r="P433" i="4"/>
  <c r="Y399" i="4"/>
  <c r="X382" i="4"/>
  <c r="Z357" i="4"/>
  <c r="O333" i="4"/>
  <c r="P333" i="4"/>
  <c r="AB292" i="4"/>
  <c r="U118" i="4"/>
  <c r="AB96" i="4"/>
  <c r="Q61" i="4"/>
  <c r="AG1010" i="5"/>
  <c r="AH1010" i="5"/>
  <c r="O1010" i="5"/>
  <c r="AD668" i="2"/>
  <c r="W923" i="4"/>
  <c r="W906" i="4"/>
  <c r="N874" i="4"/>
  <c r="P874" i="4"/>
  <c r="P754" i="4"/>
  <c r="W727" i="4"/>
  <c r="N693" i="4"/>
  <c r="P693" i="4"/>
  <c r="P643" i="4"/>
  <c r="N627" i="4"/>
  <c r="U504" i="4"/>
  <c r="S474" i="4"/>
  <c r="O393" i="4"/>
  <c r="P393" i="4"/>
  <c r="O388" i="4"/>
  <c r="P388" i="4"/>
  <c r="Y382" i="4"/>
  <c r="Y342" i="4"/>
  <c r="O323" i="4"/>
  <c r="P323" i="4"/>
  <c r="Y292" i="4"/>
  <c r="O208" i="4"/>
  <c r="P208" i="4"/>
  <c r="W201" i="4"/>
  <c r="AC201" i="4"/>
  <c r="AI986" i="4"/>
  <c r="T979" i="4"/>
  <c r="T944" i="4"/>
  <c r="AC963" i="4"/>
  <c r="T963" i="4"/>
  <c r="AD923" i="4"/>
  <c r="AE923" i="4"/>
  <c r="U913" i="4"/>
  <c r="AE913" i="4"/>
  <c r="S852" i="4"/>
  <c r="S829" i="4"/>
  <c r="S748" i="4"/>
  <c r="AA716" i="4"/>
  <c r="N718" i="4"/>
  <c r="P718" i="4"/>
  <c r="AD716" i="4"/>
  <c r="N715" i="4"/>
  <c r="U685" i="4"/>
  <c r="O647" i="4"/>
  <c r="N636" i="4"/>
  <c r="AC592" i="4"/>
  <c r="N600" i="4"/>
  <c r="N597" i="4"/>
  <c r="S569" i="4"/>
  <c r="P540" i="4"/>
  <c r="Q443" i="4"/>
  <c r="S427" i="4"/>
  <c r="AE417" i="4"/>
  <c r="N389" i="4"/>
  <c r="AE382" i="4"/>
  <c r="AB342" i="4"/>
  <c r="N323" i="4"/>
  <c r="AB253" i="4"/>
  <c r="O220" i="4"/>
  <c r="P220" i="4"/>
  <c r="AD191" i="4"/>
  <c r="AD189" i="4"/>
  <c r="W167" i="4"/>
  <c r="O66" i="4"/>
  <c r="P66" i="4"/>
  <c r="AA986" i="4"/>
  <c r="AB979" i="4"/>
  <c r="AB944" i="4"/>
  <c r="AC979" i="4"/>
  <c r="AC944" i="4"/>
  <c r="N949" i="4"/>
  <c r="N948" i="4"/>
  <c r="N944" i="4"/>
  <c r="Q923" i="4"/>
  <c r="AI913" i="4"/>
  <c r="W871" i="4"/>
  <c r="R758" i="4"/>
  <c r="O755" i="4"/>
  <c r="O752" i="4"/>
  <c r="Y727" i="4"/>
  <c r="AL722" i="4"/>
  <c r="N723" i="4"/>
  <c r="N720" i="4"/>
  <c r="P720" i="4"/>
  <c r="AM685" i="4"/>
  <c r="AB685" i="4"/>
  <c r="N676" i="4"/>
  <c r="P676" i="4"/>
  <c r="N631" i="4"/>
  <c r="AB592" i="4"/>
  <c r="N610" i="4"/>
  <c r="P610" i="4"/>
  <c r="Y495" i="4"/>
  <c r="AG484" i="4"/>
  <c r="W463" i="4"/>
  <c r="W399" i="4"/>
  <c r="N394" i="4"/>
  <c r="O394" i="4"/>
  <c r="P394" i="4"/>
  <c r="S382" i="4"/>
  <c r="O369" i="4"/>
  <c r="P369" i="4"/>
  <c r="Y357" i="4"/>
  <c r="S315" i="4"/>
  <c r="S302" i="4"/>
  <c r="AD292" i="4"/>
  <c r="Q271" i="4"/>
  <c r="W253" i="4"/>
  <c r="AD253" i="4"/>
  <c r="Y253" i="4"/>
  <c r="R242" i="4"/>
  <c r="Y234" i="4"/>
  <c r="N221" i="4"/>
  <c r="N197" i="4"/>
  <c r="O197" i="4"/>
  <c r="P197" i="4"/>
  <c r="AE191" i="4"/>
  <c r="N147" i="4"/>
  <c r="Y142" i="4"/>
  <c r="S108" i="4"/>
  <c r="AE234" i="4"/>
  <c r="X234" i="4"/>
  <c r="Z216" i="4"/>
  <c r="Y173" i="4"/>
  <c r="N150" i="4"/>
  <c r="N148" i="4"/>
  <c r="O148" i="4"/>
  <c r="P148" i="4"/>
  <c r="S136" i="4"/>
  <c r="N101" i="4"/>
  <c r="O101" i="4"/>
  <c r="P101" i="4"/>
  <c r="X86" i="4"/>
  <c r="N73" i="4"/>
  <c r="O73" i="4"/>
  <c r="P73" i="4"/>
  <c r="T53" i="4"/>
  <c r="N50" i="4"/>
  <c r="N41" i="4"/>
  <c r="O41" i="4"/>
  <c r="P41" i="4"/>
  <c r="S28" i="4"/>
  <c r="W22" i="4"/>
  <c r="X22" i="4"/>
  <c r="X20" i="4"/>
  <c r="V725" i="2"/>
  <c r="V715" i="2"/>
  <c r="V1079" i="5"/>
  <c r="AH1041" i="5"/>
  <c r="V683" i="2"/>
  <c r="Z1039" i="5"/>
  <c r="Z1038" i="5"/>
  <c r="O1009" i="5"/>
  <c r="AG996" i="5"/>
  <c r="N996" i="5"/>
  <c r="AH993" i="5"/>
  <c r="Z991" i="5"/>
  <c r="Z984" i="5"/>
  <c r="AG964" i="5"/>
  <c r="AD606" i="2"/>
  <c r="AH932" i="5"/>
  <c r="O932" i="5"/>
  <c r="AD604" i="2"/>
  <c r="N859" i="5"/>
  <c r="X859" i="5"/>
  <c r="AJ708" i="5"/>
  <c r="AC453" i="2"/>
  <c r="N678" i="5"/>
  <c r="Q440" i="2"/>
  <c r="N106" i="4"/>
  <c r="Q96" i="4"/>
  <c r="S69" i="4"/>
  <c r="O32" i="4"/>
  <c r="N1081" i="5"/>
  <c r="U697" i="2"/>
  <c r="AM689" i="2"/>
  <c r="N1045" i="5"/>
  <c r="AD684" i="2"/>
  <c r="V682" i="2"/>
  <c r="AH1009" i="5"/>
  <c r="AD659" i="2"/>
  <c r="N977" i="5"/>
  <c r="N975" i="5"/>
  <c r="Q642" i="2"/>
  <c r="V624" i="2"/>
  <c r="AF948" i="5"/>
  <c r="Z938" i="5"/>
  <c r="N932" i="5"/>
  <c r="V566" i="2"/>
  <c r="X858" i="5"/>
  <c r="AD516" i="2"/>
  <c r="O799" i="5"/>
  <c r="Z712" i="5"/>
  <c r="X216" i="4"/>
  <c r="X214" i="4"/>
  <c r="AD201" i="4"/>
  <c r="AB201" i="4"/>
  <c r="AA191" i="4"/>
  <c r="AA189" i="4"/>
  <c r="AD142" i="4"/>
  <c r="T142" i="4"/>
  <c r="Q136" i="4"/>
  <c r="O114" i="4"/>
  <c r="X77" i="4"/>
  <c r="U53" i="4"/>
  <c r="Y44" i="4"/>
  <c r="AC22" i="4"/>
  <c r="N26" i="4"/>
  <c r="U22" i="4"/>
  <c r="N1071" i="5"/>
  <c r="N1064" i="5"/>
  <c r="Z950" i="5"/>
  <c r="N950" i="5"/>
  <c r="V617" i="2"/>
  <c r="AD69" i="4"/>
  <c r="W61" i="4"/>
  <c r="O48" i="4"/>
  <c r="AE38" i="4"/>
  <c r="P19" i="7"/>
  <c r="V708" i="2"/>
  <c r="V685" i="2"/>
  <c r="N995" i="5"/>
  <c r="V647" i="2"/>
  <c r="Z975" i="5"/>
  <c r="AH974" i="5"/>
  <c r="V631" i="2"/>
  <c r="Y630" i="2"/>
  <c r="V626" i="2"/>
  <c r="N942" i="5"/>
  <c r="V613" i="2"/>
  <c r="AD607" i="2"/>
  <c r="AG933" i="5"/>
  <c r="V599" i="2"/>
  <c r="Z921" i="5"/>
  <c r="O741" i="5"/>
  <c r="V464" i="2"/>
  <c r="N719" i="5"/>
  <c r="Y719" i="5"/>
  <c r="Y717" i="5"/>
  <c r="V462" i="2"/>
  <c r="S242" i="4"/>
  <c r="S234" i="4"/>
  <c r="Z201" i="4"/>
  <c r="Q191" i="4"/>
  <c r="Q189" i="4"/>
  <c r="X179" i="4"/>
  <c r="W150" i="4"/>
  <c r="Y150" i="4"/>
  <c r="Y136" i="4"/>
  <c r="X96" i="4"/>
  <c r="W96" i="4"/>
  <c r="W94" i="4"/>
  <c r="O83" i="4"/>
  <c r="N74" i="4"/>
  <c r="O74" i="4"/>
  <c r="P74" i="4"/>
  <c r="Z69" i="4"/>
  <c r="S53" i="4"/>
  <c r="Q28" i="4"/>
  <c r="S22" i="4"/>
  <c r="N19" i="4"/>
  <c r="V1011" i="5"/>
  <c r="AH1008" i="5"/>
  <c r="R994" i="5"/>
  <c r="Z644" i="2"/>
  <c r="V610" i="2"/>
  <c r="N832" i="5"/>
  <c r="V540" i="2"/>
  <c r="N721" i="5"/>
  <c r="Q466" i="2"/>
  <c r="V466" i="2"/>
  <c r="Y721" i="5"/>
  <c r="O693" i="5"/>
  <c r="AJ693" i="5"/>
  <c r="AJ693" i="4"/>
  <c r="AE142" i="4"/>
  <c r="R142" i="4"/>
  <c r="Z118" i="4"/>
  <c r="Q118" i="4"/>
  <c r="N104" i="4"/>
  <c r="O104" i="4"/>
  <c r="P104" i="4"/>
  <c r="N103" i="4"/>
  <c r="O103" i="4"/>
  <c r="P103" i="4"/>
  <c r="Y96" i="4"/>
  <c r="AC96" i="4"/>
  <c r="AB53" i="4"/>
  <c r="N58" i="4"/>
  <c r="AE53" i="4"/>
  <c r="S44" i="4"/>
  <c r="AH1050" i="5"/>
  <c r="AH1034" i="5"/>
  <c r="AG1008" i="5"/>
  <c r="AH1007" i="5"/>
  <c r="Z1005" i="5"/>
  <c r="Z995" i="5"/>
  <c r="AG974" i="5"/>
  <c r="AH973" i="5"/>
  <c r="Z971" i="5"/>
  <c r="Z966" i="5"/>
  <c r="AH956" i="5"/>
  <c r="Z955" i="5"/>
  <c r="T796" i="5"/>
  <c r="Y796" i="5"/>
  <c r="X167" i="4"/>
  <c r="O156" i="4"/>
  <c r="P156" i="4"/>
  <c r="X130" i="4"/>
  <c r="N100" i="4"/>
  <c r="N96" i="4"/>
  <c r="R44" i="4"/>
  <c r="W38" i="4"/>
  <c r="Q22" i="4"/>
  <c r="W625" i="2"/>
  <c r="AD623" i="2"/>
  <c r="N951" i="5"/>
  <c r="V618" i="2"/>
  <c r="AJ948" i="5"/>
  <c r="V608" i="2"/>
  <c r="N934" i="5"/>
  <c r="V568" i="2"/>
  <c r="X866" i="5"/>
  <c r="AE678" i="5"/>
  <c r="AE440" i="2"/>
  <c r="AC436" i="2"/>
  <c r="AJ674" i="5"/>
  <c r="AJ674" i="4"/>
  <c r="AK668" i="5"/>
  <c r="AK668" i="4"/>
  <c r="AC430" i="2"/>
  <c r="V533" i="2"/>
  <c r="V531" i="2"/>
  <c r="V530" i="2"/>
  <c r="AB521" i="2"/>
  <c r="V497" i="2"/>
  <c r="W495" i="2"/>
  <c r="N761" i="5"/>
  <c r="R486" i="2"/>
  <c r="E15" i="14"/>
  <c r="AC473" i="2"/>
  <c r="V471" i="2"/>
  <c r="V468" i="2"/>
  <c r="V465" i="2"/>
  <c r="AJ715" i="5"/>
  <c r="AJ715" i="4"/>
  <c r="N714" i="5"/>
  <c r="AE454" i="2"/>
  <c r="AE452" i="2"/>
  <c r="N692" i="5"/>
  <c r="AF685" i="5"/>
  <c r="AJ443" i="2"/>
  <c r="AJ444" i="2"/>
  <c r="AB444" i="2"/>
  <c r="W444" i="2"/>
  <c r="Y672" i="5"/>
  <c r="AK647" i="5"/>
  <c r="AK647" i="4"/>
  <c r="N645" i="5"/>
  <c r="V415" i="2"/>
  <c r="N634" i="5"/>
  <c r="Q404" i="2"/>
  <c r="Z618" i="5"/>
  <c r="AE380" i="2"/>
  <c r="N599" i="5"/>
  <c r="Z586" i="5"/>
  <c r="V367" i="2"/>
  <c r="AE437" i="2"/>
  <c r="AE675" i="5"/>
  <c r="N674" i="5"/>
  <c r="Q436" i="2"/>
  <c r="V436" i="2"/>
  <c r="V434" i="2"/>
  <c r="AE431" i="2"/>
  <c r="AK665" i="5"/>
  <c r="AK665" i="4"/>
  <c r="AE405" i="2"/>
  <c r="AE635" i="5"/>
  <c r="AE403" i="2"/>
  <c r="AE633" i="5"/>
  <c r="AC398" i="2"/>
  <c r="AI380" i="2"/>
  <c r="AK606" i="5"/>
  <c r="AK606" i="4"/>
  <c r="O643" i="5"/>
  <c r="AK643" i="5"/>
  <c r="AK643" i="4"/>
  <c r="AK622" i="5"/>
  <c r="AK622" i="4"/>
  <c r="AJ622" i="5"/>
  <c r="AJ622" i="4"/>
  <c r="AC392" i="2"/>
  <c r="N933" i="5"/>
  <c r="Z931" i="5"/>
  <c r="N813" i="5"/>
  <c r="AG515" i="2"/>
  <c r="N755" i="5"/>
  <c r="AE691" i="5"/>
  <c r="V440" i="2"/>
  <c r="N675" i="5"/>
  <c r="Q437" i="2"/>
  <c r="Y635" i="5"/>
  <c r="Y633" i="5"/>
  <c r="V544" i="2"/>
  <c r="Z803" i="5"/>
  <c r="Q796" i="5"/>
  <c r="N741" i="5"/>
  <c r="Y714" i="5"/>
  <c r="N707" i="5"/>
  <c r="Y690" i="5"/>
  <c r="AE442" i="2"/>
  <c r="AE680" i="5"/>
  <c r="O665" i="5"/>
  <c r="AJ665" i="5"/>
  <c r="AJ665" i="4"/>
  <c r="AE397" i="2"/>
  <c r="N606" i="5"/>
  <c r="Q380" i="2"/>
  <c r="AI592" i="5"/>
  <c r="AM372" i="2"/>
  <c r="AF515" i="2"/>
  <c r="R689" i="5"/>
  <c r="V445" i="2"/>
  <c r="AK676" i="5"/>
  <c r="AK676" i="4"/>
  <c r="O669" i="5"/>
  <c r="AE649" i="5"/>
  <c r="N649" i="5"/>
  <c r="Q419" i="2"/>
  <c r="AE404" i="2"/>
  <c r="AE634" i="5"/>
  <c r="N633" i="5"/>
  <c r="AE376" i="2"/>
  <c r="AE602" i="5"/>
  <c r="T592" i="5"/>
  <c r="X369" i="2"/>
  <c r="AE436" i="2"/>
  <c r="AE674" i="5"/>
  <c r="AM660" i="5"/>
  <c r="AA423" i="2"/>
  <c r="W660" i="5"/>
  <c r="AE402" i="2"/>
  <c r="Z294" i="2"/>
  <c r="N498" i="5"/>
  <c r="V447" i="2"/>
  <c r="R664" i="5"/>
  <c r="Y666" i="5"/>
  <c r="N666" i="5"/>
  <c r="Y619" i="5"/>
  <c r="V389" i="2"/>
  <c r="AE373" i="2"/>
  <c r="AE599" i="5"/>
  <c r="V360" i="2"/>
  <c r="N579" i="5"/>
  <c r="AE378" i="2"/>
  <c r="Z584" i="5"/>
  <c r="O565" i="5"/>
  <c r="R350" i="2"/>
  <c r="AD337" i="2"/>
  <c r="AD325" i="2"/>
  <c r="N536" i="5"/>
  <c r="S380" i="5"/>
  <c r="W225" i="2"/>
  <c r="W226" i="2"/>
  <c r="V220" i="2"/>
  <c r="O368" i="5"/>
  <c r="S290" i="5"/>
  <c r="W166" i="2"/>
  <c r="V317" i="2"/>
  <c r="Z532" i="5"/>
  <c r="AB495" i="5"/>
  <c r="AF295" i="2"/>
  <c r="AD327" i="2"/>
  <c r="O542" i="5"/>
  <c r="V294" i="2"/>
  <c r="AE498" i="5"/>
  <c r="AI294" i="2"/>
  <c r="AC290" i="2"/>
  <c r="AI490" i="5"/>
  <c r="V398" i="2"/>
  <c r="AB397" i="2"/>
  <c r="O606" i="5"/>
  <c r="V373" i="2"/>
  <c r="AE371" i="2"/>
  <c r="N564" i="5"/>
  <c r="V346" i="2"/>
  <c r="V327" i="2"/>
  <c r="V322" i="2"/>
  <c r="V299" i="2"/>
  <c r="V508" i="5"/>
  <c r="V212" i="2"/>
  <c r="O360" i="5"/>
  <c r="Q618" i="5"/>
  <c r="N605" i="5"/>
  <c r="AG592" i="5"/>
  <c r="S369" i="2"/>
  <c r="Z581" i="5"/>
  <c r="N576" i="5"/>
  <c r="Z298" i="2"/>
  <c r="N507" i="5"/>
  <c r="N438" i="5"/>
  <c r="O438" i="5"/>
  <c r="V263" i="2"/>
  <c r="N404" i="5"/>
  <c r="O404" i="5"/>
  <c r="V242" i="2"/>
  <c r="AE631" i="5"/>
  <c r="Y397" i="2"/>
  <c r="V385" i="2"/>
  <c r="Z580" i="5"/>
  <c r="Z575" i="5"/>
  <c r="V500" i="5"/>
  <c r="N477" i="5"/>
  <c r="O477" i="5"/>
  <c r="V284" i="2"/>
  <c r="N446" i="5"/>
  <c r="R443" i="5"/>
  <c r="V267" i="2"/>
  <c r="O446" i="5"/>
  <c r="V268" i="2"/>
  <c r="Y600" i="5"/>
  <c r="V371" i="2"/>
  <c r="V350" i="2"/>
  <c r="AD328" i="2"/>
  <c r="V326" i="2"/>
  <c r="N539" i="5"/>
  <c r="N322" i="5"/>
  <c r="V186" i="2"/>
  <c r="S592" i="5"/>
  <c r="O597" i="5"/>
  <c r="O583" i="5"/>
  <c r="Z301" i="2"/>
  <c r="AC510" i="5"/>
  <c r="V277" i="2"/>
  <c r="V274" i="2"/>
  <c r="N447" i="5"/>
  <c r="V244" i="2"/>
  <c r="O405" i="5"/>
  <c r="V224" i="2"/>
  <c r="N318" i="5"/>
  <c r="V182" i="2"/>
  <c r="N306" i="5"/>
  <c r="O306" i="5"/>
  <c r="P306" i="5"/>
  <c r="V147" i="2"/>
  <c r="O248" i="5"/>
  <c r="N248" i="5"/>
  <c r="V133" i="2"/>
  <c r="O206" i="5"/>
  <c r="Q107" i="2"/>
  <c r="P203" i="9"/>
  <c r="N330" i="5"/>
  <c r="O330" i="5"/>
  <c r="N261" i="5"/>
  <c r="V141" i="2"/>
  <c r="Q98" i="2"/>
  <c r="O194" i="5"/>
  <c r="AF97" i="2"/>
  <c r="AB189" i="5"/>
  <c r="AF96" i="2"/>
  <c r="P120" i="9"/>
  <c r="P152" i="9"/>
  <c r="P188" i="9"/>
  <c r="P273" i="9"/>
  <c r="P329" i="9"/>
  <c r="P371" i="9"/>
  <c r="P659" i="9"/>
  <c r="P947" i="9"/>
  <c r="P1077" i="9"/>
  <c r="P236" i="9"/>
  <c r="P419" i="9"/>
  <c r="P424" i="9"/>
  <c r="P445" i="9"/>
  <c r="P471" i="9"/>
  <c r="P476" i="9"/>
  <c r="P519" i="9"/>
  <c r="P652" i="9"/>
  <c r="P696" i="9"/>
  <c r="P738" i="9"/>
  <c r="P750" i="9"/>
  <c r="P79" i="9"/>
  <c r="P158" i="9"/>
  <c r="P163" i="9"/>
  <c r="P169" i="9"/>
  <c r="P175" i="9"/>
  <c r="P181" i="9"/>
  <c r="P289" i="9"/>
  <c r="P437" i="9"/>
  <c r="P465" i="9"/>
  <c r="P481" i="9"/>
  <c r="P514" i="9"/>
  <c r="P211" i="9"/>
  <c r="P344" i="9"/>
  <c r="P617" i="9"/>
  <c r="P701" i="9"/>
  <c r="P768" i="9"/>
  <c r="P831" i="9"/>
  <c r="P1021" i="9"/>
  <c r="P1025" i="9"/>
  <c r="P1033" i="9"/>
  <c r="P40" i="9"/>
  <c r="P46" i="9"/>
  <c r="P144" i="9"/>
  <c r="P218" i="9"/>
  <c r="P250" i="9"/>
  <c r="P294" i="9"/>
  <c r="P339" i="9"/>
  <c r="P429" i="9"/>
  <c r="P451" i="9"/>
  <c r="P506" i="9"/>
  <c r="P729" i="9"/>
  <c r="P854" i="9"/>
  <c r="P893" i="9"/>
  <c r="P989" i="9"/>
  <c r="P487" i="9"/>
  <c r="P688" i="9"/>
  <c r="P873" i="9"/>
  <c r="P85" i="9"/>
  <c r="P255" i="9"/>
  <c r="P497" i="9"/>
  <c r="P705" i="9"/>
  <c r="P794" i="9"/>
  <c r="P825" i="9"/>
  <c r="P902" i="9"/>
  <c r="P909" i="9"/>
  <c r="P941" i="9"/>
  <c r="P138" i="9"/>
  <c r="P384" i="9"/>
  <c r="P416" i="9"/>
  <c r="P926" i="9"/>
  <c r="P93" i="9"/>
  <c r="P312" i="9"/>
  <c r="P359" i="9"/>
  <c r="P571" i="9"/>
  <c r="P684" i="9"/>
  <c r="P760" i="9"/>
  <c r="P88" i="9"/>
  <c r="P226" i="9"/>
  <c r="P1057" i="9"/>
  <c r="P98" i="9"/>
  <c r="P185" i="9"/>
  <c r="P244" i="9"/>
  <c r="P304" i="9"/>
  <c r="P376" i="9"/>
  <c r="P379" i="9"/>
  <c r="P401" i="9"/>
  <c r="P1002" i="9"/>
  <c r="P1017" i="9"/>
  <c r="R484" i="5"/>
  <c r="V287" i="2"/>
  <c r="O455" i="5"/>
  <c r="N410" i="5"/>
  <c r="O406" i="5"/>
  <c r="N377" i="5"/>
  <c r="X290" i="5"/>
  <c r="N221" i="5"/>
  <c r="V116" i="2"/>
  <c r="P459" i="9"/>
  <c r="N453" i="5"/>
  <c r="V247" i="2"/>
  <c r="N408" i="5"/>
  <c r="O402" i="5"/>
  <c r="V221" i="2"/>
  <c r="O350" i="5"/>
  <c r="N308" i="5"/>
  <c r="Q177" i="2"/>
  <c r="O308" i="5"/>
  <c r="R177" i="2"/>
  <c r="O196" i="5"/>
  <c r="P317" i="9"/>
  <c r="O440" i="5"/>
  <c r="V261" i="2"/>
  <c r="N432" i="5"/>
  <c r="O413" i="5"/>
  <c r="V245" i="2"/>
  <c r="V217" i="2"/>
  <c r="V94" i="2"/>
  <c r="O183" i="5"/>
  <c r="V71" i="2"/>
  <c r="O140" i="5"/>
  <c r="N140" i="5"/>
  <c r="Q71" i="2"/>
  <c r="AG44" i="2"/>
  <c r="AC94" i="5"/>
  <c r="AG43" i="2"/>
  <c r="P1069" i="9"/>
  <c r="P899" i="9"/>
  <c r="P132" i="9"/>
  <c r="P126" i="9"/>
  <c r="Y488" i="5"/>
  <c r="V215" i="2"/>
  <c r="N363" i="5"/>
  <c r="T94" i="5"/>
  <c r="X43" i="2"/>
  <c r="N99" i="5"/>
  <c r="V45" i="2"/>
  <c r="P595" i="9"/>
  <c r="P589" i="9"/>
  <c r="V175" i="2"/>
  <c r="R216" i="5"/>
  <c r="V113" i="2"/>
  <c r="V73" i="2"/>
  <c r="N145" i="5"/>
  <c r="N58" i="5"/>
  <c r="V23" i="2"/>
  <c r="P916" i="9"/>
  <c r="N334" i="5"/>
  <c r="N265" i="5"/>
  <c r="N237" i="5"/>
  <c r="O156" i="5"/>
  <c r="O138" i="5"/>
  <c r="Q31" i="2"/>
  <c r="O72" i="5"/>
  <c r="O66" i="5"/>
  <c r="V28" i="2"/>
  <c r="N59" i="5"/>
  <c r="V195" i="2"/>
  <c r="V127" i="2"/>
  <c r="AA189" i="5"/>
  <c r="AE96" i="2"/>
  <c r="AE97" i="2"/>
  <c r="Y189" i="5"/>
  <c r="AC96" i="2"/>
  <c r="R161" i="5"/>
  <c r="V83" i="2"/>
  <c r="V51" i="2"/>
  <c r="O63" i="5"/>
  <c r="O50" i="5"/>
  <c r="O30" i="5"/>
  <c r="V168" i="2"/>
  <c r="V149" i="2"/>
  <c r="V107" i="2"/>
  <c r="N139" i="5"/>
  <c r="V70" i="2"/>
  <c r="N134" i="5"/>
  <c r="V68" i="2"/>
  <c r="O98" i="5"/>
  <c r="O74" i="5"/>
  <c r="Q33" i="2"/>
  <c r="N55" i="5"/>
  <c r="V90" i="2"/>
  <c r="O176" i="5"/>
  <c r="N64" i="5"/>
  <c r="V26" i="2"/>
  <c r="R61" i="5"/>
  <c r="V25" i="2"/>
  <c r="N26" i="5"/>
  <c r="V8" i="2"/>
  <c r="O46" i="5"/>
  <c r="O79" i="5"/>
  <c r="O120" i="5"/>
  <c r="O71" i="5"/>
  <c r="O110" i="5"/>
  <c r="O126" i="5"/>
  <c r="O144" i="5"/>
  <c r="O158" i="5"/>
  <c r="O163" i="5"/>
  <c r="O169" i="5"/>
  <c r="O185" i="5"/>
  <c r="O55" i="5"/>
  <c r="O236" i="5"/>
  <c r="V131" i="2"/>
  <c r="V75" i="2"/>
  <c r="N100" i="5"/>
  <c r="V46" i="2"/>
  <c r="O88" i="5"/>
  <c r="N41" i="5"/>
  <c r="R38" i="5"/>
  <c r="V13" i="2"/>
  <c r="V14" i="2"/>
  <c r="N15" i="9"/>
  <c r="N176" i="5"/>
  <c r="V49" i="2"/>
  <c r="N103" i="5"/>
  <c r="O64" i="5"/>
  <c r="X20" i="5"/>
  <c r="AB9" i="2"/>
  <c r="O93" i="9"/>
  <c r="O88" i="9"/>
  <c r="O71" i="9"/>
  <c r="O50" i="9"/>
  <c r="J112" i="3"/>
  <c r="F146" i="3"/>
  <c r="F122" i="3"/>
  <c r="J156" i="3"/>
  <c r="F124" i="3"/>
  <c r="J98" i="3"/>
  <c r="J145" i="3"/>
  <c r="F157" i="3"/>
  <c r="J133" i="3"/>
  <c r="J105" i="3"/>
  <c r="F84" i="3"/>
  <c r="F135" i="3"/>
  <c r="F144" i="3"/>
  <c r="F113" i="3"/>
  <c r="F89" i="3"/>
  <c r="F151" i="3"/>
  <c r="F72" i="3"/>
  <c r="J115" i="3"/>
  <c r="J87" i="3"/>
  <c r="J126" i="3"/>
  <c r="F67" i="3"/>
  <c r="F66" i="3" s="1"/>
  <c r="J49" i="3"/>
  <c r="F24" i="3"/>
  <c r="J13" i="3"/>
  <c r="J62" i="3"/>
  <c r="F40" i="3"/>
  <c r="J59" i="3"/>
  <c r="F30" i="3"/>
  <c r="J20" i="3"/>
  <c r="J18" i="3" s="1"/>
  <c r="J14" i="3" s="1"/>
  <c r="F9" i="3"/>
  <c r="J48" i="3"/>
  <c r="J46" i="3" s="1"/>
  <c r="J45" i="3" s="1"/>
  <c r="E112" i="3"/>
  <c r="I99" i="3"/>
  <c r="I85" i="3"/>
  <c r="I67" i="3"/>
  <c r="E49" i="3"/>
  <c r="I24" i="3"/>
  <c r="E13" i="3"/>
  <c r="E23" i="3"/>
  <c r="I12" i="3"/>
  <c r="AE29" i="8"/>
  <c r="AF29" i="8"/>
  <c r="P489" i="4"/>
  <c r="P860" i="4"/>
  <c r="E85" i="3"/>
  <c r="E67" i="3"/>
  <c r="I49" i="3"/>
  <c r="E24" i="3"/>
  <c r="I13" i="3"/>
  <c r="I146" i="3"/>
  <c r="E80" i="3"/>
  <c r="E60" i="3"/>
  <c r="I35" i="3"/>
  <c r="I117" i="3"/>
  <c r="I109" i="3"/>
  <c r="I108" i="3" s="1"/>
  <c r="I106" i="3" s="1"/>
  <c r="I120" i="3" s="1"/>
  <c r="E93" i="3"/>
  <c r="I79" i="3"/>
  <c r="E61" i="3"/>
  <c r="I32" i="3"/>
  <c r="E21" i="3"/>
  <c r="I10" i="3"/>
  <c r="P863" i="4"/>
  <c r="I20" i="3"/>
  <c r="E9" i="3"/>
  <c r="P670" i="4"/>
  <c r="P1040" i="4"/>
  <c r="O812" i="4"/>
  <c r="P812" i="4"/>
  <c r="P814" i="4"/>
  <c r="P932" i="4"/>
  <c r="P799" i="4"/>
  <c r="O798" i="4"/>
  <c r="F164" i="3"/>
  <c r="J72" i="3"/>
  <c r="J139" i="3"/>
  <c r="F123" i="3"/>
  <c r="J101" i="3"/>
  <c r="F147" i="3"/>
  <c r="F75" i="3"/>
  <c r="F73" i="3" s="1"/>
  <c r="F55" i="3"/>
  <c r="J27" i="3"/>
  <c r="J19" i="3"/>
  <c r="J70" i="3"/>
  <c r="J43" i="3"/>
  <c r="F65" i="3"/>
  <c r="J47" i="3"/>
  <c r="F23" i="3"/>
  <c r="J12" i="3"/>
  <c r="J60" i="3"/>
  <c r="J58" i="3" s="1"/>
  <c r="J57" i="3" s="1"/>
  <c r="F35" i="3"/>
  <c r="F34" i="3"/>
  <c r="E161" i="3"/>
  <c r="I129" i="3"/>
  <c r="I131" i="3" s="1"/>
  <c r="I162" i="3"/>
  <c r="E163" i="3"/>
  <c r="E146" i="3"/>
  <c r="I80" i="3"/>
  <c r="I60" i="3"/>
  <c r="E35" i="3"/>
  <c r="E34" i="3" s="1"/>
  <c r="E28" i="3" s="1"/>
  <c r="I130" i="3"/>
  <c r="I118" i="3"/>
  <c r="I110" i="3"/>
  <c r="E94" i="3"/>
  <c r="I81" i="3"/>
  <c r="E63" i="3"/>
  <c r="E36" i="3"/>
  <c r="E22" i="3"/>
  <c r="I11" i="3"/>
  <c r="I142" i="3"/>
  <c r="E76" i="3"/>
  <c r="E52" i="3"/>
  <c r="I31" i="3"/>
  <c r="I115" i="3"/>
  <c r="I105" i="3"/>
  <c r="I89" i="3"/>
  <c r="I75" i="3"/>
  <c r="I55" i="3"/>
  <c r="E27" i="3"/>
  <c r="E19" i="3"/>
  <c r="E18" i="3" s="1"/>
  <c r="E14" i="3" s="1"/>
  <c r="F139" i="3"/>
  <c r="F137" i="3" s="1"/>
  <c r="F125" i="3"/>
  <c r="F127" i="3" s="1"/>
  <c r="F93" i="3"/>
  <c r="F156" i="3"/>
  <c r="F158" i="3" s="1"/>
  <c r="J100" i="3"/>
  <c r="J140" i="3"/>
  <c r="J107" i="3"/>
  <c r="F69" i="3"/>
  <c r="J30" i="3"/>
  <c r="J29" i="3" s="1"/>
  <c r="J28" i="3" s="1"/>
  <c r="J9" i="3"/>
  <c r="J67" i="3"/>
  <c r="J66" i="3" s="1"/>
  <c r="J24" i="3"/>
  <c r="F62" i="3"/>
  <c r="F111" i="3"/>
  <c r="F108" i="3" s="1"/>
  <c r="F106" i="3" s="1"/>
  <c r="F120" i="3" s="1"/>
  <c r="F159" i="3" s="1"/>
  <c r="S4" i="1" s="1"/>
  <c r="V4" i="1" s="1"/>
  <c r="J78" i="3"/>
  <c r="J113" i="3"/>
  <c r="F152" i="3"/>
  <c r="F99" i="3"/>
  <c r="O1082" i="4"/>
  <c r="J135" i="3"/>
  <c r="F107" i="3"/>
  <c r="F76" i="3"/>
  <c r="J71" i="3"/>
  <c r="J143" i="3"/>
  <c r="F112" i="3"/>
  <c r="F88" i="3"/>
  <c r="F145" i="3"/>
  <c r="J161" i="3"/>
  <c r="J165" i="3" s="1"/>
  <c r="F117" i="3"/>
  <c r="F94" i="3"/>
  <c r="F163" i="3"/>
  <c r="J82" i="3"/>
  <c r="J119" i="3"/>
  <c r="F100" i="3"/>
  <c r="J146" i="3"/>
  <c r="F71" i="3"/>
  <c r="J53" i="3"/>
  <c r="F26" i="3"/>
  <c r="J17" i="3"/>
  <c r="F68" i="3"/>
  <c r="F42" i="3"/>
  <c r="J63" i="3"/>
  <c r="J36" i="3"/>
  <c r="J34" i="3" s="1"/>
  <c r="J22" i="3"/>
  <c r="F11" i="3"/>
  <c r="F54" i="3"/>
  <c r="J33" i="3"/>
  <c r="I101" i="3"/>
  <c r="E88" i="3"/>
  <c r="I71" i="3"/>
  <c r="E53" i="3"/>
  <c r="I26" i="3"/>
  <c r="E17" i="3"/>
  <c r="P879" i="4"/>
  <c r="J84" i="3"/>
  <c r="F116" i="3"/>
  <c r="F78" i="3"/>
  <c r="J75" i="3"/>
  <c r="J124" i="3"/>
  <c r="J127" i="3"/>
  <c r="J149" i="3"/>
  <c r="F59" i="3"/>
  <c r="F58" i="3" s="1"/>
  <c r="F57" i="3" s="1"/>
  <c r="F56" i="3" s="1"/>
  <c r="F20" i="3"/>
  <c r="F48" i="3"/>
  <c r="F49" i="3"/>
  <c r="F13" i="3"/>
  <c r="J136" i="3"/>
  <c r="J77" i="3"/>
  <c r="J74" i="3" s="1"/>
  <c r="J144" i="3"/>
  <c r="J89" i="3"/>
  <c r="J118" i="3"/>
  <c r="J129" i="3"/>
  <c r="F101" i="3"/>
  <c r="J164" i="3"/>
  <c r="J163" i="3"/>
  <c r="F136" i="3"/>
  <c r="F154" i="3" s="1"/>
  <c r="J109" i="3"/>
  <c r="J108" i="3" s="1"/>
  <c r="J85" i="3"/>
  <c r="J142" i="3"/>
  <c r="J141" i="3" s="1"/>
  <c r="J147" i="3"/>
  <c r="J114" i="3"/>
  <c r="J90" i="3"/>
  <c r="J153" i="3"/>
  <c r="F80" i="3"/>
  <c r="F118" i="3"/>
  <c r="F90" i="3"/>
  <c r="F140" i="3"/>
  <c r="J69" i="3"/>
  <c r="F51" i="3"/>
  <c r="F50" i="3" s="1"/>
  <c r="J25" i="3"/>
  <c r="F16" i="3"/>
  <c r="F64" i="3"/>
  <c r="J41" i="3"/>
  <c r="F61" i="3"/>
  <c r="J32" i="3"/>
  <c r="F21" i="3"/>
  <c r="J10" i="3"/>
  <c r="J8" i="3" s="1"/>
  <c r="J52" i="3"/>
  <c r="E125" i="3"/>
  <c r="E145" i="3"/>
  <c r="E151" i="3"/>
  <c r="I76" i="3"/>
  <c r="I73" i="3"/>
  <c r="I52" i="3"/>
  <c r="E31" i="3"/>
  <c r="E126" i="3"/>
  <c r="I116" i="3"/>
  <c r="E107" i="3"/>
  <c r="E106" i="3" s="1"/>
  <c r="E120" i="3" s="1"/>
  <c r="I90" i="3"/>
  <c r="I77" i="3"/>
  <c r="E59" i="3"/>
  <c r="E58" i="3" s="1"/>
  <c r="E57" i="3" s="1"/>
  <c r="I30" i="3"/>
  <c r="I29" i="3"/>
  <c r="I28" i="3"/>
  <c r="E20" i="3"/>
  <c r="I9" i="3"/>
  <c r="I138" i="3"/>
  <c r="I43" i="3"/>
  <c r="E123" i="3"/>
  <c r="E127" i="3"/>
  <c r="I113" i="3"/>
  <c r="E100" i="3"/>
  <c r="E102" i="3" s="1"/>
  <c r="I87" i="3"/>
  <c r="I86" i="3" s="1"/>
  <c r="E69" i="3"/>
  <c r="E66" i="3" s="1"/>
  <c r="I51" i="3"/>
  <c r="E25" i="3"/>
  <c r="O607" i="4"/>
  <c r="P607" i="4"/>
  <c r="O958" i="4"/>
  <c r="P960" i="4"/>
  <c r="O641" i="4"/>
  <c r="P641" i="4"/>
  <c r="P644" i="4"/>
  <c r="N1059" i="4"/>
  <c r="N1055" i="4"/>
  <c r="P1058" i="4"/>
  <c r="N1011" i="4"/>
  <c r="AK638" i="4"/>
  <c r="P1062" i="4"/>
  <c r="N1003" i="4"/>
  <c r="P1072" i="4"/>
  <c r="N173" i="4"/>
  <c r="P173" i="4"/>
  <c r="O1059" i="4"/>
  <c r="P1060" i="4"/>
  <c r="N986" i="4"/>
  <c r="N1043" i="4"/>
  <c r="N1030" i="4"/>
  <c r="P1041" i="4"/>
  <c r="N1070" i="4"/>
  <c r="AB963" i="4"/>
  <c r="Y923" i="4"/>
  <c r="U923" i="4"/>
  <c r="AJ913" i="4"/>
  <c r="AH614" i="4"/>
  <c r="R493" i="4"/>
  <c r="W493" i="4"/>
  <c r="O466" i="4"/>
  <c r="S357" i="4"/>
  <c r="O261" i="4"/>
  <c r="P261" i="4"/>
  <c r="N86" i="4"/>
  <c r="AA963" i="4"/>
  <c r="AB923" i="4"/>
  <c r="AB906" i="4"/>
  <c r="AC923" i="4"/>
  <c r="T923" i="4"/>
  <c r="T906" i="4"/>
  <c r="Y913" i="4"/>
  <c r="R913" i="4"/>
  <c r="T829" i="4"/>
  <c r="AB727" i="4"/>
  <c r="W569" i="4"/>
  <c r="W517" i="4"/>
  <c r="U517" i="4"/>
  <c r="O439" i="4"/>
  <c r="O435" i="4"/>
  <c r="R435" i="4"/>
  <c r="N439" i="4"/>
  <c r="N435" i="4"/>
  <c r="O404" i="4"/>
  <c r="N404" i="4"/>
  <c r="N1084" i="4"/>
  <c r="R1003" i="4"/>
  <c r="R999" i="4"/>
  <c r="S963" i="4"/>
  <c r="S923" i="4"/>
  <c r="AF913" i="4"/>
  <c r="Q891" i="4"/>
  <c r="Q889" i="4"/>
  <c r="P867" i="4"/>
  <c r="P780" i="4"/>
  <c r="AC685" i="4"/>
  <c r="AB493" i="4"/>
  <c r="O405" i="4"/>
  <c r="N405" i="4"/>
  <c r="P335" i="4"/>
  <c r="AF963" i="4"/>
  <c r="R923" i="4"/>
  <c r="AC913" i="4"/>
  <c r="U792" i="4"/>
  <c r="N664" i="4"/>
  <c r="P647" i="4"/>
  <c r="R517" i="4"/>
  <c r="N525" i="4"/>
  <c r="AA493" i="4"/>
  <c r="AL484" i="4"/>
  <c r="N407" i="4"/>
  <c r="O407" i="4"/>
  <c r="P407" i="4"/>
  <c r="AE963" i="4"/>
  <c r="X963" i="4"/>
  <c r="AJ923" i="4"/>
  <c r="W889" i="4"/>
  <c r="P755" i="4"/>
  <c r="AC716" i="4"/>
  <c r="AK702" i="4"/>
  <c r="V569" i="4"/>
  <c r="O165" i="4"/>
  <c r="S161" i="4"/>
  <c r="R77" i="4"/>
  <c r="N80" i="4"/>
  <c r="O204" i="4"/>
  <c r="AD963" i="4"/>
  <c r="W963" i="4"/>
  <c r="T871" i="4"/>
  <c r="Q852" i="4"/>
  <c r="Q821" i="4"/>
  <c r="T736" i="4"/>
  <c r="AB716" i="4"/>
  <c r="AH685" i="4"/>
  <c r="R474" i="4"/>
  <c r="N478" i="4"/>
  <c r="O389" i="4"/>
  <c r="P389" i="4"/>
  <c r="V963" i="4"/>
  <c r="S871" i="4"/>
  <c r="S821" i="4"/>
  <c r="S727" i="4"/>
  <c r="AG716" i="4"/>
  <c r="N604" i="4"/>
  <c r="X517" i="4"/>
  <c r="Z727" i="4"/>
  <c r="N454" i="4"/>
  <c r="O454" i="4"/>
  <c r="P454" i="4"/>
  <c r="AB517" i="4"/>
  <c r="T517" i="4"/>
  <c r="AA484" i="4"/>
  <c r="O461" i="4"/>
  <c r="N409" i="4"/>
  <c r="O409" i="4"/>
  <c r="P409" i="4"/>
  <c r="Q399" i="4"/>
  <c r="O337" i="4"/>
  <c r="O26" i="4"/>
  <c r="P26" i="4"/>
  <c r="R829" i="4"/>
  <c r="R821" i="4"/>
  <c r="N761" i="4"/>
  <c r="N632" i="4"/>
  <c r="P632" i="4"/>
  <c r="Z592" i="4"/>
  <c r="AL592" i="4"/>
  <c r="AA569" i="4"/>
  <c r="AA517" i="4"/>
  <c r="S517" i="4"/>
  <c r="X463" i="4"/>
  <c r="R449" i="4"/>
  <c r="N453" i="4"/>
  <c r="P453" i="4"/>
  <c r="AC417" i="4"/>
  <c r="Z382" i="4"/>
  <c r="O349" i="4"/>
  <c r="P349" i="4"/>
  <c r="R342" i="4"/>
  <c r="T315" i="4"/>
  <c r="N320" i="4"/>
  <c r="O297" i="4"/>
  <c r="R292" i="4"/>
  <c r="O206" i="4"/>
  <c r="P206" i="4"/>
  <c r="AD618" i="4"/>
  <c r="AD614" i="4"/>
  <c r="AD592" i="4"/>
  <c r="N598" i="4"/>
  <c r="AF592" i="4"/>
  <c r="V592" i="4"/>
  <c r="T569" i="4"/>
  <c r="V517" i="4"/>
  <c r="U493" i="4"/>
  <c r="Y427" i="4"/>
  <c r="N386" i="4"/>
  <c r="AE342" i="4"/>
  <c r="N337" i="4"/>
  <c r="N327" i="4"/>
  <c r="U253" i="4"/>
  <c r="AB216" i="4"/>
  <c r="Q179" i="4"/>
  <c r="O147" i="4"/>
  <c r="P147" i="4"/>
  <c r="Y118" i="4"/>
  <c r="AL618" i="4"/>
  <c r="AL614" i="4"/>
  <c r="S504" i="4"/>
  <c r="AE484" i="4"/>
  <c r="Y474" i="4"/>
  <c r="Z457" i="4"/>
  <c r="Y449" i="4"/>
  <c r="O441" i="4"/>
  <c r="P441" i="4"/>
  <c r="X435" i="4"/>
  <c r="X425" i="4"/>
  <c r="R427" i="4"/>
  <c r="N392" i="4"/>
  <c r="O392" i="4"/>
  <c r="P392" i="4"/>
  <c r="U342" i="4"/>
  <c r="AD342" i="4"/>
  <c r="X342" i="4"/>
  <c r="X340" i="4"/>
  <c r="Q342" i="4"/>
  <c r="AB315" i="4"/>
  <c r="R271" i="4"/>
  <c r="O274" i="4"/>
  <c r="O264" i="4"/>
  <c r="P264" i="4"/>
  <c r="AA216" i="4"/>
  <c r="Z191" i="4"/>
  <c r="Z189" i="4"/>
  <c r="N630" i="4"/>
  <c r="AI592" i="4"/>
  <c r="Q517" i="4"/>
  <c r="Y504" i="4"/>
  <c r="Y493" i="4"/>
  <c r="Z484" i="4"/>
  <c r="V484" i="4"/>
  <c r="O467" i="4"/>
  <c r="X357" i="4"/>
  <c r="S342" i="4"/>
  <c r="R327" i="4"/>
  <c r="T253" i="4"/>
  <c r="Z224" i="4"/>
  <c r="O221" i="4"/>
  <c r="T130" i="4"/>
  <c r="N133" i="4"/>
  <c r="Z61" i="4"/>
  <c r="N619" i="4"/>
  <c r="X504" i="4"/>
  <c r="X495" i="4"/>
  <c r="X493" i="4"/>
  <c r="S495" i="4"/>
  <c r="O432" i="4"/>
  <c r="Z417" i="4"/>
  <c r="S417" i="4"/>
  <c r="W357" i="4"/>
  <c r="Q357" i="4"/>
  <c r="N352" i="4"/>
  <c r="O352" i="4"/>
  <c r="P352" i="4"/>
  <c r="Q327" i="4"/>
  <c r="N324" i="4"/>
  <c r="O324" i="4"/>
  <c r="P324" i="4"/>
  <c r="AE315" i="4"/>
  <c r="O262" i="4"/>
  <c r="P262" i="4"/>
  <c r="N257" i="4"/>
  <c r="AB130" i="4"/>
  <c r="AB94" i="4"/>
  <c r="O106" i="4"/>
  <c r="P106" i="4"/>
  <c r="Q569" i="4"/>
  <c r="AK484" i="4"/>
  <c r="N467" i="4"/>
  <c r="N463" i="4"/>
  <c r="O452" i="4"/>
  <c r="O406" i="4"/>
  <c r="P406" i="4"/>
  <c r="AA342" i="4"/>
  <c r="N347" i="4"/>
  <c r="O346" i="4"/>
  <c r="Z327" i="4"/>
  <c r="AD315" i="4"/>
  <c r="AD186" i="4"/>
  <c r="Z271" i="4"/>
  <c r="O260" i="4"/>
  <c r="P260" i="4"/>
  <c r="N259" i="4"/>
  <c r="O259" i="4"/>
  <c r="P259" i="4"/>
  <c r="Q234" i="4"/>
  <c r="O199" i="4"/>
  <c r="P199" i="4"/>
  <c r="N139" i="4"/>
  <c r="U315" i="4"/>
  <c r="Q292" i="4"/>
  <c r="N269" i="4"/>
  <c r="O269" i="4"/>
  <c r="P269" i="4"/>
  <c r="AA253" i="4"/>
  <c r="W234" i="4"/>
  <c r="O230" i="4"/>
  <c r="P230" i="4"/>
  <c r="Q167" i="4"/>
  <c r="O155" i="4"/>
  <c r="Q142" i="4"/>
  <c r="Q94" i="4"/>
  <c r="Z96" i="4"/>
  <c r="AA69" i="4"/>
  <c r="R69" i="4"/>
  <c r="N72" i="4"/>
  <c r="Y61" i="4"/>
  <c r="T22" i="4"/>
  <c r="Q484" i="4"/>
  <c r="Q463" i="4"/>
  <c r="Q382" i="4"/>
  <c r="O361" i="4"/>
  <c r="N350" i="4"/>
  <c r="O350" i="4"/>
  <c r="P350" i="4"/>
  <c r="S327" i="4"/>
  <c r="W315" i="4"/>
  <c r="AE292" i="4"/>
  <c r="O287" i="4"/>
  <c r="P287" i="4"/>
  <c r="O263" i="4"/>
  <c r="P263" i="4"/>
  <c r="N258" i="4"/>
  <c r="O258" i="4"/>
  <c r="P258" i="4"/>
  <c r="S253" i="4"/>
  <c r="U234" i="4"/>
  <c r="S201" i="4"/>
  <c r="X191" i="4"/>
  <c r="N177" i="4"/>
  <c r="P177" i="4"/>
  <c r="X142" i="4"/>
  <c r="X94" i="4"/>
  <c r="N145" i="4"/>
  <c r="R108" i="4"/>
  <c r="R94" i="4"/>
  <c r="X61" i="4"/>
  <c r="X457" i="4"/>
  <c r="U417" i="4"/>
  <c r="R399" i="4"/>
  <c r="N387" i="4"/>
  <c r="O387" i="4"/>
  <c r="P387" i="4"/>
  <c r="AB382" i="4"/>
  <c r="N353" i="4"/>
  <c r="O353" i="4"/>
  <c r="P353" i="4"/>
  <c r="O286" i="4"/>
  <c r="N286" i="4"/>
  <c r="O283" i="4"/>
  <c r="N283" i="4"/>
  <c r="N271" i="4"/>
  <c r="O279" i="4"/>
  <c r="P279" i="4"/>
  <c r="W271" i="4"/>
  <c r="O245" i="4"/>
  <c r="W191" i="4"/>
  <c r="W189" i="4"/>
  <c r="T118" i="4"/>
  <c r="N121" i="4"/>
  <c r="Y77" i="4"/>
  <c r="Y69" i="4"/>
  <c r="AA53" i="4"/>
  <c r="R53" i="4"/>
  <c r="S443" i="4"/>
  <c r="O412" i="4"/>
  <c r="P412" i="4"/>
  <c r="O408" i="4"/>
  <c r="P408" i="4"/>
  <c r="Z399" i="4"/>
  <c r="AA382" i="4"/>
  <c r="T342" i="4"/>
  <c r="X292" i="4"/>
  <c r="X290" i="4"/>
  <c r="O278" i="4"/>
  <c r="P278" i="4"/>
  <c r="AE253" i="4"/>
  <c r="Q242" i="4"/>
  <c r="T234" i="4"/>
  <c r="AC191" i="4"/>
  <c r="AC189" i="4"/>
  <c r="N124" i="4"/>
  <c r="P124" i="4"/>
  <c r="O115" i="4"/>
  <c r="P115" i="4"/>
  <c r="N113" i="4"/>
  <c r="N108" i="4"/>
  <c r="S96" i="4"/>
  <c r="AE69" i="4"/>
  <c r="X69" i="4"/>
  <c r="O57" i="4"/>
  <c r="P57" i="4"/>
  <c r="Z53" i="4"/>
  <c r="X399" i="4"/>
  <c r="X380" i="4"/>
  <c r="X253" i="4"/>
  <c r="O240" i="4"/>
  <c r="P240" i="4"/>
  <c r="Q224" i="4"/>
  <c r="AC216" i="4"/>
  <c r="AE201" i="4"/>
  <c r="AE189" i="4"/>
  <c r="X201" i="4"/>
  <c r="AB191" i="4"/>
  <c r="AB189" i="4"/>
  <c r="S191" i="4"/>
  <c r="AC142" i="4"/>
  <c r="AC94" i="4"/>
  <c r="P114" i="4"/>
  <c r="Y108" i="4"/>
  <c r="O100" i="4"/>
  <c r="W69" i="4"/>
  <c r="R61" i="4"/>
  <c r="N64" i="4"/>
  <c r="O64" i="4"/>
  <c r="O58" i="4"/>
  <c r="P58" i="4"/>
  <c r="Y53" i="4"/>
  <c r="N56" i="4"/>
  <c r="O282" i="4"/>
  <c r="P282" i="4"/>
  <c r="O266" i="4"/>
  <c r="P266" i="4"/>
  <c r="N265" i="4"/>
  <c r="O265" i="4"/>
  <c r="P265" i="4"/>
  <c r="Y242" i="4"/>
  <c r="S216" i="4"/>
  <c r="T201" i="4"/>
  <c r="W179" i="4"/>
  <c r="Q173" i="4"/>
  <c r="AD118" i="4"/>
  <c r="AD94" i="4"/>
  <c r="AD16" i="4"/>
  <c r="AA96" i="4"/>
  <c r="AA94" i="4"/>
  <c r="R86" i="4"/>
  <c r="W77" i="4"/>
  <c r="U69" i="4"/>
  <c r="N67" i="4"/>
  <c r="O67" i="4"/>
  <c r="P67" i="4"/>
  <c r="R38" i="4"/>
  <c r="N42" i="4"/>
  <c r="AA22" i="4"/>
  <c r="N348" i="4"/>
  <c r="O348" i="4"/>
  <c r="P348" i="4"/>
  <c r="O307" i="4"/>
  <c r="N307" i="4"/>
  <c r="N302" i="4"/>
  <c r="W302" i="4"/>
  <c r="X271" i="4"/>
  <c r="N267" i="4"/>
  <c r="O267" i="4"/>
  <c r="P267" i="4"/>
  <c r="X242" i="4"/>
  <c r="X232" i="4"/>
  <c r="X212" i="4"/>
  <c r="O229" i="4"/>
  <c r="N229" i="4"/>
  <c r="N224" i="4"/>
  <c r="S224" i="4"/>
  <c r="N196" i="4"/>
  <c r="AA142" i="4"/>
  <c r="AD130" i="4"/>
  <c r="O112" i="4"/>
  <c r="Q86" i="4"/>
  <c r="X44" i="4"/>
  <c r="X36" i="4"/>
  <c r="N238" i="4"/>
  <c r="Z142" i="4"/>
  <c r="AB118" i="4"/>
  <c r="O116" i="4"/>
  <c r="P116" i="4"/>
  <c r="AE96" i="4"/>
  <c r="AE94" i="4"/>
  <c r="S77" i="4"/>
  <c r="AC53" i="4"/>
  <c r="AD22" i="4"/>
  <c r="N25" i="4"/>
  <c r="W292" i="4"/>
  <c r="Z253" i="4"/>
  <c r="N239" i="4"/>
  <c r="O239" i="4"/>
  <c r="P239" i="4"/>
  <c r="AA234" i="4"/>
  <c r="N222" i="4"/>
  <c r="T216" i="4"/>
  <c r="N209" i="4"/>
  <c r="Z161" i="4"/>
  <c r="S142" i="4"/>
  <c r="S118" i="4"/>
  <c r="T96" i="4"/>
  <c r="T94" i="4"/>
  <c r="AA86" i="4"/>
  <c r="O65" i="4"/>
  <c r="P65" i="4"/>
  <c r="X53" i="4"/>
  <c r="X51" i="4"/>
  <c r="AC38" i="4"/>
  <c r="O40" i="4"/>
  <c r="P175" i="7"/>
  <c r="P132" i="7"/>
  <c r="P120" i="7"/>
  <c r="P85" i="7"/>
  <c r="P110" i="7"/>
  <c r="P71" i="7"/>
  <c r="P46" i="7"/>
  <c r="P24" i="7"/>
  <c r="P158" i="7"/>
  <c r="N144" i="7"/>
  <c r="P138" i="7"/>
  <c r="P93" i="7"/>
  <c r="O71" i="7"/>
  <c r="P63" i="7"/>
  <c r="O46" i="7"/>
  <c r="N40" i="7"/>
  <c r="AK633" i="5"/>
  <c r="AK633" i="4"/>
  <c r="P185" i="7"/>
  <c r="P126" i="7"/>
  <c r="P88" i="7"/>
  <c r="AC378" i="2"/>
  <c r="AE408" i="6"/>
  <c r="AF408" i="6"/>
  <c r="AJ154" i="17"/>
  <c r="P636" i="5"/>
  <c r="Q46" i="2"/>
  <c r="O100" i="5"/>
  <c r="Q23" i="2"/>
  <c r="N53" i="5"/>
  <c r="O58" i="5"/>
  <c r="Q45" i="2"/>
  <c r="O99" i="5"/>
  <c r="N96" i="5"/>
  <c r="P308" i="5"/>
  <c r="Q191" i="2"/>
  <c r="N327" i="5"/>
  <c r="Q190" i="2"/>
  <c r="R175" i="2"/>
  <c r="O302" i="5"/>
  <c r="O290" i="5"/>
  <c r="Q186" i="2"/>
  <c r="O322" i="5"/>
  <c r="R268" i="2"/>
  <c r="P446" i="5"/>
  <c r="O443" i="5"/>
  <c r="AD361" i="2"/>
  <c r="O580" i="5"/>
  <c r="Z580" i="4"/>
  <c r="O580" i="4"/>
  <c r="P580" i="4"/>
  <c r="R263" i="2"/>
  <c r="O435" i="5"/>
  <c r="P438" i="5"/>
  <c r="U388" i="2"/>
  <c r="Q614" i="5"/>
  <c r="U387" i="2"/>
  <c r="Q349" i="2"/>
  <c r="AI376" i="2"/>
  <c r="AK602" i="5"/>
  <c r="AK602" i="4"/>
  <c r="O602" i="5"/>
  <c r="AE602" i="4"/>
  <c r="O602" i="4"/>
  <c r="P602" i="4"/>
  <c r="U513" i="2"/>
  <c r="Q796" i="4"/>
  <c r="Q792" i="4"/>
  <c r="Q792" i="5"/>
  <c r="U511" i="2"/>
  <c r="Q486" i="2"/>
  <c r="N752" i="5"/>
  <c r="Q488" i="2"/>
  <c r="N758" i="5"/>
  <c r="P761" i="5"/>
  <c r="AD633" i="2"/>
  <c r="Z966" i="4"/>
  <c r="O966" i="5"/>
  <c r="AH966" i="5"/>
  <c r="AG966" i="5"/>
  <c r="Z963" i="5"/>
  <c r="AD630" i="2"/>
  <c r="AL677" i="2"/>
  <c r="T677" i="2"/>
  <c r="AH1034" i="4"/>
  <c r="AJ721" i="5"/>
  <c r="AJ721" i="4"/>
  <c r="AC466" i="2"/>
  <c r="AK721" i="5"/>
  <c r="AK721" i="4"/>
  <c r="O721" i="5"/>
  <c r="Y721" i="4"/>
  <c r="O721" i="4"/>
  <c r="P721" i="4"/>
  <c r="AL666" i="2"/>
  <c r="AH1008" i="4"/>
  <c r="P83" i="4"/>
  <c r="O77" i="4"/>
  <c r="R478" i="2"/>
  <c r="P741" i="5"/>
  <c r="O736" i="5"/>
  <c r="AH950" i="5"/>
  <c r="O950" i="5"/>
  <c r="AD617" i="2"/>
  <c r="AG950" i="5"/>
  <c r="Z949" i="5"/>
  <c r="Z950" i="4"/>
  <c r="O950" i="4"/>
  <c r="S615" i="2"/>
  <c r="AJ615" i="2"/>
  <c r="AF944" i="5"/>
  <c r="AF948" i="4"/>
  <c r="AF944" i="4"/>
  <c r="Q688" i="2"/>
  <c r="P1045" i="5"/>
  <c r="R667" i="2"/>
  <c r="P1009" i="5"/>
  <c r="N766" i="4"/>
  <c r="P773" i="4"/>
  <c r="W821" i="4"/>
  <c r="N173" i="5"/>
  <c r="Q90" i="2"/>
  <c r="O26" i="5"/>
  <c r="Q8" i="2"/>
  <c r="N22" i="5"/>
  <c r="R33" i="2"/>
  <c r="P74" i="5"/>
  <c r="Q73" i="2"/>
  <c r="O145" i="5"/>
  <c r="N142" i="5"/>
  <c r="Q72" i="2"/>
  <c r="Q175" i="2"/>
  <c r="N302" i="5"/>
  <c r="Q324" i="2"/>
  <c r="P539" i="5"/>
  <c r="Q263" i="2"/>
  <c r="N435" i="5"/>
  <c r="Q262" i="2"/>
  <c r="R212" i="2"/>
  <c r="O357" i="5"/>
  <c r="P360" i="5"/>
  <c r="W165" i="2"/>
  <c r="S186" i="5"/>
  <c r="AJ619" i="5"/>
  <c r="AK619" i="5"/>
  <c r="O619" i="5"/>
  <c r="AC389" i="2"/>
  <c r="Y619" i="4"/>
  <c r="R427" i="2"/>
  <c r="P665" i="5"/>
  <c r="O803" i="5"/>
  <c r="O796" i="5"/>
  <c r="E603" i="6"/>
  <c r="AE603" i="6"/>
  <c r="AF603" i="6"/>
  <c r="AD520" i="2"/>
  <c r="Z803" i="4"/>
  <c r="O803" i="4"/>
  <c r="P803" i="4"/>
  <c r="Z796" i="5"/>
  <c r="AD513" i="2"/>
  <c r="R413" i="2"/>
  <c r="P643" i="5"/>
  <c r="O641" i="5"/>
  <c r="O586" i="5"/>
  <c r="AD367" i="2"/>
  <c r="Z586" i="4"/>
  <c r="O586" i="4"/>
  <c r="P586" i="4"/>
  <c r="AK672" i="5"/>
  <c r="AK672" i="4"/>
  <c r="AC434" i="2"/>
  <c r="AJ672" i="5"/>
  <c r="AJ672" i="4"/>
  <c r="O672" i="5"/>
  <c r="P672" i="5"/>
  <c r="Y667" i="5"/>
  <c r="AJ667" i="5"/>
  <c r="AJ667" i="4"/>
  <c r="Y672" i="4"/>
  <c r="O672" i="4"/>
  <c r="Q459" i="2"/>
  <c r="N713" i="5"/>
  <c r="AJ944" i="5"/>
  <c r="AJ906" i="5"/>
  <c r="AJ948" i="4"/>
  <c r="AJ944" i="4"/>
  <c r="AD638" i="2"/>
  <c r="AG971" i="5"/>
  <c r="AH971" i="5"/>
  <c r="O971" i="5"/>
  <c r="Z971" i="4"/>
  <c r="O971" i="4"/>
  <c r="P971" i="4"/>
  <c r="AL693" i="2"/>
  <c r="AH1050" i="4"/>
  <c r="AH1046" i="4"/>
  <c r="T693" i="2"/>
  <c r="Z669" i="2"/>
  <c r="V1011" i="4"/>
  <c r="V999" i="4"/>
  <c r="V906" i="4"/>
  <c r="V999" i="5"/>
  <c r="Z660" i="2"/>
  <c r="P755" i="5"/>
  <c r="Q702" i="2"/>
  <c r="P1064" i="5"/>
  <c r="N1059" i="5"/>
  <c r="AD457" i="2"/>
  <c r="Z702" i="5"/>
  <c r="AD450" i="2"/>
  <c r="Z712" i="4"/>
  <c r="Z702" i="4"/>
  <c r="AD681" i="2"/>
  <c r="AH1038" i="5"/>
  <c r="O1038" i="5"/>
  <c r="O1035" i="5"/>
  <c r="Z1038" i="4"/>
  <c r="O1038" i="4"/>
  <c r="AG1038" i="5"/>
  <c r="T681" i="2"/>
  <c r="Z1035" i="5"/>
  <c r="AG1035" i="5"/>
  <c r="P752" i="4"/>
  <c r="O748" i="4"/>
  <c r="R668" i="2"/>
  <c r="P1010" i="5"/>
  <c r="R645" i="2"/>
  <c r="P978" i="5"/>
  <c r="X159" i="4"/>
  <c r="X16" i="4"/>
  <c r="O766" i="5"/>
  <c r="P773" i="5"/>
  <c r="R495" i="2"/>
  <c r="S906" i="4"/>
  <c r="N684" i="9"/>
  <c r="N1077" i="9"/>
  <c r="N916" i="9"/>
  <c r="N1057" i="9"/>
  <c r="R1057" i="9"/>
  <c r="N1069" i="9"/>
  <c r="R1069" i="9"/>
  <c r="N701" i="9"/>
  <c r="N941" i="9"/>
  <c r="N250" i="9"/>
  <c r="N138" i="9"/>
  <c r="N55" i="9"/>
  <c r="N181" i="9"/>
  <c r="N465" i="9"/>
  <c r="N376" i="9"/>
  <c r="N384" i="9"/>
  <c r="N909" i="9"/>
  <c r="N873" i="9"/>
  <c r="N218" i="9"/>
  <c r="N85" i="9"/>
  <c r="N359" i="9"/>
  <c r="N211" i="9"/>
  <c r="N110" i="9"/>
  <c r="N244" i="9"/>
  <c r="N476" i="9"/>
  <c r="N379" i="9"/>
  <c r="N429" i="9"/>
  <c r="N471" i="9"/>
  <c r="N926" i="9"/>
  <c r="N1017" i="9"/>
  <c r="N273" i="9"/>
  <c r="N93" i="9"/>
  <c r="N416" i="9"/>
  <c r="N255" i="9"/>
  <c r="N132" i="9"/>
  <c r="N294" i="9"/>
  <c r="N35" i="9"/>
  <c r="N71" i="9"/>
  <c r="N459" i="9"/>
  <c r="N506" i="9"/>
  <c r="N1025" i="9"/>
  <c r="N1033" i="9"/>
  <c r="N445" i="9"/>
  <c r="N120" i="9"/>
  <c r="N451" i="9"/>
  <c r="N339" i="9"/>
  <c r="N188" i="9"/>
  <c r="N371" i="9"/>
  <c r="N46" i="9"/>
  <c r="N126" i="9"/>
  <c r="N487" i="9"/>
  <c r="N571" i="9"/>
  <c r="N317" i="9"/>
  <c r="N595" i="9"/>
  <c r="N497" i="9"/>
  <c r="N794" i="9"/>
  <c r="N158" i="9"/>
  <c r="N481" i="9"/>
  <c r="N19" i="9"/>
  <c r="N289" i="9"/>
  <c r="N401" i="9"/>
  <c r="N98" i="9"/>
  <c r="N144" i="9"/>
  <c r="N514" i="9"/>
  <c r="N659" i="9"/>
  <c r="N750" i="9"/>
  <c r="R750" i="9"/>
  <c r="N705" i="9"/>
  <c r="N589" i="9"/>
  <c r="N989" i="9"/>
  <c r="N902" i="9"/>
  <c r="N169" i="9"/>
  <c r="N30" i="9"/>
  <c r="N163" i="9"/>
  <c r="N79" i="9"/>
  <c r="N419" i="9"/>
  <c r="N203" i="9"/>
  <c r="N175" i="9"/>
  <c r="N617" i="9"/>
  <c r="N738" i="9"/>
  <c r="N40" i="9"/>
  <c r="N729" i="9"/>
  <c r="N688" i="9"/>
  <c r="N768" i="9"/>
  <c r="N947" i="9"/>
  <c r="N185" i="9"/>
  <c r="N50" i="9"/>
  <c r="N304" i="9"/>
  <c r="N88" i="9"/>
  <c r="N424" i="9"/>
  <c r="N226" i="9"/>
  <c r="N236" i="9"/>
  <c r="N519" i="9"/>
  <c r="N344" i="9"/>
  <c r="N652" i="9"/>
  <c r="N825" i="9"/>
  <c r="N696" i="9"/>
  <c r="N1002" i="9"/>
  <c r="N831" i="9"/>
  <c r="N842" i="9"/>
  <c r="N1021" i="9"/>
  <c r="N193" i="9"/>
  <c r="N63" i="9"/>
  <c r="N24" i="9"/>
  <c r="N152" i="9"/>
  <c r="N437" i="9"/>
  <c r="N329" i="9"/>
  <c r="N312" i="9"/>
  <c r="N893" i="9"/>
  <c r="N760" i="9"/>
  <c r="R760" i="9"/>
  <c r="N854" i="9"/>
  <c r="N899" i="9"/>
  <c r="R81" i="2"/>
  <c r="P156" i="5"/>
  <c r="O150" i="5"/>
  <c r="Q215" i="2"/>
  <c r="P363" i="5"/>
  <c r="N357" i="5"/>
  <c r="R251" i="2"/>
  <c r="P413" i="5"/>
  <c r="H99" i="6"/>
  <c r="H98" i="6"/>
  <c r="R206" i="2"/>
  <c r="P350" i="5"/>
  <c r="O342" i="5"/>
  <c r="Q116" i="2"/>
  <c r="O221" i="5"/>
  <c r="N216" i="5"/>
  <c r="AG301" i="2"/>
  <c r="O510" i="5"/>
  <c r="AC510" i="4"/>
  <c r="O510" i="4"/>
  <c r="P510" i="4"/>
  <c r="Q268" i="2"/>
  <c r="N443" i="5"/>
  <c r="Q267" i="2"/>
  <c r="Q298" i="2"/>
  <c r="P507" i="5"/>
  <c r="R327" i="2"/>
  <c r="P542" i="5"/>
  <c r="R220" i="2"/>
  <c r="P368" i="5"/>
  <c r="AD365" i="2"/>
  <c r="O584" i="5"/>
  <c r="Z584" i="4"/>
  <c r="O584" i="4"/>
  <c r="P584" i="4"/>
  <c r="Q428" i="2"/>
  <c r="N664" i="5"/>
  <c r="AA422" i="2"/>
  <c r="W656" i="5"/>
  <c r="AA421" i="2"/>
  <c r="W660" i="4"/>
  <c r="W656" i="4"/>
  <c r="Q403" i="2"/>
  <c r="N630" i="5"/>
  <c r="V444" i="2"/>
  <c r="R685" i="5"/>
  <c r="V443" i="2"/>
  <c r="R689" i="4"/>
  <c r="R685" i="4"/>
  <c r="AI442" i="2"/>
  <c r="AK680" i="5"/>
  <c r="AK680" i="4"/>
  <c r="O680" i="5"/>
  <c r="AE680" i="4"/>
  <c r="O680" i="4"/>
  <c r="P680" i="4"/>
  <c r="Q530" i="2"/>
  <c r="N812" i="5"/>
  <c r="P813" i="5"/>
  <c r="Q373" i="2"/>
  <c r="N598" i="5"/>
  <c r="AL640" i="2"/>
  <c r="AH973" i="4"/>
  <c r="AD599" i="2"/>
  <c r="AH921" i="5"/>
  <c r="O921" i="5"/>
  <c r="AG921" i="5"/>
  <c r="Z921" i="4"/>
  <c r="Z913" i="5"/>
  <c r="Q705" i="2"/>
  <c r="N1067" i="5"/>
  <c r="P1071" i="5"/>
  <c r="R516" i="2"/>
  <c r="P799" i="5"/>
  <c r="O798" i="5"/>
  <c r="AJ708" i="4"/>
  <c r="T631" i="2"/>
  <c r="AG964" i="4"/>
  <c r="AK631" i="2"/>
  <c r="AD682" i="2"/>
  <c r="AG1039" i="5"/>
  <c r="AH1039" i="5"/>
  <c r="O1039" i="5"/>
  <c r="Z1039" i="4"/>
  <c r="O1039" i="4"/>
  <c r="P1039" i="4"/>
  <c r="AL668" i="2"/>
  <c r="AH1010" i="4"/>
  <c r="AL645" i="2"/>
  <c r="AH978" i="4"/>
  <c r="P422" i="4"/>
  <c r="O417" i="4"/>
  <c r="P417" i="4"/>
  <c r="P447" i="4"/>
  <c r="O443" i="4"/>
  <c r="P443" i="4"/>
  <c r="O167" i="4"/>
  <c r="P167" i="4"/>
  <c r="P170" i="4"/>
  <c r="N179" i="4"/>
  <c r="P179" i="4"/>
  <c r="S94" i="4"/>
  <c r="S16" i="4"/>
  <c r="Q125" i="2"/>
  <c r="O237" i="5"/>
  <c r="N234" i="5"/>
  <c r="Q260" i="2"/>
  <c r="N427" i="5"/>
  <c r="P432" i="5"/>
  <c r="AB165" i="2"/>
  <c r="X186" i="5"/>
  <c r="AB95" i="2"/>
  <c r="R98" i="2"/>
  <c r="P194" i="5"/>
  <c r="O191" i="5"/>
  <c r="R107" i="2"/>
  <c r="P206" i="5"/>
  <c r="O201" i="5"/>
  <c r="Q182" i="2"/>
  <c r="N315" i="5"/>
  <c r="O318" i="5"/>
  <c r="AI401" i="2"/>
  <c r="AK631" i="5"/>
  <c r="AK631" i="4"/>
  <c r="O631" i="5"/>
  <c r="AE630" i="5"/>
  <c r="AE631" i="4"/>
  <c r="O631" i="4"/>
  <c r="Z299" i="2"/>
  <c r="V508" i="4"/>
  <c r="N508" i="5"/>
  <c r="Q299" i="2"/>
  <c r="V504" i="5"/>
  <c r="Z297" i="2"/>
  <c r="AC508" i="5"/>
  <c r="R380" i="2"/>
  <c r="P606" i="5"/>
  <c r="AC428" i="2"/>
  <c r="AJ666" i="5"/>
  <c r="AJ666" i="4"/>
  <c r="AK666" i="5"/>
  <c r="AK666" i="4"/>
  <c r="O666" i="5"/>
  <c r="Y664" i="5"/>
  <c r="Y666" i="4"/>
  <c r="O666" i="4"/>
  <c r="AI404" i="2"/>
  <c r="AE634" i="4"/>
  <c r="O634" i="4"/>
  <c r="P634" i="4"/>
  <c r="O634" i="5"/>
  <c r="AK634" i="5"/>
  <c r="AK634" i="4"/>
  <c r="AJ633" i="5"/>
  <c r="AJ633" i="4"/>
  <c r="O633" i="5"/>
  <c r="AC403" i="2"/>
  <c r="Y630" i="5"/>
  <c r="Y633" i="4"/>
  <c r="O633" i="4"/>
  <c r="P633" i="4"/>
  <c r="AH931" i="5"/>
  <c r="AD605" i="2"/>
  <c r="AG931" i="5"/>
  <c r="O931" i="5"/>
  <c r="Z931" i="4"/>
  <c r="Z923" i="5"/>
  <c r="AD600" i="2"/>
  <c r="Q618" i="2"/>
  <c r="P951" i="5"/>
  <c r="AK641" i="2"/>
  <c r="AG974" i="4"/>
  <c r="AL641" i="2"/>
  <c r="AH974" i="4"/>
  <c r="P48" i="4"/>
  <c r="O44" i="4"/>
  <c r="P44" i="4"/>
  <c r="Q644" i="2"/>
  <c r="N976" i="5"/>
  <c r="Q643" i="2"/>
  <c r="Q711" i="2"/>
  <c r="N1075" i="5"/>
  <c r="Q707" i="2"/>
  <c r="P1081" i="5"/>
  <c r="AB561" i="2"/>
  <c r="O859" i="5"/>
  <c r="X859" i="4"/>
  <c r="O859" i="4"/>
  <c r="P859" i="4"/>
  <c r="AD651" i="2"/>
  <c r="AH984" i="5"/>
  <c r="Z984" i="4"/>
  <c r="O984" i="5"/>
  <c r="AG984" i="5"/>
  <c r="Z979" i="5"/>
  <c r="AD646" i="2"/>
  <c r="AK668" i="2"/>
  <c r="AG1010" i="4"/>
  <c r="T645" i="2"/>
  <c r="AG978" i="4"/>
  <c r="AK645" i="2"/>
  <c r="Q26" i="2"/>
  <c r="N61" i="5"/>
  <c r="Q25" i="2"/>
  <c r="Q68" i="2"/>
  <c r="N130" i="5"/>
  <c r="Q66" i="2"/>
  <c r="O134" i="5"/>
  <c r="Q24" i="2"/>
  <c r="O59" i="5"/>
  <c r="Q145" i="2"/>
  <c r="O265" i="5"/>
  <c r="AJ488" i="5"/>
  <c r="AC288" i="2"/>
  <c r="AI488" i="5"/>
  <c r="O488" i="5"/>
  <c r="Y488" i="4"/>
  <c r="Y484" i="5"/>
  <c r="AC287" i="2"/>
  <c r="R71" i="2"/>
  <c r="P140" i="5"/>
  <c r="O136" i="5"/>
  <c r="R240" i="2"/>
  <c r="O399" i="5"/>
  <c r="P402" i="5"/>
  <c r="Q224" i="2"/>
  <c r="N374" i="5"/>
  <c r="O377" i="5"/>
  <c r="R364" i="2"/>
  <c r="P583" i="5"/>
  <c r="R284" i="2"/>
  <c r="O474" i="5"/>
  <c r="P477" i="5"/>
  <c r="Q357" i="2"/>
  <c r="N569" i="5"/>
  <c r="Q352" i="2"/>
  <c r="P576" i="5"/>
  <c r="Q360" i="2"/>
  <c r="P579" i="5"/>
  <c r="V426" i="2"/>
  <c r="R664" i="4"/>
  <c r="R660" i="5"/>
  <c r="AM656" i="5"/>
  <c r="AM660" i="4"/>
  <c r="AM656" i="4"/>
  <c r="AJ690" i="5"/>
  <c r="AJ690" i="4"/>
  <c r="AC445" i="2"/>
  <c r="AK690" i="5"/>
  <c r="AK690" i="4"/>
  <c r="O690" i="5"/>
  <c r="Y689" i="5"/>
  <c r="Y690" i="4"/>
  <c r="O690" i="4"/>
  <c r="AC405" i="2"/>
  <c r="AJ635" i="5"/>
  <c r="AJ635" i="4"/>
  <c r="Y635" i="4"/>
  <c r="AK635" i="5"/>
  <c r="AK635" i="4"/>
  <c r="O635" i="5"/>
  <c r="Q607" i="2"/>
  <c r="P933" i="5"/>
  <c r="AD388" i="2"/>
  <c r="Z614" i="5"/>
  <c r="AD387" i="2"/>
  <c r="AI440" i="2"/>
  <c r="O678" i="5"/>
  <c r="AK678" i="5"/>
  <c r="AK678" i="4"/>
  <c r="AE678" i="4"/>
  <c r="O678" i="4"/>
  <c r="P678" i="4"/>
  <c r="Z994" i="5"/>
  <c r="AD658" i="2"/>
  <c r="AG995" i="5"/>
  <c r="AH995" i="5"/>
  <c r="O995" i="5"/>
  <c r="Z995" i="4"/>
  <c r="O995" i="4"/>
  <c r="Q540" i="2"/>
  <c r="N829" i="5"/>
  <c r="P832" i="5"/>
  <c r="AC462" i="2"/>
  <c r="AJ717" i="5"/>
  <c r="AJ717" i="4"/>
  <c r="AJ716" i="4"/>
  <c r="O717" i="5"/>
  <c r="Y716" i="5"/>
  <c r="AK717" i="5"/>
  <c r="AK717" i="4"/>
  <c r="Y717" i="4"/>
  <c r="T607" i="2"/>
  <c r="AK607" i="2"/>
  <c r="AG933" i="4"/>
  <c r="O975" i="5"/>
  <c r="AH975" i="5"/>
  <c r="AD642" i="2"/>
  <c r="AG975" i="5"/>
  <c r="Z975" i="4"/>
  <c r="O975" i="4"/>
  <c r="P975" i="4"/>
  <c r="AB560" i="2"/>
  <c r="O858" i="5"/>
  <c r="P858" i="5"/>
  <c r="X856" i="5"/>
  <c r="AB558" i="2"/>
  <c r="X858" i="4"/>
  <c r="O858" i="4"/>
  <c r="P32" i="4"/>
  <c r="O28" i="4"/>
  <c r="P28" i="4"/>
  <c r="Q561" i="2"/>
  <c r="N856" i="5"/>
  <c r="AD654" i="2"/>
  <c r="O991" i="5"/>
  <c r="AH991" i="5"/>
  <c r="Z990" i="5"/>
  <c r="AG991" i="5"/>
  <c r="Z991" i="4"/>
  <c r="O991" i="4"/>
  <c r="AL684" i="2"/>
  <c r="AH1041" i="4"/>
  <c r="T684" i="2"/>
  <c r="N716" i="4"/>
  <c r="N712" i="4"/>
  <c r="AA906" i="4"/>
  <c r="AF906" i="4"/>
  <c r="AB5" i="2"/>
  <c r="X16" i="5"/>
  <c r="AB4" i="2"/>
  <c r="Q14" i="2"/>
  <c r="N38" i="5"/>
  <c r="O41" i="5"/>
  <c r="R90" i="2"/>
  <c r="P176" i="5"/>
  <c r="O173" i="5"/>
  <c r="Q195" i="2"/>
  <c r="P334" i="5"/>
  <c r="R265" i="2"/>
  <c r="P440" i="5"/>
  <c r="Q246" i="2"/>
  <c r="P408" i="5"/>
  <c r="R244" i="2"/>
  <c r="P406" i="5"/>
  <c r="Q133" i="2"/>
  <c r="N242" i="5"/>
  <c r="Q129" i="2"/>
  <c r="R243" i="2"/>
  <c r="P405" i="5"/>
  <c r="R371" i="2"/>
  <c r="P597" i="5"/>
  <c r="Q284" i="2"/>
  <c r="N474" i="5"/>
  <c r="Q283" i="2"/>
  <c r="R242" i="2"/>
  <c r="P404" i="5"/>
  <c r="AD362" i="2"/>
  <c r="O581" i="5"/>
  <c r="Z581" i="4"/>
  <c r="O581" i="4"/>
  <c r="O569" i="4"/>
  <c r="P569" i="4"/>
  <c r="P581" i="4"/>
  <c r="AF293" i="2"/>
  <c r="AB493" i="5"/>
  <c r="AF292" i="2"/>
  <c r="AI436" i="2"/>
  <c r="AE674" i="4"/>
  <c r="O674" i="4"/>
  <c r="P674" i="4"/>
  <c r="O674" i="5"/>
  <c r="AK674" i="5"/>
  <c r="AK674" i="4"/>
  <c r="AM369" i="2"/>
  <c r="T369" i="2"/>
  <c r="Q452" i="2"/>
  <c r="N706" i="5"/>
  <c r="Q451" i="2"/>
  <c r="AI403" i="2"/>
  <c r="AE633" i="4"/>
  <c r="AB568" i="2"/>
  <c r="O866" i="5"/>
  <c r="X866" i="4"/>
  <c r="O866" i="4"/>
  <c r="X862" i="5"/>
  <c r="T792" i="5"/>
  <c r="X511" i="2"/>
  <c r="AD663" i="2"/>
  <c r="AG1005" i="5"/>
  <c r="O1005" i="5"/>
  <c r="Z1003" i="5"/>
  <c r="AD661" i="2"/>
  <c r="AH1005" i="5"/>
  <c r="Z1005" i="4"/>
  <c r="O719" i="5"/>
  <c r="AJ719" i="5"/>
  <c r="AJ719" i="4"/>
  <c r="AC464" i="2"/>
  <c r="AK719" i="5"/>
  <c r="AK719" i="4"/>
  <c r="Y719" i="4"/>
  <c r="O719" i="4"/>
  <c r="P719" i="4"/>
  <c r="AL667" i="2"/>
  <c r="T667" i="2"/>
  <c r="AH1009" i="4"/>
  <c r="AL656" i="2"/>
  <c r="T656" i="2"/>
  <c r="AH993" i="4"/>
  <c r="O1079" i="5"/>
  <c r="U1079" i="4"/>
  <c r="Z709" i="2"/>
  <c r="V1079" i="4"/>
  <c r="O1079" i="4"/>
  <c r="P1079" i="4"/>
  <c r="Q906" i="4"/>
  <c r="AE906" i="4"/>
  <c r="N621" i="4"/>
  <c r="P623" i="4"/>
  <c r="O299" i="4"/>
  <c r="P299" i="4"/>
  <c r="N292" i="4"/>
  <c r="P1071" i="4"/>
  <c r="O1067" i="4"/>
  <c r="R150" i="2"/>
  <c r="P271" i="5"/>
  <c r="X189" i="4"/>
  <c r="N449" i="4"/>
  <c r="N290" i="4"/>
  <c r="P467" i="4"/>
  <c r="N399" i="4"/>
  <c r="AJ906" i="4"/>
  <c r="R26" i="2"/>
  <c r="P64" i="5"/>
  <c r="O61" i="5"/>
  <c r="Q70" i="2"/>
  <c r="N136" i="5"/>
  <c r="Q69" i="2"/>
  <c r="P139" i="5"/>
  <c r="R28" i="2"/>
  <c r="P66" i="5"/>
  <c r="R94" i="2"/>
  <c r="O179" i="5"/>
  <c r="P183" i="5"/>
  <c r="Q248" i="2"/>
  <c r="P410" i="5"/>
  <c r="O261" i="5"/>
  <c r="Q141" i="2"/>
  <c r="N253" i="5"/>
  <c r="R133" i="2"/>
  <c r="O242" i="5"/>
  <c r="P242" i="5"/>
  <c r="P248" i="5"/>
  <c r="W369" i="2"/>
  <c r="S590" i="5"/>
  <c r="AC374" i="2"/>
  <c r="AJ600" i="5"/>
  <c r="O600" i="5"/>
  <c r="AK600" i="5"/>
  <c r="AK600" i="4"/>
  <c r="Y600" i="4"/>
  <c r="O600" i="4"/>
  <c r="Y598" i="5"/>
  <c r="Z296" i="2"/>
  <c r="N500" i="5"/>
  <c r="Q296" i="2"/>
  <c r="V500" i="4"/>
  <c r="AC500" i="5"/>
  <c r="V495" i="5"/>
  <c r="Q242" i="2"/>
  <c r="N399" i="5"/>
  <c r="T290" i="2"/>
  <c r="AI490" i="4"/>
  <c r="AM290" i="2"/>
  <c r="O532" i="5"/>
  <c r="AD317" i="2"/>
  <c r="Z532" i="4"/>
  <c r="Q321" i="2"/>
  <c r="N517" i="5"/>
  <c r="P536" i="5"/>
  <c r="AE598" i="5"/>
  <c r="AI373" i="2"/>
  <c r="AE599" i="4"/>
  <c r="O599" i="4"/>
  <c r="P599" i="4"/>
  <c r="AK599" i="5"/>
  <c r="O599" i="5"/>
  <c r="Q294" i="2"/>
  <c r="P498" i="5"/>
  <c r="N495" i="5"/>
  <c r="AI419" i="2"/>
  <c r="AE649" i="4"/>
  <c r="O649" i="4"/>
  <c r="P649" i="4"/>
  <c r="AK649" i="5"/>
  <c r="AK649" i="4"/>
  <c r="O649" i="5"/>
  <c r="AC459" i="2"/>
  <c r="AJ714" i="5"/>
  <c r="AJ714" i="4"/>
  <c r="Y713" i="5"/>
  <c r="AJ713" i="5"/>
  <c r="AJ713" i="4"/>
  <c r="AC458" i="2"/>
  <c r="AK714" i="5"/>
  <c r="AK714" i="4"/>
  <c r="Y714" i="4"/>
  <c r="O714" i="4"/>
  <c r="O714" i="5"/>
  <c r="AI437" i="2"/>
  <c r="AE675" i="4"/>
  <c r="AK675" i="5"/>
  <c r="AK675" i="4"/>
  <c r="O675" i="5"/>
  <c r="AE656" i="5"/>
  <c r="AI421" i="2"/>
  <c r="Q447" i="2"/>
  <c r="N685" i="5"/>
  <c r="Q443" i="2"/>
  <c r="P692" i="5"/>
  <c r="AH955" i="5"/>
  <c r="AD622" i="2"/>
  <c r="Z955" i="4"/>
  <c r="O955" i="4"/>
  <c r="P955" i="4"/>
  <c r="O955" i="5"/>
  <c r="AG955" i="5"/>
  <c r="AL665" i="2"/>
  <c r="T665" i="2"/>
  <c r="AH1007" i="4"/>
  <c r="Q464" i="2"/>
  <c r="N716" i="5"/>
  <c r="Q461" i="2"/>
  <c r="Q658" i="2"/>
  <c r="N994" i="5"/>
  <c r="Q606" i="2"/>
  <c r="N923" i="5"/>
  <c r="R606" i="2"/>
  <c r="P932" i="5"/>
  <c r="Q659" i="2"/>
  <c r="P996" i="5"/>
  <c r="N722" i="4"/>
  <c r="P722" i="4"/>
  <c r="P723" i="4"/>
  <c r="Y189" i="4"/>
  <c r="P89" i="4"/>
  <c r="O86" i="4"/>
  <c r="P86" i="4"/>
  <c r="P597" i="4"/>
  <c r="P661" i="4"/>
  <c r="N159" i="4"/>
  <c r="Q49" i="2"/>
  <c r="O103" i="5"/>
  <c r="R31" i="2"/>
  <c r="P72" i="5"/>
  <c r="O69" i="5"/>
  <c r="R100" i="2"/>
  <c r="P196" i="5"/>
  <c r="Q272" i="2"/>
  <c r="N449" i="5"/>
  <c r="Q270" i="2"/>
  <c r="P453" i="5"/>
  <c r="R274" i="2"/>
  <c r="P455" i="5"/>
  <c r="O449" i="5"/>
  <c r="R191" i="2"/>
  <c r="O327" i="5"/>
  <c r="P330" i="5"/>
  <c r="Q269" i="2"/>
  <c r="P447" i="5"/>
  <c r="AD356" i="2"/>
  <c r="Z575" i="4"/>
  <c r="O575" i="5"/>
  <c r="Z569" i="5"/>
  <c r="AD352" i="2"/>
  <c r="Q379" i="2"/>
  <c r="P605" i="5"/>
  <c r="R431" i="2"/>
  <c r="E7" i="14"/>
  <c r="P669" i="5"/>
  <c r="Q478" i="2"/>
  <c r="N736" i="5"/>
  <c r="Q475" i="2"/>
  <c r="AI446" i="2"/>
  <c r="O691" i="5"/>
  <c r="AK691" i="5"/>
  <c r="AK691" i="4"/>
  <c r="AE691" i="4"/>
  <c r="O691" i="4"/>
  <c r="P691" i="4"/>
  <c r="AI405" i="2"/>
  <c r="AE635" i="4"/>
  <c r="Q415" i="2"/>
  <c r="P645" i="5"/>
  <c r="N641" i="5"/>
  <c r="Q411" i="2"/>
  <c r="Q608" i="2"/>
  <c r="P934" i="5"/>
  <c r="AL623" i="2"/>
  <c r="T623" i="2"/>
  <c r="AH956" i="4"/>
  <c r="T666" i="2"/>
  <c r="AK666" i="2"/>
  <c r="AG1008" i="4"/>
  <c r="R448" i="2"/>
  <c r="P693" i="5"/>
  <c r="V657" i="2"/>
  <c r="R994" i="4"/>
  <c r="R986" i="4"/>
  <c r="R906" i="4"/>
  <c r="R986" i="5"/>
  <c r="Q613" i="2"/>
  <c r="P942" i="5"/>
  <c r="Q617" i="2"/>
  <c r="N949" i="5"/>
  <c r="AH938" i="5"/>
  <c r="AD612" i="2"/>
  <c r="Z938" i="4"/>
  <c r="O938" i="4"/>
  <c r="P938" i="4"/>
  <c r="AG938" i="5"/>
  <c r="O938" i="5"/>
  <c r="AL606" i="2"/>
  <c r="T606" i="2"/>
  <c r="AH932" i="4"/>
  <c r="T659" i="2"/>
  <c r="AK659" i="2"/>
  <c r="AG996" i="4"/>
  <c r="N871" i="4"/>
  <c r="N821" i="4"/>
  <c r="AD906" i="4"/>
  <c r="P711" i="4"/>
  <c r="N667" i="4"/>
  <c r="N660" i="4"/>
  <c r="N656" i="4"/>
  <c r="P490" i="4"/>
  <c r="N758" i="4"/>
  <c r="P761" i="4"/>
  <c r="N999" i="4"/>
  <c r="P346" i="4"/>
  <c r="P204" i="4"/>
  <c r="P112" i="4"/>
  <c r="N53" i="4"/>
  <c r="O56" i="4"/>
  <c r="O347" i="4"/>
  <c r="P347" i="4"/>
  <c r="N342" i="4"/>
  <c r="N340" i="4"/>
  <c r="X251" i="4"/>
  <c r="X186" i="4"/>
  <c r="O72" i="4"/>
  <c r="N69" i="4"/>
  <c r="P337" i="4"/>
  <c r="O327" i="4"/>
  <c r="P327" i="4"/>
  <c r="P439" i="4"/>
  <c r="O463" i="4"/>
  <c r="P463" i="4"/>
  <c r="P466" i="4"/>
  <c r="P461" i="4"/>
  <c r="O457" i="4"/>
  <c r="P457" i="4"/>
  <c r="P435" i="4"/>
  <c r="P958" i="4"/>
  <c r="O222" i="4"/>
  <c r="P222" i="4"/>
  <c r="N216" i="4"/>
  <c r="N214" i="4"/>
  <c r="O42" i="4"/>
  <c r="N38" i="4"/>
  <c r="N36" i="4"/>
  <c r="P245" i="4"/>
  <c r="P155" i="4"/>
  <c r="O150" i="4"/>
  <c r="P150" i="4"/>
  <c r="O196" i="4"/>
  <c r="N191" i="4"/>
  <c r="N189" i="4"/>
  <c r="P64" i="4"/>
  <c r="O61" i="4"/>
  <c r="S189" i="4"/>
  <c r="P283" i="4"/>
  <c r="O133" i="4"/>
  <c r="N130" i="4"/>
  <c r="P165" i="4"/>
  <c r="O161" i="4"/>
  <c r="P405" i="4"/>
  <c r="N1067" i="4"/>
  <c r="P1067" i="4"/>
  <c r="P1070" i="4"/>
  <c r="N906" i="4"/>
  <c r="T16" i="4"/>
  <c r="S13" i="4"/>
  <c r="S10" i="4"/>
  <c r="T10" i="4"/>
  <c r="N61" i="4"/>
  <c r="P361" i="4"/>
  <c r="O357" i="4"/>
  <c r="P357" i="4"/>
  <c r="P452" i="4"/>
  <c r="O449" i="4"/>
  <c r="P449" i="4"/>
  <c r="P798" i="4"/>
  <c r="O386" i="4"/>
  <c r="N382" i="4"/>
  <c r="N380" i="4"/>
  <c r="P404" i="4"/>
  <c r="O399" i="4"/>
  <c r="P399" i="4"/>
  <c r="Y94" i="4"/>
  <c r="N136" i="4"/>
  <c r="P136" i="4"/>
  <c r="P139" i="4"/>
  <c r="N618" i="4"/>
  <c r="P113" i="4"/>
  <c r="N253" i="4"/>
  <c r="N251" i="4"/>
  <c r="O257" i="4"/>
  <c r="P307" i="4"/>
  <c r="O121" i="4"/>
  <c r="N118" i="4"/>
  <c r="P432" i="4"/>
  <c r="O427" i="4"/>
  <c r="P297" i="4"/>
  <c r="O292" i="4"/>
  <c r="O209" i="4"/>
  <c r="P209" i="4"/>
  <c r="N201" i="4"/>
  <c r="O25" i="4"/>
  <c r="N22" i="4"/>
  <c r="N20" i="4"/>
  <c r="O238" i="4"/>
  <c r="N234" i="4"/>
  <c r="N232" i="4"/>
  <c r="P286" i="4"/>
  <c r="Z94" i="4"/>
  <c r="S493" i="4"/>
  <c r="P221" i="4"/>
  <c r="O216" i="4"/>
  <c r="O271" i="4"/>
  <c r="O251" i="4"/>
  <c r="P251" i="4"/>
  <c r="P271" i="4"/>
  <c r="P274" i="4"/>
  <c r="N592" i="4"/>
  <c r="O320" i="4"/>
  <c r="N315" i="4"/>
  <c r="N313" i="4"/>
  <c r="P478" i="4"/>
  <c r="N474" i="4"/>
  <c r="P474" i="4"/>
  <c r="AC906" i="4"/>
  <c r="N1082" i="4"/>
  <c r="N1075" i="4"/>
  <c r="P1084" i="4"/>
  <c r="P1059" i="4"/>
  <c r="O1055" i="4"/>
  <c r="N517" i="4"/>
  <c r="P229" i="4"/>
  <c r="O224" i="4"/>
  <c r="P224" i="4"/>
  <c r="N142" i="4"/>
  <c r="O145" i="4"/>
  <c r="P100" i="4"/>
  <c r="O96" i="4"/>
  <c r="P96" i="4"/>
  <c r="N77" i="4"/>
  <c r="P77" i="4"/>
  <c r="P80" i="4"/>
  <c r="P1082" i="4"/>
  <c r="O569" i="5"/>
  <c r="R356" i="2"/>
  <c r="P575" i="5"/>
  <c r="R270" i="2"/>
  <c r="P449" i="5"/>
  <c r="O675" i="4"/>
  <c r="P675" i="4"/>
  <c r="AE656" i="4"/>
  <c r="P649" i="5"/>
  <c r="R419" i="2"/>
  <c r="AK598" i="5"/>
  <c r="AK599" i="4"/>
  <c r="N1053" i="4"/>
  <c r="P938" i="5"/>
  <c r="R612" i="2"/>
  <c r="O575" i="4"/>
  <c r="Z569" i="4"/>
  <c r="AL622" i="2"/>
  <c r="AH955" i="4"/>
  <c r="P532" i="5"/>
  <c r="R317" i="2"/>
  <c r="Z293" i="2"/>
  <c r="V493" i="5"/>
  <c r="Z292" i="2"/>
  <c r="R374" i="2"/>
  <c r="P600" i="5"/>
  <c r="Q135" i="2"/>
  <c r="N251" i="5"/>
  <c r="Q134" i="2"/>
  <c r="R654" i="2"/>
  <c r="P991" i="5"/>
  <c r="O990" i="5"/>
  <c r="R560" i="2"/>
  <c r="O856" i="5"/>
  <c r="R558" i="2"/>
  <c r="AD657" i="2"/>
  <c r="AG994" i="5"/>
  <c r="AH994" i="5"/>
  <c r="Z994" i="4"/>
  <c r="R445" i="2"/>
  <c r="P690" i="5"/>
  <c r="O689" i="5"/>
  <c r="AC400" i="2"/>
  <c r="AK630" i="5"/>
  <c r="AK630" i="4"/>
  <c r="AJ630" i="5"/>
  <c r="AJ630" i="4"/>
  <c r="Y630" i="4"/>
  <c r="P666" i="4"/>
  <c r="O664" i="4"/>
  <c r="AG299" i="2"/>
  <c r="O508" i="5"/>
  <c r="AC508" i="4"/>
  <c r="AC504" i="5"/>
  <c r="AG297" i="2"/>
  <c r="R97" i="2"/>
  <c r="O189" i="5"/>
  <c r="P191" i="5"/>
  <c r="N232" i="5"/>
  <c r="Q123" i="2"/>
  <c r="Q124" i="2"/>
  <c r="Q703" i="2"/>
  <c r="P1067" i="5"/>
  <c r="R442" i="2"/>
  <c r="E13" i="14"/>
  <c r="P680" i="5"/>
  <c r="R77" i="2"/>
  <c r="P150" i="5"/>
  <c r="R681" i="2"/>
  <c r="W95" i="2"/>
  <c r="T186" i="5"/>
  <c r="X95" i="2"/>
  <c r="S13" i="5"/>
  <c r="W3" i="2"/>
  <c r="Q6" i="2"/>
  <c r="N20" i="5"/>
  <c r="T633" i="2"/>
  <c r="AK633" i="2"/>
  <c r="AG966" i="4"/>
  <c r="N748" i="5"/>
  <c r="Q483" i="2"/>
  <c r="P752" i="5"/>
  <c r="R45" i="2"/>
  <c r="P99" i="5"/>
  <c r="O96" i="5"/>
  <c r="O94" i="5"/>
  <c r="AK612" i="2"/>
  <c r="AG938" i="4"/>
  <c r="T612" i="2"/>
  <c r="V652" i="2"/>
  <c r="R906" i="5"/>
  <c r="V592" i="2"/>
  <c r="R459" i="2"/>
  <c r="P714" i="5"/>
  <c r="AG296" i="2"/>
  <c r="O500" i="5"/>
  <c r="AC500" i="4"/>
  <c r="AC495" i="5"/>
  <c r="AJ600" i="4"/>
  <c r="AJ598" i="5"/>
  <c r="R464" i="2"/>
  <c r="P719" i="5"/>
  <c r="P674" i="5"/>
  <c r="R436" i="2"/>
  <c r="E14" i="14"/>
  <c r="Q539" i="2"/>
  <c r="R405" i="2"/>
  <c r="P635" i="5"/>
  <c r="AJ153" i="17"/>
  <c r="R69" i="2"/>
  <c r="P136" i="5"/>
  <c r="AJ484" i="5"/>
  <c r="AJ488" i="4"/>
  <c r="AJ484" i="4"/>
  <c r="R561" i="2"/>
  <c r="P859" i="5"/>
  <c r="AK664" i="5"/>
  <c r="AK664" i="4"/>
  <c r="AC426" i="2"/>
  <c r="AJ664" i="5"/>
  <c r="AJ664" i="4"/>
  <c r="Y664" i="4"/>
  <c r="R125" i="2"/>
  <c r="P237" i="5"/>
  <c r="O234" i="5"/>
  <c r="AL681" i="2"/>
  <c r="AH1038" i="4"/>
  <c r="P1059" i="5"/>
  <c r="Q697" i="2"/>
  <c r="N1055" i="5"/>
  <c r="O619" i="4"/>
  <c r="P619" i="4"/>
  <c r="Q173" i="2"/>
  <c r="N290" i="5"/>
  <c r="Q165" i="2"/>
  <c r="O949" i="4"/>
  <c r="P950" i="4"/>
  <c r="AL633" i="2"/>
  <c r="AH966" i="4"/>
  <c r="R361" i="2"/>
  <c r="P580" i="5"/>
  <c r="R141" i="2"/>
  <c r="P261" i="5"/>
  <c r="O253" i="5"/>
  <c r="O1005" i="4"/>
  <c r="Q558" i="2"/>
  <c r="N852" i="5"/>
  <c r="Q556" i="2"/>
  <c r="Y716" i="4"/>
  <c r="O717" i="4"/>
  <c r="R145" i="2"/>
  <c r="P265" i="5"/>
  <c r="O931" i="4"/>
  <c r="Z923" i="4"/>
  <c r="R403" i="2"/>
  <c r="P633" i="5"/>
  <c r="R428" i="2"/>
  <c r="E6" i="14"/>
  <c r="P666" i="5"/>
  <c r="R182" i="2"/>
  <c r="P318" i="5"/>
  <c r="O315" i="5"/>
  <c r="R682" i="2"/>
  <c r="P1039" i="5"/>
  <c r="AD594" i="2"/>
  <c r="Q372" i="2"/>
  <c r="N592" i="5"/>
  <c r="R301" i="2"/>
  <c r="P510" i="5"/>
  <c r="Q458" i="2"/>
  <c r="N712" i="5"/>
  <c r="R8" i="2"/>
  <c r="P26" i="5"/>
  <c r="O22" i="5"/>
  <c r="AD616" i="2"/>
  <c r="Z949" i="4"/>
  <c r="R633" i="2"/>
  <c r="P966" i="5"/>
  <c r="R23" i="2"/>
  <c r="O53" i="5"/>
  <c r="P58" i="5"/>
  <c r="N500" i="4"/>
  <c r="N495" i="4"/>
  <c r="V495" i="4"/>
  <c r="Q600" i="2"/>
  <c r="Q293" i="2"/>
  <c r="W368" i="2"/>
  <c r="S512" i="5"/>
  <c r="AH1005" i="4"/>
  <c r="AL663" i="2"/>
  <c r="P173" i="5"/>
  <c r="R89" i="2"/>
  <c r="O159" i="5"/>
  <c r="AK642" i="2"/>
  <c r="AG975" i="4"/>
  <c r="AK716" i="4"/>
  <c r="O994" i="4"/>
  <c r="P994" i="4"/>
  <c r="P995" i="4"/>
  <c r="R440" i="2"/>
  <c r="E11" i="14"/>
  <c r="P678" i="5"/>
  <c r="O635" i="4"/>
  <c r="P635" i="4"/>
  <c r="R224" i="2"/>
  <c r="P377" i="5"/>
  <c r="O374" i="5"/>
  <c r="P374" i="5"/>
  <c r="AK651" i="2"/>
  <c r="AG984" i="4"/>
  <c r="AG979" i="4"/>
  <c r="AG979" i="5"/>
  <c r="T651" i="2"/>
  <c r="R605" i="2"/>
  <c r="P931" i="5"/>
  <c r="O923" i="5"/>
  <c r="N508" i="4"/>
  <c r="N504" i="4"/>
  <c r="V504" i="4"/>
  <c r="N313" i="5"/>
  <c r="Q180" i="2"/>
  <c r="Q181" i="2"/>
  <c r="AL682" i="2"/>
  <c r="AH1039" i="4"/>
  <c r="O921" i="4"/>
  <c r="Z913" i="4"/>
  <c r="Q426" i="2"/>
  <c r="N660" i="5"/>
  <c r="P748" i="4"/>
  <c r="O746" i="4"/>
  <c r="R389" i="2"/>
  <c r="P619" i="5"/>
  <c r="R211" i="2"/>
  <c r="P357" i="5"/>
  <c r="AK617" i="2"/>
  <c r="AG949" i="5"/>
  <c r="AG950" i="4"/>
  <c r="T617" i="2"/>
  <c r="O966" i="4"/>
  <c r="R267" i="2"/>
  <c r="P443" i="5"/>
  <c r="Q20" i="2"/>
  <c r="N51" i="5"/>
  <c r="Q19" i="2"/>
  <c r="AI372" i="2"/>
  <c r="AE592" i="5"/>
  <c r="AI369" i="2"/>
  <c r="AE598" i="4"/>
  <c r="AE592" i="4"/>
  <c r="AL612" i="2"/>
  <c r="AH938" i="4"/>
  <c r="T622" i="2"/>
  <c r="AK622" i="2"/>
  <c r="AG955" i="4"/>
  <c r="Q304" i="2"/>
  <c r="N515" i="5"/>
  <c r="AB564" i="2"/>
  <c r="X862" i="4"/>
  <c r="O990" i="4"/>
  <c r="P991" i="4"/>
  <c r="AC461" i="2"/>
  <c r="AJ716" i="5"/>
  <c r="AK716" i="5"/>
  <c r="R658" i="2"/>
  <c r="P995" i="5"/>
  <c r="O994" i="5"/>
  <c r="Q223" i="2"/>
  <c r="N372" i="5"/>
  <c r="Q222" i="2"/>
  <c r="R24" i="2"/>
  <c r="P59" i="5"/>
  <c r="P984" i="5"/>
  <c r="R651" i="2"/>
  <c r="O979" i="5"/>
  <c r="T605" i="2"/>
  <c r="AK605" i="2"/>
  <c r="AG931" i="4"/>
  <c r="AG923" i="4"/>
  <c r="AG923" i="5"/>
  <c r="T682" i="2"/>
  <c r="AK682" i="2"/>
  <c r="AG1039" i="4"/>
  <c r="R515" i="2"/>
  <c r="P798" i="5"/>
  <c r="T599" i="2"/>
  <c r="AK599" i="2"/>
  <c r="AG921" i="4"/>
  <c r="AG913" i="4"/>
  <c r="AG913" i="5"/>
  <c r="N504" i="5"/>
  <c r="Q297" i="2"/>
  <c r="N214" i="5"/>
  <c r="Q113" i="2"/>
  <c r="R490" i="2"/>
  <c r="P766" i="5"/>
  <c r="R638" i="2"/>
  <c r="E30" i="14"/>
  <c r="P971" i="5"/>
  <c r="R367" i="2"/>
  <c r="P586" i="5"/>
  <c r="AK619" i="4"/>
  <c r="R73" i="2"/>
  <c r="P145" i="5"/>
  <c r="O142" i="5"/>
  <c r="Q89" i="2"/>
  <c r="N159" i="5"/>
  <c r="Q82" i="2"/>
  <c r="N94" i="4"/>
  <c r="Q616" i="2"/>
  <c r="N948" i="5"/>
  <c r="P691" i="5"/>
  <c r="R446" i="2"/>
  <c r="R190" i="2"/>
  <c r="P327" i="5"/>
  <c r="Q657" i="2"/>
  <c r="N986" i="5"/>
  <c r="Q652" i="2"/>
  <c r="P955" i="5"/>
  <c r="R622" i="2"/>
  <c r="R437" i="2"/>
  <c r="P675" i="5"/>
  <c r="Y592" i="5"/>
  <c r="AC369" i="2"/>
  <c r="AC372" i="2"/>
  <c r="Y598" i="4"/>
  <c r="P61" i="5"/>
  <c r="R25" i="2"/>
  <c r="R663" i="2"/>
  <c r="P1005" i="5"/>
  <c r="P866" i="4"/>
  <c r="O862" i="4"/>
  <c r="P862" i="4"/>
  <c r="AG991" i="4"/>
  <c r="T654" i="2"/>
  <c r="AK654" i="2"/>
  <c r="AL642" i="2"/>
  <c r="AH975" i="4"/>
  <c r="R462" i="2"/>
  <c r="O716" i="5"/>
  <c r="P717" i="5"/>
  <c r="AL658" i="2"/>
  <c r="AH995" i="4"/>
  <c r="Y484" i="4"/>
  <c r="O488" i="4"/>
  <c r="O984" i="4"/>
  <c r="Z979" i="4"/>
  <c r="R404" i="2"/>
  <c r="P634" i="5"/>
  <c r="AJ152" i="17"/>
  <c r="O630" i="4"/>
  <c r="P631" i="4"/>
  <c r="R104" i="2"/>
  <c r="P201" i="5"/>
  <c r="O913" i="5"/>
  <c r="R599" i="2"/>
  <c r="P921" i="5"/>
  <c r="Q529" i="2"/>
  <c r="N792" i="5"/>
  <c r="P812" i="5"/>
  <c r="O216" i="5"/>
  <c r="R116" i="2"/>
  <c r="P221" i="5"/>
  <c r="Q211" i="2"/>
  <c r="N340" i="5"/>
  <c r="Q199" i="2"/>
  <c r="AH1035" i="5"/>
  <c r="AL678" i="2"/>
  <c r="AL638" i="2"/>
  <c r="AH971" i="4"/>
  <c r="R411" i="2"/>
  <c r="P641" i="5"/>
  <c r="O664" i="5"/>
  <c r="AJ619" i="4"/>
  <c r="R617" i="2"/>
  <c r="P950" i="5"/>
  <c r="P949" i="5"/>
  <c r="O949" i="5"/>
  <c r="R46" i="2"/>
  <c r="P100" i="5"/>
  <c r="R373" i="2"/>
  <c r="P599" i="5"/>
  <c r="O598" i="5"/>
  <c r="O532" i="4"/>
  <c r="Q239" i="2"/>
  <c r="N380" i="5"/>
  <c r="Q225" i="2"/>
  <c r="O598" i="4"/>
  <c r="P600" i="4"/>
  <c r="R129" i="2"/>
  <c r="P179" i="5"/>
  <c r="R92" i="2"/>
  <c r="R709" i="2"/>
  <c r="P1079" i="5"/>
  <c r="P1075" i="5"/>
  <c r="O1075" i="5"/>
  <c r="R707" i="2"/>
  <c r="T663" i="2"/>
  <c r="AK663" i="2"/>
  <c r="AG1005" i="4"/>
  <c r="P866" i="5"/>
  <c r="O862" i="5"/>
  <c r="R568" i="2"/>
  <c r="R14" i="2"/>
  <c r="P41" i="5"/>
  <c r="O38" i="5"/>
  <c r="N702" i="4"/>
  <c r="AD653" i="2"/>
  <c r="Z986" i="5"/>
  <c r="AD652" i="2"/>
  <c r="AG990" i="5"/>
  <c r="AH990" i="5"/>
  <c r="Z990" i="4"/>
  <c r="Z986" i="4"/>
  <c r="R642" i="2"/>
  <c r="E32" i="14"/>
  <c r="P975" i="5"/>
  <c r="AK658" i="2"/>
  <c r="T658" i="2"/>
  <c r="AG995" i="4"/>
  <c r="O689" i="4"/>
  <c r="P690" i="4"/>
  <c r="R660" i="4"/>
  <c r="R656" i="4"/>
  <c r="V422" i="2"/>
  <c r="R656" i="5"/>
  <c r="V421" i="2"/>
  <c r="R288" i="2"/>
  <c r="P488" i="5"/>
  <c r="O484" i="5"/>
  <c r="R68" i="2"/>
  <c r="P134" i="5"/>
  <c r="O130" i="5"/>
  <c r="AL651" i="2"/>
  <c r="AH984" i="4"/>
  <c r="AH979" i="4"/>
  <c r="AH979" i="5"/>
  <c r="AL646" i="2"/>
  <c r="AL605" i="2"/>
  <c r="AH931" i="4"/>
  <c r="AH923" i="4"/>
  <c r="AH923" i="5"/>
  <c r="AL600" i="2"/>
  <c r="AE630" i="4"/>
  <c r="AE618" i="4"/>
  <c r="AE614" i="4"/>
  <c r="AI400" i="2"/>
  <c r="AE618" i="5"/>
  <c r="P427" i="5"/>
  <c r="N425" i="5"/>
  <c r="Q256" i="2"/>
  <c r="Q257" i="2"/>
  <c r="AL599" i="2"/>
  <c r="AH913" i="5"/>
  <c r="AH921" i="4"/>
  <c r="AH913" i="4"/>
  <c r="Q400" i="2"/>
  <c r="N618" i="5"/>
  <c r="R365" i="2"/>
  <c r="P584" i="5"/>
  <c r="AK681" i="2"/>
  <c r="AG1038" i="4"/>
  <c r="AG971" i="4"/>
  <c r="AK638" i="2"/>
  <c r="S614" i="2"/>
  <c r="AJ614" i="2"/>
  <c r="AF906" i="5"/>
  <c r="AL617" i="2"/>
  <c r="AH949" i="5"/>
  <c r="AH950" i="4"/>
  <c r="Q487" i="2"/>
  <c r="P758" i="5"/>
  <c r="R376" i="2"/>
  <c r="P602" i="5"/>
  <c r="R262" i="2"/>
  <c r="P435" i="5"/>
  <c r="O425" i="5"/>
  <c r="R186" i="2"/>
  <c r="P322" i="5"/>
  <c r="R49" i="2"/>
  <c r="P103" i="5"/>
  <c r="P714" i="4"/>
  <c r="R30" i="2"/>
  <c r="P69" i="5"/>
  <c r="R362" i="2"/>
  <c r="P581" i="5"/>
  <c r="Q13" i="2"/>
  <c r="N36" i="5"/>
  <c r="Q12" i="2"/>
  <c r="AH991" i="4"/>
  <c r="AL654" i="2"/>
  <c r="AK689" i="5"/>
  <c r="AJ689" i="5"/>
  <c r="Y689" i="4"/>
  <c r="Y685" i="4"/>
  <c r="AC444" i="2"/>
  <c r="Y685" i="5"/>
  <c r="AC443" i="2"/>
  <c r="R283" i="2"/>
  <c r="P474" i="5"/>
  <c r="R239" i="2"/>
  <c r="P399" i="5"/>
  <c r="O380" i="5"/>
  <c r="R225" i="2"/>
  <c r="AM288" i="2"/>
  <c r="T288" i="2"/>
  <c r="AI484" i="5"/>
  <c r="AI488" i="4"/>
  <c r="AI484" i="4"/>
  <c r="O630" i="5"/>
  <c r="P631" i="5"/>
  <c r="R401" i="2"/>
  <c r="R200" i="2"/>
  <c r="P342" i="5"/>
  <c r="O340" i="5"/>
  <c r="R475" i="2"/>
  <c r="P736" i="5"/>
  <c r="R466" i="2"/>
  <c r="P721" i="5"/>
  <c r="N94" i="5"/>
  <c r="Q43" i="2"/>
  <c r="Q44" i="2"/>
  <c r="N790" i="4"/>
  <c r="U8" i="1"/>
  <c r="O69" i="4"/>
  <c r="P69" i="4"/>
  <c r="P72" i="4"/>
  <c r="O201" i="4"/>
  <c r="P201" i="4"/>
  <c r="O342" i="4"/>
  <c r="P216" i="4"/>
  <c r="O214" i="4"/>
  <c r="O22" i="4"/>
  <c r="P25" i="4"/>
  <c r="P121" i="4"/>
  <c r="O118" i="4"/>
  <c r="P118" i="4"/>
  <c r="P386" i="4"/>
  <c r="O382" i="4"/>
  <c r="P61" i="4"/>
  <c r="N515" i="4"/>
  <c r="N614" i="4"/>
  <c r="N590" i="4"/>
  <c r="O1053" i="4"/>
  <c r="P1053" i="4"/>
  <c r="P1055" i="4"/>
  <c r="P320" i="4"/>
  <c r="O315" i="4"/>
  <c r="O159" i="4"/>
  <c r="P159" i="4"/>
  <c r="P161" i="4"/>
  <c r="P42" i="4"/>
  <c r="O38" i="4"/>
  <c r="O53" i="4"/>
  <c r="P56" i="4"/>
  <c r="P292" i="4"/>
  <c r="P196" i="4"/>
  <c r="O191" i="4"/>
  <c r="N212" i="4"/>
  <c r="N51" i="4"/>
  <c r="N16" i="4"/>
  <c r="P758" i="4"/>
  <c r="N746" i="4"/>
  <c r="P746" i="4"/>
  <c r="P257" i="4"/>
  <c r="O253" i="4"/>
  <c r="P145" i="4"/>
  <c r="O142" i="4"/>
  <c r="P142" i="4"/>
  <c r="P238" i="4"/>
  <c r="O234" i="4"/>
  <c r="O425" i="4"/>
  <c r="P425" i="4"/>
  <c r="P427" i="4"/>
  <c r="P133" i="4"/>
  <c r="O130" i="4"/>
  <c r="P130" i="4"/>
  <c r="N425" i="4"/>
  <c r="AK685" i="5"/>
  <c r="AK689" i="4"/>
  <c r="AK685" i="4"/>
  <c r="P630" i="5"/>
  <c r="AJ151" i="17"/>
  <c r="R400" i="2"/>
  <c r="R256" i="2"/>
  <c r="P425" i="5"/>
  <c r="AL616" i="2"/>
  <c r="AH949" i="4"/>
  <c r="Q388" i="2"/>
  <c r="N614" i="5"/>
  <c r="Q387" i="2"/>
  <c r="O214" i="5"/>
  <c r="R113" i="2"/>
  <c r="P216" i="5"/>
  <c r="P532" i="4"/>
  <c r="N212" i="5"/>
  <c r="Q112" i="2"/>
  <c r="R646" i="2"/>
  <c r="E33" i="14"/>
  <c r="P979" i="5"/>
  <c r="P921" i="4"/>
  <c r="O913" i="4"/>
  <c r="P913" i="4"/>
  <c r="R600" i="2"/>
  <c r="P923" i="5"/>
  <c r="AK101" i="18"/>
  <c r="S10" i="5"/>
  <c r="W302" i="2"/>
  <c r="R181" i="2"/>
  <c r="O313" i="5"/>
  <c r="P315" i="5"/>
  <c r="P931" i="4"/>
  <c r="O923" i="4"/>
  <c r="P923" i="4"/>
  <c r="P1005" i="4"/>
  <c r="R296" i="2"/>
  <c r="P500" i="5"/>
  <c r="O495" i="5"/>
  <c r="Q5" i="2"/>
  <c r="N16" i="5"/>
  <c r="AJ685" i="5"/>
  <c r="AJ689" i="4"/>
  <c r="AJ685" i="4"/>
  <c r="R372" i="2"/>
  <c r="P598" i="5"/>
  <c r="Q511" i="2"/>
  <c r="P630" i="4"/>
  <c r="P53" i="5"/>
  <c r="R20" i="2"/>
  <c r="O51" i="5"/>
  <c r="P22" i="5"/>
  <c r="O20" i="5"/>
  <c r="R6" i="2"/>
  <c r="H27" i="6"/>
  <c r="I27" i="6"/>
  <c r="R135" i="2"/>
  <c r="O251" i="5"/>
  <c r="R134" i="2"/>
  <c r="P253" i="5"/>
  <c r="O508" i="4"/>
  <c r="AC504" i="4"/>
  <c r="AM287" i="2"/>
  <c r="T287" i="2"/>
  <c r="AJ592" i="2"/>
  <c r="S592" i="2"/>
  <c r="R199" i="2"/>
  <c r="P340" i="5"/>
  <c r="AL594" i="2"/>
  <c r="P130" i="5"/>
  <c r="R66" i="2"/>
  <c r="H79" i="6"/>
  <c r="AE55" i="6"/>
  <c r="AF55" i="6"/>
  <c r="R13" i="2"/>
  <c r="P38" i="5"/>
  <c r="O36" i="5"/>
  <c r="H53" i="6"/>
  <c r="AE29" i="6"/>
  <c r="AF29" i="6"/>
  <c r="AK594" i="2"/>
  <c r="T594" i="2"/>
  <c r="AK616" i="2"/>
  <c r="T616" i="2"/>
  <c r="AG949" i="4"/>
  <c r="R82" i="2"/>
  <c r="P159" i="5"/>
  <c r="N493" i="5"/>
  <c r="Q369" i="2"/>
  <c r="P949" i="4"/>
  <c r="O504" i="5"/>
  <c r="R299" i="2"/>
  <c r="P508" i="5"/>
  <c r="O685" i="5"/>
  <c r="P689" i="5"/>
  <c r="R444" i="2"/>
  <c r="P380" i="5"/>
  <c r="O685" i="4"/>
  <c r="P685" i="4"/>
  <c r="P689" i="4"/>
  <c r="P598" i="4"/>
  <c r="AE614" i="5"/>
  <c r="AI387" i="2"/>
  <c r="AI388" i="2"/>
  <c r="N186" i="4"/>
  <c r="R426" i="2"/>
  <c r="P664" i="5"/>
  <c r="Q303" i="2"/>
  <c r="O716" i="4"/>
  <c r="P716" i="4"/>
  <c r="P717" i="4"/>
  <c r="AK598" i="4"/>
  <c r="R461" i="2"/>
  <c r="P716" i="5"/>
  <c r="T600" i="2"/>
  <c r="AK600" i="2"/>
  <c r="T646" i="2"/>
  <c r="AK646" i="2"/>
  <c r="Q457" i="2"/>
  <c r="N702" i="5"/>
  <c r="Q450" i="2"/>
  <c r="R124" i="2"/>
  <c r="P234" i="5"/>
  <c r="AJ598" i="4"/>
  <c r="R44" i="2"/>
  <c r="Q481" i="2"/>
  <c r="N746" i="5"/>
  <c r="P748" i="5"/>
  <c r="P664" i="4"/>
  <c r="R653" i="2"/>
  <c r="P990" i="5"/>
  <c r="O986" i="5"/>
  <c r="R352" i="2"/>
  <c r="P569" i="5"/>
  <c r="R287" i="2"/>
  <c r="P484" i="5"/>
  <c r="AL653" i="2"/>
  <c r="AH986" i="5"/>
  <c r="AL652" i="2"/>
  <c r="AH990" i="4"/>
  <c r="AH986" i="4"/>
  <c r="R594" i="2"/>
  <c r="P913" i="5"/>
  <c r="AK95" i="18"/>
  <c r="N656" i="5"/>
  <c r="Q421" i="2"/>
  <c r="Q422" i="2"/>
  <c r="N821" i="5"/>
  <c r="Q535" i="2"/>
  <c r="T653" i="2"/>
  <c r="AK653" i="2"/>
  <c r="AG986" i="5"/>
  <c r="AG990" i="4"/>
  <c r="R564" i="2"/>
  <c r="P862" i="5"/>
  <c r="R616" i="2"/>
  <c r="P984" i="4"/>
  <c r="O979" i="4"/>
  <c r="P979" i="4"/>
  <c r="R72" i="2"/>
  <c r="P142" i="5"/>
  <c r="O986" i="4"/>
  <c r="P986" i="4"/>
  <c r="P990" i="4"/>
  <c r="V493" i="4"/>
  <c r="AG293" i="2"/>
  <c r="AC493" i="5"/>
  <c r="AG292" i="2"/>
  <c r="R96" i="2"/>
  <c r="P189" i="5"/>
  <c r="AL657" i="2"/>
  <c r="AH994" i="4"/>
  <c r="P575" i="4"/>
  <c r="AK159" i="18"/>
  <c r="P488" i="4"/>
  <c r="O484" i="4"/>
  <c r="Q615" i="2"/>
  <c r="N944" i="5"/>
  <c r="R657" i="2"/>
  <c r="P994" i="5"/>
  <c r="P966" i="4"/>
  <c r="N493" i="4"/>
  <c r="N482" i="4"/>
  <c r="N13" i="4"/>
  <c r="Q695" i="2"/>
  <c r="P1055" i="5"/>
  <c r="N1053" i="5"/>
  <c r="O500" i="4"/>
  <c r="AC495" i="4"/>
  <c r="AC493" i="4"/>
  <c r="AK657" i="2"/>
  <c r="T657" i="2"/>
  <c r="AG994" i="4"/>
  <c r="AG986" i="4"/>
  <c r="N512" i="4"/>
  <c r="P191" i="4"/>
  <c r="O189" i="4"/>
  <c r="P38" i="4"/>
  <c r="O36" i="4"/>
  <c r="P36" i="4"/>
  <c r="P253" i="4"/>
  <c r="P382" i="4"/>
  <c r="O380" i="4"/>
  <c r="P380" i="4"/>
  <c r="O340" i="4"/>
  <c r="P340" i="4"/>
  <c r="P342" i="4"/>
  <c r="O313" i="4"/>
  <c r="P313" i="4"/>
  <c r="P315" i="4"/>
  <c r="P22" i="4"/>
  <c r="O20" i="4"/>
  <c r="P234" i="4"/>
  <c r="P53" i="4"/>
  <c r="O51" i="4"/>
  <c r="P51" i="4"/>
  <c r="P214" i="4"/>
  <c r="P500" i="4"/>
  <c r="O495" i="4"/>
  <c r="P495" i="4"/>
  <c r="Q614" i="2"/>
  <c r="N906" i="5"/>
  <c r="Q592" i="2"/>
  <c r="R443" i="2"/>
  <c r="P685" i="5"/>
  <c r="AJ178" i="17"/>
  <c r="Q292" i="2"/>
  <c r="N482" i="5"/>
  <c r="Q286" i="2"/>
  <c r="N790" i="5"/>
  <c r="P20" i="5"/>
  <c r="R5" i="2"/>
  <c r="R112" i="2"/>
  <c r="P214" i="5"/>
  <c r="R652" i="2"/>
  <c r="P986" i="5"/>
  <c r="AK131" i="18"/>
  <c r="N590" i="5"/>
  <c r="P508" i="4"/>
  <c r="O504" i="4"/>
  <c r="Q4" i="2"/>
  <c r="Q694" i="2"/>
  <c r="P1053" i="5"/>
  <c r="T652" i="2"/>
  <c r="AK652" i="2"/>
  <c r="R297" i="2"/>
  <c r="P504" i="5"/>
  <c r="R12" i="2"/>
  <c r="P36" i="5"/>
  <c r="R19" i="2"/>
  <c r="P51" i="5"/>
  <c r="Q111" i="2"/>
  <c r="N186" i="5"/>
  <c r="Q95" i="2"/>
  <c r="Q480" i="2"/>
  <c r="P746" i="5"/>
  <c r="R293" i="2"/>
  <c r="P495" i="5"/>
  <c r="O493" i="5"/>
  <c r="P313" i="5"/>
  <c r="R180" i="2"/>
  <c r="P484" i="4"/>
  <c r="W2" i="2"/>
  <c r="T10" i="5"/>
  <c r="X2" i="2"/>
  <c r="P189" i="4"/>
  <c r="P20" i="4"/>
  <c r="N10" i="4"/>
  <c r="N13" i="5"/>
  <c r="O493" i="4"/>
  <c r="P504" i="4"/>
  <c r="Q368" i="2"/>
  <c r="N512" i="5"/>
  <c r="Q302" i="2"/>
  <c r="R292" i="2"/>
  <c r="P493" i="5"/>
  <c r="O482" i="5"/>
  <c r="U2" i="1"/>
  <c r="Q510" i="2"/>
  <c r="P493" i="4"/>
  <c r="O482" i="4"/>
  <c r="Q3" i="2"/>
  <c r="N10" i="5"/>
  <c r="R286" i="2"/>
  <c r="P482" i="5"/>
  <c r="AJ97" i="17"/>
  <c r="P482" i="4"/>
  <c r="Q2" i="2"/>
  <c r="U5" i="1"/>
  <c r="AI618" i="5"/>
  <c r="AI621" i="4"/>
  <c r="AI618" i="4"/>
  <c r="AI614" i="4"/>
  <c r="T388" i="2"/>
  <c r="AH614" i="5"/>
  <c r="AL388" i="2"/>
  <c r="AK387" i="2"/>
  <c r="V618" i="4"/>
  <c r="V614" i="4"/>
  <c r="V618" i="5"/>
  <c r="Z388" i="2"/>
  <c r="Y637" i="4"/>
  <c r="O637" i="4"/>
  <c r="P637" i="4"/>
  <c r="P628" i="5"/>
  <c r="AK628" i="5"/>
  <c r="AK628" i="4"/>
  <c r="Y628" i="4"/>
  <c r="O628" i="4"/>
  <c r="P628" i="4"/>
  <c r="AK637" i="5"/>
  <c r="AK637" i="4"/>
  <c r="O637" i="5"/>
  <c r="AJ637" i="5"/>
  <c r="AJ637" i="4"/>
  <c r="U618" i="4"/>
  <c r="U614" i="4"/>
  <c r="P624" i="5"/>
  <c r="R394" i="2"/>
  <c r="AK624" i="5"/>
  <c r="AK624" i="4"/>
  <c r="AJ624" i="5"/>
  <c r="AJ624" i="4"/>
  <c r="Y624" i="4"/>
  <c r="O624" i="4"/>
  <c r="O621" i="4"/>
  <c r="P624" i="4"/>
  <c r="X618" i="5"/>
  <c r="X614" i="5"/>
  <c r="AB387" i="2"/>
  <c r="Y627" i="4"/>
  <c r="O627" i="4"/>
  <c r="AB391" i="2"/>
  <c r="AK627" i="5"/>
  <c r="AK627" i="4"/>
  <c r="Y621" i="5"/>
  <c r="AC391" i="2"/>
  <c r="O627" i="5"/>
  <c r="AJ627" i="5"/>
  <c r="AJ627" i="4"/>
  <c r="P636" i="4"/>
  <c r="AK636" i="5"/>
  <c r="AI614" i="5"/>
  <c r="AM387" i="2"/>
  <c r="AM388" i="2"/>
  <c r="AL387" i="2"/>
  <c r="V614" i="5"/>
  <c r="Z387" i="2"/>
  <c r="R397" i="2"/>
  <c r="P627" i="5"/>
  <c r="P621" i="5"/>
  <c r="O621" i="5"/>
  <c r="R391" i="2"/>
  <c r="P627" i="4"/>
  <c r="Y621" i="4"/>
  <c r="AK636" i="4"/>
  <c r="T387" i="2"/>
  <c r="AJ149" i="17"/>
  <c r="AG1035" i="4"/>
  <c r="AK678" i="2"/>
  <c r="Z1035" i="4"/>
  <c r="AD678" i="2"/>
  <c r="AH1035" i="4"/>
  <c r="AG968" i="5"/>
  <c r="AK635" i="2"/>
  <c r="U948" i="5"/>
  <c r="U944" i="5"/>
  <c r="V660" i="4"/>
  <c r="V656" i="4"/>
  <c r="AK669" i="5"/>
  <c r="AK669" i="4"/>
  <c r="AC431" i="2"/>
  <c r="Y1030" i="5"/>
  <c r="Y1043" i="4"/>
  <c r="Y1030" i="4"/>
  <c r="V1043" i="4"/>
  <c r="V1030" i="4"/>
  <c r="AD687" i="2"/>
  <c r="Z1044" i="4"/>
  <c r="O1044" i="4"/>
  <c r="U1043" i="4"/>
  <c r="U1030" i="4"/>
  <c r="Z1043" i="5"/>
  <c r="AG1043" i="5"/>
  <c r="Y686" i="2"/>
  <c r="AG1044" i="5"/>
  <c r="T687" i="2"/>
  <c r="O1044" i="5"/>
  <c r="P1044" i="5"/>
  <c r="O1035" i="4"/>
  <c r="P1038" i="4"/>
  <c r="AK147" i="18"/>
  <c r="R678" i="2"/>
  <c r="P1035" i="5"/>
  <c r="P1038" i="5"/>
  <c r="V1030" i="5"/>
  <c r="Z676" i="2"/>
  <c r="Z678" i="2"/>
  <c r="T678" i="2"/>
  <c r="P1037" i="5"/>
  <c r="AG1026" i="4"/>
  <c r="AK143" i="18"/>
  <c r="L719" i="6"/>
  <c r="X948" i="5"/>
  <c r="P882" i="4"/>
  <c r="Z576" i="2"/>
  <c r="V877" i="5"/>
  <c r="X878" i="5"/>
  <c r="V878" i="4"/>
  <c r="V712" i="4"/>
  <c r="V702" i="4"/>
  <c r="V702" i="5"/>
  <c r="Z450" i="2"/>
  <c r="O715" i="5"/>
  <c r="R460" i="2"/>
  <c r="AK715" i="5"/>
  <c r="AK715" i="4"/>
  <c r="X712" i="5"/>
  <c r="AK713" i="5"/>
  <c r="AK713" i="4"/>
  <c r="Y712" i="5"/>
  <c r="Y702" i="5"/>
  <c r="AC450" i="2"/>
  <c r="U713" i="4"/>
  <c r="U712" i="5"/>
  <c r="U702" i="5"/>
  <c r="Y450" i="2"/>
  <c r="V713" i="4"/>
  <c r="P710" i="4"/>
  <c r="O710" i="5"/>
  <c r="AK710" i="5"/>
  <c r="AJ710" i="5"/>
  <c r="AJ710" i="4"/>
  <c r="AE636" i="6"/>
  <c r="AF636" i="6"/>
  <c r="P707" i="4"/>
  <c r="P677" i="5"/>
  <c r="AK671" i="5"/>
  <c r="AK671" i="4"/>
  <c r="AC433" i="2"/>
  <c r="O671" i="5"/>
  <c r="R433" i="2"/>
  <c r="E8" i="14"/>
  <c r="U660" i="5"/>
  <c r="U660" i="4"/>
  <c r="U656" i="4"/>
  <c r="W667" i="4"/>
  <c r="U667" i="4"/>
  <c r="V667" i="4"/>
  <c r="V656" i="5"/>
  <c r="Z421" i="2"/>
  <c r="AK667" i="5"/>
  <c r="AK667" i="4"/>
  <c r="Y615" i="2"/>
  <c r="AC676" i="2"/>
  <c r="Z1043" i="4"/>
  <c r="Z1030" i="4"/>
  <c r="O1043" i="5"/>
  <c r="P1043" i="5"/>
  <c r="Z1030" i="5"/>
  <c r="R687" i="2"/>
  <c r="P1035" i="4"/>
  <c r="X948" i="4"/>
  <c r="X944" i="4"/>
  <c r="AB615" i="2"/>
  <c r="X944" i="5"/>
  <c r="AB576" i="2"/>
  <c r="X877" i="5"/>
  <c r="O878" i="5"/>
  <c r="X878" i="4"/>
  <c r="O878" i="4"/>
  <c r="V877" i="4"/>
  <c r="V871" i="4"/>
  <c r="V871" i="5"/>
  <c r="Z575" i="2"/>
  <c r="AB457" i="2"/>
  <c r="X702" i="5"/>
  <c r="AB450" i="2"/>
  <c r="X712" i="4"/>
  <c r="X702" i="4"/>
  <c r="AK712" i="5"/>
  <c r="AK712" i="4"/>
  <c r="AK710" i="4"/>
  <c r="R455" i="2"/>
  <c r="P710" i="5"/>
  <c r="P671" i="5"/>
  <c r="AD676" i="2"/>
  <c r="AB614" i="2"/>
  <c r="X906" i="5"/>
  <c r="AB592" i="2"/>
  <c r="AB575" i="2"/>
  <c r="X877" i="4"/>
  <c r="X871" i="4"/>
  <c r="X871" i="5"/>
  <c r="AB571" i="2"/>
  <c r="Z571" i="2"/>
  <c r="O877" i="4"/>
  <c r="P878" i="4"/>
  <c r="R576" i="2"/>
  <c r="O877" i="5"/>
  <c r="P878" i="5"/>
  <c r="P877" i="4"/>
  <c r="P877" i="5"/>
  <c r="O871" i="5"/>
  <c r="R571" i="2"/>
  <c r="R575" i="2"/>
  <c r="P871" i="5"/>
  <c r="H101" i="15"/>
  <c r="G101" i="15"/>
  <c r="G52" i="15"/>
  <c r="H52" i="15"/>
  <c r="Z615" i="2"/>
  <c r="V944" i="5"/>
  <c r="Z614" i="2"/>
  <c r="V948" i="4"/>
  <c r="Z630" i="2"/>
  <c r="AG965" i="4"/>
  <c r="Z543" i="2"/>
  <c r="V829" i="5"/>
  <c r="X835" i="5"/>
  <c r="V835" i="4"/>
  <c r="V829" i="4"/>
  <c r="V821" i="4"/>
  <c r="O372" i="5"/>
  <c r="R223" i="2"/>
  <c r="O417" i="5"/>
  <c r="P802" i="4"/>
  <c r="Y713" i="4"/>
  <c r="AC457" i="2"/>
  <c r="Y660" i="5"/>
  <c r="AJ660" i="5"/>
  <c r="AJ660" i="4"/>
  <c r="AJ656" i="4"/>
  <c r="X835" i="4"/>
  <c r="X829" i="5"/>
  <c r="AB543" i="2"/>
  <c r="O835" i="5"/>
  <c r="Z539" i="2"/>
  <c r="V821" i="5"/>
  <c r="Z535" i="2"/>
  <c r="R222" i="2"/>
  <c r="P372" i="5"/>
  <c r="R252" i="2"/>
  <c r="E131" i="6"/>
  <c r="F131" i="6"/>
  <c r="P417" i="5"/>
  <c r="O829" i="5"/>
  <c r="R543" i="2"/>
  <c r="P835" i="5"/>
  <c r="AB539" i="2"/>
  <c r="O835" i="4"/>
  <c r="X829" i="4"/>
  <c r="P835" i="4"/>
  <c r="O829" i="4"/>
  <c r="R539" i="2"/>
  <c r="AK58" i="18"/>
  <c r="P829" i="5"/>
  <c r="P829" i="4"/>
  <c r="P1080" i="4"/>
  <c r="P1075" i="4"/>
  <c r="O1075" i="4"/>
  <c r="O766" i="4"/>
  <c r="P766" i="4"/>
  <c r="T852" i="5"/>
  <c r="X556" i="2"/>
  <c r="P856" i="5"/>
  <c r="T856" i="4"/>
  <c r="T852" i="4"/>
  <c r="T821" i="4"/>
  <c r="AE550" i="6"/>
  <c r="AF550" i="6"/>
  <c r="T796" i="4"/>
  <c r="T792" i="4"/>
  <c r="X513" i="2"/>
  <c r="AC520" i="2"/>
  <c r="P803" i="5"/>
  <c r="R520" i="2"/>
  <c r="Z792" i="5"/>
  <c r="AD511" i="2"/>
  <c r="R513" i="2"/>
  <c r="P796" i="5"/>
  <c r="AE517" i="6"/>
  <c r="AF517" i="6"/>
  <c r="O792" i="5"/>
  <c r="P792" i="5"/>
  <c r="Y796" i="4"/>
  <c r="Y792" i="4"/>
  <c r="Y792" i="5"/>
  <c r="AC511" i="2"/>
  <c r="AC513" i="2"/>
  <c r="Z796" i="4"/>
  <c r="Z792" i="4"/>
  <c r="O796" i="4"/>
  <c r="P804" i="4"/>
  <c r="P246" i="4"/>
  <c r="O242" i="4"/>
  <c r="P242" i="4"/>
  <c r="O232" i="5"/>
  <c r="O212" i="5"/>
  <c r="P108" i="4"/>
  <c r="O94" i="4"/>
  <c r="Z564" i="4"/>
  <c r="O564" i="4"/>
  <c r="P564" i="4"/>
  <c r="O564" i="5"/>
  <c r="O517" i="5"/>
  <c r="R304" i="2"/>
  <c r="Y571" i="2"/>
  <c r="O871" i="4"/>
  <c r="P871" i="4"/>
  <c r="P884" i="4"/>
  <c r="P884" i="5"/>
  <c r="P565" i="5"/>
  <c r="Z517" i="5"/>
  <c r="AD304" i="2"/>
  <c r="AD333" i="2"/>
  <c r="O548" i="5"/>
  <c r="Z548" i="4"/>
  <c r="O548" i="4"/>
  <c r="P548" i="4"/>
  <c r="AE504" i="6"/>
  <c r="AF504" i="6"/>
  <c r="R307" i="2"/>
  <c r="P522" i="5"/>
  <c r="Z522" i="4"/>
  <c r="Z643" i="2"/>
  <c r="Z977" i="4"/>
  <c r="O977" i="4"/>
  <c r="Z976" i="5"/>
  <c r="AH977" i="5"/>
  <c r="O977" i="5"/>
  <c r="AG977" i="5"/>
  <c r="P1022" i="4"/>
  <c r="AK670" i="2"/>
  <c r="T670" i="2"/>
  <c r="P89" i="5"/>
  <c r="P86" i="5"/>
  <c r="R43" i="2"/>
  <c r="P94" i="5"/>
  <c r="O16" i="5"/>
  <c r="P96" i="5"/>
  <c r="O16" i="4"/>
  <c r="P94" i="4"/>
  <c r="T821" i="5"/>
  <c r="X535" i="2"/>
  <c r="AK32" i="18"/>
  <c r="R511" i="2"/>
  <c r="O792" i="4"/>
  <c r="P796" i="4"/>
  <c r="R123" i="2"/>
  <c r="O232" i="4"/>
  <c r="P232" i="4"/>
  <c r="R349" i="2"/>
  <c r="P564" i="5"/>
  <c r="R333" i="2"/>
  <c r="P548" i="5"/>
  <c r="O522" i="4"/>
  <c r="Z517" i="4"/>
  <c r="O515" i="5"/>
  <c r="P517" i="5"/>
  <c r="T644" i="2"/>
  <c r="AK644" i="2"/>
  <c r="AG977" i="4"/>
  <c r="O976" i="5"/>
  <c r="R644" i="2"/>
  <c r="P977" i="5"/>
  <c r="AL644" i="2"/>
  <c r="AH977" i="4"/>
  <c r="AG976" i="5"/>
  <c r="AH976" i="5"/>
  <c r="Z976" i="4"/>
  <c r="AD643" i="2"/>
  <c r="P977" i="4"/>
  <c r="O976" i="4"/>
  <c r="AJ33" i="17"/>
  <c r="R4" i="2"/>
  <c r="P16" i="5"/>
  <c r="P16" i="4"/>
  <c r="A792" i="4"/>
  <c r="P792" i="4"/>
  <c r="R303" i="2"/>
  <c r="P515" i="5"/>
  <c r="AJ111" i="17"/>
  <c r="O517" i="4"/>
  <c r="P522" i="4"/>
  <c r="AL643" i="2"/>
  <c r="AH976" i="4"/>
  <c r="P976" i="5"/>
  <c r="R643" i="2"/>
  <c r="T643" i="2"/>
  <c r="AG976" i="4"/>
  <c r="AK643" i="2"/>
  <c r="P976" i="4"/>
  <c r="O515" i="4"/>
  <c r="P517" i="4"/>
  <c r="A515" i="4"/>
  <c r="P515" i="4"/>
  <c r="Y457" i="2"/>
  <c r="O212" i="4"/>
  <c r="P212" i="4"/>
  <c r="P715" i="4"/>
  <c r="O713" i="4"/>
  <c r="U712" i="4"/>
  <c r="U702" i="4"/>
  <c r="Y712" i="4"/>
  <c r="Y702" i="4"/>
  <c r="AK702" i="5"/>
  <c r="AJ712" i="5"/>
  <c r="O713" i="5"/>
  <c r="P715" i="5"/>
  <c r="P251" i="5"/>
  <c r="R111" i="2"/>
  <c r="P212" i="5"/>
  <c r="P232" i="5"/>
  <c r="O618" i="5"/>
  <c r="P618" i="5"/>
  <c r="R388" i="2"/>
  <c r="R407" i="2"/>
  <c r="AB388" i="2"/>
  <c r="AJ155" i="17"/>
  <c r="Y618" i="4"/>
  <c r="Y614" i="4"/>
  <c r="P637" i="5"/>
  <c r="X618" i="4"/>
  <c r="X614" i="4"/>
  <c r="P621" i="4"/>
  <c r="O618" i="4"/>
  <c r="Y618" i="5"/>
  <c r="AJ621" i="5"/>
  <c r="AK621" i="5"/>
  <c r="AJ712" i="4"/>
  <c r="R458" i="2"/>
  <c r="O712" i="5"/>
  <c r="P713" i="5"/>
  <c r="P713" i="4"/>
  <c r="O712" i="4"/>
  <c r="O614" i="5"/>
  <c r="AJ148" i="17"/>
  <c r="R387" i="2"/>
  <c r="AJ621" i="4"/>
  <c r="AJ618" i="4"/>
  <c r="AJ614" i="4"/>
  <c r="AJ618" i="5"/>
  <c r="AJ614" i="5"/>
  <c r="Y614" i="5"/>
  <c r="AC387" i="2"/>
  <c r="AC388" i="2"/>
  <c r="AK621" i="4"/>
  <c r="AK618" i="4"/>
  <c r="AK614" i="4"/>
  <c r="AK618" i="5"/>
  <c r="AK614" i="5"/>
  <c r="P618" i="4"/>
  <c r="O614" i="4"/>
  <c r="O702" i="4"/>
  <c r="P702" i="4"/>
  <c r="P712" i="4"/>
  <c r="P712" i="5"/>
  <c r="R457" i="2"/>
  <c r="AJ147" i="17"/>
  <c r="P614" i="5"/>
  <c r="A614" i="4"/>
  <c r="P614" i="4"/>
  <c r="D422" i="6"/>
  <c r="AK604" i="5"/>
  <c r="AK592" i="5"/>
  <c r="R378" i="2"/>
  <c r="P604" i="5"/>
  <c r="O592" i="5"/>
  <c r="AJ604" i="4"/>
  <c r="AJ592" i="4"/>
  <c r="D436" i="6"/>
  <c r="O592" i="4"/>
  <c r="P604" i="4"/>
  <c r="Y592" i="4"/>
  <c r="D348" i="6"/>
  <c r="O855" i="5"/>
  <c r="X852" i="5"/>
  <c r="P858" i="4"/>
  <c r="O856" i="4"/>
  <c r="X856" i="4"/>
  <c r="X852" i="4"/>
  <c r="X821" i="4"/>
  <c r="D394" i="6"/>
  <c r="R173" i="2"/>
  <c r="P302" i="5"/>
  <c r="P306" i="4"/>
  <c r="O302" i="4"/>
  <c r="AE371" i="6"/>
  <c r="AF371" i="6"/>
  <c r="H84" i="6"/>
  <c r="O186" i="5"/>
  <c r="R165" i="2"/>
  <c r="P290" i="5"/>
  <c r="AH965" i="4"/>
  <c r="AI948" i="5"/>
  <c r="AK686" i="2"/>
  <c r="AG1043" i="4"/>
  <c r="AG1030" i="4"/>
  <c r="T686" i="2"/>
  <c r="AG1030" i="5"/>
  <c r="AL687" i="2"/>
  <c r="AH1044" i="4"/>
  <c r="O1043" i="4"/>
  <c r="P1044" i="4"/>
  <c r="AG1044" i="4"/>
  <c r="AK687" i="2"/>
  <c r="R686" i="2"/>
  <c r="AH1043" i="5"/>
  <c r="AD686" i="2"/>
  <c r="O1030" i="5"/>
  <c r="AK149" i="18"/>
  <c r="P967" i="5"/>
  <c r="P965" i="5"/>
  <c r="AG967" i="4"/>
  <c r="U948" i="4"/>
  <c r="U944" i="4"/>
  <c r="U906" i="4"/>
  <c r="AG968" i="4"/>
  <c r="AG963" i="5"/>
  <c r="U906" i="5"/>
  <c r="Y592" i="2"/>
  <c r="Y614" i="2"/>
  <c r="O963" i="5"/>
  <c r="R635" i="2"/>
  <c r="E27" i="14"/>
  <c r="P968" i="5"/>
  <c r="Z948" i="5"/>
  <c r="Z968" i="4"/>
  <c r="AH968" i="5"/>
  <c r="AD635" i="2"/>
  <c r="AC429" i="2"/>
  <c r="Y667" i="4"/>
  <c r="T660" i="5"/>
  <c r="T667" i="4"/>
  <c r="AC422" i="2"/>
  <c r="P671" i="4"/>
  <c r="Y422" i="2"/>
  <c r="U656" i="5"/>
  <c r="Y421" i="2"/>
  <c r="AK604" i="4"/>
  <c r="AK592" i="4"/>
  <c r="P592" i="5"/>
  <c r="R369" i="2"/>
  <c r="AJ131" i="17"/>
  <c r="P592" i="4"/>
  <c r="A592" i="4"/>
  <c r="AB556" i="2"/>
  <c r="X821" i="5"/>
  <c r="AB535" i="2"/>
  <c r="P855" i="5"/>
  <c r="O852" i="5"/>
  <c r="R557" i="2"/>
  <c r="P856" i="4"/>
  <c r="O852" i="4"/>
  <c r="O290" i="4"/>
  <c r="P302" i="4"/>
  <c r="AJ60" i="17"/>
  <c r="O13" i="5"/>
  <c r="R95" i="2"/>
  <c r="P186" i="5"/>
  <c r="AM615" i="2"/>
  <c r="AI944" i="5"/>
  <c r="AI948" i="4"/>
  <c r="AI944" i="4"/>
  <c r="AI906" i="4"/>
  <c r="P1043" i="4"/>
  <c r="O1030" i="4"/>
  <c r="P1030" i="4"/>
  <c r="AK145" i="18"/>
  <c r="P1030" i="5"/>
  <c r="R676" i="2"/>
  <c r="AH1043" i="4"/>
  <c r="AH1030" i="4"/>
  <c r="AL686" i="2"/>
  <c r="AH1030" i="5"/>
  <c r="AL676" i="2"/>
  <c r="AK676" i="2"/>
  <c r="T676" i="2"/>
  <c r="AG963" i="4"/>
  <c r="AK630" i="2"/>
  <c r="AG948" i="5"/>
  <c r="Z963" i="4"/>
  <c r="O968" i="4"/>
  <c r="P963" i="5"/>
  <c r="O948" i="5"/>
  <c r="R630" i="2"/>
  <c r="AH963" i="5"/>
  <c r="AH968" i="4"/>
  <c r="AH963" i="4"/>
  <c r="AL635" i="2"/>
  <c r="T635" i="2"/>
  <c r="Z944" i="5"/>
  <c r="AD615" i="2"/>
  <c r="Z948" i="4"/>
  <c r="Z944" i="4"/>
  <c r="T660" i="4"/>
  <c r="T656" i="4"/>
  <c r="X422" i="2"/>
  <c r="T656" i="5"/>
  <c r="X421" i="2"/>
  <c r="P852" i="5"/>
  <c r="O821" i="5"/>
  <c r="R556" i="2"/>
  <c r="P852" i="4"/>
  <c r="O821" i="4"/>
  <c r="P821" i="4"/>
  <c r="P290" i="4"/>
  <c r="O186" i="4"/>
  <c r="R3" i="2"/>
  <c r="AJ32" i="17"/>
  <c r="P13" i="5"/>
  <c r="AM614" i="2"/>
  <c r="AI906" i="5"/>
  <c r="AM592" i="2"/>
  <c r="AK615" i="2"/>
  <c r="AG944" i="5"/>
  <c r="AG948" i="4"/>
  <c r="AG944" i="4"/>
  <c r="T630" i="2"/>
  <c r="AL630" i="2"/>
  <c r="AH948" i="5"/>
  <c r="O944" i="5"/>
  <c r="R615" i="2"/>
  <c r="P948" i="5"/>
  <c r="AD614" i="2"/>
  <c r="P968" i="4"/>
  <c r="O963" i="4"/>
  <c r="P821" i="5"/>
  <c r="R535" i="2"/>
  <c r="AK56" i="18"/>
  <c r="O13" i="4"/>
  <c r="P186" i="4"/>
  <c r="AK614" i="2"/>
  <c r="R614" i="2"/>
  <c r="P944" i="5"/>
  <c r="AK113" i="18"/>
  <c r="P963" i="4"/>
  <c r="O948" i="4"/>
  <c r="AL615" i="2"/>
  <c r="AH948" i="4"/>
  <c r="AH944" i="4"/>
  <c r="AH944" i="5"/>
  <c r="T615" i="2"/>
  <c r="P13" i="4"/>
  <c r="A13" i="4"/>
  <c r="AL614" i="2"/>
  <c r="T614" i="2"/>
  <c r="P948" i="4"/>
  <c r="O944" i="4"/>
  <c r="P944" i="4"/>
  <c r="T421" i="2"/>
  <c r="T450" i="2"/>
  <c r="AK369" i="2"/>
  <c r="AH702" i="4"/>
  <c r="O707" i="5"/>
  <c r="AJ707" i="5"/>
  <c r="P672" i="4"/>
  <c r="O667" i="4"/>
  <c r="Y656" i="5"/>
  <c r="AC421" i="2"/>
  <c r="O667" i="5"/>
  <c r="R434" i="2"/>
  <c r="E9" i="14"/>
  <c r="AK660" i="5"/>
  <c r="Y660" i="4"/>
  <c r="Y656" i="4"/>
  <c r="AJ656" i="5"/>
  <c r="AJ707" i="4"/>
  <c r="AI702" i="4"/>
  <c r="AJ702" i="5"/>
  <c r="O706" i="5"/>
  <c r="R451" i="2"/>
  <c r="P707" i="5"/>
  <c r="P706" i="5"/>
  <c r="R452" i="2"/>
  <c r="O702" i="5"/>
  <c r="R429" i="2"/>
  <c r="O660" i="5"/>
  <c r="P667" i="5"/>
  <c r="O660" i="4"/>
  <c r="P667" i="4"/>
  <c r="AK660" i="4"/>
  <c r="AK656" i="4"/>
  <c r="AK656" i="5"/>
  <c r="P702" i="5"/>
  <c r="R450" i="2"/>
  <c r="P660" i="4"/>
  <c r="O656" i="4"/>
  <c r="P660" i="5"/>
  <c r="O656" i="5"/>
  <c r="R422" i="2"/>
  <c r="P656" i="5"/>
  <c r="AJ169" i="17"/>
  <c r="R421" i="2"/>
  <c r="O590" i="5"/>
  <c r="P656" i="4"/>
  <c r="O590" i="4"/>
  <c r="A590" i="4"/>
  <c r="O512" i="4"/>
  <c r="P590" i="4"/>
  <c r="R368" i="2"/>
  <c r="AJ130" i="17"/>
  <c r="P590" i="5"/>
  <c r="O512" i="5"/>
  <c r="P512" i="5"/>
  <c r="R302" i="2"/>
  <c r="O10" i="5"/>
  <c r="AJ110" i="17"/>
  <c r="O10" i="4"/>
  <c r="A512" i="4"/>
  <c r="P512" i="4"/>
  <c r="A10" i="4"/>
  <c r="P10" i="4"/>
  <c r="AJ209" i="17"/>
  <c r="U11" i="1"/>
  <c r="U13" i="1"/>
  <c r="P10" i="5"/>
  <c r="R2" i="2"/>
  <c r="Z1013" i="4"/>
  <c r="O1013" i="4"/>
  <c r="P1013" i="4"/>
  <c r="AD669" i="2"/>
  <c r="Z1011" i="4"/>
  <c r="AG1013" i="5"/>
  <c r="O1013" i="5"/>
  <c r="R671" i="2"/>
  <c r="AH1013" i="5"/>
  <c r="AD671" i="2"/>
  <c r="AK672" i="2"/>
  <c r="T672" i="2"/>
  <c r="V906" i="5"/>
  <c r="Z592" i="2"/>
  <c r="P1014" i="4"/>
  <c r="AD662" i="2"/>
  <c r="AG1004" i="5"/>
  <c r="R662" i="2"/>
  <c r="P1004" i="5"/>
  <c r="O1003" i="5"/>
  <c r="P1003" i="5"/>
  <c r="AK662" i="2"/>
  <c r="AE3" i="6"/>
  <c r="AF3" i="6"/>
  <c r="AH1004" i="5"/>
  <c r="T662" i="2"/>
  <c r="Z1004" i="4"/>
  <c r="F603" i="6"/>
  <c r="T668" i="2"/>
  <c r="I79" i="6"/>
  <c r="P1010" i="4"/>
  <c r="AE117" i="6"/>
  <c r="AF117" i="6"/>
  <c r="I53" i="6"/>
  <c r="Z999" i="5"/>
  <c r="AE98" i="6"/>
  <c r="AF98" i="6"/>
  <c r="Y999" i="5"/>
  <c r="G3" i="15"/>
  <c r="J15" i="3"/>
  <c r="F131" i="3"/>
  <c r="I46" i="3"/>
  <c r="F15" i="3"/>
  <c r="F83" i="3"/>
  <c r="I18" i="3"/>
  <c r="F29" i="3"/>
  <c r="F28" i="3"/>
  <c r="I95" i="3"/>
  <c r="J131" i="3"/>
  <c r="F46" i="3"/>
  <c r="F45" i="3" s="1"/>
  <c r="I15" i="3"/>
  <c r="I14" i="3"/>
  <c r="E29" i="3"/>
  <c r="E131" i="3"/>
  <c r="H3" i="15"/>
  <c r="F95" i="3"/>
  <c r="H86" i="15"/>
  <c r="G86" i="15"/>
  <c r="I127" i="3"/>
  <c r="I34" i="3"/>
  <c r="E83" i="3"/>
  <c r="I58" i="3"/>
  <c r="I57" i="3" s="1"/>
  <c r="I56" i="3" s="1"/>
  <c r="J95" i="3"/>
  <c r="E158" i="3"/>
  <c r="E46" i="3"/>
  <c r="E45" i="3" s="1"/>
  <c r="E8" i="3"/>
  <c r="J50" i="3"/>
  <c r="E86" i="3"/>
  <c r="E95" i="3"/>
  <c r="I102" i="3"/>
  <c r="I165" i="3"/>
  <c r="F141" i="3"/>
  <c r="I39" i="3"/>
  <c r="E39" i="3"/>
  <c r="I66" i="3"/>
  <c r="E141" i="3"/>
  <c r="E137" i="3" s="1"/>
  <c r="E154" i="3" s="1"/>
  <c r="E108" i="3"/>
  <c r="F18" i="3"/>
  <c r="F14" i="3" s="1"/>
  <c r="I141" i="3"/>
  <c r="I137" i="3"/>
  <c r="I154" i="3" s="1"/>
  <c r="J86" i="3"/>
  <c r="E50" i="3"/>
  <c r="E165" i="3"/>
  <c r="J83" i="3"/>
  <c r="F165" i="3"/>
  <c r="J158" i="3"/>
  <c r="E74" i="3"/>
  <c r="J102" i="3"/>
  <c r="J39" i="3"/>
  <c r="E15" i="3"/>
  <c r="I50" i="3"/>
  <c r="I45" i="3"/>
  <c r="I44" i="3" s="1"/>
  <c r="I8" i="3"/>
  <c r="F39" i="3"/>
  <c r="E73" i="3"/>
  <c r="F8" i="3"/>
  <c r="F86" i="3"/>
  <c r="F102" i="3"/>
  <c r="I83" i="3"/>
  <c r="O1011" i="4"/>
  <c r="P1011" i="4"/>
  <c r="P1013" i="5"/>
  <c r="O1011" i="5"/>
  <c r="R669" i="2"/>
  <c r="AL671" i="2"/>
  <c r="AH1011" i="5"/>
  <c r="AH1013" i="4"/>
  <c r="AK671" i="2"/>
  <c r="T671" i="2"/>
  <c r="AG1013" i="4"/>
  <c r="AG1011" i="5"/>
  <c r="AG1004" i="4"/>
  <c r="AG1003" i="4"/>
  <c r="AG1003" i="5"/>
  <c r="O1004" i="4"/>
  <c r="Z1003" i="4"/>
  <c r="Z999" i="4"/>
  <c r="Z906" i="4"/>
  <c r="AH1003" i="5"/>
  <c r="AL662" i="2"/>
  <c r="AH1004" i="4"/>
  <c r="AH1003" i="4"/>
  <c r="R661" i="2"/>
  <c r="Y906" i="5"/>
  <c r="AC592" i="2"/>
  <c r="AC660" i="2"/>
  <c r="Z906" i="5"/>
  <c r="AD592" i="2"/>
  <c r="AD660" i="2"/>
  <c r="G142" i="15"/>
  <c r="H142" i="15"/>
  <c r="P1011" i="5"/>
  <c r="AG1011" i="4"/>
  <c r="AG999" i="4"/>
  <c r="AG906" i="4"/>
  <c r="T669" i="2"/>
  <c r="AK669" i="2"/>
  <c r="O999" i="5"/>
  <c r="P999" i="5"/>
  <c r="AH1011" i="4"/>
  <c r="AH999" i="4"/>
  <c r="AH906" i="4"/>
  <c r="AL669" i="2"/>
  <c r="AK661" i="2"/>
  <c r="AG999" i="5"/>
  <c r="P1004" i="4"/>
  <c r="O1003" i="4"/>
  <c r="AH999" i="5"/>
  <c r="T661" i="2"/>
  <c r="AL661" i="2"/>
  <c r="G143" i="15"/>
  <c r="R660" i="2"/>
  <c r="O906" i="5"/>
  <c r="R592" i="2"/>
  <c r="AK135" i="18"/>
  <c r="AK660" i="2"/>
  <c r="AG906" i="5"/>
  <c r="AK592" i="2"/>
  <c r="O999" i="4"/>
  <c r="P1003" i="4"/>
  <c r="O790" i="5"/>
  <c r="AM32" i="18"/>
  <c r="AL660" i="2"/>
  <c r="AH906" i="5"/>
  <c r="T660" i="2"/>
  <c r="P906" i="5"/>
  <c r="R510" i="2"/>
  <c r="AK93" i="18"/>
  <c r="P790" i="5"/>
  <c r="R10" i="5"/>
  <c r="V2" i="2"/>
  <c r="AJ158" i="18"/>
  <c r="U9" i="1"/>
  <c r="U14" i="1"/>
  <c r="AL592" i="2"/>
  <c r="T592" i="2"/>
  <c r="L35" i="3"/>
  <c r="O906" i="4"/>
  <c r="P999" i="4"/>
  <c r="D51" i="15"/>
  <c r="D34" i="15"/>
  <c r="H26" i="3"/>
  <c r="G26" i="3" s="1"/>
  <c r="O26" i="3" s="1"/>
  <c r="C16" i="15"/>
  <c r="AC119" i="18"/>
  <c r="C75" i="15"/>
  <c r="AC83" i="17"/>
  <c r="AC79" i="18"/>
  <c r="C135" i="15"/>
  <c r="AC113" i="17"/>
  <c r="AC141" i="18"/>
  <c r="AC208" i="17"/>
  <c r="C48" i="15"/>
  <c r="AC110" i="18"/>
  <c r="M54" i="3"/>
  <c r="AC155" i="17"/>
  <c r="AI155" i="17"/>
  <c r="C131" i="15"/>
  <c r="AC181" i="17"/>
  <c r="L80" i="3"/>
  <c r="D35" i="15"/>
  <c r="AC84" i="18"/>
  <c r="H117" i="3"/>
  <c r="G117" i="3" s="1"/>
  <c r="O117" i="3" s="1"/>
  <c r="AC142" i="17"/>
  <c r="C128" i="15"/>
  <c r="C102" i="15"/>
  <c r="C24" i="15"/>
  <c r="AC137" i="18"/>
  <c r="C118" i="15"/>
  <c r="AC157" i="18"/>
  <c r="AC179" i="17"/>
  <c r="C90" i="15"/>
  <c r="D37" i="15"/>
  <c r="AC138" i="17"/>
  <c r="AC126" i="17"/>
  <c r="AC66" i="17"/>
  <c r="AC211" i="17"/>
  <c r="C11" i="15"/>
  <c r="AC93" i="17"/>
  <c r="AC138" i="18"/>
  <c r="AC136" i="18"/>
  <c r="AC87" i="17"/>
  <c r="D63" i="15"/>
  <c r="AC86" i="18"/>
  <c r="H71" i="3"/>
  <c r="G71" i="3" s="1"/>
  <c r="O71" i="3" s="1"/>
  <c r="AC190" i="17"/>
  <c r="C44" i="15"/>
  <c r="AC48" i="18"/>
  <c r="AC212" i="17"/>
  <c r="AC82" i="18"/>
  <c r="D132" i="15"/>
  <c r="AC82" i="17"/>
  <c r="H90" i="3"/>
  <c r="G90" i="3"/>
  <c r="O90" i="3" s="1"/>
  <c r="AC40" i="18"/>
  <c r="M75" i="3"/>
  <c r="AC55" i="18"/>
  <c r="D60" i="15"/>
  <c r="AC63" i="18"/>
  <c r="D130" i="15"/>
  <c r="D127" i="15"/>
  <c r="AC59" i="17"/>
  <c r="H162" i="3"/>
  <c r="G162" i="3" s="1"/>
  <c r="O162" i="3" s="1"/>
  <c r="AC184" i="17"/>
  <c r="D24" i="15"/>
  <c r="C19" i="15"/>
  <c r="D138" i="15"/>
  <c r="H19" i="3"/>
  <c r="C81" i="15"/>
  <c r="D41" i="3"/>
  <c r="C41" i="3"/>
  <c r="N41" i="3"/>
  <c r="H43" i="3"/>
  <c r="G43" i="3" s="1"/>
  <c r="O43" i="3" s="1"/>
  <c r="H32" i="3"/>
  <c r="G32" i="3" s="1"/>
  <c r="O32" i="3" s="1"/>
  <c r="D79" i="15"/>
  <c r="D120" i="15"/>
  <c r="D30" i="15"/>
  <c r="AC58" i="17"/>
  <c r="D85" i="3"/>
  <c r="C85" i="3" s="1"/>
  <c r="N85" i="3" s="1"/>
  <c r="Q85" i="3" s="1"/>
  <c r="D68" i="15"/>
  <c r="D33" i="3"/>
  <c r="C33" i="3" s="1"/>
  <c r="N33" i="3" s="1"/>
  <c r="Q33" i="3" s="1"/>
  <c r="D20" i="15"/>
  <c r="C63" i="15"/>
  <c r="AC94" i="17"/>
  <c r="D152" i="3"/>
  <c r="C152" i="3"/>
  <c r="N152" i="3" s="1"/>
  <c r="D48" i="3"/>
  <c r="C48" i="3"/>
  <c r="N48" i="3" s="1"/>
  <c r="Q48" i="3" s="1"/>
  <c r="AC135" i="17"/>
  <c r="D118" i="3"/>
  <c r="C118" i="3"/>
  <c r="N118" i="3" s="1"/>
  <c r="Q118" i="3" s="1"/>
  <c r="D13" i="15"/>
  <c r="AC189" i="17"/>
  <c r="C82" i="15"/>
  <c r="D57" i="15"/>
  <c r="H25" i="3"/>
  <c r="G25" i="3"/>
  <c r="O25" i="3" s="1"/>
  <c r="C98" i="15"/>
  <c r="C29" i="15"/>
  <c r="AC109" i="17"/>
  <c r="M64" i="3"/>
  <c r="AC96" i="18"/>
  <c r="D113" i="3"/>
  <c r="C113" i="3"/>
  <c r="N113" i="3" s="1"/>
  <c r="Q113" i="3" s="1"/>
  <c r="H30" i="3"/>
  <c r="AC78" i="17"/>
  <c r="AC192" i="17"/>
  <c r="D149" i="3"/>
  <c r="C149" i="3"/>
  <c r="N149" i="3"/>
  <c r="Q149" i="3" s="1"/>
  <c r="H101" i="3"/>
  <c r="G101" i="3"/>
  <c r="O101" i="3"/>
  <c r="AC38" i="17"/>
  <c r="AC36" i="17"/>
  <c r="C21" i="15"/>
  <c r="H77" i="3"/>
  <c r="G77" i="3" s="1"/>
  <c r="O77" i="3" s="1"/>
  <c r="AC45" i="17"/>
  <c r="AC99" i="17"/>
  <c r="AC182" i="17"/>
  <c r="D29" i="15"/>
  <c r="AC100" i="18"/>
  <c r="L64" i="3"/>
  <c r="C138" i="15"/>
  <c r="D141" i="15"/>
  <c r="M82" i="3"/>
  <c r="C110" i="15"/>
  <c r="AC152" i="17"/>
  <c r="L144" i="3"/>
  <c r="L52" i="3"/>
  <c r="D24" i="3"/>
  <c r="C24" i="3" s="1"/>
  <c r="N24" i="3" s="1"/>
  <c r="Q24" i="3" s="1"/>
  <c r="H61" i="3"/>
  <c r="G61" i="3"/>
  <c r="O61" i="3" s="1"/>
  <c r="AC52" i="17"/>
  <c r="C18" i="15"/>
  <c r="L33" i="3"/>
  <c r="H113" i="3"/>
  <c r="G113" i="3"/>
  <c r="O113" i="3"/>
  <c r="L133" i="3"/>
  <c r="D76" i="15"/>
  <c r="AC103" i="18"/>
  <c r="AC167" i="17"/>
  <c r="D43" i="3"/>
  <c r="C43" i="3" s="1"/>
  <c r="N43" i="3" s="1"/>
  <c r="Q43" i="3" s="1"/>
  <c r="C107" i="15"/>
  <c r="AC49" i="17"/>
  <c r="H157" i="3"/>
  <c r="G157" i="3"/>
  <c r="O157" i="3" s="1"/>
  <c r="AC195" i="17"/>
  <c r="AC163" i="18"/>
  <c r="C136" i="15"/>
  <c r="C73" i="15"/>
  <c r="L63" i="3"/>
  <c r="M81" i="3"/>
  <c r="H13" i="3"/>
  <c r="G13" i="3" s="1"/>
  <c r="O13" i="3" s="1"/>
  <c r="D38" i="15"/>
  <c r="AC64" i="18"/>
  <c r="H125" i="3"/>
  <c r="G125" i="3" s="1"/>
  <c r="O125" i="3" s="1"/>
  <c r="C36" i="15"/>
  <c r="L143" i="3"/>
  <c r="H147" i="3"/>
  <c r="G147" i="3"/>
  <c r="O147" i="3" s="1"/>
  <c r="AC142" i="18"/>
  <c r="M151" i="3"/>
  <c r="C93" i="15"/>
  <c r="AC177" i="17"/>
  <c r="AC186" i="17"/>
  <c r="D142" i="3"/>
  <c r="D60" i="3"/>
  <c r="C60" i="3" s="1"/>
  <c r="N60" i="3" s="1"/>
  <c r="Q60" i="3" s="1"/>
  <c r="M76" i="3"/>
  <c r="H69" i="3"/>
  <c r="G69" i="3" s="1"/>
  <c r="O69" i="3" s="1"/>
  <c r="AC73" i="17"/>
  <c r="D116" i="3"/>
  <c r="C116" i="3"/>
  <c r="N116" i="3" s="1"/>
  <c r="AC53" i="18"/>
  <c r="D88" i="3"/>
  <c r="C88" i="3" s="1"/>
  <c r="N88" i="3" s="1"/>
  <c r="D75" i="3"/>
  <c r="AC67" i="18"/>
  <c r="D25" i="3"/>
  <c r="C25" i="3" s="1"/>
  <c r="N25" i="3" s="1"/>
  <c r="AC119" i="17"/>
  <c r="C31" i="15"/>
  <c r="H10" i="3"/>
  <c r="G10" i="3"/>
  <c r="O10" i="3" s="1"/>
  <c r="AC168" i="17"/>
  <c r="AI168" i="17" s="1"/>
  <c r="L81" i="3"/>
  <c r="D22" i="3"/>
  <c r="C22" i="3" s="1"/>
  <c r="N22" i="3" s="1"/>
  <c r="L49" i="3"/>
  <c r="C64" i="15"/>
  <c r="D135" i="3"/>
  <c r="C135" i="3" s="1"/>
  <c r="N135" i="3" s="1"/>
  <c r="H20" i="3"/>
  <c r="G20" i="3" s="1"/>
  <c r="O20" i="3" s="1"/>
  <c r="D71" i="3"/>
  <c r="C71" i="3" s="1"/>
  <c r="N71" i="3" s="1"/>
  <c r="Q71" i="3" s="1"/>
  <c r="H82" i="3"/>
  <c r="G82" i="3"/>
  <c r="O82" i="3" s="1"/>
  <c r="D18" i="15"/>
  <c r="AC116" i="17"/>
  <c r="H126" i="3"/>
  <c r="G126" i="3"/>
  <c r="O126" i="3" s="1"/>
  <c r="D115" i="15"/>
  <c r="AC97" i="18"/>
  <c r="AC44" i="17"/>
  <c r="AC122" i="18"/>
  <c r="L47" i="3"/>
  <c r="C45" i="15"/>
  <c r="AC45" i="18"/>
  <c r="D146" i="3"/>
  <c r="C146" i="3"/>
  <c r="N146" i="3"/>
  <c r="C92" i="15"/>
  <c r="D59" i="15"/>
  <c r="AC130" i="18"/>
  <c r="AC120" i="18"/>
  <c r="C20" i="15"/>
  <c r="D139" i="3"/>
  <c r="C139" i="3"/>
  <c r="N139" i="3"/>
  <c r="Q139" i="3" s="1"/>
  <c r="AC166" i="17"/>
  <c r="AC115" i="18"/>
  <c r="D50" i="15"/>
  <c r="C121" i="15"/>
  <c r="C72" i="15"/>
  <c r="C134" i="15"/>
  <c r="H148" i="3"/>
  <c r="G148" i="3" s="1"/>
  <c r="O148" i="3" s="1"/>
  <c r="L142" i="3"/>
  <c r="H87" i="3"/>
  <c r="AC121" i="17"/>
  <c r="D49" i="3"/>
  <c r="C49" i="3"/>
  <c r="N49" i="3"/>
  <c r="Q49" i="3" s="1"/>
  <c r="M135" i="3"/>
  <c r="D19" i="3"/>
  <c r="C115" i="15"/>
  <c r="D7" i="15"/>
  <c r="H123" i="3"/>
  <c r="G123" i="3"/>
  <c r="O123" i="3"/>
  <c r="D145" i="3"/>
  <c r="C145" i="3" s="1"/>
  <c r="N145" i="3" s="1"/>
  <c r="Q145" i="3" s="1"/>
  <c r="D9" i="15"/>
  <c r="C59" i="15"/>
  <c r="H60" i="3"/>
  <c r="G60" i="3"/>
  <c r="O60" i="3" s="1"/>
  <c r="P60" i="3" s="1"/>
  <c r="D67" i="3"/>
  <c r="H143" i="3"/>
  <c r="G143" i="3"/>
  <c r="O143" i="3" s="1"/>
  <c r="D144" i="3"/>
  <c r="C144" i="3"/>
  <c r="N144" i="3" s="1"/>
  <c r="L31" i="3"/>
  <c r="D8" i="15"/>
  <c r="AC88" i="18"/>
  <c r="D126" i="3"/>
  <c r="C137" i="15"/>
  <c r="D124" i="15"/>
  <c r="H144" i="3"/>
  <c r="G144" i="3" s="1"/>
  <c r="O144" i="3" s="1"/>
  <c r="C114" i="15"/>
  <c r="AC146" i="18"/>
  <c r="L55" i="3"/>
  <c r="AC72" i="18"/>
  <c r="C7" i="15"/>
  <c r="AC85" i="18"/>
  <c r="AC128" i="17"/>
  <c r="L79" i="3"/>
  <c r="D48" i="15"/>
  <c r="AC79" i="17"/>
  <c r="D69" i="15"/>
  <c r="D90" i="15"/>
  <c r="AC75" i="17"/>
  <c r="AC101" i="17"/>
  <c r="C97" i="15"/>
  <c r="L69" i="3"/>
  <c r="M49" i="3"/>
  <c r="C84" i="15"/>
  <c r="D63" i="3"/>
  <c r="C63" i="3" s="1"/>
  <c r="N63" i="3" s="1"/>
  <c r="Q63" i="3" s="1"/>
  <c r="D11" i="15"/>
  <c r="C14" i="15"/>
  <c r="H9" i="3"/>
  <c r="AC153" i="18"/>
  <c r="D35" i="3"/>
  <c r="D138" i="3"/>
  <c r="AC134" i="17"/>
  <c r="AC85" i="17"/>
  <c r="AC61" i="18"/>
  <c r="M52" i="3"/>
  <c r="M77" i="3"/>
  <c r="C25" i="15"/>
  <c r="L151" i="3"/>
  <c r="H62" i="3"/>
  <c r="G62" i="3"/>
  <c r="O62" i="3"/>
  <c r="AC148" i="18"/>
  <c r="AC99" i="18"/>
  <c r="H116" i="3"/>
  <c r="G116" i="3" s="1"/>
  <c r="O116" i="3" s="1"/>
  <c r="M138" i="3"/>
  <c r="AC124" i="18"/>
  <c r="AC74" i="18"/>
  <c r="AC114" i="17"/>
  <c r="AC199" i="17"/>
  <c r="D98" i="3"/>
  <c r="C98" i="3" s="1"/>
  <c r="N98" i="3" s="1"/>
  <c r="Q98" i="3" s="1"/>
  <c r="AC112" i="18"/>
  <c r="H70" i="3"/>
  <c r="G70" i="3" s="1"/>
  <c r="O70" i="3" s="1"/>
  <c r="M47" i="3"/>
  <c r="AC38" i="18"/>
  <c r="H135" i="3"/>
  <c r="G135" i="3" s="1"/>
  <c r="O135" i="3" s="1"/>
  <c r="D163" i="3"/>
  <c r="C163" i="3" s="1"/>
  <c r="N163" i="3" s="1"/>
  <c r="C105" i="15"/>
  <c r="H136" i="3"/>
  <c r="G136" i="3"/>
  <c r="O136" i="3" s="1"/>
  <c r="C54" i="15"/>
  <c r="C96" i="15"/>
  <c r="H133" i="3"/>
  <c r="G133" i="3" s="1"/>
  <c r="O133" i="3"/>
  <c r="D139" i="15"/>
  <c r="D133" i="3"/>
  <c r="M80" i="3"/>
  <c r="C13" i="15"/>
  <c r="D124" i="3"/>
  <c r="C124" i="3" s="1"/>
  <c r="N124" i="3" s="1"/>
  <c r="Q124" i="3"/>
  <c r="H31" i="3"/>
  <c r="G31" i="3"/>
  <c r="O31" i="3" s="1"/>
  <c r="M63" i="3"/>
  <c r="D119" i="15"/>
  <c r="AC87" i="18"/>
  <c r="AC95" i="17"/>
  <c r="D94" i="3"/>
  <c r="C94" i="3" s="1"/>
  <c r="N94" i="3" s="1"/>
  <c r="H156" i="3"/>
  <c r="D105" i="3"/>
  <c r="C105" i="3" s="1"/>
  <c r="N105" i="3" s="1"/>
  <c r="H93" i="3"/>
  <c r="AC68" i="18"/>
  <c r="M51" i="3"/>
  <c r="H110" i="3"/>
  <c r="G110" i="3" s="1"/>
  <c r="O110" i="3" s="1"/>
  <c r="D31" i="3"/>
  <c r="C31" i="3" s="1"/>
  <c r="N31" i="3" s="1"/>
  <c r="Q31" i="3"/>
  <c r="AC81" i="17"/>
  <c r="C78" i="15"/>
  <c r="L150" i="3"/>
  <c r="C69" i="15"/>
  <c r="M32" i="3"/>
  <c r="H63" i="3"/>
  <c r="G63" i="3" s="1"/>
  <c r="O63" i="3" s="1"/>
  <c r="D47" i="3"/>
  <c r="H149" i="3"/>
  <c r="G149" i="3" s="1"/>
  <c r="O149" i="3" s="1"/>
  <c r="H27" i="3"/>
  <c r="G27" i="3" s="1"/>
  <c r="O27" i="3" s="1"/>
  <c r="D53" i="3"/>
  <c r="C53" i="3" s="1"/>
  <c r="N53" i="3" s="1"/>
  <c r="Q53" i="3" s="1"/>
  <c r="C10" i="15"/>
  <c r="D162" i="3"/>
  <c r="C162" i="3" s="1"/>
  <c r="N162" i="3" s="1"/>
  <c r="Q162" i="3" s="1"/>
  <c r="AC43" i="18"/>
  <c r="H55" i="3"/>
  <c r="G55" i="3" s="1"/>
  <c r="O55" i="3" s="1"/>
  <c r="H79" i="3"/>
  <c r="G79" i="3" s="1"/>
  <c r="O79" i="3" s="1"/>
  <c r="AC172" i="17"/>
  <c r="D117" i="3"/>
  <c r="C117" i="3"/>
  <c r="N117" i="3" s="1"/>
  <c r="Q117" i="3" s="1"/>
  <c r="D151" i="3"/>
  <c r="C151" i="3" s="1"/>
  <c r="N151" i="3" s="1"/>
  <c r="Q151" i="3" s="1"/>
  <c r="H65" i="3"/>
  <c r="G65" i="3"/>
  <c r="O65" i="3" s="1"/>
  <c r="AC143" i="18"/>
  <c r="L30" i="3"/>
  <c r="AC33" i="18"/>
  <c r="AC156" i="18"/>
  <c r="D9" i="3"/>
  <c r="H49" i="3"/>
  <c r="G49" i="3"/>
  <c r="O49" i="3" s="1"/>
  <c r="P49" i="3" s="1"/>
  <c r="H16" i="3"/>
  <c r="H78" i="3"/>
  <c r="G78" i="3" s="1"/>
  <c r="O78" i="3"/>
  <c r="AC145" i="17"/>
  <c r="AC161" i="17"/>
  <c r="H36" i="3"/>
  <c r="G36" i="3"/>
  <c r="O36" i="3"/>
  <c r="D52" i="3"/>
  <c r="C52" i="3" s="1"/>
  <c r="N52" i="3"/>
  <c r="Q52" i="3" s="1"/>
  <c r="D93" i="3"/>
  <c r="AC80" i="18"/>
  <c r="AC127" i="17"/>
  <c r="C83" i="15"/>
  <c r="C28" i="15"/>
  <c r="L60" i="3"/>
  <c r="AC98" i="18"/>
  <c r="AC133" i="17"/>
  <c r="AC151" i="17"/>
  <c r="AI151" i="17" s="1"/>
  <c r="D123" i="3"/>
  <c r="C123" i="3"/>
  <c r="N123" i="3" s="1"/>
  <c r="H41" i="3"/>
  <c r="G41" i="3"/>
  <c r="O41" i="3" s="1"/>
  <c r="C50" i="15"/>
  <c r="M134" i="3"/>
  <c r="D94" i="15"/>
  <c r="C56" i="15"/>
  <c r="D121" i="15"/>
  <c r="E121" i="15" s="1"/>
  <c r="I121" i="15" s="1"/>
  <c r="D68" i="3"/>
  <c r="C68" i="3"/>
  <c r="N68" i="3" s="1"/>
  <c r="Q68" i="3" s="1"/>
  <c r="AC204" i="17"/>
  <c r="AC193" i="17"/>
  <c r="D140" i="3"/>
  <c r="C140" i="3"/>
  <c r="N140" i="3" s="1"/>
  <c r="Q140" i="3" s="1"/>
  <c r="D67" i="15"/>
  <c r="D161" i="3"/>
  <c r="H17" i="3"/>
  <c r="G17" i="3" s="1"/>
  <c r="O17" i="3" s="1"/>
  <c r="D40" i="3"/>
  <c r="AC156" i="17"/>
  <c r="AI156" i="17"/>
  <c r="D111" i="15"/>
  <c r="D71" i="15"/>
  <c r="AC54" i="18"/>
  <c r="D78" i="15"/>
  <c r="K171" i="18"/>
  <c r="P171" i="18"/>
  <c r="M70" i="3"/>
  <c r="L140" i="3"/>
  <c r="D27" i="15"/>
  <c r="AC63" i="17"/>
  <c r="D113" i="15"/>
  <c r="F113" i="15" s="1"/>
  <c r="C130" i="15"/>
  <c r="D128" i="15"/>
  <c r="L136" i="3"/>
  <c r="D65" i="3"/>
  <c r="C65" i="3"/>
  <c r="N65" i="3" s="1"/>
  <c r="Q65" i="3" s="1"/>
  <c r="M146" i="3"/>
  <c r="AC37" i="18"/>
  <c r="AC187" i="17"/>
  <c r="M33" i="3"/>
  <c r="D112" i="15"/>
  <c r="AC62" i="17"/>
  <c r="AC102" i="18"/>
  <c r="M31" i="3"/>
  <c r="AC100" i="17"/>
  <c r="H164" i="3"/>
  <c r="G164" i="3" s="1"/>
  <c r="O164" i="3"/>
  <c r="AC73" i="18"/>
  <c r="D36" i="15"/>
  <c r="D39" i="15"/>
  <c r="C42" i="15"/>
  <c r="C8" i="15"/>
  <c r="AC132" i="18"/>
  <c r="M36" i="3"/>
  <c r="AC35" i="17"/>
  <c r="D107" i="15"/>
  <c r="H99" i="3"/>
  <c r="G99" i="3" s="1"/>
  <c r="O99" i="3" s="1"/>
  <c r="AC56" i="17"/>
  <c r="M48" i="3"/>
  <c r="L149" i="3"/>
  <c r="C76" i="15"/>
  <c r="H75" i="3"/>
  <c r="D114" i="15"/>
  <c r="D82" i="3"/>
  <c r="C82" i="3"/>
  <c r="N82" i="3"/>
  <c r="AC165" i="17"/>
  <c r="AC163" i="17"/>
  <c r="C119" i="15"/>
  <c r="L152" i="3"/>
  <c r="H68" i="3"/>
  <c r="G68" i="3" s="1"/>
  <c r="O68" i="3" s="1"/>
  <c r="H89" i="3"/>
  <c r="G89" i="3" s="1"/>
  <c r="O89" i="3" s="1"/>
  <c r="C139" i="15"/>
  <c r="AC198" i="17"/>
  <c r="H42" i="3"/>
  <c r="G42" i="3" s="1"/>
  <c r="O42" i="3" s="1"/>
  <c r="C39" i="15"/>
  <c r="AC42" i="18"/>
  <c r="AC71" i="18"/>
  <c r="AC52" i="18"/>
  <c r="D44" i="15"/>
  <c r="M148" i="3"/>
  <c r="AC126" i="18"/>
  <c r="M72" i="3"/>
  <c r="C140" i="15"/>
  <c r="AC57" i="18"/>
  <c r="H48" i="3"/>
  <c r="G48" i="3"/>
  <c r="O48" i="3" s="1"/>
  <c r="P48" i="3" s="1"/>
  <c r="AC158" i="17"/>
  <c r="H161" i="3"/>
  <c r="AC104" i="18"/>
  <c r="D114" i="3"/>
  <c r="C114" i="3" s="1"/>
  <c r="N114" i="3"/>
  <c r="AC154" i="17"/>
  <c r="C70" i="15"/>
  <c r="L70" i="3"/>
  <c r="AC213" i="17"/>
  <c r="AC162" i="18"/>
  <c r="C120" i="15"/>
  <c r="AC108" i="17"/>
  <c r="D99" i="3"/>
  <c r="C99" i="3" s="1"/>
  <c r="N99" i="3" s="1"/>
  <c r="Q99" i="3" s="1"/>
  <c r="AC185" i="17"/>
  <c r="M140" i="3"/>
  <c r="M142" i="3"/>
  <c r="C88" i="15"/>
  <c r="D15" i="15"/>
  <c r="AC116" i="18"/>
  <c r="D21" i="15"/>
  <c r="AC161" i="18"/>
  <c r="AC214" i="17"/>
  <c r="D83" i="15"/>
  <c r="D131" i="15"/>
  <c r="C108" i="15"/>
  <c r="AC205" i="17"/>
  <c r="D20" i="3"/>
  <c r="C20" i="3"/>
  <c r="N20" i="3" s="1"/>
  <c r="L59" i="3"/>
  <c r="C41" i="15"/>
  <c r="D25" i="15"/>
  <c r="D123" i="15"/>
  <c r="C71" i="15"/>
  <c r="D150" i="3"/>
  <c r="C150" i="3"/>
  <c r="N150" i="3" s="1"/>
  <c r="D95" i="15"/>
  <c r="D129" i="3"/>
  <c r="D42" i="15"/>
  <c r="F42" i="15" s="1"/>
  <c r="C79" i="15"/>
  <c r="C133" i="15"/>
  <c r="C113" i="15"/>
  <c r="D62" i="3"/>
  <c r="C62" i="3" s="1"/>
  <c r="N62" i="3" s="1"/>
  <c r="AC92" i="18"/>
  <c r="D122" i="3"/>
  <c r="C122" i="3" s="1"/>
  <c r="N122" i="3" s="1"/>
  <c r="Q122" i="3" s="1"/>
  <c r="C35" i="15"/>
  <c r="C141" i="15"/>
  <c r="AC70" i="17"/>
  <c r="AC72" i="17"/>
  <c r="C132" i="15"/>
  <c r="L134" i="3"/>
  <c r="D93" i="15"/>
  <c r="M60" i="3"/>
  <c r="AC107" i="17"/>
  <c r="H134" i="3"/>
  <c r="G134" i="3" s="1"/>
  <c r="O134" i="3" s="1"/>
  <c r="AC174" i="17"/>
  <c r="H115" i="3"/>
  <c r="G115" i="3"/>
  <c r="O115" i="3" s="1"/>
  <c r="D78" i="3"/>
  <c r="C78" i="3" s="1"/>
  <c r="N78" i="3" s="1"/>
  <c r="AC47" i="17"/>
  <c r="C65" i="15"/>
  <c r="M153" i="3"/>
  <c r="M65" i="3"/>
  <c r="D92" i="15"/>
  <c r="H119" i="3"/>
  <c r="G119" i="3" s="1"/>
  <c r="O119" i="3" s="1"/>
  <c r="AC120" i="17"/>
  <c r="AC153" i="17"/>
  <c r="AC86" i="17"/>
  <c r="AC175" i="17"/>
  <c r="AC207" i="17"/>
  <c r="AC206" i="17"/>
  <c r="H152" i="3"/>
  <c r="G152" i="3" s="1"/>
  <c r="O152" i="3"/>
  <c r="P152" i="3" s="1"/>
  <c r="D17" i="3"/>
  <c r="C17" i="3"/>
  <c r="N17" i="3"/>
  <c r="Q17" i="3" s="1"/>
  <c r="H54" i="3"/>
  <c r="G54" i="3"/>
  <c r="O54" i="3" s="1"/>
  <c r="D19" i="15"/>
  <c r="L62" i="3"/>
  <c r="C61" i="15"/>
  <c r="D73" i="15"/>
  <c r="H85" i="3"/>
  <c r="G85" i="3" s="1"/>
  <c r="O85" i="3"/>
  <c r="P85" i="3" s="1"/>
  <c r="AC132" i="17"/>
  <c r="C60" i="15"/>
  <c r="D64" i="15"/>
  <c r="AC121" i="18"/>
  <c r="AC78" i="18"/>
  <c r="M143" i="3"/>
  <c r="AC51" i="17"/>
  <c r="D102" i="15"/>
  <c r="C123" i="15"/>
  <c r="D108" i="15"/>
  <c r="D31" i="15"/>
  <c r="C112" i="15"/>
  <c r="D148" i="3"/>
  <c r="C148" i="3" s="1"/>
  <c r="N148" i="3" s="1"/>
  <c r="D32" i="3"/>
  <c r="C32" i="3"/>
  <c r="N32" i="3" s="1"/>
  <c r="Q32" i="3"/>
  <c r="H88" i="3"/>
  <c r="G88" i="3" s="1"/>
  <c r="O88" i="3" s="1"/>
  <c r="P88" i="3"/>
  <c r="D54" i="3"/>
  <c r="C54" i="3"/>
  <c r="N54" i="3" s="1"/>
  <c r="C68" i="15"/>
  <c r="M150" i="3"/>
  <c r="D27" i="3"/>
  <c r="C27" i="3" s="1"/>
  <c r="N27" i="3"/>
  <c r="AC124" i="17"/>
  <c r="D130" i="3"/>
  <c r="C130" i="3" s="1"/>
  <c r="N130" i="3" s="1"/>
  <c r="C47" i="15"/>
  <c r="AC117" i="17"/>
  <c r="D32" i="15"/>
  <c r="AC136" i="17"/>
  <c r="D77" i="3"/>
  <c r="H21" i="3"/>
  <c r="G21" i="3" s="1"/>
  <c r="O21" i="3"/>
  <c r="H51" i="3"/>
  <c r="M78" i="3"/>
  <c r="AC155" i="18"/>
  <c r="AC76" i="17"/>
  <c r="AC96" i="17"/>
  <c r="H118" i="3"/>
  <c r="G118" i="3" s="1"/>
  <c r="O118" i="3"/>
  <c r="P118" i="3"/>
  <c r="AC105" i="18"/>
  <c r="C124" i="15"/>
  <c r="K170" i="18"/>
  <c r="AC76" i="18"/>
  <c r="AC43" i="17"/>
  <c r="M144" i="3"/>
  <c r="D59" i="3"/>
  <c r="D119" i="3"/>
  <c r="C119" i="3" s="1"/>
  <c r="N119" i="3" s="1"/>
  <c r="Q119" i="3" s="1"/>
  <c r="AC41" i="18"/>
  <c r="C74" i="15"/>
  <c r="M71" i="3"/>
  <c r="AC128" i="18"/>
  <c r="C111" i="15"/>
  <c r="AC39" i="18"/>
  <c r="C26" i="15"/>
  <c r="AC94" i="18"/>
  <c r="AJ94" i="18" s="1"/>
  <c r="AC118" i="18"/>
  <c r="L148" i="3"/>
  <c r="D72" i="15"/>
  <c r="AC143" i="17"/>
  <c r="AC141" i="17" s="1"/>
  <c r="D72" i="3"/>
  <c r="C72" i="3"/>
  <c r="N72" i="3" s="1"/>
  <c r="D75" i="15"/>
  <c r="AC53" i="17"/>
  <c r="H47" i="3"/>
  <c r="M62" i="3"/>
  <c r="AC91" i="18"/>
  <c r="D82" i="15"/>
  <c r="H153" i="3"/>
  <c r="G153" i="3" s="1"/>
  <c r="O153" i="3" s="1"/>
  <c r="D55" i="3"/>
  <c r="C55" i="3"/>
  <c r="N55" i="3" s="1"/>
  <c r="Q55" i="3" s="1"/>
  <c r="D43" i="15"/>
  <c r="C106" i="15"/>
  <c r="D28" i="15"/>
  <c r="L51" i="3"/>
  <c r="C34" i="15"/>
  <c r="L139" i="3"/>
  <c r="AC133" i="18"/>
  <c r="L135" i="3"/>
  <c r="D134" i="3"/>
  <c r="C134" i="3"/>
  <c r="N134" i="3" s="1"/>
  <c r="Q134" i="3" s="1"/>
  <c r="AC147" i="18"/>
  <c r="C66" i="15"/>
  <c r="AC48" i="17"/>
  <c r="C91" i="15"/>
  <c r="C127" i="15"/>
  <c r="C126" i="15"/>
  <c r="D30" i="3"/>
  <c r="D147" i="3"/>
  <c r="C147" i="3" s="1"/>
  <c r="N147" i="3" s="1"/>
  <c r="D85" i="15"/>
  <c r="AC117" i="18"/>
  <c r="D98" i="15"/>
  <c r="H94" i="3"/>
  <c r="G94" i="3"/>
  <c r="O94" i="3" s="1"/>
  <c r="P94" i="3" s="1"/>
  <c r="D136" i="3"/>
  <c r="C136" i="3" s="1"/>
  <c r="N136" i="3" s="1"/>
  <c r="H150" i="3"/>
  <c r="G150" i="3" s="1"/>
  <c r="O150" i="3" s="1"/>
  <c r="P150" i="3" s="1"/>
  <c r="AC107" i="18"/>
  <c r="AC77" i="18"/>
  <c r="AC54" i="17"/>
  <c r="AC92" i="17"/>
  <c r="AC160" i="18"/>
  <c r="H11" i="3"/>
  <c r="G11" i="3"/>
  <c r="O11" i="3" s="1"/>
  <c r="D91" i="15"/>
  <c r="C9" i="15"/>
  <c r="L75" i="3"/>
  <c r="L36" i="3"/>
  <c r="AC140" i="17"/>
  <c r="D65" i="15"/>
  <c r="AC106" i="17"/>
  <c r="AC105" i="17" s="1"/>
  <c r="AC157" i="17"/>
  <c r="D61" i="15"/>
  <c r="AC196" i="17"/>
  <c r="AC134" i="18"/>
  <c r="H122" i="3"/>
  <c r="C55" i="15"/>
  <c r="D89" i="3"/>
  <c r="C89" i="3"/>
  <c r="N89" i="3"/>
  <c r="Q89" i="3" s="1"/>
  <c r="M61" i="3"/>
  <c r="L138" i="3"/>
  <c r="H100" i="3"/>
  <c r="G100" i="3"/>
  <c r="O100" i="3" s="1"/>
  <c r="AC59" i="18"/>
  <c r="D81" i="15"/>
  <c r="D133" i="15"/>
  <c r="M53" i="3"/>
  <c r="AC60" i="18"/>
  <c r="L77" i="3"/>
  <c r="L65" i="3"/>
  <c r="L72" i="3"/>
  <c r="H23" i="3"/>
  <c r="G23" i="3" s="1"/>
  <c r="O23" i="3" s="1"/>
  <c r="AC118" i="17"/>
  <c r="D164" i="3"/>
  <c r="C164" i="3" s="1"/>
  <c r="N164" i="3" s="1"/>
  <c r="AC109" i="18"/>
  <c r="C95" i="15"/>
  <c r="AC164" i="18"/>
  <c r="C104" i="15"/>
  <c r="H81" i="3"/>
  <c r="G81" i="3"/>
  <c r="O81" i="3" s="1"/>
  <c r="AC200" i="17"/>
  <c r="AC69" i="18"/>
  <c r="L61" i="3"/>
  <c r="AC89" i="17"/>
  <c r="AC70" i="18"/>
  <c r="M145" i="3"/>
  <c r="D136" i="15"/>
  <c r="AC129" i="18"/>
  <c r="AC149" i="17"/>
  <c r="AC171" i="17"/>
  <c r="AC47" i="18"/>
  <c r="D137" i="15"/>
  <c r="D55" i="15"/>
  <c r="AC144" i="17"/>
  <c r="AC104" i="17"/>
  <c r="AC103" i="17" s="1"/>
  <c r="L68" i="3"/>
  <c r="D10" i="15"/>
  <c r="AC129" i="17"/>
  <c r="D62" i="15"/>
  <c r="D101" i="3"/>
  <c r="C101" i="3" s="1"/>
  <c r="N101" i="3" s="1"/>
  <c r="D109" i="3"/>
  <c r="AC173" i="17"/>
  <c r="C37" i="15"/>
  <c r="D26" i="15"/>
  <c r="AC176" i="17"/>
  <c r="AC139" i="17"/>
  <c r="AC201" i="17"/>
  <c r="AC65" i="18"/>
  <c r="H52" i="3"/>
  <c r="G52" i="3" s="1"/>
  <c r="O52" i="3" s="1"/>
  <c r="P52" i="3" s="1"/>
  <c r="L54" i="3"/>
  <c r="D70" i="3"/>
  <c r="C70" i="3" s="1"/>
  <c r="N70" i="3" s="1"/>
  <c r="Q70" i="3" s="1"/>
  <c r="L78" i="3"/>
  <c r="D36" i="3"/>
  <c r="C36" i="3" s="1"/>
  <c r="N36" i="3"/>
  <c r="Q36" i="3" s="1"/>
  <c r="H145" i="3"/>
  <c r="G145" i="3" s="1"/>
  <c r="O145" i="3" s="1"/>
  <c r="P145" i="3" s="1"/>
  <c r="H130" i="3"/>
  <c r="G130" i="3" s="1"/>
  <c r="O130" i="3" s="1"/>
  <c r="H129" i="3"/>
  <c r="AC144" i="18"/>
  <c r="AJ144" i="18" s="1"/>
  <c r="C94" i="15"/>
  <c r="D79" i="3"/>
  <c r="C79" i="3"/>
  <c r="N79" i="3" s="1"/>
  <c r="AC91" i="17"/>
  <c r="D90" i="3"/>
  <c r="AC69" i="17"/>
  <c r="AC49" i="18"/>
  <c r="D56" i="15"/>
  <c r="AC57" i="17"/>
  <c r="AC41" i="17"/>
  <c r="M147" i="3"/>
  <c r="AC180" i="17"/>
  <c r="AC178" i="17"/>
  <c r="AC123" i="18"/>
  <c r="D45" i="15"/>
  <c r="AC111" i="18"/>
  <c r="D46" i="15"/>
  <c r="D81" i="3"/>
  <c r="C81" i="3"/>
  <c r="N81" i="3" s="1"/>
  <c r="AC42" i="17"/>
  <c r="AC46" i="18"/>
  <c r="AC90" i="17"/>
  <c r="D134" i="15"/>
  <c r="E134" i="15" s="1"/>
  <c r="C30" i="15"/>
  <c r="F30" i="15"/>
  <c r="J30" i="15" s="1"/>
  <c r="E86" i="16" s="1"/>
  <c r="D140" i="15"/>
  <c r="D118" i="15"/>
  <c r="H138" i="3"/>
  <c r="G138" i="3" s="1"/>
  <c r="C27" i="15"/>
  <c r="D14" i="15"/>
  <c r="E14" i="15" s="1"/>
  <c r="I14" i="15" s="1"/>
  <c r="C67" i="15"/>
  <c r="C51" i="15"/>
  <c r="D125" i="3"/>
  <c r="C125" i="3"/>
  <c r="N125" i="3" s="1"/>
  <c r="P125" i="3" s="1"/>
  <c r="C62" i="15"/>
  <c r="F62" i="15"/>
  <c r="J62" i="15" s="1"/>
  <c r="C125" i="15"/>
  <c r="M136" i="3"/>
  <c r="AC39" i="17"/>
  <c r="C116" i="15"/>
  <c r="C46" i="15"/>
  <c r="E46" i="15" s="1"/>
  <c r="C15" i="15"/>
  <c r="M149" i="3"/>
  <c r="C38" i="15"/>
  <c r="D51" i="3"/>
  <c r="D54" i="15"/>
  <c r="M79" i="3"/>
  <c r="H98" i="3"/>
  <c r="M133" i="3"/>
  <c r="H67" i="3"/>
  <c r="H112" i="3"/>
  <c r="G112" i="3" s="1"/>
  <c r="O112" i="3" s="1"/>
  <c r="D135" i="15"/>
  <c r="AC67" i="17"/>
  <c r="D41" i="15"/>
  <c r="AC90" i="18"/>
  <c r="L146" i="3"/>
  <c r="D112" i="3"/>
  <c r="C112" i="3" s="1"/>
  <c r="N112" i="3"/>
  <c r="AC125" i="17"/>
  <c r="AC162" i="17"/>
  <c r="C43" i="15"/>
  <c r="AC50" i="17"/>
  <c r="AC62" i="18"/>
  <c r="D88" i="15"/>
  <c r="D11" i="3"/>
  <c r="C11" i="3"/>
  <c r="N11" i="3"/>
  <c r="P11" i="3" s="1"/>
  <c r="D97" i="15"/>
  <c r="E97" i="15"/>
  <c r="I97" i="15"/>
  <c r="C57" i="15"/>
  <c r="F57" i="15" s="1"/>
  <c r="J57" i="15" s="1"/>
  <c r="AC160" i="17"/>
  <c r="L82" i="3"/>
  <c r="H40" i="3"/>
  <c r="C85" i="15"/>
  <c r="D66" i="15"/>
  <c r="AC127" i="18"/>
  <c r="D74" i="15"/>
  <c r="AC152" i="18"/>
  <c r="AC151" i="18"/>
  <c r="D26" i="3"/>
  <c r="C26" i="3" s="1"/>
  <c r="N26" i="3" s="1"/>
  <c r="AC35" i="18"/>
  <c r="H124" i="3"/>
  <c r="L32" i="3"/>
  <c r="D104" i="15"/>
  <c r="D125" i="15"/>
  <c r="D110" i="3"/>
  <c r="C110" i="3" s="1"/>
  <c r="N110" i="3"/>
  <c r="Q110" i="3" s="1"/>
  <c r="H72" i="3"/>
  <c r="G72" i="3" s="1"/>
  <c r="O72" i="3" s="1"/>
  <c r="H139" i="3"/>
  <c r="G139" i="3" s="1"/>
  <c r="O139" i="3" s="1"/>
  <c r="P139" i="3" s="1"/>
  <c r="H84" i="3"/>
  <c r="AC123" i="17"/>
  <c r="AC215" i="17"/>
  <c r="AC210" i="17"/>
  <c r="AC140" i="18"/>
  <c r="AC139" i="18"/>
  <c r="AC135" i="18" s="1"/>
  <c r="L147" i="3"/>
  <c r="D47" i="15"/>
  <c r="AC150" i="17"/>
  <c r="AI150" i="17" s="1"/>
  <c r="D84" i="15"/>
  <c r="E84" i="15" s="1"/>
  <c r="D105" i="15"/>
  <c r="AC106" i="18"/>
  <c r="H80" i="3"/>
  <c r="G80" i="3"/>
  <c r="O80" i="3"/>
  <c r="M59" i="3"/>
  <c r="H22" i="3"/>
  <c r="G22" i="3"/>
  <c r="O22" i="3" s="1"/>
  <c r="P22" i="3" s="1"/>
  <c r="D115" i="3"/>
  <c r="C115" i="3" s="1"/>
  <c r="N115" i="3" s="1"/>
  <c r="M69" i="3"/>
  <c r="H59" i="3"/>
  <c r="AC137" i="17"/>
  <c r="AC131" i="17" s="1"/>
  <c r="C32" i="15"/>
  <c r="H111" i="3"/>
  <c r="G111" i="3"/>
  <c r="O111" i="3" s="1"/>
  <c r="D100" i="3"/>
  <c r="AC51" i="18"/>
  <c r="D106" i="15"/>
  <c r="AC146" i="17"/>
  <c r="H140" i="3"/>
  <c r="G140" i="3"/>
  <c r="O140" i="3" s="1"/>
  <c r="P140" i="3" s="1"/>
  <c r="D96" i="15"/>
  <c r="F96" i="15" s="1"/>
  <c r="J96" i="15" s="1"/>
  <c r="D110" i="15"/>
  <c r="D70" i="15"/>
  <c r="F70" i="15" s="1"/>
  <c r="J70" i="15" s="1"/>
  <c r="H35" i="3"/>
  <c r="H34" i="3" s="1"/>
  <c r="D116" i="15"/>
  <c r="M139" i="3"/>
  <c r="AC164" i="17"/>
  <c r="M68" i="3"/>
  <c r="D64" i="3"/>
  <c r="C64" i="3" s="1"/>
  <c r="N64" i="3"/>
  <c r="Q64" i="3" s="1"/>
  <c r="D16" i="15"/>
  <c r="H53" i="3"/>
  <c r="G53" i="3"/>
  <c r="O53" i="3"/>
  <c r="P53" i="3" s="1"/>
  <c r="D143" i="3"/>
  <c r="C143" i="3"/>
  <c r="N143" i="3" s="1"/>
  <c r="P143" i="3" s="1"/>
  <c r="AC115" i="17"/>
  <c r="M55" i="3"/>
  <c r="AC108" i="18"/>
  <c r="AC71" i="17"/>
  <c r="AC50" i="18"/>
  <c r="D69" i="3"/>
  <c r="C69" i="3" s="1"/>
  <c r="N69" i="3" s="1"/>
  <c r="D87" i="3"/>
  <c r="C87" i="3" s="1"/>
  <c r="N87" i="3" s="1"/>
  <c r="D111" i="3"/>
  <c r="C111" i="3" s="1"/>
  <c r="N111" i="3" s="1"/>
  <c r="Q111" i="3"/>
  <c r="D76" i="3"/>
  <c r="C76" i="3" s="1"/>
  <c r="N76" i="3"/>
  <c r="Q76" i="3" s="1"/>
  <c r="L53" i="3"/>
  <c r="L50" i="3" s="1"/>
  <c r="L45" i="3" s="1"/>
  <c r="H142" i="3"/>
  <c r="G142" i="3"/>
  <c r="D80" i="3"/>
  <c r="C80" i="3" s="1"/>
  <c r="N80" i="3" s="1"/>
  <c r="D21" i="3"/>
  <c r="C21" i="3" s="1"/>
  <c r="N21" i="3" s="1"/>
  <c r="L67" i="3"/>
  <c r="L66" i="3" s="1"/>
  <c r="H146" i="3"/>
  <c r="G146" i="3"/>
  <c r="O146" i="3"/>
  <c r="P146" i="3" s="1"/>
  <c r="Q146" i="3" s="1"/>
  <c r="H105" i="3"/>
  <c r="G105" i="3" s="1"/>
  <c r="O105" i="3"/>
  <c r="P105" i="3" s="1"/>
  <c r="Q105" i="3" s="1"/>
  <c r="D42" i="3"/>
  <c r="H163" i="3"/>
  <c r="G163" i="3"/>
  <c r="O163" i="3" s="1"/>
  <c r="P163" i="3" s="1"/>
  <c r="Q163" i="3" s="1"/>
  <c r="L76" i="3"/>
  <c r="L74" i="3" s="1"/>
  <c r="D153" i="3"/>
  <c r="C153" i="3"/>
  <c r="N153" i="3" s="1"/>
  <c r="P153" i="3"/>
  <c r="M152" i="3"/>
  <c r="H114" i="3"/>
  <c r="G114" i="3" s="1"/>
  <c r="O114" i="3" s="1"/>
  <c r="P114" i="3" s="1"/>
  <c r="Q114" i="3" s="1"/>
  <c r="D10" i="3"/>
  <c r="C10" i="3"/>
  <c r="N10" i="3" s="1"/>
  <c r="Q10" i="3" s="1"/>
  <c r="D13" i="3"/>
  <c r="C13" i="3"/>
  <c r="N13" i="3" s="1"/>
  <c r="H151" i="3"/>
  <c r="G151" i="3" s="1"/>
  <c r="O151" i="3"/>
  <c r="P151" i="3"/>
  <c r="L48" i="3"/>
  <c r="L46" i="3" s="1"/>
  <c r="H33" i="3"/>
  <c r="G33" i="3"/>
  <c r="O33" i="3" s="1"/>
  <c r="P33" i="3" s="1"/>
  <c r="L153" i="3"/>
  <c r="M35" i="3"/>
  <c r="M34" i="3" s="1"/>
  <c r="M28" i="3" s="1"/>
  <c r="L145" i="3"/>
  <c r="M30" i="3"/>
  <c r="M29" i="3"/>
  <c r="H107" i="3"/>
  <c r="G107" i="3"/>
  <c r="O107" i="3" s="1"/>
  <c r="D23" i="3"/>
  <c r="C23" i="3"/>
  <c r="N23" i="3" s="1"/>
  <c r="P23" i="3"/>
  <c r="H12" i="3"/>
  <c r="G12" i="3"/>
  <c r="O12" i="3"/>
  <c r="L71" i="3"/>
  <c r="D61" i="3"/>
  <c r="M67" i="3"/>
  <c r="M66" i="3"/>
  <c r="H76" i="3"/>
  <c r="G76" i="3"/>
  <c r="O76" i="3" s="1"/>
  <c r="P76" i="3"/>
  <c r="D84" i="3"/>
  <c r="D83" i="3"/>
  <c r="C83" i="3" s="1"/>
  <c r="D16" i="3"/>
  <c r="D15" i="3"/>
  <c r="H109" i="3"/>
  <c r="G109" i="3" s="1"/>
  <c r="O109" i="3" s="1"/>
  <c r="D156" i="3"/>
  <c r="C156" i="3"/>
  <c r="N156" i="3" s="1"/>
  <c r="H64" i="3"/>
  <c r="G64" i="3"/>
  <c r="O64" i="3" s="1"/>
  <c r="P64" i="3" s="1"/>
  <c r="D12" i="3"/>
  <c r="H24" i="3"/>
  <c r="G24" i="3"/>
  <c r="O24" i="3" s="1"/>
  <c r="P24" i="3" s="1"/>
  <c r="D107" i="3"/>
  <c r="D157" i="3"/>
  <c r="Q150" i="3"/>
  <c r="P113" i="3"/>
  <c r="AC89" i="18"/>
  <c r="C89" i="15"/>
  <c r="C87" i="15"/>
  <c r="P68" i="3"/>
  <c r="P63" i="3"/>
  <c r="P130" i="3"/>
  <c r="AC75" i="18"/>
  <c r="P906" i="4"/>
  <c r="F32" i="16"/>
  <c r="O790" i="4"/>
  <c r="F35" i="16"/>
  <c r="M73" i="3"/>
  <c r="M58" i="3"/>
  <c r="M57" i="3"/>
  <c r="M56" i="3" s="1"/>
  <c r="AC83" i="18"/>
  <c r="AC81" i="18" s="1"/>
  <c r="F85" i="15"/>
  <c r="J85" i="15" s="1"/>
  <c r="E55" i="16"/>
  <c r="P31" i="3"/>
  <c r="AC188" i="17"/>
  <c r="P99" i="3"/>
  <c r="P41" i="3"/>
  <c r="Q94" i="3"/>
  <c r="P149" i="3"/>
  <c r="C122" i="15"/>
  <c r="I46" i="15"/>
  <c r="F111" i="15"/>
  <c r="J111" i="15"/>
  <c r="AC68" i="17"/>
  <c r="F15" i="15"/>
  <c r="J15" i="15"/>
  <c r="AC58" i="18"/>
  <c r="C77" i="15"/>
  <c r="E114" i="15"/>
  <c r="I114" i="15" s="1"/>
  <c r="P148" i="3"/>
  <c r="Q148" i="3" s="1"/>
  <c r="P82" i="3"/>
  <c r="Q82" i="3"/>
  <c r="P72" i="3"/>
  <c r="Q72" i="3" s="1"/>
  <c r="AC80" i="17"/>
  <c r="F115" i="15"/>
  <c r="J115" i="15"/>
  <c r="J42" i="15"/>
  <c r="AC34" i="17"/>
  <c r="P89" i="3"/>
  <c r="P25" i="3"/>
  <c r="Q25" i="3"/>
  <c r="G67" i="3"/>
  <c r="O67" i="3" s="1"/>
  <c r="H66" i="3"/>
  <c r="G66" i="3"/>
  <c r="O66" i="3" s="1"/>
  <c r="P66" i="3" s="1"/>
  <c r="F134" i="15"/>
  <c r="J134" i="15" s="1"/>
  <c r="I134" i="15"/>
  <c r="C90" i="3"/>
  <c r="N90" i="3"/>
  <c r="E72" i="15"/>
  <c r="I72" i="15"/>
  <c r="F72" i="15"/>
  <c r="J72" i="15" s="1"/>
  <c r="E99" i="16"/>
  <c r="E19" i="15"/>
  <c r="I19" i="15" s="1"/>
  <c r="F19" i="15"/>
  <c r="J19" i="15"/>
  <c r="E113" i="15"/>
  <c r="I113" i="15"/>
  <c r="J113" i="15"/>
  <c r="E71" i="15"/>
  <c r="I71" i="15"/>
  <c r="E50" i="16" s="1"/>
  <c r="F71" i="15"/>
  <c r="J71" i="15"/>
  <c r="G16" i="3"/>
  <c r="O16" i="3" s="1"/>
  <c r="H15" i="3"/>
  <c r="G15" i="3" s="1"/>
  <c r="O15" i="3" s="1"/>
  <c r="G156" i="3"/>
  <c r="O156" i="3"/>
  <c r="H158" i="3"/>
  <c r="G158" i="3"/>
  <c r="O158" i="3"/>
  <c r="C12" i="15"/>
  <c r="C138" i="3"/>
  <c r="N138" i="3"/>
  <c r="F48" i="15"/>
  <c r="J48" i="15"/>
  <c r="E48" i="15"/>
  <c r="I48" i="15"/>
  <c r="D6" i="15"/>
  <c r="F7" i="15"/>
  <c r="AC194" i="17"/>
  <c r="F29" i="15"/>
  <c r="J29" i="15"/>
  <c r="E85" i="16" s="1"/>
  <c r="E29" i="15"/>
  <c r="E68" i="15"/>
  <c r="I68" i="15"/>
  <c r="F68" i="15"/>
  <c r="M74" i="3"/>
  <c r="E132" i="15"/>
  <c r="I132" i="15" s="1"/>
  <c r="F132" i="15"/>
  <c r="J132" i="15"/>
  <c r="F10" i="15"/>
  <c r="J10" i="15"/>
  <c r="E67" i="16"/>
  <c r="E10" i="15"/>
  <c r="I10" i="15" s="1"/>
  <c r="E61" i="16" s="1"/>
  <c r="E82" i="15"/>
  <c r="I82" i="15"/>
  <c r="F82" i="15"/>
  <c r="J82" i="15"/>
  <c r="F25" i="15"/>
  <c r="J25" i="15" s="1"/>
  <c r="E81" i="16"/>
  <c r="E25" i="15"/>
  <c r="I25" i="15"/>
  <c r="E71" i="16"/>
  <c r="F36" i="15"/>
  <c r="J36" i="15"/>
  <c r="E36" i="15"/>
  <c r="I36" i="15" s="1"/>
  <c r="E47" i="15"/>
  <c r="I47" i="15"/>
  <c r="F47" i="15"/>
  <c r="J47" i="15"/>
  <c r="F74" i="15"/>
  <c r="J74" i="15" s="1"/>
  <c r="E74" i="15"/>
  <c r="I74" i="15"/>
  <c r="F46" i="15"/>
  <c r="J46" i="15"/>
  <c r="E26" i="15"/>
  <c r="I26" i="15"/>
  <c r="E72" i="16" s="1"/>
  <c r="F26" i="15"/>
  <c r="J26" i="15"/>
  <c r="E82" i="16"/>
  <c r="E61" i="15"/>
  <c r="F61" i="15"/>
  <c r="J61" i="15"/>
  <c r="F91" i="15"/>
  <c r="E91" i="15"/>
  <c r="I91" i="15" s="1"/>
  <c r="F31" i="15"/>
  <c r="J31" i="15" s="1"/>
  <c r="E87" i="16" s="1"/>
  <c r="E89" i="16" s="1"/>
  <c r="E31" i="15"/>
  <c r="I31" i="15"/>
  <c r="E77" i="16"/>
  <c r="F64" i="15"/>
  <c r="J64" i="15" s="1"/>
  <c r="E64" i="15"/>
  <c r="I64" i="15"/>
  <c r="E43" i="16" s="1"/>
  <c r="P119" i="3"/>
  <c r="C40" i="15"/>
  <c r="AC125" i="18"/>
  <c r="AC197" i="17"/>
  <c r="E107" i="15"/>
  <c r="I107" i="15" s="1"/>
  <c r="F107" i="15"/>
  <c r="J107" i="15"/>
  <c r="E111" i="15"/>
  <c r="I111" i="15" s="1"/>
  <c r="AC203" i="17"/>
  <c r="AC202" i="17" s="1"/>
  <c r="C35" i="3"/>
  <c r="N35" i="3" s="1"/>
  <c r="Q35" i="3"/>
  <c r="D34" i="3"/>
  <c r="C34" i="3"/>
  <c r="N34" i="3"/>
  <c r="Q34" i="3"/>
  <c r="P144" i="3"/>
  <c r="Q144" i="3" s="1"/>
  <c r="C129" i="15"/>
  <c r="P116" i="3"/>
  <c r="Q116" i="3" s="1"/>
  <c r="F38" i="15"/>
  <c r="J38" i="15"/>
  <c r="E38" i="15"/>
  <c r="I38" i="15"/>
  <c r="P162" i="3"/>
  <c r="AC65" i="17"/>
  <c r="P117" i="3"/>
  <c r="P26" i="3"/>
  <c r="Q26" i="3"/>
  <c r="AI149" i="17"/>
  <c r="AC148" i="17"/>
  <c r="AI148" i="17" s="1"/>
  <c r="P170" i="18"/>
  <c r="P172" i="18" s="1"/>
  <c r="K172" i="18"/>
  <c r="G51" i="3"/>
  <c r="O51" i="3" s="1"/>
  <c r="P51" i="3" s="1"/>
  <c r="H50" i="3"/>
  <c r="G50" i="3" s="1"/>
  <c r="O50" i="3" s="1"/>
  <c r="E106" i="15"/>
  <c r="I106" i="15" s="1"/>
  <c r="F106" i="15"/>
  <c r="J106" i="15"/>
  <c r="F116" i="15"/>
  <c r="J116" i="15"/>
  <c r="E116" i="15"/>
  <c r="I116" i="15"/>
  <c r="E125" i="15"/>
  <c r="I125" i="15"/>
  <c r="F125" i="15"/>
  <c r="J125" i="15" s="1"/>
  <c r="G98" i="3"/>
  <c r="O98" i="3"/>
  <c r="P98" i="3"/>
  <c r="H102" i="3"/>
  <c r="G102" i="3" s="1"/>
  <c r="O102" i="3" s="1"/>
  <c r="F136" i="15"/>
  <c r="J136" i="15"/>
  <c r="E136" i="15"/>
  <c r="I136" i="15"/>
  <c r="C103" i="15"/>
  <c r="C101" i="15" s="1"/>
  <c r="C86" i="15" s="1"/>
  <c r="Q11" i="3"/>
  <c r="AC114" i="18"/>
  <c r="AC113" i="18" s="1"/>
  <c r="D74" i="3"/>
  <c r="C77" i="3"/>
  <c r="N77" i="3"/>
  <c r="P77" i="3" s="1"/>
  <c r="E108" i="15"/>
  <c r="I108" i="15"/>
  <c r="F108" i="15"/>
  <c r="J108" i="15"/>
  <c r="E92" i="15"/>
  <c r="I92" i="15" s="1"/>
  <c r="F92" i="15"/>
  <c r="J92" i="15" s="1"/>
  <c r="P134" i="3"/>
  <c r="L58" i="3"/>
  <c r="L57" i="3"/>
  <c r="E21" i="15"/>
  <c r="I21" i="15" s="1"/>
  <c r="F21" i="15"/>
  <c r="J21" i="15" s="1"/>
  <c r="F114" i="15"/>
  <c r="J114" i="15"/>
  <c r="P164" i="3"/>
  <c r="Q164" i="3" s="1"/>
  <c r="AC36" i="18"/>
  <c r="AC34" i="18"/>
  <c r="F27" i="15"/>
  <c r="J27" i="15" s="1"/>
  <c r="E83" i="16" s="1"/>
  <c r="E27" i="15"/>
  <c r="I27" i="15"/>
  <c r="E73" i="16" s="1"/>
  <c r="C93" i="3"/>
  <c r="N93" i="3" s="1"/>
  <c r="Q93" i="3" s="1"/>
  <c r="D95" i="3"/>
  <c r="C95" i="3"/>
  <c r="N95" i="3"/>
  <c r="C9" i="3"/>
  <c r="N9" i="3" s="1"/>
  <c r="C133" i="3"/>
  <c r="N133" i="3"/>
  <c r="P133" i="3" s="1"/>
  <c r="P135" i="3"/>
  <c r="Q135" i="3" s="1"/>
  <c r="F97" i="15"/>
  <c r="J97" i="15"/>
  <c r="F124" i="15"/>
  <c r="J124" i="15" s="1"/>
  <c r="E124" i="15"/>
  <c r="I124" i="15" s="1"/>
  <c r="C67" i="3"/>
  <c r="N67" i="3" s="1"/>
  <c r="D18" i="3"/>
  <c r="C18" i="3"/>
  <c r="N18" i="3"/>
  <c r="C19" i="3"/>
  <c r="N19" i="3" s="1"/>
  <c r="C109" i="15"/>
  <c r="AC191" i="17"/>
  <c r="E34" i="15"/>
  <c r="D33" i="15"/>
  <c r="F34" i="15"/>
  <c r="F104" i="15"/>
  <c r="F103" i="15"/>
  <c r="E104" i="15"/>
  <c r="D103" i="15"/>
  <c r="AC40" i="17"/>
  <c r="AC159" i="18"/>
  <c r="G47" i="3"/>
  <c r="O47" i="3"/>
  <c r="H46" i="3"/>
  <c r="C129" i="3"/>
  <c r="N129" i="3"/>
  <c r="D131" i="3"/>
  <c r="C131" i="3" s="1"/>
  <c r="N131" i="3" s="1"/>
  <c r="P20" i="3"/>
  <c r="Q20" i="3" s="1"/>
  <c r="G161" i="3"/>
  <c r="O161" i="3" s="1"/>
  <c r="P161" i="3" s="1"/>
  <c r="H165" i="3"/>
  <c r="G165" i="3"/>
  <c r="O165" i="3" s="1"/>
  <c r="F44" i="15"/>
  <c r="J44" i="15" s="1"/>
  <c r="E44" i="15"/>
  <c r="I44" i="15"/>
  <c r="G75" i="3"/>
  <c r="O75" i="3" s="1"/>
  <c r="H74" i="3"/>
  <c r="C40" i="3"/>
  <c r="N40" i="3" s="1"/>
  <c r="P40" i="3" s="1"/>
  <c r="C47" i="3"/>
  <c r="N47" i="3" s="1"/>
  <c r="D46" i="3"/>
  <c r="P110" i="3"/>
  <c r="E139" i="15"/>
  <c r="I139" i="15"/>
  <c r="F139" i="15"/>
  <c r="J139" i="15" s="1"/>
  <c r="E34" i="16" s="1"/>
  <c r="G9" i="3"/>
  <c r="O9" i="3"/>
  <c r="AC98" i="17"/>
  <c r="AC97" i="17"/>
  <c r="AI97" i="17"/>
  <c r="F137" i="15"/>
  <c r="J137" i="15" s="1"/>
  <c r="F121" i="15"/>
  <c r="J121" i="15"/>
  <c r="D58" i="15"/>
  <c r="F59" i="15"/>
  <c r="C17" i="15"/>
  <c r="E30" i="15"/>
  <c r="I30" i="15" s="1"/>
  <c r="E76" i="16" s="1"/>
  <c r="G19" i="3"/>
  <c r="O19" i="3"/>
  <c r="H18" i="3"/>
  <c r="D126" i="15"/>
  <c r="E127" i="15"/>
  <c r="F127" i="15"/>
  <c r="C23" i="15"/>
  <c r="C22" i="15" s="1"/>
  <c r="G35" i="3"/>
  <c r="O35" i="3"/>
  <c r="G34" i="3"/>
  <c r="O34" i="3" s="1"/>
  <c r="P34" i="3" s="1"/>
  <c r="D102" i="3"/>
  <c r="C102" i="3" s="1"/>
  <c r="N102" i="3" s="1"/>
  <c r="C100" i="3"/>
  <c r="N100" i="3" s="1"/>
  <c r="E88" i="15"/>
  <c r="I88" i="15"/>
  <c r="F88" i="15"/>
  <c r="J88" i="15"/>
  <c r="E70" i="15"/>
  <c r="I70" i="15" s="1"/>
  <c r="F41" i="15"/>
  <c r="E41" i="15"/>
  <c r="I41" i="15"/>
  <c r="D40" i="15"/>
  <c r="E54" i="15"/>
  <c r="D53" i="15"/>
  <c r="F54" i="15"/>
  <c r="O138" i="3"/>
  <c r="C109" i="3"/>
  <c r="N109" i="3"/>
  <c r="Q109" i="3"/>
  <c r="D108" i="3"/>
  <c r="C108" i="3"/>
  <c r="N108" i="3"/>
  <c r="Q108" i="3" s="1"/>
  <c r="F55" i="15"/>
  <c r="J55" i="15" s="1"/>
  <c r="E55" i="15"/>
  <c r="E65" i="15"/>
  <c r="I65" i="15" s="1"/>
  <c r="E44" i="16" s="1"/>
  <c r="F65" i="15"/>
  <c r="J65" i="15"/>
  <c r="C59" i="3"/>
  <c r="N59" i="3"/>
  <c r="F32" i="15"/>
  <c r="J32" i="15"/>
  <c r="E88" i="16" s="1"/>
  <c r="E32" i="15"/>
  <c r="I32" i="15"/>
  <c r="E78" i="16"/>
  <c r="E102" i="15"/>
  <c r="F102" i="15"/>
  <c r="J102" i="15" s="1"/>
  <c r="E95" i="15"/>
  <c r="I95" i="15"/>
  <c r="E13" i="16" s="1"/>
  <c r="F95" i="15"/>
  <c r="J95" i="15" s="1"/>
  <c r="E15" i="15"/>
  <c r="I15" i="15"/>
  <c r="AC131" i="18"/>
  <c r="P17" i="3"/>
  <c r="P36" i="3"/>
  <c r="P55" i="3"/>
  <c r="M50" i="3"/>
  <c r="E119" i="15"/>
  <c r="I119" i="15"/>
  <c r="F119" i="15"/>
  <c r="J119" i="15" s="1"/>
  <c r="M46" i="3"/>
  <c r="F14" i="15"/>
  <c r="J14" i="15" s="1"/>
  <c r="AC74" i="17"/>
  <c r="AC60" i="17" s="1"/>
  <c r="E7" i="15"/>
  <c r="I7" i="15" s="1"/>
  <c r="E58" i="16" s="1"/>
  <c r="C6" i="15"/>
  <c r="D127" i="3"/>
  <c r="C127" i="3" s="1"/>
  <c r="N127" i="3" s="1"/>
  <c r="C126" i="3"/>
  <c r="N126" i="3"/>
  <c r="P126" i="3" s="1"/>
  <c r="Q126" i="3"/>
  <c r="E59" i="15"/>
  <c r="C58" i="15"/>
  <c r="D49" i="15"/>
  <c r="E50" i="15"/>
  <c r="E49" i="15" s="1"/>
  <c r="F50" i="15"/>
  <c r="F49" i="15"/>
  <c r="E115" i="15"/>
  <c r="I115" i="15" s="1"/>
  <c r="F141" i="15"/>
  <c r="J141" i="15"/>
  <c r="E141" i="15"/>
  <c r="I141" i="15" s="1"/>
  <c r="G30" i="3"/>
  <c r="O30" i="3"/>
  <c r="E57" i="15"/>
  <c r="I57" i="15"/>
  <c r="E120" i="15"/>
  <c r="I120" i="15" s="1"/>
  <c r="F120" i="15"/>
  <c r="J120" i="15" s="1"/>
  <c r="E138" i="15"/>
  <c r="I138" i="15" s="1"/>
  <c r="E33" i="16" s="1"/>
  <c r="F138" i="15"/>
  <c r="J138" i="15"/>
  <c r="F130" i="15"/>
  <c r="J130" i="15"/>
  <c r="E130" i="15"/>
  <c r="E51" i="15"/>
  <c r="I51" i="15"/>
  <c r="E91" i="16" s="1"/>
  <c r="F51" i="15"/>
  <c r="J51" i="15"/>
  <c r="E94" i="16"/>
  <c r="E66" i="15"/>
  <c r="I66" i="15" s="1"/>
  <c r="F66" i="15"/>
  <c r="J66" i="15"/>
  <c r="E98" i="15"/>
  <c r="I98" i="15"/>
  <c r="F98" i="15"/>
  <c r="J98" i="15"/>
  <c r="E110" i="15"/>
  <c r="D109" i="15"/>
  <c r="D101" i="15" s="1"/>
  <c r="F110" i="15"/>
  <c r="AC122" i="17"/>
  <c r="G40" i="3"/>
  <c r="O40" i="3"/>
  <c r="H39" i="3"/>
  <c r="G39" i="3" s="1"/>
  <c r="O39" i="3" s="1"/>
  <c r="C51" i="3"/>
  <c r="N51" i="3"/>
  <c r="Q51" i="3"/>
  <c r="D50" i="3"/>
  <c r="C50" i="3" s="1"/>
  <c r="N50" i="3" s="1"/>
  <c r="Q50" i="3" s="1"/>
  <c r="E118" i="15"/>
  <c r="E117" i="15" s="1"/>
  <c r="D117" i="15"/>
  <c r="F118" i="15"/>
  <c r="J118" i="15"/>
  <c r="F56" i="15"/>
  <c r="J56" i="15" s="1"/>
  <c r="E56" i="15"/>
  <c r="I56" i="15"/>
  <c r="G129" i="3"/>
  <c r="O129" i="3"/>
  <c r="H131" i="3"/>
  <c r="G131" i="3"/>
  <c r="O131" i="3"/>
  <c r="P131" i="3" s="1"/>
  <c r="Q131" i="3" s="1"/>
  <c r="D129" i="15"/>
  <c r="E137" i="15"/>
  <c r="I137" i="15" s="1"/>
  <c r="AC88" i="17"/>
  <c r="E85" i="15"/>
  <c r="I85" i="15"/>
  <c r="E43" i="15"/>
  <c r="E40" i="15" s="1"/>
  <c r="I43" i="15"/>
  <c r="F43" i="15"/>
  <c r="J43" i="15" s="1"/>
  <c r="F75" i="15"/>
  <c r="J75" i="15"/>
  <c r="E75" i="15"/>
  <c r="E73" i="15"/>
  <c r="I73" i="15"/>
  <c r="F73" i="15"/>
  <c r="J73" i="15"/>
  <c r="E100" i="16" s="1"/>
  <c r="F93" i="15"/>
  <c r="J93" i="15" s="1"/>
  <c r="E93" i="15"/>
  <c r="I93" i="15"/>
  <c r="C161" i="3"/>
  <c r="N161" i="3"/>
  <c r="D165" i="3"/>
  <c r="C165" i="3" s="1"/>
  <c r="N165" i="3" s="1"/>
  <c r="E94" i="15"/>
  <c r="I94" i="15"/>
  <c r="F94" i="15"/>
  <c r="J94" i="15" s="1"/>
  <c r="P70" i="3"/>
  <c r="E11" i="15"/>
  <c r="I11" i="15" s="1"/>
  <c r="E62" i="16" s="1"/>
  <c r="F11" i="15"/>
  <c r="J11" i="15"/>
  <c r="E68" i="16"/>
  <c r="F90" i="15"/>
  <c r="E90" i="15"/>
  <c r="E89" i="15" s="1"/>
  <c r="D89" i="15"/>
  <c r="D87" i="15" s="1"/>
  <c r="AC66" i="18"/>
  <c r="F9" i="15"/>
  <c r="J9" i="15" s="1"/>
  <c r="E66" i="16" s="1"/>
  <c r="E9" i="15"/>
  <c r="I9" i="15"/>
  <c r="E60" i="16" s="1"/>
  <c r="AC112" i="17"/>
  <c r="F35" i="15"/>
  <c r="E35" i="15"/>
  <c r="I35" i="15"/>
  <c r="F28" i="15"/>
  <c r="J28" i="15" s="1"/>
  <c r="E84" i="16" s="1"/>
  <c r="E28" i="15"/>
  <c r="I28" i="15"/>
  <c r="E74" i="16" s="1"/>
  <c r="F16" i="15"/>
  <c r="J16" i="15" s="1"/>
  <c r="E16" i="15"/>
  <c r="I16" i="15"/>
  <c r="C33" i="15"/>
  <c r="E140" i="15"/>
  <c r="I140" i="15" s="1"/>
  <c r="E35" i="16"/>
  <c r="F140" i="15"/>
  <c r="J140" i="15" s="1"/>
  <c r="E62" i="15"/>
  <c r="I62" i="15"/>
  <c r="E41" i="16" s="1"/>
  <c r="F133" i="15"/>
  <c r="J133" i="15" s="1"/>
  <c r="E133" i="15"/>
  <c r="I133" i="15" s="1"/>
  <c r="E29" i="16" s="1"/>
  <c r="G122" i="3"/>
  <c r="O122" i="3" s="1"/>
  <c r="P122" i="3"/>
  <c r="AC154" i="18"/>
  <c r="AC150" i="18" s="1"/>
  <c r="AC46" i="17"/>
  <c r="F131" i="15"/>
  <c r="J131" i="15" s="1"/>
  <c r="E131" i="15"/>
  <c r="I131" i="15" s="1"/>
  <c r="M141" i="3"/>
  <c r="M137" i="3" s="1"/>
  <c r="M154" i="3" s="1"/>
  <c r="E42" i="15"/>
  <c r="I42" i="15"/>
  <c r="AC61" i="17"/>
  <c r="F128" i="15"/>
  <c r="J128" i="15" s="1"/>
  <c r="E17" i="16" s="1"/>
  <c r="E128" i="15"/>
  <c r="I128" i="15" s="1"/>
  <c r="E18" i="16" s="1"/>
  <c r="F78" i="15"/>
  <c r="J78" i="15" s="1"/>
  <c r="F77" i="15"/>
  <c r="D77" i="15"/>
  <c r="E78" i="15"/>
  <c r="F67" i="15"/>
  <c r="J67" i="15"/>
  <c r="E46" i="16" s="1"/>
  <c r="E67" i="15"/>
  <c r="I67" i="15"/>
  <c r="G93" i="3"/>
  <c r="O93" i="3"/>
  <c r="P93" i="3" s="1"/>
  <c r="H95" i="3"/>
  <c r="G95" i="3"/>
  <c r="O95" i="3" s="1"/>
  <c r="P95" i="3" s="1"/>
  <c r="Q95" i="3" s="1"/>
  <c r="C53" i="15"/>
  <c r="AC84" i="17"/>
  <c r="F69" i="15"/>
  <c r="J69" i="15"/>
  <c r="E48" i="16" s="1"/>
  <c r="E69" i="15"/>
  <c r="I69" i="15"/>
  <c r="F8" i="15"/>
  <c r="J8" i="15"/>
  <c r="E65" i="16"/>
  <c r="E8" i="15"/>
  <c r="E6" i="15" s="1"/>
  <c r="I8" i="15"/>
  <c r="G87" i="3"/>
  <c r="O87" i="3"/>
  <c r="H86" i="3"/>
  <c r="AC44" i="18"/>
  <c r="C75" i="3"/>
  <c r="N75" i="3"/>
  <c r="Q75" i="3"/>
  <c r="D73" i="3"/>
  <c r="C73" i="3" s="1"/>
  <c r="N73" i="3"/>
  <c r="C142" i="3"/>
  <c r="N142" i="3"/>
  <c r="Q142" i="3"/>
  <c r="D141" i="3"/>
  <c r="C141" i="3"/>
  <c r="N141" i="3"/>
  <c r="AC95" i="18"/>
  <c r="F20" i="15"/>
  <c r="J20" i="15" s="1"/>
  <c r="E20" i="15"/>
  <c r="I20" i="15" s="1"/>
  <c r="F79" i="15"/>
  <c r="J79" i="15"/>
  <c r="E79" i="15"/>
  <c r="I79" i="15"/>
  <c r="F60" i="15"/>
  <c r="J60" i="15"/>
  <c r="E60" i="15"/>
  <c r="I60" i="15"/>
  <c r="E37" i="15"/>
  <c r="I37" i="15"/>
  <c r="F37" i="15"/>
  <c r="J37" i="15" s="1"/>
  <c r="C117" i="15"/>
  <c r="L34" i="3"/>
  <c r="E96" i="15"/>
  <c r="I96" i="15"/>
  <c r="E105" i="15"/>
  <c r="I105" i="15" s="1"/>
  <c r="F105" i="15"/>
  <c r="J105" i="15"/>
  <c r="H83" i="3"/>
  <c r="G83" i="3"/>
  <c r="O83" i="3"/>
  <c r="G84" i="3"/>
  <c r="O84" i="3"/>
  <c r="P84" i="3" s="1"/>
  <c r="F135" i="15"/>
  <c r="J135" i="15" s="1"/>
  <c r="E135" i="15"/>
  <c r="I135" i="15"/>
  <c r="G59" i="3"/>
  <c r="O59" i="3"/>
  <c r="H58" i="3"/>
  <c r="G58" i="3" s="1"/>
  <c r="O58" i="3" s="1"/>
  <c r="I84" i="15"/>
  <c r="F84" i="15"/>
  <c r="J84" i="15" s="1"/>
  <c r="AC159" i="17"/>
  <c r="P112" i="3"/>
  <c r="Q112" i="3" s="1"/>
  <c r="F45" i="15"/>
  <c r="J45" i="15"/>
  <c r="E45" i="15"/>
  <c r="I45" i="15"/>
  <c r="AC170" i="17"/>
  <c r="AC169" i="17"/>
  <c r="AI169" i="17"/>
  <c r="E81" i="15"/>
  <c r="E80" i="15" s="1"/>
  <c r="F81" i="15"/>
  <c r="D80" i="15"/>
  <c r="C30" i="3"/>
  <c r="N30" i="3"/>
  <c r="Q30" i="3" s="1"/>
  <c r="D29" i="3"/>
  <c r="D28" i="3"/>
  <c r="F123" i="15"/>
  <c r="J123" i="15" s="1"/>
  <c r="E123" i="15"/>
  <c r="D122" i="15"/>
  <c r="F83" i="15"/>
  <c r="E83" i="15"/>
  <c r="I83" i="15"/>
  <c r="AC55" i="17"/>
  <c r="E39" i="15"/>
  <c r="I39" i="15" s="1"/>
  <c r="F39" i="15"/>
  <c r="J39" i="15" s="1"/>
  <c r="F112" i="15"/>
  <c r="J112" i="15"/>
  <c r="E112" i="15"/>
  <c r="I112" i="15"/>
  <c r="C49" i="15"/>
  <c r="P65" i="3"/>
  <c r="P136" i="3"/>
  <c r="Q136" i="3" s="1"/>
  <c r="C80" i="15"/>
  <c r="AC77" i="17"/>
  <c r="L29" i="3"/>
  <c r="P123" i="3"/>
  <c r="Q123" i="3" s="1"/>
  <c r="L141" i="3"/>
  <c r="L137" i="3"/>
  <c r="L154" i="3" s="1"/>
  <c r="E18" i="15"/>
  <c r="I18" i="15"/>
  <c r="D17" i="15"/>
  <c r="F18" i="15"/>
  <c r="F76" i="15"/>
  <c r="J76" i="15"/>
  <c r="E76" i="15"/>
  <c r="I76" i="15" s="1"/>
  <c r="AC37" i="17"/>
  <c r="F13" i="15"/>
  <c r="J13" i="15"/>
  <c r="D12" i="15"/>
  <c r="E13" i="15"/>
  <c r="I13" i="15" s="1"/>
  <c r="P32" i="3"/>
  <c r="E24" i="15"/>
  <c r="F24" i="15"/>
  <c r="D23" i="15"/>
  <c r="F63" i="15"/>
  <c r="J63" i="15"/>
  <c r="E42" i="16"/>
  <c r="E63" i="15"/>
  <c r="I63" i="15"/>
  <c r="O142" i="3"/>
  <c r="P142" i="3"/>
  <c r="D86" i="3"/>
  <c r="C86" i="3" s="1"/>
  <c r="N86" i="3" s="1"/>
  <c r="H29" i="3"/>
  <c r="L73" i="3"/>
  <c r="H108" i="3"/>
  <c r="H106" i="3" s="1"/>
  <c r="D66" i="3"/>
  <c r="C66" i="3" s="1"/>
  <c r="N66" i="3"/>
  <c r="H73" i="3"/>
  <c r="C16" i="3"/>
  <c r="N16" i="3" s="1"/>
  <c r="P16" i="3" s="1"/>
  <c r="Q16" i="3" s="1"/>
  <c r="F28" i="16"/>
  <c r="F29" i="16"/>
  <c r="H8" i="3"/>
  <c r="G8" i="3"/>
  <c r="O8" i="3" s="1"/>
  <c r="F33" i="16"/>
  <c r="F34" i="16"/>
  <c r="F31" i="16"/>
  <c r="F30" i="16"/>
  <c r="AC33" i="17"/>
  <c r="P790" i="4"/>
  <c r="A790" i="4"/>
  <c r="AC64" i="17"/>
  <c r="AC32" i="18"/>
  <c r="AJ32" i="18" s="1"/>
  <c r="J54" i="15"/>
  <c r="J53" i="15"/>
  <c r="J81" i="15"/>
  <c r="I81" i="15"/>
  <c r="I80" i="15" s="1"/>
  <c r="H57" i="3"/>
  <c r="G57" i="3" s="1"/>
  <c r="O57" i="3" s="1"/>
  <c r="D5" i="15"/>
  <c r="I90" i="15"/>
  <c r="I89" i="15" s="1"/>
  <c r="E12" i="16" s="1"/>
  <c r="E14" i="16" s="1"/>
  <c r="AC111" i="17"/>
  <c r="AI111" i="17" s="1"/>
  <c r="I123" i="15"/>
  <c r="I122" i="15"/>
  <c r="E122" i="15"/>
  <c r="J77" i="15"/>
  <c r="I130" i="15"/>
  <c r="P30" i="3"/>
  <c r="I102" i="15"/>
  <c r="I127" i="15"/>
  <c r="E16" i="16" s="1"/>
  <c r="I126" i="15"/>
  <c r="G46" i="3"/>
  <c r="O46" i="3" s="1"/>
  <c r="AC147" i="17"/>
  <c r="AI147" i="17" s="1"/>
  <c r="I118" i="15"/>
  <c r="I117" i="15" s="1"/>
  <c r="J50" i="15"/>
  <c r="L28" i="3"/>
  <c r="C52" i="15"/>
  <c r="G108" i="3"/>
  <c r="O108" i="3" s="1"/>
  <c r="P108" i="3" s="1"/>
  <c r="I34" i="15"/>
  <c r="I33" i="15" s="1"/>
  <c r="J18" i="15"/>
  <c r="J17" i="15"/>
  <c r="F17" i="15"/>
  <c r="J90" i="15"/>
  <c r="I78" i="15"/>
  <c r="I77" i="15" s="1"/>
  <c r="J59" i="15"/>
  <c r="G86" i="3"/>
  <c r="O86" i="3"/>
  <c r="P86" i="3" s="1"/>
  <c r="I59" i="15"/>
  <c r="E38" i="16"/>
  <c r="AI131" i="17"/>
  <c r="D137" i="3"/>
  <c r="D154" i="3" s="1"/>
  <c r="C154" i="3" s="1"/>
  <c r="N154" i="3" s="1"/>
  <c r="C15" i="3"/>
  <c r="N15" i="3"/>
  <c r="J24" i="15"/>
  <c r="E80" i="16" s="1"/>
  <c r="P138" i="3"/>
  <c r="I104" i="15"/>
  <c r="I103" i="15" s="1"/>
  <c r="F117" i="15"/>
  <c r="E12" i="15"/>
  <c r="H56" i="3"/>
  <c r="C28" i="3"/>
  <c r="N28" i="3" s="1"/>
  <c r="Q161" i="3"/>
  <c r="I75" i="15"/>
  <c r="D45" i="3"/>
  <c r="C46" i="3"/>
  <c r="N46" i="3" s="1"/>
  <c r="AJ89" i="18"/>
  <c r="Q54" i="3"/>
  <c r="P54" i="3"/>
  <c r="J122" i="15"/>
  <c r="H28" i="3"/>
  <c r="G29" i="3"/>
  <c r="O29" i="3" s="1"/>
  <c r="P29" i="3" s="1"/>
  <c r="E39" i="16"/>
  <c r="P100" i="3"/>
  <c r="Q100" i="3"/>
  <c r="E93" i="16"/>
  <c r="E95" i="16"/>
  <c r="J49" i="15"/>
  <c r="AI33" i="17"/>
  <c r="Q66" i="3"/>
  <c r="D86" i="15"/>
  <c r="E32" i="16"/>
  <c r="N137" i="3"/>
  <c r="J35" i="15"/>
  <c r="I29" i="15"/>
  <c r="E75" i="16" s="1"/>
  <c r="Q156" i="3"/>
  <c r="P156" i="3"/>
  <c r="P67" i="3"/>
  <c r="E109" i="16"/>
  <c r="I17" i="15"/>
  <c r="F122" i="15"/>
  <c r="P129" i="3"/>
  <c r="Q129" i="3" s="1"/>
  <c r="N83" i="3"/>
  <c r="P83" i="3" s="1"/>
  <c r="Q83" i="3"/>
  <c r="I54" i="15"/>
  <c r="P35" i="3"/>
  <c r="P90" i="3"/>
  <c r="Q90" i="3"/>
  <c r="C29" i="3"/>
  <c r="N29" i="3"/>
  <c r="Q29" i="3"/>
  <c r="J104" i="15"/>
  <c r="J103" i="15" s="1"/>
  <c r="H141" i="3"/>
  <c r="H137" i="3" s="1"/>
  <c r="P50" i="3"/>
  <c r="Q153" i="3"/>
  <c r="C84" i="3"/>
  <c r="N84" i="3"/>
  <c r="Q84" i="3"/>
  <c r="E31" i="16"/>
  <c r="Q77" i="3"/>
  <c r="Q69" i="3"/>
  <c r="P69" i="3"/>
  <c r="Q133" i="3"/>
  <c r="Q143" i="3"/>
  <c r="E101" i="16"/>
  <c r="Q23" i="3"/>
  <c r="F12" i="15"/>
  <c r="P87" i="3"/>
  <c r="G18" i="3"/>
  <c r="O18" i="3"/>
  <c r="P18" i="3" s="1"/>
  <c r="Q18" i="3" s="1"/>
  <c r="G124" i="3"/>
  <c r="O124" i="3" s="1"/>
  <c r="P124" i="3" s="1"/>
  <c r="H127" i="3"/>
  <c r="G127" i="3" s="1"/>
  <c r="O127" i="3" s="1"/>
  <c r="P127" i="3" s="1"/>
  <c r="P27" i="3"/>
  <c r="Q27" i="3"/>
  <c r="P21" i="3"/>
  <c r="Q21" i="3" s="1"/>
  <c r="Q88" i="3"/>
  <c r="Q22" i="3"/>
  <c r="P115" i="3"/>
  <c r="Q115" i="3"/>
  <c r="P79" i="3"/>
  <c r="Q79" i="3" s="1"/>
  <c r="P43" i="3"/>
  <c r="Q41" i="3"/>
  <c r="I37" i="3"/>
  <c r="Q130" i="3"/>
  <c r="P62" i="3"/>
  <c r="Q62" i="3"/>
  <c r="Q125" i="3"/>
  <c r="P101" i="3"/>
  <c r="Q101" i="3"/>
  <c r="F44" i="3"/>
  <c r="I91" i="3"/>
  <c r="E37" i="3"/>
  <c r="F91" i="3"/>
  <c r="I159" i="3"/>
  <c r="S10" i="1"/>
  <c r="V10" i="1" s="1"/>
  <c r="J56" i="3"/>
  <c r="G56" i="3"/>
  <c r="O56" i="3" s="1"/>
  <c r="I74" i="3"/>
  <c r="G74" i="3" s="1"/>
  <c r="O74" i="3"/>
  <c r="H120" i="3"/>
  <c r="G28" i="3"/>
  <c r="O28" i="3" s="1"/>
  <c r="I96" i="3"/>
  <c r="I167" i="3" s="1"/>
  <c r="G141" i="3"/>
  <c r="O141" i="3" s="1"/>
  <c r="H154" i="3"/>
  <c r="G137" i="3"/>
  <c r="S12" i="1"/>
  <c r="V12" i="1" s="1"/>
  <c r="P46" i="3" l="1"/>
  <c r="Q46" i="3"/>
  <c r="O137" i="3"/>
  <c r="P137" i="3" s="1"/>
  <c r="Q137" i="3" s="1"/>
  <c r="P141" i="3"/>
  <c r="Q141" i="3" s="1"/>
  <c r="P165" i="3"/>
  <c r="Q165" i="3"/>
  <c r="Q127" i="3"/>
  <c r="Q28" i="3"/>
  <c r="P28" i="3"/>
  <c r="J101" i="15"/>
  <c r="C137" i="3"/>
  <c r="H159" i="3"/>
  <c r="J23" i="15"/>
  <c r="C45" i="3"/>
  <c r="N45" i="3" s="1"/>
  <c r="E59" i="16"/>
  <c r="E63" i="16" s="1"/>
  <c r="I6" i="15"/>
  <c r="I5" i="15" s="1"/>
  <c r="E102" i="16"/>
  <c r="P47" i="3"/>
  <c r="J34" i="15"/>
  <c r="F33" i="15"/>
  <c r="AC183" i="17"/>
  <c r="AC130" i="17" s="1"/>
  <c r="E96" i="16"/>
  <c r="Q86" i="3"/>
  <c r="D22" i="15"/>
  <c r="E53" i="16"/>
  <c r="E104" i="16"/>
  <c r="D104" i="16"/>
  <c r="I87" i="15"/>
  <c r="Q47" i="3"/>
  <c r="Q67" i="3"/>
  <c r="Q9" i="3"/>
  <c r="P9" i="3"/>
  <c r="F6" i="15"/>
  <c r="F5" i="15" s="1"/>
  <c r="J7" i="15"/>
  <c r="E30" i="16"/>
  <c r="C12" i="3"/>
  <c r="N12" i="3" s="1"/>
  <c r="D8" i="3"/>
  <c r="C8" i="3" s="1"/>
  <c r="N8" i="3" s="1"/>
  <c r="C42" i="3"/>
  <c r="N42" i="3" s="1"/>
  <c r="D39" i="3"/>
  <c r="C39" i="3" s="1"/>
  <c r="N39" i="3" s="1"/>
  <c r="Q80" i="3"/>
  <c r="P80" i="3"/>
  <c r="Q87" i="3"/>
  <c r="E87" i="15"/>
  <c r="I40" i="15"/>
  <c r="E22" i="16" s="1"/>
  <c r="Q40" i="3"/>
  <c r="D4" i="15"/>
  <c r="F126" i="15"/>
  <c r="J127" i="15"/>
  <c r="I129" i="15"/>
  <c r="E110" i="16"/>
  <c r="F80" i="15"/>
  <c r="J83" i="15"/>
  <c r="J80" i="15" s="1"/>
  <c r="J129" i="15"/>
  <c r="E45" i="16"/>
  <c r="J117" i="15"/>
  <c r="F40" i="15"/>
  <c r="J41" i="15"/>
  <c r="J40" i="15" s="1"/>
  <c r="E21" i="16" s="1"/>
  <c r="P19" i="3"/>
  <c r="Q19" i="3" s="1"/>
  <c r="F58" i="15"/>
  <c r="J68" i="15"/>
  <c r="E47" i="16" s="1"/>
  <c r="I24" i="15"/>
  <c r="E23" i="15"/>
  <c r="E22" i="15" s="1"/>
  <c r="E129" i="15"/>
  <c r="AC32" i="17"/>
  <c r="G106" i="3"/>
  <c r="O106" i="3" s="1"/>
  <c r="E28" i="16"/>
  <c r="F53" i="15"/>
  <c r="H45" i="3"/>
  <c r="E58" i="15"/>
  <c r="I61" i="15"/>
  <c r="E40" i="16" s="1"/>
  <c r="P15" i="3"/>
  <c r="Q15" i="3" s="1"/>
  <c r="D58" i="3"/>
  <c r="C61" i="3"/>
  <c r="N61" i="3" s="1"/>
  <c r="E103" i="16"/>
  <c r="F129" i="15"/>
  <c r="D52" i="15"/>
  <c r="L56" i="3"/>
  <c r="L44" i="3" s="1"/>
  <c r="Q138" i="3"/>
  <c r="H14" i="3"/>
  <c r="P10" i="3"/>
  <c r="E9" i="16"/>
  <c r="I12" i="15"/>
  <c r="J58" i="15"/>
  <c r="J52" i="15" s="1"/>
  <c r="E77" i="15"/>
  <c r="M45" i="3"/>
  <c r="M44" i="3" s="1"/>
  <c r="E33" i="15"/>
  <c r="J91" i="15"/>
  <c r="J89" i="15" s="1"/>
  <c r="J87" i="15" s="1"/>
  <c r="F89" i="15"/>
  <c r="F87" i="15" s="1"/>
  <c r="J12" i="15"/>
  <c r="E10" i="16" s="1"/>
  <c r="P59" i="3"/>
  <c r="Q59" i="3" s="1"/>
  <c r="C157" i="3"/>
  <c r="N157" i="3" s="1"/>
  <c r="D158" i="3"/>
  <c r="C158" i="3" s="1"/>
  <c r="N158" i="3" s="1"/>
  <c r="J110" i="15"/>
  <c r="J109" i="15" s="1"/>
  <c r="E24" i="16" s="1"/>
  <c r="F109" i="15"/>
  <c r="F101" i="15" s="1"/>
  <c r="E106" i="16"/>
  <c r="E103" i="15"/>
  <c r="P102" i="3"/>
  <c r="Q102" i="3" s="1"/>
  <c r="C107" i="3"/>
  <c r="N107" i="3" s="1"/>
  <c r="D106" i="3"/>
  <c r="P109" i="3"/>
  <c r="P13" i="3"/>
  <c r="Q13" i="3"/>
  <c r="I50" i="15"/>
  <c r="F23" i="15"/>
  <c r="E109" i="15"/>
  <c r="I110" i="15"/>
  <c r="I109" i="15" s="1"/>
  <c r="E37" i="16"/>
  <c r="E53" i="15"/>
  <c r="E52" i="15" s="1"/>
  <c r="I55" i="15"/>
  <c r="P75" i="3"/>
  <c r="D14" i="3"/>
  <c r="E49" i="16"/>
  <c r="E17" i="15"/>
  <c r="E5" i="15" s="1"/>
  <c r="E4" i="15" s="1"/>
  <c r="E3" i="15" s="1"/>
  <c r="P111" i="3"/>
  <c r="Q81" i="3"/>
  <c r="P81" i="3"/>
  <c r="C5" i="15"/>
  <c r="C4" i="15" s="1"/>
  <c r="C3" i="15" s="1"/>
  <c r="E126" i="15"/>
  <c r="P147" i="3"/>
  <c r="Q147" i="3"/>
  <c r="AC56" i="18"/>
  <c r="Q78" i="3"/>
  <c r="P78" i="3"/>
  <c r="J37" i="3"/>
  <c r="J137" i="3"/>
  <c r="J154" i="3" s="1"/>
  <c r="G154" i="3" s="1"/>
  <c r="O154" i="3" s="1"/>
  <c r="P154" i="3" s="1"/>
  <c r="Q154" i="3" s="1"/>
  <c r="AC101" i="18"/>
  <c r="E56" i="3"/>
  <c r="J106" i="3"/>
  <c r="J120" i="3" s="1"/>
  <c r="Q152" i="3"/>
  <c r="E44" i="3"/>
  <c r="E91" i="3" s="1"/>
  <c r="E96" i="3" s="1"/>
  <c r="P71" i="3"/>
  <c r="E159" i="3"/>
  <c r="S3" i="1" s="1"/>
  <c r="V3" i="1" s="1"/>
  <c r="F37" i="3"/>
  <c r="F96" i="3" s="1"/>
  <c r="J73" i="3"/>
  <c r="G73" i="3" s="1"/>
  <c r="O73" i="3" s="1"/>
  <c r="P73" i="3" s="1"/>
  <c r="Q73" i="3" s="1"/>
  <c r="F74" i="3"/>
  <c r="C74" i="3" s="1"/>
  <c r="N74" i="3" s="1"/>
  <c r="P74" i="3" s="1"/>
  <c r="J22" i="15" l="1"/>
  <c r="F167" i="3"/>
  <c r="S7" i="1"/>
  <c r="V7" i="1" s="1"/>
  <c r="AI32" i="17"/>
  <c r="F4" i="15"/>
  <c r="J44" i="3"/>
  <c r="J91" i="3" s="1"/>
  <c r="J96" i="3"/>
  <c r="J167" i="3" s="1"/>
  <c r="AC149" i="18" s="1"/>
  <c r="P158" i="3"/>
  <c r="Q158" i="3" s="1"/>
  <c r="E51" i="16"/>
  <c r="Q42" i="3"/>
  <c r="P42" i="3"/>
  <c r="G159" i="3"/>
  <c r="O159" i="3" s="1"/>
  <c r="S9" i="1"/>
  <c r="V9" i="1" s="1"/>
  <c r="D120" i="3"/>
  <c r="C106" i="3"/>
  <c r="N106" i="3" s="1"/>
  <c r="P157" i="3"/>
  <c r="Q157" i="3" s="1"/>
  <c r="E23" i="16"/>
  <c r="P8" i="3"/>
  <c r="Q8" i="3" s="1"/>
  <c r="I101" i="15"/>
  <c r="E25" i="16"/>
  <c r="E26" i="16" s="1"/>
  <c r="E15" i="16"/>
  <c r="E19" i="16" s="1"/>
  <c r="J126" i="15"/>
  <c r="P107" i="3"/>
  <c r="Q107" i="3"/>
  <c r="G45" i="3"/>
  <c r="O45" i="3" s="1"/>
  <c r="P45" i="3" s="1"/>
  <c r="Q45" i="3" s="1"/>
  <c r="H44" i="3"/>
  <c r="E105" i="16"/>
  <c r="E107" i="16" s="1"/>
  <c r="E111" i="16" s="1"/>
  <c r="E167" i="3"/>
  <c r="S6" i="1"/>
  <c r="V6" i="1" s="1"/>
  <c r="AJ56" i="18"/>
  <c r="F52" i="15"/>
  <c r="I23" i="15"/>
  <c r="I22" i="15" s="1"/>
  <c r="I4" i="15" s="1"/>
  <c r="E70" i="16"/>
  <c r="E79" i="16" s="1"/>
  <c r="E97" i="16" s="1"/>
  <c r="G120" i="3"/>
  <c r="O120" i="3" s="1"/>
  <c r="J159" i="3"/>
  <c r="F22" i="15"/>
  <c r="E101" i="15"/>
  <c r="E86" i="15" s="1"/>
  <c r="E142" i="15" s="1"/>
  <c r="P12" i="3"/>
  <c r="Q12" i="3" s="1"/>
  <c r="D3" i="15"/>
  <c r="I86" i="15"/>
  <c r="AI130" i="17"/>
  <c r="AC110" i="17"/>
  <c r="AK32" i="17" s="1"/>
  <c r="AL32" i="17" s="1"/>
  <c r="Q74" i="3"/>
  <c r="D37" i="3"/>
  <c r="C14" i="3"/>
  <c r="N14" i="3" s="1"/>
  <c r="E90" i="16"/>
  <c r="E92" i="16" s="1"/>
  <c r="I49" i="15"/>
  <c r="F86" i="15"/>
  <c r="P61" i="3"/>
  <c r="Q61" i="3"/>
  <c r="E36" i="16"/>
  <c r="I58" i="15"/>
  <c r="P39" i="3"/>
  <c r="Q39" i="3" s="1"/>
  <c r="D107" i="16"/>
  <c r="D111" i="16"/>
  <c r="D112" i="16" s="1"/>
  <c r="P106" i="3"/>
  <c r="D57" i="3"/>
  <c r="C58" i="3"/>
  <c r="N58" i="3" s="1"/>
  <c r="E64" i="16"/>
  <c r="E69" i="16" s="1"/>
  <c r="J6" i="15"/>
  <c r="J5" i="15" s="1"/>
  <c r="J4" i="15" s="1"/>
  <c r="J3" i="15" s="1"/>
  <c r="J86" i="15"/>
  <c r="E8" i="16"/>
  <c r="E11" i="16" s="1"/>
  <c r="J33" i="15"/>
  <c r="I53" i="15"/>
  <c r="E52" i="16"/>
  <c r="E54" i="16" s="1"/>
  <c r="H37" i="3"/>
  <c r="G14" i="3"/>
  <c r="O14" i="3" s="1"/>
  <c r="P14" i="3" s="1"/>
  <c r="I3" i="15" l="1"/>
  <c r="I142" i="15" s="1"/>
  <c r="I143" i="15" s="1"/>
  <c r="AC145" i="18"/>
  <c r="AJ149" i="18"/>
  <c r="G37" i="3"/>
  <c r="O37" i="3" s="1"/>
  <c r="P37" i="3" s="1"/>
  <c r="Q14" i="3"/>
  <c r="C57" i="3"/>
  <c r="N57" i="3" s="1"/>
  <c r="D56" i="3"/>
  <c r="F3" i="15"/>
  <c r="F142" i="15" s="1"/>
  <c r="E143" i="15" s="1"/>
  <c r="I52" i="15"/>
  <c r="C120" i="3"/>
  <c r="N120" i="3" s="1"/>
  <c r="P120" i="3" s="1"/>
  <c r="D159" i="3"/>
  <c r="Q58" i="3"/>
  <c r="P58" i="3"/>
  <c r="H91" i="3"/>
  <c r="G91" i="3" s="1"/>
  <c r="O91" i="3" s="1"/>
  <c r="G44" i="3"/>
  <c r="O44" i="3" s="1"/>
  <c r="C37" i="3"/>
  <c r="N37" i="3" s="1"/>
  <c r="E27" i="16"/>
  <c r="E56" i="16" s="1"/>
  <c r="E112" i="16" s="1"/>
  <c r="E114" i="16" s="1"/>
  <c r="J142" i="15"/>
  <c r="AI110" i="17"/>
  <c r="AC209" i="17"/>
  <c r="Q106" i="3"/>
  <c r="H96" i="3" l="1"/>
  <c r="S2" i="1"/>
  <c r="V2" i="1" s="1"/>
  <c r="C159" i="3"/>
  <c r="P57" i="3"/>
  <c r="Q57" i="3" s="1"/>
  <c r="Q120" i="3"/>
  <c r="Q37" i="3"/>
  <c r="AJ145" i="18"/>
  <c r="AC93" i="18"/>
  <c r="AI209" i="17"/>
  <c r="S13" i="1"/>
  <c r="V13" i="1" s="1"/>
  <c r="C56" i="3"/>
  <c r="N56" i="3" s="1"/>
  <c r="D44" i="3"/>
  <c r="P56" i="3" l="1"/>
  <c r="Q56" i="3" s="1"/>
  <c r="S8" i="1"/>
  <c r="V8" i="1" s="1"/>
  <c r="N159" i="3"/>
  <c r="AJ93" i="18"/>
  <c r="AC158" i="18"/>
  <c r="AL32" i="18"/>
  <c r="AN32" i="18" s="1"/>
  <c r="G96" i="3"/>
  <c r="H167" i="3"/>
  <c r="S11" i="1"/>
  <c r="V11" i="1" s="1"/>
  <c r="C44" i="3"/>
  <c r="N44" i="3" s="1"/>
  <c r="D91" i="3"/>
  <c r="S14" i="1" l="1"/>
  <c r="V14" i="1" s="1"/>
  <c r="AK158" i="18"/>
  <c r="C91" i="3"/>
  <c r="N91" i="3" s="1"/>
  <c r="D96" i="3"/>
  <c r="P159" i="3"/>
  <c r="Q159" i="3" s="1"/>
  <c r="G167" i="3"/>
  <c r="O96" i="3"/>
  <c r="P44" i="3"/>
  <c r="Q44" i="3" s="1"/>
  <c r="C96" i="3" l="1"/>
  <c r="D167" i="3"/>
  <c r="S5" i="1"/>
  <c r="V5" i="1" s="1"/>
  <c r="O167" i="3"/>
  <c r="P91" i="3"/>
  <c r="Q91" i="3" s="1"/>
  <c r="C167" i="3" l="1"/>
  <c r="N96" i="3"/>
  <c r="N167" i="3" l="1"/>
  <c r="P96" i="3"/>
  <c r="Q96" i="3" s="1"/>
</calcChain>
</file>

<file path=xl/comments1.xml><?xml version="1.0" encoding="utf-8"?>
<comments xmlns="http://schemas.openxmlformats.org/spreadsheetml/2006/main">
  <authors>
    <author xml:space="preserve"> </author>
  </authors>
  <commentList>
    <comment ref="L1" authorId="0" shapeId="0">
      <text>
        <r>
          <rPr>
            <b/>
            <sz val="9"/>
            <color indexed="8"/>
            <rFont val="Tahoma"/>
            <family val="2"/>
          </rPr>
          <t>Colonna per determinare il foglio di input del RF</t>
        </r>
      </text>
    </comment>
  </commentList>
</comments>
</file>

<file path=xl/sharedStrings.xml><?xml version="1.0" encoding="utf-8"?>
<sst xmlns="http://schemas.openxmlformats.org/spreadsheetml/2006/main" count="48879" uniqueCount="8302">
  <si>
    <t>Azienda</t>
  </si>
  <si>
    <t xml:space="preserve">SAN - totpass -SP AP </t>
  </si>
  <si>
    <t>SAN - totpass -NI AP</t>
  </si>
  <si>
    <t>Anno</t>
  </si>
  <si>
    <t>RIC - totpass -SP AP</t>
  </si>
  <si>
    <t>RIC- totpass -NI AP</t>
  </si>
  <si>
    <t>SOC - totpass -SP</t>
  </si>
  <si>
    <t>Soc - totpass -NI AP</t>
  </si>
  <si>
    <t>Modulo</t>
  </si>
  <si>
    <t>SAN - totATT -SP AP</t>
  </si>
  <si>
    <t>SAN - totATT -NI AP</t>
  </si>
  <si>
    <t>Ric - totATT -SP AP</t>
  </si>
  <si>
    <t>Versione</t>
  </si>
  <si>
    <t>V1</t>
  </si>
  <si>
    <t>SOC - totATT -SP</t>
  </si>
  <si>
    <t xml:space="preserve">Data </t>
  </si>
  <si>
    <t xml:space="preserve">totale - totpass -SP AP </t>
  </si>
  <si>
    <t>totale - totpass -NI AP</t>
  </si>
  <si>
    <t>SAN - totpass -SP AC</t>
  </si>
  <si>
    <t>SAN - totpass -NI AC</t>
  </si>
  <si>
    <t>RIC- totpass -NI AC</t>
  </si>
  <si>
    <t>vers. 1.0 - Marzo 2019</t>
  </si>
  <si>
    <t>SAN - totATT -SP AC</t>
  </si>
  <si>
    <t>SAN - totpatt -NI AC</t>
  </si>
  <si>
    <t>ASL MILANO N° 3</t>
  </si>
  <si>
    <t>Ric - totATT -SP AC</t>
  </si>
  <si>
    <t>ASL PAVIA</t>
  </si>
  <si>
    <t>SPMINATTIVO</t>
  </si>
  <si>
    <t>Ni san e ric attivo</t>
  </si>
  <si>
    <t>ASL SONDRIO</t>
  </si>
  <si>
    <t>SPMINpassivo</t>
  </si>
  <si>
    <t>ASL VARESE</t>
  </si>
  <si>
    <t>ASL VALCAMONICA</t>
  </si>
  <si>
    <t>FONDAZIONE MACCHI - VARESE</t>
  </si>
  <si>
    <t>SANT'ANTONIO ABATE - GALLARATE</t>
  </si>
  <si>
    <t>OSPEDALE DI CIRCOLO - BUSTO ARSIZIO</t>
  </si>
  <si>
    <t>SPEDALI CIVILI - BRESCIA</t>
  </si>
  <si>
    <t>M. MELLINI - CHIARI</t>
  </si>
  <si>
    <t>OSPEDALE CIVILE - DESENZANO DEL GARDA</t>
  </si>
  <si>
    <t>ISTITUTI OSPITALIERI - CREMONA</t>
  </si>
  <si>
    <t>OSPEDALE MAGGIORE - CREMA</t>
  </si>
  <si>
    <t>SANT'ANNA - COMO</t>
  </si>
  <si>
    <t>CIRCOLO DI LECCO</t>
  </si>
  <si>
    <t>OSPEDALI RIUNITI - BERGAMO</t>
  </si>
  <si>
    <t>OSPEDALE TREVIGLIO CARAVAGGIO - TREVIGLIO</t>
  </si>
  <si>
    <t>BOLOGNINI - SERIATE</t>
  </si>
  <si>
    <t>CARLO POMA - MANTOVA</t>
  </si>
  <si>
    <t>L. SACCO - MILANO</t>
  </si>
  <si>
    <t>NIGUARDA CA' GRANDA - MILANO</t>
  </si>
  <si>
    <t>IST. CLINICI DI PERFEZIONAMENTO - MILANO</t>
  </si>
  <si>
    <t>FATEBENEFRATELLI - MILANO</t>
  </si>
  <si>
    <t>SAN PAOLO - MILANO</t>
  </si>
  <si>
    <t>IST. ORTOPEDICO G. PINI - MILANO</t>
  </si>
  <si>
    <t>SAN CARLO BORROMEO - MILANO</t>
  </si>
  <si>
    <t>OSPEDALE CIVILE - LEGNANO</t>
  </si>
  <si>
    <t>G. SALVINI - GARBAGNATE MILANESE</t>
  </si>
  <si>
    <t>OSPEDALE DI CIRCOLO - MELEGNANO</t>
  </si>
  <si>
    <t>OSPEDALE DI DESIO E VIMERCATE</t>
  </si>
  <si>
    <t>SAN GERARDO DEI TINTORI - MONZA</t>
  </si>
  <si>
    <t>A.O. DELLA PROVINCIA DI LODI</t>
  </si>
  <si>
    <t>A.O. DELLA PROVINCIA DI PAVIA</t>
  </si>
  <si>
    <t>A.O. DELLA VALTELLINA E VALCHIAVENNA</t>
  </si>
  <si>
    <t>I.N.R.C.A. DI CASATENOVO</t>
  </si>
  <si>
    <t>FONDAZIONE IRCCS ISTITUTO TUMORI DI MILANO</t>
  </si>
  <si>
    <t>FONDAZIONE IRCCS ISTITUTO BESTA DI MILANO</t>
  </si>
  <si>
    <t>FONDAZIONE IRCCS POLICLINICO SAN MATTEO DI PAVIA</t>
  </si>
  <si>
    <t>FONDAZIONE IRCCS OSPEDALE MAGGIORE P.R.M. DI MILANO</t>
  </si>
  <si>
    <t>AZIENDA REGIONALE EMERGENZA URGENZA (AREU)</t>
  </si>
  <si>
    <t>XXX</t>
  </si>
  <si>
    <t>--</t>
  </si>
  <si>
    <t>COD_AZ</t>
  </si>
  <si>
    <t>ANNO</t>
  </si>
  <si>
    <t>COD_COGE</t>
  </si>
  <si>
    <t>COD_COGE_OLD</t>
  </si>
  <si>
    <t>BILANCIO</t>
  </si>
  <si>
    <t>CONS_MOB</t>
  </si>
  <si>
    <t>CE_Min_Old</t>
  </si>
  <si>
    <t>SPMIN_New</t>
  </si>
  <si>
    <t>SPMIN_19</t>
  </si>
  <si>
    <t>INPUT</t>
  </si>
  <si>
    <t>SK_TOT</t>
  </si>
  <si>
    <t>SP_Min_DET</t>
  </si>
  <si>
    <t>SKAOIRCCS</t>
  </si>
  <si>
    <t>SP_NEW</t>
  </si>
  <si>
    <t>DESCRIZIONE</t>
  </si>
  <si>
    <t>IMPORTO_ANNOPREC</t>
  </si>
  <si>
    <t>IMPORTO_ANNO</t>
  </si>
  <si>
    <t>Dett_1</t>
  </si>
  <si>
    <t>Dett_2</t>
  </si>
  <si>
    <t>15_CTB_010</t>
  </si>
  <si>
    <t>16_CTB_015</t>
  </si>
  <si>
    <t>17_CTB_020</t>
  </si>
  <si>
    <t>18_CTB_025</t>
  </si>
  <si>
    <t>19_CTB_030</t>
  </si>
  <si>
    <t>20_CTB_035</t>
  </si>
  <si>
    <t>21_CTB_040</t>
  </si>
  <si>
    <t>22_CTB_045</t>
  </si>
  <si>
    <t>23_CTB_050</t>
  </si>
  <si>
    <t>24_CTB_055</t>
  </si>
  <si>
    <t>25_CTB_060</t>
  </si>
  <si>
    <t>26_CTB_065</t>
  </si>
  <si>
    <t>27_CTB_070</t>
  </si>
  <si>
    <t>28_CTB_075</t>
  </si>
  <si>
    <t>29_CTB_080</t>
  </si>
  <si>
    <t>30_CTB_085</t>
  </si>
  <si>
    <t>31_CTB_090</t>
  </si>
  <si>
    <t>32_CTB_095</t>
  </si>
  <si>
    <t>33_CTB_100</t>
  </si>
  <si>
    <t>conto nuovo</t>
  </si>
  <si>
    <t>1.00.00.00.000.000.00.000</t>
  </si>
  <si>
    <t>SAN</t>
  </si>
  <si>
    <t>TOTALE</t>
  </si>
  <si>
    <t>TOTALE ATTIVITA'</t>
  </si>
  <si>
    <t>10000000000000</t>
  </si>
  <si>
    <t>1.10.00.00.000.000.00.000</t>
  </si>
  <si>
    <t>A) IMMOBILIZZAZIONI</t>
  </si>
  <si>
    <t>10100000000000</t>
  </si>
  <si>
    <t>1.10.10.00.000.000.00.000</t>
  </si>
  <si>
    <t>A.I. Immobilizzazioni immateriali</t>
  </si>
  <si>
    <t>10101000000000</t>
  </si>
  <si>
    <t>1.10.10.10.000.000.00.000</t>
  </si>
  <si>
    <t>AA11</t>
  </si>
  <si>
    <t>A.I.1 Costi di impianto e ampliamento</t>
  </si>
  <si>
    <t>10101010000000</t>
  </si>
  <si>
    <t>1.10.10.10.010.000.00.000</t>
  </si>
  <si>
    <t>AAA020</t>
  </si>
  <si>
    <t>AA1010A</t>
  </si>
  <si>
    <t>A.I.1.a) Costi di impianto e di ampliamento.</t>
  </si>
  <si>
    <t>10101010010000</t>
  </si>
  <si>
    <t>1.10.10.10.010.010.00.000</t>
  </si>
  <si>
    <t>Costi di impianto e di ampliamento (non sterilizzati)</t>
  </si>
  <si>
    <t>10101010020000</t>
  </si>
  <si>
    <t>1.10.10.10.010.012.00.000</t>
  </si>
  <si>
    <t>Costi di impianto e di ampliamento (sterilizzati)</t>
  </si>
  <si>
    <t>10101020000000</t>
  </si>
  <si>
    <t>1.10.10.10.020.000.00.000</t>
  </si>
  <si>
    <t>AAA030</t>
  </si>
  <si>
    <t>AA1010B</t>
  </si>
  <si>
    <t>A.I.1.b) Fondo ammortamento Costi di impianto e di ampliamento.</t>
  </si>
  <si>
    <t>10101020010000</t>
  </si>
  <si>
    <t>1.10.10.10.020.010.00.000</t>
  </si>
  <si>
    <t>F.do amm. Costi di impianto e di ampliamento (non sterilizzati)</t>
  </si>
  <si>
    <t>10101020020000</t>
  </si>
  <si>
    <t>1.10.10.10.020.012.00.000</t>
  </si>
  <si>
    <t>F.do amm. Costi di impianto e di ampliamento (sterilizzati)</t>
  </si>
  <si>
    <t>10102000000000</t>
  </si>
  <si>
    <t>1.10.10.20.000.000.00.000</t>
  </si>
  <si>
    <t>AA12</t>
  </si>
  <si>
    <t>A.I.2 Costi di ricerca e sviluppo.</t>
  </si>
  <si>
    <t>10102010000000</t>
  </si>
  <si>
    <t>1.10.10.20.010.000.00.000</t>
  </si>
  <si>
    <t>AAA050</t>
  </si>
  <si>
    <t>AA1020A</t>
  </si>
  <si>
    <t>A.I.2.a) Costi di ricerca e sviluppo.</t>
  </si>
  <si>
    <t>10102010010000</t>
  </si>
  <si>
    <t>1.10.10.20.010.010.00.000</t>
  </si>
  <si>
    <t>Costi di ricerca e sviluppo (non sterilizzati)</t>
  </si>
  <si>
    <t>10102010020000</t>
  </si>
  <si>
    <t>1.10.10.20.010.012.00.000</t>
  </si>
  <si>
    <t>Costi di ricerca e sviluppo (sterilizzati)</t>
  </si>
  <si>
    <t>10102020000000</t>
  </si>
  <si>
    <t>1.10.10.20.020.000.00.000</t>
  </si>
  <si>
    <t>AAA060</t>
  </si>
  <si>
    <t>AA1020B</t>
  </si>
  <si>
    <t>A.I.2.b) Fondo ammortamento Costi di ricerca e sviluppo.</t>
  </si>
  <si>
    <t>10102020010000</t>
  </si>
  <si>
    <t>1.10.10.20.020.010.00.000</t>
  </si>
  <si>
    <t>F.do amm. Costi di ricerca e sviluppo (non sterilizzati)</t>
  </si>
  <si>
    <t>10102020020000</t>
  </si>
  <si>
    <t>1.10.10.20.020.012.00.000</t>
  </si>
  <si>
    <t>F.do amm. Costi di ricerca e sviluppo (sterilizzati)</t>
  </si>
  <si>
    <t>10103000000000</t>
  </si>
  <si>
    <t>1.10.10.30.000.000.00.000</t>
  </si>
  <si>
    <t>AA13</t>
  </si>
  <si>
    <t>A.I.3 Diritti di brevetto e diritti di utilizzazione delle opere dell’ingegno.</t>
  </si>
  <si>
    <t>10103010000000</t>
  </si>
  <si>
    <t>1.10.10.30.010.000.00.000</t>
  </si>
  <si>
    <t>AAA080</t>
  </si>
  <si>
    <t>AA1030A</t>
  </si>
  <si>
    <t>A.I.3.a) Diritti di brevetto e diritti di utilizzazione delle opere dell’ingegno - Attività di ricerca</t>
  </si>
  <si>
    <t>10103010010010</t>
  </si>
  <si>
    <t>1.10.10.30.010.010.00.000</t>
  </si>
  <si>
    <t>Diritti di brevetto industriale - Attività di ricerca - (Non sterilizzati)</t>
  </si>
  <si>
    <t>10103010010020</t>
  </si>
  <si>
    <t>1.10.10.30.010.012.00.000</t>
  </si>
  <si>
    <t>Diritti di brevetto industriale - Attività di ricerca - (Sterilizzati)</t>
  </si>
  <si>
    <t>10103010020010</t>
  </si>
  <si>
    <t>1.10.10.30.010.020.00.000</t>
  </si>
  <si>
    <t>Diritti di utilizzazione delle opere dell'ingegno - Attività di ricerca - (Non sterilizzati)</t>
  </si>
  <si>
    <t>10103010020020</t>
  </si>
  <si>
    <t>1.10.10.30.010.022.00.000</t>
  </si>
  <si>
    <t>Diritti di utilizzazione delle opere dell'ingegno - Attività di ricerca - (Sterilizzati)</t>
  </si>
  <si>
    <t>10103020000000</t>
  </si>
  <si>
    <t>1.10.10.30.020.000.00.000</t>
  </si>
  <si>
    <t>AAA090</t>
  </si>
  <si>
    <t>AA1030B</t>
  </si>
  <si>
    <t>A.I.3.b) Fondo ammortamento Diritti di brevetto e diritti di utilizzazione delle opere dell’ingegno - Attività di ricerca</t>
  </si>
  <si>
    <t>10103020010010</t>
  </si>
  <si>
    <t>1.10.10.30.020.010.00.000</t>
  </si>
  <si>
    <t>F.do amm. Diritti di brevetto industriale -Ricerca -(Non sterilizzati)</t>
  </si>
  <si>
    <t>10103020010020</t>
  </si>
  <si>
    <t>1.10.10.30.020.012.00.000</t>
  </si>
  <si>
    <t>F.do amm. Diritti di brevetto industriale -Ricerca -(Sterilizzati)</t>
  </si>
  <si>
    <t>10103020020010</t>
  </si>
  <si>
    <t>1.10.10.30.020.020.00.000</t>
  </si>
  <si>
    <t>F.do amm. Diritti di utilizzazione delle opere dell'ingegno - Ricerca - (Non sterilizzati)</t>
  </si>
  <si>
    <t>10103020020020</t>
  </si>
  <si>
    <t>1.10.10.30.020.022.00.000</t>
  </si>
  <si>
    <t>F.do amm. Diritti di utilizzazione delle opere dell'ingegno - RIcerca - (Sterilizzati)</t>
  </si>
  <si>
    <t>10103030000000</t>
  </si>
  <si>
    <t>1.10.10.30.030.000.00.000</t>
  </si>
  <si>
    <t>AAA100</t>
  </si>
  <si>
    <t>A.I.3.c) Diritti di brevetto e diritti di utilizzazione delle opere dell’ingegno - Altri</t>
  </si>
  <si>
    <t>10103030010010</t>
  </si>
  <si>
    <t>1.10.10.30.030.010.00.000</t>
  </si>
  <si>
    <t>Diritti di brevetto industriale - Altri - (Non sterilizzati)</t>
  </si>
  <si>
    <t>10103030010020</t>
  </si>
  <si>
    <t>1.10.10.30.030.012.00.000</t>
  </si>
  <si>
    <t>Diritti di brevetto industriale - Altri - (Sterilizzati)</t>
  </si>
  <si>
    <t>10103030020010</t>
  </si>
  <si>
    <t>1.10.10.30.030.020.00.000</t>
  </si>
  <si>
    <t>Diritti di utilizzazione delle opere dell'ingegno - Altri - (Non sterilizzati)</t>
  </si>
  <si>
    <t>10103030020020</t>
  </si>
  <si>
    <t>1.10.10.30.030.022.00.000</t>
  </si>
  <si>
    <t>Diritti di utilizzazione delle opere dell'ingegno - Altri - (Sterilizzati)</t>
  </si>
  <si>
    <t>10103040000000</t>
  </si>
  <si>
    <t>1.10.10.30.040.000.00.000</t>
  </si>
  <si>
    <t>AAA110</t>
  </si>
  <si>
    <t>A.I.3.d) Fondo ammortamento Diritti di brevetto e diritti di utilizzazione delle opere dell’ingegno - Attività di ricerca</t>
  </si>
  <si>
    <t>10103040010010</t>
  </si>
  <si>
    <t>1.10.10.30.040.010.00.000</t>
  </si>
  <si>
    <t>F.do amm. Diritti di brevetto industriale -Altri -(Non sterilizzati)</t>
  </si>
  <si>
    <t>10103040010020</t>
  </si>
  <si>
    <t>1.10.10.30.040.012.00.000</t>
  </si>
  <si>
    <t>F.do amm. Diritti di brevetto industriale -Altri -(Sterilizzati)</t>
  </si>
  <si>
    <t>10103040020010</t>
  </si>
  <si>
    <t>1.10.10.30.040.020.00.000</t>
  </si>
  <si>
    <t>F.do amm. Diritti di utilizzazione delle opere dell'ingegno - Altri - (Non sterilizzati)</t>
  </si>
  <si>
    <t>10103040020020</t>
  </si>
  <si>
    <t>1.10.10.30.040.022.00.000</t>
  </si>
  <si>
    <t>F.do amm. Diritti di utilizzazione delle opere dell'ingegno - Altri - (Sterilizzati)</t>
  </si>
  <si>
    <t>10104000000000</t>
  </si>
  <si>
    <t>1.10.10.40.000.000.00.000</t>
  </si>
  <si>
    <t>AAA120</t>
  </si>
  <si>
    <t>AA1040A</t>
  </si>
  <si>
    <t>AA14</t>
  </si>
  <si>
    <t>A.I.4 Immobilizzazioni immateriali in corso e acconti</t>
  </si>
  <si>
    <t>10104010000000</t>
  </si>
  <si>
    <t>1.10.10.40.010.000.00.000</t>
  </si>
  <si>
    <t>Immobiliz. Immateriali in corso di esecuzione</t>
  </si>
  <si>
    <t>10104020000000</t>
  </si>
  <si>
    <t>1.10.10.40.020.000.00.000</t>
  </si>
  <si>
    <t>Acconti su future immobilizz. Immateriali</t>
  </si>
  <si>
    <t>10105000000000</t>
  </si>
  <si>
    <t>1.10.10.50.000.000.00.000</t>
  </si>
  <si>
    <t>AA15</t>
  </si>
  <si>
    <t>A.I.5 Altre immobilizzazioni immateriali.</t>
  </si>
  <si>
    <t>10105010000000</t>
  </si>
  <si>
    <t>1.10.10.50.010.000.00.000</t>
  </si>
  <si>
    <t>AAA140</t>
  </si>
  <si>
    <t>AA1050A</t>
  </si>
  <si>
    <t>A.I.5.a) Concessioni, licenze, marchi e diritti simili</t>
  </si>
  <si>
    <t>10105010010010</t>
  </si>
  <si>
    <t>1.10.10.50.010.010.00.000</t>
  </si>
  <si>
    <t>Concessioni (Non sterilizzate)</t>
  </si>
  <si>
    <t>10105010010020</t>
  </si>
  <si>
    <t>1.10.10.50.010.012.00.000</t>
  </si>
  <si>
    <t>Concessioni (Sterilizzate)</t>
  </si>
  <si>
    <t>10105010020010</t>
  </si>
  <si>
    <t>1.10.10.50.010.020.00.000</t>
  </si>
  <si>
    <t>Licenze d'uso (Non sterilizzate)</t>
  </si>
  <si>
    <t>10105010020020</t>
  </si>
  <si>
    <t>1.10.10.50.010.022.00.000</t>
  </si>
  <si>
    <t>Licenze d'uso (Sterilizzate)</t>
  </si>
  <si>
    <t>10105010030010</t>
  </si>
  <si>
    <t>1.10.10.50.010.030.00.000</t>
  </si>
  <si>
    <t>Marchi (Non sterilizzati)</t>
  </si>
  <si>
    <t>10105010030020</t>
  </si>
  <si>
    <t>1.10.10.50.010.032.00.000</t>
  </si>
  <si>
    <t>Marchi (Sterilizzati)</t>
  </si>
  <si>
    <t>10105010040010</t>
  </si>
  <si>
    <t>1.10.10.50.010.035.00.000</t>
  </si>
  <si>
    <t>Altri diritti simili (Non sterilizzati)</t>
  </si>
  <si>
    <t>10105010040020</t>
  </si>
  <si>
    <t>1.10.10.50.010.037.00.000</t>
  </si>
  <si>
    <t>Altri diritti simili (Sterilizzati)</t>
  </si>
  <si>
    <t>10105020000000</t>
  </si>
  <si>
    <t>1.10.10.50.020.000.00.000</t>
  </si>
  <si>
    <t>AAA150</t>
  </si>
  <si>
    <t>AA1050B</t>
  </si>
  <si>
    <t>A.I.5.b) Fondo amm.to Concessioni, licenze, marchi e diritti simili</t>
  </si>
  <si>
    <t>10105020010010</t>
  </si>
  <si>
    <t>1.10.10.50.020.010.00.000</t>
  </si>
  <si>
    <t>F.do amm. Concessioni (Non sterilizzate)</t>
  </si>
  <si>
    <t>10105020010020</t>
  </si>
  <si>
    <t>1.10.10.50.020.012.00.000</t>
  </si>
  <si>
    <t>F.do amm. Concessioni (Sterilizzate)</t>
  </si>
  <si>
    <t>10105020020010</t>
  </si>
  <si>
    <t>1.10.10.50.020.020.00.000</t>
  </si>
  <si>
    <t>F.do amm. Licenze d'uso (Non sterilizzate)</t>
  </si>
  <si>
    <t>10105020020020</t>
  </si>
  <si>
    <t>1.10.10.50.020.022.00.000</t>
  </si>
  <si>
    <t>F.do amm. Licenze d'uso (Sterilizzate)</t>
  </si>
  <si>
    <t>10105020030010</t>
  </si>
  <si>
    <t>1.10.10.50.020.030.00.000</t>
  </si>
  <si>
    <t>F.do amm. Altri diritti simili (Non sterilizzati)</t>
  </si>
  <si>
    <t>10105020030020</t>
  </si>
  <si>
    <t>1.10.10.50.020.032.00.000</t>
  </si>
  <si>
    <t>F.do amm. Altri diritti simili (Sterilizzati)</t>
  </si>
  <si>
    <t>10105030000000</t>
  </si>
  <si>
    <t>1.10.10.50.030.000.00.000</t>
  </si>
  <si>
    <t>AAA160</t>
  </si>
  <si>
    <t>A.I.5.c) Migliorie su beni di terzi</t>
  </si>
  <si>
    <t>10105030010000</t>
  </si>
  <si>
    <t>1.10.10.50.030.010.00.000</t>
  </si>
  <si>
    <t>Migliorie su beni di terzi (non sterilizzati)</t>
  </si>
  <si>
    <t>10105030020000</t>
  </si>
  <si>
    <t>1.10.10.50.030.012.00.000</t>
  </si>
  <si>
    <t>Migliorie su beni di terzi (sterilizzati)</t>
  </si>
  <si>
    <t>10105040000000</t>
  </si>
  <si>
    <t>1.10.10.50.040.000.00.000</t>
  </si>
  <si>
    <t>AAA170</t>
  </si>
  <si>
    <t>A.I.5.d) Fondo ammortamento migliorie beni terzi</t>
  </si>
  <si>
    <t>10105040010000</t>
  </si>
  <si>
    <t>1.10.10.50.040.010.00.000</t>
  </si>
  <si>
    <t>F.do amm. Migliorie su beni di terzi (non sterilizzati)</t>
  </si>
  <si>
    <t>10105040020000</t>
  </si>
  <si>
    <t>1.10.10.50.040.012.00.000</t>
  </si>
  <si>
    <t>F.do amm. Migliorie su beni di terzi (sterilizzati)</t>
  </si>
  <si>
    <t>10105050000000</t>
  </si>
  <si>
    <t>1.10.10.50.050.000.00.000</t>
  </si>
  <si>
    <t>AAA180</t>
  </si>
  <si>
    <t>A.I.5.e) Pubblicità (da ammortizzare)</t>
  </si>
  <si>
    <t>10105050010000</t>
  </si>
  <si>
    <t>1.10.10.50.050.010.00.000</t>
  </si>
  <si>
    <t>Pubblicità da ammortizzare (non sterilizzata)</t>
  </si>
  <si>
    <t>10105050020000</t>
  </si>
  <si>
    <t>1.10.10.50.050.012.00.000</t>
  </si>
  <si>
    <t>Pubblicità da ammortizzare (sterilizzata)</t>
  </si>
  <si>
    <t>10105060000000</t>
  </si>
  <si>
    <t>1.10.10.50.060.000.00.000</t>
  </si>
  <si>
    <t>AAA190</t>
  </si>
  <si>
    <t>A.I.5.f) Fondo ammortamento Pubblicità</t>
  </si>
  <si>
    <t>10105060010000</t>
  </si>
  <si>
    <t>1.10.10.50.060.010.00.000</t>
  </si>
  <si>
    <t>F.do amm. Pubblicità (non sterilizzata)</t>
  </si>
  <si>
    <t>10105060020000</t>
  </si>
  <si>
    <t>1.10.10.50.060.012.00.000</t>
  </si>
  <si>
    <t>F.do amm. Pubblicità (sterilizzata)</t>
  </si>
  <si>
    <t>10105070000000</t>
  </si>
  <si>
    <t>1.10.10.50.070.000.00.000</t>
  </si>
  <si>
    <t>AAA200</t>
  </si>
  <si>
    <t>A.I.5.g) Altre immobilizzazioni immateriali</t>
  </si>
  <si>
    <t>10105070010010</t>
  </si>
  <si>
    <t>1.10.10.50.070.010.00.000</t>
  </si>
  <si>
    <t>Altri costi pluriennali da ammortizzare (non sterilizzati)</t>
  </si>
  <si>
    <t>10105070010020</t>
  </si>
  <si>
    <t>1.10.10.50.070.012.00.000</t>
  </si>
  <si>
    <t>Altri costi pluriennali da ammortizzare (sterilizzati)</t>
  </si>
  <si>
    <t>10105070020010</t>
  </si>
  <si>
    <t>1.10.10.50.070.020.00.000</t>
  </si>
  <si>
    <t>Altre immobilizzazioni immateriali (non sterilizzate)</t>
  </si>
  <si>
    <t>10105070020020</t>
  </si>
  <si>
    <t>1.10.10.50.070.022.00.000</t>
  </si>
  <si>
    <t>Altre immobilizzazioni immateriali (sterilizzate)</t>
  </si>
  <si>
    <t>10105080000000</t>
  </si>
  <si>
    <t>1.10.10.50.080.000.00.000</t>
  </si>
  <si>
    <t>AAA210</t>
  </si>
  <si>
    <t>A.I.5.h) Fondo ammortamento altre imm.ni immateriali</t>
  </si>
  <si>
    <t>10105080010010</t>
  </si>
  <si>
    <t>1.10.10.50.080.010.00.000</t>
  </si>
  <si>
    <t>F.do amm.to Altri costi pluriennali da ammortizzare (non sterilizzati)</t>
  </si>
  <si>
    <t>10105080010020</t>
  </si>
  <si>
    <t>1.10.10.50.080.012.00.000</t>
  </si>
  <si>
    <t>F.do amm.to Altri costi pluriennali da ammortizzare (sterilizzati)</t>
  </si>
  <si>
    <t>10105080020010</t>
  </si>
  <si>
    <t>1.10.10.50.080.020.00.000</t>
  </si>
  <si>
    <t>F.do amm.to Altre immobilizzazioni immateriali (non sterilizzate)</t>
  </si>
  <si>
    <t>10105080020020</t>
  </si>
  <si>
    <t>1.10.10.50.080.022.00.000</t>
  </si>
  <si>
    <t>F.do amm.to Altre immobilizzazioni immateriali (sterilizzate)</t>
  </si>
  <si>
    <t>10106000000000</t>
  </si>
  <si>
    <t>1.10.10.60.000.000.00.000</t>
  </si>
  <si>
    <t>A.I.6 F.do Svalutazione immobilizzazioni immateriali</t>
  </si>
  <si>
    <t>10106010000000</t>
  </si>
  <si>
    <t>1.10.10.60.010.000.00.000</t>
  </si>
  <si>
    <t>AAA230</t>
  </si>
  <si>
    <t>AA1010C</t>
  </si>
  <si>
    <t>A.I.6.a) F.do Svalutazione Costi impianto e ampliamento</t>
  </si>
  <si>
    <t>10106010010000</t>
  </si>
  <si>
    <t>1.10.10.60.010.010.00.000</t>
  </si>
  <si>
    <t>F.do Svalutazione Costi impianto e ampliamento (Non sterilizzati)</t>
  </si>
  <si>
    <t>10106010020000</t>
  </si>
  <si>
    <t>1.10.10.60.010.012.00.000</t>
  </si>
  <si>
    <t>F.do Svalutazione Costi impianto e ampliamento (sterilizzati)</t>
  </si>
  <si>
    <t>10106020000000</t>
  </si>
  <si>
    <t>1.10.10.60.020.000.00.000</t>
  </si>
  <si>
    <t>AAA240</t>
  </si>
  <si>
    <t>AA1020C</t>
  </si>
  <si>
    <t>A.I.6.b) F.do Svalutazione Costi ricerca e sviluppo</t>
  </si>
  <si>
    <t>10106020010000</t>
  </si>
  <si>
    <t>1.10.10.60.020.010.00.000</t>
  </si>
  <si>
    <t>F.do Svalutazione Costi ricerca e sviluppo (Non sterilizzati)</t>
  </si>
  <si>
    <t>10106020020000</t>
  </si>
  <si>
    <t>1.10.10.60.020.012.00.000</t>
  </si>
  <si>
    <t>F.do Svalutazione Costi ricerca e sviluppo (sterilizzati)</t>
  </si>
  <si>
    <t>10106030000000</t>
  </si>
  <si>
    <t>1.10.10.60.030.000.00.000</t>
  </si>
  <si>
    <t>AAA250</t>
  </si>
  <si>
    <t>AA1030C</t>
  </si>
  <si>
    <t>A.I.6.c) F.do Svalutazione Diritti brevetto e diritti utilizz. op.ingegno</t>
  </si>
  <si>
    <t>10106030010000</t>
  </si>
  <si>
    <t>1.10.10.60.030.010.00.000</t>
  </si>
  <si>
    <t>F.do Svalutazione Diritti brevetto e util. Op. ingegno (Non sterilizzati)</t>
  </si>
  <si>
    <t>10106030020000</t>
  </si>
  <si>
    <t>1.10.10.60.030.012.00.000</t>
  </si>
  <si>
    <t>F.do Svalutazione Diritti brevetto e util. Op. ingegno (Sterilizzati)</t>
  </si>
  <si>
    <t>10106040000000</t>
  </si>
  <si>
    <t>1.10.10.60.040.000.00.000</t>
  </si>
  <si>
    <t>AAA260</t>
  </si>
  <si>
    <t>AA1050C</t>
  </si>
  <si>
    <t>A.I.6.d) F.do Svalutazione Altre immobil. Immateriali</t>
  </si>
  <si>
    <t>10106040010000</t>
  </si>
  <si>
    <t>1.10.10.60.040.010.00.000</t>
  </si>
  <si>
    <t>F.do Svalutazione Altre immobilizz. immateriali (Non sterilizzati)</t>
  </si>
  <si>
    <t>10106040020000</t>
  </si>
  <si>
    <t>1.10.10.60.040.012.00.000</t>
  </si>
  <si>
    <t>F.do Svalutazione Altre immobilizz. immateriali (Sterilizzati)</t>
  </si>
  <si>
    <t>10200000000000</t>
  </si>
  <si>
    <t>1.10.20.00.000.000.00.000</t>
  </si>
  <si>
    <t>A.II. Immobilizzazioni materiali</t>
  </si>
  <si>
    <t>10201000000000</t>
  </si>
  <si>
    <t>1.10.20.10.000.000.00.000</t>
  </si>
  <si>
    <t>AB1010A</t>
  </si>
  <si>
    <t>A.II.1 Terreni</t>
  </si>
  <si>
    <t>10201010000000</t>
  </si>
  <si>
    <t>1.10.20.10.010.000.00.000</t>
  </si>
  <si>
    <t>AAA290</t>
  </si>
  <si>
    <t>AA21a</t>
  </si>
  <si>
    <t>A.II.1.a) Terreni disponibili</t>
  </si>
  <si>
    <t>10201010010010</t>
  </si>
  <si>
    <t>1.10.20.10.010.010.00.000</t>
  </si>
  <si>
    <t>Terreni disponibili (Non sterilizzati)</t>
  </si>
  <si>
    <t>10201010010020</t>
  </si>
  <si>
    <t>1.10.20.10.010.012.00.000</t>
  </si>
  <si>
    <t>Terreni disponibili (Sterilizzati)</t>
  </si>
  <si>
    <t>10201010020010</t>
  </si>
  <si>
    <t>1.10.20.10.010.020.00.000</t>
  </si>
  <si>
    <t>Terreni edificabili disponibili (Non sterilizzati)</t>
  </si>
  <si>
    <t>10201010020020</t>
  </si>
  <si>
    <t>1.10.20.10.010.022.00.000</t>
  </si>
  <si>
    <t>Terreni edificabili disponibili (Sterilizzati)</t>
  </si>
  <si>
    <t>10201010030010</t>
  </si>
  <si>
    <t>1.10.20.10.010.030.00.000</t>
  </si>
  <si>
    <t>Altri terreni disponibili (Non sterilizzati)</t>
  </si>
  <si>
    <t>10201010030020</t>
  </si>
  <si>
    <t>1.10.20.10.010.032.00.000</t>
  </si>
  <si>
    <t>Altri terreni disponibili (Sterilizzati)</t>
  </si>
  <si>
    <t>10201020000000</t>
  </si>
  <si>
    <t>1.10.20.10.020.000.00.000</t>
  </si>
  <si>
    <t>AAA300</t>
  </si>
  <si>
    <t>AA21b</t>
  </si>
  <si>
    <t>A.II.1.b) Terreni indisponibili</t>
  </si>
  <si>
    <t>10201020010010</t>
  </si>
  <si>
    <t>1.10.20.10.020.010.00.000</t>
  </si>
  <si>
    <t>Terreni indisponibili (Non sterilizzati)</t>
  </si>
  <si>
    <t>10201020010020</t>
  </si>
  <si>
    <t>1.10.20.10.020.012.00.000</t>
  </si>
  <si>
    <t>Terreni indisponibili (Sterilizzati)</t>
  </si>
  <si>
    <t>10201020020010</t>
  </si>
  <si>
    <t>1.10.20.10.020.020.00.000</t>
  </si>
  <si>
    <t>Terreni edificabili indisponibili (Non sterilizzati)</t>
  </si>
  <si>
    <t>10201020020020</t>
  </si>
  <si>
    <t>1.10.20.10.020.022.00.000</t>
  </si>
  <si>
    <t>Terreni edificabili indisponibili (Sterilizzati)</t>
  </si>
  <si>
    <t>10201020030010</t>
  </si>
  <si>
    <t>1.10.20.10.020.030.00.000</t>
  </si>
  <si>
    <t>Altri terreni indisponibili (Non sterilizzati)</t>
  </si>
  <si>
    <t>10201020030020</t>
  </si>
  <si>
    <t>1.10.20.10.020.032.00.000</t>
  </si>
  <si>
    <t>Altri terreni indisponibili (Sterilizzati)</t>
  </si>
  <si>
    <t>10202000000000</t>
  </si>
  <si>
    <t>1.10.20.20.000.000.00.000</t>
  </si>
  <si>
    <t>A.II.2 Fabbricati</t>
  </si>
  <si>
    <t>10202010000000</t>
  </si>
  <si>
    <t>1.10.20.20.010.000.00.000</t>
  </si>
  <si>
    <t>AA22a</t>
  </si>
  <si>
    <t>A.II.2.a) Fabbricati non strumentali (disponibili)</t>
  </si>
  <si>
    <t>10202010010000</t>
  </si>
  <si>
    <t>1.10.20.20.010.010.00.000</t>
  </si>
  <si>
    <t>AAA330</t>
  </si>
  <si>
    <t>AB1020A</t>
  </si>
  <si>
    <t>A.II.2.a.1) Fabbricati non strumentali (disponibili)</t>
  </si>
  <si>
    <t>10202010010010</t>
  </si>
  <si>
    <t>1.10.20.20.010.010.10.000</t>
  </si>
  <si>
    <t>Fabbricati disponibili (da reddito) - (Non sterilizzati)</t>
  </si>
  <si>
    <t>10202010010020</t>
  </si>
  <si>
    <t>1.10.20.20.010.010.12.000</t>
  </si>
  <si>
    <t>Fabbricati disponibili (da reddito) - (Sterilizzati)</t>
  </si>
  <si>
    <t>10202010010030</t>
  </si>
  <si>
    <t>1.10.20.20.010.010.20.000</t>
  </si>
  <si>
    <t>Costruzioni leggere (da reddito) - (Non sterilizzati)</t>
  </si>
  <si>
    <t>10202010010040</t>
  </si>
  <si>
    <t>1.10.20.20.010.010.22.000</t>
  </si>
  <si>
    <t>Costruzioni leggere (da reddito) - (Sterilizzati)</t>
  </si>
  <si>
    <t>10202010020000</t>
  </si>
  <si>
    <t>1.10.20.20.010.020.00.000</t>
  </si>
  <si>
    <t>AAA340</t>
  </si>
  <si>
    <t>AB1020B</t>
  </si>
  <si>
    <t>A.II.2.a.2) Fondo ammortamento Fabbricati (disponibili)</t>
  </si>
  <si>
    <t>10202010020010</t>
  </si>
  <si>
    <t>1.10.20.20.010.020.10.000</t>
  </si>
  <si>
    <t>F.do amm. Fabbricati disponibili (da reddito) - (Non sterilizzati)</t>
  </si>
  <si>
    <t>10202010020020</t>
  </si>
  <si>
    <t>1.10.20.20.010.020.12.000</t>
  </si>
  <si>
    <t>F.do amm. Fabbricati disponibili (da reddito) - (Sterilizzati)</t>
  </si>
  <si>
    <t>10202010020030</t>
  </si>
  <si>
    <t>1.10.20.20.010.020.20.000</t>
  </si>
  <si>
    <t>F.do amm. Costruzioni leggere (da reddito) - (Non sterilizzati)</t>
  </si>
  <si>
    <t>10202010020040</t>
  </si>
  <si>
    <t>1.10.20.20.010.020.22.000</t>
  </si>
  <si>
    <t>F.do amm. Costruzioni leggere (da reddito) - (Sterilizzati)</t>
  </si>
  <si>
    <t>10202020000000</t>
  </si>
  <si>
    <t>1.10.20.20.020.000.00.000</t>
  </si>
  <si>
    <t>AA22b</t>
  </si>
  <si>
    <t>A.II.2.b) Fabbricati (indisponibili)</t>
  </si>
  <si>
    <t>10202020010000</t>
  </si>
  <si>
    <t>1.10.20.20.020.010.00.000</t>
  </si>
  <si>
    <t>AAA360</t>
  </si>
  <si>
    <t>A.II.2.b.1) Fabbricati (indisponibili)</t>
  </si>
  <si>
    <t>10202020010010</t>
  </si>
  <si>
    <t>1.10.20.20.020.010.10.000</t>
  </si>
  <si>
    <t>Fabbricati indisponibili (attività istituzionale) - (Non sterilizzati)</t>
  </si>
  <si>
    <t>10202020010020</t>
  </si>
  <si>
    <t>1.10.20.20.020.010.12.000</t>
  </si>
  <si>
    <t>Fabbricati indisponibili (attività istituzionale) - (Sterilizzati)</t>
  </si>
  <si>
    <t>10202020010030</t>
  </si>
  <si>
    <t>1.10.20.20.020.010.20.000</t>
  </si>
  <si>
    <t>Costruzioni leggere (attività istituzionale) - (Non sterilizzati)</t>
  </si>
  <si>
    <t>10202020010040</t>
  </si>
  <si>
    <t>1.10.20.20.020.010.22.000</t>
  </si>
  <si>
    <t>Costruzioni leggere (attività istituzionale) - (Sterilizzati)</t>
  </si>
  <si>
    <t>10202020020000</t>
  </si>
  <si>
    <t>1.10.20.20.020.020.00.000</t>
  </si>
  <si>
    <t>AAA370</t>
  </si>
  <si>
    <t>A.II.2.b.2) Fondo ammortamento Fabbricati (indisponibili)</t>
  </si>
  <si>
    <t>10202020020010</t>
  </si>
  <si>
    <t>1.10.20.20.020.020.10.000</t>
  </si>
  <si>
    <t>F.do amm. Fabbricati indisponibili (attività istituzionale) - (Non sterilizzati)</t>
  </si>
  <si>
    <t>10202020020020</t>
  </si>
  <si>
    <t>1.10.20.20.020.020.12.000</t>
  </si>
  <si>
    <t>F.do amm. Fabbricati indisponibili (attività istituzionale) - (Sterilizzati)</t>
  </si>
  <si>
    <t>10202020020030</t>
  </si>
  <si>
    <t>1.10.20.20.020.020.20.000</t>
  </si>
  <si>
    <t>F.do amm. Costruzioni leggere (attività istituzionale) - (Non sterilizzati)</t>
  </si>
  <si>
    <t>10202020020040</t>
  </si>
  <si>
    <t>1.10.20.20.020.020.22.000</t>
  </si>
  <si>
    <t>F.do amm. Costruzioni leggere (attività istituzionale) - (Sterilizzati)</t>
  </si>
  <si>
    <t>10203000000000</t>
  </si>
  <si>
    <t>1.10.20.30.000.000.00.000</t>
  </si>
  <si>
    <t>AA23</t>
  </si>
  <si>
    <t>A.II.3 Impianti e macchinari.</t>
  </si>
  <si>
    <t>10203010000000</t>
  </si>
  <si>
    <t>1.10.20.30.010.000.00.000</t>
  </si>
  <si>
    <t>AAA390</t>
  </si>
  <si>
    <t>AB1030A</t>
  </si>
  <si>
    <t>A.II.3.a) Impianti e macchinari.</t>
  </si>
  <si>
    <t>10203010010010</t>
  </si>
  <si>
    <t>1.10.20.30.010.010.00.000</t>
  </si>
  <si>
    <t>Impianti sanitari (Non sterilizzati)</t>
  </si>
  <si>
    <t>10203010010020</t>
  </si>
  <si>
    <t>1.10.20.30.010.012.00.000</t>
  </si>
  <si>
    <t>Impianti sanitari (Sterilizzati)</t>
  </si>
  <si>
    <t>10203010020010</t>
  </si>
  <si>
    <t>1.10.20.30.010.020.00.000</t>
  </si>
  <si>
    <t>Impianti elettrici ed idraulici (Non sterilizzati)</t>
  </si>
  <si>
    <t>10203010020020</t>
  </si>
  <si>
    <t>1.10.20.30.010.022.00.000</t>
  </si>
  <si>
    <t>Impianti elettrici ed idraulici (Sterilizzati)</t>
  </si>
  <si>
    <t>10203010030010</t>
  </si>
  <si>
    <t>1.10.20.30.010.030.00.000</t>
  </si>
  <si>
    <t>Impianti telefonici (Non sterilizzati)</t>
  </si>
  <si>
    <t>10203010030020</t>
  </si>
  <si>
    <t>1.10.20.30.010.032.00.000</t>
  </si>
  <si>
    <t>Impianti telefonici (Sterilizzati)</t>
  </si>
  <si>
    <t>10203010040010</t>
  </si>
  <si>
    <t>1.10.20.30.010.040.00.000</t>
  </si>
  <si>
    <t>Impianti di allarme e sicurezza (Non sterilizzati)</t>
  </si>
  <si>
    <t>10203010040020</t>
  </si>
  <si>
    <t>1.10.20.30.010.042.00.000</t>
  </si>
  <si>
    <t>Impianti di allarme e sicurezza (Sterilizzati)</t>
  </si>
  <si>
    <t>10203010050010</t>
  </si>
  <si>
    <t>1.10.20.30.010.050.00.000</t>
  </si>
  <si>
    <t>Altri impianti e macchinari specifici (Non sterilizzati)</t>
  </si>
  <si>
    <t>10203010050020</t>
  </si>
  <si>
    <t>1.10.20.30.010.052.00.000</t>
  </si>
  <si>
    <t>Altri impianti e macchinari specifici (Sterilizzati)</t>
  </si>
  <si>
    <t>10203010060010</t>
  </si>
  <si>
    <t>1.10.20.30.010.060.00.000</t>
  </si>
  <si>
    <t>Altri impiantie macchinari generici (Non sterilizzati)</t>
  </si>
  <si>
    <t>10203010060020</t>
  </si>
  <si>
    <t>1.10.20.30.010.062.00.000</t>
  </si>
  <si>
    <t>Altri impiantie macchinari generici (Sterilizzati)</t>
  </si>
  <si>
    <t>10203010070010</t>
  </si>
  <si>
    <t>1.10.20.30.010.070.00.000</t>
  </si>
  <si>
    <t>Altri impianti (Non sterilizzati)</t>
  </si>
  <si>
    <t>10203010070020</t>
  </si>
  <si>
    <t>1.10.20.30.010.072.00.000</t>
  </si>
  <si>
    <t>Altri impianti (Sterilizzati)</t>
  </si>
  <si>
    <t>10203020000000</t>
  </si>
  <si>
    <t>1.10.20.30.020.000.00.000</t>
  </si>
  <si>
    <t>AAA400</t>
  </si>
  <si>
    <t>AB1030B</t>
  </si>
  <si>
    <t>A.II.3.b) Fondo ammortamento Impianti e macchinari.</t>
  </si>
  <si>
    <t>10203020010010</t>
  </si>
  <si>
    <t>1.10.20.30.020.010.00.000</t>
  </si>
  <si>
    <t>F.do amm. Impianti sanitari (Non sterilizzati)</t>
  </si>
  <si>
    <t>10203020010020</t>
  </si>
  <si>
    <t>1.10.20.30.020.012.00.000</t>
  </si>
  <si>
    <t>F.do amm. Impianti sanitari (Sterilizzati)</t>
  </si>
  <si>
    <t>10203020020010</t>
  </si>
  <si>
    <t>1.10.20.30.020.020.00.000</t>
  </si>
  <si>
    <t>F.do amm. Impianti elettrici ed idraulici (Non sterilizzati)</t>
  </si>
  <si>
    <t>10203020020020</t>
  </si>
  <si>
    <t>1.10.20.30.020.022.00.000</t>
  </si>
  <si>
    <t>F.do amm. Impianti elettrici ed idraulici (Sterilizzati)</t>
  </si>
  <si>
    <t>10203020030010</t>
  </si>
  <si>
    <t>1.10.20.30.020.030.00.000</t>
  </si>
  <si>
    <t>F.do amm. Impianti telefonici (Non sterilizzati)</t>
  </si>
  <si>
    <t>10203020030020</t>
  </si>
  <si>
    <t>1.10.20.30.020.032.00.000</t>
  </si>
  <si>
    <t>F.do amm. Impianti telefonici (Sterilizzati)</t>
  </si>
  <si>
    <t>10203020040010</t>
  </si>
  <si>
    <t>1.10.20.30.020.040.00.000</t>
  </si>
  <si>
    <t>F.do amm. Impianti di allarme e sicurezza (Non sterilizzati)</t>
  </si>
  <si>
    <t>10203020040020</t>
  </si>
  <si>
    <t>1.10.20.30.020.042.00.000</t>
  </si>
  <si>
    <t>F.do amm. Impianti di allarme e sicurezza (Sterilizzati)</t>
  </si>
  <si>
    <t>10203020050010</t>
  </si>
  <si>
    <t>1.10.20.30.020.050.00.000</t>
  </si>
  <si>
    <t>F.do amm. Altri impianti e macchinari specifici (Non sterilizzati)</t>
  </si>
  <si>
    <t>10203020050020</t>
  </si>
  <si>
    <t>1.10.20.30.020.052.00.000</t>
  </si>
  <si>
    <t>F.do amm. Altri impianti e macchinari specifici (Sterilizzati)</t>
  </si>
  <si>
    <t>10203020060010</t>
  </si>
  <si>
    <t>1.10.20.30.020.060.00.000</t>
  </si>
  <si>
    <t>F.do amm. Altri impiantie macchinari generici (Non sterilizzati)</t>
  </si>
  <si>
    <t>10203020060020</t>
  </si>
  <si>
    <t>1.10.20.30.020.062.00.000</t>
  </si>
  <si>
    <t>F.do amm. Altri impiantie macchinari generici (Sterilizzati)</t>
  </si>
  <si>
    <t>10203020070010</t>
  </si>
  <si>
    <t>1.10.20.30.020.070.00.000</t>
  </si>
  <si>
    <t>F.do amm. Altri impianti (Non sterilizzati)</t>
  </si>
  <si>
    <t>10203020070020</t>
  </si>
  <si>
    <t>1.10.20.30.020.072.00.000</t>
  </si>
  <si>
    <t>F.do amm. Altri impianti (Sterilizzati)</t>
  </si>
  <si>
    <t>10204000000000</t>
  </si>
  <si>
    <t>1.10.20.40.000.000.00.000</t>
  </si>
  <si>
    <t>AA24</t>
  </si>
  <si>
    <t>A.II.4 Attrezzature sanitarie e scientifiche</t>
  </si>
  <si>
    <t>10204010000000</t>
  </si>
  <si>
    <t>1.10.20.40.010.000.00.000</t>
  </si>
  <si>
    <t>AAA420</t>
  </si>
  <si>
    <t>AB1040A</t>
  </si>
  <si>
    <t>A.II.4.a) Attrezzature sanitarie e scientifiche</t>
  </si>
  <si>
    <t>10204010010010</t>
  </si>
  <si>
    <t>1.10.20.40.010.010.00.000</t>
  </si>
  <si>
    <t>Attrezzature sanitarie (Non sterilizzate)</t>
  </si>
  <si>
    <t>10204010010020</t>
  </si>
  <si>
    <t>1.10.20.40.010.012.00.000</t>
  </si>
  <si>
    <t>Attrezzature sanitarie (Sterilizzate)</t>
  </si>
  <si>
    <t>10204010020010</t>
  </si>
  <si>
    <t>1.10.20.40.010.020.00.000</t>
  </si>
  <si>
    <t>Beni per assistenza protesica (Non sterilizzate)</t>
  </si>
  <si>
    <t>10204010020020</t>
  </si>
  <si>
    <t>1.10.20.40.010.022.00.000</t>
  </si>
  <si>
    <t>Beni per assistenza protesica (Sterilizzate)</t>
  </si>
  <si>
    <t>10204010030010</t>
  </si>
  <si>
    <t>1.10.20.40.010.080.00.000</t>
  </si>
  <si>
    <t>Altre attrezzature sanitarie (Non sterilizzate)</t>
  </si>
  <si>
    <t>10204010030020</t>
  </si>
  <si>
    <t>1.10.20.40.010.082.00.000</t>
  </si>
  <si>
    <t>Altre attrezzature sanitarie (Sterilizzate)</t>
  </si>
  <si>
    <t>10204020000000</t>
  </si>
  <si>
    <t>1.10.20.40.020.000.00.000</t>
  </si>
  <si>
    <t>AAA430</t>
  </si>
  <si>
    <t>AB1040B</t>
  </si>
  <si>
    <t>A.II.4.b) Fondo ammortamento Attrezzature sanitarie e scientifiche</t>
  </si>
  <si>
    <t>10204020010010</t>
  </si>
  <si>
    <t>1.10.20.40.020.010.00.000</t>
  </si>
  <si>
    <t>F.do amm. Attrezzature sanitarie (Non sterilizzate)</t>
  </si>
  <si>
    <t>10204020010020</t>
  </si>
  <si>
    <t>1.10.20.40.020.012.00.000</t>
  </si>
  <si>
    <t>F.do amm. Attrezzature sanitarie (Sterilizzate)</t>
  </si>
  <si>
    <t>10204020020010</t>
  </si>
  <si>
    <t>1.10.20.40.020.020.00.000</t>
  </si>
  <si>
    <t>F.do amm. Beni per assistenza protesica (Non sterilizzate)</t>
  </si>
  <si>
    <t>10204020020020</t>
  </si>
  <si>
    <t>1.10.20.40.020.022.00.000</t>
  </si>
  <si>
    <t>F.do amm. Beni per assistenza protesica (Sterilizzate)</t>
  </si>
  <si>
    <t>10204020030010</t>
  </si>
  <si>
    <t>1.10.20.40.020.080.00.000</t>
  </si>
  <si>
    <t>F.do amm. Altre attrezzature sanitarie (Non sterilizzate)</t>
  </si>
  <si>
    <t>10204020030020</t>
  </si>
  <si>
    <t>1.10.20.40.020.082.00.000</t>
  </si>
  <si>
    <t>F.do amm. Altre attrezzature sanitarie (Sterilizzate)</t>
  </si>
  <si>
    <t>10205000000000</t>
  </si>
  <si>
    <t>1.10.20.50.000.000.00.000</t>
  </si>
  <si>
    <t>AA25</t>
  </si>
  <si>
    <t>A.II.5 Mobili ed arredi</t>
  </si>
  <si>
    <t>10205010000000</t>
  </si>
  <si>
    <t>1.10.20.50.010.000.00.000</t>
  </si>
  <si>
    <t>AAA450</t>
  </si>
  <si>
    <t>AB1050A</t>
  </si>
  <si>
    <t>A.II.5.a) Mobili ed arredi</t>
  </si>
  <si>
    <t>10205010010010</t>
  </si>
  <si>
    <t>1.10.20.50.010.010.00.000</t>
  </si>
  <si>
    <t>Mobili , arredi e attrezzature ufficio (Non sterilizzati)</t>
  </si>
  <si>
    <t>10205010010020</t>
  </si>
  <si>
    <t>1.10.20.50.010.012.00.000</t>
  </si>
  <si>
    <t>Mobili , arredi e attrezzature ufficio (Sterilizzati)</t>
  </si>
  <si>
    <t>10205010020010</t>
  </si>
  <si>
    <t>1.10.20.50.010.020.00.000</t>
  </si>
  <si>
    <t>Scaffalature (Non sterilizzati)</t>
  </si>
  <si>
    <t>10205010020020</t>
  </si>
  <si>
    <t>1.10.20.50.010.022.00.000</t>
  </si>
  <si>
    <t>Scaffalature (Sterilizzati)</t>
  </si>
  <si>
    <t>10205010030010</t>
  </si>
  <si>
    <t>1.10.20.50.010.030.00.000</t>
  </si>
  <si>
    <t>Mobili ed arredi diversi (Non sterilizzati)</t>
  </si>
  <si>
    <t>10205010030020</t>
  </si>
  <si>
    <t>1.10.20.50.010.032.00.000</t>
  </si>
  <si>
    <t>Mobili ed arredi diversi (Sterilizzati)</t>
  </si>
  <si>
    <t>10205010040010</t>
  </si>
  <si>
    <t>1.10.20.50.010.050.00.000</t>
  </si>
  <si>
    <t>Altri mobili e arredi (Non sterilizzati)</t>
  </si>
  <si>
    <t>10205010040020</t>
  </si>
  <si>
    <t>1.10.20.50.010.052.00.000</t>
  </si>
  <si>
    <t>Altri mobili e arredi (Sterilizzati)</t>
  </si>
  <si>
    <t>10205020000000</t>
  </si>
  <si>
    <t>1.10.20.50.020.000.00.000</t>
  </si>
  <si>
    <t>AAA460</t>
  </si>
  <si>
    <t>AB1050B</t>
  </si>
  <si>
    <t>A.II.5.b) Fondo ammortamento Mobili ed arredi</t>
  </si>
  <si>
    <t>10205020010010</t>
  </si>
  <si>
    <t>1.10.20.50.020.010.00.000</t>
  </si>
  <si>
    <t>F.do amm. Mobili , arredi e attrezzature ufficio (Non sterilizzati)</t>
  </si>
  <si>
    <t>10205020010020</t>
  </si>
  <si>
    <t>1.10.20.50.020.012.00.000</t>
  </si>
  <si>
    <t>F.do amm. Mobili , arredi e attrezzature ufficio (Sterilizzati)</t>
  </si>
  <si>
    <t>10205020020010</t>
  </si>
  <si>
    <t>1.10.20.50.020.020.00.000</t>
  </si>
  <si>
    <t>F.do amm. Scaffalature (Non sterilizzati)</t>
  </si>
  <si>
    <t>10205020020020</t>
  </si>
  <si>
    <t>1.10.20.50.020.022.00.000</t>
  </si>
  <si>
    <t>F.do amm. Scaffalature (Sterilizzati)</t>
  </si>
  <si>
    <t>10205020030010</t>
  </si>
  <si>
    <t>1.10.20.50.020.030.00.000</t>
  </si>
  <si>
    <t>F.do amm. Mobili ed arredi diversi (Non sterilizzati)</t>
  </si>
  <si>
    <t>10205020030020</t>
  </si>
  <si>
    <t>1.10.20.50.020.032.00.000</t>
  </si>
  <si>
    <t>F.do amm. Mobili ed arredi diversi (Sterilizzati)</t>
  </si>
  <si>
    <t>10205020040010</t>
  </si>
  <si>
    <t>1.10.20.50.020.050.00.000</t>
  </si>
  <si>
    <t>F.do amm. Altri mobili e arredi (Non sterilizzati)</t>
  </si>
  <si>
    <t>10205020040020</t>
  </si>
  <si>
    <t>1.10.20.50.020.052.00.000</t>
  </si>
  <si>
    <t>F.do amm. Altri mobili e arredi (Sterilizzati)</t>
  </si>
  <si>
    <t>10206000000000</t>
  </si>
  <si>
    <t>1.10.20.60.000.000.00.000</t>
  </si>
  <si>
    <t>AA26</t>
  </si>
  <si>
    <t>A.II.6 Automezzi</t>
  </si>
  <si>
    <t>10206010000000</t>
  </si>
  <si>
    <t>1.10.20.60.010.000.00.000</t>
  </si>
  <si>
    <t>AAA480</t>
  </si>
  <si>
    <t>AB1060A</t>
  </si>
  <si>
    <t>A.II.6.a) Automezzi</t>
  </si>
  <si>
    <t>10206010010010</t>
  </si>
  <si>
    <t>1.10.20.60.010.010.00.000</t>
  </si>
  <si>
    <t>Automezzi (Non sterilizzati)</t>
  </si>
  <si>
    <t>10206010010020</t>
  </si>
  <si>
    <t>1.10.20.60.010.012.00.000</t>
  </si>
  <si>
    <t>Automezzi (Sterilizzati)</t>
  </si>
  <si>
    <t>10206010020010</t>
  </si>
  <si>
    <t>1.10.20.60.010.020.00.000</t>
  </si>
  <si>
    <t>Ambulanze utilizzate per il 118 (Non sterilizzati)</t>
  </si>
  <si>
    <t>10206010020020</t>
  </si>
  <si>
    <t>1.10.20.60.010.022.00.000</t>
  </si>
  <si>
    <t>Ambulanze utilizzate per il 118 (Sterilizzati)</t>
  </si>
  <si>
    <t>10206010030010</t>
  </si>
  <si>
    <t>1.10.20.60.010.030.00.000</t>
  </si>
  <si>
    <t>Altre ambulanze (Non sterilizzati)</t>
  </si>
  <si>
    <t>10206010030020</t>
  </si>
  <si>
    <t>1.10.20.60.010.032.00.000</t>
  </si>
  <si>
    <t>Altre ambulanze (Sterilizzati)</t>
  </si>
  <si>
    <t>10206010040010</t>
  </si>
  <si>
    <t>1.10.20.60.010.040.00.000</t>
  </si>
  <si>
    <t>Altri mezzi di trasporto* (Non sterilizzati)</t>
  </si>
  <si>
    <t>10206010040020</t>
  </si>
  <si>
    <t>1.10.20.60.010.042.00.000</t>
  </si>
  <si>
    <t>Altri mezzi di trasporto* (Sterilizzati)</t>
  </si>
  <si>
    <t>10206010050010</t>
  </si>
  <si>
    <t>1.10.20.60.010.050.00.000</t>
  </si>
  <si>
    <t>Altri automezzi (Non sterilizzati)</t>
  </si>
  <si>
    <t>10206010050020</t>
  </si>
  <si>
    <t>1.10.20.60.010.052.00.000</t>
  </si>
  <si>
    <t>Altri automezzi (Sterilizzati)</t>
  </si>
  <si>
    <t>10206020000000</t>
  </si>
  <si>
    <t>1.10.20.60.020.000.00.000</t>
  </si>
  <si>
    <t>AAA490</t>
  </si>
  <si>
    <t>AB1060B</t>
  </si>
  <si>
    <t>A.II.6.b) Fondo ammortamento Automezzi</t>
  </si>
  <si>
    <t>10206020010010</t>
  </si>
  <si>
    <t>1.10.20.60.020.010.00.000</t>
  </si>
  <si>
    <t>F.do amm. Automezzi (Non sterilizzati)</t>
  </si>
  <si>
    <t>10206020010020</t>
  </si>
  <si>
    <t>1.10.20.60.020.012.00.000</t>
  </si>
  <si>
    <t>F.do amm. Automezzi (Sterilizzati)</t>
  </si>
  <si>
    <t>10206020020010</t>
  </si>
  <si>
    <t>1.10.20.60.020.020.00.000</t>
  </si>
  <si>
    <t>F.do amm. Ambulanze utilizzate per il 118 (Non sterilizzati)</t>
  </si>
  <si>
    <t>10206020020020</t>
  </si>
  <si>
    <t>1.10.20.60.020.022.00.000</t>
  </si>
  <si>
    <t>F.do amm. Ambulanze utilizzate per il 118 (Sterilizzati)</t>
  </si>
  <si>
    <t>10206020030010</t>
  </si>
  <si>
    <t>1.10.20.60.020.030.00.000</t>
  </si>
  <si>
    <t>F.do amm. Altre ambulanze (Non sterilizzati)</t>
  </si>
  <si>
    <t>10206020030020</t>
  </si>
  <si>
    <t>1.10.20.60.020.032.00.000</t>
  </si>
  <si>
    <t>F.do amm. Altre ambulanze (Sterilizzati)</t>
  </si>
  <si>
    <t>10206020040010</t>
  </si>
  <si>
    <t>1.10.20.60.020.040.00.000</t>
  </si>
  <si>
    <t>F.do amm. Altri mezzi di trasporto* (Non sterilizzati)</t>
  </si>
  <si>
    <t>10206020040020</t>
  </si>
  <si>
    <t>1.10.20.60.020.042.00.000</t>
  </si>
  <si>
    <t>F.do amm. Altri mezzi di trasporto* (Sterilizzati)</t>
  </si>
  <si>
    <t>10206020050010</t>
  </si>
  <si>
    <t>1.10.20.60.020.050.00.000</t>
  </si>
  <si>
    <t>F.do amm. Altri automezzi (Non sterilizzati)</t>
  </si>
  <si>
    <t>10206020050020</t>
  </si>
  <si>
    <t>1.10.20.60.020.052.00.000</t>
  </si>
  <si>
    <t>F.do amm. Altri automezzi (Sterilizzati)</t>
  </si>
  <si>
    <t>10207000000000</t>
  </si>
  <si>
    <t>1.10.20.70.000.000.00.000</t>
  </si>
  <si>
    <t>AAA500</t>
  </si>
  <si>
    <t>AA27</t>
  </si>
  <si>
    <t>A.II.7 Oggetti d'arte</t>
  </si>
  <si>
    <t>10207010000000</t>
  </si>
  <si>
    <t>1.10.20.70.010.000.00.000</t>
  </si>
  <si>
    <t>AB1070A</t>
  </si>
  <si>
    <t>A.II.7.a) Oggetti d'arte</t>
  </si>
  <si>
    <t>10207010010000</t>
  </si>
  <si>
    <t>1.10.20.70.010.010.00.000</t>
  </si>
  <si>
    <t>Oggetti d'arte</t>
  </si>
  <si>
    <t>10208000000000</t>
  </si>
  <si>
    <t>1.10.20.80.000.000.00.000</t>
  </si>
  <si>
    <t>AA28</t>
  </si>
  <si>
    <t>A.II.8 Altre immobilizzazioni materiali</t>
  </si>
  <si>
    <t>10208010000000</t>
  </si>
  <si>
    <t>1.10.20.80.010.000.00.000</t>
  </si>
  <si>
    <t>AAA520</t>
  </si>
  <si>
    <t>AB1080A</t>
  </si>
  <si>
    <t>A.II.8.a) Altre immobilizzazioni materiali</t>
  </si>
  <si>
    <t>10208010010010</t>
  </si>
  <si>
    <t>1.10.20.80.010.010.00.000</t>
  </si>
  <si>
    <t>Elaboratori e personal computer e altre attrezzature EDP (Non sterilizzate)</t>
  </si>
  <si>
    <t>10208010010020</t>
  </si>
  <si>
    <t>1.10.20.80.010.012.00.000</t>
  </si>
  <si>
    <t>Elaboratori e personal computer e altre attrezzature EDP (Sterilizzati)</t>
  </si>
  <si>
    <t>10208010020010</t>
  </si>
  <si>
    <t>1.10.20.80.010.020.00.000</t>
  </si>
  <si>
    <t>Macchine ufficio ordinarie (Non sterilizzati)</t>
  </si>
  <si>
    <t>10208010020020</t>
  </si>
  <si>
    <t>1.10.20.80.010.022.00.000</t>
  </si>
  <si>
    <t>Macchine ufficio ordinarie (Sterilizzati)</t>
  </si>
  <si>
    <t>10208010030010</t>
  </si>
  <si>
    <t>1.10.20.80.010.030.00.000</t>
  </si>
  <si>
    <t>Macchine ufficio elettriche ed elettroniche (Non sterilizzati)</t>
  </si>
  <si>
    <t>10208010030020</t>
  </si>
  <si>
    <t>1.10.20.80.010.032.00.000</t>
  </si>
  <si>
    <t>Macchine ufficio elettriche ed elettroniche (Sterilizzati)</t>
  </si>
  <si>
    <t>10208010040010</t>
  </si>
  <si>
    <t>1.10.20.80.010.040.00.000</t>
  </si>
  <si>
    <t>Altri beni materiali da ammortizzare gestione caratteristica (Non sterilizzati)</t>
  </si>
  <si>
    <t>10208010040020</t>
  </si>
  <si>
    <t>1.10.20.80.010.042.00.000</t>
  </si>
  <si>
    <t>Altri beni materiali da ammortizzare gestione caratteristica (Sterilizzati)</t>
  </si>
  <si>
    <t>10208010050010</t>
  </si>
  <si>
    <t>1.10.20.80.010.050.00.000</t>
  </si>
  <si>
    <t>Altri beni materiali da ammortizzare gestione non caratteristica (Non sterilizzati)</t>
  </si>
  <si>
    <t>10208010050020</t>
  </si>
  <si>
    <t>1.10.20.80.010.052.00.000</t>
  </si>
  <si>
    <t>Altri beni materiali da ammortizzare gestione non caratteristica (Sterilizzati)</t>
  </si>
  <si>
    <t>10208010060010</t>
  </si>
  <si>
    <t>1.10.20.80.010.060.00.000</t>
  </si>
  <si>
    <t>Altri beni (Non sterilizzati)</t>
  </si>
  <si>
    <t>10208010060020</t>
  </si>
  <si>
    <t>1.10.20.80.010.062.00.000</t>
  </si>
  <si>
    <t>Altri beni (Sterilizzati)</t>
  </si>
  <si>
    <t>10208020000000</t>
  </si>
  <si>
    <t>1.10.20.80.020.000.00.000</t>
  </si>
  <si>
    <t>AAA530</t>
  </si>
  <si>
    <t>AB1080B</t>
  </si>
  <si>
    <t>A.II.8.b) Fondo ammortamento Altre immobilizz. Materiali</t>
  </si>
  <si>
    <t>10208020010010</t>
  </si>
  <si>
    <t>1.10.20.80.020.010.00.000</t>
  </si>
  <si>
    <t>F.do amm. Elaboratori e personal computer e altre attrezzature EDP (Non sterilizzati)</t>
  </si>
  <si>
    <t>10208020010020</t>
  </si>
  <si>
    <t>1.10.20.80.020.012.00.000</t>
  </si>
  <si>
    <t>F.do amm. Elaboratori e personal computer e altre attrezzature EDP (Sterilizzati)</t>
  </si>
  <si>
    <t>10208020020010</t>
  </si>
  <si>
    <t>1.10.20.80.020.020.00.000</t>
  </si>
  <si>
    <t>F.do amm. Macchine ufficio ordinarie (Non sterilizzati)</t>
  </si>
  <si>
    <t>10208020020020</t>
  </si>
  <si>
    <t>1.10.20.80.020.022.00.000</t>
  </si>
  <si>
    <t>F.do amm. Macchine ufficio ordinarie (Sterilizzati)</t>
  </si>
  <si>
    <t>10208020030010</t>
  </si>
  <si>
    <t>1.10.20.80.020.030.00.000</t>
  </si>
  <si>
    <t>F.do amm. Macchine ufficio elettriche ed elettroniche (Non sterilizzati)</t>
  </si>
  <si>
    <t>10208020030020</t>
  </si>
  <si>
    <t>1.10.20.80.020.032.00.000</t>
  </si>
  <si>
    <t>F.do amm. Macchine ufficio elettriche ed elettroniche (Sterilizzati)</t>
  </si>
  <si>
    <t>10208020040010</t>
  </si>
  <si>
    <t>1.10.20.80.020.040.00.000</t>
  </si>
  <si>
    <t>F.do amm. Altri beni materiali da ammortizzare gestione caratteristica (Non sterilizzati)</t>
  </si>
  <si>
    <t>10208020040020</t>
  </si>
  <si>
    <t>1.10.20.80.020.042.00.000</t>
  </si>
  <si>
    <t>F.do amm. Altri beni materiali da ammortizzare gestione caratteristica (Sterilizzati)</t>
  </si>
  <si>
    <t>10208020050010</t>
  </si>
  <si>
    <t>1.10.20.80.020.050.00.000</t>
  </si>
  <si>
    <t>F.do amm. Altri beni materiali da ammortizzare gestione non caratteristica (Non sterilizzati)</t>
  </si>
  <si>
    <t>10208020050020</t>
  </si>
  <si>
    <t>1.10.20.80.020.052.00.000</t>
  </si>
  <si>
    <t>F.do amm. Altri beni materiali da ammortizzare gestione non caratteristica (Sterilizzati)</t>
  </si>
  <si>
    <t>10208020060010</t>
  </si>
  <si>
    <t>1.10.20.80.020.060.00.000</t>
  </si>
  <si>
    <t>F.do amm. Altri beni (Non sterilizzati)</t>
  </si>
  <si>
    <t>10208020060020</t>
  </si>
  <si>
    <t>1.10.20.80.020.062.00.000</t>
  </si>
  <si>
    <t>F.do amm. Altri beni (Sterilizzati)</t>
  </si>
  <si>
    <t>10209000000000</t>
  </si>
  <si>
    <t>1.10.20.90.000.000.00.000</t>
  </si>
  <si>
    <t>AAA540</t>
  </si>
  <si>
    <t>AB1090A</t>
  </si>
  <si>
    <t>AA29</t>
  </si>
  <si>
    <t>A.II.9 Immobilizzazioni in corso ed acconti</t>
  </si>
  <si>
    <t>10209010000000</t>
  </si>
  <si>
    <t>1.10.20.90.010.000.00.000</t>
  </si>
  <si>
    <t>Immobilizzazioni materiali in corso di esecuzione</t>
  </si>
  <si>
    <t>10209020000000</t>
  </si>
  <si>
    <t>1.10.20.90.020.000.00.000</t>
  </si>
  <si>
    <t>Fornitori conto anticipi per acquisto immobilizzazioni materiali</t>
  </si>
  <si>
    <t>10209030000000</t>
  </si>
  <si>
    <t>1.10.20.90.030.000.00.000</t>
  </si>
  <si>
    <t>Altre immobilizzazioni in corso</t>
  </si>
  <si>
    <t>10210000000000</t>
  </si>
  <si>
    <t>1.10.20.98.000.000.00.000</t>
  </si>
  <si>
    <t>A.II.10 F.do Svalutazione immobilizzazioni materiali</t>
  </si>
  <si>
    <t>10210010000000</t>
  </si>
  <si>
    <t>1.10.20.98.010.000.00.000</t>
  </si>
  <si>
    <t>AAA560</t>
  </si>
  <si>
    <t>AB1010C</t>
  </si>
  <si>
    <t>A.II.10.a) F.do Svalutazione Terreni</t>
  </si>
  <si>
    <t>10210010010010</t>
  </si>
  <si>
    <t>1.10.20.98.010.010.00.000</t>
  </si>
  <si>
    <t>F.do Svalutazione Terreni Disponibili (Non sterilizzati)</t>
  </si>
  <si>
    <t>10210010010020</t>
  </si>
  <si>
    <t>1.10.20.98.010.012.00.000</t>
  </si>
  <si>
    <t>F.do Svalutazione Terreni Disponibili (sterilizzati)</t>
  </si>
  <si>
    <t>10210010020010</t>
  </si>
  <si>
    <t>1.10.20.98.010.020.00.000</t>
  </si>
  <si>
    <t>F.do Svalutazione Terreni Indisponibili (Non sterilizzati)</t>
  </si>
  <si>
    <t>10210010020020</t>
  </si>
  <si>
    <t>1.10.20.98.010.022.00.000</t>
  </si>
  <si>
    <t>F.do Svalutazione Terreni Indisponibili (sterilizzati)</t>
  </si>
  <si>
    <t>10210020000000</t>
  </si>
  <si>
    <t>1.10.20.98.020.000.00.000</t>
  </si>
  <si>
    <t>AAA570</t>
  </si>
  <si>
    <t>AB1020C</t>
  </si>
  <si>
    <t>A.II.10.b) F.do Svalutazione Fabbricati</t>
  </si>
  <si>
    <t>10210020010010</t>
  </si>
  <si>
    <t>1.10.20.98.020.010.00.000</t>
  </si>
  <si>
    <t>F.do Svalutazione Fabbricati Disponibili (Non sterilizzati)</t>
  </si>
  <si>
    <t>10210020010020</t>
  </si>
  <si>
    <t>1.10.20.98.020.012.00.000</t>
  </si>
  <si>
    <t>F.do Svalutazione Fabbricati Disponibili (Sterilizzati)</t>
  </si>
  <si>
    <t>10210020020010</t>
  </si>
  <si>
    <t>1.10.20.98.020.020.00.000</t>
  </si>
  <si>
    <t>F.do Svalutazione Fabbricati Indisponibili (Non sterilizzati)</t>
  </si>
  <si>
    <t>10210020020020</t>
  </si>
  <si>
    <t>1.10.20.98.020.022.00.000</t>
  </si>
  <si>
    <t>F.do Svalutazione Fabbricati Indisponibili (sterilizzati)</t>
  </si>
  <si>
    <t>10210030000000</t>
  </si>
  <si>
    <t>1.10.20.98.030.000.00.000</t>
  </si>
  <si>
    <t>AAA580</t>
  </si>
  <si>
    <t>AB1030C</t>
  </si>
  <si>
    <t>A.II.10.c) F.do Svalutazione Impianti e macchinari</t>
  </si>
  <si>
    <t>10210030010000</t>
  </si>
  <si>
    <t>1.10.20.98.030.010.00.000</t>
  </si>
  <si>
    <t>F.do Svalutazione Impianti e macchinari (Non sterilizzati)</t>
  </si>
  <si>
    <t>10210030020000</t>
  </si>
  <si>
    <t>1.10.20.98.030.012.00.000</t>
  </si>
  <si>
    <t>F.do Svalutazione Impianti e macchinari (sterilizzati)</t>
  </si>
  <si>
    <t>10210040000000</t>
  </si>
  <si>
    <t>1.10.20.98.040.000.00.000</t>
  </si>
  <si>
    <t>AAA590</t>
  </si>
  <si>
    <t>AB1040C</t>
  </si>
  <si>
    <t>A.II.10.d) F.do Svalutazione Attrezzature sanitarie e scientifiche</t>
  </si>
  <si>
    <t>10210040010010</t>
  </si>
  <si>
    <t>1.10.20.98.040.010.00.000</t>
  </si>
  <si>
    <t>F.do Svalutazione Attrezz. Sanitarie e scientifiche (Non sterilizzati)</t>
  </si>
  <si>
    <t>10210040010020</t>
  </si>
  <si>
    <t>1.10.20.98.040.012.00.000</t>
  </si>
  <si>
    <t>F.do Svalutazione Attrezz. Sanitarie e scientifiche (Sterilizzati)</t>
  </si>
  <si>
    <t>10210040020010</t>
  </si>
  <si>
    <t>1.10.20.98.040.020.00.000</t>
  </si>
  <si>
    <t>F.do Svalutazione Beni per assistenza protesica (Non sterilizzati)</t>
  </si>
  <si>
    <t>10210040020020</t>
  </si>
  <si>
    <t>1.10.20.98.040.022.00.000</t>
  </si>
  <si>
    <t>F.do Svalutazione Beni per assistenza protesica (Sterilizzati)</t>
  </si>
  <si>
    <t>10210050000000</t>
  </si>
  <si>
    <t>1.10.20.98.050.000.00.000</t>
  </si>
  <si>
    <t>AAA600</t>
  </si>
  <si>
    <t>AB1050C</t>
  </si>
  <si>
    <t>A.II.10.e) F.do Svalutazione Mobili e arredi</t>
  </si>
  <si>
    <t>10210050010000</t>
  </si>
  <si>
    <t>1.10.20.98.050.010.00.000</t>
  </si>
  <si>
    <t>F.do Svalutazione Mobili e arredi (Non sterilizzati)</t>
  </si>
  <si>
    <t>10210050020000</t>
  </si>
  <si>
    <t>1.10.20.98.050.012.00.000</t>
  </si>
  <si>
    <t>F.do Svalutazione Mobili e arredi (sterilizzati)</t>
  </si>
  <si>
    <t>10210060000000</t>
  </si>
  <si>
    <t>1.10.20.98.060.000.00.000</t>
  </si>
  <si>
    <t>AAA610</t>
  </si>
  <si>
    <t>AB1060C</t>
  </si>
  <si>
    <t>A.II.10.f) F.do Svalutazione Automezzi</t>
  </si>
  <si>
    <t>10210060010000</t>
  </si>
  <si>
    <t>1.10.20.98.060.010.00.000</t>
  </si>
  <si>
    <t>F.do Svalutazione Automezzi (Non sterilizzati)</t>
  </si>
  <si>
    <t>10210060020000</t>
  </si>
  <si>
    <t>1.10.20.98.060.012.00.000</t>
  </si>
  <si>
    <t>F.do Svalutazione Automezzi (sterilizzati)</t>
  </si>
  <si>
    <t>10210070000000</t>
  </si>
  <si>
    <t>1.10.20.98.070.000.00.000</t>
  </si>
  <si>
    <t>AAA620</t>
  </si>
  <si>
    <t>AB1070C</t>
  </si>
  <si>
    <t>A.II.10.g) F.do Svalutazione Oggetti d'arte</t>
  </si>
  <si>
    <t>10210070010000</t>
  </si>
  <si>
    <t>1.10.20.98.070.010.00.000</t>
  </si>
  <si>
    <t>F.do Svalutazione Oggetti d'arte</t>
  </si>
  <si>
    <t>10210080000000</t>
  </si>
  <si>
    <t>1.10.20.98.080.000.00.000</t>
  </si>
  <si>
    <t>AAA630</t>
  </si>
  <si>
    <t>AB1080C</t>
  </si>
  <si>
    <t>A.II.10.h) F.do Svalutazione Altre immobil. Materiali</t>
  </si>
  <si>
    <t>10210080010000</t>
  </si>
  <si>
    <t>1.10.20.98.080.010.00.000</t>
  </si>
  <si>
    <t>F.do Svalutazione Altre immobil. materiali (Non sterilizzati)</t>
  </si>
  <si>
    <t>10210080020000</t>
  </si>
  <si>
    <t>1.10.20.98.080.012.00.000</t>
  </si>
  <si>
    <t>F.do Svalutazione Altre immobil. materiali (sterilizzati)</t>
  </si>
  <si>
    <t>10300000000000</t>
  </si>
  <si>
    <t>1.10.30.00.000.000.00.000</t>
  </si>
  <si>
    <t>A.III. Immobilizzazioni finanziarie.</t>
  </si>
  <si>
    <t>10301000000000</t>
  </si>
  <si>
    <t>1.10.30.10.000.000.00.000</t>
  </si>
  <si>
    <t>AC1000A</t>
  </si>
  <si>
    <t>A.III.1 Crediti Finanziari</t>
  </si>
  <si>
    <t>10301010000000</t>
  </si>
  <si>
    <t>1.10.30.10.010.000.00.000</t>
  </si>
  <si>
    <t>AAA660</t>
  </si>
  <si>
    <t>AA31a</t>
  </si>
  <si>
    <t>A.III.1.a) Crediti finanziari v/Stato</t>
  </si>
  <si>
    <t>10301020000000</t>
  </si>
  <si>
    <t>1.10.30.10.020.000.00.000</t>
  </si>
  <si>
    <t>AAA670</t>
  </si>
  <si>
    <t>AA31b</t>
  </si>
  <si>
    <t>A.III.1.b) Crediti finanziari v/Regione</t>
  </si>
  <si>
    <t>10301030000000</t>
  </si>
  <si>
    <t>1.10.30.10.030.000.00.000</t>
  </si>
  <si>
    <t>AAA680</t>
  </si>
  <si>
    <t>AA31c</t>
  </si>
  <si>
    <t>A.III.1.c) Crediti finanziari v/Partecipate</t>
  </si>
  <si>
    <t>10301040000000</t>
  </si>
  <si>
    <t>1.10.30.10.040.000.00.000</t>
  </si>
  <si>
    <t>AAA690</t>
  </si>
  <si>
    <t>AA31d</t>
  </si>
  <si>
    <t>A.III.1.d) Crediti finanziari v/Altri</t>
  </si>
  <si>
    <t>10302000000000</t>
  </si>
  <si>
    <t>1.10.30.20.000.000.00.000</t>
  </si>
  <si>
    <t>AC1000B</t>
  </si>
  <si>
    <t>A.III.2 Titoli</t>
  </si>
  <si>
    <t>10302010000000</t>
  </si>
  <si>
    <t>1.10.30.20.010.000.00.000</t>
  </si>
  <si>
    <t>AAA710</t>
  </si>
  <si>
    <t>AA32a</t>
  </si>
  <si>
    <t>A.III.2.a) Partecipazioni</t>
  </si>
  <si>
    <t>10302010010000</t>
  </si>
  <si>
    <t>1.10.30.20.010.010.00.000</t>
  </si>
  <si>
    <t>Partecipazioni in imprese controllate</t>
  </si>
  <si>
    <t>10302010020000</t>
  </si>
  <si>
    <t>1.10.30.20.010.015.00.000</t>
  </si>
  <si>
    <t>Partecipazioni in imprese collegate</t>
  </si>
  <si>
    <t>10302010030000</t>
  </si>
  <si>
    <t>1.10.30.20.010.020.00.000</t>
  </si>
  <si>
    <t>Partecipazioni in altre imprese</t>
  </si>
  <si>
    <t>10302020000000</t>
  </si>
  <si>
    <t>1.10.30.20.020.000.00.000</t>
  </si>
  <si>
    <t>AA32b</t>
  </si>
  <si>
    <t>A.III.2.b) Altri Titoli</t>
  </si>
  <si>
    <t>10302020010000</t>
  </si>
  <si>
    <t>1.10.30.20.020.010.00.000</t>
  </si>
  <si>
    <t>AAA730</t>
  </si>
  <si>
    <t>A.III.2.b.1) Titoli di Stato</t>
  </si>
  <si>
    <t>10302020020000</t>
  </si>
  <si>
    <t>1.10.30.20.020.020.00.000</t>
  </si>
  <si>
    <t>AAA740</t>
  </si>
  <si>
    <t>A.III.2.b.2) Altre Obbligazioni</t>
  </si>
  <si>
    <t>10302020030000</t>
  </si>
  <si>
    <t>1.10.30.20.020.030.00.000</t>
  </si>
  <si>
    <t>AAA750</t>
  </si>
  <si>
    <t>A.III.2.b.3) Titoli azionari quotati in Borsa</t>
  </si>
  <si>
    <t>10302020040000</t>
  </si>
  <si>
    <t>1.10.30.20.020.040.00.000</t>
  </si>
  <si>
    <t>AAA760</t>
  </si>
  <si>
    <t>A.III.2.b.4) Titoli diversi</t>
  </si>
  <si>
    <t>20000000000000</t>
  </si>
  <si>
    <t>1.20.00.00.000.000.00.000</t>
  </si>
  <si>
    <t>B) ATTIVO CIRCOLANTE.</t>
  </si>
  <si>
    <t>20100000000000</t>
  </si>
  <si>
    <t>1.20.10.00.000.000.00.000</t>
  </si>
  <si>
    <t>B.I. Rimanenze</t>
  </si>
  <si>
    <t>20101000000000</t>
  </si>
  <si>
    <t>1.20.10.10.000.000.00.000</t>
  </si>
  <si>
    <t>BA1000A</t>
  </si>
  <si>
    <t>B.I.1 Rimanenze di materiale sanitario</t>
  </si>
  <si>
    <t>20101010000000</t>
  </si>
  <si>
    <t>1.20.10.10.010.010.00.000</t>
  </si>
  <si>
    <t>Farmaceutici: Specialità Medicinali</t>
  </si>
  <si>
    <t>20101010010000</t>
  </si>
  <si>
    <t>1.20.10.10.010.010.01.000</t>
  </si>
  <si>
    <t>Farmaceutici: Specialità Medicinali (File F compreso HCV)</t>
  </si>
  <si>
    <t>20101010010010</t>
  </si>
  <si>
    <t>1.20.10.10.010.010.01.050</t>
  </si>
  <si>
    <t>ABA020</t>
  </si>
  <si>
    <t>AB11</t>
  </si>
  <si>
    <t>Farmaceutici: Specialità Medicinali (File F escluso HCV)</t>
  </si>
  <si>
    <t>20101010010020</t>
  </si>
  <si>
    <t>1.20.10.10.010.010.01.070</t>
  </si>
  <si>
    <t>Farmaceutici: Specialità Medicinali (HCV)</t>
  </si>
  <si>
    <t>20101010010030</t>
  </si>
  <si>
    <t>1.20.10.10.010.010.02.000</t>
  </si>
  <si>
    <t>Farmaceutici: Specialità Medicinali (altro: farmaci ospedalieri)</t>
  </si>
  <si>
    <t>20101010010040</t>
  </si>
  <si>
    <t>1.20.10.10.010.020.00.000</t>
  </si>
  <si>
    <t>Farmaceutici: Specialità Medicinali (Doppio Canale ex Nota CUF 37)</t>
  </si>
  <si>
    <t>20101010010050</t>
  </si>
  <si>
    <t>1.20.10.10.010.030.00.000</t>
  </si>
  <si>
    <t>Farmaceutici: Specialità Medicinali (Primo Ciclo terapeutico D.G.R. 10246/02)</t>
  </si>
  <si>
    <t>20101010010060</t>
  </si>
  <si>
    <t>1.20.10.10.010.810.00.000</t>
  </si>
  <si>
    <t>Farmaceutici: Specialità Medicinali da Asl/Ao/Fondazioni della Regione</t>
  </si>
  <si>
    <t>20101010010070</t>
  </si>
  <si>
    <t>1.20.10.10.010.820.00.000</t>
  </si>
  <si>
    <t>Farmaceutici: Specialità Medicinali (Doppio Canale ex Nota CUF 37) da Asl/Ao/Fondazioni della Regione</t>
  </si>
  <si>
    <t>20101010010080</t>
  </si>
  <si>
    <t>1.20.10.10.020.010.00.000</t>
  </si>
  <si>
    <t>Farmaceutici: Ossigeno</t>
  </si>
  <si>
    <t>20101010010090</t>
  </si>
  <si>
    <t>1.20.10.10.020.020.00.000</t>
  </si>
  <si>
    <t>Farmaceutici: Ossigeno (Doppio Canale)</t>
  </si>
  <si>
    <t>20101010010100</t>
  </si>
  <si>
    <t>1.20.10.10.020.810.00.000</t>
  </si>
  <si>
    <t>Farmaceutici: Ossigeno da Asl/Ao/Fondazioni della Regione</t>
  </si>
  <si>
    <t>20101010010110</t>
  </si>
  <si>
    <t>1.20.10.10.020.820.00.000</t>
  </si>
  <si>
    <t>Farmaceutici: Ossigeno (Doppio Canale) da Asl/Ao/Fondazioni della Regione</t>
  </si>
  <si>
    <t>20101010010120</t>
  </si>
  <si>
    <t>1.20.10.10.025.010.00.000</t>
  </si>
  <si>
    <t>Farmaceutici: Specialità Medicinali SENZA AIC</t>
  </si>
  <si>
    <t>20101010010130</t>
  </si>
  <si>
    <t>1.20.10.10.025.020.00.000</t>
  </si>
  <si>
    <t>Farmaceutici: Galenici e altri medicinali SENZA AIC</t>
  </si>
  <si>
    <t>20101010010140</t>
  </si>
  <si>
    <t>1.20.10.10.025.030.00.000</t>
  </si>
  <si>
    <t>Farmaceutici: Ossigeno e gas medicali SENZA AIC</t>
  </si>
  <si>
    <t>20101010010150</t>
  </si>
  <si>
    <t>1.20.10.10.030.010.00.000</t>
  </si>
  <si>
    <t>Emoderivati</t>
  </si>
  <si>
    <t>20101010010160</t>
  </si>
  <si>
    <t>1.20.10.10.030.012.00.000</t>
  </si>
  <si>
    <t>Emoderivati da Privati [SOLAMENTE OVE GESTITI NELL'AMBITO DEL CONSORZIO INTERREGIONALE]</t>
  </si>
  <si>
    <t>20101010010170</t>
  </si>
  <si>
    <t>1.20.10.10.030.020.00.000</t>
  </si>
  <si>
    <t>Emoderivati (Doppio Canale ex Nota CUF 37)</t>
  </si>
  <si>
    <t>20101010010180</t>
  </si>
  <si>
    <t>1.20.10.10.030.810.00.000</t>
  </si>
  <si>
    <t>Emoderivati da Asl/Ao/Fondazioni della Regione  [ESCLUSI EMODERIVATI GESTITI VIA CONSORZIO INTERREGIONALE]</t>
  </si>
  <si>
    <t>20101010010190</t>
  </si>
  <si>
    <t>1.20.10.10.030.812.00.000</t>
  </si>
  <si>
    <t>Emoderivati da Asl/Ao/Fondazioni della Regione [SOLAMENTE OVE GESTITI NELL'AMBITO DEL CONSORZIO INTERREGIONALE]</t>
  </si>
  <si>
    <t>20101010010200</t>
  </si>
  <si>
    <t>1.20.10.10.030.815.00.000</t>
  </si>
  <si>
    <t>Emoderivati da Az. Pubbliche ExtraRegione [SOLAMENTE OVE GESTITI NELL'AMBITO DEL CONSORZIO INTERREGIONALE]</t>
  </si>
  <si>
    <t>20101010010210</t>
  </si>
  <si>
    <t>1.20.10.10.030.820.00.000</t>
  </si>
  <si>
    <t>Emoderivati (Doppio Canale ex Nota CUF 37) da Asl/Ao/Fondazioni della Regione</t>
  </si>
  <si>
    <t>20101010010220</t>
  </si>
  <si>
    <t>1.20.10.10.030.900.00.000</t>
  </si>
  <si>
    <t>Emoderivati di produzione regionale</t>
  </si>
  <si>
    <t>20101010040010</t>
  </si>
  <si>
    <t>1.20.10.10.040.010.00.000</t>
  </si>
  <si>
    <t>ABA050</t>
  </si>
  <si>
    <t>Prodotti dietetici</t>
  </si>
  <si>
    <t>20101010030010</t>
  </si>
  <si>
    <t>1.20.10.10.050.010.00.000</t>
  </si>
  <si>
    <t>ABA040</t>
  </si>
  <si>
    <t>Dispositivi medico diagnostici in vitro: Materiali diagnostici  - Cnd: W</t>
  </si>
  <si>
    <t>20101010030020</t>
  </si>
  <si>
    <t>1.20.10.10.050.020.00.000</t>
  </si>
  <si>
    <t>Dispositivi medici: Materiali diagnostici (materiale per apparecchiature sanitare e relativi componenti.) Cnd: Z</t>
  </si>
  <si>
    <t>20101010060010</t>
  </si>
  <si>
    <t>1.20.10.10.050.030.00.000</t>
  </si>
  <si>
    <t>ABA070</t>
  </si>
  <si>
    <t>Prodotti chimici: Materiali diagnostici (senza Cnd)</t>
  </si>
  <si>
    <t>20101010030030</t>
  </si>
  <si>
    <t>1.20.10.10.060.010.00.000</t>
  </si>
  <si>
    <t>Dispositivi medici: Presidi chirurgici e materiali sanitari - Cnd: A; B; D; G; H; K; L; M; N; Q; R; S; T[Ao-Irccs tutto; Asl escluso T04]; U; V; Y[solo Ao-Irccs]</t>
  </si>
  <si>
    <t>20101010030040</t>
  </si>
  <si>
    <t>1.20.10.10.060.020.00.000</t>
  </si>
  <si>
    <t>Dispositivi per appar. Cardiocircolatorio Cnd: C</t>
  </si>
  <si>
    <t>20101010030050</t>
  </si>
  <si>
    <t>1.20.10.10.060.030.00.000</t>
  </si>
  <si>
    <t>Dispositivi medici con repertorio e senza CND (tipo 2, kit)</t>
  </si>
  <si>
    <t>20101010030060</t>
  </si>
  <si>
    <t>1.20.10.10.060.040.00.000</t>
  </si>
  <si>
    <t>Dispositivi medici non registrati in Italia (senza repertorio e con CND assimilabile)</t>
  </si>
  <si>
    <t>20101010070020</t>
  </si>
  <si>
    <t>1.20.10.10.070.010.00.000</t>
  </si>
  <si>
    <t>ABA080</t>
  </si>
  <si>
    <t>Materiale chirurgico e prodotti per uso veterinario</t>
  </si>
  <si>
    <t>20101010030070</t>
  </si>
  <si>
    <t>1.20.10.10.080.010.00.000</t>
  </si>
  <si>
    <t>Materiali protesici (c.d. protesica "Maggiore") [compilazione ASL] - Cnd: Y</t>
  </si>
  <si>
    <t>20101010030080</t>
  </si>
  <si>
    <t>1.20.10.10.080.020.00.000</t>
  </si>
  <si>
    <t>Materiali protesici (c.d. protesica "Minore") [compilazione ASL] - Cnd: T04</t>
  </si>
  <si>
    <t>20101010030090</t>
  </si>
  <si>
    <t>1.20.10.10.080.030.00.000</t>
  </si>
  <si>
    <t>Dispositivi medici impiantabili attivi: Materiali protesici (endoprotesi)   [compilazione AO-Irccs] - Cnd: J</t>
  </si>
  <si>
    <t>20101010030100</t>
  </si>
  <si>
    <t>1.20.10.10.080.040.00.000</t>
  </si>
  <si>
    <t>Dispositivi medici: Materiali protesici (endoprotesi non attive) [compilazione AO-Irccs] - Cnd: P</t>
  </si>
  <si>
    <t>20101010030110</t>
  </si>
  <si>
    <t>1.20.10.10.090.010.00.000</t>
  </si>
  <si>
    <t>Dispositivi medici: Materiali per emodialisi - Cnd: F</t>
  </si>
  <si>
    <t>20101010050010</t>
  </si>
  <si>
    <t>1.20.10.10.100.010.00.000</t>
  </si>
  <si>
    <t>ABA060</t>
  </si>
  <si>
    <t>Materiali per la profilassi igienico-sanitari: sieri</t>
  </si>
  <si>
    <t>20101010050020</t>
  </si>
  <si>
    <t>1.20.10.10.100.020.00.000</t>
  </si>
  <si>
    <t>Materiali per la profilassi igienico-sanitari: vaccini</t>
  </si>
  <si>
    <t>20101010070010</t>
  </si>
  <si>
    <t>1.20.10.10.120.010.00.000</t>
  </si>
  <si>
    <t>Prodotti farmaceutici per uso veterinario</t>
  </si>
  <si>
    <t>20101010020010</t>
  </si>
  <si>
    <t>1.20.10.10.130.010.00.000</t>
  </si>
  <si>
    <t>ABA030</t>
  </si>
  <si>
    <t>Sangue ed emocomponenti</t>
  </si>
  <si>
    <t>20101010020020</t>
  </si>
  <si>
    <t>1.20.10.10.130.800.00.000</t>
  </si>
  <si>
    <t>Sangue ed emocomponenti acquistati Extraregione</t>
  </si>
  <si>
    <t>20101010020030</t>
  </si>
  <si>
    <t>1.20.10.10.130.810.00.000</t>
  </si>
  <si>
    <t>Sangue ed emocomponenti da Asl/Ao/Fondazioni della Regione</t>
  </si>
  <si>
    <t>20101010080010</t>
  </si>
  <si>
    <t>1.20.10.10.800.010.00.000</t>
  </si>
  <si>
    <t>ABA090</t>
  </si>
  <si>
    <t>Altri beni e prodotti sanitari (PRODOTTI SENZA REPERTORIO E/O CND)</t>
  </si>
  <si>
    <t>20101010080020</t>
  </si>
  <si>
    <t>1.20.10.10.800.810.00.000</t>
  </si>
  <si>
    <t>Altri beni e prodotti sanitari (escluso Specialità medicinali, ossigeno, emoderivati e sangue) da Asl/Ao/Fondazioni della Regione</t>
  </si>
  <si>
    <t>20101010090000</t>
  </si>
  <si>
    <t>1.20.10.10.900.010.00.000</t>
  </si>
  <si>
    <t>ABA100</t>
  </si>
  <si>
    <t>BA3000A</t>
  </si>
  <si>
    <t>AB13</t>
  </si>
  <si>
    <t>B.I.1.i) Acconti su forniture materiale sanitario</t>
  </si>
  <si>
    <t>20102000000000</t>
  </si>
  <si>
    <t>1.20.10.20.000.000.00.000</t>
  </si>
  <si>
    <t>BA2000A</t>
  </si>
  <si>
    <t>B.I.2 Rimanenze di materiale non sanitario</t>
  </si>
  <si>
    <t>20102010000000</t>
  </si>
  <si>
    <t>1.20.10.20.020.010.00.000</t>
  </si>
  <si>
    <t>ABA120</t>
  </si>
  <si>
    <t>AB12</t>
  </si>
  <si>
    <t>Prodotti alimentari</t>
  </si>
  <si>
    <t>20102020000000</t>
  </si>
  <si>
    <t>1.20.10.20.020.020.00.000</t>
  </si>
  <si>
    <t>ABA130</t>
  </si>
  <si>
    <t>Materiale di guardaroba, di pulizia e di convivenza in genere</t>
  </si>
  <si>
    <t>20102030010000</t>
  </si>
  <si>
    <t>1.20.10.20.020.030.00.000</t>
  </si>
  <si>
    <t>ABA140</t>
  </si>
  <si>
    <t>Carburanti e lubrificanti</t>
  </si>
  <si>
    <t>20102030020000</t>
  </si>
  <si>
    <t>1.20.10.20.020.040.00.000</t>
  </si>
  <si>
    <t>Combustibili</t>
  </si>
  <si>
    <t>20102040010000</t>
  </si>
  <si>
    <t>1.20.10.20.020.050.00.000</t>
  </si>
  <si>
    <t>ABA150</t>
  </si>
  <si>
    <t>Cancelleria e stampati</t>
  </si>
  <si>
    <t>20102040020000</t>
  </si>
  <si>
    <t>1.20.10.20.020.060.00.000</t>
  </si>
  <si>
    <t>Supporti informatici e materiale per EDP</t>
  </si>
  <si>
    <t>20102050010000</t>
  </si>
  <si>
    <t>1.20.10.20.020.070.00.000</t>
  </si>
  <si>
    <t>ABA160</t>
  </si>
  <si>
    <t>Materiale per manutenzioni e riparazioni immobili</t>
  </si>
  <si>
    <t>20102050020000</t>
  </si>
  <si>
    <t>1.20.10.20.020.080.00.000</t>
  </si>
  <si>
    <t>Materiale per manutenzioni e riparazioni mobili e macchine</t>
  </si>
  <si>
    <t>20102050030000</t>
  </si>
  <si>
    <t>1.20.10.20.020.090.00.000</t>
  </si>
  <si>
    <t>Materiale per manutenzioni e riparazioni attrezzature tecnico scientifico sanitarie</t>
  </si>
  <si>
    <t>20102050040000</t>
  </si>
  <si>
    <t>1.20.10.20.020.100.00.000</t>
  </si>
  <si>
    <t>Materiale per manutenzioni e riparazioni attrezzature tecnico economali</t>
  </si>
  <si>
    <t>20102050050000</t>
  </si>
  <si>
    <t>1.20.10.20.020.110.00.000</t>
  </si>
  <si>
    <t>Materiale per manutenzioni e riparazioni automezzi (sanitari e non)</t>
  </si>
  <si>
    <t>20102050060000</t>
  </si>
  <si>
    <t>1.20.10.20.020.120.00.000</t>
  </si>
  <si>
    <t>Materiale per manutenzioni e riparazioni - Altro</t>
  </si>
  <si>
    <t>20102060010000</t>
  </si>
  <si>
    <t>1.20.10.20.020.130.00.000</t>
  </si>
  <si>
    <t>ABA170</t>
  </si>
  <si>
    <t xml:space="preserve">Altri beni non sanitari </t>
  </si>
  <si>
    <t>20102060020000</t>
  </si>
  <si>
    <t>1.20.10.20.020.140.00.000</t>
  </si>
  <si>
    <t>Altri beni non sanitari da Asl/AO della Regione</t>
  </si>
  <si>
    <t>20102070000000</t>
  </si>
  <si>
    <t>1.20.10.20.010.010.00.000</t>
  </si>
  <si>
    <t>ABA180</t>
  </si>
  <si>
    <t>BA4000A</t>
  </si>
  <si>
    <t>AB14</t>
  </si>
  <si>
    <t>B.I.2.g) Acconti su forniture materiale non sanitario</t>
  </si>
  <si>
    <t>20200000000000</t>
  </si>
  <si>
    <t>1.20.20.00.000.000.00.000</t>
  </si>
  <si>
    <t>B.II. Crediti</t>
  </si>
  <si>
    <t>20201000000000</t>
  </si>
  <si>
    <t>1.20.20.10.000.000.00.000</t>
  </si>
  <si>
    <t>B.II.1)  Crediti v/Stato</t>
  </si>
  <si>
    <t>20201010000000</t>
  </si>
  <si>
    <t>1.20.20.10.010.000.00.000</t>
  </si>
  <si>
    <t>ABA210</t>
  </si>
  <si>
    <t>ABA201</t>
  </si>
  <si>
    <t>INPUTREG</t>
  </si>
  <si>
    <t>BB0010A</t>
  </si>
  <si>
    <t>AB21a1</t>
  </si>
  <si>
    <t>B.II.1.a) Crediti v/Stato per spesa corrente - FSN indistinto</t>
  </si>
  <si>
    <t>20201020000000</t>
  </si>
  <si>
    <t>1.20.20.10.015.000.00.000</t>
  </si>
  <si>
    <t>?</t>
  </si>
  <si>
    <t>ABA220</t>
  </si>
  <si>
    <t>B.II.1.b) Crediti v/Stato per spesa corrente - FSN vincolato</t>
  </si>
  <si>
    <t>20201030000000</t>
  </si>
  <si>
    <t>1.20.20.10.020.000.00.000</t>
  </si>
  <si>
    <t>B.II.1.c)  Crediti v/Stato per mobilità attiva extraregionale</t>
  </si>
  <si>
    <t>20201030010000</t>
  </si>
  <si>
    <t>1.20.20.10.020.010.00.000</t>
  </si>
  <si>
    <t>ABA230</t>
  </si>
  <si>
    <t>AB21a2</t>
  </si>
  <si>
    <t>B.II.1.c.1)  Crediti v/Stato per mobilità attiva extraregionale pubblica</t>
  </si>
  <si>
    <t>20201030020000</t>
  </si>
  <si>
    <t>1.20.20.10.020.020.00.000</t>
  </si>
  <si>
    <t>B.II.1.c.2)  Crediti v/Stato per mobilità attiva extraregionale privata</t>
  </si>
  <si>
    <t>20201040000000</t>
  </si>
  <si>
    <t>1.20.20.10.025.000.00.000</t>
  </si>
  <si>
    <t>ABA240</t>
  </si>
  <si>
    <t>B.II.1.d)  Crediti v/Stato per mobilità attiva internazionale</t>
  </si>
  <si>
    <t>20201050000000</t>
  </si>
  <si>
    <t>1.20.20.10.030.000.00.000</t>
  </si>
  <si>
    <t>ABA250</t>
  </si>
  <si>
    <t>B.II.1.e)  Crediti v/Stato per acconto quota fabbisogno sanitario regionale standard</t>
  </si>
  <si>
    <t>20201060000000</t>
  </si>
  <si>
    <t>1.20.20.10.035.000.00.000</t>
  </si>
  <si>
    <t>ABA260</t>
  </si>
  <si>
    <t>B.II.1.f)  Crediti v/Stato per finanziamento sanitario aggiuntivo corrente</t>
  </si>
  <si>
    <t>20201070000000</t>
  </si>
  <si>
    <t>1.20.20.10.040.000.00.000</t>
  </si>
  <si>
    <t>ABA270</t>
  </si>
  <si>
    <t>B.II.1.g)   Crediti v/Stato per spesa corrente - altro</t>
  </si>
  <si>
    <t>x</t>
  </si>
  <si>
    <t>20201080000000</t>
  </si>
  <si>
    <t>1.20.20.10.041.000.00.000</t>
  </si>
  <si>
    <t>ABA271</t>
  </si>
  <si>
    <t>B.II.1.h) Crediti v/Stato per spesa corrente per STP (ex D.lgs. 286/98)</t>
  </si>
  <si>
    <t>20201090000000</t>
  </si>
  <si>
    <t>1.20.20.10.045.000.00.000</t>
  </si>
  <si>
    <t>ABA280</t>
  </si>
  <si>
    <t>BB0140A</t>
  </si>
  <si>
    <t>AB21b</t>
  </si>
  <si>
    <t>B.II.1.h)  Crediti v/Stato per finanziamenti per investimenti</t>
  </si>
  <si>
    <t>20201100000000</t>
  </si>
  <si>
    <t>1.20.20.10.050.000.00.000</t>
  </si>
  <si>
    <t>B.II.1.i)  Crediti v/Stato per ricerca</t>
  </si>
  <si>
    <t>20201100010000</t>
  </si>
  <si>
    <t>1.20.20.10.050.010.00.000</t>
  </si>
  <si>
    <t>ABA300</t>
  </si>
  <si>
    <t>AB21c1</t>
  </si>
  <si>
    <t>B.II.1.i.1)  Crediti v/Stato per ricerca corrente - Ministero della Salute</t>
  </si>
  <si>
    <t>20201100020000</t>
  </si>
  <si>
    <t>1.20.20.10.050.020.00.000</t>
  </si>
  <si>
    <t>ABA310</t>
  </si>
  <si>
    <t>BB0020A</t>
  </si>
  <si>
    <t>AB21c2</t>
  </si>
  <si>
    <t>B.II.1.i.2)  Crediti v/Stato per ricerca finalizzata - Ministero della Salute</t>
  </si>
  <si>
    <t>20201100030000</t>
  </si>
  <si>
    <t>1.20.20.10.050.030.00.000</t>
  </si>
  <si>
    <t>ABA320</t>
  </si>
  <si>
    <t>AB21c3</t>
  </si>
  <si>
    <t xml:space="preserve">B.II.1.i.3)  Crediti v/Stato per ricerca - altre Amministrazioni centrali </t>
  </si>
  <si>
    <t>20201100040000</t>
  </si>
  <si>
    <t>1.20.20.10.050.040.00.000</t>
  </si>
  <si>
    <t>ABA330</t>
  </si>
  <si>
    <t>AB21c4</t>
  </si>
  <si>
    <t>B.II.1.i.4)  Crediti v/Stato per ricerca - finanziamenti per investimenti</t>
  </si>
  <si>
    <t>20201110000000</t>
  </si>
  <si>
    <t>1.20.20.10.090.000.00.000</t>
  </si>
  <si>
    <t>ABA340</t>
  </si>
  <si>
    <t>AB21d</t>
  </si>
  <si>
    <t>B.II.1.l)  Crediti v/prefetture</t>
  </si>
  <si>
    <t>20202000000000</t>
  </si>
  <si>
    <t>1.20.20.20.000.000.00.000</t>
  </si>
  <si>
    <t>B.II.2)  Crediti v/Regione</t>
  </si>
  <si>
    <t>20202005000000</t>
  </si>
  <si>
    <t>1.20.20.20.010.000.00.000</t>
  </si>
  <si>
    <t>C2</t>
  </si>
  <si>
    <t>B.II.2.a)  Crediti v/Regione o Provincia Autonoma per spesa corrente</t>
  </si>
  <si>
    <t>1.20.20.20.010.010.00.000</t>
  </si>
  <si>
    <t>ABA370</t>
  </si>
  <si>
    <t>BB0030A</t>
  </si>
  <si>
    <t>AB22a1a</t>
  </si>
  <si>
    <t>B.II.2.a.1)  Crediti v/Regione o Provincia Autonoma per spesa corrente - IRAP</t>
  </si>
  <si>
    <t>1.20.20.20.010.020.00.000</t>
  </si>
  <si>
    <t>ABA380</t>
  </si>
  <si>
    <t>ABA390</t>
  </si>
  <si>
    <t>B.II.2.a.2)  Crediti v/Regione o Provincia Autonoma per spesa corrente - Addizionale IRPEF</t>
  </si>
  <si>
    <t>20202010010000</t>
  </si>
  <si>
    <t>1.20.20.20.010.030.00.000</t>
  </si>
  <si>
    <t>B.II.2.a.3)  Crediti v/Regione o Provincia Autonoma per quota FSR</t>
  </si>
  <si>
    <t>20202010010010</t>
  </si>
  <si>
    <t>1.20.20.20.010.030.10.000</t>
  </si>
  <si>
    <t>BB0080A</t>
  </si>
  <si>
    <t>B.II.2.a.3.1) Crediti da Regione per Quota capitaria Sanitaria</t>
  </si>
  <si>
    <t>20202010010020</t>
  </si>
  <si>
    <t>1.20.20.20.010.030.20.000</t>
  </si>
  <si>
    <t>B.II.2.a.3.2) Crediti da Regione per Quota capitaria A.S.S.I.</t>
  </si>
  <si>
    <t>20202010010030</t>
  </si>
  <si>
    <t>1.20.20.20.010.030.30.000</t>
  </si>
  <si>
    <t>B.II.2.a.3.3) Crediti da Regione per Funzioni non tariffate</t>
  </si>
  <si>
    <t>20202010010040</t>
  </si>
  <si>
    <t>1.20.20.20.010.030.40.000</t>
  </si>
  <si>
    <t>B.II.2.a.3.4) Crediti da Regione per Obiettivi di PSSR</t>
  </si>
  <si>
    <t>20202010010050</t>
  </si>
  <si>
    <t>1.20.20.20.010.030.50.000</t>
  </si>
  <si>
    <t>B.II.2.a.3.5) Crediti da Regione per Contributi vincolati da FSR</t>
  </si>
  <si>
    <t>20202010010060</t>
  </si>
  <si>
    <t>1.20.20.20.010.030.60.000</t>
  </si>
  <si>
    <t>BB0070A</t>
  </si>
  <si>
    <t>B.II.2.a.3.6) Crediti da Regione per Contributi vincolati extra FSR</t>
  </si>
  <si>
    <t>20202010010070</t>
  </si>
  <si>
    <t>1.20.20.20.010.030.70.000</t>
  </si>
  <si>
    <t>B.II.2.a.3.7) Crediti da Regione per Contributi Indistinti Finalizzati da FSR</t>
  </si>
  <si>
    <t>20202010020000</t>
  </si>
  <si>
    <t>1.20.20.20.010.040.00.000</t>
  </si>
  <si>
    <t>CM</t>
  </si>
  <si>
    <t>ABA400</t>
  </si>
  <si>
    <t>B.II.2.a.4)  Crediti v/Regione o Provincia Autonoma per mobilità attiva intraregionale</t>
  </si>
  <si>
    <t>20202010030000</t>
  </si>
  <si>
    <t>1.20.20.20.010.050.00.000</t>
  </si>
  <si>
    <t>ABA410</t>
  </si>
  <si>
    <t>B.II.2.a.5)  Crediti v/Regione o Provincia Autonoma per mobilità attiva extraregionale</t>
  </si>
  <si>
    <t>20202010030010</t>
  </si>
  <si>
    <t>1.20.20.20.010.050.10.000</t>
  </si>
  <si>
    <t>B.II.2.a.5.1)  Crediti v/Regione o Provincia Autonoma per mobilità attiva extraregionale A.Ospedaliere</t>
  </si>
  <si>
    <t>20202010030020</t>
  </si>
  <si>
    <t>1.20.20.20.010.050.20.000</t>
  </si>
  <si>
    <t>B.II.2.a.5.2)  Crediti v/Regione o Provincia Autonoma per mobilità attiva extraregionale Fondazioni (anche pubbliche)</t>
  </si>
  <si>
    <t>20202010030030</t>
  </si>
  <si>
    <t>1.20.20.20.010.050.30.000</t>
  </si>
  <si>
    <t>B.II.2.a.5.3)  Crediti v/Regione o Provincia Autonoma per mobilità attiva extraregionale a Privati</t>
  </si>
  <si>
    <t>20202010040000</t>
  </si>
  <si>
    <t>1.20.20.20.010.060.00.000</t>
  </si>
  <si>
    <t>ABA420</t>
  </si>
  <si>
    <t>B.II.2.a.6)  Crediti v/Regione o Provincia Autonoma per acconto quota FSR</t>
  </si>
  <si>
    <t>20202010050000</t>
  </si>
  <si>
    <t>1.20.20.20.010.070.00.000</t>
  </si>
  <si>
    <t>ABA430</t>
  </si>
  <si>
    <t>AB22a1b</t>
  </si>
  <si>
    <t>B.II.2.a.7)  Crediti v/Regione o Provincia Autonoma per finanziamento sanitario aggiuntivo corrente LEA</t>
  </si>
  <si>
    <t>20202010060000</t>
  </si>
  <si>
    <t>1.20.20.20.010.080.00.000</t>
  </si>
  <si>
    <t>ABA440</t>
  </si>
  <si>
    <t>AB22a1c</t>
  </si>
  <si>
    <t>B.II.2.a.8)  Crediti v/Regione o Provincia Autonoma per finanziamento sanitario aggiuntivo corrente extra LEA</t>
  </si>
  <si>
    <t>20202010070000</t>
  </si>
  <si>
    <t>1.20.20.20.010.090.00.000</t>
  </si>
  <si>
    <t>ABA450</t>
  </si>
  <si>
    <t>AB22a1d</t>
  </si>
  <si>
    <t>B.II.2.a.9)  Crediti v/Regione o Provincia Autonoma per spesa corrente - altro</t>
  </si>
  <si>
    <t>20202010080000</t>
  </si>
  <si>
    <t>1.20.20.20.010.095.00.000</t>
  </si>
  <si>
    <t>ABA451</t>
  </si>
  <si>
    <t>AB22a1e</t>
  </si>
  <si>
    <t>B.II.2.a.8) Crediti v/Regione o Provincia Autonoma per spesa corrente - STP (ex D.lgs. 286/98)</t>
  </si>
  <si>
    <t>20202010090000</t>
  </si>
  <si>
    <t>1.20.20.20.010.100.00.000</t>
  </si>
  <si>
    <t>ABA460</t>
  </si>
  <si>
    <t>AB22a2</t>
  </si>
  <si>
    <t>B.II.2.a.10)  Crediti v/Regione o Provincia Autonoma per ricerca</t>
  </si>
  <si>
    <t>20202010100000</t>
  </si>
  <si>
    <t>1.20.20.20.010.110.00.000</t>
  </si>
  <si>
    <t>ABA461</t>
  </si>
  <si>
    <t>AB22a3</t>
  </si>
  <si>
    <t>B.II.2.a.10) Crediti v/Regione o Provincia Autonoma per mobilità attiva internazionale</t>
  </si>
  <si>
    <t>20202020000000</t>
  </si>
  <si>
    <t>1.20.20.20.020.000.00.000</t>
  </si>
  <si>
    <t>B.II.2.b) Crediti v/Regione o Provincia Autonoma per versamenti a patrimonio netto</t>
  </si>
  <si>
    <t>20202020010000</t>
  </si>
  <si>
    <t>1.20.20.20.020.010.00.000</t>
  </si>
  <si>
    <t>ABA480</t>
  </si>
  <si>
    <t>BB0150A</t>
  </si>
  <si>
    <t>AB22b1</t>
  </si>
  <si>
    <t>B.II.2.b.1) Crediti v/Regione o Provincia Autonoma per finanziamenti per investimenti</t>
  </si>
  <si>
    <t>20202020020000</t>
  </si>
  <si>
    <t>1.20.20.20.020.020.00.000</t>
  </si>
  <si>
    <t>ABA490</t>
  </si>
  <si>
    <t>BB0160A</t>
  </si>
  <si>
    <t>AB22b2</t>
  </si>
  <si>
    <t>B.II.2.b.2) Crediti v/Regione o Provincia Autonoma per incremento fondo dotazione</t>
  </si>
  <si>
    <t>20202020030000</t>
  </si>
  <si>
    <t>1.20.20.20.020.030.00.000</t>
  </si>
  <si>
    <t>ABA500</t>
  </si>
  <si>
    <t>BB0170A</t>
  </si>
  <si>
    <t>AB22b3</t>
  </si>
  <si>
    <t>B.II.2.b.3) Crediti v/Regione o Provincia Autonoma per ripiano perdite</t>
  </si>
  <si>
    <t>20202020040000</t>
  </si>
  <si>
    <t>1.20.20.20.020.035.00.000</t>
  </si>
  <si>
    <t>ABA501</t>
  </si>
  <si>
    <t>AB22b4</t>
  </si>
  <si>
    <t>B.II.2.b.4) Crediti v/Regione o Provincia Autonoma per anticipazione ripiano disavanzo programmato dai Piani aziendali di cui all'art. 1, comma 528, L. 208/2015</t>
  </si>
  <si>
    <t>20202020050000</t>
  </si>
  <si>
    <t>1.20.20.20.020.040.00.000</t>
  </si>
  <si>
    <t>ABA510</t>
  </si>
  <si>
    <t>BB0180A</t>
  </si>
  <si>
    <t>B.II.2.b.5) Crediti v/Regione per copertura debiti al 31/12/2005</t>
  </si>
  <si>
    <t>20202020060000</t>
  </si>
  <si>
    <t>1.20.20.20.020.050.00.000</t>
  </si>
  <si>
    <t>ABA520</t>
  </si>
  <si>
    <t>B.II.2.b.6) Crediti v/Regione o Provincia Autonoma per ricostituzione risorse da investimenti esercizi precedenti</t>
  </si>
  <si>
    <t>20202030000000</t>
  </si>
  <si>
    <t>1.20.20.20.020.060.00.000</t>
  </si>
  <si>
    <t>ABA521</t>
  </si>
  <si>
    <t>AB22b5</t>
  </si>
  <si>
    <t>B.II.2.c)  Crediti v/Regione o Provincia Autonoma per contributi L. 210/92</t>
  </si>
  <si>
    <t>20202040000000</t>
  </si>
  <si>
    <t>1.20.20.20.020.070.00.000</t>
  </si>
  <si>
    <t>ABA522</t>
  </si>
  <si>
    <t>B.II.2.d) Crediti v/Regione o Provincia Autonoma per contributi L. 210/92 – aziende sanitarie</t>
  </si>
  <si>
    <t>20203000000000</t>
  </si>
  <si>
    <t>1.20.20.30.000.000.00.000</t>
  </si>
  <si>
    <t>ABA530</t>
  </si>
  <si>
    <t>BB0090A</t>
  </si>
  <si>
    <t>AB23</t>
  </si>
  <si>
    <t>B.II.3)  Crediti v/Comuni</t>
  </si>
  <si>
    <t>20204000000000</t>
  </si>
  <si>
    <t>1.20.20.40.000.000.00.000</t>
  </si>
  <si>
    <t>BB0100A</t>
  </si>
  <si>
    <t>B.II.4) Crediti v/Aziende sanitarie pubbliche</t>
  </si>
  <si>
    <t>20204010000000</t>
  </si>
  <si>
    <t>1.20.20.40.010.000.00.000</t>
  </si>
  <si>
    <t>B.II.4.a) Crediti v/Aziende sanitarie pubbliche della Regione</t>
  </si>
  <si>
    <t>20204010010000</t>
  </si>
  <si>
    <t>1.20.20.40.010.010.00.000</t>
  </si>
  <si>
    <t>ABA560</t>
  </si>
  <si>
    <t>B.II.4.a.1) Crediti v/Aziende sanitarie pubbliche della Regione - per mobilità in compensazione</t>
  </si>
  <si>
    <t>20204010010010</t>
  </si>
  <si>
    <t>1.20.20.40.010.010.10.000</t>
  </si>
  <si>
    <t>AB24a3</t>
  </si>
  <si>
    <t>Crediti da Aziende Sanitarie Locali della Regione per mobilità intraregionale in compensazione</t>
  </si>
  <si>
    <t>20204010010020</t>
  </si>
  <si>
    <t>1.20.20.40.010.010.11.000</t>
  </si>
  <si>
    <t>Crediti da Agenzie Tutela Salute della Regione per mobilità intraregionale in compensazione</t>
  </si>
  <si>
    <t>20204010020000</t>
  </si>
  <si>
    <t>1.20.20.40.010.020.00.000</t>
  </si>
  <si>
    <t>ABA570</t>
  </si>
  <si>
    <t>B.II.4.a.2) Crediti v/Aziende sanitarie pubbliche della Regione - per mobilità non in compensazione</t>
  </si>
  <si>
    <t>20204010020010</t>
  </si>
  <si>
    <t>1.20.20.40.010.020.10.000</t>
  </si>
  <si>
    <t>Crediti da Aziende Sanitarie Locali della Regione per mobilità non in compensazione</t>
  </si>
  <si>
    <t>20204010020020</t>
  </si>
  <si>
    <t>1.20.20.40.010.020.11.000</t>
  </si>
  <si>
    <t>Crediti da Agenzie Tutela Salute della Regione per mobilità non in compensazione</t>
  </si>
  <si>
    <t>20204010030000</t>
  </si>
  <si>
    <t>1.20.20.40.010.030.00.000</t>
  </si>
  <si>
    <t>CONS</t>
  </si>
  <si>
    <t>ABA580</t>
  </si>
  <si>
    <t>B.II.4.a.3) Crediti v/Aziende sanitarie pubbliche della Regione - per altre prestazioni</t>
  </si>
  <si>
    <t>20204010030010</t>
  </si>
  <si>
    <t>1.20.20.40.010.030.10.000</t>
  </si>
  <si>
    <t>Crediti da Aziende Sanitarie Locali della Regione</t>
  </si>
  <si>
    <t>20204010030020</t>
  </si>
  <si>
    <t>1.20.20.40.010.030.11.000</t>
  </si>
  <si>
    <t>Crediti da Agenzie Tutela Salute della Regione</t>
  </si>
  <si>
    <t>20204010030030</t>
  </si>
  <si>
    <t>1.20.20.40.010.030.20.000</t>
  </si>
  <si>
    <t>Crediti da Aziende Ospedaliere della Regione</t>
  </si>
  <si>
    <t>20204010030040</t>
  </si>
  <si>
    <t>1.20.20.40.010.030.21.000</t>
  </si>
  <si>
    <t>Crediti da Aziende Socio-Sanitarie Territoriali della Regione</t>
  </si>
  <si>
    <t>20204010030050</t>
  </si>
  <si>
    <t>1.20.20.40.010.030.30.000</t>
  </si>
  <si>
    <t>Crediti da IRCCS e Fondazioni di diritto pubblico della Regione</t>
  </si>
  <si>
    <t>20204010030060</t>
  </si>
  <si>
    <t>1.20.20.40.010.040.00.000</t>
  </si>
  <si>
    <t>AB24a1</t>
  </si>
  <si>
    <t>B.II.4.a.4) Crediti v/ ATS per operazioni di conferimento/scorporo LR23/2015</t>
  </si>
  <si>
    <t>20204010030070</t>
  </si>
  <si>
    <t>1.20.20.40.010.050.00.000</t>
  </si>
  <si>
    <t>AB24a2</t>
  </si>
  <si>
    <t>B.II.4.a.5) Crediti v/ ASST per operazioni di conferimento/scorporo LR23/2015</t>
  </si>
  <si>
    <t>20204020000000</t>
  </si>
  <si>
    <t>1.20.20.40.020.000.00.000</t>
  </si>
  <si>
    <t>ABA590</t>
  </si>
  <si>
    <t>B.II.4.b) Acconto quota FSR da distribuire</t>
  </si>
  <si>
    <t>20204030000000</t>
  </si>
  <si>
    <t>1.20.20.40.025.000.00.000</t>
  </si>
  <si>
    <t>ABA591</t>
  </si>
  <si>
    <t>AB24a4</t>
  </si>
  <si>
    <t>B.II.4.c) Crediti v/Aziende sanitarie pubbliche della Regione per anticipazione ripiano disavanzo programmato dai Piani aziendali di cui all'art. 1, comma 528, L. 208/2015</t>
  </si>
  <si>
    <t>20204040000000</t>
  </si>
  <si>
    <t>1.20.20.40.030.000.00.000</t>
  </si>
  <si>
    <t>ABA600</t>
  </si>
  <si>
    <t>AB24b</t>
  </si>
  <si>
    <t>B.II.4.d) Crediti v/Aziende sanitarie pubbliche Extraregione</t>
  </si>
  <si>
    <t>20204050010000</t>
  </si>
  <si>
    <t>1.20.20.40.035.000.00.000</t>
  </si>
  <si>
    <t>ABA601</t>
  </si>
  <si>
    <t xml:space="preserve">B.II.4.e)  Crediti v/ATS - per Contributi da Aziende sanitarie pubbliche della Regione o Prov. Aut. (extra fondo) </t>
  </si>
  <si>
    <t>20204050020000</t>
  </si>
  <si>
    <t>1.20.20.40.040.000.00.000</t>
  </si>
  <si>
    <t xml:space="preserve">B.II.4.f)  Crediti v/ASST- per Contributi da Aziende sanitarie pubbliche della Regione o Prov. Aut. (extra fondo) </t>
  </si>
  <si>
    <t>20204050030000</t>
  </si>
  <si>
    <t>1.20.20.40.045.000.00.000</t>
  </si>
  <si>
    <t xml:space="preserve">B.II.4.g)  Crediti v/IRCCS - per Contributi da Aziende sanitarie pubbliche della Regione o Prov. Aut. (extra fondo) </t>
  </si>
  <si>
    <t>20205000000000</t>
  </si>
  <si>
    <t>1.20.20.50.000.000.00.000</t>
  </si>
  <si>
    <t>BB0110A</t>
  </si>
  <si>
    <t>AB25</t>
  </si>
  <si>
    <t>B.II.5) Crediti v/Società partecipate e/o enti dipendenti dalla Regione</t>
  </si>
  <si>
    <t>20205010000000</t>
  </si>
  <si>
    <t>1.20.20.50.010.000.00.000</t>
  </si>
  <si>
    <t>ABA620</t>
  </si>
  <si>
    <t>B.II.5.a) Crediti v/Enti Regionali</t>
  </si>
  <si>
    <t>20205010010000</t>
  </si>
  <si>
    <t>1.20.20.50.010.010.00.000</t>
  </si>
  <si>
    <t>Crediti v/Arpa</t>
  </si>
  <si>
    <t>20205010020000</t>
  </si>
  <si>
    <t>1.20.20.50.010.020.00.000</t>
  </si>
  <si>
    <t>Crediti v/Altri enti regionali</t>
  </si>
  <si>
    <t>20205020000000</t>
  </si>
  <si>
    <t>1.20.20.50.020.000.00.000</t>
  </si>
  <si>
    <t>ABA630</t>
  </si>
  <si>
    <t>B.II.5.b) Crediti v/sperimentazioni gestionali</t>
  </si>
  <si>
    <t>20205030000000</t>
  </si>
  <si>
    <t>1.20.20.50.030.000.00.000</t>
  </si>
  <si>
    <t>ABA640</t>
  </si>
  <si>
    <t>B.II.5.c) Crediti v/società controllate e collegate (partecipate)</t>
  </si>
  <si>
    <t>20206000000000</t>
  </si>
  <si>
    <t>1.20.20.60.000.000.00.000</t>
  </si>
  <si>
    <t>ABA650</t>
  </si>
  <si>
    <t>BB0120A</t>
  </si>
  <si>
    <t>AB26</t>
  </si>
  <si>
    <t>B.II.6)  Crediti v/Erario</t>
  </si>
  <si>
    <t>20207000000000</t>
  </si>
  <si>
    <t>1.20.20.70.000.000.00.000</t>
  </si>
  <si>
    <t>BB0130A</t>
  </si>
  <si>
    <t>B.II.7) Crediti v/Altri</t>
  </si>
  <si>
    <t>20207010000000</t>
  </si>
  <si>
    <t>1.20.20.70.010.000.00.000</t>
  </si>
  <si>
    <t>B.II.7.a) Crediti v/clienti privati</t>
  </si>
  <si>
    <t>20207010010000</t>
  </si>
  <si>
    <t>1.20.20.70.010.100.00.000</t>
  </si>
  <si>
    <t>ABA670</t>
  </si>
  <si>
    <t>AB27</t>
  </si>
  <si>
    <t xml:space="preserve">    Crediti verso clienti privati altro</t>
  </si>
  <si>
    <t>1.20.20.70.010.200.00.000</t>
  </si>
  <si>
    <t xml:space="preserve">    Crediti verso clienti privati per attività libero professionale</t>
  </si>
  <si>
    <t>20207020000000</t>
  </si>
  <si>
    <t>1.20.20.70.020.000.00.000</t>
  </si>
  <si>
    <t>ABA680</t>
  </si>
  <si>
    <t>B.II.7.b) Crediti v/gestioni liquidatorie / stralcio</t>
  </si>
  <si>
    <t>20207030000000</t>
  </si>
  <si>
    <t>1.20.20.70.030.000.00.000</t>
  </si>
  <si>
    <t>ABA690</t>
  </si>
  <si>
    <t>B.II.7.c) Crediti v/altri soggetti pubblici</t>
  </si>
  <si>
    <t>20207040000000</t>
  </si>
  <si>
    <t>1.20.20.70.040.000.00.000</t>
  </si>
  <si>
    <t>ABA700</t>
  </si>
  <si>
    <t>B.II.7.d) Crediti v/altri soggetti pubblici per ricerca</t>
  </si>
  <si>
    <t>20207050000000</t>
  </si>
  <si>
    <t>1.20.20.70.050.000.00.000</t>
  </si>
  <si>
    <t>B.II.7.e) Altri crediti diversi</t>
  </si>
  <si>
    <t>20207050010000</t>
  </si>
  <si>
    <t>1.20.20.70.050.010.00.000</t>
  </si>
  <si>
    <t>ABA710</t>
  </si>
  <si>
    <t xml:space="preserve">B.II.7.e.1) Altri Crediti  diversi </t>
  </si>
  <si>
    <t>20207050010010</t>
  </si>
  <si>
    <t>1.20.20.70.050.010.10.000</t>
  </si>
  <si>
    <t>ABA711</t>
  </si>
  <si>
    <t>Crediti v/clienti privati per anticipi mobilità attiva</t>
  </si>
  <si>
    <t>20207050010020</t>
  </si>
  <si>
    <t>1.20.20.70.050.010.90.000</t>
  </si>
  <si>
    <t>Altri Crediti diversi</t>
  </si>
  <si>
    <t>1.20.20.70.050.020.00.000</t>
  </si>
  <si>
    <t>B.II.7.e.2) Altri crediti diversi - V/Gestioni interne</t>
  </si>
  <si>
    <t>20207050010030</t>
  </si>
  <si>
    <t>1.20.20.70.050.020.10.000</t>
  </si>
  <si>
    <t>Crediti da Bilancio Sanitario</t>
  </si>
  <si>
    <t>20207050010040</t>
  </si>
  <si>
    <t>1.20.20.70.050.020.20.000</t>
  </si>
  <si>
    <t>Crediti da Bilancio A.S.S.I.</t>
  </si>
  <si>
    <t>20207050010050</t>
  </si>
  <si>
    <t>1.20.20.70.050.020.30.000</t>
  </si>
  <si>
    <t>Crediti da Bilancio Sociale</t>
  </si>
  <si>
    <t>20207050010060</t>
  </si>
  <si>
    <t>1.20.20.70.050.020.40.000</t>
  </si>
  <si>
    <t>Crediti da Bilancio Ricerca</t>
  </si>
  <si>
    <t>20207050020000</t>
  </si>
  <si>
    <t>1.20.20.70.050.030.00.000</t>
  </si>
  <si>
    <t>ABA712</t>
  </si>
  <si>
    <t>B.II.7.e.2) Note di credito da emettere (diversi)</t>
  </si>
  <si>
    <t>XX</t>
  </si>
  <si>
    <t>20207060000000</t>
  </si>
  <si>
    <t>1.20.20.70.060.000.00.000</t>
  </si>
  <si>
    <t>B.II.7.f) Altri Crediti verso erogatori (privati accreditati e convenzionati) di prestazioni sanitarie</t>
  </si>
  <si>
    <t>20207060010000</t>
  </si>
  <si>
    <t>1.20.20.70.060.010.00.000</t>
  </si>
  <si>
    <t>ABA714</t>
  </si>
  <si>
    <t>B.II.7.f.1) Altri Crediti verso erogatori (privati accreditati e convenzionati) di prestazioni sanitarie</t>
  </si>
  <si>
    <t>20207060020000</t>
  </si>
  <si>
    <t>1.20.20.70.060.020.00.000</t>
  </si>
  <si>
    <t>ABA715</t>
  </si>
  <si>
    <t>B.II.7.f.2) Note di credito da emettere  (privati accreditati e convenzionati)</t>
  </si>
  <si>
    <t>20300000000000</t>
  </si>
  <si>
    <t>1.20.30.00.000.000.00.000</t>
  </si>
  <si>
    <t>B.III.  Attività finanziarie che non costituiscono immobilizzazioni</t>
  </si>
  <si>
    <t>20301010000000</t>
  </si>
  <si>
    <t>1.20.30.10.010.000.00.000</t>
  </si>
  <si>
    <t>ABA730</t>
  </si>
  <si>
    <t>BC0010A</t>
  </si>
  <si>
    <t>AB31</t>
  </si>
  <si>
    <t>20301020000000</t>
  </si>
  <si>
    <t>1.20.30.10.015.000.00.000</t>
  </si>
  <si>
    <t>20301030000000</t>
  </si>
  <si>
    <t>1.20.30.10.020.000.00.000</t>
  </si>
  <si>
    <t>20302000000000</t>
  </si>
  <si>
    <t>1.20.30.20.000.000.00.000</t>
  </si>
  <si>
    <t>ABA740</t>
  </si>
  <si>
    <t>BC0020A</t>
  </si>
  <si>
    <t>AB32</t>
  </si>
  <si>
    <t>Altri titoli (diversi dalle partecipazioni)</t>
  </si>
  <si>
    <t>20400000000000</t>
  </si>
  <si>
    <t>1.20.40.00.000.000.00.000</t>
  </si>
  <si>
    <t>B.IV. Disponibilità liquide</t>
  </si>
  <si>
    <t>20401000000000</t>
  </si>
  <si>
    <t>1.20.40.10.000.000.00.000</t>
  </si>
  <si>
    <t>ABA760</t>
  </si>
  <si>
    <t>BD0010A</t>
  </si>
  <si>
    <t>AB41</t>
  </si>
  <si>
    <t>Cassa</t>
  </si>
  <si>
    <t>20402000000000</t>
  </si>
  <si>
    <t>1.20.40.20.000.000.00.000</t>
  </si>
  <si>
    <t>ABA770</t>
  </si>
  <si>
    <t>BD0020A</t>
  </si>
  <si>
    <t>AB42</t>
  </si>
  <si>
    <t>Istituto tesoriere</t>
  </si>
  <si>
    <t>20403000000000</t>
  </si>
  <si>
    <t>1.20.40.25.000.000.00.000</t>
  </si>
  <si>
    <t>ABA780</t>
  </si>
  <si>
    <t>BD0030A</t>
  </si>
  <si>
    <t>AB43</t>
  </si>
  <si>
    <t>Tesoreria Unica</t>
  </si>
  <si>
    <t>20404000000000</t>
  </si>
  <si>
    <t>1.20.40.30.000.000.00.000</t>
  </si>
  <si>
    <t>ABA790</t>
  </si>
  <si>
    <t>BD0040A</t>
  </si>
  <si>
    <t>AB44</t>
  </si>
  <si>
    <t>Conto corrente postale</t>
  </si>
  <si>
    <t>30000000000000</t>
  </si>
  <si>
    <t>1.30.00.00.000.000.00.000</t>
  </si>
  <si>
    <t>CA0000A</t>
  </si>
  <si>
    <t>C) RATEI E RISCONTI ATTIVI</t>
  </si>
  <si>
    <t>30100000000000</t>
  </si>
  <si>
    <t>1.30.10.00.000.000.00.000</t>
  </si>
  <si>
    <t>AC1</t>
  </si>
  <si>
    <t>C.I Ratei attivi</t>
  </si>
  <si>
    <t>30101000000000</t>
  </si>
  <si>
    <t>1.30.10.10.000.000.00.000</t>
  </si>
  <si>
    <t>ACA010</t>
  </si>
  <si>
    <t>C.I.1) Ratei attivi v/terzi</t>
  </si>
  <si>
    <t>30102000000000</t>
  </si>
  <si>
    <t>1.30.10.20.000.000.00.000</t>
  </si>
  <si>
    <t>ACA020</t>
  </si>
  <si>
    <t>C.I.2) Ratei attivi v/Aziende sanitarie pubbliche della Regione</t>
  </si>
  <si>
    <t>30102010000000</t>
  </si>
  <si>
    <t>1.30.10.20.010.000.00.000</t>
  </si>
  <si>
    <t>Degenze in corso al 31/12</t>
  </si>
  <si>
    <t>30102020000000</t>
  </si>
  <si>
    <t>1.30.10.20.020.000.00.000</t>
  </si>
  <si>
    <t>Ratei attivi verso Asl/Ao/Fondazioni della Regione</t>
  </si>
  <si>
    <t>30102030000000</t>
  </si>
  <si>
    <t>1.30.10.20.030.000.00.000</t>
  </si>
  <si>
    <t>Ratei attivi verso ats/asst/Fondazioni della Regione</t>
  </si>
  <si>
    <t>30200000000000</t>
  </si>
  <si>
    <t>1.30.20.00.000.000.00.000</t>
  </si>
  <si>
    <t>AC2</t>
  </si>
  <si>
    <t>C.II Risconti attivi</t>
  </si>
  <si>
    <t>30201000000000</t>
  </si>
  <si>
    <t>1.30.20.10.000.000.00.000</t>
  </si>
  <si>
    <t>ACA040</t>
  </si>
  <si>
    <t>C.II.1) Risconti attivi v/terzi</t>
  </si>
  <si>
    <t>30202000000000</t>
  </si>
  <si>
    <t>1.30.20.20.000.000.00.000</t>
  </si>
  <si>
    <t>ACA050</t>
  </si>
  <si>
    <t>C.II.2) Risconti attivi v/Aziende sanitarie pubbliche della Regione</t>
  </si>
  <si>
    <t>40000000000000</t>
  </si>
  <si>
    <t>1.60.00.00.000.000.00.000</t>
  </si>
  <si>
    <t>E) CONTI D’ORDINE</t>
  </si>
  <si>
    <t>40100000000000</t>
  </si>
  <si>
    <t>1.60.10.00.000.000.00.000</t>
  </si>
  <si>
    <t>ADA000</t>
  </si>
  <si>
    <t>AD1</t>
  </si>
  <si>
    <t>E.I) Canoni di leasing ancora da pagare</t>
  </si>
  <si>
    <t>40200000000000</t>
  </si>
  <si>
    <t>1.60.20.00.000.000.00.000</t>
  </si>
  <si>
    <t>ADA010</t>
  </si>
  <si>
    <t>AD2</t>
  </si>
  <si>
    <t>E.II) Depositi cauzionali</t>
  </si>
  <si>
    <t>40300000000000</t>
  </si>
  <si>
    <t>1.60.30.00.000.000.00.000</t>
  </si>
  <si>
    <t>ADA020</t>
  </si>
  <si>
    <t>AD3</t>
  </si>
  <si>
    <t>E.III) Beni in comodato</t>
  </si>
  <si>
    <t>40400000000000</t>
  </si>
  <si>
    <t>1.60.35.00.000.000.00.000</t>
  </si>
  <si>
    <t>ADA021</t>
  </si>
  <si>
    <t>AD4</t>
  </si>
  <si>
    <t>E.IV) CANONI DI PROJECT FINANCING ANCORA DA PAGARE</t>
  </si>
  <si>
    <t>40500000000000</t>
  </si>
  <si>
    <t>1.60.40.00.000.000.00.000</t>
  </si>
  <si>
    <t>ADA030</t>
  </si>
  <si>
    <t>D.IV) Altri conti d'ordine</t>
  </si>
  <si>
    <t>40501000000000</t>
  </si>
  <si>
    <t>1.60.40.10.000.000.00.000</t>
  </si>
  <si>
    <t>Garanzie prestate</t>
  </si>
  <si>
    <t>40501010000000</t>
  </si>
  <si>
    <t>1.60.40.10.010.000.00.000</t>
  </si>
  <si>
    <t>Garanzie prestate: di cui fidejussioni</t>
  </si>
  <si>
    <t>40501020000000</t>
  </si>
  <si>
    <t>1.60.40.10.020.000.00.000</t>
  </si>
  <si>
    <t>Garanzie prestate: di cui avalli</t>
  </si>
  <si>
    <t>40501030000000</t>
  </si>
  <si>
    <t>1.60.40.10.030.000.00.000</t>
  </si>
  <si>
    <t>Garanzie prestate: di cui altre garanzie personali e reali</t>
  </si>
  <si>
    <t>40502000000000</t>
  </si>
  <si>
    <t>1.60.40.20.000.000.00.000</t>
  </si>
  <si>
    <t>Garanzie ricevute</t>
  </si>
  <si>
    <t>40502010000000</t>
  </si>
  <si>
    <t>1.60.40.20.010.000.00.000</t>
  </si>
  <si>
    <t>Garanzie ricevute: di cui fidejussioni</t>
  </si>
  <si>
    <t>40502020000000</t>
  </si>
  <si>
    <t>1.60.40.20.020.000.00.000</t>
  </si>
  <si>
    <t>Garanzie ricevute: di cui avalli</t>
  </si>
  <si>
    <t>40502030000000</t>
  </si>
  <si>
    <t>1.60.40.20.030.000.00.000</t>
  </si>
  <si>
    <t>Garanzie ricevute: di cui altre garanzie personali e reali</t>
  </si>
  <si>
    <t>40502040000000</t>
  </si>
  <si>
    <t>1.60.40.25.000.000.00.000</t>
  </si>
  <si>
    <t>Beni in contenzioso</t>
  </si>
  <si>
    <t>40503000000000</t>
  </si>
  <si>
    <t>1.60.40.30.000.000.00.000</t>
  </si>
  <si>
    <t>Altri impegni assunti</t>
  </si>
  <si>
    <t>40503010000000</t>
  </si>
  <si>
    <t>1.60.40.30.010.000.00.000</t>
  </si>
  <si>
    <t>di cui contratti in service</t>
  </si>
  <si>
    <t>40503020000000</t>
  </si>
  <si>
    <t>1.60.40.30.020.000.00.000</t>
  </si>
  <si>
    <t>di cui conto visione</t>
  </si>
  <si>
    <t>40503030000000</t>
  </si>
  <si>
    <t>1.60.40.30.030.000.00.000</t>
  </si>
  <si>
    <t>di cui impegni contrattuali pluriennali</t>
  </si>
  <si>
    <t>40503040000000</t>
  </si>
  <si>
    <t>1.60.40.30.040.000.00.000</t>
  </si>
  <si>
    <t>di cui altro</t>
  </si>
  <si>
    <t>3.00.00.00.000.000.00.000</t>
  </si>
  <si>
    <t>PASSIVITA’.</t>
  </si>
  <si>
    <t>50100000000000</t>
  </si>
  <si>
    <t>3.10.00.00.000.000.00.000</t>
  </si>
  <si>
    <t>A) PATRIMONIO NETTO</t>
  </si>
  <si>
    <t>50101000000000</t>
  </si>
  <si>
    <t>3.10.10.00.000.000.00.000</t>
  </si>
  <si>
    <t>PAA000</t>
  </si>
  <si>
    <t>PA1000A</t>
  </si>
  <si>
    <t>PA1</t>
  </si>
  <si>
    <t>A.I) FONDO DI DOTAZIONE</t>
  </si>
  <si>
    <t>50102000000000</t>
  </si>
  <si>
    <t>3.10.20.00.000.000.00.000</t>
  </si>
  <si>
    <t>A.II) FINANZIAMENTI PER INVESTIMENTI</t>
  </si>
  <si>
    <t>50102010000000</t>
  </si>
  <si>
    <t>3.10.20.10.000.000.00.000</t>
  </si>
  <si>
    <t>PAA020</t>
  </si>
  <si>
    <t>PA2000A</t>
  </si>
  <si>
    <t>PA21</t>
  </si>
  <si>
    <t>A.II.1) Finanziamenti per beni di prima dotazione</t>
  </si>
  <si>
    <t>50102020000000</t>
  </si>
  <si>
    <t>3.10.20.20.000.000.00.000</t>
  </si>
  <si>
    <t>PA2000B</t>
  </si>
  <si>
    <t>A.II.2) Finanziamenti da Stato per investimenti</t>
  </si>
  <si>
    <t>50102020010000</t>
  </si>
  <si>
    <t>3.10.20.20.010.000.00.000</t>
  </si>
  <si>
    <t>PAA040</t>
  </si>
  <si>
    <t>PA22a</t>
  </si>
  <si>
    <t>A.II.2.a) Finanziamenti da Stato per investimenti - ex art. 20 legge 67/88</t>
  </si>
  <si>
    <t>50102020020000</t>
  </si>
  <si>
    <t>3.10.20.20.020.000.00.000</t>
  </si>
  <si>
    <t>PAA050</t>
  </si>
  <si>
    <t>PA22b</t>
  </si>
  <si>
    <t>A.II.2.b) Finanziamenti da Stato per investimenti - ricerca</t>
  </si>
  <si>
    <t>50102020030000</t>
  </si>
  <si>
    <t>3.10.20.20.030.000.00.000</t>
  </si>
  <si>
    <t>PAA060</t>
  </si>
  <si>
    <t>PA22c</t>
  </si>
  <si>
    <t>A.II.2.c) Finanziamenti da Stato per investimenti - altro</t>
  </si>
  <si>
    <t>50102030000000</t>
  </si>
  <si>
    <t>3.10.20.30.000.000.00.000</t>
  </si>
  <si>
    <t>PAA070</t>
  </si>
  <si>
    <t>PA2000C</t>
  </si>
  <si>
    <t>PA23</t>
  </si>
  <si>
    <t>A.II.3) Finanziamenti da Regione per investimenti</t>
  </si>
  <si>
    <t>50102040000000</t>
  </si>
  <si>
    <t>3.10.20.40.000.000.00.000</t>
  </si>
  <si>
    <t>PAA080</t>
  </si>
  <si>
    <t>PA2000D</t>
  </si>
  <si>
    <t>PA24</t>
  </si>
  <si>
    <t>A.II.4) Finanziamenti da altri soggetti pubblici per investimenti</t>
  </si>
  <si>
    <t>50102050000000</t>
  </si>
  <si>
    <t>3.10.20.50.000.000.00.000</t>
  </si>
  <si>
    <t>PAA090</t>
  </si>
  <si>
    <t>PA2000E</t>
  </si>
  <si>
    <t>PA25</t>
  </si>
  <si>
    <t>A.II.5) Finanziamenti per investimenti da rettifica contributi in conto esercizio</t>
  </si>
  <si>
    <t>50103000000000</t>
  </si>
  <si>
    <t>3.10.30.00.000.000.00.000</t>
  </si>
  <si>
    <t>PAA100</t>
  </si>
  <si>
    <t>PA3000A</t>
  </si>
  <si>
    <t>PA3</t>
  </si>
  <si>
    <t>A.III) RISERVE DA DONAZIONI E LASCITI VINCOLATI AD INVESTIMENTI</t>
  </si>
  <si>
    <t>50104000000000</t>
  </si>
  <si>
    <t>3.10.40.00.000.000.00.000</t>
  </si>
  <si>
    <t>PA4000A</t>
  </si>
  <si>
    <t>PA4</t>
  </si>
  <si>
    <t>A.IV) ALTRE RISERVE</t>
  </si>
  <si>
    <t>50104010000000</t>
  </si>
  <si>
    <t>3.10.40.10.000.000.00.000</t>
  </si>
  <si>
    <t>PAA120</t>
  </si>
  <si>
    <t>A.IV.1) Riserve da rivalutazioni</t>
  </si>
  <si>
    <t>50104020000000</t>
  </si>
  <si>
    <t>3.10.40.20.000.000.00.000</t>
  </si>
  <si>
    <t>PAA130</t>
  </si>
  <si>
    <t>A.IV.2) Riserve da plusvalenze da reinvestire</t>
  </si>
  <si>
    <t>50104030000000</t>
  </si>
  <si>
    <t>3.10.40.30.000.000.00.000</t>
  </si>
  <si>
    <t>PAA140</t>
  </si>
  <si>
    <t>A.IV.3) Contributi da reinvestire</t>
  </si>
  <si>
    <t>50104040000000</t>
  </si>
  <si>
    <t>3.10.40.40.000.000.00.000</t>
  </si>
  <si>
    <t>PAA150</t>
  </si>
  <si>
    <t>A.IV.4) Riserve da utili di esercizio destinati ad investimenti</t>
  </si>
  <si>
    <t>50104050000000</t>
  </si>
  <si>
    <t>3.10.40.50.000.000.00.000</t>
  </si>
  <si>
    <t>PAA160</t>
  </si>
  <si>
    <t>A.IV.5) Riserve diverse</t>
  </si>
  <si>
    <t>50105000000000</t>
  </si>
  <si>
    <t>3.10.50.00.000.000.00.000</t>
  </si>
  <si>
    <t>PA5000A</t>
  </si>
  <si>
    <t>PA5</t>
  </si>
  <si>
    <t>A.V) CONTRIBUTI PER RIPIANO PERDITE</t>
  </si>
  <si>
    <t>50105010000000</t>
  </si>
  <si>
    <t>3.10.50.10.000.000.00.000</t>
  </si>
  <si>
    <t>PAA180</t>
  </si>
  <si>
    <t>A.V.1) Contributi per copertura debiti al 31/12/2005</t>
  </si>
  <si>
    <t>50105020000000</t>
  </si>
  <si>
    <t>3.10.50.20.000.000.00.000</t>
  </si>
  <si>
    <t>PAA190</t>
  </si>
  <si>
    <t>A.V.2) Contributi per ricostituzione risorse da investimenti esercizi precedenti</t>
  </si>
  <si>
    <t>50105030000000</t>
  </si>
  <si>
    <t>3.10.50.30.000.000.00.000</t>
  </si>
  <si>
    <t>PAA200</t>
  </si>
  <si>
    <t>A.V.3) Altro</t>
  </si>
  <si>
    <t>50106000000000</t>
  </si>
  <si>
    <t>3.10.60.00.000.000.00.000</t>
  </si>
  <si>
    <t>PAA210</t>
  </si>
  <si>
    <t>PA6000A</t>
  </si>
  <si>
    <t>PA6</t>
  </si>
  <si>
    <t>A.VI) UTILI (PERDITE) PORTATI A NUOVO</t>
  </si>
  <si>
    <t>50107000000000</t>
  </si>
  <si>
    <t>3.10.70.00.000.000.00.000</t>
  </si>
  <si>
    <t>PAA220</t>
  </si>
  <si>
    <t>PA7000A</t>
  </si>
  <si>
    <t>PA7</t>
  </si>
  <si>
    <t>A.VII) UTILE (PERDITA) D'ESERCIZIO</t>
  </si>
  <si>
    <t>60000000000000</t>
  </si>
  <si>
    <t>3.20.00.00.000.000.00.000</t>
  </si>
  <si>
    <t>B) FONDI PER RISCHI ED ONERI</t>
  </si>
  <si>
    <t>60100000000000</t>
  </si>
  <si>
    <t>3.20.10.00.000.000.00.000</t>
  </si>
  <si>
    <t>PBA000</t>
  </si>
  <si>
    <t>PB1000A</t>
  </si>
  <si>
    <t>PB1</t>
  </si>
  <si>
    <t>B.I)  Fondi per imposte, anche differite</t>
  </si>
  <si>
    <t>60101000000000</t>
  </si>
  <si>
    <t>3.20.10.10.000.000.00.000</t>
  </si>
  <si>
    <t>Fondi per imposte</t>
  </si>
  <si>
    <t>60102000000000</t>
  </si>
  <si>
    <t>3.20.10.20.000.000.00.000</t>
  </si>
  <si>
    <t>Altri fondi per imposte</t>
  </si>
  <si>
    <t>60200000000000</t>
  </si>
  <si>
    <t>3.20.20.00.000.000.00.000</t>
  </si>
  <si>
    <t>PB2</t>
  </si>
  <si>
    <t>B.II)  Fondi per rischi</t>
  </si>
  <si>
    <t>60201000000000</t>
  </si>
  <si>
    <t>3.20.20.10.000.000.00.000</t>
  </si>
  <si>
    <t>PBA020</t>
  </si>
  <si>
    <t>PB2000A</t>
  </si>
  <si>
    <t>B.II.1) Fondo rischi per cause civili ed oneri processuali</t>
  </si>
  <si>
    <t>60202000000000</t>
  </si>
  <si>
    <t>3.20.20.20.000.000.00.000</t>
  </si>
  <si>
    <t>PBA030</t>
  </si>
  <si>
    <t>PB2000B</t>
  </si>
  <si>
    <t>B.II.2) Fondo rischi per contenzioso personale dipendente</t>
  </si>
  <si>
    <t>60203000000000</t>
  </si>
  <si>
    <t>3.20.20.30.000.000.00.000</t>
  </si>
  <si>
    <t>PBA040</t>
  </si>
  <si>
    <t>PB2000C</t>
  </si>
  <si>
    <t>B.II.3) Fondo rischi connessi all'acquisto di prestazioni sanitarie da privato</t>
  </si>
  <si>
    <t>60204000000000</t>
  </si>
  <si>
    <t>3.20.20.40.000.000.00.000</t>
  </si>
  <si>
    <t>PBA050</t>
  </si>
  <si>
    <t>PB2000D</t>
  </si>
  <si>
    <t>B.II.4) Fondo rischi per copertura diretta dei rischi (autoassicurazione)</t>
  </si>
  <si>
    <t>60205000000000</t>
  </si>
  <si>
    <t>3.20.20.41.000.000.00.000</t>
  </si>
  <si>
    <t>PBA051</t>
  </si>
  <si>
    <t>B.II.5) Fondo rischi per franchigia assicurativa</t>
  </si>
  <si>
    <t>60206000000000</t>
  </si>
  <si>
    <t>3.20.20.42.000.000.00.000</t>
  </si>
  <si>
    <t>PBA052</t>
  </si>
  <si>
    <t>B.II.6) Fondo rischi per interessi di mora</t>
  </si>
  <si>
    <t>60207000000000</t>
  </si>
  <si>
    <t>3.20.20.50.000.000.00.000</t>
  </si>
  <si>
    <t>PBA060</t>
  </si>
  <si>
    <t>PB2000E</t>
  </si>
  <si>
    <t>B.II.5) Altri fondi rischi</t>
  </si>
  <si>
    <t>60300000000000</t>
  </si>
  <si>
    <t>3.20.30.00.000.000.00.000</t>
  </si>
  <si>
    <t>PB3</t>
  </si>
  <si>
    <t>B.III)  Fondi da distribuire</t>
  </si>
  <si>
    <t>60301000000000</t>
  </si>
  <si>
    <t>3.20.30.10.000.000.00.000</t>
  </si>
  <si>
    <t>PBA080</t>
  </si>
  <si>
    <t>PB3000A</t>
  </si>
  <si>
    <t>B.III.1) FSR indistinto da distribuire</t>
  </si>
  <si>
    <t>60302000000000</t>
  </si>
  <si>
    <t>3.20.30.20.000.000.00.000</t>
  </si>
  <si>
    <t>PBA090</t>
  </si>
  <si>
    <t>PB3000B</t>
  </si>
  <si>
    <t>B.III.2) FSR vincolato da distribuire</t>
  </si>
  <si>
    <t>60303000000000</t>
  </si>
  <si>
    <t>3.20.30.30.000.000.00.000</t>
  </si>
  <si>
    <t>PBA100</t>
  </si>
  <si>
    <t>PB3000C</t>
  </si>
  <si>
    <t>B.III.3) Fondo per ripiano disavanzi pregressi</t>
  </si>
  <si>
    <t>60304000000000</t>
  </si>
  <si>
    <t>3.20.30.40.000.000.00.000</t>
  </si>
  <si>
    <t>PBA110</t>
  </si>
  <si>
    <t>PB3000D</t>
  </si>
  <si>
    <t>B.III.4) Fondo finanziamento sanitario aggiuntivo corrente LEA</t>
  </si>
  <si>
    <t>60305000000000</t>
  </si>
  <si>
    <t>3.20.30.50.000.000.00.000</t>
  </si>
  <si>
    <t>PBA120</t>
  </si>
  <si>
    <t>PB3000E</t>
  </si>
  <si>
    <t>B.III.5) Fondo finanziamento sanitario aggiuntivo corrente extra LEA</t>
  </si>
  <si>
    <t>60306000000000</t>
  </si>
  <si>
    <t>3.20.30.60.000.000.00.000</t>
  </si>
  <si>
    <t>PBA130</t>
  </si>
  <si>
    <t>PB3000F</t>
  </si>
  <si>
    <t>B.III.6) Fondo finanziamento per ricerca</t>
  </si>
  <si>
    <t>60307000000000</t>
  </si>
  <si>
    <t>3.20.30.70.000.000.00.000</t>
  </si>
  <si>
    <t>PBA140</t>
  </si>
  <si>
    <t>PB3000G</t>
  </si>
  <si>
    <t>B.III.7) Fondo finanziamento per investimenti</t>
  </si>
  <si>
    <t>xxx</t>
  </si>
  <si>
    <t>60308000000000</t>
  </si>
  <si>
    <t>3.20.30.80.000.000.00.000</t>
  </si>
  <si>
    <t>PBA141</t>
  </si>
  <si>
    <t>IMPUTREG</t>
  </si>
  <si>
    <t>B.III.8) Fondo finanziamento sanitario aggiuntivo corrente (extra fondo) - Risorse aggiuntive da bilancio regionale a titolo di copertura extra LEA</t>
  </si>
  <si>
    <t>60400000000000</t>
  </si>
  <si>
    <t>3.20.40.00.000.000.00.000</t>
  </si>
  <si>
    <t>PB4</t>
  </si>
  <si>
    <t>B.IV)  Quote inutilizzate contributi</t>
  </si>
  <si>
    <t>60401000000000</t>
  </si>
  <si>
    <t>3.20.40.05.000.000.00.000</t>
  </si>
  <si>
    <t>PBA151</t>
  </si>
  <si>
    <t>B.IV.1) Quote inutilizzate contributi da Regione o Prov. Aut. per quota F.S. indistinto finalizzato</t>
  </si>
  <si>
    <t>60402000000000</t>
  </si>
  <si>
    <t>3.20.40.10.000.000.00.000</t>
  </si>
  <si>
    <t>PBA160</t>
  </si>
  <si>
    <t>PB4000A</t>
  </si>
  <si>
    <t>B.IV.2) Quote inutilizzate contributi da Regione o Prov. Aut. per quota F.S. vincolato</t>
  </si>
  <si>
    <t>60402010000000</t>
  </si>
  <si>
    <t>3.20.40.10.010.000.00.000</t>
  </si>
  <si>
    <t>Quote inutilizzate contributi da Regione o Prov. Aut. per quota F.S. indistinto</t>
  </si>
  <si>
    <t>60402020000000</t>
  </si>
  <si>
    <t>3.20.40.10.020.000.00.000</t>
  </si>
  <si>
    <t>Quote inutilizzate contributi da Regione o Prov. Aut. per quota F.S. vincolato</t>
  </si>
  <si>
    <t>60402030000000</t>
  </si>
  <si>
    <t>3.20.40.10.030.000.00.000</t>
  </si>
  <si>
    <t>Quote inutilizzate contributi vincolati dell'esercizio da Asl/Ao/Fondazioni per quota FSR Indistinto</t>
  </si>
  <si>
    <t>60402040000000</t>
  </si>
  <si>
    <t>3.20.40.10.040.000.00.000</t>
  </si>
  <si>
    <t>Quote inutilizzate contributi vincolati dell'esercizio da Asl/Ao/Fondazioni per quota FSR Vincolato</t>
  </si>
  <si>
    <t>60403000000000</t>
  </si>
  <si>
    <t>3.20.40.20.000.000.00.000</t>
  </si>
  <si>
    <t>PBA170</t>
  </si>
  <si>
    <t>PB4000B</t>
  </si>
  <si>
    <t>B.IV.2) Quote inutilizzate contributi vincolati da soggetti pubblici (extra fondo)</t>
  </si>
  <si>
    <t>60404000000000</t>
  </si>
  <si>
    <t>3.20.40.30.000.000.00.000</t>
  </si>
  <si>
    <t>PBA180</t>
  </si>
  <si>
    <t>PB4000C</t>
  </si>
  <si>
    <t>B.IV.3) Quote inutilizzate contributi per ricerca</t>
  </si>
  <si>
    <t>60404010000000</t>
  </si>
  <si>
    <t>3.20.40.30.010.000.00.000</t>
  </si>
  <si>
    <t>Quote inutilizzate contributi vincolati dell'esercizio  per ricerca da Ministero</t>
  </si>
  <si>
    <t>60404020000000</t>
  </si>
  <si>
    <t>3.20.40.30.020.000.00.000</t>
  </si>
  <si>
    <t>Quote inutilizzate contributi vincolati dell'esercizio  per ricerca da Regione</t>
  </si>
  <si>
    <t>60404030000000</t>
  </si>
  <si>
    <t>3.20.40.30.030.000.00.000</t>
  </si>
  <si>
    <t>Quote inutilizzate contributi vincolati dell'esercizio  per ricerca da Asl/Ao/Fondazioni</t>
  </si>
  <si>
    <t>60404040000000</t>
  </si>
  <si>
    <t>3.20.40.30.040.000.00.000</t>
  </si>
  <si>
    <t>Quote inutilizzate contributi vincolati dell'esercizio  per ricerca da altri Enti Pubblici</t>
  </si>
  <si>
    <t>60404050000000</t>
  </si>
  <si>
    <t>3.20.40.30.050.000.00.000</t>
  </si>
  <si>
    <t>Quote inutilizzate contributi vincolati dell'esercizio  per ricerca da privati</t>
  </si>
  <si>
    <t>60405000000000</t>
  </si>
  <si>
    <t>3.20.40.40.000.000.00.000</t>
  </si>
  <si>
    <t>PBA190</t>
  </si>
  <si>
    <t>PB4000D</t>
  </si>
  <si>
    <t>B.IV.4) Quote inutilizzate contributi vincolati da privati</t>
  </si>
  <si>
    <t>60500000000000</t>
  </si>
  <si>
    <t>3.20.50.00.000.000.00.000</t>
  </si>
  <si>
    <t>PB5</t>
  </si>
  <si>
    <t>B.V)  Altri fondi per oneri e spese</t>
  </si>
  <si>
    <t>60501000000000</t>
  </si>
  <si>
    <t>3.20.50.10.000.000.00.000</t>
  </si>
  <si>
    <t>PBA210</t>
  </si>
  <si>
    <t>PB5000A</t>
  </si>
  <si>
    <t>B.V.1) Fondi integrativi pensione</t>
  </si>
  <si>
    <t>60501010000000</t>
  </si>
  <si>
    <t>3.20.50.10.010.000.00.000</t>
  </si>
  <si>
    <t>Fondi integrativi pensione aziendali</t>
  </si>
  <si>
    <t>60501020000000</t>
  </si>
  <si>
    <t>3.20.50.10.020.000.00.000</t>
  </si>
  <si>
    <t>Fondo integrativo pensione contrattuale</t>
  </si>
  <si>
    <t>60502010000000</t>
  </si>
  <si>
    <t>3.20.50.20.000.000.00.000</t>
  </si>
  <si>
    <t>PB5000B</t>
  </si>
  <si>
    <t>B.V.2) Fondo per rinnovi contrattuali</t>
  </si>
  <si>
    <t>60502010010000</t>
  </si>
  <si>
    <t>3.20.50.20.010.000.00.000</t>
  </si>
  <si>
    <t>PBA230</t>
  </si>
  <si>
    <t>Fondo per  Rinnovi contratt. - dirigenza medica</t>
  </si>
  <si>
    <t>60502010020000</t>
  </si>
  <si>
    <t>3.20.50.20.020.000.00.000</t>
  </si>
  <si>
    <t>Fondo per  Rinnovi contratt.- dirigenza non medica</t>
  </si>
  <si>
    <t>60502010030000</t>
  </si>
  <si>
    <t>3.20.50.20.030.000.00.000</t>
  </si>
  <si>
    <t>Fondo per  Rinnovi contratt.: - comparto</t>
  </si>
  <si>
    <t>60502010040000</t>
  </si>
  <si>
    <t>3.20.50.20.040.000.00.000</t>
  </si>
  <si>
    <t>PBA240</t>
  </si>
  <si>
    <t>Fondo per  Rinnovi convenzioni MMG/Pls/MCA ed altri</t>
  </si>
  <si>
    <t>60502010050000</t>
  </si>
  <si>
    <t>3.20.50.20.050.000.00.000</t>
  </si>
  <si>
    <t>PBA250</t>
  </si>
  <si>
    <t>Fondo per  Rinnovi contratt.: medici SUMAI</t>
  </si>
  <si>
    <t>60503010000000</t>
  </si>
  <si>
    <t>3.20.50.30.000.000.00.000</t>
  </si>
  <si>
    <t>B.V.3) Altri fondi per oneri e spese</t>
  </si>
  <si>
    <t>60503010010000</t>
  </si>
  <si>
    <t>3.20.50.30.100.000.00.000</t>
  </si>
  <si>
    <t>PBA260</t>
  </si>
  <si>
    <t>PB5000C</t>
  </si>
  <si>
    <t xml:space="preserve">  Altri fondi per oneri e spese - altro</t>
  </si>
  <si>
    <t>60503010020000</t>
  </si>
  <si>
    <t>3.20.50.30.200.000.00.000</t>
  </si>
  <si>
    <t xml:space="preserve">  Altri fondi per Libera Professione</t>
  </si>
  <si>
    <t>60504010000000</t>
  </si>
  <si>
    <t>3.20.50.40.000.000.00.000</t>
  </si>
  <si>
    <t>PBA270</t>
  </si>
  <si>
    <t>B.V.4) Altri Fondi incentivi funzioni tecniche Art. 113 D.Lgs 50/2016</t>
  </si>
  <si>
    <t>60600000000000</t>
  </si>
  <si>
    <t>3.30.00.00.000.000.00.000</t>
  </si>
  <si>
    <t>C) TRATTAMENTO DI FINE RAPPORTO</t>
  </si>
  <si>
    <t>60601000000000</t>
  </si>
  <si>
    <t>3.30.10.00.000.000.00.000</t>
  </si>
  <si>
    <t>PCA000</t>
  </si>
  <si>
    <t>PC1000A</t>
  </si>
  <si>
    <t>PC1</t>
  </si>
  <si>
    <t>C.I)  Fondo per premi operosità</t>
  </si>
  <si>
    <t>60601010000000</t>
  </si>
  <si>
    <t>3.30.10.10.000.000.00.000</t>
  </si>
  <si>
    <t>Premi Sumai fino al 1994</t>
  </si>
  <si>
    <t>60601020000000</t>
  </si>
  <si>
    <t>3.30.10.20.000.000.00.000</t>
  </si>
  <si>
    <t>Premi Sumai dal 1995/1997</t>
  </si>
  <si>
    <t>60601030000000</t>
  </si>
  <si>
    <t>3.30.10.30.000.000.00.000</t>
  </si>
  <si>
    <t>Premi Sumai dal 1/1/1998</t>
  </si>
  <si>
    <t>60602000000000</t>
  </si>
  <si>
    <t>3.30.20.00.000.000.00.000</t>
  </si>
  <si>
    <t>PCA010</t>
  </si>
  <si>
    <t>PC2000B</t>
  </si>
  <si>
    <t>PC2</t>
  </si>
  <si>
    <t>C.II)  Fondo per trattamento di fine rapporto dipendenti</t>
  </si>
  <si>
    <t>60603000000000</t>
  </si>
  <si>
    <t>3.30.30.00.000.000.00.000</t>
  </si>
  <si>
    <t>PCA020</t>
  </si>
  <si>
    <t>C.III) FONDO PER TRATTAMENTI DI QUIESCENZA E SIMILI</t>
  </si>
  <si>
    <t>70000000000000</t>
  </si>
  <si>
    <t>3.40.00.00.000.000.00.000</t>
  </si>
  <si>
    <t>D) DEBITI</t>
  </si>
  <si>
    <t>70100000000000</t>
  </si>
  <si>
    <t>3.40.10.00.000.000.00.000</t>
  </si>
  <si>
    <t>PDA000</t>
  </si>
  <si>
    <t>PD1000A</t>
  </si>
  <si>
    <t>PD1</t>
  </si>
  <si>
    <t>D.I. Debiti per Mutui passivi</t>
  </si>
  <si>
    <t>70200000000000</t>
  </si>
  <si>
    <t>3.40.20.00.000.000.00.000</t>
  </si>
  <si>
    <t>PD1000B</t>
  </si>
  <si>
    <t>PDA430</t>
  </si>
  <si>
    <t>PD2</t>
  </si>
  <si>
    <t>D.II. Debiti v/Stato</t>
  </si>
  <si>
    <t>70201000000000</t>
  </si>
  <si>
    <t>3.40.20.10.000.000.00.000</t>
  </si>
  <si>
    <t>PDA020</t>
  </si>
  <si>
    <t>D.II.1) Debiti v/Stato per mobilità passiva  extraregionale</t>
  </si>
  <si>
    <t>70202000000000</t>
  </si>
  <si>
    <t>3.40.20.20.000.000.00.000</t>
  </si>
  <si>
    <t>PDA030</t>
  </si>
  <si>
    <t>D.II.2) Debiti v/Stato per mobilità passiva internazionale</t>
  </si>
  <si>
    <t>70203000000000</t>
  </si>
  <si>
    <t>3.40.20.30.000.000.00.000</t>
  </si>
  <si>
    <t>PDA040</t>
  </si>
  <si>
    <t>D.II.3) Acconto quota FSR v/Stato</t>
  </si>
  <si>
    <t>70204000000000</t>
  </si>
  <si>
    <t>3.40.20.40.000.000.00.000</t>
  </si>
  <si>
    <t>PDA050</t>
  </si>
  <si>
    <t>D.II.4) Debiti v/Stato per restituzione finanziamenti - per ricerca</t>
  </si>
  <si>
    <t>70205000000000</t>
  </si>
  <si>
    <t>3.40.20.50.000.000.00.000</t>
  </si>
  <si>
    <t>PDA060</t>
  </si>
  <si>
    <t>D.II.5) Altri debiti v/Stato - Ministeri</t>
  </si>
  <si>
    <t>70300000000000</t>
  </si>
  <si>
    <t>3.40.30.00.000.000.00.000</t>
  </si>
  <si>
    <t>PD1000C</t>
  </si>
  <si>
    <t>PD3</t>
  </si>
  <si>
    <t>D.III. Debiti v/Regione</t>
  </si>
  <si>
    <t>70301000000000</t>
  </si>
  <si>
    <t>3.40.30.10.000.000.00.000</t>
  </si>
  <si>
    <t>PDA080</t>
  </si>
  <si>
    <t>D.III.1) Debiti v/Regione o Provincia Autonoma per finanziamenti</t>
  </si>
  <si>
    <t>70302000000000</t>
  </si>
  <si>
    <t>3.40.30.15.000.000.00.000</t>
  </si>
  <si>
    <t>PDA081</t>
  </si>
  <si>
    <t>D.III.2) Debiti v/Regione o Provincia Autonoma per finanziamenti</t>
  </si>
  <si>
    <t>70303000000000</t>
  </si>
  <si>
    <t>3.40.30.20.000.000.00.000</t>
  </si>
  <si>
    <t>PDA090</t>
  </si>
  <si>
    <t>D.III.2) Debiti v/Regione o Provincia Autonoma per mobilità passiva intraregionale</t>
  </si>
  <si>
    <t>70304000000000</t>
  </si>
  <si>
    <t>3.40.30.30.000.000.00.000</t>
  </si>
  <si>
    <t>PDA100</t>
  </si>
  <si>
    <t>D.III.3) Debiti v/Regione o Provincia Autonoma per mobilità passiva extraregionale</t>
  </si>
  <si>
    <t>70305000000000</t>
  </si>
  <si>
    <t>3.40.30.35.000.000.00.000</t>
  </si>
  <si>
    <t>PDA101</t>
  </si>
  <si>
    <t>D.III.5) Debiti v/Regione o Provincia Autonoma per mobilità passiva internazionale</t>
  </si>
  <si>
    <t>70306000000000</t>
  </si>
  <si>
    <t>3.40.30.40.000.000.00.000</t>
  </si>
  <si>
    <t>PDA110</t>
  </si>
  <si>
    <t>D.III.4) Acconto quota FSR da Regione o Provincia Autonoma (non regolarizzato)</t>
  </si>
  <si>
    <t>70307000000000</t>
  </si>
  <si>
    <t>3.40.30.45.000.000.00.000</t>
  </si>
  <si>
    <t>PDA111</t>
  </si>
  <si>
    <t>D.III.7) Acconto da Regione o Provincia Autonoma per anticipazione ripiano disavanzo programmato dai Piani aziendali di cui all'art. 1, comma 528, L. 208/2015</t>
  </si>
  <si>
    <t>70308000000000</t>
  </si>
  <si>
    <t>3.40.30.46.000.000.00.000</t>
  </si>
  <si>
    <t>PDA112</t>
  </si>
  <si>
    <t xml:space="preserve">D.III.8) Debiti v/Regione o Provincia Autonoma per contributi L. 210/92 </t>
  </si>
  <si>
    <t>70309000000000</t>
  </si>
  <si>
    <t>3.40.30.47.000.000.00.000</t>
  </si>
  <si>
    <t>PDA120</t>
  </si>
  <si>
    <t>D.III.9) Altri debiti v/Regione o Provincia Autonoma – GSA</t>
  </si>
  <si>
    <t>70310010000000</t>
  </si>
  <si>
    <t>3.40.30.50.000.000.00.000</t>
  </si>
  <si>
    <t>PDA121</t>
  </si>
  <si>
    <t>D.III.5.a) Altri debiti v/Regione o Provincia Autonoma</t>
  </si>
  <si>
    <t>70310020000000</t>
  </si>
  <si>
    <t>3.40.30.60.000.000.00.000</t>
  </si>
  <si>
    <t>D.III.5.b) Altri debiti vs Regione per restituzione annualità 2011 e precedenti</t>
  </si>
  <si>
    <t>70310030000000</t>
  </si>
  <si>
    <t>3.40.30.70.000.000.00.000</t>
  </si>
  <si>
    <t>D.III.5.c) Debiti vs Regione per recuperi prestazioni STP</t>
  </si>
  <si>
    <t>70400000000000</t>
  </si>
  <si>
    <t>3.40.40.00.000.000.00.000</t>
  </si>
  <si>
    <t>PDA130</t>
  </si>
  <si>
    <t>PD1000D</t>
  </si>
  <si>
    <t>PD4</t>
  </si>
  <si>
    <t>D.IV. Debiti v/Comuni</t>
  </si>
  <si>
    <t>70500000000000</t>
  </si>
  <si>
    <t>3.40.50.00.000.000.00.000</t>
  </si>
  <si>
    <t>PD1000E</t>
  </si>
  <si>
    <t>PDA410</t>
  </si>
  <si>
    <t>D.V. Debiti v/Aziende sanitarie pubbliche</t>
  </si>
  <si>
    <t>70501000000000</t>
  </si>
  <si>
    <t>3.40.50.10.000.000.00.000</t>
  </si>
  <si>
    <t>D.V.1) Debiti v/Aziende sanitarie pubbliche della Regione</t>
  </si>
  <si>
    <t>70501010000000</t>
  </si>
  <si>
    <t>3.40.50.10.010.000.00.000</t>
  </si>
  <si>
    <t>PDA160</t>
  </si>
  <si>
    <t>D.V.1.a) Debiti v/Aziende sanitarie pubbliche della Regione - per quota FSR</t>
  </si>
  <si>
    <t>70501010010000</t>
  </si>
  <si>
    <t>3.40.50.10.010.010.00.000</t>
  </si>
  <si>
    <t>PD5a</t>
  </si>
  <si>
    <t>Debiti v/ASL della Regione - per quota FSR</t>
  </si>
  <si>
    <t>70501010020000</t>
  </si>
  <si>
    <t>3.40.50.10.010.011.00.000</t>
  </si>
  <si>
    <t>Debiti v/ats della Regione - per quota FSR</t>
  </si>
  <si>
    <t>70501010030000</t>
  </si>
  <si>
    <t>3.40.50.10.010.020.00.000</t>
  </si>
  <si>
    <t>Debiti v/Az. Ospedaliere della Regione - per quota FSR</t>
  </si>
  <si>
    <t>70501010040000</t>
  </si>
  <si>
    <t>3.40.50.10.010.021.00.000</t>
  </si>
  <si>
    <t>Debiti v/ASST della Regione - per quota FSR</t>
  </si>
  <si>
    <t>70501010050000</t>
  </si>
  <si>
    <t>3.40.50.10.010.030.00.000</t>
  </si>
  <si>
    <t>Debiti v/Irccs - Fondazioni di dir. Pubblico della Regione - per quota FSR</t>
  </si>
  <si>
    <t>70501010060000</t>
  </si>
  <si>
    <t>3.40.50.10.010.040.00.000</t>
  </si>
  <si>
    <t>Debiti v/Aziende sanitarie pubbliche della Regione - contributi Indistinti Finalizzati</t>
  </si>
  <si>
    <t>70501020000000</t>
  </si>
  <si>
    <t>3.40.50.10.020.000.00.000</t>
  </si>
  <si>
    <t>PDA170</t>
  </si>
  <si>
    <t>PD5b</t>
  </si>
  <si>
    <t>D.V.1.b) Debiti v/Aziende sanitarie pubbliche della Regione - per finanziamento sanitario aggiuntivo corrente LEA</t>
  </si>
  <si>
    <t>70501030000000</t>
  </si>
  <si>
    <t>3.40.50.10.030.000.00.000</t>
  </si>
  <si>
    <t>PDA180</t>
  </si>
  <si>
    <t>PD5c</t>
  </si>
  <si>
    <t>D.V.1.c) Debiti v/Aziende sanitarie pubbliche della Regione - per finanziamento sanitario aggiuntivo corrente extra LEA</t>
  </si>
  <si>
    <t>70501040000000</t>
  </si>
  <si>
    <t>3.40.50.10.040.000.00.000</t>
  </si>
  <si>
    <t>PDA190</t>
  </si>
  <si>
    <t>D.V.1.d) Debiti v/Aziende sanitarie pubbliche della Regione - per mobilità in compensazione</t>
  </si>
  <si>
    <t>70501040010000</t>
  </si>
  <si>
    <t>3.40.50.10.040.010.00.000</t>
  </si>
  <si>
    <t>MOB</t>
  </si>
  <si>
    <t>Debiti verso Aziende Sanitarie Locali della Regione per mobilità intraregionale</t>
  </si>
  <si>
    <t>70501040020000</t>
  </si>
  <si>
    <t>3.40.50.10.040.011.00.000</t>
  </si>
  <si>
    <t>Debiti verso Agenzie Tutela Salute della Regione per mobilità intraregionale</t>
  </si>
  <si>
    <t>70501040030000</t>
  </si>
  <si>
    <t>3.40.50.10.040.020.00.000</t>
  </si>
  <si>
    <t>Debiti verso Aziende Sanitarie Locali della regione per anticipi mobilità attiva privata extraregione</t>
  </si>
  <si>
    <t>70501050000000</t>
  </si>
  <si>
    <t>3.40.50.10.050.000.00.000</t>
  </si>
  <si>
    <t>PDA200</t>
  </si>
  <si>
    <t>D.V.1.e) Debiti v/Aziende sanitarie pubbliche della Regione - per mobilità non in compensazione</t>
  </si>
  <si>
    <t>70501060000000</t>
  </si>
  <si>
    <t>3.40.50.10.060.000.00.000</t>
  </si>
  <si>
    <t>PDA210</t>
  </si>
  <si>
    <t>PD5d3</t>
  </si>
  <si>
    <t>D.V.1.f) Debiti v/Aziende sanitarie pubbliche della Regione - per altre prestazioni</t>
  </si>
  <si>
    <t>70501060010000</t>
  </si>
  <si>
    <t>3.40.50.10.060.010.00.000</t>
  </si>
  <si>
    <t>Debiti verso Aziende Sanitarie Locali della Regione</t>
  </si>
  <si>
    <t>70501060020000</t>
  </si>
  <si>
    <t>3.40.50.10.060.011.00.000</t>
  </si>
  <si>
    <t>Debiti verso Agenzie Tutela Salute della Regione</t>
  </si>
  <si>
    <t>70501060030000</t>
  </si>
  <si>
    <t>3.40.50.10.060.020.00.000</t>
  </si>
  <si>
    <t>Debiti verso Aziende Ospedaliere della Regione</t>
  </si>
  <si>
    <t>70501060040000</t>
  </si>
  <si>
    <t>3.40.50.10.060.021.00.000</t>
  </si>
  <si>
    <t>Debiti verso Aziende Socio-Sanitarie Territoriali della Regione</t>
  </si>
  <si>
    <t>70501060050000</t>
  </si>
  <si>
    <t>3.40.50.10.060.030.00.000</t>
  </si>
  <si>
    <t>Debiti verso Irccs e Fondazioni di diritto pubblico della Regione</t>
  </si>
  <si>
    <t>70501060060000</t>
  </si>
  <si>
    <t>3.40.50.10.070.000.00.000</t>
  </si>
  <si>
    <t>PD5d1</t>
  </si>
  <si>
    <t>D.V.1.g)  Debiti v/ ATS per operazioni di conferimento/scorporo LR23/2015</t>
  </si>
  <si>
    <t>70501060070000</t>
  </si>
  <si>
    <t>3.40.50.10.080.000.00.000</t>
  </si>
  <si>
    <t>PD5d2</t>
  </si>
  <si>
    <t>D.V.1.h)  Debiti v/ ASST per operazioni di conferimento/scorporo LR23/2015</t>
  </si>
  <si>
    <t>70501070000000</t>
  </si>
  <si>
    <t>3.40.50.10.090.000.00.000</t>
  </si>
  <si>
    <t>PDA211</t>
  </si>
  <si>
    <t>D.V.1.g) Debiti v/Aziende sanitarie pubbliche della Regione - altre prestazioni per STP</t>
  </si>
  <si>
    <t>70501080010000</t>
  </si>
  <si>
    <t>3.40.50.10.100.010.00.000</t>
  </si>
  <si>
    <t>PDA212</t>
  </si>
  <si>
    <t xml:space="preserve">D.V.1.h) Debiti v/ATS - per Contributi da Aziende sanitarie pubbliche della Regione o Prov. Aut. (extra fondo) </t>
  </si>
  <si>
    <t>70501080020000</t>
  </si>
  <si>
    <t>3.40.50.10.100.020.00.000</t>
  </si>
  <si>
    <t xml:space="preserve">D.V.1.i) Debiti v/ASST - per Contributi da Aziende sanitarie pubbliche della Regione o Prov. Aut. (extra fondo) </t>
  </si>
  <si>
    <t>70501080030000</t>
  </si>
  <si>
    <t>3.40.50.10.100.030.00.000</t>
  </si>
  <si>
    <t xml:space="preserve">D.V.1.j) Debiti v/IRCCS - per Contributi da Aziende sanitarie pubbliche della Regione o Prov. Aut. (extra fondo) </t>
  </si>
  <si>
    <t>70501090000000</t>
  </si>
  <si>
    <t>3.40.50.10.110.000.00.000</t>
  </si>
  <si>
    <t>PDA213</t>
  </si>
  <si>
    <t xml:space="preserve">D.V.1.k) Debiti v/Aziende sanitarie pubbliche della Regione - per contributi L. 210/92 </t>
  </si>
  <si>
    <t>70502000000000</t>
  </si>
  <si>
    <t>3.40.50.20.000.000.00.000</t>
  </si>
  <si>
    <t>PDA220</t>
  </si>
  <si>
    <t>PD5f</t>
  </si>
  <si>
    <t xml:space="preserve">D.V.2) Debiti v/Aziende sanitarie pubbliche Extraregione </t>
  </si>
  <si>
    <t>70502010000000</t>
  </si>
  <si>
    <t>3.40.50.20.010.000.00.000</t>
  </si>
  <si>
    <t>D.V.2.1) Debiti v/Aziende sanitarie pubbliche di altre Regioni per Mobilità passiva non compensata - Altre prestazioni</t>
  </si>
  <si>
    <t>70502020000000</t>
  </si>
  <si>
    <t>3.40.50.20.020.000.00.000</t>
  </si>
  <si>
    <t>D.V.2.2) Debiti v/Aziende sanitarie pubbliche di altre Regioni  - Altro</t>
  </si>
  <si>
    <t>70503000000000</t>
  </si>
  <si>
    <t>3.40.50.30.000.000.00.000</t>
  </si>
  <si>
    <t>PDA230</t>
  </si>
  <si>
    <t>PD5e</t>
  </si>
  <si>
    <t>D.V.3) Debiti v/Aziende sanitarie pubbliche della Regione per versamenti c/patrimonio netto</t>
  </si>
  <si>
    <t>70503010000000</t>
  </si>
  <si>
    <t>3.40.50.30.100.000.00.000</t>
  </si>
  <si>
    <t>PDA231</t>
  </si>
  <si>
    <t>D.V.3.a) Debiti v/Aziende sanitarie pubbliche della Regione per versamenti c/patrimonio netto - finanziamenti per investimenti</t>
  </si>
  <si>
    <t>70503020000000</t>
  </si>
  <si>
    <t>3.40.50.30.200.000.00.000</t>
  </si>
  <si>
    <t>PDA232</t>
  </si>
  <si>
    <t>D.V.3.b) Debiti v/Aziende sanitarie pubbliche della Regione per versamenti c/patrimonio netto - incremento fondo dotazione</t>
  </si>
  <si>
    <t>70503030000000</t>
  </si>
  <si>
    <t>3.40.50.30.300.000.00.000</t>
  </si>
  <si>
    <t>PDA233</t>
  </si>
  <si>
    <t>D.V.3.c) Debiti v/Aziende sanitarie pubbliche della Regione per versamenti c/patrimonio netto - ripiano perdite</t>
  </si>
  <si>
    <t>70503040000000</t>
  </si>
  <si>
    <t>3.40.50.30.400.000.00.000</t>
  </si>
  <si>
    <t>PDA234</t>
  </si>
  <si>
    <t>D.V.3.d) Debiti v/Aziende sanitarie pubbliche della Regione per anticipazione ripiano disavanzo programmato dai Piani aziendali di cui all'art. 1, comma 528, L. 208/2015</t>
  </si>
  <si>
    <t>70503050000000</t>
  </si>
  <si>
    <t>3.40.50.30.500.000.00.000</t>
  </si>
  <si>
    <t>PDA235</t>
  </si>
  <si>
    <t>D.V.3.e) Debiti v/Aziende sanitarie pubbliche della Regione per versamenti c/patrimonio netto - altro</t>
  </si>
  <si>
    <t>70600000000000</t>
  </si>
  <si>
    <t>3.40.60.00.000.000.00.000</t>
  </si>
  <si>
    <t>PD1000F</t>
  </si>
  <si>
    <t>PD6</t>
  </si>
  <si>
    <t>D.VI. DEBITI V/ SOCIETA' PARTECIPATE E/O ENTI DIPENDENTI DELLA REGIONE</t>
  </si>
  <si>
    <t>70601000000000</t>
  </si>
  <si>
    <t>3.40.60.10.000.000.00.000</t>
  </si>
  <si>
    <t>PDA250</t>
  </si>
  <si>
    <t>D.VI.1) Debiti v/enti regionali</t>
  </si>
  <si>
    <t>70601010000000</t>
  </si>
  <si>
    <t>3.40.60.10.010.000.00.000</t>
  </si>
  <si>
    <t>Debiti v/Arpa</t>
  </si>
  <si>
    <t>70601020000000</t>
  </si>
  <si>
    <t>3.40.60.10.020.000.00.000</t>
  </si>
  <si>
    <t>Debiti v/altri Enti regionali</t>
  </si>
  <si>
    <t>70602000000000</t>
  </si>
  <si>
    <t>3.40.60.20.000.000.00.000</t>
  </si>
  <si>
    <t>PDA260</t>
  </si>
  <si>
    <t>D.VI.2) Debiti v/sperimentazioni gestionali</t>
  </si>
  <si>
    <t>70603000000000</t>
  </si>
  <si>
    <t>3.40.60.30.000.000.00.000</t>
  </si>
  <si>
    <t>PDA270</t>
  </si>
  <si>
    <t>D.VI.3) Debiti v/altre partecipate</t>
  </si>
  <si>
    <t>70603010000000</t>
  </si>
  <si>
    <t>3.40.60.30.010.000.00.000</t>
  </si>
  <si>
    <t>Debiti v/società controllate</t>
  </si>
  <si>
    <t>70603020000000</t>
  </si>
  <si>
    <t>3.40.60.30.020.000.00.000</t>
  </si>
  <si>
    <t>Debiti v/società collegate</t>
  </si>
  <si>
    <t>70700000000000</t>
  </si>
  <si>
    <t>3.40.70.00.000.000.00.000</t>
  </si>
  <si>
    <t>PD1000G</t>
  </si>
  <si>
    <t>PD7</t>
  </si>
  <si>
    <t>D.VII. Debiti v/Fornitori</t>
  </si>
  <si>
    <t>70701010000000</t>
  </si>
  <si>
    <t>3.40.70.10.000.000.00.000</t>
  </si>
  <si>
    <t>PDA290</t>
  </si>
  <si>
    <t xml:space="preserve">D.VII.1) Debiti verso erogatori (privati accreditati e convenzionati) di prestazioni sanitarie </t>
  </si>
  <si>
    <t>70701010010000</t>
  </si>
  <si>
    <t>3.40.70.10.010.000.00.000</t>
  </si>
  <si>
    <t>PDA291</t>
  </si>
  <si>
    <t>Debiti verso Aziende sanitarie private (sanità)</t>
  </si>
  <si>
    <t>70701010020000</t>
  </si>
  <si>
    <t>3.40.70.10.020.000.00.000</t>
  </si>
  <si>
    <t>Debiti verso Aziende e Enti socio-sanitari pubblici (assi)</t>
  </si>
  <si>
    <t>70701010030000</t>
  </si>
  <si>
    <t>3.40.70.10.030.000.00.000</t>
  </si>
  <si>
    <t>Debiti verso Aziende e Enti socio-sanitari privati (assi)</t>
  </si>
  <si>
    <t>70701010040000</t>
  </si>
  <si>
    <t>3.40.70.10.040.000.00.000</t>
  </si>
  <si>
    <t>Debiti verso Farmacie convenzionate</t>
  </si>
  <si>
    <t>70701010050000</t>
  </si>
  <si>
    <t>3.40.70.10.050.000.00.000</t>
  </si>
  <si>
    <t>Debiti verso MMG, PLS e MCA</t>
  </si>
  <si>
    <t>70701010060000</t>
  </si>
  <si>
    <t>3.40.70.10.060.000.00.000</t>
  </si>
  <si>
    <t>Debiti verso erogatori sanitari privati per mobilità attiva privata extraregione</t>
  </si>
  <si>
    <t>70701020000000</t>
  </si>
  <si>
    <t>3.40.70.10.070.000.00.000</t>
  </si>
  <si>
    <t>PDA292</t>
  </si>
  <si>
    <t>D.VII.1.b) Note di credito da ricevere (privati accreditati e convenzionati)</t>
  </si>
  <si>
    <t>70702000000000</t>
  </si>
  <si>
    <t>3.40.70.20.000.000.00.000</t>
  </si>
  <si>
    <t>PDA300</t>
  </si>
  <si>
    <t>D.VII.2) Debiti verso altri fornitori</t>
  </si>
  <si>
    <t>70702010010000</t>
  </si>
  <si>
    <t>3.40.70.20.010.000.00.000</t>
  </si>
  <si>
    <t>PDA301</t>
  </si>
  <si>
    <t>Debiti verso Fornitori di Beni e Altri servizi sanitari</t>
  </si>
  <si>
    <t>70702010020000</t>
  </si>
  <si>
    <t>3.40.70.20.020.000.00.000</t>
  </si>
  <si>
    <t>Debiti verso Fornitori di Beni e Servizi non sanitari</t>
  </si>
  <si>
    <t>70702020000000</t>
  </si>
  <si>
    <t>3.40.70.20.030.000.00.000</t>
  </si>
  <si>
    <t>PDA302</t>
  </si>
  <si>
    <t>D.VII.2.b) note di credito da ricevere (altri fornitori)</t>
  </si>
  <si>
    <t>70800000000000</t>
  </si>
  <si>
    <t>3.40.80.00.000.000.00.000</t>
  </si>
  <si>
    <t>PDA310</t>
  </si>
  <si>
    <t>PD1000H</t>
  </si>
  <si>
    <t>PD8</t>
  </si>
  <si>
    <t>D.VIII. Debiti v/Istituto tesoriere</t>
  </si>
  <si>
    <t>70900000000000</t>
  </si>
  <si>
    <t>3.40.90.00.000.000.00.000</t>
  </si>
  <si>
    <t>PDA320</t>
  </si>
  <si>
    <t>PD1000I</t>
  </si>
  <si>
    <t>PD9</t>
  </si>
  <si>
    <t>D.IX. Debiti Tributari</t>
  </si>
  <si>
    <t>71000000000000</t>
  </si>
  <si>
    <t>3.40.93.00.000.000.00.000</t>
  </si>
  <si>
    <t>PDA330</t>
  </si>
  <si>
    <t>PD1000L</t>
  </si>
  <si>
    <t>PD11</t>
  </si>
  <si>
    <t>D.X. Debiti v/Istituti previdenziali, assistenziali e sicurezza sociale</t>
  </si>
  <si>
    <t>71100000000000</t>
  </si>
  <si>
    <t>3.40.95.00.000.000.00.000</t>
  </si>
  <si>
    <t>PD1000M</t>
  </si>
  <si>
    <t>D.XI. Debiti v/Altri</t>
  </si>
  <si>
    <t>71101000000000</t>
  </si>
  <si>
    <t>3.40.95.10.000.000.00.000</t>
  </si>
  <si>
    <t>PDA350</t>
  </si>
  <si>
    <t>PD10</t>
  </si>
  <si>
    <t>D.XI.1) Debiti v/altri finanziatori</t>
  </si>
  <si>
    <t>71102000000000</t>
  </si>
  <si>
    <t>3.40.95.20.000.000.00.000</t>
  </si>
  <si>
    <t>PDA360</t>
  </si>
  <si>
    <t>PD12</t>
  </si>
  <si>
    <t>D.XI.2) Debiti v/dipendenti</t>
  </si>
  <si>
    <t>71102010000000</t>
  </si>
  <si>
    <t>3.40.95.20.010.000.00.000</t>
  </si>
  <si>
    <t>Debiti verso dipendenti</t>
  </si>
  <si>
    <t>71102020000000</t>
  </si>
  <si>
    <t>3.40.95.20.010.100.00.000</t>
  </si>
  <si>
    <t>Debiti verso dipendenti per libera professione</t>
  </si>
  <si>
    <t>71102030000000</t>
  </si>
  <si>
    <t>3.40.95.20.010.200.00.000</t>
  </si>
  <si>
    <t>Debiti verso dipendenti altro</t>
  </si>
  <si>
    <t>71102040000000</t>
  </si>
  <si>
    <t>3.40.95.20.020.000.00.000</t>
  </si>
  <si>
    <t>Debiti verso dipendenti per rinnovi contrattuali</t>
  </si>
  <si>
    <t>71102050000000</t>
  </si>
  <si>
    <t>3.40.95.20.030.000.00.000</t>
  </si>
  <si>
    <t>Liquidazioni a dipendenti</t>
  </si>
  <si>
    <t>71102060000000</t>
  </si>
  <si>
    <t>3.40.95.20.040.000.00.000</t>
  </si>
  <si>
    <t>Debiti per ferie non godute</t>
  </si>
  <si>
    <t>71103000000000</t>
  </si>
  <si>
    <t>3.40.95.30.000.000.00.000</t>
  </si>
  <si>
    <t>PDA370</t>
  </si>
  <si>
    <t>D.XI.3) Debiti v/gestioni liquidatorie/stralcio</t>
  </si>
  <si>
    <t>71104000000000</t>
  </si>
  <si>
    <t>3.40.95.40.000.000.00.000</t>
  </si>
  <si>
    <t>l</t>
  </si>
  <si>
    <t>D.XI.4) Altri debiti diversi</t>
  </si>
  <si>
    <t>71304010000000</t>
  </si>
  <si>
    <t>3.40.95.40.010.000.00.000</t>
  </si>
  <si>
    <t>PDA380</t>
  </si>
  <si>
    <t>D.XI.4.a) Altri debiti diversi - V/Privati</t>
  </si>
  <si>
    <t>71304020000000</t>
  </si>
  <si>
    <t>3.40.95.40.020.000.00.000</t>
  </si>
  <si>
    <t>D.XI.4.b) Altri debiti diversi - V/Enti Pubblici</t>
  </si>
  <si>
    <t>71304030000000</t>
  </si>
  <si>
    <t>3.40.95.40.030.000.00.000</t>
  </si>
  <si>
    <t>D.XI.4.c) Altri debiti diversi - V/Gestioni interne</t>
  </si>
  <si>
    <t>71304030010000</t>
  </si>
  <si>
    <t>3.40.95.40.030.010.00.000</t>
  </si>
  <si>
    <t>Debiti verso Bilancio Sanitario</t>
  </si>
  <si>
    <t>71304030020000</t>
  </si>
  <si>
    <t>3.40.95.40.030.020.00.000</t>
  </si>
  <si>
    <t>Debiti verso Bilancio A.S.S.I.</t>
  </si>
  <si>
    <t>71304030030000</t>
  </si>
  <si>
    <t>3.40.95.40.030.030.00.000</t>
  </si>
  <si>
    <t>Debiti verso Bilancio Sociale</t>
  </si>
  <si>
    <t>71304030040000</t>
  </si>
  <si>
    <t>3.40.95.40.030.040.00.000</t>
  </si>
  <si>
    <t>Debiti verso Bilancio Ricerca</t>
  </si>
  <si>
    <t>80000000000000</t>
  </si>
  <si>
    <t>3.50.00.00.000.000.00.000</t>
  </si>
  <si>
    <t>PE00000</t>
  </si>
  <si>
    <t>E) RATEI E RISCONTI PASSIVI</t>
  </si>
  <si>
    <t>80101000000000</t>
  </si>
  <si>
    <t>3.50.10.00.000.000.00.000</t>
  </si>
  <si>
    <t>PE1</t>
  </si>
  <si>
    <t>E.I Ratei passivi</t>
  </si>
  <si>
    <t>80101010000000</t>
  </si>
  <si>
    <t>3.50.10.10.000.000.00.000</t>
  </si>
  <si>
    <t>PEA010</t>
  </si>
  <si>
    <t>E.I.1) Ratei passivi v/terzi</t>
  </si>
  <si>
    <t>80102000000000</t>
  </si>
  <si>
    <t>3.50.10.20.000.000.00.000</t>
  </si>
  <si>
    <t>PEA020</t>
  </si>
  <si>
    <t>E.I.2) Ratei passivi v/Aziende sanitarie pubbliche della Regione</t>
  </si>
  <si>
    <t>80102010000000</t>
  </si>
  <si>
    <t>3.50.10.20.010.000.00.000</t>
  </si>
  <si>
    <t>Degenze in corso Asl/Ao/Fondazioni della Regione</t>
  </si>
  <si>
    <t>80102020000000</t>
  </si>
  <si>
    <t>3.50.10.20.011.000.00.000</t>
  </si>
  <si>
    <t>Degenze in corso ats/asst/Fondazioni della Regione</t>
  </si>
  <si>
    <t>80102030000000</t>
  </si>
  <si>
    <t>3.50.10.20.020.000.00.000</t>
  </si>
  <si>
    <t>Degenze in corso altre Aziende sanitarie Extraregione</t>
  </si>
  <si>
    <t>80102040000000</t>
  </si>
  <si>
    <t>3.50.10.20.090.000.00.000</t>
  </si>
  <si>
    <t>Ratei passivi verso Asl/Ao/Fondazioni della Regione</t>
  </si>
  <si>
    <t>80102050000000</t>
  </si>
  <si>
    <t>3.50.10.20.091.000.00.000</t>
  </si>
  <si>
    <t>Ratei passivi verso ats/asst/Fondazioni della Regione</t>
  </si>
  <si>
    <t>80200000000000</t>
  </si>
  <si>
    <t>3.50.20.00.000.000.00.000</t>
  </si>
  <si>
    <t>PE2</t>
  </si>
  <si>
    <t>E.II Risconti passivi</t>
  </si>
  <si>
    <t>80201000000000</t>
  </si>
  <si>
    <t>3.50.20.10.000.000.00.000</t>
  </si>
  <si>
    <t>PEA040</t>
  </si>
  <si>
    <t>E.II.1) Risconti passivi v/terzi</t>
  </si>
  <si>
    <t>80202000000000</t>
  </si>
  <si>
    <t>3.50.20.20.000.000.00.000</t>
  </si>
  <si>
    <t>PEA050</t>
  </si>
  <si>
    <t>E.II.2) Risconti passivi v/Aziende sanitarie pubbliche della Regione</t>
  </si>
  <si>
    <t>80203000000000</t>
  </si>
  <si>
    <t>3.50.20.30.000.000.00.000</t>
  </si>
  <si>
    <t>PEA060</t>
  </si>
  <si>
    <t>E.II.3) Risconti passivi - in attuazione dell’art.79, comma 1 sexies lettera c), del D.L. 112/2008, convertito con legge 133/2008 e della legge 23 dicembre 2009 n. 191.</t>
  </si>
  <si>
    <t>90000000000000</t>
  </si>
  <si>
    <t>3.60.00.00.000.000.00.000</t>
  </si>
  <si>
    <t>F) CONTI D’ORDINE</t>
  </si>
  <si>
    <t>90100000000000</t>
  </si>
  <si>
    <t>3.60.10.00.000.000.00.000</t>
  </si>
  <si>
    <t>PFA000</t>
  </si>
  <si>
    <t>PF1</t>
  </si>
  <si>
    <t>F.I) Canoni di leasing ancora da pagare</t>
  </si>
  <si>
    <t>90200000000000</t>
  </si>
  <si>
    <t>3.60.20.00.000.000.00.000</t>
  </si>
  <si>
    <t>PFA010</t>
  </si>
  <si>
    <t>PF2</t>
  </si>
  <si>
    <t>F.II) Depositi cauzionali</t>
  </si>
  <si>
    <t>90300000000000</t>
  </si>
  <si>
    <t>3.60.30.00.000.000.00.000</t>
  </si>
  <si>
    <t>PFA020</t>
  </si>
  <si>
    <t>PF3</t>
  </si>
  <si>
    <t>F.III) Beni in comodato</t>
  </si>
  <si>
    <t>90400000000000</t>
  </si>
  <si>
    <t>3.60.35.00.000.000.00.000</t>
  </si>
  <si>
    <t>PFA021</t>
  </si>
  <si>
    <t>PF4</t>
  </si>
  <si>
    <t>G.IV) CANONI DI PROJECT FINANCING ANCORA DA PAGARE</t>
  </si>
  <si>
    <t>90500000000000</t>
  </si>
  <si>
    <t>3.60.40.00.000.000.00.000</t>
  </si>
  <si>
    <t>PFA030</t>
  </si>
  <si>
    <t>F.IV) Altri conti d'ordine</t>
  </si>
  <si>
    <t>90501010000000</t>
  </si>
  <si>
    <t>3.60.40.10.000.000.00.000</t>
  </si>
  <si>
    <t>Garanzie prestate (fideiussioni, avalli, altre garanzie personali e reali)</t>
  </si>
  <si>
    <t>90501010010000</t>
  </si>
  <si>
    <t>3.60.40.10.010.000.00.000</t>
  </si>
  <si>
    <t>90501010020000</t>
  </si>
  <si>
    <t>3.60.40.10.020.000.00.000</t>
  </si>
  <si>
    <t>90501010030000</t>
  </si>
  <si>
    <t>3.60.40.10.030.000.00.000</t>
  </si>
  <si>
    <t>90502020000000</t>
  </si>
  <si>
    <t>3.60.40.20.000.000.00.000</t>
  </si>
  <si>
    <t>Garanzie ricevute (fideiussioni, avalli, altre garanzie personali e reali)</t>
  </si>
  <si>
    <t>90502020010000</t>
  </si>
  <si>
    <t>3.60.40.20.010.000.00.000</t>
  </si>
  <si>
    <t>90502020020000</t>
  </si>
  <si>
    <t>3.60.40.20.020.000.00.000</t>
  </si>
  <si>
    <t>90502020030000</t>
  </si>
  <si>
    <t>3.60.40.20.030.000.00.000</t>
  </si>
  <si>
    <t>90502020040000</t>
  </si>
  <si>
    <t>3.60.40.25.000.000.00.000</t>
  </si>
  <si>
    <t>90503030000000</t>
  </si>
  <si>
    <t>3.60.40.30.000.000.00.000</t>
  </si>
  <si>
    <t>90503030010010</t>
  </si>
  <si>
    <t>3.60.40.30.010.000.00.000</t>
  </si>
  <si>
    <t>90503030020010</t>
  </si>
  <si>
    <t>3.60.40.30.020.000.00.000</t>
  </si>
  <si>
    <t>90503030030010</t>
  </si>
  <si>
    <t>3.60.40.30.030.000.00.000</t>
  </si>
  <si>
    <t>90503030040010</t>
  </si>
  <si>
    <t>3.60.40.30.040.000.00.000</t>
  </si>
  <si>
    <t>RIC</t>
  </si>
  <si>
    <t>B.II.2.b.4) Crediti v/Regione per copertura debiti al 31/12/2005</t>
  </si>
  <si>
    <t>B.II.2.b.5) Crediti v/Regione o Provincia Autonoma per ricostituzione risorse da investimenti es. precedenti</t>
  </si>
  <si>
    <t>B.II.4.c) Crediti v/Aziende sanitarie pubbliche Extraregione per Mobilità Attiva non in compensazione / Altre prestazioni</t>
  </si>
  <si>
    <t>D) CONTI D’ORDINE</t>
  </si>
  <si>
    <t>D.I) Canoni di leasing ancora da pagare</t>
  </si>
  <si>
    <t>D.II) Depositi cauzionali</t>
  </si>
  <si>
    <t>D.III) Beni in comodato</t>
  </si>
  <si>
    <t>SOC</t>
  </si>
  <si>
    <t>Nome dell'Azienda</t>
  </si>
  <si>
    <t>Codice</t>
  </si>
  <si>
    <t>SCHEMA DI STATO PATRIMONIALE</t>
  </si>
  <si>
    <t>A</t>
  </si>
  <si>
    <t>ATTIVO</t>
  </si>
  <si>
    <t>AA</t>
  </si>
  <si>
    <t>AA1</t>
  </si>
  <si>
    <t>A.I) IMMOBILIZZAZIONI IMMATERIALI</t>
  </si>
  <si>
    <t>A.I.1) Costi di impianto e di ampliamento</t>
  </si>
  <si>
    <t>A.I.2) Costi di ricerca e sviluppo</t>
  </si>
  <si>
    <t>A.I.3) Diritti di brevetto e diritti di utilizzazione delle opere dell'ingegno</t>
  </si>
  <si>
    <t>A.I.4) Immobilizzazioni immateriali in corso e acconti</t>
  </si>
  <si>
    <t xml:space="preserve">A.I.5) Altre immobilizzazioni immateriali. </t>
  </si>
  <si>
    <t>AA2</t>
  </si>
  <si>
    <t>A.II) IMMOBILIZZAZIONI MATERIALI</t>
  </si>
  <si>
    <t>AA21</t>
  </si>
  <si>
    <t xml:space="preserve">A.II.1) Terreni </t>
  </si>
  <si>
    <t>A.II.1.a) Disponibili</t>
  </si>
  <si>
    <t>A.II.1.b) Indisponibili</t>
  </si>
  <si>
    <t>AA22</t>
  </si>
  <si>
    <t>A.II.2) Fabbricati</t>
  </si>
  <si>
    <t xml:space="preserve">A.II.2.a) Fabbricati non strumentali (disponibili). </t>
  </si>
  <si>
    <t>A.II.2.b) Fabbricati strumentali (indisponibili)</t>
  </si>
  <si>
    <t>A.II.3) Impianti e macchinari</t>
  </si>
  <si>
    <t>A.II.4) Attrezzature sanitarie e scientifiche</t>
  </si>
  <si>
    <t>A.II.5) Mobili e arredi</t>
  </si>
  <si>
    <t>A.II.6) Automezzi</t>
  </si>
  <si>
    <t>A.II.7) Oggetti d'arte</t>
  </si>
  <si>
    <t>A.II.8) Altre immobilizzazioni materiali</t>
  </si>
  <si>
    <t>A.II.9) Immobilizzazioni materiali in corso e acconti</t>
  </si>
  <si>
    <t>Entro 12 mesi</t>
  </si>
  <si>
    <t>Oltre 12 mesi</t>
  </si>
  <si>
    <t>AA3</t>
  </si>
  <si>
    <t>A.III)  IMMOBILIZZAZIONI FINANZIARIE con separata indicazione, per ciascuna voce dei crediti, degli importi esigibili entro l'esercizio successivo</t>
  </si>
  <si>
    <t>AA31</t>
  </si>
  <si>
    <t>A.III.1) Crediti finanziari</t>
  </si>
  <si>
    <t>A.III.1.c) Crediti finanziari v/partecipate</t>
  </si>
  <si>
    <t xml:space="preserve">A.III.1.d) Crediti finanziari v/altri </t>
  </si>
  <si>
    <t>AA32</t>
  </si>
  <si>
    <t>A.III.2) Titoli</t>
  </si>
  <si>
    <t>A.III.2.b) Altri titoli</t>
  </si>
  <si>
    <t>AA_T</t>
  </si>
  <si>
    <t>TOTALE A)</t>
  </si>
  <si>
    <t>AB</t>
  </si>
  <si>
    <t>B) ATTIVO CIRCOLANTE</t>
  </si>
  <si>
    <t>AB1</t>
  </si>
  <si>
    <t>B.I)  RIMANENZE</t>
  </si>
  <si>
    <t>B.I.1) Rimanenze beni sanitari</t>
  </si>
  <si>
    <t>B.I.2) Rimanenze beni non sanitari</t>
  </si>
  <si>
    <t>B.I.3) Acconti per acquisti beni sanitari</t>
  </si>
  <si>
    <t>B.I.4) Acconti per acquisti beni non sanitari</t>
  </si>
  <si>
    <t>AB2</t>
  </si>
  <si>
    <t>B.II)  CREDITI  - Con separata indicazione, per ciascuna voce, degli importi esigibili  oltre l'esercizio successivo</t>
  </si>
  <si>
    <t>AB21</t>
  </si>
  <si>
    <t>B.II.1)  Crediti v/ Stato</t>
  </si>
  <si>
    <t>AB21a</t>
  </si>
  <si>
    <t>B.II.1.a)  Crediti v/ Stato - parte corrente</t>
  </si>
  <si>
    <t xml:space="preserve">    B.II.1.a.1) Crediti v/Stato per spesa corrente e acconti</t>
  </si>
  <si>
    <t xml:space="preserve">    B.II.1.a.2) Crediti v/Stato - altro</t>
  </si>
  <si>
    <t>B.II.1.b)  Crediti v/ Stato - investimenti</t>
  </si>
  <si>
    <t>AB21c</t>
  </si>
  <si>
    <t>B.II.1.c)  Crediti v/ Stato - per ricerca</t>
  </si>
  <si>
    <t xml:space="preserve">    B.II.1.c.1)  Crediti v/ministero della Salute per ricerca corrente</t>
  </si>
  <si>
    <t xml:space="preserve">    B.II.1.c.2)  Crediti v/ministero della Salute per ricerca finalizzata</t>
  </si>
  <si>
    <t xml:space="preserve">    B.II.1.c.3)  Crediti v/Stato per ricerca - altre Amministrazioni centrali</t>
  </si>
  <si>
    <t xml:space="preserve">    B.II.1.c.4)  Crediti v/Stato - Investimenti per ricerca</t>
  </si>
  <si>
    <t>B.II.1.d)  Crediti v/Prefetture</t>
  </si>
  <si>
    <t>AB22</t>
  </si>
  <si>
    <t>B.II.2)  Crediti v/ Regione</t>
  </si>
  <si>
    <t>AB22a</t>
  </si>
  <si>
    <t>B.II.2.a)  Crediti v/ regione  - parte corrente</t>
  </si>
  <si>
    <t>AB22a1</t>
  </si>
  <si>
    <t>B.II.2.a.1)  Crediti v/ regione  per spesa corrente</t>
  </si>
  <si>
    <t xml:space="preserve">B.II.2.a.1.a)  Crediti v/Regione o Provincia Autonoma per finanziamento sanitario ordinario corrente </t>
  </si>
  <si>
    <t>B.II.2.a.1.b)  Crediti v/Regione o Provincia Autonoma per finanziamento sanitario aggiuntivo corrente LEA</t>
  </si>
  <si>
    <t>B.II.2.a.1.c)  Crediti v/Regione o Provincia Autonoma per finanziamento sanitario aggiuntivo corrente extra LEA</t>
  </si>
  <si>
    <t>B.II.2.a.1.d)  Crediti v/Regione o Provincia Autonoma per spesa corrente - altro</t>
  </si>
  <si>
    <t>B.II.2.a.1.d)  Crediti v/Regione o Provincia Autonoma per spesa corrente - STP (ex D.lgs. 286/98)</t>
  </si>
  <si>
    <t>B.II.2.a.2)  Crediti v/ regione  per ricerca</t>
  </si>
  <si>
    <t>B.II.2.a.3)  Crediti v/Regione o Provincia Autonoma per mobilità attiva internazionale</t>
  </si>
  <si>
    <t>AB22b</t>
  </si>
  <si>
    <t>B.II.2.b)  Crediti v/ regione  - Patrimonio Netto</t>
  </si>
  <si>
    <t>B.II.2.b.1)  Crediti v/Regione o Provincia Autonoma per finanziamento per investimenti</t>
  </si>
  <si>
    <t>B.II.2.b.2)  Crediti v/Regione o Provincia Autonoma per incremento fondo di dotazione</t>
  </si>
  <si>
    <t>B.II.2.b.3)  Crediti v/Regione o Provincia Autonoma per ripiano perdite</t>
  </si>
  <si>
    <t>B.II.2.b.4)  Crediti v/Regione o Provincia Autonoma per ricostituzione risorse da investimenti esercizi precedenti</t>
  </si>
  <si>
    <t>B.II.2.b.5) Crediti v/Regione o Provincia Autonoma per contributi L. 210/92</t>
  </si>
  <si>
    <t>AB24</t>
  </si>
  <si>
    <t>B.II.4) Crediti v/ aziende sanitarie pubbliche e acconto quota FSR da distribuire</t>
  </si>
  <si>
    <t>AB24a</t>
  </si>
  <si>
    <t>B.II.4.a) Crediti v/ aziende sanitarie pubbliche della regione</t>
  </si>
  <si>
    <t>B.II.4.a1) Crediti v/ ATS per operazioni di conferimento/scorporo LR23/2015</t>
  </si>
  <si>
    <t>B.II.4.a2) Crediti v/ ASST per operazioni di conferimento/scorporo LR23/2015</t>
  </si>
  <si>
    <t>B.II.4.a3) Crediti v/ aziende sanitarie pubbliche della regione</t>
  </si>
  <si>
    <t>B.II.4.a4) Crediti v/Aziende sanitarie pubbliche della Regione per anticipazione ripiano disavanzo programmato dai Piani aziendali di cui all'art. 1, comma 528, L. 208/2015</t>
  </si>
  <si>
    <t>B.II.4.b) Crediti v/aziende san. pubbliche fuori regione</t>
  </si>
  <si>
    <t>B.II.5) Crediti v/società partecipate e/o enti dipendenti della Regione</t>
  </si>
  <si>
    <t>B.II.6) Crediti v/Erario</t>
  </si>
  <si>
    <t>B.II.7) Crediti v/ altri</t>
  </si>
  <si>
    <t>AB3</t>
  </si>
  <si>
    <t>B.III )  ATTIVITA' FINANZIARIE CHE NON COSTITUISCONO IMMOBILIZZAZIONI</t>
  </si>
  <si>
    <t>B.III.1)  Partecipazioni che non costituiscono immobilizzazioni</t>
  </si>
  <si>
    <t>B.III.2)  Titoli che non costituiscono immobilizzazioni</t>
  </si>
  <si>
    <t>AB4</t>
  </si>
  <si>
    <t>B.IV)  DISPONIBILITA' LIQUIDE</t>
  </si>
  <si>
    <t>B.IV.1)  Cassa</t>
  </si>
  <si>
    <t>B.IV.2)  Istituto tesoriere</t>
  </si>
  <si>
    <t>B.IV.3)  Tesoreria unica</t>
  </si>
  <si>
    <t>B.IV.4)  Conto corrente postale</t>
  </si>
  <si>
    <t>AB_T</t>
  </si>
  <si>
    <t>TOTALE B)</t>
  </si>
  <si>
    <t>AC</t>
  </si>
  <si>
    <t>C)  RATEI E RISCONTI ATTIVI</t>
  </si>
  <si>
    <t>C.I) Ratei attivi</t>
  </si>
  <si>
    <t>C.II) Risconti attivi</t>
  </si>
  <si>
    <t>AC_T</t>
  </si>
  <si>
    <t>TOTALE C)</t>
  </si>
  <si>
    <t>AC_TT</t>
  </si>
  <si>
    <t>TOTALE ATTIVO (A+B+C)</t>
  </si>
  <si>
    <t>AD</t>
  </si>
  <si>
    <t>D) CONTI D'ORDINE</t>
  </si>
  <si>
    <t>AD_T</t>
  </si>
  <si>
    <t>TOTALE D)</t>
  </si>
  <si>
    <t>P</t>
  </si>
  <si>
    <t>PASSIVO</t>
  </si>
  <si>
    <t>PA</t>
  </si>
  <si>
    <t>A.I) Fondo di dotazione</t>
  </si>
  <si>
    <t>PA2</t>
  </si>
  <si>
    <t xml:space="preserve">A.II) Finanziamenti per investimenti </t>
  </si>
  <si>
    <t xml:space="preserve">   A.II.1) Finanziamenti per beni di prima dotazione</t>
  </si>
  <si>
    <t>PA22</t>
  </si>
  <si>
    <t xml:space="preserve">   A.II.2) Finanziamenti da Stato per investimenti </t>
  </si>
  <si>
    <t xml:space="preserve">       A.II.1.a) di cui Finanziamenti da Stato ex art. 20 L. 67/88</t>
  </si>
  <si>
    <t xml:space="preserve">       A.II.1.b) di cui Finanziamenti da Stato per ricerca</t>
  </si>
  <si>
    <t xml:space="preserve">       A.II.1.c) di cui Finanziamenti da Stato - Altri -</t>
  </si>
  <si>
    <t xml:space="preserve">   A.II.3) Finanziamenti da Regione per investimenti </t>
  </si>
  <si>
    <t xml:space="preserve">   A.II.4) Finanziamenti da altri soggetti pubblici per investimenti</t>
  </si>
  <si>
    <t xml:space="preserve">   A.II.5) Finanziamenti per investimenti da rettifica contributi in conto esercizio</t>
  </si>
  <si>
    <t>A.III) Donazioni e lasciti vincolati a investimenti</t>
  </si>
  <si>
    <t>A.IV) Altre riserve</t>
  </si>
  <si>
    <t>A.V) Contributi per ripiano perdite</t>
  </si>
  <si>
    <t>A.VI) Utili (perdite) portate a nuovo</t>
  </si>
  <si>
    <t>A.VII) Utile (perdita) dell'esercizio</t>
  </si>
  <si>
    <t>PA_T</t>
  </si>
  <si>
    <t>PB</t>
  </si>
  <si>
    <t>B)  FONDI PER RISCHI E ONERI</t>
  </si>
  <si>
    <t xml:space="preserve">B.I)  Fondi per imposte, anche differite </t>
  </si>
  <si>
    <t>B.II) Fondi per rischi</t>
  </si>
  <si>
    <t>B.IV) Quota inutilizzata contributi di parte corrente vincolati</t>
  </si>
  <si>
    <t>B.V) Altri fondi</t>
  </si>
  <si>
    <t>PB_T</t>
  </si>
  <si>
    <t>PC</t>
  </si>
  <si>
    <t>C)  TRATTAMENTO FINE RAPPORTO</t>
  </si>
  <si>
    <t>C.I)  Premi operosità</t>
  </si>
  <si>
    <t>C.II)  TFR personale dipendente</t>
  </si>
  <si>
    <t>PC_T</t>
  </si>
  <si>
    <t>PD</t>
  </si>
  <si>
    <t>D) DEBITI con separata indicazione, per ciascuna voce, degli importi esigibili oltre l'esercizio successivo</t>
  </si>
  <si>
    <t>D.I) Mutui passivi</t>
  </si>
  <si>
    <t>D.II) Debiti verso Stato</t>
  </si>
  <si>
    <t>D.III) Debiti verso Regione</t>
  </si>
  <si>
    <t>D.IV) Debiti verso Comuni</t>
  </si>
  <si>
    <t>PD5</t>
  </si>
  <si>
    <t>D.V) Debiti verso Aziende sanitarie pubbliche</t>
  </si>
  <si>
    <t>D.V.a) Debiti v/aziende sanitarie pubbliche della Regione per spesa corrente e mobilità</t>
  </si>
  <si>
    <t>D.V.b) Debiti v/aziende sanitarie pubbliche della Regione per finanziamento sanitario aggiuntivo corrente LEA</t>
  </si>
  <si>
    <t>D.V.c) Debiti v/aziende sanitarie pubbliche della Regione per finanziamento sanitario aggiuntivo corrente extra LEA</t>
  </si>
  <si>
    <t>PD5d</t>
  </si>
  <si>
    <t>D.V.d) Debiti v/aziende sanitarie pubbliche della Regione per altre prestazioni</t>
  </si>
  <si>
    <t>D.V.d1) Debiti v/ ATS per operazioni di conferimento/scorporo LR23/2015</t>
  </si>
  <si>
    <t>D.V.d2) Debiti v/ ASST per operazioni di conferimento/scorporo LR23/2015</t>
  </si>
  <si>
    <t>D.V.d3) Debiti v/aziende sanitarie pubbliche della Regione per altre prestazioni</t>
  </si>
  <si>
    <t>D.V.e) Debiti v/aziende sanitarie pubbliche della Regione per versamenti a patrimonio netto</t>
  </si>
  <si>
    <t>D.v.f) Debiti v/aziende sanitarie pubbliche fuori regione</t>
  </si>
  <si>
    <t>D.VI) Debiti v/società partecipate e/o enti dipendenti della Regione</t>
  </si>
  <si>
    <t>D.VII) Debiti verso fornitori</t>
  </si>
  <si>
    <t>D.VIII) Debiti verso istituto tesoriere</t>
  </si>
  <si>
    <t>D.IX) Debiti tributari</t>
  </si>
  <si>
    <t>D.X) Debiti altri finanziatori</t>
  </si>
  <si>
    <t>D.XI) Debiti verso istituti previdenziali, assistenziali e sicurezza sociale</t>
  </si>
  <si>
    <t>D.XII) Altri debiti</t>
  </si>
  <si>
    <t>PD_T</t>
  </si>
  <si>
    <t>PE</t>
  </si>
  <si>
    <t>E)  RATEI E RISCONTI PASSIVI</t>
  </si>
  <si>
    <t xml:space="preserve">E.I) Ratei passivi </t>
  </si>
  <si>
    <t>E.II) Risconti passivi</t>
  </si>
  <si>
    <t>PE_T</t>
  </si>
  <si>
    <t>TOTALE E)</t>
  </si>
  <si>
    <t>P_E_TT</t>
  </si>
  <si>
    <t>TOTALE PASSIVO (A+B+C+D+E)</t>
  </si>
  <si>
    <t>PF</t>
  </si>
  <si>
    <t>F) CONTI D'ORDINE</t>
  </si>
  <si>
    <t>PF_T</t>
  </si>
  <si>
    <t>TOTALE F)</t>
  </si>
  <si>
    <t>Quadratura</t>
  </si>
  <si>
    <t>F.to Il Direttore Generale ai sensi D.Lgs. 39/93  ------------------------------------------------------------</t>
  </si>
  <si>
    <t>F.to Il Responsabile Economico Finanziario ai sensi D.Lgs. 39/93 -----------------------------------</t>
  </si>
  <si>
    <t>Conto</t>
  </si>
  <si>
    <t>SKASL</t>
  </si>
  <si>
    <t>DET_SP_RF</t>
  </si>
  <si>
    <t>ATTIVITA' SOCIO-ASSISTENZIALE</t>
  </si>
  <si>
    <t>(Dati in €)</t>
  </si>
  <si>
    <t>100000000000000000</t>
  </si>
  <si>
    <t>€.</t>
  </si>
  <si>
    <t>110000000000000000</t>
  </si>
  <si>
    <t>110100000000000000</t>
  </si>
  <si>
    <t>Quadratura Giroconti imm. immat. in corso concluse</t>
  </si>
  <si>
    <t>110101000000000000</t>
  </si>
  <si>
    <t>110101001000000000</t>
  </si>
  <si>
    <t>COD_COGE_NI</t>
  </si>
  <si>
    <t>COD_COGE_NI_OLD</t>
  </si>
  <si>
    <t>Descrizione</t>
  </si>
  <si>
    <t>Adeguamento valori a migliaia di euro (+/-)</t>
  </si>
  <si>
    <t>Giroconti per riclassifica saldi di apertura su nuovi conti SP (+/-)</t>
  </si>
  <si>
    <t>Rivalutazione  es. preced.</t>
  </si>
  <si>
    <t>Svalutazioni es. preced.</t>
  </si>
  <si>
    <t>Ulteriori trasferimenti / aggiornamenti LR23/2015</t>
  </si>
  <si>
    <t>Giroconti (+/-)</t>
  </si>
  <si>
    <t>Rivalutazione monetaria dell'esercizio</t>
  </si>
  <si>
    <t>Rivalutazione economica dell'esercizio</t>
  </si>
  <si>
    <t>Svalutazione dell'esercizio</t>
  </si>
  <si>
    <t>Acquisizioni dell'esercizio e costruzioni in economia</t>
  </si>
  <si>
    <t>Manutenzioni incrementatiive</t>
  </si>
  <si>
    <t>Incrementi da immobil. In corso terminate</t>
  </si>
  <si>
    <t>Cessioni d'esercizio (valore contabile netto)</t>
  </si>
  <si>
    <t>110101001001000000</t>
  </si>
  <si>
    <t>A.I.1.a.1) Costi di impianto e di ampliamento (non sterilizzati)</t>
  </si>
  <si>
    <t>110101001001200000</t>
  </si>
  <si>
    <t>A.I.1.a.2) Costi di impianto e di ampliamento (sterilizzati)</t>
  </si>
  <si>
    <t>110101002000000000</t>
  </si>
  <si>
    <t>Cessioni d'esercizio (storno fondo beni dismessi)</t>
  </si>
  <si>
    <t>Ammortamenti dell'esercizio</t>
  </si>
  <si>
    <t>110101002001000000</t>
  </si>
  <si>
    <t>A.I.1.b.1) F.do amm. Costi di impianto e di ampliamento (non sterilizzati)</t>
  </si>
  <si>
    <t>110101002001200000</t>
  </si>
  <si>
    <t>A.I.1.b.2) F.do amm. Costi di impianto e di ampliamento (sterilizzati)</t>
  </si>
  <si>
    <t>110102000000000000</t>
  </si>
  <si>
    <t>110102001000000000</t>
  </si>
  <si>
    <t>110102001001000000</t>
  </si>
  <si>
    <t>A.I.2.a.1) Costi di ricerca e sviluppo (non sterilizzati)</t>
  </si>
  <si>
    <t>110102001001200000</t>
  </si>
  <si>
    <t>A.I.2.a.2) Costi di ricerca e sviluppo (sterilizzati)</t>
  </si>
  <si>
    <t>110102002000000000</t>
  </si>
  <si>
    <t>110102002001000000</t>
  </si>
  <si>
    <t>A.I.2.b.1) F.do amm. Costi di ricerca e sviluppo (non sterilizzati)</t>
  </si>
  <si>
    <t>110102002001200000</t>
  </si>
  <si>
    <t>A.I.2.b.2) F.do amm. Costi di ricerca e sviluppo (sterilizzati)</t>
  </si>
  <si>
    <t>110103000000000000</t>
  </si>
  <si>
    <t>110103001000000000</t>
  </si>
  <si>
    <t>110103001001000000</t>
  </si>
  <si>
    <t>A.I.3.a.1) Diritti di brevetto industriale - Attività di ricerca - (Non sterilizzati)</t>
  </si>
  <si>
    <t>110103001001200000</t>
  </si>
  <si>
    <t>A.I.3.a.2) Diritti di brevetto industriale - Attività di ricerca - (Sterilizzati)</t>
  </si>
  <si>
    <t>110103001002000000</t>
  </si>
  <si>
    <t>A.I.3.a.3) Diritti di utilizzazione delle opere dell'ingegno - Attività di ricerca - (Non sterilizzati)</t>
  </si>
  <si>
    <t>110103001002200000</t>
  </si>
  <si>
    <t>A.I.3.a.4) Diritti di utilizzazione delle opere dell'ingegno - Attività di ricerca - (Sterilizzati)</t>
  </si>
  <si>
    <t>110103002000000000</t>
  </si>
  <si>
    <t>110103002001000000</t>
  </si>
  <si>
    <t>A.I.3.b.1) F.do amm. Diritti di brevetto industriale -Ricerca -(Non sterilizzati)</t>
  </si>
  <si>
    <t>110103002001200000</t>
  </si>
  <si>
    <t>A.I.3.b.2) F.do amm. Diritti di brevetto industriale -Ricerca -(Sterilizzati)</t>
  </si>
  <si>
    <t>110103002002000000</t>
  </si>
  <si>
    <t>A.I.3.b.3) F.do amm. Diritti di utilizzazione delle opere dell'ingegno - Ricerca - (Non sterilizzati)</t>
  </si>
  <si>
    <t>110103002002200000</t>
  </si>
  <si>
    <t>A.I.3.b.4) F.do amm. Diritti di utilizzazione delle opere dell'ingegno - RIcerca - (Sterilizzati)</t>
  </si>
  <si>
    <t>110103003000000000</t>
  </si>
  <si>
    <t>110103003001000000</t>
  </si>
  <si>
    <t>A.I.3.c.1) Diritti di brevetto industriale - Altri - (Non sterilizzati)</t>
  </si>
  <si>
    <t>110103003001200000</t>
  </si>
  <si>
    <t>A.I.3.c.2) Diritti di brevetto industriale - Altri - (Sterilizzati)</t>
  </si>
  <si>
    <t>110103003002000000</t>
  </si>
  <si>
    <t>A.I.3.c.3) Diritti di utilizzazione delle opere dell'ingegno - Altri - (Non sterilizzati)</t>
  </si>
  <si>
    <t>110103003002200000</t>
  </si>
  <si>
    <t>A.I.3.c.4) Diritti di utilizzazione delle opere dell'ingegno - Altri - (Sterilizzati)</t>
  </si>
  <si>
    <t>110103004000000000</t>
  </si>
  <si>
    <t>110103004001000000</t>
  </si>
  <si>
    <t>A.I.3.d.1) F.do amm. Diritti di brevetto industriale -Altri -(Non sterilizzati)</t>
  </si>
  <si>
    <t>110103004001200000</t>
  </si>
  <si>
    <t>A.I.3.d.2) F.do amm. Diritti di brevetto industriale -Altri -(Sterilizzati)</t>
  </si>
  <si>
    <t>110103004002000000</t>
  </si>
  <si>
    <t>A.I.3.d.3) F.do amm. Diritti di utilizzazione delle opere dell'ingegno - Altri - (Non sterilizzati)</t>
  </si>
  <si>
    <t>110103004002200000</t>
  </si>
  <si>
    <t>A.I.3.d.4) F.do amm. Diritti di utilizzazione delle opere dell'ingegno - Altri - (Sterilizzati)</t>
  </si>
  <si>
    <t>110104000000000000</t>
  </si>
  <si>
    <t>Rivalutazione monetaria es. preced.</t>
  </si>
  <si>
    <t xml:space="preserve">Capitalizzazioni dell'esercizio </t>
  </si>
  <si>
    <t>Interessi capitalizzati dell'esercizio</t>
  </si>
  <si>
    <t>Valore definitivo (*) cespite completato</t>
  </si>
  <si>
    <t>110104001000000000</t>
  </si>
  <si>
    <t>A.I.4.a) Immobiliz. Immateriali in corso di esecuzione</t>
  </si>
  <si>
    <t>110104002000000000</t>
  </si>
  <si>
    <t>A.I.4.b) Acconti su future immobilizz. Immateriali</t>
  </si>
  <si>
    <t>(*) Il valore definitivo del cespite immateriale completato è pari al totale delle capitalizzazioni effettuate ed ha contropartita (in Dare) nella rispettiva voce di bilancio in cui va indicato il cespite finito.</t>
  </si>
  <si>
    <t>110105000000000000</t>
  </si>
  <si>
    <t>110105001000000000</t>
  </si>
  <si>
    <t>110105001001000000</t>
  </si>
  <si>
    <t>A.I.5.a.1) Concessioni (Non sterilizzate)</t>
  </si>
  <si>
    <t>110105001001200000</t>
  </si>
  <si>
    <t>A.I.5.a.2) Concessioni (Sterilizzate)</t>
  </si>
  <si>
    <t>110105001002000000</t>
  </si>
  <si>
    <t>A.I.5.a.3) Licenze d'uso (Non sterilizzate)</t>
  </si>
  <si>
    <t>110105001002200000</t>
  </si>
  <si>
    <t>A.I.5.a.4) Licenze d'uso (Sterilizzate)</t>
  </si>
  <si>
    <t>110105001003000000</t>
  </si>
  <si>
    <t>A.I.5.a.5) Marchi (Non sterilizzati)</t>
  </si>
  <si>
    <t>110105001003200000</t>
  </si>
  <si>
    <t>A.I.5.a.6) Marchi (Sterilizzati)</t>
  </si>
  <si>
    <t>110105001003500000</t>
  </si>
  <si>
    <t>A.I.5.a.7) Altri diritti simili (Non sterilizzati)</t>
  </si>
  <si>
    <t>110105001003700000</t>
  </si>
  <si>
    <t>A.I.5.a.8) Altri diritti simili (Sterilizzati)</t>
  </si>
  <si>
    <t>110105002000000000</t>
  </si>
  <si>
    <t>110105002001000000</t>
  </si>
  <si>
    <t>A.I.5.b.1) F.do amm. Concessioni (Non sterilizzate)</t>
  </si>
  <si>
    <t>110105002001200000</t>
  </si>
  <si>
    <t>A.I.5.b.2) F.do amm. Concessioni (Sterilizzate)</t>
  </si>
  <si>
    <t>110105002002000000</t>
  </si>
  <si>
    <t>A.I.5.b.3) F.do amm. Licenze d'uso (Non sterilizzate)</t>
  </si>
  <si>
    <t>110105002002200000</t>
  </si>
  <si>
    <t>A.I.5.b.4) F.do amm. Licenze d'uso (Sterilizzate)</t>
  </si>
  <si>
    <t>110105002003000000</t>
  </si>
  <si>
    <t>A.I.5.b.5) F.do amm. Altri diritti simili (Non sterilizzati)</t>
  </si>
  <si>
    <t>110105002003200000</t>
  </si>
  <si>
    <t>A.I.5.b.6) F.do amm. Altri diritti simili (Sterilizzati)</t>
  </si>
  <si>
    <t>110105003000000000</t>
  </si>
  <si>
    <t>110105003001000000</t>
  </si>
  <si>
    <t>A.I.5.c.1) Migliorie su beni di terzi (non sterilizzati)</t>
  </si>
  <si>
    <t>110105003001200000</t>
  </si>
  <si>
    <t>A.I.5.c.2) Migliorie su beni di terzi (sterilizzati)</t>
  </si>
  <si>
    <t>110105004000000000</t>
  </si>
  <si>
    <t>110105004001000000</t>
  </si>
  <si>
    <t>A.I.5.d.1) F.do amm. Migliorie su beni di terzi (non sterilizzati)</t>
  </si>
  <si>
    <t>110105004001200000</t>
  </si>
  <si>
    <t>A.I.5.d.2) F.do amm. Migliorie su beni di terzi (sterilizzati)</t>
  </si>
  <si>
    <t>110105005000000000</t>
  </si>
  <si>
    <t>110105005001000000</t>
  </si>
  <si>
    <t>A.I.5.e.1) Pubblicità da ammortizzare (non sterilizzata)</t>
  </si>
  <si>
    <t>110105005001200000</t>
  </si>
  <si>
    <t>A.I.5.e.2) Pubblicità da ammortizzare (sterilizzata)</t>
  </si>
  <si>
    <t>110105006000000000</t>
  </si>
  <si>
    <t>110105006001000000</t>
  </si>
  <si>
    <t>A.I.5.f.1) F.do amm. Pubblicità (non sterilizzata)</t>
  </si>
  <si>
    <t>110105006001200000</t>
  </si>
  <si>
    <t>A.I.5.f.2) F.do amm. Pubblicità (sterilizzata)</t>
  </si>
  <si>
    <t>110105007000000000</t>
  </si>
  <si>
    <t>110105007001000000</t>
  </si>
  <si>
    <t>A.I.5.g.1) Altri costi pluriennali da ammortizzare (non sterilizzati)</t>
  </si>
  <si>
    <t>110105007001200000</t>
  </si>
  <si>
    <t>A.I.5.g.2) Altri costi pluriennali da ammortizzare (sterilizzati)</t>
  </si>
  <si>
    <t>110105007002000000</t>
  </si>
  <si>
    <t>A.I.5.g.3) Altre immobilizzazioni immateriali (non sterilizzate)</t>
  </si>
  <si>
    <t>110105007002200000</t>
  </si>
  <si>
    <t>A.I.5.g.4) Altre immobilizzazioni immateriali (sterilizzate)</t>
  </si>
  <si>
    <t>110105008000000000</t>
  </si>
  <si>
    <t>110105008001000000</t>
  </si>
  <si>
    <t>A.I.5.h.1) F.do amm.to Altri costi pluriennali da ammortizzare (non sterilizzati)</t>
  </si>
  <si>
    <t>110105008001200000</t>
  </si>
  <si>
    <t>A.I.5.h.2) F.do amm.to Altri costi pluriennali da ammortizzare (sterilizzati)</t>
  </si>
  <si>
    <t>110105008002000000</t>
  </si>
  <si>
    <t>A.I.5.h.3) F.do amm.to Altre immobilizzazioni immateriali (non sterilizzate)</t>
  </si>
  <si>
    <t>110105008002200000</t>
  </si>
  <si>
    <t>A.I.5.h.4) F.do amm.to Altre immobilizzazioni immateriali (sterilizzate)</t>
  </si>
  <si>
    <t>110106000000000000</t>
  </si>
  <si>
    <t>110106001000000000</t>
  </si>
  <si>
    <t>Utilizzo Fondo (storno fondo svalutazioni)</t>
  </si>
  <si>
    <t>Svalutazioni dell'esercizio</t>
  </si>
  <si>
    <t>110106001001000000</t>
  </si>
  <si>
    <t>A.I.6.a.1) F.do Svalutazione Costi impianto e ampliamento (Non sterilizzati)</t>
  </si>
  <si>
    <t>110106001001200000</t>
  </si>
  <si>
    <t>A.I.6.a.2) F.do Svalutazione Costi impianto e ampliamento (sterilizzati)</t>
  </si>
  <si>
    <t>110106002000000000</t>
  </si>
  <si>
    <t>110106002001000000</t>
  </si>
  <si>
    <t>A.I.6.b.1) F.do Svalutazione Costi ricerca e sviluppo (Non sterilizzati)</t>
  </si>
  <si>
    <t>110106002001200000</t>
  </si>
  <si>
    <t>A.I.6.b.2) F.do Svalutazione Costi ricerca e sviluppo (sterilizzati)</t>
  </si>
  <si>
    <t>110106003000000000</t>
  </si>
  <si>
    <t>110106003001000000</t>
  </si>
  <si>
    <t>A.I.6.c.1) F.do Svalutazione Diritti brevetto e util. Op. ingegno (Non sterilizzati)</t>
  </si>
  <si>
    <t>110106003001200000</t>
  </si>
  <si>
    <t>A.I.6.c.2) F.do Svalutazione Diritti brevetto e util. Op. ingegno (Sterilizzati)</t>
  </si>
  <si>
    <t>110106004000000000</t>
  </si>
  <si>
    <t>110106004001000000</t>
  </si>
  <si>
    <t>A.I.6.d.1) F.do Svalutazione Altre immobilizz. immateriali (Non sterilizzati)</t>
  </si>
  <si>
    <t>110106004001200000</t>
  </si>
  <si>
    <t>A.I.6.d.2) F.do Svalutazione Altre immobilizz. immateriali (Sterilizzati)</t>
  </si>
  <si>
    <t>110200000000000000</t>
  </si>
  <si>
    <t>Quadratura Giroconti imm. mat. in corso concluse</t>
  </si>
  <si>
    <t>110201000000000000</t>
  </si>
  <si>
    <t>110201001000000000</t>
  </si>
  <si>
    <t>110201001001000000</t>
  </si>
  <si>
    <t>A.II.1.a.1) Terreni disponibili (Non sterilizzati)</t>
  </si>
  <si>
    <t>110201001001200000</t>
  </si>
  <si>
    <t>A.II.1.a.2) Terreni disponibili (Sterilizzati)</t>
  </si>
  <si>
    <t>110201001002000000</t>
  </si>
  <si>
    <t>A.II.1.a.3) Terreni edificabili disponibili (Non sterilizzati)</t>
  </si>
  <si>
    <t>110201001002200000</t>
  </si>
  <si>
    <t>A.II.1.a.4) Terreni edificabili disponibili (Sterilizzati)</t>
  </si>
  <si>
    <t>110201001003000000</t>
  </si>
  <si>
    <t>A.II.1.a.5) Altri terreni disponibili (Non sterilizzati)</t>
  </si>
  <si>
    <t>110201001003200000</t>
  </si>
  <si>
    <t>A.II.1.a.6) Altri terreni disponibili (Sterilizzati)</t>
  </si>
  <si>
    <t>110201002000000000</t>
  </si>
  <si>
    <t>110201002001000000</t>
  </si>
  <si>
    <t>A.II.1.b.1) Terreni indisponibili (Non sterilizzati)</t>
  </si>
  <si>
    <t>110201002001200000</t>
  </si>
  <si>
    <t>A.II.1.b.2) Terreni indisponibili (Sterilizzati)</t>
  </si>
  <si>
    <t>110201002002000000</t>
  </si>
  <si>
    <t>A.II.1.b.3) Terreni edificabili indisponibili (Non sterilizzati)</t>
  </si>
  <si>
    <t>110201002002200000</t>
  </si>
  <si>
    <t>A.II.1.b.4) Terreni edificabili indisponibili (Sterilizzati)</t>
  </si>
  <si>
    <t>110201002003000000</t>
  </si>
  <si>
    <t>A.II.1.b.5) Altri terreni indisponibili (Non sterilizzati)</t>
  </si>
  <si>
    <t>110201002003200000</t>
  </si>
  <si>
    <t>A.II.1.b.6) Altri terreni indisponibili (Sterilizzati)</t>
  </si>
  <si>
    <t>110202000000000000</t>
  </si>
  <si>
    <t>110202001000000000</t>
  </si>
  <si>
    <t>110202001001000000</t>
  </si>
  <si>
    <t>110202001001010000</t>
  </si>
  <si>
    <t>A.II.2.a.1.1) Fabbricati disponibili (da reddito) - (Non sterilizzati)</t>
  </si>
  <si>
    <t>110202001001012000</t>
  </si>
  <si>
    <t>A.II.2.a.1.2) Fabbricati disponibili (da reddito) - (Sterilizzati)</t>
  </si>
  <si>
    <t>110202001001020000</t>
  </si>
  <si>
    <t>A.II.2.a.1.3) Costruzioni leggere (da reddito) - (Non sterilizzati)</t>
  </si>
  <si>
    <t>110202001001022000</t>
  </si>
  <si>
    <t>A.II.2.a.1.4) Costruzioni leggere (da reddito) - (Sterilizzati)</t>
  </si>
  <si>
    <t>110202001002000000</t>
  </si>
  <si>
    <t>110202001002010000</t>
  </si>
  <si>
    <t>A.II.2.a.2.1) F.do amm. Fabbricati disponibili (da reddito) - (Non sterilizzati)</t>
  </si>
  <si>
    <t>110202001002012000</t>
  </si>
  <si>
    <t>A.II.2.a.2.2) F.do amm. Fabbricati disponibili (da reddito) - (Sterilizzati)</t>
  </si>
  <si>
    <t>110202001002020000</t>
  </si>
  <si>
    <t>A.II.2.a.2.3) F.do amm. Costruzioni leggere (da reddito) - (Non sterilizzati)</t>
  </si>
  <si>
    <t>110202001002022000</t>
  </si>
  <si>
    <t>A.II.2.a.2.4) F.do amm. Costruzioni leggere (da reddito) - (Sterilizzati)</t>
  </si>
  <si>
    <t>110202002000000000</t>
  </si>
  <si>
    <t>110202002001000000</t>
  </si>
  <si>
    <t>110202002001010000</t>
  </si>
  <si>
    <t>A.II.2.b.1.1) Fabbricati indisponibili (attività istituzionale) - (Non sterilizzati)</t>
  </si>
  <si>
    <t>110202002001012000</t>
  </si>
  <si>
    <t>A.II.2.b.1.2) Fabbricati indisponibili (attività istituzionale) - (Sterilizzati)</t>
  </si>
  <si>
    <t>110202002001020000</t>
  </si>
  <si>
    <t>A.II.2.b.1.3) Costruzioni leggere (attività istituzionale) - (Non sterilizzati)</t>
  </si>
  <si>
    <t>110202002001022000</t>
  </si>
  <si>
    <t>A.II.2.b.1.4) Costruzioni leggere (attività istituzionale) - (Sterilizzati)</t>
  </si>
  <si>
    <t>110202002002000000</t>
  </si>
  <si>
    <t>110202002002010000</t>
  </si>
  <si>
    <t>A.II.2.b.2.1) F.do amm. Fabbricati indisponibili (attività istituzionale) - (Non sterilizzati)</t>
  </si>
  <si>
    <t>110202002002012000</t>
  </si>
  <si>
    <t>A.II.2.b.2.2) F.do amm. Fabbricati indisponibili (attività istituzionale) - (Sterilizzati)</t>
  </si>
  <si>
    <t>110202002002020000</t>
  </si>
  <si>
    <t>A.II.2.b.2.3) F.do amm. Costruzioni leggere (attività istituzionale) - (Non sterilizzati)</t>
  </si>
  <si>
    <t>110202002002022000</t>
  </si>
  <si>
    <t>A.II.2.b.2.4) F.do amm. Costruzioni leggere (attività istituzionale) - (Sterilizzati)</t>
  </si>
  <si>
    <t>110203000000000000</t>
  </si>
  <si>
    <t>110203001000000000</t>
  </si>
  <si>
    <t>110203001001000000</t>
  </si>
  <si>
    <t>A.II.3.a.1) Impianti sanitari (Non sterilizzati)</t>
  </si>
  <si>
    <t>110203001001200000</t>
  </si>
  <si>
    <t>A.II.3.a.2) Impianti sanitari (Sterilizzati)</t>
  </si>
  <si>
    <t>110203001002000000</t>
  </si>
  <si>
    <t>A.II.3.a.3) Impianti elettrici ed idraulici (Non sterilizzati)</t>
  </si>
  <si>
    <t>110203001002200000</t>
  </si>
  <si>
    <t>A.II.3.a.4) Impianti elettrici ed idraulici (Sterilizzati)</t>
  </si>
  <si>
    <t>110203001003000000</t>
  </si>
  <si>
    <t>A.II.3.a.5) Impianti telefonici (Non sterilizzati)</t>
  </si>
  <si>
    <t>110203001003200000</t>
  </si>
  <si>
    <t>A.II.3.a.6) Impianti telefonici (Sterilizzati)</t>
  </si>
  <si>
    <t>110203001004000000</t>
  </si>
  <si>
    <t>A.II.3.a.7) Impianti di allarme e sicurezza (Non sterilizzati)</t>
  </si>
  <si>
    <t>110203001004200000</t>
  </si>
  <si>
    <t>A.II.3.a.8) Impianti di allarme e sicurezza (Sterilizzati)</t>
  </si>
  <si>
    <t>110203001005000000</t>
  </si>
  <si>
    <t>A.II.3.a.9) Altri impianti e macchinari specifici (Non sterilizzati)</t>
  </si>
  <si>
    <t>110203001005200000</t>
  </si>
  <si>
    <t>A.II.3.a.10) Altri impianti e macchinari specifici (Sterilizzati)</t>
  </si>
  <si>
    <t>110203001006000000</t>
  </si>
  <si>
    <t>A.II.3.a.11) Altri impiantie macchinari generici (Non sterilizzati)</t>
  </si>
  <si>
    <t>110203001006200000</t>
  </si>
  <si>
    <t>A.II.3.a.12) Altri impiantie macchinari generici (Sterilizzati)</t>
  </si>
  <si>
    <t>110203001007000000</t>
  </si>
  <si>
    <t>A.II.3.a.13) Altri impianti (Non sterilizzati)</t>
  </si>
  <si>
    <t>110203001007200000</t>
  </si>
  <si>
    <t>A.II.3.a.14) Altri impianti (Sterilizzati)</t>
  </si>
  <si>
    <t>110203002000000000</t>
  </si>
  <si>
    <t>110203002001000000</t>
  </si>
  <si>
    <t>A.II.3.b.1) F.do amm. Impianti sanitari (Non sterilizzati)</t>
  </si>
  <si>
    <t>110203002001200000</t>
  </si>
  <si>
    <t>A.II.3.b.2) F.do amm. Impianti sanitari (Sterilizzati)</t>
  </si>
  <si>
    <t>110203002002000000</t>
  </si>
  <si>
    <t>A.II.3.b.3) F.do amm. Impianti elettrici ed idraulici (Non sterilizzati)</t>
  </si>
  <si>
    <t>110203002002200000</t>
  </si>
  <si>
    <t>A.II.3.b.4) F.do amm. Impianti elettrici ed idraulici (Sterilizzati)</t>
  </si>
  <si>
    <t>110203002003000000</t>
  </si>
  <si>
    <t>A.II.3.b.5) F.do amm. Impianti telefonici (Non sterilizzati)</t>
  </si>
  <si>
    <t>110203002003200000</t>
  </si>
  <si>
    <t>A.II.3.b.6) F.do amm. Impianti telefonici (Sterilizzati)</t>
  </si>
  <si>
    <t>110203002004000000</t>
  </si>
  <si>
    <t>A.II.3.b.7) F.do amm. Impianti di allarme e sicurezza (Non sterilizzati)</t>
  </si>
  <si>
    <t>110203002004200000</t>
  </si>
  <si>
    <t>A.II.3.b.8) F.do amm. Impianti di allarme e sicurezza (Sterilizzati)</t>
  </si>
  <si>
    <t>110203002005000000</t>
  </si>
  <si>
    <t>A.II.3.b.9) F.do amm. Altri impianti e macchinari specifici (Non sterilizzati)</t>
  </si>
  <si>
    <t>110203002005200000</t>
  </si>
  <si>
    <t>A.II.3.b.10) F.do amm. Altri impianti e macchinari specifici (Sterilizzati)</t>
  </si>
  <si>
    <t>110203002006000000</t>
  </si>
  <si>
    <t>A.II.3.b.11) F.do amm. Altri impiantie macchinari generici (Non sterilizzati)</t>
  </si>
  <si>
    <t>110203002006200000</t>
  </si>
  <si>
    <t>A.II.3.b.12) F.do amm. Altri impiantie macchinari generici (Sterilizzati)</t>
  </si>
  <si>
    <t>110203002007000000</t>
  </si>
  <si>
    <t>A.II.3.b.13) F.do amm. Altri impianti (Non sterilizzati)</t>
  </si>
  <si>
    <t>110203002007200000</t>
  </si>
  <si>
    <t>A.II.3.b.14) F.do amm. Altri impianti (Sterilizzati)</t>
  </si>
  <si>
    <t>110204000000000000</t>
  </si>
  <si>
    <t>110204001000000000</t>
  </si>
  <si>
    <t>110204001001000000</t>
  </si>
  <si>
    <t>A.II.4.a.1) Attrezzature sanitarie (Non sterilizzate)</t>
  </si>
  <si>
    <t>110204001001200000</t>
  </si>
  <si>
    <t>A.II.4.a.2) Attrezzature sanitarie (Sterilizzate)</t>
  </si>
  <si>
    <t>110204001002000000</t>
  </si>
  <si>
    <t>A.II.4.a.3) Beni per assistenza protesica (Non sterilizzate)</t>
  </si>
  <si>
    <t>110204001002200000</t>
  </si>
  <si>
    <t>A.II.4.a.4) Beni per assistenza protesica (Sterilizzate)</t>
  </si>
  <si>
    <t>110204001008000000</t>
  </si>
  <si>
    <t>A.II.4.a.5) Altre attrezzature sanitarie (Non sterilizzate)</t>
  </si>
  <si>
    <t>110204001008200000</t>
  </si>
  <si>
    <t>A.II.4.a.6) Altre attrezzature sanitarie (Sterilizzate)</t>
  </si>
  <si>
    <t>110204002000000000</t>
  </si>
  <si>
    <t>110204002001000000</t>
  </si>
  <si>
    <t>A.II.4.b.1) F.do amm. Attrezzature sanitarie (Non sterilizzate)</t>
  </si>
  <si>
    <t>110204002001200000</t>
  </si>
  <si>
    <t>A.II.4.b.2) F.do amm. Attrezzature sanitarie (Sterilizzate)</t>
  </si>
  <si>
    <t>110204002002000000</t>
  </si>
  <si>
    <t>A.II.4.b.3) F.do amm. Beni per assistenza protesica (Non sterilizzate)</t>
  </si>
  <si>
    <t>110204002002200000</t>
  </si>
  <si>
    <t>A.II.4.b.4) F.do amm. Beni per assistenza protesica (Sterilizzate)</t>
  </si>
  <si>
    <t>110204002008000000</t>
  </si>
  <si>
    <t>A.II.4.b.5) F.do amm. Altre attrezzature sanitarie (Non sterilizzate)</t>
  </si>
  <si>
    <t>110204002008200000</t>
  </si>
  <si>
    <t>A.II.4.b.6) F.do amm. Altre attrezzature sanitarie (Sterilizzate)</t>
  </si>
  <si>
    <t>110205000000000000</t>
  </si>
  <si>
    <t>110205001000000000</t>
  </si>
  <si>
    <t>110205001001000000</t>
  </si>
  <si>
    <t>A.II.5.a.1) Mobili , arredi e attrezzature ufficio (Non sterilizzati)</t>
  </si>
  <si>
    <t>110205001001200000</t>
  </si>
  <si>
    <t>A.II.5.a.2) Mobili , arredi e attrezzature ufficio (Sterilizzati)</t>
  </si>
  <si>
    <t>110205001002000000</t>
  </si>
  <si>
    <t>A.II.5.a.3) Scaffalature (Non sterilizzati)</t>
  </si>
  <si>
    <t>110205001002200000</t>
  </si>
  <si>
    <t>A.II.5.a.4) Scaffalature (Sterilizzati)</t>
  </si>
  <si>
    <t>110205001003000000</t>
  </si>
  <si>
    <t>A.II.5.a.5) Mobili ed arredi diversi (Non sterilizzati)</t>
  </si>
  <si>
    <t>110205001003200000</t>
  </si>
  <si>
    <t>A.II.5.a.6) Mobili ed arredi diversi (Sterilizzati)</t>
  </si>
  <si>
    <t>110205001005000000</t>
  </si>
  <si>
    <t>A.II.5.a.7) Altri mobili e arredi (Non sterilizzati)</t>
  </si>
  <si>
    <t>110205001005200000</t>
  </si>
  <si>
    <t>A.II.5.a.8) Altri mobili e arredi (Sterilizzati)</t>
  </si>
  <si>
    <t>110205002000000000</t>
  </si>
  <si>
    <t>110205002001000000</t>
  </si>
  <si>
    <t>A.II.5.b.1) F.do amm. Mobili , arredi e attrezzature ufficio (Non sterilizzati)</t>
  </si>
  <si>
    <t>110205002001200000</t>
  </si>
  <si>
    <t>A.II.5.b.2) F.do amm. Mobili , arredi e attrezzature ufficio (Sterilizzati)</t>
  </si>
  <si>
    <t>110205002002000000</t>
  </si>
  <si>
    <t>A.II.5.b.3) F.do amm. Scaffalature (Non sterilizzati)</t>
  </si>
  <si>
    <t>110205002002200000</t>
  </si>
  <si>
    <t>A.II.5.b.4) F.do amm. Scaffalature (Sterilizzati)</t>
  </si>
  <si>
    <t>110205002003000000</t>
  </si>
  <si>
    <t>A.II.5.b.5) F.do amm. Mobili ed arredi diversi (Non sterilizzati)</t>
  </si>
  <si>
    <t>110205002003200000</t>
  </si>
  <si>
    <t>A.II.5.b.6) F.do amm. Mobili ed arredi diversi (Sterilizzati)</t>
  </si>
  <si>
    <t>110205002005000000</t>
  </si>
  <si>
    <t>A.II.5.b.7) F.do amm. Altri mobili e arredi (Non sterilizzati)</t>
  </si>
  <si>
    <t>110205002005200000</t>
  </si>
  <si>
    <t>A.II.5.b.8) F.do amm. Altri mobili e arredi (Sterilizzati)</t>
  </si>
  <si>
    <t>110206000000000000</t>
  </si>
  <si>
    <t>110206001000000000</t>
  </si>
  <si>
    <t>110206001001000000</t>
  </si>
  <si>
    <t>A.II.6.a.1) Automezzi (Non sterilizzati)</t>
  </si>
  <si>
    <t>110206001001200000</t>
  </si>
  <si>
    <t>A.II.6.a.2) Automezzi (Sterilizzati)</t>
  </si>
  <si>
    <t>110206001002000000</t>
  </si>
  <si>
    <t>A.II.6.a.3) Ambulanze utilizzate per il 118 (Non sterilizzati)</t>
  </si>
  <si>
    <t>110206001002200000</t>
  </si>
  <si>
    <t>A.II.6.a.4) Ambulanze utilizzate per il 118 (Sterilizzati)</t>
  </si>
  <si>
    <t>110206001003000000</t>
  </si>
  <si>
    <t>A.II.6.a.5) Altre ambulanze (Non sterilizzati)</t>
  </si>
  <si>
    <t>110206001003200000</t>
  </si>
  <si>
    <t>A.II.6.a.6) Altre ambulanze (Sterilizzati)</t>
  </si>
  <si>
    <t>110206001004000000</t>
  </si>
  <si>
    <t>A.II.6.a.7) Altri mezzi di trasporto* (Non sterilizzati)</t>
  </si>
  <si>
    <t>110206001004200000</t>
  </si>
  <si>
    <t>A.II.6.a.8) Altri mezzi di trasporto* (Sterilizzati)</t>
  </si>
  <si>
    <t>110206001005000000</t>
  </si>
  <si>
    <t>A.II.6.a.9) Altri automezzi (Non sterilizzati)</t>
  </si>
  <si>
    <t>110206001005200000</t>
  </si>
  <si>
    <t>A.II.6.a.10) Altri automezzi (Sterilizzati)</t>
  </si>
  <si>
    <t>* Sono da comprendere in questa voce anche le autovetture di servizio ed i motoveicoli.</t>
  </si>
  <si>
    <t>110206002000000000</t>
  </si>
  <si>
    <t>110206002001000000</t>
  </si>
  <si>
    <t>A.II.6.b.1) F.do amm. Automezzi (Non sterilizzati)</t>
  </si>
  <si>
    <t>110206002001200000</t>
  </si>
  <si>
    <t>A.II.6.b.2) F.do amm. Automezzi (Sterilizzati)</t>
  </si>
  <si>
    <t>110206002002000000</t>
  </si>
  <si>
    <t>A.II.6.b.3) F.do amm. Ambulanze utilizzate per il 118 (Non sterilizzati)</t>
  </si>
  <si>
    <t>110206002002200000</t>
  </si>
  <si>
    <t>A.II.6.b.4) F.do amm. Ambulanze utilizzate per il 118 (Sterilizzati)</t>
  </si>
  <si>
    <t>110206002003000000</t>
  </si>
  <si>
    <t>A.II.6.b.5) F.do amm. Altre ambulanze (Non sterilizzati)</t>
  </si>
  <si>
    <t>110206002003200000</t>
  </si>
  <si>
    <t>A.II.6.b.5) F.do amm. Altre ambulanze (Sterilizzati)</t>
  </si>
  <si>
    <t>110206002004000000</t>
  </si>
  <si>
    <t>A.II.6.b.6) F.do amm. Altri mezzi di trasporto* (Non sterilizzati)</t>
  </si>
  <si>
    <t>110206002004200000</t>
  </si>
  <si>
    <t>A.II.6.b.7) F.do amm. Altri mezzi di trasporto* (Sterilizzati)</t>
  </si>
  <si>
    <t>110206002005000000</t>
  </si>
  <si>
    <t>A.II.6.b.8) F.do amm. Altri automezzi (Non sterilizzati)</t>
  </si>
  <si>
    <t>110206002005200000</t>
  </si>
  <si>
    <t>A.II.6.b.9) F.do amm. Altri automezzi (Sterilizzati)</t>
  </si>
  <si>
    <t>110207000000000000</t>
  </si>
  <si>
    <t>110207001000000000</t>
  </si>
  <si>
    <t>110207001001000000</t>
  </si>
  <si>
    <t>A.II.7.a.1) Oggetti d'arte</t>
  </si>
  <si>
    <t>110208000000000000</t>
  </si>
  <si>
    <t>110208001000000000</t>
  </si>
  <si>
    <t>110208001001000000</t>
  </si>
  <si>
    <t>A.II.8.a.1) Elaboratori e personal computer e altre attrezzature EDP (Non sterilizzate)</t>
  </si>
  <si>
    <t>110208001001200000</t>
  </si>
  <si>
    <t>A.II.8.a.2) Elaboratori e personal computer e altre attrezzature EDP (Sterilizzati)</t>
  </si>
  <si>
    <t>110208001002000000</t>
  </si>
  <si>
    <t>A.II.8.a.3) Macchine ufficio ordinarie (Non sterilizzati)</t>
  </si>
  <si>
    <t>110208001002200000</t>
  </si>
  <si>
    <t>A.II.8.a.4) Macchine ufficio ordinarie (Sterilizzati)</t>
  </si>
  <si>
    <t>110208001003000000</t>
  </si>
  <si>
    <t>A.II.8.a.5) Macchine ufficio elettriche ed elettroniche (Non sterilizzati)</t>
  </si>
  <si>
    <t>110208001003200000</t>
  </si>
  <si>
    <t>A.II.8.a.6) Macchine ufficio elettriche ed elettroniche (Sterilizzati)</t>
  </si>
  <si>
    <t>110208001004000000</t>
  </si>
  <si>
    <t>A.II.8.a.7) Altri beni materiali da ammortizzare gestione caratteristica (Non sterilizzati)</t>
  </si>
  <si>
    <t>110208001004200000</t>
  </si>
  <si>
    <t>A.II.8.a.8) Altri beni materiali da ammortizzare gestione caratteristica (Sterilizzati)</t>
  </si>
  <si>
    <t>110208001005000000</t>
  </si>
  <si>
    <t>A.II.8.a.9) Altri beni materiali da ammortizzare gestione non caratteristica (Non sterilizzati)</t>
  </si>
  <si>
    <t>110208001005200000</t>
  </si>
  <si>
    <t>A.II.8.a.10) Altri beni materiali da ammortizzare gestione non caratteristica (Sterilizzati)</t>
  </si>
  <si>
    <t>110208001006000000</t>
  </si>
  <si>
    <t>A.II.8.a.11) Altri beni (Non sterilizzati)</t>
  </si>
  <si>
    <t>110208001006200000</t>
  </si>
  <si>
    <t>A.II.8.a.12) Altri beni (Sterilizzati)</t>
  </si>
  <si>
    <t>Sono da comprendere in questa voce anche le attrezzature generiche.</t>
  </si>
  <si>
    <t>110208002000000000</t>
  </si>
  <si>
    <t>110208002001000000</t>
  </si>
  <si>
    <t>A.II.8.b.1) F.do amm. Elaboratori e personal computer e altre attrezzature EDP (Non sterilizzati)</t>
  </si>
  <si>
    <t>110208002001200000</t>
  </si>
  <si>
    <t>A.II.8.b.2) F.do amm. Elaboratori e personal computer e altre attrezzature EDP (Sterilizzati)</t>
  </si>
  <si>
    <t>110208002002000000</t>
  </si>
  <si>
    <t>A.II.8.b.3) F.do amm. Macchine ufficio ordinarie (Non sterilizzati)</t>
  </si>
  <si>
    <t>110208002002200000</t>
  </si>
  <si>
    <t>A.II.8.b.4) F.do amm. Macchine ufficio ordinarie (Sterilizzati)</t>
  </si>
  <si>
    <t>110208002003000000</t>
  </si>
  <si>
    <t>A.II.8.b.5) F.do amm. Macchine ufficio elettriche ed elettroniche (Non sterilizzati)</t>
  </si>
  <si>
    <t>110208002003200000</t>
  </si>
  <si>
    <t>A.II.8.b.6) F.do amm. Macchine ufficio elettriche ed elettroniche (Sterilizzati)</t>
  </si>
  <si>
    <t>110208002004000000</t>
  </si>
  <si>
    <t>A.II.8.b.7) F.do amm. Altri beni materiali da ammortizzare gestione caratteristica (Non sterilizzati)</t>
  </si>
  <si>
    <t>110208002004200000</t>
  </si>
  <si>
    <t>A.II.8.b.8) F.do amm. Altri beni materiali da ammortizzare gestione caratteristica (Sterilizzati)</t>
  </si>
  <si>
    <t>110208002005000000</t>
  </si>
  <si>
    <t>A.II.8.b.9) F.do amm. Altri beni materiali da ammortizzare gestione non caratteristica (Non sterilizzati)</t>
  </si>
  <si>
    <t>110208002005200000</t>
  </si>
  <si>
    <t>A.II.8.b.10) F.do amm. Altri beni materiali da ammortizzare gestione non caratteristica (Sterilizzati)</t>
  </si>
  <si>
    <t>110208002006000000</t>
  </si>
  <si>
    <t>A.II.8.b.11) F.do amm. Altri beni (Non sterilizzati)</t>
  </si>
  <si>
    <t>110208002006200000</t>
  </si>
  <si>
    <t>A.II.8.b.12) F.do amm. Altri beni (Sterilizzati)</t>
  </si>
  <si>
    <t>110209000000000000</t>
  </si>
  <si>
    <t>110209001000000000</t>
  </si>
  <si>
    <t>A.II.9.1)  Immobilizzazioni materiali in corso di esecuzione</t>
  </si>
  <si>
    <t>110209002000000000</t>
  </si>
  <si>
    <t>A.II.9.2) Fornitori conto anticipi per acquisto immobilizzazioni materiali</t>
  </si>
  <si>
    <t>110209003000000000</t>
  </si>
  <si>
    <t>A.II.9.3) Altre immobilizzazioni in corso</t>
  </si>
  <si>
    <t>(*) Il valore definitivo del cespite completato è pari al totale delle capitalizzazioni effettuate ed ha contropartita (in Dare) nella rispettiva voce di bilancio in cui va indicato il cespite finito.</t>
  </si>
  <si>
    <t>110209800000000000</t>
  </si>
  <si>
    <t>110209801000000000</t>
  </si>
  <si>
    <t>110209801001000000</t>
  </si>
  <si>
    <t>A.II.10.a.1) F.do Svalutazione Terreni Disponibili (Non sterilizzati)</t>
  </si>
  <si>
    <t>110209801001200000</t>
  </si>
  <si>
    <t>A.II.10.a.2) F.do Svalutazione Terreni Disponibili (sterilizzati)</t>
  </si>
  <si>
    <t>110209801002000000</t>
  </si>
  <si>
    <t>A.II.10.a.3) F.do Svalutazione Terreni Indisponibili (Non sterilizzati)</t>
  </si>
  <si>
    <t>110209801002200000</t>
  </si>
  <si>
    <t>A.II.10.a.4) F.do Svalutazione Terreni Indisponibili (sterilizzati)</t>
  </si>
  <si>
    <t>110209802000000000</t>
  </si>
  <si>
    <t>110209802001000000</t>
  </si>
  <si>
    <t>A.II.10.b.1) F.do Svalutazione Fabbricati Disponibili (Non sterilizzati)</t>
  </si>
  <si>
    <t>110209802001200000</t>
  </si>
  <si>
    <t>A.II.10.b.2) F.do Svalutazione Fabbricati Disponibili (Sterilizzati)</t>
  </si>
  <si>
    <t>110209802002000000</t>
  </si>
  <si>
    <t>A.II.10.b.3) F.do Svalutazione Fabbricati Indisponibili (Non sterilizzati)</t>
  </si>
  <si>
    <t>110209802002200000</t>
  </si>
  <si>
    <t>A.II.10.b.4) F.do Svalutazione Fabbricati Indisponibili (sterilizzati)</t>
  </si>
  <si>
    <t>110209803000000000</t>
  </si>
  <si>
    <t>110209803001000000</t>
  </si>
  <si>
    <t>A.II.10.c.1) F.do Svalutazione Impianti e macchinari (Non sterilizzati)</t>
  </si>
  <si>
    <t>110209803001200000</t>
  </si>
  <si>
    <t>A.II.10.c.2) F.do Svalutazione Impianti e macchinari (sterilizzati)</t>
  </si>
  <si>
    <t>110209804000000000</t>
  </si>
  <si>
    <t>110209804001000000</t>
  </si>
  <si>
    <t>A.II.10.d.1) F.do Svalutazione Attrezz. Sanitarie e scientifiche (Non sterilizzati)</t>
  </si>
  <si>
    <t>110209804001200000</t>
  </si>
  <si>
    <t>A.II.10.d.2) F.do Svalutazione Attrezz. Sanitarie e scientifiche (Sterilizzati)</t>
  </si>
  <si>
    <t>110209804002000000</t>
  </si>
  <si>
    <t>A.II.10.d.3) F.do Svalutazione Beni per assistenza protesica (Non sterilizzati)</t>
  </si>
  <si>
    <t>110209804002200000</t>
  </si>
  <si>
    <t>A.II.10.d.4) F.do Svalutazione Beni per assistenza protesica (Sterilizzati)</t>
  </si>
  <si>
    <t>110209805000000000</t>
  </si>
  <si>
    <t>110209805001000000</t>
  </si>
  <si>
    <t>A.II.10.e.1) F.do Svalutazione Mobili e arredi (Non sterilizzati)</t>
  </si>
  <si>
    <t>110209805001200000</t>
  </si>
  <si>
    <t>A.II.10.e.2) F.do Svalutazione Mobili e arredi (sterilizzati)</t>
  </si>
  <si>
    <t>110209806000000000</t>
  </si>
  <si>
    <t>110209806001000000</t>
  </si>
  <si>
    <t>A.II.10.f.1) F.do Svalutazione Automezzi (Non sterilizzati)</t>
  </si>
  <si>
    <t>110209806001200000</t>
  </si>
  <si>
    <t>A.II.10.f.2) F.do Svalutazione Automezzi (sterilizzati)</t>
  </si>
  <si>
    <t>110209807000000000</t>
  </si>
  <si>
    <t>110209807001000000</t>
  </si>
  <si>
    <t>A.II.10.g.1) F.do Svalutazione Oggetti d'arte</t>
  </si>
  <si>
    <t>110209808000000000</t>
  </si>
  <si>
    <t>110209808001000000</t>
  </si>
  <si>
    <t>A.II.10.h.1) F.do Svalutazione Altre immobil. materiali (Non sterilizzati)</t>
  </si>
  <si>
    <t>110209808001200000</t>
  </si>
  <si>
    <t>A.II.10.h.2) F.do Svalutazione Altre immobil. materiali (sterilizzati)</t>
  </si>
  <si>
    <t>110300000000000000</t>
  </si>
  <si>
    <t>110301000000000000</t>
  </si>
  <si>
    <t>Incrementi dell'esercizio</t>
  </si>
  <si>
    <t>Decrementi dell'esercizio</t>
  </si>
  <si>
    <t>Giroconti crediti es. preced. (riclassific. e rettifiche)(+/-)</t>
  </si>
  <si>
    <t>Decrementi per valori sorti in es. precedenti</t>
  </si>
  <si>
    <t>Decrementi per valori sorti nell'esercizio</t>
  </si>
  <si>
    <t>Adeguamento valori fondo a migliaia di euro (+/-)</t>
  </si>
  <si>
    <t>Utilizzo del fondo</t>
  </si>
  <si>
    <t>Accantonamento al fondo</t>
  </si>
  <si>
    <t>Anno X-4 e precedenti</t>
  </si>
  <si>
    <t>Anno X-3</t>
  </si>
  <si>
    <t>Anno X-2</t>
  </si>
  <si>
    <t>Anno X-1</t>
  </si>
  <si>
    <t>Anno X</t>
  </si>
  <si>
    <t>Entro
12 mesi</t>
  </si>
  <si>
    <t>Tra 1 e 5 anni</t>
  </si>
  <si>
    <t>Oltre
5 anni</t>
  </si>
  <si>
    <t>110301001000000000</t>
  </si>
  <si>
    <t>110301002000000000</t>
  </si>
  <si>
    <t>110301003000000000</t>
  </si>
  <si>
    <t>110301004000000000</t>
  </si>
  <si>
    <t>110302000000000000</t>
  </si>
  <si>
    <t>110302001000000000</t>
  </si>
  <si>
    <t>Valore iniziale</t>
  </si>
  <si>
    <t>Rivalutazione dell'esercizio</t>
  </si>
  <si>
    <t>Acquisizioni dell'esercizio e conferimenti</t>
  </si>
  <si>
    <t>Valore contabile</t>
  </si>
  <si>
    <t>110302001001000000</t>
  </si>
  <si>
    <t>A.III.2.a.1) Partecipazioni in imprese controllate</t>
  </si>
  <si>
    <t>110302001001500000</t>
  </si>
  <si>
    <t>A.III.2.a.2) Partecipazioni in imprese collegate</t>
  </si>
  <si>
    <t>110302001002000000</t>
  </si>
  <si>
    <t>A.III.2.a.3) Partecipazioni in altre imprese</t>
  </si>
  <si>
    <t>Per Input vedi tabelle foglio Dettaglio_SP-San (Riga C134)</t>
  </si>
  <si>
    <t>110302002000000000</t>
  </si>
  <si>
    <t>110302002001000000</t>
  </si>
  <si>
    <t>110302002002000000</t>
  </si>
  <si>
    <t>110302002003000000</t>
  </si>
  <si>
    <t>110302002004000000</t>
  </si>
  <si>
    <t>120000000000000000</t>
  </si>
  <si>
    <t>120100000000000000</t>
  </si>
  <si>
    <t>120101000000000000</t>
  </si>
  <si>
    <t>Rimanenze iniziali (al netto Fdo Svalut. Magazzino)</t>
  </si>
  <si>
    <t>Giroconti e Riclassificazioni (+/-)</t>
  </si>
  <si>
    <t>Acquisti d'esercizio</t>
  </si>
  <si>
    <t>Utilizzi / Decrementi del F.do Svalutazione Magazzino</t>
  </si>
  <si>
    <t>Incrementi del F.do Svalutazione Magazzino</t>
  </si>
  <si>
    <t>Consumi d'esercizio</t>
  </si>
  <si>
    <t>Rimanenze finali (al netto F.do Svalut. Magazzino)</t>
  </si>
  <si>
    <t>di cui Rim. Fin. presso terzi per distribuzione per nome e per conto</t>
  </si>
  <si>
    <t>di cui Rim. Finali di reparto</t>
  </si>
  <si>
    <t>120101001001000000</t>
  </si>
  <si>
    <t>120101001001001000</t>
  </si>
  <si>
    <t>B.I.1.a) Farmaceutici: Specialità Medicinali (File F compreso HCV)</t>
  </si>
  <si>
    <t>120101001001001050</t>
  </si>
  <si>
    <t>B.I.1.b) Farmaceutici: Specialità Medicinali (File F escluso HCV)</t>
  </si>
  <si>
    <t>120101001001001070</t>
  </si>
  <si>
    <t>B.I.1.c) Farmaceutici: Specialità Medicinali (HCV)</t>
  </si>
  <si>
    <t>120101001001002000</t>
  </si>
  <si>
    <t>B.I.1.d) Farmaceutici: Specialità Medicinali (altro: farmaci ospedalieri)</t>
  </si>
  <si>
    <t>120101001002000000</t>
  </si>
  <si>
    <t>B.I.1.e) Farmaceutici: Specialità Medicinali (Doppio Canale ex Nota CUF 37)</t>
  </si>
  <si>
    <t>120101001003000000</t>
  </si>
  <si>
    <t>B.I.1.f) Farmaceutici: Specialità Medicinali (Primo Ciclo terapeutico D.G.R. 10246/02)</t>
  </si>
  <si>
    <t>120101001081000000</t>
  </si>
  <si>
    <t>B.I.1.g) Farmaceutici: Specialità Medicinali da Asl/Ao/Fondazioni della Regione</t>
  </si>
  <si>
    <t>120101001082000000</t>
  </si>
  <si>
    <t>B.I.1.h) Farmaceutici: Specialità Medicinali (Doppio Canale ex Nota CUF 37) da Asl/Ao/Fondazioni della Regione</t>
  </si>
  <si>
    <t>120101002001000000</t>
  </si>
  <si>
    <t>B.I.1.i) Farmaceutici: Ossigeno</t>
  </si>
  <si>
    <t>120101002002000000</t>
  </si>
  <si>
    <t>B.I.1.l) Farmaceutici: Ossigeno (Doppio Canale)</t>
  </si>
  <si>
    <t>120101002081000000</t>
  </si>
  <si>
    <t>B.I.1.m) Farmaceutici: Ossigeno da Asl/Ao/Fondazioni della Regione</t>
  </si>
  <si>
    <t>120101002082000000</t>
  </si>
  <si>
    <t>B.I.1.n) Farmaceutici: Ossigeno (Doppio Canale) da Asl/Ao/Fondazioni della Regione</t>
  </si>
  <si>
    <t>120101002501000000</t>
  </si>
  <si>
    <t>B.I.1.o) Farmaceutici: Specialità Medicinali SENZA AIC</t>
  </si>
  <si>
    <t>120101002502000000</t>
  </si>
  <si>
    <t>B.I.1.p) Farmaceutici: Galenici e altri medicinali SENZA AIC</t>
  </si>
  <si>
    <t>120101002503000000</t>
  </si>
  <si>
    <t>B.I.1.q) Farmaceutici: Ossigeno e gas medicali SENZA AIC</t>
  </si>
  <si>
    <t>120101003001000000</t>
  </si>
  <si>
    <t>B.I.1.r) Emoderivati</t>
  </si>
  <si>
    <t>120101003001200000</t>
  </si>
  <si>
    <t>B.I.1.s) Emoderivati da Privati [SOLAMENTE OVE GESTITI NELL'AMBITO DEL CONSORZIO INTERREGIONALE]</t>
  </si>
  <si>
    <t>120101003002000000</t>
  </si>
  <si>
    <t>B.I.1.t) Emoderivati (Doppio Canale ex Nota CUF 37)</t>
  </si>
  <si>
    <t>120101003081000000</t>
  </si>
  <si>
    <t>B.I.1.u) Emoderivati da Asl/Ao/Fondazioni della Regione  [ESCLUSI EMODERIVATI GESTITI VIA CONSORZIO INTERREGIONALE]</t>
  </si>
  <si>
    <t>120101003081200000</t>
  </si>
  <si>
    <t>B.I.1.v) Emoderivati da Asl/Ao/Fondazioni della Regione [SOLAMENTE OVE GESTITI NELL'AMBITO DEL CONSORZIO INTERREGIONALE]</t>
  </si>
  <si>
    <t>120101003081500000</t>
  </si>
  <si>
    <t>B.I.1.z) Emoderivati da Az. Pubbliche ExtraRegione [SOLAMENTE OVE GESTITI NELL'AMBITO DEL CONSORZIO INTERREGIONALE]</t>
  </si>
  <si>
    <t>120101003082000000</t>
  </si>
  <si>
    <t>B.I.1.aa) Emoderivati (Doppio Canale ex Nota CUF 37) da Asl/Ao/Fondazioni della Regione</t>
  </si>
  <si>
    <t>120101003090000000</t>
  </si>
  <si>
    <t>B.I.1.ab) Emoderivati di produzione regionale</t>
  </si>
  <si>
    <t>120101004001000000</t>
  </si>
  <si>
    <t>B.I.1.ac) Prodotti dietetici</t>
  </si>
  <si>
    <t>120101005001000000</t>
  </si>
  <si>
    <t>B.I.1.ad) Dispositivi medico diagnostici in vitro: Materiali diagnostici  - Cnd: W</t>
  </si>
  <si>
    <t>120101005002000000</t>
  </si>
  <si>
    <t>B.I.1.ae) Dispositivi medici: Materiali diagnostici (materiale per apparecchiature sanitare e relativi componenti.) Cnd: Z</t>
  </si>
  <si>
    <t>120101005003000000</t>
  </si>
  <si>
    <t>B.I.1.af) Prodotti chimici: Materiali diagnostici (senza Cnd)</t>
  </si>
  <si>
    <t>120101006001000000</t>
  </si>
  <si>
    <t>B.I.1.ag) Dispositivi medici: Presidi chirurgici e materiali sanitari - Cnd: A; B; D; G; H; K; L; M; N; Q; R; S; T; U; V; Y</t>
  </si>
  <si>
    <t>120101006002000000</t>
  </si>
  <si>
    <t>B.I.1.ah) Dispositivi per appar. Cardiocircolatorio Cnd: C</t>
  </si>
  <si>
    <t>120101006003000000</t>
  </si>
  <si>
    <t>B.I.1.ai) Dispositivi medici con repertorio e senza CND (tipo 2, kit)</t>
  </si>
  <si>
    <t>120101006004000000</t>
  </si>
  <si>
    <t>B.I.1.al) Dispositivi medici non registrati in Italia (senza repertorio e con CND assimilabile)</t>
  </si>
  <si>
    <t>120101007001000000</t>
  </si>
  <si>
    <t>B.I.1.am) Materiale chirurgico e prodotti per uso veterinario</t>
  </si>
  <si>
    <t>120101008001000000</t>
  </si>
  <si>
    <t>B.I.1.an) Materiali protesici (c.d. protesica "Maggiore") [compilazione ASL] - Cnd: Y</t>
  </si>
  <si>
    <t>120101008002000000</t>
  </si>
  <si>
    <t>B.I.1.ap) Materiali protesici (c.d. protesica "Minore") [compilazione ASL] - Cnd: T04</t>
  </si>
  <si>
    <t>120101008003000000</t>
  </si>
  <si>
    <t>B.I.1.aq) Dispositivi medici impiantabili attivi: Materiali protesici (endoprotesi)   [compilazione AO-Irccs] - Cnd: J</t>
  </si>
  <si>
    <t>120101008004000000</t>
  </si>
  <si>
    <t>B.I.1.ar) Dispositivi medici: Materiali protesici (endoprotesi non attive) [compilazione AO-Irccs] - Cnd: P</t>
  </si>
  <si>
    <t>120101009001000000</t>
  </si>
  <si>
    <t>B.I.1.as) Dispositivi medici: Materiali per emodialisi - Cnd: F</t>
  </si>
  <si>
    <t>120101010001000000</t>
  </si>
  <si>
    <t>B.I.1.at) Materiali per la profilassi igienico-sanitari: sieri</t>
  </si>
  <si>
    <t>120101010002000000</t>
  </si>
  <si>
    <t>B.I.1.au) Materiali per la profilassi igienico-sanitari: vaccini</t>
  </si>
  <si>
    <t>120101012001000000</t>
  </si>
  <si>
    <t>B.I.1.av) Prodotti farmaceutici per uso veterinario</t>
  </si>
  <si>
    <t>120101013001000000</t>
  </si>
  <si>
    <t>B.I.1.az) Sangue ed emocomponenti</t>
  </si>
  <si>
    <t>120101013080000000</t>
  </si>
  <si>
    <t>B.I.1.ba) Sangue ed emocomponenti acquistati Extraregione</t>
  </si>
  <si>
    <t>120101013081000000</t>
  </si>
  <si>
    <t>B.I.1.bb) Sangue ed emocomponenti da Asl/Ao/Fondazioni della Regione</t>
  </si>
  <si>
    <t>120101080001000000</t>
  </si>
  <si>
    <t>B.I.1.bc) Altri beni e prodotti sanitari (PRODOTTI SENZA REPERTORIO E/O CND)</t>
  </si>
  <si>
    <t>120101080081000000</t>
  </si>
  <si>
    <t>B.I.1.bd) Altri beni e prodotti sanitari (escluso Specialità medicinali, ossigeno, emoderivati e sangue) da Asl/Ao/Fondazioni della Regione</t>
  </si>
  <si>
    <t>120101090001000000</t>
  </si>
  <si>
    <t>120102000000000000</t>
  </si>
  <si>
    <t>120102002001000000</t>
  </si>
  <si>
    <t>B.I.2.a) Prodotti alimentari</t>
  </si>
  <si>
    <t>120102002002000000</t>
  </si>
  <si>
    <t>B.I.2.b) Materiale di guardaroba, di pulizia e di convivenza in genere</t>
  </si>
  <si>
    <t>120102002003000000</t>
  </si>
  <si>
    <t>B.I.2.c) Carburanti e lubrificanti</t>
  </si>
  <si>
    <t>120102002004000000</t>
  </si>
  <si>
    <t>B.I.2.d) Combustibili</t>
  </si>
  <si>
    <t>120102002005000000</t>
  </si>
  <si>
    <t>B.I.2.e) Cancelleria e stampati</t>
  </si>
  <si>
    <t>120102002006000000</t>
  </si>
  <si>
    <t>B.I.2.f) Supporti informatici e materiale per EDP</t>
  </si>
  <si>
    <t>120102002007000000</t>
  </si>
  <si>
    <t>B.I.2.g) Materiale per manutenzioni e riparazioni immobili</t>
  </si>
  <si>
    <t>120102002008000000</t>
  </si>
  <si>
    <t>B.I.2.f) Materiale per manutenzioni e riparazioni mobili e macchine</t>
  </si>
  <si>
    <t>120102002009000000</t>
  </si>
  <si>
    <t>B.I.2.g) Materiale per manutenzioni e riparazioni attrezzature tecnico scientifico sanitarie</t>
  </si>
  <si>
    <t>120102002010000000</t>
  </si>
  <si>
    <t>B.I.2.h) Materiale per manutenzioni e riparazioni attrezzature tecnico economali</t>
  </si>
  <si>
    <t>120102002011000000</t>
  </si>
  <si>
    <t>B.I.2.i) Materiale per manutenzioni e riparazioni automezzi (sanitari e non)</t>
  </si>
  <si>
    <t>120102002012000000</t>
  </si>
  <si>
    <t>B.I.2.l) Materiale per manutenzioni e riparazioni - Altro</t>
  </si>
  <si>
    <t>120102002013000000</t>
  </si>
  <si>
    <t xml:space="preserve">B.I.2.m) Altri beni non sanitari </t>
  </si>
  <si>
    <t>120102002014000000</t>
  </si>
  <si>
    <t>B.I.2.n) Altri beni non sanitari da Asl/AO della Regione</t>
  </si>
  <si>
    <t>120102001001000000</t>
  </si>
  <si>
    <t>B.I.2.o) Acconti su forniture materiale non sanitario</t>
  </si>
  <si>
    <t>120200000000000000</t>
  </si>
  <si>
    <t>120201000000000000</t>
  </si>
  <si>
    <t xml:space="preserve">Descrizione </t>
  </si>
  <si>
    <t>Di cui Fatture da emettere</t>
  </si>
  <si>
    <t>120201001000000000</t>
  </si>
  <si>
    <t>120201001500000000</t>
  </si>
  <si>
    <t>120201002000000000</t>
  </si>
  <si>
    <t>120201002001000000</t>
  </si>
  <si>
    <t>120201002002000000</t>
  </si>
  <si>
    <t>120201002500000000</t>
  </si>
  <si>
    <t>120201003000000000</t>
  </si>
  <si>
    <t>120201003500000000</t>
  </si>
  <si>
    <t>120201004000000000</t>
  </si>
  <si>
    <t>X</t>
  </si>
  <si>
    <t>120201004500000000</t>
  </si>
  <si>
    <t>B.II.1.i) Crediti v/Stato per finanziamenti per investimenti</t>
  </si>
  <si>
    <t>120201005000000000</t>
  </si>
  <si>
    <t>B.II.1.j) Crediti v/Stato per ricerca</t>
  </si>
  <si>
    <t>120201005001000000</t>
  </si>
  <si>
    <t>B.II.1.j.1) Crediti v/Stato per ricerca corrente - Ministero della Salute</t>
  </si>
  <si>
    <t>120201005002000000</t>
  </si>
  <si>
    <t>B.II.1.j.2) Crediti v/Stato per ricerca finalizzata - Ministero della Salute</t>
  </si>
  <si>
    <t>120201005003000000</t>
  </si>
  <si>
    <t xml:space="preserve">B.II.1.j.3) Crediti v/Stato per ricerca - altre Amministrazioni centrali </t>
  </si>
  <si>
    <t>120201005004000000</t>
  </si>
  <si>
    <t>B.II.1.j.4) Crediti v/Stato per ricerca - finanziamenti per investimenti</t>
  </si>
  <si>
    <t>120201009000000000</t>
  </si>
  <si>
    <t>B.II.1.k) Crediti v/prefetture</t>
  </si>
  <si>
    <t>120202000000000000</t>
  </si>
  <si>
    <t>120202001000000000</t>
  </si>
  <si>
    <t>120202001001000000</t>
  </si>
  <si>
    <t>)  Crediti v/Regione o Provincia Autonoma per spesa corrente - IRAP</t>
  </si>
  <si>
    <t>120202001002000000</t>
  </si>
  <si>
    <t>B.II.2.a.1)  Crediti v/Regione o Provincia Autonoma per spesa corrente</t>
  </si>
  <si>
    <t>120202001003000000</t>
  </si>
  <si>
    <t>B.II.2.a.2) Crediti v/Regione o Provincia Autonoma per quota FSR</t>
  </si>
  <si>
    <t>120202001003010000</t>
  </si>
  <si>
    <t>B.II.2.a.2.1) Crediti da Regione per Quota capitaria Sanitaria</t>
  </si>
  <si>
    <t>120202001003020000</t>
  </si>
  <si>
    <t>B.II.2.a.2.2)  Crediti da Regione per Quota capitaria A.S.S.I.</t>
  </si>
  <si>
    <t>120202001003030000</t>
  </si>
  <si>
    <t>B.II.2.a.2.3)  Crediti da Regione per Funzioni non tariffate</t>
  </si>
  <si>
    <t>120202001003040000</t>
  </si>
  <si>
    <t>B.II.2.a.2.4) Crediti da Regione per Obiettivi di PSSR</t>
  </si>
  <si>
    <t>120202001003050000</t>
  </si>
  <si>
    <t>B.II.2.a.2.5)  Crediti da Regione per Contributi vincolati da FSR</t>
  </si>
  <si>
    <t>120202001003060000</t>
  </si>
  <si>
    <t>B.II.2.a.2.6)  Crediti da Regione per Contributi vincolati extra FSR</t>
  </si>
  <si>
    <t>120202001004000000</t>
  </si>
  <si>
    <t>B.II.2.a.3) Crediti v/Regione o Provincia Autonoma per mobilità attiva intraregionale</t>
  </si>
  <si>
    <t>120202001005000000</t>
  </si>
  <si>
    <t>B.II.2.a.4) Crediti v/Regione o Provincia Autonoma per mobilità attiva extraregionale</t>
  </si>
  <si>
    <t>120202001005010000</t>
  </si>
  <si>
    <t>B.II.2.a.4.1)  Crediti v/Regione o Provincia Autonoma per mobilità attiva extraregionale A.Ospedaliere</t>
  </si>
  <si>
    <t>120202001005020000</t>
  </si>
  <si>
    <t>B.II.2.a.4.2)  Crediti v/Regione o Provincia Autonoma per mobilità attiva extraregionale Fondazioni (anche pubbliche)</t>
  </si>
  <si>
    <t>120202001005030000</t>
  </si>
  <si>
    <t>B.II.2.a.4.3)  Crediti v/Regione o Provincia Autonoma per mobilità attiva extraregionale a Privati</t>
  </si>
  <si>
    <t>120202001006000000</t>
  </si>
  <si>
    <t>B.II.2.a.5) Crediti v/Regione o Provincia Autonoma per acconto quota FSR</t>
  </si>
  <si>
    <t>120202001007000000</t>
  </si>
  <si>
    <t>B.II.2.a.6) Crediti v/Regione o Provincia Autonoma per finanziamento sanitario aggiuntivo corrente LEA</t>
  </si>
  <si>
    <t>120202001008000000</t>
  </si>
  <si>
    <t>B.II.2.a.7) Crediti v/Regione o Provincia Autonoma per finanziamento sanitario aggiuntivo corrente extra LEA</t>
  </si>
  <si>
    <t>120202001009000000</t>
  </si>
  <si>
    <t>B.II.2.a.8) Crediti v/Regione o Provincia Autonoma per spesa corrente - altro</t>
  </si>
  <si>
    <t>B.II.2.a.10) Crediti v/Regione o Provincia Autonoma per spesa corrente - STP (ex D.lgs. 286/98)</t>
  </si>
  <si>
    <t>120202001010000000</t>
  </si>
  <si>
    <t xml:space="preserve">     B.II.2.a.11) Crediti v/Regione o Provincia Autonoma per ricerca</t>
  </si>
  <si>
    <t>B.II.2.a.12) Crediti v/Regione o Provincia Autonoma per mobilità attiva internazionale</t>
  </si>
  <si>
    <t>120202002000000000</t>
  </si>
  <si>
    <t>120202002001000000</t>
  </si>
  <si>
    <t>120202002002000000</t>
  </si>
  <si>
    <t>B.II.2.b.2) Crediti v/Regione o Provincia Autonoma per incremento fondo 
dotazione</t>
  </si>
  <si>
    <t>120202002003000000</t>
  </si>
  <si>
    <t xml:space="preserve">     B.II.2.b.4) Crediti v/Regione o Provincia Autonoma per anticipazione ripiano disavanzo programmato dai Piani aziendali di cui all'art. 1, comma 528, L. 208/2015</t>
  </si>
  <si>
    <t>120202002004000000</t>
  </si>
  <si>
    <t>120202002005000000</t>
  </si>
  <si>
    <t>120203000000000000</t>
  </si>
  <si>
    <t>B.II.3) Crediti v/Comuni</t>
  </si>
  <si>
    <t>120204000000000000</t>
  </si>
  <si>
    <t>120204001000000000</t>
  </si>
  <si>
    <t>120204001001000000</t>
  </si>
  <si>
    <t>120204001001010000</t>
  </si>
  <si>
    <t>120204001001011000</t>
  </si>
  <si>
    <t>B.II.4.a.1.1) Crediti da Agenzie Tutela Salute della Regione per mobilità intraregionale in compensazione</t>
  </si>
  <si>
    <t>120204001002000000</t>
  </si>
  <si>
    <t>120204001002010000</t>
  </si>
  <si>
    <t>120204001002011000</t>
  </si>
  <si>
    <t>B.II.4.a.2.1) Crediti da Agenzie Tutela Salute della Regione per mobilità non in compensazione</t>
  </si>
  <si>
    <t>120204001003000000</t>
  </si>
  <si>
    <t>120204001003010000</t>
  </si>
  <si>
    <t>120204001003011000</t>
  </si>
  <si>
    <t>B.II.4.a.3.1) Crediti da Agenzie Tutela Salute della Regione</t>
  </si>
  <si>
    <t>120204001003020000</t>
  </si>
  <si>
    <t>120204001003021000</t>
  </si>
  <si>
    <t>B.II.4.a.3.2) Crediti da Aziende Socio-Sanitarie Territoriali della Regione</t>
  </si>
  <si>
    <t>120204001003030000</t>
  </si>
  <si>
    <t>B.II.4.a.3.3) Crediti da IRCCS e Fondazioni di diritto pubblico della Regione</t>
  </si>
  <si>
    <t>120204001004000000</t>
  </si>
  <si>
    <t>120204001005000000</t>
  </si>
  <si>
    <t>120204002000000000</t>
  </si>
  <si>
    <t>120204003000000000</t>
  </si>
  <si>
    <t>120205000000000000</t>
  </si>
  <si>
    <t>120205001000000000</t>
  </si>
  <si>
    <t>120205001001000000</t>
  </si>
  <si>
    <t>B.II.5.a.1) Crediti v/Arpa</t>
  </si>
  <si>
    <t>120205001002000000</t>
  </si>
  <si>
    <t>B.II.5.a.2) Crediti v/Altri enti regionali</t>
  </si>
  <si>
    <t>120205002000000000</t>
  </si>
  <si>
    <t>120205003000000000</t>
  </si>
  <si>
    <t>120206000000000000</t>
  </si>
  <si>
    <t>120207000000000000</t>
  </si>
  <si>
    <t>120207001000000000</t>
  </si>
  <si>
    <t>B.II.7.a.1) Crediti verso clienti privati altro</t>
  </si>
  <si>
    <t>20207010020000</t>
  </si>
  <si>
    <t>B.II.7.a.2) Crediti verso clienti privati per attività libero professionale</t>
  </si>
  <si>
    <t>120207002000000000</t>
  </si>
  <si>
    <t>B.II.7.b) Crediti v/gestioni liquidatorie</t>
  </si>
  <si>
    <t>120207003000000000</t>
  </si>
  <si>
    <t>120207004000000000</t>
  </si>
  <si>
    <t>120207005000000000</t>
  </si>
  <si>
    <t>120207005001000000</t>
  </si>
  <si>
    <t>120207005001010000</t>
  </si>
  <si>
    <t>B.II.7.e.1.1) Crediti v/clienti privati per anticipi mobilità attiva</t>
  </si>
  <si>
    <t>120207005001090000</t>
  </si>
  <si>
    <t>B.II.7.e.1.2) Altri Crediti diversi</t>
  </si>
  <si>
    <t>120207005002000000</t>
  </si>
  <si>
    <t>120207005002010000</t>
  </si>
  <si>
    <t>B.II.7.e.2.1) Crediti da Bilancio Sanitario</t>
  </si>
  <si>
    <t>120207005002020000</t>
  </si>
  <si>
    <t>120207005002030000</t>
  </si>
  <si>
    <t>B.II.7.e.2.2) Crediti da Bilancio Sociale</t>
  </si>
  <si>
    <t>120207005002040000</t>
  </si>
  <si>
    <t>B.II.7.e.2.3) Crediti da Bilancio Ricerca</t>
  </si>
  <si>
    <t>B.II.7.e.3) Note di credito da emettere (diversi)</t>
  </si>
  <si>
    <t>120300000000000000</t>
  </si>
  <si>
    <t>120301001000000000</t>
  </si>
  <si>
    <t>B.III.1) Partecipazioni in imprese controllate</t>
  </si>
  <si>
    <t>120301001500000000</t>
  </si>
  <si>
    <t>B.III.1)  Partecipazioni in imprese collegate</t>
  </si>
  <si>
    <t>120301002000000000</t>
  </si>
  <si>
    <t>B.III.3)  Partecipazioni in altre imprese</t>
  </si>
  <si>
    <t>120302000000000000</t>
  </si>
  <si>
    <t>B.III.4)  Altri titoli (diversi dalle partecipazioni)</t>
  </si>
  <si>
    <t>Per Input vedi tabelle foglio Dettaglio_SP-San (Riga C220)</t>
  </si>
  <si>
    <t>120400000000000000</t>
  </si>
  <si>
    <t>Valore finale</t>
  </si>
  <si>
    <t>120401000000000000</t>
  </si>
  <si>
    <t>B.IV.1) Cassa</t>
  </si>
  <si>
    <t>120402000000000000</t>
  </si>
  <si>
    <t>B.IV.2) Istituto tesoriere</t>
  </si>
  <si>
    <t>120402500000000000</t>
  </si>
  <si>
    <t>B.IV.3) Tesoreria Unica</t>
  </si>
  <si>
    <t>120403000000000000</t>
  </si>
  <si>
    <t>B.IV.4) Conto corrente postale</t>
  </si>
  <si>
    <t>Il totale rappresenta le disponibilità liquide e l’esistenza di numerario e di valori alla data di chiusura dell’esercizio.</t>
  </si>
  <si>
    <t>Per i c/c presso l'istituto tesoriere sono vietate le compensazioni, pertanto in questa voce sono stati indicati esclusivamente i c/c con saldo attivo al 31/12.</t>
  </si>
  <si>
    <t>130000000000000000</t>
  </si>
  <si>
    <t>130100000000000000</t>
  </si>
  <si>
    <t>130101000000000000</t>
  </si>
  <si>
    <t>130102000000000000</t>
  </si>
  <si>
    <t>130102001000000000</t>
  </si>
  <si>
    <t>C.I.2.1) Degenze in corso al 31/12</t>
  </si>
  <si>
    <t>130102002000000000</t>
  </si>
  <si>
    <t>130102003000000000</t>
  </si>
  <si>
    <t>C.I.2.2) Ratei attivi verso ats/asst/Fondazioni della Regione</t>
  </si>
  <si>
    <t>Per Input ratei attivi v/terzi vedi tabelle foglio Dettaglio_SP-San (Riga C426)</t>
  </si>
  <si>
    <t>130200000000000000</t>
  </si>
  <si>
    <t>130201000000000000</t>
  </si>
  <si>
    <t>130202000000000000</t>
  </si>
  <si>
    <t>Per Input risconti attivi v/terzi vedi tabelle foglio Dettaglio_SP-San (Riga C456)</t>
  </si>
  <si>
    <t>160000000000000000</t>
  </si>
  <si>
    <t>160100000000000000</t>
  </si>
  <si>
    <t>160200000000000000</t>
  </si>
  <si>
    <t>160300000000000000</t>
  </si>
  <si>
    <t>160400000000000000</t>
  </si>
  <si>
    <t>E.V) Altri conti d'ordine</t>
  </si>
  <si>
    <t>160401000000000000</t>
  </si>
  <si>
    <t>E VI) Garanzie prestate</t>
  </si>
  <si>
    <t>160401001000000000</t>
  </si>
  <si>
    <t>E.VI.1) Garanzie prestate: di cui fidejussioni</t>
  </si>
  <si>
    <t>160401002000000000</t>
  </si>
  <si>
    <t>E.VI.2) Garanzie prestate: di cui avalli</t>
  </si>
  <si>
    <t>160401003000000000</t>
  </si>
  <si>
    <t>E.VI.3) Garanzie prestate: di cui altre garanzie personali e reali</t>
  </si>
  <si>
    <t>160402000000000000</t>
  </si>
  <si>
    <t>E.VII) Garanzie ricevute</t>
  </si>
  <si>
    <t>160402001000000000</t>
  </si>
  <si>
    <t>E.VII.1) Garanzie ricevute: di cui fidejussioni</t>
  </si>
  <si>
    <t>160402002000000000</t>
  </si>
  <si>
    <t>E.VII.2) Garanzie ricevute: di cui avalli</t>
  </si>
  <si>
    <t>160402003000000000</t>
  </si>
  <si>
    <t>E.VII.3) Garanzie ricevute: di cui altre garanzie personali e reali</t>
  </si>
  <si>
    <t>160402500000000000</t>
  </si>
  <si>
    <t>E.VIII) Beni in contenzioso</t>
  </si>
  <si>
    <t>160403000000000000</t>
  </si>
  <si>
    <t>E.IX) Altri impegni assunti</t>
  </si>
  <si>
    <t>160403001000000000</t>
  </si>
  <si>
    <t>E.IX.1) di cui contratti in service</t>
  </si>
  <si>
    <t>160403002000000000</t>
  </si>
  <si>
    <t>E.IX.2) di cui conto visione</t>
  </si>
  <si>
    <t>160403003000000000</t>
  </si>
  <si>
    <t>E.IX.3) di cui impegni contrattuali pluriennali</t>
  </si>
  <si>
    <t>160403004000000000</t>
  </si>
  <si>
    <t>E.IX.4) di cui altro</t>
  </si>
  <si>
    <t>300000000000000000</t>
  </si>
  <si>
    <t>310000000000000000</t>
  </si>
  <si>
    <t>Riepilogo utilizzi dei 3 es. precedenti</t>
  </si>
  <si>
    <t>Consistenza iniziale</t>
  </si>
  <si>
    <t>Giroconti / Riclassificazioni (+/-)</t>
  </si>
  <si>
    <t>Assegnazioni nel corso dell'esercizio</t>
  </si>
  <si>
    <t>Utilizzi per sterilizzazioni nell'esercizio</t>
  </si>
  <si>
    <t>Altre variazioni (+/-)</t>
  </si>
  <si>
    <t>Totali dell'esercizio       (+/-)</t>
  </si>
  <si>
    <t>Consistenza finale</t>
  </si>
  <si>
    <t>Copertura perdite</t>
  </si>
  <si>
    <t>Sterilizzazioni</t>
  </si>
  <si>
    <t>Altri motivi</t>
  </si>
  <si>
    <t>310100000000000000</t>
  </si>
  <si>
    <t>310200000000000000</t>
  </si>
  <si>
    <t>310201000000000000</t>
  </si>
  <si>
    <t>310202000000000000</t>
  </si>
  <si>
    <t>310202001000000000</t>
  </si>
  <si>
    <t>310202002000000000</t>
  </si>
  <si>
    <t>310202003000000000</t>
  </si>
  <si>
    <t>310203000000000000</t>
  </si>
  <si>
    <t>310204000000000000</t>
  </si>
  <si>
    <t>310205000000000000</t>
  </si>
  <si>
    <t>310300000000000000</t>
  </si>
  <si>
    <t>310400000000000000</t>
  </si>
  <si>
    <t>310401000000000000</t>
  </si>
  <si>
    <t>310402000000000000</t>
  </si>
  <si>
    <t>310403000000000000</t>
  </si>
  <si>
    <t>310404000000000000</t>
  </si>
  <si>
    <t>310405000000000000</t>
  </si>
  <si>
    <t>310500000000000000</t>
  </si>
  <si>
    <t>310501000000000000</t>
  </si>
  <si>
    <t>310502000000000000</t>
  </si>
  <si>
    <t>310503000000000000</t>
  </si>
  <si>
    <t>310600000000000000</t>
  </si>
  <si>
    <t>310700000000000000</t>
  </si>
  <si>
    <t>Per Input Finanziamenti vedi tabelle foglio Dettaglio_SP-San (Riga C489) - per Input Plus. E Contrib. Da reinvestire vedi tabelle foglio Dettaglio_SP_San (Riga C679-689)</t>
  </si>
  <si>
    <t>320000000000000000</t>
  </si>
  <si>
    <t>320100000000000000</t>
  </si>
  <si>
    <t>Accantonamenti d'esercizio</t>
  </si>
  <si>
    <t>Riclassifiche d'esercizio (+/-)</t>
  </si>
  <si>
    <t>Utilizzi d'esercizio</t>
  </si>
  <si>
    <t>320101000000000000</t>
  </si>
  <si>
    <t>B.I.1) Fondi per imposte</t>
  </si>
  <si>
    <t>320102000000000000</t>
  </si>
  <si>
    <t>B.I.1) Altri fondi per imposte</t>
  </si>
  <si>
    <t>320200000000000000</t>
  </si>
  <si>
    <t>320201000000000000</t>
  </si>
  <si>
    <t>320202000000000000</t>
  </si>
  <si>
    <t>320203000000000000</t>
  </si>
  <si>
    <t>320204000000000000</t>
  </si>
  <si>
    <t>320205000000000000</t>
  </si>
  <si>
    <t>B.II.7) Altri fondi rischi</t>
  </si>
  <si>
    <t>320300000000000000</t>
  </si>
  <si>
    <t>Variazione</t>
  </si>
  <si>
    <t>320301000000000000</t>
  </si>
  <si>
    <t>DA NASCONDERE</t>
  </si>
  <si>
    <t>320302000000000000</t>
  </si>
  <si>
    <t>USO REGIONE</t>
  </si>
  <si>
    <t>320303000000000000</t>
  </si>
  <si>
    <t>320304000000000000</t>
  </si>
  <si>
    <t>320305000000000000</t>
  </si>
  <si>
    <t>320306000000000000</t>
  </si>
  <si>
    <t>320307000000000000</t>
  </si>
  <si>
    <t>320400000000000000</t>
  </si>
  <si>
    <t>320401000000000000</t>
  </si>
  <si>
    <t>320401001000000000</t>
  </si>
  <si>
    <t>B.IV.2.1) Quote inutilizzate contributi da Regione o Prov. Aut. per quota F.S. indistinto</t>
  </si>
  <si>
    <t>320401002000000000</t>
  </si>
  <si>
    <t>B.IV.2.2) Quote inutilizzate contributi da Regione o Prov. Aut. per quota F.S. vincolato</t>
  </si>
  <si>
    <t>320401003000000000</t>
  </si>
  <si>
    <t>B.IV.2.3) Quote inutilizzate contributi vincolati dell'esercizio da Asl/Ao/Fondazioni per quota FSR Indistinto</t>
  </si>
  <si>
    <t>320401004000000000</t>
  </si>
  <si>
    <t>B.IV.2.4) Quote inutilizzate contributi vincolati dell'esercizio da Asl/Ao/Fondazioni per quota FSR Vincolato</t>
  </si>
  <si>
    <t>320402000000000000</t>
  </si>
  <si>
    <t>B.IV.3) Quote inutilizzate contributi vincolati da soggetti pubblici (extra fondo)</t>
  </si>
  <si>
    <t>320403000000000000</t>
  </si>
  <si>
    <t>B.IV.4) Quote inutilizzate contributi per ricerca</t>
  </si>
  <si>
    <t>320403001000000000</t>
  </si>
  <si>
    <t>B.IV.4.1) Quote inutilizzate contributi vincolati dell'esercizio  per ricerca da Ministero</t>
  </si>
  <si>
    <t>320403002000000000</t>
  </si>
  <si>
    <t>B.IV.4.2) Quote inutilizzate contributi vincolati dell'esercizio  per ricerca da Regione</t>
  </si>
  <si>
    <t>320403003000000000</t>
  </si>
  <si>
    <t>B.IV.4.3) Quote inutilizzate contributi vincolati dell'esercizio  per ricerca da Asl/Ao/Fondazioni</t>
  </si>
  <si>
    <t>320403004000000000</t>
  </si>
  <si>
    <t>B.IV.4.4) Quote inutilizzate contributi vincolati dell'esercizio  per ricerca da altri Enti Pubblici</t>
  </si>
  <si>
    <t>320403005000000000</t>
  </si>
  <si>
    <t>B.IV.4.5) Quote inutilizzate contributi vincolati dell'esercizio  per ricerca da privati</t>
  </si>
  <si>
    <t>320404000000000000</t>
  </si>
  <si>
    <t>B.IV.6) Quote inutilizzate contributi vincolati da privati</t>
  </si>
  <si>
    <t>320500000000000000</t>
  </si>
  <si>
    <t>320501000000000000</t>
  </si>
  <si>
    <t>320501001000000000</t>
  </si>
  <si>
    <t>B.V.1.1) Fondi integrativi pensione aziendali</t>
  </si>
  <si>
    <t>320501002000000000</t>
  </si>
  <si>
    <t>B.V.1.2) Fondo integrativo pensione contrattuale</t>
  </si>
  <si>
    <t>320502000000000000</t>
  </si>
  <si>
    <t>320502001000000000</t>
  </si>
  <si>
    <t>B.V.2.1) Fondo per  Rinnovi contratt. - dirigenza medica</t>
  </si>
  <si>
    <t>320502002000000000</t>
  </si>
  <si>
    <t>B.V.2.2) Fondo per  Rinnovi contratt.- dirigenza non medica</t>
  </si>
  <si>
    <t>320502003000000000</t>
  </si>
  <si>
    <t>B.V.2.3) Fondo per  Rinnovi contratt.: - comparto</t>
  </si>
  <si>
    <t>320502004000000000</t>
  </si>
  <si>
    <t>B.V.2.4) Fondo per  Rinnovi convenzioni MMG/Pls/MCA ed altri</t>
  </si>
  <si>
    <t>320502005000000000</t>
  </si>
  <si>
    <t>B.V.2.5) Fondo per  Rinnovi contratt.: medici SUMAI</t>
  </si>
  <si>
    <t>320503000000000000</t>
  </si>
  <si>
    <t>B.V.3.1) Altri fondi per oneri e spese - altro</t>
  </si>
  <si>
    <t>B.V.3.2) Altri fondi per Libera Professione</t>
  </si>
  <si>
    <t>330000000000000000</t>
  </si>
  <si>
    <t>330100000000000000</t>
  </si>
  <si>
    <t>330101000000000000</t>
  </si>
  <si>
    <t>C.I.1) Premi Sumai fino al 1994</t>
  </si>
  <si>
    <t>330102000000000000</t>
  </si>
  <si>
    <t>C.I.2) Premi Sumai dal 1995/1997</t>
  </si>
  <si>
    <t>330103000000000000</t>
  </si>
  <si>
    <t>C.I.3) Premi Sumai dal 1/1/1998</t>
  </si>
  <si>
    <t>N.B.: Il totale del fondo premio operosità medici SUMAI è dato dalla somma delle tre righe (1994; 1997; 1998)</t>
  </si>
  <si>
    <t>330200000000000000</t>
  </si>
  <si>
    <t>340000000000000000</t>
  </si>
  <si>
    <t>Di cui per acquisto cespiti (iniziale)</t>
  </si>
  <si>
    <t>Giroconti debiti es. preced. (riclassific. e rettifiche)(+/-)</t>
  </si>
  <si>
    <t>Di cui Fatture da ricevere</t>
  </si>
  <si>
    <t>Di cui per acquisto cespiti (finale)</t>
  </si>
  <si>
    <t>340100000000000000</t>
  </si>
  <si>
    <t>A fronte di mutui o finanziamenti indicare se sono state prestate garanzie reali su beni di proprietà aziendale per garantire i debiti.</t>
  </si>
  <si>
    <t>340200000000000000</t>
  </si>
  <si>
    <t>340201000000000000</t>
  </si>
  <si>
    <t>340202000000000000</t>
  </si>
  <si>
    <t>340203000000000000</t>
  </si>
  <si>
    <t>340204000000000000</t>
  </si>
  <si>
    <t>340205000000000000</t>
  </si>
  <si>
    <t>340300000000000000</t>
  </si>
  <si>
    <t>340301000000000000</t>
  </si>
  <si>
    <t>D.III.1) Debiti v/Regione o Provincia Autonoma per finanziamenti - GSA</t>
  </si>
  <si>
    <t>340302000000000000</t>
  </si>
  <si>
    <t>D.III.3) Debiti v/Regione o Provincia Autonoma per mobilità passiva intraregionale</t>
  </si>
  <si>
    <t>340303000000000000</t>
  </si>
  <si>
    <t>D.III.4) Debiti v/Regione o Provincia Autonoma per mobilità passiva extraregionale</t>
  </si>
  <si>
    <t>340304000000000000</t>
  </si>
  <si>
    <t>D.III.6) Acconto quota FSR da Regione o Provincia Autonoma</t>
  </si>
  <si>
    <t>340305000000000000</t>
  </si>
  <si>
    <t>D.III.10.a) Altri debiti v/Regione o Provincia Autonoma</t>
  </si>
  <si>
    <t>340306000000000000</t>
  </si>
  <si>
    <t>D.III.10.b) Altri debiti vs Regione per restituzione annualità 2011 e precedenti</t>
  </si>
  <si>
    <t>340307000000000000</t>
  </si>
  <si>
    <t>D.III.10.c) Debiti vs Regione per recuperi prestazioni STP</t>
  </si>
  <si>
    <t>340400000000000000</t>
  </si>
  <si>
    <t>340500000000000000</t>
  </si>
  <si>
    <t>340501000000000000</t>
  </si>
  <si>
    <t>340501001000000000</t>
  </si>
  <si>
    <t>340501001001000000</t>
  </si>
  <si>
    <t>340501001001100000</t>
  </si>
  <si>
    <t>D.V.1.b) Debiti v/ats della Regione - per quota FSR</t>
  </si>
  <si>
    <t>340501001002000000</t>
  </si>
  <si>
    <t>340501001002100000</t>
  </si>
  <si>
    <t>D.V.1.b) Debiti v/ASST della Regione - per quota FSR</t>
  </si>
  <si>
    <t>340501001003000000</t>
  </si>
  <si>
    <t>D.V.1.c) Debiti v/Irccs - Fondazioni di dir. Pubblico della Regione - per quota FSR</t>
  </si>
  <si>
    <t>340501002000000000</t>
  </si>
  <si>
    <t>340501003000000000</t>
  </si>
  <si>
    <t>340501004000000000</t>
  </si>
  <si>
    <t>340501004001000000</t>
  </si>
  <si>
    <t>340501004001100000</t>
  </si>
  <si>
    <t>D.V.1.d.1) Debiti verso Agenzie Tutela Salute della Regione per mobilità intraregionale</t>
  </si>
  <si>
    <t>340501004002000000</t>
  </si>
  <si>
    <t>D.V.1.d.2) Debiti verso Aziende Sanitarie Locali della regione per anticipi mobilità attiva privata extraregione</t>
  </si>
  <si>
    <t>340501005000000000</t>
  </si>
  <si>
    <t>340501006000000000</t>
  </si>
  <si>
    <t>340501006001000000</t>
  </si>
  <si>
    <t>340501006001100000</t>
  </si>
  <si>
    <t>D.V.1.f.1) Debiti verso Agenzie Tutela Salute della Regione</t>
  </si>
  <si>
    <t>340501006002000000</t>
  </si>
  <si>
    <t>340501006002100000</t>
  </si>
  <si>
    <t>D.V.1.f.2) Debiti verso Aziende Socio-Sanitarie Territoriali della Regione</t>
  </si>
  <si>
    <t>340501006003000000</t>
  </si>
  <si>
    <t>D.V.1.f.3) Debiti verso Irccs e Fondazioni di diritto pubblico della Regione</t>
  </si>
  <si>
    <t>340501007000000000</t>
  </si>
  <si>
    <t>340501008000000000</t>
  </si>
  <si>
    <t>D.V.1.i) Debiti v/Aziende sanitarie pubbliche della Regione - altre prestazioni per STP</t>
  </si>
  <si>
    <t>340502000000000000</t>
  </si>
  <si>
    <t>340502001000000000</t>
  </si>
  <si>
    <t>340502002000000000</t>
  </si>
  <si>
    <t>340503000000000000</t>
  </si>
  <si>
    <t>340600000000000000</t>
  </si>
  <si>
    <t>340601000000000000</t>
  </si>
  <si>
    <t>340601001000000000</t>
  </si>
  <si>
    <t>D.VI.1) Debiti v/Arpa</t>
  </si>
  <si>
    <t>340601002000000000</t>
  </si>
  <si>
    <t>D.VI.2) Debiti v/altri Enti regionali</t>
  </si>
  <si>
    <t>340602000000000000</t>
  </si>
  <si>
    <t>340603000000000000</t>
  </si>
  <si>
    <t>340603001000000000</t>
  </si>
  <si>
    <t>D.VI.3.1) Debiti v/società controllate</t>
  </si>
  <si>
    <t>340603002000000000</t>
  </si>
  <si>
    <t>D.VI.3.2) Debiti v/società collegate</t>
  </si>
  <si>
    <t>340700000000000000</t>
  </si>
  <si>
    <t>340701000000000000</t>
  </si>
  <si>
    <t>340701001000000000</t>
  </si>
  <si>
    <t>D.VII.1.1) Debiti verso Aziende sanitarie private (sanità)</t>
  </si>
  <si>
    <t>340701002000000000</t>
  </si>
  <si>
    <t>D.VII.1.2) Debiti verso Aziende e Enti socio-sanitari pubblici (assi)</t>
  </si>
  <si>
    <t>340701003000000000</t>
  </si>
  <si>
    <t>D.VII.1.3) Debiti verso Aziende e Enti socio-sanitari privati (assi)</t>
  </si>
  <si>
    <t>340701004000000000</t>
  </si>
  <si>
    <t>D.VII.1.4) Debiti verso Farmacie convenzionate</t>
  </si>
  <si>
    <t>340701005000000000</t>
  </si>
  <si>
    <t>D.VII.1.5) Debiti verso MMG, PLS e MCA</t>
  </si>
  <si>
    <t>340701006000000000</t>
  </si>
  <si>
    <t>D.VII.1.6) Debiti verso erogatori sanitari privati per mobilità attiva privata extraregione</t>
  </si>
  <si>
    <t>340702000000000000</t>
  </si>
  <si>
    <t>340702001000000000</t>
  </si>
  <si>
    <t>D.VII.2) Debiti verso Fornitori di Beni e Altri servizi sanitari</t>
  </si>
  <si>
    <t>340702002000000000</t>
  </si>
  <si>
    <t>D.VII.2) Debiti verso Fornitori di Beni e Servizi non sanitari</t>
  </si>
  <si>
    <t>340800000000000000</t>
  </si>
  <si>
    <t>Per i c/c presso l'istituto tesoriere sono vietate le compensazioni, pertanto in questa voce vanno indicati esclusivamente i c/c con saldo passivo al 31/12.</t>
  </si>
  <si>
    <t>340900000000000000</t>
  </si>
  <si>
    <t>340930000000000000</t>
  </si>
  <si>
    <t>340950000000000000</t>
  </si>
  <si>
    <t>340951000000000000</t>
  </si>
  <si>
    <t>340952000000000000</t>
  </si>
  <si>
    <t>x\</t>
  </si>
  <si>
    <t>340952001000000000</t>
  </si>
  <si>
    <t>D.XI.2.a) Debiti verso dipendenti</t>
  </si>
  <si>
    <t xml:space="preserve">   D.XI.2.a.1) Debiti verso dipendenti per libera professione</t>
  </si>
  <si>
    <t xml:space="preserve">   D.XI.2.a.2) Debiti verso dipendenti altro</t>
  </si>
  <si>
    <t>340952002000000000</t>
  </si>
  <si>
    <t>D.XI.2.b) Debiti verso dipendenti per rinnovi contrattuali</t>
  </si>
  <si>
    <t>340952003000000000</t>
  </si>
  <si>
    <t>D.XI.2.c) Liquidazioni a dipendenti</t>
  </si>
  <si>
    <t>340952004000000000</t>
  </si>
  <si>
    <t>D.XI.2.d) Debiti per ferie non godute</t>
  </si>
  <si>
    <t>340953000000000000</t>
  </si>
  <si>
    <t>340954000000000000</t>
  </si>
  <si>
    <t>340954001000000000</t>
  </si>
  <si>
    <t>340954002000000000</t>
  </si>
  <si>
    <t>340954003000000000</t>
  </si>
  <si>
    <t>340954003001000000</t>
  </si>
  <si>
    <t>D.XI.4.c.1) Debiti verso Bilancio Sanitario</t>
  </si>
  <si>
    <t>340954003002000000</t>
  </si>
  <si>
    <t>340954003003000000</t>
  </si>
  <si>
    <t>D.XI.4.c.2) Debiti verso Bilancio Sociale</t>
  </si>
  <si>
    <t>340954003004000000</t>
  </si>
  <si>
    <t>D.XI.4.c.3) Debiti verso Bilancio Ricerca</t>
  </si>
  <si>
    <t>350000000000000000</t>
  </si>
  <si>
    <t>350100000000000000</t>
  </si>
  <si>
    <t>350101000000000000</t>
  </si>
  <si>
    <t>350102000000000000</t>
  </si>
  <si>
    <t>350102001000000000</t>
  </si>
  <si>
    <t>350102001100000000</t>
  </si>
  <si>
    <t>E.I.2.a) Degenze in corso ats/asst/Fondazioni della Regione</t>
  </si>
  <si>
    <t>350102002000000000</t>
  </si>
  <si>
    <t>E.I.2.b) Degenze in corso altre Aziende sanitarie Extraregione</t>
  </si>
  <si>
    <t>350102009000000000</t>
  </si>
  <si>
    <t>350102009100000000</t>
  </si>
  <si>
    <t>E.I.2.c) Ratei passivi verso ats/asst/Fondazioni della Regione</t>
  </si>
  <si>
    <t>Per Input ratei passivi v/terzi vedi tabelle foglio Dettaglio_SP-San (Riga C426)</t>
  </si>
  <si>
    <t>350200000000000000</t>
  </si>
  <si>
    <t>350201000000000000</t>
  </si>
  <si>
    <t>350202000000000000</t>
  </si>
  <si>
    <t>Per Input risconti passivi v/terzi vedi tabelle foglio Dettaglio_SP-San (Riga C456)</t>
  </si>
  <si>
    <t>360000000000000000</t>
  </si>
  <si>
    <t>G) CONTI D’ORDINE</t>
  </si>
  <si>
    <t>360100000000000000</t>
  </si>
  <si>
    <t>G.I) Canoni di leasing ancora da pagare</t>
  </si>
  <si>
    <t>360200000000000000</t>
  </si>
  <si>
    <t>G.II) Depositi cauzionali</t>
  </si>
  <si>
    <t>360300000000000000</t>
  </si>
  <si>
    <t>G.III) Beni in comodato</t>
  </si>
  <si>
    <t>360400000000000000</t>
  </si>
  <si>
    <t>G.V) Altri conti d'ordine</t>
  </si>
  <si>
    <t>360401000000000000</t>
  </si>
  <si>
    <t>G.VI) Garanzie prestate (fideiussioni, avalli, altre garanzie personali e reali)</t>
  </si>
  <si>
    <t>360401001000000000</t>
  </si>
  <si>
    <t>G.VI.1) Garanzie prestate: di cui fidejussioni</t>
  </si>
  <si>
    <t>360401002000000000</t>
  </si>
  <si>
    <t>G.VI.2) Garanzie prestate: di cui avalli</t>
  </si>
  <si>
    <t>360401003000000000</t>
  </si>
  <si>
    <t>G.VI.3) Garanzie prestate: di cui altre garanzie personali e reali</t>
  </si>
  <si>
    <t>360402000000000000</t>
  </si>
  <si>
    <t>G.VII) Garanzie ricevute (fideiussioni, avalli, altre garanzie personali e reali)</t>
  </si>
  <si>
    <t>360402001000000000</t>
  </si>
  <si>
    <t>G.VII.1) Garanzie ricevute: di cui fidejussioni</t>
  </si>
  <si>
    <t>360402002000000000</t>
  </si>
  <si>
    <t>G.VII.2) Garanzie ricevute: di cui avalli</t>
  </si>
  <si>
    <t>360402003000000000</t>
  </si>
  <si>
    <t>G.VII.3) Garanzie ricevute: di cui altre garanzie personali e reali</t>
  </si>
  <si>
    <t>360402500000000000</t>
  </si>
  <si>
    <t>G.VIII) Beni in contenzioso</t>
  </si>
  <si>
    <t>360403000000000000</t>
  </si>
  <si>
    <t>G.IX) Altri impegni assunti</t>
  </si>
  <si>
    <t>360403001000000000</t>
  </si>
  <si>
    <t>G.IX.1) di cui contratti in service</t>
  </si>
  <si>
    <t>360403002000000000</t>
  </si>
  <si>
    <t>G.IX.2) di cui conto visione</t>
  </si>
  <si>
    <t>360403003000000000</t>
  </si>
  <si>
    <t>G.IX.3) di cui impegni contrattuali pluriennali</t>
  </si>
  <si>
    <t>360403004000000000</t>
  </si>
  <si>
    <t>G.IX.4) di cui altro</t>
  </si>
  <si>
    <t>ATTIVITA' SANITARIA</t>
  </si>
  <si>
    <t>Quadratura con scheda Dettaglio_SP</t>
  </si>
  <si>
    <t>pp</t>
  </si>
  <si>
    <t>B.I) Fondi per imposte, anche differite</t>
  </si>
  <si>
    <t xml:space="preserve">      D.V.1.i) Debiti v/Aziende sanitarie pubbliche della Regione - altre prestazioni per STP</t>
  </si>
  <si>
    <t xml:space="preserve">      D.V.1.h) Debiti v/ATS - per Contributi da Aziende sanitarie pubbliche della Regione o Prov. Aut. (extra fondo) </t>
  </si>
  <si>
    <t xml:space="preserve">     D.V.1.i) Debiti v/ASST - per Contributi da Aziende sanitarie pubbliche della Regione o Prov. Aut. (extra fondo) </t>
  </si>
  <si>
    <t xml:space="preserve">      D.V.1.j) Debiti v/IRCCS - per Contributi da Aziende sanitarie pubbliche della Regione o Prov. Aut. (extra fondo) </t>
  </si>
  <si>
    <t xml:space="preserve">    D.V.1.k) Debiti v/Aziende sanitarie pubbliche della Regione - per contributi L. 210/92 </t>
  </si>
  <si>
    <t xml:space="preserve">     D.V.3.a) Debiti v/Aziende sanitarie pubbliche della Regione per versamenti c/patrimonio netto - finanziamenti per investimenti</t>
  </si>
  <si>
    <t xml:space="preserve">     D.V.3.b) Debiti v/Aziende sanitarie pubbliche della Regione per versamenti c/patrimonio netto - incremento fondo dotazione</t>
  </si>
  <si>
    <t xml:space="preserve">    D.V.3.c) Debiti v/Aziende sanitarie pubbliche della Regione per versamenti c/patrimonio netto - ripiano perdite</t>
  </si>
  <si>
    <t xml:space="preserve">     D.V.3.d) Debiti v/Aziende sanitarie pubbliche della Regione per anticipazione ripiano disavanzo programmato dai Piani aziendali di cui all'art. 1, comma 528, L. 208/2015</t>
  </si>
  <si>
    <t xml:space="preserve">    D.V.3.e) Debiti v/Aziende sanitarie pubbliche della Regione per versamenti c/patrimonio netto - altro</t>
  </si>
  <si>
    <t>SEGNALIBRO VERIFICA FORMUILE</t>
  </si>
  <si>
    <t>G.V.1) Garanzie prestate (fideiussioni, avalli, altre garanzie personali e reali)</t>
  </si>
  <si>
    <t>G.V.1.a) Garanzie prestate: di cui fidejussioni</t>
  </si>
  <si>
    <t>G.V.1.b) Garanzie prestate: di cui avalli</t>
  </si>
  <si>
    <t>G.V.1.c) Garanzie prestate: di cui altre garanzie personali e reali</t>
  </si>
  <si>
    <t>G.V.2) Garanzie ricevute (fideiussioni, avalli, altre garanzie personali e reali)</t>
  </si>
  <si>
    <t>G.V.2.a) Garanzie ricevute: di cui fidejussioni</t>
  </si>
  <si>
    <t>G.V.2.b) Garanzie ricevute: di cui avalli</t>
  </si>
  <si>
    <t>G.V.2.c) Garanzie ricevute: di cui altre garanzie personali e reali</t>
  </si>
  <si>
    <t>G.V.3) Beni in contenzioso</t>
  </si>
  <si>
    <t>G.V.4) Altri impegni assunti</t>
  </si>
  <si>
    <t>G.V.4.a) di cui contratti in service</t>
  </si>
  <si>
    <t>G.V.4.b) di cui conto visione</t>
  </si>
  <si>
    <t>G.V.4.c) di cui impegni contrattuali pluriennali</t>
  </si>
  <si>
    <t>G.V.4.d) di cui altro</t>
  </si>
  <si>
    <t>Costi di Impianto e ampliamento</t>
  </si>
  <si>
    <t>DETTAGLIO COSTI D'IMPIANTO E DI AMPLIAMENTO</t>
  </si>
  <si>
    <t>MOVIMENTI DELL'ESERCIZIO</t>
  </si>
  <si>
    <t>ALTRE INFORMAZIONI</t>
  </si>
  <si>
    <t>Descrizione composizione</t>
  </si>
  <si>
    <t>Valore
iniziale</t>
  </si>
  <si>
    <t>Incrementi</t>
  </si>
  <si>
    <t>Valore
finale</t>
  </si>
  <si>
    <t>Ragioni iscrizione</t>
  </si>
  <si>
    <t>Estremi del verbale del Collegio Sindacale</t>
  </si>
  <si>
    <t>Riorganizzazione servizio di ristorazione con attività di formazione del personale</t>
  </si>
  <si>
    <t>utilità protratta nel tempo</t>
  </si>
  <si>
    <t>N.31 del 31/5/2011</t>
  </si>
  <si>
    <t>Costi di Ricerca e svlluppo</t>
  </si>
  <si>
    <t>DETTAGLIO COSTI DI RICERCA E SVILUPPO</t>
  </si>
  <si>
    <t>Costi di Pubblicità capitalizzati</t>
  </si>
  <si>
    <t>DETTAGLIO PUBBLICITA'</t>
  </si>
  <si>
    <t>Dettaglio Altre Immobil. Materiali</t>
  </si>
  <si>
    <t>Valore lordo (+)</t>
  </si>
  <si>
    <t>F.do Amm.to (+)</t>
  </si>
  <si>
    <t>Valore netto</t>
  </si>
  <si>
    <t>Beni non sterilizzati</t>
  </si>
  <si>
    <t>Attrezzature tecnico economali</t>
  </si>
  <si>
    <t>Beni sterilizzati</t>
  </si>
  <si>
    <t>Tipologia finanziamento</t>
  </si>
  <si>
    <t>Elenco dei lavori relativi alle Immobilizzazioni materiali in corso di esecuzione</t>
  </si>
  <si>
    <t>Valore 
iniziale</t>
  </si>
  <si>
    <t>Giroconti, Riclassificazioni, Completamenti (+/-)</t>
  </si>
  <si>
    <t>Valore 
finale</t>
  </si>
  <si>
    <t>Mancato collaudo attrezzature sanitarie/impianti</t>
  </si>
  <si>
    <t>Fondi sperimentazioni</t>
  </si>
  <si>
    <t>Capitalizzazione dei costi relativi ad investimenti farrmacomonodose/oneri straordinari</t>
  </si>
  <si>
    <t>Mezzi propri</t>
  </si>
  <si>
    <t>Adeguamento alla normativa prevenzione incendi POC</t>
  </si>
  <si>
    <t xml:space="preserve">DGR 770/2018   </t>
  </si>
  <si>
    <t xml:space="preserve">Commissione Cancer Center e Progettazione </t>
  </si>
  <si>
    <t>DGR 5136/2016</t>
  </si>
  <si>
    <t xml:space="preserve"> collaudo attrezzature sanitarie/arredi/licenze/impianti</t>
  </si>
  <si>
    <t>DGR 6548/17</t>
  </si>
  <si>
    <t>Mancato collaudo attrezzature sanitarie/arredi/licenze/impianti</t>
  </si>
  <si>
    <t>Finanziamenti da privati per COVID (R066)</t>
  </si>
  <si>
    <t>DGR 770/2018</t>
  </si>
  <si>
    <t>collaudo attrezzature sanitarie/impianti</t>
  </si>
  <si>
    <t>DGR 5135/2016</t>
  </si>
  <si>
    <t>DGR 770/2018 - DGR 7539/2017</t>
  </si>
  <si>
    <t>attrezzature sanitarie/arredi/licenze/impianti</t>
  </si>
  <si>
    <t>DGR 1725/2019</t>
  </si>
  <si>
    <t xml:space="preserve">Totale  </t>
  </si>
  <si>
    <t>ELENCO PARTECIPAZIONI ISCRITTE NELLE IMMOBILIZZAZIONI FINANZIARIE</t>
  </si>
  <si>
    <t>codcoge</t>
  </si>
  <si>
    <t>partecipazione</t>
  </si>
  <si>
    <t>ELENCO PARTECIPAZIONI</t>
  </si>
  <si>
    <t>Sede</t>
  </si>
  <si>
    <t>Forma
giuridica</t>
  </si>
  <si>
    <t>Capitale</t>
  </si>
  <si>
    <t>% capitale pubblico</t>
  </si>
  <si>
    <t>Patrimonio netto incluso riserve</t>
  </si>
  <si>
    <t>Totale
Attivo</t>
  </si>
  <si>
    <t>Risultato di esercizio</t>
  </si>
  <si>
    <t>% di possesso</t>
  </si>
  <si>
    <t>Valore attribuito a bilancio</t>
  </si>
  <si>
    <t>Criterio di valorizzazione (costo / PN)</t>
  </si>
  <si>
    <t xml:space="preserve"> Partecipazioni in imprese controllate:</t>
  </si>
  <si>
    <t xml:space="preserve"> Partecipazioni in imprese collegate:</t>
  </si>
  <si>
    <t xml:space="preserve"> Partecipazioni in altre imprese:</t>
  </si>
  <si>
    <t>DETTAGLIO PARTECIPAZIONI</t>
  </si>
  <si>
    <t>Costo 
storico</t>
  </si>
  <si>
    <t>ESERCIZI PRECEDENTI</t>
  </si>
  <si>
    <t>Rivalutazioni</t>
  </si>
  <si>
    <t>Svalutazioni</t>
  </si>
  <si>
    <t>Acquisizioni e conferimenti</t>
  </si>
  <si>
    <t>Cessioni (valore contabile)</t>
  </si>
  <si>
    <t>ELENCO PARTECIPAZIONI ISCRITTE NELLE ATTIVITA' A BREVE</t>
  </si>
  <si>
    <t>Codice Conto</t>
  </si>
  <si>
    <t>DETTAGLIO CREDITI PER INCREMENTI DI PATRIMONIO NETTO DELIBERATI</t>
  </si>
  <si>
    <t>Delibera n°/anno</t>
  </si>
  <si>
    <t>Importo delibera</t>
  </si>
  <si>
    <t>Riscosso negli esercizi precedenti (-)</t>
  </si>
  <si>
    <t>Consistenza iniziale (+)</t>
  </si>
  <si>
    <t>Importo nuove deliberazioni (+)</t>
  </si>
  <si>
    <t>Riscossioni
(-)</t>
  </si>
  <si>
    <t>Crediti v/Stato per finanziamenti per investimenti</t>
  </si>
  <si>
    <t>DGR XI/3479 del 05/08/20 - allegato 5A - Adeguamenti strutturali ed impiantistici U.O. Terapia intensiva (covid)</t>
  </si>
  <si>
    <t>DGR XI/3479 del 05/08/20 - allegato 5B - Adeguamento impiantistico, strutturale e tecnologico di area complanare al reparto di Terapia Intensiva (Covid)</t>
  </si>
  <si>
    <t>DGR XI/3479 del 05/08/20 - allegato 5C - Interventi in PS: ristrutturazione reparto e spazi adiacenti per separazione percorsi</t>
  </si>
  <si>
    <t>Totali</t>
  </si>
  <si>
    <t>Crediti v/Regione o Provincia Autonoma per finanziamenti per investimenti</t>
  </si>
  <si>
    <t>DGR N. XI/2903 DEL 02/03/2020 "PRIME DETERMINAZIONI IN ORDINE ALLA EMERGENZA EPIDEMIOLOGICA DA COVID-19"</t>
  </si>
  <si>
    <t>DGR XI/3479/2020 Allegato 1 - Incremento livello di sicurezza antincendio dei collegamenti verticali</t>
  </si>
  <si>
    <t>Crediti v/Regione o Provincia Autonoma per incremento fondo dotazione</t>
  </si>
  <si>
    <t>Crediti v/Regione o Provincia Autonoma per ripiano perdite</t>
  </si>
  <si>
    <t xml:space="preserve"> Crediti v/Regione per copertura debiti al 31/12/2005</t>
  </si>
  <si>
    <t xml:space="preserve">  Crediti v/Regione o Provincia Autonoma per ricostituzione risorse da investimenti esercizi precedenti</t>
  </si>
  <si>
    <t>RATEI ATTIVI - Dettaglio a livello di ricavo</t>
  </si>
  <si>
    <t>Codice Voce conto ricavo rateizzato</t>
  </si>
  <si>
    <t>Descrizione voce conto ricavo rateizzato</t>
  </si>
  <si>
    <t>Totale</t>
  </si>
  <si>
    <t>RISCONTI ATTIVI - Dettaglio a livello di costo</t>
  </si>
  <si>
    <t>Codice Voce conto costo riscontato</t>
  </si>
  <si>
    <t>Descrizione voce conto costo riscontato</t>
  </si>
  <si>
    <t>4.20.30.50.040.000.00.000</t>
  </si>
  <si>
    <t>Risconto abbonamenti</t>
  </si>
  <si>
    <t>4.20.15.80.000.000.00.000</t>
  </si>
  <si>
    <t>Canoni manutenzione software</t>
  </si>
  <si>
    <t>RISCONTO ATT.FT.53/66/20 C.S.A.PERIODO GEN/FEB.21</t>
  </si>
  <si>
    <t>4.20.10.20.010.020.10.000</t>
  </si>
  <si>
    <t>CODICE MOD. SP</t>
  </si>
  <si>
    <t>DETTAGLIO FINANZIAMENTI PER INVESTIMENTI RICEVUTI
NEGLI ULTIMI TRE ESERCIZI</t>
  </si>
  <si>
    <t>INFORMAZIONI</t>
  </si>
  <si>
    <t>Consistenza all'inizio dell'esercizio</t>
  </si>
  <si>
    <t>Vincolato o indistinto</t>
  </si>
  <si>
    <t>Esercizio di  assegnazione</t>
  </si>
  <si>
    <t>Estremi del provvedimento</t>
  </si>
  <si>
    <t>Destinazione (tipologia di beni acquisiti)</t>
  </si>
  <si>
    <t>Utilizzo a fronte di sterilizzazioni nel corso dell'esercizio</t>
  </si>
  <si>
    <t>Altre variazioni
(+/-)</t>
  </si>
  <si>
    <t>Consistenza
finale</t>
  </si>
  <si>
    <t>di cui
riscossi</t>
  </si>
  <si>
    <t>di cui
investiti</t>
  </si>
  <si>
    <t xml:space="preserve">  Per beni di prima dotazione:</t>
  </si>
  <si>
    <t xml:space="preserve">  Da Stato:</t>
  </si>
  <si>
    <t>DGR XI/3479 del 05/08/20 - allegato 5A - Adeguamenti strutturali ed impiantistici U.O. Terapia intensiva</t>
  </si>
  <si>
    <t xml:space="preserve">vincolato </t>
  </si>
  <si>
    <t>DGR XI/3479 del 05/08/20</t>
  </si>
  <si>
    <t>DGR XI/3479 del 05/08/20 - allegato 5B - Adeguamento impiantistico, strutturale e tecnologico di area complanare al reparto di Terapia Intensiva</t>
  </si>
  <si>
    <t xml:space="preserve">  Da Regione:</t>
  </si>
  <si>
    <t>DGR N. XI/770  DEL 12/11/2018 "PROGRAMMA REGIONALE STRAORDINARIO INVESTIMENTI IN SANITA' -DETERMINAZIONI CONSEGUENTI ALLA DELIBERAZIONE DI GIUNTA REGIONALE N. XI/24/2018  " - ALLEGATO 1 - ASSEGNAZIONE CONTRIBUTI INDISTINTI</t>
  </si>
  <si>
    <t>DGR N. XI/770  DEL 12/11/2018 "PROGRAMMA REGIONALE STRAORDINARIO INVESTIMENTI IN SANITA' -DETERMINAZIONI CONSEGUENTI ALLA DELIBERAZIONE DI GIUNTA REGIONALE N. XI/24/2018  " - ALLEGATO 2 - ELENCO INTERVENTI</t>
  </si>
  <si>
    <t>DGR N. XI/770  DEL 12/11/2018 "PROGRAMMA REGIONALE STRAORDINARIO INVESTIMENTI IN SANITA' -DETERMINAZIONI CONSEGUENTI ALLA DELIBERAZIONE DI GIUNTA REGIONALE N. XI/24/2018  " - ALLEGATO 4 -iNTERVENTI URGENTI DI NATURA STRAORDINARIA</t>
  </si>
  <si>
    <t>Contributo protesica anno 2018</t>
  </si>
  <si>
    <t>DGR N. X/5136  DEL 09/05/2016 "REALIZZAZIONE DI AREA ONCOLOGICA MULTIDISCIPLINARE ( CANCER CENTER ) P.O. DI CREMONA "</t>
  </si>
  <si>
    <t>DGR N. X/7150  DEL 04/10/2017 "PROGRAMMA REGIONALE STRAORDINARIO INVESTIMENTI IN SANITA'"</t>
  </si>
  <si>
    <t>DGR N. X/5135  DEL 09/05/2016 "DETERMINAZIONI IN ORDINE AI CRITERI E AGLI AMBITI PER UTILIZZO DEI FONDI DI INVESTIMENTO PREVISTI IN MATERIA DI EDILIZIA SANITARIA PER L'ESERCIZIO FINANZIARIO 2016 "</t>
  </si>
  <si>
    <t>Manut. straord. Vicolo Maurino TER 2016</t>
  </si>
  <si>
    <t>Contributo protesica investimenti anno 2016</t>
  </si>
  <si>
    <t>Contributo protesica investimenti anno 2017</t>
  </si>
  <si>
    <t>DGR N. X/6548  DEL 04/05/2017 "PROGRAMMA REGIONALE STRAORDINARIO INVESTIMENTI IN SANITA'" - assegnazione contributi "indistinti"</t>
  </si>
  <si>
    <t>DGR N. X/6548  DEL 04/05/2017 "PROGRAMMA REGIONALE STRAORDINARIO INVESTIMENTI IN SANITA'" - decreto assegnazione n. 5828 del 19-05-2017</t>
  </si>
  <si>
    <t>DGR N. X/7539  DEL 18/12/2017 "ULTERIORI DETERMINAZIONI IN MATERIA DI INVESTIMENTI CONSEGUENTI ALLA L.R. 22/2017 ED ALLA L.R. 2/2017"</t>
  </si>
  <si>
    <t>ULTERIORI TRASFERIMENTI L.232015 DA ASST CREMA_protesica_F183</t>
  </si>
  <si>
    <t>ULTERIORI TRASFERIMENTI L.232015 DA ATS_AUTOMEZZI_F169</t>
  </si>
  <si>
    <t>Contributo protesica anno 2019</t>
  </si>
  <si>
    <t xml:space="preserve"> DGR 1725/19 allegato C</t>
  </si>
  <si>
    <t>DGR 2468/19 allegato 4</t>
  </si>
  <si>
    <t>DGR 2468/19 allegato 1</t>
  </si>
  <si>
    <t>DGR 2468/19 allegato 2</t>
  </si>
  <si>
    <t>DGR 2468/19 allegato 3</t>
  </si>
  <si>
    <t xml:space="preserve">  Da altri soggetti pubblici:</t>
  </si>
  <si>
    <t>Per investimenti da rettifica contributi in conto esercizio:</t>
  </si>
  <si>
    <t>Acquisto cespiti con fondi di reparto</t>
  </si>
  <si>
    <t>RETTIFICA PER CESPITI ACQUISTATI CON CONTRIBUTI R066 COVID ANNO 2020</t>
  </si>
  <si>
    <t>RETTIFICA CONTRIBUTI R009 F.DO REPARTO CHIRURGIA PER ACQUISTO CESPITE ANNO 2020</t>
  </si>
  <si>
    <t>RETTIFICA CONTRIBUTO R008 PER ACQUISTO CESPITE</t>
  </si>
  <si>
    <t>RETTIFICA PER ACQUISTO CESPITE CON CONTRIBUTO F.DO REPARTO PRONTO SOCCORSO R003</t>
  </si>
  <si>
    <t>RETTIFICA CONTRIBUTO E198 PER ACQUISTO CESPITI DGR XI/3479 DEL 05/08/20 ALLEGATO 3</t>
  </si>
  <si>
    <t>indistinto</t>
  </si>
  <si>
    <t>DGR XI/3479 DEL 05/08/20 ALLEGATO 3</t>
  </si>
  <si>
    <t>sterilizzazioni minusvalenze</t>
  </si>
  <si>
    <t>DETTAGLIO RISERVE DA PLUSVALENZE DA REINVESTIRE</t>
  </si>
  <si>
    <t>Utilizzi</t>
  </si>
  <si>
    <t>DETTAGLIO CONTRIBUTI DA REINVESTIRE</t>
  </si>
  <si>
    <t>DETTAGLIO MUTUI</t>
  </si>
  <si>
    <t>Destinazione</t>
  </si>
  <si>
    <t>Soggetto
erogatore</t>
  </si>
  <si>
    <t>Riferimenti delibera di autorizzazione regionale</t>
  </si>
  <si>
    <t>Importo
iniziale</t>
  </si>
  <si>
    <t>Scadenza</t>
  </si>
  <si>
    <t>Debito
residuo</t>
  </si>
  <si>
    <t>Tasso di interesse</t>
  </si>
  <si>
    <t>Garanzie
reali</t>
  </si>
  <si>
    <t>Mutuo tasso variabile</t>
  </si>
  <si>
    <t>Finanziamento completamento piano terra monoblocco operatorio</t>
  </si>
  <si>
    <t>Banco di Brescia</t>
  </si>
  <si>
    <t>DGR VIII/9397 del 6/5/2009</t>
  </si>
  <si>
    <t>TOTALE MUTUI</t>
  </si>
  <si>
    <t>RATEI PASSIVI - Dettaglio a livello di costo</t>
  </si>
  <si>
    <t>Codice Voce conto costo rateizzato</t>
  </si>
  <si>
    <t>Descrizione voce conto costo rateizzato</t>
  </si>
  <si>
    <t>RISCONTI PASSIVI - Dettaglio a livello di ricavo</t>
  </si>
  <si>
    <t>Codice Voce conto ricavo riscontato</t>
  </si>
  <si>
    <t>Descrizione voce conto ricavo riscontato</t>
  </si>
  <si>
    <t>4.10.20.30.010.010.00.000</t>
  </si>
  <si>
    <t>RISCONTO PASS. LOCAZIONE BAR CRAL POC (FT. 202011492)</t>
  </si>
  <si>
    <t>RISCONTO PASS. LOCAZIONE ASILO NIDO (FT. 202020563)</t>
  </si>
  <si>
    <t>4.10.20.20.080.080.00.000</t>
  </si>
  <si>
    <t>RISCONTO PASS. CANONE NOLEGGIO TELEV. (FT. 202020706 BCS BIOMEDICAL)</t>
  </si>
  <si>
    <t>RISCONTO PASS. CANONE SPAZI PUBBLICITARI (FT. 202020048 MENEGHINI &amp; ASSOC.)</t>
  </si>
  <si>
    <t>Ulteriori trasferimenti / aggiornamenti LR23/2015 - Adeguamento valori a migliaia di euro (+/-)</t>
  </si>
  <si>
    <t>zz</t>
  </si>
  <si>
    <t>B.II.2.a.11) Crediti v/Regione o Provincia Autonoma per ricerca</t>
  </si>
  <si>
    <t>COSTITUZIONE DA EX MILANO 2</t>
  </si>
  <si>
    <t>ATTIVITA' RICERCA</t>
  </si>
  <si>
    <t>Altri fondi per oneri e spese - altro</t>
  </si>
  <si>
    <t>Altri fondi per Libera Professione</t>
  </si>
  <si>
    <t>Fondo per trattamento di fine rapporto dipendenti</t>
  </si>
  <si>
    <t>Fondo per trattamenti di quiescenza e simili</t>
  </si>
  <si>
    <t>Valore</t>
  </si>
  <si>
    <t>Az</t>
  </si>
  <si>
    <t>Codice Conto Old</t>
  </si>
  <si>
    <t>Natura di Costo correlata all'utilizzo del fondo</t>
  </si>
  <si>
    <t>4.20.05.00.000.000.00.000</t>
  </si>
  <si>
    <t>B.1) Acquisti di beni - Totale</t>
  </si>
  <si>
    <t>4.20.05.10.000.000.00.000</t>
  </si>
  <si>
    <t>B.1.A) Acquisti di beni sanitari - Totale</t>
  </si>
  <si>
    <t>50101010010000</t>
  </si>
  <si>
    <t>4.20.05.10.010.010.01.000</t>
  </si>
  <si>
    <t>50101010010030</t>
  </si>
  <si>
    <t>4.20.05.10.010.010.02.000</t>
  </si>
  <si>
    <t>50101010020010</t>
  </si>
  <si>
    <t>4.20.05.10.010.020.00.000</t>
  </si>
  <si>
    <t>50101010030010</t>
  </si>
  <si>
    <t>4.20.05.10.010.030.00.000</t>
  </si>
  <si>
    <t>50101010040010</t>
  </si>
  <si>
    <t>4.20.05.10.010.810.00.000</t>
  </si>
  <si>
    <t>50101010040020</t>
  </si>
  <si>
    <t>4.20.05.10.010.820.00.000</t>
  </si>
  <si>
    <t>50101020010000</t>
  </si>
  <si>
    <t>4.20.05.10.020.010.00.000</t>
  </si>
  <si>
    <t>50101020020000</t>
  </si>
  <si>
    <t>4.20.05.10.020.020.00.000</t>
  </si>
  <si>
    <t>50101020030000</t>
  </si>
  <si>
    <t>4.20.05.10.020.810.00.000</t>
  </si>
  <si>
    <t>50101020040000</t>
  </si>
  <si>
    <t>4.20.05.10.020.820.00.000</t>
  </si>
  <si>
    <t>50101030010000</t>
  </si>
  <si>
    <t>4.20.05.10.025.010.00.000</t>
  </si>
  <si>
    <t>50101030020000</t>
  </si>
  <si>
    <t>4.20.05.10.025.020.00.000</t>
  </si>
  <si>
    <t>50101030030000</t>
  </si>
  <si>
    <t>4.20.05.10.025.030.00.000</t>
  </si>
  <si>
    <t>50101040010010</t>
  </si>
  <si>
    <t>4.20.05.10.030.010.00.000</t>
  </si>
  <si>
    <t>50101040010020</t>
  </si>
  <si>
    <t>4.20.05.10.030.012.00.000</t>
  </si>
  <si>
    <t>50101040010030</t>
  </si>
  <si>
    <t>4.20.05.10.030.020.00.000</t>
  </si>
  <si>
    <t>50101040020010</t>
  </si>
  <si>
    <t>4.20.05.10.030.810.00.000</t>
  </si>
  <si>
    <t>50101040020020</t>
  </si>
  <si>
    <t>4.20.05.10.030.812.00.000</t>
  </si>
  <si>
    <t>50101040020030</t>
  </si>
  <si>
    <t>4.20.05.10.030.815.00.000</t>
  </si>
  <si>
    <t>50101040020040</t>
  </si>
  <si>
    <t>4.20.05.10.030.820.00.000</t>
  </si>
  <si>
    <t>50101040030000</t>
  </si>
  <si>
    <t>4.20.05.10.030.900.00.000</t>
  </si>
  <si>
    <t>50101050010000</t>
  </si>
  <si>
    <t>4.20.05.10.040.010.00.000</t>
  </si>
  <si>
    <t>50101060010000</t>
  </si>
  <si>
    <t>4.20.05.10.050.010.00.000</t>
  </si>
  <si>
    <t>50101060020000</t>
  </si>
  <si>
    <t>4.20.05.10.050.020.00.000</t>
  </si>
  <si>
    <t>50101060030000</t>
  </si>
  <si>
    <t>4.20.05.10.050.030.00.000</t>
  </si>
  <si>
    <t>50101070000000</t>
  </si>
  <si>
    <t>4.20.05.10.060.010.00.000</t>
  </si>
  <si>
    <t>50101070090000</t>
  </si>
  <si>
    <t>4.20.05.10.060.020.00.000</t>
  </si>
  <si>
    <t>50101070100000</t>
  </si>
  <si>
    <t>4.20.05.10.060.030.00.000</t>
  </si>
  <si>
    <t>50101070110000</t>
  </si>
  <si>
    <t>4.20.05.10.060.040.00.000</t>
  </si>
  <si>
    <t>50101080010000</t>
  </si>
  <si>
    <t>4.20.05.10.070.010.00.000</t>
  </si>
  <si>
    <t>50101090010000</t>
  </si>
  <si>
    <t>4.20.05.10.080.010.00.000</t>
  </si>
  <si>
    <t>50101090020000</t>
  </si>
  <si>
    <t>4.20.05.10.080.020.00.000</t>
  </si>
  <si>
    <t>50101090030000</t>
  </si>
  <si>
    <t>4.20.05.10.080.030.00.000</t>
  </si>
  <si>
    <t>50101090040000</t>
  </si>
  <si>
    <t>4.20.05.10.080.040.00.000</t>
  </si>
  <si>
    <t>50101100010000</t>
  </si>
  <si>
    <t>4.20.05.10.090.010.00.000</t>
  </si>
  <si>
    <t>Materiali per emodialisi</t>
  </si>
  <si>
    <t>50101110010000</t>
  </si>
  <si>
    <t>4.20.05.10.100.010.00.000</t>
  </si>
  <si>
    <t>50101110020000</t>
  </si>
  <si>
    <t>4.20.05.10.100.020.00.000</t>
  </si>
  <si>
    <t>50101120010000</t>
  </si>
  <si>
    <t>4.20.05.10.120.010.00.000</t>
  </si>
  <si>
    <t>50101130010000</t>
  </si>
  <si>
    <t>4.20.05.10.130.010.00.000</t>
  </si>
  <si>
    <t>50101130020000</t>
  </si>
  <si>
    <t>4.20.05.10.130.800.00.000</t>
  </si>
  <si>
    <t>50101130030000</t>
  </si>
  <si>
    <t>4.20.05.10.130.810.00.000</t>
  </si>
  <si>
    <t>50101140010000</t>
  </si>
  <si>
    <t>4.20.05.10.800.010.00.000</t>
  </si>
  <si>
    <t>50101150000000</t>
  </si>
  <si>
    <t>4.20.05.10.800.810.00.000</t>
  </si>
  <si>
    <t>4.20.05.20.000.000.00.000</t>
  </si>
  <si>
    <t>B.1.B) Acquisti di beni non sanitari - Totale</t>
  </si>
  <si>
    <t>4.20.05.20.010.010.00.000</t>
  </si>
  <si>
    <t>4.20.05.20.020.010.00.000</t>
  </si>
  <si>
    <t>50102030010000</t>
  </si>
  <si>
    <t>4.20.05.20.030.010.00.000</t>
  </si>
  <si>
    <t>50102030020000</t>
  </si>
  <si>
    <t>4.20.05.20.030.020.00.000</t>
  </si>
  <si>
    <t>4.20.05.20.040.010.00.000</t>
  </si>
  <si>
    <t>4.20.05.20.050.010.00.000</t>
  </si>
  <si>
    <t>50102060010000</t>
  </si>
  <si>
    <t>4.20.05.20.060.010.00.000</t>
  </si>
  <si>
    <t>Materiale per manutenzioni e riparazioni immobili e loro pertinenze</t>
  </si>
  <si>
    <t>50102060020000</t>
  </si>
  <si>
    <t>4.20.05.20.060.020.00.000</t>
  </si>
  <si>
    <t>50102060030000</t>
  </si>
  <si>
    <t>4.20.05.20.060.030.00.000</t>
  </si>
  <si>
    <t>50102060040000</t>
  </si>
  <si>
    <t>4.20.05.20.060.040.00.000</t>
  </si>
  <si>
    <t>50102060050000</t>
  </si>
  <si>
    <t>4.20.05.20.060.050.00.000</t>
  </si>
  <si>
    <t>50102060060000</t>
  </si>
  <si>
    <t>4.20.05.20.060.080.00.000</t>
  </si>
  <si>
    <t>50102070010000</t>
  </si>
  <si>
    <t>4.20.05.20.800.010.00.000</t>
  </si>
  <si>
    <t>50102070020000</t>
  </si>
  <si>
    <t>4.20.05.20.800.810.00.000</t>
  </si>
  <si>
    <t>Altri beni non sanitari da Asl/Ao/Fondazioni della Regione</t>
  </si>
  <si>
    <t>50200000000000</t>
  </si>
  <si>
    <t>4.20.10.00.000.000.00.000</t>
  </si>
  <si>
    <t>B.2) Acquisti di servizi - Totale</t>
  </si>
  <si>
    <t>50201000000000</t>
  </si>
  <si>
    <t>4.20.10.10.000.000.00.000</t>
  </si>
  <si>
    <t>B.2.A) Acquisti di servizi sanitari - Totale</t>
  </si>
  <si>
    <t>50201010000000</t>
  </si>
  <si>
    <t>4.20.10.10.010.000.00.000</t>
  </si>
  <si>
    <t>B.2.A.1) Acquisti di servizi sanitari per medicina di base - Totale</t>
  </si>
  <si>
    <t>50201010010000</t>
  </si>
  <si>
    <t>4.20.10.10.010.010.00.000</t>
  </si>
  <si>
    <t>Assistenza per medicina di base convenzionata: Medici Medicina Generale</t>
  </si>
  <si>
    <t>50201010020000</t>
  </si>
  <si>
    <t>4.20.10.10.010.020.00.000</t>
  </si>
  <si>
    <t>Assistenza per medicina di base convenzionata: Pediatri Libera Scelta</t>
  </si>
  <si>
    <t>50201010030000</t>
  </si>
  <si>
    <t>4.20.10.10.010.030.00.000</t>
  </si>
  <si>
    <t>Assistenza per medicina di base convenzionata: Medici Guardia medica - Continuità assistenziale</t>
  </si>
  <si>
    <t>50201010040000</t>
  </si>
  <si>
    <t>4.20.10.10.010.040.00.000</t>
  </si>
  <si>
    <t>Assistenza per medicina di base convenzionata: Medicina dei servizi</t>
  </si>
  <si>
    <t>50201010050000</t>
  </si>
  <si>
    <t>4.20.10.10.010.050.00.000</t>
  </si>
  <si>
    <t>Assistenza per medicina di base convenzionata: Psicologi</t>
  </si>
  <si>
    <t>50201010060000</t>
  </si>
  <si>
    <t>4.20.10.10.010.060.00.000</t>
  </si>
  <si>
    <t>Assistenza per medicina di base convenzionata: Medici 118</t>
  </si>
  <si>
    <t>50201010070000</t>
  </si>
  <si>
    <t>4.20.10.10.010.100.00.000</t>
  </si>
  <si>
    <t>Altra assistenza per medicina di base</t>
  </si>
  <si>
    <t>50201010080000</t>
  </si>
  <si>
    <t>4.20.10.10.010.200.00.000</t>
  </si>
  <si>
    <t>Assistenza per medicina di base convenzionata: da pubblico Mobilità (Extra Regione)</t>
  </si>
  <si>
    <t>50201020000000</t>
  </si>
  <si>
    <t>4.20.10.10.020.000.00.000</t>
  </si>
  <si>
    <t>B.2.A.2) Acquisti di servizi sanitari per farmaceutica - Totale</t>
  </si>
  <si>
    <t>50201020010010</t>
  </si>
  <si>
    <t>4.20.10.10.020.010.10.000</t>
  </si>
  <si>
    <t>acquisto di prestazioni di farmaceutica da farmacie ubicate nel proprio territorio (Farmaceutica convenzionata ex art. 8, c. 2, D. Lgs. 502/92): Farmaci</t>
  </si>
  <si>
    <t>50201020010020</t>
  </si>
  <si>
    <t>4.20.10.10.020.010.20.000</t>
  </si>
  <si>
    <t>acquisto di prestazioni di farmaceutica da farmacie ubicate in altre province lombarde (Farmaceutica convenzionata ex art. 8, c. 2, D. Lgs. 502/92): Farmaci</t>
  </si>
  <si>
    <t>50201020010050</t>
  </si>
  <si>
    <t>4.20.10.10.020.010.30.000</t>
  </si>
  <si>
    <t>acquisto di prestazioni di farmaceutica da farmacie ubicate fuori regione (Farmaceutica convenzionata ex art. 8, c. 2, D. Lgs. 502/92): Farmaci (Mobilità passiva in compensazione)</t>
  </si>
  <si>
    <t>50201020020010</t>
  </si>
  <si>
    <t>4.20.10.10.020.020.10.000</t>
  </si>
  <si>
    <t>acquisto di prestazioni di farmaceutica da farmacie ubicate nel proprio territorio (Farmaceutica convenzionata ex art. 8, c. 2, D. Lgs. 502/92): Galenici</t>
  </si>
  <si>
    <t>50201020020020</t>
  </si>
  <si>
    <t>4.20.10.10.020.020.20.000</t>
  </si>
  <si>
    <t>acquisto di prestazioni di farmaceutica da farmacie ubicate in altre province lombarde (Farmaceutica convenzionata ex art. 8, c. 2, D. Lgs. 502/92): Galenici</t>
  </si>
  <si>
    <t>50201020020030</t>
  </si>
  <si>
    <t>4.20.10.10.020.020.30.000</t>
  </si>
  <si>
    <t>acquisto di prestazioni di farmaceutica da farmacie ubicate fuori regione (Farmaceutica convenzionata ex art. 8, c. 2, D. Lgs. 502/92): Galenici (Mobilità passiva in compensazione)</t>
  </si>
  <si>
    <t>50201020030010</t>
  </si>
  <si>
    <t>4.20.10.10.020.030.10.000</t>
  </si>
  <si>
    <t>acquisto di prestazioni di farmaceutica da farmacie ubicate nel proprio territorio (Farmaceutica convenzionata ex art. 8, c. 2, D. Lgs. 502/92): Ossigeno</t>
  </si>
  <si>
    <t>50201020030020</t>
  </si>
  <si>
    <t>4.20.10.10.020.030.20.000</t>
  </si>
  <si>
    <t>acquisto di prestazioni di farmaceutica da farmacie ubicate in altre province lombarde (Farmaceutica convenzionata ex art. 8, c. 2, D. Lgs. 502/92): Ossigeno</t>
  </si>
  <si>
    <t>50201020030030</t>
  </si>
  <si>
    <t>4.20.10.10.020.030.30.000</t>
  </si>
  <si>
    <t>acquisto di prestazioni di farmaceutica da farmacie ubicate fuori regione (Farmaceutica convenzionata ex art. 8, c. 2, D. Lgs. 502/92): Ossigeno (Mobilità passiva in compensazione)</t>
  </si>
  <si>
    <t>50201020040010</t>
  </si>
  <si>
    <t>4.20.10.10.020.040.10.000</t>
  </si>
  <si>
    <t>acquisto di prestazioni di farmaceutica da farmacie rurali</t>
  </si>
  <si>
    <t>50201020050000</t>
  </si>
  <si>
    <t>4.20.10.10.020.050.10.000</t>
  </si>
  <si>
    <t>contributi ENPAF per acquisto di prestazioni di farmaceutica (Farmaceutica convenzionata ex art. 8, c. 2, D. Lgs. 502/92)</t>
  </si>
  <si>
    <t>50201020060010</t>
  </si>
  <si>
    <t>4.20.10.10.020.090.10.000</t>
  </si>
  <si>
    <t>altri contributi relativi alle prestazioni di farmaceutica Convenzionata</t>
  </si>
  <si>
    <t>50201030000000</t>
  </si>
  <si>
    <t>4.20.10.10.030.000.00.000</t>
  </si>
  <si>
    <t>B.2.A.3) Acquisti di servizi sanitari per assistenza specialistica ambulatoriale - Totale</t>
  </si>
  <si>
    <t>50201030010000</t>
  </si>
  <si>
    <t>4.20.10.10.030.010.10.010</t>
  </si>
  <si>
    <t>acquisto di prestazioni ambulatoriali da strutture pubbliche ubicate nel proprio territorio:  AO/ASL/Fondazioni pubbliche</t>
  </si>
  <si>
    <t>50201030020000</t>
  </si>
  <si>
    <t>4.20.10.10.030.010.10.020</t>
  </si>
  <si>
    <t>acquisto di prestazioni ambulatoriali da strutture pubbliche ubicate nel proprio territorio: altri soggetti pubblici</t>
  </si>
  <si>
    <t>50201030030000</t>
  </si>
  <si>
    <t>4.20.10.10.030.010.10.030</t>
  </si>
  <si>
    <t>acquisto di prestazioni ambulatoriali in strutture pubbliche ubicate in altre province della Lombardia: AO/ASL/Fondazioni pubbliche</t>
  </si>
  <si>
    <t>50201030040000</t>
  </si>
  <si>
    <t>4.20.10.10.030.010.10.050</t>
  </si>
  <si>
    <t>acquisto di prestazioni ambulatoriali in strutture pubbliche ubicate in altre province della Lombardia: altri soggetti pubblici</t>
  </si>
  <si>
    <t>50201030050000</t>
  </si>
  <si>
    <t>4.20.10.10.030.010.20.010</t>
  </si>
  <si>
    <t>acquisto di prestazioni ambulatoriali da strutture private ubicate nel proprio territorio: IRCCS privati</t>
  </si>
  <si>
    <t>50201030060000</t>
  </si>
  <si>
    <t>4.20.10.10.030.010.20.020</t>
  </si>
  <si>
    <t>acquisto di prestazioni ambulatoriali da strutture private ubicate nel proprio territorio: ospedali classificati</t>
  </si>
  <si>
    <t>50201030070000</t>
  </si>
  <si>
    <t>4.20.10.10.030.010.20.030</t>
  </si>
  <si>
    <t>acquisto di prestazioni ambulatoriali da strutture private ubicate nel proprio territorio: case di cura private</t>
  </si>
  <si>
    <t>50201030080000</t>
  </si>
  <si>
    <t>4.20.10.10.030.010.20.040</t>
  </si>
  <si>
    <t>acquisto di prestazioni ambulatoriali da strutture private ubicate nel proprio territorio: strutture accreditate</t>
  </si>
  <si>
    <t>50201030090000</t>
  </si>
  <si>
    <t>4.20.10.10.030.010.20.110</t>
  </si>
  <si>
    <t>acquisto di prestazioni ambulatoriali in strutture private ubicate in altre province della Lombardia: IRCCS privati</t>
  </si>
  <si>
    <t>50201030100000</t>
  </si>
  <si>
    <t>4.20.10.10.030.010.20.120</t>
  </si>
  <si>
    <t>acquisto di prestazioni ambulatoriali in strutture private ubicate in altre province della Lombardia: ospedali classificati</t>
  </si>
  <si>
    <t>50201030110000</t>
  </si>
  <si>
    <t>4.20.10.10.030.010.20.130</t>
  </si>
  <si>
    <t>acquisto di prestazioni ambulatoriali in strutture private ubicate in altre province della Lombardia: case di cura private</t>
  </si>
  <si>
    <t>50201030120000</t>
  </si>
  <si>
    <t>4.20.10.10.030.010.20.140</t>
  </si>
  <si>
    <t>acquisto di prestazioni ambulatoriali in strutture private ubicate in altre province della Lombardia: strutture accreditate</t>
  </si>
  <si>
    <t>50201030130000</t>
  </si>
  <si>
    <t>4.20.10.10.030.010.30.010</t>
  </si>
  <si>
    <t>acquisto di prestazioni ambulatoriali in strutture ubicate fuori Regione (mobilità passiva in compensazione)</t>
  </si>
  <si>
    <t>50201030140000</t>
  </si>
  <si>
    <t>4.20.10.10.030.020.10.010</t>
  </si>
  <si>
    <t>assistenza medico specialistica convenzionata interna (SUMAI)</t>
  </si>
  <si>
    <t>50201030150010</t>
  </si>
  <si>
    <t>4.20.10.10.030.030.10.010</t>
  </si>
  <si>
    <t>Prestazioni di "screening" in strutture pubbliche ubicate nel proprio territorio: AO/ASL/Fondazioni pubbliche</t>
  </si>
  <si>
    <t>50201030150020</t>
  </si>
  <si>
    <t>4.20.10.10.030.030.10.020</t>
  </si>
  <si>
    <t>Prestazioni di "screening" in strutture pubbliche ubicate nel proprio territorio: altri soggetti pubblici</t>
  </si>
  <si>
    <t>50201030150030</t>
  </si>
  <si>
    <t>4.20.10.10.030.030.10.030</t>
  </si>
  <si>
    <t>Prestazioni di "screening" in strutture pubbliche ubicate in altre province della Lombardia: AO/ASL/Fondazioni pubbliche</t>
  </si>
  <si>
    <t>50201030150040</t>
  </si>
  <si>
    <t>4.20.10.10.030.030.10.040</t>
  </si>
  <si>
    <t>Prestazioni di "screening" in strutture pubbliche ubicate in altre province della Lombardia: altri soggetti pubblici</t>
  </si>
  <si>
    <t>50201030150050</t>
  </si>
  <si>
    <t>4.20.10.10.030.030.20.010</t>
  </si>
  <si>
    <t>Prestazioni di "screening" in strutture private ubicate nel proprio territorio: IRCCS privati</t>
  </si>
  <si>
    <t>50201030150060</t>
  </si>
  <si>
    <t>4.20.10.10.030.030.20.020</t>
  </si>
  <si>
    <t>Prestazioni di "screening" in strutture private ubicate nel proprio territorio: ospedali classificati</t>
  </si>
  <si>
    <t>50201030150070</t>
  </si>
  <si>
    <t>4.20.10.10.030.030.20.030</t>
  </si>
  <si>
    <t>Prestazioni di "screening" in strutture private ubicate nel proprio territorio: case di cura private</t>
  </si>
  <si>
    <t>50201030150080</t>
  </si>
  <si>
    <t>4.20.10.10.030.030.20.040</t>
  </si>
  <si>
    <t>Prestazioni di "screening" in strutture private ubicate nel proprio territorio: strutture accreditate</t>
  </si>
  <si>
    <t>50201030160010</t>
  </si>
  <si>
    <t>4.20.10.10.030.030.20.110</t>
  </si>
  <si>
    <t>Prestazioni di "screening" in strutture private ubicate in altre province della Lombardia: IRCCS privati</t>
  </si>
  <si>
    <t>50201030160020</t>
  </si>
  <si>
    <t>4.20.10.10.030.030.20.120</t>
  </si>
  <si>
    <t>Prestazioni di "screening" in strutture private ubicate in altre province della Lombardia: ospedali classificati</t>
  </si>
  <si>
    <t>50201030160030</t>
  </si>
  <si>
    <t>4.20.10.10.030.030.20.130</t>
  </si>
  <si>
    <t>Prestazioni di "screening" in strutture private ubicate in altre province della Lombardia: case di cura private</t>
  </si>
  <si>
    <t>50201030160040</t>
  </si>
  <si>
    <t>4.20.10.10.030.030.20.140</t>
  </si>
  <si>
    <t>Prestazioni di "screening" in strutture private ubicate in altre province della Lombardia: strutture accreditate</t>
  </si>
  <si>
    <t>50201030160050</t>
  </si>
  <si>
    <t>4.20.10.10.030.030.30.010</t>
  </si>
  <si>
    <t>acquisto di prestazioni di "screening" in strutture ubicate fuori Regione (mobilità passiva in compensazione)</t>
  </si>
  <si>
    <t>50201030170010</t>
  </si>
  <si>
    <t>4.20.10.10.030.040.10.010</t>
  </si>
  <si>
    <t>acquisto di prestazioni di Neuro-psichiatria Infantile (Uonpia) in strutture pubbliche ubicate nel proprio territorio: AO/ASL/Fondazioni pubbliche</t>
  </si>
  <si>
    <t>50201030170020</t>
  </si>
  <si>
    <t>4.20.10.10.030.040.10.020</t>
  </si>
  <si>
    <t>acquisto di prestazioni di Neuro-psichiatria Infantile (Uonpia) in strutture pubbliche ubicate nel proprio territorio: altri soggetti pubblici</t>
  </si>
  <si>
    <t>50201030170030</t>
  </si>
  <si>
    <t>4.20.10.10.030.040.10.030</t>
  </si>
  <si>
    <t>acquisto di prestazioni di Neuro-psichiatria Infantile (Uonpia) in strutture pubbliche ubicate in altre province della Lombardia: AO/ASL/Fondazioni pubbliche</t>
  </si>
  <si>
    <t>50201030170040</t>
  </si>
  <si>
    <t>4.20.10.10.030.040.10.040</t>
  </si>
  <si>
    <t>acquisto di prestazioni di Neuro-psichiatria Infantile (Uonpia) in strutture pubbliche ubicate in altre province della Lombardia: altri soggetti pubblici</t>
  </si>
  <si>
    <t>50201030170050</t>
  </si>
  <si>
    <t>4.20.10.10.030.040.20.010</t>
  </si>
  <si>
    <t>acquisto di prestazioni di Neuro-psichiatria Infantile (Uonpia) in strutture private ubicate nel proprio territorio: IRCCS privati</t>
  </si>
  <si>
    <t>50201030170060</t>
  </si>
  <si>
    <t>4.20.10.10.030.040.20.020</t>
  </si>
  <si>
    <t>acquisto di prestazioni di Neuro-psichiatria Infantile (Uonpia) in strutture private ubicate nel proprio territorio: ospedali classificati</t>
  </si>
  <si>
    <t>50201030170070</t>
  </si>
  <si>
    <t>4.20.10.10.030.040.20.030</t>
  </si>
  <si>
    <t>acquisto di prestazioni di Neuro-psichiatria Infantile (Uonpia) in strutture private ubicate nel proprio territorio: case di cura private</t>
  </si>
  <si>
    <t>50201030170080</t>
  </si>
  <si>
    <t>4.20.10.10.030.040.20.040</t>
  </si>
  <si>
    <t>acquisto di prestazioni di Neuro-psichiatria Infantile (Uonpia) in strutture private ubicate nel proprio territorio: strutture accreditate</t>
  </si>
  <si>
    <t>50201030170090</t>
  </si>
  <si>
    <t>4.20.10.10.030.040.20.110</t>
  </si>
  <si>
    <t>acquisto di prestazioni di Neuro-psichiatria Infantile (Uonpia) in strutture private ubicate in altre province lombarde: IRCCS privati</t>
  </si>
  <si>
    <t>50201030170100</t>
  </si>
  <si>
    <t>4.20.10.10.030.040.20.120</t>
  </si>
  <si>
    <t>acquisto di prestazioni di Neuro-psichiatria Infantile (Uonpia) in strutture private ubicate in altre province lombarde: ospedali classificati</t>
  </si>
  <si>
    <t>50201030170110</t>
  </si>
  <si>
    <t>4.20.10.10.030.040.20.130</t>
  </si>
  <si>
    <t>acquisto di prestazioni di Neuro-psichiatria Infantile (Uonpia) in strutture private ubicate in altre province lombarde: case di cura private</t>
  </si>
  <si>
    <t>50201030170120</t>
  </si>
  <si>
    <t>4.20.10.10.030.040.20.140</t>
  </si>
  <si>
    <t>acquisto di prestazioni di Neuro-psichiatria Infantile (Uonpia) in strutture private ubicate in altre province lombarde: strutture accreditate</t>
  </si>
  <si>
    <t>50201030170130</t>
  </si>
  <si>
    <t>4.20.10.10.030.040.30.010</t>
  </si>
  <si>
    <t>acquisto di prestazioni di Neuro-psichiatria Infantile (Uonpia) in strutture private ubicate fuori regione (mobilità passiva non in compensazione)</t>
  </si>
  <si>
    <t>50201040000000</t>
  </si>
  <si>
    <t>4.20.10.10.040.000.00.000</t>
  </si>
  <si>
    <t>B.2.A.4) Acquisti di servizi sanitari per assistenza riabilitativa - Totale</t>
  </si>
  <si>
    <t>50201040020010</t>
  </si>
  <si>
    <t>4.20.10.10.040.010.10.000</t>
  </si>
  <si>
    <t>acquisto di prestazioni socio sanitarie integrate da strutture ubicate nel proprio territorio da I.D.R. extraosp. Art. 26 L.833/78 e da strutture di riabilitazione riclassificate ex Dgr n. 19883/2004 pubblici</t>
  </si>
  <si>
    <t>50201040020020</t>
  </si>
  <si>
    <t>4.20.10.10.040.010.20.000</t>
  </si>
  <si>
    <t>acquisto di prestazioni socio sanitarie integrate da strutture ubicate in altre province della Regione da I.D.R. extraosp. Art. 26 L.833/78 e da strutture di riabilitazione riclassificate ex Dgr n. 19883/2004 pubblici</t>
  </si>
  <si>
    <t>50201040020030</t>
  </si>
  <si>
    <t>4.20.10.10.040.010.30.000</t>
  </si>
  <si>
    <t>acquisto di prestazioni socio sanitarie integrate da strutture ubicate fuori Regione da I.D.R. extraosp. Art.26 €.833/78 pubblici (non soggetto a compensazione)</t>
  </si>
  <si>
    <t>50201040030010</t>
  </si>
  <si>
    <t>4.20.10.10.040.020.10.000</t>
  </si>
  <si>
    <t>acquisto di prestazioni socio sanitarie integrate da strutture ubicate nel proprio territorio da I.D.R. extraosp. Art. 26 L.833/78 e da strutture di riabilitazione riclassificate ex Dgr n. 19883/2004 privati</t>
  </si>
  <si>
    <t>50201040030020</t>
  </si>
  <si>
    <t>4.20.10.10.040.020.20.000</t>
  </si>
  <si>
    <t>acquisto di prestazioni socio sanitarie integrate da strutture ubicate in altre province della Regione da I.D.R. extraosp. Art. 26 L.833/78 e da strutture di riabilitazione riclassificate ex Dgr n. 19883/2004 privati</t>
  </si>
  <si>
    <t>50201040030030</t>
  </si>
  <si>
    <t>4.20.10.10.040.020.30.000</t>
  </si>
  <si>
    <t>acquisto di prestazioni socio sanitarie integrate da strutture ubicate fuori Regione da I.D.R. extraosp. Art.26 L.833/78 privati</t>
  </si>
  <si>
    <t>50201050000000</t>
  </si>
  <si>
    <t>4.20.10.10.050.000.00.000</t>
  </si>
  <si>
    <t>B.2.A.5) Acquisti servizi sanitari per assistenza integrativa e protesica - Totale</t>
  </si>
  <si>
    <t>50201050010010</t>
  </si>
  <si>
    <t>4.20.10.10.050.010.00.000</t>
  </si>
  <si>
    <t>acquisto di prestazioni di farmaceutica da farmacie ubicate nel proprio territorio (Farmaceutica convenzionata ex art. 8, c. 2, D. Lgs. 502/92): Protesica</t>
  </si>
  <si>
    <t>50201050010020</t>
  </si>
  <si>
    <t>4.20.10.10.050.020.00.000</t>
  </si>
  <si>
    <t>acquisto di prestazioni di farmaceutica da farmacie ubicate in altre province lombarde (Farmaceutica convenzionata ex art. 8, c. 2, D. Lgs. 502/92): Protesica</t>
  </si>
  <si>
    <t>50201050010030</t>
  </si>
  <si>
    <t>4.20.10.10.050.030.00.000</t>
  </si>
  <si>
    <t>acquisto di prestazioni di farmaceutica da farmacie ubicate fuori regione (Farmaceutica convenzionata ex art. 8, c. 2, D. Lgs. 502/92): Protesica</t>
  </si>
  <si>
    <t>50201050020010</t>
  </si>
  <si>
    <t>4.20.10.10.050.110.00.000</t>
  </si>
  <si>
    <t>acquisto di prestazioni di farmaceutica da farmacie ubicate nel proprio territorio (Farmaceutica convenzionata ex art. 8, c. 2, D. Lgs. 502/92): Dietetica</t>
  </si>
  <si>
    <t>50201050020020</t>
  </si>
  <si>
    <t>4.20.10.10.050.120.00.000</t>
  </si>
  <si>
    <t>acquisto di prestazioni di farmaceutica da farmacie ubicate in altre province lombarde (Farmaceutica convenzionata ex art. 8, c. 2, D. Lgs. 502/92): Dietetica</t>
  </si>
  <si>
    <t>50201050020030</t>
  </si>
  <si>
    <t>4.20.10.10.050.130.00.000</t>
  </si>
  <si>
    <t>acquisto di prestazioni di farmaceutica da farmacie ubicate fuori regione (Farmaceutica convenzionata ex art. 8, c. 2, D. Lgs. 502/92): Dietetica</t>
  </si>
  <si>
    <t>50201050020040</t>
  </si>
  <si>
    <t>4.20.10.10.050.150.00.000</t>
  </si>
  <si>
    <t>acquisto di prestazioni di farmaceutica da farmacie ubicate nel proprio territorio (Farmaceutica convenzionata ex art. 8, c. 2, D. Lgs. 502/92): Diabetica</t>
  </si>
  <si>
    <t>50201050020050</t>
  </si>
  <si>
    <t>4.20.10.10.050.152.00.000</t>
  </si>
  <si>
    <t>acquisto di prestazioni di farmaceutica da farmacie ubicate in altre province lombarde (Farmaceutica convenzionata ex art. 8, c. 2, D. Lgs. 502/92): Diabetica</t>
  </si>
  <si>
    <t>50201050020060</t>
  </si>
  <si>
    <t>4.20.10.10.050.154.00.000</t>
  </si>
  <si>
    <t>acquisto di prestazioni di farmaceutica da farmacie ubicate fuori regione (Farmaceutica convenzionata ex art. 8, c. 2, D. Lgs. 502/92): Diabetica</t>
  </si>
  <si>
    <t>50201050030010</t>
  </si>
  <si>
    <t>4.20.10.10.050.210.00.000</t>
  </si>
  <si>
    <t>Assistenza Integrativa (Dietetica) non erogata tramite Farmaceutica Convenzionata - Negozi non WebCare - (ex art. 8, c. 2, D.Lgs. 502/92)</t>
  </si>
  <si>
    <t>50201050030020</t>
  </si>
  <si>
    <t>4.20.10.10.050.215.00.000</t>
  </si>
  <si>
    <t>Assistenza Integrativa (Dietetica) non erogata tramite Farmaceutica Convenzionata - WEBCARE -(ex art. 8, c. 2, D.Lgs. 502/92)</t>
  </si>
  <si>
    <t>50201050030030</t>
  </si>
  <si>
    <t>4.20.10.10.050.220.00.000</t>
  </si>
  <si>
    <t>Assistenza Integrativa (Ausili per Diabetici) non erogata tramite Farmaceutica Convenzionata (ex art. 8, c. 2, D.Lgs. 502/92)</t>
  </si>
  <si>
    <t>50201050040010</t>
  </si>
  <si>
    <t>4.20.10.10.050.310.00.000</t>
  </si>
  <si>
    <t>Assistenza Protesica non erogata tramite Farmaceutica Convenzionata (ex art. 8, c. 2, D.Lgs. 502/92) c.d. protesica "Maggiore"</t>
  </si>
  <si>
    <t>50201050040020</t>
  </si>
  <si>
    <t>4.20.10.10.050.320.00.000</t>
  </si>
  <si>
    <t>Assistenza Protesica non erogata tramite Farmaceutica Convenzionata (ex art. 8, c. 2, D.Lgs. 502/92) c.d. protesica "Minore"</t>
  </si>
  <si>
    <t>50201050040030</t>
  </si>
  <si>
    <t>4.20.10.10.050.330.00.000</t>
  </si>
  <si>
    <t>Assistenza Protesica non erogata tramite Farmaceutica Convenzionata (ex art. 8, c. 2, D.Lgs. 502/92)  - Costi di gestione magazzino</t>
  </si>
  <si>
    <t>50201050050010</t>
  </si>
  <si>
    <t>4.20.10.10.050.332.00.000</t>
  </si>
  <si>
    <t>Acquisto di prestazioni relative all'Assistenza Integrativa  - Nutrizione Artificiale Enterale</t>
  </si>
  <si>
    <t>50201050050020</t>
  </si>
  <si>
    <t>4.20.10.10.050.334.00.000</t>
  </si>
  <si>
    <t>Acquisto di prestazioni relative all'Assistenza Integrativa (SOLO Servizio Distributivo da privato)</t>
  </si>
  <si>
    <t>50201050060010</t>
  </si>
  <si>
    <t>4.20.10.10.050.336.00.000</t>
  </si>
  <si>
    <t>Acquisto di prestazioni relative all'Assistenza Protesica (SOLO Servizio Distributivo da privato)</t>
  </si>
  <si>
    <t>50201050060020</t>
  </si>
  <si>
    <t>4.20.10.10.050.400.00.000</t>
  </si>
  <si>
    <t>Acquisto di prestazioni relative all'Assistenza Protesica Extraregione</t>
  </si>
  <si>
    <t>50201050070000</t>
  </si>
  <si>
    <t>4.20.10.10.050.450.00.000</t>
  </si>
  <si>
    <t>Acquisto di prestazioni relative all'Assistenza Integrativa Extraregione</t>
  </si>
  <si>
    <t>50201050120010</t>
  </si>
  <si>
    <t>4.20.10.10.050.800.00.000</t>
  </si>
  <si>
    <t>Acquisto di prestazioni relative all'Assistenza Integrativa e Protesica (SOLO Servizio Distributivo da privato) [da non più utilizzare]</t>
  </si>
  <si>
    <t>50201060000000</t>
  </si>
  <si>
    <t>4.20.10.10.060.000.00.000</t>
  </si>
  <si>
    <t>B.2.A.6) Acquisti servizi sanitari per assistenza ospedaliera - Totale</t>
  </si>
  <si>
    <t>50201060010010</t>
  </si>
  <si>
    <t>4.20.10.10.060.010.10.000</t>
  </si>
  <si>
    <t>acquisto di Drg da strutture pubbliche ubicate nel proprio territorio: AO/Fondazioni pubbliche</t>
  </si>
  <si>
    <t>50201060010020</t>
  </si>
  <si>
    <t>4.20.10.10.060.010.20.000</t>
  </si>
  <si>
    <t>acquisto di Drg da strutture pubbliche ubicate nel proprio territorio: altri soggetti pubblici</t>
  </si>
  <si>
    <t>50201060010030</t>
  </si>
  <si>
    <t>4.20.10.10.060.010.30.000</t>
  </si>
  <si>
    <t>acquisto di Drg da strutture pubbliche ubicate in altre province della Lombardia: ASL/AO/Fondazioni pubbliche</t>
  </si>
  <si>
    <t>50201060010040</t>
  </si>
  <si>
    <t>4.20.10.10.060.010.40.000</t>
  </si>
  <si>
    <t>acquisto di Drg da strutture pubbliche ubicate in altre province della Lombardia: altri soggetti pubblici</t>
  </si>
  <si>
    <t>50201060010050</t>
  </si>
  <si>
    <t>4.20.10.10.060.010.80.000</t>
  </si>
  <si>
    <t>acquisto di Drg da strutture pubbliche ubicate fuori Regione (mobilità passiva in compensazione)</t>
  </si>
  <si>
    <t>50201060020010</t>
  </si>
  <si>
    <t>4.20.10.10.060.020.10.000</t>
  </si>
  <si>
    <t>acquisto di Drg da erogatori privati ubicati nel proprio territorio: IRCCS privati</t>
  </si>
  <si>
    <t>50201060020020</t>
  </si>
  <si>
    <t>4.20.10.10.060.020.20.000</t>
  </si>
  <si>
    <t>acquisto di Drg da erogatori privati ubicati nel proprio territorio: ospedali classificati</t>
  </si>
  <si>
    <t>50201060020030</t>
  </si>
  <si>
    <t>4.20.10.10.060.020.30.000</t>
  </si>
  <si>
    <t>acquisto di Drg da erogatori privati ubicati nel proprio territorio: case di cura private</t>
  </si>
  <si>
    <t>50201060020050</t>
  </si>
  <si>
    <t>4.20.10.10.060.020.40.000</t>
  </si>
  <si>
    <t>acquisto di Drg da erogatori privati ubicati in altre province della Lombardia: IRCCS privati</t>
  </si>
  <si>
    <t>50201060020060</t>
  </si>
  <si>
    <t>4.20.10.10.060.020.50.000</t>
  </si>
  <si>
    <t>acquisto di Drg da erogatori privati ubicati in altre province della Lombardia: ospedali classificati</t>
  </si>
  <si>
    <t>50201060020070</t>
  </si>
  <si>
    <t>4.20.10.10.060.020.60.000</t>
  </si>
  <si>
    <t>acquisto di Drg da erogatori privati ubicati in altre province della Lombardia: case di cura private</t>
  </si>
  <si>
    <t>50201070000000</t>
  </si>
  <si>
    <t>4.20.10.10.070.000.00.000</t>
  </si>
  <si>
    <t>B.2.A.7) Acquisto prestazioni di psichiatria residenziale e semiresidenziale - Totale</t>
  </si>
  <si>
    <t>50201070010010</t>
  </si>
  <si>
    <t>4.20.10.10.070.010.10.000</t>
  </si>
  <si>
    <t>acquisto di prestazioni di psichiatria in strutture pubbliche ubicate nel proprio territorio: AO/Fondazioni pubbliche</t>
  </si>
  <si>
    <t>50201070010020</t>
  </si>
  <si>
    <t>4.20.10.10.070.010.20.000</t>
  </si>
  <si>
    <t>acquisto di prestazioni di psichiatria in strutture pubbliche ubicate nel proprio territorio: altri soggetti pubblici</t>
  </si>
  <si>
    <t>50201070010030</t>
  </si>
  <si>
    <t>4.20.10.10.070.010.30.000</t>
  </si>
  <si>
    <t>acquisto di prestazioni di psichiatria in strutture pubbliche ubicate in altre province lombarde: ASL/AO/Fondazioni pubbliche</t>
  </si>
  <si>
    <t>50201070010040</t>
  </si>
  <si>
    <t>4.20.10.10.070.010.40.000</t>
  </si>
  <si>
    <t>acquisto di prestazioni di psichiatria in strutture pubbliche ubicate in altre province lombarde: altri soggetti pubblici</t>
  </si>
  <si>
    <t>50201070010050</t>
  </si>
  <si>
    <t>4.20.10.10.070.010.50.000</t>
  </si>
  <si>
    <t>acquisto di prestazioni di psichiatria in strutture pubbliche ubicate fuori regione (Mobilità passiva non soggetta a compensazione)</t>
  </si>
  <si>
    <t>50201070020010</t>
  </si>
  <si>
    <t>4.20.10.10.070.020.10.000</t>
  </si>
  <si>
    <t>acquisto di prestazioni di psichiatria in strutture private accreditate a contratto ubicate nel proprio territorio</t>
  </si>
  <si>
    <t>50201070020020</t>
  </si>
  <si>
    <t>4.20.10.10.070.020.20.000</t>
  </si>
  <si>
    <t>acquisto di prestazioni di psichiatria in strutture private accreditate a contratto ubicate in altre province lombarde</t>
  </si>
  <si>
    <t>50201070020030</t>
  </si>
  <si>
    <t>4.20.10.10.070.020.30.000</t>
  </si>
  <si>
    <t>acquisto di prestazioni di psichiatria in strutture private accreditate NON a contratto ubicate nel proprio territorio</t>
  </si>
  <si>
    <t>50201070020040</t>
  </si>
  <si>
    <t>4.20.10.10.070.020.40.000</t>
  </si>
  <si>
    <t>acquisto di prestazioni di psichiatria in strutture private accreditate NON a contratto ubicate in altre province lombarde</t>
  </si>
  <si>
    <t>50201070020050</t>
  </si>
  <si>
    <t>4.20.10.10.070.020.50.000</t>
  </si>
  <si>
    <t>acquisto di prestazioni di psichiatria in strutture private ubicate fuori regione (Mobilità passiva non soggetta a compensazione)</t>
  </si>
  <si>
    <t>50201080000000</t>
  </si>
  <si>
    <t>4.20.10.10.080.000.00.000</t>
  </si>
  <si>
    <t>B.2.A.8) Acquisto prestazioni di distribuzione farmaci e File F - Totale</t>
  </si>
  <si>
    <t>50201080010010</t>
  </si>
  <si>
    <t>4.20.10.10.080.010.10.000</t>
  </si>
  <si>
    <t>acquisto farmaci file F da struture pubbliche ubicate nel proprio territorio: AO/Fondazioni pubbliche</t>
  </si>
  <si>
    <t>50201080010020</t>
  </si>
  <si>
    <t>4.20.10.10.080.010.20.000</t>
  </si>
  <si>
    <t>acquisto farmaci file F da struture pubbliche ubicate nel proprio territorio: altri Enti pubblici</t>
  </si>
  <si>
    <t>50201080010030</t>
  </si>
  <si>
    <t>4.20.10.10.080.010.30.000</t>
  </si>
  <si>
    <t>acquisto farmaci file F da strutture pubbliche ubicate in altre province della Regione: ASL/AO/Fondazioni pubbliche</t>
  </si>
  <si>
    <t>50201080010040</t>
  </si>
  <si>
    <t>4.20.10.10.080.010.40.000</t>
  </si>
  <si>
    <t>acquisto farmaci file F da strutture pubbliche ubicate in altre province della Regione: altri Enti pubblici</t>
  </si>
  <si>
    <t>50201080010050</t>
  </si>
  <si>
    <t>4.20.10.10.080.010.50.000</t>
  </si>
  <si>
    <t>acquisto farmaci file F da Istituti penitenziari (anche per il tramite di AO/Fondazioni pubbliche)</t>
  </si>
  <si>
    <t>50201080010060</t>
  </si>
  <si>
    <t>4.20.10.10.080.010.80.000</t>
  </si>
  <si>
    <t>acquisto farmaci file F fuori Regione (Mobilità passiva in compensazione)</t>
  </si>
  <si>
    <t>50201080020010</t>
  </si>
  <si>
    <t>4.20.10.10.080.020.10.000</t>
  </si>
  <si>
    <t>Acquisto farmaci file F da erogatori privati ubicati nel proprio territorio: IRCCS privati</t>
  </si>
  <si>
    <t>50201080020020</t>
  </si>
  <si>
    <t>4.20.10.10.080.020.20.000</t>
  </si>
  <si>
    <t>Acquisto farmaci file F da erogatori privati ubicati nel proprio territorio: ospedali classificati</t>
  </si>
  <si>
    <t>50201080020030</t>
  </si>
  <si>
    <t>4.20.10.10.080.020.30.000</t>
  </si>
  <si>
    <t>Acquisto farmaci file F da erogatori privati ubicati nel proprio territorio: case di cura private</t>
  </si>
  <si>
    <t>50201080020040</t>
  </si>
  <si>
    <t>4.20.10.10.080.020.40.000</t>
  </si>
  <si>
    <t>Acquisto farmaci file F da erogatori privati ubicati in altre province della Regione: IRCCS privati</t>
  </si>
  <si>
    <t>50201080020050</t>
  </si>
  <si>
    <t>4.20.10.10.080.020.50.000</t>
  </si>
  <si>
    <t>Acquisto farmaci file F da erogatori privati ubicati in altre province della Regione: ospedali classificati</t>
  </si>
  <si>
    <t>50201080020060</t>
  </si>
  <si>
    <t>4.20.10.10.080.020.60.000</t>
  </si>
  <si>
    <t>Acquisto farmaci file F da erogatori privati ubicati in altre province della Regione: case di cura private</t>
  </si>
  <si>
    <t>50201080030010</t>
  </si>
  <si>
    <t>4.20.10.10.080.030.10.000</t>
  </si>
  <si>
    <t>acquisto farmaci "Doppio canale" (ex Nota CUF 37 più ossigeno) da strutture pubbliche ubicate nel proprio territorio (rimborso farmaco più servizio): AO/Fondazioni pubbliche</t>
  </si>
  <si>
    <t>50201080030020</t>
  </si>
  <si>
    <t>4.20.10.10.080.030.20.000</t>
  </si>
  <si>
    <t>acquisto farmaci "Doppio canale" (ex Nota CUF 37 più ossigeno) da strutture pubbliche ubicate nel proprio territorio (rimborso farmaco più servizio): altri Enti pubblici</t>
  </si>
  <si>
    <t>50201080030030</t>
  </si>
  <si>
    <t>4.20.10.10.080.030.30.000</t>
  </si>
  <si>
    <t>acquisto farmaci "Doppio canale" (ex Nota CUF 37 più ossigeno) da strutture pubbliche ubicate in altre province (rimborso farmaco più servizio): ASL/AO/Fondazioni pubbliche</t>
  </si>
  <si>
    <t>50201080030040</t>
  </si>
  <si>
    <t>4.20.10.10.080.030.40.000</t>
  </si>
  <si>
    <t>acquisto farmaci "Doppio canale" (ex Nota CUF 37 più ossigeno) da strutture pubbliche ubicate in altre province (rimborso farmaco più servizio): altri Enti pubblici</t>
  </si>
  <si>
    <t>50201080030050</t>
  </si>
  <si>
    <t>4.20.10.10.080.030.80.000</t>
  </si>
  <si>
    <t>Prestazioni di acquisto di "Doppio canale" da strutture ubicate fuori regione (Mobilità passiva in compensazione)</t>
  </si>
  <si>
    <t>50201080040010</t>
  </si>
  <si>
    <t>4.20.10.10.080.040.10.000</t>
  </si>
  <si>
    <t>Prestazioni di acquisto più servizio distributivo di "Doppio canale" da soggetti privati ubicati nel proprio territorio</t>
  </si>
  <si>
    <t>50201080040020</t>
  </si>
  <si>
    <t>4.20.10.10.080.040.20.000</t>
  </si>
  <si>
    <t>Prestazioni di acquisto più servizio distributivo di "Doppio canale" da soggetti privati ubicati in altre province</t>
  </si>
  <si>
    <t>50201080040030</t>
  </si>
  <si>
    <t>4.20.10.10.080.040.30.000</t>
  </si>
  <si>
    <t>Acquisti di prestazioni derivanti dall'attività di "Doppio Canale" (SOLO Servizio Distributivo da privato)</t>
  </si>
  <si>
    <t>50201080050010</t>
  </si>
  <si>
    <t>4.20.10.10.080.050.10.000</t>
  </si>
  <si>
    <t>acquisto farmaci "Primo Ciclo" da strutture pubbliche ubicate nel proprio territorio: AO/Fondazioni pubbliche</t>
  </si>
  <si>
    <t>50201080050020</t>
  </si>
  <si>
    <t>4.20.10.10.080.050.20.000</t>
  </si>
  <si>
    <t>acquisto farmaci "Primo Ciclo" da strutture pubbliche ubicate nel proprio territorio: altri Enti pubblici</t>
  </si>
  <si>
    <t>50201080050030</t>
  </si>
  <si>
    <t>4.20.10.10.080.050.30.000</t>
  </si>
  <si>
    <t>acquisto farmaci "Primo Ciclo" da strutture pubbliche ubicate in altre province della Regione: AO/Fondazioni pubbliche</t>
  </si>
  <si>
    <t>50201080050040</t>
  </si>
  <si>
    <t>4.20.10.10.080.050.40.000</t>
  </si>
  <si>
    <t>acquisto farmaci "Primo Ciclo" da strutture pubbliche ubicate in altre province della Regione: altri Enti pubblici</t>
  </si>
  <si>
    <t>50201080050050</t>
  </si>
  <si>
    <t>4.20.10.10.080.050.80.000</t>
  </si>
  <si>
    <t>acquisto farmaci "Primo Ciclo" da strutture ubicate fuori Regione (Mobilità passiva in compensazione)</t>
  </si>
  <si>
    <t>50201080060010</t>
  </si>
  <si>
    <t>4.20.10.10.080.060.10.000</t>
  </si>
  <si>
    <t>acquisto farmaci "Primo Ciclo" da strutture private ubicate nel proprio territorio</t>
  </si>
  <si>
    <t>50201080060020</t>
  </si>
  <si>
    <t>4.20.10.10.080.060.20.000</t>
  </si>
  <si>
    <t>acquisto farmaci "Primo Ciclo" da strutture private ubicate in altre province della Regione</t>
  </si>
  <si>
    <t>50201090000000</t>
  </si>
  <si>
    <t>4.20.10.10.090.000.00.000</t>
  </si>
  <si>
    <t>B.2.A.9) Acquisto prestazioni termali in convenzione - Totale</t>
  </si>
  <si>
    <t>50201090010010</t>
  </si>
  <si>
    <t>4.20.10.10.090.010.00.000</t>
  </si>
  <si>
    <t>assistenza termale in convenzione ubicate nel proprio territorio</t>
  </si>
  <si>
    <t>50201090010020</t>
  </si>
  <si>
    <t>4.20.10.10.090.020.00.000</t>
  </si>
  <si>
    <t>assistenza termale in convenzione ubicate in altre province della Regione</t>
  </si>
  <si>
    <t>50201090010030</t>
  </si>
  <si>
    <t>4.20.10.10.090.030.00.000</t>
  </si>
  <si>
    <t>assistenza termale in convenzione fuori Regione (Mobilità passiva in compensazione)</t>
  </si>
  <si>
    <t>50201100000000</t>
  </si>
  <si>
    <t>4.20.10.10.100.000.00.000</t>
  </si>
  <si>
    <t>B.2.A.10) Acquisto prestazioni trasporto sanitari - Totale</t>
  </si>
  <si>
    <t>50201100010000</t>
  </si>
  <si>
    <t>4.20.10.10.100.010.10.000</t>
  </si>
  <si>
    <t>Trasporti sanitari per emergenza da pubblico (118)</t>
  </si>
  <si>
    <t>50201100020000</t>
  </si>
  <si>
    <t>4.20.10.10.100.010.20.000</t>
  </si>
  <si>
    <t>Altri Trasporti sanitari da pubblico</t>
  </si>
  <si>
    <t>50201100050000</t>
  </si>
  <si>
    <t>4.20.10.10.100.010.80.000</t>
  </si>
  <si>
    <t>Trasporti fuori regione (mobilità passiva in compensazione)</t>
  </si>
  <si>
    <t>50201100060000</t>
  </si>
  <si>
    <t>4.20.10.10.100.020.10.000</t>
  </si>
  <si>
    <t>Trasporti sanitari per emergenza da privato (118)</t>
  </si>
  <si>
    <t>50201100070000</t>
  </si>
  <si>
    <t>4.20.10.10.100.020.20.000</t>
  </si>
  <si>
    <t>Altri Trasporti sanitari da privato</t>
  </si>
  <si>
    <t>50201110000000</t>
  </si>
  <si>
    <t>4.20.10.10.110.000.00.000</t>
  </si>
  <si>
    <t>B.2.A.11) Acquisto prestazioni Socio-Sanitaria a rilevanza sanitaria - Totale</t>
  </si>
  <si>
    <t>50201110010010</t>
  </si>
  <si>
    <t>4.20.10.10.110.010.10.010</t>
  </si>
  <si>
    <t>acquisto di prestazioni socio sanitarie integrate da strutture ubicate nel proprio territorio: di cui da RSA pubbliche</t>
  </si>
  <si>
    <t>50201110010020</t>
  </si>
  <si>
    <t>4.20.10.10.110.010.10.040</t>
  </si>
  <si>
    <t>acquisto di prestazioni socio sanitarie integrate da strutture ubicate nel proprio territorio: di cui da C.S.E. pubblici</t>
  </si>
  <si>
    <t>50201110010030</t>
  </si>
  <si>
    <t>4.20.10.10.110.010.10.050</t>
  </si>
  <si>
    <t>acquisto di prestazioni socio sanitarie integrate da strutture ubicate nel proprio territorio: di cui da C.D.I. pubblici</t>
  </si>
  <si>
    <t>50201110010040</t>
  </si>
  <si>
    <t>4.20.10.10.110.010.10.060</t>
  </si>
  <si>
    <t>acquisto di prestazioni socio sanitarie integrate da strutture ubicate nel proprio territorio: di cui da R.S.D. pubbliche</t>
  </si>
  <si>
    <t>50201110010050</t>
  </si>
  <si>
    <t>4.20.10.10.110.010.10.070</t>
  </si>
  <si>
    <t>acquisto di prestazioni socio sanitarie integrate da strutture pubbliche ubicate nel proprio territorio: di cui per pazienti ex O.P. di fascia B (al netto delle tariffe di accreditamento)</t>
  </si>
  <si>
    <t>50201110010060</t>
  </si>
  <si>
    <t>4.20.10.10.110.010.10.080</t>
  </si>
  <si>
    <t>acquisto di prestazioni socio sanitarie integrate da strutture ubicate nel proprio territorio: di cui da Centri Diurni per persone Disabili (C.D.D.) pubblici</t>
  </si>
  <si>
    <t>50201110010070</t>
  </si>
  <si>
    <t>4.20.10.10.110.010.10.090</t>
  </si>
  <si>
    <t>acquisto di prestazioni socio sanitarie integrate da strutture ubicate nel proprio territorio: di cui da Comunità alloggio Socio Sanitarie per persone con disabilità (C.S.S.) pubbliche</t>
  </si>
  <si>
    <t>50201110010080</t>
  </si>
  <si>
    <t>4.20.10.10.110.010.10.100</t>
  </si>
  <si>
    <t>acquisto di prestazioni socio sanitarie integrate da strutture ubicate nel proprio territorio: di cui per Hospice pubblici</t>
  </si>
  <si>
    <t>50201110010090</t>
  </si>
  <si>
    <t>4.20.10.10.110.010.10.110</t>
  </si>
  <si>
    <t>acquisto di prestazioni socio sanitarie integrate da strutture ubicate nel proprio teritorio: di cui per cure intermedie pubbliche</t>
  </si>
  <si>
    <t>50201110020010</t>
  </si>
  <si>
    <t>4.20.10.10.110.010.20.010</t>
  </si>
  <si>
    <t>acquisto di prestazioni socio sanitarie integrate da strutture ubicate in altre province della Regione: di cui da RSA pubbliche</t>
  </si>
  <si>
    <t>50201110020020</t>
  </si>
  <si>
    <t>4.20.10.10.110.010.20.040</t>
  </si>
  <si>
    <t>acquisto di prestazioni socio sanitarie integrate da strutture ubicate in altre province della Regione: di cui da C.S.E. pubblici</t>
  </si>
  <si>
    <t>50201110020030</t>
  </si>
  <si>
    <t>4.20.10.10.110.010.20.050</t>
  </si>
  <si>
    <t>acquisto di prestazioni socio sanitarie integrate da strutture ubicate in altre province della Regione: di cui da C.D.I. pubblici</t>
  </si>
  <si>
    <t>50201110020040</t>
  </si>
  <si>
    <t>4.20.10.10.110.010.20.060</t>
  </si>
  <si>
    <t>acquisto di prestazioni socio sanitarie integrate da strutture ubicate in altre province della Regione: di cui da R.S.D. pubbliche</t>
  </si>
  <si>
    <t>50201110020050</t>
  </si>
  <si>
    <t>4.20.10.10.110.010.20.070</t>
  </si>
  <si>
    <t>acquisto di prestazioni socio sanitarie integrate da strutture pubbliche ubicate in altre province della Regione: di cui per pazienti ex O.P. di fascia B (al netto delle tariffe di accreditamento)</t>
  </si>
  <si>
    <t>50201110020060</t>
  </si>
  <si>
    <t>4.20.10.10.110.010.20.080</t>
  </si>
  <si>
    <t>acquisto di prestazioni socio sanitarie integrate da strutture ubicate in altre province della Regione: di cui da Centri Diurni per persone Disabili (C.D.D.) pubblici</t>
  </si>
  <si>
    <t>50201110020070</t>
  </si>
  <si>
    <t>4.20.10.10.110.010.20.090</t>
  </si>
  <si>
    <t>acquisto di prestazioni socio sanitarie integrate da strutture ubicate in altre province della Regione: di cui da Comunità alloggio Socio Sanitarie per persone con disabilità (C.S.S.) pubbliche</t>
  </si>
  <si>
    <t>50201110020080</t>
  </si>
  <si>
    <t>4.20.10.10.110.010.20.100</t>
  </si>
  <si>
    <t>acquisto di prestazioni socio sanitarie integrate da strutture ubicate in altre province della Regione: di cui per Hospice pubblici</t>
  </si>
  <si>
    <t>50201110020090</t>
  </si>
  <si>
    <t>4.20.10.10.110.010.20.110</t>
  </si>
  <si>
    <t>acquisto di prestazioni socio sanitarie integrate da strutture ubicate in altre province della Regione: di cui per cure intermedie pubbliche</t>
  </si>
  <si>
    <t>50201110030010</t>
  </si>
  <si>
    <t>4.20.10.10.110.010.30.010</t>
  </si>
  <si>
    <t>acquisto di prestazioni socio sanitarie integrate da strutture ubicate fuori Regione: di cui da RSA pubbliche</t>
  </si>
  <si>
    <t>50201110030020</t>
  </si>
  <si>
    <t>4.20.10.10.110.010.30.020</t>
  </si>
  <si>
    <t>acquisto di prestazioni socio sanitarie integrate da strutture ubicate fuori Regione: di cui da strutture per disabili pubbliche</t>
  </si>
  <si>
    <t>50201110030040</t>
  </si>
  <si>
    <t>4.20.10.10.110.010.30.030</t>
  </si>
  <si>
    <t>acquisto di prestazioni socio sanitarie integrate da strutture pubbliche ubicate fuori Regione: di cui per pazienti ex O.P. di fascia B (al netto delle tariffe di accreditamento)</t>
  </si>
  <si>
    <t>50201110040010</t>
  </si>
  <si>
    <t>4.20.10.10.110.010.40.010</t>
  </si>
  <si>
    <t>acquisto di prestazioni socio sanitarie integrate da strutture ubicate fuori Regione: di cui per Hospice pubblici</t>
  </si>
  <si>
    <t>50201110040020</t>
  </si>
  <si>
    <t>4.20.10.10.110.010.40.020</t>
  </si>
  <si>
    <t>acquisto di servizi di assistenza domiciliare integrata (ADI) da pubblico</t>
  </si>
  <si>
    <t>50201110040030</t>
  </si>
  <si>
    <t>4.20.10.10.110.010.40.030</t>
  </si>
  <si>
    <t>acquisto di prestazioni di assistenza domiciliare integrata (ADI) - voucher sociosanitario da pubblico</t>
  </si>
  <si>
    <t>50201110040040</t>
  </si>
  <si>
    <t>4.20.10.10.110.010.40.040</t>
  </si>
  <si>
    <t>Acquisto servizi socio assistenziali da pubblico</t>
  </si>
  <si>
    <t>50201110040050</t>
  </si>
  <si>
    <t>4.20.10.10.110.010.40.050</t>
  </si>
  <si>
    <t>Acquisto di voucher sociosanitari da ASL/AO/Fondazioni della Regione</t>
  </si>
  <si>
    <t>50201110050010</t>
  </si>
  <si>
    <t>4.20.10.10.110.010.80.010</t>
  </si>
  <si>
    <t>altri acquisti di prestazioni di servizi socio sanitari da ASL/AO/Fondazioni della Regione</t>
  </si>
  <si>
    <t>50201110050020</t>
  </si>
  <si>
    <t>4.20.10.10.110.010.80.020</t>
  </si>
  <si>
    <t>Altri costi per prestazioni di servizi socio sanitari da pubblico</t>
  </si>
  <si>
    <t>50201110050030</t>
  </si>
  <si>
    <t>4.20.10.10.110.010.80.110</t>
  </si>
  <si>
    <t>altri acquisti di prestazioni di servizi socio assistenziali da ASL/AO/Fondazioni della Regione</t>
  </si>
  <si>
    <t>50201110050040</t>
  </si>
  <si>
    <t>4.20.10.10.110.010.80.120</t>
  </si>
  <si>
    <t>Altri costi per prestazioni di servizi socio assistenziali da pubblico</t>
  </si>
  <si>
    <t>50201110060010</t>
  </si>
  <si>
    <t>4.20.10.10.110.020.10.010</t>
  </si>
  <si>
    <t>acquisto di prestazioni socio sanitarie integrate da strutture ubicate nel proprio territorio: di cui da RSA private</t>
  </si>
  <si>
    <t>50201110060020</t>
  </si>
  <si>
    <t>4.20.10.10.110.020.10.040</t>
  </si>
  <si>
    <t>acquisto di prestazioni socio sanitarie integrate da strutture ubicate nel proprio territorio: di cui da C.S.E. privati</t>
  </si>
  <si>
    <t>50201110060030</t>
  </si>
  <si>
    <t>4.20.10.10.110.020.10.050</t>
  </si>
  <si>
    <t>acquisto di prestazioni socio sanitarie integrate da strutture ubicate nel proprio territorio: di cui da C.D.I. privati</t>
  </si>
  <si>
    <t>50201110060040</t>
  </si>
  <si>
    <t>4.20.10.10.110.020.10.060</t>
  </si>
  <si>
    <t>acquisto di prestazioni socio sanitarie integrate da strutture ubicate nel proprio territorio: di cui da R.S.D. private</t>
  </si>
  <si>
    <t>50201110060050</t>
  </si>
  <si>
    <t>4.20.10.10.110.020.10.070</t>
  </si>
  <si>
    <t>acquisto di prestazioni socio sanitarie integrate da strutture private ubicate nel proprio territorio: di cui per pazienti ex O.P. di fascia B (al netto delle tariffe di accreditamento)</t>
  </si>
  <si>
    <t>50201110060060</t>
  </si>
  <si>
    <t>4.20.10.10.110.020.10.080</t>
  </si>
  <si>
    <t>acquisto di prestazioni socio sanitarie integrate da strutture ubicate nel proprio territorio: di cui da Centri Diurni per persone Disabili (C.D.D.) privati</t>
  </si>
  <si>
    <t>50201110060070</t>
  </si>
  <si>
    <t>4.20.10.10.110.020.10.090</t>
  </si>
  <si>
    <t>acquisto di prestazioni socio sanitarie integrate da strutture ubicate nel proprio territorio: di cui da Comunità alloggio Socio Sanitarie per persone con disabilità (C.S.S.) private</t>
  </si>
  <si>
    <t>50201110060080</t>
  </si>
  <si>
    <t>4.20.10.10.110.020.10.100</t>
  </si>
  <si>
    <t>acquisto di prestazioni socio sanitarie integrate da strutture ubicate nel proprio territorio: di cui da Hospice privati</t>
  </si>
  <si>
    <t>50201110060090</t>
  </si>
  <si>
    <t>4.20.10.10.110.020.10.110</t>
  </si>
  <si>
    <t>acquisto di prestazioni socio sanitarie integrate da strutture ubicate nel proprio teritorio: di cui per cure intermedie private</t>
  </si>
  <si>
    <t>50201110070010</t>
  </si>
  <si>
    <t>4.20.10.10.110.020.20.010</t>
  </si>
  <si>
    <t>acquisto di prestazioni socio sanitarie integrate da strutture ubicate in altre province della Regione: di cui da RSA private</t>
  </si>
  <si>
    <t>50201110070020</t>
  </si>
  <si>
    <t>4.20.10.10.110.020.20.040</t>
  </si>
  <si>
    <t>acquisto di prestazioni socio sanitarie integrate da strutture ubicate in altre province della Regione: di cui da C.S.E. privati</t>
  </si>
  <si>
    <t>50201110070030</t>
  </si>
  <si>
    <t>4.20.10.10.110.020.20.050</t>
  </si>
  <si>
    <t>acquisto di prestazioni socio sanitarie integrate da strutture ubicate in altre province della Regione: di cui da C.D.I. privati</t>
  </si>
  <si>
    <t>50201110070040</t>
  </si>
  <si>
    <t>4.20.10.10.110.020.20.060</t>
  </si>
  <si>
    <t>acquisto di prestazioni socio sanitarie integrate da strutture ubicate in altre province della Regione: di cui da R.S.D. private</t>
  </si>
  <si>
    <t>50201110070050</t>
  </si>
  <si>
    <t>4.20.10.10.110.020.20.070</t>
  </si>
  <si>
    <t>acquisto di prestazioni socio sanitarie integrate da strutture private ubicate in altre province della Regione: di cui per pazienti ex O.P. di fascia B (al netto delle tariffe di accreditamento)</t>
  </si>
  <si>
    <t>50201110070060</t>
  </si>
  <si>
    <t>4.20.10.10.110.020.20.080</t>
  </si>
  <si>
    <t>acquisto di prestazioni socio sanitarie integrate da strutture ubicate in altre province della Regione: di cui da Centri Diurni per persone Disabili (C.D.D.) privati</t>
  </si>
  <si>
    <t>50201110070070</t>
  </si>
  <si>
    <t>4.20.10.10.110.020.20.090</t>
  </si>
  <si>
    <t>acquisto di prestazioni socio sanitarie integrate da strutture ubicate in altre province della Regione: di cui da Comunità alloggio Socio Sanitarie per persone con disabilità (C.S.S.) private</t>
  </si>
  <si>
    <t>50201110070080</t>
  </si>
  <si>
    <t>4.20.10.10.110.020.20.100</t>
  </si>
  <si>
    <t>acquisto di prestazioni socio sanitarie integrate da strutture ubicate in altre province della Regione: di cui da Hospice privati</t>
  </si>
  <si>
    <t>50201110070090</t>
  </si>
  <si>
    <t>4.20.10.10.110.020.20.110</t>
  </si>
  <si>
    <t>acquisto di prestazioni socio sanitarie integrate da strutture ubicate in altre province della Regione: di cui per cure intermedie private</t>
  </si>
  <si>
    <t>50201110080010</t>
  </si>
  <si>
    <t>4.20.10.10.110.020.30.010</t>
  </si>
  <si>
    <t>acquisto di prestazioni socio sanitarie integrate da strutture ubicate fuori Regione: di cui da RSA private</t>
  </si>
  <si>
    <t>50201110080020</t>
  </si>
  <si>
    <t>4.20.10.10.110.020.30.020</t>
  </si>
  <si>
    <t>acquisto di prestazioni socio sanitarie integrate da strutture ubicate fuori Regione: di cui da strutture per disabili private</t>
  </si>
  <si>
    <t>50201110080030</t>
  </si>
  <si>
    <t>4.20.10.10.110.020.30.030</t>
  </si>
  <si>
    <t>acquisto di prestazioni socio sanitarie integrate da strutture ubicate fuori Regione: di cui da Hospice privati</t>
  </si>
  <si>
    <t>50201110090010</t>
  </si>
  <si>
    <t>4.20.10.10.110.020.40.010</t>
  </si>
  <si>
    <t>acquisto di servizi di assistenza domiciliare integrata (ADI) da privato</t>
  </si>
  <si>
    <t>50201110090020</t>
  </si>
  <si>
    <t>4.20.10.10.110.020.40.020</t>
  </si>
  <si>
    <t>acquisto di prestazioni di assistenza domiciliare integrata (ADI) - voucher sociosanitario da privato</t>
  </si>
  <si>
    <t>50201110100010</t>
  </si>
  <si>
    <t>4.20.10.10.110.020.50.010</t>
  </si>
  <si>
    <t>acquisto di prestazioni per tossicodipendenti comunità terapeutiche private ubicate sul proprio territorio</t>
  </si>
  <si>
    <t>50201110100020</t>
  </si>
  <si>
    <t>4.20.10.10.110.020.50.020</t>
  </si>
  <si>
    <t>acquisto di prestazioni per tossicodipendenti da comunità terapeutiche private ubicate in altre province della Regione</t>
  </si>
  <si>
    <t>50201110100030</t>
  </si>
  <si>
    <t>4.20.10.10.110.020.50.030</t>
  </si>
  <si>
    <t>acquisto di prestazioni per tossicodipendenti da comunità terapeutiche private ubicate fuori Regione</t>
  </si>
  <si>
    <t>50201110110010</t>
  </si>
  <si>
    <t>4.20.10.10.110.020.60.010</t>
  </si>
  <si>
    <t>acquisto di prestazioni da servizi multidisciplinari integrati (dipendenze) privati ubicati sul proprio territorio</t>
  </si>
  <si>
    <t>50201110110020</t>
  </si>
  <si>
    <t>4.20.10.10.110.020.60.020</t>
  </si>
  <si>
    <t>acquisto di prestazioni da servizi multidisciplinari integrati (dipendenze) privati ubicati in altre province della Regione</t>
  </si>
  <si>
    <t>50201110120010</t>
  </si>
  <si>
    <t>4.20.10.10.110.020.65.010</t>
  </si>
  <si>
    <t>acquisto di prestazioni socio sanitarie integrate da consultori familiari privati ubicati sul proprio territorio (prestazioni tariffate)</t>
  </si>
  <si>
    <t>50201110120020</t>
  </si>
  <si>
    <t>4.20.10.10.110.020.65.015</t>
  </si>
  <si>
    <t>Riconoscimento funzioni ai consultori familiari privati ubicati sul proprio territorio</t>
  </si>
  <si>
    <t>50201110120030</t>
  </si>
  <si>
    <t>4.20.10.10.110.020.65.020</t>
  </si>
  <si>
    <t>acquisto di prestazioni socio sanitarie integrate da consultori familiari privati ubicati in altre province della Regione</t>
  </si>
  <si>
    <t>50201120000000</t>
  </si>
  <si>
    <t>4.20.10.10.120.000.00.000</t>
  </si>
  <si>
    <t>B.2.A.12) Compartecipazione al personale per att. Libero-prof. (intramoenia) - Totale</t>
  </si>
  <si>
    <t>50201120010000</t>
  </si>
  <si>
    <t>4.20.10.10.120.010.00.000</t>
  </si>
  <si>
    <t>Compart. al personale att. libera professione ex art. 55 c.1 lett. a) - b)  Ccnl - Area Ospedaliera</t>
  </si>
  <si>
    <t>50201120020000</t>
  </si>
  <si>
    <t>4.20.10.10.120.012.00.000</t>
  </si>
  <si>
    <t>Compart. al personale att. libera professione ex art. 55 c.1 lett. a) - b)  Ccnl - Area Specialistica</t>
  </si>
  <si>
    <t>50201120030000</t>
  </si>
  <si>
    <t>4.20.10.10.120.015.00.000</t>
  </si>
  <si>
    <t>Compart. al personale att. libera professione ex art. 55 c.1 lett. a) - b)  Ccnl - Area sanità pubblica</t>
  </si>
  <si>
    <t>50201120040000</t>
  </si>
  <si>
    <t>4.20.10.10.120.020.00.000</t>
  </si>
  <si>
    <t>Servizi di consulenza sanitaria in area pagamento (art. 55 c.1 lett. c) d)  ed ex art. 57-58 CCNL)</t>
  </si>
  <si>
    <t>50201120050000</t>
  </si>
  <si>
    <t>4.20.10.10.120.025.00.000</t>
  </si>
  <si>
    <t>Servizi di consulenza sanitaria in area pagamento (art. 55 c.1 lett. c) d)  ed ex art. 57-58 CCNL) - attività v/Asl-Ao-Fondazioni della Regione</t>
  </si>
  <si>
    <t>50201120060000</t>
  </si>
  <si>
    <t>4.20.10.10.120.030.00.000</t>
  </si>
  <si>
    <t>Servizi di consulenza sanitaria in area pagamento (art. 55 c.2 CCNL)</t>
  </si>
  <si>
    <t>50201120070000</t>
  </si>
  <si>
    <t>4.20.10.10.120.035.00.000</t>
  </si>
  <si>
    <t>Servizi di consulenza sanitaria in area pagamento (art. 55 c.2 CCNL) v/Asl-Ao-Fondazioni della Regione</t>
  </si>
  <si>
    <t>50201130000000</t>
  </si>
  <si>
    <t>4.20.10.10.130.000.00.000</t>
  </si>
  <si>
    <t>B.2.A.13)  Rimborsi, assegni e contributi sanitari - Totale</t>
  </si>
  <si>
    <t>50201130010010</t>
  </si>
  <si>
    <t>4.20.10.10.130.010.10.000</t>
  </si>
  <si>
    <t>Contributi ad associazioni di volontariato</t>
  </si>
  <si>
    <t>50201130010020</t>
  </si>
  <si>
    <t>4.20.10.10.130.010.15.000</t>
  </si>
  <si>
    <t>Contributi/Rimborsi per cure all'estero</t>
  </si>
  <si>
    <t>50201130010030</t>
  </si>
  <si>
    <t>4.20.10.10.130.010.20.000</t>
  </si>
  <si>
    <t>Contributi/Rimborsi per assistenza indiretta</t>
  </si>
  <si>
    <t>50201130010040</t>
  </si>
  <si>
    <t>4.20.10.10.130.010.25.000</t>
  </si>
  <si>
    <t>Contributi obbligatori Legge 210/92</t>
  </si>
  <si>
    <t>50201130010050</t>
  </si>
  <si>
    <t>4.20.10.10.130.010.30.000</t>
  </si>
  <si>
    <t>Altre Contribuzioni Passive e sussidi</t>
  </si>
  <si>
    <t>50201130010060</t>
  </si>
  <si>
    <t>4.20.10.10.130.010.35.000</t>
  </si>
  <si>
    <t>Altre Contribuzioni Passive e sussidi verso altre Asl/Ao/Fondazioni della regione</t>
  </si>
  <si>
    <t>50201130010080</t>
  </si>
  <si>
    <t>4.20.10.10.130.010.45.000</t>
  </si>
  <si>
    <t>Fondo nazionale per le politiche sociali - risorse per la realizzazione del sistema integrato di interventi e servizi sociali (quota indistinta)</t>
  </si>
  <si>
    <t>50201130010090</t>
  </si>
  <si>
    <t>4.20.10.10.130.010.50.000</t>
  </si>
  <si>
    <t>Contributi per il mantenimento e lo sviluppo dei servizi socio-assistenziali</t>
  </si>
  <si>
    <t>50201140000000</t>
  </si>
  <si>
    <t>4.20.10.10.140.000.00.000</t>
  </si>
  <si>
    <t>B.2.A.14) Consulenze, Collaborazioni,  Interinale e altre prestazioni di lavoro sanitarie e sociosanitarie - Totale</t>
  </si>
  <si>
    <t>50201140010010</t>
  </si>
  <si>
    <t>4.20.10.10.140.010.10.000</t>
  </si>
  <si>
    <t>Consulenze sanitarie da Asl/Ao/Fondazioni della Regione</t>
  </si>
  <si>
    <t>50201140010020</t>
  </si>
  <si>
    <t>4.20.10.10.140.010.15.000</t>
  </si>
  <si>
    <t>Consulenze socio-sanitarie da Asl/Ao/Fondazioni della Regione</t>
  </si>
  <si>
    <t>50201140010030</t>
  </si>
  <si>
    <t>4.20.10.10.140.010.20.000</t>
  </si>
  <si>
    <t>Consulenze scientifiche da Asl/Ao/Fondazioni della Regione</t>
  </si>
  <si>
    <t>50201140010040</t>
  </si>
  <si>
    <t>4.20.10.10.140.010.25.000</t>
  </si>
  <si>
    <t>Consulenze sanitarie da altri enti pubblici</t>
  </si>
  <si>
    <t>50201140010050</t>
  </si>
  <si>
    <t>4.20.10.10.140.010.30.000</t>
  </si>
  <si>
    <t>Consulenze socio-sanitarie da altri enti pubblici</t>
  </si>
  <si>
    <t>50201140010060</t>
  </si>
  <si>
    <t>4.20.10.10.140.010.35.000</t>
  </si>
  <si>
    <t>Consulenze scientifiche da altri soggetti pubblici</t>
  </si>
  <si>
    <t>50201140010070</t>
  </si>
  <si>
    <t>4.20.10.10.140.010.40.000</t>
  </si>
  <si>
    <t>Consulenze sanitarie da terzi</t>
  </si>
  <si>
    <t>50201140010090</t>
  </si>
  <si>
    <t>4.20.10.10.140.010.45.000</t>
  </si>
  <si>
    <t>Consulenze socio-sanitarie da terzi</t>
  </si>
  <si>
    <t>50201140010100</t>
  </si>
  <si>
    <t>4.20.10.10.140.010.50.000</t>
  </si>
  <si>
    <t>Consulenze scientifiche da terzi</t>
  </si>
  <si>
    <t>50201140020010</t>
  </si>
  <si>
    <t>4.20.10.10.140.020.10.000</t>
  </si>
  <si>
    <t>Collaborazioni coordinate e continuative - area sanitaria</t>
  </si>
  <si>
    <t>50201140020020</t>
  </si>
  <si>
    <t>4.20.10.10.140.020.15.000</t>
  </si>
  <si>
    <t xml:space="preserve">Collaborazioni coordinate e continuative - area a.s.s.i. </t>
  </si>
  <si>
    <t>50201140020030</t>
  </si>
  <si>
    <t>4.20.10.10.140.020.20.000</t>
  </si>
  <si>
    <t>Collaborazioni coordinate e continuative - area ricerca</t>
  </si>
  <si>
    <t>50201140020040</t>
  </si>
  <si>
    <t>4.20.10.10.140.020.25.000</t>
  </si>
  <si>
    <t>Collaborazioni coordinate e continuative - area sociale</t>
  </si>
  <si>
    <t>50201140020050</t>
  </si>
  <si>
    <t>4.20.10.10.140.020.30.000</t>
  </si>
  <si>
    <t>Indennità a personale universitario - area sanitaria</t>
  </si>
  <si>
    <t>50201140020060</t>
  </si>
  <si>
    <t>4.20.10.10.140.020.35.000</t>
  </si>
  <si>
    <t>Prestazioni lavoro interinale (sanitario) - da terzi</t>
  </si>
  <si>
    <t>50201140020070</t>
  </si>
  <si>
    <t>4.20.10.10.140.020.40.000</t>
  </si>
  <si>
    <t>Prestazioni lavoro interinale (assi) - da terzi</t>
  </si>
  <si>
    <t>50201140020080</t>
  </si>
  <si>
    <t>4.20.10.10.140.020.45.000</t>
  </si>
  <si>
    <t>Prestazioni lavoro interinale (sociale) - da terzi</t>
  </si>
  <si>
    <t>50201140020090</t>
  </si>
  <si>
    <t>4.20.10.10.140.020.50.000</t>
  </si>
  <si>
    <t>Prestazioni lavoro interinale (ricerca) da terzi</t>
  </si>
  <si>
    <t>50201140020100</t>
  </si>
  <si>
    <t>4.20.10.10.140.020.55.000</t>
  </si>
  <si>
    <t>Prestazioni occasionali e altre prestazioni di lavoro sanitarie da terzi</t>
  </si>
  <si>
    <t>50201140020110</t>
  </si>
  <si>
    <t>4.20.10.10.140.020.60.000</t>
  </si>
  <si>
    <t>Prestazioni occasionali e altre prestazioni di lavoro socio sanitarie da terzi</t>
  </si>
  <si>
    <t>50201140020120</t>
  </si>
  <si>
    <t>4.20.10.10.140.020.65.000</t>
  </si>
  <si>
    <t>Prestazioni occasionali e altre prestazioni di lavoro sociali da terzi</t>
  </si>
  <si>
    <t>50201140020130</t>
  </si>
  <si>
    <t>4.20.10.10.140.020.70.000</t>
  </si>
  <si>
    <t>Prestazioni occasionali e altre prestazioni di lavoro scientifiche da terzi</t>
  </si>
  <si>
    <t>50201140030010</t>
  </si>
  <si>
    <t>4.20.10.10.140.030.10.000</t>
  </si>
  <si>
    <t>Rimborso degli oneri stipendiali del personale sanitario che presta servizio in azienda in posizione di comando in Asl/Ao/Fondazioni della Regione</t>
  </si>
  <si>
    <t>50201140030020</t>
  </si>
  <si>
    <t>4.20.10.10.140.030.20.000</t>
  </si>
  <si>
    <t>Rimborso degli oneri stipendiali del personale sanitario che presta servizio in azienda in posizione di comando in altri Enti pubblici e Università</t>
  </si>
  <si>
    <t>50201140030030</t>
  </si>
  <si>
    <t>4.20.10.10.140.030.30.000</t>
  </si>
  <si>
    <t>Rimborso degli oneri stipendiali del personale sanitario che presta servizio in azienda in posizione di comando dalla Regione Lombardia</t>
  </si>
  <si>
    <t>50201140030040</t>
  </si>
  <si>
    <t>4.20.10.10.140.030.40.000</t>
  </si>
  <si>
    <t>Rimborso degli oneri stipendiali del personale sanitario che presta servizio in azienda in posizione di comando da Aziende di altre Regioni</t>
  </si>
  <si>
    <t>50201150000000</t>
  </si>
  <si>
    <t>4.20.10.10.150.000.00.000</t>
  </si>
  <si>
    <t>B.2.A.15) Altri servizi sanitari e sociosanitari a rilevanza sanitaria - Totale</t>
  </si>
  <si>
    <t>50201150010010</t>
  </si>
  <si>
    <t>4.20.10.10.150.010.10.000</t>
  </si>
  <si>
    <t>Altre prestazioni per servizi sanitari da ASL/AO/Fondazioni della Regione</t>
  </si>
  <si>
    <t>50201150010020</t>
  </si>
  <si>
    <t>4.20.10.10.150.010.15.000</t>
  </si>
  <si>
    <t>Altre prestazioni per servizi socio sanitari da ASL/AO/Fondazioni della Regione</t>
  </si>
  <si>
    <t>50201150010040</t>
  </si>
  <si>
    <t>4.20.10.10.150.010.20.000</t>
  </si>
  <si>
    <t>Altre prestazioni per servizi sanitari da pubblico</t>
  </si>
  <si>
    <t>50201150010050</t>
  </si>
  <si>
    <t>4.20.10.10.150.010.25.000</t>
  </si>
  <si>
    <t>Altre prestazioni per servizi socio sanitari da pubblico</t>
  </si>
  <si>
    <t>50201150010060</t>
  </si>
  <si>
    <t>4.20.10.10.150.010.30.000</t>
  </si>
  <si>
    <t>Servizi sanitari appaltati o in "service" da pubblico</t>
  </si>
  <si>
    <t>50201150010070</t>
  </si>
  <si>
    <t>4.20.10.10.150.010.35.000</t>
  </si>
  <si>
    <t>Altre prestazioni per servizi sanitari da Extraregione</t>
  </si>
  <si>
    <t>50201150010080</t>
  </si>
  <si>
    <t>4.20.10.10.150.010.40.000</t>
  </si>
  <si>
    <t>Altre prestazioni per servizi socio sanitari Extraregione</t>
  </si>
  <si>
    <t>50201150020010</t>
  </si>
  <si>
    <t>4.20.10.10.150.020.10.000</t>
  </si>
  <si>
    <t>Altre prestazioni per servizi sanitari da terzi</t>
  </si>
  <si>
    <t>50201150020020</t>
  </si>
  <si>
    <t>4.20.10.10.150.020.15.000</t>
  </si>
  <si>
    <t>Altre prestazioni per servizi socio sanitari da terzi</t>
  </si>
  <si>
    <t>50201150020030</t>
  </si>
  <si>
    <t>4.20.10.10.150.020.20.000</t>
  </si>
  <si>
    <t>Altre prestazioni per servizi della ricerca da terzi</t>
  </si>
  <si>
    <t>50201150020040</t>
  </si>
  <si>
    <t>4.20.10.10.150.020.25.000</t>
  </si>
  <si>
    <t>Altre prestazioni per servizi socio assistenziali da terzi</t>
  </si>
  <si>
    <t>50201150020050</t>
  </si>
  <si>
    <t>4.20.10.10.150.020.30.000</t>
  </si>
  <si>
    <t>Servizi sanitari appaltati o in "service" da terzi</t>
  </si>
  <si>
    <t>50201150020060</t>
  </si>
  <si>
    <t>4.20.10.10.150.020.35.000</t>
  </si>
  <si>
    <t>Assegni di studio scuole infermieri</t>
  </si>
  <si>
    <t>50201150030090</t>
  </si>
  <si>
    <t>4.20.10.10.150.020.90.000</t>
  </si>
  <si>
    <t>Costi per differenziale tariffe TUC</t>
  </si>
  <si>
    <t>50201150030000</t>
  </si>
  <si>
    <t>4.20.10.10.150.900.10.000</t>
  </si>
  <si>
    <t>Costi per servizi sanitari - Mobilità internazionale passiva</t>
  </si>
  <si>
    <t>50202000000000</t>
  </si>
  <si>
    <t>4.20.10.20.000.000.00.000</t>
  </si>
  <si>
    <t>B.2.B) Acquisti di servizi non sanitari - Totale</t>
  </si>
  <si>
    <t>50202010000000</t>
  </si>
  <si>
    <t>4.20.10.20.010.000.00.000</t>
  </si>
  <si>
    <t>B.2.B.1) Servizi non sanitari -Totale</t>
  </si>
  <si>
    <t>50202010010000</t>
  </si>
  <si>
    <t>4.20.10.20.010.010.10.000</t>
  </si>
  <si>
    <t>Lavanderia</t>
  </si>
  <si>
    <t>50202010020000</t>
  </si>
  <si>
    <t>4.20.10.20.010.010.15.000</t>
  </si>
  <si>
    <t>Pulizia</t>
  </si>
  <si>
    <t>50202010030000</t>
  </si>
  <si>
    <t>4.20.10.20.010.010.20.000</t>
  </si>
  <si>
    <t>Mensa</t>
  </si>
  <si>
    <t>50202010040000</t>
  </si>
  <si>
    <t>4.20.10.20.010.010.25.000</t>
  </si>
  <si>
    <t>Riscaldamento</t>
  </si>
  <si>
    <t>50202010050000</t>
  </si>
  <si>
    <t>4.20.10.20.010.010.30.000</t>
  </si>
  <si>
    <t>Servizi di elaborazione dati</t>
  </si>
  <si>
    <t>50202010060000</t>
  </si>
  <si>
    <t>4.20.10.20.010.010.35.000</t>
  </si>
  <si>
    <t>Trasporti non sanitari (se non addebitati in fattura dai fornitori di materie e merci)</t>
  </si>
  <si>
    <t>50202010070000</t>
  </si>
  <si>
    <t>4.20.10.20.010.010.40.000</t>
  </si>
  <si>
    <t>Smaltimento rifiuti</t>
  </si>
  <si>
    <t>50202010080010</t>
  </si>
  <si>
    <t>Utenze telefoniche</t>
  </si>
  <si>
    <t>50202010080020</t>
  </si>
  <si>
    <t>4.20.10.20.010.020.20.000</t>
  </si>
  <si>
    <t>Utenze elettricità</t>
  </si>
  <si>
    <t>50202010080030</t>
  </si>
  <si>
    <t>4.20.10.20.010.020.30.000</t>
  </si>
  <si>
    <t>Acqua, gas, combustibile</t>
  </si>
  <si>
    <t>50202010080040</t>
  </si>
  <si>
    <t>4.20.10.20.010.020.40.000</t>
  </si>
  <si>
    <t>Servizi esterni di vigilanza</t>
  </si>
  <si>
    <t>50202010080050</t>
  </si>
  <si>
    <t>4.20.10.20.010.020.80.000</t>
  </si>
  <si>
    <t>Altre Utenze</t>
  </si>
  <si>
    <t>50202010090010</t>
  </si>
  <si>
    <t>4.20.10.20.010.030.10.000</t>
  </si>
  <si>
    <t>Assicurazioni: Premi per R.C. Professionale</t>
  </si>
  <si>
    <t>50202010090020</t>
  </si>
  <si>
    <t>4.20.10.20.010.030.20.000</t>
  </si>
  <si>
    <t>Assicurazioni: Altri premi</t>
  </si>
  <si>
    <t>50202010100010</t>
  </si>
  <si>
    <t>4.20.10.20.010.040.10.000</t>
  </si>
  <si>
    <t>Acquisto di altri servizi non sanitari da Asl/Ao/Fondazioni della Regione</t>
  </si>
  <si>
    <t>50202010100020</t>
  </si>
  <si>
    <t>4.20.10.20.010.040.20.000</t>
  </si>
  <si>
    <t>Acquisto di altri servizi non sanitari da pubblico</t>
  </si>
  <si>
    <t>50202010110010</t>
  </si>
  <si>
    <t>4.20.10.20.010.050.10.000</t>
  </si>
  <si>
    <t>Servizi postali e telex</t>
  </si>
  <si>
    <t>50202010110020</t>
  </si>
  <si>
    <t>4.20.10.20.010.050.15.000</t>
  </si>
  <si>
    <t>Pubblicità e promozione</t>
  </si>
  <si>
    <t>50202010110030</t>
  </si>
  <si>
    <t>4.20.10.20.010.050.20.000</t>
  </si>
  <si>
    <t>Rimborso spese di viaggio e soggiorno</t>
  </si>
  <si>
    <t>50202010110040</t>
  </si>
  <si>
    <t>4.20.10.20.010.050.25.000</t>
  </si>
  <si>
    <t>Altri servizi non sanitari acquistati in "Service"</t>
  </si>
  <si>
    <t>50202010110050</t>
  </si>
  <si>
    <t>4.20.10.20.010.050.80.000</t>
  </si>
  <si>
    <t>Altri servizi non sanitari</t>
  </si>
  <si>
    <t>50202020000000</t>
  </si>
  <si>
    <t>4.20.10.20.020.000.00.000</t>
  </si>
  <si>
    <t>B.2.B.2)  Consulenze, Collaborazioni,  Interinale e altre prestazioni di lavoro non sanitarie - Totale</t>
  </si>
  <si>
    <t>50202020010010</t>
  </si>
  <si>
    <t>4.20.10.20.020.010.10.010</t>
  </si>
  <si>
    <t>Consulenze non sanitarie da ASL/AO/Fondazioni della Regione</t>
  </si>
  <si>
    <t>50202020010020</t>
  </si>
  <si>
    <t>4.20.10.20.020.010.10.020</t>
  </si>
  <si>
    <t>Consulenze non sanitarie da altri enti pubblici</t>
  </si>
  <si>
    <t>50202020020010</t>
  </si>
  <si>
    <t>4.20.10.20.020.010.20.010</t>
  </si>
  <si>
    <t>Servizi per consulenze Amministrative - da privato</t>
  </si>
  <si>
    <t>50202020020020</t>
  </si>
  <si>
    <t>4.20.10.20.020.010.20.020</t>
  </si>
  <si>
    <t>Servizi per consulenze Tecniche - da privato</t>
  </si>
  <si>
    <t>50202020020030</t>
  </si>
  <si>
    <t>4.20.10.20.020.010.20.030</t>
  </si>
  <si>
    <t>Servizi per consulenze Legali - da privato</t>
  </si>
  <si>
    <t>50202020020040</t>
  </si>
  <si>
    <t>4.20.10.20.020.010.20.040</t>
  </si>
  <si>
    <t>Servizi per consulenze Notarili - da privato</t>
  </si>
  <si>
    <t>50202020030010</t>
  </si>
  <si>
    <t>4.20.10.20.020.020.10.000</t>
  </si>
  <si>
    <t>Spese per collaborazioni coordinate e continuative Amministrative - da privato</t>
  </si>
  <si>
    <t>50202020030020</t>
  </si>
  <si>
    <t>4.20.10.20.020.020.20.000</t>
  </si>
  <si>
    <t>Spese per collaborazioni coordinate e continuative Tecniche - da privato</t>
  </si>
  <si>
    <t>50202020030030</t>
  </si>
  <si>
    <t>4.20.10.20.020.020.25.000</t>
  </si>
  <si>
    <t>Indennità a personale universitario - area non sanitaria</t>
  </si>
  <si>
    <t>50202020030040</t>
  </si>
  <si>
    <t>4.20.10.20.020.020.30.000</t>
  </si>
  <si>
    <t>Prestazioni lavoro interinale Amministrativo (non sanitario) - da privato</t>
  </si>
  <si>
    <t>50202020030050</t>
  </si>
  <si>
    <t>4.20.10.20.020.020.40.000</t>
  </si>
  <si>
    <t>Prestazioni lavoro interinale Tecnico (non sanitario) - da privato</t>
  </si>
  <si>
    <t>50202020030060</t>
  </si>
  <si>
    <t>4.20.10.20.020.020.50.000</t>
  </si>
  <si>
    <t>Prestazioni occasionali e altre prestazioni di lavoro non sanitarie - da privato</t>
  </si>
  <si>
    <t>50202020030070</t>
  </si>
  <si>
    <t>4.20.10.20.020.020.60.000</t>
  </si>
  <si>
    <t>Personale religioso</t>
  </si>
  <si>
    <t>50202020040010</t>
  </si>
  <si>
    <t>4.20.10.20.020.030.10.000</t>
  </si>
  <si>
    <t>Rimborso degli oneri stipendiali del personale non sanitario che presta servizio in azienda in posizione di comando in ASL/AO/Fondazioni della Regione</t>
  </si>
  <si>
    <t>50202020040020</t>
  </si>
  <si>
    <t>4.20.10.20.020.030.20.000</t>
  </si>
  <si>
    <t>Rimborso degli oneri stipendiali del personale non sanitario che presta servizio in azienda in posizione di comando in altri Enti pubblici e Università</t>
  </si>
  <si>
    <t>50202020040030</t>
  </si>
  <si>
    <t>4.20.10.20.020.030.30.000</t>
  </si>
  <si>
    <t>Rimborso degli oneri stipendiali del personale non sanitario che presta servizio in azienda in posizione di comando dalla Regione Lombardia</t>
  </si>
  <si>
    <t>50202020040040</t>
  </si>
  <si>
    <t>4.20.10.20.020.030.40.000</t>
  </si>
  <si>
    <t>Rimborso degli oneri stipendiali del personale non sanitario che presta servizio in Azienda di altre Regioni</t>
  </si>
  <si>
    <t>50202030000000</t>
  </si>
  <si>
    <t>4.20.10.20.030.000.00.000</t>
  </si>
  <si>
    <t>B.2.B.3) Formazione (esternalizzata e non) - Totale</t>
  </si>
  <si>
    <t>50202030010000</t>
  </si>
  <si>
    <t>4.20.10.20.030.010.00.000</t>
  </si>
  <si>
    <t>Formazione esternalizzata da pubblico (Iref, Università, …)</t>
  </si>
  <si>
    <t>50202030020000</t>
  </si>
  <si>
    <t>4.20.10.20.030.020.00.000</t>
  </si>
  <si>
    <t>Formazione esternalizzata da ASL/AO/Fondazioni della Regione</t>
  </si>
  <si>
    <t>50202030030000</t>
  </si>
  <si>
    <t>4.20.10.20.030.110.00.000</t>
  </si>
  <si>
    <t>Formazione esternalizzata da privato</t>
  </si>
  <si>
    <t>50202030040000</t>
  </si>
  <si>
    <t>4.20.10.20.030.120.00.000</t>
  </si>
  <si>
    <t>Formazione non esternalizzata da privato</t>
  </si>
  <si>
    <t>50300000000000</t>
  </si>
  <si>
    <t>4.20.15.00.000.000.00.000</t>
  </si>
  <si>
    <t>B.3)  Manutenzione e riparazione (ordinaria esternalizzata) - Totale</t>
  </si>
  <si>
    <t>50310000000000</t>
  </si>
  <si>
    <t>4.20.15.10.000.000.00.000</t>
  </si>
  <si>
    <t>Manutenzione e riparazione ordinaria esternalizzata per immobili e loro pertinenze</t>
  </si>
  <si>
    <t>50320000000000</t>
  </si>
  <si>
    <t>4.20.15.15.000.000.00.000</t>
  </si>
  <si>
    <t>Manutenzione e riparazione ordinaria esternalizzata per impianti e macchinari</t>
  </si>
  <si>
    <t>50330000000000</t>
  </si>
  <si>
    <t>4.20.15.20.000.000.00.000</t>
  </si>
  <si>
    <t>Manutenzione e riparazione ordinaria esternalizzata per mobili e macchine</t>
  </si>
  <si>
    <t>50340000000000</t>
  </si>
  <si>
    <t>4.20.15.30.000.000.00.000</t>
  </si>
  <si>
    <t>Manutenzione e riparazione ordinaria esternalizzata per attrezzature tecnico-scientifiche sanitarie</t>
  </si>
  <si>
    <t>50350000000000</t>
  </si>
  <si>
    <t>4.20.15.40.000.000.00.000</t>
  </si>
  <si>
    <t>Manutenzione e riparazione ordinaria esternalizzata per automezzi sanitari</t>
  </si>
  <si>
    <t>50360000000000</t>
  </si>
  <si>
    <t>4.20.15.50.000.000.00.000</t>
  </si>
  <si>
    <t>Manutenzione e riparazione ordinaria esternalizzata per automezzi non sanitari</t>
  </si>
  <si>
    <t>50370000000000</t>
  </si>
  <si>
    <t>Altre manutenzioni e riparazioni</t>
  </si>
  <si>
    <t>50380000000000</t>
  </si>
  <si>
    <t>4.20.15.90.000.000.00.000</t>
  </si>
  <si>
    <t>Manutenzioni e riparazioni da Asl/Ao/Fondazioni della Regione</t>
  </si>
  <si>
    <t>50400000000000</t>
  </si>
  <si>
    <t>4.20.20.00.000.000.00.000</t>
  </si>
  <si>
    <t>B.4)   Godimento di beni di terzi - Totale</t>
  </si>
  <si>
    <t>50410010000000</t>
  </si>
  <si>
    <t>4.20.20.10.010.000.00.000</t>
  </si>
  <si>
    <t>Affitti passivi</t>
  </si>
  <si>
    <t>50410020000000</t>
  </si>
  <si>
    <t>4.20.20.10.020.000.00.000</t>
  </si>
  <si>
    <t>Spese condominiali</t>
  </si>
  <si>
    <t>50420010000000</t>
  </si>
  <si>
    <t>4.20.20.20.010.000.00.000</t>
  </si>
  <si>
    <t>Canoni di Noleggio sanitari (esclusa protesica)</t>
  </si>
  <si>
    <t>50420020000000</t>
  </si>
  <si>
    <t>4.20.20.20.015.000.00.000</t>
  </si>
  <si>
    <t>Canoni di Noleggio sanitari relativi a protesica</t>
  </si>
  <si>
    <t>50420030000000</t>
  </si>
  <si>
    <t>4.20.20.20.020.000.00.000</t>
  </si>
  <si>
    <t>Canoni di Noleggio non sanitari</t>
  </si>
  <si>
    <t>50430010000000</t>
  </si>
  <si>
    <t>4.20.20.30.010.000.00.000</t>
  </si>
  <si>
    <t>Canoni di leasing sanitari</t>
  </si>
  <si>
    <t>50430020000000</t>
  </si>
  <si>
    <t>4.20.20.30.020.000.00.000</t>
  </si>
  <si>
    <t>Canoni di leasing non sanitari</t>
  </si>
  <si>
    <t>50450010000000</t>
  </si>
  <si>
    <t>4.20.20.80.010.000.00.000</t>
  </si>
  <si>
    <t>Locazioni e noleggi da Asl/Ao/Fondazioni della Regione</t>
  </si>
  <si>
    <t>50499999999999</t>
  </si>
  <si>
    <t>4.20.25.00.000.000.00.000</t>
  </si>
  <si>
    <t>Costo del Personale (Totale)</t>
  </si>
  <si>
    <t>50500000000000</t>
  </si>
  <si>
    <t>4.20.25.10.000.000.00.000</t>
  </si>
  <si>
    <t>B.5 Personale del ruolo sanitario - Totale</t>
  </si>
  <si>
    <t>50510010010000</t>
  </si>
  <si>
    <t>4.20.25.10.010.010.00.000</t>
  </si>
  <si>
    <t>Ruolo Sanitario - T.INDETERMINATO - - Personale dirigente medico / veterinario - Competenze fisse</t>
  </si>
  <si>
    <t>50510010020000</t>
  </si>
  <si>
    <t>4.20.25.10.010.020.00.000</t>
  </si>
  <si>
    <t>Ruolo Sanitario - T.INDETERMINATO - - Personale dirigente medico / veterinario - Straordinario</t>
  </si>
  <si>
    <t>50510010030000</t>
  </si>
  <si>
    <t>4.20.25.10.010.025.00.000</t>
  </si>
  <si>
    <t>Ruolo Sanitario - T.INDETERMINATO - - Personale dirigente medico / veterinario - Retr. Posizione</t>
  </si>
  <si>
    <t>50510010040000</t>
  </si>
  <si>
    <t>4.20.25.10.010.030.00.000</t>
  </si>
  <si>
    <t>Ruolo Sanitario - T.INDETERMINATO - - Personale dirigente medico / veterinario - Indennità varie</t>
  </si>
  <si>
    <t>50510010050000</t>
  </si>
  <si>
    <t>4.20.25.10.010.040.00.000</t>
  </si>
  <si>
    <t>Ruolo Sanitario - T.INDETERMINATO - - Personale dirigente medico / veterinario - Competenze personale comandato</t>
  </si>
  <si>
    <t>50510010060000</t>
  </si>
  <si>
    <t>4.20.25.10.010.050.00.000</t>
  </si>
  <si>
    <t>Ruolo Sanitario - T.INDETERMINATO - - Personale dirigente medico / veterinario - Incentivazione (retribuzione di risultato)</t>
  </si>
  <si>
    <t>50510010070000</t>
  </si>
  <si>
    <t>4.20.25.10.010.060.00.000</t>
  </si>
  <si>
    <t>Ruolo Sanitario - T.INDETERMINATO - - Personale dirigente medico / veterinario - Risorse aggiungive regionali</t>
  </si>
  <si>
    <t>50510010080000</t>
  </si>
  <si>
    <t>4.20.25.10.010.070.00.000</t>
  </si>
  <si>
    <t>Ruolo Sanitario - T.INDETERMINATO - - Personale dirigente medico / veterinario - Accantonamento per ferie maturate e non godute</t>
  </si>
  <si>
    <t>50510010090000</t>
  </si>
  <si>
    <t>4.20.25.10.010.110.00.000</t>
  </si>
  <si>
    <t>Ruolo Sanitario - T.INDETERMINATO - - Personale dirigente medico / veterinario - Oneri sociali*</t>
  </si>
  <si>
    <t>50510010100000</t>
  </si>
  <si>
    <t>4.20.25.10.010.210.00.000</t>
  </si>
  <si>
    <t>Ruolo Sanitario - T.INDETERMINATO - - Personale dirigente medico / veterinario - Accantonamento a TFR</t>
  </si>
  <si>
    <t>50510010110000</t>
  </si>
  <si>
    <t>4.20.25.10.010.220.00.000</t>
  </si>
  <si>
    <t>Ruolo Sanitario - T.INDETERMINATO - - Personale dirigente medico / veterinario - Accantonamento trattamento quiescenza e simili</t>
  </si>
  <si>
    <t>50510010120000</t>
  </si>
  <si>
    <t>4.20.25.10.010.800.00.000</t>
  </si>
  <si>
    <t>Ruolo Sanitario - T.INDETERMINATO - - Personale dirigente medico / veterinario - Altri costi del personale</t>
  </si>
  <si>
    <t>50510020010000</t>
  </si>
  <si>
    <t>4.20.25.10.012.010.00.000</t>
  </si>
  <si>
    <t>Ruolo Sanitario - T.DETERMINATO - - Personale dirigente medico / veterinario - Competenze fisse</t>
  </si>
  <si>
    <t>50510020020000</t>
  </si>
  <si>
    <t>4.20.25.10.012.020.00.000</t>
  </si>
  <si>
    <t>Ruolo Sanitario - T.DETERMINATO - - Personale dirigente medico / veterinario - Straordinario</t>
  </si>
  <si>
    <t>50510020030000</t>
  </si>
  <si>
    <t>4.20.25.10.012.025.00.000</t>
  </si>
  <si>
    <t>Ruolo Sanitario - T.DETERMINATO - - Personale dirigente medico / veterinario - Retr. Posizione</t>
  </si>
  <si>
    <t>50510020040000</t>
  </si>
  <si>
    <t>4.20.25.10.012.030.00.000</t>
  </si>
  <si>
    <t>Ruolo Sanitario - T.DETERMINATO - - Personale dirigente medico / veterinario - Indennità varie</t>
  </si>
  <si>
    <t>50510020050000</t>
  </si>
  <si>
    <t>4.20.25.10.012.040.00.000</t>
  </si>
  <si>
    <t>Ruolo Sanitario - T.DETERMINATO - - Personale dirigente medico / veterinario - Competenze personale comandato</t>
  </si>
  <si>
    <t>50510020060000</t>
  </si>
  <si>
    <t>4.20.25.10.012.050.00.000</t>
  </si>
  <si>
    <t>Ruolo Sanitario - T.DETERMINATO - - Personale dirigente medico / veterinario - Incentivazione (retribuzione di risultato)</t>
  </si>
  <si>
    <t>50510020070000</t>
  </si>
  <si>
    <t>4.20.25.10.012.060.00.000</t>
  </si>
  <si>
    <t>Ruolo Sanitario - T.DETERMINATO - - Personale dirigente medico / veterinario - Risorse aggiungive regionali</t>
  </si>
  <si>
    <t>50510020080000</t>
  </si>
  <si>
    <t>4.20.25.10.012.070.00.000</t>
  </si>
  <si>
    <t>Ruolo Sanitario - T.DETERMINATO - - Personale dirigente medico / veterinario - Accantonamento per ferie maturate e non godute</t>
  </si>
  <si>
    <t>50510020090000</t>
  </si>
  <si>
    <t>4.20.25.10.012.110.00.000</t>
  </si>
  <si>
    <t>Ruolo Sanitario - T.DETERMINATO - - Personale dirigente medico / veterinario - Oneri sociali*</t>
  </si>
  <si>
    <t>50510020100000</t>
  </si>
  <si>
    <t>4.20.25.10.012.210.00.000</t>
  </si>
  <si>
    <t>Ruolo Sanitario - T.DETERMINATO - - Personale dirigente medico / veterinario - Accantonamento a TFR</t>
  </si>
  <si>
    <t>50510020110000</t>
  </si>
  <si>
    <t>4.20.25.10.012.220.00.000</t>
  </si>
  <si>
    <t>Ruolo Sanitario - T.DETERMINATO - - Personale dirigente medico / veterinario - Accantonamento trattamento quiescenza e simili</t>
  </si>
  <si>
    <t>50510020120000</t>
  </si>
  <si>
    <t>4.20.25.10.012.800.00.000</t>
  </si>
  <si>
    <t>Ruolo Sanitario - T.DETERMINATO - - Personale dirigente medico / veterinario - Altri costi del personale</t>
  </si>
  <si>
    <t>50510030010000</t>
  </si>
  <si>
    <t>4.20.25.10.014.010.00.000</t>
  </si>
  <si>
    <t>Ruolo Sanitario - T.ALTRO - - Personale dirigente medico / veterinario - Competenze fisse</t>
  </si>
  <si>
    <t>50510030020000</t>
  </si>
  <si>
    <t>4.20.25.10.014.020.00.000</t>
  </si>
  <si>
    <t>Ruolo Sanitario - T.ALTRO - - Personale dirigente medico / veterinario - Straordinario</t>
  </si>
  <si>
    <t>50510030030000</t>
  </si>
  <si>
    <t>4.20.25.10.014.025.00.000</t>
  </si>
  <si>
    <t>Ruolo Sanitario - T.ALTRO - - Personale dirigente medico / veterinario - Retr. Posizione</t>
  </si>
  <si>
    <t>50510030040000</t>
  </si>
  <si>
    <t>4.20.25.10.014.030.00.000</t>
  </si>
  <si>
    <t>Ruolo Sanitario - T.ALTRO - - Personale dirigente medico / veterinario - Indennità varie</t>
  </si>
  <si>
    <t>50510030050000</t>
  </si>
  <si>
    <t>4.20.25.10.014.040.00.000</t>
  </si>
  <si>
    <t>Ruolo Sanitario - T.ALTRO - - Personale dirigente medico / veterinario - Competenze personale comandato</t>
  </si>
  <si>
    <t>50510030060000</t>
  </si>
  <si>
    <t>4.20.25.10.014.050.00.000</t>
  </si>
  <si>
    <t>Ruolo Sanitario - T.ALTRO - - Personale dirigente medico / veterinario - Incentivazione (retribuzione di risultato)</t>
  </si>
  <si>
    <t>50510030070000</t>
  </si>
  <si>
    <t>4.20.25.10.014.060.00.000</t>
  </si>
  <si>
    <t>Ruolo Sanitario - T.ALTRO - - Personale dirigente medico / veterinario - Risorse aggiungive regionali</t>
  </si>
  <si>
    <t>50510030080000</t>
  </si>
  <si>
    <t>4.20.25.10.014.070.00.000</t>
  </si>
  <si>
    <t>Ruolo Sanitario - T.ALTRO - - Personale dirigente medico / veterinario - Accantonamento per ferie maturate e non godute</t>
  </si>
  <si>
    <t>50510030090000</t>
  </si>
  <si>
    <t>4.20.25.10.014.110.00.000</t>
  </si>
  <si>
    <t>Ruolo Sanitario - T.ALTRO - - Personale dirigente medico / veterinario - Oneri sociali*</t>
  </si>
  <si>
    <t>50510030100000</t>
  </si>
  <si>
    <t>4.20.25.10.014.210.00.000</t>
  </si>
  <si>
    <t>Ruolo Sanitario - T.ALTRO - - Personale dirigente medico / veterinario - Accantonamento a TFR</t>
  </si>
  <si>
    <t>50510030110000</t>
  </si>
  <si>
    <t>4.20.25.10.014.220.00.000</t>
  </si>
  <si>
    <t>Ruolo Sanitario - T.ALTRO - - Personale dirigente medico / veterinario - Accantonamento trattamento quiescenza e simili</t>
  </si>
  <si>
    <t>50510030120000</t>
  </si>
  <si>
    <t>4.20.25.10.014.800.00.000</t>
  </si>
  <si>
    <t>Ruolo Sanitario - T.ALTRO - - Personale dirigente medico / veterinario - Altri costi del personale</t>
  </si>
  <si>
    <t>50520010010000</t>
  </si>
  <si>
    <t>4.20.25.10.020.010.00.000</t>
  </si>
  <si>
    <t>Ruolo Sanitario - T.INDETERMINATO- - Personale dirigente non medico - Competenze fisse</t>
  </si>
  <si>
    <t>50520010020000</t>
  </si>
  <si>
    <t>4.20.25.10.020.020.00.000</t>
  </si>
  <si>
    <t>Ruolo Sanitario - T.INDETERMINATO- - Personale dirigente non medico - Straordinario</t>
  </si>
  <si>
    <t>50520010030000</t>
  </si>
  <si>
    <t>4.20.25.10.020.025.00.000</t>
  </si>
  <si>
    <t>Ruolo Sanitario - T.INDETERMINATO- - Personale dirigente non medico - Retr. Posizione</t>
  </si>
  <si>
    <t>50520010040000</t>
  </si>
  <si>
    <t>4.20.25.10.020.030.00.000</t>
  </si>
  <si>
    <t>Ruolo Sanitario - T.INDETERMINATO- - Personale dirigente non medico - Indennità varie</t>
  </si>
  <si>
    <t>50520010050000</t>
  </si>
  <si>
    <t>4.20.25.10.020.040.00.000</t>
  </si>
  <si>
    <t>Ruolo Sanitario - T.INDETERMINATO- - Personale dirigente non medico - Competenze personale comandato</t>
  </si>
  <si>
    <t>50520010060000</t>
  </si>
  <si>
    <t>4.20.25.10.020.050.00.000</t>
  </si>
  <si>
    <t>Ruolo Sanitario - T.INDETERMINATO- - Personale dirigente non medico - Incentivazione (retribuzione di risultato)</t>
  </si>
  <si>
    <t>50520010070000</t>
  </si>
  <si>
    <t>4.20.25.10.020.060.00.000</t>
  </si>
  <si>
    <t>Ruolo Sanitario - T.INDETERMINATO- - Personale dirigente non medico - Risorse aggiungive regionali</t>
  </si>
  <si>
    <t>50520010080000</t>
  </si>
  <si>
    <t>4.20.25.10.020.070.00.000</t>
  </si>
  <si>
    <t>Ruolo Sanitario - T.INDETERMINATO- - Personale dirigente non medico - Accantonamento per ferie maturate e non godute</t>
  </si>
  <si>
    <t>50520010090000</t>
  </si>
  <si>
    <t>4.20.25.10.020.110.00.000</t>
  </si>
  <si>
    <t>Ruolo Sanitario - T.INDETERMINATO- - Personale dirigente non medico - Oneri sociali*</t>
  </si>
  <si>
    <t>50520010100000</t>
  </si>
  <si>
    <t>4.20.25.10.020.210.00.000</t>
  </si>
  <si>
    <t>Ruolo Sanitario - T.INDETERMINATO- - Personale dirigente non medico - Accantonamento a TFR</t>
  </si>
  <si>
    <t>50520010110000</t>
  </si>
  <si>
    <t>4.20.25.10.020.220.00.000</t>
  </si>
  <si>
    <t>Ruolo Sanitario - T.INDETERMINATO- - Personale dirigente non medico - Accantonamento trattamento quiescenza e simili</t>
  </si>
  <si>
    <t>50520010120000</t>
  </si>
  <si>
    <t>4.20.25.10.020.800.00.000</t>
  </si>
  <si>
    <t>Ruolo Sanitario - T.INDETERMINATO- - Personale dirigente non medico - Altri costi del personale</t>
  </si>
  <si>
    <t>50520020010000</t>
  </si>
  <si>
    <t>4.20.25.10.022.010.00.000</t>
  </si>
  <si>
    <t>Ruolo Sanitario - T.DETERMINATO - - Personale dirigente non medico - Competenze fisse</t>
  </si>
  <si>
    <t>50520020020000</t>
  </si>
  <si>
    <t>4.20.25.10.022.020.00.000</t>
  </si>
  <si>
    <t>Ruolo Sanitario - T.DETERMINATO - - Personale dirigente non medico - Straordinario</t>
  </si>
  <si>
    <t>50520020030000</t>
  </si>
  <si>
    <t>4.20.25.10.022.025.00.000</t>
  </si>
  <si>
    <t>Ruolo Sanitario - T.DETERMINATO - - Personale dirigente non medico - Retr. Posizione</t>
  </si>
  <si>
    <t>50520020040000</t>
  </si>
  <si>
    <t>4.20.25.10.022.030.00.000</t>
  </si>
  <si>
    <t>Ruolo Sanitario - T.DETERMINATO - - Personale dirigente non medico - Indennità varie</t>
  </si>
  <si>
    <t>50520020050000</t>
  </si>
  <si>
    <t>4.20.25.10.022.040.00.000</t>
  </si>
  <si>
    <t>Ruolo Sanitario - T.DETERMINATO - - Personale dirigente non medico - Competenze personale comandato</t>
  </si>
  <si>
    <t>50520020060000</t>
  </si>
  <si>
    <t>4.20.25.10.022.050.00.000</t>
  </si>
  <si>
    <t>Ruolo Sanitario - T.DETERMINATO - - Personale dirigente non medico - Incentivazione (retribuzione di risultato)</t>
  </si>
  <si>
    <t>50520020070000</t>
  </si>
  <si>
    <t>4.20.25.10.022.060.00.000</t>
  </si>
  <si>
    <t>Ruolo Sanitario - T.DETERMINATO - - Personale dirigente non medico - Risorse aggiungive regionali</t>
  </si>
  <si>
    <t>50520020080000</t>
  </si>
  <si>
    <t>4.20.25.10.022.070.00.000</t>
  </si>
  <si>
    <t>Ruolo Sanitario - T.DETERMINATO - - Personale dirigente non medico - Accantonamento per ferie maturate e non godute</t>
  </si>
  <si>
    <t>50520020090000</t>
  </si>
  <si>
    <t>4.20.25.10.022.110.00.000</t>
  </si>
  <si>
    <t>Ruolo Sanitario - T.DETERMINATO - - Personale dirigente non medico - Oneri sociali*</t>
  </si>
  <si>
    <t>50520020100000</t>
  </si>
  <si>
    <t>4.20.25.10.022.210.00.000</t>
  </si>
  <si>
    <t>Ruolo Sanitario - T.DETERMINATO - - Personale dirigente non medico - Accantonamento a TFR</t>
  </si>
  <si>
    <t>50520020110000</t>
  </si>
  <si>
    <t>4.20.25.10.022.220.00.000</t>
  </si>
  <si>
    <t>Ruolo Sanitario - T.DETERMINATO - - Personale dirigente non medico - Accantonamento trattamento quiescenza e simili</t>
  </si>
  <si>
    <t>50520020120000</t>
  </si>
  <si>
    <t>4.20.25.10.022.800.00.000</t>
  </si>
  <si>
    <t>Ruolo Sanitario - T.DETERMINATO - - Personale dirigente non medico - Altri costi del personale</t>
  </si>
  <si>
    <t>50520030010000</t>
  </si>
  <si>
    <t>4.20.25.10.024.010.00.000</t>
  </si>
  <si>
    <t>Ruolo Sanitario - ALTRO - - Personale dirigente non medico - Competenze fisse</t>
  </si>
  <si>
    <t>50520030020000</t>
  </si>
  <si>
    <t>4.20.25.10.024.020.00.000</t>
  </si>
  <si>
    <t>Ruolo Sanitario - ALTRO - - Personale dirigente non medico - Straordinario</t>
  </si>
  <si>
    <t>50520030030000</t>
  </si>
  <si>
    <t>4.20.25.10.024.025.00.000</t>
  </si>
  <si>
    <t>Ruolo Sanitario - ALTRO - - Personale dirigente non medico - Retr. Posizione</t>
  </si>
  <si>
    <t>50520030040000</t>
  </si>
  <si>
    <t>4.20.25.10.024.030.00.000</t>
  </si>
  <si>
    <t>Ruolo Sanitario - ALTRO - - Personale dirigente non medico - Indennità varie</t>
  </si>
  <si>
    <t>50520030050000</t>
  </si>
  <si>
    <t>4.20.25.10.024.040.00.000</t>
  </si>
  <si>
    <t>Ruolo Sanitario - ALTRO - - Personale dirigente non medico - Competenze personale comandato</t>
  </si>
  <si>
    <t>50520030060000</t>
  </si>
  <si>
    <t>4.20.25.10.024.050.00.000</t>
  </si>
  <si>
    <t>Ruolo Sanitario - ALTRO - - Personale dirigente non medico - Incentivazione (retribuzione di risultato)</t>
  </si>
  <si>
    <t>50520030070000</t>
  </si>
  <si>
    <t>4.20.25.10.024.060.00.000</t>
  </si>
  <si>
    <t>Ruolo Sanitario - ALTRO - - Personale dirigente non medico - Risorse aggiungive regionali</t>
  </si>
  <si>
    <t>50520030080000</t>
  </si>
  <si>
    <t>4.20.25.10.024.070.00.000</t>
  </si>
  <si>
    <t>Ruolo Sanitario - ALTRO - - Personale dirigente non medico - Accantonamento per ferie maturate e non godute</t>
  </si>
  <si>
    <t>50520030090000</t>
  </si>
  <si>
    <t>4.20.25.10.024.110.00.000</t>
  </si>
  <si>
    <t>Ruolo Sanitario - ALTRO - - Personale dirigente non medico - Oneri sociali*</t>
  </si>
  <si>
    <t>50520030100000</t>
  </si>
  <si>
    <t>4.20.25.10.024.210.00.000</t>
  </si>
  <si>
    <t>Ruolo Sanitario - ALTRO - - Personale dirigente non medico - Accantonamento a TFR</t>
  </si>
  <si>
    <t>50520030110000</t>
  </si>
  <si>
    <t>4.20.25.10.024.220.00.000</t>
  </si>
  <si>
    <t>Ruolo Sanitario - ALTRO - - Personale dirigente non medico - Accantonamento trattamento quiescenza e simili</t>
  </si>
  <si>
    <t>50520030120000</t>
  </si>
  <si>
    <t>4.20.25.10.024.800.00.000</t>
  </si>
  <si>
    <t>Ruolo Sanitario - ALTRO - - Personale dirigente non medico - Altri costi del personale</t>
  </si>
  <si>
    <t>50530010010000</t>
  </si>
  <si>
    <t>4.20.25.10.110.010.00.000</t>
  </si>
  <si>
    <t>Ruolo Sanitario - T.INDETERMINATO- - Personale comparto - Competenze fisse</t>
  </si>
  <si>
    <t>50530010020000</t>
  </si>
  <si>
    <t>4.20.25.10.110.020.00.000</t>
  </si>
  <si>
    <t>Ruolo Sanitario - T.INDETERMINATO- - Personale comparto - Straordinario</t>
  </si>
  <si>
    <t>50530010030000</t>
  </si>
  <si>
    <t>4.20.25.10.110.030.00.000</t>
  </si>
  <si>
    <t>Ruolo Sanitario - T.INDETERMINATO- - Personale comparto - Indennità varie</t>
  </si>
  <si>
    <t>50530010040000</t>
  </si>
  <si>
    <t>4.20.25.10.110.035.00.000</t>
  </si>
  <si>
    <t>Ruolo Sanitario - T.INDETERMINATO- - Personale comparto - Incentivazione alla produttività collettiva</t>
  </si>
  <si>
    <t>50530010050000</t>
  </si>
  <si>
    <t>4.20.25.10.110.040.00.000</t>
  </si>
  <si>
    <t>Ruolo Sanitario - T.INDETERMINATO- - Personale comparto - Competenze personale comandato</t>
  </si>
  <si>
    <t>50530010060000</t>
  </si>
  <si>
    <t>4.20.25.10.110.050.00.000</t>
  </si>
  <si>
    <t>Ruolo Sanitario - T.INDETERMINATO- - Personale comparto - Risorse aggiungive regionali</t>
  </si>
  <si>
    <t>50530010070000</t>
  </si>
  <si>
    <t>4.20.25.10.110.060.00.000</t>
  </si>
  <si>
    <t>Ruolo Sanitario - T.INDETERMINATO- - Personale comparto - Accantonamento per ferie maturate e non godute</t>
  </si>
  <si>
    <t>50530010080000</t>
  </si>
  <si>
    <t>4.20.25.10.110.110.00.000</t>
  </si>
  <si>
    <t>Ruolo Sanitario - T.INDETERMINATO- - Personale comparto - Oneri sociali*</t>
  </si>
  <si>
    <t>50530010090000</t>
  </si>
  <si>
    <t>4.20.25.10.110.210.00.000</t>
  </si>
  <si>
    <t>Ruolo Sanitario - T.INDETERMINATO- - Personale comparto - Accantonamento a TFR</t>
  </si>
  <si>
    <t>50530010100000</t>
  </si>
  <si>
    <t>4.20.25.10.110.220.00.000</t>
  </si>
  <si>
    <t>Ruolo Sanitario - T.INDETERMINATO- - Personale comparto - Accantonamento trattamento quiescenza e simili</t>
  </si>
  <si>
    <t>50530010110000</t>
  </si>
  <si>
    <t>4.20.25.10.110.800.00.000</t>
  </si>
  <si>
    <t>Ruolo Sanitario - T.INDETERMINATO- - Personale comparto - Altri costi del personale</t>
  </si>
  <si>
    <t>50530020010000</t>
  </si>
  <si>
    <t>4.20.25.10.112.010.00.000</t>
  </si>
  <si>
    <t>Ruolo Sanitario - T.DETERMINATO- - Personale comparto - Competenze fisse</t>
  </si>
  <si>
    <t>50530020020000</t>
  </si>
  <si>
    <t>4.20.25.10.112.020.00.000</t>
  </si>
  <si>
    <t>Ruolo Sanitario - T.DETERMINATO- - Personale comparto - Straordinario</t>
  </si>
  <si>
    <t>50530020030000</t>
  </si>
  <si>
    <t>4.20.25.10.112.030.00.000</t>
  </si>
  <si>
    <t>Ruolo Sanitario - T.DETERMINATO- - Personale comparto - Indennità varie</t>
  </si>
  <si>
    <t>50530020040000</t>
  </si>
  <si>
    <t>4.20.25.10.112.035.00.000</t>
  </si>
  <si>
    <t>Ruolo Sanitario - T.DETERMINATO- - Personale comparto - Incentivazione alla produttività collettiva</t>
  </si>
  <si>
    <t>50530020050000</t>
  </si>
  <si>
    <t>4.20.25.10.112.040.00.000</t>
  </si>
  <si>
    <t>Ruolo Sanitario - T.DETERMINATO- - Personale comparto - Competenze personale comandato</t>
  </si>
  <si>
    <t>50530020060000</t>
  </si>
  <si>
    <t>4.20.25.10.112.050.00.000</t>
  </si>
  <si>
    <t>Ruolo Sanitario - T.DETERMINATO- - Personale comparto - Risorse aggiungive regionali</t>
  </si>
  <si>
    <t>50530020070000</t>
  </si>
  <si>
    <t>4.20.25.10.112.060.00.000</t>
  </si>
  <si>
    <t>Ruolo Sanitario - T.DETERMINATO- - Personale comparto - Accantonamento per ferie maturate e non godute</t>
  </si>
  <si>
    <t>50530020080000</t>
  </si>
  <si>
    <t>4.20.25.10.112.110.00.000</t>
  </si>
  <si>
    <t>Ruolo Sanitario - T.DETERMINATO- - Personale comparto - Oneri sociali*</t>
  </si>
  <si>
    <t>50530020090000</t>
  </si>
  <si>
    <t>4.20.25.10.112.210.00.000</t>
  </si>
  <si>
    <t>Ruolo Sanitario - T.DETERMINATO- - Personale comparto - Accantonamento a TFR</t>
  </si>
  <si>
    <t>50530020100000</t>
  </si>
  <si>
    <t>4.20.25.10.112.220.00.000</t>
  </si>
  <si>
    <t>Ruolo Sanitario - T.DETERMINATO- - Personale comparto - Accantonamento trattamento quiescenza e simili</t>
  </si>
  <si>
    <t>50530020110000</t>
  </si>
  <si>
    <t>4.20.25.10.112.800.00.000</t>
  </si>
  <si>
    <t>Ruolo Sanitario - T.DETERMINATO- - Personale comparto - Altri costi del personale</t>
  </si>
  <si>
    <t>50530030010000</t>
  </si>
  <si>
    <t>4.20.25.10.114.010.00.000</t>
  </si>
  <si>
    <t>Ruolo Sanitario - T.ALTRO- - Personale comparto - Competenze fisse</t>
  </si>
  <si>
    <t>50530030020000</t>
  </si>
  <si>
    <t>4.20.25.10.114.020.00.000</t>
  </si>
  <si>
    <t>Ruolo Sanitario - T.ALTRO- - Personale comparto - Straordinario</t>
  </si>
  <si>
    <t>50530030030000</t>
  </si>
  <si>
    <t>4.20.25.10.114.030.00.000</t>
  </si>
  <si>
    <t>Ruolo Sanitario - T.ALTRO- - Personale comparto - Indennità varie</t>
  </si>
  <si>
    <t>50530030040000</t>
  </si>
  <si>
    <t>4.20.25.10.114.035.00.000</t>
  </si>
  <si>
    <t>Ruolo Sanitario - T.ALTRO- - Personale comparto - Incentivazione alla produttività collettiva</t>
  </si>
  <si>
    <t>50530030050000</t>
  </si>
  <si>
    <t>4.20.25.10.114.040.00.000</t>
  </si>
  <si>
    <t>Ruolo Sanitario - T.ALTRO- - Personale comparto - Competenze personale comandato</t>
  </si>
  <si>
    <t>50530030060000</t>
  </si>
  <si>
    <t>4.20.25.10.114.050.00.000</t>
  </si>
  <si>
    <t>Ruolo Sanitario - T.ALTRO- - Personale comparto - Risorse aggiungive regionali</t>
  </si>
  <si>
    <t>50530030070000</t>
  </si>
  <si>
    <t>4.20.25.10.114.060.00.000</t>
  </si>
  <si>
    <t>Ruolo Sanitario - T.ALTRO- - Personale comparto - Accantonamento per ferie maturate e non godute</t>
  </si>
  <si>
    <t>50530030080000</t>
  </si>
  <si>
    <t>4.20.25.10.114.110.00.000</t>
  </si>
  <si>
    <t>Ruolo Sanitario - T.ALTRO- - Personale comparto - Oneri sociali*</t>
  </si>
  <si>
    <t>50530030090000</t>
  </si>
  <si>
    <t>4.20.25.10.114.210.00.000</t>
  </si>
  <si>
    <t>Ruolo Sanitario - T.ALTRO- - Personale comparto - Accantonamento a TFR</t>
  </si>
  <si>
    <t>50530030100000</t>
  </si>
  <si>
    <t>4.20.25.10.114.220.00.000</t>
  </si>
  <si>
    <t>Ruolo Sanitario - T.ALTRO- - Personale comparto - Accantonamento trattamento quiescenza e simili</t>
  </si>
  <si>
    <t>50530030110000</t>
  </si>
  <si>
    <t>4.20.25.10.114.800.00.000</t>
  </si>
  <si>
    <t>Ruolo Sanitario - T.ALTRO- - Personale comparto - Altri costi del personale</t>
  </si>
  <si>
    <t>50600000000000</t>
  </si>
  <si>
    <t>4.20.25.20.000.000.00.000</t>
  </si>
  <si>
    <t>B.6 Personale del ruolo professionale - Totale</t>
  </si>
  <si>
    <t>50640010010000</t>
  </si>
  <si>
    <t>4.20.25.20.020.010.00.000</t>
  </si>
  <si>
    <t>Ruolo professionale - T.INDETERMINATO- Personale dirigente - Competenze fisse</t>
  </si>
  <si>
    <t>50640010020000</t>
  </si>
  <si>
    <t>4.20.25.20.020.020.00.000</t>
  </si>
  <si>
    <t>Ruolo professionale - T.INDETERMINATO- Personale dirigente - Straordinario</t>
  </si>
  <si>
    <t>50640010030000</t>
  </si>
  <si>
    <t>4.20.25.20.020.025.00.000</t>
  </si>
  <si>
    <t>Ruolo professionale - T.INDETERMINATO- Personale dirigente - Retr. Posizione</t>
  </si>
  <si>
    <t>50640010040000</t>
  </si>
  <si>
    <t>4.20.25.20.020.030.00.000</t>
  </si>
  <si>
    <t>Ruolo professionale - T.INDETERMINATO- Personale dirigente - Indennità varie</t>
  </si>
  <si>
    <t>50640010050000</t>
  </si>
  <si>
    <t>4.20.25.20.020.040.00.000</t>
  </si>
  <si>
    <t>Ruolo professionale - T.INDETERMINATO- Personale dirigente - Competenze Ruolo professionale - T.INDETERMINATO- Personale comandato</t>
  </si>
  <si>
    <t>50640010060000</t>
  </si>
  <si>
    <t>4.20.25.20.020.050.00.000</t>
  </si>
  <si>
    <t>Ruolo professionale - T.INDETERMINATO- Personale dirigente - Incentivazione (retribuzione di risultato)</t>
  </si>
  <si>
    <t>50640010070000</t>
  </si>
  <si>
    <t>4.20.25.20.020.060.00.000</t>
  </si>
  <si>
    <t>Ruolo professionale - T.INDETERMINATO- Personale dirigente - Risorse aggiungive regionali</t>
  </si>
  <si>
    <t>50640010080000</t>
  </si>
  <si>
    <t>4.20.25.20.020.070.00.000</t>
  </si>
  <si>
    <t>Ruolo professionale - T.INDETERMINATO- Personale dirigente - Accantonamento per ferie maturate e non godute</t>
  </si>
  <si>
    <t>50640010090000</t>
  </si>
  <si>
    <t>4.20.25.20.020.110.00.000</t>
  </si>
  <si>
    <t>Ruolo professionale - T.INDETERMINATO- Personale dirigente - Oneri sociali*</t>
  </si>
  <si>
    <t>50640010100000</t>
  </si>
  <si>
    <t>4.20.25.20.020.210.00.000</t>
  </si>
  <si>
    <t>Ruolo professionale - T.INDETERMINATO- Personale dirigente - Accantonamento a TFR</t>
  </si>
  <si>
    <t>50640010110000</t>
  </si>
  <si>
    <t>4.20.25.20.020.220.00.000</t>
  </si>
  <si>
    <t>Ruolo professionale - T.INDETERMINATO- Personale dirigente - Accantonamento trattamento quiescenza e simili</t>
  </si>
  <si>
    <t>50640010120000</t>
  </si>
  <si>
    <t>4.20.25.20.020.800.00.000</t>
  </si>
  <si>
    <t xml:space="preserve">Ruolo professionale - T.INDETERMINATO- Personale dirigente - Altri costi del Ruolo professionale - </t>
  </si>
  <si>
    <t>50640020010000</t>
  </si>
  <si>
    <t>4.20.25.20.022.010.00.000</t>
  </si>
  <si>
    <t>Ruolo professionale - T.DETERMINATO- Personale dirigente - Competenze fisse</t>
  </si>
  <si>
    <t>50640020020000</t>
  </si>
  <si>
    <t>4.20.25.20.022.020.00.000</t>
  </si>
  <si>
    <t>Ruolo professionale - T.DETERMINATO- Personale dirigente - Straordinario</t>
  </si>
  <si>
    <t>50640020030000</t>
  </si>
  <si>
    <t>4.20.25.20.022.025.00.000</t>
  </si>
  <si>
    <t>Ruolo professionale - T.DETERMINATO- Personale dirigente - Retr. Posizione</t>
  </si>
  <si>
    <t>50640020040000</t>
  </si>
  <si>
    <t>4.20.25.20.022.030.00.000</t>
  </si>
  <si>
    <t>Ruolo professionale - T.DETERMINATO- Personale dirigente - Indennità varie</t>
  </si>
  <si>
    <t>50640020050000</t>
  </si>
  <si>
    <t>4.20.25.20.022.040.00.000</t>
  </si>
  <si>
    <t>Ruolo professionale - T.DETERMINATO- Personale dirigente - Competenze Ruolo professionale - T.DETERMINATO- Personale comandato</t>
  </si>
  <si>
    <t>50640020060000</t>
  </si>
  <si>
    <t>4.20.25.20.022.050.00.000</t>
  </si>
  <si>
    <t>Ruolo professionale - T.DETERMINATO- Personale dirigente - Incentivazione (retribuzione di risultato)</t>
  </si>
  <si>
    <t>50640020070000</t>
  </si>
  <si>
    <t>4.20.25.20.022.060.00.000</t>
  </si>
  <si>
    <t>Ruolo professionale - T.DETERMINATO- Personale dirigente - Risorse aggiungive regionali</t>
  </si>
  <si>
    <t>50640020080000</t>
  </si>
  <si>
    <t>4.20.25.20.022.070.00.000</t>
  </si>
  <si>
    <t>Ruolo professionale - T.DETERMINATO- Personale dirigente - Accantonamento per ferie maturate e non godute</t>
  </si>
  <si>
    <t>50640020090000</t>
  </si>
  <si>
    <t>4.20.25.20.022.110.00.000</t>
  </si>
  <si>
    <t>Ruolo professionale - T.DETERMINATO- Personale dirigente - Oneri sociali*</t>
  </si>
  <si>
    <t>50640020100000</t>
  </si>
  <si>
    <t>4.20.25.20.022.210.00.000</t>
  </si>
  <si>
    <t>Ruolo professionale - T.DETERMINATO- Personale dirigente - Accantonamento a TFR</t>
  </si>
  <si>
    <t>50640020110000</t>
  </si>
  <si>
    <t>4.20.25.20.022.220.00.000</t>
  </si>
  <si>
    <t>Ruolo professionale - T.DETERMINATO- Personale dirigente - Accantonamento trattamento quiescenza e simili</t>
  </si>
  <si>
    <t>50640020120000</t>
  </si>
  <si>
    <t>4.20.25.20.022.800.00.000</t>
  </si>
  <si>
    <t xml:space="preserve">Ruolo professionale - T.DETERMINATO- Personale dirigente - Altri costi del Ruolo professionale - </t>
  </si>
  <si>
    <t>50640030010000</t>
  </si>
  <si>
    <t>4.20.25.20.024.010.00.000</t>
  </si>
  <si>
    <t>Ruolo professionale - T.ALTRO- Personale dirigente - Competenze fisse</t>
  </si>
  <si>
    <t>50640030020000</t>
  </si>
  <si>
    <t>4.20.25.20.024.020.00.000</t>
  </si>
  <si>
    <t>Ruolo professionale - T.ALTRO- Personale dirigente - Straordinario</t>
  </si>
  <si>
    <t>50640030030000</t>
  </si>
  <si>
    <t>4.20.25.20.024.025.00.000</t>
  </si>
  <si>
    <t>Ruolo professionale - T.ALTRO- Personale dirigente - Retr. Posizione</t>
  </si>
  <si>
    <t>50640030040000</t>
  </si>
  <si>
    <t>4.20.25.20.024.030.00.000</t>
  </si>
  <si>
    <t>Ruolo professionale - T.ALTRO- Personale dirigente - Indennità varie</t>
  </si>
  <si>
    <t>50640030050000</t>
  </si>
  <si>
    <t>4.20.25.20.024.040.00.000</t>
  </si>
  <si>
    <t>Ruolo professionale - T.ALTRO- Personale dirigente - Competenze Ruolo professionale - T.ALTRO- Personale comandato</t>
  </si>
  <si>
    <t>50640030060000</t>
  </si>
  <si>
    <t>4.20.25.20.024.050.00.000</t>
  </si>
  <si>
    <t>Ruolo professionale - T.ALTRO- Personale dirigente - Incentivazione (retribuzione di risultato)</t>
  </si>
  <si>
    <t>50640030070000</t>
  </si>
  <si>
    <t>4.20.25.20.024.060.00.000</t>
  </si>
  <si>
    <t>Ruolo professionale - T.ALTRO- Personale dirigente - Risorse aggiungive regionali</t>
  </si>
  <si>
    <t>50640030080000</t>
  </si>
  <si>
    <t>4.20.25.20.024.070.00.000</t>
  </si>
  <si>
    <t>Ruolo professionale - T.ALTRO- Personale dirigente - Accantonamento per ferie maturate e non godute</t>
  </si>
  <si>
    <t>50640030090000</t>
  </si>
  <si>
    <t>4.20.25.20.024.110.00.000</t>
  </si>
  <si>
    <t>Ruolo professionale - T.ALTRO- Personale dirigente - Oneri sociali*</t>
  </si>
  <si>
    <t>50640030100000</t>
  </si>
  <si>
    <t>4.20.25.20.024.210.00.000</t>
  </si>
  <si>
    <t>Ruolo professionale - T.ALTRO- Personale dirigente - Accantonamento a TFR</t>
  </si>
  <si>
    <t>50640030110000</t>
  </si>
  <si>
    <t>4.20.25.20.024.220.00.000</t>
  </si>
  <si>
    <t>Ruolo professionale - T.ALTRO- Personale dirigente - Accantonamento trattamento quiescenza e simili</t>
  </si>
  <si>
    <t>50640030120000</t>
  </si>
  <si>
    <t>4.20.25.20.024.800.00.000</t>
  </si>
  <si>
    <t xml:space="preserve">Ruolo professionale - T.ALTRO- Personale dirigente - Altri costi del Ruolo professionale - </t>
  </si>
  <si>
    <t>50645010010000</t>
  </si>
  <si>
    <t>4.20.25.20.110.010.00.000</t>
  </si>
  <si>
    <t>Ruolo professionale - T.INDETERMINATO - Personale comparto - Competenze fisse</t>
  </si>
  <si>
    <t>50645010020000</t>
  </si>
  <si>
    <t>4.20.25.20.110.020.00.000</t>
  </si>
  <si>
    <t>Ruolo professionale - T.INDETERMINATO - Personale comparto - Straordinario</t>
  </si>
  <si>
    <t>50645010030000</t>
  </si>
  <si>
    <t>4.20.25.20.110.030.00.000</t>
  </si>
  <si>
    <t>Ruolo professionale - T.INDETERMINATO - Personale comparto - Indennità varie</t>
  </si>
  <si>
    <t>50645010040000</t>
  </si>
  <si>
    <t>4.20.25.20.110.035.00.000</t>
  </si>
  <si>
    <t>Ruolo professionale - T.INDETERMINATO - Personale comparto - Incentivazione alla produttività collettiva</t>
  </si>
  <si>
    <t>50645010050000</t>
  </si>
  <si>
    <t>4.20.25.20.110.040.00.000</t>
  </si>
  <si>
    <t>Ruolo professionale - T.INDETERMINATO - Personale comparto - Competenze Ruolo professionale - Personale comandato</t>
  </si>
  <si>
    <t>50645010060000</t>
  </si>
  <si>
    <t>4.20.25.20.110.050.00.000</t>
  </si>
  <si>
    <t>Ruolo professionale - T.INDETERMINATO - Personale comparto - Risorse aggiungive regionali</t>
  </si>
  <si>
    <t>50645010070000</t>
  </si>
  <si>
    <t>4.20.25.20.110.060.00.000</t>
  </si>
  <si>
    <t>Ruolo professionale - T.INDETERMINATO - Personale comparto - Accantonamento per ferie maturate e non godute</t>
  </si>
  <si>
    <t>50645010080000</t>
  </si>
  <si>
    <t>4.20.25.20.110.110.00.000</t>
  </si>
  <si>
    <t>Ruolo professionale - T.INDETERMINATO - Personale comparto - Oneri sociali*</t>
  </si>
  <si>
    <t>50645010090000</t>
  </si>
  <si>
    <t>4.20.25.20.110.210.00.000</t>
  </si>
  <si>
    <t>Ruolo professionale - T.INDETERMINATO - Personale comparto - Accantonamento a TFR</t>
  </si>
  <si>
    <t>50645010100000</t>
  </si>
  <si>
    <t>4.20.25.20.110.220.00.000</t>
  </si>
  <si>
    <t>Ruolo professionale - T.INDETERMINATO - Personale comparto - Accantonamento trattamento quiescenza e simili</t>
  </si>
  <si>
    <t>50645010110000</t>
  </si>
  <si>
    <t>4.20.25.20.110.800.00.000</t>
  </si>
  <si>
    <t>Ruolo professionale - T.INDETERMINATO - Personale comparto - Altri costi del personale</t>
  </si>
  <si>
    <t>50645020010000</t>
  </si>
  <si>
    <t>4.20.25.20.112.010.00.000</t>
  </si>
  <si>
    <t>Ruolo professionale - T.DETERMINATO - Personale comparto - Competenze fisse</t>
  </si>
  <si>
    <t>50645020020000</t>
  </si>
  <si>
    <t>4.20.25.20.112.020.00.000</t>
  </si>
  <si>
    <t>Ruolo professionale - T.DETERMINATO - Personale comparto - Straordinario</t>
  </si>
  <si>
    <t>50645020030000</t>
  </si>
  <si>
    <t>4.20.25.20.112.030.00.000</t>
  </si>
  <si>
    <t>Ruolo professionale - T.DETERMINATO - Personale comparto - Indennità varie</t>
  </si>
  <si>
    <t>50645020040000</t>
  </si>
  <si>
    <t>4.20.25.20.112.035.00.000</t>
  </si>
  <si>
    <t>Ruolo professionale - T.DETERMINATO - Personale comparto - Incentivazione alla produttività collettiva</t>
  </si>
  <si>
    <t>50645020050000</t>
  </si>
  <si>
    <t>4.20.25.20.112.040.00.000</t>
  </si>
  <si>
    <t>Ruolo professionale - T.DETERMINATO - Personale comparto - Competenze Ruolo professionale - Personale comandato</t>
  </si>
  <si>
    <t>50645020060000</t>
  </si>
  <si>
    <t>4.20.25.20.112.050.00.000</t>
  </si>
  <si>
    <t>Ruolo professionale - T.DETERMINATO - Personale comparto - Risorse aggiungive regionali</t>
  </si>
  <si>
    <t>50645020070000</t>
  </si>
  <si>
    <t>4.20.25.20.112.060.00.000</t>
  </si>
  <si>
    <t>Ruolo professionale - T.DETERMINATO - Personale comparto - Accantonamento per ferie maturate e non godute</t>
  </si>
  <si>
    <t>50645020080000</t>
  </si>
  <si>
    <t>4.20.25.20.112.110.00.000</t>
  </si>
  <si>
    <t>Ruolo professionale - T.DETERMINATO - Personale comparto - Oneri sociali*</t>
  </si>
  <si>
    <t>50645020090000</t>
  </si>
  <si>
    <t>4.20.25.20.112.210.00.000</t>
  </si>
  <si>
    <t>Ruolo professionale - T.DETERMINATO - Personale comparto - Accantonamento a TFR</t>
  </si>
  <si>
    <t>50645020100000</t>
  </si>
  <si>
    <t>4.20.25.20.112.220.00.000</t>
  </si>
  <si>
    <t>Ruolo professionale - T.DETERMINATO - Personale comparto - Accantonamento trattamento quiescenza e simili</t>
  </si>
  <si>
    <t>50645020110000</t>
  </si>
  <si>
    <t>4.20.25.20.112.800.00.000</t>
  </si>
  <si>
    <t>Ruolo professionale - T.DETERMINATO - Personale comparto - Altri costi del personale</t>
  </si>
  <si>
    <t>50645030010000</t>
  </si>
  <si>
    <t>4.20.25.20.114.010.00.000</t>
  </si>
  <si>
    <t>Ruolo professionale - T.ALTRO - Personale comparto - Competenze fisse</t>
  </si>
  <si>
    <t>50645030020000</t>
  </si>
  <si>
    <t>4.20.25.20.114.020.00.000</t>
  </si>
  <si>
    <t>Ruolo professionale - T.ALTRO - Personale comparto - Straordinario</t>
  </si>
  <si>
    <t>50645030030000</t>
  </si>
  <si>
    <t>4.20.25.20.114.030.00.000</t>
  </si>
  <si>
    <t>Ruolo professionale - T.ALTRO - Personale comparto - Indennità varie</t>
  </si>
  <si>
    <t>50645030040000</t>
  </si>
  <si>
    <t>4.20.25.20.114.035.00.000</t>
  </si>
  <si>
    <t>Ruolo professionale - T.ALTRO - Personale comparto - Incentivazione alla produttività collettiva</t>
  </si>
  <si>
    <t>50645030050000</t>
  </si>
  <si>
    <t>4.20.25.20.114.040.00.000</t>
  </si>
  <si>
    <t>Ruolo professionale - T.ALTRO - Personale comparto - Competenze Ruolo professionale - Personale comandato</t>
  </si>
  <si>
    <t>50645030060000</t>
  </si>
  <si>
    <t>4.20.25.20.114.050.00.000</t>
  </si>
  <si>
    <t>Ruolo professionale - T.ALTRO - Personale comparto - Risorse aggiungive regionali</t>
  </si>
  <si>
    <t>50645030070000</t>
  </si>
  <si>
    <t>4.20.25.20.114.060.00.000</t>
  </si>
  <si>
    <t>Ruolo professionale - T.ALTRO - Personale comparto - Accantonamento per ferie maturate e non godute</t>
  </si>
  <si>
    <t>50645030080000</t>
  </si>
  <si>
    <t>4.20.25.20.114.110.00.000</t>
  </si>
  <si>
    <t>Ruolo professionale - T.ALTRO - Personale comparto - Oneri sociali*</t>
  </si>
  <si>
    <t>50645030090000</t>
  </si>
  <si>
    <t>4.20.25.20.114.210.00.000</t>
  </si>
  <si>
    <t>Ruolo professionale - T.ALTRO - Personale comparto - Accantonamento a TFR</t>
  </si>
  <si>
    <t>50645030100000</t>
  </si>
  <si>
    <t>4.20.25.20.114.220.00.000</t>
  </si>
  <si>
    <t>Ruolo professionale - T.ALTRO - Personale comparto - Accantonamento trattamento quiescenza e simili</t>
  </si>
  <si>
    <t>50645030110000</t>
  </si>
  <si>
    <t>4.20.25.20.114.800.00.000</t>
  </si>
  <si>
    <t>Ruolo professionale - T.ALTRO - Personale comparto - Altri costi del personale</t>
  </si>
  <si>
    <t>50700000000000</t>
  </si>
  <si>
    <t>4.20.25.30.000.000.00.000</t>
  </si>
  <si>
    <t>B.7 Personale del ruolo tecnico - Totale</t>
  </si>
  <si>
    <t>50750010010000</t>
  </si>
  <si>
    <t>4.20.25.30.020.010.00.000</t>
  </si>
  <si>
    <t>Ruolo tecnico - T.INDETERMINATO - - Personale dirigente - Competenze fisse</t>
  </si>
  <si>
    <t>50750010020000</t>
  </si>
  <si>
    <t>4.20.25.30.020.020.00.000</t>
  </si>
  <si>
    <t>Ruolo tecnico - T.INDETERMINATO - - Personale dirigente - Straordinario</t>
  </si>
  <si>
    <t>50750010030000</t>
  </si>
  <si>
    <t>4.20.25.30.020.025.00.000</t>
  </si>
  <si>
    <t>Ruolo tecnico - T.INDETERMINATO - - Personale dirigente - Retr. Posizione</t>
  </si>
  <si>
    <t>50750010040000</t>
  </si>
  <si>
    <t>4.20.25.30.020.030.00.000</t>
  </si>
  <si>
    <t>Ruolo tecnico - T.INDETERMINATO - - Personale dirigente - Indennità varie</t>
  </si>
  <si>
    <t>50750010050000</t>
  </si>
  <si>
    <t>4.20.25.30.020.040.00.000</t>
  </si>
  <si>
    <t>Ruolo tecnico - T.INDETERMINATO - - Personale dirigente - Competenze Ruolo tecnico - Personale comandato</t>
  </si>
  <si>
    <t>50750010060000</t>
  </si>
  <si>
    <t>4.20.25.30.020.050.00.000</t>
  </si>
  <si>
    <t>Ruolo tecnico - T.INDETERMINATO - - Personale dirigente - Incentivazione (retribuzione di risultato)</t>
  </si>
  <si>
    <t>50750010070000</t>
  </si>
  <si>
    <t>4.20.25.30.020.060.00.000</t>
  </si>
  <si>
    <t>Ruolo tecnico - T.INDETERMINATO - - Personale dirigente - Risorse aggiungive regionali</t>
  </si>
  <si>
    <t>50750010080000</t>
  </si>
  <si>
    <t>4.20.25.30.020.070.00.000</t>
  </si>
  <si>
    <t>Ruolo tecnico - T.INDETERMINATO - - Personale dirigente - Accantonamento per ferie maturate e non godute</t>
  </si>
  <si>
    <t>50750010090000</t>
  </si>
  <si>
    <t>4.20.25.30.020.110.00.000</t>
  </si>
  <si>
    <t>Ruolo tecnico - T.INDETERMINATO - - Personale dirigente - Oneri sociali*</t>
  </si>
  <si>
    <t>50750010100000</t>
  </si>
  <si>
    <t>4.20.25.30.020.210.00.000</t>
  </si>
  <si>
    <t>Ruolo tecnico - T.INDETERMINATO - - Personale dirigente - Accantonamento a TFR</t>
  </si>
  <si>
    <t>50750010110000</t>
  </si>
  <si>
    <t>4.20.25.30.020.220.00.000</t>
  </si>
  <si>
    <t>Ruolo tecnico - T.INDETERMINATO - - Personale dirigente - Accantonamento trattamento quiescenza e simili</t>
  </si>
  <si>
    <t>50750010120000</t>
  </si>
  <si>
    <t>4.20.25.30.020.800.00.000</t>
  </si>
  <si>
    <t xml:space="preserve">Ruolo tecnico - T.INDETERMINATO - - Personale dirigente - Altri costi del Ruolo tecnico </t>
  </si>
  <si>
    <t>50750020010000</t>
  </si>
  <si>
    <t>4.20.25.30.022.010.00.000</t>
  </si>
  <si>
    <t>Ruolo tecnico - T.DETERMINATO - - Personale dirigente - Competenze fisse</t>
  </si>
  <si>
    <t>50750020020000</t>
  </si>
  <si>
    <t>4.20.25.30.022.020.00.000</t>
  </si>
  <si>
    <t>Ruolo tecnico - T.DETERMINATO - - Personale dirigente - Straordinario</t>
  </si>
  <si>
    <t>50755010030000</t>
  </si>
  <si>
    <t>4.20.25.30.022.025.00.000</t>
  </si>
  <si>
    <t>Ruolo tecnico - T.DETERMINATO - - Personale dirigente - Retr. Posizione</t>
  </si>
  <si>
    <t>50750020030000</t>
  </si>
  <si>
    <t>4.20.25.30.022.030.00.000</t>
  </si>
  <si>
    <t>Ruolo tecnico - T.DETERMINATO - - Personale dirigente - Indennità varie</t>
  </si>
  <si>
    <t>50750020040000</t>
  </si>
  <si>
    <t>4.20.25.30.022.040.00.000</t>
  </si>
  <si>
    <t>Ruolo tecnico - T.DETERMINATO - - Personale dirigente - Competenze Ruolo tecnico - Personale comandato</t>
  </si>
  <si>
    <t>50750020050000</t>
  </si>
  <si>
    <t>4.20.25.30.022.050.00.000</t>
  </si>
  <si>
    <t>Ruolo tecnico - T.DETERMINATO - - Personale dirigente - Incentivazione (retribuzione di risultato)</t>
  </si>
  <si>
    <t>50750020060000</t>
  </si>
  <si>
    <t>4.20.25.30.022.060.00.000</t>
  </si>
  <si>
    <t>Ruolo tecnico - T.DETERMINATO - - Personale dirigente - Risorse aggiungive regionali</t>
  </si>
  <si>
    <t>50750020070000</t>
  </si>
  <si>
    <t>4.20.25.30.022.070.00.000</t>
  </si>
  <si>
    <t>Ruolo tecnico - T.DETERMINATO - - Personale dirigente - Accantonamento per ferie maturate e non godute</t>
  </si>
  <si>
    <t>50750020080000</t>
  </si>
  <si>
    <t>4.20.25.30.022.110.00.000</t>
  </si>
  <si>
    <t>Ruolo tecnico - T.DETERMINATO - - Personale dirigente - Oneri sociali*</t>
  </si>
  <si>
    <t>50750020090000</t>
  </si>
  <si>
    <t>4.20.25.30.022.210.00.000</t>
  </si>
  <si>
    <t>Ruolo tecnico - T.DETERMINATO - - Personale dirigente - Accantonamento a TFR</t>
  </si>
  <si>
    <t>50750020100000</t>
  </si>
  <si>
    <t>4.20.25.30.022.220.00.000</t>
  </si>
  <si>
    <t>Ruolo tecnico - T.DETERMINATO - - Personale dirigente - Accantonamento trattamento quiescenza e simili</t>
  </si>
  <si>
    <t>50750020110000</t>
  </si>
  <si>
    <t>4.20.25.30.022.800.00.000</t>
  </si>
  <si>
    <t xml:space="preserve">Ruolo tecnico - T.DETERMINATO - - Personale dirigente - Altri costi del Ruolo tecnico </t>
  </si>
  <si>
    <t>50750030010000</t>
  </si>
  <si>
    <t>4.20.25.30.024.010.00.000</t>
  </si>
  <si>
    <t>Ruolo tecnico - ALTRO - - Personale dirigente - Competenze fisse</t>
  </si>
  <si>
    <t>50750030020000</t>
  </si>
  <si>
    <t>4.20.25.30.024.020.00.000</t>
  </si>
  <si>
    <t>Ruolo tecnico - ALTRO - - Personale dirigente - Straordinario</t>
  </si>
  <si>
    <t>50750030030000</t>
  </si>
  <si>
    <t>4.20.25.30.024.025.00.000</t>
  </si>
  <si>
    <t>Ruolo tecnico - ALTRO - - Personale dirigente - Retr. Posizione</t>
  </si>
  <si>
    <t>50750030040000</t>
  </si>
  <si>
    <t>4.20.25.30.024.030.00.000</t>
  </si>
  <si>
    <t>Ruolo tecnico - ALTRO - - Personale dirigente - Indennità varie</t>
  </si>
  <si>
    <t>50750030050000</t>
  </si>
  <si>
    <t>4.20.25.30.024.040.00.000</t>
  </si>
  <si>
    <t>Ruolo tecnico - ALTRO - - Personale dirigente - Competenze Ruolo tecnico - Personale comandato</t>
  </si>
  <si>
    <t>50750030060000</t>
  </si>
  <si>
    <t>4.20.25.30.024.050.00.000</t>
  </si>
  <si>
    <t>Ruolo tecnico - ALTRO - - Personale dirigente - Incentivazione (retribuzione di risultato)</t>
  </si>
  <si>
    <t>50750030070000</t>
  </si>
  <si>
    <t>4.20.25.30.024.060.00.000</t>
  </si>
  <si>
    <t>Ruolo tecnico - ALTRO - - Personale dirigente - Risorse aggiungive regionali</t>
  </si>
  <si>
    <t>50750030080000</t>
  </si>
  <si>
    <t>4.20.25.30.024.070.00.000</t>
  </si>
  <si>
    <t>Ruolo tecnico - ALTRO - - Personale dirigente - Accantonamento per ferie maturate e non godute</t>
  </si>
  <si>
    <t>50750030090000</t>
  </si>
  <si>
    <t>4.20.25.30.024.110.00.000</t>
  </si>
  <si>
    <t>Ruolo tecnico - ALTRO - - Personale dirigente - Oneri sociali*</t>
  </si>
  <si>
    <t>50750030100000</t>
  </si>
  <si>
    <t>4.20.25.30.024.210.00.000</t>
  </si>
  <si>
    <t>Ruolo tecnico - ALTRO - - Personale dirigente - Accantonamento a TFR</t>
  </si>
  <si>
    <t>50750030110000</t>
  </si>
  <si>
    <t>4.20.25.30.024.220.00.000</t>
  </si>
  <si>
    <t>Ruolo tecnico - ALTRO - - Personale dirigente - Accantonamento trattamento quiescenza e simili</t>
  </si>
  <si>
    <t>50750030120000</t>
  </si>
  <si>
    <t>4.20.25.30.024.800.00.000</t>
  </si>
  <si>
    <t xml:space="preserve">Ruolo tecnico - ALTRO - - Personale dirigente - Altri costi del Ruolo tecnico </t>
  </si>
  <si>
    <t>50755010010000</t>
  </si>
  <si>
    <t>4.20.25.30.110.010.00.000</t>
  </si>
  <si>
    <t>Ruolo tecnico - T.INDETERMINATO - - Personale comparto - Competenze fisse</t>
  </si>
  <si>
    <t>50755010020000</t>
  </si>
  <si>
    <t>4.20.25.30.110.020.00.000</t>
  </si>
  <si>
    <t>Ruolo tecnico - T.INDETERMINATO - - Personale comparto - Straordinario</t>
  </si>
  <si>
    <t>50755010040000</t>
  </si>
  <si>
    <t>4.20.25.30.110.030.00.000</t>
  </si>
  <si>
    <t>Ruolo tecnico - T.INDETERMINATO - - Personale comparto - Indennità varie</t>
  </si>
  <si>
    <t>50755010050000</t>
  </si>
  <si>
    <t>4.20.25.30.110.035.00.000</t>
  </si>
  <si>
    <t>Ruolo tecnico - T.INDETERMINATO - - Personale comparto - Incentivazione alla produttività collettiva</t>
  </si>
  <si>
    <t>50755010060000</t>
  </si>
  <si>
    <t>4.20.25.30.110.040.00.000</t>
  </si>
  <si>
    <t>Ruolo tecnico - T.INDETERMINATO - - Personale comparto - Competenze Ruolo tecnico -  Personale comandato</t>
  </si>
  <si>
    <t>50755010070000</t>
  </si>
  <si>
    <t>4.20.25.30.110.050.00.000</t>
  </si>
  <si>
    <t>Ruolo tecnico - T.INDETERMINATO - - Personale comparto - Risorse aggiungive regionali</t>
  </si>
  <si>
    <t>50755010080000</t>
  </si>
  <si>
    <t>4.20.25.30.110.060.00.000</t>
  </si>
  <si>
    <t>Ruolo tecnico - T.INDETERMINATO - - Personale comparto - Accantonamento per ferie maturate e non godute</t>
  </si>
  <si>
    <t>50755010090000</t>
  </si>
  <si>
    <t>4.20.25.30.110.110.00.000</t>
  </si>
  <si>
    <t>Ruolo tecnico - T.INDETERMINATO - - Personale comparto - Oneri sociali*</t>
  </si>
  <si>
    <t>50755010100000</t>
  </si>
  <si>
    <t>4.20.25.30.110.210.00.000</t>
  </si>
  <si>
    <t>Ruolo tecnico - T.INDETERMINATO - - Personale comparto - Accantonamento a TFR</t>
  </si>
  <si>
    <t>50755010110000</t>
  </si>
  <si>
    <t>4.20.25.30.110.220.00.000</t>
  </si>
  <si>
    <t>Ruolo tecnico - T.INDETERMINATO - - Personale comparto - Accantonamento trattamento quiescenza e simili</t>
  </si>
  <si>
    <t>50755010120000</t>
  </si>
  <si>
    <t>4.20.25.30.110.800.00.000</t>
  </si>
  <si>
    <t>Ruolo tecnico - T.INDETERMINATO - - Personale comparto - Altri costi del personale</t>
  </si>
  <si>
    <t>50755020010000</t>
  </si>
  <si>
    <t>4.20.25.30.112.010.00.000</t>
  </si>
  <si>
    <t>Ruolo tecnico - T.DETERMINATO - - Personale comparto - Competenze fisse</t>
  </si>
  <si>
    <t>50755020020000</t>
  </si>
  <si>
    <t>4.20.25.30.112.020.00.000</t>
  </si>
  <si>
    <t>Ruolo tecnico - T.DETERMINATO - - Personale comparto - Straordinario</t>
  </si>
  <si>
    <t>50755020030000</t>
  </si>
  <si>
    <t>4.20.25.30.112.030.00.000</t>
  </si>
  <si>
    <t>Ruolo tecnico - T.DETERMINATO - - Personale comparto - Indennità varie</t>
  </si>
  <si>
    <t>50755020040000</t>
  </si>
  <si>
    <t>4.20.25.30.112.035.00.000</t>
  </si>
  <si>
    <t>Ruolo tecnico - T.DETERMINATO - - Personale comparto - Incentivazione alla produttività collettiva</t>
  </si>
  <si>
    <t>50755020050000</t>
  </si>
  <si>
    <t>4.20.25.30.112.040.00.000</t>
  </si>
  <si>
    <t>Ruolo tecnico - T.DETERMINATO - - Personale comparto - Competenze Ruolo tecnico -  Personale comandato</t>
  </si>
  <si>
    <t>50755020060000</t>
  </si>
  <si>
    <t>4.20.25.30.112.050.00.000</t>
  </si>
  <si>
    <t>Ruolo tecnico - T.DETERMINATO - - Personale comparto - Risorse aggiungive regionali</t>
  </si>
  <si>
    <t>50755020070000</t>
  </si>
  <si>
    <t>4.20.25.30.112.060.00.000</t>
  </si>
  <si>
    <t>Ruolo tecnico - T.DETERMINATO - - Personale comparto - Accantonamento per ferie maturate e non godute</t>
  </si>
  <si>
    <t>50755020080000</t>
  </si>
  <si>
    <t>4.20.25.30.112.110.00.000</t>
  </si>
  <si>
    <t>Ruolo tecnico - T.DETERMINATO - - Personale comparto - Oneri sociali*</t>
  </si>
  <si>
    <t>50755020090000</t>
  </si>
  <si>
    <t>4.20.25.30.112.210.00.000</t>
  </si>
  <si>
    <t>Ruolo tecnico - T.DETERMINATO - - Personale comparto - Accantonamento a TFR</t>
  </si>
  <si>
    <t>50755020100000</t>
  </si>
  <si>
    <t>4.20.25.30.112.220.00.000</t>
  </si>
  <si>
    <t>Ruolo tecnico - T.DETERMINATO - - Personale comparto - Accantonamento trattamento quiescenza e simili</t>
  </si>
  <si>
    <t>50755020110000</t>
  </si>
  <si>
    <t>4.20.25.30.112.800.00.000</t>
  </si>
  <si>
    <t>Ruolo tecnico - T.DETERMINATO - - Personale comparto - Altri costi del personale</t>
  </si>
  <si>
    <t>50755030010000</t>
  </si>
  <si>
    <t>4.20.25.30.114.010.00.000</t>
  </si>
  <si>
    <t>Ruolo tecnico - ALTRO - - Personale comparto - Competenze fisse</t>
  </si>
  <si>
    <t>50755030020000</t>
  </si>
  <si>
    <t>4.20.25.30.114.020.00.000</t>
  </si>
  <si>
    <t>Ruolo tecnico - ALTRO - - Personale comparto - Straordinario</t>
  </si>
  <si>
    <t>50755030030000</t>
  </si>
  <si>
    <t>4.20.25.30.114.030.00.000</t>
  </si>
  <si>
    <t>Ruolo tecnico - ALTRO - - Personale comparto - Indennità varie</t>
  </si>
  <si>
    <t>50755030040000</t>
  </si>
  <si>
    <t>4.20.25.30.114.035.00.000</t>
  </si>
  <si>
    <t>Ruolo tecnico - ALTRO - - Personale comparto - Incentivazione alla produttività collettiva</t>
  </si>
  <si>
    <t>50755030050000</t>
  </si>
  <si>
    <t>4.20.25.30.114.040.00.000</t>
  </si>
  <si>
    <t>Ruolo tecnico - ALTRO - - Personale comparto - Competenze Ruolo tecnico - Personale comandato</t>
  </si>
  <si>
    <t>50755030060000</t>
  </si>
  <si>
    <t>4.20.25.30.114.050.00.000</t>
  </si>
  <si>
    <t>Ruolo tecnico - ALTRO - - Personale comparto - Risorse aggiungive regionali</t>
  </si>
  <si>
    <t>50755030070000</t>
  </si>
  <si>
    <t>4.20.25.30.114.060.00.000</t>
  </si>
  <si>
    <t>Ruolo tecnico - ALTRO - - Personale comparto - Accantonamento per ferie maturate e non godute</t>
  </si>
  <si>
    <t>50755030080000</t>
  </si>
  <si>
    <t>4.20.25.30.114.110.00.000</t>
  </si>
  <si>
    <t>Ruolo tecnico - ALTRO - - Personale comparto - Oneri sociali*</t>
  </si>
  <si>
    <t>50755030090000</t>
  </si>
  <si>
    <t>4.20.25.30.114.210.00.000</t>
  </si>
  <si>
    <t>Ruolo tecnico - ALTRO - - Personale comparto - Accantonamento a TFR</t>
  </si>
  <si>
    <t>50755030100000</t>
  </si>
  <si>
    <t>4.20.25.30.114.220.00.000</t>
  </si>
  <si>
    <t>Ruolo tecnico - ALTRO - - Personale comparto - Accantonamento trattamento quiescenza e simili</t>
  </si>
  <si>
    <t>50755030110000</t>
  </si>
  <si>
    <t>4.20.25.30.114.800.00.000</t>
  </si>
  <si>
    <t>Ruolo tecnico - ALTRO - - Personale comparto - Altri costi del personale</t>
  </si>
  <si>
    <t>50800000000000</t>
  </si>
  <si>
    <t>4.20.25.40.000.000.00.000</t>
  </si>
  <si>
    <t>B.8 Personale del ruolo amministrativo - Totale</t>
  </si>
  <si>
    <t>50860010010000</t>
  </si>
  <si>
    <t>4.20.25.40.020.010.00.000</t>
  </si>
  <si>
    <t>Ruolo amministrativo - T.INDETERMINATO - Personale dirigente - Competenze fisse</t>
  </si>
  <si>
    <t>50860010020000</t>
  </si>
  <si>
    <t>4.20.25.40.020.020.00.000</t>
  </si>
  <si>
    <t>Ruolo amministrativo - T.INDETERMINATO - Personale dirigente - Straordinario</t>
  </si>
  <si>
    <t>50860010030000</t>
  </si>
  <si>
    <t>4.20.25.40.020.025.00.000</t>
  </si>
  <si>
    <t>Ruolo amministrativo - T.INDETERMINATO - Personale dirigente - Retr. Posizione</t>
  </si>
  <si>
    <t>50860010040000</t>
  </si>
  <si>
    <t>4.20.25.40.020.030.00.000</t>
  </si>
  <si>
    <t>Ruolo amministrativo - T.INDETERMINATO - Personale dirigente - Indennità varie</t>
  </si>
  <si>
    <t>50860010050000</t>
  </si>
  <si>
    <t>4.20.25.40.020.040.00.000</t>
  </si>
  <si>
    <t>Ruolo amministrativo - T.INDETERMINATO - Personale dirigente - Competenze Ruolo amministrativo - T.INDETERMINATO - Personale comandato</t>
  </si>
  <si>
    <t>50860010060000</t>
  </si>
  <si>
    <t>4.20.25.40.020.050.00.000</t>
  </si>
  <si>
    <t>Ruolo amministrativo - T.INDETERMINATO - Personale dirigente - Incentivazione (retribuzione di risultato)</t>
  </si>
  <si>
    <t>50860010070000</t>
  </si>
  <si>
    <t>4.20.25.40.020.060.00.000</t>
  </si>
  <si>
    <t>Ruolo amministrativo - T.INDETERMINATO - Personale dirigente - Risorse aggiungive regionali</t>
  </si>
  <si>
    <t>50860010080000</t>
  </si>
  <si>
    <t>4.20.25.40.020.070.00.000</t>
  </si>
  <si>
    <t>Ruolo amministrativo - T.INDETERMINATO - Personale dirigente - Accantonamento per ferie maturate e non godute</t>
  </si>
  <si>
    <t>50860010090000</t>
  </si>
  <si>
    <t>4.20.25.40.020.110.00.000</t>
  </si>
  <si>
    <t>Ruolo amministrativo - T.INDETERMINATO - Personale dirigente - Oneri sociali*</t>
  </si>
  <si>
    <t>50860010100000</t>
  </si>
  <si>
    <t>4.20.25.40.020.210.00.000</t>
  </si>
  <si>
    <t>Ruolo amministrativo - T.INDETERMINATO - Personale dirigente - Accantonamento a TFR</t>
  </si>
  <si>
    <t>50860010110000</t>
  </si>
  <si>
    <t>4.20.25.40.020.220.00.000</t>
  </si>
  <si>
    <t>Ruolo amministrativo - T.INDETERMINATO - Personale dirigente - Accantonamento trattamento quiescenza e simili</t>
  </si>
  <si>
    <t>50860010120000</t>
  </si>
  <si>
    <t>4.20.25.40.020.800.00.000</t>
  </si>
  <si>
    <t>Ruolo amministrativo - T.INDETERMINATO - Personale dirigente - Altri costi del Ruolo amministrativo</t>
  </si>
  <si>
    <t>50860020010000</t>
  </si>
  <si>
    <t>4.20.25.40.022.010.00.000</t>
  </si>
  <si>
    <t>Ruolo amministrativo - T.DETERMINATO - Personale dirigente - Competenze fisse</t>
  </si>
  <si>
    <t>50860020020000</t>
  </si>
  <si>
    <t>4.20.25.40.022.020.00.000</t>
  </si>
  <si>
    <t>Ruolo amministrativo - T.DETERMINATO - Personale dirigente - Straordinario</t>
  </si>
  <si>
    <t>50860020030000</t>
  </si>
  <si>
    <t>4.20.25.40.022.025.00.000</t>
  </si>
  <si>
    <t>Ruolo amministrativo - T.DETERMINATO - Personale dirigente - Retr. Posizione</t>
  </si>
  <si>
    <t>50860020040000</t>
  </si>
  <si>
    <t>4.20.25.40.022.030.00.000</t>
  </si>
  <si>
    <t>Ruolo amministrativo - T.DETERMINATO - Personale dirigente - Indennità varie</t>
  </si>
  <si>
    <t>50860020050000</t>
  </si>
  <si>
    <t>4.20.25.40.022.040.00.000</t>
  </si>
  <si>
    <t>Ruolo amministrativo - T.DETERMINATO - Personale dirigente - Competenze Ruolo amministrativo - T.DETERMINATO - Personale comandato</t>
  </si>
  <si>
    <t>50860020060000</t>
  </si>
  <si>
    <t>4.20.25.40.022.050.00.000</t>
  </si>
  <si>
    <t>Ruolo amministrativo - T.DETERMINATO - Personale dirigente - Incentivazione (retribuzione di risultato)</t>
  </si>
  <si>
    <t>50860020070000</t>
  </si>
  <si>
    <t>4.20.25.40.022.060.00.000</t>
  </si>
  <si>
    <t>Ruolo amministrativo - T.DETERMINATO - Personale dirigente - Risorse aggiungive regionali</t>
  </si>
  <si>
    <t>50860020080000</t>
  </si>
  <si>
    <t>4.20.25.40.022.070.00.000</t>
  </si>
  <si>
    <t>Ruolo amministrativo - T.DETERMINATO - Personale dirigente - Accantonamento per ferie maturate e non godute</t>
  </si>
  <si>
    <t>50860020090000</t>
  </si>
  <si>
    <t>4.20.25.40.022.110.00.000</t>
  </si>
  <si>
    <t>Ruolo amministrativo - T.DETERMINATO - Personale dirigente - Oneri sociali*</t>
  </si>
  <si>
    <t>50860020100000</t>
  </si>
  <si>
    <t>4.20.25.40.022.210.00.000</t>
  </si>
  <si>
    <t>Ruolo amministrativo - T.DETERMINATO - Personale dirigente - Accantonamento a TFR</t>
  </si>
  <si>
    <t>50860020110000</t>
  </si>
  <si>
    <t>4.20.25.40.022.220.00.000</t>
  </si>
  <si>
    <t>Ruolo amministrativo - T.DETERMINATO - Personale dirigente - Accantonamento trattamento quiescenza e simili</t>
  </si>
  <si>
    <t>50860020120000</t>
  </si>
  <si>
    <t>4.20.25.40.022.800.00.000</t>
  </si>
  <si>
    <t>Ruolo amministrativo - T.DETERMINATO - Personale dirigente - Altri costi del Ruolo amministrativo</t>
  </si>
  <si>
    <t>50860030010000</t>
  </si>
  <si>
    <t>4.20.25.40.024.010.00.000</t>
  </si>
  <si>
    <t>Ruolo amministrativo - ALTRO - Personale dirigente - Competenze fisse</t>
  </si>
  <si>
    <t>50860030020000</t>
  </si>
  <si>
    <t>4.20.25.40.024.020.00.000</t>
  </si>
  <si>
    <t>Ruolo amministrativo - ALTRO - Personale dirigente - Straordinario</t>
  </si>
  <si>
    <t>50860030030000</t>
  </si>
  <si>
    <t>4.20.25.40.024.025.00.000</t>
  </si>
  <si>
    <t>Ruolo amministrativo - ALTRO - Personale dirigente - Retr. Posizione</t>
  </si>
  <si>
    <t>50860030040000</t>
  </si>
  <si>
    <t>4.20.25.40.024.030.00.000</t>
  </si>
  <si>
    <t>Ruolo amministrativo - ALTRO - Personale dirigente - Indennità varie</t>
  </si>
  <si>
    <t>50860030050000</t>
  </si>
  <si>
    <t>4.20.25.40.024.040.00.000</t>
  </si>
  <si>
    <t>Ruolo amministrativo - ALTRO - Personale dirigente - Competenze Ruolo amministrativo - ALTRO - Personale comandato</t>
  </si>
  <si>
    <t>50860030060000</t>
  </si>
  <si>
    <t>4.20.25.40.024.050.00.000</t>
  </si>
  <si>
    <t>Ruolo amministrativo - ALTRO - Personale dirigente - Incentivazione (retribuzione di risultato)</t>
  </si>
  <si>
    <t>50860030070000</t>
  </si>
  <si>
    <t>4.20.25.40.024.060.00.000</t>
  </si>
  <si>
    <t>Ruolo amministrativo - ALTRO - Personale dirigente - Risorse aggiungive regionali</t>
  </si>
  <si>
    <t>50860030080000</t>
  </si>
  <si>
    <t>4.20.25.40.024.070.00.000</t>
  </si>
  <si>
    <t>Ruolo amministrativo - ALTRO - Personale dirigente - Accantonamento per ferie maturate e non godute</t>
  </si>
  <si>
    <t>50860030090000</t>
  </si>
  <si>
    <t>4.20.25.40.024.110.00.000</t>
  </si>
  <si>
    <t>Ruolo amministrativo - ALTRO - Personale dirigente - Oneri sociali*</t>
  </si>
  <si>
    <t>50860030100000</t>
  </si>
  <si>
    <t>4.20.25.40.024.210.00.000</t>
  </si>
  <si>
    <t>Ruolo amministrativo - ALTRO - Personale dirigente - Accantonamento a TFR</t>
  </si>
  <si>
    <t>50860030110000</t>
  </si>
  <si>
    <t>4.20.25.40.024.220.00.000</t>
  </si>
  <si>
    <t>Ruolo amministrativo - ALTRO - Personale dirigente - Accantonamento trattamento quiescenza e simili</t>
  </si>
  <si>
    <t>50860030120000</t>
  </si>
  <si>
    <t>4.20.25.40.024.800.00.000</t>
  </si>
  <si>
    <t>Ruolo amministrativo - ALTRO - Personale dirigente - Altri costi del Ruolo amministrativo</t>
  </si>
  <si>
    <t>50865010010000</t>
  </si>
  <si>
    <t>4.20.25.40.110.010.00.000</t>
  </si>
  <si>
    <t>Ruolo amministrativo - T.INDETERMINATO - Personale comparto - Competenze fisse</t>
  </si>
  <si>
    <t>50865010020000</t>
  </si>
  <si>
    <t>4.20.25.40.110.020.00.000</t>
  </si>
  <si>
    <t>Ruolo amministrativo - T.INDETERMINATO - Personale comparto - Straordinario</t>
  </si>
  <si>
    <t>50865010030000</t>
  </si>
  <si>
    <t>4.20.25.40.110.030.00.000</t>
  </si>
  <si>
    <t>Ruolo amministrativo - T.INDETERMINATO - Personale comparto - Indennità varie</t>
  </si>
  <si>
    <t>50865010040000</t>
  </si>
  <si>
    <t>4.20.25.40.110.035.00.000</t>
  </si>
  <si>
    <t>Ruolo amministrativo - T.INDETERMINATO - Personale comparto - Incentivazione alla produttività collettiva</t>
  </si>
  <si>
    <t>50865010050000</t>
  </si>
  <si>
    <t>4.20.25.40.110.040.00.000</t>
  </si>
  <si>
    <t>Ruolo amministrativo - T.INDETERMINATO - Personale comparto - Competenze Ruolo amministrativo - Personale comandato</t>
  </si>
  <si>
    <t>50865010060000</t>
  </si>
  <si>
    <t>4.20.25.40.110.050.00.000</t>
  </si>
  <si>
    <t>Ruolo amministrativo - T.INDETERMINATO - Personale comparto - Risorse aggiungive regionali</t>
  </si>
  <si>
    <t>50865010070000</t>
  </si>
  <si>
    <t>4.20.25.40.110.060.00.000</t>
  </si>
  <si>
    <t>Ruolo amministrativo - T.INDETERMINATO - Personale comparto - Accantonamento per ferie maturate e non godute</t>
  </si>
  <si>
    <t>50865010080000</t>
  </si>
  <si>
    <t>4.20.25.40.110.110.00.000</t>
  </si>
  <si>
    <t>Ruolo amministrativo - T.INDETERMINATO - Personale comparto - Oneri sociali*</t>
  </si>
  <si>
    <t>50865010090000</t>
  </si>
  <si>
    <t>4.20.25.40.110.210.00.000</t>
  </si>
  <si>
    <t>Ruolo amministrativo - T.INDETERMINATO - Personale comparto - Accantonamento a TFR</t>
  </si>
  <si>
    <t>50865010100000</t>
  </si>
  <si>
    <t>4.20.25.40.110.220.00.000</t>
  </si>
  <si>
    <t>Ruolo amministrativo - T.INDETERMINATO - Personale comparto - Accantonamento trattamento quiescenza e simili</t>
  </si>
  <si>
    <t>50865010110000</t>
  </si>
  <si>
    <t>4.20.25.40.110.800.00.000</t>
  </si>
  <si>
    <t>Ruolo amministrativo - T.INDETERMINATO - Personale comparto - Altri costi del personale</t>
  </si>
  <si>
    <t>50865020010000</t>
  </si>
  <si>
    <t>4.20.25.40.112.010.00.000</t>
  </si>
  <si>
    <t>Ruolo amministrativo - T.DETERMINATO - Personale comparto - Competenze fisse</t>
  </si>
  <si>
    <t>50865020020000</t>
  </si>
  <si>
    <t>4.20.25.40.112.020.00.000</t>
  </si>
  <si>
    <t>Ruolo amministrativo - T.DETERMINATO - Personale comparto - Straordinario</t>
  </si>
  <si>
    <t>50865020030000</t>
  </si>
  <si>
    <t>4.20.25.40.112.030.00.000</t>
  </si>
  <si>
    <t>Ruolo amministrativo - T.DETERMINATO - Personale comparto - Indennità varie</t>
  </si>
  <si>
    <t>50865020040000</t>
  </si>
  <si>
    <t>4.20.25.40.112.035.00.000</t>
  </si>
  <si>
    <t>Ruolo amministrativo - T.DETERMINATO - Personale comparto - Incentivazione alla produttività collettiva</t>
  </si>
  <si>
    <t>50865020050000</t>
  </si>
  <si>
    <t>4.20.25.40.112.040.00.000</t>
  </si>
  <si>
    <t>Ruolo amministrativo - T.DETERMINATO - Personale comparto - Competenze Ruolo amministrativo - Personale comandato</t>
  </si>
  <si>
    <t>50865020060000</t>
  </si>
  <si>
    <t>4.20.25.40.112.050.00.000</t>
  </si>
  <si>
    <t>Ruolo amministrativo - T.DETERMINATO - Personale comparto - Risorse aggiungive regionali</t>
  </si>
  <si>
    <t>50865020070000</t>
  </si>
  <si>
    <t>4.20.25.40.112.060.00.000</t>
  </si>
  <si>
    <t>Ruolo amministrativo - T.DETERMINATO - Personale comparto - Accantonamento per ferie maturate e non godute</t>
  </si>
  <si>
    <t>50865020080000</t>
  </si>
  <si>
    <t>4.20.25.40.112.110.00.000</t>
  </si>
  <si>
    <t>Ruolo amministrativo - T.DETERMINATO - Personale comparto - Oneri sociali*</t>
  </si>
  <si>
    <t>50865020090000</t>
  </si>
  <si>
    <t>4.20.25.40.112.210.00.000</t>
  </si>
  <si>
    <t>Ruolo amministrativo - T.DETERMINATO - Personale comparto - Accantonamento a TFR</t>
  </si>
  <si>
    <t>50865020100000</t>
  </si>
  <si>
    <t>4.20.25.40.112.220.00.000</t>
  </si>
  <si>
    <t>Ruolo amministrativo - T.DETERMINATO - Personale comparto - Accantonamento trattamento quiescenza e simili</t>
  </si>
  <si>
    <t>50865020110000</t>
  </si>
  <si>
    <t>4.20.25.40.112.800.00.000</t>
  </si>
  <si>
    <t>Ruolo amministrativo - T.DETERMINATO - Personale comparto - Altri costi del personale</t>
  </si>
  <si>
    <t>50865030010000</t>
  </si>
  <si>
    <t>4.20.25.40.114.010.00.000</t>
  </si>
  <si>
    <t>Ruolo amministrativo - ALTRO - Personale comparto - Competenze fisse</t>
  </si>
  <si>
    <t>50865030020000</t>
  </si>
  <si>
    <t>4.20.25.40.114.020.00.000</t>
  </si>
  <si>
    <t>Ruolo amministrativo - ALTRO - Personale comparto - Straordinario</t>
  </si>
  <si>
    <t>50865030030000</t>
  </si>
  <si>
    <t>4.20.25.40.114.030.00.000</t>
  </si>
  <si>
    <t>Ruolo amministrativo - ALTRO - Personale comparto - Indennità varie</t>
  </si>
  <si>
    <t>50865030040000</t>
  </si>
  <si>
    <t>4.20.25.40.114.035.00.000</t>
  </si>
  <si>
    <t>Ruolo amministrativo - ALTRO - Personale comparto - Incentivazione alla produttività collettiva</t>
  </si>
  <si>
    <t>50865030050000</t>
  </si>
  <si>
    <t>4.20.25.40.114.040.00.000</t>
  </si>
  <si>
    <t>Ruolo amministrativo - ALTRO - Personale comparto - Competenze Ruolo amministrativo - Personale comandato</t>
  </si>
  <si>
    <t>50865030060000</t>
  </si>
  <si>
    <t>4.20.25.40.114.050.00.000</t>
  </si>
  <si>
    <t>Ruolo amministrativo - ALTRO - Personale comparto - Risorse aggiungive regionali</t>
  </si>
  <si>
    <t>50865030070000</t>
  </si>
  <si>
    <t>4.20.25.40.114.060.00.000</t>
  </si>
  <si>
    <t>Ruolo amministrativo - ALTRO - Personale comparto - Accantonamento per ferie maturate e non godute</t>
  </si>
  <si>
    <t>50865030080000</t>
  </si>
  <si>
    <t>4.20.25.40.114.110.00.000</t>
  </si>
  <si>
    <t>Ruolo amministrativo - ALTRO - Personale comparto - Oneri sociali*</t>
  </si>
  <si>
    <t>50865030090000</t>
  </si>
  <si>
    <t>4.20.25.40.114.210.00.000</t>
  </si>
  <si>
    <t>Ruolo amministrativo - ALTRO - Personale comparto - Accantonamento a TFR</t>
  </si>
  <si>
    <t>50865030100000</t>
  </si>
  <si>
    <t>4.20.25.40.114.220.00.000</t>
  </si>
  <si>
    <t>Ruolo amministrativo - ALTRO - Personale comparto - Accantonamento trattamento quiescenza e simili</t>
  </si>
  <si>
    <t>50865030110000</t>
  </si>
  <si>
    <t>4.20.25.40.114.800.00.000</t>
  </si>
  <si>
    <t>Ruolo amministrativo - ALTRO - Personale comparto - Altri costi del personale</t>
  </si>
  <si>
    <t>50900000000000</t>
  </si>
  <si>
    <t>4.20.30.00.000.000.00.000</t>
  </si>
  <si>
    <t>B.9 Oneri diversi di gestione - Totale</t>
  </si>
  <si>
    <t>50910010000000</t>
  </si>
  <si>
    <t>4.20.30.10.010.000.00.000</t>
  </si>
  <si>
    <t>Imposte e tasse (escluse Irap e Ires)</t>
  </si>
  <si>
    <t>50920020000000</t>
  </si>
  <si>
    <t>4.20.30.20.010.000.00.000</t>
  </si>
  <si>
    <t>Perdite su crediti</t>
  </si>
  <si>
    <t>50930030000000</t>
  </si>
  <si>
    <t>4.20.30.30.010.000.00.000</t>
  </si>
  <si>
    <t>Rimborso spese organi societari</t>
  </si>
  <si>
    <t>50940010000000</t>
  </si>
  <si>
    <t>4.20.30.40.010.000.00.000</t>
  </si>
  <si>
    <t>Indennità, rimborso spese e oneri sociali per il direttore generale, direttore sanitario, direttore amministrativo e componenti del collegio sindacale</t>
  </si>
  <si>
    <t>50940020000000</t>
  </si>
  <si>
    <t>4.20.30.40.012.000.00.000</t>
  </si>
  <si>
    <t>Indennità, rimborso spese e oneri sociali per il direttore generale, direttore sanitario, direttore amministrativo e componenti del collegio sindacale v/Asl-Ao-Fondazioni d/Regione</t>
  </si>
  <si>
    <t>50940030000000</t>
  </si>
  <si>
    <t>4.20.30.40.020.000.00.000</t>
  </si>
  <si>
    <t>Indennità, rimborso spese e oneri sociali per il direttore scientifico a carico del Bilancio ricerca</t>
  </si>
  <si>
    <t>50940040000000</t>
  </si>
  <si>
    <t>4.20.30.40.022.000.00.000</t>
  </si>
  <si>
    <t>Indennità, rimborso spese e oneri sociali per il direttore scientifico a carico del Bilancio ricerca v/Asl-Ao-Fondazioni d/Regione</t>
  </si>
  <si>
    <t>50940050000000</t>
  </si>
  <si>
    <t>4.20.30.40.030.000.00.000</t>
  </si>
  <si>
    <t>Indennità, rimborso spese e oneri sociali per il direttore sociale a carico del Bilancio sociale</t>
  </si>
  <si>
    <t>50940060000000</t>
  </si>
  <si>
    <t>4.20.30.40.032.000.00.000</t>
  </si>
  <si>
    <t>Indennità, rimborso spese e oneri sociali per il direttore sociale a carico del Bilancio sociale v/Asl-Ao-Fondazioni d/Regione</t>
  </si>
  <si>
    <t>50950010000000</t>
  </si>
  <si>
    <t>4.20.30.50.010.000.00.000</t>
  </si>
  <si>
    <t>Multe, ammende, penalità, arbitraggi, risarcimenti</t>
  </si>
  <si>
    <t>50950020000000</t>
  </si>
  <si>
    <t>4.20.30.50.020.000.00.000</t>
  </si>
  <si>
    <t>Sanzioni verso ASL della Regione</t>
  </si>
  <si>
    <t>50950030000000</t>
  </si>
  <si>
    <t>4.20.30.50.030.000.00.000</t>
  </si>
  <si>
    <t>Commissioni e spese bancarie</t>
  </si>
  <si>
    <t>50950040000000</t>
  </si>
  <si>
    <t>Abbonamenti, acquisti di libri, riviste e giornali</t>
  </si>
  <si>
    <t>50950050000000</t>
  </si>
  <si>
    <t>4.20.30.50.050.000.00.000</t>
  </si>
  <si>
    <t>Oneri per sperimentazioni gestionali (art. 9-bis, D.Lgs. 502/92)</t>
  </si>
  <si>
    <t>50950060000000</t>
  </si>
  <si>
    <t>4.20.30.50.080.000.00.000</t>
  </si>
  <si>
    <t>Altri Oneri diversi di gestione</t>
  </si>
  <si>
    <t>5.00.00.00.000.000.00.000</t>
  </si>
  <si>
    <t>C) PROVENTI ED ONERI FINANZIARI</t>
  </si>
  <si>
    <t>60599999999999</t>
  </si>
  <si>
    <t>5.10.00.00.000.000.00.000</t>
  </si>
  <si>
    <t>C) PROVENTI FINANZIARI (Parziale)</t>
  </si>
  <si>
    <t>61000000000000</t>
  </si>
  <si>
    <t>5.10.10.00.000.000.00.000</t>
  </si>
  <si>
    <t>C.1 Interessi attivi - Totale</t>
  </si>
  <si>
    <t>61010010000000</t>
  </si>
  <si>
    <t>5.10.10.10.010.000.00.000</t>
  </si>
  <si>
    <t>Interessi attivi su c/tesoreria</t>
  </si>
  <si>
    <t>61020010000000</t>
  </si>
  <si>
    <t>5.10.10.20.010.000.00.000</t>
  </si>
  <si>
    <t>Interessi attivi su c/c bancari</t>
  </si>
  <si>
    <t>61020020000000</t>
  </si>
  <si>
    <t>5.10.10.20.020.000.00.000</t>
  </si>
  <si>
    <t>Interessi attivi su c/c postali</t>
  </si>
  <si>
    <t>61030010000000</t>
  </si>
  <si>
    <t>5.10.10.30.010.000.00.000</t>
  </si>
  <si>
    <t>Interessi attivi su titoli</t>
  </si>
  <si>
    <t>61030020000000</t>
  </si>
  <si>
    <t>5.10.10.30.020.000.00.000</t>
  </si>
  <si>
    <t>Interessi attivi su crediti commerciali</t>
  </si>
  <si>
    <t>61040010000000</t>
  </si>
  <si>
    <t>5.10.10.30.080.000.00.000</t>
  </si>
  <si>
    <t>Altri interessi attivi</t>
  </si>
  <si>
    <t>61050010000000</t>
  </si>
  <si>
    <t>5.10.10.30.090.000.00.000</t>
  </si>
  <si>
    <t>Interessi attivi verso Asl-Ao-Fondazioni della Regione</t>
  </si>
  <si>
    <t>62000000000000</t>
  </si>
  <si>
    <t>5.10.20.00.000.000.00.000</t>
  </si>
  <si>
    <t>C.2 Altri proventi finanziari - Totale</t>
  </si>
  <si>
    <t>62010000000000</t>
  </si>
  <si>
    <t>5.10.20.10.000.000.00.000</t>
  </si>
  <si>
    <t>Proventi da partecipazioni</t>
  </si>
  <si>
    <t>62020000000000</t>
  </si>
  <si>
    <t>5.10.20.20.000.000.00.000</t>
  </si>
  <si>
    <t>Proventi finanziari da crediti iscritti nelle immobilizzazioni</t>
  </si>
  <si>
    <t>62030000000000</t>
  </si>
  <si>
    <t>5.10.20.30.000.000.00.000</t>
  </si>
  <si>
    <t>Proventi finanziari da titoli iscritti nelle immobilizzazioni</t>
  </si>
  <si>
    <t>62040000000000</t>
  </si>
  <si>
    <t>5.10.20.40.000.000.00.000</t>
  </si>
  <si>
    <t>Altri proventi finanziari diversi dai precedenti</t>
  </si>
  <si>
    <t>62050000000000</t>
  </si>
  <si>
    <t>5.10.20.50.000.000.00.000</t>
  </si>
  <si>
    <t>Utili su cambi</t>
  </si>
  <si>
    <t>62599999999999</t>
  </si>
  <si>
    <t>5.20.00.00.000.000.00.000</t>
  </si>
  <si>
    <t xml:space="preserve">C) ONERI FINANZIARI (Parziale) </t>
  </si>
  <si>
    <t>63000000000000</t>
  </si>
  <si>
    <t>5.20.10.00.000.000.00.000</t>
  </si>
  <si>
    <t>C.3 Interessi passivi - Totale</t>
  </si>
  <si>
    <t>63010010000000</t>
  </si>
  <si>
    <t>5.20.10.10.010.000.00.000</t>
  </si>
  <si>
    <t>Interessi passivi su c/c tesoreria</t>
  </si>
  <si>
    <t>63020010000000</t>
  </si>
  <si>
    <t>5.20.10.20.010.000.00.000</t>
  </si>
  <si>
    <t>Interessi passivi su mutui</t>
  </si>
  <si>
    <t>63020020000000</t>
  </si>
  <si>
    <t>5.20.10.20.020.000.00.000</t>
  </si>
  <si>
    <t>Commissioni su fidejussioni</t>
  </si>
  <si>
    <t>63030010000000</t>
  </si>
  <si>
    <t>5.20.10.30.010.000.00.000</t>
  </si>
  <si>
    <t>Interessi passivi verso fornitori</t>
  </si>
  <si>
    <t>63030020000000</t>
  </si>
  <si>
    <t>5.20.10.30.020.000.00.000</t>
  </si>
  <si>
    <t>Interessi passivi di mora</t>
  </si>
  <si>
    <t>63030030000000</t>
  </si>
  <si>
    <t>5.20.10.30.030.000.00.000</t>
  </si>
  <si>
    <t>Interessi passivi canoni di leasing</t>
  </si>
  <si>
    <t>63030040000000</t>
  </si>
  <si>
    <t>5.20.10.30.070.000.00.000</t>
  </si>
  <si>
    <t>Altri interessi passivi</t>
  </si>
  <si>
    <t>63030050000000</t>
  </si>
  <si>
    <t>5.20.10.30.080.000.00.000</t>
  </si>
  <si>
    <t>Interessi passivi verso Asl-Ao-Fondazioni della Regione</t>
  </si>
  <si>
    <t>64000000000000</t>
  </si>
  <si>
    <t>5.20.20.00.000.000.00.000</t>
  </si>
  <si>
    <t>C.4 Altri oneri finanziari - Totale</t>
  </si>
  <si>
    <t>64010000000000</t>
  </si>
  <si>
    <t>5.20.20.10.000.000.00.000</t>
  </si>
  <si>
    <t>Altri oneri finanziari</t>
  </si>
  <si>
    <t>64020000000000</t>
  </si>
  <si>
    <t>5.20.20.20.000.000.00.000</t>
  </si>
  <si>
    <t>Perdite su cambi</t>
  </si>
  <si>
    <t>6.00.00.00.000.000.00.000</t>
  </si>
  <si>
    <t>D) RETTIFICHE DI VALORE DI ATTIVITA’ FINANZIARIE</t>
  </si>
  <si>
    <t>6.10.00.00.000.000.00.000</t>
  </si>
  <si>
    <t>D.1 Rivalutazioni - Totale</t>
  </si>
  <si>
    <t>71010000000000</t>
  </si>
  <si>
    <t>6.10.10.00.000.000.00.000</t>
  </si>
  <si>
    <t>Di partecipazioni</t>
  </si>
  <si>
    <t>71020000000000</t>
  </si>
  <si>
    <t>6.10.20.00.000.000.00.000</t>
  </si>
  <si>
    <t>Di immobilizzazioni finanziarie che non costituiscono immobilizzazioni</t>
  </si>
  <si>
    <t>71030000000000</t>
  </si>
  <si>
    <t>6.10.80.00.000.000.00.000</t>
  </si>
  <si>
    <t xml:space="preserve">Altro </t>
  </si>
  <si>
    <t>72000000000000</t>
  </si>
  <si>
    <t>6.20.00.00.000.000.00.000</t>
  </si>
  <si>
    <t>D.2 Svalutazioni - Totale</t>
  </si>
  <si>
    <t>72010000000000</t>
  </si>
  <si>
    <t>6.20.10.00.000.000.00.000</t>
  </si>
  <si>
    <t>72020000000000</t>
  </si>
  <si>
    <t>6.20.20.00.000.000.00.000</t>
  </si>
  <si>
    <t>72030000000000</t>
  </si>
  <si>
    <t>6.20.80.00.000.000.00.000</t>
  </si>
  <si>
    <t>91000000000000</t>
  </si>
  <si>
    <t>8.20.00.00.000.000.00.000</t>
  </si>
  <si>
    <t>Y. IMPOSTE E TASSE</t>
  </si>
  <si>
    <t>91010010000000</t>
  </si>
  <si>
    <t>8.20.10.10.000.000.00.000</t>
  </si>
  <si>
    <t>IRAP relativa a personale dipendente</t>
  </si>
  <si>
    <t>91010020000000</t>
  </si>
  <si>
    <t>8.20.10.20.000.000.00.000</t>
  </si>
  <si>
    <t>IRAP relativa a collaboratori e personale assimilato a lavoro dipendente</t>
  </si>
  <si>
    <t>91010030000000</t>
  </si>
  <si>
    <t>8.20.10.30.000.000.00.000</t>
  </si>
  <si>
    <t>IRAP relativa ad attività di libera professione (intramoenia)</t>
  </si>
  <si>
    <t>91010040000000</t>
  </si>
  <si>
    <t>8.20.10.40.000.000.00.000</t>
  </si>
  <si>
    <t>IRAP relativa ad attività commerciali</t>
  </si>
  <si>
    <t>91020010000000</t>
  </si>
  <si>
    <t>8.20.20.10.000.000.00.000</t>
  </si>
  <si>
    <t>IRES su attività istituzionale</t>
  </si>
  <si>
    <t>91020020000000</t>
  </si>
  <si>
    <t>8.20.20.20.000.000.00.000</t>
  </si>
  <si>
    <t>IRES su attività commerciale</t>
  </si>
  <si>
    <t>91020030000000</t>
  </si>
  <si>
    <t>8.20.30.10.000.000.00.000</t>
  </si>
  <si>
    <t>Accantonamento a F.do Imposte (Accertamenti, condoni, ecc.)</t>
  </si>
  <si>
    <t>82010010010000</t>
  </si>
  <si>
    <t>7.20.20.10.000.000.00.000</t>
  </si>
  <si>
    <t>Oneri tributari da esercizi precedenti</t>
  </si>
  <si>
    <t>82010020010000</t>
  </si>
  <si>
    <t>7.20.30.10.000.000.00.000</t>
  </si>
  <si>
    <t>Oneri da cause civili</t>
  </si>
  <si>
    <t>82010140010000</t>
  </si>
  <si>
    <t>7.20.80.10.000.000.00.000</t>
  </si>
  <si>
    <t>Altri oneri straordinari</t>
  </si>
  <si>
    <t>Codice Conto old</t>
  </si>
  <si>
    <t>TOTALE N.I.</t>
  </si>
  <si>
    <t>TOTALE FOGLIO CONS</t>
  </si>
  <si>
    <t>Codice Azienda</t>
  </si>
  <si>
    <t>REGIONE LOMBARDIA</t>
  </si>
  <si>
    <t>ATS DELLA CITTA' METROPOLITANA DI MILANO</t>
  </si>
  <si>
    <t>ATS DELL'INSUBRIA</t>
  </si>
  <si>
    <t>ATS DELLA MONTAGNA</t>
  </si>
  <si>
    <t>ATS DELLA BRIANZA</t>
  </si>
  <si>
    <t>ATS DI BERGAMO</t>
  </si>
  <si>
    <t>ATS DI BRESCIA</t>
  </si>
  <si>
    <t>ATS DELLA VAL PADANA</t>
  </si>
  <si>
    <t>ATS DI PAVIA</t>
  </si>
  <si>
    <t>ASST GRANDE OSPEDALE METROPOLITANO NIGUARDA</t>
  </si>
  <si>
    <t>ASST SANTI PAOLO E CARLO</t>
  </si>
  <si>
    <t>ASST FATEBENEFRATELLI SACCO</t>
  </si>
  <si>
    <t>ASST CENTRO SPECIALISTICO ORTOPEDICO TRAUMATOLOGICO GAETANO PINI/CTO</t>
  </si>
  <si>
    <t>ASST OVEST MILANESE</t>
  </si>
  <si>
    <t>ASST RHODENSE</t>
  </si>
  <si>
    <t>ASST NORD MILANO</t>
  </si>
  <si>
    <t>ASST MELEGNANO E DELLA MARTESANA</t>
  </si>
  <si>
    <t>ASST DI LODI</t>
  </si>
  <si>
    <t>ASST DEI SETTE LAGHI</t>
  </si>
  <si>
    <t>ASST DELLA VALLE OLONA</t>
  </si>
  <si>
    <t>ASST LARIANA</t>
  </si>
  <si>
    <t>ASST DELLA VALTELLINA E DELL'ALTO LARIO</t>
  </si>
  <si>
    <t>ASST DELLA VALCAMONICA</t>
  </si>
  <si>
    <t>ASST DI LECCO</t>
  </si>
  <si>
    <t>ASST DI MONZA</t>
  </si>
  <si>
    <t>ASST DI VIMERCATE</t>
  </si>
  <si>
    <t>ASST PAPA GIOVANNI XXIII</t>
  </si>
  <si>
    <t>ASST DI BERGAMO OVEST</t>
  </si>
  <si>
    <t>ASST DI BERGAMO EST</t>
  </si>
  <si>
    <t>ASST DEGLI SPEDALI CIVILI DI BRESCIA</t>
  </si>
  <si>
    <t>ASST DELLA FRANCIACORTA</t>
  </si>
  <si>
    <t>ASST DEL GARDA</t>
  </si>
  <si>
    <t>ASST DI CREMONA</t>
  </si>
  <si>
    <t>ASST DI MANTOVA</t>
  </si>
  <si>
    <t>ASST DI CREMA</t>
  </si>
  <si>
    <t>ASST DI PAVIA</t>
  </si>
  <si>
    <t>INRCA CENTRO PER LE BRONC. - CASATENOVO</t>
  </si>
  <si>
    <t>IRCCS ISTITUTO NAZIONALE DEI TUMORI</t>
  </si>
  <si>
    <t>IRCCS ISTITUTO NEUROLOGICO CARLO BESTA</t>
  </si>
  <si>
    <t>IRCCS POLICLINICO SAN MATTEO</t>
  </si>
  <si>
    <t>IRCCS OSPEDALE POLICLINICO DI MILANO</t>
  </si>
  <si>
    <t>AGENZIA DEI CONTROLLI</t>
  </si>
  <si>
    <t>(Valori in Euro)</t>
  </si>
  <si>
    <t>321</t>
  </si>
  <si>
    <t>322</t>
  </si>
  <si>
    <t>323</t>
  </si>
  <si>
    <t>324</t>
  </si>
  <si>
    <t>325</t>
  </si>
  <si>
    <t>326</t>
  </si>
  <si>
    <t>327</t>
  </si>
  <si>
    <t>328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</si>
  <si>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</si>
  <si>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</si>
  <si>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</si>
  <si>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</si>
  <si>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</si>
  <si>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</si>
  <si>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</si>
  <si>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</si>
  <si>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</si>
  <si>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</si>
  <si>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</si>
  <si>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</si>
  <si>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</si>
  <si>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</si>
  <si>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</si>
  <si>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</si>
  <si>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</si>
  <si>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</si>
  <si>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</si>
  <si>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</si>
  <si>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</si>
  <si>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</si>
  <si>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</si>
  <si>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</si>
  <si>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</si>
  <si>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</si>
  <si>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</si>
  <si>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920</t>
  </si>
  <si>
    <t>922</t>
  </si>
  <si>
    <t>923</t>
  </si>
  <si>
    <t>924</t>
  </si>
  <si>
    <t>925</t>
  </si>
  <si>
    <t>Voci Stato Patrimoniale Attivo</t>
  </si>
  <si>
    <t>€</t>
  </si>
  <si>
    <t>Risconti attivi v/Aziende sanitarie pubbliche della Regione</t>
  </si>
  <si>
    <t>Voci Stato Patrimoniale Passivo</t>
  </si>
  <si>
    <t>Debiti v/Aziende sanitarie pubbliche della Regione - per finanziamento sanitario aggiuntivo corrente LEA</t>
  </si>
  <si>
    <t>Debiti v/Aziende sanitarie pubbliche della Regione - per finanziamento sanitario aggiuntivo corrente extra LEA</t>
  </si>
  <si>
    <t>Debiti v/Aziende sanitarie pubbliche della Regione - per mobilità non in compensazione</t>
  </si>
  <si>
    <t>Debiti v/Aziende sanitarie pubbliche della Regione per versamenti c/patrimonio netto</t>
  </si>
  <si>
    <t>Risconti passivi v/Aziende sanitarie pubbliche della Regione</t>
  </si>
  <si>
    <t>Impieghi grezzi</t>
  </si>
  <si>
    <t>Fonti grezze</t>
  </si>
  <si>
    <t>Rettifiche Dare</t>
  </si>
  <si>
    <t>Rettifiche Avere</t>
  </si>
  <si>
    <t>Impieghi netti</t>
  </si>
  <si>
    <t>Fonti nette</t>
  </si>
  <si>
    <t>A000000</t>
  </si>
  <si>
    <t>A00000A</t>
  </si>
  <si>
    <t>AA0000A</t>
  </si>
  <si>
    <t>AA1000A</t>
  </si>
  <si>
    <t>Costo storico</t>
  </si>
  <si>
    <t>Costi di impianto e di ampliamento</t>
  </si>
  <si>
    <t>Costi di ricerca e sviluppo</t>
  </si>
  <si>
    <t>Diritti di brevetto e diritti di utilizzazione delle opere d'ingegno</t>
  </si>
  <si>
    <t>Immobilizzazioni immateriali in corso e acconti</t>
  </si>
  <si>
    <t>Altre immobilizzazioni immateriali</t>
  </si>
  <si>
    <t>AA1000B</t>
  </si>
  <si>
    <t>F.di Ammortamento</t>
  </si>
  <si>
    <t>F.do Amm.to Costi di impianto e di ampliamento</t>
  </si>
  <si>
    <t>F.do Amm.to Costi di ricerca e sviluppo</t>
  </si>
  <si>
    <t>F.do Amm.to Diritti di brevetto e diritti di utilizzazione delle opere d'ingegno</t>
  </si>
  <si>
    <t>F.do Amm.to Altre immobilizzazioni immateriali</t>
  </si>
  <si>
    <t>AA1000C</t>
  </si>
  <si>
    <t>F.di Svalutazione</t>
  </si>
  <si>
    <t>F.do Sval. Costi di impianto e di ampliamento</t>
  </si>
  <si>
    <t>F.do Sval. Costi di ricerca e sviluppo</t>
  </si>
  <si>
    <t>F.do Sval. Diritti di brevetto e diritti di utilizzazione delle opere d'ingegno</t>
  </si>
  <si>
    <t>F.do Sval. Altre immobilizzazioni immateriali</t>
  </si>
  <si>
    <t>AB0000A</t>
  </si>
  <si>
    <t>AB1000A</t>
  </si>
  <si>
    <t>Terreni</t>
  </si>
  <si>
    <t>Fabbricati</t>
  </si>
  <si>
    <t>Impianti e macchinari</t>
  </si>
  <si>
    <t>Attrezzature sanitarie e scientifiche</t>
  </si>
  <si>
    <t>Mobili e arredi</t>
  </si>
  <si>
    <t>Automezzi</t>
  </si>
  <si>
    <t>Altre immobilizzazioni materiali</t>
  </si>
  <si>
    <t>Immobilizzazioni materiali in corso e acconti</t>
  </si>
  <si>
    <t>AB1000B</t>
  </si>
  <si>
    <t>F.do Amm.to Fabbricati</t>
  </si>
  <si>
    <t>F.do Amm.to Impianti e macchinari</t>
  </si>
  <si>
    <t>F.do Amm.to Attrezzature sanitarie e scientifiche</t>
  </si>
  <si>
    <t>F.do Amm.to Mobili e arredi</t>
  </si>
  <si>
    <t>F.do Amm.to Automezzi</t>
  </si>
  <si>
    <t>F.do Amm.to Altre immobilizzazioni materiali</t>
  </si>
  <si>
    <t>AB1000C</t>
  </si>
  <si>
    <t>F.do Sval. Terreni</t>
  </si>
  <si>
    <t>F.do Sval. Fabbricati</t>
  </si>
  <si>
    <t>F.do Sval. Impianti e macchinari</t>
  </si>
  <si>
    <t>F.do Sval. Attrezzature sanitarie e scientifiche</t>
  </si>
  <si>
    <t>F.do Sval. Mobili e arredi</t>
  </si>
  <si>
    <t>F.do Sval. Automezzi</t>
  </si>
  <si>
    <t>F.do Sval. Oggetti d'arte</t>
  </si>
  <si>
    <t>F.do Sval. Altre immobilizzazioni materiali</t>
  </si>
  <si>
    <t>AC0000A</t>
  </si>
  <si>
    <t>A.III)  IMMOBILIZZAZIONI FINANZIARIE</t>
  </si>
  <si>
    <t>Crediti finanziari</t>
  </si>
  <si>
    <t>Titoli</t>
  </si>
  <si>
    <t>B00000A</t>
  </si>
  <si>
    <t>B)  ATTIVO CIRCOLANTE</t>
  </si>
  <si>
    <t>BA0000A</t>
  </si>
  <si>
    <t>Rimanenze beni sanitari (al netto acconti)</t>
  </si>
  <si>
    <t>Rimanenze beni non sanitari (al netto acconti)</t>
  </si>
  <si>
    <t>Acconti per acquisto di beni e prodotti sanitari</t>
  </si>
  <si>
    <t>Acconti per acquisto di beni e prodotti non sanitari</t>
  </si>
  <si>
    <t>BB0000A</t>
  </si>
  <si>
    <t xml:space="preserve">B.II)  CREDITI </t>
  </si>
  <si>
    <t>Crediti parte corrente v/Stato quote indistinte</t>
  </si>
  <si>
    <t>Crediti parte corrente v/Stato quote vincolate</t>
  </si>
  <si>
    <t>Crediti parte corrente v/Regione per gettito addizionali Irpef e Irap</t>
  </si>
  <si>
    <t>BB0040A</t>
  </si>
  <si>
    <t>Crediti parte corrente v/Regione per partecipazioni regioni a statuto speciale</t>
  </si>
  <si>
    <t>BB0050A</t>
  </si>
  <si>
    <t>Crediti parte corrente v/Regione - vincolate per partecipazioni regioni a statuto speciale</t>
  </si>
  <si>
    <t>BB0060A</t>
  </si>
  <si>
    <t>Crediti parte corrente v/Regione -gettito fiscalità regionale</t>
  </si>
  <si>
    <t>Crediti parte corrente v/Regione - altri contributi extrafondo</t>
  </si>
  <si>
    <t xml:space="preserve">Crediti parte corrente v/Regione </t>
  </si>
  <si>
    <t>Crediti parte corrente v/Comune</t>
  </si>
  <si>
    <t>Crediti parte corrente v/Asl-Ao-Fondazioni-Policlinici</t>
  </si>
  <si>
    <t>Crediti parte corrente v/ARPA e Partecipate regionali</t>
  </si>
  <si>
    <t>Crediti parte corrente v/Erario</t>
  </si>
  <si>
    <t>Crediti parte corrente v/Altri</t>
  </si>
  <si>
    <t>Crediti vs Stato (finanziamenti per investimenti)</t>
  </si>
  <si>
    <t>Crediti vs Regione  (finanziamenti per investimenti)</t>
  </si>
  <si>
    <t>Crediti vs Regione  (aumento fondo di dotazione)</t>
  </si>
  <si>
    <t>Crediti vs Regione  (ripiano perdite)</t>
  </si>
  <si>
    <t>Crediti vs Regione  (copertura debiti al 31.12.2005)</t>
  </si>
  <si>
    <t>BC0000A</t>
  </si>
  <si>
    <t>B.III)  ATTIVITA' FINANZIARIE CHE NON COSTITUISCONO IMMOBILIZZAZIONI</t>
  </si>
  <si>
    <t>Partecipazioni</t>
  </si>
  <si>
    <t>Altri titoli</t>
  </si>
  <si>
    <t>BD0000A</t>
  </si>
  <si>
    <t>Istituto Tesoriere</t>
  </si>
  <si>
    <t>P000000</t>
  </si>
  <si>
    <t>PA00000</t>
  </si>
  <si>
    <t>A)  PATRIMONIO NETTO</t>
  </si>
  <si>
    <t>PA20000</t>
  </si>
  <si>
    <t>Finanziamenti per beni di prima dotazione</t>
  </si>
  <si>
    <t>Finanziamenti da Stato per investimenti</t>
  </si>
  <si>
    <t>Finanziamenti da Regione per investimenti</t>
  </si>
  <si>
    <t>Finanziamenti da altri soggetti pubblici per investimenti</t>
  </si>
  <si>
    <t>Finanziamenti per investimenti da rettifica contributi in conto esercizio</t>
  </si>
  <si>
    <t>PA7000B</t>
  </si>
  <si>
    <t>PB00000</t>
  </si>
  <si>
    <t>B.I)  FONDI PER IMPOSTE, ANCHE DIFFERITE</t>
  </si>
  <si>
    <t>PB20000</t>
  </si>
  <si>
    <t>B.II)  FONDI PER RISCHI</t>
  </si>
  <si>
    <t>Fondo rischi per cause civili ed oneri processuali</t>
  </si>
  <si>
    <t>Fondo rischi per contenzioso personale dipendente</t>
  </si>
  <si>
    <t>Fondo rischi connessi all'acquisto di prestazioni sanitarie da privato</t>
  </si>
  <si>
    <t>Fondo rischi per copertura diretta dei rischi (autoassicurazione)</t>
  </si>
  <si>
    <t>Altri fondi rischi</t>
  </si>
  <si>
    <t>PB30000</t>
  </si>
  <si>
    <t>B.III) FONDI DA DISTRIBUIRE</t>
  </si>
  <si>
    <t>FSR indistinto da distribuire</t>
  </si>
  <si>
    <t>FSR vincolato da distribuire</t>
  </si>
  <si>
    <t>Fondo per ripiano disavanzi pregressi</t>
  </si>
  <si>
    <t>Fondo finanziamento sanitario aggiuntivo corrente LEA</t>
  </si>
  <si>
    <t>Fondo finanziamento sanitario aggiuntivo corrente extra LEA</t>
  </si>
  <si>
    <t>Fondo finanziamento per ricerca</t>
  </si>
  <si>
    <t>Fondo finanziamento per investimenti</t>
  </si>
  <si>
    <t>PB40000</t>
  </si>
  <si>
    <t>B.IV) QUOTE INUTILIZZATE CONTRIBUTI</t>
  </si>
  <si>
    <t>Quote inutilizzate contributi vincolati da soggetti pubblici (extra fondo)</t>
  </si>
  <si>
    <t>Quote inutilizzate contributi per ricerca</t>
  </si>
  <si>
    <t>Quote inutilizzate contributi vincolati da privati</t>
  </si>
  <si>
    <t>PB50000</t>
  </si>
  <si>
    <t>B.V)  ALTRI FONDI PER ONERI E SPESE</t>
  </si>
  <si>
    <t>Fondi integrativi pensione</t>
  </si>
  <si>
    <t>Fondi rinnovi contrattuali</t>
  </si>
  <si>
    <t>Altri fondi per oneri e spese</t>
  </si>
  <si>
    <t>PC00000</t>
  </si>
  <si>
    <t>C.I)  FONDO PER PREMI OPEROSITA' MEDICI SUMAI</t>
  </si>
  <si>
    <t>C.II)  FONDO PER TRATTAMENTO DI FINE RAPPORTO DIPENDENTI</t>
  </si>
  <si>
    <t>PD00000</t>
  </si>
  <si>
    <t>D)  DEBITI</t>
  </si>
  <si>
    <t>Debiti per mutui passivi</t>
  </si>
  <si>
    <t>Debiti verso Stato</t>
  </si>
  <si>
    <t>Debiti verso Regione e provincia autonoma</t>
  </si>
  <si>
    <t>Debiti verso Comune</t>
  </si>
  <si>
    <t>Debiti verso Aziende sanitarie pubbliche</t>
  </si>
  <si>
    <t>Debiti verso Arpa e partecipate regionali</t>
  </si>
  <si>
    <t>Debiti verso Fornitori</t>
  </si>
  <si>
    <t>Debiti verso Istituto Tesoriere</t>
  </si>
  <si>
    <t>Debiti tributari</t>
  </si>
  <si>
    <t>Debiti verso istituti di previdenza</t>
  </si>
  <si>
    <t>Altri debiti</t>
  </si>
  <si>
    <t>SCHEMA DI RENDICONTO FINANZIARIO</t>
  </si>
  <si>
    <t>OPERAZIONI DI GESTIONE REDDITUALE</t>
  </si>
  <si>
    <t>G0001A</t>
  </si>
  <si>
    <t>(+)</t>
  </si>
  <si>
    <t>risultato di esercizio</t>
  </si>
  <si>
    <t>- Voci che non hanno effetto sulla liquidità: costi e ricavi non monetari</t>
  </si>
  <si>
    <t>G0010A</t>
  </si>
  <si>
    <t>ammortamenti fabbricati</t>
  </si>
  <si>
    <t>G0010B</t>
  </si>
  <si>
    <t>ammortamenti altre immobilizzazioni materiali</t>
  </si>
  <si>
    <t>G0010C</t>
  </si>
  <si>
    <t>ammortamenti immobilizzazioni immateriali</t>
  </si>
  <si>
    <t>G0010T</t>
  </si>
  <si>
    <t>Ammortamenti</t>
  </si>
  <si>
    <t>G0030A</t>
  </si>
  <si>
    <t>(-)</t>
  </si>
  <si>
    <t>Utilizzo finanziamenti per investimenti</t>
  </si>
  <si>
    <t>G0030B</t>
  </si>
  <si>
    <t>Utilizzo fondi riserva: investimenti, incentivi al personale, successioni e donaz., plusvalenze da reinvestire</t>
  </si>
  <si>
    <t>G0030T</t>
  </si>
  <si>
    <t>utilizzo contributi in c/capitale e fondi riserva</t>
  </si>
  <si>
    <t>G0040A</t>
  </si>
  <si>
    <t>accantonamenti SUMAI</t>
  </si>
  <si>
    <t>G0040B</t>
  </si>
  <si>
    <t>pagamenti SUMAI</t>
  </si>
  <si>
    <t>G0040C</t>
  </si>
  <si>
    <t>accantonamenti TFR</t>
  </si>
  <si>
    <t>G0040D</t>
  </si>
  <si>
    <t>pagamenti TFR</t>
  </si>
  <si>
    <t>G0040T</t>
  </si>
  <si>
    <t>- Premio operosità medici SUMAI + TFR</t>
  </si>
  <si>
    <t>G0050A</t>
  </si>
  <si>
    <t>(+/-)</t>
  </si>
  <si>
    <t>Rivalutazioni/svalutazioni di attività finanziarie</t>
  </si>
  <si>
    <t>G0050B</t>
  </si>
  <si>
    <t>accantonamenti a fondi svalutazioni</t>
  </si>
  <si>
    <t>G0050C</t>
  </si>
  <si>
    <t>utilizzo fondi svalutazioni*</t>
  </si>
  <si>
    <t>G0050T</t>
  </si>
  <si>
    <t>- Fondi svalutazione di attività</t>
  </si>
  <si>
    <t>G0060A</t>
  </si>
  <si>
    <t>accantonamenti a fondi per rischi e oneri</t>
  </si>
  <si>
    <t>G0060B</t>
  </si>
  <si>
    <t>utilizzo fondi per rischi e oneri</t>
  </si>
  <si>
    <t>G0060T</t>
  </si>
  <si>
    <t>- Fondo per rischi ed oneri futuri</t>
  </si>
  <si>
    <t>G0090T</t>
  </si>
  <si>
    <t>TOTALE Flusso di CCN della gestione corrente</t>
  </si>
  <si>
    <t>Delta debiti immobilizzazioni</t>
  </si>
  <si>
    <t>G0110A</t>
  </si>
  <si>
    <t>(+)/(-)</t>
  </si>
  <si>
    <t>aumento/diminuzione debiti verso Stato, Regione e provincia autonoma</t>
  </si>
  <si>
    <t>G0115A</t>
  </si>
  <si>
    <t>aumento/diminuzione debiti verso Comune</t>
  </si>
  <si>
    <t>G0120A</t>
  </si>
  <si>
    <t>aumento/diminuzione debiti verso Aziende sanitarie pubbliche</t>
  </si>
  <si>
    <t>G0125A</t>
  </si>
  <si>
    <t>aumento/diminuzione debiti verso Arpa e altre partecipate d/Regione</t>
  </si>
  <si>
    <t>G0130A</t>
  </si>
  <si>
    <t>aumento/diminuzione debiti verso Fornitori</t>
  </si>
  <si>
    <t>G0135A</t>
  </si>
  <si>
    <t>aumento/diminuzione debiti tributari</t>
  </si>
  <si>
    <t>G0140A</t>
  </si>
  <si>
    <t>aumento/diminuzione debiti verso istituti di previdenza</t>
  </si>
  <si>
    <t>G0145A</t>
  </si>
  <si>
    <t>aumento/diminuzione altri debiti</t>
  </si>
  <si>
    <t>G0190T</t>
  </si>
  <si>
    <t>aumento/diminuzione debiti (escl forn di immob e C/C bancari e istituto tesoriere)</t>
  </si>
  <si>
    <t>G0200A</t>
  </si>
  <si>
    <t>aumento/diminuzione ratei e risconti passivi</t>
  </si>
  <si>
    <t>G0310A</t>
  </si>
  <si>
    <t>diminuzione/aumento crediti parte corrente v/stato quote indistinte</t>
  </si>
  <si>
    <t>G0315A</t>
  </si>
  <si>
    <t>diminuzione/aumento crediti parte corrente v/stato quote vincolate</t>
  </si>
  <si>
    <t>G0320A</t>
  </si>
  <si>
    <t>diminuzione/aumento crediti parte corrente v/Regione per gettito addizionali Irpef e Irap</t>
  </si>
  <si>
    <t>G0325A</t>
  </si>
  <si>
    <t>diminuzione/aumento crediti parte corrente v/Regione per partecipazioni regioni a statuto speciale</t>
  </si>
  <si>
    <t>G0330A</t>
  </si>
  <si>
    <t>diminuzione/aumento crediti parte corrente v/Regione - vincolate per partecipazioni regioni a statuto speciale</t>
  </si>
  <si>
    <t>G0335A</t>
  </si>
  <si>
    <t>diminuzione/aumento crediti parte corrente v/Regione -gettito fiscalità regionale</t>
  </si>
  <si>
    <t>G0340A</t>
  </si>
  <si>
    <t>diminuzione/aumento crediti parte corrente v/Regione - altri contributi extrafondo</t>
  </si>
  <si>
    <t>G0345A</t>
  </si>
  <si>
    <t xml:space="preserve">diminuzione/aumento crediti parte corrente v/Regione </t>
  </si>
  <si>
    <t>G0350A</t>
  </si>
  <si>
    <t>diminuzione/aumento crediti parte corrente v/Comune</t>
  </si>
  <si>
    <t>G0355A</t>
  </si>
  <si>
    <t>diminuzione/aumento crediti parte corrente v/Asl-Ao</t>
  </si>
  <si>
    <t>G0360A</t>
  </si>
  <si>
    <t>diminuzione/aumento crediti parte corrente v/ARPA</t>
  </si>
  <si>
    <t>G0365A</t>
  </si>
  <si>
    <t>diminuzione/aumento crediti parte corrente v/Erario</t>
  </si>
  <si>
    <t>G0370A</t>
  </si>
  <si>
    <t>diminuzione/aumento crediti parte corrente v/Altri</t>
  </si>
  <si>
    <t>G0390T</t>
  </si>
  <si>
    <t>diminuzione/aumento di crediti</t>
  </si>
  <si>
    <t>G0410A</t>
  </si>
  <si>
    <t>diminuzione/aumento del magazzino</t>
  </si>
  <si>
    <t>G0420A</t>
  </si>
  <si>
    <t>diminuzione/aumento di acconti a fornitori per magazzino</t>
  </si>
  <si>
    <t>G0490A</t>
  </si>
  <si>
    <t>diminuzione/aumento rimanenze</t>
  </si>
  <si>
    <t>G0500A</t>
  </si>
  <si>
    <t>diminuzione/aumento ratei e risconti attivi</t>
  </si>
  <si>
    <t>G0900T</t>
  </si>
  <si>
    <t>A - Totale operazioni di gestione reddituale</t>
  </si>
  <si>
    <t>I0000A</t>
  </si>
  <si>
    <t>ATTIVITÀ DI INVESTIMENTO</t>
  </si>
  <si>
    <t>I0010A</t>
  </si>
  <si>
    <t>Acquisto costi di impianto e di ampliamento</t>
  </si>
  <si>
    <t>I0020A</t>
  </si>
  <si>
    <t>Acquisto costi di ricerca e sviluppo</t>
  </si>
  <si>
    <t>I0030A</t>
  </si>
  <si>
    <t>Acquisto Diritti di brevetto e diritti di utilizzazione delle opere d'ingegno</t>
  </si>
  <si>
    <t>I0040A</t>
  </si>
  <si>
    <t xml:space="preserve">Acquisto immobilizzazioni immateriali in corso </t>
  </si>
  <si>
    <t>I0050A</t>
  </si>
  <si>
    <t>Acquisto altre immobilizzazioni immateriali</t>
  </si>
  <si>
    <t>I0090T</t>
  </si>
  <si>
    <t>Acquisto Immobilizzazioni Immateriali</t>
  </si>
  <si>
    <t>I0110A</t>
  </si>
  <si>
    <t>Valore netto contabile costi di impianto e di ampliamento dismessi</t>
  </si>
  <si>
    <t>I0120A</t>
  </si>
  <si>
    <t>Valore netto contabile costi di ricerca e sviluppo dismessi</t>
  </si>
  <si>
    <t>I0130A</t>
  </si>
  <si>
    <t>Valore netto contabile Diritti di brevetto e diritti di utilizzazione delle opere d'ingegno dismessi</t>
  </si>
  <si>
    <t>I0140A</t>
  </si>
  <si>
    <t>Valore netto contabile immobilizzazioni immateriali in corso dismesse</t>
  </si>
  <si>
    <t>I0150A</t>
  </si>
  <si>
    <t>Valore netto contabile altre immobilizzazioni immateriali dismesse</t>
  </si>
  <si>
    <t>I0190T</t>
  </si>
  <si>
    <t>Valore netto  contabile Immobilizzazioni Immateriali dismesse</t>
  </si>
  <si>
    <t>I0210A</t>
  </si>
  <si>
    <t xml:space="preserve">Acquisto terreni </t>
  </si>
  <si>
    <t>I0220A</t>
  </si>
  <si>
    <t xml:space="preserve">Acquisto fabbricati </t>
  </si>
  <si>
    <t>I0230A</t>
  </si>
  <si>
    <t xml:space="preserve">Acquisto impianti e macchinari </t>
  </si>
  <si>
    <t>I0240A</t>
  </si>
  <si>
    <t xml:space="preserve">Acquisto attrezzature sanitarie e scientifiche </t>
  </si>
  <si>
    <t>I0250A</t>
  </si>
  <si>
    <t xml:space="preserve">Acquisto mobili e arredi </t>
  </si>
  <si>
    <t>I0260A</t>
  </si>
  <si>
    <t xml:space="preserve">Acquisto automezzi </t>
  </si>
  <si>
    <t>I0265A</t>
  </si>
  <si>
    <t>Acquisizione Oggetti d'arte</t>
  </si>
  <si>
    <t>I0270A</t>
  </si>
  <si>
    <t xml:space="preserve">Acquisto altri beni materiali </t>
  </si>
  <si>
    <t>I0280A</t>
  </si>
  <si>
    <t>Acquisto immobilizzazioni materiali in corso</t>
  </si>
  <si>
    <t>I0290T</t>
  </si>
  <si>
    <t>Acquisto Immobilizzazioni Materiali</t>
  </si>
  <si>
    <t>I0310A</t>
  </si>
  <si>
    <t>Valore netto  contabile terreni dismessi</t>
  </si>
  <si>
    <t>I0320A</t>
  </si>
  <si>
    <t>Valore netto  contabile fabbricati dismessi</t>
  </si>
  <si>
    <t>I0330A</t>
  </si>
  <si>
    <t>Valore netto  contabile impianti e macchinari dismessi</t>
  </si>
  <si>
    <t>I0340A</t>
  </si>
  <si>
    <t>Valore netto  contabile attrezzature sanitarie e scientifiche dismesse</t>
  </si>
  <si>
    <t>I0350A</t>
  </si>
  <si>
    <t>Valore netto  contabile mobili e arredi dismessi</t>
  </si>
  <si>
    <t>I0360A</t>
  </si>
  <si>
    <t>Valore netto  contabile automezzi dismessi</t>
  </si>
  <si>
    <t>I0370A</t>
  </si>
  <si>
    <t>Valore netto  contabile altri beni materiali dismessi</t>
  </si>
  <si>
    <t>I0375A</t>
  </si>
  <si>
    <t>Valore netto  contabile oggetti d'arte dismessi</t>
  </si>
  <si>
    <t>I0380A</t>
  </si>
  <si>
    <t>Valore netto  contabile immobilizzazioni materiali in corso dismesse</t>
  </si>
  <si>
    <t>I0390T</t>
  </si>
  <si>
    <t>Valore netto contabile Immobilizzazioni Materiali dismesse</t>
  </si>
  <si>
    <t>I0410A</t>
  </si>
  <si>
    <t>Acquisto crediti finanziari</t>
  </si>
  <si>
    <t>I0420A</t>
  </si>
  <si>
    <t>Acquisto titoli</t>
  </si>
  <si>
    <t>I0490T</t>
  </si>
  <si>
    <t>Acquisto Immobilizzazioni Finanziarie</t>
  </si>
  <si>
    <t>I0510A</t>
  </si>
  <si>
    <t>Valore netto  contabile crediti finanziari dismessi</t>
  </si>
  <si>
    <t>I0520A</t>
  </si>
  <si>
    <t>Valore netto  contabile titoli dismessi</t>
  </si>
  <si>
    <t>I0590T</t>
  </si>
  <si>
    <t>Valore netto  contabile Immobilizzazioni Finanziarie dismesse</t>
  </si>
  <si>
    <t>I0600T</t>
  </si>
  <si>
    <t>Aumento/Diminuzione debiti v/fornitori di immobilizzazioni</t>
  </si>
  <si>
    <t>I0900T</t>
  </si>
  <si>
    <t>B - Totale attività di investimento</t>
  </si>
  <si>
    <t>M0000A</t>
  </si>
  <si>
    <t>ATTIVITÀ DI FINANZIAMENTO</t>
  </si>
  <si>
    <t>M0010A</t>
  </si>
  <si>
    <t>diminuzione/aumento crediti vs Stato (finanziamenti per investimenti)</t>
  </si>
  <si>
    <t>M0020A</t>
  </si>
  <si>
    <t>diminuzione/aumento crediti vs Regione  (finanziamenti per investimenti)</t>
  </si>
  <si>
    <t>M0030A</t>
  </si>
  <si>
    <t>diminuzione/aumento crediti vs Regione  (aumento fondo di dotazione)</t>
  </si>
  <si>
    <t>M0040A</t>
  </si>
  <si>
    <t>diminuzione/aumento crediti vs Regione  (ripiano perdite)</t>
  </si>
  <si>
    <t>M0050A</t>
  </si>
  <si>
    <t>diminuzione/aumento crediti vs Regione  (copertura debiti al 31.12.2005)</t>
  </si>
  <si>
    <t>M0100A</t>
  </si>
  <si>
    <t>aumento  fondo di dotazione</t>
  </si>
  <si>
    <t>M0110A</t>
  </si>
  <si>
    <t>aumento contributi in c/capitale da regione e da altri</t>
  </si>
  <si>
    <t>M0120A</t>
  </si>
  <si>
    <t>altri aumenti/diminuzioni al patrimonio netto*</t>
  </si>
  <si>
    <t>M0200T</t>
  </si>
  <si>
    <t>aumenti/diminuzioni nette contabili al patrimonio netto</t>
  </si>
  <si>
    <t>M0300T</t>
  </si>
  <si>
    <t>aumento/diminuzione debiti C/C bancari e istituto tesoriere*</t>
  </si>
  <si>
    <t>M0400A</t>
  </si>
  <si>
    <t>assunzione nuovi mutui*</t>
  </si>
  <si>
    <t>M0410A</t>
  </si>
  <si>
    <t>mutui quota capitale rimborsata</t>
  </si>
  <si>
    <t>M0900T</t>
  </si>
  <si>
    <t>C - Totale attività di finanziamento</t>
  </si>
  <si>
    <t>S0900T</t>
  </si>
  <si>
    <t>FLUSSO DI CASSA COMPLESSIVO (A+B+C)</t>
  </si>
  <si>
    <t>S0990T</t>
  </si>
  <si>
    <t>Delta liquidità tra inizio e fine esercizio (al netto dei conti bancari passivi)</t>
  </si>
  <si>
    <t>Z0900T</t>
  </si>
  <si>
    <t>Squadratura tra il valore delle disponibilità liquide nello SP e il valore del flusso di cassa complessivo</t>
  </si>
  <si>
    <t>&lt;&lt;&lt;&lt;</t>
  </si>
  <si>
    <t>MINISTERO DELLA SALUTE</t>
  </si>
  <si>
    <t>SP</t>
  </si>
  <si>
    <t>Direzione Generale della Programmazione Sanitaria</t>
  </si>
  <si>
    <t>Direzione Generale del Sistema Informativo e Statistico Sanitario</t>
  </si>
  <si>
    <t>MODELLO DI RILEVAZIONE DELLO STATO PATRIMONIALE
AZIENDE SANITARIE LOCALI - AZIENDE OSPEDALIERE
IRCCS - AZIENDE OSPEDALIERE UNIVERSITARIE</t>
  </si>
  <si>
    <t>STRUTTURA RILEVATA</t>
  </si>
  <si>
    <t>OGGETTO DELLA RILEVAZIONE</t>
  </si>
  <si>
    <t xml:space="preserve"> REGIONE</t>
  </si>
  <si>
    <t>AZIENDA / ISTITUTO</t>
  </si>
  <si>
    <t xml:space="preserve">            ANNO</t>
  </si>
  <si>
    <t xml:space="preserve">    TRIMESTRE:</t>
  </si>
  <si>
    <t xml:space="preserve">    PREVENTIVO</t>
  </si>
  <si>
    <t xml:space="preserve">CONSUNTIVO </t>
  </si>
  <si>
    <t>APPROVAZIONE BILANCIO DA PARTE DEL COLLEGIO SINDACALE</t>
  </si>
  <si>
    <t xml:space="preserve">SI </t>
  </si>
  <si>
    <t xml:space="preserve">NO  </t>
  </si>
  <si>
    <t>A T T I V I T A'</t>
  </si>
  <si>
    <t>(Valori in euro)</t>
  </si>
  <si>
    <t>Cons</t>
  </si>
  <si>
    <t>CODICE</t>
  </si>
  <si>
    <t>IMPORTO</t>
  </si>
  <si>
    <t>SEGNO
(+/-)</t>
  </si>
  <si>
    <t>AAZ999</t>
  </si>
  <si>
    <t>+</t>
  </si>
  <si>
    <t>AAA000</t>
  </si>
  <si>
    <t xml:space="preserve">     A.I) IMMOBILIZZAZIONI IMMATERIALI</t>
  </si>
  <si>
    <t>AAA010</t>
  </si>
  <si>
    <t xml:space="preserve">            A.I.1) Costi di impianto e di ampliamento</t>
  </si>
  <si>
    <t xml:space="preserve">                       A.I.1.a) Costi di impianto e di ampliamento</t>
  </si>
  <si>
    <t xml:space="preserve">                       A.I.1.b) F.do Amm.to costi di impianto e di ampliamento</t>
  </si>
  <si>
    <t>AAA040</t>
  </si>
  <si>
    <t xml:space="preserve">            A.I.2) Costi di ricerca e sviluppo</t>
  </si>
  <si>
    <t xml:space="preserve">                       A.I.2.a) Costi di ricerca e sviluppo</t>
  </si>
  <si>
    <t xml:space="preserve">                       A.I.2.b) F.do Amm.to costi di ricerca e sviluppo</t>
  </si>
  <si>
    <t>AAA070</t>
  </si>
  <si>
    <t xml:space="preserve">            A.I.3) Diritti di brevetto e diritti di utilizzazione delle opere d'ingegno</t>
  </si>
  <si>
    <t xml:space="preserve">                       A.I.3.a) Diritti di brevetto e diritti di utilizzazione delle opere d'ingegno - derivanti dall'attività di 
                       ricerca</t>
  </si>
  <si>
    <t xml:space="preserve">                       A.I.3.b) F.do Amm.to diritti di brevetto e diritti di utilizzazione delle opere d'ingegno - derivanti
                        dall'attività di ricerca</t>
  </si>
  <si>
    <t xml:space="preserve">                       A.I.3.c) Diritti di brevetto e diritti di utilizzazione delle opere d'ingegno - altri</t>
  </si>
  <si>
    <t xml:space="preserve">                       A.I.3.d) F.do Amm.to diritti di brevetto e diritti di utilizzazione delle opere d'ingegno - altri</t>
  </si>
  <si>
    <t xml:space="preserve">            A.I.4) Immobilizzazioni immateriali in corso e acconti</t>
  </si>
  <si>
    <t>AAA130</t>
  </si>
  <si>
    <t xml:space="preserve">            A.I.5) Altre immobilizzazioni immateriali</t>
  </si>
  <si>
    <t xml:space="preserve">                       A.I.5.a) Concessioni, licenze, marchi e diritti simili</t>
  </si>
  <si>
    <t xml:space="preserve">                       A.I.5.b) F.do Amm.to concessioni, licenze, marchi e diritti simili</t>
  </si>
  <si>
    <t xml:space="preserve">                       A.I.5.c) Migliorie su beni di terzi</t>
  </si>
  <si>
    <t xml:space="preserve">                       A.I.5.d) F.do Amm.to migliorie su beni di terzi</t>
  </si>
  <si>
    <t xml:space="preserve">                       A.I.5.e) Pubblicità</t>
  </si>
  <si>
    <t xml:space="preserve">                       A.I.5.f) F.do Amm.to pubblicità</t>
  </si>
  <si>
    <t xml:space="preserve">                       A.I.5.g) Altre immobilizzazioni immateriali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</si>
  <si>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</si>
  <si>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</si>
  <si>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</si>
  <si>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 xml:space="preserve">                       A.I.6.a) F.do Svalut. Costi di impianto e di ampliamento</t>
  </si>
  <si>
    <t xml:space="preserve">                       A.I.6.b) F.do Svalut. Costi di ricerca e sviluppo</t>
  </si>
  <si>
    <t xml:space="preserve">                       A.I.6.c) F.do Svalut. Diritti di brevetto e diritti di utilizzazione delle opere d'ingegno</t>
  </si>
  <si>
    <t xml:space="preserve">                       A.I.6.d) F.do Svalut. Altre immobilizzazioni immateriali</t>
  </si>
  <si>
    <t>AAA270</t>
  </si>
  <si>
    <t xml:space="preserve">     A.II)  IMMOBILIZZAZIONI MATERIALI</t>
  </si>
  <si>
    <t>AAA280</t>
  </si>
  <si>
    <t xml:space="preserve">            A.II.1) Terreni</t>
  </si>
  <si>
    <t xml:space="preserve">                       A.II.1.a) Terreni disponibili</t>
  </si>
  <si>
    <t xml:space="preserve">                       A.II.1.b) Terreni indisponibili</t>
  </si>
  <si>
    <t>AAA310</t>
  </si>
  <si>
    <t xml:space="preserve">            A.II.2) Fabbricati</t>
  </si>
  <si>
    <t>AAA320</t>
  </si>
  <si>
    <t xml:space="preserve">                       A.II.2.a) Fabbricati non strumentali (disponibili)</t>
  </si>
  <si>
    <t xml:space="preserve">                               A.II.2.a.1) Fabbricati non strumentali (disponibili)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</si>
  <si>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</si>
  <si>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</si>
  <si>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</si>
  <si>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 xml:space="preserve">                               A.II.2.b.1) Fabbricati strumentali (indisponibili)</t>
  </si>
  <si>
    <t xml:space="preserve">                               A.II.2.b.2) F.do Amm.to Fabbricati strumentali (indisponibili)</t>
  </si>
  <si>
    <t>AAA380</t>
  </si>
  <si>
    <t xml:space="preserve">            A.II.3) Impianti e macchinari</t>
  </si>
  <si>
    <t xml:space="preserve">                       A.II.3.a) Impianti e macchinari</t>
  </si>
  <si>
    <t xml:space="preserve">                       A.II.3.b) F.do Amm.to Impianti e macchinari</t>
  </si>
  <si>
    <t>AAA410</t>
  </si>
  <si>
    <t xml:space="preserve">            A.II.4) Attrezzature sanitarie e scientifiche</t>
  </si>
  <si>
    <t xml:space="preserve">                       A.II.4.a) Attrezzature sanitarie e scientifiche</t>
  </si>
  <si>
    <t xml:space="preserve">                       A.II.4.b) F.do Amm.to Attrezzature sanitarie e scientifiche</t>
  </si>
  <si>
    <t>AAA440</t>
  </si>
  <si>
    <t xml:space="preserve">            A.II.5) Mobili e arredi</t>
  </si>
  <si>
    <t xml:space="preserve">                       A.II.5.a) Mobili e arredi</t>
  </si>
  <si>
    <t xml:space="preserve">                       A.II.5.b) F.do Amm.to Mobili e arredi</t>
  </si>
  <si>
    <t>AAA470</t>
  </si>
  <si>
    <t xml:space="preserve">            A.II.6) Automezzi</t>
  </si>
  <si>
    <t xml:space="preserve">                       A.II.6.a) Automezzi</t>
  </si>
  <si>
    <t xml:space="preserve">                       A.II.6.b) F.do Amm.to Automezzi</t>
  </si>
  <si>
    <t xml:space="preserve">            A.II.7) Oggetti d'arte</t>
  </si>
  <si>
    <t>AAA510</t>
  </si>
  <si>
    <t xml:space="preserve">            A.II.8) Altre immobilizzazioni materiali</t>
  </si>
  <si>
    <t xml:space="preserve">                       A.II.8.a) Altre immobilizzazioni materiali</t>
  </si>
  <si>
    <t xml:space="preserve">                       A.II.8.b) F.do Amm.to Altre immobilizzazioni materiali</t>
  </si>
  <si>
    <t xml:space="preserve">            A.II.9) Immobilizzazioni materiali in corso e acconti</t>
  </si>
  <si>
    <t>AAA550</t>
  </si>
  <si>
    <t xml:space="preserve">            A.II.10) Fondo Svalutazione immobilizzazioni materiali</t>
  </si>
  <si>
    <t xml:space="preserve">                       A.II.10.a) F.do Svalut. Terreni</t>
  </si>
  <si>
    <t xml:space="preserve">                       A.II.10.b) F.do Svalut. Fabbricati</t>
  </si>
  <si>
    <t xml:space="preserve">                       A.II.10.c) F.do Svalut. Impianti e macchinari</t>
  </si>
  <si>
    <t xml:space="preserve">                       A.II.10.d) F.do Svalut. Attrezzature sanitarie e scientifiche</t>
  </si>
  <si>
    <t xml:space="preserve">                       A.II.10.e) F.do Svalut. Mobili e arredi</t>
  </si>
  <si>
    <t xml:space="preserve">                       A.II.10.f) F.do Svalut. Automezzi</t>
  </si>
  <si>
    <t xml:space="preserve">                       A.II.10.g) F.do Svalut. Oggetti d'arte</t>
  </si>
  <si>
    <t xml:space="preserve">                       A.II.10.h) F.do Svalut. Altre immobilizzazioni materiali</t>
  </si>
  <si>
    <t>AAA640</t>
  </si>
  <si>
    <t xml:space="preserve">     A.III)  IMMOBILIZZAZIONI FINANZIARIE</t>
  </si>
  <si>
    <t>AAA650</t>
  </si>
  <si>
    <t xml:space="preserve">            A.III.1) Crediti finanziari</t>
  </si>
  <si>
    <t xml:space="preserve">                       A.III.1.a) Crediti finanziari v/Stato</t>
  </si>
  <si>
    <t xml:space="preserve">                       A.III.1.b) Crediti finanziari v/Regione</t>
  </si>
  <si>
    <t xml:space="preserve">                       A.III.1.c) Crediti finanziari v/partecipate</t>
  </si>
  <si>
    <t xml:space="preserve">                       A.III.1.d) Crediti finanziari v/altri</t>
  </si>
  <si>
    <t>AAA700</t>
  </si>
  <si>
    <t xml:space="preserve">            A.III.2) Titoli</t>
  </si>
  <si>
    <t xml:space="preserve">                       A.III.2.a) Partecipazioni</t>
  </si>
  <si>
    <t>AAA720</t>
  </si>
  <si>
    <t xml:space="preserve">                       A.III.2.b) Altri titoli</t>
  </si>
  <si>
    <t xml:space="preserve">                            A.III.2.b.1) Titoli di Stato</t>
  </si>
  <si>
    <t xml:space="preserve">                            A.III.2.b.2) Altre Obbligazioni</t>
  </si>
  <si>
    <t xml:space="preserve">                            A.III.2.b.3) Titoli azionari quotati in Borsa</t>
  </si>
  <si>
    <t xml:space="preserve">                            A.III.2.b.4) Titoli diversi</t>
  </si>
  <si>
    <t>ABZ999</t>
  </si>
  <si>
    <t>ABA000</t>
  </si>
  <si>
    <t xml:space="preserve">     B.I)  RIMANENZE</t>
  </si>
  <si>
    <t>ABA010</t>
  </si>
  <si>
    <t xml:space="preserve">            B.I.1) Rimanenze beni sanitari</t>
  </si>
  <si>
    <t xml:space="preserve">                       B.I.1.a)  Prodotti farmaceutici ed emoderivati</t>
  </si>
  <si>
    <t xml:space="preserve">                       B.I.1.b)  Sangue ed emocomponenti</t>
  </si>
  <si>
    <t xml:space="preserve">                       B.I.1.c)  Dispositivi medici</t>
  </si>
  <si>
    <t xml:space="preserve">                       B.I.1.d)  Prodotti dietetici</t>
  </si>
  <si>
    <t xml:space="preserve">                       B.I.1.e)  Materiali per la profilassi (vaccini)</t>
  </si>
  <si>
    <t xml:space="preserve">                       B.I.1.f)  Prodotti chimici</t>
  </si>
  <si>
    <t xml:space="preserve">                       B.I.1.g)  Materiali e prodotti per uso veterinario</t>
  </si>
  <si>
    <t xml:space="preserve">                       B.I.1.h)  Altri beni e prodotti sanitari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</si>
  <si>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</si>
  <si>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</si>
  <si>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</si>
  <si>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 xml:space="preserve">                       B.I.2.a)  Prodotti alimentari</t>
  </si>
  <si>
    <t xml:space="preserve">                       B.I.2.b)  Materiali di guardaroba, di pulizia, e di convivenza in genere</t>
  </si>
  <si>
    <t xml:space="preserve">                       B.I.2.c)  Combustibili, carburanti e lubrificanti</t>
  </si>
  <si>
    <t xml:space="preserve">                       B.I.2.d)  Supporti informatici e cancelleria</t>
  </si>
  <si>
    <t xml:space="preserve">                       B.I.2.e)  Materiale per la manutenzione</t>
  </si>
  <si>
    <t xml:space="preserve">                       B.I.2.f)  Altri beni e prodotti non sanitari</t>
  </si>
  <si>
    <t xml:space="preserve">                       B.I.2.g)  Acconti per acquisto di beni e prodotti non sanitari</t>
  </si>
  <si>
    <t>ABA190</t>
  </si>
  <si>
    <t xml:space="preserve">     B.II)  CREDITI </t>
  </si>
  <si>
    <t>ABA200</t>
  </si>
  <si>
    <t xml:space="preserve">            B.II.1)  Crediti v/Stato</t>
  </si>
  <si>
    <t>SS</t>
  </si>
  <si>
    <t xml:space="preserve">                       B.II.1.a) Crediti v/Stato per spesa corrente - FSN indistinto</t>
  </si>
  <si>
    <t>M</t>
  </si>
  <si>
    <t xml:space="preserve">                       B.II.1.b)  Crediti v/Stato per spesa corrente - FSN</t>
  </si>
  <si>
    <t>S</t>
  </si>
  <si>
    <t xml:space="preserve">                       B.II.1.c)  Crediti v/Stato per mobilità attiva extraregionale</t>
  </si>
  <si>
    <t xml:space="preserve">                       B.II.1.d)  Crediti v/Stato per mobilità attiva internazionale</t>
  </si>
  <si>
    <t xml:space="preserve">                       B.II.1.e)  Crediti v/Stato per acconto quota fabbisogno sanitario regionale standard</t>
  </si>
  <si>
    <t xml:space="preserve">                       B.II.1.f)  Crediti v/Stato per finanziamento sanitario aggiuntivo corrente</t>
  </si>
  <si>
    <t xml:space="preserve">                       B.II.1.g)   Crediti v/Stato per spesa corrente - altro</t>
  </si>
  <si>
    <t xml:space="preserve">                       B.II.1.h) Crediti v/Stato per spesa corrente per STP (ex D.lgs. 286/98)</t>
  </si>
  <si>
    <t xml:space="preserve">                       B.II.1.i)  Crediti v/Stato per finanziamenti per investimenti</t>
  </si>
  <si>
    <t>ABA290</t>
  </si>
  <si>
    <t xml:space="preserve">                       B.II.1.j)  Crediti v/Stato per ricerca</t>
  </si>
  <si>
    <t xml:space="preserve">                            B.II.1.j.1)  Crediti v/Stato per ricerca corrente - Ministero della Salute</t>
  </si>
  <si>
    <t xml:space="preserve">                            B.II.1.j.2)  Crediti v/Stato per ricerca finalizzata - Ministero della Salute</t>
  </si>
  <si>
    <t xml:space="preserve">                            B.II.1.j.3)  Crediti v/Stato per ricerca - altre Amministrazioni centrali </t>
  </si>
  <si>
    <t xml:space="preserve">                            B.II.1.j.4)  Crediti v/Stato per ricerca - finanziamenti per investimenti</t>
  </si>
  <si>
    <t xml:space="preserve">                       B.II.1.k)  Crediti v/prefetture</t>
  </si>
  <si>
    <t>ABA350</t>
  </si>
  <si>
    <t xml:space="preserve">            B.II.2)  Crediti v/Regione o Provincia Autonoma</t>
  </si>
  <si>
    <t>ABA360</t>
  </si>
  <si>
    <t xml:space="preserve">                      B.II.2.a) Crediti v/Regione o Provincia Autonoma per spesa corrente</t>
  </si>
  <si>
    <t>RR</t>
  </si>
  <si>
    <t xml:space="preserve">                            B.II.2.a.1)  Crediti v/Regione o Provincia Autonoma per quota FSR</t>
  </si>
  <si>
    <t>R</t>
  </si>
  <si>
    <t xml:space="preserve">                            B.II.2.a.2)  Crediti v/Regione o Provincia Autonoma per mobilità attiva intraregionale</t>
  </si>
  <si>
    <t xml:space="preserve">                            B.II.2.a.3)  Crediti v/Regione o Provincia Autonoma per mobilità attiva extraregionale</t>
  </si>
  <si>
    <t xml:space="preserve">                            B.II.2.a.4)  Crediti v/Regione o Provincia Autonoma per acconto quota FSR</t>
  </si>
  <si>
    <t xml:space="preserve">                            B.II.2.a.5)  Crediti v/Regione o Provincia Autonoma per finanziamento sanitario aggiuntivo
                            corrente LEA</t>
  </si>
  <si>
    <t xml:space="preserve">                            B.II.2.a.6)  Crediti v/Regione o Provincia Autonoma per finanziamento sanitario aggiuntivo
                            corrente extra LEA</t>
  </si>
  <si>
    <t xml:space="preserve">                            B.II.2.a.7)  Crediti v/Regione o Provincia Autonoma per spesa corrente - altro</t>
  </si>
  <si>
    <t xml:space="preserve">                            B.II.2.a.8) Crediti v/Regione o Provincia Autonoma per spesa corrente - STP (ex D.lgs. 286/98)</t>
  </si>
  <si>
    <t xml:space="preserve">                            B.II.2.a.9)  Crediti v/Regione o Provincia Autonoma per ricerca</t>
  </si>
  <si>
    <t xml:space="preserve">                            B.II.2.a.10) Crediti v/Regione o Provincia Autonoma per mobilità attiva internazionale</t>
  </si>
  <si>
    <t>ABA470</t>
  </si>
  <si>
    <t xml:space="preserve">                       B.II.2.b) Crediti v/Regione o Provincia Autonoma per versamenti a patrimonio netto</t>
  </si>
  <si>
    <t xml:space="preserve">                            B.II.2.b.1) Crediti v/Regione o Provincia Autonoma per finanziamenti per investimenti</t>
  </si>
  <si>
    <t xml:space="preserve">                            B.II.2.b.2) Crediti v/Regione o Provincia Autonoma per incremento fondo dotazione</t>
  </si>
  <si>
    <t xml:space="preserve">                            B.II.2.b.3) Crediti v/Regione o Provincia Autonoma per ripiano perdite</t>
  </si>
  <si>
    <t xml:space="preserve">                            B.II.2.b.4) Crediti v/Regione o Provincia Autonoma per anticipazione ripiano disavanzo programmato dai Piani aziendali di cui all'art. 1, comma 528, L. 208/2015</t>
  </si>
  <si>
    <t xml:space="preserve">                            B.II.2.b.4) Crediti v/Regione per copertura debiti al 31/12/2005</t>
  </si>
  <si>
    <t xml:space="preserve">                            B.II.2.b.5) Crediti v/Regione o Provincia Autonoma per ricostituzione risorse da investimenti
                                           esercizi precedenti</t>
  </si>
  <si>
    <t xml:space="preserve">                       B.II.2.c)  Crediti v/Regione o Provincia Autonoma per contributi L. 210/92</t>
  </si>
  <si>
    <t xml:space="preserve">                       B.II.2.d) Crediti v/Regione o Provincia Autonoma per contributi L. 210/92 – aziende sanitarie</t>
  </si>
  <si>
    <t xml:space="preserve">            B.II.3)  Crediti v/Comuni</t>
  </si>
  <si>
    <t>ABA540</t>
  </si>
  <si>
    <t xml:space="preserve">            B.II.4) Crediti v/Aziende sanitarie pubbliche</t>
  </si>
  <si>
    <t>ABA550</t>
  </si>
  <si>
    <t xml:space="preserve">                       B.II.4.a) Crediti v/Aziende sanitarie pubbliche della Regione</t>
  </si>
  <si>
    <t xml:space="preserve">                            B.II.4.a.1) Crediti v/Aziende sanitarie pubbliche della Regione - per mobilità in compensazione</t>
  </si>
  <si>
    <t xml:space="preserve">                            B.II.4.a.2) Crediti v/Aziende sanitarie pubbliche della Regione - per mobilità non in
                            compensazione</t>
  </si>
  <si>
    <t xml:space="preserve">                            B.II.4.a.3) Crediti v/Aziende sanitarie pubbliche della Regione - per altre prestazioni</t>
  </si>
  <si>
    <t xml:space="preserve">                       B.II.4.b) Acconto quota FSR da distribuire</t>
  </si>
  <si>
    <t xml:space="preserve">                       B.II.4.c) Crediti v/Aziende sanitarie pubbliche della Regione per anticipazione
                                   ripiano disavanzo programmato dai Piani aziendali di cui all'art. 1, comma 528, L. 208/2015</t>
  </si>
  <si>
    <t xml:space="preserve">                       B.II.4.d) Crediti v/Aziende sanitarie pubbliche Extraregione</t>
  </si>
  <si>
    <t xml:space="preserve">                       B.II.4.e)  Crediti v/Aziende sanitarie pubbliche della Regione - per Contributi da Aziende sanitarie 
                                    pubbliche della Regione o Prov. Aut. (extra fondo) </t>
  </si>
  <si>
    <t>ABA610</t>
  </si>
  <si>
    <t xml:space="preserve">            B.II.5) Crediti v/società partecipate e/o enti dipendenti della Regione</t>
  </si>
  <si>
    <t xml:space="preserve">                       B.II.5.a) Crediti v/enti regionali</t>
  </si>
  <si>
    <t xml:space="preserve">                       B.II.5.b) Crediti v/sperimentazioni gestionali</t>
  </si>
  <si>
    <t xml:space="preserve">                       B.II.5.c) Crediti v/altre partecipate</t>
  </si>
  <si>
    <t xml:space="preserve">            B.II.6) Crediti v/Erario</t>
  </si>
  <si>
    <t>ABA660</t>
  </si>
  <si>
    <t xml:space="preserve">            B.II.7) Crediti v/altri</t>
  </si>
  <si>
    <t xml:space="preserve">                       B.II.7.a) Crediti v/clienti privati</t>
  </si>
  <si>
    <t xml:space="preserve">                       B.II.7.b) Crediti v/gestioni liquidatorie</t>
  </si>
  <si>
    <t xml:space="preserve">                       B.II.7.c) Crediti v/altri soggetti pubblici</t>
  </si>
  <si>
    <t xml:space="preserve">                       B.II.7.d) Crediti v/altri soggetti pubblici per ricerca</t>
  </si>
  <si>
    <t xml:space="preserve">                       B.II.7.e) Altri crediti diversi</t>
  </si>
  <si>
    <t xml:space="preserve">                          B.II.7.e.1) Altri Crediti  diversi </t>
  </si>
  <si>
    <t xml:space="preserve">                          B.II.7.e.2) Note di credito da emettere (diversi)</t>
  </si>
  <si>
    <t>ABA713</t>
  </si>
  <si>
    <t xml:space="preserve">                 B.II.7.f) Altri Crediti verso erogatori (privati accreditati e convenzionati) di prestazioni sanitarie</t>
  </si>
  <si>
    <t xml:space="preserve">                          B.II.7.f.1) Altri Crediti verso erogatori (privati accreditati e convenzionati) di prestazioni sanitarie</t>
  </si>
  <si>
    <t xml:space="preserve">                          B.II.7.f.2) Note di credito da emettere  (privati accreditati e convenzionati)</t>
  </si>
  <si>
    <t>ABA720</t>
  </si>
  <si>
    <t xml:space="preserve">     B.III)  ATTIVITA' FINANZIARIE CHE NON COSTITUISCONO IMMOBILIZZAZIONI</t>
  </si>
  <si>
    <t xml:space="preserve">            B.III.1)  Partecipazioni che non costituiscono immobilizzazioni</t>
  </si>
  <si>
    <t xml:space="preserve">            B.III.2)  Altri titoli che non costituiscono immobilizzazioni</t>
  </si>
  <si>
    <t>ABA750</t>
  </si>
  <si>
    <t xml:space="preserve">     B.IV)  DISPONIBILITA' LIQUIDE</t>
  </si>
  <si>
    <t xml:space="preserve">            B.IV.1)  Cassa</t>
  </si>
  <si>
    <t xml:space="preserve">            B.IV.2)  Istituto Tesoriere</t>
  </si>
  <si>
    <t xml:space="preserve">            B.IV.3) Tesoreria Unica</t>
  </si>
  <si>
    <t xml:space="preserve">            B.IV.4) Conto corrente postale</t>
  </si>
  <si>
    <t>ACZ999</t>
  </si>
  <si>
    <t>ACA000</t>
  </si>
  <si>
    <t xml:space="preserve">     C.I) RATEI ATTIVI</t>
  </si>
  <si>
    <t xml:space="preserve">            C.I.1) Ratei attivi</t>
  </si>
  <si>
    <t xml:space="preserve">            C.I.2) Ratei attivi v/Aziende sanitarie pubbliche della Regione</t>
  </si>
  <si>
    <t>ACA030</t>
  </si>
  <si>
    <t xml:space="preserve">     C.II) RISCONTI ATTIVI</t>
  </si>
  <si>
    <t xml:space="preserve">            C.II.1) Risconti attivi</t>
  </si>
  <si>
    <t xml:space="preserve">            C.II.2) Risconti attivi v/Aziende sanitarie pubbliche della Regione</t>
  </si>
  <si>
    <t>AZZ999</t>
  </si>
  <si>
    <t>D) TOTALE ATTIVO</t>
  </si>
  <si>
    <t>ADZ999</t>
  </si>
  <si>
    <t>E)  CONTI D'ORDINE</t>
  </si>
  <si>
    <t xml:space="preserve">     E.I) CANONI DI LEASING ANCORA DA PAGARE</t>
  </si>
  <si>
    <t xml:space="preserve">     E.II) DEPOSITI CAUZIONALI</t>
  </si>
  <si>
    <t xml:space="preserve">     E.III) BENI IN COMODATO</t>
  </si>
  <si>
    <t xml:space="preserve">     E.IV) CANONI DI PROJECT FINANCING ANCORA DA PAGARE</t>
  </si>
  <si>
    <t xml:space="preserve">     E.V) ALTRI CONTI D'ORDINE</t>
  </si>
  <si>
    <t>P A S S I V I T A'</t>
  </si>
  <si>
    <t>PAZ999</t>
  </si>
  <si>
    <t>+/-</t>
  </si>
  <si>
    <t>Problema dello scambio tra bilanci (sistemare SP)</t>
  </si>
  <si>
    <t xml:space="preserve">     A.I) FONDO DI DOTAZIONE</t>
  </si>
  <si>
    <t>PAA010</t>
  </si>
  <si>
    <t xml:space="preserve">     A.II) FINANZIAMENTI PER INVESTIMENTI</t>
  </si>
  <si>
    <t xml:space="preserve">            A.II.1) Finanziamenti per beni di prima dotazione</t>
  </si>
  <si>
    <t>PAA030</t>
  </si>
  <si>
    <t xml:space="preserve">            A.II.2) Finanziamenti da Stato per investimenti</t>
  </si>
  <si>
    <t xml:space="preserve">                       A.II.2.a) Finanziamenti da Stato per investimenti - ex art. 20 legge 67/88</t>
  </si>
  <si>
    <t xml:space="preserve">                       A.II.2.b) Finanziamenti da Stato per investimenti - ricerca</t>
  </si>
  <si>
    <t xml:space="preserve">                       A.II.2.c) Finanziamenti da Stato per investimenti - altro</t>
  </si>
  <si>
    <t xml:space="preserve">            A.II.3) Finanziamenti da Regione per investimenti</t>
  </si>
  <si>
    <t xml:space="preserve">            A.II.4) Finanziamenti da altri soggetti pubblici per investimenti</t>
  </si>
  <si>
    <t xml:space="preserve">            A.II.5) Finanziamenti per investimenti da rettifica contributi in conto esercizio</t>
  </si>
  <si>
    <t xml:space="preserve">     A.III) RISERVE DA DONAZIONI E LASCITI VINCOLATI AD INVESTIMENTI</t>
  </si>
  <si>
    <t>PAA110</t>
  </si>
  <si>
    <t xml:space="preserve">     A.IV) ALTRE RISERVE</t>
  </si>
  <si>
    <t xml:space="preserve">            A.IV.1) Riserve da rivalutazioni</t>
  </si>
  <si>
    <t xml:space="preserve">            A.IV.2) Riserve da plusvalenze da reinvestire</t>
  </si>
  <si>
    <t xml:space="preserve">            A.IV.3) Contributi da reinvestire</t>
  </si>
  <si>
    <t xml:space="preserve">            A.IV.4) Riserve da utili di esercizio destinati ad investimenti</t>
  </si>
  <si>
    <t xml:space="preserve">            A.IV.5) Riserve diverse</t>
  </si>
  <si>
    <t>PAA170</t>
  </si>
  <si>
    <t xml:space="preserve">     A.V) CONTRIBUTI PER RIPIANO PERDITE</t>
  </si>
  <si>
    <t xml:space="preserve">            A.V.1) Contributi per copertura debiti al 31/12/2005</t>
  </si>
  <si>
    <t xml:space="preserve">            A.V.2) Contributi per ricostituzione risorse da investimenti esercizi precedenti</t>
  </si>
  <si>
    <t xml:space="preserve">            A.V.3) Altro</t>
  </si>
  <si>
    <t xml:space="preserve">     A.VI) UTILI (PERDITE) PORTATI A NUOVO</t>
  </si>
  <si>
    <t xml:space="preserve">     A.VII) UTILE (PERDITA) D'ESERCIZIO</t>
  </si>
  <si>
    <t>PBZ999</t>
  </si>
  <si>
    <t xml:space="preserve">     B.I)  FONDI PER IMPOSTE, ANCHE DIFFERITE</t>
  </si>
  <si>
    <t>PBA010</t>
  </si>
  <si>
    <t xml:space="preserve">     B.II)  FONDI PER RISCHI</t>
  </si>
  <si>
    <t xml:space="preserve">           B.II.1) Fondo rischi per cause civili ed oneri processuali</t>
  </si>
  <si>
    <t xml:space="preserve">           B.II.2) Fondo rischi per contenzioso personale dipendente</t>
  </si>
  <si>
    <t xml:space="preserve">           B.II.3) Fondo rischi connessi all'acquisto di prestazioni sanitarie da privato</t>
  </si>
  <si>
    <t xml:space="preserve">           B.II.4) Fondo rischi per copertura diretta dei rischi (autoassicurazione)</t>
  </si>
  <si>
    <t xml:space="preserve">           B.II.5) Fondo rischi per franchigia assicurativa</t>
  </si>
  <si>
    <t xml:space="preserve">           B.II.6) Fondo rischi per interessi di mora</t>
  </si>
  <si>
    <t xml:space="preserve">           B.II.7) Altri fondi rischi</t>
  </si>
  <si>
    <t>PBA070</t>
  </si>
  <si>
    <t xml:space="preserve">     B.III) FONDI DA DISTRIBUIRE</t>
  </si>
  <si>
    <t xml:space="preserve">           B.III.1) FSR indistinto da distribuire</t>
  </si>
  <si>
    <t xml:space="preserve">           B.III.2) FSR vincolato da distribuire</t>
  </si>
  <si>
    <t xml:space="preserve">           B.III.3) Fondo per ripiano disavanzi pregressi</t>
  </si>
  <si>
    <t xml:space="preserve">           B.III.4) Fondo finanziamento sanitario aggiuntivo corrente LEA</t>
  </si>
  <si>
    <t xml:space="preserve">           B.III.5) Fondo finanziamento sanitario aggiuntivo corrente extra LEA</t>
  </si>
  <si>
    <t xml:space="preserve">           B.III.6) Fondo finanziamento per ricerca</t>
  </si>
  <si>
    <t xml:space="preserve">           B.III.7) Fondo finanziamento per investimenti</t>
  </si>
  <si>
    <t xml:space="preserve">          B.III.8) Fondo finanziamento sanitario aggiuntivo corrente (extra fondo) - 
                       Risorse aggiuntive da bilancio regionale a titolo di copertura extra LEA</t>
  </si>
  <si>
    <t>PBA150</t>
  </si>
  <si>
    <t xml:space="preserve">     B.IV) QUOTE INUTILIZZATE CONTRIBUTI</t>
  </si>
  <si>
    <t xml:space="preserve">           B.IV.1) Quote inutilizzate contributi da Regione o Prov. Aut. per quota F.S. indistinto finalizzato</t>
  </si>
  <si>
    <t xml:space="preserve">           B.IV.2) Quote inutilizzate contributi da Regione o Prov. Aut. per quota F.S. vincolato</t>
  </si>
  <si>
    <t xml:space="preserve">           B.IV.3) Quote inutilizzate contributi vincolati da soggetti pubblici (extra fondo)</t>
  </si>
  <si>
    <t xml:space="preserve">           B.IV.4) Quote inutilizzate contributi per ricerca</t>
  </si>
  <si>
    <t xml:space="preserve">           B.IV.5) Quote inutilizzate contributi vincolati da privati</t>
  </si>
  <si>
    <t>PBA200</t>
  </si>
  <si>
    <t xml:space="preserve">     B.V)  ALTRI FONDI PER ONERI E SPESE</t>
  </si>
  <si>
    <t xml:space="preserve">           B.V.1) Fondi integrativi pensione</t>
  </si>
  <si>
    <t>PBA220</t>
  </si>
  <si>
    <t xml:space="preserve">           B.V.2) Fondi rinnovi contrattuali</t>
  </si>
  <si>
    <t xml:space="preserve">                       B.V.2.a) Fondo rinnovi contrattuali personale dipendente </t>
  </si>
  <si>
    <t xml:space="preserve">                       B.V.2.b) Fondo rinnovi convenzioni MMG/PLS/MCA</t>
  </si>
  <si>
    <t xml:space="preserve">                       B.V.2.c) Fondo rinnovi convenzioni medici Sumai</t>
  </si>
  <si>
    <t xml:space="preserve">           B.V.3) Altri fondi per oneri e spese</t>
  </si>
  <si>
    <t xml:space="preserve">          B.V.4) Altri Fondi incentivi funzioni tecniche Art. 113 D.Lgs 50/2016</t>
  </si>
  <si>
    <t>PCZ999</t>
  </si>
  <si>
    <t xml:space="preserve">     C.I)  FONDO PER PREMI OPEROSITA' MEDICI SUMAI</t>
  </si>
  <si>
    <t xml:space="preserve">     C.II)  FONDO PER TRATTAMENTO DI FINE RAPPORTO DIPENDENTI</t>
  </si>
  <si>
    <t xml:space="preserve">     C.III) FONDO PER TRATTAMENTI DI QUIESCENZA E SIMILI</t>
  </si>
  <si>
    <t>PDZ999</t>
  </si>
  <si>
    <t xml:space="preserve">     D.I) DEBITI PER MUTUI PASSIVI</t>
  </si>
  <si>
    <t>PDA010</t>
  </si>
  <si>
    <t xml:space="preserve">     D.II) DEBITI V/STATO</t>
  </si>
  <si>
    <t xml:space="preserve">           D.II.1) Debiti v/Stato per mobilità passiva extraregionale</t>
  </si>
  <si>
    <t xml:space="preserve">           D.II.2) Debiti v/Stato per mobilità passiva internazionale</t>
  </si>
  <si>
    <t xml:space="preserve">           D.II.3) Acconto quota FSR v/Stato</t>
  </si>
  <si>
    <t xml:space="preserve">           D.II.4) Debiti v/Stato per restituzione finanziamenti - per ricerca</t>
  </si>
  <si>
    <t xml:space="preserve">           D.II.5) Altri debiti v/Stato</t>
  </si>
  <si>
    <t>PDA070</t>
  </si>
  <si>
    <t xml:space="preserve">     D.III) DEBITI V/REGIONE O PROVINCIA AUTONOMA</t>
  </si>
  <si>
    <t xml:space="preserve">           D.III.1) Debiti v/Regione o Provincia Autonoma per finanziamenti</t>
  </si>
  <si>
    <t xml:space="preserve">           D.III.2) Debiti v/Regione o Provincia Autonoma per finanziamenti</t>
  </si>
  <si>
    <t xml:space="preserve">           D.III.3) Debiti v/Regione o Provincia Autonoma per mobilità passiva intraregionale</t>
  </si>
  <si>
    <t xml:space="preserve">           D.III.4) Debiti v/Regione o Provincia Autonoma per mobilità passiva extraregionale</t>
  </si>
  <si>
    <t xml:space="preserve">           D.III.5) Debiti v/Regione o Provincia Autonoma per mobilità passiva internazionale</t>
  </si>
  <si>
    <t xml:space="preserve">           D.III.6) Acconto quota FSR da Regione o Provincia Autonoma</t>
  </si>
  <si>
    <t xml:space="preserve">           D.III.7) Acconto da Regione o Provincia Autonoma per anticipazione ripiano disavanzo 
                     programmato dai Piani aziendali di cui all'art. 1, comma 528, L. 208/2015</t>
  </si>
  <si>
    <t xml:space="preserve">           D.III.8) Debiti v/Regione o Provincia Autonoma per contributi L. 210/92 </t>
  </si>
  <si>
    <t xml:space="preserve">           D.III.9) Altri debiti v/Regione o Provincia Autonoma</t>
  </si>
  <si>
    <t xml:space="preserve">          D.III.10) Altri debiti v/Regione o Provincia Autonoma</t>
  </si>
  <si>
    <t xml:space="preserve">     D.IV) DEBITI V/COMUNI</t>
  </si>
  <si>
    <t>PDA140</t>
  </si>
  <si>
    <t xml:space="preserve">     D.V) DEBITI V/AZIENDE SANITARIE PUBBLICHE</t>
  </si>
  <si>
    <t>PDA150</t>
  </si>
  <si>
    <t xml:space="preserve">           D.V.1) Debiti v/Aziende sanitarie pubbliche della Regione</t>
  </si>
  <si>
    <t xml:space="preserve">                       D.V.1.a) Debiti v/Aziende sanitarie pubbliche della Regione - per quota FSR</t>
  </si>
  <si>
    <t xml:space="preserve">                       D.V.1.b) Debiti v/Aziende sanitarie pubbliche della Regione - per finanziamento sanitario
                       aggiuntivo corrente LEA</t>
  </si>
  <si>
    <t xml:space="preserve">                       D.V.1.c) Debiti v/Aziende sanitarie pubbliche della Regione - per finanziamento sanitario
                       aggiuntivo corrente extra LEA</t>
  </si>
  <si>
    <t xml:space="preserve">                       D.V.1.d) Debiti v/Aziende sanitarie pubbliche della Regione - per mobilità in compensazione</t>
  </si>
  <si>
    <t xml:space="preserve">                       D.V.1.e) Debiti v/Aziende sanitarie pubbliche della Regione - per mobilità non in compensazione</t>
  </si>
  <si>
    <t xml:space="preserve">                       D.V.1.f) Debiti v/Aziende sanitarie pubbliche della Regione - per altre prestazioni</t>
  </si>
  <si>
    <t xml:space="preserve">                       D.V.1.g) Debiti v/Aziende sanitarie pubbliche della Regione - altre prestazioni per STP</t>
  </si>
  <si>
    <t xml:space="preserve">                      D.V.1.h) Debiti v/Aziende sanitarie pubbliche della Regione - per Contributi da Aziende sanitarie
                                  pubbliche della Regione o Prov. Aut. (extra fondo) </t>
  </si>
  <si>
    <t xml:space="preserve">                      D.V.1.i) Debiti v/Aziende sanitarie pubbliche della Regione - per contributi L. 210/92 </t>
  </si>
  <si>
    <t xml:space="preserve">           D.V.2) Debiti v/Aziende sanitarie pubbliche Extraregione </t>
  </si>
  <si>
    <t xml:space="preserve">           D.V.3) Debiti v/Aziende sanitarie pubbliche della Regione per versamenti c/patrimonio netto</t>
  </si>
  <si>
    <t xml:space="preserve">                      D.V.3.a) Debiti v/Aziende sanitarie pubbliche della Regione per versamenti c/patrimonio netto -
                                   finanziamenti per investimenti</t>
  </si>
  <si>
    <t xml:space="preserve">                     D.V.3.b) Debiti v/Aziende sanitarie pubbliche della Regione per versamenti c/patrimonio 
                                 netto - incremento fondo dotazione</t>
  </si>
  <si>
    <t xml:space="preserve">                     D.V.3.c) Debiti v/Aziende sanitarie pubbliche della Regione per versamenti c/patrimonio 
                                 netto - ripiano perdite</t>
  </si>
  <si>
    <t xml:space="preserve">                     D.V.3.d) Debiti v/Aziende sanitarie pubbliche della Regione per anticipazione ripiano disavanzo
                                programmato dai Piani aziendali di cui all'art. 1, comma 528, L. 208/2015</t>
  </si>
  <si>
    <t xml:space="preserve">                    D.V.3.e) Debiti v/Aziende sanitarie pubbliche della Regione per versamenti c/patrimonio netto - altro</t>
  </si>
  <si>
    <t>PDA240</t>
  </si>
  <si>
    <t xml:space="preserve">     D.VI) DEBITI V/ SOCIETA' PARTECIPATE E/O ENTI DIPENDENTI DELLA REGIONE</t>
  </si>
  <si>
    <t xml:space="preserve">            D.VI.1) Debiti v/enti regionali</t>
  </si>
  <si>
    <t xml:space="preserve">            D.VI.2) Debiti v/sperimentazioni gestionali</t>
  </si>
  <si>
    <t xml:space="preserve">            D.VI.3) Debiti v/altre partecipate</t>
  </si>
  <si>
    <t>PDA280</t>
  </si>
  <si>
    <t xml:space="preserve">     D.VII) DEBITI V/FORNITORI</t>
  </si>
  <si>
    <t xml:space="preserve">            D.VII.1) Debiti verso erogatori (privati accreditati e convenzionati) di prestazioni sanitarie </t>
  </si>
  <si>
    <t xml:space="preserve">                 D.VII.1.a) Debiti verso erogatori (privati accreditati e convenzionati) di prestazioni sanitarie </t>
  </si>
  <si>
    <t xml:space="preserve">                    D.VII.1.b) Note di credito da ricevere (privati accreditati e convenzionati)</t>
  </si>
  <si>
    <t xml:space="preserve">            D.VII.2) Debiti verso altri fornitori</t>
  </si>
  <si>
    <t xml:space="preserve">                    D.VII.2.a) Debiti verso altri fornitori</t>
  </si>
  <si>
    <t xml:space="preserve">                    D.VII.2.b) note di credito da ricevere (altri fornitori)</t>
  </si>
  <si>
    <t xml:space="preserve">     D.VIII) DEBITI V/ISTITUTO TESORIERE</t>
  </si>
  <si>
    <t xml:space="preserve">     D.IX) DEBITI TRIBUTARI</t>
  </si>
  <si>
    <t xml:space="preserve">     D.X) DEBITI V/ISTITUTI PREVIDENZIALI, ASSISTENZIALI E SICUREZZA SOCIALE</t>
  </si>
  <si>
    <t>PDA340</t>
  </si>
  <si>
    <t xml:space="preserve">     D.XI)  DEBITI V/ALTRI</t>
  </si>
  <si>
    <t xml:space="preserve">           D.XI.1) Debiti v/altri finanziatori</t>
  </si>
  <si>
    <t xml:space="preserve">           D.XI.2) Debiti v/dipendenti</t>
  </si>
  <si>
    <t xml:space="preserve">           D.XI.3) Debiti v/gestioni liquidatorie</t>
  </si>
  <si>
    <t xml:space="preserve">           D.XI.4) Altri debiti diversi</t>
  </si>
  <si>
    <t>PEZ999</t>
  </si>
  <si>
    <t>PEA000</t>
  </si>
  <si>
    <t xml:space="preserve">     E.I) RATEI PASSIVI</t>
  </si>
  <si>
    <t xml:space="preserve">            E.I.1) Ratei passivi</t>
  </si>
  <si>
    <t xml:space="preserve">            E.I.2) Ratei passivi v/Aziende sanitarie pubbliche della Regione</t>
  </si>
  <si>
    <t>PEA030</t>
  </si>
  <si>
    <t xml:space="preserve">     E.II) RISCONTI PASSIVI</t>
  </si>
  <si>
    <t xml:space="preserve">           E.II.1) Risconti passivi</t>
  </si>
  <si>
    <t xml:space="preserve">           E.II.2) Risconti passivi v/Aziende sanitarie pubbliche della Regione</t>
  </si>
  <si>
    <t xml:space="preserve">          E.II.3) Risconti passivi - in attuazione dell’art.79, comma 1 sexies lettera c), del D.L. 112/2008, 
                   convertito con legge 133/2008 e della legge 23 dicembre 2009 n. 191.</t>
  </si>
  <si>
    <t>PZZ999</t>
  </si>
  <si>
    <t>F) TOTALE PASSIVO E PATRIMONIO NETTO</t>
  </si>
  <si>
    <t>PFZ999</t>
  </si>
  <si>
    <t>G)  CONTI D'ORDINE</t>
  </si>
  <si>
    <t xml:space="preserve">     G.I) CANONI DI LEASING ANCORA DA PAGARE</t>
  </si>
  <si>
    <t xml:space="preserve">     G.II) DEPOSITI CAUZIONALI</t>
  </si>
  <si>
    <t xml:space="preserve">     G.III) BENI IN COMODATO</t>
  </si>
  <si>
    <t xml:space="preserve">     G.IV) CANONI DI PROJECT FINANCING ANCORA DA PAGARE</t>
  </si>
  <si>
    <t xml:space="preserve">     G.V) ALTRI CONTI D'ORDINE</t>
  </si>
  <si>
    <t>Dettaglio debiti (PDZ999) per anno di formazione</t>
  </si>
  <si>
    <t>IMPORTO ANTE 31/12/2005</t>
  </si>
  <si>
    <t>IMPORTO POST 31/12/2005</t>
  </si>
  <si>
    <t xml:space="preserve">DEBITI COMMERCIALI </t>
  </si>
  <si>
    <t xml:space="preserve">DEBITI NON COMMERCIALI </t>
  </si>
  <si>
    <t>TOTALE .</t>
  </si>
  <si>
    <t>(PDZ999)</t>
  </si>
  <si>
    <t>F.to Il Direttore Generale ai sensi D.Lgs. 39/93 ………………………………………………</t>
  </si>
  <si>
    <t>F.to Il Responsabile Economico Finanziario ai sensi D.Lgs. 39/93……………………….</t>
  </si>
  <si>
    <t>VERSIONE</t>
  </si>
  <si>
    <t>VERSIONI</t>
  </si>
  <si>
    <t>V2</t>
  </si>
  <si>
    <t>V3</t>
  </si>
  <si>
    <t>V4</t>
  </si>
  <si>
    <t>V5</t>
  </si>
  <si>
    <t>V6</t>
  </si>
  <si>
    <t>V7</t>
  </si>
  <si>
    <t>V8</t>
  </si>
  <si>
    <t>V9</t>
  </si>
  <si>
    <t>ENTE_ID</t>
  </si>
  <si>
    <t>ENTE_DESC</t>
  </si>
  <si>
    <t>PERIODO_DESC</t>
  </si>
  <si>
    <t>PERIODO_VERSIONE</t>
  </si>
  <si>
    <t>DT_GENERAZIONE</t>
  </si>
  <si>
    <t>VERSIONE_MODELLO</t>
  </si>
  <si>
    <t>2020</t>
  </si>
  <si>
    <t>Consuntivo</t>
  </si>
  <si>
    <t>CONS.V1</t>
  </si>
  <si>
    <t>25/05/2021  8:42:46</t>
  </si>
  <si>
    <t>VD2</t>
  </si>
  <si>
    <t>VALORE_PREC</t>
  </si>
  <si>
    <t>CODCOGE</t>
  </si>
  <si>
    <t>NI</t>
  </si>
  <si>
    <t>VAR1</t>
  </si>
  <si>
    <t>VAR2</t>
  </si>
  <si>
    <t>SAN1.10.10.10.010.000.00.000</t>
  </si>
  <si>
    <t>SAN1.10.10.10.010.010.00.000</t>
  </si>
  <si>
    <t>SAN1.10.10.10.010.012.00.000</t>
  </si>
  <si>
    <t>SAN1.10.10.10.020.000.00.000</t>
  </si>
  <si>
    <t>SAN1.10.10.10.020.010.00.000</t>
  </si>
  <si>
    <t>SAN1.10.10.10.020.012.00.000</t>
  </si>
  <si>
    <t>SAN1.10.10.20.010.000.00.000</t>
  </si>
  <si>
    <t>SAN1.10.10.20.010.010.00.000</t>
  </si>
  <si>
    <t>SAN1.10.10.20.010.012.00.000</t>
  </si>
  <si>
    <t>SAN1.10.10.20.020.000.00.000</t>
  </si>
  <si>
    <t>SAN1.10.10.20.020.010.00.000</t>
  </si>
  <si>
    <t>SAN1.10.10.20.020.012.00.000</t>
  </si>
  <si>
    <t>SAN1.10.10.30.010.000.00.000</t>
  </si>
  <si>
    <t>SAN1.10.10.30.010.010.00.000</t>
  </si>
  <si>
    <t>SAN1.10.10.30.010.012.00.000</t>
  </si>
  <si>
    <t>SAN1.10.10.30.010.020.00.000</t>
  </si>
  <si>
    <t>SAN1.10.10.30.010.022.00.000</t>
  </si>
  <si>
    <t>SAN1.10.10.30.020.000.00.000</t>
  </si>
  <si>
    <t>SAN1.10.10.30.020.010.00.000</t>
  </si>
  <si>
    <t>SAN1.10.10.30.020.012.00.000</t>
  </si>
  <si>
    <t>SAN1.10.10.30.020.020.00.000</t>
  </si>
  <si>
    <t>SAN1.10.10.30.020.022.00.000</t>
  </si>
  <si>
    <t>SAN1.10.10.30.030.000.00.000</t>
  </si>
  <si>
    <t>SAN1.10.10.30.030.010.00.000</t>
  </si>
  <si>
    <t>SAN1.10.10.30.030.012.00.000</t>
  </si>
  <si>
    <t>SAN1.10.10.30.030.020.00.000</t>
  </si>
  <si>
    <t>SAN1.10.10.30.030.022.00.000</t>
  </si>
  <si>
    <t>SAN1.10.10.30.040.000.00.000</t>
  </si>
  <si>
    <t>SAN1.10.10.30.040.010.00.000</t>
  </si>
  <si>
    <t>SAN1.10.10.30.040.012.00.000</t>
  </si>
  <si>
    <t>SAN1.10.10.30.040.020.00.000</t>
  </si>
  <si>
    <t>SAN1.10.10.30.040.022.00.000</t>
  </si>
  <si>
    <t>SAN1.10.10.40.000.000.00.000</t>
  </si>
  <si>
    <t>SAN1.10.10.40.010.000.00.000</t>
  </si>
  <si>
    <t>SAN1.10.10.40.020.000.00.000</t>
  </si>
  <si>
    <t>SAN1.10.10.50.010.000.00.000</t>
  </si>
  <si>
    <t>SAN1.10.10.50.010.010.00.000</t>
  </si>
  <si>
    <t>SAN1.10.10.50.010.012.00.000</t>
  </si>
  <si>
    <t>SAN1.10.10.50.010.020.00.000</t>
  </si>
  <si>
    <t>SAN1.10.10.50.010.022.00.000</t>
  </si>
  <si>
    <t>SAN1.10.10.50.010.030.00.000</t>
  </si>
  <si>
    <t>SAN1.10.10.50.010.032.00.000</t>
  </si>
  <si>
    <t>SAN1.10.10.50.010.035.00.000</t>
  </si>
  <si>
    <t>SAN1.10.10.50.010.037.00.000</t>
  </si>
  <si>
    <t>SAN1.10.10.50.020.000.00.000</t>
  </si>
  <si>
    <t>SAN1.10.10.50.020.010.00.000</t>
  </si>
  <si>
    <t>SAN1.10.10.50.020.012.00.000</t>
  </si>
  <si>
    <t>SAN1.10.10.50.020.020.00.000</t>
  </si>
  <si>
    <t>SAN1.10.10.50.020.022.00.000</t>
  </si>
  <si>
    <t>SAN1.10.10.50.020.030.00.000</t>
  </si>
  <si>
    <t>SAN1.10.10.50.020.032.00.000</t>
  </si>
  <si>
    <t>SAN1.10.10.50.030.000.00.000</t>
  </si>
  <si>
    <t>SAN1.10.10.50.030.010.00.000</t>
  </si>
  <si>
    <t>SAN1.10.10.50.030.012.00.000</t>
  </si>
  <si>
    <t>SAN1.10.10.50.040.000.00.000</t>
  </si>
  <si>
    <t>SAN1.10.10.50.040.010.00.000</t>
  </si>
  <si>
    <t>SAN1.10.10.50.040.012.00.000</t>
  </si>
  <si>
    <t>SAN1.10.10.50.050.000.00.000</t>
  </si>
  <si>
    <t>SAN1.10.10.50.050.010.00.000</t>
  </si>
  <si>
    <t>SAN1.10.10.50.050.012.00.000</t>
  </si>
  <si>
    <t>SAN1.10.10.50.060.000.00.000</t>
  </si>
  <si>
    <t>SAN1.10.10.50.060.010.00.000</t>
  </si>
  <si>
    <t>SAN1.10.10.50.060.012.00.000</t>
  </si>
  <si>
    <t>SAN1.10.10.50.070.000.00.000</t>
  </si>
  <si>
    <t>SAN1.10.10.50.070.010.00.000</t>
  </si>
  <si>
    <t>SAN1.10.10.50.070.012.00.000</t>
  </si>
  <si>
    <t>SAN1.10.10.50.070.020.00.000</t>
  </si>
  <si>
    <t>SAN1.10.10.50.070.022.00.000</t>
  </si>
  <si>
    <t>SAN1.10.10.50.080.000.00.000</t>
  </si>
  <si>
    <t>SAN1.10.10.50.080.010.00.000</t>
  </si>
  <si>
    <t>SAN1.10.10.50.080.012.00.000</t>
  </si>
  <si>
    <t>SAN1.10.10.50.080.020.00.000</t>
  </si>
  <si>
    <t>SAN1.10.10.50.080.022.00.000</t>
  </si>
  <si>
    <t>SAN1.10.10.60.000.000.00.000</t>
  </si>
  <si>
    <t>SAN1.10.10.60.010.000.00.000</t>
  </si>
  <si>
    <t>SAN1.10.10.60.010.010.00.000</t>
  </si>
  <si>
    <t>SAN1.10.10.60.010.012.00.000</t>
  </si>
  <si>
    <t>SAN1.10.10.60.020.000.00.000</t>
  </si>
  <si>
    <t>SAN1.10.10.60.020.010.00.000</t>
  </si>
  <si>
    <t>SAN1.10.10.60.020.012.00.000</t>
  </si>
  <si>
    <t>SAN1.10.10.60.030.000.00.000</t>
  </si>
  <si>
    <t>SAN1.10.10.60.030.010.00.000</t>
  </si>
  <si>
    <t>SAN1.10.10.60.030.012.00.000</t>
  </si>
  <si>
    <t>SAN1.10.10.60.040.000.00.000</t>
  </si>
  <si>
    <t>SAN1.10.10.60.040.010.00.000</t>
  </si>
  <si>
    <t>SAN1.10.10.60.040.012.00.000</t>
  </si>
  <si>
    <t>SAN1.10.20.10.000.000.00.000</t>
  </si>
  <si>
    <t>SAN1.10.20.10.010.000.00.000</t>
  </si>
  <si>
    <t>SAN1.10.20.10.010.010.00.000</t>
  </si>
  <si>
    <t>SAN1.10.20.10.010.012.00.000</t>
  </si>
  <si>
    <t>SAN1.10.20.10.010.020.00.000</t>
  </si>
  <si>
    <t>SAN1.10.20.10.010.022.00.000</t>
  </si>
  <si>
    <t>SAN1.10.20.10.010.030.00.000</t>
  </si>
  <si>
    <t>SAN1.10.20.10.010.032.00.000</t>
  </si>
  <si>
    <t>SAN1.10.20.10.020.000.00.000</t>
  </si>
  <si>
    <t>SAN1.10.20.10.020.010.00.000</t>
  </si>
  <si>
    <t>SAN1.10.20.10.020.012.00.000</t>
  </si>
  <si>
    <t>SAN1.10.20.10.020.020.00.000</t>
  </si>
  <si>
    <t>SAN1.10.20.10.020.022.00.000</t>
  </si>
  <si>
    <t>SAN1.10.20.10.020.030.00.000</t>
  </si>
  <si>
    <t>SAN1.10.20.10.020.032.00.000</t>
  </si>
  <si>
    <t>SAN1.10.20.20.010.010.00.000</t>
  </si>
  <si>
    <t>SAN1.10.20.20.010.010.10.000</t>
  </si>
  <si>
    <t>SAN1.10.20.20.010.010.12.000</t>
  </si>
  <si>
    <t>SAN1.10.20.20.010.010.20.000</t>
  </si>
  <si>
    <t>SAN1.10.20.20.010.010.22.000</t>
  </si>
  <si>
    <t>SAN1.10.20.20.010.020.00.000</t>
  </si>
  <si>
    <t>SAN1.10.20.20.010.020.10.000</t>
  </si>
  <si>
    <t>SAN1.10.20.20.010.020.12.000</t>
  </si>
  <si>
    <t>SAN1.10.20.20.010.020.20.000</t>
  </si>
  <si>
    <t>SAN1.10.20.20.010.020.22.000</t>
  </si>
  <si>
    <t>SAN1.10.20.20.020.010.00.000</t>
  </si>
  <si>
    <t>SAN1.10.20.20.020.010.10.000</t>
  </si>
  <si>
    <t>SAN1.10.20.20.020.010.12.000</t>
  </si>
  <si>
    <t>SAN1.10.20.20.020.010.20.000</t>
  </si>
  <si>
    <t>SAN1.10.20.20.020.010.22.000</t>
  </si>
  <si>
    <t>SAN1.10.20.20.020.020.00.000</t>
  </si>
  <si>
    <t>SAN1.10.20.20.020.020.10.000</t>
  </si>
  <si>
    <t>SAN1.10.20.20.020.020.12.000</t>
  </si>
  <si>
    <t>SAN1.10.20.20.020.020.20.000</t>
  </si>
  <si>
    <t>SAN1.10.20.20.020.020.22.000</t>
  </si>
  <si>
    <t>SAN1.10.20.30.010.000.00.000</t>
  </si>
  <si>
    <t>SAN1.10.20.30.010.010.00.000</t>
  </si>
  <si>
    <t>SAN1.10.20.30.010.012.00.000</t>
  </si>
  <si>
    <t>SAN1.10.20.30.010.020.00.000</t>
  </si>
  <si>
    <t>SAN1.10.20.30.010.022.00.000</t>
  </si>
  <si>
    <t>SAN1.10.20.30.010.030.00.000</t>
  </si>
  <si>
    <t>SAN1.10.20.30.010.032.00.000</t>
  </si>
  <si>
    <t>SAN1.10.20.30.010.040.00.000</t>
  </si>
  <si>
    <t>SAN1.10.20.30.010.042.00.000</t>
  </si>
  <si>
    <t>SAN1.10.20.30.010.050.00.000</t>
  </si>
  <si>
    <t>SAN1.10.20.30.010.052.00.000</t>
  </si>
  <si>
    <t>SAN1.10.20.30.010.060.00.000</t>
  </si>
  <si>
    <t>SAN1.10.20.30.010.062.00.000</t>
  </si>
  <si>
    <t>SAN1.10.20.30.010.070.00.000</t>
  </si>
  <si>
    <t>SAN1.10.20.30.010.072.00.000</t>
  </si>
  <si>
    <t>SAN1.10.20.30.020.000.00.000</t>
  </si>
  <si>
    <t>SAN1.10.20.30.020.010.00.000</t>
  </si>
  <si>
    <t>SAN1.10.20.30.020.012.00.000</t>
  </si>
  <si>
    <t>SAN1.10.20.30.020.020.00.000</t>
  </si>
  <si>
    <t>SAN1.10.20.30.020.022.00.000</t>
  </si>
  <si>
    <t>SAN1.10.20.30.020.030.00.000</t>
  </si>
  <si>
    <t>SAN1.10.20.30.020.032.00.000</t>
  </si>
  <si>
    <t>SAN1.10.20.30.020.040.00.000</t>
  </si>
  <si>
    <t>SAN1.10.20.30.020.042.00.000</t>
  </si>
  <si>
    <t>SAN1.10.20.30.020.050.00.000</t>
  </si>
  <si>
    <t>SAN1.10.20.30.020.052.00.000</t>
  </si>
  <si>
    <t>SAN1.10.20.30.020.060.00.000</t>
  </si>
  <si>
    <t>SAN1.10.20.30.020.062.00.000</t>
  </si>
  <si>
    <t>SAN1.10.20.30.020.070.00.000</t>
  </si>
  <si>
    <t>SAN1.10.20.30.020.072.00.000</t>
  </si>
  <si>
    <t>SAN1.10.20.40.010.000.00.000</t>
  </si>
  <si>
    <t>SAN1.10.20.40.010.010.00.000</t>
  </si>
  <si>
    <t>SAN1.10.20.40.010.012.00.000</t>
  </si>
  <si>
    <t>SAN1.10.20.40.010.020.00.000</t>
  </si>
  <si>
    <t>SAN1.10.20.40.010.022.00.000</t>
  </si>
  <si>
    <t>SAN1.10.20.40.010.080.00.000</t>
  </si>
  <si>
    <t>SAN1.10.20.40.010.082.00.000</t>
  </si>
  <si>
    <t>SAN1.10.20.40.020.000.00.000</t>
  </si>
  <si>
    <t>SAN1.10.20.40.020.010.00.000</t>
  </si>
  <si>
    <t>SAN1.10.20.40.020.012.00.000</t>
  </si>
  <si>
    <t>SAN1.10.20.40.020.020.00.000</t>
  </si>
  <si>
    <t>SAN1.10.20.40.020.022.00.000</t>
  </si>
  <si>
    <t>SAN1.10.20.40.020.080.00.000</t>
  </si>
  <si>
    <t>SAN1.10.20.40.020.082.00.000</t>
  </si>
  <si>
    <t>SAN1.10.20.50.010.000.00.000</t>
  </si>
  <si>
    <t>SAN1.10.20.50.010.010.00.000</t>
  </si>
  <si>
    <t>SAN1.10.20.50.010.012.00.000</t>
  </si>
  <si>
    <t>SAN1.10.20.50.010.020.00.000</t>
  </si>
  <si>
    <t>SAN1.10.20.50.010.022.00.000</t>
  </si>
  <si>
    <t>SAN1.10.20.50.010.030.00.000</t>
  </si>
  <si>
    <t>SAN1.10.20.50.010.032.00.000</t>
  </si>
  <si>
    <t>SAN1.10.20.50.010.050.00.000</t>
  </si>
  <si>
    <t>SAN1.10.20.50.010.052.00.000</t>
  </si>
  <si>
    <t>SAN1.10.20.50.020.000.00.000</t>
  </si>
  <si>
    <t>SAN1.10.20.50.020.010.00.000</t>
  </si>
  <si>
    <t>SAN1.10.20.50.020.012.00.000</t>
  </si>
  <si>
    <t>SAN1.10.20.50.020.020.00.000</t>
  </si>
  <si>
    <t>SAN1.10.20.50.020.022.00.000</t>
  </si>
  <si>
    <t>SAN1.10.20.50.020.030.00.000</t>
  </si>
  <si>
    <t>SAN1.10.20.50.020.032.00.000</t>
  </si>
  <si>
    <t>SAN1.10.20.50.020.050.00.000</t>
  </si>
  <si>
    <t>SAN1.10.20.50.020.052.00.000</t>
  </si>
  <si>
    <t>SAN1.10.20.60.010.000.00.000</t>
  </si>
  <si>
    <t>SAN1.10.20.60.010.010.00.000</t>
  </si>
  <si>
    <t>SAN1.10.20.60.010.012.00.000</t>
  </si>
  <si>
    <t>SAN1.10.20.60.010.020.00.000</t>
  </si>
  <si>
    <t>SAN1.10.20.60.010.022.00.000</t>
  </si>
  <si>
    <t>SAN1.10.20.60.010.030.00.000</t>
  </si>
  <si>
    <t>SAN1.10.20.60.010.032.00.000</t>
  </si>
  <si>
    <t>SAN1.10.20.60.010.040.00.000</t>
  </si>
  <si>
    <t>SAN1.10.20.60.010.042.00.000</t>
  </si>
  <si>
    <t>SAN1.10.20.60.010.050.00.000</t>
  </si>
  <si>
    <t>SAN1.10.20.60.010.052.00.000</t>
  </si>
  <si>
    <t>SAN1.10.20.60.020.000.00.000</t>
  </si>
  <si>
    <t>SAN1.10.20.60.020.010.00.000</t>
  </si>
  <si>
    <t>SAN1.10.20.60.020.012.00.000</t>
  </si>
  <si>
    <t>SAN1.10.20.60.020.020.00.000</t>
  </si>
  <si>
    <t>SAN1.10.20.60.020.022.00.000</t>
  </si>
  <si>
    <t>SAN1.10.20.60.020.030.00.000</t>
  </si>
  <si>
    <t>SAN1.10.20.60.020.032.00.000</t>
  </si>
  <si>
    <t>SAN1.10.20.60.020.040.00.000</t>
  </si>
  <si>
    <t>SAN1.10.20.60.020.042.00.000</t>
  </si>
  <si>
    <t>SAN1.10.20.60.020.050.00.000</t>
  </si>
  <si>
    <t>SAN1.10.20.60.020.052.00.000</t>
  </si>
  <si>
    <t>SAN1.10.20.70.000.000.00.000</t>
  </si>
  <si>
    <t>SAN1.10.20.70.010.000.00.000</t>
  </si>
  <si>
    <t>SAN1.10.20.70.010.010.00.000</t>
  </si>
  <si>
    <t>SAN1.10.20.80.010.000.00.000</t>
  </si>
  <si>
    <t>SAN1.10.20.80.010.010.00.000</t>
  </si>
  <si>
    <t>SAN1.10.20.80.010.012.00.000</t>
  </si>
  <si>
    <t>SAN1.10.20.80.010.020.00.000</t>
  </si>
  <si>
    <t>SAN1.10.20.80.010.022.00.000</t>
  </si>
  <si>
    <t>SAN1.10.20.80.010.030.00.000</t>
  </si>
  <si>
    <t>SAN1.10.20.80.010.032.00.000</t>
  </si>
  <si>
    <t>SAN1.10.20.80.010.040.00.000</t>
  </si>
  <si>
    <t>SAN1.10.20.80.010.042.00.000</t>
  </si>
  <si>
    <t>SAN1.10.20.80.010.050.00.000</t>
  </si>
  <si>
    <t>SAN1.10.20.80.010.052.00.000</t>
  </si>
  <si>
    <t>SAN1.10.20.80.010.060.00.000</t>
  </si>
  <si>
    <t>SAN1.10.20.80.010.062.00.000</t>
  </si>
  <si>
    <t>SAN1.10.20.80.020.000.00.000</t>
  </si>
  <si>
    <t>SAN1.10.20.80.020.010.00.000</t>
  </si>
  <si>
    <t>SAN1.10.20.80.020.012.00.000</t>
  </si>
  <si>
    <t>SAN1.10.20.80.020.020.00.000</t>
  </si>
  <si>
    <t>SAN1.10.20.80.020.022.00.000</t>
  </si>
  <si>
    <t>SAN1.10.20.80.020.030.00.000</t>
  </si>
  <si>
    <t>SAN1.10.20.80.020.032.00.000</t>
  </si>
  <si>
    <t>SAN1.10.20.80.020.040.00.000</t>
  </si>
  <si>
    <t>SAN1.10.20.80.020.042.00.000</t>
  </si>
  <si>
    <t>SAN1.10.20.80.020.050.00.000</t>
  </si>
  <si>
    <t>SAN1.10.20.80.020.052.00.000</t>
  </si>
  <si>
    <t>SAN1.10.20.80.020.060.00.000</t>
  </si>
  <si>
    <t>SAN1.10.20.80.020.062.00.000</t>
  </si>
  <si>
    <t>SAN1.10.20.90.000.000.00.000</t>
  </si>
  <si>
    <t>SAN1.10.20.90.010.000.00.000</t>
  </si>
  <si>
    <t>SAN1.10.20.90.020.000.00.000</t>
  </si>
  <si>
    <t>SAN1.10.20.90.030.000.00.000</t>
  </si>
  <si>
    <t>SAN1.10.20.98.000.000.00.000</t>
  </si>
  <si>
    <t>SAN1.10.20.98.010.000.00.000</t>
  </si>
  <si>
    <t>SAN1.10.20.98.010.010.00.000</t>
  </si>
  <si>
    <t>SAN1.10.20.98.010.012.00.000</t>
  </si>
  <si>
    <t>SAN1.10.20.98.010.020.00.000</t>
  </si>
  <si>
    <t>SAN1.10.20.98.010.022.00.000</t>
  </si>
  <si>
    <t>SAN1.10.20.98.020.000.00.000</t>
  </si>
  <si>
    <t>SAN1.10.20.98.020.010.00.000</t>
  </si>
  <si>
    <t>SAN1.10.20.98.020.012.00.000</t>
  </si>
  <si>
    <t>SAN1.10.20.98.020.020.00.000</t>
  </si>
  <si>
    <t>SAN1.10.20.98.020.022.00.000</t>
  </si>
  <si>
    <t>SAN1.10.20.98.030.000.00.000</t>
  </si>
  <si>
    <t>SAN1.10.20.98.030.010.00.000</t>
  </si>
  <si>
    <t>SAN1.10.20.98.030.012.00.000</t>
  </si>
  <si>
    <t>SAN1.10.20.98.040.000.00.000</t>
  </si>
  <si>
    <t>SAN1.10.20.98.040.010.00.000</t>
  </si>
  <si>
    <t>SAN1.10.20.98.040.012.00.000</t>
  </si>
  <si>
    <t>SAN1.10.20.98.040.020.00.000</t>
  </si>
  <si>
    <t>SAN1.10.20.98.040.022.00.000</t>
  </si>
  <si>
    <t>SAN1.10.20.98.050.000.00.000</t>
  </si>
  <si>
    <t>SAN1.10.20.98.050.010.00.000</t>
  </si>
  <si>
    <t>SAN1.10.20.98.050.012.00.000</t>
  </si>
  <si>
    <t>SAN1.10.20.98.060.000.00.000</t>
  </si>
  <si>
    <t>SAN1.10.20.98.060.010.00.000</t>
  </si>
  <si>
    <t>SAN1.10.20.98.060.012.00.000</t>
  </si>
  <si>
    <t>SAN1.10.20.98.070.000.00.000</t>
  </si>
  <si>
    <t>SAN1.10.20.98.070.010.00.000</t>
  </si>
  <si>
    <t>SAN1.10.20.98.080.000.00.000</t>
  </si>
  <si>
    <t>SAN1.10.20.98.080.010.00.000</t>
  </si>
  <si>
    <t>SAN1.10.20.98.080.012.00.000</t>
  </si>
  <si>
    <t>SAN1.10.30.20.000.000.00.000</t>
  </si>
  <si>
    <t>SAN1.10.30.20.010.000.00.000</t>
  </si>
  <si>
    <t>SAN1.10.30.20.010.010.00.000</t>
  </si>
  <si>
    <t>SAN1.10.30.20.010.015.00.000</t>
  </si>
  <si>
    <t>SAN1.10.30.20.010.020.00.000</t>
  </si>
  <si>
    <t>SAN1.10.30.20.020.000.00.000</t>
  </si>
  <si>
    <t>SAN1.10.30.20.020.010.00.000</t>
  </si>
  <si>
    <t>SAN1.10.30.20.020.020.00.000</t>
  </si>
  <si>
    <t>SAN1.10.30.20.020.030.00.000</t>
  </si>
  <si>
    <t>SAN1.10.30.20.020.040.00.000</t>
  </si>
  <si>
    <t>SAN1.20.10.00.000.000.00.000</t>
  </si>
  <si>
    <t>SAN1.20.10.10.000.000.00.000</t>
  </si>
  <si>
    <t>SAN1.20.10.10.010.010.00.000</t>
  </si>
  <si>
    <t>SAN1.20.10.10.010.010.01.000</t>
  </si>
  <si>
    <t>SAN1.20.10.10.010.010.01.050</t>
  </si>
  <si>
    <t>SAN1.20.10.10.010.010.01.070</t>
  </si>
  <si>
    <t>SAN1.20.10.10.010.010.02.000</t>
  </si>
  <si>
    <t>SAN1.20.10.10.010.020.00.000</t>
  </si>
  <si>
    <t>SAN1.20.10.10.010.030.00.000</t>
  </si>
  <si>
    <t>SAN1.20.10.10.010.810.00.000</t>
  </si>
  <si>
    <t>SAN1.20.10.10.010.820.00.000</t>
  </si>
  <si>
    <t>SAN1.20.10.10.020.010.00.000</t>
  </si>
  <si>
    <t>SAN1.20.10.10.020.020.00.000</t>
  </si>
  <si>
    <t>SAN1.20.10.10.020.810.00.000</t>
  </si>
  <si>
    <t>SAN1.20.10.10.020.820.00.000</t>
  </si>
  <si>
    <t>SAN1.20.10.10.025.010.00.000</t>
  </si>
  <si>
    <t>SAN1.20.10.10.025.020.00.000</t>
  </si>
  <si>
    <t>SAN1.20.10.10.025.030.00.000</t>
  </si>
  <si>
    <t>SAN1.20.10.10.030.010.00.000</t>
  </si>
  <si>
    <t>SAN1.20.10.10.030.012.00.000</t>
  </si>
  <si>
    <t>SAN1.20.10.10.030.020.00.000</t>
  </si>
  <si>
    <t>SAN1.20.10.10.030.810.00.000</t>
  </si>
  <si>
    <t>SAN1.20.10.10.030.812.00.000</t>
  </si>
  <si>
    <t>SAN1.20.10.10.030.815.00.000</t>
  </si>
  <si>
    <t>SAN1.20.10.10.030.820.00.000</t>
  </si>
  <si>
    <t>SAN1.20.10.10.030.900.00.000</t>
  </si>
  <si>
    <t>SAN1.20.10.10.040.010.00.000</t>
  </si>
  <si>
    <t>SAN1.20.10.10.050.010.00.000</t>
  </si>
  <si>
    <t>SAN1.20.10.10.050.020.00.000</t>
  </si>
  <si>
    <t>SAN1.20.10.10.050.030.00.000</t>
  </si>
  <si>
    <t>SAN1.20.10.10.060.010.00.000</t>
  </si>
  <si>
    <t>SAN1.20.10.10.060.020.00.000</t>
  </si>
  <si>
    <t>SAN1.20.10.10.060.030.00.000</t>
  </si>
  <si>
    <t>SAN1.20.10.10.060.040.00.000</t>
  </si>
  <si>
    <t>SAN1.20.10.10.070.010.00.000</t>
  </si>
  <si>
    <t>SAN1.20.10.10.080.010.00.000</t>
  </si>
  <si>
    <t>SAN1.20.10.10.080.020.00.000</t>
  </si>
  <si>
    <t>SAN1.20.10.10.080.030.00.000</t>
  </si>
  <si>
    <t>SAN1.20.10.10.080.040.00.000</t>
  </si>
  <si>
    <t>SAN1.20.10.10.090.010.00.000</t>
  </si>
  <si>
    <t>SAN1.20.10.10.100.010.00.000</t>
  </si>
  <si>
    <t>SAN1.20.10.10.100.020.00.000</t>
  </si>
  <si>
    <t>SAN1.20.10.10.120.010.00.000</t>
  </si>
  <si>
    <t>SAN1.20.10.10.130.010.00.000</t>
  </si>
  <si>
    <t>SAN1.20.10.10.130.800.00.000</t>
  </si>
  <si>
    <t>SAN1.20.10.10.130.810.00.000</t>
  </si>
  <si>
    <t>SAN1.20.10.10.800.010.00.000</t>
  </si>
  <si>
    <t>SAN1.20.10.10.800.810.00.000</t>
  </si>
  <si>
    <t>SAN1.20.10.10.900.010.00.000</t>
  </si>
  <si>
    <t>SAN1.20.10.20.000.000.00.000</t>
  </si>
  <si>
    <t>SAN1.20.10.20.020.010.00.000</t>
  </si>
  <si>
    <t>SAN1.20.10.20.020.020.00.000</t>
  </si>
  <si>
    <t>SAN1.20.10.20.020.030.00.000</t>
  </si>
  <si>
    <t>SAN1.20.10.20.020.040.00.000</t>
  </si>
  <si>
    <t>SAN1.20.10.20.020.050.00.000</t>
  </si>
  <si>
    <t>SAN1.20.10.20.020.060.00.000</t>
  </si>
  <si>
    <t>SAN1.20.10.20.020.070.00.000</t>
  </si>
  <si>
    <t>SAN1.20.10.20.020.080.00.000</t>
  </si>
  <si>
    <t>SAN1.20.10.20.020.090.00.000</t>
  </si>
  <si>
    <t>SAN1.20.10.20.020.100.00.000</t>
  </si>
  <si>
    <t>SAN1.20.10.20.020.110.00.000</t>
  </si>
  <si>
    <t>SAN1.20.10.20.020.120.00.000</t>
  </si>
  <si>
    <t>SAN1.20.10.20.020.130.00.000</t>
  </si>
  <si>
    <t>SAN1.20.10.20.020.140.00.000</t>
  </si>
  <si>
    <t>SAN1.20.10.20.010.010.00.000</t>
  </si>
  <si>
    <t>SAN1.20.30.00.000.000.00.000</t>
  </si>
  <si>
    <t>SAN1.20.30.10.010.000.00.000</t>
  </si>
  <si>
    <t>SAN1.20.30.10.015.000.00.000</t>
  </si>
  <si>
    <t>SAN1.20.30.10.020.000.00.000</t>
  </si>
  <si>
    <t>SAN1.20.30.20.000.000.00.000</t>
  </si>
  <si>
    <t>SAN1.20.40.00.000.000.00.000</t>
  </si>
  <si>
    <t>SAN1.20.40.10.000.000.00.000</t>
  </si>
  <si>
    <t>SAN1.20.40.20.000.000.00.000</t>
  </si>
  <si>
    <t>SAN1.20.40.25.000.000.00.000</t>
  </si>
  <si>
    <t>SAN1.20.40.30.000.000.00.000</t>
  </si>
  <si>
    <t>SAN1.30.00.00.000.000.00.000</t>
  </si>
  <si>
    <t>SAN1.30.10.00.000.000.00.000</t>
  </si>
  <si>
    <t>SAN1.30.10.10.000.000.00.000</t>
  </si>
  <si>
    <t>SAN1.30.10.20.000.000.00.000</t>
  </si>
  <si>
    <t>SAN1.30.10.20.010.000.00.000</t>
  </si>
  <si>
    <t>SAN1.30.10.20.020.000.00.000</t>
  </si>
  <si>
    <t>SAN1.30.10.20.030.000.00.000</t>
  </si>
  <si>
    <t>SAN1.30.20.00.000.000.00.000</t>
  </si>
  <si>
    <t>SAN1.30.20.10.000.000.00.000</t>
  </si>
  <si>
    <t>SAN1.30.20.20.000.000.00.000</t>
  </si>
  <si>
    <t>SAN1.60.00.00.000.000.00.000</t>
  </si>
  <si>
    <t>SAN1.60.10.00.000.000.00.000</t>
  </si>
  <si>
    <t>SAN1.60.20.00.000.000.00.000</t>
  </si>
  <si>
    <t>SAN1.60.30.00.000.000.00.000</t>
  </si>
  <si>
    <t>SAN1.60.35.00.000.000.00.000</t>
  </si>
  <si>
    <t>SAN1.60.40.00.000.000.00.000</t>
  </si>
  <si>
    <t>SAN1.60.40.10.000.000.00.000</t>
  </si>
  <si>
    <t>SAN1.60.40.10.010.000.00.000</t>
  </si>
  <si>
    <t>SAN1.60.40.10.020.000.00.000</t>
  </si>
  <si>
    <t>SAN1.60.40.10.030.000.00.000</t>
  </si>
  <si>
    <t>SAN1.60.40.20.000.000.00.000</t>
  </si>
  <si>
    <t>SAN1.60.40.20.010.000.00.000</t>
  </si>
  <si>
    <t>SAN1.60.40.20.020.000.00.000</t>
  </si>
  <si>
    <t>SAN1.60.40.20.030.000.00.000</t>
  </si>
  <si>
    <t>SAN1.60.40.25.000.000.00.000</t>
  </si>
  <si>
    <t>SAN1.60.40.30.000.000.00.000</t>
  </si>
  <si>
    <t>SAN1.60.40.30.010.000.00.000</t>
  </si>
  <si>
    <t>SAN1.60.40.30.020.000.00.000</t>
  </si>
  <si>
    <t>SAN1.60.40.30.030.000.00.000</t>
  </si>
  <si>
    <t>SAN1.60.40.30.040.000.00.000</t>
  </si>
  <si>
    <t>SAN3.10.00.00.000.000.00.000</t>
  </si>
  <si>
    <t>SAN3.10.10.00.000.000.00.000</t>
  </si>
  <si>
    <t>SAN3.10.20.00.000.000.00.000</t>
  </si>
  <si>
    <t>SAN3.10.20.10.000.000.00.000</t>
  </si>
  <si>
    <t>SAN3.10.20.20.000.000.00.000</t>
  </si>
  <si>
    <t>SAN3.10.20.20.010.000.00.000</t>
  </si>
  <si>
    <t>SAN3.10.20.20.020.000.00.000</t>
  </si>
  <si>
    <t>SAN3.10.20.20.030.000.00.000</t>
  </si>
  <si>
    <t>SAN3.10.20.30.000.000.00.000</t>
  </si>
  <si>
    <t>SAN3.10.20.40.000.000.00.000</t>
  </si>
  <si>
    <t>SAN3.10.20.50.000.000.00.000</t>
  </si>
  <si>
    <t>SAN3.10.30.00.000.000.00.000</t>
  </si>
  <si>
    <t>SAN3.10.40.00.000.000.00.000</t>
  </si>
  <si>
    <t>SAN3.10.40.10.000.000.00.000</t>
  </si>
  <si>
    <t>SAN3.10.40.20.000.000.00.000</t>
  </si>
  <si>
    <t>SAN3.10.40.30.000.000.00.000</t>
  </si>
  <si>
    <t>SAN3.10.40.40.000.000.00.000</t>
  </si>
  <si>
    <t>SAN3.10.40.50.000.000.00.000</t>
  </si>
  <si>
    <t>SAN3.10.50.00.000.000.00.000</t>
  </si>
  <si>
    <t>SAN3.10.50.10.000.000.00.000</t>
  </si>
  <si>
    <t>SAN3.10.50.20.000.000.00.000</t>
  </si>
  <si>
    <t>SAN3.10.50.30.000.000.00.000</t>
  </si>
  <si>
    <t>SAN3.10.60.00.000.000.00.000</t>
  </si>
  <si>
    <t>SAN3.10.70.00.000.000.00.000</t>
  </si>
  <si>
    <t>SAN3.20.00.00.000.000.00.000</t>
  </si>
  <si>
    <t>SAN3.20.10.00.000.000.00.000</t>
  </si>
  <si>
    <t>SAN3.20.10.10.000.000.00.000</t>
  </si>
  <si>
    <t>SAN3.20.10.20.000.000.00.000</t>
  </si>
  <si>
    <t>SAN3.20.20.00.000.000.00.000</t>
  </si>
  <si>
    <t>SAN3.20.20.10.000.000.00.000</t>
  </si>
  <si>
    <t>SAN3.20.20.20.000.000.00.000</t>
  </si>
  <si>
    <t>SAN3.20.20.30.000.000.00.000</t>
  </si>
  <si>
    <t>SAN3.20.20.40.000.000.00.000</t>
  </si>
  <si>
    <t>SAN3.20.20.41.000.000.00.000</t>
  </si>
  <si>
    <t>SAN3.20.20.42.000.000.00.000</t>
  </si>
  <si>
    <t>SAN3.20.20.50.000.000.00.000</t>
  </si>
  <si>
    <t>SAN3.20.30.00.000.000.00.000</t>
  </si>
  <si>
    <t>SAN3.20.30.10.000.000.00.000</t>
  </si>
  <si>
    <t>SAN3.20.30.20.000.000.00.000</t>
  </si>
  <si>
    <t>SAN3.20.30.30.000.000.00.000</t>
  </si>
  <si>
    <t>SAN3.20.30.40.000.000.00.000</t>
  </si>
  <si>
    <t>SAN3.20.30.50.000.000.00.000</t>
  </si>
  <si>
    <t>SAN3.20.30.60.000.000.00.000</t>
  </si>
  <si>
    <t>SAN3.20.30.70.000.000.00.000</t>
  </si>
  <si>
    <t>SAN3.20.30.80.000.000.00.000</t>
  </si>
  <si>
    <t>SAN3.20.40.00.000.000.00.000</t>
  </si>
  <si>
    <t>SAN3.20.40.05.000.000.00.000</t>
  </si>
  <si>
    <t>SAN3.20.40.10.000.000.00.000</t>
  </si>
  <si>
    <t>SAN3.20.40.10.010.000.00.000</t>
  </si>
  <si>
    <t>SAN3.20.40.10.020.000.00.000</t>
  </si>
  <si>
    <t>SAN3.20.40.10.030.000.00.000</t>
  </si>
  <si>
    <t>SAN3.20.40.10.040.000.00.000</t>
  </si>
  <si>
    <t>SAN3.20.40.20.000.000.00.000</t>
  </si>
  <si>
    <t>SAN3.20.40.30.000.000.00.000</t>
  </si>
  <si>
    <t>SAN3.20.40.30.010.000.00.000</t>
  </si>
  <si>
    <t>SAN3.20.40.30.020.000.00.000</t>
  </si>
  <si>
    <t>SAN3.20.40.30.030.000.00.000</t>
  </si>
  <si>
    <t>SAN3.20.40.30.040.000.00.000</t>
  </si>
  <si>
    <t>SAN3.20.40.30.050.000.00.000</t>
  </si>
  <si>
    <t>SAN3.20.40.40.000.000.00.000</t>
  </si>
  <si>
    <t>SAN3.20.50.00.000.000.00.000</t>
  </si>
  <si>
    <t>SAN3.20.50.10.000.000.00.000</t>
  </si>
  <si>
    <t>SAN3.20.50.10.010.000.00.000</t>
  </si>
  <si>
    <t>SAN3.20.50.10.020.000.00.000</t>
  </si>
  <si>
    <t>SAN3.20.50.20.000.000.00.000</t>
  </si>
  <si>
    <t>SAN3.20.50.20.010.000.00.000</t>
  </si>
  <si>
    <t>SAN3.20.50.20.020.000.00.000</t>
  </si>
  <si>
    <t>SAN3.20.50.20.030.000.00.000</t>
  </si>
  <si>
    <t>SAN3.20.50.20.040.000.00.000</t>
  </si>
  <si>
    <t>SAN3.20.50.20.050.000.00.000</t>
  </si>
  <si>
    <t>SAN3.20.50.30.000.000.00.000</t>
  </si>
  <si>
    <t>SAN3.20.50.30.100.000.00.000</t>
  </si>
  <si>
    <t>SAN3.20.50.30.200.000.00.000</t>
  </si>
  <si>
    <t>SAN3.20.50.40.000.000.00.000</t>
  </si>
  <si>
    <t>SAN3.30.00.00.000.000.00.000</t>
  </si>
  <si>
    <t>SAN3.30.10.00.000.000.00.000</t>
  </si>
  <si>
    <t>SAN3.30.10.10.000.000.00.000</t>
  </si>
  <si>
    <t>SAN3.30.10.20.000.000.00.000</t>
  </si>
  <si>
    <t>SAN3.30.10.30.000.000.00.000</t>
  </si>
  <si>
    <t>SAN3.30.20.00.000.000.00.000</t>
  </si>
  <si>
    <t>SAN3.30.30.00.000.000.00.000</t>
  </si>
  <si>
    <t>SAN3.40.00.00.000.000.00.000</t>
  </si>
  <si>
    <t>SAN3.40.10.00.000.000.00.000</t>
  </si>
  <si>
    <t>SAN3.40.20.00.000.000.00.000</t>
  </si>
  <si>
    <t>SAN3.40.20.10.000.000.00.000</t>
  </si>
  <si>
    <t>SAN3.40.20.20.000.000.00.000</t>
  </si>
  <si>
    <t>SAN3.40.20.30.000.000.00.000</t>
  </si>
  <si>
    <t>SAN3.40.20.40.000.000.00.000</t>
  </si>
  <si>
    <t>SAN3.40.20.50.000.000.00.000</t>
  </si>
  <si>
    <t>SAN3.40.30.00.000.000.00.000</t>
  </si>
  <si>
    <t>SAN3.40.30.10.000.000.00.000</t>
  </si>
  <si>
    <t>SAN3.40.30.15.000.000.00.000</t>
  </si>
  <si>
    <t>SAN3.40.30.20.000.000.00.000</t>
  </si>
  <si>
    <t>SAN3.40.30.30.000.000.00.000</t>
  </si>
  <si>
    <t>SAN3.40.30.35.000.000.00.000</t>
  </si>
  <si>
    <t>SAN3.40.30.40.000.000.00.000</t>
  </si>
  <si>
    <t>SAN3.40.30.45.000.000.00.000</t>
  </si>
  <si>
    <t>SAN3.40.30.46.000.000.00.000</t>
  </si>
  <si>
    <t>SAN3.40.30.47.000.000.00.000</t>
  </si>
  <si>
    <t>SAN3.40.30.50.000.000.00.000</t>
  </si>
  <si>
    <t>SAN3.40.30.60.000.000.00.000</t>
  </si>
  <si>
    <t>SAN3.40.30.70.000.000.00.000</t>
  </si>
  <si>
    <t>SAN3.40.40.00.000.000.00.000</t>
  </si>
  <si>
    <t>SAN3.40.50.00.000.000.00.000</t>
  </si>
  <si>
    <t>SAN3.40.50.10.000.000.00.000</t>
  </si>
  <si>
    <t>SAN3.40.50.10.010.000.00.000</t>
  </si>
  <si>
    <t>SAN3.40.50.10.010.010.00.000</t>
  </si>
  <si>
    <t>SAN3.40.50.10.010.011.00.000</t>
  </si>
  <si>
    <t>SAN3.40.50.10.010.020.00.000</t>
  </si>
  <si>
    <t>SAN3.40.50.10.010.021.00.000</t>
  </si>
  <si>
    <t>SAN3.40.50.10.010.030.00.000</t>
  </si>
  <si>
    <t>SAN3.40.50.10.020.000.00.000</t>
  </si>
  <si>
    <t>SAN3.40.50.10.030.000.00.000</t>
  </si>
  <si>
    <t>SAN3.40.50.10.040.000.00.000</t>
  </si>
  <si>
    <t>SAN3.40.50.10.040.010.00.000</t>
  </si>
  <si>
    <t>SAN3.40.50.10.040.011.00.000</t>
  </si>
  <si>
    <t>SAN3.40.50.10.040.020.00.000</t>
  </si>
  <si>
    <t>SAN3.40.50.10.050.000.00.000</t>
  </si>
  <si>
    <t>SAN3.40.50.10.060.000.00.000</t>
  </si>
  <si>
    <t>SAN3.40.50.10.060.010.00.000</t>
  </si>
  <si>
    <t>SAN3.40.50.10.060.011.00.000</t>
  </si>
  <si>
    <t>SAN3.40.50.10.060.020.00.000</t>
  </si>
  <si>
    <t>SAN3.40.50.10.060.021.00.000</t>
  </si>
  <si>
    <t>SAN3.40.50.10.060.030.00.000</t>
  </si>
  <si>
    <t>SAN3.40.50.10.070.000.00.000</t>
  </si>
  <si>
    <t>SAN3.40.50.10.080.000.00.000</t>
  </si>
  <si>
    <t>SAN3.40.50.10.090.000.00.000</t>
  </si>
  <si>
    <t>SAN3.40.50.10.100.010.00.000</t>
  </si>
  <si>
    <t>SAN3.40.50.10.100.020.00.000</t>
  </si>
  <si>
    <t>SAN3.40.50.10.100.030.00.000</t>
  </si>
  <si>
    <t>SAN3.40.50.10.110.000.00.000</t>
  </si>
  <si>
    <t>SAN3.40.50.20.000.000.00.000</t>
  </si>
  <si>
    <t>SAN3.40.50.20.010.000.00.000</t>
  </si>
  <si>
    <t>SAN3.40.50.20.020.000.00.000</t>
  </si>
  <si>
    <t>SAN3.40.50.30.000.000.00.000</t>
  </si>
  <si>
    <t>SAN3.40.50.30.100.000.00.000</t>
  </si>
  <si>
    <t>SAN3.40.50.30.200.000.00.000</t>
  </si>
  <si>
    <t>SAN3.40.50.30.300.000.00.000</t>
  </si>
  <si>
    <t>SAN3.40.50.30.400.000.00.000</t>
  </si>
  <si>
    <t>SAN3.40.50.30.500.000.00.000</t>
  </si>
  <si>
    <t>SAN3.40.60.00.000.000.00.000</t>
  </si>
  <si>
    <t>SAN3.40.60.10.000.000.00.000</t>
  </si>
  <si>
    <t>SAN3.40.60.10.010.000.00.000</t>
  </si>
  <si>
    <t>SAN3.40.60.10.020.000.00.000</t>
  </si>
  <si>
    <t>SAN3.40.60.20.000.000.00.000</t>
  </si>
  <si>
    <t>SAN3.40.60.30.000.000.00.000</t>
  </si>
  <si>
    <t>SAN3.40.60.30.010.000.00.000</t>
  </si>
  <si>
    <t>SAN3.40.60.30.020.000.00.000</t>
  </si>
  <si>
    <t>SAN3.40.70.00.000.000.00.000</t>
  </si>
  <si>
    <t>SAN3.40.70.10.000.000.00.000</t>
  </si>
  <si>
    <t>SAN3.40.70.10.010.000.00.000</t>
  </si>
  <si>
    <t>SAN3.40.70.10.020.000.00.000</t>
  </si>
  <si>
    <t>SAN3.40.70.10.030.000.00.000</t>
  </si>
  <si>
    <t>SAN3.40.70.10.040.000.00.000</t>
  </si>
  <si>
    <t>SAN3.40.70.10.050.000.00.000</t>
  </si>
  <si>
    <t>SAN3.40.70.10.060.000.00.000</t>
  </si>
  <si>
    <t>SAN3.40.70.10.070.000.00.000</t>
  </si>
  <si>
    <t>SAN3.40.70.20.000.000.00.000</t>
  </si>
  <si>
    <t>SAN3.40.70.20.010.000.00.000</t>
  </si>
  <si>
    <t>SAN3.40.70.20.020.000.00.000</t>
  </si>
  <si>
    <t>SAN3.40.70.20.030.000.00.000</t>
  </si>
  <si>
    <t>SAN3.40.80.00.000.000.00.000</t>
  </si>
  <si>
    <t>SAN3.40.90.00.000.000.00.000</t>
  </si>
  <si>
    <t>SAN3.40.93.00.000.000.00.000</t>
  </si>
  <si>
    <t>SAN3.40.95.00.000.000.00.000</t>
  </si>
  <si>
    <t>SAN3.40.95.10.000.000.00.000</t>
  </si>
  <si>
    <t>SAN3.40.95.20.000.000.00.000</t>
  </si>
  <si>
    <t>SAN3.40.95.20.010.000.00.000</t>
  </si>
  <si>
    <t>SAN3.40.95.20.010.100.00.000</t>
  </si>
  <si>
    <t>SAN3.40.95.20.010.200.00.000</t>
  </si>
  <si>
    <t>SAN3.40.95.20.020.000.00.000</t>
  </si>
  <si>
    <t>SAN3.40.95.20.030.000.00.000</t>
  </si>
  <si>
    <t>SAN3.40.95.20.040.000.00.000</t>
  </si>
  <si>
    <t>SAN3.40.95.30.000.000.00.000</t>
  </si>
  <si>
    <t>SAN3.40.95.40.000.000.00.000</t>
  </si>
  <si>
    <t>SAN3.40.95.40.010.000.00.000</t>
  </si>
  <si>
    <t>SAN3.40.95.40.020.000.00.000</t>
  </si>
  <si>
    <t>SAN3.40.95.40.030.000.00.000</t>
  </si>
  <si>
    <t>SAN3.40.95.40.030.010.00.000</t>
  </si>
  <si>
    <t>SAN3.40.95.40.030.020.00.000</t>
  </si>
  <si>
    <t>SAN3.40.95.40.030.030.00.000</t>
  </si>
  <si>
    <t>SAN3.40.95.40.030.040.00.000</t>
  </si>
  <si>
    <t>SAN3.50.00.00.000.000.00.000</t>
  </si>
  <si>
    <t>SAN3.50.10.00.000.000.00.000</t>
  </si>
  <si>
    <t>SAN3.50.10.10.000.000.00.000</t>
  </si>
  <si>
    <t>SAN3.50.10.20.000.000.00.000</t>
  </si>
  <si>
    <t>SAN3.50.10.20.010.000.00.000</t>
  </si>
  <si>
    <t>SAN3.50.10.20.011.000.00.000</t>
  </si>
  <si>
    <t>SAN3.50.10.20.020.000.00.000</t>
  </si>
  <si>
    <t>SAN3.50.10.20.090.000.00.000</t>
  </si>
  <si>
    <t>SAN3.50.10.20.091.000.00.000</t>
  </si>
  <si>
    <t>SAN3.50.20.00.000.000.00.000</t>
  </si>
  <si>
    <t>SAN3.50.20.10.000.000.00.000</t>
  </si>
  <si>
    <t>SAN3.50.20.20.000.000.00.000</t>
  </si>
  <si>
    <t>SAN3.50.20.30.000.000.00.000</t>
  </si>
  <si>
    <t>SAN3.60.00.00.000.000.00.000</t>
  </si>
  <si>
    <t>SAN3.60.10.00.000.000.00.000</t>
  </si>
  <si>
    <t>SAN3.60.20.00.000.000.00.000</t>
  </si>
  <si>
    <t>SAN3.60.30.00.000.000.00.000</t>
  </si>
  <si>
    <t>SAN3.60.35.00.000.000.00.000</t>
  </si>
  <si>
    <t>SAN3.60.40.00.000.000.00.000</t>
  </si>
  <si>
    <t>SAN3.60.40.10.000.000.00.000</t>
  </si>
  <si>
    <t>SAN3.60.40.10.010.000.00.000</t>
  </si>
  <si>
    <t>SAN3.60.40.10.020.000.00.000</t>
  </si>
  <si>
    <t>SAN3.60.40.10.030.000.00.000</t>
  </si>
  <si>
    <t>SAN3.60.40.20.000.000.00.000</t>
  </si>
  <si>
    <t>SAN3.60.40.20.010.000.00.000</t>
  </si>
  <si>
    <t>SAN3.60.40.20.020.000.00.000</t>
  </si>
  <si>
    <t>SAN3.60.40.20.030.000.00.000</t>
  </si>
  <si>
    <t>SAN3.60.40.25.000.000.00.000</t>
  </si>
  <si>
    <t>SAN3.60.40.30.000.000.00.000</t>
  </si>
  <si>
    <t>SAN3.60.40.30.010.000.00.000</t>
  </si>
  <si>
    <t>SAN3.60.40.30.020.000.00.000</t>
  </si>
  <si>
    <t>SAN3.60.40.30.030.000.00.000</t>
  </si>
  <si>
    <t>SAN3.60.40.30.040.000.00.000</t>
  </si>
  <si>
    <t>SAN1.10.30.10.000.000.00.000</t>
  </si>
  <si>
    <t>SAN1.10.30.10.010.000.00.000</t>
  </si>
  <si>
    <t>SAN1.10.30.10.020.000.00.000</t>
  </si>
  <si>
    <t>SAN1.10.30.10.030.000.00.000</t>
  </si>
  <si>
    <t>SAN1.10.30.10.040.000.00.000</t>
  </si>
  <si>
    <t>SAN1.20.20.10.000.000.00.000</t>
  </si>
  <si>
    <t>SAN1.20.20.10.010.000.00.000</t>
  </si>
  <si>
    <t>SAN1.20.20.10.015.000.00.000</t>
  </si>
  <si>
    <t>SAN1.20.20.10.020.000.00.000</t>
  </si>
  <si>
    <t>SAN1.20.20.10.020.010.00.000</t>
  </si>
  <si>
    <t>SAN1.20.20.10.020.020.00.000</t>
  </si>
  <si>
    <t>SAN1.20.20.10.025.000.00.000</t>
  </si>
  <si>
    <t>SAN1.20.20.10.030.000.00.000</t>
  </si>
  <si>
    <t>SAN1.20.20.10.035.000.00.000</t>
  </si>
  <si>
    <t>SAN1.20.20.10.040.000.00.000</t>
  </si>
  <si>
    <t>SAN1.20.20.10.041.000.00.000</t>
  </si>
  <si>
    <t>SAN1.20.20.10.045.000.00.000</t>
  </si>
  <si>
    <t>SAN1.20.20.10.050.000.00.000</t>
  </si>
  <si>
    <t>SAN1.20.20.10.050.010.00.000</t>
  </si>
  <si>
    <t>SAN1.20.20.10.050.020.00.000</t>
  </si>
  <si>
    <t>SAN1.20.20.10.050.030.00.000</t>
  </si>
  <si>
    <t>SAN1.20.20.10.050.040.00.000</t>
  </si>
  <si>
    <t>SAN1.20.20.10.090.000.00.000</t>
  </si>
  <si>
    <t>SAN1.20.20.20.000.000.00.000</t>
  </si>
  <si>
    <t>SAN1.20.20.20.010.000.00.000</t>
  </si>
  <si>
    <t>SAN1.20.20.20.010.010.00.000</t>
  </si>
  <si>
    <t>SAN1.20.20.20.010.020.00.000</t>
  </si>
  <si>
    <t>SAN1.20.20.20.010.030.00.000</t>
  </si>
  <si>
    <t>SAN1.20.20.20.010.030.10.000</t>
  </si>
  <si>
    <t>SAN1.20.20.20.010.030.20.000</t>
  </si>
  <si>
    <t>SAN1.20.20.20.010.030.30.000</t>
  </si>
  <si>
    <t>SAN1.20.20.20.010.030.40.000</t>
  </si>
  <si>
    <t>SAN1.20.20.20.010.030.50.000</t>
  </si>
  <si>
    <t>SAN1.20.20.20.010.030.60.000</t>
  </si>
  <si>
    <t>SAN1.20.20.20.010.040.00.000</t>
  </si>
  <si>
    <t>SAN1.20.20.20.010.050.00.000</t>
  </si>
  <si>
    <t>SAN1.20.20.20.010.050.10.000</t>
  </si>
  <si>
    <t>SAN1.20.20.20.010.050.20.000</t>
  </si>
  <si>
    <t>SAN1.20.20.20.010.050.30.000</t>
  </si>
  <si>
    <t>SAN1.20.20.20.010.060.00.000</t>
  </si>
  <si>
    <t>SAN1.20.20.20.010.070.00.000</t>
  </si>
  <si>
    <t>SAN1.20.20.20.010.080.00.000</t>
  </si>
  <si>
    <t>SAN1.20.20.20.010.090.00.000</t>
  </si>
  <si>
    <t>SAN1.20.20.20.010.095.00.000</t>
  </si>
  <si>
    <t>SAN1.20.20.20.010.100.00.000</t>
  </si>
  <si>
    <t>SAN1.20.20.20.010.110.00.000</t>
  </si>
  <si>
    <t>SAN1.20.20.20.020.000.00.000</t>
  </si>
  <si>
    <t>SAN1.20.20.20.020.010.00.000</t>
  </si>
  <si>
    <t>SAN1.20.20.20.020.020.00.000</t>
  </si>
  <si>
    <t>SAN1.20.20.20.020.030.00.000</t>
  </si>
  <si>
    <t>SAN1.20.20.20.020.035.00.000</t>
  </si>
  <si>
    <t>SAN1.20.20.20.020.040.00.000</t>
  </si>
  <si>
    <t>SAN1.20.20.20.020.050.00.000</t>
  </si>
  <si>
    <t>SAN1.20.20.20.020.060.00.000</t>
  </si>
  <si>
    <t>SAN1.20.20.20.020.070.00.000</t>
  </si>
  <si>
    <t>SAN1.20.20.30.000.000.00.000</t>
  </si>
  <si>
    <t>SAN1.20.20.40.000.000.00.000</t>
  </si>
  <si>
    <t>SAN1.20.20.40.010.000.00.000</t>
  </si>
  <si>
    <t>SAN1.20.20.40.010.010.00.000</t>
  </si>
  <si>
    <t>SAN1.20.20.40.010.010.10.000</t>
  </si>
  <si>
    <t>SAN1.20.20.40.010.010.11.000</t>
  </si>
  <si>
    <t>SAN1.20.20.40.010.020.00.000</t>
  </si>
  <si>
    <t>SAN1.20.20.40.010.020.10.000</t>
  </si>
  <si>
    <t>SAN1.20.20.40.010.020.11.000</t>
  </si>
  <si>
    <t>SAN1.20.20.40.010.030.00.000</t>
  </si>
  <si>
    <t>SAN1.20.20.40.010.030.10.000</t>
  </si>
  <si>
    <t>SAN1.20.20.40.010.030.11.000</t>
  </si>
  <si>
    <t>SAN1.20.20.40.010.030.20.000</t>
  </si>
  <si>
    <t>SAN1.20.20.40.010.030.21.000</t>
  </si>
  <si>
    <t>SAN1.20.20.40.010.030.30.000</t>
  </si>
  <si>
    <t>SAN1.20.20.40.010.040.00.000</t>
  </si>
  <si>
    <t>SAN1.20.20.40.010.050.00.000</t>
  </si>
  <si>
    <t>SAN1.20.20.40.020.000.00.000</t>
  </si>
  <si>
    <t>SAN1.20.20.40.025.000.00.000</t>
  </si>
  <si>
    <t>SAN1.20.20.40.030.000.00.000</t>
  </si>
  <si>
    <t>SAN1.20.20.40.035.000.00.000</t>
  </si>
  <si>
    <t>SAN1.20.20.40.040.000.00.000</t>
  </si>
  <si>
    <t>SAN1.20.20.40.045.000.00.000</t>
  </si>
  <si>
    <t>SAN1.20.20.50.000.000.00.000</t>
  </si>
  <si>
    <t>SAN1.20.20.50.010.000.00.000</t>
  </si>
  <si>
    <t>SAN1.20.20.50.010.010.00.000</t>
  </si>
  <si>
    <t>SAN1.20.20.50.010.020.00.000</t>
  </si>
  <si>
    <t>SAN1.20.20.50.020.000.00.000</t>
  </si>
  <si>
    <t>SAN1.20.20.50.030.000.00.000</t>
  </si>
  <si>
    <t>SAN1.20.20.60.000.000.00.000</t>
  </si>
  <si>
    <t>SAN1.20.20.70.000.000.00.000</t>
  </si>
  <si>
    <t>SAN1.20.20.70.010.100.00.000</t>
  </si>
  <si>
    <t>SAN1.20.20.70.010.200.00.000</t>
  </si>
  <si>
    <t>SAN1.20.20.70.020.000.00.000</t>
  </si>
  <si>
    <t>SAN1.20.20.70.030.000.00.000</t>
  </si>
  <si>
    <t>SAN1.20.20.70.040.000.00.000</t>
  </si>
  <si>
    <t>SAN1.20.20.70.050.000.00.000</t>
  </si>
  <si>
    <t>SAN1.20.20.70.050.010.00.000</t>
  </si>
  <si>
    <t>SAN1.20.20.70.050.010.10.000</t>
  </si>
  <si>
    <t>SAN1.20.20.70.050.010.90.000</t>
  </si>
  <si>
    <t>SAN1.20.20.70.050.020.00.000</t>
  </si>
  <si>
    <t>SAN1.20.20.70.050.020.10.000</t>
  </si>
  <si>
    <t>SAN1.20.20.70.050.020.20.000</t>
  </si>
  <si>
    <t>SAN1.20.20.70.050.020.30.000</t>
  </si>
  <si>
    <t>SAN1.20.20.70.050.020.40.000</t>
  </si>
  <si>
    <t>SAN1.20.20.70.050.030.00.000</t>
  </si>
  <si>
    <t>SAN1.20.20.70.060.000.00.000</t>
  </si>
  <si>
    <t>SAN1.20.20.70.060.010.00.000</t>
  </si>
  <si>
    <t>SAN1.20.20.70.060.020.00.000</t>
  </si>
  <si>
    <t>TELECOM/FASTWEB - RISCONTO CANONI ANNO 2021</t>
  </si>
  <si>
    <t>DGR 5052/2021</t>
  </si>
  <si>
    <t>Attrezzature cedute a titolo gratuito da Regione per emergenza Covid-19</t>
  </si>
  <si>
    <t>DGR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</si>
</sst>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-;\-* #,##0.00_-;_-* \-??_-;_-@_-"/>
    <numFmt numFmtId="165" formatCode="_-[$€]\ * #,##0.00_-;\-[$€]\ * #,##0.00_-;_-[$€]\ * \-??_-;_-@_-"/>
    <numFmt numFmtId="166" formatCode="_-* #,##0.00\ _€_-;\-* #,##0.00\ _€_-;_-* \-??\ _€_-;_-@_-"/>
    <numFmt numFmtId="167" formatCode="_-* #,##0_-;\-* #,##0_-;_-* \-_-;_-@_-"/>
    <numFmt numFmtId="168" formatCode="_ * #,##0_ ;_ * \-#,##0_ ;_ * \-_ ;_ @_ "/>
    <numFmt numFmtId="169" formatCode="_ * #,##0.00_ ;_ * \-#,##0.00_ ;_ * \-??_ ;_ @_ "/>
    <numFmt numFmtId="170" formatCode="#,##0;\(#,##0\)"/>
    <numFmt numFmtId="171" formatCode="dd/mm/yy"/>
    <numFmt numFmtId="172" formatCode="#,##0;[Red]\(#,##0\)"/>
    <numFmt numFmtId="173" formatCode=";;;"/>
    <numFmt numFmtId="174" formatCode="0.0"/>
    <numFmt numFmtId="175" formatCode="_ * #,##0_ ;_ * \-#,##0_ ;_ * \-??_ ;_ @_ "/>
  </numFmts>
  <fonts count="90" x14ac:knownFonts="1"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Verdana"/>
      <family val="2"/>
    </font>
    <font>
      <sz val="12"/>
      <name val="Times New Roman"/>
      <family val="1"/>
    </font>
    <font>
      <sz val="10"/>
      <name val="Book Antiqua"/>
      <family val="1"/>
    </font>
    <font>
      <u/>
      <sz val="10"/>
      <name val="Arial"/>
      <family val="2"/>
    </font>
    <font>
      <b/>
      <sz val="10"/>
      <name val="Arial"/>
      <family val="2"/>
    </font>
    <font>
      <b/>
      <sz val="8"/>
      <color indexed="62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sz val="10"/>
      <color indexed="8"/>
      <name val="Courier New"/>
      <family val="3"/>
    </font>
    <font>
      <b/>
      <u/>
      <sz val="10"/>
      <name val="Courier New"/>
      <family val="3"/>
    </font>
    <font>
      <sz val="10"/>
      <color indexed="9"/>
      <name val="Courier New"/>
      <family val="3"/>
    </font>
    <font>
      <sz val="10"/>
      <color indexed="10"/>
      <name val="Courier New"/>
      <family val="3"/>
    </font>
    <font>
      <sz val="8"/>
      <color indexed="10"/>
      <name val="Arial"/>
      <family val="2"/>
    </font>
    <font>
      <b/>
      <sz val="8"/>
      <name val="Arial"/>
      <family val="2"/>
    </font>
    <font>
      <sz val="11"/>
      <color indexed="10"/>
      <name val="Calibri"/>
      <family val="2"/>
    </font>
    <font>
      <sz val="10"/>
      <color indexed="8"/>
      <name val="Verdana"/>
      <family val="2"/>
    </font>
    <font>
      <b/>
      <sz val="8"/>
      <color indexed="10"/>
      <name val="Tahoma"/>
      <family val="2"/>
    </font>
    <font>
      <b/>
      <sz val="8"/>
      <color indexed="10"/>
      <name val="Arial"/>
      <family val="2"/>
    </font>
    <font>
      <b/>
      <sz val="9"/>
      <color indexed="8"/>
      <name val="Tahoma"/>
      <family val="2"/>
    </font>
    <font>
      <b/>
      <sz val="12"/>
      <name val="Arial"/>
      <family val="2"/>
    </font>
    <font>
      <b/>
      <sz val="15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color indexed="9"/>
      <name val="Calibri"/>
      <family val="2"/>
    </font>
    <font>
      <b/>
      <u/>
      <sz val="12"/>
      <name val="Arial"/>
      <family val="2"/>
    </font>
    <font>
      <b/>
      <u/>
      <sz val="14"/>
      <name val="Arial"/>
      <family val="2"/>
    </font>
    <font>
      <sz val="10"/>
      <color indexed="8"/>
      <name val="Calibri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9"/>
      <name val="Univers 45 Light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i/>
      <sz val="9"/>
      <name val="Arial"/>
      <family val="2"/>
    </font>
    <font>
      <b/>
      <sz val="9"/>
      <name val="Univers 45 Light"/>
      <family val="2"/>
    </font>
    <font>
      <sz val="11"/>
      <name val="Calibri"/>
      <family val="2"/>
    </font>
    <font>
      <sz val="8"/>
      <name val="Univers 45 Light"/>
      <family val="2"/>
    </font>
    <font>
      <b/>
      <sz val="8"/>
      <name val="Univers 45 Light"/>
      <family val="2"/>
    </font>
    <font>
      <b/>
      <sz val="8"/>
      <color indexed="9"/>
      <name val="Univers 45 Light"/>
      <family val="2"/>
    </font>
    <font>
      <b/>
      <sz val="15"/>
      <color indexed="9"/>
      <name val="Univers 45 Light"/>
      <family val="2"/>
    </font>
    <font>
      <sz val="8"/>
      <color indexed="9"/>
      <name val="Univers 45 Light"/>
      <family val="2"/>
    </font>
    <font>
      <sz val="9"/>
      <name val="Univers 45 Light"/>
      <family val="2"/>
    </font>
    <font>
      <b/>
      <i/>
      <sz val="9"/>
      <name val="Univers 45 Light"/>
      <family val="2"/>
    </font>
    <font>
      <sz val="8"/>
      <name val="Calibri"/>
      <family val="2"/>
    </font>
    <font>
      <sz val="10"/>
      <color indexed="60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11"/>
      <color indexed="30"/>
      <name val="Arial"/>
      <family val="2"/>
    </font>
    <font>
      <b/>
      <sz val="10"/>
      <color indexed="18"/>
      <name val="Arial"/>
      <family val="2"/>
    </font>
    <font>
      <i/>
      <sz val="12"/>
      <name val="Arial"/>
      <family val="2"/>
    </font>
    <font>
      <b/>
      <sz val="10"/>
      <color indexed="30"/>
      <name val="Arial"/>
      <family val="2"/>
    </font>
    <font>
      <sz val="11"/>
      <name val="Arial"/>
      <family val="2"/>
    </font>
    <font>
      <b/>
      <i/>
      <sz val="10"/>
      <color indexed="8"/>
      <name val="Arial"/>
      <family val="2"/>
    </font>
    <font>
      <sz val="8"/>
      <color indexed="8"/>
      <name val="Calibri"/>
      <family val="2"/>
    </font>
    <font>
      <b/>
      <i/>
      <sz val="8"/>
      <name val="Univers 45 Light"/>
      <family val="2"/>
    </font>
    <font>
      <i/>
      <sz val="8"/>
      <name val="Univers 45 Light"/>
      <family val="2"/>
    </font>
    <font>
      <b/>
      <i/>
      <sz val="8"/>
      <color indexed="9"/>
      <name val="Univers 45 Light"/>
      <family val="2"/>
    </font>
    <font>
      <b/>
      <sz val="11"/>
      <color indexed="9"/>
      <name val="Calibri"/>
      <family val="2"/>
    </font>
    <font>
      <sz val="12"/>
      <name val="Tahoma"/>
      <family val="2"/>
    </font>
    <font>
      <sz val="12"/>
      <color indexed="9"/>
      <name val="Tahoma"/>
      <family val="2"/>
    </font>
    <font>
      <b/>
      <sz val="12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sz val="10"/>
      <color indexed="9"/>
      <name val="Tahoma"/>
      <family val="2"/>
    </font>
    <font>
      <b/>
      <sz val="10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b/>
      <i/>
      <sz val="12"/>
      <name val="Tahoma"/>
      <family val="2"/>
    </font>
    <font>
      <strike/>
      <sz val="10"/>
      <color indexed="10"/>
      <name val="Tahoma"/>
      <family val="2"/>
    </font>
    <font>
      <b/>
      <strike/>
      <sz val="10"/>
      <color indexed="10"/>
      <name val="Tahoma"/>
      <family val="2"/>
    </font>
    <font>
      <b/>
      <u val="double"/>
      <sz val="10"/>
      <name val="Tahoma"/>
      <family val="2"/>
    </font>
    <font>
      <b/>
      <u/>
      <sz val="10"/>
      <name val="Tahoma"/>
      <family val="2"/>
    </font>
    <font>
      <sz val="11"/>
      <color indexed="8"/>
      <name val="Calibri"/>
      <family val="2"/>
    </font>
    <font>
      <sz val="8"/>
      <name val="Univers 45 Light"/>
      <family val="2"/>
    </font>
    <font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44"/>
        <bgColor indexed="31"/>
      </patternFill>
    </fill>
    <fill>
      <patternFill patternType="solid">
        <fgColor indexed="50"/>
        <bgColor indexed="51"/>
      </patternFill>
    </fill>
    <fill>
      <patternFill patternType="solid">
        <fgColor indexed="40"/>
        <bgColor indexed="49"/>
      </patternFill>
    </fill>
    <fill>
      <patternFill patternType="solid">
        <fgColor indexed="15"/>
        <bgColor indexed="35"/>
      </patternFill>
    </fill>
    <fill>
      <patternFill patternType="solid">
        <fgColor indexed="19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23"/>
        <bgColor indexed="55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21"/>
        <bgColor indexed="38"/>
      </patternFill>
    </fill>
    <fill>
      <patternFill patternType="solid">
        <fgColor indexed="16"/>
        <bgColor indexed="37"/>
      </patternFill>
    </fill>
    <fill>
      <patternFill patternType="solid">
        <fgColor indexed="60"/>
        <bgColor indexed="25"/>
      </patternFill>
    </fill>
    <fill>
      <patternFill patternType="solid">
        <fgColor indexed="26"/>
        <bgColor indexed="9"/>
      </patternFill>
    </fill>
    <fill>
      <patternFill patternType="solid">
        <fgColor indexed="57"/>
        <bgColor indexed="21"/>
      </patternFill>
    </fill>
    <fill>
      <patternFill patternType="solid">
        <fgColor indexed="42"/>
        <bgColor indexed="64"/>
      </patternFill>
    </fill>
  </fills>
  <borders count="7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</borders>
  <cellStyleXfs count="135">
    <xf numFmtId="0" fontId="0" fillId="0" borderId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5" fontId="87" fillId="0" borderId="0" applyFill="0" applyBorder="0" applyAlignment="0" applyProtection="0"/>
    <xf numFmtId="164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1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7" fontId="87" fillId="0" borderId="0" applyFill="0" applyBorder="0" applyAlignment="0" applyProtection="0"/>
    <xf numFmtId="168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4" fontId="87" fillId="0" borderId="0" applyFill="0" applyBorder="0" applyAlignment="0" applyProtection="0"/>
    <xf numFmtId="166" fontId="87" fillId="0" borderId="0" applyFill="0" applyBorder="0" applyAlignment="0" applyProtection="0"/>
    <xf numFmtId="169" fontId="87" fillId="0" borderId="0" applyFill="0" applyBorder="0" applyAlignment="0" applyProtection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87" fillId="0" borderId="0"/>
    <xf numFmtId="0" fontId="1" fillId="0" borderId="0"/>
    <xf numFmtId="0" fontId="2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4" fillId="0" borderId="0"/>
    <xf numFmtId="0" fontId="4" fillId="0" borderId="0"/>
    <xf numFmtId="0" fontId="4" fillId="0" borderId="0"/>
    <xf numFmtId="170" fontId="5" fillId="0" borderId="0"/>
    <xf numFmtId="9" fontId="87" fillId="0" borderId="0" applyFill="0" applyBorder="0" applyAlignment="0" applyProtection="0"/>
    <xf numFmtId="9" fontId="87" fillId="0" borderId="0" applyFill="0" applyBorder="0" applyAlignment="0" applyProtection="0"/>
    <xf numFmtId="9" fontId="87" fillId="0" borderId="0" applyFill="0" applyBorder="0" applyAlignment="0" applyProtection="0"/>
    <xf numFmtId="9" fontId="87" fillId="0" borderId="0" applyFill="0" applyBorder="0" applyAlignment="0" applyProtection="0"/>
    <xf numFmtId="49" fontId="6" fillId="2" borderId="1">
      <alignment vertical="center"/>
    </xf>
    <xf numFmtId="49" fontId="1" fillId="3" borderId="1">
      <alignment vertical="center"/>
    </xf>
    <xf numFmtId="49" fontId="1" fillId="3" borderId="1">
      <alignment vertical="center"/>
    </xf>
  </cellStyleXfs>
  <cellXfs count="1024">
    <xf numFmtId="0" fontId="0" fillId="0" borderId="0" xfId="0"/>
    <xf numFmtId="0" fontId="1" fillId="3" borderId="0" xfId="103" applyFill="1" applyProtection="1"/>
    <xf numFmtId="0" fontId="1" fillId="3" borderId="0" xfId="103" applyNumberFormat="1" applyFill="1" applyAlignment="1" applyProtection="1">
      <alignment horizontal="left"/>
    </xf>
    <xf numFmtId="0" fontId="1" fillId="4" borderId="2" xfId="103" applyFill="1" applyBorder="1" applyProtection="1">
      <protection hidden="1"/>
    </xf>
    <xf numFmtId="0" fontId="1" fillId="4" borderId="3" xfId="103" applyFill="1" applyBorder="1" applyProtection="1">
      <protection hidden="1"/>
    </xf>
    <xf numFmtId="0" fontId="1" fillId="4" borderId="4" xfId="103" applyFill="1" applyBorder="1" applyProtection="1">
      <protection hidden="1"/>
    </xf>
    <xf numFmtId="0" fontId="1" fillId="4" borderId="5" xfId="103" applyFont="1" applyFill="1" applyBorder="1" applyProtection="1">
      <protection hidden="1"/>
    </xf>
    <xf numFmtId="0" fontId="7" fillId="5" borderId="6" xfId="103" applyNumberFormat="1" applyFont="1" applyFill="1" applyBorder="1" applyAlignment="1" applyProtection="1">
      <alignment horizontal="left"/>
      <protection hidden="1"/>
    </xf>
    <xf numFmtId="0" fontId="7" fillId="5" borderId="7" xfId="103" applyNumberFormat="1" applyFont="1" applyFill="1" applyBorder="1" applyProtection="1">
      <protection hidden="1"/>
    </xf>
    <xf numFmtId="0" fontId="1" fillId="5" borderId="8" xfId="103" applyFill="1" applyBorder="1" applyProtection="1">
      <protection hidden="1"/>
    </xf>
    <xf numFmtId="0" fontId="1" fillId="5" borderId="9" xfId="103" applyFill="1" applyBorder="1" applyProtection="1">
      <protection hidden="1"/>
    </xf>
    <xf numFmtId="0" fontId="1" fillId="6" borderId="0" xfId="103" applyFont="1" applyFill="1" applyProtection="1"/>
    <xf numFmtId="164" fontId="1" fillId="5" borderId="0" xfId="7" applyFont="1" applyFill="1" applyBorder="1" applyAlignment="1" applyProtection="1"/>
    <xf numFmtId="164" fontId="1" fillId="6" borderId="0" xfId="7" applyFont="1" applyFill="1" applyBorder="1" applyAlignment="1" applyProtection="1"/>
    <xf numFmtId="164" fontId="1" fillId="7" borderId="0" xfId="7" applyFont="1" applyFill="1" applyBorder="1" applyAlignment="1" applyProtection="1"/>
    <xf numFmtId="0" fontId="7" fillId="5" borderId="6" xfId="103" applyNumberFormat="1" applyFont="1" applyFill="1" applyBorder="1" applyAlignment="1" applyProtection="1">
      <alignment horizontal="right"/>
      <protection hidden="1"/>
    </xf>
    <xf numFmtId="0" fontId="1" fillId="4" borderId="0" xfId="103" applyFill="1" applyBorder="1" applyProtection="1">
      <protection hidden="1"/>
    </xf>
    <xf numFmtId="0" fontId="1" fillId="4" borderId="10" xfId="103" applyFill="1" applyBorder="1" applyProtection="1">
      <protection hidden="1"/>
    </xf>
    <xf numFmtId="0" fontId="7" fillId="5" borderId="6" xfId="103" applyNumberFormat="1" applyFont="1" applyFill="1" applyBorder="1" applyProtection="1">
      <protection hidden="1"/>
    </xf>
    <xf numFmtId="164" fontId="1" fillId="3" borderId="0" xfId="7" applyFont="1" applyFill="1" applyBorder="1" applyAlignment="1" applyProtection="1"/>
    <xf numFmtId="171" fontId="7" fillId="8" borderId="6" xfId="103" applyNumberFormat="1" applyFont="1" applyFill="1" applyBorder="1" applyAlignment="1" applyProtection="1">
      <alignment horizontal="left"/>
      <protection locked="0" hidden="1"/>
    </xf>
    <xf numFmtId="171" fontId="7" fillId="8" borderId="6" xfId="103" applyNumberFormat="1" applyFont="1" applyFill="1" applyBorder="1" applyAlignment="1" applyProtection="1">
      <alignment horizontal="left"/>
      <protection locked="0"/>
    </xf>
    <xf numFmtId="0" fontId="7" fillId="4" borderId="0" xfId="103" applyNumberFormat="1" applyFont="1" applyFill="1" applyBorder="1" applyProtection="1">
      <protection hidden="1"/>
    </xf>
    <xf numFmtId="164" fontId="1" fillId="9" borderId="0" xfId="7" applyFont="1" applyFill="1" applyBorder="1" applyAlignment="1" applyProtection="1"/>
    <xf numFmtId="164" fontId="1" fillId="10" borderId="0" xfId="7" applyFont="1" applyFill="1" applyBorder="1" applyAlignment="1" applyProtection="1"/>
    <xf numFmtId="0" fontId="1" fillId="4" borderId="11" xfId="103" applyFill="1" applyBorder="1" applyProtection="1"/>
    <xf numFmtId="0" fontId="1" fillId="4" borderId="12" xfId="103" applyFill="1" applyBorder="1" applyProtection="1"/>
    <xf numFmtId="0" fontId="8" fillId="4" borderId="13" xfId="103" applyFont="1" applyFill="1" applyBorder="1" applyAlignment="1" applyProtection="1">
      <alignment horizontal="right"/>
    </xf>
    <xf numFmtId="164" fontId="1" fillId="3" borderId="0" xfId="103" applyNumberFormat="1" applyFill="1" applyProtection="1"/>
    <xf numFmtId="0" fontId="1" fillId="3" borderId="0" xfId="103" applyNumberFormat="1" applyFill="1" applyAlignment="1" applyProtection="1">
      <alignment horizontal="center"/>
    </xf>
    <xf numFmtId="0" fontId="9" fillId="0" borderId="0" xfId="115" applyFont="1" applyFill="1" applyBorder="1" applyAlignment="1" applyProtection="1">
      <alignment vertical="top"/>
      <protection locked="0"/>
    </xf>
    <xf numFmtId="0" fontId="9" fillId="0" borderId="0" xfId="115" applyFont="1" applyFill="1" applyBorder="1" applyAlignment="1" applyProtection="1">
      <alignment vertical="top" wrapText="1"/>
      <protection locked="0"/>
    </xf>
    <xf numFmtId="0" fontId="9" fillId="0" borderId="0" xfId="115" applyFont="1" applyFill="1" applyBorder="1" applyAlignment="1" applyProtection="1">
      <alignment vertical="top"/>
    </xf>
    <xf numFmtId="0" fontId="10" fillId="0" borderId="0" xfId="115" applyFont="1" applyFill="1" applyBorder="1" applyAlignment="1" applyProtection="1">
      <alignment vertical="top"/>
      <protection locked="0"/>
    </xf>
    <xf numFmtId="0" fontId="10" fillId="0" borderId="14" xfId="115" applyFont="1" applyFill="1" applyBorder="1" applyAlignment="1" applyProtection="1">
      <alignment vertical="top"/>
      <protection locked="0"/>
    </xf>
    <xf numFmtId="0" fontId="10" fillId="0" borderId="15" xfId="115" applyFont="1" applyFill="1" applyBorder="1" applyAlignment="1" applyProtection="1">
      <alignment vertical="top"/>
      <protection locked="0"/>
    </xf>
    <xf numFmtId="0" fontId="10" fillId="0" borderId="15" xfId="115" applyFont="1" applyFill="1" applyBorder="1" applyAlignment="1" applyProtection="1">
      <alignment vertical="top" wrapText="1"/>
      <protection locked="0"/>
    </xf>
    <xf numFmtId="0" fontId="10" fillId="0" borderId="15" xfId="115" applyFont="1" applyFill="1" applyBorder="1" applyAlignment="1" applyProtection="1">
      <alignment vertical="top"/>
    </xf>
    <xf numFmtId="0" fontId="9" fillId="0" borderId="15" xfId="115" applyFont="1" applyFill="1" applyBorder="1" applyAlignment="1" applyProtection="1">
      <alignment vertical="top"/>
    </xf>
    <xf numFmtId="0" fontId="9" fillId="0" borderId="16" xfId="115" applyFont="1" applyFill="1" applyBorder="1" applyAlignment="1" applyProtection="1">
      <alignment vertical="top"/>
    </xf>
    <xf numFmtId="0" fontId="9" fillId="0" borderId="0" xfId="115" applyNumberFormat="1" applyFont="1" applyFill="1" applyBorder="1" applyAlignment="1" applyProtection="1">
      <alignment vertical="top"/>
      <protection locked="0"/>
    </xf>
    <xf numFmtId="0" fontId="11" fillId="9" borderId="17" xfId="0" applyFont="1" applyFill="1" applyBorder="1"/>
    <xf numFmtId="0" fontId="11" fillId="9" borderId="18" xfId="0" applyFont="1" applyFill="1" applyBorder="1"/>
    <xf numFmtId="0" fontId="11" fillId="0" borderId="18" xfId="0" applyFont="1" applyFill="1" applyBorder="1"/>
    <xf numFmtId="0" fontId="9" fillId="0" borderId="18" xfId="115" applyFont="1" applyFill="1" applyBorder="1" applyAlignment="1" applyProtection="1">
      <alignment vertical="top"/>
      <protection locked="0"/>
    </xf>
    <xf numFmtId="0" fontId="11" fillId="0" borderId="18" xfId="0" applyFont="1" applyFill="1" applyBorder="1" applyAlignment="1">
      <alignment horizontal="center"/>
    </xf>
    <xf numFmtId="172" fontId="12" fillId="0" borderId="18" xfId="0" applyNumberFormat="1" applyFont="1" applyFill="1" applyBorder="1" applyAlignment="1" applyProtection="1">
      <alignment horizontal="left" wrapText="1"/>
    </xf>
    <xf numFmtId="0" fontId="9" fillId="0" borderId="18" xfId="115" applyNumberFormat="1" applyFont="1" applyFill="1" applyBorder="1" applyAlignment="1" applyProtection="1">
      <alignment vertical="top"/>
    </xf>
    <xf numFmtId="0" fontId="9" fillId="0" borderId="19" xfId="115" applyNumberFormat="1" applyFont="1" applyFill="1" applyBorder="1" applyAlignment="1" applyProtection="1">
      <alignment vertical="top"/>
    </xf>
    <xf numFmtId="0" fontId="11" fillId="9" borderId="20" xfId="0" applyFont="1" applyFill="1" applyBorder="1"/>
    <xf numFmtId="0" fontId="11" fillId="9" borderId="6" xfId="0" applyFont="1" applyFill="1" applyBorder="1"/>
    <xf numFmtId="0" fontId="11" fillId="0" borderId="6" xfId="0" applyFont="1" applyFill="1" applyBorder="1"/>
    <xf numFmtId="0" fontId="9" fillId="0" borderId="6" xfId="0" applyFont="1" applyFill="1" applyBorder="1"/>
    <xf numFmtId="0" fontId="11" fillId="0" borderId="6" xfId="0" applyFont="1" applyFill="1" applyBorder="1" applyAlignment="1">
      <alignment horizontal="center"/>
    </xf>
    <xf numFmtId="172" fontId="10" fillId="0" borderId="6" xfId="0" applyNumberFormat="1" applyFont="1" applyFill="1" applyBorder="1" applyAlignment="1" applyProtection="1">
      <alignment wrapText="1"/>
    </xf>
    <xf numFmtId="0" fontId="9" fillId="0" borderId="6" xfId="115" applyNumberFormat="1" applyFont="1" applyFill="1" applyBorder="1" applyAlignment="1" applyProtection="1">
      <alignment vertical="top"/>
    </xf>
    <xf numFmtId="0" fontId="9" fillId="0" borderId="21" xfId="115" applyNumberFormat="1" applyFont="1" applyFill="1" applyBorder="1" applyAlignment="1" applyProtection="1">
      <alignment vertical="top"/>
    </xf>
    <xf numFmtId="0" fontId="9" fillId="9" borderId="20" xfId="0" applyFont="1" applyFill="1" applyBorder="1"/>
    <xf numFmtId="0" fontId="9" fillId="9" borderId="6" xfId="0" applyFont="1" applyFill="1" applyBorder="1"/>
    <xf numFmtId="0" fontId="9" fillId="0" borderId="6" xfId="0" applyFont="1" applyFill="1" applyBorder="1" applyAlignment="1">
      <alignment horizontal="center"/>
    </xf>
    <xf numFmtId="172" fontId="10" fillId="0" borderId="6" xfId="0" applyNumberFormat="1" applyFont="1" applyFill="1" applyBorder="1" applyAlignment="1" applyProtection="1">
      <alignment horizontal="left" vertical="center" wrapText="1"/>
    </xf>
    <xf numFmtId="0" fontId="1" fillId="0" borderId="6" xfId="121" applyFont="1" applyFill="1" applyBorder="1"/>
    <xf numFmtId="0" fontId="2" fillId="0" borderId="0" xfId="0" applyFont="1" applyFill="1" applyBorder="1"/>
    <xf numFmtId="172" fontId="9" fillId="0" borderId="6" xfId="0" applyNumberFormat="1" applyFont="1" applyFill="1" applyBorder="1" applyAlignment="1" applyProtection="1">
      <alignment horizontal="left" vertical="center" wrapText="1"/>
    </xf>
    <xf numFmtId="172" fontId="9" fillId="0" borderId="6" xfId="0" applyNumberFormat="1" applyFont="1" applyFill="1" applyBorder="1" applyAlignment="1" applyProtection="1">
      <alignment horizontal="justify" vertical="top" wrapText="1"/>
    </xf>
    <xf numFmtId="0" fontId="9" fillId="0" borderId="6" xfId="115" applyFont="1" applyFill="1" applyBorder="1" applyAlignment="1" applyProtection="1">
      <alignment vertical="top"/>
      <protection locked="0"/>
    </xf>
    <xf numFmtId="172" fontId="9" fillId="0" borderId="6" xfId="0" applyNumberFormat="1" applyFont="1" applyFill="1" applyBorder="1" applyAlignment="1" applyProtection="1">
      <alignment vertical="center" wrapText="1"/>
    </xf>
    <xf numFmtId="172" fontId="9" fillId="9" borderId="20" xfId="110" applyNumberFormat="1" applyFont="1" applyFill="1" applyBorder="1" applyAlignment="1" applyProtection="1"/>
    <xf numFmtId="172" fontId="9" fillId="9" borderId="6" xfId="110" applyNumberFormat="1" applyFont="1" applyFill="1" applyBorder="1" applyAlignment="1" applyProtection="1"/>
    <xf numFmtId="172" fontId="9" fillId="0" borderId="6" xfId="110" applyNumberFormat="1" applyFont="1" applyFill="1" applyBorder="1" applyAlignment="1" applyProtection="1"/>
    <xf numFmtId="172" fontId="9" fillId="0" borderId="6" xfId="110" applyNumberFormat="1" applyFont="1" applyFill="1" applyBorder="1" applyAlignment="1" applyProtection="1">
      <alignment horizontal="left" vertical="center" wrapText="1"/>
    </xf>
    <xf numFmtId="0" fontId="9" fillId="0" borderId="6" xfId="110" applyFont="1" applyFill="1" applyBorder="1" applyAlignment="1">
      <alignment horizontal="left" wrapText="1"/>
    </xf>
    <xf numFmtId="172" fontId="9" fillId="0" borderId="6" xfId="110" applyNumberFormat="1" applyFont="1" applyFill="1" applyBorder="1" applyAlignment="1" applyProtection="1">
      <alignment horizontal="justify" vertical="center" wrapText="1"/>
    </xf>
    <xf numFmtId="172" fontId="9" fillId="0" borderId="6" xfId="110" applyNumberFormat="1" applyFont="1" applyFill="1" applyBorder="1" applyAlignment="1" applyProtection="1">
      <alignment horizontal="justify" vertical="top" wrapText="1"/>
    </xf>
    <xf numFmtId="172" fontId="9" fillId="0" borderId="6" xfId="110" applyNumberFormat="1" applyFont="1" applyFill="1" applyBorder="1" applyAlignment="1" applyProtection="1">
      <alignment wrapText="1"/>
    </xf>
    <xf numFmtId="0" fontId="13" fillId="0" borderId="6" xfId="0" applyFont="1" applyFill="1" applyBorder="1"/>
    <xf numFmtId="172" fontId="9" fillId="0" borderId="6" xfId="0" applyNumberFormat="1" applyFont="1" applyFill="1" applyBorder="1" applyAlignment="1" applyProtection="1">
      <alignment horizontal="left" vertical="center" wrapText="1" indent="2"/>
    </xf>
    <xf numFmtId="0" fontId="14" fillId="9" borderId="20" xfId="0" applyFont="1" applyFill="1" applyBorder="1"/>
    <xf numFmtId="0" fontId="11" fillId="7" borderId="20" xfId="0" applyFont="1" applyFill="1" applyBorder="1"/>
    <xf numFmtId="172" fontId="15" fillId="0" borderId="22" xfId="0" applyNumberFormat="1" applyFont="1" applyFill="1" applyBorder="1" applyAlignment="1" applyProtection="1">
      <alignment horizontal="left" vertical="center" wrapText="1"/>
    </xf>
    <xf numFmtId="0" fontId="15" fillId="3" borderId="22" xfId="99" applyFont="1" applyFill="1" applyBorder="1" applyAlignment="1" applyProtection="1">
      <alignment vertical="center" wrapText="1"/>
    </xf>
    <xf numFmtId="0" fontId="2" fillId="0" borderId="6" xfId="0" applyFont="1" applyFill="1" applyBorder="1"/>
    <xf numFmtId="0" fontId="11" fillId="7" borderId="6" xfId="0" applyFont="1" applyFill="1" applyBorder="1"/>
    <xf numFmtId="0" fontId="11" fillId="7" borderId="0" xfId="115" applyFont="1" applyFill="1" applyBorder="1" applyAlignment="1" applyProtection="1">
      <alignment vertical="top"/>
      <protection locked="0"/>
    </xf>
    <xf numFmtId="0" fontId="9" fillId="7" borderId="6" xfId="0" applyFont="1" applyFill="1" applyBorder="1"/>
    <xf numFmtId="0" fontId="9" fillId="7" borderId="0" xfId="115" applyFont="1" applyFill="1" applyBorder="1" applyAlignment="1" applyProtection="1">
      <alignment vertical="top"/>
      <protection locked="0"/>
    </xf>
    <xf numFmtId="0" fontId="2" fillId="0" borderId="6" xfId="0" applyFont="1" applyBorder="1"/>
    <xf numFmtId="0" fontId="9" fillId="7" borderId="20" xfId="0" applyFont="1" applyFill="1" applyBorder="1"/>
    <xf numFmtId="0" fontId="9" fillId="0" borderId="0" xfId="0" applyFont="1" applyFill="1" applyBorder="1"/>
    <xf numFmtId="172" fontId="16" fillId="0" borderId="22" xfId="0" applyNumberFormat="1" applyFont="1" applyFill="1" applyBorder="1" applyAlignment="1" applyProtection="1">
      <alignment horizontal="left" vertical="center" wrapText="1"/>
    </xf>
    <xf numFmtId="172" fontId="10" fillId="0" borderId="6" xfId="0" applyNumberFormat="1" applyFont="1" applyFill="1" applyBorder="1" applyAlignment="1" applyProtection="1">
      <alignment horizontal="left" vertical="center" wrapText="1" indent="2"/>
    </xf>
    <xf numFmtId="172" fontId="9" fillId="9" borderId="20" xfId="0" applyNumberFormat="1" applyFont="1" applyFill="1" applyBorder="1" applyAlignment="1" applyProtection="1"/>
    <xf numFmtId="49" fontId="9" fillId="9" borderId="20" xfId="0" applyNumberFormat="1" applyFont="1" applyFill="1" applyBorder="1" applyAlignment="1" applyProtection="1"/>
    <xf numFmtId="49" fontId="9" fillId="7" borderId="20" xfId="0" applyNumberFormat="1" applyFont="1" applyFill="1" applyBorder="1" applyAlignment="1" applyProtection="1"/>
    <xf numFmtId="172" fontId="9" fillId="0" borderId="6" xfId="115" applyNumberFormat="1" applyFont="1" applyFill="1" applyBorder="1" applyAlignment="1" applyProtection="1">
      <alignment vertical="top"/>
    </xf>
    <xf numFmtId="0" fontId="15" fillId="0" borderId="22" xfId="105" applyFont="1" applyFill="1" applyBorder="1" applyAlignment="1">
      <alignment horizontal="left" vertical="center" wrapText="1"/>
    </xf>
    <xf numFmtId="172" fontId="9" fillId="0" borderId="6" xfId="0" applyNumberFormat="1" applyFont="1" applyFill="1" applyBorder="1" applyAlignment="1" applyProtection="1">
      <alignment horizontal="center" wrapText="1"/>
    </xf>
    <xf numFmtId="172" fontId="1" fillId="3" borderId="6" xfId="0" applyNumberFormat="1" applyFont="1" applyFill="1" applyBorder="1" applyAlignment="1" applyProtection="1">
      <alignment horizontal="left" vertical="center" wrapText="1" indent="4"/>
    </xf>
    <xf numFmtId="172" fontId="9" fillId="7" borderId="20" xfId="0" applyNumberFormat="1" applyFont="1" applyFill="1" applyBorder="1" applyAlignment="1" applyProtection="1"/>
    <xf numFmtId="0" fontId="17" fillId="0" borderId="6" xfId="0" applyFont="1" applyBorder="1" applyAlignment="1">
      <alignment vertical="top"/>
    </xf>
    <xf numFmtId="0" fontId="18" fillId="0" borderId="0" xfId="0" applyFont="1" applyFill="1" applyBorder="1"/>
    <xf numFmtId="0" fontId="9" fillId="11" borderId="20" xfId="114" applyFont="1" applyFill="1" applyBorder="1" applyAlignment="1" applyProtection="1">
      <alignment vertical="top"/>
    </xf>
    <xf numFmtId="0" fontId="9" fillId="11" borderId="6" xfId="114" applyFont="1" applyFill="1" applyBorder="1" applyAlignment="1" applyProtection="1">
      <alignment vertical="top"/>
    </xf>
    <xf numFmtId="172" fontId="9" fillId="0" borderId="6" xfId="0" applyNumberFormat="1" applyFont="1" applyFill="1" applyBorder="1" applyAlignment="1" applyProtection="1">
      <alignment horizontal="left" vertical="center" wrapText="1" indent="4"/>
    </xf>
    <xf numFmtId="172" fontId="9" fillId="0" borderId="6" xfId="0" applyNumberFormat="1" applyFont="1" applyFill="1" applyBorder="1" applyAlignment="1" applyProtection="1">
      <alignment horizontal="left" vertical="center" wrapText="1" indent="3"/>
    </xf>
    <xf numFmtId="172" fontId="9" fillId="0" borderId="6" xfId="0" applyNumberFormat="1" applyFont="1" applyFill="1" applyBorder="1" applyAlignment="1" applyProtection="1">
      <alignment horizontal="left" indent="2"/>
    </xf>
    <xf numFmtId="172" fontId="9" fillId="0" borderId="6" xfId="0" applyNumberFormat="1" applyFont="1" applyFill="1" applyBorder="1" applyAlignment="1" applyProtection="1"/>
    <xf numFmtId="172" fontId="9" fillId="0" borderId="6" xfId="0" applyNumberFormat="1" applyFont="1" applyFill="1" applyBorder="1" applyAlignment="1" applyProtection="1">
      <alignment wrapText="1"/>
    </xf>
    <xf numFmtId="172" fontId="9" fillId="0" borderId="6" xfId="0" applyNumberFormat="1" applyFont="1" applyFill="1" applyBorder="1" applyAlignment="1" applyProtection="1">
      <alignment horizontal="left" wrapText="1" indent="3"/>
    </xf>
    <xf numFmtId="172" fontId="9" fillId="0" borderId="6" xfId="0" applyNumberFormat="1" applyFont="1" applyFill="1" applyBorder="1" applyAlignment="1" applyProtection="1">
      <alignment horizontal="left" vertical="top" wrapText="1" indent="3"/>
    </xf>
    <xf numFmtId="172" fontId="12" fillId="0" borderId="6" xfId="0" applyNumberFormat="1" applyFont="1" applyFill="1" applyBorder="1" applyAlignment="1" applyProtection="1">
      <alignment horizontal="left" wrapText="1"/>
    </xf>
    <xf numFmtId="172" fontId="9" fillId="0" borderId="6" xfId="0" applyNumberFormat="1" applyFont="1" applyFill="1" applyBorder="1" applyAlignment="1" applyProtection="1">
      <alignment horizontal="left" wrapText="1"/>
    </xf>
    <xf numFmtId="172" fontId="9" fillId="0" borderId="6" xfId="0" applyNumberFormat="1" applyFont="1" applyFill="1" applyBorder="1" applyAlignment="1" applyProtection="1">
      <alignment horizontal="left" wrapText="1" indent="2"/>
    </xf>
    <xf numFmtId="172" fontId="9" fillId="0" borderId="6" xfId="110" applyNumberFormat="1" applyFont="1" applyFill="1" applyBorder="1" applyAlignment="1" applyProtection="1">
      <alignment horizontal="left" vertical="top" wrapText="1" indent="2"/>
    </xf>
    <xf numFmtId="0" fontId="11" fillId="0" borderId="6" xfId="105" applyFont="1" applyFill="1" applyBorder="1" applyAlignment="1">
      <alignment wrapText="1"/>
    </xf>
    <xf numFmtId="49" fontId="9" fillId="11" borderId="20" xfId="114" applyNumberFormat="1" applyFont="1" applyFill="1" applyBorder="1" applyAlignment="1" applyProtection="1">
      <alignment vertical="top"/>
    </xf>
    <xf numFmtId="0" fontId="11" fillId="0" borderId="6" xfId="105" applyFont="1" applyFill="1" applyBorder="1" applyAlignment="1">
      <alignment horizontal="left" wrapText="1" indent="4"/>
    </xf>
    <xf numFmtId="172" fontId="9" fillId="0" borderId="6" xfId="0" applyNumberFormat="1" applyFont="1" applyFill="1" applyBorder="1" applyAlignment="1" applyProtection="1">
      <alignment horizontal="left" vertical="center" wrapText="1" indent="5"/>
    </xf>
    <xf numFmtId="0" fontId="2" fillId="0" borderId="0" xfId="0" applyFont="1"/>
    <xf numFmtId="0" fontId="11" fillId="0" borderId="6" xfId="105" applyFont="1" applyFill="1" applyBorder="1" applyAlignment="1">
      <alignment horizontal="left" wrapText="1" indent="3"/>
    </xf>
    <xf numFmtId="172" fontId="9" fillId="0" borderId="6" xfId="0" applyNumberFormat="1" applyFont="1" applyFill="1" applyBorder="1" applyAlignment="1" applyProtection="1">
      <alignment horizontal="left" vertical="center" wrapText="1" indent="1"/>
    </xf>
    <xf numFmtId="0" fontId="9" fillId="5" borderId="20" xfId="114" applyFont="1" applyFill="1" applyBorder="1" applyAlignment="1" applyProtection="1">
      <alignment vertical="top"/>
    </xf>
    <xf numFmtId="0" fontId="9" fillId="5" borderId="6" xfId="114" applyFont="1" applyFill="1" applyBorder="1" applyAlignment="1" applyProtection="1">
      <alignment vertical="top"/>
    </xf>
    <xf numFmtId="0" fontId="19" fillId="3" borderId="22" xfId="99" applyFont="1" applyFill="1" applyBorder="1" applyAlignment="1" applyProtection="1">
      <alignment horizontal="left" vertical="center" wrapText="1"/>
    </xf>
    <xf numFmtId="172" fontId="20" fillId="0" borderId="22" xfId="0" applyNumberFormat="1" applyFont="1" applyFill="1" applyBorder="1" applyAlignment="1" applyProtection="1">
      <alignment horizontal="left" vertical="center" wrapText="1"/>
    </xf>
    <xf numFmtId="49" fontId="9" fillId="5" borderId="20" xfId="114" applyNumberFormat="1" applyFont="1" applyFill="1" applyBorder="1" applyAlignment="1" applyProtection="1">
      <alignment vertical="top"/>
    </xf>
    <xf numFmtId="0" fontId="9" fillId="5" borderId="23" xfId="114" applyFont="1" applyFill="1" applyBorder="1" applyAlignment="1" applyProtection="1">
      <alignment vertical="top"/>
    </xf>
    <xf numFmtId="0" fontId="9" fillId="0" borderId="24" xfId="0" applyFont="1" applyFill="1" applyBorder="1"/>
    <xf numFmtId="0" fontId="9" fillId="0" borderId="24" xfId="0" applyFont="1" applyFill="1" applyBorder="1" applyAlignment="1">
      <alignment horizontal="center"/>
    </xf>
    <xf numFmtId="172" fontId="9" fillId="0" borderId="24" xfId="0" applyNumberFormat="1" applyFont="1" applyFill="1" applyBorder="1" applyAlignment="1" applyProtection="1">
      <alignment wrapText="1"/>
    </xf>
    <xf numFmtId="0" fontId="1" fillId="0" borderId="0" xfId="121"/>
    <xf numFmtId="0" fontId="1" fillId="0" borderId="0" xfId="121" applyFill="1" applyAlignment="1">
      <alignment vertical="center"/>
    </xf>
    <xf numFmtId="38" fontId="1" fillId="0" borderId="0" xfId="121" applyNumberFormat="1" applyFill="1" applyAlignment="1">
      <alignment horizontal="center" vertical="center"/>
    </xf>
    <xf numFmtId="38" fontId="1" fillId="0" borderId="0" xfId="121" applyNumberFormat="1" applyFill="1" applyAlignment="1">
      <alignment vertical="center"/>
    </xf>
    <xf numFmtId="170" fontId="22" fillId="0" borderId="0" xfId="121" applyNumberFormat="1" applyFont="1" applyAlignment="1" applyProtection="1">
      <alignment horizontal="center"/>
    </xf>
    <xf numFmtId="3" fontId="23" fillId="0" borderId="0" xfId="121" applyNumberFormat="1" applyFont="1" applyBorder="1" applyAlignment="1" applyProtection="1">
      <alignment horizontal="center" vertical="center" wrapText="1"/>
    </xf>
    <xf numFmtId="0" fontId="22" fillId="4" borderId="6" xfId="121" applyNumberFormat="1" applyFont="1" applyFill="1" applyBorder="1" applyAlignment="1" applyProtection="1">
      <alignment horizontal="left" vertical="center"/>
    </xf>
    <xf numFmtId="0" fontId="23" fillId="0" borderId="0" xfId="121" applyNumberFormat="1" applyFont="1" applyBorder="1" applyAlignment="1" applyProtection="1">
      <alignment horizontal="center" vertical="center"/>
    </xf>
    <xf numFmtId="0" fontId="24" fillId="12" borderId="15" xfId="121" applyFont="1" applyFill="1" applyBorder="1" applyAlignment="1">
      <alignment horizontal="center" vertical="center"/>
    </xf>
    <xf numFmtId="0" fontId="24" fillId="12" borderId="15" xfId="121" applyFont="1" applyFill="1" applyBorder="1" applyAlignment="1">
      <alignment vertical="center"/>
    </xf>
    <xf numFmtId="38" fontId="25" fillId="13" borderId="6" xfId="121" applyNumberFormat="1" applyFont="1" applyFill="1" applyBorder="1" applyAlignment="1" applyProtection="1">
      <alignment horizontal="center" vertical="center" wrapText="1"/>
    </xf>
    <xf numFmtId="38" fontId="25" fillId="9" borderId="6" xfId="121" applyNumberFormat="1" applyFont="1" applyFill="1" applyBorder="1" applyAlignment="1" applyProtection="1">
      <alignment horizontal="center" vertical="center" wrapText="1"/>
    </xf>
    <xf numFmtId="38" fontId="25" fillId="4" borderId="6" xfId="121" applyNumberFormat="1" applyFont="1" applyFill="1" applyBorder="1" applyAlignment="1" applyProtection="1">
      <alignment horizontal="center" vertical="center" wrapText="1"/>
    </xf>
    <xf numFmtId="38" fontId="1" fillId="6" borderId="6" xfId="121" applyNumberFormat="1" applyFont="1" applyFill="1" applyBorder="1" applyAlignment="1">
      <alignment horizontal="left" vertical="center"/>
    </xf>
    <xf numFmtId="38" fontId="1" fillId="6" borderId="6" xfId="121" applyNumberFormat="1" applyFill="1" applyBorder="1" applyAlignment="1">
      <alignment horizontal="right" vertical="center"/>
    </xf>
    <xf numFmtId="38" fontId="1" fillId="0" borderId="0" xfId="121" applyNumberFormat="1" applyFill="1" applyAlignment="1">
      <alignment horizontal="right" vertical="center"/>
    </xf>
    <xf numFmtId="0" fontId="1" fillId="0" borderId="0" xfId="121" applyFill="1" applyAlignment="1">
      <alignment horizontal="right" vertical="center"/>
    </xf>
    <xf numFmtId="38" fontId="7" fillId="14" borderId="6" xfId="121" applyNumberFormat="1" applyFont="1" applyFill="1" applyBorder="1" applyAlignment="1">
      <alignment horizontal="left" vertical="center"/>
    </xf>
    <xf numFmtId="38" fontId="7" fillId="14" borderId="6" xfId="121" applyNumberFormat="1" applyFont="1" applyFill="1" applyBorder="1" applyAlignment="1">
      <alignment horizontal="right" vertical="center"/>
    </xf>
    <xf numFmtId="38" fontId="7" fillId="0" borderId="6" xfId="121" applyNumberFormat="1" applyFont="1" applyFill="1" applyBorder="1" applyAlignment="1">
      <alignment horizontal="left" vertical="center"/>
    </xf>
    <xf numFmtId="38" fontId="7" fillId="0" borderId="6" xfId="121" applyNumberFormat="1" applyFont="1" applyFill="1" applyBorder="1" applyAlignment="1">
      <alignment horizontal="right" vertical="center"/>
    </xf>
    <xf numFmtId="10" fontId="7" fillId="0" borderId="6" xfId="121" applyNumberFormat="1" applyFont="1" applyFill="1" applyBorder="1" applyAlignment="1">
      <alignment horizontal="right" vertical="center"/>
    </xf>
    <xf numFmtId="38" fontId="1" fillId="4" borderId="6" xfId="121" applyNumberFormat="1" applyFont="1" applyFill="1" applyBorder="1" applyAlignment="1">
      <alignment horizontal="left" vertical="center"/>
    </xf>
    <xf numFmtId="38" fontId="1" fillId="4" borderId="6" xfId="121" applyNumberFormat="1" applyFill="1" applyBorder="1" applyAlignment="1">
      <alignment horizontal="right" vertical="center"/>
    </xf>
    <xf numFmtId="10" fontId="1" fillId="4" borderId="6" xfId="121" applyNumberFormat="1" applyFill="1" applyBorder="1" applyAlignment="1">
      <alignment horizontal="right" vertical="center"/>
    </xf>
    <xf numFmtId="0" fontId="1" fillId="0" borderId="0" xfId="121" applyFont="1"/>
    <xf numFmtId="38" fontId="1" fillId="0" borderId="6" xfId="121" applyNumberFormat="1" applyFont="1" applyFill="1" applyBorder="1" applyAlignment="1">
      <alignment horizontal="left" vertical="center"/>
    </xf>
    <xf numFmtId="38" fontId="1" fillId="0" borderId="6" xfId="121" applyNumberFormat="1" applyFill="1" applyBorder="1" applyAlignment="1">
      <alignment horizontal="right" vertical="center"/>
    </xf>
    <xf numFmtId="10" fontId="1" fillId="0" borderId="6" xfId="121" applyNumberFormat="1" applyFill="1" applyBorder="1" applyAlignment="1">
      <alignment horizontal="right" vertical="center"/>
    </xf>
    <xf numFmtId="38" fontId="1" fillId="6" borderId="6" xfId="121" applyNumberFormat="1" applyFont="1" applyFill="1" applyBorder="1" applyAlignment="1">
      <alignment horizontal="center" vertical="center"/>
    </xf>
    <xf numFmtId="38" fontId="7" fillId="0" borderId="6" xfId="121" applyNumberFormat="1" applyFont="1" applyFill="1" applyBorder="1" applyAlignment="1">
      <alignment horizontal="left" vertical="center" wrapText="1"/>
    </xf>
    <xf numFmtId="0" fontId="1" fillId="0" borderId="0" xfId="121" applyFont="1" applyFill="1"/>
    <xf numFmtId="38" fontId="1" fillId="4" borderId="25" xfId="121" applyNumberFormat="1" applyFill="1" applyBorder="1" applyAlignment="1">
      <alignment horizontal="right" vertical="center"/>
    </xf>
    <xf numFmtId="10" fontId="1" fillId="4" borderId="26" xfId="121" applyNumberFormat="1" applyFill="1" applyBorder="1" applyAlignment="1">
      <alignment horizontal="right" vertical="center"/>
    </xf>
    <xf numFmtId="38" fontId="7" fillId="14" borderId="27" xfId="121" applyNumberFormat="1" applyFont="1" applyFill="1" applyBorder="1" applyAlignment="1">
      <alignment horizontal="right" vertical="center"/>
    </xf>
    <xf numFmtId="10" fontId="7" fillId="14" borderId="27" xfId="121" applyNumberFormat="1" applyFont="1" applyFill="1" applyBorder="1" applyAlignment="1">
      <alignment horizontal="right" vertical="center"/>
    </xf>
    <xf numFmtId="38" fontId="1" fillId="14" borderId="6" xfId="121" applyNumberFormat="1" applyFont="1" applyFill="1" applyBorder="1" applyAlignment="1">
      <alignment horizontal="left" vertical="center"/>
    </xf>
    <xf numFmtId="38" fontId="1" fillId="14" borderId="6" xfId="121" applyNumberFormat="1" applyFill="1" applyBorder="1" applyAlignment="1">
      <alignment horizontal="right" vertical="center"/>
    </xf>
    <xf numFmtId="10" fontId="1" fillId="14" borderId="6" xfId="121" applyNumberFormat="1" applyFill="1" applyBorder="1" applyAlignment="1">
      <alignment horizontal="right" vertical="center"/>
    </xf>
    <xf numFmtId="38" fontId="1" fillId="4" borderId="26" xfId="121" applyNumberFormat="1" applyFill="1" applyBorder="1" applyAlignment="1">
      <alignment horizontal="right" vertical="center"/>
    </xf>
    <xf numFmtId="10" fontId="1" fillId="4" borderId="27" xfId="121" applyNumberFormat="1" applyFill="1" applyBorder="1" applyAlignment="1">
      <alignment horizontal="right" vertical="center"/>
    </xf>
    <xf numFmtId="0" fontId="1" fillId="0" borderId="0" xfId="121" applyFont="1" applyFill="1" applyBorder="1" applyAlignment="1">
      <alignment vertical="center"/>
    </xf>
    <xf numFmtId="38" fontId="1" fillId="0" borderId="0" xfId="121" applyNumberFormat="1" applyFill="1" applyBorder="1" applyAlignment="1">
      <alignment horizontal="right" vertical="center"/>
    </xf>
    <xf numFmtId="10" fontId="7" fillId="14" borderId="6" xfId="121" applyNumberFormat="1" applyFont="1" applyFill="1" applyBorder="1" applyAlignment="1">
      <alignment horizontal="right" vertical="center"/>
    </xf>
    <xf numFmtId="0" fontId="1" fillId="0" borderId="0" xfId="121" applyFill="1" applyBorder="1" applyAlignment="1">
      <alignment horizontal="right" vertical="center"/>
    </xf>
    <xf numFmtId="0" fontId="1" fillId="0" borderId="0" xfId="121" applyFont="1" applyBorder="1"/>
    <xf numFmtId="38" fontId="7" fillId="15" borderId="6" xfId="121" applyNumberFormat="1" applyFont="1" applyFill="1" applyBorder="1" applyAlignment="1">
      <alignment horizontal="left" vertical="center"/>
    </xf>
    <xf numFmtId="38" fontId="7" fillId="15" borderId="6" xfId="121" applyNumberFormat="1" applyFont="1" applyFill="1" applyBorder="1" applyAlignment="1">
      <alignment horizontal="right" vertical="center"/>
    </xf>
    <xf numFmtId="38" fontId="7" fillId="15" borderId="24" xfId="121" applyNumberFormat="1" applyFont="1" applyFill="1" applyBorder="1" applyAlignment="1">
      <alignment horizontal="right" vertical="center"/>
    </xf>
    <xf numFmtId="10" fontId="7" fillId="15" borderId="24" xfId="121" applyNumberFormat="1" applyFont="1" applyFill="1" applyBorder="1" applyAlignment="1">
      <alignment horizontal="right" vertical="center"/>
    </xf>
    <xf numFmtId="0" fontId="1" fillId="0" borderId="0" xfId="121" applyFont="1" applyFill="1" applyBorder="1"/>
    <xf numFmtId="10" fontId="1" fillId="6" borderId="6" xfId="121" applyNumberFormat="1" applyFill="1" applyBorder="1" applyAlignment="1">
      <alignment horizontal="right" vertical="center"/>
    </xf>
    <xf numFmtId="10" fontId="7" fillId="4" borderId="6" xfId="121" applyNumberFormat="1" applyFont="1" applyFill="1" applyBorder="1" applyAlignment="1">
      <alignment horizontal="right" vertical="center"/>
    </xf>
    <xf numFmtId="10" fontId="1" fillId="4" borderId="6" xfId="121" applyNumberFormat="1" applyFont="1" applyFill="1" applyBorder="1" applyAlignment="1">
      <alignment horizontal="right" vertical="center"/>
    </xf>
    <xf numFmtId="38" fontId="1" fillId="9" borderId="6" xfId="121" applyNumberFormat="1" applyFill="1" applyBorder="1" applyAlignment="1">
      <alignment horizontal="right" vertical="center"/>
    </xf>
    <xf numFmtId="38" fontId="7" fillId="14" borderId="28" xfId="121" applyNumberFormat="1" applyFont="1" applyFill="1" applyBorder="1" applyAlignment="1">
      <alignment horizontal="right" vertical="center"/>
    </xf>
    <xf numFmtId="10" fontId="7" fillId="14" borderId="26" xfId="121" applyNumberFormat="1" applyFont="1" applyFill="1" applyBorder="1" applyAlignment="1">
      <alignment horizontal="right" vertical="center"/>
    </xf>
    <xf numFmtId="38" fontId="7" fillId="15" borderId="27" xfId="121" applyNumberFormat="1" applyFont="1" applyFill="1" applyBorder="1" applyAlignment="1">
      <alignment horizontal="right" vertical="center"/>
    </xf>
    <xf numFmtId="10" fontId="7" fillId="15" borderId="27" xfId="121" applyNumberFormat="1" applyFont="1" applyFill="1" applyBorder="1" applyAlignment="1">
      <alignment horizontal="right" vertical="center"/>
    </xf>
    <xf numFmtId="10" fontId="1" fillId="4" borderId="25" xfId="121" applyNumberFormat="1" applyFill="1" applyBorder="1" applyAlignment="1">
      <alignment horizontal="right" vertical="center"/>
    </xf>
    <xf numFmtId="38" fontId="7" fillId="14" borderId="24" xfId="121" applyNumberFormat="1" applyFont="1" applyFill="1" applyBorder="1" applyAlignment="1">
      <alignment horizontal="right" vertical="center"/>
    </xf>
    <xf numFmtId="10" fontId="7" fillId="14" borderId="24" xfId="121" applyNumberFormat="1" applyFont="1" applyFill="1" applyBorder="1" applyAlignment="1">
      <alignment horizontal="right" vertical="center"/>
    </xf>
    <xf numFmtId="0" fontId="1" fillId="16" borderId="0" xfId="121" applyFont="1" applyFill="1" applyAlignment="1">
      <alignment horizontal="right" vertical="center"/>
    </xf>
    <xf numFmtId="38" fontId="1" fillId="16" borderId="0" xfId="121" applyNumberFormat="1" applyFill="1" applyAlignment="1">
      <alignment horizontal="right" vertical="center"/>
    </xf>
    <xf numFmtId="3" fontId="26" fillId="0" borderId="0" xfId="121" applyNumberFormat="1" applyFont="1" applyBorder="1" applyAlignment="1" applyProtection="1">
      <alignment horizontal="left" vertical="top"/>
    </xf>
    <xf numFmtId="0" fontId="1" fillId="0" borderId="0" xfId="121" applyProtection="1"/>
    <xf numFmtId="3" fontId="26" fillId="0" borderId="0" xfId="121" applyNumberFormat="1" applyFont="1" applyBorder="1" applyAlignment="1" applyProtection="1">
      <alignment vertical="top"/>
    </xf>
    <xf numFmtId="0" fontId="0" fillId="0" borderId="0" xfId="0" applyAlignment="1">
      <alignment wrapText="1"/>
    </xf>
    <xf numFmtId="173" fontId="7" fillId="3" borderId="0" xfId="0" applyNumberFormat="1" applyFont="1" applyFill="1" applyAlignment="1" applyProtection="1"/>
    <xf numFmtId="173" fontId="0" fillId="0" borderId="0" xfId="0" applyNumberFormat="1"/>
    <xf numFmtId="173" fontId="0" fillId="0" borderId="0" xfId="0" applyNumberFormat="1" applyProtection="1"/>
    <xf numFmtId="173" fontId="0" fillId="0" borderId="0" xfId="0" applyNumberFormat="1" applyFill="1" applyProtection="1"/>
    <xf numFmtId="164" fontId="0" fillId="0" borderId="0" xfId="7" applyFont="1" applyFill="1" applyBorder="1" applyAlignment="1" applyProtection="1"/>
    <xf numFmtId="172" fontId="7" fillId="3" borderId="0" xfId="0" applyNumberFormat="1" applyFont="1" applyFill="1" applyAlignment="1" applyProtection="1"/>
    <xf numFmtId="172" fontId="0" fillId="3" borderId="0" xfId="0" applyNumberFormat="1" applyFill="1" applyAlignment="1" applyProtection="1"/>
    <xf numFmtId="0" fontId="27" fillId="3" borderId="0" xfId="0" applyFont="1" applyFill="1"/>
    <xf numFmtId="172" fontId="1" fillId="3" borderId="29" xfId="0" applyNumberFormat="1" applyFont="1" applyFill="1" applyBorder="1" applyAlignment="1" applyProtection="1">
      <alignment horizontal="center" wrapText="1"/>
    </xf>
    <xf numFmtId="172" fontId="1" fillId="3" borderId="30" xfId="0" applyNumberFormat="1" applyFont="1" applyFill="1" applyBorder="1" applyAlignment="1" applyProtection="1">
      <alignment horizontal="center" wrapText="1"/>
    </xf>
    <xf numFmtId="172" fontId="1" fillId="17" borderId="29" xfId="0" applyNumberFormat="1" applyFont="1" applyFill="1" applyBorder="1" applyAlignment="1" applyProtection="1">
      <alignment horizontal="center" wrapText="1"/>
    </xf>
    <xf numFmtId="172" fontId="28" fillId="3" borderId="0" xfId="0" applyNumberFormat="1" applyFont="1" applyFill="1" applyAlignment="1" applyProtection="1">
      <alignment horizontal="left" wrapText="1"/>
    </xf>
    <xf numFmtId="172" fontId="28" fillId="3" borderId="0" xfId="0" applyNumberFormat="1" applyFont="1" applyFill="1" applyAlignment="1" applyProtection="1">
      <alignment horizontal="center"/>
    </xf>
    <xf numFmtId="172" fontId="1" fillId="3" borderId="0" xfId="0" applyNumberFormat="1" applyFont="1" applyFill="1" applyAlignment="1" applyProtection="1"/>
    <xf numFmtId="172" fontId="0" fillId="3" borderId="0" xfId="0" applyNumberFormat="1" applyFill="1" applyAlignment="1" applyProtection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172" fontId="29" fillId="3" borderId="0" xfId="0" applyNumberFormat="1" applyFont="1" applyFill="1" applyAlignment="1" applyProtection="1">
      <alignment horizontal="left" wrapText="1"/>
    </xf>
    <xf numFmtId="172" fontId="1" fillId="3" borderId="0" xfId="0" applyNumberFormat="1" applyFont="1" applyFill="1" applyBorder="1" applyAlignment="1" applyProtection="1"/>
    <xf numFmtId="172" fontId="0" fillId="3" borderId="0" xfId="0" applyNumberFormat="1" applyFill="1" applyBorder="1" applyAlignment="1" applyProtection="1"/>
    <xf numFmtId="172" fontId="30" fillId="8" borderId="6" xfId="0" applyNumberFormat="1" applyFont="1" applyFill="1" applyBorder="1" applyAlignment="1" applyProtection="1"/>
    <xf numFmtId="0" fontId="30" fillId="8" borderId="6" xfId="0" applyFont="1" applyFill="1" applyBorder="1"/>
    <xf numFmtId="0" fontId="30" fillId="8" borderId="6" xfId="0" applyFont="1" applyFill="1" applyBorder="1" applyAlignment="1">
      <alignment horizontal="center"/>
    </xf>
    <xf numFmtId="172" fontId="31" fillId="8" borderId="6" xfId="0" applyNumberFormat="1" applyFont="1" applyFill="1" applyBorder="1" applyAlignment="1" applyProtection="1">
      <alignment horizontal="left" wrapText="1"/>
    </xf>
    <xf numFmtId="172" fontId="31" fillId="8" borderId="6" xfId="0" applyNumberFormat="1" applyFont="1" applyFill="1" applyBorder="1" applyAlignment="1" applyProtection="1">
      <alignment horizontal="center"/>
    </xf>
    <xf numFmtId="172" fontId="7" fillId="8" borderId="6" xfId="0" applyNumberFormat="1" applyFont="1" applyFill="1" applyBorder="1" applyAlignment="1" applyProtection="1"/>
    <xf numFmtId="172" fontId="7" fillId="4" borderId="31" xfId="8" applyNumberFormat="1" applyFont="1" applyFill="1" applyBorder="1" applyAlignment="1" applyProtection="1"/>
    <xf numFmtId="172" fontId="32" fillId="3" borderId="0" xfId="0" applyNumberFormat="1" applyFont="1" applyFill="1" applyAlignment="1" applyProtection="1"/>
    <xf numFmtId="0" fontId="1" fillId="3" borderId="0" xfId="0" applyFont="1" applyFill="1" applyBorder="1"/>
    <xf numFmtId="0" fontId="1" fillId="3" borderId="0" xfId="0" applyFont="1" applyFill="1" applyBorder="1" applyAlignment="1">
      <alignment horizontal="center"/>
    </xf>
    <xf numFmtId="172" fontId="31" fillId="3" borderId="0" xfId="0" applyNumberFormat="1" applyFont="1" applyFill="1" applyBorder="1" applyAlignment="1" applyProtection="1">
      <alignment horizontal="left" wrapText="1"/>
    </xf>
    <xf numFmtId="172" fontId="31" fillId="3" borderId="0" xfId="0" applyNumberFormat="1" applyFont="1" applyFill="1" applyBorder="1" applyAlignment="1" applyProtection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 applyProtection="1">
      <alignment wrapText="1"/>
    </xf>
    <xf numFmtId="172" fontId="30" fillId="4" borderId="32" xfId="0" applyNumberFormat="1" applyFont="1" applyFill="1" applyBorder="1" applyAlignment="1" applyProtection="1"/>
    <xf numFmtId="0" fontId="30" fillId="4" borderId="33" xfId="0" applyFont="1" applyFill="1" applyBorder="1"/>
    <xf numFmtId="0" fontId="30" fillId="4" borderId="33" xfId="0" applyFont="1" applyFill="1" applyBorder="1" applyAlignment="1">
      <alignment horizontal="center"/>
    </xf>
    <xf numFmtId="172" fontId="7" fillId="4" borderId="33" xfId="0" applyNumberFormat="1" applyFont="1" applyFill="1" applyBorder="1" applyAlignment="1" applyProtection="1">
      <alignment wrapText="1"/>
    </xf>
    <xf numFmtId="172" fontId="7" fillId="4" borderId="33" xfId="0" applyNumberFormat="1" applyFont="1" applyFill="1" applyBorder="1" applyAlignment="1" applyProtection="1"/>
    <xf numFmtId="172" fontId="7" fillId="4" borderId="33" xfId="8" applyNumberFormat="1" applyFont="1" applyFill="1" applyBorder="1" applyAlignment="1" applyProtection="1"/>
    <xf numFmtId="172" fontId="7" fillId="4" borderId="34" xfId="8" applyNumberFormat="1" applyFont="1" applyFill="1" applyBorder="1" applyAlignment="1" applyProtection="1"/>
    <xf numFmtId="172" fontId="1" fillId="3" borderId="0" xfId="0" applyNumberFormat="1" applyFont="1" applyFill="1" applyBorder="1" applyAlignment="1" applyProtection="1">
      <alignment horizontal="left" vertical="center"/>
    </xf>
    <xf numFmtId="172" fontId="7" fillId="3" borderId="0" xfId="0" applyNumberFormat="1" applyFont="1" applyFill="1" applyBorder="1" applyAlignment="1" applyProtection="1">
      <alignment wrapText="1"/>
    </xf>
    <xf numFmtId="172" fontId="7" fillId="0" borderId="0" xfId="0" applyNumberFormat="1" applyFont="1" applyFill="1" applyBorder="1" applyAlignment="1" applyProtection="1">
      <alignment horizontal="left" vertical="center"/>
    </xf>
    <xf numFmtId="172" fontId="33" fillId="3" borderId="0" xfId="0" applyNumberFormat="1" applyFont="1" applyFill="1" applyBorder="1" applyAlignment="1" applyProtection="1">
      <alignment wrapText="1"/>
    </xf>
    <xf numFmtId="172" fontId="33" fillId="3" borderId="10" xfId="0" applyNumberFormat="1" applyFont="1" applyFill="1" applyBorder="1" applyAlignment="1" applyProtection="1"/>
    <xf numFmtId="172" fontId="33" fillId="14" borderId="35" xfId="0" applyNumberFormat="1" applyFont="1" applyFill="1" applyBorder="1" applyAlignment="1" applyProtection="1">
      <alignment horizontal="center" wrapText="1"/>
    </xf>
    <xf numFmtId="172" fontId="1" fillId="3" borderId="36" xfId="0" applyNumberFormat="1" applyFont="1" applyFill="1" applyBorder="1" applyAlignment="1" applyProtection="1"/>
    <xf numFmtId="0" fontId="1" fillId="3" borderId="37" xfId="0" applyFont="1" applyFill="1" applyBorder="1"/>
    <xf numFmtId="0" fontId="1" fillId="3" borderId="37" xfId="0" applyFont="1" applyFill="1" applyBorder="1" applyAlignment="1">
      <alignment horizontal="center"/>
    </xf>
    <xf numFmtId="0" fontId="1" fillId="3" borderId="38" xfId="0" applyFont="1" applyFill="1" applyBorder="1"/>
    <xf numFmtId="172" fontId="7" fillId="3" borderId="39" xfId="0" applyNumberFormat="1" applyFont="1" applyFill="1" applyBorder="1" applyAlignment="1" applyProtection="1">
      <alignment horizontal="left" vertical="center" wrapText="1"/>
    </xf>
    <xf numFmtId="172" fontId="7" fillId="3" borderId="31" xfId="0" applyNumberFormat="1" applyFont="1" applyFill="1" applyBorder="1" applyAlignment="1" applyProtection="1"/>
    <xf numFmtId="172" fontId="7" fillId="3" borderId="31" xfId="8" applyNumberFormat="1" applyFont="1" applyFill="1" applyBorder="1" applyAlignment="1" applyProtection="1"/>
    <xf numFmtId="172" fontId="34" fillId="3" borderId="31" xfId="8" applyNumberFormat="1" applyFont="1" applyFill="1" applyBorder="1" applyAlignment="1" applyProtection="1"/>
    <xf numFmtId="172" fontId="1" fillId="3" borderId="0" xfId="8" applyNumberFormat="1" applyFont="1" applyFill="1" applyBorder="1" applyAlignment="1" applyProtection="1"/>
    <xf numFmtId="172" fontId="33" fillId="3" borderId="40" xfId="0" applyNumberFormat="1" applyFont="1" applyFill="1" applyBorder="1" applyAlignment="1" applyProtection="1">
      <alignment wrapText="1"/>
    </xf>
    <xf numFmtId="172" fontId="33" fillId="3" borderId="29" xfId="0" applyNumberFormat="1" applyFont="1" applyFill="1" applyBorder="1" applyAlignment="1" applyProtection="1">
      <alignment horizontal="center" vertical="center" wrapText="1"/>
    </xf>
    <xf numFmtId="172" fontId="7" fillId="3" borderId="41" xfId="0" applyNumberFormat="1" applyFont="1" applyFill="1" applyBorder="1" applyAlignment="1" applyProtection="1">
      <alignment horizontal="left" vertical="center" wrapText="1"/>
    </xf>
    <xf numFmtId="172" fontId="7" fillId="3" borderId="39" xfId="0" applyNumberFormat="1" applyFont="1" applyFill="1" applyBorder="1" applyAlignment="1" applyProtection="1">
      <alignment wrapText="1"/>
    </xf>
    <xf numFmtId="172" fontId="34" fillId="3" borderId="31" xfId="0" applyNumberFormat="1" applyFont="1" applyFill="1" applyBorder="1" applyAlignment="1" applyProtection="1"/>
    <xf numFmtId="172" fontId="33" fillId="3" borderId="29" xfId="0" applyNumberFormat="1" applyFont="1" applyFill="1" applyBorder="1" applyAlignment="1" applyProtection="1">
      <alignment horizontal="center" wrapText="1"/>
    </xf>
    <xf numFmtId="172" fontId="33" fillId="3" borderId="30" xfId="0" applyNumberFormat="1" applyFont="1" applyFill="1" applyBorder="1" applyAlignment="1" applyProtection="1">
      <alignment horizontal="center" vertical="center" wrapText="1"/>
    </xf>
    <xf numFmtId="172" fontId="33" fillId="3" borderId="29" xfId="0" applyNumberFormat="1" applyFont="1" applyFill="1" applyBorder="1" applyAlignment="1" applyProtection="1">
      <alignment horizontal="center" vertical="top" wrapText="1"/>
    </xf>
    <xf numFmtId="172" fontId="1" fillId="3" borderId="24" xfId="0" applyNumberFormat="1" applyFont="1" applyFill="1" applyBorder="1" applyAlignment="1" applyProtection="1"/>
    <xf numFmtId="0" fontId="1" fillId="3" borderId="24" xfId="0" applyFont="1" applyFill="1" applyBorder="1"/>
    <xf numFmtId="0" fontId="2" fillId="3" borderId="24" xfId="105" applyFont="1" applyFill="1" applyBorder="1"/>
    <xf numFmtId="0" fontId="1" fillId="3" borderId="24" xfId="0" applyFont="1" applyFill="1" applyBorder="1" applyAlignment="1">
      <alignment horizontal="center"/>
    </xf>
    <xf numFmtId="0" fontId="1" fillId="14" borderId="24" xfId="0" applyFont="1" applyFill="1" applyBorder="1"/>
    <xf numFmtId="172" fontId="1" fillId="3" borderId="42" xfId="0" applyNumberFormat="1" applyFont="1" applyFill="1" applyBorder="1" applyAlignment="1" applyProtection="1">
      <alignment horizontal="left" vertical="center" wrapText="1"/>
    </xf>
    <xf numFmtId="172" fontId="1" fillId="0" borderId="24" xfId="8" applyNumberFormat="1" applyFont="1" applyFill="1" applyBorder="1" applyAlignment="1" applyProtection="1">
      <alignment horizontal="right"/>
    </xf>
    <xf numFmtId="172" fontId="1" fillId="3" borderId="24" xfId="8" applyNumberFormat="1" applyFont="1" applyFill="1" applyBorder="1" applyAlignment="1" applyProtection="1">
      <alignment horizontal="right"/>
    </xf>
    <xf numFmtId="172" fontId="1" fillId="3" borderId="6" xfId="8" applyNumberFormat="1" applyFont="1" applyFill="1" applyBorder="1" applyAlignment="1" applyProtection="1"/>
    <xf numFmtId="172" fontId="1" fillId="4" borderId="24" xfId="8" applyNumberFormat="1" applyFont="1" applyFill="1" applyBorder="1" applyAlignment="1" applyProtection="1">
      <alignment horizontal="right"/>
    </xf>
    <xf numFmtId="172" fontId="1" fillId="0" borderId="24" xfId="0" applyNumberFormat="1" applyFont="1" applyFill="1" applyBorder="1" applyAlignment="1" applyProtection="1"/>
    <xf numFmtId="0" fontId="1" fillId="3" borderId="6" xfId="0" applyFont="1" applyFill="1" applyBorder="1"/>
    <xf numFmtId="172" fontId="33" fillId="3" borderId="0" xfId="0" applyNumberFormat="1" applyFont="1" applyFill="1" applyBorder="1" applyAlignment="1" applyProtection="1">
      <alignment horizontal="center" vertical="center" wrapText="1"/>
    </xf>
    <xf numFmtId="172" fontId="7" fillId="3" borderId="31" xfId="0" applyNumberFormat="1" applyFont="1" applyFill="1" applyBorder="1" applyAlignment="1" applyProtection="1">
      <alignment wrapText="1"/>
    </xf>
    <xf numFmtId="172" fontId="7" fillId="3" borderId="0" xfId="0" applyNumberFormat="1" applyFont="1" applyFill="1" applyAlignment="1" applyProtection="1">
      <alignment horizontal="left" vertical="center" wrapText="1"/>
    </xf>
    <xf numFmtId="172" fontId="7" fillId="3" borderId="0" xfId="0" applyNumberFormat="1" applyFont="1" applyFill="1" applyBorder="1" applyAlignment="1" applyProtection="1"/>
    <xf numFmtId="172" fontId="7" fillId="3" borderId="0" xfId="8" applyNumberFormat="1" applyFont="1" applyFill="1" applyBorder="1" applyAlignment="1" applyProtection="1"/>
    <xf numFmtId="172" fontId="33" fillId="3" borderId="29" xfId="0" applyNumberFormat="1" applyFont="1" applyFill="1" applyBorder="1" applyAlignment="1" applyProtection="1"/>
    <xf numFmtId="0" fontId="1" fillId="14" borderId="6" xfId="0" applyFont="1" applyFill="1" applyBorder="1"/>
    <xf numFmtId="172" fontId="1" fillId="3" borderId="24" xfId="0" applyNumberFormat="1" applyFont="1" applyFill="1" applyBorder="1" applyAlignment="1" applyProtection="1">
      <alignment horizontal="left" vertical="center" wrapText="1"/>
    </xf>
    <xf numFmtId="0" fontId="2" fillId="3" borderId="6" xfId="105" applyFont="1" applyFill="1" applyBorder="1"/>
    <xf numFmtId="172" fontId="1" fillId="3" borderId="6" xfId="0" applyNumberFormat="1" applyFont="1" applyFill="1" applyBorder="1" applyAlignment="1" applyProtection="1"/>
    <xf numFmtId="172" fontId="1" fillId="3" borderId="0" xfId="8" applyNumberFormat="1" applyFont="1" applyFill="1" applyBorder="1" applyAlignment="1" applyProtection="1">
      <alignment horizontal="right"/>
    </xf>
    <xf numFmtId="167" fontId="7" fillId="3" borderId="0" xfId="8" applyFont="1" applyFill="1" applyBorder="1" applyAlignment="1" applyProtection="1">
      <alignment horizontal="center" wrapText="1"/>
    </xf>
    <xf numFmtId="172" fontId="1" fillId="0" borderId="6" xfId="0" applyNumberFormat="1" applyFont="1" applyFill="1" applyBorder="1" applyAlignment="1" applyProtection="1"/>
    <xf numFmtId="172" fontId="1" fillId="3" borderId="6" xfId="0" applyNumberFormat="1" applyFont="1" applyFill="1" applyBorder="1" applyAlignment="1" applyProtection="1">
      <alignment horizontal="justify" vertical="top" wrapText="1"/>
    </xf>
    <xf numFmtId="172" fontId="1" fillId="0" borderId="0" xfId="0" applyNumberFormat="1" applyFont="1" applyFill="1" applyAlignment="1" applyProtection="1"/>
    <xf numFmtId="0" fontId="2" fillId="3" borderId="0" xfId="105" applyFont="1" applyFill="1" applyBorder="1"/>
    <xf numFmtId="0" fontId="2" fillId="3" borderId="0" xfId="105" applyFont="1" applyFill="1" applyBorder="1" applyAlignment="1">
      <alignment wrapText="1"/>
    </xf>
    <xf numFmtId="172" fontId="1" fillId="0" borderId="36" xfId="0" applyNumberFormat="1" applyFont="1" applyFill="1" applyBorder="1" applyAlignment="1" applyProtection="1"/>
    <xf numFmtId="0" fontId="1" fillId="0" borderId="0" xfId="0" applyFont="1" applyFill="1"/>
    <xf numFmtId="172" fontId="33" fillId="0" borderId="29" xfId="0" applyNumberFormat="1" applyFont="1" applyFill="1" applyBorder="1" applyAlignment="1" applyProtection="1">
      <alignment horizontal="center" wrapText="1"/>
    </xf>
    <xf numFmtId="172" fontId="1" fillId="3" borderId="6" xfId="0" applyNumberFormat="1" applyFont="1" applyFill="1" applyBorder="1" applyAlignment="1" applyProtection="1">
      <alignment horizontal="left" vertical="center" wrapText="1"/>
    </xf>
    <xf numFmtId="172" fontId="1" fillId="3" borderId="0" xfId="0" applyNumberFormat="1" applyFont="1" applyFill="1" applyBorder="1" applyAlignment="1" applyProtection="1">
      <alignment horizontal="left" vertical="center" wrapText="1"/>
    </xf>
    <xf numFmtId="172" fontId="34" fillId="3" borderId="0" xfId="0" applyNumberFormat="1" applyFont="1" applyFill="1" applyBorder="1" applyAlignment="1" applyProtection="1"/>
    <xf numFmtId="172" fontId="1" fillId="0" borderId="0" xfId="0" applyNumberFormat="1" applyFont="1" applyFill="1" applyBorder="1" applyAlignment="1" applyProtection="1"/>
    <xf numFmtId="0" fontId="1" fillId="0" borderId="0" xfId="0" applyFont="1" applyAlignment="1">
      <alignment wrapText="1"/>
    </xf>
    <xf numFmtId="0" fontId="1" fillId="3" borderId="43" xfId="0" applyFont="1" applyFill="1" applyBorder="1"/>
    <xf numFmtId="0" fontId="1" fillId="3" borderId="26" xfId="0" applyFont="1" applyFill="1" applyBorder="1"/>
    <xf numFmtId="0" fontId="1" fillId="0" borderId="0" xfId="0" applyFont="1" applyFill="1" applyBorder="1"/>
    <xf numFmtId="0" fontId="1" fillId="3" borderId="0" xfId="0" applyFont="1" applyFill="1" applyBorder="1" applyAlignment="1">
      <alignment wrapText="1"/>
    </xf>
    <xf numFmtId="0" fontId="1" fillId="3" borderId="40" xfId="0" applyFont="1" applyFill="1" applyBorder="1"/>
    <xf numFmtId="0" fontId="1" fillId="3" borderId="44" xfId="0" applyFont="1" applyFill="1" applyBorder="1"/>
    <xf numFmtId="172" fontId="1" fillId="3" borderId="44" xfId="0" applyNumberFormat="1" applyFont="1" applyFill="1" applyBorder="1" applyAlignment="1" applyProtection="1">
      <alignment wrapText="1"/>
    </xf>
    <xf numFmtId="172" fontId="33" fillId="14" borderId="2" xfId="0" applyNumberFormat="1" applyFont="1" applyFill="1" applyBorder="1" applyAlignment="1" applyProtection="1">
      <alignment horizontal="center" wrapText="1"/>
    </xf>
    <xf numFmtId="172" fontId="35" fillId="3" borderId="0" xfId="0" applyNumberFormat="1" applyFont="1" applyFill="1" applyAlignment="1" applyProtection="1">
      <alignment horizontal="center" wrapText="1"/>
    </xf>
    <xf numFmtId="172" fontId="7" fillId="4" borderId="31" xfId="0" applyNumberFormat="1" applyFont="1" applyFill="1" applyBorder="1" applyAlignment="1" applyProtection="1">
      <alignment horizontal="left" vertical="center" wrapText="1"/>
    </xf>
    <xf numFmtId="172" fontId="7" fillId="4" borderId="31" xfId="0" applyNumberFormat="1" applyFont="1" applyFill="1" applyBorder="1" applyAlignment="1" applyProtection="1"/>
    <xf numFmtId="172" fontId="34" fillId="4" borderId="31" xfId="8" applyNumberFormat="1" applyFont="1" applyFill="1" applyBorder="1" applyAlignment="1" applyProtection="1"/>
    <xf numFmtId="172" fontId="1" fillId="3" borderId="43" xfId="0" applyNumberFormat="1" applyFont="1" applyFill="1" applyBorder="1" applyAlignment="1" applyProtection="1">
      <alignment wrapText="1"/>
    </xf>
    <xf numFmtId="0" fontId="1" fillId="0" borderId="37" xfId="0" applyFont="1" applyFill="1" applyBorder="1"/>
    <xf numFmtId="172" fontId="1" fillId="3" borderId="0" xfId="0" applyNumberFormat="1" applyFont="1" applyFill="1" applyBorder="1" applyAlignment="1" applyProtection="1">
      <alignment horizontal="center"/>
    </xf>
    <xf numFmtId="172" fontId="1" fillId="3" borderId="0" xfId="0" applyNumberFormat="1" applyFont="1" applyFill="1" applyBorder="1" applyAlignment="1" applyProtection="1">
      <alignment wrapText="1"/>
    </xf>
    <xf numFmtId="172" fontId="1" fillId="3" borderId="24" xfId="0" applyNumberFormat="1" applyFont="1" applyFill="1" applyBorder="1" applyAlignment="1" applyProtection="1">
      <alignment vertical="center" wrapText="1"/>
    </xf>
    <xf numFmtId="0" fontId="1" fillId="0" borderId="0" xfId="0" applyFont="1"/>
    <xf numFmtId="0" fontId="1" fillId="0" borderId="0" xfId="0" applyFont="1" applyProtection="1"/>
    <xf numFmtId="0" fontId="1" fillId="0" borderId="0" xfId="0" applyFont="1" applyFill="1" applyAlignment="1">
      <alignment horizontal="center"/>
    </xf>
    <xf numFmtId="172" fontId="33" fillId="0" borderId="40" xfId="0" applyNumberFormat="1" applyFont="1" applyFill="1" applyBorder="1" applyAlignment="1" applyProtection="1">
      <alignment wrapText="1"/>
    </xf>
    <xf numFmtId="172" fontId="1" fillId="3" borderId="0" xfId="8" applyNumberFormat="1" applyFont="1" applyFill="1" applyBorder="1" applyAlignment="1" applyProtection="1">
      <alignment horizontal="center"/>
    </xf>
    <xf numFmtId="172" fontId="1" fillId="3" borderId="0" xfId="8" applyNumberFormat="1" applyFont="1" applyFill="1" applyBorder="1" applyAlignment="1" applyProtection="1">
      <alignment horizontal="right" wrapText="1"/>
    </xf>
    <xf numFmtId="172" fontId="33" fillId="0" borderId="0" xfId="0" applyNumberFormat="1" applyFont="1" applyFill="1" applyBorder="1" applyAlignment="1" applyProtection="1">
      <alignment horizontal="center" vertical="center" wrapText="1"/>
    </xf>
    <xf numFmtId="172" fontId="1" fillId="3" borderId="6" xfId="0" applyNumberFormat="1" applyFont="1" applyFill="1" applyBorder="1" applyAlignment="1" applyProtection="1">
      <alignment vertical="center" wrapText="1"/>
    </xf>
    <xf numFmtId="0" fontId="1" fillId="16" borderId="6" xfId="0" applyFont="1" applyFill="1" applyBorder="1"/>
    <xf numFmtId="0" fontId="1" fillId="3" borderId="6" xfId="0" applyFont="1" applyFill="1" applyBorder="1" applyAlignment="1">
      <alignment horizontal="center"/>
    </xf>
    <xf numFmtId="0" fontId="1" fillId="3" borderId="43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1" fillId="3" borderId="45" xfId="0" applyFont="1" applyFill="1" applyBorder="1"/>
    <xf numFmtId="172" fontId="33" fillId="14" borderId="35" xfId="0" applyNumberFormat="1" applyFont="1" applyFill="1" applyBorder="1" applyAlignment="1" applyProtection="1">
      <alignment horizontal="center" vertical="center" wrapText="1"/>
    </xf>
    <xf numFmtId="172" fontId="33" fillId="14" borderId="2" xfId="0" applyNumberFormat="1" applyFont="1" applyFill="1" applyBorder="1" applyAlignment="1" applyProtection="1">
      <alignment horizontal="center" vertical="center" wrapText="1"/>
    </xf>
    <xf numFmtId="172" fontId="33" fillId="3" borderId="0" xfId="0" applyNumberFormat="1" applyFont="1" applyFill="1" applyAlignment="1" applyProtection="1">
      <alignment horizontal="right" wrapText="1"/>
    </xf>
    <xf numFmtId="172" fontId="33" fillId="3" borderId="0" xfId="0" applyNumberFormat="1" applyFont="1" applyFill="1" applyBorder="1" applyAlignment="1" applyProtection="1"/>
    <xf numFmtId="172" fontId="33" fillId="3" borderId="0" xfId="8" applyNumberFormat="1" applyFont="1" applyFill="1" applyBorder="1" applyAlignment="1" applyProtection="1"/>
    <xf numFmtId="172" fontId="37" fillId="8" borderId="6" xfId="0" applyNumberFormat="1" applyFont="1" applyFill="1" applyBorder="1" applyAlignment="1" applyProtection="1">
      <alignment wrapText="1"/>
    </xf>
    <xf numFmtId="172" fontId="36" fillId="0" borderId="0" xfId="0" applyNumberFormat="1" applyFont="1" applyFill="1" applyBorder="1" applyAlignment="1" applyProtection="1"/>
    <xf numFmtId="172" fontId="33" fillId="5" borderId="29" xfId="0" applyNumberFormat="1" applyFont="1" applyFill="1" applyBorder="1" applyAlignment="1" applyProtection="1">
      <alignment horizontal="center" vertical="top" wrapText="1"/>
    </xf>
    <xf numFmtId="172" fontId="33" fillId="8" borderId="46" xfId="0" applyNumberFormat="1" applyFont="1" applyFill="1" applyBorder="1" applyAlignment="1" applyProtection="1">
      <alignment horizontal="center" vertical="top" wrapText="1"/>
    </xf>
    <xf numFmtId="0" fontId="38" fillId="16" borderId="6" xfId="103" applyFont="1" applyFill="1" applyBorder="1" applyAlignment="1">
      <alignment horizontal="center" vertical="center" wrapText="1"/>
    </xf>
    <xf numFmtId="0" fontId="38" fillId="4" borderId="6" xfId="103" applyFont="1" applyFill="1" applyBorder="1" applyAlignment="1">
      <alignment horizontal="center" vertical="center" wrapText="1"/>
    </xf>
    <xf numFmtId="172" fontId="1" fillId="0" borderId="6" xfId="0" applyNumberFormat="1" applyFont="1" applyFill="1" applyBorder="1" applyAlignment="1" applyProtection="1">
      <alignment horizontal="justify" vertical="top" wrapText="1"/>
    </xf>
    <xf numFmtId="172" fontId="1" fillId="0" borderId="0" xfId="8" applyNumberFormat="1" applyFont="1" applyFill="1" applyBorder="1" applyAlignment="1" applyProtection="1">
      <alignment horizontal="right"/>
    </xf>
    <xf numFmtId="172" fontId="0" fillId="0" borderId="0" xfId="0" applyNumberFormat="1" applyFill="1" applyAlignment="1" applyProtection="1"/>
    <xf numFmtId="172" fontId="7" fillId="6" borderId="6" xfId="0" applyNumberFormat="1" applyFont="1" applyFill="1" applyBorder="1" applyAlignment="1" applyProtection="1">
      <alignment wrapText="1"/>
    </xf>
    <xf numFmtId="172" fontId="33" fillId="3" borderId="29" xfId="0" applyNumberFormat="1" applyFont="1" applyFill="1" applyBorder="1" applyAlignment="1" applyProtection="1">
      <alignment horizontal="center"/>
    </xf>
    <xf numFmtId="172" fontId="33" fillId="3" borderId="35" xfId="0" applyNumberFormat="1" applyFont="1" applyFill="1" applyBorder="1" applyAlignment="1" applyProtection="1">
      <alignment horizontal="center" vertical="top" wrapText="1"/>
    </xf>
    <xf numFmtId="172" fontId="1" fillId="0" borderId="6" xfId="110" applyNumberFormat="1" applyFont="1" applyFill="1" applyBorder="1" applyAlignment="1" applyProtection="1"/>
    <xf numFmtId="172" fontId="1" fillId="3" borderId="6" xfId="110" applyNumberFormat="1" applyFont="1" applyFill="1" applyBorder="1" applyAlignment="1" applyProtection="1"/>
    <xf numFmtId="172" fontId="1" fillId="3" borderId="24" xfId="110" applyNumberFormat="1" applyFill="1" applyBorder="1" applyAlignment="1" applyProtection="1"/>
    <xf numFmtId="172" fontId="1" fillId="3" borderId="24" xfId="110" applyNumberFormat="1" applyFont="1" applyFill="1" applyBorder="1" applyAlignment="1" applyProtection="1">
      <alignment horizontal="left" vertical="center" wrapText="1"/>
    </xf>
    <xf numFmtId="172" fontId="1" fillId="15" borderId="24" xfId="8" applyNumberFormat="1" applyFont="1" applyFill="1" applyBorder="1" applyAlignment="1" applyProtection="1">
      <alignment horizontal="right"/>
    </xf>
    <xf numFmtId="172" fontId="1" fillId="15" borderId="6" xfId="8" applyNumberFormat="1" applyFont="1" applyFill="1" applyBorder="1" applyAlignment="1" applyProtection="1"/>
    <xf numFmtId="172" fontId="1" fillId="3" borderId="0" xfId="0" applyNumberFormat="1" applyFont="1" applyFill="1" applyAlignment="1" applyProtection="1">
      <alignment horizontal="center"/>
    </xf>
    <xf numFmtId="172" fontId="1" fillId="15" borderId="24" xfId="8" applyNumberFormat="1" applyFont="1" applyFill="1" applyBorder="1" applyAlignment="1" applyProtection="1">
      <alignment horizontal="right"/>
      <protection hidden="1"/>
    </xf>
    <xf numFmtId="172" fontId="1" fillId="15" borderId="6" xfId="8" applyNumberFormat="1" applyFont="1" applyFill="1" applyBorder="1" applyAlignment="1" applyProtection="1">
      <alignment horizontal="right"/>
    </xf>
    <xf numFmtId="172" fontId="1" fillId="15" borderId="24" xfId="12" applyNumberFormat="1" applyFont="1" applyFill="1" applyBorder="1" applyAlignment="1" applyProtection="1">
      <alignment horizontal="right"/>
    </xf>
    <xf numFmtId="172" fontId="0" fillId="15" borderId="6" xfId="0" applyNumberFormat="1" applyFill="1" applyBorder="1" applyAlignment="1" applyProtection="1"/>
    <xf numFmtId="0" fontId="1" fillId="3" borderId="6" xfId="110" applyFont="1" applyFill="1" applyBorder="1" applyAlignment="1">
      <alignment horizontal="left" wrapText="1"/>
    </xf>
    <xf numFmtId="172" fontId="1" fillId="16" borderId="6" xfId="110" applyNumberFormat="1" applyFill="1" applyBorder="1" applyAlignment="1" applyProtection="1"/>
    <xf numFmtId="172" fontId="1" fillId="16" borderId="24" xfId="110" applyNumberFormat="1" applyFill="1" applyBorder="1" applyAlignment="1" applyProtection="1"/>
    <xf numFmtId="172" fontId="1" fillId="0" borderId="24" xfId="110" applyNumberFormat="1" applyFont="1" applyFill="1" applyBorder="1" applyAlignment="1" applyProtection="1">
      <alignment horizontal="left" vertical="center" wrapText="1"/>
    </xf>
    <xf numFmtId="172" fontId="1" fillId="0" borderId="24" xfId="110" applyNumberFormat="1" applyFont="1" applyFill="1" applyBorder="1" applyAlignment="1" applyProtection="1">
      <alignment horizontal="justify" vertical="center" wrapText="1"/>
    </xf>
    <xf numFmtId="0" fontId="1" fillId="0" borderId="6" xfId="110" applyFont="1" applyFill="1" applyBorder="1" applyAlignment="1">
      <alignment horizontal="left" wrapText="1"/>
    </xf>
    <xf numFmtId="172" fontId="1" fillId="3" borderId="6" xfId="110" applyNumberFormat="1" applyFont="1" applyFill="1" applyBorder="1" applyAlignment="1" applyProtection="1">
      <alignment horizontal="left" vertical="center" wrapText="1"/>
    </xf>
    <xf numFmtId="164" fontId="1" fillId="3" borderId="6" xfId="7" applyFont="1" applyFill="1" applyBorder="1" applyAlignment="1" applyProtection="1">
      <alignment horizontal="left" vertical="center" wrapText="1"/>
    </xf>
    <xf numFmtId="172" fontId="1" fillId="3" borderId="6" xfId="110" applyNumberFormat="1" applyFont="1" applyFill="1" applyBorder="1" applyAlignment="1" applyProtection="1">
      <alignment horizontal="justify" vertical="top" wrapText="1"/>
    </xf>
    <xf numFmtId="172" fontId="1" fillId="3" borderId="6" xfId="110" applyNumberFormat="1" applyFont="1" applyFill="1" applyBorder="1" applyAlignment="1" applyProtection="1">
      <alignment wrapText="1"/>
    </xf>
    <xf numFmtId="172" fontId="1" fillId="3" borderId="15" xfId="110" applyNumberFormat="1" applyFont="1" applyFill="1" applyBorder="1" applyAlignment="1" applyProtection="1">
      <alignment wrapText="1"/>
    </xf>
    <xf numFmtId="172" fontId="1" fillId="0" borderId="47" xfId="110" applyNumberFormat="1" applyFont="1" applyFill="1" applyBorder="1" applyAlignment="1" applyProtection="1"/>
    <xf numFmtId="172" fontId="1" fillId="3" borderId="47" xfId="110" applyNumberFormat="1" applyFont="1" applyFill="1" applyBorder="1" applyAlignment="1" applyProtection="1"/>
    <xf numFmtId="172" fontId="1" fillId="3" borderId="47" xfId="110" applyNumberFormat="1" applyFont="1" applyFill="1" applyBorder="1" applyAlignment="1" applyProtection="1">
      <alignment horizontal="left" vertical="center" wrapText="1"/>
    </xf>
    <xf numFmtId="172" fontId="7" fillId="3" borderId="6" xfId="0" applyNumberFormat="1" applyFont="1" applyFill="1" applyBorder="1" applyAlignment="1" applyProtection="1">
      <alignment horizontal="left" vertical="center" wrapText="1"/>
    </xf>
    <xf numFmtId="172" fontId="7" fillId="3" borderId="6" xfId="0" applyNumberFormat="1" applyFont="1" applyFill="1" applyBorder="1" applyAlignment="1" applyProtection="1"/>
    <xf numFmtId="172" fontId="7" fillId="3" borderId="6" xfId="8" applyNumberFormat="1" applyFont="1" applyFill="1" applyBorder="1" applyAlignment="1" applyProtection="1"/>
    <xf numFmtId="172" fontId="7" fillId="3" borderId="0" xfId="0" applyNumberFormat="1" applyFont="1" applyFill="1" applyBorder="1" applyAlignment="1" applyProtection="1">
      <alignment horizontal="center"/>
    </xf>
    <xf numFmtId="172" fontId="33" fillId="3" borderId="0" xfId="0" applyNumberFormat="1" applyFont="1" applyFill="1" applyBorder="1" applyAlignment="1" applyProtection="1">
      <alignment horizontal="center"/>
    </xf>
    <xf numFmtId="172" fontId="34" fillId="5" borderId="29" xfId="0" applyNumberFormat="1" applyFont="1" applyFill="1" applyBorder="1" applyAlignment="1" applyProtection="1">
      <alignment horizontal="center" vertical="top" wrapText="1"/>
    </xf>
    <xf numFmtId="172" fontId="1" fillId="4" borderId="6" xfId="8" applyNumberFormat="1" applyFont="1" applyFill="1" applyBorder="1" applyAlignment="1" applyProtection="1"/>
    <xf numFmtId="172" fontId="1" fillId="3" borderId="6" xfId="0" applyNumberFormat="1" applyFont="1" applyFill="1" applyBorder="1" applyAlignment="1" applyProtection="1">
      <alignment horizontal="left" vertical="center" wrapText="1" indent="2"/>
    </xf>
    <xf numFmtId="172" fontId="1" fillId="6" borderId="6" xfId="0" applyNumberFormat="1" applyFont="1" applyFill="1" applyBorder="1" applyAlignment="1" applyProtection="1"/>
    <xf numFmtId="172" fontId="33" fillId="0" borderId="0" xfId="0" applyNumberFormat="1" applyFont="1" applyFill="1" applyBorder="1" applyAlignment="1" applyProtection="1">
      <alignment horizontal="center" wrapText="1"/>
    </xf>
    <xf numFmtId="172" fontId="1" fillId="3" borderId="0" xfId="0" applyNumberFormat="1" applyFont="1" applyFill="1" applyBorder="1" applyAlignment="1" applyProtection="1">
      <alignment horizontal="center" wrapText="1"/>
    </xf>
    <xf numFmtId="172" fontId="33" fillId="3" borderId="0" xfId="0" applyNumberFormat="1" applyFont="1" applyFill="1" applyBorder="1" applyAlignment="1" applyProtection="1">
      <alignment horizontal="center" vertical="top" wrapText="1"/>
    </xf>
    <xf numFmtId="172" fontId="33" fillId="3" borderId="0" xfId="0" applyNumberFormat="1" applyFont="1" applyFill="1" applyBorder="1" applyAlignment="1" applyProtection="1">
      <alignment horizontal="center" wrapText="1"/>
    </xf>
    <xf numFmtId="172" fontId="1" fillId="3" borderId="0" xfId="0" applyNumberFormat="1" applyFont="1" applyFill="1" applyAlignment="1" applyProtection="1">
      <alignment horizontal="center" vertical="center" wrapText="1"/>
    </xf>
    <xf numFmtId="172" fontId="1" fillId="0" borderId="6" xfId="0" applyNumberFormat="1" applyFont="1" applyFill="1" applyBorder="1" applyAlignment="1" applyProtection="1">
      <alignment horizontal="left" vertical="center" wrapText="1" indent="4"/>
    </xf>
    <xf numFmtId="172" fontId="1" fillId="6" borderId="6" xfId="0" applyNumberFormat="1" applyFont="1" applyFill="1" applyBorder="1" applyAlignment="1" applyProtection="1">
      <alignment horizontal="left" vertical="center" wrapText="1" indent="2"/>
    </xf>
    <xf numFmtId="0" fontId="0" fillId="6" borderId="0" xfId="0" applyFont="1" applyFill="1"/>
    <xf numFmtId="0" fontId="1" fillId="18" borderId="6" xfId="0" applyFont="1" applyFill="1" applyBorder="1"/>
    <xf numFmtId="0" fontId="2" fillId="18" borderId="6" xfId="105" applyFont="1" applyFill="1" applyBorder="1"/>
    <xf numFmtId="0" fontId="1" fillId="18" borderId="24" xfId="0" applyFont="1" applyFill="1" applyBorder="1" applyAlignment="1">
      <alignment horizontal="center"/>
    </xf>
    <xf numFmtId="172" fontId="1" fillId="0" borderId="6" xfId="0" applyNumberFormat="1" applyFont="1" applyFill="1" applyBorder="1" applyAlignment="1" applyProtection="1">
      <alignment horizontal="left" vertical="center" wrapText="1" indent="2"/>
    </xf>
    <xf numFmtId="0" fontId="1" fillId="18" borderId="0" xfId="0" applyFont="1" applyFill="1" applyBorder="1"/>
    <xf numFmtId="0" fontId="2" fillId="18" borderId="0" xfId="105" applyFont="1" applyFill="1" applyBorder="1"/>
    <xf numFmtId="0" fontId="1" fillId="18" borderId="0" xfId="0" applyFont="1" applyFill="1" applyBorder="1" applyAlignment="1">
      <alignment horizontal="center"/>
    </xf>
    <xf numFmtId="172" fontId="1" fillId="6" borderId="6" xfId="0" applyNumberFormat="1" applyFont="1" applyFill="1" applyBorder="1" applyAlignment="1" applyProtection="1">
      <alignment horizontal="left" vertical="center" wrapText="1"/>
    </xf>
    <xf numFmtId="172" fontId="36" fillId="5" borderId="9" xfId="0" applyNumberFormat="1" applyFont="1" applyFill="1" applyBorder="1" applyAlignment="1" applyProtection="1">
      <alignment horizontal="center"/>
    </xf>
    <xf numFmtId="0" fontId="1" fillId="14" borderId="37" xfId="0" applyFont="1" applyFill="1" applyBorder="1"/>
    <xf numFmtId="0" fontId="1" fillId="14" borderId="38" xfId="0" applyFont="1" applyFill="1" applyBorder="1"/>
    <xf numFmtId="172" fontId="7" fillId="3" borderId="48" xfId="0" applyNumberFormat="1" applyFont="1" applyFill="1" applyBorder="1" applyAlignment="1" applyProtection="1">
      <alignment horizontal="left" vertical="center" wrapText="1"/>
    </xf>
    <xf numFmtId="172" fontId="1" fillId="0" borderId="49" xfId="8" applyNumberFormat="1" applyFont="1" applyFill="1" applyBorder="1" applyAlignment="1" applyProtection="1">
      <alignment horizontal="right"/>
    </xf>
    <xf numFmtId="172" fontId="1" fillId="3" borderId="45" xfId="8" applyNumberFormat="1" applyFont="1" applyFill="1" applyBorder="1" applyAlignment="1" applyProtection="1">
      <alignment horizontal="right"/>
    </xf>
    <xf numFmtId="172" fontId="7" fillId="3" borderId="0" xfId="0" applyNumberFormat="1" applyFont="1" applyFill="1" applyBorder="1" applyAlignment="1" applyProtection="1">
      <alignment horizontal="left" vertical="center" wrapText="1"/>
    </xf>
    <xf numFmtId="172" fontId="34" fillId="3" borderId="0" xfId="8" applyNumberFormat="1" applyFont="1" applyFill="1" applyBorder="1" applyAlignment="1" applyProtection="1"/>
    <xf numFmtId="172" fontId="33" fillId="3" borderId="40" xfId="0" applyNumberFormat="1" applyFont="1" applyFill="1" applyBorder="1" applyAlignment="1" applyProtection="1"/>
    <xf numFmtId="172" fontId="1" fillId="3" borderId="6" xfId="0" applyNumberFormat="1" applyFont="1" applyFill="1" applyBorder="1" applyAlignment="1" applyProtection="1">
      <alignment horizontal="left" vertical="center" wrapText="1" indent="3"/>
    </xf>
    <xf numFmtId="172" fontId="1" fillId="0" borderId="6" xfId="0" applyNumberFormat="1" applyFont="1" applyFill="1" applyBorder="1" applyAlignment="1" applyProtection="1">
      <alignment horizontal="left" vertical="center" wrapText="1"/>
    </xf>
    <xf numFmtId="172" fontId="1" fillId="0" borderId="6" xfId="8" applyNumberFormat="1" applyFont="1" applyFill="1" applyBorder="1" applyAlignment="1" applyProtection="1"/>
    <xf numFmtId="0" fontId="1" fillId="14" borderId="0" xfId="0" applyFont="1" applyFill="1" applyBorder="1"/>
    <xf numFmtId="172" fontId="1" fillId="0" borderId="31" xfId="8" applyNumberFormat="1" applyFont="1" applyFill="1" applyBorder="1" applyAlignment="1" applyProtection="1"/>
    <xf numFmtId="0" fontId="1" fillId="0" borderId="6" xfId="0" applyFont="1" applyFill="1" applyBorder="1"/>
    <xf numFmtId="0" fontId="2" fillId="0" borderId="6" xfId="105" applyFont="1" applyFill="1" applyBorder="1"/>
    <xf numFmtId="0" fontId="1" fillId="0" borderId="24" xfId="0" applyFont="1" applyFill="1" applyBorder="1" applyAlignment="1">
      <alignment horizontal="center"/>
    </xf>
    <xf numFmtId="172" fontId="1" fillId="0" borderId="6" xfId="0" applyNumberFormat="1" applyFont="1" applyFill="1" applyBorder="1" applyAlignment="1" applyProtection="1">
      <alignment horizontal="left" indent="2"/>
    </xf>
    <xf numFmtId="172" fontId="39" fillId="19" borderId="24" xfId="8" applyNumberFormat="1" applyFont="1" applyFill="1" applyBorder="1" applyAlignment="1" applyProtection="1">
      <alignment horizontal="right"/>
    </xf>
    <xf numFmtId="172" fontId="39" fillId="19" borderId="6" xfId="8" applyNumberFormat="1" applyFont="1" applyFill="1" applyBorder="1" applyAlignment="1" applyProtection="1"/>
    <xf numFmtId="172" fontId="1" fillId="14" borderId="24" xfId="8" applyNumberFormat="1" applyFont="1" applyFill="1" applyBorder="1" applyAlignment="1" applyProtection="1">
      <alignment horizontal="right"/>
    </xf>
    <xf numFmtId="172" fontId="1" fillId="14" borderId="6" xfId="8" applyNumberFormat="1" applyFont="1" applyFill="1" applyBorder="1" applyAlignment="1" applyProtection="1"/>
    <xf numFmtId="172" fontId="1" fillId="6" borderId="6" xfId="0" applyNumberFormat="1" applyFont="1" applyFill="1" applyBorder="1" applyAlignment="1" applyProtection="1">
      <alignment horizontal="left" vertical="center" wrapText="1" indent="4"/>
    </xf>
    <xf numFmtId="172" fontId="34" fillId="3" borderId="0" xfId="0" applyNumberFormat="1" applyFont="1" applyFill="1" applyAlignment="1" applyProtection="1">
      <alignment wrapText="1"/>
    </xf>
    <xf numFmtId="172" fontId="1" fillId="3" borderId="24" xfId="0" applyNumberFormat="1" applyFont="1" applyFill="1" applyBorder="1" applyAlignment="1" applyProtection="1">
      <alignment wrapText="1"/>
    </xf>
    <xf numFmtId="172" fontId="1" fillId="3" borderId="6" xfId="0" applyNumberFormat="1" applyFont="1" applyFill="1" applyBorder="1" applyAlignment="1" applyProtection="1">
      <alignment wrapText="1"/>
    </xf>
    <xf numFmtId="0" fontId="1" fillId="3" borderId="0" xfId="0" applyFont="1" applyFill="1" applyProtection="1"/>
    <xf numFmtId="172" fontId="1" fillId="0" borderId="24" xfId="0" applyNumberFormat="1" applyFont="1" applyFill="1" applyBorder="1" applyAlignment="1" applyProtection="1">
      <alignment wrapText="1"/>
    </xf>
    <xf numFmtId="172" fontId="1" fillId="0" borderId="24" xfId="0" applyNumberFormat="1" applyFont="1" applyFill="1" applyBorder="1" applyAlignment="1" applyProtection="1">
      <alignment horizontal="left" wrapText="1" indent="3"/>
    </xf>
    <xf numFmtId="172" fontId="1" fillId="3" borderId="6" xfId="0" applyNumberFormat="1" applyFont="1" applyFill="1" applyBorder="1" applyAlignment="1" applyProtection="1">
      <alignment horizontal="left" vertical="top" wrapText="1" indent="3"/>
    </xf>
    <xf numFmtId="0" fontId="1" fillId="3" borderId="6" xfId="104" applyFont="1" applyFill="1" applyBorder="1" applyProtection="1"/>
    <xf numFmtId="172" fontId="40" fillId="3" borderId="6" xfId="0" applyNumberFormat="1" applyFont="1" applyFill="1" applyBorder="1" applyAlignment="1" applyProtection="1"/>
    <xf numFmtId="172" fontId="1" fillId="6" borderId="6" xfId="0" applyNumberFormat="1" applyFont="1" applyFill="1" applyBorder="1" applyAlignment="1" applyProtection="1">
      <alignment wrapText="1"/>
    </xf>
    <xf numFmtId="172" fontId="1" fillId="3" borderId="6" xfId="0" applyNumberFormat="1" applyFont="1" applyFill="1" applyBorder="1" applyAlignment="1" applyProtection="1">
      <alignment horizontal="left" wrapText="1" indent="3"/>
    </xf>
    <xf numFmtId="172" fontId="33" fillId="3" borderId="2" xfId="0" applyNumberFormat="1" applyFont="1" applyFill="1" applyBorder="1" applyAlignment="1" applyProtection="1">
      <alignment horizontal="center" vertical="center" wrapText="1"/>
    </xf>
    <xf numFmtId="172" fontId="33" fillId="3" borderId="30" xfId="0" applyNumberFormat="1" applyFont="1" applyFill="1" applyBorder="1" applyAlignment="1" applyProtection="1">
      <alignment horizontal="center" vertical="center"/>
    </xf>
    <xf numFmtId="172" fontId="33" fillId="3" borderId="46" xfId="0" applyNumberFormat="1" applyFont="1" applyFill="1" applyBorder="1" applyAlignment="1" applyProtection="1">
      <alignment horizontal="center" vertical="top" wrapText="1"/>
    </xf>
    <xf numFmtId="0" fontId="1" fillId="14" borderId="7" xfId="0" applyFont="1" applyFill="1" applyBorder="1"/>
    <xf numFmtId="172" fontId="1" fillId="3" borderId="6" xfId="0" applyNumberFormat="1" applyFont="1" applyFill="1" applyBorder="1" applyAlignment="1" applyProtection="1">
      <alignment horizontal="right" vertical="top" wrapText="1"/>
    </xf>
    <xf numFmtId="172" fontId="1" fillId="4" borderId="6" xfId="0" applyNumberFormat="1" applyFont="1" applyFill="1" applyBorder="1" applyAlignment="1" applyProtection="1">
      <alignment horizontal="right" vertical="top" wrapText="1"/>
    </xf>
    <xf numFmtId="172" fontId="1" fillId="3" borderId="6" xfId="0" applyNumberFormat="1" applyFont="1" applyFill="1" applyBorder="1" applyAlignment="1" applyProtection="1">
      <alignment horizontal="center" wrapText="1"/>
    </xf>
    <xf numFmtId="172" fontId="1" fillId="0" borderId="6" xfId="0" applyNumberFormat="1" applyFont="1" applyFill="1" applyBorder="1" applyAlignment="1" applyProtection="1">
      <alignment horizontal="right" vertical="top" wrapText="1"/>
    </xf>
    <xf numFmtId="172" fontId="33" fillId="3" borderId="0" xfId="0" applyNumberFormat="1" applyFont="1" applyFill="1" applyBorder="1" applyAlignment="1" applyProtection="1">
      <alignment horizontal="center" vertical="center"/>
    </xf>
    <xf numFmtId="172" fontId="1" fillId="3" borderId="0" xfId="0" applyNumberFormat="1" applyFont="1" applyFill="1" applyAlignment="1" applyProtection="1">
      <alignment horizontal="center" vertical="center"/>
    </xf>
    <xf numFmtId="172" fontId="7" fillId="3" borderId="31" xfId="0" applyNumberFormat="1" applyFont="1" applyFill="1" applyBorder="1" applyAlignment="1" applyProtection="1">
      <alignment horizontal="left" vertical="center" wrapText="1"/>
    </xf>
    <xf numFmtId="172" fontId="42" fillId="3" borderId="29" xfId="0" applyNumberFormat="1" applyFont="1" applyFill="1" applyBorder="1" applyAlignment="1" applyProtection="1">
      <alignment horizontal="center" vertical="center" wrapText="1"/>
    </xf>
    <xf numFmtId="172" fontId="1" fillId="0" borderId="24" xfId="8" applyNumberFormat="1" applyFont="1" applyFill="1" applyBorder="1" applyAlignment="1" applyProtection="1"/>
    <xf numFmtId="172" fontId="42" fillId="3" borderId="0" xfId="0" applyNumberFormat="1" applyFont="1" applyFill="1" applyBorder="1" applyAlignment="1" applyProtection="1">
      <alignment horizontal="center" vertical="center" wrapText="1"/>
    </xf>
    <xf numFmtId="172" fontId="1" fillId="13" borderId="0" xfId="0" applyNumberFormat="1" applyFont="1" applyFill="1" applyAlignment="1" applyProtection="1"/>
    <xf numFmtId="172" fontId="1" fillId="13" borderId="0" xfId="0" applyNumberFormat="1" applyFont="1" applyFill="1" applyAlignment="1" applyProtection="1">
      <alignment wrapText="1"/>
    </xf>
    <xf numFmtId="172" fontId="0" fillId="13" borderId="0" xfId="0" applyNumberFormat="1" applyFill="1" applyAlignment="1" applyProtection="1"/>
    <xf numFmtId="172" fontId="33" fillId="13" borderId="29" xfId="0" applyNumberFormat="1" applyFont="1" applyFill="1" applyBorder="1" applyAlignment="1" applyProtection="1">
      <alignment horizontal="center" wrapText="1"/>
    </xf>
    <xf numFmtId="172" fontId="1" fillId="13" borderId="29" xfId="0" applyNumberFormat="1" applyFont="1" applyFill="1" applyBorder="1" applyAlignment="1" applyProtection="1">
      <alignment horizontal="center" wrapText="1"/>
    </xf>
    <xf numFmtId="172" fontId="1" fillId="13" borderId="30" xfId="0" applyNumberFormat="1" applyFont="1" applyFill="1" applyBorder="1" applyAlignment="1" applyProtection="1">
      <alignment horizontal="center" wrapText="1"/>
    </xf>
    <xf numFmtId="172" fontId="33" fillId="13" borderId="29" xfId="0" applyNumberFormat="1" applyFont="1" applyFill="1" applyBorder="1" applyAlignment="1" applyProtection="1">
      <alignment horizontal="center" vertical="center" wrapText="1"/>
    </xf>
    <xf numFmtId="172" fontId="33" fillId="13" borderId="29" xfId="0" applyNumberFormat="1" applyFont="1" applyFill="1" applyBorder="1" applyAlignment="1" applyProtection="1">
      <alignment horizontal="center" vertical="top" wrapText="1"/>
    </xf>
    <xf numFmtId="172" fontId="42" fillId="13" borderId="29" xfId="0" applyNumberFormat="1" applyFont="1" applyFill="1" applyBorder="1" applyAlignment="1" applyProtection="1">
      <alignment horizontal="center" vertical="center" wrapText="1"/>
    </xf>
    <xf numFmtId="172" fontId="1" fillId="13" borderId="6" xfId="0" applyNumberFormat="1" applyFont="1" applyFill="1" applyBorder="1" applyAlignment="1" applyProtection="1"/>
    <xf numFmtId="0" fontId="1" fillId="13" borderId="6" xfId="0" applyFont="1" applyFill="1" applyBorder="1"/>
    <xf numFmtId="0" fontId="2" fillId="13" borderId="6" xfId="105" applyFont="1" applyFill="1" applyBorder="1"/>
    <xf numFmtId="0" fontId="1" fillId="13" borderId="24" xfId="0" applyFont="1" applyFill="1" applyBorder="1" applyAlignment="1">
      <alignment horizontal="center"/>
    </xf>
    <xf numFmtId="172" fontId="1" fillId="13" borderId="24" xfId="0" applyNumberFormat="1" applyFont="1" applyFill="1" applyBorder="1" applyAlignment="1" applyProtection="1">
      <alignment horizontal="left" vertical="center" wrapText="1"/>
    </xf>
    <xf numFmtId="172" fontId="1" fillId="13" borderId="24" xfId="8" applyNumberFormat="1" applyFont="1" applyFill="1" applyBorder="1" applyAlignment="1" applyProtection="1"/>
    <xf numFmtId="172" fontId="1" fillId="13" borderId="6" xfId="8" applyNumberFormat="1" applyFont="1" applyFill="1" applyBorder="1" applyAlignment="1" applyProtection="1"/>
    <xf numFmtId="172" fontId="1" fillId="13" borderId="6" xfId="0" applyNumberFormat="1" applyFont="1" applyFill="1" applyBorder="1" applyAlignment="1" applyProtection="1">
      <alignment horizontal="left" vertical="center" wrapText="1"/>
    </xf>
    <xf numFmtId="172" fontId="40" fillId="13" borderId="6" xfId="0" applyNumberFormat="1" applyFont="1" applyFill="1" applyBorder="1" applyAlignment="1" applyProtection="1"/>
    <xf numFmtId="0" fontId="1" fillId="13" borderId="0" xfId="0" applyFont="1" applyFill="1" applyBorder="1"/>
    <xf numFmtId="0" fontId="2" fillId="13" borderId="0" xfId="105" applyFont="1" applyFill="1" applyBorder="1"/>
    <xf numFmtId="0" fontId="1" fillId="13" borderId="0" xfId="0" applyFont="1" applyFill="1" applyBorder="1" applyAlignment="1">
      <alignment horizontal="center"/>
    </xf>
    <xf numFmtId="172" fontId="1" fillId="13" borderId="0" xfId="0" applyNumberFormat="1" applyFont="1" applyFill="1" applyBorder="1" applyAlignment="1" applyProtection="1">
      <alignment horizontal="left" vertical="center" wrapText="1"/>
    </xf>
    <xf numFmtId="172" fontId="40" fillId="0" borderId="6" xfId="0" applyNumberFormat="1" applyFont="1" applyFill="1" applyBorder="1" applyAlignment="1" applyProtection="1"/>
    <xf numFmtId="172" fontId="1" fillId="6" borderId="24" xfId="0" applyNumberFormat="1" applyFont="1" applyFill="1" applyBorder="1" applyAlignment="1" applyProtection="1">
      <alignment horizontal="left" vertical="center" wrapText="1"/>
    </xf>
    <xf numFmtId="172" fontId="1" fillId="0" borderId="24" xfId="0" applyNumberFormat="1" applyFont="1" applyFill="1" applyBorder="1" applyAlignment="1" applyProtection="1">
      <alignment horizontal="left" vertical="center" wrapText="1"/>
    </xf>
    <xf numFmtId="172" fontId="1" fillId="4" borderId="24" xfId="8" applyNumberFormat="1" applyFont="1" applyFill="1" applyBorder="1" applyAlignment="1" applyProtection="1"/>
    <xf numFmtId="172" fontId="1" fillId="0" borderId="24" xfId="0" applyNumberFormat="1" applyFont="1" applyFill="1" applyBorder="1" applyAlignment="1" applyProtection="1">
      <alignment horizontal="left" vertical="center" wrapText="1" indent="2"/>
    </xf>
    <xf numFmtId="49" fontId="1" fillId="3" borderId="6" xfId="0" applyNumberFormat="1" applyFont="1" applyFill="1" applyBorder="1" applyAlignment="1" applyProtection="1"/>
    <xf numFmtId="172" fontId="1" fillId="3" borderId="6" xfId="0" applyNumberFormat="1" applyFont="1" applyFill="1" applyBorder="1" applyAlignment="1" applyProtection="1">
      <alignment horizontal="left" wrapText="1"/>
    </xf>
    <xf numFmtId="172" fontId="1" fillId="3" borderId="6" xfId="0" applyNumberFormat="1" applyFont="1" applyFill="1" applyBorder="1" applyAlignment="1" applyProtection="1">
      <alignment horizontal="left" wrapText="1" indent="2"/>
    </xf>
    <xf numFmtId="172" fontId="1" fillId="3" borderId="6" xfId="110" applyNumberFormat="1" applyFont="1" applyFill="1" applyBorder="1" applyAlignment="1" applyProtection="1">
      <alignment horizontal="left" vertical="top" wrapText="1" indent="2"/>
    </xf>
    <xf numFmtId="172" fontId="1" fillId="0" borderId="6" xfId="110" applyNumberFormat="1" applyFont="1" applyFill="1" applyBorder="1" applyAlignment="1" applyProtection="1">
      <alignment horizontal="left" vertical="top" wrapText="1" indent="2"/>
    </xf>
    <xf numFmtId="49" fontId="1" fillId="3" borderId="0" xfId="0" applyNumberFormat="1" applyFont="1" applyFill="1" applyBorder="1" applyAlignment="1" applyProtection="1"/>
    <xf numFmtId="172" fontId="7" fillId="3" borderId="0" xfId="0" applyNumberFormat="1" applyFont="1" applyFill="1" applyAlignment="1" applyProtection="1">
      <alignment wrapText="1"/>
    </xf>
    <xf numFmtId="172" fontId="1" fillId="3" borderId="0" xfId="0" applyNumberFormat="1" applyFont="1" applyFill="1" applyBorder="1" applyAlignment="1" applyProtection="1">
      <alignment horizontal="center" vertical="center"/>
    </xf>
    <xf numFmtId="172" fontId="33" fillId="3" borderId="30" xfId="0" applyNumberFormat="1" applyFont="1" applyFill="1" applyBorder="1" applyAlignment="1" applyProtection="1"/>
    <xf numFmtId="172" fontId="7" fillId="3" borderId="0" xfId="0" applyNumberFormat="1" applyFont="1" applyFill="1" applyAlignment="1" applyProtection="1">
      <alignment horizontal="center"/>
    </xf>
    <xf numFmtId="172" fontId="1" fillId="0" borderId="50" xfId="8" applyNumberFormat="1" applyFont="1" applyFill="1" applyBorder="1" applyAlignment="1" applyProtection="1"/>
    <xf numFmtId="172" fontId="1" fillId="0" borderId="51" xfId="8" applyNumberFormat="1" applyFont="1" applyFill="1" applyBorder="1" applyAlignment="1" applyProtection="1"/>
    <xf numFmtId="172" fontId="1" fillId="3" borderId="51" xfId="8" applyNumberFormat="1" applyFont="1" applyFill="1" applyBorder="1" applyAlignment="1" applyProtection="1"/>
    <xf numFmtId="172" fontId="36" fillId="0" borderId="24" xfId="0" applyNumberFormat="1" applyFont="1" applyFill="1" applyBorder="1" applyAlignment="1" applyProtection="1">
      <alignment horizontal="center"/>
    </xf>
    <xf numFmtId="172" fontId="34" fillId="11" borderId="29" xfId="0" applyNumberFormat="1" applyFont="1" applyFill="1" applyBorder="1" applyAlignment="1" applyProtection="1">
      <alignment horizontal="center" vertical="top" wrapText="1"/>
    </xf>
    <xf numFmtId="172" fontId="1" fillId="0" borderId="39" xfId="8" applyNumberFormat="1" applyFont="1" applyFill="1" applyBorder="1" applyAlignment="1" applyProtection="1"/>
    <xf numFmtId="0" fontId="2" fillId="0" borderId="6" xfId="105" applyFont="1" applyBorder="1" applyAlignment="1">
      <alignment wrapText="1"/>
    </xf>
    <xf numFmtId="172" fontId="1" fillId="0" borderId="9" xfId="8" applyNumberFormat="1" applyFont="1" applyFill="1" applyBorder="1" applyAlignment="1" applyProtection="1"/>
    <xf numFmtId="172" fontId="36" fillId="0" borderId="27" xfId="0" applyNumberFormat="1" applyFont="1" applyFill="1" applyBorder="1" applyAlignment="1" applyProtection="1">
      <alignment horizontal="center"/>
    </xf>
    <xf numFmtId="172" fontId="33" fillId="3" borderId="2" xfId="0" applyNumberFormat="1" applyFont="1" applyFill="1" applyBorder="1" applyAlignment="1" applyProtection="1"/>
    <xf numFmtId="172" fontId="33" fillId="8" borderId="29" xfId="0" applyNumberFormat="1" applyFont="1" applyFill="1" applyBorder="1" applyAlignment="1" applyProtection="1">
      <alignment horizontal="center" vertical="top" wrapText="1"/>
    </xf>
    <xf numFmtId="0" fontId="38" fillId="16" borderId="33" xfId="103" applyFont="1" applyFill="1" applyBorder="1" applyAlignment="1">
      <alignment horizontal="center" vertical="center" wrapText="1"/>
    </xf>
    <xf numFmtId="0" fontId="38" fillId="4" borderId="33" xfId="103" applyFont="1" applyFill="1" applyBorder="1" applyAlignment="1">
      <alignment horizontal="center" vertical="center" wrapText="1"/>
    </xf>
    <xf numFmtId="0" fontId="38" fillId="4" borderId="34" xfId="103" applyFont="1" applyFill="1" applyBorder="1" applyAlignment="1">
      <alignment horizontal="center" vertical="center" wrapText="1"/>
    </xf>
    <xf numFmtId="0" fontId="2" fillId="6" borderId="6" xfId="105" applyFont="1" applyFill="1" applyBorder="1" applyAlignment="1">
      <alignment wrapText="1"/>
    </xf>
    <xf numFmtId="172" fontId="34" fillId="5" borderId="35" xfId="0" applyNumberFormat="1" applyFont="1" applyFill="1" applyBorder="1" applyAlignment="1" applyProtection="1">
      <alignment horizontal="center" vertical="top" wrapText="1"/>
    </xf>
    <xf numFmtId="172" fontId="34" fillId="0" borderId="31" xfId="8" applyNumberFormat="1" applyFont="1" applyFill="1" applyBorder="1" applyAlignment="1" applyProtection="1"/>
    <xf numFmtId="172" fontId="33" fillId="0" borderId="35" xfId="0" applyNumberFormat="1" applyFont="1" applyFill="1" applyBorder="1" applyAlignment="1" applyProtection="1">
      <alignment horizontal="center" wrapText="1"/>
    </xf>
    <xf numFmtId="172" fontId="1" fillId="3" borderId="35" xfId="0" applyNumberFormat="1" applyFont="1" applyFill="1" applyBorder="1" applyAlignment="1" applyProtection="1">
      <alignment horizontal="center" wrapText="1"/>
    </xf>
    <xf numFmtId="172" fontId="1" fillId="3" borderId="2" xfId="0" applyNumberFormat="1" applyFont="1" applyFill="1" applyBorder="1" applyAlignment="1" applyProtection="1">
      <alignment horizontal="center" wrapText="1"/>
    </xf>
    <xf numFmtId="172" fontId="33" fillId="3" borderId="52" xfId="0" applyNumberFormat="1" applyFont="1" applyFill="1" applyBorder="1" applyAlignment="1" applyProtection="1">
      <alignment horizontal="center" vertical="top" wrapText="1"/>
    </xf>
    <xf numFmtId="0" fontId="2" fillId="0" borderId="6" xfId="105" applyFont="1" applyBorder="1" applyAlignment="1">
      <alignment horizontal="left" wrapText="1" indent="4"/>
    </xf>
    <xf numFmtId="172" fontId="1" fillId="3" borderId="6" xfId="0" applyNumberFormat="1" applyFont="1" applyFill="1" applyBorder="1" applyAlignment="1" applyProtection="1">
      <alignment horizontal="left" vertical="center" wrapText="1" indent="5"/>
    </xf>
    <xf numFmtId="172" fontId="1" fillId="3" borderId="0" xfId="0" applyNumberFormat="1" applyFont="1" applyFill="1" applyBorder="1" applyAlignment="1" applyProtection="1">
      <alignment horizontal="left" vertical="center" wrapText="1" indent="2"/>
    </xf>
    <xf numFmtId="172" fontId="33" fillId="3" borderId="35" xfId="0" applyNumberFormat="1" applyFont="1" applyFill="1" applyBorder="1" applyAlignment="1" applyProtection="1">
      <alignment horizontal="center" wrapText="1"/>
    </xf>
    <xf numFmtId="0" fontId="2" fillId="0" borderId="6" xfId="105" applyFont="1" applyBorder="1" applyAlignment="1">
      <alignment horizontal="left" wrapText="1" indent="3"/>
    </xf>
    <xf numFmtId="172" fontId="1" fillId="0" borderId="6" xfId="0" applyNumberFormat="1" applyFont="1" applyFill="1" applyBorder="1" applyAlignment="1" applyProtection="1">
      <alignment horizontal="left" wrapText="1" indent="3"/>
    </xf>
    <xf numFmtId="172" fontId="1" fillId="3" borderId="6" xfId="0" applyNumberFormat="1" applyFont="1" applyFill="1" applyBorder="1" applyAlignment="1" applyProtection="1">
      <alignment horizontal="left" vertical="center" wrapText="1" indent="1"/>
    </xf>
    <xf numFmtId="172" fontId="39" fillId="15" borderId="6" xfId="8" applyNumberFormat="1" applyFont="1" applyFill="1" applyBorder="1" applyAlignment="1" applyProtection="1"/>
    <xf numFmtId="172" fontId="30" fillId="0" borderId="32" xfId="0" applyNumberFormat="1" applyFont="1" applyFill="1" applyBorder="1" applyAlignment="1" applyProtection="1"/>
    <xf numFmtId="172" fontId="1" fillId="3" borderId="0" xfId="8" applyNumberFormat="1" applyFont="1" applyFill="1" applyBorder="1" applyAlignment="1" applyProtection="1">
      <alignment horizontal="justify" vertical="top" wrapText="1"/>
    </xf>
    <xf numFmtId="172" fontId="1" fillId="3" borderId="0" xfId="0" applyNumberFormat="1" applyFont="1" applyFill="1" applyAlignment="1" applyProtection="1">
      <alignment horizontal="justify" vertical="top"/>
    </xf>
    <xf numFmtId="0" fontId="1" fillId="3" borderId="0" xfId="0" applyFont="1" applyFill="1" applyAlignment="1">
      <alignment wrapText="1"/>
    </xf>
    <xf numFmtId="172" fontId="1" fillId="6" borderId="24" xfId="0" applyNumberFormat="1" applyFont="1" applyFill="1" applyBorder="1" applyAlignment="1" applyProtection="1">
      <alignment wrapText="1"/>
    </xf>
    <xf numFmtId="173" fontId="0" fillId="0" borderId="0" xfId="0" applyNumberFormat="1" applyFont="1" applyFill="1" applyProtection="1"/>
    <xf numFmtId="172" fontId="7" fillId="0" borderId="0" xfId="8" applyNumberFormat="1" applyFont="1" applyFill="1" applyBorder="1" applyAlignment="1" applyProtection="1"/>
    <xf numFmtId="172" fontId="33" fillId="3" borderId="35" xfId="0" applyNumberFormat="1" applyFont="1" applyFill="1" applyBorder="1" applyAlignment="1" applyProtection="1">
      <alignment horizontal="center" vertical="center" wrapText="1"/>
    </xf>
    <xf numFmtId="172" fontId="1" fillId="3" borderId="24" xfId="8" applyNumberFormat="1" applyFont="1" applyFill="1" applyBorder="1" applyAlignment="1" applyProtection="1"/>
    <xf numFmtId="172" fontId="1" fillId="13" borderId="24" xfId="8" applyNumberFormat="1" applyFont="1" applyFill="1" applyBorder="1" applyAlignment="1" applyProtection="1">
      <alignment horizontal="right"/>
      <protection locked="0"/>
    </xf>
    <xf numFmtId="172" fontId="1" fillId="19" borderId="24" xfId="8" applyNumberFormat="1" applyFont="1" applyFill="1" applyBorder="1" applyAlignment="1" applyProtection="1">
      <alignment horizontal="right"/>
    </xf>
    <xf numFmtId="172" fontId="33" fillId="0" borderId="53" xfId="0" applyNumberFormat="1" applyFont="1" applyFill="1" applyBorder="1" applyAlignment="1" applyProtection="1">
      <alignment horizontal="center" vertical="top" wrapText="1"/>
    </xf>
    <xf numFmtId="172" fontId="1" fillId="3" borderId="53" xfId="0" applyNumberFormat="1" applyFont="1" applyFill="1" applyBorder="1" applyAlignment="1" applyProtection="1"/>
    <xf numFmtId="172" fontId="1" fillId="19" borderId="0" xfId="8" applyNumberFormat="1" applyFont="1" applyFill="1" applyBorder="1" applyAlignment="1" applyProtection="1">
      <alignment horizontal="right"/>
    </xf>
    <xf numFmtId="172" fontId="37" fillId="8" borderId="6" xfId="0" applyNumberFormat="1" applyFont="1" applyFill="1" applyBorder="1" applyAlignment="1" applyProtection="1">
      <alignment horizontal="center" wrapText="1"/>
    </xf>
    <xf numFmtId="172" fontId="0" fillId="3" borderId="6" xfId="0" applyNumberFormat="1" applyFill="1" applyBorder="1" applyAlignment="1" applyProtection="1"/>
    <xf numFmtId="172" fontId="1" fillId="13" borderId="6" xfId="8" applyNumberFormat="1" applyFont="1" applyFill="1" applyBorder="1" applyAlignment="1" applyProtection="1">
      <alignment horizontal="right"/>
      <protection locked="0"/>
    </xf>
    <xf numFmtId="172" fontId="0" fillId="3" borderId="29" xfId="0" applyNumberFormat="1" applyFont="1" applyFill="1" applyBorder="1" applyAlignment="1" applyProtection="1">
      <alignment wrapText="1"/>
    </xf>
    <xf numFmtId="172" fontId="1" fillId="0" borderId="6" xfId="8" applyNumberFormat="1" applyFont="1" applyFill="1" applyBorder="1" applyAlignment="1" applyProtection="1">
      <alignment horizontal="right"/>
    </xf>
    <xf numFmtId="172" fontId="0" fillId="3" borderId="27" xfId="0" applyNumberFormat="1" applyFill="1" applyBorder="1" applyAlignment="1" applyProtection="1">
      <alignment horizontal="center"/>
    </xf>
    <xf numFmtId="172" fontId="0" fillId="3" borderId="24" xfId="0" applyNumberFormat="1" applyFill="1" applyBorder="1" applyAlignment="1" applyProtection="1">
      <alignment horizontal="center"/>
    </xf>
    <xf numFmtId="172" fontId="1" fillId="13" borderId="24" xfId="12" applyNumberFormat="1" applyFont="1" applyFill="1" applyBorder="1" applyAlignment="1" applyProtection="1">
      <alignment horizontal="right"/>
      <protection locked="0"/>
    </xf>
    <xf numFmtId="172" fontId="1" fillId="13" borderId="47" xfId="12" applyNumberFormat="1" applyFont="1" applyFill="1" applyBorder="1" applyAlignment="1" applyProtection="1">
      <alignment horizontal="right"/>
      <protection locked="0"/>
    </xf>
    <xf numFmtId="172" fontId="1" fillId="16" borderId="24" xfId="8" applyNumberFormat="1" applyFont="1" applyFill="1" applyBorder="1" applyAlignment="1" applyProtection="1">
      <alignment horizontal="right"/>
      <protection locked="0"/>
    </xf>
    <xf numFmtId="172" fontId="0" fillId="6" borderId="0" xfId="0" applyNumberFormat="1" applyFont="1" applyFill="1" applyAlignment="1" applyProtection="1"/>
    <xf numFmtId="172" fontId="40" fillId="0" borderId="6" xfId="110" applyNumberFormat="1" applyFont="1" applyFill="1" applyBorder="1" applyAlignment="1" applyProtection="1">
      <alignment horizontal="left" wrapText="1"/>
    </xf>
    <xf numFmtId="172" fontId="0" fillId="4" borderId="6" xfId="0" applyNumberFormat="1" applyFill="1" applyBorder="1" applyAlignment="1" applyProtection="1"/>
    <xf numFmtId="172" fontId="1" fillId="19" borderId="6" xfId="8" applyNumberFormat="1" applyFont="1" applyFill="1" applyBorder="1" applyAlignment="1" applyProtection="1">
      <alignment horizontal="right"/>
    </xf>
    <xf numFmtId="172" fontId="0" fillId="3" borderId="24" xfId="0" applyNumberFormat="1" applyFill="1" applyBorder="1" applyAlignment="1" applyProtection="1"/>
    <xf numFmtId="172" fontId="1" fillId="4" borderId="6" xfId="8" applyNumberFormat="1" applyFont="1" applyFill="1" applyBorder="1" applyAlignment="1" applyProtection="1">
      <alignment horizontal="right"/>
    </xf>
    <xf numFmtId="172" fontId="1" fillId="13" borderId="6" xfId="8" applyNumberFormat="1" applyFont="1" applyFill="1" applyBorder="1" applyAlignment="1" applyProtection="1">
      <protection locked="0"/>
    </xf>
    <xf numFmtId="172" fontId="1" fillId="13" borderId="24" xfId="8" applyNumberFormat="1" applyFont="1" applyFill="1" applyBorder="1" applyAlignment="1" applyProtection="1">
      <protection locked="0"/>
    </xf>
    <xf numFmtId="172" fontId="1" fillId="4" borderId="24" xfId="47" applyNumberFormat="1" applyFont="1" applyFill="1" applyBorder="1" applyAlignment="1" applyProtection="1"/>
    <xf numFmtId="172" fontId="1" fillId="20" borderId="24" xfId="8" applyNumberFormat="1" applyFont="1" applyFill="1" applyBorder="1" applyAlignment="1" applyProtection="1">
      <alignment horizontal="right"/>
      <protection locked="0"/>
    </xf>
    <xf numFmtId="172" fontId="1" fillId="20" borderId="6" xfId="8" applyNumberFormat="1" applyFont="1" applyFill="1" applyBorder="1" applyAlignment="1" applyProtection="1">
      <alignment horizontal="right"/>
      <protection locked="0"/>
    </xf>
    <xf numFmtId="172" fontId="1" fillId="16" borderId="6" xfId="8" applyNumberFormat="1" applyFont="1" applyFill="1" applyBorder="1" applyAlignment="1" applyProtection="1">
      <alignment horizontal="right"/>
      <protection locked="0"/>
    </xf>
    <xf numFmtId="172" fontId="1" fillId="6" borderId="6" xfId="8" applyNumberFormat="1" applyFont="1" applyFill="1" applyBorder="1" applyAlignment="1" applyProtection="1"/>
    <xf numFmtId="172" fontId="0" fillId="0" borderId="6" xfId="0" applyNumberFormat="1" applyFill="1" applyBorder="1" applyAlignment="1" applyProtection="1"/>
    <xf numFmtId="172" fontId="0" fillId="0" borderId="0" xfId="0" applyNumberFormat="1" applyFill="1" applyBorder="1" applyAlignment="1" applyProtection="1"/>
    <xf numFmtId="172" fontId="1" fillId="3" borderId="6" xfId="8" applyNumberFormat="1" applyFont="1" applyFill="1" applyBorder="1" applyAlignment="1" applyProtection="1">
      <alignment horizontal="right"/>
    </xf>
    <xf numFmtId="0" fontId="0" fillId="0" borderId="0" xfId="0" applyAlignment="1"/>
    <xf numFmtId="0" fontId="36" fillId="0" borderId="6" xfId="0" applyFont="1" applyBorder="1" applyAlignment="1"/>
    <xf numFmtId="38" fontId="0" fillId="0" borderId="0" xfId="0" applyNumberFormat="1" applyAlignment="1"/>
    <xf numFmtId="0" fontId="38" fillId="6" borderId="27" xfId="103" applyFont="1" applyFill="1" applyBorder="1" applyAlignment="1">
      <alignment horizontal="center" vertical="center" wrapText="1"/>
    </xf>
    <xf numFmtId="0" fontId="38" fillId="8" borderId="6" xfId="103" applyFont="1" applyFill="1" applyBorder="1" applyAlignment="1">
      <alignment horizontal="center" vertical="center" wrapText="1"/>
    </xf>
    <xf numFmtId="0" fontId="38" fillId="3" borderId="0" xfId="103" applyFont="1" applyFill="1" applyBorder="1" applyAlignment="1">
      <alignment vertical="center" wrapText="1"/>
    </xf>
    <xf numFmtId="0" fontId="44" fillId="0" borderId="0" xfId="0" applyFont="1"/>
    <xf numFmtId="0" fontId="38" fillId="6" borderId="6" xfId="103" applyFont="1" applyFill="1" applyBorder="1" applyAlignment="1">
      <alignment horizontal="center" vertical="center" wrapText="1"/>
    </xf>
    <xf numFmtId="0" fontId="0" fillId="0" borderId="6" xfId="0" applyFont="1" applyBorder="1" applyAlignment="1"/>
    <xf numFmtId="0" fontId="45" fillId="20" borderId="27" xfId="122" applyNumberFormat="1" applyFont="1" applyFill="1" applyBorder="1" applyAlignment="1" applyProtection="1">
      <alignment horizontal="left" vertical="center"/>
      <protection locked="0"/>
    </xf>
    <xf numFmtId="38" fontId="45" fillId="13" borderId="6" xfId="122" applyNumberFormat="1" applyFont="1" applyFill="1" applyBorder="1" applyAlignment="1" applyProtection="1">
      <alignment horizontal="left"/>
      <protection locked="0"/>
    </xf>
    <xf numFmtId="38" fontId="45" fillId="4" borderId="6" xfId="122" applyNumberFormat="1" applyFont="1" applyFill="1" applyBorder="1" applyAlignment="1">
      <alignment horizontal="right"/>
    </xf>
    <xf numFmtId="0" fontId="45" fillId="13" borderId="6" xfId="122" applyNumberFormat="1" applyFont="1" applyFill="1" applyBorder="1" applyAlignment="1" applyProtection="1">
      <alignment horizontal="left"/>
      <protection locked="0"/>
    </xf>
    <xf numFmtId="0" fontId="45" fillId="13" borderId="6" xfId="122" applyNumberFormat="1" applyFont="1" applyFill="1" applyBorder="1" applyAlignment="1" applyProtection="1">
      <alignment horizontal="center"/>
      <protection locked="0"/>
    </xf>
    <xf numFmtId="0" fontId="45" fillId="3" borderId="0" xfId="122" applyNumberFormat="1" applyFont="1" applyFill="1" applyBorder="1" applyAlignment="1">
      <alignment horizontal="left"/>
    </xf>
    <xf numFmtId="0" fontId="45" fillId="20" borderId="6" xfId="122" applyNumberFormat="1" applyFont="1" applyFill="1" applyBorder="1" applyAlignment="1" applyProtection="1">
      <alignment horizontal="left" vertical="center"/>
      <protection locked="0"/>
    </xf>
    <xf numFmtId="38" fontId="46" fillId="4" borderId="6" xfId="122" applyNumberFormat="1" applyFont="1" applyFill="1" applyBorder="1" applyAlignment="1">
      <alignment horizontal="right"/>
    </xf>
    <xf numFmtId="38" fontId="46" fillId="5" borderId="6" xfId="122" applyNumberFormat="1" applyFont="1" applyFill="1" applyBorder="1" applyAlignment="1">
      <alignment horizontal="right"/>
    </xf>
    <xf numFmtId="38" fontId="46" fillId="21" borderId="6" xfId="122" applyNumberFormat="1" applyFont="1" applyFill="1" applyBorder="1" applyAlignment="1">
      <alignment horizontal="right"/>
    </xf>
    <xf numFmtId="38" fontId="44" fillId="0" borderId="0" xfId="0" applyNumberFormat="1" applyFont="1"/>
    <xf numFmtId="0" fontId="38" fillId="6" borderId="15" xfId="103" applyFont="1" applyFill="1" applyBorder="1" applyAlignment="1">
      <alignment horizontal="center" vertical="center" wrapText="1"/>
    </xf>
    <xf numFmtId="0" fontId="38" fillId="6" borderId="6" xfId="103" applyFont="1" applyFill="1" applyBorder="1" applyAlignment="1">
      <alignment vertical="center" wrapText="1"/>
    </xf>
    <xf numFmtId="0" fontId="43" fillId="4" borderId="6" xfId="103" applyFont="1" applyFill="1" applyBorder="1" applyAlignment="1">
      <alignment horizontal="center" vertical="center" wrapText="1"/>
    </xf>
    <xf numFmtId="0" fontId="43" fillId="4" borderId="6" xfId="103" applyFont="1" applyFill="1" applyBorder="1" applyAlignment="1">
      <alignment vertical="center" wrapText="1"/>
    </xf>
    <xf numFmtId="0" fontId="45" fillId="0" borderId="6" xfId="122" applyNumberFormat="1" applyFont="1" applyFill="1" applyBorder="1" applyAlignment="1">
      <alignment horizontal="left" vertical="center"/>
    </xf>
    <xf numFmtId="37" fontId="47" fillId="22" borderId="6" xfId="122" applyNumberFormat="1" applyFont="1" applyFill="1" applyBorder="1" applyAlignment="1" applyProtection="1">
      <alignment horizontal="right"/>
    </xf>
    <xf numFmtId="37" fontId="44" fillId="0" borderId="0" xfId="0" applyNumberFormat="1" applyFont="1"/>
    <xf numFmtId="0" fontId="44" fillId="13" borderId="6" xfId="0" applyFont="1" applyFill="1" applyBorder="1" applyProtection="1">
      <protection locked="0"/>
    </xf>
    <xf numFmtId="37" fontId="45" fillId="13" borderId="6" xfId="122" applyNumberFormat="1" applyFont="1" applyFill="1" applyBorder="1" applyAlignment="1" applyProtection="1">
      <alignment horizontal="right"/>
      <protection locked="0"/>
    </xf>
    <xf numFmtId="37" fontId="45" fillId="3" borderId="6" xfId="122" applyNumberFormat="1" applyFont="1" applyFill="1" applyBorder="1" applyAlignment="1" applyProtection="1">
      <alignment horizontal="right"/>
    </xf>
    <xf numFmtId="0" fontId="45" fillId="0" borderId="0" xfId="122" applyNumberFormat="1" applyFont="1" applyFill="1" applyBorder="1" applyAlignment="1">
      <alignment horizontal="left"/>
    </xf>
    <xf numFmtId="0" fontId="38" fillId="6" borderId="7" xfId="103" applyFont="1" applyFill="1" applyBorder="1" applyAlignment="1">
      <alignment vertical="center" wrapText="1"/>
    </xf>
    <xf numFmtId="37" fontId="45" fillId="13" borderId="6" xfId="122" applyNumberFormat="1" applyFont="1" applyFill="1" applyBorder="1" applyAlignment="1" applyProtection="1">
      <alignment horizontal="left"/>
      <protection locked="0"/>
    </xf>
    <xf numFmtId="37" fontId="45" fillId="3" borderId="6" xfId="122" applyNumberFormat="1" applyFont="1" applyFill="1" applyBorder="1" applyAlignment="1">
      <alignment horizontal="right"/>
    </xf>
    <xf numFmtId="0" fontId="36" fillId="0" borderId="0" xfId="0" applyFont="1" applyAlignment="1">
      <alignment horizontal="right"/>
    </xf>
    <xf numFmtId="37" fontId="46" fillId="16" borderId="6" xfId="122" applyNumberFormat="1" applyFont="1" applyFill="1" applyBorder="1" applyAlignment="1">
      <alignment horizontal="right"/>
    </xf>
    <xf numFmtId="0" fontId="48" fillId="0" borderId="0" xfId="122" applyNumberFormat="1" applyFont="1" applyFill="1" applyBorder="1" applyAlignment="1">
      <alignment horizontal="center"/>
    </xf>
    <xf numFmtId="0" fontId="44" fillId="0" borderId="0" xfId="0" applyFont="1" applyFill="1"/>
    <xf numFmtId="0" fontId="38" fillId="9" borderId="6" xfId="103" applyFont="1" applyFill="1" applyBorder="1" applyAlignment="1">
      <alignment horizontal="center" vertical="center" wrapText="1"/>
    </xf>
    <xf numFmtId="0" fontId="38" fillId="5" borderId="6" xfId="103" applyFont="1" applyFill="1" applyBorder="1" applyAlignment="1">
      <alignment horizontal="center" vertical="center" wrapText="1"/>
    </xf>
    <xf numFmtId="0" fontId="46" fillId="6" borderId="15" xfId="122" applyNumberFormat="1" applyFont="1" applyFill="1" applyBorder="1" applyAlignment="1">
      <alignment horizontal="left" vertical="center"/>
    </xf>
    <xf numFmtId="0" fontId="45" fillId="15" borderId="15" xfId="122" applyNumberFormat="1" applyFont="1" applyFill="1" applyBorder="1" applyAlignment="1">
      <alignment horizontal="left"/>
    </xf>
    <xf numFmtId="0" fontId="45" fillId="13" borderId="6" xfId="122" applyNumberFormat="1" applyFont="1" applyFill="1" applyBorder="1" applyAlignment="1" applyProtection="1">
      <alignment horizontal="left" vertical="center"/>
      <protection locked="0"/>
    </xf>
    <xf numFmtId="0" fontId="46" fillId="6" borderId="27" xfId="122" applyNumberFormat="1" applyFont="1" applyFill="1" applyBorder="1" applyAlignment="1">
      <alignment horizontal="left" vertical="center"/>
    </xf>
    <xf numFmtId="0" fontId="45" fillId="15" borderId="27" xfId="122" applyNumberFormat="1" applyFont="1" applyFill="1" applyBorder="1" applyAlignment="1">
      <alignment horizontal="left"/>
    </xf>
    <xf numFmtId="0" fontId="45" fillId="0" borderId="0" xfId="122" applyNumberFormat="1" applyFont="1" applyFill="1" applyBorder="1" applyAlignment="1" applyProtection="1">
      <alignment horizontal="left" vertical="center"/>
      <protection locked="0"/>
    </xf>
    <xf numFmtId="0" fontId="45" fillId="0" borderId="0" xfId="122" applyNumberFormat="1" applyFont="1" applyFill="1" applyBorder="1" applyAlignment="1" applyProtection="1">
      <alignment horizontal="left"/>
      <protection locked="0"/>
    </xf>
    <xf numFmtId="3" fontId="47" fillId="19" borderId="6" xfId="122" applyNumberFormat="1" applyFont="1" applyFill="1" applyBorder="1" applyAlignment="1" applyProtection="1">
      <alignment horizontal="right" vertical="center"/>
    </xf>
    <xf numFmtId="0" fontId="45" fillId="3" borderId="6" xfId="122" applyNumberFormat="1" applyFont="1" applyFill="1" applyBorder="1" applyAlignment="1" applyProtection="1">
      <alignment horizontal="left" vertical="center"/>
    </xf>
    <xf numFmtId="3" fontId="45" fillId="13" borderId="6" xfId="122" applyNumberFormat="1" applyFont="1" applyFill="1" applyBorder="1" applyAlignment="1" applyProtection="1">
      <alignment horizontal="right" vertical="center"/>
      <protection locked="0"/>
    </xf>
    <xf numFmtId="3" fontId="45" fillId="3" borderId="6" xfId="122" applyNumberFormat="1" applyFont="1" applyFill="1" applyBorder="1" applyAlignment="1" applyProtection="1">
      <alignment horizontal="right" vertical="center"/>
    </xf>
    <xf numFmtId="0" fontId="0" fillId="0" borderId="0" xfId="0" applyFill="1" applyAlignment="1"/>
    <xf numFmtId="0" fontId="38" fillId="14" borderId="6" xfId="103" applyFont="1" applyFill="1" applyBorder="1" applyAlignment="1">
      <alignment horizontal="center" vertical="center" wrapText="1"/>
    </xf>
    <xf numFmtId="0" fontId="45" fillId="3" borderId="6" xfId="122" applyNumberFormat="1" applyFont="1" applyFill="1" applyBorder="1" applyAlignment="1">
      <alignment horizontal="left" vertical="center"/>
    </xf>
    <xf numFmtId="0" fontId="35" fillId="4" borderId="6" xfId="0" applyFont="1" applyFill="1" applyBorder="1"/>
    <xf numFmtId="0" fontId="49" fillId="23" borderId="6" xfId="122" applyNumberFormat="1" applyFont="1" applyFill="1" applyBorder="1" applyAlignment="1">
      <alignment horizontal="center"/>
    </xf>
    <xf numFmtId="38" fontId="45" fillId="23" borderId="6" xfId="122" applyNumberFormat="1" applyFont="1" applyFill="1" applyBorder="1" applyAlignment="1">
      <alignment horizontal="right"/>
    </xf>
    <xf numFmtId="38" fontId="45" fillId="20" borderId="6" xfId="122" applyNumberFormat="1" applyFont="1" applyFill="1" applyBorder="1" applyAlignment="1" applyProtection="1">
      <alignment horizontal="right"/>
      <protection locked="0"/>
    </xf>
    <xf numFmtId="38" fontId="45" fillId="0" borderId="6" xfId="122" applyNumberFormat="1" applyFont="1" applyFill="1" applyBorder="1" applyAlignment="1">
      <alignment horizontal="right"/>
    </xf>
    <xf numFmtId="38" fontId="45" fillId="13" borderId="6" xfId="122" applyNumberFormat="1" applyFont="1" applyFill="1" applyBorder="1" applyAlignment="1" applyProtection="1">
      <alignment horizontal="right"/>
      <protection locked="0"/>
    </xf>
    <xf numFmtId="0" fontId="45" fillId="5" borderId="27" xfId="122" applyNumberFormat="1" applyFont="1" applyFill="1" applyBorder="1" applyAlignment="1" applyProtection="1">
      <alignment horizontal="left" vertical="center"/>
    </xf>
    <xf numFmtId="0" fontId="46" fillId="5" borderId="27" xfId="122" applyNumberFormat="1" applyFont="1" applyFill="1" applyBorder="1" applyAlignment="1" applyProtection="1">
      <alignment horizontal="left" vertical="center"/>
    </xf>
    <xf numFmtId="38" fontId="45" fillId="5" borderId="6" xfId="122" applyNumberFormat="1" applyFont="1" applyFill="1" applyBorder="1" applyAlignment="1" applyProtection="1">
      <alignment horizontal="right"/>
    </xf>
    <xf numFmtId="0" fontId="35" fillId="3" borderId="6" xfId="0" applyNumberFormat="1" applyFont="1" applyFill="1" applyBorder="1"/>
    <xf numFmtId="0" fontId="35" fillId="4" borderId="6" xfId="0" applyFont="1" applyFill="1" applyBorder="1" applyAlignment="1">
      <alignment wrapText="1"/>
    </xf>
    <xf numFmtId="0" fontId="45" fillId="5" borderId="6" xfId="122" applyNumberFormat="1" applyFont="1" applyFill="1" applyBorder="1" applyAlignment="1" applyProtection="1">
      <alignment horizontal="left" vertical="center"/>
    </xf>
    <xf numFmtId="0" fontId="45" fillId="4" borderId="6" xfId="122" applyNumberFormat="1" applyFont="1" applyFill="1" applyBorder="1" applyAlignment="1">
      <alignment horizontal="left" vertical="center"/>
    </xf>
    <xf numFmtId="0" fontId="0" fillId="0" borderId="0" xfId="0" applyNumberFormat="1" applyAlignment="1">
      <alignment vertical="top"/>
    </xf>
    <xf numFmtId="0" fontId="45" fillId="4" borderId="6" xfId="122" applyNumberFormat="1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5" fillId="13" borderId="6" xfId="122" applyNumberFormat="1" applyFont="1" applyFill="1" applyBorder="1" applyAlignment="1" applyProtection="1">
      <alignment horizontal="right"/>
      <protection locked="0"/>
    </xf>
    <xf numFmtId="0" fontId="0" fillId="6" borderId="6" xfId="0" applyFont="1" applyFill="1" applyBorder="1" applyAlignment="1"/>
    <xf numFmtId="0" fontId="50" fillId="0" borderId="0" xfId="0" applyFont="1"/>
    <xf numFmtId="0" fontId="45" fillId="0" borderId="0" xfId="0" applyFont="1"/>
    <xf numFmtId="0" fontId="51" fillId="5" borderId="6" xfId="103" applyFont="1" applyFill="1" applyBorder="1" applyAlignment="1">
      <alignment horizontal="center" vertical="center" wrapText="1"/>
    </xf>
    <xf numFmtId="0" fontId="7" fillId="3" borderId="6" xfId="0" applyFont="1" applyFill="1" applyBorder="1"/>
    <xf numFmtId="0" fontId="46" fillId="3" borderId="54" xfId="122" applyNumberFormat="1" applyFont="1" applyFill="1" applyBorder="1" applyAlignment="1">
      <alignment horizontal="left"/>
    </xf>
    <xf numFmtId="37" fontId="45" fillId="4" borderId="15" xfId="122" applyNumberFormat="1" applyFont="1" applyFill="1" applyBorder="1" applyAlignment="1">
      <alignment horizontal="right"/>
    </xf>
    <xf numFmtId="37" fontId="45" fillId="0" borderId="0" xfId="0" applyNumberFormat="1" applyFont="1"/>
    <xf numFmtId="0" fontId="45" fillId="3" borderId="55" xfId="122" applyNumberFormat="1" applyFont="1" applyFill="1" applyBorder="1" applyAlignment="1">
      <alignment horizontal="left"/>
    </xf>
    <xf numFmtId="37" fontId="45" fillId="0" borderId="6" xfId="122" applyNumberFormat="1" applyFont="1" applyFill="1" applyBorder="1" applyAlignment="1" applyProtection="1">
      <alignment horizontal="right"/>
    </xf>
    <xf numFmtId="0" fontId="45" fillId="3" borderId="56" xfId="122" applyNumberFormat="1" applyFont="1" applyFill="1" applyBorder="1" applyAlignment="1">
      <alignment horizontal="left"/>
    </xf>
    <xf numFmtId="0" fontId="45" fillId="13" borderId="6" xfId="122" applyNumberFormat="1" applyFont="1" applyFill="1" applyBorder="1" applyAlignment="1" applyProtection="1">
      <alignment vertical="top"/>
      <protection locked="0"/>
    </xf>
    <xf numFmtId="0" fontId="46" fillId="3" borderId="55" xfId="122" applyNumberFormat="1" applyFont="1" applyFill="1" applyBorder="1" applyAlignment="1">
      <alignment horizontal="left"/>
    </xf>
    <xf numFmtId="0" fontId="45" fillId="13" borderId="6" xfId="122" applyFont="1" applyFill="1" applyBorder="1" applyAlignment="1" applyProtection="1">
      <alignment vertical="top"/>
      <protection locked="0"/>
    </xf>
    <xf numFmtId="0" fontId="7" fillId="3" borderId="6" xfId="0" applyFont="1" applyFill="1" applyBorder="1" applyAlignment="1">
      <alignment vertical="center"/>
    </xf>
    <xf numFmtId="0" fontId="46" fillId="3" borderId="55" xfId="122" applyNumberFormat="1" applyFont="1" applyFill="1" applyBorder="1" applyAlignment="1">
      <alignment horizontal="left" wrapText="1"/>
    </xf>
    <xf numFmtId="0" fontId="1" fillId="3" borderId="57" xfId="0" applyFont="1" applyFill="1" applyBorder="1"/>
    <xf numFmtId="0" fontId="45" fillId="0" borderId="57" xfId="0" applyFont="1" applyBorder="1"/>
    <xf numFmtId="0" fontId="45" fillId="0" borderId="0" xfId="0" applyNumberFormat="1" applyFont="1" applyAlignment="1">
      <alignment vertical="center"/>
    </xf>
    <xf numFmtId="0" fontId="45" fillId="0" borderId="6" xfId="122" applyNumberFormat="1" applyFont="1" applyFill="1" applyBorder="1" applyAlignment="1">
      <alignment horizontal="left"/>
    </xf>
    <xf numFmtId="37" fontId="45" fillId="0" borderId="6" xfId="122" applyNumberFormat="1" applyFont="1" applyFill="1" applyBorder="1" applyAlignment="1" applyProtection="1">
      <alignment vertical="top"/>
    </xf>
    <xf numFmtId="0" fontId="45" fillId="0" borderId="25" xfId="122" applyNumberFormat="1" applyFont="1" applyFill="1" applyBorder="1" applyAlignment="1">
      <alignment horizontal="left" vertical="center"/>
    </xf>
    <xf numFmtId="37" fontId="45" fillId="0" borderId="25" xfId="122" applyNumberFormat="1" applyFont="1" applyFill="1" applyBorder="1" applyAlignment="1">
      <alignment horizontal="right"/>
    </xf>
    <xf numFmtId="14" fontId="45" fillId="13" borderId="6" xfId="122" applyNumberFormat="1" applyFont="1" applyFill="1" applyBorder="1" applyAlignment="1" applyProtection="1">
      <alignment horizontal="left"/>
      <protection locked="0"/>
    </xf>
    <xf numFmtId="0" fontId="46" fillId="0" borderId="6" xfId="103" applyFont="1" applyFill="1" applyBorder="1" applyAlignment="1">
      <alignment horizontal="left" vertical="top" indent="1"/>
    </xf>
    <xf numFmtId="0" fontId="45" fillId="0" borderId="25" xfId="122" applyNumberFormat="1" applyFont="1" applyFill="1" applyBorder="1" applyAlignment="1">
      <alignment horizontal="left"/>
    </xf>
    <xf numFmtId="38" fontId="45" fillId="0" borderId="0" xfId="0" applyNumberFormat="1" applyFont="1"/>
    <xf numFmtId="0" fontId="52" fillId="0" borderId="0" xfId="0" applyFont="1"/>
    <xf numFmtId="0" fontId="45" fillId="13" borderId="6" xfId="122" applyFont="1" applyFill="1" applyBorder="1" applyAlignment="1" applyProtection="1">
      <alignment horizontal="left"/>
      <protection locked="0"/>
    </xf>
    <xf numFmtId="172" fontId="1" fillId="13" borderId="24" xfId="47" applyNumberFormat="1" applyFont="1" applyFill="1" applyBorder="1" applyAlignment="1" applyProtection="1">
      <alignment horizontal="right"/>
      <protection locked="0"/>
    </xf>
    <xf numFmtId="172" fontId="1" fillId="13" borderId="15" xfId="12" applyNumberFormat="1" applyFont="1" applyFill="1" applyBorder="1" applyAlignment="1" applyProtection="1">
      <alignment horizontal="right"/>
      <protection locked="0"/>
    </xf>
    <xf numFmtId="172" fontId="53" fillId="24" borderId="24" xfId="8" applyNumberFormat="1" applyFont="1" applyFill="1" applyBorder="1" applyAlignment="1" applyProtection="1">
      <alignment horizontal="right"/>
      <protection locked="0"/>
    </xf>
    <xf numFmtId="172" fontId="37" fillId="8" borderId="9" xfId="0" applyNumberFormat="1" applyFont="1" applyFill="1" applyBorder="1" applyAlignment="1" applyProtection="1">
      <alignment wrapText="1"/>
    </xf>
    <xf numFmtId="172" fontId="33" fillId="5" borderId="46" xfId="0" applyNumberFormat="1" applyFont="1" applyFill="1" applyBorder="1" applyAlignment="1" applyProtection="1">
      <alignment horizontal="center" vertical="top" wrapText="1"/>
    </xf>
    <xf numFmtId="172" fontId="33" fillId="0" borderId="6" xfId="0" applyNumberFormat="1" applyFont="1" applyFill="1" applyBorder="1" applyAlignment="1" applyProtection="1">
      <alignment horizontal="center" wrapText="1"/>
    </xf>
    <xf numFmtId="172" fontId="33" fillId="3" borderId="6" xfId="0" applyNumberFormat="1" applyFont="1" applyFill="1" applyBorder="1" applyAlignment="1" applyProtection="1">
      <alignment horizontal="center" vertical="center" wrapText="1"/>
    </xf>
    <xf numFmtId="172" fontId="33" fillId="3" borderId="3" xfId="0" applyNumberFormat="1" applyFont="1" applyFill="1" applyBorder="1" applyAlignment="1" applyProtection="1"/>
    <xf numFmtId="172" fontId="1" fillId="3" borderId="9" xfId="0" applyNumberFormat="1" applyFont="1" applyFill="1" applyBorder="1" applyAlignment="1" applyProtection="1"/>
    <xf numFmtId="172" fontId="1" fillId="14" borderId="24" xfId="8" applyNumberFormat="1" applyFont="1" applyFill="1" applyBorder="1" applyAlignment="1" applyProtection="1">
      <alignment horizontal="right"/>
      <protection hidden="1"/>
    </xf>
    <xf numFmtId="172" fontId="1" fillId="3" borderId="58" xfId="0" applyNumberFormat="1" applyFont="1" applyFill="1" applyBorder="1" applyAlignment="1" applyProtection="1"/>
    <xf numFmtId="172" fontId="1" fillId="0" borderId="15" xfId="0" applyNumberFormat="1" applyFont="1" applyFill="1" applyBorder="1" applyAlignment="1" applyProtection="1"/>
    <xf numFmtId="0" fontId="1" fillId="3" borderId="15" xfId="0" applyFont="1" applyFill="1" applyBorder="1"/>
    <xf numFmtId="0" fontId="2" fillId="3" borderId="15" xfId="105" applyFont="1" applyFill="1" applyBorder="1"/>
    <xf numFmtId="0" fontId="1" fillId="3" borderId="27" xfId="0" applyFont="1" applyFill="1" applyBorder="1" applyAlignment="1">
      <alignment horizontal="center"/>
    </xf>
    <xf numFmtId="0" fontId="1" fillId="14" borderId="15" xfId="0" applyFont="1" applyFill="1" applyBorder="1"/>
    <xf numFmtId="172" fontId="1" fillId="6" borderId="36" xfId="0" applyNumberFormat="1" applyFont="1" applyFill="1" applyBorder="1" applyAlignment="1" applyProtection="1"/>
    <xf numFmtId="0" fontId="1" fillId="6" borderId="6" xfId="0" applyFont="1" applyFill="1" applyBorder="1"/>
    <xf numFmtId="0" fontId="2" fillId="6" borderId="6" xfId="105" applyFont="1" applyFill="1" applyBorder="1"/>
    <xf numFmtId="0" fontId="1" fillId="6" borderId="24" xfId="0" applyFont="1" applyFill="1" applyBorder="1" applyAlignment="1">
      <alignment horizontal="center"/>
    </xf>
    <xf numFmtId="0" fontId="54" fillId="0" borderId="0" xfId="0" applyFont="1" applyFill="1" applyAlignment="1"/>
    <xf numFmtId="0" fontId="54" fillId="0" borderId="0" xfId="0" applyFont="1" applyFill="1" applyBorder="1" applyAlignment="1">
      <alignment wrapText="1"/>
    </xf>
    <xf numFmtId="0" fontId="54" fillId="0" borderId="0" xfId="0" applyFont="1" applyAlignment="1"/>
    <xf numFmtId="0" fontId="54" fillId="0" borderId="0" xfId="0" applyFont="1" applyFill="1" applyAlignment="1">
      <alignment horizontal="center" wrapText="1"/>
    </xf>
    <xf numFmtId="0" fontId="54" fillId="0" borderId="0" xfId="0" applyFont="1" applyFill="1" applyBorder="1" applyAlignment="1">
      <alignment horizontal="center" wrapText="1"/>
    </xf>
    <xf numFmtId="0" fontId="54" fillId="0" borderId="0" xfId="0" applyFont="1" applyAlignment="1">
      <alignment horizontal="center" wrapText="1"/>
    </xf>
    <xf numFmtId="172" fontId="7" fillId="3" borderId="6" xfId="0" applyNumberFormat="1" applyFont="1" applyFill="1" applyBorder="1" applyAlignment="1" applyProtection="1">
      <alignment horizontal="center" vertical="center" wrapText="1"/>
    </xf>
    <xf numFmtId="172" fontId="1" fillId="3" borderId="6" xfId="0" applyNumberFormat="1" applyFont="1" applyFill="1" applyBorder="1" applyAlignment="1" applyProtection="1">
      <alignment horizontal="center" vertical="center" wrapText="1"/>
    </xf>
    <xf numFmtId="172" fontId="1" fillId="3" borderId="6" xfId="110" applyNumberFormat="1" applyFont="1" applyFill="1" applyBorder="1" applyAlignment="1" applyProtection="1">
      <alignment horizontal="center" vertical="top" wrapText="1"/>
    </xf>
    <xf numFmtId="172" fontId="1" fillId="0" borderId="6" xfId="110" applyNumberFormat="1" applyFont="1" applyFill="1" applyBorder="1" applyAlignment="1" applyProtection="1">
      <alignment horizontal="center" vertical="top" wrapText="1"/>
    </xf>
    <xf numFmtId="0" fontId="41" fillId="0" borderId="0" xfId="0" applyFont="1" applyAlignment="1">
      <alignment horizontal="center" wrapText="1"/>
    </xf>
    <xf numFmtId="172" fontId="55" fillId="6" borderId="6" xfId="0" applyNumberFormat="1" applyFont="1" applyFill="1" applyBorder="1" applyAlignment="1" applyProtection="1">
      <alignment horizontal="right" vertical="center" wrapText="1"/>
    </xf>
    <xf numFmtId="0" fontId="56" fillId="6" borderId="6" xfId="0" applyFont="1" applyFill="1" applyBorder="1" applyAlignment="1">
      <alignment horizontal="center"/>
    </xf>
    <xf numFmtId="0" fontId="7" fillId="6" borderId="6" xfId="113" applyFont="1" applyFill="1" applyBorder="1" applyAlignment="1" applyProtection="1">
      <alignment horizontal="center" vertical="top" wrapText="1"/>
    </xf>
    <xf numFmtId="0" fontId="56" fillId="0" borderId="6" xfId="0" applyFont="1" applyBorder="1" applyAlignment="1">
      <alignment horizontal="center"/>
    </xf>
    <xf numFmtId="0" fontId="35" fillId="3" borderId="6" xfId="0" applyFont="1" applyFill="1" applyBorder="1" applyAlignment="1">
      <alignment horizontal="center"/>
    </xf>
    <xf numFmtId="49" fontId="35" fillId="3" borderId="6" xfId="0" applyNumberFormat="1" applyFont="1" applyFill="1" applyBorder="1" applyAlignment="1" applyProtection="1">
      <alignment horizontal="center"/>
    </xf>
    <xf numFmtId="172" fontId="35" fillId="3" borderId="6" xfId="0" applyNumberFormat="1" applyFont="1" applyFill="1" applyBorder="1" applyAlignment="1" applyProtection="1">
      <alignment horizontal="center"/>
    </xf>
    <xf numFmtId="0" fontId="35" fillId="3" borderId="37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7" fillId="5" borderId="6" xfId="113" applyNumberFormat="1" applyFont="1" applyFill="1" applyBorder="1" applyAlignment="1" applyProtection="1">
      <alignment vertical="top"/>
    </xf>
    <xf numFmtId="0" fontId="7" fillId="5" borderId="6" xfId="113" applyFont="1" applyFill="1" applyBorder="1" applyAlignment="1" applyProtection="1">
      <alignment vertical="top" wrapText="1"/>
    </xf>
    <xf numFmtId="0" fontId="41" fillId="5" borderId="6" xfId="0" applyFont="1" applyFill="1" applyBorder="1" applyAlignment="1" applyProtection="1">
      <protection locked="0"/>
    </xf>
    <xf numFmtId="0" fontId="1" fillId="0" borderId="6" xfId="113" applyNumberFormat="1" applyFont="1" applyFill="1" applyBorder="1" applyAlignment="1" applyProtection="1">
      <alignment vertical="top"/>
    </xf>
    <xf numFmtId="0" fontId="1" fillId="0" borderId="6" xfId="113" applyFont="1" applyFill="1" applyBorder="1" applyAlignment="1" applyProtection="1">
      <alignment vertical="top" wrapText="1"/>
    </xf>
    <xf numFmtId="0" fontId="54" fillId="0" borderId="6" xfId="0" applyFont="1" applyBorder="1" applyAlignment="1" applyProtection="1">
      <protection locked="0"/>
    </xf>
    <xf numFmtId="172" fontId="54" fillId="20" borderId="6" xfId="0" applyNumberFormat="1" applyFont="1" applyFill="1" applyBorder="1" applyAlignment="1" applyProtection="1">
      <protection locked="0"/>
    </xf>
    <xf numFmtId="172" fontId="54" fillId="6" borderId="6" xfId="0" applyNumberFormat="1" applyFont="1" applyFill="1" applyBorder="1" applyAlignment="1" applyProtection="1">
      <protection locked="0"/>
    </xf>
    <xf numFmtId="172" fontId="1" fillId="0" borderId="6" xfId="110" applyNumberFormat="1" applyFont="1" applyFill="1" applyBorder="1" applyAlignment="1" applyProtection="1">
      <alignment horizontal="left" vertical="center" wrapText="1"/>
    </xf>
    <xf numFmtId="0" fontId="1" fillId="0" borderId="6" xfId="110" applyFont="1" applyFill="1" applyBorder="1" applyAlignment="1" applyProtection="1">
      <alignment horizontal="left" wrapText="1"/>
    </xf>
    <xf numFmtId="172" fontId="41" fillId="5" borderId="6" xfId="0" applyNumberFormat="1" applyFont="1" applyFill="1" applyBorder="1" applyAlignment="1" applyProtection="1">
      <protection locked="0"/>
    </xf>
    <xf numFmtId="49" fontId="1" fillId="0" borderId="6" xfId="113" applyNumberFormat="1" applyFont="1" applyFill="1" applyBorder="1" applyAlignment="1" applyProtection="1">
      <alignment vertical="top"/>
    </xf>
    <xf numFmtId="172" fontId="1" fillId="6" borderId="6" xfId="123" applyNumberFormat="1" applyFill="1" applyBorder="1" applyAlignment="1" applyProtection="1">
      <alignment horizontal="left" vertical="top"/>
      <protection locked="0"/>
    </xf>
    <xf numFmtId="0" fontId="1" fillId="3" borderId="0" xfId="109" applyFill="1"/>
    <xf numFmtId="0" fontId="1" fillId="3" borderId="0" xfId="109" applyFill="1" applyBorder="1" applyAlignment="1" applyProtection="1">
      <alignment vertical="top"/>
    </xf>
    <xf numFmtId="0" fontId="1" fillId="3" borderId="0" xfId="109" applyFill="1" applyAlignment="1" applyProtection="1"/>
    <xf numFmtId="0" fontId="1" fillId="3" borderId="0" xfId="109" applyFill="1" applyAlignment="1" applyProtection="1">
      <alignment horizontal="right"/>
    </xf>
    <xf numFmtId="0" fontId="1" fillId="3" borderId="0" xfId="109" applyFill="1" applyProtection="1"/>
    <xf numFmtId="0" fontId="16" fillId="3" borderId="17" xfId="109" applyFont="1" applyFill="1" applyBorder="1" applyAlignment="1" applyProtection="1">
      <alignment horizontal="center" vertical="top" textRotation="90" wrapText="1"/>
    </xf>
    <xf numFmtId="172" fontId="22" fillId="0" borderId="3" xfId="109" applyNumberFormat="1" applyFont="1" applyFill="1" applyBorder="1" applyAlignment="1" applyProtection="1">
      <alignment horizontal="center" vertical="center" wrapText="1"/>
    </xf>
    <xf numFmtId="0" fontId="58" fillId="8" borderId="59" xfId="109" applyFont="1" applyFill="1" applyBorder="1" applyAlignment="1" applyProtection="1">
      <alignment horizontal="center" vertical="center"/>
    </xf>
    <xf numFmtId="0" fontId="58" fillId="8" borderId="18" xfId="109" applyFont="1" applyFill="1" applyBorder="1" applyAlignment="1" applyProtection="1">
      <alignment horizontal="center" textRotation="90"/>
    </xf>
    <xf numFmtId="0" fontId="16" fillId="3" borderId="18" xfId="109" applyFont="1" applyFill="1" applyBorder="1" applyAlignment="1" applyProtection="1">
      <alignment horizontal="center" textRotation="90" wrapText="1"/>
    </xf>
    <xf numFmtId="0" fontId="59" fillId="3" borderId="18" xfId="109" applyFont="1" applyFill="1" applyBorder="1" applyAlignment="1">
      <alignment horizontal="center" textRotation="90" wrapText="1"/>
    </xf>
    <xf numFmtId="0" fontId="60" fillId="0" borderId="6" xfId="0" applyFont="1" applyFill="1" applyBorder="1" applyAlignment="1">
      <alignment horizontal="center" vertical="center" textRotation="90" wrapText="1"/>
    </xf>
    <xf numFmtId="0" fontId="1" fillId="3" borderId="0" xfId="109" applyFill="1" applyAlignment="1">
      <alignment horizontal="center"/>
    </xf>
    <xf numFmtId="0" fontId="61" fillId="8" borderId="60" xfId="109" applyFont="1" applyFill="1" applyBorder="1" applyAlignment="1" applyProtection="1">
      <alignment horizontal="center" vertical="top"/>
    </xf>
    <xf numFmtId="0" fontId="62" fillId="8" borderId="57" xfId="109" applyFont="1" applyFill="1" applyBorder="1" applyAlignment="1" applyProtection="1">
      <alignment horizontal="right"/>
    </xf>
    <xf numFmtId="0" fontId="1" fillId="8" borderId="57" xfId="109" applyFill="1" applyBorder="1" applyAlignment="1" applyProtection="1"/>
    <xf numFmtId="0" fontId="7" fillId="8" borderId="8" xfId="109" applyNumberFormat="1" applyFont="1" applyFill="1" applyBorder="1" applyAlignment="1" applyProtection="1">
      <alignment horizontal="center"/>
    </xf>
    <xf numFmtId="0" fontId="61" fillId="8" borderId="9" xfId="109" applyFont="1" applyFill="1" applyBorder="1" applyAlignment="1" applyProtection="1">
      <alignment horizontal="center"/>
    </xf>
    <xf numFmtId="0" fontId="61" fillId="3" borderId="6" xfId="109" applyFont="1" applyFill="1" applyBorder="1" applyAlignment="1">
      <alignment horizontal="center"/>
    </xf>
    <xf numFmtId="0" fontId="63" fillId="0" borderId="6" xfId="0" applyFont="1" applyFill="1" applyBorder="1" applyAlignment="1">
      <alignment horizontal="center"/>
    </xf>
    <xf numFmtId="0" fontId="1" fillId="20" borderId="60" xfId="109" applyFill="1" applyBorder="1" applyAlignment="1" applyProtection="1">
      <alignment vertical="top"/>
    </xf>
    <xf numFmtId="172" fontId="7" fillId="20" borderId="8" xfId="109" applyNumberFormat="1" applyFont="1" applyFill="1" applyBorder="1" applyAlignment="1" applyProtection="1">
      <alignment horizontal="left" vertical="center"/>
    </xf>
    <xf numFmtId="0" fontId="1" fillId="20" borderId="8" xfId="109" applyFill="1" applyBorder="1" applyAlignment="1" applyProtection="1">
      <alignment horizontal="right"/>
    </xf>
    <xf numFmtId="0" fontId="1" fillId="20" borderId="8" xfId="109" applyFill="1" applyBorder="1" applyProtection="1"/>
    <xf numFmtId="0" fontId="1" fillId="20" borderId="8" xfId="109" applyFill="1" applyBorder="1"/>
    <xf numFmtId="0" fontId="1" fillId="20" borderId="9" xfId="109" applyFill="1" applyBorder="1"/>
    <xf numFmtId="172" fontId="1" fillId="6" borderId="6" xfId="110" applyNumberFormat="1" applyFill="1" applyBorder="1" applyAlignment="1" applyProtection="1"/>
    <xf numFmtId="172" fontId="1" fillId="3" borderId="6" xfId="110" applyNumberFormat="1" applyFont="1" applyFill="1" applyBorder="1" applyAlignment="1" applyProtection="1">
      <alignment horizontal="left" vertical="center"/>
    </xf>
    <xf numFmtId="172" fontId="64" fillId="3" borderId="6" xfId="109" applyNumberFormat="1" applyFont="1" applyFill="1" applyBorder="1" applyAlignment="1" applyProtection="1">
      <alignment horizontal="justify" vertical="top"/>
    </xf>
    <xf numFmtId="167" fontId="64" fillId="6" borderId="6" xfId="11" applyFont="1" applyFill="1" applyBorder="1" applyAlignment="1" applyProtection="1">
      <alignment horizontal="justify" vertical="top"/>
    </xf>
    <xf numFmtId="167" fontId="1" fillId="3" borderId="6" xfId="11" applyFont="1" applyFill="1" applyBorder="1" applyAlignment="1" applyProtection="1">
      <alignment horizontal="right" vertical="top"/>
    </xf>
    <xf numFmtId="3" fontId="1" fillId="4" borderId="6" xfId="11" applyNumberFormat="1" applyFont="1" applyFill="1" applyBorder="1" applyAlignment="1" applyProtection="1"/>
    <xf numFmtId="3" fontId="1" fillId="13" borderId="6" xfId="11" applyNumberFormat="1" applyFont="1" applyFill="1" applyBorder="1" applyAlignment="1" applyProtection="1">
      <protection locked="0"/>
    </xf>
    <xf numFmtId="0" fontId="1" fillId="6" borderId="6" xfId="0" applyFont="1" applyFill="1" applyBorder="1" applyAlignment="1"/>
    <xf numFmtId="172" fontId="1" fillId="3" borderId="6" xfId="0" applyNumberFormat="1" applyFont="1" applyFill="1" applyBorder="1" applyAlignment="1" applyProtection="1">
      <alignment horizontal="left" vertical="center"/>
    </xf>
    <xf numFmtId="1" fontId="64" fillId="6" borderId="6" xfId="11" applyNumberFormat="1" applyFont="1" applyFill="1" applyBorder="1" applyAlignment="1" applyProtection="1">
      <alignment horizontal="right" vertical="top"/>
    </xf>
    <xf numFmtId="1" fontId="1" fillId="3" borderId="6" xfId="11" applyNumberFormat="1" applyFont="1" applyFill="1" applyBorder="1" applyAlignment="1" applyProtection="1">
      <alignment horizontal="right" vertical="top"/>
    </xf>
    <xf numFmtId="1" fontId="1" fillId="13" borderId="6" xfId="11" applyNumberFormat="1" applyFont="1" applyFill="1" applyBorder="1" applyAlignment="1" applyProtection="1">
      <protection locked="0"/>
    </xf>
    <xf numFmtId="49" fontId="1" fillId="6" borderId="6" xfId="0" applyNumberFormat="1" applyFont="1" applyFill="1" applyBorder="1" applyAlignment="1"/>
    <xf numFmtId="0" fontId="17" fillId="0" borderId="6" xfId="0" applyFont="1" applyBorder="1" applyAlignment="1">
      <alignment vertical="top" wrapText="1"/>
    </xf>
    <xf numFmtId="172" fontId="1" fillId="3" borderId="6" xfId="0" applyNumberFormat="1" applyFont="1" applyFill="1" applyBorder="1" applyAlignment="1" applyProtection="1">
      <alignment horizontal="left" vertical="top"/>
    </xf>
    <xf numFmtId="1" fontId="7" fillId="20" borderId="8" xfId="109" applyNumberFormat="1" applyFont="1" applyFill="1" applyBorder="1" applyAlignment="1" applyProtection="1">
      <alignment horizontal="right" vertical="center"/>
    </xf>
    <xf numFmtId="1" fontId="1" fillId="20" borderId="8" xfId="109" applyNumberFormat="1" applyFill="1" applyBorder="1"/>
    <xf numFmtId="1" fontId="1" fillId="20" borderId="9" xfId="109" applyNumberFormat="1" applyFill="1" applyBorder="1"/>
    <xf numFmtId="0" fontId="2" fillId="0" borderId="6" xfId="105" applyFont="1" applyBorder="1" applyAlignment="1">
      <alignment horizontal="left"/>
    </xf>
    <xf numFmtId="0" fontId="2" fillId="0" borderId="0" xfId="0" applyFont="1" applyAlignment="1">
      <alignment wrapText="1"/>
    </xf>
    <xf numFmtId="3" fontId="2" fillId="0" borderId="0" xfId="0" applyNumberFormat="1" applyFont="1" applyAlignment="1">
      <alignment horizontal="right"/>
    </xf>
    <xf numFmtId="0" fontId="24" fillId="12" borderId="15" xfId="0" applyFont="1" applyFill="1" applyBorder="1" applyAlignment="1">
      <alignment vertical="center" wrapText="1"/>
    </xf>
    <xf numFmtId="3" fontId="7" fillId="13" borderId="6" xfId="0" applyNumberFormat="1" applyFont="1" applyFill="1" applyBorder="1" applyAlignment="1" applyProtection="1">
      <alignment horizontal="center" vertical="center" wrapText="1"/>
    </xf>
    <xf numFmtId="3" fontId="7" fillId="9" borderId="6" xfId="0" applyNumberFormat="1" applyFont="1" applyFill="1" applyBorder="1" applyAlignment="1" applyProtection="1">
      <alignment horizontal="center" vertical="center" wrapText="1"/>
    </xf>
    <xf numFmtId="0" fontId="2" fillId="17" borderId="0" xfId="0" applyFont="1" applyFill="1"/>
    <xf numFmtId="0" fontId="7" fillId="6" borderId="6" xfId="0" applyFont="1" applyFill="1" applyBorder="1" applyAlignment="1">
      <alignment horizontal="left" vertical="center" wrapText="1"/>
    </xf>
    <xf numFmtId="3" fontId="56" fillId="6" borderId="6" xfId="0" applyNumberFormat="1" applyFont="1" applyFill="1" applyBorder="1" applyAlignment="1">
      <alignment horizontal="right" vertical="center"/>
    </xf>
    <xf numFmtId="0" fontId="7" fillId="14" borderId="6" xfId="0" applyFont="1" applyFill="1" applyBorder="1" applyAlignment="1">
      <alignment horizontal="left" vertical="center" wrapText="1"/>
    </xf>
    <xf numFmtId="3" fontId="7" fillId="14" borderId="6" xfId="0" applyNumberFormat="1" applyFont="1" applyFill="1" applyBorder="1" applyAlignment="1">
      <alignment horizontal="right" vertical="center"/>
    </xf>
    <xf numFmtId="0" fontId="7" fillId="5" borderId="6" xfId="0" applyFont="1" applyFill="1" applyBorder="1" applyAlignment="1">
      <alignment horizontal="left" vertical="center" wrapText="1"/>
    </xf>
    <xf numFmtId="3" fontId="7" fillId="5" borderId="6" xfId="0" applyNumberFormat="1" applyFont="1" applyFill="1" applyBorder="1" applyAlignment="1">
      <alignment horizontal="right" vertical="center"/>
    </xf>
    <xf numFmtId="0" fontId="7" fillId="4" borderId="6" xfId="0" applyFont="1" applyFill="1" applyBorder="1" applyAlignment="1">
      <alignment horizontal="left" vertical="center" wrapText="1" indent="1"/>
    </xf>
    <xf numFmtId="3" fontId="7" fillId="4" borderId="6" xfId="0" applyNumberFormat="1" applyFont="1" applyFill="1" applyBorder="1" applyAlignment="1">
      <alignment horizontal="right" vertical="center"/>
    </xf>
    <xf numFmtId="0" fontId="1" fillId="0" borderId="6" xfId="99" applyFont="1" applyFill="1" applyBorder="1" applyAlignment="1" applyProtection="1">
      <alignment horizontal="left" vertical="top" wrapText="1" indent="2"/>
    </xf>
    <xf numFmtId="3" fontId="1" fillId="0" borderId="6" xfId="99" applyNumberFormat="1" applyFont="1" applyFill="1" applyBorder="1" applyAlignment="1" applyProtection="1">
      <alignment horizontal="right" vertical="top" wrapText="1"/>
    </xf>
    <xf numFmtId="3" fontId="1" fillId="13" borderId="6" xfId="99" applyNumberFormat="1" applyFont="1" applyFill="1" applyBorder="1" applyAlignment="1" applyProtection="1">
      <alignment horizontal="right" vertical="top" wrapText="1"/>
      <protection locked="0"/>
    </xf>
    <xf numFmtId="3" fontId="1" fillId="11" borderId="6" xfId="99" applyNumberFormat="1" applyFont="1" applyFill="1" applyBorder="1" applyAlignment="1" applyProtection="1">
      <alignment horizontal="right" vertical="top" wrapText="1"/>
    </xf>
    <xf numFmtId="0" fontId="7" fillId="4" borderId="6" xfId="99" applyFont="1" applyFill="1" applyBorder="1" applyAlignment="1" applyProtection="1">
      <alignment horizontal="left" vertical="top" wrapText="1" indent="1"/>
    </xf>
    <xf numFmtId="3" fontId="56" fillId="4" borderId="6" xfId="0" applyNumberFormat="1" applyFont="1" applyFill="1" applyBorder="1" applyAlignment="1">
      <alignment horizontal="right"/>
    </xf>
    <xf numFmtId="3" fontId="56" fillId="11" borderId="6" xfId="0" applyNumberFormat="1" applyFont="1" applyFill="1" applyBorder="1" applyAlignment="1">
      <alignment horizontal="right"/>
    </xf>
    <xf numFmtId="0" fontId="56" fillId="4" borderId="6" xfId="0" applyFont="1" applyFill="1" applyBorder="1" applyAlignment="1">
      <alignment horizontal="left" wrapText="1" indent="1"/>
    </xf>
    <xf numFmtId="3" fontId="56" fillId="5" borderId="6" xfId="0" applyNumberFormat="1" applyFont="1" applyFill="1" applyBorder="1" applyAlignment="1">
      <alignment horizontal="right"/>
    </xf>
    <xf numFmtId="0" fontId="2" fillId="0" borderId="0" xfId="0" applyFont="1" applyFill="1"/>
    <xf numFmtId="0" fontId="1" fillId="0" borderId="6" xfId="99" applyFont="1" applyFill="1" applyBorder="1" applyAlignment="1" applyProtection="1">
      <alignment horizontal="left" vertical="top" wrapText="1" indent="1"/>
    </xf>
    <xf numFmtId="3" fontId="7" fillId="14" borderId="6" xfId="0" applyNumberFormat="1" applyFont="1" applyFill="1" applyBorder="1" applyAlignment="1">
      <alignment horizontal="right" vertical="center" wrapText="1"/>
    </xf>
    <xf numFmtId="3" fontId="1" fillId="14" borderId="6" xfId="99" applyNumberFormat="1" applyFont="1" applyFill="1" applyBorder="1" applyAlignment="1" applyProtection="1">
      <alignment horizontal="right" vertical="top" wrapText="1"/>
    </xf>
    <xf numFmtId="3" fontId="7" fillId="14" borderId="6" xfId="99" applyNumberFormat="1" applyFont="1" applyFill="1" applyBorder="1" applyAlignment="1" applyProtection="1">
      <alignment horizontal="right" vertical="top" wrapText="1"/>
    </xf>
    <xf numFmtId="3" fontId="7" fillId="11" borderId="6" xfId="99" applyNumberFormat="1" applyFont="1" applyFill="1" applyBorder="1" applyAlignment="1" applyProtection="1">
      <alignment horizontal="right" vertical="top" wrapText="1"/>
    </xf>
    <xf numFmtId="3" fontId="56" fillId="14" borderId="6" xfId="0" applyNumberFormat="1" applyFont="1" applyFill="1" applyBorder="1" applyAlignment="1">
      <alignment horizontal="right"/>
    </xf>
    <xf numFmtId="0" fontId="7" fillId="5" borderId="6" xfId="0" applyFont="1" applyFill="1" applyBorder="1" applyAlignment="1">
      <alignment horizontal="left" vertical="center" wrapText="1" indent="1"/>
    </xf>
    <xf numFmtId="3" fontId="7" fillId="5" borderId="6" xfId="99" applyNumberFormat="1" applyFont="1" applyFill="1" applyBorder="1" applyAlignment="1" applyProtection="1">
      <alignment horizontal="right" vertical="top" wrapText="1"/>
    </xf>
    <xf numFmtId="3" fontId="7" fillId="24" borderId="6" xfId="99" applyNumberFormat="1" applyFont="1" applyFill="1" applyBorder="1" applyAlignment="1" applyProtection="1">
      <alignment horizontal="right" vertical="top" wrapText="1"/>
    </xf>
    <xf numFmtId="0" fontId="7" fillId="5" borderId="6" xfId="99" applyFont="1" applyFill="1" applyBorder="1" applyAlignment="1" applyProtection="1">
      <alignment horizontal="left" vertical="top" wrapText="1" indent="1"/>
    </xf>
    <xf numFmtId="0" fontId="7" fillId="14" borderId="6" xfId="99" applyFont="1" applyFill="1" applyBorder="1" applyAlignment="1" applyProtection="1">
      <alignment vertical="top" wrapText="1"/>
    </xf>
    <xf numFmtId="3" fontId="65" fillId="0" borderId="0" xfId="0" applyNumberFormat="1" applyFont="1" applyAlignment="1">
      <alignment horizontal="right"/>
    </xf>
    <xf numFmtId="3" fontId="56" fillId="16" borderId="6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66" fillId="0" borderId="0" xfId="0" applyFont="1" applyAlignment="1">
      <alignment vertical="center"/>
    </xf>
    <xf numFmtId="0" fontId="7" fillId="6" borderId="6" xfId="0" applyNumberFormat="1" applyFont="1" applyFill="1" applyBorder="1" applyAlignment="1">
      <alignment horizontal="center" vertical="center"/>
    </xf>
    <xf numFmtId="0" fontId="46" fillId="4" borderId="6" xfId="0" applyFont="1" applyFill="1" applyBorder="1" applyAlignment="1">
      <alignment vertical="center"/>
    </xf>
    <xf numFmtId="0" fontId="46" fillId="4" borderId="6" xfId="0" applyFont="1" applyFill="1" applyBorder="1" applyAlignment="1">
      <alignment horizontal="center" vertical="center"/>
    </xf>
    <xf numFmtId="3" fontId="67" fillId="4" borderId="6" xfId="0" applyNumberFormat="1" applyFont="1" applyFill="1" applyBorder="1" applyAlignment="1">
      <alignment horizontal="right" vertical="center"/>
    </xf>
    <xf numFmtId="0" fontId="52" fillId="0" borderId="0" xfId="0" applyFont="1" applyAlignment="1">
      <alignment vertical="center"/>
    </xf>
    <xf numFmtId="0" fontId="46" fillId="0" borderId="6" xfId="0" applyFont="1" applyFill="1" applyBorder="1" applyAlignment="1">
      <alignment vertical="center"/>
    </xf>
    <xf numFmtId="3" fontId="46" fillId="14" borderId="6" xfId="0" applyNumberFormat="1" applyFont="1" applyFill="1" applyBorder="1" applyAlignment="1" applyProtection="1">
      <alignment horizontal="right" vertical="center"/>
      <protection hidden="1"/>
    </xf>
    <xf numFmtId="3" fontId="46" fillId="3" borderId="6" xfId="0" applyNumberFormat="1" applyFont="1" applyFill="1" applyBorder="1" applyAlignment="1">
      <alignment horizontal="right" vertical="center"/>
    </xf>
    <xf numFmtId="0" fontId="16" fillId="25" borderId="6" xfId="0" applyFont="1" applyFill="1" applyBorder="1" applyAlignment="1">
      <alignment horizontal="left" vertical="center"/>
    </xf>
    <xf numFmtId="0" fontId="45" fillId="0" borderId="6" xfId="0" applyFont="1" applyFill="1" applyBorder="1" applyAlignment="1">
      <alignment vertical="center"/>
    </xf>
    <xf numFmtId="0" fontId="45" fillId="0" borderId="6" xfId="0" applyFont="1" applyFill="1" applyBorder="1" applyAlignment="1">
      <alignment horizontal="left" vertical="center"/>
    </xf>
    <xf numFmtId="3" fontId="45" fillId="3" borderId="6" xfId="0" applyNumberFormat="1" applyFont="1" applyFill="1" applyBorder="1" applyAlignment="1">
      <alignment horizontal="right" vertical="center"/>
    </xf>
    <xf numFmtId="37" fontId="46" fillId="4" borderId="6" xfId="127" applyNumberFormat="1" applyFont="1" applyFill="1" applyBorder="1" applyAlignment="1">
      <alignment horizontal="center" vertical="center"/>
    </xf>
    <xf numFmtId="3" fontId="46" fillId="4" borderId="6" xfId="0" applyNumberFormat="1" applyFont="1" applyFill="1" applyBorder="1" applyAlignment="1">
      <alignment horizontal="right" vertical="center"/>
    </xf>
    <xf numFmtId="3" fontId="45" fillId="14" borderId="6" xfId="0" applyNumberFormat="1" applyFont="1" applyFill="1" applyBorder="1" applyAlignment="1">
      <alignment horizontal="right" vertical="center"/>
    </xf>
    <xf numFmtId="0" fontId="68" fillId="0" borderId="6" xfId="0" applyFont="1" applyFill="1" applyBorder="1" applyAlignment="1">
      <alignment vertical="center"/>
    </xf>
    <xf numFmtId="0" fontId="69" fillId="26" borderId="6" xfId="0" applyFont="1" applyFill="1" applyBorder="1" applyAlignment="1">
      <alignment vertical="center"/>
    </xf>
    <xf numFmtId="3" fontId="47" fillId="26" borderId="6" xfId="0" applyNumberFormat="1" applyFont="1" applyFill="1" applyBorder="1" applyAlignment="1">
      <alignment horizontal="right" vertical="center"/>
    </xf>
    <xf numFmtId="0" fontId="68" fillId="0" borderId="6" xfId="0" applyFont="1" applyFill="1" applyBorder="1" applyAlignment="1">
      <alignment horizontal="left" vertical="top" wrapText="1"/>
    </xf>
    <xf numFmtId="0" fontId="68" fillId="0" borderId="6" xfId="0" applyFont="1" applyFill="1" applyBorder="1" applyAlignment="1">
      <alignment horizontal="left" vertical="center"/>
    </xf>
    <xf numFmtId="0" fontId="68" fillId="14" borderId="6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left" vertical="center"/>
    </xf>
    <xf numFmtId="3" fontId="45" fillId="4" borderId="6" xfId="0" applyNumberFormat="1" applyFont="1" applyFill="1" applyBorder="1" applyAlignment="1">
      <alignment horizontal="right" vertical="center"/>
    </xf>
    <xf numFmtId="0" fontId="46" fillId="0" borderId="6" xfId="0" applyFont="1" applyBorder="1" applyAlignment="1">
      <alignment vertical="center"/>
    </xf>
    <xf numFmtId="0" fontId="46" fillId="0" borderId="6" xfId="0" applyFont="1" applyBorder="1" applyAlignment="1">
      <alignment vertical="center" wrapText="1"/>
    </xf>
    <xf numFmtId="0" fontId="45" fillId="0" borderId="6" xfId="0" applyFont="1" applyBorder="1" applyAlignment="1">
      <alignment vertical="center"/>
    </xf>
    <xf numFmtId="0" fontId="67" fillId="0" borderId="6" xfId="0" applyFont="1" applyFill="1" applyBorder="1" applyAlignment="1">
      <alignment horizontal="center" vertical="center"/>
    </xf>
    <xf numFmtId="0" fontId="70" fillId="0" borderId="0" xfId="0" applyFont="1" applyFill="1" applyAlignment="1">
      <alignment vertical="center"/>
    </xf>
    <xf numFmtId="0" fontId="71" fillId="3" borderId="0" xfId="124" applyFont="1" applyFill="1" applyAlignment="1">
      <alignment vertical="center"/>
    </xf>
    <xf numFmtId="49" fontId="72" fillId="0" borderId="0" xfId="124" applyNumberFormat="1" applyFont="1" applyFill="1" applyAlignment="1">
      <alignment vertical="center"/>
    </xf>
    <xf numFmtId="0" fontId="73" fillId="3" borderId="0" xfId="124" applyFont="1" applyFill="1" applyAlignment="1">
      <alignment vertical="center"/>
    </xf>
    <xf numFmtId="0" fontId="75" fillId="3" borderId="0" xfId="124" applyFont="1" applyFill="1" applyAlignment="1">
      <alignment vertical="center"/>
    </xf>
    <xf numFmtId="49" fontId="76" fillId="0" borderId="0" xfId="124" applyNumberFormat="1" applyFont="1" applyFill="1" applyAlignment="1">
      <alignment vertical="center"/>
    </xf>
    <xf numFmtId="0" fontId="75" fillId="3" borderId="0" xfId="124" applyFont="1" applyFill="1" applyBorder="1" applyAlignment="1">
      <alignment horizontal="center" vertical="center"/>
    </xf>
    <xf numFmtId="0" fontId="75" fillId="3" borderId="0" xfId="124" applyFont="1" applyFill="1" applyAlignment="1">
      <alignment horizontal="center" vertical="center"/>
    </xf>
    <xf numFmtId="0" fontId="73" fillId="3" borderId="0" xfId="124" applyFont="1" applyFill="1" applyBorder="1" applyAlignment="1">
      <alignment horizontal="center" vertical="center"/>
    </xf>
    <xf numFmtId="0" fontId="71" fillId="3" borderId="0" xfId="124" applyFont="1" applyFill="1" applyBorder="1" applyAlignment="1">
      <alignment vertical="center"/>
    </xf>
    <xf numFmtId="0" fontId="75" fillId="3" borderId="2" xfId="124" applyFont="1" applyFill="1" applyBorder="1" applyAlignment="1">
      <alignment horizontal="center" vertical="center"/>
    </xf>
    <xf numFmtId="0" fontId="75" fillId="3" borderId="3" xfId="124" applyFont="1" applyFill="1" applyBorder="1" applyAlignment="1">
      <alignment horizontal="center" vertical="center"/>
    </xf>
    <xf numFmtId="0" fontId="75" fillId="3" borderId="4" xfId="124" applyFont="1" applyFill="1" applyBorder="1" applyAlignment="1">
      <alignment horizontal="center" vertical="center"/>
    </xf>
    <xf numFmtId="0" fontId="75" fillId="3" borderId="0" xfId="124" applyFont="1" applyFill="1" applyBorder="1" applyAlignment="1">
      <alignment horizontal="left" vertical="center"/>
    </xf>
    <xf numFmtId="0" fontId="75" fillId="3" borderId="5" xfId="124" applyFont="1" applyFill="1" applyBorder="1" applyAlignment="1">
      <alignment horizontal="left" vertical="center"/>
    </xf>
    <xf numFmtId="0" fontId="75" fillId="3" borderId="0" xfId="124" applyFont="1" applyFill="1" applyBorder="1" applyAlignment="1">
      <alignment vertical="center"/>
    </xf>
    <xf numFmtId="0" fontId="75" fillId="3" borderId="24" xfId="124" applyFont="1" applyFill="1" applyBorder="1" applyAlignment="1">
      <alignment horizontal="center" vertical="center"/>
    </xf>
    <xf numFmtId="0" fontId="75" fillId="3" borderId="10" xfId="124" applyFont="1" applyFill="1" applyBorder="1" applyAlignment="1">
      <alignment horizontal="center" vertical="center"/>
    </xf>
    <xf numFmtId="0" fontId="75" fillId="3" borderId="5" xfId="126" applyFont="1" applyFill="1" applyBorder="1" applyAlignment="1">
      <alignment horizontal="left" vertical="center"/>
    </xf>
    <xf numFmtId="0" fontId="75" fillId="3" borderId="0" xfId="126" applyFont="1" applyFill="1" applyBorder="1" applyAlignment="1">
      <alignment horizontal="left" vertical="center"/>
    </xf>
    <xf numFmtId="0" fontId="75" fillId="3" borderId="0" xfId="126" applyFont="1" applyFill="1" applyBorder="1" applyAlignment="1">
      <alignment horizontal="center" vertical="center"/>
    </xf>
    <xf numFmtId="0" fontId="75" fillId="3" borderId="24" xfId="126" applyFont="1" applyFill="1" applyBorder="1" applyAlignment="1">
      <alignment horizontal="center" vertical="center"/>
    </xf>
    <xf numFmtId="0" fontId="75" fillId="3" borderId="10" xfId="126" applyFont="1" applyFill="1" applyBorder="1" applyAlignment="1">
      <alignment horizontal="center" vertical="center"/>
    </xf>
    <xf numFmtId="0" fontId="75" fillId="3" borderId="5" xfId="124" applyFont="1" applyFill="1" applyBorder="1" applyAlignment="1">
      <alignment horizontal="center" vertical="center"/>
    </xf>
    <xf numFmtId="0" fontId="75" fillId="3" borderId="11" xfId="124" applyFont="1" applyFill="1" applyBorder="1" applyAlignment="1">
      <alignment horizontal="center" vertical="center"/>
    </xf>
    <xf numFmtId="0" fontId="75" fillId="3" borderId="12" xfId="124" applyFont="1" applyFill="1" applyBorder="1" applyAlignment="1">
      <alignment horizontal="center" vertical="center"/>
    </xf>
    <xf numFmtId="0" fontId="75" fillId="3" borderId="13" xfId="124" applyFont="1" applyFill="1" applyBorder="1" applyAlignment="1">
      <alignment horizontal="center" vertical="center"/>
    </xf>
    <xf numFmtId="0" fontId="73" fillId="3" borderId="2" xfId="124" applyFont="1" applyFill="1" applyBorder="1" applyAlignment="1">
      <alignment horizontal="center" vertical="center"/>
    </xf>
    <xf numFmtId="0" fontId="73" fillId="3" borderId="3" xfId="124" applyFont="1" applyFill="1" applyBorder="1" applyAlignment="1">
      <alignment horizontal="center" vertical="center"/>
    </xf>
    <xf numFmtId="0" fontId="73" fillId="3" borderId="4" xfId="124" applyFont="1" applyFill="1" applyBorder="1" applyAlignment="1">
      <alignment horizontal="center" vertical="center"/>
    </xf>
    <xf numFmtId="0" fontId="75" fillId="3" borderId="0" xfId="124" applyFont="1" applyFill="1" applyBorder="1" applyAlignment="1">
      <alignment horizontal="right" vertical="center"/>
    </xf>
    <xf numFmtId="174" fontId="75" fillId="3" borderId="0" xfId="124" applyNumberFormat="1" applyFont="1" applyFill="1" applyBorder="1" applyAlignment="1">
      <alignment horizontal="center" vertical="center"/>
    </xf>
    <xf numFmtId="0" fontId="78" fillId="0" borderId="61" xfId="100" applyFont="1" applyFill="1" applyBorder="1" applyAlignment="1" applyProtection="1">
      <alignment horizontal="center" vertical="center"/>
    </xf>
    <xf numFmtId="49" fontId="78" fillId="0" borderId="61" xfId="100" applyNumberFormat="1" applyFont="1" applyFill="1" applyBorder="1" applyAlignment="1" applyProtection="1">
      <alignment horizontal="center" vertical="center"/>
    </xf>
    <xf numFmtId="175" fontId="79" fillId="0" borderId="0" xfId="124" applyNumberFormat="1" applyFont="1" applyFill="1" applyAlignment="1">
      <alignment vertical="center"/>
    </xf>
    <xf numFmtId="0" fontId="79" fillId="0" borderId="0" xfId="124" applyNumberFormat="1" applyFont="1" applyFill="1" applyAlignment="1">
      <alignment vertical="center"/>
    </xf>
    <xf numFmtId="0" fontId="75" fillId="0" borderId="62" xfId="100" applyFont="1" applyFill="1" applyBorder="1" applyAlignment="1" applyProtection="1">
      <alignment horizontal="center" vertical="center"/>
    </xf>
    <xf numFmtId="0" fontId="73" fillId="0" borderId="0" xfId="124" applyNumberFormat="1" applyFont="1" applyFill="1" applyAlignment="1">
      <alignment vertical="center"/>
    </xf>
    <xf numFmtId="0" fontId="80" fillId="0" borderId="62" xfId="100" applyFont="1" applyFill="1" applyBorder="1" applyAlignment="1" applyProtection="1">
      <alignment horizontal="center" vertical="center"/>
    </xf>
    <xf numFmtId="0" fontId="82" fillId="0" borderId="0" xfId="124" applyFont="1" applyFill="1" applyAlignment="1">
      <alignment vertical="center"/>
    </xf>
    <xf numFmtId="0" fontId="71" fillId="0" borderId="0" xfId="124" applyFont="1" applyFill="1" applyAlignment="1">
      <alignment vertical="center"/>
    </xf>
    <xf numFmtId="0" fontId="75" fillId="0" borderId="61" xfId="100" applyFont="1" applyFill="1" applyBorder="1" applyAlignment="1" applyProtection="1">
      <alignment horizontal="center" vertical="center"/>
    </xf>
    <xf numFmtId="0" fontId="75" fillId="0" borderId="63" xfId="100" applyFont="1" applyFill="1" applyBorder="1" applyAlignment="1" applyProtection="1">
      <alignment horizontal="center" vertical="center"/>
    </xf>
    <xf numFmtId="0" fontId="75" fillId="0" borderId="64" xfId="100" applyFont="1" applyFill="1" applyBorder="1" applyAlignment="1" applyProtection="1">
      <alignment horizontal="center" vertical="center"/>
    </xf>
    <xf numFmtId="175" fontId="71" fillId="0" borderId="0" xfId="124" applyNumberFormat="1" applyFont="1" applyFill="1" applyAlignment="1">
      <alignment vertical="center"/>
    </xf>
    <xf numFmtId="0" fontId="75" fillId="0" borderId="62" xfId="100" applyFont="1" applyFill="1" applyBorder="1" applyAlignment="1">
      <alignment horizontal="center" vertical="center"/>
    </xf>
    <xf numFmtId="0" fontId="75" fillId="6" borderId="62" xfId="100" applyFont="1" applyFill="1" applyBorder="1" applyAlignment="1" applyProtection="1">
      <alignment horizontal="center" vertical="center"/>
    </xf>
    <xf numFmtId="0" fontId="83" fillId="0" borderId="62" xfId="100" applyFont="1" applyFill="1" applyBorder="1" applyAlignment="1" applyProtection="1">
      <alignment horizontal="center" vertical="center"/>
    </xf>
    <xf numFmtId="0" fontId="84" fillId="0" borderId="62" xfId="100" applyFont="1" applyFill="1" applyBorder="1" applyAlignment="1" applyProtection="1">
      <alignment horizontal="center" vertical="center"/>
    </xf>
    <xf numFmtId="0" fontId="75" fillId="0" borderId="6" xfId="100" applyFont="1" applyFill="1" applyBorder="1" applyAlignment="1" applyProtection="1">
      <alignment horizontal="center" vertical="center"/>
    </xf>
    <xf numFmtId="49" fontId="78" fillId="0" borderId="6" xfId="100" applyNumberFormat="1" applyFont="1" applyFill="1" applyBorder="1" applyAlignment="1" applyProtection="1">
      <alignment horizontal="center" vertical="center"/>
    </xf>
    <xf numFmtId="0" fontId="75" fillId="0" borderId="65" xfId="100" applyFont="1" applyFill="1" applyBorder="1" applyAlignment="1" applyProtection="1">
      <alignment horizontal="center" vertical="center"/>
    </xf>
    <xf numFmtId="0" fontId="75" fillId="0" borderId="52" xfId="100" applyFont="1" applyFill="1" applyBorder="1" applyAlignment="1" applyProtection="1">
      <alignment horizontal="center" vertical="center"/>
    </xf>
    <xf numFmtId="169" fontId="75" fillId="3" borderId="0" xfId="97" applyFont="1" applyFill="1" applyBorder="1" applyAlignment="1" applyProtection="1">
      <alignment vertical="center"/>
    </xf>
    <xf numFmtId="0" fontId="72" fillId="3" borderId="0" xfId="124" applyFont="1" applyFill="1" applyAlignment="1">
      <alignment vertical="center"/>
    </xf>
    <xf numFmtId="0" fontId="76" fillId="3" borderId="0" xfId="124" applyFont="1" applyFill="1" applyAlignment="1">
      <alignment vertical="center"/>
    </xf>
    <xf numFmtId="164" fontId="75" fillId="3" borderId="0" xfId="1" applyFont="1" applyFill="1" applyBorder="1" applyAlignment="1" applyProtection="1">
      <alignment horizontal="center" vertical="center"/>
    </xf>
    <xf numFmtId="0" fontId="75" fillId="0" borderId="52" xfId="100" applyFont="1" applyFill="1" applyBorder="1" applyAlignment="1">
      <alignment horizontal="center" vertical="center"/>
    </xf>
    <xf numFmtId="49" fontId="71" fillId="3" borderId="52" xfId="124" applyNumberFormat="1" applyFont="1" applyFill="1" applyBorder="1" applyAlignment="1">
      <alignment horizontal="center" vertical="center"/>
    </xf>
    <xf numFmtId="175" fontId="71" fillId="3" borderId="0" xfId="124" applyNumberFormat="1" applyFont="1" applyFill="1" applyAlignment="1">
      <alignment vertical="center"/>
    </xf>
    <xf numFmtId="164" fontId="71" fillId="0" borderId="0" xfId="7" applyFont="1" applyFill="1" applyBorder="1" applyAlignment="1" applyProtection="1">
      <alignment vertical="center"/>
    </xf>
    <xf numFmtId="164" fontId="71" fillId="0" borderId="0" xfId="124" applyNumberFormat="1" applyFont="1" applyFill="1" applyAlignment="1">
      <alignment vertical="center"/>
    </xf>
    <xf numFmtId="49" fontId="71" fillId="3" borderId="62" xfId="124" applyNumberFormat="1" applyFont="1" applyFill="1" applyBorder="1" applyAlignment="1">
      <alignment horizontal="center" vertical="center"/>
    </xf>
    <xf numFmtId="164" fontId="71" fillId="3" borderId="0" xfId="7" applyFont="1" applyFill="1" applyBorder="1" applyAlignment="1" applyProtection="1">
      <alignment vertical="center"/>
    </xf>
    <xf numFmtId="0" fontId="75" fillId="3" borderId="0" xfId="100" applyFont="1" applyFill="1" applyAlignment="1">
      <alignment vertical="center"/>
    </xf>
    <xf numFmtId="0" fontId="75" fillId="3" borderId="0" xfId="100" applyFont="1" applyFill="1" applyAlignment="1">
      <alignment horizontal="left" vertical="center"/>
    </xf>
    <xf numFmtId="0" fontId="75" fillId="3" borderId="0" xfId="100" applyFont="1" applyFill="1" applyBorder="1" applyAlignment="1">
      <alignment vertical="center"/>
    </xf>
    <xf numFmtId="175" fontId="75" fillId="3" borderId="0" xfId="100" applyNumberFormat="1" applyFont="1" applyFill="1" applyBorder="1" applyAlignment="1">
      <alignment vertical="center"/>
    </xf>
    <xf numFmtId="175" fontId="75" fillId="3" borderId="0" xfId="97" applyNumberFormat="1" applyFont="1" applyFill="1" applyBorder="1" applyAlignment="1" applyProtection="1">
      <alignment vertical="center"/>
    </xf>
    <xf numFmtId="0" fontId="76" fillId="3" borderId="0" xfId="100" applyFont="1" applyFill="1" applyBorder="1" applyAlignment="1">
      <alignment vertical="center"/>
    </xf>
    <xf numFmtId="0" fontId="86" fillId="3" borderId="0" xfId="100" applyFont="1" applyFill="1" applyAlignment="1">
      <alignment vertical="center"/>
    </xf>
    <xf numFmtId="0" fontId="77" fillId="3" borderId="0" xfId="100" applyFont="1" applyFill="1" applyBorder="1" applyAlignment="1">
      <alignment vertical="center"/>
    </xf>
    <xf numFmtId="0" fontId="75" fillId="3" borderId="0" xfId="101" applyFont="1" applyFill="1" applyAlignment="1">
      <alignment vertical="center"/>
    </xf>
    <xf numFmtId="0" fontId="75" fillId="3" borderId="0" xfId="101" applyFont="1" applyFill="1" applyAlignment="1">
      <alignment horizontal="center" vertical="center"/>
    </xf>
    <xf numFmtId="0" fontId="71" fillId="3" borderId="0" xfId="125" applyFont="1" applyFill="1" applyBorder="1" applyAlignment="1">
      <alignment horizontal="left" vertical="center" indent="6"/>
    </xf>
    <xf numFmtId="0" fontId="1" fillId="3" borderId="0" xfId="113" applyFont="1" applyFill="1" applyAlignment="1" applyProtection="1">
      <alignment horizontal="right" vertical="center"/>
    </xf>
    <xf numFmtId="175" fontId="75" fillId="3" borderId="0" xfId="101" applyNumberFormat="1" applyFont="1" applyFill="1" applyAlignment="1">
      <alignment horizontal="center" vertical="center"/>
    </xf>
    <xf numFmtId="0" fontId="1" fillId="3" borderId="0" xfId="113" applyFill="1" applyAlignment="1" applyProtection="1">
      <alignment horizontal="right"/>
    </xf>
    <xf numFmtId="0" fontId="76" fillId="3" borderId="0" xfId="124" applyFont="1" applyFill="1" applyBorder="1" applyAlignment="1">
      <alignment vertical="center"/>
    </xf>
    <xf numFmtId="0" fontId="72" fillId="3" borderId="0" xfId="124" applyFont="1" applyFill="1" applyBorder="1" applyAlignment="1">
      <alignment vertical="center"/>
    </xf>
    <xf numFmtId="0" fontId="71" fillId="3" borderId="0" xfId="124" applyFont="1" applyFill="1" applyAlignment="1">
      <alignment horizontal="left" vertical="center"/>
    </xf>
    <xf numFmtId="169" fontId="71" fillId="3" borderId="0" xfId="97" applyFont="1" applyFill="1" applyBorder="1" applyAlignment="1" applyProtection="1">
      <alignment vertical="center"/>
    </xf>
    <xf numFmtId="0" fontId="1" fillId="0" borderId="0" xfId="103"/>
    <xf numFmtId="0" fontId="1" fillId="0" borderId="0" xfId="103" applyNumberFormat="1" applyFont="1"/>
    <xf numFmtId="0" fontId="0" fillId="0" borderId="0" xfId="0" applyNumberFormat="1" applyFont="1"/>
    <xf numFmtId="0" fontId="0" fillId="13" borderId="9" xfId="0" applyFill="1" applyBorder="1" applyAlignment="1" applyProtection="1">
      <alignment horizontal="left"/>
      <protection locked="0"/>
    </xf>
    <xf numFmtId="0" fontId="88" fillId="27" borderId="66" xfId="122" applyFont="1" applyFill="1" applyBorder="1" applyAlignment="1" applyProtection="1">
      <alignment horizontal="left"/>
      <protection locked="0"/>
    </xf>
    <xf numFmtId="172" fontId="36" fillId="5" borderId="15" xfId="0" applyNumberFormat="1" applyFont="1" applyFill="1" applyBorder="1" applyAlignment="1" applyProtection="1">
      <alignment horizontal="center"/>
    </xf>
    <xf numFmtId="172" fontId="36" fillId="8" borderId="6" xfId="0" applyNumberFormat="1" applyFont="1" applyFill="1" applyBorder="1" applyAlignment="1" applyProtection="1">
      <alignment horizontal="center"/>
    </xf>
    <xf numFmtId="0" fontId="38" fillId="16" borderId="6" xfId="103" applyNumberFormat="1" applyFont="1" applyFill="1" applyBorder="1" applyAlignment="1">
      <alignment horizontal="center" vertical="center" wrapText="1"/>
    </xf>
    <xf numFmtId="0" fontId="38" fillId="4" borderId="6" xfId="103" applyNumberFormat="1" applyFont="1" applyFill="1" applyBorder="1" applyAlignment="1">
      <alignment horizontal="center" vertical="center" wrapText="1"/>
    </xf>
    <xf numFmtId="172" fontId="36" fillId="8" borderId="15" xfId="0" applyNumberFormat="1" applyFont="1" applyFill="1" applyBorder="1" applyAlignment="1" applyProtection="1">
      <alignment horizontal="center"/>
    </xf>
    <xf numFmtId="0" fontId="38" fillId="16" borderId="15" xfId="103" applyNumberFormat="1" applyFont="1" applyFill="1" applyBorder="1" applyAlignment="1">
      <alignment horizontal="center" vertical="center" wrapText="1"/>
    </xf>
    <xf numFmtId="0" fontId="38" fillId="4" borderId="15" xfId="103" applyNumberFormat="1" applyFont="1" applyFill="1" applyBorder="1" applyAlignment="1">
      <alignment horizontal="center" vertical="center" wrapText="1"/>
    </xf>
    <xf numFmtId="172" fontId="41" fillId="4" borderId="6" xfId="0" applyNumberFormat="1" applyFont="1" applyFill="1" applyBorder="1" applyAlignment="1" applyProtection="1">
      <alignment horizontal="center"/>
    </xf>
    <xf numFmtId="172" fontId="36" fillId="5" borderId="47" xfId="0" applyNumberFormat="1" applyFont="1" applyFill="1" applyBorder="1" applyAlignment="1" applyProtection="1">
      <alignment horizontal="center"/>
    </xf>
    <xf numFmtId="172" fontId="36" fillId="5" borderId="6" xfId="0" applyNumberFormat="1" applyFont="1" applyFill="1" applyBorder="1" applyAlignment="1" applyProtection="1">
      <alignment horizontal="center"/>
    </xf>
    <xf numFmtId="172" fontId="22" fillId="6" borderId="6" xfId="0" applyNumberFormat="1" applyFont="1" applyFill="1" applyBorder="1" applyAlignment="1" applyProtection="1">
      <alignment horizontal="center"/>
    </xf>
    <xf numFmtId="172" fontId="36" fillId="5" borderId="67" xfId="0" applyNumberFormat="1" applyFont="1" applyFill="1" applyBorder="1" applyAlignment="1" applyProtection="1">
      <alignment horizontal="center"/>
    </xf>
    <xf numFmtId="172" fontId="38" fillId="16" borderId="6" xfId="103" applyNumberFormat="1" applyFont="1" applyFill="1" applyBorder="1" applyAlignment="1">
      <alignment horizontal="center" vertical="center" wrapText="1"/>
    </xf>
    <xf numFmtId="0" fontId="38" fillId="16" borderId="24" xfId="103" applyNumberFormat="1" applyFont="1" applyFill="1" applyBorder="1" applyAlignment="1">
      <alignment horizontal="center" vertical="center" wrapText="1"/>
    </xf>
    <xf numFmtId="0" fontId="38" fillId="4" borderId="68" xfId="103" applyNumberFormat="1" applyFont="1" applyFill="1" applyBorder="1" applyAlignment="1">
      <alignment horizontal="center" vertical="center" wrapText="1"/>
    </xf>
    <xf numFmtId="0" fontId="0" fillId="13" borderId="6" xfId="0" applyFill="1" applyBorder="1" applyAlignment="1" applyProtection="1">
      <alignment horizontal="left"/>
      <protection locked="0"/>
    </xf>
    <xf numFmtId="0" fontId="36" fillId="5" borderId="6" xfId="0" applyFont="1" applyFill="1" applyBorder="1" applyAlignment="1">
      <alignment horizontal="center"/>
    </xf>
    <xf numFmtId="0" fontId="38" fillId="4" borderId="6" xfId="103" applyFont="1" applyFill="1" applyBorder="1" applyAlignment="1">
      <alignment horizontal="center" vertical="center" wrapText="1"/>
    </xf>
    <xf numFmtId="37" fontId="38" fillId="4" borderId="6" xfId="103" applyNumberFormat="1" applyFont="1" applyFill="1" applyBorder="1" applyAlignment="1" applyProtection="1">
      <alignment horizontal="center" vertical="center" wrapText="1"/>
    </xf>
    <xf numFmtId="0" fontId="38" fillId="6" borderId="6" xfId="103" applyFont="1" applyFill="1" applyBorder="1" applyAlignment="1">
      <alignment horizontal="center" vertical="center" wrapText="1"/>
    </xf>
    <xf numFmtId="0" fontId="38" fillId="5" borderId="6" xfId="103" applyFont="1" applyFill="1" applyBorder="1" applyAlignment="1">
      <alignment horizontal="center" vertical="center" wrapText="1"/>
    </xf>
    <xf numFmtId="0" fontId="46" fillId="5" borderId="6" xfId="122" applyNumberFormat="1" applyFont="1" applyFill="1" applyBorder="1" applyAlignment="1" applyProtection="1">
      <alignment horizontal="center" vertical="center"/>
    </xf>
    <xf numFmtId="0" fontId="38" fillId="14" borderId="6" xfId="103" applyFont="1" applyFill="1" applyBorder="1" applyAlignment="1">
      <alignment horizontal="center" vertical="center" wrapText="1"/>
    </xf>
    <xf numFmtId="38" fontId="46" fillId="5" borderId="6" xfId="122" applyNumberFormat="1" applyFont="1" applyFill="1" applyBorder="1" applyAlignment="1" applyProtection="1">
      <alignment horizontal="center"/>
    </xf>
    <xf numFmtId="0" fontId="48" fillId="23" borderId="0" xfId="122" applyNumberFormat="1" applyFont="1" applyFill="1" applyBorder="1" applyAlignment="1">
      <alignment horizontal="center"/>
    </xf>
    <xf numFmtId="0" fontId="38" fillId="9" borderId="6" xfId="103" applyFont="1" applyFill="1" applyBorder="1" applyAlignment="1">
      <alignment horizontal="center" vertical="center" wrapText="1"/>
    </xf>
    <xf numFmtId="0" fontId="46" fillId="5" borderId="6" xfId="122" applyNumberFormat="1" applyFont="1" applyFill="1" applyBorder="1" applyAlignment="1">
      <alignment horizontal="center"/>
    </xf>
    <xf numFmtId="0" fontId="45" fillId="13" borderId="6" xfId="122" applyNumberFormat="1" applyFont="1" applyFill="1" applyBorder="1" applyAlignment="1" applyProtection="1">
      <alignment vertical="center"/>
      <protection locked="0"/>
    </xf>
    <xf numFmtId="0" fontId="45" fillId="13" borderId="6" xfId="122" applyNumberFormat="1" applyFont="1" applyFill="1" applyBorder="1" applyAlignment="1" applyProtection="1">
      <alignment horizontal="center" vertical="center"/>
      <protection locked="0"/>
    </xf>
    <xf numFmtId="0" fontId="45" fillId="13" borderId="6" xfId="122" applyNumberFormat="1" applyFont="1" applyFill="1" applyBorder="1" applyAlignment="1" applyProtection="1">
      <alignment horizontal="center"/>
      <protection locked="0"/>
    </xf>
    <xf numFmtId="0" fontId="38" fillId="0" borderId="0" xfId="103" applyFont="1" applyFill="1" applyBorder="1" applyAlignment="1">
      <alignment horizontal="center" vertical="center" wrapText="1"/>
    </xf>
    <xf numFmtId="0" fontId="38" fillId="8" borderId="6" xfId="103" applyFont="1" applyFill="1" applyBorder="1" applyAlignment="1">
      <alignment horizontal="center" vertical="center" wrapText="1"/>
    </xf>
    <xf numFmtId="0" fontId="43" fillId="8" borderId="6" xfId="103" applyFont="1" applyFill="1" applyBorder="1" applyAlignment="1">
      <alignment horizontal="center" vertical="center" wrapText="1"/>
    </xf>
    <xf numFmtId="172" fontId="36" fillId="5" borderId="29" xfId="0" applyNumberFormat="1" applyFont="1" applyFill="1" applyBorder="1" applyAlignment="1" applyProtection="1">
      <alignment horizontal="center"/>
    </xf>
    <xf numFmtId="172" fontId="7" fillId="3" borderId="6" xfId="0" applyNumberFormat="1" applyFont="1" applyFill="1" applyBorder="1" applyAlignment="1" applyProtection="1">
      <alignment horizontal="center" vertical="center" wrapText="1"/>
    </xf>
    <xf numFmtId="3" fontId="56" fillId="0" borderId="6" xfId="0" applyNumberFormat="1" applyFont="1" applyBorder="1" applyAlignment="1">
      <alignment horizontal="center"/>
    </xf>
    <xf numFmtId="0" fontId="7" fillId="6" borderId="6" xfId="0" applyFont="1" applyFill="1" applyBorder="1" applyAlignment="1">
      <alignment horizontal="left" vertical="center"/>
    </xf>
    <xf numFmtId="0" fontId="46" fillId="0" borderId="6" xfId="0" applyFont="1" applyFill="1" applyBorder="1" applyAlignment="1">
      <alignment horizontal="left" vertical="center"/>
    </xf>
    <xf numFmtId="0" fontId="77" fillId="0" borderId="70" xfId="99" applyFont="1" applyFill="1" applyBorder="1" applyAlignment="1" applyProtection="1">
      <alignment horizontal="center" vertical="top" wrapText="1"/>
    </xf>
    <xf numFmtId="0" fontId="77" fillId="0" borderId="63" xfId="99" applyFont="1" applyFill="1" applyBorder="1" applyAlignment="1" applyProtection="1">
      <alignment horizontal="left" vertical="top" wrapText="1"/>
    </xf>
    <xf numFmtId="175" fontId="75" fillId="4" borderId="62" xfId="97" applyNumberFormat="1" applyFont="1" applyFill="1" applyBorder="1" applyAlignment="1" applyProtection="1">
      <alignment horizontal="center" vertical="center" wrapText="1"/>
    </xf>
    <xf numFmtId="0" fontId="77" fillId="0" borderId="20" xfId="99" applyFont="1" applyFill="1" applyBorder="1" applyAlignment="1" applyProtection="1">
      <alignment horizontal="center" vertical="top" wrapText="1"/>
    </xf>
    <xf numFmtId="0" fontId="77" fillId="0" borderId="62" xfId="99" applyFont="1" applyFill="1" applyBorder="1" applyAlignment="1" applyProtection="1">
      <alignment horizontal="left" vertical="top" wrapText="1"/>
    </xf>
    <xf numFmtId="0" fontId="81" fillId="0" borderId="70" xfId="99" applyFont="1" applyFill="1" applyBorder="1" applyAlignment="1" applyProtection="1">
      <alignment horizontal="center" vertical="top" wrapText="1"/>
    </xf>
    <xf numFmtId="0" fontId="77" fillId="0" borderId="61" xfId="99" applyFont="1" applyFill="1" applyBorder="1" applyAlignment="1" applyProtection="1">
      <alignment horizontal="left" vertical="top" wrapText="1"/>
    </xf>
    <xf numFmtId="175" fontId="85" fillId="4" borderId="62" xfId="97" applyNumberFormat="1" applyFont="1" applyFill="1" applyBorder="1" applyAlignment="1" applyProtection="1">
      <alignment horizontal="center" vertical="center" wrapText="1"/>
    </xf>
    <xf numFmtId="0" fontId="77" fillId="0" borderId="17" xfId="99" applyFont="1" applyFill="1" applyBorder="1" applyAlignment="1" applyProtection="1">
      <alignment horizontal="center" vertical="top" wrapText="1"/>
    </xf>
    <xf numFmtId="0" fontId="77" fillId="0" borderId="52" xfId="99" applyFont="1" applyFill="1" applyBorder="1" applyAlignment="1" applyProtection="1">
      <alignment horizontal="left" vertical="top" wrapText="1"/>
    </xf>
    <xf numFmtId="175" fontId="77" fillId="0" borderId="52" xfId="97" applyNumberFormat="1" applyFont="1" applyFill="1" applyBorder="1" applyAlignment="1" applyProtection="1">
      <alignment horizontal="center" vertical="center" wrapText="1"/>
    </xf>
    <xf numFmtId="0" fontId="81" fillId="0" borderId="20" xfId="99" applyFont="1" applyFill="1" applyBorder="1" applyAlignment="1" applyProtection="1">
      <alignment horizontal="center" vertical="top" wrapText="1"/>
    </xf>
    <xf numFmtId="0" fontId="81" fillId="0" borderId="62" xfId="99" applyFont="1" applyFill="1" applyBorder="1" applyAlignment="1" applyProtection="1">
      <alignment horizontal="left" vertical="top" wrapText="1"/>
    </xf>
    <xf numFmtId="0" fontId="81" fillId="0" borderId="63" xfId="99" applyFont="1" applyFill="1" applyBorder="1" applyAlignment="1" applyProtection="1">
      <alignment horizontal="left" vertical="top" wrapText="1"/>
    </xf>
    <xf numFmtId="175" fontId="77" fillId="0" borderId="62" xfId="97" applyNumberFormat="1" applyFont="1" applyFill="1" applyBorder="1" applyAlignment="1" applyProtection="1">
      <alignment horizontal="center" vertical="center" wrapText="1"/>
    </xf>
    <xf numFmtId="0" fontId="77" fillId="0" borderId="23" xfId="99" applyFont="1" applyFill="1" applyBorder="1" applyAlignment="1" applyProtection="1">
      <alignment horizontal="center" vertical="top" wrapText="1"/>
    </xf>
    <xf numFmtId="175" fontId="77" fillId="0" borderId="61" xfId="97" applyNumberFormat="1" applyFont="1" applyFill="1" applyBorder="1" applyAlignment="1" applyProtection="1">
      <alignment horizontal="center" vertical="center" wrapText="1"/>
    </xf>
    <xf numFmtId="0" fontId="75" fillId="0" borderId="20" xfId="99" applyFont="1" applyFill="1" applyBorder="1" applyAlignment="1" applyProtection="1">
      <alignment horizontal="center" vertical="top" wrapText="1"/>
    </xf>
    <xf numFmtId="0" fontId="75" fillId="0" borderId="62" xfId="99" applyFont="1" applyFill="1" applyBorder="1" applyAlignment="1" applyProtection="1">
      <alignment horizontal="left" vertical="top" wrapText="1"/>
    </xf>
    <xf numFmtId="0" fontId="75" fillId="0" borderId="62" xfId="99" applyFont="1" applyFill="1" applyBorder="1" applyAlignment="1" applyProtection="1">
      <alignment horizontal="center" vertical="top" wrapText="1"/>
    </xf>
    <xf numFmtId="175" fontId="75" fillId="0" borderId="6" xfId="97" applyNumberFormat="1" applyFont="1" applyFill="1" applyBorder="1" applyAlignment="1" applyProtection="1">
      <alignment horizontal="center" vertical="center" wrapText="1"/>
    </xf>
    <xf numFmtId="175" fontId="81" fillId="0" borderId="62" xfId="97" applyNumberFormat="1" applyFont="1" applyFill="1" applyBorder="1" applyAlignment="1" applyProtection="1">
      <alignment horizontal="center" vertical="center" wrapText="1"/>
    </xf>
    <xf numFmtId="0" fontId="75" fillId="0" borderId="60" xfId="99" applyFont="1" applyFill="1" applyBorder="1" applyAlignment="1" applyProtection="1">
      <alignment horizontal="center" vertical="center" wrapText="1"/>
    </xf>
    <xf numFmtId="0" fontId="75" fillId="0" borderId="62" xfId="99" applyFont="1" applyFill="1" applyBorder="1" applyAlignment="1" applyProtection="1">
      <alignment horizontal="left" vertical="center" wrapText="1"/>
    </xf>
    <xf numFmtId="0" fontId="75" fillId="0" borderId="20" xfId="99" applyFont="1" applyFill="1" applyBorder="1" applyAlignment="1" applyProtection="1">
      <alignment horizontal="center" vertical="center" wrapText="1"/>
    </xf>
    <xf numFmtId="0" fontId="81" fillId="0" borderId="23" xfId="99" applyFont="1" applyFill="1" applyBorder="1" applyAlignment="1" applyProtection="1">
      <alignment horizontal="center" vertical="top" wrapText="1"/>
    </xf>
    <xf numFmtId="0" fontId="81" fillId="0" borderId="61" xfId="99" applyFont="1" applyFill="1" applyBorder="1" applyAlignment="1" applyProtection="1">
      <alignment horizontal="left" vertical="top" wrapText="1"/>
    </xf>
    <xf numFmtId="175" fontId="81" fillId="0" borderId="61" xfId="97" applyNumberFormat="1" applyFont="1" applyFill="1" applyBorder="1" applyAlignment="1" applyProtection="1">
      <alignment horizontal="center" vertical="center" wrapText="1"/>
    </xf>
    <xf numFmtId="175" fontId="75" fillId="0" borderId="62" xfId="97" applyNumberFormat="1" applyFont="1" applyFill="1" applyBorder="1" applyAlignment="1" applyProtection="1">
      <alignment horizontal="center" vertical="center" wrapText="1"/>
    </xf>
    <xf numFmtId="0" fontId="75" fillId="0" borderId="60" xfId="99" applyFont="1" applyFill="1" applyBorder="1" applyAlignment="1" applyProtection="1">
      <alignment horizontal="center" vertical="top" wrapText="1"/>
    </xf>
    <xf numFmtId="0" fontId="75" fillId="6" borderId="62" xfId="99" applyFont="1" applyFill="1" applyBorder="1" applyAlignment="1" applyProtection="1">
      <alignment horizontal="center" vertical="center" wrapText="1"/>
    </xf>
    <xf numFmtId="0" fontId="75" fillId="6" borderId="62" xfId="99" applyFont="1" applyFill="1" applyBorder="1" applyAlignment="1" applyProtection="1">
      <alignment horizontal="left" vertical="top" wrapText="1"/>
    </xf>
    <xf numFmtId="0" fontId="75" fillId="6" borderId="20" xfId="99" applyFont="1" applyFill="1" applyBorder="1" applyAlignment="1" applyProtection="1">
      <alignment horizontal="center" vertical="top" wrapText="1"/>
    </xf>
    <xf numFmtId="0" fontId="75" fillId="0" borderId="70" xfId="99" applyFont="1" applyFill="1" applyBorder="1" applyAlignment="1" applyProtection="1">
      <alignment horizontal="center" vertical="top" wrapText="1"/>
    </xf>
    <xf numFmtId="0" fontId="75" fillId="0" borderId="63" xfId="99" applyFont="1" applyFill="1" applyBorder="1" applyAlignment="1" applyProtection="1">
      <alignment horizontal="left" vertical="top" wrapText="1"/>
    </xf>
    <xf numFmtId="0" fontId="75" fillId="0" borderId="23" xfId="99" applyFont="1" applyFill="1" applyBorder="1" applyAlignment="1" applyProtection="1">
      <alignment horizontal="center" vertical="top" wrapText="1"/>
    </xf>
    <xf numFmtId="0" fontId="75" fillId="0" borderId="61" xfId="99" applyFont="1" applyFill="1" applyBorder="1" applyAlignment="1" applyProtection="1">
      <alignment horizontal="left" vertical="top" wrapText="1"/>
    </xf>
    <xf numFmtId="175" fontId="75" fillId="0" borderId="61" xfId="97" applyNumberFormat="1" applyFont="1" applyFill="1" applyBorder="1" applyAlignment="1" applyProtection="1">
      <alignment horizontal="center" vertical="center" wrapText="1"/>
    </xf>
    <xf numFmtId="0" fontId="81" fillId="0" borderId="71" xfId="99" applyFont="1" applyFill="1" applyBorder="1" applyAlignment="1" applyProtection="1">
      <alignment horizontal="center" vertical="top" wrapText="1"/>
    </xf>
    <xf numFmtId="0" fontId="81" fillId="0" borderId="65" xfId="99" applyFont="1" applyFill="1" applyBorder="1" applyAlignment="1" applyProtection="1">
      <alignment horizontal="left" vertical="top" wrapText="1"/>
    </xf>
    <xf numFmtId="175" fontId="81" fillId="0" borderId="65" xfId="97" applyNumberFormat="1" applyFont="1" applyFill="1" applyBorder="1" applyAlignment="1" applyProtection="1">
      <alignment horizontal="center" vertical="center" wrapText="1"/>
    </xf>
    <xf numFmtId="0" fontId="80" fillId="0" borderId="20" xfId="99" applyFont="1" applyFill="1" applyBorder="1" applyAlignment="1" applyProtection="1">
      <alignment horizontal="center" vertical="top" wrapText="1"/>
    </xf>
    <xf numFmtId="0" fontId="80" fillId="0" borderId="62" xfId="99" applyFont="1" applyFill="1" applyBorder="1" applyAlignment="1" applyProtection="1">
      <alignment horizontal="left" vertical="top" wrapText="1"/>
    </xf>
    <xf numFmtId="175" fontId="80" fillId="0" borderId="62" xfId="97" applyNumberFormat="1" applyFont="1" applyFill="1" applyBorder="1" applyAlignment="1" applyProtection="1">
      <alignment horizontal="center" vertical="center" wrapText="1"/>
    </xf>
    <xf numFmtId="0" fontId="77" fillId="3" borderId="29" xfId="100" applyFont="1" applyFill="1" applyBorder="1" applyAlignment="1" applyProtection="1">
      <alignment horizontal="center" vertical="center"/>
    </xf>
    <xf numFmtId="0" fontId="77" fillId="3" borderId="30" xfId="100" applyFont="1" applyFill="1" applyBorder="1" applyAlignment="1" applyProtection="1">
      <alignment horizontal="center" vertical="center"/>
    </xf>
    <xf numFmtId="0" fontId="77" fillId="3" borderId="29" xfId="100" applyFont="1" applyFill="1" applyBorder="1" applyAlignment="1" applyProtection="1">
      <alignment horizontal="center" vertical="center" wrapText="1"/>
    </xf>
    <xf numFmtId="4" fontId="77" fillId="3" borderId="29" xfId="61" applyNumberFormat="1" applyFont="1" applyFill="1" applyBorder="1" applyAlignment="1" applyProtection="1">
      <alignment horizontal="center" vertical="center" wrapText="1"/>
    </xf>
    <xf numFmtId="0" fontId="77" fillId="0" borderId="29" xfId="124" applyFont="1" applyFill="1" applyBorder="1" applyAlignment="1">
      <alignment horizontal="center" vertical="center" wrapText="1"/>
    </xf>
    <xf numFmtId="0" fontId="75" fillId="3" borderId="0" xfId="124" applyFont="1" applyFill="1" applyBorder="1" applyAlignment="1">
      <alignment horizontal="center" vertical="center"/>
    </xf>
    <xf numFmtId="0" fontId="73" fillId="14" borderId="29" xfId="124" applyFont="1" applyFill="1" applyBorder="1" applyAlignment="1">
      <alignment horizontal="center" vertical="center" wrapText="1"/>
    </xf>
    <xf numFmtId="0" fontId="75" fillId="3" borderId="3" xfId="124" applyFont="1" applyFill="1" applyBorder="1" applyAlignment="1">
      <alignment horizontal="center" vertical="center"/>
    </xf>
    <xf numFmtId="174" fontId="73" fillId="3" borderId="0" xfId="124" applyNumberFormat="1" applyFont="1" applyFill="1" applyBorder="1" applyAlignment="1">
      <alignment horizontal="center" vertical="center"/>
    </xf>
    <xf numFmtId="0" fontId="74" fillId="14" borderId="29" xfId="124" applyFont="1" applyFill="1" applyBorder="1" applyAlignment="1">
      <alignment horizontal="center" vertical="center"/>
    </xf>
    <xf numFmtId="0" fontId="74" fillId="3" borderId="0" xfId="124" applyFont="1" applyFill="1" applyBorder="1" applyAlignment="1">
      <alignment horizontal="center" vertical="center" wrapText="1"/>
    </xf>
    <xf numFmtId="0" fontId="73" fillId="14" borderId="29" xfId="124" applyFont="1" applyFill="1" applyBorder="1" applyAlignment="1">
      <alignment horizontal="center" vertical="center"/>
    </xf>
    <xf numFmtId="0" fontId="75" fillId="3" borderId="5" xfId="124" applyFont="1" applyFill="1" applyBorder="1" applyAlignment="1">
      <alignment horizontal="left" vertical="center"/>
    </xf>
    <xf numFmtId="0" fontId="75" fillId="3" borderId="69" xfId="124" applyFont="1" applyFill="1" applyBorder="1" applyAlignment="1">
      <alignment horizontal="right" vertical="center"/>
    </xf>
    <xf numFmtId="0" fontId="75" fillId="3" borderId="0" xfId="124" applyFont="1" applyFill="1" applyBorder="1" applyAlignment="1">
      <alignment horizontal="left" vertical="center"/>
    </xf>
    <xf numFmtId="0" fontId="77" fillId="3" borderId="6" xfId="100" applyFont="1" applyFill="1" applyBorder="1" applyAlignment="1">
      <alignment horizontal="right" vertical="center"/>
    </xf>
    <xf numFmtId="175" fontId="75" fillId="14" borderId="6" xfId="100" applyNumberFormat="1" applyFont="1" applyFill="1" applyBorder="1" applyAlignment="1">
      <alignment horizontal="center" vertical="center"/>
    </xf>
    <xf numFmtId="175" fontId="75" fillId="0" borderId="6" xfId="100" applyNumberFormat="1" applyFont="1" applyFill="1" applyBorder="1" applyAlignment="1">
      <alignment horizontal="center" vertical="center" wrapText="1"/>
    </xf>
    <xf numFmtId="175" fontId="77" fillId="3" borderId="6" xfId="100" applyNumberFormat="1" applyFont="1" applyFill="1" applyBorder="1" applyAlignment="1">
      <alignment horizontal="center" vertical="center"/>
    </xf>
    <xf numFmtId="0" fontId="86" fillId="3" borderId="6" xfId="100" applyFont="1" applyFill="1" applyBorder="1" applyAlignment="1">
      <alignment horizontal="right" vertical="center"/>
    </xf>
    <xf numFmtId="175" fontId="75" fillId="3" borderId="6" xfId="100" applyNumberFormat="1" applyFont="1" applyFill="1" applyBorder="1" applyAlignment="1">
      <alignment horizontal="center" vertical="center"/>
    </xf>
    <xf numFmtId="0" fontId="75" fillId="3" borderId="6" xfId="100" applyFont="1" applyFill="1" applyBorder="1" applyAlignment="1">
      <alignment horizontal="center" vertical="center"/>
    </xf>
    <xf numFmtId="0" fontId="77" fillId="3" borderId="6" xfId="100" applyFont="1" applyFill="1" applyBorder="1" applyAlignment="1">
      <alignment horizontal="center" vertical="center"/>
    </xf>
    <xf numFmtId="0" fontId="77" fillId="3" borderId="6" xfId="100" applyFont="1" applyFill="1" applyBorder="1" applyAlignment="1">
      <alignment horizontal="center" vertical="center" wrapText="1"/>
    </xf>
    <xf numFmtId="0" fontId="86" fillId="3" borderId="6" xfId="100" applyFont="1" applyFill="1" applyBorder="1" applyAlignment="1">
      <alignment horizontal="center" vertical="center"/>
    </xf>
    <xf numFmtId="0" fontId="77" fillId="6" borderId="62" xfId="99" applyFont="1" applyFill="1" applyBorder="1" applyAlignment="1" applyProtection="1">
      <alignment horizontal="center" vertical="center" wrapText="1"/>
    </xf>
    <xf numFmtId="0" fontId="81" fillId="6" borderId="29" xfId="99" applyFont="1" applyFill="1" applyBorder="1" applyAlignment="1" applyProtection="1">
      <alignment horizontal="center" vertical="center" wrapText="1"/>
    </xf>
    <xf numFmtId="0" fontId="81" fillId="6" borderId="29" xfId="99" applyFont="1" applyFill="1" applyBorder="1" applyAlignment="1" applyProtection="1">
      <alignment horizontal="left" vertical="center" wrapText="1"/>
    </xf>
    <xf numFmtId="0" fontId="77" fillId="3" borderId="29" xfId="99" applyFont="1" applyFill="1" applyBorder="1" applyAlignment="1" applyProtection="1">
      <alignment horizontal="center" vertical="center" wrapText="1"/>
    </xf>
    <xf numFmtId="0" fontId="85" fillId="0" borderId="61" xfId="99" applyFont="1" applyFill="1" applyBorder="1" applyAlignment="1" applyProtection="1">
      <alignment horizontal="left" vertical="top" wrapText="1"/>
    </xf>
    <xf numFmtId="0" fontId="81" fillId="6" borderId="62" xfId="0" applyFont="1" applyFill="1" applyBorder="1" applyAlignment="1">
      <alignment horizontal="center" vertical="center" wrapText="1"/>
    </xf>
    <xf numFmtId="0" fontId="81" fillId="0" borderId="60" xfId="99" applyFont="1" applyFill="1" applyBorder="1" applyAlignment="1" applyProtection="1">
      <alignment horizontal="center" vertical="top" wrapText="1"/>
    </xf>
    <xf numFmtId="0" fontId="81" fillId="6" borderId="62" xfId="99" applyFont="1" applyFill="1" applyBorder="1" applyAlignment="1" applyProtection="1">
      <alignment horizontal="center" vertical="center" wrapText="1"/>
    </xf>
    <xf numFmtId="0" fontId="81" fillId="6" borderId="62" xfId="0" applyFont="1" applyFill="1" applyBorder="1" applyAlignment="1">
      <alignment horizontal="center"/>
    </xf>
    <xf numFmtId="0" fontId="81" fillId="0" borderId="60" xfId="99" applyFont="1" applyFill="1" applyBorder="1" applyAlignment="1" applyProtection="1">
      <alignment horizontal="center" vertical="center" wrapText="1"/>
    </xf>
    <xf numFmtId="0" fontId="81" fillId="0" borderId="62" xfId="99" applyFont="1" applyFill="1" applyBorder="1" applyAlignment="1" applyProtection="1">
      <alignment horizontal="left" vertical="center" wrapText="1"/>
    </xf>
    <xf numFmtId="0" fontId="77" fillId="6" borderId="62" xfId="99" applyFont="1" applyFill="1" applyBorder="1" applyAlignment="1" applyProtection="1">
      <alignment horizontal="left" vertical="center" wrapText="1"/>
    </xf>
    <xf numFmtId="0" fontId="81" fillId="6" borderId="62" xfId="99" applyFont="1" applyFill="1" applyBorder="1" applyAlignment="1" applyProtection="1">
      <alignment horizontal="left" vertical="center" wrapText="1"/>
    </xf>
    <xf numFmtId="0" fontId="81" fillId="3" borderId="20" xfId="99" applyFont="1" applyFill="1" applyBorder="1" applyAlignment="1" applyProtection="1">
      <alignment horizontal="center" vertical="top" wrapText="1"/>
    </xf>
    <xf numFmtId="0" fontId="81" fillId="3" borderId="62" xfId="99" applyFont="1" applyFill="1" applyBorder="1" applyAlignment="1" applyProtection="1">
      <alignment horizontal="left" vertical="top" wrapText="1"/>
    </xf>
  </cellXfs>
  <cellStyles count="135">
    <cellStyle name="Comma 2" xfId="1"/>
    <cellStyle name="Comma 2 2" xfId="2"/>
    <cellStyle name="Comma 2 2 2" xfId="3"/>
    <cellStyle name="Comma 2 3" xfId="4"/>
    <cellStyle name="Comma 2 4" xfId="5"/>
    <cellStyle name="Euro" xfId="6"/>
    <cellStyle name="Migliaia" xfId="7" builtinId="3"/>
    <cellStyle name="Migliaia [0]" xfId="8" builtinId="6"/>
    <cellStyle name="Migliaia [0] 12 2" xfId="9"/>
    <cellStyle name="Migliaia [0] 12 2 2" xfId="10"/>
    <cellStyle name="Migliaia [0] 2" xfId="11"/>
    <cellStyle name="Migliaia [0] 2 2" xfId="12"/>
    <cellStyle name="Migliaia [0] 2 2 2" xfId="13"/>
    <cellStyle name="Migliaia [0] 2 2 2 2" xfId="14"/>
    <cellStyle name="Migliaia [0] 2 2 3" xfId="15"/>
    <cellStyle name="Migliaia [0] 2 2 3 4" xfId="16"/>
    <cellStyle name="Migliaia [0] 2 3" xfId="17"/>
    <cellStyle name="Migliaia [0] 2 3 2" xfId="18"/>
    <cellStyle name="Migliaia [0] 2 3 2 2" xfId="19"/>
    <cellStyle name="Migliaia [0] 2 3 3" xfId="20"/>
    <cellStyle name="Migliaia [0] 2 4" xfId="21"/>
    <cellStyle name="Migliaia [0] 2 4 2" xfId="22"/>
    <cellStyle name="Migliaia [0] 2 5" xfId="23"/>
    <cellStyle name="Migliaia [0] 3" xfId="24"/>
    <cellStyle name="Migliaia [0] 3 2" xfId="25"/>
    <cellStyle name="Migliaia [0] 3 2 2" xfId="26"/>
    <cellStyle name="Migliaia [0] 3 2 2 2" xfId="27"/>
    <cellStyle name="Migliaia [0] 3 2 3" xfId="28"/>
    <cellStyle name="Migliaia [0] 3 3" xfId="29"/>
    <cellStyle name="Migliaia [0] 3 3 2" xfId="30"/>
    <cellStyle name="Migliaia [0] 3 4" xfId="31"/>
    <cellStyle name="Migliaia [0] 4" xfId="32"/>
    <cellStyle name="Migliaia [0] 4 2" xfId="33"/>
    <cellStyle name="Migliaia [0] 4 2 2" xfId="34"/>
    <cellStyle name="Migliaia [0] 4 2 2 2" xfId="35"/>
    <cellStyle name="Migliaia [0] 4 2 3" xfId="36"/>
    <cellStyle name="Migliaia [0] 4 3" xfId="37"/>
    <cellStyle name="Migliaia [0] 4 3 2" xfId="38"/>
    <cellStyle name="Migliaia [0] 4 4" xfId="39"/>
    <cellStyle name="Migliaia [0] 5" xfId="40"/>
    <cellStyle name="Migliaia [0] 5 2" xfId="41"/>
    <cellStyle name="Migliaia [0] 5 2 2" xfId="42"/>
    <cellStyle name="Migliaia [0] 5 2 2 2" xfId="43"/>
    <cellStyle name="Migliaia [0] 5 2 3" xfId="44"/>
    <cellStyle name="Migliaia [0] 5 2 3 2" xfId="45"/>
    <cellStyle name="Migliaia [0] 5 2 4" xfId="46"/>
    <cellStyle name="Migliaia [0] 5 3" xfId="47"/>
    <cellStyle name="Migliaia [0] 5 3 2" xfId="48"/>
    <cellStyle name="Migliaia [0] 5 4" xfId="49"/>
    <cellStyle name="Migliaia [0] 5 4 2" xfId="50"/>
    <cellStyle name="Migliaia [0] 5 5" xfId="51"/>
    <cellStyle name="Migliaia [0] 6" xfId="52"/>
    <cellStyle name="Migliaia [0] 6 2" xfId="53"/>
    <cellStyle name="Migliaia [0] 6 2 2" xfId="54"/>
    <cellStyle name="Migliaia [0] 6 3" xfId="55"/>
    <cellStyle name="Migliaia [0] 6 6" xfId="56"/>
    <cellStyle name="Migliaia [0] 6 6 2" xfId="57"/>
    <cellStyle name="Migliaia [0] 7" xfId="58"/>
    <cellStyle name="Migliaia [0] 7 2" xfId="59"/>
    <cellStyle name="Migliaia [0] 8" xfId="60"/>
    <cellStyle name="Migliaia [0]_Mattone CE_Budget 2008 (v. 0.5 del 12.02.2008)" xfId="61"/>
    <cellStyle name="Migliaia 2" xfId="62"/>
    <cellStyle name="Migliaia 2 2" xfId="63"/>
    <cellStyle name="Migliaia 2 2 2" xfId="64"/>
    <cellStyle name="Migliaia 2 2 2 2" xfId="65"/>
    <cellStyle name="Migliaia 2 2 3" xfId="66"/>
    <cellStyle name="Migliaia 2 3" xfId="67"/>
    <cellStyle name="Migliaia 2 3 2" xfId="68"/>
    <cellStyle name="Migliaia 2 3 2 2" xfId="69"/>
    <cellStyle name="Migliaia 2 3 3" xfId="70"/>
    <cellStyle name="Migliaia 2 4" xfId="71"/>
    <cellStyle name="Migliaia 2 4 2" xfId="72"/>
    <cellStyle name="Migliaia 2 5" xfId="73"/>
    <cellStyle name="Migliaia 3" xfId="74"/>
    <cellStyle name="Migliaia 3 2" xfId="75"/>
    <cellStyle name="Migliaia 3 2 2" xfId="76"/>
    <cellStyle name="Migliaia 3 2 2 2" xfId="77"/>
    <cellStyle name="Migliaia 3 2 3" xfId="78"/>
    <cellStyle name="Migliaia 3 3" xfId="79"/>
    <cellStyle name="Migliaia 3 3 2" xfId="80"/>
    <cellStyle name="Migliaia 3 3 2 2" xfId="81"/>
    <cellStyle name="Migliaia 3 3 3" xfId="82"/>
    <cellStyle name="Migliaia 3 4" xfId="83"/>
    <cellStyle name="Migliaia 3 4 2" xfId="84"/>
    <cellStyle name="Migliaia 3 5" xfId="85"/>
    <cellStyle name="Migliaia 4" xfId="86"/>
    <cellStyle name="Migliaia 4 2" xfId="87"/>
    <cellStyle name="Migliaia 4 2 2" xfId="88"/>
    <cellStyle name="Migliaia 4 2 2 2" xfId="89"/>
    <cellStyle name="Migliaia 4 2 3" xfId="90"/>
    <cellStyle name="Migliaia 4 3" xfId="91"/>
    <cellStyle name="Migliaia 4 3 2" xfId="92"/>
    <cellStyle name="Migliaia 4 4" xfId="93"/>
    <cellStyle name="Migliaia 5" xfId="94"/>
    <cellStyle name="Migliaia 5 2" xfId="95"/>
    <cellStyle name="Migliaia 6" xfId="96"/>
    <cellStyle name="Migliaia_Mattone CE_Budget 2008 (v. 0.5 del 12.02.2008)" xfId="97"/>
    <cellStyle name="Normal 12" xfId="98"/>
    <cellStyle name="Normal 2" xfId="99"/>
    <cellStyle name="Normal_Sheet1" xfId="100"/>
    <cellStyle name="Normal_Sheet1 2" xfId="101"/>
    <cellStyle name="Normale" xfId="0" builtinId="0"/>
    <cellStyle name="Normale 12" xfId="102"/>
    <cellStyle name="Normale 2" xfId="103"/>
    <cellStyle name="Normale 2 2" xfId="104"/>
    <cellStyle name="Normale 2 2 2" xfId="105"/>
    <cellStyle name="Normale 2 2_118_AO_Bilancio_2011 - 951" xfId="106"/>
    <cellStyle name="Normale 2 3" xfId="107"/>
    <cellStyle name="Normale 2_118_AO_Bilancio_2011 - 951" xfId="108"/>
    <cellStyle name="Normale 3" xfId="109"/>
    <cellStyle name="Normale 3 2" xfId="110"/>
    <cellStyle name="Normale 3 3" xfId="111"/>
    <cellStyle name="Normale 3_118_AO_Bilancio_2011 - 951" xfId="112"/>
    <cellStyle name="Normale 4" xfId="113"/>
    <cellStyle name="Normale 4 2" xfId="114"/>
    <cellStyle name="Normale 4_conto_economico_anno 2012_Generale" xfId="115"/>
    <cellStyle name="Normale 5" xfId="116"/>
    <cellStyle name="Normale 5 2" xfId="117"/>
    <cellStyle name="Normale 5 9" xfId="118"/>
    <cellStyle name="Normale 6 2" xfId="119"/>
    <cellStyle name="Normale 7" xfId="120"/>
    <cellStyle name="Normale_118_AO_Bilancio_2011 - 951" xfId="121"/>
    <cellStyle name="Normale_Cartel1" xfId="122"/>
    <cellStyle name="Normale_Contributi_Preventivo_2014" xfId="123"/>
    <cellStyle name="Normale_Mattone CE_Budget 2008 (v. 0.5 del 12.02.2008)" xfId="124"/>
    <cellStyle name="Normale_Mattone CE_Budget 2008 (v. 0.5 del 12.02.2008) 2" xfId="125"/>
    <cellStyle name="Normale_Mattone CE_Budget 2008 (v. 0.5 del 12.02.2008) 2 2" xfId="126"/>
    <cellStyle name="Normale_modelloDCF2004bottoni" xfId="127"/>
    <cellStyle name="Percentuale 2" xfId="128"/>
    <cellStyle name="Percentuale 2 10" xfId="129"/>
    <cellStyle name="Percentuale 2 2" xfId="130"/>
    <cellStyle name="Percentuale 3" xfId="131"/>
    <cellStyle name="SAS FM Row drillable header" xfId="132"/>
    <cellStyle name="SAS FM Row header" xfId="133"/>
    <cellStyle name="SAS FM Row header 2" xfId="134"/>
  </cellStyles>
  <dxfs count="46">
    <dxf>
      <font>
        <b val="0"/>
        <condense val="0"/>
        <extend val="0"/>
        <sz val="11"/>
        <color indexed="13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condense val="0"/>
        <extend val="0"/>
        <sz val="11"/>
        <color indexed="10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condense val="0"/>
        <extend val="0"/>
        <sz val="11"/>
        <color indexed="10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condense val="0"/>
        <extend val="0"/>
        <sz val="11"/>
        <color indexed="10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condense val="0"/>
        <extend val="0"/>
        <sz val="11"/>
        <color indexed="10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sz val="11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condense val="0"/>
        <extend val="0"/>
        <sz val="11"/>
        <color indexed="10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  <sz val="11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condense val="0"/>
        <extend val="0"/>
        <sz val="11"/>
        <color indexed="10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215</xdr:row>
      <xdr:rowOff>0</xdr:rowOff>
    </xdr:from>
    <xdr:to>
      <xdr:col>33</xdr:col>
      <xdr:colOff>0</xdr:colOff>
      <xdr:row>215</xdr:row>
      <xdr:rowOff>0</xdr:rowOff>
    </xdr:to>
    <xdr:sp macro="" textlink="">
      <xdr:nvSpPr>
        <xdr:cNvPr id="26173" name="Line 1">
          <a:extLst>
            <a:ext uri="{FF2B5EF4-FFF2-40B4-BE49-F238E27FC236}">
              <a16:creationId xmlns:a16="http://schemas.microsoft.com/office/drawing/2014/main" id="{6430C9AA-E843-F0CC-6D18-9454E9CB688E}"/>
            </a:ext>
          </a:extLst>
        </xdr:cNvPr>
        <xdr:cNvSpPr>
          <a:spLocks noChangeShapeType="1"/>
        </xdr:cNvSpPr>
      </xdr:nvSpPr>
      <xdr:spPr bwMode="auto">
        <a:xfrm>
          <a:off x="9829800" y="450246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0</xdr:colOff>
      <xdr:row>215</xdr:row>
      <xdr:rowOff>0</xdr:rowOff>
    </xdr:from>
    <xdr:to>
      <xdr:col>33</xdr:col>
      <xdr:colOff>0</xdr:colOff>
      <xdr:row>215</xdr:row>
      <xdr:rowOff>0</xdr:rowOff>
    </xdr:to>
    <xdr:sp macro="" textlink="">
      <xdr:nvSpPr>
        <xdr:cNvPr id="26174" name="Line 2">
          <a:extLst>
            <a:ext uri="{FF2B5EF4-FFF2-40B4-BE49-F238E27FC236}">
              <a16:creationId xmlns:a16="http://schemas.microsoft.com/office/drawing/2014/main" id="{7F8C2231-64A2-A5F5-75C4-0E8ABCEEF795}"/>
            </a:ext>
          </a:extLst>
        </xdr:cNvPr>
        <xdr:cNvSpPr>
          <a:spLocks noChangeShapeType="1"/>
        </xdr:cNvSpPr>
      </xdr:nvSpPr>
      <xdr:spPr bwMode="auto">
        <a:xfrm>
          <a:off x="9829800" y="450246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0</xdr:colOff>
      <xdr:row>215</xdr:row>
      <xdr:rowOff>0</xdr:rowOff>
    </xdr:from>
    <xdr:to>
      <xdr:col>33</xdr:col>
      <xdr:colOff>0</xdr:colOff>
      <xdr:row>215</xdr:row>
      <xdr:rowOff>0</xdr:rowOff>
    </xdr:to>
    <xdr:sp macro="" textlink="">
      <xdr:nvSpPr>
        <xdr:cNvPr id="26175" name="Line 3">
          <a:extLst>
            <a:ext uri="{FF2B5EF4-FFF2-40B4-BE49-F238E27FC236}">
              <a16:creationId xmlns:a16="http://schemas.microsoft.com/office/drawing/2014/main" id="{E957CEFA-CD39-37F6-6689-9F5794CE5596}"/>
            </a:ext>
          </a:extLst>
        </xdr:cNvPr>
        <xdr:cNvSpPr>
          <a:spLocks noChangeShapeType="1"/>
        </xdr:cNvSpPr>
      </xdr:nvSpPr>
      <xdr:spPr bwMode="auto">
        <a:xfrm>
          <a:off x="9829800" y="450246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0</xdr:colOff>
      <xdr:row>215</xdr:row>
      <xdr:rowOff>0</xdr:rowOff>
    </xdr:from>
    <xdr:to>
      <xdr:col>33</xdr:col>
      <xdr:colOff>0</xdr:colOff>
      <xdr:row>215</xdr:row>
      <xdr:rowOff>0</xdr:rowOff>
    </xdr:to>
    <xdr:sp macro="" textlink="">
      <xdr:nvSpPr>
        <xdr:cNvPr id="26176" name="Line 4">
          <a:extLst>
            <a:ext uri="{FF2B5EF4-FFF2-40B4-BE49-F238E27FC236}">
              <a16:creationId xmlns:a16="http://schemas.microsoft.com/office/drawing/2014/main" id="{5DFAFB75-8EEF-81FB-C516-60D3EB23B7CF}"/>
            </a:ext>
          </a:extLst>
        </xdr:cNvPr>
        <xdr:cNvSpPr>
          <a:spLocks noChangeShapeType="1"/>
        </xdr:cNvSpPr>
      </xdr:nvSpPr>
      <xdr:spPr bwMode="auto">
        <a:xfrm>
          <a:off x="9829800" y="450246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0</xdr:colOff>
      <xdr:row>215</xdr:row>
      <xdr:rowOff>0</xdr:rowOff>
    </xdr:from>
    <xdr:to>
      <xdr:col>33</xdr:col>
      <xdr:colOff>0</xdr:colOff>
      <xdr:row>215</xdr:row>
      <xdr:rowOff>0</xdr:rowOff>
    </xdr:to>
    <xdr:sp macro="" textlink="">
      <xdr:nvSpPr>
        <xdr:cNvPr id="26177" name="Line 5">
          <a:extLst>
            <a:ext uri="{FF2B5EF4-FFF2-40B4-BE49-F238E27FC236}">
              <a16:creationId xmlns:a16="http://schemas.microsoft.com/office/drawing/2014/main" id="{ED395097-A47C-A85F-F039-D4957A808438}"/>
            </a:ext>
          </a:extLst>
        </xdr:cNvPr>
        <xdr:cNvSpPr>
          <a:spLocks noChangeShapeType="1"/>
        </xdr:cNvSpPr>
      </xdr:nvSpPr>
      <xdr:spPr bwMode="auto">
        <a:xfrm>
          <a:off x="9829800" y="450246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0</xdr:colOff>
      <xdr:row>215</xdr:row>
      <xdr:rowOff>0</xdr:rowOff>
    </xdr:from>
    <xdr:to>
      <xdr:col>33</xdr:col>
      <xdr:colOff>0</xdr:colOff>
      <xdr:row>215</xdr:row>
      <xdr:rowOff>0</xdr:rowOff>
    </xdr:to>
    <xdr:sp macro="" textlink="">
      <xdr:nvSpPr>
        <xdr:cNvPr id="26178" name="Line 6">
          <a:extLst>
            <a:ext uri="{FF2B5EF4-FFF2-40B4-BE49-F238E27FC236}">
              <a16:creationId xmlns:a16="http://schemas.microsoft.com/office/drawing/2014/main" id="{B232AE98-3709-9DAB-A369-D738EA8EB767}"/>
            </a:ext>
          </a:extLst>
        </xdr:cNvPr>
        <xdr:cNvSpPr>
          <a:spLocks noChangeShapeType="1"/>
        </xdr:cNvSpPr>
      </xdr:nvSpPr>
      <xdr:spPr bwMode="auto">
        <a:xfrm>
          <a:off x="9829800" y="450246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52"/>
  <sheetViews>
    <sheetView workbookViewId="0">
      <selection activeCell="B14" sqref="B14"/>
    </sheetView>
  </sheetViews>
  <sheetFormatPr defaultColWidth="3.5703125" defaultRowHeight="44.25" customHeight="1" x14ac:dyDescent="0.2"/>
  <cols>
    <col min="1" max="1" width="9.140625" style="1" customWidth="1"/>
    <col min="2" max="2" width="18.5703125" style="1" customWidth="1"/>
    <col min="3" max="7" width="9.140625" style="1" customWidth="1"/>
    <col min="8" max="8" width="3.5703125" style="1"/>
    <col min="9" max="10" width="3.5703125" style="1" hidden="1" customWidth="1"/>
    <col min="11" max="12" width="3.5703125" style="2" hidden="1" customWidth="1"/>
    <col min="13" max="17" width="3.5703125" style="1" hidden="1" customWidth="1"/>
    <col min="18" max="18" width="19.85546875" style="1" hidden="1" customWidth="1"/>
    <col min="19" max="19" width="15.5703125" style="1" hidden="1" customWidth="1"/>
    <col min="20" max="20" width="19.28515625" style="1" hidden="1" customWidth="1"/>
    <col min="21" max="21" width="22.85546875" style="1" hidden="1" customWidth="1"/>
    <col min="22" max="22" width="48.85546875" style="1" hidden="1" customWidth="1"/>
    <col min="23" max="23" width="11.28515625" style="1" customWidth="1"/>
    <col min="24" max="16384" width="3.5703125" style="1"/>
  </cols>
  <sheetData>
    <row r="1" spans="1:128" ht="12.75" customHeight="1" x14ac:dyDescent="0.2">
      <c r="A1" s="3"/>
      <c r="B1" s="4"/>
      <c r="C1" s="4"/>
      <c r="D1" s="4"/>
      <c r="E1" s="4"/>
      <c r="F1" s="4"/>
      <c r="G1" s="4"/>
      <c r="H1" s="5"/>
    </row>
    <row r="2" spans="1:128" s="11" customFormat="1" ht="12.75" customHeight="1" x14ac:dyDescent="0.2">
      <c r="A2" s="6" t="s">
        <v>0</v>
      </c>
      <c r="B2" s="7" t="str">
        <f>+ANAGR!$A$2</f>
        <v>724</v>
      </c>
      <c r="C2" s="8" t="str">
        <f>+ANAGR!B2</f>
        <v>ASST DI CREMONA</v>
      </c>
      <c r="D2" s="9"/>
      <c r="E2" s="9"/>
      <c r="F2" s="9"/>
      <c r="G2" s="9"/>
      <c r="H2" s="10"/>
      <c r="I2" s="1"/>
      <c r="J2" s="1"/>
      <c r="K2" s="2"/>
      <c r="L2" s="2"/>
      <c r="M2" s="1"/>
      <c r="N2" s="1"/>
      <c r="O2" s="1"/>
      <c r="P2" s="1"/>
      <c r="Q2" s="1"/>
      <c r="R2" s="11" t="s">
        <v>1</v>
      </c>
      <c r="S2" s="12">
        <f ca="1">SP!D159</f>
        <v>213910168</v>
      </c>
      <c r="T2" s="13" t="s">
        <v>2</v>
      </c>
      <c r="U2" s="14">
        <f>'NI-San_SP'!N790</f>
        <v>213910168</v>
      </c>
      <c r="V2" s="13">
        <f t="shared" ref="V2:V14" ca="1" si="0">U2-S2</f>
        <v>0</v>
      </c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</row>
    <row r="3" spans="1:128" ht="12.75" customHeight="1" x14ac:dyDescent="0.2">
      <c r="A3" s="6" t="s">
        <v>3</v>
      </c>
      <c r="B3" s="15" t="str">
        <f>+ANAGR!$C$2</f>
        <v>2020</v>
      </c>
      <c r="C3" s="16"/>
      <c r="D3" s="16"/>
      <c r="E3" s="16"/>
      <c r="F3" s="16"/>
      <c r="G3" s="16"/>
      <c r="H3" s="17"/>
      <c r="R3" s="11" t="s">
        <v>4</v>
      </c>
      <c r="S3" s="13">
        <f ca="1">SP!E159</f>
        <v>0</v>
      </c>
      <c r="T3" s="13" t="s">
        <v>5</v>
      </c>
      <c r="U3" s="13">
        <f>'NI-Ric_SP'!N790</f>
        <v>0</v>
      </c>
      <c r="V3" s="13">
        <f t="shared" ca="1" si="0"/>
        <v>0</v>
      </c>
    </row>
    <row r="4" spans="1:128" ht="12.75" customHeight="1" x14ac:dyDescent="0.2">
      <c r="A4" s="6"/>
      <c r="B4" s="16"/>
      <c r="C4" s="16"/>
      <c r="D4" s="16"/>
      <c r="E4" s="16"/>
      <c r="F4" s="16"/>
      <c r="G4" s="16"/>
      <c r="H4" s="17"/>
      <c r="R4" s="11" t="s">
        <v>6</v>
      </c>
      <c r="S4" s="13">
        <f ca="1">SP!F159</f>
        <v>0</v>
      </c>
      <c r="T4" s="13" t="s">
        <v>7</v>
      </c>
      <c r="U4" s="13">
        <f>'NI-Soc_SP'!N790</f>
        <v>0</v>
      </c>
      <c r="V4" s="13">
        <f t="shared" ca="1" si="0"/>
        <v>0</v>
      </c>
    </row>
    <row r="5" spans="1:128" ht="12.75" customHeight="1" x14ac:dyDescent="0.2">
      <c r="A5" s="6" t="s">
        <v>8</v>
      </c>
      <c r="B5" s="18" t="str">
        <f>+ANAGR!$D$2</f>
        <v>Consuntivo</v>
      </c>
      <c r="C5" s="16"/>
      <c r="D5" s="16"/>
      <c r="E5" s="16"/>
      <c r="F5" s="16"/>
      <c r="G5" s="16"/>
      <c r="H5" s="17"/>
      <c r="R5" s="11" t="s">
        <v>9</v>
      </c>
      <c r="S5" s="12">
        <f ca="1">SP!D96</f>
        <v>213910168</v>
      </c>
      <c r="T5" s="11" t="s">
        <v>10</v>
      </c>
      <c r="U5" s="14">
        <f>'NI-San_SP'!N10</f>
        <v>213910168</v>
      </c>
      <c r="V5" s="13">
        <f t="shared" ca="1" si="0"/>
        <v>0</v>
      </c>
    </row>
    <row r="6" spans="1:128" ht="12.75" customHeight="1" x14ac:dyDescent="0.2">
      <c r="A6" s="6"/>
      <c r="B6" s="16"/>
      <c r="C6" s="16"/>
      <c r="D6" s="16"/>
      <c r="E6" s="16"/>
      <c r="F6" s="16"/>
      <c r="G6" s="16"/>
      <c r="H6" s="17"/>
      <c r="R6" s="11" t="s">
        <v>11</v>
      </c>
      <c r="S6" s="19">
        <f ca="1">SP!E96</f>
        <v>0</v>
      </c>
      <c r="T6" s="19"/>
      <c r="U6" s="19">
        <f>'NI-Ric_SP'!N10</f>
        <v>0</v>
      </c>
      <c r="V6" s="13">
        <f t="shared" ca="1" si="0"/>
        <v>0</v>
      </c>
    </row>
    <row r="7" spans="1:128" ht="12.75" customHeight="1" x14ac:dyDescent="0.2">
      <c r="A7" s="6" t="s">
        <v>12</v>
      </c>
      <c r="B7" s="20" t="s">
        <v>13</v>
      </c>
      <c r="C7" s="16"/>
      <c r="D7" s="16"/>
      <c r="E7" s="16"/>
      <c r="F7" s="16"/>
      <c r="G7" s="16"/>
      <c r="H7" s="17"/>
      <c r="R7" s="11" t="s">
        <v>14</v>
      </c>
      <c r="S7" s="19">
        <f ca="1">SP!F96</f>
        <v>0</v>
      </c>
      <c r="T7" s="19"/>
      <c r="U7" s="19">
        <f>'NI-Soc_SP'!N10</f>
        <v>0</v>
      </c>
      <c r="V7" s="13">
        <f t="shared" ca="1" si="0"/>
        <v>0</v>
      </c>
    </row>
    <row r="8" spans="1:128" ht="12.75" customHeight="1" x14ac:dyDescent="0.2">
      <c r="A8" s="6" t="s">
        <v>15</v>
      </c>
      <c r="B8" s="21"/>
      <c r="C8" s="22" t="str">
        <f>+IF(B8=0,"  !! INSERIRE LA DATA RELATIVA AL BILANCIO !!","")</f>
        <v xml:space="preserve">  !! INSERIRE LA DATA RELATIVA AL BILANCIO !!</v>
      </c>
      <c r="D8" s="16"/>
      <c r="E8" s="16"/>
      <c r="F8" s="16"/>
      <c r="G8" s="16"/>
      <c r="H8" s="17"/>
      <c r="R8" s="11" t="s">
        <v>16</v>
      </c>
      <c r="S8" s="13">
        <f ca="1">SP!C159</f>
        <v>213910168</v>
      </c>
      <c r="T8" s="13" t="s">
        <v>17</v>
      </c>
      <c r="U8" s="13">
        <f>'NI-Tot_SP'!N790</f>
        <v>213910168</v>
      </c>
      <c r="V8" s="13">
        <f t="shared" ca="1" si="0"/>
        <v>0</v>
      </c>
    </row>
    <row r="9" spans="1:128" ht="12.75" customHeight="1" x14ac:dyDescent="0.2">
      <c r="A9" s="6"/>
      <c r="B9" s="16"/>
      <c r="C9" s="16"/>
      <c r="D9" s="16"/>
      <c r="E9" s="16"/>
      <c r="F9" s="16"/>
      <c r="G9" s="16"/>
      <c r="H9" s="17"/>
      <c r="R9" s="11" t="s">
        <v>18</v>
      </c>
      <c r="S9" s="23">
        <f ca="1">SP!H159</f>
        <v>232309840</v>
      </c>
      <c r="T9" s="13" t="s">
        <v>19</v>
      </c>
      <c r="U9" s="24">
        <f>'NI-San_SP'!O790</f>
        <v>232309840</v>
      </c>
      <c r="V9" s="13">
        <f t="shared" ca="1" si="0"/>
        <v>0</v>
      </c>
    </row>
    <row r="10" spans="1:128" ht="12.75" customHeight="1" x14ac:dyDescent="0.2">
      <c r="A10" s="6"/>
      <c r="B10" s="16"/>
      <c r="C10" s="16"/>
      <c r="D10" s="16"/>
      <c r="E10" s="16"/>
      <c r="F10" s="16"/>
      <c r="G10" s="16"/>
      <c r="H10" s="17"/>
      <c r="R10" s="11" t="s">
        <v>4</v>
      </c>
      <c r="S10" s="13">
        <f ca="1">SP!I159</f>
        <v>0</v>
      </c>
      <c r="T10" s="13" t="s">
        <v>20</v>
      </c>
      <c r="U10" s="13">
        <f>'NI-Ric_SP'!O790</f>
        <v>0</v>
      </c>
      <c r="V10" s="13">
        <f t="shared" ca="1" si="0"/>
        <v>0</v>
      </c>
    </row>
    <row r="11" spans="1:128" ht="44.25" customHeight="1" x14ac:dyDescent="0.2">
      <c r="A11" s="25"/>
      <c r="B11" s="26"/>
      <c r="C11" s="26"/>
      <c r="D11" s="26"/>
      <c r="E11" s="26"/>
      <c r="F11" s="26"/>
      <c r="G11" s="26"/>
      <c r="H11" s="27" t="s">
        <v>21</v>
      </c>
      <c r="R11" s="11" t="s">
        <v>22</v>
      </c>
      <c r="S11" s="23">
        <f ca="1">SP!H96</f>
        <v>232309840</v>
      </c>
      <c r="T11" s="13" t="s">
        <v>23</v>
      </c>
      <c r="U11" s="24">
        <f>'NI-San_SP'!O10</f>
        <v>232309840</v>
      </c>
      <c r="V11" s="13">
        <f t="shared" ca="1" si="0"/>
        <v>0</v>
      </c>
      <c r="W11" s="28"/>
    </row>
    <row r="12" spans="1:128" ht="44.25" customHeight="1" x14ac:dyDescent="0.2">
      <c r="K12" s="2">
        <v>311</v>
      </c>
      <c r="L12" s="2" t="s">
        <v>24</v>
      </c>
      <c r="R12" s="11" t="s">
        <v>25</v>
      </c>
      <c r="S12" s="19">
        <f ca="1">SP!I96</f>
        <v>0</v>
      </c>
      <c r="U12" s="13">
        <f>'NI-Ric_SP'!O10</f>
        <v>0</v>
      </c>
      <c r="V12" s="13">
        <f t="shared" ca="1" si="0"/>
        <v>0</v>
      </c>
    </row>
    <row r="13" spans="1:128" ht="44.25" customHeight="1" x14ac:dyDescent="0.2">
      <c r="K13" s="2">
        <v>312</v>
      </c>
      <c r="L13" s="2" t="s">
        <v>26</v>
      </c>
      <c r="R13" s="1" t="s">
        <v>27</v>
      </c>
      <c r="S13" s="29">
        <f ca="1">'SPMin-Attivo'!AC209</f>
        <v>232309840</v>
      </c>
      <c r="T13" s="1" t="s">
        <v>28</v>
      </c>
      <c r="U13" s="28">
        <f>U11+U12</f>
        <v>232309840</v>
      </c>
      <c r="V13" s="13">
        <f t="shared" ca="1" si="0"/>
        <v>0</v>
      </c>
    </row>
    <row r="14" spans="1:128" ht="44.25" customHeight="1" x14ac:dyDescent="0.2">
      <c r="K14" s="2">
        <v>313</v>
      </c>
      <c r="L14" s="2" t="s">
        <v>29</v>
      </c>
      <c r="R14" s="1" t="s">
        <v>30</v>
      </c>
      <c r="S14" s="29">
        <f ca="1">'SPMin-Passivo'!AC158</f>
        <v>232309840</v>
      </c>
      <c r="U14" s="28">
        <f>U9+U10</f>
        <v>232309840</v>
      </c>
      <c r="V14" s="13">
        <f t="shared" ca="1" si="0"/>
        <v>0</v>
      </c>
    </row>
    <row r="15" spans="1:128" ht="44.25" customHeight="1" x14ac:dyDescent="0.2">
      <c r="K15" s="2">
        <v>314</v>
      </c>
      <c r="L15" s="2" t="s">
        <v>31</v>
      </c>
    </row>
    <row r="16" spans="1:128" ht="44.25" customHeight="1" x14ac:dyDescent="0.2">
      <c r="K16" s="2">
        <v>315</v>
      </c>
      <c r="L16" s="2" t="s">
        <v>32</v>
      </c>
    </row>
    <row r="17" spans="11:12" ht="44.25" customHeight="1" x14ac:dyDescent="0.2">
      <c r="K17" s="2">
        <v>951</v>
      </c>
      <c r="L17" s="2" t="s">
        <v>33</v>
      </c>
    </row>
    <row r="18" spans="11:12" ht="44.25" customHeight="1" x14ac:dyDescent="0.2">
      <c r="K18" s="2">
        <v>952</v>
      </c>
      <c r="L18" s="2" t="s">
        <v>34</v>
      </c>
    </row>
    <row r="19" spans="11:12" ht="44.25" customHeight="1" x14ac:dyDescent="0.2">
      <c r="K19" s="2">
        <v>953</v>
      </c>
      <c r="L19" s="2" t="s">
        <v>35</v>
      </c>
    </row>
    <row r="20" spans="11:12" ht="44.25" customHeight="1" x14ac:dyDescent="0.2">
      <c r="K20" s="2">
        <v>954</v>
      </c>
      <c r="L20" s="2" t="s">
        <v>36</v>
      </c>
    </row>
    <row r="21" spans="11:12" ht="44.25" customHeight="1" x14ac:dyDescent="0.2">
      <c r="K21" s="2">
        <v>955</v>
      </c>
      <c r="L21" s="2" t="s">
        <v>37</v>
      </c>
    </row>
    <row r="22" spans="11:12" ht="44.25" customHeight="1" x14ac:dyDescent="0.2">
      <c r="K22" s="2">
        <v>956</v>
      </c>
      <c r="L22" s="2" t="s">
        <v>38</v>
      </c>
    </row>
    <row r="23" spans="11:12" ht="44.25" customHeight="1" x14ac:dyDescent="0.2">
      <c r="K23" s="2">
        <v>957</v>
      </c>
      <c r="L23" s="2" t="s">
        <v>39</v>
      </c>
    </row>
    <row r="24" spans="11:12" ht="44.25" customHeight="1" x14ac:dyDescent="0.2">
      <c r="K24" s="2">
        <v>958</v>
      </c>
      <c r="L24" s="2" t="s">
        <v>40</v>
      </c>
    </row>
    <row r="25" spans="11:12" ht="44.25" customHeight="1" x14ac:dyDescent="0.2">
      <c r="K25" s="2">
        <v>959</v>
      </c>
      <c r="L25" s="2" t="s">
        <v>41</v>
      </c>
    </row>
    <row r="26" spans="11:12" ht="44.25" customHeight="1" x14ac:dyDescent="0.2">
      <c r="K26" s="2">
        <v>960</v>
      </c>
      <c r="L26" s="2" t="s">
        <v>42</v>
      </c>
    </row>
    <row r="27" spans="11:12" ht="44.25" customHeight="1" x14ac:dyDescent="0.2">
      <c r="K27" s="2">
        <v>962</v>
      </c>
      <c r="L27" s="2" t="s">
        <v>43</v>
      </c>
    </row>
    <row r="28" spans="11:12" ht="44.25" customHeight="1" x14ac:dyDescent="0.2">
      <c r="K28" s="2">
        <v>963</v>
      </c>
      <c r="L28" s="2" t="s">
        <v>44</v>
      </c>
    </row>
    <row r="29" spans="11:12" ht="44.25" customHeight="1" x14ac:dyDescent="0.2">
      <c r="K29" s="2">
        <v>964</v>
      </c>
      <c r="L29" s="2" t="s">
        <v>45</v>
      </c>
    </row>
    <row r="30" spans="11:12" ht="44.25" customHeight="1" x14ac:dyDescent="0.2">
      <c r="K30" s="2">
        <v>965</v>
      </c>
      <c r="L30" s="2" t="s">
        <v>46</v>
      </c>
    </row>
    <row r="31" spans="11:12" ht="44.25" customHeight="1" x14ac:dyDescent="0.2">
      <c r="K31" s="2">
        <v>966</v>
      </c>
      <c r="L31" s="2" t="s">
        <v>47</v>
      </c>
    </row>
    <row r="32" spans="11:12" ht="44.25" customHeight="1" x14ac:dyDescent="0.2">
      <c r="K32" s="2">
        <v>967</v>
      </c>
      <c r="L32" s="2" t="s">
        <v>48</v>
      </c>
    </row>
    <row r="33" spans="11:12" ht="44.25" customHeight="1" x14ac:dyDescent="0.2">
      <c r="K33" s="2">
        <v>968</v>
      </c>
      <c r="L33" s="2" t="s">
        <v>49</v>
      </c>
    </row>
    <row r="34" spans="11:12" ht="44.25" customHeight="1" x14ac:dyDescent="0.2">
      <c r="K34" s="2">
        <v>969</v>
      </c>
      <c r="L34" s="2" t="s">
        <v>50</v>
      </c>
    </row>
    <row r="35" spans="11:12" ht="44.25" customHeight="1" x14ac:dyDescent="0.2">
      <c r="K35" s="2">
        <v>970</v>
      </c>
      <c r="L35" s="2" t="s">
        <v>51</v>
      </c>
    </row>
    <row r="36" spans="11:12" ht="44.25" customHeight="1" x14ac:dyDescent="0.2">
      <c r="K36" s="2">
        <v>971</v>
      </c>
      <c r="L36" s="2" t="s">
        <v>52</v>
      </c>
    </row>
    <row r="37" spans="11:12" ht="44.25" customHeight="1" x14ac:dyDescent="0.2">
      <c r="K37" s="2">
        <v>972</v>
      </c>
      <c r="L37" s="2" t="s">
        <v>53</v>
      </c>
    </row>
    <row r="38" spans="11:12" ht="44.25" customHeight="1" x14ac:dyDescent="0.2">
      <c r="K38" s="2">
        <v>973</v>
      </c>
      <c r="L38" s="2" t="s">
        <v>54</v>
      </c>
    </row>
    <row r="39" spans="11:12" ht="44.25" customHeight="1" x14ac:dyDescent="0.2">
      <c r="K39" s="2">
        <v>974</v>
      </c>
      <c r="L39" s="2" t="s">
        <v>55</v>
      </c>
    </row>
    <row r="40" spans="11:12" ht="44.25" customHeight="1" x14ac:dyDescent="0.2">
      <c r="K40" s="2">
        <v>975</v>
      </c>
      <c r="L40" s="2" t="s">
        <v>56</v>
      </c>
    </row>
    <row r="41" spans="11:12" ht="44.25" customHeight="1" x14ac:dyDescent="0.2">
      <c r="K41" s="2">
        <v>976</v>
      </c>
      <c r="L41" s="2" t="s">
        <v>57</v>
      </c>
    </row>
    <row r="42" spans="11:12" ht="44.25" customHeight="1" x14ac:dyDescent="0.2">
      <c r="K42" s="2">
        <v>977</v>
      </c>
      <c r="L42" s="2" t="s">
        <v>58</v>
      </c>
    </row>
    <row r="43" spans="11:12" ht="44.25" customHeight="1" x14ac:dyDescent="0.2">
      <c r="K43" s="2">
        <v>978</v>
      </c>
      <c r="L43" s="2" t="s">
        <v>59</v>
      </c>
    </row>
    <row r="44" spans="11:12" ht="44.25" customHeight="1" x14ac:dyDescent="0.2">
      <c r="K44" s="2">
        <v>979</v>
      </c>
      <c r="L44" s="2" t="s">
        <v>60</v>
      </c>
    </row>
    <row r="45" spans="11:12" ht="44.25" customHeight="1" x14ac:dyDescent="0.2">
      <c r="K45" s="2">
        <v>980</v>
      </c>
      <c r="L45" s="2" t="s">
        <v>61</v>
      </c>
    </row>
    <row r="46" spans="11:12" ht="44.25" customHeight="1" x14ac:dyDescent="0.2">
      <c r="K46" s="2">
        <v>920</v>
      </c>
      <c r="L46" s="2" t="s">
        <v>62</v>
      </c>
    </row>
    <row r="47" spans="11:12" ht="44.25" customHeight="1" x14ac:dyDescent="0.2">
      <c r="K47" s="2">
        <v>922</v>
      </c>
      <c r="L47" s="2" t="s">
        <v>63</v>
      </c>
    </row>
    <row r="48" spans="11:12" ht="44.25" customHeight="1" x14ac:dyDescent="0.2">
      <c r="K48" s="2">
        <v>923</v>
      </c>
      <c r="L48" s="2" t="s">
        <v>64</v>
      </c>
    </row>
    <row r="49" spans="11:12" ht="44.25" customHeight="1" x14ac:dyDescent="0.2">
      <c r="K49" s="2">
        <v>924</v>
      </c>
      <c r="L49" s="2" t="s">
        <v>65</v>
      </c>
    </row>
    <row r="50" spans="11:12" ht="44.25" customHeight="1" x14ac:dyDescent="0.2">
      <c r="K50" s="2">
        <v>925</v>
      </c>
      <c r="L50" s="2" t="s">
        <v>66</v>
      </c>
    </row>
    <row r="51" spans="11:12" ht="44.25" customHeight="1" x14ac:dyDescent="0.2">
      <c r="K51" s="2">
        <v>991</v>
      </c>
      <c r="L51" s="2" t="s">
        <v>67</v>
      </c>
    </row>
    <row r="52" spans="11:12" ht="44.25" customHeight="1" x14ac:dyDescent="0.2">
      <c r="K52" s="2" t="s">
        <v>68</v>
      </c>
      <c r="L52" s="2" t="s">
        <v>69</v>
      </c>
    </row>
  </sheetData>
  <sheetProtection password="9E7F" sheet="1" objects="1" scenarios="1"/>
  <dataValidations count="3">
    <dataValidation allowBlank="1" showErrorMessage="1" sqref="B8">
      <formula1>0</formula1>
      <formula2>0</formula2>
    </dataValidation>
    <dataValidation allowBlank="1" showErrorMessage="1" errorTitle="ERRORE - FORMATO NON VALIDO!!" error="IL FORMATO DEL CODICE AZIENDA DEVE ESSERE IL SEGUENTE: ES. 301,951,..." prompt="INSERIRE IL CODICE AZIENDA" sqref="B2">
      <formula1>0</formula1>
      <formula2>0</formula2>
    </dataValidation>
    <dataValidation type="list" allowBlank="1" showErrorMessage="1" sqref="B7">
      <formula1>VERSIONI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88"/>
  <sheetViews>
    <sheetView showGridLines="0" topLeftCell="B1" workbookViewId="0">
      <selection activeCell="B1" sqref="B1"/>
    </sheetView>
  </sheetViews>
  <sheetFormatPr defaultColWidth="8.42578125" defaultRowHeight="15" x14ac:dyDescent="0.25"/>
  <cols>
    <col min="1" max="1" width="19.42578125" style="551" hidden="1" customWidth="1"/>
    <col min="2" max="3" width="23.42578125" style="551" customWidth="1"/>
    <col min="4" max="4" width="36.42578125" style="551" customWidth="1"/>
    <col min="5" max="5" width="15" style="551" customWidth="1"/>
    <col min="6" max="6" width="13.5703125" style="551" customWidth="1"/>
    <col min="7" max="7" width="13" style="551" customWidth="1"/>
    <col min="8" max="8" width="18.140625" style="551" customWidth="1"/>
    <col min="9" max="9" width="18.28515625" style="551" customWidth="1"/>
    <col min="10" max="10" width="20" style="551" customWidth="1"/>
    <col min="11" max="14" width="18.7109375" style="551" customWidth="1"/>
    <col min="15" max="15" width="15.28515625" style="551" customWidth="1"/>
    <col min="16" max="16" width="17.140625" style="551" customWidth="1"/>
    <col min="17" max="17" width="20.140625" style="551" customWidth="1"/>
    <col min="18" max="18" width="20.85546875" style="551" customWidth="1"/>
    <col min="19" max="28" width="8.42578125" style="551"/>
    <col min="29" max="29" width="19.28515625" style="551" hidden="1" customWidth="1"/>
    <col min="30" max="30" width="6.28515625" style="551" hidden="1" customWidth="1"/>
    <col min="31" max="31" width="7.28515625" style="551" hidden="1" customWidth="1"/>
    <col min="32" max="32" width="2" style="551" hidden="1" customWidth="1"/>
    <col min="33" max="16384" width="8.42578125" style="551"/>
  </cols>
  <sheetData>
    <row r="1" spans="1:32" ht="15.75" x14ac:dyDescent="0.25">
      <c r="A1" s="551" t="s">
        <v>0</v>
      </c>
      <c r="D1" s="912" t="s">
        <v>4395</v>
      </c>
      <c r="E1" s="912"/>
      <c r="F1" s="912"/>
    </row>
    <row r="3" spans="1:32" x14ac:dyDescent="0.25">
      <c r="A3" s="551" t="str">
        <f>+Info!$B$2</f>
        <v>724</v>
      </c>
      <c r="B3" s="552" t="s">
        <v>123</v>
      </c>
      <c r="C3" s="552" t="s">
        <v>124</v>
      </c>
      <c r="D3" s="552" t="s">
        <v>4204</v>
      </c>
      <c r="AC3" s="551" t="str">
        <f>C3</f>
        <v>1.10.10.10.010.000.00.000</v>
      </c>
      <c r="AD3" s="553">
        <f>G27</f>
        <v>0</v>
      </c>
      <c r="AE3" s="553">
        <f>H27</f>
        <v>0</v>
      </c>
      <c r="AF3" s="551">
        <f>IF($AD3=$AE3,0,1)</f>
        <v>0</v>
      </c>
    </row>
    <row r="4" spans="1:32" s="557" customFormat="1" ht="24.75" customHeight="1" x14ac:dyDescent="0.25">
      <c r="A4" s="551" t="str">
        <f>+Info!$B$2</f>
        <v>724</v>
      </c>
      <c r="B4" s="551"/>
      <c r="C4" s="551"/>
      <c r="D4" s="554" t="s">
        <v>4205</v>
      </c>
      <c r="E4" s="933" t="s">
        <v>4206</v>
      </c>
      <c r="F4" s="933"/>
      <c r="G4" s="933"/>
      <c r="H4" s="934" t="s">
        <v>4207</v>
      </c>
      <c r="I4" s="934"/>
      <c r="J4" s="934"/>
      <c r="K4" s="556"/>
      <c r="L4" s="556"/>
    </row>
    <row r="5" spans="1:32" s="557" customFormat="1" ht="24.75" customHeight="1" x14ac:dyDescent="0.25">
      <c r="A5" s="551" t="str">
        <f>+Info!$B$2</f>
        <v>724</v>
      </c>
      <c r="B5" s="551"/>
      <c r="C5" s="551"/>
      <c r="D5" s="558" t="s">
        <v>4208</v>
      </c>
      <c r="E5" s="555" t="s">
        <v>4209</v>
      </c>
      <c r="F5" s="555" t="s">
        <v>4210</v>
      </c>
      <c r="G5" s="555" t="s">
        <v>4211</v>
      </c>
      <c r="H5" s="555" t="s">
        <v>4212</v>
      </c>
      <c r="I5" s="934" t="s">
        <v>4213</v>
      </c>
      <c r="J5" s="934"/>
      <c r="K5" s="556"/>
      <c r="L5" s="556"/>
    </row>
    <row r="6" spans="1:32" s="557" customFormat="1" x14ac:dyDescent="0.25">
      <c r="A6" s="551" t="str">
        <f>+Info!$B$2</f>
        <v>724</v>
      </c>
      <c r="B6" s="559" t="s">
        <v>123</v>
      </c>
      <c r="C6" s="559" t="str">
        <f t="shared" ref="C6:C26" si="0">$C$3</f>
        <v>1.10.10.10.010.000.00.000</v>
      </c>
      <c r="D6" s="560"/>
      <c r="E6" s="561"/>
      <c r="F6" s="561"/>
      <c r="G6" s="562">
        <f t="shared" ref="G6:G26" si="1">+E6+F6</f>
        <v>0</v>
      </c>
      <c r="H6" s="563"/>
      <c r="I6" s="931"/>
      <c r="J6" s="931"/>
      <c r="K6" s="565"/>
      <c r="L6" s="565"/>
    </row>
    <row r="7" spans="1:32" s="557" customFormat="1" x14ac:dyDescent="0.25">
      <c r="A7" s="551" t="str">
        <f>+Info!$B$2</f>
        <v>724</v>
      </c>
      <c r="B7" s="559" t="s">
        <v>123</v>
      </c>
      <c r="C7" s="559" t="str">
        <f t="shared" si="0"/>
        <v>1.10.10.10.010.000.00.000</v>
      </c>
      <c r="D7" s="566"/>
      <c r="E7" s="561"/>
      <c r="F7" s="561"/>
      <c r="G7" s="562">
        <f t="shared" si="1"/>
        <v>0</v>
      </c>
      <c r="H7" s="563"/>
      <c r="I7" s="931"/>
      <c r="J7" s="931"/>
      <c r="K7" s="565"/>
      <c r="L7" s="565"/>
    </row>
    <row r="8" spans="1:32" s="557" customFormat="1" x14ac:dyDescent="0.25">
      <c r="A8" s="551" t="str">
        <f>+Info!$B$2</f>
        <v>724</v>
      </c>
      <c r="B8" s="559" t="s">
        <v>123</v>
      </c>
      <c r="C8" s="559" t="str">
        <f t="shared" si="0"/>
        <v>1.10.10.10.010.000.00.000</v>
      </c>
      <c r="D8" s="566"/>
      <c r="E8" s="561"/>
      <c r="F8" s="561"/>
      <c r="G8" s="562">
        <f t="shared" si="1"/>
        <v>0</v>
      </c>
      <c r="H8" s="563"/>
      <c r="I8" s="931"/>
      <c r="J8" s="931"/>
      <c r="K8" s="565"/>
      <c r="L8" s="565"/>
    </row>
    <row r="9" spans="1:32" s="557" customFormat="1" x14ac:dyDescent="0.25">
      <c r="A9" s="551" t="str">
        <f>+Info!$B$2</f>
        <v>724</v>
      </c>
      <c r="B9" s="559" t="s">
        <v>123</v>
      </c>
      <c r="C9" s="559" t="str">
        <f t="shared" si="0"/>
        <v>1.10.10.10.010.000.00.000</v>
      </c>
      <c r="D9" s="566"/>
      <c r="E9" s="561"/>
      <c r="F9" s="561"/>
      <c r="G9" s="562">
        <f t="shared" si="1"/>
        <v>0</v>
      </c>
      <c r="H9" s="563"/>
      <c r="I9" s="931"/>
      <c r="J9" s="931"/>
      <c r="K9" s="565"/>
      <c r="L9" s="565"/>
    </row>
    <row r="10" spans="1:32" s="557" customFormat="1" x14ac:dyDescent="0.25">
      <c r="A10" s="551" t="str">
        <f>+Info!$B$2</f>
        <v>724</v>
      </c>
      <c r="B10" s="559" t="s">
        <v>123</v>
      </c>
      <c r="C10" s="559" t="str">
        <f t="shared" si="0"/>
        <v>1.10.10.10.010.000.00.000</v>
      </c>
      <c r="D10" s="566"/>
      <c r="E10" s="561"/>
      <c r="F10" s="561"/>
      <c r="G10" s="562">
        <f t="shared" si="1"/>
        <v>0</v>
      </c>
      <c r="H10" s="563"/>
      <c r="I10" s="931"/>
      <c r="J10" s="931"/>
      <c r="K10" s="565"/>
      <c r="L10" s="565"/>
    </row>
    <row r="11" spans="1:32" s="557" customFormat="1" x14ac:dyDescent="0.25">
      <c r="A11" s="551" t="str">
        <f>+Info!$B$2</f>
        <v>724</v>
      </c>
      <c r="B11" s="559" t="s">
        <v>123</v>
      </c>
      <c r="C11" s="559" t="str">
        <f t="shared" si="0"/>
        <v>1.10.10.10.010.000.00.000</v>
      </c>
      <c r="D11" s="566"/>
      <c r="E11" s="561"/>
      <c r="F11" s="561"/>
      <c r="G11" s="562">
        <f t="shared" si="1"/>
        <v>0</v>
      </c>
      <c r="H11" s="563"/>
      <c r="I11" s="931"/>
      <c r="J11" s="931"/>
      <c r="K11" s="565"/>
      <c r="L11" s="565"/>
    </row>
    <row r="12" spans="1:32" s="557" customFormat="1" x14ac:dyDescent="0.25">
      <c r="A12" s="551" t="str">
        <f>+Info!$B$2</f>
        <v>724</v>
      </c>
      <c r="B12" s="559" t="s">
        <v>123</v>
      </c>
      <c r="C12" s="559" t="str">
        <f t="shared" si="0"/>
        <v>1.10.10.10.010.000.00.000</v>
      </c>
      <c r="D12" s="566"/>
      <c r="E12" s="561"/>
      <c r="F12" s="561"/>
      <c r="G12" s="562">
        <f t="shared" si="1"/>
        <v>0</v>
      </c>
      <c r="H12" s="563"/>
      <c r="I12" s="931"/>
      <c r="J12" s="931"/>
      <c r="K12" s="565"/>
      <c r="L12" s="565"/>
    </row>
    <row r="13" spans="1:32" s="557" customFormat="1" x14ac:dyDescent="0.25">
      <c r="A13" s="551" t="str">
        <f>+Info!$B$2</f>
        <v>724</v>
      </c>
      <c r="B13" s="559" t="s">
        <v>123</v>
      </c>
      <c r="C13" s="559" t="str">
        <f t="shared" si="0"/>
        <v>1.10.10.10.010.000.00.000</v>
      </c>
      <c r="D13" s="566"/>
      <c r="E13" s="561"/>
      <c r="F13" s="561"/>
      <c r="G13" s="562">
        <f t="shared" si="1"/>
        <v>0</v>
      </c>
      <c r="H13" s="563"/>
      <c r="I13" s="931"/>
      <c r="J13" s="931"/>
      <c r="K13" s="565"/>
      <c r="L13" s="565"/>
    </row>
    <row r="14" spans="1:32" s="557" customFormat="1" x14ac:dyDescent="0.25">
      <c r="A14" s="551" t="str">
        <f>+Info!$B$2</f>
        <v>724</v>
      </c>
      <c r="B14" s="559" t="s">
        <v>123</v>
      </c>
      <c r="C14" s="559" t="str">
        <f t="shared" si="0"/>
        <v>1.10.10.10.010.000.00.000</v>
      </c>
      <c r="D14" s="566"/>
      <c r="E14" s="561"/>
      <c r="F14" s="561"/>
      <c r="G14" s="562">
        <f t="shared" si="1"/>
        <v>0</v>
      </c>
      <c r="H14" s="563"/>
      <c r="I14" s="931"/>
      <c r="J14" s="931"/>
      <c r="K14" s="565"/>
      <c r="L14" s="565"/>
    </row>
    <row r="15" spans="1:32" s="557" customFormat="1" x14ac:dyDescent="0.25">
      <c r="A15" s="551" t="str">
        <f>+Info!$B$2</f>
        <v>724</v>
      </c>
      <c r="B15" s="559" t="s">
        <v>123</v>
      </c>
      <c r="C15" s="559" t="str">
        <f t="shared" si="0"/>
        <v>1.10.10.10.010.000.00.000</v>
      </c>
      <c r="D15" s="566"/>
      <c r="E15" s="561"/>
      <c r="F15" s="561"/>
      <c r="G15" s="562">
        <f t="shared" si="1"/>
        <v>0</v>
      </c>
      <c r="H15" s="563"/>
      <c r="I15" s="931"/>
      <c r="J15" s="931"/>
      <c r="K15" s="565"/>
      <c r="L15" s="565"/>
    </row>
    <row r="16" spans="1:32" s="557" customFormat="1" x14ac:dyDescent="0.25">
      <c r="A16" s="551" t="str">
        <f>+Info!$B$2</f>
        <v>724</v>
      </c>
      <c r="B16" s="559" t="s">
        <v>123</v>
      </c>
      <c r="C16" s="559" t="str">
        <f t="shared" si="0"/>
        <v>1.10.10.10.010.000.00.000</v>
      </c>
      <c r="D16" s="566"/>
      <c r="E16" s="561"/>
      <c r="F16" s="561"/>
      <c r="G16" s="562">
        <f t="shared" si="1"/>
        <v>0</v>
      </c>
      <c r="H16" s="563"/>
      <c r="I16" s="931"/>
      <c r="J16" s="931"/>
      <c r="K16" s="565"/>
      <c r="L16" s="565"/>
    </row>
    <row r="17" spans="1:32" s="557" customFormat="1" x14ac:dyDescent="0.25">
      <c r="A17" s="551" t="str">
        <f>+Info!$B$2</f>
        <v>724</v>
      </c>
      <c r="B17" s="559" t="s">
        <v>123</v>
      </c>
      <c r="C17" s="559" t="str">
        <f t="shared" si="0"/>
        <v>1.10.10.10.010.000.00.000</v>
      </c>
      <c r="D17" s="566"/>
      <c r="E17" s="561"/>
      <c r="F17" s="561"/>
      <c r="G17" s="562">
        <f t="shared" si="1"/>
        <v>0</v>
      </c>
      <c r="H17" s="563"/>
      <c r="I17" s="931"/>
      <c r="J17" s="931"/>
      <c r="K17" s="565"/>
      <c r="L17" s="565"/>
    </row>
    <row r="18" spans="1:32" s="557" customFormat="1" x14ac:dyDescent="0.25">
      <c r="A18" s="551" t="str">
        <f>+Info!$B$2</f>
        <v>724</v>
      </c>
      <c r="B18" s="559" t="s">
        <v>123</v>
      </c>
      <c r="C18" s="559" t="str">
        <f t="shared" si="0"/>
        <v>1.10.10.10.010.000.00.000</v>
      </c>
      <c r="D18" s="566"/>
      <c r="E18" s="561"/>
      <c r="F18" s="561"/>
      <c r="G18" s="562">
        <f t="shared" si="1"/>
        <v>0</v>
      </c>
      <c r="H18" s="563"/>
      <c r="I18" s="931"/>
      <c r="J18" s="931"/>
      <c r="K18" s="565"/>
      <c r="L18" s="565"/>
    </row>
    <row r="19" spans="1:32" s="557" customFormat="1" x14ac:dyDescent="0.25">
      <c r="A19" s="551" t="str">
        <f>+Info!$B$2</f>
        <v>724</v>
      </c>
      <c r="B19" s="559" t="s">
        <v>123</v>
      </c>
      <c r="C19" s="559" t="str">
        <f t="shared" si="0"/>
        <v>1.10.10.10.010.000.00.000</v>
      </c>
      <c r="D19" s="566"/>
      <c r="E19" s="561"/>
      <c r="F19" s="561"/>
      <c r="G19" s="562">
        <f t="shared" si="1"/>
        <v>0</v>
      </c>
      <c r="H19" s="563"/>
      <c r="I19" s="931"/>
      <c r="J19" s="931"/>
      <c r="K19" s="565"/>
      <c r="L19" s="565"/>
    </row>
    <row r="20" spans="1:32" s="557" customFormat="1" x14ac:dyDescent="0.25">
      <c r="A20" s="551" t="str">
        <f>+Info!$B$2</f>
        <v>724</v>
      </c>
      <c r="B20" s="559" t="s">
        <v>123</v>
      </c>
      <c r="C20" s="559" t="str">
        <f t="shared" si="0"/>
        <v>1.10.10.10.010.000.00.000</v>
      </c>
      <c r="D20" s="566"/>
      <c r="E20" s="561"/>
      <c r="F20" s="561"/>
      <c r="G20" s="562">
        <f t="shared" si="1"/>
        <v>0</v>
      </c>
      <c r="H20" s="563"/>
      <c r="I20" s="931"/>
      <c r="J20" s="931"/>
      <c r="K20" s="565"/>
      <c r="L20" s="565"/>
    </row>
    <row r="21" spans="1:32" s="557" customFormat="1" x14ac:dyDescent="0.25">
      <c r="A21" s="551" t="str">
        <f>+Info!$B$2</f>
        <v>724</v>
      </c>
      <c r="B21" s="559" t="s">
        <v>123</v>
      </c>
      <c r="C21" s="559" t="str">
        <f t="shared" si="0"/>
        <v>1.10.10.10.010.000.00.000</v>
      </c>
      <c r="D21" s="566"/>
      <c r="E21" s="561"/>
      <c r="F21" s="561"/>
      <c r="G21" s="562">
        <f t="shared" si="1"/>
        <v>0</v>
      </c>
      <c r="H21" s="563"/>
      <c r="I21" s="931"/>
      <c r="J21" s="931"/>
      <c r="K21" s="565"/>
      <c r="L21" s="565"/>
    </row>
    <row r="22" spans="1:32" s="557" customFormat="1" x14ac:dyDescent="0.25">
      <c r="A22" s="551" t="str">
        <f>+Info!$B$2</f>
        <v>724</v>
      </c>
      <c r="B22" s="559" t="s">
        <v>123</v>
      </c>
      <c r="C22" s="559" t="str">
        <f t="shared" si="0"/>
        <v>1.10.10.10.010.000.00.000</v>
      </c>
      <c r="D22" s="566"/>
      <c r="E22" s="561"/>
      <c r="F22" s="561"/>
      <c r="G22" s="562">
        <f t="shared" si="1"/>
        <v>0</v>
      </c>
      <c r="H22" s="563"/>
      <c r="I22" s="931"/>
      <c r="J22" s="931"/>
      <c r="K22" s="565"/>
      <c r="L22" s="565"/>
    </row>
    <row r="23" spans="1:32" s="557" customFormat="1" x14ac:dyDescent="0.25">
      <c r="A23" s="551" t="str">
        <f>+Info!$B$2</f>
        <v>724</v>
      </c>
      <c r="B23" s="559" t="s">
        <v>123</v>
      </c>
      <c r="C23" s="559" t="str">
        <f t="shared" si="0"/>
        <v>1.10.10.10.010.000.00.000</v>
      </c>
      <c r="D23" s="566"/>
      <c r="E23" s="561"/>
      <c r="F23" s="561"/>
      <c r="G23" s="562">
        <f t="shared" si="1"/>
        <v>0</v>
      </c>
      <c r="H23" s="563"/>
      <c r="I23" s="931"/>
      <c r="J23" s="931"/>
      <c r="K23" s="565"/>
      <c r="L23" s="565"/>
    </row>
    <row r="24" spans="1:32" s="557" customFormat="1" x14ac:dyDescent="0.25">
      <c r="A24" s="551" t="str">
        <f>+Info!$B$2</f>
        <v>724</v>
      </c>
      <c r="B24" s="559" t="s">
        <v>123</v>
      </c>
      <c r="C24" s="559" t="str">
        <f t="shared" si="0"/>
        <v>1.10.10.10.010.000.00.000</v>
      </c>
      <c r="D24" s="566"/>
      <c r="E24" s="561"/>
      <c r="F24" s="561"/>
      <c r="G24" s="562">
        <f t="shared" si="1"/>
        <v>0</v>
      </c>
      <c r="H24" s="563"/>
      <c r="I24" s="931"/>
      <c r="J24" s="931"/>
      <c r="K24" s="565"/>
      <c r="L24" s="565"/>
    </row>
    <row r="25" spans="1:32" s="557" customFormat="1" x14ac:dyDescent="0.25">
      <c r="A25" s="551" t="str">
        <f>+Info!$B$2</f>
        <v>724</v>
      </c>
      <c r="B25" s="559" t="s">
        <v>123</v>
      </c>
      <c r="C25" s="559" t="str">
        <f t="shared" si="0"/>
        <v>1.10.10.10.010.000.00.000</v>
      </c>
      <c r="D25" s="566"/>
      <c r="E25" s="561"/>
      <c r="F25" s="561"/>
      <c r="G25" s="562">
        <f t="shared" si="1"/>
        <v>0</v>
      </c>
      <c r="H25" s="563"/>
      <c r="I25" s="931"/>
      <c r="J25" s="931"/>
      <c r="K25" s="565"/>
      <c r="L25" s="565"/>
    </row>
    <row r="26" spans="1:32" s="557" customFormat="1" x14ac:dyDescent="0.25">
      <c r="A26" s="551" t="str">
        <f>+Info!$B$2</f>
        <v>724</v>
      </c>
      <c r="B26" s="559" t="s">
        <v>123</v>
      </c>
      <c r="C26" s="559" t="str">
        <f t="shared" si="0"/>
        <v>1.10.10.10.010.000.00.000</v>
      </c>
      <c r="D26" s="566"/>
      <c r="E26" s="561"/>
      <c r="F26" s="561"/>
      <c r="G26" s="562">
        <f t="shared" si="1"/>
        <v>0</v>
      </c>
      <c r="H26" s="563"/>
      <c r="I26" s="931"/>
      <c r="J26" s="931"/>
      <c r="K26" s="565"/>
      <c r="L26" s="565"/>
    </row>
    <row r="27" spans="1:32" s="557" customFormat="1" x14ac:dyDescent="0.25">
      <c r="A27" s="551" t="str">
        <f>+Info!$B$2</f>
        <v>724</v>
      </c>
      <c r="B27" s="551"/>
      <c r="C27" s="551"/>
      <c r="D27" s="565"/>
      <c r="E27" s="567">
        <f>SUM(E6:E26)</f>
        <v>0</v>
      </c>
      <c r="F27" s="567">
        <f>SUM(F6:F26)</f>
        <v>0</v>
      </c>
      <c r="G27" s="568">
        <f>SUM(G6:G26)</f>
        <v>0</v>
      </c>
      <c r="H27" s="569">
        <f>SUMIF('NI-Ric_SP'!$C:$C,$C$3,'NI-Ric_SP'!$O:$O)</f>
        <v>0</v>
      </c>
      <c r="I27" s="928" t="str">
        <f>IF(G27=H27,"Quadratura OK!","Squadratura con valori di Bilancio")</f>
        <v>Quadratura OK!</v>
      </c>
      <c r="J27" s="928"/>
      <c r="K27" s="565"/>
      <c r="L27" s="565"/>
    </row>
    <row r="28" spans="1:32" s="557" customFormat="1" x14ac:dyDescent="0.25">
      <c r="A28" s="551" t="str">
        <f>+Info!$B$2</f>
        <v>724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</row>
    <row r="29" spans="1:32" s="557" customFormat="1" x14ac:dyDescent="0.25">
      <c r="A29" s="551" t="str">
        <f>+Info!$B$2</f>
        <v>724</v>
      </c>
      <c r="B29" s="552" t="s">
        <v>149</v>
      </c>
      <c r="C29" s="552" t="s">
        <v>150</v>
      </c>
      <c r="D29" s="552" t="s">
        <v>4217</v>
      </c>
      <c r="E29" s="551"/>
      <c r="F29" s="551"/>
      <c r="G29" s="551"/>
      <c r="H29" s="551"/>
      <c r="I29" s="551"/>
      <c r="J29" s="551"/>
      <c r="K29" s="565"/>
      <c r="L29" s="565"/>
      <c r="AC29" s="557" t="str">
        <f>C29</f>
        <v>1.10.10.20.010.000.00.000</v>
      </c>
      <c r="AD29" s="570">
        <f>G53</f>
        <v>0</v>
      </c>
      <c r="AE29" s="570">
        <f>H53</f>
        <v>0</v>
      </c>
      <c r="AF29" s="551">
        <f>IF($AD29=$AE29,0,1)</f>
        <v>0</v>
      </c>
    </row>
    <row r="30" spans="1:32" s="557" customFormat="1" ht="15" customHeight="1" x14ac:dyDescent="0.25">
      <c r="A30" s="551" t="str">
        <f>+Info!$B$2</f>
        <v>724</v>
      </c>
      <c r="B30" s="551"/>
      <c r="C30" s="551"/>
      <c r="D30" s="571" t="s">
        <v>4218</v>
      </c>
      <c r="E30" s="933" t="s">
        <v>4206</v>
      </c>
      <c r="F30" s="933"/>
      <c r="G30" s="933"/>
      <c r="H30" s="934" t="s">
        <v>4207</v>
      </c>
      <c r="I30" s="934"/>
      <c r="J30" s="934"/>
      <c r="K30" s="565"/>
      <c r="L30" s="565"/>
    </row>
    <row r="31" spans="1:32" s="557" customFormat="1" ht="24" customHeight="1" x14ac:dyDescent="0.25">
      <c r="A31" s="551" t="str">
        <f>+Info!$B$2</f>
        <v>724</v>
      </c>
      <c r="B31" s="551"/>
      <c r="C31" s="551"/>
      <c r="D31" s="558" t="s">
        <v>4208</v>
      </c>
      <c r="E31" s="555" t="s">
        <v>4209</v>
      </c>
      <c r="F31" s="555" t="s">
        <v>4210</v>
      </c>
      <c r="G31" s="555" t="s">
        <v>4211</v>
      </c>
      <c r="H31" s="555" t="s">
        <v>4212</v>
      </c>
      <c r="I31" s="934" t="s">
        <v>4213</v>
      </c>
      <c r="J31" s="934"/>
      <c r="K31" s="565"/>
      <c r="L31" s="565"/>
    </row>
    <row r="32" spans="1:32" s="557" customFormat="1" x14ac:dyDescent="0.25">
      <c r="A32" s="551" t="str">
        <f>+Info!$B$2</f>
        <v>724</v>
      </c>
      <c r="B32" s="559" t="s">
        <v>149</v>
      </c>
      <c r="C32" s="559" t="str">
        <f t="shared" ref="C32:C52" si="2">$C$29</f>
        <v>1.10.10.20.010.000.00.000</v>
      </c>
      <c r="D32" s="560"/>
      <c r="E32" s="561"/>
      <c r="F32" s="561"/>
      <c r="G32" s="562">
        <f t="shared" ref="G32:G52" si="3">+E32+F32</f>
        <v>0</v>
      </c>
      <c r="H32" s="563"/>
      <c r="I32" s="931"/>
      <c r="J32" s="931"/>
      <c r="K32" s="565"/>
      <c r="L32" s="565"/>
    </row>
    <row r="33" spans="1:12" s="557" customFormat="1" x14ac:dyDescent="0.25">
      <c r="A33" s="551" t="str">
        <f>+Info!$B$2</f>
        <v>724</v>
      </c>
      <c r="B33" s="559" t="s">
        <v>149</v>
      </c>
      <c r="C33" s="559" t="str">
        <f t="shared" si="2"/>
        <v>1.10.10.20.010.000.00.000</v>
      </c>
      <c r="D33" s="566"/>
      <c r="E33" s="561"/>
      <c r="F33" s="561"/>
      <c r="G33" s="562">
        <f t="shared" si="3"/>
        <v>0</v>
      </c>
      <c r="H33" s="563"/>
      <c r="I33" s="931"/>
      <c r="J33" s="931"/>
      <c r="K33" s="565"/>
      <c r="L33" s="565"/>
    </row>
    <row r="34" spans="1:12" s="557" customFormat="1" x14ac:dyDescent="0.25">
      <c r="A34" s="551" t="str">
        <f>+Info!$B$2</f>
        <v>724</v>
      </c>
      <c r="B34" s="559" t="s">
        <v>149</v>
      </c>
      <c r="C34" s="559" t="str">
        <f t="shared" si="2"/>
        <v>1.10.10.20.010.000.00.000</v>
      </c>
      <c r="D34" s="566"/>
      <c r="E34" s="561"/>
      <c r="F34" s="561"/>
      <c r="G34" s="562">
        <f t="shared" si="3"/>
        <v>0</v>
      </c>
      <c r="H34" s="563"/>
      <c r="I34" s="931"/>
      <c r="J34" s="931"/>
      <c r="K34" s="565"/>
      <c r="L34" s="565"/>
    </row>
    <row r="35" spans="1:12" s="557" customFormat="1" x14ac:dyDescent="0.25">
      <c r="A35" s="551" t="str">
        <f>+Info!$B$2</f>
        <v>724</v>
      </c>
      <c r="B35" s="559" t="s">
        <v>149</v>
      </c>
      <c r="C35" s="559" t="str">
        <f t="shared" si="2"/>
        <v>1.10.10.20.010.000.00.000</v>
      </c>
      <c r="D35" s="566"/>
      <c r="E35" s="561"/>
      <c r="F35" s="561"/>
      <c r="G35" s="562">
        <f t="shared" si="3"/>
        <v>0</v>
      </c>
      <c r="H35" s="563"/>
      <c r="I35" s="931"/>
      <c r="J35" s="931"/>
      <c r="K35" s="565"/>
      <c r="L35" s="565"/>
    </row>
    <row r="36" spans="1:12" s="557" customFormat="1" x14ac:dyDescent="0.25">
      <c r="A36" s="551" t="str">
        <f>+Info!$B$2</f>
        <v>724</v>
      </c>
      <c r="B36" s="559" t="s">
        <v>149</v>
      </c>
      <c r="C36" s="559" t="str">
        <f t="shared" si="2"/>
        <v>1.10.10.20.010.000.00.000</v>
      </c>
      <c r="D36" s="566"/>
      <c r="E36" s="561"/>
      <c r="F36" s="561"/>
      <c r="G36" s="562">
        <f t="shared" si="3"/>
        <v>0</v>
      </c>
      <c r="H36" s="563"/>
      <c r="I36" s="931"/>
      <c r="J36" s="931"/>
      <c r="K36" s="565"/>
      <c r="L36" s="565"/>
    </row>
    <row r="37" spans="1:12" s="557" customFormat="1" x14ac:dyDescent="0.25">
      <c r="A37" s="551" t="str">
        <f>+Info!$B$2</f>
        <v>724</v>
      </c>
      <c r="B37" s="559" t="s">
        <v>149</v>
      </c>
      <c r="C37" s="559" t="str">
        <f t="shared" si="2"/>
        <v>1.10.10.20.010.000.00.000</v>
      </c>
      <c r="D37" s="566"/>
      <c r="E37" s="561"/>
      <c r="F37" s="561"/>
      <c r="G37" s="562">
        <f t="shared" si="3"/>
        <v>0</v>
      </c>
      <c r="H37" s="563"/>
      <c r="I37" s="931"/>
      <c r="J37" s="931"/>
      <c r="K37" s="565"/>
      <c r="L37" s="565"/>
    </row>
    <row r="38" spans="1:12" s="557" customFormat="1" x14ac:dyDescent="0.25">
      <c r="A38" s="551" t="str">
        <f>+Info!$B$2</f>
        <v>724</v>
      </c>
      <c r="B38" s="559" t="s">
        <v>149</v>
      </c>
      <c r="C38" s="559" t="str">
        <f t="shared" si="2"/>
        <v>1.10.10.20.010.000.00.000</v>
      </c>
      <c r="D38" s="566"/>
      <c r="E38" s="561"/>
      <c r="F38" s="561"/>
      <c r="G38" s="562">
        <f t="shared" si="3"/>
        <v>0</v>
      </c>
      <c r="H38" s="563"/>
      <c r="I38" s="931"/>
      <c r="J38" s="931"/>
      <c r="K38" s="565"/>
      <c r="L38" s="565"/>
    </row>
    <row r="39" spans="1:12" s="557" customFormat="1" x14ac:dyDescent="0.25">
      <c r="A39" s="551" t="str">
        <f>+Info!$B$2</f>
        <v>724</v>
      </c>
      <c r="B39" s="559" t="s">
        <v>149</v>
      </c>
      <c r="C39" s="559" t="str">
        <f t="shared" si="2"/>
        <v>1.10.10.20.010.000.00.000</v>
      </c>
      <c r="D39" s="566"/>
      <c r="E39" s="561"/>
      <c r="F39" s="561"/>
      <c r="G39" s="562">
        <f t="shared" si="3"/>
        <v>0</v>
      </c>
      <c r="H39" s="563"/>
      <c r="I39" s="931"/>
      <c r="J39" s="931"/>
      <c r="K39" s="565"/>
      <c r="L39" s="565"/>
    </row>
    <row r="40" spans="1:12" s="557" customFormat="1" x14ac:dyDescent="0.25">
      <c r="A40" s="551" t="str">
        <f>+Info!$B$2</f>
        <v>724</v>
      </c>
      <c r="B40" s="559" t="s">
        <v>149</v>
      </c>
      <c r="C40" s="559" t="str">
        <f t="shared" si="2"/>
        <v>1.10.10.20.010.000.00.000</v>
      </c>
      <c r="D40" s="566"/>
      <c r="E40" s="561"/>
      <c r="F40" s="561"/>
      <c r="G40" s="562">
        <f t="shared" si="3"/>
        <v>0</v>
      </c>
      <c r="H40" s="563"/>
      <c r="I40" s="931"/>
      <c r="J40" s="931"/>
      <c r="K40" s="565"/>
      <c r="L40" s="565"/>
    </row>
    <row r="41" spans="1:12" s="557" customFormat="1" x14ac:dyDescent="0.25">
      <c r="A41" s="551" t="str">
        <f>+Info!$B$2</f>
        <v>724</v>
      </c>
      <c r="B41" s="559" t="s">
        <v>149</v>
      </c>
      <c r="C41" s="559" t="str">
        <f t="shared" si="2"/>
        <v>1.10.10.20.010.000.00.000</v>
      </c>
      <c r="D41" s="566"/>
      <c r="E41" s="561"/>
      <c r="F41" s="561"/>
      <c r="G41" s="562">
        <f t="shared" si="3"/>
        <v>0</v>
      </c>
      <c r="H41" s="563"/>
      <c r="I41" s="931"/>
      <c r="J41" s="931"/>
      <c r="K41" s="565"/>
      <c r="L41" s="565"/>
    </row>
    <row r="42" spans="1:12" s="557" customFormat="1" x14ac:dyDescent="0.25">
      <c r="A42" s="551" t="str">
        <f>+Info!$B$2</f>
        <v>724</v>
      </c>
      <c r="B42" s="559" t="s">
        <v>149</v>
      </c>
      <c r="C42" s="559" t="str">
        <f t="shared" si="2"/>
        <v>1.10.10.20.010.000.00.000</v>
      </c>
      <c r="D42" s="566"/>
      <c r="E42" s="561"/>
      <c r="F42" s="561"/>
      <c r="G42" s="562">
        <f t="shared" si="3"/>
        <v>0</v>
      </c>
      <c r="H42" s="563"/>
      <c r="I42" s="931"/>
      <c r="J42" s="931"/>
      <c r="K42" s="565"/>
      <c r="L42" s="565"/>
    </row>
    <row r="43" spans="1:12" s="557" customFormat="1" x14ac:dyDescent="0.25">
      <c r="A43" s="551" t="str">
        <f>+Info!$B$2</f>
        <v>724</v>
      </c>
      <c r="B43" s="559" t="s">
        <v>149</v>
      </c>
      <c r="C43" s="559" t="str">
        <f t="shared" si="2"/>
        <v>1.10.10.20.010.000.00.000</v>
      </c>
      <c r="D43" s="566"/>
      <c r="E43" s="561"/>
      <c r="F43" s="561"/>
      <c r="G43" s="562">
        <f t="shared" si="3"/>
        <v>0</v>
      </c>
      <c r="H43" s="563"/>
      <c r="I43" s="931"/>
      <c r="J43" s="931"/>
      <c r="K43" s="565"/>
      <c r="L43" s="565"/>
    </row>
    <row r="44" spans="1:12" s="557" customFormat="1" x14ac:dyDescent="0.25">
      <c r="A44" s="551" t="str">
        <f>+Info!$B$2</f>
        <v>724</v>
      </c>
      <c r="B44" s="559" t="s">
        <v>149</v>
      </c>
      <c r="C44" s="559" t="str">
        <f t="shared" si="2"/>
        <v>1.10.10.20.010.000.00.000</v>
      </c>
      <c r="D44" s="566"/>
      <c r="E44" s="561"/>
      <c r="F44" s="561"/>
      <c r="G44" s="562">
        <f t="shared" si="3"/>
        <v>0</v>
      </c>
      <c r="H44" s="563"/>
      <c r="I44" s="931"/>
      <c r="J44" s="931"/>
      <c r="K44" s="565"/>
      <c r="L44" s="565"/>
    </row>
    <row r="45" spans="1:12" s="557" customFormat="1" x14ac:dyDescent="0.25">
      <c r="A45" s="551" t="str">
        <f>+Info!$B$2</f>
        <v>724</v>
      </c>
      <c r="B45" s="559" t="s">
        <v>149</v>
      </c>
      <c r="C45" s="559" t="str">
        <f t="shared" si="2"/>
        <v>1.10.10.20.010.000.00.000</v>
      </c>
      <c r="D45" s="566"/>
      <c r="E45" s="561"/>
      <c r="F45" s="561"/>
      <c r="G45" s="562">
        <f t="shared" si="3"/>
        <v>0</v>
      </c>
      <c r="H45" s="563"/>
      <c r="I45" s="931"/>
      <c r="J45" s="931"/>
      <c r="K45" s="565"/>
      <c r="L45" s="565"/>
    </row>
    <row r="46" spans="1:12" s="557" customFormat="1" x14ac:dyDescent="0.25">
      <c r="A46" s="551" t="str">
        <f>+Info!$B$2</f>
        <v>724</v>
      </c>
      <c r="B46" s="559" t="s">
        <v>149</v>
      </c>
      <c r="C46" s="559" t="str">
        <f t="shared" si="2"/>
        <v>1.10.10.20.010.000.00.000</v>
      </c>
      <c r="D46" s="566"/>
      <c r="E46" s="561"/>
      <c r="F46" s="561"/>
      <c r="G46" s="562">
        <f t="shared" si="3"/>
        <v>0</v>
      </c>
      <c r="H46" s="563"/>
      <c r="I46" s="931"/>
      <c r="J46" s="931"/>
      <c r="K46" s="565"/>
      <c r="L46" s="565"/>
    </row>
    <row r="47" spans="1:12" s="557" customFormat="1" x14ac:dyDescent="0.25">
      <c r="A47" s="551" t="str">
        <f>+Info!$B$2</f>
        <v>724</v>
      </c>
      <c r="B47" s="559" t="s">
        <v>149</v>
      </c>
      <c r="C47" s="559" t="str">
        <f t="shared" si="2"/>
        <v>1.10.10.20.010.000.00.000</v>
      </c>
      <c r="D47" s="566"/>
      <c r="E47" s="561"/>
      <c r="F47" s="561"/>
      <c r="G47" s="562">
        <f t="shared" si="3"/>
        <v>0</v>
      </c>
      <c r="H47" s="563"/>
      <c r="I47" s="931"/>
      <c r="J47" s="931"/>
      <c r="K47" s="565"/>
      <c r="L47" s="565"/>
    </row>
    <row r="48" spans="1:12" s="557" customFormat="1" x14ac:dyDescent="0.25">
      <c r="A48" s="551" t="str">
        <f>+Info!$B$2</f>
        <v>724</v>
      </c>
      <c r="B48" s="559" t="s">
        <v>149</v>
      </c>
      <c r="C48" s="559" t="str">
        <f t="shared" si="2"/>
        <v>1.10.10.20.010.000.00.000</v>
      </c>
      <c r="D48" s="566"/>
      <c r="E48" s="561"/>
      <c r="F48" s="561"/>
      <c r="G48" s="562">
        <f t="shared" si="3"/>
        <v>0</v>
      </c>
      <c r="H48" s="563"/>
      <c r="I48" s="931"/>
      <c r="J48" s="931"/>
      <c r="K48" s="565"/>
      <c r="L48" s="565"/>
    </row>
    <row r="49" spans="1:32" s="557" customFormat="1" x14ac:dyDescent="0.25">
      <c r="A49" s="551" t="str">
        <f>+Info!$B$2</f>
        <v>724</v>
      </c>
      <c r="B49" s="559" t="s">
        <v>149</v>
      </c>
      <c r="C49" s="559" t="str">
        <f t="shared" si="2"/>
        <v>1.10.10.20.010.000.00.000</v>
      </c>
      <c r="D49" s="566"/>
      <c r="E49" s="561"/>
      <c r="F49" s="561"/>
      <c r="G49" s="562">
        <f t="shared" si="3"/>
        <v>0</v>
      </c>
      <c r="H49" s="563"/>
      <c r="I49" s="931"/>
      <c r="J49" s="931"/>
      <c r="K49" s="565"/>
      <c r="L49" s="565"/>
    </row>
    <row r="50" spans="1:32" s="557" customFormat="1" x14ac:dyDescent="0.25">
      <c r="A50" s="551" t="str">
        <f>+Info!$B$2</f>
        <v>724</v>
      </c>
      <c r="B50" s="559" t="s">
        <v>149</v>
      </c>
      <c r="C50" s="559" t="str">
        <f t="shared" si="2"/>
        <v>1.10.10.20.010.000.00.000</v>
      </c>
      <c r="D50" s="566"/>
      <c r="E50" s="561"/>
      <c r="F50" s="561"/>
      <c r="G50" s="562">
        <f t="shared" si="3"/>
        <v>0</v>
      </c>
      <c r="H50" s="563"/>
      <c r="I50" s="931"/>
      <c r="J50" s="931"/>
      <c r="K50" s="565"/>
      <c r="L50" s="565"/>
    </row>
    <row r="51" spans="1:32" s="557" customFormat="1" x14ac:dyDescent="0.25">
      <c r="A51" s="551" t="str">
        <f>+Info!$B$2</f>
        <v>724</v>
      </c>
      <c r="B51" s="559" t="s">
        <v>149</v>
      </c>
      <c r="C51" s="559" t="str">
        <f t="shared" si="2"/>
        <v>1.10.10.20.010.000.00.000</v>
      </c>
      <c r="D51" s="566"/>
      <c r="E51" s="561"/>
      <c r="F51" s="561"/>
      <c r="G51" s="562">
        <f t="shared" si="3"/>
        <v>0</v>
      </c>
      <c r="H51" s="563"/>
      <c r="I51" s="931"/>
      <c r="J51" s="931"/>
      <c r="K51" s="565"/>
      <c r="L51" s="565"/>
    </row>
    <row r="52" spans="1:32" s="557" customFormat="1" x14ac:dyDescent="0.25">
      <c r="A52" s="551" t="str">
        <f>+Info!$B$2</f>
        <v>724</v>
      </c>
      <c r="B52" s="559" t="s">
        <v>149</v>
      </c>
      <c r="C52" s="559" t="str">
        <f t="shared" si="2"/>
        <v>1.10.10.20.010.000.00.000</v>
      </c>
      <c r="D52" s="566"/>
      <c r="E52" s="561"/>
      <c r="F52" s="561"/>
      <c r="G52" s="562">
        <f t="shared" si="3"/>
        <v>0</v>
      </c>
      <c r="H52" s="563"/>
      <c r="I52" s="931"/>
      <c r="J52" s="931"/>
      <c r="K52" s="565"/>
      <c r="L52" s="565"/>
    </row>
    <row r="53" spans="1:32" s="557" customFormat="1" x14ac:dyDescent="0.25">
      <c r="A53" s="551" t="str">
        <f>+Info!$B$2</f>
        <v>724</v>
      </c>
      <c r="B53" s="551"/>
      <c r="C53" s="551"/>
      <c r="D53" s="565"/>
      <c r="E53" s="567">
        <f>SUM(E32:E52)</f>
        <v>0</v>
      </c>
      <c r="F53" s="567">
        <f>SUM(F32:F52)</f>
        <v>0</v>
      </c>
      <c r="G53" s="568">
        <f>SUM(G32:G52)</f>
        <v>0</v>
      </c>
      <c r="H53" s="569">
        <f>SUMIF('NI-Ric_SP'!$C:$C,$C$29,'NI-Ric_SP'!$O:$O)</f>
        <v>0</v>
      </c>
      <c r="I53" s="928" t="str">
        <f>IF(G53=H53,"Quadratura OK!","Squadratura con valori di Bilancio")</f>
        <v>Quadratura OK!</v>
      </c>
      <c r="J53" s="928"/>
      <c r="K53" s="565"/>
      <c r="L53" s="565"/>
    </row>
    <row r="54" spans="1:32" s="557" customFormat="1" x14ac:dyDescent="0.25">
      <c r="A54" s="551" t="str">
        <f>+Info!$B$2</f>
        <v>724</v>
      </c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L54" s="565"/>
    </row>
    <row r="55" spans="1:32" s="557" customFormat="1" x14ac:dyDescent="0.25">
      <c r="A55" s="551" t="str">
        <f>+Info!$B$2</f>
        <v>724</v>
      </c>
      <c r="B55" s="552" t="s">
        <v>329</v>
      </c>
      <c r="C55" s="552" t="s">
        <v>330</v>
      </c>
      <c r="D55" s="552" t="s">
        <v>4219</v>
      </c>
      <c r="E55" s="551"/>
      <c r="F55" s="551"/>
      <c r="G55" s="551"/>
      <c r="H55" s="551"/>
      <c r="I55" s="551"/>
      <c r="J55" s="551"/>
      <c r="K55" s="565"/>
      <c r="L55" s="565"/>
      <c r="AC55" s="557" t="str">
        <f>C55</f>
        <v>1.10.10.50.050.000.00.000</v>
      </c>
      <c r="AD55" s="570">
        <f>G79</f>
        <v>0</v>
      </c>
      <c r="AE55" s="570">
        <f>H79</f>
        <v>0</v>
      </c>
      <c r="AF55" s="551">
        <f>IF($AD55=$AE55,0,1)</f>
        <v>0</v>
      </c>
    </row>
    <row r="56" spans="1:32" s="557" customFormat="1" ht="15" customHeight="1" x14ac:dyDescent="0.25">
      <c r="A56" s="551" t="str">
        <f>+Info!$B$2</f>
        <v>724</v>
      </c>
      <c r="B56" s="551"/>
      <c r="C56" s="551"/>
      <c r="D56" s="571" t="s">
        <v>4220</v>
      </c>
      <c r="E56" s="933" t="s">
        <v>4206</v>
      </c>
      <c r="F56" s="933"/>
      <c r="G56" s="933"/>
      <c r="H56" s="934" t="s">
        <v>4207</v>
      </c>
      <c r="I56" s="934"/>
      <c r="J56" s="934"/>
      <c r="K56" s="565"/>
      <c r="L56" s="565"/>
    </row>
    <row r="57" spans="1:32" s="557" customFormat="1" ht="24" customHeight="1" x14ac:dyDescent="0.25">
      <c r="A57" s="551" t="str">
        <f>+Info!$B$2</f>
        <v>724</v>
      </c>
      <c r="B57" s="551"/>
      <c r="C57" s="551"/>
      <c r="D57" s="558" t="s">
        <v>4208</v>
      </c>
      <c r="E57" s="555" t="s">
        <v>4209</v>
      </c>
      <c r="F57" s="555" t="s">
        <v>4210</v>
      </c>
      <c r="G57" s="555" t="s">
        <v>4211</v>
      </c>
      <c r="H57" s="555" t="s">
        <v>4212</v>
      </c>
      <c r="I57" s="934" t="s">
        <v>4213</v>
      </c>
      <c r="J57" s="934"/>
      <c r="K57" s="565"/>
      <c r="L57" s="565"/>
    </row>
    <row r="58" spans="1:32" s="557" customFormat="1" x14ac:dyDescent="0.25">
      <c r="A58" s="551" t="str">
        <f>+Info!$B$2</f>
        <v>724</v>
      </c>
      <c r="B58" s="559" t="s">
        <v>329</v>
      </c>
      <c r="C58" s="559" t="str">
        <f t="shared" ref="C58:C78" si="4">$C$55</f>
        <v>1.10.10.50.050.000.00.000</v>
      </c>
      <c r="D58" s="560"/>
      <c r="E58" s="561"/>
      <c r="F58" s="561"/>
      <c r="G58" s="562">
        <f t="shared" ref="G58:G78" si="5">+E58+F58</f>
        <v>0</v>
      </c>
      <c r="H58" s="563"/>
      <c r="I58" s="931"/>
      <c r="J58" s="931"/>
      <c r="K58" s="565"/>
      <c r="L58" s="565"/>
    </row>
    <row r="59" spans="1:32" s="557" customFormat="1" x14ac:dyDescent="0.25">
      <c r="A59" s="551" t="str">
        <f>+Info!$B$2</f>
        <v>724</v>
      </c>
      <c r="B59" s="559" t="s">
        <v>329</v>
      </c>
      <c r="C59" s="559" t="str">
        <f t="shared" si="4"/>
        <v>1.10.10.50.050.000.00.000</v>
      </c>
      <c r="D59" s="566"/>
      <c r="E59" s="561"/>
      <c r="F59" s="561"/>
      <c r="G59" s="562">
        <f t="shared" si="5"/>
        <v>0</v>
      </c>
      <c r="H59" s="563"/>
      <c r="I59" s="931"/>
      <c r="J59" s="931"/>
      <c r="K59" s="565"/>
      <c r="L59" s="565"/>
    </row>
    <row r="60" spans="1:32" s="557" customFormat="1" x14ac:dyDescent="0.25">
      <c r="A60" s="551" t="str">
        <f>+Info!$B$2</f>
        <v>724</v>
      </c>
      <c r="B60" s="559" t="s">
        <v>329</v>
      </c>
      <c r="C60" s="559" t="str">
        <f t="shared" si="4"/>
        <v>1.10.10.50.050.000.00.000</v>
      </c>
      <c r="D60" s="566"/>
      <c r="E60" s="561"/>
      <c r="F60" s="561"/>
      <c r="G60" s="562">
        <f t="shared" si="5"/>
        <v>0</v>
      </c>
      <c r="H60" s="563"/>
      <c r="I60" s="931"/>
      <c r="J60" s="931"/>
      <c r="K60" s="565"/>
      <c r="L60" s="565"/>
    </row>
    <row r="61" spans="1:32" s="557" customFormat="1" x14ac:dyDescent="0.25">
      <c r="A61" s="551" t="str">
        <f>+Info!$B$2</f>
        <v>724</v>
      </c>
      <c r="B61" s="559" t="s">
        <v>329</v>
      </c>
      <c r="C61" s="559" t="str">
        <f t="shared" si="4"/>
        <v>1.10.10.50.050.000.00.000</v>
      </c>
      <c r="D61" s="566"/>
      <c r="E61" s="561"/>
      <c r="F61" s="561"/>
      <c r="G61" s="562">
        <f t="shared" si="5"/>
        <v>0</v>
      </c>
      <c r="H61" s="563"/>
      <c r="I61" s="931"/>
      <c r="J61" s="931"/>
      <c r="K61" s="565"/>
      <c r="L61" s="565"/>
    </row>
    <row r="62" spans="1:32" s="557" customFormat="1" x14ac:dyDescent="0.25">
      <c r="A62" s="551" t="str">
        <f>+Info!$B$2</f>
        <v>724</v>
      </c>
      <c r="B62" s="559" t="s">
        <v>329</v>
      </c>
      <c r="C62" s="559" t="str">
        <f t="shared" si="4"/>
        <v>1.10.10.50.050.000.00.000</v>
      </c>
      <c r="D62" s="566"/>
      <c r="E62" s="561"/>
      <c r="F62" s="561"/>
      <c r="G62" s="562">
        <f t="shared" si="5"/>
        <v>0</v>
      </c>
      <c r="H62" s="563"/>
      <c r="I62" s="931"/>
      <c r="J62" s="931"/>
      <c r="K62" s="565"/>
      <c r="L62" s="565"/>
    </row>
    <row r="63" spans="1:32" s="557" customFormat="1" x14ac:dyDescent="0.25">
      <c r="A63" s="551" t="str">
        <f>+Info!$B$2</f>
        <v>724</v>
      </c>
      <c r="B63" s="559" t="s">
        <v>329</v>
      </c>
      <c r="C63" s="559" t="str">
        <f t="shared" si="4"/>
        <v>1.10.10.50.050.000.00.000</v>
      </c>
      <c r="D63" s="566"/>
      <c r="E63" s="561"/>
      <c r="F63" s="561"/>
      <c r="G63" s="562">
        <f t="shared" si="5"/>
        <v>0</v>
      </c>
      <c r="H63" s="563"/>
      <c r="I63" s="931"/>
      <c r="J63" s="931"/>
      <c r="K63" s="565"/>
      <c r="L63" s="565"/>
    </row>
    <row r="64" spans="1:32" s="557" customFormat="1" x14ac:dyDescent="0.25">
      <c r="A64" s="551" t="str">
        <f>+Info!$B$2</f>
        <v>724</v>
      </c>
      <c r="B64" s="559" t="s">
        <v>329</v>
      </c>
      <c r="C64" s="559" t="str">
        <f t="shared" si="4"/>
        <v>1.10.10.50.050.000.00.000</v>
      </c>
      <c r="D64" s="566"/>
      <c r="E64" s="561"/>
      <c r="F64" s="561"/>
      <c r="G64" s="562">
        <f t="shared" si="5"/>
        <v>0</v>
      </c>
      <c r="H64" s="563"/>
      <c r="I64" s="931"/>
      <c r="J64" s="931"/>
      <c r="K64" s="565"/>
      <c r="L64" s="565"/>
    </row>
    <row r="65" spans="1:12" s="557" customFormat="1" x14ac:dyDescent="0.25">
      <c r="A65" s="551" t="str">
        <f>+Info!$B$2</f>
        <v>724</v>
      </c>
      <c r="B65" s="559" t="s">
        <v>329</v>
      </c>
      <c r="C65" s="559" t="str">
        <f t="shared" si="4"/>
        <v>1.10.10.50.050.000.00.000</v>
      </c>
      <c r="D65" s="566"/>
      <c r="E65" s="561"/>
      <c r="F65" s="561"/>
      <c r="G65" s="562">
        <f t="shared" si="5"/>
        <v>0</v>
      </c>
      <c r="H65" s="563"/>
      <c r="I65" s="931"/>
      <c r="J65" s="931"/>
      <c r="K65" s="565"/>
      <c r="L65" s="565"/>
    </row>
    <row r="66" spans="1:12" s="557" customFormat="1" x14ac:dyDescent="0.25">
      <c r="A66" s="551" t="str">
        <f>+Info!$B$2</f>
        <v>724</v>
      </c>
      <c r="B66" s="559" t="s">
        <v>329</v>
      </c>
      <c r="C66" s="559" t="str">
        <f t="shared" si="4"/>
        <v>1.10.10.50.050.000.00.000</v>
      </c>
      <c r="D66" s="566"/>
      <c r="E66" s="561"/>
      <c r="F66" s="561"/>
      <c r="G66" s="562">
        <f t="shared" si="5"/>
        <v>0</v>
      </c>
      <c r="H66" s="563"/>
      <c r="I66" s="931"/>
      <c r="J66" s="931"/>
      <c r="K66" s="565"/>
      <c r="L66" s="565"/>
    </row>
    <row r="67" spans="1:12" s="557" customFormat="1" x14ac:dyDescent="0.25">
      <c r="A67" s="551" t="str">
        <f>+Info!$B$2</f>
        <v>724</v>
      </c>
      <c r="B67" s="559" t="s">
        <v>329</v>
      </c>
      <c r="C67" s="559" t="str">
        <f t="shared" si="4"/>
        <v>1.10.10.50.050.000.00.000</v>
      </c>
      <c r="D67" s="566"/>
      <c r="E67" s="561"/>
      <c r="F67" s="561"/>
      <c r="G67" s="562">
        <f t="shared" si="5"/>
        <v>0</v>
      </c>
      <c r="H67" s="563"/>
      <c r="I67" s="931"/>
      <c r="J67" s="931"/>
      <c r="K67" s="565"/>
      <c r="L67" s="565"/>
    </row>
    <row r="68" spans="1:12" s="557" customFormat="1" x14ac:dyDescent="0.25">
      <c r="A68" s="551" t="str">
        <f>+Info!$B$2</f>
        <v>724</v>
      </c>
      <c r="B68" s="559" t="s">
        <v>329</v>
      </c>
      <c r="C68" s="559" t="str">
        <f t="shared" si="4"/>
        <v>1.10.10.50.050.000.00.000</v>
      </c>
      <c r="D68" s="566"/>
      <c r="E68" s="561"/>
      <c r="F68" s="561"/>
      <c r="G68" s="562">
        <f t="shared" si="5"/>
        <v>0</v>
      </c>
      <c r="H68" s="563"/>
      <c r="I68" s="931"/>
      <c r="J68" s="931"/>
      <c r="K68" s="565"/>
      <c r="L68" s="565"/>
    </row>
    <row r="69" spans="1:12" s="557" customFormat="1" x14ac:dyDescent="0.25">
      <c r="A69" s="551" t="str">
        <f>+Info!$B$2</f>
        <v>724</v>
      </c>
      <c r="B69" s="559" t="s">
        <v>329</v>
      </c>
      <c r="C69" s="559" t="str">
        <f t="shared" si="4"/>
        <v>1.10.10.50.050.000.00.000</v>
      </c>
      <c r="D69" s="566"/>
      <c r="E69" s="561"/>
      <c r="F69" s="561"/>
      <c r="G69" s="562">
        <f t="shared" si="5"/>
        <v>0</v>
      </c>
      <c r="H69" s="563"/>
      <c r="I69" s="931"/>
      <c r="J69" s="931"/>
      <c r="K69" s="565"/>
      <c r="L69" s="565"/>
    </row>
    <row r="70" spans="1:12" s="557" customFormat="1" x14ac:dyDescent="0.25">
      <c r="A70" s="551" t="str">
        <f>+Info!$B$2</f>
        <v>724</v>
      </c>
      <c r="B70" s="559" t="s">
        <v>329</v>
      </c>
      <c r="C70" s="559" t="str">
        <f t="shared" si="4"/>
        <v>1.10.10.50.050.000.00.000</v>
      </c>
      <c r="D70" s="566"/>
      <c r="E70" s="561"/>
      <c r="F70" s="561"/>
      <c r="G70" s="562">
        <f t="shared" si="5"/>
        <v>0</v>
      </c>
      <c r="H70" s="563"/>
      <c r="I70" s="931"/>
      <c r="J70" s="931"/>
      <c r="K70" s="565"/>
      <c r="L70" s="565"/>
    </row>
    <row r="71" spans="1:12" s="557" customFormat="1" x14ac:dyDescent="0.25">
      <c r="A71" s="551" t="str">
        <f>+Info!$B$2</f>
        <v>724</v>
      </c>
      <c r="B71" s="559" t="s">
        <v>329</v>
      </c>
      <c r="C71" s="559" t="str">
        <f t="shared" si="4"/>
        <v>1.10.10.50.050.000.00.000</v>
      </c>
      <c r="D71" s="566"/>
      <c r="E71" s="561"/>
      <c r="F71" s="561"/>
      <c r="G71" s="562">
        <f t="shared" si="5"/>
        <v>0</v>
      </c>
      <c r="H71" s="563"/>
      <c r="I71" s="931"/>
      <c r="J71" s="931"/>
      <c r="K71" s="565"/>
      <c r="L71" s="565"/>
    </row>
    <row r="72" spans="1:12" s="557" customFormat="1" x14ac:dyDescent="0.25">
      <c r="A72" s="551" t="str">
        <f>+Info!$B$2</f>
        <v>724</v>
      </c>
      <c r="B72" s="559" t="s">
        <v>329</v>
      </c>
      <c r="C72" s="559" t="str">
        <f t="shared" si="4"/>
        <v>1.10.10.50.050.000.00.000</v>
      </c>
      <c r="D72" s="566"/>
      <c r="E72" s="561"/>
      <c r="F72" s="561"/>
      <c r="G72" s="562">
        <f t="shared" si="5"/>
        <v>0</v>
      </c>
      <c r="H72" s="563"/>
      <c r="I72" s="931"/>
      <c r="J72" s="931"/>
      <c r="K72" s="565"/>
      <c r="L72" s="565"/>
    </row>
    <row r="73" spans="1:12" s="557" customFormat="1" x14ac:dyDescent="0.25">
      <c r="A73" s="551" t="str">
        <f>+Info!$B$2</f>
        <v>724</v>
      </c>
      <c r="B73" s="559" t="s">
        <v>329</v>
      </c>
      <c r="C73" s="559" t="str">
        <f t="shared" si="4"/>
        <v>1.10.10.50.050.000.00.000</v>
      </c>
      <c r="D73" s="566"/>
      <c r="E73" s="561"/>
      <c r="F73" s="561"/>
      <c r="G73" s="562">
        <f t="shared" si="5"/>
        <v>0</v>
      </c>
      <c r="H73" s="563"/>
      <c r="I73" s="931"/>
      <c r="J73" s="931"/>
      <c r="K73" s="565"/>
      <c r="L73" s="565"/>
    </row>
    <row r="74" spans="1:12" s="557" customFormat="1" x14ac:dyDescent="0.25">
      <c r="A74" s="551" t="str">
        <f>+Info!$B$2</f>
        <v>724</v>
      </c>
      <c r="B74" s="559" t="s">
        <v>329</v>
      </c>
      <c r="C74" s="559" t="str">
        <f t="shared" si="4"/>
        <v>1.10.10.50.050.000.00.000</v>
      </c>
      <c r="D74" s="566"/>
      <c r="E74" s="561"/>
      <c r="F74" s="561"/>
      <c r="G74" s="562">
        <f t="shared" si="5"/>
        <v>0</v>
      </c>
      <c r="H74" s="563"/>
      <c r="I74" s="931"/>
      <c r="J74" s="931"/>
      <c r="K74" s="565"/>
      <c r="L74" s="565"/>
    </row>
    <row r="75" spans="1:12" s="557" customFormat="1" x14ac:dyDescent="0.25">
      <c r="A75" s="551" t="str">
        <f>+Info!$B$2</f>
        <v>724</v>
      </c>
      <c r="B75" s="559" t="s">
        <v>329</v>
      </c>
      <c r="C75" s="559" t="str">
        <f t="shared" si="4"/>
        <v>1.10.10.50.050.000.00.000</v>
      </c>
      <c r="D75" s="566"/>
      <c r="E75" s="561"/>
      <c r="F75" s="561"/>
      <c r="G75" s="562">
        <f t="shared" si="5"/>
        <v>0</v>
      </c>
      <c r="H75" s="563"/>
      <c r="I75" s="931"/>
      <c r="J75" s="931"/>
      <c r="K75" s="565"/>
      <c r="L75" s="565"/>
    </row>
    <row r="76" spans="1:12" s="557" customFormat="1" x14ac:dyDescent="0.25">
      <c r="A76" s="551" t="str">
        <f>+Info!$B$2</f>
        <v>724</v>
      </c>
      <c r="B76" s="559" t="s">
        <v>329</v>
      </c>
      <c r="C76" s="559" t="str">
        <f t="shared" si="4"/>
        <v>1.10.10.50.050.000.00.000</v>
      </c>
      <c r="D76" s="566"/>
      <c r="E76" s="561"/>
      <c r="F76" s="561"/>
      <c r="G76" s="562">
        <f t="shared" si="5"/>
        <v>0</v>
      </c>
      <c r="H76" s="563"/>
      <c r="I76" s="931"/>
      <c r="J76" s="931"/>
      <c r="K76" s="565"/>
      <c r="L76" s="565"/>
    </row>
    <row r="77" spans="1:12" s="557" customFormat="1" x14ac:dyDescent="0.25">
      <c r="A77" s="551" t="str">
        <f>+Info!$B$2</f>
        <v>724</v>
      </c>
      <c r="B77" s="559" t="s">
        <v>329</v>
      </c>
      <c r="C77" s="559" t="str">
        <f t="shared" si="4"/>
        <v>1.10.10.50.050.000.00.000</v>
      </c>
      <c r="D77" s="566"/>
      <c r="E77" s="561"/>
      <c r="F77" s="561"/>
      <c r="G77" s="562">
        <f t="shared" si="5"/>
        <v>0</v>
      </c>
      <c r="H77" s="563"/>
      <c r="I77" s="931"/>
      <c r="J77" s="931"/>
      <c r="K77" s="565"/>
      <c r="L77" s="565"/>
    </row>
    <row r="78" spans="1:12" s="557" customFormat="1" x14ac:dyDescent="0.25">
      <c r="A78" s="551" t="str">
        <f>+Info!$B$2</f>
        <v>724</v>
      </c>
      <c r="B78" s="559" t="s">
        <v>329</v>
      </c>
      <c r="C78" s="559" t="str">
        <f t="shared" si="4"/>
        <v>1.10.10.50.050.000.00.000</v>
      </c>
      <c r="D78" s="566"/>
      <c r="E78" s="561"/>
      <c r="F78" s="561"/>
      <c r="G78" s="562">
        <f t="shared" si="5"/>
        <v>0</v>
      </c>
      <c r="H78" s="563"/>
      <c r="I78" s="931"/>
      <c r="J78" s="931"/>
      <c r="K78" s="565"/>
      <c r="L78" s="565"/>
    </row>
    <row r="79" spans="1:12" s="557" customFormat="1" x14ac:dyDescent="0.25">
      <c r="A79" s="551" t="str">
        <f>+Info!$B$2</f>
        <v>724</v>
      </c>
      <c r="B79" s="551"/>
      <c r="C79" s="551"/>
      <c r="D79" s="565"/>
      <c r="E79" s="567">
        <f>SUM(E58:E78)</f>
        <v>0</v>
      </c>
      <c r="F79" s="567">
        <f>SUM(F58:F78)</f>
        <v>0</v>
      </c>
      <c r="G79" s="568">
        <f>SUM(G58:G78)</f>
        <v>0</v>
      </c>
      <c r="H79" s="569">
        <f>SUMIF('NI-Ric_SP'!$C:$C,$C$55,'NI-Ric_SP'!$O:$O)</f>
        <v>0</v>
      </c>
      <c r="I79" s="928" t="str">
        <f>IF(G79=H79,"Quadratura OK!","Squadratura con valori di Bilancio")</f>
        <v>Quadratura OK!</v>
      </c>
      <c r="J79" s="928"/>
      <c r="K79" s="565"/>
      <c r="L79" s="565"/>
    </row>
    <row r="80" spans="1:12" s="557" customFormat="1" x14ac:dyDescent="0.25">
      <c r="A80" s="551" t="str">
        <f>+Info!$B$2</f>
        <v>724</v>
      </c>
      <c r="B80" s="551"/>
      <c r="C80" s="551"/>
      <c r="D80" s="551"/>
      <c r="E80" s="551"/>
      <c r="F80" s="551"/>
      <c r="G80" s="551"/>
      <c r="H80" s="551"/>
      <c r="I80" s="551"/>
      <c r="J80" s="551"/>
      <c r="K80" s="565"/>
      <c r="L80" s="565"/>
    </row>
    <row r="81" spans="1:32" s="557" customFormat="1" x14ac:dyDescent="0.25">
      <c r="A81" s="551" t="str">
        <f>+Info!$B$2</f>
        <v>724</v>
      </c>
      <c r="B81" s="551"/>
      <c r="C81" s="551"/>
      <c r="D81" s="551"/>
      <c r="E81" s="551"/>
      <c r="F81" s="551"/>
      <c r="G81" s="551"/>
      <c r="H81" s="551"/>
      <c r="I81" s="551"/>
      <c r="J81" s="551"/>
      <c r="K81" s="565"/>
      <c r="L81" s="565"/>
    </row>
    <row r="82" spans="1:32" s="557" customFormat="1" x14ac:dyDescent="0.25">
      <c r="A82" s="551" t="str">
        <f>+Info!$B$2</f>
        <v>724</v>
      </c>
      <c r="B82" s="551"/>
      <c r="C82" s="551"/>
      <c r="D82" s="551"/>
      <c r="E82" s="551"/>
      <c r="F82" s="551"/>
      <c r="G82" s="551"/>
      <c r="H82" s="551"/>
      <c r="I82" s="551"/>
      <c r="J82" s="551"/>
      <c r="K82" s="565"/>
      <c r="L82" s="565"/>
    </row>
    <row r="83" spans="1:32" s="557" customFormat="1" ht="15" customHeight="1" x14ac:dyDescent="0.25">
      <c r="A83" s="551" t="str">
        <f>+Info!$B$2</f>
        <v>724</v>
      </c>
      <c r="B83" s="551"/>
      <c r="C83" s="551"/>
      <c r="D83" s="572" t="s">
        <v>4221</v>
      </c>
      <c r="E83" s="573" t="s">
        <v>4222</v>
      </c>
      <c r="F83" s="573" t="s">
        <v>4223</v>
      </c>
      <c r="G83" s="574" t="s">
        <v>4224</v>
      </c>
      <c r="H83" s="551"/>
      <c r="I83" s="551"/>
      <c r="J83" s="932"/>
      <c r="K83" s="565"/>
      <c r="L83" s="565"/>
    </row>
    <row r="84" spans="1:32" s="557" customFormat="1" x14ac:dyDescent="0.25">
      <c r="A84" s="551" t="str">
        <f>+Info!$B$2</f>
        <v>724</v>
      </c>
      <c r="B84" s="274" t="s">
        <v>893</v>
      </c>
      <c r="C84" s="274" t="s">
        <v>894</v>
      </c>
      <c r="D84" s="575" t="s">
        <v>4225</v>
      </c>
      <c r="E84" s="576">
        <f>SUM(E85:E97)</f>
        <v>0</v>
      </c>
      <c r="F84" s="576">
        <f>SUM(F85:F97)</f>
        <v>0</v>
      </c>
      <c r="G84" s="576">
        <f>SUM(G85:G97)</f>
        <v>0</v>
      </c>
      <c r="H84" s="928" t="str">
        <f>IF(G84=H85,"Quadratura OK!","Squadratura con valori di bilancio!")</f>
        <v>Quadratura OK!</v>
      </c>
      <c r="I84" s="928"/>
      <c r="J84" s="932"/>
      <c r="K84" s="565"/>
      <c r="L84" s="565"/>
      <c r="AC84" s="557" t="str">
        <f>C84</f>
        <v>1.10.20.80.010.060.00.000</v>
      </c>
      <c r="AD84" s="577">
        <f>G84</f>
        <v>0</v>
      </c>
      <c r="AE84" s="570">
        <f>H85</f>
        <v>0</v>
      </c>
      <c r="AF84" s="551">
        <f>IF($AD84=$AE84,0,1)</f>
        <v>0</v>
      </c>
    </row>
    <row r="85" spans="1:32" s="557" customFormat="1" x14ac:dyDescent="0.25">
      <c r="A85" s="551" t="str">
        <f>+Info!$B$2</f>
        <v>724</v>
      </c>
      <c r="B85" s="551"/>
      <c r="C85" s="551"/>
      <c r="D85" s="578"/>
      <c r="E85" s="579"/>
      <c r="F85" s="579"/>
      <c r="G85" s="580">
        <f t="shared" ref="G85:G97" si="6">+E85-F85</f>
        <v>0</v>
      </c>
      <c r="H85" s="569">
        <f>SUMIF('NI-Ric_SP'!$C:$C,$C84,'NI-Ric_SP'!$O:$O)-SUMIF('NI-Ric_SP'!$C:$C,"1.10.20.80.020.060.00.000",'NI-Ric_SP'!$O:$O)</f>
        <v>0</v>
      </c>
      <c r="I85" s="551"/>
      <c r="J85" s="581"/>
      <c r="K85" s="565"/>
      <c r="L85" s="565"/>
    </row>
    <row r="86" spans="1:32" s="557" customFormat="1" x14ac:dyDescent="0.25">
      <c r="A86" s="551" t="str">
        <f>+Info!$B$2</f>
        <v>724</v>
      </c>
      <c r="B86" s="551"/>
      <c r="C86" s="551"/>
      <c r="D86" s="578"/>
      <c r="E86" s="579"/>
      <c r="F86" s="579"/>
      <c r="G86" s="580">
        <f t="shared" si="6"/>
        <v>0</v>
      </c>
      <c r="H86" s="551"/>
      <c r="I86" s="551"/>
      <c r="J86" s="581"/>
      <c r="K86" s="565"/>
      <c r="L86" s="565"/>
    </row>
    <row r="87" spans="1:32" s="557" customFormat="1" x14ac:dyDescent="0.25">
      <c r="A87" s="551" t="str">
        <f>+Info!$B$2</f>
        <v>724</v>
      </c>
      <c r="B87" s="551"/>
      <c r="C87" s="551"/>
      <c r="D87" s="578"/>
      <c r="E87" s="579"/>
      <c r="F87" s="579"/>
      <c r="G87" s="580">
        <f t="shared" si="6"/>
        <v>0</v>
      </c>
      <c r="H87" s="551"/>
      <c r="I87" s="551"/>
      <c r="J87" s="581"/>
      <c r="K87" s="565"/>
      <c r="L87" s="565"/>
    </row>
    <row r="88" spans="1:32" s="557" customFormat="1" x14ac:dyDescent="0.25">
      <c r="A88" s="551" t="str">
        <f>+Info!$B$2</f>
        <v>724</v>
      </c>
      <c r="B88" s="551"/>
      <c r="C88" s="551"/>
      <c r="D88" s="578"/>
      <c r="E88" s="579"/>
      <c r="F88" s="579"/>
      <c r="G88" s="580">
        <f t="shared" si="6"/>
        <v>0</v>
      </c>
      <c r="H88" s="551"/>
      <c r="I88" s="551"/>
      <c r="J88" s="581"/>
      <c r="K88" s="565"/>
      <c r="L88" s="565"/>
    </row>
    <row r="89" spans="1:32" s="557" customFormat="1" x14ac:dyDescent="0.25">
      <c r="A89" s="551" t="str">
        <f>+Info!$B$2</f>
        <v>724</v>
      </c>
      <c r="B89" s="551"/>
      <c r="C89" s="551"/>
      <c r="D89" s="578"/>
      <c r="E89" s="579"/>
      <c r="F89" s="579"/>
      <c r="G89" s="580">
        <f t="shared" si="6"/>
        <v>0</v>
      </c>
      <c r="H89" s="551"/>
      <c r="I89" s="551"/>
      <c r="K89" s="565"/>
      <c r="L89" s="565"/>
    </row>
    <row r="90" spans="1:32" s="557" customFormat="1" x14ac:dyDescent="0.25">
      <c r="A90" s="551" t="str">
        <f>+Info!$B$2</f>
        <v>724</v>
      </c>
      <c r="B90" s="551"/>
      <c r="C90" s="551"/>
      <c r="D90" s="578"/>
      <c r="E90" s="579"/>
      <c r="F90" s="579"/>
      <c r="G90" s="580">
        <f t="shared" si="6"/>
        <v>0</v>
      </c>
      <c r="H90" s="551"/>
      <c r="I90" s="551"/>
      <c r="K90" s="565"/>
      <c r="L90" s="565"/>
    </row>
    <row r="91" spans="1:32" s="557" customFormat="1" x14ac:dyDescent="0.25">
      <c r="A91" s="551" t="str">
        <f>+Info!$B$2</f>
        <v>724</v>
      </c>
      <c r="B91" s="551"/>
      <c r="C91" s="551"/>
      <c r="D91" s="578"/>
      <c r="E91" s="579"/>
      <c r="F91" s="579"/>
      <c r="G91" s="580">
        <f t="shared" si="6"/>
        <v>0</v>
      </c>
      <c r="H91" s="551"/>
      <c r="I91" s="551"/>
      <c r="K91" s="565"/>
      <c r="L91" s="565"/>
    </row>
    <row r="92" spans="1:32" s="557" customFormat="1" x14ac:dyDescent="0.25">
      <c r="A92" s="551" t="str">
        <f>+Info!$B$2</f>
        <v>724</v>
      </c>
      <c r="B92" s="551"/>
      <c r="C92" s="551"/>
      <c r="D92" s="578"/>
      <c r="E92" s="579"/>
      <c r="F92" s="579"/>
      <c r="G92" s="580">
        <f t="shared" si="6"/>
        <v>0</v>
      </c>
      <c r="H92" s="551"/>
      <c r="I92" s="551"/>
      <c r="K92" s="565"/>
      <c r="L92" s="565"/>
    </row>
    <row r="93" spans="1:32" s="557" customFormat="1" x14ac:dyDescent="0.25">
      <c r="A93" s="551" t="str">
        <f>+Info!$B$2</f>
        <v>724</v>
      </c>
      <c r="B93" s="551"/>
      <c r="C93" s="551"/>
      <c r="D93" s="578"/>
      <c r="E93" s="579"/>
      <c r="F93" s="579"/>
      <c r="G93" s="580">
        <f t="shared" si="6"/>
        <v>0</v>
      </c>
      <c r="H93" s="551"/>
      <c r="I93" s="551"/>
      <c r="K93" s="565"/>
      <c r="L93" s="565"/>
    </row>
    <row r="94" spans="1:32" s="557" customFormat="1" x14ac:dyDescent="0.25">
      <c r="A94" s="551" t="str">
        <f>+Info!$B$2</f>
        <v>724</v>
      </c>
      <c r="B94" s="551"/>
      <c r="C94" s="551"/>
      <c r="D94" s="578"/>
      <c r="E94" s="579"/>
      <c r="F94" s="579"/>
      <c r="G94" s="580">
        <f t="shared" si="6"/>
        <v>0</v>
      </c>
      <c r="H94" s="551"/>
      <c r="I94" s="551"/>
      <c r="K94" s="565"/>
      <c r="L94" s="565"/>
    </row>
    <row r="95" spans="1:32" s="557" customFormat="1" x14ac:dyDescent="0.25">
      <c r="A95" s="551" t="str">
        <f>+Info!$B$2</f>
        <v>724</v>
      </c>
      <c r="B95" s="551"/>
      <c r="C95" s="551"/>
      <c r="D95" s="578"/>
      <c r="E95" s="579"/>
      <c r="F95" s="579"/>
      <c r="G95" s="580">
        <f t="shared" si="6"/>
        <v>0</v>
      </c>
      <c r="H95" s="551"/>
      <c r="I95" s="551"/>
      <c r="K95" s="565"/>
      <c r="L95" s="565"/>
    </row>
    <row r="96" spans="1:32" s="557" customFormat="1" x14ac:dyDescent="0.25">
      <c r="A96" s="551" t="str">
        <f>+Info!$B$2</f>
        <v>724</v>
      </c>
      <c r="B96" s="551"/>
      <c r="C96" s="551"/>
      <c r="D96" s="578"/>
      <c r="E96" s="579"/>
      <c r="F96" s="579"/>
      <c r="G96" s="580">
        <f t="shared" si="6"/>
        <v>0</v>
      </c>
      <c r="K96" s="565"/>
      <c r="L96" s="565"/>
    </row>
    <row r="97" spans="1:32" s="557" customFormat="1" x14ac:dyDescent="0.25">
      <c r="A97" s="551" t="str">
        <f>+Info!$B$2</f>
        <v>724</v>
      </c>
      <c r="B97" s="551"/>
      <c r="C97" s="551"/>
      <c r="D97" s="578"/>
      <c r="E97" s="579"/>
      <c r="F97" s="579"/>
      <c r="G97" s="580">
        <f t="shared" si="6"/>
        <v>0</v>
      </c>
      <c r="K97" s="565"/>
      <c r="L97" s="565"/>
    </row>
    <row r="98" spans="1:32" s="557" customFormat="1" x14ac:dyDescent="0.25">
      <c r="A98" s="551" t="str">
        <f>+Info!$B$2</f>
        <v>724</v>
      </c>
      <c r="B98" s="274" t="s">
        <v>896</v>
      </c>
      <c r="C98" s="274" t="s">
        <v>897</v>
      </c>
      <c r="D98" s="575" t="s">
        <v>4227</v>
      </c>
      <c r="E98" s="576">
        <f>SUM(E99:E111)</f>
        <v>0</v>
      </c>
      <c r="F98" s="576">
        <f>SUM(F99:F111)</f>
        <v>0</v>
      </c>
      <c r="G98" s="576">
        <f>SUM(G99:G111)</f>
        <v>0</v>
      </c>
      <c r="H98" s="928" t="str">
        <f>IF(G98=H99,"Quadratura OK!","Squadratura con valori di bilancio!")</f>
        <v>Quadratura OK!</v>
      </c>
      <c r="I98" s="928"/>
      <c r="K98" s="565"/>
      <c r="L98" s="565"/>
      <c r="AC98" s="557" t="str">
        <f>C98</f>
        <v>1.10.20.80.010.062.00.000</v>
      </c>
      <c r="AD98" s="577">
        <f>G98</f>
        <v>0</v>
      </c>
      <c r="AE98" s="570">
        <f>H99</f>
        <v>0</v>
      </c>
      <c r="AF98" s="551">
        <f>IF($AD98=$AE98,0,1)</f>
        <v>0</v>
      </c>
    </row>
    <row r="99" spans="1:32" s="557" customFormat="1" x14ac:dyDescent="0.25">
      <c r="A99" s="551" t="str">
        <f>+Info!$B$2</f>
        <v>724</v>
      </c>
      <c r="B99" s="551"/>
      <c r="C99" s="551"/>
      <c r="D99" s="578"/>
      <c r="E99" s="579"/>
      <c r="F99" s="579"/>
      <c r="G99" s="580">
        <f t="shared" ref="G99:G111" si="7">+E99-F99</f>
        <v>0</v>
      </c>
      <c r="H99" s="569">
        <f>SUMIF('NI-Ric_SP'!$C:$C,$C98,'NI-Ric_SP'!$O:$O)-SUMIF('NI-Ric_SP'!$C:$C,"1.10.20.80.020.062.00.000",'NI-Ric_SP'!$O:$O)</f>
        <v>0</v>
      </c>
      <c r="K99" s="565"/>
      <c r="L99" s="565"/>
    </row>
    <row r="100" spans="1:32" s="557" customFormat="1" x14ac:dyDescent="0.25">
      <c r="A100" s="551" t="str">
        <f>+Info!$B$2</f>
        <v>724</v>
      </c>
      <c r="B100" s="551"/>
      <c r="C100" s="551"/>
      <c r="D100" s="578"/>
      <c r="E100" s="579"/>
      <c r="F100" s="579"/>
      <c r="G100" s="580">
        <f t="shared" si="7"/>
        <v>0</v>
      </c>
      <c r="K100" s="565"/>
      <c r="L100" s="565"/>
    </row>
    <row r="101" spans="1:32" s="557" customFormat="1" x14ac:dyDescent="0.25">
      <c r="A101" s="551" t="str">
        <f>+Info!$B$2</f>
        <v>724</v>
      </c>
      <c r="B101" s="551"/>
      <c r="C101" s="551"/>
      <c r="D101" s="578"/>
      <c r="E101" s="579"/>
      <c r="F101" s="579"/>
      <c r="G101" s="580">
        <f t="shared" si="7"/>
        <v>0</v>
      </c>
      <c r="K101" s="565"/>
      <c r="L101" s="565"/>
    </row>
    <row r="102" spans="1:32" s="557" customFormat="1" x14ac:dyDescent="0.25">
      <c r="A102" s="551" t="str">
        <f>+Info!$B$2</f>
        <v>724</v>
      </c>
      <c r="B102" s="551"/>
      <c r="C102" s="551"/>
      <c r="D102" s="578"/>
      <c r="E102" s="579"/>
      <c r="F102" s="579"/>
      <c r="G102" s="580">
        <f t="shared" si="7"/>
        <v>0</v>
      </c>
      <c r="K102" s="565"/>
      <c r="L102" s="565"/>
    </row>
    <row r="103" spans="1:32" s="557" customFormat="1" x14ac:dyDescent="0.25">
      <c r="A103" s="551" t="str">
        <f>+Info!$B$2</f>
        <v>724</v>
      </c>
      <c r="B103" s="551"/>
      <c r="C103" s="551"/>
      <c r="D103" s="578"/>
      <c r="E103" s="579"/>
      <c r="F103" s="579"/>
      <c r="G103" s="580">
        <f t="shared" si="7"/>
        <v>0</v>
      </c>
      <c r="K103" s="565"/>
      <c r="L103" s="565"/>
    </row>
    <row r="104" spans="1:32" s="557" customFormat="1" x14ac:dyDescent="0.25">
      <c r="A104" s="551" t="str">
        <f>+Info!$B$2</f>
        <v>724</v>
      </c>
      <c r="B104" s="551"/>
      <c r="C104" s="551"/>
      <c r="D104" s="578"/>
      <c r="E104" s="579"/>
      <c r="F104" s="579"/>
      <c r="G104" s="580">
        <f t="shared" si="7"/>
        <v>0</v>
      </c>
      <c r="K104" s="565"/>
      <c r="L104" s="565"/>
    </row>
    <row r="105" spans="1:32" s="557" customFormat="1" x14ac:dyDescent="0.25">
      <c r="A105" s="551" t="str">
        <f>+Info!$B$2</f>
        <v>724</v>
      </c>
      <c r="B105" s="551"/>
      <c r="C105" s="551"/>
      <c r="D105" s="578"/>
      <c r="E105" s="579"/>
      <c r="F105" s="579"/>
      <c r="G105" s="580">
        <f t="shared" si="7"/>
        <v>0</v>
      </c>
      <c r="K105" s="565"/>
      <c r="L105" s="565"/>
    </row>
    <row r="106" spans="1:32" s="557" customFormat="1" x14ac:dyDescent="0.25">
      <c r="A106" s="551" t="str">
        <f>+Info!$B$2</f>
        <v>724</v>
      </c>
      <c r="B106" s="551"/>
      <c r="C106" s="551"/>
      <c r="D106" s="578"/>
      <c r="E106" s="579"/>
      <c r="F106" s="579"/>
      <c r="G106" s="580">
        <f t="shared" si="7"/>
        <v>0</v>
      </c>
      <c r="K106" s="565"/>
      <c r="L106" s="565"/>
    </row>
    <row r="107" spans="1:32" s="557" customFormat="1" x14ac:dyDescent="0.25">
      <c r="A107" s="551" t="str">
        <f>+Info!$B$2</f>
        <v>724</v>
      </c>
      <c r="B107" s="551"/>
      <c r="C107" s="551"/>
      <c r="D107" s="578"/>
      <c r="E107" s="579"/>
      <c r="F107" s="579"/>
      <c r="G107" s="580">
        <f t="shared" si="7"/>
        <v>0</v>
      </c>
      <c r="K107" s="565"/>
      <c r="L107" s="565"/>
    </row>
    <row r="108" spans="1:32" s="557" customFormat="1" x14ac:dyDescent="0.25">
      <c r="A108" s="551" t="str">
        <f>+Info!$B$2</f>
        <v>724</v>
      </c>
      <c r="B108" s="551"/>
      <c r="C108" s="551"/>
      <c r="D108" s="578"/>
      <c r="E108" s="579"/>
      <c r="F108" s="579"/>
      <c r="G108" s="580">
        <f t="shared" si="7"/>
        <v>0</v>
      </c>
      <c r="K108" s="565"/>
      <c r="L108" s="565"/>
    </row>
    <row r="109" spans="1:32" s="557" customFormat="1" x14ac:dyDescent="0.25">
      <c r="A109" s="551" t="str">
        <f>+Info!$B$2</f>
        <v>724</v>
      </c>
      <c r="B109" s="551"/>
      <c r="C109" s="551"/>
      <c r="D109" s="578"/>
      <c r="E109" s="579"/>
      <c r="F109" s="579"/>
      <c r="G109" s="580">
        <f t="shared" si="7"/>
        <v>0</v>
      </c>
      <c r="K109" s="565"/>
      <c r="L109" s="565"/>
    </row>
    <row r="110" spans="1:32" s="557" customFormat="1" x14ac:dyDescent="0.25">
      <c r="A110" s="551" t="str">
        <f>+Info!$B$2</f>
        <v>724</v>
      </c>
      <c r="B110" s="551"/>
      <c r="C110" s="551"/>
      <c r="D110" s="578"/>
      <c r="E110" s="579"/>
      <c r="F110" s="579"/>
      <c r="G110" s="580">
        <f t="shared" si="7"/>
        <v>0</v>
      </c>
      <c r="H110" s="551"/>
      <c r="I110" s="551"/>
      <c r="J110" s="551"/>
      <c r="K110" s="565"/>
      <c r="L110" s="565"/>
    </row>
    <row r="111" spans="1:32" s="557" customFormat="1" x14ac:dyDescent="0.25">
      <c r="A111" s="551" t="str">
        <f>+Info!$B$2</f>
        <v>724</v>
      </c>
      <c r="B111" s="551"/>
      <c r="C111" s="551"/>
      <c r="D111" s="578"/>
      <c r="E111" s="579"/>
      <c r="F111" s="579"/>
      <c r="G111" s="580">
        <f t="shared" si="7"/>
        <v>0</v>
      </c>
      <c r="H111" s="551"/>
      <c r="I111" s="551"/>
      <c r="J111" s="551"/>
      <c r="K111" s="565"/>
      <c r="L111" s="565"/>
    </row>
    <row r="112" spans="1:32" s="557" customFormat="1" x14ac:dyDescent="0.25">
      <c r="A112" s="551" t="str">
        <f>+Info!$B$2</f>
        <v>724</v>
      </c>
      <c r="B112" s="551"/>
      <c r="C112" s="551"/>
      <c r="D112" s="551"/>
      <c r="E112" s="551"/>
      <c r="F112" s="551"/>
      <c r="G112" s="551"/>
      <c r="H112" s="551"/>
      <c r="I112" s="551"/>
      <c r="J112" s="551"/>
      <c r="K112" s="565"/>
      <c r="L112" s="565"/>
    </row>
    <row r="113" spans="1:32" s="557" customFormat="1" x14ac:dyDescent="0.25">
      <c r="A113" s="551" t="str">
        <f>+Info!$B$2</f>
        <v>724</v>
      </c>
      <c r="B113" s="551"/>
      <c r="C113" s="551"/>
      <c r="D113" s="551"/>
      <c r="E113" s="551"/>
      <c r="F113" s="551"/>
      <c r="G113" s="551"/>
      <c r="H113" s="551"/>
      <c r="I113" s="551"/>
      <c r="J113" s="551"/>
      <c r="K113" s="565"/>
      <c r="L113" s="565"/>
    </row>
    <row r="114" spans="1:32" s="557" customFormat="1" x14ac:dyDescent="0.25">
      <c r="A114" s="551" t="str">
        <f>+Info!$B$2</f>
        <v>724</v>
      </c>
      <c r="B114" s="551"/>
      <c r="C114" s="551"/>
      <c r="D114" s="551"/>
      <c r="E114" s="551"/>
      <c r="F114" s="551"/>
      <c r="G114" s="551"/>
      <c r="H114" s="551"/>
      <c r="I114" s="551"/>
      <c r="J114" s="551"/>
      <c r="K114" s="565"/>
      <c r="L114" s="565"/>
    </row>
    <row r="115" spans="1:32" s="557" customFormat="1" ht="15" customHeight="1" x14ac:dyDescent="0.25">
      <c r="A115" s="551" t="str">
        <f>+Info!$B$2</f>
        <v>724</v>
      </c>
      <c r="B115" s="551"/>
      <c r="C115" s="551"/>
      <c r="F115" s="919" t="s">
        <v>4228</v>
      </c>
      <c r="G115" s="919" t="s">
        <v>4206</v>
      </c>
      <c r="H115" s="919"/>
      <c r="I115" s="919"/>
      <c r="J115" s="919"/>
      <c r="K115" s="565"/>
      <c r="L115" s="565"/>
    </row>
    <row r="116" spans="1:32" s="557" customFormat="1" ht="36" customHeight="1" x14ac:dyDescent="0.25">
      <c r="A116" s="551" t="str">
        <f>+Info!$B$2</f>
        <v>724</v>
      </c>
      <c r="B116" s="582" t="s">
        <v>940</v>
      </c>
      <c r="C116" s="582" t="s">
        <v>941</v>
      </c>
      <c r="D116" s="921" t="s">
        <v>4229</v>
      </c>
      <c r="E116" s="921"/>
      <c r="F116" s="919"/>
      <c r="G116" s="340" t="s">
        <v>4230</v>
      </c>
      <c r="H116" s="340" t="s">
        <v>4210</v>
      </c>
      <c r="I116" s="340" t="s">
        <v>4231</v>
      </c>
      <c r="J116" s="340" t="s">
        <v>4232</v>
      </c>
      <c r="K116" s="565"/>
      <c r="L116" s="565"/>
    </row>
    <row r="117" spans="1:32" s="557" customFormat="1" x14ac:dyDescent="0.25">
      <c r="A117" s="551" t="str">
        <f>+Info!$B$2</f>
        <v>724</v>
      </c>
      <c r="B117" s="559" t="s">
        <v>940</v>
      </c>
      <c r="C117" s="559" t="str">
        <f t="shared" ref="C117:C130" si="8">$C$116</f>
        <v>1.10.20.90.000.000.00.000</v>
      </c>
      <c r="D117" s="929"/>
      <c r="E117" s="929"/>
      <c r="F117" s="563"/>
      <c r="G117" s="583"/>
      <c r="H117" s="583"/>
      <c r="I117" s="583"/>
      <c r="J117" s="584">
        <f t="shared" ref="J117:J130" si="9">+G117+H117+I117</f>
        <v>0</v>
      </c>
      <c r="K117" s="565"/>
      <c r="L117" s="565"/>
      <c r="AC117" s="557" t="str">
        <f>C116</f>
        <v>1.10.20.90.000.000.00.000</v>
      </c>
      <c r="AD117" s="577">
        <f>J131</f>
        <v>0</v>
      </c>
      <c r="AE117" s="570">
        <f>E131</f>
        <v>0</v>
      </c>
      <c r="AF117" s="551">
        <f>IF($AD117=$AE117,0,1)</f>
        <v>0</v>
      </c>
    </row>
    <row r="118" spans="1:32" s="557" customFormat="1" x14ac:dyDescent="0.25">
      <c r="A118" s="551" t="str">
        <f>+Info!$B$2</f>
        <v>724</v>
      </c>
      <c r="B118" s="559" t="s">
        <v>940</v>
      </c>
      <c r="C118" s="559" t="str">
        <f t="shared" si="8"/>
        <v>1.10.20.90.000.000.00.000</v>
      </c>
      <c r="D118" s="929"/>
      <c r="E118" s="929"/>
      <c r="F118" s="563"/>
      <c r="G118" s="583"/>
      <c r="H118" s="583"/>
      <c r="I118" s="583"/>
      <c r="J118" s="584">
        <f t="shared" si="9"/>
        <v>0</v>
      </c>
      <c r="K118" s="565"/>
      <c r="L118" s="565"/>
    </row>
    <row r="119" spans="1:32" s="557" customFormat="1" x14ac:dyDescent="0.25">
      <c r="A119" s="551" t="str">
        <f>+Info!$B$2</f>
        <v>724</v>
      </c>
      <c r="B119" s="559" t="s">
        <v>940</v>
      </c>
      <c r="C119" s="559" t="str">
        <f t="shared" si="8"/>
        <v>1.10.20.90.000.000.00.000</v>
      </c>
      <c r="D119" s="929"/>
      <c r="E119" s="929"/>
      <c r="F119" s="563"/>
      <c r="G119" s="583"/>
      <c r="H119" s="583"/>
      <c r="I119" s="583"/>
      <c r="J119" s="584">
        <f t="shared" si="9"/>
        <v>0</v>
      </c>
      <c r="K119" s="565"/>
      <c r="L119" s="565"/>
    </row>
    <row r="120" spans="1:32" s="557" customFormat="1" x14ac:dyDescent="0.25">
      <c r="A120" s="551" t="str">
        <f>+Info!$B$2</f>
        <v>724</v>
      </c>
      <c r="B120" s="559" t="s">
        <v>940</v>
      </c>
      <c r="C120" s="559" t="str">
        <f t="shared" si="8"/>
        <v>1.10.20.90.000.000.00.000</v>
      </c>
      <c r="D120" s="929"/>
      <c r="E120" s="929"/>
      <c r="F120" s="563"/>
      <c r="G120" s="583"/>
      <c r="H120" s="583"/>
      <c r="I120" s="583"/>
      <c r="J120" s="584">
        <f t="shared" si="9"/>
        <v>0</v>
      </c>
      <c r="K120" s="565"/>
      <c r="L120" s="565"/>
    </row>
    <row r="121" spans="1:32" s="557" customFormat="1" x14ac:dyDescent="0.25">
      <c r="A121" s="551" t="str">
        <f>+Info!$B$2</f>
        <v>724</v>
      </c>
      <c r="B121" s="559" t="s">
        <v>940</v>
      </c>
      <c r="C121" s="559" t="str">
        <f t="shared" si="8"/>
        <v>1.10.20.90.000.000.00.000</v>
      </c>
      <c r="D121" s="929"/>
      <c r="E121" s="929"/>
      <c r="F121" s="563"/>
      <c r="G121" s="583"/>
      <c r="H121" s="583"/>
      <c r="I121" s="583"/>
      <c r="J121" s="584">
        <f t="shared" si="9"/>
        <v>0</v>
      </c>
      <c r="K121" s="565"/>
      <c r="L121" s="565"/>
    </row>
    <row r="122" spans="1:32" s="557" customFormat="1" x14ac:dyDescent="0.25">
      <c r="A122" s="551" t="str">
        <f>+Info!$B$2</f>
        <v>724</v>
      </c>
      <c r="B122" s="559" t="s">
        <v>940</v>
      </c>
      <c r="C122" s="559" t="str">
        <f t="shared" si="8"/>
        <v>1.10.20.90.000.000.00.000</v>
      </c>
      <c r="D122" s="929"/>
      <c r="E122" s="929"/>
      <c r="F122" s="563"/>
      <c r="G122" s="583"/>
      <c r="H122" s="583"/>
      <c r="I122" s="583"/>
      <c r="J122" s="584">
        <f t="shared" si="9"/>
        <v>0</v>
      </c>
      <c r="K122" s="565"/>
      <c r="L122" s="565"/>
    </row>
    <row r="123" spans="1:32" s="557" customFormat="1" x14ac:dyDescent="0.25">
      <c r="A123" s="551" t="str">
        <f>+Info!$B$2</f>
        <v>724</v>
      </c>
      <c r="B123" s="559" t="s">
        <v>940</v>
      </c>
      <c r="C123" s="559" t="str">
        <f t="shared" si="8"/>
        <v>1.10.20.90.000.000.00.000</v>
      </c>
      <c r="D123" s="929"/>
      <c r="E123" s="929"/>
      <c r="F123" s="563"/>
      <c r="G123" s="583"/>
      <c r="H123" s="583"/>
      <c r="I123" s="583"/>
      <c r="J123" s="584">
        <f t="shared" si="9"/>
        <v>0</v>
      </c>
      <c r="K123" s="565"/>
      <c r="L123" s="565"/>
    </row>
    <row r="124" spans="1:32" s="557" customFormat="1" x14ac:dyDescent="0.25">
      <c r="A124" s="551" t="str">
        <f>+Info!$B$2</f>
        <v>724</v>
      </c>
      <c r="B124" s="559" t="s">
        <v>940</v>
      </c>
      <c r="C124" s="559" t="str">
        <f t="shared" si="8"/>
        <v>1.10.20.90.000.000.00.000</v>
      </c>
      <c r="D124" s="929"/>
      <c r="E124" s="929"/>
      <c r="F124" s="563"/>
      <c r="G124" s="583"/>
      <c r="H124" s="583"/>
      <c r="I124" s="583"/>
      <c r="J124" s="584">
        <f t="shared" si="9"/>
        <v>0</v>
      </c>
      <c r="K124" s="565"/>
      <c r="L124" s="565"/>
    </row>
    <row r="125" spans="1:32" s="557" customFormat="1" x14ac:dyDescent="0.25">
      <c r="A125" s="551" t="str">
        <f>+Info!$B$2</f>
        <v>724</v>
      </c>
      <c r="B125" s="559" t="s">
        <v>940</v>
      </c>
      <c r="C125" s="559" t="str">
        <f t="shared" si="8"/>
        <v>1.10.20.90.000.000.00.000</v>
      </c>
      <c r="D125" s="929"/>
      <c r="E125" s="929"/>
      <c r="F125" s="563"/>
      <c r="G125" s="583"/>
      <c r="H125" s="583"/>
      <c r="I125" s="583"/>
      <c r="J125" s="584">
        <f t="shared" si="9"/>
        <v>0</v>
      </c>
      <c r="K125" s="565"/>
      <c r="L125" s="565"/>
    </row>
    <row r="126" spans="1:32" s="557" customFormat="1" x14ac:dyDescent="0.25">
      <c r="A126" s="551" t="str">
        <f>+Info!$B$2</f>
        <v>724</v>
      </c>
      <c r="B126" s="559" t="s">
        <v>940</v>
      </c>
      <c r="C126" s="559" t="str">
        <f t="shared" si="8"/>
        <v>1.10.20.90.000.000.00.000</v>
      </c>
      <c r="D126" s="929"/>
      <c r="E126" s="929"/>
      <c r="F126" s="563"/>
      <c r="G126" s="583"/>
      <c r="H126" s="583"/>
      <c r="I126" s="583"/>
      <c r="J126" s="584">
        <f t="shared" si="9"/>
        <v>0</v>
      </c>
      <c r="K126" s="565"/>
      <c r="L126" s="565"/>
    </row>
    <row r="127" spans="1:32" s="557" customFormat="1" x14ac:dyDescent="0.25">
      <c r="A127" s="551" t="str">
        <f>+Info!$B$2</f>
        <v>724</v>
      </c>
      <c r="B127" s="559" t="s">
        <v>940</v>
      </c>
      <c r="C127" s="559" t="str">
        <f t="shared" si="8"/>
        <v>1.10.20.90.000.000.00.000</v>
      </c>
      <c r="D127" s="929"/>
      <c r="E127" s="929"/>
      <c r="F127" s="563"/>
      <c r="G127" s="583"/>
      <c r="H127" s="583"/>
      <c r="I127" s="583"/>
      <c r="J127" s="584">
        <f t="shared" si="9"/>
        <v>0</v>
      </c>
      <c r="K127" s="565"/>
      <c r="L127" s="565"/>
    </row>
    <row r="128" spans="1:32" s="557" customFormat="1" x14ac:dyDescent="0.25">
      <c r="A128" s="551" t="str">
        <f>+Info!$B$2</f>
        <v>724</v>
      </c>
      <c r="B128" s="559" t="s">
        <v>940</v>
      </c>
      <c r="C128" s="559" t="str">
        <f t="shared" si="8"/>
        <v>1.10.20.90.000.000.00.000</v>
      </c>
      <c r="D128" s="929"/>
      <c r="E128" s="929"/>
      <c r="F128" s="563"/>
      <c r="G128" s="583"/>
      <c r="H128" s="583"/>
      <c r="I128" s="583"/>
      <c r="J128" s="584">
        <f t="shared" si="9"/>
        <v>0</v>
      </c>
      <c r="K128" s="565"/>
      <c r="L128" s="565"/>
    </row>
    <row r="129" spans="1:14" s="557" customFormat="1" x14ac:dyDescent="0.25">
      <c r="A129" s="551" t="str">
        <f>+Info!$B$2</f>
        <v>724</v>
      </c>
      <c r="B129" s="559" t="s">
        <v>940</v>
      </c>
      <c r="C129" s="559" t="str">
        <f t="shared" si="8"/>
        <v>1.10.20.90.000.000.00.000</v>
      </c>
      <c r="D129" s="929"/>
      <c r="E129" s="929"/>
      <c r="F129" s="563"/>
      <c r="G129" s="583"/>
      <c r="H129" s="583"/>
      <c r="I129" s="583"/>
      <c r="J129" s="584">
        <f t="shared" si="9"/>
        <v>0</v>
      </c>
      <c r="K129" s="565"/>
      <c r="L129" s="565"/>
    </row>
    <row r="130" spans="1:14" s="557" customFormat="1" x14ac:dyDescent="0.25">
      <c r="A130" s="551" t="str">
        <f>+Info!$B$2</f>
        <v>724</v>
      </c>
      <c r="B130" s="559" t="s">
        <v>940</v>
      </c>
      <c r="C130" s="559" t="str">
        <f t="shared" si="8"/>
        <v>1.10.20.90.000.000.00.000</v>
      </c>
      <c r="D130" s="930"/>
      <c r="E130" s="930"/>
      <c r="F130" s="563"/>
      <c r="G130" s="583"/>
      <c r="H130" s="583"/>
      <c r="I130" s="583"/>
      <c r="J130" s="584">
        <f t="shared" si="9"/>
        <v>0</v>
      </c>
      <c r="K130" s="565"/>
      <c r="L130" s="565"/>
    </row>
    <row r="131" spans="1:14" s="557" customFormat="1" x14ac:dyDescent="0.25">
      <c r="A131" s="551" t="str">
        <f>+Info!$B$2</f>
        <v>724</v>
      </c>
      <c r="B131" s="551"/>
      <c r="C131" s="551"/>
      <c r="D131" s="551"/>
      <c r="E131" s="569">
        <f>SUMIF('NI-Ric_SP'!$C:$C,$C116,'NI-Ric_SP'!$O:$O)</f>
        <v>0</v>
      </c>
      <c r="F131" s="928" t="str">
        <f>IF(J131=E131,"Quadratura OK!","Squadratura con dati Bilancio!")</f>
        <v>Quadratura OK!</v>
      </c>
      <c r="G131" s="928"/>
      <c r="H131" s="928"/>
      <c r="I131" s="585" t="s">
        <v>4251</v>
      </c>
      <c r="J131" s="586">
        <f>SUM(J117:J130)</f>
        <v>0</v>
      </c>
      <c r="K131" s="565"/>
      <c r="L131" s="565"/>
    </row>
    <row r="132" spans="1:14" s="557" customFormat="1" x14ac:dyDescent="0.25">
      <c r="A132" s="551" t="str">
        <f>+Info!$B$2</f>
        <v>724</v>
      </c>
      <c r="B132" s="565"/>
      <c r="C132" s="565"/>
      <c r="D132" s="565"/>
      <c r="E132" s="565"/>
      <c r="F132" s="565"/>
      <c r="G132" s="565"/>
      <c r="H132" s="565"/>
      <c r="I132" s="565"/>
      <c r="J132" s="565"/>
      <c r="K132" s="565"/>
      <c r="L132" s="565"/>
    </row>
    <row r="133" spans="1:14" s="557" customFormat="1" ht="19.5" x14ac:dyDescent="0.3">
      <c r="A133" s="551" t="str">
        <f>+Info!$B$2</f>
        <v>724</v>
      </c>
      <c r="B133" s="565"/>
      <c r="C133" s="565"/>
      <c r="D133" s="926" t="s">
        <v>4252</v>
      </c>
      <c r="E133" s="926"/>
      <c r="F133" s="926"/>
      <c r="G133" s="926"/>
      <c r="H133" s="926"/>
      <c r="I133" s="926"/>
      <c r="J133" s="926"/>
      <c r="K133" s="926"/>
      <c r="L133" s="926"/>
      <c r="M133" s="926"/>
      <c r="N133" s="926"/>
    </row>
    <row r="134" spans="1:14" s="557" customFormat="1" ht="19.5" x14ac:dyDescent="0.3">
      <c r="A134" s="551"/>
      <c r="B134" s="565"/>
      <c r="C134" s="565"/>
      <c r="D134" s="587"/>
      <c r="E134" s="587"/>
      <c r="F134" s="587"/>
      <c r="G134" s="587"/>
      <c r="H134" s="587"/>
      <c r="I134" s="587"/>
      <c r="J134" s="587"/>
      <c r="K134" s="587"/>
      <c r="L134" s="587"/>
      <c r="M134" s="587"/>
      <c r="N134" s="587"/>
    </row>
    <row r="135" spans="1:14" s="557" customFormat="1" ht="19.5" hidden="1" customHeight="1" x14ac:dyDescent="0.3">
      <c r="A135" s="551"/>
      <c r="B135" s="588"/>
      <c r="C135" s="588" t="s">
        <v>4253</v>
      </c>
      <c r="D135" s="588" t="s">
        <v>4254</v>
      </c>
      <c r="E135" s="581"/>
      <c r="F135" s="587"/>
      <c r="G135" s="587"/>
      <c r="H135" s="581">
        <v>0</v>
      </c>
      <c r="I135" s="581">
        <v>0</v>
      </c>
      <c r="J135" s="581">
        <v>0</v>
      </c>
      <c r="K135" s="581">
        <v>0</v>
      </c>
      <c r="L135" s="581">
        <v>0</v>
      </c>
      <c r="M135" s="581">
        <v>0</v>
      </c>
      <c r="N135" s="587"/>
    </row>
    <row r="136" spans="1:14" s="557" customFormat="1" ht="15" hidden="1" customHeight="1" x14ac:dyDescent="0.25">
      <c r="A136" s="551"/>
      <c r="B136" s="581"/>
      <c r="C136" s="581"/>
      <c r="D136" s="581"/>
      <c r="E136" s="581"/>
      <c r="F136" s="581"/>
      <c r="G136" s="581"/>
      <c r="H136" s="581">
        <v>0</v>
      </c>
      <c r="I136" s="581">
        <v>0</v>
      </c>
      <c r="J136" s="581">
        <v>0</v>
      </c>
      <c r="K136" s="581">
        <v>0</v>
      </c>
      <c r="L136" s="581">
        <v>0</v>
      </c>
      <c r="M136" s="581">
        <v>0</v>
      </c>
      <c r="N136" s="581"/>
    </row>
    <row r="137" spans="1:14" s="557" customFormat="1" ht="19.5" hidden="1" customHeight="1" x14ac:dyDescent="0.3">
      <c r="A137" s="551"/>
      <c r="B137" s="581"/>
      <c r="C137" s="581"/>
      <c r="D137" s="587"/>
      <c r="E137" s="587"/>
      <c r="F137" s="587"/>
      <c r="G137" s="587"/>
      <c r="H137" s="581">
        <v>0</v>
      </c>
      <c r="I137" s="581">
        <v>0</v>
      </c>
      <c r="J137" s="581">
        <v>0</v>
      </c>
      <c r="K137" s="581">
        <v>0</v>
      </c>
      <c r="L137" s="581">
        <v>0</v>
      </c>
      <c r="M137" s="581">
        <v>0</v>
      </c>
      <c r="N137" s="581"/>
    </row>
    <row r="138" spans="1:14" ht="15" hidden="1" customHeight="1" x14ac:dyDescent="0.25">
      <c r="A138" s="551" t="str">
        <f>+Info!$B$2</f>
        <v>724</v>
      </c>
      <c r="B138"/>
      <c r="C138"/>
      <c r="D138"/>
      <c r="E138"/>
      <c r="F138"/>
      <c r="G138"/>
      <c r="H138" s="581">
        <v>0</v>
      </c>
      <c r="I138" s="581">
        <v>0</v>
      </c>
      <c r="J138" s="581">
        <v>0</v>
      </c>
      <c r="K138" s="581">
        <v>0</v>
      </c>
      <c r="L138" s="581">
        <v>0</v>
      </c>
      <c r="M138" s="581">
        <v>0</v>
      </c>
      <c r="N138" s="581"/>
    </row>
    <row r="139" spans="1:14" ht="36" x14ac:dyDescent="0.25">
      <c r="A139" s="551" t="str">
        <f>+Info!$B$2</f>
        <v>724</v>
      </c>
      <c r="D139" s="589" t="s">
        <v>4255</v>
      </c>
      <c r="E139" s="590" t="s">
        <v>4256</v>
      </c>
      <c r="F139" s="590" t="s">
        <v>4257</v>
      </c>
      <c r="G139" s="590" t="s">
        <v>4258</v>
      </c>
      <c r="H139" s="590" t="s">
        <v>4259</v>
      </c>
      <c r="I139" s="590" t="s">
        <v>4260</v>
      </c>
      <c r="J139" s="590" t="s">
        <v>4261</v>
      </c>
      <c r="K139" s="590" t="s">
        <v>4262</v>
      </c>
      <c r="L139" s="590" t="s">
        <v>4263</v>
      </c>
      <c r="M139" s="590" t="s">
        <v>4264</v>
      </c>
      <c r="N139" s="590" t="s">
        <v>4265</v>
      </c>
    </row>
    <row r="140" spans="1:14" x14ac:dyDescent="0.25">
      <c r="A140" s="551" t="str">
        <f>+Info!$B$2</f>
        <v>724</v>
      </c>
      <c r="B140" s="591" t="s">
        <v>1097</v>
      </c>
      <c r="C140" s="591" t="s">
        <v>1098</v>
      </c>
      <c r="D140" s="591" t="s">
        <v>4266</v>
      </c>
      <c r="E140" s="592"/>
      <c r="F140" s="592"/>
      <c r="G140" s="592"/>
      <c r="H140" s="592"/>
      <c r="I140" s="592"/>
      <c r="J140" s="592"/>
      <c r="K140" s="592"/>
      <c r="L140" s="592"/>
      <c r="M140" s="592"/>
      <c r="N140" s="592"/>
    </row>
    <row r="141" spans="1:14" x14ac:dyDescent="0.25">
      <c r="A141" s="551" t="str">
        <f>+Info!$B$2</f>
        <v>724</v>
      </c>
      <c r="B141" s="559" t="s">
        <v>1097</v>
      </c>
      <c r="C141" s="559" t="str">
        <f t="shared" ref="C141:C152" si="10">$C$140</f>
        <v>1.10.30.20.010.010.00.000</v>
      </c>
      <c r="D141" s="593"/>
      <c r="E141" s="563"/>
      <c r="F141" s="563"/>
      <c r="G141" s="563"/>
      <c r="H141" s="563"/>
      <c r="I141" s="563"/>
      <c r="J141" s="563"/>
      <c r="K141" s="563"/>
      <c r="L141" s="563"/>
      <c r="M141" s="563"/>
      <c r="N141" s="563"/>
    </row>
    <row r="142" spans="1:14" x14ac:dyDescent="0.25">
      <c r="A142" s="551" t="str">
        <f>+Info!$B$2</f>
        <v>724</v>
      </c>
      <c r="B142" s="559" t="s">
        <v>1097</v>
      </c>
      <c r="C142" s="559" t="str">
        <f t="shared" si="10"/>
        <v>1.10.30.20.010.010.00.000</v>
      </c>
      <c r="D142" s="59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/>
    </row>
    <row r="143" spans="1:14" x14ac:dyDescent="0.25">
      <c r="A143" s="551" t="str">
        <f>+Info!$B$2</f>
        <v>724</v>
      </c>
      <c r="B143" s="559" t="s">
        <v>1097</v>
      </c>
      <c r="C143" s="559" t="str">
        <f t="shared" si="10"/>
        <v>1.10.30.20.010.010.00.000</v>
      </c>
      <c r="D143" s="59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/>
    </row>
    <row r="144" spans="1:14" x14ac:dyDescent="0.25">
      <c r="A144" s="551" t="str">
        <f>+Info!$B$2</f>
        <v>724</v>
      </c>
      <c r="B144" s="559" t="s">
        <v>1097</v>
      </c>
      <c r="C144" s="559" t="str">
        <f t="shared" si="10"/>
        <v>1.10.30.20.010.010.00.000</v>
      </c>
      <c r="D144" s="59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/>
    </row>
    <row r="145" spans="1:14" x14ac:dyDescent="0.25">
      <c r="A145" s="551" t="str">
        <f>+Info!$B$2</f>
        <v>724</v>
      </c>
      <c r="B145" s="559" t="s">
        <v>1097</v>
      </c>
      <c r="C145" s="559" t="str">
        <f t="shared" si="10"/>
        <v>1.10.30.20.010.010.00.000</v>
      </c>
      <c r="D145" s="59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/>
    </row>
    <row r="146" spans="1:14" x14ac:dyDescent="0.25">
      <c r="A146" s="551" t="str">
        <f>+Info!$B$2</f>
        <v>724</v>
      </c>
      <c r="B146" s="559" t="s">
        <v>1097</v>
      </c>
      <c r="C146" s="559" t="str">
        <f t="shared" si="10"/>
        <v>1.10.30.20.010.010.00.000</v>
      </c>
      <c r="D146" s="593"/>
      <c r="E146" s="563"/>
      <c r="F146" s="563"/>
      <c r="G146" s="563"/>
      <c r="H146" s="563"/>
      <c r="I146" s="563"/>
      <c r="J146" s="563"/>
      <c r="K146" s="563"/>
      <c r="L146" s="563"/>
      <c r="M146" s="563"/>
      <c r="N146" s="563"/>
    </row>
    <row r="147" spans="1:14" x14ac:dyDescent="0.25">
      <c r="A147" s="551" t="str">
        <f>+Info!$B$2</f>
        <v>724</v>
      </c>
      <c r="B147" s="559" t="s">
        <v>1097</v>
      </c>
      <c r="C147" s="559" t="str">
        <f t="shared" si="10"/>
        <v>1.10.30.20.010.010.00.000</v>
      </c>
      <c r="D147" s="593"/>
      <c r="E147" s="563"/>
      <c r="F147" s="563"/>
      <c r="G147" s="563"/>
      <c r="H147" s="563"/>
      <c r="I147" s="563"/>
      <c r="J147" s="563"/>
      <c r="K147" s="563"/>
      <c r="L147" s="563"/>
      <c r="M147" s="563"/>
      <c r="N147" s="563"/>
    </row>
    <row r="148" spans="1:14" x14ac:dyDescent="0.25">
      <c r="A148" s="551" t="str">
        <f>+Info!$B$2</f>
        <v>724</v>
      </c>
      <c r="B148" s="559" t="s">
        <v>1097</v>
      </c>
      <c r="C148" s="559" t="str">
        <f t="shared" si="10"/>
        <v>1.10.30.20.010.010.00.000</v>
      </c>
      <c r="D148" s="593"/>
      <c r="E148" s="563"/>
      <c r="F148" s="563"/>
      <c r="G148" s="563"/>
      <c r="H148" s="563"/>
      <c r="I148" s="563"/>
      <c r="J148" s="563"/>
      <c r="K148" s="563"/>
      <c r="L148" s="563"/>
      <c r="M148" s="563"/>
      <c r="N148" s="563"/>
    </row>
    <row r="149" spans="1:14" x14ac:dyDescent="0.25">
      <c r="A149" s="551" t="str">
        <f>+Info!$B$2</f>
        <v>724</v>
      </c>
      <c r="B149" s="559" t="s">
        <v>1097</v>
      </c>
      <c r="C149" s="559" t="str">
        <f t="shared" si="10"/>
        <v>1.10.30.20.010.010.00.000</v>
      </c>
      <c r="D149" s="593"/>
      <c r="E149" s="563"/>
      <c r="F149" s="563"/>
      <c r="G149" s="563"/>
      <c r="H149" s="563"/>
      <c r="I149" s="563"/>
      <c r="J149" s="563"/>
      <c r="K149" s="563"/>
      <c r="L149" s="563"/>
      <c r="M149" s="563"/>
      <c r="N149" s="563"/>
    </row>
    <row r="150" spans="1:14" x14ac:dyDescent="0.25">
      <c r="A150" s="551" t="str">
        <f>+Info!$B$2</f>
        <v>724</v>
      </c>
      <c r="B150" s="559" t="s">
        <v>1097</v>
      </c>
      <c r="C150" s="559" t="str">
        <f t="shared" si="10"/>
        <v>1.10.30.20.010.010.00.000</v>
      </c>
      <c r="D150" s="593"/>
      <c r="E150" s="563"/>
      <c r="F150" s="563"/>
      <c r="G150" s="563"/>
      <c r="H150" s="563"/>
      <c r="I150" s="563"/>
      <c r="J150" s="563"/>
      <c r="K150" s="563"/>
      <c r="L150" s="563"/>
      <c r="M150" s="563"/>
      <c r="N150" s="563"/>
    </row>
    <row r="151" spans="1:14" x14ac:dyDescent="0.25">
      <c r="A151" s="551" t="str">
        <f>+Info!$B$2</f>
        <v>724</v>
      </c>
      <c r="B151" s="559" t="s">
        <v>1097</v>
      </c>
      <c r="C151" s="559" t="str">
        <f t="shared" si="10"/>
        <v>1.10.30.20.010.010.00.000</v>
      </c>
      <c r="D151" s="59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3"/>
    </row>
    <row r="152" spans="1:14" x14ac:dyDescent="0.25">
      <c r="A152" s="551" t="str">
        <f>+Info!$B$2</f>
        <v>724</v>
      </c>
      <c r="B152" s="559" t="s">
        <v>1097</v>
      </c>
      <c r="C152" s="559" t="str">
        <f t="shared" si="10"/>
        <v>1.10.30.20.010.010.00.000</v>
      </c>
      <c r="D152" s="593"/>
      <c r="E152" s="563"/>
      <c r="F152" s="563"/>
      <c r="G152" s="563"/>
      <c r="H152" s="563"/>
      <c r="I152" s="563"/>
      <c r="J152" s="563"/>
      <c r="K152" s="563"/>
      <c r="L152" s="563"/>
      <c r="M152" s="563"/>
      <c r="N152" s="563"/>
    </row>
    <row r="153" spans="1:14" x14ac:dyDescent="0.25">
      <c r="A153" s="551" t="str">
        <f>+Info!$B$2</f>
        <v>724</v>
      </c>
      <c r="B153" s="559" t="s">
        <v>1100</v>
      </c>
      <c r="C153" s="594" t="s">
        <v>1101</v>
      </c>
      <c r="D153" s="594" t="s">
        <v>4267</v>
      </c>
      <c r="E153" s="595"/>
      <c r="F153" s="595"/>
      <c r="G153" s="595"/>
      <c r="H153" s="595"/>
      <c r="I153" s="595"/>
      <c r="J153" s="595"/>
      <c r="K153" s="595"/>
      <c r="L153" s="595"/>
      <c r="M153" s="595"/>
      <c r="N153" s="595"/>
    </row>
    <row r="154" spans="1:14" x14ac:dyDescent="0.25">
      <c r="A154" s="551" t="str">
        <f>+Info!$B$2</f>
        <v>724</v>
      </c>
      <c r="B154" s="559" t="s">
        <v>1100</v>
      </c>
      <c r="C154" s="559" t="str">
        <f t="shared" ref="C154:C165" si="11">$C$153</f>
        <v>1.10.30.20.010.015.00.000</v>
      </c>
      <c r="D154" s="593"/>
      <c r="E154" s="563"/>
      <c r="F154" s="563"/>
      <c r="G154" s="563"/>
      <c r="H154" s="563"/>
      <c r="I154" s="563"/>
      <c r="J154" s="563"/>
      <c r="K154" s="563"/>
      <c r="L154" s="563"/>
      <c r="M154" s="563"/>
      <c r="N154" s="563"/>
    </row>
    <row r="155" spans="1:14" x14ac:dyDescent="0.25">
      <c r="A155" s="551" t="str">
        <f>+Info!$B$2</f>
        <v>724</v>
      </c>
      <c r="B155" s="559" t="s">
        <v>1100</v>
      </c>
      <c r="C155" s="559" t="str">
        <f t="shared" si="11"/>
        <v>1.10.30.20.010.015.00.000</v>
      </c>
      <c r="D155" s="593"/>
      <c r="E155" s="563"/>
      <c r="F155" s="563"/>
      <c r="G155" s="563"/>
      <c r="H155" s="563"/>
      <c r="I155" s="563"/>
      <c r="J155" s="563"/>
      <c r="K155" s="563"/>
      <c r="L155" s="563"/>
      <c r="M155" s="563"/>
      <c r="N155" s="563"/>
    </row>
    <row r="156" spans="1:14" x14ac:dyDescent="0.25">
      <c r="A156" s="551" t="str">
        <f>+Info!$B$2</f>
        <v>724</v>
      </c>
      <c r="B156" s="559" t="s">
        <v>1100</v>
      </c>
      <c r="C156" s="559" t="str">
        <f t="shared" si="11"/>
        <v>1.10.30.20.010.015.00.000</v>
      </c>
      <c r="D156" s="593"/>
      <c r="E156" s="563"/>
      <c r="F156" s="563"/>
      <c r="G156" s="563"/>
      <c r="H156" s="563"/>
      <c r="I156" s="563"/>
      <c r="J156" s="563"/>
      <c r="K156" s="563"/>
      <c r="L156" s="563"/>
      <c r="M156" s="563"/>
      <c r="N156" s="563"/>
    </row>
    <row r="157" spans="1:14" x14ac:dyDescent="0.25">
      <c r="A157" s="551" t="str">
        <f>+Info!$B$2</f>
        <v>724</v>
      </c>
      <c r="B157" s="559" t="s">
        <v>1100</v>
      </c>
      <c r="C157" s="559" t="str">
        <f t="shared" si="11"/>
        <v>1.10.30.20.010.015.00.000</v>
      </c>
      <c r="D157" s="59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</row>
    <row r="158" spans="1:14" x14ac:dyDescent="0.25">
      <c r="A158" s="551" t="str">
        <f>+Info!$B$2</f>
        <v>724</v>
      </c>
      <c r="B158" s="559" t="s">
        <v>1100</v>
      </c>
      <c r="C158" s="559" t="str">
        <f t="shared" si="11"/>
        <v>1.10.30.20.010.015.00.000</v>
      </c>
      <c r="D158" s="593"/>
      <c r="E158" s="563"/>
      <c r="F158" s="563"/>
      <c r="G158" s="563"/>
      <c r="H158" s="563"/>
      <c r="I158" s="563"/>
      <c r="J158" s="563"/>
      <c r="K158" s="563"/>
      <c r="L158" s="563"/>
      <c r="M158" s="563"/>
      <c r="N158" s="563"/>
    </row>
    <row r="159" spans="1:14" x14ac:dyDescent="0.25">
      <c r="A159" s="551" t="str">
        <f>+Info!$B$2</f>
        <v>724</v>
      </c>
      <c r="B159" s="559" t="s">
        <v>1100</v>
      </c>
      <c r="C159" s="559" t="str">
        <f t="shared" si="11"/>
        <v>1.10.30.20.010.015.00.000</v>
      </c>
      <c r="D159" s="593"/>
      <c r="E159" s="563"/>
      <c r="F159" s="563"/>
      <c r="G159" s="563"/>
      <c r="H159" s="563"/>
      <c r="I159" s="563"/>
      <c r="J159" s="563"/>
      <c r="K159" s="563"/>
      <c r="L159" s="563"/>
      <c r="M159" s="563"/>
      <c r="N159" s="563"/>
    </row>
    <row r="160" spans="1:14" x14ac:dyDescent="0.25">
      <c r="A160" s="551" t="str">
        <f>+Info!$B$2</f>
        <v>724</v>
      </c>
      <c r="B160" s="559" t="s">
        <v>1100</v>
      </c>
      <c r="C160" s="559" t="str">
        <f t="shared" si="11"/>
        <v>1.10.30.20.010.015.00.000</v>
      </c>
      <c r="D160" s="593"/>
      <c r="E160" s="563"/>
      <c r="F160" s="563"/>
      <c r="G160" s="563"/>
      <c r="H160" s="563"/>
      <c r="I160" s="563"/>
      <c r="J160" s="563"/>
      <c r="K160" s="563"/>
      <c r="L160" s="563"/>
      <c r="M160" s="563"/>
      <c r="N160" s="563"/>
    </row>
    <row r="161" spans="1:14" x14ac:dyDescent="0.25">
      <c r="A161" s="551" t="str">
        <f>+Info!$B$2</f>
        <v>724</v>
      </c>
      <c r="B161" s="559" t="s">
        <v>1100</v>
      </c>
      <c r="C161" s="559" t="str">
        <f t="shared" si="11"/>
        <v>1.10.30.20.010.015.00.000</v>
      </c>
      <c r="D161" s="593"/>
      <c r="E161" s="563"/>
      <c r="F161" s="563"/>
      <c r="G161" s="563"/>
      <c r="H161" s="563"/>
      <c r="I161" s="563"/>
      <c r="J161" s="563"/>
      <c r="K161" s="563"/>
      <c r="L161" s="563"/>
      <c r="M161" s="563"/>
      <c r="N161" s="563"/>
    </row>
    <row r="162" spans="1:14" x14ac:dyDescent="0.25">
      <c r="A162" s="551" t="str">
        <f>+Info!$B$2</f>
        <v>724</v>
      </c>
      <c r="B162" s="559" t="s">
        <v>1100</v>
      </c>
      <c r="C162" s="559" t="str">
        <f t="shared" si="11"/>
        <v>1.10.30.20.010.015.00.000</v>
      </c>
      <c r="D162" s="593"/>
      <c r="E162" s="563"/>
      <c r="F162" s="563"/>
      <c r="G162" s="563"/>
      <c r="H162" s="563"/>
      <c r="I162" s="563"/>
      <c r="J162" s="563"/>
      <c r="K162" s="563"/>
      <c r="L162" s="563"/>
      <c r="M162" s="563"/>
      <c r="N162" s="563"/>
    </row>
    <row r="163" spans="1:14" x14ac:dyDescent="0.25">
      <c r="A163" s="551" t="str">
        <f>+Info!$B$2</f>
        <v>724</v>
      </c>
      <c r="B163" s="559" t="s">
        <v>1100</v>
      </c>
      <c r="C163" s="559" t="str">
        <f t="shared" si="11"/>
        <v>1.10.30.20.010.015.00.000</v>
      </c>
      <c r="D163" s="59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3"/>
    </row>
    <row r="164" spans="1:14" x14ac:dyDescent="0.25">
      <c r="A164" s="551" t="str">
        <f>+Info!$B$2</f>
        <v>724</v>
      </c>
      <c r="B164" s="559" t="s">
        <v>1100</v>
      </c>
      <c r="C164" s="559" t="str">
        <f t="shared" si="11"/>
        <v>1.10.30.20.010.015.00.000</v>
      </c>
      <c r="D164" s="593"/>
      <c r="E164" s="563"/>
      <c r="F164" s="563"/>
      <c r="G164" s="563"/>
      <c r="H164" s="563"/>
      <c r="I164" s="563"/>
      <c r="J164" s="563"/>
      <c r="K164" s="563"/>
      <c r="L164" s="563"/>
      <c r="M164" s="563"/>
      <c r="N164" s="563"/>
    </row>
    <row r="165" spans="1:14" x14ac:dyDescent="0.25">
      <c r="A165" s="551" t="str">
        <f>+Info!$B$2</f>
        <v>724</v>
      </c>
      <c r="B165" s="559" t="s">
        <v>1100</v>
      </c>
      <c r="C165" s="559" t="str">
        <f t="shared" si="11"/>
        <v>1.10.30.20.010.015.00.000</v>
      </c>
      <c r="D165" s="59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3"/>
    </row>
    <row r="166" spans="1:14" x14ac:dyDescent="0.25">
      <c r="A166" s="551" t="str">
        <f>+Info!$B$2</f>
        <v>724</v>
      </c>
      <c r="B166" s="559" t="s">
        <v>1103</v>
      </c>
      <c r="C166" s="594" t="s">
        <v>1104</v>
      </c>
      <c r="D166" s="594" t="s">
        <v>4268</v>
      </c>
      <c r="E166" s="595"/>
      <c r="F166" s="595"/>
      <c r="G166" s="595"/>
      <c r="H166" s="595"/>
      <c r="I166" s="595"/>
      <c r="J166" s="595"/>
      <c r="K166" s="595"/>
      <c r="L166" s="595"/>
      <c r="M166" s="595"/>
      <c r="N166" s="595"/>
    </row>
    <row r="167" spans="1:14" x14ac:dyDescent="0.25">
      <c r="A167" s="551" t="str">
        <f>+Info!$B$2</f>
        <v>724</v>
      </c>
      <c r="B167" s="559" t="s">
        <v>1103</v>
      </c>
      <c r="C167" s="559" t="str">
        <f t="shared" ref="C167:C178" si="12">$C$166</f>
        <v>1.10.30.20.010.020.00.000</v>
      </c>
      <c r="D167" s="593"/>
      <c r="E167" s="563"/>
      <c r="F167" s="563"/>
      <c r="G167" s="563"/>
      <c r="H167" s="563"/>
      <c r="I167" s="563"/>
      <c r="J167" s="563"/>
      <c r="K167" s="563"/>
      <c r="L167" s="563"/>
      <c r="M167" s="563"/>
      <c r="N167" s="563"/>
    </row>
    <row r="168" spans="1:14" x14ac:dyDescent="0.25">
      <c r="A168" s="551" t="str">
        <f>+Info!$B$2</f>
        <v>724</v>
      </c>
      <c r="B168" s="559" t="s">
        <v>1103</v>
      </c>
      <c r="C168" s="559" t="str">
        <f t="shared" si="12"/>
        <v>1.10.30.20.010.020.00.000</v>
      </c>
      <c r="D168" s="593"/>
      <c r="E168" s="563"/>
      <c r="F168" s="563"/>
      <c r="G168" s="563"/>
      <c r="H168" s="563"/>
      <c r="I168" s="563"/>
      <c r="J168" s="563"/>
      <c r="K168" s="563"/>
      <c r="L168" s="563"/>
      <c r="M168" s="563"/>
      <c r="N168" s="563"/>
    </row>
    <row r="169" spans="1:14" x14ac:dyDescent="0.25">
      <c r="A169" s="551" t="str">
        <f>+Info!$B$2</f>
        <v>724</v>
      </c>
      <c r="B169" s="559" t="s">
        <v>1103</v>
      </c>
      <c r="C169" s="559" t="str">
        <f t="shared" si="12"/>
        <v>1.10.30.20.010.020.00.000</v>
      </c>
      <c r="D169" s="593"/>
      <c r="E169" s="563"/>
      <c r="F169" s="563"/>
      <c r="G169" s="563"/>
      <c r="H169" s="563"/>
      <c r="I169" s="563"/>
      <c r="J169" s="563"/>
      <c r="K169" s="563"/>
      <c r="L169" s="563"/>
      <c r="M169" s="563"/>
      <c r="N169" s="563"/>
    </row>
    <row r="170" spans="1:14" x14ac:dyDescent="0.25">
      <c r="A170" s="551" t="str">
        <f>+Info!$B$2</f>
        <v>724</v>
      </c>
      <c r="B170" s="559" t="s">
        <v>1103</v>
      </c>
      <c r="C170" s="559" t="str">
        <f t="shared" si="12"/>
        <v>1.10.30.20.010.020.00.000</v>
      </c>
      <c r="D170" s="593"/>
      <c r="E170" s="563"/>
      <c r="F170" s="563"/>
      <c r="G170" s="563"/>
      <c r="H170" s="563"/>
      <c r="I170" s="563"/>
      <c r="J170" s="563"/>
      <c r="K170" s="563"/>
      <c r="L170" s="563"/>
      <c r="M170" s="563"/>
      <c r="N170" s="563"/>
    </row>
    <row r="171" spans="1:14" x14ac:dyDescent="0.25">
      <c r="A171" s="551" t="str">
        <f>+Info!$B$2</f>
        <v>724</v>
      </c>
      <c r="B171" s="559" t="s">
        <v>1103</v>
      </c>
      <c r="C171" s="559" t="str">
        <f t="shared" si="12"/>
        <v>1.10.30.20.010.020.00.000</v>
      </c>
      <c r="D171" s="593"/>
      <c r="E171" s="563"/>
      <c r="F171" s="563"/>
      <c r="G171" s="563"/>
      <c r="H171" s="563"/>
      <c r="I171" s="563"/>
      <c r="J171" s="563"/>
      <c r="K171" s="563"/>
      <c r="L171" s="563"/>
      <c r="M171" s="563"/>
      <c r="N171" s="563"/>
    </row>
    <row r="172" spans="1:14" x14ac:dyDescent="0.25">
      <c r="A172" s="551" t="str">
        <f>+Info!$B$2</f>
        <v>724</v>
      </c>
      <c r="B172" s="559" t="s">
        <v>1103</v>
      </c>
      <c r="C172" s="559" t="str">
        <f t="shared" si="12"/>
        <v>1.10.30.20.010.020.00.000</v>
      </c>
      <c r="D172" s="593"/>
      <c r="E172" s="563"/>
      <c r="F172" s="563"/>
      <c r="G172" s="563"/>
      <c r="H172" s="563"/>
      <c r="I172" s="563"/>
      <c r="J172" s="563"/>
      <c r="K172" s="563"/>
      <c r="L172" s="563"/>
      <c r="M172" s="563"/>
      <c r="N172" s="563"/>
    </row>
    <row r="173" spans="1:14" x14ac:dyDescent="0.25">
      <c r="A173" s="551" t="str">
        <f>+Info!$B$2</f>
        <v>724</v>
      </c>
      <c r="B173" s="559" t="s">
        <v>1103</v>
      </c>
      <c r="C173" s="559" t="str">
        <f t="shared" si="12"/>
        <v>1.10.30.20.010.020.00.000</v>
      </c>
      <c r="D173" s="593"/>
      <c r="E173" s="563"/>
      <c r="F173" s="563"/>
      <c r="G173" s="563"/>
      <c r="H173" s="563"/>
      <c r="I173" s="563"/>
      <c r="J173" s="563"/>
      <c r="K173" s="563"/>
      <c r="L173" s="563"/>
      <c r="M173" s="563"/>
      <c r="N173" s="563"/>
    </row>
    <row r="174" spans="1:14" x14ac:dyDescent="0.25">
      <c r="A174" s="551" t="str">
        <f>+Info!$B$2</f>
        <v>724</v>
      </c>
      <c r="B174" s="559" t="s">
        <v>1103</v>
      </c>
      <c r="C174" s="559" t="str">
        <f t="shared" si="12"/>
        <v>1.10.30.20.010.020.00.000</v>
      </c>
      <c r="D174" s="593"/>
      <c r="E174" s="563"/>
      <c r="F174" s="563"/>
      <c r="G174" s="563"/>
      <c r="H174" s="563"/>
      <c r="I174" s="563"/>
      <c r="J174" s="563"/>
      <c r="K174" s="563"/>
      <c r="L174" s="563"/>
      <c r="M174" s="563"/>
      <c r="N174" s="563"/>
    </row>
    <row r="175" spans="1:14" x14ac:dyDescent="0.25">
      <c r="A175" s="551" t="str">
        <f>+Info!$B$2</f>
        <v>724</v>
      </c>
      <c r="B175" s="559" t="s">
        <v>1103</v>
      </c>
      <c r="C175" s="559" t="str">
        <f t="shared" si="12"/>
        <v>1.10.30.20.010.020.00.000</v>
      </c>
      <c r="D175" s="593"/>
      <c r="E175" s="563"/>
      <c r="F175" s="563"/>
      <c r="G175" s="563"/>
      <c r="H175" s="563"/>
      <c r="I175" s="563"/>
      <c r="J175" s="563"/>
      <c r="K175" s="563"/>
      <c r="L175" s="563"/>
      <c r="M175" s="563"/>
      <c r="N175" s="563"/>
    </row>
    <row r="176" spans="1:14" x14ac:dyDescent="0.25">
      <c r="A176" s="551" t="str">
        <f>+Info!$B$2</f>
        <v>724</v>
      </c>
      <c r="B176" s="559" t="s">
        <v>1103</v>
      </c>
      <c r="C176" s="559" t="str">
        <f t="shared" si="12"/>
        <v>1.10.30.20.010.020.00.000</v>
      </c>
      <c r="D176" s="593"/>
      <c r="E176" s="563"/>
      <c r="F176" s="563"/>
      <c r="G176" s="563"/>
      <c r="H176" s="563"/>
      <c r="I176" s="563"/>
      <c r="J176" s="563"/>
      <c r="K176" s="563"/>
      <c r="L176" s="563"/>
      <c r="M176" s="563"/>
      <c r="N176" s="563"/>
    </row>
    <row r="177" spans="1:14" x14ac:dyDescent="0.25">
      <c r="A177" s="551" t="str">
        <f>+Info!$B$2</f>
        <v>724</v>
      </c>
      <c r="B177" s="559" t="s">
        <v>1103</v>
      </c>
      <c r="C177" s="559" t="str">
        <f t="shared" si="12"/>
        <v>1.10.30.20.010.020.00.000</v>
      </c>
      <c r="D177" s="593"/>
      <c r="E177" s="563"/>
      <c r="F177" s="563"/>
      <c r="G177" s="563"/>
      <c r="H177" s="563"/>
      <c r="I177" s="563"/>
      <c r="J177" s="563"/>
      <c r="K177" s="563"/>
      <c r="L177" s="563"/>
      <c r="M177" s="563"/>
      <c r="N177" s="563"/>
    </row>
    <row r="178" spans="1:14" x14ac:dyDescent="0.25">
      <c r="A178" s="551" t="str">
        <f>+Info!$B$2</f>
        <v>724</v>
      </c>
      <c r="B178" s="559" t="s">
        <v>1103</v>
      </c>
      <c r="C178" s="559" t="str">
        <f t="shared" si="12"/>
        <v>1.10.30.20.010.020.00.000</v>
      </c>
      <c r="D178" s="593"/>
      <c r="E178" s="563"/>
      <c r="F178" s="563"/>
      <c r="G178" s="563"/>
      <c r="H178" s="563"/>
      <c r="I178" s="563"/>
      <c r="J178" s="563"/>
      <c r="K178" s="563"/>
      <c r="L178" s="563"/>
      <c r="M178" s="563"/>
      <c r="N178" s="563"/>
    </row>
    <row r="179" spans="1:14" x14ac:dyDescent="0.25">
      <c r="D179" s="596"/>
      <c r="E179" s="597"/>
      <c r="F179" s="597"/>
      <c r="G179" s="597"/>
      <c r="H179" s="597"/>
      <c r="I179" s="597"/>
      <c r="J179" s="597"/>
      <c r="K179" s="597"/>
      <c r="L179" s="597"/>
      <c r="M179" s="597"/>
      <c r="N179" s="597"/>
    </row>
    <row r="180" spans="1:14" ht="15" hidden="1" customHeight="1" x14ac:dyDescent="0.25">
      <c r="B180" s="581"/>
      <c r="C180" s="581" t="s">
        <v>4253</v>
      </c>
      <c r="D180" s="581" t="s">
        <v>4254</v>
      </c>
      <c r="E180" s="557">
        <v>0</v>
      </c>
      <c r="F180" s="557">
        <v>0</v>
      </c>
      <c r="G180" s="557">
        <v>0</v>
      </c>
      <c r="H180" s="557">
        <v>0</v>
      </c>
      <c r="I180" s="557">
        <v>0</v>
      </c>
      <c r="J180" s="557">
        <v>0</v>
      </c>
      <c r="K180" s="557">
        <v>0</v>
      </c>
      <c r="L180" s="557">
        <v>0</v>
      </c>
      <c r="M180" s="557">
        <v>0</v>
      </c>
      <c r="N180" s="557">
        <v>0</v>
      </c>
    </row>
    <row r="181" spans="1:14" ht="15" hidden="1" customHeight="1" x14ac:dyDescent="0.25">
      <c r="A181" s="551" t="str">
        <f>+Info!$B$2</f>
        <v>724</v>
      </c>
      <c r="B181" s="581"/>
      <c r="C181" s="581"/>
      <c r="D181" s="581"/>
      <c r="E181" s="557">
        <v>0</v>
      </c>
      <c r="F181" s="557">
        <v>0</v>
      </c>
      <c r="G181" s="557">
        <v>0</v>
      </c>
      <c r="H181" s="557">
        <v>0</v>
      </c>
      <c r="I181" s="557">
        <v>0</v>
      </c>
      <c r="J181" s="557">
        <v>0</v>
      </c>
      <c r="K181" s="557">
        <v>0</v>
      </c>
      <c r="L181" s="557">
        <v>0</v>
      </c>
      <c r="M181" s="557">
        <v>0</v>
      </c>
      <c r="N181" s="557">
        <v>0</v>
      </c>
    </row>
    <row r="182" spans="1:14" ht="15" customHeight="1" x14ac:dyDescent="0.25">
      <c r="A182" s="551" t="str">
        <f>+Info!$B$2</f>
        <v>724</v>
      </c>
      <c r="D182" s="927" t="s">
        <v>4269</v>
      </c>
      <c r="E182" s="922" t="s">
        <v>4270</v>
      </c>
      <c r="F182" s="922" t="s">
        <v>4271</v>
      </c>
      <c r="G182" s="922"/>
      <c r="H182" s="922"/>
      <c r="I182" s="922" t="s">
        <v>4206</v>
      </c>
      <c r="J182" s="922"/>
      <c r="K182" s="922"/>
      <c r="L182" s="922"/>
      <c r="M182" s="922"/>
      <c r="N182" s="922"/>
    </row>
    <row r="183" spans="1:14" ht="24" x14ac:dyDescent="0.25">
      <c r="A183" s="551" t="str">
        <f>+Info!$B$2</f>
        <v>724</v>
      </c>
      <c r="D183" s="927"/>
      <c r="E183" s="922"/>
      <c r="F183" s="590" t="s">
        <v>4272</v>
      </c>
      <c r="G183" s="590" t="s">
        <v>4273</v>
      </c>
      <c r="H183" s="590" t="s">
        <v>3517</v>
      </c>
      <c r="I183" s="590" t="s">
        <v>3537</v>
      </c>
      <c r="J183" s="590" t="s">
        <v>4272</v>
      </c>
      <c r="K183" s="590" t="s">
        <v>4273</v>
      </c>
      <c r="L183" s="590" t="s">
        <v>4274</v>
      </c>
      <c r="M183" s="590" t="s">
        <v>4275</v>
      </c>
      <c r="N183" s="590" t="s">
        <v>4211</v>
      </c>
    </row>
    <row r="184" spans="1:14" x14ac:dyDescent="0.25">
      <c r="A184" s="551" t="str">
        <f>+Info!$B$2</f>
        <v>724</v>
      </c>
      <c r="B184" s="591" t="s">
        <v>1097</v>
      </c>
      <c r="C184" s="591" t="s">
        <v>1098</v>
      </c>
      <c r="D184" s="591" t="s">
        <v>4266</v>
      </c>
      <c r="E184" s="598">
        <f t="shared" ref="E184:N184" si="13">SUM(E185:E196)</f>
        <v>0</v>
      </c>
      <c r="F184" s="598">
        <f t="shared" si="13"/>
        <v>0</v>
      </c>
      <c r="G184" s="598">
        <f t="shared" si="13"/>
        <v>0</v>
      </c>
      <c r="H184" s="598">
        <f t="shared" si="13"/>
        <v>0</v>
      </c>
      <c r="I184" s="598">
        <f t="shared" si="13"/>
        <v>0</v>
      </c>
      <c r="J184" s="598">
        <f t="shared" si="13"/>
        <v>0</v>
      </c>
      <c r="K184" s="598">
        <f t="shared" si="13"/>
        <v>0</v>
      </c>
      <c r="L184" s="598">
        <f t="shared" si="13"/>
        <v>0</v>
      </c>
      <c r="M184" s="598">
        <f t="shared" si="13"/>
        <v>0</v>
      </c>
      <c r="N184" s="598">
        <f t="shared" si="13"/>
        <v>0</v>
      </c>
    </row>
    <row r="185" spans="1:14" x14ac:dyDescent="0.25">
      <c r="A185" s="551" t="str">
        <f>+Info!$B$2</f>
        <v>724</v>
      </c>
      <c r="B185" s="559" t="s">
        <v>1097</v>
      </c>
      <c r="C185" s="559" t="str">
        <f t="shared" ref="C185:C196" si="14">$C$140</f>
        <v>1.10.30.20.010.010.00.000</v>
      </c>
      <c r="D185" s="599" t="str">
        <f t="shared" ref="D185:D196" si="15">IF(+D141="","",D141)</f>
        <v/>
      </c>
      <c r="E185" s="600"/>
      <c r="F185" s="600"/>
      <c r="G185" s="600"/>
      <c r="H185" s="601">
        <f t="shared" ref="H185:H196" si="16">+E185+F185-G185</f>
        <v>0</v>
      </c>
      <c r="I185" s="600"/>
      <c r="J185" s="600"/>
      <c r="K185" s="600"/>
      <c r="L185" s="600"/>
      <c r="M185" s="600"/>
      <c r="N185" s="601">
        <f t="shared" ref="N185:N196" si="17">+H185+I185+J185-K185+L185-M185</f>
        <v>0</v>
      </c>
    </row>
    <row r="186" spans="1:14" x14ac:dyDescent="0.25">
      <c r="A186" s="551" t="str">
        <f>+Info!$B$2</f>
        <v>724</v>
      </c>
      <c r="B186" s="559" t="s">
        <v>1097</v>
      </c>
      <c r="C186" s="559" t="str">
        <f t="shared" si="14"/>
        <v>1.10.30.20.010.010.00.000</v>
      </c>
      <c r="D186" s="599" t="str">
        <f t="shared" si="15"/>
        <v/>
      </c>
      <c r="E186" s="600"/>
      <c r="F186" s="600"/>
      <c r="G186" s="600"/>
      <c r="H186" s="601">
        <f t="shared" si="16"/>
        <v>0</v>
      </c>
      <c r="I186" s="600"/>
      <c r="J186" s="600"/>
      <c r="K186" s="600"/>
      <c r="L186" s="600"/>
      <c r="M186" s="600"/>
      <c r="N186" s="601">
        <f t="shared" si="17"/>
        <v>0</v>
      </c>
    </row>
    <row r="187" spans="1:14" x14ac:dyDescent="0.25">
      <c r="A187" s="551" t="str">
        <f>+Info!$B$2</f>
        <v>724</v>
      </c>
      <c r="B187" s="559" t="s">
        <v>1097</v>
      </c>
      <c r="C187" s="559" t="str">
        <f t="shared" si="14"/>
        <v>1.10.30.20.010.010.00.000</v>
      </c>
      <c r="D187" s="599" t="str">
        <f t="shared" si="15"/>
        <v/>
      </c>
      <c r="E187" s="600"/>
      <c r="F187" s="600"/>
      <c r="G187" s="600"/>
      <c r="H187" s="601">
        <f t="shared" si="16"/>
        <v>0</v>
      </c>
      <c r="I187" s="600"/>
      <c r="J187" s="600"/>
      <c r="K187" s="600"/>
      <c r="L187" s="600"/>
      <c r="M187" s="600"/>
      <c r="N187" s="601">
        <f t="shared" si="17"/>
        <v>0</v>
      </c>
    </row>
    <row r="188" spans="1:14" x14ac:dyDescent="0.25">
      <c r="A188" s="551" t="str">
        <f>+Info!$B$2</f>
        <v>724</v>
      </c>
      <c r="B188" s="559" t="s">
        <v>1097</v>
      </c>
      <c r="C188" s="559" t="str">
        <f t="shared" si="14"/>
        <v>1.10.30.20.010.010.00.000</v>
      </c>
      <c r="D188" s="599" t="str">
        <f t="shared" si="15"/>
        <v/>
      </c>
      <c r="E188" s="600"/>
      <c r="F188" s="600"/>
      <c r="G188" s="600"/>
      <c r="H188" s="601">
        <f t="shared" si="16"/>
        <v>0</v>
      </c>
      <c r="I188" s="600"/>
      <c r="J188" s="600"/>
      <c r="K188" s="600"/>
      <c r="L188" s="600"/>
      <c r="M188" s="600"/>
      <c r="N188" s="601">
        <f t="shared" si="17"/>
        <v>0</v>
      </c>
    </row>
    <row r="189" spans="1:14" x14ac:dyDescent="0.25">
      <c r="A189" s="551" t="str">
        <f>+Info!$B$2</f>
        <v>724</v>
      </c>
      <c r="B189" s="559" t="s">
        <v>1097</v>
      </c>
      <c r="C189" s="559" t="str">
        <f t="shared" si="14"/>
        <v>1.10.30.20.010.010.00.000</v>
      </c>
      <c r="D189" s="599" t="str">
        <f t="shared" si="15"/>
        <v/>
      </c>
      <c r="E189" s="600"/>
      <c r="F189" s="600"/>
      <c r="G189" s="600"/>
      <c r="H189" s="601">
        <f t="shared" si="16"/>
        <v>0</v>
      </c>
      <c r="I189" s="600"/>
      <c r="J189" s="600"/>
      <c r="K189" s="600"/>
      <c r="L189" s="600"/>
      <c r="M189" s="600"/>
      <c r="N189" s="601">
        <f t="shared" si="17"/>
        <v>0</v>
      </c>
    </row>
    <row r="190" spans="1:14" x14ac:dyDescent="0.25">
      <c r="A190" s="551" t="str">
        <f>+Info!$B$2</f>
        <v>724</v>
      </c>
      <c r="B190" s="559" t="s">
        <v>1097</v>
      </c>
      <c r="C190" s="559" t="str">
        <f t="shared" si="14"/>
        <v>1.10.30.20.010.010.00.000</v>
      </c>
      <c r="D190" s="599" t="str">
        <f t="shared" si="15"/>
        <v/>
      </c>
      <c r="E190" s="600"/>
      <c r="F190" s="600"/>
      <c r="G190" s="600"/>
      <c r="H190" s="601">
        <f t="shared" si="16"/>
        <v>0</v>
      </c>
      <c r="I190" s="600"/>
      <c r="J190" s="600"/>
      <c r="K190" s="600"/>
      <c r="L190" s="600"/>
      <c r="M190" s="600"/>
      <c r="N190" s="601">
        <f t="shared" si="17"/>
        <v>0</v>
      </c>
    </row>
    <row r="191" spans="1:14" x14ac:dyDescent="0.25">
      <c r="A191" s="551" t="str">
        <f>+Info!$B$2</f>
        <v>724</v>
      </c>
      <c r="B191" s="559" t="s">
        <v>1097</v>
      </c>
      <c r="C191" s="559" t="str">
        <f t="shared" si="14"/>
        <v>1.10.30.20.010.010.00.000</v>
      </c>
      <c r="D191" s="599" t="str">
        <f t="shared" si="15"/>
        <v/>
      </c>
      <c r="E191" s="600"/>
      <c r="F191" s="600"/>
      <c r="G191" s="600"/>
      <c r="H191" s="601">
        <f t="shared" si="16"/>
        <v>0</v>
      </c>
      <c r="I191" s="600"/>
      <c r="J191" s="600"/>
      <c r="K191" s="600"/>
      <c r="L191" s="600"/>
      <c r="M191" s="600"/>
      <c r="N191" s="601">
        <f t="shared" si="17"/>
        <v>0</v>
      </c>
    </row>
    <row r="192" spans="1:14" x14ac:dyDescent="0.25">
      <c r="A192" s="551" t="str">
        <f>+Info!$B$2</f>
        <v>724</v>
      </c>
      <c r="B192" s="559" t="s">
        <v>1097</v>
      </c>
      <c r="C192" s="559" t="str">
        <f t="shared" si="14"/>
        <v>1.10.30.20.010.010.00.000</v>
      </c>
      <c r="D192" s="599" t="str">
        <f t="shared" si="15"/>
        <v/>
      </c>
      <c r="E192" s="600"/>
      <c r="F192" s="600"/>
      <c r="G192" s="600"/>
      <c r="H192" s="601">
        <f t="shared" si="16"/>
        <v>0</v>
      </c>
      <c r="I192" s="600"/>
      <c r="J192" s="600"/>
      <c r="K192" s="600"/>
      <c r="L192" s="600"/>
      <c r="M192" s="600"/>
      <c r="N192" s="601">
        <f t="shared" si="17"/>
        <v>0</v>
      </c>
    </row>
    <row r="193" spans="1:14" x14ac:dyDescent="0.25">
      <c r="A193" s="551" t="str">
        <f>+Info!$B$2</f>
        <v>724</v>
      </c>
      <c r="B193" s="559" t="s">
        <v>1097</v>
      </c>
      <c r="C193" s="559" t="str">
        <f t="shared" si="14"/>
        <v>1.10.30.20.010.010.00.000</v>
      </c>
      <c r="D193" s="599" t="str">
        <f t="shared" si="15"/>
        <v/>
      </c>
      <c r="E193" s="600"/>
      <c r="F193" s="600"/>
      <c r="G193" s="600"/>
      <c r="H193" s="601">
        <f t="shared" si="16"/>
        <v>0</v>
      </c>
      <c r="I193" s="600"/>
      <c r="J193" s="600"/>
      <c r="K193" s="600"/>
      <c r="L193" s="600"/>
      <c r="M193" s="600"/>
      <c r="N193" s="601">
        <f t="shared" si="17"/>
        <v>0</v>
      </c>
    </row>
    <row r="194" spans="1:14" x14ac:dyDescent="0.25">
      <c r="A194" s="551" t="str">
        <f>+Info!$B$2</f>
        <v>724</v>
      </c>
      <c r="B194" s="559" t="s">
        <v>1097</v>
      </c>
      <c r="C194" s="559" t="str">
        <f t="shared" si="14"/>
        <v>1.10.30.20.010.010.00.000</v>
      </c>
      <c r="D194" s="599" t="str">
        <f t="shared" si="15"/>
        <v/>
      </c>
      <c r="E194" s="600"/>
      <c r="F194" s="600"/>
      <c r="G194" s="600"/>
      <c r="H194" s="601">
        <f t="shared" si="16"/>
        <v>0</v>
      </c>
      <c r="I194" s="600"/>
      <c r="J194" s="600"/>
      <c r="K194" s="600"/>
      <c r="L194" s="600"/>
      <c r="M194" s="600"/>
      <c r="N194" s="601">
        <f t="shared" si="17"/>
        <v>0</v>
      </c>
    </row>
    <row r="195" spans="1:14" x14ac:dyDescent="0.25">
      <c r="A195" s="551" t="str">
        <f>+Info!$B$2</f>
        <v>724</v>
      </c>
      <c r="B195" s="559" t="s">
        <v>1097</v>
      </c>
      <c r="C195" s="559" t="str">
        <f t="shared" si="14"/>
        <v>1.10.30.20.010.010.00.000</v>
      </c>
      <c r="D195" s="599" t="str">
        <f t="shared" si="15"/>
        <v/>
      </c>
      <c r="E195" s="600"/>
      <c r="F195" s="600"/>
      <c r="G195" s="600"/>
      <c r="H195" s="601">
        <f t="shared" si="16"/>
        <v>0</v>
      </c>
      <c r="I195" s="600"/>
      <c r="J195" s="600"/>
      <c r="K195" s="600"/>
      <c r="L195" s="600"/>
      <c r="M195" s="600"/>
      <c r="N195" s="601">
        <f t="shared" si="17"/>
        <v>0</v>
      </c>
    </row>
    <row r="196" spans="1:14" x14ac:dyDescent="0.25">
      <c r="A196" s="551" t="str">
        <f>+Info!$B$2</f>
        <v>724</v>
      </c>
      <c r="B196" s="559" t="s">
        <v>1097</v>
      </c>
      <c r="C196" s="559" t="str">
        <f t="shared" si="14"/>
        <v>1.10.30.20.010.010.00.000</v>
      </c>
      <c r="D196" s="599" t="str">
        <f t="shared" si="15"/>
        <v/>
      </c>
      <c r="E196" s="600"/>
      <c r="F196" s="600"/>
      <c r="G196" s="600"/>
      <c r="H196" s="601">
        <f t="shared" si="16"/>
        <v>0</v>
      </c>
      <c r="I196" s="600"/>
      <c r="J196" s="600"/>
      <c r="K196" s="600"/>
      <c r="L196" s="600"/>
      <c r="M196" s="600"/>
      <c r="N196" s="601">
        <f t="shared" si="17"/>
        <v>0</v>
      </c>
    </row>
    <row r="197" spans="1:14" x14ac:dyDescent="0.25">
      <c r="A197" s="551" t="str">
        <f>+Info!$B$2</f>
        <v>724</v>
      </c>
      <c r="B197" s="594" t="s">
        <v>1100</v>
      </c>
      <c r="C197" s="594" t="s">
        <v>1101</v>
      </c>
      <c r="D197" s="594" t="s">
        <v>4267</v>
      </c>
      <c r="E197" s="598">
        <f t="shared" ref="E197:N197" si="18">SUM(E198:E209)</f>
        <v>0</v>
      </c>
      <c r="F197" s="598">
        <f t="shared" si="18"/>
        <v>0</v>
      </c>
      <c r="G197" s="598">
        <f t="shared" si="18"/>
        <v>0</v>
      </c>
      <c r="H197" s="598">
        <f t="shared" si="18"/>
        <v>0</v>
      </c>
      <c r="I197" s="598">
        <f t="shared" si="18"/>
        <v>0</v>
      </c>
      <c r="J197" s="598">
        <f t="shared" si="18"/>
        <v>0</v>
      </c>
      <c r="K197" s="598">
        <f t="shared" si="18"/>
        <v>0</v>
      </c>
      <c r="L197" s="598">
        <f t="shared" si="18"/>
        <v>0</v>
      </c>
      <c r="M197" s="598">
        <f t="shared" si="18"/>
        <v>0</v>
      </c>
      <c r="N197" s="598">
        <f t="shared" si="18"/>
        <v>0</v>
      </c>
    </row>
    <row r="198" spans="1:14" x14ac:dyDescent="0.25">
      <c r="A198" s="551" t="str">
        <f>+Info!$B$2</f>
        <v>724</v>
      </c>
      <c r="B198" s="559" t="s">
        <v>1100</v>
      </c>
      <c r="C198" s="559" t="str">
        <f t="shared" ref="C198:C209" si="19">$C$153</f>
        <v>1.10.30.20.010.015.00.000</v>
      </c>
      <c r="D198" s="599" t="str">
        <f t="shared" ref="D198:D209" si="20">IF(+D154="","",D154)</f>
        <v/>
      </c>
      <c r="E198" s="593"/>
      <c r="F198" s="593"/>
      <c r="G198" s="593"/>
      <c r="H198" s="601">
        <f t="shared" ref="H198:H209" si="21">+E198+F198-G198</f>
        <v>0</v>
      </c>
      <c r="I198" s="593"/>
      <c r="J198" s="593"/>
      <c r="K198" s="593"/>
      <c r="L198" s="593"/>
      <c r="M198" s="593"/>
      <c r="N198" s="601">
        <f t="shared" ref="N198:N209" si="22">+H198+I198+J198-K198+L198-M198</f>
        <v>0</v>
      </c>
    </row>
    <row r="199" spans="1:14" x14ac:dyDescent="0.25">
      <c r="A199" s="551" t="str">
        <f>+Info!$B$2</f>
        <v>724</v>
      </c>
      <c r="B199" s="559" t="s">
        <v>1100</v>
      </c>
      <c r="C199" s="559" t="str">
        <f t="shared" si="19"/>
        <v>1.10.30.20.010.015.00.000</v>
      </c>
      <c r="D199" s="599" t="str">
        <f t="shared" si="20"/>
        <v/>
      </c>
      <c r="E199" s="593"/>
      <c r="F199" s="593"/>
      <c r="G199" s="593"/>
      <c r="H199" s="601">
        <f t="shared" si="21"/>
        <v>0</v>
      </c>
      <c r="I199" s="593"/>
      <c r="J199" s="593"/>
      <c r="K199" s="593"/>
      <c r="L199" s="593"/>
      <c r="M199" s="593"/>
      <c r="N199" s="601">
        <f t="shared" si="22"/>
        <v>0</v>
      </c>
    </row>
    <row r="200" spans="1:14" x14ac:dyDescent="0.25">
      <c r="A200" s="551" t="str">
        <f>+Info!$B$2</f>
        <v>724</v>
      </c>
      <c r="B200" s="559" t="s">
        <v>1100</v>
      </c>
      <c r="C200" s="559" t="str">
        <f t="shared" si="19"/>
        <v>1.10.30.20.010.015.00.000</v>
      </c>
      <c r="D200" s="599" t="str">
        <f t="shared" si="20"/>
        <v/>
      </c>
      <c r="E200" s="593"/>
      <c r="F200" s="593"/>
      <c r="G200" s="593"/>
      <c r="H200" s="601">
        <f t="shared" si="21"/>
        <v>0</v>
      </c>
      <c r="I200" s="593"/>
      <c r="J200" s="593"/>
      <c r="K200" s="593"/>
      <c r="L200" s="593"/>
      <c r="M200" s="593"/>
      <c r="N200" s="601">
        <f t="shared" si="22"/>
        <v>0</v>
      </c>
    </row>
    <row r="201" spans="1:14" x14ac:dyDescent="0.25">
      <c r="A201" s="551" t="str">
        <f>+Info!$B$2</f>
        <v>724</v>
      </c>
      <c r="B201" s="559" t="s">
        <v>1100</v>
      </c>
      <c r="C201" s="559" t="str">
        <f t="shared" si="19"/>
        <v>1.10.30.20.010.015.00.000</v>
      </c>
      <c r="D201" s="599" t="str">
        <f t="shared" si="20"/>
        <v/>
      </c>
      <c r="E201" s="593"/>
      <c r="F201" s="593"/>
      <c r="G201" s="593"/>
      <c r="H201" s="601">
        <f t="shared" si="21"/>
        <v>0</v>
      </c>
      <c r="I201" s="593"/>
      <c r="J201" s="593"/>
      <c r="K201" s="593"/>
      <c r="L201" s="593"/>
      <c r="M201" s="593"/>
      <c r="N201" s="601">
        <f t="shared" si="22"/>
        <v>0</v>
      </c>
    </row>
    <row r="202" spans="1:14" x14ac:dyDescent="0.25">
      <c r="A202" s="551" t="str">
        <f>+Info!$B$2</f>
        <v>724</v>
      </c>
      <c r="B202" s="559" t="s">
        <v>1100</v>
      </c>
      <c r="C202" s="559" t="str">
        <f t="shared" si="19"/>
        <v>1.10.30.20.010.015.00.000</v>
      </c>
      <c r="D202" s="599" t="str">
        <f t="shared" si="20"/>
        <v/>
      </c>
      <c r="E202" s="593"/>
      <c r="F202" s="593"/>
      <c r="G202" s="593"/>
      <c r="H202" s="601">
        <f t="shared" si="21"/>
        <v>0</v>
      </c>
      <c r="I202" s="593"/>
      <c r="J202" s="593"/>
      <c r="K202" s="593"/>
      <c r="L202" s="593"/>
      <c r="M202" s="593"/>
      <c r="N202" s="601">
        <f t="shared" si="22"/>
        <v>0</v>
      </c>
    </row>
    <row r="203" spans="1:14" x14ac:dyDescent="0.25">
      <c r="A203" s="551" t="str">
        <f>+Info!$B$2</f>
        <v>724</v>
      </c>
      <c r="B203" s="559" t="s">
        <v>1100</v>
      </c>
      <c r="C203" s="559" t="str">
        <f t="shared" si="19"/>
        <v>1.10.30.20.010.015.00.000</v>
      </c>
      <c r="D203" s="599" t="str">
        <f t="shared" si="20"/>
        <v/>
      </c>
      <c r="E203" s="593"/>
      <c r="F203" s="593"/>
      <c r="G203" s="593"/>
      <c r="H203" s="601">
        <f t="shared" si="21"/>
        <v>0</v>
      </c>
      <c r="I203" s="593"/>
      <c r="J203" s="593"/>
      <c r="K203" s="593"/>
      <c r="L203" s="593"/>
      <c r="M203" s="593"/>
      <c r="N203" s="601">
        <f t="shared" si="22"/>
        <v>0</v>
      </c>
    </row>
    <row r="204" spans="1:14" x14ac:dyDescent="0.25">
      <c r="A204" s="551" t="str">
        <f>+Info!$B$2</f>
        <v>724</v>
      </c>
      <c r="B204" s="559" t="s">
        <v>1100</v>
      </c>
      <c r="C204" s="559" t="str">
        <f t="shared" si="19"/>
        <v>1.10.30.20.010.015.00.000</v>
      </c>
      <c r="D204" s="599" t="str">
        <f t="shared" si="20"/>
        <v/>
      </c>
      <c r="E204" s="593"/>
      <c r="F204" s="593"/>
      <c r="G204" s="593"/>
      <c r="H204" s="601">
        <f t="shared" si="21"/>
        <v>0</v>
      </c>
      <c r="I204" s="593"/>
      <c r="J204" s="593"/>
      <c r="K204" s="593"/>
      <c r="L204" s="593"/>
      <c r="M204" s="593"/>
      <c r="N204" s="601">
        <f t="shared" si="22"/>
        <v>0</v>
      </c>
    </row>
    <row r="205" spans="1:14" x14ac:dyDescent="0.25">
      <c r="A205" s="551" t="str">
        <f>+Info!$B$2</f>
        <v>724</v>
      </c>
      <c r="B205" s="559" t="s">
        <v>1100</v>
      </c>
      <c r="C205" s="559" t="str">
        <f t="shared" si="19"/>
        <v>1.10.30.20.010.015.00.000</v>
      </c>
      <c r="D205" s="599" t="str">
        <f t="shared" si="20"/>
        <v/>
      </c>
      <c r="E205" s="593"/>
      <c r="F205" s="593"/>
      <c r="G205" s="593"/>
      <c r="H205" s="601">
        <f t="shared" si="21"/>
        <v>0</v>
      </c>
      <c r="I205" s="593"/>
      <c r="J205" s="593"/>
      <c r="K205" s="593"/>
      <c r="L205" s="593"/>
      <c r="M205" s="593"/>
      <c r="N205" s="601">
        <f t="shared" si="22"/>
        <v>0</v>
      </c>
    </row>
    <row r="206" spans="1:14" x14ac:dyDescent="0.25">
      <c r="A206" s="551" t="str">
        <f>+Info!$B$2</f>
        <v>724</v>
      </c>
      <c r="B206" s="559" t="s">
        <v>1100</v>
      </c>
      <c r="C206" s="559" t="str">
        <f t="shared" si="19"/>
        <v>1.10.30.20.010.015.00.000</v>
      </c>
      <c r="D206" s="599" t="str">
        <f t="shared" si="20"/>
        <v/>
      </c>
      <c r="E206" s="593"/>
      <c r="F206" s="593"/>
      <c r="G206" s="593"/>
      <c r="H206" s="601">
        <f t="shared" si="21"/>
        <v>0</v>
      </c>
      <c r="I206" s="593"/>
      <c r="J206" s="593"/>
      <c r="K206" s="593"/>
      <c r="L206" s="593"/>
      <c r="M206" s="593"/>
      <c r="N206" s="601">
        <f t="shared" si="22"/>
        <v>0</v>
      </c>
    </row>
    <row r="207" spans="1:14" x14ac:dyDescent="0.25">
      <c r="A207" s="551" t="str">
        <f>+Info!$B$2</f>
        <v>724</v>
      </c>
      <c r="B207" s="559" t="s">
        <v>1100</v>
      </c>
      <c r="C207" s="559" t="str">
        <f t="shared" si="19"/>
        <v>1.10.30.20.010.015.00.000</v>
      </c>
      <c r="D207" s="599" t="str">
        <f t="shared" si="20"/>
        <v/>
      </c>
      <c r="E207" s="593"/>
      <c r="F207" s="593"/>
      <c r="G207" s="593"/>
      <c r="H207" s="601">
        <f t="shared" si="21"/>
        <v>0</v>
      </c>
      <c r="I207" s="593"/>
      <c r="J207" s="593"/>
      <c r="K207" s="593"/>
      <c r="L207" s="593"/>
      <c r="M207" s="593"/>
      <c r="N207" s="601">
        <f t="shared" si="22"/>
        <v>0</v>
      </c>
    </row>
    <row r="208" spans="1:14" x14ac:dyDescent="0.25">
      <c r="A208" s="551" t="str">
        <f>+Info!$B$2</f>
        <v>724</v>
      </c>
      <c r="B208" s="559" t="s">
        <v>1100</v>
      </c>
      <c r="C208" s="559" t="str">
        <f t="shared" si="19"/>
        <v>1.10.30.20.010.015.00.000</v>
      </c>
      <c r="D208" s="599" t="str">
        <f t="shared" si="20"/>
        <v/>
      </c>
      <c r="E208" s="593"/>
      <c r="F208" s="593"/>
      <c r="G208" s="593"/>
      <c r="H208" s="601">
        <f t="shared" si="21"/>
        <v>0</v>
      </c>
      <c r="I208" s="593"/>
      <c r="J208" s="593"/>
      <c r="K208" s="593"/>
      <c r="L208" s="593"/>
      <c r="M208" s="593"/>
      <c r="N208" s="601">
        <f t="shared" si="22"/>
        <v>0</v>
      </c>
    </row>
    <row r="209" spans="1:14" x14ac:dyDescent="0.25">
      <c r="A209" s="551" t="str">
        <f>+Info!$B$2</f>
        <v>724</v>
      </c>
      <c r="B209" s="559" t="s">
        <v>1100</v>
      </c>
      <c r="C209" s="559" t="str">
        <f t="shared" si="19"/>
        <v>1.10.30.20.010.015.00.000</v>
      </c>
      <c r="D209" s="599" t="str">
        <f t="shared" si="20"/>
        <v/>
      </c>
      <c r="E209" s="593"/>
      <c r="F209" s="593"/>
      <c r="G209" s="593"/>
      <c r="H209" s="601">
        <f t="shared" si="21"/>
        <v>0</v>
      </c>
      <c r="I209" s="593"/>
      <c r="J209" s="593"/>
      <c r="K209" s="593"/>
      <c r="L209" s="593"/>
      <c r="M209" s="593"/>
      <c r="N209" s="601">
        <f t="shared" si="22"/>
        <v>0</v>
      </c>
    </row>
    <row r="210" spans="1:14" x14ac:dyDescent="0.25">
      <c r="A210" s="551" t="str">
        <f>+Info!$B$2</f>
        <v>724</v>
      </c>
      <c r="B210" s="594" t="s">
        <v>1103</v>
      </c>
      <c r="C210" s="594" t="s">
        <v>1104</v>
      </c>
      <c r="D210" s="594" t="s">
        <v>4268</v>
      </c>
      <c r="E210" s="598">
        <f t="shared" ref="E210:N210" si="23">SUM(E211:E222)</f>
        <v>0</v>
      </c>
      <c r="F210" s="598">
        <f t="shared" si="23"/>
        <v>0</v>
      </c>
      <c r="G210" s="598">
        <f t="shared" si="23"/>
        <v>0</v>
      </c>
      <c r="H210" s="598">
        <f t="shared" si="23"/>
        <v>0</v>
      </c>
      <c r="I210" s="598">
        <f t="shared" si="23"/>
        <v>0</v>
      </c>
      <c r="J210" s="598">
        <f t="shared" si="23"/>
        <v>0</v>
      </c>
      <c r="K210" s="598">
        <f t="shared" si="23"/>
        <v>0</v>
      </c>
      <c r="L210" s="598">
        <f t="shared" si="23"/>
        <v>0</v>
      </c>
      <c r="M210" s="598">
        <f t="shared" si="23"/>
        <v>0</v>
      </c>
      <c r="N210" s="598">
        <f t="shared" si="23"/>
        <v>0</v>
      </c>
    </row>
    <row r="211" spans="1:14" x14ac:dyDescent="0.25">
      <c r="A211" s="551" t="str">
        <f>+Info!$B$2</f>
        <v>724</v>
      </c>
      <c r="B211" s="559" t="s">
        <v>1103</v>
      </c>
      <c r="C211" s="559" t="str">
        <f t="shared" ref="C211:C222" si="24">$C$166</f>
        <v>1.10.30.20.010.020.00.000</v>
      </c>
      <c r="D211" s="599" t="str">
        <f t="shared" ref="D211:D222" si="25">IF(+D167="","",D167)</f>
        <v/>
      </c>
      <c r="E211" s="593"/>
      <c r="F211" s="593"/>
      <c r="G211" s="593"/>
      <c r="H211" s="601">
        <f t="shared" ref="H211:H222" si="26">+E211+F211-G211</f>
        <v>0</v>
      </c>
      <c r="I211" s="593"/>
      <c r="J211" s="593"/>
      <c r="K211" s="593"/>
      <c r="L211" s="593"/>
      <c r="M211" s="593"/>
      <c r="N211" s="601">
        <f t="shared" ref="N211:N222" si="27">+H211+I211+J211-K211+L211-M211</f>
        <v>0</v>
      </c>
    </row>
    <row r="212" spans="1:14" x14ac:dyDescent="0.25">
      <c r="A212" s="551" t="str">
        <f>+Info!$B$2</f>
        <v>724</v>
      </c>
      <c r="B212" s="559" t="s">
        <v>1103</v>
      </c>
      <c r="C212" s="559" t="str">
        <f t="shared" si="24"/>
        <v>1.10.30.20.010.020.00.000</v>
      </c>
      <c r="D212" s="599" t="str">
        <f t="shared" si="25"/>
        <v/>
      </c>
      <c r="E212" s="593"/>
      <c r="F212" s="593"/>
      <c r="G212" s="593"/>
      <c r="H212" s="601">
        <f t="shared" si="26"/>
        <v>0</v>
      </c>
      <c r="I212" s="593"/>
      <c r="J212" s="593"/>
      <c r="K212" s="593"/>
      <c r="L212" s="593"/>
      <c r="M212" s="593"/>
      <c r="N212" s="601">
        <f t="shared" si="27"/>
        <v>0</v>
      </c>
    </row>
    <row r="213" spans="1:14" x14ac:dyDescent="0.25">
      <c r="A213" s="551" t="str">
        <f>+Info!$B$2</f>
        <v>724</v>
      </c>
      <c r="B213" s="559" t="s">
        <v>1103</v>
      </c>
      <c r="C213" s="559" t="str">
        <f t="shared" si="24"/>
        <v>1.10.30.20.010.020.00.000</v>
      </c>
      <c r="D213" s="599" t="str">
        <f t="shared" si="25"/>
        <v/>
      </c>
      <c r="E213" s="593"/>
      <c r="F213" s="593"/>
      <c r="G213" s="593"/>
      <c r="H213" s="601">
        <f t="shared" si="26"/>
        <v>0</v>
      </c>
      <c r="I213" s="593"/>
      <c r="J213" s="593"/>
      <c r="K213" s="593"/>
      <c r="L213" s="593"/>
      <c r="M213" s="593"/>
      <c r="N213" s="601">
        <f t="shared" si="27"/>
        <v>0</v>
      </c>
    </row>
    <row r="214" spans="1:14" x14ac:dyDescent="0.25">
      <c r="A214" s="551" t="str">
        <f>+Info!$B$2</f>
        <v>724</v>
      </c>
      <c r="B214" s="559" t="s">
        <v>1103</v>
      </c>
      <c r="C214" s="559" t="str">
        <f t="shared" si="24"/>
        <v>1.10.30.20.010.020.00.000</v>
      </c>
      <c r="D214" s="599" t="str">
        <f t="shared" si="25"/>
        <v/>
      </c>
      <c r="E214" s="593"/>
      <c r="F214" s="593"/>
      <c r="G214" s="593"/>
      <c r="H214" s="601">
        <f t="shared" si="26"/>
        <v>0</v>
      </c>
      <c r="I214" s="593"/>
      <c r="J214" s="593"/>
      <c r="K214" s="593"/>
      <c r="L214" s="593"/>
      <c r="M214" s="593"/>
      <c r="N214" s="601">
        <f t="shared" si="27"/>
        <v>0</v>
      </c>
    </row>
    <row r="215" spans="1:14" x14ac:dyDescent="0.25">
      <c r="A215" s="551" t="str">
        <f>+Info!$B$2</f>
        <v>724</v>
      </c>
      <c r="B215" s="559" t="s">
        <v>1103</v>
      </c>
      <c r="C215" s="559" t="str">
        <f t="shared" si="24"/>
        <v>1.10.30.20.010.020.00.000</v>
      </c>
      <c r="D215" s="599" t="str">
        <f t="shared" si="25"/>
        <v/>
      </c>
      <c r="E215" s="593"/>
      <c r="F215" s="593"/>
      <c r="G215" s="593"/>
      <c r="H215" s="601">
        <f t="shared" si="26"/>
        <v>0</v>
      </c>
      <c r="I215" s="593"/>
      <c r="J215" s="593"/>
      <c r="K215" s="593"/>
      <c r="L215" s="593"/>
      <c r="M215" s="593"/>
      <c r="N215" s="601">
        <f t="shared" si="27"/>
        <v>0</v>
      </c>
    </row>
    <row r="216" spans="1:14" x14ac:dyDescent="0.25">
      <c r="A216" s="551" t="str">
        <f>+Info!$B$2</f>
        <v>724</v>
      </c>
      <c r="B216" s="559" t="s">
        <v>1103</v>
      </c>
      <c r="C216" s="559" t="str">
        <f t="shared" si="24"/>
        <v>1.10.30.20.010.020.00.000</v>
      </c>
      <c r="D216" s="599" t="str">
        <f t="shared" si="25"/>
        <v/>
      </c>
      <c r="E216" s="593"/>
      <c r="F216" s="593"/>
      <c r="G216" s="593"/>
      <c r="H216" s="601">
        <f t="shared" si="26"/>
        <v>0</v>
      </c>
      <c r="I216" s="593"/>
      <c r="J216" s="593"/>
      <c r="K216" s="593"/>
      <c r="L216" s="593"/>
      <c r="M216" s="593"/>
      <c r="N216" s="601">
        <f t="shared" si="27"/>
        <v>0</v>
      </c>
    </row>
    <row r="217" spans="1:14" x14ac:dyDescent="0.25">
      <c r="A217" s="551" t="str">
        <f>+Info!$B$2</f>
        <v>724</v>
      </c>
      <c r="B217" s="559" t="s">
        <v>1103</v>
      </c>
      <c r="C217" s="559" t="str">
        <f t="shared" si="24"/>
        <v>1.10.30.20.010.020.00.000</v>
      </c>
      <c r="D217" s="599" t="str">
        <f t="shared" si="25"/>
        <v/>
      </c>
      <c r="E217" s="593"/>
      <c r="F217" s="593"/>
      <c r="G217" s="593"/>
      <c r="H217" s="601">
        <f t="shared" si="26"/>
        <v>0</v>
      </c>
      <c r="I217" s="593"/>
      <c r="J217" s="593"/>
      <c r="K217" s="593"/>
      <c r="L217" s="593"/>
      <c r="M217" s="593"/>
      <c r="N217" s="601">
        <f t="shared" si="27"/>
        <v>0</v>
      </c>
    </row>
    <row r="218" spans="1:14" x14ac:dyDescent="0.25">
      <c r="A218" s="551" t="str">
        <f>+Info!$B$2</f>
        <v>724</v>
      </c>
      <c r="B218" s="559" t="s">
        <v>1103</v>
      </c>
      <c r="C218" s="559" t="str">
        <f t="shared" si="24"/>
        <v>1.10.30.20.010.020.00.000</v>
      </c>
      <c r="D218" s="599" t="str">
        <f t="shared" si="25"/>
        <v/>
      </c>
      <c r="E218" s="593"/>
      <c r="F218" s="593"/>
      <c r="G218" s="593"/>
      <c r="H218" s="601">
        <f t="shared" si="26"/>
        <v>0</v>
      </c>
      <c r="I218" s="593"/>
      <c r="J218" s="593"/>
      <c r="K218" s="593"/>
      <c r="L218" s="593"/>
      <c r="M218" s="593"/>
      <c r="N218" s="601">
        <f t="shared" si="27"/>
        <v>0</v>
      </c>
    </row>
    <row r="219" spans="1:14" x14ac:dyDescent="0.25">
      <c r="A219" s="551" t="str">
        <f>+Info!$B$2</f>
        <v>724</v>
      </c>
      <c r="B219" s="559" t="s">
        <v>1103</v>
      </c>
      <c r="C219" s="559" t="str">
        <f t="shared" si="24"/>
        <v>1.10.30.20.010.020.00.000</v>
      </c>
      <c r="D219" s="599" t="str">
        <f t="shared" si="25"/>
        <v/>
      </c>
      <c r="E219" s="593"/>
      <c r="F219" s="593"/>
      <c r="G219" s="593"/>
      <c r="H219" s="601">
        <f t="shared" si="26"/>
        <v>0</v>
      </c>
      <c r="I219" s="593"/>
      <c r="J219" s="593"/>
      <c r="K219" s="593"/>
      <c r="L219" s="593"/>
      <c r="M219" s="593"/>
      <c r="N219" s="601">
        <f t="shared" si="27"/>
        <v>0</v>
      </c>
    </row>
    <row r="220" spans="1:14" x14ac:dyDescent="0.25">
      <c r="A220" s="551" t="str">
        <f>+Info!$B$2</f>
        <v>724</v>
      </c>
      <c r="B220" s="559" t="s">
        <v>1103</v>
      </c>
      <c r="C220" s="559" t="str">
        <f t="shared" si="24"/>
        <v>1.10.30.20.010.020.00.000</v>
      </c>
      <c r="D220" s="599" t="str">
        <f t="shared" si="25"/>
        <v/>
      </c>
      <c r="E220" s="593"/>
      <c r="F220" s="593"/>
      <c r="G220" s="593"/>
      <c r="H220" s="601">
        <f t="shared" si="26"/>
        <v>0</v>
      </c>
      <c r="I220" s="593"/>
      <c r="J220" s="593"/>
      <c r="K220" s="593"/>
      <c r="L220" s="593"/>
      <c r="M220" s="593"/>
      <c r="N220" s="601">
        <f t="shared" si="27"/>
        <v>0</v>
      </c>
    </row>
    <row r="221" spans="1:14" x14ac:dyDescent="0.25">
      <c r="A221" s="551" t="str">
        <f>+Info!$B$2</f>
        <v>724</v>
      </c>
      <c r="B221" s="559" t="s">
        <v>1103</v>
      </c>
      <c r="C221" s="559" t="str">
        <f t="shared" si="24"/>
        <v>1.10.30.20.010.020.00.000</v>
      </c>
      <c r="D221" s="599" t="str">
        <f t="shared" si="25"/>
        <v/>
      </c>
      <c r="E221" s="593"/>
      <c r="F221" s="593"/>
      <c r="G221" s="593"/>
      <c r="H221" s="601">
        <f t="shared" si="26"/>
        <v>0</v>
      </c>
      <c r="I221" s="593"/>
      <c r="J221" s="593"/>
      <c r="K221" s="593"/>
      <c r="L221" s="593"/>
      <c r="M221" s="593"/>
      <c r="N221" s="601">
        <f t="shared" si="27"/>
        <v>0</v>
      </c>
    </row>
    <row r="222" spans="1:14" x14ac:dyDescent="0.25">
      <c r="A222" s="551" t="str">
        <f>+Info!$B$2</f>
        <v>724</v>
      </c>
      <c r="B222" s="559" t="s">
        <v>1103</v>
      </c>
      <c r="C222" s="559" t="str">
        <f t="shared" si="24"/>
        <v>1.10.30.20.010.020.00.000</v>
      </c>
      <c r="D222" s="599" t="str">
        <f t="shared" si="25"/>
        <v/>
      </c>
      <c r="E222" s="593"/>
      <c r="F222" s="593"/>
      <c r="G222" s="593"/>
      <c r="H222" s="601">
        <f t="shared" si="26"/>
        <v>0</v>
      </c>
      <c r="I222" s="593"/>
      <c r="J222" s="593"/>
      <c r="K222" s="593"/>
      <c r="L222" s="593"/>
      <c r="M222" s="593"/>
      <c r="N222" s="601">
        <f t="shared" si="27"/>
        <v>0</v>
      </c>
    </row>
    <row r="223" spans="1:14" x14ac:dyDescent="0.25">
      <c r="A223" s="551" t="str">
        <f>+Info!$B$2</f>
        <v>724</v>
      </c>
    </row>
    <row r="224" spans="1:14" s="557" customFormat="1" x14ac:dyDescent="0.25">
      <c r="A224" s="551" t="str">
        <f>+Info!$B$2</f>
        <v>724</v>
      </c>
      <c r="B224" s="551"/>
      <c r="C224" s="565"/>
      <c r="D224" s="565"/>
      <c r="E224" s="565"/>
      <c r="F224" s="565"/>
      <c r="G224" s="565"/>
      <c r="H224" s="565"/>
      <c r="I224" s="565"/>
      <c r="J224" s="565"/>
      <c r="K224" s="565"/>
      <c r="L224" s="565"/>
    </row>
    <row r="225" spans="1:14" s="557" customFormat="1" ht="19.5" x14ac:dyDescent="0.3">
      <c r="A225" s="551" t="str">
        <f>+Info!$B$2</f>
        <v>724</v>
      </c>
      <c r="B225" s="551"/>
      <c r="C225" s="565"/>
      <c r="D225" s="926" t="s">
        <v>4276</v>
      </c>
      <c r="E225" s="926"/>
      <c r="F225" s="926"/>
      <c r="G225" s="926"/>
      <c r="H225" s="926"/>
      <c r="I225" s="926"/>
      <c r="J225" s="926"/>
      <c r="K225" s="926"/>
      <c r="L225" s="926"/>
      <c r="M225" s="926"/>
      <c r="N225" s="926"/>
    </row>
    <row r="226" spans="1:14" s="557" customFormat="1" ht="19.5" x14ac:dyDescent="0.3">
      <c r="A226" s="551"/>
      <c r="B226" s="565"/>
      <c r="C226" s="565"/>
      <c r="D226" s="587"/>
      <c r="E226" s="587"/>
      <c r="F226" s="587"/>
      <c r="G226" s="587"/>
      <c r="H226" s="587"/>
      <c r="I226" s="587"/>
      <c r="J226" s="587"/>
      <c r="K226" s="587"/>
      <c r="L226" s="587"/>
      <c r="M226" s="587"/>
      <c r="N226" s="587"/>
    </row>
    <row r="227" spans="1:14" s="557" customFormat="1" ht="19.5" hidden="1" customHeight="1" x14ac:dyDescent="0.3">
      <c r="A227" s="551"/>
      <c r="B227" s="588"/>
      <c r="C227" s="588" t="s">
        <v>4253</v>
      </c>
      <c r="D227" s="588" t="s">
        <v>4254</v>
      </c>
      <c r="E227" s="581"/>
      <c r="F227" s="587"/>
      <c r="G227" s="587"/>
      <c r="H227" s="581">
        <v>0</v>
      </c>
      <c r="I227" s="581">
        <v>0</v>
      </c>
      <c r="J227" s="581">
        <v>0</v>
      </c>
      <c r="K227" s="581">
        <v>0</v>
      </c>
      <c r="L227" s="581">
        <v>0</v>
      </c>
      <c r="M227" s="581">
        <v>0</v>
      </c>
      <c r="N227" s="587"/>
    </row>
    <row r="228" spans="1:14" s="557" customFormat="1" ht="15" hidden="1" customHeight="1" x14ac:dyDescent="0.25">
      <c r="A228" s="551"/>
      <c r="B228" s="581"/>
      <c r="C228" s="581"/>
      <c r="D228" s="581"/>
      <c r="E228" s="581"/>
      <c r="F228" s="581"/>
      <c r="G228" s="581"/>
      <c r="H228" s="581">
        <v>0</v>
      </c>
      <c r="I228" s="581">
        <v>0</v>
      </c>
      <c r="J228" s="581">
        <v>0</v>
      </c>
      <c r="K228" s="581">
        <v>0</v>
      </c>
      <c r="L228" s="581">
        <v>0</v>
      </c>
      <c r="M228" s="581">
        <v>0</v>
      </c>
      <c r="N228" s="581"/>
    </row>
    <row r="229" spans="1:14" s="557" customFormat="1" ht="19.5" hidden="1" customHeight="1" x14ac:dyDescent="0.3">
      <c r="A229" s="551"/>
      <c r="B229" s="581"/>
      <c r="C229" s="581"/>
      <c r="D229" s="587"/>
      <c r="E229" s="587"/>
      <c r="F229" s="587"/>
      <c r="G229" s="587"/>
      <c r="H229" s="581">
        <v>0</v>
      </c>
      <c r="I229" s="581">
        <v>0</v>
      </c>
      <c r="J229" s="581">
        <v>0</v>
      </c>
      <c r="K229" s="581">
        <v>0</v>
      </c>
      <c r="L229" s="581">
        <v>0</v>
      </c>
      <c r="M229" s="581">
        <v>0</v>
      </c>
      <c r="N229" s="581"/>
    </row>
    <row r="230" spans="1:14" ht="15" hidden="1" customHeight="1" x14ac:dyDescent="0.25">
      <c r="A230" s="551" t="str">
        <f>+Info!$B$2</f>
        <v>724</v>
      </c>
      <c r="B230"/>
      <c r="C230"/>
      <c r="D230"/>
      <c r="E230"/>
      <c r="F230"/>
      <c r="G230"/>
      <c r="H230" s="581">
        <v>0</v>
      </c>
      <c r="I230" s="581">
        <v>0</v>
      </c>
      <c r="J230" s="581">
        <v>0</v>
      </c>
      <c r="K230" s="581">
        <v>0</v>
      </c>
      <c r="L230" s="581">
        <v>0</v>
      </c>
      <c r="M230" s="581">
        <v>0</v>
      </c>
      <c r="N230" s="581"/>
    </row>
    <row r="231" spans="1:14" ht="36" x14ac:dyDescent="0.25">
      <c r="A231" s="551" t="str">
        <f>+Info!$B$2</f>
        <v>724</v>
      </c>
      <c r="D231" s="589" t="s">
        <v>4255</v>
      </c>
      <c r="E231" s="590" t="s">
        <v>4256</v>
      </c>
      <c r="F231" s="590" t="s">
        <v>4257</v>
      </c>
      <c r="G231" s="590" t="s">
        <v>4258</v>
      </c>
      <c r="H231" s="590" t="s">
        <v>4259</v>
      </c>
      <c r="I231" s="590" t="s">
        <v>4260</v>
      </c>
      <c r="J231" s="590" t="s">
        <v>4261</v>
      </c>
      <c r="K231" s="590" t="s">
        <v>4262</v>
      </c>
      <c r="L231" s="590" t="s">
        <v>4263</v>
      </c>
      <c r="M231" s="590" t="s">
        <v>4264</v>
      </c>
      <c r="N231" s="590" t="s">
        <v>4265</v>
      </c>
    </row>
    <row r="232" spans="1:14" x14ac:dyDescent="0.25">
      <c r="A232" s="551" t="str">
        <f>+Info!$B$2</f>
        <v>724</v>
      </c>
      <c r="B232" s="591" t="s">
        <v>1760</v>
      </c>
      <c r="C232" s="591" t="s">
        <v>1761</v>
      </c>
      <c r="D232" s="591" t="s">
        <v>4266</v>
      </c>
      <c r="E232" s="592"/>
      <c r="F232" s="592"/>
      <c r="G232" s="592"/>
      <c r="H232" s="592"/>
      <c r="I232" s="592"/>
      <c r="J232" s="592"/>
      <c r="K232" s="592"/>
      <c r="L232" s="592"/>
      <c r="M232" s="592"/>
      <c r="N232" s="592"/>
    </row>
    <row r="233" spans="1:14" x14ac:dyDescent="0.25">
      <c r="A233" s="551" t="str">
        <f>+Info!$B$2</f>
        <v>724</v>
      </c>
      <c r="B233" s="559" t="s">
        <v>1760</v>
      </c>
      <c r="C233" s="559" t="str">
        <f t="shared" ref="C233:C244" si="28">$C$232</f>
        <v>1.20.30.10.010.000.00.000</v>
      </c>
      <c r="D233" s="593"/>
      <c r="E233" s="563"/>
      <c r="F233" s="563"/>
      <c r="G233" s="563"/>
      <c r="H233" s="563"/>
      <c r="I233" s="563"/>
      <c r="J233" s="563"/>
      <c r="K233" s="563"/>
      <c r="L233" s="563"/>
      <c r="M233" s="563"/>
      <c r="N233" s="563"/>
    </row>
    <row r="234" spans="1:14" x14ac:dyDescent="0.25">
      <c r="A234" s="551" t="str">
        <f>+Info!$B$2</f>
        <v>724</v>
      </c>
      <c r="B234" s="559" t="s">
        <v>1760</v>
      </c>
      <c r="C234" s="559" t="str">
        <f t="shared" si="28"/>
        <v>1.20.30.10.010.000.00.000</v>
      </c>
      <c r="D234" s="593"/>
      <c r="E234" s="563"/>
      <c r="F234" s="563"/>
      <c r="G234" s="563"/>
      <c r="H234" s="563"/>
      <c r="I234" s="563"/>
      <c r="J234" s="563"/>
      <c r="K234" s="563"/>
      <c r="L234" s="563"/>
      <c r="M234" s="563"/>
      <c r="N234" s="563"/>
    </row>
    <row r="235" spans="1:14" x14ac:dyDescent="0.25">
      <c r="A235" s="551" t="str">
        <f>+Info!$B$2</f>
        <v>724</v>
      </c>
      <c r="B235" s="559" t="s">
        <v>1760</v>
      </c>
      <c r="C235" s="559" t="str">
        <f t="shared" si="28"/>
        <v>1.20.30.10.010.000.00.000</v>
      </c>
      <c r="D235" s="593"/>
      <c r="E235" s="563"/>
      <c r="F235" s="563"/>
      <c r="G235" s="563"/>
      <c r="H235" s="563"/>
      <c r="I235" s="563"/>
      <c r="J235" s="563"/>
      <c r="K235" s="563"/>
      <c r="L235" s="563"/>
      <c r="M235" s="563"/>
      <c r="N235" s="563"/>
    </row>
    <row r="236" spans="1:14" x14ac:dyDescent="0.25">
      <c r="A236" s="551" t="str">
        <f>+Info!$B$2</f>
        <v>724</v>
      </c>
      <c r="B236" s="559" t="s">
        <v>1760</v>
      </c>
      <c r="C236" s="559" t="str">
        <f t="shared" si="28"/>
        <v>1.20.30.10.010.000.00.000</v>
      </c>
      <c r="D236" s="593"/>
      <c r="E236" s="563"/>
      <c r="F236" s="563"/>
      <c r="G236" s="563"/>
      <c r="H236" s="563"/>
      <c r="I236" s="563"/>
      <c r="J236" s="563"/>
      <c r="K236" s="563"/>
      <c r="L236" s="563"/>
      <c r="M236" s="563"/>
      <c r="N236" s="563"/>
    </row>
    <row r="237" spans="1:14" x14ac:dyDescent="0.25">
      <c r="A237" s="551" t="str">
        <f>+Info!$B$2</f>
        <v>724</v>
      </c>
      <c r="B237" s="559" t="s">
        <v>1760</v>
      </c>
      <c r="C237" s="559" t="str">
        <f t="shared" si="28"/>
        <v>1.20.30.10.010.000.00.000</v>
      </c>
      <c r="D237" s="593"/>
      <c r="E237" s="563"/>
      <c r="F237" s="563"/>
      <c r="G237" s="563"/>
      <c r="H237" s="563"/>
      <c r="I237" s="563"/>
      <c r="J237" s="563"/>
      <c r="K237" s="563"/>
      <c r="L237" s="563"/>
      <c r="M237" s="563"/>
      <c r="N237" s="563"/>
    </row>
    <row r="238" spans="1:14" x14ac:dyDescent="0.25">
      <c r="A238" s="551" t="str">
        <f>+Info!$B$2</f>
        <v>724</v>
      </c>
      <c r="B238" s="559" t="s">
        <v>1760</v>
      </c>
      <c r="C238" s="559" t="str">
        <f t="shared" si="28"/>
        <v>1.20.30.10.010.000.00.000</v>
      </c>
      <c r="D238" s="593"/>
      <c r="E238" s="563"/>
      <c r="F238" s="563"/>
      <c r="G238" s="563"/>
      <c r="H238" s="563"/>
      <c r="I238" s="563"/>
      <c r="J238" s="563"/>
      <c r="K238" s="563"/>
      <c r="L238" s="563"/>
      <c r="M238" s="563"/>
      <c r="N238" s="563"/>
    </row>
    <row r="239" spans="1:14" x14ac:dyDescent="0.25">
      <c r="A239" s="551" t="str">
        <f>+Info!$B$2</f>
        <v>724</v>
      </c>
      <c r="B239" s="559" t="s">
        <v>1760</v>
      </c>
      <c r="C239" s="559" t="str">
        <f t="shared" si="28"/>
        <v>1.20.30.10.010.000.00.000</v>
      </c>
      <c r="D239" s="593"/>
      <c r="E239" s="563"/>
      <c r="F239" s="563"/>
      <c r="G239" s="563"/>
      <c r="H239" s="563"/>
      <c r="I239" s="563"/>
      <c r="J239" s="563"/>
      <c r="K239" s="563"/>
      <c r="L239" s="563"/>
      <c r="M239" s="563"/>
      <c r="N239" s="563"/>
    </row>
    <row r="240" spans="1:14" x14ac:dyDescent="0.25">
      <c r="A240" s="551" t="str">
        <f>+Info!$B$2</f>
        <v>724</v>
      </c>
      <c r="B240" s="559" t="s">
        <v>1760</v>
      </c>
      <c r="C240" s="559" t="str">
        <f t="shared" si="28"/>
        <v>1.20.30.10.010.000.00.000</v>
      </c>
      <c r="D240" s="593"/>
      <c r="E240" s="563"/>
      <c r="F240" s="563"/>
      <c r="G240" s="563"/>
      <c r="H240" s="563"/>
      <c r="I240" s="563"/>
      <c r="J240" s="563"/>
      <c r="K240" s="563"/>
      <c r="L240" s="563"/>
      <c r="M240" s="563"/>
      <c r="N240" s="563"/>
    </row>
    <row r="241" spans="1:14" x14ac:dyDescent="0.25">
      <c r="A241" s="551" t="str">
        <f>+Info!$B$2</f>
        <v>724</v>
      </c>
      <c r="B241" s="559" t="s">
        <v>1760</v>
      </c>
      <c r="C241" s="559" t="str">
        <f t="shared" si="28"/>
        <v>1.20.30.10.010.000.00.000</v>
      </c>
      <c r="D241" s="593"/>
      <c r="E241" s="563"/>
      <c r="F241" s="563"/>
      <c r="G241" s="563"/>
      <c r="H241" s="563"/>
      <c r="I241" s="563"/>
      <c r="J241" s="563"/>
      <c r="K241" s="563"/>
      <c r="L241" s="563"/>
      <c r="M241" s="563"/>
      <c r="N241" s="563"/>
    </row>
    <row r="242" spans="1:14" x14ac:dyDescent="0.25">
      <c r="A242" s="551" t="str">
        <f>+Info!$B$2</f>
        <v>724</v>
      </c>
      <c r="B242" s="559" t="s">
        <v>1760</v>
      </c>
      <c r="C242" s="559" t="str">
        <f t="shared" si="28"/>
        <v>1.20.30.10.010.000.00.000</v>
      </c>
      <c r="D242" s="593"/>
      <c r="E242" s="563"/>
      <c r="F242" s="563"/>
      <c r="G242" s="563"/>
      <c r="H242" s="563"/>
      <c r="I242" s="563"/>
      <c r="J242" s="563"/>
      <c r="K242" s="563"/>
      <c r="L242" s="563"/>
      <c r="M242" s="563"/>
      <c r="N242" s="563"/>
    </row>
    <row r="243" spans="1:14" x14ac:dyDescent="0.25">
      <c r="A243" s="551" t="str">
        <f>+Info!$B$2</f>
        <v>724</v>
      </c>
      <c r="B243" s="559" t="s">
        <v>1760</v>
      </c>
      <c r="C243" s="559" t="str">
        <f t="shared" si="28"/>
        <v>1.20.30.10.010.000.00.000</v>
      </c>
      <c r="D243" s="593"/>
      <c r="E243" s="563"/>
      <c r="F243" s="563"/>
      <c r="G243" s="563"/>
      <c r="H243" s="563"/>
      <c r="I243" s="563"/>
      <c r="J243" s="563"/>
      <c r="K243" s="563"/>
      <c r="L243" s="563"/>
      <c r="M243" s="563"/>
      <c r="N243" s="563"/>
    </row>
    <row r="244" spans="1:14" x14ac:dyDescent="0.25">
      <c r="A244" s="551" t="str">
        <f>+Info!$B$2</f>
        <v>724</v>
      </c>
      <c r="B244" s="559" t="s">
        <v>1760</v>
      </c>
      <c r="C244" s="559" t="str">
        <f t="shared" si="28"/>
        <v>1.20.30.10.010.000.00.000</v>
      </c>
      <c r="D244" s="593"/>
      <c r="E244" s="563"/>
      <c r="F244" s="563"/>
      <c r="G244" s="563"/>
      <c r="H244" s="563"/>
      <c r="I244" s="563"/>
      <c r="J244" s="563"/>
      <c r="K244" s="563"/>
      <c r="L244" s="563"/>
      <c r="M244" s="563"/>
      <c r="N244" s="563"/>
    </row>
    <row r="245" spans="1:14" x14ac:dyDescent="0.25">
      <c r="A245" s="551" t="str">
        <f>+Info!$B$2</f>
        <v>724</v>
      </c>
      <c r="B245" s="591" t="s">
        <v>1765</v>
      </c>
      <c r="C245" s="591" t="s">
        <v>1766</v>
      </c>
      <c r="D245" s="594" t="s">
        <v>4267</v>
      </c>
      <c r="E245" s="595"/>
      <c r="F245" s="595"/>
      <c r="G245" s="595"/>
      <c r="H245" s="595"/>
      <c r="I245" s="595"/>
      <c r="J245" s="595"/>
      <c r="K245" s="595"/>
      <c r="L245" s="595"/>
      <c r="M245" s="595"/>
      <c r="N245" s="595"/>
    </row>
    <row r="246" spans="1:14" x14ac:dyDescent="0.25">
      <c r="A246" s="551" t="str">
        <f>+Info!$B$2</f>
        <v>724</v>
      </c>
      <c r="B246" s="559" t="s">
        <v>1765</v>
      </c>
      <c r="C246" s="559" t="str">
        <f t="shared" ref="C246:C257" si="29">$C$245</f>
        <v>1.20.30.10.015.000.00.000</v>
      </c>
      <c r="D246" s="593"/>
      <c r="E246" s="563"/>
      <c r="F246" s="563"/>
      <c r="G246" s="563"/>
      <c r="H246" s="563"/>
      <c r="I246" s="563"/>
      <c r="J246" s="563"/>
      <c r="K246" s="563"/>
      <c r="L246" s="563"/>
      <c r="M246" s="563"/>
      <c r="N246" s="563"/>
    </row>
    <row r="247" spans="1:14" x14ac:dyDescent="0.25">
      <c r="A247" s="551" t="str">
        <f>+Info!$B$2</f>
        <v>724</v>
      </c>
      <c r="B247" s="559" t="s">
        <v>1765</v>
      </c>
      <c r="C247" s="559" t="str">
        <f t="shared" si="29"/>
        <v>1.20.30.10.015.000.00.000</v>
      </c>
      <c r="D247" s="593"/>
      <c r="E247" s="563"/>
      <c r="F247" s="563"/>
      <c r="G247" s="563"/>
      <c r="H247" s="563"/>
      <c r="I247" s="563"/>
      <c r="J247" s="563"/>
      <c r="K247" s="563"/>
      <c r="L247" s="563"/>
      <c r="M247" s="563"/>
      <c r="N247" s="563"/>
    </row>
    <row r="248" spans="1:14" x14ac:dyDescent="0.25">
      <c r="A248" s="551" t="str">
        <f>+Info!$B$2</f>
        <v>724</v>
      </c>
      <c r="B248" s="559" t="s">
        <v>1765</v>
      </c>
      <c r="C248" s="559" t="str">
        <f t="shared" si="29"/>
        <v>1.20.30.10.015.000.00.000</v>
      </c>
      <c r="D248" s="593"/>
      <c r="E248" s="563"/>
      <c r="F248" s="563"/>
      <c r="G248" s="563"/>
      <c r="H248" s="563"/>
      <c r="I248" s="563"/>
      <c r="J248" s="563"/>
      <c r="K248" s="563"/>
      <c r="L248" s="563"/>
      <c r="M248" s="563"/>
      <c r="N248" s="563"/>
    </row>
    <row r="249" spans="1:14" x14ac:dyDescent="0.25">
      <c r="A249" s="551" t="str">
        <f>+Info!$B$2</f>
        <v>724</v>
      </c>
      <c r="B249" s="559" t="s">
        <v>1765</v>
      </c>
      <c r="C249" s="559" t="str">
        <f t="shared" si="29"/>
        <v>1.20.30.10.015.000.00.000</v>
      </c>
      <c r="D249" s="593"/>
      <c r="E249" s="563"/>
      <c r="F249" s="563"/>
      <c r="G249" s="563"/>
      <c r="H249" s="563"/>
      <c r="I249" s="563"/>
      <c r="J249" s="563"/>
      <c r="K249" s="563"/>
      <c r="L249" s="563"/>
      <c r="M249" s="563"/>
      <c r="N249" s="563"/>
    </row>
    <row r="250" spans="1:14" x14ac:dyDescent="0.25">
      <c r="A250" s="551" t="str">
        <f>+Info!$B$2</f>
        <v>724</v>
      </c>
      <c r="B250" s="559" t="s">
        <v>1765</v>
      </c>
      <c r="C250" s="559" t="str">
        <f t="shared" si="29"/>
        <v>1.20.30.10.015.000.00.000</v>
      </c>
      <c r="D250" s="593"/>
      <c r="E250" s="563"/>
      <c r="F250" s="563"/>
      <c r="G250" s="563"/>
      <c r="H250" s="563"/>
      <c r="I250" s="563"/>
      <c r="J250" s="563"/>
      <c r="K250" s="563"/>
      <c r="L250" s="563"/>
      <c r="M250" s="563"/>
      <c r="N250" s="563"/>
    </row>
    <row r="251" spans="1:14" x14ac:dyDescent="0.25">
      <c r="A251" s="551" t="str">
        <f>+Info!$B$2</f>
        <v>724</v>
      </c>
      <c r="B251" s="559" t="s">
        <v>1765</v>
      </c>
      <c r="C251" s="559" t="str">
        <f t="shared" si="29"/>
        <v>1.20.30.10.015.000.00.000</v>
      </c>
      <c r="D251" s="593"/>
      <c r="E251" s="563"/>
      <c r="F251" s="563"/>
      <c r="G251" s="563"/>
      <c r="H251" s="563"/>
      <c r="I251" s="563"/>
      <c r="J251" s="563"/>
      <c r="K251" s="563"/>
      <c r="L251" s="563"/>
      <c r="M251" s="563"/>
      <c r="N251" s="563"/>
    </row>
    <row r="252" spans="1:14" x14ac:dyDescent="0.25">
      <c r="A252" s="551" t="str">
        <f>+Info!$B$2</f>
        <v>724</v>
      </c>
      <c r="B252" s="559" t="s">
        <v>1765</v>
      </c>
      <c r="C252" s="559" t="str">
        <f t="shared" si="29"/>
        <v>1.20.30.10.015.000.00.000</v>
      </c>
      <c r="D252" s="593"/>
      <c r="E252" s="563"/>
      <c r="F252" s="563"/>
      <c r="G252" s="563"/>
      <c r="H252" s="563"/>
      <c r="I252" s="563"/>
      <c r="J252" s="563"/>
      <c r="K252" s="563"/>
      <c r="L252" s="563"/>
      <c r="M252" s="563"/>
      <c r="N252" s="563"/>
    </row>
    <row r="253" spans="1:14" x14ac:dyDescent="0.25">
      <c r="A253" s="551" t="str">
        <f>+Info!$B$2</f>
        <v>724</v>
      </c>
      <c r="B253" s="559" t="s">
        <v>1765</v>
      </c>
      <c r="C253" s="559" t="str">
        <f t="shared" si="29"/>
        <v>1.20.30.10.015.000.00.000</v>
      </c>
      <c r="D253" s="593"/>
      <c r="E253" s="563"/>
      <c r="F253" s="563"/>
      <c r="G253" s="563"/>
      <c r="H253" s="563"/>
      <c r="I253" s="563"/>
      <c r="J253" s="563"/>
      <c r="K253" s="563"/>
      <c r="L253" s="563"/>
      <c r="M253" s="563"/>
      <c r="N253" s="563"/>
    </row>
    <row r="254" spans="1:14" x14ac:dyDescent="0.25">
      <c r="A254" s="551" t="str">
        <f>+Info!$B$2</f>
        <v>724</v>
      </c>
      <c r="B254" s="559" t="s">
        <v>1765</v>
      </c>
      <c r="C254" s="559" t="str">
        <f t="shared" si="29"/>
        <v>1.20.30.10.015.000.00.000</v>
      </c>
      <c r="D254" s="593"/>
      <c r="E254" s="563"/>
      <c r="F254" s="563"/>
      <c r="G254" s="563"/>
      <c r="H254" s="563"/>
      <c r="I254" s="563"/>
      <c r="J254" s="563"/>
      <c r="K254" s="563"/>
      <c r="L254" s="563"/>
      <c r="M254" s="563"/>
      <c r="N254" s="563"/>
    </row>
    <row r="255" spans="1:14" x14ac:dyDescent="0.25">
      <c r="A255" s="551" t="str">
        <f>+Info!$B$2</f>
        <v>724</v>
      </c>
      <c r="B255" s="559" t="s">
        <v>1765</v>
      </c>
      <c r="C255" s="559" t="str">
        <f t="shared" si="29"/>
        <v>1.20.30.10.015.000.00.000</v>
      </c>
      <c r="D255" s="593"/>
      <c r="E255" s="563"/>
      <c r="F255" s="563"/>
      <c r="G255" s="563"/>
      <c r="H255" s="563"/>
      <c r="I255" s="563"/>
      <c r="J255" s="563"/>
      <c r="K255" s="563"/>
      <c r="L255" s="563"/>
      <c r="M255" s="563"/>
      <c r="N255" s="563"/>
    </row>
    <row r="256" spans="1:14" x14ac:dyDescent="0.25">
      <c r="A256" s="551" t="str">
        <f>+Info!$B$2</f>
        <v>724</v>
      </c>
      <c r="B256" s="559" t="s">
        <v>1765</v>
      </c>
      <c r="C256" s="559" t="str">
        <f t="shared" si="29"/>
        <v>1.20.30.10.015.000.00.000</v>
      </c>
      <c r="D256" s="593"/>
      <c r="E256" s="563"/>
      <c r="F256" s="563"/>
      <c r="G256" s="563"/>
      <c r="H256" s="563"/>
      <c r="I256" s="563"/>
      <c r="J256" s="563"/>
      <c r="K256" s="563"/>
      <c r="L256" s="563"/>
      <c r="M256" s="563"/>
      <c r="N256" s="563"/>
    </row>
    <row r="257" spans="1:14" x14ac:dyDescent="0.25">
      <c r="A257" s="551" t="str">
        <f>+Info!$B$2</f>
        <v>724</v>
      </c>
      <c r="B257" s="559" t="s">
        <v>1765</v>
      </c>
      <c r="C257" s="559" t="str">
        <f t="shared" si="29"/>
        <v>1.20.30.10.015.000.00.000</v>
      </c>
      <c r="D257" s="593"/>
      <c r="E257" s="563"/>
      <c r="F257" s="563"/>
      <c r="G257" s="563"/>
      <c r="H257" s="563"/>
      <c r="I257" s="563"/>
      <c r="J257" s="563"/>
      <c r="K257" s="563"/>
      <c r="L257" s="563"/>
      <c r="M257" s="563"/>
      <c r="N257" s="563"/>
    </row>
    <row r="258" spans="1:14" x14ac:dyDescent="0.25">
      <c r="A258" s="551" t="str">
        <f>+Info!$B$2</f>
        <v>724</v>
      </c>
      <c r="B258" s="591" t="s">
        <v>1767</v>
      </c>
      <c r="C258" s="591" t="s">
        <v>1768</v>
      </c>
      <c r="D258" s="594" t="s">
        <v>4268</v>
      </c>
      <c r="E258" s="595"/>
      <c r="F258" s="595"/>
      <c r="G258" s="595"/>
      <c r="H258" s="595"/>
      <c r="I258" s="595"/>
      <c r="J258" s="595"/>
      <c r="K258" s="595"/>
      <c r="L258" s="595"/>
      <c r="M258" s="595"/>
      <c r="N258" s="595"/>
    </row>
    <row r="259" spans="1:14" x14ac:dyDescent="0.25">
      <c r="A259" s="551" t="str">
        <f>+Info!$B$2</f>
        <v>724</v>
      </c>
      <c r="B259" s="559" t="s">
        <v>1767</v>
      </c>
      <c r="C259" s="559" t="str">
        <f t="shared" ref="C259:C270" si="30">$C$258</f>
        <v>1.20.30.10.020.000.00.000</v>
      </c>
      <c r="D259" s="593"/>
      <c r="E259" s="563"/>
      <c r="F259" s="563"/>
      <c r="G259" s="563"/>
      <c r="H259" s="563"/>
      <c r="I259" s="563"/>
      <c r="J259" s="563"/>
      <c r="K259" s="563"/>
      <c r="L259" s="563"/>
      <c r="M259" s="563"/>
      <c r="N259" s="563"/>
    </row>
    <row r="260" spans="1:14" x14ac:dyDescent="0.25">
      <c r="A260" s="551" t="str">
        <f>+Info!$B$2</f>
        <v>724</v>
      </c>
      <c r="B260" s="559" t="s">
        <v>1767</v>
      </c>
      <c r="C260" s="559" t="str">
        <f t="shared" si="30"/>
        <v>1.20.30.10.020.000.00.000</v>
      </c>
      <c r="D260" s="593"/>
      <c r="E260" s="563"/>
      <c r="F260" s="563"/>
      <c r="G260" s="563"/>
      <c r="H260" s="563"/>
      <c r="I260" s="563"/>
      <c r="J260" s="563"/>
      <c r="K260" s="563"/>
      <c r="L260" s="563"/>
      <c r="M260" s="563"/>
      <c r="N260" s="563"/>
    </row>
    <row r="261" spans="1:14" x14ac:dyDescent="0.25">
      <c r="A261" s="551" t="str">
        <f>+Info!$B$2</f>
        <v>724</v>
      </c>
      <c r="B261" s="559" t="s">
        <v>1767</v>
      </c>
      <c r="C261" s="559" t="str">
        <f t="shared" si="30"/>
        <v>1.20.30.10.020.000.00.000</v>
      </c>
      <c r="D261" s="593"/>
      <c r="E261" s="563"/>
      <c r="F261" s="563"/>
      <c r="G261" s="563"/>
      <c r="H261" s="563"/>
      <c r="I261" s="563"/>
      <c r="J261" s="563"/>
      <c r="K261" s="563"/>
      <c r="L261" s="563"/>
      <c r="M261" s="563"/>
      <c r="N261" s="563"/>
    </row>
    <row r="262" spans="1:14" x14ac:dyDescent="0.25">
      <c r="A262" s="551" t="str">
        <f>+Info!$B$2</f>
        <v>724</v>
      </c>
      <c r="B262" s="559" t="s">
        <v>1767</v>
      </c>
      <c r="C262" s="559" t="str">
        <f t="shared" si="30"/>
        <v>1.20.30.10.020.000.00.000</v>
      </c>
      <c r="D262" s="593"/>
      <c r="E262" s="563"/>
      <c r="F262" s="563"/>
      <c r="G262" s="563"/>
      <c r="H262" s="563"/>
      <c r="I262" s="563"/>
      <c r="J262" s="563"/>
      <c r="K262" s="563"/>
      <c r="L262" s="563"/>
      <c r="M262" s="563"/>
      <c r="N262" s="563"/>
    </row>
    <row r="263" spans="1:14" x14ac:dyDescent="0.25">
      <c r="A263" s="551" t="str">
        <f>+Info!$B$2</f>
        <v>724</v>
      </c>
      <c r="B263" s="559" t="s">
        <v>1767</v>
      </c>
      <c r="C263" s="559" t="str">
        <f t="shared" si="30"/>
        <v>1.20.30.10.020.000.00.000</v>
      </c>
      <c r="D263" s="593"/>
      <c r="E263" s="563"/>
      <c r="F263" s="563"/>
      <c r="G263" s="563"/>
      <c r="H263" s="563"/>
      <c r="I263" s="563"/>
      <c r="J263" s="563"/>
      <c r="K263" s="563"/>
      <c r="L263" s="563"/>
      <c r="M263" s="563"/>
      <c r="N263" s="563"/>
    </row>
    <row r="264" spans="1:14" x14ac:dyDescent="0.25">
      <c r="A264" s="551" t="str">
        <f>+Info!$B$2</f>
        <v>724</v>
      </c>
      <c r="B264" s="559" t="s">
        <v>1767</v>
      </c>
      <c r="C264" s="559" t="str">
        <f t="shared" si="30"/>
        <v>1.20.30.10.020.000.00.000</v>
      </c>
      <c r="D264" s="593"/>
      <c r="E264" s="563"/>
      <c r="F264" s="563"/>
      <c r="G264" s="563"/>
      <c r="H264" s="563"/>
      <c r="I264" s="563"/>
      <c r="J264" s="563"/>
      <c r="K264" s="563"/>
      <c r="L264" s="563"/>
      <c r="M264" s="563"/>
      <c r="N264" s="563"/>
    </row>
    <row r="265" spans="1:14" x14ac:dyDescent="0.25">
      <c r="A265" s="551" t="str">
        <f>+Info!$B$2</f>
        <v>724</v>
      </c>
      <c r="B265" s="559" t="s">
        <v>1767</v>
      </c>
      <c r="C265" s="559" t="str">
        <f t="shared" si="30"/>
        <v>1.20.30.10.020.000.00.000</v>
      </c>
      <c r="D265" s="593"/>
      <c r="E265" s="563"/>
      <c r="F265" s="563"/>
      <c r="G265" s="563"/>
      <c r="H265" s="563"/>
      <c r="I265" s="563"/>
      <c r="J265" s="563"/>
      <c r="K265" s="563"/>
      <c r="L265" s="563"/>
      <c r="M265" s="563"/>
      <c r="N265" s="563"/>
    </row>
    <row r="266" spans="1:14" x14ac:dyDescent="0.25">
      <c r="A266" s="551" t="str">
        <f>+Info!$B$2</f>
        <v>724</v>
      </c>
      <c r="B266" s="559" t="s">
        <v>1767</v>
      </c>
      <c r="C266" s="559" t="str">
        <f t="shared" si="30"/>
        <v>1.20.30.10.020.000.00.000</v>
      </c>
      <c r="D266" s="593"/>
      <c r="E266" s="563"/>
      <c r="F266" s="563"/>
      <c r="G266" s="563"/>
      <c r="H266" s="563"/>
      <c r="I266" s="563"/>
      <c r="J266" s="563"/>
      <c r="K266" s="563"/>
      <c r="L266" s="563"/>
      <c r="M266" s="563"/>
      <c r="N266" s="563"/>
    </row>
    <row r="267" spans="1:14" x14ac:dyDescent="0.25">
      <c r="A267" s="551" t="str">
        <f>+Info!$B$2</f>
        <v>724</v>
      </c>
      <c r="B267" s="559" t="s">
        <v>1767</v>
      </c>
      <c r="C267" s="559" t="str">
        <f t="shared" si="30"/>
        <v>1.20.30.10.020.000.00.000</v>
      </c>
      <c r="D267" s="593"/>
      <c r="E267" s="563"/>
      <c r="F267" s="563"/>
      <c r="G267" s="563"/>
      <c r="H267" s="563"/>
      <c r="I267" s="563"/>
      <c r="J267" s="563"/>
      <c r="K267" s="563"/>
      <c r="L267" s="563"/>
      <c r="M267" s="563"/>
      <c r="N267" s="563"/>
    </row>
    <row r="268" spans="1:14" x14ac:dyDescent="0.25">
      <c r="A268" s="551" t="str">
        <f>+Info!$B$2</f>
        <v>724</v>
      </c>
      <c r="B268" s="559" t="s">
        <v>1767</v>
      </c>
      <c r="C268" s="559" t="str">
        <f t="shared" si="30"/>
        <v>1.20.30.10.020.000.00.000</v>
      </c>
      <c r="D268" s="593"/>
      <c r="E268" s="563"/>
      <c r="F268" s="563"/>
      <c r="G268" s="563"/>
      <c r="H268" s="563"/>
      <c r="I268" s="563"/>
      <c r="J268" s="563"/>
      <c r="K268" s="563"/>
      <c r="L268" s="563"/>
      <c r="M268" s="563"/>
      <c r="N268" s="563"/>
    </row>
    <row r="269" spans="1:14" x14ac:dyDescent="0.25">
      <c r="A269" s="551" t="str">
        <f>+Info!$B$2</f>
        <v>724</v>
      </c>
      <c r="B269" s="559" t="s">
        <v>1767</v>
      </c>
      <c r="C269" s="559" t="str">
        <f t="shared" si="30"/>
        <v>1.20.30.10.020.000.00.000</v>
      </c>
      <c r="D269" s="593"/>
      <c r="E269" s="563"/>
      <c r="F269" s="563"/>
      <c r="G269" s="563"/>
      <c r="H269" s="563"/>
      <c r="I269" s="563"/>
      <c r="J269" s="563"/>
      <c r="K269" s="563"/>
      <c r="L269" s="563"/>
      <c r="M269" s="563"/>
      <c r="N269" s="563"/>
    </row>
    <row r="270" spans="1:14" x14ac:dyDescent="0.25">
      <c r="A270" s="551" t="str">
        <f>+Info!$B$2</f>
        <v>724</v>
      </c>
      <c r="B270" s="559" t="s">
        <v>1767</v>
      </c>
      <c r="C270" s="559" t="str">
        <f t="shared" si="30"/>
        <v>1.20.30.10.020.000.00.000</v>
      </c>
      <c r="D270" s="593"/>
      <c r="E270" s="563"/>
      <c r="F270" s="563"/>
      <c r="G270" s="563"/>
      <c r="H270" s="563"/>
      <c r="I270" s="563"/>
      <c r="J270" s="563"/>
      <c r="K270" s="563"/>
      <c r="L270" s="563"/>
      <c r="M270" s="563"/>
      <c r="N270" s="563"/>
    </row>
    <row r="271" spans="1:14" x14ac:dyDescent="0.25">
      <c r="B271" s="602"/>
      <c r="C271" s="602"/>
      <c r="D271" s="596"/>
      <c r="E271" s="597"/>
      <c r="F271" s="597"/>
      <c r="G271" s="597"/>
      <c r="H271" s="597"/>
      <c r="I271" s="597"/>
      <c r="J271" s="597"/>
      <c r="K271" s="597"/>
      <c r="L271" s="597"/>
      <c r="M271" s="597"/>
      <c r="N271" s="597"/>
    </row>
    <row r="272" spans="1:14" ht="15" hidden="1" customHeight="1" x14ac:dyDescent="0.25">
      <c r="B272" s="602"/>
      <c r="C272" s="581" t="s">
        <v>4253</v>
      </c>
      <c r="D272" s="581" t="s">
        <v>4254</v>
      </c>
      <c r="E272" s="557">
        <v>0</v>
      </c>
      <c r="F272" s="557">
        <v>0</v>
      </c>
      <c r="G272" s="557">
        <v>0</v>
      </c>
      <c r="H272" s="557">
        <v>0</v>
      </c>
      <c r="I272" s="557">
        <v>0</v>
      </c>
      <c r="J272" s="557">
        <v>0</v>
      </c>
      <c r="K272" s="557">
        <v>0</v>
      </c>
      <c r="L272" s="557">
        <v>0</v>
      </c>
      <c r="M272" s="557">
        <v>0</v>
      </c>
      <c r="N272" s="557">
        <v>0</v>
      </c>
    </row>
    <row r="273" spans="1:14" ht="15" hidden="1" customHeight="1" x14ac:dyDescent="0.25">
      <c r="A273" s="551" t="str">
        <f>+Info!$B$2</f>
        <v>724</v>
      </c>
      <c r="B273" s="602"/>
      <c r="C273" s="581"/>
      <c r="D273" s="581"/>
      <c r="E273" s="557">
        <v>0</v>
      </c>
      <c r="F273" s="557">
        <v>0</v>
      </c>
      <c r="G273" s="557">
        <v>0</v>
      </c>
      <c r="H273" s="557">
        <v>0</v>
      </c>
      <c r="I273" s="557">
        <v>0</v>
      </c>
      <c r="J273" s="557">
        <v>0</v>
      </c>
      <c r="K273" s="557">
        <v>0</v>
      </c>
      <c r="L273" s="557">
        <v>0</v>
      </c>
      <c r="M273" s="557">
        <v>0</v>
      </c>
      <c r="N273" s="557">
        <v>0</v>
      </c>
    </row>
    <row r="274" spans="1:14" ht="15" customHeight="1" x14ac:dyDescent="0.25">
      <c r="A274" s="551" t="str">
        <f>+Info!$B$2</f>
        <v>724</v>
      </c>
      <c r="B274" s="602"/>
      <c r="D274" s="927" t="s">
        <v>4269</v>
      </c>
      <c r="E274" s="922" t="s">
        <v>4270</v>
      </c>
      <c r="F274" s="922" t="s">
        <v>4271</v>
      </c>
      <c r="G274" s="922"/>
      <c r="H274" s="922"/>
      <c r="I274" s="922" t="s">
        <v>4206</v>
      </c>
      <c r="J274" s="922"/>
      <c r="K274" s="922"/>
      <c r="L274" s="922"/>
      <c r="M274" s="922"/>
      <c r="N274" s="922"/>
    </row>
    <row r="275" spans="1:14" ht="24" x14ac:dyDescent="0.25">
      <c r="A275" s="551" t="str">
        <f>+Info!$B$2</f>
        <v>724</v>
      </c>
      <c r="B275" s="602"/>
      <c r="D275" s="927"/>
      <c r="E275" s="922"/>
      <c r="F275" s="590" t="s">
        <v>4272</v>
      </c>
      <c r="G275" s="590" t="s">
        <v>4273</v>
      </c>
      <c r="H275" s="590" t="s">
        <v>3517</v>
      </c>
      <c r="I275" s="590" t="s">
        <v>3537</v>
      </c>
      <c r="J275" s="590" t="s">
        <v>4272</v>
      </c>
      <c r="K275" s="590" t="s">
        <v>4273</v>
      </c>
      <c r="L275" s="590" t="s">
        <v>4274</v>
      </c>
      <c r="M275" s="590" t="s">
        <v>4275</v>
      </c>
      <c r="N275" s="590" t="s">
        <v>4211</v>
      </c>
    </row>
    <row r="276" spans="1:14" x14ac:dyDescent="0.25">
      <c r="A276" s="551" t="str">
        <f>+Info!$B$2</f>
        <v>724</v>
      </c>
      <c r="B276" s="591" t="s">
        <v>1760</v>
      </c>
      <c r="C276" s="591" t="s">
        <v>1761</v>
      </c>
      <c r="D276" s="591" t="s">
        <v>4266</v>
      </c>
      <c r="E276" s="598">
        <f t="shared" ref="E276:N276" si="31">SUM(E277:E288)</f>
        <v>0</v>
      </c>
      <c r="F276" s="598">
        <f t="shared" si="31"/>
        <v>0</v>
      </c>
      <c r="G276" s="598">
        <f t="shared" si="31"/>
        <v>0</v>
      </c>
      <c r="H276" s="598">
        <f t="shared" si="31"/>
        <v>0</v>
      </c>
      <c r="I276" s="598">
        <f t="shared" si="31"/>
        <v>0</v>
      </c>
      <c r="J276" s="598">
        <f t="shared" si="31"/>
        <v>0</v>
      </c>
      <c r="K276" s="598">
        <f t="shared" si="31"/>
        <v>0</v>
      </c>
      <c r="L276" s="598">
        <f t="shared" si="31"/>
        <v>0</v>
      </c>
      <c r="M276" s="598">
        <f t="shared" si="31"/>
        <v>0</v>
      </c>
      <c r="N276" s="598">
        <f t="shared" si="31"/>
        <v>0</v>
      </c>
    </row>
    <row r="277" spans="1:14" x14ac:dyDescent="0.25">
      <c r="A277" s="551" t="str">
        <f>+Info!$B$2</f>
        <v>724</v>
      </c>
      <c r="B277" s="559" t="s">
        <v>1760</v>
      </c>
      <c r="C277" s="559" t="str">
        <f t="shared" ref="C277:C288" si="32">$C$232</f>
        <v>1.20.30.10.010.000.00.000</v>
      </c>
      <c r="D277" s="599" t="str">
        <f t="shared" ref="D277:D288" si="33">IF(+D233="","",D233)</f>
        <v/>
      </c>
      <c r="E277" s="600"/>
      <c r="F277" s="600"/>
      <c r="G277" s="600"/>
      <c r="H277" s="601">
        <f t="shared" ref="H277:H288" si="34">+E277+F277-G277</f>
        <v>0</v>
      </c>
      <c r="I277" s="600"/>
      <c r="J277" s="600"/>
      <c r="K277" s="600"/>
      <c r="L277" s="600"/>
      <c r="M277" s="600"/>
      <c r="N277" s="601">
        <f t="shared" ref="N277:N288" si="35">+H277+I277+J277-K277+L277-M277</f>
        <v>0</v>
      </c>
    </row>
    <row r="278" spans="1:14" x14ac:dyDescent="0.25">
      <c r="A278" s="551" t="str">
        <f>+Info!$B$2</f>
        <v>724</v>
      </c>
      <c r="B278" s="559" t="s">
        <v>1760</v>
      </c>
      <c r="C278" s="559" t="str">
        <f t="shared" si="32"/>
        <v>1.20.30.10.010.000.00.000</v>
      </c>
      <c r="D278" s="599" t="str">
        <f t="shared" si="33"/>
        <v/>
      </c>
      <c r="E278" s="600"/>
      <c r="F278" s="600"/>
      <c r="G278" s="600"/>
      <c r="H278" s="601">
        <f t="shared" si="34"/>
        <v>0</v>
      </c>
      <c r="I278" s="600"/>
      <c r="J278" s="600"/>
      <c r="K278" s="600"/>
      <c r="L278" s="600"/>
      <c r="M278" s="600"/>
      <c r="N278" s="601">
        <f t="shared" si="35"/>
        <v>0</v>
      </c>
    </row>
    <row r="279" spans="1:14" x14ac:dyDescent="0.25">
      <c r="A279" s="551" t="str">
        <f>+Info!$B$2</f>
        <v>724</v>
      </c>
      <c r="B279" s="559" t="s">
        <v>1760</v>
      </c>
      <c r="C279" s="559" t="str">
        <f t="shared" si="32"/>
        <v>1.20.30.10.010.000.00.000</v>
      </c>
      <c r="D279" s="599" t="str">
        <f t="shared" si="33"/>
        <v/>
      </c>
      <c r="E279" s="600"/>
      <c r="F279" s="600"/>
      <c r="G279" s="600"/>
      <c r="H279" s="601">
        <f t="shared" si="34"/>
        <v>0</v>
      </c>
      <c r="I279" s="600"/>
      <c r="J279" s="600"/>
      <c r="K279" s="600"/>
      <c r="L279" s="600"/>
      <c r="M279" s="600"/>
      <c r="N279" s="601">
        <f t="shared" si="35"/>
        <v>0</v>
      </c>
    </row>
    <row r="280" spans="1:14" x14ac:dyDescent="0.25">
      <c r="A280" s="551" t="str">
        <f>+Info!$B$2</f>
        <v>724</v>
      </c>
      <c r="B280" s="559" t="s">
        <v>1760</v>
      </c>
      <c r="C280" s="559" t="str">
        <f t="shared" si="32"/>
        <v>1.20.30.10.010.000.00.000</v>
      </c>
      <c r="D280" s="599" t="str">
        <f t="shared" si="33"/>
        <v/>
      </c>
      <c r="E280" s="600"/>
      <c r="F280" s="600"/>
      <c r="G280" s="600"/>
      <c r="H280" s="601">
        <f t="shared" si="34"/>
        <v>0</v>
      </c>
      <c r="I280" s="600"/>
      <c r="J280" s="600"/>
      <c r="K280" s="600"/>
      <c r="L280" s="600"/>
      <c r="M280" s="600"/>
      <c r="N280" s="601">
        <f t="shared" si="35"/>
        <v>0</v>
      </c>
    </row>
    <row r="281" spans="1:14" x14ac:dyDescent="0.25">
      <c r="A281" s="551" t="str">
        <f>+Info!$B$2</f>
        <v>724</v>
      </c>
      <c r="B281" s="559" t="s">
        <v>1760</v>
      </c>
      <c r="C281" s="559" t="str">
        <f t="shared" si="32"/>
        <v>1.20.30.10.010.000.00.000</v>
      </c>
      <c r="D281" s="599" t="str">
        <f t="shared" si="33"/>
        <v/>
      </c>
      <c r="E281" s="600"/>
      <c r="F281" s="600"/>
      <c r="G281" s="600"/>
      <c r="H281" s="601">
        <f t="shared" si="34"/>
        <v>0</v>
      </c>
      <c r="I281" s="600"/>
      <c r="J281" s="600"/>
      <c r="K281" s="600"/>
      <c r="L281" s="600"/>
      <c r="M281" s="600"/>
      <c r="N281" s="601">
        <f t="shared" si="35"/>
        <v>0</v>
      </c>
    </row>
    <row r="282" spans="1:14" x14ac:dyDescent="0.25">
      <c r="A282" s="551" t="str">
        <f>+Info!$B$2</f>
        <v>724</v>
      </c>
      <c r="B282" s="559" t="s">
        <v>1760</v>
      </c>
      <c r="C282" s="559" t="str">
        <f t="shared" si="32"/>
        <v>1.20.30.10.010.000.00.000</v>
      </c>
      <c r="D282" s="599" t="str">
        <f t="shared" si="33"/>
        <v/>
      </c>
      <c r="E282" s="600"/>
      <c r="F282" s="600"/>
      <c r="G282" s="600"/>
      <c r="H282" s="601">
        <f t="shared" si="34"/>
        <v>0</v>
      </c>
      <c r="I282" s="600"/>
      <c r="J282" s="600"/>
      <c r="K282" s="600"/>
      <c r="L282" s="600"/>
      <c r="M282" s="600"/>
      <c r="N282" s="601">
        <f t="shared" si="35"/>
        <v>0</v>
      </c>
    </row>
    <row r="283" spans="1:14" x14ac:dyDescent="0.25">
      <c r="A283" s="551" t="str">
        <f>+Info!$B$2</f>
        <v>724</v>
      </c>
      <c r="B283" s="559" t="s">
        <v>1760</v>
      </c>
      <c r="C283" s="559" t="str">
        <f t="shared" si="32"/>
        <v>1.20.30.10.010.000.00.000</v>
      </c>
      <c r="D283" s="599" t="str">
        <f t="shared" si="33"/>
        <v/>
      </c>
      <c r="E283" s="600"/>
      <c r="F283" s="600"/>
      <c r="G283" s="600"/>
      <c r="H283" s="601">
        <f t="shared" si="34"/>
        <v>0</v>
      </c>
      <c r="I283" s="600"/>
      <c r="J283" s="600"/>
      <c r="K283" s="600"/>
      <c r="L283" s="600"/>
      <c r="M283" s="600"/>
      <c r="N283" s="601">
        <f t="shared" si="35"/>
        <v>0</v>
      </c>
    </row>
    <row r="284" spans="1:14" x14ac:dyDescent="0.25">
      <c r="A284" s="551" t="str">
        <f>+Info!$B$2</f>
        <v>724</v>
      </c>
      <c r="B284" s="559" t="s">
        <v>1760</v>
      </c>
      <c r="C284" s="559" t="str">
        <f t="shared" si="32"/>
        <v>1.20.30.10.010.000.00.000</v>
      </c>
      <c r="D284" s="599" t="str">
        <f t="shared" si="33"/>
        <v/>
      </c>
      <c r="E284" s="600"/>
      <c r="F284" s="600"/>
      <c r="G284" s="600"/>
      <c r="H284" s="601">
        <f t="shared" si="34"/>
        <v>0</v>
      </c>
      <c r="I284" s="600"/>
      <c r="J284" s="600"/>
      <c r="K284" s="600"/>
      <c r="L284" s="600"/>
      <c r="M284" s="600"/>
      <c r="N284" s="601">
        <f t="shared" si="35"/>
        <v>0</v>
      </c>
    </row>
    <row r="285" spans="1:14" x14ac:dyDescent="0.25">
      <c r="A285" s="551" t="str">
        <f>+Info!$B$2</f>
        <v>724</v>
      </c>
      <c r="B285" s="559" t="s">
        <v>1760</v>
      </c>
      <c r="C285" s="559" t="str">
        <f t="shared" si="32"/>
        <v>1.20.30.10.010.000.00.000</v>
      </c>
      <c r="D285" s="599" t="str">
        <f t="shared" si="33"/>
        <v/>
      </c>
      <c r="E285" s="600"/>
      <c r="F285" s="600"/>
      <c r="G285" s="600"/>
      <c r="H285" s="601">
        <f t="shared" si="34"/>
        <v>0</v>
      </c>
      <c r="I285" s="600"/>
      <c r="J285" s="600"/>
      <c r="K285" s="600"/>
      <c r="L285" s="600"/>
      <c r="M285" s="600"/>
      <c r="N285" s="601">
        <f t="shared" si="35"/>
        <v>0</v>
      </c>
    </row>
    <row r="286" spans="1:14" x14ac:dyDescent="0.25">
      <c r="A286" s="551" t="str">
        <f>+Info!$B$2</f>
        <v>724</v>
      </c>
      <c r="B286" s="559" t="s">
        <v>1760</v>
      </c>
      <c r="C286" s="559" t="str">
        <f t="shared" si="32"/>
        <v>1.20.30.10.010.000.00.000</v>
      </c>
      <c r="D286" s="599" t="str">
        <f t="shared" si="33"/>
        <v/>
      </c>
      <c r="E286" s="600"/>
      <c r="F286" s="600"/>
      <c r="G286" s="600"/>
      <c r="H286" s="601">
        <f t="shared" si="34"/>
        <v>0</v>
      </c>
      <c r="I286" s="600"/>
      <c r="J286" s="600"/>
      <c r="K286" s="600"/>
      <c r="L286" s="600"/>
      <c r="M286" s="600"/>
      <c r="N286" s="601">
        <f t="shared" si="35"/>
        <v>0</v>
      </c>
    </row>
    <row r="287" spans="1:14" x14ac:dyDescent="0.25">
      <c r="A287" s="551" t="str">
        <f>+Info!$B$2</f>
        <v>724</v>
      </c>
      <c r="B287" s="559" t="s">
        <v>1760</v>
      </c>
      <c r="C287" s="559" t="str">
        <f t="shared" si="32"/>
        <v>1.20.30.10.010.000.00.000</v>
      </c>
      <c r="D287" s="599" t="str">
        <f t="shared" si="33"/>
        <v/>
      </c>
      <c r="E287" s="600"/>
      <c r="F287" s="600"/>
      <c r="G287" s="600"/>
      <c r="H287" s="601">
        <f t="shared" si="34"/>
        <v>0</v>
      </c>
      <c r="I287" s="600"/>
      <c r="J287" s="600"/>
      <c r="K287" s="600"/>
      <c r="L287" s="600"/>
      <c r="M287" s="600"/>
      <c r="N287" s="601">
        <f t="shared" si="35"/>
        <v>0</v>
      </c>
    </row>
    <row r="288" spans="1:14" x14ac:dyDescent="0.25">
      <c r="A288" s="551" t="str">
        <f>+Info!$B$2</f>
        <v>724</v>
      </c>
      <c r="B288" s="559" t="s">
        <v>1760</v>
      </c>
      <c r="C288" s="559" t="str">
        <f t="shared" si="32"/>
        <v>1.20.30.10.010.000.00.000</v>
      </c>
      <c r="D288" s="599" t="str">
        <f t="shared" si="33"/>
        <v/>
      </c>
      <c r="E288" s="600"/>
      <c r="F288" s="600"/>
      <c r="G288" s="600"/>
      <c r="H288" s="601">
        <f t="shared" si="34"/>
        <v>0</v>
      </c>
      <c r="I288" s="600"/>
      <c r="J288" s="600"/>
      <c r="K288" s="600"/>
      <c r="L288" s="600"/>
      <c r="M288" s="600"/>
      <c r="N288" s="601">
        <f t="shared" si="35"/>
        <v>0</v>
      </c>
    </row>
    <row r="289" spans="1:14" x14ac:dyDescent="0.25">
      <c r="A289" s="551" t="str">
        <f>+Info!$B$2</f>
        <v>724</v>
      </c>
      <c r="B289" s="591" t="s">
        <v>1765</v>
      </c>
      <c r="C289" s="591" t="s">
        <v>1766</v>
      </c>
      <c r="D289" s="594" t="s">
        <v>4267</v>
      </c>
      <c r="E289" s="598">
        <f t="shared" ref="E289:N289" si="36">SUM(E290:E301)</f>
        <v>0</v>
      </c>
      <c r="F289" s="598">
        <f t="shared" si="36"/>
        <v>0</v>
      </c>
      <c r="G289" s="598">
        <f t="shared" si="36"/>
        <v>0</v>
      </c>
      <c r="H289" s="598">
        <f t="shared" si="36"/>
        <v>0</v>
      </c>
      <c r="I289" s="598">
        <f t="shared" si="36"/>
        <v>0</v>
      </c>
      <c r="J289" s="598">
        <f t="shared" si="36"/>
        <v>0</v>
      </c>
      <c r="K289" s="598">
        <f t="shared" si="36"/>
        <v>0</v>
      </c>
      <c r="L289" s="598">
        <f t="shared" si="36"/>
        <v>0</v>
      </c>
      <c r="M289" s="598">
        <f t="shared" si="36"/>
        <v>0</v>
      </c>
      <c r="N289" s="598">
        <f t="shared" si="36"/>
        <v>0</v>
      </c>
    </row>
    <row r="290" spans="1:14" x14ac:dyDescent="0.25">
      <c r="A290" s="551" t="str">
        <f>+Info!$B$2</f>
        <v>724</v>
      </c>
      <c r="B290" s="559" t="s">
        <v>1765</v>
      </c>
      <c r="C290" s="559" t="str">
        <f t="shared" ref="C290:C301" si="37">$C$245</f>
        <v>1.20.30.10.015.000.00.000</v>
      </c>
      <c r="D290" s="599" t="str">
        <f t="shared" ref="D290:D301" si="38">IF(+D246="","",D246)</f>
        <v/>
      </c>
      <c r="E290" s="593"/>
      <c r="F290" s="593"/>
      <c r="G290" s="593"/>
      <c r="H290" s="601">
        <f t="shared" ref="H290:H301" si="39">+E290+F290-G290</f>
        <v>0</v>
      </c>
      <c r="I290" s="593"/>
      <c r="J290" s="593"/>
      <c r="K290" s="593"/>
      <c r="L290" s="593"/>
      <c r="M290" s="593"/>
      <c r="N290" s="601">
        <f t="shared" ref="N290:N301" si="40">+H290+I290+J290-K290+L290-M290</f>
        <v>0</v>
      </c>
    </row>
    <row r="291" spans="1:14" x14ac:dyDescent="0.25">
      <c r="A291" s="551" t="str">
        <f>+Info!$B$2</f>
        <v>724</v>
      </c>
      <c r="B291" s="559" t="s">
        <v>1765</v>
      </c>
      <c r="C291" s="559" t="str">
        <f t="shared" si="37"/>
        <v>1.20.30.10.015.000.00.000</v>
      </c>
      <c r="D291" s="599" t="str">
        <f t="shared" si="38"/>
        <v/>
      </c>
      <c r="E291" s="593"/>
      <c r="F291" s="593"/>
      <c r="G291" s="593"/>
      <c r="H291" s="601">
        <f t="shared" si="39"/>
        <v>0</v>
      </c>
      <c r="I291" s="593"/>
      <c r="J291" s="593"/>
      <c r="K291" s="593"/>
      <c r="L291" s="593"/>
      <c r="M291" s="593"/>
      <c r="N291" s="601">
        <f t="shared" si="40"/>
        <v>0</v>
      </c>
    </row>
    <row r="292" spans="1:14" x14ac:dyDescent="0.25">
      <c r="A292" s="551" t="str">
        <f>+Info!$B$2</f>
        <v>724</v>
      </c>
      <c r="B292" s="559" t="s">
        <v>1765</v>
      </c>
      <c r="C292" s="559" t="str">
        <f t="shared" si="37"/>
        <v>1.20.30.10.015.000.00.000</v>
      </c>
      <c r="D292" s="599" t="str">
        <f t="shared" si="38"/>
        <v/>
      </c>
      <c r="E292" s="593"/>
      <c r="F292" s="593"/>
      <c r="G292" s="593"/>
      <c r="H292" s="601">
        <f t="shared" si="39"/>
        <v>0</v>
      </c>
      <c r="I292" s="593"/>
      <c r="J292" s="593"/>
      <c r="K292" s="593"/>
      <c r="L292" s="593"/>
      <c r="M292" s="593"/>
      <c r="N292" s="601">
        <f t="shared" si="40"/>
        <v>0</v>
      </c>
    </row>
    <row r="293" spans="1:14" x14ac:dyDescent="0.25">
      <c r="A293" s="551" t="str">
        <f>+Info!$B$2</f>
        <v>724</v>
      </c>
      <c r="B293" s="559" t="s">
        <v>1765</v>
      </c>
      <c r="C293" s="559" t="str">
        <f t="shared" si="37"/>
        <v>1.20.30.10.015.000.00.000</v>
      </c>
      <c r="D293" s="599" t="str">
        <f t="shared" si="38"/>
        <v/>
      </c>
      <c r="E293" s="593"/>
      <c r="F293" s="593"/>
      <c r="G293" s="593"/>
      <c r="H293" s="601">
        <f t="shared" si="39"/>
        <v>0</v>
      </c>
      <c r="I293" s="593"/>
      <c r="J293" s="593"/>
      <c r="K293" s="593"/>
      <c r="L293" s="593"/>
      <c r="M293" s="593"/>
      <c r="N293" s="601">
        <f t="shared" si="40"/>
        <v>0</v>
      </c>
    </row>
    <row r="294" spans="1:14" x14ac:dyDescent="0.25">
      <c r="A294" s="551" t="str">
        <f>+Info!$B$2</f>
        <v>724</v>
      </c>
      <c r="B294" s="559" t="s">
        <v>1765</v>
      </c>
      <c r="C294" s="559" t="str">
        <f t="shared" si="37"/>
        <v>1.20.30.10.015.000.00.000</v>
      </c>
      <c r="D294" s="599" t="str">
        <f t="shared" si="38"/>
        <v/>
      </c>
      <c r="E294" s="593"/>
      <c r="F294" s="593"/>
      <c r="G294" s="593"/>
      <c r="H294" s="601">
        <f t="shared" si="39"/>
        <v>0</v>
      </c>
      <c r="I294" s="593"/>
      <c r="J294" s="593"/>
      <c r="K294" s="593"/>
      <c r="L294" s="593"/>
      <c r="M294" s="593"/>
      <c r="N294" s="601">
        <f t="shared" si="40"/>
        <v>0</v>
      </c>
    </row>
    <row r="295" spans="1:14" x14ac:dyDescent="0.25">
      <c r="A295" s="551" t="str">
        <f>+Info!$B$2</f>
        <v>724</v>
      </c>
      <c r="B295" s="559" t="s">
        <v>1765</v>
      </c>
      <c r="C295" s="559" t="str">
        <f t="shared" si="37"/>
        <v>1.20.30.10.015.000.00.000</v>
      </c>
      <c r="D295" s="599" t="str">
        <f t="shared" si="38"/>
        <v/>
      </c>
      <c r="E295" s="593"/>
      <c r="F295" s="593"/>
      <c r="G295" s="593"/>
      <c r="H295" s="601">
        <f t="shared" si="39"/>
        <v>0</v>
      </c>
      <c r="I295" s="593"/>
      <c r="J295" s="593"/>
      <c r="K295" s="593"/>
      <c r="L295" s="593"/>
      <c r="M295" s="593"/>
      <c r="N295" s="601">
        <f t="shared" si="40"/>
        <v>0</v>
      </c>
    </row>
    <row r="296" spans="1:14" x14ac:dyDescent="0.25">
      <c r="A296" s="551" t="str">
        <f>+Info!$B$2</f>
        <v>724</v>
      </c>
      <c r="B296" s="559" t="s">
        <v>1765</v>
      </c>
      <c r="C296" s="559" t="str">
        <f t="shared" si="37"/>
        <v>1.20.30.10.015.000.00.000</v>
      </c>
      <c r="D296" s="599" t="str">
        <f t="shared" si="38"/>
        <v/>
      </c>
      <c r="E296" s="593"/>
      <c r="F296" s="593"/>
      <c r="G296" s="593"/>
      <c r="H296" s="601">
        <f t="shared" si="39"/>
        <v>0</v>
      </c>
      <c r="I296" s="593"/>
      <c r="J296" s="593"/>
      <c r="K296" s="593"/>
      <c r="L296" s="593"/>
      <c r="M296" s="593"/>
      <c r="N296" s="601">
        <f t="shared" si="40"/>
        <v>0</v>
      </c>
    </row>
    <row r="297" spans="1:14" x14ac:dyDescent="0.25">
      <c r="A297" s="551" t="str">
        <f>+Info!$B$2</f>
        <v>724</v>
      </c>
      <c r="B297" s="559" t="s">
        <v>1765</v>
      </c>
      <c r="C297" s="559" t="str">
        <f t="shared" si="37"/>
        <v>1.20.30.10.015.000.00.000</v>
      </c>
      <c r="D297" s="599" t="str">
        <f t="shared" si="38"/>
        <v/>
      </c>
      <c r="E297" s="593"/>
      <c r="F297" s="593"/>
      <c r="G297" s="593"/>
      <c r="H297" s="601">
        <f t="shared" si="39"/>
        <v>0</v>
      </c>
      <c r="I297" s="593"/>
      <c r="J297" s="593"/>
      <c r="K297" s="593"/>
      <c r="L297" s="593"/>
      <c r="M297" s="593"/>
      <c r="N297" s="601">
        <f t="shared" si="40"/>
        <v>0</v>
      </c>
    </row>
    <row r="298" spans="1:14" x14ac:dyDescent="0.25">
      <c r="A298" s="551" t="str">
        <f>+Info!$B$2</f>
        <v>724</v>
      </c>
      <c r="B298" s="559" t="s">
        <v>1765</v>
      </c>
      <c r="C298" s="559" t="str">
        <f t="shared" si="37"/>
        <v>1.20.30.10.015.000.00.000</v>
      </c>
      <c r="D298" s="599" t="str">
        <f t="shared" si="38"/>
        <v/>
      </c>
      <c r="E298" s="593"/>
      <c r="F298" s="593"/>
      <c r="G298" s="593"/>
      <c r="H298" s="601">
        <f t="shared" si="39"/>
        <v>0</v>
      </c>
      <c r="I298" s="593"/>
      <c r="J298" s="593"/>
      <c r="K298" s="593"/>
      <c r="L298" s="593"/>
      <c r="M298" s="593"/>
      <c r="N298" s="601">
        <f t="shared" si="40"/>
        <v>0</v>
      </c>
    </row>
    <row r="299" spans="1:14" x14ac:dyDescent="0.25">
      <c r="A299" s="551" t="str">
        <f>+Info!$B$2</f>
        <v>724</v>
      </c>
      <c r="B299" s="559" t="s">
        <v>1765</v>
      </c>
      <c r="C299" s="559" t="str">
        <f t="shared" si="37"/>
        <v>1.20.30.10.015.000.00.000</v>
      </c>
      <c r="D299" s="599" t="str">
        <f t="shared" si="38"/>
        <v/>
      </c>
      <c r="E299" s="593"/>
      <c r="F299" s="593"/>
      <c r="G299" s="593"/>
      <c r="H299" s="601">
        <f t="shared" si="39"/>
        <v>0</v>
      </c>
      <c r="I299" s="593"/>
      <c r="J299" s="593"/>
      <c r="K299" s="593"/>
      <c r="L299" s="593"/>
      <c r="M299" s="593"/>
      <c r="N299" s="601">
        <f t="shared" si="40"/>
        <v>0</v>
      </c>
    </row>
    <row r="300" spans="1:14" x14ac:dyDescent="0.25">
      <c r="A300" s="551" t="str">
        <f>+Info!$B$2</f>
        <v>724</v>
      </c>
      <c r="B300" s="559" t="s">
        <v>1765</v>
      </c>
      <c r="C300" s="559" t="str">
        <f t="shared" si="37"/>
        <v>1.20.30.10.015.000.00.000</v>
      </c>
      <c r="D300" s="599" t="str">
        <f t="shared" si="38"/>
        <v/>
      </c>
      <c r="E300" s="593"/>
      <c r="F300" s="593"/>
      <c r="G300" s="593"/>
      <c r="H300" s="601">
        <f t="shared" si="39"/>
        <v>0</v>
      </c>
      <c r="I300" s="593"/>
      <c r="J300" s="593"/>
      <c r="K300" s="593"/>
      <c r="L300" s="593"/>
      <c r="M300" s="593"/>
      <c r="N300" s="601">
        <f t="shared" si="40"/>
        <v>0</v>
      </c>
    </row>
    <row r="301" spans="1:14" x14ac:dyDescent="0.25">
      <c r="A301" s="551" t="str">
        <f>+Info!$B$2</f>
        <v>724</v>
      </c>
      <c r="B301" s="559" t="s">
        <v>1765</v>
      </c>
      <c r="C301" s="559" t="str">
        <f t="shared" si="37"/>
        <v>1.20.30.10.015.000.00.000</v>
      </c>
      <c r="D301" s="599" t="str">
        <f t="shared" si="38"/>
        <v/>
      </c>
      <c r="E301" s="593"/>
      <c r="F301" s="593"/>
      <c r="G301" s="593"/>
      <c r="H301" s="601">
        <f t="shared" si="39"/>
        <v>0</v>
      </c>
      <c r="I301" s="593"/>
      <c r="J301" s="593"/>
      <c r="K301" s="593"/>
      <c r="L301" s="593"/>
      <c r="M301" s="593"/>
      <c r="N301" s="601">
        <f t="shared" si="40"/>
        <v>0</v>
      </c>
    </row>
    <row r="302" spans="1:14" x14ac:dyDescent="0.25">
      <c r="A302" s="551" t="str">
        <f>+Info!$B$2</f>
        <v>724</v>
      </c>
      <c r="B302" s="591" t="s">
        <v>1767</v>
      </c>
      <c r="C302" s="591" t="s">
        <v>1768</v>
      </c>
      <c r="D302" s="594" t="s">
        <v>4268</v>
      </c>
      <c r="E302" s="598">
        <f t="shared" ref="E302:N302" si="41">SUM(E303:E314)</f>
        <v>0</v>
      </c>
      <c r="F302" s="598">
        <f t="shared" si="41"/>
        <v>0</v>
      </c>
      <c r="G302" s="598">
        <f t="shared" si="41"/>
        <v>0</v>
      </c>
      <c r="H302" s="598">
        <f t="shared" si="41"/>
        <v>0</v>
      </c>
      <c r="I302" s="598">
        <f t="shared" si="41"/>
        <v>0</v>
      </c>
      <c r="J302" s="598">
        <f t="shared" si="41"/>
        <v>0</v>
      </c>
      <c r="K302" s="598">
        <f t="shared" si="41"/>
        <v>0</v>
      </c>
      <c r="L302" s="598">
        <f t="shared" si="41"/>
        <v>0</v>
      </c>
      <c r="M302" s="598">
        <f t="shared" si="41"/>
        <v>0</v>
      </c>
      <c r="N302" s="598">
        <f t="shared" si="41"/>
        <v>0</v>
      </c>
    </row>
    <row r="303" spans="1:14" x14ac:dyDescent="0.25">
      <c r="A303" s="551" t="str">
        <f>+Info!$B$2</f>
        <v>724</v>
      </c>
      <c r="B303" s="559" t="s">
        <v>1767</v>
      </c>
      <c r="C303" s="559" t="str">
        <f t="shared" ref="C303:C314" si="42">$C$258</f>
        <v>1.20.30.10.020.000.00.000</v>
      </c>
      <c r="D303" s="599" t="str">
        <f t="shared" ref="D303:D314" si="43">IF(+D259="","",D259)</f>
        <v/>
      </c>
      <c r="E303" s="593"/>
      <c r="F303" s="593"/>
      <c r="G303" s="593"/>
      <c r="H303" s="601">
        <f t="shared" ref="H303:H314" si="44">+E303+F303-G303</f>
        <v>0</v>
      </c>
      <c r="I303" s="593"/>
      <c r="J303" s="593"/>
      <c r="K303" s="593"/>
      <c r="L303" s="593"/>
      <c r="M303" s="593"/>
      <c r="N303" s="601">
        <f t="shared" ref="N303:N314" si="45">+H303+I303+J303-K303+L303-M303</f>
        <v>0</v>
      </c>
    </row>
    <row r="304" spans="1:14" x14ac:dyDescent="0.25">
      <c r="A304" s="551" t="str">
        <f>+Info!$B$2</f>
        <v>724</v>
      </c>
      <c r="B304" s="559" t="s">
        <v>1767</v>
      </c>
      <c r="C304" s="559" t="str">
        <f t="shared" si="42"/>
        <v>1.20.30.10.020.000.00.000</v>
      </c>
      <c r="D304" s="599" t="str">
        <f t="shared" si="43"/>
        <v/>
      </c>
      <c r="E304" s="593"/>
      <c r="F304" s="593"/>
      <c r="G304" s="593"/>
      <c r="H304" s="601">
        <f t="shared" si="44"/>
        <v>0</v>
      </c>
      <c r="I304" s="593"/>
      <c r="J304" s="593"/>
      <c r="K304" s="593"/>
      <c r="L304" s="593"/>
      <c r="M304" s="593"/>
      <c r="N304" s="601">
        <f t="shared" si="45"/>
        <v>0</v>
      </c>
    </row>
    <row r="305" spans="1:14" x14ac:dyDescent="0.25">
      <c r="A305" s="551" t="str">
        <f>+Info!$B$2</f>
        <v>724</v>
      </c>
      <c r="B305" s="559" t="s">
        <v>1767</v>
      </c>
      <c r="C305" s="559" t="str">
        <f t="shared" si="42"/>
        <v>1.20.30.10.020.000.00.000</v>
      </c>
      <c r="D305" s="599" t="str">
        <f t="shared" si="43"/>
        <v/>
      </c>
      <c r="E305" s="593"/>
      <c r="F305" s="593"/>
      <c r="G305" s="593"/>
      <c r="H305" s="601">
        <f t="shared" si="44"/>
        <v>0</v>
      </c>
      <c r="I305" s="593"/>
      <c r="J305" s="593"/>
      <c r="K305" s="593"/>
      <c r="L305" s="593"/>
      <c r="M305" s="593"/>
      <c r="N305" s="601">
        <f t="shared" si="45"/>
        <v>0</v>
      </c>
    </row>
    <row r="306" spans="1:14" x14ac:dyDescent="0.25">
      <c r="A306" s="551" t="str">
        <f>+Info!$B$2</f>
        <v>724</v>
      </c>
      <c r="B306" s="559" t="s">
        <v>1767</v>
      </c>
      <c r="C306" s="559" t="str">
        <f t="shared" si="42"/>
        <v>1.20.30.10.020.000.00.000</v>
      </c>
      <c r="D306" s="599" t="str">
        <f t="shared" si="43"/>
        <v/>
      </c>
      <c r="E306" s="593"/>
      <c r="F306" s="593"/>
      <c r="G306" s="593"/>
      <c r="H306" s="601">
        <f t="shared" si="44"/>
        <v>0</v>
      </c>
      <c r="I306" s="593"/>
      <c r="J306" s="593"/>
      <c r="K306" s="593"/>
      <c r="L306" s="593"/>
      <c r="M306" s="593"/>
      <c r="N306" s="601">
        <f t="shared" si="45"/>
        <v>0</v>
      </c>
    </row>
    <row r="307" spans="1:14" x14ac:dyDescent="0.25">
      <c r="A307" s="551" t="str">
        <f>+Info!$B$2</f>
        <v>724</v>
      </c>
      <c r="B307" s="559" t="s">
        <v>1767</v>
      </c>
      <c r="C307" s="559" t="str">
        <f t="shared" si="42"/>
        <v>1.20.30.10.020.000.00.000</v>
      </c>
      <c r="D307" s="599" t="str">
        <f t="shared" si="43"/>
        <v/>
      </c>
      <c r="E307" s="593"/>
      <c r="F307" s="593"/>
      <c r="G307" s="593"/>
      <c r="H307" s="601">
        <f t="shared" si="44"/>
        <v>0</v>
      </c>
      <c r="I307" s="593"/>
      <c r="J307" s="593"/>
      <c r="K307" s="593"/>
      <c r="L307" s="593"/>
      <c r="M307" s="593"/>
      <c r="N307" s="601">
        <f t="shared" si="45"/>
        <v>0</v>
      </c>
    </row>
    <row r="308" spans="1:14" x14ac:dyDescent="0.25">
      <c r="A308" s="551" t="str">
        <f>+Info!$B$2</f>
        <v>724</v>
      </c>
      <c r="B308" s="559" t="s">
        <v>1767</v>
      </c>
      <c r="C308" s="559" t="str">
        <f t="shared" si="42"/>
        <v>1.20.30.10.020.000.00.000</v>
      </c>
      <c r="D308" s="599" t="str">
        <f t="shared" si="43"/>
        <v/>
      </c>
      <c r="E308" s="593"/>
      <c r="F308" s="593"/>
      <c r="G308" s="593"/>
      <c r="H308" s="601">
        <f t="shared" si="44"/>
        <v>0</v>
      </c>
      <c r="I308" s="593"/>
      <c r="J308" s="593"/>
      <c r="K308" s="593"/>
      <c r="L308" s="593"/>
      <c r="M308" s="593"/>
      <c r="N308" s="601">
        <f t="shared" si="45"/>
        <v>0</v>
      </c>
    </row>
    <row r="309" spans="1:14" x14ac:dyDescent="0.25">
      <c r="A309" s="551" t="str">
        <f>+Info!$B$2</f>
        <v>724</v>
      </c>
      <c r="B309" s="559" t="s">
        <v>1767</v>
      </c>
      <c r="C309" s="559" t="str">
        <f t="shared" si="42"/>
        <v>1.20.30.10.020.000.00.000</v>
      </c>
      <c r="D309" s="599" t="str">
        <f t="shared" si="43"/>
        <v/>
      </c>
      <c r="E309" s="593"/>
      <c r="F309" s="593"/>
      <c r="G309" s="593"/>
      <c r="H309" s="601">
        <f t="shared" si="44"/>
        <v>0</v>
      </c>
      <c r="I309" s="593"/>
      <c r="J309" s="593"/>
      <c r="K309" s="593"/>
      <c r="L309" s="593"/>
      <c r="M309" s="593"/>
      <c r="N309" s="601">
        <f t="shared" si="45"/>
        <v>0</v>
      </c>
    </row>
    <row r="310" spans="1:14" x14ac:dyDescent="0.25">
      <c r="A310" s="551" t="str">
        <f>+Info!$B$2</f>
        <v>724</v>
      </c>
      <c r="B310" s="559" t="s">
        <v>1767</v>
      </c>
      <c r="C310" s="559" t="str">
        <f t="shared" si="42"/>
        <v>1.20.30.10.020.000.00.000</v>
      </c>
      <c r="D310" s="599" t="str">
        <f t="shared" si="43"/>
        <v/>
      </c>
      <c r="E310" s="593"/>
      <c r="F310" s="593"/>
      <c r="G310" s="593"/>
      <c r="H310" s="601">
        <f t="shared" si="44"/>
        <v>0</v>
      </c>
      <c r="I310" s="593"/>
      <c r="J310" s="593"/>
      <c r="K310" s="593"/>
      <c r="L310" s="593"/>
      <c r="M310" s="593"/>
      <c r="N310" s="601">
        <f t="shared" si="45"/>
        <v>0</v>
      </c>
    </row>
    <row r="311" spans="1:14" x14ac:dyDescent="0.25">
      <c r="A311" s="551" t="str">
        <f>+Info!$B$2</f>
        <v>724</v>
      </c>
      <c r="B311" s="559" t="s">
        <v>1767</v>
      </c>
      <c r="C311" s="559" t="str">
        <f t="shared" si="42"/>
        <v>1.20.30.10.020.000.00.000</v>
      </c>
      <c r="D311" s="599" t="str">
        <f t="shared" si="43"/>
        <v/>
      </c>
      <c r="E311" s="593"/>
      <c r="F311" s="593"/>
      <c r="G311" s="593"/>
      <c r="H311" s="601">
        <f t="shared" si="44"/>
        <v>0</v>
      </c>
      <c r="I311" s="593"/>
      <c r="J311" s="593"/>
      <c r="K311" s="593"/>
      <c r="L311" s="593"/>
      <c r="M311" s="593"/>
      <c r="N311" s="601">
        <f t="shared" si="45"/>
        <v>0</v>
      </c>
    </row>
    <row r="312" spans="1:14" x14ac:dyDescent="0.25">
      <c r="A312" s="551" t="str">
        <f>+Info!$B$2</f>
        <v>724</v>
      </c>
      <c r="B312" s="559" t="s">
        <v>1767</v>
      </c>
      <c r="C312" s="559" t="str">
        <f t="shared" si="42"/>
        <v>1.20.30.10.020.000.00.000</v>
      </c>
      <c r="D312" s="599" t="str">
        <f t="shared" si="43"/>
        <v/>
      </c>
      <c r="E312" s="593"/>
      <c r="F312" s="593"/>
      <c r="G312" s="593"/>
      <c r="H312" s="601">
        <f t="shared" si="44"/>
        <v>0</v>
      </c>
      <c r="I312" s="593"/>
      <c r="J312" s="593"/>
      <c r="K312" s="593"/>
      <c r="L312" s="593"/>
      <c r="M312" s="593"/>
      <c r="N312" s="601">
        <f t="shared" si="45"/>
        <v>0</v>
      </c>
    </row>
    <row r="313" spans="1:14" x14ac:dyDescent="0.25">
      <c r="A313" s="551" t="str">
        <f>+Info!$B$2</f>
        <v>724</v>
      </c>
      <c r="B313" s="559" t="s">
        <v>1767</v>
      </c>
      <c r="C313" s="559" t="str">
        <f t="shared" si="42"/>
        <v>1.20.30.10.020.000.00.000</v>
      </c>
      <c r="D313" s="599" t="str">
        <f t="shared" si="43"/>
        <v/>
      </c>
      <c r="E313" s="593"/>
      <c r="F313" s="593"/>
      <c r="G313" s="593"/>
      <c r="H313" s="601">
        <f t="shared" si="44"/>
        <v>0</v>
      </c>
      <c r="I313" s="593"/>
      <c r="J313" s="593"/>
      <c r="K313" s="593"/>
      <c r="L313" s="593"/>
      <c r="M313" s="593"/>
      <c r="N313" s="601">
        <f t="shared" si="45"/>
        <v>0</v>
      </c>
    </row>
    <row r="314" spans="1:14" x14ac:dyDescent="0.25">
      <c r="A314" s="551" t="str">
        <f>+Info!$B$2</f>
        <v>724</v>
      </c>
      <c r="B314" s="559" t="s">
        <v>1767</v>
      </c>
      <c r="C314" s="559" t="str">
        <f t="shared" si="42"/>
        <v>1.20.30.10.020.000.00.000</v>
      </c>
      <c r="D314" s="599" t="str">
        <f t="shared" si="43"/>
        <v/>
      </c>
      <c r="E314" s="593"/>
      <c r="F314" s="593"/>
      <c r="G314" s="593"/>
      <c r="H314" s="601">
        <f t="shared" si="44"/>
        <v>0</v>
      </c>
      <c r="I314" s="593"/>
      <c r="J314" s="593"/>
      <c r="K314" s="593"/>
      <c r="L314" s="593"/>
      <c r="M314" s="593"/>
      <c r="N314" s="601">
        <f t="shared" si="45"/>
        <v>0</v>
      </c>
    </row>
    <row r="315" spans="1:14" x14ac:dyDescent="0.25">
      <c r="A315" s="551" t="str">
        <f>+Info!$B$2</f>
        <v>724</v>
      </c>
      <c r="B315" s="559" t="e">
        <f t="shared" ref="B315:B325" si="46">NA()</f>
        <v>#N/A</v>
      </c>
    </row>
    <row r="316" spans="1:14" ht="15" hidden="1" customHeight="1" x14ac:dyDescent="0.25">
      <c r="A316" s="551" t="str">
        <f>+Info!$B$2</f>
        <v>724</v>
      </c>
      <c r="B316" s="559" t="e">
        <f t="shared" si="46"/>
        <v>#N/A</v>
      </c>
    </row>
    <row r="317" spans="1:14" ht="15" hidden="1" customHeight="1" x14ac:dyDescent="0.25">
      <c r="A317" s="551" t="str">
        <f>+Info!$B$2</f>
        <v>724</v>
      </c>
      <c r="B317" s="559" t="e">
        <f t="shared" si="46"/>
        <v>#N/A</v>
      </c>
    </row>
    <row r="318" spans="1:14" ht="15" hidden="1" customHeight="1" x14ac:dyDescent="0.25">
      <c r="A318" s="551" t="str">
        <f>+Info!$B$2</f>
        <v>724</v>
      </c>
      <c r="B318" s="559" t="e">
        <f t="shared" si="46"/>
        <v>#N/A</v>
      </c>
    </row>
    <row r="319" spans="1:14" ht="15" hidden="1" customHeight="1" x14ac:dyDescent="0.25">
      <c r="A319" s="551" t="str">
        <f>+Info!$B$2</f>
        <v>724</v>
      </c>
      <c r="B319" s="559" t="e">
        <f t="shared" si="46"/>
        <v>#N/A</v>
      </c>
    </row>
    <row r="320" spans="1:14" ht="15" hidden="1" customHeight="1" x14ac:dyDescent="0.25">
      <c r="A320" s="551" t="str">
        <f>+Info!$B$2</f>
        <v>724</v>
      </c>
      <c r="B320" s="559" t="e">
        <f t="shared" si="46"/>
        <v>#N/A</v>
      </c>
    </row>
    <row r="321" spans="1:14" ht="15" hidden="1" customHeight="1" x14ac:dyDescent="0.25">
      <c r="A321" s="551" t="str">
        <f>+Info!$B$2</f>
        <v>724</v>
      </c>
      <c r="B321" s="559" t="e">
        <f t="shared" si="46"/>
        <v>#N/A</v>
      </c>
    </row>
    <row r="322" spans="1:14" ht="15" hidden="1" customHeight="1" x14ac:dyDescent="0.25">
      <c r="A322" s="551" t="str">
        <f>+Info!$B$2</f>
        <v>724</v>
      </c>
      <c r="B322" s="559" t="e">
        <f t="shared" si="46"/>
        <v>#N/A</v>
      </c>
    </row>
    <row r="323" spans="1:14" ht="15" hidden="1" customHeight="1" x14ac:dyDescent="0.25">
      <c r="A323" s="551" t="str">
        <f>+Info!$B$2</f>
        <v>724</v>
      </c>
      <c r="B323" s="559" t="e">
        <f t="shared" si="46"/>
        <v>#N/A</v>
      </c>
    </row>
    <row r="324" spans="1:14" x14ac:dyDescent="0.25">
      <c r="A324" s="551" t="str">
        <f>+Info!$B$2</f>
        <v>724</v>
      </c>
      <c r="B324" s="559" t="e">
        <f t="shared" si="46"/>
        <v>#N/A</v>
      </c>
    </row>
    <row r="325" spans="1:14" ht="36" x14ac:dyDescent="0.25">
      <c r="A325" s="551" t="str">
        <f>+Info!$B$2</f>
        <v>724</v>
      </c>
      <c r="B325" s="559" t="e">
        <f t="shared" si="46"/>
        <v>#N/A</v>
      </c>
      <c r="C325" s="603" t="s">
        <v>4277</v>
      </c>
      <c r="D325" s="590" t="s">
        <v>4278</v>
      </c>
      <c r="E325" s="590" t="s">
        <v>4279</v>
      </c>
      <c r="F325" s="590" t="s">
        <v>4280</v>
      </c>
      <c r="G325" s="590" t="s">
        <v>4281</v>
      </c>
      <c r="H325" s="590" t="s">
        <v>4282</v>
      </c>
      <c r="I325" s="590" t="s">
        <v>4283</v>
      </c>
      <c r="J325" s="590" t="s">
        <v>4284</v>
      </c>
      <c r="K325" s="590" t="s">
        <v>3883</v>
      </c>
      <c r="L325" s="557"/>
      <c r="M325" s="557"/>
      <c r="N325" s="557"/>
    </row>
    <row r="326" spans="1:14" x14ac:dyDescent="0.25">
      <c r="A326" s="551" t="str">
        <f>+Info!$B$2</f>
        <v>724</v>
      </c>
      <c r="B326" s="559" t="s">
        <v>1399</v>
      </c>
      <c r="C326" s="604" t="str">
        <f t="shared" ref="C326:C347" si="47">$C$348</f>
        <v>1.20.20.10.045.000.00.000</v>
      </c>
      <c r="D326" s="605" t="s">
        <v>4285</v>
      </c>
      <c r="E326" s="606" t="str">
        <f>"Ante "&amp;Info!$B$3</f>
        <v>Ante 2020</v>
      </c>
      <c r="F326" s="607"/>
      <c r="G326" s="607"/>
      <c r="H326" s="608"/>
      <c r="I326" s="607"/>
      <c r="J326" s="608"/>
      <c r="K326" s="609">
        <f>+H326+J326</f>
        <v>0</v>
      </c>
      <c r="L326" s="557"/>
      <c r="M326" s="557"/>
      <c r="N326" s="557"/>
    </row>
    <row r="327" spans="1:14" x14ac:dyDescent="0.25">
      <c r="A327" s="551" t="str">
        <f>+Info!$B$2</f>
        <v>724</v>
      </c>
      <c r="B327" s="559" t="s">
        <v>1399</v>
      </c>
      <c r="C327" s="604" t="str">
        <f t="shared" si="47"/>
        <v>1.20.20.10.045.000.00.000</v>
      </c>
      <c r="D327" s="566"/>
      <c r="E327" s="564" t="str">
        <f>+Info!$B$3</f>
        <v>2020</v>
      </c>
      <c r="F327" s="607"/>
      <c r="G327" s="607"/>
      <c r="H327" s="607"/>
      <c r="I327" s="610"/>
      <c r="J327" s="610"/>
      <c r="K327" s="609">
        <f t="shared" ref="K327:K347" si="48">+I327+J327</f>
        <v>0</v>
      </c>
      <c r="L327" s="557"/>
      <c r="M327" s="557"/>
      <c r="N327" s="557"/>
    </row>
    <row r="328" spans="1:14" x14ac:dyDescent="0.25">
      <c r="A328" s="551" t="str">
        <f>+Info!$B$2</f>
        <v>724</v>
      </c>
      <c r="B328" s="559" t="s">
        <v>1399</v>
      </c>
      <c r="C328" s="604" t="str">
        <f t="shared" si="47"/>
        <v>1.20.20.10.045.000.00.000</v>
      </c>
      <c r="D328" s="566"/>
      <c r="E328" s="564" t="str">
        <f>+Info!$B$3</f>
        <v>2020</v>
      </c>
      <c r="F328" s="607"/>
      <c r="G328" s="607"/>
      <c r="H328" s="607"/>
      <c r="I328" s="610"/>
      <c r="J328" s="610"/>
      <c r="K328" s="609">
        <f t="shared" si="48"/>
        <v>0</v>
      </c>
      <c r="L328" s="557"/>
      <c r="M328" s="557"/>
      <c r="N328" s="557"/>
    </row>
    <row r="329" spans="1:14" x14ac:dyDescent="0.25">
      <c r="A329" s="551" t="str">
        <f>+Info!$B$2</f>
        <v>724</v>
      </c>
      <c r="B329" s="559" t="s">
        <v>1399</v>
      </c>
      <c r="C329" s="604" t="str">
        <f t="shared" si="47"/>
        <v>1.20.20.10.045.000.00.000</v>
      </c>
      <c r="D329" s="566"/>
      <c r="E329" s="564" t="str">
        <f>+Info!$B$3</f>
        <v>2020</v>
      </c>
      <c r="F329" s="607"/>
      <c r="G329" s="607"/>
      <c r="H329" s="607"/>
      <c r="I329" s="610"/>
      <c r="J329" s="610"/>
      <c r="K329" s="609">
        <f t="shared" si="48"/>
        <v>0</v>
      </c>
      <c r="L329" s="557"/>
      <c r="M329" s="557"/>
      <c r="N329" s="557"/>
    </row>
    <row r="330" spans="1:14" x14ac:dyDescent="0.25">
      <c r="A330" s="551" t="str">
        <f>+Info!$B$2</f>
        <v>724</v>
      </c>
      <c r="B330" s="559" t="s">
        <v>1399</v>
      </c>
      <c r="C330" s="604" t="str">
        <f t="shared" si="47"/>
        <v>1.20.20.10.045.000.00.000</v>
      </c>
      <c r="D330" s="566"/>
      <c r="E330" s="564" t="str">
        <f>+Info!$B$3</f>
        <v>2020</v>
      </c>
      <c r="F330" s="607"/>
      <c r="G330" s="607"/>
      <c r="H330" s="607"/>
      <c r="I330" s="610"/>
      <c r="J330" s="610"/>
      <c r="K330" s="609">
        <f t="shared" si="48"/>
        <v>0</v>
      </c>
      <c r="L330" s="557"/>
      <c r="M330" s="557"/>
      <c r="N330" s="557"/>
    </row>
    <row r="331" spans="1:14" x14ac:dyDescent="0.25">
      <c r="A331" s="551" t="str">
        <f>+Info!$B$2</f>
        <v>724</v>
      </c>
      <c r="B331" s="559" t="s">
        <v>1399</v>
      </c>
      <c r="C331" s="604" t="str">
        <f t="shared" si="47"/>
        <v>1.20.20.10.045.000.00.000</v>
      </c>
      <c r="D331" s="566"/>
      <c r="E331" s="564" t="str">
        <f>+Info!$B$3</f>
        <v>2020</v>
      </c>
      <c r="F331" s="607"/>
      <c r="G331" s="607"/>
      <c r="H331" s="607"/>
      <c r="I331" s="610"/>
      <c r="J331" s="610"/>
      <c r="K331" s="609">
        <f t="shared" si="48"/>
        <v>0</v>
      </c>
      <c r="L331" s="557"/>
      <c r="M331" s="557"/>
      <c r="N331" s="557"/>
    </row>
    <row r="332" spans="1:14" x14ac:dyDescent="0.25">
      <c r="A332" s="551" t="str">
        <f>+Info!$B$2</f>
        <v>724</v>
      </c>
      <c r="B332" s="559" t="s">
        <v>1399</v>
      </c>
      <c r="C332" s="604" t="str">
        <f t="shared" si="47"/>
        <v>1.20.20.10.045.000.00.000</v>
      </c>
      <c r="D332" s="566"/>
      <c r="E332" s="564" t="str">
        <f>+Info!$B$3</f>
        <v>2020</v>
      </c>
      <c r="F332" s="607"/>
      <c r="G332" s="607"/>
      <c r="H332" s="607"/>
      <c r="I332" s="610"/>
      <c r="J332" s="610"/>
      <c r="K332" s="609">
        <f t="shared" si="48"/>
        <v>0</v>
      </c>
      <c r="L332" s="557"/>
      <c r="M332" s="557"/>
      <c r="N332" s="557"/>
    </row>
    <row r="333" spans="1:14" x14ac:dyDescent="0.25">
      <c r="A333" s="551" t="str">
        <f>+Info!$B$2</f>
        <v>724</v>
      </c>
      <c r="B333" s="559" t="s">
        <v>1399</v>
      </c>
      <c r="C333" s="604" t="str">
        <f t="shared" si="47"/>
        <v>1.20.20.10.045.000.00.000</v>
      </c>
      <c r="D333" s="566"/>
      <c r="E333" s="564" t="str">
        <f>+Info!$B$3</f>
        <v>2020</v>
      </c>
      <c r="F333" s="607"/>
      <c r="G333" s="607"/>
      <c r="H333" s="607"/>
      <c r="I333" s="610"/>
      <c r="J333" s="610"/>
      <c r="K333" s="609">
        <f t="shared" si="48"/>
        <v>0</v>
      </c>
      <c r="L333" s="557"/>
      <c r="M333" s="557"/>
      <c r="N333" s="557"/>
    </row>
    <row r="334" spans="1:14" x14ac:dyDescent="0.25">
      <c r="A334" s="551" t="str">
        <f>+Info!$B$2</f>
        <v>724</v>
      </c>
      <c r="B334" s="559" t="s">
        <v>1399</v>
      </c>
      <c r="C334" s="604" t="str">
        <f t="shared" si="47"/>
        <v>1.20.20.10.045.000.00.000</v>
      </c>
      <c r="D334" s="566"/>
      <c r="E334" s="564" t="str">
        <f>+Info!$B$3</f>
        <v>2020</v>
      </c>
      <c r="F334" s="607"/>
      <c r="G334" s="607"/>
      <c r="H334" s="607"/>
      <c r="I334" s="610"/>
      <c r="J334" s="610"/>
      <c r="K334" s="609">
        <f t="shared" si="48"/>
        <v>0</v>
      </c>
      <c r="L334" s="557"/>
      <c r="M334" s="557"/>
      <c r="N334" s="557"/>
    </row>
    <row r="335" spans="1:14" x14ac:dyDescent="0.25">
      <c r="A335" s="551" t="str">
        <f>+Info!$B$2</f>
        <v>724</v>
      </c>
      <c r="B335" s="559" t="s">
        <v>1399</v>
      </c>
      <c r="C335" s="604" t="str">
        <f t="shared" si="47"/>
        <v>1.20.20.10.045.000.00.000</v>
      </c>
      <c r="D335" s="566"/>
      <c r="E335" s="564" t="str">
        <f>+Info!$B$3</f>
        <v>2020</v>
      </c>
      <c r="F335" s="607"/>
      <c r="G335" s="607"/>
      <c r="H335" s="607"/>
      <c r="I335" s="610"/>
      <c r="J335" s="610"/>
      <c r="K335" s="609">
        <f t="shared" si="48"/>
        <v>0</v>
      </c>
      <c r="L335" s="557"/>
      <c r="M335" s="557"/>
      <c r="N335" s="557"/>
    </row>
    <row r="336" spans="1:14" x14ac:dyDescent="0.25">
      <c r="A336" s="551" t="str">
        <f>+Info!$B$2</f>
        <v>724</v>
      </c>
      <c r="B336" s="559" t="s">
        <v>1399</v>
      </c>
      <c r="C336" s="604" t="str">
        <f t="shared" si="47"/>
        <v>1.20.20.10.045.000.00.000</v>
      </c>
      <c r="D336" s="566"/>
      <c r="E336" s="564" t="str">
        <f>+Info!$B$3</f>
        <v>2020</v>
      </c>
      <c r="F336" s="607"/>
      <c r="G336" s="607"/>
      <c r="H336" s="607"/>
      <c r="I336" s="610"/>
      <c r="J336" s="610"/>
      <c r="K336" s="609">
        <f t="shared" si="48"/>
        <v>0</v>
      </c>
      <c r="L336" s="557"/>
      <c r="M336" s="557"/>
      <c r="N336" s="557"/>
    </row>
    <row r="337" spans="1:32" x14ac:dyDescent="0.25">
      <c r="A337" s="551" t="str">
        <f>+Info!$B$2</f>
        <v>724</v>
      </c>
      <c r="B337" s="559" t="s">
        <v>1399</v>
      </c>
      <c r="C337" s="604" t="str">
        <f t="shared" si="47"/>
        <v>1.20.20.10.045.000.00.000</v>
      </c>
      <c r="D337" s="566"/>
      <c r="E337" s="564" t="str">
        <f>+Info!$B$3</f>
        <v>2020</v>
      </c>
      <c r="F337" s="607"/>
      <c r="G337" s="607"/>
      <c r="H337" s="607"/>
      <c r="I337" s="610"/>
      <c r="J337" s="610"/>
      <c r="K337" s="609">
        <f t="shared" si="48"/>
        <v>0</v>
      </c>
      <c r="L337" s="557"/>
      <c r="M337" s="557"/>
      <c r="N337" s="557"/>
    </row>
    <row r="338" spans="1:32" x14ac:dyDescent="0.25">
      <c r="A338" s="551" t="str">
        <f>+Info!$B$2</f>
        <v>724</v>
      </c>
      <c r="B338" s="559" t="s">
        <v>1399</v>
      </c>
      <c r="C338" s="604" t="str">
        <f t="shared" si="47"/>
        <v>1.20.20.10.045.000.00.000</v>
      </c>
      <c r="D338" s="566"/>
      <c r="E338" s="564" t="str">
        <f>+Info!$B$3</f>
        <v>2020</v>
      </c>
      <c r="F338" s="607"/>
      <c r="G338" s="607"/>
      <c r="H338" s="607"/>
      <c r="I338" s="610"/>
      <c r="J338" s="610"/>
      <c r="K338" s="609">
        <f t="shared" si="48"/>
        <v>0</v>
      </c>
      <c r="L338" s="557"/>
      <c r="M338" s="557"/>
      <c r="N338" s="557"/>
    </row>
    <row r="339" spans="1:32" x14ac:dyDescent="0.25">
      <c r="A339" s="551" t="str">
        <f>+Info!$B$2</f>
        <v>724</v>
      </c>
      <c r="B339" s="559" t="s">
        <v>1399</v>
      </c>
      <c r="C339" s="604" t="str">
        <f t="shared" si="47"/>
        <v>1.20.20.10.045.000.00.000</v>
      </c>
      <c r="D339" s="566"/>
      <c r="E339" s="564" t="str">
        <f>+Info!$B$3</f>
        <v>2020</v>
      </c>
      <c r="F339" s="607"/>
      <c r="G339" s="607"/>
      <c r="H339" s="607"/>
      <c r="I339" s="610"/>
      <c r="J339" s="610"/>
      <c r="K339" s="609">
        <f t="shared" si="48"/>
        <v>0</v>
      </c>
      <c r="L339" s="557"/>
      <c r="M339" s="557"/>
      <c r="N339" s="557"/>
    </row>
    <row r="340" spans="1:32" x14ac:dyDescent="0.25">
      <c r="A340" s="551" t="str">
        <f>+Info!$B$2</f>
        <v>724</v>
      </c>
      <c r="B340" s="559" t="s">
        <v>1399</v>
      </c>
      <c r="C340" s="604" t="str">
        <f t="shared" si="47"/>
        <v>1.20.20.10.045.000.00.000</v>
      </c>
      <c r="D340" s="566"/>
      <c r="E340" s="564" t="str">
        <f>+Info!$B$3</f>
        <v>2020</v>
      </c>
      <c r="F340" s="607"/>
      <c r="G340" s="607"/>
      <c r="H340" s="607"/>
      <c r="I340" s="610"/>
      <c r="J340" s="610"/>
      <c r="K340" s="609">
        <f t="shared" si="48"/>
        <v>0</v>
      </c>
      <c r="L340" s="557"/>
      <c r="M340" s="557"/>
      <c r="N340" s="557"/>
    </row>
    <row r="341" spans="1:32" x14ac:dyDescent="0.25">
      <c r="A341" s="551" t="str">
        <f>+Info!$B$2</f>
        <v>724</v>
      </c>
      <c r="B341" s="559" t="s">
        <v>1399</v>
      </c>
      <c r="C341" s="604" t="str">
        <f t="shared" si="47"/>
        <v>1.20.20.10.045.000.00.000</v>
      </c>
      <c r="D341" s="566"/>
      <c r="E341" s="564" t="str">
        <f>+Info!$B$3</f>
        <v>2020</v>
      </c>
      <c r="F341" s="607"/>
      <c r="G341" s="607"/>
      <c r="H341" s="607"/>
      <c r="I341" s="610"/>
      <c r="J341" s="610"/>
      <c r="K341" s="609">
        <f t="shared" si="48"/>
        <v>0</v>
      </c>
      <c r="L341" s="557"/>
      <c r="M341" s="557"/>
      <c r="N341" s="557"/>
    </row>
    <row r="342" spans="1:32" x14ac:dyDescent="0.25">
      <c r="A342" s="551" t="str">
        <f>+Info!$B$2</f>
        <v>724</v>
      </c>
      <c r="B342" s="559" t="s">
        <v>1399</v>
      </c>
      <c r="C342" s="604" t="str">
        <f t="shared" si="47"/>
        <v>1.20.20.10.045.000.00.000</v>
      </c>
      <c r="D342" s="566"/>
      <c r="E342" s="564" t="str">
        <f>+Info!$B$3</f>
        <v>2020</v>
      </c>
      <c r="F342" s="607"/>
      <c r="G342" s="607"/>
      <c r="H342" s="607"/>
      <c r="I342" s="610"/>
      <c r="J342" s="610"/>
      <c r="K342" s="609">
        <f t="shared" si="48"/>
        <v>0</v>
      </c>
      <c r="L342" s="557"/>
      <c r="M342" s="557"/>
      <c r="N342" s="557"/>
    </row>
    <row r="343" spans="1:32" x14ac:dyDescent="0.25">
      <c r="A343" s="551" t="str">
        <f>+Info!$B$2</f>
        <v>724</v>
      </c>
      <c r="B343" s="559" t="s">
        <v>1399</v>
      </c>
      <c r="C343" s="604" t="str">
        <f t="shared" si="47"/>
        <v>1.20.20.10.045.000.00.000</v>
      </c>
      <c r="D343" s="566"/>
      <c r="E343" s="564" t="str">
        <f>+Info!$B$3</f>
        <v>2020</v>
      </c>
      <c r="F343" s="607"/>
      <c r="G343" s="607"/>
      <c r="H343" s="607"/>
      <c r="I343" s="610"/>
      <c r="J343" s="610"/>
      <c r="K343" s="609">
        <f t="shared" si="48"/>
        <v>0</v>
      </c>
      <c r="L343" s="557"/>
      <c r="M343" s="557"/>
      <c r="N343" s="557"/>
    </row>
    <row r="344" spans="1:32" x14ac:dyDescent="0.25">
      <c r="A344" s="551" t="str">
        <f>+Info!$B$2</f>
        <v>724</v>
      </c>
      <c r="B344" s="559" t="s">
        <v>1399</v>
      </c>
      <c r="C344" s="604" t="str">
        <f t="shared" si="47"/>
        <v>1.20.20.10.045.000.00.000</v>
      </c>
      <c r="D344" s="566"/>
      <c r="E344" s="564" t="str">
        <f>+Info!$B$3</f>
        <v>2020</v>
      </c>
      <c r="F344" s="607"/>
      <c r="G344" s="607"/>
      <c r="H344" s="607"/>
      <c r="I344" s="610"/>
      <c r="J344" s="610"/>
      <c r="K344" s="609">
        <f t="shared" si="48"/>
        <v>0</v>
      </c>
      <c r="L344" s="557"/>
      <c r="M344" s="557"/>
      <c r="N344" s="557"/>
    </row>
    <row r="345" spans="1:32" x14ac:dyDescent="0.25">
      <c r="A345" s="551" t="str">
        <f>+Info!$B$2</f>
        <v>724</v>
      </c>
      <c r="B345" s="559" t="s">
        <v>1399</v>
      </c>
      <c r="C345" s="604" t="str">
        <f t="shared" si="47"/>
        <v>1.20.20.10.045.000.00.000</v>
      </c>
      <c r="D345" s="566"/>
      <c r="E345" s="564" t="str">
        <f>+Info!$B$3</f>
        <v>2020</v>
      </c>
      <c r="F345" s="607"/>
      <c r="G345" s="607"/>
      <c r="H345" s="607"/>
      <c r="I345" s="610"/>
      <c r="J345" s="610"/>
      <c r="K345" s="609">
        <f t="shared" si="48"/>
        <v>0</v>
      </c>
      <c r="L345" s="557"/>
      <c r="M345" s="557"/>
      <c r="N345" s="557"/>
    </row>
    <row r="346" spans="1:32" x14ac:dyDescent="0.25">
      <c r="A346" s="551" t="str">
        <f>+Info!$B$2</f>
        <v>724</v>
      </c>
      <c r="B346" s="559" t="s">
        <v>1399</v>
      </c>
      <c r="C346" s="604" t="str">
        <f t="shared" si="47"/>
        <v>1.20.20.10.045.000.00.000</v>
      </c>
      <c r="D346" s="566"/>
      <c r="E346" s="564" t="str">
        <f>+Info!$B$3</f>
        <v>2020</v>
      </c>
      <c r="F346" s="607"/>
      <c r="G346" s="607"/>
      <c r="H346" s="607"/>
      <c r="I346" s="610"/>
      <c r="J346" s="610"/>
      <c r="K346" s="609">
        <f t="shared" si="48"/>
        <v>0</v>
      </c>
      <c r="L346" s="557"/>
      <c r="M346" s="557"/>
      <c r="N346" s="557"/>
    </row>
    <row r="347" spans="1:32" x14ac:dyDescent="0.25">
      <c r="A347" s="551" t="str">
        <f>+Info!$B$2</f>
        <v>724</v>
      </c>
      <c r="B347" s="559" t="s">
        <v>1399</v>
      </c>
      <c r="C347" s="604" t="str">
        <f t="shared" si="47"/>
        <v>1.20.20.10.045.000.00.000</v>
      </c>
      <c r="D347" s="566"/>
      <c r="E347" s="564" t="str">
        <f>+Info!$B$3</f>
        <v>2020</v>
      </c>
      <c r="F347" s="607"/>
      <c r="G347" s="607"/>
      <c r="H347" s="607"/>
      <c r="I347" s="610"/>
      <c r="J347" s="610"/>
      <c r="K347" s="609">
        <f t="shared" si="48"/>
        <v>0</v>
      </c>
      <c r="L347" s="557"/>
      <c r="M347" s="557"/>
      <c r="N347" s="557"/>
    </row>
    <row r="348" spans="1:32" x14ac:dyDescent="0.25">
      <c r="A348" s="551" t="str">
        <f>+Info!$B$2</f>
        <v>724</v>
      </c>
      <c r="B348" s="559" t="s">
        <v>1399</v>
      </c>
      <c r="C348" s="611" t="s">
        <v>1400</v>
      </c>
      <c r="D348" s="612" t="str">
        <f>IF(K348=E348,"Quadratura OK!","Squadratura con dati di bilancio!")</f>
        <v>Quadratura OK!</v>
      </c>
      <c r="E348" s="569">
        <f>SUMIF('NI-Ric_SP'!$C:$C,$C348,'NI-Ric_SP'!$Y:$Y)</f>
        <v>0</v>
      </c>
      <c r="F348" s="925" t="s">
        <v>4289</v>
      </c>
      <c r="G348" s="925"/>
      <c r="H348" s="613">
        <f>SUM(H326:H347)</f>
        <v>0</v>
      </c>
      <c r="I348" s="613">
        <f>SUM(I326:I347)</f>
        <v>0</v>
      </c>
      <c r="J348" s="613">
        <f>SUM(J326:J347)</f>
        <v>0</v>
      </c>
      <c r="K348" s="613">
        <f>SUM(K326:K347)</f>
        <v>0</v>
      </c>
      <c r="L348" s="557"/>
      <c r="M348" s="557"/>
      <c r="N348" s="557"/>
      <c r="AC348" s="551" t="str">
        <f>C348</f>
        <v>1.20.20.10.045.000.00.000</v>
      </c>
      <c r="AD348" s="553">
        <f>K348</f>
        <v>0</v>
      </c>
      <c r="AE348" s="553">
        <f>E348</f>
        <v>0</v>
      </c>
      <c r="AF348" s="551">
        <f>IF($AD348=$AE348,0,1)</f>
        <v>0</v>
      </c>
    </row>
    <row r="349" spans="1:32" ht="23.25" x14ac:dyDescent="0.25">
      <c r="A349" s="551" t="str">
        <f>+Info!$B$2</f>
        <v>724</v>
      </c>
      <c r="B349" s="559" t="s">
        <v>1531</v>
      </c>
      <c r="C349" s="614" t="str">
        <f t="shared" ref="C349:C370" si="49">$C$371</f>
        <v>1.20.20.20.020.010.00.000</v>
      </c>
      <c r="D349" s="615" t="s">
        <v>4290</v>
      </c>
      <c r="E349" s="606" t="str">
        <f>"Ante "&amp;Info!$B$3</f>
        <v>Ante 2020</v>
      </c>
      <c r="F349" s="607"/>
      <c r="G349" s="607"/>
      <c r="H349" s="608"/>
      <c r="I349" s="607"/>
      <c r="J349" s="608"/>
      <c r="K349" s="609">
        <f>+H349+J349</f>
        <v>0</v>
      </c>
      <c r="L349" s="557"/>
      <c r="M349" s="557"/>
      <c r="N349" s="557"/>
    </row>
    <row r="350" spans="1:32" x14ac:dyDescent="0.25">
      <c r="A350" s="551" t="str">
        <f>+Info!$B$2</f>
        <v>724</v>
      </c>
      <c r="B350" s="559" t="s">
        <v>1531</v>
      </c>
      <c r="C350" s="614" t="str">
        <f t="shared" si="49"/>
        <v>1.20.20.20.020.010.00.000</v>
      </c>
      <c r="D350" s="566"/>
      <c r="E350" s="564" t="str">
        <f>+Info!$B$3</f>
        <v>2020</v>
      </c>
      <c r="F350" s="607"/>
      <c r="G350" s="607"/>
      <c r="H350" s="607"/>
      <c r="I350" s="610"/>
      <c r="J350" s="610"/>
      <c r="K350" s="609">
        <f t="shared" ref="K350:K370" si="50">+I350+J350</f>
        <v>0</v>
      </c>
      <c r="L350" s="557"/>
      <c r="M350" s="557"/>
      <c r="N350" s="557"/>
    </row>
    <row r="351" spans="1:32" x14ac:dyDescent="0.25">
      <c r="A351" s="551" t="str">
        <f>+Info!$B$2</f>
        <v>724</v>
      </c>
      <c r="B351" s="559" t="s">
        <v>1531</v>
      </c>
      <c r="C351" s="614" t="str">
        <f t="shared" si="49"/>
        <v>1.20.20.20.020.010.00.000</v>
      </c>
      <c r="D351" s="566"/>
      <c r="E351" s="564" t="str">
        <f>+Info!$B$3</f>
        <v>2020</v>
      </c>
      <c r="F351" s="607"/>
      <c r="G351" s="607"/>
      <c r="H351" s="607"/>
      <c r="I351" s="610"/>
      <c r="J351" s="610"/>
      <c r="K351" s="609">
        <f t="shared" si="50"/>
        <v>0</v>
      </c>
      <c r="L351" s="557"/>
      <c r="M351" s="557"/>
      <c r="N351" s="557"/>
    </row>
    <row r="352" spans="1:32" x14ac:dyDescent="0.25">
      <c r="A352" s="551" t="str">
        <f>+Info!$B$2</f>
        <v>724</v>
      </c>
      <c r="B352" s="559" t="s">
        <v>1531</v>
      </c>
      <c r="C352" s="614" t="str">
        <f t="shared" si="49"/>
        <v>1.20.20.20.020.010.00.000</v>
      </c>
      <c r="D352" s="566"/>
      <c r="E352" s="564" t="str">
        <f>+Info!$B$3</f>
        <v>2020</v>
      </c>
      <c r="F352" s="607"/>
      <c r="G352" s="607"/>
      <c r="H352" s="607"/>
      <c r="I352" s="610"/>
      <c r="J352" s="610"/>
      <c r="K352" s="609">
        <f t="shared" si="50"/>
        <v>0</v>
      </c>
      <c r="L352" s="557"/>
      <c r="M352" s="557"/>
      <c r="N352" s="557"/>
    </row>
    <row r="353" spans="1:14" x14ac:dyDescent="0.25">
      <c r="A353" s="551" t="str">
        <f>+Info!$B$2</f>
        <v>724</v>
      </c>
      <c r="B353" s="559" t="s">
        <v>1531</v>
      </c>
      <c r="C353" s="614" t="str">
        <f t="shared" si="49"/>
        <v>1.20.20.20.020.010.00.000</v>
      </c>
      <c r="D353" s="566"/>
      <c r="E353" s="564" t="str">
        <f>+Info!$B$3</f>
        <v>2020</v>
      </c>
      <c r="F353" s="607"/>
      <c r="G353" s="607"/>
      <c r="H353" s="607"/>
      <c r="I353" s="610"/>
      <c r="J353" s="610"/>
      <c r="K353" s="609">
        <f t="shared" si="50"/>
        <v>0</v>
      </c>
      <c r="L353" s="557"/>
      <c r="M353" s="557"/>
      <c r="N353" s="557"/>
    </row>
    <row r="354" spans="1:14" x14ac:dyDescent="0.25">
      <c r="A354" s="551" t="str">
        <f>+Info!$B$2</f>
        <v>724</v>
      </c>
      <c r="B354" s="559" t="s">
        <v>1531</v>
      </c>
      <c r="C354" s="614" t="str">
        <f t="shared" si="49"/>
        <v>1.20.20.20.020.010.00.000</v>
      </c>
      <c r="D354" s="566"/>
      <c r="E354" s="564" t="str">
        <f>+Info!$B$3</f>
        <v>2020</v>
      </c>
      <c r="F354" s="607"/>
      <c r="G354" s="607"/>
      <c r="H354" s="607"/>
      <c r="I354" s="610"/>
      <c r="J354" s="610"/>
      <c r="K354" s="609">
        <f t="shared" si="50"/>
        <v>0</v>
      </c>
      <c r="L354" s="557"/>
      <c r="M354" s="557"/>
      <c r="N354" s="557"/>
    </row>
    <row r="355" spans="1:14" x14ac:dyDescent="0.25">
      <c r="A355" s="551" t="str">
        <f>+Info!$B$2</f>
        <v>724</v>
      </c>
      <c r="B355" s="559" t="s">
        <v>1531</v>
      </c>
      <c r="C355" s="614" t="str">
        <f t="shared" si="49"/>
        <v>1.20.20.20.020.010.00.000</v>
      </c>
      <c r="D355" s="566"/>
      <c r="E355" s="564" t="str">
        <f>+Info!$B$3</f>
        <v>2020</v>
      </c>
      <c r="F355" s="607"/>
      <c r="G355" s="607"/>
      <c r="H355" s="607"/>
      <c r="I355" s="610"/>
      <c r="J355" s="610"/>
      <c r="K355" s="609">
        <f t="shared" si="50"/>
        <v>0</v>
      </c>
      <c r="L355" s="557"/>
      <c r="M355" s="557"/>
      <c r="N355" s="557"/>
    </row>
    <row r="356" spans="1:14" x14ac:dyDescent="0.25">
      <c r="A356" s="551" t="str">
        <f>+Info!$B$2</f>
        <v>724</v>
      </c>
      <c r="B356" s="559" t="s">
        <v>1531</v>
      </c>
      <c r="C356" s="614" t="str">
        <f t="shared" si="49"/>
        <v>1.20.20.20.020.010.00.000</v>
      </c>
      <c r="D356" s="566"/>
      <c r="E356" s="564" t="str">
        <f>+Info!$B$3</f>
        <v>2020</v>
      </c>
      <c r="F356" s="607"/>
      <c r="G356" s="607"/>
      <c r="H356" s="607"/>
      <c r="I356" s="610"/>
      <c r="J356" s="610"/>
      <c r="K356" s="609">
        <f t="shared" si="50"/>
        <v>0</v>
      </c>
      <c r="L356" s="557"/>
      <c r="M356" s="557"/>
      <c r="N356" s="557"/>
    </row>
    <row r="357" spans="1:14" x14ac:dyDescent="0.25">
      <c r="A357" s="551" t="str">
        <f>+Info!$B$2</f>
        <v>724</v>
      </c>
      <c r="B357" s="559" t="s">
        <v>1531</v>
      </c>
      <c r="C357" s="614" t="str">
        <f t="shared" si="49"/>
        <v>1.20.20.20.020.010.00.000</v>
      </c>
      <c r="D357" s="566"/>
      <c r="E357" s="564" t="str">
        <f>+Info!$B$3</f>
        <v>2020</v>
      </c>
      <c r="F357" s="607"/>
      <c r="G357" s="607"/>
      <c r="H357" s="607"/>
      <c r="I357" s="610"/>
      <c r="J357" s="610"/>
      <c r="K357" s="609">
        <f t="shared" si="50"/>
        <v>0</v>
      </c>
      <c r="L357" s="557"/>
      <c r="M357" s="557"/>
      <c r="N357" s="557"/>
    </row>
    <row r="358" spans="1:14" x14ac:dyDescent="0.25">
      <c r="A358" s="551" t="str">
        <f>+Info!$B$2</f>
        <v>724</v>
      </c>
      <c r="B358" s="559" t="s">
        <v>1531</v>
      </c>
      <c r="C358" s="614" t="str">
        <f t="shared" si="49"/>
        <v>1.20.20.20.020.010.00.000</v>
      </c>
      <c r="D358" s="566"/>
      <c r="E358" s="564" t="str">
        <f>+Info!$B$3</f>
        <v>2020</v>
      </c>
      <c r="F358" s="607"/>
      <c r="G358" s="607"/>
      <c r="H358" s="607"/>
      <c r="I358" s="610"/>
      <c r="J358" s="610"/>
      <c r="K358" s="609">
        <f t="shared" si="50"/>
        <v>0</v>
      </c>
      <c r="L358" s="557"/>
      <c r="M358" s="557"/>
      <c r="N358" s="557"/>
    </row>
    <row r="359" spans="1:14" x14ac:dyDescent="0.25">
      <c r="A359" s="551" t="str">
        <f>+Info!$B$2</f>
        <v>724</v>
      </c>
      <c r="B359" s="559" t="s">
        <v>1531</v>
      </c>
      <c r="C359" s="614" t="str">
        <f t="shared" si="49"/>
        <v>1.20.20.20.020.010.00.000</v>
      </c>
      <c r="D359" s="566"/>
      <c r="E359" s="564" t="str">
        <f>+Info!$B$3</f>
        <v>2020</v>
      </c>
      <c r="F359" s="607"/>
      <c r="G359" s="607"/>
      <c r="H359" s="607"/>
      <c r="I359" s="610"/>
      <c r="J359" s="610"/>
      <c r="K359" s="609">
        <f t="shared" si="50"/>
        <v>0</v>
      </c>
      <c r="L359" s="557"/>
      <c r="M359" s="557"/>
      <c r="N359" s="557"/>
    </row>
    <row r="360" spans="1:14" x14ac:dyDescent="0.25">
      <c r="A360" s="551" t="str">
        <f>+Info!$B$2</f>
        <v>724</v>
      </c>
      <c r="B360" s="559" t="s">
        <v>1531</v>
      </c>
      <c r="C360" s="614" t="str">
        <f t="shared" si="49"/>
        <v>1.20.20.20.020.010.00.000</v>
      </c>
      <c r="D360" s="566"/>
      <c r="E360" s="564" t="str">
        <f>+Info!$B$3</f>
        <v>2020</v>
      </c>
      <c r="F360" s="607"/>
      <c r="G360" s="607"/>
      <c r="H360" s="607"/>
      <c r="I360" s="610"/>
      <c r="J360" s="610"/>
      <c r="K360" s="609">
        <f t="shared" si="50"/>
        <v>0</v>
      </c>
      <c r="L360" s="557"/>
      <c r="M360" s="557"/>
      <c r="N360" s="557"/>
    </row>
    <row r="361" spans="1:14" x14ac:dyDescent="0.25">
      <c r="A361" s="551" t="str">
        <f>+Info!$B$2</f>
        <v>724</v>
      </c>
      <c r="B361" s="559" t="s">
        <v>1531</v>
      </c>
      <c r="C361" s="614" t="str">
        <f t="shared" si="49"/>
        <v>1.20.20.20.020.010.00.000</v>
      </c>
      <c r="D361" s="566"/>
      <c r="E361" s="564" t="str">
        <f>+Info!$B$3</f>
        <v>2020</v>
      </c>
      <c r="F361" s="607"/>
      <c r="G361" s="607"/>
      <c r="H361" s="607"/>
      <c r="I361" s="610"/>
      <c r="J361" s="610"/>
      <c r="K361" s="609">
        <f t="shared" si="50"/>
        <v>0</v>
      </c>
      <c r="L361" s="557"/>
      <c r="M361" s="557"/>
      <c r="N361" s="557"/>
    </row>
    <row r="362" spans="1:14" x14ac:dyDescent="0.25">
      <c r="A362" s="551" t="str">
        <f>+Info!$B$2</f>
        <v>724</v>
      </c>
      <c r="B362" s="559" t="s">
        <v>1531</v>
      </c>
      <c r="C362" s="614" t="str">
        <f t="shared" si="49"/>
        <v>1.20.20.20.020.010.00.000</v>
      </c>
      <c r="D362" s="566"/>
      <c r="E362" s="564" t="str">
        <f>+Info!$B$3</f>
        <v>2020</v>
      </c>
      <c r="F362" s="607"/>
      <c r="G362" s="607"/>
      <c r="H362" s="607"/>
      <c r="I362" s="610"/>
      <c r="J362" s="610"/>
      <c r="K362" s="609">
        <f t="shared" si="50"/>
        <v>0</v>
      </c>
      <c r="L362" s="557"/>
      <c r="M362" s="557"/>
      <c r="N362" s="557"/>
    </row>
    <row r="363" spans="1:14" x14ac:dyDescent="0.25">
      <c r="A363" s="551" t="str">
        <f>+Info!$B$2</f>
        <v>724</v>
      </c>
      <c r="B363" s="559" t="s">
        <v>1531</v>
      </c>
      <c r="C363" s="614" t="str">
        <f t="shared" si="49"/>
        <v>1.20.20.20.020.010.00.000</v>
      </c>
      <c r="D363" s="566"/>
      <c r="E363" s="564" t="str">
        <f>+Info!$B$3</f>
        <v>2020</v>
      </c>
      <c r="F363" s="607"/>
      <c r="G363" s="607"/>
      <c r="H363" s="607"/>
      <c r="I363" s="610"/>
      <c r="J363" s="610"/>
      <c r="K363" s="609">
        <f t="shared" si="50"/>
        <v>0</v>
      </c>
      <c r="L363" s="557"/>
      <c r="M363" s="557"/>
      <c r="N363" s="557"/>
    </row>
    <row r="364" spans="1:14" x14ac:dyDescent="0.25">
      <c r="A364" s="551" t="str">
        <f>+Info!$B$2</f>
        <v>724</v>
      </c>
      <c r="B364" s="559" t="s">
        <v>1531</v>
      </c>
      <c r="C364" s="614" t="str">
        <f t="shared" si="49"/>
        <v>1.20.20.20.020.010.00.000</v>
      </c>
      <c r="D364" s="566"/>
      <c r="E364" s="564" t="str">
        <f>+Info!$B$3</f>
        <v>2020</v>
      </c>
      <c r="F364" s="607"/>
      <c r="G364" s="607"/>
      <c r="H364" s="607"/>
      <c r="I364" s="610"/>
      <c r="J364" s="610"/>
      <c r="K364" s="609">
        <f t="shared" si="50"/>
        <v>0</v>
      </c>
      <c r="L364" s="557"/>
      <c r="M364" s="557"/>
      <c r="N364" s="557"/>
    </row>
    <row r="365" spans="1:14" x14ac:dyDescent="0.25">
      <c r="A365" s="551" t="str">
        <f>+Info!$B$2</f>
        <v>724</v>
      </c>
      <c r="B365" s="559" t="s">
        <v>1531</v>
      </c>
      <c r="C365" s="614" t="str">
        <f t="shared" si="49"/>
        <v>1.20.20.20.020.010.00.000</v>
      </c>
      <c r="D365" s="566"/>
      <c r="E365" s="564" t="str">
        <f>+Info!$B$3</f>
        <v>2020</v>
      </c>
      <c r="F365" s="607"/>
      <c r="G365" s="607"/>
      <c r="H365" s="607"/>
      <c r="I365" s="610"/>
      <c r="J365" s="610"/>
      <c r="K365" s="609">
        <f t="shared" si="50"/>
        <v>0</v>
      </c>
      <c r="L365" s="557"/>
      <c r="M365" s="557"/>
      <c r="N365" s="557"/>
    </row>
    <row r="366" spans="1:14" x14ac:dyDescent="0.25">
      <c r="A366" s="551" t="str">
        <f>+Info!$B$2</f>
        <v>724</v>
      </c>
      <c r="B366" s="559" t="s">
        <v>1531</v>
      </c>
      <c r="C366" s="614" t="str">
        <f t="shared" si="49"/>
        <v>1.20.20.20.020.010.00.000</v>
      </c>
      <c r="D366" s="566"/>
      <c r="E366" s="564" t="str">
        <f>+Info!$B$3</f>
        <v>2020</v>
      </c>
      <c r="F366" s="607"/>
      <c r="G366" s="607"/>
      <c r="H366" s="607"/>
      <c r="I366" s="610"/>
      <c r="J366" s="610"/>
      <c r="K366" s="609">
        <f t="shared" si="50"/>
        <v>0</v>
      </c>
      <c r="L366" s="557"/>
      <c r="M366" s="557"/>
      <c r="N366" s="557"/>
    </row>
    <row r="367" spans="1:14" x14ac:dyDescent="0.25">
      <c r="A367" s="551" t="str">
        <f>+Info!$B$2</f>
        <v>724</v>
      </c>
      <c r="B367" s="559" t="s">
        <v>1531</v>
      </c>
      <c r="C367" s="614" t="str">
        <f t="shared" si="49"/>
        <v>1.20.20.20.020.010.00.000</v>
      </c>
      <c r="D367" s="566"/>
      <c r="E367" s="564" t="str">
        <f>+Info!$B$3</f>
        <v>2020</v>
      </c>
      <c r="F367" s="607"/>
      <c r="G367" s="607"/>
      <c r="H367" s="607"/>
      <c r="I367" s="610"/>
      <c r="J367" s="610"/>
      <c r="K367" s="609">
        <f t="shared" si="50"/>
        <v>0</v>
      </c>
      <c r="L367" s="557"/>
      <c r="M367" s="557"/>
      <c r="N367" s="557"/>
    </row>
    <row r="368" spans="1:14" x14ac:dyDescent="0.25">
      <c r="A368" s="551" t="str">
        <f>+Info!$B$2</f>
        <v>724</v>
      </c>
      <c r="B368" s="559" t="s">
        <v>1531</v>
      </c>
      <c r="C368" s="614" t="str">
        <f t="shared" si="49"/>
        <v>1.20.20.20.020.010.00.000</v>
      </c>
      <c r="D368" s="566"/>
      <c r="E368" s="564" t="str">
        <f>+Info!$B$3</f>
        <v>2020</v>
      </c>
      <c r="F368" s="607"/>
      <c r="G368" s="607"/>
      <c r="H368" s="607"/>
      <c r="I368" s="610"/>
      <c r="J368" s="610"/>
      <c r="K368" s="609">
        <f t="shared" si="50"/>
        <v>0</v>
      </c>
      <c r="L368" s="557"/>
      <c r="M368" s="557"/>
      <c r="N368" s="557"/>
    </row>
    <row r="369" spans="1:32" x14ac:dyDescent="0.25">
      <c r="A369" s="551" t="str">
        <f>+Info!$B$2</f>
        <v>724</v>
      </c>
      <c r="B369" s="559" t="s">
        <v>1531</v>
      </c>
      <c r="C369" s="614" t="str">
        <f t="shared" si="49"/>
        <v>1.20.20.20.020.010.00.000</v>
      </c>
      <c r="D369" s="566"/>
      <c r="E369" s="564" t="str">
        <f>+Info!$B$3</f>
        <v>2020</v>
      </c>
      <c r="F369" s="607"/>
      <c r="G369" s="607"/>
      <c r="H369" s="607"/>
      <c r="I369" s="610"/>
      <c r="J369" s="610"/>
      <c r="K369" s="609">
        <f t="shared" si="50"/>
        <v>0</v>
      </c>
      <c r="L369" s="557"/>
      <c r="M369" s="557"/>
      <c r="N369" s="557"/>
    </row>
    <row r="370" spans="1:32" x14ac:dyDescent="0.25">
      <c r="A370" s="551" t="str">
        <f>+Info!$B$2</f>
        <v>724</v>
      </c>
      <c r="B370" s="559" t="s">
        <v>1531</v>
      </c>
      <c r="C370" s="614" t="str">
        <f t="shared" si="49"/>
        <v>1.20.20.20.020.010.00.000</v>
      </c>
      <c r="D370" s="566"/>
      <c r="E370" s="564" t="str">
        <f>+Info!$B$3</f>
        <v>2020</v>
      </c>
      <c r="F370" s="607"/>
      <c r="G370" s="607"/>
      <c r="H370" s="607"/>
      <c r="I370" s="610"/>
      <c r="J370" s="610"/>
      <c r="K370" s="609">
        <f t="shared" si="50"/>
        <v>0</v>
      </c>
      <c r="L370" s="557"/>
      <c r="M370" s="557"/>
      <c r="N370" s="557"/>
    </row>
    <row r="371" spans="1:32" x14ac:dyDescent="0.25">
      <c r="A371" s="551" t="str">
        <f>+Info!$B$2</f>
        <v>724</v>
      </c>
      <c r="B371" s="559" t="s">
        <v>1531</v>
      </c>
      <c r="C371" s="616" t="s">
        <v>1532</v>
      </c>
      <c r="D371" s="612" t="str">
        <f>IF(K371=E371,"Quadratura OK!","Squadratura con dati di bilancio!")</f>
        <v>Quadratura OK!</v>
      </c>
      <c r="E371" s="569">
        <f>SUMIF('NI-Ric_SP'!$C:$C,$C371,'NI-Ric_SP'!$Y:$Y)</f>
        <v>0</v>
      </c>
      <c r="F371" s="925" t="s">
        <v>4289</v>
      </c>
      <c r="G371" s="925"/>
      <c r="H371" s="613">
        <f>SUM(H349:H370)</f>
        <v>0</v>
      </c>
      <c r="I371" s="613">
        <f>SUM(I349:I370)</f>
        <v>0</v>
      </c>
      <c r="J371" s="613">
        <f>SUM(J349:J370)</f>
        <v>0</v>
      </c>
      <c r="K371" s="613">
        <f>SUM(K349:K370)</f>
        <v>0</v>
      </c>
      <c r="L371" s="557"/>
      <c r="M371" s="557"/>
      <c r="N371" s="557"/>
      <c r="AC371" s="551" t="str">
        <f>C371</f>
        <v>1.20.20.20.020.010.00.000</v>
      </c>
      <c r="AD371" s="553">
        <f>K371</f>
        <v>0</v>
      </c>
      <c r="AE371" s="553">
        <f>E371</f>
        <v>0</v>
      </c>
      <c r="AF371" s="551">
        <f>IF($AD371=$AE371,0,1)</f>
        <v>0</v>
      </c>
    </row>
    <row r="372" spans="1:32" ht="23.25" x14ac:dyDescent="0.25">
      <c r="A372" s="551" t="str">
        <f>+Info!$B$2</f>
        <v>724</v>
      </c>
      <c r="B372" s="559" t="s">
        <v>1537</v>
      </c>
      <c r="C372" s="614" t="str">
        <f t="shared" ref="C372:C393" si="51">$C$394</f>
        <v>1.20.20.20.020.020.00.000</v>
      </c>
      <c r="D372" s="615" t="s">
        <v>4293</v>
      </c>
      <c r="E372" s="606" t="str">
        <f>"Ante "&amp;Info!$B$3</f>
        <v>Ante 2020</v>
      </c>
      <c r="F372" s="607"/>
      <c r="G372" s="607"/>
      <c r="H372" s="608"/>
      <c r="I372" s="607"/>
      <c r="J372" s="608"/>
      <c r="K372" s="609">
        <f>+H372+J372</f>
        <v>0</v>
      </c>
      <c r="L372" s="557"/>
      <c r="M372" s="557"/>
      <c r="N372" s="557"/>
    </row>
    <row r="373" spans="1:32" x14ac:dyDescent="0.25">
      <c r="A373" s="551" t="str">
        <f>+Info!$B$2</f>
        <v>724</v>
      </c>
      <c r="B373" s="559" t="s">
        <v>1537</v>
      </c>
      <c r="C373" s="614" t="str">
        <f t="shared" si="51"/>
        <v>1.20.20.20.020.020.00.000</v>
      </c>
      <c r="D373" s="566"/>
      <c r="E373" s="564" t="str">
        <f>+Info!$B$3</f>
        <v>2020</v>
      </c>
      <c r="F373" s="607"/>
      <c r="G373" s="607"/>
      <c r="H373" s="607"/>
      <c r="I373" s="610"/>
      <c r="J373" s="610"/>
      <c r="K373" s="609">
        <f t="shared" ref="K373:K393" si="52">+I373+J373</f>
        <v>0</v>
      </c>
      <c r="L373" s="557"/>
      <c r="M373" s="557"/>
      <c r="N373" s="557"/>
    </row>
    <row r="374" spans="1:32" x14ac:dyDescent="0.25">
      <c r="A374" s="551" t="str">
        <f>+Info!$B$2</f>
        <v>724</v>
      </c>
      <c r="B374" s="559" t="s">
        <v>1537</v>
      </c>
      <c r="C374" s="614" t="str">
        <f t="shared" si="51"/>
        <v>1.20.20.20.020.020.00.000</v>
      </c>
      <c r="D374" s="566"/>
      <c r="E374" s="564" t="str">
        <f>+Info!$B$3</f>
        <v>2020</v>
      </c>
      <c r="F374" s="607"/>
      <c r="G374" s="607"/>
      <c r="H374" s="607"/>
      <c r="I374" s="610"/>
      <c r="J374" s="610"/>
      <c r="K374" s="609">
        <f t="shared" si="52"/>
        <v>0</v>
      </c>
      <c r="L374" s="557"/>
      <c r="M374" s="557"/>
      <c r="N374" s="557"/>
    </row>
    <row r="375" spans="1:32" x14ac:dyDescent="0.25">
      <c r="A375" s="551" t="str">
        <f>+Info!$B$2</f>
        <v>724</v>
      </c>
      <c r="B375" s="559" t="s">
        <v>1537</v>
      </c>
      <c r="C375" s="614" t="str">
        <f t="shared" si="51"/>
        <v>1.20.20.20.020.020.00.000</v>
      </c>
      <c r="D375" s="566"/>
      <c r="E375" s="564" t="str">
        <f>+Info!$B$3</f>
        <v>2020</v>
      </c>
      <c r="F375" s="607"/>
      <c r="G375" s="607"/>
      <c r="H375" s="607"/>
      <c r="I375" s="610"/>
      <c r="J375" s="610"/>
      <c r="K375" s="609">
        <f t="shared" si="52"/>
        <v>0</v>
      </c>
      <c r="L375" s="557"/>
      <c r="M375" s="557"/>
      <c r="N375" s="557"/>
    </row>
    <row r="376" spans="1:32" x14ac:dyDescent="0.25">
      <c r="A376" s="551" t="str">
        <f>+Info!$B$2</f>
        <v>724</v>
      </c>
      <c r="B376" s="559" t="s">
        <v>1537</v>
      </c>
      <c r="C376" s="614" t="str">
        <f t="shared" si="51"/>
        <v>1.20.20.20.020.020.00.000</v>
      </c>
      <c r="D376" s="566"/>
      <c r="E376" s="564" t="str">
        <f>+Info!$B$3</f>
        <v>2020</v>
      </c>
      <c r="F376" s="607"/>
      <c r="G376" s="607"/>
      <c r="H376" s="607"/>
      <c r="I376" s="610"/>
      <c r="J376" s="610"/>
      <c r="K376" s="609">
        <f t="shared" si="52"/>
        <v>0</v>
      </c>
      <c r="L376" s="557"/>
      <c r="M376" s="557"/>
      <c r="N376" s="557"/>
    </row>
    <row r="377" spans="1:32" x14ac:dyDescent="0.25">
      <c r="A377" s="551" t="str">
        <f>+Info!$B$2</f>
        <v>724</v>
      </c>
      <c r="B377" s="559" t="s">
        <v>1537</v>
      </c>
      <c r="C377" s="614" t="str">
        <f t="shared" si="51"/>
        <v>1.20.20.20.020.020.00.000</v>
      </c>
      <c r="D377" s="566"/>
      <c r="E377" s="564" t="str">
        <f>+Info!$B$3</f>
        <v>2020</v>
      </c>
      <c r="F377" s="607"/>
      <c r="G377" s="607"/>
      <c r="H377" s="607"/>
      <c r="I377" s="610"/>
      <c r="J377" s="610"/>
      <c r="K377" s="609">
        <f t="shared" si="52"/>
        <v>0</v>
      </c>
      <c r="L377" s="557"/>
      <c r="M377" s="557"/>
      <c r="N377" s="557"/>
    </row>
    <row r="378" spans="1:32" x14ac:dyDescent="0.25">
      <c r="A378" s="551" t="str">
        <f>+Info!$B$2</f>
        <v>724</v>
      </c>
      <c r="B378" s="559" t="s">
        <v>1537</v>
      </c>
      <c r="C378" s="614" t="str">
        <f t="shared" si="51"/>
        <v>1.20.20.20.020.020.00.000</v>
      </c>
      <c r="D378" s="566"/>
      <c r="E378" s="564" t="str">
        <f>+Info!$B$3</f>
        <v>2020</v>
      </c>
      <c r="F378" s="607"/>
      <c r="G378" s="607"/>
      <c r="H378" s="607"/>
      <c r="I378" s="610"/>
      <c r="J378" s="610"/>
      <c r="K378" s="609">
        <f t="shared" si="52"/>
        <v>0</v>
      </c>
      <c r="L378" s="557"/>
      <c r="M378" s="557"/>
      <c r="N378" s="557"/>
    </row>
    <row r="379" spans="1:32" x14ac:dyDescent="0.25">
      <c r="A379" s="551" t="str">
        <f>+Info!$B$2</f>
        <v>724</v>
      </c>
      <c r="B379" s="559" t="s">
        <v>1537</v>
      </c>
      <c r="C379" s="614" t="str">
        <f t="shared" si="51"/>
        <v>1.20.20.20.020.020.00.000</v>
      </c>
      <c r="D379" s="566"/>
      <c r="E379" s="564" t="str">
        <f>+Info!$B$3</f>
        <v>2020</v>
      </c>
      <c r="F379" s="607"/>
      <c r="G379" s="607"/>
      <c r="H379" s="607"/>
      <c r="I379" s="610"/>
      <c r="J379" s="610"/>
      <c r="K379" s="609">
        <f t="shared" si="52"/>
        <v>0</v>
      </c>
      <c r="L379" s="557"/>
      <c r="M379" s="557"/>
      <c r="N379" s="557"/>
    </row>
    <row r="380" spans="1:32" x14ac:dyDescent="0.25">
      <c r="A380" s="551" t="str">
        <f>+Info!$B$2</f>
        <v>724</v>
      </c>
      <c r="B380" s="559" t="s">
        <v>1537</v>
      </c>
      <c r="C380" s="614" t="str">
        <f t="shared" si="51"/>
        <v>1.20.20.20.020.020.00.000</v>
      </c>
      <c r="D380" s="566"/>
      <c r="E380" s="564" t="str">
        <f>+Info!$B$3</f>
        <v>2020</v>
      </c>
      <c r="F380" s="607"/>
      <c r="G380" s="607"/>
      <c r="H380" s="607"/>
      <c r="I380" s="610"/>
      <c r="J380" s="610"/>
      <c r="K380" s="609">
        <f t="shared" si="52"/>
        <v>0</v>
      </c>
      <c r="L380" s="557"/>
      <c r="M380" s="557"/>
      <c r="N380" s="557"/>
    </row>
    <row r="381" spans="1:32" x14ac:dyDescent="0.25">
      <c r="A381" s="551" t="str">
        <f>+Info!$B$2</f>
        <v>724</v>
      </c>
      <c r="B381" s="559" t="s">
        <v>1537</v>
      </c>
      <c r="C381" s="614" t="str">
        <f t="shared" si="51"/>
        <v>1.20.20.20.020.020.00.000</v>
      </c>
      <c r="D381" s="566"/>
      <c r="E381" s="564" t="str">
        <f>+Info!$B$3</f>
        <v>2020</v>
      </c>
      <c r="F381" s="607"/>
      <c r="G381" s="607"/>
      <c r="H381" s="607"/>
      <c r="I381" s="610"/>
      <c r="J381" s="610"/>
      <c r="K381" s="609">
        <f t="shared" si="52"/>
        <v>0</v>
      </c>
      <c r="L381" s="557"/>
      <c r="M381" s="557"/>
      <c r="N381" s="557"/>
    </row>
    <row r="382" spans="1:32" x14ac:dyDescent="0.25">
      <c r="A382" s="551" t="str">
        <f>+Info!$B$2</f>
        <v>724</v>
      </c>
      <c r="B382" s="559" t="s">
        <v>1537</v>
      </c>
      <c r="C382" s="614" t="str">
        <f t="shared" si="51"/>
        <v>1.20.20.20.020.020.00.000</v>
      </c>
      <c r="D382" s="566"/>
      <c r="E382" s="564" t="str">
        <f>+Info!$B$3</f>
        <v>2020</v>
      </c>
      <c r="F382" s="607"/>
      <c r="G382" s="607"/>
      <c r="H382" s="607"/>
      <c r="I382" s="610"/>
      <c r="J382" s="610"/>
      <c r="K382" s="609">
        <f t="shared" si="52"/>
        <v>0</v>
      </c>
      <c r="L382" s="557"/>
      <c r="M382" s="557"/>
      <c r="N382" s="557"/>
    </row>
    <row r="383" spans="1:32" x14ac:dyDescent="0.25">
      <c r="A383" s="551" t="str">
        <f>+Info!$B$2</f>
        <v>724</v>
      </c>
      <c r="B383" s="559" t="s">
        <v>1537</v>
      </c>
      <c r="C383" s="614" t="str">
        <f t="shared" si="51"/>
        <v>1.20.20.20.020.020.00.000</v>
      </c>
      <c r="D383" s="566"/>
      <c r="E383" s="564" t="str">
        <f>+Info!$B$3</f>
        <v>2020</v>
      </c>
      <c r="F383" s="607"/>
      <c r="G383" s="607"/>
      <c r="H383" s="607"/>
      <c r="I383" s="610"/>
      <c r="J383" s="610"/>
      <c r="K383" s="609">
        <f t="shared" si="52"/>
        <v>0</v>
      </c>
      <c r="L383" s="557"/>
      <c r="M383" s="557"/>
      <c r="N383" s="557"/>
    </row>
    <row r="384" spans="1:32" x14ac:dyDescent="0.25">
      <c r="A384" s="551" t="str">
        <f>+Info!$B$2</f>
        <v>724</v>
      </c>
      <c r="B384" s="559" t="s">
        <v>1537</v>
      </c>
      <c r="C384" s="614" t="str">
        <f t="shared" si="51"/>
        <v>1.20.20.20.020.020.00.000</v>
      </c>
      <c r="D384" s="566"/>
      <c r="E384" s="564" t="str">
        <f>+Info!$B$3</f>
        <v>2020</v>
      </c>
      <c r="F384" s="607"/>
      <c r="G384" s="607"/>
      <c r="H384" s="607"/>
      <c r="I384" s="610"/>
      <c r="J384" s="610"/>
      <c r="K384" s="609">
        <f t="shared" si="52"/>
        <v>0</v>
      </c>
      <c r="L384" s="557"/>
      <c r="M384" s="557"/>
      <c r="N384" s="557"/>
    </row>
    <row r="385" spans="1:32" x14ac:dyDescent="0.25">
      <c r="A385" s="551" t="str">
        <f>+Info!$B$2</f>
        <v>724</v>
      </c>
      <c r="B385" s="559" t="s">
        <v>1537</v>
      </c>
      <c r="C385" s="614" t="str">
        <f t="shared" si="51"/>
        <v>1.20.20.20.020.020.00.000</v>
      </c>
      <c r="D385" s="566"/>
      <c r="E385" s="564" t="str">
        <f>+Info!$B$3</f>
        <v>2020</v>
      </c>
      <c r="F385" s="607"/>
      <c r="G385" s="607"/>
      <c r="H385" s="607"/>
      <c r="I385" s="610"/>
      <c r="J385" s="610"/>
      <c r="K385" s="609">
        <f t="shared" si="52"/>
        <v>0</v>
      </c>
      <c r="L385" s="557"/>
      <c r="M385" s="557"/>
      <c r="N385" s="557"/>
    </row>
    <row r="386" spans="1:32" x14ac:dyDescent="0.25">
      <c r="A386" s="551" t="str">
        <f>+Info!$B$2</f>
        <v>724</v>
      </c>
      <c r="B386" s="559" t="s">
        <v>1537</v>
      </c>
      <c r="C386" s="614" t="str">
        <f t="shared" si="51"/>
        <v>1.20.20.20.020.020.00.000</v>
      </c>
      <c r="D386" s="566"/>
      <c r="E386" s="564" t="str">
        <f>+Info!$B$3</f>
        <v>2020</v>
      </c>
      <c r="F386" s="607"/>
      <c r="G386" s="607"/>
      <c r="H386" s="607"/>
      <c r="I386" s="610"/>
      <c r="J386" s="610"/>
      <c r="K386" s="609">
        <f t="shared" si="52"/>
        <v>0</v>
      </c>
      <c r="L386" s="557"/>
      <c r="M386" s="557"/>
      <c r="N386" s="557"/>
    </row>
    <row r="387" spans="1:32" x14ac:dyDescent="0.25">
      <c r="A387" s="551" t="str">
        <f>+Info!$B$2</f>
        <v>724</v>
      </c>
      <c r="B387" s="559" t="s">
        <v>1537</v>
      </c>
      <c r="C387" s="614" t="str">
        <f t="shared" si="51"/>
        <v>1.20.20.20.020.020.00.000</v>
      </c>
      <c r="D387" s="566"/>
      <c r="E387" s="564" t="str">
        <f>+Info!$B$3</f>
        <v>2020</v>
      </c>
      <c r="F387" s="607"/>
      <c r="G387" s="607"/>
      <c r="H387" s="607"/>
      <c r="I387" s="610"/>
      <c r="J387" s="610"/>
      <c r="K387" s="609">
        <f t="shared" si="52"/>
        <v>0</v>
      </c>
      <c r="L387" s="557"/>
      <c r="M387" s="557"/>
      <c r="N387" s="557"/>
    </row>
    <row r="388" spans="1:32" x14ac:dyDescent="0.25">
      <c r="A388" s="551" t="str">
        <f>+Info!$B$2</f>
        <v>724</v>
      </c>
      <c r="B388" s="559" t="s">
        <v>1537</v>
      </c>
      <c r="C388" s="614" t="str">
        <f t="shared" si="51"/>
        <v>1.20.20.20.020.020.00.000</v>
      </c>
      <c r="D388" s="566"/>
      <c r="E388" s="564" t="str">
        <f>+Info!$B$3</f>
        <v>2020</v>
      </c>
      <c r="F388" s="607"/>
      <c r="G388" s="607"/>
      <c r="H388" s="607"/>
      <c r="I388" s="610"/>
      <c r="J388" s="610"/>
      <c r="K388" s="609">
        <f t="shared" si="52"/>
        <v>0</v>
      </c>
      <c r="L388" s="557"/>
      <c r="M388" s="557"/>
      <c r="N388" s="557"/>
    </row>
    <row r="389" spans="1:32" x14ac:dyDescent="0.25">
      <c r="A389" s="551" t="str">
        <f>+Info!$B$2</f>
        <v>724</v>
      </c>
      <c r="B389" s="559" t="s">
        <v>1537</v>
      </c>
      <c r="C389" s="614" t="str">
        <f t="shared" si="51"/>
        <v>1.20.20.20.020.020.00.000</v>
      </c>
      <c r="D389" s="566"/>
      <c r="E389" s="564" t="str">
        <f>+Info!$B$3</f>
        <v>2020</v>
      </c>
      <c r="F389" s="607"/>
      <c r="G389" s="607"/>
      <c r="H389" s="607"/>
      <c r="I389" s="610"/>
      <c r="J389" s="610"/>
      <c r="K389" s="609">
        <f t="shared" si="52"/>
        <v>0</v>
      </c>
      <c r="L389" s="557"/>
      <c r="M389" s="557"/>
      <c r="N389" s="557"/>
    </row>
    <row r="390" spans="1:32" x14ac:dyDescent="0.25">
      <c r="A390" s="551" t="str">
        <f>+Info!$B$2</f>
        <v>724</v>
      </c>
      <c r="B390" s="559" t="s">
        <v>1537</v>
      </c>
      <c r="C390" s="614" t="str">
        <f t="shared" si="51"/>
        <v>1.20.20.20.020.020.00.000</v>
      </c>
      <c r="D390" s="566"/>
      <c r="E390" s="564" t="str">
        <f>+Info!$B$3</f>
        <v>2020</v>
      </c>
      <c r="F390" s="607"/>
      <c r="G390" s="607"/>
      <c r="H390" s="607"/>
      <c r="I390" s="610"/>
      <c r="J390" s="610"/>
      <c r="K390" s="609">
        <f t="shared" si="52"/>
        <v>0</v>
      </c>
      <c r="L390" s="557"/>
      <c r="M390" s="557"/>
      <c r="N390" s="557"/>
    </row>
    <row r="391" spans="1:32" x14ac:dyDescent="0.25">
      <c r="A391" s="551" t="str">
        <f>+Info!$B$2</f>
        <v>724</v>
      </c>
      <c r="B391" s="559" t="s">
        <v>1537</v>
      </c>
      <c r="C391" s="614" t="str">
        <f t="shared" si="51"/>
        <v>1.20.20.20.020.020.00.000</v>
      </c>
      <c r="D391" s="566"/>
      <c r="E391" s="564" t="str">
        <f>+Info!$B$3</f>
        <v>2020</v>
      </c>
      <c r="F391" s="607"/>
      <c r="G391" s="607"/>
      <c r="H391" s="607"/>
      <c r="I391" s="610"/>
      <c r="J391" s="610"/>
      <c r="K391" s="609">
        <f t="shared" si="52"/>
        <v>0</v>
      </c>
      <c r="L391" s="557"/>
      <c r="M391" s="557"/>
      <c r="N391" s="557"/>
    </row>
    <row r="392" spans="1:32" x14ac:dyDescent="0.25">
      <c r="A392" s="551" t="str">
        <f>+Info!$B$2</f>
        <v>724</v>
      </c>
      <c r="B392" s="559" t="s">
        <v>1537</v>
      </c>
      <c r="C392" s="614" t="str">
        <f t="shared" si="51"/>
        <v>1.20.20.20.020.020.00.000</v>
      </c>
      <c r="D392" s="566"/>
      <c r="E392" s="564" t="str">
        <f>+Info!$B$3</f>
        <v>2020</v>
      </c>
      <c r="F392" s="607"/>
      <c r="G392" s="607"/>
      <c r="H392" s="607"/>
      <c r="I392" s="610"/>
      <c r="J392" s="610"/>
      <c r="K392" s="609">
        <f t="shared" si="52"/>
        <v>0</v>
      </c>
      <c r="L392" s="557"/>
      <c r="M392" s="557"/>
      <c r="N392" s="557"/>
    </row>
    <row r="393" spans="1:32" x14ac:dyDescent="0.25">
      <c r="A393" s="551" t="str">
        <f>+Info!$B$2</f>
        <v>724</v>
      </c>
      <c r="B393" s="559" t="s">
        <v>1537</v>
      </c>
      <c r="C393" s="614" t="str">
        <f t="shared" si="51"/>
        <v>1.20.20.20.020.020.00.000</v>
      </c>
      <c r="D393" s="566"/>
      <c r="E393" s="564" t="str">
        <f>+Info!$B$3</f>
        <v>2020</v>
      </c>
      <c r="F393" s="607"/>
      <c r="G393" s="607"/>
      <c r="H393" s="607"/>
      <c r="I393" s="610"/>
      <c r="J393" s="610"/>
      <c r="K393" s="609">
        <f t="shared" si="52"/>
        <v>0</v>
      </c>
      <c r="L393" s="557"/>
      <c r="M393" s="557"/>
      <c r="N393" s="557"/>
    </row>
    <row r="394" spans="1:32" x14ac:dyDescent="0.25">
      <c r="A394" s="551" t="str">
        <f>+Info!$B$2</f>
        <v>724</v>
      </c>
      <c r="B394" s="559" t="s">
        <v>1537</v>
      </c>
      <c r="C394" s="616" t="s">
        <v>1538</v>
      </c>
      <c r="D394" s="612" t="str">
        <f>IF(K394=E394,"Quadratura OK!","Squadratura con dati di bilancio!")</f>
        <v>Quadratura OK!</v>
      </c>
      <c r="E394" s="569">
        <f>SUMIF('NI-Ric_SP'!$C:$C,$C394,'NI-Ric_SP'!$Y:$Y)</f>
        <v>0</v>
      </c>
      <c r="F394" s="925" t="s">
        <v>4289</v>
      </c>
      <c r="G394" s="925"/>
      <c r="H394" s="613">
        <f>SUM(H372:H393)</f>
        <v>0</v>
      </c>
      <c r="I394" s="613">
        <f>SUM(I372:I393)</f>
        <v>0</v>
      </c>
      <c r="J394" s="613">
        <f>SUM(J372:J393)</f>
        <v>0</v>
      </c>
      <c r="K394" s="613">
        <f>SUM(K372:K393)</f>
        <v>0</v>
      </c>
      <c r="L394" s="557"/>
      <c r="M394" s="557"/>
      <c r="N394" s="557"/>
      <c r="AC394" s="551" t="str">
        <f>C394</f>
        <v>1.20.20.20.020.020.00.000</v>
      </c>
      <c r="AD394" s="553">
        <f>K394</f>
        <v>0</v>
      </c>
      <c r="AE394" s="553">
        <f>E394</f>
        <v>0</v>
      </c>
      <c r="AF394" s="551">
        <f>IF($AD394=$AE394,0,1)</f>
        <v>0</v>
      </c>
    </row>
    <row r="395" spans="1:32" ht="23.25" x14ac:dyDescent="0.25">
      <c r="A395" s="551" t="str">
        <f>+Info!$B$2</f>
        <v>724</v>
      </c>
      <c r="B395" s="559" t="s">
        <v>1543</v>
      </c>
      <c r="C395" s="614" t="str">
        <f t="shared" ref="C395:C407" si="53">$C$408</f>
        <v>1.20.20.20.020.030.00.000</v>
      </c>
      <c r="D395" s="615" t="s">
        <v>4294</v>
      </c>
      <c r="E395" s="606" t="str">
        <f>"Ante "&amp;Info!$B$3</f>
        <v>Ante 2020</v>
      </c>
      <c r="F395" s="607"/>
      <c r="G395" s="607"/>
      <c r="H395" s="593"/>
      <c r="I395" s="607"/>
      <c r="J395" s="608"/>
      <c r="K395" s="609">
        <f>+H395+J395</f>
        <v>0</v>
      </c>
      <c r="L395" s="557"/>
      <c r="M395" s="557"/>
      <c r="N395" s="557"/>
    </row>
    <row r="396" spans="1:32" x14ac:dyDescent="0.25">
      <c r="A396" s="551" t="str">
        <f>+Info!$B$2</f>
        <v>724</v>
      </c>
      <c r="B396" s="559" t="s">
        <v>1543</v>
      </c>
      <c r="C396" s="614" t="str">
        <f t="shared" si="53"/>
        <v>1.20.20.20.020.030.00.000</v>
      </c>
      <c r="D396" s="566"/>
      <c r="E396" s="564" t="str">
        <f>+Info!$B$3</f>
        <v>2020</v>
      </c>
      <c r="F396" s="607"/>
      <c r="G396" s="607"/>
      <c r="H396" s="607"/>
      <c r="I396" s="610"/>
      <c r="J396" s="610"/>
      <c r="K396" s="609">
        <f t="shared" ref="K396:K407" si="54">+I396+J396</f>
        <v>0</v>
      </c>
      <c r="L396" s="557"/>
      <c r="M396" s="557"/>
      <c r="N396" s="557"/>
    </row>
    <row r="397" spans="1:32" x14ac:dyDescent="0.25">
      <c r="A397" s="551" t="str">
        <f>+Info!$B$2</f>
        <v>724</v>
      </c>
      <c r="B397" s="559" t="s">
        <v>1543</v>
      </c>
      <c r="C397" s="614" t="str">
        <f t="shared" si="53"/>
        <v>1.20.20.20.020.030.00.000</v>
      </c>
      <c r="D397" s="566"/>
      <c r="E397" s="564" t="str">
        <f>+Info!$B$3</f>
        <v>2020</v>
      </c>
      <c r="F397" s="607"/>
      <c r="G397" s="607"/>
      <c r="H397" s="607"/>
      <c r="I397" s="610"/>
      <c r="J397" s="610"/>
      <c r="K397" s="609">
        <f t="shared" si="54"/>
        <v>0</v>
      </c>
      <c r="L397" s="557"/>
      <c r="M397" s="557"/>
      <c r="N397" s="557"/>
    </row>
    <row r="398" spans="1:32" x14ac:dyDescent="0.25">
      <c r="A398" s="551" t="str">
        <f>+Info!$B$2</f>
        <v>724</v>
      </c>
      <c r="B398" s="559" t="s">
        <v>1543</v>
      </c>
      <c r="C398" s="614" t="str">
        <f t="shared" si="53"/>
        <v>1.20.20.20.020.030.00.000</v>
      </c>
      <c r="D398" s="566"/>
      <c r="E398" s="564" t="str">
        <f>+Info!$B$3</f>
        <v>2020</v>
      </c>
      <c r="F398" s="607"/>
      <c r="G398" s="607"/>
      <c r="H398" s="607"/>
      <c r="I398" s="610"/>
      <c r="J398" s="610"/>
      <c r="K398" s="609">
        <f t="shared" si="54"/>
        <v>0</v>
      </c>
      <c r="L398" s="557"/>
      <c r="M398" s="557"/>
      <c r="N398" s="557"/>
    </row>
    <row r="399" spans="1:32" x14ac:dyDescent="0.25">
      <c r="A399" s="551" t="str">
        <f>+Info!$B$2</f>
        <v>724</v>
      </c>
      <c r="B399" s="559" t="s">
        <v>1543</v>
      </c>
      <c r="C399" s="614" t="str">
        <f t="shared" si="53"/>
        <v>1.20.20.20.020.030.00.000</v>
      </c>
      <c r="D399" s="566"/>
      <c r="E399" s="564" t="str">
        <f>+Info!$B$3</f>
        <v>2020</v>
      </c>
      <c r="F399" s="607"/>
      <c r="G399" s="607"/>
      <c r="H399" s="607"/>
      <c r="I399" s="610"/>
      <c r="J399" s="610"/>
      <c r="K399" s="609">
        <f t="shared" si="54"/>
        <v>0</v>
      </c>
      <c r="L399" s="557"/>
      <c r="M399" s="557"/>
      <c r="N399" s="557"/>
    </row>
    <row r="400" spans="1:32" x14ac:dyDescent="0.25">
      <c r="A400" s="551" t="str">
        <f>+Info!$B$2</f>
        <v>724</v>
      </c>
      <c r="B400" s="559" t="s">
        <v>1543</v>
      </c>
      <c r="C400" s="614" t="str">
        <f t="shared" si="53"/>
        <v>1.20.20.20.020.030.00.000</v>
      </c>
      <c r="D400" s="566"/>
      <c r="E400" s="564" t="str">
        <f>+Info!$B$3</f>
        <v>2020</v>
      </c>
      <c r="F400" s="607"/>
      <c r="G400" s="607"/>
      <c r="H400" s="607"/>
      <c r="I400" s="610"/>
      <c r="J400" s="610"/>
      <c r="K400" s="609">
        <f t="shared" si="54"/>
        <v>0</v>
      </c>
      <c r="L400" s="557"/>
      <c r="M400" s="557"/>
      <c r="N400" s="557"/>
    </row>
    <row r="401" spans="1:32" x14ac:dyDescent="0.25">
      <c r="A401" s="551" t="str">
        <f>+Info!$B$2</f>
        <v>724</v>
      </c>
      <c r="B401" s="559" t="s">
        <v>1543</v>
      </c>
      <c r="C401" s="614" t="str">
        <f t="shared" si="53"/>
        <v>1.20.20.20.020.030.00.000</v>
      </c>
      <c r="D401" s="566"/>
      <c r="E401" s="564" t="str">
        <f>+Info!$B$3</f>
        <v>2020</v>
      </c>
      <c r="F401" s="607"/>
      <c r="G401" s="607"/>
      <c r="H401" s="607"/>
      <c r="I401" s="610"/>
      <c r="J401" s="610"/>
      <c r="K401" s="609">
        <f t="shared" si="54"/>
        <v>0</v>
      </c>
      <c r="L401" s="557"/>
      <c r="M401" s="557"/>
      <c r="N401" s="557"/>
    </row>
    <row r="402" spans="1:32" x14ac:dyDescent="0.25">
      <c r="A402" s="551" t="str">
        <f>+Info!$B$2</f>
        <v>724</v>
      </c>
      <c r="B402" s="559" t="s">
        <v>1543</v>
      </c>
      <c r="C402" s="614" t="str">
        <f t="shared" si="53"/>
        <v>1.20.20.20.020.030.00.000</v>
      </c>
      <c r="D402" s="566"/>
      <c r="E402" s="564" t="str">
        <f>+Info!$B$3</f>
        <v>2020</v>
      </c>
      <c r="F402" s="607"/>
      <c r="G402" s="607"/>
      <c r="H402" s="607"/>
      <c r="I402" s="610"/>
      <c r="J402" s="610"/>
      <c r="K402" s="609">
        <f t="shared" si="54"/>
        <v>0</v>
      </c>
      <c r="L402" s="557"/>
      <c r="M402" s="557"/>
      <c r="N402" s="557"/>
    </row>
    <row r="403" spans="1:32" x14ac:dyDescent="0.25">
      <c r="A403" s="551" t="str">
        <f>+Info!$B$2</f>
        <v>724</v>
      </c>
      <c r="B403" s="559" t="s">
        <v>1543</v>
      </c>
      <c r="C403" s="614" t="str">
        <f t="shared" si="53"/>
        <v>1.20.20.20.020.030.00.000</v>
      </c>
      <c r="D403" s="566"/>
      <c r="E403" s="564" t="str">
        <f>+Info!$B$3</f>
        <v>2020</v>
      </c>
      <c r="F403" s="607"/>
      <c r="G403" s="607"/>
      <c r="H403" s="607"/>
      <c r="I403" s="610"/>
      <c r="J403" s="610"/>
      <c r="K403" s="609">
        <f t="shared" si="54"/>
        <v>0</v>
      </c>
      <c r="L403" s="557"/>
      <c r="M403" s="557"/>
      <c r="N403" s="557"/>
    </row>
    <row r="404" spans="1:32" x14ac:dyDescent="0.25">
      <c r="A404" s="551" t="str">
        <f>+Info!$B$2</f>
        <v>724</v>
      </c>
      <c r="B404" s="559" t="s">
        <v>1543</v>
      </c>
      <c r="C404" s="614" t="str">
        <f t="shared" si="53"/>
        <v>1.20.20.20.020.030.00.000</v>
      </c>
      <c r="D404" s="566"/>
      <c r="E404" s="564" t="str">
        <f>+Info!$B$3</f>
        <v>2020</v>
      </c>
      <c r="F404" s="607"/>
      <c r="G404" s="607"/>
      <c r="H404" s="607"/>
      <c r="I404" s="610"/>
      <c r="J404" s="610"/>
      <c r="K404" s="609">
        <f t="shared" si="54"/>
        <v>0</v>
      </c>
      <c r="L404" s="557"/>
      <c r="M404" s="557"/>
      <c r="N404" s="557"/>
    </row>
    <row r="405" spans="1:32" x14ac:dyDescent="0.25">
      <c r="A405" s="551" t="str">
        <f>+Info!$B$2</f>
        <v>724</v>
      </c>
      <c r="B405" s="559" t="s">
        <v>1543</v>
      </c>
      <c r="C405" s="614" t="str">
        <f t="shared" si="53"/>
        <v>1.20.20.20.020.030.00.000</v>
      </c>
      <c r="D405" s="566"/>
      <c r="E405" s="564" t="str">
        <f>+Info!$B$3</f>
        <v>2020</v>
      </c>
      <c r="F405" s="607"/>
      <c r="G405" s="607"/>
      <c r="H405" s="607"/>
      <c r="I405" s="610"/>
      <c r="J405" s="610"/>
      <c r="K405" s="609">
        <f t="shared" si="54"/>
        <v>0</v>
      </c>
      <c r="L405" s="557"/>
      <c r="M405" s="557"/>
      <c r="N405" s="557"/>
    </row>
    <row r="406" spans="1:32" x14ac:dyDescent="0.25">
      <c r="A406" s="551" t="str">
        <f>+Info!$B$2</f>
        <v>724</v>
      </c>
      <c r="B406" s="559" t="s">
        <v>1543</v>
      </c>
      <c r="C406" s="614" t="str">
        <f t="shared" si="53"/>
        <v>1.20.20.20.020.030.00.000</v>
      </c>
      <c r="D406" s="566"/>
      <c r="E406" s="564" t="str">
        <f>+Info!$B$3</f>
        <v>2020</v>
      </c>
      <c r="F406" s="607"/>
      <c r="G406" s="607"/>
      <c r="H406" s="607"/>
      <c r="I406" s="610"/>
      <c r="J406" s="610"/>
      <c r="K406" s="609">
        <f t="shared" si="54"/>
        <v>0</v>
      </c>
      <c r="L406" s="557"/>
      <c r="M406" s="557"/>
      <c r="N406" s="557"/>
    </row>
    <row r="407" spans="1:32" x14ac:dyDescent="0.25">
      <c r="A407" s="551" t="str">
        <f>+Info!$B$2</f>
        <v>724</v>
      </c>
      <c r="B407" s="559" t="s">
        <v>1543</v>
      </c>
      <c r="C407" s="614" t="str">
        <f t="shared" si="53"/>
        <v>1.20.20.20.020.030.00.000</v>
      </c>
      <c r="D407" s="566"/>
      <c r="E407" s="564" t="str">
        <f>+Info!$B$3</f>
        <v>2020</v>
      </c>
      <c r="F407" s="607"/>
      <c r="G407" s="607"/>
      <c r="H407" s="607"/>
      <c r="I407" s="610"/>
      <c r="J407" s="610"/>
      <c r="K407" s="609">
        <f t="shared" si="54"/>
        <v>0</v>
      </c>
      <c r="L407" s="557"/>
      <c r="M407" s="557"/>
      <c r="N407" s="557"/>
    </row>
    <row r="408" spans="1:32" x14ac:dyDescent="0.25">
      <c r="A408" s="551" t="str">
        <f>+Info!$B$2</f>
        <v>724</v>
      </c>
      <c r="B408" s="559" t="s">
        <v>1543</v>
      </c>
      <c r="C408" s="616" t="s">
        <v>1544</v>
      </c>
      <c r="D408" s="612" t="str">
        <f>IF(K408=E408,"Quadratura OK!","Squadratura con dati di bilancio!")</f>
        <v>Quadratura OK!</v>
      </c>
      <c r="E408" s="569">
        <f>SUMIF('NI-Ric_SP'!$C:$C,$C408,'NI-Ric_SP'!$Y:$Y)</f>
        <v>0</v>
      </c>
      <c r="F408" s="925" t="s">
        <v>4289</v>
      </c>
      <c r="G408" s="925"/>
      <c r="H408" s="613">
        <f>SUM(H395:H407)</f>
        <v>0</v>
      </c>
      <c r="I408" s="613">
        <f>SUM(I395:I407)</f>
        <v>0</v>
      </c>
      <c r="J408" s="613">
        <f>SUM(J395:J407)</f>
        <v>0</v>
      </c>
      <c r="K408" s="613">
        <f>SUM(K395:K407)</f>
        <v>0</v>
      </c>
      <c r="L408" s="557"/>
      <c r="M408" s="557"/>
      <c r="N408" s="557"/>
      <c r="AC408" s="551" t="str">
        <f>C408</f>
        <v>1.20.20.20.020.030.00.000</v>
      </c>
      <c r="AD408" s="553">
        <f>K408</f>
        <v>0</v>
      </c>
      <c r="AE408" s="553">
        <f>E408</f>
        <v>0</v>
      </c>
      <c r="AF408" s="551">
        <f>IF($AD408=$AE408,0,1)</f>
        <v>0</v>
      </c>
    </row>
    <row r="409" spans="1:32" x14ac:dyDescent="0.25">
      <c r="A409" s="551" t="str">
        <f>+Info!$B$2</f>
        <v>724</v>
      </c>
      <c r="B409" s="559" t="s">
        <v>1554</v>
      </c>
      <c r="C409" s="614" t="str">
        <f t="shared" ref="C409:C421" si="55">$C$422</f>
        <v>1.20.20.20.020.040.00.000</v>
      </c>
      <c r="D409" s="617" t="s">
        <v>4295</v>
      </c>
      <c r="E409" s="606" t="str">
        <f>"Ante "&amp;Info!$B$3</f>
        <v>Ante 2020</v>
      </c>
      <c r="F409" s="607"/>
      <c r="G409" s="607"/>
      <c r="H409" s="608"/>
      <c r="I409" s="607"/>
      <c r="J409" s="608"/>
      <c r="K409" s="609">
        <f>+H409+J409</f>
        <v>0</v>
      </c>
      <c r="L409" s="557"/>
      <c r="M409" s="557"/>
      <c r="N409" s="557"/>
    </row>
    <row r="410" spans="1:32" x14ac:dyDescent="0.25">
      <c r="A410" s="551" t="str">
        <f>+Info!$B$2</f>
        <v>724</v>
      </c>
      <c r="B410" s="559" t="s">
        <v>1554</v>
      </c>
      <c r="C410" s="614" t="str">
        <f t="shared" si="55"/>
        <v>1.20.20.20.020.040.00.000</v>
      </c>
      <c r="D410" s="566"/>
      <c r="E410" s="564" t="str">
        <f>+Info!$B$3</f>
        <v>2020</v>
      </c>
      <c r="F410" s="607"/>
      <c r="G410" s="607"/>
      <c r="H410" s="607"/>
      <c r="I410" s="610"/>
      <c r="J410" s="610"/>
      <c r="K410" s="609">
        <f t="shared" ref="K410:K421" si="56">+I410+J410</f>
        <v>0</v>
      </c>
      <c r="L410" s="557"/>
      <c r="M410" s="557"/>
      <c r="N410" s="557"/>
    </row>
    <row r="411" spans="1:32" x14ac:dyDescent="0.25">
      <c r="A411" s="551" t="str">
        <f>+Info!$B$2</f>
        <v>724</v>
      </c>
      <c r="B411" s="559" t="s">
        <v>1554</v>
      </c>
      <c r="C411" s="614" t="str">
        <f t="shared" si="55"/>
        <v>1.20.20.20.020.040.00.000</v>
      </c>
      <c r="D411" s="566"/>
      <c r="E411" s="564" t="str">
        <f>+Info!$B$3</f>
        <v>2020</v>
      </c>
      <c r="F411" s="607"/>
      <c r="G411" s="607"/>
      <c r="H411" s="607"/>
      <c r="I411" s="610"/>
      <c r="J411" s="610"/>
      <c r="K411" s="609">
        <f t="shared" si="56"/>
        <v>0</v>
      </c>
      <c r="L411" s="557"/>
      <c r="M411" s="557"/>
      <c r="N411" s="557"/>
    </row>
    <row r="412" spans="1:32" x14ac:dyDescent="0.25">
      <c r="A412" s="551" t="str">
        <f>+Info!$B$2</f>
        <v>724</v>
      </c>
      <c r="B412" s="559" t="s">
        <v>1554</v>
      </c>
      <c r="C412" s="614" t="str">
        <f t="shared" si="55"/>
        <v>1.20.20.20.020.040.00.000</v>
      </c>
      <c r="D412" s="566"/>
      <c r="E412" s="564" t="str">
        <f>+Info!$B$3</f>
        <v>2020</v>
      </c>
      <c r="F412" s="607"/>
      <c r="G412" s="607"/>
      <c r="H412" s="607"/>
      <c r="I412" s="610"/>
      <c r="J412" s="610"/>
      <c r="K412" s="609">
        <f t="shared" si="56"/>
        <v>0</v>
      </c>
      <c r="L412" s="557"/>
      <c r="M412" s="557"/>
      <c r="N412" s="557"/>
    </row>
    <row r="413" spans="1:32" x14ac:dyDescent="0.25">
      <c r="A413" s="551" t="str">
        <f>+Info!$B$2</f>
        <v>724</v>
      </c>
      <c r="B413" s="559" t="s">
        <v>1554</v>
      </c>
      <c r="C413" s="614" t="str">
        <f t="shared" si="55"/>
        <v>1.20.20.20.020.040.00.000</v>
      </c>
      <c r="D413" s="566"/>
      <c r="E413" s="564" t="str">
        <f>+Info!$B$3</f>
        <v>2020</v>
      </c>
      <c r="F413" s="607"/>
      <c r="G413" s="607"/>
      <c r="H413" s="607"/>
      <c r="I413" s="610"/>
      <c r="J413" s="610"/>
      <c r="K413" s="609">
        <f t="shared" si="56"/>
        <v>0</v>
      </c>
      <c r="L413" s="557"/>
      <c r="M413" s="557"/>
      <c r="N413" s="557"/>
    </row>
    <row r="414" spans="1:32" x14ac:dyDescent="0.25">
      <c r="A414" s="551" t="str">
        <f>+Info!$B$2</f>
        <v>724</v>
      </c>
      <c r="B414" s="559" t="s">
        <v>1554</v>
      </c>
      <c r="C414" s="614" t="str">
        <f t="shared" si="55"/>
        <v>1.20.20.20.020.040.00.000</v>
      </c>
      <c r="D414" s="566"/>
      <c r="E414" s="564" t="str">
        <f>+Info!$B$3</f>
        <v>2020</v>
      </c>
      <c r="F414" s="607"/>
      <c r="G414" s="607"/>
      <c r="H414" s="607"/>
      <c r="I414" s="610"/>
      <c r="J414" s="610"/>
      <c r="K414" s="609">
        <f t="shared" si="56"/>
        <v>0</v>
      </c>
      <c r="L414" s="557"/>
      <c r="M414" s="557"/>
      <c r="N414" s="557"/>
    </row>
    <row r="415" spans="1:32" x14ac:dyDescent="0.25">
      <c r="A415" s="551" t="str">
        <f>+Info!$B$2</f>
        <v>724</v>
      </c>
      <c r="B415" s="559" t="s">
        <v>1554</v>
      </c>
      <c r="C415" s="614" t="str">
        <f t="shared" si="55"/>
        <v>1.20.20.20.020.040.00.000</v>
      </c>
      <c r="D415" s="566"/>
      <c r="E415" s="564" t="str">
        <f>+Info!$B$3</f>
        <v>2020</v>
      </c>
      <c r="F415" s="607"/>
      <c r="G415" s="607"/>
      <c r="H415" s="607"/>
      <c r="I415" s="610"/>
      <c r="J415" s="610"/>
      <c r="K415" s="609">
        <f t="shared" si="56"/>
        <v>0</v>
      </c>
      <c r="L415" s="557"/>
      <c r="M415" s="557"/>
      <c r="N415" s="557"/>
    </row>
    <row r="416" spans="1:32" x14ac:dyDescent="0.25">
      <c r="A416" s="551" t="str">
        <f>+Info!$B$2</f>
        <v>724</v>
      </c>
      <c r="B416" s="559" t="s">
        <v>1554</v>
      </c>
      <c r="C416" s="614" t="str">
        <f t="shared" si="55"/>
        <v>1.20.20.20.020.040.00.000</v>
      </c>
      <c r="D416" s="566"/>
      <c r="E416" s="564" t="str">
        <f>+Info!$B$3</f>
        <v>2020</v>
      </c>
      <c r="F416" s="607"/>
      <c r="G416" s="607"/>
      <c r="H416" s="607"/>
      <c r="I416" s="610"/>
      <c r="J416" s="610"/>
      <c r="K416" s="609">
        <f t="shared" si="56"/>
        <v>0</v>
      </c>
      <c r="L416" s="557"/>
      <c r="M416" s="557"/>
      <c r="N416" s="557"/>
    </row>
    <row r="417" spans="1:32" x14ac:dyDescent="0.25">
      <c r="A417" s="551" t="str">
        <f>+Info!$B$2</f>
        <v>724</v>
      </c>
      <c r="B417" s="559" t="s">
        <v>1554</v>
      </c>
      <c r="C417" s="614" t="str">
        <f t="shared" si="55"/>
        <v>1.20.20.20.020.040.00.000</v>
      </c>
      <c r="D417" s="566"/>
      <c r="E417" s="564" t="str">
        <f>+Info!$B$3</f>
        <v>2020</v>
      </c>
      <c r="F417" s="607"/>
      <c r="G417" s="607"/>
      <c r="H417" s="607"/>
      <c r="I417" s="610"/>
      <c r="J417" s="610"/>
      <c r="K417" s="609">
        <f t="shared" si="56"/>
        <v>0</v>
      </c>
      <c r="L417" s="557"/>
      <c r="M417" s="557"/>
      <c r="N417" s="557"/>
    </row>
    <row r="418" spans="1:32" x14ac:dyDescent="0.25">
      <c r="A418" s="551" t="str">
        <f>+Info!$B$2</f>
        <v>724</v>
      </c>
      <c r="B418" s="559" t="s">
        <v>1554</v>
      </c>
      <c r="C418" s="614" t="str">
        <f t="shared" si="55"/>
        <v>1.20.20.20.020.040.00.000</v>
      </c>
      <c r="D418" s="566"/>
      <c r="E418" s="564" t="str">
        <f>+Info!$B$3</f>
        <v>2020</v>
      </c>
      <c r="F418" s="607"/>
      <c r="G418" s="607"/>
      <c r="H418" s="607"/>
      <c r="I418" s="610"/>
      <c r="J418" s="610"/>
      <c r="K418" s="609">
        <f t="shared" si="56"/>
        <v>0</v>
      </c>
      <c r="L418" s="557"/>
      <c r="M418" s="557"/>
      <c r="N418" s="557"/>
    </row>
    <row r="419" spans="1:32" x14ac:dyDescent="0.25">
      <c r="A419" s="551" t="str">
        <f>+Info!$B$2</f>
        <v>724</v>
      </c>
      <c r="B419" s="559" t="s">
        <v>1554</v>
      </c>
      <c r="C419" s="614" t="str">
        <f t="shared" si="55"/>
        <v>1.20.20.20.020.040.00.000</v>
      </c>
      <c r="D419" s="566"/>
      <c r="E419" s="564" t="str">
        <f>+Info!$B$3</f>
        <v>2020</v>
      </c>
      <c r="F419" s="607"/>
      <c r="G419" s="607"/>
      <c r="H419" s="607"/>
      <c r="I419" s="610"/>
      <c r="J419" s="610"/>
      <c r="K419" s="609">
        <f t="shared" si="56"/>
        <v>0</v>
      </c>
      <c r="L419" s="557"/>
      <c r="M419" s="557"/>
      <c r="N419" s="557"/>
    </row>
    <row r="420" spans="1:32" x14ac:dyDescent="0.25">
      <c r="A420" s="551" t="str">
        <f>+Info!$B$2</f>
        <v>724</v>
      </c>
      <c r="B420" s="559" t="s">
        <v>1554</v>
      </c>
      <c r="C420" s="614" t="str">
        <f t="shared" si="55"/>
        <v>1.20.20.20.020.040.00.000</v>
      </c>
      <c r="D420" s="566"/>
      <c r="E420" s="564" t="str">
        <f>+Info!$B$3</f>
        <v>2020</v>
      </c>
      <c r="F420" s="607"/>
      <c r="G420" s="607"/>
      <c r="H420" s="607"/>
      <c r="I420" s="610"/>
      <c r="J420" s="610"/>
      <c r="K420" s="609">
        <f t="shared" si="56"/>
        <v>0</v>
      </c>
      <c r="L420" s="557"/>
      <c r="M420" s="557"/>
      <c r="N420" s="557"/>
    </row>
    <row r="421" spans="1:32" x14ac:dyDescent="0.25">
      <c r="A421" s="551" t="str">
        <f>+Info!$B$2</f>
        <v>724</v>
      </c>
      <c r="B421" s="559" t="s">
        <v>1554</v>
      </c>
      <c r="C421" s="614" t="str">
        <f t="shared" si="55"/>
        <v>1.20.20.20.020.040.00.000</v>
      </c>
      <c r="D421" s="566"/>
      <c r="E421" s="564" t="str">
        <f>+Info!$B$3</f>
        <v>2020</v>
      </c>
      <c r="F421" s="607"/>
      <c r="G421" s="607"/>
      <c r="H421" s="607"/>
      <c r="I421" s="610"/>
      <c r="J421" s="610"/>
      <c r="K421" s="609">
        <f t="shared" si="56"/>
        <v>0</v>
      </c>
      <c r="L421" s="557"/>
      <c r="M421" s="557"/>
      <c r="N421" s="557"/>
    </row>
    <row r="422" spans="1:32" x14ac:dyDescent="0.25">
      <c r="A422" s="551" t="str">
        <f>+Info!$B$2</f>
        <v>724</v>
      </c>
      <c r="B422" s="559" t="s">
        <v>1554</v>
      </c>
      <c r="C422" s="616" t="s">
        <v>1555</v>
      </c>
      <c r="D422" s="612" t="str">
        <f>IF(K422=E422,"Quadratura OK!","Squadratura con dati di bilancio!")</f>
        <v>Quadratura OK!</v>
      </c>
      <c r="E422" s="569">
        <f>SUMIF('NI-Ric_SP'!$C:$C,$C422,'NI-Ric_SP'!$Y:$Y)</f>
        <v>0</v>
      </c>
      <c r="F422" s="925" t="s">
        <v>4289</v>
      </c>
      <c r="G422" s="925"/>
      <c r="H422" s="613">
        <f>SUM(H409:H421)</f>
        <v>0</v>
      </c>
      <c r="I422" s="613">
        <f>SUM(I409:I421)</f>
        <v>0</v>
      </c>
      <c r="J422" s="613">
        <f>SUM(J409:J421)</f>
        <v>0</v>
      </c>
      <c r="K422" s="613">
        <f>SUM(K409:K421)</f>
        <v>0</v>
      </c>
      <c r="L422" s="557"/>
      <c r="M422" s="557"/>
      <c r="N422" s="557"/>
      <c r="AC422" s="551" t="str">
        <f>C422</f>
        <v>1.20.20.20.020.040.00.000</v>
      </c>
      <c r="AD422" s="553">
        <f>K422</f>
        <v>0</v>
      </c>
      <c r="AE422" s="553">
        <f>E422</f>
        <v>0</v>
      </c>
      <c r="AF422" s="551">
        <f>IF($AD422=$AE422,0,1)</f>
        <v>0</v>
      </c>
    </row>
    <row r="423" spans="1:32" ht="33.75" x14ac:dyDescent="0.25">
      <c r="A423" s="618" t="str">
        <f>+Info!$B$2</f>
        <v>724</v>
      </c>
      <c r="B423" s="559" t="s">
        <v>1559</v>
      </c>
      <c r="C423" s="614" t="str">
        <f t="shared" ref="C423:C435" si="57">$C$436</f>
        <v>1.20.20.20.020.050.00.000</v>
      </c>
      <c r="D423" s="619" t="s">
        <v>4296</v>
      </c>
      <c r="E423" s="606" t="str">
        <f>"Ante "&amp;Info!$B$3</f>
        <v>Ante 2020</v>
      </c>
      <c r="F423" s="607"/>
      <c r="G423" s="607"/>
      <c r="H423" s="608"/>
      <c r="I423" s="607"/>
      <c r="J423" s="608"/>
      <c r="K423" s="609">
        <f>+H423+J423</f>
        <v>0</v>
      </c>
      <c r="L423" s="557"/>
      <c r="M423" s="557"/>
      <c r="N423" s="557"/>
    </row>
    <row r="424" spans="1:32" x14ac:dyDescent="0.25">
      <c r="A424" s="551" t="str">
        <f>+Info!$B$2</f>
        <v>724</v>
      </c>
      <c r="B424" s="559" t="s">
        <v>1559</v>
      </c>
      <c r="C424" s="614" t="str">
        <f t="shared" si="57"/>
        <v>1.20.20.20.020.050.00.000</v>
      </c>
      <c r="D424" s="566"/>
      <c r="E424" s="564" t="str">
        <f>+Info!$B$3</f>
        <v>2020</v>
      </c>
      <c r="F424" s="607"/>
      <c r="G424" s="607"/>
      <c r="H424" s="607"/>
      <c r="I424" s="610"/>
      <c r="J424" s="610"/>
      <c r="K424" s="609">
        <f t="shared" ref="K424:K435" si="58">+I424+J424</f>
        <v>0</v>
      </c>
      <c r="L424" s="557"/>
      <c r="M424" s="557"/>
      <c r="N424" s="557"/>
    </row>
    <row r="425" spans="1:32" x14ac:dyDescent="0.25">
      <c r="A425" s="551" t="str">
        <f>+Info!$B$2</f>
        <v>724</v>
      </c>
      <c r="B425" s="559" t="s">
        <v>1559</v>
      </c>
      <c r="C425" s="614" t="str">
        <f t="shared" si="57"/>
        <v>1.20.20.20.020.050.00.000</v>
      </c>
      <c r="D425" s="566"/>
      <c r="E425" s="564" t="str">
        <f>+Info!$B$3</f>
        <v>2020</v>
      </c>
      <c r="F425" s="607"/>
      <c r="G425" s="607"/>
      <c r="H425" s="607"/>
      <c r="I425" s="610"/>
      <c r="J425" s="610"/>
      <c r="K425" s="609">
        <f t="shared" si="58"/>
        <v>0</v>
      </c>
      <c r="L425" s="557"/>
      <c r="M425" s="557"/>
      <c r="N425" s="557"/>
    </row>
    <row r="426" spans="1:32" x14ac:dyDescent="0.25">
      <c r="A426" s="551" t="str">
        <f>+Info!$B$2</f>
        <v>724</v>
      </c>
      <c r="B426" s="559" t="s">
        <v>1559</v>
      </c>
      <c r="C426" s="614" t="str">
        <f t="shared" si="57"/>
        <v>1.20.20.20.020.050.00.000</v>
      </c>
      <c r="D426" s="566"/>
      <c r="E426" s="564" t="str">
        <f>+Info!$B$3</f>
        <v>2020</v>
      </c>
      <c r="F426" s="607"/>
      <c r="G426" s="607"/>
      <c r="H426" s="607"/>
      <c r="I426" s="610"/>
      <c r="J426" s="610"/>
      <c r="K426" s="609">
        <f t="shared" si="58"/>
        <v>0</v>
      </c>
      <c r="L426" s="557"/>
      <c r="M426" s="557"/>
      <c r="N426" s="557"/>
    </row>
    <row r="427" spans="1:32" x14ac:dyDescent="0.25">
      <c r="A427" s="551" t="str">
        <f>+Info!$B$2</f>
        <v>724</v>
      </c>
      <c r="B427" s="559" t="s">
        <v>1559</v>
      </c>
      <c r="C427" s="614" t="str">
        <f t="shared" si="57"/>
        <v>1.20.20.20.020.050.00.000</v>
      </c>
      <c r="D427" s="566"/>
      <c r="E427" s="564" t="str">
        <f>+Info!$B$3</f>
        <v>2020</v>
      </c>
      <c r="F427" s="607"/>
      <c r="G427" s="607"/>
      <c r="H427" s="607"/>
      <c r="I427" s="610"/>
      <c r="J427" s="610"/>
      <c r="K427" s="609">
        <f t="shared" si="58"/>
        <v>0</v>
      </c>
      <c r="L427" s="557"/>
      <c r="M427" s="557"/>
      <c r="N427" s="557"/>
    </row>
    <row r="428" spans="1:32" x14ac:dyDescent="0.25">
      <c r="A428" s="551" t="str">
        <f>+Info!$B$2</f>
        <v>724</v>
      </c>
      <c r="B428" s="559" t="s">
        <v>1559</v>
      </c>
      <c r="C428" s="614" t="str">
        <f t="shared" si="57"/>
        <v>1.20.20.20.020.050.00.000</v>
      </c>
      <c r="D428" s="566"/>
      <c r="E428" s="564" t="str">
        <f>+Info!$B$3</f>
        <v>2020</v>
      </c>
      <c r="F428" s="607"/>
      <c r="G428" s="607"/>
      <c r="H428" s="607"/>
      <c r="I428" s="610"/>
      <c r="J428" s="610"/>
      <c r="K428" s="609">
        <f t="shared" si="58"/>
        <v>0</v>
      </c>
      <c r="L428" s="557"/>
      <c r="M428" s="557"/>
      <c r="N428" s="557"/>
    </row>
    <row r="429" spans="1:32" x14ac:dyDescent="0.25">
      <c r="A429" s="551" t="str">
        <f>+Info!$B$2</f>
        <v>724</v>
      </c>
      <c r="B429" s="559" t="s">
        <v>1559</v>
      </c>
      <c r="C429" s="614" t="str">
        <f t="shared" si="57"/>
        <v>1.20.20.20.020.050.00.000</v>
      </c>
      <c r="D429" s="566"/>
      <c r="E429" s="564" t="str">
        <f>+Info!$B$3</f>
        <v>2020</v>
      </c>
      <c r="F429" s="607"/>
      <c r="G429" s="607"/>
      <c r="H429" s="607"/>
      <c r="I429" s="610"/>
      <c r="J429" s="610"/>
      <c r="K429" s="609">
        <f t="shared" si="58"/>
        <v>0</v>
      </c>
      <c r="L429" s="557"/>
      <c r="M429" s="557"/>
      <c r="N429" s="557"/>
    </row>
    <row r="430" spans="1:32" x14ac:dyDescent="0.25">
      <c r="A430" s="551" t="str">
        <f>+Info!$B$2</f>
        <v>724</v>
      </c>
      <c r="B430" s="559" t="s">
        <v>1559</v>
      </c>
      <c r="C430" s="614" t="str">
        <f t="shared" si="57"/>
        <v>1.20.20.20.020.050.00.000</v>
      </c>
      <c r="D430" s="566"/>
      <c r="E430" s="564" t="str">
        <f>+Info!$B$3</f>
        <v>2020</v>
      </c>
      <c r="F430" s="607"/>
      <c r="G430" s="607"/>
      <c r="H430" s="607"/>
      <c r="I430" s="610"/>
      <c r="J430" s="610"/>
      <c r="K430" s="609">
        <f t="shared" si="58"/>
        <v>0</v>
      </c>
      <c r="L430" s="557"/>
      <c r="M430" s="557"/>
      <c r="N430" s="557"/>
    </row>
    <row r="431" spans="1:32" x14ac:dyDescent="0.25">
      <c r="A431" s="551" t="str">
        <f>+Info!$B$2</f>
        <v>724</v>
      </c>
      <c r="B431" s="559" t="s">
        <v>1559</v>
      </c>
      <c r="C431" s="614" t="str">
        <f t="shared" si="57"/>
        <v>1.20.20.20.020.050.00.000</v>
      </c>
      <c r="D431" s="566"/>
      <c r="E431" s="564" t="str">
        <f>+Info!$B$3</f>
        <v>2020</v>
      </c>
      <c r="F431" s="607"/>
      <c r="G431" s="607"/>
      <c r="H431" s="607"/>
      <c r="I431" s="610"/>
      <c r="J431" s="610"/>
      <c r="K431" s="609">
        <f t="shared" si="58"/>
        <v>0</v>
      </c>
      <c r="L431" s="557"/>
      <c r="M431" s="557"/>
      <c r="N431" s="557"/>
    </row>
    <row r="432" spans="1:32" x14ac:dyDescent="0.25">
      <c r="A432" s="551" t="str">
        <f>+Info!$B$2</f>
        <v>724</v>
      </c>
      <c r="B432" s="559" t="s">
        <v>1559</v>
      </c>
      <c r="C432" s="614" t="str">
        <f t="shared" si="57"/>
        <v>1.20.20.20.020.050.00.000</v>
      </c>
      <c r="D432" s="566"/>
      <c r="E432" s="564" t="str">
        <f>+Info!$B$3</f>
        <v>2020</v>
      </c>
      <c r="F432" s="607"/>
      <c r="G432" s="607"/>
      <c r="H432" s="607"/>
      <c r="I432" s="610"/>
      <c r="J432" s="610"/>
      <c r="K432" s="609">
        <f t="shared" si="58"/>
        <v>0</v>
      </c>
      <c r="L432" s="557"/>
      <c r="M432" s="557"/>
      <c r="N432" s="557"/>
    </row>
    <row r="433" spans="1:32" x14ac:dyDescent="0.25">
      <c r="A433" s="551" t="str">
        <f>+Info!$B$2</f>
        <v>724</v>
      </c>
      <c r="B433" s="559" t="s">
        <v>1559</v>
      </c>
      <c r="C433" s="614" t="str">
        <f t="shared" si="57"/>
        <v>1.20.20.20.020.050.00.000</v>
      </c>
      <c r="D433" s="566"/>
      <c r="E433" s="564" t="str">
        <f>+Info!$B$3</f>
        <v>2020</v>
      </c>
      <c r="F433" s="607"/>
      <c r="G433" s="607"/>
      <c r="H433" s="607"/>
      <c r="I433" s="610"/>
      <c r="J433" s="610"/>
      <c r="K433" s="609">
        <f t="shared" si="58"/>
        <v>0</v>
      </c>
      <c r="L433" s="557"/>
      <c r="M433" s="557"/>
      <c r="N433" s="557"/>
    </row>
    <row r="434" spans="1:32" x14ac:dyDescent="0.25">
      <c r="A434" s="551" t="str">
        <f>+Info!$B$2</f>
        <v>724</v>
      </c>
      <c r="B434" s="559" t="s">
        <v>1559</v>
      </c>
      <c r="C434" s="614" t="str">
        <f t="shared" si="57"/>
        <v>1.20.20.20.020.050.00.000</v>
      </c>
      <c r="D434" s="566"/>
      <c r="E434" s="564" t="str">
        <f>+Info!$B$3</f>
        <v>2020</v>
      </c>
      <c r="F434" s="607"/>
      <c r="G434" s="607"/>
      <c r="H434" s="607"/>
      <c r="I434" s="610"/>
      <c r="J434" s="610"/>
      <c r="K434" s="609">
        <f t="shared" si="58"/>
        <v>0</v>
      </c>
      <c r="L434" s="557"/>
      <c r="M434" s="557"/>
      <c r="N434" s="557"/>
    </row>
    <row r="435" spans="1:32" x14ac:dyDescent="0.25">
      <c r="A435" s="551" t="str">
        <f>+Info!$B$2</f>
        <v>724</v>
      </c>
      <c r="B435" s="559" t="s">
        <v>1559</v>
      </c>
      <c r="C435" s="614" t="str">
        <f t="shared" si="57"/>
        <v>1.20.20.20.020.050.00.000</v>
      </c>
      <c r="D435" s="566"/>
      <c r="E435" s="564" t="str">
        <f>+Info!$B$3</f>
        <v>2020</v>
      </c>
      <c r="F435" s="607"/>
      <c r="G435" s="607"/>
      <c r="H435" s="607"/>
      <c r="I435" s="610"/>
      <c r="J435" s="610"/>
      <c r="K435" s="609">
        <f t="shared" si="58"/>
        <v>0</v>
      </c>
      <c r="L435" s="557"/>
      <c r="M435" s="557"/>
      <c r="N435" s="557"/>
    </row>
    <row r="436" spans="1:32" x14ac:dyDescent="0.25">
      <c r="A436" s="551" t="str">
        <f>+Info!$B$2</f>
        <v>724</v>
      </c>
      <c r="B436" s="559" t="s">
        <v>1559</v>
      </c>
      <c r="C436" s="616" t="s">
        <v>1560</v>
      </c>
      <c r="D436" s="612" t="str">
        <f>IF(K436=E436,"Quadratura OK!","Squadratura con dati di bilancio!")</f>
        <v>Quadratura OK!</v>
      </c>
      <c r="E436" s="569">
        <f>SUMIF('NI-Ric_SP'!$C:$C,$C436,'NI-Ric_SP'!$Y:$Y)</f>
        <v>0</v>
      </c>
      <c r="F436" s="925" t="s">
        <v>4289</v>
      </c>
      <c r="G436" s="925"/>
      <c r="H436" s="613">
        <f>SUM(H423:H435)</f>
        <v>0</v>
      </c>
      <c r="I436" s="613">
        <f>SUM(I423:I435)</f>
        <v>0</v>
      </c>
      <c r="J436" s="613">
        <f>SUM(J423:J435)</f>
        <v>0</v>
      </c>
      <c r="K436" s="613">
        <f>SUM(K423:K435)</f>
        <v>0</v>
      </c>
      <c r="L436" s="557"/>
      <c r="M436" s="557"/>
      <c r="N436" s="557"/>
      <c r="AC436" s="551" t="str">
        <f>C436</f>
        <v>1.20.20.20.020.050.00.000</v>
      </c>
      <c r="AD436" s="553">
        <f>K436</f>
        <v>0</v>
      </c>
      <c r="AE436" s="553">
        <f>E436</f>
        <v>0</v>
      </c>
      <c r="AF436" s="551">
        <f>IF($AD436=$AE436,0,1)</f>
        <v>0</v>
      </c>
    </row>
    <row r="437" spans="1:32" x14ac:dyDescent="0.25">
      <c r="A437" s="551" t="str">
        <f>+Info!$B$2</f>
        <v>724</v>
      </c>
      <c r="B437" s="620"/>
      <c r="C437" s="620"/>
      <c r="D437" s="620"/>
      <c r="E437" s="557"/>
      <c r="F437" s="557"/>
      <c r="G437" s="557"/>
      <c r="H437" s="557"/>
      <c r="I437" s="557"/>
      <c r="J437" s="557"/>
      <c r="K437" s="557"/>
      <c r="L437" s="557"/>
      <c r="M437" s="557"/>
      <c r="N437" s="557"/>
    </row>
    <row r="438" spans="1:32" x14ac:dyDescent="0.25">
      <c r="A438" s="551" t="str">
        <f>+Info!$B$2</f>
        <v>724</v>
      </c>
      <c r="B438" s="620"/>
      <c r="C438" s="620"/>
      <c r="D438" s="620"/>
      <c r="E438" s="557"/>
      <c r="F438" s="557"/>
      <c r="G438" s="557"/>
      <c r="H438" s="557"/>
      <c r="I438" s="557"/>
      <c r="J438" s="557"/>
      <c r="K438" s="557"/>
      <c r="L438" s="557"/>
      <c r="M438" s="557"/>
      <c r="N438" s="557"/>
    </row>
    <row r="439" spans="1:32" x14ac:dyDescent="0.25">
      <c r="A439" s="551" t="str">
        <f>+Info!$B$2</f>
        <v>724</v>
      </c>
      <c r="B439" s="620"/>
      <c r="C439" s="620"/>
      <c r="D439" s="590" t="s">
        <v>4297</v>
      </c>
      <c r="E439" s="557"/>
      <c r="F439" s="557"/>
      <c r="G439" s="557"/>
      <c r="H439" s="557"/>
      <c r="I439" s="557"/>
      <c r="J439" s="557"/>
      <c r="K439" s="557"/>
      <c r="L439" s="557"/>
      <c r="M439" s="557"/>
      <c r="N439" s="557"/>
    </row>
    <row r="440" spans="1:32" x14ac:dyDescent="0.25">
      <c r="A440" s="551" t="str">
        <f>+Info!$B$2</f>
        <v>724</v>
      </c>
      <c r="B440" s="620"/>
      <c r="C440" s="620"/>
      <c r="D440" s="590" t="s">
        <v>4298</v>
      </c>
      <c r="E440" s="918" t="s">
        <v>4299</v>
      </c>
      <c r="F440" s="918"/>
      <c r="G440" s="918"/>
      <c r="H440" s="558" t="str">
        <f>+'NI-Ric_SP'!T750</f>
        <v>Entro 12 mesi (2020)</v>
      </c>
      <c r="I440" s="558" t="str">
        <f>+'NI-Ric_SP'!U750</f>
        <v>Oltre 12 mesi (2020)</v>
      </c>
      <c r="J440" s="558" t="s">
        <v>4300</v>
      </c>
      <c r="K440" s="557"/>
      <c r="L440" s="557"/>
      <c r="M440" s="557"/>
      <c r="N440" s="557"/>
    </row>
    <row r="441" spans="1:32" x14ac:dyDescent="0.25">
      <c r="A441" s="551" t="str">
        <f>+Info!$B$2</f>
        <v>724</v>
      </c>
      <c r="B441" s="274" t="s">
        <v>1810</v>
      </c>
      <c r="C441" s="274" t="str">
        <f>$C468</f>
        <v>1.30.10.10.000.000.00.000</v>
      </c>
      <c r="D441" s="563"/>
      <c r="E441" s="917"/>
      <c r="F441" s="917"/>
      <c r="G441" s="917"/>
      <c r="H441" s="621"/>
      <c r="I441" s="621"/>
      <c r="J441" s="559">
        <f t="shared" ref="J441:J467" si="59">+H441+I441</f>
        <v>0</v>
      </c>
      <c r="K441" s="557"/>
      <c r="L441" s="557"/>
      <c r="M441" s="557"/>
      <c r="N441" s="557"/>
    </row>
    <row r="442" spans="1:32" x14ac:dyDescent="0.25">
      <c r="A442" s="551" t="str">
        <f>+Info!$B$2</f>
        <v>724</v>
      </c>
      <c r="B442" s="274" t="s">
        <v>1810</v>
      </c>
      <c r="C442" s="274" t="str">
        <f t="shared" ref="C442:C467" si="60">$C$468</f>
        <v>1.30.10.10.000.000.00.000</v>
      </c>
      <c r="D442" s="563"/>
      <c r="E442" s="917"/>
      <c r="F442" s="917"/>
      <c r="G442" s="917"/>
      <c r="H442" s="621"/>
      <c r="I442" s="621"/>
      <c r="J442" s="559">
        <f t="shared" si="59"/>
        <v>0</v>
      </c>
      <c r="K442" s="557"/>
      <c r="L442" s="557"/>
      <c r="M442" s="557"/>
      <c r="N442" s="557"/>
    </row>
    <row r="443" spans="1:32" x14ac:dyDescent="0.25">
      <c r="A443" s="551" t="str">
        <f>+Info!$B$2</f>
        <v>724</v>
      </c>
      <c r="B443" s="274" t="s">
        <v>1810</v>
      </c>
      <c r="C443" s="274" t="str">
        <f t="shared" si="60"/>
        <v>1.30.10.10.000.000.00.000</v>
      </c>
      <c r="D443" s="563"/>
      <c r="E443" s="917"/>
      <c r="F443" s="917"/>
      <c r="G443" s="917"/>
      <c r="H443" s="621"/>
      <c r="I443" s="621"/>
      <c r="J443" s="559">
        <f t="shared" si="59"/>
        <v>0</v>
      </c>
      <c r="K443" s="557"/>
      <c r="L443" s="557"/>
      <c r="M443" s="557"/>
      <c r="N443" s="557"/>
    </row>
    <row r="444" spans="1:32" x14ac:dyDescent="0.25">
      <c r="A444" s="551" t="str">
        <f>+Info!$B$2</f>
        <v>724</v>
      </c>
      <c r="B444" s="274" t="s">
        <v>1810</v>
      </c>
      <c r="C444" s="274" t="str">
        <f t="shared" si="60"/>
        <v>1.30.10.10.000.000.00.000</v>
      </c>
      <c r="D444" s="563"/>
      <c r="E444" s="917"/>
      <c r="F444" s="917"/>
      <c r="G444" s="917"/>
      <c r="H444" s="621"/>
      <c r="I444" s="621"/>
      <c r="J444" s="559">
        <f t="shared" si="59"/>
        <v>0</v>
      </c>
      <c r="K444" s="557"/>
      <c r="L444" s="557"/>
      <c r="M444" s="557"/>
      <c r="N444" s="557"/>
    </row>
    <row r="445" spans="1:32" x14ac:dyDescent="0.25">
      <c r="A445" s="551" t="str">
        <f>+Info!$B$2</f>
        <v>724</v>
      </c>
      <c r="B445" s="274" t="s">
        <v>1810</v>
      </c>
      <c r="C445" s="274" t="str">
        <f t="shared" si="60"/>
        <v>1.30.10.10.000.000.00.000</v>
      </c>
      <c r="D445" s="563"/>
      <c r="E445" s="917"/>
      <c r="F445" s="917"/>
      <c r="G445" s="917"/>
      <c r="H445" s="621"/>
      <c r="I445" s="621"/>
      <c r="J445" s="559">
        <f t="shared" si="59"/>
        <v>0</v>
      </c>
      <c r="K445" s="557"/>
      <c r="L445" s="557"/>
      <c r="M445" s="557"/>
      <c r="N445" s="557"/>
    </row>
    <row r="446" spans="1:32" x14ac:dyDescent="0.25">
      <c r="A446" s="551" t="str">
        <f>+Info!$B$2</f>
        <v>724</v>
      </c>
      <c r="B446" s="274" t="s">
        <v>1810</v>
      </c>
      <c r="C446" s="274" t="str">
        <f t="shared" si="60"/>
        <v>1.30.10.10.000.000.00.000</v>
      </c>
      <c r="D446" s="563"/>
      <c r="E446" s="917"/>
      <c r="F446" s="917"/>
      <c r="G446" s="917"/>
      <c r="H446" s="621"/>
      <c r="I446" s="621"/>
      <c r="J446" s="559">
        <f t="shared" si="59"/>
        <v>0</v>
      </c>
      <c r="K446" s="557"/>
      <c r="L446" s="557"/>
      <c r="M446" s="557"/>
      <c r="N446" s="557"/>
    </row>
    <row r="447" spans="1:32" x14ac:dyDescent="0.25">
      <c r="A447" s="551" t="str">
        <f>+Info!$B$2</f>
        <v>724</v>
      </c>
      <c r="B447" s="274" t="s">
        <v>1810</v>
      </c>
      <c r="C447" s="274" t="str">
        <f t="shared" si="60"/>
        <v>1.30.10.10.000.000.00.000</v>
      </c>
      <c r="D447" s="563"/>
      <c r="E447" s="917"/>
      <c r="F447" s="917"/>
      <c r="G447" s="917"/>
      <c r="H447" s="621"/>
      <c r="I447" s="621"/>
      <c r="J447" s="559">
        <f t="shared" si="59"/>
        <v>0</v>
      </c>
      <c r="K447" s="557"/>
      <c r="L447" s="557"/>
      <c r="M447" s="557"/>
      <c r="N447" s="557"/>
    </row>
    <row r="448" spans="1:32" x14ac:dyDescent="0.25">
      <c r="A448" s="551" t="str">
        <f>+Info!$B$2</f>
        <v>724</v>
      </c>
      <c r="B448" s="274" t="s">
        <v>1810</v>
      </c>
      <c r="C448" s="274" t="str">
        <f t="shared" si="60"/>
        <v>1.30.10.10.000.000.00.000</v>
      </c>
      <c r="D448" s="563"/>
      <c r="E448" s="917"/>
      <c r="F448" s="917"/>
      <c r="G448" s="917"/>
      <c r="H448" s="621"/>
      <c r="I448" s="621"/>
      <c r="J448" s="559">
        <f t="shared" si="59"/>
        <v>0</v>
      </c>
      <c r="K448" s="557"/>
      <c r="L448" s="557"/>
      <c r="M448" s="557"/>
      <c r="N448" s="557"/>
    </row>
    <row r="449" spans="1:14" x14ac:dyDescent="0.25">
      <c r="A449" s="551" t="str">
        <f>+Info!$B$2</f>
        <v>724</v>
      </c>
      <c r="B449" s="274" t="s">
        <v>1810</v>
      </c>
      <c r="C449" s="274" t="str">
        <f t="shared" si="60"/>
        <v>1.30.10.10.000.000.00.000</v>
      </c>
      <c r="D449" s="563"/>
      <c r="E449" s="917"/>
      <c r="F449" s="917"/>
      <c r="G449" s="917"/>
      <c r="H449" s="621"/>
      <c r="I449" s="621"/>
      <c r="J449" s="559">
        <f t="shared" si="59"/>
        <v>0</v>
      </c>
      <c r="L449" s="557"/>
      <c r="M449" s="557"/>
      <c r="N449" s="557"/>
    </row>
    <row r="450" spans="1:14" x14ac:dyDescent="0.25">
      <c r="A450" s="551" t="str">
        <f>+Info!$B$2</f>
        <v>724</v>
      </c>
      <c r="B450" s="274" t="s">
        <v>1810</v>
      </c>
      <c r="C450" s="274" t="str">
        <f t="shared" si="60"/>
        <v>1.30.10.10.000.000.00.000</v>
      </c>
      <c r="D450" s="563"/>
      <c r="E450" s="917"/>
      <c r="F450" s="917"/>
      <c r="G450" s="917"/>
      <c r="H450" s="621"/>
      <c r="I450" s="621"/>
      <c r="J450" s="559">
        <f t="shared" si="59"/>
        <v>0</v>
      </c>
      <c r="L450" s="557"/>
      <c r="M450" s="557"/>
      <c r="N450" s="557"/>
    </row>
    <row r="451" spans="1:14" x14ac:dyDescent="0.25">
      <c r="A451" s="551" t="str">
        <f>+Info!$B$2</f>
        <v>724</v>
      </c>
      <c r="B451" s="274" t="s">
        <v>1810</v>
      </c>
      <c r="C451" s="274" t="str">
        <f t="shared" si="60"/>
        <v>1.30.10.10.000.000.00.000</v>
      </c>
      <c r="D451" s="563"/>
      <c r="E451" s="917"/>
      <c r="F451" s="917"/>
      <c r="G451" s="917"/>
      <c r="H451" s="621"/>
      <c r="I451" s="621"/>
      <c r="J451" s="559">
        <f t="shared" si="59"/>
        <v>0</v>
      </c>
      <c r="L451" s="557"/>
      <c r="M451" s="557"/>
      <c r="N451" s="557"/>
    </row>
    <row r="452" spans="1:14" x14ac:dyDescent="0.25">
      <c r="A452" s="551" t="str">
        <f>+Info!$B$2</f>
        <v>724</v>
      </c>
      <c r="B452" s="274" t="s">
        <v>1810</v>
      </c>
      <c r="C452" s="274" t="str">
        <f t="shared" si="60"/>
        <v>1.30.10.10.000.000.00.000</v>
      </c>
      <c r="D452" s="563"/>
      <c r="E452" s="917"/>
      <c r="F452" s="917"/>
      <c r="G452" s="917"/>
      <c r="H452" s="621"/>
      <c r="I452" s="621"/>
      <c r="J452" s="559">
        <f t="shared" si="59"/>
        <v>0</v>
      </c>
    </row>
    <row r="453" spans="1:14" x14ac:dyDescent="0.25">
      <c r="A453" s="551" t="str">
        <f>+Info!$B$2</f>
        <v>724</v>
      </c>
      <c r="B453" s="274" t="s">
        <v>1810</v>
      </c>
      <c r="C453" s="274" t="str">
        <f t="shared" si="60"/>
        <v>1.30.10.10.000.000.00.000</v>
      </c>
      <c r="D453" s="563"/>
      <c r="E453" s="917"/>
      <c r="F453" s="917"/>
      <c r="G453" s="917"/>
      <c r="H453" s="621"/>
      <c r="I453" s="621"/>
      <c r="J453" s="559">
        <f t="shared" si="59"/>
        <v>0</v>
      </c>
    </row>
    <row r="454" spans="1:14" x14ac:dyDescent="0.25">
      <c r="A454" s="551" t="str">
        <f>+Info!$B$2</f>
        <v>724</v>
      </c>
      <c r="B454" s="274" t="s">
        <v>1810</v>
      </c>
      <c r="C454" s="274" t="str">
        <f t="shared" si="60"/>
        <v>1.30.10.10.000.000.00.000</v>
      </c>
      <c r="D454" s="563"/>
      <c r="E454" s="917"/>
      <c r="F454" s="917"/>
      <c r="G454" s="917"/>
      <c r="H454" s="621"/>
      <c r="I454" s="621"/>
      <c r="J454" s="559">
        <f t="shared" si="59"/>
        <v>0</v>
      </c>
    </row>
    <row r="455" spans="1:14" x14ac:dyDescent="0.25">
      <c r="A455" s="551" t="str">
        <f>+Info!$B$2</f>
        <v>724</v>
      </c>
      <c r="B455" s="274" t="s">
        <v>1810</v>
      </c>
      <c r="C455" s="274" t="str">
        <f t="shared" si="60"/>
        <v>1.30.10.10.000.000.00.000</v>
      </c>
      <c r="D455" s="563"/>
      <c r="E455" s="917"/>
      <c r="F455" s="917"/>
      <c r="G455" s="917"/>
      <c r="H455" s="621"/>
      <c r="I455" s="621"/>
      <c r="J455" s="559">
        <f t="shared" si="59"/>
        <v>0</v>
      </c>
    </row>
    <row r="456" spans="1:14" x14ac:dyDescent="0.25">
      <c r="A456" s="551" t="str">
        <f>+Info!$B$2</f>
        <v>724</v>
      </c>
      <c r="B456" s="274" t="s">
        <v>1810</v>
      </c>
      <c r="C456" s="274" t="str">
        <f t="shared" si="60"/>
        <v>1.30.10.10.000.000.00.000</v>
      </c>
      <c r="D456" s="563"/>
      <c r="E456" s="917"/>
      <c r="F456" s="917"/>
      <c r="G456" s="917"/>
      <c r="H456" s="621"/>
      <c r="I456" s="621"/>
      <c r="J456" s="559">
        <f t="shared" si="59"/>
        <v>0</v>
      </c>
    </row>
    <row r="457" spans="1:14" x14ac:dyDescent="0.25">
      <c r="A457" s="551" t="str">
        <f>+Info!$B$2</f>
        <v>724</v>
      </c>
      <c r="B457" s="274" t="s">
        <v>1810</v>
      </c>
      <c r="C457" s="274" t="str">
        <f t="shared" si="60"/>
        <v>1.30.10.10.000.000.00.000</v>
      </c>
      <c r="D457" s="563"/>
      <c r="E457" s="917"/>
      <c r="F457" s="917"/>
      <c r="G457" s="917"/>
      <c r="H457" s="621"/>
      <c r="I457" s="621"/>
      <c r="J457" s="559">
        <f t="shared" si="59"/>
        <v>0</v>
      </c>
    </row>
    <row r="458" spans="1:14" x14ac:dyDescent="0.25">
      <c r="A458" s="551" t="str">
        <f>+Info!$B$2</f>
        <v>724</v>
      </c>
      <c r="B458" s="274" t="s">
        <v>1810</v>
      </c>
      <c r="C458" s="274" t="str">
        <f t="shared" si="60"/>
        <v>1.30.10.10.000.000.00.000</v>
      </c>
      <c r="D458" s="563"/>
      <c r="E458" s="917"/>
      <c r="F458" s="917"/>
      <c r="G458" s="917"/>
      <c r="H458" s="621"/>
      <c r="I458" s="621"/>
      <c r="J458" s="559">
        <f t="shared" si="59"/>
        <v>0</v>
      </c>
    </row>
    <row r="459" spans="1:14" x14ac:dyDescent="0.25">
      <c r="A459" s="551" t="str">
        <f>+Info!$B$2</f>
        <v>724</v>
      </c>
      <c r="B459" s="274" t="s">
        <v>1810</v>
      </c>
      <c r="C459" s="274" t="str">
        <f t="shared" si="60"/>
        <v>1.30.10.10.000.000.00.000</v>
      </c>
      <c r="D459" s="563"/>
      <c r="E459" s="917"/>
      <c r="F459" s="917"/>
      <c r="G459" s="917"/>
      <c r="H459" s="621"/>
      <c r="I459" s="621"/>
      <c r="J459" s="559">
        <f t="shared" si="59"/>
        <v>0</v>
      </c>
    </row>
    <row r="460" spans="1:14" x14ac:dyDescent="0.25">
      <c r="A460" s="551" t="str">
        <f>+Info!$B$2</f>
        <v>724</v>
      </c>
      <c r="B460" s="274" t="s">
        <v>1810</v>
      </c>
      <c r="C460" s="274" t="str">
        <f t="shared" si="60"/>
        <v>1.30.10.10.000.000.00.000</v>
      </c>
      <c r="D460" s="563"/>
      <c r="E460" s="917"/>
      <c r="F460" s="917"/>
      <c r="G460" s="917"/>
      <c r="H460" s="621"/>
      <c r="I460" s="621"/>
      <c r="J460" s="559">
        <f t="shared" si="59"/>
        <v>0</v>
      </c>
    </row>
    <row r="461" spans="1:14" x14ac:dyDescent="0.25">
      <c r="A461" s="551" t="str">
        <f>+Info!$B$2</f>
        <v>724</v>
      </c>
      <c r="B461" s="274" t="s">
        <v>1810</v>
      </c>
      <c r="C461" s="274" t="str">
        <f t="shared" si="60"/>
        <v>1.30.10.10.000.000.00.000</v>
      </c>
      <c r="D461" s="563"/>
      <c r="E461" s="917"/>
      <c r="F461" s="917"/>
      <c r="G461" s="917"/>
      <c r="H461" s="621"/>
      <c r="I461" s="621"/>
      <c r="J461" s="559">
        <f t="shared" si="59"/>
        <v>0</v>
      </c>
    </row>
    <row r="462" spans="1:14" x14ac:dyDescent="0.25">
      <c r="A462" s="551" t="str">
        <f>+Info!$B$2</f>
        <v>724</v>
      </c>
      <c r="B462" s="274" t="s">
        <v>1810</v>
      </c>
      <c r="C462" s="274" t="str">
        <f t="shared" si="60"/>
        <v>1.30.10.10.000.000.00.000</v>
      </c>
      <c r="D462" s="563"/>
      <c r="E462" s="917"/>
      <c r="F462" s="917"/>
      <c r="G462" s="917"/>
      <c r="H462" s="621"/>
      <c r="I462" s="621"/>
      <c r="J462" s="559">
        <f t="shared" si="59"/>
        <v>0</v>
      </c>
    </row>
    <row r="463" spans="1:14" x14ac:dyDescent="0.25">
      <c r="A463" s="551" t="str">
        <f>+Info!$B$2</f>
        <v>724</v>
      </c>
      <c r="B463" s="274" t="s">
        <v>1810</v>
      </c>
      <c r="C463" s="274" t="str">
        <f t="shared" si="60"/>
        <v>1.30.10.10.000.000.00.000</v>
      </c>
      <c r="D463" s="563"/>
      <c r="E463" s="917"/>
      <c r="F463" s="917"/>
      <c r="G463" s="917"/>
      <c r="H463" s="621"/>
      <c r="I463" s="621"/>
      <c r="J463" s="559">
        <f t="shared" si="59"/>
        <v>0</v>
      </c>
    </row>
    <row r="464" spans="1:14" x14ac:dyDescent="0.25">
      <c r="A464" s="551" t="str">
        <f>+Info!$B$2</f>
        <v>724</v>
      </c>
      <c r="B464" s="274" t="s">
        <v>1810</v>
      </c>
      <c r="C464" s="274" t="str">
        <f t="shared" si="60"/>
        <v>1.30.10.10.000.000.00.000</v>
      </c>
      <c r="D464" s="563"/>
      <c r="E464" s="917"/>
      <c r="F464" s="917"/>
      <c r="G464" s="917"/>
      <c r="H464" s="621"/>
      <c r="I464" s="621"/>
      <c r="J464" s="559">
        <f t="shared" si="59"/>
        <v>0</v>
      </c>
    </row>
    <row r="465" spans="1:14" x14ac:dyDescent="0.25">
      <c r="A465" s="551" t="str">
        <f>+Info!$B$2</f>
        <v>724</v>
      </c>
      <c r="B465" s="274" t="s">
        <v>1810</v>
      </c>
      <c r="C465" s="274" t="str">
        <f t="shared" si="60"/>
        <v>1.30.10.10.000.000.00.000</v>
      </c>
      <c r="D465" s="563"/>
      <c r="E465" s="917"/>
      <c r="F465" s="917"/>
      <c r="G465" s="917"/>
      <c r="H465" s="621"/>
      <c r="I465" s="621"/>
      <c r="J465" s="559">
        <f t="shared" si="59"/>
        <v>0</v>
      </c>
    </row>
    <row r="466" spans="1:14" x14ac:dyDescent="0.25">
      <c r="A466" s="551" t="str">
        <f>+Info!$B$2</f>
        <v>724</v>
      </c>
      <c r="B466" s="274" t="s">
        <v>1810</v>
      </c>
      <c r="C466" s="274" t="str">
        <f t="shared" si="60"/>
        <v>1.30.10.10.000.000.00.000</v>
      </c>
      <c r="D466" s="563"/>
      <c r="E466" s="917"/>
      <c r="F466" s="917"/>
      <c r="G466" s="917"/>
      <c r="H466" s="621"/>
      <c r="I466" s="621"/>
      <c r="J466" s="559">
        <f t="shared" si="59"/>
        <v>0</v>
      </c>
    </row>
    <row r="467" spans="1:14" x14ac:dyDescent="0.25">
      <c r="A467" s="551" t="str">
        <f>+Info!$B$2</f>
        <v>724</v>
      </c>
      <c r="B467" s="274" t="s">
        <v>1810</v>
      </c>
      <c r="C467" s="274" t="str">
        <f t="shared" si="60"/>
        <v>1.30.10.10.000.000.00.000</v>
      </c>
      <c r="D467" s="563"/>
      <c r="E467" s="917"/>
      <c r="F467" s="917"/>
      <c r="G467" s="917"/>
      <c r="H467" s="621"/>
      <c r="I467" s="621"/>
      <c r="J467" s="559">
        <f t="shared" si="59"/>
        <v>0</v>
      </c>
    </row>
    <row r="468" spans="1:14" x14ac:dyDescent="0.25">
      <c r="A468" s="551" t="str">
        <f>+Info!$B$2</f>
        <v>724</v>
      </c>
      <c r="B468" s="622" t="s">
        <v>1810</v>
      </c>
      <c r="C468" s="622" t="s">
        <v>1811</v>
      </c>
      <c r="H468" s="622">
        <f>SUM(H441:H467)</f>
        <v>0</v>
      </c>
      <c r="I468" s="622">
        <f>SUM(I441:I467)</f>
        <v>0</v>
      </c>
      <c r="J468" s="622">
        <f>SUM(J441:J467)</f>
        <v>0</v>
      </c>
    </row>
    <row r="469" spans="1:14" ht="24" x14ac:dyDescent="0.25">
      <c r="A469" s="551" t="str">
        <f>+Info!$B$2</f>
        <v>724</v>
      </c>
      <c r="D469" s="590" t="s">
        <v>4301</v>
      </c>
    </row>
    <row r="470" spans="1:14" x14ac:dyDescent="0.25">
      <c r="A470" s="551" t="str">
        <f>+Info!$B$2</f>
        <v>724</v>
      </c>
      <c r="B470" s="620"/>
      <c r="C470" s="620"/>
      <c r="D470" s="590" t="s">
        <v>4302</v>
      </c>
      <c r="E470" s="918" t="s">
        <v>4303</v>
      </c>
      <c r="F470" s="918"/>
      <c r="G470" s="918"/>
      <c r="H470" s="558" t="str">
        <f>+H440</f>
        <v>Entro 12 mesi (2020)</v>
      </c>
      <c r="I470" s="558" t="str">
        <f>+I440</f>
        <v>Oltre 12 mesi (2020)</v>
      </c>
      <c r="J470" s="558" t="s">
        <v>4300</v>
      </c>
      <c r="K470" s="557"/>
      <c r="L470" s="557"/>
      <c r="M470" s="557"/>
      <c r="N470" s="557"/>
    </row>
    <row r="471" spans="1:14" x14ac:dyDescent="0.25">
      <c r="A471" s="551" t="str">
        <f>+Info!$B$2</f>
        <v>724</v>
      </c>
      <c r="B471" s="274" t="s">
        <v>1831</v>
      </c>
      <c r="C471" s="274" t="str">
        <f t="shared" ref="C471:C497" si="61">$C$498</f>
        <v>1.30.20.10.000.000.00.000</v>
      </c>
      <c r="D471" s="563"/>
      <c r="E471" s="917"/>
      <c r="F471" s="917"/>
      <c r="G471" s="917"/>
      <c r="H471" s="621"/>
      <c r="I471" s="621"/>
      <c r="J471" s="559">
        <f t="shared" ref="J471:J497" si="62">+H471+I471</f>
        <v>0</v>
      </c>
    </row>
    <row r="472" spans="1:14" x14ac:dyDescent="0.25">
      <c r="A472" s="551" t="str">
        <f>+Info!$B$2</f>
        <v>724</v>
      </c>
      <c r="B472" s="274" t="s">
        <v>1831</v>
      </c>
      <c r="C472" s="274" t="str">
        <f t="shared" si="61"/>
        <v>1.30.20.10.000.000.00.000</v>
      </c>
      <c r="D472" s="563"/>
      <c r="E472" s="917"/>
      <c r="F472" s="917"/>
      <c r="G472" s="917"/>
      <c r="H472" s="621"/>
      <c r="I472" s="621"/>
      <c r="J472" s="559">
        <f t="shared" si="62"/>
        <v>0</v>
      </c>
    </row>
    <row r="473" spans="1:14" x14ac:dyDescent="0.25">
      <c r="A473" s="551" t="str">
        <f>+Info!$B$2</f>
        <v>724</v>
      </c>
      <c r="B473" s="274" t="s">
        <v>1831</v>
      </c>
      <c r="C473" s="274" t="str">
        <f t="shared" si="61"/>
        <v>1.30.20.10.000.000.00.000</v>
      </c>
      <c r="D473" s="563"/>
      <c r="E473" s="917"/>
      <c r="F473" s="917"/>
      <c r="G473" s="917"/>
      <c r="H473" s="621"/>
      <c r="I473" s="621"/>
      <c r="J473" s="559">
        <f t="shared" si="62"/>
        <v>0</v>
      </c>
    </row>
    <row r="474" spans="1:14" x14ac:dyDescent="0.25">
      <c r="A474" s="551" t="str">
        <f>+Info!$B$2</f>
        <v>724</v>
      </c>
      <c r="B474" s="274" t="s">
        <v>1831</v>
      </c>
      <c r="C474" s="274" t="str">
        <f t="shared" si="61"/>
        <v>1.30.20.10.000.000.00.000</v>
      </c>
      <c r="D474" s="563"/>
      <c r="E474" s="917"/>
      <c r="F474" s="917"/>
      <c r="G474" s="917"/>
      <c r="H474" s="621"/>
      <c r="I474" s="621"/>
      <c r="J474" s="559">
        <f t="shared" si="62"/>
        <v>0</v>
      </c>
    </row>
    <row r="475" spans="1:14" x14ac:dyDescent="0.25">
      <c r="A475" s="551" t="str">
        <f>+Info!$B$2</f>
        <v>724</v>
      </c>
      <c r="B475" s="274" t="s">
        <v>1831</v>
      </c>
      <c r="C475" s="274" t="str">
        <f t="shared" si="61"/>
        <v>1.30.20.10.000.000.00.000</v>
      </c>
      <c r="D475" s="563"/>
      <c r="E475" s="917"/>
      <c r="F475" s="917"/>
      <c r="G475" s="917"/>
      <c r="H475" s="621"/>
      <c r="I475" s="621"/>
      <c r="J475" s="559">
        <f t="shared" si="62"/>
        <v>0</v>
      </c>
    </row>
    <row r="476" spans="1:14" x14ac:dyDescent="0.25">
      <c r="A476" s="551" t="str">
        <f>+Info!$B$2</f>
        <v>724</v>
      </c>
      <c r="B476" s="274" t="s">
        <v>1831</v>
      </c>
      <c r="C476" s="274" t="str">
        <f t="shared" si="61"/>
        <v>1.30.20.10.000.000.00.000</v>
      </c>
      <c r="D476" s="563"/>
      <c r="E476" s="917"/>
      <c r="F476" s="917"/>
      <c r="G476" s="917"/>
      <c r="H476" s="621"/>
      <c r="I476" s="621"/>
      <c r="J476" s="559">
        <f t="shared" si="62"/>
        <v>0</v>
      </c>
    </row>
    <row r="477" spans="1:14" x14ac:dyDescent="0.25">
      <c r="A477" s="551" t="str">
        <f>+Info!$B$2</f>
        <v>724</v>
      </c>
      <c r="B477" s="274" t="s">
        <v>1831</v>
      </c>
      <c r="C477" s="274" t="str">
        <f t="shared" si="61"/>
        <v>1.30.20.10.000.000.00.000</v>
      </c>
      <c r="D477" s="563"/>
      <c r="E477" s="917"/>
      <c r="F477" s="917"/>
      <c r="G477" s="917"/>
      <c r="H477" s="621"/>
      <c r="I477" s="621"/>
      <c r="J477" s="559">
        <f t="shared" si="62"/>
        <v>0</v>
      </c>
    </row>
    <row r="478" spans="1:14" x14ac:dyDescent="0.25">
      <c r="A478" s="551" t="str">
        <f>+Info!$B$2</f>
        <v>724</v>
      </c>
      <c r="B478" s="274" t="s">
        <v>1831</v>
      </c>
      <c r="C478" s="274" t="str">
        <f t="shared" si="61"/>
        <v>1.30.20.10.000.000.00.000</v>
      </c>
      <c r="D478" s="563"/>
      <c r="E478" s="917"/>
      <c r="F478" s="917"/>
      <c r="G478" s="917"/>
      <c r="H478" s="621"/>
      <c r="I478" s="621"/>
      <c r="J478" s="559">
        <f t="shared" si="62"/>
        <v>0</v>
      </c>
    </row>
    <row r="479" spans="1:14" x14ac:dyDescent="0.25">
      <c r="A479" s="551" t="str">
        <f>+Info!$B$2</f>
        <v>724</v>
      </c>
      <c r="B479" s="274" t="s">
        <v>1831</v>
      </c>
      <c r="C479" s="274" t="str">
        <f t="shared" si="61"/>
        <v>1.30.20.10.000.000.00.000</v>
      </c>
      <c r="D479" s="563"/>
      <c r="E479" s="917"/>
      <c r="F479" s="917"/>
      <c r="G479" s="917"/>
      <c r="H479" s="621"/>
      <c r="I479" s="621"/>
      <c r="J479" s="559">
        <f t="shared" si="62"/>
        <v>0</v>
      </c>
    </row>
    <row r="480" spans="1:14" x14ac:dyDescent="0.25">
      <c r="A480" s="551" t="str">
        <f>+Info!$B$2</f>
        <v>724</v>
      </c>
      <c r="B480" s="274" t="s">
        <v>1831</v>
      </c>
      <c r="C480" s="274" t="str">
        <f t="shared" si="61"/>
        <v>1.30.20.10.000.000.00.000</v>
      </c>
      <c r="D480" s="563"/>
      <c r="E480" s="917"/>
      <c r="F480" s="917"/>
      <c r="G480" s="917"/>
      <c r="H480" s="621"/>
      <c r="I480" s="621"/>
      <c r="J480" s="559">
        <f t="shared" si="62"/>
        <v>0</v>
      </c>
    </row>
    <row r="481" spans="1:10" x14ac:dyDescent="0.25">
      <c r="A481" s="551" t="str">
        <f>+Info!$B$2</f>
        <v>724</v>
      </c>
      <c r="B481" s="274" t="s">
        <v>1831</v>
      </c>
      <c r="C481" s="274" t="str">
        <f t="shared" si="61"/>
        <v>1.30.20.10.000.000.00.000</v>
      </c>
      <c r="D481" s="563"/>
      <c r="E481" s="917"/>
      <c r="F481" s="917"/>
      <c r="G481" s="917"/>
      <c r="H481" s="621"/>
      <c r="I481" s="621"/>
      <c r="J481" s="559">
        <f t="shared" si="62"/>
        <v>0</v>
      </c>
    </row>
    <row r="482" spans="1:10" x14ac:dyDescent="0.25">
      <c r="A482" s="551" t="str">
        <f>+Info!$B$2</f>
        <v>724</v>
      </c>
      <c r="B482" s="274" t="s">
        <v>1831</v>
      </c>
      <c r="C482" s="274" t="str">
        <f t="shared" si="61"/>
        <v>1.30.20.10.000.000.00.000</v>
      </c>
      <c r="D482" s="563"/>
      <c r="E482" s="917"/>
      <c r="F482" s="917"/>
      <c r="G482" s="917"/>
      <c r="H482" s="621"/>
      <c r="I482" s="621"/>
      <c r="J482" s="559">
        <f t="shared" si="62"/>
        <v>0</v>
      </c>
    </row>
    <row r="483" spans="1:10" x14ac:dyDescent="0.25">
      <c r="A483" s="551" t="str">
        <f>+Info!$B$2</f>
        <v>724</v>
      </c>
      <c r="B483" s="274" t="s">
        <v>1831</v>
      </c>
      <c r="C483" s="274" t="str">
        <f t="shared" si="61"/>
        <v>1.30.20.10.000.000.00.000</v>
      </c>
      <c r="D483" s="563"/>
      <c r="E483" s="917"/>
      <c r="F483" s="917"/>
      <c r="G483" s="917"/>
      <c r="H483" s="621"/>
      <c r="I483" s="621"/>
      <c r="J483" s="559">
        <f t="shared" si="62"/>
        <v>0</v>
      </c>
    </row>
    <row r="484" spans="1:10" x14ac:dyDescent="0.25">
      <c r="A484" s="551" t="str">
        <f>+Info!$B$2</f>
        <v>724</v>
      </c>
      <c r="B484" s="274" t="s">
        <v>1831</v>
      </c>
      <c r="C484" s="274" t="str">
        <f t="shared" si="61"/>
        <v>1.30.20.10.000.000.00.000</v>
      </c>
      <c r="D484" s="563"/>
      <c r="E484" s="917"/>
      <c r="F484" s="917"/>
      <c r="G484" s="917"/>
      <c r="H484" s="621"/>
      <c r="I484" s="621"/>
      <c r="J484" s="559">
        <f t="shared" si="62"/>
        <v>0</v>
      </c>
    </row>
    <row r="485" spans="1:10" x14ac:dyDescent="0.25">
      <c r="A485" s="551" t="str">
        <f>+Info!$B$2</f>
        <v>724</v>
      </c>
      <c r="B485" s="274" t="s">
        <v>1831</v>
      </c>
      <c r="C485" s="274" t="str">
        <f t="shared" si="61"/>
        <v>1.30.20.10.000.000.00.000</v>
      </c>
      <c r="D485" s="563"/>
      <c r="E485" s="917"/>
      <c r="F485" s="917"/>
      <c r="G485" s="917"/>
      <c r="H485" s="621"/>
      <c r="I485" s="621"/>
      <c r="J485" s="559">
        <f t="shared" si="62"/>
        <v>0</v>
      </c>
    </row>
    <row r="486" spans="1:10" x14ac:dyDescent="0.25">
      <c r="A486" s="551" t="str">
        <f>+Info!$B$2</f>
        <v>724</v>
      </c>
      <c r="B486" s="274" t="s">
        <v>1831</v>
      </c>
      <c r="C486" s="274" t="str">
        <f t="shared" si="61"/>
        <v>1.30.20.10.000.000.00.000</v>
      </c>
      <c r="D486" s="563"/>
      <c r="E486" s="917"/>
      <c r="F486" s="917"/>
      <c r="G486" s="917"/>
      <c r="H486" s="621"/>
      <c r="I486" s="621"/>
      <c r="J486" s="559">
        <f t="shared" si="62"/>
        <v>0</v>
      </c>
    </row>
    <row r="487" spans="1:10" x14ac:dyDescent="0.25">
      <c r="A487" s="551" t="str">
        <f>+Info!$B$2</f>
        <v>724</v>
      </c>
      <c r="B487" s="274" t="s">
        <v>1831</v>
      </c>
      <c r="C487" s="274" t="str">
        <f t="shared" si="61"/>
        <v>1.30.20.10.000.000.00.000</v>
      </c>
      <c r="D487" s="563"/>
      <c r="E487" s="917"/>
      <c r="F487" s="917"/>
      <c r="G487" s="917"/>
      <c r="H487" s="621"/>
      <c r="I487" s="621"/>
      <c r="J487" s="559">
        <f t="shared" si="62"/>
        <v>0</v>
      </c>
    </row>
    <row r="488" spans="1:10" x14ac:dyDescent="0.25">
      <c r="A488" s="551" t="str">
        <f>+Info!$B$2</f>
        <v>724</v>
      </c>
      <c r="B488" s="274" t="s">
        <v>1831</v>
      </c>
      <c r="C488" s="274" t="str">
        <f t="shared" si="61"/>
        <v>1.30.20.10.000.000.00.000</v>
      </c>
      <c r="D488" s="563"/>
      <c r="E488" s="917"/>
      <c r="F488" s="917"/>
      <c r="G488" s="917"/>
      <c r="H488" s="621"/>
      <c r="I488" s="621"/>
      <c r="J488" s="559">
        <f t="shared" si="62"/>
        <v>0</v>
      </c>
    </row>
    <row r="489" spans="1:10" x14ac:dyDescent="0.25">
      <c r="A489" s="551" t="str">
        <f>+Info!$B$2</f>
        <v>724</v>
      </c>
      <c r="B489" s="274" t="s">
        <v>1831</v>
      </c>
      <c r="C489" s="274" t="str">
        <f t="shared" si="61"/>
        <v>1.30.20.10.000.000.00.000</v>
      </c>
      <c r="D489" s="563"/>
      <c r="E489" s="917"/>
      <c r="F489" s="917"/>
      <c r="G489" s="917"/>
      <c r="H489" s="621"/>
      <c r="I489" s="621"/>
      <c r="J489" s="559">
        <f t="shared" si="62"/>
        <v>0</v>
      </c>
    </row>
    <row r="490" spans="1:10" x14ac:dyDescent="0.25">
      <c r="A490" s="551" t="str">
        <f>+Info!$B$2</f>
        <v>724</v>
      </c>
      <c r="B490" s="274" t="s">
        <v>1831</v>
      </c>
      <c r="C490" s="274" t="str">
        <f t="shared" si="61"/>
        <v>1.30.20.10.000.000.00.000</v>
      </c>
      <c r="D490" s="563"/>
      <c r="E490" s="917"/>
      <c r="F490" s="917"/>
      <c r="G490" s="917"/>
      <c r="H490" s="621"/>
      <c r="I490" s="621"/>
      <c r="J490" s="559">
        <f t="shared" si="62"/>
        <v>0</v>
      </c>
    </row>
    <row r="491" spans="1:10" x14ac:dyDescent="0.25">
      <c r="A491" s="551" t="str">
        <f>+Info!$B$2</f>
        <v>724</v>
      </c>
      <c r="B491" s="274" t="s">
        <v>1831</v>
      </c>
      <c r="C491" s="274" t="str">
        <f t="shared" si="61"/>
        <v>1.30.20.10.000.000.00.000</v>
      </c>
      <c r="D491" s="563"/>
      <c r="E491" s="917"/>
      <c r="F491" s="917"/>
      <c r="G491" s="917"/>
      <c r="H491" s="621"/>
      <c r="I491" s="621"/>
      <c r="J491" s="559">
        <f t="shared" si="62"/>
        <v>0</v>
      </c>
    </row>
    <row r="492" spans="1:10" x14ac:dyDescent="0.25">
      <c r="A492" s="551" t="str">
        <f>+Info!$B$2</f>
        <v>724</v>
      </c>
      <c r="B492" s="274" t="s">
        <v>1831</v>
      </c>
      <c r="C492" s="274" t="str">
        <f t="shared" si="61"/>
        <v>1.30.20.10.000.000.00.000</v>
      </c>
      <c r="D492" s="563"/>
      <c r="E492" s="917"/>
      <c r="F492" s="917"/>
      <c r="G492" s="917"/>
      <c r="H492" s="621"/>
      <c r="I492" s="621"/>
      <c r="J492" s="559">
        <f t="shared" si="62"/>
        <v>0</v>
      </c>
    </row>
    <row r="493" spans="1:10" x14ac:dyDescent="0.25">
      <c r="A493" s="551" t="str">
        <f>+Info!$B$2</f>
        <v>724</v>
      </c>
      <c r="B493" s="274" t="s">
        <v>1831</v>
      </c>
      <c r="C493" s="274" t="str">
        <f t="shared" si="61"/>
        <v>1.30.20.10.000.000.00.000</v>
      </c>
      <c r="D493" s="563"/>
      <c r="E493" s="917"/>
      <c r="F493" s="917"/>
      <c r="G493" s="917"/>
      <c r="H493" s="621"/>
      <c r="I493" s="621"/>
      <c r="J493" s="559">
        <f t="shared" si="62"/>
        <v>0</v>
      </c>
    </row>
    <row r="494" spans="1:10" x14ac:dyDescent="0.25">
      <c r="A494" s="551" t="str">
        <f>+Info!$B$2</f>
        <v>724</v>
      </c>
      <c r="B494" s="274" t="s">
        <v>1831</v>
      </c>
      <c r="C494" s="274" t="str">
        <f t="shared" si="61"/>
        <v>1.30.20.10.000.000.00.000</v>
      </c>
      <c r="D494" s="563"/>
      <c r="E494" s="917"/>
      <c r="F494" s="917"/>
      <c r="G494" s="917"/>
      <c r="H494" s="621"/>
      <c r="I494" s="621"/>
      <c r="J494" s="559">
        <f t="shared" si="62"/>
        <v>0</v>
      </c>
    </row>
    <row r="495" spans="1:10" x14ac:dyDescent="0.25">
      <c r="A495" s="551" t="str">
        <f>+Info!$B$2</f>
        <v>724</v>
      </c>
      <c r="B495" s="274" t="s">
        <v>1831</v>
      </c>
      <c r="C495" s="274" t="str">
        <f t="shared" si="61"/>
        <v>1.30.20.10.000.000.00.000</v>
      </c>
      <c r="D495" s="563"/>
      <c r="E495" s="917"/>
      <c r="F495" s="917"/>
      <c r="G495" s="917"/>
      <c r="H495" s="621"/>
      <c r="I495" s="621"/>
      <c r="J495" s="559">
        <f t="shared" si="62"/>
        <v>0</v>
      </c>
    </row>
    <row r="496" spans="1:10" x14ac:dyDescent="0.25">
      <c r="A496" s="551" t="str">
        <f>+Info!$B$2</f>
        <v>724</v>
      </c>
      <c r="B496" s="274" t="s">
        <v>1831</v>
      </c>
      <c r="C496" s="274" t="str">
        <f t="shared" si="61"/>
        <v>1.30.20.10.000.000.00.000</v>
      </c>
      <c r="D496" s="563"/>
      <c r="E496" s="917"/>
      <c r="F496" s="917"/>
      <c r="G496" s="917"/>
      <c r="H496" s="621"/>
      <c r="I496" s="621"/>
      <c r="J496" s="559">
        <f t="shared" si="62"/>
        <v>0</v>
      </c>
    </row>
    <row r="497" spans="1:32" x14ac:dyDescent="0.25">
      <c r="A497" s="551" t="str">
        <f>+Info!$B$2</f>
        <v>724</v>
      </c>
      <c r="B497" s="274" t="s">
        <v>1831</v>
      </c>
      <c r="C497" s="274" t="str">
        <f t="shared" si="61"/>
        <v>1.30.20.10.000.000.00.000</v>
      </c>
      <c r="D497" s="563"/>
      <c r="E497" s="917"/>
      <c r="F497" s="917"/>
      <c r="G497" s="917"/>
      <c r="H497" s="621"/>
      <c r="I497" s="621"/>
      <c r="J497" s="559">
        <f t="shared" si="62"/>
        <v>0</v>
      </c>
    </row>
    <row r="498" spans="1:32" x14ac:dyDescent="0.25">
      <c r="A498" s="551" t="str">
        <f>+Info!$B$2</f>
        <v>724</v>
      </c>
      <c r="B498" s="622" t="s">
        <v>1831</v>
      </c>
      <c r="C498" s="622" t="s">
        <v>1832</v>
      </c>
      <c r="H498" s="622">
        <f>SUM(H471:H497)</f>
        <v>0</v>
      </c>
      <c r="I498" s="622">
        <f>SUM(I471:I497)</f>
        <v>0</v>
      </c>
      <c r="J498" s="622">
        <f>SUM(J471:J497)</f>
        <v>0</v>
      </c>
    </row>
    <row r="499" spans="1:32" x14ac:dyDescent="0.25">
      <c r="A499" s="551" t="str">
        <f>+Info!$B$2</f>
        <v>724</v>
      </c>
    </row>
    <row r="500" spans="1:32" x14ac:dyDescent="0.25">
      <c r="A500" s="551" t="str">
        <f>+Info!$B$2</f>
        <v>724</v>
      </c>
    </row>
    <row r="501" spans="1:32" x14ac:dyDescent="0.25">
      <c r="A501" s="551" t="str">
        <f>+Info!$B$2</f>
        <v>724</v>
      </c>
    </row>
    <row r="502" spans="1:32" s="624" customFormat="1" ht="27" customHeight="1" x14ac:dyDescent="0.25">
      <c r="A502" s="551" t="str">
        <f>+Info!$B$2</f>
        <v>724</v>
      </c>
      <c r="B502" s="924" t="e">
        <f>NA()</f>
        <v>#N/A</v>
      </c>
      <c r="C502" s="924" t="s">
        <v>4310</v>
      </c>
      <c r="D502" s="921" t="s">
        <v>4311</v>
      </c>
      <c r="E502" s="623"/>
      <c r="F502" s="922" t="s">
        <v>4312</v>
      </c>
      <c r="G502" s="922"/>
      <c r="H502" s="922"/>
      <c r="I502" s="922"/>
      <c r="J502" s="922" t="s">
        <v>4313</v>
      </c>
      <c r="K502" s="922" t="s">
        <v>4206</v>
      </c>
      <c r="L502" s="922"/>
      <c r="M502" s="922"/>
      <c r="N502" s="922"/>
      <c r="O502" s="922"/>
      <c r="P502" s="922"/>
      <c r="Q502" s="922"/>
    </row>
    <row r="503" spans="1:32" s="624" customFormat="1" ht="36" x14ac:dyDescent="0.25">
      <c r="A503" s="551" t="str">
        <f>+Info!$B$2</f>
        <v>724</v>
      </c>
      <c r="B503" s="924" t="e">
        <f>NA()</f>
        <v>#N/A</v>
      </c>
      <c r="C503" s="924"/>
      <c r="D503" s="921"/>
      <c r="E503" s="623"/>
      <c r="F503" s="590" t="s">
        <v>4314</v>
      </c>
      <c r="G503" s="590" t="s">
        <v>4315</v>
      </c>
      <c r="H503" s="590" t="s">
        <v>4316</v>
      </c>
      <c r="I503" s="590" t="s">
        <v>4317</v>
      </c>
      <c r="J503" s="922"/>
      <c r="K503" s="590" t="s">
        <v>3537</v>
      </c>
      <c r="L503" s="590" t="s">
        <v>3879</v>
      </c>
      <c r="M503" s="590" t="s">
        <v>4318</v>
      </c>
      <c r="N503" s="590" t="s">
        <v>4319</v>
      </c>
      <c r="O503" s="590" t="s">
        <v>4320</v>
      </c>
      <c r="P503" s="625" t="s">
        <v>4321</v>
      </c>
      <c r="Q503" s="625" t="s">
        <v>4322</v>
      </c>
    </row>
    <row r="504" spans="1:32" s="624" customFormat="1" ht="15" customHeight="1" x14ac:dyDescent="0.25">
      <c r="A504" s="551" t="str">
        <f>+Info!$B$2</f>
        <v>724</v>
      </c>
      <c r="B504" s="626" t="s">
        <v>1922</v>
      </c>
      <c r="C504" s="626" t="s">
        <v>1923</v>
      </c>
      <c r="D504" s="627" t="s">
        <v>4323</v>
      </c>
      <c r="E504" s="569">
        <f>SUMIF('NI-Ric_SP'!$C:$C,$C504,'NI-Ric_SP'!$Z:$Z)</f>
        <v>0</v>
      </c>
      <c r="F504" s="923" t="str">
        <f>IF(E504=Dettaglio_SP_Ric!O504,"Quadratura OK!","Squadratura con saldo finale di Bilancio!")</f>
        <v>Quadratura OK!</v>
      </c>
      <c r="G504" s="923"/>
      <c r="H504" s="923"/>
      <c r="I504" s="923"/>
      <c r="J504" s="628">
        <f t="shared" ref="J504:Q504" si="63">+J505+J506</f>
        <v>0</v>
      </c>
      <c r="K504" s="628">
        <f t="shared" si="63"/>
        <v>0</v>
      </c>
      <c r="L504" s="628">
        <f t="shared" si="63"/>
        <v>0</v>
      </c>
      <c r="M504" s="628">
        <f t="shared" si="63"/>
        <v>0</v>
      </c>
      <c r="N504" s="628">
        <f t="shared" si="63"/>
        <v>0</v>
      </c>
      <c r="O504" s="628">
        <f t="shared" si="63"/>
        <v>0</v>
      </c>
      <c r="P504" s="628">
        <f t="shared" si="63"/>
        <v>0</v>
      </c>
      <c r="Q504" s="628">
        <f t="shared" si="63"/>
        <v>0</v>
      </c>
      <c r="AC504" s="624" t="str">
        <f>C504</f>
        <v>3.10.20.10.000.000.00.000</v>
      </c>
      <c r="AD504" s="629">
        <f>O504</f>
        <v>0</v>
      </c>
      <c r="AE504" s="629">
        <f>E504</f>
        <v>0</v>
      </c>
      <c r="AF504" s="551">
        <f>IF($AD504=$AE504,0,1)</f>
        <v>0</v>
      </c>
    </row>
    <row r="505" spans="1:32" s="624" customFormat="1" ht="15" customHeight="1" x14ac:dyDescent="0.25">
      <c r="A505" s="551" t="str">
        <f>+Info!$B$2</f>
        <v>724</v>
      </c>
      <c r="B505" s="226" t="s">
        <v>1922</v>
      </c>
      <c r="C505" s="226" t="str">
        <f t="shared" ref="C505:C516" si="64">$C$504</f>
        <v>3.10.20.10.000.000.00.000</v>
      </c>
      <c r="D505" s="630" t="str">
        <f>"    ... assegnati in data antecedente al 1/1/"&amp;Info!$B$3-2</f>
        <v xml:space="preserve">    ... assegnati in data antecedente al 1/1/2018</v>
      </c>
      <c r="F505" s="923"/>
      <c r="G505" s="923"/>
      <c r="H505" s="923"/>
      <c r="I505" s="923"/>
      <c r="J505" s="579"/>
      <c r="K505" s="579"/>
      <c r="L505" s="579"/>
      <c r="M505" s="579"/>
      <c r="N505" s="579"/>
      <c r="O505" s="631">
        <f>+J505+K505+L505-M505+N505</f>
        <v>0</v>
      </c>
      <c r="P505" s="579"/>
      <c r="Q505" s="579"/>
    </row>
    <row r="506" spans="1:32" s="624" customFormat="1" ht="15" customHeight="1" x14ac:dyDescent="0.25">
      <c r="A506" s="551" t="str">
        <f>+Info!$B$2</f>
        <v>724</v>
      </c>
      <c r="B506" s="226" t="s">
        <v>1922</v>
      </c>
      <c r="C506" s="226" t="str">
        <f t="shared" si="64"/>
        <v>3.10.20.10.000.000.00.000</v>
      </c>
      <c r="D506" s="632" t="str">
        <f>"    ... assegnati a partire dal 1/1/"&amp;Info!$B$3-2&amp;"..dettagliare"</f>
        <v xml:space="preserve">    ... assegnati a partire dal 1/1/2018..dettagliare</v>
      </c>
      <c r="F506" s="923"/>
      <c r="G506" s="923"/>
      <c r="H506" s="923"/>
      <c r="I506" s="923"/>
      <c r="J506" s="628">
        <f t="shared" ref="J506:Q506" si="65">SUM(J507:J516)</f>
        <v>0</v>
      </c>
      <c r="K506" s="628">
        <f t="shared" si="65"/>
        <v>0</v>
      </c>
      <c r="L506" s="628">
        <f t="shared" si="65"/>
        <v>0</v>
      </c>
      <c r="M506" s="628">
        <f t="shared" si="65"/>
        <v>0</v>
      </c>
      <c r="N506" s="628">
        <f t="shared" si="65"/>
        <v>0</v>
      </c>
      <c r="O506" s="628">
        <f t="shared" si="65"/>
        <v>0</v>
      </c>
      <c r="P506" s="628">
        <f t="shared" si="65"/>
        <v>0</v>
      </c>
      <c r="Q506" s="628">
        <f t="shared" si="65"/>
        <v>0</v>
      </c>
    </row>
    <row r="507" spans="1:32" s="624" customFormat="1" ht="15" customHeight="1" x14ac:dyDescent="0.25">
      <c r="A507" s="551" t="str">
        <f>+Info!$B$2</f>
        <v>724</v>
      </c>
      <c r="B507" s="226" t="s">
        <v>1922</v>
      </c>
      <c r="C507" s="226" t="str">
        <f t="shared" si="64"/>
        <v>3.10.20.10.000.000.00.000</v>
      </c>
      <c r="D507" s="633"/>
      <c r="F507" s="633"/>
      <c r="G507" s="633"/>
      <c r="H507" s="633"/>
      <c r="I507" s="633"/>
      <c r="J507" s="579"/>
      <c r="K507" s="579"/>
      <c r="L507" s="579"/>
      <c r="M507" s="579"/>
      <c r="N507" s="579"/>
      <c r="O507" s="631">
        <f t="shared" ref="O507:O516" si="66">+J507+K507+L507-M507+N507</f>
        <v>0</v>
      </c>
      <c r="P507" s="579"/>
      <c r="Q507" s="579"/>
    </row>
    <row r="508" spans="1:32" s="624" customFormat="1" x14ac:dyDescent="0.25">
      <c r="A508" s="551" t="str">
        <f>+Info!$B$2</f>
        <v>724</v>
      </c>
      <c r="B508" s="226" t="s">
        <v>1922</v>
      </c>
      <c r="C508" s="226" t="str">
        <f t="shared" si="64"/>
        <v>3.10.20.10.000.000.00.000</v>
      </c>
      <c r="D508" s="633"/>
      <c r="F508" s="633"/>
      <c r="G508" s="633"/>
      <c r="H508" s="633"/>
      <c r="I508" s="633"/>
      <c r="J508" s="579"/>
      <c r="K508" s="579"/>
      <c r="L508" s="579"/>
      <c r="M508" s="579"/>
      <c r="N508" s="579"/>
      <c r="O508" s="631">
        <f t="shared" si="66"/>
        <v>0</v>
      </c>
      <c r="P508" s="579"/>
      <c r="Q508" s="579"/>
    </row>
    <row r="509" spans="1:32" s="624" customFormat="1" x14ac:dyDescent="0.25">
      <c r="A509" s="551" t="str">
        <f>+Info!$B$2</f>
        <v>724</v>
      </c>
      <c r="B509" s="226" t="s">
        <v>1922</v>
      </c>
      <c r="C509" s="226" t="str">
        <f t="shared" si="64"/>
        <v>3.10.20.10.000.000.00.000</v>
      </c>
      <c r="D509" s="633"/>
      <c r="F509" s="633"/>
      <c r="G509" s="633"/>
      <c r="H509" s="633"/>
      <c r="I509" s="633"/>
      <c r="J509" s="579"/>
      <c r="K509" s="579"/>
      <c r="L509" s="579"/>
      <c r="M509" s="579"/>
      <c r="N509" s="579"/>
      <c r="O509" s="631">
        <f t="shared" si="66"/>
        <v>0</v>
      </c>
      <c r="P509" s="579"/>
      <c r="Q509" s="579"/>
    </row>
    <row r="510" spans="1:32" s="624" customFormat="1" x14ac:dyDescent="0.25">
      <c r="A510" s="551" t="str">
        <f>+Info!$B$2</f>
        <v>724</v>
      </c>
      <c r="B510" s="226" t="s">
        <v>1922</v>
      </c>
      <c r="C510" s="226" t="str">
        <f t="shared" si="64"/>
        <v>3.10.20.10.000.000.00.000</v>
      </c>
      <c r="D510" s="633"/>
      <c r="F510" s="633"/>
      <c r="G510" s="633"/>
      <c r="H510" s="633"/>
      <c r="I510" s="633"/>
      <c r="J510" s="579"/>
      <c r="K510" s="579"/>
      <c r="L510" s="579"/>
      <c r="M510" s="579"/>
      <c r="N510" s="579"/>
      <c r="O510" s="631">
        <f t="shared" si="66"/>
        <v>0</v>
      </c>
      <c r="P510" s="579"/>
      <c r="Q510" s="579"/>
    </row>
    <row r="511" spans="1:32" s="624" customFormat="1" x14ac:dyDescent="0.25">
      <c r="A511" s="551" t="str">
        <f>+Info!$B$2</f>
        <v>724</v>
      </c>
      <c r="B511" s="226" t="s">
        <v>1922</v>
      </c>
      <c r="C511" s="226" t="str">
        <f t="shared" si="64"/>
        <v>3.10.20.10.000.000.00.000</v>
      </c>
      <c r="D511" s="633"/>
      <c r="F511" s="633"/>
      <c r="G511" s="633"/>
      <c r="H511" s="633"/>
      <c r="I511" s="633"/>
      <c r="J511" s="579"/>
      <c r="K511" s="579"/>
      <c r="L511" s="579"/>
      <c r="M511" s="579"/>
      <c r="N511" s="579"/>
      <c r="O511" s="631">
        <f t="shared" si="66"/>
        <v>0</v>
      </c>
      <c r="P511" s="579"/>
      <c r="Q511" s="579"/>
    </row>
    <row r="512" spans="1:32" s="624" customFormat="1" x14ac:dyDescent="0.25">
      <c r="A512" s="551" t="str">
        <f>+Info!$B$2</f>
        <v>724</v>
      </c>
      <c r="B512" s="226" t="s">
        <v>1922</v>
      </c>
      <c r="C512" s="226" t="str">
        <f t="shared" si="64"/>
        <v>3.10.20.10.000.000.00.000</v>
      </c>
      <c r="D512" s="633"/>
      <c r="F512" s="633"/>
      <c r="G512" s="633"/>
      <c r="H512" s="633"/>
      <c r="I512" s="633"/>
      <c r="J512" s="579"/>
      <c r="K512" s="579"/>
      <c r="L512" s="579"/>
      <c r="M512" s="579"/>
      <c r="N512" s="579"/>
      <c r="O512" s="631">
        <f t="shared" si="66"/>
        <v>0</v>
      </c>
      <c r="P512" s="579"/>
      <c r="Q512" s="579"/>
    </row>
    <row r="513" spans="1:32" s="624" customFormat="1" x14ac:dyDescent="0.25">
      <c r="A513" s="551" t="str">
        <f>+Info!$B$2</f>
        <v>724</v>
      </c>
      <c r="B513" s="226" t="s">
        <v>1922</v>
      </c>
      <c r="C513" s="226" t="str">
        <f t="shared" si="64"/>
        <v>3.10.20.10.000.000.00.000</v>
      </c>
      <c r="D513" s="633"/>
      <c r="F513" s="633"/>
      <c r="G513" s="633"/>
      <c r="H513" s="633"/>
      <c r="I513" s="633"/>
      <c r="J513" s="579"/>
      <c r="K513" s="579"/>
      <c r="L513" s="579"/>
      <c r="M513" s="579"/>
      <c r="N513" s="579"/>
      <c r="O513" s="631">
        <f t="shared" si="66"/>
        <v>0</v>
      </c>
      <c r="P513" s="579"/>
      <c r="Q513" s="579"/>
    </row>
    <row r="514" spans="1:32" s="624" customFormat="1" x14ac:dyDescent="0.25">
      <c r="A514" s="551" t="str">
        <f>+Info!$B$2</f>
        <v>724</v>
      </c>
      <c r="B514" s="226" t="s">
        <v>1922</v>
      </c>
      <c r="C514" s="226" t="str">
        <f t="shared" si="64"/>
        <v>3.10.20.10.000.000.00.000</v>
      </c>
      <c r="D514" s="633"/>
      <c r="F514" s="633"/>
      <c r="G514" s="633"/>
      <c r="H514" s="633"/>
      <c r="I514" s="633"/>
      <c r="J514" s="579"/>
      <c r="K514" s="579"/>
      <c r="L514" s="579"/>
      <c r="M514" s="579"/>
      <c r="N514" s="579"/>
      <c r="O514" s="631">
        <f t="shared" si="66"/>
        <v>0</v>
      </c>
      <c r="P514" s="579"/>
      <c r="Q514" s="579"/>
    </row>
    <row r="515" spans="1:32" s="624" customFormat="1" x14ac:dyDescent="0.25">
      <c r="A515" s="551" t="str">
        <f>+Info!$B$2</f>
        <v>724</v>
      </c>
      <c r="B515" s="226" t="s">
        <v>1922</v>
      </c>
      <c r="C515" s="226" t="str">
        <f t="shared" si="64"/>
        <v>3.10.20.10.000.000.00.000</v>
      </c>
      <c r="D515" s="633"/>
      <c r="F515" s="633"/>
      <c r="G515" s="633"/>
      <c r="H515" s="633"/>
      <c r="I515" s="633"/>
      <c r="J515" s="579"/>
      <c r="K515" s="579"/>
      <c r="L515" s="579"/>
      <c r="M515" s="579"/>
      <c r="N515" s="579"/>
      <c r="O515" s="631">
        <f t="shared" si="66"/>
        <v>0</v>
      </c>
      <c r="P515" s="579"/>
      <c r="Q515" s="579"/>
    </row>
    <row r="516" spans="1:32" s="624" customFormat="1" x14ac:dyDescent="0.25">
      <c r="A516" s="551" t="str">
        <f>+Info!$B$2</f>
        <v>724</v>
      </c>
      <c r="B516" s="226" t="s">
        <v>1922</v>
      </c>
      <c r="C516" s="226" t="str">
        <f t="shared" si="64"/>
        <v>3.10.20.10.000.000.00.000</v>
      </c>
      <c r="D516" s="633"/>
      <c r="F516" s="633"/>
      <c r="G516" s="633"/>
      <c r="H516" s="633"/>
      <c r="I516" s="633"/>
      <c r="J516" s="579"/>
      <c r="K516" s="579"/>
      <c r="L516" s="579"/>
      <c r="M516" s="579"/>
      <c r="N516" s="579"/>
      <c r="O516" s="631">
        <f t="shared" si="66"/>
        <v>0</v>
      </c>
      <c r="P516" s="579"/>
      <c r="Q516" s="579"/>
    </row>
    <row r="517" spans="1:32" s="624" customFormat="1" ht="15" customHeight="1" x14ac:dyDescent="0.25">
      <c r="A517" s="551" t="str">
        <f>+Info!$B$2</f>
        <v>724</v>
      </c>
      <c r="B517" s="626" t="s">
        <v>1928</v>
      </c>
      <c r="C517" s="626" t="s">
        <v>1929</v>
      </c>
      <c r="D517" s="634" t="s">
        <v>4324</v>
      </c>
      <c r="E517" s="569">
        <f>SUMIF('NI-Ric_SP'!$C:$C,$C517,'NI-Ric_SP'!$Z:$Z)</f>
        <v>0</v>
      </c>
      <c r="F517" s="923" t="str">
        <f>IF(E517=Dettaglio_SP_Ric!O517,"Quadratura OK!","Squadratura con saldo finale di Bilancio!")</f>
        <v>Quadratura OK!</v>
      </c>
      <c r="G517" s="923"/>
      <c r="H517" s="923"/>
      <c r="I517" s="923"/>
      <c r="J517" s="628">
        <f t="shared" ref="J517:Q517" si="67">+J518+J519</f>
        <v>0</v>
      </c>
      <c r="K517" s="628">
        <f t="shared" si="67"/>
        <v>0</v>
      </c>
      <c r="L517" s="628">
        <f t="shared" si="67"/>
        <v>0</v>
      </c>
      <c r="M517" s="628">
        <f t="shared" si="67"/>
        <v>0</v>
      </c>
      <c r="N517" s="628">
        <f t="shared" si="67"/>
        <v>0</v>
      </c>
      <c r="O517" s="628">
        <f t="shared" si="67"/>
        <v>0</v>
      </c>
      <c r="P517" s="628">
        <f t="shared" si="67"/>
        <v>0</v>
      </c>
      <c r="Q517" s="628">
        <f t="shared" si="67"/>
        <v>0</v>
      </c>
      <c r="AC517" s="624" t="str">
        <f>C517</f>
        <v>3.10.20.20.000.000.00.000</v>
      </c>
      <c r="AD517" s="629">
        <f>O517</f>
        <v>0</v>
      </c>
      <c r="AE517" s="629">
        <f>E517</f>
        <v>0</v>
      </c>
      <c r="AF517" s="551">
        <f>IF($AD517=$AE517,0,1)</f>
        <v>0</v>
      </c>
    </row>
    <row r="518" spans="1:32" s="624" customFormat="1" ht="15" customHeight="1" x14ac:dyDescent="0.25">
      <c r="A518" s="551" t="str">
        <f>+Info!$B$2</f>
        <v>724</v>
      </c>
      <c r="B518" s="226" t="s">
        <v>1928</v>
      </c>
      <c r="C518" s="226" t="str">
        <f t="shared" ref="C518:C549" si="68">$C$517</f>
        <v>3.10.20.20.000.000.00.000</v>
      </c>
      <c r="D518" s="630" t="str">
        <f>"    ... assegnati in data antecedente al 1/1/"&amp;Info!$B$3-2</f>
        <v xml:space="preserve">    ... assegnati in data antecedente al 1/1/2018</v>
      </c>
      <c r="F518" s="923"/>
      <c r="G518" s="923"/>
      <c r="H518" s="923"/>
      <c r="I518" s="923"/>
      <c r="J518" s="579"/>
      <c r="K518" s="579"/>
      <c r="L518" s="579"/>
      <c r="M518" s="579"/>
      <c r="N518" s="579"/>
      <c r="O518" s="631">
        <f>+J518+K518+L518-M518+N518</f>
        <v>0</v>
      </c>
      <c r="P518" s="579"/>
      <c r="Q518" s="579"/>
    </row>
    <row r="519" spans="1:32" s="624" customFormat="1" ht="15" customHeight="1" x14ac:dyDescent="0.25">
      <c r="A519" s="551" t="str">
        <f>+Info!$B$2</f>
        <v>724</v>
      </c>
      <c r="B519" s="226" t="s">
        <v>1928</v>
      </c>
      <c r="C519" s="226" t="str">
        <f t="shared" si="68"/>
        <v>3.10.20.20.000.000.00.000</v>
      </c>
      <c r="D519" s="632" t="str">
        <f>"    ... assegnati a partire dal 1/1/"&amp;Info!$B$3-2&amp;"..dettagliare"</f>
        <v xml:space="preserve">    ... assegnati a partire dal 1/1/2018..dettagliare</v>
      </c>
      <c r="F519" s="923"/>
      <c r="G519" s="923"/>
      <c r="H519" s="923"/>
      <c r="I519" s="923"/>
      <c r="J519" s="628">
        <f t="shared" ref="J519:Q519" si="69">SUM(J520:J549)</f>
        <v>0</v>
      </c>
      <c r="K519" s="628">
        <f t="shared" si="69"/>
        <v>0</v>
      </c>
      <c r="L519" s="628">
        <f t="shared" si="69"/>
        <v>0</v>
      </c>
      <c r="M519" s="628">
        <f t="shared" si="69"/>
        <v>0</v>
      </c>
      <c r="N519" s="628">
        <f t="shared" si="69"/>
        <v>0</v>
      </c>
      <c r="O519" s="628">
        <f t="shared" si="69"/>
        <v>0</v>
      </c>
      <c r="P519" s="628">
        <f t="shared" si="69"/>
        <v>0</v>
      </c>
      <c r="Q519" s="628">
        <f t="shared" si="69"/>
        <v>0</v>
      </c>
    </row>
    <row r="520" spans="1:32" s="624" customFormat="1" x14ac:dyDescent="0.25">
      <c r="A520" s="551" t="str">
        <f>+Info!$B$2</f>
        <v>724</v>
      </c>
      <c r="B520" s="226" t="s">
        <v>1928</v>
      </c>
      <c r="C520" s="226" t="str">
        <f t="shared" si="68"/>
        <v>3.10.20.20.000.000.00.000</v>
      </c>
      <c r="D520" s="633"/>
      <c r="F520" s="633"/>
      <c r="G520" s="633"/>
      <c r="H520" s="633"/>
      <c r="I520" s="633"/>
      <c r="J520" s="579"/>
      <c r="K520" s="579"/>
      <c r="L520" s="579"/>
      <c r="M520" s="579"/>
      <c r="N520" s="579"/>
      <c r="O520" s="631">
        <f t="shared" ref="O520:O549" si="70">+J520+K520+L520-M520+N520</f>
        <v>0</v>
      </c>
      <c r="P520" s="579"/>
      <c r="Q520" s="579"/>
    </row>
    <row r="521" spans="1:32" s="624" customFormat="1" x14ac:dyDescent="0.25">
      <c r="A521" s="551" t="str">
        <f>+Info!$B$2</f>
        <v>724</v>
      </c>
      <c r="B521" s="226" t="s">
        <v>1928</v>
      </c>
      <c r="C521" s="226" t="str">
        <f t="shared" si="68"/>
        <v>3.10.20.20.000.000.00.000</v>
      </c>
      <c r="D521" s="633"/>
      <c r="F521" s="633"/>
      <c r="G521" s="633"/>
      <c r="H521" s="633"/>
      <c r="I521" s="633"/>
      <c r="J521" s="579"/>
      <c r="K521" s="579"/>
      <c r="L521" s="579"/>
      <c r="M521" s="579"/>
      <c r="N521" s="579"/>
      <c r="O521" s="631">
        <f t="shared" si="70"/>
        <v>0</v>
      </c>
      <c r="P521" s="579"/>
      <c r="Q521" s="579"/>
    </row>
    <row r="522" spans="1:32" s="624" customFormat="1" x14ac:dyDescent="0.25">
      <c r="A522" s="551" t="str">
        <f>+Info!$B$2</f>
        <v>724</v>
      </c>
      <c r="B522" s="226" t="s">
        <v>1928</v>
      </c>
      <c r="C522" s="226" t="str">
        <f t="shared" si="68"/>
        <v>3.10.20.20.000.000.00.000</v>
      </c>
      <c r="D522" s="633"/>
      <c r="F522" s="633"/>
      <c r="G522" s="633"/>
      <c r="H522" s="633"/>
      <c r="I522" s="633"/>
      <c r="J522" s="579"/>
      <c r="K522" s="579"/>
      <c r="L522" s="579"/>
      <c r="M522" s="579"/>
      <c r="N522" s="579"/>
      <c r="O522" s="631">
        <f t="shared" si="70"/>
        <v>0</v>
      </c>
      <c r="P522" s="579"/>
      <c r="Q522" s="579"/>
    </row>
    <row r="523" spans="1:32" s="624" customFormat="1" x14ac:dyDescent="0.25">
      <c r="A523" s="551" t="str">
        <f>+Info!$B$2</f>
        <v>724</v>
      </c>
      <c r="B523" s="226" t="s">
        <v>1928</v>
      </c>
      <c r="C523" s="226" t="str">
        <f t="shared" si="68"/>
        <v>3.10.20.20.000.000.00.000</v>
      </c>
      <c r="D523" s="633"/>
      <c r="F523" s="633"/>
      <c r="G523" s="633"/>
      <c r="H523" s="633"/>
      <c r="I523" s="633"/>
      <c r="J523" s="579"/>
      <c r="K523" s="579"/>
      <c r="L523" s="579"/>
      <c r="M523" s="579"/>
      <c r="N523" s="579"/>
      <c r="O523" s="631">
        <f t="shared" si="70"/>
        <v>0</v>
      </c>
      <c r="P523" s="579"/>
      <c r="Q523" s="579"/>
    </row>
    <row r="524" spans="1:32" s="624" customFormat="1" x14ac:dyDescent="0.25">
      <c r="A524" s="551" t="str">
        <f>+Info!$B$2</f>
        <v>724</v>
      </c>
      <c r="B524" s="226" t="s">
        <v>1928</v>
      </c>
      <c r="C524" s="226" t="str">
        <f t="shared" si="68"/>
        <v>3.10.20.20.000.000.00.000</v>
      </c>
      <c r="D524" s="633"/>
      <c r="F524" s="633"/>
      <c r="G524" s="633"/>
      <c r="H524" s="633"/>
      <c r="I524" s="633"/>
      <c r="J524" s="579"/>
      <c r="K524" s="579"/>
      <c r="L524" s="579"/>
      <c r="M524" s="579"/>
      <c r="N524" s="579"/>
      <c r="O524" s="631">
        <f t="shared" si="70"/>
        <v>0</v>
      </c>
      <c r="P524" s="579"/>
      <c r="Q524" s="579"/>
    </row>
    <row r="525" spans="1:32" s="624" customFormat="1" x14ac:dyDescent="0.25">
      <c r="A525" s="551" t="str">
        <f>+Info!$B$2</f>
        <v>724</v>
      </c>
      <c r="B525" s="226" t="s">
        <v>1928</v>
      </c>
      <c r="C525" s="226" t="str">
        <f t="shared" si="68"/>
        <v>3.10.20.20.000.000.00.000</v>
      </c>
      <c r="D525" s="633"/>
      <c r="F525" s="633"/>
      <c r="G525" s="633"/>
      <c r="H525" s="633"/>
      <c r="I525" s="633"/>
      <c r="J525" s="579"/>
      <c r="K525" s="579"/>
      <c r="L525" s="579"/>
      <c r="M525" s="579"/>
      <c r="N525" s="579"/>
      <c r="O525" s="631">
        <f t="shared" si="70"/>
        <v>0</v>
      </c>
      <c r="P525" s="579"/>
      <c r="Q525" s="579"/>
    </row>
    <row r="526" spans="1:32" s="624" customFormat="1" x14ac:dyDescent="0.25">
      <c r="A526" s="551" t="str">
        <f>+Info!$B$2</f>
        <v>724</v>
      </c>
      <c r="B526" s="226" t="s">
        <v>1928</v>
      </c>
      <c r="C526" s="226" t="str">
        <f t="shared" si="68"/>
        <v>3.10.20.20.000.000.00.000</v>
      </c>
      <c r="D526" s="633"/>
      <c r="F526" s="633"/>
      <c r="G526" s="633"/>
      <c r="H526" s="633"/>
      <c r="I526" s="633"/>
      <c r="J526" s="579"/>
      <c r="K526" s="579"/>
      <c r="L526" s="579"/>
      <c r="M526" s="579"/>
      <c r="N526" s="579"/>
      <c r="O526" s="631">
        <f t="shared" si="70"/>
        <v>0</v>
      </c>
      <c r="P526" s="579"/>
      <c r="Q526" s="579"/>
    </row>
    <row r="527" spans="1:32" s="624" customFormat="1" x14ac:dyDescent="0.25">
      <c r="A527" s="551" t="str">
        <f>+Info!$B$2</f>
        <v>724</v>
      </c>
      <c r="B527" s="226" t="s">
        <v>1928</v>
      </c>
      <c r="C527" s="226" t="str">
        <f t="shared" si="68"/>
        <v>3.10.20.20.000.000.00.000</v>
      </c>
      <c r="D527" s="633"/>
      <c r="F527" s="633"/>
      <c r="G527" s="633"/>
      <c r="H527" s="633"/>
      <c r="I527" s="633"/>
      <c r="J527" s="579"/>
      <c r="K527" s="579"/>
      <c r="L527" s="579"/>
      <c r="M527" s="579"/>
      <c r="N527" s="579"/>
      <c r="O527" s="631">
        <f t="shared" si="70"/>
        <v>0</v>
      </c>
      <c r="P527" s="579"/>
      <c r="Q527" s="579"/>
    </row>
    <row r="528" spans="1:32" s="624" customFormat="1" x14ac:dyDescent="0.25">
      <c r="A528" s="551" t="str">
        <f>+Info!$B$2</f>
        <v>724</v>
      </c>
      <c r="B528" s="226" t="s">
        <v>1928</v>
      </c>
      <c r="C528" s="226" t="str">
        <f t="shared" si="68"/>
        <v>3.10.20.20.000.000.00.000</v>
      </c>
      <c r="D528" s="633"/>
      <c r="F528" s="633"/>
      <c r="G528" s="633"/>
      <c r="H528" s="633"/>
      <c r="I528" s="633"/>
      <c r="J528" s="579"/>
      <c r="K528" s="579"/>
      <c r="L528" s="579"/>
      <c r="M528" s="579"/>
      <c r="N528" s="579"/>
      <c r="O528" s="631">
        <f t="shared" si="70"/>
        <v>0</v>
      </c>
      <c r="P528" s="579"/>
      <c r="Q528" s="579"/>
    </row>
    <row r="529" spans="1:17" s="624" customFormat="1" x14ac:dyDescent="0.25">
      <c r="A529" s="551" t="str">
        <f>+Info!$B$2</f>
        <v>724</v>
      </c>
      <c r="B529" s="226" t="s">
        <v>1928</v>
      </c>
      <c r="C529" s="226" t="str">
        <f t="shared" si="68"/>
        <v>3.10.20.20.000.000.00.000</v>
      </c>
      <c r="D529" s="633"/>
      <c r="F529" s="633"/>
      <c r="G529" s="633"/>
      <c r="H529" s="633"/>
      <c r="I529" s="633"/>
      <c r="J529" s="579"/>
      <c r="K529" s="579"/>
      <c r="L529" s="579"/>
      <c r="M529" s="579"/>
      <c r="N529" s="579"/>
      <c r="O529" s="631">
        <f t="shared" si="70"/>
        <v>0</v>
      </c>
      <c r="P529" s="579"/>
      <c r="Q529" s="579"/>
    </row>
    <row r="530" spans="1:17" s="624" customFormat="1" x14ac:dyDescent="0.25">
      <c r="A530" s="551" t="str">
        <f>+Info!$B$2</f>
        <v>724</v>
      </c>
      <c r="B530" s="226" t="s">
        <v>1928</v>
      </c>
      <c r="C530" s="226" t="str">
        <f t="shared" si="68"/>
        <v>3.10.20.20.000.000.00.000</v>
      </c>
      <c r="D530" s="633"/>
      <c r="F530" s="633"/>
      <c r="G530" s="633"/>
      <c r="H530" s="633"/>
      <c r="I530" s="633"/>
      <c r="J530" s="579"/>
      <c r="K530" s="579"/>
      <c r="L530" s="579"/>
      <c r="M530" s="579"/>
      <c r="N530" s="579"/>
      <c r="O530" s="631">
        <f t="shared" si="70"/>
        <v>0</v>
      </c>
      <c r="P530" s="579"/>
      <c r="Q530" s="579"/>
    </row>
    <row r="531" spans="1:17" s="624" customFormat="1" x14ac:dyDescent="0.25">
      <c r="A531" s="551" t="str">
        <f>+Info!$B$2</f>
        <v>724</v>
      </c>
      <c r="B531" s="226" t="s">
        <v>1928</v>
      </c>
      <c r="C531" s="226" t="str">
        <f t="shared" si="68"/>
        <v>3.10.20.20.000.000.00.000</v>
      </c>
      <c r="D531" s="633"/>
      <c r="F531" s="633"/>
      <c r="G531" s="633"/>
      <c r="H531" s="633"/>
      <c r="I531" s="633"/>
      <c r="J531" s="579"/>
      <c r="K531" s="579"/>
      <c r="L531" s="579"/>
      <c r="M531" s="579"/>
      <c r="N531" s="579"/>
      <c r="O531" s="631">
        <f t="shared" si="70"/>
        <v>0</v>
      </c>
      <c r="P531" s="579"/>
      <c r="Q531" s="579"/>
    </row>
    <row r="532" spans="1:17" s="624" customFormat="1" x14ac:dyDescent="0.25">
      <c r="A532" s="551" t="str">
        <f>+Info!$B$2</f>
        <v>724</v>
      </c>
      <c r="B532" s="226" t="s">
        <v>1928</v>
      </c>
      <c r="C532" s="226" t="str">
        <f t="shared" si="68"/>
        <v>3.10.20.20.000.000.00.000</v>
      </c>
      <c r="D532" s="633"/>
      <c r="F532" s="633"/>
      <c r="G532" s="633"/>
      <c r="H532" s="633"/>
      <c r="I532" s="633"/>
      <c r="J532" s="579"/>
      <c r="K532" s="579"/>
      <c r="L532" s="579"/>
      <c r="M532" s="579"/>
      <c r="N532" s="579"/>
      <c r="O532" s="631">
        <f t="shared" si="70"/>
        <v>0</v>
      </c>
      <c r="P532" s="579"/>
      <c r="Q532" s="579"/>
    </row>
    <row r="533" spans="1:17" s="624" customFormat="1" x14ac:dyDescent="0.25">
      <c r="A533" s="551" t="str">
        <f>+Info!$B$2</f>
        <v>724</v>
      </c>
      <c r="B533" s="226" t="s">
        <v>1928</v>
      </c>
      <c r="C533" s="226" t="str">
        <f t="shared" si="68"/>
        <v>3.10.20.20.000.000.00.000</v>
      </c>
      <c r="D533" s="633"/>
      <c r="F533" s="633"/>
      <c r="G533" s="633"/>
      <c r="H533" s="633"/>
      <c r="I533" s="633"/>
      <c r="J533" s="579"/>
      <c r="K533" s="579"/>
      <c r="L533" s="579"/>
      <c r="M533" s="579"/>
      <c r="N533" s="579"/>
      <c r="O533" s="631">
        <f t="shared" si="70"/>
        <v>0</v>
      </c>
      <c r="P533" s="579"/>
      <c r="Q533" s="579"/>
    </row>
    <row r="534" spans="1:17" s="624" customFormat="1" x14ac:dyDescent="0.25">
      <c r="A534" s="551" t="str">
        <f>+Info!$B$2</f>
        <v>724</v>
      </c>
      <c r="B534" s="226" t="s">
        <v>1928</v>
      </c>
      <c r="C534" s="226" t="str">
        <f t="shared" si="68"/>
        <v>3.10.20.20.000.000.00.000</v>
      </c>
      <c r="D534" s="633"/>
      <c r="F534" s="633"/>
      <c r="G534" s="633"/>
      <c r="H534" s="633"/>
      <c r="I534" s="633"/>
      <c r="J534" s="579"/>
      <c r="K534" s="579"/>
      <c r="L534" s="579"/>
      <c r="M534" s="579"/>
      <c r="N534" s="579"/>
      <c r="O534" s="631">
        <f t="shared" si="70"/>
        <v>0</v>
      </c>
      <c r="P534" s="579"/>
      <c r="Q534" s="579"/>
    </row>
    <row r="535" spans="1:17" s="624" customFormat="1" x14ac:dyDescent="0.25">
      <c r="A535" s="551" t="str">
        <f>+Info!$B$2</f>
        <v>724</v>
      </c>
      <c r="B535" s="226" t="s">
        <v>1928</v>
      </c>
      <c r="C535" s="226" t="str">
        <f t="shared" si="68"/>
        <v>3.10.20.20.000.000.00.000</v>
      </c>
      <c r="D535" s="633"/>
      <c r="F535" s="633"/>
      <c r="G535" s="633"/>
      <c r="H535" s="633"/>
      <c r="I535" s="633"/>
      <c r="J535" s="579"/>
      <c r="K535" s="579"/>
      <c r="L535" s="579"/>
      <c r="M535" s="579"/>
      <c r="N535" s="579"/>
      <c r="O535" s="631">
        <f t="shared" si="70"/>
        <v>0</v>
      </c>
      <c r="P535" s="579"/>
      <c r="Q535" s="579"/>
    </row>
    <row r="536" spans="1:17" s="624" customFormat="1" x14ac:dyDescent="0.25">
      <c r="A536" s="551" t="str">
        <f>+Info!$B$2</f>
        <v>724</v>
      </c>
      <c r="B536" s="226" t="s">
        <v>1928</v>
      </c>
      <c r="C536" s="226" t="str">
        <f t="shared" si="68"/>
        <v>3.10.20.20.000.000.00.000</v>
      </c>
      <c r="D536" s="633"/>
      <c r="F536" s="633"/>
      <c r="G536" s="633"/>
      <c r="H536" s="633"/>
      <c r="I536" s="633"/>
      <c r="J536" s="579"/>
      <c r="K536" s="579"/>
      <c r="L536" s="579"/>
      <c r="M536" s="579"/>
      <c r="N536" s="579"/>
      <c r="O536" s="631">
        <f t="shared" si="70"/>
        <v>0</v>
      </c>
      <c r="P536" s="579"/>
      <c r="Q536" s="579"/>
    </row>
    <row r="537" spans="1:17" s="624" customFormat="1" x14ac:dyDescent="0.25">
      <c r="A537" s="551" t="str">
        <f>+Info!$B$2</f>
        <v>724</v>
      </c>
      <c r="B537" s="226" t="s">
        <v>1928</v>
      </c>
      <c r="C537" s="226" t="str">
        <f t="shared" si="68"/>
        <v>3.10.20.20.000.000.00.000</v>
      </c>
      <c r="D537" s="633"/>
      <c r="F537" s="633"/>
      <c r="G537" s="633"/>
      <c r="H537" s="633"/>
      <c r="I537" s="633"/>
      <c r="J537" s="579"/>
      <c r="K537" s="579"/>
      <c r="L537" s="579"/>
      <c r="M537" s="579"/>
      <c r="N537" s="579"/>
      <c r="O537" s="631">
        <f t="shared" si="70"/>
        <v>0</v>
      </c>
      <c r="P537" s="579"/>
      <c r="Q537" s="579"/>
    </row>
    <row r="538" spans="1:17" s="624" customFormat="1" x14ac:dyDescent="0.25">
      <c r="A538" s="551" t="str">
        <f>+Info!$B$2</f>
        <v>724</v>
      </c>
      <c r="B538" s="226" t="s">
        <v>1928</v>
      </c>
      <c r="C538" s="226" t="str">
        <f t="shared" si="68"/>
        <v>3.10.20.20.000.000.00.000</v>
      </c>
      <c r="D538" s="633"/>
      <c r="F538" s="633"/>
      <c r="G538" s="633"/>
      <c r="H538" s="633"/>
      <c r="I538" s="633"/>
      <c r="J538" s="579"/>
      <c r="K538" s="579"/>
      <c r="L538" s="579"/>
      <c r="M538" s="579"/>
      <c r="N538" s="579"/>
      <c r="O538" s="631">
        <f t="shared" si="70"/>
        <v>0</v>
      </c>
      <c r="P538" s="579"/>
      <c r="Q538" s="579"/>
    </row>
    <row r="539" spans="1:17" s="624" customFormat="1" x14ac:dyDescent="0.25">
      <c r="A539" s="551" t="str">
        <f>+Info!$B$2</f>
        <v>724</v>
      </c>
      <c r="B539" s="226" t="s">
        <v>1928</v>
      </c>
      <c r="C539" s="226" t="str">
        <f t="shared" si="68"/>
        <v>3.10.20.20.000.000.00.000</v>
      </c>
      <c r="D539" s="633"/>
      <c r="F539" s="633"/>
      <c r="G539" s="633"/>
      <c r="H539" s="633"/>
      <c r="I539" s="633"/>
      <c r="J539" s="579"/>
      <c r="K539" s="579"/>
      <c r="L539" s="579"/>
      <c r="M539" s="579"/>
      <c r="N539" s="579"/>
      <c r="O539" s="631">
        <f t="shared" si="70"/>
        <v>0</v>
      </c>
      <c r="P539" s="579"/>
      <c r="Q539" s="579"/>
    </row>
    <row r="540" spans="1:17" s="624" customFormat="1" x14ac:dyDescent="0.25">
      <c r="A540" s="551" t="str">
        <f>+Info!$B$2</f>
        <v>724</v>
      </c>
      <c r="B540" s="226" t="s">
        <v>1928</v>
      </c>
      <c r="C540" s="226" t="str">
        <f t="shared" si="68"/>
        <v>3.10.20.20.000.000.00.000</v>
      </c>
      <c r="D540" s="633"/>
      <c r="F540" s="633"/>
      <c r="G540" s="633"/>
      <c r="H540" s="633"/>
      <c r="I540" s="633"/>
      <c r="J540" s="579"/>
      <c r="K540" s="579"/>
      <c r="L540" s="579"/>
      <c r="M540" s="579"/>
      <c r="N540" s="579"/>
      <c r="O540" s="631">
        <f t="shared" si="70"/>
        <v>0</v>
      </c>
      <c r="P540" s="579"/>
      <c r="Q540" s="579"/>
    </row>
    <row r="541" spans="1:17" s="624" customFormat="1" x14ac:dyDescent="0.25">
      <c r="A541" s="551" t="str">
        <f>+Info!$B$2</f>
        <v>724</v>
      </c>
      <c r="B541" s="226" t="s">
        <v>1928</v>
      </c>
      <c r="C541" s="226" t="str">
        <f t="shared" si="68"/>
        <v>3.10.20.20.000.000.00.000</v>
      </c>
      <c r="D541" s="633"/>
      <c r="F541" s="633"/>
      <c r="G541" s="633"/>
      <c r="H541" s="633"/>
      <c r="I541" s="633"/>
      <c r="J541" s="579"/>
      <c r="K541" s="579"/>
      <c r="L541" s="579"/>
      <c r="M541" s="579"/>
      <c r="N541" s="579"/>
      <c r="O541" s="631">
        <f t="shared" si="70"/>
        <v>0</v>
      </c>
      <c r="P541" s="579"/>
      <c r="Q541" s="579"/>
    </row>
    <row r="542" spans="1:17" s="624" customFormat="1" x14ac:dyDescent="0.25">
      <c r="A542" s="551" t="str">
        <f>+Info!$B$2</f>
        <v>724</v>
      </c>
      <c r="B542" s="226" t="s">
        <v>1928</v>
      </c>
      <c r="C542" s="226" t="str">
        <f t="shared" si="68"/>
        <v>3.10.20.20.000.000.00.000</v>
      </c>
      <c r="D542" s="633"/>
      <c r="F542" s="633"/>
      <c r="G542" s="633"/>
      <c r="H542" s="633"/>
      <c r="I542" s="633"/>
      <c r="J542" s="579"/>
      <c r="K542" s="579"/>
      <c r="L542" s="579"/>
      <c r="M542" s="579"/>
      <c r="N542" s="579"/>
      <c r="O542" s="631">
        <f t="shared" si="70"/>
        <v>0</v>
      </c>
      <c r="P542" s="579"/>
      <c r="Q542" s="579"/>
    </row>
    <row r="543" spans="1:17" s="624" customFormat="1" x14ac:dyDescent="0.25">
      <c r="A543" s="551" t="str">
        <f>+Info!$B$2</f>
        <v>724</v>
      </c>
      <c r="B543" s="226" t="s">
        <v>1928</v>
      </c>
      <c r="C543" s="226" t="str">
        <f t="shared" si="68"/>
        <v>3.10.20.20.000.000.00.000</v>
      </c>
      <c r="D543" s="633"/>
      <c r="F543" s="633"/>
      <c r="G543" s="633"/>
      <c r="H543" s="633"/>
      <c r="I543" s="633"/>
      <c r="J543" s="579"/>
      <c r="K543" s="579"/>
      <c r="L543" s="579"/>
      <c r="M543" s="579"/>
      <c r="N543" s="579"/>
      <c r="O543" s="631">
        <f t="shared" si="70"/>
        <v>0</v>
      </c>
      <c r="P543" s="579"/>
      <c r="Q543" s="579"/>
    </row>
    <row r="544" spans="1:17" s="624" customFormat="1" x14ac:dyDescent="0.25">
      <c r="A544" s="551" t="str">
        <f>+Info!$B$2</f>
        <v>724</v>
      </c>
      <c r="B544" s="226" t="s">
        <v>1928</v>
      </c>
      <c r="C544" s="226" t="str">
        <f t="shared" si="68"/>
        <v>3.10.20.20.000.000.00.000</v>
      </c>
      <c r="D544" s="633"/>
      <c r="F544" s="633"/>
      <c r="G544" s="633"/>
      <c r="H544" s="633"/>
      <c r="I544" s="633"/>
      <c r="J544" s="579"/>
      <c r="K544" s="579"/>
      <c r="L544" s="579"/>
      <c r="M544" s="579"/>
      <c r="N544" s="579"/>
      <c r="O544" s="631">
        <f t="shared" si="70"/>
        <v>0</v>
      </c>
      <c r="P544" s="579"/>
      <c r="Q544" s="579"/>
    </row>
    <row r="545" spans="1:32" s="624" customFormat="1" x14ac:dyDescent="0.25">
      <c r="A545" s="551" t="str">
        <f>+Info!$B$2</f>
        <v>724</v>
      </c>
      <c r="B545" s="226" t="s">
        <v>1928</v>
      </c>
      <c r="C545" s="226" t="str">
        <f t="shared" si="68"/>
        <v>3.10.20.20.000.000.00.000</v>
      </c>
      <c r="D545" s="633"/>
      <c r="F545" s="633"/>
      <c r="G545" s="633"/>
      <c r="H545" s="633"/>
      <c r="I545" s="633"/>
      <c r="J545" s="579"/>
      <c r="K545" s="579"/>
      <c r="L545" s="579"/>
      <c r="M545" s="579"/>
      <c r="N545" s="579"/>
      <c r="O545" s="631">
        <f t="shared" si="70"/>
        <v>0</v>
      </c>
      <c r="P545" s="579"/>
      <c r="Q545" s="579"/>
    </row>
    <row r="546" spans="1:32" s="624" customFormat="1" x14ac:dyDescent="0.25">
      <c r="A546" s="551" t="str">
        <f>+Info!$B$2</f>
        <v>724</v>
      </c>
      <c r="B546" s="226" t="s">
        <v>1928</v>
      </c>
      <c r="C546" s="226" t="str">
        <f t="shared" si="68"/>
        <v>3.10.20.20.000.000.00.000</v>
      </c>
      <c r="D546" s="633"/>
      <c r="F546" s="633"/>
      <c r="G546" s="633"/>
      <c r="H546" s="633"/>
      <c r="I546" s="633"/>
      <c r="J546" s="579"/>
      <c r="K546" s="579"/>
      <c r="L546" s="579"/>
      <c r="M546" s="579"/>
      <c r="N546" s="579"/>
      <c r="O546" s="631">
        <f t="shared" si="70"/>
        <v>0</v>
      </c>
      <c r="P546" s="579"/>
      <c r="Q546" s="579"/>
    </row>
    <row r="547" spans="1:32" s="624" customFormat="1" x14ac:dyDescent="0.25">
      <c r="A547" s="551" t="str">
        <f>+Info!$B$2</f>
        <v>724</v>
      </c>
      <c r="B547" s="226" t="s">
        <v>1928</v>
      </c>
      <c r="C547" s="226" t="str">
        <f t="shared" si="68"/>
        <v>3.10.20.20.000.000.00.000</v>
      </c>
      <c r="D547" s="633"/>
      <c r="F547" s="633"/>
      <c r="G547" s="633"/>
      <c r="H547" s="633"/>
      <c r="I547" s="633"/>
      <c r="J547" s="579"/>
      <c r="K547" s="579"/>
      <c r="L547" s="579"/>
      <c r="M547" s="579"/>
      <c r="N547" s="579"/>
      <c r="O547" s="631">
        <f t="shared" si="70"/>
        <v>0</v>
      </c>
      <c r="P547" s="579"/>
      <c r="Q547" s="579"/>
    </row>
    <row r="548" spans="1:32" s="624" customFormat="1" x14ac:dyDescent="0.25">
      <c r="A548" s="551" t="str">
        <f>+Info!$B$2</f>
        <v>724</v>
      </c>
      <c r="B548" s="226" t="s">
        <v>1928</v>
      </c>
      <c r="C548" s="226" t="str">
        <f t="shared" si="68"/>
        <v>3.10.20.20.000.000.00.000</v>
      </c>
      <c r="D548" s="633"/>
      <c r="F548" s="633"/>
      <c r="G548" s="633"/>
      <c r="H548" s="633"/>
      <c r="I548" s="633"/>
      <c r="J548" s="579"/>
      <c r="K548" s="579"/>
      <c r="L548" s="579"/>
      <c r="M548" s="579"/>
      <c r="N548" s="579"/>
      <c r="O548" s="631">
        <f t="shared" si="70"/>
        <v>0</v>
      </c>
      <c r="P548" s="579"/>
      <c r="Q548" s="579"/>
    </row>
    <row r="549" spans="1:32" s="624" customFormat="1" x14ac:dyDescent="0.25">
      <c r="A549" s="551" t="str">
        <f>+Info!$B$2</f>
        <v>724</v>
      </c>
      <c r="B549" s="226" t="s">
        <v>1928</v>
      </c>
      <c r="C549" s="226" t="str">
        <f t="shared" si="68"/>
        <v>3.10.20.20.000.000.00.000</v>
      </c>
      <c r="D549" s="633"/>
      <c r="F549" s="633"/>
      <c r="G549" s="633"/>
      <c r="H549" s="633"/>
      <c r="I549" s="633"/>
      <c r="J549" s="579"/>
      <c r="K549" s="579"/>
      <c r="L549" s="579"/>
      <c r="M549" s="579"/>
      <c r="N549" s="579"/>
      <c r="O549" s="631">
        <f t="shared" si="70"/>
        <v>0</v>
      </c>
      <c r="P549" s="579"/>
      <c r="Q549" s="579"/>
    </row>
    <row r="550" spans="1:32" s="624" customFormat="1" ht="15" customHeight="1" x14ac:dyDescent="0.25">
      <c r="A550" s="551" t="str">
        <f>+Info!$B$2</f>
        <v>724</v>
      </c>
      <c r="B550" s="626" t="s">
        <v>1947</v>
      </c>
      <c r="C550" s="626" t="s">
        <v>1948</v>
      </c>
      <c r="D550" s="634" t="s">
        <v>4329</v>
      </c>
      <c r="E550" s="569">
        <f>SUMIF('NI-Ric_SP'!$C:$C,$C550,'NI-Ric_SP'!$Z:$Z)</f>
        <v>0</v>
      </c>
      <c r="F550" s="923" t="str">
        <f>IF(E550=Dettaglio_SP_Ric!O550,"Quadratura OK!","Squadratura con saldo finale di Bilancio!")</f>
        <v>Quadratura OK!</v>
      </c>
      <c r="G550" s="923"/>
      <c r="H550" s="923"/>
      <c r="I550" s="923"/>
      <c r="J550" s="628">
        <f t="shared" ref="J550:Q550" si="71">+J551+J552</f>
        <v>0</v>
      </c>
      <c r="K550" s="628">
        <f t="shared" si="71"/>
        <v>0</v>
      </c>
      <c r="L550" s="628">
        <f t="shared" si="71"/>
        <v>0</v>
      </c>
      <c r="M550" s="628">
        <f t="shared" si="71"/>
        <v>0</v>
      </c>
      <c r="N550" s="628">
        <f t="shared" si="71"/>
        <v>0</v>
      </c>
      <c r="O550" s="628">
        <f t="shared" si="71"/>
        <v>0</v>
      </c>
      <c r="P550" s="628">
        <f t="shared" si="71"/>
        <v>0</v>
      </c>
      <c r="Q550" s="628">
        <f t="shared" si="71"/>
        <v>0</v>
      </c>
      <c r="AC550" s="624" t="str">
        <f>C550</f>
        <v>3.10.20.30.000.000.00.000</v>
      </c>
      <c r="AD550" s="629">
        <f>O550</f>
        <v>0</v>
      </c>
      <c r="AE550" s="629">
        <f>E550</f>
        <v>0</v>
      </c>
      <c r="AF550" s="551">
        <f>IF($AD550=$AE550,0,1)</f>
        <v>0</v>
      </c>
    </row>
    <row r="551" spans="1:32" s="624" customFormat="1" ht="15" customHeight="1" x14ac:dyDescent="0.25">
      <c r="A551" s="551" t="str">
        <f>+Info!$B$2</f>
        <v>724</v>
      </c>
      <c r="B551" s="226" t="s">
        <v>1947</v>
      </c>
      <c r="C551" s="226" t="str">
        <f t="shared" ref="C551:C602" si="72">$C$550</f>
        <v>3.10.20.30.000.000.00.000</v>
      </c>
      <c r="D551" s="630" t="str">
        <f>"    ... assegnati in data antecedente al 1/1/"&amp;Info!$B$3-2</f>
        <v xml:space="preserve">    ... assegnati in data antecedente al 1/1/2018</v>
      </c>
      <c r="F551" s="923"/>
      <c r="G551" s="923"/>
      <c r="H551" s="923"/>
      <c r="I551" s="923"/>
      <c r="J551" s="579"/>
      <c r="K551" s="579"/>
      <c r="L551" s="579"/>
      <c r="M551" s="579"/>
      <c r="N551" s="579"/>
      <c r="O551" s="631">
        <f>+J551+K551+L551-M551+N551</f>
        <v>0</v>
      </c>
      <c r="P551" s="579"/>
      <c r="Q551" s="579"/>
    </row>
    <row r="552" spans="1:32" s="624" customFormat="1" ht="15" customHeight="1" x14ac:dyDescent="0.25">
      <c r="A552" s="551" t="str">
        <f>+Info!$B$2</f>
        <v>724</v>
      </c>
      <c r="B552" s="226" t="s">
        <v>1947</v>
      </c>
      <c r="C552" s="226" t="str">
        <f t="shared" si="72"/>
        <v>3.10.20.30.000.000.00.000</v>
      </c>
      <c r="D552" s="632" t="str">
        <f>"    ... assegnati a partire dal 1/1/"&amp;Info!$B$3-2&amp;"..dettagliare"</f>
        <v xml:space="preserve">    ... assegnati a partire dal 1/1/2018..dettagliare</v>
      </c>
      <c r="F552" s="923"/>
      <c r="G552" s="923"/>
      <c r="H552" s="923"/>
      <c r="I552" s="923"/>
      <c r="J552" s="628">
        <f t="shared" ref="J552:Q552" si="73">SUM(J553:J602)</f>
        <v>0</v>
      </c>
      <c r="K552" s="628">
        <f t="shared" si="73"/>
        <v>0</v>
      </c>
      <c r="L552" s="628">
        <f t="shared" si="73"/>
        <v>0</v>
      </c>
      <c r="M552" s="628">
        <f t="shared" si="73"/>
        <v>0</v>
      </c>
      <c r="N552" s="628">
        <f t="shared" si="73"/>
        <v>0</v>
      </c>
      <c r="O552" s="628">
        <f t="shared" si="73"/>
        <v>0</v>
      </c>
      <c r="P552" s="628">
        <f t="shared" si="73"/>
        <v>0</v>
      </c>
      <c r="Q552" s="628">
        <f t="shared" si="73"/>
        <v>0</v>
      </c>
    </row>
    <row r="553" spans="1:32" s="624" customFormat="1" x14ac:dyDescent="0.25">
      <c r="A553" s="551" t="str">
        <f>+Info!$B$2</f>
        <v>724</v>
      </c>
      <c r="B553" s="226" t="s">
        <v>1947</v>
      </c>
      <c r="C553" s="226" t="str">
        <f t="shared" si="72"/>
        <v>3.10.20.30.000.000.00.000</v>
      </c>
      <c r="D553" s="633"/>
      <c r="F553" s="633"/>
      <c r="G553" s="633"/>
      <c r="H553" s="633"/>
      <c r="I553" s="633"/>
      <c r="J553" s="579"/>
      <c r="K553" s="579"/>
      <c r="L553" s="579"/>
      <c r="M553" s="579"/>
      <c r="N553" s="579"/>
      <c r="O553" s="631">
        <f t="shared" ref="O553:O602" si="74">+J553+K553+L553-M553+N553</f>
        <v>0</v>
      </c>
      <c r="P553" s="579"/>
      <c r="Q553" s="579"/>
    </row>
    <row r="554" spans="1:32" s="624" customFormat="1" x14ac:dyDescent="0.25">
      <c r="A554" s="551" t="str">
        <f>+Info!$B$2</f>
        <v>724</v>
      </c>
      <c r="B554" s="226" t="s">
        <v>1947</v>
      </c>
      <c r="C554" s="226" t="str">
        <f t="shared" si="72"/>
        <v>3.10.20.30.000.000.00.000</v>
      </c>
      <c r="D554" s="633"/>
      <c r="F554" s="633"/>
      <c r="G554" s="633"/>
      <c r="H554" s="633"/>
      <c r="I554" s="633"/>
      <c r="J554" s="579"/>
      <c r="K554" s="579"/>
      <c r="L554" s="579"/>
      <c r="M554" s="579"/>
      <c r="N554" s="579"/>
      <c r="O554" s="631">
        <f t="shared" si="74"/>
        <v>0</v>
      </c>
      <c r="P554" s="579"/>
      <c r="Q554" s="579"/>
    </row>
    <row r="555" spans="1:32" s="624" customFormat="1" x14ac:dyDescent="0.25">
      <c r="A555" s="551" t="str">
        <f>+Info!$B$2</f>
        <v>724</v>
      </c>
      <c r="B555" s="226" t="s">
        <v>1947</v>
      </c>
      <c r="C555" s="226" t="str">
        <f t="shared" si="72"/>
        <v>3.10.20.30.000.000.00.000</v>
      </c>
      <c r="D555" s="633"/>
      <c r="F555" s="633"/>
      <c r="G555" s="633"/>
      <c r="H555" s="633"/>
      <c r="I555" s="633"/>
      <c r="J555" s="579"/>
      <c r="K555" s="579"/>
      <c r="L555" s="579"/>
      <c r="M555" s="579"/>
      <c r="N555" s="579"/>
      <c r="O555" s="631">
        <f t="shared" si="74"/>
        <v>0</v>
      </c>
      <c r="P555" s="579"/>
      <c r="Q555" s="579"/>
    </row>
    <row r="556" spans="1:32" s="624" customFormat="1" x14ac:dyDescent="0.25">
      <c r="A556" s="551" t="str">
        <f>+Info!$B$2</f>
        <v>724</v>
      </c>
      <c r="B556" s="226" t="s">
        <v>1947</v>
      </c>
      <c r="C556" s="226" t="str">
        <f t="shared" si="72"/>
        <v>3.10.20.30.000.000.00.000</v>
      </c>
      <c r="D556" s="633"/>
      <c r="F556" s="633"/>
      <c r="G556" s="633"/>
      <c r="H556" s="633"/>
      <c r="I556" s="633"/>
      <c r="J556" s="579"/>
      <c r="K556" s="579"/>
      <c r="L556" s="579"/>
      <c r="M556" s="579"/>
      <c r="N556" s="579"/>
      <c r="O556" s="631">
        <f t="shared" si="74"/>
        <v>0</v>
      </c>
      <c r="P556" s="579"/>
      <c r="Q556" s="579"/>
    </row>
    <row r="557" spans="1:32" s="624" customFormat="1" x14ac:dyDescent="0.25">
      <c r="A557" s="551" t="str">
        <f>+Info!$B$2</f>
        <v>724</v>
      </c>
      <c r="B557" s="226" t="s">
        <v>1947</v>
      </c>
      <c r="C557" s="226" t="str">
        <f t="shared" si="72"/>
        <v>3.10.20.30.000.000.00.000</v>
      </c>
      <c r="D557" s="633"/>
      <c r="F557" s="633"/>
      <c r="G557" s="633"/>
      <c r="H557" s="633"/>
      <c r="I557" s="633"/>
      <c r="J557" s="579"/>
      <c r="K557" s="579"/>
      <c r="L557" s="579"/>
      <c r="M557" s="579"/>
      <c r="N557" s="579"/>
      <c r="O557" s="631">
        <f t="shared" si="74"/>
        <v>0</v>
      </c>
      <c r="P557" s="579"/>
      <c r="Q557" s="579"/>
    </row>
    <row r="558" spans="1:32" s="624" customFormat="1" x14ac:dyDescent="0.25">
      <c r="A558" s="551" t="str">
        <f>+Info!$B$2</f>
        <v>724</v>
      </c>
      <c r="B558" s="226" t="s">
        <v>1947</v>
      </c>
      <c r="C558" s="226" t="str">
        <f t="shared" si="72"/>
        <v>3.10.20.30.000.000.00.000</v>
      </c>
      <c r="D558" s="633"/>
      <c r="F558" s="633"/>
      <c r="G558" s="633"/>
      <c r="H558" s="633"/>
      <c r="I558" s="633"/>
      <c r="J558" s="579"/>
      <c r="K558" s="579"/>
      <c r="L558" s="579"/>
      <c r="M558" s="579"/>
      <c r="N558" s="579"/>
      <c r="O558" s="631">
        <f t="shared" si="74"/>
        <v>0</v>
      </c>
      <c r="P558" s="579"/>
      <c r="Q558" s="579"/>
    </row>
    <row r="559" spans="1:32" s="624" customFormat="1" x14ac:dyDescent="0.25">
      <c r="A559" s="551" t="str">
        <f>+Info!$B$2</f>
        <v>724</v>
      </c>
      <c r="B559" s="226" t="s">
        <v>1947</v>
      </c>
      <c r="C559" s="226" t="str">
        <f t="shared" si="72"/>
        <v>3.10.20.30.000.000.00.000</v>
      </c>
      <c r="D559" s="633"/>
      <c r="F559" s="633"/>
      <c r="G559" s="633"/>
      <c r="H559" s="633"/>
      <c r="I559" s="633"/>
      <c r="J559" s="579"/>
      <c r="K559" s="579"/>
      <c r="L559" s="579"/>
      <c r="M559" s="579"/>
      <c r="N559" s="579"/>
      <c r="O559" s="631">
        <f t="shared" si="74"/>
        <v>0</v>
      </c>
      <c r="P559" s="579"/>
      <c r="Q559" s="579"/>
    </row>
    <row r="560" spans="1:32" s="624" customFormat="1" x14ac:dyDescent="0.25">
      <c r="A560" s="551" t="str">
        <f>+Info!$B$2</f>
        <v>724</v>
      </c>
      <c r="B560" s="226" t="s">
        <v>1947</v>
      </c>
      <c r="C560" s="226" t="str">
        <f t="shared" si="72"/>
        <v>3.10.20.30.000.000.00.000</v>
      </c>
      <c r="D560" s="633"/>
      <c r="F560" s="633"/>
      <c r="G560" s="633"/>
      <c r="H560" s="633"/>
      <c r="I560" s="633"/>
      <c r="J560" s="579"/>
      <c r="K560" s="579"/>
      <c r="L560" s="579"/>
      <c r="M560" s="579"/>
      <c r="N560" s="579"/>
      <c r="O560" s="631">
        <f t="shared" si="74"/>
        <v>0</v>
      </c>
      <c r="P560" s="579"/>
      <c r="Q560" s="579"/>
    </row>
    <row r="561" spans="1:17" s="624" customFormat="1" x14ac:dyDescent="0.25">
      <c r="A561" s="551" t="str">
        <f>+Info!$B$2</f>
        <v>724</v>
      </c>
      <c r="B561" s="226" t="s">
        <v>1947</v>
      </c>
      <c r="C561" s="226" t="str">
        <f t="shared" si="72"/>
        <v>3.10.20.30.000.000.00.000</v>
      </c>
      <c r="D561" s="633"/>
      <c r="F561" s="633"/>
      <c r="G561" s="633"/>
      <c r="H561" s="633"/>
      <c r="I561" s="633"/>
      <c r="J561" s="579"/>
      <c r="K561" s="579"/>
      <c r="L561" s="579"/>
      <c r="M561" s="579"/>
      <c r="N561" s="579"/>
      <c r="O561" s="631">
        <f t="shared" si="74"/>
        <v>0</v>
      </c>
      <c r="P561" s="579"/>
      <c r="Q561" s="579"/>
    </row>
    <row r="562" spans="1:17" s="624" customFormat="1" x14ac:dyDescent="0.25">
      <c r="A562" s="551" t="str">
        <f>+Info!$B$2</f>
        <v>724</v>
      </c>
      <c r="B562" s="226" t="s">
        <v>1947</v>
      </c>
      <c r="C562" s="226" t="str">
        <f t="shared" si="72"/>
        <v>3.10.20.30.000.000.00.000</v>
      </c>
      <c r="D562" s="633"/>
      <c r="F562" s="633"/>
      <c r="G562" s="633"/>
      <c r="H562" s="633"/>
      <c r="I562" s="633"/>
      <c r="J562" s="579"/>
      <c r="K562" s="579"/>
      <c r="L562" s="579"/>
      <c r="M562" s="579"/>
      <c r="N562" s="579"/>
      <c r="O562" s="631">
        <f t="shared" si="74"/>
        <v>0</v>
      </c>
      <c r="P562" s="579"/>
      <c r="Q562" s="579"/>
    </row>
    <row r="563" spans="1:17" s="624" customFormat="1" x14ac:dyDescent="0.25">
      <c r="A563" s="551" t="str">
        <f>+Info!$B$2</f>
        <v>724</v>
      </c>
      <c r="B563" s="226" t="s">
        <v>1947</v>
      </c>
      <c r="C563" s="226" t="str">
        <f t="shared" si="72"/>
        <v>3.10.20.30.000.000.00.000</v>
      </c>
      <c r="D563" s="633"/>
      <c r="F563" s="633"/>
      <c r="G563" s="633"/>
      <c r="H563" s="633"/>
      <c r="I563" s="633"/>
      <c r="J563" s="579"/>
      <c r="K563" s="579"/>
      <c r="L563" s="579"/>
      <c r="M563" s="579"/>
      <c r="N563" s="579"/>
      <c r="O563" s="631">
        <f t="shared" si="74"/>
        <v>0</v>
      </c>
      <c r="P563" s="579"/>
      <c r="Q563" s="579"/>
    </row>
    <row r="564" spans="1:17" s="624" customFormat="1" x14ac:dyDescent="0.25">
      <c r="A564" s="551" t="str">
        <f>+Info!$B$2</f>
        <v>724</v>
      </c>
      <c r="B564" s="226" t="s">
        <v>1947</v>
      </c>
      <c r="C564" s="226" t="str">
        <f t="shared" si="72"/>
        <v>3.10.20.30.000.000.00.000</v>
      </c>
      <c r="D564" s="633"/>
      <c r="F564" s="633"/>
      <c r="G564" s="633"/>
      <c r="H564" s="633"/>
      <c r="I564" s="633"/>
      <c r="J564" s="579"/>
      <c r="K564" s="579"/>
      <c r="L564" s="579"/>
      <c r="M564" s="579"/>
      <c r="N564" s="579"/>
      <c r="O564" s="631">
        <f t="shared" si="74"/>
        <v>0</v>
      </c>
      <c r="P564" s="579"/>
      <c r="Q564" s="579"/>
    </row>
    <row r="565" spans="1:17" s="624" customFormat="1" x14ac:dyDescent="0.25">
      <c r="A565" s="551" t="str">
        <f>+Info!$B$2</f>
        <v>724</v>
      </c>
      <c r="B565" s="226" t="s">
        <v>1947</v>
      </c>
      <c r="C565" s="226" t="str">
        <f t="shared" si="72"/>
        <v>3.10.20.30.000.000.00.000</v>
      </c>
      <c r="D565" s="633"/>
      <c r="F565" s="633"/>
      <c r="G565" s="633"/>
      <c r="H565" s="633"/>
      <c r="I565" s="633"/>
      <c r="J565" s="579"/>
      <c r="K565" s="579"/>
      <c r="L565" s="579"/>
      <c r="M565" s="579"/>
      <c r="N565" s="579"/>
      <c r="O565" s="631">
        <f t="shared" si="74"/>
        <v>0</v>
      </c>
      <c r="P565" s="579"/>
      <c r="Q565" s="579"/>
    </row>
    <row r="566" spans="1:17" s="624" customFormat="1" x14ac:dyDescent="0.25">
      <c r="A566" s="551" t="str">
        <f>+Info!$B$2</f>
        <v>724</v>
      </c>
      <c r="B566" s="226" t="s">
        <v>1947</v>
      </c>
      <c r="C566" s="226" t="str">
        <f t="shared" si="72"/>
        <v>3.10.20.30.000.000.00.000</v>
      </c>
      <c r="D566" s="633"/>
      <c r="F566" s="633"/>
      <c r="G566" s="633"/>
      <c r="H566" s="633"/>
      <c r="I566" s="633"/>
      <c r="J566" s="579"/>
      <c r="K566" s="579"/>
      <c r="L566" s="579"/>
      <c r="M566" s="579"/>
      <c r="N566" s="579"/>
      <c r="O566" s="631">
        <f t="shared" si="74"/>
        <v>0</v>
      </c>
      <c r="P566" s="579"/>
      <c r="Q566" s="579"/>
    </row>
    <row r="567" spans="1:17" s="624" customFormat="1" x14ac:dyDescent="0.25">
      <c r="A567" s="551" t="str">
        <f>+Info!$B$2</f>
        <v>724</v>
      </c>
      <c r="B567" s="226" t="s">
        <v>1947</v>
      </c>
      <c r="C567" s="226" t="str">
        <f t="shared" si="72"/>
        <v>3.10.20.30.000.000.00.000</v>
      </c>
      <c r="D567" s="633"/>
      <c r="F567" s="633"/>
      <c r="G567" s="633"/>
      <c r="H567" s="633"/>
      <c r="I567" s="633"/>
      <c r="J567" s="579"/>
      <c r="K567" s="579"/>
      <c r="L567" s="579"/>
      <c r="M567" s="579"/>
      <c r="N567" s="579"/>
      <c r="O567" s="631">
        <f t="shared" si="74"/>
        <v>0</v>
      </c>
      <c r="P567" s="579"/>
      <c r="Q567" s="579"/>
    </row>
    <row r="568" spans="1:17" s="624" customFormat="1" x14ac:dyDescent="0.25">
      <c r="A568" s="551" t="str">
        <f>+Info!$B$2</f>
        <v>724</v>
      </c>
      <c r="B568" s="226" t="s">
        <v>1947</v>
      </c>
      <c r="C568" s="226" t="str">
        <f t="shared" si="72"/>
        <v>3.10.20.30.000.000.00.000</v>
      </c>
      <c r="D568" s="633"/>
      <c r="F568" s="633"/>
      <c r="G568" s="633"/>
      <c r="H568" s="633"/>
      <c r="I568" s="633"/>
      <c r="J568" s="579"/>
      <c r="K568" s="579"/>
      <c r="L568" s="579"/>
      <c r="M568" s="579"/>
      <c r="N568" s="579"/>
      <c r="O568" s="631">
        <f t="shared" si="74"/>
        <v>0</v>
      </c>
      <c r="P568" s="579"/>
      <c r="Q568" s="579"/>
    </row>
    <row r="569" spans="1:17" s="624" customFormat="1" x14ac:dyDescent="0.25">
      <c r="A569" s="551" t="str">
        <f>+Info!$B$2</f>
        <v>724</v>
      </c>
      <c r="B569" s="226" t="s">
        <v>1947</v>
      </c>
      <c r="C569" s="226" t="str">
        <f t="shared" si="72"/>
        <v>3.10.20.30.000.000.00.000</v>
      </c>
      <c r="D569" s="633"/>
      <c r="F569" s="633"/>
      <c r="G569" s="633"/>
      <c r="H569" s="633"/>
      <c r="I569" s="633"/>
      <c r="J569" s="579"/>
      <c r="K569" s="579"/>
      <c r="L569" s="579"/>
      <c r="M569" s="579"/>
      <c r="N569" s="579"/>
      <c r="O569" s="631">
        <f t="shared" si="74"/>
        <v>0</v>
      </c>
      <c r="P569" s="579"/>
      <c r="Q569" s="579"/>
    </row>
    <row r="570" spans="1:17" s="624" customFormat="1" x14ac:dyDescent="0.25">
      <c r="A570" s="551" t="str">
        <f>+Info!$B$2</f>
        <v>724</v>
      </c>
      <c r="B570" s="226" t="s">
        <v>1947</v>
      </c>
      <c r="C570" s="226" t="str">
        <f t="shared" si="72"/>
        <v>3.10.20.30.000.000.00.000</v>
      </c>
      <c r="D570" s="633"/>
      <c r="F570" s="633"/>
      <c r="G570" s="633"/>
      <c r="H570" s="633"/>
      <c r="I570" s="633"/>
      <c r="J570" s="579"/>
      <c r="K570" s="579"/>
      <c r="L570" s="579"/>
      <c r="M570" s="579"/>
      <c r="N570" s="579"/>
      <c r="O570" s="631">
        <f t="shared" si="74"/>
        <v>0</v>
      </c>
      <c r="P570" s="579"/>
      <c r="Q570" s="579"/>
    </row>
    <row r="571" spans="1:17" s="624" customFormat="1" x14ac:dyDescent="0.25">
      <c r="A571" s="551" t="str">
        <f>+Info!$B$2</f>
        <v>724</v>
      </c>
      <c r="B571" s="226" t="s">
        <v>1947</v>
      </c>
      <c r="C571" s="226" t="str">
        <f t="shared" si="72"/>
        <v>3.10.20.30.000.000.00.000</v>
      </c>
      <c r="D571" s="633"/>
      <c r="F571" s="633"/>
      <c r="G571" s="633"/>
      <c r="H571" s="633"/>
      <c r="I571" s="633"/>
      <c r="J571" s="579"/>
      <c r="K571" s="579"/>
      <c r="L571" s="579"/>
      <c r="M571" s="579"/>
      <c r="N571" s="579"/>
      <c r="O571" s="631">
        <f t="shared" si="74"/>
        <v>0</v>
      </c>
      <c r="P571" s="579"/>
      <c r="Q571" s="579"/>
    </row>
    <row r="572" spans="1:17" s="624" customFormat="1" x14ac:dyDescent="0.25">
      <c r="A572" s="551" t="str">
        <f>+Info!$B$2</f>
        <v>724</v>
      </c>
      <c r="B572" s="226" t="s">
        <v>1947</v>
      </c>
      <c r="C572" s="226" t="str">
        <f t="shared" si="72"/>
        <v>3.10.20.30.000.000.00.000</v>
      </c>
      <c r="D572" s="633"/>
      <c r="F572" s="633"/>
      <c r="G572" s="633"/>
      <c r="H572" s="633"/>
      <c r="I572" s="633"/>
      <c r="J572" s="579"/>
      <c r="K572" s="579"/>
      <c r="L572" s="579"/>
      <c r="M572" s="579"/>
      <c r="N572" s="579"/>
      <c r="O572" s="631">
        <f t="shared" si="74"/>
        <v>0</v>
      </c>
      <c r="P572" s="579"/>
      <c r="Q572" s="579"/>
    </row>
    <row r="573" spans="1:17" s="624" customFormat="1" x14ac:dyDescent="0.25">
      <c r="A573" s="551" t="str">
        <f>+Info!$B$2</f>
        <v>724</v>
      </c>
      <c r="B573" s="226" t="s">
        <v>1947</v>
      </c>
      <c r="C573" s="226" t="str">
        <f t="shared" si="72"/>
        <v>3.10.20.30.000.000.00.000</v>
      </c>
      <c r="D573" s="633"/>
      <c r="F573" s="633"/>
      <c r="G573" s="633"/>
      <c r="H573" s="633"/>
      <c r="I573" s="633"/>
      <c r="J573" s="579"/>
      <c r="K573" s="579"/>
      <c r="L573" s="579"/>
      <c r="M573" s="579"/>
      <c r="N573" s="579"/>
      <c r="O573" s="631">
        <f t="shared" si="74"/>
        <v>0</v>
      </c>
      <c r="P573" s="579"/>
      <c r="Q573" s="579"/>
    </row>
    <row r="574" spans="1:17" s="624" customFormat="1" x14ac:dyDescent="0.25">
      <c r="A574" s="551" t="str">
        <f>+Info!$B$2</f>
        <v>724</v>
      </c>
      <c r="B574" s="226" t="s">
        <v>1947</v>
      </c>
      <c r="C574" s="226" t="str">
        <f t="shared" si="72"/>
        <v>3.10.20.30.000.000.00.000</v>
      </c>
      <c r="D574" s="633"/>
      <c r="F574" s="633"/>
      <c r="G574" s="633"/>
      <c r="H574" s="633"/>
      <c r="I574" s="633"/>
      <c r="J574" s="579"/>
      <c r="K574" s="579"/>
      <c r="L574" s="579"/>
      <c r="M574" s="579"/>
      <c r="N574" s="579"/>
      <c r="O574" s="631">
        <f t="shared" si="74"/>
        <v>0</v>
      </c>
      <c r="P574" s="579"/>
      <c r="Q574" s="579"/>
    </row>
    <row r="575" spans="1:17" s="624" customFormat="1" x14ac:dyDescent="0.25">
      <c r="A575" s="551" t="str">
        <f>+Info!$B$2</f>
        <v>724</v>
      </c>
      <c r="B575" s="226" t="s">
        <v>1947</v>
      </c>
      <c r="C575" s="226" t="str">
        <f t="shared" si="72"/>
        <v>3.10.20.30.000.000.00.000</v>
      </c>
      <c r="D575" s="633"/>
      <c r="F575" s="633"/>
      <c r="G575" s="633"/>
      <c r="H575" s="633"/>
      <c r="I575" s="633"/>
      <c r="J575" s="579"/>
      <c r="K575" s="579"/>
      <c r="L575" s="579"/>
      <c r="M575" s="579"/>
      <c r="N575" s="579"/>
      <c r="O575" s="631">
        <f t="shared" si="74"/>
        <v>0</v>
      </c>
      <c r="P575" s="579"/>
      <c r="Q575" s="579"/>
    </row>
    <row r="576" spans="1:17" s="624" customFormat="1" x14ac:dyDescent="0.25">
      <c r="A576" s="551" t="str">
        <f>+Info!$B$2</f>
        <v>724</v>
      </c>
      <c r="B576" s="226" t="s">
        <v>1947</v>
      </c>
      <c r="C576" s="226" t="str">
        <f t="shared" si="72"/>
        <v>3.10.20.30.000.000.00.000</v>
      </c>
      <c r="D576" s="633"/>
      <c r="F576" s="633"/>
      <c r="G576" s="633"/>
      <c r="H576" s="633"/>
      <c r="I576" s="633"/>
      <c r="J576" s="579"/>
      <c r="K576" s="579"/>
      <c r="L576" s="579"/>
      <c r="M576" s="579"/>
      <c r="N576" s="579"/>
      <c r="O576" s="631">
        <f t="shared" si="74"/>
        <v>0</v>
      </c>
      <c r="P576" s="579"/>
      <c r="Q576" s="579"/>
    </row>
    <row r="577" spans="1:17" s="624" customFormat="1" x14ac:dyDescent="0.25">
      <c r="A577" s="551" t="str">
        <f>+Info!$B$2</f>
        <v>724</v>
      </c>
      <c r="B577" s="226" t="s">
        <v>1947</v>
      </c>
      <c r="C577" s="226" t="str">
        <f t="shared" si="72"/>
        <v>3.10.20.30.000.000.00.000</v>
      </c>
      <c r="D577" s="633"/>
      <c r="F577" s="633"/>
      <c r="G577" s="633"/>
      <c r="H577" s="633"/>
      <c r="I577" s="633"/>
      <c r="J577" s="579"/>
      <c r="K577" s="579"/>
      <c r="L577" s="579"/>
      <c r="M577" s="579"/>
      <c r="N577" s="579"/>
      <c r="O577" s="631">
        <f t="shared" si="74"/>
        <v>0</v>
      </c>
      <c r="P577" s="579"/>
      <c r="Q577" s="579"/>
    </row>
    <row r="578" spans="1:17" s="624" customFormat="1" x14ac:dyDescent="0.25">
      <c r="A578" s="551" t="str">
        <f>+Info!$B$2</f>
        <v>724</v>
      </c>
      <c r="B578" s="226" t="s">
        <v>1947</v>
      </c>
      <c r="C578" s="226" t="str">
        <f t="shared" si="72"/>
        <v>3.10.20.30.000.000.00.000</v>
      </c>
      <c r="D578" s="633"/>
      <c r="F578" s="633"/>
      <c r="G578" s="633"/>
      <c r="H578" s="633"/>
      <c r="I578" s="633"/>
      <c r="J578" s="579"/>
      <c r="K578" s="579"/>
      <c r="L578" s="579"/>
      <c r="M578" s="579"/>
      <c r="N578" s="579"/>
      <c r="O578" s="631">
        <f t="shared" si="74"/>
        <v>0</v>
      </c>
      <c r="P578" s="579"/>
      <c r="Q578" s="579"/>
    </row>
    <row r="579" spans="1:17" s="624" customFormat="1" x14ac:dyDescent="0.25">
      <c r="A579" s="551" t="str">
        <f>+Info!$B$2</f>
        <v>724</v>
      </c>
      <c r="B579" s="226" t="s">
        <v>1947</v>
      </c>
      <c r="C579" s="226" t="str">
        <f t="shared" si="72"/>
        <v>3.10.20.30.000.000.00.000</v>
      </c>
      <c r="D579" s="633"/>
      <c r="F579" s="633"/>
      <c r="G579" s="633"/>
      <c r="H579" s="633"/>
      <c r="I579" s="633"/>
      <c r="J579" s="579"/>
      <c r="K579" s="579"/>
      <c r="L579" s="579"/>
      <c r="M579" s="579"/>
      <c r="N579" s="579"/>
      <c r="O579" s="631">
        <f t="shared" si="74"/>
        <v>0</v>
      </c>
      <c r="P579" s="579"/>
      <c r="Q579" s="579"/>
    </row>
    <row r="580" spans="1:17" s="624" customFormat="1" x14ac:dyDescent="0.25">
      <c r="A580" s="551" t="str">
        <f>+Info!$B$2</f>
        <v>724</v>
      </c>
      <c r="B580" s="226" t="s">
        <v>1947</v>
      </c>
      <c r="C580" s="226" t="str">
        <f t="shared" si="72"/>
        <v>3.10.20.30.000.000.00.000</v>
      </c>
      <c r="D580" s="633"/>
      <c r="F580" s="633"/>
      <c r="G580" s="633"/>
      <c r="H580" s="633"/>
      <c r="I580" s="633"/>
      <c r="J580" s="579"/>
      <c r="K580" s="579"/>
      <c r="L580" s="579"/>
      <c r="M580" s="579"/>
      <c r="N580" s="579"/>
      <c r="O580" s="631">
        <f t="shared" si="74"/>
        <v>0</v>
      </c>
      <c r="P580" s="579"/>
      <c r="Q580" s="579"/>
    </row>
    <row r="581" spans="1:17" s="624" customFormat="1" x14ac:dyDescent="0.25">
      <c r="A581" s="551" t="str">
        <f>+Info!$B$2</f>
        <v>724</v>
      </c>
      <c r="B581" s="226" t="s">
        <v>1947</v>
      </c>
      <c r="C581" s="226" t="str">
        <f t="shared" si="72"/>
        <v>3.10.20.30.000.000.00.000</v>
      </c>
      <c r="D581" s="633"/>
      <c r="F581" s="633"/>
      <c r="G581" s="633"/>
      <c r="H581" s="633"/>
      <c r="I581" s="633"/>
      <c r="J581" s="579"/>
      <c r="K581" s="579"/>
      <c r="L581" s="579"/>
      <c r="M581" s="579"/>
      <c r="N581" s="579"/>
      <c r="O581" s="631">
        <f t="shared" si="74"/>
        <v>0</v>
      </c>
      <c r="P581" s="579"/>
      <c r="Q581" s="579"/>
    </row>
    <row r="582" spans="1:17" s="624" customFormat="1" x14ac:dyDescent="0.25">
      <c r="A582" s="551" t="str">
        <f>+Info!$B$2</f>
        <v>724</v>
      </c>
      <c r="B582" s="226" t="s">
        <v>1947</v>
      </c>
      <c r="C582" s="226" t="str">
        <f t="shared" si="72"/>
        <v>3.10.20.30.000.000.00.000</v>
      </c>
      <c r="D582" s="633"/>
      <c r="F582" s="633"/>
      <c r="G582" s="633"/>
      <c r="H582" s="633"/>
      <c r="I582" s="633"/>
      <c r="J582" s="579"/>
      <c r="K582" s="579"/>
      <c r="L582" s="579"/>
      <c r="M582" s="579"/>
      <c r="N582" s="579"/>
      <c r="O582" s="631">
        <f t="shared" si="74"/>
        <v>0</v>
      </c>
      <c r="P582" s="579"/>
      <c r="Q582" s="579"/>
    </row>
    <row r="583" spans="1:17" s="624" customFormat="1" x14ac:dyDescent="0.25">
      <c r="A583" s="551" t="str">
        <f>+Info!$B$2</f>
        <v>724</v>
      </c>
      <c r="B583" s="226" t="s">
        <v>1947</v>
      </c>
      <c r="C583" s="226" t="str">
        <f t="shared" si="72"/>
        <v>3.10.20.30.000.000.00.000</v>
      </c>
      <c r="D583" s="633"/>
      <c r="F583" s="633"/>
      <c r="G583" s="633"/>
      <c r="H583" s="633"/>
      <c r="I583" s="633"/>
      <c r="J583" s="579"/>
      <c r="K583" s="579"/>
      <c r="L583" s="579"/>
      <c r="M583" s="579"/>
      <c r="N583" s="579"/>
      <c r="O583" s="631">
        <f t="shared" si="74"/>
        <v>0</v>
      </c>
      <c r="P583" s="579"/>
      <c r="Q583" s="579"/>
    </row>
    <row r="584" spans="1:17" s="624" customFormat="1" x14ac:dyDescent="0.25">
      <c r="A584" s="551" t="str">
        <f>+Info!$B$2</f>
        <v>724</v>
      </c>
      <c r="B584" s="226" t="s">
        <v>1947</v>
      </c>
      <c r="C584" s="226" t="str">
        <f t="shared" si="72"/>
        <v>3.10.20.30.000.000.00.000</v>
      </c>
      <c r="D584" s="633"/>
      <c r="F584" s="633"/>
      <c r="G584" s="633"/>
      <c r="H584" s="633"/>
      <c r="I584" s="633"/>
      <c r="J584" s="579"/>
      <c r="K584" s="579"/>
      <c r="L584" s="579"/>
      <c r="M584" s="579"/>
      <c r="N584" s="579"/>
      <c r="O584" s="631">
        <f t="shared" si="74"/>
        <v>0</v>
      </c>
      <c r="P584" s="579"/>
      <c r="Q584" s="579"/>
    </row>
    <row r="585" spans="1:17" s="624" customFormat="1" x14ac:dyDescent="0.25">
      <c r="A585" s="551" t="str">
        <f>+Info!$B$2</f>
        <v>724</v>
      </c>
      <c r="B585" s="226" t="s">
        <v>1947</v>
      </c>
      <c r="C585" s="226" t="str">
        <f t="shared" si="72"/>
        <v>3.10.20.30.000.000.00.000</v>
      </c>
      <c r="D585" s="633"/>
      <c r="F585" s="633"/>
      <c r="G585" s="633"/>
      <c r="H585" s="633"/>
      <c r="I585" s="633"/>
      <c r="J585" s="579"/>
      <c r="K585" s="579"/>
      <c r="L585" s="579"/>
      <c r="M585" s="579"/>
      <c r="N585" s="579"/>
      <c r="O585" s="631">
        <f t="shared" si="74"/>
        <v>0</v>
      </c>
      <c r="P585" s="579"/>
      <c r="Q585" s="579"/>
    </row>
    <row r="586" spans="1:17" s="624" customFormat="1" x14ac:dyDescent="0.25">
      <c r="A586" s="551" t="str">
        <f>+Info!$B$2</f>
        <v>724</v>
      </c>
      <c r="B586" s="226" t="s">
        <v>1947</v>
      </c>
      <c r="C586" s="226" t="str">
        <f t="shared" si="72"/>
        <v>3.10.20.30.000.000.00.000</v>
      </c>
      <c r="D586" s="633"/>
      <c r="F586" s="633"/>
      <c r="G586" s="633"/>
      <c r="H586" s="633"/>
      <c r="I586" s="633"/>
      <c r="J586" s="579"/>
      <c r="K586" s="579"/>
      <c r="L586" s="579"/>
      <c r="M586" s="579"/>
      <c r="N586" s="579"/>
      <c r="O586" s="631">
        <f t="shared" si="74"/>
        <v>0</v>
      </c>
      <c r="P586" s="579"/>
      <c r="Q586" s="579"/>
    </row>
    <row r="587" spans="1:17" s="624" customFormat="1" x14ac:dyDescent="0.25">
      <c r="A587" s="551" t="str">
        <f>+Info!$B$2</f>
        <v>724</v>
      </c>
      <c r="B587" s="226" t="s">
        <v>1947</v>
      </c>
      <c r="C587" s="226" t="str">
        <f t="shared" si="72"/>
        <v>3.10.20.30.000.000.00.000</v>
      </c>
      <c r="D587" s="633"/>
      <c r="F587" s="633"/>
      <c r="G587" s="633"/>
      <c r="H587" s="633"/>
      <c r="I587" s="633"/>
      <c r="J587" s="579"/>
      <c r="K587" s="579"/>
      <c r="L587" s="579"/>
      <c r="M587" s="579"/>
      <c r="N587" s="579"/>
      <c r="O587" s="631">
        <f t="shared" si="74"/>
        <v>0</v>
      </c>
      <c r="P587" s="579"/>
      <c r="Q587" s="579"/>
    </row>
    <row r="588" spans="1:17" s="624" customFormat="1" x14ac:dyDescent="0.25">
      <c r="A588" s="551" t="str">
        <f>+Info!$B$2</f>
        <v>724</v>
      </c>
      <c r="B588" s="226" t="s">
        <v>1947</v>
      </c>
      <c r="C588" s="226" t="str">
        <f t="shared" si="72"/>
        <v>3.10.20.30.000.000.00.000</v>
      </c>
      <c r="D588" s="633"/>
      <c r="F588" s="633"/>
      <c r="G588" s="633"/>
      <c r="H588" s="633"/>
      <c r="I588" s="633"/>
      <c r="J588" s="579"/>
      <c r="K588" s="579"/>
      <c r="L588" s="579"/>
      <c r="M588" s="579"/>
      <c r="N588" s="579"/>
      <c r="O588" s="631">
        <f t="shared" si="74"/>
        <v>0</v>
      </c>
      <c r="P588" s="579"/>
      <c r="Q588" s="579"/>
    </row>
    <row r="589" spans="1:17" s="624" customFormat="1" x14ac:dyDescent="0.25">
      <c r="A589" s="551" t="str">
        <f>+Info!$B$2</f>
        <v>724</v>
      </c>
      <c r="B589" s="226" t="s">
        <v>1947</v>
      </c>
      <c r="C589" s="226" t="str">
        <f t="shared" si="72"/>
        <v>3.10.20.30.000.000.00.000</v>
      </c>
      <c r="D589" s="633"/>
      <c r="F589" s="633"/>
      <c r="G589" s="633"/>
      <c r="H589" s="633"/>
      <c r="I589" s="633"/>
      <c r="J589" s="579"/>
      <c r="K589" s="579"/>
      <c r="L589" s="579"/>
      <c r="M589" s="579"/>
      <c r="N589" s="579"/>
      <c r="O589" s="631">
        <f t="shared" si="74"/>
        <v>0</v>
      </c>
      <c r="P589" s="579"/>
      <c r="Q589" s="579"/>
    </row>
    <row r="590" spans="1:17" s="624" customFormat="1" x14ac:dyDescent="0.25">
      <c r="A590" s="551" t="str">
        <f>+Info!$B$2</f>
        <v>724</v>
      </c>
      <c r="B590" s="226" t="s">
        <v>1947</v>
      </c>
      <c r="C590" s="226" t="str">
        <f t="shared" si="72"/>
        <v>3.10.20.30.000.000.00.000</v>
      </c>
      <c r="D590" s="633"/>
      <c r="F590" s="633"/>
      <c r="G590" s="633"/>
      <c r="H590" s="633"/>
      <c r="I590" s="633"/>
      <c r="J590" s="579"/>
      <c r="K590" s="579"/>
      <c r="L590" s="579"/>
      <c r="M590" s="579"/>
      <c r="N590" s="579"/>
      <c r="O590" s="631">
        <f t="shared" si="74"/>
        <v>0</v>
      </c>
      <c r="P590" s="579"/>
      <c r="Q590" s="579"/>
    </row>
    <row r="591" spans="1:17" s="624" customFormat="1" x14ac:dyDescent="0.25">
      <c r="A591" s="551" t="str">
        <f>+Info!$B$2</f>
        <v>724</v>
      </c>
      <c r="B591" s="226" t="s">
        <v>1947</v>
      </c>
      <c r="C591" s="226" t="str">
        <f t="shared" si="72"/>
        <v>3.10.20.30.000.000.00.000</v>
      </c>
      <c r="D591" s="633"/>
      <c r="F591" s="633"/>
      <c r="G591" s="633"/>
      <c r="H591" s="633"/>
      <c r="I591" s="633"/>
      <c r="J591" s="579"/>
      <c r="K591" s="579"/>
      <c r="L591" s="579"/>
      <c r="M591" s="579"/>
      <c r="N591" s="579"/>
      <c r="O591" s="631">
        <f t="shared" si="74"/>
        <v>0</v>
      </c>
      <c r="P591" s="579"/>
      <c r="Q591" s="579"/>
    </row>
    <row r="592" spans="1:17" s="624" customFormat="1" x14ac:dyDescent="0.25">
      <c r="A592" s="551" t="str">
        <f>+Info!$B$2</f>
        <v>724</v>
      </c>
      <c r="B592" s="226" t="s">
        <v>1947</v>
      </c>
      <c r="C592" s="226" t="str">
        <f t="shared" si="72"/>
        <v>3.10.20.30.000.000.00.000</v>
      </c>
      <c r="D592" s="633"/>
      <c r="F592" s="633"/>
      <c r="G592" s="633"/>
      <c r="H592" s="633"/>
      <c r="I592" s="633"/>
      <c r="J592" s="579"/>
      <c r="K592" s="579"/>
      <c r="L592" s="579"/>
      <c r="M592" s="579"/>
      <c r="N592" s="579"/>
      <c r="O592" s="631">
        <f t="shared" si="74"/>
        <v>0</v>
      </c>
      <c r="P592" s="579"/>
      <c r="Q592" s="579"/>
    </row>
    <row r="593" spans="1:32" s="624" customFormat="1" x14ac:dyDescent="0.25">
      <c r="A593" s="551" t="str">
        <f>+Info!$B$2</f>
        <v>724</v>
      </c>
      <c r="B593" s="226" t="s">
        <v>1947</v>
      </c>
      <c r="C593" s="226" t="str">
        <f t="shared" si="72"/>
        <v>3.10.20.30.000.000.00.000</v>
      </c>
      <c r="D593" s="633"/>
      <c r="F593" s="633"/>
      <c r="G593" s="633"/>
      <c r="H593" s="633"/>
      <c r="I593" s="633"/>
      <c r="J593" s="579"/>
      <c r="K593" s="579"/>
      <c r="L593" s="579"/>
      <c r="M593" s="579"/>
      <c r="N593" s="579"/>
      <c r="O593" s="631">
        <f t="shared" si="74"/>
        <v>0</v>
      </c>
      <c r="P593" s="579"/>
      <c r="Q593" s="579"/>
    </row>
    <row r="594" spans="1:32" s="624" customFormat="1" x14ac:dyDescent="0.25">
      <c r="A594" s="551" t="str">
        <f>+Info!$B$2</f>
        <v>724</v>
      </c>
      <c r="B594" s="226" t="s">
        <v>1947</v>
      </c>
      <c r="C594" s="226" t="str">
        <f t="shared" si="72"/>
        <v>3.10.20.30.000.000.00.000</v>
      </c>
      <c r="D594" s="633"/>
      <c r="F594" s="633"/>
      <c r="G594" s="633"/>
      <c r="H594" s="633"/>
      <c r="I594" s="633"/>
      <c r="J594" s="579"/>
      <c r="K594" s="579"/>
      <c r="L594" s="579"/>
      <c r="M594" s="579"/>
      <c r="N594" s="579"/>
      <c r="O594" s="631">
        <f t="shared" si="74"/>
        <v>0</v>
      </c>
      <c r="P594" s="579"/>
      <c r="Q594" s="579"/>
    </row>
    <row r="595" spans="1:32" s="624" customFormat="1" x14ac:dyDescent="0.25">
      <c r="A595" s="551" t="str">
        <f>+Info!$B$2</f>
        <v>724</v>
      </c>
      <c r="B595" s="226" t="s">
        <v>1947</v>
      </c>
      <c r="C595" s="226" t="str">
        <f t="shared" si="72"/>
        <v>3.10.20.30.000.000.00.000</v>
      </c>
      <c r="D595" s="633"/>
      <c r="F595" s="633"/>
      <c r="G595" s="633"/>
      <c r="H595" s="633"/>
      <c r="I595" s="633"/>
      <c r="J595" s="579"/>
      <c r="K595" s="579"/>
      <c r="L595" s="579"/>
      <c r="M595" s="579"/>
      <c r="N595" s="579"/>
      <c r="O595" s="631">
        <f t="shared" si="74"/>
        <v>0</v>
      </c>
      <c r="P595" s="579"/>
      <c r="Q595" s="579"/>
    </row>
    <row r="596" spans="1:32" s="624" customFormat="1" x14ac:dyDescent="0.25">
      <c r="A596" s="551" t="str">
        <f>+Info!$B$2</f>
        <v>724</v>
      </c>
      <c r="B596" s="226" t="s">
        <v>1947</v>
      </c>
      <c r="C596" s="226" t="str">
        <f t="shared" si="72"/>
        <v>3.10.20.30.000.000.00.000</v>
      </c>
      <c r="D596" s="633"/>
      <c r="F596" s="633"/>
      <c r="G596" s="633"/>
      <c r="H596" s="633"/>
      <c r="I596" s="633"/>
      <c r="J596" s="579"/>
      <c r="K596" s="579"/>
      <c r="L596" s="579"/>
      <c r="M596" s="579"/>
      <c r="N596" s="579"/>
      <c r="O596" s="631">
        <f t="shared" si="74"/>
        <v>0</v>
      </c>
      <c r="P596" s="579"/>
      <c r="Q596" s="579"/>
    </row>
    <row r="597" spans="1:32" s="624" customFormat="1" x14ac:dyDescent="0.25">
      <c r="A597" s="551" t="str">
        <f>+Info!$B$2</f>
        <v>724</v>
      </c>
      <c r="B597" s="226" t="s">
        <v>1947</v>
      </c>
      <c r="C597" s="226" t="str">
        <f t="shared" si="72"/>
        <v>3.10.20.30.000.000.00.000</v>
      </c>
      <c r="D597" s="633"/>
      <c r="F597" s="633"/>
      <c r="G597" s="633"/>
      <c r="H597" s="633"/>
      <c r="I597" s="633"/>
      <c r="J597" s="579"/>
      <c r="K597" s="579"/>
      <c r="L597" s="579"/>
      <c r="M597" s="579"/>
      <c r="N597" s="579"/>
      <c r="O597" s="631">
        <f t="shared" si="74"/>
        <v>0</v>
      </c>
      <c r="P597" s="579"/>
      <c r="Q597" s="579"/>
    </row>
    <row r="598" spans="1:32" s="624" customFormat="1" x14ac:dyDescent="0.25">
      <c r="A598" s="551" t="str">
        <f>+Info!$B$2</f>
        <v>724</v>
      </c>
      <c r="B598" s="226" t="s">
        <v>1947</v>
      </c>
      <c r="C598" s="226" t="str">
        <f t="shared" si="72"/>
        <v>3.10.20.30.000.000.00.000</v>
      </c>
      <c r="D598" s="633"/>
      <c r="F598" s="633"/>
      <c r="G598" s="633"/>
      <c r="H598" s="633"/>
      <c r="I598" s="633"/>
      <c r="J598" s="579"/>
      <c r="K598" s="579"/>
      <c r="L598" s="579"/>
      <c r="M598" s="579"/>
      <c r="N598" s="579"/>
      <c r="O598" s="631">
        <f t="shared" si="74"/>
        <v>0</v>
      </c>
      <c r="P598" s="579"/>
      <c r="Q598" s="579"/>
    </row>
    <row r="599" spans="1:32" s="624" customFormat="1" x14ac:dyDescent="0.25">
      <c r="A599" s="551" t="str">
        <f>+Info!$B$2</f>
        <v>724</v>
      </c>
      <c r="B599" s="226" t="s">
        <v>1947</v>
      </c>
      <c r="C599" s="226" t="str">
        <f t="shared" si="72"/>
        <v>3.10.20.30.000.000.00.000</v>
      </c>
      <c r="D599" s="633"/>
      <c r="F599" s="633"/>
      <c r="G599" s="633"/>
      <c r="H599" s="633"/>
      <c r="I599" s="633"/>
      <c r="J599" s="579"/>
      <c r="K599" s="579"/>
      <c r="L599" s="579"/>
      <c r="M599" s="579"/>
      <c r="N599" s="579"/>
      <c r="O599" s="631">
        <f t="shared" si="74"/>
        <v>0</v>
      </c>
      <c r="P599" s="579"/>
      <c r="Q599" s="579"/>
    </row>
    <row r="600" spans="1:32" s="624" customFormat="1" x14ac:dyDescent="0.25">
      <c r="A600" s="551" t="str">
        <f>+Info!$B$2</f>
        <v>724</v>
      </c>
      <c r="B600" s="226" t="s">
        <v>1947</v>
      </c>
      <c r="C600" s="226" t="str">
        <f t="shared" si="72"/>
        <v>3.10.20.30.000.000.00.000</v>
      </c>
      <c r="D600" s="633"/>
      <c r="F600" s="633"/>
      <c r="G600" s="633"/>
      <c r="H600" s="633"/>
      <c r="I600" s="633"/>
      <c r="J600" s="579"/>
      <c r="K600" s="579"/>
      <c r="L600" s="579"/>
      <c r="M600" s="579"/>
      <c r="N600" s="579"/>
      <c r="O600" s="631">
        <f t="shared" si="74"/>
        <v>0</v>
      </c>
      <c r="P600" s="579"/>
      <c r="Q600" s="579"/>
    </row>
    <row r="601" spans="1:32" s="624" customFormat="1" x14ac:dyDescent="0.25">
      <c r="A601" s="551" t="str">
        <f>+Info!$B$2</f>
        <v>724</v>
      </c>
      <c r="B601" s="226" t="s">
        <v>1947</v>
      </c>
      <c r="C601" s="226" t="str">
        <f t="shared" si="72"/>
        <v>3.10.20.30.000.000.00.000</v>
      </c>
      <c r="D601" s="633"/>
      <c r="F601" s="633"/>
      <c r="G601" s="633"/>
      <c r="H601" s="633"/>
      <c r="I601" s="633"/>
      <c r="J601" s="579"/>
      <c r="K601" s="579"/>
      <c r="L601" s="579"/>
      <c r="M601" s="579"/>
      <c r="N601" s="579"/>
      <c r="O601" s="631">
        <f t="shared" si="74"/>
        <v>0</v>
      </c>
      <c r="P601" s="579"/>
      <c r="Q601" s="579"/>
    </row>
    <row r="602" spans="1:32" s="624" customFormat="1" x14ac:dyDescent="0.25">
      <c r="A602" s="551" t="str">
        <f>+Info!$B$2</f>
        <v>724</v>
      </c>
      <c r="B602" s="226" t="s">
        <v>1947</v>
      </c>
      <c r="C602" s="226" t="str">
        <f t="shared" si="72"/>
        <v>3.10.20.30.000.000.00.000</v>
      </c>
      <c r="D602" s="633"/>
      <c r="F602" s="633"/>
      <c r="G602" s="633"/>
      <c r="H602" s="633"/>
      <c r="I602" s="633"/>
      <c r="J602" s="579"/>
      <c r="K602" s="579"/>
      <c r="L602" s="579"/>
      <c r="M602" s="579"/>
      <c r="N602" s="579"/>
      <c r="O602" s="631">
        <f t="shared" si="74"/>
        <v>0</v>
      </c>
      <c r="P602" s="579"/>
      <c r="Q602" s="579"/>
    </row>
    <row r="603" spans="1:32" s="624" customFormat="1" ht="15" customHeight="1" x14ac:dyDescent="0.25">
      <c r="A603" s="551" t="str">
        <f>+Info!$B$2</f>
        <v>724</v>
      </c>
      <c r="B603" s="626" t="s">
        <v>1953</v>
      </c>
      <c r="C603" s="626" t="s">
        <v>1954</v>
      </c>
      <c r="D603" s="634" t="s">
        <v>4351</v>
      </c>
      <c r="E603" s="569">
        <f>SUMIF('NI-Ric_SP'!$C:$C,$C603,'NI-Ric_SP'!$Z:$Z)</f>
        <v>0</v>
      </c>
      <c r="F603" s="923" t="str">
        <f>IF(E603=Dettaglio_SP_Ric!O603,"Quadratura OK!","Squadratura con saldo finale di Bilancio!")</f>
        <v>Quadratura OK!</v>
      </c>
      <c r="G603" s="923"/>
      <c r="H603" s="923"/>
      <c r="I603" s="923"/>
      <c r="J603" s="628">
        <f t="shared" ref="J603:Q603" si="75">+J604+J605</f>
        <v>0</v>
      </c>
      <c r="K603" s="628">
        <f t="shared" si="75"/>
        <v>0</v>
      </c>
      <c r="L603" s="628">
        <f t="shared" si="75"/>
        <v>0</v>
      </c>
      <c r="M603" s="628">
        <f t="shared" si="75"/>
        <v>0</v>
      </c>
      <c r="N603" s="628">
        <f t="shared" si="75"/>
        <v>0</v>
      </c>
      <c r="O603" s="628">
        <f t="shared" si="75"/>
        <v>0</v>
      </c>
      <c r="P603" s="628">
        <f t="shared" si="75"/>
        <v>0</v>
      </c>
      <c r="Q603" s="628">
        <f t="shared" si="75"/>
        <v>0</v>
      </c>
      <c r="AC603" s="624" t="str">
        <f>C603</f>
        <v>3.10.20.40.000.000.00.000</v>
      </c>
      <c r="AD603" s="629">
        <f>O603</f>
        <v>0</v>
      </c>
      <c r="AE603" s="629">
        <f>E603</f>
        <v>0</v>
      </c>
      <c r="AF603" s="551">
        <f>IF($AD603=$AE603,0,1)</f>
        <v>0</v>
      </c>
    </row>
    <row r="604" spans="1:32" s="624" customFormat="1" ht="15" customHeight="1" x14ac:dyDescent="0.25">
      <c r="A604" s="551" t="str">
        <f>+Info!$B$2</f>
        <v>724</v>
      </c>
      <c r="B604" s="226" t="s">
        <v>1953</v>
      </c>
      <c r="C604" s="226" t="str">
        <f t="shared" ref="C604:C635" si="76">$C$603</f>
        <v>3.10.20.40.000.000.00.000</v>
      </c>
      <c r="D604" s="630" t="str">
        <f>"    ... assegnati in data antecedente al 1/1/"&amp;Info!$B$3-2</f>
        <v xml:space="preserve">    ... assegnati in data antecedente al 1/1/2018</v>
      </c>
      <c r="F604" s="923"/>
      <c r="G604" s="923"/>
      <c r="H604" s="923"/>
      <c r="I604" s="923"/>
      <c r="J604" s="579"/>
      <c r="K604" s="579"/>
      <c r="L604" s="579"/>
      <c r="M604" s="579"/>
      <c r="N604" s="579"/>
      <c r="O604" s="631">
        <f>+J604+K604+L604-M604+N604</f>
        <v>0</v>
      </c>
      <c r="P604" s="579"/>
      <c r="Q604" s="579"/>
    </row>
    <row r="605" spans="1:32" s="624" customFormat="1" ht="15" customHeight="1" x14ac:dyDescent="0.25">
      <c r="A605" s="551" t="str">
        <f>+Info!$B$2</f>
        <v>724</v>
      </c>
      <c r="B605" s="226" t="s">
        <v>1953</v>
      </c>
      <c r="C605" s="226" t="str">
        <f t="shared" si="76"/>
        <v>3.10.20.40.000.000.00.000</v>
      </c>
      <c r="D605" s="632" t="str">
        <f>"    ... assegnati a partire dal 1/1/"&amp;Info!$B$3-2&amp;"..dettagliare"</f>
        <v xml:space="preserve">    ... assegnati a partire dal 1/1/2018..dettagliare</v>
      </c>
      <c r="F605" s="923"/>
      <c r="G605" s="923"/>
      <c r="H605" s="923"/>
      <c r="I605" s="923"/>
      <c r="J605" s="628">
        <f t="shared" ref="J605:Q605" si="77">SUM(J606:J635)</f>
        <v>0</v>
      </c>
      <c r="K605" s="628">
        <f t="shared" si="77"/>
        <v>0</v>
      </c>
      <c r="L605" s="628">
        <f t="shared" si="77"/>
        <v>0</v>
      </c>
      <c r="M605" s="628">
        <f t="shared" si="77"/>
        <v>0</v>
      </c>
      <c r="N605" s="628">
        <f t="shared" si="77"/>
        <v>0</v>
      </c>
      <c r="O605" s="628">
        <f t="shared" si="77"/>
        <v>0</v>
      </c>
      <c r="P605" s="628">
        <f t="shared" si="77"/>
        <v>0</v>
      </c>
      <c r="Q605" s="628">
        <f t="shared" si="77"/>
        <v>0</v>
      </c>
    </row>
    <row r="606" spans="1:32" s="624" customFormat="1" x14ac:dyDescent="0.25">
      <c r="A606" s="551" t="str">
        <f>+Info!$B$2</f>
        <v>724</v>
      </c>
      <c r="B606" s="226" t="s">
        <v>1953</v>
      </c>
      <c r="C606" s="226" t="str">
        <f t="shared" si="76"/>
        <v>3.10.20.40.000.000.00.000</v>
      </c>
      <c r="D606" s="633"/>
      <c r="F606" s="633"/>
      <c r="G606" s="633"/>
      <c r="H606" s="633"/>
      <c r="I606" s="633"/>
      <c r="J606" s="579"/>
      <c r="K606" s="579"/>
      <c r="L606" s="579"/>
      <c r="M606" s="579"/>
      <c r="N606" s="579"/>
      <c r="O606" s="631">
        <f t="shared" ref="O606:O635" si="78">+J606+K606+L606-M606+N606</f>
        <v>0</v>
      </c>
      <c r="P606" s="579"/>
      <c r="Q606" s="579"/>
    </row>
    <row r="607" spans="1:32" s="624" customFormat="1" x14ac:dyDescent="0.25">
      <c r="A607" s="551" t="str">
        <f>+Info!$B$2</f>
        <v>724</v>
      </c>
      <c r="B607" s="226" t="s">
        <v>1953</v>
      </c>
      <c r="C607" s="226" t="str">
        <f t="shared" si="76"/>
        <v>3.10.20.40.000.000.00.000</v>
      </c>
      <c r="D607" s="633"/>
      <c r="F607" s="633"/>
      <c r="G607" s="633"/>
      <c r="H607" s="633"/>
      <c r="I607" s="633"/>
      <c r="J607" s="579"/>
      <c r="K607" s="579"/>
      <c r="L607" s="579"/>
      <c r="M607" s="579"/>
      <c r="N607" s="579"/>
      <c r="O607" s="631">
        <f t="shared" si="78"/>
        <v>0</v>
      </c>
      <c r="P607" s="579"/>
      <c r="Q607" s="579"/>
    </row>
    <row r="608" spans="1:32" s="624" customFormat="1" x14ac:dyDescent="0.25">
      <c r="A608" s="551" t="str">
        <f>+Info!$B$2</f>
        <v>724</v>
      </c>
      <c r="B608" s="226" t="s">
        <v>1953</v>
      </c>
      <c r="C608" s="226" t="str">
        <f t="shared" si="76"/>
        <v>3.10.20.40.000.000.00.000</v>
      </c>
      <c r="D608" s="633"/>
      <c r="F608" s="633"/>
      <c r="G608" s="633"/>
      <c r="H608" s="633"/>
      <c r="I608" s="633"/>
      <c r="J608" s="579"/>
      <c r="K608" s="579"/>
      <c r="L608" s="579"/>
      <c r="M608" s="579"/>
      <c r="N608" s="579"/>
      <c r="O608" s="631">
        <f t="shared" si="78"/>
        <v>0</v>
      </c>
      <c r="P608" s="579"/>
      <c r="Q608" s="579"/>
    </row>
    <row r="609" spans="1:17" s="624" customFormat="1" x14ac:dyDescent="0.25">
      <c r="A609" s="551" t="str">
        <f>+Info!$B$2</f>
        <v>724</v>
      </c>
      <c r="B609" s="226" t="s">
        <v>1953</v>
      </c>
      <c r="C609" s="226" t="str">
        <f t="shared" si="76"/>
        <v>3.10.20.40.000.000.00.000</v>
      </c>
      <c r="D609" s="633"/>
      <c r="F609" s="633"/>
      <c r="G609" s="633"/>
      <c r="H609" s="633"/>
      <c r="I609" s="633"/>
      <c r="J609" s="579"/>
      <c r="K609" s="579"/>
      <c r="L609" s="579"/>
      <c r="M609" s="579"/>
      <c r="N609" s="579"/>
      <c r="O609" s="631">
        <f t="shared" si="78"/>
        <v>0</v>
      </c>
      <c r="P609" s="579"/>
      <c r="Q609" s="579"/>
    </row>
    <row r="610" spans="1:17" s="624" customFormat="1" x14ac:dyDescent="0.25">
      <c r="A610" s="551" t="str">
        <f>+Info!$B$2</f>
        <v>724</v>
      </c>
      <c r="B610" s="226" t="s">
        <v>1953</v>
      </c>
      <c r="C610" s="226" t="str">
        <f t="shared" si="76"/>
        <v>3.10.20.40.000.000.00.000</v>
      </c>
      <c r="D610" s="633"/>
      <c r="F610" s="633"/>
      <c r="G610" s="633"/>
      <c r="H610" s="633"/>
      <c r="I610" s="633"/>
      <c r="J610" s="579"/>
      <c r="K610" s="579"/>
      <c r="L610" s="579"/>
      <c r="M610" s="579"/>
      <c r="N610" s="579"/>
      <c r="O610" s="631">
        <f t="shared" si="78"/>
        <v>0</v>
      </c>
      <c r="P610" s="579"/>
      <c r="Q610" s="579"/>
    </row>
    <row r="611" spans="1:17" s="624" customFormat="1" x14ac:dyDescent="0.25">
      <c r="A611" s="551" t="str">
        <f>+Info!$B$2</f>
        <v>724</v>
      </c>
      <c r="B611" s="226" t="s">
        <v>1953</v>
      </c>
      <c r="C611" s="226" t="str">
        <f t="shared" si="76"/>
        <v>3.10.20.40.000.000.00.000</v>
      </c>
      <c r="D611" s="633"/>
      <c r="F611" s="633"/>
      <c r="G611" s="633"/>
      <c r="H611" s="633"/>
      <c r="I611" s="633"/>
      <c r="J611" s="579"/>
      <c r="K611" s="579"/>
      <c r="L611" s="579"/>
      <c r="M611" s="579"/>
      <c r="N611" s="579"/>
      <c r="O611" s="631">
        <f t="shared" si="78"/>
        <v>0</v>
      </c>
      <c r="P611" s="579"/>
      <c r="Q611" s="579"/>
    </row>
    <row r="612" spans="1:17" s="624" customFormat="1" x14ac:dyDescent="0.25">
      <c r="A612" s="551" t="str">
        <f>+Info!$B$2</f>
        <v>724</v>
      </c>
      <c r="B612" s="226" t="s">
        <v>1953</v>
      </c>
      <c r="C612" s="226" t="str">
        <f t="shared" si="76"/>
        <v>3.10.20.40.000.000.00.000</v>
      </c>
      <c r="D612" s="633"/>
      <c r="F612" s="633"/>
      <c r="G612" s="633"/>
      <c r="H612" s="633"/>
      <c r="I612" s="633"/>
      <c r="J612" s="579"/>
      <c r="K612" s="579"/>
      <c r="L612" s="579"/>
      <c r="M612" s="579"/>
      <c r="N612" s="579"/>
      <c r="O612" s="631">
        <f t="shared" si="78"/>
        <v>0</v>
      </c>
      <c r="P612" s="579"/>
      <c r="Q612" s="579"/>
    </row>
    <row r="613" spans="1:17" s="624" customFormat="1" x14ac:dyDescent="0.25">
      <c r="A613" s="551" t="str">
        <f>+Info!$B$2</f>
        <v>724</v>
      </c>
      <c r="B613" s="226" t="s">
        <v>1953</v>
      </c>
      <c r="C613" s="226" t="str">
        <f t="shared" si="76"/>
        <v>3.10.20.40.000.000.00.000</v>
      </c>
      <c r="D613" s="633"/>
      <c r="F613" s="633"/>
      <c r="G613" s="633"/>
      <c r="H613" s="633"/>
      <c r="I613" s="633"/>
      <c r="J613" s="579"/>
      <c r="K613" s="579"/>
      <c r="L613" s="579"/>
      <c r="M613" s="579"/>
      <c r="N613" s="579"/>
      <c r="O613" s="631">
        <f t="shared" si="78"/>
        <v>0</v>
      </c>
      <c r="P613" s="579"/>
      <c r="Q613" s="579"/>
    </row>
    <row r="614" spans="1:17" s="624" customFormat="1" x14ac:dyDescent="0.25">
      <c r="A614" s="551" t="str">
        <f>+Info!$B$2</f>
        <v>724</v>
      </c>
      <c r="B614" s="226" t="s">
        <v>1953</v>
      </c>
      <c r="C614" s="226" t="str">
        <f t="shared" si="76"/>
        <v>3.10.20.40.000.000.00.000</v>
      </c>
      <c r="D614" s="633"/>
      <c r="F614" s="633"/>
      <c r="G614" s="633"/>
      <c r="H614" s="633"/>
      <c r="I614" s="633"/>
      <c r="J614" s="579"/>
      <c r="K614" s="579"/>
      <c r="L614" s="579"/>
      <c r="M614" s="579"/>
      <c r="N614" s="579"/>
      <c r="O614" s="631">
        <f t="shared" si="78"/>
        <v>0</v>
      </c>
      <c r="P614" s="579"/>
      <c r="Q614" s="579"/>
    </row>
    <row r="615" spans="1:17" s="624" customFormat="1" x14ac:dyDescent="0.25">
      <c r="A615" s="551" t="str">
        <f>+Info!$B$2</f>
        <v>724</v>
      </c>
      <c r="B615" s="226" t="s">
        <v>1953</v>
      </c>
      <c r="C615" s="226" t="str">
        <f t="shared" si="76"/>
        <v>3.10.20.40.000.000.00.000</v>
      </c>
      <c r="D615" s="633"/>
      <c r="F615" s="633"/>
      <c r="G615" s="633"/>
      <c r="H615" s="633"/>
      <c r="I615" s="633"/>
      <c r="J615" s="579"/>
      <c r="K615" s="579"/>
      <c r="L615" s="579"/>
      <c r="M615" s="579"/>
      <c r="N615" s="579"/>
      <c r="O615" s="631">
        <f t="shared" si="78"/>
        <v>0</v>
      </c>
      <c r="P615" s="579"/>
      <c r="Q615" s="579"/>
    </row>
    <row r="616" spans="1:17" s="624" customFormat="1" x14ac:dyDescent="0.25">
      <c r="A616" s="551" t="str">
        <f>+Info!$B$2</f>
        <v>724</v>
      </c>
      <c r="B616" s="226" t="s">
        <v>1953</v>
      </c>
      <c r="C616" s="226" t="str">
        <f t="shared" si="76"/>
        <v>3.10.20.40.000.000.00.000</v>
      </c>
      <c r="D616" s="633"/>
      <c r="F616" s="633"/>
      <c r="G616" s="633"/>
      <c r="H616" s="633"/>
      <c r="I616" s="633"/>
      <c r="J616" s="579"/>
      <c r="K616" s="579"/>
      <c r="L616" s="579"/>
      <c r="M616" s="579"/>
      <c r="N616" s="579"/>
      <c r="O616" s="631">
        <f t="shared" si="78"/>
        <v>0</v>
      </c>
      <c r="P616" s="579"/>
      <c r="Q616" s="579"/>
    </row>
    <row r="617" spans="1:17" s="624" customFormat="1" x14ac:dyDescent="0.25">
      <c r="A617" s="551" t="str">
        <f>+Info!$B$2</f>
        <v>724</v>
      </c>
      <c r="B617" s="226" t="s">
        <v>1953</v>
      </c>
      <c r="C617" s="226" t="str">
        <f t="shared" si="76"/>
        <v>3.10.20.40.000.000.00.000</v>
      </c>
      <c r="D617" s="633"/>
      <c r="F617" s="633"/>
      <c r="G617" s="633"/>
      <c r="H617" s="633"/>
      <c r="I617" s="633"/>
      <c r="J617" s="579"/>
      <c r="K617" s="579"/>
      <c r="L617" s="579"/>
      <c r="M617" s="579"/>
      <c r="N617" s="579"/>
      <c r="O617" s="631">
        <f t="shared" si="78"/>
        <v>0</v>
      </c>
      <c r="P617" s="579"/>
      <c r="Q617" s="579"/>
    </row>
    <row r="618" spans="1:17" s="624" customFormat="1" x14ac:dyDescent="0.25">
      <c r="A618" s="551" t="str">
        <f>+Info!$B$2</f>
        <v>724</v>
      </c>
      <c r="B618" s="226" t="s">
        <v>1953</v>
      </c>
      <c r="C618" s="226" t="str">
        <f t="shared" si="76"/>
        <v>3.10.20.40.000.000.00.000</v>
      </c>
      <c r="D618" s="633"/>
      <c r="F618" s="633"/>
      <c r="G618" s="633"/>
      <c r="H618" s="633"/>
      <c r="I618" s="633"/>
      <c r="J618" s="579"/>
      <c r="K618" s="579"/>
      <c r="L618" s="579"/>
      <c r="M618" s="579"/>
      <c r="N618" s="579"/>
      <c r="O618" s="631">
        <f t="shared" si="78"/>
        <v>0</v>
      </c>
      <c r="P618" s="579"/>
      <c r="Q618" s="579"/>
    </row>
    <row r="619" spans="1:17" s="624" customFormat="1" x14ac:dyDescent="0.25">
      <c r="A619" s="551" t="str">
        <f>+Info!$B$2</f>
        <v>724</v>
      </c>
      <c r="B619" s="226" t="s">
        <v>1953</v>
      </c>
      <c r="C619" s="226" t="str">
        <f t="shared" si="76"/>
        <v>3.10.20.40.000.000.00.000</v>
      </c>
      <c r="D619" s="633"/>
      <c r="F619" s="633"/>
      <c r="G619" s="633"/>
      <c r="H619" s="633"/>
      <c r="I619" s="633"/>
      <c r="J619" s="579"/>
      <c r="K619" s="579"/>
      <c r="L619" s="579"/>
      <c r="M619" s="579"/>
      <c r="N619" s="579"/>
      <c r="O619" s="631">
        <f t="shared" si="78"/>
        <v>0</v>
      </c>
      <c r="P619" s="579"/>
      <c r="Q619" s="579"/>
    </row>
    <row r="620" spans="1:17" s="624" customFormat="1" x14ac:dyDescent="0.25">
      <c r="A620" s="551" t="str">
        <f>+Info!$B$2</f>
        <v>724</v>
      </c>
      <c r="B620" s="226" t="s">
        <v>1953</v>
      </c>
      <c r="C620" s="226" t="str">
        <f t="shared" si="76"/>
        <v>3.10.20.40.000.000.00.000</v>
      </c>
      <c r="D620" s="633"/>
      <c r="F620" s="633"/>
      <c r="G620" s="633"/>
      <c r="H620" s="633"/>
      <c r="I620" s="633"/>
      <c r="J620" s="579"/>
      <c r="K620" s="579"/>
      <c r="L620" s="579"/>
      <c r="M620" s="579"/>
      <c r="N620" s="579"/>
      <c r="O620" s="631">
        <f t="shared" si="78"/>
        <v>0</v>
      </c>
      <c r="P620" s="579"/>
      <c r="Q620" s="579"/>
    </row>
    <row r="621" spans="1:17" s="624" customFormat="1" x14ac:dyDescent="0.25">
      <c r="A621" s="551" t="str">
        <f>+Info!$B$2</f>
        <v>724</v>
      </c>
      <c r="B621" s="226" t="s">
        <v>1953</v>
      </c>
      <c r="C621" s="226" t="str">
        <f t="shared" si="76"/>
        <v>3.10.20.40.000.000.00.000</v>
      </c>
      <c r="D621" s="633"/>
      <c r="F621" s="633"/>
      <c r="G621" s="633"/>
      <c r="H621" s="633"/>
      <c r="I621" s="633"/>
      <c r="J621" s="579"/>
      <c r="K621" s="579"/>
      <c r="L621" s="579"/>
      <c r="M621" s="579"/>
      <c r="N621" s="579"/>
      <c r="O621" s="631">
        <f t="shared" si="78"/>
        <v>0</v>
      </c>
      <c r="P621" s="579"/>
      <c r="Q621" s="579"/>
    </row>
    <row r="622" spans="1:17" s="624" customFormat="1" x14ac:dyDescent="0.25">
      <c r="A622" s="551" t="str">
        <f>+Info!$B$2</f>
        <v>724</v>
      </c>
      <c r="B622" s="226" t="s">
        <v>1953</v>
      </c>
      <c r="C622" s="226" t="str">
        <f t="shared" si="76"/>
        <v>3.10.20.40.000.000.00.000</v>
      </c>
      <c r="D622" s="633"/>
      <c r="F622" s="633"/>
      <c r="G622" s="633"/>
      <c r="H622" s="633"/>
      <c r="I622" s="633"/>
      <c r="J622" s="579"/>
      <c r="K622" s="579"/>
      <c r="L622" s="579"/>
      <c r="M622" s="579"/>
      <c r="N622" s="579"/>
      <c r="O622" s="631">
        <f t="shared" si="78"/>
        <v>0</v>
      </c>
      <c r="P622" s="579"/>
      <c r="Q622" s="579"/>
    </row>
    <row r="623" spans="1:17" s="624" customFormat="1" x14ac:dyDescent="0.25">
      <c r="A623" s="551" t="str">
        <f>+Info!$B$2</f>
        <v>724</v>
      </c>
      <c r="B623" s="226" t="s">
        <v>1953</v>
      </c>
      <c r="C623" s="226" t="str">
        <f t="shared" si="76"/>
        <v>3.10.20.40.000.000.00.000</v>
      </c>
      <c r="D623" s="633"/>
      <c r="F623" s="633"/>
      <c r="G623" s="633"/>
      <c r="H623" s="633"/>
      <c r="I623" s="633"/>
      <c r="J623" s="579"/>
      <c r="K623" s="579"/>
      <c r="L623" s="579"/>
      <c r="M623" s="579"/>
      <c r="N623" s="579"/>
      <c r="O623" s="631">
        <f t="shared" si="78"/>
        <v>0</v>
      </c>
      <c r="P623" s="579"/>
      <c r="Q623" s="579"/>
    </row>
    <row r="624" spans="1:17" s="624" customFormat="1" x14ac:dyDescent="0.25">
      <c r="A624" s="551" t="str">
        <f>+Info!$B$2</f>
        <v>724</v>
      </c>
      <c r="B624" s="226" t="s">
        <v>1953</v>
      </c>
      <c r="C624" s="226" t="str">
        <f t="shared" si="76"/>
        <v>3.10.20.40.000.000.00.000</v>
      </c>
      <c r="D624" s="633"/>
      <c r="F624" s="633"/>
      <c r="G624" s="633"/>
      <c r="H624" s="633"/>
      <c r="I624" s="633"/>
      <c r="J624" s="579"/>
      <c r="K624" s="579"/>
      <c r="L624" s="579"/>
      <c r="M624" s="579"/>
      <c r="N624" s="579"/>
      <c r="O624" s="631">
        <f t="shared" si="78"/>
        <v>0</v>
      </c>
      <c r="P624" s="579"/>
      <c r="Q624" s="579"/>
    </row>
    <row r="625" spans="1:32" s="624" customFormat="1" x14ac:dyDescent="0.25">
      <c r="A625" s="551" t="str">
        <f>+Info!$B$2</f>
        <v>724</v>
      </c>
      <c r="B625" s="226" t="s">
        <v>1953</v>
      </c>
      <c r="C625" s="226" t="str">
        <f t="shared" si="76"/>
        <v>3.10.20.40.000.000.00.000</v>
      </c>
      <c r="D625" s="633"/>
      <c r="F625" s="633"/>
      <c r="G625" s="633"/>
      <c r="H625" s="633"/>
      <c r="I625" s="633"/>
      <c r="J625" s="579"/>
      <c r="K625" s="579"/>
      <c r="L625" s="579"/>
      <c r="M625" s="579"/>
      <c r="N625" s="579"/>
      <c r="O625" s="631">
        <f t="shared" si="78"/>
        <v>0</v>
      </c>
      <c r="P625" s="579"/>
      <c r="Q625" s="579"/>
    </row>
    <row r="626" spans="1:32" s="624" customFormat="1" x14ac:dyDescent="0.25">
      <c r="A626" s="551" t="str">
        <f>+Info!$B$2</f>
        <v>724</v>
      </c>
      <c r="B626" s="226" t="s">
        <v>1953</v>
      </c>
      <c r="C626" s="226" t="str">
        <f t="shared" si="76"/>
        <v>3.10.20.40.000.000.00.000</v>
      </c>
      <c r="D626" s="633"/>
      <c r="F626" s="633"/>
      <c r="G626" s="633"/>
      <c r="H626" s="633"/>
      <c r="I626" s="633"/>
      <c r="J626" s="579"/>
      <c r="K626" s="579"/>
      <c r="L626" s="579"/>
      <c r="M626" s="579"/>
      <c r="N626" s="579"/>
      <c r="O626" s="631">
        <f t="shared" si="78"/>
        <v>0</v>
      </c>
      <c r="P626" s="579"/>
      <c r="Q626" s="579"/>
    </row>
    <row r="627" spans="1:32" s="624" customFormat="1" x14ac:dyDescent="0.25">
      <c r="A627" s="551" t="str">
        <f>+Info!$B$2</f>
        <v>724</v>
      </c>
      <c r="B627" s="226" t="s">
        <v>1953</v>
      </c>
      <c r="C627" s="226" t="str">
        <f t="shared" si="76"/>
        <v>3.10.20.40.000.000.00.000</v>
      </c>
      <c r="D627" s="633"/>
      <c r="F627" s="633"/>
      <c r="G627" s="633"/>
      <c r="H627" s="633"/>
      <c r="I627" s="633"/>
      <c r="J627" s="579"/>
      <c r="K627" s="579"/>
      <c r="L627" s="579"/>
      <c r="M627" s="579"/>
      <c r="N627" s="579"/>
      <c r="O627" s="631">
        <f t="shared" si="78"/>
        <v>0</v>
      </c>
      <c r="P627" s="579"/>
      <c r="Q627" s="579"/>
    </row>
    <row r="628" spans="1:32" s="624" customFormat="1" x14ac:dyDescent="0.25">
      <c r="A628" s="551" t="str">
        <f>+Info!$B$2</f>
        <v>724</v>
      </c>
      <c r="B628" s="226" t="s">
        <v>1953</v>
      </c>
      <c r="C628" s="226" t="str">
        <f t="shared" si="76"/>
        <v>3.10.20.40.000.000.00.000</v>
      </c>
      <c r="D628" s="633"/>
      <c r="F628" s="633"/>
      <c r="G628" s="633"/>
      <c r="H628" s="633"/>
      <c r="I628" s="633"/>
      <c r="J628" s="579"/>
      <c r="K628" s="579"/>
      <c r="L628" s="579"/>
      <c r="M628" s="579"/>
      <c r="N628" s="579"/>
      <c r="O628" s="631">
        <f t="shared" si="78"/>
        <v>0</v>
      </c>
      <c r="P628" s="579"/>
      <c r="Q628" s="579"/>
    </row>
    <row r="629" spans="1:32" s="624" customFormat="1" x14ac:dyDescent="0.25">
      <c r="A629" s="551" t="str">
        <f>+Info!$B$2</f>
        <v>724</v>
      </c>
      <c r="B629" s="226" t="s">
        <v>1953</v>
      </c>
      <c r="C629" s="226" t="str">
        <f t="shared" si="76"/>
        <v>3.10.20.40.000.000.00.000</v>
      </c>
      <c r="D629" s="633"/>
      <c r="F629" s="633"/>
      <c r="G629" s="633"/>
      <c r="H629" s="633"/>
      <c r="I629" s="633"/>
      <c r="J629" s="579"/>
      <c r="K629" s="579"/>
      <c r="L629" s="579"/>
      <c r="M629" s="579"/>
      <c r="N629" s="579"/>
      <c r="O629" s="631">
        <f t="shared" si="78"/>
        <v>0</v>
      </c>
      <c r="P629" s="579"/>
      <c r="Q629" s="579"/>
    </row>
    <row r="630" spans="1:32" s="624" customFormat="1" x14ac:dyDescent="0.25">
      <c r="A630" s="551" t="str">
        <f>+Info!$B$2</f>
        <v>724</v>
      </c>
      <c r="B630" s="226" t="s">
        <v>1953</v>
      </c>
      <c r="C630" s="226" t="str">
        <f t="shared" si="76"/>
        <v>3.10.20.40.000.000.00.000</v>
      </c>
      <c r="D630" s="633"/>
      <c r="F630" s="633"/>
      <c r="G630" s="633"/>
      <c r="H630" s="633"/>
      <c r="I630" s="633"/>
      <c r="J630" s="579"/>
      <c r="K630" s="579"/>
      <c r="L630" s="579"/>
      <c r="M630" s="579"/>
      <c r="N630" s="579"/>
      <c r="O630" s="631">
        <f t="shared" si="78"/>
        <v>0</v>
      </c>
      <c r="P630" s="579"/>
      <c r="Q630" s="579"/>
    </row>
    <row r="631" spans="1:32" s="624" customFormat="1" x14ac:dyDescent="0.25">
      <c r="A631" s="551" t="str">
        <f>+Info!$B$2</f>
        <v>724</v>
      </c>
      <c r="B631" s="226" t="s">
        <v>1953</v>
      </c>
      <c r="C631" s="226" t="str">
        <f t="shared" si="76"/>
        <v>3.10.20.40.000.000.00.000</v>
      </c>
      <c r="D631" s="633"/>
      <c r="F631" s="633"/>
      <c r="G631" s="633"/>
      <c r="H631" s="633"/>
      <c r="I631" s="633"/>
      <c r="J631" s="579"/>
      <c r="K631" s="579"/>
      <c r="L631" s="579"/>
      <c r="M631" s="579"/>
      <c r="N631" s="579"/>
      <c r="O631" s="631">
        <f t="shared" si="78"/>
        <v>0</v>
      </c>
      <c r="P631" s="579"/>
      <c r="Q631" s="579"/>
    </row>
    <row r="632" spans="1:32" s="624" customFormat="1" x14ac:dyDescent="0.25">
      <c r="A632" s="551" t="str">
        <f>+Info!$B$2</f>
        <v>724</v>
      </c>
      <c r="B632" s="226" t="s">
        <v>1953</v>
      </c>
      <c r="C632" s="226" t="str">
        <f t="shared" si="76"/>
        <v>3.10.20.40.000.000.00.000</v>
      </c>
      <c r="D632" s="633"/>
      <c r="F632" s="633"/>
      <c r="G632" s="633"/>
      <c r="H632" s="633"/>
      <c r="I632" s="633"/>
      <c r="J632" s="579"/>
      <c r="K632" s="579"/>
      <c r="L632" s="579"/>
      <c r="M632" s="579"/>
      <c r="N632" s="579"/>
      <c r="O632" s="631">
        <f t="shared" si="78"/>
        <v>0</v>
      </c>
      <c r="P632" s="579"/>
      <c r="Q632" s="579"/>
    </row>
    <row r="633" spans="1:32" s="624" customFormat="1" x14ac:dyDescent="0.25">
      <c r="A633" s="551" t="str">
        <f>+Info!$B$2</f>
        <v>724</v>
      </c>
      <c r="B633" s="226" t="s">
        <v>1953</v>
      </c>
      <c r="C633" s="226" t="str">
        <f t="shared" si="76"/>
        <v>3.10.20.40.000.000.00.000</v>
      </c>
      <c r="D633" s="633"/>
      <c r="F633" s="633"/>
      <c r="G633" s="633"/>
      <c r="H633" s="633"/>
      <c r="I633" s="633"/>
      <c r="J633" s="579"/>
      <c r="K633" s="579"/>
      <c r="L633" s="579"/>
      <c r="M633" s="579"/>
      <c r="N633" s="579"/>
      <c r="O633" s="631">
        <f t="shared" si="78"/>
        <v>0</v>
      </c>
      <c r="P633" s="579"/>
      <c r="Q633" s="579"/>
    </row>
    <row r="634" spans="1:32" s="624" customFormat="1" x14ac:dyDescent="0.25">
      <c r="A634" s="551" t="str">
        <f>+Info!$B$2</f>
        <v>724</v>
      </c>
      <c r="B634" s="226" t="s">
        <v>1953</v>
      </c>
      <c r="C634" s="226" t="str">
        <f t="shared" si="76"/>
        <v>3.10.20.40.000.000.00.000</v>
      </c>
      <c r="D634" s="633"/>
      <c r="F634" s="633"/>
      <c r="G634" s="633"/>
      <c r="H634" s="633"/>
      <c r="I634" s="633"/>
      <c r="J634" s="579"/>
      <c r="K634" s="579"/>
      <c r="L634" s="579"/>
      <c r="M634" s="579"/>
      <c r="N634" s="579"/>
      <c r="O634" s="631">
        <f t="shared" si="78"/>
        <v>0</v>
      </c>
      <c r="P634" s="579"/>
      <c r="Q634" s="579"/>
    </row>
    <row r="635" spans="1:32" s="624" customFormat="1" x14ac:dyDescent="0.25">
      <c r="A635" s="551" t="str">
        <f>+Info!$B$2</f>
        <v>724</v>
      </c>
      <c r="B635" s="226" t="s">
        <v>1953</v>
      </c>
      <c r="C635" s="226" t="str">
        <f t="shared" si="76"/>
        <v>3.10.20.40.000.000.00.000</v>
      </c>
      <c r="D635" s="633"/>
      <c r="F635" s="633"/>
      <c r="G635" s="633"/>
      <c r="H635" s="633"/>
      <c r="I635" s="633"/>
      <c r="J635" s="579"/>
      <c r="K635" s="579"/>
      <c r="L635" s="579"/>
      <c r="M635" s="579"/>
      <c r="N635" s="579"/>
      <c r="O635" s="631">
        <f t="shared" si="78"/>
        <v>0</v>
      </c>
      <c r="P635" s="579"/>
      <c r="Q635" s="579"/>
    </row>
    <row r="636" spans="1:32" s="624" customFormat="1" ht="23.25" x14ac:dyDescent="0.25">
      <c r="A636" s="551" t="str">
        <f>+Info!$B$2</f>
        <v>724</v>
      </c>
      <c r="B636" s="636" t="s">
        <v>1959</v>
      </c>
      <c r="C636" s="636" t="s">
        <v>1960</v>
      </c>
      <c r="D636" s="637" t="s">
        <v>4352</v>
      </c>
      <c r="E636" s="569">
        <f>SUMIF('NI-Ric_SP'!$C:$C,$C636,'NI-Ric_SP'!$Z:$Z)</f>
        <v>0</v>
      </c>
      <c r="F636" s="923" t="str">
        <f>IF(E636=Dettaglio_SP_Ric!O636,"Quadratura OK!","Squadratura con saldo finale di Bilancio!")</f>
        <v>Quadratura OK!</v>
      </c>
      <c r="G636" s="923"/>
      <c r="H636" s="923"/>
      <c r="I636" s="923"/>
      <c r="J636" s="628">
        <f t="shared" ref="J636:Q636" si="79">+J637+J638</f>
        <v>0</v>
      </c>
      <c r="K636" s="628">
        <f t="shared" si="79"/>
        <v>0</v>
      </c>
      <c r="L636" s="628">
        <f t="shared" si="79"/>
        <v>0</v>
      </c>
      <c r="M636" s="628">
        <f t="shared" si="79"/>
        <v>0</v>
      </c>
      <c r="N636" s="628">
        <f t="shared" si="79"/>
        <v>0</v>
      </c>
      <c r="O636" s="628">
        <f t="shared" si="79"/>
        <v>0</v>
      </c>
      <c r="P636" s="628">
        <f t="shared" si="79"/>
        <v>0</v>
      </c>
      <c r="Q636" s="628">
        <f t="shared" si="79"/>
        <v>0</v>
      </c>
      <c r="AC636" s="624" t="str">
        <f>C636</f>
        <v>3.10.20.50.000.000.00.000</v>
      </c>
      <c r="AD636" s="629">
        <f>O636</f>
        <v>0</v>
      </c>
      <c r="AE636" s="629">
        <f>E636</f>
        <v>0</v>
      </c>
      <c r="AF636" s="551">
        <f>IF($AD636=$AE636,0,1)</f>
        <v>0</v>
      </c>
    </row>
    <row r="637" spans="1:32" s="624" customFormat="1" ht="15" customHeight="1" x14ac:dyDescent="0.25">
      <c r="A637" s="551" t="str">
        <f>+Info!$B$2</f>
        <v>724</v>
      </c>
      <c r="B637" s="226" t="s">
        <v>1959</v>
      </c>
      <c r="C637" s="226" t="str">
        <f t="shared" ref="C637:C688" si="80">$C$636</f>
        <v>3.10.20.50.000.000.00.000</v>
      </c>
      <c r="D637" s="630" t="str">
        <f>"    ... assegnati in data antecedente al 1/1/"&amp;Info!$B$3-2</f>
        <v xml:space="preserve">    ... assegnati in data antecedente al 1/1/2018</v>
      </c>
      <c r="F637" s="923"/>
      <c r="G637" s="923"/>
      <c r="H637" s="923"/>
      <c r="I637" s="923"/>
      <c r="J637" s="579"/>
      <c r="K637" s="579"/>
      <c r="L637" s="579"/>
      <c r="M637" s="579"/>
      <c r="N637" s="579"/>
      <c r="O637" s="631">
        <f>+J637+K637+L637-M637+N637</f>
        <v>0</v>
      </c>
      <c r="P637" s="579"/>
      <c r="Q637" s="579"/>
    </row>
    <row r="638" spans="1:32" s="624" customFormat="1" ht="15" customHeight="1" x14ac:dyDescent="0.25">
      <c r="A638" s="551" t="str">
        <f>+Info!$B$2</f>
        <v>724</v>
      </c>
      <c r="B638" s="226" t="s">
        <v>1959</v>
      </c>
      <c r="C638" s="226" t="str">
        <f t="shared" si="80"/>
        <v>3.10.20.50.000.000.00.000</v>
      </c>
      <c r="D638" s="632" t="str">
        <f>"    ... assegnati a partire dal 1/1/"&amp;Info!$B$3-2&amp;"..dettagliare"</f>
        <v xml:space="preserve">    ... assegnati a partire dal 1/1/2018..dettagliare</v>
      </c>
      <c r="F638" s="923"/>
      <c r="G638" s="923"/>
      <c r="H638" s="923"/>
      <c r="I638" s="923"/>
      <c r="J638" s="628">
        <f t="shared" ref="J638:Q638" si="81">SUM(J639:J688)</f>
        <v>0</v>
      </c>
      <c r="K638" s="628">
        <f t="shared" si="81"/>
        <v>0</v>
      </c>
      <c r="L638" s="628">
        <f t="shared" si="81"/>
        <v>0</v>
      </c>
      <c r="M638" s="628">
        <f t="shared" si="81"/>
        <v>0</v>
      </c>
      <c r="N638" s="628">
        <f t="shared" si="81"/>
        <v>0</v>
      </c>
      <c r="O638" s="628">
        <f t="shared" si="81"/>
        <v>0</v>
      </c>
      <c r="P638" s="628">
        <f t="shared" si="81"/>
        <v>0</v>
      </c>
      <c r="Q638" s="628">
        <f t="shared" si="81"/>
        <v>0</v>
      </c>
    </row>
    <row r="639" spans="1:32" s="624" customFormat="1" x14ac:dyDescent="0.25">
      <c r="A639" s="551" t="str">
        <f>+Info!$B$2</f>
        <v>724</v>
      </c>
      <c r="B639" s="226" t="s">
        <v>1959</v>
      </c>
      <c r="C639" s="226" t="str">
        <f t="shared" si="80"/>
        <v>3.10.20.50.000.000.00.000</v>
      </c>
      <c r="D639" s="633"/>
      <c r="F639" s="633"/>
      <c r="G639" s="633"/>
      <c r="H639" s="633"/>
      <c r="I639" s="633"/>
      <c r="J639" s="579"/>
      <c r="K639" s="579"/>
      <c r="L639" s="579"/>
      <c r="M639" s="579"/>
      <c r="N639" s="579"/>
      <c r="O639" s="631">
        <f t="shared" ref="O639:O688" si="82">+J639+K639+L639-M639+N639</f>
        <v>0</v>
      </c>
      <c r="P639" s="579"/>
      <c r="Q639" s="579"/>
    </row>
    <row r="640" spans="1:32" s="624" customFormat="1" x14ac:dyDescent="0.25">
      <c r="A640" s="551" t="str">
        <f>+Info!$B$2</f>
        <v>724</v>
      </c>
      <c r="B640" s="226" t="s">
        <v>1959</v>
      </c>
      <c r="C640" s="226" t="str">
        <f t="shared" si="80"/>
        <v>3.10.20.50.000.000.00.000</v>
      </c>
      <c r="D640" s="633"/>
      <c r="F640" s="633"/>
      <c r="G640" s="633"/>
      <c r="H640" s="633"/>
      <c r="I640" s="633"/>
      <c r="J640" s="579"/>
      <c r="K640" s="579"/>
      <c r="L640" s="579"/>
      <c r="M640" s="579"/>
      <c r="N640" s="579"/>
      <c r="O640" s="631">
        <f t="shared" si="82"/>
        <v>0</v>
      </c>
      <c r="P640" s="579"/>
      <c r="Q640" s="579"/>
    </row>
    <row r="641" spans="1:17" s="624" customFormat="1" x14ac:dyDescent="0.25">
      <c r="A641" s="551" t="str">
        <f>+Info!$B$2</f>
        <v>724</v>
      </c>
      <c r="B641" s="226" t="s">
        <v>1959</v>
      </c>
      <c r="C641" s="226" t="str">
        <f t="shared" si="80"/>
        <v>3.10.20.50.000.000.00.000</v>
      </c>
      <c r="D641" s="633"/>
      <c r="F641" s="633"/>
      <c r="G641" s="633"/>
      <c r="H641" s="633"/>
      <c r="I641" s="633"/>
      <c r="J641" s="579"/>
      <c r="K641" s="579"/>
      <c r="L641" s="579"/>
      <c r="M641" s="579"/>
      <c r="N641" s="579"/>
      <c r="O641" s="631">
        <f t="shared" si="82"/>
        <v>0</v>
      </c>
      <c r="P641" s="579"/>
      <c r="Q641" s="579"/>
    </row>
    <row r="642" spans="1:17" s="624" customFormat="1" x14ac:dyDescent="0.25">
      <c r="A642" s="551" t="str">
        <f>+Info!$B$2</f>
        <v>724</v>
      </c>
      <c r="B642" s="226" t="s">
        <v>1959</v>
      </c>
      <c r="C642" s="226" t="str">
        <f t="shared" si="80"/>
        <v>3.10.20.50.000.000.00.000</v>
      </c>
      <c r="D642" s="633"/>
      <c r="F642" s="633"/>
      <c r="G642" s="633"/>
      <c r="H642" s="633"/>
      <c r="I642" s="633"/>
      <c r="J642" s="579"/>
      <c r="K642" s="579"/>
      <c r="L642" s="579"/>
      <c r="M642" s="579"/>
      <c r="N642" s="579"/>
      <c r="O642" s="631">
        <f t="shared" si="82"/>
        <v>0</v>
      </c>
      <c r="P642" s="579"/>
      <c r="Q642" s="579"/>
    </row>
    <row r="643" spans="1:17" s="624" customFormat="1" x14ac:dyDescent="0.25">
      <c r="A643" s="551" t="str">
        <f>+Info!$B$2</f>
        <v>724</v>
      </c>
      <c r="B643" s="226" t="s">
        <v>1959</v>
      </c>
      <c r="C643" s="226" t="str">
        <f t="shared" si="80"/>
        <v>3.10.20.50.000.000.00.000</v>
      </c>
      <c r="D643" s="633"/>
      <c r="F643" s="633"/>
      <c r="G643" s="633"/>
      <c r="H643" s="633"/>
      <c r="I643" s="633"/>
      <c r="J643" s="579"/>
      <c r="K643" s="579"/>
      <c r="L643" s="579"/>
      <c r="M643" s="579"/>
      <c r="N643" s="579"/>
      <c r="O643" s="631">
        <f t="shared" si="82"/>
        <v>0</v>
      </c>
      <c r="P643" s="579"/>
      <c r="Q643" s="579"/>
    </row>
    <row r="644" spans="1:17" s="624" customFormat="1" x14ac:dyDescent="0.25">
      <c r="A644" s="551" t="str">
        <f>+Info!$B$2</f>
        <v>724</v>
      </c>
      <c r="B644" s="226" t="s">
        <v>1959</v>
      </c>
      <c r="C644" s="226" t="str">
        <f t="shared" si="80"/>
        <v>3.10.20.50.000.000.00.000</v>
      </c>
      <c r="D644" s="633"/>
      <c r="F644" s="633"/>
      <c r="G644" s="633"/>
      <c r="H644" s="633"/>
      <c r="I644" s="633"/>
      <c r="J644" s="579"/>
      <c r="K644" s="579"/>
      <c r="L644" s="579"/>
      <c r="M644" s="579"/>
      <c r="N644" s="579"/>
      <c r="O644" s="631">
        <f t="shared" si="82"/>
        <v>0</v>
      </c>
      <c r="P644" s="579"/>
      <c r="Q644" s="579"/>
    </row>
    <row r="645" spans="1:17" s="624" customFormat="1" x14ac:dyDescent="0.25">
      <c r="A645" s="551" t="str">
        <f>+Info!$B$2</f>
        <v>724</v>
      </c>
      <c r="B645" s="226" t="s">
        <v>1959</v>
      </c>
      <c r="C645" s="226" t="str">
        <f t="shared" si="80"/>
        <v>3.10.20.50.000.000.00.000</v>
      </c>
      <c r="D645" s="633"/>
      <c r="F645" s="633"/>
      <c r="G645" s="633"/>
      <c r="H645" s="633"/>
      <c r="I645" s="633"/>
      <c r="J645" s="579"/>
      <c r="K645" s="579"/>
      <c r="L645" s="579"/>
      <c r="M645" s="579"/>
      <c r="N645" s="579"/>
      <c r="O645" s="631">
        <f t="shared" si="82"/>
        <v>0</v>
      </c>
      <c r="P645" s="579"/>
      <c r="Q645" s="579"/>
    </row>
    <row r="646" spans="1:17" s="624" customFormat="1" x14ac:dyDescent="0.25">
      <c r="A646" s="551" t="str">
        <f>+Info!$B$2</f>
        <v>724</v>
      </c>
      <c r="B646" s="226" t="s">
        <v>1959</v>
      </c>
      <c r="C646" s="226" t="str">
        <f t="shared" si="80"/>
        <v>3.10.20.50.000.000.00.000</v>
      </c>
      <c r="D646" s="633"/>
      <c r="F646" s="633"/>
      <c r="G646" s="633"/>
      <c r="H646" s="633"/>
      <c r="I646" s="633"/>
      <c r="J646" s="579"/>
      <c r="K646" s="579"/>
      <c r="L646" s="579"/>
      <c r="M646" s="579"/>
      <c r="N646" s="579"/>
      <c r="O646" s="631">
        <f t="shared" si="82"/>
        <v>0</v>
      </c>
      <c r="P646" s="579"/>
      <c r="Q646" s="579"/>
    </row>
    <row r="647" spans="1:17" s="624" customFormat="1" x14ac:dyDescent="0.25">
      <c r="A647" s="551" t="str">
        <f>+Info!$B$2</f>
        <v>724</v>
      </c>
      <c r="B647" s="226" t="s">
        <v>1959</v>
      </c>
      <c r="C647" s="226" t="str">
        <f t="shared" si="80"/>
        <v>3.10.20.50.000.000.00.000</v>
      </c>
      <c r="D647" s="633"/>
      <c r="F647" s="633"/>
      <c r="G647" s="633"/>
      <c r="H647" s="633"/>
      <c r="I647" s="633"/>
      <c r="J647" s="579"/>
      <c r="K647" s="579"/>
      <c r="L647" s="579"/>
      <c r="M647" s="579"/>
      <c r="N647" s="579"/>
      <c r="O647" s="631">
        <f t="shared" si="82"/>
        <v>0</v>
      </c>
      <c r="P647" s="579"/>
      <c r="Q647" s="579"/>
    </row>
    <row r="648" spans="1:17" s="624" customFormat="1" x14ac:dyDescent="0.25">
      <c r="A648" s="551" t="str">
        <f>+Info!$B$2</f>
        <v>724</v>
      </c>
      <c r="B648" s="226" t="s">
        <v>1959</v>
      </c>
      <c r="C648" s="226" t="str">
        <f t="shared" si="80"/>
        <v>3.10.20.50.000.000.00.000</v>
      </c>
      <c r="D648" s="633"/>
      <c r="F648" s="633"/>
      <c r="G648" s="633"/>
      <c r="H648" s="633"/>
      <c r="I648" s="633"/>
      <c r="J648" s="579"/>
      <c r="K648" s="579"/>
      <c r="L648" s="579"/>
      <c r="M648" s="579"/>
      <c r="N648" s="579"/>
      <c r="O648" s="631">
        <f t="shared" si="82"/>
        <v>0</v>
      </c>
      <c r="P648" s="579"/>
      <c r="Q648" s="579"/>
    </row>
    <row r="649" spans="1:17" s="624" customFormat="1" x14ac:dyDescent="0.25">
      <c r="A649" s="551" t="str">
        <f>+Info!$B$2</f>
        <v>724</v>
      </c>
      <c r="B649" s="226" t="s">
        <v>1959</v>
      </c>
      <c r="C649" s="226" t="str">
        <f t="shared" si="80"/>
        <v>3.10.20.50.000.000.00.000</v>
      </c>
      <c r="D649" s="633"/>
      <c r="F649" s="633"/>
      <c r="G649" s="633"/>
      <c r="H649" s="633"/>
      <c r="I649" s="633"/>
      <c r="J649" s="579"/>
      <c r="K649" s="579"/>
      <c r="L649" s="579"/>
      <c r="M649" s="579"/>
      <c r="N649" s="579"/>
      <c r="O649" s="631">
        <f t="shared" si="82"/>
        <v>0</v>
      </c>
      <c r="P649" s="579"/>
      <c r="Q649" s="579"/>
    </row>
    <row r="650" spans="1:17" s="624" customFormat="1" x14ac:dyDescent="0.25">
      <c r="A650" s="551" t="str">
        <f>+Info!$B$2</f>
        <v>724</v>
      </c>
      <c r="B650" s="226" t="s">
        <v>1959</v>
      </c>
      <c r="C650" s="226" t="str">
        <f t="shared" si="80"/>
        <v>3.10.20.50.000.000.00.000</v>
      </c>
      <c r="D650" s="633"/>
      <c r="F650" s="633"/>
      <c r="G650" s="633"/>
      <c r="H650" s="633"/>
      <c r="I650" s="633"/>
      <c r="J650" s="579"/>
      <c r="K650" s="579"/>
      <c r="L650" s="579"/>
      <c r="M650" s="579"/>
      <c r="N650" s="579"/>
      <c r="O650" s="631">
        <f t="shared" si="82"/>
        <v>0</v>
      </c>
      <c r="P650" s="579"/>
      <c r="Q650" s="579"/>
    </row>
    <row r="651" spans="1:17" s="624" customFormat="1" x14ac:dyDescent="0.25">
      <c r="A651" s="551" t="str">
        <f>+Info!$B$2</f>
        <v>724</v>
      </c>
      <c r="B651" s="226" t="s">
        <v>1959</v>
      </c>
      <c r="C651" s="226" t="str">
        <f t="shared" si="80"/>
        <v>3.10.20.50.000.000.00.000</v>
      </c>
      <c r="D651" s="633"/>
      <c r="F651" s="633"/>
      <c r="G651" s="633"/>
      <c r="H651" s="633"/>
      <c r="I651" s="633"/>
      <c r="J651" s="579"/>
      <c r="K651" s="579"/>
      <c r="L651" s="579"/>
      <c r="M651" s="579"/>
      <c r="N651" s="579"/>
      <c r="O651" s="631">
        <f t="shared" si="82"/>
        <v>0</v>
      </c>
      <c r="P651" s="579"/>
      <c r="Q651" s="579"/>
    </row>
    <row r="652" spans="1:17" s="624" customFormat="1" x14ac:dyDescent="0.25">
      <c r="A652" s="551" t="str">
        <f>+Info!$B$2</f>
        <v>724</v>
      </c>
      <c r="B652" s="226" t="s">
        <v>1959</v>
      </c>
      <c r="C652" s="226" t="str">
        <f t="shared" si="80"/>
        <v>3.10.20.50.000.000.00.000</v>
      </c>
      <c r="D652" s="633"/>
      <c r="F652" s="633"/>
      <c r="G652" s="633"/>
      <c r="H652" s="633"/>
      <c r="I652" s="633"/>
      <c r="J652" s="579"/>
      <c r="K652" s="579"/>
      <c r="L652" s="579"/>
      <c r="M652" s="579"/>
      <c r="N652" s="579"/>
      <c r="O652" s="631">
        <f t="shared" si="82"/>
        <v>0</v>
      </c>
      <c r="P652" s="579"/>
      <c r="Q652" s="579"/>
    </row>
    <row r="653" spans="1:17" s="624" customFormat="1" x14ac:dyDescent="0.25">
      <c r="A653" s="551" t="str">
        <f>+Info!$B$2</f>
        <v>724</v>
      </c>
      <c r="B653" s="226" t="s">
        <v>1959</v>
      </c>
      <c r="C653" s="226" t="str">
        <f t="shared" si="80"/>
        <v>3.10.20.50.000.000.00.000</v>
      </c>
      <c r="D653" s="633"/>
      <c r="F653" s="633"/>
      <c r="G653" s="633"/>
      <c r="H653" s="633"/>
      <c r="I653" s="633"/>
      <c r="J653" s="579"/>
      <c r="K653" s="579"/>
      <c r="L653" s="579"/>
      <c r="M653" s="579"/>
      <c r="N653" s="579"/>
      <c r="O653" s="631">
        <f t="shared" si="82"/>
        <v>0</v>
      </c>
      <c r="P653" s="579"/>
      <c r="Q653" s="579"/>
    </row>
    <row r="654" spans="1:17" s="624" customFormat="1" x14ac:dyDescent="0.25">
      <c r="A654" s="551" t="str">
        <f>+Info!$B$2</f>
        <v>724</v>
      </c>
      <c r="B654" s="226" t="s">
        <v>1959</v>
      </c>
      <c r="C654" s="226" t="str">
        <f t="shared" si="80"/>
        <v>3.10.20.50.000.000.00.000</v>
      </c>
      <c r="D654" s="633"/>
      <c r="F654" s="633"/>
      <c r="G654" s="633"/>
      <c r="H654" s="633"/>
      <c r="I654" s="633"/>
      <c r="J654" s="579"/>
      <c r="K654" s="579"/>
      <c r="L654" s="579"/>
      <c r="M654" s="579"/>
      <c r="N654" s="579"/>
      <c r="O654" s="631">
        <f t="shared" si="82"/>
        <v>0</v>
      </c>
      <c r="P654" s="579"/>
      <c r="Q654" s="579"/>
    </row>
    <row r="655" spans="1:17" s="624" customFormat="1" x14ac:dyDescent="0.25">
      <c r="A655" s="551" t="str">
        <f>+Info!$B$2</f>
        <v>724</v>
      </c>
      <c r="B655" s="226" t="s">
        <v>1959</v>
      </c>
      <c r="C655" s="226" t="str">
        <f t="shared" si="80"/>
        <v>3.10.20.50.000.000.00.000</v>
      </c>
      <c r="D655" s="633"/>
      <c r="F655" s="633"/>
      <c r="G655" s="633"/>
      <c r="H655" s="633"/>
      <c r="I655" s="633"/>
      <c r="J655" s="579"/>
      <c r="K655" s="579"/>
      <c r="L655" s="579"/>
      <c r="M655" s="579"/>
      <c r="N655" s="579"/>
      <c r="O655" s="631">
        <f t="shared" si="82"/>
        <v>0</v>
      </c>
      <c r="P655" s="579"/>
      <c r="Q655" s="579"/>
    </row>
    <row r="656" spans="1:17" s="624" customFormat="1" x14ac:dyDescent="0.25">
      <c r="A656" s="551" t="str">
        <f>+Info!$B$2</f>
        <v>724</v>
      </c>
      <c r="B656" s="226" t="s">
        <v>1959</v>
      </c>
      <c r="C656" s="226" t="str">
        <f t="shared" si="80"/>
        <v>3.10.20.50.000.000.00.000</v>
      </c>
      <c r="D656" s="633"/>
      <c r="F656" s="633"/>
      <c r="G656" s="633"/>
      <c r="H656" s="633"/>
      <c r="I656" s="633"/>
      <c r="J656" s="579"/>
      <c r="K656" s="579"/>
      <c r="L656" s="579"/>
      <c r="M656" s="579"/>
      <c r="N656" s="579"/>
      <c r="O656" s="631">
        <f t="shared" si="82"/>
        <v>0</v>
      </c>
      <c r="P656" s="579"/>
      <c r="Q656" s="579"/>
    </row>
    <row r="657" spans="1:17" s="624" customFormat="1" x14ac:dyDescent="0.25">
      <c r="A657" s="551" t="str">
        <f>+Info!$B$2</f>
        <v>724</v>
      </c>
      <c r="B657" s="226" t="s">
        <v>1959</v>
      </c>
      <c r="C657" s="226" t="str">
        <f t="shared" si="80"/>
        <v>3.10.20.50.000.000.00.000</v>
      </c>
      <c r="D657" s="633"/>
      <c r="F657" s="633"/>
      <c r="G657" s="633"/>
      <c r="H657" s="633"/>
      <c r="I657" s="633"/>
      <c r="J657" s="579"/>
      <c r="K657" s="579"/>
      <c r="L657" s="579"/>
      <c r="M657" s="579"/>
      <c r="N657" s="579"/>
      <c r="O657" s="631">
        <f t="shared" si="82"/>
        <v>0</v>
      </c>
      <c r="P657" s="579"/>
      <c r="Q657" s="579"/>
    </row>
    <row r="658" spans="1:17" s="624" customFormat="1" x14ac:dyDescent="0.25">
      <c r="A658" s="551" t="str">
        <f>+Info!$B$2</f>
        <v>724</v>
      </c>
      <c r="B658" s="226" t="s">
        <v>1959</v>
      </c>
      <c r="C658" s="226" t="str">
        <f t="shared" si="80"/>
        <v>3.10.20.50.000.000.00.000</v>
      </c>
      <c r="D658" s="633"/>
      <c r="F658" s="633"/>
      <c r="G658" s="633"/>
      <c r="H658" s="633"/>
      <c r="I658" s="633"/>
      <c r="J658" s="579"/>
      <c r="K658" s="579"/>
      <c r="L658" s="579"/>
      <c r="M658" s="579"/>
      <c r="N658" s="579"/>
      <c r="O658" s="631">
        <f t="shared" si="82"/>
        <v>0</v>
      </c>
      <c r="P658" s="579"/>
      <c r="Q658" s="579"/>
    </row>
    <row r="659" spans="1:17" s="624" customFormat="1" x14ac:dyDescent="0.25">
      <c r="A659" s="551" t="str">
        <f>+Info!$B$2</f>
        <v>724</v>
      </c>
      <c r="B659" s="226" t="s">
        <v>1959</v>
      </c>
      <c r="C659" s="226" t="str">
        <f t="shared" si="80"/>
        <v>3.10.20.50.000.000.00.000</v>
      </c>
      <c r="D659" s="633"/>
      <c r="F659" s="633"/>
      <c r="G659" s="633"/>
      <c r="H659" s="633"/>
      <c r="I659" s="633"/>
      <c r="J659" s="579"/>
      <c r="K659" s="579"/>
      <c r="L659" s="579"/>
      <c r="M659" s="579"/>
      <c r="N659" s="579"/>
      <c r="O659" s="631">
        <f t="shared" si="82"/>
        <v>0</v>
      </c>
      <c r="P659" s="579"/>
      <c r="Q659" s="579"/>
    </row>
    <row r="660" spans="1:17" s="624" customFormat="1" x14ac:dyDescent="0.25">
      <c r="A660" s="551" t="str">
        <f>+Info!$B$2</f>
        <v>724</v>
      </c>
      <c r="B660" s="226" t="s">
        <v>1959</v>
      </c>
      <c r="C660" s="226" t="str">
        <f t="shared" si="80"/>
        <v>3.10.20.50.000.000.00.000</v>
      </c>
      <c r="D660" s="633"/>
      <c r="F660" s="633"/>
      <c r="G660" s="633"/>
      <c r="H660" s="633"/>
      <c r="I660" s="633"/>
      <c r="J660" s="579"/>
      <c r="K660" s="579"/>
      <c r="L660" s="579"/>
      <c r="M660" s="579"/>
      <c r="N660" s="579"/>
      <c r="O660" s="631">
        <f t="shared" si="82"/>
        <v>0</v>
      </c>
      <c r="P660" s="579"/>
      <c r="Q660" s="579"/>
    </row>
    <row r="661" spans="1:17" s="624" customFormat="1" x14ac:dyDescent="0.25">
      <c r="A661" s="551" t="str">
        <f>+Info!$B$2</f>
        <v>724</v>
      </c>
      <c r="B661" s="226" t="s">
        <v>1959</v>
      </c>
      <c r="C661" s="226" t="str">
        <f t="shared" si="80"/>
        <v>3.10.20.50.000.000.00.000</v>
      </c>
      <c r="D661" s="633"/>
      <c r="F661" s="633"/>
      <c r="G661" s="633"/>
      <c r="H661" s="633"/>
      <c r="I661" s="633"/>
      <c r="J661" s="579"/>
      <c r="K661" s="579"/>
      <c r="L661" s="579"/>
      <c r="M661" s="579"/>
      <c r="N661" s="579"/>
      <c r="O661" s="631">
        <f t="shared" si="82"/>
        <v>0</v>
      </c>
      <c r="P661" s="579"/>
      <c r="Q661" s="579"/>
    </row>
    <row r="662" spans="1:17" s="624" customFormat="1" x14ac:dyDescent="0.25">
      <c r="A662" s="551" t="str">
        <f>+Info!$B$2</f>
        <v>724</v>
      </c>
      <c r="B662" s="226" t="s">
        <v>1959</v>
      </c>
      <c r="C662" s="226" t="str">
        <f t="shared" si="80"/>
        <v>3.10.20.50.000.000.00.000</v>
      </c>
      <c r="D662" s="633"/>
      <c r="F662" s="633"/>
      <c r="G662" s="633"/>
      <c r="H662" s="633"/>
      <c r="I662" s="633"/>
      <c r="J662" s="579"/>
      <c r="K662" s="579"/>
      <c r="L662" s="579"/>
      <c r="M662" s="579"/>
      <c r="N662" s="579"/>
      <c r="O662" s="631">
        <f t="shared" si="82"/>
        <v>0</v>
      </c>
      <c r="P662" s="579"/>
      <c r="Q662" s="579"/>
    </row>
    <row r="663" spans="1:17" s="624" customFormat="1" x14ac:dyDescent="0.25">
      <c r="A663" s="551" t="str">
        <f>+Info!$B$2</f>
        <v>724</v>
      </c>
      <c r="B663" s="226" t="s">
        <v>1959</v>
      </c>
      <c r="C663" s="226" t="str">
        <f t="shared" si="80"/>
        <v>3.10.20.50.000.000.00.000</v>
      </c>
      <c r="D663" s="633"/>
      <c r="F663" s="633"/>
      <c r="G663" s="633"/>
      <c r="H663" s="633"/>
      <c r="I663" s="633"/>
      <c r="J663" s="579"/>
      <c r="K663" s="579"/>
      <c r="L663" s="579"/>
      <c r="M663" s="579"/>
      <c r="N663" s="579"/>
      <c r="O663" s="631">
        <f t="shared" si="82"/>
        <v>0</v>
      </c>
      <c r="P663" s="579"/>
      <c r="Q663" s="579"/>
    </row>
    <row r="664" spans="1:17" s="624" customFormat="1" x14ac:dyDescent="0.25">
      <c r="A664" s="551" t="str">
        <f>+Info!$B$2</f>
        <v>724</v>
      </c>
      <c r="B664" s="226" t="s">
        <v>1959</v>
      </c>
      <c r="C664" s="226" t="str">
        <f t="shared" si="80"/>
        <v>3.10.20.50.000.000.00.000</v>
      </c>
      <c r="D664" s="633"/>
      <c r="F664" s="633"/>
      <c r="G664" s="633"/>
      <c r="H664" s="633"/>
      <c r="I664" s="633"/>
      <c r="J664" s="579"/>
      <c r="K664" s="579"/>
      <c r="L664" s="579"/>
      <c r="M664" s="579"/>
      <c r="N664" s="579"/>
      <c r="O664" s="631">
        <f t="shared" si="82"/>
        <v>0</v>
      </c>
      <c r="P664" s="579"/>
      <c r="Q664" s="579"/>
    </row>
    <row r="665" spans="1:17" s="624" customFormat="1" x14ac:dyDescent="0.25">
      <c r="A665" s="551" t="str">
        <f>+Info!$B$2</f>
        <v>724</v>
      </c>
      <c r="B665" s="226" t="s">
        <v>1959</v>
      </c>
      <c r="C665" s="226" t="str">
        <f t="shared" si="80"/>
        <v>3.10.20.50.000.000.00.000</v>
      </c>
      <c r="D665" s="633"/>
      <c r="F665" s="633"/>
      <c r="G665" s="633"/>
      <c r="H665" s="633"/>
      <c r="I665" s="633"/>
      <c r="J665" s="579"/>
      <c r="K665" s="579"/>
      <c r="L665" s="579"/>
      <c r="M665" s="579"/>
      <c r="N665" s="579"/>
      <c r="O665" s="631">
        <f t="shared" si="82"/>
        <v>0</v>
      </c>
      <c r="P665" s="579"/>
      <c r="Q665" s="579"/>
    </row>
    <row r="666" spans="1:17" s="624" customFormat="1" x14ac:dyDescent="0.25">
      <c r="A666" s="551" t="str">
        <f>+Info!$B$2</f>
        <v>724</v>
      </c>
      <c r="B666" s="226" t="s">
        <v>1959</v>
      </c>
      <c r="C666" s="226" t="str">
        <f t="shared" si="80"/>
        <v>3.10.20.50.000.000.00.000</v>
      </c>
      <c r="D666" s="633"/>
      <c r="F666" s="633"/>
      <c r="G666" s="633"/>
      <c r="H666" s="633"/>
      <c r="I666" s="633"/>
      <c r="J666" s="579"/>
      <c r="K666" s="579"/>
      <c r="L666" s="579"/>
      <c r="M666" s="579"/>
      <c r="N666" s="579"/>
      <c r="O666" s="631">
        <f t="shared" si="82"/>
        <v>0</v>
      </c>
      <c r="P666" s="579"/>
      <c r="Q666" s="579"/>
    </row>
    <row r="667" spans="1:17" s="624" customFormat="1" x14ac:dyDescent="0.25">
      <c r="A667" s="551" t="str">
        <f>+Info!$B$2</f>
        <v>724</v>
      </c>
      <c r="B667" s="226" t="s">
        <v>1959</v>
      </c>
      <c r="C667" s="226" t="str">
        <f t="shared" si="80"/>
        <v>3.10.20.50.000.000.00.000</v>
      </c>
      <c r="D667" s="633"/>
      <c r="F667" s="633"/>
      <c r="G667" s="633"/>
      <c r="H667" s="633"/>
      <c r="I667" s="633"/>
      <c r="J667" s="579"/>
      <c r="K667" s="579"/>
      <c r="L667" s="579"/>
      <c r="M667" s="579"/>
      <c r="N667" s="579"/>
      <c r="O667" s="631">
        <f t="shared" si="82"/>
        <v>0</v>
      </c>
      <c r="P667" s="579"/>
      <c r="Q667" s="579"/>
    </row>
    <row r="668" spans="1:17" s="624" customFormat="1" x14ac:dyDescent="0.25">
      <c r="A668" s="551" t="str">
        <f>+Info!$B$2</f>
        <v>724</v>
      </c>
      <c r="B668" s="226" t="s">
        <v>1959</v>
      </c>
      <c r="C668" s="226" t="str">
        <f t="shared" si="80"/>
        <v>3.10.20.50.000.000.00.000</v>
      </c>
      <c r="D668" s="633"/>
      <c r="F668" s="633"/>
      <c r="G668" s="633"/>
      <c r="H668" s="633"/>
      <c r="I668" s="633"/>
      <c r="J668" s="579"/>
      <c r="K668" s="579"/>
      <c r="L668" s="579"/>
      <c r="M668" s="579"/>
      <c r="N668" s="579"/>
      <c r="O668" s="631">
        <f t="shared" si="82"/>
        <v>0</v>
      </c>
      <c r="P668" s="579"/>
      <c r="Q668" s="579"/>
    </row>
    <row r="669" spans="1:17" s="624" customFormat="1" x14ac:dyDescent="0.25">
      <c r="A669" s="551" t="str">
        <f>+Info!$B$2</f>
        <v>724</v>
      </c>
      <c r="B669" s="226" t="s">
        <v>1959</v>
      </c>
      <c r="C669" s="226" t="str">
        <f t="shared" si="80"/>
        <v>3.10.20.50.000.000.00.000</v>
      </c>
      <c r="D669" s="633"/>
      <c r="F669" s="633"/>
      <c r="G669" s="633"/>
      <c r="H669" s="633"/>
      <c r="I669" s="633"/>
      <c r="J669" s="579"/>
      <c r="K669" s="579"/>
      <c r="L669" s="579"/>
      <c r="M669" s="579"/>
      <c r="N669" s="579"/>
      <c r="O669" s="631">
        <f t="shared" si="82"/>
        <v>0</v>
      </c>
      <c r="P669" s="579"/>
      <c r="Q669" s="579"/>
    </row>
    <row r="670" spans="1:17" s="624" customFormat="1" x14ac:dyDescent="0.25">
      <c r="A670" s="551" t="str">
        <f>+Info!$B$2</f>
        <v>724</v>
      </c>
      <c r="B670" s="226" t="s">
        <v>1959</v>
      </c>
      <c r="C670" s="226" t="str">
        <f t="shared" si="80"/>
        <v>3.10.20.50.000.000.00.000</v>
      </c>
      <c r="D670" s="633"/>
      <c r="F670" s="633"/>
      <c r="G670" s="633"/>
      <c r="H670" s="633"/>
      <c r="I670" s="633"/>
      <c r="J670" s="579"/>
      <c r="K670" s="579"/>
      <c r="L670" s="579"/>
      <c r="M670" s="579"/>
      <c r="N670" s="579"/>
      <c r="O670" s="631">
        <f t="shared" si="82"/>
        <v>0</v>
      </c>
      <c r="P670" s="579"/>
      <c r="Q670" s="579"/>
    </row>
    <row r="671" spans="1:17" s="624" customFormat="1" x14ac:dyDescent="0.25">
      <c r="A671" s="551" t="str">
        <f>+Info!$B$2</f>
        <v>724</v>
      </c>
      <c r="B671" s="226" t="s">
        <v>1959</v>
      </c>
      <c r="C671" s="226" t="str">
        <f t="shared" si="80"/>
        <v>3.10.20.50.000.000.00.000</v>
      </c>
      <c r="D671" s="633"/>
      <c r="F671" s="633"/>
      <c r="G671" s="633"/>
      <c r="H671" s="633"/>
      <c r="I671" s="633"/>
      <c r="J671" s="579"/>
      <c r="K671" s="579"/>
      <c r="L671" s="579"/>
      <c r="M671" s="579"/>
      <c r="N671" s="579"/>
      <c r="O671" s="631">
        <f t="shared" si="82"/>
        <v>0</v>
      </c>
      <c r="P671" s="579"/>
      <c r="Q671" s="579"/>
    </row>
    <row r="672" spans="1:17" s="624" customFormat="1" x14ac:dyDescent="0.25">
      <c r="A672" s="551" t="str">
        <f>+Info!$B$2</f>
        <v>724</v>
      </c>
      <c r="B672" s="226" t="s">
        <v>1959</v>
      </c>
      <c r="C672" s="226" t="str">
        <f t="shared" si="80"/>
        <v>3.10.20.50.000.000.00.000</v>
      </c>
      <c r="D672" s="633"/>
      <c r="F672" s="633"/>
      <c r="G672" s="633"/>
      <c r="H672" s="633"/>
      <c r="I672" s="633"/>
      <c r="J672" s="579"/>
      <c r="K672" s="579"/>
      <c r="L672" s="579"/>
      <c r="M672" s="579"/>
      <c r="N672" s="579"/>
      <c r="O672" s="631">
        <f t="shared" si="82"/>
        <v>0</v>
      </c>
      <c r="P672" s="579"/>
      <c r="Q672" s="579"/>
    </row>
    <row r="673" spans="1:17" s="624" customFormat="1" x14ac:dyDescent="0.25">
      <c r="A673" s="551" t="str">
        <f>+Info!$B$2</f>
        <v>724</v>
      </c>
      <c r="B673" s="226" t="s">
        <v>1959</v>
      </c>
      <c r="C673" s="226" t="str">
        <f t="shared" si="80"/>
        <v>3.10.20.50.000.000.00.000</v>
      </c>
      <c r="D673" s="633"/>
      <c r="F673" s="633"/>
      <c r="G673" s="633"/>
      <c r="H673" s="633"/>
      <c r="I673" s="633"/>
      <c r="J673" s="579"/>
      <c r="K673" s="579"/>
      <c r="L673" s="579"/>
      <c r="M673" s="579"/>
      <c r="N673" s="579"/>
      <c r="O673" s="631">
        <f t="shared" si="82"/>
        <v>0</v>
      </c>
      <c r="P673" s="579"/>
      <c r="Q673" s="579"/>
    </row>
    <row r="674" spans="1:17" s="624" customFormat="1" x14ac:dyDescent="0.25">
      <c r="A674" s="551" t="str">
        <f>+Info!$B$2</f>
        <v>724</v>
      </c>
      <c r="B674" s="226" t="s">
        <v>1959</v>
      </c>
      <c r="C674" s="226" t="str">
        <f t="shared" si="80"/>
        <v>3.10.20.50.000.000.00.000</v>
      </c>
      <c r="D674" s="633"/>
      <c r="F674" s="633"/>
      <c r="G674" s="633"/>
      <c r="H674" s="633"/>
      <c r="I674" s="633"/>
      <c r="J674" s="579"/>
      <c r="K674" s="579"/>
      <c r="L674" s="579"/>
      <c r="M674" s="579"/>
      <c r="N674" s="579"/>
      <c r="O674" s="631">
        <f t="shared" si="82"/>
        <v>0</v>
      </c>
      <c r="P674" s="579"/>
      <c r="Q674" s="579"/>
    </row>
    <row r="675" spans="1:17" s="624" customFormat="1" x14ac:dyDescent="0.25">
      <c r="A675" s="551" t="str">
        <f>+Info!$B$2</f>
        <v>724</v>
      </c>
      <c r="B675" s="226" t="s">
        <v>1959</v>
      </c>
      <c r="C675" s="226" t="str">
        <f t="shared" si="80"/>
        <v>3.10.20.50.000.000.00.000</v>
      </c>
      <c r="D675" s="633"/>
      <c r="F675" s="633"/>
      <c r="G675" s="633"/>
      <c r="H675" s="633"/>
      <c r="I675" s="633"/>
      <c r="J675" s="579"/>
      <c r="K675" s="579"/>
      <c r="L675" s="579"/>
      <c r="M675" s="579"/>
      <c r="N675" s="579"/>
      <c r="O675" s="631">
        <f t="shared" si="82"/>
        <v>0</v>
      </c>
      <c r="P675" s="579"/>
      <c r="Q675" s="579"/>
    </row>
    <row r="676" spans="1:17" s="624" customFormat="1" x14ac:dyDescent="0.25">
      <c r="A676" s="551" t="str">
        <f>+Info!$B$2</f>
        <v>724</v>
      </c>
      <c r="B676" s="226" t="s">
        <v>1959</v>
      </c>
      <c r="C676" s="226" t="str">
        <f t="shared" si="80"/>
        <v>3.10.20.50.000.000.00.000</v>
      </c>
      <c r="D676" s="633"/>
      <c r="F676" s="633"/>
      <c r="G676" s="633"/>
      <c r="H676" s="633"/>
      <c r="I676" s="633"/>
      <c r="J676" s="579"/>
      <c r="K676" s="579"/>
      <c r="L676" s="579"/>
      <c r="M676" s="579"/>
      <c r="N676" s="579"/>
      <c r="O676" s="631">
        <f t="shared" si="82"/>
        <v>0</v>
      </c>
      <c r="P676" s="579"/>
      <c r="Q676" s="579"/>
    </row>
    <row r="677" spans="1:17" s="624" customFormat="1" x14ac:dyDescent="0.25">
      <c r="A677" s="551" t="str">
        <f>+Info!$B$2</f>
        <v>724</v>
      </c>
      <c r="B677" s="226" t="s">
        <v>1959</v>
      </c>
      <c r="C677" s="226" t="str">
        <f t="shared" si="80"/>
        <v>3.10.20.50.000.000.00.000</v>
      </c>
      <c r="D677" s="633"/>
      <c r="F677" s="633"/>
      <c r="G677" s="633"/>
      <c r="H677" s="633"/>
      <c r="I677" s="633"/>
      <c r="J677" s="579"/>
      <c r="K677" s="579"/>
      <c r="L677" s="579"/>
      <c r="M677" s="579"/>
      <c r="N677" s="579"/>
      <c r="O677" s="631">
        <f t="shared" si="82"/>
        <v>0</v>
      </c>
      <c r="P677" s="579"/>
      <c r="Q677" s="579"/>
    </row>
    <row r="678" spans="1:17" s="624" customFormat="1" x14ac:dyDescent="0.25">
      <c r="A678" s="551" t="str">
        <f>+Info!$B$2</f>
        <v>724</v>
      </c>
      <c r="B678" s="226" t="s">
        <v>1959</v>
      </c>
      <c r="C678" s="226" t="str">
        <f t="shared" si="80"/>
        <v>3.10.20.50.000.000.00.000</v>
      </c>
      <c r="D678" s="633"/>
      <c r="F678" s="633"/>
      <c r="G678" s="633"/>
      <c r="H678" s="633"/>
      <c r="I678" s="633"/>
      <c r="J678" s="579"/>
      <c r="K678" s="579"/>
      <c r="L678" s="579"/>
      <c r="M678" s="579"/>
      <c r="N678" s="579"/>
      <c r="O678" s="631">
        <f t="shared" si="82"/>
        <v>0</v>
      </c>
      <c r="P678" s="579"/>
      <c r="Q678" s="579"/>
    </row>
    <row r="679" spans="1:17" s="624" customFormat="1" x14ac:dyDescent="0.25">
      <c r="A679" s="551" t="str">
        <f>+Info!$B$2</f>
        <v>724</v>
      </c>
      <c r="B679" s="226" t="s">
        <v>1959</v>
      </c>
      <c r="C679" s="226" t="str">
        <f t="shared" si="80"/>
        <v>3.10.20.50.000.000.00.000</v>
      </c>
      <c r="D679" s="633"/>
      <c r="F679" s="633"/>
      <c r="G679" s="633"/>
      <c r="H679" s="633"/>
      <c r="I679" s="633"/>
      <c r="J679" s="579"/>
      <c r="K679" s="579"/>
      <c r="L679" s="579"/>
      <c r="M679" s="579"/>
      <c r="N679" s="579"/>
      <c r="O679" s="631">
        <f t="shared" si="82"/>
        <v>0</v>
      </c>
      <c r="P679" s="579"/>
      <c r="Q679" s="579"/>
    </row>
    <row r="680" spans="1:17" s="624" customFormat="1" x14ac:dyDescent="0.25">
      <c r="A680" s="551" t="str">
        <f>+Info!$B$2</f>
        <v>724</v>
      </c>
      <c r="B680" s="226" t="s">
        <v>1959</v>
      </c>
      <c r="C680" s="226" t="str">
        <f t="shared" si="80"/>
        <v>3.10.20.50.000.000.00.000</v>
      </c>
      <c r="D680" s="633"/>
      <c r="F680" s="633"/>
      <c r="G680" s="633"/>
      <c r="H680" s="633"/>
      <c r="I680" s="633"/>
      <c r="J680" s="579"/>
      <c r="K680" s="579"/>
      <c r="L680" s="579"/>
      <c r="M680" s="579"/>
      <c r="N680" s="579"/>
      <c r="O680" s="631">
        <f t="shared" si="82"/>
        <v>0</v>
      </c>
      <c r="P680" s="579"/>
      <c r="Q680" s="579"/>
    </row>
    <row r="681" spans="1:17" s="624" customFormat="1" x14ac:dyDescent="0.25">
      <c r="A681" s="551" t="str">
        <f>+Info!$B$2</f>
        <v>724</v>
      </c>
      <c r="B681" s="226" t="s">
        <v>1959</v>
      </c>
      <c r="C681" s="226" t="str">
        <f t="shared" si="80"/>
        <v>3.10.20.50.000.000.00.000</v>
      </c>
      <c r="D681" s="633"/>
      <c r="F681" s="633"/>
      <c r="G681" s="633"/>
      <c r="H681" s="633"/>
      <c r="I681" s="633"/>
      <c r="J681" s="579"/>
      <c r="K681" s="579"/>
      <c r="L681" s="579"/>
      <c r="M681" s="579"/>
      <c r="N681" s="579"/>
      <c r="O681" s="631">
        <f t="shared" si="82"/>
        <v>0</v>
      </c>
      <c r="P681" s="579"/>
      <c r="Q681" s="579"/>
    </row>
    <row r="682" spans="1:17" s="624" customFormat="1" x14ac:dyDescent="0.25">
      <c r="A682" s="551" t="str">
        <f>+Info!$B$2</f>
        <v>724</v>
      </c>
      <c r="B682" s="226" t="s">
        <v>1959</v>
      </c>
      <c r="C682" s="226" t="str">
        <f t="shared" si="80"/>
        <v>3.10.20.50.000.000.00.000</v>
      </c>
      <c r="D682" s="633"/>
      <c r="F682" s="633"/>
      <c r="G682" s="633"/>
      <c r="H682" s="633"/>
      <c r="I682" s="633"/>
      <c r="J682" s="579"/>
      <c r="K682" s="579"/>
      <c r="L682" s="579"/>
      <c r="M682" s="579"/>
      <c r="N682" s="579"/>
      <c r="O682" s="631">
        <f t="shared" si="82"/>
        <v>0</v>
      </c>
      <c r="P682" s="579"/>
      <c r="Q682" s="579"/>
    </row>
    <row r="683" spans="1:17" s="624" customFormat="1" x14ac:dyDescent="0.25">
      <c r="A683" s="551" t="str">
        <f>+Info!$B$2</f>
        <v>724</v>
      </c>
      <c r="B683" s="226" t="s">
        <v>1959</v>
      </c>
      <c r="C683" s="226" t="str">
        <f t="shared" si="80"/>
        <v>3.10.20.50.000.000.00.000</v>
      </c>
      <c r="D683" s="633"/>
      <c r="F683" s="633"/>
      <c r="G683" s="633"/>
      <c r="H683" s="633"/>
      <c r="I683" s="633"/>
      <c r="J683" s="579"/>
      <c r="K683" s="579"/>
      <c r="L683" s="579"/>
      <c r="M683" s="579"/>
      <c r="N683" s="579"/>
      <c r="O683" s="631">
        <f t="shared" si="82"/>
        <v>0</v>
      </c>
      <c r="P683" s="579"/>
      <c r="Q683" s="579"/>
    </row>
    <row r="684" spans="1:17" s="624" customFormat="1" x14ac:dyDescent="0.25">
      <c r="A684" s="551" t="str">
        <f>+Info!$B$2</f>
        <v>724</v>
      </c>
      <c r="B684" s="226" t="s">
        <v>1959</v>
      </c>
      <c r="C684" s="226" t="str">
        <f t="shared" si="80"/>
        <v>3.10.20.50.000.000.00.000</v>
      </c>
      <c r="D684" s="633"/>
      <c r="F684" s="633"/>
      <c r="G684" s="633"/>
      <c r="H684" s="633"/>
      <c r="I684" s="633"/>
      <c r="J684" s="579"/>
      <c r="K684" s="579"/>
      <c r="L684" s="579"/>
      <c r="M684" s="579"/>
      <c r="N684" s="579"/>
      <c r="O684" s="631">
        <f t="shared" si="82"/>
        <v>0</v>
      </c>
      <c r="P684" s="579"/>
      <c r="Q684" s="579"/>
    </row>
    <row r="685" spans="1:17" s="624" customFormat="1" x14ac:dyDescent="0.25">
      <c r="A685" s="551" t="str">
        <f>+Info!$B$2</f>
        <v>724</v>
      </c>
      <c r="B685" s="226" t="s">
        <v>1959</v>
      </c>
      <c r="C685" s="226" t="str">
        <f t="shared" si="80"/>
        <v>3.10.20.50.000.000.00.000</v>
      </c>
      <c r="D685" s="633"/>
      <c r="F685" s="633"/>
      <c r="G685" s="633"/>
      <c r="H685" s="633"/>
      <c r="I685" s="633"/>
      <c r="J685" s="579"/>
      <c r="K685" s="579"/>
      <c r="L685" s="579"/>
      <c r="M685" s="579"/>
      <c r="N685" s="579"/>
      <c r="O685" s="631">
        <f t="shared" si="82"/>
        <v>0</v>
      </c>
      <c r="P685" s="579"/>
      <c r="Q685" s="579"/>
    </row>
    <row r="686" spans="1:17" s="624" customFormat="1" x14ac:dyDescent="0.25">
      <c r="A686" s="551" t="str">
        <f>+Info!$B$2</f>
        <v>724</v>
      </c>
      <c r="B686" s="226" t="s">
        <v>1959</v>
      </c>
      <c r="C686" s="226" t="str">
        <f t="shared" si="80"/>
        <v>3.10.20.50.000.000.00.000</v>
      </c>
      <c r="D686" s="633"/>
      <c r="F686" s="633"/>
      <c r="G686" s="633"/>
      <c r="H686" s="633"/>
      <c r="I686" s="633"/>
      <c r="J686" s="579"/>
      <c r="K686" s="579"/>
      <c r="L686" s="579"/>
      <c r="M686" s="579"/>
      <c r="N686" s="579"/>
      <c r="O686" s="631">
        <f t="shared" si="82"/>
        <v>0</v>
      </c>
      <c r="P686" s="579"/>
      <c r="Q686" s="579"/>
    </row>
    <row r="687" spans="1:17" s="624" customFormat="1" x14ac:dyDescent="0.25">
      <c r="A687" s="551" t="str">
        <f>+Info!$B$2</f>
        <v>724</v>
      </c>
      <c r="B687" s="226" t="s">
        <v>1959</v>
      </c>
      <c r="C687" s="226" t="str">
        <f t="shared" si="80"/>
        <v>3.10.20.50.000.000.00.000</v>
      </c>
      <c r="D687" s="633"/>
      <c r="F687" s="633"/>
      <c r="G687" s="633"/>
      <c r="H687" s="633"/>
      <c r="I687" s="633"/>
      <c r="J687" s="579"/>
      <c r="K687" s="579"/>
      <c r="L687" s="579"/>
      <c r="M687" s="579"/>
      <c r="N687" s="579"/>
      <c r="O687" s="631">
        <f t="shared" si="82"/>
        <v>0</v>
      </c>
      <c r="P687" s="579"/>
      <c r="Q687" s="579"/>
    </row>
    <row r="688" spans="1:17" s="624" customFormat="1" x14ac:dyDescent="0.25">
      <c r="A688" s="551" t="str">
        <f>+Info!$B$2</f>
        <v>724</v>
      </c>
      <c r="B688" s="638" t="s">
        <v>1959</v>
      </c>
      <c r="C688" s="638" t="str">
        <f t="shared" si="80"/>
        <v>3.10.20.50.000.000.00.000</v>
      </c>
      <c r="D688" s="633"/>
      <c r="E688" s="639"/>
      <c r="F688" s="633"/>
      <c r="G688" s="633"/>
      <c r="H688" s="633"/>
      <c r="I688" s="633"/>
      <c r="J688" s="579"/>
      <c r="K688" s="579"/>
      <c r="L688" s="579"/>
      <c r="M688" s="579"/>
      <c r="N688" s="579"/>
      <c r="O688" s="631">
        <f t="shared" si="82"/>
        <v>0</v>
      </c>
      <c r="P688" s="579"/>
      <c r="Q688" s="579"/>
    </row>
    <row r="689" spans="1:9" s="624" customFormat="1" x14ac:dyDescent="0.25">
      <c r="A689" s="551" t="str">
        <f>+Info!$B$2</f>
        <v>724</v>
      </c>
      <c r="B689" s="640" t="e">
        <f t="shared" ref="B689:B711" si="83">NA()</f>
        <v>#N/A</v>
      </c>
      <c r="C689" s="640"/>
    </row>
    <row r="690" spans="1:9" s="624" customFormat="1" x14ac:dyDescent="0.25">
      <c r="A690" s="551" t="str">
        <f>+Info!$B$2</f>
        <v>724</v>
      </c>
      <c r="B690" s="640" t="e">
        <f t="shared" si="83"/>
        <v>#N/A</v>
      </c>
      <c r="C690" s="640"/>
    </row>
    <row r="691" spans="1:9" s="624" customFormat="1" ht="11.25" customHeight="1" x14ac:dyDescent="0.25">
      <c r="A691" s="551" t="str">
        <f>+Info!$B$2</f>
        <v>724</v>
      </c>
      <c r="B691" s="640" t="e">
        <f t="shared" si="83"/>
        <v>#N/A</v>
      </c>
      <c r="C691" s="640"/>
      <c r="D691" s="921" t="s">
        <v>4362</v>
      </c>
      <c r="E691" s="623"/>
      <c r="F691" s="905" t="s">
        <v>4271</v>
      </c>
      <c r="G691" s="905"/>
      <c r="H691" s="905"/>
      <c r="I691" s="919" t="s">
        <v>3815</v>
      </c>
    </row>
    <row r="692" spans="1:9" s="624" customFormat="1" ht="36" x14ac:dyDescent="0.25">
      <c r="A692" s="551" t="str">
        <f>+Info!$B$2</f>
        <v>724</v>
      </c>
      <c r="B692" s="640" t="e">
        <f t="shared" si="83"/>
        <v>#N/A</v>
      </c>
      <c r="C692" s="640"/>
      <c r="D692" s="921"/>
      <c r="E692" s="623"/>
      <c r="F692" s="340" t="str">
        <f>"Valore
al 31/12/"&amp;Info!$B$3-3&amp;" e precedenti"</f>
        <v>Valore
al 31/12/2017 e precedenti</v>
      </c>
      <c r="G692" s="340" t="str">
        <f>"Valore
al 31/12/"&amp;Info!$B$3-2</f>
        <v>Valore
al 31/12/2018</v>
      </c>
      <c r="H692" s="340" t="str">
        <f>"Valore
al 31/12/"&amp;Info!$B$3-1&amp;" (valore iniziale)"</f>
        <v>Valore
al 31/12/2019 (valore iniziale)</v>
      </c>
      <c r="I692" s="919"/>
    </row>
    <row r="693" spans="1:9" s="624" customFormat="1" ht="11.25" customHeight="1" x14ac:dyDescent="0.25">
      <c r="A693" s="551" t="str">
        <f>+Info!$B$2</f>
        <v>724</v>
      </c>
      <c r="B693" s="640" t="e">
        <f t="shared" si="83"/>
        <v>#N/A</v>
      </c>
      <c r="C693" s="640"/>
      <c r="D693" s="641" t="s">
        <v>3517</v>
      </c>
      <c r="F693" s="633"/>
      <c r="G693" s="642">
        <f>+F698</f>
        <v>0</v>
      </c>
      <c r="H693" s="642">
        <f>+G698</f>
        <v>0</v>
      </c>
      <c r="I693" s="642">
        <f>+H698</f>
        <v>0</v>
      </c>
    </row>
    <row r="694" spans="1:9" s="624" customFormat="1" ht="11.25" customHeight="1" x14ac:dyDescent="0.25">
      <c r="A694" s="551" t="str">
        <f>+Info!$B$2</f>
        <v>724</v>
      </c>
      <c r="B694" s="640" t="e">
        <f t="shared" si="83"/>
        <v>#N/A</v>
      </c>
      <c r="C694" s="640"/>
      <c r="D694" s="641" t="s">
        <v>3878</v>
      </c>
      <c r="F694" s="633"/>
      <c r="G694" s="633"/>
      <c r="H694" s="633"/>
      <c r="I694" s="633"/>
    </row>
    <row r="695" spans="1:9" s="624" customFormat="1" ht="11.25" customHeight="1" x14ac:dyDescent="0.25">
      <c r="A695" s="551" t="str">
        <f>+Info!$B$2</f>
        <v>724</v>
      </c>
      <c r="B695" s="640" t="e">
        <f t="shared" si="83"/>
        <v>#N/A</v>
      </c>
      <c r="C695" s="640"/>
      <c r="D695" s="641" t="s">
        <v>4210</v>
      </c>
      <c r="F695" s="633"/>
      <c r="G695" s="633"/>
      <c r="H695" s="633"/>
      <c r="I695" s="633"/>
    </row>
    <row r="696" spans="1:9" s="624" customFormat="1" ht="11.25" customHeight="1" x14ac:dyDescent="0.25">
      <c r="A696" s="551" t="str">
        <f>+Info!$B$2</f>
        <v>724</v>
      </c>
      <c r="B696" s="640" t="e">
        <f t="shared" si="83"/>
        <v>#N/A</v>
      </c>
      <c r="C696" s="640"/>
      <c r="D696" s="641" t="s">
        <v>4363</v>
      </c>
      <c r="F696" s="633"/>
      <c r="G696" s="633"/>
      <c r="H696" s="633"/>
      <c r="I696" s="633"/>
    </row>
    <row r="697" spans="1:9" s="624" customFormat="1" ht="11.25" customHeight="1" x14ac:dyDescent="0.25">
      <c r="A697" s="551" t="str">
        <f>+Info!$B$2</f>
        <v>724</v>
      </c>
      <c r="B697" s="640" t="e">
        <f t="shared" si="83"/>
        <v>#N/A</v>
      </c>
      <c r="C697" s="640"/>
      <c r="D697" s="641" t="s">
        <v>3881</v>
      </c>
      <c r="F697" s="633"/>
      <c r="G697" s="633"/>
      <c r="H697" s="633"/>
      <c r="I697" s="633"/>
    </row>
    <row r="698" spans="1:9" s="624" customFormat="1" ht="18" customHeight="1" x14ac:dyDescent="0.25">
      <c r="A698" s="551" t="str">
        <f>+Info!$B$2</f>
        <v>724</v>
      </c>
      <c r="B698" s="640" t="e">
        <f t="shared" si="83"/>
        <v>#N/A</v>
      </c>
      <c r="C698" s="640"/>
      <c r="D698" s="643" t="s">
        <v>3815</v>
      </c>
      <c r="F698" s="644">
        <f>+F693+F694+F695-F696+F697</f>
        <v>0</v>
      </c>
      <c r="G698" s="644">
        <f>+G693+G694+G695-G696+G697</f>
        <v>0</v>
      </c>
      <c r="H698" s="644">
        <f>+H693+H694+H695-H696+H697</f>
        <v>0</v>
      </c>
      <c r="I698" s="644">
        <f>+I693+I694+I695-I696+I697</f>
        <v>0</v>
      </c>
    </row>
    <row r="699" spans="1:9" s="624" customFormat="1" x14ac:dyDescent="0.25">
      <c r="A699" s="551" t="str">
        <f>+Info!$B$2</f>
        <v>724</v>
      </c>
      <c r="B699" s="640" t="e">
        <f t="shared" si="83"/>
        <v>#N/A</v>
      </c>
      <c r="C699" s="640"/>
    </row>
    <row r="700" spans="1:9" s="624" customFormat="1" x14ac:dyDescent="0.25">
      <c r="A700" s="551" t="str">
        <f>+Info!$B$2</f>
        <v>724</v>
      </c>
      <c r="B700" s="640" t="e">
        <f t="shared" si="83"/>
        <v>#N/A</v>
      </c>
      <c r="C700" s="640"/>
    </row>
    <row r="701" spans="1:9" s="624" customFormat="1" ht="11.25" customHeight="1" x14ac:dyDescent="0.25">
      <c r="A701" s="551" t="str">
        <f>+Info!$B$2</f>
        <v>724</v>
      </c>
      <c r="B701" s="640" t="e">
        <f t="shared" si="83"/>
        <v>#N/A</v>
      </c>
      <c r="C701" s="640"/>
      <c r="D701" s="921" t="s">
        <v>4364</v>
      </c>
      <c r="E701" s="623"/>
      <c r="F701" s="905" t="s">
        <v>4271</v>
      </c>
      <c r="G701" s="905"/>
      <c r="H701" s="905"/>
      <c r="I701" s="919" t="s">
        <v>3815</v>
      </c>
    </row>
    <row r="702" spans="1:9" s="624" customFormat="1" ht="36" x14ac:dyDescent="0.25">
      <c r="A702" s="551" t="str">
        <f>+Info!$B$2</f>
        <v>724</v>
      </c>
      <c r="B702" s="640" t="e">
        <f t="shared" si="83"/>
        <v>#N/A</v>
      </c>
      <c r="C702" s="640"/>
      <c r="D702" s="921"/>
      <c r="E702" s="623"/>
      <c r="F702" s="340" t="str">
        <f>+F692</f>
        <v>Valore
al 31/12/2017 e precedenti</v>
      </c>
      <c r="G702" s="340" t="str">
        <f>+G692</f>
        <v>Valore
al 31/12/2018</v>
      </c>
      <c r="H702" s="340" t="str">
        <f>+H692</f>
        <v>Valore
al 31/12/2019 (valore iniziale)</v>
      </c>
      <c r="I702" s="919"/>
    </row>
    <row r="703" spans="1:9" s="624" customFormat="1" ht="11.25" customHeight="1" x14ac:dyDescent="0.25">
      <c r="A703" s="551" t="str">
        <f>+Info!$B$2</f>
        <v>724</v>
      </c>
      <c r="B703" s="640" t="e">
        <f t="shared" si="83"/>
        <v>#N/A</v>
      </c>
      <c r="C703" s="640"/>
      <c r="D703" s="641" t="s">
        <v>3517</v>
      </c>
      <c r="F703" s="633"/>
      <c r="G703" s="642">
        <f>+F708</f>
        <v>0</v>
      </c>
      <c r="H703" s="642">
        <f>+G708</f>
        <v>0</v>
      </c>
      <c r="I703" s="642">
        <f>+H708</f>
        <v>0</v>
      </c>
    </row>
    <row r="704" spans="1:9" s="624" customFormat="1" ht="11.25" customHeight="1" x14ac:dyDescent="0.25">
      <c r="A704" s="551" t="str">
        <f>+Info!$B$2</f>
        <v>724</v>
      </c>
      <c r="B704" s="640" t="e">
        <f t="shared" si="83"/>
        <v>#N/A</v>
      </c>
      <c r="C704" s="640"/>
      <c r="D704" s="641" t="s">
        <v>3878</v>
      </c>
      <c r="F704" s="633"/>
      <c r="G704" s="633"/>
      <c r="H704" s="633"/>
      <c r="I704" s="633"/>
    </row>
    <row r="705" spans="1:32" s="624" customFormat="1" ht="11.25" customHeight="1" x14ac:dyDescent="0.25">
      <c r="A705" s="551" t="str">
        <f>+Info!$B$2</f>
        <v>724</v>
      </c>
      <c r="B705" s="640" t="e">
        <f t="shared" si="83"/>
        <v>#N/A</v>
      </c>
      <c r="C705" s="640"/>
      <c r="D705" s="641" t="s">
        <v>4210</v>
      </c>
      <c r="F705" s="633"/>
      <c r="G705" s="633"/>
      <c r="H705" s="633"/>
      <c r="I705" s="633"/>
    </row>
    <row r="706" spans="1:32" s="624" customFormat="1" ht="11.25" customHeight="1" x14ac:dyDescent="0.25">
      <c r="A706" s="551" t="str">
        <f>+Info!$B$2</f>
        <v>724</v>
      </c>
      <c r="B706" s="640" t="e">
        <f t="shared" si="83"/>
        <v>#N/A</v>
      </c>
      <c r="C706" s="640"/>
      <c r="D706" s="641" t="s">
        <v>4363</v>
      </c>
      <c r="F706" s="633"/>
      <c r="G706" s="633"/>
      <c r="H706" s="633"/>
      <c r="I706" s="633"/>
    </row>
    <row r="707" spans="1:32" s="624" customFormat="1" ht="11.25" customHeight="1" x14ac:dyDescent="0.25">
      <c r="A707" s="551" t="str">
        <f>+Info!$B$2</f>
        <v>724</v>
      </c>
      <c r="B707" s="640" t="e">
        <f t="shared" si="83"/>
        <v>#N/A</v>
      </c>
      <c r="C707" s="640"/>
      <c r="D707" s="641" t="s">
        <v>3881</v>
      </c>
      <c r="F707" s="633"/>
      <c r="G707" s="633"/>
      <c r="H707" s="633"/>
      <c r="I707" s="633"/>
    </row>
    <row r="708" spans="1:32" s="624" customFormat="1" ht="18" customHeight="1" x14ac:dyDescent="0.25">
      <c r="A708" s="551" t="str">
        <f>+Info!$B$2</f>
        <v>724</v>
      </c>
      <c r="B708" s="640" t="e">
        <f t="shared" si="83"/>
        <v>#N/A</v>
      </c>
      <c r="C708" s="640"/>
      <c r="D708" s="643" t="s">
        <v>3815</v>
      </c>
      <c r="F708" s="644">
        <f>+F703+F704+F705-F706+F707</f>
        <v>0</v>
      </c>
      <c r="G708" s="644">
        <f>+G703+G704+G705-G706+G707</f>
        <v>0</v>
      </c>
      <c r="H708" s="644">
        <f>+H703+H704+H705-H706+H707</f>
        <v>0</v>
      </c>
      <c r="I708" s="644">
        <f>+I703+I704+I705-I706+I707</f>
        <v>0</v>
      </c>
    </row>
    <row r="709" spans="1:32" x14ac:dyDescent="0.25">
      <c r="A709" s="551" t="str">
        <f>+Info!$B$2</f>
        <v>724</v>
      </c>
      <c r="B709" s="551" t="e">
        <f t="shared" si="83"/>
        <v>#N/A</v>
      </c>
    </row>
    <row r="710" spans="1:32" s="624" customFormat="1" ht="24" customHeight="1" x14ac:dyDescent="0.25">
      <c r="A710" s="551" t="str">
        <f>+Info!$B$2</f>
        <v>724</v>
      </c>
      <c r="B710" s="640" t="e">
        <f t="shared" si="83"/>
        <v>#N/A</v>
      </c>
      <c r="C710" s="640"/>
      <c r="D710" s="919" t="s">
        <v>4365</v>
      </c>
      <c r="E710" s="623"/>
      <c r="F710" s="919" t="s">
        <v>4366</v>
      </c>
      <c r="G710" s="919" t="s">
        <v>4367</v>
      </c>
      <c r="H710" s="919" t="s">
        <v>4368</v>
      </c>
      <c r="I710" s="920" t="s">
        <v>4369</v>
      </c>
      <c r="J710" s="919" t="s">
        <v>4370</v>
      </c>
      <c r="K710" s="919" t="s">
        <v>4371</v>
      </c>
      <c r="L710" s="919" t="s">
        <v>4372</v>
      </c>
      <c r="M710" s="919" t="s">
        <v>4373</v>
      </c>
    </row>
    <row r="711" spans="1:32" s="624" customFormat="1" ht="24" customHeight="1" x14ac:dyDescent="0.25">
      <c r="A711" s="551" t="str">
        <f>+Info!$B$2</f>
        <v>724</v>
      </c>
      <c r="B711" s="640" t="e">
        <f t="shared" si="83"/>
        <v>#N/A</v>
      </c>
      <c r="C711" s="640"/>
      <c r="D711" s="919"/>
      <c r="E711" s="623"/>
      <c r="F711" s="919"/>
      <c r="G711" s="919"/>
      <c r="H711" s="919"/>
      <c r="I711" s="920"/>
      <c r="J711" s="919"/>
      <c r="K711" s="919"/>
      <c r="L711" s="919"/>
      <c r="M711" s="919"/>
    </row>
    <row r="712" spans="1:32" s="624" customFormat="1" x14ac:dyDescent="0.25">
      <c r="A712" s="551" t="str">
        <f>+Info!$B$2</f>
        <v>724</v>
      </c>
      <c r="B712" s="274" t="s">
        <v>2260</v>
      </c>
      <c r="C712" s="274" t="str">
        <f t="shared" ref="C712:C718" si="84">$C$719</f>
        <v>3.40.10.00.000.000.00.000</v>
      </c>
      <c r="D712" s="563"/>
      <c r="F712" s="563"/>
      <c r="G712" s="563"/>
      <c r="H712" s="563"/>
      <c r="I712" s="579"/>
      <c r="J712" s="563"/>
      <c r="K712" s="579"/>
      <c r="L712" s="564"/>
      <c r="M712" s="563"/>
    </row>
    <row r="713" spans="1:32" s="624" customFormat="1" x14ac:dyDescent="0.25">
      <c r="A713" s="551" t="str">
        <f>+Info!$B$2</f>
        <v>724</v>
      </c>
      <c r="B713" s="274" t="s">
        <v>2260</v>
      </c>
      <c r="C713" s="274" t="str">
        <f t="shared" si="84"/>
        <v>3.40.10.00.000.000.00.000</v>
      </c>
      <c r="D713" s="563"/>
      <c r="F713" s="563"/>
      <c r="G713" s="563"/>
      <c r="H713" s="563"/>
      <c r="I713" s="579"/>
      <c r="J713" s="563"/>
      <c r="K713" s="579"/>
      <c r="L713" s="564"/>
      <c r="M713" s="563"/>
    </row>
    <row r="714" spans="1:32" s="624" customFormat="1" x14ac:dyDescent="0.25">
      <c r="A714" s="551" t="str">
        <f>+Info!$B$2</f>
        <v>724</v>
      </c>
      <c r="B714" s="274" t="s">
        <v>2260</v>
      </c>
      <c r="C714" s="274" t="str">
        <f t="shared" si="84"/>
        <v>3.40.10.00.000.000.00.000</v>
      </c>
      <c r="D714" s="563"/>
      <c r="F714" s="563"/>
      <c r="G714" s="563"/>
      <c r="H714" s="563"/>
      <c r="I714" s="579"/>
      <c r="J714" s="563"/>
      <c r="K714" s="579"/>
      <c r="L714" s="564"/>
      <c r="M714" s="563"/>
    </row>
    <row r="715" spans="1:32" s="624" customFormat="1" x14ac:dyDescent="0.25">
      <c r="A715" s="551" t="str">
        <f>+Info!$B$2</f>
        <v>724</v>
      </c>
      <c r="B715" s="274" t="s">
        <v>2260</v>
      </c>
      <c r="C715" s="274" t="str">
        <f t="shared" si="84"/>
        <v>3.40.10.00.000.000.00.000</v>
      </c>
      <c r="D715" s="563"/>
      <c r="F715" s="563"/>
      <c r="G715" s="563"/>
      <c r="H715" s="563"/>
      <c r="I715" s="579"/>
      <c r="J715" s="563"/>
      <c r="K715" s="579"/>
      <c r="L715" s="564"/>
      <c r="M715" s="563"/>
    </row>
    <row r="716" spans="1:32" s="624" customFormat="1" x14ac:dyDescent="0.25">
      <c r="A716" s="551" t="str">
        <f>+Info!$B$2</f>
        <v>724</v>
      </c>
      <c r="B716" s="274" t="s">
        <v>2260</v>
      </c>
      <c r="C716" s="274" t="str">
        <f t="shared" si="84"/>
        <v>3.40.10.00.000.000.00.000</v>
      </c>
      <c r="D716" s="563"/>
      <c r="F716" s="563"/>
      <c r="G716" s="563"/>
      <c r="H716" s="563"/>
      <c r="I716" s="579"/>
      <c r="J716" s="563"/>
      <c r="K716" s="579"/>
      <c r="L716" s="564"/>
      <c r="M716" s="563"/>
    </row>
    <row r="717" spans="1:32" s="624" customFormat="1" x14ac:dyDescent="0.25">
      <c r="A717" s="551" t="str">
        <f>+Info!$B$2</f>
        <v>724</v>
      </c>
      <c r="B717" s="274" t="s">
        <v>2260</v>
      </c>
      <c r="C717" s="274" t="str">
        <f t="shared" si="84"/>
        <v>3.40.10.00.000.000.00.000</v>
      </c>
      <c r="D717" s="563"/>
      <c r="F717" s="563"/>
      <c r="G717" s="563"/>
      <c r="H717" s="563"/>
      <c r="I717" s="579"/>
      <c r="J717" s="563"/>
      <c r="K717" s="579"/>
      <c r="L717" s="564"/>
      <c r="M717" s="563"/>
    </row>
    <row r="718" spans="1:32" s="624" customFormat="1" ht="15" customHeight="1" x14ac:dyDescent="0.25">
      <c r="A718" s="551" t="str">
        <f>+Info!$B$2</f>
        <v>724</v>
      </c>
      <c r="B718" s="274" t="s">
        <v>2260</v>
      </c>
      <c r="C718" s="274" t="str">
        <f t="shared" si="84"/>
        <v>3.40.10.00.000.000.00.000</v>
      </c>
      <c r="D718" s="563"/>
      <c r="F718" s="563"/>
      <c r="G718" s="563"/>
      <c r="H718" s="563"/>
      <c r="I718" s="579"/>
      <c r="J718" s="563"/>
      <c r="K718" s="579"/>
      <c r="L718" s="564"/>
      <c r="M718" s="563"/>
    </row>
    <row r="719" spans="1:32" s="624" customFormat="1" x14ac:dyDescent="0.25">
      <c r="A719" s="551" t="str">
        <f>+Info!$B$2</f>
        <v>724</v>
      </c>
      <c r="B719" s="626" t="s">
        <v>2260</v>
      </c>
      <c r="C719" s="626" t="s">
        <v>2261</v>
      </c>
      <c r="D719" s="646" t="s">
        <v>4378</v>
      </c>
      <c r="F719" s="647"/>
      <c r="G719" s="647"/>
      <c r="H719" s="647"/>
      <c r="I719" s="644">
        <f>SUM(I712:I718)</f>
        <v>0</v>
      </c>
      <c r="J719" s="647"/>
      <c r="K719" s="644">
        <f>SUM(K712:K718)</f>
        <v>0</v>
      </c>
      <c r="L719" s="612" t="str">
        <f>IF(K719=N719,"Quadratura OK!","Squadratura con dati Bilancio")</f>
        <v>Quadratura OK!</v>
      </c>
      <c r="M719" s="612"/>
      <c r="N719" s="569">
        <f>SUMIF('NI-Ric_SP'!$C:$C,$C719,'NI-Ric_SP'!$Z:$Z)</f>
        <v>0</v>
      </c>
      <c r="AC719" s="624" t="str">
        <f>C719</f>
        <v>3.40.10.00.000.000.00.000</v>
      </c>
      <c r="AD719" s="629">
        <f>K719</f>
        <v>0</v>
      </c>
      <c r="AE719" s="648">
        <f>N719</f>
        <v>0</v>
      </c>
      <c r="AF719" s="551">
        <f>IF($AD719=$AE719,0,1)</f>
        <v>0</v>
      </c>
    </row>
    <row r="720" spans="1:32" s="624" customFormat="1" x14ac:dyDescent="0.25">
      <c r="A720" s="551" t="str">
        <f>+Info!$B$2</f>
        <v>724</v>
      </c>
      <c r="B720" s="640" t="e">
        <f t="shared" ref="B720:B730" si="85">NA()</f>
        <v>#N/A</v>
      </c>
      <c r="C720" s="640"/>
    </row>
    <row r="721" spans="1:14" s="624" customFormat="1" ht="15" hidden="1" customHeight="1" x14ac:dyDescent="0.25">
      <c r="A721" s="551" t="str">
        <f>+Info!$B$2</f>
        <v>724</v>
      </c>
      <c r="B721" s="640" t="e">
        <f t="shared" si="85"/>
        <v>#N/A</v>
      </c>
      <c r="C721" s="640"/>
    </row>
    <row r="722" spans="1:14" s="649" customFormat="1" ht="15" hidden="1" customHeight="1" x14ac:dyDescent="0.25">
      <c r="A722" s="551" t="str">
        <f>+Info!$B$2</f>
        <v>724</v>
      </c>
      <c r="B722" s="640" t="e">
        <f t="shared" si="85"/>
        <v>#N/A</v>
      </c>
      <c r="C722" s="640"/>
      <c r="D722" s="624"/>
      <c r="E722" s="624"/>
      <c r="F722" s="624"/>
      <c r="G722" s="624"/>
      <c r="H722" s="624"/>
    </row>
    <row r="723" spans="1:14" s="649" customFormat="1" ht="15" hidden="1" customHeight="1" x14ac:dyDescent="0.25">
      <c r="A723" s="551" t="str">
        <f>+Info!$B$2</f>
        <v>724</v>
      </c>
      <c r="B723" s="640" t="e">
        <f t="shared" si="85"/>
        <v>#N/A</v>
      </c>
      <c r="C723" s="640"/>
      <c r="D723" s="624"/>
      <c r="E723" s="624"/>
      <c r="F723" s="624"/>
      <c r="G723" s="624"/>
      <c r="H723" s="624"/>
    </row>
    <row r="724" spans="1:14" s="649" customFormat="1" ht="15" hidden="1" customHeight="1" x14ac:dyDescent="0.25">
      <c r="A724" s="551" t="str">
        <f>+Info!$B$2</f>
        <v>724</v>
      </c>
      <c r="B724" s="640" t="e">
        <f t="shared" si="85"/>
        <v>#N/A</v>
      </c>
      <c r="C724" s="640"/>
      <c r="D724" s="624"/>
      <c r="E724" s="624"/>
      <c r="F724" s="624"/>
      <c r="G724" s="624"/>
      <c r="H724" s="624"/>
    </row>
    <row r="725" spans="1:14" s="649" customFormat="1" ht="15" hidden="1" customHeight="1" x14ac:dyDescent="0.25">
      <c r="A725" s="551" t="str">
        <f>+Info!$B$2</f>
        <v>724</v>
      </c>
      <c r="B725" s="640" t="e">
        <f t="shared" si="85"/>
        <v>#N/A</v>
      </c>
      <c r="C725" s="640"/>
      <c r="D725" s="624"/>
      <c r="E725" s="624"/>
      <c r="F725" s="624"/>
      <c r="G725" s="624"/>
      <c r="H725" s="624"/>
    </row>
    <row r="726" spans="1:14" s="649" customFormat="1" ht="15" hidden="1" customHeight="1" x14ac:dyDescent="0.25">
      <c r="A726" s="551" t="str">
        <f>+Info!$B$2</f>
        <v>724</v>
      </c>
      <c r="B726" s="640" t="e">
        <f t="shared" si="85"/>
        <v>#N/A</v>
      </c>
      <c r="C726" s="640"/>
      <c r="D726" s="624"/>
      <c r="E726" s="624"/>
      <c r="F726" s="624"/>
      <c r="G726" s="624"/>
      <c r="H726" s="624"/>
    </row>
    <row r="727" spans="1:14" s="649" customFormat="1" ht="15" hidden="1" customHeight="1" x14ac:dyDescent="0.25">
      <c r="A727" s="551" t="str">
        <f>+Info!$B$2</f>
        <v>724</v>
      </c>
      <c r="B727" s="640" t="e">
        <f t="shared" si="85"/>
        <v>#N/A</v>
      </c>
      <c r="C727" s="640"/>
      <c r="D727" s="624"/>
      <c r="E727" s="624"/>
      <c r="F727" s="624"/>
      <c r="G727" s="624"/>
      <c r="H727" s="624"/>
    </row>
    <row r="728" spans="1:14" x14ac:dyDescent="0.25">
      <c r="A728" s="551" t="str">
        <f>+Info!$B$2</f>
        <v>724</v>
      </c>
      <c r="B728" s="551" t="e">
        <f t="shared" si="85"/>
        <v>#N/A</v>
      </c>
    </row>
    <row r="729" spans="1:14" x14ac:dyDescent="0.25">
      <c r="A729" s="551" t="str">
        <f>+Info!$B$2</f>
        <v>724</v>
      </c>
      <c r="B729" s="620" t="e">
        <f t="shared" si="85"/>
        <v>#N/A</v>
      </c>
      <c r="C729" s="620"/>
      <c r="D729" s="590" t="s">
        <v>4379</v>
      </c>
      <c r="E729" s="557"/>
      <c r="F729" s="557"/>
      <c r="G729" s="557"/>
      <c r="H729" s="557"/>
      <c r="I729" s="557"/>
      <c r="J729" s="557"/>
      <c r="K729" s="557"/>
      <c r="L729" s="557"/>
      <c r="M729" s="557"/>
      <c r="N729" s="557"/>
    </row>
    <row r="730" spans="1:14" x14ac:dyDescent="0.25">
      <c r="A730" s="551" t="str">
        <f>+Info!$B$2</f>
        <v>724</v>
      </c>
      <c r="B730" s="620" t="e">
        <f t="shared" si="85"/>
        <v>#N/A</v>
      </c>
      <c r="C730" s="620"/>
      <c r="D730" s="590" t="s">
        <v>4380</v>
      </c>
      <c r="E730" s="918" t="s">
        <v>4381</v>
      </c>
      <c r="F730" s="918"/>
      <c r="G730" s="918"/>
      <c r="H730" s="558" t="str">
        <f>+H470</f>
        <v>Entro 12 mesi (2020)</v>
      </c>
      <c r="I730" s="558" t="str">
        <f>+I470</f>
        <v>Oltre 12 mesi (2020)</v>
      </c>
      <c r="J730" s="558" t="s">
        <v>4300</v>
      </c>
      <c r="K730" s="557"/>
      <c r="L730" s="557"/>
      <c r="M730" s="557"/>
      <c r="N730" s="557"/>
    </row>
    <row r="731" spans="1:14" x14ac:dyDescent="0.25">
      <c r="A731" s="551" t="str">
        <f>+Info!$B$2</f>
        <v>724</v>
      </c>
      <c r="B731" s="274" t="s">
        <v>2654</v>
      </c>
      <c r="C731" s="274" t="str">
        <f t="shared" ref="C731:C757" si="86">$C$758</f>
        <v>3.50.10.10.000.000.00.000</v>
      </c>
      <c r="D731" s="563"/>
      <c r="E731" s="917"/>
      <c r="F731" s="917"/>
      <c r="G731" s="917"/>
      <c r="H731" s="621"/>
      <c r="I731" s="621"/>
      <c r="J731" s="559">
        <f t="shared" ref="J731:J757" si="87">+H731+I731</f>
        <v>0</v>
      </c>
      <c r="K731" s="557"/>
      <c r="L731" s="557"/>
      <c r="M731" s="557"/>
      <c r="N731" s="557"/>
    </row>
    <row r="732" spans="1:14" x14ac:dyDescent="0.25">
      <c r="A732" s="551" t="str">
        <f>+Info!$B$2</f>
        <v>724</v>
      </c>
      <c r="B732" s="274" t="s">
        <v>2654</v>
      </c>
      <c r="C732" s="274" t="str">
        <f t="shared" si="86"/>
        <v>3.50.10.10.000.000.00.000</v>
      </c>
      <c r="D732" s="563"/>
      <c r="E732" s="917"/>
      <c r="F732" s="917"/>
      <c r="G732" s="917"/>
      <c r="H732" s="621"/>
      <c r="I732" s="621"/>
      <c r="J732" s="559">
        <f t="shared" si="87"/>
        <v>0</v>
      </c>
      <c r="K732" s="557"/>
      <c r="L732" s="557"/>
      <c r="M732" s="557"/>
      <c r="N732" s="557"/>
    </row>
    <row r="733" spans="1:14" x14ac:dyDescent="0.25">
      <c r="A733" s="551" t="str">
        <f>+Info!$B$2</f>
        <v>724</v>
      </c>
      <c r="B733" s="274" t="s">
        <v>2654</v>
      </c>
      <c r="C733" s="274" t="str">
        <f t="shared" si="86"/>
        <v>3.50.10.10.000.000.00.000</v>
      </c>
      <c r="D733" s="563"/>
      <c r="E733" s="917"/>
      <c r="F733" s="917"/>
      <c r="G733" s="917"/>
      <c r="H733" s="621"/>
      <c r="I733" s="621"/>
      <c r="J733" s="559">
        <f t="shared" si="87"/>
        <v>0</v>
      </c>
      <c r="K733" s="557"/>
      <c r="L733" s="557"/>
      <c r="M733" s="557"/>
      <c r="N733" s="557"/>
    </row>
    <row r="734" spans="1:14" x14ac:dyDescent="0.25">
      <c r="A734" s="551" t="str">
        <f>+Info!$B$2</f>
        <v>724</v>
      </c>
      <c r="B734" s="274" t="s">
        <v>2654</v>
      </c>
      <c r="C734" s="274" t="str">
        <f t="shared" si="86"/>
        <v>3.50.10.10.000.000.00.000</v>
      </c>
      <c r="D734" s="563"/>
      <c r="E734" s="917"/>
      <c r="F734" s="917"/>
      <c r="G734" s="917"/>
      <c r="H734" s="621"/>
      <c r="I734" s="621"/>
      <c r="J734" s="559">
        <f t="shared" si="87"/>
        <v>0</v>
      </c>
      <c r="K734" s="557"/>
      <c r="L734" s="557"/>
      <c r="M734" s="557"/>
      <c r="N734" s="557"/>
    </row>
    <row r="735" spans="1:14" x14ac:dyDescent="0.25">
      <c r="A735" s="551" t="str">
        <f>+Info!$B$2</f>
        <v>724</v>
      </c>
      <c r="B735" s="274" t="s">
        <v>2654</v>
      </c>
      <c r="C735" s="274" t="str">
        <f t="shared" si="86"/>
        <v>3.50.10.10.000.000.00.000</v>
      </c>
      <c r="D735" s="563"/>
      <c r="E735" s="917"/>
      <c r="F735" s="917"/>
      <c r="G735" s="917"/>
      <c r="H735" s="621"/>
      <c r="I735" s="621"/>
      <c r="J735" s="559">
        <f t="shared" si="87"/>
        <v>0</v>
      </c>
      <c r="K735" s="557"/>
      <c r="L735" s="557"/>
      <c r="M735" s="557"/>
      <c r="N735" s="557"/>
    </row>
    <row r="736" spans="1:14" x14ac:dyDescent="0.25">
      <c r="A736" s="551" t="str">
        <f>+Info!$B$2</f>
        <v>724</v>
      </c>
      <c r="B736" s="274" t="s">
        <v>2654</v>
      </c>
      <c r="C736" s="274" t="str">
        <f t="shared" si="86"/>
        <v>3.50.10.10.000.000.00.000</v>
      </c>
      <c r="D736" s="563"/>
      <c r="E736" s="917"/>
      <c r="F736" s="917"/>
      <c r="G736" s="917"/>
      <c r="H736" s="621"/>
      <c r="I736" s="621"/>
      <c r="J736" s="559">
        <f t="shared" si="87"/>
        <v>0</v>
      </c>
      <c r="K736" s="557"/>
      <c r="L736" s="557"/>
      <c r="M736" s="557"/>
      <c r="N736" s="557"/>
    </row>
    <row r="737" spans="1:14" x14ac:dyDescent="0.25">
      <c r="A737" s="551" t="str">
        <f>+Info!$B$2</f>
        <v>724</v>
      </c>
      <c r="B737" s="274" t="s">
        <v>2654</v>
      </c>
      <c r="C737" s="274" t="str">
        <f t="shared" si="86"/>
        <v>3.50.10.10.000.000.00.000</v>
      </c>
      <c r="D737" s="563"/>
      <c r="E737" s="917"/>
      <c r="F737" s="917"/>
      <c r="G737" s="917"/>
      <c r="H737" s="621"/>
      <c r="I737" s="621"/>
      <c r="J737" s="559">
        <f t="shared" si="87"/>
        <v>0</v>
      </c>
      <c r="K737" s="557"/>
      <c r="L737" s="557"/>
      <c r="M737" s="557"/>
      <c r="N737" s="557"/>
    </row>
    <row r="738" spans="1:14" x14ac:dyDescent="0.25">
      <c r="A738" s="551" t="str">
        <f>+Info!$B$2</f>
        <v>724</v>
      </c>
      <c r="B738" s="274" t="s">
        <v>2654</v>
      </c>
      <c r="C738" s="274" t="str">
        <f t="shared" si="86"/>
        <v>3.50.10.10.000.000.00.000</v>
      </c>
      <c r="D738" s="563"/>
      <c r="E738" s="917"/>
      <c r="F738" s="917"/>
      <c r="G738" s="917"/>
      <c r="H738" s="621"/>
      <c r="I738" s="621"/>
      <c r="J738" s="559">
        <f t="shared" si="87"/>
        <v>0</v>
      </c>
      <c r="K738" s="557"/>
      <c r="L738" s="557"/>
      <c r="M738" s="557"/>
      <c r="N738" s="557"/>
    </row>
    <row r="739" spans="1:14" x14ac:dyDescent="0.25">
      <c r="A739" s="551" t="str">
        <f>+Info!$B$2</f>
        <v>724</v>
      </c>
      <c r="B739" s="274" t="s">
        <v>2654</v>
      </c>
      <c r="C739" s="274" t="str">
        <f t="shared" si="86"/>
        <v>3.50.10.10.000.000.00.000</v>
      </c>
      <c r="D739" s="563"/>
      <c r="E739" s="917"/>
      <c r="F739" s="917"/>
      <c r="G739" s="917"/>
      <c r="H739" s="621"/>
      <c r="I739" s="621"/>
      <c r="J739" s="559">
        <f t="shared" si="87"/>
        <v>0</v>
      </c>
      <c r="L739" s="557"/>
      <c r="M739" s="557"/>
      <c r="N739" s="557"/>
    </row>
    <row r="740" spans="1:14" x14ac:dyDescent="0.25">
      <c r="A740" s="551" t="str">
        <f>+Info!$B$2</f>
        <v>724</v>
      </c>
      <c r="B740" s="274" t="s">
        <v>2654</v>
      </c>
      <c r="C740" s="274" t="str">
        <f t="shared" si="86"/>
        <v>3.50.10.10.000.000.00.000</v>
      </c>
      <c r="D740" s="563"/>
      <c r="E740" s="917"/>
      <c r="F740" s="917"/>
      <c r="G740" s="917"/>
      <c r="H740" s="621"/>
      <c r="I740" s="621"/>
      <c r="J740" s="559">
        <f t="shared" si="87"/>
        <v>0</v>
      </c>
      <c r="L740" s="557"/>
      <c r="M740" s="557"/>
      <c r="N740" s="557"/>
    </row>
    <row r="741" spans="1:14" x14ac:dyDescent="0.25">
      <c r="A741" s="551" t="str">
        <f>+Info!$B$2</f>
        <v>724</v>
      </c>
      <c r="B741" s="274" t="s">
        <v>2654</v>
      </c>
      <c r="C741" s="274" t="str">
        <f t="shared" si="86"/>
        <v>3.50.10.10.000.000.00.000</v>
      </c>
      <c r="D741" s="563"/>
      <c r="E741" s="917"/>
      <c r="F741" s="917"/>
      <c r="G741" s="917"/>
      <c r="H741" s="621"/>
      <c r="I741" s="621"/>
      <c r="J741" s="559">
        <f t="shared" si="87"/>
        <v>0</v>
      </c>
      <c r="L741" s="557"/>
      <c r="M741" s="557"/>
      <c r="N741" s="557"/>
    </row>
    <row r="742" spans="1:14" x14ac:dyDescent="0.25">
      <c r="A742" s="551" t="str">
        <f>+Info!$B$2</f>
        <v>724</v>
      </c>
      <c r="B742" s="274" t="s">
        <v>2654</v>
      </c>
      <c r="C742" s="274" t="str">
        <f t="shared" si="86"/>
        <v>3.50.10.10.000.000.00.000</v>
      </c>
      <c r="D742" s="563"/>
      <c r="E742" s="917"/>
      <c r="F742" s="917"/>
      <c r="G742" s="917"/>
      <c r="H742" s="621"/>
      <c r="I742" s="621"/>
      <c r="J742" s="559">
        <f t="shared" si="87"/>
        <v>0</v>
      </c>
    </row>
    <row r="743" spans="1:14" x14ac:dyDescent="0.25">
      <c r="A743" s="551" t="str">
        <f>+Info!$B$2</f>
        <v>724</v>
      </c>
      <c r="B743" s="274" t="s">
        <v>2654</v>
      </c>
      <c r="C743" s="274" t="str">
        <f t="shared" si="86"/>
        <v>3.50.10.10.000.000.00.000</v>
      </c>
      <c r="D743" s="563"/>
      <c r="E743" s="917"/>
      <c r="F743" s="917"/>
      <c r="G743" s="917"/>
      <c r="H743" s="621"/>
      <c r="I743" s="621"/>
      <c r="J743" s="559">
        <f t="shared" si="87"/>
        <v>0</v>
      </c>
    </row>
    <row r="744" spans="1:14" x14ac:dyDescent="0.25">
      <c r="A744" s="551" t="str">
        <f>+Info!$B$2</f>
        <v>724</v>
      </c>
      <c r="B744" s="274" t="s">
        <v>2654</v>
      </c>
      <c r="C744" s="274" t="str">
        <f t="shared" si="86"/>
        <v>3.50.10.10.000.000.00.000</v>
      </c>
      <c r="D744" s="563"/>
      <c r="E744" s="917"/>
      <c r="F744" s="917"/>
      <c r="G744" s="917"/>
      <c r="H744" s="621"/>
      <c r="I744" s="621"/>
      <c r="J744" s="559">
        <f t="shared" si="87"/>
        <v>0</v>
      </c>
    </row>
    <row r="745" spans="1:14" x14ac:dyDescent="0.25">
      <c r="A745" s="551" t="str">
        <f>+Info!$B$2</f>
        <v>724</v>
      </c>
      <c r="B745" s="274" t="s">
        <v>2654</v>
      </c>
      <c r="C745" s="274" t="str">
        <f t="shared" si="86"/>
        <v>3.50.10.10.000.000.00.000</v>
      </c>
      <c r="D745" s="563"/>
      <c r="E745" s="917"/>
      <c r="F745" s="917"/>
      <c r="G745" s="917"/>
      <c r="H745" s="621"/>
      <c r="I745" s="621"/>
      <c r="J745" s="559">
        <f t="shared" si="87"/>
        <v>0</v>
      </c>
    </row>
    <row r="746" spans="1:14" x14ac:dyDescent="0.25">
      <c r="A746" s="551" t="str">
        <f>+Info!$B$2</f>
        <v>724</v>
      </c>
      <c r="B746" s="274" t="s">
        <v>2654</v>
      </c>
      <c r="C746" s="274" t="str">
        <f t="shared" si="86"/>
        <v>3.50.10.10.000.000.00.000</v>
      </c>
      <c r="D746" s="563"/>
      <c r="E746" s="917"/>
      <c r="F746" s="917"/>
      <c r="G746" s="917"/>
      <c r="H746" s="621"/>
      <c r="I746" s="621"/>
      <c r="J746" s="559">
        <f t="shared" si="87"/>
        <v>0</v>
      </c>
    </row>
    <row r="747" spans="1:14" x14ac:dyDescent="0.25">
      <c r="A747" s="551" t="str">
        <f>+Info!$B$2</f>
        <v>724</v>
      </c>
      <c r="B747" s="274" t="s">
        <v>2654</v>
      </c>
      <c r="C747" s="274" t="str">
        <f t="shared" si="86"/>
        <v>3.50.10.10.000.000.00.000</v>
      </c>
      <c r="D747" s="563"/>
      <c r="E747" s="917"/>
      <c r="F747" s="917"/>
      <c r="G747" s="917"/>
      <c r="H747" s="621"/>
      <c r="I747" s="621"/>
      <c r="J747" s="559">
        <f t="shared" si="87"/>
        <v>0</v>
      </c>
    </row>
    <row r="748" spans="1:14" x14ac:dyDescent="0.25">
      <c r="A748" s="551" t="str">
        <f>+Info!$B$2</f>
        <v>724</v>
      </c>
      <c r="B748" s="274" t="s">
        <v>2654</v>
      </c>
      <c r="C748" s="274" t="str">
        <f t="shared" si="86"/>
        <v>3.50.10.10.000.000.00.000</v>
      </c>
      <c r="D748" s="563"/>
      <c r="E748" s="917"/>
      <c r="F748" s="917"/>
      <c r="G748" s="917"/>
      <c r="H748" s="621"/>
      <c r="I748" s="621"/>
      <c r="J748" s="559">
        <f t="shared" si="87"/>
        <v>0</v>
      </c>
    </row>
    <row r="749" spans="1:14" x14ac:dyDescent="0.25">
      <c r="A749" s="551" t="str">
        <f>+Info!$B$2</f>
        <v>724</v>
      </c>
      <c r="B749" s="274" t="s">
        <v>2654</v>
      </c>
      <c r="C749" s="274" t="str">
        <f t="shared" si="86"/>
        <v>3.50.10.10.000.000.00.000</v>
      </c>
      <c r="D749" s="563"/>
      <c r="E749" s="917"/>
      <c r="F749" s="917"/>
      <c r="G749" s="917"/>
      <c r="H749" s="621"/>
      <c r="I749" s="621"/>
      <c r="J749" s="559">
        <f t="shared" si="87"/>
        <v>0</v>
      </c>
    </row>
    <row r="750" spans="1:14" x14ac:dyDescent="0.25">
      <c r="A750" s="551" t="str">
        <f>+Info!$B$2</f>
        <v>724</v>
      </c>
      <c r="B750" s="274" t="s">
        <v>2654</v>
      </c>
      <c r="C750" s="274" t="str">
        <f t="shared" si="86"/>
        <v>3.50.10.10.000.000.00.000</v>
      </c>
      <c r="D750" s="563"/>
      <c r="E750" s="917"/>
      <c r="F750" s="917"/>
      <c r="G750" s="917"/>
      <c r="H750" s="621"/>
      <c r="I750" s="621"/>
      <c r="J750" s="559">
        <f t="shared" si="87"/>
        <v>0</v>
      </c>
    </row>
    <row r="751" spans="1:14" x14ac:dyDescent="0.25">
      <c r="A751" s="551" t="str">
        <f>+Info!$B$2</f>
        <v>724</v>
      </c>
      <c r="B751" s="274" t="s">
        <v>2654</v>
      </c>
      <c r="C751" s="274" t="str">
        <f t="shared" si="86"/>
        <v>3.50.10.10.000.000.00.000</v>
      </c>
      <c r="D751" s="563"/>
      <c r="E751" s="917"/>
      <c r="F751" s="917"/>
      <c r="G751" s="917"/>
      <c r="H751" s="621"/>
      <c r="I751" s="621"/>
      <c r="J751" s="559">
        <f t="shared" si="87"/>
        <v>0</v>
      </c>
    </row>
    <row r="752" spans="1:14" x14ac:dyDescent="0.25">
      <c r="A752" s="551" t="str">
        <f>+Info!$B$2</f>
        <v>724</v>
      </c>
      <c r="B752" s="274" t="s">
        <v>2654</v>
      </c>
      <c r="C752" s="274" t="str">
        <f t="shared" si="86"/>
        <v>3.50.10.10.000.000.00.000</v>
      </c>
      <c r="D752" s="563"/>
      <c r="E752" s="917"/>
      <c r="F752" s="917"/>
      <c r="G752" s="917"/>
      <c r="H752" s="621"/>
      <c r="I752" s="621"/>
      <c r="J752" s="559">
        <f t="shared" si="87"/>
        <v>0</v>
      </c>
    </row>
    <row r="753" spans="1:14" x14ac:dyDescent="0.25">
      <c r="A753" s="551" t="str">
        <f>+Info!$B$2</f>
        <v>724</v>
      </c>
      <c r="B753" s="274" t="s">
        <v>2654</v>
      </c>
      <c r="C753" s="274" t="str">
        <f t="shared" si="86"/>
        <v>3.50.10.10.000.000.00.000</v>
      </c>
      <c r="D753" s="563"/>
      <c r="E753" s="917"/>
      <c r="F753" s="917"/>
      <c r="G753" s="917"/>
      <c r="H753" s="621"/>
      <c r="I753" s="621"/>
      <c r="J753" s="559">
        <f t="shared" si="87"/>
        <v>0</v>
      </c>
    </row>
    <row r="754" spans="1:14" x14ac:dyDescent="0.25">
      <c r="A754" s="551" t="str">
        <f>+Info!$B$2</f>
        <v>724</v>
      </c>
      <c r="B754" s="274" t="s">
        <v>2654</v>
      </c>
      <c r="C754" s="274" t="str">
        <f t="shared" si="86"/>
        <v>3.50.10.10.000.000.00.000</v>
      </c>
      <c r="D754" s="563"/>
      <c r="E754" s="917"/>
      <c r="F754" s="917"/>
      <c r="G754" s="917"/>
      <c r="H754" s="621"/>
      <c r="I754" s="621"/>
      <c r="J754" s="559">
        <f t="shared" si="87"/>
        <v>0</v>
      </c>
    </row>
    <row r="755" spans="1:14" x14ac:dyDescent="0.25">
      <c r="A755" s="551" t="str">
        <f>+Info!$B$2</f>
        <v>724</v>
      </c>
      <c r="B755" s="274" t="s">
        <v>2654</v>
      </c>
      <c r="C755" s="274" t="str">
        <f t="shared" si="86"/>
        <v>3.50.10.10.000.000.00.000</v>
      </c>
      <c r="D755" s="563"/>
      <c r="E755" s="917"/>
      <c r="F755" s="917"/>
      <c r="G755" s="917"/>
      <c r="H755" s="621"/>
      <c r="I755" s="621"/>
      <c r="J755" s="559">
        <f t="shared" si="87"/>
        <v>0</v>
      </c>
    </row>
    <row r="756" spans="1:14" x14ac:dyDescent="0.25">
      <c r="A756" s="551" t="str">
        <f>+Info!$B$2</f>
        <v>724</v>
      </c>
      <c r="B756" s="274" t="s">
        <v>2654</v>
      </c>
      <c r="C756" s="274" t="str">
        <f t="shared" si="86"/>
        <v>3.50.10.10.000.000.00.000</v>
      </c>
      <c r="D756" s="563"/>
      <c r="E756" s="917"/>
      <c r="F756" s="917"/>
      <c r="G756" s="917"/>
      <c r="H756" s="621"/>
      <c r="I756" s="621"/>
      <c r="J756" s="559">
        <f t="shared" si="87"/>
        <v>0</v>
      </c>
    </row>
    <row r="757" spans="1:14" x14ac:dyDescent="0.25">
      <c r="A757" s="551" t="str">
        <f>+Info!$B$2</f>
        <v>724</v>
      </c>
      <c r="B757" s="274" t="s">
        <v>2654</v>
      </c>
      <c r="C757" s="274" t="str">
        <f t="shared" si="86"/>
        <v>3.50.10.10.000.000.00.000</v>
      </c>
      <c r="D757" s="563"/>
      <c r="E757" s="917"/>
      <c r="F757" s="917"/>
      <c r="G757" s="917"/>
      <c r="H757" s="621"/>
      <c r="I757" s="621"/>
      <c r="J757" s="559">
        <f t="shared" si="87"/>
        <v>0</v>
      </c>
    </row>
    <row r="758" spans="1:14" x14ac:dyDescent="0.25">
      <c r="A758" s="551" t="str">
        <f>+Info!$B$2</f>
        <v>724</v>
      </c>
      <c r="B758" s="622" t="s">
        <v>2654</v>
      </c>
      <c r="C758" s="622" t="s">
        <v>2655</v>
      </c>
      <c r="H758" s="622">
        <f>SUM(H731:H757)</f>
        <v>0</v>
      </c>
      <c r="I758" s="622">
        <f>SUM(I731:I757)</f>
        <v>0</v>
      </c>
      <c r="J758" s="622">
        <f>SUM(J731:J757)</f>
        <v>0</v>
      </c>
    </row>
    <row r="759" spans="1:14" ht="24" x14ac:dyDescent="0.25">
      <c r="A759" s="551" t="str">
        <f>+Info!$B$2</f>
        <v>724</v>
      </c>
      <c r="D759" s="590" t="s">
        <v>4382</v>
      </c>
    </row>
    <row r="760" spans="1:14" x14ac:dyDescent="0.25">
      <c r="A760" s="551" t="str">
        <f>+Info!$B$2</f>
        <v>724</v>
      </c>
      <c r="D760" s="590" t="s">
        <v>4383</v>
      </c>
      <c r="E760" s="918" t="s">
        <v>4384</v>
      </c>
      <c r="F760" s="918"/>
      <c r="G760" s="918"/>
      <c r="H760" s="558" t="str">
        <f>+H730</f>
        <v>Entro 12 mesi (2020)</v>
      </c>
      <c r="I760" s="558" t="str">
        <f>+I730</f>
        <v>Oltre 12 mesi (2020)</v>
      </c>
      <c r="J760" s="558" t="s">
        <v>4300</v>
      </c>
      <c r="K760" s="557"/>
      <c r="L760" s="557"/>
      <c r="M760" s="557"/>
      <c r="N760" s="557"/>
    </row>
    <row r="761" spans="1:14" x14ac:dyDescent="0.25">
      <c r="A761" s="551" t="str">
        <f>+Info!$B$2</f>
        <v>724</v>
      </c>
      <c r="B761" s="274" t="s">
        <v>2681</v>
      </c>
      <c r="C761" s="274" t="str">
        <f t="shared" ref="C761:C787" si="88">$C$788</f>
        <v>3.50.20.10.000.000.00.000</v>
      </c>
      <c r="D761" s="563"/>
      <c r="E761" s="917"/>
      <c r="F761" s="917"/>
      <c r="G761" s="917"/>
      <c r="H761" s="621"/>
      <c r="I761" s="621"/>
      <c r="J761" s="559">
        <f t="shared" ref="J761:J787" si="89">+H761+I761</f>
        <v>0</v>
      </c>
    </row>
    <row r="762" spans="1:14" x14ac:dyDescent="0.25">
      <c r="A762" s="551" t="str">
        <f>+Info!$B$2</f>
        <v>724</v>
      </c>
      <c r="B762" s="274" t="s">
        <v>2681</v>
      </c>
      <c r="C762" s="274" t="str">
        <f t="shared" si="88"/>
        <v>3.50.20.10.000.000.00.000</v>
      </c>
      <c r="D762" s="563"/>
      <c r="E762" s="917"/>
      <c r="F762" s="917"/>
      <c r="G762" s="917"/>
      <c r="H762" s="621"/>
      <c r="I762" s="621"/>
      <c r="J762" s="559">
        <f t="shared" si="89"/>
        <v>0</v>
      </c>
    </row>
    <row r="763" spans="1:14" x14ac:dyDescent="0.25">
      <c r="A763" s="551" t="str">
        <f>+Info!$B$2</f>
        <v>724</v>
      </c>
      <c r="B763" s="274" t="s">
        <v>2681</v>
      </c>
      <c r="C763" s="274" t="str">
        <f t="shared" si="88"/>
        <v>3.50.20.10.000.000.00.000</v>
      </c>
      <c r="D763" s="563"/>
      <c r="E763" s="917"/>
      <c r="F763" s="917"/>
      <c r="G763" s="917"/>
      <c r="H763" s="621"/>
      <c r="I763" s="621"/>
      <c r="J763" s="559">
        <f t="shared" si="89"/>
        <v>0</v>
      </c>
    </row>
    <row r="764" spans="1:14" x14ac:dyDescent="0.25">
      <c r="A764" s="551" t="str">
        <f>+Info!$B$2</f>
        <v>724</v>
      </c>
      <c r="B764" s="274" t="s">
        <v>2681</v>
      </c>
      <c r="C764" s="274" t="str">
        <f t="shared" si="88"/>
        <v>3.50.20.10.000.000.00.000</v>
      </c>
      <c r="D764" s="563"/>
      <c r="E764" s="917"/>
      <c r="F764" s="917"/>
      <c r="G764" s="917"/>
      <c r="H764" s="621"/>
      <c r="I764" s="621"/>
      <c r="J764" s="559">
        <f t="shared" si="89"/>
        <v>0</v>
      </c>
    </row>
    <row r="765" spans="1:14" x14ac:dyDescent="0.25">
      <c r="A765" s="551" t="str">
        <f>+Info!$B$2</f>
        <v>724</v>
      </c>
      <c r="B765" s="274" t="s">
        <v>2681</v>
      </c>
      <c r="C765" s="274" t="str">
        <f t="shared" si="88"/>
        <v>3.50.20.10.000.000.00.000</v>
      </c>
      <c r="D765" s="563"/>
      <c r="E765" s="917"/>
      <c r="F765" s="917"/>
      <c r="G765" s="917"/>
      <c r="H765" s="621"/>
      <c r="I765" s="621"/>
      <c r="J765" s="559">
        <f t="shared" si="89"/>
        <v>0</v>
      </c>
    </row>
    <row r="766" spans="1:14" x14ac:dyDescent="0.25">
      <c r="A766" s="551" t="str">
        <f>+Info!$B$2</f>
        <v>724</v>
      </c>
      <c r="B766" s="274" t="s">
        <v>2681</v>
      </c>
      <c r="C766" s="274" t="str">
        <f t="shared" si="88"/>
        <v>3.50.20.10.000.000.00.000</v>
      </c>
      <c r="D766" s="563"/>
      <c r="E766" s="917"/>
      <c r="F766" s="917"/>
      <c r="G766" s="917"/>
      <c r="H766" s="621"/>
      <c r="I766" s="621"/>
      <c r="J766" s="559">
        <f t="shared" si="89"/>
        <v>0</v>
      </c>
    </row>
    <row r="767" spans="1:14" x14ac:dyDescent="0.25">
      <c r="A767" s="551" t="str">
        <f>+Info!$B$2</f>
        <v>724</v>
      </c>
      <c r="B767" s="274" t="s">
        <v>2681</v>
      </c>
      <c r="C767" s="274" t="str">
        <f t="shared" si="88"/>
        <v>3.50.20.10.000.000.00.000</v>
      </c>
      <c r="D767" s="563"/>
      <c r="E767" s="917"/>
      <c r="F767" s="917"/>
      <c r="G767" s="917"/>
      <c r="H767" s="621"/>
      <c r="I767" s="621"/>
      <c r="J767" s="559">
        <f t="shared" si="89"/>
        <v>0</v>
      </c>
    </row>
    <row r="768" spans="1:14" x14ac:dyDescent="0.25">
      <c r="A768" s="551" t="str">
        <f>+Info!$B$2</f>
        <v>724</v>
      </c>
      <c r="B768" s="274" t="s">
        <v>2681</v>
      </c>
      <c r="C768" s="274" t="str">
        <f t="shared" si="88"/>
        <v>3.50.20.10.000.000.00.000</v>
      </c>
      <c r="D768" s="563"/>
      <c r="E768" s="917"/>
      <c r="F768" s="917"/>
      <c r="G768" s="917"/>
      <c r="H768" s="621"/>
      <c r="I768" s="621"/>
      <c r="J768" s="559">
        <f t="shared" si="89"/>
        <v>0</v>
      </c>
    </row>
    <row r="769" spans="1:10" x14ac:dyDescent="0.25">
      <c r="A769" s="551" t="str">
        <f>+Info!$B$2</f>
        <v>724</v>
      </c>
      <c r="B769" s="274" t="s">
        <v>2681</v>
      </c>
      <c r="C769" s="274" t="str">
        <f t="shared" si="88"/>
        <v>3.50.20.10.000.000.00.000</v>
      </c>
      <c r="D769" s="563"/>
      <c r="E769" s="917"/>
      <c r="F769" s="917"/>
      <c r="G769" s="917"/>
      <c r="H769" s="621"/>
      <c r="I769" s="621"/>
      <c r="J769" s="559">
        <f t="shared" si="89"/>
        <v>0</v>
      </c>
    </row>
    <row r="770" spans="1:10" x14ac:dyDescent="0.25">
      <c r="A770" s="551" t="str">
        <f>+Info!$B$2</f>
        <v>724</v>
      </c>
      <c r="B770" s="274" t="s">
        <v>2681</v>
      </c>
      <c r="C770" s="274" t="str">
        <f t="shared" si="88"/>
        <v>3.50.20.10.000.000.00.000</v>
      </c>
      <c r="D770" s="563"/>
      <c r="E770" s="917"/>
      <c r="F770" s="917"/>
      <c r="G770" s="917"/>
      <c r="H770" s="621"/>
      <c r="I770" s="621"/>
      <c r="J770" s="559">
        <f t="shared" si="89"/>
        <v>0</v>
      </c>
    </row>
    <row r="771" spans="1:10" x14ac:dyDescent="0.25">
      <c r="A771" s="551" t="str">
        <f>+Info!$B$2</f>
        <v>724</v>
      </c>
      <c r="B771" s="274" t="s">
        <v>2681</v>
      </c>
      <c r="C771" s="274" t="str">
        <f t="shared" si="88"/>
        <v>3.50.20.10.000.000.00.000</v>
      </c>
      <c r="D771" s="563"/>
      <c r="E771" s="917"/>
      <c r="F771" s="917"/>
      <c r="G771" s="917"/>
      <c r="H771" s="621"/>
      <c r="I771" s="621"/>
      <c r="J771" s="559">
        <f t="shared" si="89"/>
        <v>0</v>
      </c>
    </row>
    <row r="772" spans="1:10" x14ac:dyDescent="0.25">
      <c r="A772" s="551" t="str">
        <f>+Info!$B$2</f>
        <v>724</v>
      </c>
      <c r="B772" s="274" t="s">
        <v>2681</v>
      </c>
      <c r="C772" s="274" t="str">
        <f t="shared" si="88"/>
        <v>3.50.20.10.000.000.00.000</v>
      </c>
      <c r="D772" s="563"/>
      <c r="E772" s="917"/>
      <c r="F772" s="917"/>
      <c r="G772" s="917"/>
      <c r="H772" s="621"/>
      <c r="I772" s="621"/>
      <c r="J772" s="559">
        <f t="shared" si="89"/>
        <v>0</v>
      </c>
    </row>
    <row r="773" spans="1:10" x14ac:dyDescent="0.25">
      <c r="A773" s="551" t="str">
        <f>+Info!$B$2</f>
        <v>724</v>
      </c>
      <c r="B773" s="274" t="s">
        <v>2681</v>
      </c>
      <c r="C773" s="274" t="str">
        <f t="shared" si="88"/>
        <v>3.50.20.10.000.000.00.000</v>
      </c>
      <c r="D773" s="563"/>
      <c r="E773" s="917"/>
      <c r="F773" s="917"/>
      <c r="G773" s="917"/>
      <c r="H773" s="621"/>
      <c r="I773" s="621"/>
      <c r="J773" s="559">
        <f t="shared" si="89"/>
        <v>0</v>
      </c>
    </row>
    <row r="774" spans="1:10" x14ac:dyDescent="0.25">
      <c r="A774" s="551" t="str">
        <f>+Info!$B$2</f>
        <v>724</v>
      </c>
      <c r="B774" s="274" t="s">
        <v>2681</v>
      </c>
      <c r="C774" s="274" t="str">
        <f t="shared" si="88"/>
        <v>3.50.20.10.000.000.00.000</v>
      </c>
      <c r="D774" s="563"/>
      <c r="E774" s="917"/>
      <c r="F774" s="917"/>
      <c r="G774" s="917"/>
      <c r="H774" s="621"/>
      <c r="I774" s="621"/>
      <c r="J774" s="559">
        <f t="shared" si="89"/>
        <v>0</v>
      </c>
    </row>
    <row r="775" spans="1:10" x14ac:dyDescent="0.25">
      <c r="A775" s="551" t="str">
        <f>+Info!$B$2</f>
        <v>724</v>
      </c>
      <c r="B775" s="274" t="s">
        <v>2681</v>
      </c>
      <c r="C775" s="274" t="str">
        <f t="shared" si="88"/>
        <v>3.50.20.10.000.000.00.000</v>
      </c>
      <c r="D775" s="563"/>
      <c r="E775" s="917"/>
      <c r="F775" s="917"/>
      <c r="G775" s="917"/>
      <c r="H775" s="621"/>
      <c r="I775" s="621"/>
      <c r="J775" s="559">
        <f t="shared" si="89"/>
        <v>0</v>
      </c>
    </row>
    <row r="776" spans="1:10" x14ac:dyDescent="0.25">
      <c r="A776" s="551" t="str">
        <f>+Info!$B$2</f>
        <v>724</v>
      </c>
      <c r="B776" s="274" t="s">
        <v>2681</v>
      </c>
      <c r="C776" s="274" t="str">
        <f t="shared" si="88"/>
        <v>3.50.20.10.000.000.00.000</v>
      </c>
      <c r="D776" s="563"/>
      <c r="E776" s="917"/>
      <c r="F776" s="917"/>
      <c r="G776" s="917"/>
      <c r="H776" s="621"/>
      <c r="I776" s="621"/>
      <c r="J776" s="559">
        <f t="shared" si="89"/>
        <v>0</v>
      </c>
    </row>
    <row r="777" spans="1:10" x14ac:dyDescent="0.25">
      <c r="A777" s="551" t="str">
        <f>+Info!$B$2</f>
        <v>724</v>
      </c>
      <c r="B777" s="274" t="s">
        <v>2681</v>
      </c>
      <c r="C777" s="274" t="str">
        <f t="shared" si="88"/>
        <v>3.50.20.10.000.000.00.000</v>
      </c>
      <c r="D777" s="563"/>
      <c r="E777" s="917"/>
      <c r="F777" s="917"/>
      <c r="G777" s="917"/>
      <c r="H777" s="621"/>
      <c r="I777" s="621"/>
      <c r="J777" s="559">
        <f t="shared" si="89"/>
        <v>0</v>
      </c>
    </row>
    <row r="778" spans="1:10" x14ac:dyDescent="0.25">
      <c r="A778" s="551" t="str">
        <f>+Info!$B$2</f>
        <v>724</v>
      </c>
      <c r="B778" s="274" t="s">
        <v>2681</v>
      </c>
      <c r="C778" s="274" t="str">
        <f t="shared" si="88"/>
        <v>3.50.20.10.000.000.00.000</v>
      </c>
      <c r="D778" s="563"/>
      <c r="E778" s="917"/>
      <c r="F778" s="917"/>
      <c r="G778" s="917"/>
      <c r="H778" s="621"/>
      <c r="I778" s="621"/>
      <c r="J778" s="559">
        <f t="shared" si="89"/>
        <v>0</v>
      </c>
    </row>
    <row r="779" spans="1:10" x14ac:dyDescent="0.25">
      <c r="A779" s="551" t="str">
        <f>+Info!$B$2</f>
        <v>724</v>
      </c>
      <c r="B779" s="274" t="s">
        <v>2681</v>
      </c>
      <c r="C779" s="274" t="str">
        <f t="shared" si="88"/>
        <v>3.50.20.10.000.000.00.000</v>
      </c>
      <c r="D779" s="563"/>
      <c r="E779" s="917"/>
      <c r="F779" s="917"/>
      <c r="G779" s="917"/>
      <c r="H779" s="621"/>
      <c r="I779" s="621"/>
      <c r="J779" s="559">
        <f t="shared" si="89"/>
        <v>0</v>
      </c>
    </row>
    <row r="780" spans="1:10" x14ac:dyDescent="0.25">
      <c r="A780" s="551" t="str">
        <f>+Info!$B$2</f>
        <v>724</v>
      </c>
      <c r="B780" s="274" t="s">
        <v>2681</v>
      </c>
      <c r="C780" s="274" t="str">
        <f t="shared" si="88"/>
        <v>3.50.20.10.000.000.00.000</v>
      </c>
      <c r="D780" s="563"/>
      <c r="E780" s="917"/>
      <c r="F780" s="917"/>
      <c r="G780" s="917"/>
      <c r="H780" s="621"/>
      <c r="I780" s="621"/>
      <c r="J780" s="559">
        <f t="shared" si="89"/>
        <v>0</v>
      </c>
    </row>
    <row r="781" spans="1:10" x14ac:dyDescent="0.25">
      <c r="A781" s="551" t="str">
        <f>+Info!$B$2</f>
        <v>724</v>
      </c>
      <c r="B781" s="274" t="s">
        <v>2681</v>
      </c>
      <c r="C781" s="274" t="str">
        <f t="shared" si="88"/>
        <v>3.50.20.10.000.000.00.000</v>
      </c>
      <c r="D781" s="563"/>
      <c r="E781" s="917"/>
      <c r="F781" s="917"/>
      <c r="G781" s="917"/>
      <c r="H781" s="621"/>
      <c r="I781" s="621"/>
      <c r="J781" s="559">
        <f t="shared" si="89"/>
        <v>0</v>
      </c>
    </row>
    <row r="782" spans="1:10" x14ac:dyDescent="0.25">
      <c r="A782" s="551" t="str">
        <f>+Info!$B$2</f>
        <v>724</v>
      </c>
      <c r="B782" s="274" t="s">
        <v>2681</v>
      </c>
      <c r="C782" s="274" t="str">
        <f t="shared" si="88"/>
        <v>3.50.20.10.000.000.00.000</v>
      </c>
      <c r="D782" s="563"/>
      <c r="E782" s="917"/>
      <c r="F782" s="917"/>
      <c r="G782" s="917"/>
      <c r="H782" s="621"/>
      <c r="I782" s="621"/>
      <c r="J782" s="559">
        <f t="shared" si="89"/>
        <v>0</v>
      </c>
    </row>
    <row r="783" spans="1:10" x14ac:dyDescent="0.25">
      <c r="A783" s="551" t="str">
        <f>+Info!$B$2</f>
        <v>724</v>
      </c>
      <c r="B783" s="274" t="s">
        <v>2681</v>
      </c>
      <c r="C783" s="274" t="str">
        <f t="shared" si="88"/>
        <v>3.50.20.10.000.000.00.000</v>
      </c>
      <c r="D783" s="563"/>
      <c r="E783" s="917"/>
      <c r="F783" s="917"/>
      <c r="G783" s="917"/>
      <c r="H783" s="621"/>
      <c r="I783" s="621"/>
      <c r="J783" s="559">
        <f t="shared" si="89"/>
        <v>0</v>
      </c>
    </row>
    <row r="784" spans="1:10" x14ac:dyDescent="0.25">
      <c r="A784" s="551" t="str">
        <f>+Info!$B$2</f>
        <v>724</v>
      </c>
      <c r="B784" s="274" t="s">
        <v>2681</v>
      </c>
      <c r="C784" s="274" t="str">
        <f t="shared" si="88"/>
        <v>3.50.20.10.000.000.00.000</v>
      </c>
      <c r="D784" s="563"/>
      <c r="E784" s="917"/>
      <c r="F784" s="917"/>
      <c r="G784" s="917"/>
      <c r="H784" s="621"/>
      <c r="I784" s="621"/>
      <c r="J784" s="559">
        <f t="shared" si="89"/>
        <v>0</v>
      </c>
    </row>
    <row r="785" spans="1:10" x14ac:dyDescent="0.25">
      <c r="A785" s="551" t="str">
        <f>+Info!$B$2</f>
        <v>724</v>
      </c>
      <c r="B785" s="274" t="s">
        <v>2681</v>
      </c>
      <c r="C785" s="274" t="str">
        <f t="shared" si="88"/>
        <v>3.50.20.10.000.000.00.000</v>
      </c>
      <c r="D785" s="563"/>
      <c r="E785" s="917"/>
      <c r="F785" s="917"/>
      <c r="G785" s="917"/>
      <c r="H785" s="621"/>
      <c r="I785" s="621"/>
      <c r="J785" s="559">
        <f t="shared" si="89"/>
        <v>0</v>
      </c>
    </row>
    <row r="786" spans="1:10" x14ac:dyDescent="0.25">
      <c r="A786" s="551" t="str">
        <f>+Info!$B$2</f>
        <v>724</v>
      </c>
      <c r="B786" s="274" t="s">
        <v>2681</v>
      </c>
      <c r="C786" s="274" t="str">
        <f t="shared" si="88"/>
        <v>3.50.20.10.000.000.00.000</v>
      </c>
      <c r="D786" s="563"/>
      <c r="E786" s="917"/>
      <c r="F786" s="917"/>
      <c r="G786" s="917"/>
      <c r="H786" s="621"/>
      <c r="I786" s="621"/>
      <c r="J786" s="559">
        <f t="shared" si="89"/>
        <v>0</v>
      </c>
    </row>
    <row r="787" spans="1:10" x14ac:dyDescent="0.25">
      <c r="A787" s="551" t="str">
        <f>+Info!$B$2</f>
        <v>724</v>
      </c>
      <c r="B787" s="274" t="s">
        <v>2681</v>
      </c>
      <c r="C787" s="274" t="str">
        <f t="shared" si="88"/>
        <v>3.50.20.10.000.000.00.000</v>
      </c>
      <c r="D787" s="563"/>
      <c r="E787" s="917"/>
      <c r="F787" s="917"/>
      <c r="G787" s="917"/>
      <c r="H787" s="621"/>
      <c r="I787" s="621"/>
      <c r="J787" s="559">
        <f t="shared" si="89"/>
        <v>0</v>
      </c>
    </row>
    <row r="788" spans="1:10" x14ac:dyDescent="0.25">
      <c r="A788" s="551" t="str">
        <f>+Info!$B$2</f>
        <v>724</v>
      </c>
      <c r="B788" s="622" t="s">
        <v>2681</v>
      </c>
      <c r="C788" s="622" t="s">
        <v>2682</v>
      </c>
      <c r="H788" s="622">
        <f>SUM(H761:H787)</f>
        <v>0</v>
      </c>
      <c r="I788" s="622">
        <f>SUM(I761:I787)</f>
        <v>0</v>
      </c>
      <c r="J788" s="622">
        <f>SUM(J761:J787)</f>
        <v>0</v>
      </c>
    </row>
  </sheetData>
  <sheetCalcPr fullCalcOnLoad="1"/>
  <sheetProtection password="A01C" sheet="1" objects="1" scenarios="1"/>
  <mergeCells count="251">
    <mergeCell ref="D1:F1"/>
    <mergeCell ref="E4:G4"/>
    <mergeCell ref="H4:J4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E30:G30"/>
    <mergeCell ref="H30:J30"/>
    <mergeCell ref="I31:J31"/>
    <mergeCell ref="I32:J32"/>
    <mergeCell ref="I33:J33"/>
    <mergeCell ref="I34:J34"/>
    <mergeCell ref="I35:J35"/>
    <mergeCell ref="I36:J36"/>
    <mergeCell ref="I37:J37"/>
    <mergeCell ref="I38:J38"/>
    <mergeCell ref="I39:J39"/>
    <mergeCell ref="I40:J40"/>
    <mergeCell ref="I41:J41"/>
    <mergeCell ref="I42:J42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  <mergeCell ref="E56:G56"/>
    <mergeCell ref="H56:J56"/>
    <mergeCell ref="I57:J57"/>
    <mergeCell ref="I58:J58"/>
    <mergeCell ref="I59:J59"/>
    <mergeCell ref="I60:J60"/>
    <mergeCell ref="I61:J61"/>
    <mergeCell ref="I62:J62"/>
    <mergeCell ref="I63:J63"/>
    <mergeCell ref="I64:J64"/>
    <mergeCell ref="I65:J65"/>
    <mergeCell ref="I66:J66"/>
    <mergeCell ref="I67:J67"/>
    <mergeCell ref="I68:J68"/>
    <mergeCell ref="I69:J69"/>
    <mergeCell ref="I70:J70"/>
    <mergeCell ref="I71:J71"/>
    <mergeCell ref="I72:J72"/>
    <mergeCell ref="I73:J73"/>
    <mergeCell ref="I74:J74"/>
    <mergeCell ref="I75:J75"/>
    <mergeCell ref="I76:J76"/>
    <mergeCell ref="I77:J77"/>
    <mergeCell ref="I78:J78"/>
    <mergeCell ref="I79:J79"/>
    <mergeCell ref="J83:J84"/>
    <mergeCell ref="H84:I84"/>
    <mergeCell ref="H98:I98"/>
    <mergeCell ref="F115:F116"/>
    <mergeCell ref="G115:J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F131:H131"/>
    <mergeCell ref="D133:N133"/>
    <mergeCell ref="D182:D183"/>
    <mergeCell ref="E182:E183"/>
    <mergeCell ref="F182:H182"/>
    <mergeCell ref="I182:N182"/>
    <mergeCell ref="D225:N225"/>
    <mergeCell ref="D274:D275"/>
    <mergeCell ref="E274:E275"/>
    <mergeCell ref="F274:H274"/>
    <mergeCell ref="I274:N274"/>
    <mergeCell ref="F348:G348"/>
    <mergeCell ref="F371:G371"/>
    <mergeCell ref="F394:G394"/>
    <mergeCell ref="F408:G408"/>
    <mergeCell ref="F422:G422"/>
    <mergeCell ref="F436:G436"/>
    <mergeCell ref="E440:G440"/>
    <mergeCell ref="E441:G441"/>
    <mergeCell ref="E442:G442"/>
    <mergeCell ref="E443:G443"/>
    <mergeCell ref="E444:G444"/>
    <mergeCell ref="E445:G445"/>
    <mergeCell ref="E446:G446"/>
    <mergeCell ref="E447:G447"/>
    <mergeCell ref="E448:G448"/>
    <mergeCell ref="E449:G449"/>
    <mergeCell ref="E450:G450"/>
    <mergeCell ref="E451:G451"/>
    <mergeCell ref="E452:G452"/>
    <mergeCell ref="E453:G453"/>
    <mergeCell ref="E454:G454"/>
    <mergeCell ref="E455:G455"/>
    <mergeCell ref="E456:G456"/>
    <mergeCell ref="E457:G457"/>
    <mergeCell ref="E458:G458"/>
    <mergeCell ref="E459:G459"/>
    <mergeCell ref="E460:G460"/>
    <mergeCell ref="E461:G461"/>
    <mergeCell ref="E462:G462"/>
    <mergeCell ref="E463:G463"/>
    <mergeCell ref="E464:G464"/>
    <mergeCell ref="E465:G465"/>
    <mergeCell ref="E466:G466"/>
    <mergeCell ref="E467:G467"/>
    <mergeCell ref="E470:G470"/>
    <mergeCell ref="E471:G471"/>
    <mergeCell ref="E472:G472"/>
    <mergeCell ref="E473:G473"/>
    <mergeCell ref="E474:G474"/>
    <mergeCell ref="E475:G475"/>
    <mergeCell ref="E476:G476"/>
    <mergeCell ref="E477:G477"/>
    <mergeCell ref="E478:G478"/>
    <mergeCell ref="E479:G479"/>
    <mergeCell ref="E480:G480"/>
    <mergeCell ref="E481:G481"/>
    <mergeCell ref="E482:G482"/>
    <mergeCell ref="E483:G483"/>
    <mergeCell ref="E484:G484"/>
    <mergeCell ref="E485:G485"/>
    <mergeCell ref="E486:G486"/>
    <mergeCell ref="E487:G487"/>
    <mergeCell ref="E488:G488"/>
    <mergeCell ref="E489:G489"/>
    <mergeCell ref="E490:G490"/>
    <mergeCell ref="E491:G491"/>
    <mergeCell ref="E492:G492"/>
    <mergeCell ref="E493:G493"/>
    <mergeCell ref="E494:G494"/>
    <mergeCell ref="E495:G495"/>
    <mergeCell ref="E496:G496"/>
    <mergeCell ref="E497:G497"/>
    <mergeCell ref="B502:B503"/>
    <mergeCell ref="C502:C503"/>
    <mergeCell ref="D502:D503"/>
    <mergeCell ref="F502:I502"/>
    <mergeCell ref="J502:J503"/>
    <mergeCell ref="K502:Q502"/>
    <mergeCell ref="F504:I506"/>
    <mergeCell ref="F517:I519"/>
    <mergeCell ref="F550:I552"/>
    <mergeCell ref="F603:I605"/>
    <mergeCell ref="F636:I638"/>
    <mergeCell ref="D691:D692"/>
    <mergeCell ref="F691:H691"/>
    <mergeCell ref="I691:I692"/>
    <mergeCell ref="D701:D702"/>
    <mergeCell ref="F701:H701"/>
    <mergeCell ref="I701:I702"/>
    <mergeCell ref="D710:D711"/>
    <mergeCell ref="F710:F711"/>
    <mergeCell ref="G710:G711"/>
    <mergeCell ref="H710:H711"/>
    <mergeCell ref="I710:I711"/>
    <mergeCell ref="J710:J711"/>
    <mergeCell ref="K710:K711"/>
    <mergeCell ref="L710:L711"/>
    <mergeCell ref="M710:M711"/>
    <mergeCell ref="E730:G730"/>
    <mergeCell ref="E731:G731"/>
    <mergeCell ref="E732:G732"/>
    <mergeCell ref="E733:G733"/>
    <mergeCell ref="E734:G734"/>
    <mergeCell ref="E735:G735"/>
    <mergeCell ref="E736:G736"/>
    <mergeCell ref="E737:G737"/>
    <mergeCell ref="E738:G738"/>
    <mergeCell ref="E739:G739"/>
    <mergeCell ref="E740:G740"/>
    <mergeCell ref="E741:G741"/>
    <mergeCell ref="E742:G742"/>
    <mergeCell ref="E743:G743"/>
    <mergeCell ref="E744:G744"/>
    <mergeCell ref="E745:G745"/>
    <mergeCell ref="E746:G746"/>
    <mergeCell ref="E747:G747"/>
    <mergeCell ref="E748:G748"/>
    <mergeCell ref="E749:G749"/>
    <mergeCell ref="E750:G750"/>
    <mergeCell ref="E751:G751"/>
    <mergeCell ref="E752:G752"/>
    <mergeCell ref="E753:G753"/>
    <mergeCell ref="E754:G754"/>
    <mergeCell ref="E755:G755"/>
    <mergeCell ref="E756:G756"/>
    <mergeCell ref="E757:G757"/>
    <mergeCell ref="E760:G760"/>
    <mergeCell ref="E761:G761"/>
    <mergeCell ref="E762:G762"/>
    <mergeCell ref="E763:G763"/>
    <mergeCell ref="E764:G764"/>
    <mergeCell ref="E765:G765"/>
    <mergeCell ref="E766:G766"/>
    <mergeCell ref="E767:G767"/>
    <mergeCell ref="E768:G768"/>
    <mergeCell ref="E769:G769"/>
    <mergeCell ref="E770:G770"/>
    <mergeCell ref="E782:G782"/>
    <mergeCell ref="E771:G771"/>
    <mergeCell ref="E772:G772"/>
    <mergeCell ref="E773:G773"/>
    <mergeCell ref="E774:G774"/>
    <mergeCell ref="E775:G775"/>
    <mergeCell ref="E776:G776"/>
    <mergeCell ref="E783:G783"/>
    <mergeCell ref="E784:G784"/>
    <mergeCell ref="E785:G785"/>
    <mergeCell ref="E786:G786"/>
    <mergeCell ref="E787:G787"/>
    <mergeCell ref="E777:G777"/>
    <mergeCell ref="E778:G778"/>
    <mergeCell ref="E779:G779"/>
    <mergeCell ref="E780:G780"/>
    <mergeCell ref="E781:G781"/>
  </mergeCells>
  <conditionalFormatting sqref="I27:J27 D348 I53:J53 I79:J79 H84:I84 H98:I98 D371 D394 D408 D422 D436">
    <cfRule type="cellIs" dxfId="11" priority="1" stopIfTrue="1" operator="notEqual">
      <formula>"Quadratura OK!"</formula>
    </cfRule>
  </conditionalFormatting>
  <conditionalFormatting sqref="F131">
    <cfRule type="cellIs" dxfId="10" priority="2" stopIfTrue="1" operator="notEqual">
      <formula>"Quadratura OK!"</formula>
    </cfRule>
  </conditionalFormatting>
  <conditionalFormatting sqref="F504:I506">
    <cfRule type="cellIs" dxfId="9" priority="3" stopIfTrue="1" operator="notEqual">
      <formula>"Quadratura OK!"</formula>
    </cfRule>
  </conditionalFormatting>
  <conditionalFormatting sqref="F517:I519">
    <cfRule type="cellIs" dxfId="8" priority="4" stopIfTrue="1" operator="notEqual">
      <formula>"Quadratura OK!"</formula>
    </cfRule>
  </conditionalFormatting>
  <conditionalFormatting sqref="F550:I552">
    <cfRule type="cellIs" dxfId="7" priority="5" stopIfTrue="1" operator="notEqual">
      <formula>"Quadratura OK!"</formula>
    </cfRule>
  </conditionalFormatting>
  <conditionalFormatting sqref="F603:I605">
    <cfRule type="cellIs" dxfId="6" priority="6" stopIfTrue="1" operator="notEqual">
      <formula>"Quadratura OK!"</formula>
    </cfRule>
  </conditionalFormatting>
  <conditionalFormatting sqref="F636:I638">
    <cfRule type="cellIs" dxfId="5" priority="7" stopIfTrue="1" operator="notEqual">
      <formula>"Quadratura OK!"</formula>
    </cfRule>
  </conditionalFormatting>
  <conditionalFormatting sqref="L719:M719">
    <cfRule type="cellIs" dxfId="4" priority="8" stopIfTrue="1" operator="notEqual">
      <formula>"Quadratura OK!"</formula>
    </cfRule>
  </conditionalFormatting>
  <dataValidations count="2">
    <dataValidation type="whole" allowBlank="1" showErrorMessage="1" sqref="J326:J436">
      <formula1>-9999999999</formula1>
      <formula2>0</formula2>
    </dataValidation>
    <dataValidation type="whole" allowBlank="1" showErrorMessage="1" sqref="E6:F26 E32:F52 E58:F78 E85:F97 E99:F111 G117:H130 F185:G196 J185:M196 F198:G209 J198:M209 F211:G222 J211:M222 E277:G288 J277:M288 E290:G301 J290:M301 E303:G314 J303:M314 H326 I327:I347 H349 I350:I370 H372 I373:I393 H395 I396:I407 H409 I410:I421 H423 I424:I435 J504:J688 P504:Q688 L505:M505 L507:M516 L518:M518 L520:M549 L551:M551 L553:M602 L604:M604 L606:M635 L637:M637 L639:M688">
      <formula1>0</formula1>
      <formula2>9999999999</formula2>
    </dataValidation>
  </dataValidations>
  <pageMargins left="0.55138888888888893" right="0.27569444444444446" top="0.39374999999999999" bottom="0.31527777777777777" header="0.51180555555555551" footer="0.51180555555555551"/>
  <pageSetup paperSize="9" firstPageNumber="0" fitToHeight="0" orientation="landscape" horizontalDpi="300" verticalDpi="300"/>
  <headerFooter alignWithMargins="0"/>
  <rowBreaks count="10" manualBreakCount="10">
    <brk id="54" max="16383" man="1"/>
    <brk id="114" max="16383" man="1"/>
    <brk id="181" max="16383" man="1"/>
    <brk id="224" max="16383" man="1"/>
    <brk id="273" max="16383" man="1"/>
    <brk id="324" max="16383" man="1"/>
    <brk id="438" max="16383" man="1"/>
    <brk id="501" max="16383" man="1"/>
    <brk id="690" max="16383" man="1"/>
    <brk id="7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2:AC789"/>
  <sheetViews>
    <sheetView showGridLines="0" topLeftCell="A692" zoomScale="90" zoomScaleNormal="90" zoomScaleSheetLayoutView="80" workbookViewId="0">
      <selection activeCell="K789" sqref="K789"/>
    </sheetView>
  </sheetViews>
  <sheetFormatPr defaultRowHeight="14.25" x14ac:dyDescent="0.2"/>
  <cols>
    <col min="1" max="1" width="5.5703125" style="671" customWidth="1"/>
    <col min="2" max="2" width="28.140625" style="671" customWidth="1"/>
    <col min="3" max="3" width="23" style="671" customWidth="1"/>
    <col min="4" max="4" width="100.7109375" style="672" customWidth="1"/>
    <col min="5" max="5" width="9.140625" style="673"/>
    <col min="6" max="22" width="20.7109375" style="673" customWidth="1"/>
    <col min="23" max="23" width="23.42578125" style="673" customWidth="1"/>
    <col min="24" max="24" width="31" style="673" customWidth="1"/>
    <col min="25" max="28" width="20.7109375" style="673" customWidth="1"/>
    <col min="29" max="29" width="27.7109375" style="673" customWidth="1"/>
    <col min="30" max="16384" width="9.140625" style="673"/>
  </cols>
  <sheetData>
    <row r="2" spans="1:29" s="676" customFormat="1" ht="38.25" customHeight="1" x14ac:dyDescent="0.2">
      <c r="A2" s="674"/>
      <c r="B2" s="674"/>
      <c r="C2" s="674"/>
      <c r="D2" s="675"/>
      <c r="F2" s="936" t="s">
        <v>2033</v>
      </c>
      <c r="G2" s="936"/>
      <c r="H2" s="936" t="s">
        <v>2043</v>
      </c>
      <c r="I2" s="936"/>
      <c r="J2" s="936"/>
      <c r="K2" s="936"/>
      <c r="L2" s="936"/>
      <c r="M2" s="936"/>
      <c r="N2" s="936"/>
      <c r="O2" s="936" t="s">
        <v>2180</v>
      </c>
      <c r="P2" s="936"/>
      <c r="Q2" s="936"/>
      <c r="R2" s="936"/>
      <c r="S2" s="936"/>
      <c r="T2" s="936"/>
      <c r="U2" s="936"/>
      <c r="V2" s="936"/>
      <c r="W2" s="936"/>
      <c r="X2" s="936"/>
      <c r="Y2" s="936" t="s">
        <v>2237</v>
      </c>
      <c r="Z2" s="936"/>
      <c r="AA2" s="936"/>
      <c r="AB2" s="677" t="s">
        <v>2252</v>
      </c>
      <c r="AC2" s="677" t="s">
        <v>2256</v>
      </c>
    </row>
    <row r="3" spans="1:29" s="676" customFormat="1" ht="51" x14ac:dyDescent="0.2">
      <c r="A3" s="674"/>
      <c r="B3" s="674"/>
      <c r="C3" s="674"/>
      <c r="D3" s="675"/>
      <c r="F3" s="678" t="s">
        <v>2036</v>
      </c>
      <c r="G3" s="678" t="s">
        <v>2039</v>
      </c>
      <c r="H3" s="678" t="s">
        <v>2048</v>
      </c>
      <c r="I3" s="678" t="s">
        <v>2053</v>
      </c>
      <c r="J3" s="678" t="s">
        <v>2058</v>
      </c>
      <c r="K3" s="678" t="s">
        <v>2063</v>
      </c>
      <c r="L3" s="678" t="s">
        <v>2067</v>
      </c>
      <c r="M3" s="678" t="s">
        <v>2071</v>
      </c>
      <c r="N3" s="678" t="s">
        <v>2076</v>
      </c>
      <c r="O3" s="437" t="s">
        <v>2188</v>
      </c>
      <c r="P3" s="437" t="s">
        <v>2191</v>
      </c>
      <c r="Q3" s="679" t="s">
        <v>2199</v>
      </c>
      <c r="R3" s="679" t="s">
        <v>2202</v>
      </c>
      <c r="S3" s="679" t="s">
        <v>2205</v>
      </c>
      <c r="T3" s="679" t="s">
        <v>2209</v>
      </c>
      <c r="U3" s="680" t="s">
        <v>2213</v>
      </c>
      <c r="V3" s="678" t="s">
        <v>4396</v>
      </c>
      <c r="W3" s="678" t="s">
        <v>4397</v>
      </c>
      <c r="X3" s="678" t="s">
        <v>2228</v>
      </c>
      <c r="Y3" s="437" t="s">
        <v>2240</v>
      </c>
      <c r="Z3" s="437" t="s">
        <v>2243</v>
      </c>
      <c r="AA3" s="437" t="s">
        <v>2246</v>
      </c>
      <c r="AB3" s="678" t="s">
        <v>4398</v>
      </c>
      <c r="AC3" s="678" t="s">
        <v>4399</v>
      </c>
    </row>
    <row r="4" spans="1:29" s="676" customFormat="1" ht="15" x14ac:dyDescent="0.25">
      <c r="A4" s="674"/>
      <c r="B4" s="674"/>
      <c r="C4" s="674"/>
      <c r="D4" s="675"/>
      <c r="E4" s="681" t="s">
        <v>4400</v>
      </c>
      <c r="F4" s="682">
        <f t="shared" ref="F4:AC4" si="0">SUM(F7:F789)</f>
        <v>0</v>
      </c>
      <c r="G4" s="682">
        <f t="shared" si="0"/>
        <v>0</v>
      </c>
      <c r="H4" s="682">
        <f t="shared" si="0"/>
        <v>34289</v>
      </c>
      <c r="I4" s="682">
        <f t="shared" si="0"/>
        <v>0</v>
      </c>
      <c r="J4" s="682">
        <f t="shared" si="0"/>
        <v>0</v>
      </c>
      <c r="K4" s="682">
        <f t="shared" si="0"/>
        <v>1696110</v>
      </c>
      <c r="L4" s="682">
        <f t="shared" si="0"/>
        <v>0</v>
      </c>
      <c r="M4" s="682">
        <f t="shared" si="0"/>
        <v>0</v>
      </c>
      <c r="N4" s="682">
        <f t="shared" si="0"/>
        <v>0</v>
      </c>
      <c r="O4" s="682">
        <f t="shared" si="0"/>
        <v>0</v>
      </c>
      <c r="P4" s="682">
        <f t="shared" si="0"/>
        <v>0</v>
      </c>
      <c r="Q4" s="682">
        <f t="shared" si="0"/>
        <v>2475311</v>
      </c>
      <c r="R4" s="682">
        <f t="shared" si="0"/>
        <v>222591</v>
      </c>
      <c r="S4" s="682">
        <f t="shared" si="0"/>
        <v>0</v>
      </c>
      <c r="T4" s="682">
        <f t="shared" si="0"/>
        <v>0</v>
      </c>
      <c r="U4" s="682">
        <f t="shared" si="0"/>
        <v>57868</v>
      </c>
      <c r="V4" s="682">
        <f t="shared" si="0"/>
        <v>0</v>
      </c>
      <c r="W4" s="682">
        <f t="shared" si="0"/>
        <v>166301</v>
      </c>
      <c r="X4" s="682">
        <f t="shared" si="0"/>
        <v>0</v>
      </c>
      <c r="Y4" s="682">
        <f t="shared" si="0"/>
        <v>0</v>
      </c>
      <c r="Z4" s="682">
        <f t="shared" si="0"/>
        <v>0</v>
      </c>
      <c r="AA4" s="682">
        <f t="shared" si="0"/>
        <v>117150</v>
      </c>
      <c r="AB4" s="682">
        <f t="shared" si="0"/>
        <v>0</v>
      </c>
      <c r="AC4" s="682">
        <f t="shared" si="0"/>
        <v>0</v>
      </c>
    </row>
    <row r="5" spans="1:29" s="690" customFormat="1" ht="12.75" x14ac:dyDescent="0.2">
      <c r="A5" s="683" t="s">
        <v>4401</v>
      </c>
      <c r="B5" s="683" t="s">
        <v>4277</v>
      </c>
      <c r="C5" s="683" t="s">
        <v>4402</v>
      </c>
      <c r="D5" s="684" t="s">
        <v>4403</v>
      </c>
      <c r="E5" s="685" t="s">
        <v>2956</v>
      </c>
      <c r="F5" s="686" t="s">
        <v>2035</v>
      </c>
      <c r="G5" s="686" t="s">
        <v>2038</v>
      </c>
      <c r="H5" s="686" t="s">
        <v>2045</v>
      </c>
      <c r="I5" s="686" t="s">
        <v>2050</v>
      </c>
      <c r="J5" s="686" t="s">
        <v>2055</v>
      </c>
      <c r="K5" s="686" t="s">
        <v>2060</v>
      </c>
      <c r="L5" s="284" t="s">
        <v>2065</v>
      </c>
      <c r="M5" s="284" t="s">
        <v>2069</v>
      </c>
      <c r="N5" s="686" t="s">
        <v>2073</v>
      </c>
      <c r="O5" s="687" t="s">
        <v>2187</v>
      </c>
      <c r="P5" s="687" t="s">
        <v>2190</v>
      </c>
      <c r="Q5" s="688" t="s">
        <v>2197</v>
      </c>
      <c r="R5" s="688" t="s">
        <v>2201</v>
      </c>
      <c r="S5" s="688" t="s">
        <v>2204</v>
      </c>
      <c r="T5" s="688" t="s">
        <v>2207</v>
      </c>
      <c r="U5" s="688" t="s">
        <v>2211</v>
      </c>
      <c r="V5" s="688" t="s">
        <v>2218</v>
      </c>
      <c r="W5" s="687" t="s">
        <v>2223</v>
      </c>
      <c r="X5" s="124" t="s">
        <v>2226</v>
      </c>
      <c r="Y5" s="686" t="s">
        <v>2239</v>
      </c>
      <c r="Z5" s="686" t="s">
        <v>2242</v>
      </c>
      <c r="AA5" s="686" t="s">
        <v>2245</v>
      </c>
      <c r="AB5" s="689" t="s">
        <v>2248</v>
      </c>
      <c r="AC5" s="79" t="s">
        <v>2254</v>
      </c>
    </row>
    <row r="6" spans="1:29" s="690" customFormat="1" ht="12.75" x14ac:dyDescent="0.2">
      <c r="A6" s="683"/>
      <c r="B6" s="683"/>
      <c r="C6" s="683"/>
      <c r="D6" s="684"/>
      <c r="E6" s="685"/>
      <c r="F6" s="686" t="s">
        <v>2034</v>
      </c>
      <c r="G6" s="686" t="s">
        <v>2037</v>
      </c>
      <c r="H6" s="686" t="s">
        <v>2044</v>
      </c>
      <c r="I6" s="686" t="s">
        <v>2049</v>
      </c>
      <c r="J6" s="686" t="s">
        <v>2054</v>
      </c>
      <c r="K6" s="686" t="s">
        <v>2059</v>
      </c>
      <c r="L6" s="686" t="s">
        <v>2064</v>
      </c>
      <c r="M6" s="686" t="s">
        <v>2068</v>
      </c>
      <c r="N6" s="686" t="s">
        <v>2072</v>
      </c>
      <c r="O6" s="686" t="s">
        <v>2186</v>
      </c>
      <c r="P6" s="686" t="s">
        <v>2189</v>
      </c>
      <c r="Q6" s="686" t="s">
        <v>2196</v>
      </c>
      <c r="R6" s="686" t="s">
        <v>2200</v>
      </c>
      <c r="S6" s="686" t="s">
        <v>2203</v>
      </c>
      <c r="T6" s="686" t="s">
        <v>2206</v>
      </c>
      <c r="U6" s="686" t="s">
        <v>2210</v>
      </c>
      <c r="V6" s="686" t="s">
        <v>2217</v>
      </c>
      <c r="W6" s="686" t="s">
        <v>2222</v>
      </c>
      <c r="X6" s="686" t="s">
        <v>2225</v>
      </c>
      <c r="Y6" s="686" t="s">
        <v>2238</v>
      </c>
      <c r="Z6" s="686" t="s">
        <v>2241</v>
      </c>
      <c r="AA6" s="686" t="s">
        <v>2244</v>
      </c>
      <c r="AB6" s="686" t="s">
        <v>2247</v>
      </c>
      <c r="AC6" s="686" t="s">
        <v>2253</v>
      </c>
    </row>
    <row r="7" spans="1:29" ht="15" x14ac:dyDescent="0.25">
      <c r="A7" s="691" t="str">
        <f>+Info!$B$2</f>
        <v>724</v>
      </c>
      <c r="B7" s="691" t="s">
        <v>1910</v>
      </c>
      <c r="C7" s="691" t="s">
        <v>4404</v>
      </c>
      <c r="D7" s="692" t="s">
        <v>4405</v>
      </c>
      <c r="E7" s="693"/>
      <c r="F7" s="693"/>
      <c r="G7" s="693"/>
      <c r="H7" s="693"/>
      <c r="I7" s="693"/>
      <c r="J7" s="693"/>
      <c r="K7" s="693"/>
      <c r="L7" s="693"/>
      <c r="M7" s="693"/>
      <c r="N7" s="693"/>
      <c r="O7" s="693"/>
      <c r="P7" s="693"/>
      <c r="Q7" s="693"/>
      <c r="R7" s="693"/>
      <c r="S7" s="693"/>
      <c r="T7" s="693"/>
      <c r="U7" s="693"/>
      <c r="V7" s="693"/>
      <c r="W7" s="693"/>
      <c r="X7" s="693"/>
      <c r="Y7" s="693"/>
      <c r="Z7" s="693"/>
      <c r="AA7" s="693"/>
      <c r="AB7" s="693"/>
      <c r="AC7" s="693"/>
    </row>
    <row r="8" spans="1:29" ht="15" x14ac:dyDescent="0.25">
      <c r="A8" s="691" t="str">
        <f>+Info!$B$2</f>
        <v>724</v>
      </c>
      <c r="B8" s="691" t="s">
        <v>1913</v>
      </c>
      <c r="C8" s="691" t="s">
        <v>4406</v>
      </c>
      <c r="D8" s="692" t="s">
        <v>4407</v>
      </c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3"/>
      <c r="AA8" s="693"/>
      <c r="AB8" s="693"/>
      <c r="AC8" s="693"/>
    </row>
    <row r="9" spans="1:29" x14ac:dyDescent="0.2">
      <c r="A9" s="694" t="str">
        <f>+Info!$B$2</f>
        <v>724</v>
      </c>
      <c r="B9" s="694" t="s">
        <v>4408</v>
      </c>
      <c r="C9" s="694" t="s">
        <v>4409</v>
      </c>
      <c r="D9" s="695" t="s">
        <v>1141</v>
      </c>
      <c r="E9" s="696"/>
      <c r="F9" s="697"/>
      <c r="G9" s="697"/>
      <c r="H9" s="698"/>
      <c r="I9" s="697"/>
      <c r="J9" s="697"/>
      <c r="K9" s="697"/>
      <c r="L9" s="697"/>
      <c r="M9" s="697"/>
      <c r="N9" s="698"/>
      <c r="O9" s="697"/>
      <c r="P9" s="697"/>
      <c r="Q9" s="697"/>
      <c r="R9" s="697"/>
      <c r="S9" s="697"/>
      <c r="T9" s="697"/>
      <c r="U9" s="697"/>
      <c r="V9" s="697"/>
      <c r="W9" s="698"/>
      <c r="X9" s="698"/>
      <c r="Y9" s="697"/>
      <c r="Z9" s="697"/>
      <c r="AA9" s="697"/>
      <c r="AB9" s="697"/>
      <c r="AC9" s="697"/>
    </row>
    <row r="10" spans="1:29" x14ac:dyDescent="0.2">
      <c r="A10" s="694" t="str">
        <f>+Info!$B$2</f>
        <v>724</v>
      </c>
      <c r="B10" s="694" t="s">
        <v>4410</v>
      </c>
      <c r="C10" s="694" t="s">
        <v>4411</v>
      </c>
      <c r="D10" s="695" t="s">
        <v>1152</v>
      </c>
      <c r="E10" s="696"/>
      <c r="F10" s="697"/>
      <c r="G10" s="697"/>
      <c r="H10" s="698"/>
      <c r="I10" s="697"/>
      <c r="J10" s="697"/>
      <c r="K10" s="697"/>
      <c r="L10" s="697"/>
      <c r="M10" s="697"/>
      <c r="N10" s="698"/>
      <c r="O10" s="697"/>
      <c r="P10" s="697"/>
      <c r="Q10" s="697"/>
      <c r="R10" s="697"/>
      <c r="S10" s="697"/>
      <c r="T10" s="697"/>
      <c r="U10" s="697"/>
      <c r="V10" s="697"/>
      <c r="W10" s="698"/>
      <c r="X10" s="698"/>
      <c r="Y10" s="697"/>
      <c r="Z10" s="697"/>
      <c r="AA10" s="697"/>
      <c r="AB10" s="697"/>
      <c r="AC10" s="697"/>
    </row>
    <row r="11" spans="1:29" x14ac:dyDescent="0.2">
      <c r="A11" s="694" t="str">
        <f>+Info!$B$2</f>
        <v>724</v>
      </c>
      <c r="B11" s="694" t="s">
        <v>4412</v>
      </c>
      <c r="C11" s="694" t="s">
        <v>4413</v>
      </c>
      <c r="D11" s="695" t="s">
        <v>1155</v>
      </c>
      <c r="E11" s="696"/>
      <c r="F11" s="697"/>
      <c r="G11" s="697"/>
      <c r="H11" s="698"/>
      <c r="I11" s="697"/>
      <c r="J11" s="697"/>
      <c r="K11" s="697"/>
      <c r="L11" s="697"/>
      <c r="M11" s="697"/>
      <c r="N11" s="698"/>
      <c r="O11" s="697"/>
      <c r="P11" s="697"/>
      <c r="Q11" s="697"/>
      <c r="R11" s="697"/>
      <c r="S11" s="697"/>
      <c r="T11" s="697"/>
      <c r="U11" s="697"/>
      <c r="V11" s="697"/>
      <c r="W11" s="698"/>
      <c r="X11" s="698"/>
      <c r="Y11" s="697"/>
      <c r="Z11" s="697"/>
      <c r="AA11" s="697"/>
      <c r="AB11" s="697"/>
      <c r="AC11" s="697"/>
    </row>
    <row r="12" spans="1:29" x14ac:dyDescent="0.2">
      <c r="A12" s="694" t="str">
        <f>+Info!$B$2</f>
        <v>724</v>
      </c>
      <c r="B12" s="694" t="s">
        <v>4414</v>
      </c>
      <c r="C12" s="694" t="s">
        <v>4415</v>
      </c>
      <c r="D12" s="695" t="s">
        <v>1158</v>
      </c>
      <c r="E12" s="696"/>
      <c r="F12" s="697"/>
      <c r="G12" s="697"/>
      <c r="H12" s="698"/>
      <c r="I12" s="697"/>
      <c r="J12" s="697"/>
      <c r="K12" s="697"/>
      <c r="L12" s="697"/>
      <c r="M12" s="697"/>
      <c r="N12" s="698"/>
      <c r="O12" s="697"/>
      <c r="P12" s="697"/>
      <c r="Q12" s="697"/>
      <c r="R12" s="697"/>
      <c r="S12" s="697"/>
      <c r="T12" s="697"/>
      <c r="U12" s="697"/>
      <c r="V12" s="697"/>
      <c r="W12" s="698"/>
      <c r="X12" s="698"/>
      <c r="Y12" s="697"/>
      <c r="Z12" s="697"/>
      <c r="AA12" s="697"/>
      <c r="AB12" s="697"/>
      <c r="AC12" s="697"/>
    </row>
    <row r="13" spans="1:29" x14ac:dyDescent="0.2">
      <c r="A13" s="694" t="str">
        <f>+Info!$B$2</f>
        <v>724</v>
      </c>
      <c r="B13" s="694" t="s">
        <v>4416</v>
      </c>
      <c r="C13" s="694" t="s">
        <v>4417</v>
      </c>
      <c r="D13" s="695" t="s">
        <v>1161</v>
      </c>
      <c r="E13" s="696"/>
      <c r="F13" s="697"/>
      <c r="G13" s="697"/>
      <c r="H13" s="698"/>
      <c r="I13" s="697"/>
      <c r="J13" s="697"/>
      <c r="K13" s="697"/>
      <c r="L13" s="697"/>
      <c r="M13" s="697"/>
      <c r="N13" s="698"/>
      <c r="O13" s="697"/>
      <c r="P13" s="697"/>
      <c r="Q13" s="697"/>
      <c r="R13" s="697"/>
      <c r="S13" s="697"/>
      <c r="T13" s="697"/>
      <c r="U13" s="697"/>
      <c r="V13" s="697"/>
      <c r="W13" s="698"/>
      <c r="X13" s="698"/>
      <c r="Y13" s="697"/>
      <c r="Z13" s="697"/>
      <c r="AA13" s="697"/>
      <c r="AB13" s="697"/>
      <c r="AC13" s="697"/>
    </row>
    <row r="14" spans="1:29" x14ac:dyDescent="0.2">
      <c r="A14" s="694" t="str">
        <f>+Info!$B$2</f>
        <v>724</v>
      </c>
      <c r="B14" s="694" t="s">
        <v>4418</v>
      </c>
      <c r="C14" s="694" t="s">
        <v>4419</v>
      </c>
      <c r="D14" s="695" t="s">
        <v>1164</v>
      </c>
      <c r="E14" s="696"/>
      <c r="F14" s="697"/>
      <c r="G14" s="697"/>
      <c r="H14" s="698"/>
      <c r="I14" s="697"/>
      <c r="J14" s="697"/>
      <c r="K14" s="697"/>
      <c r="L14" s="697"/>
      <c r="M14" s="697"/>
      <c r="N14" s="698"/>
      <c r="O14" s="697"/>
      <c r="P14" s="697"/>
      <c r="Q14" s="697"/>
      <c r="R14" s="697"/>
      <c r="S14" s="697"/>
      <c r="T14" s="697"/>
      <c r="U14" s="697"/>
      <c r="V14" s="697"/>
      <c r="W14" s="698"/>
      <c r="X14" s="698"/>
      <c r="Y14" s="697"/>
      <c r="Z14" s="697"/>
      <c r="AA14" s="697"/>
      <c r="AB14" s="697"/>
      <c r="AC14" s="697"/>
    </row>
    <row r="15" spans="1:29" x14ac:dyDescent="0.2">
      <c r="A15" s="694" t="str">
        <f>+Info!$B$2</f>
        <v>724</v>
      </c>
      <c r="B15" s="694" t="s">
        <v>4420</v>
      </c>
      <c r="C15" s="694" t="s">
        <v>4421</v>
      </c>
      <c r="D15" s="695" t="s">
        <v>1167</v>
      </c>
      <c r="E15" s="696"/>
      <c r="F15" s="697"/>
      <c r="G15" s="697"/>
      <c r="H15" s="698"/>
      <c r="I15" s="697"/>
      <c r="J15" s="697"/>
      <c r="K15" s="697"/>
      <c r="L15" s="697"/>
      <c r="M15" s="697"/>
      <c r="N15" s="698"/>
      <c r="O15" s="697"/>
      <c r="P15" s="697"/>
      <c r="Q15" s="697"/>
      <c r="R15" s="697"/>
      <c r="S15" s="697"/>
      <c r="T15" s="697"/>
      <c r="U15" s="697"/>
      <c r="V15" s="697"/>
      <c r="W15" s="698"/>
      <c r="X15" s="698"/>
      <c r="Y15" s="697"/>
      <c r="Z15" s="697"/>
      <c r="AA15" s="697"/>
      <c r="AB15" s="697"/>
      <c r="AC15" s="697"/>
    </row>
    <row r="16" spans="1:29" x14ac:dyDescent="0.2">
      <c r="A16" s="694" t="str">
        <f>+Info!$B$2</f>
        <v>724</v>
      </c>
      <c r="B16" s="694" t="s">
        <v>4422</v>
      </c>
      <c r="C16" s="694" t="s">
        <v>4423</v>
      </c>
      <c r="D16" s="695" t="s">
        <v>1170</v>
      </c>
      <c r="E16" s="696"/>
      <c r="F16" s="697"/>
      <c r="G16" s="697"/>
      <c r="H16" s="698"/>
      <c r="I16" s="697"/>
      <c r="J16" s="697"/>
      <c r="K16" s="697"/>
      <c r="L16" s="697"/>
      <c r="M16" s="697"/>
      <c r="N16" s="698"/>
      <c r="O16" s="697"/>
      <c r="P16" s="697"/>
      <c r="Q16" s="697"/>
      <c r="R16" s="697"/>
      <c r="S16" s="697"/>
      <c r="T16" s="697"/>
      <c r="U16" s="697"/>
      <c r="V16" s="697"/>
      <c r="W16" s="698"/>
      <c r="X16" s="698"/>
      <c r="Y16" s="697"/>
      <c r="Z16" s="697"/>
      <c r="AA16" s="697"/>
      <c r="AB16" s="697"/>
      <c r="AC16" s="697"/>
    </row>
    <row r="17" spans="1:29" x14ac:dyDescent="0.2">
      <c r="A17" s="694" t="str">
        <f>+Info!$B$2</f>
        <v>724</v>
      </c>
      <c r="B17" s="694" t="s">
        <v>4424</v>
      </c>
      <c r="C17" s="694" t="s">
        <v>4425</v>
      </c>
      <c r="D17" s="695" t="s">
        <v>1173</v>
      </c>
      <c r="E17" s="696"/>
      <c r="F17" s="697"/>
      <c r="G17" s="697"/>
      <c r="H17" s="698"/>
      <c r="I17" s="697"/>
      <c r="J17" s="697"/>
      <c r="K17" s="697"/>
      <c r="L17" s="697"/>
      <c r="M17" s="697"/>
      <c r="N17" s="698"/>
      <c r="O17" s="697"/>
      <c r="P17" s="697"/>
      <c r="Q17" s="697"/>
      <c r="R17" s="697"/>
      <c r="S17" s="697"/>
      <c r="T17" s="697"/>
      <c r="U17" s="697"/>
      <c r="V17" s="697"/>
      <c r="W17" s="698"/>
      <c r="X17" s="698"/>
      <c r="Y17" s="697"/>
      <c r="Z17" s="697"/>
      <c r="AA17" s="697"/>
      <c r="AB17" s="697"/>
      <c r="AC17" s="697"/>
    </row>
    <row r="18" spans="1:29" x14ac:dyDescent="0.2">
      <c r="A18" s="694" t="str">
        <f>+Info!$B$2</f>
        <v>724</v>
      </c>
      <c r="B18" s="694" t="s">
        <v>4426</v>
      </c>
      <c r="C18" s="694" t="s">
        <v>4427</v>
      </c>
      <c r="D18" s="695" t="s">
        <v>1176</v>
      </c>
      <c r="E18" s="696"/>
      <c r="F18" s="697"/>
      <c r="G18" s="697"/>
      <c r="H18" s="698"/>
      <c r="I18" s="697"/>
      <c r="J18" s="697"/>
      <c r="K18" s="697"/>
      <c r="L18" s="697"/>
      <c r="M18" s="697"/>
      <c r="N18" s="698"/>
      <c r="O18" s="697"/>
      <c r="P18" s="697"/>
      <c r="Q18" s="697"/>
      <c r="R18" s="697"/>
      <c r="S18" s="697"/>
      <c r="T18" s="697"/>
      <c r="U18" s="697"/>
      <c r="V18" s="697"/>
      <c r="W18" s="698"/>
      <c r="X18" s="698"/>
      <c r="Y18" s="697"/>
      <c r="Z18" s="697"/>
      <c r="AA18" s="697"/>
      <c r="AB18" s="697"/>
      <c r="AC18" s="697"/>
    </row>
    <row r="19" spans="1:29" x14ac:dyDescent="0.2">
      <c r="A19" s="694" t="str">
        <f>+Info!$B$2</f>
        <v>724</v>
      </c>
      <c r="B19" s="694" t="s">
        <v>4428</v>
      </c>
      <c r="C19" s="694" t="s">
        <v>4429</v>
      </c>
      <c r="D19" s="695" t="s">
        <v>1179</v>
      </c>
      <c r="E19" s="696"/>
      <c r="F19" s="697"/>
      <c r="G19" s="697"/>
      <c r="H19" s="698"/>
      <c r="I19" s="697"/>
      <c r="J19" s="697"/>
      <c r="K19" s="697"/>
      <c r="L19" s="697"/>
      <c r="M19" s="697"/>
      <c r="N19" s="698"/>
      <c r="O19" s="697"/>
      <c r="P19" s="697"/>
      <c r="Q19" s="697"/>
      <c r="R19" s="697"/>
      <c r="S19" s="697"/>
      <c r="T19" s="697"/>
      <c r="U19" s="697"/>
      <c r="V19" s="697"/>
      <c r="W19" s="698"/>
      <c r="X19" s="698"/>
      <c r="Y19" s="697"/>
      <c r="Z19" s="697"/>
      <c r="AA19" s="697"/>
      <c r="AB19" s="697"/>
      <c r="AC19" s="697"/>
    </row>
    <row r="20" spans="1:29" x14ac:dyDescent="0.2">
      <c r="A20" s="694" t="str">
        <f>+Info!$B$2</f>
        <v>724</v>
      </c>
      <c r="B20" s="694" t="s">
        <v>4430</v>
      </c>
      <c r="C20" s="694" t="s">
        <v>4431</v>
      </c>
      <c r="D20" s="695" t="s">
        <v>1182</v>
      </c>
      <c r="E20" s="696"/>
      <c r="F20" s="697"/>
      <c r="G20" s="697"/>
      <c r="H20" s="698"/>
      <c r="I20" s="697"/>
      <c r="J20" s="697"/>
      <c r="K20" s="697"/>
      <c r="L20" s="697"/>
      <c r="M20" s="697"/>
      <c r="N20" s="698"/>
      <c r="O20" s="697"/>
      <c r="P20" s="697"/>
      <c r="Q20" s="697"/>
      <c r="R20" s="697"/>
      <c r="S20" s="697"/>
      <c r="T20" s="697"/>
      <c r="U20" s="697"/>
      <c r="V20" s="697"/>
      <c r="W20" s="698"/>
      <c r="X20" s="698"/>
      <c r="Y20" s="697"/>
      <c r="Z20" s="697"/>
      <c r="AA20" s="697"/>
      <c r="AB20" s="697"/>
      <c r="AC20" s="697"/>
    </row>
    <row r="21" spans="1:29" x14ac:dyDescent="0.2">
      <c r="A21" s="694" t="str">
        <f>+Info!$B$2</f>
        <v>724</v>
      </c>
      <c r="B21" s="694" t="s">
        <v>4432</v>
      </c>
      <c r="C21" s="694" t="s">
        <v>4433</v>
      </c>
      <c r="D21" s="695" t="s">
        <v>1185</v>
      </c>
      <c r="E21" s="696"/>
      <c r="F21" s="697"/>
      <c r="G21" s="697"/>
      <c r="H21" s="698"/>
      <c r="I21" s="697"/>
      <c r="J21" s="697"/>
      <c r="K21" s="697"/>
      <c r="L21" s="697"/>
      <c r="M21" s="697"/>
      <c r="N21" s="698"/>
      <c r="O21" s="697"/>
      <c r="P21" s="697"/>
      <c r="Q21" s="697"/>
      <c r="R21" s="697"/>
      <c r="S21" s="697"/>
      <c r="T21" s="697"/>
      <c r="U21" s="697"/>
      <c r="V21" s="697"/>
      <c r="W21" s="698"/>
      <c r="X21" s="698"/>
      <c r="Y21" s="697"/>
      <c r="Z21" s="697"/>
      <c r="AA21" s="697"/>
      <c r="AB21" s="697"/>
      <c r="AC21" s="697"/>
    </row>
    <row r="22" spans="1:29" x14ac:dyDescent="0.2">
      <c r="A22" s="694" t="str">
        <f>+Info!$B$2</f>
        <v>724</v>
      </c>
      <c r="B22" s="694" t="s">
        <v>4434</v>
      </c>
      <c r="C22" s="694" t="s">
        <v>4435</v>
      </c>
      <c r="D22" s="695" t="s">
        <v>1188</v>
      </c>
      <c r="E22" s="696"/>
      <c r="F22" s="697"/>
      <c r="G22" s="697"/>
      <c r="H22" s="698"/>
      <c r="I22" s="697"/>
      <c r="J22" s="697"/>
      <c r="K22" s="697"/>
      <c r="L22" s="697"/>
      <c r="M22" s="697"/>
      <c r="N22" s="698"/>
      <c r="O22" s="697"/>
      <c r="P22" s="697"/>
      <c r="Q22" s="697"/>
      <c r="R22" s="697"/>
      <c r="S22" s="697"/>
      <c r="T22" s="697"/>
      <c r="U22" s="697"/>
      <c r="V22" s="697"/>
      <c r="W22" s="698"/>
      <c r="X22" s="698"/>
      <c r="Y22" s="697"/>
      <c r="Z22" s="697"/>
      <c r="AA22" s="697"/>
      <c r="AB22" s="697"/>
      <c r="AC22" s="697"/>
    </row>
    <row r="23" spans="1:29" x14ac:dyDescent="0.2">
      <c r="A23" s="694" t="str">
        <f>+Info!$B$2</f>
        <v>724</v>
      </c>
      <c r="B23" s="694" t="s">
        <v>4436</v>
      </c>
      <c r="C23" s="694" t="s">
        <v>4437</v>
      </c>
      <c r="D23" s="699" t="s">
        <v>1191</v>
      </c>
      <c r="E23" s="696"/>
      <c r="F23" s="697"/>
      <c r="G23" s="697"/>
      <c r="H23" s="698"/>
      <c r="I23" s="697"/>
      <c r="J23" s="697"/>
      <c r="K23" s="697"/>
      <c r="L23" s="697"/>
      <c r="M23" s="697"/>
      <c r="N23" s="698"/>
      <c r="O23" s="697"/>
      <c r="P23" s="697"/>
      <c r="Q23" s="697"/>
      <c r="R23" s="697"/>
      <c r="S23" s="697"/>
      <c r="T23" s="697"/>
      <c r="U23" s="697"/>
      <c r="V23" s="697"/>
      <c r="W23" s="698"/>
      <c r="X23" s="698"/>
      <c r="Y23" s="697"/>
      <c r="Z23" s="697"/>
      <c r="AA23" s="697"/>
      <c r="AB23" s="697"/>
      <c r="AC23" s="697"/>
    </row>
    <row r="24" spans="1:29" x14ac:dyDescent="0.2">
      <c r="A24" s="694" t="str">
        <f>+Info!$B$2</f>
        <v>724</v>
      </c>
      <c r="B24" s="694" t="s">
        <v>4438</v>
      </c>
      <c r="C24" s="694" t="s">
        <v>4439</v>
      </c>
      <c r="D24" s="695" t="s">
        <v>1194</v>
      </c>
      <c r="E24" s="696"/>
      <c r="F24" s="697"/>
      <c r="G24" s="697"/>
      <c r="H24" s="698"/>
      <c r="I24" s="697"/>
      <c r="J24" s="697"/>
      <c r="K24" s="697"/>
      <c r="L24" s="697"/>
      <c r="M24" s="697"/>
      <c r="N24" s="698"/>
      <c r="O24" s="697"/>
      <c r="P24" s="697"/>
      <c r="Q24" s="697"/>
      <c r="R24" s="697"/>
      <c r="S24" s="697"/>
      <c r="T24" s="697"/>
      <c r="U24" s="697"/>
      <c r="V24" s="697"/>
      <c r="W24" s="698"/>
      <c r="X24" s="698"/>
      <c r="Y24" s="697"/>
      <c r="Z24" s="697"/>
      <c r="AA24" s="697"/>
      <c r="AB24" s="697"/>
      <c r="AC24" s="697"/>
    </row>
    <row r="25" spans="1:29" ht="25.5" x14ac:dyDescent="0.2">
      <c r="A25" s="694" t="str">
        <f>+Info!$B$2</f>
        <v>724</v>
      </c>
      <c r="B25" s="694" t="s">
        <v>4440</v>
      </c>
      <c r="C25" s="694" t="s">
        <v>4441</v>
      </c>
      <c r="D25" s="699" t="s">
        <v>1197</v>
      </c>
      <c r="E25" s="696"/>
      <c r="F25" s="697"/>
      <c r="G25" s="697"/>
      <c r="H25" s="698"/>
      <c r="I25" s="697"/>
      <c r="J25" s="697"/>
      <c r="K25" s="697"/>
      <c r="L25" s="697"/>
      <c r="M25" s="697"/>
      <c r="N25" s="698"/>
      <c r="O25" s="697"/>
      <c r="P25" s="697"/>
      <c r="Q25" s="697"/>
      <c r="R25" s="697"/>
      <c r="S25" s="697"/>
      <c r="T25" s="697"/>
      <c r="U25" s="697"/>
      <c r="V25" s="697"/>
      <c r="W25" s="698"/>
      <c r="X25" s="698"/>
      <c r="Y25" s="697"/>
      <c r="Z25" s="697"/>
      <c r="AA25" s="697"/>
      <c r="AB25" s="697"/>
      <c r="AC25" s="697"/>
    </row>
    <row r="26" spans="1:29" ht="25.5" x14ac:dyDescent="0.2">
      <c r="A26" s="694" t="str">
        <f>+Info!$B$2</f>
        <v>724</v>
      </c>
      <c r="B26" s="694" t="s">
        <v>4442</v>
      </c>
      <c r="C26" s="694" t="s">
        <v>4443</v>
      </c>
      <c r="D26" s="699" t="s">
        <v>1200</v>
      </c>
      <c r="E26" s="696"/>
      <c r="F26" s="697"/>
      <c r="G26" s="697"/>
      <c r="H26" s="698"/>
      <c r="I26" s="697"/>
      <c r="J26" s="697"/>
      <c r="K26" s="697"/>
      <c r="L26" s="697"/>
      <c r="M26" s="697"/>
      <c r="N26" s="698"/>
      <c r="O26" s="697"/>
      <c r="P26" s="697"/>
      <c r="Q26" s="697"/>
      <c r="R26" s="697"/>
      <c r="S26" s="697"/>
      <c r="T26" s="697"/>
      <c r="U26" s="697"/>
      <c r="V26" s="697"/>
      <c r="W26" s="698"/>
      <c r="X26" s="698"/>
      <c r="Y26" s="697"/>
      <c r="Z26" s="697"/>
      <c r="AA26" s="697"/>
      <c r="AB26" s="697"/>
      <c r="AC26" s="697"/>
    </row>
    <row r="27" spans="1:29" ht="25.5" x14ac:dyDescent="0.2">
      <c r="A27" s="694" t="str">
        <f>+Info!$B$2</f>
        <v>724</v>
      </c>
      <c r="B27" s="694" t="s">
        <v>4444</v>
      </c>
      <c r="C27" s="694" t="s">
        <v>4445</v>
      </c>
      <c r="D27" s="699" t="s">
        <v>1203</v>
      </c>
      <c r="E27" s="696"/>
      <c r="F27" s="697"/>
      <c r="G27" s="697"/>
      <c r="H27" s="698"/>
      <c r="I27" s="697"/>
      <c r="J27" s="697"/>
      <c r="K27" s="697"/>
      <c r="L27" s="697"/>
      <c r="M27" s="697"/>
      <c r="N27" s="698"/>
      <c r="O27" s="697"/>
      <c r="P27" s="697"/>
      <c r="Q27" s="697"/>
      <c r="R27" s="697"/>
      <c r="S27" s="697"/>
      <c r="T27" s="697"/>
      <c r="U27" s="697"/>
      <c r="V27" s="697"/>
      <c r="W27" s="698"/>
      <c r="X27" s="698"/>
      <c r="Y27" s="697"/>
      <c r="Z27" s="697"/>
      <c r="AA27" s="697"/>
      <c r="AB27" s="697"/>
      <c r="AC27" s="697"/>
    </row>
    <row r="28" spans="1:29" x14ac:dyDescent="0.2">
      <c r="A28" s="694" t="str">
        <f>+Info!$B$2</f>
        <v>724</v>
      </c>
      <c r="B28" s="694" t="s">
        <v>4446</v>
      </c>
      <c r="C28" s="694" t="s">
        <v>4447</v>
      </c>
      <c r="D28" s="695" t="s">
        <v>1206</v>
      </c>
      <c r="E28" s="696"/>
      <c r="F28" s="697"/>
      <c r="G28" s="697"/>
      <c r="H28" s="698"/>
      <c r="I28" s="697"/>
      <c r="J28" s="697"/>
      <c r="K28" s="697"/>
      <c r="L28" s="697"/>
      <c r="M28" s="697"/>
      <c r="N28" s="698"/>
      <c r="O28" s="697"/>
      <c r="P28" s="697"/>
      <c r="Q28" s="697"/>
      <c r="R28" s="697"/>
      <c r="S28" s="697"/>
      <c r="T28" s="697"/>
      <c r="U28" s="697"/>
      <c r="V28" s="697"/>
      <c r="W28" s="698"/>
      <c r="X28" s="698"/>
      <c r="Y28" s="697"/>
      <c r="Z28" s="697"/>
      <c r="AA28" s="697"/>
      <c r="AB28" s="697"/>
      <c r="AC28" s="697"/>
    </row>
    <row r="29" spans="1:29" x14ac:dyDescent="0.2">
      <c r="A29" s="694" t="str">
        <f>+Info!$B$2</f>
        <v>724</v>
      </c>
      <c r="B29" s="694" t="s">
        <v>4448</v>
      </c>
      <c r="C29" s="694" t="s">
        <v>4449</v>
      </c>
      <c r="D29" s="695" t="s">
        <v>1209</v>
      </c>
      <c r="E29" s="696"/>
      <c r="F29" s="697"/>
      <c r="G29" s="697"/>
      <c r="H29" s="698"/>
      <c r="I29" s="697"/>
      <c r="J29" s="697"/>
      <c r="K29" s="697"/>
      <c r="L29" s="697"/>
      <c r="M29" s="697"/>
      <c r="N29" s="698"/>
      <c r="O29" s="697"/>
      <c r="P29" s="697"/>
      <c r="Q29" s="697"/>
      <c r="R29" s="697"/>
      <c r="S29" s="697"/>
      <c r="T29" s="697"/>
      <c r="U29" s="697"/>
      <c r="V29" s="697"/>
      <c r="W29" s="698"/>
      <c r="X29" s="698"/>
      <c r="Y29" s="697"/>
      <c r="Z29" s="697"/>
      <c r="AA29" s="697"/>
      <c r="AB29" s="697"/>
      <c r="AC29" s="697"/>
    </row>
    <row r="30" spans="1:29" x14ac:dyDescent="0.2">
      <c r="A30" s="694" t="str">
        <f>+Info!$B$2</f>
        <v>724</v>
      </c>
      <c r="B30" s="694" t="s">
        <v>4450</v>
      </c>
      <c r="C30" s="694" t="s">
        <v>4451</v>
      </c>
      <c r="D30" s="695" t="s">
        <v>1213</v>
      </c>
      <c r="E30" s="696"/>
      <c r="F30" s="697"/>
      <c r="G30" s="697"/>
      <c r="H30" s="698"/>
      <c r="I30" s="697"/>
      <c r="J30" s="697"/>
      <c r="K30" s="697"/>
      <c r="L30" s="697"/>
      <c r="M30" s="697"/>
      <c r="N30" s="698"/>
      <c r="O30" s="697"/>
      <c r="P30" s="697"/>
      <c r="Q30" s="697"/>
      <c r="R30" s="697"/>
      <c r="S30" s="697"/>
      <c r="T30" s="697"/>
      <c r="U30" s="697"/>
      <c r="V30" s="697"/>
      <c r="W30" s="698"/>
      <c r="X30" s="698"/>
      <c r="Y30" s="697"/>
      <c r="Z30" s="697"/>
      <c r="AA30" s="697"/>
      <c r="AB30" s="697"/>
      <c r="AC30" s="697"/>
    </row>
    <row r="31" spans="1:29" x14ac:dyDescent="0.2">
      <c r="A31" s="694" t="str">
        <f>+Info!$B$2</f>
        <v>724</v>
      </c>
      <c r="B31" s="694" t="s">
        <v>4452</v>
      </c>
      <c r="C31" s="694" t="s">
        <v>4453</v>
      </c>
      <c r="D31" s="695" t="s">
        <v>1217</v>
      </c>
      <c r="E31" s="696"/>
      <c r="F31" s="697"/>
      <c r="G31" s="697"/>
      <c r="H31" s="698"/>
      <c r="I31" s="697"/>
      <c r="J31" s="697"/>
      <c r="K31" s="697"/>
      <c r="L31" s="697"/>
      <c r="M31" s="697"/>
      <c r="N31" s="698"/>
      <c r="O31" s="697"/>
      <c r="P31" s="697"/>
      <c r="Q31" s="697"/>
      <c r="R31" s="697"/>
      <c r="S31" s="697"/>
      <c r="T31" s="697"/>
      <c r="U31" s="697"/>
      <c r="V31" s="697"/>
      <c r="W31" s="698"/>
      <c r="X31" s="698"/>
      <c r="Y31" s="697"/>
      <c r="Z31" s="697"/>
      <c r="AA31" s="697"/>
      <c r="AB31" s="697"/>
      <c r="AC31" s="697"/>
    </row>
    <row r="32" spans="1:29" x14ac:dyDescent="0.2">
      <c r="A32" s="694" t="str">
        <f>+Info!$B$2</f>
        <v>724</v>
      </c>
      <c r="B32" s="694" t="s">
        <v>4454</v>
      </c>
      <c r="C32" s="694" t="s">
        <v>4455</v>
      </c>
      <c r="D32" s="695" t="s">
        <v>1220</v>
      </c>
      <c r="E32" s="696"/>
      <c r="F32" s="697"/>
      <c r="G32" s="697"/>
      <c r="H32" s="698"/>
      <c r="I32" s="697"/>
      <c r="J32" s="697"/>
      <c r="K32" s="697"/>
      <c r="L32" s="697"/>
      <c r="M32" s="697"/>
      <c r="N32" s="698"/>
      <c r="O32" s="697"/>
      <c r="P32" s="697"/>
      <c r="Q32" s="697"/>
      <c r="R32" s="697"/>
      <c r="S32" s="697"/>
      <c r="T32" s="697"/>
      <c r="U32" s="697"/>
      <c r="V32" s="697"/>
      <c r="W32" s="698"/>
      <c r="X32" s="698"/>
      <c r="Y32" s="697"/>
      <c r="Z32" s="697"/>
      <c r="AA32" s="697"/>
      <c r="AB32" s="697"/>
      <c r="AC32" s="697"/>
    </row>
    <row r="33" spans="1:29" x14ac:dyDescent="0.2">
      <c r="A33" s="694" t="str">
        <f>+Info!$B$2</f>
        <v>724</v>
      </c>
      <c r="B33" s="694" t="s">
        <v>4456</v>
      </c>
      <c r="C33" s="694" t="s">
        <v>4457</v>
      </c>
      <c r="D33" s="695" t="s">
        <v>1224</v>
      </c>
      <c r="E33" s="696"/>
      <c r="F33" s="697"/>
      <c r="G33" s="697"/>
      <c r="H33" s="698"/>
      <c r="I33" s="697"/>
      <c r="J33" s="697"/>
      <c r="K33" s="697"/>
      <c r="L33" s="697"/>
      <c r="M33" s="697"/>
      <c r="N33" s="698"/>
      <c r="O33" s="697"/>
      <c r="P33" s="697"/>
      <c r="Q33" s="697"/>
      <c r="R33" s="697"/>
      <c r="S33" s="697"/>
      <c r="T33" s="697"/>
      <c r="U33" s="697"/>
      <c r="V33" s="697"/>
      <c r="W33" s="698"/>
      <c r="X33" s="698"/>
      <c r="Y33" s="697"/>
      <c r="Z33" s="697"/>
      <c r="AA33" s="697"/>
      <c r="AB33" s="697"/>
      <c r="AC33" s="697"/>
    </row>
    <row r="34" spans="1:29" ht="25.5" x14ac:dyDescent="0.2">
      <c r="A34" s="694" t="str">
        <f>+Info!$B$2</f>
        <v>724</v>
      </c>
      <c r="B34" s="694" t="s">
        <v>4458</v>
      </c>
      <c r="C34" s="694" t="s">
        <v>4459</v>
      </c>
      <c r="D34" s="695" t="s">
        <v>1227</v>
      </c>
      <c r="E34" s="696"/>
      <c r="F34" s="697"/>
      <c r="G34" s="697"/>
      <c r="H34" s="698"/>
      <c r="I34" s="697"/>
      <c r="J34" s="697"/>
      <c r="K34" s="697"/>
      <c r="L34" s="697"/>
      <c r="M34" s="697"/>
      <c r="N34" s="698"/>
      <c r="O34" s="697"/>
      <c r="P34" s="697"/>
      <c r="Q34" s="697"/>
      <c r="R34" s="697"/>
      <c r="S34" s="697"/>
      <c r="T34" s="697"/>
      <c r="U34" s="697"/>
      <c r="V34" s="697"/>
      <c r="W34" s="698"/>
      <c r="X34" s="698"/>
      <c r="Y34" s="697"/>
      <c r="Z34" s="697"/>
      <c r="AA34" s="697"/>
      <c r="AB34" s="697"/>
      <c r="AC34" s="697"/>
    </row>
    <row r="35" spans="1:29" x14ac:dyDescent="0.2">
      <c r="A35" s="694" t="str">
        <f>+Info!$B$2</f>
        <v>724</v>
      </c>
      <c r="B35" s="694" t="s">
        <v>4460</v>
      </c>
      <c r="C35" s="694" t="s">
        <v>4461</v>
      </c>
      <c r="D35" s="695" t="s">
        <v>1230</v>
      </c>
      <c r="E35" s="696"/>
      <c r="F35" s="697"/>
      <c r="G35" s="697"/>
      <c r="H35" s="698"/>
      <c r="I35" s="697"/>
      <c r="J35" s="697"/>
      <c r="K35" s="697"/>
      <c r="L35" s="697"/>
      <c r="M35" s="697"/>
      <c r="N35" s="698"/>
      <c r="O35" s="697"/>
      <c r="P35" s="697"/>
      <c r="Q35" s="697"/>
      <c r="R35" s="697"/>
      <c r="S35" s="697"/>
      <c r="T35" s="697"/>
      <c r="U35" s="697"/>
      <c r="V35" s="697"/>
      <c r="W35" s="698"/>
      <c r="X35" s="698"/>
      <c r="Y35" s="697"/>
      <c r="Z35" s="697"/>
      <c r="AA35" s="697"/>
      <c r="AB35" s="697"/>
      <c r="AC35" s="697"/>
    </row>
    <row r="36" spans="1:29" x14ac:dyDescent="0.2">
      <c r="A36" s="694" t="str">
        <f>+Info!$B$2</f>
        <v>724</v>
      </c>
      <c r="B36" s="694" t="s">
        <v>4462</v>
      </c>
      <c r="C36" s="694" t="s">
        <v>4463</v>
      </c>
      <c r="D36" s="700" t="s">
        <v>1233</v>
      </c>
      <c r="E36" s="696"/>
      <c r="F36" s="697"/>
      <c r="G36" s="697"/>
      <c r="H36" s="698"/>
      <c r="I36" s="697"/>
      <c r="J36" s="697"/>
      <c r="K36" s="697"/>
      <c r="L36" s="697"/>
      <c r="M36" s="697"/>
      <c r="N36" s="698"/>
      <c r="O36" s="697"/>
      <c r="P36" s="697"/>
      <c r="Q36" s="697"/>
      <c r="R36" s="697"/>
      <c r="S36" s="697"/>
      <c r="T36" s="697"/>
      <c r="U36" s="697"/>
      <c r="V36" s="697"/>
      <c r="W36" s="698"/>
      <c r="X36" s="698"/>
      <c r="Y36" s="697"/>
      <c r="Z36" s="697"/>
      <c r="AA36" s="697"/>
      <c r="AB36" s="697"/>
      <c r="AC36" s="697"/>
    </row>
    <row r="37" spans="1:29" x14ac:dyDescent="0.2">
      <c r="A37" s="694" t="str">
        <f>+Info!$B$2</f>
        <v>724</v>
      </c>
      <c r="B37" s="694" t="s">
        <v>4464</v>
      </c>
      <c r="C37" s="694" t="s">
        <v>4465</v>
      </c>
      <c r="D37" s="700" t="s">
        <v>1236</v>
      </c>
      <c r="E37" s="696"/>
      <c r="F37" s="697"/>
      <c r="G37" s="697"/>
      <c r="H37" s="698"/>
      <c r="I37" s="697"/>
      <c r="J37" s="697"/>
      <c r="K37" s="697"/>
      <c r="L37" s="697"/>
      <c r="M37" s="697"/>
      <c r="N37" s="698"/>
      <c r="O37" s="697"/>
      <c r="P37" s="697"/>
      <c r="Q37" s="697"/>
      <c r="R37" s="697"/>
      <c r="S37" s="697"/>
      <c r="T37" s="697"/>
      <c r="U37" s="697"/>
      <c r="V37" s="697"/>
      <c r="W37" s="698"/>
      <c r="X37" s="698"/>
      <c r="Y37" s="697"/>
      <c r="Z37" s="697"/>
      <c r="AA37" s="697"/>
      <c r="AB37" s="697"/>
      <c r="AC37" s="697"/>
    </row>
    <row r="38" spans="1:29" x14ac:dyDescent="0.2">
      <c r="A38" s="694" t="str">
        <f>+Info!$B$2</f>
        <v>724</v>
      </c>
      <c r="B38" s="694" t="s">
        <v>4466</v>
      </c>
      <c r="C38" s="694" t="s">
        <v>4467</v>
      </c>
      <c r="D38" s="695" t="s">
        <v>1240</v>
      </c>
      <c r="E38" s="696"/>
      <c r="F38" s="697"/>
      <c r="G38" s="697"/>
      <c r="H38" s="698"/>
      <c r="I38" s="697"/>
      <c r="J38" s="697"/>
      <c r="K38" s="697"/>
      <c r="L38" s="697"/>
      <c r="M38" s="697"/>
      <c r="N38" s="698"/>
      <c r="O38" s="697"/>
      <c r="P38" s="697"/>
      <c r="Q38" s="697"/>
      <c r="R38" s="697"/>
      <c r="S38" s="697"/>
      <c r="T38" s="697"/>
      <c r="U38" s="697"/>
      <c r="V38" s="697"/>
      <c r="W38" s="698"/>
      <c r="X38" s="698"/>
      <c r="Y38" s="697"/>
      <c r="Z38" s="697"/>
      <c r="AA38" s="697"/>
      <c r="AB38" s="697"/>
      <c r="AC38" s="697"/>
    </row>
    <row r="39" spans="1:29" x14ac:dyDescent="0.2">
      <c r="A39" s="694" t="str">
        <f>+Info!$B$2</f>
        <v>724</v>
      </c>
      <c r="B39" s="694" t="s">
        <v>4468</v>
      </c>
      <c r="C39" s="694" t="s">
        <v>4469</v>
      </c>
      <c r="D39" s="695" t="s">
        <v>1243</v>
      </c>
      <c r="E39" s="696"/>
      <c r="F39" s="697"/>
      <c r="G39" s="697"/>
      <c r="H39" s="698"/>
      <c r="I39" s="697"/>
      <c r="J39" s="697"/>
      <c r="K39" s="697"/>
      <c r="L39" s="697"/>
      <c r="M39" s="697"/>
      <c r="N39" s="698"/>
      <c r="O39" s="697"/>
      <c r="P39" s="697"/>
      <c r="Q39" s="697"/>
      <c r="R39" s="697"/>
      <c r="S39" s="697"/>
      <c r="T39" s="697"/>
      <c r="U39" s="697"/>
      <c r="V39" s="697"/>
      <c r="W39" s="698"/>
      <c r="X39" s="698"/>
      <c r="Y39" s="697"/>
      <c r="Z39" s="697"/>
      <c r="AA39" s="697"/>
      <c r="AB39" s="697"/>
      <c r="AC39" s="697"/>
    </row>
    <row r="40" spans="1:29" x14ac:dyDescent="0.2">
      <c r="A40" s="694" t="str">
        <f>+Info!$B$2</f>
        <v>724</v>
      </c>
      <c r="B40" s="694" t="s">
        <v>4470</v>
      </c>
      <c r="C40" s="694" t="s">
        <v>4471</v>
      </c>
      <c r="D40" s="695" t="s">
        <v>1246</v>
      </c>
      <c r="E40" s="696"/>
      <c r="F40" s="697"/>
      <c r="G40" s="697"/>
      <c r="H40" s="698"/>
      <c r="I40" s="697"/>
      <c r="J40" s="697"/>
      <c r="K40" s="697"/>
      <c r="L40" s="697"/>
      <c r="M40" s="697"/>
      <c r="N40" s="698"/>
      <c r="O40" s="697"/>
      <c r="P40" s="697"/>
      <c r="Q40" s="697"/>
      <c r="R40" s="697"/>
      <c r="S40" s="697"/>
      <c r="T40" s="697"/>
      <c r="U40" s="697"/>
      <c r="V40" s="697"/>
      <c r="W40" s="698"/>
      <c r="X40" s="698"/>
      <c r="Y40" s="697"/>
      <c r="Z40" s="697"/>
      <c r="AA40" s="697"/>
      <c r="AB40" s="697"/>
      <c r="AC40" s="697"/>
    </row>
    <row r="41" spans="1:29" x14ac:dyDescent="0.2">
      <c r="A41" s="694" t="str">
        <f>+Info!$B$2</f>
        <v>724</v>
      </c>
      <c r="B41" s="694" t="s">
        <v>4472</v>
      </c>
      <c r="C41" s="694" t="s">
        <v>4473</v>
      </c>
      <c r="D41" s="695" t="s">
        <v>1249</v>
      </c>
      <c r="E41" s="696"/>
      <c r="F41" s="697"/>
      <c r="G41" s="697"/>
      <c r="H41" s="698"/>
      <c r="I41" s="697"/>
      <c r="J41" s="697"/>
      <c r="K41" s="697"/>
      <c r="L41" s="697"/>
      <c r="M41" s="697"/>
      <c r="N41" s="698"/>
      <c r="O41" s="697"/>
      <c r="P41" s="697"/>
      <c r="Q41" s="697"/>
      <c r="R41" s="697"/>
      <c r="S41" s="697"/>
      <c r="T41" s="697"/>
      <c r="U41" s="697"/>
      <c r="V41" s="697"/>
      <c r="W41" s="698"/>
      <c r="X41" s="698"/>
      <c r="Y41" s="697"/>
      <c r="Z41" s="697"/>
      <c r="AA41" s="697"/>
      <c r="AB41" s="697"/>
      <c r="AC41" s="697"/>
    </row>
    <row r="42" spans="1:29" x14ac:dyDescent="0.2">
      <c r="A42" s="694" t="str">
        <f>+Info!$B$2</f>
        <v>724</v>
      </c>
      <c r="B42" s="694" t="s">
        <v>4474</v>
      </c>
      <c r="C42" s="694" t="s">
        <v>4475</v>
      </c>
      <c r="D42" s="695" t="s">
        <v>1252</v>
      </c>
      <c r="E42" s="696"/>
      <c r="F42" s="697"/>
      <c r="G42" s="697"/>
      <c r="H42" s="698"/>
      <c r="I42" s="697"/>
      <c r="J42" s="697"/>
      <c r="K42" s="697"/>
      <c r="L42" s="697"/>
      <c r="M42" s="697"/>
      <c r="N42" s="698"/>
      <c r="O42" s="697"/>
      <c r="P42" s="697"/>
      <c r="Q42" s="697"/>
      <c r="R42" s="697"/>
      <c r="S42" s="697"/>
      <c r="T42" s="697"/>
      <c r="U42" s="697"/>
      <c r="V42" s="697"/>
      <c r="W42" s="698"/>
      <c r="X42" s="698"/>
      <c r="Y42" s="697"/>
      <c r="Z42" s="697"/>
      <c r="AA42" s="697"/>
      <c r="AB42" s="697"/>
      <c r="AC42" s="697"/>
    </row>
    <row r="43" spans="1:29" x14ac:dyDescent="0.2">
      <c r="A43" s="694" t="str">
        <f>+Info!$B$2</f>
        <v>724</v>
      </c>
      <c r="B43" s="694" t="s">
        <v>4476</v>
      </c>
      <c r="C43" s="694" t="s">
        <v>4477</v>
      </c>
      <c r="D43" s="695" t="s">
        <v>4478</v>
      </c>
      <c r="E43" s="696"/>
      <c r="F43" s="697"/>
      <c r="G43" s="697"/>
      <c r="H43" s="698"/>
      <c r="I43" s="697"/>
      <c r="J43" s="697"/>
      <c r="K43" s="697"/>
      <c r="L43" s="697"/>
      <c r="M43" s="697"/>
      <c r="N43" s="698"/>
      <c r="O43" s="697"/>
      <c r="P43" s="697"/>
      <c r="Q43" s="697"/>
      <c r="R43" s="697"/>
      <c r="S43" s="697"/>
      <c r="T43" s="697"/>
      <c r="U43" s="697"/>
      <c r="V43" s="697"/>
      <c r="W43" s="698"/>
      <c r="X43" s="698"/>
      <c r="Y43" s="697"/>
      <c r="Z43" s="697"/>
      <c r="AA43" s="697"/>
      <c r="AB43" s="697"/>
      <c r="AC43" s="697"/>
    </row>
    <row r="44" spans="1:29" x14ac:dyDescent="0.2">
      <c r="A44" s="694" t="str">
        <f>+Info!$B$2</f>
        <v>724</v>
      </c>
      <c r="B44" s="694" t="s">
        <v>4479</v>
      </c>
      <c r="C44" s="694" t="s">
        <v>4480</v>
      </c>
      <c r="D44" s="695" t="s">
        <v>1259</v>
      </c>
      <c r="E44" s="696"/>
      <c r="F44" s="697"/>
      <c r="G44" s="697"/>
      <c r="H44" s="698"/>
      <c r="I44" s="697"/>
      <c r="J44" s="697"/>
      <c r="K44" s="697"/>
      <c r="L44" s="697"/>
      <c r="M44" s="697"/>
      <c r="N44" s="698"/>
      <c r="O44" s="697"/>
      <c r="P44" s="697"/>
      <c r="Q44" s="697"/>
      <c r="R44" s="697"/>
      <c r="S44" s="697"/>
      <c r="T44" s="697"/>
      <c r="U44" s="697"/>
      <c r="V44" s="697"/>
      <c r="W44" s="698"/>
      <c r="X44" s="698"/>
      <c r="Y44" s="697"/>
      <c r="Z44" s="697"/>
      <c r="AA44" s="697"/>
      <c r="AB44" s="697"/>
      <c r="AC44" s="697"/>
    </row>
    <row r="45" spans="1:29" x14ac:dyDescent="0.2">
      <c r="A45" s="694" t="str">
        <f>+Info!$B$2</f>
        <v>724</v>
      </c>
      <c r="B45" s="694" t="s">
        <v>4481</v>
      </c>
      <c r="C45" s="694" t="s">
        <v>4482</v>
      </c>
      <c r="D45" s="695" t="s">
        <v>1262</v>
      </c>
      <c r="E45" s="696"/>
      <c r="F45" s="697"/>
      <c r="G45" s="697"/>
      <c r="H45" s="698"/>
      <c r="I45" s="697"/>
      <c r="J45" s="697"/>
      <c r="K45" s="697"/>
      <c r="L45" s="697"/>
      <c r="M45" s="697"/>
      <c r="N45" s="698"/>
      <c r="O45" s="697"/>
      <c r="P45" s="697"/>
      <c r="Q45" s="697"/>
      <c r="R45" s="697"/>
      <c r="S45" s="697"/>
      <c r="T45" s="697"/>
      <c r="U45" s="697"/>
      <c r="V45" s="697"/>
      <c r="W45" s="698"/>
      <c r="X45" s="698"/>
      <c r="Y45" s="697"/>
      <c r="Z45" s="697"/>
      <c r="AA45" s="697"/>
      <c r="AB45" s="697"/>
      <c r="AC45" s="697"/>
    </row>
    <row r="46" spans="1:29" x14ac:dyDescent="0.2">
      <c r="A46" s="694" t="str">
        <f>+Info!$B$2</f>
        <v>724</v>
      </c>
      <c r="B46" s="694" t="s">
        <v>4483</v>
      </c>
      <c r="C46" s="694" t="s">
        <v>4484</v>
      </c>
      <c r="D46" s="695" t="s">
        <v>1265</v>
      </c>
      <c r="E46" s="696"/>
      <c r="F46" s="697"/>
      <c r="G46" s="697"/>
      <c r="H46" s="698"/>
      <c r="I46" s="697"/>
      <c r="J46" s="697"/>
      <c r="K46" s="697"/>
      <c r="L46" s="697"/>
      <c r="M46" s="697"/>
      <c r="N46" s="698"/>
      <c r="O46" s="697"/>
      <c r="P46" s="697"/>
      <c r="Q46" s="697"/>
      <c r="R46" s="697"/>
      <c r="S46" s="697"/>
      <c r="T46" s="697"/>
      <c r="U46" s="697"/>
      <c r="V46" s="697"/>
      <c r="W46" s="698"/>
      <c r="X46" s="698"/>
      <c r="Y46" s="697"/>
      <c r="Z46" s="697"/>
      <c r="AA46" s="697"/>
      <c r="AB46" s="697"/>
      <c r="AC46" s="697"/>
    </row>
    <row r="47" spans="1:29" x14ac:dyDescent="0.2">
      <c r="A47" s="694" t="str">
        <f>+Info!$B$2</f>
        <v>724</v>
      </c>
      <c r="B47" s="694" t="s">
        <v>4485</v>
      </c>
      <c r="C47" s="694" t="s">
        <v>4486</v>
      </c>
      <c r="D47" s="695" t="s">
        <v>1269</v>
      </c>
      <c r="E47" s="696"/>
      <c r="F47" s="697"/>
      <c r="G47" s="697"/>
      <c r="H47" s="698"/>
      <c r="I47" s="697"/>
      <c r="J47" s="697"/>
      <c r="K47" s="697"/>
      <c r="L47" s="697"/>
      <c r="M47" s="697"/>
      <c r="N47" s="698"/>
      <c r="O47" s="697"/>
      <c r="P47" s="697"/>
      <c r="Q47" s="697"/>
      <c r="R47" s="697"/>
      <c r="S47" s="697"/>
      <c r="T47" s="697"/>
      <c r="U47" s="697"/>
      <c r="V47" s="697"/>
      <c r="W47" s="698"/>
      <c r="X47" s="698"/>
      <c r="Y47" s="697"/>
      <c r="Z47" s="697"/>
      <c r="AA47" s="697"/>
      <c r="AB47" s="697"/>
      <c r="AC47" s="697"/>
    </row>
    <row r="48" spans="1:29" x14ac:dyDescent="0.2">
      <c r="A48" s="694" t="str">
        <f>+Info!$B$2</f>
        <v>724</v>
      </c>
      <c r="B48" s="694" t="s">
        <v>4487</v>
      </c>
      <c r="C48" s="694" t="s">
        <v>4488</v>
      </c>
      <c r="D48" s="695" t="s">
        <v>1272</v>
      </c>
      <c r="E48" s="696"/>
      <c r="F48" s="697"/>
      <c r="G48" s="697"/>
      <c r="H48" s="698"/>
      <c r="I48" s="697"/>
      <c r="J48" s="697"/>
      <c r="K48" s="697"/>
      <c r="L48" s="697"/>
      <c r="M48" s="697"/>
      <c r="N48" s="698"/>
      <c r="O48" s="697"/>
      <c r="P48" s="697"/>
      <c r="Q48" s="697"/>
      <c r="R48" s="697"/>
      <c r="S48" s="697"/>
      <c r="T48" s="697"/>
      <c r="U48" s="697"/>
      <c r="V48" s="697"/>
      <c r="W48" s="698"/>
      <c r="X48" s="698"/>
      <c r="Y48" s="697"/>
      <c r="Z48" s="697"/>
      <c r="AA48" s="697"/>
      <c r="AB48" s="697"/>
      <c r="AC48" s="697"/>
    </row>
    <row r="49" spans="1:29" x14ac:dyDescent="0.2">
      <c r="A49" s="694" t="str">
        <f>+Info!$B$2</f>
        <v>724</v>
      </c>
      <c r="B49" s="694" t="s">
        <v>4489</v>
      </c>
      <c r="C49" s="694" t="s">
        <v>4490</v>
      </c>
      <c r="D49" s="695" t="s">
        <v>1275</v>
      </c>
      <c r="E49" s="696"/>
      <c r="F49" s="697"/>
      <c r="G49" s="697"/>
      <c r="H49" s="698"/>
      <c r="I49" s="697"/>
      <c r="J49" s="697"/>
      <c r="K49" s="697"/>
      <c r="L49" s="697"/>
      <c r="M49" s="697"/>
      <c r="N49" s="698"/>
      <c r="O49" s="697"/>
      <c r="P49" s="697"/>
      <c r="Q49" s="697"/>
      <c r="R49" s="697"/>
      <c r="S49" s="697"/>
      <c r="T49" s="697"/>
      <c r="U49" s="697"/>
      <c r="V49" s="697"/>
      <c r="W49" s="698"/>
      <c r="X49" s="698"/>
      <c r="Y49" s="697"/>
      <c r="Z49" s="697"/>
      <c r="AA49" s="697"/>
      <c r="AB49" s="697"/>
      <c r="AC49" s="697"/>
    </row>
    <row r="50" spans="1:29" x14ac:dyDescent="0.2">
      <c r="A50" s="694" t="str">
        <f>+Info!$B$2</f>
        <v>724</v>
      </c>
      <c r="B50" s="694" t="s">
        <v>4491</v>
      </c>
      <c r="C50" s="694" t="s">
        <v>4492</v>
      </c>
      <c r="D50" s="695" t="s">
        <v>1279</v>
      </c>
      <c r="E50" s="696"/>
      <c r="F50" s="697"/>
      <c r="G50" s="697"/>
      <c r="H50" s="698"/>
      <c r="I50" s="697"/>
      <c r="J50" s="697"/>
      <c r="K50" s="697"/>
      <c r="L50" s="697"/>
      <c r="M50" s="697"/>
      <c r="N50" s="698"/>
      <c r="O50" s="697"/>
      <c r="P50" s="697"/>
      <c r="Q50" s="697"/>
      <c r="R50" s="697"/>
      <c r="S50" s="697"/>
      <c r="T50" s="697"/>
      <c r="U50" s="697"/>
      <c r="V50" s="697"/>
      <c r="W50" s="698"/>
      <c r="X50" s="698"/>
      <c r="Y50" s="697"/>
      <c r="Z50" s="697"/>
      <c r="AA50" s="697"/>
      <c r="AB50" s="697"/>
      <c r="AC50" s="697"/>
    </row>
    <row r="51" spans="1:29" ht="25.5" x14ac:dyDescent="0.2">
      <c r="A51" s="694" t="str">
        <f>+Info!$B$2</f>
        <v>724</v>
      </c>
      <c r="B51" s="694" t="s">
        <v>4493</v>
      </c>
      <c r="C51" s="694" t="s">
        <v>4494</v>
      </c>
      <c r="D51" s="695" t="s">
        <v>1282</v>
      </c>
      <c r="E51" s="696"/>
      <c r="F51" s="697"/>
      <c r="G51" s="697"/>
      <c r="H51" s="698"/>
      <c r="I51" s="697"/>
      <c r="J51" s="697"/>
      <c r="K51" s="697"/>
      <c r="L51" s="697"/>
      <c r="M51" s="697"/>
      <c r="N51" s="698"/>
      <c r="O51" s="697"/>
      <c r="P51" s="697"/>
      <c r="Q51" s="697"/>
      <c r="R51" s="697"/>
      <c r="S51" s="697"/>
      <c r="T51" s="697"/>
      <c r="U51" s="697"/>
      <c r="V51" s="697"/>
      <c r="W51" s="698"/>
      <c r="X51" s="698"/>
      <c r="Y51" s="697"/>
      <c r="Z51" s="697"/>
      <c r="AA51" s="697"/>
      <c r="AB51" s="697"/>
      <c r="AC51" s="697"/>
    </row>
    <row r="52" spans="1:29" ht="15" x14ac:dyDescent="0.25">
      <c r="A52" s="691" t="str">
        <f>+Info!$B$2</f>
        <v>724</v>
      </c>
      <c r="B52" s="691" t="s">
        <v>1919</v>
      </c>
      <c r="C52" s="691" t="s">
        <v>4495</v>
      </c>
      <c r="D52" s="692" t="s">
        <v>4496</v>
      </c>
      <c r="E52" s="693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</row>
    <row r="53" spans="1:29" x14ac:dyDescent="0.2">
      <c r="A53" s="694" t="str">
        <f>+Info!$B$2</f>
        <v>724</v>
      </c>
      <c r="B53" s="694" t="s">
        <v>1922</v>
      </c>
      <c r="C53" s="694" t="s">
        <v>4497</v>
      </c>
      <c r="D53" s="695" t="s">
        <v>1297</v>
      </c>
      <c r="E53" s="696"/>
      <c r="F53" s="697"/>
      <c r="G53" s="697"/>
      <c r="H53" s="698"/>
      <c r="I53" s="697"/>
      <c r="J53" s="697"/>
      <c r="K53" s="697"/>
      <c r="L53" s="697"/>
      <c r="M53" s="697"/>
      <c r="N53" s="698"/>
      <c r="O53" s="697"/>
      <c r="P53" s="697"/>
      <c r="Q53" s="697"/>
      <c r="R53" s="697"/>
      <c r="S53" s="697"/>
      <c r="T53" s="697"/>
      <c r="U53" s="697"/>
      <c r="V53" s="697"/>
      <c r="W53" s="698"/>
      <c r="X53" s="698"/>
      <c r="Y53" s="697"/>
      <c r="Z53" s="697"/>
      <c r="AA53" s="697"/>
      <c r="AB53" s="697"/>
      <c r="AC53" s="697"/>
    </row>
    <row r="54" spans="1:29" x14ac:dyDescent="0.2">
      <c r="A54" s="694" t="str">
        <f>+Info!$B$2</f>
        <v>724</v>
      </c>
      <c r="B54" s="694" t="s">
        <v>1928</v>
      </c>
      <c r="C54" s="694" t="s">
        <v>4498</v>
      </c>
      <c r="D54" s="695" t="s">
        <v>1301</v>
      </c>
      <c r="E54" s="696"/>
      <c r="F54" s="697"/>
      <c r="G54" s="697"/>
      <c r="H54" s="698"/>
      <c r="I54" s="697"/>
      <c r="J54" s="697"/>
      <c r="K54" s="697"/>
      <c r="L54" s="697"/>
      <c r="M54" s="697"/>
      <c r="N54" s="698"/>
      <c r="O54" s="697"/>
      <c r="P54" s="697"/>
      <c r="Q54" s="697"/>
      <c r="R54" s="697"/>
      <c r="S54" s="697"/>
      <c r="T54" s="697"/>
      <c r="U54" s="697"/>
      <c r="V54" s="697"/>
      <c r="W54" s="698"/>
      <c r="X54" s="698"/>
      <c r="Y54" s="697"/>
      <c r="Z54" s="697"/>
      <c r="AA54" s="697"/>
      <c r="AB54" s="697"/>
      <c r="AC54" s="697"/>
    </row>
    <row r="55" spans="1:29" x14ac:dyDescent="0.2">
      <c r="A55" s="694" t="str">
        <f>+Info!$B$2</f>
        <v>724</v>
      </c>
      <c r="B55" s="694" t="s">
        <v>4499</v>
      </c>
      <c r="C55" s="694" t="s">
        <v>4500</v>
      </c>
      <c r="D55" s="695" t="s">
        <v>1305</v>
      </c>
      <c r="E55" s="696"/>
      <c r="F55" s="697"/>
      <c r="G55" s="697"/>
      <c r="H55" s="698"/>
      <c r="I55" s="697"/>
      <c r="J55" s="697"/>
      <c r="K55" s="697"/>
      <c r="L55" s="697"/>
      <c r="M55" s="697"/>
      <c r="N55" s="698"/>
      <c r="O55" s="697"/>
      <c r="P55" s="697"/>
      <c r="Q55" s="697"/>
      <c r="R55" s="697"/>
      <c r="S55" s="697"/>
      <c r="T55" s="697"/>
      <c r="U55" s="697"/>
      <c r="V55" s="697"/>
      <c r="W55" s="698"/>
      <c r="X55" s="698"/>
      <c r="Y55" s="697"/>
      <c r="Z55" s="697"/>
      <c r="AA55" s="697"/>
      <c r="AB55" s="697"/>
      <c r="AC55" s="697"/>
    </row>
    <row r="56" spans="1:29" x14ac:dyDescent="0.2">
      <c r="A56" s="694" t="str">
        <f>+Info!$B$2</f>
        <v>724</v>
      </c>
      <c r="B56" s="694" t="s">
        <v>4501</v>
      </c>
      <c r="C56" s="694" t="s">
        <v>4502</v>
      </c>
      <c r="D56" s="695" t="s">
        <v>1308</v>
      </c>
      <c r="E56" s="696"/>
      <c r="F56" s="697"/>
      <c r="G56" s="697"/>
      <c r="H56" s="698"/>
      <c r="I56" s="697"/>
      <c r="J56" s="697"/>
      <c r="K56" s="697"/>
      <c r="L56" s="697"/>
      <c r="M56" s="697"/>
      <c r="N56" s="698"/>
      <c r="O56" s="697"/>
      <c r="P56" s="697"/>
      <c r="Q56" s="697"/>
      <c r="R56" s="697"/>
      <c r="S56" s="697"/>
      <c r="T56" s="697"/>
      <c r="U56" s="697"/>
      <c r="V56" s="697"/>
      <c r="W56" s="698"/>
      <c r="X56" s="698"/>
      <c r="Y56" s="697"/>
      <c r="Z56" s="697"/>
      <c r="AA56" s="697"/>
      <c r="AB56" s="697"/>
      <c r="AC56" s="697"/>
    </row>
    <row r="57" spans="1:29" x14ac:dyDescent="0.2">
      <c r="A57" s="694" t="str">
        <f>+Info!$B$2</f>
        <v>724</v>
      </c>
      <c r="B57" s="694" t="s">
        <v>1953</v>
      </c>
      <c r="C57" s="694" t="s">
        <v>4503</v>
      </c>
      <c r="D57" s="695" t="s">
        <v>1312</v>
      </c>
      <c r="E57" s="696"/>
      <c r="F57" s="697"/>
      <c r="G57" s="697"/>
      <c r="H57" s="698"/>
      <c r="I57" s="697"/>
      <c r="J57" s="697"/>
      <c r="K57" s="697"/>
      <c r="L57" s="697"/>
      <c r="M57" s="697"/>
      <c r="N57" s="698"/>
      <c r="O57" s="697"/>
      <c r="P57" s="697"/>
      <c r="Q57" s="697"/>
      <c r="R57" s="697"/>
      <c r="S57" s="697"/>
      <c r="T57" s="697"/>
      <c r="U57" s="697"/>
      <c r="V57" s="697"/>
      <c r="W57" s="698"/>
      <c r="X57" s="698"/>
      <c r="Y57" s="697"/>
      <c r="Z57" s="697"/>
      <c r="AA57" s="697"/>
      <c r="AB57" s="697"/>
      <c r="AC57" s="697"/>
    </row>
    <row r="58" spans="1:29" x14ac:dyDescent="0.2">
      <c r="A58" s="694" t="str">
        <f>+Info!$B$2</f>
        <v>724</v>
      </c>
      <c r="B58" s="694" t="s">
        <v>1959</v>
      </c>
      <c r="C58" s="694" t="s">
        <v>4504</v>
      </c>
      <c r="D58" s="695" t="s">
        <v>1315</v>
      </c>
      <c r="E58" s="696"/>
      <c r="F58" s="697"/>
      <c r="G58" s="697"/>
      <c r="H58" s="698"/>
      <c r="I58" s="697"/>
      <c r="J58" s="697"/>
      <c r="K58" s="697"/>
      <c r="L58" s="697"/>
      <c r="M58" s="697"/>
      <c r="N58" s="698"/>
      <c r="O58" s="697"/>
      <c r="P58" s="697"/>
      <c r="Q58" s="697"/>
      <c r="R58" s="697"/>
      <c r="S58" s="697"/>
      <c r="T58" s="697"/>
      <c r="U58" s="697"/>
      <c r="V58" s="697"/>
      <c r="W58" s="698"/>
      <c r="X58" s="698"/>
      <c r="Y58" s="697"/>
      <c r="Z58" s="697"/>
      <c r="AA58" s="697"/>
      <c r="AB58" s="697"/>
      <c r="AC58" s="697"/>
    </row>
    <row r="59" spans="1:29" x14ac:dyDescent="0.2">
      <c r="A59" s="694" t="str">
        <f>+Info!$B$2</f>
        <v>724</v>
      </c>
      <c r="B59" s="694" t="s">
        <v>4505</v>
      </c>
      <c r="C59" s="694" t="s">
        <v>4506</v>
      </c>
      <c r="D59" s="695" t="s">
        <v>4507</v>
      </c>
      <c r="E59" s="696"/>
      <c r="F59" s="697"/>
      <c r="G59" s="697"/>
      <c r="H59" s="698"/>
      <c r="I59" s="697"/>
      <c r="J59" s="697"/>
      <c r="K59" s="697"/>
      <c r="L59" s="697"/>
      <c r="M59" s="697"/>
      <c r="N59" s="698"/>
      <c r="O59" s="697"/>
      <c r="P59" s="697"/>
      <c r="Q59" s="697"/>
      <c r="R59" s="697"/>
      <c r="S59" s="697"/>
      <c r="T59" s="697"/>
      <c r="U59" s="697"/>
      <c r="V59" s="697"/>
      <c r="W59" s="698"/>
      <c r="X59" s="698"/>
      <c r="Y59" s="697"/>
      <c r="Z59" s="697"/>
      <c r="AA59" s="697"/>
      <c r="AB59" s="697"/>
      <c r="AC59" s="697"/>
    </row>
    <row r="60" spans="1:29" x14ac:dyDescent="0.2">
      <c r="A60" s="694" t="str">
        <f>+Info!$B$2</f>
        <v>724</v>
      </c>
      <c r="B60" s="694" t="s">
        <v>4508</v>
      </c>
      <c r="C60" s="694" t="s">
        <v>4509</v>
      </c>
      <c r="D60" s="695" t="s">
        <v>1322</v>
      </c>
      <c r="E60" s="696"/>
      <c r="F60" s="697"/>
      <c r="G60" s="697"/>
      <c r="H60" s="698"/>
      <c r="I60" s="697"/>
      <c r="J60" s="697"/>
      <c r="K60" s="697"/>
      <c r="L60" s="697"/>
      <c r="M60" s="697"/>
      <c r="N60" s="698"/>
      <c r="O60" s="697"/>
      <c r="P60" s="697"/>
      <c r="Q60" s="697"/>
      <c r="R60" s="697"/>
      <c r="S60" s="697"/>
      <c r="T60" s="697"/>
      <c r="U60" s="697"/>
      <c r="V60" s="697"/>
      <c r="W60" s="698"/>
      <c r="X60" s="698"/>
      <c r="Y60" s="697"/>
      <c r="Z60" s="697"/>
      <c r="AA60" s="697"/>
      <c r="AB60" s="697"/>
      <c r="AC60" s="697"/>
    </row>
    <row r="61" spans="1:29" x14ac:dyDescent="0.2">
      <c r="A61" s="694" t="str">
        <f>+Info!$B$2</f>
        <v>724</v>
      </c>
      <c r="B61" s="694" t="s">
        <v>4510</v>
      </c>
      <c r="C61" s="694" t="s">
        <v>4511</v>
      </c>
      <c r="D61" s="695" t="s">
        <v>1325</v>
      </c>
      <c r="E61" s="696"/>
      <c r="F61" s="697"/>
      <c r="G61" s="697"/>
      <c r="H61" s="698"/>
      <c r="I61" s="697"/>
      <c r="J61" s="697"/>
      <c r="K61" s="697"/>
      <c r="L61" s="697"/>
      <c r="M61" s="697"/>
      <c r="N61" s="698"/>
      <c r="O61" s="697"/>
      <c r="P61" s="697"/>
      <c r="Q61" s="697"/>
      <c r="R61" s="697"/>
      <c r="S61" s="697"/>
      <c r="T61" s="697"/>
      <c r="U61" s="697"/>
      <c r="V61" s="697"/>
      <c r="W61" s="698"/>
      <c r="X61" s="698"/>
      <c r="Y61" s="697"/>
      <c r="Z61" s="697"/>
      <c r="AA61" s="697"/>
      <c r="AB61" s="697"/>
      <c r="AC61" s="697"/>
    </row>
    <row r="62" spans="1:29" x14ac:dyDescent="0.2">
      <c r="A62" s="694" t="str">
        <f>+Info!$B$2</f>
        <v>724</v>
      </c>
      <c r="B62" s="694" t="s">
        <v>4512</v>
      </c>
      <c r="C62" s="694" t="s">
        <v>4513</v>
      </c>
      <c r="D62" s="695" t="s">
        <v>1328</v>
      </c>
      <c r="E62" s="696"/>
      <c r="F62" s="697"/>
      <c r="G62" s="697"/>
      <c r="H62" s="698"/>
      <c r="I62" s="697"/>
      <c r="J62" s="697"/>
      <c r="K62" s="697"/>
      <c r="L62" s="697"/>
      <c r="M62" s="697"/>
      <c r="N62" s="698"/>
      <c r="O62" s="697"/>
      <c r="P62" s="697"/>
      <c r="Q62" s="697"/>
      <c r="R62" s="697"/>
      <c r="S62" s="697"/>
      <c r="T62" s="697"/>
      <c r="U62" s="697"/>
      <c r="V62" s="697"/>
      <c r="W62" s="698"/>
      <c r="X62" s="698"/>
      <c r="Y62" s="697"/>
      <c r="Z62" s="697"/>
      <c r="AA62" s="697"/>
      <c r="AB62" s="697"/>
      <c r="AC62" s="697"/>
    </row>
    <row r="63" spans="1:29" x14ac:dyDescent="0.2">
      <c r="A63" s="694" t="str">
        <f>+Info!$B$2</f>
        <v>724</v>
      </c>
      <c r="B63" s="694" t="s">
        <v>4514</v>
      </c>
      <c r="C63" s="694" t="s">
        <v>4515</v>
      </c>
      <c r="D63" s="695" t="s">
        <v>1331</v>
      </c>
      <c r="E63" s="696"/>
      <c r="F63" s="697"/>
      <c r="G63" s="697"/>
      <c r="H63" s="698"/>
      <c r="I63" s="697"/>
      <c r="J63" s="697"/>
      <c r="K63" s="697"/>
      <c r="L63" s="697"/>
      <c r="M63" s="697"/>
      <c r="N63" s="698"/>
      <c r="O63" s="697"/>
      <c r="P63" s="697"/>
      <c r="Q63" s="697"/>
      <c r="R63" s="697"/>
      <c r="S63" s="697"/>
      <c r="T63" s="697"/>
      <c r="U63" s="697"/>
      <c r="V63" s="697"/>
      <c r="W63" s="698"/>
      <c r="X63" s="698"/>
      <c r="Y63" s="697"/>
      <c r="Z63" s="697"/>
      <c r="AA63" s="697"/>
      <c r="AB63" s="697"/>
      <c r="AC63" s="697"/>
    </row>
    <row r="64" spans="1:29" x14ac:dyDescent="0.2">
      <c r="A64" s="694" t="str">
        <f>+Info!$B$2</f>
        <v>724</v>
      </c>
      <c r="B64" s="694" t="s">
        <v>4516</v>
      </c>
      <c r="C64" s="694" t="s">
        <v>4517</v>
      </c>
      <c r="D64" s="695" t="s">
        <v>1334</v>
      </c>
      <c r="E64" s="696"/>
      <c r="F64" s="697"/>
      <c r="G64" s="697"/>
      <c r="H64" s="698"/>
      <c r="I64" s="697"/>
      <c r="J64" s="697"/>
      <c r="K64" s="697"/>
      <c r="L64" s="697"/>
      <c r="M64" s="697"/>
      <c r="N64" s="698"/>
      <c r="O64" s="697"/>
      <c r="P64" s="697"/>
      <c r="Q64" s="697"/>
      <c r="R64" s="697"/>
      <c r="S64" s="697"/>
      <c r="T64" s="697"/>
      <c r="U64" s="697"/>
      <c r="V64" s="697"/>
      <c r="W64" s="698"/>
      <c r="X64" s="698"/>
      <c r="Y64" s="697"/>
      <c r="Z64" s="697"/>
      <c r="AA64" s="697"/>
      <c r="AB64" s="697"/>
      <c r="AC64" s="697"/>
    </row>
    <row r="65" spans="1:29" x14ac:dyDescent="0.2">
      <c r="A65" s="694" t="str">
        <f>+Info!$B$2</f>
        <v>724</v>
      </c>
      <c r="B65" s="694" t="s">
        <v>4518</v>
      </c>
      <c r="C65" s="694" t="s">
        <v>4519</v>
      </c>
      <c r="D65" s="695" t="s">
        <v>1338</v>
      </c>
      <c r="E65" s="696"/>
      <c r="F65" s="697"/>
      <c r="G65" s="697"/>
      <c r="H65" s="698"/>
      <c r="I65" s="697"/>
      <c r="J65" s="697"/>
      <c r="K65" s="697"/>
      <c r="L65" s="697"/>
      <c r="M65" s="697"/>
      <c r="N65" s="698"/>
      <c r="O65" s="697"/>
      <c r="P65" s="697"/>
      <c r="Q65" s="697"/>
      <c r="R65" s="697"/>
      <c r="S65" s="697"/>
      <c r="T65" s="697"/>
      <c r="U65" s="697"/>
      <c r="V65" s="697"/>
      <c r="W65" s="698"/>
      <c r="X65" s="698"/>
      <c r="Y65" s="697"/>
      <c r="Z65" s="697"/>
      <c r="AA65" s="697"/>
      <c r="AB65" s="697"/>
      <c r="AC65" s="697"/>
    </row>
    <row r="66" spans="1:29" x14ac:dyDescent="0.2">
      <c r="A66" s="694" t="str">
        <f>+Info!$B$2</f>
        <v>724</v>
      </c>
      <c r="B66" s="694" t="s">
        <v>4520</v>
      </c>
      <c r="C66" s="694" t="s">
        <v>4521</v>
      </c>
      <c r="D66" s="695" t="s">
        <v>4522</v>
      </c>
      <c r="E66" s="696"/>
      <c r="F66" s="697"/>
      <c r="G66" s="697"/>
      <c r="H66" s="698"/>
      <c r="I66" s="697"/>
      <c r="J66" s="697"/>
      <c r="K66" s="697"/>
      <c r="L66" s="697"/>
      <c r="M66" s="697"/>
      <c r="N66" s="698"/>
      <c r="O66" s="697"/>
      <c r="P66" s="697"/>
      <c r="Q66" s="697"/>
      <c r="R66" s="697"/>
      <c r="S66" s="697"/>
      <c r="T66" s="697"/>
      <c r="U66" s="697"/>
      <c r="V66" s="697"/>
      <c r="W66" s="698"/>
      <c r="X66" s="698"/>
      <c r="Y66" s="697"/>
      <c r="Z66" s="697"/>
      <c r="AA66" s="697"/>
      <c r="AB66" s="697"/>
      <c r="AC66" s="697"/>
    </row>
    <row r="67" spans="1:29" ht="15" x14ac:dyDescent="0.25">
      <c r="A67" s="691" t="str">
        <f>+Info!$B$2</f>
        <v>724</v>
      </c>
      <c r="B67" s="691" t="s">
        <v>4523</v>
      </c>
      <c r="C67" s="691" t="s">
        <v>4524</v>
      </c>
      <c r="D67" s="692" t="s">
        <v>4525</v>
      </c>
      <c r="E67" s="693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</row>
    <row r="68" spans="1:29" ht="15" x14ac:dyDescent="0.25">
      <c r="A68" s="691" t="str">
        <f>+Info!$B$2</f>
        <v>724</v>
      </c>
      <c r="B68" s="691" t="s">
        <v>4526</v>
      </c>
      <c r="C68" s="691" t="s">
        <v>4527</v>
      </c>
      <c r="D68" s="692" t="s">
        <v>4528</v>
      </c>
      <c r="E68" s="693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</row>
    <row r="69" spans="1:29" ht="15" x14ac:dyDescent="0.25">
      <c r="A69" s="691" t="str">
        <f>+Info!$B$2</f>
        <v>724</v>
      </c>
      <c r="B69" s="691" t="s">
        <v>4529</v>
      </c>
      <c r="C69" s="691" t="s">
        <v>4530</v>
      </c>
      <c r="D69" s="692" t="s">
        <v>4531</v>
      </c>
      <c r="E69" s="693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</row>
    <row r="70" spans="1:29" x14ac:dyDescent="0.2">
      <c r="A70" s="694" t="str">
        <f>+Info!$B$2</f>
        <v>724</v>
      </c>
      <c r="B70" s="694" t="s">
        <v>4532</v>
      </c>
      <c r="C70" s="694" t="s">
        <v>4533</v>
      </c>
      <c r="D70" s="695" t="s">
        <v>4534</v>
      </c>
      <c r="E70" s="696"/>
      <c r="F70" s="697"/>
      <c r="G70" s="697"/>
      <c r="H70" s="698"/>
      <c r="I70" s="697"/>
      <c r="J70" s="697"/>
      <c r="K70" s="697"/>
      <c r="L70" s="697"/>
      <c r="M70" s="697"/>
      <c r="N70" s="698"/>
      <c r="O70" s="697"/>
      <c r="P70" s="697"/>
      <c r="Q70" s="697"/>
      <c r="R70" s="697"/>
      <c r="S70" s="697"/>
      <c r="T70" s="698"/>
      <c r="U70" s="697"/>
      <c r="V70" s="697"/>
      <c r="W70" s="698"/>
      <c r="X70" s="698"/>
      <c r="Y70" s="697"/>
      <c r="Z70" s="697"/>
      <c r="AA70" s="697"/>
      <c r="AB70" s="697"/>
      <c r="AC70" s="697"/>
    </row>
    <row r="71" spans="1:29" x14ac:dyDescent="0.2">
      <c r="A71" s="694" t="str">
        <f>+Info!$B$2</f>
        <v>724</v>
      </c>
      <c r="B71" s="694" t="s">
        <v>4535</v>
      </c>
      <c r="C71" s="694" t="s">
        <v>4536</v>
      </c>
      <c r="D71" s="695" t="s">
        <v>4537</v>
      </c>
      <c r="E71" s="696"/>
      <c r="F71" s="697"/>
      <c r="G71" s="697"/>
      <c r="H71" s="698"/>
      <c r="I71" s="697"/>
      <c r="J71" s="697"/>
      <c r="K71" s="697"/>
      <c r="L71" s="697"/>
      <c r="M71" s="697"/>
      <c r="N71" s="698"/>
      <c r="O71" s="697"/>
      <c r="P71" s="697"/>
      <c r="Q71" s="697"/>
      <c r="R71" s="697"/>
      <c r="S71" s="697"/>
      <c r="T71" s="698"/>
      <c r="U71" s="697"/>
      <c r="V71" s="697"/>
      <c r="W71" s="698"/>
      <c r="X71" s="698"/>
      <c r="Y71" s="697"/>
      <c r="Z71" s="697"/>
      <c r="AA71" s="697"/>
      <c r="AB71" s="697"/>
      <c r="AC71" s="697"/>
    </row>
    <row r="72" spans="1:29" x14ac:dyDescent="0.2">
      <c r="A72" s="694" t="str">
        <f>+Info!$B$2</f>
        <v>724</v>
      </c>
      <c r="B72" s="694" t="s">
        <v>4538</v>
      </c>
      <c r="C72" s="694" t="s">
        <v>4539</v>
      </c>
      <c r="D72" s="695" t="s">
        <v>4540</v>
      </c>
      <c r="E72" s="696"/>
      <c r="F72" s="697"/>
      <c r="G72" s="697"/>
      <c r="H72" s="698"/>
      <c r="I72" s="697"/>
      <c r="J72" s="697"/>
      <c r="K72" s="697"/>
      <c r="L72" s="697"/>
      <c r="M72" s="697"/>
      <c r="N72" s="698"/>
      <c r="O72" s="697"/>
      <c r="P72" s="697"/>
      <c r="Q72" s="697"/>
      <c r="R72" s="697"/>
      <c r="S72" s="697"/>
      <c r="T72" s="698"/>
      <c r="U72" s="697"/>
      <c r="V72" s="697"/>
      <c r="W72" s="698"/>
      <c r="X72" s="698"/>
      <c r="Y72" s="697"/>
      <c r="Z72" s="697"/>
      <c r="AA72" s="697"/>
      <c r="AB72" s="697"/>
      <c r="AC72" s="697"/>
    </row>
    <row r="73" spans="1:29" x14ac:dyDescent="0.2">
      <c r="A73" s="694" t="str">
        <f>+Info!$B$2</f>
        <v>724</v>
      </c>
      <c r="B73" s="694" t="s">
        <v>4541</v>
      </c>
      <c r="C73" s="694" t="s">
        <v>4542</v>
      </c>
      <c r="D73" s="695" t="s">
        <v>4543</v>
      </c>
      <c r="E73" s="696"/>
      <c r="F73" s="697"/>
      <c r="G73" s="697"/>
      <c r="H73" s="698"/>
      <c r="I73" s="697"/>
      <c r="J73" s="697"/>
      <c r="K73" s="697"/>
      <c r="L73" s="697"/>
      <c r="M73" s="697"/>
      <c r="N73" s="698"/>
      <c r="O73" s="697"/>
      <c r="P73" s="697"/>
      <c r="Q73" s="697"/>
      <c r="R73" s="697"/>
      <c r="S73" s="697"/>
      <c r="T73" s="698"/>
      <c r="U73" s="697"/>
      <c r="V73" s="697"/>
      <c r="W73" s="698"/>
      <c r="X73" s="698"/>
      <c r="Y73" s="697"/>
      <c r="Z73" s="697"/>
      <c r="AA73" s="697"/>
      <c r="AB73" s="697"/>
      <c r="AC73" s="697"/>
    </row>
    <row r="74" spans="1:29" x14ac:dyDescent="0.2">
      <c r="A74" s="694" t="str">
        <f>+Info!$B$2</f>
        <v>724</v>
      </c>
      <c r="B74" s="694" t="s">
        <v>4544</v>
      </c>
      <c r="C74" s="694" t="s">
        <v>4545</v>
      </c>
      <c r="D74" s="695" t="s">
        <v>4546</v>
      </c>
      <c r="E74" s="696"/>
      <c r="F74" s="697"/>
      <c r="G74" s="697"/>
      <c r="H74" s="698"/>
      <c r="I74" s="697"/>
      <c r="J74" s="697"/>
      <c r="K74" s="697"/>
      <c r="L74" s="697"/>
      <c r="M74" s="697"/>
      <c r="N74" s="698"/>
      <c r="O74" s="697"/>
      <c r="P74" s="697"/>
      <c r="Q74" s="697"/>
      <c r="R74" s="697"/>
      <c r="S74" s="697"/>
      <c r="T74" s="698"/>
      <c r="U74" s="697"/>
      <c r="V74" s="697"/>
      <c r="W74" s="698"/>
      <c r="X74" s="698"/>
      <c r="Y74" s="697"/>
      <c r="Z74" s="697"/>
      <c r="AA74" s="697"/>
      <c r="AB74" s="697"/>
      <c r="AC74" s="697"/>
    </row>
    <row r="75" spans="1:29" x14ac:dyDescent="0.2">
      <c r="A75" s="694" t="str">
        <f>+Info!$B$2</f>
        <v>724</v>
      </c>
      <c r="B75" s="694" t="s">
        <v>4547</v>
      </c>
      <c r="C75" s="694" t="s">
        <v>4548</v>
      </c>
      <c r="D75" s="695" t="s">
        <v>4549</v>
      </c>
      <c r="E75" s="696"/>
      <c r="F75" s="697"/>
      <c r="G75" s="697"/>
      <c r="H75" s="698"/>
      <c r="I75" s="697"/>
      <c r="J75" s="697"/>
      <c r="K75" s="697"/>
      <c r="L75" s="697"/>
      <c r="M75" s="697"/>
      <c r="N75" s="698"/>
      <c r="O75" s="697"/>
      <c r="P75" s="697"/>
      <c r="Q75" s="697"/>
      <c r="R75" s="697"/>
      <c r="S75" s="697"/>
      <c r="T75" s="698"/>
      <c r="U75" s="697"/>
      <c r="V75" s="697"/>
      <c r="W75" s="698"/>
      <c r="X75" s="698"/>
      <c r="Y75" s="697"/>
      <c r="Z75" s="697"/>
      <c r="AA75" s="697"/>
      <c r="AB75" s="697"/>
      <c r="AC75" s="697"/>
    </row>
    <row r="76" spans="1:29" x14ac:dyDescent="0.2">
      <c r="A76" s="694" t="str">
        <f>+Info!$B$2</f>
        <v>724</v>
      </c>
      <c r="B76" s="694" t="s">
        <v>4550</v>
      </c>
      <c r="C76" s="694" t="s">
        <v>4551</v>
      </c>
      <c r="D76" s="695" t="s">
        <v>4552</v>
      </c>
      <c r="E76" s="696"/>
      <c r="F76" s="697"/>
      <c r="G76" s="697"/>
      <c r="H76" s="698"/>
      <c r="I76" s="697"/>
      <c r="J76" s="697"/>
      <c r="K76" s="697"/>
      <c r="L76" s="697"/>
      <c r="M76" s="697"/>
      <c r="N76" s="698"/>
      <c r="O76" s="697"/>
      <c r="P76" s="697"/>
      <c r="Q76" s="697"/>
      <c r="R76" s="697"/>
      <c r="S76" s="697"/>
      <c r="T76" s="698"/>
      <c r="U76" s="697"/>
      <c r="V76" s="697"/>
      <c r="W76" s="698"/>
      <c r="X76" s="698"/>
      <c r="Y76" s="697"/>
      <c r="Z76" s="697"/>
      <c r="AA76" s="697"/>
      <c r="AB76" s="697"/>
      <c r="AC76" s="697"/>
    </row>
    <row r="77" spans="1:29" x14ac:dyDescent="0.2">
      <c r="A77" s="694" t="str">
        <f>+Info!$B$2</f>
        <v>724</v>
      </c>
      <c r="B77" s="694" t="s">
        <v>4553</v>
      </c>
      <c r="C77" s="694" t="s">
        <v>4554</v>
      </c>
      <c r="D77" s="695" t="s">
        <v>4555</v>
      </c>
      <c r="E77" s="696"/>
      <c r="F77" s="697"/>
      <c r="G77" s="697"/>
      <c r="H77" s="698"/>
      <c r="I77" s="697"/>
      <c r="J77" s="697"/>
      <c r="K77" s="697"/>
      <c r="L77" s="697"/>
      <c r="M77" s="697"/>
      <c r="N77" s="698"/>
      <c r="O77" s="697"/>
      <c r="P77" s="697"/>
      <c r="Q77" s="697"/>
      <c r="R77" s="697"/>
      <c r="S77" s="697"/>
      <c r="T77" s="698"/>
      <c r="U77" s="697"/>
      <c r="V77" s="697"/>
      <c r="W77" s="698"/>
      <c r="X77" s="698"/>
      <c r="Y77" s="697"/>
      <c r="Z77" s="697"/>
      <c r="AA77" s="697"/>
      <c r="AB77" s="697"/>
      <c r="AC77" s="697"/>
    </row>
    <row r="78" spans="1:29" ht="15" x14ac:dyDescent="0.25">
      <c r="A78" s="691" t="str">
        <f>+Info!$B$2</f>
        <v>724</v>
      </c>
      <c r="B78" s="691" t="s">
        <v>4556</v>
      </c>
      <c r="C78" s="691" t="s">
        <v>4557</v>
      </c>
      <c r="D78" s="692" t="s">
        <v>4558</v>
      </c>
      <c r="E78" s="693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</row>
    <row r="79" spans="1:29" ht="25.5" x14ac:dyDescent="0.2">
      <c r="A79" s="694" t="str">
        <f>+Info!$B$2</f>
        <v>724</v>
      </c>
      <c r="B79" s="694" t="s">
        <v>4559</v>
      </c>
      <c r="C79" s="694" t="s">
        <v>4560</v>
      </c>
      <c r="D79" s="695" t="s">
        <v>4561</v>
      </c>
      <c r="E79" s="696"/>
      <c r="F79" s="697"/>
      <c r="G79" s="697"/>
      <c r="H79" s="698"/>
      <c r="I79" s="697"/>
      <c r="J79" s="697"/>
      <c r="K79" s="697"/>
      <c r="L79" s="697"/>
      <c r="M79" s="697"/>
      <c r="N79" s="698"/>
      <c r="O79" s="697"/>
      <c r="P79" s="697"/>
      <c r="Q79" s="697"/>
      <c r="R79" s="697"/>
      <c r="S79" s="697"/>
      <c r="T79" s="697"/>
      <c r="U79" s="697"/>
      <c r="V79" s="697"/>
      <c r="W79" s="698"/>
      <c r="X79" s="698"/>
      <c r="Y79" s="697"/>
      <c r="Z79" s="697"/>
      <c r="AA79" s="697"/>
      <c r="AB79" s="697"/>
      <c r="AC79" s="697"/>
    </row>
    <row r="80" spans="1:29" ht="25.5" x14ac:dyDescent="0.2">
      <c r="A80" s="694" t="str">
        <f>+Info!$B$2</f>
        <v>724</v>
      </c>
      <c r="B80" s="694" t="s">
        <v>4562</v>
      </c>
      <c r="C80" s="694" t="s">
        <v>4563</v>
      </c>
      <c r="D80" s="695" t="s">
        <v>4564</v>
      </c>
      <c r="E80" s="696"/>
      <c r="F80" s="697"/>
      <c r="G80" s="697"/>
      <c r="H80" s="698"/>
      <c r="I80" s="697"/>
      <c r="J80" s="697"/>
      <c r="K80" s="697"/>
      <c r="L80" s="697"/>
      <c r="M80" s="697"/>
      <c r="N80" s="698"/>
      <c r="O80" s="697"/>
      <c r="P80" s="697"/>
      <c r="Q80" s="697"/>
      <c r="R80" s="697"/>
      <c r="S80" s="697"/>
      <c r="T80" s="697"/>
      <c r="U80" s="697"/>
      <c r="V80" s="697"/>
      <c r="W80" s="698"/>
      <c r="X80" s="698"/>
      <c r="Y80" s="697"/>
      <c r="Z80" s="697"/>
      <c r="AA80" s="697"/>
      <c r="AB80" s="697"/>
      <c r="AC80" s="697"/>
    </row>
    <row r="81" spans="1:29" ht="25.5" x14ac:dyDescent="0.2">
      <c r="A81" s="694" t="str">
        <f>+Info!$B$2</f>
        <v>724</v>
      </c>
      <c r="B81" s="694" t="s">
        <v>4565</v>
      </c>
      <c r="C81" s="694" t="s">
        <v>4566</v>
      </c>
      <c r="D81" s="695" t="s">
        <v>4567</v>
      </c>
      <c r="E81" s="696"/>
      <c r="F81" s="697"/>
      <c r="G81" s="697"/>
      <c r="H81" s="698"/>
      <c r="I81" s="697"/>
      <c r="J81" s="697"/>
      <c r="K81" s="697"/>
      <c r="L81" s="697"/>
      <c r="M81" s="697"/>
      <c r="N81" s="698"/>
      <c r="O81" s="697"/>
      <c r="P81" s="697"/>
      <c r="Q81" s="697"/>
      <c r="R81" s="697"/>
      <c r="S81" s="697"/>
      <c r="T81" s="697"/>
      <c r="U81" s="697"/>
      <c r="V81" s="697"/>
      <c r="W81" s="698"/>
      <c r="X81" s="698"/>
      <c r="Y81" s="697"/>
      <c r="Z81" s="697"/>
      <c r="AA81" s="697"/>
      <c r="AB81" s="697"/>
      <c r="AC81" s="697"/>
    </row>
    <row r="82" spans="1:29" ht="25.5" x14ac:dyDescent="0.2">
      <c r="A82" s="694" t="str">
        <f>+Info!$B$2</f>
        <v>724</v>
      </c>
      <c r="B82" s="694" t="s">
        <v>4568</v>
      </c>
      <c r="C82" s="694" t="s">
        <v>4569</v>
      </c>
      <c r="D82" s="695" t="s">
        <v>4570</v>
      </c>
      <c r="E82" s="696"/>
      <c r="F82" s="697"/>
      <c r="G82" s="697"/>
      <c r="H82" s="698"/>
      <c r="I82" s="697"/>
      <c r="J82" s="697"/>
      <c r="K82" s="697"/>
      <c r="L82" s="697"/>
      <c r="M82" s="697"/>
      <c r="N82" s="698"/>
      <c r="O82" s="697"/>
      <c r="P82" s="697"/>
      <c r="Q82" s="697"/>
      <c r="R82" s="697"/>
      <c r="S82" s="697"/>
      <c r="T82" s="697"/>
      <c r="U82" s="697"/>
      <c r="V82" s="697"/>
      <c r="W82" s="698"/>
      <c r="X82" s="698"/>
      <c r="Y82" s="697"/>
      <c r="Z82" s="697"/>
      <c r="AA82" s="697"/>
      <c r="AB82" s="697"/>
      <c r="AC82" s="697"/>
    </row>
    <row r="83" spans="1:29" ht="25.5" x14ac:dyDescent="0.2">
      <c r="A83" s="694" t="str">
        <f>+Info!$B$2</f>
        <v>724</v>
      </c>
      <c r="B83" s="694" t="s">
        <v>4571</v>
      </c>
      <c r="C83" s="694" t="s">
        <v>4572</v>
      </c>
      <c r="D83" s="695" t="s">
        <v>4573</v>
      </c>
      <c r="E83" s="696"/>
      <c r="F83" s="697"/>
      <c r="G83" s="697"/>
      <c r="H83" s="698"/>
      <c r="I83" s="697"/>
      <c r="J83" s="697"/>
      <c r="K83" s="697"/>
      <c r="L83" s="697"/>
      <c r="M83" s="697"/>
      <c r="N83" s="698"/>
      <c r="O83" s="697"/>
      <c r="P83" s="697"/>
      <c r="Q83" s="697"/>
      <c r="R83" s="697"/>
      <c r="S83" s="697"/>
      <c r="T83" s="697"/>
      <c r="U83" s="697"/>
      <c r="V83" s="697"/>
      <c r="W83" s="698"/>
      <c r="X83" s="698"/>
      <c r="Y83" s="697"/>
      <c r="Z83" s="697"/>
      <c r="AA83" s="697"/>
      <c r="AB83" s="697"/>
      <c r="AC83" s="697"/>
    </row>
    <row r="84" spans="1:29" ht="25.5" x14ac:dyDescent="0.2">
      <c r="A84" s="694" t="str">
        <f>+Info!$B$2</f>
        <v>724</v>
      </c>
      <c r="B84" s="694" t="s">
        <v>4574</v>
      </c>
      <c r="C84" s="694" t="s">
        <v>4575</v>
      </c>
      <c r="D84" s="695" t="s">
        <v>4576</v>
      </c>
      <c r="E84" s="696"/>
      <c r="F84" s="697"/>
      <c r="G84" s="697"/>
      <c r="H84" s="698"/>
      <c r="I84" s="697"/>
      <c r="J84" s="697"/>
      <c r="K84" s="697"/>
      <c r="L84" s="697"/>
      <c r="M84" s="697"/>
      <c r="N84" s="698"/>
      <c r="O84" s="697"/>
      <c r="P84" s="697"/>
      <c r="Q84" s="697"/>
      <c r="R84" s="697"/>
      <c r="S84" s="697"/>
      <c r="T84" s="697"/>
      <c r="U84" s="697"/>
      <c r="V84" s="697"/>
      <c r="W84" s="698"/>
      <c r="X84" s="698"/>
      <c r="Y84" s="697"/>
      <c r="Z84" s="697"/>
      <c r="AA84" s="697"/>
      <c r="AB84" s="697"/>
      <c r="AC84" s="697"/>
    </row>
    <row r="85" spans="1:29" ht="25.5" x14ac:dyDescent="0.2">
      <c r="A85" s="694" t="str">
        <f>+Info!$B$2</f>
        <v>724</v>
      </c>
      <c r="B85" s="694" t="s">
        <v>4577</v>
      </c>
      <c r="C85" s="694" t="s">
        <v>4578</v>
      </c>
      <c r="D85" s="695" t="s">
        <v>4579</v>
      </c>
      <c r="E85" s="696"/>
      <c r="F85" s="697"/>
      <c r="G85" s="697"/>
      <c r="H85" s="698"/>
      <c r="I85" s="697"/>
      <c r="J85" s="697"/>
      <c r="K85" s="697"/>
      <c r="L85" s="697"/>
      <c r="M85" s="697"/>
      <c r="N85" s="698"/>
      <c r="O85" s="697"/>
      <c r="P85" s="697"/>
      <c r="Q85" s="697"/>
      <c r="R85" s="697"/>
      <c r="S85" s="697"/>
      <c r="T85" s="697"/>
      <c r="U85" s="697"/>
      <c r="V85" s="697"/>
      <c r="W85" s="698"/>
      <c r="X85" s="698"/>
      <c r="Y85" s="697"/>
      <c r="Z85" s="697"/>
      <c r="AA85" s="697"/>
      <c r="AB85" s="697"/>
      <c r="AC85" s="697"/>
    </row>
    <row r="86" spans="1:29" ht="25.5" x14ac:dyDescent="0.2">
      <c r="A86" s="694" t="str">
        <f>+Info!$B$2</f>
        <v>724</v>
      </c>
      <c r="B86" s="694" t="s">
        <v>4580</v>
      </c>
      <c r="C86" s="694" t="s">
        <v>4581</v>
      </c>
      <c r="D86" s="695" t="s">
        <v>4582</v>
      </c>
      <c r="E86" s="696"/>
      <c r="F86" s="697"/>
      <c r="G86" s="697"/>
      <c r="H86" s="698"/>
      <c r="I86" s="697"/>
      <c r="J86" s="697"/>
      <c r="K86" s="697"/>
      <c r="L86" s="697"/>
      <c r="M86" s="697"/>
      <c r="N86" s="698"/>
      <c r="O86" s="697"/>
      <c r="P86" s="697"/>
      <c r="Q86" s="697"/>
      <c r="R86" s="697"/>
      <c r="S86" s="697"/>
      <c r="T86" s="697"/>
      <c r="U86" s="697"/>
      <c r="V86" s="697"/>
      <c r="W86" s="698"/>
      <c r="X86" s="698"/>
      <c r="Y86" s="697"/>
      <c r="Z86" s="697"/>
      <c r="AA86" s="697"/>
      <c r="AB86" s="697"/>
      <c r="AC86" s="697"/>
    </row>
    <row r="87" spans="1:29" ht="25.5" x14ac:dyDescent="0.2">
      <c r="A87" s="694" t="str">
        <f>+Info!$B$2</f>
        <v>724</v>
      </c>
      <c r="B87" s="694" t="s">
        <v>4583</v>
      </c>
      <c r="C87" s="694" t="s">
        <v>4584</v>
      </c>
      <c r="D87" s="695" t="s">
        <v>4585</v>
      </c>
      <c r="E87" s="696"/>
      <c r="F87" s="697"/>
      <c r="G87" s="697"/>
      <c r="H87" s="698"/>
      <c r="I87" s="697"/>
      <c r="J87" s="697"/>
      <c r="K87" s="697"/>
      <c r="L87" s="697"/>
      <c r="M87" s="697"/>
      <c r="N87" s="698"/>
      <c r="O87" s="697"/>
      <c r="P87" s="697"/>
      <c r="Q87" s="697"/>
      <c r="R87" s="697"/>
      <c r="S87" s="697"/>
      <c r="T87" s="697"/>
      <c r="U87" s="697"/>
      <c r="V87" s="697"/>
      <c r="W87" s="698"/>
      <c r="X87" s="698"/>
      <c r="Y87" s="697"/>
      <c r="Z87" s="697"/>
      <c r="AA87" s="697"/>
      <c r="AB87" s="697"/>
      <c r="AC87" s="697"/>
    </row>
    <row r="88" spans="1:29" x14ac:dyDescent="0.2">
      <c r="A88" s="694" t="str">
        <f>+Info!$B$2</f>
        <v>724</v>
      </c>
      <c r="B88" s="694" t="s">
        <v>4586</v>
      </c>
      <c r="C88" s="694" t="s">
        <v>4587</v>
      </c>
      <c r="D88" s="695" t="s">
        <v>4588</v>
      </c>
      <c r="E88" s="696"/>
      <c r="F88" s="697"/>
      <c r="G88" s="697"/>
      <c r="H88" s="698"/>
      <c r="I88" s="697"/>
      <c r="J88" s="697"/>
      <c r="K88" s="697"/>
      <c r="L88" s="697"/>
      <c r="M88" s="697"/>
      <c r="N88" s="698"/>
      <c r="O88" s="697"/>
      <c r="P88" s="697"/>
      <c r="Q88" s="697"/>
      <c r="R88" s="697"/>
      <c r="S88" s="697"/>
      <c r="T88" s="697"/>
      <c r="U88" s="697"/>
      <c r="V88" s="697"/>
      <c r="W88" s="698"/>
      <c r="X88" s="698"/>
      <c r="Y88" s="697"/>
      <c r="Z88" s="697"/>
      <c r="AA88" s="697"/>
      <c r="AB88" s="697"/>
      <c r="AC88" s="697"/>
    </row>
    <row r="89" spans="1:29" ht="25.5" x14ac:dyDescent="0.2">
      <c r="A89" s="694" t="str">
        <f>+Info!$B$2</f>
        <v>724</v>
      </c>
      <c r="B89" s="694" t="s">
        <v>4589</v>
      </c>
      <c r="C89" s="694" t="s">
        <v>4590</v>
      </c>
      <c r="D89" s="695" t="s">
        <v>4591</v>
      </c>
      <c r="E89" s="696"/>
      <c r="F89" s="697"/>
      <c r="G89" s="697"/>
      <c r="H89" s="698"/>
      <c r="I89" s="697"/>
      <c r="J89" s="697"/>
      <c r="K89" s="697"/>
      <c r="L89" s="697"/>
      <c r="M89" s="697"/>
      <c r="N89" s="698"/>
      <c r="O89" s="697"/>
      <c r="P89" s="697"/>
      <c r="Q89" s="697"/>
      <c r="R89" s="697"/>
      <c r="S89" s="697"/>
      <c r="T89" s="697"/>
      <c r="U89" s="697"/>
      <c r="V89" s="697"/>
      <c r="W89" s="698"/>
      <c r="X89" s="698"/>
      <c r="Y89" s="697"/>
      <c r="Z89" s="697"/>
      <c r="AA89" s="697"/>
      <c r="AB89" s="697"/>
      <c r="AC89" s="697"/>
    </row>
    <row r="90" spans="1:29" x14ac:dyDescent="0.2">
      <c r="A90" s="694" t="str">
        <f>+Info!$B$2</f>
        <v>724</v>
      </c>
      <c r="B90" s="694" t="s">
        <v>4592</v>
      </c>
      <c r="C90" s="694" t="s">
        <v>4593</v>
      </c>
      <c r="D90" s="695" t="s">
        <v>4594</v>
      </c>
      <c r="E90" s="696"/>
      <c r="F90" s="697"/>
      <c r="G90" s="697"/>
      <c r="H90" s="698"/>
      <c r="I90" s="697"/>
      <c r="J90" s="697"/>
      <c r="K90" s="697"/>
      <c r="L90" s="697"/>
      <c r="M90" s="697"/>
      <c r="N90" s="698"/>
      <c r="O90" s="697"/>
      <c r="P90" s="697"/>
      <c r="Q90" s="697"/>
      <c r="R90" s="697"/>
      <c r="S90" s="697"/>
      <c r="T90" s="697"/>
      <c r="U90" s="697"/>
      <c r="V90" s="697"/>
      <c r="W90" s="698"/>
      <c r="X90" s="698"/>
      <c r="Y90" s="697"/>
      <c r="Z90" s="697"/>
      <c r="AA90" s="697"/>
      <c r="AB90" s="697"/>
      <c r="AC90" s="697"/>
    </row>
    <row r="91" spans="1:29" ht="15" x14ac:dyDescent="0.25">
      <c r="A91" s="691" t="str">
        <f>+Info!$B$2</f>
        <v>724</v>
      </c>
      <c r="B91" s="691" t="s">
        <v>4595</v>
      </c>
      <c r="C91" s="691" t="s">
        <v>4596</v>
      </c>
      <c r="D91" s="692" t="s">
        <v>4597</v>
      </c>
      <c r="E91" s="693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</row>
    <row r="92" spans="1:29" ht="25.5" x14ac:dyDescent="0.2">
      <c r="A92" s="694" t="str">
        <f>+Info!$B$2</f>
        <v>724</v>
      </c>
      <c r="B92" s="694" t="s">
        <v>4598</v>
      </c>
      <c r="C92" s="694" t="s">
        <v>4599</v>
      </c>
      <c r="D92" s="695" t="s">
        <v>4600</v>
      </c>
      <c r="E92" s="696"/>
      <c r="F92" s="697"/>
      <c r="G92" s="697"/>
      <c r="H92" s="698"/>
      <c r="I92" s="697"/>
      <c r="J92" s="697"/>
      <c r="K92" s="697"/>
      <c r="L92" s="697"/>
      <c r="M92" s="697"/>
      <c r="N92" s="698"/>
      <c r="O92" s="697"/>
      <c r="P92" s="697"/>
      <c r="Q92" s="697"/>
      <c r="R92" s="697"/>
      <c r="S92" s="697"/>
      <c r="T92" s="697"/>
      <c r="U92" s="697"/>
      <c r="V92" s="697"/>
      <c r="W92" s="698"/>
      <c r="X92" s="698"/>
      <c r="Y92" s="697"/>
      <c r="Z92" s="697"/>
      <c r="AA92" s="697"/>
      <c r="AB92" s="697"/>
      <c r="AC92" s="697"/>
    </row>
    <row r="93" spans="1:29" x14ac:dyDescent="0.2">
      <c r="A93" s="694" t="str">
        <f>+Info!$B$2</f>
        <v>724</v>
      </c>
      <c r="B93" s="694" t="s">
        <v>4601</v>
      </c>
      <c r="C93" s="694" t="s">
        <v>4602</v>
      </c>
      <c r="D93" s="695" t="s">
        <v>4603</v>
      </c>
      <c r="E93" s="696"/>
      <c r="F93" s="697"/>
      <c r="G93" s="697"/>
      <c r="H93" s="698"/>
      <c r="I93" s="697"/>
      <c r="J93" s="697"/>
      <c r="K93" s="697"/>
      <c r="L93" s="697"/>
      <c r="M93" s="697"/>
      <c r="N93" s="698"/>
      <c r="O93" s="697"/>
      <c r="P93" s="697"/>
      <c r="Q93" s="697"/>
      <c r="R93" s="697"/>
      <c r="S93" s="697"/>
      <c r="T93" s="697"/>
      <c r="U93" s="697"/>
      <c r="V93" s="697"/>
      <c r="W93" s="698"/>
      <c r="X93" s="698"/>
      <c r="Y93" s="697"/>
      <c r="Z93" s="697"/>
      <c r="AA93" s="697"/>
      <c r="AB93" s="697"/>
      <c r="AC93" s="697"/>
    </row>
    <row r="94" spans="1:29" ht="25.5" x14ac:dyDescent="0.2">
      <c r="A94" s="694" t="str">
        <f>+Info!$B$2</f>
        <v>724</v>
      </c>
      <c r="B94" s="694" t="s">
        <v>4604</v>
      </c>
      <c r="C94" s="694" t="s">
        <v>4605</v>
      </c>
      <c r="D94" s="695" t="s">
        <v>4606</v>
      </c>
      <c r="E94" s="696"/>
      <c r="F94" s="697"/>
      <c r="G94" s="697"/>
      <c r="H94" s="698"/>
      <c r="I94" s="697"/>
      <c r="J94" s="697"/>
      <c r="K94" s="697"/>
      <c r="L94" s="697"/>
      <c r="M94" s="697"/>
      <c r="N94" s="698"/>
      <c r="O94" s="697"/>
      <c r="P94" s="697"/>
      <c r="Q94" s="697"/>
      <c r="R94" s="697"/>
      <c r="S94" s="697"/>
      <c r="T94" s="697"/>
      <c r="U94" s="697"/>
      <c r="V94" s="697"/>
      <c r="W94" s="698"/>
      <c r="X94" s="698"/>
      <c r="Y94" s="697"/>
      <c r="Z94" s="697"/>
      <c r="AA94" s="697"/>
      <c r="AB94" s="697"/>
      <c r="AC94" s="697"/>
    </row>
    <row r="95" spans="1:29" ht="25.5" x14ac:dyDescent="0.2">
      <c r="A95" s="694" t="str">
        <f>+Info!$B$2</f>
        <v>724</v>
      </c>
      <c r="B95" s="694" t="s">
        <v>4607</v>
      </c>
      <c r="C95" s="694" t="s">
        <v>4608</v>
      </c>
      <c r="D95" s="695" t="s">
        <v>4609</v>
      </c>
      <c r="E95" s="696"/>
      <c r="F95" s="697"/>
      <c r="G95" s="697"/>
      <c r="H95" s="698"/>
      <c r="I95" s="697"/>
      <c r="J95" s="697"/>
      <c r="K95" s="697"/>
      <c r="L95" s="697"/>
      <c r="M95" s="697"/>
      <c r="N95" s="698"/>
      <c r="O95" s="697"/>
      <c r="P95" s="697"/>
      <c r="Q95" s="697"/>
      <c r="R95" s="697"/>
      <c r="S95" s="697"/>
      <c r="T95" s="697"/>
      <c r="U95" s="697"/>
      <c r="V95" s="697"/>
      <c r="W95" s="698"/>
      <c r="X95" s="698"/>
      <c r="Y95" s="697"/>
      <c r="Z95" s="697"/>
      <c r="AA95" s="697"/>
      <c r="AB95" s="697"/>
      <c r="AC95" s="697"/>
    </row>
    <row r="96" spans="1:29" x14ac:dyDescent="0.2">
      <c r="A96" s="694" t="str">
        <f>+Info!$B$2</f>
        <v>724</v>
      </c>
      <c r="B96" s="694" t="s">
        <v>4610</v>
      </c>
      <c r="C96" s="694" t="s">
        <v>4611</v>
      </c>
      <c r="D96" s="695" t="s">
        <v>4612</v>
      </c>
      <c r="E96" s="696"/>
      <c r="F96" s="697"/>
      <c r="G96" s="697"/>
      <c r="H96" s="698"/>
      <c r="I96" s="697"/>
      <c r="J96" s="698"/>
      <c r="K96" s="697"/>
      <c r="L96" s="697"/>
      <c r="M96" s="697"/>
      <c r="N96" s="698"/>
      <c r="O96" s="697"/>
      <c r="P96" s="697"/>
      <c r="Q96" s="697"/>
      <c r="R96" s="697"/>
      <c r="S96" s="697"/>
      <c r="T96" s="697"/>
      <c r="U96" s="697"/>
      <c r="V96" s="697"/>
      <c r="W96" s="698"/>
      <c r="X96" s="698"/>
      <c r="Y96" s="697"/>
      <c r="Z96" s="697"/>
      <c r="AA96" s="697"/>
      <c r="AB96" s="697"/>
      <c r="AC96" s="697"/>
    </row>
    <row r="97" spans="1:29" x14ac:dyDescent="0.2">
      <c r="A97" s="694" t="str">
        <f>+Info!$B$2</f>
        <v>724</v>
      </c>
      <c r="B97" s="694" t="s">
        <v>4613</v>
      </c>
      <c r="C97" s="694" t="s">
        <v>4614</v>
      </c>
      <c r="D97" s="695" t="s">
        <v>4615</v>
      </c>
      <c r="E97" s="696"/>
      <c r="F97" s="697"/>
      <c r="G97" s="697"/>
      <c r="H97" s="698"/>
      <c r="I97" s="697"/>
      <c r="J97" s="698"/>
      <c r="K97" s="697"/>
      <c r="L97" s="697"/>
      <c r="M97" s="697"/>
      <c r="N97" s="698"/>
      <c r="O97" s="697"/>
      <c r="P97" s="697"/>
      <c r="Q97" s="697"/>
      <c r="R97" s="697"/>
      <c r="S97" s="697"/>
      <c r="T97" s="697"/>
      <c r="U97" s="697"/>
      <c r="V97" s="697"/>
      <c r="W97" s="698"/>
      <c r="X97" s="698"/>
      <c r="Y97" s="697"/>
      <c r="Z97" s="697"/>
      <c r="AA97" s="697"/>
      <c r="AB97" s="697"/>
      <c r="AC97" s="697"/>
    </row>
    <row r="98" spans="1:29" x14ac:dyDescent="0.2">
      <c r="A98" s="694" t="str">
        <f>+Info!$B$2</f>
        <v>724</v>
      </c>
      <c r="B98" s="694" t="s">
        <v>4616</v>
      </c>
      <c r="C98" s="694" t="s">
        <v>4617</v>
      </c>
      <c r="D98" s="695" t="s">
        <v>4618</v>
      </c>
      <c r="E98" s="696"/>
      <c r="F98" s="697"/>
      <c r="G98" s="697"/>
      <c r="H98" s="698"/>
      <c r="I98" s="697"/>
      <c r="J98" s="698"/>
      <c r="K98" s="697"/>
      <c r="L98" s="697"/>
      <c r="M98" s="697"/>
      <c r="N98" s="698"/>
      <c r="O98" s="697"/>
      <c r="P98" s="697"/>
      <c r="Q98" s="697"/>
      <c r="R98" s="697"/>
      <c r="S98" s="697"/>
      <c r="T98" s="697"/>
      <c r="U98" s="697"/>
      <c r="V98" s="697"/>
      <c r="W98" s="698"/>
      <c r="X98" s="698"/>
      <c r="Y98" s="697"/>
      <c r="Z98" s="697"/>
      <c r="AA98" s="697"/>
      <c r="AB98" s="697"/>
      <c r="AC98" s="697"/>
    </row>
    <row r="99" spans="1:29" x14ac:dyDescent="0.2">
      <c r="A99" s="694" t="str">
        <f>+Info!$B$2</f>
        <v>724</v>
      </c>
      <c r="B99" s="694" t="s">
        <v>4619</v>
      </c>
      <c r="C99" s="694" t="s">
        <v>4620</v>
      </c>
      <c r="D99" s="695" t="s">
        <v>4621</v>
      </c>
      <c r="E99" s="696"/>
      <c r="F99" s="697"/>
      <c r="G99" s="697"/>
      <c r="H99" s="698"/>
      <c r="I99" s="697"/>
      <c r="J99" s="698"/>
      <c r="K99" s="697"/>
      <c r="L99" s="697"/>
      <c r="M99" s="697"/>
      <c r="N99" s="698"/>
      <c r="O99" s="697"/>
      <c r="P99" s="697"/>
      <c r="Q99" s="697"/>
      <c r="R99" s="697"/>
      <c r="S99" s="697"/>
      <c r="T99" s="697"/>
      <c r="U99" s="697"/>
      <c r="V99" s="697"/>
      <c r="W99" s="698"/>
      <c r="X99" s="698"/>
      <c r="Y99" s="697"/>
      <c r="Z99" s="697"/>
      <c r="AA99" s="697"/>
      <c r="AB99" s="697"/>
      <c r="AC99" s="697"/>
    </row>
    <row r="100" spans="1:29" x14ac:dyDescent="0.2">
      <c r="A100" s="694" t="str">
        <f>+Info!$B$2</f>
        <v>724</v>
      </c>
      <c r="B100" s="694" t="s">
        <v>4622</v>
      </c>
      <c r="C100" s="694" t="s">
        <v>4623</v>
      </c>
      <c r="D100" s="695" t="s">
        <v>4624</v>
      </c>
      <c r="E100" s="696"/>
      <c r="F100" s="697"/>
      <c r="G100" s="697"/>
      <c r="H100" s="698"/>
      <c r="I100" s="697"/>
      <c r="J100" s="698"/>
      <c r="K100" s="697"/>
      <c r="L100" s="697"/>
      <c r="M100" s="697"/>
      <c r="N100" s="698"/>
      <c r="O100" s="697"/>
      <c r="P100" s="697"/>
      <c r="Q100" s="697"/>
      <c r="R100" s="697"/>
      <c r="S100" s="697"/>
      <c r="T100" s="697"/>
      <c r="U100" s="697"/>
      <c r="V100" s="697"/>
      <c r="W100" s="698"/>
      <c r="X100" s="698"/>
      <c r="Y100" s="697"/>
      <c r="Z100" s="697"/>
      <c r="AA100" s="697"/>
      <c r="AB100" s="697"/>
      <c r="AC100" s="697"/>
    </row>
    <row r="101" spans="1:29" x14ac:dyDescent="0.2">
      <c r="A101" s="694" t="str">
        <f>+Info!$B$2</f>
        <v>724</v>
      </c>
      <c r="B101" s="694" t="s">
        <v>4625</v>
      </c>
      <c r="C101" s="694" t="s">
        <v>4626</v>
      </c>
      <c r="D101" s="695" t="s">
        <v>4627</v>
      </c>
      <c r="E101" s="696"/>
      <c r="F101" s="697"/>
      <c r="G101" s="697"/>
      <c r="H101" s="698"/>
      <c r="I101" s="697"/>
      <c r="J101" s="698"/>
      <c r="K101" s="697"/>
      <c r="L101" s="697"/>
      <c r="M101" s="697"/>
      <c r="N101" s="698"/>
      <c r="O101" s="697"/>
      <c r="P101" s="697"/>
      <c r="Q101" s="697"/>
      <c r="R101" s="697"/>
      <c r="S101" s="697"/>
      <c r="T101" s="697"/>
      <c r="U101" s="697"/>
      <c r="V101" s="697"/>
      <c r="W101" s="698"/>
      <c r="X101" s="698"/>
      <c r="Y101" s="697"/>
      <c r="Z101" s="697"/>
      <c r="AA101" s="697"/>
      <c r="AB101" s="697"/>
      <c r="AC101" s="697"/>
    </row>
    <row r="102" spans="1:29" x14ac:dyDescent="0.2">
      <c r="A102" s="694" t="str">
        <f>+Info!$B$2</f>
        <v>724</v>
      </c>
      <c r="B102" s="694" t="s">
        <v>4628</v>
      </c>
      <c r="C102" s="694" t="s">
        <v>4629</v>
      </c>
      <c r="D102" s="695" t="s">
        <v>4630</v>
      </c>
      <c r="E102" s="696"/>
      <c r="F102" s="697"/>
      <c r="G102" s="697"/>
      <c r="H102" s="698"/>
      <c r="I102" s="697"/>
      <c r="J102" s="698"/>
      <c r="K102" s="697"/>
      <c r="L102" s="697"/>
      <c r="M102" s="697"/>
      <c r="N102" s="698"/>
      <c r="O102" s="697"/>
      <c r="P102" s="697"/>
      <c r="Q102" s="697"/>
      <c r="R102" s="697"/>
      <c r="S102" s="697"/>
      <c r="T102" s="697"/>
      <c r="U102" s="697"/>
      <c r="V102" s="697"/>
      <c r="W102" s="698"/>
      <c r="X102" s="698"/>
      <c r="Y102" s="697"/>
      <c r="Z102" s="697"/>
      <c r="AA102" s="697"/>
      <c r="AB102" s="697"/>
      <c r="AC102" s="697"/>
    </row>
    <row r="103" spans="1:29" ht="16.5" customHeight="1" x14ac:dyDescent="0.2">
      <c r="A103" s="694" t="str">
        <f>+Info!$B$2</f>
        <v>724</v>
      </c>
      <c r="B103" s="694" t="s">
        <v>4631</v>
      </c>
      <c r="C103" s="694" t="s">
        <v>4632</v>
      </c>
      <c r="D103" s="695" t="s">
        <v>4633</v>
      </c>
      <c r="E103" s="696"/>
      <c r="F103" s="697"/>
      <c r="G103" s="697"/>
      <c r="H103" s="698"/>
      <c r="I103" s="697"/>
      <c r="J103" s="698"/>
      <c r="K103" s="697"/>
      <c r="L103" s="697"/>
      <c r="M103" s="697"/>
      <c r="N103" s="698"/>
      <c r="O103" s="697"/>
      <c r="P103" s="697"/>
      <c r="Q103" s="697"/>
      <c r="R103" s="697"/>
      <c r="S103" s="697"/>
      <c r="T103" s="697"/>
      <c r="U103" s="697"/>
      <c r="V103" s="697"/>
      <c r="W103" s="698"/>
      <c r="X103" s="698"/>
      <c r="Y103" s="697"/>
      <c r="Z103" s="697"/>
      <c r="AA103" s="697"/>
      <c r="AB103" s="697"/>
      <c r="AC103" s="697"/>
    </row>
    <row r="104" spans="1:29" x14ac:dyDescent="0.2">
      <c r="A104" s="694" t="str">
        <f>+Info!$B$2</f>
        <v>724</v>
      </c>
      <c r="B104" s="694" t="s">
        <v>4634</v>
      </c>
      <c r="C104" s="694" t="s">
        <v>4635</v>
      </c>
      <c r="D104" s="695" t="s">
        <v>4636</v>
      </c>
      <c r="E104" s="696"/>
      <c r="F104" s="697"/>
      <c r="G104" s="697"/>
      <c r="H104" s="698"/>
      <c r="I104" s="697"/>
      <c r="J104" s="697"/>
      <c r="K104" s="697"/>
      <c r="L104" s="697"/>
      <c r="M104" s="697"/>
      <c r="N104" s="698"/>
      <c r="O104" s="697"/>
      <c r="P104" s="697"/>
      <c r="Q104" s="697"/>
      <c r="R104" s="697"/>
      <c r="S104" s="697"/>
      <c r="T104" s="697"/>
      <c r="U104" s="697"/>
      <c r="V104" s="697"/>
      <c r="W104" s="698"/>
      <c r="X104" s="698"/>
      <c r="Y104" s="697"/>
      <c r="Z104" s="697"/>
      <c r="AA104" s="697"/>
      <c r="AB104" s="697"/>
      <c r="AC104" s="697"/>
    </row>
    <row r="105" spans="1:29" x14ac:dyDescent="0.2">
      <c r="A105" s="694" t="str">
        <f>+Info!$B$2</f>
        <v>724</v>
      </c>
      <c r="B105" s="694" t="s">
        <v>4637</v>
      </c>
      <c r="C105" s="694" t="s">
        <v>4638</v>
      </c>
      <c r="D105" s="695" t="s">
        <v>4639</v>
      </c>
      <c r="E105" s="696"/>
      <c r="F105" s="697"/>
      <c r="G105" s="697"/>
      <c r="H105" s="698"/>
      <c r="I105" s="697"/>
      <c r="J105" s="697"/>
      <c r="K105" s="697"/>
      <c r="L105" s="697"/>
      <c r="M105" s="697"/>
      <c r="N105" s="698"/>
      <c r="O105" s="697"/>
      <c r="P105" s="697"/>
      <c r="Q105" s="697"/>
      <c r="R105" s="697"/>
      <c r="S105" s="697"/>
      <c r="T105" s="697"/>
      <c r="U105" s="698">
        <v>57868</v>
      </c>
      <c r="V105" s="698"/>
      <c r="W105" s="698"/>
      <c r="X105" s="698"/>
      <c r="Y105" s="698"/>
      <c r="Z105" s="698"/>
      <c r="AA105" s="698">
        <v>117150</v>
      </c>
      <c r="AB105" s="697"/>
      <c r="AC105" s="697"/>
    </row>
    <row r="106" spans="1:29" x14ac:dyDescent="0.2">
      <c r="A106" s="694" t="str">
        <f>+Info!$B$2</f>
        <v>724</v>
      </c>
      <c r="B106" s="694" t="s">
        <v>4640</v>
      </c>
      <c r="C106" s="694" t="s">
        <v>4641</v>
      </c>
      <c r="D106" s="695" t="s">
        <v>4642</v>
      </c>
      <c r="E106" s="696"/>
      <c r="F106" s="697"/>
      <c r="G106" s="697"/>
      <c r="H106" s="698"/>
      <c r="I106" s="697"/>
      <c r="J106" s="697"/>
      <c r="K106" s="697"/>
      <c r="L106" s="697"/>
      <c r="M106" s="697"/>
      <c r="N106" s="698"/>
      <c r="O106" s="697"/>
      <c r="P106" s="697"/>
      <c r="Q106" s="697"/>
      <c r="R106" s="697"/>
      <c r="S106" s="697"/>
      <c r="T106" s="697"/>
      <c r="U106" s="697"/>
      <c r="V106" s="697"/>
      <c r="W106" s="698"/>
      <c r="X106" s="698"/>
      <c r="Y106" s="697"/>
      <c r="Z106" s="697"/>
      <c r="AA106" s="697"/>
      <c r="AB106" s="697"/>
      <c r="AC106" s="697"/>
    </row>
    <row r="107" spans="1:29" x14ac:dyDescent="0.2">
      <c r="A107" s="694" t="str">
        <f>+Info!$B$2</f>
        <v>724</v>
      </c>
      <c r="B107" s="694" t="s">
        <v>4643</v>
      </c>
      <c r="C107" s="694" t="s">
        <v>4644</v>
      </c>
      <c r="D107" s="695" t="s">
        <v>4645</v>
      </c>
      <c r="E107" s="696"/>
      <c r="F107" s="697"/>
      <c r="G107" s="697"/>
      <c r="H107" s="698"/>
      <c r="I107" s="697"/>
      <c r="J107" s="697"/>
      <c r="K107" s="697"/>
      <c r="L107" s="697"/>
      <c r="M107" s="697"/>
      <c r="N107" s="698"/>
      <c r="O107" s="697"/>
      <c r="P107" s="697"/>
      <c r="Q107" s="697"/>
      <c r="R107" s="697"/>
      <c r="S107" s="697"/>
      <c r="T107" s="697"/>
      <c r="U107" s="697"/>
      <c r="V107" s="697"/>
      <c r="W107" s="698"/>
      <c r="X107" s="698"/>
      <c r="Y107" s="697"/>
      <c r="Z107" s="697"/>
      <c r="AA107" s="697"/>
      <c r="AB107" s="697"/>
      <c r="AC107" s="697"/>
    </row>
    <row r="108" spans="1:29" ht="15.75" customHeight="1" x14ac:dyDescent="0.2">
      <c r="A108" s="694" t="str">
        <f>+Info!$B$2</f>
        <v>724</v>
      </c>
      <c r="B108" s="694" t="s">
        <v>4646</v>
      </c>
      <c r="C108" s="694" t="s">
        <v>4647</v>
      </c>
      <c r="D108" s="695" t="s">
        <v>4648</v>
      </c>
      <c r="E108" s="696"/>
      <c r="F108" s="697"/>
      <c r="G108" s="697"/>
      <c r="H108" s="698"/>
      <c r="I108" s="697"/>
      <c r="J108" s="697"/>
      <c r="K108" s="697"/>
      <c r="L108" s="697"/>
      <c r="M108" s="697"/>
      <c r="N108" s="698"/>
      <c r="O108" s="697"/>
      <c r="P108" s="697"/>
      <c r="Q108" s="697"/>
      <c r="R108" s="697"/>
      <c r="S108" s="697"/>
      <c r="T108" s="697"/>
      <c r="U108" s="697"/>
      <c r="V108" s="697"/>
      <c r="W108" s="698"/>
      <c r="X108" s="698"/>
      <c r="Y108" s="697"/>
      <c r="Z108" s="697"/>
      <c r="AA108" s="697"/>
      <c r="AB108" s="697"/>
      <c r="AC108" s="697"/>
    </row>
    <row r="109" spans="1:29" x14ac:dyDescent="0.2">
      <c r="A109" s="694" t="str">
        <f>+Info!$B$2</f>
        <v>724</v>
      </c>
      <c r="B109" s="694" t="s">
        <v>4649</v>
      </c>
      <c r="C109" s="694" t="s">
        <v>4650</v>
      </c>
      <c r="D109" s="695" t="s">
        <v>4651</v>
      </c>
      <c r="E109" s="696"/>
      <c r="F109" s="697"/>
      <c r="G109" s="697"/>
      <c r="H109" s="698"/>
      <c r="I109" s="697"/>
      <c r="J109" s="697"/>
      <c r="K109" s="697"/>
      <c r="L109" s="697"/>
      <c r="M109" s="697"/>
      <c r="N109" s="698"/>
      <c r="O109" s="697"/>
      <c r="P109" s="697"/>
      <c r="Q109" s="697"/>
      <c r="R109" s="697"/>
      <c r="S109" s="697"/>
      <c r="T109" s="697"/>
      <c r="U109" s="697"/>
      <c r="V109" s="697"/>
      <c r="W109" s="698"/>
      <c r="X109" s="698"/>
      <c r="Y109" s="697"/>
      <c r="Z109" s="697"/>
      <c r="AA109" s="697"/>
      <c r="AB109" s="697"/>
      <c r="AC109" s="697"/>
    </row>
    <row r="110" spans="1:29" x14ac:dyDescent="0.2">
      <c r="A110" s="694" t="str">
        <f>+Info!$B$2</f>
        <v>724</v>
      </c>
      <c r="B110" s="694" t="s">
        <v>4652</v>
      </c>
      <c r="C110" s="694" t="s">
        <v>4653</v>
      </c>
      <c r="D110" s="695" t="s">
        <v>4654</v>
      </c>
      <c r="E110" s="696"/>
      <c r="F110" s="697"/>
      <c r="G110" s="697"/>
      <c r="H110" s="698"/>
      <c r="I110" s="697"/>
      <c r="J110" s="698"/>
      <c r="K110" s="697"/>
      <c r="L110" s="697"/>
      <c r="M110" s="697"/>
      <c r="N110" s="698"/>
      <c r="O110" s="697"/>
      <c r="P110" s="697"/>
      <c r="Q110" s="697"/>
      <c r="R110" s="697"/>
      <c r="S110" s="697"/>
      <c r="T110" s="697"/>
      <c r="U110" s="697"/>
      <c r="V110" s="697"/>
      <c r="W110" s="698"/>
      <c r="X110" s="698"/>
      <c r="Y110" s="697"/>
      <c r="Z110" s="697"/>
      <c r="AA110" s="697"/>
      <c r="AB110" s="697"/>
      <c r="AC110" s="697"/>
    </row>
    <row r="111" spans="1:29" x14ac:dyDescent="0.2">
      <c r="A111" s="694" t="str">
        <f>+Info!$B$2</f>
        <v>724</v>
      </c>
      <c r="B111" s="694" t="s">
        <v>4655</v>
      </c>
      <c r="C111" s="694" t="s">
        <v>4656</v>
      </c>
      <c r="D111" s="695" t="s">
        <v>4657</v>
      </c>
      <c r="E111" s="696"/>
      <c r="F111" s="697"/>
      <c r="G111" s="697"/>
      <c r="H111" s="698"/>
      <c r="I111" s="697"/>
      <c r="J111" s="698"/>
      <c r="K111" s="697"/>
      <c r="L111" s="697"/>
      <c r="M111" s="697"/>
      <c r="N111" s="698"/>
      <c r="O111" s="697"/>
      <c r="P111" s="697"/>
      <c r="Q111" s="697"/>
      <c r="R111" s="697"/>
      <c r="S111" s="697"/>
      <c r="T111" s="697"/>
      <c r="U111" s="697"/>
      <c r="V111" s="697"/>
      <c r="W111" s="698"/>
      <c r="X111" s="698"/>
      <c r="Y111" s="697"/>
      <c r="Z111" s="697"/>
      <c r="AA111" s="697"/>
      <c r="AB111" s="697"/>
      <c r="AC111" s="697"/>
    </row>
    <row r="112" spans="1:29" x14ac:dyDescent="0.2">
      <c r="A112" s="694" t="str">
        <f>+Info!$B$2</f>
        <v>724</v>
      </c>
      <c r="B112" s="694" t="s">
        <v>4658</v>
      </c>
      <c r="C112" s="694" t="s">
        <v>4659</v>
      </c>
      <c r="D112" s="695" t="s">
        <v>4660</v>
      </c>
      <c r="E112" s="696"/>
      <c r="F112" s="697"/>
      <c r="G112" s="697"/>
      <c r="H112" s="698"/>
      <c r="I112" s="697"/>
      <c r="J112" s="698"/>
      <c r="K112" s="697"/>
      <c r="L112" s="697"/>
      <c r="M112" s="697"/>
      <c r="N112" s="698"/>
      <c r="O112" s="697"/>
      <c r="P112" s="697"/>
      <c r="Q112" s="697"/>
      <c r="R112" s="697"/>
      <c r="S112" s="697"/>
      <c r="T112" s="697"/>
      <c r="U112" s="697"/>
      <c r="V112" s="697"/>
      <c r="W112" s="698"/>
      <c r="X112" s="698"/>
      <c r="Y112" s="697"/>
      <c r="Z112" s="697"/>
      <c r="AA112" s="697"/>
      <c r="AB112" s="697"/>
      <c r="AC112" s="697"/>
    </row>
    <row r="113" spans="1:29" x14ac:dyDescent="0.2">
      <c r="A113" s="694" t="str">
        <f>+Info!$B$2</f>
        <v>724</v>
      </c>
      <c r="B113" s="694" t="s">
        <v>4661</v>
      </c>
      <c r="C113" s="694" t="s">
        <v>4662</v>
      </c>
      <c r="D113" s="695" t="s">
        <v>4663</v>
      </c>
      <c r="E113" s="696"/>
      <c r="F113" s="697"/>
      <c r="G113" s="697"/>
      <c r="H113" s="698"/>
      <c r="I113" s="697"/>
      <c r="J113" s="698"/>
      <c r="K113" s="697"/>
      <c r="L113" s="697"/>
      <c r="M113" s="697"/>
      <c r="N113" s="698"/>
      <c r="O113" s="697"/>
      <c r="P113" s="697"/>
      <c r="Q113" s="697"/>
      <c r="R113" s="697"/>
      <c r="S113" s="697"/>
      <c r="T113" s="697"/>
      <c r="U113" s="697"/>
      <c r="V113" s="697"/>
      <c r="W113" s="698"/>
      <c r="X113" s="698"/>
      <c r="Y113" s="697"/>
      <c r="Z113" s="697"/>
      <c r="AA113" s="697"/>
      <c r="AB113" s="697"/>
      <c r="AC113" s="697"/>
    </row>
    <row r="114" spans="1:29" x14ac:dyDescent="0.2">
      <c r="A114" s="694" t="str">
        <f>+Info!$B$2</f>
        <v>724</v>
      </c>
      <c r="B114" s="694" t="s">
        <v>4664</v>
      </c>
      <c r="C114" s="694" t="s">
        <v>4665</v>
      </c>
      <c r="D114" s="695" t="s">
        <v>4666</v>
      </c>
      <c r="E114" s="696"/>
      <c r="F114" s="697"/>
      <c r="G114" s="697"/>
      <c r="H114" s="698"/>
      <c r="I114" s="697"/>
      <c r="J114" s="698"/>
      <c r="K114" s="697"/>
      <c r="L114" s="697"/>
      <c r="M114" s="697"/>
      <c r="N114" s="698"/>
      <c r="O114" s="697"/>
      <c r="P114" s="697"/>
      <c r="Q114" s="697"/>
      <c r="R114" s="697"/>
      <c r="S114" s="697"/>
      <c r="T114" s="697"/>
      <c r="U114" s="697"/>
      <c r="V114" s="697"/>
      <c r="W114" s="698"/>
      <c r="X114" s="698"/>
      <c r="Y114" s="697"/>
      <c r="Z114" s="697"/>
      <c r="AA114" s="697"/>
      <c r="AB114" s="697"/>
      <c r="AC114" s="697"/>
    </row>
    <row r="115" spans="1:29" x14ac:dyDescent="0.2">
      <c r="A115" s="694" t="str">
        <f>+Info!$B$2</f>
        <v>724</v>
      </c>
      <c r="B115" s="694" t="s">
        <v>4667</v>
      </c>
      <c r="C115" s="694" t="s">
        <v>4668</v>
      </c>
      <c r="D115" s="695" t="s">
        <v>4669</v>
      </c>
      <c r="E115" s="696"/>
      <c r="F115" s="697"/>
      <c r="G115" s="697"/>
      <c r="H115" s="698"/>
      <c r="I115" s="697"/>
      <c r="J115" s="698"/>
      <c r="K115" s="697"/>
      <c r="L115" s="697"/>
      <c r="M115" s="697"/>
      <c r="N115" s="698"/>
      <c r="O115" s="697"/>
      <c r="P115" s="697"/>
      <c r="Q115" s="697"/>
      <c r="R115" s="697"/>
      <c r="S115" s="697"/>
      <c r="T115" s="697"/>
      <c r="U115" s="697"/>
      <c r="V115" s="697"/>
      <c r="W115" s="698"/>
      <c r="X115" s="698"/>
      <c r="Y115" s="697"/>
      <c r="Z115" s="697"/>
      <c r="AA115" s="697"/>
      <c r="AB115" s="697"/>
      <c r="AC115" s="697"/>
    </row>
    <row r="116" spans="1:29" x14ac:dyDescent="0.2">
      <c r="A116" s="694" t="str">
        <f>+Info!$B$2</f>
        <v>724</v>
      </c>
      <c r="B116" s="694" t="s">
        <v>4670</v>
      </c>
      <c r="C116" s="694" t="s">
        <v>4671</v>
      </c>
      <c r="D116" s="695" t="s">
        <v>4672</v>
      </c>
      <c r="E116" s="696"/>
      <c r="F116" s="697"/>
      <c r="G116" s="697"/>
      <c r="H116" s="698"/>
      <c r="I116" s="697"/>
      <c r="J116" s="698"/>
      <c r="K116" s="697"/>
      <c r="L116" s="697"/>
      <c r="M116" s="697"/>
      <c r="N116" s="698"/>
      <c r="O116" s="697"/>
      <c r="P116" s="697"/>
      <c r="Q116" s="697"/>
      <c r="R116" s="697"/>
      <c r="S116" s="697"/>
      <c r="T116" s="697"/>
      <c r="U116" s="697"/>
      <c r="V116" s="697"/>
      <c r="W116" s="698"/>
      <c r="X116" s="698"/>
      <c r="Y116" s="697"/>
      <c r="Z116" s="697"/>
      <c r="AA116" s="697"/>
      <c r="AB116" s="697"/>
      <c r="AC116" s="697"/>
    </row>
    <row r="117" spans="1:29" x14ac:dyDescent="0.2">
      <c r="A117" s="694" t="str">
        <f>+Info!$B$2</f>
        <v>724</v>
      </c>
      <c r="B117" s="694" t="s">
        <v>4673</v>
      </c>
      <c r="C117" s="694" t="s">
        <v>4674</v>
      </c>
      <c r="D117" s="695" t="s">
        <v>4675</v>
      </c>
      <c r="E117" s="696"/>
      <c r="F117" s="697"/>
      <c r="G117" s="697"/>
      <c r="H117" s="698"/>
      <c r="I117" s="697"/>
      <c r="J117" s="698"/>
      <c r="K117" s="697"/>
      <c r="L117" s="697"/>
      <c r="M117" s="697"/>
      <c r="N117" s="698"/>
      <c r="O117" s="697"/>
      <c r="P117" s="697"/>
      <c r="Q117" s="697"/>
      <c r="R117" s="697"/>
      <c r="S117" s="697"/>
      <c r="T117" s="697"/>
      <c r="U117" s="697"/>
      <c r="V117" s="697"/>
      <c r="W117" s="698"/>
      <c r="X117" s="698"/>
      <c r="Y117" s="697"/>
      <c r="Z117" s="697"/>
      <c r="AA117" s="697"/>
      <c r="AB117" s="697"/>
      <c r="AC117" s="697"/>
    </row>
    <row r="118" spans="1:29" x14ac:dyDescent="0.2">
      <c r="A118" s="694" t="str">
        <f>+Info!$B$2</f>
        <v>724</v>
      </c>
      <c r="B118" s="694" t="s">
        <v>4676</v>
      </c>
      <c r="C118" s="694" t="s">
        <v>4677</v>
      </c>
      <c r="D118" s="695" t="s">
        <v>4678</v>
      </c>
      <c r="E118" s="696"/>
      <c r="F118" s="697"/>
      <c r="G118" s="697"/>
      <c r="H118" s="698"/>
      <c r="I118" s="697"/>
      <c r="J118" s="697"/>
      <c r="K118" s="697"/>
      <c r="L118" s="697"/>
      <c r="M118" s="697"/>
      <c r="N118" s="698"/>
      <c r="O118" s="697"/>
      <c r="P118" s="697"/>
      <c r="Q118" s="697"/>
      <c r="R118" s="697"/>
      <c r="S118" s="697"/>
      <c r="T118" s="697"/>
      <c r="U118" s="697"/>
      <c r="V118" s="697"/>
      <c r="W118" s="698"/>
      <c r="X118" s="698"/>
      <c r="Y118" s="697"/>
      <c r="Z118" s="697"/>
      <c r="AA118" s="697"/>
      <c r="AB118" s="697"/>
      <c r="AC118" s="697"/>
    </row>
    <row r="119" spans="1:29" ht="25.5" x14ac:dyDescent="0.2">
      <c r="A119" s="694" t="str">
        <f>+Info!$B$2</f>
        <v>724</v>
      </c>
      <c r="B119" s="694" t="s">
        <v>4679</v>
      </c>
      <c r="C119" s="694" t="s">
        <v>4680</v>
      </c>
      <c r="D119" s="695" t="s">
        <v>4681</v>
      </c>
      <c r="E119" s="696"/>
      <c r="F119" s="697"/>
      <c r="G119" s="697"/>
      <c r="H119" s="698"/>
      <c r="I119" s="697"/>
      <c r="J119" s="697"/>
      <c r="K119" s="697"/>
      <c r="L119" s="697"/>
      <c r="M119" s="697"/>
      <c r="N119" s="698"/>
      <c r="O119" s="697"/>
      <c r="P119" s="697"/>
      <c r="Q119" s="697"/>
      <c r="R119" s="697"/>
      <c r="S119" s="697"/>
      <c r="T119" s="697"/>
      <c r="U119" s="697"/>
      <c r="V119" s="697"/>
      <c r="W119" s="698"/>
      <c r="X119" s="698"/>
      <c r="Y119" s="697"/>
      <c r="Z119" s="697"/>
      <c r="AA119" s="697"/>
      <c r="AB119" s="697"/>
      <c r="AC119" s="697"/>
    </row>
    <row r="120" spans="1:29" ht="25.5" x14ac:dyDescent="0.2">
      <c r="A120" s="694" t="str">
        <f>+Info!$B$2</f>
        <v>724</v>
      </c>
      <c r="B120" s="694" t="s">
        <v>4682</v>
      </c>
      <c r="C120" s="694" t="s">
        <v>4683</v>
      </c>
      <c r="D120" s="695" t="s">
        <v>4684</v>
      </c>
      <c r="E120" s="696"/>
      <c r="F120" s="697"/>
      <c r="G120" s="697"/>
      <c r="H120" s="698"/>
      <c r="I120" s="697"/>
      <c r="J120" s="697"/>
      <c r="K120" s="697"/>
      <c r="L120" s="697"/>
      <c r="M120" s="697"/>
      <c r="N120" s="698"/>
      <c r="O120" s="697"/>
      <c r="P120" s="697"/>
      <c r="Q120" s="697"/>
      <c r="R120" s="697"/>
      <c r="S120" s="697"/>
      <c r="T120" s="697"/>
      <c r="U120" s="697"/>
      <c r="V120" s="697"/>
      <c r="W120" s="698"/>
      <c r="X120" s="698"/>
      <c r="Y120" s="697"/>
      <c r="Z120" s="697"/>
      <c r="AA120" s="697"/>
      <c r="AB120" s="697"/>
      <c r="AC120" s="697"/>
    </row>
    <row r="121" spans="1:29" ht="25.5" x14ac:dyDescent="0.2">
      <c r="A121" s="694" t="str">
        <f>+Info!$B$2</f>
        <v>724</v>
      </c>
      <c r="B121" s="694" t="s">
        <v>4685</v>
      </c>
      <c r="C121" s="694" t="s">
        <v>4686</v>
      </c>
      <c r="D121" s="695" t="s">
        <v>4687</v>
      </c>
      <c r="E121" s="696"/>
      <c r="F121" s="697"/>
      <c r="G121" s="697"/>
      <c r="H121" s="698"/>
      <c r="I121" s="697"/>
      <c r="J121" s="697"/>
      <c r="K121" s="697"/>
      <c r="L121" s="697"/>
      <c r="M121" s="697"/>
      <c r="N121" s="698"/>
      <c r="O121" s="697"/>
      <c r="P121" s="697"/>
      <c r="Q121" s="697"/>
      <c r="R121" s="697"/>
      <c r="S121" s="697"/>
      <c r="T121" s="697"/>
      <c r="U121" s="697"/>
      <c r="V121" s="697"/>
      <c r="W121" s="698"/>
      <c r="X121" s="698"/>
      <c r="Y121" s="697"/>
      <c r="Z121" s="697"/>
      <c r="AA121" s="697"/>
      <c r="AB121" s="697"/>
      <c r="AC121" s="697"/>
    </row>
    <row r="122" spans="1:29" ht="25.5" x14ac:dyDescent="0.2">
      <c r="A122" s="694" t="str">
        <f>+Info!$B$2</f>
        <v>724</v>
      </c>
      <c r="B122" s="694" t="s">
        <v>4688</v>
      </c>
      <c r="C122" s="694" t="s">
        <v>4689</v>
      </c>
      <c r="D122" s="695" t="s">
        <v>4690</v>
      </c>
      <c r="E122" s="696"/>
      <c r="F122" s="697"/>
      <c r="G122" s="697"/>
      <c r="H122" s="698"/>
      <c r="I122" s="697"/>
      <c r="J122" s="697"/>
      <c r="K122" s="697"/>
      <c r="L122" s="697"/>
      <c r="M122" s="697"/>
      <c r="N122" s="698"/>
      <c r="O122" s="697"/>
      <c r="P122" s="697"/>
      <c r="Q122" s="697"/>
      <c r="R122" s="697"/>
      <c r="S122" s="697"/>
      <c r="T122" s="697"/>
      <c r="U122" s="697"/>
      <c r="V122" s="697"/>
      <c r="W122" s="698"/>
      <c r="X122" s="698"/>
      <c r="Y122" s="697"/>
      <c r="Z122" s="697"/>
      <c r="AA122" s="697"/>
      <c r="AB122" s="697"/>
      <c r="AC122" s="697"/>
    </row>
    <row r="123" spans="1:29" ht="25.5" x14ac:dyDescent="0.2">
      <c r="A123" s="694" t="str">
        <f>+Info!$B$2</f>
        <v>724</v>
      </c>
      <c r="B123" s="694" t="s">
        <v>4691</v>
      </c>
      <c r="C123" s="694" t="s">
        <v>4692</v>
      </c>
      <c r="D123" s="695" t="s">
        <v>4693</v>
      </c>
      <c r="E123" s="696"/>
      <c r="F123" s="697"/>
      <c r="G123" s="697"/>
      <c r="H123" s="698"/>
      <c r="I123" s="697"/>
      <c r="J123" s="698"/>
      <c r="K123" s="697"/>
      <c r="L123" s="697"/>
      <c r="M123" s="697"/>
      <c r="N123" s="698"/>
      <c r="O123" s="697"/>
      <c r="P123" s="697"/>
      <c r="Q123" s="697"/>
      <c r="R123" s="697"/>
      <c r="S123" s="697"/>
      <c r="T123" s="697"/>
      <c r="U123" s="697"/>
      <c r="V123" s="697"/>
      <c r="W123" s="698"/>
      <c r="X123" s="698"/>
      <c r="Y123" s="697"/>
      <c r="Z123" s="697"/>
      <c r="AA123" s="697"/>
      <c r="AB123" s="697"/>
      <c r="AC123" s="697"/>
    </row>
    <row r="124" spans="1:29" ht="25.5" x14ac:dyDescent="0.2">
      <c r="A124" s="694" t="str">
        <f>+Info!$B$2</f>
        <v>724</v>
      </c>
      <c r="B124" s="694" t="s">
        <v>4694</v>
      </c>
      <c r="C124" s="694" t="s">
        <v>4695</v>
      </c>
      <c r="D124" s="695" t="s">
        <v>4696</v>
      </c>
      <c r="E124" s="696"/>
      <c r="F124" s="697"/>
      <c r="G124" s="697"/>
      <c r="H124" s="698"/>
      <c r="I124" s="697"/>
      <c r="J124" s="698"/>
      <c r="K124" s="697"/>
      <c r="L124" s="697"/>
      <c r="M124" s="697"/>
      <c r="N124" s="698"/>
      <c r="O124" s="697"/>
      <c r="P124" s="697"/>
      <c r="Q124" s="697"/>
      <c r="R124" s="697"/>
      <c r="S124" s="697"/>
      <c r="T124" s="697"/>
      <c r="U124" s="697"/>
      <c r="V124" s="697"/>
      <c r="W124" s="698"/>
      <c r="X124" s="698"/>
      <c r="Y124" s="697"/>
      <c r="Z124" s="697"/>
      <c r="AA124" s="697"/>
      <c r="AB124" s="697"/>
      <c r="AC124" s="697"/>
    </row>
    <row r="125" spans="1:29" ht="25.5" x14ac:dyDescent="0.2">
      <c r="A125" s="694" t="str">
        <f>+Info!$B$2</f>
        <v>724</v>
      </c>
      <c r="B125" s="694" t="s">
        <v>4697</v>
      </c>
      <c r="C125" s="694" t="s">
        <v>4698</v>
      </c>
      <c r="D125" s="695" t="s">
        <v>4699</v>
      </c>
      <c r="E125" s="696"/>
      <c r="F125" s="697"/>
      <c r="G125" s="697"/>
      <c r="H125" s="698"/>
      <c r="I125" s="697"/>
      <c r="J125" s="698"/>
      <c r="K125" s="697"/>
      <c r="L125" s="697"/>
      <c r="M125" s="697"/>
      <c r="N125" s="698"/>
      <c r="O125" s="697"/>
      <c r="P125" s="697"/>
      <c r="Q125" s="697"/>
      <c r="R125" s="697"/>
      <c r="S125" s="697"/>
      <c r="T125" s="697"/>
      <c r="U125" s="697"/>
      <c r="V125" s="697"/>
      <c r="W125" s="698"/>
      <c r="X125" s="698"/>
      <c r="Y125" s="697"/>
      <c r="Z125" s="697"/>
      <c r="AA125" s="697"/>
      <c r="AB125" s="697"/>
      <c r="AC125" s="697"/>
    </row>
    <row r="126" spans="1:29" ht="25.5" x14ac:dyDescent="0.2">
      <c r="A126" s="694" t="str">
        <f>+Info!$B$2</f>
        <v>724</v>
      </c>
      <c r="B126" s="694" t="s">
        <v>4700</v>
      </c>
      <c r="C126" s="694" t="s">
        <v>4701</v>
      </c>
      <c r="D126" s="695" t="s">
        <v>4702</v>
      </c>
      <c r="E126" s="696"/>
      <c r="F126" s="697"/>
      <c r="G126" s="697"/>
      <c r="H126" s="698"/>
      <c r="I126" s="697"/>
      <c r="J126" s="698"/>
      <c r="K126" s="697"/>
      <c r="L126" s="697"/>
      <c r="M126" s="697"/>
      <c r="N126" s="698"/>
      <c r="O126" s="697"/>
      <c r="P126" s="697"/>
      <c r="Q126" s="697"/>
      <c r="R126" s="697"/>
      <c r="S126" s="697"/>
      <c r="T126" s="697"/>
      <c r="U126" s="697"/>
      <c r="V126" s="697"/>
      <c r="W126" s="698"/>
      <c r="X126" s="698"/>
      <c r="Y126" s="697"/>
      <c r="Z126" s="697"/>
      <c r="AA126" s="697"/>
      <c r="AB126" s="697"/>
      <c r="AC126" s="697"/>
    </row>
    <row r="127" spans="1:29" ht="25.5" x14ac:dyDescent="0.2">
      <c r="A127" s="694" t="str">
        <f>+Info!$B$2</f>
        <v>724</v>
      </c>
      <c r="B127" s="694" t="s">
        <v>4703</v>
      </c>
      <c r="C127" s="694" t="s">
        <v>4704</v>
      </c>
      <c r="D127" s="695" t="s">
        <v>4705</v>
      </c>
      <c r="E127" s="696"/>
      <c r="F127" s="697"/>
      <c r="G127" s="697"/>
      <c r="H127" s="698"/>
      <c r="I127" s="697"/>
      <c r="J127" s="698"/>
      <c r="K127" s="697"/>
      <c r="L127" s="697"/>
      <c r="M127" s="697"/>
      <c r="N127" s="698"/>
      <c r="O127" s="697"/>
      <c r="P127" s="697"/>
      <c r="Q127" s="697"/>
      <c r="R127" s="697"/>
      <c r="S127" s="697"/>
      <c r="T127" s="697"/>
      <c r="U127" s="697"/>
      <c r="V127" s="697"/>
      <c r="W127" s="698"/>
      <c r="X127" s="698"/>
      <c r="Y127" s="697"/>
      <c r="Z127" s="697"/>
      <c r="AA127" s="697"/>
      <c r="AB127" s="697"/>
      <c r="AC127" s="697"/>
    </row>
    <row r="128" spans="1:29" ht="25.5" x14ac:dyDescent="0.2">
      <c r="A128" s="694" t="str">
        <f>+Info!$B$2</f>
        <v>724</v>
      </c>
      <c r="B128" s="694" t="s">
        <v>4706</v>
      </c>
      <c r="C128" s="694" t="s">
        <v>4707</v>
      </c>
      <c r="D128" s="695" t="s">
        <v>4708</v>
      </c>
      <c r="E128" s="696"/>
      <c r="F128" s="697"/>
      <c r="G128" s="697"/>
      <c r="H128" s="698"/>
      <c r="I128" s="697"/>
      <c r="J128" s="698"/>
      <c r="K128" s="697"/>
      <c r="L128" s="697"/>
      <c r="M128" s="697"/>
      <c r="N128" s="698"/>
      <c r="O128" s="697"/>
      <c r="P128" s="697"/>
      <c r="Q128" s="697"/>
      <c r="R128" s="697"/>
      <c r="S128" s="697"/>
      <c r="T128" s="697"/>
      <c r="U128" s="697"/>
      <c r="V128" s="697"/>
      <c r="W128" s="698"/>
      <c r="X128" s="698"/>
      <c r="Y128" s="697"/>
      <c r="Z128" s="697"/>
      <c r="AA128" s="697"/>
      <c r="AB128" s="697"/>
      <c r="AC128" s="697"/>
    </row>
    <row r="129" spans="1:29" ht="25.5" x14ac:dyDescent="0.2">
      <c r="A129" s="694" t="str">
        <f>+Info!$B$2</f>
        <v>724</v>
      </c>
      <c r="B129" s="694" t="s">
        <v>4709</v>
      </c>
      <c r="C129" s="694" t="s">
        <v>4710</v>
      </c>
      <c r="D129" s="695" t="s">
        <v>4711</v>
      </c>
      <c r="E129" s="696"/>
      <c r="F129" s="697"/>
      <c r="G129" s="697"/>
      <c r="H129" s="698"/>
      <c r="I129" s="697"/>
      <c r="J129" s="698"/>
      <c r="K129" s="697"/>
      <c r="L129" s="697"/>
      <c r="M129" s="697"/>
      <c r="N129" s="698"/>
      <c r="O129" s="697"/>
      <c r="P129" s="697"/>
      <c r="Q129" s="697"/>
      <c r="R129" s="697"/>
      <c r="S129" s="697"/>
      <c r="T129" s="697"/>
      <c r="U129" s="697"/>
      <c r="V129" s="697"/>
      <c r="W129" s="698"/>
      <c r="X129" s="698"/>
      <c r="Y129" s="697"/>
      <c r="Z129" s="697"/>
      <c r="AA129" s="697"/>
      <c r="AB129" s="697"/>
      <c r="AC129" s="697"/>
    </row>
    <row r="130" spans="1:29" ht="25.5" x14ac:dyDescent="0.2">
      <c r="A130" s="694" t="str">
        <f>+Info!$B$2</f>
        <v>724</v>
      </c>
      <c r="B130" s="694" t="s">
        <v>4712</v>
      </c>
      <c r="C130" s="694" t="s">
        <v>4713</v>
      </c>
      <c r="D130" s="695" t="s">
        <v>4714</v>
      </c>
      <c r="E130" s="696"/>
      <c r="F130" s="697"/>
      <c r="G130" s="697"/>
      <c r="H130" s="698"/>
      <c r="I130" s="697"/>
      <c r="J130" s="698"/>
      <c r="K130" s="697"/>
      <c r="L130" s="697"/>
      <c r="M130" s="697"/>
      <c r="N130" s="698"/>
      <c r="O130" s="697"/>
      <c r="P130" s="697"/>
      <c r="Q130" s="697"/>
      <c r="R130" s="697"/>
      <c r="S130" s="697"/>
      <c r="T130" s="697"/>
      <c r="U130" s="697"/>
      <c r="V130" s="697"/>
      <c r="W130" s="698"/>
      <c r="X130" s="698"/>
      <c r="Y130" s="697"/>
      <c r="Z130" s="697"/>
      <c r="AA130" s="697"/>
      <c r="AB130" s="697"/>
      <c r="AC130" s="697"/>
    </row>
    <row r="131" spans="1:29" ht="25.5" x14ac:dyDescent="0.2">
      <c r="A131" s="694" t="str">
        <f>+Info!$B$2</f>
        <v>724</v>
      </c>
      <c r="B131" s="694" t="s">
        <v>4715</v>
      </c>
      <c r="C131" s="694" t="s">
        <v>4716</v>
      </c>
      <c r="D131" s="695" t="s">
        <v>4717</v>
      </c>
      <c r="E131" s="696"/>
      <c r="F131" s="697"/>
      <c r="G131" s="697"/>
      <c r="H131" s="698"/>
      <c r="I131" s="697"/>
      <c r="J131" s="697"/>
      <c r="K131" s="697"/>
      <c r="L131" s="697"/>
      <c r="M131" s="697"/>
      <c r="N131" s="698"/>
      <c r="O131" s="697"/>
      <c r="P131" s="697"/>
      <c r="Q131" s="697"/>
      <c r="R131" s="697"/>
      <c r="S131" s="697"/>
      <c r="T131" s="697"/>
      <c r="U131" s="697"/>
      <c r="V131" s="697"/>
      <c r="W131" s="698"/>
      <c r="X131" s="698"/>
      <c r="Y131" s="697"/>
      <c r="Z131" s="697"/>
      <c r="AA131" s="697"/>
      <c r="AB131" s="697"/>
      <c r="AC131" s="697"/>
    </row>
    <row r="132" spans="1:29" ht="15" x14ac:dyDescent="0.25">
      <c r="A132" s="691" t="str">
        <f>+Info!$B$2</f>
        <v>724</v>
      </c>
      <c r="B132" s="691" t="s">
        <v>4718</v>
      </c>
      <c r="C132" s="691" t="s">
        <v>4719</v>
      </c>
      <c r="D132" s="692" t="s">
        <v>4720</v>
      </c>
      <c r="E132" s="693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</row>
    <row r="133" spans="1:29" ht="25.5" x14ac:dyDescent="0.2">
      <c r="A133" s="694" t="str">
        <f>+Info!$B$2</f>
        <v>724</v>
      </c>
      <c r="B133" s="694" t="s">
        <v>4721</v>
      </c>
      <c r="C133" s="694" t="s">
        <v>4722</v>
      </c>
      <c r="D133" s="695" t="s">
        <v>4723</v>
      </c>
      <c r="E133" s="696"/>
      <c r="F133" s="697"/>
      <c r="G133" s="697"/>
      <c r="H133" s="698"/>
      <c r="I133" s="697"/>
      <c r="J133" s="698"/>
      <c r="K133" s="697"/>
      <c r="L133" s="697"/>
      <c r="M133" s="697"/>
      <c r="N133" s="698"/>
      <c r="O133" s="697"/>
      <c r="P133" s="697"/>
      <c r="Q133" s="697"/>
      <c r="R133" s="697"/>
      <c r="S133" s="697"/>
      <c r="T133" s="697"/>
      <c r="U133" s="697"/>
      <c r="V133" s="697"/>
      <c r="W133" s="698"/>
      <c r="X133" s="698"/>
      <c r="Y133" s="697"/>
      <c r="Z133" s="697"/>
      <c r="AA133" s="697"/>
      <c r="AB133" s="697"/>
      <c r="AC133" s="697"/>
    </row>
    <row r="134" spans="1:29" ht="25.5" x14ac:dyDescent="0.2">
      <c r="A134" s="694" t="str">
        <f>+Info!$B$2</f>
        <v>724</v>
      </c>
      <c r="B134" s="694" t="s">
        <v>4724</v>
      </c>
      <c r="C134" s="694" t="s">
        <v>4725</v>
      </c>
      <c r="D134" s="695" t="s">
        <v>4726</v>
      </c>
      <c r="E134" s="696"/>
      <c r="F134" s="697"/>
      <c r="G134" s="697"/>
      <c r="H134" s="698"/>
      <c r="I134" s="697"/>
      <c r="J134" s="698"/>
      <c r="K134" s="697"/>
      <c r="L134" s="697"/>
      <c r="M134" s="697"/>
      <c r="N134" s="698"/>
      <c r="O134" s="697"/>
      <c r="P134" s="697"/>
      <c r="Q134" s="697"/>
      <c r="R134" s="697"/>
      <c r="S134" s="697"/>
      <c r="T134" s="697"/>
      <c r="U134" s="697"/>
      <c r="V134" s="697"/>
      <c r="W134" s="698"/>
      <c r="X134" s="698"/>
      <c r="Y134" s="697"/>
      <c r="Z134" s="697"/>
      <c r="AA134" s="697"/>
      <c r="AB134" s="697"/>
      <c r="AC134" s="697"/>
    </row>
    <row r="135" spans="1:29" ht="25.5" x14ac:dyDescent="0.2">
      <c r="A135" s="694" t="str">
        <f>+Info!$B$2</f>
        <v>724</v>
      </c>
      <c r="B135" s="694" t="s">
        <v>4727</v>
      </c>
      <c r="C135" s="694" t="s">
        <v>4728</v>
      </c>
      <c r="D135" s="695" t="s">
        <v>4729</v>
      </c>
      <c r="E135" s="696"/>
      <c r="F135" s="697"/>
      <c r="G135" s="697"/>
      <c r="H135" s="698"/>
      <c r="I135" s="697"/>
      <c r="J135" s="698"/>
      <c r="K135" s="697"/>
      <c r="L135" s="697"/>
      <c r="M135" s="697"/>
      <c r="N135" s="698"/>
      <c r="O135" s="697"/>
      <c r="P135" s="697"/>
      <c r="Q135" s="697"/>
      <c r="R135" s="697"/>
      <c r="S135" s="697"/>
      <c r="T135" s="697"/>
      <c r="U135" s="697"/>
      <c r="V135" s="697"/>
      <c r="W135" s="698"/>
      <c r="X135" s="698"/>
      <c r="Y135" s="697"/>
      <c r="Z135" s="697"/>
      <c r="AA135" s="697"/>
      <c r="AB135" s="697"/>
      <c r="AC135" s="697"/>
    </row>
    <row r="136" spans="1:29" ht="25.5" x14ac:dyDescent="0.2">
      <c r="A136" s="694" t="str">
        <f>+Info!$B$2</f>
        <v>724</v>
      </c>
      <c r="B136" s="694" t="s">
        <v>4730</v>
      </c>
      <c r="C136" s="694" t="s">
        <v>4731</v>
      </c>
      <c r="D136" s="695" t="s">
        <v>4732</v>
      </c>
      <c r="E136" s="696"/>
      <c r="F136" s="697"/>
      <c r="G136" s="697"/>
      <c r="H136" s="698"/>
      <c r="I136" s="697"/>
      <c r="J136" s="698"/>
      <c r="K136" s="697"/>
      <c r="L136" s="697"/>
      <c r="M136" s="697"/>
      <c r="N136" s="698"/>
      <c r="O136" s="697"/>
      <c r="P136" s="697"/>
      <c r="Q136" s="697"/>
      <c r="R136" s="697"/>
      <c r="S136" s="697"/>
      <c r="T136" s="697"/>
      <c r="U136" s="697"/>
      <c r="V136" s="697"/>
      <c r="W136" s="698"/>
      <c r="X136" s="698"/>
      <c r="Y136" s="697"/>
      <c r="Z136" s="697"/>
      <c r="AA136" s="697"/>
      <c r="AB136" s="697"/>
      <c r="AC136" s="697"/>
    </row>
    <row r="137" spans="1:29" ht="25.5" x14ac:dyDescent="0.2">
      <c r="A137" s="694" t="str">
        <f>+Info!$B$2</f>
        <v>724</v>
      </c>
      <c r="B137" s="694" t="s">
        <v>4733</v>
      </c>
      <c r="C137" s="694" t="s">
        <v>4734</v>
      </c>
      <c r="D137" s="695" t="s">
        <v>4735</v>
      </c>
      <c r="E137" s="696"/>
      <c r="F137" s="697"/>
      <c r="G137" s="697"/>
      <c r="H137" s="698"/>
      <c r="I137" s="697"/>
      <c r="J137" s="698"/>
      <c r="K137" s="697"/>
      <c r="L137" s="697"/>
      <c r="M137" s="697"/>
      <c r="N137" s="698"/>
      <c r="O137" s="697"/>
      <c r="P137" s="697"/>
      <c r="Q137" s="697"/>
      <c r="R137" s="697"/>
      <c r="S137" s="697"/>
      <c r="T137" s="697"/>
      <c r="U137" s="697"/>
      <c r="V137" s="697"/>
      <c r="W137" s="698"/>
      <c r="X137" s="698"/>
      <c r="Y137" s="697"/>
      <c r="Z137" s="697"/>
      <c r="AA137" s="697"/>
      <c r="AB137" s="697"/>
      <c r="AC137" s="697"/>
    </row>
    <row r="138" spans="1:29" ht="25.5" x14ac:dyDescent="0.2">
      <c r="A138" s="694" t="str">
        <f>+Info!$B$2</f>
        <v>724</v>
      </c>
      <c r="B138" s="694" t="s">
        <v>4736</v>
      </c>
      <c r="C138" s="694" t="s">
        <v>4737</v>
      </c>
      <c r="D138" s="695" t="s">
        <v>4738</v>
      </c>
      <c r="E138" s="696"/>
      <c r="F138" s="697"/>
      <c r="G138" s="697"/>
      <c r="H138" s="698"/>
      <c r="I138" s="697"/>
      <c r="J138" s="698"/>
      <c r="K138" s="697"/>
      <c r="L138" s="697"/>
      <c r="M138" s="697"/>
      <c r="N138" s="698"/>
      <c r="O138" s="697"/>
      <c r="P138" s="697"/>
      <c r="Q138" s="697"/>
      <c r="R138" s="697"/>
      <c r="S138" s="697"/>
      <c r="T138" s="697"/>
      <c r="U138" s="697"/>
      <c r="V138" s="697"/>
      <c r="W138" s="698"/>
      <c r="X138" s="698"/>
      <c r="Y138" s="697"/>
      <c r="Z138" s="697"/>
      <c r="AA138" s="697"/>
      <c r="AB138" s="697"/>
      <c r="AC138" s="697"/>
    </row>
    <row r="139" spans="1:29" x14ac:dyDescent="0.2">
      <c r="A139" s="694" t="str">
        <f>+Info!$B$2</f>
        <v>724</v>
      </c>
      <c r="B139" s="694" t="s">
        <v>4739</v>
      </c>
      <c r="C139" s="694" t="s">
        <v>4740</v>
      </c>
      <c r="D139" s="695" t="s">
        <v>4741</v>
      </c>
      <c r="E139" s="696"/>
      <c r="F139" s="697"/>
      <c r="G139" s="697"/>
      <c r="H139" s="698"/>
      <c r="I139" s="697"/>
      <c r="J139" s="698"/>
      <c r="K139" s="697"/>
      <c r="L139" s="697"/>
      <c r="M139" s="697"/>
      <c r="N139" s="698"/>
      <c r="O139" s="697"/>
      <c r="P139" s="697"/>
      <c r="Q139" s="697"/>
      <c r="R139" s="697"/>
      <c r="S139" s="697"/>
      <c r="T139" s="697"/>
      <c r="U139" s="697"/>
      <c r="V139" s="697"/>
      <c r="W139" s="698"/>
      <c r="X139" s="698"/>
      <c r="Y139" s="697"/>
      <c r="Z139" s="697"/>
      <c r="AA139" s="697"/>
      <c r="AB139" s="697"/>
      <c r="AC139" s="697"/>
    </row>
    <row r="140" spans="1:29" ht="25.5" x14ac:dyDescent="0.2">
      <c r="A140" s="694" t="str">
        <f>+Info!$B$2</f>
        <v>724</v>
      </c>
      <c r="B140" s="694" t="s">
        <v>4742</v>
      </c>
      <c r="C140" s="694" t="s">
        <v>4743</v>
      </c>
      <c r="D140" s="695" t="s">
        <v>4744</v>
      </c>
      <c r="E140" s="696"/>
      <c r="F140" s="697"/>
      <c r="G140" s="697"/>
      <c r="H140" s="698"/>
      <c r="I140" s="697"/>
      <c r="J140" s="698"/>
      <c r="K140" s="697"/>
      <c r="L140" s="697"/>
      <c r="M140" s="697"/>
      <c r="N140" s="698"/>
      <c r="O140" s="697"/>
      <c r="P140" s="697"/>
      <c r="Q140" s="697"/>
      <c r="R140" s="697"/>
      <c r="S140" s="697"/>
      <c r="T140" s="697"/>
      <c r="U140" s="697"/>
      <c r="V140" s="697"/>
      <c r="W140" s="698"/>
      <c r="X140" s="698"/>
      <c r="Y140" s="697"/>
      <c r="Z140" s="697"/>
      <c r="AA140" s="697"/>
      <c r="AB140" s="697"/>
      <c r="AC140" s="697"/>
    </row>
    <row r="141" spans="1:29" ht="25.5" x14ac:dyDescent="0.2">
      <c r="A141" s="694" t="str">
        <f>+Info!$B$2</f>
        <v>724</v>
      </c>
      <c r="B141" s="694" t="s">
        <v>4745</v>
      </c>
      <c r="C141" s="694" t="s">
        <v>4746</v>
      </c>
      <c r="D141" s="695" t="s">
        <v>4747</v>
      </c>
      <c r="E141" s="696"/>
      <c r="F141" s="697"/>
      <c r="G141" s="697"/>
      <c r="H141" s="698"/>
      <c r="I141" s="697"/>
      <c r="J141" s="698"/>
      <c r="K141" s="697"/>
      <c r="L141" s="697"/>
      <c r="M141" s="697"/>
      <c r="N141" s="698"/>
      <c r="O141" s="697"/>
      <c r="P141" s="697"/>
      <c r="Q141" s="697"/>
      <c r="R141" s="697"/>
      <c r="S141" s="697"/>
      <c r="T141" s="697"/>
      <c r="U141" s="697"/>
      <c r="V141" s="697"/>
      <c r="W141" s="698"/>
      <c r="X141" s="698"/>
      <c r="Y141" s="697"/>
      <c r="Z141" s="697"/>
      <c r="AA141" s="697"/>
      <c r="AB141" s="697"/>
      <c r="AC141" s="697"/>
    </row>
    <row r="142" spans="1:29" ht="25.5" x14ac:dyDescent="0.2">
      <c r="A142" s="694" t="str">
        <f>+Info!$B$2</f>
        <v>724</v>
      </c>
      <c r="B142" s="694" t="s">
        <v>4748</v>
      </c>
      <c r="C142" s="694" t="s">
        <v>4749</v>
      </c>
      <c r="D142" s="695" t="s">
        <v>4750</v>
      </c>
      <c r="E142" s="696"/>
      <c r="F142" s="697"/>
      <c r="G142" s="697"/>
      <c r="H142" s="698"/>
      <c r="I142" s="697"/>
      <c r="J142" s="698"/>
      <c r="K142" s="697"/>
      <c r="L142" s="697"/>
      <c r="M142" s="697"/>
      <c r="N142" s="698"/>
      <c r="O142" s="697"/>
      <c r="P142" s="697"/>
      <c r="Q142" s="697"/>
      <c r="R142" s="697"/>
      <c r="S142" s="697"/>
      <c r="T142" s="697"/>
      <c r="U142" s="697"/>
      <c r="V142" s="697"/>
      <c r="W142" s="698"/>
      <c r="X142" s="698"/>
      <c r="Y142" s="697"/>
      <c r="Z142" s="697"/>
      <c r="AA142" s="697"/>
      <c r="AB142" s="697"/>
      <c r="AC142" s="697"/>
    </row>
    <row r="143" spans="1:29" ht="25.5" x14ac:dyDescent="0.2">
      <c r="A143" s="694" t="str">
        <f>+Info!$B$2</f>
        <v>724</v>
      </c>
      <c r="B143" s="694" t="s">
        <v>4751</v>
      </c>
      <c r="C143" s="694" t="s">
        <v>4752</v>
      </c>
      <c r="D143" s="695" t="s">
        <v>4753</v>
      </c>
      <c r="E143" s="696"/>
      <c r="F143" s="697"/>
      <c r="G143" s="697"/>
      <c r="H143" s="698"/>
      <c r="I143" s="697"/>
      <c r="J143" s="698"/>
      <c r="K143" s="697"/>
      <c r="L143" s="697"/>
      <c r="M143" s="697"/>
      <c r="N143" s="698"/>
      <c r="O143" s="697"/>
      <c r="P143" s="697"/>
      <c r="Q143" s="697"/>
      <c r="R143" s="697"/>
      <c r="S143" s="697"/>
      <c r="T143" s="697"/>
      <c r="U143" s="697"/>
      <c r="V143" s="697"/>
      <c r="W143" s="698"/>
      <c r="X143" s="698"/>
      <c r="Y143" s="697"/>
      <c r="Z143" s="697"/>
      <c r="AA143" s="697"/>
      <c r="AB143" s="697"/>
      <c r="AC143" s="697"/>
    </row>
    <row r="144" spans="1:29" ht="25.5" x14ac:dyDescent="0.2">
      <c r="A144" s="694" t="str">
        <f>+Info!$B$2</f>
        <v>724</v>
      </c>
      <c r="B144" s="694" t="s">
        <v>4754</v>
      </c>
      <c r="C144" s="694" t="s">
        <v>4755</v>
      </c>
      <c r="D144" s="695" t="s">
        <v>4756</v>
      </c>
      <c r="E144" s="696"/>
      <c r="F144" s="697"/>
      <c r="G144" s="697"/>
      <c r="H144" s="698"/>
      <c r="I144" s="697"/>
      <c r="J144" s="698"/>
      <c r="K144" s="697"/>
      <c r="L144" s="697"/>
      <c r="M144" s="697"/>
      <c r="N144" s="698"/>
      <c r="O144" s="697"/>
      <c r="P144" s="697"/>
      <c r="Q144" s="697"/>
      <c r="R144" s="697"/>
      <c r="S144" s="697"/>
      <c r="T144" s="697"/>
      <c r="U144" s="697"/>
      <c r="V144" s="697"/>
      <c r="W144" s="698"/>
      <c r="X144" s="698"/>
      <c r="Y144" s="697"/>
      <c r="Z144" s="697"/>
      <c r="AA144" s="697"/>
      <c r="AB144" s="697"/>
      <c r="AC144" s="697"/>
    </row>
    <row r="145" spans="1:29" ht="25.5" x14ac:dyDescent="0.2">
      <c r="A145" s="694" t="str">
        <f>+Info!$B$2</f>
        <v>724</v>
      </c>
      <c r="B145" s="694" t="s">
        <v>4757</v>
      </c>
      <c r="C145" s="694" t="s">
        <v>4758</v>
      </c>
      <c r="D145" s="695" t="s">
        <v>4759</v>
      </c>
      <c r="E145" s="696"/>
      <c r="F145" s="697"/>
      <c r="G145" s="697"/>
      <c r="H145" s="698"/>
      <c r="I145" s="697"/>
      <c r="J145" s="698"/>
      <c r="K145" s="697"/>
      <c r="L145" s="697"/>
      <c r="M145" s="697"/>
      <c r="N145" s="698"/>
      <c r="O145" s="697"/>
      <c r="P145" s="697"/>
      <c r="Q145" s="697"/>
      <c r="R145" s="697"/>
      <c r="S145" s="697"/>
      <c r="T145" s="697"/>
      <c r="U145" s="697"/>
      <c r="V145" s="697"/>
      <c r="W145" s="698"/>
      <c r="X145" s="698"/>
      <c r="Y145" s="697"/>
      <c r="Z145" s="697"/>
      <c r="AA145" s="697"/>
      <c r="AB145" s="697"/>
      <c r="AC145" s="697"/>
    </row>
    <row r="146" spans="1:29" ht="25.5" x14ac:dyDescent="0.2">
      <c r="A146" s="694" t="str">
        <f>+Info!$B$2</f>
        <v>724</v>
      </c>
      <c r="B146" s="694" t="s">
        <v>4760</v>
      </c>
      <c r="C146" s="694" t="s">
        <v>4761</v>
      </c>
      <c r="D146" s="695" t="s">
        <v>4762</v>
      </c>
      <c r="E146" s="696"/>
      <c r="F146" s="697"/>
      <c r="G146" s="697"/>
      <c r="H146" s="698"/>
      <c r="I146" s="697"/>
      <c r="J146" s="698"/>
      <c r="K146" s="697"/>
      <c r="L146" s="697"/>
      <c r="M146" s="697"/>
      <c r="N146" s="698"/>
      <c r="O146" s="697"/>
      <c r="P146" s="697"/>
      <c r="Q146" s="697"/>
      <c r="R146" s="697"/>
      <c r="S146" s="697"/>
      <c r="T146" s="697"/>
      <c r="U146" s="697"/>
      <c r="V146" s="697"/>
      <c r="W146" s="698"/>
      <c r="X146" s="698"/>
      <c r="Y146" s="697"/>
      <c r="Z146" s="697"/>
      <c r="AA146" s="697"/>
      <c r="AB146" s="697"/>
      <c r="AC146" s="697"/>
    </row>
    <row r="147" spans="1:29" ht="25.5" x14ac:dyDescent="0.2">
      <c r="A147" s="694" t="str">
        <f>+Info!$B$2</f>
        <v>724</v>
      </c>
      <c r="B147" s="694" t="s">
        <v>4763</v>
      </c>
      <c r="C147" s="694" t="s">
        <v>4764</v>
      </c>
      <c r="D147" s="695" t="s">
        <v>4765</v>
      </c>
      <c r="E147" s="696"/>
      <c r="F147" s="697"/>
      <c r="G147" s="697"/>
      <c r="H147" s="698"/>
      <c r="I147" s="697"/>
      <c r="J147" s="698"/>
      <c r="K147" s="697"/>
      <c r="L147" s="697"/>
      <c r="M147" s="697"/>
      <c r="N147" s="698"/>
      <c r="O147" s="697"/>
      <c r="P147" s="697"/>
      <c r="Q147" s="697"/>
      <c r="R147" s="697"/>
      <c r="S147" s="697"/>
      <c r="T147" s="697"/>
      <c r="U147" s="697"/>
      <c r="V147" s="697"/>
      <c r="W147" s="698"/>
      <c r="X147" s="698"/>
      <c r="Y147" s="697"/>
      <c r="Z147" s="697"/>
      <c r="AA147" s="697"/>
      <c r="AB147" s="697"/>
      <c r="AC147" s="697"/>
    </row>
    <row r="148" spans="1:29" ht="25.5" x14ac:dyDescent="0.2">
      <c r="A148" s="694" t="str">
        <f>+Info!$B$2</f>
        <v>724</v>
      </c>
      <c r="B148" s="694" t="s">
        <v>4766</v>
      </c>
      <c r="C148" s="694" t="s">
        <v>4767</v>
      </c>
      <c r="D148" s="695" t="s">
        <v>4768</v>
      </c>
      <c r="E148" s="696"/>
      <c r="F148" s="697"/>
      <c r="G148" s="697"/>
      <c r="H148" s="698"/>
      <c r="I148" s="697"/>
      <c r="J148" s="698"/>
      <c r="K148" s="697"/>
      <c r="L148" s="697"/>
      <c r="M148" s="697"/>
      <c r="N148" s="698"/>
      <c r="O148" s="697"/>
      <c r="P148" s="697"/>
      <c r="Q148" s="697"/>
      <c r="R148" s="697"/>
      <c r="S148" s="697"/>
      <c r="T148" s="697"/>
      <c r="U148" s="697"/>
      <c r="V148" s="697"/>
      <c r="W148" s="698"/>
      <c r="X148" s="698"/>
      <c r="Y148" s="697"/>
      <c r="Z148" s="697"/>
      <c r="AA148" s="697"/>
      <c r="AB148" s="697"/>
      <c r="AC148" s="697"/>
    </row>
    <row r="149" spans="1:29" ht="25.5" x14ac:dyDescent="0.2">
      <c r="A149" s="694" t="str">
        <f>+Info!$B$2</f>
        <v>724</v>
      </c>
      <c r="B149" s="694" t="s">
        <v>4769</v>
      </c>
      <c r="C149" s="694" t="s">
        <v>4770</v>
      </c>
      <c r="D149" s="695" t="s">
        <v>4771</v>
      </c>
      <c r="E149" s="696"/>
      <c r="F149" s="697"/>
      <c r="G149" s="697"/>
      <c r="H149" s="698"/>
      <c r="I149" s="697"/>
      <c r="J149" s="698"/>
      <c r="K149" s="697"/>
      <c r="L149" s="697"/>
      <c r="M149" s="697"/>
      <c r="N149" s="698"/>
      <c r="O149" s="697"/>
      <c r="P149" s="697"/>
      <c r="Q149" s="697"/>
      <c r="R149" s="697"/>
      <c r="S149" s="697"/>
      <c r="T149" s="697"/>
      <c r="U149" s="697"/>
      <c r="V149" s="697"/>
      <c r="W149" s="698"/>
      <c r="X149" s="698"/>
      <c r="Y149" s="697"/>
      <c r="Z149" s="697"/>
      <c r="AA149" s="697"/>
      <c r="AB149" s="697"/>
      <c r="AC149" s="697"/>
    </row>
    <row r="150" spans="1:29" ht="25.5" x14ac:dyDescent="0.2">
      <c r="A150" s="694" t="str">
        <f>+Info!$B$2</f>
        <v>724</v>
      </c>
      <c r="B150" s="694" t="s">
        <v>4772</v>
      </c>
      <c r="C150" s="694" t="s">
        <v>4773</v>
      </c>
      <c r="D150" s="695" t="s">
        <v>4774</v>
      </c>
      <c r="E150" s="696"/>
      <c r="F150" s="697"/>
      <c r="G150" s="697"/>
      <c r="H150" s="698"/>
      <c r="I150" s="697"/>
      <c r="J150" s="698"/>
      <c r="K150" s="697"/>
      <c r="L150" s="697"/>
      <c r="M150" s="697"/>
      <c r="N150" s="698"/>
      <c r="O150" s="697"/>
      <c r="P150" s="697"/>
      <c r="Q150" s="697"/>
      <c r="R150" s="697"/>
      <c r="S150" s="697"/>
      <c r="T150" s="697"/>
      <c r="U150" s="697"/>
      <c r="V150" s="697"/>
      <c r="W150" s="698"/>
      <c r="X150" s="698"/>
      <c r="Y150" s="697"/>
      <c r="Z150" s="697"/>
      <c r="AA150" s="697"/>
      <c r="AB150" s="697"/>
      <c r="AC150" s="697"/>
    </row>
    <row r="151" spans="1:29" ht="25.5" x14ac:dyDescent="0.2">
      <c r="A151" s="694" t="str">
        <f>+Info!$B$2</f>
        <v>724</v>
      </c>
      <c r="B151" s="694" t="s">
        <v>4775</v>
      </c>
      <c r="C151" s="694" t="s">
        <v>4776</v>
      </c>
      <c r="D151" s="695" t="s">
        <v>4777</v>
      </c>
      <c r="E151" s="696"/>
      <c r="F151" s="697"/>
      <c r="G151" s="697"/>
      <c r="H151" s="698"/>
      <c r="I151" s="697"/>
      <c r="J151" s="698"/>
      <c r="K151" s="697"/>
      <c r="L151" s="697"/>
      <c r="M151" s="697"/>
      <c r="N151" s="698"/>
      <c r="O151" s="697"/>
      <c r="P151" s="697"/>
      <c r="Q151" s="697"/>
      <c r="R151" s="697"/>
      <c r="S151" s="697"/>
      <c r="T151" s="697"/>
      <c r="U151" s="697"/>
      <c r="V151" s="697"/>
      <c r="W151" s="698"/>
      <c r="X151" s="698"/>
      <c r="Y151" s="697"/>
      <c r="Z151" s="697"/>
      <c r="AA151" s="697"/>
      <c r="AB151" s="697"/>
      <c r="AC151" s="697"/>
    </row>
    <row r="152" spans="1:29" ht="25.5" x14ac:dyDescent="0.2">
      <c r="A152" s="694" t="str">
        <f>+Info!$B$2</f>
        <v>724</v>
      </c>
      <c r="B152" s="694" t="s">
        <v>4778</v>
      </c>
      <c r="C152" s="694" t="s">
        <v>4779</v>
      </c>
      <c r="D152" s="695" t="s">
        <v>4780</v>
      </c>
      <c r="E152" s="696"/>
      <c r="F152" s="697"/>
      <c r="G152" s="697"/>
      <c r="H152" s="698"/>
      <c r="I152" s="697"/>
      <c r="J152" s="698"/>
      <c r="K152" s="697"/>
      <c r="L152" s="697"/>
      <c r="M152" s="697"/>
      <c r="N152" s="698"/>
      <c r="O152" s="697"/>
      <c r="P152" s="697"/>
      <c r="Q152" s="697"/>
      <c r="R152" s="697"/>
      <c r="S152" s="697"/>
      <c r="T152" s="697"/>
      <c r="U152" s="697"/>
      <c r="V152" s="697"/>
      <c r="W152" s="698"/>
      <c r="X152" s="698"/>
      <c r="Y152" s="697"/>
      <c r="Z152" s="697"/>
      <c r="AA152" s="697"/>
      <c r="AB152" s="697"/>
      <c r="AC152" s="697"/>
    </row>
    <row r="153" spans="1:29" ht="25.5" x14ac:dyDescent="0.2">
      <c r="A153" s="694" t="str">
        <f>+Info!$B$2</f>
        <v>724</v>
      </c>
      <c r="B153" s="694" t="s">
        <v>4781</v>
      </c>
      <c r="C153" s="694" t="s">
        <v>4782</v>
      </c>
      <c r="D153" s="695" t="s">
        <v>4783</v>
      </c>
      <c r="E153" s="696"/>
      <c r="F153" s="697"/>
      <c r="G153" s="697"/>
      <c r="H153" s="698"/>
      <c r="I153" s="697"/>
      <c r="J153" s="698"/>
      <c r="K153" s="697"/>
      <c r="L153" s="697"/>
      <c r="M153" s="697"/>
      <c r="N153" s="698"/>
      <c r="O153" s="697"/>
      <c r="P153" s="697"/>
      <c r="Q153" s="697"/>
      <c r="R153" s="697"/>
      <c r="S153" s="697"/>
      <c r="T153" s="697"/>
      <c r="U153" s="697"/>
      <c r="V153" s="697"/>
      <c r="W153" s="698"/>
      <c r="X153" s="698"/>
      <c r="Y153" s="697"/>
      <c r="Z153" s="697"/>
      <c r="AA153" s="697"/>
      <c r="AB153" s="697"/>
      <c r="AC153" s="697"/>
    </row>
    <row r="154" spans="1:29" ht="25.5" x14ac:dyDescent="0.2">
      <c r="A154" s="694" t="str">
        <f>+Info!$B$2</f>
        <v>724</v>
      </c>
      <c r="B154" s="694" t="s">
        <v>4784</v>
      </c>
      <c r="C154" s="694" t="s">
        <v>4785</v>
      </c>
      <c r="D154" s="695" t="s">
        <v>4786</v>
      </c>
      <c r="E154" s="696"/>
      <c r="F154" s="697"/>
      <c r="G154" s="697"/>
      <c r="H154" s="698"/>
      <c r="I154" s="697"/>
      <c r="J154" s="698"/>
      <c r="K154" s="697"/>
      <c r="L154" s="697"/>
      <c r="M154" s="697"/>
      <c r="N154" s="698"/>
      <c r="O154" s="697"/>
      <c r="P154" s="697"/>
      <c r="Q154" s="697"/>
      <c r="R154" s="697"/>
      <c r="S154" s="697"/>
      <c r="T154" s="697"/>
      <c r="U154" s="697"/>
      <c r="V154" s="697"/>
      <c r="W154" s="698"/>
      <c r="X154" s="698"/>
      <c r="Y154" s="697"/>
      <c r="Z154" s="697"/>
      <c r="AA154" s="697"/>
      <c r="AB154" s="697"/>
      <c r="AC154" s="697"/>
    </row>
    <row r="155" spans="1:29" x14ac:dyDescent="0.2">
      <c r="A155" s="694" t="str">
        <f>+Info!$B$2</f>
        <v>724</v>
      </c>
      <c r="B155" s="694" t="s">
        <v>4787</v>
      </c>
      <c r="C155" s="694" t="s">
        <v>4788</v>
      </c>
      <c r="D155" s="695" t="s">
        <v>4789</v>
      </c>
      <c r="E155" s="696"/>
      <c r="F155" s="697"/>
      <c r="G155" s="697"/>
      <c r="H155" s="698"/>
      <c r="I155" s="697"/>
      <c r="J155" s="698"/>
      <c r="K155" s="697"/>
      <c r="L155" s="697"/>
      <c r="M155" s="697"/>
      <c r="N155" s="698"/>
      <c r="O155" s="697"/>
      <c r="P155" s="697"/>
      <c r="Q155" s="697"/>
      <c r="R155" s="697"/>
      <c r="S155" s="697"/>
      <c r="T155" s="697"/>
      <c r="U155" s="697"/>
      <c r="V155" s="697"/>
      <c r="W155" s="698"/>
      <c r="X155" s="698"/>
      <c r="Y155" s="697"/>
      <c r="Z155" s="697"/>
      <c r="AA155" s="697"/>
      <c r="AB155" s="697"/>
      <c r="AC155" s="697"/>
    </row>
    <row r="156" spans="1:29" x14ac:dyDescent="0.2">
      <c r="A156" s="694" t="str">
        <f>+Info!$B$2</f>
        <v>724</v>
      </c>
      <c r="B156" s="694" t="s">
        <v>4790</v>
      </c>
      <c r="C156" s="694" t="s">
        <v>4791</v>
      </c>
      <c r="D156" s="695" t="s">
        <v>4792</v>
      </c>
      <c r="E156" s="696"/>
      <c r="F156" s="697"/>
      <c r="G156" s="697"/>
      <c r="H156" s="698"/>
      <c r="I156" s="697"/>
      <c r="J156" s="698"/>
      <c r="K156" s="697"/>
      <c r="L156" s="697"/>
      <c r="M156" s="697"/>
      <c r="N156" s="698"/>
      <c r="O156" s="697"/>
      <c r="P156" s="697"/>
      <c r="Q156" s="697"/>
      <c r="R156" s="697"/>
      <c r="S156" s="697"/>
      <c r="T156" s="697"/>
      <c r="U156" s="697"/>
      <c r="V156" s="697"/>
      <c r="W156" s="698"/>
      <c r="X156" s="698"/>
      <c r="Y156" s="697"/>
      <c r="Z156" s="697"/>
      <c r="AA156" s="697"/>
      <c r="AB156" s="697"/>
      <c r="AC156" s="697"/>
    </row>
    <row r="157" spans="1:29" x14ac:dyDescent="0.2">
      <c r="A157" s="694" t="str">
        <f>+Info!$B$2</f>
        <v>724</v>
      </c>
      <c r="B157" s="694" t="s">
        <v>4793</v>
      </c>
      <c r="C157" s="694" t="s">
        <v>4794</v>
      </c>
      <c r="D157" s="695" t="s">
        <v>4795</v>
      </c>
      <c r="E157" s="696"/>
      <c r="F157" s="697"/>
      <c r="G157" s="697"/>
      <c r="H157" s="698"/>
      <c r="I157" s="697"/>
      <c r="J157" s="698"/>
      <c r="K157" s="697"/>
      <c r="L157" s="697"/>
      <c r="M157" s="697"/>
      <c r="N157" s="698"/>
      <c r="O157" s="697"/>
      <c r="P157" s="697"/>
      <c r="Q157" s="697"/>
      <c r="R157" s="697"/>
      <c r="S157" s="697"/>
      <c r="T157" s="697"/>
      <c r="U157" s="697"/>
      <c r="V157" s="697"/>
      <c r="W157" s="698"/>
      <c r="X157" s="698"/>
      <c r="Y157" s="697"/>
      <c r="Z157" s="697"/>
      <c r="AA157" s="697"/>
      <c r="AB157" s="697"/>
      <c r="AC157" s="697"/>
    </row>
    <row r="158" spans="1:29" x14ac:dyDescent="0.2">
      <c r="A158" s="694" t="str">
        <f>+Info!$B$2</f>
        <v>724</v>
      </c>
      <c r="B158" s="694" t="s">
        <v>4796</v>
      </c>
      <c r="C158" s="694" t="s">
        <v>4797</v>
      </c>
      <c r="D158" s="695" t="s">
        <v>4798</v>
      </c>
      <c r="E158" s="696"/>
      <c r="F158" s="697"/>
      <c r="G158" s="697"/>
      <c r="H158" s="698"/>
      <c r="I158" s="697"/>
      <c r="J158" s="698"/>
      <c r="K158" s="697"/>
      <c r="L158" s="697"/>
      <c r="M158" s="697"/>
      <c r="N158" s="698"/>
      <c r="O158" s="697"/>
      <c r="P158" s="697"/>
      <c r="Q158" s="697"/>
      <c r="R158" s="697"/>
      <c r="S158" s="697"/>
      <c r="T158" s="697"/>
      <c r="U158" s="697"/>
      <c r="V158" s="697"/>
      <c r="W158" s="698"/>
      <c r="X158" s="698"/>
      <c r="Y158" s="697"/>
      <c r="Z158" s="697"/>
      <c r="AA158" s="697"/>
      <c r="AB158" s="697"/>
      <c r="AC158" s="697"/>
    </row>
    <row r="159" spans="1:29" x14ac:dyDescent="0.2">
      <c r="A159" s="694" t="str">
        <f>+Info!$B$2</f>
        <v>724</v>
      </c>
      <c r="B159" s="694" t="s">
        <v>4799</v>
      </c>
      <c r="C159" s="694" t="s">
        <v>4800</v>
      </c>
      <c r="D159" s="695" t="s">
        <v>4801</v>
      </c>
      <c r="E159" s="696"/>
      <c r="F159" s="697"/>
      <c r="G159" s="697"/>
      <c r="H159" s="698"/>
      <c r="I159" s="697"/>
      <c r="J159" s="698"/>
      <c r="K159" s="697"/>
      <c r="L159" s="697"/>
      <c r="M159" s="697"/>
      <c r="N159" s="698"/>
      <c r="O159" s="697"/>
      <c r="P159" s="697"/>
      <c r="Q159" s="697"/>
      <c r="R159" s="697"/>
      <c r="S159" s="697"/>
      <c r="T159" s="697"/>
      <c r="U159" s="697"/>
      <c r="V159" s="697"/>
      <c r="W159" s="698"/>
      <c r="X159" s="698"/>
      <c r="Y159" s="697"/>
      <c r="Z159" s="697"/>
      <c r="AA159" s="697"/>
      <c r="AB159" s="697"/>
      <c r="AC159" s="697"/>
    </row>
    <row r="160" spans="1:29" ht="25.5" x14ac:dyDescent="0.2">
      <c r="A160" s="694" t="str">
        <f>+Info!$B$2</f>
        <v>724</v>
      </c>
      <c r="B160" s="694" t="s">
        <v>4802</v>
      </c>
      <c r="C160" s="694" t="s">
        <v>4803</v>
      </c>
      <c r="D160" s="695" t="s">
        <v>4804</v>
      </c>
      <c r="E160" s="696"/>
      <c r="F160" s="697"/>
      <c r="G160" s="697"/>
      <c r="H160" s="698"/>
      <c r="I160" s="697"/>
      <c r="J160" s="698"/>
      <c r="K160" s="697"/>
      <c r="L160" s="697"/>
      <c r="M160" s="697"/>
      <c r="N160" s="698"/>
      <c r="O160" s="697"/>
      <c r="P160" s="697"/>
      <c r="Q160" s="697"/>
      <c r="R160" s="697"/>
      <c r="S160" s="697"/>
      <c r="T160" s="697"/>
      <c r="U160" s="697"/>
      <c r="V160" s="697"/>
      <c r="W160" s="698"/>
      <c r="X160" s="698"/>
      <c r="Y160" s="697"/>
      <c r="Z160" s="697"/>
      <c r="AA160" s="697"/>
      <c r="AB160" s="697"/>
      <c r="AC160" s="697"/>
    </row>
    <row r="161" spans="1:29" ht="15" x14ac:dyDescent="0.25">
      <c r="A161" s="691" t="str">
        <f>+Info!$B$2</f>
        <v>724</v>
      </c>
      <c r="B161" s="691" t="s">
        <v>4805</v>
      </c>
      <c r="C161" s="691" t="s">
        <v>4806</v>
      </c>
      <c r="D161" s="692" t="s">
        <v>4807</v>
      </c>
      <c r="E161" s="693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</row>
    <row r="162" spans="1:29" x14ac:dyDescent="0.2">
      <c r="A162" s="694" t="str">
        <f>+Info!$B$2</f>
        <v>724</v>
      </c>
      <c r="B162" s="694" t="s">
        <v>4808</v>
      </c>
      <c r="C162" s="694" t="s">
        <v>4809</v>
      </c>
      <c r="D162" s="695" t="s">
        <v>4810</v>
      </c>
      <c r="E162" s="696"/>
      <c r="F162" s="697"/>
      <c r="G162" s="697"/>
      <c r="H162" s="698"/>
      <c r="I162" s="697"/>
      <c r="J162" s="697"/>
      <c r="K162" s="697"/>
      <c r="L162" s="697"/>
      <c r="M162" s="697"/>
      <c r="N162" s="698"/>
      <c r="O162" s="697"/>
      <c r="P162" s="697"/>
      <c r="Q162" s="697"/>
      <c r="R162" s="697"/>
      <c r="S162" s="697"/>
      <c r="T162" s="697"/>
      <c r="U162" s="697"/>
      <c r="V162" s="697"/>
      <c r="W162" s="698"/>
      <c r="X162" s="698"/>
      <c r="Y162" s="697"/>
      <c r="Z162" s="697"/>
      <c r="AA162" s="697"/>
      <c r="AB162" s="697"/>
      <c r="AC162" s="697"/>
    </row>
    <row r="163" spans="1:29" x14ac:dyDescent="0.2">
      <c r="A163" s="694" t="str">
        <f>+Info!$B$2</f>
        <v>724</v>
      </c>
      <c r="B163" s="694" t="s">
        <v>4811</v>
      </c>
      <c r="C163" s="694" t="s">
        <v>4812</v>
      </c>
      <c r="D163" s="695" t="s">
        <v>4813</v>
      </c>
      <c r="E163" s="696"/>
      <c r="F163" s="697"/>
      <c r="G163" s="697"/>
      <c r="H163" s="698"/>
      <c r="I163" s="697"/>
      <c r="J163" s="697"/>
      <c r="K163" s="697"/>
      <c r="L163" s="697"/>
      <c r="M163" s="697"/>
      <c r="N163" s="698"/>
      <c r="O163" s="697"/>
      <c r="P163" s="697"/>
      <c r="Q163" s="697"/>
      <c r="R163" s="697"/>
      <c r="S163" s="697"/>
      <c r="T163" s="697"/>
      <c r="U163" s="697"/>
      <c r="V163" s="697"/>
      <c r="W163" s="698"/>
      <c r="X163" s="698"/>
      <c r="Y163" s="697"/>
      <c r="Z163" s="697"/>
      <c r="AA163" s="697"/>
      <c r="AB163" s="697"/>
      <c r="AC163" s="697"/>
    </row>
    <row r="164" spans="1:29" x14ac:dyDescent="0.2">
      <c r="A164" s="694" t="str">
        <f>+Info!$B$2</f>
        <v>724</v>
      </c>
      <c r="B164" s="694" t="s">
        <v>4814</v>
      </c>
      <c r="C164" s="694" t="s">
        <v>4815</v>
      </c>
      <c r="D164" s="695" t="s">
        <v>4816</v>
      </c>
      <c r="E164" s="696"/>
      <c r="F164" s="697"/>
      <c r="G164" s="697"/>
      <c r="H164" s="698"/>
      <c r="I164" s="697"/>
      <c r="J164" s="697"/>
      <c r="K164" s="697"/>
      <c r="L164" s="697"/>
      <c r="M164" s="697"/>
      <c r="N164" s="698"/>
      <c r="O164" s="697"/>
      <c r="P164" s="697"/>
      <c r="Q164" s="697"/>
      <c r="R164" s="697"/>
      <c r="S164" s="697"/>
      <c r="T164" s="697"/>
      <c r="U164" s="697"/>
      <c r="V164" s="697"/>
      <c r="W164" s="698"/>
      <c r="X164" s="698"/>
      <c r="Y164" s="697"/>
      <c r="Z164" s="697"/>
      <c r="AA164" s="697"/>
      <c r="AB164" s="697"/>
      <c r="AC164" s="697"/>
    </row>
    <row r="165" spans="1:29" x14ac:dyDescent="0.2">
      <c r="A165" s="694" t="str">
        <f>+Info!$B$2</f>
        <v>724</v>
      </c>
      <c r="B165" s="694" t="s">
        <v>4817</v>
      </c>
      <c r="C165" s="694" t="s">
        <v>4818</v>
      </c>
      <c r="D165" s="695" t="s">
        <v>4819</v>
      </c>
      <c r="E165" s="696"/>
      <c r="F165" s="697"/>
      <c r="G165" s="697"/>
      <c r="H165" s="698"/>
      <c r="I165" s="697"/>
      <c r="J165" s="697"/>
      <c r="K165" s="697"/>
      <c r="L165" s="697"/>
      <c r="M165" s="697"/>
      <c r="N165" s="698"/>
      <c r="O165" s="697"/>
      <c r="P165" s="697"/>
      <c r="Q165" s="697"/>
      <c r="R165" s="697"/>
      <c r="S165" s="697"/>
      <c r="T165" s="697"/>
      <c r="U165" s="697"/>
      <c r="V165" s="697"/>
      <c r="W165" s="698"/>
      <c r="X165" s="698"/>
      <c r="Y165" s="697"/>
      <c r="Z165" s="697"/>
      <c r="AA165" s="697"/>
      <c r="AB165" s="697"/>
      <c r="AC165" s="697"/>
    </row>
    <row r="166" spans="1:29" x14ac:dyDescent="0.2">
      <c r="A166" s="694" t="str">
        <f>+Info!$B$2</f>
        <v>724</v>
      </c>
      <c r="B166" s="694" t="s">
        <v>4820</v>
      </c>
      <c r="C166" s="694" t="s">
        <v>4821</v>
      </c>
      <c r="D166" s="695" t="s">
        <v>4822</v>
      </c>
      <c r="E166" s="696"/>
      <c r="F166" s="697"/>
      <c r="G166" s="697"/>
      <c r="H166" s="698"/>
      <c r="I166" s="697"/>
      <c r="J166" s="697"/>
      <c r="K166" s="697"/>
      <c r="L166" s="697"/>
      <c r="M166" s="697"/>
      <c r="N166" s="698"/>
      <c r="O166" s="697"/>
      <c r="P166" s="697"/>
      <c r="Q166" s="697"/>
      <c r="R166" s="697"/>
      <c r="S166" s="697"/>
      <c r="T166" s="697"/>
      <c r="U166" s="697"/>
      <c r="V166" s="697"/>
      <c r="W166" s="698"/>
      <c r="X166" s="698"/>
      <c r="Y166" s="697"/>
      <c r="Z166" s="697"/>
      <c r="AA166" s="697"/>
      <c r="AB166" s="697"/>
      <c r="AC166" s="697"/>
    </row>
    <row r="167" spans="1:29" x14ac:dyDescent="0.2">
      <c r="A167" s="694" t="str">
        <f>+Info!$B$2</f>
        <v>724</v>
      </c>
      <c r="B167" s="694" t="s">
        <v>4823</v>
      </c>
      <c r="C167" s="694" t="s">
        <v>4824</v>
      </c>
      <c r="D167" s="695" t="s">
        <v>4825</v>
      </c>
      <c r="E167" s="696"/>
      <c r="F167" s="697"/>
      <c r="G167" s="697"/>
      <c r="H167" s="698"/>
      <c r="I167" s="697"/>
      <c r="J167" s="698"/>
      <c r="K167" s="697"/>
      <c r="L167" s="697"/>
      <c r="M167" s="697"/>
      <c r="N167" s="698"/>
      <c r="O167" s="697"/>
      <c r="P167" s="697"/>
      <c r="Q167" s="697"/>
      <c r="R167" s="697"/>
      <c r="S167" s="697"/>
      <c r="T167" s="697"/>
      <c r="U167" s="697"/>
      <c r="V167" s="697"/>
      <c r="W167" s="698"/>
      <c r="X167" s="698"/>
      <c r="Y167" s="697"/>
      <c r="Z167" s="697"/>
      <c r="AA167" s="697"/>
      <c r="AB167" s="697"/>
      <c r="AC167" s="697"/>
    </row>
    <row r="168" spans="1:29" x14ac:dyDescent="0.2">
      <c r="A168" s="694" t="str">
        <f>+Info!$B$2</f>
        <v>724</v>
      </c>
      <c r="B168" s="694" t="s">
        <v>4826</v>
      </c>
      <c r="C168" s="694" t="s">
        <v>4827</v>
      </c>
      <c r="D168" s="695" t="s">
        <v>4828</v>
      </c>
      <c r="E168" s="696"/>
      <c r="F168" s="697"/>
      <c r="G168" s="697"/>
      <c r="H168" s="698"/>
      <c r="I168" s="697"/>
      <c r="J168" s="698"/>
      <c r="K168" s="697"/>
      <c r="L168" s="697"/>
      <c r="M168" s="697"/>
      <c r="N168" s="698"/>
      <c r="O168" s="697"/>
      <c r="P168" s="697"/>
      <c r="Q168" s="697"/>
      <c r="R168" s="697"/>
      <c r="S168" s="697"/>
      <c r="T168" s="697"/>
      <c r="U168" s="697"/>
      <c r="V168" s="697"/>
      <c r="W168" s="698"/>
      <c r="X168" s="698"/>
      <c r="Y168" s="697"/>
      <c r="Z168" s="697"/>
      <c r="AA168" s="697"/>
      <c r="AB168" s="697"/>
      <c r="AC168" s="697"/>
    </row>
    <row r="169" spans="1:29" x14ac:dyDescent="0.2">
      <c r="A169" s="694" t="str">
        <f>+Info!$B$2</f>
        <v>724</v>
      </c>
      <c r="B169" s="694" t="s">
        <v>4829</v>
      </c>
      <c r="C169" s="694" t="s">
        <v>4830</v>
      </c>
      <c r="D169" s="695" t="s">
        <v>4831</v>
      </c>
      <c r="E169" s="696"/>
      <c r="F169" s="697"/>
      <c r="G169" s="697"/>
      <c r="H169" s="698"/>
      <c r="I169" s="697"/>
      <c r="J169" s="698"/>
      <c r="K169" s="697"/>
      <c r="L169" s="697"/>
      <c r="M169" s="697"/>
      <c r="N169" s="698"/>
      <c r="O169" s="697"/>
      <c r="P169" s="697"/>
      <c r="Q169" s="697"/>
      <c r="R169" s="697"/>
      <c r="S169" s="697"/>
      <c r="T169" s="697"/>
      <c r="U169" s="697"/>
      <c r="V169" s="697"/>
      <c r="W169" s="698"/>
      <c r="X169" s="698"/>
      <c r="Y169" s="697"/>
      <c r="Z169" s="697"/>
      <c r="AA169" s="697"/>
      <c r="AB169" s="697"/>
      <c r="AC169" s="697"/>
    </row>
    <row r="170" spans="1:29" x14ac:dyDescent="0.2">
      <c r="A170" s="694" t="str">
        <f>+Info!$B$2</f>
        <v>724</v>
      </c>
      <c r="B170" s="694" t="s">
        <v>4832</v>
      </c>
      <c r="C170" s="694" t="s">
        <v>4833</v>
      </c>
      <c r="D170" s="695" t="s">
        <v>4834</v>
      </c>
      <c r="E170" s="696"/>
      <c r="F170" s="697"/>
      <c r="G170" s="697"/>
      <c r="H170" s="698"/>
      <c r="I170" s="697"/>
      <c r="J170" s="698"/>
      <c r="K170" s="697"/>
      <c r="L170" s="697"/>
      <c r="M170" s="697"/>
      <c r="N170" s="698"/>
      <c r="O170" s="697"/>
      <c r="P170" s="697"/>
      <c r="Q170" s="697"/>
      <c r="R170" s="697"/>
      <c r="S170" s="697"/>
      <c r="T170" s="697"/>
      <c r="U170" s="697"/>
      <c r="V170" s="697"/>
      <c r="W170" s="698"/>
      <c r="X170" s="698"/>
      <c r="Y170" s="697"/>
      <c r="Z170" s="697"/>
      <c r="AA170" s="697"/>
      <c r="AB170" s="697"/>
      <c r="AC170" s="697"/>
    </row>
    <row r="171" spans="1:29" x14ac:dyDescent="0.2">
      <c r="A171" s="694" t="str">
        <f>+Info!$B$2</f>
        <v>724</v>
      </c>
      <c r="B171" s="694" t="s">
        <v>4835</v>
      </c>
      <c r="C171" s="694" t="s">
        <v>4836</v>
      </c>
      <c r="D171" s="695" t="s">
        <v>4837</v>
      </c>
      <c r="E171" s="696"/>
      <c r="F171" s="697"/>
      <c r="G171" s="697"/>
      <c r="H171" s="698"/>
      <c r="I171" s="697"/>
      <c r="J171" s="698"/>
      <c r="K171" s="697"/>
      <c r="L171" s="697"/>
      <c r="M171" s="697"/>
      <c r="N171" s="698"/>
      <c r="O171" s="697"/>
      <c r="P171" s="697"/>
      <c r="Q171" s="697"/>
      <c r="R171" s="697"/>
      <c r="S171" s="697"/>
      <c r="T171" s="697"/>
      <c r="U171" s="697"/>
      <c r="V171" s="697"/>
      <c r="W171" s="698"/>
      <c r="X171" s="698"/>
      <c r="Y171" s="697"/>
      <c r="Z171" s="697"/>
      <c r="AA171" s="697"/>
      <c r="AB171" s="697"/>
      <c r="AC171" s="697"/>
    </row>
    <row r="172" spans="1:29" x14ac:dyDescent="0.2">
      <c r="A172" s="694" t="str">
        <f>+Info!$B$2</f>
        <v>724</v>
      </c>
      <c r="B172" s="694" t="s">
        <v>4838</v>
      </c>
      <c r="C172" s="694" t="s">
        <v>4839</v>
      </c>
      <c r="D172" s="695" t="s">
        <v>4840</v>
      </c>
      <c r="E172" s="696"/>
      <c r="F172" s="697"/>
      <c r="G172" s="697"/>
      <c r="H172" s="698"/>
      <c r="I172" s="697"/>
      <c r="J172" s="698"/>
      <c r="K172" s="697"/>
      <c r="L172" s="697"/>
      <c r="M172" s="697"/>
      <c r="N172" s="698"/>
      <c r="O172" s="697"/>
      <c r="P172" s="697"/>
      <c r="Q172" s="697"/>
      <c r="R172" s="697"/>
      <c r="S172" s="697"/>
      <c r="T172" s="697"/>
      <c r="U172" s="697"/>
      <c r="V172" s="697"/>
      <c r="W172" s="698"/>
      <c r="X172" s="698"/>
      <c r="Y172" s="697"/>
      <c r="Z172" s="697"/>
      <c r="AA172" s="697"/>
      <c r="AB172" s="697"/>
      <c r="AC172" s="697"/>
    </row>
    <row r="173" spans="1:29" ht="15" x14ac:dyDescent="0.25">
      <c r="A173" s="691" t="str">
        <f>+Info!$B$2</f>
        <v>724</v>
      </c>
      <c r="B173" s="691" t="s">
        <v>4841</v>
      </c>
      <c r="C173" s="691" t="s">
        <v>4842</v>
      </c>
      <c r="D173" s="692" t="s">
        <v>4843</v>
      </c>
      <c r="E173" s="693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</row>
    <row r="174" spans="1:29" x14ac:dyDescent="0.2">
      <c r="A174" s="694" t="str">
        <f>+Info!$B$2</f>
        <v>724</v>
      </c>
      <c r="B174" s="694" t="s">
        <v>4844</v>
      </c>
      <c r="C174" s="694" t="s">
        <v>4845</v>
      </c>
      <c r="D174" s="695" t="s">
        <v>4846</v>
      </c>
      <c r="E174" s="696"/>
      <c r="F174" s="697"/>
      <c r="G174" s="697"/>
      <c r="H174" s="698"/>
      <c r="I174" s="697"/>
      <c r="J174" s="697"/>
      <c r="K174" s="697"/>
      <c r="L174" s="697"/>
      <c r="M174" s="697"/>
      <c r="N174" s="698"/>
      <c r="O174" s="697"/>
      <c r="P174" s="697"/>
      <c r="Q174" s="697"/>
      <c r="R174" s="697"/>
      <c r="S174" s="697"/>
      <c r="T174" s="697"/>
      <c r="U174" s="697"/>
      <c r="V174" s="697"/>
      <c r="W174" s="698"/>
      <c r="X174" s="698"/>
      <c r="Y174" s="697"/>
      <c r="Z174" s="697"/>
      <c r="AA174" s="697"/>
      <c r="AB174" s="697"/>
      <c r="AC174" s="697"/>
    </row>
    <row r="175" spans="1:29" x14ac:dyDescent="0.2">
      <c r="A175" s="694" t="str">
        <f>+Info!$B$2</f>
        <v>724</v>
      </c>
      <c r="B175" s="694" t="s">
        <v>4847</v>
      </c>
      <c r="C175" s="694" t="s">
        <v>4848</v>
      </c>
      <c r="D175" s="695" t="s">
        <v>4849</v>
      </c>
      <c r="E175" s="696"/>
      <c r="F175" s="697"/>
      <c r="G175" s="697"/>
      <c r="H175" s="698"/>
      <c r="I175" s="697"/>
      <c r="J175" s="697"/>
      <c r="K175" s="697"/>
      <c r="L175" s="697"/>
      <c r="M175" s="697"/>
      <c r="N175" s="698"/>
      <c r="O175" s="697"/>
      <c r="P175" s="697"/>
      <c r="Q175" s="697"/>
      <c r="R175" s="697"/>
      <c r="S175" s="697"/>
      <c r="T175" s="697"/>
      <c r="U175" s="697"/>
      <c r="V175" s="697"/>
      <c r="W175" s="698"/>
      <c r="X175" s="698"/>
      <c r="Y175" s="697"/>
      <c r="Z175" s="697"/>
      <c r="AA175" s="697"/>
      <c r="AB175" s="697"/>
      <c r="AC175" s="697"/>
    </row>
    <row r="176" spans="1:29" ht="25.5" x14ac:dyDescent="0.2">
      <c r="A176" s="694" t="str">
        <f>+Info!$B$2</f>
        <v>724</v>
      </c>
      <c r="B176" s="694" t="s">
        <v>4850</v>
      </c>
      <c r="C176" s="694" t="s">
        <v>4851</v>
      </c>
      <c r="D176" s="695" t="s">
        <v>4852</v>
      </c>
      <c r="E176" s="696"/>
      <c r="F176" s="697"/>
      <c r="G176" s="697"/>
      <c r="H176" s="698"/>
      <c r="I176" s="697"/>
      <c r="J176" s="697"/>
      <c r="K176" s="697"/>
      <c r="L176" s="697"/>
      <c r="M176" s="697"/>
      <c r="N176" s="698"/>
      <c r="O176" s="697"/>
      <c r="P176" s="697"/>
      <c r="Q176" s="697"/>
      <c r="R176" s="697"/>
      <c r="S176" s="697"/>
      <c r="T176" s="697"/>
      <c r="U176" s="697"/>
      <c r="V176" s="697"/>
      <c r="W176" s="698"/>
      <c r="X176" s="698"/>
      <c r="Y176" s="697"/>
      <c r="Z176" s="697"/>
      <c r="AA176" s="697"/>
      <c r="AB176" s="697"/>
      <c r="AC176" s="697"/>
    </row>
    <row r="177" spans="1:29" x14ac:dyDescent="0.2">
      <c r="A177" s="694" t="str">
        <f>+Info!$B$2</f>
        <v>724</v>
      </c>
      <c r="B177" s="694" t="s">
        <v>4853</v>
      </c>
      <c r="C177" s="694" t="s">
        <v>4854</v>
      </c>
      <c r="D177" s="695" t="s">
        <v>4855</v>
      </c>
      <c r="E177" s="696"/>
      <c r="F177" s="697"/>
      <c r="G177" s="697"/>
      <c r="H177" s="698"/>
      <c r="I177" s="697"/>
      <c r="J177" s="697"/>
      <c r="K177" s="697"/>
      <c r="L177" s="697"/>
      <c r="M177" s="697"/>
      <c r="N177" s="698"/>
      <c r="O177" s="697"/>
      <c r="P177" s="697"/>
      <c r="Q177" s="697"/>
      <c r="R177" s="697"/>
      <c r="S177" s="697"/>
      <c r="T177" s="697"/>
      <c r="U177" s="697"/>
      <c r="V177" s="697"/>
      <c r="W177" s="698"/>
      <c r="X177" s="698"/>
      <c r="Y177" s="697"/>
      <c r="Z177" s="697"/>
      <c r="AA177" s="697"/>
      <c r="AB177" s="697"/>
      <c r="AC177" s="697"/>
    </row>
    <row r="178" spans="1:29" ht="25.5" x14ac:dyDescent="0.2">
      <c r="A178" s="694" t="str">
        <f>+Info!$B$2</f>
        <v>724</v>
      </c>
      <c r="B178" s="694" t="s">
        <v>4856</v>
      </c>
      <c r="C178" s="694" t="s">
        <v>4857</v>
      </c>
      <c r="D178" s="695" t="s">
        <v>4858</v>
      </c>
      <c r="E178" s="696"/>
      <c r="F178" s="697"/>
      <c r="G178" s="697"/>
      <c r="H178" s="698"/>
      <c r="I178" s="697"/>
      <c r="J178" s="697"/>
      <c r="K178" s="697"/>
      <c r="L178" s="697"/>
      <c r="M178" s="697"/>
      <c r="N178" s="698"/>
      <c r="O178" s="697"/>
      <c r="P178" s="697"/>
      <c r="Q178" s="697"/>
      <c r="R178" s="697"/>
      <c r="S178" s="697"/>
      <c r="T178" s="697"/>
      <c r="U178" s="697"/>
      <c r="V178" s="697"/>
      <c r="W178" s="698"/>
      <c r="X178" s="698"/>
      <c r="Y178" s="697"/>
      <c r="Z178" s="697"/>
      <c r="AA178" s="697"/>
      <c r="AB178" s="697"/>
      <c r="AC178" s="697"/>
    </row>
    <row r="179" spans="1:29" x14ac:dyDescent="0.2">
      <c r="A179" s="694" t="str">
        <f>+Info!$B$2</f>
        <v>724</v>
      </c>
      <c r="B179" s="694" t="s">
        <v>4859</v>
      </c>
      <c r="C179" s="694" t="s">
        <v>4860</v>
      </c>
      <c r="D179" s="695" t="s">
        <v>4861</v>
      </c>
      <c r="E179" s="696"/>
      <c r="F179" s="697"/>
      <c r="G179" s="697"/>
      <c r="H179" s="698"/>
      <c r="I179" s="697"/>
      <c r="J179" s="698"/>
      <c r="K179" s="697"/>
      <c r="L179" s="697"/>
      <c r="M179" s="697"/>
      <c r="N179" s="698"/>
      <c r="O179" s="697"/>
      <c r="P179" s="697"/>
      <c r="Q179" s="697"/>
      <c r="R179" s="697"/>
      <c r="S179" s="697"/>
      <c r="T179" s="697"/>
      <c r="U179" s="697"/>
      <c r="V179" s="697"/>
      <c r="W179" s="698"/>
      <c r="X179" s="698"/>
      <c r="Y179" s="697"/>
      <c r="Z179" s="697"/>
      <c r="AA179" s="697"/>
      <c r="AB179" s="697"/>
      <c r="AC179" s="697"/>
    </row>
    <row r="180" spans="1:29" x14ac:dyDescent="0.2">
      <c r="A180" s="694" t="str">
        <f>+Info!$B$2</f>
        <v>724</v>
      </c>
      <c r="B180" s="694" t="s">
        <v>4862</v>
      </c>
      <c r="C180" s="694" t="s">
        <v>4863</v>
      </c>
      <c r="D180" s="695" t="s">
        <v>4864</v>
      </c>
      <c r="E180" s="696"/>
      <c r="F180" s="697"/>
      <c r="G180" s="697"/>
      <c r="H180" s="698"/>
      <c r="I180" s="697"/>
      <c r="J180" s="698"/>
      <c r="K180" s="697"/>
      <c r="L180" s="697"/>
      <c r="M180" s="697"/>
      <c r="N180" s="698"/>
      <c r="O180" s="697"/>
      <c r="P180" s="697"/>
      <c r="Q180" s="697"/>
      <c r="R180" s="697"/>
      <c r="S180" s="697"/>
      <c r="T180" s="697"/>
      <c r="U180" s="697"/>
      <c r="V180" s="697"/>
      <c r="W180" s="698"/>
      <c r="X180" s="698"/>
      <c r="Y180" s="697"/>
      <c r="Z180" s="697"/>
      <c r="AA180" s="697"/>
      <c r="AB180" s="697"/>
      <c r="AC180" s="697"/>
    </row>
    <row r="181" spans="1:29" x14ac:dyDescent="0.2">
      <c r="A181" s="694" t="str">
        <f>+Info!$B$2</f>
        <v>724</v>
      </c>
      <c r="B181" s="694" t="s">
        <v>4865</v>
      </c>
      <c r="C181" s="694" t="s">
        <v>4866</v>
      </c>
      <c r="D181" s="695" t="s">
        <v>4867</v>
      </c>
      <c r="E181" s="696"/>
      <c r="F181" s="697"/>
      <c r="G181" s="697"/>
      <c r="H181" s="698"/>
      <c r="I181" s="697"/>
      <c r="J181" s="698"/>
      <c r="K181" s="697"/>
      <c r="L181" s="697"/>
      <c r="M181" s="697"/>
      <c r="N181" s="698"/>
      <c r="O181" s="697"/>
      <c r="P181" s="697"/>
      <c r="Q181" s="697"/>
      <c r="R181" s="697"/>
      <c r="S181" s="697"/>
      <c r="T181" s="697"/>
      <c r="U181" s="697"/>
      <c r="V181" s="697"/>
      <c r="W181" s="698"/>
      <c r="X181" s="698"/>
      <c r="Y181" s="697"/>
      <c r="Z181" s="697"/>
      <c r="AA181" s="697"/>
      <c r="AB181" s="697"/>
      <c r="AC181" s="697"/>
    </row>
    <row r="182" spans="1:29" ht="25.5" x14ac:dyDescent="0.2">
      <c r="A182" s="694" t="str">
        <f>+Info!$B$2</f>
        <v>724</v>
      </c>
      <c r="B182" s="694" t="s">
        <v>4868</v>
      </c>
      <c r="C182" s="694" t="s">
        <v>4869</v>
      </c>
      <c r="D182" s="695" t="s">
        <v>4870</v>
      </c>
      <c r="E182" s="696"/>
      <c r="F182" s="697"/>
      <c r="G182" s="697"/>
      <c r="H182" s="698"/>
      <c r="I182" s="697"/>
      <c r="J182" s="698"/>
      <c r="K182" s="697"/>
      <c r="L182" s="697"/>
      <c r="M182" s="697"/>
      <c r="N182" s="698"/>
      <c r="O182" s="697"/>
      <c r="P182" s="697"/>
      <c r="Q182" s="697"/>
      <c r="R182" s="697"/>
      <c r="S182" s="697"/>
      <c r="T182" s="697"/>
      <c r="U182" s="697"/>
      <c r="V182" s="697"/>
      <c r="W182" s="698"/>
      <c r="X182" s="698"/>
      <c r="Y182" s="697"/>
      <c r="Z182" s="697"/>
      <c r="AA182" s="697"/>
      <c r="AB182" s="697"/>
      <c r="AC182" s="697"/>
    </row>
    <row r="183" spans="1:29" ht="25.5" x14ac:dyDescent="0.2">
      <c r="A183" s="694" t="str">
        <f>+Info!$B$2</f>
        <v>724</v>
      </c>
      <c r="B183" s="694" t="s">
        <v>4871</v>
      </c>
      <c r="C183" s="694" t="s">
        <v>4872</v>
      </c>
      <c r="D183" s="695" t="s">
        <v>4873</v>
      </c>
      <c r="E183" s="696"/>
      <c r="F183" s="697"/>
      <c r="G183" s="697"/>
      <c r="H183" s="698"/>
      <c r="I183" s="697"/>
      <c r="J183" s="698"/>
      <c r="K183" s="697"/>
      <c r="L183" s="697"/>
      <c r="M183" s="697"/>
      <c r="N183" s="698"/>
      <c r="O183" s="697"/>
      <c r="P183" s="697"/>
      <c r="Q183" s="697"/>
      <c r="R183" s="697"/>
      <c r="S183" s="697"/>
      <c r="T183" s="697"/>
      <c r="U183" s="697"/>
      <c r="V183" s="697"/>
      <c r="W183" s="698"/>
      <c r="X183" s="698"/>
      <c r="Y183" s="697"/>
      <c r="Z183" s="697"/>
      <c r="AA183" s="697"/>
      <c r="AB183" s="697"/>
      <c r="AC183" s="697"/>
    </row>
    <row r="184" spans="1:29" ht="15" x14ac:dyDescent="0.25">
      <c r="A184" s="691" t="str">
        <f>+Info!$B$2</f>
        <v>724</v>
      </c>
      <c r="B184" s="691" t="s">
        <v>4874</v>
      </c>
      <c r="C184" s="691" t="s">
        <v>4875</v>
      </c>
      <c r="D184" s="692" t="s">
        <v>4876</v>
      </c>
      <c r="E184" s="693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</row>
    <row r="185" spans="1:29" x14ac:dyDescent="0.2">
      <c r="A185" s="694" t="str">
        <f>+Info!$B$2</f>
        <v>724</v>
      </c>
      <c r="B185" s="694" t="s">
        <v>4877</v>
      </c>
      <c r="C185" s="694" t="s">
        <v>4878</v>
      </c>
      <c r="D185" s="695" t="s">
        <v>4879</v>
      </c>
      <c r="E185" s="696"/>
      <c r="F185" s="697"/>
      <c r="G185" s="697"/>
      <c r="H185" s="698"/>
      <c r="I185" s="697"/>
      <c r="J185" s="697"/>
      <c r="K185" s="697"/>
      <c r="L185" s="697"/>
      <c r="M185" s="697"/>
      <c r="N185" s="698"/>
      <c r="O185" s="697"/>
      <c r="P185" s="697"/>
      <c r="Q185" s="697"/>
      <c r="R185" s="697"/>
      <c r="S185" s="697"/>
      <c r="T185" s="697"/>
      <c r="U185" s="697"/>
      <c r="V185" s="697"/>
      <c r="W185" s="698"/>
      <c r="X185" s="698"/>
      <c r="Y185" s="697"/>
      <c r="Z185" s="697"/>
      <c r="AA185" s="697"/>
      <c r="AB185" s="697"/>
      <c r="AC185" s="697"/>
    </row>
    <row r="186" spans="1:29" x14ac:dyDescent="0.2">
      <c r="A186" s="694" t="str">
        <f>+Info!$B$2</f>
        <v>724</v>
      </c>
      <c r="B186" s="694" t="s">
        <v>4880</v>
      </c>
      <c r="C186" s="694" t="s">
        <v>4881</v>
      </c>
      <c r="D186" s="695" t="s">
        <v>4882</v>
      </c>
      <c r="E186" s="696"/>
      <c r="F186" s="697"/>
      <c r="G186" s="697"/>
      <c r="H186" s="698"/>
      <c r="I186" s="697"/>
      <c r="J186" s="697"/>
      <c r="K186" s="697"/>
      <c r="L186" s="697"/>
      <c r="M186" s="697"/>
      <c r="N186" s="698"/>
      <c r="O186" s="697"/>
      <c r="P186" s="697"/>
      <c r="Q186" s="697"/>
      <c r="R186" s="697"/>
      <c r="S186" s="697"/>
      <c r="T186" s="697"/>
      <c r="U186" s="697"/>
      <c r="V186" s="697"/>
      <c r="W186" s="698"/>
      <c r="X186" s="698"/>
      <c r="Y186" s="697"/>
      <c r="Z186" s="697"/>
      <c r="AA186" s="697"/>
      <c r="AB186" s="697"/>
      <c r="AC186" s="697"/>
    </row>
    <row r="187" spans="1:29" x14ac:dyDescent="0.2">
      <c r="A187" s="694" t="str">
        <f>+Info!$B$2</f>
        <v>724</v>
      </c>
      <c r="B187" s="694" t="s">
        <v>4883</v>
      </c>
      <c r="C187" s="694" t="s">
        <v>4884</v>
      </c>
      <c r="D187" s="695" t="s">
        <v>4885</v>
      </c>
      <c r="E187" s="696"/>
      <c r="F187" s="697"/>
      <c r="G187" s="697"/>
      <c r="H187" s="698"/>
      <c r="I187" s="697"/>
      <c r="J187" s="697"/>
      <c r="K187" s="697"/>
      <c r="L187" s="697"/>
      <c r="M187" s="697"/>
      <c r="N187" s="698"/>
      <c r="O187" s="697"/>
      <c r="P187" s="697"/>
      <c r="Q187" s="697"/>
      <c r="R187" s="697"/>
      <c r="S187" s="697"/>
      <c r="T187" s="697"/>
      <c r="U187" s="697"/>
      <c r="V187" s="697"/>
      <c r="W187" s="698"/>
      <c r="X187" s="698"/>
      <c r="Y187" s="697"/>
      <c r="Z187" s="697"/>
      <c r="AA187" s="697"/>
      <c r="AB187" s="697"/>
      <c r="AC187" s="697"/>
    </row>
    <row r="188" spans="1:29" x14ac:dyDescent="0.2">
      <c r="A188" s="694" t="str">
        <f>+Info!$B$2</f>
        <v>724</v>
      </c>
      <c r="B188" s="694" t="s">
        <v>4886</v>
      </c>
      <c r="C188" s="694" t="s">
        <v>4887</v>
      </c>
      <c r="D188" s="695" t="s">
        <v>4888</v>
      </c>
      <c r="E188" s="696"/>
      <c r="F188" s="697"/>
      <c r="G188" s="697"/>
      <c r="H188" s="698"/>
      <c r="I188" s="697"/>
      <c r="J188" s="697"/>
      <c r="K188" s="697"/>
      <c r="L188" s="697"/>
      <c r="M188" s="697"/>
      <c r="N188" s="698"/>
      <c r="O188" s="697"/>
      <c r="P188" s="697"/>
      <c r="Q188" s="697"/>
      <c r="R188" s="697"/>
      <c r="S188" s="697"/>
      <c r="T188" s="697"/>
      <c r="U188" s="697"/>
      <c r="V188" s="697"/>
      <c r="W188" s="698"/>
      <c r="X188" s="698"/>
      <c r="Y188" s="697"/>
      <c r="Z188" s="697"/>
      <c r="AA188" s="697"/>
      <c r="AB188" s="697"/>
      <c r="AC188" s="697"/>
    </row>
    <row r="189" spans="1:29" x14ac:dyDescent="0.2">
      <c r="A189" s="694" t="str">
        <f>+Info!$B$2</f>
        <v>724</v>
      </c>
      <c r="B189" s="694" t="s">
        <v>4889</v>
      </c>
      <c r="C189" s="694" t="s">
        <v>4890</v>
      </c>
      <c r="D189" s="695" t="s">
        <v>4891</v>
      </c>
      <c r="E189" s="696"/>
      <c r="F189" s="697"/>
      <c r="G189" s="697"/>
      <c r="H189" s="698"/>
      <c r="I189" s="697"/>
      <c r="J189" s="697"/>
      <c r="K189" s="697"/>
      <c r="L189" s="697"/>
      <c r="M189" s="697"/>
      <c r="N189" s="698"/>
      <c r="O189" s="697"/>
      <c r="P189" s="697"/>
      <c r="Q189" s="697"/>
      <c r="R189" s="697"/>
      <c r="S189" s="697"/>
      <c r="T189" s="697"/>
      <c r="U189" s="697"/>
      <c r="V189" s="697"/>
      <c r="W189" s="698"/>
      <c r="X189" s="698"/>
      <c r="Y189" s="697"/>
      <c r="Z189" s="697"/>
      <c r="AA189" s="697"/>
      <c r="AB189" s="697"/>
      <c r="AC189" s="697"/>
    </row>
    <row r="190" spans="1:29" x14ac:dyDescent="0.2">
      <c r="A190" s="694" t="str">
        <f>+Info!$B$2</f>
        <v>724</v>
      </c>
      <c r="B190" s="694" t="s">
        <v>4892</v>
      </c>
      <c r="C190" s="694" t="s">
        <v>4893</v>
      </c>
      <c r="D190" s="695" t="s">
        <v>4894</v>
      </c>
      <c r="E190" s="696"/>
      <c r="F190" s="697"/>
      <c r="G190" s="697"/>
      <c r="H190" s="698"/>
      <c r="I190" s="697"/>
      <c r="J190" s="697"/>
      <c r="K190" s="697"/>
      <c r="L190" s="697"/>
      <c r="M190" s="697"/>
      <c r="N190" s="698"/>
      <c r="O190" s="697"/>
      <c r="P190" s="697"/>
      <c r="Q190" s="697"/>
      <c r="R190" s="697"/>
      <c r="S190" s="697"/>
      <c r="T190" s="697"/>
      <c r="U190" s="697"/>
      <c r="V190" s="697"/>
      <c r="W190" s="698"/>
      <c r="X190" s="698"/>
      <c r="Y190" s="697"/>
      <c r="Z190" s="697"/>
      <c r="AA190" s="697"/>
      <c r="AB190" s="697"/>
      <c r="AC190" s="697"/>
    </row>
    <row r="191" spans="1:29" x14ac:dyDescent="0.2">
      <c r="A191" s="694" t="str">
        <f>+Info!$B$2</f>
        <v>724</v>
      </c>
      <c r="B191" s="694" t="s">
        <v>4895</v>
      </c>
      <c r="C191" s="694" t="s">
        <v>4896</v>
      </c>
      <c r="D191" s="695" t="s">
        <v>4897</v>
      </c>
      <c r="E191" s="696"/>
      <c r="F191" s="697"/>
      <c r="G191" s="697"/>
      <c r="H191" s="698"/>
      <c r="I191" s="697"/>
      <c r="J191" s="698"/>
      <c r="K191" s="697"/>
      <c r="L191" s="697"/>
      <c r="M191" s="697"/>
      <c r="N191" s="698"/>
      <c r="O191" s="697"/>
      <c r="P191" s="697"/>
      <c r="Q191" s="697"/>
      <c r="R191" s="697"/>
      <c r="S191" s="697"/>
      <c r="T191" s="697"/>
      <c r="U191" s="697"/>
      <c r="V191" s="697"/>
      <c r="W191" s="698"/>
      <c r="X191" s="698"/>
      <c r="Y191" s="697"/>
      <c r="Z191" s="697"/>
      <c r="AA191" s="697"/>
      <c r="AB191" s="697"/>
      <c r="AC191" s="697"/>
    </row>
    <row r="192" spans="1:29" x14ac:dyDescent="0.2">
      <c r="A192" s="694" t="str">
        <f>+Info!$B$2</f>
        <v>724</v>
      </c>
      <c r="B192" s="694" t="s">
        <v>4898</v>
      </c>
      <c r="C192" s="694" t="s">
        <v>4899</v>
      </c>
      <c r="D192" s="695" t="s">
        <v>4900</v>
      </c>
      <c r="E192" s="696"/>
      <c r="F192" s="697"/>
      <c r="G192" s="697"/>
      <c r="H192" s="698"/>
      <c r="I192" s="697"/>
      <c r="J192" s="698"/>
      <c r="K192" s="697"/>
      <c r="L192" s="697"/>
      <c r="M192" s="697"/>
      <c r="N192" s="698"/>
      <c r="O192" s="697"/>
      <c r="P192" s="697"/>
      <c r="Q192" s="697"/>
      <c r="R192" s="697"/>
      <c r="S192" s="697"/>
      <c r="T192" s="697"/>
      <c r="U192" s="697"/>
      <c r="V192" s="697"/>
      <c r="W192" s="698"/>
      <c r="X192" s="698"/>
      <c r="Y192" s="697"/>
      <c r="Z192" s="697"/>
      <c r="AA192" s="697"/>
      <c r="AB192" s="697"/>
      <c r="AC192" s="697"/>
    </row>
    <row r="193" spans="1:29" x14ac:dyDescent="0.2">
      <c r="A193" s="694" t="str">
        <f>+Info!$B$2</f>
        <v>724</v>
      </c>
      <c r="B193" s="694" t="s">
        <v>4901</v>
      </c>
      <c r="C193" s="694" t="s">
        <v>4902</v>
      </c>
      <c r="D193" s="695" t="s">
        <v>4903</v>
      </c>
      <c r="E193" s="696"/>
      <c r="F193" s="697"/>
      <c r="G193" s="697"/>
      <c r="H193" s="698"/>
      <c r="I193" s="697"/>
      <c r="J193" s="698"/>
      <c r="K193" s="697"/>
      <c r="L193" s="697"/>
      <c r="M193" s="697"/>
      <c r="N193" s="698"/>
      <c r="O193" s="697"/>
      <c r="P193" s="697"/>
      <c r="Q193" s="697"/>
      <c r="R193" s="697"/>
      <c r="S193" s="697"/>
      <c r="T193" s="697"/>
      <c r="U193" s="697"/>
      <c r="V193" s="697"/>
      <c r="W193" s="698"/>
      <c r="X193" s="698"/>
      <c r="Y193" s="697"/>
      <c r="Z193" s="697"/>
      <c r="AA193" s="697"/>
      <c r="AB193" s="697"/>
      <c r="AC193" s="697"/>
    </row>
    <row r="194" spans="1:29" x14ac:dyDescent="0.2">
      <c r="A194" s="694" t="str">
        <f>+Info!$B$2</f>
        <v>724</v>
      </c>
      <c r="B194" s="694" t="s">
        <v>4904</v>
      </c>
      <c r="C194" s="694" t="s">
        <v>4905</v>
      </c>
      <c r="D194" s="695" t="s">
        <v>4906</v>
      </c>
      <c r="E194" s="696"/>
      <c r="F194" s="697"/>
      <c r="G194" s="697"/>
      <c r="H194" s="698"/>
      <c r="I194" s="697"/>
      <c r="J194" s="698"/>
      <c r="K194" s="697"/>
      <c r="L194" s="697"/>
      <c r="M194" s="697"/>
      <c r="N194" s="698"/>
      <c r="O194" s="697"/>
      <c r="P194" s="697"/>
      <c r="Q194" s="697"/>
      <c r="R194" s="697"/>
      <c r="S194" s="697"/>
      <c r="T194" s="697"/>
      <c r="U194" s="697"/>
      <c r="V194" s="697"/>
      <c r="W194" s="698"/>
      <c r="X194" s="698"/>
      <c r="Y194" s="697"/>
      <c r="Z194" s="697"/>
      <c r="AA194" s="697"/>
      <c r="AB194" s="697"/>
      <c r="AC194" s="697"/>
    </row>
    <row r="195" spans="1:29" x14ac:dyDescent="0.2">
      <c r="A195" s="694" t="str">
        <f>+Info!$B$2</f>
        <v>724</v>
      </c>
      <c r="B195" s="694" t="s">
        <v>4907</v>
      </c>
      <c r="C195" s="694" t="s">
        <v>4908</v>
      </c>
      <c r="D195" s="695" t="s">
        <v>4909</v>
      </c>
      <c r="E195" s="696"/>
      <c r="F195" s="697"/>
      <c r="G195" s="697"/>
      <c r="H195" s="698"/>
      <c r="I195" s="697"/>
      <c r="J195" s="698"/>
      <c r="K195" s="697"/>
      <c r="L195" s="697"/>
      <c r="M195" s="697"/>
      <c r="N195" s="698"/>
      <c r="O195" s="697"/>
      <c r="P195" s="697"/>
      <c r="Q195" s="697"/>
      <c r="R195" s="697"/>
      <c r="S195" s="697"/>
      <c r="T195" s="697"/>
      <c r="U195" s="697"/>
      <c r="V195" s="697"/>
      <c r="W195" s="698"/>
      <c r="X195" s="698"/>
      <c r="Y195" s="697"/>
      <c r="Z195" s="697"/>
      <c r="AA195" s="697"/>
      <c r="AB195" s="697"/>
      <c r="AC195" s="697"/>
    </row>
    <row r="196" spans="1:29" x14ac:dyDescent="0.2">
      <c r="A196" s="694" t="str">
        <f>+Info!$B$2</f>
        <v>724</v>
      </c>
      <c r="B196" s="694" t="s">
        <v>4910</v>
      </c>
      <c r="C196" s="694" t="s">
        <v>4911</v>
      </c>
      <c r="D196" s="695" t="s">
        <v>4912</v>
      </c>
      <c r="E196" s="696"/>
      <c r="F196" s="697"/>
      <c r="G196" s="697"/>
      <c r="H196" s="698"/>
      <c r="I196" s="697"/>
      <c r="J196" s="698"/>
      <c r="K196" s="697"/>
      <c r="L196" s="697"/>
      <c r="M196" s="697"/>
      <c r="N196" s="698"/>
      <c r="O196" s="697"/>
      <c r="P196" s="697"/>
      <c r="Q196" s="697"/>
      <c r="R196" s="697"/>
      <c r="S196" s="697"/>
      <c r="T196" s="697"/>
      <c r="U196" s="697"/>
      <c r="V196" s="697"/>
      <c r="W196" s="698"/>
      <c r="X196" s="698"/>
      <c r="Y196" s="697"/>
      <c r="Z196" s="697"/>
      <c r="AA196" s="697"/>
      <c r="AB196" s="697"/>
      <c r="AC196" s="697"/>
    </row>
    <row r="197" spans="1:29" ht="25.5" x14ac:dyDescent="0.2">
      <c r="A197" s="694" t="str">
        <f>+Info!$B$2</f>
        <v>724</v>
      </c>
      <c r="B197" s="694" t="s">
        <v>4913</v>
      </c>
      <c r="C197" s="694" t="s">
        <v>4914</v>
      </c>
      <c r="D197" s="695" t="s">
        <v>4915</v>
      </c>
      <c r="E197" s="696"/>
      <c r="F197" s="697"/>
      <c r="G197" s="697"/>
      <c r="H197" s="698"/>
      <c r="I197" s="697"/>
      <c r="J197" s="697"/>
      <c r="K197" s="697"/>
      <c r="L197" s="697"/>
      <c r="M197" s="697"/>
      <c r="N197" s="698"/>
      <c r="O197" s="697"/>
      <c r="P197" s="697"/>
      <c r="Q197" s="697"/>
      <c r="R197" s="697"/>
      <c r="S197" s="697"/>
      <c r="T197" s="697"/>
      <c r="U197" s="697"/>
      <c r="V197" s="697"/>
      <c r="W197" s="698"/>
      <c r="X197" s="698"/>
      <c r="Y197" s="697"/>
      <c r="Z197" s="697"/>
      <c r="AA197" s="697"/>
      <c r="AB197" s="697"/>
      <c r="AC197" s="697"/>
    </row>
    <row r="198" spans="1:29" ht="25.5" x14ac:dyDescent="0.2">
      <c r="A198" s="694" t="str">
        <f>+Info!$B$2</f>
        <v>724</v>
      </c>
      <c r="B198" s="694" t="s">
        <v>4916</v>
      </c>
      <c r="C198" s="694" t="s">
        <v>4917</v>
      </c>
      <c r="D198" s="695" t="s">
        <v>4918</v>
      </c>
      <c r="E198" s="696"/>
      <c r="F198" s="697"/>
      <c r="G198" s="697"/>
      <c r="H198" s="698"/>
      <c r="I198" s="697"/>
      <c r="J198" s="697"/>
      <c r="K198" s="697"/>
      <c r="L198" s="697"/>
      <c r="M198" s="697"/>
      <c r="N198" s="698"/>
      <c r="O198" s="697"/>
      <c r="P198" s="697"/>
      <c r="Q198" s="697"/>
      <c r="R198" s="697"/>
      <c r="S198" s="697"/>
      <c r="T198" s="697"/>
      <c r="U198" s="697"/>
      <c r="V198" s="697"/>
      <c r="W198" s="698"/>
      <c r="X198" s="698"/>
      <c r="Y198" s="697"/>
      <c r="Z198" s="697"/>
      <c r="AA198" s="697"/>
      <c r="AB198" s="697"/>
      <c r="AC198" s="697"/>
    </row>
    <row r="199" spans="1:29" ht="25.5" x14ac:dyDescent="0.2">
      <c r="A199" s="694" t="str">
        <f>+Info!$B$2</f>
        <v>724</v>
      </c>
      <c r="B199" s="694" t="s">
        <v>4919</v>
      </c>
      <c r="C199" s="694" t="s">
        <v>4920</v>
      </c>
      <c r="D199" s="695" t="s">
        <v>4921</v>
      </c>
      <c r="E199" s="696"/>
      <c r="F199" s="697"/>
      <c r="G199" s="697"/>
      <c r="H199" s="698"/>
      <c r="I199" s="697"/>
      <c r="J199" s="697"/>
      <c r="K199" s="697"/>
      <c r="L199" s="697"/>
      <c r="M199" s="697"/>
      <c r="N199" s="698"/>
      <c r="O199" s="697"/>
      <c r="P199" s="697"/>
      <c r="Q199" s="697"/>
      <c r="R199" s="697"/>
      <c r="S199" s="697"/>
      <c r="T199" s="697"/>
      <c r="U199" s="697"/>
      <c r="V199" s="697"/>
      <c r="W199" s="698"/>
      <c r="X199" s="698"/>
      <c r="Y199" s="697"/>
      <c r="Z199" s="697"/>
      <c r="AA199" s="697"/>
      <c r="AB199" s="697"/>
      <c r="AC199" s="697"/>
    </row>
    <row r="200" spans="1:29" ht="25.5" x14ac:dyDescent="0.2">
      <c r="A200" s="694" t="str">
        <f>+Info!$B$2</f>
        <v>724</v>
      </c>
      <c r="B200" s="694" t="s">
        <v>4922</v>
      </c>
      <c r="C200" s="694" t="s">
        <v>4923</v>
      </c>
      <c r="D200" s="695" t="s">
        <v>4924</v>
      </c>
      <c r="E200" s="696"/>
      <c r="F200" s="697"/>
      <c r="G200" s="697"/>
      <c r="H200" s="698"/>
      <c r="I200" s="697"/>
      <c r="J200" s="697"/>
      <c r="K200" s="697"/>
      <c r="L200" s="697"/>
      <c r="M200" s="697"/>
      <c r="N200" s="698"/>
      <c r="O200" s="697"/>
      <c r="P200" s="697"/>
      <c r="Q200" s="697"/>
      <c r="R200" s="697"/>
      <c r="S200" s="697"/>
      <c r="T200" s="697"/>
      <c r="U200" s="697"/>
      <c r="V200" s="697"/>
      <c r="W200" s="698"/>
      <c r="X200" s="698"/>
      <c r="Y200" s="697"/>
      <c r="Z200" s="697"/>
      <c r="AA200" s="697"/>
      <c r="AB200" s="697"/>
      <c r="AC200" s="697"/>
    </row>
    <row r="201" spans="1:29" x14ac:dyDescent="0.2">
      <c r="A201" s="694" t="str">
        <f>+Info!$B$2</f>
        <v>724</v>
      </c>
      <c r="B201" s="694" t="s">
        <v>4925</v>
      </c>
      <c r="C201" s="694" t="s">
        <v>4926</v>
      </c>
      <c r="D201" s="695" t="s">
        <v>4927</v>
      </c>
      <c r="E201" s="696"/>
      <c r="F201" s="697"/>
      <c r="G201" s="697"/>
      <c r="H201" s="698"/>
      <c r="I201" s="697"/>
      <c r="J201" s="697"/>
      <c r="K201" s="697"/>
      <c r="L201" s="697"/>
      <c r="M201" s="697"/>
      <c r="N201" s="698"/>
      <c r="O201" s="697"/>
      <c r="P201" s="697"/>
      <c r="Q201" s="697"/>
      <c r="R201" s="697"/>
      <c r="S201" s="697"/>
      <c r="T201" s="697"/>
      <c r="U201" s="697"/>
      <c r="V201" s="697"/>
      <c r="W201" s="698"/>
      <c r="X201" s="698"/>
      <c r="Y201" s="697"/>
      <c r="Z201" s="697"/>
      <c r="AA201" s="697"/>
      <c r="AB201" s="697"/>
      <c r="AC201" s="697"/>
    </row>
    <row r="202" spans="1:29" x14ac:dyDescent="0.2">
      <c r="A202" s="694" t="str">
        <f>+Info!$B$2</f>
        <v>724</v>
      </c>
      <c r="B202" s="694" t="s">
        <v>4928</v>
      </c>
      <c r="C202" s="694" t="s">
        <v>4929</v>
      </c>
      <c r="D202" s="695" t="s">
        <v>4930</v>
      </c>
      <c r="E202" s="696"/>
      <c r="F202" s="697"/>
      <c r="G202" s="697"/>
      <c r="H202" s="698"/>
      <c r="I202" s="697"/>
      <c r="J202" s="698"/>
      <c r="K202" s="697"/>
      <c r="L202" s="697"/>
      <c r="M202" s="697"/>
      <c r="N202" s="698"/>
      <c r="O202" s="697"/>
      <c r="P202" s="697"/>
      <c r="Q202" s="697"/>
      <c r="R202" s="697"/>
      <c r="S202" s="697"/>
      <c r="T202" s="697"/>
      <c r="U202" s="697"/>
      <c r="V202" s="697"/>
      <c r="W202" s="698"/>
      <c r="X202" s="698"/>
      <c r="Y202" s="697"/>
      <c r="Z202" s="697"/>
      <c r="AA202" s="697"/>
      <c r="AB202" s="697"/>
      <c r="AC202" s="697"/>
    </row>
    <row r="203" spans="1:29" x14ac:dyDescent="0.2">
      <c r="A203" s="694" t="str">
        <f>+Info!$B$2</f>
        <v>724</v>
      </c>
      <c r="B203" s="694" t="s">
        <v>4931</v>
      </c>
      <c r="C203" s="694" t="s">
        <v>4932</v>
      </c>
      <c r="D203" s="695" t="s">
        <v>4933</v>
      </c>
      <c r="E203" s="696"/>
      <c r="F203" s="697"/>
      <c r="G203" s="697"/>
      <c r="H203" s="698"/>
      <c r="I203" s="697"/>
      <c r="J203" s="698"/>
      <c r="K203" s="697"/>
      <c r="L203" s="697"/>
      <c r="M203" s="697"/>
      <c r="N203" s="698"/>
      <c r="O203" s="697"/>
      <c r="P203" s="697"/>
      <c r="Q203" s="697"/>
      <c r="R203" s="697"/>
      <c r="S203" s="697"/>
      <c r="T203" s="697"/>
      <c r="U203" s="697"/>
      <c r="V203" s="697"/>
      <c r="W203" s="698"/>
      <c r="X203" s="698"/>
      <c r="Y203" s="697"/>
      <c r="Z203" s="697"/>
      <c r="AA203" s="697"/>
      <c r="AB203" s="697"/>
      <c r="AC203" s="697"/>
    </row>
    <row r="204" spans="1:29" x14ac:dyDescent="0.2">
      <c r="A204" s="694" t="str">
        <f>+Info!$B$2</f>
        <v>724</v>
      </c>
      <c r="B204" s="694" t="s">
        <v>4934</v>
      </c>
      <c r="C204" s="694" t="s">
        <v>4935</v>
      </c>
      <c r="D204" s="695" t="s">
        <v>4936</v>
      </c>
      <c r="E204" s="696"/>
      <c r="F204" s="697"/>
      <c r="G204" s="697"/>
      <c r="H204" s="698"/>
      <c r="I204" s="697"/>
      <c r="J204" s="698"/>
      <c r="K204" s="697"/>
      <c r="L204" s="697"/>
      <c r="M204" s="697"/>
      <c r="N204" s="698"/>
      <c r="O204" s="697"/>
      <c r="P204" s="697"/>
      <c r="Q204" s="697"/>
      <c r="R204" s="697"/>
      <c r="S204" s="697"/>
      <c r="T204" s="697"/>
      <c r="U204" s="697"/>
      <c r="V204" s="697"/>
      <c r="W204" s="698"/>
      <c r="X204" s="698"/>
      <c r="Y204" s="697"/>
      <c r="Z204" s="697"/>
      <c r="AA204" s="697"/>
      <c r="AB204" s="697"/>
      <c r="AC204" s="697"/>
    </row>
    <row r="205" spans="1:29" x14ac:dyDescent="0.2">
      <c r="A205" s="694" t="str">
        <f>+Info!$B$2</f>
        <v>724</v>
      </c>
      <c r="B205" s="694" t="s">
        <v>4937</v>
      </c>
      <c r="C205" s="694" t="s">
        <v>4938</v>
      </c>
      <c r="D205" s="695" t="s">
        <v>4939</v>
      </c>
      <c r="E205" s="696"/>
      <c r="F205" s="697"/>
      <c r="G205" s="697"/>
      <c r="H205" s="698"/>
      <c r="I205" s="697"/>
      <c r="J205" s="698"/>
      <c r="K205" s="697"/>
      <c r="L205" s="697"/>
      <c r="M205" s="697"/>
      <c r="N205" s="698"/>
      <c r="O205" s="697"/>
      <c r="P205" s="697"/>
      <c r="Q205" s="697"/>
      <c r="R205" s="697"/>
      <c r="S205" s="697"/>
      <c r="T205" s="697"/>
      <c r="U205" s="697"/>
      <c r="V205" s="697"/>
      <c r="W205" s="698"/>
      <c r="X205" s="698"/>
      <c r="Y205" s="697"/>
      <c r="Z205" s="697"/>
      <c r="AA205" s="697"/>
      <c r="AB205" s="697"/>
      <c r="AC205" s="697"/>
    </row>
    <row r="206" spans="1:29" x14ac:dyDescent="0.2">
      <c r="A206" s="694" t="str">
        <f>+Info!$B$2</f>
        <v>724</v>
      </c>
      <c r="B206" s="694" t="s">
        <v>4940</v>
      </c>
      <c r="C206" s="694" t="s">
        <v>4941</v>
      </c>
      <c r="D206" s="695" t="s">
        <v>4942</v>
      </c>
      <c r="E206" s="696"/>
      <c r="F206" s="697"/>
      <c r="G206" s="697"/>
      <c r="H206" s="698"/>
      <c r="I206" s="697"/>
      <c r="J206" s="697"/>
      <c r="K206" s="697"/>
      <c r="L206" s="697"/>
      <c r="M206" s="697"/>
      <c r="N206" s="698"/>
      <c r="O206" s="697"/>
      <c r="P206" s="697"/>
      <c r="Q206" s="697"/>
      <c r="R206" s="697"/>
      <c r="S206" s="697"/>
      <c r="T206" s="697"/>
      <c r="U206" s="697"/>
      <c r="V206" s="697"/>
      <c r="W206" s="698"/>
      <c r="X206" s="698"/>
      <c r="Y206" s="697"/>
      <c r="Z206" s="697"/>
      <c r="AA206" s="697"/>
      <c r="AB206" s="697"/>
      <c r="AC206" s="697"/>
    </row>
    <row r="207" spans="1:29" ht="25.5" x14ac:dyDescent="0.2">
      <c r="A207" s="694" t="str">
        <f>+Info!$B$2</f>
        <v>724</v>
      </c>
      <c r="B207" s="694" t="s">
        <v>4943</v>
      </c>
      <c r="C207" s="694" t="s">
        <v>4944</v>
      </c>
      <c r="D207" s="695" t="s">
        <v>4945</v>
      </c>
      <c r="E207" s="696"/>
      <c r="F207" s="697"/>
      <c r="G207" s="697"/>
      <c r="H207" s="698"/>
      <c r="I207" s="697"/>
      <c r="J207" s="697"/>
      <c r="K207" s="697"/>
      <c r="L207" s="697"/>
      <c r="M207" s="697"/>
      <c r="N207" s="698"/>
      <c r="O207" s="697"/>
      <c r="P207" s="697"/>
      <c r="Q207" s="697"/>
      <c r="R207" s="697"/>
      <c r="S207" s="697"/>
      <c r="T207" s="697"/>
      <c r="U207" s="697"/>
      <c r="V207" s="697"/>
      <c r="W207" s="698"/>
      <c r="X207" s="698"/>
      <c r="Y207" s="697"/>
      <c r="Z207" s="697"/>
      <c r="AA207" s="697"/>
      <c r="AB207" s="697"/>
      <c r="AC207" s="697"/>
    </row>
    <row r="208" spans="1:29" x14ac:dyDescent="0.2">
      <c r="A208" s="694" t="str">
        <f>+Info!$B$2</f>
        <v>724</v>
      </c>
      <c r="B208" s="694" t="s">
        <v>4946</v>
      </c>
      <c r="C208" s="694" t="s">
        <v>4947</v>
      </c>
      <c r="D208" s="695" t="s">
        <v>4948</v>
      </c>
      <c r="E208" s="696"/>
      <c r="F208" s="697"/>
      <c r="G208" s="697"/>
      <c r="H208" s="698"/>
      <c r="I208" s="697"/>
      <c r="J208" s="697"/>
      <c r="K208" s="697"/>
      <c r="L208" s="697"/>
      <c r="M208" s="697"/>
      <c r="N208" s="698"/>
      <c r="O208" s="697"/>
      <c r="P208" s="697"/>
      <c r="Q208" s="697"/>
      <c r="R208" s="697"/>
      <c r="S208" s="697"/>
      <c r="T208" s="697"/>
      <c r="U208" s="697"/>
      <c r="V208" s="697"/>
      <c r="W208" s="698"/>
      <c r="X208" s="698"/>
      <c r="Y208" s="697"/>
      <c r="Z208" s="697"/>
      <c r="AA208" s="697"/>
      <c r="AB208" s="697"/>
      <c r="AC208" s="697"/>
    </row>
    <row r="209" spans="1:29" x14ac:dyDescent="0.2">
      <c r="A209" s="694" t="str">
        <f>+Info!$B$2</f>
        <v>724</v>
      </c>
      <c r="B209" s="694" t="s">
        <v>4949</v>
      </c>
      <c r="C209" s="694" t="s">
        <v>4950</v>
      </c>
      <c r="D209" s="695" t="s">
        <v>4951</v>
      </c>
      <c r="E209" s="696"/>
      <c r="F209" s="697"/>
      <c r="G209" s="697"/>
      <c r="H209" s="698"/>
      <c r="I209" s="697"/>
      <c r="J209" s="698"/>
      <c r="K209" s="697"/>
      <c r="L209" s="697"/>
      <c r="M209" s="697"/>
      <c r="N209" s="698"/>
      <c r="O209" s="697"/>
      <c r="P209" s="697"/>
      <c r="Q209" s="697"/>
      <c r="R209" s="697"/>
      <c r="S209" s="697"/>
      <c r="T209" s="697"/>
      <c r="U209" s="697"/>
      <c r="V209" s="697"/>
      <c r="W209" s="698"/>
      <c r="X209" s="698"/>
      <c r="Y209" s="697"/>
      <c r="Z209" s="697"/>
      <c r="AA209" s="697"/>
      <c r="AB209" s="697"/>
      <c r="AC209" s="697"/>
    </row>
    <row r="210" spans="1:29" x14ac:dyDescent="0.2">
      <c r="A210" s="694" t="str">
        <f>+Info!$B$2</f>
        <v>724</v>
      </c>
      <c r="B210" s="694" t="s">
        <v>4952</v>
      </c>
      <c r="C210" s="694" t="s">
        <v>4953</v>
      </c>
      <c r="D210" s="695" t="s">
        <v>4954</v>
      </c>
      <c r="E210" s="696"/>
      <c r="F210" s="697"/>
      <c r="G210" s="697"/>
      <c r="H210" s="698"/>
      <c r="I210" s="697"/>
      <c r="J210" s="698"/>
      <c r="K210" s="697"/>
      <c r="L210" s="697"/>
      <c r="M210" s="697"/>
      <c r="N210" s="698"/>
      <c r="O210" s="697"/>
      <c r="P210" s="697"/>
      <c r="Q210" s="697"/>
      <c r="R210" s="697"/>
      <c r="S210" s="697"/>
      <c r="T210" s="697"/>
      <c r="U210" s="697"/>
      <c r="V210" s="697"/>
      <c r="W210" s="698"/>
      <c r="X210" s="698"/>
      <c r="Y210" s="697"/>
      <c r="Z210" s="697"/>
      <c r="AA210" s="697"/>
      <c r="AB210" s="697"/>
      <c r="AC210" s="697"/>
    </row>
    <row r="211" spans="1:29" x14ac:dyDescent="0.2">
      <c r="A211" s="694" t="str">
        <f>+Info!$B$2</f>
        <v>724</v>
      </c>
      <c r="B211" s="694" t="s">
        <v>4955</v>
      </c>
      <c r="C211" s="694" t="s">
        <v>4956</v>
      </c>
      <c r="D211" s="695" t="s">
        <v>4957</v>
      </c>
      <c r="E211" s="696"/>
      <c r="F211" s="697"/>
      <c r="G211" s="697"/>
      <c r="H211" s="698"/>
      <c r="I211" s="697"/>
      <c r="J211" s="698"/>
      <c r="K211" s="697"/>
      <c r="L211" s="697"/>
      <c r="M211" s="697"/>
      <c r="N211" s="698"/>
      <c r="O211" s="697"/>
      <c r="P211" s="697"/>
      <c r="Q211" s="697"/>
      <c r="R211" s="697"/>
      <c r="S211" s="697"/>
      <c r="T211" s="697"/>
      <c r="U211" s="697"/>
      <c r="V211" s="697"/>
      <c r="W211" s="698"/>
      <c r="X211" s="698"/>
      <c r="Y211" s="697"/>
      <c r="Z211" s="697"/>
      <c r="AA211" s="697"/>
      <c r="AB211" s="697"/>
      <c r="AC211" s="697"/>
    </row>
    <row r="212" spans="1:29" ht="15" x14ac:dyDescent="0.25">
      <c r="A212" s="691" t="str">
        <f>+Info!$B$2</f>
        <v>724</v>
      </c>
      <c r="B212" s="691" t="s">
        <v>4958</v>
      </c>
      <c r="C212" s="691" t="s">
        <v>4959</v>
      </c>
      <c r="D212" s="692" t="s">
        <v>4960</v>
      </c>
      <c r="E212" s="693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</row>
    <row r="213" spans="1:29" x14ac:dyDescent="0.2">
      <c r="A213" s="694" t="str">
        <f>+Info!$B$2</f>
        <v>724</v>
      </c>
      <c r="B213" s="694" t="s">
        <v>4961</v>
      </c>
      <c r="C213" s="694" t="s">
        <v>4962</v>
      </c>
      <c r="D213" s="695" t="s">
        <v>4963</v>
      </c>
      <c r="E213" s="696"/>
      <c r="F213" s="697"/>
      <c r="G213" s="697"/>
      <c r="H213" s="698"/>
      <c r="I213" s="697"/>
      <c r="J213" s="698"/>
      <c r="K213" s="697"/>
      <c r="L213" s="697"/>
      <c r="M213" s="697"/>
      <c r="N213" s="698"/>
      <c r="O213" s="697"/>
      <c r="P213" s="697"/>
      <c r="Q213" s="697"/>
      <c r="R213" s="697"/>
      <c r="S213" s="697"/>
      <c r="T213" s="697"/>
      <c r="U213" s="697"/>
      <c r="V213" s="697"/>
      <c r="W213" s="698"/>
      <c r="X213" s="698"/>
      <c r="Y213" s="697"/>
      <c r="Z213" s="697"/>
      <c r="AA213" s="697"/>
      <c r="AB213" s="697"/>
      <c r="AC213" s="697"/>
    </row>
    <row r="214" spans="1:29" x14ac:dyDescent="0.2">
      <c r="A214" s="694" t="str">
        <f>+Info!$B$2</f>
        <v>724</v>
      </c>
      <c r="B214" s="694" t="s">
        <v>4964</v>
      </c>
      <c r="C214" s="694" t="s">
        <v>4965</v>
      </c>
      <c r="D214" s="695" t="s">
        <v>4966</v>
      </c>
      <c r="E214" s="696"/>
      <c r="F214" s="697"/>
      <c r="G214" s="697"/>
      <c r="H214" s="698"/>
      <c r="I214" s="697"/>
      <c r="J214" s="698"/>
      <c r="K214" s="697"/>
      <c r="L214" s="697"/>
      <c r="M214" s="697"/>
      <c r="N214" s="698"/>
      <c r="O214" s="697"/>
      <c r="P214" s="697"/>
      <c r="Q214" s="697"/>
      <c r="R214" s="697"/>
      <c r="S214" s="697"/>
      <c r="T214" s="697"/>
      <c r="U214" s="697"/>
      <c r="V214" s="697"/>
      <c r="W214" s="698"/>
      <c r="X214" s="698"/>
      <c r="Y214" s="697"/>
      <c r="Z214" s="697"/>
      <c r="AA214" s="697"/>
      <c r="AB214" s="697"/>
      <c r="AC214" s="697"/>
    </row>
    <row r="215" spans="1:29" x14ac:dyDescent="0.2">
      <c r="A215" s="694" t="str">
        <f>+Info!$B$2</f>
        <v>724</v>
      </c>
      <c r="B215" s="694" t="s">
        <v>4967</v>
      </c>
      <c r="C215" s="694" t="s">
        <v>4968</v>
      </c>
      <c r="D215" s="695" t="s">
        <v>4969</v>
      </c>
      <c r="E215" s="696"/>
      <c r="F215" s="697"/>
      <c r="G215" s="697"/>
      <c r="H215" s="698"/>
      <c r="I215" s="697"/>
      <c r="J215" s="698"/>
      <c r="K215" s="697"/>
      <c r="L215" s="697"/>
      <c r="M215" s="697"/>
      <c r="N215" s="698"/>
      <c r="O215" s="697"/>
      <c r="P215" s="697"/>
      <c r="Q215" s="697"/>
      <c r="R215" s="697"/>
      <c r="S215" s="697"/>
      <c r="T215" s="697"/>
      <c r="U215" s="697"/>
      <c r="V215" s="697"/>
      <c r="W215" s="698"/>
      <c r="X215" s="698"/>
      <c r="Y215" s="697"/>
      <c r="Z215" s="697"/>
      <c r="AA215" s="697"/>
      <c r="AB215" s="697"/>
      <c r="AC215" s="697"/>
    </row>
    <row r="216" spans="1:29" ht="15" x14ac:dyDescent="0.25">
      <c r="A216" s="691" t="str">
        <f>+Info!$B$2</f>
        <v>724</v>
      </c>
      <c r="B216" s="691" t="s">
        <v>4970</v>
      </c>
      <c r="C216" s="691" t="s">
        <v>4971</v>
      </c>
      <c r="D216" s="692" t="s">
        <v>4972</v>
      </c>
      <c r="E216" s="693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</row>
    <row r="217" spans="1:29" x14ac:dyDescent="0.2">
      <c r="A217" s="694" t="str">
        <f>+Info!$B$2</f>
        <v>724</v>
      </c>
      <c r="B217" s="694" t="s">
        <v>4973</v>
      </c>
      <c r="C217" s="694" t="s">
        <v>4974</v>
      </c>
      <c r="D217" s="695" t="s">
        <v>4975</v>
      </c>
      <c r="E217" s="696"/>
      <c r="F217" s="697"/>
      <c r="G217" s="697"/>
      <c r="H217" s="698"/>
      <c r="I217" s="697"/>
      <c r="J217" s="697"/>
      <c r="K217" s="697"/>
      <c r="L217" s="697"/>
      <c r="M217" s="697"/>
      <c r="N217" s="698"/>
      <c r="O217" s="697"/>
      <c r="P217" s="697"/>
      <c r="Q217" s="697"/>
      <c r="R217" s="697"/>
      <c r="S217" s="697"/>
      <c r="T217" s="697"/>
      <c r="U217" s="697"/>
      <c r="V217" s="697"/>
      <c r="W217" s="698"/>
      <c r="X217" s="698"/>
      <c r="Y217" s="697"/>
      <c r="Z217" s="697"/>
      <c r="AA217" s="697"/>
      <c r="AB217" s="697"/>
      <c r="AC217" s="697"/>
    </row>
    <row r="218" spans="1:29" x14ac:dyDescent="0.2">
      <c r="A218" s="694" t="str">
        <f>+Info!$B$2</f>
        <v>724</v>
      </c>
      <c r="B218" s="694" t="s">
        <v>4976</v>
      </c>
      <c r="C218" s="694" t="s">
        <v>4977</v>
      </c>
      <c r="D218" s="695" t="s">
        <v>4978</v>
      </c>
      <c r="E218" s="696"/>
      <c r="F218" s="697"/>
      <c r="G218" s="697"/>
      <c r="H218" s="698"/>
      <c r="I218" s="697"/>
      <c r="J218" s="697"/>
      <c r="K218" s="697"/>
      <c r="L218" s="697"/>
      <c r="M218" s="697"/>
      <c r="N218" s="698"/>
      <c r="O218" s="697"/>
      <c r="P218" s="697"/>
      <c r="Q218" s="697"/>
      <c r="R218" s="697"/>
      <c r="S218" s="697"/>
      <c r="T218" s="697"/>
      <c r="U218" s="697"/>
      <c r="V218" s="697"/>
      <c r="W218" s="698"/>
      <c r="X218" s="698"/>
      <c r="Y218" s="697"/>
      <c r="Z218" s="697"/>
      <c r="AA218" s="697"/>
      <c r="AB218" s="697"/>
      <c r="AC218" s="697"/>
    </row>
    <row r="219" spans="1:29" x14ac:dyDescent="0.2">
      <c r="A219" s="694" t="str">
        <f>+Info!$B$2</f>
        <v>724</v>
      </c>
      <c r="B219" s="694" t="s">
        <v>4979</v>
      </c>
      <c r="C219" s="694" t="s">
        <v>4980</v>
      </c>
      <c r="D219" s="695" t="s">
        <v>4981</v>
      </c>
      <c r="E219" s="696"/>
      <c r="F219" s="697"/>
      <c r="G219" s="697"/>
      <c r="H219" s="698"/>
      <c r="I219" s="697"/>
      <c r="J219" s="697"/>
      <c r="K219" s="697"/>
      <c r="L219" s="697"/>
      <c r="M219" s="697"/>
      <c r="N219" s="698"/>
      <c r="O219" s="697"/>
      <c r="P219" s="697"/>
      <c r="Q219" s="697"/>
      <c r="R219" s="697"/>
      <c r="S219" s="697"/>
      <c r="T219" s="697"/>
      <c r="U219" s="697"/>
      <c r="V219" s="697"/>
      <c r="W219" s="698"/>
      <c r="X219" s="698"/>
      <c r="Y219" s="697"/>
      <c r="Z219" s="697"/>
      <c r="AA219" s="697"/>
      <c r="AB219" s="697"/>
      <c r="AC219" s="697"/>
    </row>
    <row r="220" spans="1:29" x14ac:dyDescent="0.2">
      <c r="A220" s="694" t="str">
        <f>+Info!$B$2</f>
        <v>724</v>
      </c>
      <c r="B220" s="694" t="s">
        <v>4982</v>
      </c>
      <c r="C220" s="694" t="s">
        <v>4983</v>
      </c>
      <c r="D220" s="695" t="s">
        <v>4984</v>
      </c>
      <c r="E220" s="696"/>
      <c r="F220" s="697"/>
      <c r="G220" s="697"/>
      <c r="H220" s="698"/>
      <c r="I220" s="697"/>
      <c r="J220" s="698"/>
      <c r="K220" s="697"/>
      <c r="L220" s="697"/>
      <c r="M220" s="697"/>
      <c r="N220" s="698"/>
      <c r="O220" s="697"/>
      <c r="P220" s="697"/>
      <c r="Q220" s="697"/>
      <c r="R220" s="697"/>
      <c r="S220" s="697"/>
      <c r="T220" s="697"/>
      <c r="U220" s="697"/>
      <c r="V220" s="697"/>
      <c r="W220" s="698"/>
      <c r="X220" s="698"/>
      <c r="Y220" s="697"/>
      <c r="Z220" s="697"/>
      <c r="AA220" s="697"/>
      <c r="AB220" s="697"/>
      <c r="AC220" s="697"/>
    </row>
    <row r="221" spans="1:29" x14ac:dyDescent="0.2">
      <c r="A221" s="694" t="str">
        <f>+Info!$B$2</f>
        <v>724</v>
      </c>
      <c r="B221" s="694" t="s">
        <v>4985</v>
      </c>
      <c r="C221" s="694" t="s">
        <v>4986</v>
      </c>
      <c r="D221" s="695" t="s">
        <v>4987</v>
      </c>
      <c r="E221" s="696"/>
      <c r="F221" s="697"/>
      <c r="G221" s="697"/>
      <c r="H221" s="698"/>
      <c r="I221" s="697"/>
      <c r="J221" s="698"/>
      <c r="K221" s="697"/>
      <c r="L221" s="697"/>
      <c r="M221" s="697"/>
      <c r="N221" s="698"/>
      <c r="O221" s="697"/>
      <c r="P221" s="697"/>
      <c r="Q221" s="697"/>
      <c r="R221" s="697"/>
      <c r="S221" s="697"/>
      <c r="T221" s="697"/>
      <c r="U221" s="697"/>
      <c r="V221" s="697"/>
      <c r="W221" s="698"/>
      <c r="X221" s="698"/>
      <c r="Y221" s="697"/>
      <c r="Z221" s="697"/>
      <c r="AA221" s="697"/>
      <c r="AB221" s="697"/>
      <c r="AC221" s="697"/>
    </row>
    <row r="222" spans="1:29" ht="15" x14ac:dyDescent="0.25">
      <c r="A222" s="691" t="str">
        <f>+Info!$B$2</f>
        <v>724</v>
      </c>
      <c r="B222" s="691" t="s">
        <v>4988</v>
      </c>
      <c r="C222" s="691" t="s">
        <v>4989</v>
      </c>
      <c r="D222" s="692" t="s">
        <v>4990</v>
      </c>
      <c r="E222" s="693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</row>
    <row r="223" spans="1:29" x14ac:dyDescent="0.2">
      <c r="A223" s="694" t="str">
        <f>+Info!$B$2</f>
        <v>724</v>
      </c>
      <c r="B223" s="694" t="s">
        <v>4991</v>
      </c>
      <c r="C223" s="694" t="s">
        <v>4992</v>
      </c>
      <c r="D223" s="695" t="s">
        <v>4993</v>
      </c>
      <c r="E223" s="696"/>
      <c r="F223" s="697"/>
      <c r="G223" s="697"/>
      <c r="H223" s="698"/>
      <c r="I223" s="697"/>
      <c r="J223" s="697"/>
      <c r="K223" s="697"/>
      <c r="L223" s="697"/>
      <c r="M223" s="697"/>
      <c r="N223" s="698"/>
      <c r="O223" s="697"/>
      <c r="P223" s="697"/>
      <c r="Q223" s="697"/>
      <c r="R223" s="697"/>
      <c r="S223" s="697"/>
      <c r="T223" s="697"/>
      <c r="U223" s="697"/>
      <c r="V223" s="697"/>
      <c r="W223" s="698"/>
      <c r="X223" s="698"/>
      <c r="Y223" s="697"/>
      <c r="Z223" s="697"/>
      <c r="AA223" s="697"/>
      <c r="AB223" s="697"/>
      <c r="AC223" s="697"/>
    </row>
    <row r="224" spans="1:29" x14ac:dyDescent="0.2">
      <c r="A224" s="694" t="str">
        <f>+Info!$B$2</f>
        <v>724</v>
      </c>
      <c r="B224" s="694" t="s">
        <v>4994</v>
      </c>
      <c r="C224" s="694" t="s">
        <v>4995</v>
      </c>
      <c r="D224" s="695" t="s">
        <v>4996</v>
      </c>
      <c r="E224" s="696"/>
      <c r="F224" s="697"/>
      <c r="G224" s="697"/>
      <c r="H224" s="698"/>
      <c r="I224" s="697"/>
      <c r="J224" s="697"/>
      <c r="K224" s="697"/>
      <c r="L224" s="697"/>
      <c r="M224" s="697"/>
      <c r="N224" s="698"/>
      <c r="O224" s="697"/>
      <c r="P224" s="697"/>
      <c r="Q224" s="697"/>
      <c r="R224" s="697"/>
      <c r="S224" s="697"/>
      <c r="T224" s="697"/>
      <c r="U224" s="697"/>
      <c r="V224" s="697"/>
      <c r="W224" s="698"/>
      <c r="X224" s="698"/>
      <c r="Y224" s="697"/>
      <c r="Z224" s="697"/>
      <c r="AA224" s="697"/>
      <c r="AB224" s="697"/>
      <c r="AC224" s="697"/>
    </row>
    <row r="225" spans="1:29" x14ac:dyDescent="0.2">
      <c r="A225" s="694" t="str">
        <f>+Info!$B$2</f>
        <v>724</v>
      </c>
      <c r="B225" s="694" t="s">
        <v>4997</v>
      </c>
      <c r="C225" s="694" t="s">
        <v>4998</v>
      </c>
      <c r="D225" s="695" t="s">
        <v>4999</v>
      </c>
      <c r="E225" s="696"/>
      <c r="F225" s="697"/>
      <c r="G225" s="697"/>
      <c r="H225" s="698"/>
      <c r="I225" s="697"/>
      <c r="J225" s="697"/>
      <c r="K225" s="697"/>
      <c r="L225" s="697"/>
      <c r="M225" s="697"/>
      <c r="N225" s="698"/>
      <c r="O225" s="697"/>
      <c r="P225" s="697"/>
      <c r="Q225" s="697"/>
      <c r="R225" s="697"/>
      <c r="S225" s="697"/>
      <c r="T225" s="697"/>
      <c r="U225" s="697"/>
      <c r="V225" s="697"/>
      <c r="W225" s="698"/>
      <c r="X225" s="698"/>
      <c r="Y225" s="697"/>
      <c r="Z225" s="697"/>
      <c r="AA225" s="697"/>
      <c r="AB225" s="697"/>
      <c r="AC225" s="697"/>
    </row>
    <row r="226" spans="1:29" x14ac:dyDescent="0.2">
      <c r="A226" s="694" t="str">
        <f>+Info!$B$2</f>
        <v>724</v>
      </c>
      <c r="B226" s="694" t="s">
        <v>5000</v>
      </c>
      <c r="C226" s="694" t="s">
        <v>5001</v>
      </c>
      <c r="D226" s="695" t="s">
        <v>5002</v>
      </c>
      <c r="E226" s="696"/>
      <c r="F226" s="697"/>
      <c r="G226" s="697"/>
      <c r="H226" s="698"/>
      <c r="I226" s="697"/>
      <c r="J226" s="697"/>
      <c r="K226" s="697"/>
      <c r="L226" s="697"/>
      <c r="M226" s="697"/>
      <c r="N226" s="698"/>
      <c r="O226" s="697"/>
      <c r="P226" s="697"/>
      <c r="Q226" s="697"/>
      <c r="R226" s="697"/>
      <c r="S226" s="697"/>
      <c r="T226" s="697"/>
      <c r="U226" s="697"/>
      <c r="V226" s="697"/>
      <c r="W226" s="698"/>
      <c r="X226" s="698"/>
      <c r="Y226" s="697"/>
      <c r="Z226" s="697"/>
      <c r="AA226" s="697"/>
      <c r="AB226" s="697"/>
      <c r="AC226" s="697"/>
    </row>
    <row r="227" spans="1:29" ht="25.5" x14ac:dyDescent="0.2">
      <c r="A227" s="694" t="str">
        <f>+Info!$B$2</f>
        <v>724</v>
      </c>
      <c r="B227" s="694" t="s">
        <v>5003</v>
      </c>
      <c r="C227" s="694" t="s">
        <v>5004</v>
      </c>
      <c r="D227" s="695" t="s">
        <v>5005</v>
      </c>
      <c r="E227" s="696"/>
      <c r="F227" s="697"/>
      <c r="G227" s="697"/>
      <c r="H227" s="698"/>
      <c r="I227" s="697"/>
      <c r="J227" s="697"/>
      <c r="K227" s="697"/>
      <c r="L227" s="697"/>
      <c r="M227" s="697"/>
      <c r="N227" s="698"/>
      <c r="O227" s="697"/>
      <c r="P227" s="697"/>
      <c r="Q227" s="697"/>
      <c r="R227" s="697"/>
      <c r="S227" s="697"/>
      <c r="T227" s="697"/>
      <c r="U227" s="697"/>
      <c r="V227" s="697"/>
      <c r="W227" s="698"/>
      <c r="X227" s="698"/>
      <c r="Y227" s="697"/>
      <c r="Z227" s="697"/>
      <c r="AA227" s="697"/>
      <c r="AB227" s="697"/>
      <c r="AC227" s="697"/>
    </row>
    <row r="228" spans="1:29" ht="25.5" x14ac:dyDescent="0.2">
      <c r="A228" s="694" t="str">
        <f>+Info!$B$2</f>
        <v>724</v>
      </c>
      <c r="B228" s="694" t="s">
        <v>5006</v>
      </c>
      <c r="C228" s="694" t="s">
        <v>5007</v>
      </c>
      <c r="D228" s="695" t="s">
        <v>5008</v>
      </c>
      <c r="E228" s="696"/>
      <c r="F228" s="697"/>
      <c r="G228" s="697"/>
      <c r="H228" s="698"/>
      <c r="I228" s="697"/>
      <c r="J228" s="697"/>
      <c r="K228" s="697"/>
      <c r="L228" s="697"/>
      <c r="M228" s="697"/>
      <c r="N228" s="698"/>
      <c r="O228" s="697"/>
      <c r="P228" s="697"/>
      <c r="Q228" s="697"/>
      <c r="R228" s="697"/>
      <c r="S228" s="697"/>
      <c r="T228" s="697"/>
      <c r="U228" s="697"/>
      <c r="V228" s="697"/>
      <c r="W228" s="698"/>
      <c r="X228" s="698"/>
      <c r="Y228" s="697"/>
      <c r="Z228" s="697"/>
      <c r="AA228" s="697"/>
      <c r="AB228" s="697"/>
      <c r="AC228" s="697"/>
    </row>
    <row r="229" spans="1:29" ht="25.5" x14ac:dyDescent="0.2">
      <c r="A229" s="694" t="str">
        <f>+Info!$B$2</f>
        <v>724</v>
      </c>
      <c r="B229" s="694" t="s">
        <v>5009</v>
      </c>
      <c r="C229" s="694" t="s">
        <v>5010</v>
      </c>
      <c r="D229" s="695" t="s">
        <v>5011</v>
      </c>
      <c r="E229" s="696"/>
      <c r="F229" s="697"/>
      <c r="G229" s="697"/>
      <c r="H229" s="698"/>
      <c r="I229" s="697"/>
      <c r="J229" s="697"/>
      <c r="K229" s="697"/>
      <c r="L229" s="697"/>
      <c r="M229" s="697"/>
      <c r="N229" s="698"/>
      <c r="O229" s="697"/>
      <c r="P229" s="697"/>
      <c r="Q229" s="697"/>
      <c r="R229" s="697"/>
      <c r="S229" s="697"/>
      <c r="T229" s="697"/>
      <c r="U229" s="697"/>
      <c r="V229" s="697"/>
      <c r="W229" s="698"/>
      <c r="X229" s="698"/>
      <c r="Y229" s="697"/>
      <c r="Z229" s="697"/>
      <c r="AA229" s="697"/>
      <c r="AB229" s="697"/>
      <c r="AC229" s="697"/>
    </row>
    <row r="230" spans="1:29" x14ac:dyDescent="0.2">
      <c r="A230" s="694" t="str">
        <f>+Info!$B$2</f>
        <v>724</v>
      </c>
      <c r="B230" s="694" t="s">
        <v>5012</v>
      </c>
      <c r="C230" s="694" t="s">
        <v>5013</v>
      </c>
      <c r="D230" s="695" t="s">
        <v>5014</v>
      </c>
      <c r="E230" s="696"/>
      <c r="F230" s="697"/>
      <c r="G230" s="697"/>
      <c r="H230" s="698"/>
      <c r="I230" s="697"/>
      <c r="J230" s="697"/>
      <c r="K230" s="697"/>
      <c r="L230" s="697"/>
      <c r="M230" s="697"/>
      <c r="N230" s="698"/>
      <c r="O230" s="697"/>
      <c r="P230" s="697"/>
      <c r="Q230" s="697"/>
      <c r="R230" s="697"/>
      <c r="S230" s="697"/>
      <c r="T230" s="697"/>
      <c r="U230" s="697"/>
      <c r="V230" s="697"/>
      <c r="W230" s="698"/>
      <c r="X230" s="698"/>
      <c r="Y230" s="697"/>
      <c r="Z230" s="697"/>
      <c r="AA230" s="697"/>
      <c r="AB230" s="697"/>
      <c r="AC230" s="697"/>
    </row>
    <row r="231" spans="1:29" ht="25.5" x14ac:dyDescent="0.2">
      <c r="A231" s="694" t="str">
        <f>+Info!$B$2</f>
        <v>724</v>
      </c>
      <c r="B231" s="694" t="s">
        <v>5015</v>
      </c>
      <c r="C231" s="694" t="s">
        <v>5016</v>
      </c>
      <c r="D231" s="695" t="s">
        <v>5017</v>
      </c>
      <c r="E231" s="696"/>
      <c r="F231" s="697"/>
      <c r="G231" s="697"/>
      <c r="H231" s="698"/>
      <c r="I231" s="697"/>
      <c r="J231" s="697"/>
      <c r="K231" s="697"/>
      <c r="L231" s="697"/>
      <c r="M231" s="697"/>
      <c r="N231" s="698"/>
      <c r="O231" s="697"/>
      <c r="P231" s="697"/>
      <c r="Q231" s="697"/>
      <c r="R231" s="697"/>
      <c r="S231" s="697"/>
      <c r="T231" s="697"/>
      <c r="U231" s="697"/>
      <c r="V231" s="697"/>
      <c r="W231" s="698"/>
      <c r="X231" s="698"/>
      <c r="Y231" s="697"/>
      <c r="Z231" s="697"/>
      <c r="AA231" s="697"/>
      <c r="AB231" s="697"/>
      <c r="AC231" s="697"/>
    </row>
    <row r="232" spans="1:29" ht="25.5" x14ac:dyDescent="0.2">
      <c r="A232" s="694" t="str">
        <f>+Info!$B$2</f>
        <v>724</v>
      </c>
      <c r="B232" s="694" t="s">
        <v>5018</v>
      </c>
      <c r="C232" s="694" t="s">
        <v>5019</v>
      </c>
      <c r="D232" s="695" t="s">
        <v>5020</v>
      </c>
      <c r="E232" s="696"/>
      <c r="F232" s="697"/>
      <c r="G232" s="697"/>
      <c r="H232" s="698"/>
      <c r="I232" s="697"/>
      <c r="J232" s="697"/>
      <c r="K232" s="697"/>
      <c r="L232" s="697"/>
      <c r="M232" s="697"/>
      <c r="N232" s="698"/>
      <c r="O232" s="697"/>
      <c r="P232" s="697"/>
      <c r="Q232" s="697"/>
      <c r="R232" s="697"/>
      <c r="S232" s="697"/>
      <c r="T232" s="697"/>
      <c r="U232" s="697"/>
      <c r="V232" s="697"/>
      <c r="W232" s="698"/>
      <c r="X232" s="698"/>
      <c r="Y232" s="697"/>
      <c r="Z232" s="697"/>
      <c r="AA232" s="697"/>
      <c r="AB232" s="697"/>
      <c r="AC232" s="697"/>
    </row>
    <row r="233" spans="1:29" ht="25.5" x14ac:dyDescent="0.2">
      <c r="A233" s="694" t="str">
        <f>+Info!$B$2</f>
        <v>724</v>
      </c>
      <c r="B233" s="694" t="s">
        <v>5021</v>
      </c>
      <c r="C233" s="694" t="s">
        <v>5022</v>
      </c>
      <c r="D233" s="695" t="s">
        <v>5023</v>
      </c>
      <c r="E233" s="696"/>
      <c r="F233" s="697"/>
      <c r="G233" s="697"/>
      <c r="H233" s="698"/>
      <c r="I233" s="697"/>
      <c r="J233" s="697"/>
      <c r="K233" s="697"/>
      <c r="L233" s="697"/>
      <c r="M233" s="697"/>
      <c r="N233" s="698"/>
      <c r="O233" s="697"/>
      <c r="P233" s="697"/>
      <c r="Q233" s="697"/>
      <c r="R233" s="697"/>
      <c r="S233" s="697"/>
      <c r="T233" s="697"/>
      <c r="U233" s="697"/>
      <c r="V233" s="697"/>
      <c r="W233" s="698"/>
      <c r="X233" s="698"/>
      <c r="Y233" s="697"/>
      <c r="Z233" s="697"/>
      <c r="AA233" s="697"/>
      <c r="AB233" s="697"/>
      <c r="AC233" s="697"/>
    </row>
    <row r="234" spans="1:29" ht="25.5" x14ac:dyDescent="0.2">
      <c r="A234" s="694" t="str">
        <f>+Info!$B$2</f>
        <v>724</v>
      </c>
      <c r="B234" s="694" t="s">
        <v>5024</v>
      </c>
      <c r="C234" s="694" t="s">
        <v>5025</v>
      </c>
      <c r="D234" s="695" t="s">
        <v>5026</v>
      </c>
      <c r="E234" s="696"/>
      <c r="F234" s="697"/>
      <c r="G234" s="697"/>
      <c r="H234" s="698"/>
      <c r="I234" s="697"/>
      <c r="J234" s="697"/>
      <c r="K234" s="697"/>
      <c r="L234" s="697"/>
      <c r="M234" s="697"/>
      <c r="N234" s="698"/>
      <c r="O234" s="697"/>
      <c r="P234" s="697"/>
      <c r="Q234" s="697"/>
      <c r="R234" s="697"/>
      <c r="S234" s="697"/>
      <c r="T234" s="697"/>
      <c r="U234" s="697"/>
      <c r="V234" s="697"/>
      <c r="W234" s="698"/>
      <c r="X234" s="698"/>
      <c r="Y234" s="697"/>
      <c r="Z234" s="697"/>
      <c r="AA234" s="697"/>
      <c r="AB234" s="697"/>
      <c r="AC234" s="697"/>
    </row>
    <row r="235" spans="1:29" ht="25.5" x14ac:dyDescent="0.2">
      <c r="A235" s="694" t="str">
        <f>+Info!$B$2</f>
        <v>724</v>
      </c>
      <c r="B235" s="694" t="s">
        <v>5027</v>
      </c>
      <c r="C235" s="694" t="s">
        <v>5028</v>
      </c>
      <c r="D235" s="695" t="s">
        <v>5029</v>
      </c>
      <c r="E235" s="696"/>
      <c r="F235" s="697"/>
      <c r="G235" s="697"/>
      <c r="H235" s="698"/>
      <c r="I235" s="697"/>
      <c r="J235" s="697"/>
      <c r="K235" s="697"/>
      <c r="L235" s="697"/>
      <c r="M235" s="697"/>
      <c r="N235" s="698"/>
      <c r="O235" s="697"/>
      <c r="P235" s="697"/>
      <c r="Q235" s="697"/>
      <c r="R235" s="697"/>
      <c r="S235" s="697"/>
      <c r="T235" s="697"/>
      <c r="U235" s="697"/>
      <c r="V235" s="697"/>
      <c r="W235" s="698"/>
      <c r="X235" s="698"/>
      <c r="Y235" s="697"/>
      <c r="Z235" s="697"/>
      <c r="AA235" s="697"/>
      <c r="AB235" s="697"/>
      <c r="AC235" s="697"/>
    </row>
    <row r="236" spans="1:29" ht="25.5" x14ac:dyDescent="0.2">
      <c r="A236" s="694" t="str">
        <f>+Info!$B$2</f>
        <v>724</v>
      </c>
      <c r="B236" s="694" t="s">
        <v>5030</v>
      </c>
      <c r="C236" s="694" t="s">
        <v>5031</v>
      </c>
      <c r="D236" s="695" t="s">
        <v>5032</v>
      </c>
      <c r="E236" s="696"/>
      <c r="F236" s="697"/>
      <c r="G236" s="697"/>
      <c r="H236" s="698"/>
      <c r="I236" s="697"/>
      <c r="J236" s="697"/>
      <c r="K236" s="697"/>
      <c r="L236" s="697"/>
      <c r="M236" s="697"/>
      <c r="N236" s="698"/>
      <c r="O236" s="697"/>
      <c r="P236" s="697"/>
      <c r="Q236" s="697"/>
      <c r="R236" s="697"/>
      <c r="S236" s="697"/>
      <c r="T236" s="697"/>
      <c r="U236" s="697"/>
      <c r="V236" s="697"/>
      <c r="W236" s="698"/>
      <c r="X236" s="698"/>
      <c r="Y236" s="697"/>
      <c r="Z236" s="697"/>
      <c r="AA236" s="697"/>
      <c r="AB236" s="697"/>
      <c r="AC236" s="697"/>
    </row>
    <row r="237" spans="1:29" ht="25.5" x14ac:dyDescent="0.2">
      <c r="A237" s="694" t="str">
        <f>+Info!$B$2</f>
        <v>724</v>
      </c>
      <c r="B237" s="694" t="s">
        <v>5033</v>
      </c>
      <c r="C237" s="694" t="s">
        <v>5034</v>
      </c>
      <c r="D237" s="695" t="s">
        <v>5035</v>
      </c>
      <c r="E237" s="696"/>
      <c r="F237" s="697"/>
      <c r="G237" s="697"/>
      <c r="H237" s="698"/>
      <c r="I237" s="697"/>
      <c r="J237" s="697"/>
      <c r="K237" s="697"/>
      <c r="L237" s="697"/>
      <c r="M237" s="697"/>
      <c r="N237" s="698"/>
      <c r="O237" s="697"/>
      <c r="P237" s="697"/>
      <c r="Q237" s="697"/>
      <c r="R237" s="697"/>
      <c r="S237" s="697"/>
      <c r="T237" s="697"/>
      <c r="U237" s="697"/>
      <c r="V237" s="697"/>
      <c r="W237" s="698"/>
      <c r="X237" s="698"/>
      <c r="Y237" s="697"/>
      <c r="Z237" s="697"/>
      <c r="AA237" s="697"/>
      <c r="AB237" s="697"/>
      <c r="AC237" s="697"/>
    </row>
    <row r="238" spans="1:29" ht="25.5" x14ac:dyDescent="0.2">
      <c r="A238" s="694" t="str">
        <f>+Info!$B$2</f>
        <v>724</v>
      </c>
      <c r="B238" s="694" t="s">
        <v>5036</v>
      </c>
      <c r="C238" s="694" t="s">
        <v>5037</v>
      </c>
      <c r="D238" s="695" t="s">
        <v>5038</v>
      </c>
      <c r="E238" s="696"/>
      <c r="F238" s="697"/>
      <c r="G238" s="697"/>
      <c r="H238" s="698"/>
      <c r="I238" s="697"/>
      <c r="J238" s="697"/>
      <c r="K238" s="697"/>
      <c r="L238" s="697"/>
      <c r="M238" s="697"/>
      <c r="N238" s="698"/>
      <c r="O238" s="697"/>
      <c r="P238" s="697"/>
      <c r="Q238" s="697"/>
      <c r="R238" s="697"/>
      <c r="S238" s="697"/>
      <c r="T238" s="697"/>
      <c r="U238" s="697"/>
      <c r="V238" s="697"/>
      <c r="W238" s="698"/>
      <c r="X238" s="698"/>
      <c r="Y238" s="697"/>
      <c r="Z238" s="697"/>
      <c r="AA238" s="697"/>
      <c r="AB238" s="697"/>
      <c r="AC238" s="697"/>
    </row>
    <row r="239" spans="1:29" ht="25.5" x14ac:dyDescent="0.2">
      <c r="A239" s="694" t="str">
        <f>+Info!$B$2</f>
        <v>724</v>
      </c>
      <c r="B239" s="694" t="s">
        <v>5039</v>
      </c>
      <c r="C239" s="694" t="s">
        <v>5040</v>
      </c>
      <c r="D239" s="695" t="s">
        <v>5041</v>
      </c>
      <c r="E239" s="696"/>
      <c r="F239" s="697"/>
      <c r="G239" s="697"/>
      <c r="H239" s="698"/>
      <c r="I239" s="697"/>
      <c r="J239" s="697"/>
      <c r="K239" s="697"/>
      <c r="L239" s="697"/>
      <c r="M239" s="697"/>
      <c r="N239" s="698"/>
      <c r="O239" s="697"/>
      <c r="P239" s="697"/>
      <c r="Q239" s="697"/>
      <c r="R239" s="697"/>
      <c r="S239" s="697"/>
      <c r="T239" s="697"/>
      <c r="U239" s="697"/>
      <c r="V239" s="697"/>
      <c r="W239" s="698"/>
      <c r="X239" s="698"/>
      <c r="Y239" s="697"/>
      <c r="Z239" s="697"/>
      <c r="AA239" s="697"/>
      <c r="AB239" s="697"/>
      <c r="AC239" s="697"/>
    </row>
    <row r="240" spans="1:29" ht="25.5" x14ac:dyDescent="0.2">
      <c r="A240" s="694" t="str">
        <f>+Info!$B$2</f>
        <v>724</v>
      </c>
      <c r="B240" s="694" t="s">
        <v>5042</v>
      </c>
      <c r="C240" s="694" t="s">
        <v>5043</v>
      </c>
      <c r="D240" s="695" t="s">
        <v>5044</v>
      </c>
      <c r="E240" s="696"/>
      <c r="F240" s="697"/>
      <c r="G240" s="697"/>
      <c r="H240" s="698"/>
      <c r="I240" s="697"/>
      <c r="J240" s="697"/>
      <c r="K240" s="697"/>
      <c r="L240" s="697"/>
      <c r="M240" s="697"/>
      <c r="N240" s="698"/>
      <c r="O240" s="697"/>
      <c r="P240" s="697"/>
      <c r="Q240" s="697"/>
      <c r="R240" s="697"/>
      <c r="S240" s="697"/>
      <c r="T240" s="697"/>
      <c r="U240" s="697"/>
      <c r="V240" s="697"/>
      <c r="W240" s="698"/>
      <c r="X240" s="698"/>
      <c r="Y240" s="697"/>
      <c r="Z240" s="697"/>
      <c r="AA240" s="697"/>
      <c r="AB240" s="697"/>
      <c r="AC240" s="697"/>
    </row>
    <row r="241" spans="1:29" x14ac:dyDescent="0.2">
      <c r="A241" s="694" t="str">
        <f>+Info!$B$2</f>
        <v>724</v>
      </c>
      <c r="B241" s="694" t="s">
        <v>5045</v>
      </c>
      <c r="C241" s="694" t="s">
        <v>5046</v>
      </c>
      <c r="D241" s="695" t="s">
        <v>5047</v>
      </c>
      <c r="E241" s="696"/>
      <c r="F241" s="697"/>
      <c r="G241" s="697"/>
      <c r="H241" s="698"/>
      <c r="I241" s="697"/>
      <c r="J241" s="697"/>
      <c r="K241" s="697"/>
      <c r="L241" s="697"/>
      <c r="M241" s="697"/>
      <c r="N241" s="698"/>
      <c r="O241" s="697"/>
      <c r="P241" s="697"/>
      <c r="Q241" s="697"/>
      <c r="R241" s="697"/>
      <c r="S241" s="697"/>
      <c r="T241" s="697"/>
      <c r="U241" s="697"/>
      <c r="V241" s="697"/>
      <c r="W241" s="698"/>
      <c r="X241" s="698"/>
      <c r="Y241" s="697"/>
      <c r="Z241" s="697"/>
      <c r="AA241" s="697"/>
      <c r="AB241" s="697"/>
      <c r="AC241" s="697"/>
    </row>
    <row r="242" spans="1:29" ht="25.5" x14ac:dyDescent="0.2">
      <c r="A242" s="694" t="str">
        <f>+Info!$B$2</f>
        <v>724</v>
      </c>
      <c r="B242" s="694" t="s">
        <v>5048</v>
      </c>
      <c r="C242" s="694" t="s">
        <v>5049</v>
      </c>
      <c r="D242" s="695" t="s">
        <v>5050</v>
      </c>
      <c r="E242" s="696"/>
      <c r="F242" s="697"/>
      <c r="G242" s="697"/>
      <c r="H242" s="698"/>
      <c r="I242" s="697"/>
      <c r="J242" s="697"/>
      <c r="K242" s="697"/>
      <c r="L242" s="697"/>
      <c r="M242" s="697"/>
      <c r="N242" s="698"/>
      <c r="O242" s="697"/>
      <c r="P242" s="697"/>
      <c r="Q242" s="697"/>
      <c r="R242" s="697"/>
      <c r="S242" s="697"/>
      <c r="T242" s="697"/>
      <c r="U242" s="697"/>
      <c r="V242" s="697"/>
      <c r="W242" s="698"/>
      <c r="X242" s="698"/>
      <c r="Y242" s="697"/>
      <c r="Z242" s="697"/>
      <c r="AA242" s="697"/>
      <c r="AB242" s="697"/>
      <c r="AC242" s="697"/>
    </row>
    <row r="243" spans="1:29" ht="25.5" x14ac:dyDescent="0.2">
      <c r="A243" s="694" t="str">
        <f>+Info!$B$2</f>
        <v>724</v>
      </c>
      <c r="B243" s="694" t="s">
        <v>5051</v>
      </c>
      <c r="C243" s="694" t="s">
        <v>5052</v>
      </c>
      <c r="D243" s="695" t="s">
        <v>5053</v>
      </c>
      <c r="E243" s="696"/>
      <c r="F243" s="697"/>
      <c r="G243" s="697"/>
      <c r="H243" s="698"/>
      <c r="I243" s="697"/>
      <c r="J243" s="697"/>
      <c r="K243" s="697"/>
      <c r="L243" s="697"/>
      <c r="M243" s="697"/>
      <c r="N243" s="698"/>
      <c r="O243" s="697"/>
      <c r="P243" s="697"/>
      <c r="Q243" s="697"/>
      <c r="R243" s="697"/>
      <c r="S243" s="697"/>
      <c r="T243" s="697"/>
      <c r="U243" s="697"/>
      <c r="V243" s="697"/>
      <c r="W243" s="698"/>
      <c r="X243" s="698"/>
      <c r="Y243" s="697"/>
      <c r="Z243" s="697"/>
      <c r="AA243" s="697"/>
      <c r="AB243" s="697"/>
      <c r="AC243" s="697"/>
    </row>
    <row r="244" spans="1:29" x14ac:dyDescent="0.2">
      <c r="A244" s="694" t="str">
        <f>+Info!$B$2</f>
        <v>724</v>
      </c>
      <c r="B244" s="694" t="s">
        <v>5054</v>
      </c>
      <c r="C244" s="694" t="s">
        <v>5055</v>
      </c>
      <c r="D244" s="695" t="s">
        <v>5056</v>
      </c>
      <c r="E244" s="696"/>
      <c r="F244" s="697"/>
      <c r="G244" s="697"/>
      <c r="H244" s="698"/>
      <c r="I244" s="697"/>
      <c r="J244" s="697"/>
      <c r="K244" s="697"/>
      <c r="L244" s="697"/>
      <c r="M244" s="697"/>
      <c r="N244" s="698"/>
      <c r="O244" s="697"/>
      <c r="P244" s="697"/>
      <c r="Q244" s="697"/>
      <c r="R244" s="697"/>
      <c r="S244" s="697"/>
      <c r="T244" s="697"/>
      <c r="U244" s="697"/>
      <c r="V244" s="697"/>
      <c r="W244" s="698"/>
      <c r="X244" s="698"/>
      <c r="Y244" s="697"/>
      <c r="Z244" s="697"/>
      <c r="AA244" s="697"/>
      <c r="AB244" s="697"/>
      <c r="AC244" s="697"/>
    </row>
    <row r="245" spans="1:29" x14ac:dyDescent="0.2">
      <c r="A245" s="694" t="str">
        <f>+Info!$B$2</f>
        <v>724</v>
      </c>
      <c r="B245" s="694" t="s">
        <v>5057</v>
      </c>
      <c r="C245" s="694" t="s">
        <v>5058</v>
      </c>
      <c r="D245" s="695" t="s">
        <v>5059</v>
      </c>
      <c r="E245" s="696"/>
      <c r="F245" s="697"/>
      <c r="G245" s="697"/>
      <c r="H245" s="698"/>
      <c r="I245" s="697"/>
      <c r="J245" s="697"/>
      <c r="K245" s="697"/>
      <c r="L245" s="697"/>
      <c r="M245" s="697"/>
      <c r="N245" s="698"/>
      <c r="O245" s="697"/>
      <c r="P245" s="697"/>
      <c r="Q245" s="697"/>
      <c r="R245" s="697"/>
      <c r="S245" s="697"/>
      <c r="T245" s="697"/>
      <c r="U245" s="697"/>
      <c r="V245" s="697"/>
      <c r="W245" s="698"/>
      <c r="X245" s="698"/>
      <c r="Y245" s="697"/>
      <c r="Z245" s="697"/>
      <c r="AA245" s="697"/>
      <c r="AB245" s="697"/>
      <c r="AC245" s="697"/>
    </row>
    <row r="246" spans="1:29" x14ac:dyDescent="0.2">
      <c r="A246" s="694" t="str">
        <f>+Info!$B$2</f>
        <v>724</v>
      </c>
      <c r="B246" s="694" t="s">
        <v>5060</v>
      </c>
      <c r="C246" s="694" t="s">
        <v>5061</v>
      </c>
      <c r="D246" s="695" t="s">
        <v>5062</v>
      </c>
      <c r="E246" s="696"/>
      <c r="F246" s="697"/>
      <c r="G246" s="697"/>
      <c r="H246" s="698"/>
      <c r="I246" s="697"/>
      <c r="J246" s="697"/>
      <c r="K246" s="697"/>
      <c r="L246" s="697"/>
      <c r="M246" s="697"/>
      <c r="N246" s="698"/>
      <c r="O246" s="697"/>
      <c r="P246" s="697"/>
      <c r="Q246" s="697"/>
      <c r="R246" s="697"/>
      <c r="S246" s="697"/>
      <c r="T246" s="697"/>
      <c r="U246" s="697"/>
      <c r="V246" s="697"/>
      <c r="W246" s="698"/>
      <c r="X246" s="698"/>
      <c r="Y246" s="697"/>
      <c r="Z246" s="697"/>
      <c r="AA246" s="697"/>
      <c r="AB246" s="697"/>
      <c r="AC246" s="697"/>
    </row>
    <row r="247" spans="1:29" x14ac:dyDescent="0.2">
      <c r="A247" s="694" t="str">
        <f>+Info!$B$2</f>
        <v>724</v>
      </c>
      <c r="B247" s="694" t="s">
        <v>5063</v>
      </c>
      <c r="C247" s="694" t="s">
        <v>5064</v>
      </c>
      <c r="D247" s="695" t="s">
        <v>5065</v>
      </c>
      <c r="E247" s="696"/>
      <c r="F247" s="697"/>
      <c r="G247" s="697"/>
      <c r="H247" s="698"/>
      <c r="I247" s="697"/>
      <c r="J247" s="697"/>
      <c r="K247" s="697"/>
      <c r="L247" s="697"/>
      <c r="M247" s="697"/>
      <c r="N247" s="698"/>
      <c r="O247" s="697"/>
      <c r="P247" s="697"/>
      <c r="Q247" s="697"/>
      <c r="R247" s="697"/>
      <c r="S247" s="697"/>
      <c r="T247" s="697"/>
      <c r="U247" s="697"/>
      <c r="V247" s="697"/>
      <c r="W247" s="698"/>
      <c r="X247" s="698"/>
      <c r="Y247" s="697"/>
      <c r="Z247" s="697"/>
      <c r="AA247" s="697"/>
      <c r="AB247" s="697"/>
      <c r="AC247" s="697"/>
    </row>
    <row r="248" spans="1:29" x14ac:dyDescent="0.2">
      <c r="A248" s="694" t="str">
        <f>+Info!$B$2</f>
        <v>724</v>
      </c>
      <c r="B248" s="694" t="s">
        <v>5066</v>
      </c>
      <c r="C248" s="694" t="s">
        <v>5067</v>
      </c>
      <c r="D248" s="695" t="s">
        <v>5068</v>
      </c>
      <c r="E248" s="696"/>
      <c r="F248" s="697"/>
      <c r="G248" s="697"/>
      <c r="H248" s="698"/>
      <c r="I248" s="697"/>
      <c r="J248" s="697"/>
      <c r="K248" s="697"/>
      <c r="L248" s="697"/>
      <c r="M248" s="697"/>
      <c r="N248" s="698"/>
      <c r="O248" s="697"/>
      <c r="P248" s="697"/>
      <c r="Q248" s="697"/>
      <c r="R248" s="697"/>
      <c r="S248" s="697"/>
      <c r="T248" s="697"/>
      <c r="U248" s="697"/>
      <c r="V248" s="697"/>
      <c r="W248" s="698"/>
      <c r="X248" s="698"/>
      <c r="Y248" s="697"/>
      <c r="Z248" s="697"/>
      <c r="AA248" s="697"/>
      <c r="AB248" s="697"/>
      <c r="AC248" s="697"/>
    </row>
    <row r="249" spans="1:29" x14ac:dyDescent="0.2">
      <c r="A249" s="694" t="str">
        <f>+Info!$B$2</f>
        <v>724</v>
      </c>
      <c r="B249" s="694" t="s">
        <v>5069</v>
      </c>
      <c r="C249" s="694" t="s">
        <v>5070</v>
      </c>
      <c r="D249" s="695" t="s">
        <v>5071</v>
      </c>
      <c r="E249" s="696"/>
      <c r="F249" s="697"/>
      <c r="G249" s="697"/>
      <c r="H249" s="698"/>
      <c r="I249" s="697"/>
      <c r="J249" s="697"/>
      <c r="K249" s="697"/>
      <c r="L249" s="697"/>
      <c r="M249" s="697"/>
      <c r="N249" s="698"/>
      <c r="O249" s="697"/>
      <c r="P249" s="697"/>
      <c r="Q249" s="697"/>
      <c r="R249" s="697"/>
      <c r="S249" s="697"/>
      <c r="T249" s="697"/>
      <c r="U249" s="697"/>
      <c r="V249" s="697"/>
      <c r="W249" s="698"/>
      <c r="X249" s="698"/>
      <c r="Y249" s="697"/>
      <c r="Z249" s="697"/>
      <c r="AA249" s="697"/>
      <c r="AB249" s="697"/>
      <c r="AC249" s="697"/>
    </row>
    <row r="250" spans="1:29" x14ac:dyDescent="0.2">
      <c r="A250" s="694" t="str">
        <f>+Info!$B$2</f>
        <v>724</v>
      </c>
      <c r="B250" s="694" t="s">
        <v>5072</v>
      </c>
      <c r="C250" s="694" t="s">
        <v>5073</v>
      </c>
      <c r="D250" s="695" t="s">
        <v>5074</v>
      </c>
      <c r="E250" s="696"/>
      <c r="F250" s="697"/>
      <c r="G250" s="697"/>
      <c r="H250" s="698"/>
      <c r="I250" s="697"/>
      <c r="J250" s="697"/>
      <c r="K250" s="697"/>
      <c r="L250" s="697"/>
      <c r="M250" s="697"/>
      <c r="N250" s="698"/>
      <c r="O250" s="697"/>
      <c r="P250" s="697"/>
      <c r="Q250" s="697"/>
      <c r="R250" s="697"/>
      <c r="S250" s="697"/>
      <c r="T250" s="697"/>
      <c r="U250" s="697"/>
      <c r="V250" s="697"/>
      <c r="W250" s="698"/>
      <c r="X250" s="698"/>
      <c r="Y250" s="697"/>
      <c r="Z250" s="697"/>
      <c r="AA250" s="697"/>
      <c r="AB250" s="697"/>
      <c r="AC250" s="697"/>
    </row>
    <row r="251" spans="1:29" x14ac:dyDescent="0.2">
      <c r="A251" s="694" t="str">
        <f>+Info!$B$2</f>
        <v>724</v>
      </c>
      <c r="B251" s="694" t="s">
        <v>5075</v>
      </c>
      <c r="C251" s="694" t="s">
        <v>5076</v>
      </c>
      <c r="D251" s="695" t="s">
        <v>5077</v>
      </c>
      <c r="E251" s="696"/>
      <c r="F251" s="697"/>
      <c r="G251" s="697"/>
      <c r="H251" s="698"/>
      <c r="I251" s="697"/>
      <c r="J251" s="697"/>
      <c r="K251" s="697"/>
      <c r="L251" s="697"/>
      <c r="M251" s="697"/>
      <c r="N251" s="698"/>
      <c r="O251" s="697"/>
      <c r="P251" s="697"/>
      <c r="Q251" s="697"/>
      <c r="R251" s="697"/>
      <c r="S251" s="697"/>
      <c r="T251" s="697"/>
      <c r="U251" s="697"/>
      <c r="V251" s="697"/>
      <c r="W251" s="698"/>
      <c r="X251" s="698"/>
      <c r="Y251" s="697"/>
      <c r="Z251" s="697"/>
      <c r="AA251" s="697"/>
      <c r="AB251" s="697"/>
      <c r="AC251" s="697"/>
    </row>
    <row r="252" spans="1:29" x14ac:dyDescent="0.2">
      <c r="A252" s="694" t="str">
        <f>+Info!$B$2</f>
        <v>724</v>
      </c>
      <c r="B252" s="694" t="s">
        <v>5078</v>
      </c>
      <c r="C252" s="694" t="s">
        <v>5079</v>
      </c>
      <c r="D252" s="695" t="s">
        <v>5080</v>
      </c>
      <c r="E252" s="696"/>
      <c r="F252" s="697"/>
      <c r="G252" s="697"/>
      <c r="H252" s="698"/>
      <c r="I252" s="697"/>
      <c r="J252" s="697"/>
      <c r="K252" s="697"/>
      <c r="L252" s="697"/>
      <c r="M252" s="697"/>
      <c r="N252" s="698"/>
      <c r="O252" s="697"/>
      <c r="P252" s="697"/>
      <c r="Q252" s="697"/>
      <c r="R252" s="697"/>
      <c r="S252" s="697"/>
      <c r="T252" s="697"/>
      <c r="U252" s="697"/>
      <c r="V252" s="697"/>
      <c r="W252" s="698"/>
      <c r="X252" s="698"/>
      <c r="Y252" s="697"/>
      <c r="Z252" s="697"/>
      <c r="AA252" s="697"/>
      <c r="AB252" s="697"/>
      <c r="AC252" s="697"/>
    </row>
    <row r="253" spans="1:29" x14ac:dyDescent="0.2">
      <c r="A253" s="694" t="str">
        <f>+Info!$B$2</f>
        <v>724</v>
      </c>
      <c r="B253" s="694" t="s">
        <v>5081</v>
      </c>
      <c r="C253" s="694" t="s">
        <v>5082</v>
      </c>
      <c r="D253" s="695" t="s">
        <v>5083</v>
      </c>
      <c r="E253" s="696"/>
      <c r="F253" s="697"/>
      <c r="G253" s="697"/>
      <c r="H253" s="698"/>
      <c r="I253" s="697"/>
      <c r="J253" s="698"/>
      <c r="K253" s="697"/>
      <c r="L253" s="697"/>
      <c r="M253" s="697"/>
      <c r="N253" s="698"/>
      <c r="O253" s="697"/>
      <c r="P253" s="697"/>
      <c r="Q253" s="697"/>
      <c r="R253" s="697"/>
      <c r="S253" s="697"/>
      <c r="T253" s="697"/>
      <c r="U253" s="697"/>
      <c r="V253" s="697"/>
      <c r="W253" s="698"/>
      <c r="X253" s="698"/>
      <c r="Y253" s="697"/>
      <c r="Z253" s="697"/>
      <c r="AA253" s="697"/>
      <c r="AB253" s="697"/>
      <c r="AC253" s="697"/>
    </row>
    <row r="254" spans="1:29" x14ac:dyDescent="0.2">
      <c r="A254" s="694" t="str">
        <f>+Info!$B$2</f>
        <v>724</v>
      </c>
      <c r="B254" s="694" t="s">
        <v>5084</v>
      </c>
      <c r="C254" s="694" t="s">
        <v>5085</v>
      </c>
      <c r="D254" s="695" t="s">
        <v>5086</v>
      </c>
      <c r="E254" s="696"/>
      <c r="F254" s="697"/>
      <c r="G254" s="697"/>
      <c r="H254" s="698"/>
      <c r="I254" s="697"/>
      <c r="J254" s="698"/>
      <c r="K254" s="697"/>
      <c r="L254" s="697"/>
      <c r="M254" s="697"/>
      <c r="N254" s="698"/>
      <c r="O254" s="697"/>
      <c r="P254" s="697"/>
      <c r="Q254" s="697"/>
      <c r="R254" s="697"/>
      <c r="S254" s="697"/>
      <c r="T254" s="697"/>
      <c r="U254" s="697"/>
      <c r="V254" s="697"/>
      <c r="W254" s="698"/>
      <c r="X254" s="698"/>
      <c r="Y254" s="697"/>
      <c r="Z254" s="697"/>
      <c r="AA254" s="697"/>
      <c r="AB254" s="697"/>
      <c r="AC254" s="697"/>
    </row>
    <row r="255" spans="1:29" x14ac:dyDescent="0.2">
      <c r="A255" s="694" t="str">
        <f>+Info!$B$2</f>
        <v>724</v>
      </c>
      <c r="B255" s="694" t="s">
        <v>5087</v>
      </c>
      <c r="C255" s="694" t="s">
        <v>5088</v>
      </c>
      <c r="D255" s="695" t="s">
        <v>5089</v>
      </c>
      <c r="E255" s="696"/>
      <c r="F255" s="697"/>
      <c r="G255" s="697"/>
      <c r="H255" s="698"/>
      <c r="I255" s="697"/>
      <c r="J255" s="698"/>
      <c r="K255" s="697"/>
      <c r="L255" s="697"/>
      <c r="M255" s="697"/>
      <c r="N255" s="698"/>
      <c r="O255" s="697"/>
      <c r="P255" s="697"/>
      <c r="Q255" s="697"/>
      <c r="R255" s="697"/>
      <c r="S255" s="697"/>
      <c r="T255" s="697"/>
      <c r="U255" s="697"/>
      <c r="V255" s="697"/>
      <c r="W255" s="698"/>
      <c r="X255" s="698"/>
      <c r="Y255" s="697"/>
      <c r="Z255" s="697"/>
      <c r="AA255" s="697"/>
      <c r="AB255" s="697"/>
      <c r="AC255" s="697"/>
    </row>
    <row r="256" spans="1:29" x14ac:dyDescent="0.2">
      <c r="A256" s="694" t="str">
        <f>+Info!$B$2</f>
        <v>724</v>
      </c>
      <c r="B256" s="694" t="s">
        <v>5090</v>
      </c>
      <c r="C256" s="694" t="s">
        <v>5091</v>
      </c>
      <c r="D256" s="695" t="s">
        <v>5092</v>
      </c>
      <c r="E256" s="696"/>
      <c r="F256" s="697"/>
      <c r="G256" s="697"/>
      <c r="H256" s="698"/>
      <c r="I256" s="697"/>
      <c r="J256" s="698"/>
      <c r="K256" s="697"/>
      <c r="L256" s="697"/>
      <c r="M256" s="697"/>
      <c r="N256" s="698"/>
      <c r="O256" s="697"/>
      <c r="P256" s="697"/>
      <c r="Q256" s="697"/>
      <c r="R256" s="697"/>
      <c r="S256" s="697"/>
      <c r="T256" s="697"/>
      <c r="U256" s="697"/>
      <c r="V256" s="697"/>
      <c r="W256" s="698"/>
      <c r="X256" s="698"/>
      <c r="Y256" s="697"/>
      <c r="Z256" s="697"/>
      <c r="AA256" s="697"/>
      <c r="AB256" s="697"/>
      <c r="AC256" s="697"/>
    </row>
    <row r="257" spans="1:29" ht="25.5" x14ac:dyDescent="0.2">
      <c r="A257" s="694" t="str">
        <f>+Info!$B$2</f>
        <v>724</v>
      </c>
      <c r="B257" s="694" t="s">
        <v>5093</v>
      </c>
      <c r="C257" s="694" t="s">
        <v>5094</v>
      </c>
      <c r="D257" s="695" t="s">
        <v>5095</v>
      </c>
      <c r="E257" s="696"/>
      <c r="F257" s="697"/>
      <c r="G257" s="697"/>
      <c r="H257" s="698"/>
      <c r="I257" s="697"/>
      <c r="J257" s="698"/>
      <c r="K257" s="697"/>
      <c r="L257" s="697"/>
      <c r="M257" s="697"/>
      <c r="N257" s="698"/>
      <c r="O257" s="697"/>
      <c r="P257" s="697"/>
      <c r="Q257" s="697"/>
      <c r="R257" s="697"/>
      <c r="S257" s="697"/>
      <c r="T257" s="697"/>
      <c r="U257" s="697"/>
      <c r="V257" s="697"/>
      <c r="W257" s="698"/>
      <c r="X257" s="698"/>
      <c r="Y257" s="697"/>
      <c r="Z257" s="697"/>
      <c r="AA257" s="697"/>
      <c r="AB257" s="697"/>
      <c r="AC257" s="697"/>
    </row>
    <row r="258" spans="1:29" ht="25.5" x14ac:dyDescent="0.2">
      <c r="A258" s="694" t="str">
        <f>+Info!$B$2</f>
        <v>724</v>
      </c>
      <c r="B258" s="694" t="s">
        <v>5096</v>
      </c>
      <c r="C258" s="694" t="s">
        <v>5097</v>
      </c>
      <c r="D258" s="695" t="s">
        <v>5098</v>
      </c>
      <c r="E258" s="696"/>
      <c r="F258" s="697"/>
      <c r="G258" s="697"/>
      <c r="H258" s="698"/>
      <c r="I258" s="697"/>
      <c r="J258" s="698"/>
      <c r="K258" s="697"/>
      <c r="L258" s="697"/>
      <c r="M258" s="697"/>
      <c r="N258" s="698"/>
      <c r="O258" s="697"/>
      <c r="P258" s="697"/>
      <c r="Q258" s="697"/>
      <c r="R258" s="697"/>
      <c r="S258" s="697"/>
      <c r="T258" s="697"/>
      <c r="U258" s="697"/>
      <c r="V258" s="697"/>
      <c r="W258" s="698"/>
      <c r="X258" s="698"/>
      <c r="Y258" s="697"/>
      <c r="Z258" s="697"/>
      <c r="AA258" s="697"/>
      <c r="AB258" s="697"/>
      <c r="AC258" s="697"/>
    </row>
    <row r="259" spans="1:29" ht="25.5" x14ac:dyDescent="0.2">
      <c r="A259" s="694" t="str">
        <f>+Info!$B$2</f>
        <v>724</v>
      </c>
      <c r="B259" s="694" t="s">
        <v>5099</v>
      </c>
      <c r="C259" s="694" t="s">
        <v>5100</v>
      </c>
      <c r="D259" s="695" t="s">
        <v>5101</v>
      </c>
      <c r="E259" s="696"/>
      <c r="F259" s="697"/>
      <c r="G259" s="697"/>
      <c r="H259" s="698"/>
      <c r="I259" s="697"/>
      <c r="J259" s="698"/>
      <c r="K259" s="697"/>
      <c r="L259" s="697"/>
      <c r="M259" s="697"/>
      <c r="N259" s="698"/>
      <c r="O259" s="697"/>
      <c r="P259" s="697"/>
      <c r="Q259" s="697"/>
      <c r="R259" s="697"/>
      <c r="S259" s="697"/>
      <c r="T259" s="697"/>
      <c r="U259" s="697"/>
      <c r="V259" s="697"/>
      <c r="W259" s="698"/>
      <c r="X259" s="698"/>
      <c r="Y259" s="697"/>
      <c r="Z259" s="697"/>
      <c r="AA259" s="697"/>
      <c r="AB259" s="697"/>
      <c r="AC259" s="697"/>
    </row>
    <row r="260" spans="1:29" x14ac:dyDescent="0.2">
      <c r="A260" s="694" t="str">
        <f>+Info!$B$2</f>
        <v>724</v>
      </c>
      <c r="B260" s="694" t="s">
        <v>5102</v>
      </c>
      <c r="C260" s="694" t="s">
        <v>5103</v>
      </c>
      <c r="D260" s="695" t="s">
        <v>5104</v>
      </c>
      <c r="E260" s="696"/>
      <c r="F260" s="697"/>
      <c r="G260" s="697"/>
      <c r="H260" s="698"/>
      <c r="I260" s="697"/>
      <c r="J260" s="698"/>
      <c r="K260" s="697"/>
      <c r="L260" s="697"/>
      <c r="M260" s="697"/>
      <c r="N260" s="698"/>
      <c r="O260" s="697"/>
      <c r="P260" s="697"/>
      <c r="Q260" s="697"/>
      <c r="R260" s="697"/>
      <c r="S260" s="697"/>
      <c r="T260" s="697"/>
      <c r="U260" s="697"/>
      <c r="V260" s="697"/>
      <c r="W260" s="698"/>
      <c r="X260" s="698"/>
      <c r="Y260" s="697"/>
      <c r="Z260" s="697"/>
      <c r="AA260" s="697"/>
      <c r="AB260" s="697"/>
      <c r="AC260" s="697"/>
    </row>
    <row r="261" spans="1:29" ht="25.5" x14ac:dyDescent="0.2">
      <c r="A261" s="694" t="str">
        <f>+Info!$B$2</f>
        <v>724</v>
      </c>
      <c r="B261" s="694" t="s">
        <v>5105</v>
      </c>
      <c r="C261" s="694" t="s">
        <v>5106</v>
      </c>
      <c r="D261" s="695" t="s">
        <v>5107</v>
      </c>
      <c r="E261" s="696"/>
      <c r="F261" s="697"/>
      <c r="G261" s="697"/>
      <c r="H261" s="698"/>
      <c r="I261" s="697"/>
      <c r="J261" s="698"/>
      <c r="K261" s="697"/>
      <c r="L261" s="697"/>
      <c r="M261" s="697"/>
      <c r="N261" s="698"/>
      <c r="O261" s="697"/>
      <c r="P261" s="697"/>
      <c r="Q261" s="697"/>
      <c r="R261" s="697"/>
      <c r="S261" s="697"/>
      <c r="T261" s="697"/>
      <c r="U261" s="697"/>
      <c r="V261" s="697"/>
      <c r="W261" s="698"/>
      <c r="X261" s="698"/>
      <c r="Y261" s="697"/>
      <c r="Z261" s="697"/>
      <c r="AA261" s="697"/>
      <c r="AB261" s="697"/>
      <c r="AC261" s="697"/>
    </row>
    <row r="262" spans="1:29" ht="25.5" x14ac:dyDescent="0.2">
      <c r="A262" s="694" t="str">
        <f>+Info!$B$2</f>
        <v>724</v>
      </c>
      <c r="B262" s="694" t="s">
        <v>5108</v>
      </c>
      <c r="C262" s="694" t="s">
        <v>5109</v>
      </c>
      <c r="D262" s="695" t="s">
        <v>5110</v>
      </c>
      <c r="E262" s="696"/>
      <c r="F262" s="697"/>
      <c r="G262" s="697"/>
      <c r="H262" s="698"/>
      <c r="I262" s="697"/>
      <c r="J262" s="698"/>
      <c r="K262" s="697"/>
      <c r="L262" s="697"/>
      <c r="M262" s="697"/>
      <c r="N262" s="698"/>
      <c r="O262" s="697"/>
      <c r="P262" s="697"/>
      <c r="Q262" s="697"/>
      <c r="R262" s="697"/>
      <c r="S262" s="697"/>
      <c r="T262" s="697"/>
      <c r="U262" s="697"/>
      <c r="V262" s="697"/>
      <c r="W262" s="698"/>
      <c r="X262" s="698"/>
      <c r="Y262" s="697"/>
      <c r="Z262" s="697"/>
      <c r="AA262" s="697"/>
      <c r="AB262" s="697"/>
      <c r="AC262" s="697"/>
    </row>
    <row r="263" spans="1:29" ht="25.5" x14ac:dyDescent="0.2">
      <c r="A263" s="694" t="str">
        <f>+Info!$B$2</f>
        <v>724</v>
      </c>
      <c r="B263" s="694" t="s">
        <v>5111</v>
      </c>
      <c r="C263" s="694" t="s">
        <v>5112</v>
      </c>
      <c r="D263" s="695" t="s">
        <v>5113</v>
      </c>
      <c r="E263" s="696"/>
      <c r="F263" s="697"/>
      <c r="G263" s="697"/>
      <c r="H263" s="698"/>
      <c r="I263" s="697"/>
      <c r="J263" s="698"/>
      <c r="K263" s="697"/>
      <c r="L263" s="697"/>
      <c r="M263" s="697"/>
      <c r="N263" s="698"/>
      <c r="O263" s="697"/>
      <c r="P263" s="697"/>
      <c r="Q263" s="697"/>
      <c r="R263" s="697"/>
      <c r="S263" s="697"/>
      <c r="T263" s="697"/>
      <c r="U263" s="697"/>
      <c r="V263" s="697"/>
      <c r="W263" s="698"/>
      <c r="X263" s="698"/>
      <c r="Y263" s="697"/>
      <c r="Z263" s="697"/>
      <c r="AA263" s="697"/>
      <c r="AB263" s="697"/>
      <c r="AC263" s="697"/>
    </row>
    <row r="264" spans="1:29" ht="25.5" x14ac:dyDescent="0.2">
      <c r="A264" s="694" t="str">
        <f>+Info!$B$2</f>
        <v>724</v>
      </c>
      <c r="B264" s="694" t="s">
        <v>5114</v>
      </c>
      <c r="C264" s="694" t="s">
        <v>5115</v>
      </c>
      <c r="D264" s="695" t="s">
        <v>5116</v>
      </c>
      <c r="E264" s="696"/>
      <c r="F264" s="697"/>
      <c r="G264" s="697"/>
      <c r="H264" s="698"/>
      <c r="I264" s="697"/>
      <c r="J264" s="698"/>
      <c r="K264" s="697"/>
      <c r="L264" s="697"/>
      <c r="M264" s="697"/>
      <c r="N264" s="698"/>
      <c r="O264" s="697"/>
      <c r="P264" s="697"/>
      <c r="Q264" s="697"/>
      <c r="R264" s="697"/>
      <c r="S264" s="697"/>
      <c r="T264" s="697"/>
      <c r="U264" s="697"/>
      <c r="V264" s="697"/>
      <c r="W264" s="698"/>
      <c r="X264" s="698"/>
      <c r="Y264" s="697"/>
      <c r="Z264" s="697"/>
      <c r="AA264" s="697"/>
      <c r="AB264" s="697"/>
      <c r="AC264" s="697"/>
    </row>
    <row r="265" spans="1:29" ht="25.5" x14ac:dyDescent="0.2">
      <c r="A265" s="694" t="str">
        <f>+Info!$B$2</f>
        <v>724</v>
      </c>
      <c r="B265" s="694" t="s">
        <v>5117</v>
      </c>
      <c r="C265" s="694" t="s">
        <v>5118</v>
      </c>
      <c r="D265" s="695" t="s">
        <v>5119</v>
      </c>
      <c r="E265" s="696"/>
      <c r="F265" s="697"/>
      <c r="G265" s="697"/>
      <c r="H265" s="698"/>
      <c r="I265" s="697"/>
      <c r="J265" s="698"/>
      <c r="K265" s="697"/>
      <c r="L265" s="697"/>
      <c r="M265" s="697"/>
      <c r="N265" s="698"/>
      <c r="O265" s="697"/>
      <c r="P265" s="697"/>
      <c r="Q265" s="697"/>
      <c r="R265" s="697"/>
      <c r="S265" s="697"/>
      <c r="T265" s="697"/>
      <c r="U265" s="697"/>
      <c r="V265" s="697"/>
      <c r="W265" s="698"/>
      <c r="X265" s="698"/>
      <c r="Y265" s="697"/>
      <c r="Z265" s="697"/>
      <c r="AA265" s="697"/>
      <c r="AB265" s="697"/>
      <c r="AC265" s="697"/>
    </row>
    <row r="266" spans="1:29" ht="25.5" x14ac:dyDescent="0.2">
      <c r="A266" s="694" t="str">
        <f>+Info!$B$2</f>
        <v>724</v>
      </c>
      <c r="B266" s="694" t="s">
        <v>5120</v>
      </c>
      <c r="C266" s="694" t="s">
        <v>5121</v>
      </c>
      <c r="D266" s="695" t="s">
        <v>5122</v>
      </c>
      <c r="E266" s="696"/>
      <c r="F266" s="697"/>
      <c r="G266" s="697"/>
      <c r="H266" s="698"/>
      <c r="I266" s="697"/>
      <c r="J266" s="698"/>
      <c r="K266" s="697"/>
      <c r="L266" s="697"/>
      <c r="M266" s="697"/>
      <c r="N266" s="698"/>
      <c r="O266" s="697"/>
      <c r="P266" s="697"/>
      <c r="Q266" s="697"/>
      <c r="R266" s="697"/>
      <c r="S266" s="697"/>
      <c r="T266" s="697"/>
      <c r="U266" s="697"/>
      <c r="V266" s="697"/>
      <c r="W266" s="698"/>
      <c r="X266" s="698"/>
      <c r="Y266" s="697"/>
      <c r="Z266" s="697"/>
      <c r="AA266" s="697"/>
      <c r="AB266" s="697"/>
      <c r="AC266" s="697"/>
    </row>
    <row r="267" spans="1:29" ht="25.5" x14ac:dyDescent="0.2">
      <c r="A267" s="694" t="str">
        <f>+Info!$B$2</f>
        <v>724</v>
      </c>
      <c r="B267" s="694" t="s">
        <v>5123</v>
      </c>
      <c r="C267" s="694" t="s">
        <v>5124</v>
      </c>
      <c r="D267" s="695" t="s">
        <v>5125</v>
      </c>
      <c r="E267" s="696"/>
      <c r="F267" s="697"/>
      <c r="G267" s="697"/>
      <c r="H267" s="698"/>
      <c r="I267" s="697"/>
      <c r="J267" s="698"/>
      <c r="K267" s="697"/>
      <c r="L267" s="697"/>
      <c r="M267" s="697"/>
      <c r="N267" s="698"/>
      <c r="O267" s="697"/>
      <c r="P267" s="697"/>
      <c r="Q267" s="697"/>
      <c r="R267" s="697"/>
      <c r="S267" s="697"/>
      <c r="T267" s="697"/>
      <c r="U267" s="697"/>
      <c r="V267" s="697"/>
      <c r="W267" s="698"/>
      <c r="X267" s="698"/>
      <c r="Y267" s="697"/>
      <c r="Z267" s="697"/>
      <c r="AA267" s="697"/>
      <c r="AB267" s="697"/>
      <c r="AC267" s="697"/>
    </row>
    <row r="268" spans="1:29" ht="25.5" x14ac:dyDescent="0.2">
      <c r="A268" s="694" t="str">
        <f>+Info!$B$2</f>
        <v>724</v>
      </c>
      <c r="B268" s="694" t="s">
        <v>5126</v>
      </c>
      <c r="C268" s="694" t="s">
        <v>5127</v>
      </c>
      <c r="D268" s="695" t="s">
        <v>5128</v>
      </c>
      <c r="E268" s="696"/>
      <c r="F268" s="697"/>
      <c r="G268" s="697"/>
      <c r="H268" s="698"/>
      <c r="I268" s="697"/>
      <c r="J268" s="698"/>
      <c r="K268" s="697"/>
      <c r="L268" s="697"/>
      <c r="M268" s="697"/>
      <c r="N268" s="698"/>
      <c r="O268" s="697"/>
      <c r="P268" s="697"/>
      <c r="Q268" s="697"/>
      <c r="R268" s="697"/>
      <c r="S268" s="697"/>
      <c r="T268" s="697"/>
      <c r="U268" s="697"/>
      <c r="V268" s="697"/>
      <c r="W268" s="698"/>
      <c r="X268" s="698"/>
      <c r="Y268" s="697"/>
      <c r="Z268" s="697"/>
      <c r="AA268" s="697"/>
      <c r="AB268" s="697"/>
      <c r="AC268" s="697"/>
    </row>
    <row r="269" spans="1:29" ht="25.5" x14ac:dyDescent="0.2">
      <c r="A269" s="694" t="str">
        <f>+Info!$B$2</f>
        <v>724</v>
      </c>
      <c r="B269" s="694" t="s">
        <v>5129</v>
      </c>
      <c r="C269" s="694" t="s">
        <v>5130</v>
      </c>
      <c r="D269" s="695" t="s">
        <v>5131</v>
      </c>
      <c r="E269" s="696"/>
      <c r="F269" s="697"/>
      <c r="G269" s="697"/>
      <c r="H269" s="698"/>
      <c r="I269" s="697"/>
      <c r="J269" s="698"/>
      <c r="K269" s="697"/>
      <c r="L269" s="697"/>
      <c r="M269" s="697"/>
      <c r="N269" s="698"/>
      <c r="O269" s="697"/>
      <c r="P269" s="697"/>
      <c r="Q269" s="697"/>
      <c r="R269" s="697"/>
      <c r="S269" s="697"/>
      <c r="T269" s="697"/>
      <c r="U269" s="697"/>
      <c r="V269" s="697"/>
      <c r="W269" s="698"/>
      <c r="X269" s="698"/>
      <c r="Y269" s="697"/>
      <c r="Z269" s="697"/>
      <c r="AA269" s="697"/>
      <c r="AB269" s="697"/>
      <c r="AC269" s="697"/>
    </row>
    <row r="270" spans="1:29" ht="25.5" x14ac:dyDescent="0.2">
      <c r="A270" s="694" t="str">
        <f>+Info!$B$2</f>
        <v>724</v>
      </c>
      <c r="B270" s="694" t="s">
        <v>5132</v>
      </c>
      <c r="C270" s="694" t="s">
        <v>5133</v>
      </c>
      <c r="D270" s="695" t="s">
        <v>5134</v>
      </c>
      <c r="E270" s="696"/>
      <c r="F270" s="697"/>
      <c r="G270" s="697"/>
      <c r="H270" s="698"/>
      <c r="I270" s="697"/>
      <c r="J270" s="698"/>
      <c r="K270" s="697"/>
      <c r="L270" s="697"/>
      <c r="M270" s="697"/>
      <c r="N270" s="698"/>
      <c r="O270" s="697"/>
      <c r="P270" s="697"/>
      <c r="Q270" s="697"/>
      <c r="R270" s="697"/>
      <c r="S270" s="697"/>
      <c r="T270" s="697"/>
      <c r="U270" s="697"/>
      <c r="V270" s="697"/>
      <c r="W270" s="698"/>
      <c r="X270" s="698"/>
      <c r="Y270" s="697"/>
      <c r="Z270" s="697"/>
      <c r="AA270" s="697"/>
      <c r="AB270" s="697"/>
      <c r="AC270" s="697"/>
    </row>
    <row r="271" spans="1:29" x14ac:dyDescent="0.2">
      <c r="A271" s="694" t="str">
        <f>+Info!$B$2</f>
        <v>724</v>
      </c>
      <c r="B271" s="694" t="s">
        <v>5135</v>
      </c>
      <c r="C271" s="694" t="s">
        <v>5136</v>
      </c>
      <c r="D271" s="695" t="s">
        <v>5137</v>
      </c>
      <c r="E271" s="696"/>
      <c r="F271" s="697"/>
      <c r="G271" s="697"/>
      <c r="H271" s="698"/>
      <c r="I271" s="697"/>
      <c r="J271" s="698"/>
      <c r="K271" s="697"/>
      <c r="L271" s="697"/>
      <c r="M271" s="697"/>
      <c r="N271" s="698"/>
      <c r="O271" s="697"/>
      <c r="P271" s="697"/>
      <c r="Q271" s="697"/>
      <c r="R271" s="697"/>
      <c r="S271" s="697"/>
      <c r="T271" s="697"/>
      <c r="U271" s="697"/>
      <c r="V271" s="697"/>
      <c r="W271" s="698"/>
      <c r="X271" s="698"/>
      <c r="Y271" s="697"/>
      <c r="Z271" s="697"/>
      <c r="AA271" s="697"/>
      <c r="AB271" s="697"/>
      <c r="AC271" s="697"/>
    </row>
    <row r="272" spans="1:29" ht="25.5" x14ac:dyDescent="0.2">
      <c r="A272" s="694" t="str">
        <f>+Info!$B$2</f>
        <v>724</v>
      </c>
      <c r="B272" s="694" t="s">
        <v>5138</v>
      </c>
      <c r="C272" s="694" t="s">
        <v>5139</v>
      </c>
      <c r="D272" s="695" t="s">
        <v>5140</v>
      </c>
      <c r="E272" s="696"/>
      <c r="F272" s="697"/>
      <c r="G272" s="697"/>
      <c r="H272" s="698"/>
      <c r="I272" s="697"/>
      <c r="J272" s="698"/>
      <c r="K272" s="697"/>
      <c r="L272" s="697"/>
      <c r="M272" s="697"/>
      <c r="N272" s="698"/>
      <c r="O272" s="697"/>
      <c r="P272" s="697"/>
      <c r="Q272" s="697"/>
      <c r="R272" s="697"/>
      <c r="S272" s="697"/>
      <c r="T272" s="697"/>
      <c r="U272" s="697"/>
      <c r="V272" s="697"/>
      <c r="W272" s="698"/>
      <c r="X272" s="698"/>
      <c r="Y272" s="697"/>
      <c r="Z272" s="697"/>
      <c r="AA272" s="697"/>
      <c r="AB272" s="697"/>
      <c r="AC272" s="697"/>
    </row>
    <row r="273" spans="1:29" x14ac:dyDescent="0.2">
      <c r="A273" s="694" t="str">
        <f>+Info!$B$2</f>
        <v>724</v>
      </c>
      <c r="B273" s="694" t="s">
        <v>5141</v>
      </c>
      <c r="C273" s="694" t="s">
        <v>5142</v>
      </c>
      <c r="D273" s="695" t="s">
        <v>5143</v>
      </c>
      <c r="E273" s="696"/>
      <c r="F273" s="697"/>
      <c r="G273" s="697"/>
      <c r="H273" s="698"/>
      <c r="I273" s="697"/>
      <c r="J273" s="698"/>
      <c r="K273" s="697"/>
      <c r="L273" s="697"/>
      <c r="M273" s="697"/>
      <c r="N273" s="698"/>
      <c r="O273" s="697"/>
      <c r="P273" s="697"/>
      <c r="Q273" s="697"/>
      <c r="R273" s="697"/>
      <c r="S273" s="697"/>
      <c r="T273" s="697"/>
      <c r="U273" s="697"/>
      <c r="V273" s="697"/>
      <c r="W273" s="698"/>
      <c r="X273" s="698"/>
      <c r="Y273" s="697"/>
      <c r="Z273" s="697"/>
      <c r="AA273" s="697"/>
      <c r="AB273" s="697"/>
      <c r="AC273" s="697"/>
    </row>
    <row r="274" spans="1:29" x14ac:dyDescent="0.2">
      <c r="A274" s="694" t="str">
        <f>+Info!$B$2</f>
        <v>724</v>
      </c>
      <c r="B274" s="694" t="s">
        <v>5144</v>
      </c>
      <c r="C274" s="694" t="s">
        <v>5145</v>
      </c>
      <c r="D274" s="695" t="s">
        <v>5146</v>
      </c>
      <c r="E274" s="696"/>
      <c r="F274" s="697"/>
      <c r="G274" s="697"/>
      <c r="H274" s="698"/>
      <c r="I274" s="697"/>
      <c r="J274" s="698"/>
      <c r="K274" s="697"/>
      <c r="L274" s="697"/>
      <c r="M274" s="697"/>
      <c r="N274" s="698"/>
      <c r="O274" s="697"/>
      <c r="P274" s="697"/>
      <c r="Q274" s="697"/>
      <c r="R274" s="697"/>
      <c r="S274" s="697"/>
      <c r="T274" s="697"/>
      <c r="U274" s="697"/>
      <c r="V274" s="697"/>
      <c r="W274" s="698"/>
      <c r="X274" s="698"/>
      <c r="Y274" s="697"/>
      <c r="Z274" s="697"/>
      <c r="AA274" s="697"/>
      <c r="AB274" s="697"/>
      <c r="AC274" s="697"/>
    </row>
    <row r="275" spans="1:29" x14ac:dyDescent="0.2">
      <c r="A275" s="694" t="str">
        <f>+Info!$B$2</f>
        <v>724</v>
      </c>
      <c r="B275" s="694" t="s">
        <v>5147</v>
      </c>
      <c r="C275" s="694" t="s">
        <v>5148</v>
      </c>
      <c r="D275" s="695" t="s">
        <v>5149</v>
      </c>
      <c r="E275" s="696"/>
      <c r="F275" s="697"/>
      <c r="G275" s="697"/>
      <c r="H275" s="698"/>
      <c r="I275" s="697"/>
      <c r="J275" s="698"/>
      <c r="K275" s="697"/>
      <c r="L275" s="697"/>
      <c r="M275" s="697"/>
      <c r="N275" s="698"/>
      <c r="O275" s="697"/>
      <c r="P275" s="697"/>
      <c r="Q275" s="697"/>
      <c r="R275" s="697"/>
      <c r="S275" s="697"/>
      <c r="T275" s="697"/>
      <c r="U275" s="697"/>
      <c r="V275" s="697"/>
      <c r="W275" s="698"/>
      <c r="X275" s="698"/>
      <c r="Y275" s="697"/>
      <c r="Z275" s="697"/>
      <c r="AA275" s="697"/>
      <c r="AB275" s="697"/>
      <c r="AC275" s="697"/>
    </row>
    <row r="276" spans="1:29" x14ac:dyDescent="0.2">
      <c r="A276" s="694" t="str">
        <f>+Info!$B$2</f>
        <v>724</v>
      </c>
      <c r="B276" s="694" t="s">
        <v>5150</v>
      </c>
      <c r="C276" s="694" t="s">
        <v>5151</v>
      </c>
      <c r="D276" s="695" t="s">
        <v>5152</v>
      </c>
      <c r="E276" s="696"/>
      <c r="F276" s="697"/>
      <c r="G276" s="697"/>
      <c r="H276" s="698"/>
      <c r="I276" s="697"/>
      <c r="J276" s="698"/>
      <c r="K276" s="697"/>
      <c r="L276" s="697"/>
      <c r="M276" s="697"/>
      <c r="N276" s="698"/>
      <c r="O276" s="697"/>
      <c r="P276" s="697"/>
      <c r="Q276" s="697"/>
      <c r="R276" s="697"/>
      <c r="S276" s="697"/>
      <c r="T276" s="697"/>
      <c r="U276" s="697"/>
      <c r="V276" s="697"/>
      <c r="W276" s="698"/>
      <c r="X276" s="698"/>
      <c r="Y276" s="697"/>
      <c r="Z276" s="697"/>
      <c r="AA276" s="697"/>
      <c r="AB276" s="697"/>
      <c r="AC276" s="697"/>
    </row>
    <row r="277" spans="1:29" x14ac:dyDescent="0.2">
      <c r="A277" s="694" t="str">
        <f>+Info!$B$2</f>
        <v>724</v>
      </c>
      <c r="B277" s="694" t="s">
        <v>5153</v>
      </c>
      <c r="C277" s="694" t="s">
        <v>5154</v>
      </c>
      <c r="D277" s="695" t="s">
        <v>5155</v>
      </c>
      <c r="E277" s="696"/>
      <c r="F277" s="697"/>
      <c r="G277" s="697"/>
      <c r="H277" s="698"/>
      <c r="I277" s="697"/>
      <c r="J277" s="698"/>
      <c r="K277" s="697"/>
      <c r="L277" s="697"/>
      <c r="M277" s="697"/>
      <c r="N277" s="698"/>
      <c r="O277" s="697"/>
      <c r="P277" s="697"/>
      <c r="Q277" s="697"/>
      <c r="R277" s="697"/>
      <c r="S277" s="697"/>
      <c r="T277" s="697"/>
      <c r="U277" s="697"/>
      <c r="V277" s="697"/>
      <c r="W277" s="698"/>
      <c r="X277" s="698"/>
      <c r="Y277" s="697"/>
      <c r="Z277" s="697"/>
      <c r="AA277" s="697"/>
      <c r="AB277" s="697"/>
      <c r="AC277" s="697"/>
    </row>
    <row r="278" spans="1:29" x14ac:dyDescent="0.2">
      <c r="A278" s="694" t="str">
        <f>+Info!$B$2</f>
        <v>724</v>
      </c>
      <c r="B278" s="694" t="s">
        <v>5156</v>
      </c>
      <c r="C278" s="694" t="s">
        <v>5157</v>
      </c>
      <c r="D278" s="695" t="s">
        <v>5158</v>
      </c>
      <c r="E278" s="696"/>
      <c r="F278" s="697"/>
      <c r="G278" s="697"/>
      <c r="H278" s="698"/>
      <c r="I278" s="697"/>
      <c r="J278" s="698"/>
      <c r="K278" s="697"/>
      <c r="L278" s="697"/>
      <c r="M278" s="697"/>
      <c r="N278" s="698"/>
      <c r="O278" s="697"/>
      <c r="P278" s="697"/>
      <c r="Q278" s="697"/>
      <c r="R278" s="697"/>
      <c r="S278" s="697"/>
      <c r="T278" s="697"/>
      <c r="U278" s="697"/>
      <c r="V278" s="697"/>
      <c r="W278" s="698"/>
      <c r="X278" s="698"/>
      <c r="Y278" s="697"/>
      <c r="Z278" s="697"/>
      <c r="AA278" s="697"/>
      <c r="AB278" s="697"/>
      <c r="AC278" s="697"/>
    </row>
    <row r="279" spans="1:29" x14ac:dyDescent="0.2">
      <c r="A279" s="694" t="str">
        <f>+Info!$B$2</f>
        <v>724</v>
      </c>
      <c r="B279" s="694" t="s">
        <v>5159</v>
      </c>
      <c r="C279" s="694" t="s">
        <v>5160</v>
      </c>
      <c r="D279" s="695" t="s">
        <v>5161</v>
      </c>
      <c r="E279" s="696"/>
      <c r="F279" s="697"/>
      <c r="G279" s="697"/>
      <c r="H279" s="698"/>
      <c r="I279" s="697"/>
      <c r="J279" s="698"/>
      <c r="K279" s="697"/>
      <c r="L279" s="697"/>
      <c r="M279" s="697"/>
      <c r="N279" s="698"/>
      <c r="O279" s="697"/>
      <c r="P279" s="697"/>
      <c r="Q279" s="697"/>
      <c r="R279" s="697"/>
      <c r="S279" s="697"/>
      <c r="T279" s="697"/>
      <c r="U279" s="697"/>
      <c r="V279" s="697"/>
      <c r="W279" s="698"/>
      <c r="X279" s="698"/>
      <c r="Y279" s="697"/>
      <c r="Z279" s="697"/>
      <c r="AA279" s="697"/>
      <c r="AB279" s="697"/>
      <c r="AC279" s="697"/>
    </row>
    <row r="280" spans="1:29" x14ac:dyDescent="0.2">
      <c r="A280" s="694" t="str">
        <f>+Info!$B$2</f>
        <v>724</v>
      </c>
      <c r="B280" s="694" t="s">
        <v>5162</v>
      </c>
      <c r="C280" s="694" t="s">
        <v>5163</v>
      </c>
      <c r="D280" s="695" t="s">
        <v>5164</v>
      </c>
      <c r="E280" s="696"/>
      <c r="F280" s="697"/>
      <c r="G280" s="697"/>
      <c r="H280" s="698"/>
      <c r="I280" s="697"/>
      <c r="J280" s="698"/>
      <c r="K280" s="697"/>
      <c r="L280" s="697"/>
      <c r="M280" s="697"/>
      <c r="N280" s="698"/>
      <c r="O280" s="697"/>
      <c r="P280" s="697"/>
      <c r="Q280" s="697"/>
      <c r="R280" s="697"/>
      <c r="S280" s="697"/>
      <c r="T280" s="697"/>
      <c r="U280" s="697"/>
      <c r="V280" s="697"/>
      <c r="W280" s="698"/>
      <c r="X280" s="698"/>
      <c r="Y280" s="697"/>
      <c r="Z280" s="697"/>
      <c r="AA280" s="697"/>
      <c r="AB280" s="697"/>
      <c r="AC280" s="697"/>
    </row>
    <row r="281" spans="1:29" ht="25.5" x14ac:dyDescent="0.2">
      <c r="A281" s="694" t="str">
        <f>+Info!$B$2</f>
        <v>724</v>
      </c>
      <c r="B281" s="694" t="s">
        <v>5165</v>
      </c>
      <c r="C281" s="694" t="s">
        <v>5166</v>
      </c>
      <c r="D281" s="695" t="s">
        <v>5167</v>
      </c>
      <c r="E281" s="696"/>
      <c r="F281" s="697"/>
      <c r="G281" s="697"/>
      <c r="H281" s="698"/>
      <c r="I281" s="697"/>
      <c r="J281" s="698"/>
      <c r="K281" s="697"/>
      <c r="L281" s="697"/>
      <c r="M281" s="697"/>
      <c r="N281" s="698"/>
      <c r="O281" s="697"/>
      <c r="P281" s="697"/>
      <c r="Q281" s="697"/>
      <c r="R281" s="697"/>
      <c r="S281" s="697"/>
      <c r="T281" s="697"/>
      <c r="U281" s="697"/>
      <c r="V281" s="697"/>
      <c r="W281" s="698"/>
      <c r="X281" s="698"/>
      <c r="Y281" s="697"/>
      <c r="Z281" s="697"/>
      <c r="AA281" s="697"/>
      <c r="AB281" s="697"/>
      <c r="AC281" s="697"/>
    </row>
    <row r="282" spans="1:29" x14ac:dyDescent="0.2">
      <c r="A282" s="694" t="str">
        <f>+Info!$B$2</f>
        <v>724</v>
      </c>
      <c r="B282" s="694" t="s">
        <v>5168</v>
      </c>
      <c r="C282" s="694" t="s">
        <v>5169</v>
      </c>
      <c r="D282" s="695" t="s">
        <v>5170</v>
      </c>
      <c r="E282" s="696"/>
      <c r="F282" s="697"/>
      <c r="G282" s="697"/>
      <c r="H282" s="698"/>
      <c r="I282" s="697"/>
      <c r="J282" s="698"/>
      <c r="K282" s="697"/>
      <c r="L282" s="697"/>
      <c r="M282" s="697"/>
      <c r="N282" s="698"/>
      <c r="O282" s="697"/>
      <c r="P282" s="697"/>
      <c r="Q282" s="697"/>
      <c r="R282" s="697"/>
      <c r="S282" s="697"/>
      <c r="T282" s="697"/>
      <c r="U282" s="697"/>
      <c r="V282" s="697"/>
      <c r="W282" s="698"/>
      <c r="X282" s="698"/>
      <c r="Y282" s="697"/>
      <c r="Z282" s="697"/>
      <c r="AA282" s="697"/>
      <c r="AB282" s="697"/>
      <c r="AC282" s="697"/>
    </row>
    <row r="283" spans="1:29" x14ac:dyDescent="0.2">
      <c r="A283" s="694" t="str">
        <f>+Info!$B$2</f>
        <v>724</v>
      </c>
      <c r="B283" s="694" t="s">
        <v>5171</v>
      </c>
      <c r="C283" s="694" t="s">
        <v>5172</v>
      </c>
      <c r="D283" s="695" t="s">
        <v>5173</v>
      </c>
      <c r="E283" s="696"/>
      <c r="F283" s="697"/>
      <c r="G283" s="697"/>
      <c r="H283" s="698"/>
      <c r="I283" s="697"/>
      <c r="J283" s="698"/>
      <c r="K283" s="697"/>
      <c r="L283" s="697"/>
      <c r="M283" s="697"/>
      <c r="N283" s="698"/>
      <c r="O283" s="697"/>
      <c r="P283" s="697"/>
      <c r="Q283" s="697"/>
      <c r="R283" s="697"/>
      <c r="S283" s="697"/>
      <c r="T283" s="697"/>
      <c r="U283" s="697"/>
      <c r="V283" s="697"/>
      <c r="W283" s="698"/>
      <c r="X283" s="698"/>
      <c r="Y283" s="697"/>
      <c r="Z283" s="697"/>
      <c r="AA283" s="697"/>
      <c r="AB283" s="697"/>
      <c r="AC283" s="697"/>
    </row>
    <row r="284" spans="1:29" ht="15" x14ac:dyDescent="0.25">
      <c r="A284" s="691" t="str">
        <f>+Info!$B$2</f>
        <v>724</v>
      </c>
      <c r="B284" s="691" t="s">
        <v>5174</v>
      </c>
      <c r="C284" s="691" t="s">
        <v>5175</v>
      </c>
      <c r="D284" s="692" t="s">
        <v>5176</v>
      </c>
      <c r="E284" s="693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</row>
    <row r="285" spans="1:29" x14ac:dyDescent="0.2">
      <c r="A285" s="694" t="str">
        <f>+Info!$B$2</f>
        <v>724</v>
      </c>
      <c r="B285" s="694" t="s">
        <v>5177</v>
      </c>
      <c r="C285" s="694" t="s">
        <v>5178</v>
      </c>
      <c r="D285" s="695" t="s">
        <v>5179</v>
      </c>
      <c r="E285" s="696"/>
      <c r="F285" s="697"/>
      <c r="G285" s="697"/>
      <c r="H285" s="698"/>
      <c r="I285" s="698"/>
      <c r="J285" s="697"/>
      <c r="K285" s="697"/>
      <c r="L285" s="697"/>
      <c r="M285" s="697"/>
      <c r="N285" s="698"/>
      <c r="O285" s="697"/>
      <c r="P285" s="697"/>
      <c r="Q285" s="697"/>
      <c r="R285" s="697"/>
      <c r="S285" s="697"/>
      <c r="T285" s="697"/>
      <c r="U285" s="697"/>
      <c r="V285" s="697"/>
      <c r="W285" s="698">
        <f>+35114+131187</f>
        <v>166301</v>
      </c>
      <c r="X285" s="698"/>
      <c r="Y285" s="697"/>
      <c r="Z285" s="697"/>
      <c r="AA285" s="697"/>
      <c r="AB285" s="697"/>
      <c r="AC285" s="697"/>
    </row>
    <row r="286" spans="1:29" x14ac:dyDescent="0.2">
      <c r="A286" s="694" t="str">
        <f>+Info!$B$2</f>
        <v>724</v>
      </c>
      <c r="B286" s="694" t="s">
        <v>5180</v>
      </c>
      <c r="C286" s="694" t="s">
        <v>5181</v>
      </c>
      <c r="D286" s="695" t="s">
        <v>5182</v>
      </c>
      <c r="E286" s="696"/>
      <c r="F286" s="697"/>
      <c r="G286" s="697"/>
      <c r="H286" s="698"/>
      <c r="I286" s="698"/>
      <c r="J286" s="697"/>
      <c r="K286" s="697"/>
      <c r="L286" s="697"/>
      <c r="M286" s="697"/>
      <c r="N286" s="698"/>
      <c r="O286" s="697"/>
      <c r="P286" s="697"/>
      <c r="Q286" s="697"/>
      <c r="R286" s="697"/>
      <c r="S286" s="697"/>
      <c r="T286" s="697"/>
      <c r="U286" s="697"/>
      <c r="V286" s="697"/>
      <c r="W286" s="698"/>
      <c r="X286" s="698"/>
      <c r="Y286" s="697"/>
      <c r="Z286" s="697"/>
      <c r="AA286" s="697"/>
      <c r="AB286" s="697"/>
      <c r="AC286" s="697"/>
    </row>
    <row r="287" spans="1:29" x14ac:dyDescent="0.2">
      <c r="A287" s="694" t="str">
        <f>+Info!$B$2</f>
        <v>724</v>
      </c>
      <c r="B287" s="694" t="s">
        <v>5183</v>
      </c>
      <c r="C287" s="694" t="s">
        <v>5184</v>
      </c>
      <c r="D287" s="695" t="s">
        <v>5185</v>
      </c>
      <c r="E287" s="696"/>
      <c r="F287" s="697"/>
      <c r="G287" s="697"/>
      <c r="H287" s="698"/>
      <c r="I287" s="698"/>
      <c r="J287" s="697"/>
      <c r="K287" s="697"/>
      <c r="L287" s="697"/>
      <c r="M287" s="697"/>
      <c r="N287" s="698"/>
      <c r="O287" s="697"/>
      <c r="P287" s="697"/>
      <c r="Q287" s="697"/>
      <c r="R287" s="697"/>
      <c r="S287" s="697"/>
      <c r="T287" s="697"/>
      <c r="U287" s="697"/>
      <c r="V287" s="697"/>
      <c r="W287" s="698"/>
      <c r="X287" s="698"/>
      <c r="Y287" s="697"/>
      <c r="Z287" s="697"/>
      <c r="AA287" s="697"/>
      <c r="AB287" s="697"/>
      <c r="AC287" s="697"/>
    </row>
    <row r="288" spans="1:29" x14ac:dyDescent="0.2">
      <c r="A288" s="694" t="str">
        <f>+Info!$B$2</f>
        <v>724</v>
      </c>
      <c r="B288" s="694" t="s">
        <v>5186</v>
      </c>
      <c r="C288" s="694" t="s">
        <v>5187</v>
      </c>
      <c r="D288" s="695" t="s">
        <v>5188</v>
      </c>
      <c r="E288" s="696"/>
      <c r="F288" s="697"/>
      <c r="G288" s="697"/>
      <c r="H288" s="698"/>
      <c r="I288" s="698"/>
      <c r="J288" s="697"/>
      <c r="K288" s="697"/>
      <c r="L288" s="697"/>
      <c r="M288" s="697"/>
      <c r="N288" s="698"/>
      <c r="O288" s="697"/>
      <c r="P288" s="697"/>
      <c r="Q288" s="697"/>
      <c r="R288" s="697"/>
      <c r="S288" s="697"/>
      <c r="T288" s="697"/>
      <c r="U288" s="697"/>
      <c r="V288" s="697"/>
      <c r="W288" s="698"/>
      <c r="X288" s="698"/>
      <c r="Y288" s="697"/>
      <c r="Z288" s="697"/>
      <c r="AA288" s="697"/>
      <c r="AB288" s="697"/>
      <c r="AC288" s="697"/>
    </row>
    <row r="289" spans="1:29" ht="25.5" x14ac:dyDescent="0.2">
      <c r="A289" s="694" t="str">
        <f>+Info!$B$2</f>
        <v>724</v>
      </c>
      <c r="B289" s="694" t="s">
        <v>5189</v>
      </c>
      <c r="C289" s="694" t="s">
        <v>5190</v>
      </c>
      <c r="D289" s="695" t="s">
        <v>5191</v>
      </c>
      <c r="E289" s="696"/>
      <c r="F289" s="697"/>
      <c r="G289" s="697"/>
      <c r="H289" s="698"/>
      <c r="I289" s="698"/>
      <c r="J289" s="697"/>
      <c r="K289" s="697"/>
      <c r="L289" s="697"/>
      <c r="M289" s="697"/>
      <c r="N289" s="698"/>
      <c r="O289" s="697"/>
      <c r="P289" s="697"/>
      <c r="Q289" s="697"/>
      <c r="R289" s="697"/>
      <c r="S289" s="697"/>
      <c r="T289" s="697"/>
      <c r="U289" s="697"/>
      <c r="V289" s="697"/>
      <c r="W289" s="698"/>
      <c r="X289" s="698"/>
      <c r="Y289" s="697"/>
      <c r="Z289" s="697"/>
      <c r="AA289" s="697"/>
      <c r="AB289" s="697"/>
      <c r="AC289" s="697"/>
    </row>
    <row r="290" spans="1:29" x14ac:dyDescent="0.2">
      <c r="A290" s="694" t="str">
        <f>+Info!$B$2</f>
        <v>724</v>
      </c>
      <c r="B290" s="694" t="s">
        <v>5192</v>
      </c>
      <c r="C290" s="694" t="s">
        <v>5193</v>
      </c>
      <c r="D290" s="695" t="s">
        <v>5194</v>
      </c>
      <c r="E290" s="696"/>
      <c r="F290" s="697"/>
      <c r="G290" s="697"/>
      <c r="H290" s="698"/>
      <c r="I290" s="698"/>
      <c r="J290" s="697"/>
      <c r="K290" s="697"/>
      <c r="L290" s="697"/>
      <c r="M290" s="697"/>
      <c r="N290" s="698"/>
      <c r="O290" s="697"/>
      <c r="P290" s="697"/>
      <c r="Q290" s="697"/>
      <c r="R290" s="697"/>
      <c r="S290" s="697"/>
      <c r="T290" s="697"/>
      <c r="U290" s="697"/>
      <c r="V290" s="697"/>
      <c r="W290" s="698"/>
      <c r="X290" s="698"/>
      <c r="Y290" s="697"/>
      <c r="Z290" s="697"/>
      <c r="AA290" s="697"/>
      <c r="AB290" s="697"/>
      <c r="AC290" s="697"/>
    </row>
    <row r="291" spans="1:29" x14ac:dyDescent="0.2">
      <c r="A291" s="702" t="str">
        <f>+Info!$B$2</f>
        <v>724</v>
      </c>
      <c r="B291" s="702" t="s">
        <v>5195</v>
      </c>
      <c r="C291" s="702" t="s">
        <v>5196</v>
      </c>
      <c r="D291" s="695" t="s">
        <v>5197</v>
      </c>
      <c r="E291" s="696"/>
      <c r="F291" s="697"/>
      <c r="G291" s="697"/>
      <c r="H291" s="698"/>
      <c r="I291" s="698"/>
      <c r="J291" s="697"/>
      <c r="K291" s="697"/>
      <c r="L291" s="697"/>
      <c r="M291" s="697"/>
      <c r="N291" s="698"/>
      <c r="O291" s="697"/>
      <c r="P291" s="697"/>
      <c r="Q291" s="697"/>
      <c r="R291" s="697"/>
      <c r="S291" s="697"/>
      <c r="T291" s="697"/>
      <c r="U291" s="697"/>
      <c r="V291" s="697"/>
      <c r="W291" s="698"/>
      <c r="X291" s="698"/>
      <c r="Y291" s="697"/>
      <c r="Z291" s="697"/>
      <c r="AA291" s="697"/>
      <c r="AB291" s="697"/>
      <c r="AC291" s="697"/>
    </row>
    <row r="292" spans="1:29" ht="15" x14ac:dyDescent="0.25">
      <c r="A292" s="691" t="str">
        <f>+Info!$B$2</f>
        <v>724</v>
      </c>
      <c r="B292" s="691" t="s">
        <v>5198</v>
      </c>
      <c r="C292" s="691" t="s">
        <v>5199</v>
      </c>
      <c r="D292" s="692" t="s">
        <v>5200</v>
      </c>
      <c r="E292" s="693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</row>
    <row r="293" spans="1:29" x14ac:dyDescent="0.2">
      <c r="A293" s="694" t="str">
        <f>+Info!$B$2</f>
        <v>724</v>
      </c>
      <c r="B293" s="694" t="s">
        <v>5201</v>
      </c>
      <c r="C293" s="694" t="s">
        <v>5202</v>
      </c>
      <c r="D293" s="695" t="s">
        <v>5203</v>
      </c>
      <c r="E293" s="696"/>
      <c r="F293" s="697"/>
      <c r="G293" s="697"/>
      <c r="H293" s="698"/>
      <c r="I293" s="697"/>
      <c r="J293" s="698"/>
      <c r="K293" s="697"/>
      <c r="L293" s="697"/>
      <c r="M293" s="697"/>
      <c r="N293" s="698"/>
      <c r="O293" s="697"/>
      <c r="P293" s="697"/>
      <c r="Q293" s="697"/>
      <c r="R293" s="697"/>
      <c r="S293" s="697"/>
      <c r="T293" s="697"/>
      <c r="U293" s="697"/>
      <c r="V293" s="697"/>
      <c r="W293" s="698"/>
      <c r="X293" s="698"/>
      <c r="Y293" s="697"/>
      <c r="Z293" s="697"/>
      <c r="AA293" s="697"/>
      <c r="AB293" s="697"/>
      <c r="AC293" s="697"/>
    </row>
    <row r="294" spans="1:29" x14ac:dyDescent="0.2">
      <c r="A294" s="694" t="str">
        <f>+Info!$B$2</f>
        <v>724</v>
      </c>
      <c r="B294" s="694" t="s">
        <v>5204</v>
      </c>
      <c r="C294" s="694" t="s">
        <v>5205</v>
      </c>
      <c r="D294" s="695" t="s">
        <v>5206</v>
      </c>
      <c r="E294" s="696"/>
      <c r="F294" s="697"/>
      <c r="G294" s="697"/>
      <c r="H294" s="698"/>
      <c r="I294" s="697"/>
      <c r="J294" s="698"/>
      <c r="K294" s="697"/>
      <c r="L294" s="697"/>
      <c r="M294" s="697"/>
      <c r="N294" s="698"/>
      <c r="O294" s="697"/>
      <c r="P294" s="697"/>
      <c r="Q294" s="697"/>
      <c r="R294" s="697"/>
      <c r="S294" s="697"/>
      <c r="T294" s="697"/>
      <c r="U294" s="697"/>
      <c r="V294" s="697"/>
      <c r="W294" s="698"/>
      <c r="X294" s="698"/>
      <c r="Y294" s="697"/>
      <c r="Z294" s="697"/>
      <c r="AA294" s="697"/>
      <c r="AB294" s="697"/>
      <c r="AC294" s="697"/>
    </row>
    <row r="295" spans="1:29" x14ac:dyDescent="0.2">
      <c r="A295" s="694" t="str">
        <f>+Info!$B$2</f>
        <v>724</v>
      </c>
      <c r="B295" s="694" t="s">
        <v>5207</v>
      </c>
      <c r="C295" s="694" t="s">
        <v>5208</v>
      </c>
      <c r="D295" s="695" t="s">
        <v>5209</v>
      </c>
      <c r="E295" s="696"/>
      <c r="F295" s="697"/>
      <c r="G295" s="697"/>
      <c r="H295" s="698"/>
      <c r="I295" s="697"/>
      <c r="J295" s="698"/>
      <c r="K295" s="697"/>
      <c r="L295" s="697"/>
      <c r="M295" s="697"/>
      <c r="N295" s="698"/>
      <c r="O295" s="697"/>
      <c r="P295" s="697"/>
      <c r="Q295" s="697"/>
      <c r="R295" s="697"/>
      <c r="S295" s="697"/>
      <c r="T295" s="697"/>
      <c r="U295" s="697"/>
      <c r="V295" s="697"/>
      <c r="W295" s="698"/>
      <c r="X295" s="698"/>
      <c r="Y295" s="697"/>
      <c r="Z295" s="697"/>
      <c r="AA295" s="697"/>
      <c r="AB295" s="697"/>
      <c r="AC295" s="697"/>
    </row>
    <row r="296" spans="1:29" x14ac:dyDescent="0.2">
      <c r="A296" s="694" t="str">
        <f>+Info!$B$2</f>
        <v>724</v>
      </c>
      <c r="B296" s="694" t="s">
        <v>5210</v>
      </c>
      <c r="C296" s="694" t="s">
        <v>5211</v>
      </c>
      <c r="D296" s="695" t="s">
        <v>5212</v>
      </c>
      <c r="E296" s="696"/>
      <c r="F296" s="697"/>
      <c r="G296" s="697"/>
      <c r="H296" s="698"/>
      <c r="I296" s="697"/>
      <c r="J296" s="698"/>
      <c r="K296" s="697"/>
      <c r="L296" s="697"/>
      <c r="M296" s="697"/>
      <c r="N296" s="698"/>
      <c r="O296" s="697"/>
      <c r="P296" s="697"/>
      <c r="Q296" s="697"/>
      <c r="R296" s="697"/>
      <c r="S296" s="697"/>
      <c r="T296" s="697"/>
      <c r="U296" s="697"/>
      <c r="V296" s="697"/>
      <c r="W296" s="698"/>
      <c r="X296" s="698"/>
      <c r="Y296" s="697"/>
      <c r="Z296" s="697"/>
      <c r="AA296" s="697"/>
      <c r="AB296" s="697"/>
      <c r="AC296" s="697"/>
    </row>
    <row r="297" spans="1:29" x14ac:dyDescent="0.2">
      <c r="A297" s="694" t="str">
        <f>+Info!$B$2</f>
        <v>724</v>
      </c>
      <c r="B297" s="694" t="s">
        <v>5213</v>
      </c>
      <c r="C297" s="694" t="s">
        <v>5214</v>
      </c>
      <c r="D297" s="695" t="s">
        <v>5215</v>
      </c>
      <c r="E297" s="696"/>
      <c r="F297" s="697"/>
      <c r="G297" s="697"/>
      <c r="H297" s="698"/>
      <c r="I297" s="697"/>
      <c r="J297" s="698"/>
      <c r="K297" s="697"/>
      <c r="L297" s="697"/>
      <c r="M297" s="697"/>
      <c r="N297" s="698"/>
      <c r="O297" s="697"/>
      <c r="P297" s="697"/>
      <c r="Q297" s="697"/>
      <c r="R297" s="697"/>
      <c r="S297" s="697"/>
      <c r="T297" s="697"/>
      <c r="U297" s="697"/>
      <c r="V297" s="697"/>
      <c r="W297" s="698"/>
      <c r="X297" s="698"/>
      <c r="Y297" s="697"/>
      <c r="Z297" s="697"/>
      <c r="AA297" s="697"/>
      <c r="AB297" s="697"/>
      <c r="AC297" s="697"/>
    </row>
    <row r="298" spans="1:29" x14ac:dyDescent="0.2">
      <c r="A298" s="694" t="str">
        <f>+Info!$B$2</f>
        <v>724</v>
      </c>
      <c r="B298" s="694" t="s">
        <v>5216</v>
      </c>
      <c r="C298" s="694" t="s">
        <v>5217</v>
      </c>
      <c r="D298" s="695" t="s">
        <v>5218</v>
      </c>
      <c r="E298" s="696"/>
      <c r="F298" s="697"/>
      <c r="G298" s="697"/>
      <c r="H298" s="698"/>
      <c r="I298" s="697"/>
      <c r="J298" s="697"/>
      <c r="K298" s="697"/>
      <c r="L298" s="697"/>
      <c r="M298" s="697"/>
      <c r="N298" s="698"/>
      <c r="O298" s="697"/>
      <c r="P298" s="697"/>
      <c r="Q298" s="697"/>
      <c r="R298" s="697"/>
      <c r="S298" s="697"/>
      <c r="T298" s="697"/>
      <c r="U298" s="697"/>
      <c r="V298" s="697"/>
      <c r="W298" s="698"/>
      <c r="X298" s="698"/>
      <c r="Y298" s="697"/>
      <c r="Z298" s="697"/>
      <c r="AA298" s="697"/>
      <c r="AB298" s="697"/>
      <c r="AC298" s="697"/>
    </row>
    <row r="299" spans="1:29" ht="25.5" x14ac:dyDescent="0.2">
      <c r="A299" s="694" t="str">
        <f>+Info!$B$2</f>
        <v>724</v>
      </c>
      <c r="B299" s="694" t="s">
        <v>5219</v>
      </c>
      <c r="C299" s="694" t="s">
        <v>5220</v>
      </c>
      <c r="D299" s="695" t="s">
        <v>5221</v>
      </c>
      <c r="E299" s="696"/>
      <c r="F299" s="697"/>
      <c r="G299" s="697"/>
      <c r="H299" s="698"/>
      <c r="I299" s="697"/>
      <c r="J299" s="698"/>
      <c r="K299" s="697"/>
      <c r="L299" s="697"/>
      <c r="M299" s="697"/>
      <c r="N299" s="698"/>
      <c r="O299" s="697"/>
      <c r="P299" s="697"/>
      <c r="Q299" s="697"/>
      <c r="R299" s="697"/>
      <c r="S299" s="697"/>
      <c r="T299" s="697"/>
      <c r="U299" s="697"/>
      <c r="V299" s="697"/>
      <c r="W299" s="698"/>
      <c r="X299" s="698"/>
      <c r="Y299" s="697"/>
      <c r="Z299" s="697"/>
      <c r="AA299" s="697"/>
      <c r="AB299" s="697"/>
      <c r="AC299" s="697"/>
    </row>
    <row r="300" spans="1:29" x14ac:dyDescent="0.2">
      <c r="A300" s="694" t="str">
        <f>+Info!$B$2</f>
        <v>724</v>
      </c>
      <c r="B300" s="694" t="s">
        <v>5222</v>
      </c>
      <c r="C300" s="694" t="s">
        <v>5223</v>
      </c>
      <c r="D300" s="695" t="s">
        <v>5224</v>
      </c>
      <c r="E300" s="696"/>
      <c r="F300" s="697"/>
      <c r="G300" s="697"/>
      <c r="H300" s="698"/>
      <c r="I300" s="697"/>
      <c r="J300" s="698"/>
      <c r="K300" s="697"/>
      <c r="L300" s="697"/>
      <c r="M300" s="697"/>
      <c r="N300" s="698"/>
      <c r="O300" s="697"/>
      <c r="P300" s="697"/>
      <c r="Q300" s="697"/>
      <c r="R300" s="697"/>
      <c r="S300" s="697"/>
      <c r="T300" s="697"/>
      <c r="U300" s="697"/>
      <c r="V300" s="697"/>
      <c r="W300" s="698"/>
      <c r="X300" s="698"/>
      <c r="Y300" s="697"/>
      <c r="Z300" s="697"/>
      <c r="AA300" s="697"/>
      <c r="AB300" s="697"/>
      <c r="AC300" s="697"/>
    </row>
    <row r="301" spans="1:29" ht="25.5" x14ac:dyDescent="0.25">
      <c r="A301" s="691" t="str">
        <f>+Info!$B$2</f>
        <v>724</v>
      </c>
      <c r="B301" s="691" t="s">
        <v>5225</v>
      </c>
      <c r="C301" s="691" t="s">
        <v>5226</v>
      </c>
      <c r="D301" s="692" t="s">
        <v>5227</v>
      </c>
      <c r="E301" s="693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</row>
    <row r="302" spans="1:29" x14ac:dyDescent="0.2">
      <c r="A302" s="694" t="str">
        <f>+Info!$B$2</f>
        <v>724</v>
      </c>
      <c r="B302" s="694" t="s">
        <v>5228</v>
      </c>
      <c r="C302" s="694" t="s">
        <v>5229</v>
      </c>
      <c r="D302" s="695" t="s">
        <v>5230</v>
      </c>
      <c r="E302" s="696"/>
      <c r="F302" s="697"/>
      <c r="G302" s="697"/>
      <c r="H302" s="698"/>
      <c r="I302" s="697"/>
      <c r="J302" s="697"/>
      <c r="K302" s="697"/>
      <c r="L302" s="697"/>
      <c r="M302" s="697"/>
      <c r="N302" s="698"/>
      <c r="O302" s="697"/>
      <c r="P302" s="697"/>
      <c r="Q302" s="697"/>
      <c r="R302" s="697"/>
      <c r="S302" s="697"/>
      <c r="T302" s="697"/>
      <c r="U302" s="697"/>
      <c r="V302" s="697"/>
      <c r="W302" s="698"/>
      <c r="X302" s="698"/>
      <c r="Y302" s="697"/>
      <c r="Z302" s="697"/>
      <c r="AA302" s="697"/>
      <c r="AB302" s="697"/>
      <c r="AC302" s="697"/>
    </row>
    <row r="303" spans="1:29" x14ac:dyDescent="0.2">
      <c r="A303" s="694" t="str">
        <f>+Info!$B$2</f>
        <v>724</v>
      </c>
      <c r="B303" s="694" t="s">
        <v>5231</v>
      </c>
      <c r="C303" s="694" t="s">
        <v>5232</v>
      </c>
      <c r="D303" s="695" t="s">
        <v>5233</v>
      </c>
      <c r="E303" s="696"/>
      <c r="F303" s="697"/>
      <c r="G303" s="697"/>
      <c r="H303" s="698"/>
      <c r="I303" s="697"/>
      <c r="J303" s="697"/>
      <c r="K303" s="697"/>
      <c r="L303" s="697"/>
      <c r="M303" s="697"/>
      <c r="N303" s="698"/>
      <c r="O303" s="697"/>
      <c r="P303" s="697"/>
      <c r="Q303" s="697"/>
      <c r="R303" s="697"/>
      <c r="S303" s="697"/>
      <c r="T303" s="697"/>
      <c r="U303" s="697"/>
      <c r="V303" s="697"/>
      <c r="W303" s="698"/>
      <c r="X303" s="698"/>
      <c r="Y303" s="697"/>
      <c r="Z303" s="697"/>
      <c r="AA303" s="697"/>
      <c r="AB303" s="697"/>
      <c r="AC303" s="697"/>
    </row>
    <row r="304" spans="1:29" x14ac:dyDescent="0.2">
      <c r="A304" s="694" t="str">
        <f>+Info!$B$2</f>
        <v>724</v>
      </c>
      <c r="B304" s="694" t="s">
        <v>5234</v>
      </c>
      <c r="C304" s="694" t="s">
        <v>5235</v>
      </c>
      <c r="D304" s="695" t="s">
        <v>5236</v>
      </c>
      <c r="E304" s="696"/>
      <c r="F304" s="697"/>
      <c r="G304" s="697"/>
      <c r="H304" s="698"/>
      <c r="I304" s="697"/>
      <c r="J304" s="697"/>
      <c r="K304" s="697"/>
      <c r="L304" s="697"/>
      <c r="M304" s="697"/>
      <c r="N304" s="698"/>
      <c r="O304" s="697"/>
      <c r="P304" s="697"/>
      <c r="Q304" s="697"/>
      <c r="R304" s="697"/>
      <c r="S304" s="697"/>
      <c r="T304" s="697"/>
      <c r="U304" s="697"/>
      <c r="V304" s="697"/>
      <c r="W304" s="698"/>
      <c r="X304" s="698"/>
      <c r="Y304" s="697"/>
      <c r="Z304" s="697"/>
      <c r="AA304" s="697"/>
      <c r="AB304" s="697"/>
      <c r="AC304" s="697"/>
    </row>
    <row r="305" spans="1:29" x14ac:dyDescent="0.2">
      <c r="A305" s="694" t="str">
        <f>+Info!$B$2</f>
        <v>724</v>
      </c>
      <c r="B305" s="694" t="s">
        <v>5237</v>
      </c>
      <c r="C305" s="694" t="s">
        <v>5238</v>
      </c>
      <c r="D305" s="695" t="s">
        <v>5239</v>
      </c>
      <c r="E305" s="696"/>
      <c r="F305" s="697"/>
      <c r="G305" s="697"/>
      <c r="H305" s="698"/>
      <c r="I305" s="697"/>
      <c r="J305" s="697"/>
      <c r="K305" s="697"/>
      <c r="L305" s="697"/>
      <c r="M305" s="697"/>
      <c r="N305" s="698"/>
      <c r="O305" s="697"/>
      <c r="P305" s="697"/>
      <c r="Q305" s="697"/>
      <c r="R305" s="697"/>
      <c r="S305" s="697"/>
      <c r="T305" s="697"/>
      <c r="U305" s="697"/>
      <c r="V305" s="697"/>
      <c r="W305" s="698"/>
      <c r="X305" s="698"/>
      <c r="Y305" s="697"/>
      <c r="Z305" s="697"/>
      <c r="AA305" s="697"/>
      <c r="AB305" s="697"/>
      <c r="AC305" s="697"/>
    </row>
    <row r="306" spans="1:29" x14ac:dyDescent="0.2">
      <c r="A306" s="694" t="str">
        <f>+Info!$B$2</f>
        <v>724</v>
      </c>
      <c r="B306" s="694" t="s">
        <v>5240</v>
      </c>
      <c r="C306" s="694" t="s">
        <v>5241</v>
      </c>
      <c r="D306" s="695" t="s">
        <v>5242</v>
      </c>
      <c r="E306" s="696"/>
      <c r="F306" s="697"/>
      <c r="G306" s="697"/>
      <c r="H306" s="698"/>
      <c r="I306" s="697"/>
      <c r="J306" s="697"/>
      <c r="K306" s="697"/>
      <c r="L306" s="697"/>
      <c r="M306" s="697"/>
      <c r="N306" s="698"/>
      <c r="O306" s="697"/>
      <c r="P306" s="697"/>
      <c r="Q306" s="697"/>
      <c r="R306" s="697"/>
      <c r="S306" s="697"/>
      <c r="T306" s="697"/>
      <c r="U306" s="697"/>
      <c r="V306" s="697"/>
      <c r="W306" s="698"/>
      <c r="X306" s="698"/>
      <c r="Y306" s="697"/>
      <c r="Z306" s="697"/>
      <c r="AA306" s="697"/>
      <c r="AB306" s="697"/>
      <c r="AC306" s="697"/>
    </row>
    <row r="307" spans="1:29" x14ac:dyDescent="0.2">
      <c r="A307" s="694" t="str">
        <f>+Info!$B$2</f>
        <v>724</v>
      </c>
      <c r="B307" s="694" t="s">
        <v>5243</v>
      </c>
      <c r="C307" s="694" t="s">
        <v>5244</v>
      </c>
      <c r="D307" s="695" t="s">
        <v>5245</v>
      </c>
      <c r="E307" s="696"/>
      <c r="F307" s="697"/>
      <c r="G307" s="697"/>
      <c r="H307" s="698"/>
      <c r="I307" s="697"/>
      <c r="J307" s="697"/>
      <c r="K307" s="697"/>
      <c r="L307" s="697"/>
      <c r="M307" s="697"/>
      <c r="N307" s="698"/>
      <c r="O307" s="697"/>
      <c r="P307" s="697"/>
      <c r="Q307" s="697"/>
      <c r="R307" s="697"/>
      <c r="S307" s="697"/>
      <c r="T307" s="697"/>
      <c r="U307" s="697"/>
      <c r="V307" s="697"/>
      <c r="W307" s="698"/>
      <c r="X307" s="698"/>
      <c r="Y307" s="697"/>
      <c r="Z307" s="697"/>
      <c r="AA307" s="697"/>
      <c r="AB307" s="697"/>
      <c r="AC307" s="697"/>
    </row>
    <row r="308" spans="1:29" x14ac:dyDescent="0.2">
      <c r="A308" s="694" t="str">
        <f>+Info!$B$2</f>
        <v>724</v>
      </c>
      <c r="B308" s="694" t="s">
        <v>5246</v>
      </c>
      <c r="C308" s="694" t="s">
        <v>5247</v>
      </c>
      <c r="D308" s="695" t="s">
        <v>5248</v>
      </c>
      <c r="E308" s="696"/>
      <c r="F308" s="697"/>
      <c r="G308" s="697"/>
      <c r="H308" s="698"/>
      <c r="I308" s="697"/>
      <c r="J308" s="698"/>
      <c r="K308" s="697"/>
      <c r="L308" s="697"/>
      <c r="M308" s="697"/>
      <c r="N308" s="698"/>
      <c r="O308" s="697"/>
      <c r="P308" s="697"/>
      <c r="Q308" s="697"/>
      <c r="R308" s="697"/>
      <c r="S308" s="697"/>
      <c r="T308" s="697"/>
      <c r="U308" s="697"/>
      <c r="V308" s="697"/>
      <c r="W308" s="698"/>
      <c r="X308" s="698"/>
      <c r="Y308" s="697"/>
      <c r="Z308" s="697"/>
      <c r="AA308" s="697"/>
      <c r="AB308" s="697"/>
      <c r="AC308" s="697"/>
    </row>
    <row r="309" spans="1:29" x14ac:dyDescent="0.2">
      <c r="A309" s="694" t="str">
        <f>+Info!$B$2</f>
        <v>724</v>
      </c>
      <c r="B309" s="694" t="s">
        <v>5249</v>
      </c>
      <c r="C309" s="694" t="s">
        <v>5250</v>
      </c>
      <c r="D309" s="695" t="s">
        <v>5251</v>
      </c>
      <c r="E309" s="696"/>
      <c r="F309" s="697"/>
      <c r="G309" s="697"/>
      <c r="H309" s="698"/>
      <c r="I309" s="697"/>
      <c r="J309" s="698"/>
      <c r="K309" s="697"/>
      <c r="L309" s="697"/>
      <c r="M309" s="697"/>
      <c r="N309" s="698"/>
      <c r="O309" s="697"/>
      <c r="P309" s="697"/>
      <c r="Q309" s="697"/>
      <c r="R309" s="697"/>
      <c r="S309" s="697"/>
      <c r="T309" s="697"/>
      <c r="U309" s="697"/>
      <c r="V309" s="697"/>
      <c r="W309" s="698"/>
      <c r="X309" s="698"/>
      <c r="Y309" s="697"/>
      <c r="Z309" s="697"/>
      <c r="AA309" s="697"/>
      <c r="AB309" s="697"/>
      <c r="AC309" s="697"/>
    </row>
    <row r="310" spans="1:29" x14ac:dyDescent="0.2">
      <c r="A310" s="694" t="str">
        <f>+Info!$B$2</f>
        <v>724</v>
      </c>
      <c r="B310" s="694" t="s">
        <v>5252</v>
      </c>
      <c r="C310" s="694" t="s">
        <v>5253</v>
      </c>
      <c r="D310" s="695" t="s">
        <v>5254</v>
      </c>
      <c r="E310" s="696"/>
      <c r="F310" s="697"/>
      <c r="G310" s="697"/>
      <c r="H310" s="698"/>
      <c r="I310" s="697"/>
      <c r="J310" s="698"/>
      <c r="K310" s="697"/>
      <c r="L310" s="697"/>
      <c r="M310" s="697"/>
      <c r="N310" s="698"/>
      <c r="O310" s="697"/>
      <c r="P310" s="697"/>
      <c r="Q310" s="697"/>
      <c r="R310" s="697"/>
      <c r="S310" s="697"/>
      <c r="T310" s="697"/>
      <c r="U310" s="697"/>
      <c r="V310" s="697"/>
      <c r="W310" s="698"/>
      <c r="X310" s="698"/>
      <c r="Y310" s="697"/>
      <c r="Z310" s="697"/>
      <c r="AA310" s="697"/>
      <c r="AB310" s="697"/>
      <c r="AC310" s="697"/>
    </row>
    <row r="311" spans="1:29" x14ac:dyDescent="0.2">
      <c r="A311" s="694" t="str">
        <f>+Info!$B$2</f>
        <v>724</v>
      </c>
      <c r="B311" s="694" t="s">
        <v>5255</v>
      </c>
      <c r="C311" s="694" t="s">
        <v>5256</v>
      </c>
      <c r="D311" s="695" t="s">
        <v>5257</v>
      </c>
      <c r="E311" s="696"/>
      <c r="F311" s="697"/>
      <c r="G311" s="697"/>
      <c r="H311" s="698"/>
      <c r="I311" s="697"/>
      <c r="J311" s="698"/>
      <c r="K311" s="697"/>
      <c r="L311" s="697"/>
      <c r="M311" s="697"/>
      <c r="N311" s="698"/>
      <c r="O311" s="697"/>
      <c r="P311" s="697"/>
      <c r="Q311" s="697"/>
      <c r="R311" s="697"/>
      <c r="S311" s="697"/>
      <c r="T311" s="697"/>
      <c r="U311" s="697"/>
      <c r="V311" s="697"/>
      <c r="W311" s="698"/>
      <c r="X311" s="698"/>
      <c r="Y311" s="697"/>
      <c r="Z311" s="697"/>
      <c r="AA311" s="697"/>
      <c r="AB311" s="697"/>
      <c r="AC311" s="697"/>
    </row>
    <row r="312" spans="1:29" x14ac:dyDescent="0.2">
      <c r="A312" s="694" t="str">
        <f>+Info!$B$2</f>
        <v>724</v>
      </c>
      <c r="B312" s="694" t="s">
        <v>5258</v>
      </c>
      <c r="C312" s="694" t="s">
        <v>5259</v>
      </c>
      <c r="D312" s="695" t="s">
        <v>5260</v>
      </c>
      <c r="E312" s="696"/>
      <c r="F312" s="697"/>
      <c r="G312" s="697"/>
      <c r="H312" s="698"/>
      <c r="I312" s="697"/>
      <c r="J312" s="698"/>
      <c r="K312" s="697"/>
      <c r="L312" s="697"/>
      <c r="M312" s="697"/>
      <c r="N312" s="698"/>
      <c r="O312" s="697"/>
      <c r="P312" s="697"/>
      <c r="Q312" s="697"/>
      <c r="R312" s="697"/>
      <c r="S312" s="697"/>
      <c r="T312" s="697"/>
      <c r="U312" s="697"/>
      <c r="V312" s="697"/>
      <c r="W312" s="698"/>
      <c r="X312" s="698"/>
      <c r="Y312" s="697"/>
      <c r="Z312" s="697"/>
      <c r="AA312" s="697"/>
      <c r="AB312" s="697"/>
      <c r="AC312" s="697"/>
    </row>
    <row r="313" spans="1:29" x14ac:dyDescent="0.2">
      <c r="A313" s="694" t="str">
        <f>+Info!$B$2</f>
        <v>724</v>
      </c>
      <c r="B313" s="694" t="s">
        <v>5261</v>
      </c>
      <c r="C313" s="694" t="s">
        <v>5262</v>
      </c>
      <c r="D313" s="695" t="s">
        <v>5263</v>
      </c>
      <c r="E313" s="696"/>
      <c r="F313" s="697"/>
      <c r="G313" s="697"/>
      <c r="H313" s="698"/>
      <c r="I313" s="697"/>
      <c r="J313" s="698"/>
      <c r="K313" s="697"/>
      <c r="L313" s="697"/>
      <c r="M313" s="697"/>
      <c r="N313" s="698"/>
      <c r="O313" s="697"/>
      <c r="P313" s="697"/>
      <c r="Q313" s="697"/>
      <c r="R313" s="697"/>
      <c r="S313" s="697"/>
      <c r="T313" s="697"/>
      <c r="U313" s="697"/>
      <c r="V313" s="697"/>
      <c r="W313" s="698"/>
      <c r="X313" s="698"/>
      <c r="Y313" s="697"/>
      <c r="Z313" s="697"/>
      <c r="AA313" s="697"/>
      <c r="AB313" s="697"/>
      <c r="AC313" s="697"/>
    </row>
    <row r="314" spans="1:29" x14ac:dyDescent="0.2">
      <c r="A314" s="694" t="str">
        <f>+Info!$B$2</f>
        <v>724</v>
      </c>
      <c r="B314" s="694" t="s">
        <v>5264</v>
      </c>
      <c r="C314" s="694" t="s">
        <v>5265</v>
      </c>
      <c r="D314" s="695" t="s">
        <v>5266</v>
      </c>
      <c r="E314" s="696"/>
      <c r="F314" s="697"/>
      <c r="G314" s="697"/>
      <c r="H314" s="698"/>
      <c r="I314" s="697"/>
      <c r="J314" s="698"/>
      <c r="K314" s="697"/>
      <c r="L314" s="697"/>
      <c r="M314" s="697"/>
      <c r="N314" s="698"/>
      <c r="O314" s="697"/>
      <c r="P314" s="697"/>
      <c r="Q314" s="697"/>
      <c r="R314" s="697"/>
      <c r="S314" s="697"/>
      <c r="T314" s="697"/>
      <c r="U314" s="697"/>
      <c r="V314" s="697"/>
      <c r="W314" s="698"/>
      <c r="X314" s="698"/>
      <c r="Y314" s="697"/>
      <c r="Z314" s="697"/>
      <c r="AA314" s="697"/>
      <c r="AB314" s="697"/>
      <c r="AC314" s="697"/>
    </row>
    <row r="315" spans="1:29" x14ac:dyDescent="0.2">
      <c r="A315" s="694" t="str">
        <f>+Info!$B$2</f>
        <v>724</v>
      </c>
      <c r="B315" s="694" t="s">
        <v>5267</v>
      </c>
      <c r="C315" s="694" t="s">
        <v>5268</v>
      </c>
      <c r="D315" s="695" t="s">
        <v>5269</v>
      </c>
      <c r="E315" s="696"/>
      <c r="F315" s="697"/>
      <c r="G315" s="697"/>
      <c r="H315" s="698"/>
      <c r="I315" s="698"/>
      <c r="J315" s="698"/>
      <c r="K315" s="697"/>
      <c r="L315" s="697"/>
      <c r="M315" s="697"/>
      <c r="N315" s="698"/>
      <c r="O315" s="697"/>
      <c r="P315" s="697"/>
      <c r="Q315" s="697"/>
      <c r="R315" s="697"/>
      <c r="S315" s="697"/>
      <c r="T315" s="697"/>
      <c r="U315" s="697"/>
      <c r="V315" s="697"/>
      <c r="W315" s="698"/>
      <c r="X315" s="698"/>
      <c r="Y315" s="697"/>
      <c r="Z315" s="697"/>
      <c r="AA315" s="697"/>
      <c r="AB315" s="697"/>
      <c r="AC315" s="697"/>
    </row>
    <row r="316" spans="1:29" x14ac:dyDescent="0.2">
      <c r="A316" s="694" t="str">
        <f>+Info!$B$2</f>
        <v>724</v>
      </c>
      <c r="B316" s="694" t="s">
        <v>5270</v>
      </c>
      <c r="C316" s="694" t="s">
        <v>5271</v>
      </c>
      <c r="D316" s="695" t="s">
        <v>5272</v>
      </c>
      <c r="E316" s="696"/>
      <c r="F316" s="697"/>
      <c r="G316" s="697"/>
      <c r="H316" s="698"/>
      <c r="I316" s="697"/>
      <c r="J316" s="698"/>
      <c r="K316" s="697"/>
      <c r="L316" s="697"/>
      <c r="M316" s="697"/>
      <c r="N316" s="698"/>
      <c r="O316" s="697"/>
      <c r="P316" s="697"/>
      <c r="Q316" s="697"/>
      <c r="R316" s="697"/>
      <c r="S316" s="697"/>
      <c r="T316" s="697"/>
      <c r="U316" s="697"/>
      <c r="V316" s="697"/>
      <c r="W316" s="698"/>
      <c r="X316" s="698"/>
      <c r="Y316" s="697"/>
      <c r="Z316" s="697"/>
      <c r="AA316" s="697"/>
      <c r="AB316" s="697"/>
      <c r="AC316" s="697"/>
    </row>
    <row r="317" spans="1:29" x14ac:dyDescent="0.2">
      <c r="A317" s="694" t="str">
        <f>+Info!$B$2</f>
        <v>724</v>
      </c>
      <c r="B317" s="694" t="s">
        <v>5273</v>
      </c>
      <c r="C317" s="694" t="s">
        <v>5274</v>
      </c>
      <c r="D317" s="695" t="s">
        <v>5275</v>
      </c>
      <c r="E317" s="696"/>
      <c r="F317" s="697"/>
      <c r="G317" s="697"/>
      <c r="H317" s="698"/>
      <c r="I317" s="697"/>
      <c r="J317" s="698"/>
      <c r="K317" s="697"/>
      <c r="L317" s="697"/>
      <c r="M317" s="697"/>
      <c r="N317" s="698"/>
      <c r="O317" s="697"/>
      <c r="P317" s="697"/>
      <c r="Q317" s="697"/>
      <c r="R317" s="697"/>
      <c r="S317" s="697"/>
      <c r="T317" s="697"/>
      <c r="U317" s="697"/>
      <c r="V317" s="697"/>
      <c r="W317" s="698"/>
      <c r="X317" s="698"/>
      <c r="Y317" s="697"/>
      <c r="Z317" s="697"/>
      <c r="AA317" s="697"/>
      <c r="AB317" s="697"/>
      <c r="AC317" s="697"/>
    </row>
    <row r="318" spans="1:29" x14ac:dyDescent="0.2">
      <c r="A318" s="694" t="str">
        <f>+Info!$B$2</f>
        <v>724</v>
      </c>
      <c r="B318" s="694" t="s">
        <v>5276</v>
      </c>
      <c r="C318" s="694" t="s">
        <v>5277</v>
      </c>
      <c r="D318" s="695" t="s">
        <v>5278</v>
      </c>
      <c r="E318" s="696"/>
      <c r="F318" s="697"/>
      <c r="G318" s="697"/>
      <c r="H318" s="698"/>
      <c r="I318" s="697"/>
      <c r="J318" s="698"/>
      <c r="K318" s="697"/>
      <c r="L318" s="697"/>
      <c r="M318" s="697"/>
      <c r="N318" s="698"/>
      <c r="O318" s="697"/>
      <c r="P318" s="697"/>
      <c r="Q318" s="697"/>
      <c r="R318" s="697"/>
      <c r="S318" s="697"/>
      <c r="T318" s="697"/>
      <c r="U318" s="697"/>
      <c r="V318" s="697"/>
      <c r="W318" s="698"/>
      <c r="X318" s="698"/>
      <c r="Y318" s="697"/>
      <c r="Z318" s="697"/>
      <c r="AA318" s="697"/>
      <c r="AB318" s="697"/>
      <c r="AC318" s="697"/>
    </row>
    <row r="319" spans="1:29" x14ac:dyDescent="0.2">
      <c r="A319" s="694" t="str">
        <f>+Info!$B$2</f>
        <v>724</v>
      </c>
      <c r="B319" s="694" t="s">
        <v>5279</v>
      </c>
      <c r="C319" s="694" t="s">
        <v>5280</v>
      </c>
      <c r="D319" s="695" t="s">
        <v>5281</v>
      </c>
      <c r="E319" s="696"/>
      <c r="F319" s="697"/>
      <c r="G319" s="697"/>
      <c r="H319" s="698"/>
      <c r="I319" s="697"/>
      <c r="J319" s="698"/>
      <c r="K319" s="697"/>
      <c r="L319" s="697"/>
      <c r="M319" s="697"/>
      <c r="N319" s="698"/>
      <c r="O319" s="697"/>
      <c r="P319" s="697"/>
      <c r="Q319" s="697"/>
      <c r="R319" s="697"/>
      <c r="S319" s="697"/>
      <c r="T319" s="697"/>
      <c r="U319" s="697"/>
      <c r="V319" s="697"/>
      <c r="W319" s="698"/>
      <c r="X319" s="698"/>
      <c r="Y319" s="697"/>
      <c r="Z319" s="697"/>
      <c r="AA319" s="697"/>
      <c r="AB319" s="697"/>
      <c r="AC319" s="697"/>
    </row>
    <row r="320" spans="1:29" x14ac:dyDescent="0.2">
      <c r="A320" s="694" t="str">
        <f>+Info!$B$2</f>
        <v>724</v>
      </c>
      <c r="B320" s="694" t="s">
        <v>5282</v>
      </c>
      <c r="C320" s="694" t="s">
        <v>5283</v>
      </c>
      <c r="D320" s="695" t="s">
        <v>5284</v>
      </c>
      <c r="E320" s="696"/>
      <c r="F320" s="697"/>
      <c r="G320" s="697"/>
      <c r="H320" s="698"/>
      <c r="I320" s="697"/>
      <c r="J320" s="698"/>
      <c r="K320" s="697"/>
      <c r="L320" s="697"/>
      <c r="M320" s="697"/>
      <c r="N320" s="698"/>
      <c r="O320" s="697"/>
      <c r="P320" s="697"/>
      <c r="Q320" s="697"/>
      <c r="R320" s="697"/>
      <c r="S320" s="697"/>
      <c r="T320" s="697"/>
      <c r="U320" s="697"/>
      <c r="V320" s="697"/>
      <c r="W320" s="698"/>
      <c r="X320" s="698"/>
      <c r="Y320" s="697"/>
      <c r="Z320" s="697"/>
      <c r="AA320" s="697"/>
      <c r="AB320" s="697"/>
      <c r="AC320" s="697"/>
    </row>
    <row r="321" spans="1:29" x14ac:dyDescent="0.2">
      <c r="A321" s="694" t="str">
        <f>+Info!$B$2</f>
        <v>724</v>
      </c>
      <c r="B321" s="694" t="s">
        <v>5285</v>
      </c>
      <c r="C321" s="694" t="s">
        <v>5286</v>
      </c>
      <c r="D321" s="695" t="s">
        <v>5287</v>
      </c>
      <c r="E321" s="696"/>
      <c r="F321" s="697"/>
      <c r="G321" s="697"/>
      <c r="H321" s="698"/>
      <c r="I321" s="697"/>
      <c r="J321" s="698"/>
      <c r="K321" s="697"/>
      <c r="L321" s="697"/>
      <c r="M321" s="697"/>
      <c r="N321" s="698"/>
      <c r="O321" s="697"/>
      <c r="P321" s="697"/>
      <c r="Q321" s="697"/>
      <c r="R321" s="697"/>
      <c r="S321" s="697"/>
      <c r="T321" s="697"/>
      <c r="U321" s="697"/>
      <c r="V321" s="697"/>
      <c r="W321" s="698"/>
      <c r="X321" s="698"/>
      <c r="Y321" s="697"/>
      <c r="Z321" s="697"/>
      <c r="AA321" s="697"/>
      <c r="AB321" s="697"/>
      <c r="AC321" s="697"/>
    </row>
    <row r="322" spans="1:29" x14ac:dyDescent="0.2">
      <c r="A322" s="694" t="str">
        <f>+Info!$B$2</f>
        <v>724</v>
      </c>
      <c r="B322" s="694" t="s">
        <v>5288</v>
      </c>
      <c r="C322" s="694" t="s">
        <v>5289</v>
      </c>
      <c r="D322" s="695" t="s">
        <v>5290</v>
      </c>
      <c r="E322" s="696"/>
      <c r="F322" s="697"/>
      <c r="G322" s="697"/>
      <c r="H322" s="698"/>
      <c r="I322" s="697"/>
      <c r="J322" s="698"/>
      <c r="K322" s="697"/>
      <c r="L322" s="697"/>
      <c r="M322" s="697"/>
      <c r="N322" s="698"/>
      <c r="O322" s="697"/>
      <c r="P322" s="697"/>
      <c r="Q322" s="697"/>
      <c r="R322" s="697"/>
      <c r="S322" s="697"/>
      <c r="T322" s="697"/>
      <c r="U322" s="697"/>
      <c r="V322" s="697"/>
      <c r="W322" s="698"/>
      <c r="X322" s="698"/>
      <c r="Y322" s="697"/>
      <c r="Z322" s="697"/>
      <c r="AA322" s="697"/>
      <c r="AB322" s="697"/>
      <c r="AC322" s="697"/>
    </row>
    <row r="323" spans="1:29" x14ac:dyDescent="0.2">
      <c r="A323" s="694" t="str">
        <f>+Info!$B$2</f>
        <v>724</v>
      </c>
      <c r="B323" s="694" t="s">
        <v>5291</v>
      </c>
      <c r="C323" s="694" t="s">
        <v>5292</v>
      </c>
      <c r="D323" s="695" t="s">
        <v>5293</v>
      </c>
      <c r="E323" s="696"/>
      <c r="F323" s="697"/>
      <c r="G323" s="697"/>
      <c r="H323" s="698"/>
      <c r="I323" s="697"/>
      <c r="J323" s="698"/>
      <c r="K323" s="697"/>
      <c r="L323" s="697"/>
      <c r="M323" s="697"/>
      <c r="N323" s="698"/>
      <c r="O323" s="697"/>
      <c r="P323" s="697"/>
      <c r="Q323" s="697"/>
      <c r="R323" s="697"/>
      <c r="S323" s="697"/>
      <c r="T323" s="697"/>
      <c r="U323" s="697"/>
      <c r="V323" s="697"/>
      <c r="W323" s="698"/>
      <c r="X323" s="698"/>
      <c r="Y323" s="697"/>
      <c r="Z323" s="697"/>
      <c r="AA323" s="697"/>
      <c r="AB323" s="697"/>
      <c r="AC323" s="697"/>
    </row>
    <row r="324" spans="1:29" ht="25.5" x14ac:dyDescent="0.2">
      <c r="A324" s="694" t="str">
        <f>+Info!$B$2</f>
        <v>724</v>
      </c>
      <c r="B324" s="694" t="s">
        <v>5294</v>
      </c>
      <c r="C324" s="694" t="s">
        <v>5295</v>
      </c>
      <c r="D324" s="695" t="s">
        <v>5296</v>
      </c>
      <c r="E324" s="696"/>
      <c r="F324" s="697"/>
      <c r="G324" s="697"/>
      <c r="H324" s="698"/>
      <c r="I324" s="698"/>
      <c r="J324" s="697"/>
      <c r="K324" s="697"/>
      <c r="L324" s="697"/>
      <c r="M324" s="697"/>
      <c r="N324" s="698"/>
      <c r="O324" s="697"/>
      <c r="P324" s="697"/>
      <c r="Q324" s="697"/>
      <c r="R324" s="697"/>
      <c r="S324" s="697"/>
      <c r="T324" s="697"/>
      <c r="U324" s="697"/>
      <c r="V324" s="697"/>
      <c r="W324" s="698"/>
      <c r="X324" s="698"/>
      <c r="Y324" s="697"/>
      <c r="Z324" s="697"/>
      <c r="AA324" s="697"/>
      <c r="AB324" s="697"/>
      <c r="AC324" s="697"/>
    </row>
    <row r="325" spans="1:29" ht="25.5" x14ac:dyDescent="0.2">
      <c r="A325" s="694" t="str">
        <f>+Info!$B$2</f>
        <v>724</v>
      </c>
      <c r="B325" s="694" t="s">
        <v>5297</v>
      </c>
      <c r="C325" s="694" t="s">
        <v>5298</v>
      </c>
      <c r="D325" s="695" t="s">
        <v>5299</v>
      </c>
      <c r="E325" s="696"/>
      <c r="F325" s="697"/>
      <c r="G325" s="697"/>
      <c r="H325" s="698"/>
      <c r="I325" s="698"/>
      <c r="J325" s="697"/>
      <c r="K325" s="697"/>
      <c r="L325" s="697"/>
      <c r="M325" s="697"/>
      <c r="N325" s="698"/>
      <c r="O325" s="697"/>
      <c r="P325" s="697"/>
      <c r="Q325" s="697"/>
      <c r="R325" s="697"/>
      <c r="S325" s="697"/>
      <c r="T325" s="697"/>
      <c r="U325" s="697"/>
      <c r="V325" s="697"/>
      <c r="W325" s="698"/>
      <c r="X325" s="698"/>
      <c r="Y325" s="697"/>
      <c r="Z325" s="697"/>
      <c r="AA325" s="697"/>
      <c r="AB325" s="697"/>
      <c r="AC325" s="697"/>
    </row>
    <row r="326" spans="1:29" ht="25.5" x14ac:dyDescent="0.2">
      <c r="A326" s="694" t="str">
        <f>+Info!$B$2</f>
        <v>724</v>
      </c>
      <c r="B326" s="694" t="s">
        <v>5300</v>
      </c>
      <c r="C326" s="694" t="s">
        <v>5301</v>
      </c>
      <c r="D326" s="695" t="s">
        <v>5302</v>
      </c>
      <c r="E326" s="696"/>
      <c r="F326" s="697"/>
      <c r="G326" s="697"/>
      <c r="H326" s="698"/>
      <c r="I326" s="698"/>
      <c r="J326" s="697"/>
      <c r="K326" s="697"/>
      <c r="L326" s="697"/>
      <c r="M326" s="697"/>
      <c r="N326" s="698"/>
      <c r="O326" s="697"/>
      <c r="P326" s="697"/>
      <c r="Q326" s="697"/>
      <c r="R326" s="697"/>
      <c r="S326" s="697"/>
      <c r="T326" s="697"/>
      <c r="U326" s="697"/>
      <c r="V326" s="697"/>
      <c r="W326" s="698"/>
      <c r="X326" s="698"/>
      <c r="Y326" s="697"/>
      <c r="Z326" s="697"/>
      <c r="AA326" s="697"/>
      <c r="AB326" s="697"/>
      <c r="AC326" s="697"/>
    </row>
    <row r="327" spans="1:29" ht="25.5" x14ac:dyDescent="0.2">
      <c r="A327" s="694" t="str">
        <f>+Info!$B$2</f>
        <v>724</v>
      </c>
      <c r="B327" s="694" t="s">
        <v>5303</v>
      </c>
      <c r="C327" s="694" t="s">
        <v>5304</v>
      </c>
      <c r="D327" s="695" t="s">
        <v>5305</v>
      </c>
      <c r="E327" s="696"/>
      <c r="F327" s="697"/>
      <c r="G327" s="697"/>
      <c r="H327" s="698"/>
      <c r="I327" s="698"/>
      <c r="J327" s="697"/>
      <c r="K327" s="697"/>
      <c r="L327" s="697"/>
      <c r="M327" s="697"/>
      <c r="N327" s="698"/>
      <c r="O327" s="697"/>
      <c r="P327" s="697"/>
      <c r="Q327" s="697"/>
      <c r="R327" s="697"/>
      <c r="S327" s="697"/>
      <c r="T327" s="697"/>
      <c r="U327" s="697"/>
      <c r="V327" s="697"/>
      <c r="W327" s="698"/>
      <c r="X327" s="698"/>
      <c r="Y327" s="697"/>
      <c r="Z327" s="697"/>
      <c r="AA327" s="697"/>
      <c r="AB327" s="697"/>
      <c r="AC327" s="697"/>
    </row>
    <row r="328" spans="1:29" ht="15" x14ac:dyDescent="0.25">
      <c r="A328" s="691" t="str">
        <f>+Info!$B$2</f>
        <v>724</v>
      </c>
      <c r="B328" s="691" t="s">
        <v>5306</v>
      </c>
      <c r="C328" s="691" t="s">
        <v>5307</v>
      </c>
      <c r="D328" s="692" t="s">
        <v>5308</v>
      </c>
      <c r="E328" s="693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</row>
    <row r="329" spans="1:29" x14ac:dyDescent="0.2">
      <c r="A329" s="694" t="str">
        <f>+Info!$B$2</f>
        <v>724</v>
      </c>
      <c r="B329" s="694" t="s">
        <v>5309</v>
      </c>
      <c r="C329" s="694" t="s">
        <v>5310</v>
      </c>
      <c r="D329" s="695" t="s">
        <v>5311</v>
      </c>
      <c r="E329" s="696"/>
      <c r="F329" s="697"/>
      <c r="G329" s="697"/>
      <c r="H329" s="698"/>
      <c r="I329" s="697"/>
      <c r="J329" s="697"/>
      <c r="K329" s="697"/>
      <c r="L329" s="697"/>
      <c r="M329" s="697"/>
      <c r="N329" s="698"/>
      <c r="O329" s="697"/>
      <c r="P329" s="697"/>
      <c r="Q329" s="697"/>
      <c r="R329" s="697"/>
      <c r="S329" s="697"/>
      <c r="T329" s="697"/>
      <c r="U329" s="697"/>
      <c r="V329" s="697"/>
      <c r="W329" s="698"/>
      <c r="X329" s="698"/>
      <c r="Y329" s="697"/>
      <c r="Z329" s="697"/>
      <c r="AA329" s="697"/>
      <c r="AB329" s="697"/>
      <c r="AC329" s="697"/>
    </row>
    <row r="330" spans="1:29" x14ac:dyDescent="0.2">
      <c r="A330" s="694" t="str">
        <f>+Info!$B$2</f>
        <v>724</v>
      </c>
      <c r="B330" s="694" t="s">
        <v>5312</v>
      </c>
      <c r="C330" s="694" t="s">
        <v>5313</v>
      </c>
      <c r="D330" s="695" t="s">
        <v>5314</v>
      </c>
      <c r="E330" s="696"/>
      <c r="F330" s="697"/>
      <c r="G330" s="697"/>
      <c r="H330" s="698"/>
      <c r="I330" s="697"/>
      <c r="J330" s="697"/>
      <c r="K330" s="697"/>
      <c r="L330" s="697"/>
      <c r="M330" s="697"/>
      <c r="N330" s="698"/>
      <c r="O330" s="697"/>
      <c r="P330" s="697"/>
      <c r="Q330" s="697"/>
      <c r="R330" s="697"/>
      <c r="S330" s="697"/>
      <c r="T330" s="697"/>
      <c r="U330" s="697"/>
      <c r="V330" s="697"/>
      <c r="W330" s="698"/>
      <c r="X330" s="698"/>
      <c r="Y330" s="697"/>
      <c r="Z330" s="697"/>
      <c r="AA330" s="697"/>
      <c r="AB330" s="697"/>
      <c r="AC330" s="697"/>
    </row>
    <row r="331" spans="1:29" x14ac:dyDescent="0.2">
      <c r="A331" s="694" t="str">
        <f>+Info!$B$2</f>
        <v>724</v>
      </c>
      <c r="B331" s="694" t="s">
        <v>5315</v>
      </c>
      <c r="C331" s="694" t="s">
        <v>5316</v>
      </c>
      <c r="D331" s="695" t="s">
        <v>5317</v>
      </c>
      <c r="E331" s="696"/>
      <c r="F331" s="697"/>
      <c r="G331" s="697"/>
      <c r="H331" s="698"/>
      <c r="I331" s="697"/>
      <c r="J331" s="697"/>
      <c r="K331" s="697"/>
      <c r="L331" s="697"/>
      <c r="M331" s="697"/>
      <c r="N331" s="698"/>
      <c r="O331" s="697"/>
      <c r="P331" s="697"/>
      <c r="Q331" s="697"/>
      <c r="R331" s="697"/>
      <c r="S331" s="697"/>
      <c r="T331" s="697"/>
      <c r="U331" s="697"/>
      <c r="V331" s="697"/>
      <c r="W331" s="698"/>
      <c r="X331" s="698"/>
      <c r="Y331" s="697"/>
      <c r="Z331" s="697"/>
      <c r="AA331" s="697"/>
      <c r="AB331" s="697"/>
      <c r="AC331" s="697"/>
    </row>
    <row r="332" spans="1:29" x14ac:dyDescent="0.2">
      <c r="A332" s="694" t="str">
        <f>+Info!$B$2</f>
        <v>724</v>
      </c>
      <c r="B332" s="694" t="s">
        <v>5318</v>
      </c>
      <c r="C332" s="694" t="s">
        <v>5319</v>
      </c>
      <c r="D332" s="695" t="s">
        <v>5320</v>
      </c>
      <c r="E332" s="696"/>
      <c r="F332" s="697"/>
      <c r="G332" s="697"/>
      <c r="H332" s="698"/>
      <c r="I332" s="697"/>
      <c r="J332" s="697"/>
      <c r="K332" s="697"/>
      <c r="L332" s="697"/>
      <c r="M332" s="697"/>
      <c r="N332" s="698"/>
      <c r="O332" s="697"/>
      <c r="P332" s="697"/>
      <c r="Q332" s="697"/>
      <c r="R332" s="697"/>
      <c r="S332" s="697"/>
      <c r="T332" s="697"/>
      <c r="U332" s="697"/>
      <c r="V332" s="697"/>
      <c r="W332" s="698"/>
      <c r="X332" s="698"/>
      <c r="Y332" s="697"/>
      <c r="Z332" s="697"/>
      <c r="AA332" s="697"/>
      <c r="AB332" s="697"/>
      <c r="AC332" s="697"/>
    </row>
    <row r="333" spans="1:29" x14ac:dyDescent="0.2">
      <c r="A333" s="694" t="str">
        <f>+Info!$B$2</f>
        <v>724</v>
      </c>
      <c r="B333" s="694" t="s">
        <v>5321</v>
      </c>
      <c r="C333" s="694" t="s">
        <v>5322</v>
      </c>
      <c r="D333" s="695" t="s">
        <v>5323</v>
      </c>
      <c r="E333" s="696"/>
      <c r="F333" s="697"/>
      <c r="G333" s="697"/>
      <c r="H333" s="698"/>
      <c r="I333" s="697"/>
      <c r="J333" s="697"/>
      <c r="K333" s="697"/>
      <c r="L333" s="697"/>
      <c r="M333" s="697"/>
      <c r="N333" s="698"/>
      <c r="O333" s="697"/>
      <c r="P333" s="697"/>
      <c r="Q333" s="697"/>
      <c r="R333" s="697"/>
      <c r="S333" s="697"/>
      <c r="T333" s="697"/>
      <c r="U333" s="697"/>
      <c r="V333" s="697"/>
      <c r="W333" s="698"/>
      <c r="X333" s="698"/>
      <c r="Y333" s="697"/>
      <c r="Z333" s="697"/>
      <c r="AA333" s="697"/>
      <c r="AB333" s="697"/>
      <c r="AC333" s="697"/>
    </row>
    <row r="334" spans="1:29" x14ac:dyDescent="0.2">
      <c r="A334" s="694" t="str">
        <f>+Info!$B$2</f>
        <v>724</v>
      </c>
      <c r="B334" s="694" t="s">
        <v>5324</v>
      </c>
      <c r="C334" s="694" t="s">
        <v>5325</v>
      </c>
      <c r="D334" s="695" t="s">
        <v>5326</v>
      </c>
      <c r="E334" s="696"/>
      <c r="F334" s="697"/>
      <c r="G334" s="697"/>
      <c r="H334" s="698"/>
      <c r="I334" s="697"/>
      <c r="J334" s="698"/>
      <c r="K334" s="697"/>
      <c r="L334" s="697"/>
      <c r="M334" s="697"/>
      <c r="N334" s="698"/>
      <c r="O334" s="697"/>
      <c r="P334" s="697"/>
      <c r="Q334" s="697"/>
      <c r="R334" s="697"/>
      <c r="S334" s="697"/>
      <c r="T334" s="697"/>
      <c r="U334" s="697"/>
      <c r="V334" s="697"/>
      <c r="W334" s="698"/>
      <c r="X334" s="698"/>
      <c r="Y334" s="697"/>
      <c r="Z334" s="697"/>
      <c r="AA334" s="697"/>
      <c r="AB334" s="697"/>
      <c r="AC334" s="697"/>
    </row>
    <row r="335" spans="1:29" x14ac:dyDescent="0.2">
      <c r="A335" s="694" t="str">
        <f>+Info!$B$2</f>
        <v>724</v>
      </c>
      <c r="B335" s="694" t="s">
        <v>5327</v>
      </c>
      <c r="C335" s="694" t="s">
        <v>5328</v>
      </c>
      <c r="D335" s="695" t="s">
        <v>5329</v>
      </c>
      <c r="E335" s="696"/>
      <c r="F335" s="697"/>
      <c r="G335" s="697"/>
      <c r="H335" s="698"/>
      <c r="I335" s="697"/>
      <c r="J335" s="698"/>
      <c r="K335" s="697"/>
      <c r="L335" s="697"/>
      <c r="M335" s="697"/>
      <c r="N335" s="698"/>
      <c r="O335" s="697"/>
      <c r="P335" s="697"/>
      <c r="Q335" s="697"/>
      <c r="R335" s="697"/>
      <c r="S335" s="697"/>
      <c r="T335" s="697"/>
      <c r="U335" s="697"/>
      <c r="V335" s="697"/>
      <c r="W335" s="698"/>
      <c r="X335" s="698"/>
      <c r="Y335" s="697"/>
      <c r="Z335" s="697"/>
      <c r="AA335" s="697"/>
      <c r="AB335" s="697"/>
      <c r="AC335" s="697"/>
    </row>
    <row r="336" spans="1:29" x14ac:dyDescent="0.2">
      <c r="A336" s="694" t="str">
        <f>+Info!$B$2</f>
        <v>724</v>
      </c>
      <c r="B336" s="694" t="s">
        <v>5330</v>
      </c>
      <c r="C336" s="694" t="s">
        <v>5331</v>
      </c>
      <c r="D336" s="695" t="s">
        <v>5332</v>
      </c>
      <c r="E336" s="696"/>
      <c r="F336" s="697"/>
      <c r="G336" s="697"/>
      <c r="H336" s="698"/>
      <c r="I336" s="697"/>
      <c r="J336" s="698"/>
      <c r="K336" s="697"/>
      <c r="L336" s="697"/>
      <c r="M336" s="697"/>
      <c r="N336" s="698"/>
      <c r="O336" s="697"/>
      <c r="P336" s="697"/>
      <c r="Q336" s="697"/>
      <c r="R336" s="697"/>
      <c r="S336" s="697"/>
      <c r="T336" s="697"/>
      <c r="U336" s="697"/>
      <c r="V336" s="697"/>
      <c r="W336" s="698"/>
      <c r="X336" s="698"/>
      <c r="Y336" s="697"/>
      <c r="Z336" s="697"/>
      <c r="AA336" s="697"/>
      <c r="AB336" s="697"/>
      <c r="AC336" s="697"/>
    </row>
    <row r="337" spans="1:29" x14ac:dyDescent="0.2">
      <c r="A337" s="694" t="str">
        <f>+Info!$B$2</f>
        <v>724</v>
      </c>
      <c r="B337" s="694" t="s">
        <v>5333</v>
      </c>
      <c r="C337" s="694" t="s">
        <v>5334</v>
      </c>
      <c r="D337" s="695" t="s">
        <v>5335</v>
      </c>
      <c r="E337" s="696"/>
      <c r="F337" s="697"/>
      <c r="G337" s="697"/>
      <c r="H337" s="698"/>
      <c r="I337" s="697"/>
      <c r="J337" s="698"/>
      <c r="K337" s="697"/>
      <c r="L337" s="697"/>
      <c r="M337" s="697"/>
      <c r="N337" s="698"/>
      <c r="O337" s="697"/>
      <c r="P337" s="697"/>
      <c r="Q337" s="697"/>
      <c r="R337" s="697"/>
      <c r="S337" s="697"/>
      <c r="T337" s="697"/>
      <c r="U337" s="697"/>
      <c r="V337" s="697"/>
      <c r="W337" s="698"/>
      <c r="X337" s="698"/>
      <c r="Y337" s="697"/>
      <c r="Z337" s="697"/>
      <c r="AA337" s="697"/>
      <c r="AB337" s="697"/>
      <c r="AC337" s="697"/>
    </row>
    <row r="338" spans="1:29" x14ac:dyDescent="0.2">
      <c r="A338" s="694" t="str">
        <f>+Info!$B$2</f>
        <v>724</v>
      </c>
      <c r="B338" s="694" t="s">
        <v>5336</v>
      </c>
      <c r="C338" s="694" t="s">
        <v>5337</v>
      </c>
      <c r="D338" s="695" t="s">
        <v>5338</v>
      </c>
      <c r="E338" s="696"/>
      <c r="F338" s="697"/>
      <c r="G338" s="697"/>
      <c r="H338" s="698"/>
      <c r="I338" s="697"/>
      <c r="J338" s="698"/>
      <c r="K338" s="697"/>
      <c r="L338" s="697"/>
      <c r="M338" s="697"/>
      <c r="N338" s="698"/>
      <c r="O338" s="697"/>
      <c r="P338" s="697"/>
      <c r="Q338" s="697"/>
      <c r="R338" s="697"/>
      <c r="S338" s="697"/>
      <c r="T338" s="697"/>
      <c r="U338" s="697"/>
      <c r="V338" s="697"/>
      <c r="W338" s="698"/>
      <c r="X338" s="698"/>
      <c r="Y338" s="697"/>
      <c r="Z338" s="697"/>
      <c r="AA338" s="697"/>
      <c r="AB338" s="697"/>
      <c r="AC338" s="697"/>
    </row>
    <row r="339" spans="1:29" x14ac:dyDescent="0.2">
      <c r="A339" s="694" t="str">
        <f>+Info!$B$2</f>
        <v>724</v>
      </c>
      <c r="B339" s="694" t="s">
        <v>5339</v>
      </c>
      <c r="C339" s="694" t="s">
        <v>5340</v>
      </c>
      <c r="D339" s="695" t="s">
        <v>5341</v>
      </c>
      <c r="E339" s="696"/>
      <c r="F339" s="697"/>
      <c r="G339" s="697"/>
      <c r="H339" s="698"/>
      <c r="I339" s="697"/>
      <c r="J339" s="698"/>
      <c r="K339" s="697"/>
      <c r="L339" s="697"/>
      <c r="M339" s="697"/>
      <c r="N339" s="698"/>
      <c r="O339" s="697"/>
      <c r="P339" s="697"/>
      <c r="Q339" s="697"/>
      <c r="R339" s="697"/>
      <c r="S339" s="697"/>
      <c r="T339" s="697"/>
      <c r="U339" s="697"/>
      <c r="V339" s="697"/>
      <c r="W339" s="698"/>
      <c r="X339" s="698"/>
      <c r="Y339" s="697"/>
      <c r="Z339" s="697"/>
      <c r="AA339" s="697"/>
      <c r="AB339" s="697"/>
      <c r="AC339" s="697"/>
    </row>
    <row r="340" spans="1:29" x14ac:dyDescent="0.2">
      <c r="A340" s="694" t="str">
        <f>+Info!$B$2</f>
        <v>724</v>
      </c>
      <c r="B340" s="694" t="s">
        <v>5342</v>
      </c>
      <c r="C340" s="694" t="s">
        <v>5343</v>
      </c>
      <c r="D340" s="695" t="s">
        <v>5344</v>
      </c>
      <c r="E340" s="696"/>
      <c r="F340" s="697"/>
      <c r="G340" s="697"/>
      <c r="H340" s="698"/>
      <c r="I340" s="697"/>
      <c r="J340" s="698"/>
      <c r="K340" s="697"/>
      <c r="L340" s="697"/>
      <c r="M340" s="697"/>
      <c r="N340" s="698"/>
      <c r="O340" s="697"/>
      <c r="P340" s="697"/>
      <c r="Q340" s="697"/>
      <c r="R340" s="697"/>
      <c r="S340" s="697"/>
      <c r="T340" s="697"/>
      <c r="U340" s="697"/>
      <c r="V340" s="697"/>
      <c r="W340" s="698"/>
      <c r="X340" s="698"/>
      <c r="Y340" s="697"/>
      <c r="Z340" s="697"/>
      <c r="AA340" s="697"/>
      <c r="AB340" s="697"/>
      <c r="AC340" s="697"/>
    </row>
    <row r="341" spans="1:29" x14ac:dyDescent="0.2">
      <c r="A341" s="694" t="str">
        <f>+Info!$B$2</f>
        <v>724</v>
      </c>
      <c r="B341" s="694" t="s">
        <v>5345</v>
      </c>
      <c r="C341" s="694" t="s">
        <v>5346</v>
      </c>
      <c r="D341" s="695" t="s">
        <v>5347</v>
      </c>
      <c r="E341" s="696"/>
      <c r="F341" s="697"/>
      <c r="G341" s="697"/>
      <c r="H341" s="698"/>
      <c r="I341" s="697"/>
      <c r="J341" s="698"/>
      <c r="K341" s="697"/>
      <c r="L341" s="697"/>
      <c r="M341" s="697"/>
      <c r="N341" s="698"/>
      <c r="O341" s="697"/>
      <c r="P341" s="697"/>
      <c r="Q341" s="697"/>
      <c r="R341" s="697"/>
      <c r="S341" s="697"/>
      <c r="T341" s="697"/>
      <c r="U341" s="697"/>
      <c r="V341" s="697"/>
      <c r="W341" s="698"/>
      <c r="X341" s="698"/>
      <c r="Y341" s="697"/>
      <c r="Z341" s="697"/>
      <c r="AA341" s="697"/>
      <c r="AB341" s="697"/>
      <c r="AC341" s="697"/>
    </row>
    <row r="342" spans="1:29" x14ac:dyDescent="0.2">
      <c r="A342" s="694" t="str">
        <f>+Info!$B$2</f>
        <v>724</v>
      </c>
      <c r="B342" s="694" t="s">
        <v>5348</v>
      </c>
      <c r="C342" s="694" t="s">
        <v>5349</v>
      </c>
      <c r="D342" s="695" t="s">
        <v>5350</v>
      </c>
      <c r="E342" s="696"/>
      <c r="F342" s="697"/>
      <c r="G342" s="697"/>
      <c r="H342" s="698"/>
      <c r="I342" s="697"/>
      <c r="J342" s="697"/>
      <c r="K342" s="697"/>
      <c r="L342" s="697"/>
      <c r="M342" s="697"/>
      <c r="N342" s="698"/>
      <c r="O342" s="697"/>
      <c r="P342" s="697"/>
      <c r="Q342" s="697"/>
      <c r="R342" s="697"/>
      <c r="S342" s="697"/>
      <c r="T342" s="697"/>
      <c r="U342" s="697"/>
      <c r="V342" s="697"/>
      <c r="W342" s="698"/>
      <c r="X342" s="698"/>
      <c r="Y342" s="697"/>
      <c r="Z342" s="697"/>
      <c r="AA342" s="697"/>
      <c r="AB342" s="697"/>
      <c r="AC342" s="697"/>
    </row>
    <row r="343" spans="1:29" x14ac:dyDescent="0.2">
      <c r="A343" s="694" t="str">
        <f>+Info!$B$2</f>
        <v>724</v>
      </c>
      <c r="B343" s="694" t="s">
        <v>5351</v>
      </c>
      <c r="C343" s="694" t="s">
        <v>5352</v>
      </c>
      <c r="D343" s="695" t="s">
        <v>5353</v>
      </c>
      <c r="E343" s="696"/>
      <c r="F343" s="697"/>
      <c r="G343" s="697"/>
      <c r="H343" s="698"/>
      <c r="I343" s="697"/>
      <c r="J343" s="698"/>
      <c r="K343" s="697"/>
      <c r="L343" s="697"/>
      <c r="M343" s="697"/>
      <c r="N343" s="698"/>
      <c r="O343" s="697"/>
      <c r="P343" s="697"/>
      <c r="Q343" s="697"/>
      <c r="R343" s="697"/>
      <c r="S343" s="697"/>
      <c r="T343" s="697"/>
      <c r="U343" s="697"/>
      <c r="V343" s="697"/>
      <c r="W343" s="698"/>
      <c r="X343" s="698"/>
      <c r="Y343" s="697"/>
      <c r="Z343" s="697"/>
      <c r="AA343" s="697"/>
      <c r="AB343" s="697"/>
      <c r="AC343" s="697"/>
    </row>
    <row r="344" spans="1:29" ht="15" x14ac:dyDescent="0.25">
      <c r="A344" s="691" t="str">
        <f>+Info!$B$2</f>
        <v>724</v>
      </c>
      <c r="B344" s="691" t="s">
        <v>5354</v>
      </c>
      <c r="C344" s="691" t="s">
        <v>5355</v>
      </c>
      <c r="D344" s="692" t="s">
        <v>5356</v>
      </c>
      <c r="E344" s="693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</row>
    <row r="345" spans="1:29" ht="15" x14ac:dyDescent="0.25">
      <c r="A345" s="691" t="str">
        <f>+Info!$B$2</f>
        <v>724</v>
      </c>
      <c r="B345" s="691" t="s">
        <v>5357</v>
      </c>
      <c r="C345" s="691" t="s">
        <v>5358</v>
      </c>
      <c r="D345" s="692" t="s">
        <v>5359</v>
      </c>
      <c r="E345" s="693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</row>
    <row r="346" spans="1:29" x14ac:dyDescent="0.2">
      <c r="A346" s="694" t="str">
        <f>+Info!$B$2</f>
        <v>724</v>
      </c>
      <c r="B346" s="694" t="s">
        <v>5360</v>
      </c>
      <c r="C346" s="694" t="s">
        <v>5361</v>
      </c>
      <c r="D346" s="695" t="s">
        <v>5362</v>
      </c>
      <c r="E346" s="696"/>
      <c r="F346" s="697"/>
      <c r="G346" s="697"/>
      <c r="H346" s="698"/>
      <c r="I346" s="697"/>
      <c r="J346" s="697"/>
      <c r="K346" s="697"/>
      <c r="L346" s="697"/>
      <c r="M346" s="697"/>
      <c r="N346" s="698"/>
      <c r="O346" s="697"/>
      <c r="P346" s="697"/>
      <c r="Q346" s="697"/>
      <c r="R346" s="697"/>
      <c r="S346" s="697"/>
      <c r="T346" s="697"/>
      <c r="U346" s="697"/>
      <c r="V346" s="697"/>
      <c r="W346" s="698"/>
      <c r="X346" s="698"/>
      <c r="Y346" s="697"/>
      <c r="Z346" s="697"/>
      <c r="AA346" s="697"/>
      <c r="AB346" s="697"/>
      <c r="AC346" s="697"/>
    </row>
    <row r="347" spans="1:29" x14ac:dyDescent="0.2">
      <c r="A347" s="694" t="str">
        <f>+Info!$B$2</f>
        <v>724</v>
      </c>
      <c r="B347" s="694" t="s">
        <v>5363</v>
      </c>
      <c r="C347" s="694" t="s">
        <v>5364</v>
      </c>
      <c r="D347" s="695" t="s">
        <v>5365</v>
      </c>
      <c r="E347" s="696"/>
      <c r="F347" s="697"/>
      <c r="G347" s="697"/>
      <c r="H347" s="698"/>
      <c r="I347" s="697"/>
      <c r="J347" s="697"/>
      <c r="K347" s="697"/>
      <c r="L347" s="697"/>
      <c r="M347" s="697"/>
      <c r="N347" s="698"/>
      <c r="O347" s="697"/>
      <c r="P347" s="697"/>
      <c r="Q347" s="697"/>
      <c r="R347" s="697"/>
      <c r="S347" s="697"/>
      <c r="T347" s="697"/>
      <c r="U347" s="697"/>
      <c r="V347" s="697"/>
      <c r="W347" s="698"/>
      <c r="X347" s="698"/>
      <c r="Y347" s="697"/>
      <c r="Z347" s="697"/>
      <c r="AA347" s="697"/>
      <c r="AB347" s="697"/>
      <c r="AC347" s="697"/>
    </row>
    <row r="348" spans="1:29" x14ac:dyDescent="0.2">
      <c r="A348" s="694" t="str">
        <f>+Info!$B$2</f>
        <v>724</v>
      </c>
      <c r="B348" s="694" t="s">
        <v>5366</v>
      </c>
      <c r="C348" s="694" t="s">
        <v>5367</v>
      </c>
      <c r="D348" s="695" t="s">
        <v>5368</v>
      </c>
      <c r="E348" s="696"/>
      <c r="F348" s="697"/>
      <c r="G348" s="697"/>
      <c r="H348" s="698"/>
      <c r="I348" s="697"/>
      <c r="J348" s="697"/>
      <c r="K348" s="697"/>
      <c r="L348" s="697"/>
      <c r="M348" s="697"/>
      <c r="N348" s="698"/>
      <c r="O348" s="697"/>
      <c r="P348" s="697"/>
      <c r="Q348" s="697"/>
      <c r="R348" s="697"/>
      <c r="S348" s="697"/>
      <c r="T348" s="697"/>
      <c r="U348" s="697"/>
      <c r="V348" s="697"/>
      <c r="W348" s="698"/>
      <c r="X348" s="698"/>
      <c r="Y348" s="697"/>
      <c r="Z348" s="697"/>
      <c r="AA348" s="697"/>
      <c r="AB348" s="697"/>
      <c r="AC348" s="697"/>
    </row>
    <row r="349" spans="1:29" x14ac:dyDescent="0.2">
      <c r="A349" s="694" t="str">
        <f>+Info!$B$2</f>
        <v>724</v>
      </c>
      <c r="B349" s="694" t="s">
        <v>5369</v>
      </c>
      <c r="C349" s="694" t="s">
        <v>5370</v>
      </c>
      <c r="D349" s="695" t="s">
        <v>5371</v>
      </c>
      <c r="E349" s="696"/>
      <c r="F349" s="697"/>
      <c r="G349" s="697"/>
      <c r="H349" s="698"/>
      <c r="I349" s="697"/>
      <c r="J349" s="697"/>
      <c r="K349" s="697"/>
      <c r="L349" s="697"/>
      <c r="M349" s="697"/>
      <c r="N349" s="698"/>
      <c r="O349" s="697"/>
      <c r="P349" s="697"/>
      <c r="Q349" s="697"/>
      <c r="R349" s="697"/>
      <c r="S349" s="697"/>
      <c r="T349" s="697"/>
      <c r="U349" s="697"/>
      <c r="V349" s="697"/>
      <c r="W349" s="698"/>
      <c r="X349" s="698"/>
      <c r="Y349" s="697"/>
      <c r="Z349" s="697"/>
      <c r="AA349" s="697"/>
      <c r="AB349" s="697"/>
      <c r="AC349" s="697"/>
    </row>
    <row r="350" spans="1:29" x14ac:dyDescent="0.2">
      <c r="A350" s="694" t="str">
        <f>+Info!$B$2</f>
        <v>724</v>
      </c>
      <c r="B350" s="694" t="s">
        <v>5372</v>
      </c>
      <c r="C350" s="694" t="s">
        <v>5373</v>
      </c>
      <c r="D350" s="695" t="s">
        <v>5374</v>
      </c>
      <c r="E350" s="696"/>
      <c r="F350" s="697"/>
      <c r="G350" s="697"/>
      <c r="H350" s="698"/>
      <c r="I350" s="697"/>
      <c r="J350" s="697"/>
      <c r="K350" s="697"/>
      <c r="L350" s="697"/>
      <c r="M350" s="697"/>
      <c r="N350" s="698"/>
      <c r="O350" s="697"/>
      <c r="P350" s="697"/>
      <c r="Q350" s="697"/>
      <c r="R350" s="697"/>
      <c r="S350" s="697"/>
      <c r="T350" s="697"/>
      <c r="U350" s="697"/>
      <c r="V350" s="697"/>
      <c r="W350" s="698"/>
      <c r="X350" s="698"/>
      <c r="Y350" s="697"/>
      <c r="Z350" s="697"/>
      <c r="AA350" s="697"/>
      <c r="AB350" s="697"/>
      <c r="AC350" s="697"/>
    </row>
    <row r="351" spans="1:29" x14ac:dyDescent="0.2">
      <c r="A351" s="694" t="str">
        <f>+Info!$B$2</f>
        <v>724</v>
      </c>
      <c r="B351" s="694" t="s">
        <v>5375</v>
      </c>
      <c r="C351" s="694" t="s">
        <v>5376</v>
      </c>
      <c r="D351" s="695" t="s">
        <v>5377</v>
      </c>
      <c r="E351" s="696"/>
      <c r="F351" s="697"/>
      <c r="G351" s="697"/>
      <c r="H351" s="698"/>
      <c r="I351" s="697"/>
      <c r="J351" s="697"/>
      <c r="K351" s="697"/>
      <c r="L351" s="697"/>
      <c r="M351" s="697"/>
      <c r="N351" s="698"/>
      <c r="O351" s="697"/>
      <c r="P351" s="697"/>
      <c r="Q351" s="697"/>
      <c r="R351" s="697"/>
      <c r="S351" s="697"/>
      <c r="T351" s="697"/>
      <c r="U351" s="697"/>
      <c r="V351" s="697"/>
      <c r="W351" s="698"/>
      <c r="X351" s="698"/>
      <c r="Y351" s="697"/>
      <c r="Z351" s="697"/>
      <c r="AA351" s="697"/>
      <c r="AB351" s="697"/>
      <c r="AC351" s="697"/>
    </row>
    <row r="352" spans="1:29" x14ac:dyDescent="0.2">
      <c r="A352" s="694" t="str">
        <f>+Info!$B$2</f>
        <v>724</v>
      </c>
      <c r="B352" s="694" t="s">
        <v>5378</v>
      </c>
      <c r="C352" s="694" t="s">
        <v>5379</v>
      </c>
      <c r="D352" s="695" t="s">
        <v>5380</v>
      </c>
      <c r="E352" s="696"/>
      <c r="F352" s="697"/>
      <c r="G352" s="697"/>
      <c r="H352" s="698"/>
      <c r="I352" s="697"/>
      <c r="J352" s="697"/>
      <c r="K352" s="697"/>
      <c r="L352" s="697"/>
      <c r="M352" s="697"/>
      <c r="N352" s="698"/>
      <c r="O352" s="697"/>
      <c r="P352" s="697"/>
      <c r="Q352" s="697"/>
      <c r="R352" s="697"/>
      <c r="S352" s="697"/>
      <c r="T352" s="697"/>
      <c r="U352" s="697"/>
      <c r="V352" s="697"/>
      <c r="W352" s="698"/>
      <c r="X352" s="698"/>
      <c r="Y352" s="697"/>
      <c r="Z352" s="697"/>
      <c r="AA352" s="697"/>
      <c r="AB352" s="697"/>
      <c r="AC352" s="697"/>
    </row>
    <row r="353" spans="1:29" x14ac:dyDescent="0.2">
      <c r="A353" s="694" t="str">
        <f>+Info!$B$2</f>
        <v>724</v>
      </c>
      <c r="B353" s="694" t="s">
        <v>5381</v>
      </c>
      <c r="C353" s="694" t="s">
        <v>4309</v>
      </c>
      <c r="D353" s="695" t="s">
        <v>5382</v>
      </c>
      <c r="E353" s="696"/>
      <c r="F353" s="697"/>
      <c r="G353" s="697"/>
      <c r="H353" s="698"/>
      <c r="I353" s="697"/>
      <c r="J353" s="697"/>
      <c r="K353" s="697"/>
      <c r="L353" s="697"/>
      <c r="M353" s="697"/>
      <c r="N353" s="698"/>
      <c r="O353" s="697"/>
      <c r="P353" s="697"/>
      <c r="Q353" s="697"/>
      <c r="R353" s="697"/>
      <c r="S353" s="697"/>
      <c r="T353" s="697"/>
      <c r="U353" s="697"/>
      <c r="V353" s="697"/>
      <c r="W353" s="698"/>
      <c r="X353" s="698"/>
      <c r="Y353" s="697"/>
      <c r="Z353" s="697"/>
      <c r="AA353" s="697"/>
      <c r="AB353" s="697"/>
      <c r="AC353" s="697"/>
    </row>
    <row r="354" spans="1:29" x14ac:dyDescent="0.2">
      <c r="A354" s="694" t="str">
        <f>+Info!$B$2</f>
        <v>724</v>
      </c>
      <c r="B354" s="694" t="s">
        <v>5383</v>
      </c>
      <c r="C354" s="694" t="s">
        <v>5384</v>
      </c>
      <c r="D354" s="695" t="s">
        <v>5385</v>
      </c>
      <c r="E354" s="696"/>
      <c r="F354" s="697"/>
      <c r="G354" s="697"/>
      <c r="H354" s="698"/>
      <c r="I354" s="697"/>
      <c r="J354" s="697"/>
      <c r="K354" s="697"/>
      <c r="L354" s="697"/>
      <c r="M354" s="697"/>
      <c r="N354" s="698"/>
      <c r="O354" s="697"/>
      <c r="P354" s="697"/>
      <c r="Q354" s="697"/>
      <c r="R354" s="697"/>
      <c r="S354" s="697"/>
      <c r="T354" s="697"/>
      <c r="U354" s="697"/>
      <c r="V354" s="697"/>
      <c r="W354" s="698"/>
      <c r="X354" s="698"/>
      <c r="Y354" s="697"/>
      <c r="Z354" s="697"/>
      <c r="AA354" s="697"/>
      <c r="AB354" s="697"/>
      <c r="AC354" s="697"/>
    </row>
    <row r="355" spans="1:29" x14ac:dyDescent="0.2">
      <c r="A355" s="694" t="str">
        <f>+Info!$B$2</f>
        <v>724</v>
      </c>
      <c r="B355" s="694" t="s">
        <v>5386</v>
      </c>
      <c r="C355" s="694" t="s">
        <v>5387</v>
      </c>
      <c r="D355" s="695" t="s">
        <v>5388</v>
      </c>
      <c r="E355" s="696"/>
      <c r="F355" s="697"/>
      <c r="G355" s="697"/>
      <c r="H355" s="698"/>
      <c r="I355" s="697"/>
      <c r="J355" s="697"/>
      <c r="K355" s="697"/>
      <c r="L355" s="697"/>
      <c r="M355" s="697"/>
      <c r="N355" s="698"/>
      <c r="O355" s="697"/>
      <c r="P355" s="697"/>
      <c r="Q355" s="697"/>
      <c r="R355" s="697"/>
      <c r="S355" s="697"/>
      <c r="T355" s="697"/>
      <c r="U355" s="697"/>
      <c r="V355" s="697"/>
      <c r="W355" s="698"/>
      <c r="X355" s="698"/>
      <c r="Y355" s="697"/>
      <c r="Z355" s="697"/>
      <c r="AA355" s="697"/>
      <c r="AB355" s="697"/>
      <c r="AC355" s="697"/>
    </row>
    <row r="356" spans="1:29" x14ac:dyDescent="0.2">
      <c r="A356" s="694" t="str">
        <f>+Info!$B$2</f>
        <v>724</v>
      </c>
      <c r="B356" s="694" t="s">
        <v>5389</v>
      </c>
      <c r="C356" s="694" t="s">
        <v>5390</v>
      </c>
      <c r="D356" s="695" t="s">
        <v>5391</v>
      </c>
      <c r="E356" s="696"/>
      <c r="F356" s="697"/>
      <c r="G356" s="697"/>
      <c r="H356" s="698"/>
      <c r="I356" s="697"/>
      <c r="J356" s="697"/>
      <c r="K356" s="697"/>
      <c r="L356" s="697"/>
      <c r="M356" s="697"/>
      <c r="N356" s="698"/>
      <c r="O356" s="697"/>
      <c r="P356" s="697"/>
      <c r="Q356" s="697"/>
      <c r="R356" s="697"/>
      <c r="S356" s="697"/>
      <c r="T356" s="697"/>
      <c r="U356" s="697"/>
      <c r="V356" s="697"/>
      <c r="W356" s="698"/>
      <c r="X356" s="698"/>
      <c r="Y356" s="697"/>
      <c r="Z356" s="697"/>
      <c r="AA356" s="697"/>
      <c r="AB356" s="697"/>
      <c r="AC356" s="697"/>
    </row>
    <row r="357" spans="1:29" x14ac:dyDescent="0.2">
      <c r="A357" s="694" t="str">
        <f>+Info!$B$2</f>
        <v>724</v>
      </c>
      <c r="B357" s="694" t="s">
        <v>5392</v>
      </c>
      <c r="C357" s="694" t="s">
        <v>5393</v>
      </c>
      <c r="D357" s="695" t="s">
        <v>5394</v>
      </c>
      <c r="E357" s="696"/>
      <c r="F357" s="697"/>
      <c r="G357" s="697"/>
      <c r="H357" s="698"/>
      <c r="I357" s="697"/>
      <c r="J357" s="697"/>
      <c r="K357" s="697"/>
      <c r="L357" s="697"/>
      <c r="M357" s="697"/>
      <c r="N357" s="698"/>
      <c r="O357" s="697"/>
      <c r="P357" s="697"/>
      <c r="Q357" s="697"/>
      <c r="R357" s="697"/>
      <c r="S357" s="697"/>
      <c r="T357" s="697"/>
      <c r="U357" s="697"/>
      <c r="V357" s="697"/>
      <c r="W357" s="698"/>
      <c r="X357" s="698"/>
      <c r="Y357" s="697"/>
      <c r="Z357" s="697"/>
      <c r="AA357" s="697"/>
      <c r="AB357" s="697"/>
      <c r="AC357" s="697"/>
    </row>
    <row r="358" spans="1:29" x14ac:dyDescent="0.2">
      <c r="A358" s="694" t="str">
        <f>+Info!$B$2</f>
        <v>724</v>
      </c>
      <c r="B358" s="694" t="s">
        <v>5395</v>
      </c>
      <c r="C358" s="694" t="s">
        <v>5396</v>
      </c>
      <c r="D358" s="695" t="s">
        <v>5397</v>
      </c>
      <c r="E358" s="696"/>
      <c r="F358" s="697"/>
      <c r="G358" s="697"/>
      <c r="H358" s="698"/>
      <c r="I358" s="697"/>
      <c r="J358" s="697"/>
      <c r="K358" s="697"/>
      <c r="L358" s="697"/>
      <c r="M358" s="697"/>
      <c r="N358" s="698"/>
      <c r="O358" s="697"/>
      <c r="P358" s="697"/>
      <c r="Q358" s="697"/>
      <c r="R358" s="697"/>
      <c r="S358" s="697"/>
      <c r="T358" s="697"/>
      <c r="U358" s="697"/>
      <c r="V358" s="697"/>
      <c r="W358" s="698"/>
      <c r="X358" s="698"/>
      <c r="Y358" s="697"/>
      <c r="Z358" s="697"/>
      <c r="AA358" s="697"/>
      <c r="AB358" s="697"/>
      <c r="AC358" s="697"/>
    </row>
    <row r="359" spans="1:29" x14ac:dyDescent="0.2">
      <c r="A359" s="694" t="str">
        <f>+Info!$B$2</f>
        <v>724</v>
      </c>
      <c r="B359" s="694" t="s">
        <v>5398</v>
      </c>
      <c r="C359" s="694" t="s">
        <v>5399</v>
      </c>
      <c r="D359" s="695" t="s">
        <v>5400</v>
      </c>
      <c r="E359" s="696"/>
      <c r="F359" s="697"/>
      <c r="G359" s="697"/>
      <c r="H359" s="698"/>
      <c r="I359" s="697"/>
      <c r="J359" s="697"/>
      <c r="K359" s="697"/>
      <c r="L359" s="697"/>
      <c r="M359" s="697"/>
      <c r="N359" s="698"/>
      <c r="O359" s="697"/>
      <c r="P359" s="697"/>
      <c r="Q359" s="697"/>
      <c r="R359" s="697"/>
      <c r="S359" s="697"/>
      <c r="T359" s="697"/>
      <c r="U359" s="697"/>
      <c r="V359" s="697"/>
      <c r="W359" s="698"/>
      <c r="X359" s="698"/>
      <c r="Y359" s="697"/>
      <c r="Z359" s="697"/>
      <c r="AA359" s="697"/>
      <c r="AB359" s="697"/>
      <c r="AC359" s="697"/>
    </row>
    <row r="360" spans="1:29" x14ac:dyDescent="0.2">
      <c r="A360" s="694" t="str">
        <f>+Info!$B$2</f>
        <v>724</v>
      </c>
      <c r="B360" s="694" t="s">
        <v>5401</v>
      </c>
      <c r="C360" s="694" t="s">
        <v>5402</v>
      </c>
      <c r="D360" s="695" t="s">
        <v>5403</v>
      </c>
      <c r="E360" s="696"/>
      <c r="F360" s="697"/>
      <c r="G360" s="697"/>
      <c r="H360" s="698"/>
      <c r="I360" s="697"/>
      <c r="J360" s="697"/>
      <c r="K360" s="697"/>
      <c r="L360" s="697"/>
      <c r="M360" s="697"/>
      <c r="N360" s="698"/>
      <c r="O360" s="697"/>
      <c r="P360" s="697"/>
      <c r="Q360" s="697"/>
      <c r="R360" s="697"/>
      <c r="S360" s="697"/>
      <c r="T360" s="697"/>
      <c r="U360" s="697"/>
      <c r="V360" s="697"/>
      <c r="W360" s="698"/>
      <c r="X360" s="698"/>
      <c r="Y360" s="697"/>
      <c r="Z360" s="697"/>
      <c r="AA360" s="697"/>
      <c r="AB360" s="697"/>
      <c r="AC360" s="697"/>
    </row>
    <row r="361" spans="1:29" x14ac:dyDescent="0.2">
      <c r="A361" s="694" t="str">
        <f>+Info!$B$2</f>
        <v>724</v>
      </c>
      <c r="B361" s="694" t="s">
        <v>5404</v>
      </c>
      <c r="C361" s="694" t="s">
        <v>5405</v>
      </c>
      <c r="D361" s="695" t="s">
        <v>5406</v>
      </c>
      <c r="E361" s="696"/>
      <c r="F361" s="697"/>
      <c r="G361" s="697"/>
      <c r="H361" s="698"/>
      <c r="I361" s="697"/>
      <c r="J361" s="697"/>
      <c r="K361" s="697"/>
      <c r="L361" s="697"/>
      <c r="M361" s="697"/>
      <c r="N361" s="698"/>
      <c r="O361" s="697"/>
      <c r="P361" s="697"/>
      <c r="Q361" s="697"/>
      <c r="R361" s="697"/>
      <c r="S361" s="697"/>
      <c r="T361" s="697"/>
      <c r="U361" s="697"/>
      <c r="V361" s="697"/>
      <c r="W361" s="698"/>
      <c r="X361" s="698"/>
      <c r="Y361" s="697"/>
      <c r="Z361" s="697"/>
      <c r="AA361" s="697"/>
      <c r="AB361" s="697"/>
      <c r="AC361" s="697"/>
    </row>
    <row r="362" spans="1:29" x14ac:dyDescent="0.2">
      <c r="A362" s="694" t="str">
        <f>+Info!$B$2</f>
        <v>724</v>
      </c>
      <c r="B362" s="694" t="s">
        <v>5407</v>
      </c>
      <c r="C362" s="694" t="s">
        <v>5408</v>
      </c>
      <c r="D362" s="695" t="s">
        <v>5409</v>
      </c>
      <c r="E362" s="696"/>
      <c r="F362" s="697"/>
      <c r="G362" s="697"/>
      <c r="H362" s="698"/>
      <c r="I362" s="697"/>
      <c r="J362" s="697"/>
      <c r="K362" s="697"/>
      <c r="L362" s="697"/>
      <c r="M362" s="697"/>
      <c r="N362" s="698"/>
      <c r="O362" s="697"/>
      <c r="P362" s="697"/>
      <c r="Q362" s="697"/>
      <c r="R362" s="697"/>
      <c r="S362" s="697"/>
      <c r="T362" s="697"/>
      <c r="U362" s="697"/>
      <c r="V362" s="697"/>
      <c r="W362" s="698"/>
      <c r="X362" s="698"/>
      <c r="Y362" s="697"/>
      <c r="Z362" s="697"/>
      <c r="AA362" s="697"/>
      <c r="AB362" s="697"/>
      <c r="AC362" s="697"/>
    </row>
    <row r="363" spans="1:29" x14ac:dyDescent="0.2">
      <c r="A363" s="694" t="str">
        <f>+Info!$B$2</f>
        <v>724</v>
      </c>
      <c r="B363" s="694" t="s">
        <v>5410</v>
      </c>
      <c r="C363" s="694" t="s">
        <v>5411</v>
      </c>
      <c r="D363" s="695" t="s">
        <v>5412</v>
      </c>
      <c r="E363" s="696"/>
      <c r="F363" s="697"/>
      <c r="G363" s="697"/>
      <c r="H363" s="698"/>
      <c r="I363" s="697"/>
      <c r="J363" s="697"/>
      <c r="K363" s="697"/>
      <c r="L363" s="697"/>
      <c r="M363" s="697"/>
      <c r="N363" s="698"/>
      <c r="O363" s="697"/>
      <c r="P363" s="697"/>
      <c r="Q363" s="697"/>
      <c r="R363" s="697"/>
      <c r="S363" s="697"/>
      <c r="T363" s="697"/>
      <c r="U363" s="697"/>
      <c r="V363" s="697"/>
      <c r="W363" s="698"/>
      <c r="X363" s="698"/>
      <c r="Y363" s="697"/>
      <c r="Z363" s="697"/>
      <c r="AA363" s="697"/>
      <c r="AB363" s="697"/>
      <c r="AC363" s="697"/>
    </row>
    <row r="364" spans="1:29" x14ac:dyDescent="0.2">
      <c r="A364" s="694" t="str">
        <f>+Info!$B$2</f>
        <v>724</v>
      </c>
      <c r="B364" s="694" t="s">
        <v>5413</v>
      </c>
      <c r="C364" s="694" t="s">
        <v>5414</v>
      </c>
      <c r="D364" s="695" t="s">
        <v>5415</v>
      </c>
      <c r="E364" s="696"/>
      <c r="F364" s="697"/>
      <c r="G364" s="697"/>
      <c r="H364" s="698"/>
      <c r="I364" s="697"/>
      <c r="J364" s="697"/>
      <c r="K364" s="697"/>
      <c r="L364" s="697"/>
      <c r="M364" s="697"/>
      <c r="N364" s="698"/>
      <c r="O364" s="697"/>
      <c r="P364" s="697"/>
      <c r="Q364" s="697"/>
      <c r="R364" s="697"/>
      <c r="S364" s="697"/>
      <c r="T364" s="697"/>
      <c r="U364" s="697"/>
      <c r="V364" s="697"/>
      <c r="W364" s="698"/>
      <c r="X364" s="698"/>
      <c r="Y364" s="697"/>
      <c r="Z364" s="697"/>
      <c r="AA364" s="697"/>
      <c r="AB364" s="697"/>
      <c r="AC364" s="697"/>
    </row>
    <row r="365" spans="1:29" x14ac:dyDescent="0.2">
      <c r="A365" s="694" t="str">
        <f>+Info!$B$2</f>
        <v>724</v>
      </c>
      <c r="B365" s="694" t="s">
        <v>5416</v>
      </c>
      <c r="C365" s="694" t="s">
        <v>5417</v>
      </c>
      <c r="D365" s="695" t="s">
        <v>5418</v>
      </c>
      <c r="E365" s="696"/>
      <c r="F365" s="697"/>
      <c r="G365" s="697"/>
      <c r="H365" s="698"/>
      <c r="I365" s="697"/>
      <c r="J365" s="697"/>
      <c r="K365" s="697"/>
      <c r="L365" s="697"/>
      <c r="M365" s="697"/>
      <c r="N365" s="698"/>
      <c r="O365" s="697"/>
      <c r="P365" s="697"/>
      <c r="Q365" s="697"/>
      <c r="R365" s="697"/>
      <c r="S365" s="697"/>
      <c r="T365" s="697"/>
      <c r="U365" s="697"/>
      <c r="V365" s="697"/>
      <c r="W365" s="698"/>
      <c r="X365" s="698"/>
      <c r="Y365" s="697"/>
      <c r="Z365" s="697"/>
      <c r="AA365" s="697"/>
      <c r="AB365" s="697"/>
      <c r="AC365" s="697"/>
    </row>
    <row r="366" spans="1:29" x14ac:dyDescent="0.2">
      <c r="A366" s="694" t="str">
        <f>+Info!$B$2</f>
        <v>724</v>
      </c>
      <c r="B366" s="694" t="s">
        <v>5419</v>
      </c>
      <c r="C366" s="694" t="s">
        <v>5420</v>
      </c>
      <c r="D366" s="695" t="s">
        <v>5421</v>
      </c>
      <c r="E366" s="696"/>
      <c r="F366" s="697"/>
      <c r="G366" s="697"/>
      <c r="H366" s="698"/>
      <c r="I366" s="697"/>
      <c r="J366" s="697"/>
      <c r="K366" s="697"/>
      <c r="L366" s="697"/>
      <c r="M366" s="697"/>
      <c r="N366" s="698"/>
      <c r="O366" s="697"/>
      <c r="P366" s="697"/>
      <c r="Q366" s="697"/>
      <c r="R366" s="697"/>
      <c r="S366" s="697"/>
      <c r="T366" s="697"/>
      <c r="U366" s="697"/>
      <c r="V366" s="697"/>
      <c r="W366" s="698"/>
      <c r="X366" s="698"/>
      <c r="Y366" s="697"/>
      <c r="Z366" s="697"/>
      <c r="AA366" s="697"/>
      <c r="AB366" s="697"/>
      <c r="AC366" s="697"/>
    </row>
    <row r="367" spans="1:29" ht="15" x14ac:dyDescent="0.25">
      <c r="A367" s="691" t="str">
        <f>+Info!$B$2</f>
        <v>724</v>
      </c>
      <c r="B367" s="691" t="s">
        <v>5422</v>
      </c>
      <c r="C367" s="691" t="s">
        <v>5423</v>
      </c>
      <c r="D367" s="692" t="s">
        <v>5424</v>
      </c>
      <c r="E367" s="693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</row>
    <row r="368" spans="1:29" x14ac:dyDescent="0.2">
      <c r="A368" s="694" t="str">
        <f>+Info!$B$2</f>
        <v>724</v>
      </c>
      <c r="B368" s="694" t="s">
        <v>5425</v>
      </c>
      <c r="C368" s="694" t="s">
        <v>5426</v>
      </c>
      <c r="D368" s="695" t="s">
        <v>5427</v>
      </c>
      <c r="E368" s="696"/>
      <c r="F368" s="697"/>
      <c r="G368" s="697"/>
      <c r="H368" s="698"/>
      <c r="I368" s="697"/>
      <c r="J368" s="697"/>
      <c r="K368" s="697"/>
      <c r="L368" s="697"/>
      <c r="M368" s="697"/>
      <c r="N368" s="698"/>
      <c r="O368" s="697"/>
      <c r="P368" s="697"/>
      <c r="Q368" s="697"/>
      <c r="R368" s="697"/>
      <c r="S368" s="697"/>
      <c r="T368" s="697"/>
      <c r="U368" s="697"/>
      <c r="V368" s="697"/>
      <c r="W368" s="698"/>
      <c r="X368" s="698"/>
      <c r="Y368" s="697"/>
      <c r="Z368" s="697"/>
      <c r="AA368" s="697"/>
      <c r="AB368" s="697"/>
      <c r="AC368" s="697"/>
    </row>
    <row r="369" spans="1:29" x14ac:dyDescent="0.2">
      <c r="A369" s="694" t="str">
        <f>+Info!$B$2</f>
        <v>724</v>
      </c>
      <c r="B369" s="694" t="s">
        <v>5428</v>
      </c>
      <c r="C369" s="694" t="s">
        <v>5429</v>
      </c>
      <c r="D369" s="695" t="s">
        <v>5430</v>
      </c>
      <c r="E369" s="696"/>
      <c r="F369" s="697"/>
      <c r="G369" s="697"/>
      <c r="H369" s="698"/>
      <c r="I369" s="697"/>
      <c r="J369" s="697"/>
      <c r="K369" s="697"/>
      <c r="L369" s="697"/>
      <c r="M369" s="697"/>
      <c r="N369" s="698"/>
      <c r="O369" s="697"/>
      <c r="P369" s="697"/>
      <c r="Q369" s="697"/>
      <c r="R369" s="697"/>
      <c r="S369" s="697"/>
      <c r="T369" s="697"/>
      <c r="U369" s="697"/>
      <c r="V369" s="697"/>
      <c r="W369" s="698"/>
      <c r="X369" s="698"/>
      <c r="Y369" s="697"/>
      <c r="Z369" s="697"/>
      <c r="AA369" s="697"/>
      <c r="AB369" s="697"/>
      <c r="AC369" s="697"/>
    </row>
    <row r="370" spans="1:29" x14ac:dyDescent="0.2">
      <c r="A370" s="694" t="str">
        <f>+Info!$B$2</f>
        <v>724</v>
      </c>
      <c r="B370" s="694" t="s">
        <v>5431</v>
      </c>
      <c r="C370" s="694" t="s">
        <v>5432</v>
      </c>
      <c r="D370" s="695" t="s">
        <v>5433</v>
      </c>
      <c r="E370" s="696"/>
      <c r="F370" s="697"/>
      <c r="G370" s="697"/>
      <c r="H370" s="698"/>
      <c r="I370" s="697"/>
      <c r="J370" s="697"/>
      <c r="K370" s="697"/>
      <c r="L370" s="697"/>
      <c r="M370" s="697"/>
      <c r="N370" s="698"/>
      <c r="O370" s="697"/>
      <c r="P370" s="697"/>
      <c r="Q370" s="697"/>
      <c r="R370" s="697"/>
      <c r="S370" s="697"/>
      <c r="T370" s="697"/>
      <c r="U370" s="697"/>
      <c r="V370" s="697"/>
      <c r="W370" s="698"/>
      <c r="X370" s="698"/>
      <c r="Y370" s="697"/>
      <c r="Z370" s="697"/>
      <c r="AA370" s="697"/>
      <c r="AB370" s="697"/>
      <c r="AC370" s="697"/>
    </row>
    <row r="371" spans="1:29" x14ac:dyDescent="0.2">
      <c r="A371" s="694" t="str">
        <f>+Info!$B$2</f>
        <v>724</v>
      </c>
      <c r="B371" s="694" t="s">
        <v>5434</v>
      </c>
      <c r="C371" s="694" t="s">
        <v>5435</v>
      </c>
      <c r="D371" s="695" t="s">
        <v>5436</v>
      </c>
      <c r="E371" s="696"/>
      <c r="F371" s="697"/>
      <c r="G371" s="697"/>
      <c r="H371" s="698"/>
      <c r="I371" s="697"/>
      <c r="J371" s="697"/>
      <c r="K371" s="697"/>
      <c r="L371" s="697"/>
      <c r="M371" s="697"/>
      <c r="N371" s="698"/>
      <c r="O371" s="697"/>
      <c r="P371" s="697"/>
      <c r="Q371" s="697"/>
      <c r="R371" s="697"/>
      <c r="S371" s="697"/>
      <c r="T371" s="697"/>
      <c r="U371" s="697"/>
      <c r="V371" s="697"/>
      <c r="W371" s="698"/>
      <c r="X371" s="698"/>
      <c r="Y371" s="697"/>
      <c r="Z371" s="697"/>
      <c r="AA371" s="697"/>
      <c r="AB371" s="697"/>
      <c r="AC371" s="697"/>
    </row>
    <row r="372" spans="1:29" x14ac:dyDescent="0.2">
      <c r="A372" s="694" t="str">
        <f>+Info!$B$2</f>
        <v>724</v>
      </c>
      <c r="B372" s="694" t="s">
        <v>5437</v>
      </c>
      <c r="C372" s="694" t="s">
        <v>5438</v>
      </c>
      <c r="D372" s="695" t="s">
        <v>5439</v>
      </c>
      <c r="E372" s="696"/>
      <c r="F372" s="697"/>
      <c r="G372" s="697"/>
      <c r="H372" s="698"/>
      <c r="I372" s="697"/>
      <c r="J372" s="697"/>
      <c r="K372" s="698"/>
      <c r="L372" s="698"/>
      <c r="M372" s="698"/>
      <c r="N372" s="698"/>
      <c r="O372" s="697"/>
      <c r="P372" s="697"/>
      <c r="Q372" s="697"/>
      <c r="R372" s="697"/>
      <c r="S372" s="697"/>
      <c r="T372" s="697"/>
      <c r="U372" s="697"/>
      <c r="V372" s="697"/>
      <c r="W372" s="698"/>
      <c r="X372" s="698"/>
      <c r="Y372" s="697"/>
      <c r="Z372" s="697"/>
      <c r="AA372" s="697"/>
      <c r="AB372" s="697"/>
      <c r="AC372" s="697"/>
    </row>
    <row r="373" spans="1:29" x14ac:dyDescent="0.2">
      <c r="A373" s="694" t="str">
        <f>+Info!$B$2</f>
        <v>724</v>
      </c>
      <c r="B373" s="694" t="s">
        <v>5440</v>
      </c>
      <c r="C373" s="694" t="s">
        <v>5441</v>
      </c>
      <c r="D373" s="695" t="s">
        <v>5442</v>
      </c>
      <c r="E373" s="696"/>
      <c r="F373" s="697"/>
      <c r="G373" s="697"/>
      <c r="H373" s="698"/>
      <c r="I373" s="697"/>
      <c r="J373" s="697"/>
      <c r="K373" s="697"/>
      <c r="L373" s="697"/>
      <c r="M373" s="697"/>
      <c r="N373" s="698"/>
      <c r="O373" s="697"/>
      <c r="P373" s="697"/>
      <c r="Q373" s="697"/>
      <c r="R373" s="697"/>
      <c r="S373" s="697"/>
      <c r="T373" s="697"/>
      <c r="U373" s="697"/>
      <c r="V373" s="697"/>
      <c r="W373" s="698"/>
      <c r="X373" s="698"/>
      <c r="Y373" s="697"/>
      <c r="Z373" s="697"/>
      <c r="AA373" s="697"/>
      <c r="AB373" s="697"/>
      <c r="AC373" s="697"/>
    </row>
    <row r="374" spans="1:29" x14ac:dyDescent="0.2">
      <c r="A374" s="694" t="str">
        <f>+Info!$B$2</f>
        <v>724</v>
      </c>
      <c r="B374" s="694" t="s">
        <v>5443</v>
      </c>
      <c r="C374" s="694" t="s">
        <v>5444</v>
      </c>
      <c r="D374" s="695" t="s">
        <v>5445</v>
      </c>
      <c r="E374" s="696"/>
      <c r="F374" s="697"/>
      <c r="G374" s="697"/>
      <c r="H374" s="698"/>
      <c r="I374" s="697"/>
      <c r="J374" s="697"/>
      <c r="K374" s="697"/>
      <c r="L374" s="697"/>
      <c r="M374" s="697"/>
      <c r="N374" s="698"/>
      <c r="O374" s="697"/>
      <c r="P374" s="697"/>
      <c r="Q374" s="697"/>
      <c r="R374" s="697"/>
      <c r="S374" s="697"/>
      <c r="T374" s="697"/>
      <c r="U374" s="697"/>
      <c r="V374" s="697"/>
      <c r="W374" s="698"/>
      <c r="X374" s="698"/>
      <c r="Y374" s="697"/>
      <c r="Z374" s="697"/>
      <c r="AA374" s="697"/>
      <c r="AB374" s="697"/>
      <c r="AC374" s="697"/>
    </row>
    <row r="375" spans="1:29" x14ac:dyDescent="0.2">
      <c r="A375" s="694" t="str">
        <f>+Info!$B$2</f>
        <v>724</v>
      </c>
      <c r="B375" s="694" t="s">
        <v>5446</v>
      </c>
      <c r="C375" s="694" t="s">
        <v>5447</v>
      </c>
      <c r="D375" s="695" t="s">
        <v>5448</v>
      </c>
      <c r="E375" s="696"/>
      <c r="F375" s="697"/>
      <c r="G375" s="697"/>
      <c r="H375" s="698"/>
      <c r="I375" s="697"/>
      <c r="J375" s="697"/>
      <c r="K375" s="697"/>
      <c r="L375" s="697"/>
      <c r="M375" s="697"/>
      <c r="N375" s="698"/>
      <c r="O375" s="697"/>
      <c r="P375" s="697"/>
      <c r="Q375" s="697"/>
      <c r="R375" s="697"/>
      <c r="S375" s="697"/>
      <c r="T375" s="697"/>
      <c r="U375" s="697"/>
      <c r="V375" s="697"/>
      <c r="W375" s="698"/>
      <c r="X375" s="698"/>
      <c r="Y375" s="697"/>
      <c r="Z375" s="697"/>
      <c r="AA375" s="697"/>
      <c r="AB375" s="697"/>
      <c r="AC375" s="697"/>
    </row>
    <row r="376" spans="1:29" x14ac:dyDescent="0.2">
      <c r="A376" s="694" t="str">
        <f>+Info!$B$2</f>
        <v>724</v>
      </c>
      <c r="B376" s="694" t="s">
        <v>5449</v>
      </c>
      <c r="C376" s="694" t="s">
        <v>5450</v>
      </c>
      <c r="D376" s="695" t="s">
        <v>5451</v>
      </c>
      <c r="E376" s="696"/>
      <c r="F376" s="697"/>
      <c r="G376" s="697"/>
      <c r="H376" s="698"/>
      <c r="I376" s="698"/>
      <c r="J376" s="697"/>
      <c r="K376" s="697"/>
      <c r="L376" s="697"/>
      <c r="M376" s="697"/>
      <c r="N376" s="698"/>
      <c r="O376" s="697"/>
      <c r="P376" s="697"/>
      <c r="Q376" s="697"/>
      <c r="R376" s="697"/>
      <c r="S376" s="697"/>
      <c r="T376" s="697"/>
      <c r="U376" s="697"/>
      <c r="V376" s="697"/>
      <c r="W376" s="698"/>
      <c r="X376" s="698"/>
      <c r="Y376" s="697"/>
      <c r="Z376" s="697"/>
      <c r="AA376" s="697"/>
      <c r="AB376" s="697"/>
      <c r="AC376" s="697"/>
    </row>
    <row r="377" spans="1:29" x14ac:dyDescent="0.2">
      <c r="A377" s="694" t="str">
        <f>+Info!$B$2</f>
        <v>724</v>
      </c>
      <c r="B377" s="694" t="s">
        <v>5452</v>
      </c>
      <c r="C377" s="694" t="s">
        <v>5453</v>
      </c>
      <c r="D377" s="695" t="s">
        <v>5454</v>
      </c>
      <c r="E377" s="696"/>
      <c r="F377" s="697"/>
      <c r="G377" s="697"/>
      <c r="H377" s="698"/>
      <c r="I377" s="697"/>
      <c r="J377" s="697"/>
      <c r="K377" s="697"/>
      <c r="L377" s="697"/>
      <c r="M377" s="697"/>
      <c r="N377" s="698"/>
      <c r="O377" s="697"/>
      <c r="P377" s="697"/>
      <c r="Q377" s="697"/>
      <c r="R377" s="697"/>
      <c r="S377" s="697"/>
      <c r="T377" s="697"/>
      <c r="U377" s="697"/>
      <c r="V377" s="697"/>
      <c r="W377" s="698"/>
      <c r="X377" s="698"/>
      <c r="Y377" s="697"/>
      <c r="Z377" s="697"/>
      <c r="AA377" s="697"/>
      <c r="AB377" s="697"/>
      <c r="AC377" s="697"/>
    </row>
    <row r="378" spans="1:29" x14ac:dyDescent="0.2">
      <c r="A378" s="694" t="str">
        <f>+Info!$B$2</f>
        <v>724</v>
      </c>
      <c r="B378" s="694" t="s">
        <v>5455</v>
      </c>
      <c r="C378" s="694" t="s">
        <v>5456</v>
      </c>
      <c r="D378" s="695" t="s">
        <v>5457</v>
      </c>
      <c r="E378" s="696"/>
      <c r="F378" s="697"/>
      <c r="G378" s="697"/>
      <c r="H378" s="698"/>
      <c r="I378" s="697"/>
      <c r="J378" s="697"/>
      <c r="K378" s="697"/>
      <c r="L378" s="697"/>
      <c r="M378" s="697"/>
      <c r="N378" s="698"/>
      <c r="O378" s="697"/>
      <c r="P378" s="697"/>
      <c r="Q378" s="697"/>
      <c r="R378" s="697"/>
      <c r="S378" s="697"/>
      <c r="T378" s="697"/>
      <c r="U378" s="697"/>
      <c r="V378" s="697"/>
      <c r="W378" s="698"/>
      <c r="X378" s="698"/>
      <c r="Y378" s="697"/>
      <c r="Z378" s="697"/>
      <c r="AA378" s="697"/>
      <c r="AB378" s="697"/>
      <c r="AC378" s="697"/>
    </row>
    <row r="379" spans="1:29" x14ac:dyDescent="0.2">
      <c r="A379" s="694" t="str">
        <f>+Info!$B$2</f>
        <v>724</v>
      </c>
      <c r="B379" s="694" t="s">
        <v>5458</v>
      </c>
      <c r="C379" s="694" t="s">
        <v>5459</v>
      </c>
      <c r="D379" s="695" t="s">
        <v>5460</v>
      </c>
      <c r="E379" s="696"/>
      <c r="F379" s="697"/>
      <c r="G379" s="697"/>
      <c r="H379" s="698"/>
      <c r="I379" s="697"/>
      <c r="J379" s="697"/>
      <c r="K379" s="697"/>
      <c r="L379" s="697"/>
      <c r="M379" s="697"/>
      <c r="N379" s="698"/>
      <c r="O379" s="697"/>
      <c r="P379" s="697"/>
      <c r="Q379" s="697"/>
      <c r="R379" s="697"/>
      <c r="S379" s="697"/>
      <c r="T379" s="697"/>
      <c r="U379" s="697"/>
      <c r="V379" s="697"/>
      <c r="W379" s="698"/>
      <c r="X379" s="698"/>
      <c r="Y379" s="697"/>
      <c r="Z379" s="697"/>
      <c r="AA379" s="697"/>
      <c r="AB379" s="697"/>
      <c r="AC379" s="697"/>
    </row>
    <row r="380" spans="1:29" x14ac:dyDescent="0.2">
      <c r="A380" s="694" t="str">
        <f>+Info!$B$2</f>
        <v>724</v>
      </c>
      <c r="B380" s="694" t="s">
        <v>5461</v>
      </c>
      <c r="C380" s="694" t="s">
        <v>5462</v>
      </c>
      <c r="D380" s="695" t="s">
        <v>5463</v>
      </c>
      <c r="E380" s="696"/>
      <c r="F380" s="697"/>
      <c r="G380" s="697"/>
      <c r="H380" s="698"/>
      <c r="I380" s="698"/>
      <c r="J380" s="697"/>
      <c r="K380" s="697"/>
      <c r="L380" s="697"/>
      <c r="M380" s="697"/>
      <c r="N380" s="698"/>
      <c r="O380" s="697"/>
      <c r="P380" s="697"/>
      <c r="Q380" s="697"/>
      <c r="R380" s="697"/>
      <c r="S380" s="697"/>
      <c r="T380" s="697"/>
      <c r="U380" s="697"/>
      <c r="V380" s="697"/>
      <c r="W380" s="698"/>
      <c r="X380" s="698"/>
      <c r="Y380" s="697"/>
      <c r="Z380" s="697"/>
      <c r="AA380" s="697"/>
      <c r="AB380" s="697"/>
      <c r="AC380" s="697"/>
    </row>
    <row r="381" spans="1:29" ht="25.5" x14ac:dyDescent="0.2">
      <c r="A381" s="694" t="str">
        <f>+Info!$B$2</f>
        <v>724</v>
      </c>
      <c r="B381" s="694" t="s">
        <v>5464</v>
      </c>
      <c r="C381" s="694" t="s">
        <v>5465</v>
      </c>
      <c r="D381" s="695" t="s">
        <v>5466</v>
      </c>
      <c r="E381" s="696"/>
      <c r="F381" s="697"/>
      <c r="G381" s="697"/>
      <c r="H381" s="698"/>
      <c r="I381" s="698"/>
      <c r="J381" s="697"/>
      <c r="K381" s="697"/>
      <c r="L381" s="697"/>
      <c r="M381" s="697"/>
      <c r="N381" s="698"/>
      <c r="O381" s="697"/>
      <c r="P381" s="697"/>
      <c r="Q381" s="697"/>
      <c r="R381" s="697"/>
      <c r="S381" s="697"/>
      <c r="T381" s="697"/>
      <c r="U381" s="697"/>
      <c r="V381" s="697"/>
      <c r="W381" s="698"/>
      <c r="X381" s="698"/>
      <c r="Y381" s="697"/>
      <c r="Z381" s="697"/>
      <c r="AA381" s="697"/>
      <c r="AB381" s="697"/>
      <c r="AC381" s="697"/>
    </row>
    <row r="382" spans="1:29" ht="25.5" x14ac:dyDescent="0.2">
      <c r="A382" s="694" t="str">
        <f>+Info!$B$2</f>
        <v>724</v>
      </c>
      <c r="B382" s="694" t="s">
        <v>5467</v>
      </c>
      <c r="C382" s="694" t="s">
        <v>5468</v>
      </c>
      <c r="D382" s="695" t="s">
        <v>5469</v>
      </c>
      <c r="E382" s="696"/>
      <c r="F382" s="697"/>
      <c r="G382" s="697"/>
      <c r="H382" s="698"/>
      <c r="I382" s="698"/>
      <c r="J382" s="697"/>
      <c r="K382" s="697"/>
      <c r="L382" s="697"/>
      <c r="M382" s="697"/>
      <c r="N382" s="698"/>
      <c r="O382" s="697"/>
      <c r="P382" s="697"/>
      <c r="Q382" s="697"/>
      <c r="R382" s="697"/>
      <c r="S382" s="697"/>
      <c r="T382" s="697"/>
      <c r="U382" s="697"/>
      <c r="V382" s="697"/>
      <c r="W382" s="698"/>
      <c r="X382" s="698"/>
      <c r="Y382" s="697"/>
      <c r="Z382" s="697"/>
      <c r="AA382" s="697"/>
      <c r="AB382" s="697"/>
      <c r="AC382" s="697"/>
    </row>
    <row r="383" spans="1:29" ht="25.5" x14ac:dyDescent="0.2">
      <c r="A383" s="694" t="str">
        <f>+Info!$B$2</f>
        <v>724</v>
      </c>
      <c r="B383" s="694" t="s">
        <v>5470</v>
      </c>
      <c r="C383" s="694" t="s">
        <v>5471</v>
      </c>
      <c r="D383" s="695" t="s">
        <v>5472</v>
      </c>
      <c r="E383" s="696"/>
      <c r="F383" s="697"/>
      <c r="G383" s="697"/>
      <c r="H383" s="698"/>
      <c r="I383" s="698"/>
      <c r="J383" s="697"/>
      <c r="K383" s="697"/>
      <c r="L383" s="697"/>
      <c r="M383" s="697"/>
      <c r="N383" s="698"/>
      <c r="O383" s="697"/>
      <c r="P383" s="697"/>
      <c r="Q383" s="697"/>
      <c r="R383" s="697"/>
      <c r="S383" s="697"/>
      <c r="T383" s="697"/>
      <c r="U383" s="697"/>
      <c r="V383" s="697"/>
      <c r="W383" s="698"/>
      <c r="X383" s="698"/>
      <c r="Y383" s="697"/>
      <c r="Z383" s="697"/>
      <c r="AA383" s="697"/>
      <c r="AB383" s="697"/>
      <c r="AC383" s="697"/>
    </row>
    <row r="384" spans="1:29" x14ac:dyDescent="0.2">
      <c r="A384" s="694" t="str">
        <f>+Info!$B$2</f>
        <v>724</v>
      </c>
      <c r="B384" s="694" t="s">
        <v>5473</v>
      </c>
      <c r="C384" s="694" t="s">
        <v>5474</v>
      </c>
      <c r="D384" s="695" t="s">
        <v>5475</v>
      </c>
      <c r="E384" s="696"/>
      <c r="F384" s="697"/>
      <c r="G384" s="697"/>
      <c r="H384" s="698"/>
      <c r="I384" s="698"/>
      <c r="J384" s="697"/>
      <c r="K384" s="697"/>
      <c r="L384" s="697"/>
      <c r="M384" s="697"/>
      <c r="N384" s="698"/>
      <c r="O384" s="697"/>
      <c r="P384" s="697"/>
      <c r="Q384" s="697"/>
      <c r="R384" s="697"/>
      <c r="S384" s="697"/>
      <c r="T384" s="697"/>
      <c r="U384" s="697"/>
      <c r="V384" s="697"/>
      <c r="W384" s="698"/>
      <c r="X384" s="698"/>
      <c r="Y384" s="697"/>
      <c r="Z384" s="697"/>
      <c r="AA384" s="697"/>
      <c r="AB384" s="697"/>
      <c r="AC384" s="697"/>
    </row>
    <row r="385" spans="1:29" ht="15" x14ac:dyDescent="0.25">
      <c r="A385" s="691" t="str">
        <f>+Info!$B$2</f>
        <v>724</v>
      </c>
      <c r="B385" s="691" t="s">
        <v>5476</v>
      </c>
      <c r="C385" s="691" t="s">
        <v>5477</v>
      </c>
      <c r="D385" s="692" t="s">
        <v>5478</v>
      </c>
      <c r="E385" s="693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</row>
    <row r="386" spans="1:29" x14ac:dyDescent="0.2">
      <c r="A386" s="694" t="str">
        <f>+Info!$B$2</f>
        <v>724</v>
      </c>
      <c r="B386" s="694" t="s">
        <v>5479</v>
      </c>
      <c r="C386" s="694" t="s">
        <v>5480</v>
      </c>
      <c r="D386" s="695" t="s">
        <v>5481</v>
      </c>
      <c r="E386" s="696"/>
      <c r="F386" s="697"/>
      <c r="G386" s="697"/>
      <c r="H386" s="698"/>
      <c r="I386" s="697"/>
      <c r="J386" s="697"/>
      <c r="K386" s="697"/>
      <c r="L386" s="697"/>
      <c r="M386" s="697"/>
      <c r="N386" s="698"/>
      <c r="O386" s="697"/>
      <c r="P386" s="697"/>
      <c r="Q386" s="697"/>
      <c r="R386" s="697"/>
      <c r="S386" s="697"/>
      <c r="T386" s="697"/>
      <c r="U386" s="697"/>
      <c r="V386" s="697"/>
      <c r="W386" s="698"/>
      <c r="X386" s="698"/>
      <c r="Y386" s="697"/>
      <c r="Z386" s="697"/>
      <c r="AA386" s="697"/>
      <c r="AB386" s="697"/>
      <c r="AC386" s="697"/>
    </row>
    <row r="387" spans="1:29" x14ac:dyDescent="0.2">
      <c r="A387" s="694" t="str">
        <f>+Info!$B$2</f>
        <v>724</v>
      </c>
      <c r="B387" s="694" t="s">
        <v>5482</v>
      </c>
      <c r="C387" s="694" t="s">
        <v>5483</v>
      </c>
      <c r="D387" s="695" t="s">
        <v>5484</v>
      </c>
      <c r="E387" s="696"/>
      <c r="F387" s="697"/>
      <c r="G387" s="697"/>
      <c r="H387" s="698"/>
      <c r="I387" s="697"/>
      <c r="J387" s="697"/>
      <c r="K387" s="697"/>
      <c r="L387" s="697"/>
      <c r="M387" s="697"/>
      <c r="N387" s="698"/>
      <c r="O387" s="697"/>
      <c r="P387" s="697"/>
      <c r="Q387" s="697"/>
      <c r="R387" s="697"/>
      <c r="S387" s="697"/>
      <c r="T387" s="697"/>
      <c r="U387" s="697"/>
      <c r="V387" s="697"/>
      <c r="W387" s="698"/>
      <c r="X387" s="698"/>
      <c r="Y387" s="697"/>
      <c r="Z387" s="697"/>
      <c r="AA387" s="697"/>
      <c r="AB387" s="697"/>
      <c r="AC387" s="697"/>
    </row>
    <row r="388" spans="1:29" x14ac:dyDescent="0.2">
      <c r="A388" s="694" t="str">
        <f>+Info!$B$2</f>
        <v>724</v>
      </c>
      <c r="B388" s="694" t="s">
        <v>5485</v>
      </c>
      <c r="C388" s="694" t="s">
        <v>5486</v>
      </c>
      <c r="D388" s="695" t="s">
        <v>5487</v>
      </c>
      <c r="E388" s="696"/>
      <c r="F388" s="697"/>
      <c r="G388" s="697"/>
      <c r="H388" s="698"/>
      <c r="I388" s="697"/>
      <c r="J388" s="697"/>
      <c r="K388" s="697"/>
      <c r="L388" s="697"/>
      <c r="M388" s="697"/>
      <c r="N388" s="698"/>
      <c r="O388" s="697"/>
      <c r="P388" s="697"/>
      <c r="Q388" s="697"/>
      <c r="R388" s="697"/>
      <c r="S388" s="697"/>
      <c r="T388" s="697"/>
      <c r="U388" s="697"/>
      <c r="V388" s="697"/>
      <c r="W388" s="698"/>
      <c r="X388" s="698"/>
      <c r="Y388" s="697"/>
      <c r="Z388" s="697"/>
      <c r="AA388" s="697"/>
      <c r="AB388" s="697"/>
      <c r="AC388" s="697"/>
    </row>
    <row r="389" spans="1:29" x14ac:dyDescent="0.2">
      <c r="A389" s="694" t="str">
        <f>+Info!$B$2</f>
        <v>724</v>
      </c>
      <c r="B389" s="694" t="s">
        <v>5488</v>
      </c>
      <c r="C389" s="694" t="s">
        <v>5489</v>
      </c>
      <c r="D389" s="695" t="s">
        <v>5490</v>
      </c>
      <c r="E389" s="696"/>
      <c r="F389" s="697"/>
      <c r="G389" s="697"/>
      <c r="H389" s="698"/>
      <c r="I389" s="697"/>
      <c r="J389" s="697"/>
      <c r="K389" s="697"/>
      <c r="L389" s="697"/>
      <c r="M389" s="697"/>
      <c r="N389" s="698"/>
      <c r="O389" s="697"/>
      <c r="P389" s="697"/>
      <c r="Q389" s="697"/>
      <c r="R389" s="697"/>
      <c r="S389" s="697"/>
      <c r="T389" s="697"/>
      <c r="U389" s="697"/>
      <c r="V389" s="697"/>
      <c r="W389" s="698"/>
      <c r="X389" s="698"/>
      <c r="Y389" s="697"/>
      <c r="Z389" s="697"/>
      <c r="AA389" s="697"/>
      <c r="AB389" s="697"/>
      <c r="AC389" s="697"/>
    </row>
    <row r="390" spans="1:29" ht="15" x14ac:dyDescent="0.25">
      <c r="A390" s="691" t="str">
        <f>+Info!$B$2</f>
        <v>724</v>
      </c>
      <c r="B390" s="691" t="s">
        <v>5491</v>
      </c>
      <c r="C390" s="691" t="s">
        <v>5492</v>
      </c>
      <c r="D390" s="692" t="s">
        <v>5493</v>
      </c>
      <c r="E390" s="693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</row>
    <row r="391" spans="1:29" x14ac:dyDescent="0.2">
      <c r="A391" s="694" t="str">
        <f>+Info!$B$2</f>
        <v>724</v>
      </c>
      <c r="B391" s="694" t="s">
        <v>5494</v>
      </c>
      <c r="C391" s="694" t="s">
        <v>5495</v>
      </c>
      <c r="D391" s="695" t="s">
        <v>5496</v>
      </c>
      <c r="E391" s="696"/>
      <c r="F391" s="697"/>
      <c r="G391" s="697"/>
      <c r="H391" s="698"/>
      <c r="I391" s="697"/>
      <c r="J391" s="697"/>
      <c r="K391" s="697"/>
      <c r="L391" s="697"/>
      <c r="M391" s="697"/>
      <c r="N391" s="698"/>
      <c r="O391" s="697"/>
      <c r="P391" s="697"/>
      <c r="Q391" s="697"/>
      <c r="R391" s="697"/>
      <c r="S391" s="697"/>
      <c r="T391" s="697"/>
      <c r="U391" s="697"/>
      <c r="V391" s="697"/>
      <c r="W391" s="698"/>
      <c r="X391" s="698"/>
      <c r="Y391" s="697"/>
      <c r="Z391" s="697"/>
      <c r="AA391" s="697"/>
      <c r="AB391" s="697"/>
      <c r="AC391" s="697"/>
    </row>
    <row r="392" spans="1:29" x14ac:dyDescent="0.2">
      <c r="A392" s="694" t="str">
        <f>+Info!$B$2</f>
        <v>724</v>
      </c>
      <c r="B392" s="694" t="s">
        <v>5497</v>
      </c>
      <c r="C392" s="694" t="s">
        <v>5498</v>
      </c>
      <c r="D392" s="695" t="s">
        <v>5499</v>
      </c>
      <c r="E392" s="696"/>
      <c r="F392" s="697"/>
      <c r="G392" s="697"/>
      <c r="H392" s="698"/>
      <c r="I392" s="697"/>
      <c r="J392" s="697"/>
      <c r="K392" s="697"/>
      <c r="L392" s="697"/>
      <c r="M392" s="697"/>
      <c r="N392" s="698"/>
      <c r="O392" s="697"/>
      <c r="P392" s="697"/>
      <c r="Q392" s="697"/>
      <c r="R392" s="697"/>
      <c r="S392" s="697"/>
      <c r="T392" s="697"/>
      <c r="U392" s="697"/>
      <c r="V392" s="697"/>
      <c r="W392" s="698"/>
      <c r="X392" s="698"/>
      <c r="Y392" s="697"/>
      <c r="Z392" s="697"/>
      <c r="AA392" s="697"/>
      <c r="AB392" s="697"/>
      <c r="AC392" s="697"/>
    </row>
    <row r="393" spans="1:29" x14ac:dyDescent="0.2">
      <c r="A393" s="694" t="str">
        <f>+Info!$B$2</f>
        <v>724</v>
      </c>
      <c r="B393" s="694" t="s">
        <v>5500</v>
      </c>
      <c r="C393" s="694" t="s">
        <v>5501</v>
      </c>
      <c r="D393" s="695" t="s">
        <v>5502</v>
      </c>
      <c r="E393" s="696"/>
      <c r="F393" s="697"/>
      <c r="G393" s="697"/>
      <c r="H393" s="698"/>
      <c r="I393" s="697"/>
      <c r="J393" s="697"/>
      <c r="K393" s="697"/>
      <c r="L393" s="697"/>
      <c r="M393" s="697"/>
      <c r="N393" s="698"/>
      <c r="O393" s="697"/>
      <c r="P393" s="697"/>
      <c r="Q393" s="697"/>
      <c r="R393" s="697"/>
      <c r="S393" s="697"/>
      <c r="T393" s="697"/>
      <c r="U393" s="697"/>
      <c r="V393" s="697"/>
      <c r="W393" s="698"/>
      <c r="X393" s="698"/>
      <c r="Y393" s="697"/>
      <c r="Z393" s="697"/>
      <c r="AA393" s="697"/>
      <c r="AB393" s="697"/>
      <c r="AC393" s="697"/>
    </row>
    <row r="394" spans="1:29" x14ac:dyDescent="0.2">
      <c r="A394" s="694" t="str">
        <f>+Info!$B$2</f>
        <v>724</v>
      </c>
      <c r="B394" s="694" t="s">
        <v>5503</v>
      </c>
      <c r="C394" s="694" t="s">
        <v>5504</v>
      </c>
      <c r="D394" s="695" t="s">
        <v>5505</v>
      </c>
      <c r="E394" s="696"/>
      <c r="F394" s="697"/>
      <c r="G394" s="697"/>
      <c r="H394" s="698"/>
      <c r="I394" s="697"/>
      <c r="J394" s="697"/>
      <c r="K394" s="697"/>
      <c r="L394" s="697"/>
      <c r="M394" s="697"/>
      <c r="N394" s="698"/>
      <c r="O394" s="697"/>
      <c r="P394" s="697"/>
      <c r="Q394" s="697"/>
      <c r="R394" s="697"/>
      <c r="S394" s="697"/>
      <c r="T394" s="697"/>
      <c r="U394" s="697"/>
      <c r="V394" s="697"/>
      <c r="W394" s="698"/>
      <c r="X394" s="698"/>
      <c r="Y394" s="697"/>
      <c r="Z394" s="697"/>
      <c r="AA394" s="697"/>
      <c r="AB394" s="697"/>
      <c r="AC394" s="697"/>
    </row>
    <row r="395" spans="1:29" x14ac:dyDescent="0.2">
      <c r="A395" s="694" t="str">
        <f>+Info!$B$2</f>
        <v>724</v>
      </c>
      <c r="B395" s="694" t="s">
        <v>5506</v>
      </c>
      <c r="C395" s="694" t="s">
        <v>5507</v>
      </c>
      <c r="D395" s="695" t="s">
        <v>5508</v>
      </c>
      <c r="E395" s="696"/>
      <c r="F395" s="697"/>
      <c r="G395" s="697"/>
      <c r="H395" s="698"/>
      <c r="I395" s="697"/>
      <c r="J395" s="697"/>
      <c r="K395" s="697"/>
      <c r="L395" s="697"/>
      <c r="M395" s="697"/>
      <c r="N395" s="698"/>
      <c r="O395" s="697"/>
      <c r="P395" s="697"/>
      <c r="Q395" s="697"/>
      <c r="R395" s="697"/>
      <c r="S395" s="697"/>
      <c r="T395" s="697"/>
      <c r="U395" s="697"/>
      <c r="V395" s="697"/>
      <c r="W395" s="698"/>
      <c r="X395" s="698"/>
      <c r="Y395" s="697"/>
      <c r="Z395" s="697"/>
      <c r="AA395" s="697"/>
      <c r="AB395" s="697"/>
      <c r="AC395" s="697"/>
    </row>
    <row r="396" spans="1:29" x14ac:dyDescent="0.2">
      <c r="A396" s="694" t="str">
        <f>+Info!$B$2</f>
        <v>724</v>
      </c>
      <c r="B396" s="694" t="s">
        <v>5509</v>
      </c>
      <c r="C396" s="694" t="s">
        <v>5510</v>
      </c>
      <c r="D396" s="695" t="s">
        <v>5511</v>
      </c>
      <c r="E396" s="696"/>
      <c r="F396" s="697"/>
      <c r="G396" s="697"/>
      <c r="H396" s="698"/>
      <c r="I396" s="697"/>
      <c r="J396" s="697"/>
      <c r="K396" s="697"/>
      <c r="L396" s="697"/>
      <c r="M396" s="697"/>
      <c r="N396" s="698"/>
      <c r="O396" s="697"/>
      <c r="P396" s="697"/>
      <c r="Q396" s="697"/>
      <c r="R396" s="697"/>
      <c r="S396" s="697"/>
      <c r="T396" s="697"/>
      <c r="U396" s="697"/>
      <c r="V396" s="697"/>
      <c r="W396" s="698"/>
      <c r="X396" s="698"/>
      <c r="Y396" s="697"/>
      <c r="Z396" s="697"/>
      <c r="AA396" s="697"/>
      <c r="AB396" s="697"/>
      <c r="AC396" s="697"/>
    </row>
    <row r="397" spans="1:29" x14ac:dyDescent="0.2">
      <c r="A397" s="694" t="str">
        <f>+Info!$B$2</f>
        <v>724</v>
      </c>
      <c r="B397" s="694" t="s">
        <v>5512</v>
      </c>
      <c r="C397" s="694" t="s">
        <v>4306</v>
      </c>
      <c r="D397" s="695" t="s">
        <v>5513</v>
      </c>
      <c r="E397" s="696"/>
      <c r="F397" s="697"/>
      <c r="G397" s="697"/>
      <c r="H397" s="698"/>
      <c r="I397" s="697"/>
      <c r="J397" s="697"/>
      <c r="K397" s="697"/>
      <c r="L397" s="697"/>
      <c r="M397" s="697"/>
      <c r="N397" s="698"/>
      <c r="O397" s="697"/>
      <c r="P397" s="697"/>
      <c r="Q397" s="697"/>
      <c r="R397" s="697"/>
      <c r="S397" s="697"/>
      <c r="T397" s="697"/>
      <c r="U397" s="697"/>
      <c r="V397" s="697"/>
      <c r="W397" s="698"/>
      <c r="X397" s="698"/>
      <c r="Y397" s="697"/>
      <c r="Z397" s="697"/>
      <c r="AA397" s="697"/>
      <c r="AB397" s="697"/>
      <c r="AC397" s="697"/>
    </row>
    <row r="398" spans="1:29" x14ac:dyDescent="0.2">
      <c r="A398" s="694" t="str">
        <f>+Info!$B$2</f>
        <v>724</v>
      </c>
      <c r="B398" s="694" t="s">
        <v>5514</v>
      </c>
      <c r="C398" s="694" t="s">
        <v>5515</v>
      </c>
      <c r="D398" s="695" t="s">
        <v>5516</v>
      </c>
      <c r="E398" s="696"/>
      <c r="F398" s="697"/>
      <c r="G398" s="697"/>
      <c r="H398" s="698"/>
      <c r="I398" s="697"/>
      <c r="J398" s="697"/>
      <c r="K398" s="697"/>
      <c r="L398" s="697"/>
      <c r="M398" s="697"/>
      <c r="N398" s="698"/>
      <c r="O398" s="697"/>
      <c r="P398" s="697"/>
      <c r="Q398" s="697"/>
      <c r="R398" s="697"/>
      <c r="S398" s="697"/>
      <c r="T398" s="697"/>
      <c r="U398" s="697"/>
      <c r="V398" s="697"/>
      <c r="W398" s="698"/>
      <c r="X398" s="698"/>
      <c r="Y398" s="697"/>
      <c r="Z398" s="697"/>
      <c r="AA398" s="697"/>
      <c r="AB398" s="697"/>
      <c r="AC398" s="697"/>
    </row>
    <row r="399" spans="1:29" ht="15" x14ac:dyDescent="0.25">
      <c r="A399" s="691" t="str">
        <f>+Info!$B$2</f>
        <v>724</v>
      </c>
      <c r="B399" s="691" t="s">
        <v>5517</v>
      </c>
      <c r="C399" s="691" t="s">
        <v>5518</v>
      </c>
      <c r="D399" s="692" t="s">
        <v>5519</v>
      </c>
      <c r="E399" s="693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</row>
    <row r="400" spans="1:29" x14ac:dyDescent="0.2">
      <c r="A400" s="694" t="str">
        <f>+Info!$B$2</f>
        <v>724</v>
      </c>
      <c r="B400" s="694" t="s">
        <v>5520</v>
      </c>
      <c r="C400" s="694" t="s">
        <v>5521</v>
      </c>
      <c r="D400" s="695" t="s">
        <v>5522</v>
      </c>
      <c r="E400" s="696"/>
      <c r="F400" s="697"/>
      <c r="G400" s="697"/>
      <c r="H400" s="698"/>
      <c r="I400" s="697"/>
      <c r="J400" s="697"/>
      <c r="K400" s="697"/>
      <c r="L400" s="697"/>
      <c r="M400" s="697"/>
      <c r="N400" s="698"/>
      <c r="O400" s="697"/>
      <c r="P400" s="697"/>
      <c r="Q400" s="697"/>
      <c r="R400" s="697"/>
      <c r="S400" s="697"/>
      <c r="T400" s="697"/>
      <c r="U400" s="697"/>
      <c r="V400" s="697"/>
      <c r="W400" s="698"/>
      <c r="X400" s="698"/>
      <c r="Y400" s="697"/>
      <c r="Z400" s="697"/>
      <c r="AA400" s="697"/>
      <c r="AB400" s="697"/>
      <c r="AC400" s="697"/>
    </row>
    <row r="401" spans="1:29" x14ac:dyDescent="0.2">
      <c r="A401" s="694" t="str">
        <f>+Info!$B$2</f>
        <v>724</v>
      </c>
      <c r="B401" s="694" t="s">
        <v>5523</v>
      </c>
      <c r="C401" s="694" t="s">
        <v>5524</v>
      </c>
      <c r="D401" s="695" t="s">
        <v>5525</v>
      </c>
      <c r="E401" s="696"/>
      <c r="F401" s="697"/>
      <c r="G401" s="697"/>
      <c r="H401" s="698"/>
      <c r="I401" s="697"/>
      <c r="J401" s="697"/>
      <c r="K401" s="697"/>
      <c r="L401" s="697"/>
      <c r="M401" s="697"/>
      <c r="N401" s="698"/>
      <c r="O401" s="697"/>
      <c r="P401" s="697"/>
      <c r="Q401" s="697"/>
      <c r="R401" s="697"/>
      <c r="S401" s="697"/>
      <c r="T401" s="697"/>
      <c r="U401" s="697"/>
      <c r="V401" s="697"/>
      <c r="W401" s="698"/>
      <c r="X401" s="698"/>
      <c r="Y401" s="697"/>
      <c r="Z401" s="697"/>
      <c r="AA401" s="697"/>
      <c r="AB401" s="697"/>
      <c r="AC401" s="697"/>
    </row>
    <row r="402" spans="1:29" x14ac:dyDescent="0.2">
      <c r="A402" s="694" t="str">
        <f>+Info!$B$2</f>
        <v>724</v>
      </c>
      <c r="B402" s="694" t="s">
        <v>5526</v>
      </c>
      <c r="C402" s="694" t="s">
        <v>5527</v>
      </c>
      <c r="D402" s="695" t="s">
        <v>5528</v>
      </c>
      <c r="E402" s="696"/>
      <c r="F402" s="697"/>
      <c r="G402" s="697"/>
      <c r="H402" s="698"/>
      <c r="I402" s="697"/>
      <c r="J402" s="697"/>
      <c r="K402" s="697"/>
      <c r="L402" s="697"/>
      <c r="M402" s="697"/>
      <c r="N402" s="698"/>
      <c r="O402" s="697"/>
      <c r="P402" s="697"/>
      <c r="Q402" s="697"/>
      <c r="R402" s="697"/>
      <c r="S402" s="697"/>
      <c r="T402" s="697"/>
      <c r="U402" s="697"/>
      <c r="V402" s="697"/>
      <c r="W402" s="698"/>
      <c r="X402" s="698"/>
      <c r="Y402" s="697"/>
      <c r="Z402" s="697"/>
      <c r="AA402" s="697"/>
      <c r="AB402" s="697"/>
      <c r="AC402" s="697"/>
    </row>
    <row r="403" spans="1:29" x14ac:dyDescent="0.2">
      <c r="A403" s="694" t="str">
        <f>+Info!$B$2</f>
        <v>724</v>
      </c>
      <c r="B403" s="694" t="s">
        <v>5529</v>
      </c>
      <c r="C403" s="694" t="s">
        <v>5530</v>
      </c>
      <c r="D403" s="695" t="s">
        <v>5531</v>
      </c>
      <c r="E403" s="696"/>
      <c r="F403" s="697"/>
      <c r="G403" s="697"/>
      <c r="H403" s="698"/>
      <c r="I403" s="697"/>
      <c r="J403" s="697"/>
      <c r="K403" s="697"/>
      <c r="L403" s="697"/>
      <c r="M403" s="697"/>
      <c r="N403" s="698"/>
      <c r="O403" s="697"/>
      <c r="P403" s="697"/>
      <c r="Q403" s="697"/>
      <c r="R403" s="697"/>
      <c r="S403" s="697"/>
      <c r="T403" s="697"/>
      <c r="U403" s="697"/>
      <c r="V403" s="697"/>
      <c r="W403" s="698"/>
      <c r="X403" s="698"/>
      <c r="Y403" s="697"/>
      <c r="Z403" s="697"/>
      <c r="AA403" s="697"/>
      <c r="AB403" s="697"/>
      <c r="AC403" s="697"/>
    </row>
    <row r="404" spans="1:29" x14ac:dyDescent="0.2">
      <c r="A404" s="694" t="str">
        <f>+Info!$B$2</f>
        <v>724</v>
      </c>
      <c r="B404" s="694" t="s">
        <v>5532</v>
      </c>
      <c r="C404" s="694" t="s">
        <v>5533</v>
      </c>
      <c r="D404" s="695" t="s">
        <v>5534</v>
      </c>
      <c r="E404" s="696"/>
      <c r="F404" s="697"/>
      <c r="G404" s="697"/>
      <c r="H404" s="698"/>
      <c r="I404" s="697"/>
      <c r="J404" s="697"/>
      <c r="K404" s="697"/>
      <c r="L404" s="697"/>
      <c r="M404" s="697"/>
      <c r="N404" s="698"/>
      <c r="O404" s="697"/>
      <c r="P404" s="697"/>
      <c r="Q404" s="697"/>
      <c r="R404" s="697"/>
      <c r="S404" s="697"/>
      <c r="T404" s="697"/>
      <c r="U404" s="697"/>
      <c r="V404" s="697"/>
      <c r="W404" s="698"/>
      <c r="X404" s="698"/>
      <c r="Y404" s="697"/>
      <c r="Z404" s="697"/>
      <c r="AA404" s="697"/>
      <c r="AB404" s="697"/>
      <c r="AC404" s="697"/>
    </row>
    <row r="405" spans="1:29" x14ac:dyDescent="0.2">
      <c r="A405" s="694" t="str">
        <f>+Info!$B$2</f>
        <v>724</v>
      </c>
      <c r="B405" s="694" t="s">
        <v>5535</v>
      </c>
      <c r="C405" s="694" t="s">
        <v>5536</v>
      </c>
      <c r="D405" s="695" t="s">
        <v>5537</v>
      </c>
      <c r="E405" s="696"/>
      <c r="F405" s="697"/>
      <c r="G405" s="697"/>
      <c r="H405" s="698"/>
      <c r="I405" s="697"/>
      <c r="J405" s="697"/>
      <c r="K405" s="697"/>
      <c r="L405" s="697"/>
      <c r="M405" s="697"/>
      <c r="N405" s="698"/>
      <c r="O405" s="697"/>
      <c r="P405" s="697"/>
      <c r="Q405" s="697"/>
      <c r="R405" s="697"/>
      <c r="S405" s="697"/>
      <c r="T405" s="697"/>
      <c r="U405" s="697"/>
      <c r="V405" s="697"/>
      <c r="W405" s="698"/>
      <c r="X405" s="698"/>
      <c r="Y405" s="697"/>
      <c r="Z405" s="697"/>
      <c r="AA405" s="697"/>
      <c r="AB405" s="697"/>
      <c r="AC405" s="697"/>
    </row>
    <row r="406" spans="1:29" x14ac:dyDescent="0.2">
      <c r="A406" s="694" t="str">
        <f>+Info!$B$2</f>
        <v>724</v>
      </c>
      <c r="B406" s="694" t="s">
        <v>5538</v>
      </c>
      <c r="C406" s="694" t="s">
        <v>5539</v>
      </c>
      <c r="D406" s="695" t="s">
        <v>5540</v>
      </c>
      <c r="E406" s="696"/>
      <c r="F406" s="697"/>
      <c r="G406" s="697"/>
      <c r="H406" s="698"/>
      <c r="I406" s="697"/>
      <c r="J406" s="697"/>
      <c r="K406" s="697"/>
      <c r="L406" s="697"/>
      <c r="M406" s="697"/>
      <c r="N406" s="698"/>
      <c r="O406" s="697"/>
      <c r="P406" s="697"/>
      <c r="Q406" s="697"/>
      <c r="R406" s="697"/>
      <c r="S406" s="697"/>
      <c r="T406" s="697"/>
      <c r="U406" s="697"/>
      <c r="V406" s="697"/>
      <c r="W406" s="698"/>
      <c r="X406" s="698"/>
      <c r="Y406" s="697"/>
      <c r="Z406" s="697"/>
      <c r="AA406" s="697"/>
      <c r="AB406" s="697"/>
      <c r="AC406" s="697"/>
    </row>
    <row r="407" spans="1:29" x14ac:dyDescent="0.2">
      <c r="A407" s="694" t="str">
        <f>+Info!$B$2</f>
        <v>724</v>
      </c>
      <c r="B407" s="694" t="s">
        <v>5541</v>
      </c>
      <c r="C407" s="694" t="s">
        <v>5542</v>
      </c>
      <c r="D407" s="695" t="s">
        <v>5543</v>
      </c>
      <c r="E407" s="696"/>
      <c r="F407" s="697"/>
      <c r="G407" s="697"/>
      <c r="H407" s="698"/>
      <c r="I407" s="697"/>
      <c r="J407" s="697"/>
      <c r="K407" s="697"/>
      <c r="L407" s="697"/>
      <c r="M407" s="697"/>
      <c r="N407" s="698"/>
      <c r="O407" s="697"/>
      <c r="P407" s="697"/>
      <c r="Q407" s="697"/>
      <c r="R407" s="697"/>
      <c r="S407" s="697"/>
      <c r="T407" s="697"/>
      <c r="U407" s="697"/>
      <c r="V407" s="697"/>
      <c r="W407" s="698"/>
      <c r="X407" s="698"/>
      <c r="Y407" s="697"/>
      <c r="Z407" s="697"/>
      <c r="AA407" s="697"/>
      <c r="AB407" s="697"/>
      <c r="AC407" s="697"/>
    </row>
    <row r="408" spans="1:29" x14ac:dyDescent="0.2">
      <c r="A408" s="694" t="str">
        <f>+Info!$B$2</f>
        <v>724</v>
      </c>
      <c r="B408" s="694" t="s">
        <v>5544</v>
      </c>
      <c r="C408" s="694" t="s">
        <v>5545</v>
      </c>
      <c r="D408" s="695" t="s">
        <v>5546</v>
      </c>
      <c r="E408" s="696"/>
      <c r="F408" s="697"/>
      <c r="G408" s="697"/>
      <c r="H408" s="698"/>
      <c r="I408" s="697"/>
      <c r="J408" s="697"/>
      <c r="K408" s="697"/>
      <c r="L408" s="697"/>
      <c r="M408" s="697"/>
      <c r="N408" s="698"/>
      <c r="O408" s="697"/>
      <c r="P408" s="697"/>
      <c r="Q408" s="697"/>
      <c r="R408" s="697"/>
      <c r="S408" s="697"/>
      <c r="T408" s="697"/>
      <c r="U408" s="697"/>
      <c r="V408" s="697"/>
      <c r="W408" s="698"/>
      <c r="X408" s="698"/>
      <c r="Y408" s="697"/>
      <c r="Z408" s="697"/>
      <c r="AA408" s="697"/>
      <c r="AB408" s="697"/>
      <c r="AC408" s="697"/>
    </row>
    <row r="409" spans="1:29" ht="15" x14ac:dyDescent="0.25">
      <c r="A409" s="691" t="str">
        <f>+Info!$B$2</f>
        <v>724</v>
      </c>
      <c r="B409" s="691" t="s">
        <v>5547</v>
      </c>
      <c r="C409" s="691" t="s">
        <v>5548</v>
      </c>
      <c r="D409" s="692" t="s">
        <v>5549</v>
      </c>
      <c r="E409" s="693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</row>
    <row r="410" spans="1:29" x14ac:dyDescent="0.2">
      <c r="A410" s="694" t="str">
        <f>+Info!$B$2</f>
        <v>724</v>
      </c>
      <c r="B410" s="694" t="s">
        <v>5550</v>
      </c>
      <c r="C410" s="694" t="s">
        <v>5551</v>
      </c>
      <c r="D410" s="695" t="s">
        <v>5552</v>
      </c>
      <c r="E410" s="696"/>
      <c r="F410" s="697"/>
      <c r="G410" s="697"/>
      <c r="H410" s="698"/>
      <c r="I410" s="698"/>
      <c r="J410" s="697"/>
      <c r="K410" s="697"/>
      <c r="L410" s="697"/>
      <c r="M410" s="697"/>
      <c r="N410" s="698"/>
      <c r="O410" s="698"/>
      <c r="P410" s="698"/>
      <c r="Q410" s="698">
        <f>1887550+421460+116301+50000</f>
        <v>2475311</v>
      </c>
      <c r="R410" s="697"/>
      <c r="S410" s="697"/>
      <c r="T410" s="697"/>
      <c r="U410" s="697"/>
      <c r="V410" s="697"/>
      <c r="W410" s="698"/>
      <c r="X410" s="698"/>
      <c r="Y410" s="697"/>
      <c r="Z410" s="697"/>
      <c r="AA410" s="697"/>
      <c r="AB410" s="697"/>
      <c r="AC410" s="697"/>
    </row>
    <row r="411" spans="1:29" x14ac:dyDescent="0.2">
      <c r="A411" s="694" t="str">
        <f>+Info!$B$2</f>
        <v>724</v>
      </c>
      <c r="B411" s="694" t="s">
        <v>5553</v>
      </c>
      <c r="C411" s="694" t="s">
        <v>5554</v>
      </c>
      <c r="D411" s="695" t="s">
        <v>5555</v>
      </c>
      <c r="E411" s="696"/>
      <c r="F411" s="697"/>
      <c r="G411" s="697"/>
      <c r="H411" s="698"/>
      <c r="I411" s="698"/>
      <c r="J411" s="697"/>
      <c r="K411" s="697"/>
      <c r="L411" s="697"/>
      <c r="M411" s="697"/>
      <c r="N411" s="698"/>
      <c r="O411" s="698"/>
      <c r="P411" s="698"/>
      <c r="Q411" s="698"/>
      <c r="R411" s="697"/>
      <c r="S411" s="697"/>
      <c r="T411" s="697"/>
      <c r="U411" s="697"/>
      <c r="V411" s="697"/>
      <c r="W411" s="698"/>
      <c r="X411" s="698"/>
      <c r="Y411" s="697"/>
      <c r="Z411" s="697"/>
      <c r="AA411" s="697"/>
      <c r="AB411" s="697"/>
      <c r="AC411" s="697"/>
    </row>
    <row r="412" spans="1:29" x14ac:dyDescent="0.2">
      <c r="A412" s="694" t="str">
        <f>+Info!$B$2</f>
        <v>724</v>
      </c>
      <c r="B412" s="694" t="s">
        <v>5556</v>
      </c>
      <c r="C412" s="694" t="s">
        <v>5557</v>
      </c>
      <c r="D412" s="695" t="s">
        <v>5558</v>
      </c>
      <c r="E412" s="696"/>
      <c r="F412" s="697"/>
      <c r="G412" s="697"/>
      <c r="H412" s="698"/>
      <c r="I412" s="698"/>
      <c r="J412" s="697"/>
      <c r="K412" s="697"/>
      <c r="L412" s="697"/>
      <c r="M412" s="697"/>
      <c r="N412" s="698"/>
      <c r="O412" s="698"/>
      <c r="P412" s="698"/>
      <c r="Q412" s="698"/>
      <c r="R412" s="697"/>
      <c r="S412" s="697"/>
      <c r="T412" s="697"/>
      <c r="U412" s="697"/>
      <c r="V412" s="697"/>
      <c r="W412" s="698"/>
      <c r="X412" s="698"/>
      <c r="Y412" s="697"/>
      <c r="Z412" s="697"/>
      <c r="AA412" s="697"/>
      <c r="AB412" s="697"/>
      <c r="AC412" s="697"/>
    </row>
    <row r="413" spans="1:29" x14ac:dyDescent="0.2">
      <c r="A413" s="694" t="str">
        <f>+Info!$B$2</f>
        <v>724</v>
      </c>
      <c r="B413" s="694" t="s">
        <v>5559</v>
      </c>
      <c r="C413" s="694" t="s">
        <v>5560</v>
      </c>
      <c r="D413" s="695" t="s">
        <v>5561</v>
      </c>
      <c r="E413" s="696"/>
      <c r="F413" s="697"/>
      <c r="G413" s="697"/>
      <c r="H413" s="698"/>
      <c r="I413" s="698"/>
      <c r="J413" s="697"/>
      <c r="K413" s="697"/>
      <c r="L413" s="697"/>
      <c r="M413" s="697"/>
      <c r="N413" s="698"/>
      <c r="O413" s="698"/>
      <c r="P413" s="698"/>
      <c r="Q413" s="698"/>
      <c r="R413" s="697"/>
      <c r="S413" s="697"/>
      <c r="T413" s="697"/>
      <c r="U413" s="697"/>
      <c r="V413" s="697"/>
      <c r="W413" s="698"/>
      <c r="X413" s="698"/>
      <c r="Y413" s="697"/>
      <c r="Z413" s="697"/>
      <c r="AA413" s="697"/>
      <c r="AB413" s="697"/>
      <c r="AC413" s="697"/>
    </row>
    <row r="414" spans="1:29" x14ac:dyDescent="0.2">
      <c r="A414" s="694" t="str">
        <f>+Info!$B$2</f>
        <v>724</v>
      </c>
      <c r="B414" s="694" t="s">
        <v>5562</v>
      </c>
      <c r="C414" s="694" t="s">
        <v>5563</v>
      </c>
      <c r="D414" s="695" t="s">
        <v>5564</v>
      </c>
      <c r="E414" s="696"/>
      <c r="F414" s="697"/>
      <c r="G414" s="697"/>
      <c r="H414" s="698"/>
      <c r="I414" s="698"/>
      <c r="J414" s="697"/>
      <c r="K414" s="697"/>
      <c r="L414" s="697"/>
      <c r="M414" s="697"/>
      <c r="N414" s="698"/>
      <c r="O414" s="698"/>
      <c r="P414" s="698"/>
      <c r="Q414" s="698"/>
      <c r="R414" s="697"/>
      <c r="S414" s="697"/>
      <c r="T414" s="697"/>
      <c r="U414" s="697"/>
      <c r="V414" s="697"/>
      <c r="W414" s="698"/>
      <c r="X414" s="698"/>
      <c r="Y414" s="697"/>
      <c r="Z414" s="697"/>
      <c r="AA414" s="697"/>
      <c r="AB414" s="697"/>
      <c r="AC414" s="697"/>
    </row>
    <row r="415" spans="1:29" ht="25.5" x14ac:dyDescent="0.2">
      <c r="A415" s="694" t="str">
        <f>+Info!$B$2</f>
        <v>724</v>
      </c>
      <c r="B415" s="694" t="s">
        <v>5565</v>
      </c>
      <c r="C415" s="694" t="s">
        <v>5566</v>
      </c>
      <c r="D415" s="695" t="s">
        <v>5567</v>
      </c>
      <c r="E415" s="696"/>
      <c r="F415" s="697"/>
      <c r="G415" s="697"/>
      <c r="H415" s="698"/>
      <c r="I415" s="698"/>
      <c r="J415" s="697"/>
      <c r="K415" s="697"/>
      <c r="L415" s="697"/>
      <c r="M415" s="697"/>
      <c r="N415" s="698"/>
      <c r="O415" s="698"/>
      <c r="P415" s="698"/>
      <c r="Q415" s="698"/>
      <c r="R415" s="697"/>
      <c r="S415" s="697"/>
      <c r="T415" s="697"/>
      <c r="U415" s="697"/>
      <c r="V415" s="697"/>
      <c r="W415" s="698"/>
      <c r="X415" s="698"/>
      <c r="Y415" s="697"/>
      <c r="Z415" s="697"/>
      <c r="AA415" s="697"/>
      <c r="AB415" s="697"/>
      <c r="AC415" s="697"/>
    </row>
    <row r="416" spans="1:29" x14ac:dyDescent="0.2">
      <c r="A416" s="694" t="str">
        <f>+Info!$B$2</f>
        <v>724</v>
      </c>
      <c r="B416" s="694" t="s">
        <v>5568</v>
      </c>
      <c r="C416" s="694" t="s">
        <v>5569</v>
      </c>
      <c r="D416" s="695" t="s">
        <v>5570</v>
      </c>
      <c r="E416" s="696"/>
      <c r="F416" s="697"/>
      <c r="G416" s="697"/>
      <c r="H416" s="698"/>
      <c r="I416" s="698"/>
      <c r="J416" s="697"/>
      <c r="K416" s="697"/>
      <c r="L416" s="697"/>
      <c r="M416" s="697"/>
      <c r="N416" s="698"/>
      <c r="O416" s="698"/>
      <c r="P416" s="698"/>
      <c r="Q416" s="698"/>
      <c r="R416" s="697"/>
      <c r="S416" s="697"/>
      <c r="T416" s="697"/>
      <c r="U416" s="697"/>
      <c r="V416" s="697"/>
      <c r="W416" s="698"/>
      <c r="X416" s="698"/>
      <c r="Y416" s="697"/>
      <c r="Z416" s="697"/>
      <c r="AA416" s="697"/>
      <c r="AB416" s="697"/>
      <c r="AC416" s="697"/>
    </row>
    <row r="417" spans="1:29" ht="25.5" x14ac:dyDescent="0.2">
      <c r="A417" s="694" t="str">
        <f>+Info!$B$2</f>
        <v>724</v>
      </c>
      <c r="B417" s="694" t="s">
        <v>5571</v>
      </c>
      <c r="C417" s="694" t="s">
        <v>5572</v>
      </c>
      <c r="D417" s="695" t="s">
        <v>5573</v>
      </c>
      <c r="E417" s="696"/>
      <c r="F417" s="697"/>
      <c r="G417" s="697"/>
      <c r="H417" s="698"/>
      <c r="I417" s="698"/>
      <c r="J417" s="697"/>
      <c r="K417" s="697"/>
      <c r="L417" s="697"/>
      <c r="M417" s="697"/>
      <c r="N417" s="698"/>
      <c r="O417" s="698"/>
      <c r="P417" s="698"/>
      <c r="Q417" s="698"/>
      <c r="R417" s="697"/>
      <c r="S417" s="697"/>
      <c r="T417" s="697"/>
      <c r="U417" s="697"/>
      <c r="V417" s="697"/>
      <c r="W417" s="698"/>
      <c r="X417" s="698"/>
      <c r="Y417" s="697"/>
      <c r="Z417" s="697"/>
      <c r="AA417" s="697"/>
      <c r="AB417" s="697"/>
      <c r="AC417" s="697"/>
    </row>
    <row r="418" spans="1:29" x14ac:dyDescent="0.2">
      <c r="A418" s="694" t="str">
        <f>+Info!$B$2</f>
        <v>724</v>
      </c>
      <c r="B418" s="694" t="s">
        <v>5574</v>
      </c>
      <c r="C418" s="694" t="s">
        <v>5575</v>
      </c>
      <c r="D418" s="695" t="s">
        <v>5576</v>
      </c>
      <c r="E418" s="696"/>
      <c r="F418" s="697"/>
      <c r="G418" s="697"/>
      <c r="H418" s="698"/>
      <c r="I418" s="698"/>
      <c r="J418" s="697"/>
      <c r="K418" s="697"/>
      <c r="L418" s="697"/>
      <c r="M418" s="697"/>
      <c r="N418" s="698"/>
      <c r="O418" s="698"/>
      <c r="P418" s="698"/>
      <c r="Q418" s="698"/>
      <c r="R418" s="697"/>
      <c r="S418" s="697"/>
      <c r="T418" s="697"/>
      <c r="U418" s="697"/>
      <c r="V418" s="697"/>
      <c r="W418" s="698"/>
      <c r="X418" s="698"/>
      <c r="Y418" s="697"/>
      <c r="Z418" s="697"/>
      <c r="AA418" s="697"/>
      <c r="AB418" s="697"/>
      <c r="AC418" s="697"/>
    </row>
    <row r="419" spans="1:29" x14ac:dyDescent="0.2">
      <c r="A419" s="694" t="str">
        <f>+Info!$B$2</f>
        <v>724</v>
      </c>
      <c r="B419" s="694" t="s">
        <v>5577</v>
      </c>
      <c r="C419" s="694" t="s">
        <v>5578</v>
      </c>
      <c r="D419" s="695" t="s">
        <v>5579</v>
      </c>
      <c r="E419" s="696"/>
      <c r="F419" s="697"/>
      <c r="G419" s="697"/>
      <c r="H419" s="698"/>
      <c r="I419" s="698"/>
      <c r="J419" s="697"/>
      <c r="K419" s="697"/>
      <c r="L419" s="697"/>
      <c r="M419" s="697"/>
      <c r="N419" s="698"/>
      <c r="O419" s="698"/>
      <c r="P419" s="698"/>
      <c r="Q419" s="698"/>
      <c r="R419" s="697"/>
      <c r="S419" s="697"/>
      <c r="T419" s="697"/>
      <c r="U419" s="697"/>
      <c r="V419" s="697"/>
      <c r="W419" s="698"/>
      <c r="X419" s="698"/>
      <c r="Y419" s="697"/>
      <c r="Z419" s="697"/>
      <c r="AA419" s="697"/>
      <c r="AB419" s="698"/>
      <c r="AC419" s="698"/>
    </row>
    <row r="420" spans="1:29" ht="25.5" x14ac:dyDescent="0.2">
      <c r="A420" s="694" t="str">
        <f>+Info!$B$2</f>
        <v>724</v>
      </c>
      <c r="B420" s="694" t="s">
        <v>5580</v>
      </c>
      <c r="C420" s="694" t="s">
        <v>5581</v>
      </c>
      <c r="D420" s="695" t="s">
        <v>5582</v>
      </c>
      <c r="E420" s="696"/>
      <c r="F420" s="697"/>
      <c r="G420" s="697"/>
      <c r="H420" s="698"/>
      <c r="I420" s="698"/>
      <c r="J420" s="697"/>
      <c r="K420" s="697"/>
      <c r="L420" s="697"/>
      <c r="M420" s="697"/>
      <c r="N420" s="698"/>
      <c r="O420" s="698"/>
      <c r="P420" s="698"/>
      <c r="Q420" s="698"/>
      <c r="R420" s="697"/>
      <c r="S420" s="697"/>
      <c r="T420" s="697"/>
      <c r="U420" s="697"/>
      <c r="V420" s="697"/>
      <c r="W420" s="698"/>
      <c r="X420" s="698"/>
      <c r="Y420" s="697"/>
      <c r="Z420" s="697"/>
      <c r="AA420" s="697"/>
      <c r="AB420" s="698"/>
      <c r="AC420" s="698"/>
    </row>
    <row r="421" spans="1:29" x14ac:dyDescent="0.2">
      <c r="A421" s="694" t="str">
        <f>+Info!$B$2</f>
        <v>724</v>
      </c>
      <c r="B421" s="694" t="s">
        <v>5583</v>
      </c>
      <c r="C421" s="694" t="s">
        <v>5584</v>
      </c>
      <c r="D421" s="695" t="s">
        <v>5585</v>
      </c>
      <c r="E421" s="696"/>
      <c r="F421" s="697"/>
      <c r="G421" s="697"/>
      <c r="H421" s="698"/>
      <c r="I421" s="698"/>
      <c r="J421" s="697"/>
      <c r="K421" s="697"/>
      <c r="L421" s="697"/>
      <c r="M421" s="697"/>
      <c r="N421" s="698"/>
      <c r="O421" s="698"/>
      <c r="P421" s="698"/>
      <c r="Q421" s="698"/>
      <c r="R421" s="697"/>
      <c r="S421" s="697"/>
      <c r="T421" s="697"/>
      <c r="U421" s="697"/>
      <c r="V421" s="697"/>
      <c r="W421" s="698"/>
      <c r="X421" s="698"/>
      <c r="Y421" s="697"/>
      <c r="Z421" s="697"/>
      <c r="AA421" s="697"/>
      <c r="AB421" s="697"/>
      <c r="AC421" s="697"/>
    </row>
    <row r="422" spans="1:29" x14ac:dyDescent="0.2">
      <c r="A422" s="694" t="str">
        <f>+Info!$B$2</f>
        <v>724</v>
      </c>
      <c r="B422" s="694" t="s">
        <v>5586</v>
      </c>
      <c r="C422" s="694" t="s">
        <v>5587</v>
      </c>
      <c r="D422" s="695" t="s">
        <v>5588</v>
      </c>
      <c r="E422" s="696"/>
      <c r="F422" s="697"/>
      <c r="G422" s="697"/>
      <c r="H422" s="698"/>
      <c r="I422" s="698"/>
      <c r="J422" s="697"/>
      <c r="K422" s="697"/>
      <c r="L422" s="697"/>
      <c r="M422" s="697"/>
      <c r="N422" s="698"/>
      <c r="O422" s="698"/>
      <c r="P422" s="698"/>
      <c r="Q422" s="698"/>
      <c r="R422" s="697"/>
      <c r="S422" s="697"/>
      <c r="T422" s="697"/>
      <c r="U422" s="697"/>
      <c r="V422" s="697"/>
      <c r="W422" s="698"/>
      <c r="X422" s="698"/>
      <c r="Y422" s="697"/>
      <c r="Z422" s="697"/>
      <c r="AA422" s="697"/>
      <c r="AB422" s="697"/>
      <c r="AC422" s="697"/>
    </row>
    <row r="423" spans="1:29" x14ac:dyDescent="0.2">
      <c r="A423" s="694" t="str">
        <f>+Info!$B$2</f>
        <v>724</v>
      </c>
      <c r="B423" s="694" t="s">
        <v>5589</v>
      </c>
      <c r="C423" s="694" t="s">
        <v>5590</v>
      </c>
      <c r="D423" s="695" t="s">
        <v>5591</v>
      </c>
      <c r="E423" s="696"/>
      <c r="F423" s="697"/>
      <c r="G423" s="697"/>
      <c r="H423" s="698"/>
      <c r="I423" s="698"/>
      <c r="J423" s="697"/>
      <c r="K423" s="697"/>
      <c r="L423" s="697"/>
      <c r="M423" s="697"/>
      <c r="N423" s="698"/>
      <c r="O423" s="698"/>
      <c r="P423" s="698"/>
      <c r="Q423" s="698"/>
      <c r="R423" s="697"/>
      <c r="S423" s="697"/>
      <c r="T423" s="697"/>
      <c r="U423" s="697"/>
      <c r="V423" s="697"/>
      <c r="W423" s="698"/>
      <c r="X423" s="698"/>
      <c r="Y423" s="697"/>
      <c r="Z423" s="697"/>
      <c r="AA423" s="697"/>
      <c r="AB423" s="697"/>
      <c r="AC423" s="697"/>
    </row>
    <row r="424" spans="1:29" x14ac:dyDescent="0.2">
      <c r="A424" s="694" t="str">
        <f>+Info!$B$2</f>
        <v>724</v>
      </c>
      <c r="B424" s="694" t="s">
        <v>5592</v>
      </c>
      <c r="C424" s="694" t="s">
        <v>5593</v>
      </c>
      <c r="D424" s="695" t="s">
        <v>5594</v>
      </c>
      <c r="E424" s="696"/>
      <c r="F424" s="697"/>
      <c r="G424" s="697"/>
      <c r="H424" s="698"/>
      <c r="I424" s="698"/>
      <c r="J424" s="697"/>
      <c r="K424" s="697"/>
      <c r="L424" s="697"/>
      <c r="M424" s="697"/>
      <c r="N424" s="698"/>
      <c r="O424" s="698"/>
      <c r="P424" s="698"/>
      <c r="Q424" s="698"/>
      <c r="R424" s="697"/>
      <c r="S424" s="697"/>
      <c r="T424" s="697"/>
      <c r="U424" s="697"/>
      <c r="V424" s="697"/>
      <c r="W424" s="698"/>
      <c r="X424" s="698"/>
      <c r="Y424" s="697"/>
      <c r="Z424" s="697"/>
      <c r="AA424" s="697"/>
      <c r="AB424" s="697"/>
      <c r="AC424" s="697"/>
    </row>
    <row r="425" spans="1:29" x14ac:dyDescent="0.2">
      <c r="A425" s="694" t="str">
        <f>+Info!$B$2</f>
        <v>724</v>
      </c>
      <c r="B425" s="694" t="s">
        <v>5595</v>
      </c>
      <c r="C425" s="694" t="s">
        <v>5596</v>
      </c>
      <c r="D425" s="695" t="s">
        <v>5597</v>
      </c>
      <c r="E425" s="696"/>
      <c r="F425" s="697"/>
      <c r="G425" s="697"/>
      <c r="H425" s="698"/>
      <c r="I425" s="698"/>
      <c r="J425" s="697"/>
      <c r="K425" s="697"/>
      <c r="L425" s="697"/>
      <c r="M425" s="697"/>
      <c r="N425" s="698"/>
      <c r="O425" s="698"/>
      <c r="P425" s="698"/>
      <c r="Q425" s="698"/>
      <c r="R425" s="697"/>
      <c r="S425" s="697"/>
      <c r="T425" s="697"/>
      <c r="U425" s="697"/>
      <c r="V425" s="697"/>
      <c r="W425" s="698"/>
      <c r="X425" s="698"/>
      <c r="Y425" s="697"/>
      <c r="Z425" s="697"/>
      <c r="AA425" s="697"/>
      <c r="AB425" s="697"/>
      <c r="AC425" s="697"/>
    </row>
    <row r="426" spans="1:29" x14ac:dyDescent="0.2">
      <c r="A426" s="694" t="str">
        <f>+Info!$B$2</f>
        <v>724</v>
      </c>
      <c r="B426" s="694" t="s">
        <v>5598</v>
      </c>
      <c r="C426" s="694" t="s">
        <v>5599</v>
      </c>
      <c r="D426" s="695" t="s">
        <v>5600</v>
      </c>
      <c r="E426" s="696"/>
      <c r="F426" s="697"/>
      <c r="G426" s="697"/>
      <c r="H426" s="698"/>
      <c r="I426" s="698"/>
      <c r="J426" s="697"/>
      <c r="K426" s="697"/>
      <c r="L426" s="697"/>
      <c r="M426" s="697"/>
      <c r="N426" s="698"/>
      <c r="O426" s="698"/>
      <c r="P426" s="698"/>
      <c r="Q426" s="698"/>
      <c r="R426" s="697"/>
      <c r="S426" s="697"/>
      <c r="T426" s="697"/>
      <c r="U426" s="697"/>
      <c r="V426" s="697"/>
      <c r="W426" s="698"/>
      <c r="X426" s="698"/>
      <c r="Y426" s="697"/>
      <c r="Z426" s="697"/>
      <c r="AA426" s="697"/>
      <c r="AB426" s="697"/>
      <c r="AC426" s="697"/>
    </row>
    <row r="427" spans="1:29" ht="25.5" x14ac:dyDescent="0.2">
      <c r="A427" s="694" t="str">
        <f>+Info!$B$2</f>
        <v>724</v>
      </c>
      <c r="B427" s="694" t="s">
        <v>5601</v>
      </c>
      <c r="C427" s="694" t="s">
        <v>5602</v>
      </c>
      <c r="D427" s="695" t="s">
        <v>5603</v>
      </c>
      <c r="E427" s="696"/>
      <c r="F427" s="697"/>
      <c r="G427" s="697"/>
      <c r="H427" s="698"/>
      <c r="I427" s="698"/>
      <c r="J427" s="697"/>
      <c r="K427" s="697"/>
      <c r="L427" s="697"/>
      <c r="M427" s="697"/>
      <c r="N427" s="698"/>
      <c r="O427" s="698"/>
      <c r="P427" s="698"/>
      <c r="Q427" s="698"/>
      <c r="R427" s="697"/>
      <c r="S427" s="697"/>
      <c r="T427" s="697"/>
      <c r="U427" s="697"/>
      <c r="V427" s="697"/>
      <c r="W427" s="698"/>
      <c r="X427" s="698"/>
      <c r="Y427" s="697"/>
      <c r="Z427" s="697"/>
      <c r="AA427" s="697"/>
      <c r="AB427" s="697"/>
      <c r="AC427" s="697"/>
    </row>
    <row r="428" spans="1:29" x14ac:dyDescent="0.2">
      <c r="A428" s="694" t="str">
        <f>+Info!$B$2</f>
        <v>724</v>
      </c>
      <c r="B428" s="694" t="s">
        <v>5604</v>
      </c>
      <c r="C428" s="694" t="s">
        <v>5605</v>
      </c>
      <c r="D428" s="695" t="s">
        <v>5606</v>
      </c>
      <c r="E428" s="696"/>
      <c r="F428" s="697"/>
      <c r="G428" s="697"/>
      <c r="H428" s="698"/>
      <c r="I428" s="698"/>
      <c r="J428" s="697"/>
      <c r="K428" s="697"/>
      <c r="L428" s="697"/>
      <c r="M428" s="697"/>
      <c r="N428" s="698"/>
      <c r="O428" s="698"/>
      <c r="P428" s="698"/>
      <c r="Q428" s="698"/>
      <c r="R428" s="697"/>
      <c r="S428" s="697"/>
      <c r="T428" s="697"/>
      <c r="U428" s="697"/>
      <c r="V428" s="697"/>
      <c r="W428" s="698"/>
      <c r="X428" s="698"/>
      <c r="Y428" s="697"/>
      <c r="Z428" s="697"/>
      <c r="AA428" s="697"/>
      <c r="AB428" s="697"/>
      <c r="AC428" s="697"/>
    </row>
    <row r="429" spans="1:29" ht="25.5" x14ac:dyDescent="0.2">
      <c r="A429" s="694" t="str">
        <f>+Info!$B$2</f>
        <v>724</v>
      </c>
      <c r="B429" s="694" t="s">
        <v>5607</v>
      </c>
      <c r="C429" s="694" t="s">
        <v>5608</v>
      </c>
      <c r="D429" s="695" t="s">
        <v>5609</v>
      </c>
      <c r="E429" s="696"/>
      <c r="F429" s="697"/>
      <c r="G429" s="697"/>
      <c r="H429" s="698"/>
      <c r="I429" s="698"/>
      <c r="J429" s="697"/>
      <c r="K429" s="697"/>
      <c r="L429" s="697"/>
      <c r="M429" s="697"/>
      <c r="N429" s="698"/>
      <c r="O429" s="698"/>
      <c r="P429" s="698"/>
      <c r="Q429" s="698"/>
      <c r="R429" s="697"/>
      <c r="S429" s="697"/>
      <c r="T429" s="697"/>
      <c r="U429" s="697"/>
      <c r="V429" s="697"/>
      <c r="W429" s="698"/>
      <c r="X429" s="698"/>
      <c r="Y429" s="697"/>
      <c r="Z429" s="697"/>
      <c r="AA429" s="697"/>
      <c r="AB429" s="697"/>
      <c r="AC429" s="697"/>
    </row>
    <row r="430" spans="1:29" x14ac:dyDescent="0.2">
      <c r="A430" s="694" t="str">
        <f>+Info!$B$2</f>
        <v>724</v>
      </c>
      <c r="B430" s="694" t="s">
        <v>5610</v>
      </c>
      <c r="C430" s="694" t="s">
        <v>5611</v>
      </c>
      <c r="D430" s="695" t="s">
        <v>5612</v>
      </c>
      <c r="E430" s="696"/>
      <c r="F430" s="697"/>
      <c r="G430" s="697"/>
      <c r="H430" s="698"/>
      <c r="I430" s="698"/>
      <c r="J430" s="697"/>
      <c r="K430" s="697"/>
      <c r="L430" s="697"/>
      <c r="M430" s="697"/>
      <c r="N430" s="698"/>
      <c r="O430" s="698"/>
      <c r="P430" s="698"/>
      <c r="Q430" s="698"/>
      <c r="R430" s="697"/>
      <c r="S430" s="697"/>
      <c r="T430" s="697"/>
      <c r="U430" s="697"/>
      <c r="V430" s="697"/>
      <c r="W430" s="698"/>
      <c r="X430" s="698"/>
      <c r="Y430" s="697"/>
      <c r="Z430" s="697"/>
      <c r="AA430" s="697"/>
      <c r="AB430" s="697"/>
      <c r="AC430" s="697"/>
    </row>
    <row r="431" spans="1:29" x14ac:dyDescent="0.2">
      <c r="A431" s="694" t="str">
        <f>+Info!$B$2</f>
        <v>724</v>
      </c>
      <c r="B431" s="694" t="s">
        <v>5613</v>
      </c>
      <c r="C431" s="694" t="s">
        <v>5614</v>
      </c>
      <c r="D431" s="695" t="s">
        <v>5615</v>
      </c>
      <c r="E431" s="696"/>
      <c r="F431" s="697"/>
      <c r="G431" s="697"/>
      <c r="H431" s="698"/>
      <c r="I431" s="698"/>
      <c r="J431" s="697"/>
      <c r="K431" s="697"/>
      <c r="L431" s="697"/>
      <c r="M431" s="697"/>
      <c r="N431" s="698"/>
      <c r="O431" s="698"/>
      <c r="P431" s="698"/>
      <c r="Q431" s="698"/>
      <c r="R431" s="697"/>
      <c r="S431" s="697"/>
      <c r="T431" s="697"/>
      <c r="U431" s="697"/>
      <c r="V431" s="697"/>
      <c r="W431" s="698"/>
      <c r="X431" s="698"/>
      <c r="Y431" s="697"/>
      <c r="Z431" s="697"/>
      <c r="AA431" s="697"/>
      <c r="AB431" s="698"/>
      <c r="AC431" s="698"/>
    </row>
    <row r="432" spans="1:29" ht="25.5" x14ac:dyDescent="0.2">
      <c r="A432" s="694" t="str">
        <f>+Info!$B$2</f>
        <v>724</v>
      </c>
      <c r="B432" s="694" t="s">
        <v>5616</v>
      </c>
      <c r="C432" s="694" t="s">
        <v>5617</v>
      </c>
      <c r="D432" s="695" t="s">
        <v>5618</v>
      </c>
      <c r="E432" s="696"/>
      <c r="F432" s="697"/>
      <c r="G432" s="697"/>
      <c r="H432" s="698"/>
      <c r="I432" s="698"/>
      <c r="J432" s="697"/>
      <c r="K432" s="697"/>
      <c r="L432" s="697"/>
      <c r="M432" s="697"/>
      <c r="N432" s="698"/>
      <c r="O432" s="698"/>
      <c r="P432" s="698"/>
      <c r="Q432" s="698"/>
      <c r="R432" s="697"/>
      <c r="S432" s="697"/>
      <c r="T432" s="697"/>
      <c r="U432" s="697"/>
      <c r="V432" s="697"/>
      <c r="W432" s="698"/>
      <c r="X432" s="698"/>
      <c r="Y432" s="697"/>
      <c r="Z432" s="697"/>
      <c r="AA432" s="697"/>
      <c r="AB432" s="698"/>
      <c r="AC432" s="698"/>
    </row>
    <row r="433" spans="1:29" x14ac:dyDescent="0.2">
      <c r="A433" s="694" t="str">
        <f>+Info!$B$2</f>
        <v>724</v>
      </c>
      <c r="B433" s="694" t="s">
        <v>5619</v>
      </c>
      <c r="C433" s="694" t="s">
        <v>5620</v>
      </c>
      <c r="D433" s="695" t="s">
        <v>5621</v>
      </c>
      <c r="E433" s="696"/>
      <c r="F433" s="697"/>
      <c r="G433" s="697"/>
      <c r="H433" s="698"/>
      <c r="I433" s="698"/>
      <c r="J433" s="697"/>
      <c r="K433" s="697"/>
      <c r="L433" s="697"/>
      <c r="M433" s="697"/>
      <c r="N433" s="698"/>
      <c r="O433" s="698"/>
      <c r="P433" s="698"/>
      <c r="Q433" s="698"/>
      <c r="R433" s="697"/>
      <c r="S433" s="697"/>
      <c r="T433" s="697"/>
      <c r="U433" s="697"/>
      <c r="V433" s="697"/>
      <c r="W433" s="698"/>
      <c r="X433" s="698"/>
      <c r="Y433" s="697"/>
      <c r="Z433" s="697"/>
      <c r="AA433" s="697"/>
      <c r="AB433" s="697"/>
      <c r="AC433" s="697"/>
    </row>
    <row r="434" spans="1:29" x14ac:dyDescent="0.2">
      <c r="A434" s="694" t="str">
        <f>+Info!$B$2</f>
        <v>724</v>
      </c>
      <c r="B434" s="694" t="s">
        <v>5622</v>
      </c>
      <c r="C434" s="694" t="s">
        <v>5623</v>
      </c>
      <c r="D434" s="695" t="s">
        <v>5624</v>
      </c>
      <c r="E434" s="696"/>
      <c r="F434" s="697"/>
      <c r="G434" s="697"/>
      <c r="H434" s="698"/>
      <c r="I434" s="698"/>
      <c r="J434" s="697"/>
      <c r="K434" s="697"/>
      <c r="L434" s="697"/>
      <c r="M434" s="697"/>
      <c r="N434" s="698"/>
      <c r="O434" s="698"/>
      <c r="P434" s="698"/>
      <c r="Q434" s="698"/>
      <c r="R434" s="697"/>
      <c r="S434" s="697"/>
      <c r="T434" s="697"/>
      <c r="U434" s="697"/>
      <c r="V434" s="697"/>
      <c r="W434" s="698"/>
      <c r="X434" s="698"/>
      <c r="Y434" s="697"/>
      <c r="Z434" s="697"/>
      <c r="AA434" s="697"/>
      <c r="AB434" s="697"/>
      <c r="AC434" s="697"/>
    </row>
    <row r="435" spans="1:29" x14ac:dyDescent="0.2">
      <c r="A435" s="694" t="str">
        <f>+Info!$B$2</f>
        <v>724</v>
      </c>
      <c r="B435" s="694" t="s">
        <v>5625</v>
      </c>
      <c r="C435" s="694" t="s">
        <v>5626</v>
      </c>
      <c r="D435" s="695" t="s">
        <v>5627</v>
      </c>
      <c r="E435" s="696"/>
      <c r="F435" s="697"/>
      <c r="G435" s="697"/>
      <c r="H435" s="698"/>
      <c r="I435" s="698"/>
      <c r="J435" s="697"/>
      <c r="K435" s="697"/>
      <c r="L435" s="697"/>
      <c r="M435" s="697"/>
      <c r="N435" s="698"/>
      <c r="O435" s="698"/>
      <c r="P435" s="698"/>
      <c r="Q435" s="698"/>
      <c r="R435" s="697"/>
      <c r="S435" s="697"/>
      <c r="T435" s="697"/>
      <c r="U435" s="697"/>
      <c r="V435" s="697"/>
      <c r="W435" s="698"/>
      <c r="X435" s="698"/>
      <c r="Y435" s="697"/>
      <c r="Z435" s="697"/>
      <c r="AA435" s="697"/>
      <c r="AB435" s="697"/>
      <c r="AC435" s="697"/>
    </row>
    <row r="436" spans="1:29" x14ac:dyDescent="0.2">
      <c r="A436" s="694" t="str">
        <f>+Info!$B$2</f>
        <v>724</v>
      </c>
      <c r="B436" s="694" t="s">
        <v>5628</v>
      </c>
      <c r="C436" s="694" t="s">
        <v>5629</v>
      </c>
      <c r="D436" s="695" t="s">
        <v>5630</v>
      </c>
      <c r="E436" s="696"/>
      <c r="F436" s="697"/>
      <c r="G436" s="697"/>
      <c r="H436" s="698"/>
      <c r="I436" s="698"/>
      <c r="J436" s="697"/>
      <c r="K436" s="697"/>
      <c r="L436" s="697"/>
      <c r="M436" s="697"/>
      <c r="N436" s="698"/>
      <c r="O436" s="698"/>
      <c r="P436" s="698"/>
      <c r="Q436" s="698"/>
      <c r="R436" s="697"/>
      <c r="S436" s="697"/>
      <c r="T436" s="697"/>
      <c r="U436" s="697"/>
      <c r="V436" s="697"/>
      <c r="W436" s="698"/>
      <c r="X436" s="698"/>
      <c r="Y436" s="697"/>
      <c r="Z436" s="697"/>
      <c r="AA436" s="697"/>
      <c r="AB436" s="697"/>
      <c r="AC436" s="697"/>
    </row>
    <row r="437" spans="1:29" x14ac:dyDescent="0.2">
      <c r="A437" s="694" t="str">
        <f>+Info!$B$2</f>
        <v>724</v>
      </c>
      <c r="B437" s="694" t="s">
        <v>5631</v>
      </c>
      <c r="C437" s="694" t="s">
        <v>5632</v>
      </c>
      <c r="D437" s="695" t="s">
        <v>5633</v>
      </c>
      <c r="E437" s="696"/>
      <c r="F437" s="697"/>
      <c r="G437" s="697"/>
      <c r="H437" s="698"/>
      <c r="I437" s="698"/>
      <c r="J437" s="697"/>
      <c r="K437" s="697"/>
      <c r="L437" s="697"/>
      <c r="M437" s="697"/>
      <c r="N437" s="698"/>
      <c r="O437" s="698"/>
      <c r="P437" s="698"/>
      <c r="Q437" s="698"/>
      <c r="R437" s="697"/>
      <c r="S437" s="697"/>
      <c r="T437" s="697"/>
      <c r="U437" s="697"/>
      <c r="V437" s="697"/>
      <c r="W437" s="698"/>
      <c r="X437" s="698"/>
      <c r="Y437" s="697"/>
      <c r="Z437" s="697"/>
      <c r="AA437" s="697"/>
      <c r="AB437" s="697"/>
      <c r="AC437" s="697"/>
    </row>
    <row r="438" spans="1:29" x14ac:dyDescent="0.2">
      <c r="A438" s="694" t="str">
        <f>+Info!$B$2</f>
        <v>724</v>
      </c>
      <c r="B438" s="694" t="s">
        <v>5634</v>
      </c>
      <c r="C438" s="694" t="s">
        <v>5635</v>
      </c>
      <c r="D438" s="695" t="s">
        <v>5636</v>
      </c>
      <c r="E438" s="696"/>
      <c r="F438" s="697"/>
      <c r="G438" s="697"/>
      <c r="H438" s="698"/>
      <c r="I438" s="698"/>
      <c r="J438" s="697"/>
      <c r="K438" s="697"/>
      <c r="L438" s="697"/>
      <c r="M438" s="697"/>
      <c r="N438" s="698"/>
      <c r="O438" s="698"/>
      <c r="P438" s="698"/>
      <c r="Q438" s="698"/>
      <c r="R438" s="697"/>
      <c r="S438" s="697"/>
      <c r="T438" s="697"/>
      <c r="U438" s="697"/>
      <c r="V438" s="697"/>
      <c r="W438" s="698"/>
      <c r="X438" s="698"/>
      <c r="Y438" s="697"/>
      <c r="Z438" s="697"/>
      <c r="AA438" s="697"/>
      <c r="AB438" s="697"/>
      <c r="AC438" s="697"/>
    </row>
    <row r="439" spans="1:29" x14ac:dyDescent="0.2">
      <c r="A439" s="694" t="str">
        <f>+Info!$B$2</f>
        <v>724</v>
      </c>
      <c r="B439" s="694" t="s">
        <v>5637</v>
      </c>
      <c r="C439" s="694" t="s">
        <v>5638</v>
      </c>
      <c r="D439" s="695" t="s">
        <v>5639</v>
      </c>
      <c r="E439" s="696"/>
      <c r="F439" s="697"/>
      <c r="G439" s="697"/>
      <c r="H439" s="698"/>
      <c r="I439" s="698"/>
      <c r="J439" s="697"/>
      <c r="K439" s="697"/>
      <c r="L439" s="697"/>
      <c r="M439" s="697"/>
      <c r="N439" s="698"/>
      <c r="O439" s="698"/>
      <c r="P439" s="698"/>
      <c r="Q439" s="698"/>
      <c r="R439" s="697"/>
      <c r="S439" s="697"/>
      <c r="T439" s="697"/>
      <c r="U439" s="697"/>
      <c r="V439" s="697"/>
      <c r="W439" s="698"/>
      <c r="X439" s="698"/>
      <c r="Y439" s="697"/>
      <c r="Z439" s="697"/>
      <c r="AA439" s="697"/>
      <c r="AB439" s="697"/>
      <c r="AC439" s="697"/>
    </row>
    <row r="440" spans="1:29" x14ac:dyDescent="0.2">
      <c r="A440" s="694" t="str">
        <f>+Info!$B$2</f>
        <v>724</v>
      </c>
      <c r="B440" s="694" t="s">
        <v>5640</v>
      </c>
      <c r="C440" s="694" t="s">
        <v>5641</v>
      </c>
      <c r="D440" s="695" t="s">
        <v>5642</v>
      </c>
      <c r="E440" s="696"/>
      <c r="F440" s="697"/>
      <c r="G440" s="697"/>
      <c r="H440" s="698"/>
      <c r="I440" s="698"/>
      <c r="J440" s="697"/>
      <c r="K440" s="697"/>
      <c r="L440" s="697"/>
      <c r="M440" s="697"/>
      <c r="N440" s="698"/>
      <c r="O440" s="698"/>
      <c r="P440" s="698"/>
      <c r="Q440" s="698"/>
      <c r="R440" s="697"/>
      <c r="S440" s="697"/>
      <c r="T440" s="697"/>
      <c r="U440" s="697"/>
      <c r="V440" s="697"/>
      <c r="W440" s="698"/>
      <c r="X440" s="698"/>
      <c r="Y440" s="697"/>
      <c r="Z440" s="697"/>
      <c r="AA440" s="697"/>
      <c r="AB440" s="697"/>
      <c r="AC440" s="697"/>
    </row>
    <row r="441" spans="1:29" ht="25.5" x14ac:dyDescent="0.2">
      <c r="A441" s="694" t="str">
        <f>+Info!$B$2</f>
        <v>724</v>
      </c>
      <c r="B441" s="694" t="s">
        <v>5643</v>
      </c>
      <c r="C441" s="694" t="s">
        <v>5644</v>
      </c>
      <c r="D441" s="695" t="s">
        <v>5645</v>
      </c>
      <c r="E441" s="696"/>
      <c r="F441" s="697"/>
      <c r="G441" s="697"/>
      <c r="H441" s="698"/>
      <c r="I441" s="698"/>
      <c r="J441" s="697"/>
      <c r="K441" s="697"/>
      <c r="L441" s="697"/>
      <c r="M441" s="697"/>
      <c r="N441" s="698"/>
      <c r="O441" s="698"/>
      <c r="P441" s="698"/>
      <c r="Q441" s="698"/>
      <c r="R441" s="697"/>
      <c r="S441" s="697"/>
      <c r="T441" s="697"/>
      <c r="U441" s="697"/>
      <c r="V441" s="697"/>
      <c r="W441" s="698"/>
      <c r="X441" s="698"/>
      <c r="Y441" s="697"/>
      <c r="Z441" s="697"/>
      <c r="AA441" s="697"/>
      <c r="AB441" s="697"/>
      <c r="AC441" s="697"/>
    </row>
    <row r="442" spans="1:29" x14ac:dyDescent="0.2">
      <c r="A442" s="694" t="str">
        <f>+Info!$B$2</f>
        <v>724</v>
      </c>
      <c r="B442" s="694" t="s">
        <v>5646</v>
      </c>
      <c r="C442" s="694" t="s">
        <v>5647</v>
      </c>
      <c r="D442" s="695" t="s">
        <v>5648</v>
      </c>
      <c r="E442" s="696"/>
      <c r="F442" s="697"/>
      <c r="G442" s="697"/>
      <c r="H442" s="698"/>
      <c r="I442" s="698"/>
      <c r="J442" s="697"/>
      <c r="K442" s="697"/>
      <c r="L442" s="697"/>
      <c r="M442" s="697"/>
      <c r="N442" s="698"/>
      <c r="O442" s="698"/>
      <c r="P442" s="698"/>
      <c r="Q442" s="698"/>
      <c r="R442" s="697"/>
      <c r="S442" s="697"/>
      <c r="T442" s="697"/>
      <c r="U442" s="697"/>
      <c r="V442" s="697"/>
      <c r="W442" s="698"/>
      <c r="X442" s="698"/>
      <c r="Y442" s="697"/>
      <c r="Z442" s="697"/>
      <c r="AA442" s="697"/>
      <c r="AB442" s="697"/>
      <c r="AC442" s="697"/>
    </row>
    <row r="443" spans="1:29" x14ac:dyDescent="0.2">
      <c r="A443" s="694" t="str">
        <f>+Info!$B$2</f>
        <v>724</v>
      </c>
      <c r="B443" s="694" t="s">
        <v>5649</v>
      </c>
      <c r="C443" s="694" t="s">
        <v>5650</v>
      </c>
      <c r="D443" s="695" t="s">
        <v>5651</v>
      </c>
      <c r="E443" s="696"/>
      <c r="F443" s="697"/>
      <c r="G443" s="697"/>
      <c r="H443" s="698"/>
      <c r="I443" s="698"/>
      <c r="J443" s="697"/>
      <c r="K443" s="697"/>
      <c r="L443" s="697"/>
      <c r="M443" s="697"/>
      <c r="N443" s="698"/>
      <c r="O443" s="698"/>
      <c r="P443" s="698"/>
      <c r="Q443" s="698"/>
      <c r="R443" s="697"/>
      <c r="S443" s="697"/>
      <c r="T443" s="697"/>
      <c r="U443" s="697"/>
      <c r="V443" s="697"/>
      <c r="W443" s="698"/>
      <c r="X443" s="698"/>
      <c r="Y443" s="697"/>
      <c r="Z443" s="697"/>
      <c r="AA443" s="697"/>
      <c r="AB443" s="698"/>
      <c r="AC443" s="698"/>
    </row>
    <row r="444" spans="1:29" ht="25.5" x14ac:dyDescent="0.2">
      <c r="A444" s="694" t="str">
        <f>+Info!$B$2</f>
        <v>724</v>
      </c>
      <c r="B444" s="694" t="s">
        <v>5652</v>
      </c>
      <c r="C444" s="694" t="s">
        <v>5653</v>
      </c>
      <c r="D444" s="695" t="s">
        <v>5654</v>
      </c>
      <c r="E444" s="696"/>
      <c r="F444" s="697"/>
      <c r="G444" s="697"/>
      <c r="H444" s="698"/>
      <c r="I444" s="698"/>
      <c r="J444" s="697"/>
      <c r="K444" s="697"/>
      <c r="L444" s="697"/>
      <c r="M444" s="697"/>
      <c r="N444" s="698"/>
      <c r="O444" s="698"/>
      <c r="P444" s="698"/>
      <c r="Q444" s="698"/>
      <c r="R444" s="697"/>
      <c r="S444" s="697"/>
      <c r="T444" s="697"/>
      <c r="U444" s="697"/>
      <c r="V444" s="697"/>
      <c r="W444" s="698"/>
      <c r="X444" s="698"/>
      <c r="Y444" s="697"/>
      <c r="Z444" s="697"/>
      <c r="AA444" s="697"/>
      <c r="AB444" s="698"/>
      <c r="AC444" s="698"/>
    </row>
    <row r="445" spans="1:29" x14ac:dyDescent="0.2">
      <c r="A445" s="694" t="str">
        <f>+Info!$B$2</f>
        <v>724</v>
      </c>
      <c r="B445" s="694" t="s">
        <v>5655</v>
      </c>
      <c r="C445" s="694" t="s">
        <v>5656</v>
      </c>
      <c r="D445" s="695" t="s">
        <v>5657</v>
      </c>
      <c r="E445" s="696"/>
      <c r="F445" s="697"/>
      <c r="G445" s="697"/>
      <c r="H445" s="698"/>
      <c r="I445" s="698"/>
      <c r="J445" s="697"/>
      <c r="K445" s="697"/>
      <c r="L445" s="697"/>
      <c r="M445" s="697"/>
      <c r="N445" s="698"/>
      <c r="O445" s="698"/>
      <c r="P445" s="698"/>
      <c r="Q445" s="698"/>
      <c r="R445" s="697"/>
      <c r="S445" s="697"/>
      <c r="T445" s="697"/>
      <c r="U445" s="697"/>
      <c r="V445" s="697"/>
      <c r="W445" s="698"/>
      <c r="X445" s="698"/>
      <c r="Y445" s="697"/>
      <c r="Z445" s="697"/>
      <c r="AA445" s="697"/>
      <c r="AB445" s="697"/>
      <c r="AC445" s="697"/>
    </row>
    <row r="446" spans="1:29" x14ac:dyDescent="0.2">
      <c r="A446" s="694" t="str">
        <f>+Info!$B$2</f>
        <v>724</v>
      </c>
      <c r="B446" s="694" t="s">
        <v>5658</v>
      </c>
      <c r="C446" s="694" t="s">
        <v>5659</v>
      </c>
      <c r="D446" s="695" t="s">
        <v>5660</v>
      </c>
      <c r="E446" s="696"/>
      <c r="F446" s="697"/>
      <c r="G446" s="697"/>
      <c r="H446" s="698"/>
      <c r="I446" s="698"/>
      <c r="J446" s="697"/>
      <c r="K446" s="697"/>
      <c r="L446" s="697"/>
      <c r="M446" s="697"/>
      <c r="N446" s="698"/>
      <c r="O446" s="698"/>
      <c r="P446" s="698"/>
      <c r="Q446" s="697"/>
      <c r="R446" s="698">
        <v>222591</v>
      </c>
      <c r="S446" s="697"/>
      <c r="T446" s="697"/>
      <c r="U446" s="697"/>
      <c r="V446" s="697"/>
      <c r="W446" s="698"/>
      <c r="X446" s="698"/>
      <c r="Y446" s="697"/>
      <c r="Z446" s="697"/>
      <c r="AA446" s="697"/>
      <c r="AB446" s="697"/>
      <c r="AC446" s="697"/>
    </row>
    <row r="447" spans="1:29" x14ac:dyDescent="0.2">
      <c r="A447" s="694" t="str">
        <f>+Info!$B$2</f>
        <v>724</v>
      </c>
      <c r="B447" s="694" t="s">
        <v>5661</v>
      </c>
      <c r="C447" s="694" t="s">
        <v>5662</v>
      </c>
      <c r="D447" s="695" t="s">
        <v>5663</v>
      </c>
      <c r="E447" s="696"/>
      <c r="F447" s="697"/>
      <c r="G447" s="697"/>
      <c r="H447" s="698"/>
      <c r="I447" s="698"/>
      <c r="J447" s="697"/>
      <c r="K447" s="697"/>
      <c r="L447" s="697"/>
      <c r="M447" s="697"/>
      <c r="N447" s="698"/>
      <c r="O447" s="698"/>
      <c r="P447" s="698"/>
      <c r="Q447" s="697"/>
      <c r="R447" s="698"/>
      <c r="S447" s="697"/>
      <c r="T447" s="697"/>
      <c r="U447" s="697"/>
      <c r="V447" s="697"/>
      <c r="W447" s="698"/>
      <c r="X447" s="698"/>
      <c r="Y447" s="697"/>
      <c r="Z447" s="697"/>
      <c r="AA447" s="697"/>
      <c r="AB447" s="697"/>
      <c r="AC447" s="697"/>
    </row>
    <row r="448" spans="1:29" x14ac:dyDescent="0.2">
      <c r="A448" s="694" t="str">
        <f>+Info!$B$2</f>
        <v>724</v>
      </c>
      <c r="B448" s="694" t="s">
        <v>5664</v>
      </c>
      <c r="C448" s="694" t="s">
        <v>5665</v>
      </c>
      <c r="D448" s="695" t="s">
        <v>5666</v>
      </c>
      <c r="E448" s="696"/>
      <c r="F448" s="697"/>
      <c r="G448" s="697"/>
      <c r="H448" s="698"/>
      <c r="I448" s="698"/>
      <c r="J448" s="697"/>
      <c r="K448" s="697"/>
      <c r="L448" s="697"/>
      <c r="M448" s="697"/>
      <c r="N448" s="698"/>
      <c r="O448" s="698"/>
      <c r="P448" s="698"/>
      <c r="Q448" s="697"/>
      <c r="R448" s="698"/>
      <c r="S448" s="697"/>
      <c r="T448" s="697"/>
      <c r="U448" s="697"/>
      <c r="V448" s="697"/>
      <c r="W448" s="698"/>
      <c r="X448" s="698"/>
      <c r="Y448" s="697"/>
      <c r="Z448" s="697"/>
      <c r="AA448" s="697"/>
      <c r="AB448" s="697"/>
      <c r="AC448" s="697"/>
    </row>
    <row r="449" spans="1:29" x14ac:dyDescent="0.2">
      <c r="A449" s="694" t="str">
        <f>+Info!$B$2</f>
        <v>724</v>
      </c>
      <c r="B449" s="694" t="s">
        <v>5667</v>
      </c>
      <c r="C449" s="694" t="s">
        <v>5668</v>
      </c>
      <c r="D449" s="695" t="s">
        <v>5669</v>
      </c>
      <c r="E449" s="696"/>
      <c r="F449" s="697"/>
      <c r="G449" s="697"/>
      <c r="H449" s="698"/>
      <c r="I449" s="698"/>
      <c r="J449" s="697"/>
      <c r="K449" s="697"/>
      <c r="L449" s="697"/>
      <c r="M449" s="697"/>
      <c r="N449" s="698"/>
      <c r="O449" s="698"/>
      <c r="P449" s="698"/>
      <c r="Q449" s="697"/>
      <c r="R449" s="698"/>
      <c r="S449" s="697"/>
      <c r="T449" s="697"/>
      <c r="U449" s="697"/>
      <c r="V449" s="697"/>
      <c r="W449" s="698"/>
      <c r="X449" s="698"/>
      <c r="Y449" s="697"/>
      <c r="Z449" s="697"/>
      <c r="AA449" s="697"/>
      <c r="AB449" s="697"/>
      <c r="AC449" s="697"/>
    </row>
    <row r="450" spans="1:29" x14ac:dyDescent="0.2">
      <c r="A450" s="694" t="str">
        <f>+Info!$B$2</f>
        <v>724</v>
      </c>
      <c r="B450" s="694" t="s">
        <v>5670</v>
      </c>
      <c r="C450" s="694" t="s">
        <v>5671</v>
      </c>
      <c r="D450" s="695" t="s">
        <v>5672</v>
      </c>
      <c r="E450" s="696"/>
      <c r="F450" s="697"/>
      <c r="G450" s="697"/>
      <c r="H450" s="698"/>
      <c r="I450" s="698"/>
      <c r="J450" s="697"/>
      <c r="K450" s="697"/>
      <c r="L450" s="697"/>
      <c r="M450" s="697"/>
      <c r="N450" s="698"/>
      <c r="O450" s="698"/>
      <c r="P450" s="698"/>
      <c r="Q450" s="697"/>
      <c r="R450" s="698"/>
      <c r="S450" s="697"/>
      <c r="T450" s="697"/>
      <c r="U450" s="697"/>
      <c r="V450" s="697"/>
      <c r="W450" s="698"/>
      <c r="X450" s="698"/>
      <c r="Y450" s="697"/>
      <c r="Z450" s="697"/>
      <c r="AA450" s="697"/>
      <c r="AB450" s="697"/>
      <c r="AC450" s="697"/>
    </row>
    <row r="451" spans="1:29" x14ac:dyDescent="0.2">
      <c r="A451" s="694" t="str">
        <f>+Info!$B$2</f>
        <v>724</v>
      </c>
      <c r="B451" s="694" t="s">
        <v>5673</v>
      </c>
      <c r="C451" s="694" t="s">
        <v>5674</v>
      </c>
      <c r="D451" s="695" t="s">
        <v>5675</v>
      </c>
      <c r="E451" s="696"/>
      <c r="F451" s="697"/>
      <c r="G451" s="697"/>
      <c r="H451" s="698"/>
      <c r="I451" s="698"/>
      <c r="J451" s="697"/>
      <c r="K451" s="697"/>
      <c r="L451" s="697"/>
      <c r="M451" s="697"/>
      <c r="N451" s="698"/>
      <c r="O451" s="698"/>
      <c r="P451" s="698"/>
      <c r="Q451" s="697"/>
      <c r="R451" s="698"/>
      <c r="S451" s="697"/>
      <c r="T451" s="697"/>
      <c r="U451" s="697"/>
      <c r="V451" s="697"/>
      <c r="W451" s="698"/>
      <c r="X451" s="698"/>
      <c r="Y451" s="697"/>
      <c r="Z451" s="697"/>
      <c r="AA451" s="697"/>
      <c r="AB451" s="697"/>
      <c r="AC451" s="697"/>
    </row>
    <row r="452" spans="1:29" x14ac:dyDescent="0.2">
      <c r="A452" s="694" t="str">
        <f>+Info!$B$2</f>
        <v>724</v>
      </c>
      <c r="B452" s="694" t="s">
        <v>5676</v>
      </c>
      <c r="C452" s="694" t="s">
        <v>5677</v>
      </c>
      <c r="D452" s="695" t="s">
        <v>5678</v>
      </c>
      <c r="E452" s="696"/>
      <c r="F452" s="697"/>
      <c r="G452" s="697"/>
      <c r="H452" s="698"/>
      <c r="I452" s="698"/>
      <c r="J452" s="697"/>
      <c r="K452" s="697"/>
      <c r="L452" s="697"/>
      <c r="M452" s="697"/>
      <c r="N452" s="698"/>
      <c r="O452" s="698"/>
      <c r="P452" s="698"/>
      <c r="Q452" s="697"/>
      <c r="R452" s="698"/>
      <c r="S452" s="697"/>
      <c r="T452" s="697"/>
      <c r="U452" s="697"/>
      <c r="V452" s="697"/>
      <c r="W452" s="698"/>
      <c r="X452" s="698"/>
      <c r="Y452" s="697"/>
      <c r="Z452" s="697"/>
      <c r="AA452" s="697"/>
      <c r="AB452" s="697"/>
      <c r="AC452" s="697"/>
    </row>
    <row r="453" spans="1:29" ht="25.5" x14ac:dyDescent="0.2">
      <c r="A453" s="694" t="str">
        <f>+Info!$B$2</f>
        <v>724</v>
      </c>
      <c r="B453" s="694" t="s">
        <v>5679</v>
      </c>
      <c r="C453" s="694" t="s">
        <v>5680</v>
      </c>
      <c r="D453" s="695" t="s">
        <v>5681</v>
      </c>
      <c r="E453" s="696"/>
      <c r="F453" s="697"/>
      <c r="G453" s="697"/>
      <c r="H453" s="698"/>
      <c r="I453" s="698"/>
      <c r="J453" s="697"/>
      <c r="K453" s="697"/>
      <c r="L453" s="697"/>
      <c r="M453" s="697"/>
      <c r="N453" s="698"/>
      <c r="O453" s="698"/>
      <c r="P453" s="698"/>
      <c r="Q453" s="697"/>
      <c r="R453" s="698"/>
      <c r="S453" s="697"/>
      <c r="T453" s="697"/>
      <c r="U453" s="697"/>
      <c r="V453" s="697"/>
      <c r="W453" s="698"/>
      <c r="X453" s="698"/>
      <c r="Y453" s="697"/>
      <c r="Z453" s="697"/>
      <c r="AA453" s="697"/>
      <c r="AB453" s="697"/>
      <c r="AC453" s="697"/>
    </row>
    <row r="454" spans="1:29" x14ac:dyDescent="0.2">
      <c r="A454" s="694" t="str">
        <f>+Info!$B$2</f>
        <v>724</v>
      </c>
      <c r="B454" s="694" t="s">
        <v>5682</v>
      </c>
      <c r="C454" s="694" t="s">
        <v>5683</v>
      </c>
      <c r="D454" s="695" t="s">
        <v>5684</v>
      </c>
      <c r="E454" s="696"/>
      <c r="F454" s="697"/>
      <c r="G454" s="697"/>
      <c r="H454" s="698"/>
      <c r="I454" s="698"/>
      <c r="J454" s="697"/>
      <c r="K454" s="697"/>
      <c r="L454" s="697"/>
      <c r="M454" s="697"/>
      <c r="N454" s="698"/>
      <c r="O454" s="698"/>
      <c r="P454" s="698"/>
      <c r="Q454" s="697"/>
      <c r="R454" s="698"/>
      <c r="S454" s="697"/>
      <c r="T454" s="697"/>
      <c r="U454" s="697"/>
      <c r="V454" s="697"/>
      <c r="W454" s="698"/>
      <c r="X454" s="698"/>
      <c r="Y454" s="697"/>
      <c r="Z454" s="697"/>
      <c r="AA454" s="697"/>
      <c r="AB454" s="697"/>
      <c r="AC454" s="697"/>
    </row>
    <row r="455" spans="1:29" x14ac:dyDescent="0.2">
      <c r="A455" s="694" t="str">
        <f>+Info!$B$2</f>
        <v>724</v>
      </c>
      <c r="B455" s="694" t="s">
        <v>5685</v>
      </c>
      <c r="C455" s="694" t="s">
        <v>5686</v>
      </c>
      <c r="D455" s="695" t="s">
        <v>5687</v>
      </c>
      <c r="E455" s="696"/>
      <c r="F455" s="697"/>
      <c r="G455" s="697"/>
      <c r="H455" s="698"/>
      <c r="I455" s="698"/>
      <c r="J455" s="697"/>
      <c r="K455" s="697"/>
      <c r="L455" s="697"/>
      <c r="M455" s="697"/>
      <c r="N455" s="698"/>
      <c r="O455" s="698"/>
      <c r="P455" s="698"/>
      <c r="Q455" s="697"/>
      <c r="R455" s="698"/>
      <c r="S455" s="697"/>
      <c r="T455" s="697"/>
      <c r="U455" s="697"/>
      <c r="V455" s="697"/>
      <c r="W455" s="698"/>
      <c r="X455" s="698"/>
      <c r="Y455" s="697"/>
      <c r="Z455" s="697"/>
      <c r="AA455" s="697"/>
      <c r="AB455" s="698"/>
      <c r="AC455" s="698"/>
    </row>
    <row r="456" spans="1:29" ht="25.5" x14ac:dyDescent="0.2">
      <c r="A456" s="694" t="str">
        <f>+Info!$B$2</f>
        <v>724</v>
      </c>
      <c r="B456" s="694" t="s">
        <v>5688</v>
      </c>
      <c r="C456" s="694" t="s">
        <v>5689</v>
      </c>
      <c r="D456" s="695" t="s">
        <v>5690</v>
      </c>
      <c r="E456" s="696"/>
      <c r="F456" s="697"/>
      <c r="G456" s="697"/>
      <c r="H456" s="698"/>
      <c r="I456" s="698"/>
      <c r="J456" s="697"/>
      <c r="K456" s="697"/>
      <c r="L456" s="697"/>
      <c r="M456" s="697"/>
      <c r="N456" s="698"/>
      <c r="O456" s="698"/>
      <c r="P456" s="698"/>
      <c r="Q456" s="697"/>
      <c r="R456" s="698"/>
      <c r="S456" s="697"/>
      <c r="T456" s="697"/>
      <c r="U456" s="697"/>
      <c r="V456" s="697"/>
      <c r="W456" s="698"/>
      <c r="X456" s="698"/>
      <c r="Y456" s="697"/>
      <c r="Z456" s="697"/>
      <c r="AA456" s="697"/>
      <c r="AB456" s="698"/>
      <c r="AC456" s="698"/>
    </row>
    <row r="457" spans="1:29" x14ac:dyDescent="0.2">
      <c r="A457" s="694" t="str">
        <f>+Info!$B$2</f>
        <v>724</v>
      </c>
      <c r="B457" s="694" t="s">
        <v>5691</v>
      </c>
      <c r="C457" s="694" t="s">
        <v>5692</v>
      </c>
      <c r="D457" s="695" t="s">
        <v>5693</v>
      </c>
      <c r="E457" s="696"/>
      <c r="F457" s="697"/>
      <c r="G457" s="697"/>
      <c r="H457" s="698"/>
      <c r="I457" s="698"/>
      <c r="J457" s="697"/>
      <c r="K457" s="697"/>
      <c r="L457" s="697"/>
      <c r="M457" s="697"/>
      <c r="N457" s="698"/>
      <c r="O457" s="698"/>
      <c r="P457" s="698"/>
      <c r="Q457" s="697"/>
      <c r="R457" s="698"/>
      <c r="S457" s="697"/>
      <c r="T457" s="697"/>
      <c r="U457" s="697"/>
      <c r="V457" s="697"/>
      <c r="W457" s="698"/>
      <c r="X457" s="698"/>
      <c r="Y457" s="697"/>
      <c r="Z457" s="697"/>
      <c r="AA457" s="697"/>
      <c r="AB457" s="697"/>
      <c r="AC457" s="697"/>
    </row>
    <row r="458" spans="1:29" x14ac:dyDescent="0.2">
      <c r="A458" s="694" t="str">
        <f>+Info!$B$2</f>
        <v>724</v>
      </c>
      <c r="B458" s="694" t="s">
        <v>5694</v>
      </c>
      <c r="C458" s="694" t="s">
        <v>5695</v>
      </c>
      <c r="D458" s="695" t="s">
        <v>5696</v>
      </c>
      <c r="E458" s="696"/>
      <c r="F458" s="697"/>
      <c r="G458" s="697"/>
      <c r="H458" s="698"/>
      <c r="I458" s="698"/>
      <c r="J458" s="697"/>
      <c r="K458" s="697"/>
      <c r="L458" s="697"/>
      <c r="M458" s="697"/>
      <c r="N458" s="698"/>
      <c r="O458" s="698"/>
      <c r="P458" s="698"/>
      <c r="Q458" s="697"/>
      <c r="R458" s="698"/>
      <c r="S458" s="697"/>
      <c r="T458" s="697"/>
      <c r="U458" s="697"/>
      <c r="V458" s="697"/>
      <c r="W458" s="698"/>
      <c r="X458" s="698"/>
      <c r="Y458" s="697"/>
      <c r="Z458" s="697"/>
      <c r="AA458" s="697"/>
      <c r="AB458" s="697"/>
      <c r="AC458" s="697"/>
    </row>
    <row r="459" spans="1:29" x14ac:dyDescent="0.2">
      <c r="A459" s="694" t="str">
        <f>+Info!$B$2</f>
        <v>724</v>
      </c>
      <c r="B459" s="694" t="s">
        <v>5697</v>
      </c>
      <c r="C459" s="694" t="s">
        <v>5698</v>
      </c>
      <c r="D459" s="695" t="s">
        <v>5699</v>
      </c>
      <c r="E459" s="696"/>
      <c r="F459" s="697"/>
      <c r="G459" s="697"/>
      <c r="H459" s="698"/>
      <c r="I459" s="698"/>
      <c r="J459" s="697"/>
      <c r="K459" s="697"/>
      <c r="L459" s="697"/>
      <c r="M459" s="697"/>
      <c r="N459" s="698"/>
      <c r="O459" s="698"/>
      <c r="P459" s="698"/>
      <c r="Q459" s="697"/>
      <c r="R459" s="698"/>
      <c r="S459" s="697"/>
      <c r="T459" s="697"/>
      <c r="U459" s="697"/>
      <c r="V459" s="697"/>
      <c r="W459" s="698"/>
      <c r="X459" s="698"/>
      <c r="Y459" s="697"/>
      <c r="Z459" s="697"/>
      <c r="AA459" s="697"/>
      <c r="AB459" s="697"/>
      <c r="AC459" s="697"/>
    </row>
    <row r="460" spans="1:29" x14ac:dyDescent="0.2">
      <c r="A460" s="694" t="str">
        <f>+Info!$B$2</f>
        <v>724</v>
      </c>
      <c r="B460" s="694" t="s">
        <v>5700</v>
      </c>
      <c r="C460" s="694" t="s">
        <v>5701</v>
      </c>
      <c r="D460" s="695" t="s">
        <v>5702</v>
      </c>
      <c r="E460" s="696"/>
      <c r="F460" s="697"/>
      <c r="G460" s="697"/>
      <c r="H460" s="698"/>
      <c r="I460" s="698"/>
      <c r="J460" s="697"/>
      <c r="K460" s="697"/>
      <c r="L460" s="697"/>
      <c r="M460" s="697"/>
      <c r="N460" s="698"/>
      <c r="O460" s="698"/>
      <c r="P460" s="698"/>
      <c r="Q460" s="697"/>
      <c r="R460" s="698"/>
      <c r="S460" s="697"/>
      <c r="T460" s="697"/>
      <c r="U460" s="697"/>
      <c r="V460" s="697"/>
      <c r="W460" s="698"/>
      <c r="X460" s="698"/>
      <c r="Y460" s="697"/>
      <c r="Z460" s="697"/>
      <c r="AA460" s="697"/>
      <c r="AB460" s="697"/>
      <c r="AC460" s="697"/>
    </row>
    <row r="461" spans="1:29" x14ac:dyDescent="0.2">
      <c r="A461" s="694" t="str">
        <f>+Info!$B$2</f>
        <v>724</v>
      </c>
      <c r="B461" s="694" t="s">
        <v>5703</v>
      </c>
      <c r="C461" s="694" t="s">
        <v>5704</v>
      </c>
      <c r="D461" s="695" t="s">
        <v>5705</v>
      </c>
      <c r="E461" s="696"/>
      <c r="F461" s="697"/>
      <c r="G461" s="697"/>
      <c r="H461" s="698"/>
      <c r="I461" s="698"/>
      <c r="J461" s="697"/>
      <c r="K461" s="697"/>
      <c r="L461" s="697"/>
      <c r="M461" s="697"/>
      <c r="N461" s="698"/>
      <c r="O461" s="698"/>
      <c r="P461" s="698"/>
      <c r="Q461" s="697"/>
      <c r="R461" s="698"/>
      <c r="S461" s="697"/>
      <c r="T461" s="697"/>
      <c r="U461" s="697"/>
      <c r="V461" s="697"/>
      <c r="W461" s="698"/>
      <c r="X461" s="698"/>
      <c r="Y461" s="697"/>
      <c r="Z461" s="697"/>
      <c r="AA461" s="697"/>
      <c r="AB461" s="697"/>
      <c r="AC461" s="697"/>
    </row>
    <row r="462" spans="1:29" x14ac:dyDescent="0.2">
      <c r="A462" s="694" t="str">
        <f>+Info!$B$2</f>
        <v>724</v>
      </c>
      <c r="B462" s="694" t="s">
        <v>5706</v>
      </c>
      <c r="C462" s="694" t="s">
        <v>5707</v>
      </c>
      <c r="D462" s="695" t="s">
        <v>5708</v>
      </c>
      <c r="E462" s="696"/>
      <c r="F462" s="697"/>
      <c r="G462" s="697"/>
      <c r="H462" s="698"/>
      <c r="I462" s="698"/>
      <c r="J462" s="697"/>
      <c r="K462" s="697"/>
      <c r="L462" s="697"/>
      <c r="M462" s="697"/>
      <c r="N462" s="698"/>
      <c r="O462" s="698"/>
      <c r="P462" s="698"/>
      <c r="Q462" s="697"/>
      <c r="R462" s="698"/>
      <c r="S462" s="697"/>
      <c r="T462" s="697"/>
      <c r="U462" s="697"/>
      <c r="V462" s="697"/>
      <c r="W462" s="698"/>
      <c r="X462" s="698"/>
      <c r="Y462" s="697"/>
      <c r="Z462" s="697"/>
      <c r="AA462" s="697"/>
      <c r="AB462" s="697"/>
      <c r="AC462" s="697"/>
    </row>
    <row r="463" spans="1:29" x14ac:dyDescent="0.2">
      <c r="A463" s="694" t="str">
        <f>+Info!$B$2</f>
        <v>724</v>
      </c>
      <c r="B463" s="694" t="s">
        <v>5709</v>
      </c>
      <c r="C463" s="694" t="s">
        <v>5710</v>
      </c>
      <c r="D463" s="695" t="s">
        <v>5711</v>
      </c>
      <c r="E463" s="696"/>
      <c r="F463" s="697"/>
      <c r="G463" s="697"/>
      <c r="H463" s="698"/>
      <c r="I463" s="698"/>
      <c r="J463" s="697"/>
      <c r="K463" s="697"/>
      <c r="L463" s="697"/>
      <c r="M463" s="697"/>
      <c r="N463" s="698"/>
      <c r="O463" s="698"/>
      <c r="P463" s="698"/>
      <c r="Q463" s="697"/>
      <c r="R463" s="698"/>
      <c r="S463" s="697"/>
      <c r="T463" s="697"/>
      <c r="U463" s="697"/>
      <c r="V463" s="697"/>
      <c r="W463" s="698"/>
      <c r="X463" s="698"/>
      <c r="Y463" s="697"/>
      <c r="Z463" s="697"/>
      <c r="AA463" s="697"/>
      <c r="AB463" s="697"/>
      <c r="AC463" s="697"/>
    </row>
    <row r="464" spans="1:29" x14ac:dyDescent="0.2">
      <c r="A464" s="694" t="str">
        <f>+Info!$B$2</f>
        <v>724</v>
      </c>
      <c r="B464" s="694" t="s">
        <v>5712</v>
      </c>
      <c r="C464" s="694" t="s">
        <v>5713</v>
      </c>
      <c r="D464" s="695" t="s">
        <v>5714</v>
      </c>
      <c r="E464" s="696"/>
      <c r="F464" s="697"/>
      <c r="G464" s="697"/>
      <c r="H464" s="698"/>
      <c r="I464" s="698"/>
      <c r="J464" s="697"/>
      <c r="K464" s="697"/>
      <c r="L464" s="697"/>
      <c r="M464" s="697"/>
      <c r="N464" s="698"/>
      <c r="O464" s="698"/>
      <c r="P464" s="698"/>
      <c r="Q464" s="697"/>
      <c r="R464" s="698"/>
      <c r="S464" s="697"/>
      <c r="T464" s="697"/>
      <c r="U464" s="697"/>
      <c r="V464" s="697"/>
      <c r="W464" s="698"/>
      <c r="X464" s="698"/>
      <c r="Y464" s="697"/>
      <c r="Z464" s="697"/>
      <c r="AA464" s="697"/>
      <c r="AB464" s="697"/>
      <c r="AC464" s="697"/>
    </row>
    <row r="465" spans="1:29" ht="25.5" x14ac:dyDescent="0.2">
      <c r="A465" s="694" t="str">
        <f>+Info!$B$2</f>
        <v>724</v>
      </c>
      <c r="B465" s="694" t="s">
        <v>5715</v>
      </c>
      <c r="C465" s="694" t="s">
        <v>5716</v>
      </c>
      <c r="D465" s="695" t="s">
        <v>5717</v>
      </c>
      <c r="E465" s="696"/>
      <c r="F465" s="697"/>
      <c r="G465" s="697"/>
      <c r="H465" s="698"/>
      <c r="I465" s="698"/>
      <c r="J465" s="697"/>
      <c r="K465" s="697"/>
      <c r="L465" s="697"/>
      <c r="M465" s="697"/>
      <c r="N465" s="698"/>
      <c r="O465" s="698"/>
      <c r="P465" s="698"/>
      <c r="Q465" s="697"/>
      <c r="R465" s="698"/>
      <c r="S465" s="697"/>
      <c r="T465" s="697"/>
      <c r="U465" s="697"/>
      <c r="V465" s="697"/>
      <c r="W465" s="698"/>
      <c r="X465" s="698"/>
      <c r="Y465" s="697"/>
      <c r="Z465" s="697"/>
      <c r="AA465" s="697"/>
      <c r="AB465" s="697"/>
      <c r="AC465" s="697"/>
    </row>
    <row r="466" spans="1:29" x14ac:dyDescent="0.2">
      <c r="A466" s="694" t="str">
        <f>+Info!$B$2</f>
        <v>724</v>
      </c>
      <c r="B466" s="694" t="s">
        <v>5718</v>
      </c>
      <c r="C466" s="694" t="s">
        <v>5719</v>
      </c>
      <c r="D466" s="695" t="s">
        <v>5720</v>
      </c>
      <c r="E466" s="696"/>
      <c r="F466" s="697"/>
      <c r="G466" s="697"/>
      <c r="H466" s="698"/>
      <c r="I466" s="698"/>
      <c r="J466" s="697"/>
      <c r="K466" s="697"/>
      <c r="L466" s="697"/>
      <c r="M466" s="697"/>
      <c r="N466" s="698"/>
      <c r="O466" s="698"/>
      <c r="P466" s="698"/>
      <c r="Q466" s="697"/>
      <c r="R466" s="698"/>
      <c r="S466" s="697"/>
      <c r="T466" s="697"/>
      <c r="U466" s="697"/>
      <c r="V466" s="697"/>
      <c r="W466" s="698"/>
      <c r="X466" s="698"/>
      <c r="Y466" s="697"/>
      <c r="Z466" s="697"/>
      <c r="AA466" s="697"/>
      <c r="AB466" s="697"/>
      <c r="AC466" s="697"/>
    </row>
    <row r="467" spans="1:29" x14ac:dyDescent="0.2">
      <c r="A467" s="694" t="str">
        <f>+Info!$B$2</f>
        <v>724</v>
      </c>
      <c r="B467" s="694" t="s">
        <v>5721</v>
      </c>
      <c r="C467" s="694" t="s">
        <v>5722</v>
      </c>
      <c r="D467" s="695" t="s">
        <v>5723</v>
      </c>
      <c r="E467" s="696"/>
      <c r="F467" s="697"/>
      <c r="G467" s="697"/>
      <c r="H467" s="698"/>
      <c r="I467" s="698"/>
      <c r="J467" s="697"/>
      <c r="K467" s="697"/>
      <c r="L467" s="697"/>
      <c r="M467" s="697"/>
      <c r="N467" s="698"/>
      <c r="O467" s="698"/>
      <c r="P467" s="698"/>
      <c r="Q467" s="697"/>
      <c r="R467" s="698"/>
      <c r="S467" s="697"/>
      <c r="T467" s="697"/>
      <c r="U467" s="697"/>
      <c r="V467" s="697"/>
      <c r="W467" s="698"/>
      <c r="X467" s="698"/>
      <c r="Y467" s="697"/>
      <c r="Z467" s="697"/>
      <c r="AA467" s="697"/>
      <c r="AB467" s="698"/>
      <c r="AC467" s="698"/>
    </row>
    <row r="468" spans="1:29" ht="25.5" x14ac:dyDescent="0.2">
      <c r="A468" s="694" t="str">
        <f>+Info!$B$2</f>
        <v>724</v>
      </c>
      <c r="B468" s="694" t="s">
        <v>5724</v>
      </c>
      <c r="C468" s="694" t="s">
        <v>5725</v>
      </c>
      <c r="D468" s="695" t="s">
        <v>5726</v>
      </c>
      <c r="E468" s="696"/>
      <c r="F468" s="697"/>
      <c r="G468" s="697"/>
      <c r="H468" s="698"/>
      <c r="I468" s="698"/>
      <c r="J468" s="697"/>
      <c r="K468" s="697"/>
      <c r="L468" s="697"/>
      <c r="M468" s="697"/>
      <c r="N468" s="698"/>
      <c r="O468" s="698"/>
      <c r="P468" s="698"/>
      <c r="Q468" s="697"/>
      <c r="R468" s="698"/>
      <c r="S468" s="697"/>
      <c r="T468" s="697"/>
      <c r="U468" s="697"/>
      <c r="V468" s="697"/>
      <c r="W468" s="698"/>
      <c r="X468" s="698"/>
      <c r="Y468" s="697"/>
      <c r="Z468" s="697"/>
      <c r="AA468" s="697"/>
      <c r="AB468" s="698"/>
      <c r="AC468" s="698"/>
    </row>
    <row r="469" spans="1:29" x14ac:dyDescent="0.2">
      <c r="A469" s="694" t="str">
        <f>+Info!$B$2</f>
        <v>724</v>
      </c>
      <c r="B469" s="694" t="s">
        <v>5727</v>
      </c>
      <c r="C469" s="694" t="s">
        <v>5728</v>
      </c>
      <c r="D469" s="695" t="s">
        <v>5729</v>
      </c>
      <c r="E469" s="696"/>
      <c r="F469" s="697"/>
      <c r="G469" s="697"/>
      <c r="H469" s="698"/>
      <c r="I469" s="698"/>
      <c r="J469" s="697"/>
      <c r="K469" s="697"/>
      <c r="L469" s="697"/>
      <c r="M469" s="697"/>
      <c r="N469" s="698"/>
      <c r="O469" s="698"/>
      <c r="P469" s="698"/>
      <c r="Q469" s="697"/>
      <c r="R469" s="698"/>
      <c r="S469" s="697"/>
      <c r="T469" s="697"/>
      <c r="U469" s="697"/>
      <c r="V469" s="697"/>
      <c r="W469" s="698"/>
      <c r="X469" s="698"/>
      <c r="Y469" s="697"/>
      <c r="Z469" s="697"/>
      <c r="AA469" s="697"/>
      <c r="AB469" s="697"/>
      <c r="AC469" s="697"/>
    </row>
    <row r="470" spans="1:29" x14ac:dyDescent="0.2">
      <c r="A470" s="694" t="str">
        <f>+Info!$B$2</f>
        <v>724</v>
      </c>
      <c r="B470" s="694" t="s">
        <v>5730</v>
      </c>
      <c r="C470" s="694" t="s">
        <v>5731</v>
      </c>
      <c r="D470" s="695" t="s">
        <v>5732</v>
      </c>
      <c r="E470" s="696"/>
      <c r="F470" s="697"/>
      <c r="G470" s="697"/>
      <c r="H470" s="698"/>
      <c r="I470" s="698"/>
      <c r="J470" s="697"/>
      <c r="K470" s="697"/>
      <c r="L470" s="697"/>
      <c r="M470" s="697"/>
      <c r="N470" s="698"/>
      <c r="O470" s="698"/>
      <c r="P470" s="698"/>
      <c r="Q470" s="697"/>
      <c r="R470" s="698"/>
      <c r="S470" s="697"/>
      <c r="T470" s="697"/>
      <c r="U470" s="697"/>
      <c r="V470" s="697"/>
      <c r="W470" s="698"/>
      <c r="X470" s="698"/>
      <c r="Y470" s="697"/>
      <c r="Z470" s="697"/>
      <c r="AA470" s="697"/>
      <c r="AB470" s="697"/>
      <c r="AC470" s="697"/>
    </row>
    <row r="471" spans="1:29" x14ac:dyDescent="0.2">
      <c r="A471" s="694" t="str">
        <f>+Info!$B$2</f>
        <v>724</v>
      </c>
      <c r="B471" s="694" t="s">
        <v>5733</v>
      </c>
      <c r="C471" s="694" t="s">
        <v>5734</v>
      </c>
      <c r="D471" s="695" t="s">
        <v>5735</v>
      </c>
      <c r="E471" s="696"/>
      <c r="F471" s="697"/>
      <c r="G471" s="697"/>
      <c r="H471" s="698"/>
      <c r="I471" s="698"/>
      <c r="J471" s="697"/>
      <c r="K471" s="697"/>
      <c r="L471" s="697"/>
      <c r="M471" s="697"/>
      <c r="N471" s="698"/>
      <c r="O471" s="698"/>
      <c r="P471" s="698"/>
      <c r="Q471" s="697"/>
      <c r="R471" s="698"/>
      <c r="S471" s="697"/>
      <c r="T471" s="697"/>
      <c r="U471" s="697"/>
      <c r="V471" s="697"/>
      <c r="W471" s="698"/>
      <c r="X471" s="698"/>
      <c r="Y471" s="697"/>
      <c r="Z471" s="697"/>
      <c r="AA471" s="697"/>
      <c r="AB471" s="697"/>
      <c r="AC471" s="697"/>
    </row>
    <row r="472" spans="1:29" x14ac:dyDescent="0.2">
      <c r="A472" s="694" t="str">
        <f>+Info!$B$2</f>
        <v>724</v>
      </c>
      <c r="B472" s="694" t="s">
        <v>5736</v>
      </c>
      <c r="C472" s="694" t="s">
        <v>5737</v>
      </c>
      <c r="D472" s="695" t="s">
        <v>5738</v>
      </c>
      <c r="E472" s="696"/>
      <c r="F472" s="697"/>
      <c r="G472" s="697"/>
      <c r="H472" s="698"/>
      <c r="I472" s="698"/>
      <c r="J472" s="697"/>
      <c r="K472" s="697"/>
      <c r="L472" s="697"/>
      <c r="M472" s="697"/>
      <c r="N472" s="698"/>
      <c r="O472" s="698"/>
      <c r="P472" s="698"/>
      <c r="Q472" s="697"/>
      <c r="R472" s="698"/>
      <c r="S472" s="697"/>
      <c r="T472" s="697"/>
      <c r="U472" s="697"/>
      <c r="V472" s="697"/>
      <c r="W472" s="698"/>
      <c r="X472" s="698"/>
      <c r="Y472" s="697"/>
      <c r="Z472" s="697"/>
      <c r="AA472" s="697"/>
      <c r="AB472" s="697"/>
      <c r="AC472" s="697"/>
    </row>
    <row r="473" spans="1:29" x14ac:dyDescent="0.2">
      <c r="A473" s="694" t="str">
        <f>+Info!$B$2</f>
        <v>724</v>
      </c>
      <c r="B473" s="694" t="s">
        <v>5739</v>
      </c>
      <c r="C473" s="694" t="s">
        <v>5740</v>
      </c>
      <c r="D473" s="695" t="s">
        <v>5741</v>
      </c>
      <c r="E473" s="696"/>
      <c r="F473" s="697"/>
      <c r="G473" s="697"/>
      <c r="H473" s="698"/>
      <c r="I473" s="698"/>
      <c r="J473" s="697"/>
      <c r="K473" s="697"/>
      <c r="L473" s="697"/>
      <c r="M473" s="697"/>
      <c r="N473" s="698"/>
      <c r="O473" s="698"/>
      <c r="P473" s="698"/>
      <c r="Q473" s="697"/>
      <c r="R473" s="698"/>
      <c r="S473" s="697"/>
      <c r="T473" s="697"/>
      <c r="U473" s="697"/>
      <c r="V473" s="697"/>
      <c r="W473" s="698"/>
      <c r="X473" s="698"/>
      <c r="Y473" s="697"/>
      <c r="Z473" s="697"/>
      <c r="AA473" s="697"/>
      <c r="AB473" s="697"/>
      <c r="AC473" s="697"/>
    </row>
    <row r="474" spans="1:29" x14ac:dyDescent="0.2">
      <c r="A474" s="694" t="str">
        <f>+Info!$B$2</f>
        <v>724</v>
      </c>
      <c r="B474" s="694" t="s">
        <v>5742</v>
      </c>
      <c r="C474" s="694" t="s">
        <v>5743</v>
      </c>
      <c r="D474" s="695" t="s">
        <v>5744</v>
      </c>
      <c r="E474" s="696"/>
      <c r="F474" s="697"/>
      <c r="G474" s="697"/>
      <c r="H474" s="698"/>
      <c r="I474" s="698"/>
      <c r="J474" s="697"/>
      <c r="K474" s="697"/>
      <c r="L474" s="697"/>
      <c r="M474" s="697"/>
      <c r="N474" s="698"/>
      <c r="O474" s="698"/>
      <c r="P474" s="698"/>
      <c r="Q474" s="697"/>
      <c r="R474" s="698"/>
      <c r="S474" s="697"/>
      <c r="T474" s="697"/>
      <c r="U474" s="697"/>
      <c r="V474" s="697"/>
      <c r="W474" s="698"/>
      <c r="X474" s="698"/>
      <c r="Y474" s="697"/>
      <c r="Z474" s="697"/>
      <c r="AA474" s="697"/>
      <c r="AB474" s="697"/>
      <c r="AC474" s="697"/>
    </row>
    <row r="475" spans="1:29" x14ac:dyDescent="0.2">
      <c r="A475" s="694" t="str">
        <f>+Info!$B$2</f>
        <v>724</v>
      </c>
      <c r="B475" s="694" t="s">
        <v>5745</v>
      </c>
      <c r="C475" s="694" t="s">
        <v>5746</v>
      </c>
      <c r="D475" s="695" t="s">
        <v>5747</v>
      </c>
      <c r="E475" s="696"/>
      <c r="F475" s="697"/>
      <c r="G475" s="697"/>
      <c r="H475" s="698"/>
      <c r="I475" s="698"/>
      <c r="J475" s="697"/>
      <c r="K475" s="697"/>
      <c r="L475" s="697"/>
      <c r="M475" s="697"/>
      <c r="N475" s="698"/>
      <c r="O475" s="698"/>
      <c r="P475" s="698"/>
      <c r="Q475" s="697"/>
      <c r="R475" s="698"/>
      <c r="S475" s="697"/>
      <c r="T475" s="697"/>
      <c r="U475" s="697"/>
      <c r="V475" s="697"/>
      <c r="W475" s="698"/>
      <c r="X475" s="698"/>
      <c r="Y475" s="697"/>
      <c r="Z475" s="697"/>
      <c r="AA475" s="697"/>
      <c r="AB475" s="697"/>
      <c r="AC475" s="697"/>
    </row>
    <row r="476" spans="1:29" x14ac:dyDescent="0.2">
      <c r="A476" s="694" t="str">
        <f>+Info!$B$2</f>
        <v>724</v>
      </c>
      <c r="B476" s="694" t="s">
        <v>5748</v>
      </c>
      <c r="C476" s="694" t="s">
        <v>5749</v>
      </c>
      <c r="D476" s="695" t="s">
        <v>5750</v>
      </c>
      <c r="E476" s="696"/>
      <c r="F476" s="697"/>
      <c r="G476" s="697"/>
      <c r="H476" s="698"/>
      <c r="I476" s="698"/>
      <c r="J476" s="697"/>
      <c r="K476" s="697"/>
      <c r="L476" s="697"/>
      <c r="M476" s="697"/>
      <c r="N476" s="698"/>
      <c r="O476" s="698"/>
      <c r="P476" s="698"/>
      <c r="Q476" s="697"/>
      <c r="R476" s="698"/>
      <c r="S476" s="697"/>
      <c r="T476" s="697"/>
      <c r="U476" s="697"/>
      <c r="V476" s="697"/>
      <c r="W476" s="698"/>
      <c r="X476" s="698"/>
      <c r="Y476" s="697"/>
      <c r="Z476" s="697"/>
      <c r="AA476" s="697"/>
      <c r="AB476" s="697"/>
      <c r="AC476" s="697"/>
    </row>
    <row r="477" spans="1:29" x14ac:dyDescent="0.2">
      <c r="A477" s="694" t="str">
        <f>+Info!$B$2</f>
        <v>724</v>
      </c>
      <c r="B477" s="694" t="s">
        <v>5751</v>
      </c>
      <c r="C477" s="694" t="s">
        <v>5752</v>
      </c>
      <c r="D477" s="695" t="s">
        <v>5753</v>
      </c>
      <c r="E477" s="696"/>
      <c r="F477" s="697"/>
      <c r="G477" s="697"/>
      <c r="H477" s="698"/>
      <c r="I477" s="698"/>
      <c r="J477" s="697"/>
      <c r="K477" s="697"/>
      <c r="L477" s="697"/>
      <c r="M477" s="697"/>
      <c r="N477" s="698"/>
      <c r="O477" s="698"/>
      <c r="P477" s="698"/>
      <c r="Q477" s="697"/>
      <c r="R477" s="698"/>
      <c r="S477" s="697"/>
      <c r="T477" s="697"/>
      <c r="U477" s="697"/>
      <c r="V477" s="697"/>
      <c r="W477" s="698"/>
      <c r="X477" s="698"/>
      <c r="Y477" s="697"/>
      <c r="Z477" s="697"/>
      <c r="AA477" s="697"/>
      <c r="AB477" s="697"/>
      <c r="AC477" s="697"/>
    </row>
    <row r="478" spans="1:29" x14ac:dyDescent="0.2">
      <c r="A478" s="694" t="str">
        <f>+Info!$B$2</f>
        <v>724</v>
      </c>
      <c r="B478" s="694" t="s">
        <v>5754</v>
      </c>
      <c r="C478" s="694" t="s">
        <v>5755</v>
      </c>
      <c r="D478" s="695" t="s">
        <v>5756</v>
      </c>
      <c r="E478" s="696"/>
      <c r="F478" s="697"/>
      <c r="G478" s="697"/>
      <c r="H478" s="698"/>
      <c r="I478" s="698"/>
      <c r="J478" s="697"/>
      <c r="K478" s="697"/>
      <c r="L478" s="697"/>
      <c r="M478" s="697"/>
      <c r="N478" s="698"/>
      <c r="O478" s="698"/>
      <c r="P478" s="698"/>
      <c r="Q478" s="697"/>
      <c r="R478" s="698"/>
      <c r="S478" s="697"/>
      <c r="T478" s="697"/>
      <c r="U478" s="697"/>
      <c r="V478" s="697"/>
      <c r="W478" s="698"/>
      <c r="X478" s="698"/>
      <c r="Y478" s="697"/>
      <c r="Z478" s="697"/>
      <c r="AA478" s="697"/>
      <c r="AB478" s="697"/>
      <c r="AC478" s="697"/>
    </row>
    <row r="479" spans="1:29" x14ac:dyDescent="0.2">
      <c r="A479" s="694" t="str">
        <f>+Info!$B$2</f>
        <v>724</v>
      </c>
      <c r="B479" s="694" t="s">
        <v>5757</v>
      </c>
      <c r="C479" s="694" t="s">
        <v>5758</v>
      </c>
      <c r="D479" s="695" t="s">
        <v>5759</v>
      </c>
      <c r="E479" s="696"/>
      <c r="F479" s="697"/>
      <c r="G479" s="697"/>
      <c r="H479" s="698"/>
      <c r="I479" s="698"/>
      <c r="J479" s="697"/>
      <c r="K479" s="697"/>
      <c r="L479" s="697"/>
      <c r="M479" s="697"/>
      <c r="N479" s="698"/>
      <c r="O479" s="698"/>
      <c r="P479" s="698"/>
      <c r="Q479" s="697"/>
      <c r="R479" s="698"/>
      <c r="S479" s="697"/>
      <c r="T479" s="697"/>
      <c r="U479" s="697"/>
      <c r="V479" s="697"/>
      <c r="W479" s="698"/>
      <c r="X479" s="698"/>
      <c r="Y479" s="697"/>
      <c r="Z479" s="697"/>
      <c r="AA479" s="697"/>
      <c r="AB479" s="698"/>
      <c r="AC479" s="698"/>
    </row>
    <row r="480" spans="1:29" x14ac:dyDescent="0.2">
      <c r="A480" s="694" t="str">
        <f>+Info!$B$2</f>
        <v>724</v>
      </c>
      <c r="B480" s="694" t="s">
        <v>5760</v>
      </c>
      <c r="C480" s="694" t="s">
        <v>5761</v>
      </c>
      <c r="D480" s="695" t="s">
        <v>5762</v>
      </c>
      <c r="E480" s="696"/>
      <c r="F480" s="697"/>
      <c r="G480" s="697"/>
      <c r="H480" s="698"/>
      <c r="I480" s="698"/>
      <c r="J480" s="697"/>
      <c r="K480" s="697"/>
      <c r="L480" s="697"/>
      <c r="M480" s="697"/>
      <c r="N480" s="698"/>
      <c r="O480" s="698"/>
      <c r="P480" s="698"/>
      <c r="Q480" s="697"/>
      <c r="R480" s="698"/>
      <c r="S480" s="697"/>
      <c r="T480" s="697"/>
      <c r="U480" s="697"/>
      <c r="V480" s="697"/>
      <c r="W480" s="698"/>
      <c r="X480" s="698"/>
      <c r="Y480" s="697"/>
      <c r="Z480" s="697"/>
      <c r="AA480" s="697"/>
      <c r="AB480" s="698"/>
      <c r="AC480" s="698"/>
    </row>
    <row r="481" spans="1:29" x14ac:dyDescent="0.2">
      <c r="A481" s="694" t="str">
        <f>+Info!$B$2</f>
        <v>724</v>
      </c>
      <c r="B481" s="694" t="s">
        <v>5763</v>
      </c>
      <c r="C481" s="694" t="s">
        <v>5764</v>
      </c>
      <c r="D481" s="695" t="s">
        <v>5765</v>
      </c>
      <c r="E481" s="696"/>
      <c r="F481" s="697"/>
      <c r="G481" s="697"/>
      <c r="H481" s="698"/>
      <c r="I481" s="698"/>
      <c r="J481" s="697"/>
      <c r="K481" s="697"/>
      <c r="L481" s="697"/>
      <c r="M481" s="697"/>
      <c r="N481" s="698"/>
      <c r="O481" s="698"/>
      <c r="P481" s="698"/>
      <c r="Q481" s="697"/>
      <c r="R481" s="698"/>
      <c r="S481" s="697"/>
      <c r="T481" s="697"/>
      <c r="U481" s="697"/>
      <c r="V481" s="697"/>
      <c r="W481" s="698"/>
      <c r="X481" s="698"/>
      <c r="Y481" s="697"/>
      <c r="Z481" s="697"/>
      <c r="AA481" s="697"/>
      <c r="AB481" s="697"/>
      <c r="AC481" s="697"/>
    </row>
    <row r="482" spans="1:29" x14ac:dyDescent="0.2">
      <c r="A482" s="694" t="str">
        <f>+Info!$B$2</f>
        <v>724</v>
      </c>
      <c r="B482" s="694" t="s">
        <v>5766</v>
      </c>
      <c r="C482" s="694" t="s">
        <v>5767</v>
      </c>
      <c r="D482" s="695" t="s">
        <v>5768</v>
      </c>
      <c r="E482" s="696"/>
      <c r="F482" s="697"/>
      <c r="G482" s="697"/>
      <c r="H482" s="698"/>
      <c r="I482" s="698"/>
      <c r="J482" s="697"/>
      <c r="K482" s="697"/>
      <c r="L482" s="697"/>
      <c r="M482" s="697"/>
      <c r="N482" s="698"/>
      <c r="O482" s="698"/>
      <c r="P482" s="698"/>
      <c r="Q482" s="697"/>
      <c r="R482" s="697"/>
      <c r="S482" s="698"/>
      <c r="T482" s="697"/>
      <c r="U482" s="697"/>
      <c r="V482" s="697"/>
      <c r="W482" s="698"/>
      <c r="X482" s="698"/>
      <c r="Y482" s="697"/>
      <c r="Z482" s="697"/>
      <c r="AA482" s="697"/>
      <c r="AB482" s="697"/>
      <c r="AC482" s="697"/>
    </row>
    <row r="483" spans="1:29" x14ac:dyDescent="0.2">
      <c r="A483" s="694" t="str">
        <f>+Info!$B$2</f>
        <v>724</v>
      </c>
      <c r="B483" s="694" t="s">
        <v>5769</v>
      </c>
      <c r="C483" s="694" t="s">
        <v>5770</v>
      </c>
      <c r="D483" s="695" t="s">
        <v>5771</v>
      </c>
      <c r="E483" s="696"/>
      <c r="F483" s="697"/>
      <c r="G483" s="697"/>
      <c r="H483" s="698"/>
      <c r="I483" s="698"/>
      <c r="J483" s="697"/>
      <c r="K483" s="697"/>
      <c r="L483" s="697"/>
      <c r="M483" s="697"/>
      <c r="N483" s="698"/>
      <c r="O483" s="698"/>
      <c r="P483" s="698"/>
      <c r="Q483" s="697"/>
      <c r="R483" s="697"/>
      <c r="S483" s="698"/>
      <c r="T483" s="697"/>
      <c r="U483" s="697"/>
      <c r="V483" s="697"/>
      <c r="W483" s="698"/>
      <c r="X483" s="698"/>
      <c r="Y483" s="697"/>
      <c r="Z483" s="697"/>
      <c r="AA483" s="697"/>
      <c r="AB483" s="697"/>
      <c r="AC483" s="697"/>
    </row>
    <row r="484" spans="1:29" x14ac:dyDescent="0.2">
      <c r="A484" s="694" t="str">
        <f>+Info!$B$2</f>
        <v>724</v>
      </c>
      <c r="B484" s="694" t="s">
        <v>5772</v>
      </c>
      <c r="C484" s="694" t="s">
        <v>5773</v>
      </c>
      <c r="D484" s="695" t="s">
        <v>5774</v>
      </c>
      <c r="E484" s="696"/>
      <c r="F484" s="697"/>
      <c r="G484" s="697"/>
      <c r="H484" s="698"/>
      <c r="I484" s="698"/>
      <c r="J484" s="697"/>
      <c r="K484" s="697"/>
      <c r="L484" s="697"/>
      <c r="M484" s="697"/>
      <c r="N484" s="698"/>
      <c r="O484" s="698"/>
      <c r="P484" s="698"/>
      <c r="Q484" s="697"/>
      <c r="R484" s="697"/>
      <c r="S484" s="698"/>
      <c r="T484" s="697"/>
      <c r="U484" s="697"/>
      <c r="V484" s="697"/>
      <c r="W484" s="698"/>
      <c r="X484" s="698"/>
      <c r="Y484" s="697"/>
      <c r="Z484" s="697"/>
      <c r="AA484" s="697"/>
      <c r="AB484" s="697"/>
      <c r="AC484" s="697"/>
    </row>
    <row r="485" spans="1:29" x14ac:dyDescent="0.2">
      <c r="A485" s="694" t="str">
        <f>+Info!$B$2</f>
        <v>724</v>
      </c>
      <c r="B485" s="694" t="s">
        <v>5775</v>
      </c>
      <c r="C485" s="694" t="s">
        <v>5776</v>
      </c>
      <c r="D485" s="695" t="s">
        <v>5777</v>
      </c>
      <c r="E485" s="696"/>
      <c r="F485" s="697"/>
      <c r="G485" s="697"/>
      <c r="H485" s="698"/>
      <c r="I485" s="698"/>
      <c r="J485" s="697"/>
      <c r="K485" s="697"/>
      <c r="L485" s="697"/>
      <c r="M485" s="697"/>
      <c r="N485" s="698"/>
      <c r="O485" s="698"/>
      <c r="P485" s="698"/>
      <c r="Q485" s="697"/>
      <c r="R485" s="697"/>
      <c r="S485" s="698"/>
      <c r="T485" s="697"/>
      <c r="U485" s="697"/>
      <c r="V485" s="697"/>
      <c r="W485" s="698"/>
      <c r="X485" s="698"/>
      <c r="Y485" s="697"/>
      <c r="Z485" s="697"/>
      <c r="AA485" s="697"/>
      <c r="AB485" s="697"/>
      <c r="AC485" s="697"/>
    </row>
    <row r="486" spans="1:29" x14ac:dyDescent="0.2">
      <c r="A486" s="694" t="str">
        <f>+Info!$B$2</f>
        <v>724</v>
      </c>
      <c r="B486" s="694" t="s">
        <v>5778</v>
      </c>
      <c r="C486" s="694" t="s">
        <v>5779</v>
      </c>
      <c r="D486" s="695" t="s">
        <v>5780</v>
      </c>
      <c r="E486" s="696"/>
      <c r="F486" s="697"/>
      <c r="G486" s="697"/>
      <c r="H486" s="698"/>
      <c r="I486" s="698"/>
      <c r="J486" s="697"/>
      <c r="K486" s="697"/>
      <c r="L486" s="697"/>
      <c r="M486" s="697"/>
      <c r="N486" s="698"/>
      <c r="O486" s="698"/>
      <c r="P486" s="698"/>
      <c r="Q486" s="697"/>
      <c r="R486" s="697"/>
      <c r="S486" s="698"/>
      <c r="T486" s="697"/>
      <c r="U486" s="697"/>
      <c r="V486" s="697"/>
      <c r="W486" s="698"/>
      <c r="X486" s="698"/>
      <c r="Y486" s="697"/>
      <c r="Z486" s="697"/>
      <c r="AA486" s="697"/>
      <c r="AB486" s="697"/>
      <c r="AC486" s="697"/>
    </row>
    <row r="487" spans="1:29" x14ac:dyDescent="0.2">
      <c r="A487" s="694" t="str">
        <f>+Info!$B$2</f>
        <v>724</v>
      </c>
      <c r="B487" s="694" t="s">
        <v>5781</v>
      </c>
      <c r="C487" s="694" t="s">
        <v>5782</v>
      </c>
      <c r="D487" s="695" t="s">
        <v>5783</v>
      </c>
      <c r="E487" s="696"/>
      <c r="F487" s="697"/>
      <c r="G487" s="697"/>
      <c r="H487" s="698"/>
      <c r="I487" s="698"/>
      <c r="J487" s="697"/>
      <c r="K487" s="697"/>
      <c r="L487" s="697"/>
      <c r="M487" s="697"/>
      <c r="N487" s="698"/>
      <c r="O487" s="698"/>
      <c r="P487" s="698"/>
      <c r="Q487" s="697"/>
      <c r="R487" s="697"/>
      <c r="S487" s="698"/>
      <c r="T487" s="697"/>
      <c r="U487" s="697"/>
      <c r="V487" s="697"/>
      <c r="W487" s="698"/>
      <c r="X487" s="698"/>
      <c r="Y487" s="697"/>
      <c r="Z487" s="697"/>
      <c r="AA487" s="697"/>
      <c r="AB487" s="697"/>
      <c r="AC487" s="697"/>
    </row>
    <row r="488" spans="1:29" x14ac:dyDescent="0.2">
      <c r="A488" s="694" t="str">
        <f>+Info!$B$2</f>
        <v>724</v>
      </c>
      <c r="B488" s="694" t="s">
        <v>5784</v>
      </c>
      <c r="C488" s="694" t="s">
        <v>5785</v>
      </c>
      <c r="D488" s="695" t="s">
        <v>5786</v>
      </c>
      <c r="E488" s="696"/>
      <c r="F488" s="697"/>
      <c r="G488" s="697"/>
      <c r="H488" s="698"/>
      <c r="I488" s="698"/>
      <c r="J488" s="697"/>
      <c r="K488" s="697"/>
      <c r="L488" s="697"/>
      <c r="M488" s="697"/>
      <c r="N488" s="698"/>
      <c r="O488" s="698"/>
      <c r="P488" s="698"/>
      <c r="Q488" s="697"/>
      <c r="R488" s="697"/>
      <c r="S488" s="698"/>
      <c r="T488" s="697"/>
      <c r="U488" s="697"/>
      <c r="V488" s="697"/>
      <c r="W488" s="698"/>
      <c r="X488" s="698"/>
      <c r="Y488" s="697"/>
      <c r="Z488" s="697"/>
      <c r="AA488" s="697"/>
      <c r="AB488" s="697"/>
      <c r="AC488" s="697"/>
    </row>
    <row r="489" spans="1:29" x14ac:dyDescent="0.2">
      <c r="A489" s="694" t="str">
        <f>+Info!$B$2</f>
        <v>724</v>
      </c>
      <c r="B489" s="694" t="s">
        <v>5787</v>
      </c>
      <c r="C489" s="694" t="s">
        <v>5788</v>
      </c>
      <c r="D489" s="695" t="s">
        <v>5789</v>
      </c>
      <c r="E489" s="696"/>
      <c r="F489" s="697"/>
      <c r="G489" s="697"/>
      <c r="H489" s="698"/>
      <c r="I489" s="698"/>
      <c r="J489" s="697"/>
      <c r="K489" s="697"/>
      <c r="L489" s="697"/>
      <c r="M489" s="697"/>
      <c r="N489" s="698"/>
      <c r="O489" s="698"/>
      <c r="P489" s="698"/>
      <c r="Q489" s="697"/>
      <c r="R489" s="697"/>
      <c r="S489" s="698"/>
      <c r="T489" s="697"/>
      <c r="U489" s="697"/>
      <c r="V489" s="697"/>
      <c r="W489" s="698"/>
      <c r="X489" s="698"/>
      <c r="Y489" s="697"/>
      <c r="Z489" s="697"/>
      <c r="AA489" s="697"/>
      <c r="AB489" s="697"/>
      <c r="AC489" s="697"/>
    </row>
    <row r="490" spans="1:29" x14ac:dyDescent="0.2">
      <c r="A490" s="694" t="str">
        <f>+Info!$B$2</f>
        <v>724</v>
      </c>
      <c r="B490" s="694" t="s">
        <v>5790</v>
      </c>
      <c r="C490" s="694" t="s">
        <v>5791</v>
      </c>
      <c r="D490" s="695" t="s">
        <v>5792</v>
      </c>
      <c r="E490" s="696"/>
      <c r="F490" s="697"/>
      <c r="G490" s="697"/>
      <c r="H490" s="698"/>
      <c r="I490" s="698"/>
      <c r="J490" s="697"/>
      <c r="K490" s="697"/>
      <c r="L490" s="697"/>
      <c r="M490" s="697"/>
      <c r="N490" s="698"/>
      <c r="O490" s="698"/>
      <c r="P490" s="698"/>
      <c r="Q490" s="697"/>
      <c r="R490" s="697"/>
      <c r="S490" s="698"/>
      <c r="T490" s="697"/>
      <c r="U490" s="697"/>
      <c r="V490" s="697"/>
      <c r="W490" s="698"/>
      <c r="X490" s="698"/>
      <c r="Y490" s="697"/>
      <c r="Z490" s="697"/>
      <c r="AA490" s="697"/>
      <c r="AB490" s="698"/>
      <c r="AC490" s="698"/>
    </row>
    <row r="491" spans="1:29" x14ac:dyDescent="0.2">
      <c r="A491" s="694" t="str">
        <f>+Info!$B$2</f>
        <v>724</v>
      </c>
      <c r="B491" s="694" t="s">
        <v>5793</v>
      </c>
      <c r="C491" s="694" t="s">
        <v>5794</v>
      </c>
      <c r="D491" s="695" t="s">
        <v>5795</v>
      </c>
      <c r="E491" s="696"/>
      <c r="F491" s="697"/>
      <c r="G491" s="697"/>
      <c r="H491" s="698"/>
      <c r="I491" s="698"/>
      <c r="J491" s="697"/>
      <c r="K491" s="697"/>
      <c r="L491" s="697"/>
      <c r="M491" s="697"/>
      <c r="N491" s="698"/>
      <c r="O491" s="698"/>
      <c r="P491" s="698"/>
      <c r="Q491" s="697"/>
      <c r="R491" s="697"/>
      <c r="S491" s="698"/>
      <c r="T491" s="697"/>
      <c r="U491" s="697"/>
      <c r="V491" s="697"/>
      <c r="W491" s="698"/>
      <c r="X491" s="698"/>
      <c r="Y491" s="697"/>
      <c r="Z491" s="697"/>
      <c r="AA491" s="697"/>
      <c r="AB491" s="698"/>
      <c r="AC491" s="698"/>
    </row>
    <row r="492" spans="1:29" x14ac:dyDescent="0.2">
      <c r="A492" s="694" t="str">
        <f>+Info!$B$2</f>
        <v>724</v>
      </c>
      <c r="B492" s="694" t="s">
        <v>5796</v>
      </c>
      <c r="C492" s="694" t="s">
        <v>5797</v>
      </c>
      <c r="D492" s="695" t="s">
        <v>5798</v>
      </c>
      <c r="E492" s="696"/>
      <c r="F492" s="697"/>
      <c r="G492" s="697"/>
      <c r="H492" s="698"/>
      <c r="I492" s="698"/>
      <c r="J492" s="697"/>
      <c r="K492" s="697"/>
      <c r="L492" s="697"/>
      <c r="M492" s="697"/>
      <c r="N492" s="698"/>
      <c r="O492" s="698"/>
      <c r="P492" s="698"/>
      <c r="Q492" s="697"/>
      <c r="R492" s="697"/>
      <c r="S492" s="698"/>
      <c r="T492" s="697"/>
      <c r="U492" s="697"/>
      <c r="V492" s="697"/>
      <c r="W492" s="698"/>
      <c r="X492" s="698"/>
      <c r="Y492" s="697"/>
      <c r="Z492" s="697"/>
      <c r="AA492" s="697"/>
      <c r="AB492" s="697"/>
      <c r="AC492" s="697"/>
    </row>
    <row r="493" spans="1:29" x14ac:dyDescent="0.2">
      <c r="A493" s="694" t="str">
        <f>+Info!$B$2</f>
        <v>724</v>
      </c>
      <c r="B493" s="694" t="s">
        <v>5799</v>
      </c>
      <c r="C493" s="694" t="s">
        <v>5800</v>
      </c>
      <c r="D493" s="695" t="s">
        <v>5801</v>
      </c>
      <c r="E493" s="696"/>
      <c r="F493" s="697"/>
      <c r="G493" s="697"/>
      <c r="H493" s="698"/>
      <c r="I493" s="698"/>
      <c r="J493" s="697"/>
      <c r="K493" s="697"/>
      <c r="L493" s="697"/>
      <c r="M493" s="697"/>
      <c r="N493" s="698"/>
      <c r="O493" s="698"/>
      <c r="P493" s="698"/>
      <c r="Q493" s="697"/>
      <c r="R493" s="697"/>
      <c r="S493" s="698"/>
      <c r="T493" s="697"/>
      <c r="U493" s="697"/>
      <c r="V493" s="697"/>
      <c r="W493" s="698"/>
      <c r="X493" s="698"/>
      <c r="Y493" s="697"/>
      <c r="Z493" s="697"/>
      <c r="AA493" s="697"/>
      <c r="AB493" s="697"/>
      <c r="AC493" s="697"/>
    </row>
    <row r="494" spans="1:29" x14ac:dyDescent="0.2">
      <c r="A494" s="694" t="str">
        <f>+Info!$B$2</f>
        <v>724</v>
      </c>
      <c r="B494" s="694" t="s">
        <v>5802</v>
      </c>
      <c r="C494" s="694" t="s">
        <v>5803</v>
      </c>
      <c r="D494" s="695" t="s">
        <v>5804</v>
      </c>
      <c r="E494" s="696"/>
      <c r="F494" s="697"/>
      <c r="G494" s="697"/>
      <c r="H494" s="698"/>
      <c r="I494" s="698"/>
      <c r="J494" s="697"/>
      <c r="K494" s="697"/>
      <c r="L494" s="697"/>
      <c r="M494" s="697"/>
      <c r="N494" s="698"/>
      <c r="O494" s="698"/>
      <c r="P494" s="698"/>
      <c r="Q494" s="697"/>
      <c r="R494" s="697"/>
      <c r="S494" s="698"/>
      <c r="T494" s="697"/>
      <c r="U494" s="697"/>
      <c r="V494" s="697"/>
      <c r="W494" s="698"/>
      <c r="X494" s="698"/>
      <c r="Y494" s="697"/>
      <c r="Z494" s="697"/>
      <c r="AA494" s="697"/>
      <c r="AB494" s="697"/>
      <c r="AC494" s="697"/>
    </row>
    <row r="495" spans="1:29" x14ac:dyDescent="0.2">
      <c r="A495" s="694" t="str">
        <f>+Info!$B$2</f>
        <v>724</v>
      </c>
      <c r="B495" s="694" t="s">
        <v>5805</v>
      </c>
      <c r="C495" s="694" t="s">
        <v>5806</v>
      </c>
      <c r="D495" s="695" t="s">
        <v>5807</v>
      </c>
      <c r="E495" s="696"/>
      <c r="F495" s="697"/>
      <c r="G495" s="697"/>
      <c r="H495" s="698"/>
      <c r="I495" s="698"/>
      <c r="J495" s="697"/>
      <c r="K495" s="697"/>
      <c r="L495" s="697"/>
      <c r="M495" s="697"/>
      <c r="N495" s="698"/>
      <c r="O495" s="698"/>
      <c r="P495" s="698"/>
      <c r="Q495" s="697"/>
      <c r="R495" s="697"/>
      <c r="S495" s="698"/>
      <c r="T495" s="697"/>
      <c r="U495" s="697"/>
      <c r="V495" s="697"/>
      <c r="W495" s="698"/>
      <c r="X495" s="698"/>
      <c r="Y495" s="697"/>
      <c r="Z495" s="697"/>
      <c r="AA495" s="697"/>
      <c r="AB495" s="697"/>
      <c r="AC495" s="697"/>
    </row>
    <row r="496" spans="1:29" x14ac:dyDescent="0.2">
      <c r="A496" s="694" t="str">
        <f>+Info!$B$2</f>
        <v>724</v>
      </c>
      <c r="B496" s="694" t="s">
        <v>5808</v>
      </c>
      <c r="C496" s="694" t="s">
        <v>5809</v>
      </c>
      <c r="D496" s="695" t="s">
        <v>5810</v>
      </c>
      <c r="E496" s="696"/>
      <c r="F496" s="697"/>
      <c r="G496" s="697"/>
      <c r="H496" s="698"/>
      <c r="I496" s="698"/>
      <c r="J496" s="697"/>
      <c r="K496" s="697"/>
      <c r="L496" s="697"/>
      <c r="M496" s="697"/>
      <c r="N496" s="698"/>
      <c r="O496" s="698"/>
      <c r="P496" s="698"/>
      <c r="Q496" s="697"/>
      <c r="R496" s="697"/>
      <c r="S496" s="698"/>
      <c r="T496" s="697"/>
      <c r="U496" s="697"/>
      <c r="V496" s="697"/>
      <c r="W496" s="698"/>
      <c r="X496" s="698"/>
      <c r="Y496" s="697"/>
      <c r="Z496" s="697"/>
      <c r="AA496" s="697"/>
      <c r="AB496" s="697"/>
      <c r="AC496" s="697"/>
    </row>
    <row r="497" spans="1:29" x14ac:dyDescent="0.2">
      <c r="A497" s="694" t="str">
        <f>+Info!$B$2</f>
        <v>724</v>
      </c>
      <c r="B497" s="694" t="s">
        <v>5811</v>
      </c>
      <c r="C497" s="694" t="s">
        <v>5812</v>
      </c>
      <c r="D497" s="695" t="s">
        <v>5813</v>
      </c>
      <c r="E497" s="696"/>
      <c r="F497" s="697"/>
      <c r="G497" s="697"/>
      <c r="H497" s="698"/>
      <c r="I497" s="698"/>
      <c r="J497" s="697"/>
      <c r="K497" s="697"/>
      <c r="L497" s="697"/>
      <c r="M497" s="697"/>
      <c r="N497" s="698"/>
      <c r="O497" s="698"/>
      <c r="P497" s="698"/>
      <c r="Q497" s="697"/>
      <c r="R497" s="697"/>
      <c r="S497" s="698"/>
      <c r="T497" s="697"/>
      <c r="U497" s="697"/>
      <c r="V497" s="697"/>
      <c r="W497" s="698"/>
      <c r="X497" s="698"/>
      <c r="Y497" s="697"/>
      <c r="Z497" s="697"/>
      <c r="AA497" s="697"/>
      <c r="AB497" s="697"/>
      <c r="AC497" s="697"/>
    </row>
    <row r="498" spans="1:29" x14ac:dyDescent="0.2">
      <c r="A498" s="694" t="str">
        <f>+Info!$B$2</f>
        <v>724</v>
      </c>
      <c r="B498" s="694" t="s">
        <v>5814</v>
      </c>
      <c r="C498" s="694" t="s">
        <v>5815</v>
      </c>
      <c r="D498" s="695" t="s">
        <v>5816</v>
      </c>
      <c r="E498" s="696"/>
      <c r="F498" s="697"/>
      <c r="G498" s="697"/>
      <c r="H498" s="698"/>
      <c r="I498" s="698"/>
      <c r="J498" s="697"/>
      <c r="K498" s="697"/>
      <c r="L498" s="697"/>
      <c r="M498" s="697"/>
      <c r="N498" s="698"/>
      <c r="O498" s="698"/>
      <c r="P498" s="698"/>
      <c r="Q498" s="697"/>
      <c r="R498" s="697"/>
      <c r="S498" s="698"/>
      <c r="T498" s="697"/>
      <c r="U498" s="697"/>
      <c r="V498" s="697"/>
      <c r="W498" s="698"/>
      <c r="X498" s="698"/>
      <c r="Y498" s="697"/>
      <c r="Z498" s="697"/>
      <c r="AA498" s="697"/>
      <c r="AB498" s="697"/>
      <c r="AC498" s="697"/>
    </row>
    <row r="499" spans="1:29" x14ac:dyDescent="0.2">
      <c r="A499" s="694" t="str">
        <f>+Info!$B$2</f>
        <v>724</v>
      </c>
      <c r="B499" s="694" t="s">
        <v>5817</v>
      </c>
      <c r="C499" s="694" t="s">
        <v>5818</v>
      </c>
      <c r="D499" s="695" t="s">
        <v>5819</v>
      </c>
      <c r="E499" s="696"/>
      <c r="F499" s="697"/>
      <c r="G499" s="697"/>
      <c r="H499" s="698"/>
      <c r="I499" s="698"/>
      <c r="J499" s="697"/>
      <c r="K499" s="697"/>
      <c r="L499" s="697"/>
      <c r="M499" s="697"/>
      <c r="N499" s="698"/>
      <c r="O499" s="698"/>
      <c r="P499" s="698"/>
      <c r="Q499" s="697"/>
      <c r="R499" s="697"/>
      <c r="S499" s="698"/>
      <c r="T499" s="697"/>
      <c r="U499" s="697"/>
      <c r="V499" s="697"/>
      <c r="W499" s="698"/>
      <c r="X499" s="698"/>
      <c r="Y499" s="697"/>
      <c r="Z499" s="697"/>
      <c r="AA499" s="697"/>
      <c r="AB499" s="697"/>
      <c r="AC499" s="697"/>
    </row>
    <row r="500" spans="1:29" x14ac:dyDescent="0.2">
      <c r="A500" s="694" t="str">
        <f>+Info!$B$2</f>
        <v>724</v>
      </c>
      <c r="B500" s="694" t="s">
        <v>5820</v>
      </c>
      <c r="C500" s="694" t="s">
        <v>5821</v>
      </c>
      <c r="D500" s="695" t="s">
        <v>5822</v>
      </c>
      <c r="E500" s="696"/>
      <c r="F500" s="697"/>
      <c r="G500" s="697"/>
      <c r="H500" s="698"/>
      <c r="I500" s="698"/>
      <c r="J500" s="697"/>
      <c r="K500" s="697"/>
      <c r="L500" s="697"/>
      <c r="M500" s="697"/>
      <c r="N500" s="698"/>
      <c r="O500" s="698"/>
      <c r="P500" s="698"/>
      <c r="Q500" s="697"/>
      <c r="R500" s="697"/>
      <c r="S500" s="698"/>
      <c r="T500" s="697"/>
      <c r="U500" s="697"/>
      <c r="V500" s="697"/>
      <c r="W500" s="698"/>
      <c r="X500" s="698"/>
      <c r="Y500" s="697"/>
      <c r="Z500" s="697"/>
      <c r="AA500" s="697"/>
      <c r="AB500" s="697"/>
      <c r="AC500" s="697"/>
    </row>
    <row r="501" spans="1:29" x14ac:dyDescent="0.2">
      <c r="A501" s="694" t="str">
        <f>+Info!$B$2</f>
        <v>724</v>
      </c>
      <c r="B501" s="694" t="s">
        <v>5823</v>
      </c>
      <c r="C501" s="694" t="s">
        <v>5824</v>
      </c>
      <c r="D501" s="695" t="s">
        <v>5825</v>
      </c>
      <c r="E501" s="696"/>
      <c r="F501" s="697"/>
      <c r="G501" s="697"/>
      <c r="H501" s="698"/>
      <c r="I501" s="698"/>
      <c r="J501" s="697"/>
      <c r="K501" s="697"/>
      <c r="L501" s="697"/>
      <c r="M501" s="697"/>
      <c r="N501" s="698"/>
      <c r="O501" s="698"/>
      <c r="P501" s="698"/>
      <c r="Q501" s="697"/>
      <c r="R501" s="697"/>
      <c r="S501" s="698"/>
      <c r="T501" s="697"/>
      <c r="U501" s="697"/>
      <c r="V501" s="697"/>
      <c r="W501" s="698"/>
      <c r="X501" s="698"/>
      <c r="Y501" s="697"/>
      <c r="Z501" s="697"/>
      <c r="AA501" s="697"/>
      <c r="AB501" s="698"/>
      <c r="AC501" s="698"/>
    </row>
    <row r="502" spans="1:29" x14ac:dyDescent="0.2">
      <c r="A502" s="694" t="str">
        <f>+Info!$B$2</f>
        <v>724</v>
      </c>
      <c r="B502" s="694" t="s">
        <v>5826</v>
      </c>
      <c r="C502" s="694" t="s">
        <v>5827</v>
      </c>
      <c r="D502" s="695" t="s">
        <v>5828</v>
      </c>
      <c r="E502" s="696"/>
      <c r="F502" s="697"/>
      <c r="G502" s="697"/>
      <c r="H502" s="698"/>
      <c r="I502" s="698"/>
      <c r="J502" s="697"/>
      <c r="K502" s="697"/>
      <c r="L502" s="697"/>
      <c r="M502" s="697"/>
      <c r="N502" s="698"/>
      <c r="O502" s="698"/>
      <c r="P502" s="698"/>
      <c r="Q502" s="697"/>
      <c r="R502" s="697"/>
      <c r="S502" s="698"/>
      <c r="T502" s="697"/>
      <c r="U502" s="697"/>
      <c r="V502" s="697"/>
      <c r="W502" s="698"/>
      <c r="X502" s="698"/>
      <c r="Y502" s="697"/>
      <c r="Z502" s="697"/>
      <c r="AA502" s="697"/>
      <c r="AB502" s="698"/>
      <c r="AC502" s="698"/>
    </row>
    <row r="503" spans="1:29" x14ac:dyDescent="0.2">
      <c r="A503" s="694" t="str">
        <f>+Info!$B$2</f>
        <v>724</v>
      </c>
      <c r="B503" s="694" t="s">
        <v>5829</v>
      </c>
      <c r="C503" s="694" t="s">
        <v>5830</v>
      </c>
      <c r="D503" s="695" t="s">
        <v>5831</v>
      </c>
      <c r="E503" s="696"/>
      <c r="F503" s="697"/>
      <c r="G503" s="697"/>
      <c r="H503" s="698"/>
      <c r="I503" s="698"/>
      <c r="J503" s="697"/>
      <c r="K503" s="697"/>
      <c r="L503" s="697"/>
      <c r="M503" s="697"/>
      <c r="N503" s="698"/>
      <c r="O503" s="698"/>
      <c r="P503" s="698"/>
      <c r="Q503" s="697"/>
      <c r="R503" s="697"/>
      <c r="S503" s="698"/>
      <c r="T503" s="697"/>
      <c r="U503" s="697"/>
      <c r="V503" s="697"/>
      <c r="W503" s="698"/>
      <c r="X503" s="698"/>
      <c r="Y503" s="697"/>
      <c r="Z503" s="697"/>
      <c r="AA503" s="697"/>
      <c r="AB503" s="697"/>
      <c r="AC503" s="697"/>
    </row>
    <row r="504" spans="1:29" x14ac:dyDescent="0.2">
      <c r="A504" s="694" t="str">
        <f>+Info!$B$2</f>
        <v>724</v>
      </c>
      <c r="B504" s="694" t="s">
        <v>5832</v>
      </c>
      <c r="C504" s="694" t="s">
        <v>5833</v>
      </c>
      <c r="D504" s="695" t="s">
        <v>5834</v>
      </c>
      <c r="E504" s="696"/>
      <c r="F504" s="697"/>
      <c r="G504" s="697"/>
      <c r="H504" s="698"/>
      <c r="I504" s="698"/>
      <c r="J504" s="697"/>
      <c r="K504" s="697"/>
      <c r="L504" s="697"/>
      <c r="M504" s="697"/>
      <c r="N504" s="698"/>
      <c r="O504" s="698"/>
      <c r="P504" s="698"/>
      <c r="Q504" s="697"/>
      <c r="R504" s="697"/>
      <c r="S504" s="698"/>
      <c r="T504" s="697"/>
      <c r="U504" s="697"/>
      <c r="V504" s="697"/>
      <c r="W504" s="698"/>
      <c r="X504" s="698"/>
      <c r="Y504" s="697"/>
      <c r="Z504" s="697"/>
      <c r="AA504" s="697"/>
      <c r="AB504" s="697"/>
      <c r="AC504" s="697"/>
    </row>
    <row r="505" spans="1:29" x14ac:dyDescent="0.2">
      <c r="A505" s="694" t="str">
        <f>+Info!$B$2</f>
        <v>724</v>
      </c>
      <c r="B505" s="694" t="s">
        <v>5835</v>
      </c>
      <c r="C505" s="694" t="s">
        <v>5836</v>
      </c>
      <c r="D505" s="695" t="s">
        <v>5837</v>
      </c>
      <c r="E505" s="696"/>
      <c r="F505" s="697"/>
      <c r="G505" s="697"/>
      <c r="H505" s="698"/>
      <c r="I505" s="698"/>
      <c r="J505" s="697"/>
      <c r="K505" s="697"/>
      <c r="L505" s="697"/>
      <c r="M505" s="697"/>
      <c r="N505" s="698"/>
      <c r="O505" s="698"/>
      <c r="P505" s="698"/>
      <c r="Q505" s="697"/>
      <c r="R505" s="697"/>
      <c r="S505" s="698"/>
      <c r="T505" s="697"/>
      <c r="U505" s="697"/>
      <c r="V505" s="697"/>
      <c r="W505" s="698"/>
      <c r="X505" s="698"/>
      <c r="Y505" s="697"/>
      <c r="Z505" s="697"/>
      <c r="AA505" s="697"/>
      <c r="AB505" s="697"/>
      <c r="AC505" s="697"/>
    </row>
    <row r="506" spans="1:29" x14ac:dyDescent="0.2">
      <c r="A506" s="694" t="str">
        <f>+Info!$B$2</f>
        <v>724</v>
      </c>
      <c r="B506" s="694" t="s">
        <v>5838</v>
      </c>
      <c r="C506" s="694" t="s">
        <v>5839</v>
      </c>
      <c r="D506" s="695" t="s">
        <v>5840</v>
      </c>
      <c r="E506" s="696"/>
      <c r="F506" s="697"/>
      <c r="G506" s="697"/>
      <c r="H506" s="698"/>
      <c r="I506" s="698"/>
      <c r="J506" s="697"/>
      <c r="K506" s="697"/>
      <c r="L506" s="697"/>
      <c r="M506" s="697"/>
      <c r="N506" s="698"/>
      <c r="O506" s="698"/>
      <c r="P506" s="698"/>
      <c r="Q506" s="697"/>
      <c r="R506" s="697"/>
      <c r="S506" s="698"/>
      <c r="T506" s="697"/>
      <c r="U506" s="697"/>
      <c r="V506" s="697"/>
      <c r="W506" s="698"/>
      <c r="X506" s="698"/>
      <c r="Y506" s="697"/>
      <c r="Z506" s="697"/>
      <c r="AA506" s="697"/>
      <c r="AB506" s="697"/>
      <c r="AC506" s="697"/>
    </row>
    <row r="507" spans="1:29" x14ac:dyDescent="0.2">
      <c r="A507" s="694" t="str">
        <f>+Info!$B$2</f>
        <v>724</v>
      </c>
      <c r="B507" s="694" t="s">
        <v>5841</v>
      </c>
      <c r="C507" s="694" t="s">
        <v>5842</v>
      </c>
      <c r="D507" s="695" t="s">
        <v>5843</v>
      </c>
      <c r="E507" s="696"/>
      <c r="F507" s="697"/>
      <c r="G507" s="697"/>
      <c r="H507" s="698"/>
      <c r="I507" s="698"/>
      <c r="J507" s="697"/>
      <c r="K507" s="697"/>
      <c r="L507" s="697"/>
      <c r="M507" s="697"/>
      <c r="N507" s="698"/>
      <c r="O507" s="698"/>
      <c r="P507" s="698"/>
      <c r="Q507" s="697"/>
      <c r="R507" s="697"/>
      <c r="S507" s="698"/>
      <c r="T507" s="697"/>
      <c r="U507" s="697"/>
      <c r="V507" s="697"/>
      <c r="W507" s="698"/>
      <c r="X507" s="698"/>
      <c r="Y507" s="697"/>
      <c r="Z507" s="697"/>
      <c r="AA507" s="697"/>
      <c r="AB507" s="697"/>
      <c r="AC507" s="697"/>
    </row>
    <row r="508" spans="1:29" x14ac:dyDescent="0.2">
      <c r="A508" s="694" t="str">
        <f>+Info!$B$2</f>
        <v>724</v>
      </c>
      <c r="B508" s="694" t="s">
        <v>5844</v>
      </c>
      <c r="C508" s="694" t="s">
        <v>5845</v>
      </c>
      <c r="D508" s="695" t="s">
        <v>5846</v>
      </c>
      <c r="E508" s="696"/>
      <c r="F508" s="697"/>
      <c r="G508" s="697"/>
      <c r="H508" s="698"/>
      <c r="I508" s="698"/>
      <c r="J508" s="697"/>
      <c r="K508" s="697"/>
      <c r="L508" s="697"/>
      <c r="M508" s="697"/>
      <c r="N508" s="698"/>
      <c r="O508" s="698"/>
      <c r="P508" s="698"/>
      <c r="Q508" s="697"/>
      <c r="R508" s="697"/>
      <c r="S508" s="698"/>
      <c r="T508" s="697"/>
      <c r="U508" s="697"/>
      <c r="V508" s="697"/>
      <c r="W508" s="698"/>
      <c r="X508" s="698"/>
      <c r="Y508" s="697"/>
      <c r="Z508" s="697"/>
      <c r="AA508" s="697"/>
      <c r="AB508" s="697"/>
      <c r="AC508" s="697"/>
    </row>
    <row r="509" spans="1:29" x14ac:dyDescent="0.2">
      <c r="A509" s="694" t="str">
        <f>+Info!$B$2</f>
        <v>724</v>
      </c>
      <c r="B509" s="694" t="s">
        <v>5847</v>
      </c>
      <c r="C509" s="694" t="s">
        <v>5848</v>
      </c>
      <c r="D509" s="695" t="s">
        <v>5849</v>
      </c>
      <c r="E509" s="696"/>
      <c r="F509" s="697"/>
      <c r="G509" s="697"/>
      <c r="H509" s="698"/>
      <c r="I509" s="698"/>
      <c r="J509" s="697"/>
      <c r="K509" s="697"/>
      <c r="L509" s="697"/>
      <c r="M509" s="697"/>
      <c r="N509" s="698"/>
      <c r="O509" s="698"/>
      <c r="P509" s="698"/>
      <c r="Q509" s="697"/>
      <c r="R509" s="697"/>
      <c r="S509" s="698"/>
      <c r="T509" s="697"/>
      <c r="U509" s="697"/>
      <c r="V509" s="697"/>
      <c r="W509" s="698"/>
      <c r="X509" s="698"/>
      <c r="Y509" s="697"/>
      <c r="Z509" s="697"/>
      <c r="AA509" s="697"/>
      <c r="AB509" s="697"/>
      <c r="AC509" s="697"/>
    </row>
    <row r="510" spans="1:29" x14ac:dyDescent="0.2">
      <c r="A510" s="694" t="str">
        <f>+Info!$B$2</f>
        <v>724</v>
      </c>
      <c r="B510" s="694" t="s">
        <v>5850</v>
      </c>
      <c r="C510" s="694" t="s">
        <v>5851</v>
      </c>
      <c r="D510" s="695" t="s">
        <v>5852</v>
      </c>
      <c r="E510" s="696"/>
      <c r="F510" s="697"/>
      <c r="G510" s="697"/>
      <c r="H510" s="698"/>
      <c r="I510" s="698"/>
      <c r="J510" s="697"/>
      <c r="K510" s="697"/>
      <c r="L510" s="697"/>
      <c r="M510" s="697"/>
      <c r="N510" s="698"/>
      <c r="O510" s="698"/>
      <c r="P510" s="698"/>
      <c r="Q510" s="697"/>
      <c r="R510" s="697"/>
      <c r="S510" s="698"/>
      <c r="T510" s="697"/>
      <c r="U510" s="697"/>
      <c r="V510" s="697"/>
      <c r="W510" s="698"/>
      <c r="X510" s="698"/>
      <c r="Y510" s="697"/>
      <c r="Z510" s="697"/>
      <c r="AA510" s="697"/>
      <c r="AB510" s="697"/>
      <c r="AC510" s="697"/>
    </row>
    <row r="511" spans="1:29" x14ac:dyDescent="0.2">
      <c r="A511" s="694" t="str">
        <f>+Info!$B$2</f>
        <v>724</v>
      </c>
      <c r="B511" s="694" t="s">
        <v>5853</v>
      </c>
      <c r="C511" s="694" t="s">
        <v>5854</v>
      </c>
      <c r="D511" s="695" t="s">
        <v>5855</v>
      </c>
      <c r="E511" s="696"/>
      <c r="F511" s="697"/>
      <c r="G511" s="697"/>
      <c r="H511" s="698"/>
      <c r="I511" s="698"/>
      <c r="J511" s="697"/>
      <c r="K511" s="697"/>
      <c r="L511" s="697"/>
      <c r="M511" s="697"/>
      <c r="N511" s="698"/>
      <c r="O511" s="698"/>
      <c r="P511" s="698"/>
      <c r="Q511" s="697"/>
      <c r="R511" s="697"/>
      <c r="S511" s="698"/>
      <c r="T511" s="697"/>
      <c r="U511" s="697"/>
      <c r="V511" s="697"/>
      <c r="W511" s="698"/>
      <c r="X511" s="698"/>
      <c r="Y511" s="697"/>
      <c r="Z511" s="697"/>
      <c r="AA511" s="697"/>
      <c r="AB511" s="697"/>
      <c r="AC511" s="697"/>
    </row>
    <row r="512" spans="1:29" x14ac:dyDescent="0.2">
      <c r="A512" s="694" t="str">
        <f>+Info!$B$2</f>
        <v>724</v>
      </c>
      <c r="B512" s="694" t="s">
        <v>5856</v>
      </c>
      <c r="C512" s="694" t="s">
        <v>5857</v>
      </c>
      <c r="D512" s="695" t="s">
        <v>5858</v>
      </c>
      <c r="E512" s="696"/>
      <c r="F512" s="697"/>
      <c r="G512" s="697"/>
      <c r="H512" s="698"/>
      <c r="I512" s="698"/>
      <c r="J512" s="697"/>
      <c r="K512" s="697"/>
      <c r="L512" s="697"/>
      <c r="M512" s="697"/>
      <c r="N512" s="698"/>
      <c r="O512" s="698"/>
      <c r="P512" s="698"/>
      <c r="Q512" s="697"/>
      <c r="R512" s="697"/>
      <c r="S512" s="698"/>
      <c r="T512" s="697"/>
      <c r="U512" s="697"/>
      <c r="V512" s="697"/>
      <c r="W512" s="698"/>
      <c r="X512" s="698"/>
      <c r="Y512" s="697"/>
      <c r="Z512" s="697"/>
      <c r="AA512" s="697"/>
      <c r="AB512" s="698"/>
      <c r="AC512" s="698"/>
    </row>
    <row r="513" spans="1:29" x14ac:dyDescent="0.2">
      <c r="A513" s="694" t="str">
        <f>+Info!$B$2</f>
        <v>724</v>
      </c>
      <c r="B513" s="694" t="s">
        <v>5859</v>
      </c>
      <c r="C513" s="694" t="s">
        <v>5860</v>
      </c>
      <c r="D513" s="695" t="s">
        <v>5861</v>
      </c>
      <c r="E513" s="696"/>
      <c r="F513" s="697"/>
      <c r="G513" s="697"/>
      <c r="H513" s="698"/>
      <c r="I513" s="698"/>
      <c r="J513" s="697"/>
      <c r="K513" s="697"/>
      <c r="L513" s="697"/>
      <c r="M513" s="697"/>
      <c r="N513" s="698"/>
      <c r="O513" s="698"/>
      <c r="P513" s="698"/>
      <c r="Q513" s="697"/>
      <c r="R513" s="697"/>
      <c r="S513" s="698"/>
      <c r="T513" s="697"/>
      <c r="U513" s="697"/>
      <c r="V513" s="697"/>
      <c r="W513" s="698"/>
      <c r="X513" s="698"/>
      <c r="Y513" s="697"/>
      <c r="Z513" s="697"/>
      <c r="AA513" s="697"/>
      <c r="AB513" s="698"/>
      <c r="AC513" s="698"/>
    </row>
    <row r="514" spans="1:29" x14ac:dyDescent="0.2">
      <c r="A514" s="694" t="str">
        <f>+Info!$B$2</f>
        <v>724</v>
      </c>
      <c r="B514" s="694" t="s">
        <v>5862</v>
      </c>
      <c r="C514" s="694" t="s">
        <v>5863</v>
      </c>
      <c r="D514" s="695" t="s">
        <v>5864</v>
      </c>
      <c r="E514" s="696"/>
      <c r="F514" s="697"/>
      <c r="G514" s="697"/>
      <c r="H514" s="698"/>
      <c r="I514" s="698"/>
      <c r="J514" s="697"/>
      <c r="K514" s="697"/>
      <c r="L514" s="697"/>
      <c r="M514" s="697"/>
      <c r="N514" s="698"/>
      <c r="O514" s="698"/>
      <c r="P514" s="698"/>
      <c r="Q514" s="697"/>
      <c r="R514" s="697"/>
      <c r="S514" s="698"/>
      <c r="T514" s="697"/>
      <c r="U514" s="697"/>
      <c r="V514" s="697"/>
      <c r="W514" s="698"/>
      <c r="X514" s="698"/>
      <c r="Y514" s="697"/>
      <c r="Z514" s="697"/>
      <c r="AA514" s="697"/>
      <c r="AB514" s="697"/>
      <c r="AC514" s="697"/>
    </row>
    <row r="515" spans="1:29" ht="15" x14ac:dyDescent="0.25">
      <c r="A515" s="691" t="str">
        <f>+Info!$B$2</f>
        <v>724</v>
      </c>
      <c r="B515" s="691" t="s">
        <v>5865</v>
      </c>
      <c r="C515" s="691" t="s">
        <v>5866</v>
      </c>
      <c r="D515" s="692" t="s">
        <v>5867</v>
      </c>
      <c r="E515" s="693"/>
      <c r="F515" s="701"/>
      <c r="G515" s="701"/>
      <c r="H515" s="701"/>
      <c r="I515" s="701"/>
      <c r="J515" s="701"/>
      <c r="K515" s="701"/>
      <c r="L515" s="701"/>
      <c r="M515" s="701"/>
      <c r="N515" s="701"/>
      <c r="O515" s="701"/>
      <c r="P515" s="701"/>
      <c r="Q515" s="701"/>
      <c r="R515" s="701"/>
      <c r="S515" s="701"/>
      <c r="T515" s="701"/>
      <c r="U515" s="701"/>
      <c r="V515" s="701"/>
      <c r="W515" s="701"/>
      <c r="X515" s="701"/>
      <c r="Y515" s="701"/>
      <c r="Z515" s="701"/>
      <c r="AA515" s="701"/>
      <c r="AB515" s="701"/>
      <c r="AC515" s="701"/>
    </row>
    <row r="516" spans="1:29" x14ac:dyDescent="0.2">
      <c r="A516" s="694" t="str">
        <f>+Info!$B$2</f>
        <v>724</v>
      </c>
      <c r="B516" s="694" t="s">
        <v>5868</v>
      </c>
      <c r="C516" s="694" t="s">
        <v>5869</v>
      </c>
      <c r="D516" s="695" t="s">
        <v>5870</v>
      </c>
      <c r="E516" s="696"/>
      <c r="F516" s="697"/>
      <c r="G516" s="697"/>
      <c r="H516" s="698"/>
      <c r="I516" s="698"/>
      <c r="J516" s="697"/>
      <c r="K516" s="697"/>
      <c r="L516" s="697"/>
      <c r="M516" s="697"/>
      <c r="N516" s="698"/>
      <c r="O516" s="698"/>
      <c r="P516" s="698"/>
      <c r="Q516" s="697"/>
      <c r="R516" s="698"/>
      <c r="S516" s="697"/>
      <c r="T516" s="697"/>
      <c r="U516" s="697"/>
      <c r="V516" s="697"/>
      <c r="W516" s="698"/>
      <c r="X516" s="698"/>
      <c r="Y516" s="697"/>
      <c r="Z516" s="697"/>
      <c r="AA516" s="697"/>
      <c r="AB516" s="697"/>
      <c r="AC516" s="697"/>
    </row>
    <row r="517" spans="1:29" x14ac:dyDescent="0.2">
      <c r="A517" s="694" t="str">
        <f>+Info!$B$2</f>
        <v>724</v>
      </c>
      <c r="B517" s="694" t="s">
        <v>5871</v>
      </c>
      <c r="C517" s="694" t="s">
        <v>5872</v>
      </c>
      <c r="D517" s="695" t="s">
        <v>5873</v>
      </c>
      <c r="E517" s="696"/>
      <c r="F517" s="697"/>
      <c r="G517" s="697"/>
      <c r="H517" s="698"/>
      <c r="I517" s="698"/>
      <c r="J517" s="697"/>
      <c r="K517" s="697"/>
      <c r="L517" s="697"/>
      <c r="M517" s="697"/>
      <c r="N517" s="698"/>
      <c r="O517" s="698"/>
      <c r="P517" s="698"/>
      <c r="Q517" s="697"/>
      <c r="R517" s="698"/>
      <c r="S517" s="697"/>
      <c r="T517" s="697"/>
      <c r="U517" s="697"/>
      <c r="V517" s="697"/>
      <c r="W517" s="698"/>
      <c r="X517" s="698"/>
      <c r="Y517" s="697"/>
      <c r="Z517" s="697"/>
      <c r="AA517" s="697"/>
      <c r="AB517" s="697"/>
      <c r="AC517" s="697"/>
    </row>
    <row r="518" spans="1:29" x14ac:dyDescent="0.2">
      <c r="A518" s="694" t="str">
        <f>+Info!$B$2</f>
        <v>724</v>
      </c>
      <c r="B518" s="694" t="s">
        <v>5874</v>
      </c>
      <c r="C518" s="694" t="s">
        <v>5875</v>
      </c>
      <c r="D518" s="695" t="s">
        <v>5876</v>
      </c>
      <c r="E518" s="696"/>
      <c r="F518" s="697"/>
      <c r="G518" s="697"/>
      <c r="H518" s="698"/>
      <c r="I518" s="698"/>
      <c r="J518" s="697"/>
      <c r="K518" s="697"/>
      <c r="L518" s="697"/>
      <c r="M518" s="697"/>
      <c r="N518" s="698"/>
      <c r="O518" s="698"/>
      <c r="P518" s="698"/>
      <c r="Q518" s="697"/>
      <c r="R518" s="698"/>
      <c r="S518" s="697"/>
      <c r="T518" s="697"/>
      <c r="U518" s="697"/>
      <c r="V518" s="697"/>
      <c r="W518" s="698"/>
      <c r="X518" s="698"/>
      <c r="Y518" s="697"/>
      <c r="Z518" s="697"/>
      <c r="AA518" s="697"/>
      <c r="AB518" s="697"/>
      <c r="AC518" s="697"/>
    </row>
    <row r="519" spans="1:29" x14ac:dyDescent="0.2">
      <c r="A519" s="694" t="str">
        <f>+Info!$B$2</f>
        <v>724</v>
      </c>
      <c r="B519" s="694" t="s">
        <v>5877</v>
      </c>
      <c r="C519" s="694" t="s">
        <v>5878</v>
      </c>
      <c r="D519" s="695" t="s">
        <v>5879</v>
      </c>
      <c r="E519" s="696"/>
      <c r="F519" s="697"/>
      <c r="G519" s="697"/>
      <c r="H519" s="698"/>
      <c r="I519" s="698"/>
      <c r="J519" s="697"/>
      <c r="K519" s="697"/>
      <c r="L519" s="697"/>
      <c r="M519" s="697"/>
      <c r="N519" s="698"/>
      <c r="O519" s="698"/>
      <c r="P519" s="698"/>
      <c r="Q519" s="697"/>
      <c r="R519" s="698"/>
      <c r="S519" s="697"/>
      <c r="T519" s="697"/>
      <c r="U519" s="697"/>
      <c r="V519" s="697"/>
      <c r="W519" s="698"/>
      <c r="X519" s="698"/>
      <c r="Y519" s="697"/>
      <c r="Z519" s="697"/>
      <c r="AA519" s="697"/>
      <c r="AB519" s="697"/>
      <c r="AC519" s="697"/>
    </row>
    <row r="520" spans="1:29" ht="25.5" x14ac:dyDescent="0.2">
      <c r="A520" s="694" t="str">
        <f>+Info!$B$2</f>
        <v>724</v>
      </c>
      <c r="B520" s="694" t="s">
        <v>5880</v>
      </c>
      <c r="C520" s="694" t="s">
        <v>5881</v>
      </c>
      <c r="D520" s="695" t="s">
        <v>5882</v>
      </c>
      <c r="E520" s="696"/>
      <c r="F520" s="697"/>
      <c r="G520" s="697"/>
      <c r="H520" s="698"/>
      <c r="I520" s="698"/>
      <c r="J520" s="697"/>
      <c r="K520" s="697"/>
      <c r="L520" s="697"/>
      <c r="M520" s="697"/>
      <c r="N520" s="698"/>
      <c r="O520" s="698"/>
      <c r="P520" s="698"/>
      <c r="Q520" s="697"/>
      <c r="R520" s="698"/>
      <c r="S520" s="697"/>
      <c r="T520" s="697"/>
      <c r="U520" s="697"/>
      <c r="V520" s="697"/>
      <c r="W520" s="698"/>
      <c r="X520" s="698"/>
      <c r="Y520" s="697"/>
      <c r="Z520" s="697"/>
      <c r="AA520" s="697"/>
      <c r="AB520" s="697"/>
      <c r="AC520" s="697"/>
    </row>
    <row r="521" spans="1:29" x14ac:dyDescent="0.2">
      <c r="A521" s="694" t="str">
        <f>+Info!$B$2</f>
        <v>724</v>
      </c>
      <c r="B521" s="694" t="s">
        <v>5883</v>
      </c>
      <c r="C521" s="694" t="s">
        <v>5884</v>
      </c>
      <c r="D521" s="695" t="s">
        <v>5885</v>
      </c>
      <c r="E521" s="696"/>
      <c r="F521" s="697"/>
      <c r="G521" s="697"/>
      <c r="H521" s="698"/>
      <c r="I521" s="698"/>
      <c r="J521" s="697"/>
      <c r="K521" s="697"/>
      <c r="L521" s="697"/>
      <c r="M521" s="697"/>
      <c r="N521" s="698"/>
      <c r="O521" s="698"/>
      <c r="P521" s="698"/>
      <c r="Q521" s="697"/>
      <c r="R521" s="698"/>
      <c r="S521" s="697"/>
      <c r="T521" s="697"/>
      <c r="U521" s="697"/>
      <c r="V521" s="697"/>
      <c r="W521" s="698"/>
      <c r="X521" s="698"/>
      <c r="Y521" s="697"/>
      <c r="Z521" s="697"/>
      <c r="AA521" s="697"/>
      <c r="AB521" s="697"/>
      <c r="AC521" s="697"/>
    </row>
    <row r="522" spans="1:29" x14ac:dyDescent="0.2">
      <c r="A522" s="694" t="str">
        <f>+Info!$B$2</f>
        <v>724</v>
      </c>
      <c r="B522" s="694" t="s">
        <v>5886</v>
      </c>
      <c r="C522" s="694" t="s">
        <v>5887</v>
      </c>
      <c r="D522" s="695" t="s">
        <v>5888</v>
      </c>
      <c r="E522" s="696"/>
      <c r="F522" s="697"/>
      <c r="G522" s="697"/>
      <c r="H522" s="698"/>
      <c r="I522" s="698"/>
      <c r="J522" s="697"/>
      <c r="K522" s="697"/>
      <c r="L522" s="697"/>
      <c r="M522" s="697"/>
      <c r="N522" s="698"/>
      <c r="O522" s="698"/>
      <c r="P522" s="698"/>
      <c r="Q522" s="697"/>
      <c r="R522" s="698"/>
      <c r="S522" s="697"/>
      <c r="T522" s="697"/>
      <c r="U522" s="697"/>
      <c r="V522" s="697"/>
      <c r="W522" s="698"/>
      <c r="X522" s="698"/>
      <c r="Y522" s="697"/>
      <c r="Z522" s="697"/>
      <c r="AA522" s="697"/>
      <c r="AB522" s="697"/>
      <c r="AC522" s="697"/>
    </row>
    <row r="523" spans="1:29" x14ac:dyDescent="0.2">
      <c r="A523" s="694" t="str">
        <f>+Info!$B$2</f>
        <v>724</v>
      </c>
      <c r="B523" s="694" t="s">
        <v>5889</v>
      </c>
      <c r="C523" s="694" t="s">
        <v>5890</v>
      </c>
      <c r="D523" s="695" t="s">
        <v>5891</v>
      </c>
      <c r="E523" s="696"/>
      <c r="F523" s="697"/>
      <c r="G523" s="697"/>
      <c r="H523" s="698"/>
      <c r="I523" s="698"/>
      <c r="J523" s="697"/>
      <c r="K523" s="697"/>
      <c r="L523" s="697"/>
      <c r="M523" s="697"/>
      <c r="N523" s="698"/>
      <c r="O523" s="698"/>
      <c r="P523" s="698"/>
      <c r="Q523" s="697"/>
      <c r="R523" s="698"/>
      <c r="S523" s="697"/>
      <c r="T523" s="697"/>
      <c r="U523" s="697"/>
      <c r="V523" s="697"/>
      <c r="W523" s="698"/>
      <c r="X523" s="698"/>
      <c r="Y523" s="697"/>
      <c r="Z523" s="697"/>
      <c r="AA523" s="697"/>
      <c r="AB523" s="697"/>
      <c r="AC523" s="697"/>
    </row>
    <row r="524" spans="1:29" x14ac:dyDescent="0.2">
      <c r="A524" s="694" t="str">
        <f>+Info!$B$2</f>
        <v>724</v>
      </c>
      <c r="B524" s="694" t="s">
        <v>5892</v>
      </c>
      <c r="C524" s="694" t="s">
        <v>5893</v>
      </c>
      <c r="D524" s="695" t="s">
        <v>5894</v>
      </c>
      <c r="E524" s="696"/>
      <c r="F524" s="697"/>
      <c r="G524" s="697"/>
      <c r="H524" s="698"/>
      <c r="I524" s="698"/>
      <c r="J524" s="697"/>
      <c r="K524" s="697"/>
      <c r="L524" s="697"/>
      <c r="M524" s="697"/>
      <c r="N524" s="698"/>
      <c r="O524" s="698"/>
      <c r="P524" s="698"/>
      <c r="Q524" s="697"/>
      <c r="R524" s="698"/>
      <c r="S524" s="697"/>
      <c r="T524" s="697"/>
      <c r="U524" s="697"/>
      <c r="V524" s="697"/>
      <c r="W524" s="698"/>
      <c r="X524" s="698"/>
      <c r="Y524" s="697"/>
      <c r="Z524" s="697"/>
      <c r="AA524" s="697"/>
      <c r="AB524" s="697"/>
      <c r="AC524" s="697"/>
    </row>
    <row r="525" spans="1:29" x14ac:dyDescent="0.2">
      <c r="A525" s="694" t="str">
        <f>+Info!$B$2</f>
        <v>724</v>
      </c>
      <c r="B525" s="694" t="s">
        <v>5895</v>
      </c>
      <c r="C525" s="694" t="s">
        <v>5896</v>
      </c>
      <c r="D525" s="695" t="s">
        <v>5897</v>
      </c>
      <c r="E525" s="696"/>
      <c r="F525" s="697"/>
      <c r="G525" s="697"/>
      <c r="H525" s="698"/>
      <c r="I525" s="698"/>
      <c r="J525" s="697"/>
      <c r="K525" s="697"/>
      <c r="L525" s="697"/>
      <c r="M525" s="697"/>
      <c r="N525" s="698"/>
      <c r="O525" s="698"/>
      <c r="P525" s="698"/>
      <c r="Q525" s="697"/>
      <c r="R525" s="698"/>
      <c r="S525" s="697"/>
      <c r="T525" s="697"/>
      <c r="U525" s="697"/>
      <c r="V525" s="697"/>
      <c r="W525" s="698"/>
      <c r="X525" s="698"/>
      <c r="Y525" s="697"/>
      <c r="Z525" s="697"/>
      <c r="AA525" s="697"/>
      <c r="AB525" s="698"/>
      <c r="AC525" s="698"/>
    </row>
    <row r="526" spans="1:29" x14ac:dyDescent="0.2">
      <c r="A526" s="694" t="str">
        <f>+Info!$B$2</f>
        <v>724</v>
      </c>
      <c r="B526" s="694" t="s">
        <v>5898</v>
      </c>
      <c r="C526" s="694" t="s">
        <v>5899</v>
      </c>
      <c r="D526" s="695" t="s">
        <v>5900</v>
      </c>
      <c r="E526" s="696"/>
      <c r="F526" s="697"/>
      <c r="G526" s="697"/>
      <c r="H526" s="698"/>
      <c r="I526" s="698"/>
      <c r="J526" s="697"/>
      <c r="K526" s="697"/>
      <c r="L526" s="697"/>
      <c r="M526" s="697"/>
      <c r="N526" s="698"/>
      <c r="O526" s="698"/>
      <c r="P526" s="698"/>
      <c r="Q526" s="697"/>
      <c r="R526" s="698"/>
      <c r="S526" s="697"/>
      <c r="T526" s="697"/>
      <c r="U526" s="697"/>
      <c r="V526" s="697"/>
      <c r="W526" s="698"/>
      <c r="X526" s="698"/>
      <c r="Y526" s="697"/>
      <c r="Z526" s="697"/>
      <c r="AA526" s="697"/>
      <c r="AB526" s="698"/>
      <c r="AC526" s="698"/>
    </row>
    <row r="527" spans="1:29" x14ac:dyDescent="0.2">
      <c r="A527" s="694" t="str">
        <f>+Info!$B$2</f>
        <v>724</v>
      </c>
      <c r="B527" s="694" t="s">
        <v>5901</v>
      </c>
      <c r="C527" s="694" t="s">
        <v>5902</v>
      </c>
      <c r="D527" s="695" t="s">
        <v>5903</v>
      </c>
      <c r="E527" s="696"/>
      <c r="F527" s="697"/>
      <c r="G527" s="697"/>
      <c r="H527" s="698"/>
      <c r="I527" s="698"/>
      <c r="J527" s="697"/>
      <c r="K527" s="697"/>
      <c r="L527" s="697"/>
      <c r="M527" s="697"/>
      <c r="N527" s="698"/>
      <c r="O527" s="698"/>
      <c r="P527" s="698"/>
      <c r="Q527" s="697"/>
      <c r="R527" s="698"/>
      <c r="S527" s="697"/>
      <c r="T527" s="697"/>
      <c r="U527" s="697"/>
      <c r="V527" s="697"/>
      <c r="W527" s="698"/>
      <c r="X527" s="698"/>
      <c r="Y527" s="697"/>
      <c r="Z527" s="697"/>
      <c r="AA527" s="697"/>
      <c r="AB527" s="697"/>
      <c r="AC527" s="697"/>
    </row>
    <row r="528" spans="1:29" x14ac:dyDescent="0.2">
      <c r="A528" s="694" t="str">
        <f>+Info!$B$2</f>
        <v>724</v>
      </c>
      <c r="B528" s="694" t="s">
        <v>5904</v>
      </c>
      <c r="C528" s="694" t="s">
        <v>5905</v>
      </c>
      <c r="D528" s="695" t="s">
        <v>5906</v>
      </c>
      <c r="E528" s="696"/>
      <c r="F528" s="697"/>
      <c r="G528" s="697"/>
      <c r="H528" s="698"/>
      <c r="I528" s="698"/>
      <c r="J528" s="697"/>
      <c r="K528" s="697"/>
      <c r="L528" s="697"/>
      <c r="M528" s="697"/>
      <c r="N528" s="698"/>
      <c r="O528" s="698"/>
      <c r="P528" s="698"/>
      <c r="Q528" s="697"/>
      <c r="R528" s="698"/>
      <c r="S528" s="697"/>
      <c r="T528" s="697"/>
      <c r="U528" s="697"/>
      <c r="V528" s="697"/>
      <c r="W528" s="698"/>
      <c r="X528" s="698"/>
      <c r="Y528" s="697"/>
      <c r="Z528" s="697"/>
      <c r="AA528" s="697"/>
      <c r="AB528" s="697"/>
      <c r="AC528" s="697"/>
    </row>
    <row r="529" spans="1:29" x14ac:dyDescent="0.2">
      <c r="A529" s="694" t="str">
        <f>+Info!$B$2</f>
        <v>724</v>
      </c>
      <c r="B529" s="694" t="s">
        <v>5907</v>
      </c>
      <c r="C529" s="694" t="s">
        <v>5908</v>
      </c>
      <c r="D529" s="695" t="s">
        <v>5909</v>
      </c>
      <c r="E529" s="696"/>
      <c r="F529" s="697"/>
      <c r="G529" s="697"/>
      <c r="H529" s="698"/>
      <c r="I529" s="698"/>
      <c r="J529" s="697"/>
      <c r="K529" s="697"/>
      <c r="L529" s="697"/>
      <c r="M529" s="697"/>
      <c r="N529" s="698"/>
      <c r="O529" s="698"/>
      <c r="P529" s="698"/>
      <c r="Q529" s="697"/>
      <c r="R529" s="698"/>
      <c r="S529" s="697"/>
      <c r="T529" s="697"/>
      <c r="U529" s="697"/>
      <c r="V529" s="697"/>
      <c r="W529" s="698"/>
      <c r="X529" s="698"/>
      <c r="Y529" s="697"/>
      <c r="Z529" s="697"/>
      <c r="AA529" s="697"/>
      <c r="AB529" s="697"/>
      <c r="AC529" s="697"/>
    </row>
    <row r="530" spans="1:29" x14ac:dyDescent="0.2">
      <c r="A530" s="694" t="str">
        <f>+Info!$B$2</f>
        <v>724</v>
      </c>
      <c r="B530" s="694" t="s">
        <v>5910</v>
      </c>
      <c r="C530" s="694" t="s">
        <v>5911</v>
      </c>
      <c r="D530" s="695" t="s">
        <v>5912</v>
      </c>
      <c r="E530" s="696"/>
      <c r="F530" s="697"/>
      <c r="G530" s="697"/>
      <c r="H530" s="698"/>
      <c r="I530" s="698"/>
      <c r="J530" s="697"/>
      <c r="K530" s="697"/>
      <c r="L530" s="697"/>
      <c r="M530" s="697"/>
      <c r="N530" s="698"/>
      <c r="O530" s="698"/>
      <c r="P530" s="698"/>
      <c r="Q530" s="697"/>
      <c r="R530" s="698"/>
      <c r="S530" s="697"/>
      <c r="T530" s="697"/>
      <c r="U530" s="697"/>
      <c r="V530" s="697"/>
      <c r="W530" s="698"/>
      <c r="X530" s="698"/>
      <c r="Y530" s="697"/>
      <c r="Z530" s="697"/>
      <c r="AA530" s="697"/>
      <c r="AB530" s="697"/>
      <c r="AC530" s="697"/>
    </row>
    <row r="531" spans="1:29" x14ac:dyDescent="0.2">
      <c r="A531" s="694" t="str">
        <f>+Info!$B$2</f>
        <v>724</v>
      </c>
      <c r="B531" s="694" t="s">
        <v>5913</v>
      </c>
      <c r="C531" s="694" t="s">
        <v>5914</v>
      </c>
      <c r="D531" s="695" t="s">
        <v>5915</v>
      </c>
      <c r="E531" s="696"/>
      <c r="F531" s="697"/>
      <c r="G531" s="697"/>
      <c r="H531" s="698"/>
      <c r="I531" s="698"/>
      <c r="J531" s="697"/>
      <c r="K531" s="697"/>
      <c r="L531" s="697"/>
      <c r="M531" s="697"/>
      <c r="N531" s="698"/>
      <c r="O531" s="698"/>
      <c r="P531" s="698"/>
      <c r="Q531" s="697"/>
      <c r="R531" s="698"/>
      <c r="S531" s="697"/>
      <c r="T531" s="697"/>
      <c r="U531" s="697"/>
      <c r="V531" s="697"/>
      <c r="W531" s="698"/>
      <c r="X531" s="698"/>
      <c r="Y531" s="697"/>
      <c r="Z531" s="697"/>
      <c r="AA531" s="697"/>
      <c r="AB531" s="697"/>
      <c r="AC531" s="697"/>
    </row>
    <row r="532" spans="1:29" ht="25.5" x14ac:dyDescent="0.2">
      <c r="A532" s="694" t="str">
        <f>+Info!$B$2</f>
        <v>724</v>
      </c>
      <c r="B532" s="694" t="s">
        <v>5916</v>
      </c>
      <c r="C532" s="694" t="s">
        <v>5917</v>
      </c>
      <c r="D532" s="695" t="s">
        <v>5918</v>
      </c>
      <c r="E532" s="696"/>
      <c r="F532" s="697"/>
      <c r="G532" s="697"/>
      <c r="H532" s="698"/>
      <c r="I532" s="698"/>
      <c r="J532" s="697"/>
      <c r="K532" s="697"/>
      <c r="L532" s="697"/>
      <c r="M532" s="697"/>
      <c r="N532" s="698"/>
      <c r="O532" s="698"/>
      <c r="P532" s="698"/>
      <c r="Q532" s="697"/>
      <c r="R532" s="698"/>
      <c r="S532" s="697"/>
      <c r="T532" s="697"/>
      <c r="U532" s="697"/>
      <c r="V532" s="697"/>
      <c r="W532" s="698"/>
      <c r="X532" s="698"/>
      <c r="Y532" s="697"/>
      <c r="Z532" s="697"/>
      <c r="AA532" s="697"/>
      <c r="AB532" s="697"/>
      <c r="AC532" s="697"/>
    </row>
    <row r="533" spans="1:29" x14ac:dyDescent="0.2">
      <c r="A533" s="694" t="str">
        <f>+Info!$B$2</f>
        <v>724</v>
      </c>
      <c r="B533" s="694" t="s">
        <v>5919</v>
      </c>
      <c r="C533" s="694" t="s">
        <v>5920</v>
      </c>
      <c r="D533" s="695" t="s">
        <v>5921</v>
      </c>
      <c r="E533" s="696"/>
      <c r="F533" s="697"/>
      <c r="G533" s="697"/>
      <c r="H533" s="698"/>
      <c r="I533" s="698"/>
      <c r="J533" s="697"/>
      <c r="K533" s="697"/>
      <c r="L533" s="697"/>
      <c r="M533" s="697"/>
      <c r="N533" s="698"/>
      <c r="O533" s="698"/>
      <c r="P533" s="698"/>
      <c r="Q533" s="697"/>
      <c r="R533" s="698"/>
      <c r="S533" s="697"/>
      <c r="T533" s="697"/>
      <c r="U533" s="697"/>
      <c r="V533" s="697"/>
      <c r="W533" s="698"/>
      <c r="X533" s="698"/>
      <c r="Y533" s="697"/>
      <c r="Z533" s="697"/>
      <c r="AA533" s="697"/>
      <c r="AB533" s="697"/>
      <c r="AC533" s="697"/>
    </row>
    <row r="534" spans="1:29" x14ac:dyDescent="0.2">
      <c r="A534" s="694" t="str">
        <f>+Info!$B$2</f>
        <v>724</v>
      </c>
      <c r="B534" s="694" t="s">
        <v>5922</v>
      </c>
      <c r="C534" s="694" t="s">
        <v>5923</v>
      </c>
      <c r="D534" s="695" t="s">
        <v>5924</v>
      </c>
      <c r="E534" s="696"/>
      <c r="F534" s="697"/>
      <c r="G534" s="697"/>
      <c r="H534" s="698"/>
      <c r="I534" s="698"/>
      <c r="J534" s="697"/>
      <c r="K534" s="697"/>
      <c r="L534" s="697"/>
      <c r="M534" s="697"/>
      <c r="N534" s="698"/>
      <c r="O534" s="698"/>
      <c r="P534" s="698"/>
      <c r="Q534" s="697"/>
      <c r="R534" s="698"/>
      <c r="S534" s="697"/>
      <c r="T534" s="697"/>
      <c r="U534" s="697"/>
      <c r="V534" s="697"/>
      <c r="W534" s="698"/>
      <c r="X534" s="698"/>
      <c r="Y534" s="697"/>
      <c r="Z534" s="697"/>
      <c r="AA534" s="697"/>
      <c r="AB534" s="697"/>
      <c r="AC534" s="697"/>
    </row>
    <row r="535" spans="1:29" x14ac:dyDescent="0.2">
      <c r="A535" s="694" t="str">
        <f>+Info!$B$2</f>
        <v>724</v>
      </c>
      <c r="B535" s="694" t="s">
        <v>5925</v>
      </c>
      <c r="C535" s="694" t="s">
        <v>5926</v>
      </c>
      <c r="D535" s="695" t="s">
        <v>5927</v>
      </c>
      <c r="E535" s="696"/>
      <c r="F535" s="697"/>
      <c r="G535" s="697"/>
      <c r="H535" s="698"/>
      <c r="I535" s="698"/>
      <c r="J535" s="697"/>
      <c r="K535" s="697"/>
      <c r="L535" s="697"/>
      <c r="M535" s="697"/>
      <c r="N535" s="698"/>
      <c r="O535" s="698"/>
      <c r="P535" s="698"/>
      <c r="Q535" s="697"/>
      <c r="R535" s="698"/>
      <c r="S535" s="697"/>
      <c r="T535" s="697"/>
      <c r="U535" s="697"/>
      <c r="V535" s="697"/>
      <c r="W535" s="698"/>
      <c r="X535" s="698"/>
      <c r="Y535" s="697"/>
      <c r="Z535" s="697"/>
      <c r="AA535" s="697"/>
      <c r="AB535" s="697"/>
      <c r="AC535" s="697"/>
    </row>
    <row r="536" spans="1:29" x14ac:dyDescent="0.2">
      <c r="A536" s="694" t="str">
        <f>+Info!$B$2</f>
        <v>724</v>
      </c>
      <c r="B536" s="694" t="s">
        <v>5928</v>
      </c>
      <c r="C536" s="694" t="s">
        <v>5929</v>
      </c>
      <c r="D536" s="695" t="s">
        <v>5930</v>
      </c>
      <c r="E536" s="696"/>
      <c r="F536" s="697"/>
      <c r="G536" s="697"/>
      <c r="H536" s="698"/>
      <c r="I536" s="698"/>
      <c r="J536" s="697"/>
      <c r="K536" s="697"/>
      <c r="L536" s="697"/>
      <c r="M536" s="697"/>
      <c r="N536" s="698"/>
      <c r="O536" s="698"/>
      <c r="P536" s="698"/>
      <c r="Q536" s="697"/>
      <c r="R536" s="698"/>
      <c r="S536" s="697"/>
      <c r="T536" s="697"/>
      <c r="U536" s="697"/>
      <c r="V536" s="697"/>
      <c r="W536" s="698"/>
      <c r="X536" s="698"/>
      <c r="Y536" s="697"/>
      <c r="Z536" s="697"/>
      <c r="AA536" s="697"/>
      <c r="AB536" s="697"/>
      <c r="AC536" s="697"/>
    </row>
    <row r="537" spans="1:29" x14ac:dyDescent="0.2">
      <c r="A537" s="694" t="str">
        <f>+Info!$B$2</f>
        <v>724</v>
      </c>
      <c r="B537" s="694" t="s">
        <v>5931</v>
      </c>
      <c r="C537" s="694" t="s">
        <v>5932</v>
      </c>
      <c r="D537" s="695" t="s">
        <v>5933</v>
      </c>
      <c r="E537" s="696"/>
      <c r="F537" s="697"/>
      <c r="G537" s="697"/>
      <c r="H537" s="698"/>
      <c r="I537" s="698"/>
      <c r="J537" s="697"/>
      <c r="K537" s="697"/>
      <c r="L537" s="697"/>
      <c r="M537" s="697"/>
      <c r="N537" s="698"/>
      <c r="O537" s="698"/>
      <c r="P537" s="698"/>
      <c r="Q537" s="697"/>
      <c r="R537" s="698"/>
      <c r="S537" s="697"/>
      <c r="T537" s="697"/>
      <c r="U537" s="697"/>
      <c r="V537" s="697"/>
      <c r="W537" s="698"/>
      <c r="X537" s="698"/>
      <c r="Y537" s="697"/>
      <c r="Z537" s="697"/>
      <c r="AA537" s="697"/>
      <c r="AB537" s="698"/>
      <c r="AC537" s="698"/>
    </row>
    <row r="538" spans="1:29" x14ac:dyDescent="0.2">
      <c r="A538" s="694" t="str">
        <f>+Info!$B$2</f>
        <v>724</v>
      </c>
      <c r="B538" s="694" t="s">
        <v>5934</v>
      </c>
      <c r="C538" s="694" t="s">
        <v>5935</v>
      </c>
      <c r="D538" s="695" t="s">
        <v>5936</v>
      </c>
      <c r="E538" s="696"/>
      <c r="F538" s="697"/>
      <c r="G538" s="697"/>
      <c r="H538" s="698"/>
      <c r="I538" s="698"/>
      <c r="J538" s="697"/>
      <c r="K538" s="697"/>
      <c r="L538" s="697"/>
      <c r="M538" s="697"/>
      <c r="N538" s="698"/>
      <c r="O538" s="698"/>
      <c r="P538" s="698"/>
      <c r="Q538" s="697"/>
      <c r="R538" s="698"/>
      <c r="S538" s="697"/>
      <c r="T538" s="697"/>
      <c r="U538" s="697"/>
      <c r="V538" s="697"/>
      <c r="W538" s="698"/>
      <c r="X538" s="698"/>
      <c r="Y538" s="697"/>
      <c r="Z538" s="697"/>
      <c r="AA538" s="697"/>
      <c r="AB538" s="698"/>
      <c r="AC538" s="698"/>
    </row>
    <row r="539" spans="1:29" x14ac:dyDescent="0.2">
      <c r="A539" s="694" t="str">
        <f>+Info!$B$2</f>
        <v>724</v>
      </c>
      <c r="B539" s="694" t="s">
        <v>5937</v>
      </c>
      <c r="C539" s="694" t="s">
        <v>5938</v>
      </c>
      <c r="D539" s="695" t="s">
        <v>5939</v>
      </c>
      <c r="E539" s="696"/>
      <c r="F539" s="697"/>
      <c r="G539" s="697"/>
      <c r="H539" s="698"/>
      <c r="I539" s="698"/>
      <c r="J539" s="697"/>
      <c r="K539" s="697"/>
      <c r="L539" s="697"/>
      <c r="M539" s="697"/>
      <c r="N539" s="698"/>
      <c r="O539" s="698"/>
      <c r="P539" s="698"/>
      <c r="Q539" s="697"/>
      <c r="R539" s="698"/>
      <c r="S539" s="697"/>
      <c r="T539" s="697"/>
      <c r="U539" s="697"/>
      <c r="V539" s="697"/>
      <c r="W539" s="698"/>
      <c r="X539" s="698"/>
      <c r="Y539" s="697"/>
      <c r="Z539" s="697"/>
      <c r="AA539" s="697"/>
      <c r="AB539" s="697"/>
      <c r="AC539" s="697"/>
    </row>
    <row r="540" spans="1:29" x14ac:dyDescent="0.2">
      <c r="A540" s="694" t="str">
        <f>+Info!$B$2</f>
        <v>724</v>
      </c>
      <c r="B540" s="694" t="s">
        <v>5940</v>
      </c>
      <c r="C540" s="694" t="s">
        <v>5941</v>
      </c>
      <c r="D540" s="695" t="s">
        <v>5942</v>
      </c>
      <c r="E540" s="696"/>
      <c r="F540" s="697"/>
      <c r="G540" s="697"/>
      <c r="H540" s="698"/>
      <c r="I540" s="698"/>
      <c r="J540" s="697"/>
      <c r="K540" s="697"/>
      <c r="L540" s="697"/>
      <c r="M540" s="697"/>
      <c r="N540" s="698"/>
      <c r="O540" s="698"/>
      <c r="P540" s="698"/>
      <c r="Q540" s="697"/>
      <c r="R540" s="698"/>
      <c r="S540" s="697"/>
      <c r="T540" s="697"/>
      <c r="U540" s="697"/>
      <c r="V540" s="697"/>
      <c r="W540" s="698"/>
      <c r="X540" s="698"/>
      <c r="Y540" s="697"/>
      <c r="Z540" s="697"/>
      <c r="AA540" s="697"/>
      <c r="AB540" s="697"/>
      <c r="AC540" s="697"/>
    </row>
    <row r="541" spans="1:29" x14ac:dyDescent="0.2">
      <c r="A541" s="694" t="str">
        <f>+Info!$B$2</f>
        <v>724</v>
      </c>
      <c r="B541" s="694" t="s">
        <v>5943</v>
      </c>
      <c r="C541" s="694" t="s">
        <v>5944</v>
      </c>
      <c r="D541" s="695" t="s">
        <v>5945</v>
      </c>
      <c r="E541" s="696"/>
      <c r="F541" s="697"/>
      <c r="G541" s="697"/>
      <c r="H541" s="698"/>
      <c r="I541" s="698"/>
      <c r="J541" s="697"/>
      <c r="K541" s="697"/>
      <c r="L541" s="697"/>
      <c r="M541" s="697"/>
      <c r="N541" s="698"/>
      <c r="O541" s="698"/>
      <c r="P541" s="698"/>
      <c r="Q541" s="697"/>
      <c r="R541" s="698"/>
      <c r="S541" s="697"/>
      <c r="T541" s="697"/>
      <c r="U541" s="697"/>
      <c r="V541" s="697"/>
      <c r="W541" s="698"/>
      <c r="X541" s="698"/>
      <c r="Y541" s="697"/>
      <c r="Z541" s="697"/>
      <c r="AA541" s="697"/>
      <c r="AB541" s="697"/>
      <c r="AC541" s="697"/>
    </row>
    <row r="542" spans="1:29" x14ac:dyDescent="0.2">
      <c r="A542" s="694" t="str">
        <f>+Info!$B$2</f>
        <v>724</v>
      </c>
      <c r="B542" s="694" t="s">
        <v>5946</v>
      </c>
      <c r="C542" s="694" t="s">
        <v>5947</v>
      </c>
      <c r="D542" s="695" t="s">
        <v>5948</v>
      </c>
      <c r="E542" s="696"/>
      <c r="F542" s="697"/>
      <c r="G542" s="697"/>
      <c r="H542" s="698"/>
      <c r="I542" s="698"/>
      <c r="J542" s="697"/>
      <c r="K542" s="697"/>
      <c r="L542" s="697"/>
      <c r="M542" s="697"/>
      <c r="N542" s="698"/>
      <c r="O542" s="698"/>
      <c r="P542" s="698"/>
      <c r="Q542" s="697"/>
      <c r="R542" s="698"/>
      <c r="S542" s="697"/>
      <c r="T542" s="697"/>
      <c r="U542" s="697"/>
      <c r="V542" s="697"/>
      <c r="W542" s="698"/>
      <c r="X542" s="698"/>
      <c r="Y542" s="697"/>
      <c r="Z542" s="697"/>
      <c r="AA542" s="697"/>
      <c r="AB542" s="697"/>
      <c r="AC542" s="697"/>
    </row>
    <row r="543" spans="1:29" x14ac:dyDescent="0.2">
      <c r="A543" s="694" t="str">
        <f>+Info!$B$2</f>
        <v>724</v>
      </c>
      <c r="B543" s="694" t="s">
        <v>5949</v>
      </c>
      <c r="C543" s="694" t="s">
        <v>5950</v>
      </c>
      <c r="D543" s="695" t="s">
        <v>5951</v>
      </c>
      <c r="E543" s="696"/>
      <c r="F543" s="697"/>
      <c r="G543" s="697"/>
      <c r="H543" s="698"/>
      <c r="I543" s="698"/>
      <c r="J543" s="697"/>
      <c r="K543" s="697"/>
      <c r="L543" s="697"/>
      <c r="M543" s="697"/>
      <c r="N543" s="698"/>
      <c r="O543" s="698"/>
      <c r="P543" s="698"/>
      <c r="Q543" s="697"/>
      <c r="R543" s="698"/>
      <c r="S543" s="697"/>
      <c r="T543" s="697"/>
      <c r="U543" s="697"/>
      <c r="V543" s="697"/>
      <c r="W543" s="698"/>
      <c r="X543" s="698"/>
      <c r="Y543" s="697"/>
      <c r="Z543" s="697"/>
      <c r="AA543" s="697"/>
      <c r="AB543" s="697"/>
      <c r="AC543" s="697"/>
    </row>
    <row r="544" spans="1:29" ht="25.5" x14ac:dyDescent="0.2">
      <c r="A544" s="694" t="str">
        <f>+Info!$B$2</f>
        <v>724</v>
      </c>
      <c r="B544" s="694" t="s">
        <v>5952</v>
      </c>
      <c r="C544" s="694" t="s">
        <v>5953</v>
      </c>
      <c r="D544" s="695" t="s">
        <v>5954</v>
      </c>
      <c r="E544" s="696"/>
      <c r="F544" s="697"/>
      <c r="G544" s="697"/>
      <c r="H544" s="698"/>
      <c r="I544" s="698"/>
      <c r="J544" s="697"/>
      <c r="K544" s="697"/>
      <c r="L544" s="697"/>
      <c r="M544" s="697"/>
      <c r="N544" s="698"/>
      <c r="O544" s="698"/>
      <c r="P544" s="698"/>
      <c r="Q544" s="697"/>
      <c r="R544" s="698"/>
      <c r="S544" s="697"/>
      <c r="T544" s="697"/>
      <c r="U544" s="697"/>
      <c r="V544" s="697"/>
      <c r="W544" s="698"/>
      <c r="X544" s="698"/>
      <c r="Y544" s="697"/>
      <c r="Z544" s="697"/>
      <c r="AA544" s="697"/>
      <c r="AB544" s="697"/>
      <c r="AC544" s="697"/>
    </row>
    <row r="545" spans="1:29" x14ac:dyDescent="0.2">
      <c r="A545" s="694" t="str">
        <f>+Info!$B$2</f>
        <v>724</v>
      </c>
      <c r="B545" s="694" t="s">
        <v>5955</v>
      </c>
      <c r="C545" s="694" t="s">
        <v>5956</v>
      </c>
      <c r="D545" s="695" t="s">
        <v>5957</v>
      </c>
      <c r="E545" s="696"/>
      <c r="F545" s="697"/>
      <c r="G545" s="697"/>
      <c r="H545" s="698"/>
      <c r="I545" s="698"/>
      <c r="J545" s="697"/>
      <c r="K545" s="697"/>
      <c r="L545" s="697"/>
      <c r="M545" s="697"/>
      <c r="N545" s="698"/>
      <c r="O545" s="698"/>
      <c r="P545" s="698"/>
      <c r="Q545" s="697"/>
      <c r="R545" s="698"/>
      <c r="S545" s="697"/>
      <c r="T545" s="697"/>
      <c r="U545" s="697"/>
      <c r="V545" s="697"/>
      <c r="W545" s="698"/>
      <c r="X545" s="698"/>
      <c r="Y545" s="697"/>
      <c r="Z545" s="697"/>
      <c r="AA545" s="697"/>
      <c r="AB545" s="697"/>
      <c r="AC545" s="697"/>
    </row>
    <row r="546" spans="1:29" x14ac:dyDescent="0.2">
      <c r="A546" s="694" t="str">
        <f>+Info!$B$2</f>
        <v>724</v>
      </c>
      <c r="B546" s="694" t="s">
        <v>5958</v>
      </c>
      <c r="C546" s="694" t="s">
        <v>5959</v>
      </c>
      <c r="D546" s="695" t="s">
        <v>5960</v>
      </c>
      <c r="E546" s="696"/>
      <c r="F546" s="697"/>
      <c r="G546" s="697"/>
      <c r="H546" s="698"/>
      <c r="I546" s="698"/>
      <c r="J546" s="697"/>
      <c r="K546" s="697"/>
      <c r="L546" s="697"/>
      <c r="M546" s="697"/>
      <c r="N546" s="698"/>
      <c r="O546" s="698"/>
      <c r="P546" s="698"/>
      <c r="Q546" s="697"/>
      <c r="R546" s="698"/>
      <c r="S546" s="697"/>
      <c r="T546" s="697"/>
      <c r="U546" s="697"/>
      <c r="V546" s="697"/>
      <c r="W546" s="698"/>
      <c r="X546" s="698"/>
      <c r="Y546" s="697"/>
      <c r="Z546" s="697"/>
      <c r="AA546" s="697"/>
      <c r="AB546" s="697"/>
      <c r="AC546" s="697"/>
    </row>
    <row r="547" spans="1:29" x14ac:dyDescent="0.2">
      <c r="A547" s="694" t="str">
        <f>+Info!$B$2</f>
        <v>724</v>
      </c>
      <c r="B547" s="694" t="s">
        <v>5961</v>
      </c>
      <c r="C547" s="694" t="s">
        <v>5962</v>
      </c>
      <c r="D547" s="695" t="s">
        <v>5963</v>
      </c>
      <c r="E547" s="696"/>
      <c r="F547" s="697"/>
      <c r="G547" s="697"/>
      <c r="H547" s="698"/>
      <c r="I547" s="698"/>
      <c r="J547" s="697"/>
      <c r="K547" s="697"/>
      <c r="L547" s="697"/>
      <c r="M547" s="697"/>
      <c r="N547" s="698"/>
      <c r="O547" s="698"/>
      <c r="P547" s="698"/>
      <c r="Q547" s="697"/>
      <c r="R547" s="698"/>
      <c r="S547" s="697"/>
      <c r="T547" s="697"/>
      <c r="U547" s="697"/>
      <c r="V547" s="697"/>
      <c r="W547" s="698"/>
      <c r="X547" s="698"/>
      <c r="Y547" s="697"/>
      <c r="Z547" s="697"/>
      <c r="AA547" s="697"/>
      <c r="AB547" s="697"/>
      <c r="AC547" s="697"/>
    </row>
    <row r="548" spans="1:29" x14ac:dyDescent="0.2">
      <c r="A548" s="694" t="str">
        <f>+Info!$B$2</f>
        <v>724</v>
      </c>
      <c r="B548" s="694" t="s">
        <v>5964</v>
      </c>
      <c r="C548" s="694" t="s">
        <v>5965</v>
      </c>
      <c r="D548" s="695" t="s">
        <v>5966</v>
      </c>
      <c r="E548" s="696"/>
      <c r="F548" s="697"/>
      <c r="G548" s="697"/>
      <c r="H548" s="698"/>
      <c r="I548" s="698"/>
      <c r="J548" s="697"/>
      <c r="K548" s="697"/>
      <c r="L548" s="697"/>
      <c r="M548" s="697"/>
      <c r="N548" s="698"/>
      <c r="O548" s="698"/>
      <c r="P548" s="698"/>
      <c r="Q548" s="697"/>
      <c r="R548" s="698"/>
      <c r="S548" s="697"/>
      <c r="T548" s="697"/>
      <c r="U548" s="697"/>
      <c r="V548" s="697"/>
      <c r="W548" s="698"/>
      <c r="X548" s="698"/>
      <c r="Y548" s="697"/>
      <c r="Z548" s="697"/>
      <c r="AA548" s="697"/>
      <c r="AB548" s="697"/>
      <c r="AC548" s="697"/>
    </row>
    <row r="549" spans="1:29" x14ac:dyDescent="0.2">
      <c r="A549" s="694" t="str">
        <f>+Info!$B$2</f>
        <v>724</v>
      </c>
      <c r="B549" s="694" t="s">
        <v>5967</v>
      </c>
      <c r="C549" s="694" t="s">
        <v>5968</v>
      </c>
      <c r="D549" s="695" t="s">
        <v>5969</v>
      </c>
      <c r="E549" s="696"/>
      <c r="F549" s="697"/>
      <c r="G549" s="697"/>
      <c r="H549" s="698"/>
      <c r="I549" s="698"/>
      <c r="J549" s="697"/>
      <c r="K549" s="697"/>
      <c r="L549" s="697"/>
      <c r="M549" s="697"/>
      <c r="N549" s="698"/>
      <c r="O549" s="698"/>
      <c r="P549" s="698"/>
      <c r="Q549" s="697"/>
      <c r="R549" s="698"/>
      <c r="S549" s="697"/>
      <c r="T549" s="697"/>
      <c r="U549" s="697"/>
      <c r="V549" s="697"/>
      <c r="W549" s="698"/>
      <c r="X549" s="698"/>
      <c r="Y549" s="697"/>
      <c r="Z549" s="697"/>
      <c r="AA549" s="697"/>
      <c r="AB549" s="698"/>
      <c r="AC549" s="698"/>
    </row>
    <row r="550" spans="1:29" x14ac:dyDescent="0.2">
      <c r="A550" s="694" t="str">
        <f>+Info!$B$2</f>
        <v>724</v>
      </c>
      <c r="B550" s="694" t="s">
        <v>5970</v>
      </c>
      <c r="C550" s="694" t="s">
        <v>5971</v>
      </c>
      <c r="D550" s="695" t="s">
        <v>5972</v>
      </c>
      <c r="E550" s="696"/>
      <c r="F550" s="697"/>
      <c r="G550" s="697"/>
      <c r="H550" s="698"/>
      <c r="I550" s="698"/>
      <c r="J550" s="697"/>
      <c r="K550" s="697"/>
      <c r="L550" s="697"/>
      <c r="M550" s="697"/>
      <c r="N550" s="698"/>
      <c r="O550" s="698"/>
      <c r="P550" s="698"/>
      <c r="Q550" s="697"/>
      <c r="R550" s="698"/>
      <c r="S550" s="697"/>
      <c r="T550" s="697"/>
      <c r="U550" s="697"/>
      <c r="V550" s="697"/>
      <c r="W550" s="698"/>
      <c r="X550" s="698"/>
      <c r="Y550" s="697"/>
      <c r="Z550" s="697"/>
      <c r="AA550" s="697"/>
      <c r="AB550" s="698"/>
      <c r="AC550" s="698"/>
    </row>
    <row r="551" spans="1:29" x14ac:dyDescent="0.2">
      <c r="A551" s="694" t="str">
        <f>+Info!$B$2</f>
        <v>724</v>
      </c>
      <c r="B551" s="694" t="s">
        <v>5973</v>
      </c>
      <c r="C551" s="694" t="s">
        <v>5974</v>
      </c>
      <c r="D551" s="695" t="s">
        <v>5975</v>
      </c>
      <c r="E551" s="696"/>
      <c r="F551" s="697"/>
      <c r="G551" s="697"/>
      <c r="H551" s="698"/>
      <c r="I551" s="698"/>
      <c r="J551" s="697"/>
      <c r="K551" s="697"/>
      <c r="L551" s="697"/>
      <c r="M551" s="697"/>
      <c r="N551" s="698"/>
      <c r="O551" s="698"/>
      <c r="P551" s="698"/>
      <c r="Q551" s="697"/>
      <c r="R551" s="698"/>
      <c r="S551" s="697"/>
      <c r="T551" s="697"/>
      <c r="U551" s="697"/>
      <c r="V551" s="697"/>
      <c r="W551" s="698"/>
      <c r="X551" s="698"/>
      <c r="Y551" s="697"/>
      <c r="Z551" s="697"/>
      <c r="AA551" s="697"/>
      <c r="AB551" s="697"/>
      <c r="AC551" s="697"/>
    </row>
    <row r="552" spans="1:29" x14ac:dyDescent="0.2">
      <c r="A552" s="694" t="str">
        <f>+Info!$B$2</f>
        <v>724</v>
      </c>
      <c r="B552" s="694" t="s">
        <v>5976</v>
      </c>
      <c r="C552" s="694" t="s">
        <v>5977</v>
      </c>
      <c r="D552" s="695" t="s">
        <v>5978</v>
      </c>
      <c r="E552" s="696"/>
      <c r="F552" s="697"/>
      <c r="G552" s="697"/>
      <c r="H552" s="698"/>
      <c r="I552" s="698"/>
      <c r="J552" s="697"/>
      <c r="K552" s="697"/>
      <c r="L552" s="697"/>
      <c r="M552" s="697"/>
      <c r="N552" s="698"/>
      <c r="O552" s="698"/>
      <c r="P552" s="698"/>
      <c r="Q552" s="697"/>
      <c r="R552" s="697"/>
      <c r="S552" s="698"/>
      <c r="T552" s="697"/>
      <c r="U552" s="697"/>
      <c r="V552" s="697"/>
      <c r="W552" s="698"/>
      <c r="X552" s="698"/>
      <c r="Y552" s="697"/>
      <c r="Z552" s="697"/>
      <c r="AA552" s="697"/>
      <c r="AB552" s="697"/>
      <c r="AC552" s="697"/>
    </row>
    <row r="553" spans="1:29" x14ac:dyDescent="0.2">
      <c r="A553" s="694" t="str">
        <f>+Info!$B$2</f>
        <v>724</v>
      </c>
      <c r="B553" s="694" t="s">
        <v>5979</v>
      </c>
      <c r="C553" s="694" t="s">
        <v>5980</v>
      </c>
      <c r="D553" s="695" t="s">
        <v>5981</v>
      </c>
      <c r="E553" s="696"/>
      <c r="F553" s="697"/>
      <c r="G553" s="697"/>
      <c r="H553" s="698"/>
      <c r="I553" s="698"/>
      <c r="J553" s="697"/>
      <c r="K553" s="697"/>
      <c r="L553" s="697"/>
      <c r="M553" s="697"/>
      <c r="N553" s="698"/>
      <c r="O553" s="698"/>
      <c r="P553" s="698"/>
      <c r="Q553" s="697"/>
      <c r="R553" s="697"/>
      <c r="S553" s="698"/>
      <c r="T553" s="697"/>
      <c r="U553" s="697"/>
      <c r="V553" s="697"/>
      <c r="W553" s="698"/>
      <c r="X553" s="698"/>
      <c r="Y553" s="697"/>
      <c r="Z553" s="697"/>
      <c r="AA553" s="697"/>
      <c r="AB553" s="697"/>
      <c r="AC553" s="697"/>
    </row>
    <row r="554" spans="1:29" x14ac:dyDescent="0.2">
      <c r="A554" s="694" t="str">
        <f>+Info!$B$2</f>
        <v>724</v>
      </c>
      <c r="B554" s="694" t="s">
        <v>5982</v>
      </c>
      <c r="C554" s="694" t="s">
        <v>5983</v>
      </c>
      <c r="D554" s="695" t="s">
        <v>5984</v>
      </c>
      <c r="E554" s="696"/>
      <c r="F554" s="697"/>
      <c r="G554" s="697"/>
      <c r="H554" s="698"/>
      <c r="I554" s="698"/>
      <c r="J554" s="697"/>
      <c r="K554" s="697"/>
      <c r="L554" s="697"/>
      <c r="M554" s="697"/>
      <c r="N554" s="698"/>
      <c r="O554" s="698"/>
      <c r="P554" s="698"/>
      <c r="Q554" s="697"/>
      <c r="R554" s="697"/>
      <c r="S554" s="698"/>
      <c r="T554" s="697"/>
      <c r="U554" s="697"/>
      <c r="V554" s="697"/>
      <c r="W554" s="698"/>
      <c r="X554" s="698"/>
      <c r="Y554" s="697"/>
      <c r="Z554" s="697"/>
      <c r="AA554" s="697"/>
      <c r="AB554" s="697"/>
      <c r="AC554" s="697"/>
    </row>
    <row r="555" spans="1:29" x14ac:dyDescent="0.2">
      <c r="A555" s="694" t="str">
        <f>+Info!$B$2</f>
        <v>724</v>
      </c>
      <c r="B555" s="694" t="s">
        <v>5985</v>
      </c>
      <c r="C555" s="694" t="s">
        <v>5986</v>
      </c>
      <c r="D555" s="695" t="s">
        <v>5987</v>
      </c>
      <c r="E555" s="696"/>
      <c r="F555" s="697"/>
      <c r="G555" s="697"/>
      <c r="H555" s="698"/>
      <c r="I555" s="698"/>
      <c r="J555" s="697"/>
      <c r="K555" s="697"/>
      <c r="L555" s="697"/>
      <c r="M555" s="697"/>
      <c r="N555" s="698"/>
      <c r="O555" s="698"/>
      <c r="P555" s="698"/>
      <c r="Q555" s="697"/>
      <c r="R555" s="697"/>
      <c r="S555" s="698"/>
      <c r="T555" s="697"/>
      <c r="U555" s="697"/>
      <c r="V555" s="697"/>
      <c r="W555" s="698"/>
      <c r="X555" s="698"/>
      <c r="Y555" s="697"/>
      <c r="Z555" s="697"/>
      <c r="AA555" s="697"/>
      <c r="AB555" s="697"/>
      <c r="AC555" s="697"/>
    </row>
    <row r="556" spans="1:29" ht="25.5" x14ac:dyDescent="0.2">
      <c r="A556" s="694" t="str">
        <f>+Info!$B$2</f>
        <v>724</v>
      </c>
      <c r="B556" s="694" t="s">
        <v>5988</v>
      </c>
      <c r="C556" s="694" t="s">
        <v>5989</v>
      </c>
      <c r="D556" s="695" t="s">
        <v>5990</v>
      </c>
      <c r="E556" s="696"/>
      <c r="F556" s="697"/>
      <c r="G556" s="697"/>
      <c r="H556" s="698"/>
      <c r="I556" s="698"/>
      <c r="J556" s="697"/>
      <c r="K556" s="697"/>
      <c r="L556" s="697"/>
      <c r="M556" s="697"/>
      <c r="N556" s="698"/>
      <c r="O556" s="698"/>
      <c r="P556" s="698"/>
      <c r="Q556" s="697"/>
      <c r="R556" s="697"/>
      <c r="S556" s="698"/>
      <c r="T556" s="697"/>
      <c r="U556" s="697"/>
      <c r="V556" s="697"/>
      <c r="W556" s="698"/>
      <c r="X556" s="698"/>
      <c r="Y556" s="697"/>
      <c r="Z556" s="697"/>
      <c r="AA556" s="697"/>
      <c r="AB556" s="697"/>
      <c r="AC556" s="697"/>
    </row>
    <row r="557" spans="1:29" x14ac:dyDescent="0.2">
      <c r="A557" s="694" t="str">
        <f>+Info!$B$2</f>
        <v>724</v>
      </c>
      <c r="B557" s="694" t="s">
        <v>5991</v>
      </c>
      <c r="C557" s="694" t="s">
        <v>5992</v>
      </c>
      <c r="D557" s="695" t="s">
        <v>5993</v>
      </c>
      <c r="E557" s="696"/>
      <c r="F557" s="697"/>
      <c r="G557" s="697"/>
      <c r="H557" s="698"/>
      <c r="I557" s="698"/>
      <c r="J557" s="697"/>
      <c r="K557" s="697"/>
      <c r="L557" s="697"/>
      <c r="M557" s="697"/>
      <c r="N557" s="698"/>
      <c r="O557" s="698"/>
      <c r="P557" s="698"/>
      <c r="Q557" s="697"/>
      <c r="R557" s="697"/>
      <c r="S557" s="698"/>
      <c r="T557" s="697"/>
      <c r="U557" s="697"/>
      <c r="V557" s="697"/>
      <c r="W557" s="698"/>
      <c r="X557" s="698"/>
      <c r="Y557" s="697"/>
      <c r="Z557" s="697"/>
      <c r="AA557" s="697"/>
      <c r="AB557" s="697"/>
      <c r="AC557" s="697"/>
    </row>
    <row r="558" spans="1:29" x14ac:dyDescent="0.2">
      <c r="A558" s="694" t="str">
        <f>+Info!$B$2</f>
        <v>724</v>
      </c>
      <c r="B558" s="694" t="s">
        <v>5994</v>
      </c>
      <c r="C558" s="694" t="s">
        <v>5995</v>
      </c>
      <c r="D558" s="695" t="s">
        <v>5996</v>
      </c>
      <c r="E558" s="696"/>
      <c r="F558" s="697"/>
      <c r="G558" s="697"/>
      <c r="H558" s="698"/>
      <c r="I558" s="698"/>
      <c r="J558" s="697"/>
      <c r="K558" s="697"/>
      <c r="L558" s="697"/>
      <c r="M558" s="697"/>
      <c r="N558" s="698"/>
      <c r="O558" s="698"/>
      <c r="P558" s="698"/>
      <c r="Q558" s="697"/>
      <c r="R558" s="697"/>
      <c r="S558" s="698"/>
      <c r="T558" s="697"/>
      <c r="U558" s="697"/>
      <c r="V558" s="697"/>
      <c r="W558" s="698"/>
      <c r="X558" s="698"/>
      <c r="Y558" s="697"/>
      <c r="Z558" s="697"/>
      <c r="AA558" s="697"/>
      <c r="AB558" s="697"/>
      <c r="AC558" s="697"/>
    </row>
    <row r="559" spans="1:29" x14ac:dyDescent="0.2">
      <c r="A559" s="694" t="str">
        <f>+Info!$B$2</f>
        <v>724</v>
      </c>
      <c r="B559" s="694" t="s">
        <v>5997</v>
      </c>
      <c r="C559" s="694" t="s">
        <v>5998</v>
      </c>
      <c r="D559" s="695" t="s">
        <v>5999</v>
      </c>
      <c r="E559" s="696"/>
      <c r="F559" s="697"/>
      <c r="G559" s="697"/>
      <c r="H559" s="698"/>
      <c r="I559" s="698"/>
      <c r="J559" s="697"/>
      <c r="K559" s="697"/>
      <c r="L559" s="697"/>
      <c r="M559" s="697"/>
      <c r="N559" s="698"/>
      <c r="O559" s="698"/>
      <c r="P559" s="698"/>
      <c r="Q559" s="697"/>
      <c r="R559" s="697"/>
      <c r="S559" s="698"/>
      <c r="T559" s="697"/>
      <c r="U559" s="697"/>
      <c r="V559" s="697"/>
      <c r="W559" s="698"/>
      <c r="X559" s="698"/>
      <c r="Y559" s="697"/>
      <c r="Z559" s="697"/>
      <c r="AA559" s="697"/>
      <c r="AB559" s="697"/>
      <c r="AC559" s="697"/>
    </row>
    <row r="560" spans="1:29" x14ac:dyDescent="0.2">
      <c r="A560" s="694" t="str">
        <f>+Info!$B$2</f>
        <v>724</v>
      </c>
      <c r="B560" s="694" t="s">
        <v>6000</v>
      </c>
      <c r="C560" s="694" t="s">
        <v>6001</v>
      </c>
      <c r="D560" s="695" t="s">
        <v>6002</v>
      </c>
      <c r="E560" s="696"/>
      <c r="F560" s="697"/>
      <c r="G560" s="697"/>
      <c r="H560" s="698"/>
      <c r="I560" s="698"/>
      <c r="J560" s="697"/>
      <c r="K560" s="697"/>
      <c r="L560" s="697"/>
      <c r="M560" s="697"/>
      <c r="N560" s="698"/>
      <c r="O560" s="698"/>
      <c r="P560" s="698"/>
      <c r="Q560" s="697"/>
      <c r="R560" s="697"/>
      <c r="S560" s="698"/>
      <c r="T560" s="697"/>
      <c r="U560" s="697"/>
      <c r="V560" s="697"/>
      <c r="W560" s="698"/>
      <c r="X560" s="698"/>
      <c r="Y560" s="697"/>
      <c r="Z560" s="697"/>
      <c r="AA560" s="697"/>
      <c r="AB560" s="698"/>
      <c r="AC560" s="698"/>
    </row>
    <row r="561" spans="1:29" x14ac:dyDescent="0.2">
      <c r="A561" s="694" t="str">
        <f>+Info!$B$2</f>
        <v>724</v>
      </c>
      <c r="B561" s="694" t="s">
        <v>6003</v>
      </c>
      <c r="C561" s="694" t="s">
        <v>6004</v>
      </c>
      <c r="D561" s="695" t="s">
        <v>6005</v>
      </c>
      <c r="E561" s="696"/>
      <c r="F561" s="697"/>
      <c r="G561" s="697"/>
      <c r="H561" s="698"/>
      <c r="I561" s="698"/>
      <c r="J561" s="697"/>
      <c r="K561" s="697"/>
      <c r="L561" s="697"/>
      <c r="M561" s="697"/>
      <c r="N561" s="698"/>
      <c r="O561" s="698"/>
      <c r="P561" s="698"/>
      <c r="Q561" s="697"/>
      <c r="R561" s="697"/>
      <c r="S561" s="698"/>
      <c r="T561" s="697"/>
      <c r="U561" s="697"/>
      <c r="V561" s="697"/>
      <c r="W561" s="698"/>
      <c r="X561" s="698"/>
      <c r="Y561" s="697"/>
      <c r="Z561" s="697"/>
      <c r="AA561" s="697"/>
      <c r="AB561" s="698"/>
      <c r="AC561" s="698"/>
    </row>
    <row r="562" spans="1:29" x14ac:dyDescent="0.2">
      <c r="A562" s="694" t="str">
        <f>+Info!$B$2</f>
        <v>724</v>
      </c>
      <c r="B562" s="694" t="s">
        <v>6006</v>
      </c>
      <c r="C562" s="694" t="s">
        <v>6007</v>
      </c>
      <c r="D562" s="695" t="s">
        <v>6008</v>
      </c>
      <c r="E562" s="696"/>
      <c r="F562" s="697"/>
      <c r="G562" s="697"/>
      <c r="H562" s="698"/>
      <c r="I562" s="698"/>
      <c r="J562" s="697"/>
      <c r="K562" s="697"/>
      <c r="L562" s="697"/>
      <c r="M562" s="697"/>
      <c r="N562" s="698"/>
      <c r="O562" s="698"/>
      <c r="P562" s="698"/>
      <c r="Q562" s="697"/>
      <c r="R562" s="697"/>
      <c r="S562" s="698"/>
      <c r="T562" s="697"/>
      <c r="U562" s="697"/>
      <c r="V562" s="697"/>
      <c r="W562" s="698"/>
      <c r="X562" s="698"/>
      <c r="Y562" s="697"/>
      <c r="Z562" s="697"/>
      <c r="AA562" s="697"/>
      <c r="AB562" s="697"/>
      <c r="AC562" s="697"/>
    </row>
    <row r="563" spans="1:29" x14ac:dyDescent="0.2">
      <c r="A563" s="694" t="str">
        <f>+Info!$B$2</f>
        <v>724</v>
      </c>
      <c r="B563" s="694" t="s">
        <v>6009</v>
      </c>
      <c r="C563" s="694" t="s">
        <v>6010</v>
      </c>
      <c r="D563" s="695" t="s">
        <v>6011</v>
      </c>
      <c r="E563" s="696"/>
      <c r="F563" s="697"/>
      <c r="G563" s="697"/>
      <c r="H563" s="698"/>
      <c r="I563" s="698"/>
      <c r="J563" s="697"/>
      <c r="K563" s="697"/>
      <c r="L563" s="697"/>
      <c r="M563" s="697"/>
      <c r="N563" s="698"/>
      <c r="O563" s="698"/>
      <c r="P563" s="698"/>
      <c r="Q563" s="697"/>
      <c r="R563" s="697"/>
      <c r="S563" s="698"/>
      <c r="T563" s="697"/>
      <c r="U563" s="697"/>
      <c r="V563" s="697"/>
      <c r="W563" s="698"/>
      <c r="X563" s="698"/>
      <c r="Y563" s="697"/>
      <c r="Z563" s="697"/>
      <c r="AA563" s="697"/>
      <c r="AB563" s="697"/>
      <c r="AC563" s="697"/>
    </row>
    <row r="564" spans="1:29" x14ac:dyDescent="0.2">
      <c r="A564" s="694" t="str">
        <f>+Info!$B$2</f>
        <v>724</v>
      </c>
      <c r="B564" s="694" t="s">
        <v>6012</v>
      </c>
      <c r="C564" s="694" t="s">
        <v>6013</v>
      </c>
      <c r="D564" s="695" t="s">
        <v>6014</v>
      </c>
      <c r="E564" s="696"/>
      <c r="F564" s="697"/>
      <c r="G564" s="697"/>
      <c r="H564" s="698"/>
      <c r="I564" s="698"/>
      <c r="J564" s="697"/>
      <c r="K564" s="697"/>
      <c r="L564" s="697"/>
      <c r="M564" s="697"/>
      <c r="N564" s="698"/>
      <c r="O564" s="698"/>
      <c r="P564" s="698"/>
      <c r="Q564" s="697"/>
      <c r="R564" s="697"/>
      <c r="S564" s="698"/>
      <c r="T564" s="697"/>
      <c r="U564" s="697"/>
      <c r="V564" s="697"/>
      <c r="W564" s="698"/>
      <c r="X564" s="698"/>
      <c r="Y564" s="697"/>
      <c r="Z564" s="697"/>
      <c r="AA564" s="697"/>
      <c r="AB564" s="697"/>
      <c r="AC564" s="697"/>
    </row>
    <row r="565" spans="1:29" x14ac:dyDescent="0.2">
      <c r="A565" s="694" t="str">
        <f>+Info!$B$2</f>
        <v>724</v>
      </c>
      <c r="B565" s="694" t="s">
        <v>6015</v>
      </c>
      <c r="C565" s="694" t="s">
        <v>6016</v>
      </c>
      <c r="D565" s="695" t="s">
        <v>6017</v>
      </c>
      <c r="E565" s="696"/>
      <c r="F565" s="697"/>
      <c r="G565" s="697"/>
      <c r="H565" s="698"/>
      <c r="I565" s="698"/>
      <c r="J565" s="697"/>
      <c r="K565" s="697"/>
      <c r="L565" s="697"/>
      <c r="M565" s="697"/>
      <c r="N565" s="698"/>
      <c r="O565" s="698"/>
      <c r="P565" s="698"/>
      <c r="Q565" s="697"/>
      <c r="R565" s="697"/>
      <c r="S565" s="698"/>
      <c r="T565" s="697"/>
      <c r="U565" s="697"/>
      <c r="V565" s="697"/>
      <c r="W565" s="698"/>
      <c r="X565" s="698"/>
      <c r="Y565" s="697"/>
      <c r="Z565" s="697"/>
      <c r="AA565" s="697"/>
      <c r="AB565" s="697"/>
      <c r="AC565" s="697"/>
    </row>
    <row r="566" spans="1:29" x14ac:dyDescent="0.2">
      <c r="A566" s="694" t="str">
        <f>+Info!$B$2</f>
        <v>724</v>
      </c>
      <c r="B566" s="694" t="s">
        <v>6018</v>
      </c>
      <c r="C566" s="694" t="s">
        <v>6019</v>
      </c>
      <c r="D566" s="695" t="s">
        <v>6020</v>
      </c>
      <c r="E566" s="696"/>
      <c r="F566" s="697"/>
      <c r="G566" s="697"/>
      <c r="H566" s="698"/>
      <c r="I566" s="698"/>
      <c r="J566" s="697"/>
      <c r="K566" s="697"/>
      <c r="L566" s="697"/>
      <c r="M566" s="697"/>
      <c r="N566" s="698"/>
      <c r="O566" s="698"/>
      <c r="P566" s="698"/>
      <c r="Q566" s="697"/>
      <c r="R566" s="697"/>
      <c r="S566" s="698"/>
      <c r="T566" s="697"/>
      <c r="U566" s="697"/>
      <c r="V566" s="697"/>
      <c r="W566" s="698"/>
      <c r="X566" s="698"/>
      <c r="Y566" s="697"/>
      <c r="Z566" s="697"/>
      <c r="AA566" s="697"/>
      <c r="AB566" s="697"/>
      <c r="AC566" s="697"/>
    </row>
    <row r="567" spans="1:29" ht="25.5" x14ac:dyDescent="0.2">
      <c r="A567" s="694" t="str">
        <f>+Info!$B$2</f>
        <v>724</v>
      </c>
      <c r="B567" s="694" t="s">
        <v>6021</v>
      </c>
      <c r="C567" s="694" t="s">
        <v>6022</v>
      </c>
      <c r="D567" s="695" t="s">
        <v>6023</v>
      </c>
      <c r="E567" s="696"/>
      <c r="F567" s="697"/>
      <c r="G567" s="697"/>
      <c r="H567" s="698"/>
      <c r="I567" s="698"/>
      <c r="J567" s="697"/>
      <c r="K567" s="697"/>
      <c r="L567" s="697"/>
      <c r="M567" s="697"/>
      <c r="N567" s="698"/>
      <c r="O567" s="698"/>
      <c r="P567" s="698"/>
      <c r="Q567" s="697"/>
      <c r="R567" s="697"/>
      <c r="S567" s="698"/>
      <c r="T567" s="697"/>
      <c r="U567" s="697"/>
      <c r="V567" s="697"/>
      <c r="W567" s="698"/>
      <c r="X567" s="698"/>
      <c r="Y567" s="697"/>
      <c r="Z567" s="697"/>
      <c r="AA567" s="697"/>
      <c r="AB567" s="697"/>
      <c r="AC567" s="697"/>
    </row>
    <row r="568" spans="1:29" x14ac:dyDescent="0.2">
      <c r="A568" s="694" t="str">
        <f>+Info!$B$2</f>
        <v>724</v>
      </c>
      <c r="B568" s="694" t="s">
        <v>6024</v>
      </c>
      <c r="C568" s="694" t="s">
        <v>6025</v>
      </c>
      <c r="D568" s="695" t="s">
        <v>6026</v>
      </c>
      <c r="E568" s="696"/>
      <c r="F568" s="697"/>
      <c r="G568" s="697"/>
      <c r="H568" s="698"/>
      <c r="I568" s="698"/>
      <c r="J568" s="697"/>
      <c r="K568" s="697"/>
      <c r="L568" s="697"/>
      <c r="M568" s="697"/>
      <c r="N568" s="698"/>
      <c r="O568" s="698"/>
      <c r="P568" s="698"/>
      <c r="Q568" s="697"/>
      <c r="R568" s="697"/>
      <c r="S568" s="698"/>
      <c r="T568" s="697"/>
      <c r="U568" s="697"/>
      <c r="V568" s="697"/>
      <c r="W568" s="698"/>
      <c r="X568" s="698"/>
      <c r="Y568" s="697"/>
      <c r="Z568" s="697"/>
      <c r="AA568" s="697"/>
      <c r="AB568" s="697"/>
      <c r="AC568" s="697"/>
    </row>
    <row r="569" spans="1:29" x14ac:dyDescent="0.2">
      <c r="A569" s="694" t="str">
        <f>+Info!$B$2</f>
        <v>724</v>
      </c>
      <c r="B569" s="694" t="s">
        <v>6027</v>
      </c>
      <c r="C569" s="694" t="s">
        <v>6028</v>
      </c>
      <c r="D569" s="695" t="s">
        <v>6029</v>
      </c>
      <c r="E569" s="696"/>
      <c r="F569" s="697"/>
      <c r="G569" s="697"/>
      <c r="H569" s="698"/>
      <c r="I569" s="698"/>
      <c r="J569" s="697"/>
      <c r="K569" s="697"/>
      <c r="L569" s="697"/>
      <c r="M569" s="697"/>
      <c r="N569" s="698"/>
      <c r="O569" s="698"/>
      <c r="P569" s="698"/>
      <c r="Q569" s="697"/>
      <c r="R569" s="697"/>
      <c r="S569" s="698"/>
      <c r="T569" s="697"/>
      <c r="U569" s="697"/>
      <c r="V569" s="697"/>
      <c r="W569" s="698"/>
      <c r="X569" s="698"/>
      <c r="Y569" s="697"/>
      <c r="Z569" s="697"/>
      <c r="AA569" s="697"/>
      <c r="AB569" s="697"/>
      <c r="AC569" s="697"/>
    </row>
    <row r="570" spans="1:29" x14ac:dyDescent="0.2">
      <c r="A570" s="694" t="str">
        <f>+Info!$B$2</f>
        <v>724</v>
      </c>
      <c r="B570" s="694" t="s">
        <v>6030</v>
      </c>
      <c r="C570" s="694" t="s">
        <v>6031</v>
      </c>
      <c r="D570" s="695" t="s">
        <v>6032</v>
      </c>
      <c r="E570" s="696"/>
      <c r="F570" s="697"/>
      <c r="G570" s="697"/>
      <c r="H570" s="698"/>
      <c r="I570" s="698"/>
      <c r="J570" s="697"/>
      <c r="K570" s="697"/>
      <c r="L570" s="697"/>
      <c r="M570" s="697"/>
      <c r="N570" s="698"/>
      <c r="O570" s="698"/>
      <c r="P570" s="698"/>
      <c r="Q570" s="697"/>
      <c r="R570" s="697"/>
      <c r="S570" s="698"/>
      <c r="T570" s="697"/>
      <c r="U570" s="697"/>
      <c r="V570" s="697"/>
      <c r="W570" s="698"/>
      <c r="X570" s="698"/>
      <c r="Y570" s="697"/>
      <c r="Z570" s="697"/>
      <c r="AA570" s="697"/>
      <c r="AB570" s="697"/>
      <c r="AC570" s="697"/>
    </row>
    <row r="571" spans="1:29" x14ac:dyDescent="0.2">
      <c r="A571" s="694" t="str">
        <f>+Info!$B$2</f>
        <v>724</v>
      </c>
      <c r="B571" s="694" t="s">
        <v>6033</v>
      </c>
      <c r="C571" s="694" t="s">
        <v>6034</v>
      </c>
      <c r="D571" s="695" t="s">
        <v>6035</v>
      </c>
      <c r="E571" s="696"/>
      <c r="F571" s="697"/>
      <c r="G571" s="697"/>
      <c r="H571" s="698"/>
      <c r="I571" s="698"/>
      <c r="J571" s="697"/>
      <c r="K571" s="697"/>
      <c r="L571" s="697"/>
      <c r="M571" s="697"/>
      <c r="N571" s="698"/>
      <c r="O571" s="698"/>
      <c r="P571" s="698"/>
      <c r="Q571" s="697"/>
      <c r="R571" s="697"/>
      <c r="S571" s="698"/>
      <c r="T571" s="697"/>
      <c r="U571" s="697"/>
      <c r="V571" s="697"/>
      <c r="W571" s="698"/>
      <c r="X571" s="698"/>
      <c r="Y571" s="697"/>
      <c r="Z571" s="697"/>
      <c r="AA571" s="697"/>
      <c r="AB571" s="698"/>
      <c r="AC571" s="698"/>
    </row>
    <row r="572" spans="1:29" x14ac:dyDescent="0.2">
      <c r="A572" s="694" t="str">
        <f>+Info!$B$2</f>
        <v>724</v>
      </c>
      <c r="B572" s="694" t="s">
        <v>6036</v>
      </c>
      <c r="C572" s="694" t="s">
        <v>6037</v>
      </c>
      <c r="D572" s="695" t="s">
        <v>6038</v>
      </c>
      <c r="E572" s="696"/>
      <c r="F572" s="697"/>
      <c r="G572" s="697"/>
      <c r="H572" s="698"/>
      <c r="I572" s="698"/>
      <c r="J572" s="697"/>
      <c r="K572" s="697"/>
      <c r="L572" s="697"/>
      <c r="M572" s="697"/>
      <c r="N572" s="698"/>
      <c r="O572" s="698"/>
      <c r="P572" s="698"/>
      <c r="Q572" s="697"/>
      <c r="R572" s="697"/>
      <c r="S572" s="698"/>
      <c r="T572" s="697"/>
      <c r="U572" s="697"/>
      <c r="V572" s="697"/>
      <c r="W572" s="698"/>
      <c r="X572" s="698"/>
      <c r="Y572" s="697"/>
      <c r="Z572" s="697"/>
      <c r="AA572" s="697"/>
      <c r="AB572" s="698"/>
      <c r="AC572" s="698"/>
    </row>
    <row r="573" spans="1:29" x14ac:dyDescent="0.2">
      <c r="A573" s="694" t="str">
        <f>+Info!$B$2</f>
        <v>724</v>
      </c>
      <c r="B573" s="694" t="s">
        <v>6039</v>
      </c>
      <c r="C573" s="694" t="s">
        <v>6040</v>
      </c>
      <c r="D573" s="695" t="s">
        <v>6041</v>
      </c>
      <c r="E573" s="696"/>
      <c r="F573" s="697"/>
      <c r="G573" s="697"/>
      <c r="H573" s="698"/>
      <c r="I573" s="698"/>
      <c r="J573" s="697"/>
      <c r="K573" s="697"/>
      <c r="L573" s="697"/>
      <c r="M573" s="697"/>
      <c r="N573" s="698"/>
      <c r="O573" s="698"/>
      <c r="P573" s="698"/>
      <c r="Q573" s="697"/>
      <c r="R573" s="697"/>
      <c r="S573" s="698"/>
      <c r="T573" s="697"/>
      <c r="U573" s="697"/>
      <c r="V573" s="697"/>
      <c r="W573" s="698"/>
      <c r="X573" s="698"/>
      <c r="Y573" s="697"/>
      <c r="Z573" s="697"/>
      <c r="AA573" s="697"/>
      <c r="AB573" s="697"/>
      <c r="AC573" s="697"/>
    </row>
    <row r="574" spans="1:29" x14ac:dyDescent="0.2">
      <c r="A574" s="694" t="str">
        <f>+Info!$B$2</f>
        <v>724</v>
      </c>
      <c r="B574" s="694" t="s">
        <v>6042</v>
      </c>
      <c r="C574" s="694" t="s">
        <v>6043</v>
      </c>
      <c r="D574" s="695" t="s">
        <v>6044</v>
      </c>
      <c r="E574" s="696"/>
      <c r="F574" s="697"/>
      <c r="G574" s="697"/>
      <c r="H574" s="698"/>
      <c r="I574" s="698"/>
      <c r="J574" s="697"/>
      <c r="K574" s="697"/>
      <c r="L574" s="697"/>
      <c r="M574" s="697"/>
      <c r="N574" s="698"/>
      <c r="O574" s="698"/>
      <c r="P574" s="698"/>
      <c r="Q574" s="697"/>
      <c r="R574" s="697"/>
      <c r="S574" s="698"/>
      <c r="T574" s="697"/>
      <c r="U574" s="697"/>
      <c r="V574" s="697"/>
      <c r="W574" s="698"/>
      <c r="X574" s="698"/>
      <c r="Y574" s="697"/>
      <c r="Z574" s="697"/>
      <c r="AA574" s="697"/>
      <c r="AB574" s="697"/>
      <c r="AC574" s="697"/>
    </row>
    <row r="575" spans="1:29" x14ac:dyDescent="0.2">
      <c r="A575" s="694" t="str">
        <f>+Info!$B$2</f>
        <v>724</v>
      </c>
      <c r="B575" s="694" t="s">
        <v>6045</v>
      </c>
      <c r="C575" s="694" t="s">
        <v>6046</v>
      </c>
      <c r="D575" s="695" t="s">
        <v>6047</v>
      </c>
      <c r="E575" s="696"/>
      <c r="F575" s="697"/>
      <c r="G575" s="697"/>
      <c r="H575" s="698"/>
      <c r="I575" s="698"/>
      <c r="J575" s="697"/>
      <c r="K575" s="697"/>
      <c r="L575" s="697"/>
      <c r="M575" s="697"/>
      <c r="N575" s="698"/>
      <c r="O575" s="698"/>
      <c r="P575" s="698"/>
      <c r="Q575" s="697"/>
      <c r="R575" s="697"/>
      <c r="S575" s="698"/>
      <c r="T575" s="697"/>
      <c r="U575" s="697"/>
      <c r="V575" s="697"/>
      <c r="W575" s="698"/>
      <c r="X575" s="698"/>
      <c r="Y575" s="697"/>
      <c r="Z575" s="697"/>
      <c r="AA575" s="697"/>
      <c r="AB575" s="697"/>
      <c r="AC575" s="697"/>
    </row>
    <row r="576" spans="1:29" x14ac:dyDescent="0.2">
      <c r="A576" s="694" t="str">
        <f>+Info!$B$2</f>
        <v>724</v>
      </c>
      <c r="B576" s="694" t="s">
        <v>6048</v>
      </c>
      <c r="C576" s="694" t="s">
        <v>6049</v>
      </c>
      <c r="D576" s="695" t="s">
        <v>6050</v>
      </c>
      <c r="E576" s="696"/>
      <c r="F576" s="697"/>
      <c r="G576" s="697"/>
      <c r="H576" s="698"/>
      <c r="I576" s="698"/>
      <c r="J576" s="697"/>
      <c r="K576" s="697"/>
      <c r="L576" s="697"/>
      <c r="M576" s="697"/>
      <c r="N576" s="698"/>
      <c r="O576" s="698"/>
      <c r="P576" s="698"/>
      <c r="Q576" s="697"/>
      <c r="R576" s="697"/>
      <c r="S576" s="698"/>
      <c r="T576" s="697"/>
      <c r="U576" s="697"/>
      <c r="V576" s="697"/>
      <c r="W576" s="698"/>
      <c r="X576" s="698"/>
      <c r="Y576" s="697"/>
      <c r="Z576" s="697"/>
      <c r="AA576" s="697"/>
      <c r="AB576" s="697"/>
      <c r="AC576" s="697"/>
    </row>
    <row r="577" spans="1:29" x14ac:dyDescent="0.2">
      <c r="A577" s="694" t="str">
        <f>+Info!$B$2</f>
        <v>724</v>
      </c>
      <c r="B577" s="694" t="s">
        <v>6051</v>
      </c>
      <c r="C577" s="694" t="s">
        <v>6052</v>
      </c>
      <c r="D577" s="695" t="s">
        <v>6053</v>
      </c>
      <c r="E577" s="696"/>
      <c r="F577" s="697"/>
      <c r="G577" s="697"/>
      <c r="H577" s="698"/>
      <c r="I577" s="698"/>
      <c r="J577" s="697"/>
      <c r="K577" s="697"/>
      <c r="L577" s="697"/>
      <c r="M577" s="697"/>
      <c r="N577" s="698"/>
      <c r="O577" s="698"/>
      <c r="P577" s="698"/>
      <c r="Q577" s="697"/>
      <c r="R577" s="697"/>
      <c r="S577" s="698"/>
      <c r="T577" s="697"/>
      <c r="U577" s="697"/>
      <c r="V577" s="697"/>
      <c r="W577" s="698"/>
      <c r="X577" s="698"/>
      <c r="Y577" s="697"/>
      <c r="Z577" s="697"/>
      <c r="AA577" s="697"/>
      <c r="AB577" s="697"/>
      <c r="AC577" s="697"/>
    </row>
    <row r="578" spans="1:29" x14ac:dyDescent="0.2">
      <c r="A578" s="694" t="str">
        <f>+Info!$B$2</f>
        <v>724</v>
      </c>
      <c r="B578" s="694" t="s">
        <v>6054</v>
      </c>
      <c r="C578" s="694" t="s">
        <v>6055</v>
      </c>
      <c r="D578" s="695" t="s">
        <v>6056</v>
      </c>
      <c r="E578" s="696"/>
      <c r="F578" s="697"/>
      <c r="G578" s="697"/>
      <c r="H578" s="698"/>
      <c r="I578" s="698"/>
      <c r="J578" s="697"/>
      <c r="K578" s="697"/>
      <c r="L578" s="697"/>
      <c r="M578" s="697"/>
      <c r="N578" s="698"/>
      <c r="O578" s="698"/>
      <c r="P578" s="698"/>
      <c r="Q578" s="697"/>
      <c r="R578" s="697"/>
      <c r="S578" s="698"/>
      <c r="T578" s="697"/>
      <c r="U578" s="697"/>
      <c r="V578" s="697"/>
      <c r="W578" s="698"/>
      <c r="X578" s="698"/>
      <c r="Y578" s="697"/>
      <c r="Z578" s="697"/>
      <c r="AA578" s="697"/>
      <c r="AB578" s="697"/>
      <c r="AC578" s="697"/>
    </row>
    <row r="579" spans="1:29" x14ac:dyDescent="0.2">
      <c r="A579" s="694" t="str">
        <f>+Info!$B$2</f>
        <v>724</v>
      </c>
      <c r="B579" s="694" t="s">
        <v>6057</v>
      </c>
      <c r="C579" s="694" t="s">
        <v>6058</v>
      </c>
      <c r="D579" s="695" t="s">
        <v>6059</v>
      </c>
      <c r="E579" s="696"/>
      <c r="F579" s="697"/>
      <c r="G579" s="697"/>
      <c r="H579" s="698"/>
      <c r="I579" s="698"/>
      <c r="J579" s="697"/>
      <c r="K579" s="697"/>
      <c r="L579" s="697"/>
      <c r="M579" s="697"/>
      <c r="N579" s="698"/>
      <c r="O579" s="698"/>
      <c r="P579" s="698"/>
      <c r="Q579" s="697"/>
      <c r="R579" s="697"/>
      <c r="S579" s="698"/>
      <c r="T579" s="697"/>
      <c r="U579" s="697"/>
      <c r="V579" s="697"/>
      <c r="W579" s="698"/>
      <c r="X579" s="698"/>
      <c r="Y579" s="697"/>
      <c r="Z579" s="697"/>
      <c r="AA579" s="697"/>
      <c r="AB579" s="697"/>
      <c r="AC579" s="697"/>
    </row>
    <row r="580" spans="1:29" x14ac:dyDescent="0.2">
      <c r="A580" s="694" t="str">
        <f>+Info!$B$2</f>
        <v>724</v>
      </c>
      <c r="B580" s="694" t="s">
        <v>6060</v>
      </c>
      <c r="C580" s="694" t="s">
        <v>6061</v>
      </c>
      <c r="D580" s="695" t="s">
        <v>6062</v>
      </c>
      <c r="E580" s="696"/>
      <c r="F580" s="697"/>
      <c r="G580" s="697"/>
      <c r="H580" s="698"/>
      <c r="I580" s="698"/>
      <c r="J580" s="697"/>
      <c r="K580" s="697"/>
      <c r="L580" s="697"/>
      <c r="M580" s="697"/>
      <c r="N580" s="698"/>
      <c r="O580" s="698"/>
      <c r="P580" s="698"/>
      <c r="Q580" s="697"/>
      <c r="R580" s="697"/>
      <c r="S580" s="698"/>
      <c r="T580" s="697"/>
      <c r="U580" s="697"/>
      <c r="V580" s="697"/>
      <c r="W580" s="698"/>
      <c r="X580" s="698"/>
      <c r="Y580" s="697"/>
      <c r="Z580" s="697"/>
      <c r="AA580" s="697"/>
      <c r="AB580" s="697"/>
      <c r="AC580" s="697"/>
    </row>
    <row r="581" spans="1:29" x14ac:dyDescent="0.2">
      <c r="A581" s="694" t="str">
        <f>+Info!$B$2</f>
        <v>724</v>
      </c>
      <c r="B581" s="694" t="s">
        <v>6063</v>
      </c>
      <c r="C581" s="694" t="s">
        <v>6064</v>
      </c>
      <c r="D581" s="695" t="s">
        <v>6065</v>
      </c>
      <c r="E581" s="696"/>
      <c r="F581" s="697"/>
      <c r="G581" s="697"/>
      <c r="H581" s="698"/>
      <c r="I581" s="698"/>
      <c r="J581" s="697"/>
      <c r="K581" s="697"/>
      <c r="L581" s="697"/>
      <c r="M581" s="697"/>
      <c r="N581" s="698"/>
      <c r="O581" s="698"/>
      <c r="P581" s="698"/>
      <c r="Q581" s="697"/>
      <c r="R581" s="697"/>
      <c r="S581" s="698"/>
      <c r="T581" s="697"/>
      <c r="U581" s="697"/>
      <c r="V581" s="697"/>
      <c r="W581" s="698"/>
      <c r="X581" s="698"/>
      <c r="Y581" s="697"/>
      <c r="Z581" s="697"/>
      <c r="AA581" s="697"/>
      <c r="AB581" s="697"/>
      <c r="AC581" s="697"/>
    </row>
    <row r="582" spans="1:29" x14ac:dyDescent="0.2">
      <c r="A582" s="694" t="str">
        <f>+Info!$B$2</f>
        <v>724</v>
      </c>
      <c r="B582" s="694" t="s">
        <v>6066</v>
      </c>
      <c r="C582" s="694" t="s">
        <v>6067</v>
      </c>
      <c r="D582" s="695" t="s">
        <v>6068</v>
      </c>
      <c r="E582" s="696"/>
      <c r="F582" s="697"/>
      <c r="G582" s="697"/>
      <c r="H582" s="698"/>
      <c r="I582" s="698"/>
      <c r="J582" s="697"/>
      <c r="K582" s="697"/>
      <c r="L582" s="697"/>
      <c r="M582" s="697"/>
      <c r="N582" s="698"/>
      <c r="O582" s="698"/>
      <c r="P582" s="698"/>
      <c r="Q582" s="697"/>
      <c r="R582" s="697"/>
      <c r="S582" s="698"/>
      <c r="T582" s="697"/>
      <c r="U582" s="697"/>
      <c r="V582" s="697"/>
      <c r="W582" s="698"/>
      <c r="X582" s="698"/>
      <c r="Y582" s="697"/>
      <c r="Z582" s="697"/>
      <c r="AA582" s="697"/>
      <c r="AB582" s="698"/>
      <c r="AC582" s="698"/>
    </row>
    <row r="583" spans="1:29" x14ac:dyDescent="0.2">
      <c r="A583" s="694" t="str">
        <f>+Info!$B$2</f>
        <v>724</v>
      </c>
      <c r="B583" s="694" t="s">
        <v>6069</v>
      </c>
      <c r="C583" s="694" t="s">
        <v>6070</v>
      </c>
      <c r="D583" s="695" t="s">
        <v>6071</v>
      </c>
      <c r="E583" s="696"/>
      <c r="F583" s="697"/>
      <c r="G583" s="697"/>
      <c r="H583" s="698"/>
      <c r="I583" s="698"/>
      <c r="J583" s="697"/>
      <c r="K583" s="697"/>
      <c r="L583" s="697"/>
      <c r="M583" s="697"/>
      <c r="N583" s="698"/>
      <c r="O583" s="698"/>
      <c r="P583" s="698"/>
      <c r="Q583" s="697"/>
      <c r="R583" s="697"/>
      <c r="S583" s="698"/>
      <c r="T583" s="697"/>
      <c r="U583" s="697"/>
      <c r="V583" s="697"/>
      <c r="W583" s="698"/>
      <c r="X583" s="698"/>
      <c r="Y583" s="697"/>
      <c r="Z583" s="697"/>
      <c r="AA583" s="697"/>
      <c r="AB583" s="698"/>
      <c r="AC583" s="698"/>
    </row>
    <row r="584" spans="1:29" x14ac:dyDescent="0.2">
      <c r="A584" s="694" t="str">
        <f>+Info!$B$2</f>
        <v>724</v>
      </c>
      <c r="B584" s="694" t="s">
        <v>6072</v>
      </c>
      <c r="C584" s="694" t="s">
        <v>6073</v>
      </c>
      <c r="D584" s="695" t="s">
        <v>6074</v>
      </c>
      <c r="E584" s="696"/>
      <c r="F584" s="697"/>
      <c r="G584" s="697"/>
      <c r="H584" s="698"/>
      <c r="I584" s="698"/>
      <c r="J584" s="697"/>
      <c r="K584" s="697"/>
      <c r="L584" s="697"/>
      <c r="M584" s="697"/>
      <c r="N584" s="698"/>
      <c r="O584" s="698"/>
      <c r="P584" s="698"/>
      <c r="Q584" s="697"/>
      <c r="R584" s="697"/>
      <c r="S584" s="698"/>
      <c r="T584" s="697"/>
      <c r="U584" s="697"/>
      <c r="V584" s="697"/>
      <c r="W584" s="698"/>
      <c r="X584" s="698"/>
      <c r="Y584" s="697"/>
      <c r="Z584" s="697"/>
      <c r="AA584" s="697"/>
      <c r="AB584" s="697"/>
      <c r="AC584" s="697"/>
    </row>
    <row r="585" spans="1:29" ht="15" x14ac:dyDescent="0.25">
      <c r="A585" s="691" t="str">
        <f>+Info!$B$2</f>
        <v>724</v>
      </c>
      <c r="B585" s="691" t="s">
        <v>6075</v>
      </c>
      <c r="C585" s="691" t="s">
        <v>6076</v>
      </c>
      <c r="D585" s="692" t="s">
        <v>6077</v>
      </c>
      <c r="E585" s="693"/>
      <c r="F585" s="701"/>
      <c r="G585" s="701"/>
      <c r="H585" s="701"/>
      <c r="I585" s="701"/>
      <c r="J585" s="701"/>
      <c r="K585" s="701"/>
      <c r="L585" s="701"/>
      <c r="M585" s="701"/>
      <c r="N585" s="701"/>
      <c r="O585" s="701"/>
      <c r="P585" s="701"/>
      <c r="Q585" s="701"/>
      <c r="R585" s="701"/>
      <c r="S585" s="701"/>
      <c r="T585" s="701"/>
      <c r="U585" s="701"/>
      <c r="V585" s="701"/>
      <c r="W585" s="701"/>
      <c r="X585" s="701"/>
      <c r="Y585" s="701"/>
      <c r="Z585" s="701"/>
      <c r="AA585" s="701"/>
      <c r="AB585" s="701"/>
      <c r="AC585" s="701"/>
    </row>
    <row r="586" spans="1:29" x14ac:dyDescent="0.2">
      <c r="A586" s="694" t="str">
        <f>+Info!$B$2</f>
        <v>724</v>
      </c>
      <c r="B586" s="694" t="s">
        <v>6078</v>
      </c>
      <c r="C586" s="694" t="s">
        <v>6079</v>
      </c>
      <c r="D586" s="695" t="s">
        <v>6080</v>
      </c>
      <c r="E586" s="696"/>
      <c r="F586" s="697"/>
      <c r="G586" s="697"/>
      <c r="H586" s="698"/>
      <c r="I586" s="698"/>
      <c r="J586" s="697"/>
      <c r="K586" s="697"/>
      <c r="L586" s="697"/>
      <c r="M586" s="697"/>
      <c r="N586" s="698"/>
      <c r="O586" s="698"/>
      <c r="P586" s="698"/>
      <c r="Q586" s="697"/>
      <c r="R586" s="698"/>
      <c r="S586" s="697"/>
      <c r="T586" s="697"/>
      <c r="U586" s="697"/>
      <c r="V586" s="697"/>
      <c r="W586" s="698"/>
      <c r="X586" s="698"/>
      <c r="Y586" s="697"/>
      <c r="Z586" s="697"/>
      <c r="AA586" s="697"/>
      <c r="AB586" s="697"/>
      <c r="AC586" s="697"/>
    </row>
    <row r="587" spans="1:29" x14ac:dyDescent="0.2">
      <c r="A587" s="694" t="str">
        <f>+Info!$B$2</f>
        <v>724</v>
      </c>
      <c r="B587" s="694" t="s">
        <v>6081</v>
      </c>
      <c r="C587" s="694" t="s">
        <v>6082</v>
      </c>
      <c r="D587" s="695" t="s">
        <v>6083</v>
      </c>
      <c r="E587" s="696"/>
      <c r="F587" s="697"/>
      <c r="G587" s="697"/>
      <c r="H587" s="698"/>
      <c r="I587" s="698"/>
      <c r="J587" s="697"/>
      <c r="K587" s="697"/>
      <c r="L587" s="697"/>
      <c r="M587" s="697"/>
      <c r="N587" s="698"/>
      <c r="O587" s="698"/>
      <c r="P587" s="698"/>
      <c r="Q587" s="697"/>
      <c r="R587" s="698"/>
      <c r="S587" s="697"/>
      <c r="T587" s="697"/>
      <c r="U587" s="697"/>
      <c r="V587" s="697"/>
      <c r="W587" s="698"/>
      <c r="X587" s="698"/>
      <c r="Y587" s="697"/>
      <c r="Z587" s="697"/>
      <c r="AA587" s="697"/>
      <c r="AB587" s="697"/>
      <c r="AC587" s="697"/>
    </row>
    <row r="588" spans="1:29" x14ac:dyDescent="0.2">
      <c r="A588" s="694" t="str">
        <f>+Info!$B$2</f>
        <v>724</v>
      </c>
      <c r="B588" s="694" t="s">
        <v>6084</v>
      </c>
      <c r="C588" s="694" t="s">
        <v>6085</v>
      </c>
      <c r="D588" s="695" t="s">
        <v>6086</v>
      </c>
      <c r="E588" s="696"/>
      <c r="F588" s="697"/>
      <c r="G588" s="697"/>
      <c r="H588" s="698"/>
      <c r="I588" s="698"/>
      <c r="J588" s="697"/>
      <c r="K588" s="697"/>
      <c r="L588" s="697"/>
      <c r="M588" s="697"/>
      <c r="N588" s="698"/>
      <c r="O588" s="698"/>
      <c r="P588" s="698"/>
      <c r="Q588" s="697"/>
      <c r="R588" s="698"/>
      <c r="S588" s="697"/>
      <c r="T588" s="697"/>
      <c r="U588" s="697"/>
      <c r="V588" s="697"/>
      <c r="W588" s="698"/>
      <c r="X588" s="698"/>
      <c r="Y588" s="697"/>
      <c r="Z588" s="697"/>
      <c r="AA588" s="697"/>
      <c r="AB588" s="697"/>
      <c r="AC588" s="697"/>
    </row>
    <row r="589" spans="1:29" x14ac:dyDescent="0.2">
      <c r="A589" s="694" t="str">
        <f>+Info!$B$2</f>
        <v>724</v>
      </c>
      <c r="B589" s="694" t="s">
        <v>6087</v>
      </c>
      <c r="C589" s="694" t="s">
        <v>6088</v>
      </c>
      <c r="D589" s="695" t="s">
        <v>6089</v>
      </c>
      <c r="E589" s="696"/>
      <c r="F589" s="697"/>
      <c r="G589" s="697"/>
      <c r="H589" s="698"/>
      <c r="I589" s="698"/>
      <c r="J589" s="697"/>
      <c r="K589" s="697"/>
      <c r="L589" s="697"/>
      <c r="M589" s="697"/>
      <c r="N589" s="698"/>
      <c r="O589" s="698"/>
      <c r="P589" s="698"/>
      <c r="Q589" s="697"/>
      <c r="R589" s="698"/>
      <c r="S589" s="697"/>
      <c r="T589" s="697"/>
      <c r="U589" s="697"/>
      <c r="V589" s="697"/>
      <c r="W589" s="698"/>
      <c r="X589" s="698"/>
      <c r="Y589" s="697"/>
      <c r="Z589" s="697"/>
      <c r="AA589" s="697"/>
      <c r="AB589" s="697"/>
      <c r="AC589" s="697"/>
    </row>
    <row r="590" spans="1:29" x14ac:dyDescent="0.2">
      <c r="A590" s="694" t="str">
        <f>+Info!$B$2</f>
        <v>724</v>
      </c>
      <c r="B590" s="694" t="s">
        <v>6090</v>
      </c>
      <c r="C590" s="694" t="s">
        <v>6091</v>
      </c>
      <c r="D590" s="695" t="s">
        <v>6092</v>
      </c>
      <c r="E590" s="696"/>
      <c r="F590" s="697"/>
      <c r="G590" s="697"/>
      <c r="H590" s="698"/>
      <c r="I590" s="698"/>
      <c r="J590" s="697"/>
      <c r="K590" s="697"/>
      <c r="L590" s="697"/>
      <c r="M590" s="697"/>
      <c r="N590" s="698"/>
      <c r="O590" s="698"/>
      <c r="P590" s="698"/>
      <c r="Q590" s="697"/>
      <c r="R590" s="698"/>
      <c r="S590" s="697"/>
      <c r="T590" s="697"/>
      <c r="U590" s="697"/>
      <c r="V590" s="697"/>
      <c r="W590" s="698"/>
      <c r="X590" s="698"/>
      <c r="Y590" s="697"/>
      <c r="Z590" s="697"/>
      <c r="AA590" s="697"/>
      <c r="AB590" s="697"/>
      <c r="AC590" s="697"/>
    </row>
    <row r="591" spans="1:29" x14ac:dyDescent="0.2">
      <c r="A591" s="694" t="str">
        <f>+Info!$B$2</f>
        <v>724</v>
      </c>
      <c r="B591" s="694" t="s">
        <v>6093</v>
      </c>
      <c r="C591" s="694" t="s">
        <v>6094</v>
      </c>
      <c r="D591" s="695" t="s">
        <v>6095</v>
      </c>
      <c r="E591" s="696"/>
      <c r="F591" s="697"/>
      <c r="G591" s="697"/>
      <c r="H591" s="698"/>
      <c r="I591" s="698"/>
      <c r="J591" s="697"/>
      <c r="K591" s="697"/>
      <c r="L591" s="697"/>
      <c r="M591" s="697"/>
      <c r="N591" s="698"/>
      <c r="O591" s="698"/>
      <c r="P591" s="698"/>
      <c r="Q591" s="697"/>
      <c r="R591" s="698"/>
      <c r="S591" s="697"/>
      <c r="T591" s="697"/>
      <c r="U591" s="697"/>
      <c r="V591" s="697"/>
      <c r="W591" s="698"/>
      <c r="X591" s="698"/>
      <c r="Y591" s="697"/>
      <c r="Z591" s="697"/>
      <c r="AA591" s="697"/>
      <c r="AB591" s="697"/>
      <c r="AC591" s="697"/>
    </row>
    <row r="592" spans="1:29" x14ac:dyDescent="0.2">
      <c r="A592" s="694" t="str">
        <f>+Info!$B$2</f>
        <v>724</v>
      </c>
      <c r="B592" s="694" t="s">
        <v>6096</v>
      </c>
      <c r="C592" s="694" t="s">
        <v>6097</v>
      </c>
      <c r="D592" s="695" t="s">
        <v>6098</v>
      </c>
      <c r="E592" s="696"/>
      <c r="F592" s="697"/>
      <c r="G592" s="697"/>
      <c r="H592" s="698"/>
      <c r="I592" s="698"/>
      <c r="J592" s="697"/>
      <c r="K592" s="697"/>
      <c r="L592" s="697"/>
      <c r="M592" s="697"/>
      <c r="N592" s="698"/>
      <c r="O592" s="698"/>
      <c r="P592" s="698"/>
      <c r="Q592" s="697"/>
      <c r="R592" s="698"/>
      <c r="S592" s="697"/>
      <c r="T592" s="697"/>
      <c r="U592" s="697"/>
      <c r="V592" s="697"/>
      <c r="W592" s="698"/>
      <c r="X592" s="698"/>
      <c r="Y592" s="697"/>
      <c r="Z592" s="697"/>
      <c r="AA592" s="697"/>
      <c r="AB592" s="697"/>
      <c r="AC592" s="697"/>
    </row>
    <row r="593" spans="1:29" x14ac:dyDescent="0.2">
      <c r="A593" s="694" t="str">
        <f>+Info!$B$2</f>
        <v>724</v>
      </c>
      <c r="B593" s="694" t="s">
        <v>6099</v>
      </c>
      <c r="C593" s="694" t="s">
        <v>6100</v>
      </c>
      <c r="D593" s="695" t="s">
        <v>6101</v>
      </c>
      <c r="E593" s="696"/>
      <c r="F593" s="697"/>
      <c r="G593" s="697"/>
      <c r="H593" s="698"/>
      <c r="I593" s="698"/>
      <c r="J593" s="697"/>
      <c r="K593" s="697"/>
      <c r="L593" s="697"/>
      <c r="M593" s="697"/>
      <c r="N593" s="698"/>
      <c r="O593" s="698"/>
      <c r="P593" s="698"/>
      <c r="Q593" s="697"/>
      <c r="R593" s="698"/>
      <c r="S593" s="697"/>
      <c r="T593" s="697"/>
      <c r="U593" s="697"/>
      <c r="V593" s="697"/>
      <c r="W593" s="698"/>
      <c r="X593" s="698"/>
      <c r="Y593" s="697"/>
      <c r="Z593" s="697"/>
      <c r="AA593" s="697"/>
      <c r="AB593" s="697"/>
      <c r="AC593" s="697"/>
    </row>
    <row r="594" spans="1:29" x14ac:dyDescent="0.2">
      <c r="A594" s="694" t="str">
        <f>+Info!$B$2</f>
        <v>724</v>
      </c>
      <c r="B594" s="694" t="s">
        <v>6102</v>
      </c>
      <c r="C594" s="694" t="s">
        <v>6103</v>
      </c>
      <c r="D594" s="695" t="s">
        <v>6104</v>
      </c>
      <c r="E594" s="696"/>
      <c r="F594" s="697"/>
      <c r="G594" s="697"/>
      <c r="H594" s="698"/>
      <c r="I594" s="698"/>
      <c r="J594" s="697"/>
      <c r="K594" s="697"/>
      <c r="L594" s="697"/>
      <c r="M594" s="697"/>
      <c r="N594" s="698"/>
      <c r="O594" s="698"/>
      <c r="P594" s="698"/>
      <c r="Q594" s="697"/>
      <c r="R594" s="698"/>
      <c r="S594" s="697"/>
      <c r="T594" s="697"/>
      <c r="U594" s="697"/>
      <c r="V594" s="697"/>
      <c r="W594" s="698"/>
      <c r="X594" s="698"/>
      <c r="Y594" s="697"/>
      <c r="Z594" s="697"/>
      <c r="AA594" s="697"/>
      <c r="AB594" s="697"/>
      <c r="AC594" s="697"/>
    </row>
    <row r="595" spans="1:29" x14ac:dyDescent="0.2">
      <c r="A595" s="694" t="str">
        <f>+Info!$B$2</f>
        <v>724</v>
      </c>
      <c r="B595" s="694" t="s">
        <v>6105</v>
      </c>
      <c r="C595" s="694" t="s">
        <v>6106</v>
      </c>
      <c r="D595" s="695" t="s">
        <v>6107</v>
      </c>
      <c r="E595" s="696"/>
      <c r="F595" s="697"/>
      <c r="G595" s="697"/>
      <c r="H595" s="698"/>
      <c r="I595" s="698"/>
      <c r="J595" s="697"/>
      <c r="K595" s="697"/>
      <c r="L595" s="697"/>
      <c r="M595" s="697"/>
      <c r="N595" s="698"/>
      <c r="O595" s="698"/>
      <c r="P595" s="698"/>
      <c r="Q595" s="697"/>
      <c r="R595" s="698"/>
      <c r="S595" s="697"/>
      <c r="T595" s="697"/>
      <c r="U595" s="697"/>
      <c r="V595" s="697"/>
      <c r="W595" s="698"/>
      <c r="X595" s="698"/>
      <c r="Y595" s="697"/>
      <c r="Z595" s="697"/>
      <c r="AA595" s="697"/>
      <c r="AB595" s="698"/>
      <c r="AC595" s="698"/>
    </row>
    <row r="596" spans="1:29" x14ac:dyDescent="0.2">
      <c r="A596" s="694" t="str">
        <f>+Info!$B$2</f>
        <v>724</v>
      </c>
      <c r="B596" s="694" t="s">
        <v>6108</v>
      </c>
      <c r="C596" s="694" t="s">
        <v>6109</v>
      </c>
      <c r="D596" s="695" t="s">
        <v>6110</v>
      </c>
      <c r="E596" s="696"/>
      <c r="F596" s="697"/>
      <c r="G596" s="697"/>
      <c r="H596" s="698"/>
      <c r="I596" s="698"/>
      <c r="J596" s="697"/>
      <c r="K596" s="697"/>
      <c r="L596" s="697"/>
      <c r="M596" s="697"/>
      <c r="N596" s="698"/>
      <c r="O596" s="698"/>
      <c r="P596" s="698"/>
      <c r="Q596" s="697"/>
      <c r="R596" s="698"/>
      <c r="S596" s="697"/>
      <c r="T596" s="697"/>
      <c r="U596" s="697"/>
      <c r="V596" s="697"/>
      <c r="W596" s="698"/>
      <c r="X596" s="698"/>
      <c r="Y596" s="697"/>
      <c r="Z596" s="697"/>
      <c r="AA596" s="697"/>
      <c r="AB596" s="698"/>
      <c r="AC596" s="698"/>
    </row>
    <row r="597" spans="1:29" x14ac:dyDescent="0.2">
      <c r="A597" s="694" t="str">
        <f>+Info!$B$2</f>
        <v>724</v>
      </c>
      <c r="B597" s="694" t="s">
        <v>6111</v>
      </c>
      <c r="C597" s="694" t="s">
        <v>6112</v>
      </c>
      <c r="D597" s="695" t="s">
        <v>6113</v>
      </c>
      <c r="E597" s="696"/>
      <c r="F597" s="697"/>
      <c r="G597" s="697"/>
      <c r="H597" s="698"/>
      <c r="I597" s="698"/>
      <c r="J597" s="697"/>
      <c r="K597" s="697"/>
      <c r="L597" s="697"/>
      <c r="M597" s="697"/>
      <c r="N597" s="698"/>
      <c r="O597" s="698"/>
      <c r="P597" s="698"/>
      <c r="Q597" s="697"/>
      <c r="R597" s="698"/>
      <c r="S597" s="697"/>
      <c r="T597" s="697"/>
      <c r="U597" s="697"/>
      <c r="V597" s="697"/>
      <c r="W597" s="698"/>
      <c r="X597" s="698"/>
      <c r="Y597" s="697"/>
      <c r="Z597" s="697"/>
      <c r="AA597" s="697"/>
      <c r="AB597" s="697"/>
      <c r="AC597" s="697"/>
    </row>
    <row r="598" spans="1:29" x14ac:dyDescent="0.2">
      <c r="A598" s="694" t="str">
        <f>+Info!$B$2</f>
        <v>724</v>
      </c>
      <c r="B598" s="694" t="s">
        <v>6114</v>
      </c>
      <c r="C598" s="694" t="s">
        <v>6115</v>
      </c>
      <c r="D598" s="695" t="s">
        <v>6116</v>
      </c>
      <c r="E598" s="696"/>
      <c r="F598" s="697"/>
      <c r="G598" s="697"/>
      <c r="H598" s="698"/>
      <c r="I598" s="698"/>
      <c r="J598" s="697"/>
      <c r="K598" s="697"/>
      <c r="L598" s="697"/>
      <c r="M598" s="697"/>
      <c r="N598" s="698"/>
      <c r="O598" s="698"/>
      <c r="P598" s="698"/>
      <c r="Q598" s="697"/>
      <c r="R598" s="698"/>
      <c r="S598" s="697"/>
      <c r="T598" s="697"/>
      <c r="U598" s="697"/>
      <c r="V598" s="697"/>
      <c r="W598" s="698"/>
      <c r="X598" s="698"/>
      <c r="Y598" s="697"/>
      <c r="Z598" s="697"/>
      <c r="AA598" s="697"/>
      <c r="AB598" s="697"/>
      <c r="AC598" s="697"/>
    </row>
    <row r="599" spans="1:29" x14ac:dyDescent="0.2">
      <c r="A599" s="694" t="str">
        <f>+Info!$B$2</f>
        <v>724</v>
      </c>
      <c r="B599" s="694" t="s">
        <v>6117</v>
      </c>
      <c r="C599" s="694" t="s">
        <v>6118</v>
      </c>
      <c r="D599" s="695" t="s">
        <v>6119</v>
      </c>
      <c r="E599" s="696"/>
      <c r="F599" s="697"/>
      <c r="G599" s="697"/>
      <c r="H599" s="698"/>
      <c r="I599" s="698"/>
      <c r="J599" s="697"/>
      <c r="K599" s="697"/>
      <c r="L599" s="697"/>
      <c r="M599" s="697"/>
      <c r="N599" s="698"/>
      <c r="O599" s="698"/>
      <c r="P599" s="698"/>
      <c r="Q599" s="697"/>
      <c r="R599" s="698"/>
      <c r="S599" s="697"/>
      <c r="T599" s="697"/>
      <c r="U599" s="697"/>
      <c r="V599" s="697"/>
      <c r="W599" s="698"/>
      <c r="X599" s="698"/>
      <c r="Y599" s="697"/>
      <c r="Z599" s="697"/>
      <c r="AA599" s="697"/>
      <c r="AB599" s="697"/>
      <c r="AC599" s="697"/>
    </row>
    <row r="600" spans="1:29" x14ac:dyDescent="0.2">
      <c r="A600" s="694" t="str">
        <f>+Info!$B$2</f>
        <v>724</v>
      </c>
      <c r="B600" s="694" t="s">
        <v>6120</v>
      </c>
      <c r="C600" s="694" t="s">
        <v>6121</v>
      </c>
      <c r="D600" s="695" t="s">
        <v>6122</v>
      </c>
      <c r="E600" s="696"/>
      <c r="F600" s="697"/>
      <c r="G600" s="697"/>
      <c r="H600" s="698"/>
      <c r="I600" s="698"/>
      <c r="J600" s="697"/>
      <c r="K600" s="697"/>
      <c r="L600" s="697"/>
      <c r="M600" s="697"/>
      <c r="N600" s="698"/>
      <c r="O600" s="698"/>
      <c r="P600" s="698"/>
      <c r="Q600" s="697"/>
      <c r="R600" s="698"/>
      <c r="S600" s="697"/>
      <c r="T600" s="697"/>
      <c r="U600" s="697"/>
      <c r="V600" s="697"/>
      <c r="W600" s="698"/>
      <c r="X600" s="698"/>
      <c r="Y600" s="697"/>
      <c r="Z600" s="697"/>
      <c r="AA600" s="697"/>
      <c r="AB600" s="697"/>
      <c r="AC600" s="697"/>
    </row>
    <row r="601" spans="1:29" x14ac:dyDescent="0.2">
      <c r="A601" s="694" t="str">
        <f>+Info!$B$2</f>
        <v>724</v>
      </c>
      <c r="B601" s="694" t="s">
        <v>6123</v>
      </c>
      <c r="C601" s="694" t="s">
        <v>6124</v>
      </c>
      <c r="D601" s="695" t="s">
        <v>6125</v>
      </c>
      <c r="E601" s="696"/>
      <c r="F601" s="697"/>
      <c r="G601" s="697"/>
      <c r="H601" s="698"/>
      <c r="I601" s="698"/>
      <c r="J601" s="697"/>
      <c r="K601" s="697"/>
      <c r="L601" s="697"/>
      <c r="M601" s="697"/>
      <c r="N601" s="698"/>
      <c r="O601" s="698"/>
      <c r="P601" s="698"/>
      <c r="Q601" s="697"/>
      <c r="R601" s="698"/>
      <c r="S601" s="697"/>
      <c r="T601" s="697"/>
      <c r="U601" s="697"/>
      <c r="V601" s="697"/>
      <c r="W601" s="698"/>
      <c r="X601" s="698"/>
      <c r="Y601" s="697"/>
      <c r="Z601" s="697"/>
      <c r="AA601" s="697"/>
      <c r="AB601" s="697"/>
      <c r="AC601" s="697"/>
    </row>
    <row r="602" spans="1:29" x14ac:dyDescent="0.2">
      <c r="A602" s="694" t="str">
        <f>+Info!$B$2</f>
        <v>724</v>
      </c>
      <c r="B602" s="694" t="s">
        <v>6126</v>
      </c>
      <c r="C602" s="694" t="s">
        <v>6127</v>
      </c>
      <c r="D602" s="695" t="s">
        <v>6128</v>
      </c>
      <c r="E602" s="696"/>
      <c r="F602" s="697"/>
      <c r="G602" s="697"/>
      <c r="H602" s="698"/>
      <c r="I602" s="698"/>
      <c r="J602" s="697"/>
      <c r="K602" s="697"/>
      <c r="L602" s="697"/>
      <c r="M602" s="697"/>
      <c r="N602" s="698"/>
      <c r="O602" s="698"/>
      <c r="P602" s="698"/>
      <c r="Q602" s="697"/>
      <c r="R602" s="698"/>
      <c r="S602" s="697"/>
      <c r="T602" s="697"/>
      <c r="U602" s="697"/>
      <c r="V602" s="697"/>
      <c r="W602" s="698"/>
      <c r="X602" s="698"/>
      <c r="Y602" s="697"/>
      <c r="Z602" s="697"/>
      <c r="AA602" s="697"/>
      <c r="AB602" s="697"/>
      <c r="AC602" s="697"/>
    </row>
    <row r="603" spans="1:29" x14ac:dyDescent="0.2">
      <c r="A603" s="694" t="str">
        <f>+Info!$B$2</f>
        <v>724</v>
      </c>
      <c r="B603" s="694" t="s">
        <v>6129</v>
      </c>
      <c r="C603" s="694" t="s">
        <v>6130</v>
      </c>
      <c r="D603" s="695" t="s">
        <v>6131</v>
      </c>
      <c r="E603" s="696"/>
      <c r="F603" s="697"/>
      <c r="G603" s="697"/>
      <c r="H603" s="698"/>
      <c r="I603" s="698"/>
      <c r="J603" s="697"/>
      <c r="K603" s="697"/>
      <c r="L603" s="697"/>
      <c r="M603" s="697"/>
      <c r="N603" s="698"/>
      <c r="O603" s="698"/>
      <c r="P603" s="698"/>
      <c r="Q603" s="697"/>
      <c r="R603" s="698"/>
      <c r="S603" s="697"/>
      <c r="T603" s="697"/>
      <c r="U603" s="697"/>
      <c r="V603" s="697"/>
      <c r="W603" s="698"/>
      <c r="X603" s="698"/>
      <c r="Y603" s="697"/>
      <c r="Z603" s="697"/>
      <c r="AA603" s="697"/>
      <c r="AB603" s="697"/>
      <c r="AC603" s="697"/>
    </row>
    <row r="604" spans="1:29" x14ac:dyDescent="0.2">
      <c r="A604" s="694" t="str">
        <f>+Info!$B$2</f>
        <v>724</v>
      </c>
      <c r="B604" s="694" t="s">
        <v>6132</v>
      </c>
      <c r="C604" s="694" t="s">
        <v>6133</v>
      </c>
      <c r="D604" s="695" t="s">
        <v>6134</v>
      </c>
      <c r="E604" s="696"/>
      <c r="F604" s="697"/>
      <c r="G604" s="697"/>
      <c r="H604" s="698"/>
      <c r="I604" s="698"/>
      <c r="J604" s="697"/>
      <c r="K604" s="697"/>
      <c r="L604" s="697"/>
      <c r="M604" s="697"/>
      <c r="N604" s="698"/>
      <c r="O604" s="698"/>
      <c r="P604" s="698"/>
      <c r="Q604" s="697"/>
      <c r="R604" s="698"/>
      <c r="S604" s="697"/>
      <c r="T604" s="697"/>
      <c r="U604" s="697"/>
      <c r="V604" s="697"/>
      <c r="W604" s="698"/>
      <c r="X604" s="698"/>
      <c r="Y604" s="697"/>
      <c r="Z604" s="697"/>
      <c r="AA604" s="697"/>
      <c r="AB604" s="697"/>
      <c r="AC604" s="697"/>
    </row>
    <row r="605" spans="1:29" x14ac:dyDescent="0.2">
      <c r="A605" s="694" t="str">
        <f>+Info!$B$2</f>
        <v>724</v>
      </c>
      <c r="B605" s="694" t="s">
        <v>6135</v>
      </c>
      <c r="C605" s="694" t="s">
        <v>6136</v>
      </c>
      <c r="D605" s="695" t="s">
        <v>6137</v>
      </c>
      <c r="E605" s="696"/>
      <c r="F605" s="697"/>
      <c r="G605" s="697"/>
      <c r="H605" s="698"/>
      <c r="I605" s="698"/>
      <c r="J605" s="697"/>
      <c r="K605" s="697"/>
      <c r="L605" s="697"/>
      <c r="M605" s="697"/>
      <c r="N605" s="698"/>
      <c r="O605" s="698"/>
      <c r="P605" s="698"/>
      <c r="Q605" s="697"/>
      <c r="R605" s="698"/>
      <c r="S605" s="697"/>
      <c r="T605" s="697"/>
      <c r="U605" s="697"/>
      <c r="V605" s="697"/>
      <c r="W605" s="698"/>
      <c r="X605" s="698"/>
      <c r="Y605" s="697"/>
      <c r="Z605" s="697"/>
      <c r="AA605" s="697"/>
      <c r="AB605" s="697"/>
      <c r="AC605" s="697"/>
    </row>
    <row r="606" spans="1:29" x14ac:dyDescent="0.2">
      <c r="A606" s="694" t="str">
        <f>+Info!$B$2</f>
        <v>724</v>
      </c>
      <c r="B606" s="694" t="s">
        <v>6138</v>
      </c>
      <c r="C606" s="694" t="s">
        <v>6139</v>
      </c>
      <c r="D606" s="695" t="s">
        <v>6140</v>
      </c>
      <c r="E606" s="696"/>
      <c r="F606" s="697"/>
      <c r="G606" s="697"/>
      <c r="H606" s="698"/>
      <c r="I606" s="698"/>
      <c r="J606" s="697"/>
      <c r="K606" s="697"/>
      <c r="L606" s="697"/>
      <c r="M606" s="697"/>
      <c r="N606" s="698"/>
      <c r="O606" s="698"/>
      <c r="P606" s="698"/>
      <c r="Q606" s="697"/>
      <c r="R606" s="698"/>
      <c r="S606" s="697"/>
      <c r="T606" s="697"/>
      <c r="U606" s="697"/>
      <c r="V606" s="697"/>
      <c r="W606" s="698"/>
      <c r="X606" s="698"/>
      <c r="Y606" s="697"/>
      <c r="Z606" s="697"/>
      <c r="AA606" s="697"/>
      <c r="AB606" s="697"/>
      <c r="AC606" s="697"/>
    </row>
    <row r="607" spans="1:29" x14ac:dyDescent="0.2">
      <c r="A607" s="694" t="str">
        <f>+Info!$B$2</f>
        <v>724</v>
      </c>
      <c r="B607" s="694" t="s">
        <v>6141</v>
      </c>
      <c r="C607" s="694" t="s">
        <v>6142</v>
      </c>
      <c r="D607" s="695" t="s">
        <v>6143</v>
      </c>
      <c r="E607" s="696"/>
      <c r="F607" s="697"/>
      <c r="G607" s="697"/>
      <c r="H607" s="698"/>
      <c r="I607" s="698"/>
      <c r="J607" s="697"/>
      <c r="K607" s="697"/>
      <c r="L607" s="697"/>
      <c r="M607" s="697"/>
      <c r="N607" s="698"/>
      <c r="O607" s="698"/>
      <c r="P607" s="698"/>
      <c r="Q607" s="697"/>
      <c r="R607" s="698"/>
      <c r="S607" s="697"/>
      <c r="T607" s="697"/>
      <c r="U607" s="697"/>
      <c r="V607" s="697"/>
      <c r="W607" s="698"/>
      <c r="X607" s="698"/>
      <c r="Y607" s="697"/>
      <c r="Z607" s="697"/>
      <c r="AA607" s="697"/>
      <c r="AB607" s="698"/>
      <c r="AC607" s="698"/>
    </row>
    <row r="608" spans="1:29" x14ac:dyDescent="0.2">
      <c r="A608" s="694" t="str">
        <f>+Info!$B$2</f>
        <v>724</v>
      </c>
      <c r="B608" s="694" t="s">
        <v>6144</v>
      </c>
      <c r="C608" s="694" t="s">
        <v>6145</v>
      </c>
      <c r="D608" s="695" t="s">
        <v>6146</v>
      </c>
      <c r="E608" s="696"/>
      <c r="F608" s="697"/>
      <c r="G608" s="697"/>
      <c r="H608" s="698"/>
      <c r="I608" s="698"/>
      <c r="J608" s="697"/>
      <c r="K608" s="697"/>
      <c r="L608" s="697"/>
      <c r="M608" s="697"/>
      <c r="N608" s="698"/>
      <c r="O608" s="698"/>
      <c r="P608" s="698"/>
      <c r="Q608" s="697"/>
      <c r="R608" s="698"/>
      <c r="S608" s="697"/>
      <c r="T608" s="697"/>
      <c r="U608" s="697"/>
      <c r="V608" s="697"/>
      <c r="W608" s="698"/>
      <c r="X608" s="698"/>
      <c r="Y608" s="697"/>
      <c r="Z608" s="697"/>
      <c r="AA608" s="697"/>
      <c r="AB608" s="698"/>
      <c r="AC608" s="698"/>
    </row>
    <row r="609" spans="1:29" x14ac:dyDescent="0.2">
      <c r="A609" s="694" t="str">
        <f>+Info!$B$2</f>
        <v>724</v>
      </c>
      <c r="B609" s="694" t="s">
        <v>6147</v>
      </c>
      <c r="C609" s="694" t="s">
        <v>6148</v>
      </c>
      <c r="D609" s="695" t="s">
        <v>6149</v>
      </c>
      <c r="E609" s="696"/>
      <c r="F609" s="697"/>
      <c r="G609" s="697"/>
      <c r="H609" s="698"/>
      <c r="I609" s="698"/>
      <c r="J609" s="697"/>
      <c r="K609" s="697"/>
      <c r="L609" s="697"/>
      <c r="M609" s="697"/>
      <c r="N609" s="698"/>
      <c r="O609" s="698"/>
      <c r="P609" s="698"/>
      <c r="Q609" s="697"/>
      <c r="R609" s="698"/>
      <c r="S609" s="697"/>
      <c r="T609" s="697"/>
      <c r="U609" s="697"/>
      <c r="V609" s="697"/>
      <c r="W609" s="698"/>
      <c r="X609" s="698"/>
      <c r="Y609" s="697"/>
      <c r="Z609" s="697"/>
      <c r="AA609" s="697"/>
      <c r="AB609" s="697"/>
      <c r="AC609" s="697"/>
    </row>
    <row r="610" spans="1:29" x14ac:dyDescent="0.2">
      <c r="A610" s="694" t="str">
        <f>+Info!$B$2</f>
        <v>724</v>
      </c>
      <c r="B610" s="694" t="s">
        <v>6150</v>
      </c>
      <c r="C610" s="694" t="s">
        <v>6151</v>
      </c>
      <c r="D610" s="695" t="s">
        <v>6152</v>
      </c>
      <c r="E610" s="696"/>
      <c r="F610" s="697"/>
      <c r="G610" s="697"/>
      <c r="H610" s="698"/>
      <c r="I610" s="698"/>
      <c r="J610" s="697"/>
      <c r="K610" s="697"/>
      <c r="L610" s="697"/>
      <c r="M610" s="697"/>
      <c r="N610" s="698"/>
      <c r="O610" s="698"/>
      <c r="P610" s="698"/>
      <c r="Q610" s="697"/>
      <c r="R610" s="698"/>
      <c r="S610" s="697"/>
      <c r="T610" s="697"/>
      <c r="U610" s="697"/>
      <c r="V610" s="697"/>
      <c r="W610" s="698"/>
      <c r="X610" s="698"/>
      <c r="Y610" s="697"/>
      <c r="Z610" s="697"/>
      <c r="AA610" s="697"/>
      <c r="AB610" s="697"/>
      <c r="AC610" s="697"/>
    </row>
    <row r="611" spans="1:29" x14ac:dyDescent="0.2">
      <c r="A611" s="694" t="str">
        <f>+Info!$B$2</f>
        <v>724</v>
      </c>
      <c r="B611" s="694" t="s">
        <v>6153</v>
      </c>
      <c r="C611" s="694" t="s">
        <v>6154</v>
      </c>
      <c r="D611" s="695" t="s">
        <v>6155</v>
      </c>
      <c r="E611" s="696"/>
      <c r="F611" s="697"/>
      <c r="G611" s="697"/>
      <c r="H611" s="698"/>
      <c r="I611" s="698"/>
      <c r="J611" s="697"/>
      <c r="K611" s="697"/>
      <c r="L611" s="697"/>
      <c r="M611" s="697"/>
      <c r="N611" s="698"/>
      <c r="O611" s="698"/>
      <c r="P611" s="698"/>
      <c r="Q611" s="697"/>
      <c r="R611" s="698"/>
      <c r="S611" s="697"/>
      <c r="T611" s="697"/>
      <c r="U611" s="697"/>
      <c r="V611" s="697"/>
      <c r="W611" s="698"/>
      <c r="X611" s="698"/>
      <c r="Y611" s="697"/>
      <c r="Z611" s="697"/>
      <c r="AA611" s="697"/>
      <c r="AB611" s="697"/>
      <c r="AC611" s="697"/>
    </row>
    <row r="612" spans="1:29" x14ac:dyDescent="0.2">
      <c r="A612" s="694" t="str">
        <f>+Info!$B$2</f>
        <v>724</v>
      </c>
      <c r="B612" s="694" t="s">
        <v>6156</v>
      </c>
      <c r="C612" s="694" t="s">
        <v>6157</v>
      </c>
      <c r="D612" s="695" t="s">
        <v>6158</v>
      </c>
      <c r="E612" s="696"/>
      <c r="F612" s="697"/>
      <c r="G612" s="697"/>
      <c r="H612" s="698"/>
      <c r="I612" s="698"/>
      <c r="J612" s="697"/>
      <c r="K612" s="697"/>
      <c r="L612" s="697"/>
      <c r="M612" s="697"/>
      <c r="N612" s="698"/>
      <c r="O612" s="698"/>
      <c r="P612" s="698"/>
      <c r="Q612" s="697"/>
      <c r="R612" s="698"/>
      <c r="S612" s="697"/>
      <c r="T612" s="697"/>
      <c r="U612" s="697"/>
      <c r="V612" s="697"/>
      <c r="W612" s="698"/>
      <c r="X612" s="698"/>
      <c r="Y612" s="697"/>
      <c r="Z612" s="697"/>
      <c r="AA612" s="697"/>
      <c r="AB612" s="697"/>
      <c r="AC612" s="697"/>
    </row>
    <row r="613" spans="1:29" x14ac:dyDescent="0.2">
      <c r="A613" s="694" t="str">
        <f>+Info!$B$2</f>
        <v>724</v>
      </c>
      <c r="B613" s="694" t="s">
        <v>6159</v>
      </c>
      <c r="C613" s="694" t="s">
        <v>6160</v>
      </c>
      <c r="D613" s="695" t="s">
        <v>6161</v>
      </c>
      <c r="E613" s="696"/>
      <c r="F613" s="697"/>
      <c r="G613" s="697"/>
      <c r="H613" s="698"/>
      <c r="I613" s="698"/>
      <c r="J613" s="697"/>
      <c r="K613" s="697"/>
      <c r="L613" s="697"/>
      <c r="M613" s="697"/>
      <c r="N613" s="698"/>
      <c r="O613" s="698"/>
      <c r="P613" s="698"/>
      <c r="Q613" s="697"/>
      <c r="R613" s="698"/>
      <c r="S613" s="697"/>
      <c r="T613" s="697"/>
      <c r="U613" s="697"/>
      <c r="V613" s="697"/>
      <c r="W613" s="698"/>
      <c r="X613" s="698"/>
      <c r="Y613" s="697"/>
      <c r="Z613" s="697"/>
      <c r="AA613" s="697"/>
      <c r="AB613" s="697"/>
      <c r="AC613" s="697"/>
    </row>
    <row r="614" spans="1:29" x14ac:dyDescent="0.2">
      <c r="A614" s="694" t="str">
        <f>+Info!$B$2</f>
        <v>724</v>
      </c>
      <c r="B614" s="694" t="s">
        <v>6162</v>
      </c>
      <c r="C614" s="694" t="s">
        <v>6163</v>
      </c>
      <c r="D614" s="695" t="s">
        <v>6164</v>
      </c>
      <c r="E614" s="696"/>
      <c r="F614" s="697"/>
      <c r="G614" s="697"/>
      <c r="H614" s="698"/>
      <c r="I614" s="698"/>
      <c r="J614" s="697"/>
      <c r="K614" s="697"/>
      <c r="L614" s="697"/>
      <c r="M614" s="697"/>
      <c r="N614" s="698"/>
      <c r="O614" s="698"/>
      <c r="P614" s="698"/>
      <c r="Q614" s="697"/>
      <c r="R614" s="698"/>
      <c r="S614" s="697"/>
      <c r="T614" s="697"/>
      <c r="U614" s="697"/>
      <c r="V614" s="697"/>
      <c r="W614" s="698"/>
      <c r="X614" s="698"/>
      <c r="Y614" s="697"/>
      <c r="Z614" s="697"/>
      <c r="AA614" s="697"/>
      <c r="AB614" s="697"/>
      <c r="AC614" s="697"/>
    </row>
    <row r="615" spans="1:29" x14ac:dyDescent="0.2">
      <c r="A615" s="694" t="str">
        <f>+Info!$B$2</f>
        <v>724</v>
      </c>
      <c r="B615" s="694" t="s">
        <v>6165</v>
      </c>
      <c r="C615" s="694" t="s">
        <v>6166</v>
      </c>
      <c r="D615" s="695" t="s">
        <v>6167</v>
      </c>
      <c r="E615" s="696"/>
      <c r="F615" s="697"/>
      <c r="G615" s="697"/>
      <c r="H615" s="698"/>
      <c r="I615" s="698"/>
      <c r="J615" s="697"/>
      <c r="K615" s="697"/>
      <c r="L615" s="697"/>
      <c r="M615" s="697"/>
      <c r="N615" s="698"/>
      <c r="O615" s="698"/>
      <c r="P615" s="698"/>
      <c r="Q615" s="697"/>
      <c r="R615" s="698"/>
      <c r="S615" s="697"/>
      <c r="T615" s="697"/>
      <c r="U615" s="697"/>
      <c r="V615" s="697"/>
      <c r="W615" s="698"/>
      <c r="X615" s="698"/>
      <c r="Y615" s="697"/>
      <c r="Z615" s="697"/>
      <c r="AA615" s="697"/>
      <c r="AB615" s="697"/>
      <c r="AC615" s="697"/>
    </row>
    <row r="616" spans="1:29" x14ac:dyDescent="0.2">
      <c r="A616" s="694" t="str">
        <f>+Info!$B$2</f>
        <v>724</v>
      </c>
      <c r="B616" s="694" t="s">
        <v>6168</v>
      </c>
      <c r="C616" s="694" t="s">
        <v>6169</v>
      </c>
      <c r="D616" s="695" t="s">
        <v>6170</v>
      </c>
      <c r="E616" s="696"/>
      <c r="F616" s="697"/>
      <c r="G616" s="697"/>
      <c r="H616" s="698"/>
      <c r="I616" s="698"/>
      <c r="J616" s="697"/>
      <c r="K616" s="697"/>
      <c r="L616" s="697"/>
      <c r="M616" s="697"/>
      <c r="N616" s="698"/>
      <c r="O616" s="698"/>
      <c r="P616" s="698"/>
      <c r="Q616" s="697"/>
      <c r="R616" s="698"/>
      <c r="S616" s="697"/>
      <c r="T616" s="697"/>
      <c r="U616" s="697"/>
      <c r="V616" s="697"/>
      <c r="W616" s="698"/>
      <c r="X616" s="698"/>
      <c r="Y616" s="697"/>
      <c r="Z616" s="697"/>
      <c r="AA616" s="697"/>
      <c r="AB616" s="697"/>
      <c r="AC616" s="697"/>
    </row>
    <row r="617" spans="1:29" x14ac:dyDescent="0.2">
      <c r="A617" s="694" t="str">
        <f>+Info!$B$2</f>
        <v>724</v>
      </c>
      <c r="B617" s="694" t="s">
        <v>6171</v>
      </c>
      <c r="C617" s="694" t="s">
        <v>6172</v>
      </c>
      <c r="D617" s="695" t="s">
        <v>6173</v>
      </c>
      <c r="E617" s="696"/>
      <c r="F617" s="697"/>
      <c r="G617" s="697"/>
      <c r="H617" s="698"/>
      <c r="I617" s="698"/>
      <c r="J617" s="697"/>
      <c r="K617" s="697"/>
      <c r="L617" s="697"/>
      <c r="M617" s="697"/>
      <c r="N617" s="698"/>
      <c r="O617" s="698"/>
      <c r="P617" s="698"/>
      <c r="Q617" s="697"/>
      <c r="R617" s="698"/>
      <c r="S617" s="697"/>
      <c r="T617" s="697"/>
      <c r="U617" s="697"/>
      <c r="V617" s="697"/>
      <c r="W617" s="698"/>
      <c r="X617" s="698"/>
      <c r="Y617" s="697"/>
      <c r="Z617" s="697"/>
      <c r="AA617" s="697"/>
      <c r="AB617" s="697"/>
      <c r="AC617" s="697"/>
    </row>
    <row r="618" spans="1:29" x14ac:dyDescent="0.2">
      <c r="A618" s="694" t="str">
        <f>+Info!$B$2</f>
        <v>724</v>
      </c>
      <c r="B618" s="694" t="s">
        <v>6174</v>
      </c>
      <c r="C618" s="694" t="s">
        <v>6175</v>
      </c>
      <c r="D618" s="695" t="s">
        <v>6176</v>
      </c>
      <c r="E618" s="696"/>
      <c r="F618" s="697"/>
      <c r="G618" s="697"/>
      <c r="H618" s="698"/>
      <c r="I618" s="698"/>
      <c r="J618" s="697"/>
      <c r="K618" s="697"/>
      <c r="L618" s="697"/>
      <c r="M618" s="697"/>
      <c r="N618" s="698"/>
      <c r="O618" s="698"/>
      <c r="P618" s="698"/>
      <c r="Q618" s="697"/>
      <c r="R618" s="698"/>
      <c r="S618" s="697"/>
      <c r="T618" s="697"/>
      <c r="U618" s="697"/>
      <c r="V618" s="697"/>
      <c r="W618" s="698"/>
      <c r="X618" s="698"/>
      <c r="Y618" s="697"/>
      <c r="Z618" s="697"/>
      <c r="AA618" s="697"/>
      <c r="AB618" s="697"/>
      <c r="AC618" s="697"/>
    </row>
    <row r="619" spans="1:29" x14ac:dyDescent="0.2">
      <c r="A619" s="694" t="str">
        <f>+Info!$B$2</f>
        <v>724</v>
      </c>
      <c r="B619" s="694" t="s">
        <v>6177</v>
      </c>
      <c r="C619" s="694" t="s">
        <v>6178</v>
      </c>
      <c r="D619" s="695" t="s">
        <v>6179</v>
      </c>
      <c r="E619" s="696"/>
      <c r="F619" s="697"/>
      <c r="G619" s="697"/>
      <c r="H619" s="698"/>
      <c r="I619" s="698"/>
      <c r="J619" s="697"/>
      <c r="K619" s="697"/>
      <c r="L619" s="697"/>
      <c r="M619" s="697"/>
      <c r="N619" s="698"/>
      <c r="O619" s="698"/>
      <c r="P619" s="698"/>
      <c r="Q619" s="697"/>
      <c r="R619" s="698"/>
      <c r="S619" s="697"/>
      <c r="T619" s="697"/>
      <c r="U619" s="697"/>
      <c r="V619" s="697"/>
      <c r="W619" s="698"/>
      <c r="X619" s="698"/>
      <c r="Y619" s="697"/>
      <c r="Z619" s="697"/>
      <c r="AA619" s="697"/>
      <c r="AB619" s="698"/>
      <c r="AC619" s="698"/>
    </row>
    <row r="620" spans="1:29" x14ac:dyDescent="0.2">
      <c r="A620" s="694" t="str">
        <f>+Info!$B$2</f>
        <v>724</v>
      </c>
      <c r="B620" s="694" t="s">
        <v>6180</v>
      </c>
      <c r="C620" s="694" t="s">
        <v>6181</v>
      </c>
      <c r="D620" s="695" t="s">
        <v>6182</v>
      </c>
      <c r="E620" s="696"/>
      <c r="F620" s="697"/>
      <c r="G620" s="697"/>
      <c r="H620" s="698"/>
      <c r="I620" s="698"/>
      <c r="J620" s="697"/>
      <c r="K620" s="697"/>
      <c r="L620" s="697"/>
      <c r="M620" s="697"/>
      <c r="N620" s="698"/>
      <c r="O620" s="698"/>
      <c r="P620" s="698"/>
      <c r="Q620" s="697"/>
      <c r="R620" s="698"/>
      <c r="S620" s="697"/>
      <c r="T620" s="697"/>
      <c r="U620" s="697"/>
      <c r="V620" s="697"/>
      <c r="W620" s="698"/>
      <c r="X620" s="698"/>
      <c r="Y620" s="697"/>
      <c r="Z620" s="697"/>
      <c r="AA620" s="697"/>
      <c r="AB620" s="698"/>
      <c r="AC620" s="698"/>
    </row>
    <row r="621" spans="1:29" x14ac:dyDescent="0.2">
      <c r="A621" s="694" t="str">
        <f>+Info!$B$2</f>
        <v>724</v>
      </c>
      <c r="B621" s="694" t="s">
        <v>6183</v>
      </c>
      <c r="C621" s="694" t="s">
        <v>6184</v>
      </c>
      <c r="D621" s="695" t="s">
        <v>6185</v>
      </c>
      <c r="E621" s="696"/>
      <c r="F621" s="697"/>
      <c r="G621" s="697"/>
      <c r="H621" s="698"/>
      <c r="I621" s="698"/>
      <c r="J621" s="697"/>
      <c r="K621" s="697"/>
      <c r="L621" s="697"/>
      <c r="M621" s="697"/>
      <c r="N621" s="698"/>
      <c r="O621" s="698"/>
      <c r="P621" s="698"/>
      <c r="Q621" s="697"/>
      <c r="R621" s="698"/>
      <c r="S621" s="697"/>
      <c r="T621" s="697"/>
      <c r="U621" s="697"/>
      <c r="V621" s="697"/>
      <c r="W621" s="698"/>
      <c r="X621" s="698"/>
      <c r="Y621" s="697"/>
      <c r="Z621" s="697"/>
      <c r="AA621" s="697"/>
      <c r="AB621" s="697"/>
      <c r="AC621" s="697"/>
    </row>
    <row r="622" spans="1:29" x14ac:dyDescent="0.2">
      <c r="A622" s="694" t="str">
        <f>+Info!$B$2</f>
        <v>724</v>
      </c>
      <c r="B622" s="694" t="s">
        <v>6186</v>
      </c>
      <c r="C622" s="694" t="s">
        <v>6187</v>
      </c>
      <c r="D622" s="695" t="s">
        <v>6188</v>
      </c>
      <c r="E622" s="696"/>
      <c r="F622" s="697"/>
      <c r="G622" s="697"/>
      <c r="H622" s="698"/>
      <c r="I622" s="698"/>
      <c r="J622" s="697"/>
      <c r="K622" s="697"/>
      <c r="L622" s="697"/>
      <c r="M622" s="697"/>
      <c r="N622" s="698"/>
      <c r="O622" s="698"/>
      <c r="P622" s="698"/>
      <c r="Q622" s="697"/>
      <c r="R622" s="697"/>
      <c r="S622" s="698"/>
      <c r="T622" s="697"/>
      <c r="U622" s="697"/>
      <c r="V622" s="697"/>
      <c r="W622" s="698"/>
      <c r="X622" s="698"/>
      <c r="Y622" s="697"/>
      <c r="Z622" s="697"/>
      <c r="AA622" s="697"/>
      <c r="AB622" s="697"/>
      <c r="AC622" s="697"/>
    </row>
    <row r="623" spans="1:29" x14ac:dyDescent="0.2">
      <c r="A623" s="694" t="str">
        <f>+Info!$B$2</f>
        <v>724</v>
      </c>
      <c r="B623" s="694" t="s">
        <v>6189</v>
      </c>
      <c r="C623" s="694" t="s">
        <v>6190</v>
      </c>
      <c r="D623" s="695" t="s">
        <v>6191</v>
      </c>
      <c r="E623" s="696"/>
      <c r="F623" s="697"/>
      <c r="G623" s="697"/>
      <c r="H623" s="698"/>
      <c r="I623" s="698"/>
      <c r="J623" s="697"/>
      <c r="K623" s="697"/>
      <c r="L623" s="697"/>
      <c r="M623" s="697"/>
      <c r="N623" s="698"/>
      <c r="O623" s="698"/>
      <c r="P623" s="698"/>
      <c r="Q623" s="697"/>
      <c r="R623" s="697"/>
      <c r="S623" s="698"/>
      <c r="T623" s="697"/>
      <c r="U623" s="697"/>
      <c r="V623" s="697"/>
      <c r="W623" s="698"/>
      <c r="X623" s="698"/>
      <c r="Y623" s="697"/>
      <c r="Z623" s="697"/>
      <c r="AA623" s="697"/>
      <c r="AB623" s="697"/>
      <c r="AC623" s="697"/>
    </row>
    <row r="624" spans="1:29" x14ac:dyDescent="0.2">
      <c r="A624" s="694" t="str">
        <f>+Info!$B$2</f>
        <v>724</v>
      </c>
      <c r="B624" s="694" t="s">
        <v>6192</v>
      </c>
      <c r="C624" s="694" t="s">
        <v>6193</v>
      </c>
      <c r="D624" s="695" t="s">
        <v>6194</v>
      </c>
      <c r="E624" s="696"/>
      <c r="F624" s="697"/>
      <c r="G624" s="697"/>
      <c r="H624" s="698"/>
      <c r="I624" s="698"/>
      <c r="J624" s="697"/>
      <c r="K624" s="697"/>
      <c r="L624" s="697"/>
      <c r="M624" s="697"/>
      <c r="N624" s="698"/>
      <c r="O624" s="698"/>
      <c r="P624" s="698"/>
      <c r="Q624" s="697"/>
      <c r="R624" s="697"/>
      <c r="S624" s="698"/>
      <c r="T624" s="697"/>
      <c r="U624" s="697"/>
      <c r="V624" s="697"/>
      <c r="W624" s="698"/>
      <c r="X624" s="698"/>
      <c r="Y624" s="697"/>
      <c r="Z624" s="697"/>
      <c r="AA624" s="697"/>
      <c r="AB624" s="697"/>
      <c r="AC624" s="697"/>
    </row>
    <row r="625" spans="1:29" x14ac:dyDescent="0.2">
      <c r="A625" s="694" t="str">
        <f>+Info!$B$2</f>
        <v>724</v>
      </c>
      <c r="B625" s="694" t="s">
        <v>6195</v>
      </c>
      <c r="C625" s="694" t="s">
        <v>6196</v>
      </c>
      <c r="D625" s="695" t="s">
        <v>6197</v>
      </c>
      <c r="E625" s="696"/>
      <c r="F625" s="697"/>
      <c r="G625" s="697"/>
      <c r="H625" s="698"/>
      <c r="I625" s="698"/>
      <c r="J625" s="697"/>
      <c r="K625" s="697"/>
      <c r="L625" s="697"/>
      <c r="M625" s="697"/>
      <c r="N625" s="698"/>
      <c r="O625" s="698"/>
      <c r="P625" s="698"/>
      <c r="Q625" s="697"/>
      <c r="R625" s="697"/>
      <c r="S625" s="698"/>
      <c r="T625" s="697"/>
      <c r="U625" s="697"/>
      <c r="V625" s="697"/>
      <c r="W625" s="698"/>
      <c r="X625" s="698"/>
      <c r="Y625" s="697"/>
      <c r="Z625" s="697"/>
      <c r="AA625" s="697"/>
      <c r="AB625" s="697"/>
      <c r="AC625" s="697"/>
    </row>
    <row r="626" spans="1:29" x14ac:dyDescent="0.2">
      <c r="A626" s="694" t="str">
        <f>+Info!$B$2</f>
        <v>724</v>
      </c>
      <c r="B626" s="694" t="s">
        <v>6198</v>
      </c>
      <c r="C626" s="694" t="s">
        <v>6199</v>
      </c>
      <c r="D626" s="695" t="s">
        <v>6200</v>
      </c>
      <c r="E626" s="696"/>
      <c r="F626" s="697"/>
      <c r="G626" s="697"/>
      <c r="H626" s="698"/>
      <c r="I626" s="698"/>
      <c r="J626" s="697"/>
      <c r="K626" s="697"/>
      <c r="L626" s="697"/>
      <c r="M626" s="697"/>
      <c r="N626" s="698"/>
      <c r="O626" s="698"/>
      <c r="P626" s="698"/>
      <c r="Q626" s="697"/>
      <c r="R626" s="697"/>
      <c r="S626" s="698"/>
      <c r="T626" s="697"/>
      <c r="U626" s="697"/>
      <c r="V626" s="697"/>
      <c r="W626" s="698"/>
      <c r="X626" s="698"/>
      <c r="Y626" s="697"/>
      <c r="Z626" s="697"/>
      <c r="AA626" s="697"/>
      <c r="AB626" s="697"/>
      <c r="AC626" s="697"/>
    </row>
    <row r="627" spans="1:29" x14ac:dyDescent="0.2">
      <c r="A627" s="694" t="str">
        <f>+Info!$B$2</f>
        <v>724</v>
      </c>
      <c r="B627" s="694" t="s">
        <v>6201</v>
      </c>
      <c r="C627" s="694" t="s">
        <v>6202</v>
      </c>
      <c r="D627" s="695" t="s">
        <v>6203</v>
      </c>
      <c r="E627" s="696"/>
      <c r="F627" s="697"/>
      <c r="G627" s="697"/>
      <c r="H627" s="698"/>
      <c r="I627" s="698"/>
      <c r="J627" s="697"/>
      <c r="K627" s="697"/>
      <c r="L627" s="697"/>
      <c r="M627" s="697"/>
      <c r="N627" s="698"/>
      <c r="O627" s="698"/>
      <c r="P627" s="698"/>
      <c r="Q627" s="697"/>
      <c r="R627" s="697"/>
      <c r="S627" s="698"/>
      <c r="T627" s="697"/>
      <c r="U627" s="697"/>
      <c r="V627" s="697"/>
      <c r="W627" s="698"/>
      <c r="X627" s="698"/>
      <c r="Y627" s="697"/>
      <c r="Z627" s="697"/>
      <c r="AA627" s="697"/>
      <c r="AB627" s="697"/>
      <c r="AC627" s="697"/>
    </row>
    <row r="628" spans="1:29" x14ac:dyDescent="0.2">
      <c r="A628" s="694" t="str">
        <f>+Info!$B$2</f>
        <v>724</v>
      </c>
      <c r="B628" s="694" t="s">
        <v>6204</v>
      </c>
      <c r="C628" s="694" t="s">
        <v>6205</v>
      </c>
      <c r="D628" s="695" t="s">
        <v>6206</v>
      </c>
      <c r="E628" s="696"/>
      <c r="F628" s="697"/>
      <c r="G628" s="697"/>
      <c r="H628" s="698"/>
      <c r="I628" s="698"/>
      <c r="J628" s="697"/>
      <c r="K628" s="697"/>
      <c r="L628" s="697"/>
      <c r="M628" s="697"/>
      <c r="N628" s="698"/>
      <c r="O628" s="698"/>
      <c r="P628" s="698"/>
      <c r="Q628" s="697"/>
      <c r="R628" s="697"/>
      <c r="S628" s="698"/>
      <c r="T628" s="697"/>
      <c r="U628" s="697"/>
      <c r="V628" s="697"/>
      <c r="W628" s="698"/>
      <c r="X628" s="698"/>
      <c r="Y628" s="697"/>
      <c r="Z628" s="697"/>
      <c r="AA628" s="697"/>
      <c r="AB628" s="697"/>
      <c r="AC628" s="697"/>
    </row>
    <row r="629" spans="1:29" x14ac:dyDescent="0.2">
      <c r="A629" s="694" t="str">
        <f>+Info!$B$2</f>
        <v>724</v>
      </c>
      <c r="B629" s="694" t="s">
        <v>6207</v>
      </c>
      <c r="C629" s="694" t="s">
        <v>6208</v>
      </c>
      <c r="D629" s="695" t="s">
        <v>6209</v>
      </c>
      <c r="E629" s="696"/>
      <c r="F629" s="697"/>
      <c r="G629" s="697"/>
      <c r="H629" s="698"/>
      <c r="I629" s="698"/>
      <c r="J629" s="697"/>
      <c r="K629" s="697"/>
      <c r="L629" s="697"/>
      <c r="M629" s="697"/>
      <c r="N629" s="698"/>
      <c r="O629" s="698"/>
      <c r="P629" s="698"/>
      <c r="Q629" s="697"/>
      <c r="R629" s="697"/>
      <c r="S629" s="698"/>
      <c r="T629" s="697"/>
      <c r="U629" s="697"/>
      <c r="V629" s="697"/>
      <c r="W629" s="698"/>
      <c r="X629" s="698"/>
      <c r="Y629" s="697"/>
      <c r="Z629" s="697"/>
      <c r="AA629" s="697"/>
      <c r="AB629" s="697"/>
      <c r="AC629" s="697"/>
    </row>
    <row r="630" spans="1:29" x14ac:dyDescent="0.2">
      <c r="A630" s="694" t="str">
        <f>+Info!$B$2</f>
        <v>724</v>
      </c>
      <c r="B630" s="694" t="s">
        <v>6210</v>
      </c>
      <c r="C630" s="694" t="s">
        <v>6211</v>
      </c>
      <c r="D630" s="695" t="s">
        <v>6212</v>
      </c>
      <c r="E630" s="696"/>
      <c r="F630" s="697"/>
      <c r="G630" s="697"/>
      <c r="H630" s="698"/>
      <c r="I630" s="698"/>
      <c r="J630" s="697"/>
      <c r="K630" s="697"/>
      <c r="L630" s="697"/>
      <c r="M630" s="697"/>
      <c r="N630" s="698"/>
      <c r="O630" s="698"/>
      <c r="P630" s="698"/>
      <c r="Q630" s="697"/>
      <c r="R630" s="697"/>
      <c r="S630" s="698"/>
      <c r="T630" s="697"/>
      <c r="U630" s="697"/>
      <c r="V630" s="697"/>
      <c r="W630" s="698"/>
      <c r="X630" s="698"/>
      <c r="Y630" s="697"/>
      <c r="Z630" s="697"/>
      <c r="AA630" s="697"/>
      <c r="AB630" s="698"/>
      <c r="AC630" s="698"/>
    </row>
    <row r="631" spans="1:29" x14ac:dyDescent="0.2">
      <c r="A631" s="694" t="str">
        <f>+Info!$B$2</f>
        <v>724</v>
      </c>
      <c r="B631" s="694" t="s">
        <v>6213</v>
      </c>
      <c r="C631" s="694" t="s">
        <v>6214</v>
      </c>
      <c r="D631" s="695" t="s">
        <v>6215</v>
      </c>
      <c r="E631" s="696"/>
      <c r="F631" s="697"/>
      <c r="G631" s="697"/>
      <c r="H631" s="698"/>
      <c r="I631" s="698"/>
      <c r="J631" s="697"/>
      <c r="K631" s="697"/>
      <c r="L631" s="697"/>
      <c r="M631" s="697"/>
      <c r="N631" s="698"/>
      <c r="O631" s="698"/>
      <c r="P631" s="698"/>
      <c r="Q631" s="697"/>
      <c r="R631" s="697"/>
      <c r="S631" s="698"/>
      <c r="T631" s="697"/>
      <c r="U631" s="697"/>
      <c r="V631" s="697"/>
      <c r="W631" s="698"/>
      <c r="X631" s="698"/>
      <c r="Y631" s="697"/>
      <c r="Z631" s="697"/>
      <c r="AA631" s="697"/>
      <c r="AB631" s="698"/>
      <c r="AC631" s="698"/>
    </row>
    <row r="632" spans="1:29" x14ac:dyDescent="0.2">
      <c r="A632" s="694" t="str">
        <f>+Info!$B$2</f>
        <v>724</v>
      </c>
      <c r="B632" s="694" t="s">
        <v>6216</v>
      </c>
      <c r="C632" s="694" t="s">
        <v>6217</v>
      </c>
      <c r="D632" s="695" t="s">
        <v>6218</v>
      </c>
      <c r="E632" s="696"/>
      <c r="F632" s="697"/>
      <c r="G632" s="697"/>
      <c r="H632" s="698"/>
      <c r="I632" s="698"/>
      <c r="J632" s="697"/>
      <c r="K632" s="697"/>
      <c r="L632" s="697"/>
      <c r="M632" s="697"/>
      <c r="N632" s="698"/>
      <c r="O632" s="698"/>
      <c r="P632" s="698"/>
      <c r="Q632" s="697"/>
      <c r="R632" s="697"/>
      <c r="S632" s="698"/>
      <c r="T632" s="697"/>
      <c r="U632" s="697"/>
      <c r="V632" s="697"/>
      <c r="W632" s="698"/>
      <c r="X632" s="698"/>
      <c r="Y632" s="697"/>
      <c r="Z632" s="697"/>
      <c r="AA632" s="697"/>
      <c r="AB632" s="697"/>
      <c r="AC632" s="697"/>
    </row>
    <row r="633" spans="1:29" x14ac:dyDescent="0.2">
      <c r="A633" s="694" t="str">
        <f>+Info!$B$2</f>
        <v>724</v>
      </c>
      <c r="B633" s="694" t="s">
        <v>6219</v>
      </c>
      <c r="C633" s="694" t="s">
        <v>6220</v>
      </c>
      <c r="D633" s="695" t="s">
        <v>6221</v>
      </c>
      <c r="E633" s="696"/>
      <c r="F633" s="697"/>
      <c r="G633" s="697"/>
      <c r="H633" s="698"/>
      <c r="I633" s="698"/>
      <c r="J633" s="697"/>
      <c r="K633" s="697"/>
      <c r="L633" s="697"/>
      <c r="M633" s="697"/>
      <c r="N633" s="698"/>
      <c r="O633" s="698"/>
      <c r="P633" s="698"/>
      <c r="Q633" s="697"/>
      <c r="R633" s="697"/>
      <c r="S633" s="698"/>
      <c r="T633" s="697"/>
      <c r="U633" s="697"/>
      <c r="V633" s="697"/>
      <c r="W633" s="698"/>
      <c r="X633" s="698"/>
      <c r="Y633" s="697"/>
      <c r="Z633" s="697"/>
      <c r="AA633" s="697"/>
      <c r="AB633" s="697"/>
      <c r="AC633" s="697"/>
    </row>
    <row r="634" spans="1:29" x14ac:dyDescent="0.2">
      <c r="A634" s="694" t="str">
        <f>+Info!$B$2</f>
        <v>724</v>
      </c>
      <c r="B634" s="694" t="s">
        <v>6222</v>
      </c>
      <c r="C634" s="694" t="s">
        <v>6223</v>
      </c>
      <c r="D634" s="695" t="s">
        <v>6224</v>
      </c>
      <c r="E634" s="696"/>
      <c r="F634" s="697"/>
      <c r="G634" s="697"/>
      <c r="H634" s="698"/>
      <c r="I634" s="698"/>
      <c r="J634" s="697"/>
      <c r="K634" s="697"/>
      <c r="L634" s="697"/>
      <c r="M634" s="697"/>
      <c r="N634" s="698"/>
      <c r="O634" s="698"/>
      <c r="P634" s="698"/>
      <c r="Q634" s="697"/>
      <c r="R634" s="697"/>
      <c r="S634" s="698"/>
      <c r="T634" s="697"/>
      <c r="U634" s="697"/>
      <c r="V634" s="697"/>
      <c r="W634" s="698"/>
      <c r="X634" s="698"/>
      <c r="Y634" s="697"/>
      <c r="Z634" s="697"/>
      <c r="AA634" s="697"/>
      <c r="AB634" s="697"/>
      <c r="AC634" s="697"/>
    </row>
    <row r="635" spans="1:29" x14ac:dyDescent="0.2">
      <c r="A635" s="694" t="str">
        <f>+Info!$B$2</f>
        <v>724</v>
      </c>
      <c r="B635" s="694" t="s">
        <v>6225</v>
      </c>
      <c r="C635" s="694" t="s">
        <v>6226</v>
      </c>
      <c r="D635" s="695" t="s">
        <v>6227</v>
      </c>
      <c r="E635" s="696"/>
      <c r="F635" s="697"/>
      <c r="G635" s="697"/>
      <c r="H635" s="698"/>
      <c r="I635" s="698"/>
      <c r="J635" s="697"/>
      <c r="K635" s="697"/>
      <c r="L635" s="697"/>
      <c r="M635" s="697"/>
      <c r="N635" s="698"/>
      <c r="O635" s="698"/>
      <c r="P635" s="698"/>
      <c r="Q635" s="697"/>
      <c r="R635" s="697"/>
      <c r="S635" s="698"/>
      <c r="T635" s="697"/>
      <c r="U635" s="697"/>
      <c r="V635" s="697"/>
      <c r="W635" s="698"/>
      <c r="X635" s="698"/>
      <c r="Y635" s="697"/>
      <c r="Z635" s="697"/>
      <c r="AA635" s="697"/>
      <c r="AB635" s="697"/>
      <c r="AC635" s="697"/>
    </row>
    <row r="636" spans="1:29" x14ac:dyDescent="0.2">
      <c r="A636" s="694" t="str">
        <f>+Info!$B$2</f>
        <v>724</v>
      </c>
      <c r="B636" s="694" t="s">
        <v>6228</v>
      </c>
      <c r="C636" s="694" t="s">
        <v>6229</v>
      </c>
      <c r="D636" s="695" t="s">
        <v>6230</v>
      </c>
      <c r="E636" s="696"/>
      <c r="F636" s="697"/>
      <c r="G636" s="697"/>
      <c r="H636" s="698"/>
      <c r="I636" s="698"/>
      <c r="J636" s="697"/>
      <c r="K636" s="697"/>
      <c r="L636" s="697"/>
      <c r="M636" s="697"/>
      <c r="N636" s="698"/>
      <c r="O636" s="698"/>
      <c r="P636" s="698"/>
      <c r="Q636" s="697"/>
      <c r="R636" s="697"/>
      <c r="S636" s="698"/>
      <c r="T636" s="697"/>
      <c r="U636" s="697"/>
      <c r="V636" s="697"/>
      <c r="W636" s="698"/>
      <c r="X636" s="698"/>
      <c r="Y636" s="697"/>
      <c r="Z636" s="697"/>
      <c r="AA636" s="697"/>
      <c r="AB636" s="697"/>
      <c r="AC636" s="697"/>
    </row>
    <row r="637" spans="1:29" x14ac:dyDescent="0.2">
      <c r="A637" s="694" t="str">
        <f>+Info!$B$2</f>
        <v>724</v>
      </c>
      <c r="B637" s="694" t="s">
        <v>6231</v>
      </c>
      <c r="C637" s="694" t="s">
        <v>6232</v>
      </c>
      <c r="D637" s="695" t="s">
        <v>6233</v>
      </c>
      <c r="E637" s="696"/>
      <c r="F637" s="697"/>
      <c r="G637" s="697"/>
      <c r="H637" s="698"/>
      <c r="I637" s="698"/>
      <c r="J637" s="697"/>
      <c r="K637" s="697"/>
      <c r="L637" s="697"/>
      <c r="M637" s="697"/>
      <c r="N637" s="698"/>
      <c r="O637" s="698"/>
      <c r="P637" s="698"/>
      <c r="Q637" s="697"/>
      <c r="R637" s="697"/>
      <c r="S637" s="698"/>
      <c r="T637" s="697"/>
      <c r="U637" s="697"/>
      <c r="V637" s="697"/>
      <c r="W637" s="698"/>
      <c r="X637" s="698"/>
      <c r="Y637" s="697"/>
      <c r="Z637" s="697"/>
      <c r="AA637" s="697"/>
      <c r="AB637" s="697"/>
      <c r="AC637" s="697"/>
    </row>
    <row r="638" spans="1:29" x14ac:dyDescent="0.2">
      <c r="A638" s="694" t="str">
        <f>+Info!$B$2</f>
        <v>724</v>
      </c>
      <c r="B638" s="694" t="s">
        <v>6234</v>
      </c>
      <c r="C638" s="694" t="s">
        <v>6235</v>
      </c>
      <c r="D638" s="695" t="s">
        <v>6236</v>
      </c>
      <c r="E638" s="696"/>
      <c r="F638" s="697"/>
      <c r="G638" s="697"/>
      <c r="H638" s="698"/>
      <c r="I638" s="698"/>
      <c r="J638" s="697"/>
      <c r="K638" s="697"/>
      <c r="L638" s="697"/>
      <c r="M638" s="697"/>
      <c r="N638" s="698"/>
      <c r="O638" s="698"/>
      <c r="P638" s="698"/>
      <c r="Q638" s="697"/>
      <c r="R638" s="697"/>
      <c r="S638" s="698"/>
      <c r="T638" s="697"/>
      <c r="U638" s="697"/>
      <c r="V638" s="697"/>
      <c r="W638" s="698"/>
      <c r="X638" s="698"/>
      <c r="Y638" s="697"/>
      <c r="Z638" s="697"/>
      <c r="AA638" s="697"/>
      <c r="AB638" s="697"/>
      <c r="AC638" s="697"/>
    </row>
    <row r="639" spans="1:29" x14ac:dyDescent="0.2">
      <c r="A639" s="694" t="str">
        <f>+Info!$B$2</f>
        <v>724</v>
      </c>
      <c r="B639" s="694" t="s">
        <v>6237</v>
      </c>
      <c r="C639" s="694" t="s">
        <v>6238</v>
      </c>
      <c r="D639" s="695" t="s">
        <v>6239</v>
      </c>
      <c r="E639" s="696"/>
      <c r="F639" s="697"/>
      <c r="G639" s="697"/>
      <c r="H639" s="698"/>
      <c r="I639" s="698"/>
      <c r="J639" s="697"/>
      <c r="K639" s="697"/>
      <c r="L639" s="697"/>
      <c r="M639" s="697"/>
      <c r="N639" s="698"/>
      <c r="O639" s="698"/>
      <c r="P639" s="698"/>
      <c r="Q639" s="697"/>
      <c r="R639" s="697"/>
      <c r="S639" s="698"/>
      <c r="T639" s="697"/>
      <c r="U639" s="697"/>
      <c r="V639" s="697"/>
      <c r="W639" s="698"/>
      <c r="X639" s="698"/>
      <c r="Y639" s="697"/>
      <c r="Z639" s="697"/>
      <c r="AA639" s="697"/>
      <c r="AB639" s="697"/>
      <c r="AC639" s="697"/>
    </row>
    <row r="640" spans="1:29" x14ac:dyDescent="0.2">
      <c r="A640" s="694" t="str">
        <f>+Info!$B$2</f>
        <v>724</v>
      </c>
      <c r="B640" s="694" t="s">
        <v>6240</v>
      </c>
      <c r="C640" s="694" t="s">
        <v>6241</v>
      </c>
      <c r="D640" s="695" t="s">
        <v>6242</v>
      </c>
      <c r="E640" s="696"/>
      <c r="F640" s="697"/>
      <c r="G640" s="697"/>
      <c r="H640" s="698"/>
      <c r="I640" s="698"/>
      <c r="J640" s="697"/>
      <c r="K640" s="697"/>
      <c r="L640" s="697"/>
      <c r="M640" s="697"/>
      <c r="N640" s="698"/>
      <c r="O640" s="698"/>
      <c r="P640" s="698"/>
      <c r="Q640" s="697"/>
      <c r="R640" s="697"/>
      <c r="S640" s="698"/>
      <c r="T640" s="697"/>
      <c r="U640" s="697"/>
      <c r="V640" s="697"/>
      <c r="W640" s="698"/>
      <c r="X640" s="698"/>
      <c r="Y640" s="697"/>
      <c r="Z640" s="697"/>
      <c r="AA640" s="697"/>
      <c r="AB640" s="697"/>
      <c r="AC640" s="697"/>
    </row>
    <row r="641" spans="1:29" x14ac:dyDescent="0.2">
      <c r="A641" s="694" t="str">
        <f>+Info!$B$2</f>
        <v>724</v>
      </c>
      <c r="B641" s="694" t="s">
        <v>6243</v>
      </c>
      <c r="C641" s="694" t="s">
        <v>6244</v>
      </c>
      <c r="D641" s="695" t="s">
        <v>6245</v>
      </c>
      <c r="E641" s="696"/>
      <c r="F641" s="697"/>
      <c r="G641" s="697"/>
      <c r="H641" s="698"/>
      <c r="I641" s="698"/>
      <c r="J641" s="697"/>
      <c r="K641" s="697"/>
      <c r="L641" s="697"/>
      <c r="M641" s="697"/>
      <c r="N641" s="698"/>
      <c r="O641" s="698"/>
      <c r="P641" s="698"/>
      <c r="Q641" s="697"/>
      <c r="R641" s="697"/>
      <c r="S641" s="698"/>
      <c r="T641" s="697"/>
      <c r="U641" s="697"/>
      <c r="V641" s="697"/>
      <c r="W641" s="698"/>
      <c r="X641" s="698"/>
      <c r="Y641" s="697"/>
      <c r="Z641" s="697"/>
      <c r="AA641" s="697"/>
      <c r="AB641" s="698"/>
      <c r="AC641" s="698"/>
    </row>
    <row r="642" spans="1:29" x14ac:dyDescent="0.2">
      <c r="A642" s="694" t="str">
        <f>+Info!$B$2</f>
        <v>724</v>
      </c>
      <c r="B642" s="694" t="s">
        <v>6246</v>
      </c>
      <c r="C642" s="694" t="s">
        <v>6247</v>
      </c>
      <c r="D642" s="695" t="s">
        <v>6248</v>
      </c>
      <c r="E642" s="696"/>
      <c r="F642" s="697"/>
      <c r="G642" s="697"/>
      <c r="H642" s="698"/>
      <c r="I642" s="698"/>
      <c r="J642" s="697"/>
      <c r="K642" s="697"/>
      <c r="L642" s="697"/>
      <c r="M642" s="697"/>
      <c r="N642" s="698"/>
      <c r="O642" s="698"/>
      <c r="P642" s="698"/>
      <c r="Q642" s="697"/>
      <c r="R642" s="697"/>
      <c r="S642" s="698"/>
      <c r="T642" s="697"/>
      <c r="U642" s="697"/>
      <c r="V642" s="697"/>
      <c r="W642" s="698"/>
      <c r="X642" s="698"/>
      <c r="Y642" s="697"/>
      <c r="Z642" s="697"/>
      <c r="AA642" s="697"/>
      <c r="AB642" s="698"/>
      <c r="AC642" s="698"/>
    </row>
    <row r="643" spans="1:29" x14ac:dyDescent="0.2">
      <c r="A643" s="694" t="str">
        <f>+Info!$B$2</f>
        <v>724</v>
      </c>
      <c r="B643" s="694" t="s">
        <v>6249</v>
      </c>
      <c r="C643" s="694" t="s">
        <v>6250</v>
      </c>
      <c r="D643" s="695" t="s">
        <v>6251</v>
      </c>
      <c r="E643" s="696"/>
      <c r="F643" s="697"/>
      <c r="G643" s="697"/>
      <c r="H643" s="698"/>
      <c r="I643" s="698"/>
      <c r="J643" s="697"/>
      <c r="K643" s="697"/>
      <c r="L643" s="697"/>
      <c r="M643" s="697"/>
      <c r="N643" s="698"/>
      <c r="O643" s="698"/>
      <c r="P643" s="698"/>
      <c r="Q643" s="697"/>
      <c r="R643" s="697"/>
      <c r="S643" s="698"/>
      <c r="T643" s="697"/>
      <c r="U643" s="697"/>
      <c r="V643" s="697"/>
      <c r="W643" s="698"/>
      <c r="X643" s="698"/>
      <c r="Y643" s="697"/>
      <c r="Z643" s="697"/>
      <c r="AA643" s="697"/>
      <c r="AB643" s="697"/>
      <c r="AC643" s="697"/>
    </row>
    <row r="644" spans="1:29" x14ac:dyDescent="0.2">
      <c r="A644" s="694" t="str">
        <f>+Info!$B$2</f>
        <v>724</v>
      </c>
      <c r="B644" s="694" t="s">
        <v>6252</v>
      </c>
      <c r="C644" s="694" t="s">
        <v>6253</v>
      </c>
      <c r="D644" s="695" t="s">
        <v>6254</v>
      </c>
      <c r="E644" s="696"/>
      <c r="F644" s="697"/>
      <c r="G644" s="697"/>
      <c r="H644" s="698"/>
      <c r="I644" s="698"/>
      <c r="J644" s="697"/>
      <c r="K644" s="697"/>
      <c r="L644" s="697"/>
      <c r="M644" s="697"/>
      <c r="N644" s="698"/>
      <c r="O644" s="698"/>
      <c r="P644" s="698"/>
      <c r="Q644" s="697"/>
      <c r="R644" s="697"/>
      <c r="S644" s="698"/>
      <c r="T644" s="697"/>
      <c r="U644" s="697"/>
      <c r="V644" s="697"/>
      <c r="W644" s="698"/>
      <c r="X644" s="698"/>
      <c r="Y644" s="697"/>
      <c r="Z644" s="697"/>
      <c r="AA644" s="697"/>
      <c r="AB644" s="697"/>
      <c r="AC644" s="697"/>
    </row>
    <row r="645" spans="1:29" x14ac:dyDescent="0.2">
      <c r="A645" s="694" t="str">
        <f>+Info!$B$2</f>
        <v>724</v>
      </c>
      <c r="B645" s="694" t="s">
        <v>6255</v>
      </c>
      <c r="C645" s="694" t="s">
        <v>6256</v>
      </c>
      <c r="D645" s="695" t="s">
        <v>6257</v>
      </c>
      <c r="E645" s="696"/>
      <c r="F645" s="697"/>
      <c r="G645" s="697"/>
      <c r="H645" s="698"/>
      <c r="I645" s="698"/>
      <c r="J645" s="697"/>
      <c r="K645" s="697"/>
      <c r="L645" s="697"/>
      <c r="M645" s="697"/>
      <c r="N645" s="698"/>
      <c r="O645" s="698"/>
      <c r="P645" s="698"/>
      <c r="Q645" s="697"/>
      <c r="R645" s="697"/>
      <c r="S645" s="698"/>
      <c r="T645" s="697"/>
      <c r="U645" s="697"/>
      <c r="V645" s="697"/>
      <c r="W645" s="698"/>
      <c r="X645" s="698"/>
      <c r="Y645" s="697"/>
      <c r="Z645" s="697"/>
      <c r="AA645" s="697"/>
      <c r="AB645" s="697"/>
      <c r="AC645" s="697"/>
    </row>
    <row r="646" spans="1:29" x14ac:dyDescent="0.2">
      <c r="A646" s="694" t="str">
        <f>+Info!$B$2</f>
        <v>724</v>
      </c>
      <c r="B646" s="694" t="s">
        <v>6258</v>
      </c>
      <c r="C646" s="694" t="s">
        <v>6259</v>
      </c>
      <c r="D646" s="695" t="s">
        <v>6260</v>
      </c>
      <c r="E646" s="696"/>
      <c r="F646" s="697"/>
      <c r="G646" s="697"/>
      <c r="H646" s="698"/>
      <c r="I646" s="698"/>
      <c r="J646" s="697"/>
      <c r="K646" s="697"/>
      <c r="L646" s="697"/>
      <c r="M646" s="697"/>
      <c r="N646" s="698"/>
      <c r="O646" s="698"/>
      <c r="P646" s="698"/>
      <c r="Q646" s="697"/>
      <c r="R646" s="697"/>
      <c r="S646" s="698"/>
      <c r="T646" s="697"/>
      <c r="U646" s="697"/>
      <c r="V646" s="697"/>
      <c r="W646" s="698"/>
      <c r="X646" s="698"/>
      <c r="Y646" s="697"/>
      <c r="Z646" s="697"/>
      <c r="AA646" s="697"/>
      <c r="AB646" s="697"/>
      <c r="AC646" s="697"/>
    </row>
    <row r="647" spans="1:29" x14ac:dyDescent="0.2">
      <c r="A647" s="694" t="str">
        <f>+Info!$B$2</f>
        <v>724</v>
      </c>
      <c r="B647" s="694" t="s">
        <v>6261</v>
      </c>
      <c r="C647" s="694" t="s">
        <v>6262</v>
      </c>
      <c r="D647" s="695" t="s">
        <v>6263</v>
      </c>
      <c r="E647" s="696"/>
      <c r="F647" s="697"/>
      <c r="G647" s="697"/>
      <c r="H647" s="698"/>
      <c r="I647" s="698"/>
      <c r="J647" s="697"/>
      <c r="K647" s="697"/>
      <c r="L647" s="697"/>
      <c r="M647" s="697"/>
      <c r="N647" s="698"/>
      <c r="O647" s="698"/>
      <c r="P647" s="698"/>
      <c r="Q647" s="697"/>
      <c r="R647" s="697"/>
      <c r="S647" s="698"/>
      <c r="T647" s="697"/>
      <c r="U647" s="697"/>
      <c r="V647" s="697"/>
      <c r="W647" s="698"/>
      <c r="X647" s="698"/>
      <c r="Y647" s="697"/>
      <c r="Z647" s="697"/>
      <c r="AA647" s="697"/>
      <c r="AB647" s="697"/>
      <c r="AC647" s="697"/>
    </row>
    <row r="648" spans="1:29" x14ac:dyDescent="0.2">
      <c r="A648" s="694" t="str">
        <f>+Info!$B$2</f>
        <v>724</v>
      </c>
      <c r="B648" s="694" t="s">
        <v>6264</v>
      </c>
      <c r="C648" s="694" t="s">
        <v>6265</v>
      </c>
      <c r="D648" s="695" t="s">
        <v>6266</v>
      </c>
      <c r="E648" s="696"/>
      <c r="F648" s="697"/>
      <c r="G648" s="697"/>
      <c r="H648" s="698"/>
      <c r="I648" s="698"/>
      <c r="J648" s="697"/>
      <c r="K648" s="697"/>
      <c r="L648" s="697"/>
      <c r="M648" s="697"/>
      <c r="N648" s="698"/>
      <c r="O648" s="698"/>
      <c r="P648" s="698"/>
      <c r="Q648" s="697"/>
      <c r="R648" s="697"/>
      <c r="S648" s="698"/>
      <c r="T648" s="697"/>
      <c r="U648" s="697"/>
      <c r="V648" s="697"/>
      <c r="W648" s="698"/>
      <c r="X648" s="698"/>
      <c r="Y648" s="697"/>
      <c r="Z648" s="697"/>
      <c r="AA648" s="697"/>
      <c r="AB648" s="697"/>
      <c r="AC648" s="697"/>
    </row>
    <row r="649" spans="1:29" x14ac:dyDescent="0.2">
      <c r="A649" s="694" t="str">
        <f>+Info!$B$2</f>
        <v>724</v>
      </c>
      <c r="B649" s="694" t="s">
        <v>6267</v>
      </c>
      <c r="C649" s="694" t="s">
        <v>6268</v>
      </c>
      <c r="D649" s="695" t="s">
        <v>6269</v>
      </c>
      <c r="E649" s="696"/>
      <c r="F649" s="697"/>
      <c r="G649" s="697"/>
      <c r="H649" s="698"/>
      <c r="I649" s="698"/>
      <c r="J649" s="697"/>
      <c r="K649" s="697"/>
      <c r="L649" s="697"/>
      <c r="M649" s="697"/>
      <c r="N649" s="698"/>
      <c r="O649" s="698"/>
      <c r="P649" s="698"/>
      <c r="Q649" s="697"/>
      <c r="R649" s="697"/>
      <c r="S649" s="698"/>
      <c r="T649" s="697"/>
      <c r="U649" s="697"/>
      <c r="V649" s="697"/>
      <c r="W649" s="698"/>
      <c r="X649" s="698"/>
      <c r="Y649" s="697"/>
      <c r="Z649" s="697"/>
      <c r="AA649" s="697"/>
      <c r="AB649" s="697"/>
      <c r="AC649" s="697"/>
    </row>
    <row r="650" spans="1:29" x14ac:dyDescent="0.2">
      <c r="A650" s="694" t="str">
        <f>+Info!$B$2</f>
        <v>724</v>
      </c>
      <c r="B650" s="694" t="s">
        <v>6270</v>
      </c>
      <c r="C650" s="694" t="s">
        <v>6271</v>
      </c>
      <c r="D650" s="695" t="s">
        <v>6272</v>
      </c>
      <c r="E650" s="696"/>
      <c r="F650" s="697"/>
      <c r="G650" s="697"/>
      <c r="H650" s="698"/>
      <c r="I650" s="698"/>
      <c r="J650" s="697"/>
      <c r="K650" s="697"/>
      <c r="L650" s="697"/>
      <c r="M650" s="697"/>
      <c r="N650" s="698"/>
      <c r="O650" s="698"/>
      <c r="P650" s="698"/>
      <c r="Q650" s="697"/>
      <c r="R650" s="697"/>
      <c r="S650" s="698"/>
      <c r="T650" s="697"/>
      <c r="U650" s="697"/>
      <c r="V650" s="697"/>
      <c r="W650" s="698"/>
      <c r="X650" s="698"/>
      <c r="Y650" s="697"/>
      <c r="Z650" s="697"/>
      <c r="AA650" s="697"/>
      <c r="AB650" s="697"/>
      <c r="AC650" s="697"/>
    </row>
    <row r="651" spans="1:29" x14ac:dyDescent="0.2">
      <c r="A651" s="694" t="str">
        <f>+Info!$B$2</f>
        <v>724</v>
      </c>
      <c r="B651" s="694" t="s">
        <v>6273</v>
      </c>
      <c r="C651" s="694" t="s">
        <v>6274</v>
      </c>
      <c r="D651" s="695" t="s">
        <v>6275</v>
      </c>
      <c r="E651" s="696"/>
      <c r="F651" s="697"/>
      <c r="G651" s="697"/>
      <c r="H651" s="698"/>
      <c r="I651" s="698"/>
      <c r="J651" s="697"/>
      <c r="K651" s="697"/>
      <c r="L651" s="697"/>
      <c r="M651" s="697"/>
      <c r="N651" s="698"/>
      <c r="O651" s="698"/>
      <c r="P651" s="698"/>
      <c r="Q651" s="697"/>
      <c r="R651" s="697"/>
      <c r="S651" s="698"/>
      <c r="T651" s="697"/>
      <c r="U651" s="697"/>
      <c r="V651" s="697"/>
      <c r="W651" s="698"/>
      <c r="X651" s="698"/>
      <c r="Y651" s="697"/>
      <c r="Z651" s="697"/>
      <c r="AA651" s="697"/>
      <c r="AB651" s="697"/>
      <c r="AC651" s="697"/>
    </row>
    <row r="652" spans="1:29" x14ac:dyDescent="0.2">
      <c r="A652" s="694" t="str">
        <f>+Info!$B$2</f>
        <v>724</v>
      </c>
      <c r="B652" s="694" t="s">
        <v>6276</v>
      </c>
      <c r="C652" s="694" t="s">
        <v>6277</v>
      </c>
      <c r="D652" s="695" t="s">
        <v>6278</v>
      </c>
      <c r="E652" s="696"/>
      <c r="F652" s="697"/>
      <c r="G652" s="697"/>
      <c r="H652" s="698"/>
      <c r="I652" s="698"/>
      <c r="J652" s="697"/>
      <c r="K652" s="697"/>
      <c r="L652" s="697"/>
      <c r="M652" s="697"/>
      <c r="N652" s="698"/>
      <c r="O652" s="698"/>
      <c r="P652" s="698"/>
      <c r="Q652" s="697"/>
      <c r="R652" s="697"/>
      <c r="S652" s="698"/>
      <c r="T652" s="697"/>
      <c r="U652" s="697"/>
      <c r="V652" s="697"/>
      <c r="W652" s="698"/>
      <c r="X652" s="698"/>
      <c r="Y652" s="697"/>
      <c r="Z652" s="697"/>
      <c r="AA652" s="697"/>
      <c r="AB652" s="698"/>
      <c r="AC652" s="698"/>
    </row>
    <row r="653" spans="1:29" x14ac:dyDescent="0.2">
      <c r="A653" s="694" t="str">
        <f>+Info!$B$2</f>
        <v>724</v>
      </c>
      <c r="B653" s="694" t="s">
        <v>6279</v>
      </c>
      <c r="C653" s="694" t="s">
        <v>6280</v>
      </c>
      <c r="D653" s="695" t="s">
        <v>6281</v>
      </c>
      <c r="E653" s="696"/>
      <c r="F653" s="697"/>
      <c r="G653" s="697"/>
      <c r="H653" s="698"/>
      <c r="I653" s="698"/>
      <c r="J653" s="697"/>
      <c r="K653" s="697"/>
      <c r="L653" s="697"/>
      <c r="M653" s="697"/>
      <c r="N653" s="698"/>
      <c r="O653" s="698"/>
      <c r="P653" s="698"/>
      <c r="Q653" s="697"/>
      <c r="R653" s="697"/>
      <c r="S653" s="698"/>
      <c r="T653" s="697"/>
      <c r="U653" s="697"/>
      <c r="V653" s="697"/>
      <c r="W653" s="698"/>
      <c r="X653" s="698"/>
      <c r="Y653" s="697"/>
      <c r="Z653" s="697"/>
      <c r="AA653" s="697"/>
      <c r="AB653" s="698"/>
      <c r="AC653" s="698"/>
    </row>
    <row r="654" spans="1:29" x14ac:dyDescent="0.2">
      <c r="A654" s="694" t="str">
        <f>+Info!$B$2</f>
        <v>724</v>
      </c>
      <c r="B654" s="694" t="s">
        <v>6282</v>
      </c>
      <c r="C654" s="694" t="s">
        <v>6283</v>
      </c>
      <c r="D654" s="695" t="s">
        <v>6284</v>
      </c>
      <c r="E654" s="696"/>
      <c r="F654" s="697"/>
      <c r="G654" s="697"/>
      <c r="H654" s="698"/>
      <c r="I654" s="698"/>
      <c r="J654" s="697"/>
      <c r="K654" s="697"/>
      <c r="L654" s="697"/>
      <c r="M654" s="697"/>
      <c r="N654" s="698"/>
      <c r="O654" s="698"/>
      <c r="P654" s="698"/>
      <c r="Q654" s="697"/>
      <c r="R654" s="697"/>
      <c r="S654" s="698"/>
      <c r="T654" s="697"/>
      <c r="U654" s="697"/>
      <c r="V654" s="697"/>
      <c r="W654" s="698"/>
      <c r="X654" s="698"/>
      <c r="Y654" s="697"/>
      <c r="Z654" s="697"/>
      <c r="AA654" s="697"/>
      <c r="AB654" s="697"/>
      <c r="AC654" s="697"/>
    </row>
    <row r="655" spans="1:29" ht="15" x14ac:dyDescent="0.25">
      <c r="A655" s="691" t="str">
        <f>+Info!$B$2</f>
        <v>724</v>
      </c>
      <c r="B655" s="691" t="s">
        <v>6285</v>
      </c>
      <c r="C655" s="691" t="s">
        <v>6286</v>
      </c>
      <c r="D655" s="692" t="s">
        <v>6287</v>
      </c>
      <c r="E655" s="693"/>
      <c r="F655" s="701"/>
      <c r="G655" s="701"/>
      <c r="H655" s="701"/>
      <c r="I655" s="701"/>
      <c r="J655" s="701"/>
      <c r="K655" s="701"/>
      <c r="L655" s="701"/>
      <c r="M655" s="701"/>
      <c r="N655" s="701"/>
      <c r="O655" s="701"/>
      <c r="P655" s="701"/>
      <c r="Q655" s="701"/>
      <c r="R655" s="701"/>
      <c r="S655" s="701"/>
      <c r="T655" s="701"/>
      <c r="U655" s="701"/>
      <c r="V655" s="701"/>
      <c r="W655" s="701"/>
      <c r="X655" s="701"/>
      <c r="Y655" s="701"/>
      <c r="Z655" s="701"/>
      <c r="AA655" s="701"/>
      <c r="AB655" s="701"/>
      <c r="AC655" s="701"/>
    </row>
    <row r="656" spans="1:29" x14ac:dyDescent="0.2">
      <c r="A656" s="694" t="str">
        <f>+Info!$B$2</f>
        <v>724</v>
      </c>
      <c r="B656" s="694" t="s">
        <v>6288</v>
      </c>
      <c r="C656" s="694" t="s">
        <v>6289</v>
      </c>
      <c r="D656" s="695" t="s">
        <v>6290</v>
      </c>
      <c r="E656" s="696"/>
      <c r="F656" s="697"/>
      <c r="G656" s="697"/>
      <c r="H656" s="698"/>
      <c r="I656" s="698"/>
      <c r="J656" s="697"/>
      <c r="K656" s="697"/>
      <c r="L656" s="697"/>
      <c r="M656" s="697"/>
      <c r="N656" s="698"/>
      <c r="O656" s="698"/>
      <c r="P656" s="698"/>
      <c r="Q656" s="697"/>
      <c r="R656" s="698"/>
      <c r="S656" s="697"/>
      <c r="T656" s="697"/>
      <c r="U656" s="697"/>
      <c r="V656" s="697"/>
      <c r="W656" s="698"/>
      <c r="X656" s="698"/>
      <c r="Y656" s="697"/>
      <c r="Z656" s="697"/>
      <c r="AA656" s="697"/>
      <c r="AB656" s="697"/>
      <c r="AC656" s="697"/>
    </row>
    <row r="657" spans="1:29" x14ac:dyDescent="0.2">
      <c r="A657" s="694" t="str">
        <f>+Info!$B$2</f>
        <v>724</v>
      </c>
      <c r="B657" s="694" t="s">
        <v>6291</v>
      </c>
      <c r="C657" s="694" t="s">
        <v>6292</v>
      </c>
      <c r="D657" s="695" t="s">
        <v>6293</v>
      </c>
      <c r="E657" s="696"/>
      <c r="F657" s="697"/>
      <c r="G657" s="697"/>
      <c r="H657" s="698"/>
      <c r="I657" s="698"/>
      <c r="J657" s="697"/>
      <c r="K657" s="697"/>
      <c r="L657" s="697"/>
      <c r="M657" s="697"/>
      <c r="N657" s="698"/>
      <c r="O657" s="698"/>
      <c r="P657" s="698"/>
      <c r="Q657" s="697"/>
      <c r="R657" s="698"/>
      <c r="S657" s="697"/>
      <c r="T657" s="697"/>
      <c r="U657" s="697"/>
      <c r="V657" s="697"/>
      <c r="W657" s="698"/>
      <c r="X657" s="698"/>
      <c r="Y657" s="697"/>
      <c r="Z657" s="697"/>
      <c r="AA657" s="697"/>
      <c r="AB657" s="697"/>
      <c r="AC657" s="697"/>
    </row>
    <row r="658" spans="1:29" x14ac:dyDescent="0.2">
      <c r="A658" s="694" t="str">
        <f>+Info!$B$2</f>
        <v>724</v>
      </c>
      <c r="B658" s="694" t="s">
        <v>6294</v>
      </c>
      <c r="C658" s="694" t="s">
        <v>6295</v>
      </c>
      <c r="D658" s="695" t="s">
        <v>6296</v>
      </c>
      <c r="E658" s="696"/>
      <c r="F658" s="697"/>
      <c r="G658" s="697"/>
      <c r="H658" s="698"/>
      <c r="I658" s="698"/>
      <c r="J658" s="697"/>
      <c r="K658" s="697"/>
      <c r="L658" s="697"/>
      <c r="M658" s="697"/>
      <c r="N658" s="698"/>
      <c r="O658" s="698"/>
      <c r="P658" s="698"/>
      <c r="Q658" s="697"/>
      <c r="R658" s="698"/>
      <c r="S658" s="697"/>
      <c r="T658" s="697"/>
      <c r="U658" s="697"/>
      <c r="V658" s="697"/>
      <c r="W658" s="698"/>
      <c r="X658" s="698"/>
      <c r="Y658" s="697"/>
      <c r="Z658" s="697"/>
      <c r="AA658" s="697"/>
      <c r="AB658" s="697"/>
      <c r="AC658" s="697"/>
    </row>
    <row r="659" spans="1:29" x14ac:dyDescent="0.2">
      <c r="A659" s="694" t="str">
        <f>+Info!$B$2</f>
        <v>724</v>
      </c>
      <c r="B659" s="694" t="s">
        <v>6297</v>
      </c>
      <c r="C659" s="694" t="s">
        <v>6298</v>
      </c>
      <c r="D659" s="695" t="s">
        <v>6299</v>
      </c>
      <c r="E659" s="696"/>
      <c r="F659" s="697"/>
      <c r="G659" s="697"/>
      <c r="H659" s="698"/>
      <c r="I659" s="698"/>
      <c r="J659" s="697"/>
      <c r="K659" s="697"/>
      <c r="L659" s="697"/>
      <c r="M659" s="697"/>
      <c r="N659" s="698"/>
      <c r="O659" s="698"/>
      <c r="P659" s="698"/>
      <c r="Q659" s="697"/>
      <c r="R659" s="698"/>
      <c r="S659" s="697"/>
      <c r="T659" s="697"/>
      <c r="U659" s="697"/>
      <c r="V659" s="697"/>
      <c r="W659" s="698"/>
      <c r="X659" s="698"/>
      <c r="Y659" s="697"/>
      <c r="Z659" s="697"/>
      <c r="AA659" s="697"/>
      <c r="AB659" s="697"/>
      <c r="AC659" s="697"/>
    </row>
    <row r="660" spans="1:29" ht="25.5" x14ac:dyDescent="0.2">
      <c r="A660" s="694" t="str">
        <f>+Info!$B$2</f>
        <v>724</v>
      </c>
      <c r="B660" s="694" t="s">
        <v>6300</v>
      </c>
      <c r="C660" s="694" t="s">
        <v>6301</v>
      </c>
      <c r="D660" s="695" t="s">
        <v>6302</v>
      </c>
      <c r="E660" s="696"/>
      <c r="F660" s="697"/>
      <c r="G660" s="697"/>
      <c r="H660" s="698"/>
      <c r="I660" s="698"/>
      <c r="J660" s="697"/>
      <c r="K660" s="697"/>
      <c r="L660" s="697"/>
      <c r="M660" s="697"/>
      <c r="N660" s="698"/>
      <c r="O660" s="698"/>
      <c r="P660" s="698"/>
      <c r="Q660" s="697"/>
      <c r="R660" s="698"/>
      <c r="S660" s="697"/>
      <c r="T660" s="697"/>
      <c r="U660" s="697"/>
      <c r="V660" s="697"/>
      <c r="W660" s="698"/>
      <c r="X660" s="698"/>
      <c r="Y660" s="697"/>
      <c r="Z660" s="697"/>
      <c r="AA660" s="697"/>
      <c r="AB660" s="697"/>
      <c r="AC660" s="697"/>
    </row>
    <row r="661" spans="1:29" x14ac:dyDescent="0.2">
      <c r="A661" s="694" t="str">
        <f>+Info!$B$2</f>
        <v>724</v>
      </c>
      <c r="B661" s="694" t="s">
        <v>6303</v>
      </c>
      <c r="C661" s="694" t="s">
        <v>6304</v>
      </c>
      <c r="D661" s="695" t="s">
        <v>6305</v>
      </c>
      <c r="E661" s="696"/>
      <c r="F661" s="697"/>
      <c r="G661" s="697"/>
      <c r="H661" s="698"/>
      <c r="I661" s="698"/>
      <c r="J661" s="697"/>
      <c r="K661" s="697"/>
      <c r="L661" s="697"/>
      <c r="M661" s="697"/>
      <c r="N661" s="698"/>
      <c r="O661" s="698"/>
      <c r="P661" s="698"/>
      <c r="Q661" s="697"/>
      <c r="R661" s="698"/>
      <c r="S661" s="697"/>
      <c r="T661" s="697"/>
      <c r="U661" s="697"/>
      <c r="V661" s="697"/>
      <c r="W661" s="698"/>
      <c r="X661" s="698"/>
      <c r="Y661" s="697"/>
      <c r="Z661" s="697"/>
      <c r="AA661" s="697"/>
      <c r="AB661" s="697"/>
      <c r="AC661" s="697"/>
    </row>
    <row r="662" spans="1:29" x14ac:dyDescent="0.2">
      <c r="A662" s="694" t="str">
        <f>+Info!$B$2</f>
        <v>724</v>
      </c>
      <c r="B662" s="694" t="s">
        <v>6306</v>
      </c>
      <c r="C662" s="694" t="s">
        <v>6307</v>
      </c>
      <c r="D662" s="695" t="s">
        <v>6308</v>
      </c>
      <c r="E662" s="696"/>
      <c r="F662" s="697"/>
      <c r="G662" s="697"/>
      <c r="H662" s="698"/>
      <c r="I662" s="698"/>
      <c r="J662" s="697"/>
      <c r="K662" s="697"/>
      <c r="L662" s="697"/>
      <c r="M662" s="697"/>
      <c r="N662" s="698"/>
      <c r="O662" s="698"/>
      <c r="P662" s="698"/>
      <c r="Q662" s="697"/>
      <c r="R662" s="698"/>
      <c r="S662" s="697"/>
      <c r="T662" s="697"/>
      <c r="U662" s="697"/>
      <c r="V662" s="697"/>
      <c r="W662" s="698"/>
      <c r="X662" s="698"/>
      <c r="Y662" s="697"/>
      <c r="Z662" s="697"/>
      <c r="AA662" s="697"/>
      <c r="AB662" s="697"/>
      <c r="AC662" s="697"/>
    </row>
    <row r="663" spans="1:29" x14ac:dyDescent="0.2">
      <c r="A663" s="694" t="str">
        <f>+Info!$B$2</f>
        <v>724</v>
      </c>
      <c r="B663" s="694" t="s">
        <v>6309</v>
      </c>
      <c r="C663" s="694" t="s">
        <v>6310</v>
      </c>
      <c r="D663" s="695" t="s">
        <v>6311</v>
      </c>
      <c r="E663" s="696"/>
      <c r="F663" s="697"/>
      <c r="G663" s="697"/>
      <c r="H663" s="698"/>
      <c r="I663" s="698"/>
      <c r="J663" s="697"/>
      <c r="K663" s="697"/>
      <c r="L663" s="697"/>
      <c r="M663" s="697"/>
      <c r="N663" s="698"/>
      <c r="O663" s="698"/>
      <c r="P663" s="698"/>
      <c r="Q663" s="697"/>
      <c r="R663" s="698"/>
      <c r="S663" s="697"/>
      <c r="T663" s="697"/>
      <c r="U663" s="697"/>
      <c r="V663" s="697"/>
      <c r="W663" s="698"/>
      <c r="X663" s="698"/>
      <c r="Y663" s="697"/>
      <c r="Z663" s="697"/>
      <c r="AA663" s="697"/>
      <c r="AB663" s="697"/>
      <c r="AC663" s="697"/>
    </row>
    <row r="664" spans="1:29" x14ac:dyDescent="0.2">
      <c r="A664" s="694" t="str">
        <f>+Info!$B$2</f>
        <v>724</v>
      </c>
      <c r="B664" s="694" t="s">
        <v>6312</v>
      </c>
      <c r="C664" s="694" t="s">
        <v>6313</v>
      </c>
      <c r="D664" s="695" t="s">
        <v>6314</v>
      </c>
      <c r="E664" s="696"/>
      <c r="F664" s="697"/>
      <c r="G664" s="697"/>
      <c r="H664" s="698"/>
      <c r="I664" s="698"/>
      <c r="J664" s="697"/>
      <c r="K664" s="697"/>
      <c r="L664" s="697"/>
      <c r="M664" s="697"/>
      <c r="N664" s="698"/>
      <c r="O664" s="698"/>
      <c r="P664" s="698"/>
      <c r="Q664" s="697"/>
      <c r="R664" s="698"/>
      <c r="S664" s="697"/>
      <c r="T664" s="697"/>
      <c r="U664" s="697"/>
      <c r="V664" s="697"/>
      <c r="W664" s="698"/>
      <c r="X664" s="698"/>
      <c r="Y664" s="697"/>
      <c r="Z664" s="697"/>
      <c r="AA664" s="697"/>
      <c r="AB664" s="697"/>
      <c r="AC664" s="697"/>
    </row>
    <row r="665" spans="1:29" x14ac:dyDescent="0.2">
      <c r="A665" s="694" t="str">
        <f>+Info!$B$2</f>
        <v>724</v>
      </c>
      <c r="B665" s="694" t="s">
        <v>6315</v>
      </c>
      <c r="C665" s="694" t="s">
        <v>6316</v>
      </c>
      <c r="D665" s="695" t="s">
        <v>6317</v>
      </c>
      <c r="E665" s="696"/>
      <c r="F665" s="697"/>
      <c r="G665" s="697"/>
      <c r="H665" s="698"/>
      <c r="I665" s="698"/>
      <c r="J665" s="697"/>
      <c r="K665" s="697"/>
      <c r="L665" s="697"/>
      <c r="M665" s="697"/>
      <c r="N665" s="698"/>
      <c r="O665" s="698"/>
      <c r="P665" s="698"/>
      <c r="Q665" s="697"/>
      <c r="R665" s="698"/>
      <c r="S665" s="697"/>
      <c r="T665" s="697"/>
      <c r="U665" s="697"/>
      <c r="V665" s="697"/>
      <c r="W665" s="698"/>
      <c r="X665" s="698"/>
      <c r="Y665" s="697"/>
      <c r="Z665" s="697"/>
      <c r="AA665" s="697"/>
      <c r="AB665" s="698"/>
      <c r="AC665" s="698"/>
    </row>
    <row r="666" spans="1:29" x14ac:dyDescent="0.2">
      <c r="A666" s="694" t="str">
        <f>+Info!$B$2</f>
        <v>724</v>
      </c>
      <c r="B666" s="694" t="s">
        <v>6318</v>
      </c>
      <c r="C666" s="694" t="s">
        <v>6319</v>
      </c>
      <c r="D666" s="695" t="s">
        <v>6320</v>
      </c>
      <c r="E666" s="696"/>
      <c r="F666" s="697"/>
      <c r="G666" s="697"/>
      <c r="H666" s="698"/>
      <c r="I666" s="698"/>
      <c r="J666" s="697"/>
      <c r="K666" s="697"/>
      <c r="L666" s="697"/>
      <c r="M666" s="697"/>
      <c r="N666" s="698"/>
      <c r="O666" s="698"/>
      <c r="P666" s="698"/>
      <c r="Q666" s="697"/>
      <c r="R666" s="698"/>
      <c r="S666" s="697"/>
      <c r="T666" s="697"/>
      <c r="U666" s="697"/>
      <c r="V666" s="697"/>
      <c r="W666" s="698"/>
      <c r="X666" s="698"/>
      <c r="Y666" s="697"/>
      <c r="Z666" s="697"/>
      <c r="AA666" s="697"/>
      <c r="AB666" s="698"/>
      <c r="AC666" s="698"/>
    </row>
    <row r="667" spans="1:29" x14ac:dyDescent="0.2">
      <c r="A667" s="694" t="str">
        <f>+Info!$B$2</f>
        <v>724</v>
      </c>
      <c r="B667" s="694" t="s">
        <v>6321</v>
      </c>
      <c r="C667" s="694" t="s">
        <v>6322</v>
      </c>
      <c r="D667" s="695" t="s">
        <v>6323</v>
      </c>
      <c r="E667" s="696"/>
      <c r="F667" s="697"/>
      <c r="G667" s="697"/>
      <c r="H667" s="698"/>
      <c r="I667" s="698"/>
      <c r="J667" s="697"/>
      <c r="K667" s="697"/>
      <c r="L667" s="697"/>
      <c r="M667" s="697"/>
      <c r="N667" s="698"/>
      <c r="O667" s="698"/>
      <c r="P667" s="698"/>
      <c r="Q667" s="697"/>
      <c r="R667" s="698"/>
      <c r="S667" s="697"/>
      <c r="T667" s="697"/>
      <c r="U667" s="697"/>
      <c r="V667" s="697"/>
      <c r="W667" s="698"/>
      <c r="X667" s="698"/>
      <c r="Y667" s="697"/>
      <c r="Z667" s="697"/>
      <c r="AA667" s="697"/>
      <c r="AB667" s="697"/>
      <c r="AC667" s="697"/>
    </row>
    <row r="668" spans="1:29" x14ac:dyDescent="0.2">
      <c r="A668" s="694" t="str">
        <f>+Info!$B$2</f>
        <v>724</v>
      </c>
      <c r="B668" s="694" t="s">
        <v>6324</v>
      </c>
      <c r="C668" s="694" t="s">
        <v>6325</v>
      </c>
      <c r="D668" s="695" t="s">
        <v>6326</v>
      </c>
      <c r="E668" s="696"/>
      <c r="F668" s="697"/>
      <c r="G668" s="697"/>
      <c r="H668" s="698"/>
      <c r="I668" s="698"/>
      <c r="J668" s="697"/>
      <c r="K668" s="697"/>
      <c r="L668" s="697"/>
      <c r="M668" s="697"/>
      <c r="N668" s="698"/>
      <c r="O668" s="698"/>
      <c r="P668" s="698"/>
      <c r="Q668" s="697"/>
      <c r="R668" s="698"/>
      <c r="S668" s="697"/>
      <c r="T668" s="697"/>
      <c r="U668" s="697"/>
      <c r="V668" s="697"/>
      <c r="W668" s="698"/>
      <c r="X668" s="698"/>
      <c r="Y668" s="697"/>
      <c r="Z668" s="697"/>
      <c r="AA668" s="697"/>
      <c r="AB668" s="697"/>
      <c r="AC668" s="697"/>
    </row>
    <row r="669" spans="1:29" x14ac:dyDescent="0.2">
      <c r="A669" s="694" t="str">
        <f>+Info!$B$2</f>
        <v>724</v>
      </c>
      <c r="B669" s="694" t="s">
        <v>6327</v>
      </c>
      <c r="C669" s="694" t="s">
        <v>6328</v>
      </c>
      <c r="D669" s="695" t="s">
        <v>6329</v>
      </c>
      <c r="E669" s="696"/>
      <c r="F669" s="697"/>
      <c r="G669" s="697"/>
      <c r="H669" s="698"/>
      <c r="I669" s="698"/>
      <c r="J669" s="697"/>
      <c r="K669" s="697"/>
      <c r="L669" s="697"/>
      <c r="M669" s="697"/>
      <c r="N669" s="698"/>
      <c r="O669" s="698"/>
      <c r="P669" s="698"/>
      <c r="Q669" s="697"/>
      <c r="R669" s="698"/>
      <c r="S669" s="697"/>
      <c r="T669" s="697"/>
      <c r="U669" s="697"/>
      <c r="V669" s="697"/>
      <c r="W669" s="698"/>
      <c r="X669" s="698"/>
      <c r="Y669" s="697"/>
      <c r="Z669" s="697"/>
      <c r="AA669" s="697"/>
      <c r="AB669" s="697"/>
      <c r="AC669" s="697"/>
    </row>
    <row r="670" spans="1:29" x14ac:dyDescent="0.2">
      <c r="A670" s="694" t="str">
        <f>+Info!$B$2</f>
        <v>724</v>
      </c>
      <c r="B670" s="694" t="s">
        <v>6330</v>
      </c>
      <c r="C670" s="694" t="s">
        <v>6331</v>
      </c>
      <c r="D670" s="695" t="s">
        <v>6332</v>
      </c>
      <c r="E670" s="696"/>
      <c r="F670" s="697"/>
      <c r="G670" s="697"/>
      <c r="H670" s="698"/>
      <c r="I670" s="698"/>
      <c r="J670" s="697"/>
      <c r="K670" s="697"/>
      <c r="L670" s="697"/>
      <c r="M670" s="697"/>
      <c r="N670" s="698"/>
      <c r="O670" s="698"/>
      <c r="P670" s="698"/>
      <c r="Q670" s="697"/>
      <c r="R670" s="698"/>
      <c r="S670" s="697"/>
      <c r="T670" s="697"/>
      <c r="U670" s="697"/>
      <c r="V670" s="697"/>
      <c r="W670" s="698"/>
      <c r="X670" s="698"/>
      <c r="Y670" s="697"/>
      <c r="Z670" s="697"/>
      <c r="AA670" s="697"/>
      <c r="AB670" s="697"/>
      <c r="AC670" s="697"/>
    </row>
    <row r="671" spans="1:29" x14ac:dyDescent="0.2">
      <c r="A671" s="694" t="str">
        <f>+Info!$B$2</f>
        <v>724</v>
      </c>
      <c r="B671" s="694" t="s">
        <v>6333</v>
      </c>
      <c r="C671" s="694" t="s">
        <v>6334</v>
      </c>
      <c r="D671" s="695" t="s">
        <v>6335</v>
      </c>
      <c r="E671" s="696"/>
      <c r="F671" s="697"/>
      <c r="G671" s="697"/>
      <c r="H671" s="698"/>
      <c r="I671" s="698"/>
      <c r="J671" s="697"/>
      <c r="K671" s="697"/>
      <c r="L671" s="697"/>
      <c r="M671" s="697"/>
      <c r="N671" s="698"/>
      <c r="O671" s="698"/>
      <c r="P671" s="698"/>
      <c r="Q671" s="697"/>
      <c r="R671" s="698"/>
      <c r="S671" s="697"/>
      <c r="T671" s="697"/>
      <c r="U671" s="697"/>
      <c r="V671" s="697"/>
      <c r="W671" s="698"/>
      <c r="X671" s="698"/>
      <c r="Y671" s="697"/>
      <c r="Z671" s="697"/>
      <c r="AA671" s="697"/>
      <c r="AB671" s="697"/>
      <c r="AC671" s="697"/>
    </row>
    <row r="672" spans="1:29" ht="25.5" x14ac:dyDescent="0.2">
      <c r="A672" s="694" t="str">
        <f>+Info!$B$2</f>
        <v>724</v>
      </c>
      <c r="B672" s="694" t="s">
        <v>6336</v>
      </c>
      <c r="C672" s="694" t="s">
        <v>6337</v>
      </c>
      <c r="D672" s="695" t="s">
        <v>6338</v>
      </c>
      <c r="E672" s="696"/>
      <c r="F672" s="697"/>
      <c r="G672" s="697"/>
      <c r="H672" s="698"/>
      <c r="I672" s="698"/>
      <c r="J672" s="697"/>
      <c r="K672" s="697"/>
      <c r="L672" s="697"/>
      <c r="M672" s="697"/>
      <c r="N672" s="698"/>
      <c r="O672" s="698"/>
      <c r="P672" s="698"/>
      <c r="Q672" s="697"/>
      <c r="R672" s="698"/>
      <c r="S672" s="697"/>
      <c r="T672" s="697"/>
      <c r="U672" s="697"/>
      <c r="V672" s="697"/>
      <c r="W672" s="698"/>
      <c r="X672" s="698"/>
      <c r="Y672" s="697"/>
      <c r="Z672" s="697"/>
      <c r="AA672" s="697"/>
      <c r="AB672" s="697"/>
      <c r="AC672" s="697"/>
    </row>
    <row r="673" spans="1:29" x14ac:dyDescent="0.2">
      <c r="A673" s="694" t="str">
        <f>+Info!$B$2</f>
        <v>724</v>
      </c>
      <c r="B673" s="694" t="s">
        <v>6339</v>
      </c>
      <c r="C673" s="694" t="s">
        <v>6340</v>
      </c>
      <c r="D673" s="695" t="s">
        <v>6341</v>
      </c>
      <c r="E673" s="696"/>
      <c r="F673" s="697"/>
      <c r="G673" s="697"/>
      <c r="H673" s="698"/>
      <c r="I673" s="698"/>
      <c r="J673" s="697"/>
      <c r="K673" s="697"/>
      <c r="L673" s="697"/>
      <c r="M673" s="697"/>
      <c r="N673" s="698"/>
      <c r="O673" s="698"/>
      <c r="P673" s="698"/>
      <c r="Q673" s="697"/>
      <c r="R673" s="698"/>
      <c r="S673" s="697"/>
      <c r="T673" s="697"/>
      <c r="U673" s="697"/>
      <c r="V673" s="697"/>
      <c r="W673" s="698"/>
      <c r="X673" s="698"/>
      <c r="Y673" s="697"/>
      <c r="Z673" s="697"/>
      <c r="AA673" s="697"/>
      <c r="AB673" s="697"/>
      <c r="AC673" s="697"/>
    </row>
    <row r="674" spans="1:29" x14ac:dyDescent="0.2">
      <c r="A674" s="694" t="str">
        <f>+Info!$B$2</f>
        <v>724</v>
      </c>
      <c r="B674" s="694" t="s">
        <v>6342</v>
      </c>
      <c r="C674" s="694" t="s">
        <v>6343</v>
      </c>
      <c r="D674" s="695" t="s">
        <v>6344</v>
      </c>
      <c r="E674" s="696"/>
      <c r="F674" s="697"/>
      <c r="G674" s="697"/>
      <c r="H674" s="698"/>
      <c r="I674" s="698"/>
      <c r="J674" s="697"/>
      <c r="K674" s="697"/>
      <c r="L674" s="697"/>
      <c r="M674" s="697"/>
      <c r="N674" s="698"/>
      <c r="O674" s="698"/>
      <c r="P674" s="698"/>
      <c r="Q674" s="697"/>
      <c r="R674" s="698"/>
      <c r="S674" s="697"/>
      <c r="T674" s="697"/>
      <c r="U674" s="697"/>
      <c r="V674" s="697"/>
      <c r="W674" s="698"/>
      <c r="X674" s="698"/>
      <c r="Y674" s="697"/>
      <c r="Z674" s="697"/>
      <c r="AA674" s="697"/>
      <c r="AB674" s="697"/>
      <c r="AC674" s="697"/>
    </row>
    <row r="675" spans="1:29" x14ac:dyDescent="0.2">
      <c r="A675" s="694" t="str">
        <f>+Info!$B$2</f>
        <v>724</v>
      </c>
      <c r="B675" s="694" t="s">
        <v>6345</v>
      </c>
      <c r="C675" s="694" t="s">
        <v>6346</v>
      </c>
      <c r="D675" s="695" t="s">
        <v>6347</v>
      </c>
      <c r="E675" s="696"/>
      <c r="F675" s="697"/>
      <c r="G675" s="697"/>
      <c r="H675" s="698"/>
      <c r="I675" s="698"/>
      <c r="J675" s="697"/>
      <c r="K675" s="697"/>
      <c r="L675" s="697"/>
      <c r="M675" s="697"/>
      <c r="N675" s="698"/>
      <c r="O675" s="698"/>
      <c r="P675" s="698"/>
      <c r="Q675" s="697"/>
      <c r="R675" s="698"/>
      <c r="S675" s="697"/>
      <c r="T675" s="697"/>
      <c r="U675" s="697"/>
      <c r="V675" s="697"/>
      <c r="W675" s="698"/>
      <c r="X675" s="698"/>
      <c r="Y675" s="697"/>
      <c r="Z675" s="697"/>
      <c r="AA675" s="697"/>
      <c r="AB675" s="697"/>
      <c r="AC675" s="697"/>
    </row>
    <row r="676" spans="1:29" x14ac:dyDescent="0.2">
      <c r="A676" s="694" t="str">
        <f>+Info!$B$2</f>
        <v>724</v>
      </c>
      <c r="B676" s="694" t="s">
        <v>6348</v>
      </c>
      <c r="C676" s="694" t="s">
        <v>6349</v>
      </c>
      <c r="D676" s="695" t="s">
        <v>6350</v>
      </c>
      <c r="E676" s="696"/>
      <c r="F676" s="697"/>
      <c r="G676" s="697"/>
      <c r="H676" s="698"/>
      <c r="I676" s="698"/>
      <c r="J676" s="697"/>
      <c r="K676" s="697"/>
      <c r="L676" s="697"/>
      <c r="M676" s="697"/>
      <c r="N676" s="698"/>
      <c r="O676" s="698"/>
      <c r="P676" s="698"/>
      <c r="Q676" s="697"/>
      <c r="R676" s="698"/>
      <c r="S676" s="697"/>
      <c r="T676" s="697"/>
      <c r="U676" s="697"/>
      <c r="V676" s="697"/>
      <c r="W676" s="698"/>
      <c r="X676" s="698"/>
      <c r="Y676" s="697"/>
      <c r="Z676" s="697"/>
      <c r="AA676" s="697"/>
      <c r="AB676" s="697"/>
      <c r="AC676" s="697"/>
    </row>
    <row r="677" spans="1:29" x14ac:dyDescent="0.2">
      <c r="A677" s="694" t="str">
        <f>+Info!$B$2</f>
        <v>724</v>
      </c>
      <c r="B677" s="694" t="s">
        <v>6351</v>
      </c>
      <c r="C677" s="694" t="s">
        <v>6352</v>
      </c>
      <c r="D677" s="695" t="s">
        <v>6353</v>
      </c>
      <c r="E677" s="696"/>
      <c r="F677" s="697"/>
      <c r="G677" s="697"/>
      <c r="H677" s="698"/>
      <c r="I677" s="698"/>
      <c r="J677" s="697"/>
      <c r="K677" s="697"/>
      <c r="L677" s="697"/>
      <c r="M677" s="697"/>
      <c r="N677" s="698"/>
      <c r="O677" s="698"/>
      <c r="P677" s="698"/>
      <c r="Q677" s="697"/>
      <c r="R677" s="698"/>
      <c r="S677" s="697"/>
      <c r="T677" s="697"/>
      <c r="U677" s="697"/>
      <c r="V677" s="697"/>
      <c r="W677" s="698"/>
      <c r="X677" s="698"/>
      <c r="Y677" s="697"/>
      <c r="Z677" s="697"/>
      <c r="AA677" s="697"/>
      <c r="AB677" s="698"/>
      <c r="AC677" s="698"/>
    </row>
    <row r="678" spans="1:29" x14ac:dyDescent="0.2">
      <c r="A678" s="694" t="str">
        <f>+Info!$B$2</f>
        <v>724</v>
      </c>
      <c r="B678" s="694" t="s">
        <v>6354</v>
      </c>
      <c r="C678" s="694" t="s">
        <v>6355</v>
      </c>
      <c r="D678" s="695" t="s">
        <v>6356</v>
      </c>
      <c r="E678" s="696"/>
      <c r="F678" s="697"/>
      <c r="G678" s="697"/>
      <c r="H678" s="698"/>
      <c r="I678" s="698"/>
      <c r="J678" s="697"/>
      <c r="K678" s="697"/>
      <c r="L678" s="697"/>
      <c r="M678" s="697"/>
      <c r="N678" s="698"/>
      <c r="O678" s="698"/>
      <c r="P678" s="698"/>
      <c r="Q678" s="697"/>
      <c r="R678" s="698"/>
      <c r="S678" s="697"/>
      <c r="T678" s="697"/>
      <c r="U678" s="697"/>
      <c r="V678" s="697"/>
      <c r="W678" s="698"/>
      <c r="X678" s="698"/>
      <c r="Y678" s="697"/>
      <c r="Z678" s="697"/>
      <c r="AA678" s="697"/>
      <c r="AB678" s="698"/>
      <c r="AC678" s="698"/>
    </row>
    <row r="679" spans="1:29" x14ac:dyDescent="0.2">
      <c r="A679" s="694" t="str">
        <f>+Info!$B$2</f>
        <v>724</v>
      </c>
      <c r="B679" s="694" t="s">
        <v>6357</v>
      </c>
      <c r="C679" s="694" t="s">
        <v>6358</v>
      </c>
      <c r="D679" s="695" t="s">
        <v>6359</v>
      </c>
      <c r="E679" s="696"/>
      <c r="F679" s="697"/>
      <c r="G679" s="697"/>
      <c r="H679" s="698"/>
      <c r="I679" s="698"/>
      <c r="J679" s="697"/>
      <c r="K679" s="697"/>
      <c r="L679" s="697"/>
      <c r="M679" s="697"/>
      <c r="N679" s="698"/>
      <c r="O679" s="698"/>
      <c r="P679" s="698"/>
      <c r="Q679" s="697"/>
      <c r="R679" s="698"/>
      <c r="S679" s="697"/>
      <c r="T679" s="697"/>
      <c r="U679" s="697"/>
      <c r="V679" s="697"/>
      <c r="W679" s="698"/>
      <c r="X679" s="698"/>
      <c r="Y679" s="697"/>
      <c r="Z679" s="697"/>
      <c r="AA679" s="697"/>
      <c r="AB679" s="697"/>
      <c r="AC679" s="697"/>
    </row>
    <row r="680" spans="1:29" x14ac:dyDescent="0.2">
      <c r="A680" s="694" t="str">
        <f>+Info!$B$2</f>
        <v>724</v>
      </c>
      <c r="B680" s="694" t="s">
        <v>6360</v>
      </c>
      <c r="C680" s="694" t="s">
        <v>6361</v>
      </c>
      <c r="D680" s="695" t="s">
        <v>6362</v>
      </c>
      <c r="E680" s="696"/>
      <c r="F680" s="697"/>
      <c r="G680" s="697"/>
      <c r="H680" s="698"/>
      <c r="I680" s="698"/>
      <c r="J680" s="697"/>
      <c r="K680" s="697"/>
      <c r="L680" s="697"/>
      <c r="M680" s="697"/>
      <c r="N680" s="698"/>
      <c r="O680" s="698"/>
      <c r="P680" s="698"/>
      <c r="Q680" s="697"/>
      <c r="R680" s="698"/>
      <c r="S680" s="697"/>
      <c r="T680" s="697"/>
      <c r="U680" s="697"/>
      <c r="V680" s="697"/>
      <c r="W680" s="698"/>
      <c r="X680" s="698"/>
      <c r="Y680" s="697"/>
      <c r="Z680" s="697"/>
      <c r="AA680" s="697"/>
      <c r="AB680" s="697"/>
      <c r="AC680" s="697"/>
    </row>
    <row r="681" spans="1:29" x14ac:dyDescent="0.2">
      <c r="A681" s="694" t="str">
        <f>+Info!$B$2</f>
        <v>724</v>
      </c>
      <c r="B681" s="694" t="s">
        <v>6363</v>
      </c>
      <c r="C681" s="694" t="s">
        <v>6364</v>
      </c>
      <c r="D681" s="695" t="s">
        <v>6365</v>
      </c>
      <c r="E681" s="696"/>
      <c r="F681" s="697"/>
      <c r="G681" s="697"/>
      <c r="H681" s="698"/>
      <c r="I681" s="698"/>
      <c r="J681" s="697"/>
      <c r="K681" s="697"/>
      <c r="L681" s="697"/>
      <c r="M681" s="697"/>
      <c r="N681" s="698"/>
      <c r="O681" s="698"/>
      <c r="P681" s="698"/>
      <c r="Q681" s="697"/>
      <c r="R681" s="698"/>
      <c r="S681" s="697"/>
      <c r="T681" s="697"/>
      <c r="U681" s="697"/>
      <c r="V681" s="697"/>
      <c r="W681" s="698"/>
      <c r="X681" s="698"/>
      <c r="Y681" s="697"/>
      <c r="Z681" s="697"/>
      <c r="AA681" s="697"/>
      <c r="AB681" s="697"/>
      <c r="AC681" s="697"/>
    </row>
    <row r="682" spans="1:29" x14ac:dyDescent="0.2">
      <c r="A682" s="694" t="str">
        <f>+Info!$B$2</f>
        <v>724</v>
      </c>
      <c r="B682" s="694" t="s">
        <v>6366</v>
      </c>
      <c r="C682" s="694" t="s">
        <v>6367</v>
      </c>
      <c r="D682" s="695" t="s">
        <v>6368</v>
      </c>
      <c r="E682" s="696"/>
      <c r="F682" s="697"/>
      <c r="G682" s="697"/>
      <c r="H682" s="698"/>
      <c r="I682" s="698"/>
      <c r="J682" s="697"/>
      <c r="K682" s="697"/>
      <c r="L682" s="697"/>
      <c r="M682" s="697"/>
      <c r="N682" s="698"/>
      <c r="O682" s="698"/>
      <c r="P682" s="698"/>
      <c r="Q682" s="697"/>
      <c r="R682" s="698"/>
      <c r="S682" s="697"/>
      <c r="T682" s="697"/>
      <c r="U682" s="697"/>
      <c r="V682" s="697"/>
      <c r="W682" s="698"/>
      <c r="X682" s="698"/>
      <c r="Y682" s="697"/>
      <c r="Z682" s="697"/>
      <c r="AA682" s="697"/>
      <c r="AB682" s="697"/>
      <c r="AC682" s="697"/>
    </row>
    <row r="683" spans="1:29" x14ac:dyDescent="0.2">
      <c r="A683" s="694" t="str">
        <f>+Info!$B$2</f>
        <v>724</v>
      </c>
      <c r="B683" s="694" t="s">
        <v>6369</v>
      </c>
      <c r="C683" s="694" t="s">
        <v>6370</v>
      </c>
      <c r="D683" s="695" t="s">
        <v>6371</v>
      </c>
      <c r="E683" s="696"/>
      <c r="F683" s="697"/>
      <c r="G683" s="697"/>
      <c r="H683" s="698"/>
      <c r="I683" s="698"/>
      <c r="J683" s="697"/>
      <c r="K683" s="697"/>
      <c r="L683" s="697"/>
      <c r="M683" s="697"/>
      <c r="N683" s="698"/>
      <c r="O683" s="698"/>
      <c r="P683" s="698"/>
      <c r="Q683" s="697"/>
      <c r="R683" s="698"/>
      <c r="S683" s="697"/>
      <c r="T683" s="697"/>
      <c r="U683" s="697"/>
      <c r="V683" s="697"/>
      <c r="W683" s="698"/>
      <c r="X683" s="698"/>
      <c r="Y683" s="697"/>
      <c r="Z683" s="697"/>
      <c r="AA683" s="697"/>
      <c r="AB683" s="697"/>
      <c r="AC683" s="697"/>
    </row>
    <row r="684" spans="1:29" ht="25.5" x14ac:dyDescent="0.2">
      <c r="A684" s="694" t="str">
        <f>+Info!$B$2</f>
        <v>724</v>
      </c>
      <c r="B684" s="694" t="s">
        <v>6372</v>
      </c>
      <c r="C684" s="694" t="s">
        <v>6373</v>
      </c>
      <c r="D684" s="695" t="s">
        <v>6374</v>
      </c>
      <c r="E684" s="696"/>
      <c r="F684" s="697"/>
      <c r="G684" s="697"/>
      <c r="H684" s="698"/>
      <c r="I684" s="698"/>
      <c r="J684" s="697"/>
      <c r="K684" s="697"/>
      <c r="L684" s="697"/>
      <c r="M684" s="697"/>
      <c r="N684" s="698"/>
      <c r="O684" s="698"/>
      <c r="P684" s="698"/>
      <c r="Q684" s="697"/>
      <c r="R684" s="698"/>
      <c r="S684" s="697"/>
      <c r="T684" s="697"/>
      <c r="U684" s="697"/>
      <c r="V684" s="697"/>
      <c r="W684" s="698"/>
      <c r="X684" s="698"/>
      <c r="Y684" s="697"/>
      <c r="Z684" s="697"/>
      <c r="AA684" s="697"/>
      <c r="AB684" s="697"/>
      <c r="AC684" s="697"/>
    </row>
    <row r="685" spans="1:29" x14ac:dyDescent="0.2">
      <c r="A685" s="694" t="str">
        <f>+Info!$B$2</f>
        <v>724</v>
      </c>
      <c r="B685" s="694" t="s">
        <v>6375</v>
      </c>
      <c r="C685" s="694" t="s">
        <v>6376</v>
      </c>
      <c r="D685" s="695" t="s">
        <v>6377</v>
      </c>
      <c r="E685" s="696"/>
      <c r="F685" s="697"/>
      <c r="G685" s="697"/>
      <c r="H685" s="698"/>
      <c r="I685" s="698"/>
      <c r="J685" s="697"/>
      <c r="K685" s="697"/>
      <c r="L685" s="697"/>
      <c r="M685" s="697"/>
      <c r="N685" s="698"/>
      <c r="O685" s="698"/>
      <c r="P685" s="698"/>
      <c r="Q685" s="697"/>
      <c r="R685" s="698"/>
      <c r="S685" s="697"/>
      <c r="T685" s="697"/>
      <c r="U685" s="697"/>
      <c r="V685" s="697"/>
      <c r="W685" s="698"/>
      <c r="X685" s="698"/>
      <c r="Y685" s="697"/>
      <c r="Z685" s="697"/>
      <c r="AA685" s="697"/>
      <c r="AB685" s="697"/>
      <c r="AC685" s="697"/>
    </row>
    <row r="686" spans="1:29" x14ac:dyDescent="0.2">
      <c r="A686" s="694" t="str">
        <f>+Info!$B$2</f>
        <v>724</v>
      </c>
      <c r="B686" s="694" t="s">
        <v>6378</v>
      </c>
      <c r="C686" s="694" t="s">
        <v>6379</v>
      </c>
      <c r="D686" s="695" t="s">
        <v>6380</v>
      </c>
      <c r="E686" s="696"/>
      <c r="F686" s="697"/>
      <c r="G686" s="697"/>
      <c r="H686" s="698"/>
      <c r="I686" s="698"/>
      <c r="J686" s="697"/>
      <c r="K686" s="697"/>
      <c r="L686" s="697"/>
      <c r="M686" s="697"/>
      <c r="N686" s="698"/>
      <c r="O686" s="698"/>
      <c r="P686" s="698"/>
      <c r="Q686" s="697"/>
      <c r="R686" s="698"/>
      <c r="S686" s="697"/>
      <c r="T686" s="697"/>
      <c r="U686" s="697"/>
      <c r="V686" s="697"/>
      <c r="W686" s="698"/>
      <c r="X686" s="698"/>
      <c r="Y686" s="697"/>
      <c r="Z686" s="697"/>
      <c r="AA686" s="697"/>
      <c r="AB686" s="697"/>
      <c r="AC686" s="697"/>
    </row>
    <row r="687" spans="1:29" x14ac:dyDescent="0.2">
      <c r="A687" s="694" t="str">
        <f>+Info!$B$2</f>
        <v>724</v>
      </c>
      <c r="B687" s="694" t="s">
        <v>6381</v>
      </c>
      <c r="C687" s="694" t="s">
        <v>6382</v>
      </c>
      <c r="D687" s="695" t="s">
        <v>6383</v>
      </c>
      <c r="E687" s="696"/>
      <c r="F687" s="697"/>
      <c r="G687" s="697"/>
      <c r="H687" s="698"/>
      <c r="I687" s="698"/>
      <c r="J687" s="697"/>
      <c r="K687" s="697"/>
      <c r="L687" s="697"/>
      <c r="M687" s="697"/>
      <c r="N687" s="698"/>
      <c r="O687" s="698"/>
      <c r="P687" s="698"/>
      <c r="Q687" s="697"/>
      <c r="R687" s="698"/>
      <c r="S687" s="697"/>
      <c r="T687" s="697"/>
      <c r="U687" s="697"/>
      <c r="V687" s="697"/>
      <c r="W687" s="698"/>
      <c r="X687" s="698"/>
      <c r="Y687" s="697"/>
      <c r="Z687" s="697"/>
      <c r="AA687" s="697"/>
      <c r="AB687" s="697"/>
      <c r="AC687" s="697"/>
    </row>
    <row r="688" spans="1:29" x14ac:dyDescent="0.2">
      <c r="A688" s="694" t="str">
        <f>+Info!$B$2</f>
        <v>724</v>
      </c>
      <c r="B688" s="694" t="s">
        <v>6384</v>
      </c>
      <c r="C688" s="694" t="s">
        <v>6385</v>
      </c>
      <c r="D688" s="695" t="s">
        <v>6386</v>
      </c>
      <c r="E688" s="696"/>
      <c r="F688" s="697"/>
      <c r="G688" s="697"/>
      <c r="H688" s="698"/>
      <c r="I688" s="698"/>
      <c r="J688" s="697"/>
      <c r="K688" s="697"/>
      <c r="L688" s="697"/>
      <c r="M688" s="697"/>
      <c r="N688" s="698"/>
      <c r="O688" s="698"/>
      <c r="P688" s="698"/>
      <c r="Q688" s="697"/>
      <c r="R688" s="698"/>
      <c r="S688" s="697"/>
      <c r="T688" s="697"/>
      <c r="U688" s="697"/>
      <c r="V688" s="697"/>
      <c r="W688" s="698"/>
      <c r="X688" s="698"/>
      <c r="Y688" s="697"/>
      <c r="Z688" s="697"/>
      <c r="AA688" s="697"/>
      <c r="AB688" s="697"/>
      <c r="AC688" s="697"/>
    </row>
    <row r="689" spans="1:29" x14ac:dyDescent="0.2">
      <c r="A689" s="694" t="str">
        <f>+Info!$B$2</f>
        <v>724</v>
      </c>
      <c r="B689" s="694" t="s">
        <v>6387</v>
      </c>
      <c r="C689" s="694" t="s">
        <v>6388</v>
      </c>
      <c r="D689" s="695" t="s">
        <v>6389</v>
      </c>
      <c r="E689" s="696"/>
      <c r="F689" s="697"/>
      <c r="G689" s="697"/>
      <c r="H689" s="698"/>
      <c r="I689" s="698"/>
      <c r="J689" s="697"/>
      <c r="K689" s="697"/>
      <c r="L689" s="697"/>
      <c r="M689" s="697"/>
      <c r="N689" s="698"/>
      <c r="O689" s="698"/>
      <c r="P689" s="698"/>
      <c r="Q689" s="697"/>
      <c r="R689" s="698"/>
      <c r="S689" s="697"/>
      <c r="T689" s="697"/>
      <c r="U689" s="697"/>
      <c r="V689" s="697"/>
      <c r="W689" s="698"/>
      <c r="X689" s="698"/>
      <c r="Y689" s="697"/>
      <c r="Z689" s="697"/>
      <c r="AA689" s="697"/>
      <c r="AB689" s="698"/>
      <c r="AC689" s="698"/>
    </row>
    <row r="690" spans="1:29" x14ac:dyDescent="0.2">
      <c r="A690" s="694" t="str">
        <f>+Info!$B$2</f>
        <v>724</v>
      </c>
      <c r="B690" s="694" t="s">
        <v>6390</v>
      </c>
      <c r="C690" s="694" t="s">
        <v>6391</v>
      </c>
      <c r="D690" s="695" t="s">
        <v>6392</v>
      </c>
      <c r="E690" s="696"/>
      <c r="F690" s="697"/>
      <c r="G690" s="697"/>
      <c r="H690" s="698"/>
      <c r="I690" s="698"/>
      <c r="J690" s="697"/>
      <c r="K690" s="697"/>
      <c r="L690" s="697"/>
      <c r="M690" s="697"/>
      <c r="N690" s="698"/>
      <c r="O690" s="698"/>
      <c r="P690" s="698"/>
      <c r="Q690" s="697"/>
      <c r="R690" s="698"/>
      <c r="S690" s="697"/>
      <c r="T690" s="697"/>
      <c r="U690" s="697"/>
      <c r="V690" s="697"/>
      <c r="W690" s="698"/>
      <c r="X690" s="698"/>
      <c r="Y690" s="697"/>
      <c r="Z690" s="697"/>
      <c r="AA690" s="697"/>
      <c r="AB690" s="698"/>
      <c r="AC690" s="698"/>
    </row>
    <row r="691" spans="1:29" x14ac:dyDescent="0.2">
      <c r="A691" s="694" t="str">
        <f>+Info!$B$2</f>
        <v>724</v>
      </c>
      <c r="B691" s="694" t="s">
        <v>6393</v>
      </c>
      <c r="C691" s="694" t="s">
        <v>6394</v>
      </c>
      <c r="D691" s="695" t="s">
        <v>6395</v>
      </c>
      <c r="E691" s="696"/>
      <c r="F691" s="697"/>
      <c r="G691" s="697"/>
      <c r="H691" s="698"/>
      <c r="I691" s="698"/>
      <c r="J691" s="697"/>
      <c r="K691" s="697"/>
      <c r="L691" s="697"/>
      <c r="M691" s="697"/>
      <c r="N691" s="698"/>
      <c r="O691" s="698"/>
      <c r="P691" s="698"/>
      <c r="Q691" s="697"/>
      <c r="R691" s="698"/>
      <c r="S691" s="697"/>
      <c r="T691" s="697"/>
      <c r="U691" s="697"/>
      <c r="V691" s="697"/>
      <c r="W691" s="698"/>
      <c r="X691" s="698"/>
      <c r="Y691" s="697"/>
      <c r="Z691" s="697"/>
      <c r="AA691" s="697"/>
      <c r="AB691" s="697"/>
      <c r="AC691" s="697"/>
    </row>
    <row r="692" spans="1:29" x14ac:dyDescent="0.2">
      <c r="A692" s="694" t="str">
        <f>+Info!$B$2</f>
        <v>724</v>
      </c>
      <c r="B692" s="694" t="s">
        <v>6396</v>
      </c>
      <c r="C692" s="694" t="s">
        <v>6397</v>
      </c>
      <c r="D692" s="695" t="s">
        <v>6398</v>
      </c>
      <c r="E692" s="696"/>
      <c r="F692" s="697"/>
      <c r="G692" s="697"/>
      <c r="H692" s="698"/>
      <c r="I692" s="698"/>
      <c r="J692" s="697"/>
      <c r="K692" s="697"/>
      <c r="L692" s="697"/>
      <c r="M692" s="697"/>
      <c r="N692" s="698"/>
      <c r="O692" s="698"/>
      <c r="P692" s="698"/>
      <c r="Q692" s="697"/>
      <c r="R692" s="697"/>
      <c r="S692" s="698"/>
      <c r="T692" s="697"/>
      <c r="U692" s="697"/>
      <c r="V692" s="697"/>
      <c r="W692" s="698"/>
      <c r="X692" s="698"/>
      <c r="Y692" s="697"/>
      <c r="Z692" s="697"/>
      <c r="AA692" s="697"/>
      <c r="AB692" s="697"/>
      <c r="AC692" s="697"/>
    </row>
    <row r="693" spans="1:29" x14ac:dyDescent="0.2">
      <c r="A693" s="694" t="str">
        <f>+Info!$B$2</f>
        <v>724</v>
      </c>
      <c r="B693" s="694" t="s">
        <v>6399</v>
      </c>
      <c r="C693" s="694" t="s">
        <v>6400</v>
      </c>
      <c r="D693" s="695" t="s">
        <v>6401</v>
      </c>
      <c r="E693" s="696"/>
      <c r="F693" s="697"/>
      <c r="G693" s="697"/>
      <c r="H693" s="698"/>
      <c r="I693" s="698"/>
      <c r="J693" s="697"/>
      <c r="K693" s="697"/>
      <c r="L693" s="697"/>
      <c r="M693" s="697"/>
      <c r="N693" s="698"/>
      <c r="O693" s="698"/>
      <c r="P693" s="698"/>
      <c r="Q693" s="697"/>
      <c r="R693" s="697"/>
      <c r="S693" s="698"/>
      <c r="T693" s="697"/>
      <c r="U693" s="697"/>
      <c r="V693" s="697"/>
      <c r="W693" s="698"/>
      <c r="X693" s="698"/>
      <c r="Y693" s="697"/>
      <c r="Z693" s="697"/>
      <c r="AA693" s="697"/>
      <c r="AB693" s="697"/>
      <c r="AC693" s="697"/>
    </row>
    <row r="694" spans="1:29" x14ac:dyDescent="0.2">
      <c r="A694" s="694" t="str">
        <f>+Info!$B$2</f>
        <v>724</v>
      </c>
      <c r="B694" s="694" t="s">
        <v>6402</v>
      </c>
      <c r="C694" s="694" t="s">
        <v>6403</v>
      </c>
      <c r="D694" s="695" t="s">
        <v>6404</v>
      </c>
      <c r="E694" s="696"/>
      <c r="F694" s="697"/>
      <c r="G694" s="697"/>
      <c r="H694" s="698"/>
      <c r="I694" s="698"/>
      <c r="J694" s="697"/>
      <c r="K694" s="697"/>
      <c r="L694" s="697"/>
      <c r="M694" s="697"/>
      <c r="N694" s="698"/>
      <c r="O694" s="698"/>
      <c r="P694" s="698"/>
      <c r="Q694" s="697"/>
      <c r="R694" s="697"/>
      <c r="S694" s="698"/>
      <c r="T694" s="697"/>
      <c r="U694" s="697"/>
      <c r="V694" s="697"/>
      <c r="W694" s="698"/>
      <c r="X694" s="698"/>
      <c r="Y694" s="697"/>
      <c r="Z694" s="697"/>
      <c r="AA694" s="697"/>
      <c r="AB694" s="697"/>
      <c r="AC694" s="697"/>
    </row>
    <row r="695" spans="1:29" x14ac:dyDescent="0.2">
      <c r="A695" s="694" t="str">
        <f>+Info!$B$2</f>
        <v>724</v>
      </c>
      <c r="B695" s="694" t="s">
        <v>6405</v>
      </c>
      <c r="C695" s="694" t="s">
        <v>6406</v>
      </c>
      <c r="D695" s="695" t="s">
        <v>6407</v>
      </c>
      <c r="E695" s="696"/>
      <c r="F695" s="697"/>
      <c r="G695" s="697"/>
      <c r="H695" s="698"/>
      <c r="I695" s="698"/>
      <c r="J695" s="697"/>
      <c r="K695" s="697"/>
      <c r="L695" s="697"/>
      <c r="M695" s="697"/>
      <c r="N695" s="698"/>
      <c r="O695" s="698"/>
      <c r="P695" s="698"/>
      <c r="Q695" s="697"/>
      <c r="R695" s="697"/>
      <c r="S695" s="698"/>
      <c r="T695" s="697"/>
      <c r="U695" s="697"/>
      <c r="V695" s="697"/>
      <c r="W695" s="698"/>
      <c r="X695" s="698"/>
      <c r="Y695" s="697"/>
      <c r="Z695" s="697"/>
      <c r="AA695" s="697"/>
      <c r="AB695" s="697"/>
      <c r="AC695" s="697"/>
    </row>
    <row r="696" spans="1:29" ht="25.5" x14ac:dyDescent="0.2">
      <c r="A696" s="694" t="str">
        <f>+Info!$B$2</f>
        <v>724</v>
      </c>
      <c r="B696" s="694" t="s">
        <v>6408</v>
      </c>
      <c r="C696" s="694" t="s">
        <v>6409</v>
      </c>
      <c r="D696" s="695" t="s">
        <v>6410</v>
      </c>
      <c r="E696" s="696"/>
      <c r="F696" s="697"/>
      <c r="G696" s="697"/>
      <c r="H696" s="698"/>
      <c r="I696" s="698"/>
      <c r="J696" s="697"/>
      <c r="K696" s="697"/>
      <c r="L696" s="697"/>
      <c r="M696" s="697"/>
      <c r="N696" s="698"/>
      <c r="O696" s="698"/>
      <c r="P696" s="698"/>
      <c r="Q696" s="697"/>
      <c r="R696" s="697"/>
      <c r="S696" s="698"/>
      <c r="T696" s="697"/>
      <c r="U696" s="697"/>
      <c r="V696" s="697"/>
      <c r="W696" s="698"/>
      <c r="X696" s="698"/>
      <c r="Y696" s="697"/>
      <c r="Z696" s="697"/>
      <c r="AA696" s="697"/>
      <c r="AB696" s="697"/>
      <c r="AC696" s="697"/>
    </row>
    <row r="697" spans="1:29" x14ac:dyDescent="0.2">
      <c r="A697" s="694" t="str">
        <f>+Info!$B$2</f>
        <v>724</v>
      </c>
      <c r="B697" s="694" t="s">
        <v>6411</v>
      </c>
      <c r="C697" s="694" t="s">
        <v>6412</v>
      </c>
      <c r="D697" s="695" t="s">
        <v>6413</v>
      </c>
      <c r="E697" s="696"/>
      <c r="F697" s="697"/>
      <c r="G697" s="697"/>
      <c r="H697" s="698"/>
      <c r="I697" s="698"/>
      <c r="J697" s="697"/>
      <c r="K697" s="697"/>
      <c r="L697" s="697"/>
      <c r="M697" s="697"/>
      <c r="N697" s="698"/>
      <c r="O697" s="698"/>
      <c r="P697" s="698"/>
      <c r="Q697" s="697"/>
      <c r="R697" s="697"/>
      <c r="S697" s="698"/>
      <c r="T697" s="697"/>
      <c r="U697" s="697"/>
      <c r="V697" s="697"/>
      <c r="W697" s="698"/>
      <c r="X697" s="698"/>
      <c r="Y697" s="697"/>
      <c r="Z697" s="697"/>
      <c r="AA697" s="697"/>
      <c r="AB697" s="697"/>
      <c r="AC697" s="697"/>
    </row>
    <row r="698" spans="1:29" x14ac:dyDescent="0.2">
      <c r="A698" s="694" t="str">
        <f>+Info!$B$2</f>
        <v>724</v>
      </c>
      <c r="B698" s="694" t="s">
        <v>6414</v>
      </c>
      <c r="C698" s="694" t="s">
        <v>6415</v>
      </c>
      <c r="D698" s="695" t="s">
        <v>6416</v>
      </c>
      <c r="E698" s="696"/>
      <c r="F698" s="697"/>
      <c r="G698" s="697"/>
      <c r="H698" s="698"/>
      <c r="I698" s="698"/>
      <c r="J698" s="697"/>
      <c r="K698" s="697"/>
      <c r="L698" s="697"/>
      <c r="M698" s="697"/>
      <c r="N698" s="698"/>
      <c r="O698" s="698"/>
      <c r="P698" s="698"/>
      <c r="Q698" s="697"/>
      <c r="R698" s="697"/>
      <c r="S698" s="698"/>
      <c r="T698" s="697"/>
      <c r="U698" s="697"/>
      <c r="V698" s="697"/>
      <c r="W698" s="698"/>
      <c r="X698" s="698"/>
      <c r="Y698" s="697"/>
      <c r="Z698" s="697"/>
      <c r="AA698" s="697"/>
      <c r="AB698" s="697"/>
      <c r="AC698" s="697"/>
    </row>
    <row r="699" spans="1:29" x14ac:dyDescent="0.2">
      <c r="A699" s="694" t="str">
        <f>+Info!$B$2</f>
        <v>724</v>
      </c>
      <c r="B699" s="694" t="s">
        <v>6417</v>
      </c>
      <c r="C699" s="694" t="s">
        <v>6418</v>
      </c>
      <c r="D699" s="695" t="s">
        <v>6419</v>
      </c>
      <c r="E699" s="696"/>
      <c r="F699" s="697"/>
      <c r="G699" s="697"/>
      <c r="H699" s="698"/>
      <c r="I699" s="698"/>
      <c r="J699" s="697"/>
      <c r="K699" s="697"/>
      <c r="L699" s="697"/>
      <c r="M699" s="697"/>
      <c r="N699" s="698"/>
      <c r="O699" s="698"/>
      <c r="P699" s="698"/>
      <c r="Q699" s="697"/>
      <c r="R699" s="697"/>
      <c r="S699" s="698"/>
      <c r="T699" s="697"/>
      <c r="U699" s="697"/>
      <c r="V699" s="697"/>
      <c r="W699" s="698"/>
      <c r="X699" s="698"/>
      <c r="Y699" s="697"/>
      <c r="Z699" s="697"/>
      <c r="AA699" s="697"/>
      <c r="AB699" s="697"/>
      <c r="AC699" s="697"/>
    </row>
    <row r="700" spans="1:29" x14ac:dyDescent="0.2">
      <c r="A700" s="694" t="str">
        <f>+Info!$B$2</f>
        <v>724</v>
      </c>
      <c r="B700" s="694" t="s">
        <v>6420</v>
      </c>
      <c r="C700" s="694" t="s">
        <v>6421</v>
      </c>
      <c r="D700" s="695" t="s">
        <v>6422</v>
      </c>
      <c r="E700" s="696"/>
      <c r="F700" s="697"/>
      <c r="G700" s="697"/>
      <c r="H700" s="698"/>
      <c r="I700" s="698"/>
      <c r="J700" s="697"/>
      <c r="K700" s="697"/>
      <c r="L700" s="697"/>
      <c r="M700" s="697"/>
      <c r="N700" s="698"/>
      <c r="O700" s="698"/>
      <c r="P700" s="698"/>
      <c r="Q700" s="697"/>
      <c r="R700" s="697"/>
      <c r="S700" s="698"/>
      <c r="T700" s="697"/>
      <c r="U700" s="697"/>
      <c r="V700" s="697"/>
      <c r="W700" s="698"/>
      <c r="X700" s="698"/>
      <c r="Y700" s="697"/>
      <c r="Z700" s="697"/>
      <c r="AA700" s="697"/>
      <c r="AB700" s="698"/>
      <c r="AC700" s="698"/>
    </row>
    <row r="701" spans="1:29" x14ac:dyDescent="0.2">
      <c r="A701" s="694" t="str">
        <f>+Info!$B$2</f>
        <v>724</v>
      </c>
      <c r="B701" s="694" t="s">
        <v>6423</v>
      </c>
      <c r="C701" s="694" t="s">
        <v>6424</v>
      </c>
      <c r="D701" s="695" t="s">
        <v>6425</v>
      </c>
      <c r="E701" s="696"/>
      <c r="F701" s="697"/>
      <c r="G701" s="697"/>
      <c r="H701" s="698"/>
      <c r="I701" s="698"/>
      <c r="J701" s="697"/>
      <c r="K701" s="697"/>
      <c r="L701" s="697"/>
      <c r="M701" s="697"/>
      <c r="N701" s="698"/>
      <c r="O701" s="698"/>
      <c r="P701" s="698"/>
      <c r="Q701" s="697"/>
      <c r="R701" s="697"/>
      <c r="S701" s="698"/>
      <c r="T701" s="697"/>
      <c r="U701" s="697"/>
      <c r="V701" s="697"/>
      <c r="W701" s="698"/>
      <c r="X701" s="698"/>
      <c r="Y701" s="697"/>
      <c r="Z701" s="697"/>
      <c r="AA701" s="697"/>
      <c r="AB701" s="698"/>
      <c r="AC701" s="698"/>
    </row>
    <row r="702" spans="1:29" x14ac:dyDescent="0.2">
      <c r="A702" s="694" t="str">
        <f>+Info!$B$2</f>
        <v>724</v>
      </c>
      <c r="B702" s="694" t="s">
        <v>6426</v>
      </c>
      <c r="C702" s="694" t="s">
        <v>6427</v>
      </c>
      <c r="D702" s="695" t="s">
        <v>6428</v>
      </c>
      <c r="E702" s="696"/>
      <c r="F702" s="697"/>
      <c r="G702" s="697"/>
      <c r="H702" s="698"/>
      <c r="I702" s="698"/>
      <c r="J702" s="697"/>
      <c r="K702" s="697"/>
      <c r="L702" s="697"/>
      <c r="M702" s="697"/>
      <c r="N702" s="698"/>
      <c r="O702" s="698"/>
      <c r="P702" s="698"/>
      <c r="Q702" s="697"/>
      <c r="R702" s="697"/>
      <c r="S702" s="698"/>
      <c r="T702" s="697"/>
      <c r="U702" s="697"/>
      <c r="V702" s="697"/>
      <c r="W702" s="698"/>
      <c r="X702" s="698"/>
      <c r="Y702" s="697"/>
      <c r="Z702" s="697"/>
      <c r="AA702" s="697"/>
      <c r="AB702" s="697"/>
      <c r="AC702" s="697"/>
    </row>
    <row r="703" spans="1:29" x14ac:dyDescent="0.2">
      <c r="A703" s="694" t="str">
        <f>+Info!$B$2</f>
        <v>724</v>
      </c>
      <c r="B703" s="694" t="s">
        <v>6429</v>
      </c>
      <c r="C703" s="694" t="s">
        <v>6430</v>
      </c>
      <c r="D703" s="695" t="s">
        <v>6431</v>
      </c>
      <c r="E703" s="696"/>
      <c r="F703" s="697"/>
      <c r="G703" s="697"/>
      <c r="H703" s="698"/>
      <c r="I703" s="698"/>
      <c r="J703" s="697"/>
      <c r="K703" s="697"/>
      <c r="L703" s="697"/>
      <c r="M703" s="697"/>
      <c r="N703" s="698"/>
      <c r="O703" s="698"/>
      <c r="P703" s="698"/>
      <c r="Q703" s="697"/>
      <c r="R703" s="697"/>
      <c r="S703" s="698"/>
      <c r="T703" s="697"/>
      <c r="U703" s="697"/>
      <c r="V703" s="697"/>
      <c r="W703" s="698"/>
      <c r="X703" s="698"/>
      <c r="Y703" s="697"/>
      <c r="Z703" s="697"/>
      <c r="AA703" s="697"/>
      <c r="AB703" s="697"/>
      <c r="AC703" s="697"/>
    </row>
    <row r="704" spans="1:29" x14ac:dyDescent="0.2">
      <c r="A704" s="694" t="str">
        <f>+Info!$B$2</f>
        <v>724</v>
      </c>
      <c r="B704" s="694" t="s">
        <v>6432</v>
      </c>
      <c r="C704" s="694" t="s">
        <v>6433</v>
      </c>
      <c r="D704" s="695" t="s">
        <v>6434</v>
      </c>
      <c r="E704" s="696"/>
      <c r="F704" s="697"/>
      <c r="G704" s="697"/>
      <c r="H704" s="698"/>
      <c r="I704" s="698"/>
      <c r="J704" s="697"/>
      <c r="K704" s="697"/>
      <c r="L704" s="697"/>
      <c r="M704" s="697"/>
      <c r="N704" s="698"/>
      <c r="O704" s="698"/>
      <c r="P704" s="698"/>
      <c r="Q704" s="697"/>
      <c r="R704" s="697"/>
      <c r="S704" s="698"/>
      <c r="T704" s="697"/>
      <c r="U704" s="697"/>
      <c r="V704" s="697"/>
      <c r="W704" s="698"/>
      <c r="X704" s="698"/>
      <c r="Y704" s="697"/>
      <c r="Z704" s="697"/>
      <c r="AA704" s="697"/>
      <c r="AB704" s="697"/>
      <c r="AC704" s="697"/>
    </row>
    <row r="705" spans="1:29" x14ac:dyDescent="0.2">
      <c r="A705" s="694" t="str">
        <f>+Info!$B$2</f>
        <v>724</v>
      </c>
      <c r="B705" s="694" t="s">
        <v>6435</v>
      </c>
      <c r="C705" s="694" t="s">
        <v>6436</v>
      </c>
      <c r="D705" s="695" t="s">
        <v>6437</v>
      </c>
      <c r="E705" s="696"/>
      <c r="F705" s="697"/>
      <c r="G705" s="697"/>
      <c r="H705" s="698"/>
      <c r="I705" s="698"/>
      <c r="J705" s="697"/>
      <c r="K705" s="697"/>
      <c r="L705" s="697"/>
      <c r="M705" s="697"/>
      <c r="N705" s="698"/>
      <c r="O705" s="698"/>
      <c r="P705" s="698"/>
      <c r="Q705" s="697"/>
      <c r="R705" s="697"/>
      <c r="S705" s="698"/>
      <c r="T705" s="697"/>
      <c r="U705" s="697"/>
      <c r="V705" s="697"/>
      <c r="W705" s="698"/>
      <c r="X705" s="698"/>
      <c r="Y705" s="697"/>
      <c r="Z705" s="697"/>
      <c r="AA705" s="697"/>
      <c r="AB705" s="697"/>
      <c r="AC705" s="697"/>
    </row>
    <row r="706" spans="1:29" x14ac:dyDescent="0.2">
      <c r="A706" s="694" t="str">
        <f>+Info!$B$2</f>
        <v>724</v>
      </c>
      <c r="B706" s="694" t="s">
        <v>6438</v>
      </c>
      <c r="C706" s="694" t="s">
        <v>6439</v>
      </c>
      <c r="D706" s="695" t="s">
        <v>6440</v>
      </c>
      <c r="E706" s="696"/>
      <c r="F706" s="697"/>
      <c r="G706" s="697"/>
      <c r="H706" s="698"/>
      <c r="I706" s="698"/>
      <c r="J706" s="697"/>
      <c r="K706" s="697"/>
      <c r="L706" s="697"/>
      <c r="M706" s="697"/>
      <c r="N706" s="698"/>
      <c r="O706" s="698"/>
      <c r="P706" s="698"/>
      <c r="Q706" s="697"/>
      <c r="R706" s="697"/>
      <c r="S706" s="698"/>
      <c r="T706" s="697"/>
      <c r="U706" s="697"/>
      <c r="V706" s="697"/>
      <c r="W706" s="698"/>
      <c r="X706" s="698"/>
      <c r="Y706" s="697"/>
      <c r="Z706" s="697"/>
      <c r="AA706" s="697"/>
      <c r="AB706" s="697"/>
      <c r="AC706" s="697"/>
    </row>
    <row r="707" spans="1:29" ht="25.5" x14ac:dyDescent="0.2">
      <c r="A707" s="694" t="str">
        <f>+Info!$B$2</f>
        <v>724</v>
      </c>
      <c r="B707" s="694" t="s">
        <v>6441</v>
      </c>
      <c r="C707" s="694" t="s">
        <v>6442</v>
      </c>
      <c r="D707" s="695" t="s">
        <v>6443</v>
      </c>
      <c r="E707" s="696"/>
      <c r="F707" s="697"/>
      <c r="G707" s="697"/>
      <c r="H707" s="698"/>
      <c r="I707" s="698"/>
      <c r="J707" s="697"/>
      <c r="K707" s="697"/>
      <c r="L707" s="697"/>
      <c r="M707" s="697"/>
      <c r="N707" s="698"/>
      <c r="O707" s="698"/>
      <c r="P707" s="698"/>
      <c r="Q707" s="697"/>
      <c r="R707" s="697"/>
      <c r="S707" s="698"/>
      <c r="T707" s="697"/>
      <c r="U707" s="697"/>
      <c r="V707" s="697"/>
      <c r="W707" s="698"/>
      <c r="X707" s="698"/>
      <c r="Y707" s="697"/>
      <c r="Z707" s="697"/>
      <c r="AA707" s="697"/>
      <c r="AB707" s="697"/>
      <c r="AC707" s="697"/>
    </row>
    <row r="708" spans="1:29" x14ac:dyDescent="0.2">
      <c r="A708" s="694" t="str">
        <f>+Info!$B$2</f>
        <v>724</v>
      </c>
      <c r="B708" s="694" t="s">
        <v>6444</v>
      </c>
      <c r="C708" s="694" t="s">
        <v>6445</v>
      </c>
      <c r="D708" s="695" t="s">
        <v>6446</v>
      </c>
      <c r="E708" s="696"/>
      <c r="F708" s="697"/>
      <c r="G708" s="697"/>
      <c r="H708" s="698"/>
      <c r="I708" s="698"/>
      <c r="J708" s="697"/>
      <c r="K708" s="697"/>
      <c r="L708" s="697"/>
      <c r="M708" s="697"/>
      <c r="N708" s="698"/>
      <c r="O708" s="698"/>
      <c r="P708" s="698"/>
      <c r="Q708" s="697"/>
      <c r="R708" s="697"/>
      <c r="S708" s="698"/>
      <c r="T708" s="697"/>
      <c r="U708" s="697"/>
      <c r="V708" s="697"/>
      <c r="W708" s="698"/>
      <c r="X708" s="698"/>
      <c r="Y708" s="697"/>
      <c r="Z708" s="697"/>
      <c r="AA708" s="697"/>
      <c r="AB708" s="697"/>
      <c r="AC708" s="697"/>
    </row>
    <row r="709" spans="1:29" x14ac:dyDescent="0.2">
      <c r="A709" s="694" t="str">
        <f>+Info!$B$2</f>
        <v>724</v>
      </c>
      <c r="B709" s="694" t="s">
        <v>6447</v>
      </c>
      <c r="C709" s="694" t="s">
        <v>6448</v>
      </c>
      <c r="D709" s="695" t="s">
        <v>6449</v>
      </c>
      <c r="E709" s="696"/>
      <c r="F709" s="697"/>
      <c r="G709" s="697"/>
      <c r="H709" s="698"/>
      <c r="I709" s="698"/>
      <c r="J709" s="697"/>
      <c r="K709" s="697"/>
      <c r="L709" s="697"/>
      <c r="M709" s="697"/>
      <c r="N709" s="698"/>
      <c r="O709" s="698"/>
      <c r="P709" s="698"/>
      <c r="Q709" s="697"/>
      <c r="R709" s="697"/>
      <c r="S709" s="698"/>
      <c r="T709" s="697"/>
      <c r="U709" s="697"/>
      <c r="V709" s="697"/>
      <c r="W709" s="698"/>
      <c r="X709" s="698"/>
      <c r="Y709" s="697"/>
      <c r="Z709" s="697"/>
      <c r="AA709" s="697"/>
      <c r="AB709" s="697"/>
      <c r="AC709" s="697"/>
    </row>
    <row r="710" spans="1:29" x14ac:dyDescent="0.2">
      <c r="A710" s="694" t="str">
        <f>+Info!$B$2</f>
        <v>724</v>
      </c>
      <c r="B710" s="694" t="s">
        <v>6450</v>
      </c>
      <c r="C710" s="694" t="s">
        <v>6451</v>
      </c>
      <c r="D710" s="695" t="s">
        <v>6452</v>
      </c>
      <c r="E710" s="696"/>
      <c r="F710" s="697"/>
      <c r="G710" s="697"/>
      <c r="H710" s="698"/>
      <c r="I710" s="698"/>
      <c r="J710" s="697"/>
      <c r="K710" s="697"/>
      <c r="L710" s="697"/>
      <c r="M710" s="697"/>
      <c r="N710" s="698"/>
      <c r="O710" s="698"/>
      <c r="P710" s="698"/>
      <c r="Q710" s="697"/>
      <c r="R710" s="697"/>
      <c r="S710" s="698"/>
      <c r="T710" s="697"/>
      <c r="U710" s="697"/>
      <c r="V710" s="697"/>
      <c r="W710" s="698"/>
      <c r="X710" s="698"/>
      <c r="Y710" s="697"/>
      <c r="Z710" s="697"/>
      <c r="AA710" s="697"/>
      <c r="AB710" s="697"/>
      <c r="AC710" s="697"/>
    </row>
    <row r="711" spans="1:29" x14ac:dyDescent="0.2">
      <c r="A711" s="694" t="str">
        <f>+Info!$B$2</f>
        <v>724</v>
      </c>
      <c r="B711" s="694" t="s">
        <v>6453</v>
      </c>
      <c r="C711" s="694" t="s">
        <v>6454</v>
      </c>
      <c r="D711" s="695" t="s">
        <v>6455</v>
      </c>
      <c r="E711" s="696"/>
      <c r="F711" s="697"/>
      <c r="G711" s="697"/>
      <c r="H711" s="698"/>
      <c r="I711" s="698"/>
      <c r="J711" s="697"/>
      <c r="K711" s="697"/>
      <c r="L711" s="697"/>
      <c r="M711" s="697"/>
      <c r="N711" s="698"/>
      <c r="O711" s="698"/>
      <c r="P711" s="698"/>
      <c r="Q711" s="697"/>
      <c r="R711" s="697"/>
      <c r="S711" s="698"/>
      <c r="T711" s="697"/>
      <c r="U711" s="697"/>
      <c r="V711" s="697"/>
      <c r="W711" s="698"/>
      <c r="X711" s="698"/>
      <c r="Y711" s="697"/>
      <c r="Z711" s="697"/>
      <c r="AA711" s="697"/>
      <c r="AB711" s="698"/>
      <c r="AC711" s="698"/>
    </row>
    <row r="712" spans="1:29" x14ac:dyDescent="0.2">
      <c r="A712" s="694" t="str">
        <f>+Info!$B$2</f>
        <v>724</v>
      </c>
      <c r="B712" s="694" t="s">
        <v>6456</v>
      </c>
      <c r="C712" s="694" t="s">
        <v>6457</v>
      </c>
      <c r="D712" s="695" t="s">
        <v>6458</v>
      </c>
      <c r="E712" s="696"/>
      <c r="F712" s="697"/>
      <c r="G712" s="697"/>
      <c r="H712" s="698"/>
      <c r="I712" s="698"/>
      <c r="J712" s="697"/>
      <c r="K712" s="697"/>
      <c r="L712" s="697"/>
      <c r="M712" s="697"/>
      <c r="N712" s="698"/>
      <c r="O712" s="698"/>
      <c r="P712" s="698"/>
      <c r="Q712" s="697"/>
      <c r="R712" s="697"/>
      <c r="S712" s="698"/>
      <c r="T712" s="697"/>
      <c r="U712" s="697"/>
      <c r="V712" s="697"/>
      <c r="W712" s="698"/>
      <c r="X712" s="698"/>
      <c r="Y712" s="697"/>
      <c r="Z712" s="697"/>
      <c r="AA712" s="697"/>
      <c r="AB712" s="698"/>
      <c r="AC712" s="698"/>
    </row>
    <row r="713" spans="1:29" x14ac:dyDescent="0.2">
      <c r="A713" s="694" t="str">
        <f>+Info!$B$2</f>
        <v>724</v>
      </c>
      <c r="B713" s="694" t="s">
        <v>6459</v>
      </c>
      <c r="C713" s="694" t="s">
        <v>6460</v>
      </c>
      <c r="D713" s="695" t="s">
        <v>6461</v>
      </c>
      <c r="E713" s="696"/>
      <c r="F713" s="697"/>
      <c r="G713" s="697"/>
      <c r="H713" s="698"/>
      <c r="I713" s="698"/>
      <c r="J713" s="697"/>
      <c r="K713" s="697"/>
      <c r="L713" s="697"/>
      <c r="M713" s="697"/>
      <c r="N713" s="698"/>
      <c r="O713" s="698"/>
      <c r="P713" s="698"/>
      <c r="Q713" s="697"/>
      <c r="R713" s="697"/>
      <c r="S713" s="698"/>
      <c r="T713" s="697"/>
      <c r="U713" s="697"/>
      <c r="V713" s="697"/>
      <c r="W713" s="698"/>
      <c r="X713" s="698"/>
      <c r="Y713" s="697"/>
      <c r="Z713" s="697"/>
      <c r="AA713" s="697"/>
      <c r="AB713" s="697"/>
      <c r="AC713" s="697"/>
    </row>
    <row r="714" spans="1:29" x14ac:dyDescent="0.2">
      <c r="A714" s="694" t="str">
        <f>+Info!$B$2</f>
        <v>724</v>
      </c>
      <c r="B714" s="694" t="s">
        <v>6462</v>
      </c>
      <c r="C714" s="694" t="s">
        <v>6463</v>
      </c>
      <c r="D714" s="695" t="s">
        <v>6464</v>
      </c>
      <c r="E714" s="696"/>
      <c r="F714" s="697"/>
      <c r="G714" s="697"/>
      <c r="H714" s="698"/>
      <c r="I714" s="698"/>
      <c r="J714" s="697"/>
      <c r="K714" s="697"/>
      <c r="L714" s="697"/>
      <c r="M714" s="697"/>
      <c r="N714" s="698"/>
      <c r="O714" s="698"/>
      <c r="P714" s="698"/>
      <c r="Q714" s="697"/>
      <c r="R714" s="697"/>
      <c r="S714" s="698"/>
      <c r="T714" s="697"/>
      <c r="U714" s="697"/>
      <c r="V714" s="697"/>
      <c r="W714" s="698"/>
      <c r="X714" s="698"/>
      <c r="Y714" s="697"/>
      <c r="Z714" s="697"/>
      <c r="AA714" s="697"/>
      <c r="AB714" s="697"/>
      <c r="AC714" s="697"/>
    </row>
    <row r="715" spans="1:29" x14ac:dyDescent="0.2">
      <c r="A715" s="694" t="str">
        <f>+Info!$B$2</f>
        <v>724</v>
      </c>
      <c r="B715" s="694" t="s">
        <v>6465</v>
      </c>
      <c r="C715" s="694" t="s">
        <v>6466</v>
      </c>
      <c r="D715" s="695" t="s">
        <v>6467</v>
      </c>
      <c r="E715" s="696"/>
      <c r="F715" s="697"/>
      <c r="G715" s="697"/>
      <c r="H715" s="698"/>
      <c r="I715" s="698"/>
      <c r="J715" s="697"/>
      <c r="K715" s="697"/>
      <c r="L715" s="697"/>
      <c r="M715" s="697"/>
      <c r="N715" s="698"/>
      <c r="O715" s="698"/>
      <c r="P715" s="698"/>
      <c r="Q715" s="697"/>
      <c r="R715" s="697"/>
      <c r="S715" s="698"/>
      <c r="T715" s="697"/>
      <c r="U715" s="697"/>
      <c r="V715" s="697"/>
      <c r="W715" s="698"/>
      <c r="X715" s="698"/>
      <c r="Y715" s="697"/>
      <c r="Z715" s="697"/>
      <c r="AA715" s="697"/>
      <c r="AB715" s="697"/>
      <c r="AC715" s="697"/>
    </row>
    <row r="716" spans="1:29" x14ac:dyDescent="0.2">
      <c r="A716" s="694" t="str">
        <f>+Info!$B$2</f>
        <v>724</v>
      </c>
      <c r="B716" s="694" t="s">
        <v>6468</v>
      </c>
      <c r="C716" s="694" t="s">
        <v>6469</v>
      </c>
      <c r="D716" s="695" t="s">
        <v>6470</v>
      </c>
      <c r="E716" s="696"/>
      <c r="F716" s="697"/>
      <c r="G716" s="697"/>
      <c r="H716" s="698"/>
      <c r="I716" s="698"/>
      <c r="J716" s="697"/>
      <c r="K716" s="697"/>
      <c r="L716" s="697"/>
      <c r="M716" s="697"/>
      <c r="N716" s="698"/>
      <c r="O716" s="698"/>
      <c r="P716" s="698"/>
      <c r="Q716" s="697"/>
      <c r="R716" s="697"/>
      <c r="S716" s="698"/>
      <c r="T716" s="697"/>
      <c r="U716" s="697"/>
      <c r="V716" s="697"/>
      <c r="W716" s="698"/>
      <c r="X716" s="698"/>
      <c r="Y716" s="697"/>
      <c r="Z716" s="697"/>
      <c r="AA716" s="697"/>
      <c r="AB716" s="697"/>
      <c r="AC716" s="697"/>
    </row>
    <row r="717" spans="1:29" x14ac:dyDescent="0.2">
      <c r="A717" s="694" t="str">
        <f>+Info!$B$2</f>
        <v>724</v>
      </c>
      <c r="B717" s="694" t="s">
        <v>6471</v>
      </c>
      <c r="C717" s="694" t="s">
        <v>6472</v>
      </c>
      <c r="D717" s="695" t="s">
        <v>6473</v>
      </c>
      <c r="E717" s="696"/>
      <c r="F717" s="697"/>
      <c r="G717" s="697"/>
      <c r="H717" s="698"/>
      <c r="I717" s="698"/>
      <c r="J717" s="697"/>
      <c r="K717" s="697"/>
      <c r="L717" s="697"/>
      <c r="M717" s="697"/>
      <c r="N717" s="698"/>
      <c r="O717" s="698"/>
      <c r="P717" s="698"/>
      <c r="Q717" s="697"/>
      <c r="R717" s="697"/>
      <c r="S717" s="698"/>
      <c r="T717" s="697"/>
      <c r="U717" s="697"/>
      <c r="V717" s="697"/>
      <c r="W717" s="698"/>
      <c r="X717" s="698"/>
      <c r="Y717" s="697"/>
      <c r="Z717" s="697"/>
      <c r="AA717" s="697"/>
      <c r="AB717" s="697"/>
      <c r="AC717" s="697"/>
    </row>
    <row r="718" spans="1:29" x14ac:dyDescent="0.2">
      <c r="A718" s="694" t="str">
        <f>+Info!$B$2</f>
        <v>724</v>
      </c>
      <c r="B718" s="694" t="s">
        <v>6474</v>
      </c>
      <c r="C718" s="694" t="s">
        <v>6475</v>
      </c>
      <c r="D718" s="695" t="s">
        <v>6476</v>
      </c>
      <c r="E718" s="696"/>
      <c r="F718" s="697"/>
      <c r="G718" s="697"/>
      <c r="H718" s="698"/>
      <c r="I718" s="698"/>
      <c r="J718" s="697"/>
      <c r="K718" s="697"/>
      <c r="L718" s="697"/>
      <c r="M718" s="697"/>
      <c r="N718" s="698"/>
      <c r="O718" s="698"/>
      <c r="P718" s="698"/>
      <c r="Q718" s="697"/>
      <c r="R718" s="697"/>
      <c r="S718" s="698"/>
      <c r="T718" s="697"/>
      <c r="U718" s="697"/>
      <c r="V718" s="697"/>
      <c r="W718" s="698"/>
      <c r="X718" s="698"/>
      <c r="Y718" s="697"/>
      <c r="Z718" s="697"/>
      <c r="AA718" s="697"/>
      <c r="AB718" s="697"/>
      <c r="AC718" s="697"/>
    </row>
    <row r="719" spans="1:29" x14ac:dyDescent="0.2">
      <c r="A719" s="694" t="str">
        <f>+Info!$B$2</f>
        <v>724</v>
      </c>
      <c r="B719" s="694" t="s">
        <v>6477</v>
      </c>
      <c r="C719" s="694" t="s">
        <v>6478</v>
      </c>
      <c r="D719" s="695" t="s">
        <v>6479</v>
      </c>
      <c r="E719" s="696"/>
      <c r="F719" s="697"/>
      <c r="G719" s="697"/>
      <c r="H719" s="698"/>
      <c r="I719" s="698"/>
      <c r="J719" s="697"/>
      <c r="K719" s="697"/>
      <c r="L719" s="697"/>
      <c r="M719" s="697"/>
      <c r="N719" s="698"/>
      <c r="O719" s="698"/>
      <c r="P719" s="698"/>
      <c r="Q719" s="697"/>
      <c r="R719" s="697"/>
      <c r="S719" s="698"/>
      <c r="T719" s="697"/>
      <c r="U719" s="697"/>
      <c r="V719" s="697"/>
      <c r="W719" s="698"/>
      <c r="X719" s="698"/>
      <c r="Y719" s="697"/>
      <c r="Z719" s="697"/>
      <c r="AA719" s="697"/>
      <c r="AB719" s="697"/>
      <c r="AC719" s="697"/>
    </row>
    <row r="720" spans="1:29" x14ac:dyDescent="0.2">
      <c r="A720" s="694" t="str">
        <f>+Info!$B$2</f>
        <v>724</v>
      </c>
      <c r="B720" s="694" t="s">
        <v>6480</v>
      </c>
      <c r="C720" s="694" t="s">
        <v>6481</v>
      </c>
      <c r="D720" s="695" t="s">
        <v>6482</v>
      </c>
      <c r="E720" s="696"/>
      <c r="F720" s="697"/>
      <c r="G720" s="697"/>
      <c r="H720" s="698"/>
      <c r="I720" s="698"/>
      <c r="J720" s="697"/>
      <c r="K720" s="697"/>
      <c r="L720" s="697"/>
      <c r="M720" s="697"/>
      <c r="N720" s="698"/>
      <c r="O720" s="698"/>
      <c r="P720" s="698"/>
      <c r="Q720" s="697"/>
      <c r="R720" s="697"/>
      <c r="S720" s="698"/>
      <c r="T720" s="697"/>
      <c r="U720" s="697"/>
      <c r="V720" s="697"/>
      <c r="W720" s="698"/>
      <c r="X720" s="698"/>
      <c r="Y720" s="697"/>
      <c r="Z720" s="697"/>
      <c r="AA720" s="697"/>
      <c r="AB720" s="697"/>
      <c r="AC720" s="697"/>
    </row>
    <row r="721" spans="1:29" x14ac:dyDescent="0.2">
      <c r="A721" s="694" t="str">
        <f>+Info!$B$2</f>
        <v>724</v>
      </c>
      <c r="B721" s="694" t="s">
        <v>6483</v>
      </c>
      <c r="C721" s="694" t="s">
        <v>6484</v>
      </c>
      <c r="D721" s="695" t="s">
        <v>6485</v>
      </c>
      <c r="E721" s="696"/>
      <c r="F721" s="697"/>
      <c r="G721" s="697"/>
      <c r="H721" s="698"/>
      <c r="I721" s="698"/>
      <c r="J721" s="697"/>
      <c r="K721" s="697"/>
      <c r="L721" s="697"/>
      <c r="M721" s="697"/>
      <c r="N721" s="698"/>
      <c r="O721" s="698"/>
      <c r="P721" s="698"/>
      <c r="Q721" s="697"/>
      <c r="R721" s="697"/>
      <c r="S721" s="698"/>
      <c r="T721" s="697"/>
      <c r="U721" s="697"/>
      <c r="V721" s="697"/>
      <c r="W721" s="698"/>
      <c r="X721" s="698"/>
      <c r="Y721" s="697"/>
      <c r="Z721" s="697"/>
      <c r="AA721" s="697"/>
      <c r="AB721" s="697"/>
      <c r="AC721" s="697"/>
    </row>
    <row r="722" spans="1:29" x14ac:dyDescent="0.2">
      <c r="A722" s="694" t="str">
        <f>+Info!$B$2</f>
        <v>724</v>
      </c>
      <c r="B722" s="694" t="s">
        <v>6486</v>
      </c>
      <c r="C722" s="694" t="s">
        <v>6487</v>
      </c>
      <c r="D722" s="695" t="s">
        <v>6488</v>
      </c>
      <c r="E722" s="696"/>
      <c r="F722" s="697"/>
      <c r="G722" s="697"/>
      <c r="H722" s="698"/>
      <c r="I722" s="698"/>
      <c r="J722" s="697"/>
      <c r="K722" s="697"/>
      <c r="L722" s="697"/>
      <c r="M722" s="697"/>
      <c r="N722" s="698"/>
      <c r="O722" s="698"/>
      <c r="P722" s="698"/>
      <c r="Q722" s="697"/>
      <c r="R722" s="697"/>
      <c r="S722" s="698"/>
      <c r="T722" s="697"/>
      <c r="U722" s="697"/>
      <c r="V722" s="697"/>
      <c r="W722" s="698"/>
      <c r="X722" s="698"/>
      <c r="Y722" s="697"/>
      <c r="Z722" s="697"/>
      <c r="AA722" s="697"/>
      <c r="AB722" s="698"/>
      <c r="AC722" s="698"/>
    </row>
    <row r="723" spans="1:29" x14ac:dyDescent="0.2">
      <c r="A723" s="694" t="str">
        <f>+Info!$B$2</f>
        <v>724</v>
      </c>
      <c r="B723" s="694" t="s">
        <v>6489</v>
      </c>
      <c r="C723" s="694" t="s">
        <v>6490</v>
      </c>
      <c r="D723" s="695" t="s">
        <v>6491</v>
      </c>
      <c r="E723" s="696"/>
      <c r="F723" s="697"/>
      <c r="G723" s="697"/>
      <c r="H723" s="698"/>
      <c r="I723" s="698"/>
      <c r="J723" s="697"/>
      <c r="K723" s="697"/>
      <c r="L723" s="697"/>
      <c r="M723" s="697"/>
      <c r="N723" s="698"/>
      <c r="O723" s="698"/>
      <c r="P723" s="698"/>
      <c r="Q723" s="697"/>
      <c r="R723" s="697"/>
      <c r="S723" s="698"/>
      <c r="T723" s="697"/>
      <c r="U723" s="697"/>
      <c r="V723" s="697"/>
      <c r="W723" s="698"/>
      <c r="X723" s="698"/>
      <c r="Y723" s="697"/>
      <c r="Z723" s="697"/>
      <c r="AA723" s="697"/>
      <c r="AB723" s="698"/>
      <c r="AC723" s="698"/>
    </row>
    <row r="724" spans="1:29" x14ac:dyDescent="0.2">
      <c r="A724" s="694" t="str">
        <f>+Info!$B$2</f>
        <v>724</v>
      </c>
      <c r="B724" s="694" t="s">
        <v>6492</v>
      </c>
      <c r="C724" s="694" t="s">
        <v>6493</v>
      </c>
      <c r="D724" s="695" t="s">
        <v>6494</v>
      </c>
      <c r="E724" s="696"/>
      <c r="F724" s="697"/>
      <c r="G724" s="697"/>
      <c r="H724" s="698"/>
      <c r="I724" s="698"/>
      <c r="J724" s="697"/>
      <c r="K724" s="697"/>
      <c r="L724" s="697"/>
      <c r="M724" s="697"/>
      <c r="N724" s="698"/>
      <c r="O724" s="698"/>
      <c r="P724" s="698"/>
      <c r="Q724" s="697"/>
      <c r="R724" s="697"/>
      <c r="S724" s="698"/>
      <c r="T724" s="697"/>
      <c r="U724" s="697"/>
      <c r="V724" s="697"/>
      <c r="W724" s="698"/>
      <c r="X724" s="698"/>
      <c r="Y724" s="697"/>
      <c r="Z724" s="697"/>
      <c r="AA724" s="697"/>
      <c r="AB724" s="697"/>
      <c r="AC724" s="697"/>
    </row>
    <row r="725" spans="1:29" ht="15" x14ac:dyDescent="0.25">
      <c r="A725" s="691" t="str">
        <f>+Info!$B$2</f>
        <v>724</v>
      </c>
      <c r="B725" s="691" t="s">
        <v>6495</v>
      </c>
      <c r="C725" s="691" t="s">
        <v>6496</v>
      </c>
      <c r="D725" s="692" t="s">
        <v>6497</v>
      </c>
      <c r="E725" s="693"/>
      <c r="F725" s="701"/>
      <c r="G725" s="701"/>
      <c r="H725" s="701"/>
      <c r="I725" s="701"/>
      <c r="J725" s="701"/>
      <c r="K725" s="701"/>
      <c r="L725" s="701"/>
      <c r="M725" s="701"/>
      <c r="N725" s="701"/>
      <c r="O725" s="701"/>
      <c r="P725" s="701"/>
      <c r="Q725" s="701"/>
      <c r="R725" s="701"/>
      <c r="S725" s="701"/>
      <c r="T725" s="701"/>
      <c r="U725" s="701"/>
      <c r="V725" s="701"/>
      <c r="W725" s="701"/>
      <c r="X725" s="701"/>
      <c r="Y725" s="701"/>
      <c r="Z725" s="701"/>
      <c r="AA725" s="701"/>
      <c r="AB725" s="701"/>
      <c r="AC725" s="701"/>
    </row>
    <row r="726" spans="1:29" x14ac:dyDescent="0.2">
      <c r="A726" s="694" t="str">
        <f>+Info!$B$2</f>
        <v>724</v>
      </c>
      <c r="B726" s="694" t="s">
        <v>6498</v>
      </c>
      <c r="C726" s="694" t="s">
        <v>6499</v>
      </c>
      <c r="D726" s="695" t="s">
        <v>6500</v>
      </c>
      <c r="E726" s="696"/>
      <c r="F726" s="697"/>
      <c r="G726" s="697"/>
      <c r="H726" s="698"/>
      <c r="I726" s="697"/>
      <c r="J726" s="697"/>
      <c r="K726" s="697"/>
      <c r="L726" s="697"/>
      <c r="M726" s="697"/>
      <c r="N726" s="698"/>
      <c r="O726" s="697"/>
      <c r="P726" s="697"/>
      <c r="Q726" s="697"/>
      <c r="R726" s="697"/>
      <c r="S726" s="697"/>
      <c r="T726" s="697"/>
      <c r="U726" s="697"/>
      <c r="V726" s="697"/>
      <c r="W726" s="698"/>
      <c r="X726" s="698"/>
      <c r="Y726" s="697"/>
      <c r="Z726" s="697"/>
      <c r="AA726" s="697"/>
      <c r="AB726" s="697"/>
      <c r="AC726" s="697"/>
    </row>
    <row r="727" spans="1:29" x14ac:dyDescent="0.2">
      <c r="A727" s="694" t="str">
        <f>+Info!$B$2</f>
        <v>724</v>
      </c>
      <c r="B727" s="694" t="s">
        <v>6501</v>
      </c>
      <c r="C727" s="694" t="s">
        <v>6502</v>
      </c>
      <c r="D727" s="695" t="s">
        <v>6503</v>
      </c>
      <c r="E727" s="696"/>
      <c r="F727" s="697"/>
      <c r="G727" s="697"/>
      <c r="H727" s="698"/>
      <c r="I727" s="697"/>
      <c r="J727" s="697"/>
      <c r="K727" s="697"/>
      <c r="L727" s="697"/>
      <c r="M727" s="697"/>
      <c r="N727" s="698"/>
      <c r="O727" s="697"/>
      <c r="P727" s="697"/>
      <c r="Q727" s="697"/>
      <c r="R727" s="697"/>
      <c r="S727" s="697"/>
      <c r="T727" s="697"/>
      <c r="U727" s="697"/>
      <c r="V727" s="697"/>
      <c r="W727" s="698"/>
      <c r="X727" s="698"/>
      <c r="Y727" s="697"/>
      <c r="Z727" s="697"/>
      <c r="AA727" s="697"/>
      <c r="AB727" s="697"/>
      <c r="AC727" s="697"/>
    </row>
    <row r="728" spans="1:29" x14ac:dyDescent="0.2">
      <c r="A728" s="694" t="str">
        <f>+Info!$B$2</f>
        <v>724</v>
      </c>
      <c r="B728" s="694" t="s">
        <v>6504</v>
      </c>
      <c r="C728" s="694" t="s">
        <v>6505</v>
      </c>
      <c r="D728" s="695" t="s">
        <v>6506</v>
      </c>
      <c r="E728" s="696"/>
      <c r="F728" s="697"/>
      <c r="G728" s="697"/>
      <c r="H728" s="698"/>
      <c r="I728" s="697"/>
      <c r="J728" s="697"/>
      <c r="K728" s="697"/>
      <c r="L728" s="697"/>
      <c r="M728" s="697"/>
      <c r="N728" s="698"/>
      <c r="O728" s="697"/>
      <c r="P728" s="697"/>
      <c r="Q728" s="697"/>
      <c r="R728" s="697"/>
      <c r="S728" s="697"/>
      <c r="T728" s="697"/>
      <c r="U728" s="697"/>
      <c r="V728" s="697"/>
      <c r="W728" s="698"/>
      <c r="X728" s="698"/>
      <c r="Y728" s="697"/>
      <c r="Z728" s="697"/>
      <c r="AA728" s="697"/>
      <c r="AB728" s="697"/>
      <c r="AC728" s="697"/>
    </row>
    <row r="729" spans="1:29" ht="25.5" x14ac:dyDescent="0.2">
      <c r="A729" s="694" t="str">
        <f>+Info!$B$2</f>
        <v>724</v>
      </c>
      <c r="B729" s="694" t="s">
        <v>6507</v>
      </c>
      <c r="C729" s="694" t="s">
        <v>6508</v>
      </c>
      <c r="D729" s="695" t="s">
        <v>6509</v>
      </c>
      <c r="E729" s="696"/>
      <c r="F729" s="697"/>
      <c r="G729" s="697"/>
      <c r="H729" s="698"/>
      <c r="I729" s="697"/>
      <c r="J729" s="697"/>
      <c r="K729" s="697"/>
      <c r="L729" s="697"/>
      <c r="M729" s="697"/>
      <c r="N729" s="698"/>
      <c r="O729" s="697"/>
      <c r="P729" s="697"/>
      <c r="Q729" s="697"/>
      <c r="R729" s="697"/>
      <c r="S729" s="697"/>
      <c r="T729" s="697"/>
      <c r="U729" s="697"/>
      <c r="V729" s="697"/>
      <c r="W729" s="698"/>
      <c r="X729" s="698"/>
      <c r="Y729" s="697"/>
      <c r="Z729" s="697"/>
      <c r="AA729" s="697"/>
      <c r="AB729" s="697"/>
      <c r="AC729" s="697"/>
    </row>
    <row r="730" spans="1:29" ht="25.5" x14ac:dyDescent="0.2">
      <c r="A730" s="694" t="str">
        <f>+Info!$B$2</f>
        <v>724</v>
      </c>
      <c r="B730" s="694" t="s">
        <v>6510</v>
      </c>
      <c r="C730" s="694" t="s">
        <v>6511</v>
      </c>
      <c r="D730" s="695" t="s">
        <v>6512</v>
      </c>
      <c r="E730" s="696"/>
      <c r="F730" s="697"/>
      <c r="G730" s="697"/>
      <c r="H730" s="698"/>
      <c r="I730" s="697"/>
      <c r="J730" s="697"/>
      <c r="K730" s="697"/>
      <c r="L730" s="697"/>
      <c r="M730" s="697"/>
      <c r="N730" s="698"/>
      <c r="O730" s="697"/>
      <c r="P730" s="697"/>
      <c r="Q730" s="697"/>
      <c r="R730" s="697"/>
      <c r="S730" s="697"/>
      <c r="T730" s="697"/>
      <c r="U730" s="697"/>
      <c r="V730" s="697"/>
      <c r="W730" s="698"/>
      <c r="X730" s="698"/>
      <c r="Y730" s="697"/>
      <c r="Z730" s="697"/>
      <c r="AA730" s="697"/>
      <c r="AB730" s="697"/>
      <c r="AC730" s="697"/>
    </row>
    <row r="731" spans="1:29" x14ac:dyDescent="0.2">
      <c r="A731" s="694" t="str">
        <f>+Info!$B$2</f>
        <v>724</v>
      </c>
      <c r="B731" s="694" t="s">
        <v>6513</v>
      </c>
      <c r="C731" s="694" t="s">
        <v>6514</v>
      </c>
      <c r="D731" s="695" t="s">
        <v>6515</v>
      </c>
      <c r="E731" s="696"/>
      <c r="F731" s="697"/>
      <c r="G731" s="697"/>
      <c r="H731" s="698"/>
      <c r="I731" s="697"/>
      <c r="J731" s="697"/>
      <c r="K731" s="697"/>
      <c r="L731" s="697"/>
      <c r="M731" s="697"/>
      <c r="N731" s="698"/>
      <c r="O731" s="697"/>
      <c r="P731" s="697"/>
      <c r="Q731" s="697"/>
      <c r="R731" s="697"/>
      <c r="S731" s="697"/>
      <c r="T731" s="697"/>
      <c r="U731" s="697"/>
      <c r="V731" s="697"/>
      <c r="W731" s="698"/>
      <c r="X731" s="698"/>
      <c r="Y731" s="697"/>
      <c r="Z731" s="697"/>
      <c r="AA731" s="697"/>
      <c r="AB731" s="697"/>
      <c r="AC731" s="697"/>
    </row>
    <row r="732" spans="1:29" ht="25.5" x14ac:dyDescent="0.2">
      <c r="A732" s="694" t="str">
        <f>+Info!$B$2</f>
        <v>724</v>
      </c>
      <c r="B732" s="694" t="s">
        <v>6516</v>
      </c>
      <c r="C732" s="694" t="s">
        <v>6517</v>
      </c>
      <c r="D732" s="695" t="s">
        <v>6518</v>
      </c>
      <c r="E732" s="696"/>
      <c r="F732" s="697"/>
      <c r="G732" s="697"/>
      <c r="H732" s="698"/>
      <c r="I732" s="697"/>
      <c r="J732" s="697"/>
      <c r="K732" s="697"/>
      <c r="L732" s="697"/>
      <c r="M732" s="697"/>
      <c r="N732" s="698"/>
      <c r="O732" s="697"/>
      <c r="P732" s="697"/>
      <c r="Q732" s="697"/>
      <c r="R732" s="697"/>
      <c r="S732" s="697"/>
      <c r="T732" s="697"/>
      <c r="U732" s="697"/>
      <c r="V732" s="697"/>
      <c r="W732" s="698"/>
      <c r="X732" s="698"/>
      <c r="Y732" s="697"/>
      <c r="Z732" s="697"/>
      <c r="AA732" s="697"/>
      <c r="AB732" s="697"/>
      <c r="AC732" s="697"/>
    </row>
    <row r="733" spans="1:29" x14ac:dyDescent="0.2">
      <c r="A733" s="694" t="str">
        <f>+Info!$B$2</f>
        <v>724</v>
      </c>
      <c r="B733" s="694" t="s">
        <v>6519</v>
      </c>
      <c r="C733" s="694" t="s">
        <v>6520</v>
      </c>
      <c r="D733" s="695" t="s">
        <v>6521</v>
      </c>
      <c r="E733" s="696"/>
      <c r="F733" s="697"/>
      <c r="G733" s="697"/>
      <c r="H733" s="698"/>
      <c r="I733" s="697"/>
      <c r="J733" s="697"/>
      <c r="K733" s="697"/>
      <c r="L733" s="697"/>
      <c r="M733" s="697"/>
      <c r="N733" s="698"/>
      <c r="O733" s="697"/>
      <c r="P733" s="697"/>
      <c r="Q733" s="697"/>
      <c r="R733" s="697"/>
      <c r="S733" s="697"/>
      <c r="T733" s="697"/>
      <c r="U733" s="697"/>
      <c r="V733" s="697"/>
      <c r="W733" s="698"/>
      <c r="X733" s="698"/>
      <c r="Y733" s="697"/>
      <c r="Z733" s="697"/>
      <c r="AA733" s="697"/>
      <c r="AB733" s="697"/>
      <c r="AC733" s="697"/>
    </row>
    <row r="734" spans="1:29" ht="25.5" x14ac:dyDescent="0.2">
      <c r="A734" s="694" t="str">
        <f>+Info!$B$2</f>
        <v>724</v>
      </c>
      <c r="B734" s="694" t="s">
        <v>6522</v>
      </c>
      <c r="C734" s="694" t="s">
        <v>6523</v>
      </c>
      <c r="D734" s="695" t="s">
        <v>6524</v>
      </c>
      <c r="E734" s="696"/>
      <c r="F734" s="697"/>
      <c r="G734" s="697"/>
      <c r="H734" s="698"/>
      <c r="I734" s="697"/>
      <c r="J734" s="697"/>
      <c r="K734" s="697"/>
      <c r="L734" s="697"/>
      <c r="M734" s="697"/>
      <c r="N734" s="698"/>
      <c r="O734" s="697"/>
      <c r="P734" s="697"/>
      <c r="Q734" s="697"/>
      <c r="R734" s="697"/>
      <c r="S734" s="697"/>
      <c r="T734" s="697"/>
      <c r="U734" s="697"/>
      <c r="V734" s="697"/>
      <c r="W734" s="698"/>
      <c r="X734" s="698"/>
      <c r="Y734" s="697"/>
      <c r="Z734" s="697"/>
      <c r="AA734" s="697"/>
      <c r="AB734" s="697"/>
      <c r="AC734" s="697"/>
    </row>
    <row r="735" spans="1:29" x14ac:dyDescent="0.2">
      <c r="A735" s="694" t="str">
        <f>+Info!$B$2</f>
        <v>724</v>
      </c>
      <c r="B735" s="694" t="s">
        <v>6525</v>
      </c>
      <c r="C735" s="694" t="s">
        <v>6526</v>
      </c>
      <c r="D735" s="695" t="s">
        <v>6527</v>
      </c>
      <c r="E735" s="696"/>
      <c r="F735" s="697"/>
      <c r="G735" s="697"/>
      <c r="H735" s="698"/>
      <c r="I735" s="697"/>
      <c r="J735" s="697"/>
      <c r="K735" s="697"/>
      <c r="L735" s="697"/>
      <c r="M735" s="697"/>
      <c r="N735" s="698"/>
      <c r="O735" s="697"/>
      <c r="P735" s="697"/>
      <c r="Q735" s="697"/>
      <c r="R735" s="697"/>
      <c r="S735" s="697"/>
      <c r="T735" s="697"/>
      <c r="U735" s="697"/>
      <c r="V735" s="697"/>
      <c r="W735" s="698"/>
      <c r="X735" s="698"/>
      <c r="Y735" s="697"/>
      <c r="Z735" s="697"/>
      <c r="AA735" s="697"/>
      <c r="AB735" s="697"/>
      <c r="AC735" s="697"/>
    </row>
    <row r="736" spans="1:29" x14ac:dyDescent="0.2">
      <c r="A736" s="694" t="str">
        <f>+Info!$B$2</f>
        <v>724</v>
      </c>
      <c r="B736" s="694" t="s">
        <v>6528</v>
      </c>
      <c r="C736" s="694" t="s">
        <v>6529</v>
      </c>
      <c r="D736" s="695" t="s">
        <v>6530</v>
      </c>
      <c r="E736" s="696"/>
      <c r="F736" s="697"/>
      <c r="G736" s="697"/>
      <c r="H736" s="698"/>
      <c r="I736" s="697"/>
      <c r="J736" s="697"/>
      <c r="K736" s="697"/>
      <c r="L736" s="697"/>
      <c r="M736" s="697"/>
      <c r="N736" s="698"/>
      <c r="O736" s="697"/>
      <c r="P736" s="697"/>
      <c r="Q736" s="697"/>
      <c r="R736" s="697"/>
      <c r="S736" s="697"/>
      <c r="T736" s="697"/>
      <c r="U736" s="697"/>
      <c r="V736" s="697"/>
      <c r="W736" s="698"/>
      <c r="X736" s="698"/>
      <c r="Y736" s="697"/>
      <c r="Z736" s="697"/>
      <c r="AA736" s="697"/>
      <c r="AB736" s="697"/>
      <c r="AC736" s="697"/>
    </row>
    <row r="737" spans="1:29" x14ac:dyDescent="0.2">
      <c r="A737" s="694" t="str">
        <f>+Info!$B$2</f>
        <v>724</v>
      </c>
      <c r="B737" s="694" t="s">
        <v>6531</v>
      </c>
      <c r="C737" s="694" t="s">
        <v>6532</v>
      </c>
      <c r="D737" s="695" t="s">
        <v>6533</v>
      </c>
      <c r="E737" s="696"/>
      <c r="F737" s="697"/>
      <c r="G737" s="697"/>
      <c r="H737" s="698"/>
      <c r="I737" s="697"/>
      <c r="J737" s="697"/>
      <c r="K737" s="697"/>
      <c r="L737" s="697"/>
      <c r="M737" s="697"/>
      <c r="N737" s="698"/>
      <c r="O737" s="697"/>
      <c r="P737" s="697"/>
      <c r="Q737" s="697"/>
      <c r="R737" s="697"/>
      <c r="S737" s="697"/>
      <c r="T737" s="697"/>
      <c r="U737" s="697"/>
      <c r="V737" s="697"/>
      <c r="W737" s="698"/>
      <c r="X737" s="698"/>
      <c r="Y737" s="697"/>
      <c r="Z737" s="697"/>
      <c r="AA737" s="697"/>
      <c r="AB737" s="697"/>
      <c r="AC737" s="697"/>
    </row>
    <row r="738" spans="1:29" x14ac:dyDescent="0.2">
      <c r="A738" s="694" t="str">
        <f>+Info!$B$2</f>
        <v>724</v>
      </c>
      <c r="B738" s="694" t="s">
        <v>6534</v>
      </c>
      <c r="C738" s="694" t="s">
        <v>4304</v>
      </c>
      <c r="D738" s="695" t="s">
        <v>6535</v>
      </c>
      <c r="E738" s="696"/>
      <c r="F738" s="697"/>
      <c r="G738" s="697"/>
      <c r="H738" s="698"/>
      <c r="I738" s="697"/>
      <c r="J738" s="697"/>
      <c r="K738" s="697"/>
      <c r="L738" s="697"/>
      <c r="M738" s="697"/>
      <c r="N738" s="698"/>
      <c r="O738" s="697"/>
      <c r="P738" s="697"/>
      <c r="Q738" s="697"/>
      <c r="R738" s="697"/>
      <c r="S738" s="697"/>
      <c r="T738" s="697"/>
      <c r="U738" s="697"/>
      <c r="V738" s="697"/>
      <c r="W738" s="698"/>
      <c r="X738" s="698"/>
      <c r="Y738" s="697"/>
      <c r="Z738" s="697"/>
      <c r="AA738" s="697"/>
      <c r="AB738" s="697"/>
      <c r="AC738" s="697"/>
    </row>
    <row r="739" spans="1:29" x14ac:dyDescent="0.2">
      <c r="A739" s="694" t="str">
        <f>+Info!$B$2</f>
        <v>724</v>
      </c>
      <c r="B739" s="694" t="s">
        <v>6536</v>
      </c>
      <c r="C739" s="694" t="s">
        <v>6537</v>
      </c>
      <c r="D739" s="695" t="s">
        <v>6538</v>
      </c>
      <c r="E739" s="696"/>
      <c r="F739" s="697"/>
      <c r="G739" s="697"/>
      <c r="H739" s="698"/>
      <c r="I739" s="697"/>
      <c r="J739" s="697"/>
      <c r="K739" s="697"/>
      <c r="L739" s="697"/>
      <c r="M739" s="697"/>
      <c r="N739" s="698"/>
      <c r="O739" s="697"/>
      <c r="P739" s="697"/>
      <c r="Q739" s="697"/>
      <c r="R739" s="697"/>
      <c r="S739" s="697"/>
      <c r="T739" s="697"/>
      <c r="U739" s="697"/>
      <c r="V739" s="697"/>
      <c r="W739" s="698"/>
      <c r="X739" s="698"/>
      <c r="Y739" s="697"/>
      <c r="Z739" s="697"/>
      <c r="AA739" s="697"/>
      <c r="AB739" s="697"/>
      <c r="AC739" s="697"/>
    </row>
    <row r="740" spans="1:29" x14ac:dyDescent="0.2">
      <c r="A740" s="694" t="str">
        <f>+Info!$B$2</f>
        <v>724</v>
      </c>
      <c r="B740" s="694" t="s">
        <v>6539</v>
      </c>
      <c r="C740" s="694" t="s">
        <v>6540</v>
      </c>
      <c r="D740" s="695" t="s">
        <v>6541</v>
      </c>
      <c r="E740" s="696"/>
      <c r="F740" s="697"/>
      <c r="G740" s="697"/>
      <c r="H740" s="698"/>
      <c r="I740" s="697"/>
      <c r="J740" s="697"/>
      <c r="K740" s="697"/>
      <c r="L740" s="697"/>
      <c r="M740" s="697"/>
      <c r="N740" s="698"/>
      <c r="O740" s="697"/>
      <c r="P740" s="697"/>
      <c r="Q740" s="697"/>
      <c r="R740" s="697"/>
      <c r="S740" s="697"/>
      <c r="T740" s="697"/>
      <c r="U740" s="697"/>
      <c r="V740" s="697"/>
      <c r="W740" s="698"/>
      <c r="X740" s="698"/>
      <c r="Y740" s="697"/>
      <c r="Z740" s="697"/>
      <c r="AA740" s="697"/>
      <c r="AB740" s="697"/>
      <c r="AC740" s="697"/>
    </row>
    <row r="741" spans="1:29" ht="15" x14ac:dyDescent="0.25">
      <c r="A741" s="691" t="str">
        <f>+Info!$B$2</f>
        <v>724</v>
      </c>
      <c r="B741" s="691" t="s">
        <v>2025</v>
      </c>
      <c r="C741" s="691" t="s">
        <v>6542</v>
      </c>
      <c r="D741" s="692" t="s">
        <v>6543</v>
      </c>
      <c r="E741" s="693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1"/>
      <c r="X741" s="701"/>
      <c r="Y741" s="701"/>
      <c r="Z741" s="701"/>
      <c r="AA741" s="701"/>
      <c r="AB741" s="701"/>
      <c r="AC741" s="701"/>
    </row>
    <row r="742" spans="1:29" ht="15" x14ac:dyDescent="0.25">
      <c r="A742" s="691" t="str">
        <f>+Info!$B$2</f>
        <v>724</v>
      </c>
      <c r="B742" s="691" t="s">
        <v>6544</v>
      </c>
      <c r="C742" s="691" t="s">
        <v>6545</v>
      </c>
      <c r="D742" s="692" t="s">
        <v>6546</v>
      </c>
      <c r="E742" s="693"/>
      <c r="F742" s="701"/>
      <c r="G742" s="701"/>
      <c r="H742" s="701"/>
      <c r="I742" s="701"/>
      <c r="J742" s="701"/>
      <c r="K742" s="701"/>
      <c r="L742" s="701"/>
      <c r="M742" s="701"/>
      <c r="N742" s="701"/>
      <c r="O742" s="701"/>
      <c r="P742" s="701"/>
      <c r="Q742" s="701"/>
      <c r="R742" s="701"/>
      <c r="S742" s="701"/>
      <c r="T742" s="701"/>
      <c r="U742" s="701"/>
      <c r="V742" s="701"/>
      <c r="W742" s="701"/>
      <c r="X742" s="701"/>
      <c r="Y742" s="701"/>
      <c r="Z742" s="701"/>
      <c r="AA742" s="701"/>
      <c r="AB742" s="701"/>
      <c r="AC742" s="701"/>
    </row>
    <row r="743" spans="1:29" x14ac:dyDescent="0.2">
      <c r="A743" s="694" t="str">
        <f>+Info!$B$2</f>
        <v>724</v>
      </c>
      <c r="B743" s="694" t="s">
        <v>6547</v>
      </c>
      <c r="C743" s="694" t="s">
        <v>6548</v>
      </c>
      <c r="D743" s="695" t="s">
        <v>6549</v>
      </c>
      <c r="E743" s="696"/>
      <c r="F743" s="697"/>
      <c r="G743" s="697"/>
      <c r="H743" s="698"/>
      <c r="I743" s="697"/>
      <c r="J743" s="697"/>
      <c r="K743" s="697"/>
      <c r="L743" s="697"/>
      <c r="M743" s="697"/>
      <c r="N743" s="698"/>
      <c r="O743" s="697"/>
      <c r="P743" s="697"/>
      <c r="Q743" s="697"/>
      <c r="R743" s="697"/>
      <c r="S743" s="697"/>
      <c r="T743" s="697"/>
      <c r="U743" s="697"/>
      <c r="V743" s="697"/>
      <c r="W743" s="698"/>
      <c r="X743" s="698"/>
      <c r="Y743" s="697"/>
      <c r="Z743" s="697"/>
      <c r="AA743" s="697"/>
      <c r="AB743" s="697"/>
      <c r="AC743" s="697"/>
    </row>
    <row r="744" spans="1:29" x14ac:dyDescent="0.2">
      <c r="A744" s="694" t="str">
        <f>+Info!$B$2</f>
        <v>724</v>
      </c>
      <c r="B744" s="694" t="s">
        <v>6550</v>
      </c>
      <c r="C744" s="694" t="s">
        <v>6551</v>
      </c>
      <c r="D744" s="695" t="s">
        <v>6552</v>
      </c>
      <c r="E744" s="696"/>
      <c r="F744" s="697"/>
      <c r="G744" s="697"/>
      <c r="H744" s="698"/>
      <c r="I744" s="697"/>
      <c r="J744" s="697"/>
      <c r="K744" s="697"/>
      <c r="L744" s="697"/>
      <c r="M744" s="697"/>
      <c r="N744" s="698"/>
      <c r="O744" s="697"/>
      <c r="P744" s="697"/>
      <c r="Q744" s="697"/>
      <c r="R744" s="697"/>
      <c r="S744" s="697"/>
      <c r="T744" s="697"/>
      <c r="U744" s="697"/>
      <c r="V744" s="697"/>
      <c r="W744" s="698"/>
      <c r="X744" s="698"/>
      <c r="Y744" s="697"/>
      <c r="Z744" s="697"/>
      <c r="AA744" s="697"/>
      <c r="AB744" s="697"/>
      <c r="AC744" s="697"/>
    </row>
    <row r="745" spans="1:29" x14ac:dyDescent="0.2">
      <c r="A745" s="694" t="str">
        <f>+Info!$B$2</f>
        <v>724</v>
      </c>
      <c r="B745" s="694" t="s">
        <v>6553</v>
      </c>
      <c r="C745" s="694" t="s">
        <v>6554</v>
      </c>
      <c r="D745" s="695" t="s">
        <v>6555</v>
      </c>
      <c r="E745" s="696"/>
      <c r="F745" s="697"/>
      <c r="G745" s="697"/>
      <c r="H745" s="698"/>
      <c r="I745" s="697"/>
      <c r="J745" s="697"/>
      <c r="K745" s="697"/>
      <c r="L745" s="697"/>
      <c r="M745" s="697"/>
      <c r="N745" s="698"/>
      <c r="O745" s="697"/>
      <c r="P745" s="697"/>
      <c r="Q745" s="697"/>
      <c r="R745" s="697"/>
      <c r="S745" s="697"/>
      <c r="T745" s="697"/>
      <c r="U745" s="697"/>
      <c r="V745" s="697"/>
      <c r="W745" s="698"/>
      <c r="X745" s="698"/>
      <c r="Y745" s="697"/>
      <c r="Z745" s="697"/>
      <c r="AA745" s="697"/>
      <c r="AB745" s="697"/>
      <c r="AC745" s="697"/>
    </row>
    <row r="746" spans="1:29" x14ac:dyDescent="0.2">
      <c r="A746" s="694" t="str">
        <f>+Info!$B$2</f>
        <v>724</v>
      </c>
      <c r="B746" s="694" t="s">
        <v>6556</v>
      </c>
      <c r="C746" s="694" t="s">
        <v>6557</v>
      </c>
      <c r="D746" s="695" t="s">
        <v>6558</v>
      </c>
      <c r="E746" s="696"/>
      <c r="F746" s="697"/>
      <c r="G746" s="697"/>
      <c r="H746" s="698"/>
      <c r="I746" s="697"/>
      <c r="J746" s="697"/>
      <c r="K746" s="697"/>
      <c r="L746" s="697"/>
      <c r="M746" s="697"/>
      <c r="N746" s="698"/>
      <c r="O746" s="697"/>
      <c r="P746" s="697"/>
      <c r="Q746" s="697"/>
      <c r="R746" s="697"/>
      <c r="S746" s="697"/>
      <c r="T746" s="697"/>
      <c r="U746" s="697"/>
      <c r="V746" s="697"/>
      <c r="W746" s="698"/>
      <c r="X746" s="698"/>
      <c r="Y746" s="697"/>
      <c r="Z746" s="697"/>
      <c r="AA746" s="697"/>
      <c r="AB746" s="697"/>
      <c r="AC746" s="697"/>
    </row>
    <row r="747" spans="1:29" x14ac:dyDescent="0.2">
      <c r="A747" s="694" t="str">
        <f>+Info!$B$2</f>
        <v>724</v>
      </c>
      <c r="B747" s="694" t="s">
        <v>6559</v>
      </c>
      <c r="C747" s="694" t="s">
        <v>6560</v>
      </c>
      <c r="D747" s="695" t="s">
        <v>6561</v>
      </c>
      <c r="E747" s="696"/>
      <c r="F747" s="697"/>
      <c r="G747" s="697"/>
      <c r="H747" s="698"/>
      <c r="I747" s="697"/>
      <c r="J747" s="697"/>
      <c r="K747" s="697"/>
      <c r="L747" s="697"/>
      <c r="M747" s="697"/>
      <c r="N747" s="698"/>
      <c r="O747" s="697"/>
      <c r="P747" s="697"/>
      <c r="Q747" s="697"/>
      <c r="R747" s="697"/>
      <c r="S747" s="697"/>
      <c r="T747" s="697"/>
      <c r="U747" s="697"/>
      <c r="V747" s="697"/>
      <c r="W747" s="698"/>
      <c r="X747" s="698"/>
      <c r="Y747" s="697"/>
      <c r="Z747" s="697"/>
      <c r="AA747" s="697"/>
      <c r="AB747" s="697"/>
      <c r="AC747" s="697"/>
    </row>
    <row r="748" spans="1:29" x14ac:dyDescent="0.2">
      <c r="A748" s="694" t="str">
        <f>+Info!$B$2</f>
        <v>724</v>
      </c>
      <c r="B748" s="694" t="s">
        <v>6562</v>
      </c>
      <c r="C748" s="694" t="s">
        <v>6563</v>
      </c>
      <c r="D748" s="695" t="s">
        <v>6564</v>
      </c>
      <c r="E748" s="696"/>
      <c r="F748" s="697"/>
      <c r="G748" s="697"/>
      <c r="H748" s="698"/>
      <c r="I748" s="697"/>
      <c r="J748" s="697"/>
      <c r="K748" s="697"/>
      <c r="L748" s="697"/>
      <c r="M748" s="697"/>
      <c r="N748" s="698"/>
      <c r="O748" s="697"/>
      <c r="P748" s="697"/>
      <c r="Q748" s="697"/>
      <c r="R748" s="697"/>
      <c r="S748" s="697"/>
      <c r="T748" s="697"/>
      <c r="U748" s="697"/>
      <c r="V748" s="697"/>
      <c r="W748" s="698"/>
      <c r="X748" s="698"/>
      <c r="Y748" s="697"/>
      <c r="Z748" s="697"/>
      <c r="AA748" s="697"/>
      <c r="AB748" s="697"/>
      <c r="AC748" s="697"/>
    </row>
    <row r="749" spans="1:29" x14ac:dyDescent="0.2">
      <c r="A749" s="694" t="str">
        <f>+Info!$B$2</f>
        <v>724</v>
      </c>
      <c r="B749" s="694" t="s">
        <v>6565</v>
      </c>
      <c r="C749" s="694" t="s">
        <v>6566</v>
      </c>
      <c r="D749" s="695" t="s">
        <v>6567</v>
      </c>
      <c r="E749" s="696"/>
      <c r="F749" s="697"/>
      <c r="G749" s="697"/>
      <c r="H749" s="698"/>
      <c r="I749" s="697"/>
      <c r="J749" s="697"/>
      <c r="K749" s="697"/>
      <c r="L749" s="697"/>
      <c r="M749" s="697"/>
      <c r="N749" s="698"/>
      <c r="O749" s="697"/>
      <c r="P749" s="697"/>
      <c r="Q749" s="697"/>
      <c r="R749" s="697"/>
      <c r="S749" s="697"/>
      <c r="T749" s="697"/>
      <c r="U749" s="697"/>
      <c r="V749" s="697"/>
      <c r="W749" s="698"/>
      <c r="X749" s="698"/>
      <c r="Y749" s="697"/>
      <c r="Z749" s="697"/>
      <c r="AA749" s="697"/>
      <c r="AB749" s="697"/>
      <c r="AC749" s="697"/>
    </row>
    <row r="750" spans="1:29" x14ac:dyDescent="0.2">
      <c r="A750" s="694" t="str">
        <f>+Info!$B$2</f>
        <v>724</v>
      </c>
      <c r="B750" s="694" t="s">
        <v>6568</v>
      </c>
      <c r="C750" s="694" t="s">
        <v>6569</v>
      </c>
      <c r="D750" s="695" t="s">
        <v>6570</v>
      </c>
      <c r="E750" s="696"/>
      <c r="F750" s="697"/>
      <c r="G750" s="697"/>
      <c r="H750" s="698"/>
      <c r="I750" s="697"/>
      <c r="J750" s="697"/>
      <c r="K750" s="697"/>
      <c r="L750" s="697"/>
      <c r="M750" s="697"/>
      <c r="N750" s="698"/>
      <c r="O750" s="697"/>
      <c r="P750" s="697"/>
      <c r="Q750" s="697"/>
      <c r="R750" s="697"/>
      <c r="S750" s="697"/>
      <c r="T750" s="697"/>
      <c r="U750" s="697"/>
      <c r="V750" s="697"/>
      <c r="W750" s="698"/>
      <c r="X750" s="698"/>
      <c r="Y750" s="697"/>
      <c r="Z750" s="697"/>
      <c r="AA750" s="697"/>
      <c r="AB750" s="697"/>
      <c r="AC750" s="697"/>
    </row>
    <row r="751" spans="1:29" ht="15" x14ac:dyDescent="0.25">
      <c r="A751" s="691" t="str">
        <f>+Info!$B$2</f>
        <v>724</v>
      </c>
      <c r="B751" s="691" t="s">
        <v>6571</v>
      </c>
      <c r="C751" s="691" t="s">
        <v>6572</v>
      </c>
      <c r="D751" s="692" t="s">
        <v>6573</v>
      </c>
      <c r="E751" s="693"/>
      <c r="F751" s="701"/>
      <c r="G751" s="701"/>
      <c r="H751" s="701"/>
      <c r="I751" s="701"/>
      <c r="J751" s="701"/>
      <c r="K751" s="701"/>
      <c r="L751" s="701"/>
      <c r="M751" s="701"/>
      <c r="N751" s="701"/>
      <c r="O751" s="701"/>
      <c r="P751" s="701"/>
      <c r="Q751" s="701"/>
      <c r="R751" s="701"/>
      <c r="S751" s="701"/>
      <c r="T751" s="701"/>
      <c r="U751" s="701"/>
      <c r="V751" s="701"/>
      <c r="W751" s="701"/>
      <c r="X751" s="701"/>
      <c r="Y751" s="701"/>
      <c r="Z751" s="701"/>
      <c r="AA751" s="701"/>
      <c r="AB751" s="701"/>
      <c r="AC751" s="701"/>
    </row>
    <row r="752" spans="1:29" x14ac:dyDescent="0.2">
      <c r="A752" s="694" t="str">
        <f>+Info!$B$2</f>
        <v>724</v>
      </c>
      <c r="B752" s="694" t="s">
        <v>6574</v>
      </c>
      <c r="C752" s="694" t="s">
        <v>6575</v>
      </c>
      <c r="D752" s="695" t="s">
        <v>6576</v>
      </c>
      <c r="E752" s="696"/>
      <c r="F752" s="697"/>
      <c r="G752" s="697"/>
      <c r="H752" s="698"/>
      <c r="I752" s="697"/>
      <c r="J752" s="697"/>
      <c r="K752" s="697"/>
      <c r="L752" s="697"/>
      <c r="M752" s="697"/>
      <c r="N752" s="698"/>
      <c r="O752" s="697"/>
      <c r="P752" s="697"/>
      <c r="Q752" s="697"/>
      <c r="R752" s="697"/>
      <c r="S752" s="697"/>
      <c r="T752" s="697"/>
      <c r="U752" s="697"/>
      <c r="V752" s="697"/>
      <c r="W752" s="698"/>
      <c r="X752" s="698"/>
      <c r="Y752" s="697"/>
      <c r="Z752" s="697"/>
      <c r="AA752" s="697"/>
      <c r="AB752" s="697"/>
      <c r="AC752" s="697"/>
    </row>
    <row r="753" spans="1:29" x14ac:dyDescent="0.2">
      <c r="A753" s="694" t="str">
        <f>+Info!$B$2</f>
        <v>724</v>
      </c>
      <c r="B753" s="694" t="s">
        <v>6577</v>
      </c>
      <c r="C753" s="694" t="s">
        <v>6578</v>
      </c>
      <c r="D753" s="695" t="s">
        <v>6579</v>
      </c>
      <c r="E753" s="696"/>
      <c r="F753" s="697"/>
      <c r="G753" s="697"/>
      <c r="H753" s="698"/>
      <c r="I753" s="697"/>
      <c r="J753" s="697"/>
      <c r="K753" s="697"/>
      <c r="L753" s="697"/>
      <c r="M753" s="697"/>
      <c r="N753" s="698"/>
      <c r="O753" s="697"/>
      <c r="P753" s="697"/>
      <c r="Q753" s="697"/>
      <c r="R753" s="697"/>
      <c r="S753" s="697"/>
      <c r="T753" s="697"/>
      <c r="U753" s="697"/>
      <c r="V753" s="697"/>
      <c r="W753" s="698"/>
      <c r="X753" s="698"/>
      <c r="Y753" s="697"/>
      <c r="Z753" s="697"/>
      <c r="AA753" s="697"/>
      <c r="AB753" s="697"/>
      <c r="AC753" s="697"/>
    </row>
    <row r="754" spans="1:29" x14ac:dyDescent="0.2">
      <c r="A754" s="694" t="str">
        <f>+Info!$B$2</f>
        <v>724</v>
      </c>
      <c r="B754" s="694" t="s">
        <v>6580</v>
      </c>
      <c r="C754" s="694" t="s">
        <v>6581</v>
      </c>
      <c r="D754" s="695" t="s">
        <v>6582</v>
      </c>
      <c r="E754" s="696"/>
      <c r="F754" s="697"/>
      <c r="G754" s="697"/>
      <c r="H754" s="698"/>
      <c r="I754" s="697"/>
      <c r="J754" s="697"/>
      <c r="K754" s="697"/>
      <c r="L754" s="697"/>
      <c r="M754" s="697"/>
      <c r="N754" s="698"/>
      <c r="O754" s="697"/>
      <c r="P754" s="697"/>
      <c r="Q754" s="697"/>
      <c r="R754" s="697"/>
      <c r="S754" s="697"/>
      <c r="T754" s="697"/>
      <c r="U754" s="697"/>
      <c r="V754" s="697"/>
      <c r="W754" s="698"/>
      <c r="X754" s="698"/>
      <c r="Y754" s="697"/>
      <c r="Z754" s="697"/>
      <c r="AA754" s="697"/>
      <c r="AB754" s="697"/>
      <c r="AC754" s="697"/>
    </row>
    <row r="755" spans="1:29" x14ac:dyDescent="0.2">
      <c r="A755" s="694" t="str">
        <f>+Info!$B$2</f>
        <v>724</v>
      </c>
      <c r="B755" s="694" t="s">
        <v>6583</v>
      </c>
      <c r="C755" s="694" t="s">
        <v>6584</v>
      </c>
      <c r="D755" s="695" t="s">
        <v>6585</v>
      </c>
      <c r="E755" s="696"/>
      <c r="F755" s="697"/>
      <c r="G755" s="697"/>
      <c r="H755" s="698"/>
      <c r="I755" s="697"/>
      <c r="J755" s="697"/>
      <c r="K755" s="697"/>
      <c r="L755" s="697"/>
      <c r="M755" s="697"/>
      <c r="N755" s="698"/>
      <c r="O755" s="697"/>
      <c r="P755" s="697"/>
      <c r="Q755" s="697"/>
      <c r="R755" s="697"/>
      <c r="S755" s="697"/>
      <c r="T755" s="697"/>
      <c r="U755" s="697"/>
      <c r="V755" s="697"/>
      <c r="W755" s="698"/>
      <c r="X755" s="698"/>
      <c r="Y755" s="697"/>
      <c r="Z755" s="697"/>
      <c r="AA755" s="697"/>
      <c r="AB755" s="697"/>
      <c r="AC755" s="697"/>
    </row>
    <row r="756" spans="1:29" x14ac:dyDescent="0.2">
      <c r="A756" s="694" t="str">
        <f>+Info!$B$2</f>
        <v>724</v>
      </c>
      <c r="B756" s="694" t="s">
        <v>6586</v>
      </c>
      <c r="C756" s="694" t="s">
        <v>6587</v>
      </c>
      <c r="D756" s="695" t="s">
        <v>6588</v>
      </c>
      <c r="E756" s="696"/>
      <c r="F756" s="697"/>
      <c r="G756" s="697"/>
      <c r="H756" s="698"/>
      <c r="I756" s="697"/>
      <c r="J756" s="697"/>
      <c r="K756" s="697"/>
      <c r="L756" s="697"/>
      <c r="M756" s="697"/>
      <c r="N756" s="698"/>
      <c r="O756" s="697"/>
      <c r="P756" s="697"/>
      <c r="Q756" s="697"/>
      <c r="R756" s="697"/>
      <c r="S756" s="697"/>
      <c r="T756" s="697"/>
      <c r="U756" s="697"/>
      <c r="V756" s="697"/>
      <c r="W756" s="698"/>
      <c r="X756" s="698"/>
      <c r="Y756" s="697"/>
      <c r="Z756" s="697"/>
      <c r="AA756" s="697"/>
      <c r="AB756" s="697"/>
      <c r="AC756" s="697"/>
    </row>
    <row r="757" spans="1:29" ht="15" x14ac:dyDescent="0.25">
      <c r="A757" s="691" t="str">
        <f>+Info!$B$2</f>
        <v>724</v>
      </c>
      <c r="B757" s="691" t="s">
        <v>6589</v>
      </c>
      <c r="C757" s="691" t="s">
        <v>6590</v>
      </c>
      <c r="D757" s="692" t="s">
        <v>6591</v>
      </c>
      <c r="E757" s="693"/>
      <c r="F757" s="701"/>
      <c r="G757" s="701"/>
      <c r="H757" s="701"/>
      <c r="I757" s="701"/>
      <c r="J757" s="701"/>
      <c r="K757" s="701"/>
      <c r="L757" s="701"/>
      <c r="M757" s="701"/>
      <c r="N757" s="701"/>
      <c r="O757" s="701"/>
      <c r="P757" s="701"/>
      <c r="Q757" s="701"/>
      <c r="R757" s="701"/>
      <c r="S757" s="701"/>
      <c r="T757" s="701"/>
      <c r="U757" s="701"/>
      <c r="V757" s="701"/>
      <c r="W757" s="701"/>
      <c r="X757" s="701"/>
      <c r="Y757" s="701"/>
      <c r="Z757" s="701"/>
      <c r="AA757" s="701"/>
      <c r="AB757" s="701"/>
      <c r="AC757" s="701"/>
    </row>
    <row r="758" spans="1:29" ht="15" x14ac:dyDescent="0.25">
      <c r="A758" s="691" t="str">
        <f>+Info!$B$2</f>
        <v>724</v>
      </c>
      <c r="B758" s="691" t="s">
        <v>6592</v>
      </c>
      <c r="C758" s="691" t="s">
        <v>6593</v>
      </c>
      <c r="D758" s="692" t="s">
        <v>6594</v>
      </c>
      <c r="E758" s="693"/>
      <c r="F758" s="701"/>
      <c r="G758" s="701"/>
      <c r="H758" s="701"/>
      <c r="I758" s="701"/>
      <c r="J758" s="701"/>
      <c r="K758" s="701"/>
      <c r="L758" s="701"/>
      <c r="M758" s="701"/>
      <c r="N758" s="701"/>
      <c r="O758" s="701"/>
      <c r="P758" s="701"/>
      <c r="Q758" s="701"/>
      <c r="R758" s="701"/>
      <c r="S758" s="701"/>
      <c r="T758" s="701"/>
      <c r="U758" s="701"/>
      <c r="V758" s="701"/>
      <c r="W758" s="701"/>
      <c r="X758" s="701"/>
      <c r="Y758" s="701"/>
      <c r="Z758" s="701"/>
      <c r="AA758" s="701"/>
      <c r="AB758" s="701"/>
      <c r="AC758" s="701"/>
    </row>
    <row r="759" spans="1:29" x14ac:dyDescent="0.2">
      <c r="A759" s="694" t="str">
        <f>+Info!$B$2</f>
        <v>724</v>
      </c>
      <c r="B759" s="694" t="s">
        <v>6595</v>
      </c>
      <c r="C759" s="694" t="s">
        <v>6596</v>
      </c>
      <c r="D759" s="695" t="s">
        <v>6597</v>
      </c>
      <c r="E759" s="696"/>
      <c r="F759" s="697"/>
      <c r="G759" s="697"/>
      <c r="H759" s="698"/>
      <c r="I759" s="697"/>
      <c r="J759" s="697"/>
      <c r="K759" s="697"/>
      <c r="L759" s="697"/>
      <c r="M759" s="697"/>
      <c r="N759" s="698"/>
      <c r="O759" s="697"/>
      <c r="P759" s="697"/>
      <c r="Q759" s="697"/>
      <c r="R759" s="697"/>
      <c r="S759" s="697"/>
      <c r="T759" s="697"/>
      <c r="U759" s="697"/>
      <c r="V759" s="697"/>
      <c r="W759" s="698"/>
      <c r="X759" s="698"/>
      <c r="Y759" s="697"/>
      <c r="Z759" s="697"/>
      <c r="AA759" s="697"/>
      <c r="AB759" s="697"/>
      <c r="AC759" s="697"/>
    </row>
    <row r="760" spans="1:29" x14ac:dyDescent="0.2">
      <c r="A760" s="694" t="str">
        <f>+Info!$B$2</f>
        <v>724</v>
      </c>
      <c r="B760" s="694" t="s">
        <v>6598</v>
      </c>
      <c r="C760" s="694" t="s">
        <v>6599</v>
      </c>
      <c r="D760" s="695" t="s">
        <v>6600</v>
      </c>
      <c r="E760" s="696"/>
      <c r="F760" s="697"/>
      <c r="G760" s="697"/>
      <c r="H760" s="698"/>
      <c r="I760" s="697"/>
      <c r="J760" s="697"/>
      <c r="K760" s="697"/>
      <c r="L760" s="697"/>
      <c r="M760" s="697"/>
      <c r="N760" s="698"/>
      <c r="O760" s="697"/>
      <c r="P760" s="697"/>
      <c r="Q760" s="697"/>
      <c r="R760" s="697"/>
      <c r="S760" s="697"/>
      <c r="T760" s="697"/>
      <c r="U760" s="697"/>
      <c r="V760" s="697"/>
      <c r="W760" s="698"/>
      <c r="X760" s="698"/>
      <c r="Y760" s="697"/>
      <c r="Z760" s="697"/>
      <c r="AA760" s="697"/>
      <c r="AB760" s="697"/>
      <c r="AC760" s="697"/>
    </row>
    <row r="761" spans="1:29" x14ac:dyDescent="0.2">
      <c r="A761" s="694" t="str">
        <f>+Info!$B$2</f>
        <v>724</v>
      </c>
      <c r="B761" s="694" t="s">
        <v>6601</v>
      </c>
      <c r="C761" s="694" t="s">
        <v>6602</v>
      </c>
      <c r="D761" s="695" t="s">
        <v>6603</v>
      </c>
      <c r="E761" s="696"/>
      <c r="F761" s="697"/>
      <c r="G761" s="697"/>
      <c r="H761" s="698"/>
      <c r="I761" s="697"/>
      <c r="J761" s="697"/>
      <c r="K761" s="697"/>
      <c r="L761" s="697"/>
      <c r="M761" s="697"/>
      <c r="N761" s="698"/>
      <c r="O761" s="697"/>
      <c r="P761" s="697"/>
      <c r="Q761" s="697"/>
      <c r="R761" s="697"/>
      <c r="S761" s="697"/>
      <c r="T761" s="697"/>
      <c r="U761" s="697"/>
      <c r="V761" s="697"/>
      <c r="W761" s="698"/>
      <c r="X761" s="698"/>
      <c r="Y761" s="697"/>
      <c r="Z761" s="697"/>
      <c r="AA761" s="697"/>
      <c r="AB761" s="697"/>
      <c r="AC761" s="697"/>
    </row>
    <row r="762" spans="1:29" x14ac:dyDescent="0.2">
      <c r="A762" s="694" t="str">
        <f>+Info!$B$2</f>
        <v>724</v>
      </c>
      <c r="B762" s="694" t="s">
        <v>6604</v>
      </c>
      <c r="C762" s="694" t="s">
        <v>6605</v>
      </c>
      <c r="D762" s="695" t="s">
        <v>6606</v>
      </c>
      <c r="E762" s="696"/>
      <c r="F762" s="697"/>
      <c r="G762" s="697"/>
      <c r="H762" s="698"/>
      <c r="I762" s="697"/>
      <c r="J762" s="697"/>
      <c r="K762" s="697"/>
      <c r="L762" s="697"/>
      <c r="M762" s="697"/>
      <c r="N762" s="698"/>
      <c r="O762" s="697"/>
      <c r="P762" s="697"/>
      <c r="Q762" s="697"/>
      <c r="R762" s="697"/>
      <c r="S762" s="697"/>
      <c r="T762" s="697"/>
      <c r="U762" s="697"/>
      <c r="V762" s="697"/>
      <c r="W762" s="698"/>
      <c r="X762" s="698"/>
      <c r="Y762" s="697"/>
      <c r="Z762" s="697"/>
      <c r="AA762" s="697"/>
      <c r="AB762" s="697"/>
      <c r="AC762" s="697"/>
    </row>
    <row r="763" spans="1:29" x14ac:dyDescent="0.2">
      <c r="A763" s="694" t="str">
        <f>+Info!$B$2</f>
        <v>724</v>
      </c>
      <c r="B763" s="694" t="s">
        <v>6607</v>
      </c>
      <c r="C763" s="694" t="s">
        <v>6608</v>
      </c>
      <c r="D763" s="695" t="s">
        <v>6609</v>
      </c>
      <c r="E763" s="696"/>
      <c r="F763" s="697"/>
      <c r="G763" s="697"/>
      <c r="H763" s="698"/>
      <c r="I763" s="697"/>
      <c r="J763" s="697"/>
      <c r="K763" s="697"/>
      <c r="L763" s="697"/>
      <c r="M763" s="697"/>
      <c r="N763" s="698"/>
      <c r="O763" s="697"/>
      <c r="P763" s="697"/>
      <c r="Q763" s="697"/>
      <c r="R763" s="697"/>
      <c r="S763" s="697"/>
      <c r="T763" s="697"/>
      <c r="U763" s="697"/>
      <c r="V763" s="697"/>
      <c r="W763" s="698"/>
      <c r="X763" s="698"/>
      <c r="Y763" s="697"/>
      <c r="Z763" s="697"/>
      <c r="AA763" s="697"/>
      <c r="AB763" s="697"/>
      <c r="AC763" s="697"/>
    </row>
    <row r="764" spans="1:29" x14ac:dyDescent="0.2">
      <c r="A764" s="694" t="str">
        <f>+Info!$B$2</f>
        <v>724</v>
      </c>
      <c r="B764" s="694" t="s">
        <v>6610</v>
      </c>
      <c r="C764" s="694" t="s">
        <v>6611</v>
      </c>
      <c r="D764" s="695" t="s">
        <v>6612</v>
      </c>
      <c r="E764" s="696"/>
      <c r="F764" s="697"/>
      <c r="G764" s="697"/>
      <c r="H764" s="698"/>
      <c r="I764" s="697"/>
      <c r="J764" s="697"/>
      <c r="K764" s="697"/>
      <c r="L764" s="697"/>
      <c r="M764" s="697"/>
      <c r="N764" s="698"/>
      <c r="O764" s="697"/>
      <c r="P764" s="697"/>
      <c r="Q764" s="697"/>
      <c r="R764" s="697"/>
      <c r="S764" s="697"/>
      <c r="T764" s="697"/>
      <c r="U764" s="697"/>
      <c r="V764" s="697"/>
      <c r="W764" s="698"/>
      <c r="X764" s="698"/>
      <c r="Y764" s="697"/>
      <c r="Z764" s="697"/>
      <c r="AA764" s="697"/>
      <c r="AB764" s="697"/>
      <c r="AC764" s="697"/>
    </row>
    <row r="765" spans="1:29" x14ac:dyDescent="0.2">
      <c r="A765" s="694" t="str">
        <f>+Info!$B$2</f>
        <v>724</v>
      </c>
      <c r="B765" s="694" t="s">
        <v>6613</v>
      </c>
      <c r="C765" s="694" t="s">
        <v>6614</v>
      </c>
      <c r="D765" s="695" t="s">
        <v>6615</v>
      </c>
      <c r="E765" s="696"/>
      <c r="F765" s="697"/>
      <c r="G765" s="697"/>
      <c r="H765" s="698"/>
      <c r="I765" s="697"/>
      <c r="J765" s="697"/>
      <c r="K765" s="697"/>
      <c r="L765" s="697"/>
      <c r="M765" s="697"/>
      <c r="N765" s="698"/>
      <c r="O765" s="697"/>
      <c r="P765" s="697"/>
      <c r="Q765" s="697"/>
      <c r="R765" s="697"/>
      <c r="S765" s="697"/>
      <c r="T765" s="697"/>
      <c r="U765" s="697"/>
      <c r="V765" s="697"/>
      <c r="W765" s="698"/>
      <c r="X765" s="698"/>
      <c r="Y765" s="697"/>
      <c r="Z765" s="697"/>
      <c r="AA765" s="697"/>
      <c r="AB765" s="697"/>
      <c r="AC765" s="697"/>
    </row>
    <row r="766" spans="1:29" x14ac:dyDescent="0.2">
      <c r="A766" s="694" t="str">
        <f>+Info!$B$2</f>
        <v>724</v>
      </c>
      <c r="B766" s="694" t="s">
        <v>6616</v>
      </c>
      <c r="C766" s="694" t="s">
        <v>6617</v>
      </c>
      <c r="D766" s="695" t="s">
        <v>6618</v>
      </c>
      <c r="E766" s="696"/>
      <c r="F766" s="697"/>
      <c r="G766" s="697"/>
      <c r="H766" s="698"/>
      <c r="I766" s="697"/>
      <c r="J766" s="697"/>
      <c r="K766" s="697"/>
      <c r="L766" s="697"/>
      <c r="M766" s="697"/>
      <c r="N766" s="698"/>
      <c r="O766" s="697"/>
      <c r="P766" s="697"/>
      <c r="Q766" s="697"/>
      <c r="R766" s="697"/>
      <c r="S766" s="697"/>
      <c r="T766" s="697"/>
      <c r="U766" s="697"/>
      <c r="V766" s="697"/>
      <c r="W766" s="698"/>
      <c r="X766" s="698"/>
      <c r="Y766" s="697"/>
      <c r="Z766" s="697"/>
      <c r="AA766" s="697"/>
      <c r="AB766" s="697"/>
      <c r="AC766" s="697"/>
    </row>
    <row r="767" spans="1:29" ht="15" x14ac:dyDescent="0.25">
      <c r="A767" s="691" t="str">
        <f>+Info!$B$2</f>
        <v>724</v>
      </c>
      <c r="B767" s="691" t="s">
        <v>6619</v>
      </c>
      <c r="C767" s="691" t="s">
        <v>6620</v>
      </c>
      <c r="D767" s="692" t="s">
        <v>6621</v>
      </c>
      <c r="E767" s="693"/>
      <c r="F767" s="701"/>
      <c r="G767" s="701"/>
      <c r="H767" s="701"/>
      <c r="I767" s="701"/>
      <c r="J767" s="701"/>
      <c r="K767" s="701"/>
      <c r="L767" s="701"/>
      <c r="M767" s="701"/>
      <c r="N767" s="701"/>
      <c r="O767" s="701"/>
      <c r="P767" s="701"/>
      <c r="Q767" s="701"/>
      <c r="R767" s="701"/>
      <c r="S767" s="701"/>
      <c r="T767" s="701"/>
      <c r="U767" s="701"/>
      <c r="V767" s="701"/>
      <c r="W767" s="701"/>
      <c r="X767" s="701"/>
      <c r="Y767" s="701"/>
      <c r="Z767" s="701"/>
      <c r="AA767" s="701"/>
      <c r="AB767" s="701"/>
      <c r="AC767" s="701"/>
    </row>
    <row r="768" spans="1:29" x14ac:dyDescent="0.2">
      <c r="A768" s="694" t="str">
        <f>+Info!$B$2</f>
        <v>724</v>
      </c>
      <c r="B768" s="694" t="s">
        <v>6622</v>
      </c>
      <c r="C768" s="694" t="s">
        <v>6623</v>
      </c>
      <c r="D768" s="695" t="s">
        <v>6624</v>
      </c>
      <c r="E768" s="696"/>
      <c r="F768" s="697"/>
      <c r="G768" s="697"/>
      <c r="H768" s="698"/>
      <c r="I768" s="697"/>
      <c r="J768" s="697"/>
      <c r="K768" s="697"/>
      <c r="L768" s="697"/>
      <c r="M768" s="697"/>
      <c r="N768" s="698"/>
      <c r="O768" s="697"/>
      <c r="P768" s="697"/>
      <c r="Q768" s="697"/>
      <c r="R768" s="697"/>
      <c r="S768" s="697"/>
      <c r="T768" s="697"/>
      <c r="U768" s="697"/>
      <c r="V768" s="697"/>
      <c r="W768" s="698"/>
      <c r="X768" s="698"/>
      <c r="Y768" s="697"/>
      <c r="Z768" s="697"/>
      <c r="AA768" s="697"/>
      <c r="AB768" s="697"/>
      <c r="AC768" s="697"/>
    </row>
    <row r="769" spans="1:29" x14ac:dyDescent="0.2">
      <c r="A769" s="694" t="str">
        <f>+Info!$B$2</f>
        <v>724</v>
      </c>
      <c r="B769" s="694" t="s">
        <v>6625</v>
      </c>
      <c r="C769" s="694" t="s">
        <v>6626</v>
      </c>
      <c r="D769" s="695" t="s">
        <v>6627</v>
      </c>
      <c r="E769" s="696"/>
      <c r="F769" s="697"/>
      <c r="G769" s="697"/>
      <c r="H769" s="698"/>
      <c r="I769" s="697"/>
      <c r="J769" s="697"/>
      <c r="K769" s="697"/>
      <c r="L769" s="697"/>
      <c r="M769" s="697"/>
      <c r="N769" s="698"/>
      <c r="O769" s="697"/>
      <c r="P769" s="697"/>
      <c r="Q769" s="697"/>
      <c r="R769" s="697"/>
      <c r="S769" s="697"/>
      <c r="T769" s="697"/>
      <c r="U769" s="697"/>
      <c r="V769" s="697"/>
      <c r="W769" s="698"/>
      <c r="X769" s="698"/>
      <c r="Y769" s="697"/>
      <c r="Z769" s="697"/>
      <c r="AA769" s="697"/>
      <c r="AB769" s="697"/>
      <c r="AC769" s="697"/>
    </row>
    <row r="770" spans="1:29" ht="15" x14ac:dyDescent="0.25">
      <c r="A770" s="691" t="str">
        <f>+Info!$B$2</f>
        <v>724</v>
      </c>
      <c r="B770" s="691" t="s">
        <v>2257</v>
      </c>
      <c r="C770" s="691" t="s">
        <v>6628</v>
      </c>
      <c r="D770" s="692" t="s">
        <v>6629</v>
      </c>
      <c r="E770" s="693"/>
      <c r="F770" s="701"/>
      <c r="G770" s="701"/>
      <c r="H770" s="701"/>
      <c r="I770" s="701"/>
      <c r="J770" s="701"/>
      <c r="K770" s="701"/>
      <c r="L770" s="701"/>
      <c r="M770" s="701"/>
      <c r="N770" s="701"/>
      <c r="O770" s="701"/>
      <c r="P770" s="701"/>
      <c r="Q770" s="701"/>
      <c r="R770" s="701"/>
      <c r="S770" s="701"/>
      <c r="T770" s="701"/>
      <c r="U770" s="701"/>
      <c r="V770" s="701"/>
      <c r="W770" s="701"/>
      <c r="X770" s="701"/>
      <c r="Y770" s="701"/>
      <c r="Z770" s="701"/>
      <c r="AA770" s="701"/>
      <c r="AB770" s="701"/>
      <c r="AC770" s="701"/>
    </row>
    <row r="771" spans="1:29" ht="15" x14ac:dyDescent="0.25">
      <c r="A771" s="691" t="str">
        <f>+Info!$B$2</f>
        <v>724</v>
      </c>
      <c r="B771" s="691" t="s">
        <v>2578</v>
      </c>
      <c r="C771" s="691" t="s">
        <v>6630</v>
      </c>
      <c r="D771" s="692" t="s">
        <v>6631</v>
      </c>
      <c r="E771" s="693"/>
      <c r="F771" s="701"/>
      <c r="G771" s="701"/>
      <c r="H771" s="701"/>
      <c r="I771" s="701"/>
      <c r="J771" s="701"/>
      <c r="K771" s="701"/>
      <c r="L771" s="701"/>
      <c r="M771" s="701"/>
      <c r="N771" s="701"/>
      <c r="O771" s="701"/>
      <c r="P771" s="701"/>
      <c r="Q771" s="701"/>
      <c r="R771" s="701"/>
      <c r="S771" s="701"/>
      <c r="T771" s="701"/>
      <c r="U771" s="701"/>
      <c r="V771" s="701"/>
      <c r="W771" s="701"/>
      <c r="X771" s="701"/>
      <c r="Y771" s="701"/>
      <c r="Z771" s="701"/>
      <c r="AA771" s="701"/>
      <c r="AB771" s="701"/>
      <c r="AC771" s="701"/>
    </row>
    <row r="772" spans="1:29" x14ac:dyDescent="0.2">
      <c r="A772" s="694" t="str">
        <f>+Info!$B$2</f>
        <v>724</v>
      </c>
      <c r="B772" s="694" t="s">
        <v>6632</v>
      </c>
      <c r="C772" s="694" t="s">
        <v>6633</v>
      </c>
      <c r="D772" s="695" t="s">
        <v>6634</v>
      </c>
      <c r="E772" s="696"/>
      <c r="F772" s="697"/>
      <c r="G772" s="697"/>
      <c r="H772" s="698"/>
      <c r="I772" s="697"/>
      <c r="J772" s="697"/>
      <c r="K772" s="697"/>
      <c r="L772" s="697"/>
      <c r="M772" s="697"/>
      <c r="N772" s="698"/>
      <c r="O772" s="697"/>
      <c r="P772" s="697"/>
      <c r="Q772" s="697"/>
      <c r="R772" s="697"/>
      <c r="S772" s="697"/>
      <c r="T772" s="697"/>
      <c r="U772" s="697"/>
      <c r="V772" s="697"/>
      <c r="W772" s="698"/>
      <c r="X772" s="698"/>
      <c r="Y772" s="697"/>
      <c r="Z772" s="697"/>
      <c r="AA772" s="697"/>
      <c r="AB772" s="697"/>
      <c r="AC772" s="697"/>
    </row>
    <row r="773" spans="1:29" x14ac:dyDescent="0.2">
      <c r="A773" s="694" t="str">
        <f>+Info!$B$2</f>
        <v>724</v>
      </c>
      <c r="B773" s="694" t="s">
        <v>6635</v>
      </c>
      <c r="C773" s="694" t="s">
        <v>6636</v>
      </c>
      <c r="D773" s="695" t="s">
        <v>6637</v>
      </c>
      <c r="E773" s="696"/>
      <c r="F773" s="697"/>
      <c r="G773" s="697"/>
      <c r="H773" s="698"/>
      <c r="I773" s="697"/>
      <c r="J773" s="697"/>
      <c r="K773" s="697"/>
      <c r="L773" s="697"/>
      <c r="M773" s="697"/>
      <c r="N773" s="698"/>
      <c r="O773" s="697"/>
      <c r="P773" s="697"/>
      <c r="Q773" s="697"/>
      <c r="R773" s="697"/>
      <c r="S773" s="697"/>
      <c r="T773" s="697"/>
      <c r="U773" s="697"/>
      <c r="V773" s="697"/>
      <c r="W773" s="698"/>
      <c r="X773" s="698"/>
      <c r="Y773" s="697"/>
      <c r="Z773" s="697"/>
      <c r="AA773" s="697"/>
      <c r="AB773" s="697"/>
      <c r="AC773" s="697"/>
    </row>
    <row r="774" spans="1:29" x14ac:dyDescent="0.2">
      <c r="A774" s="694" t="str">
        <f>+Info!$B$2</f>
        <v>724</v>
      </c>
      <c r="B774" s="694" t="s">
        <v>6638</v>
      </c>
      <c r="C774" s="694" t="s">
        <v>6639</v>
      </c>
      <c r="D774" s="695" t="s">
        <v>6640</v>
      </c>
      <c r="E774" s="696"/>
      <c r="F774" s="697"/>
      <c r="G774" s="697"/>
      <c r="H774" s="698"/>
      <c r="I774" s="697"/>
      <c r="J774" s="697"/>
      <c r="K774" s="697"/>
      <c r="L774" s="697"/>
      <c r="M774" s="697"/>
      <c r="N774" s="698"/>
      <c r="O774" s="697"/>
      <c r="P774" s="697"/>
      <c r="Q774" s="697"/>
      <c r="R774" s="697"/>
      <c r="S774" s="697"/>
      <c r="T774" s="697"/>
      <c r="U774" s="697"/>
      <c r="V774" s="697"/>
      <c r="W774" s="698"/>
      <c r="X774" s="698"/>
      <c r="Y774" s="697"/>
      <c r="Z774" s="697"/>
      <c r="AA774" s="697"/>
      <c r="AB774" s="697"/>
      <c r="AC774" s="697"/>
    </row>
    <row r="775" spans="1:29" ht="15" x14ac:dyDescent="0.25">
      <c r="A775" s="691" t="str">
        <f>+Info!$B$2</f>
        <v>724</v>
      </c>
      <c r="B775" s="691" t="s">
        <v>6641</v>
      </c>
      <c r="C775" s="691" t="s">
        <v>6642</v>
      </c>
      <c r="D775" s="692" t="s">
        <v>6643</v>
      </c>
      <c r="E775" s="693"/>
      <c r="F775" s="701"/>
      <c r="G775" s="701"/>
      <c r="H775" s="701"/>
      <c r="I775" s="701"/>
      <c r="J775" s="701"/>
      <c r="K775" s="701"/>
      <c r="L775" s="701"/>
      <c r="M775" s="701"/>
      <c r="N775" s="701"/>
      <c r="O775" s="701"/>
      <c r="P775" s="701"/>
      <c r="Q775" s="701"/>
      <c r="R775" s="701"/>
      <c r="S775" s="701"/>
      <c r="T775" s="701"/>
      <c r="U775" s="701"/>
      <c r="V775" s="701"/>
      <c r="W775" s="701"/>
      <c r="X775" s="701"/>
      <c r="Y775" s="701"/>
      <c r="Z775" s="701"/>
      <c r="AA775" s="701"/>
      <c r="AB775" s="701"/>
      <c r="AC775" s="701"/>
    </row>
    <row r="776" spans="1:29" x14ac:dyDescent="0.2">
      <c r="A776" s="694" t="str">
        <f>+Info!$B$2</f>
        <v>724</v>
      </c>
      <c r="B776" s="694" t="s">
        <v>6644</v>
      </c>
      <c r="C776" s="694" t="s">
        <v>6645</v>
      </c>
      <c r="D776" s="695" t="s">
        <v>6634</v>
      </c>
      <c r="E776" s="696"/>
      <c r="F776" s="697"/>
      <c r="G776" s="697"/>
      <c r="H776" s="698"/>
      <c r="I776" s="697"/>
      <c r="J776" s="697"/>
      <c r="K776" s="697"/>
      <c r="L776" s="697"/>
      <c r="M776" s="697"/>
      <c r="N776" s="698"/>
      <c r="O776" s="697"/>
      <c r="P776" s="697"/>
      <c r="Q776" s="697"/>
      <c r="R776" s="697"/>
      <c r="S776" s="697"/>
      <c r="T776" s="697"/>
      <c r="U776" s="697"/>
      <c r="V776" s="697"/>
      <c r="W776" s="698"/>
      <c r="X776" s="698"/>
      <c r="Y776" s="697"/>
      <c r="Z776" s="697"/>
      <c r="AA776" s="697"/>
      <c r="AB776" s="697"/>
      <c r="AC776" s="697"/>
    </row>
    <row r="777" spans="1:29" x14ac:dyDescent="0.2">
      <c r="A777" s="694" t="str">
        <f>+Info!$B$2</f>
        <v>724</v>
      </c>
      <c r="B777" s="694" t="s">
        <v>6646</v>
      </c>
      <c r="C777" s="694" t="s">
        <v>6647</v>
      </c>
      <c r="D777" s="695" t="s">
        <v>6637</v>
      </c>
      <c r="E777" s="696"/>
      <c r="F777" s="697"/>
      <c r="G777" s="697"/>
      <c r="H777" s="698"/>
      <c r="I777" s="697"/>
      <c r="J777" s="697"/>
      <c r="K777" s="697"/>
      <c r="L777" s="697"/>
      <c r="M777" s="697"/>
      <c r="N777" s="698"/>
      <c r="O777" s="697"/>
      <c r="P777" s="697"/>
      <c r="Q777" s="697"/>
      <c r="R777" s="697"/>
      <c r="S777" s="697"/>
      <c r="T777" s="697"/>
      <c r="U777" s="697"/>
      <c r="V777" s="697"/>
      <c r="W777" s="698"/>
      <c r="X777" s="698"/>
      <c r="Y777" s="697"/>
      <c r="Z777" s="697"/>
      <c r="AA777" s="697"/>
      <c r="AB777" s="697"/>
      <c r="AC777" s="697"/>
    </row>
    <row r="778" spans="1:29" x14ac:dyDescent="0.2">
      <c r="A778" s="694" t="str">
        <f>+Info!$B$2</f>
        <v>724</v>
      </c>
      <c r="B778" s="694" t="s">
        <v>6648</v>
      </c>
      <c r="C778" s="694" t="s">
        <v>6649</v>
      </c>
      <c r="D778" s="695" t="s">
        <v>6640</v>
      </c>
      <c r="E778" s="696"/>
      <c r="F778" s="697"/>
      <c r="G778" s="697"/>
      <c r="H778" s="698"/>
      <c r="I778" s="697"/>
      <c r="J778" s="697"/>
      <c r="K778" s="697"/>
      <c r="L778" s="697"/>
      <c r="M778" s="697"/>
      <c r="N778" s="698"/>
      <c r="O778" s="697"/>
      <c r="P778" s="697"/>
      <c r="Q778" s="697"/>
      <c r="R778" s="697"/>
      <c r="S778" s="697"/>
      <c r="T778" s="697"/>
      <c r="U778" s="697"/>
      <c r="V778" s="697"/>
      <c r="W778" s="698"/>
      <c r="X778" s="698"/>
      <c r="Y778" s="697"/>
      <c r="Z778" s="697"/>
      <c r="AA778" s="697"/>
      <c r="AB778" s="697"/>
      <c r="AC778" s="697"/>
    </row>
    <row r="779" spans="1:29" ht="15" x14ac:dyDescent="0.25">
      <c r="A779" s="691" t="str">
        <f>+Info!$B$2</f>
        <v>724</v>
      </c>
      <c r="B779" s="691" t="s">
        <v>6650</v>
      </c>
      <c r="C779" s="691" t="s">
        <v>6651</v>
      </c>
      <c r="D779" s="692" t="s">
        <v>6652</v>
      </c>
      <c r="E779" s="693"/>
      <c r="F779" s="701"/>
      <c r="G779" s="701"/>
      <c r="H779" s="701"/>
      <c r="I779" s="701"/>
      <c r="J779" s="701"/>
      <c r="K779" s="701"/>
      <c r="L779" s="701"/>
      <c r="M779" s="701"/>
      <c r="N779" s="701"/>
      <c r="O779" s="701"/>
      <c r="P779" s="701"/>
      <c r="Q779" s="701"/>
      <c r="R779" s="701"/>
      <c r="S779" s="701"/>
      <c r="T779" s="701"/>
      <c r="U779" s="701"/>
      <c r="V779" s="701"/>
      <c r="W779" s="701"/>
      <c r="X779" s="701"/>
      <c r="Y779" s="701"/>
      <c r="Z779" s="701"/>
      <c r="AA779" s="701"/>
      <c r="AB779" s="701"/>
      <c r="AC779" s="701"/>
    </row>
    <row r="780" spans="1:29" x14ac:dyDescent="0.2">
      <c r="A780" s="694" t="str">
        <f>+Info!$B$2</f>
        <v>724</v>
      </c>
      <c r="B780" s="694" t="s">
        <v>6653</v>
      </c>
      <c r="C780" s="694" t="s">
        <v>6654</v>
      </c>
      <c r="D780" s="695" t="s">
        <v>6655</v>
      </c>
      <c r="E780" s="696"/>
      <c r="F780" s="703"/>
      <c r="G780" s="703"/>
      <c r="H780" s="698"/>
      <c r="I780" s="698"/>
      <c r="J780" s="697"/>
      <c r="K780" s="697"/>
      <c r="L780" s="697"/>
      <c r="M780" s="697"/>
      <c r="N780" s="698"/>
      <c r="O780" s="697"/>
      <c r="P780" s="697"/>
      <c r="Q780" s="697"/>
      <c r="R780" s="697"/>
      <c r="S780" s="697"/>
      <c r="T780" s="697"/>
      <c r="U780" s="697"/>
      <c r="V780" s="697"/>
      <c r="W780" s="698"/>
      <c r="X780" s="698"/>
      <c r="Y780" s="697"/>
      <c r="Z780" s="697"/>
      <c r="AA780" s="697"/>
      <c r="AB780" s="697"/>
      <c r="AC780" s="697"/>
    </row>
    <row r="781" spans="1:29" x14ac:dyDescent="0.2">
      <c r="A781" s="694" t="str">
        <f>+Info!$B$2</f>
        <v>724</v>
      </c>
      <c r="B781" s="694" t="s">
        <v>6656</v>
      </c>
      <c r="C781" s="694" t="s">
        <v>6657</v>
      </c>
      <c r="D781" s="695" t="s">
        <v>6658</v>
      </c>
      <c r="E781" s="696"/>
      <c r="F781" s="703"/>
      <c r="G781" s="703"/>
      <c r="H781" s="698"/>
      <c r="I781" s="698"/>
      <c r="J781" s="697"/>
      <c r="K781" s="697"/>
      <c r="L781" s="697"/>
      <c r="M781" s="697"/>
      <c r="N781" s="698"/>
      <c r="O781" s="697"/>
      <c r="P781" s="697"/>
      <c r="Q781" s="697"/>
      <c r="R781" s="697"/>
      <c r="S781" s="697"/>
      <c r="T781" s="697"/>
      <c r="U781" s="697"/>
      <c r="V781" s="697"/>
      <c r="W781" s="698"/>
      <c r="X781" s="698"/>
      <c r="Y781" s="697"/>
      <c r="Z781" s="697"/>
      <c r="AA781" s="697"/>
      <c r="AB781" s="697"/>
      <c r="AC781" s="697"/>
    </row>
    <row r="782" spans="1:29" x14ac:dyDescent="0.2">
      <c r="A782" s="694" t="str">
        <f>+Info!$B$2</f>
        <v>724</v>
      </c>
      <c r="B782" s="694" t="s">
        <v>6659</v>
      </c>
      <c r="C782" s="694" t="s">
        <v>6660</v>
      </c>
      <c r="D782" s="695" t="s">
        <v>6661</v>
      </c>
      <c r="E782" s="696"/>
      <c r="F782" s="703"/>
      <c r="G782" s="703"/>
      <c r="H782" s="698"/>
      <c r="I782" s="697"/>
      <c r="J782" s="697"/>
      <c r="K782" s="697"/>
      <c r="L782" s="697"/>
      <c r="M782" s="697"/>
      <c r="N782" s="698"/>
      <c r="O782" s="697"/>
      <c r="P782" s="697"/>
      <c r="Q782" s="697"/>
      <c r="R782" s="697"/>
      <c r="S782" s="697"/>
      <c r="T782" s="697"/>
      <c r="U782" s="697"/>
      <c r="V782" s="697"/>
      <c r="W782" s="698"/>
      <c r="X782" s="698"/>
      <c r="Y782" s="697"/>
      <c r="Z782" s="697"/>
      <c r="AA782" s="697"/>
      <c r="AB782" s="697"/>
      <c r="AC782" s="697"/>
    </row>
    <row r="783" spans="1:29" x14ac:dyDescent="0.2">
      <c r="A783" s="694" t="str">
        <f>+Info!$B$2</f>
        <v>724</v>
      </c>
      <c r="B783" s="694" t="s">
        <v>6662</v>
      </c>
      <c r="C783" s="694" t="s">
        <v>6663</v>
      </c>
      <c r="D783" s="695" t="s">
        <v>6664</v>
      </c>
      <c r="E783" s="696"/>
      <c r="F783" s="703"/>
      <c r="G783" s="703"/>
      <c r="H783" s="698"/>
      <c r="I783" s="697"/>
      <c r="J783" s="697"/>
      <c r="K783" s="697"/>
      <c r="L783" s="697"/>
      <c r="M783" s="697"/>
      <c r="N783" s="698"/>
      <c r="O783" s="697"/>
      <c r="P783" s="697"/>
      <c r="Q783" s="697"/>
      <c r="R783" s="697"/>
      <c r="S783" s="697"/>
      <c r="T783" s="697"/>
      <c r="U783" s="697"/>
      <c r="V783" s="697"/>
      <c r="W783" s="698"/>
      <c r="X783" s="698"/>
      <c r="Y783" s="697"/>
      <c r="Z783" s="697"/>
      <c r="AA783" s="697"/>
      <c r="AB783" s="697"/>
      <c r="AC783" s="697"/>
    </row>
    <row r="784" spans="1:29" x14ac:dyDescent="0.2">
      <c r="A784" s="694" t="str">
        <f>+Info!$B$2</f>
        <v>724</v>
      </c>
      <c r="B784" s="694" t="s">
        <v>6665</v>
      </c>
      <c r="C784" s="694" t="s">
        <v>6666</v>
      </c>
      <c r="D784" s="695" t="s">
        <v>6667</v>
      </c>
      <c r="E784" s="696"/>
      <c r="F784" s="703"/>
      <c r="G784" s="703"/>
      <c r="H784" s="698"/>
      <c r="I784" s="697"/>
      <c r="J784" s="697"/>
      <c r="K784" s="697"/>
      <c r="L784" s="697"/>
      <c r="M784" s="697"/>
      <c r="N784" s="698"/>
      <c r="O784" s="697"/>
      <c r="P784" s="697"/>
      <c r="Q784" s="697"/>
      <c r="R784" s="697"/>
      <c r="S784" s="697"/>
      <c r="T784" s="697"/>
      <c r="U784" s="697"/>
      <c r="V784" s="697"/>
      <c r="W784" s="698"/>
      <c r="X784" s="698"/>
      <c r="Y784" s="697"/>
      <c r="Z784" s="697"/>
      <c r="AA784" s="697"/>
      <c r="AB784" s="697"/>
      <c r="AC784" s="697"/>
    </row>
    <row r="785" spans="1:29" x14ac:dyDescent="0.2">
      <c r="A785" s="694" t="str">
        <f>+Info!$B$2</f>
        <v>724</v>
      </c>
      <c r="B785" s="694" t="s">
        <v>6668</v>
      </c>
      <c r="C785" s="694" t="s">
        <v>6669</v>
      </c>
      <c r="D785" s="695" t="s">
        <v>6670</v>
      </c>
      <c r="E785" s="696"/>
      <c r="F785" s="703"/>
      <c r="G785" s="703"/>
      <c r="H785" s="698"/>
      <c r="I785" s="697"/>
      <c r="J785" s="697"/>
      <c r="K785" s="697"/>
      <c r="L785" s="697"/>
      <c r="M785" s="697"/>
      <c r="N785" s="698"/>
      <c r="O785" s="697"/>
      <c r="P785" s="697"/>
      <c r="Q785" s="697"/>
      <c r="R785" s="697"/>
      <c r="S785" s="697"/>
      <c r="T785" s="697"/>
      <c r="U785" s="697"/>
      <c r="V785" s="697"/>
      <c r="W785" s="698"/>
      <c r="X785" s="698"/>
      <c r="Y785" s="697"/>
      <c r="Z785" s="697"/>
      <c r="AA785" s="697"/>
      <c r="AB785" s="697"/>
      <c r="AC785" s="697"/>
    </row>
    <row r="786" spans="1:29" x14ac:dyDescent="0.2">
      <c r="A786" s="694" t="str">
        <f>+Info!$B$2</f>
        <v>724</v>
      </c>
      <c r="B786" s="694" t="s">
        <v>6671</v>
      </c>
      <c r="C786" s="694" t="s">
        <v>6672</v>
      </c>
      <c r="D786" s="695" t="s">
        <v>6673</v>
      </c>
      <c r="E786" s="696"/>
      <c r="F786" s="703"/>
      <c r="G786" s="703"/>
      <c r="H786" s="698"/>
      <c r="I786" s="697"/>
      <c r="J786" s="697"/>
      <c r="K786" s="697"/>
      <c r="L786" s="697"/>
      <c r="M786" s="697"/>
      <c r="N786" s="698"/>
      <c r="O786" s="697"/>
      <c r="P786" s="697"/>
      <c r="Q786" s="697"/>
      <c r="R786" s="697"/>
      <c r="S786" s="697"/>
      <c r="T786" s="697"/>
      <c r="U786" s="697"/>
      <c r="V786" s="697"/>
      <c r="W786" s="698"/>
      <c r="X786" s="698"/>
      <c r="Y786" s="697"/>
      <c r="Z786" s="697"/>
      <c r="AA786" s="697"/>
      <c r="AB786" s="697"/>
      <c r="AC786" s="697"/>
    </row>
    <row r="787" spans="1:29" x14ac:dyDescent="0.2">
      <c r="A787" s="694" t="str">
        <f>+Info!$B$2</f>
        <v>724</v>
      </c>
      <c r="B787" s="694" t="s">
        <v>6674</v>
      </c>
      <c r="C787" s="694" t="s">
        <v>6675</v>
      </c>
      <c r="D787" s="695" t="s">
        <v>6676</v>
      </c>
      <c r="E787" s="696"/>
      <c r="F787" s="703"/>
      <c r="G787" s="703"/>
      <c r="H787" s="698"/>
      <c r="I787" s="697"/>
      <c r="J787" s="697"/>
      <c r="K787" s="697"/>
      <c r="L787" s="697"/>
      <c r="M787" s="697"/>
      <c r="N787" s="698"/>
      <c r="O787" s="697"/>
      <c r="P787" s="697"/>
      <c r="Q787" s="697"/>
      <c r="R787" s="697"/>
      <c r="S787" s="697"/>
      <c r="T787" s="697"/>
      <c r="U787" s="697"/>
      <c r="V787" s="697"/>
      <c r="W787" s="698"/>
      <c r="X787" s="698"/>
      <c r="Y787" s="697"/>
      <c r="Z787" s="697"/>
      <c r="AA787" s="697"/>
      <c r="AB787" s="697"/>
      <c r="AC787" s="697"/>
    </row>
    <row r="788" spans="1:29" x14ac:dyDescent="0.2">
      <c r="A788" s="694" t="str">
        <f>+Info!$B$2</f>
        <v>724</v>
      </c>
      <c r="B788" s="694" t="s">
        <v>6677</v>
      </c>
      <c r="C788" s="694" t="s">
        <v>6678</v>
      </c>
      <c r="D788" s="695" t="s">
        <v>6679</v>
      </c>
      <c r="E788" s="696"/>
      <c r="F788" s="697"/>
      <c r="G788" s="697"/>
      <c r="H788" s="698">
        <v>34289</v>
      </c>
      <c r="I788" s="697"/>
      <c r="J788" s="697"/>
      <c r="K788" s="698">
        <f>1696109+1</f>
        <v>1696110</v>
      </c>
      <c r="L788" s="698"/>
      <c r="M788" s="698"/>
      <c r="N788" s="698"/>
      <c r="O788" s="697"/>
      <c r="P788" s="697"/>
      <c r="Q788" s="697"/>
      <c r="R788" s="697"/>
      <c r="S788" s="697"/>
      <c r="T788" s="697"/>
      <c r="U788" s="697"/>
      <c r="V788" s="697"/>
      <c r="W788" s="698"/>
      <c r="X788" s="698"/>
      <c r="Y788" s="697"/>
      <c r="Z788" s="697"/>
      <c r="AA788" s="697"/>
      <c r="AB788" s="697"/>
      <c r="AC788" s="697"/>
    </row>
    <row r="789" spans="1:29" x14ac:dyDescent="0.2">
      <c r="A789" s="694" t="str">
        <f>+Info!$B$2</f>
        <v>724</v>
      </c>
      <c r="B789" s="694" t="s">
        <v>6680</v>
      </c>
      <c r="C789" s="694" t="s">
        <v>6681</v>
      </c>
      <c r="D789" s="695" t="s">
        <v>6682</v>
      </c>
      <c r="E789" s="696"/>
      <c r="F789" s="697"/>
      <c r="G789" s="697"/>
      <c r="H789" s="698"/>
      <c r="I789" s="697"/>
      <c r="J789" s="697"/>
      <c r="K789" s="697"/>
      <c r="L789" s="697"/>
      <c r="M789" s="697"/>
      <c r="N789" s="698"/>
      <c r="O789" s="697"/>
      <c r="P789" s="697"/>
      <c r="Q789" s="697"/>
      <c r="R789" s="697"/>
      <c r="S789" s="697"/>
      <c r="T789" s="697"/>
      <c r="U789" s="697"/>
      <c r="V789" s="697"/>
      <c r="W789" s="698"/>
      <c r="X789" s="698"/>
      <c r="Y789" s="697"/>
      <c r="Z789" s="697"/>
      <c r="AA789" s="697"/>
      <c r="AB789" s="697"/>
      <c r="AC789" s="697"/>
    </row>
  </sheetData>
  <sheetProtection password="9E7F" sheet="1" objects="1" scenarios="1"/>
  <autoFilter ref="C5:AB789"/>
  <mergeCells count="4">
    <mergeCell ref="F2:G2"/>
    <mergeCell ref="H2:N2"/>
    <mergeCell ref="O2:X2"/>
    <mergeCell ref="Y2:AA2"/>
  </mergeCells>
  <pageMargins left="0.70833333333333337" right="0.70833333333333337" top="0.74791666666666667" bottom="0.74791666666666667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2:AC789"/>
  <sheetViews>
    <sheetView showGridLines="0" topLeftCell="M1" zoomScale="80" zoomScaleNormal="80" zoomScaleSheetLayoutView="80" workbookViewId="0">
      <selection activeCell="X3" sqref="X3"/>
    </sheetView>
  </sheetViews>
  <sheetFormatPr defaultRowHeight="14.25" x14ac:dyDescent="0.2"/>
  <cols>
    <col min="1" max="1" width="5.5703125" style="671" customWidth="1"/>
    <col min="2" max="2" width="26.42578125" style="671" customWidth="1"/>
    <col min="3" max="3" width="23" style="671" customWidth="1"/>
    <col min="4" max="4" width="100.7109375" style="672" customWidth="1"/>
    <col min="5" max="5" width="9.140625" style="673"/>
    <col min="6" max="23" width="20.7109375" style="673" customWidth="1"/>
    <col min="24" max="24" width="24.7109375" style="673" customWidth="1"/>
    <col min="25" max="28" width="20.7109375" style="673" customWidth="1"/>
    <col min="29" max="29" width="27.7109375" style="673" customWidth="1"/>
    <col min="30" max="16384" width="9.140625" style="673"/>
  </cols>
  <sheetData>
    <row r="2" spans="1:29" s="676" customFormat="1" ht="38.25" customHeight="1" x14ac:dyDescent="0.2">
      <c r="A2" s="674"/>
      <c r="B2" s="674"/>
      <c r="C2" s="674"/>
      <c r="D2" s="675"/>
      <c r="F2" s="936" t="s">
        <v>2033</v>
      </c>
      <c r="G2" s="936"/>
      <c r="H2" s="936" t="s">
        <v>2043</v>
      </c>
      <c r="I2" s="936"/>
      <c r="J2" s="936"/>
      <c r="K2" s="936"/>
      <c r="L2" s="936"/>
      <c r="M2" s="936"/>
      <c r="N2" s="936"/>
      <c r="O2" s="936" t="s">
        <v>2180</v>
      </c>
      <c r="P2" s="936"/>
      <c r="Q2" s="936"/>
      <c r="R2" s="936"/>
      <c r="S2" s="936"/>
      <c r="T2" s="936"/>
      <c r="U2" s="936"/>
      <c r="V2" s="936"/>
      <c r="W2" s="936"/>
      <c r="X2" s="936"/>
      <c r="Y2" s="936" t="s">
        <v>2237</v>
      </c>
      <c r="Z2" s="936"/>
      <c r="AA2" s="936"/>
      <c r="AB2" s="677" t="s">
        <v>2252</v>
      </c>
      <c r="AC2" s="677" t="s">
        <v>2256</v>
      </c>
    </row>
    <row r="3" spans="1:29" s="676" customFormat="1" ht="51" x14ac:dyDescent="0.2">
      <c r="A3" s="674"/>
      <c r="B3" s="674"/>
      <c r="C3" s="674"/>
      <c r="D3" s="675"/>
      <c r="F3" s="678" t="s">
        <v>2036</v>
      </c>
      <c r="G3" s="678" t="s">
        <v>2039</v>
      </c>
      <c r="H3" s="678" t="s">
        <v>2048</v>
      </c>
      <c r="I3" s="678" t="s">
        <v>2053</v>
      </c>
      <c r="J3" s="678" t="s">
        <v>2058</v>
      </c>
      <c r="K3" s="678" t="s">
        <v>2063</v>
      </c>
      <c r="L3" s="678" t="s">
        <v>2067</v>
      </c>
      <c r="M3" s="678" t="s">
        <v>2071</v>
      </c>
      <c r="N3" s="678" t="s">
        <v>2076</v>
      </c>
      <c r="O3" s="437" t="s">
        <v>2188</v>
      </c>
      <c r="P3" s="437" t="s">
        <v>2191</v>
      </c>
      <c r="Q3" s="679" t="s">
        <v>2199</v>
      </c>
      <c r="R3" s="679" t="s">
        <v>2202</v>
      </c>
      <c r="S3" s="679" t="s">
        <v>2205</v>
      </c>
      <c r="T3" s="679" t="s">
        <v>2209</v>
      </c>
      <c r="U3" s="680" t="s">
        <v>2213</v>
      </c>
      <c r="V3" s="678" t="s">
        <v>4396</v>
      </c>
      <c r="W3" s="678" t="s">
        <v>4397</v>
      </c>
      <c r="X3" s="678" t="s">
        <v>2228</v>
      </c>
      <c r="Y3" s="437" t="s">
        <v>2240</v>
      </c>
      <c r="Z3" s="437" t="s">
        <v>2243</v>
      </c>
      <c r="AA3" s="437" t="s">
        <v>2246</v>
      </c>
      <c r="AB3" s="678" t="s">
        <v>4398</v>
      </c>
      <c r="AC3" s="678" t="s">
        <v>4399</v>
      </c>
    </row>
    <row r="4" spans="1:29" s="676" customFormat="1" ht="15" x14ac:dyDescent="0.25">
      <c r="A4" s="674"/>
      <c r="B4" s="674"/>
      <c r="C4" s="674"/>
      <c r="D4" s="675"/>
      <c r="E4" s="681" t="s">
        <v>4400</v>
      </c>
      <c r="F4" s="682">
        <f t="shared" ref="F4:AC4" si="0">SUM(F7:F789)</f>
        <v>0</v>
      </c>
      <c r="G4" s="682">
        <f t="shared" si="0"/>
        <v>0</v>
      </c>
      <c r="H4" s="682">
        <f t="shared" si="0"/>
        <v>0</v>
      </c>
      <c r="I4" s="682">
        <f t="shared" si="0"/>
        <v>0</v>
      </c>
      <c r="J4" s="682">
        <f t="shared" si="0"/>
        <v>0</v>
      </c>
      <c r="K4" s="682">
        <f t="shared" si="0"/>
        <v>0</v>
      </c>
      <c r="L4" s="682">
        <f t="shared" si="0"/>
        <v>0</v>
      </c>
      <c r="M4" s="682">
        <f t="shared" si="0"/>
        <v>0</v>
      </c>
      <c r="N4" s="682">
        <f t="shared" si="0"/>
        <v>0</v>
      </c>
      <c r="O4" s="682">
        <f t="shared" si="0"/>
        <v>0</v>
      </c>
      <c r="P4" s="682">
        <f t="shared" si="0"/>
        <v>0</v>
      </c>
      <c r="Q4" s="682">
        <f t="shared" si="0"/>
        <v>0</v>
      </c>
      <c r="R4" s="682">
        <f t="shared" si="0"/>
        <v>0</v>
      </c>
      <c r="S4" s="682">
        <f t="shared" si="0"/>
        <v>0</v>
      </c>
      <c r="T4" s="682">
        <f t="shared" si="0"/>
        <v>0</v>
      </c>
      <c r="U4" s="682">
        <f t="shared" si="0"/>
        <v>0</v>
      </c>
      <c r="V4" s="682">
        <f t="shared" si="0"/>
        <v>0</v>
      </c>
      <c r="W4" s="682">
        <f t="shared" si="0"/>
        <v>0</v>
      </c>
      <c r="X4" s="682">
        <f t="shared" si="0"/>
        <v>0</v>
      </c>
      <c r="Y4" s="682">
        <f t="shared" si="0"/>
        <v>0</v>
      </c>
      <c r="Z4" s="682">
        <f t="shared" si="0"/>
        <v>0</v>
      </c>
      <c r="AA4" s="682">
        <f t="shared" si="0"/>
        <v>0</v>
      </c>
      <c r="AB4" s="682">
        <f t="shared" si="0"/>
        <v>0</v>
      </c>
      <c r="AC4" s="682">
        <f t="shared" si="0"/>
        <v>0</v>
      </c>
    </row>
    <row r="5" spans="1:29" s="690" customFormat="1" ht="12.75" x14ac:dyDescent="0.2">
      <c r="A5" s="683" t="s">
        <v>4401</v>
      </c>
      <c r="B5" s="683" t="s">
        <v>4277</v>
      </c>
      <c r="C5" s="683" t="s">
        <v>6683</v>
      </c>
      <c r="D5" s="684" t="s">
        <v>4403</v>
      </c>
      <c r="E5" s="685" t="s">
        <v>2956</v>
      </c>
      <c r="F5" s="686" t="s">
        <v>2035</v>
      </c>
      <c r="G5" s="686" t="s">
        <v>2038</v>
      </c>
      <c r="H5" s="686" t="s">
        <v>2045</v>
      </c>
      <c r="I5" s="686" t="s">
        <v>2050</v>
      </c>
      <c r="J5" s="686" t="s">
        <v>2055</v>
      </c>
      <c r="K5" s="686" t="s">
        <v>2060</v>
      </c>
      <c r="L5" s="284" t="s">
        <v>2065</v>
      </c>
      <c r="M5" s="284" t="s">
        <v>2069</v>
      </c>
      <c r="N5" s="686" t="s">
        <v>2073</v>
      </c>
      <c r="O5" s="687" t="s">
        <v>2187</v>
      </c>
      <c r="P5" s="687" t="s">
        <v>2190</v>
      </c>
      <c r="Q5" s="688" t="s">
        <v>2197</v>
      </c>
      <c r="R5" s="688" t="s">
        <v>2201</v>
      </c>
      <c r="S5" s="688" t="s">
        <v>2204</v>
      </c>
      <c r="T5" s="688" t="s">
        <v>2207</v>
      </c>
      <c r="U5" s="688" t="s">
        <v>2211</v>
      </c>
      <c r="V5" s="688" t="s">
        <v>2218</v>
      </c>
      <c r="W5" s="687" t="s">
        <v>2223</v>
      </c>
      <c r="X5" s="124" t="s">
        <v>2226</v>
      </c>
      <c r="Y5" s="686" t="s">
        <v>2239</v>
      </c>
      <c r="Z5" s="686" t="s">
        <v>2242</v>
      </c>
      <c r="AA5" s="686" t="s">
        <v>2245</v>
      </c>
      <c r="AB5" s="689" t="s">
        <v>2248</v>
      </c>
      <c r="AC5" s="79" t="s">
        <v>2254</v>
      </c>
    </row>
    <row r="6" spans="1:29" s="690" customFormat="1" ht="12.75" x14ac:dyDescent="0.2">
      <c r="A6" s="683"/>
      <c r="B6" s="683"/>
      <c r="C6" s="683"/>
      <c r="D6" s="684"/>
      <c r="E6" s="685"/>
      <c r="F6" s="686" t="str">
        <f>VLOOKUP(F5,Codifica_SP!$E:$AN,36,FALSE)</f>
        <v>60101000000000</v>
      </c>
      <c r="G6" s="686" t="str">
        <f>VLOOKUP(G5,Codifica_SP!$E:$AN,36,FALSE)</f>
        <v>60102000000000</v>
      </c>
      <c r="H6" s="686" t="str">
        <f>VLOOKUP(H5,Codifica_SP!$E:$AN,36,FALSE)</f>
        <v>60201000000000</v>
      </c>
      <c r="I6" s="686" t="str">
        <f>VLOOKUP(I5,Codifica_SP!$E:$AN,36,FALSE)</f>
        <v>60202000000000</v>
      </c>
      <c r="J6" s="686" t="str">
        <f>VLOOKUP(J5,Codifica_SP!$E:$AN,36,FALSE)</f>
        <v>60203000000000</v>
      </c>
      <c r="K6" s="686" t="str">
        <f>VLOOKUP(K5,Codifica_SP!$E:$AN,36,FALSE)</f>
        <v>60204000000000</v>
      </c>
      <c r="L6" s="686" t="str">
        <f>VLOOKUP(L5,Codifica_SP!$E:$AN,36,FALSE)</f>
        <v>60205000000000</v>
      </c>
      <c r="M6" s="686" t="str">
        <f>VLOOKUP(M5,Codifica_SP!$E:$AN,36,FALSE)</f>
        <v>60206000000000</v>
      </c>
      <c r="N6" s="686" t="str">
        <f>VLOOKUP(N5,Codifica_SP!$E:$AN,36,FALSE)</f>
        <v>60207000000000</v>
      </c>
      <c r="O6" s="686" t="str">
        <f>VLOOKUP(O5,Codifica_SP!$E:$AN,36,FALSE)</f>
        <v>60501010000000</v>
      </c>
      <c r="P6" s="686" t="str">
        <f>VLOOKUP(P5,Codifica_SP!$E:$AN,36,FALSE)</f>
        <v>60501020000000</v>
      </c>
      <c r="Q6" s="686" t="str">
        <f>VLOOKUP(Q5,Codifica_SP!$E:$AN,36,FALSE)</f>
        <v>60502010010000</v>
      </c>
      <c r="R6" s="686" t="str">
        <f>VLOOKUP(R5,Codifica_SP!$E:$AN,36,FALSE)</f>
        <v>60502010020000</v>
      </c>
      <c r="S6" s="686" t="str">
        <f>VLOOKUP(S5,Codifica_SP!$E:$AN,36,FALSE)</f>
        <v>60502010030000</v>
      </c>
      <c r="T6" s="686" t="str">
        <f>VLOOKUP(T5,Codifica_SP!$E:$AN,36,FALSE)</f>
        <v>60502010040000</v>
      </c>
      <c r="U6" s="686" t="str">
        <f>VLOOKUP(U5,Codifica_SP!$E:$AN,36,FALSE)</f>
        <v>60502010050000</v>
      </c>
      <c r="V6" s="686" t="str">
        <f>VLOOKUP(V5,Codifica_SP!$E:$AN,36,FALSE)</f>
        <v>60503010010000</v>
      </c>
      <c r="W6" s="686" t="str">
        <f>VLOOKUP(W5,Codifica_SP!$E:$AN,36,FALSE)</f>
        <v>60503010020000</v>
      </c>
      <c r="X6" s="686" t="str">
        <f>VLOOKUP(X5,Codifica_SP!$E:$AN,36,FALSE)</f>
        <v>60504010000000</v>
      </c>
      <c r="Y6" s="686" t="str">
        <f>VLOOKUP(Y5,Codifica_SP!$E:$AN,36,FALSE)</f>
        <v>60601010000000</v>
      </c>
      <c r="Z6" s="686" t="str">
        <f>VLOOKUP(Z5,Codifica_SP!$E:$AN,36,FALSE)</f>
        <v>60601020000000</v>
      </c>
      <c r="AA6" s="686" t="str">
        <f>VLOOKUP(AA5,Codifica_SP!$E:$AN,36,FALSE)</f>
        <v>60601030000000</v>
      </c>
      <c r="AB6" s="686" t="str">
        <f>VLOOKUP(AB5,Codifica_SP!$E:$AN,36,FALSE)</f>
        <v>60602000000000</v>
      </c>
      <c r="AC6" s="686" t="str">
        <f>VLOOKUP(AC5,Codifica_SP!$E:$AN,36,FALSE)</f>
        <v>60603000000000</v>
      </c>
    </row>
    <row r="7" spans="1:29" ht="15" x14ac:dyDescent="0.25">
      <c r="A7" s="691" t="str">
        <f>+Info!$B$2</f>
        <v>724</v>
      </c>
      <c r="B7" s="691" t="s">
        <v>1910</v>
      </c>
      <c r="C7" s="691" t="s">
        <v>4404</v>
      </c>
      <c r="D7" s="692" t="s">
        <v>4405</v>
      </c>
      <c r="E7" s="693"/>
      <c r="F7" s="693"/>
      <c r="G7" s="693"/>
      <c r="H7" s="693"/>
      <c r="I7" s="693"/>
      <c r="J7" s="693"/>
      <c r="K7" s="693"/>
      <c r="L7" s="693"/>
      <c r="M7" s="693"/>
      <c r="N7" s="693"/>
      <c r="O7" s="693"/>
      <c r="P7" s="693"/>
      <c r="Q7" s="693"/>
      <c r="R7" s="693"/>
      <c r="S7" s="693"/>
      <c r="T7" s="693"/>
      <c r="U7" s="693"/>
      <c r="V7" s="693"/>
      <c r="W7" s="693"/>
      <c r="X7" s="693"/>
      <c r="Y7" s="693"/>
      <c r="Z7" s="693"/>
      <c r="AA7" s="693"/>
      <c r="AB7" s="693"/>
      <c r="AC7" s="693"/>
    </row>
    <row r="8" spans="1:29" ht="15" x14ac:dyDescent="0.25">
      <c r="A8" s="691" t="str">
        <f>+Info!$B$2</f>
        <v>724</v>
      </c>
      <c r="B8" s="691" t="s">
        <v>1913</v>
      </c>
      <c r="C8" s="691" t="s">
        <v>4406</v>
      </c>
      <c r="D8" s="692" t="s">
        <v>4407</v>
      </c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3"/>
      <c r="AA8" s="693"/>
      <c r="AB8" s="693"/>
      <c r="AC8" s="693"/>
    </row>
    <row r="9" spans="1:29" x14ac:dyDescent="0.2">
      <c r="A9" s="694" t="str">
        <f>+Info!$B$2</f>
        <v>724</v>
      </c>
      <c r="B9" s="694" t="s">
        <v>4408</v>
      </c>
      <c r="C9" s="694" t="s">
        <v>4409</v>
      </c>
      <c r="D9" s="695" t="s">
        <v>1141</v>
      </c>
      <c r="E9" s="696"/>
      <c r="F9" s="697"/>
      <c r="G9" s="697"/>
      <c r="H9" s="698"/>
      <c r="I9" s="697"/>
      <c r="J9" s="697"/>
      <c r="K9" s="697"/>
      <c r="L9" s="697"/>
      <c r="M9" s="697"/>
      <c r="N9" s="698"/>
      <c r="O9" s="697"/>
      <c r="P9" s="697"/>
      <c r="Q9" s="697"/>
      <c r="R9" s="697"/>
      <c r="S9" s="697"/>
      <c r="T9" s="697"/>
      <c r="U9" s="697"/>
      <c r="V9" s="697"/>
      <c r="W9" s="698"/>
      <c r="X9" s="698"/>
      <c r="Y9" s="697"/>
      <c r="Z9" s="697"/>
      <c r="AA9" s="697"/>
      <c r="AB9" s="697"/>
      <c r="AC9" s="697"/>
    </row>
    <row r="10" spans="1:29" x14ac:dyDescent="0.2">
      <c r="A10" s="694" t="str">
        <f>+Info!$B$2</f>
        <v>724</v>
      </c>
      <c r="B10" s="694" t="s">
        <v>4410</v>
      </c>
      <c r="C10" s="694" t="s">
        <v>4411</v>
      </c>
      <c r="D10" s="695" t="s">
        <v>1152</v>
      </c>
      <c r="E10" s="696"/>
      <c r="F10" s="697"/>
      <c r="G10" s="697"/>
      <c r="H10" s="698"/>
      <c r="I10" s="697"/>
      <c r="J10" s="697"/>
      <c r="K10" s="697"/>
      <c r="L10" s="697"/>
      <c r="M10" s="697"/>
      <c r="N10" s="698"/>
      <c r="O10" s="697"/>
      <c r="P10" s="697"/>
      <c r="Q10" s="697"/>
      <c r="R10" s="697"/>
      <c r="S10" s="697"/>
      <c r="T10" s="697"/>
      <c r="U10" s="697"/>
      <c r="V10" s="697"/>
      <c r="W10" s="698"/>
      <c r="X10" s="698"/>
      <c r="Y10" s="697"/>
      <c r="Z10" s="697"/>
      <c r="AA10" s="697"/>
      <c r="AB10" s="697"/>
      <c r="AC10" s="697"/>
    </row>
    <row r="11" spans="1:29" x14ac:dyDescent="0.2">
      <c r="A11" s="694" t="str">
        <f>+Info!$B$2</f>
        <v>724</v>
      </c>
      <c r="B11" s="694" t="s">
        <v>4412</v>
      </c>
      <c r="C11" s="694" t="s">
        <v>4413</v>
      </c>
      <c r="D11" s="695" t="s">
        <v>1155</v>
      </c>
      <c r="E11" s="696"/>
      <c r="F11" s="697"/>
      <c r="G11" s="697"/>
      <c r="H11" s="698"/>
      <c r="I11" s="697"/>
      <c r="J11" s="697"/>
      <c r="K11" s="697"/>
      <c r="L11" s="697"/>
      <c r="M11" s="697"/>
      <c r="N11" s="698"/>
      <c r="O11" s="697"/>
      <c r="P11" s="697"/>
      <c r="Q11" s="697"/>
      <c r="R11" s="697"/>
      <c r="S11" s="697"/>
      <c r="T11" s="697"/>
      <c r="U11" s="697"/>
      <c r="V11" s="697"/>
      <c r="W11" s="698"/>
      <c r="X11" s="698"/>
      <c r="Y11" s="697"/>
      <c r="Z11" s="697"/>
      <c r="AA11" s="697"/>
      <c r="AB11" s="697"/>
      <c r="AC11" s="697"/>
    </row>
    <row r="12" spans="1:29" x14ac:dyDescent="0.2">
      <c r="A12" s="694" t="str">
        <f>+Info!$B$2</f>
        <v>724</v>
      </c>
      <c r="B12" s="694" t="s">
        <v>4414</v>
      </c>
      <c r="C12" s="694" t="s">
        <v>4415</v>
      </c>
      <c r="D12" s="695" t="s">
        <v>1158</v>
      </c>
      <c r="E12" s="696"/>
      <c r="F12" s="697"/>
      <c r="G12" s="697"/>
      <c r="H12" s="698"/>
      <c r="I12" s="697"/>
      <c r="J12" s="697"/>
      <c r="K12" s="697"/>
      <c r="L12" s="697"/>
      <c r="M12" s="697"/>
      <c r="N12" s="698"/>
      <c r="O12" s="697"/>
      <c r="P12" s="697"/>
      <c r="Q12" s="697"/>
      <c r="R12" s="697"/>
      <c r="S12" s="697"/>
      <c r="T12" s="697"/>
      <c r="U12" s="697"/>
      <c r="V12" s="697"/>
      <c r="W12" s="698"/>
      <c r="X12" s="698"/>
      <c r="Y12" s="697"/>
      <c r="Z12" s="697"/>
      <c r="AA12" s="697"/>
      <c r="AB12" s="697"/>
      <c r="AC12" s="697"/>
    </row>
    <row r="13" spans="1:29" x14ac:dyDescent="0.2">
      <c r="A13" s="694" t="str">
        <f>+Info!$B$2</f>
        <v>724</v>
      </c>
      <c r="B13" s="694" t="s">
        <v>4416</v>
      </c>
      <c r="C13" s="694" t="s">
        <v>4417</v>
      </c>
      <c r="D13" s="695" t="s">
        <v>1161</v>
      </c>
      <c r="E13" s="696"/>
      <c r="F13" s="697"/>
      <c r="G13" s="697"/>
      <c r="H13" s="698"/>
      <c r="I13" s="697"/>
      <c r="J13" s="697"/>
      <c r="K13" s="697"/>
      <c r="L13" s="697"/>
      <c r="M13" s="697"/>
      <c r="N13" s="698"/>
      <c r="O13" s="697"/>
      <c r="P13" s="697"/>
      <c r="Q13" s="697"/>
      <c r="R13" s="697"/>
      <c r="S13" s="697"/>
      <c r="T13" s="697"/>
      <c r="U13" s="697"/>
      <c r="V13" s="697"/>
      <c r="W13" s="698"/>
      <c r="X13" s="698"/>
      <c r="Y13" s="697"/>
      <c r="Z13" s="697"/>
      <c r="AA13" s="697"/>
      <c r="AB13" s="697"/>
      <c r="AC13" s="697"/>
    </row>
    <row r="14" spans="1:29" x14ac:dyDescent="0.2">
      <c r="A14" s="694" t="str">
        <f>+Info!$B$2</f>
        <v>724</v>
      </c>
      <c r="B14" s="694" t="s">
        <v>4418</v>
      </c>
      <c r="C14" s="694" t="s">
        <v>4419</v>
      </c>
      <c r="D14" s="695" t="s">
        <v>1164</v>
      </c>
      <c r="E14" s="696"/>
      <c r="F14" s="697"/>
      <c r="G14" s="697"/>
      <c r="H14" s="698"/>
      <c r="I14" s="697"/>
      <c r="J14" s="697"/>
      <c r="K14" s="697"/>
      <c r="L14" s="697"/>
      <c r="M14" s="697"/>
      <c r="N14" s="698"/>
      <c r="O14" s="697"/>
      <c r="P14" s="697"/>
      <c r="Q14" s="697"/>
      <c r="R14" s="697"/>
      <c r="S14" s="697"/>
      <c r="T14" s="697"/>
      <c r="U14" s="697"/>
      <c r="V14" s="697"/>
      <c r="W14" s="698"/>
      <c r="X14" s="698"/>
      <c r="Y14" s="697"/>
      <c r="Z14" s="697"/>
      <c r="AA14" s="697"/>
      <c r="AB14" s="697"/>
      <c r="AC14" s="697"/>
    </row>
    <row r="15" spans="1:29" x14ac:dyDescent="0.2">
      <c r="A15" s="694" t="str">
        <f>+Info!$B$2</f>
        <v>724</v>
      </c>
      <c r="B15" s="694" t="s">
        <v>4420</v>
      </c>
      <c r="C15" s="694" t="s">
        <v>4421</v>
      </c>
      <c r="D15" s="695" t="s">
        <v>1167</v>
      </c>
      <c r="E15" s="696"/>
      <c r="F15" s="697"/>
      <c r="G15" s="697"/>
      <c r="H15" s="698"/>
      <c r="I15" s="697"/>
      <c r="J15" s="697"/>
      <c r="K15" s="697"/>
      <c r="L15" s="697"/>
      <c r="M15" s="697"/>
      <c r="N15" s="698"/>
      <c r="O15" s="697"/>
      <c r="P15" s="697"/>
      <c r="Q15" s="697"/>
      <c r="R15" s="697"/>
      <c r="S15" s="697"/>
      <c r="T15" s="697"/>
      <c r="U15" s="697"/>
      <c r="V15" s="697"/>
      <c r="W15" s="698"/>
      <c r="X15" s="698"/>
      <c r="Y15" s="697"/>
      <c r="Z15" s="697"/>
      <c r="AA15" s="697"/>
      <c r="AB15" s="697"/>
      <c r="AC15" s="697"/>
    </row>
    <row r="16" spans="1:29" x14ac:dyDescent="0.2">
      <c r="A16" s="694" t="str">
        <f>+Info!$B$2</f>
        <v>724</v>
      </c>
      <c r="B16" s="694" t="s">
        <v>4422</v>
      </c>
      <c r="C16" s="694" t="s">
        <v>4423</v>
      </c>
      <c r="D16" s="695" t="s">
        <v>1170</v>
      </c>
      <c r="E16" s="696"/>
      <c r="F16" s="697"/>
      <c r="G16" s="697"/>
      <c r="H16" s="698"/>
      <c r="I16" s="697"/>
      <c r="J16" s="697"/>
      <c r="K16" s="697"/>
      <c r="L16" s="697"/>
      <c r="M16" s="697"/>
      <c r="N16" s="698"/>
      <c r="O16" s="697"/>
      <c r="P16" s="697"/>
      <c r="Q16" s="697"/>
      <c r="R16" s="697"/>
      <c r="S16" s="697"/>
      <c r="T16" s="697"/>
      <c r="U16" s="697"/>
      <c r="V16" s="697"/>
      <c r="W16" s="698"/>
      <c r="X16" s="698"/>
      <c r="Y16" s="697"/>
      <c r="Z16" s="697"/>
      <c r="AA16" s="697"/>
      <c r="AB16" s="697"/>
      <c r="AC16" s="697"/>
    </row>
    <row r="17" spans="1:29" x14ac:dyDescent="0.2">
      <c r="A17" s="694" t="str">
        <f>+Info!$B$2</f>
        <v>724</v>
      </c>
      <c r="B17" s="694" t="s">
        <v>4424</v>
      </c>
      <c r="C17" s="694" t="s">
        <v>4425</v>
      </c>
      <c r="D17" s="695" t="s">
        <v>1173</v>
      </c>
      <c r="E17" s="696"/>
      <c r="F17" s="697"/>
      <c r="G17" s="697"/>
      <c r="H17" s="698"/>
      <c r="I17" s="697"/>
      <c r="J17" s="697"/>
      <c r="K17" s="697"/>
      <c r="L17" s="697"/>
      <c r="M17" s="697"/>
      <c r="N17" s="698"/>
      <c r="O17" s="697"/>
      <c r="P17" s="697"/>
      <c r="Q17" s="697"/>
      <c r="R17" s="697"/>
      <c r="S17" s="697"/>
      <c r="T17" s="697"/>
      <c r="U17" s="697"/>
      <c r="V17" s="697"/>
      <c r="W17" s="698"/>
      <c r="X17" s="698"/>
      <c r="Y17" s="697"/>
      <c r="Z17" s="697"/>
      <c r="AA17" s="697"/>
      <c r="AB17" s="697"/>
      <c r="AC17" s="697"/>
    </row>
    <row r="18" spans="1:29" x14ac:dyDescent="0.2">
      <c r="A18" s="694" t="str">
        <f>+Info!$B$2</f>
        <v>724</v>
      </c>
      <c r="B18" s="694" t="s">
        <v>4426</v>
      </c>
      <c r="C18" s="694" t="s">
        <v>4427</v>
      </c>
      <c r="D18" s="695" t="s">
        <v>1176</v>
      </c>
      <c r="E18" s="696"/>
      <c r="F18" s="697"/>
      <c r="G18" s="697"/>
      <c r="H18" s="698"/>
      <c r="I18" s="697"/>
      <c r="J18" s="697"/>
      <c r="K18" s="697"/>
      <c r="L18" s="697"/>
      <c r="M18" s="697"/>
      <c r="N18" s="698"/>
      <c r="O18" s="697"/>
      <c r="P18" s="697"/>
      <c r="Q18" s="697"/>
      <c r="R18" s="697"/>
      <c r="S18" s="697"/>
      <c r="T18" s="697"/>
      <c r="U18" s="697"/>
      <c r="V18" s="697"/>
      <c r="W18" s="698"/>
      <c r="X18" s="698"/>
      <c r="Y18" s="697"/>
      <c r="Z18" s="697"/>
      <c r="AA18" s="697"/>
      <c r="AB18" s="697"/>
      <c r="AC18" s="697"/>
    </row>
    <row r="19" spans="1:29" x14ac:dyDescent="0.2">
      <c r="A19" s="694" t="str">
        <f>+Info!$B$2</f>
        <v>724</v>
      </c>
      <c r="B19" s="694" t="s">
        <v>4428</v>
      </c>
      <c r="C19" s="694" t="s">
        <v>4429</v>
      </c>
      <c r="D19" s="695" t="s">
        <v>1179</v>
      </c>
      <c r="E19" s="696"/>
      <c r="F19" s="697"/>
      <c r="G19" s="697"/>
      <c r="H19" s="698"/>
      <c r="I19" s="697"/>
      <c r="J19" s="697"/>
      <c r="K19" s="697"/>
      <c r="L19" s="697"/>
      <c r="M19" s="697"/>
      <c r="N19" s="698"/>
      <c r="O19" s="697"/>
      <c r="P19" s="697"/>
      <c r="Q19" s="697"/>
      <c r="R19" s="697"/>
      <c r="S19" s="697"/>
      <c r="T19" s="697"/>
      <c r="U19" s="697"/>
      <c r="V19" s="697"/>
      <c r="W19" s="698"/>
      <c r="X19" s="698"/>
      <c r="Y19" s="697"/>
      <c r="Z19" s="697"/>
      <c r="AA19" s="697"/>
      <c r="AB19" s="697"/>
      <c r="AC19" s="697"/>
    </row>
    <row r="20" spans="1:29" x14ac:dyDescent="0.2">
      <c r="A20" s="694" t="str">
        <f>+Info!$B$2</f>
        <v>724</v>
      </c>
      <c r="B20" s="694" t="s">
        <v>4430</v>
      </c>
      <c r="C20" s="694" t="s">
        <v>4431</v>
      </c>
      <c r="D20" s="695" t="s">
        <v>1182</v>
      </c>
      <c r="E20" s="696"/>
      <c r="F20" s="697"/>
      <c r="G20" s="697"/>
      <c r="H20" s="698"/>
      <c r="I20" s="697"/>
      <c r="J20" s="697"/>
      <c r="K20" s="697"/>
      <c r="L20" s="697"/>
      <c r="M20" s="697"/>
      <c r="N20" s="698"/>
      <c r="O20" s="697"/>
      <c r="P20" s="697"/>
      <c r="Q20" s="697"/>
      <c r="R20" s="697"/>
      <c r="S20" s="697"/>
      <c r="T20" s="697"/>
      <c r="U20" s="697"/>
      <c r="V20" s="697"/>
      <c r="W20" s="698"/>
      <c r="X20" s="698"/>
      <c r="Y20" s="697"/>
      <c r="Z20" s="697"/>
      <c r="AA20" s="697"/>
      <c r="AB20" s="697"/>
      <c r="AC20" s="697"/>
    </row>
    <row r="21" spans="1:29" x14ac:dyDescent="0.2">
      <c r="A21" s="694" t="str">
        <f>+Info!$B$2</f>
        <v>724</v>
      </c>
      <c r="B21" s="694" t="s">
        <v>4432</v>
      </c>
      <c r="C21" s="694" t="s">
        <v>4433</v>
      </c>
      <c r="D21" s="695" t="s">
        <v>1185</v>
      </c>
      <c r="E21" s="696"/>
      <c r="F21" s="697"/>
      <c r="G21" s="697"/>
      <c r="H21" s="698"/>
      <c r="I21" s="697"/>
      <c r="J21" s="697"/>
      <c r="K21" s="697"/>
      <c r="L21" s="697"/>
      <c r="M21" s="697"/>
      <c r="N21" s="698"/>
      <c r="O21" s="697"/>
      <c r="P21" s="697"/>
      <c r="Q21" s="697"/>
      <c r="R21" s="697"/>
      <c r="S21" s="697"/>
      <c r="T21" s="697"/>
      <c r="U21" s="697"/>
      <c r="V21" s="697"/>
      <c r="W21" s="698"/>
      <c r="X21" s="698"/>
      <c r="Y21" s="697"/>
      <c r="Z21" s="697"/>
      <c r="AA21" s="697"/>
      <c r="AB21" s="697"/>
      <c r="AC21" s="697"/>
    </row>
    <row r="22" spans="1:29" x14ac:dyDescent="0.2">
      <c r="A22" s="694" t="str">
        <f>+Info!$B$2</f>
        <v>724</v>
      </c>
      <c r="B22" s="694" t="s">
        <v>4434</v>
      </c>
      <c r="C22" s="694" t="s">
        <v>4435</v>
      </c>
      <c r="D22" s="695" t="s">
        <v>1188</v>
      </c>
      <c r="E22" s="696"/>
      <c r="F22" s="697"/>
      <c r="G22" s="697"/>
      <c r="H22" s="698"/>
      <c r="I22" s="697"/>
      <c r="J22" s="697"/>
      <c r="K22" s="697"/>
      <c r="L22" s="697"/>
      <c r="M22" s="697"/>
      <c r="N22" s="698"/>
      <c r="O22" s="697"/>
      <c r="P22" s="697"/>
      <c r="Q22" s="697"/>
      <c r="R22" s="697"/>
      <c r="S22" s="697"/>
      <c r="T22" s="697"/>
      <c r="U22" s="697"/>
      <c r="V22" s="697"/>
      <c r="W22" s="698"/>
      <c r="X22" s="698"/>
      <c r="Y22" s="697"/>
      <c r="Z22" s="697"/>
      <c r="AA22" s="697"/>
      <c r="AB22" s="697"/>
      <c r="AC22" s="697"/>
    </row>
    <row r="23" spans="1:29" x14ac:dyDescent="0.2">
      <c r="A23" s="694" t="str">
        <f>+Info!$B$2</f>
        <v>724</v>
      </c>
      <c r="B23" s="694" t="s">
        <v>4436</v>
      </c>
      <c r="C23" s="694" t="s">
        <v>4437</v>
      </c>
      <c r="D23" s="699" t="s">
        <v>1191</v>
      </c>
      <c r="E23" s="696"/>
      <c r="F23" s="697"/>
      <c r="G23" s="697"/>
      <c r="H23" s="698"/>
      <c r="I23" s="697"/>
      <c r="J23" s="697"/>
      <c r="K23" s="697"/>
      <c r="L23" s="697"/>
      <c r="M23" s="697"/>
      <c r="N23" s="698"/>
      <c r="O23" s="697"/>
      <c r="P23" s="697"/>
      <c r="Q23" s="697"/>
      <c r="R23" s="697"/>
      <c r="S23" s="697"/>
      <c r="T23" s="697"/>
      <c r="U23" s="697"/>
      <c r="V23" s="697"/>
      <c r="W23" s="698"/>
      <c r="X23" s="698"/>
      <c r="Y23" s="697"/>
      <c r="Z23" s="697"/>
      <c r="AA23" s="697"/>
      <c r="AB23" s="697"/>
      <c r="AC23" s="697"/>
    </row>
    <row r="24" spans="1:29" x14ac:dyDescent="0.2">
      <c r="A24" s="694" t="str">
        <f>+Info!$B$2</f>
        <v>724</v>
      </c>
      <c r="B24" s="694" t="s">
        <v>4438</v>
      </c>
      <c r="C24" s="694" t="s">
        <v>4439</v>
      </c>
      <c r="D24" s="695" t="s">
        <v>1194</v>
      </c>
      <c r="E24" s="696"/>
      <c r="F24" s="697"/>
      <c r="G24" s="697"/>
      <c r="H24" s="698"/>
      <c r="I24" s="697"/>
      <c r="J24" s="697"/>
      <c r="K24" s="697"/>
      <c r="L24" s="697"/>
      <c r="M24" s="697"/>
      <c r="N24" s="698"/>
      <c r="O24" s="697"/>
      <c r="P24" s="697"/>
      <c r="Q24" s="697"/>
      <c r="R24" s="697"/>
      <c r="S24" s="697"/>
      <c r="T24" s="697"/>
      <c r="U24" s="697"/>
      <c r="V24" s="697"/>
      <c r="W24" s="698"/>
      <c r="X24" s="698"/>
      <c r="Y24" s="697"/>
      <c r="Z24" s="697"/>
      <c r="AA24" s="697"/>
      <c r="AB24" s="697"/>
      <c r="AC24" s="697"/>
    </row>
    <row r="25" spans="1:29" ht="25.5" x14ac:dyDescent="0.2">
      <c r="A25" s="694" t="str">
        <f>+Info!$B$2</f>
        <v>724</v>
      </c>
      <c r="B25" s="694" t="s">
        <v>4440</v>
      </c>
      <c r="C25" s="694" t="s">
        <v>4441</v>
      </c>
      <c r="D25" s="699" t="s">
        <v>1197</v>
      </c>
      <c r="E25" s="696"/>
      <c r="F25" s="697"/>
      <c r="G25" s="697"/>
      <c r="H25" s="698"/>
      <c r="I25" s="697"/>
      <c r="J25" s="697"/>
      <c r="K25" s="697"/>
      <c r="L25" s="697"/>
      <c r="M25" s="697"/>
      <c r="N25" s="698"/>
      <c r="O25" s="697"/>
      <c r="P25" s="697"/>
      <c r="Q25" s="697"/>
      <c r="R25" s="697"/>
      <c r="S25" s="697"/>
      <c r="T25" s="697"/>
      <c r="U25" s="697"/>
      <c r="V25" s="697"/>
      <c r="W25" s="698"/>
      <c r="X25" s="698"/>
      <c r="Y25" s="697"/>
      <c r="Z25" s="697"/>
      <c r="AA25" s="697"/>
      <c r="AB25" s="697"/>
      <c r="AC25" s="697"/>
    </row>
    <row r="26" spans="1:29" ht="25.5" x14ac:dyDescent="0.2">
      <c r="A26" s="694" t="str">
        <f>+Info!$B$2</f>
        <v>724</v>
      </c>
      <c r="B26" s="694" t="s">
        <v>4442</v>
      </c>
      <c r="C26" s="694" t="s">
        <v>4443</v>
      </c>
      <c r="D26" s="699" t="s">
        <v>1200</v>
      </c>
      <c r="E26" s="696"/>
      <c r="F26" s="697"/>
      <c r="G26" s="697"/>
      <c r="H26" s="698"/>
      <c r="I26" s="697"/>
      <c r="J26" s="697"/>
      <c r="K26" s="697"/>
      <c r="L26" s="697"/>
      <c r="M26" s="697"/>
      <c r="N26" s="698"/>
      <c r="O26" s="697"/>
      <c r="P26" s="697"/>
      <c r="Q26" s="697"/>
      <c r="R26" s="697"/>
      <c r="S26" s="697"/>
      <c r="T26" s="697"/>
      <c r="U26" s="697"/>
      <c r="V26" s="697"/>
      <c r="W26" s="698"/>
      <c r="X26" s="698"/>
      <c r="Y26" s="697"/>
      <c r="Z26" s="697"/>
      <c r="AA26" s="697"/>
      <c r="AB26" s="697"/>
      <c r="AC26" s="697"/>
    </row>
    <row r="27" spans="1:29" ht="25.5" x14ac:dyDescent="0.2">
      <c r="A27" s="694" t="str">
        <f>+Info!$B$2</f>
        <v>724</v>
      </c>
      <c r="B27" s="694" t="s">
        <v>4444</v>
      </c>
      <c r="C27" s="694" t="s">
        <v>4445</v>
      </c>
      <c r="D27" s="699" t="s">
        <v>1203</v>
      </c>
      <c r="E27" s="696"/>
      <c r="F27" s="697"/>
      <c r="G27" s="697"/>
      <c r="H27" s="698"/>
      <c r="I27" s="697"/>
      <c r="J27" s="697"/>
      <c r="K27" s="697"/>
      <c r="L27" s="697"/>
      <c r="M27" s="697"/>
      <c r="N27" s="698"/>
      <c r="O27" s="697"/>
      <c r="P27" s="697"/>
      <c r="Q27" s="697"/>
      <c r="R27" s="697"/>
      <c r="S27" s="697"/>
      <c r="T27" s="697"/>
      <c r="U27" s="697"/>
      <c r="V27" s="697"/>
      <c r="W27" s="698"/>
      <c r="X27" s="698"/>
      <c r="Y27" s="697"/>
      <c r="Z27" s="697"/>
      <c r="AA27" s="697"/>
      <c r="AB27" s="697"/>
      <c r="AC27" s="697"/>
    </row>
    <row r="28" spans="1:29" x14ac:dyDescent="0.2">
      <c r="A28" s="694" t="str">
        <f>+Info!$B$2</f>
        <v>724</v>
      </c>
      <c r="B28" s="694" t="s">
        <v>4446</v>
      </c>
      <c r="C28" s="694" t="s">
        <v>4447</v>
      </c>
      <c r="D28" s="695" t="s">
        <v>1206</v>
      </c>
      <c r="E28" s="696"/>
      <c r="F28" s="697"/>
      <c r="G28" s="697"/>
      <c r="H28" s="698"/>
      <c r="I28" s="697"/>
      <c r="J28" s="697"/>
      <c r="K28" s="697"/>
      <c r="L28" s="697"/>
      <c r="M28" s="697"/>
      <c r="N28" s="698"/>
      <c r="O28" s="697"/>
      <c r="P28" s="697"/>
      <c r="Q28" s="697"/>
      <c r="R28" s="697"/>
      <c r="S28" s="697"/>
      <c r="T28" s="697"/>
      <c r="U28" s="697"/>
      <c r="V28" s="697"/>
      <c r="W28" s="698"/>
      <c r="X28" s="698"/>
      <c r="Y28" s="697"/>
      <c r="Z28" s="697"/>
      <c r="AA28" s="697"/>
      <c r="AB28" s="697"/>
      <c r="AC28" s="697"/>
    </row>
    <row r="29" spans="1:29" x14ac:dyDescent="0.2">
      <c r="A29" s="694" t="str">
        <f>+Info!$B$2</f>
        <v>724</v>
      </c>
      <c r="B29" s="694" t="s">
        <v>4448</v>
      </c>
      <c r="C29" s="694" t="s">
        <v>4449</v>
      </c>
      <c r="D29" s="695" t="s">
        <v>1209</v>
      </c>
      <c r="E29" s="696"/>
      <c r="F29" s="697"/>
      <c r="G29" s="697"/>
      <c r="H29" s="698"/>
      <c r="I29" s="697"/>
      <c r="J29" s="697"/>
      <c r="K29" s="697"/>
      <c r="L29" s="697"/>
      <c r="M29" s="697"/>
      <c r="N29" s="698"/>
      <c r="O29" s="697"/>
      <c r="P29" s="697"/>
      <c r="Q29" s="697"/>
      <c r="R29" s="697"/>
      <c r="S29" s="697"/>
      <c r="T29" s="697"/>
      <c r="U29" s="697"/>
      <c r="V29" s="697"/>
      <c r="W29" s="698"/>
      <c r="X29" s="698"/>
      <c r="Y29" s="697"/>
      <c r="Z29" s="697"/>
      <c r="AA29" s="697"/>
      <c r="AB29" s="697"/>
      <c r="AC29" s="697"/>
    </row>
    <row r="30" spans="1:29" x14ac:dyDescent="0.2">
      <c r="A30" s="694" t="str">
        <f>+Info!$B$2</f>
        <v>724</v>
      </c>
      <c r="B30" s="694" t="s">
        <v>4450</v>
      </c>
      <c r="C30" s="694" t="s">
        <v>4451</v>
      </c>
      <c r="D30" s="695" t="s">
        <v>1213</v>
      </c>
      <c r="E30" s="696"/>
      <c r="F30" s="697"/>
      <c r="G30" s="697"/>
      <c r="H30" s="698"/>
      <c r="I30" s="697"/>
      <c r="J30" s="697"/>
      <c r="K30" s="697"/>
      <c r="L30" s="697"/>
      <c r="M30" s="697"/>
      <c r="N30" s="698"/>
      <c r="O30" s="697"/>
      <c r="P30" s="697"/>
      <c r="Q30" s="697"/>
      <c r="R30" s="697"/>
      <c r="S30" s="697"/>
      <c r="T30" s="697"/>
      <c r="U30" s="697"/>
      <c r="V30" s="697"/>
      <c r="W30" s="698"/>
      <c r="X30" s="698"/>
      <c r="Y30" s="697"/>
      <c r="Z30" s="697"/>
      <c r="AA30" s="697"/>
      <c r="AB30" s="697"/>
      <c r="AC30" s="697"/>
    </row>
    <row r="31" spans="1:29" x14ac:dyDescent="0.2">
      <c r="A31" s="694" t="str">
        <f>+Info!$B$2</f>
        <v>724</v>
      </c>
      <c r="B31" s="694" t="s">
        <v>4452</v>
      </c>
      <c r="C31" s="694" t="s">
        <v>4453</v>
      </c>
      <c r="D31" s="695" t="s">
        <v>1217</v>
      </c>
      <c r="E31" s="696"/>
      <c r="F31" s="697"/>
      <c r="G31" s="697"/>
      <c r="H31" s="698"/>
      <c r="I31" s="697"/>
      <c r="J31" s="697"/>
      <c r="K31" s="697"/>
      <c r="L31" s="697"/>
      <c r="M31" s="697"/>
      <c r="N31" s="698"/>
      <c r="O31" s="697"/>
      <c r="P31" s="697"/>
      <c r="Q31" s="697"/>
      <c r="R31" s="697"/>
      <c r="S31" s="697"/>
      <c r="T31" s="697"/>
      <c r="U31" s="697"/>
      <c r="V31" s="697"/>
      <c r="W31" s="698"/>
      <c r="X31" s="698"/>
      <c r="Y31" s="697"/>
      <c r="Z31" s="697"/>
      <c r="AA31" s="697"/>
      <c r="AB31" s="697"/>
      <c r="AC31" s="697"/>
    </row>
    <row r="32" spans="1:29" x14ac:dyDescent="0.2">
      <c r="A32" s="694" t="str">
        <f>+Info!$B$2</f>
        <v>724</v>
      </c>
      <c r="B32" s="694" t="s">
        <v>4454</v>
      </c>
      <c r="C32" s="694" t="s">
        <v>4455</v>
      </c>
      <c r="D32" s="695" t="s">
        <v>1220</v>
      </c>
      <c r="E32" s="696"/>
      <c r="F32" s="697"/>
      <c r="G32" s="697"/>
      <c r="H32" s="698"/>
      <c r="I32" s="697"/>
      <c r="J32" s="697"/>
      <c r="K32" s="697"/>
      <c r="L32" s="697"/>
      <c r="M32" s="697"/>
      <c r="N32" s="698"/>
      <c r="O32" s="697"/>
      <c r="P32" s="697"/>
      <c r="Q32" s="697"/>
      <c r="R32" s="697"/>
      <c r="S32" s="697"/>
      <c r="T32" s="697"/>
      <c r="U32" s="697"/>
      <c r="V32" s="697"/>
      <c r="W32" s="698"/>
      <c r="X32" s="698"/>
      <c r="Y32" s="697"/>
      <c r="Z32" s="697"/>
      <c r="AA32" s="697"/>
      <c r="AB32" s="697"/>
      <c r="AC32" s="697"/>
    </row>
    <row r="33" spans="1:29" x14ac:dyDescent="0.2">
      <c r="A33" s="694" t="str">
        <f>+Info!$B$2</f>
        <v>724</v>
      </c>
      <c r="B33" s="694" t="s">
        <v>4456</v>
      </c>
      <c r="C33" s="694" t="s">
        <v>4457</v>
      </c>
      <c r="D33" s="695" t="s">
        <v>1224</v>
      </c>
      <c r="E33" s="696"/>
      <c r="F33" s="697"/>
      <c r="G33" s="697"/>
      <c r="H33" s="698"/>
      <c r="I33" s="697"/>
      <c r="J33" s="697"/>
      <c r="K33" s="697"/>
      <c r="L33" s="697"/>
      <c r="M33" s="697"/>
      <c r="N33" s="698"/>
      <c r="O33" s="697"/>
      <c r="P33" s="697"/>
      <c r="Q33" s="697"/>
      <c r="R33" s="697"/>
      <c r="S33" s="697"/>
      <c r="T33" s="697"/>
      <c r="U33" s="697"/>
      <c r="V33" s="697"/>
      <c r="W33" s="698"/>
      <c r="X33" s="698"/>
      <c r="Y33" s="697"/>
      <c r="Z33" s="697"/>
      <c r="AA33" s="697"/>
      <c r="AB33" s="697"/>
      <c r="AC33" s="697"/>
    </row>
    <row r="34" spans="1:29" ht="25.5" x14ac:dyDescent="0.2">
      <c r="A34" s="694" t="str">
        <f>+Info!$B$2</f>
        <v>724</v>
      </c>
      <c r="B34" s="694" t="s">
        <v>4458</v>
      </c>
      <c r="C34" s="694" t="s">
        <v>4459</v>
      </c>
      <c r="D34" s="695" t="s">
        <v>1227</v>
      </c>
      <c r="E34" s="696"/>
      <c r="F34" s="697"/>
      <c r="G34" s="697"/>
      <c r="H34" s="698"/>
      <c r="I34" s="697"/>
      <c r="J34" s="697"/>
      <c r="K34" s="697"/>
      <c r="L34" s="697"/>
      <c r="M34" s="697"/>
      <c r="N34" s="698"/>
      <c r="O34" s="697"/>
      <c r="P34" s="697"/>
      <c r="Q34" s="697"/>
      <c r="R34" s="697"/>
      <c r="S34" s="697"/>
      <c r="T34" s="697"/>
      <c r="U34" s="697"/>
      <c r="V34" s="697"/>
      <c r="W34" s="698"/>
      <c r="X34" s="698"/>
      <c r="Y34" s="697"/>
      <c r="Z34" s="697"/>
      <c r="AA34" s="697"/>
      <c r="AB34" s="697"/>
      <c r="AC34" s="697"/>
    </row>
    <row r="35" spans="1:29" x14ac:dyDescent="0.2">
      <c r="A35" s="694" t="str">
        <f>+Info!$B$2</f>
        <v>724</v>
      </c>
      <c r="B35" s="694" t="s">
        <v>4460</v>
      </c>
      <c r="C35" s="694" t="s">
        <v>4461</v>
      </c>
      <c r="D35" s="695" t="s">
        <v>1230</v>
      </c>
      <c r="E35" s="696"/>
      <c r="F35" s="697"/>
      <c r="G35" s="697"/>
      <c r="H35" s="698"/>
      <c r="I35" s="697"/>
      <c r="J35" s="697"/>
      <c r="K35" s="697"/>
      <c r="L35" s="697"/>
      <c r="M35" s="697"/>
      <c r="N35" s="698"/>
      <c r="O35" s="697"/>
      <c r="P35" s="697"/>
      <c r="Q35" s="697"/>
      <c r="R35" s="697"/>
      <c r="S35" s="697"/>
      <c r="T35" s="697"/>
      <c r="U35" s="697"/>
      <c r="V35" s="697"/>
      <c r="W35" s="698"/>
      <c r="X35" s="698"/>
      <c r="Y35" s="697"/>
      <c r="Z35" s="697"/>
      <c r="AA35" s="697"/>
      <c r="AB35" s="697"/>
      <c r="AC35" s="697"/>
    </row>
    <row r="36" spans="1:29" x14ac:dyDescent="0.2">
      <c r="A36" s="694" t="str">
        <f>+Info!$B$2</f>
        <v>724</v>
      </c>
      <c r="B36" s="694" t="s">
        <v>4462</v>
      </c>
      <c r="C36" s="694" t="s">
        <v>4463</v>
      </c>
      <c r="D36" s="700" t="s">
        <v>1233</v>
      </c>
      <c r="E36" s="696"/>
      <c r="F36" s="697"/>
      <c r="G36" s="697"/>
      <c r="H36" s="698"/>
      <c r="I36" s="697"/>
      <c r="J36" s="697"/>
      <c r="K36" s="697"/>
      <c r="L36" s="697"/>
      <c r="M36" s="697"/>
      <c r="N36" s="698"/>
      <c r="O36" s="697"/>
      <c r="P36" s="697"/>
      <c r="Q36" s="697"/>
      <c r="R36" s="697"/>
      <c r="S36" s="697"/>
      <c r="T36" s="697"/>
      <c r="U36" s="697"/>
      <c r="V36" s="697"/>
      <c r="W36" s="698"/>
      <c r="X36" s="698"/>
      <c r="Y36" s="697"/>
      <c r="Z36" s="697"/>
      <c r="AA36" s="697"/>
      <c r="AB36" s="697"/>
      <c r="AC36" s="697"/>
    </row>
    <row r="37" spans="1:29" x14ac:dyDescent="0.2">
      <c r="A37" s="694" t="str">
        <f>+Info!$B$2</f>
        <v>724</v>
      </c>
      <c r="B37" s="694" t="s">
        <v>4464</v>
      </c>
      <c r="C37" s="694" t="s">
        <v>4465</v>
      </c>
      <c r="D37" s="700" t="s">
        <v>1236</v>
      </c>
      <c r="E37" s="696"/>
      <c r="F37" s="697"/>
      <c r="G37" s="697"/>
      <c r="H37" s="698"/>
      <c r="I37" s="697"/>
      <c r="J37" s="697"/>
      <c r="K37" s="697"/>
      <c r="L37" s="697"/>
      <c r="M37" s="697"/>
      <c r="N37" s="698"/>
      <c r="O37" s="697"/>
      <c r="P37" s="697"/>
      <c r="Q37" s="697"/>
      <c r="R37" s="697"/>
      <c r="S37" s="697"/>
      <c r="T37" s="697"/>
      <c r="U37" s="697"/>
      <c r="V37" s="697"/>
      <c r="W37" s="698"/>
      <c r="X37" s="698"/>
      <c r="Y37" s="697"/>
      <c r="Z37" s="697"/>
      <c r="AA37" s="697"/>
      <c r="AB37" s="697"/>
      <c r="AC37" s="697"/>
    </row>
    <row r="38" spans="1:29" x14ac:dyDescent="0.2">
      <c r="A38" s="694" t="str">
        <f>+Info!$B$2</f>
        <v>724</v>
      </c>
      <c r="B38" s="694" t="s">
        <v>4466</v>
      </c>
      <c r="C38" s="694" t="s">
        <v>4467</v>
      </c>
      <c r="D38" s="695" t="s">
        <v>1240</v>
      </c>
      <c r="E38" s="696"/>
      <c r="F38" s="697"/>
      <c r="G38" s="697"/>
      <c r="H38" s="698"/>
      <c r="I38" s="697"/>
      <c r="J38" s="697"/>
      <c r="K38" s="697"/>
      <c r="L38" s="697"/>
      <c r="M38" s="697"/>
      <c r="N38" s="698"/>
      <c r="O38" s="697"/>
      <c r="P38" s="697"/>
      <c r="Q38" s="697"/>
      <c r="R38" s="697"/>
      <c r="S38" s="697"/>
      <c r="T38" s="697"/>
      <c r="U38" s="697"/>
      <c r="V38" s="697"/>
      <c r="W38" s="698"/>
      <c r="X38" s="698"/>
      <c r="Y38" s="697"/>
      <c r="Z38" s="697"/>
      <c r="AA38" s="697"/>
      <c r="AB38" s="697"/>
      <c r="AC38" s="697"/>
    </row>
    <row r="39" spans="1:29" x14ac:dyDescent="0.2">
      <c r="A39" s="694" t="str">
        <f>+Info!$B$2</f>
        <v>724</v>
      </c>
      <c r="B39" s="694" t="s">
        <v>4468</v>
      </c>
      <c r="C39" s="694" t="s">
        <v>4469</v>
      </c>
      <c r="D39" s="695" t="s">
        <v>1243</v>
      </c>
      <c r="E39" s="696"/>
      <c r="F39" s="697"/>
      <c r="G39" s="697"/>
      <c r="H39" s="698"/>
      <c r="I39" s="697"/>
      <c r="J39" s="697"/>
      <c r="K39" s="697"/>
      <c r="L39" s="697"/>
      <c r="M39" s="697"/>
      <c r="N39" s="698"/>
      <c r="O39" s="697"/>
      <c r="P39" s="697"/>
      <c r="Q39" s="697"/>
      <c r="R39" s="697"/>
      <c r="S39" s="697"/>
      <c r="T39" s="697"/>
      <c r="U39" s="697"/>
      <c r="V39" s="697"/>
      <c r="W39" s="698"/>
      <c r="X39" s="698"/>
      <c r="Y39" s="697"/>
      <c r="Z39" s="697"/>
      <c r="AA39" s="697"/>
      <c r="AB39" s="697"/>
      <c r="AC39" s="697"/>
    </row>
    <row r="40" spans="1:29" x14ac:dyDescent="0.2">
      <c r="A40" s="694" t="str">
        <f>+Info!$B$2</f>
        <v>724</v>
      </c>
      <c r="B40" s="694" t="s">
        <v>4470</v>
      </c>
      <c r="C40" s="694" t="s">
        <v>4471</v>
      </c>
      <c r="D40" s="695" t="s">
        <v>1246</v>
      </c>
      <c r="E40" s="696"/>
      <c r="F40" s="697"/>
      <c r="G40" s="697"/>
      <c r="H40" s="698"/>
      <c r="I40" s="697"/>
      <c r="J40" s="697"/>
      <c r="K40" s="697"/>
      <c r="L40" s="697"/>
      <c r="M40" s="697"/>
      <c r="N40" s="698"/>
      <c r="O40" s="697"/>
      <c r="P40" s="697"/>
      <c r="Q40" s="697"/>
      <c r="R40" s="697"/>
      <c r="S40" s="697"/>
      <c r="T40" s="697"/>
      <c r="U40" s="697"/>
      <c r="V40" s="697"/>
      <c r="W40" s="698"/>
      <c r="X40" s="698"/>
      <c r="Y40" s="697"/>
      <c r="Z40" s="697"/>
      <c r="AA40" s="697"/>
      <c r="AB40" s="697"/>
      <c r="AC40" s="697"/>
    </row>
    <row r="41" spans="1:29" x14ac:dyDescent="0.2">
      <c r="A41" s="694" t="str">
        <f>+Info!$B$2</f>
        <v>724</v>
      </c>
      <c r="B41" s="694" t="s">
        <v>4472</v>
      </c>
      <c r="C41" s="694" t="s">
        <v>4473</v>
      </c>
      <c r="D41" s="695" t="s">
        <v>1249</v>
      </c>
      <c r="E41" s="696"/>
      <c r="F41" s="697"/>
      <c r="G41" s="697"/>
      <c r="H41" s="698"/>
      <c r="I41" s="697"/>
      <c r="J41" s="697"/>
      <c r="K41" s="697"/>
      <c r="L41" s="697"/>
      <c r="M41" s="697"/>
      <c r="N41" s="698"/>
      <c r="O41" s="697"/>
      <c r="P41" s="697"/>
      <c r="Q41" s="697"/>
      <c r="R41" s="697"/>
      <c r="S41" s="697"/>
      <c r="T41" s="697"/>
      <c r="U41" s="697"/>
      <c r="V41" s="697"/>
      <c r="W41" s="698"/>
      <c r="X41" s="698"/>
      <c r="Y41" s="697"/>
      <c r="Z41" s="697"/>
      <c r="AA41" s="697"/>
      <c r="AB41" s="697"/>
      <c r="AC41" s="697"/>
    </row>
    <row r="42" spans="1:29" x14ac:dyDescent="0.2">
      <c r="A42" s="694" t="str">
        <f>+Info!$B$2</f>
        <v>724</v>
      </c>
      <c r="B42" s="694" t="s">
        <v>4474</v>
      </c>
      <c r="C42" s="694" t="s">
        <v>4475</v>
      </c>
      <c r="D42" s="695" t="s">
        <v>1252</v>
      </c>
      <c r="E42" s="696"/>
      <c r="F42" s="697"/>
      <c r="G42" s="697"/>
      <c r="H42" s="698"/>
      <c r="I42" s="697"/>
      <c r="J42" s="697"/>
      <c r="K42" s="697"/>
      <c r="L42" s="697"/>
      <c r="M42" s="697"/>
      <c r="N42" s="698"/>
      <c r="O42" s="697"/>
      <c r="P42" s="697"/>
      <c r="Q42" s="697"/>
      <c r="R42" s="697"/>
      <c r="S42" s="697"/>
      <c r="T42" s="697"/>
      <c r="U42" s="697"/>
      <c r="V42" s="697"/>
      <c r="W42" s="698"/>
      <c r="X42" s="698"/>
      <c r="Y42" s="697"/>
      <c r="Z42" s="697"/>
      <c r="AA42" s="697"/>
      <c r="AB42" s="697"/>
      <c r="AC42" s="697"/>
    </row>
    <row r="43" spans="1:29" x14ac:dyDescent="0.2">
      <c r="A43" s="694" t="str">
        <f>+Info!$B$2</f>
        <v>724</v>
      </c>
      <c r="B43" s="694" t="s">
        <v>4476</v>
      </c>
      <c r="C43" s="694" t="s">
        <v>4477</v>
      </c>
      <c r="D43" s="695" t="s">
        <v>4478</v>
      </c>
      <c r="E43" s="696"/>
      <c r="F43" s="697"/>
      <c r="G43" s="697"/>
      <c r="H43" s="698"/>
      <c r="I43" s="697"/>
      <c r="J43" s="697"/>
      <c r="K43" s="697"/>
      <c r="L43" s="697"/>
      <c r="M43" s="697"/>
      <c r="N43" s="698"/>
      <c r="O43" s="697"/>
      <c r="P43" s="697"/>
      <c r="Q43" s="697"/>
      <c r="R43" s="697"/>
      <c r="S43" s="697"/>
      <c r="T43" s="697"/>
      <c r="U43" s="697"/>
      <c r="V43" s="697"/>
      <c r="W43" s="698"/>
      <c r="X43" s="698"/>
      <c r="Y43" s="697"/>
      <c r="Z43" s="697"/>
      <c r="AA43" s="697"/>
      <c r="AB43" s="697"/>
      <c r="AC43" s="697"/>
    </row>
    <row r="44" spans="1:29" x14ac:dyDescent="0.2">
      <c r="A44" s="694" t="str">
        <f>+Info!$B$2</f>
        <v>724</v>
      </c>
      <c r="B44" s="694" t="s">
        <v>4479</v>
      </c>
      <c r="C44" s="694" t="s">
        <v>4480</v>
      </c>
      <c r="D44" s="695" t="s">
        <v>1259</v>
      </c>
      <c r="E44" s="696"/>
      <c r="F44" s="697"/>
      <c r="G44" s="697"/>
      <c r="H44" s="698"/>
      <c r="I44" s="697"/>
      <c r="J44" s="697"/>
      <c r="K44" s="697"/>
      <c r="L44" s="697"/>
      <c r="M44" s="697"/>
      <c r="N44" s="698"/>
      <c r="O44" s="697"/>
      <c r="P44" s="697"/>
      <c r="Q44" s="697"/>
      <c r="R44" s="697"/>
      <c r="S44" s="697"/>
      <c r="T44" s="697"/>
      <c r="U44" s="697"/>
      <c r="V44" s="697"/>
      <c r="W44" s="698"/>
      <c r="X44" s="698"/>
      <c r="Y44" s="697"/>
      <c r="Z44" s="697"/>
      <c r="AA44" s="697"/>
      <c r="AB44" s="697"/>
      <c r="AC44" s="697"/>
    </row>
    <row r="45" spans="1:29" x14ac:dyDescent="0.2">
      <c r="A45" s="694" t="str">
        <f>+Info!$B$2</f>
        <v>724</v>
      </c>
      <c r="B45" s="694" t="s">
        <v>4481</v>
      </c>
      <c r="C45" s="694" t="s">
        <v>4482</v>
      </c>
      <c r="D45" s="695" t="s">
        <v>1262</v>
      </c>
      <c r="E45" s="696"/>
      <c r="F45" s="697"/>
      <c r="G45" s="697"/>
      <c r="H45" s="698"/>
      <c r="I45" s="697"/>
      <c r="J45" s="697"/>
      <c r="K45" s="697"/>
      <c r="L45" s="697"/>
      <c r="M45" s="697"/>
      <c r="N45" s="698"/>
      <c r="O45" s="697"/>
      <c r="P45" s="697"/>
      <c r="Q45" s="697"/>
      <c r="R45" s="697"/>
      <c r="S45" s="697"/>
      <c r="T45" s="697"/>
      <c r="U45" s="697"/>
      <c r="V45" s="697"/>
      <c r="W45" s="698"/>
      <c r="X45" s="698"/>
      <c r="Y45" s="697"/>
      <c r="Z45" s="697"/>
      <c r="AA45" s="697"/>
      <c r="AB45" s="697"/>
      <c r="AC45" s="697"/>
    </row>
    <row r="46" spans="1:29" x14ac:dyDescent="0.2">
      <c r="A46" s="694" t="str">
        <f>+Info!$B$2</f>
        <v>724</v>
      </c>
      <c r="B46" s="694" t="s">
        <v>4483</v>
      </c>
      <c r="C46" s="694" t="s">
        <v>4484</v>
      </c>
      <c r="D46" s="695" t="s">
        <v>1265</v>
      </c>
      <c r="E46" s="696"/>
      <c r="F46" s="697"/>
      <c r="G46" s="697"/>
      <c r="H46" s="698"/>
      <c r="I46" s="697"/>
      <c r="J46" s="697"/>
      <c r="K46" s="697"/>
      <c r="L46" s="697"/>
      <c r="M46" s="697"/>
      <c r="N46" s="698"/>
      <c r="O46" s="697"/>
      <c r="P46" s="697"/>
      <c r="Q46" s="697"/>
      <c r="R46" s="697"/>
      <c r="S46" s="697"/>
      <c r="T46" s="697"/>
      <c r="U46" s="697"/>
      <c r="V46" s="697"/>
      <c r="W46" s="698"/>
      <c r="X46" s="698"/>
      <c r="Y46" s="697"/>
      <c r="Z46" s="697"/>
      <c r="AA46" s="697"/>
      <c r="AB46" s="697"/>
      <c r="AC46" s="697"/>
    </row>
    <row r="47" spans="1:29" x14ac:dyDescent="0.2">
      <c r="A47" s="694" t="str">
        <f>+Info!$B$2</f>
        <v>724</v>
      </c>
      <c r="B47" s="694" t="s">
        <v>4485</v>
      </c>
      <c r="C47" s="694" t="s">
        <v>4486</v>
      </c>
      <c r="D47" s="695" t="s">
        <v>1269</v>
      </c>
      <c r="E47" s="696"/>
      <c r="F47" s="697"/>
      <c r="G47" s="697"/>
      <c r="H47" s="698"/>
      <c r="I47" s="697"/>
      <c r="J47" s="697"/>
      <c r="K47" s="697"/>
      <c r="L47" s="697"/>
      <c r="M47" s="697"/>
      <c r="N47" s="698"/>
      <c r="O47" s="697"/>
      <c r="P47" s="697"/>
      <c r="Q47" s="697"/>
      <c r="R47" s="697"/>
      <c r="S47" s="697"/>
      <c r="T47" s="697"/>
      <c r="U47" s="697"/>
      <c r="V47" s="697"/>
      <c r="W47" s="698"/>
      <c r="X47" s="698"/>
      <c r="Y47" s="697"/>
      <c r="Z47" s="697"/>
      <c r="AA47" s="697"/>
      <c r="AB47" s="697"/>
      <c r="AC47" s="697"/>
    </row>
    <row r="48" spans="1:29" x14ac:dyDescent="0.2">
      <c r="A48" s="694" t="str">
        <f>+Info!$B$2</f>
        <v>724</v>
      </c>
      <c r="B48" s="694" t="s">
        <v>4487</v>
      </c>
      <c r="C48" s="694" t="s">
        <v>4488</v>
      </c>
      <c r="D48" s="695" t="s">
        <v>1272</v>
      </c>
      <c r="E48" s="696"/>
      <c r="F48" s="697"/>
      <c r="G48" s="697"/>
      <c r="H48" s="698"/>
      <c r="I48" s="697"/>
      <c r="J48" s="697"/>
      <c r="K48" s="697"/>
      <c r="L48" s="697"/>
      <c r="M48" s="697"/>
      <c r="N48" s="698"/>
      <c r="O48" s="697"/>
      <c r="P48" s="697"/>
      <c r="Q48" s="697"/>
      <c r="R48" s="697"/>
      <c r="S48" s="697"/>
      <c r="T48" s="697"/>
      <c r="U48" s="697"/>
      <c r="V48" s="697"/>
      <c r="W48" s="698"/>
      <c r="X48" s="698"/>
      <c r="Y48" s="697"/>
      <c r="Z48" s="697"/>
      <c r="AA48" s="697"/>
      <c r="AB48" s="697"/>
      <c r="AC48" s="697"/>
    </row>
    <row r="49" spans="1:29" x14ac:dyDescent="0.2">
      <c r="A49" s="694" t="str">
        <f>+Info!$B$2</f>
        <v>724</v>
      </c>
      <c r="B49" s="694" t="s">
        <v>4489</v>
      </c>
      <c r="C49" s="694" t="s">
        <v>4490</v>
      </c>
      <c r="D49" s="695" t="s">
        <v>1275</v>
      </c>
      <c r="E49" s="696"/>
      <c r="F49" s="697"/>
      <c r="G49" s="697"/>
      <c r="H49" s="698"/>
      <c r="I49" s="697"/>
      <c r="J49" s="697"/>
      <c r="K49" s="697"/>
      <c r="L49" s="697"/>
      <c r="M49" s="697"/>
      <c r="N49" s="698"/>
      <c r="O49" s="697"/>
      <c r="P49" s="697"/>
      <c r="Q49" s="697"/>
      <c r="R49" s="697"/>
      <c r="S49" s="697"/>
      <c r="T49" s="697"/>
      <c r="U49" s="697"/>
      <c r="V49" s="697"/>
      <c r="W49" s="698"/>
      <c r="X49" s="698"/>
      <c r="Y49" s="697"/>
      <c r="Z49" s="697"/>
      <c r="AA49" s="697"/>
      <c r="AB49" s="697"/>
      <c r="AC49" s="697"/>
    </row>
    <row r="50" spans="1:29" x14ac:dyDescent="0.2">
      <c r="A50" s="694" t="str">
        <f>+Info!$B$2</f>
        <v>724</v>
      </c>
      <c r="B50" s="694" t="s">
        <v>4491</v>
      </c>
      <c r="C50" s="694" t="s">
        <v>4492</v>
      </c>
      <c r="D50" s="695" t="s">
        <v>1279</v>
      </c>
      <c r="E50" s="696"/>
      <c r="F50" s="697"/>
      <c r="G50" s="697"/>
      <c r="H50" s="698"/>
      <c r="I50" s="697"/>
      <c r="J50" s="697"/>
      <c r="K50" s="697"/>
      <c r="L50" s="697"/>
      <c r="M50" s="697"/>
      <c r="N50" s="698"/>
      <c r="O50" s="697"/>
      <c r="P50" s="697"/>
      <c r="Q50" s="697"/>
      <c r="R50" s="697"/>
      <c r="S50" s="697"/>
      <c r="T50" s="697"/>
      <c r="U50" s="697"/>
      <c r="V50" s="697"/>
      <c r="W50" s="698"/>
      <c r="X50" s="698"/>
      <c r="Y50" s="697"/>
      <c r="Z50" s="697"/>
      <c r="AA50" s="697"/>
      <c r="AB50" s="697"/>
      <c r="AC50" s="697"/>
    </row>
    <row r="51" spans="1:29" ht="25.5" x14ac:dyDescent="0.2">
      <c r="A51" s="694" t="str">
        <f>+Info!$B$2</f>
        <v>724</v>
      </c>
      <c r="B51" s="694" t="s">
        <v>4493</v>
      </c>
      <c r="C51" s="694" t="s">
        <v>4494</v>
      </c>
      <c r="D51" s="695" t="s">
        <v>1282</v>
      </c>
      <c r="E51" s="696"/>
      <c r="F51" s="697"/>
      <c r="G51" s="697"/>
      <c r="H51" s="698"/>
      <c r="I51" s="697"/>
      <c r="J51" s="697"/>
      <c r="K51" s="697"/>
      <c r="L51" s="697"/>
      <c r="M51" s="697"/>
      <c r="N51" s="698"/>
      <c r="O51" s="697"/>
      <c r="P51" s="697"/>
      <c r="Q51" s="697"/>
      <c r="R51" s="697"/>
      <c r="S51" s="697"/>
      <c r="T51" s="697"/>
      <c r="U51" s="697"/>
      <c r="V51" s="697"/>
      <c r="W51" s="698"/>
      <c r="X51" s="698"/>
      <c r="Y51" s="697"/>
      <c r="Z51" s="697"/>
      <c r="AA51" s="697"/>
      <c r="AB51" s="697"/>
      <c r="AC51" s="697"/>
    </row>
    <row r="52" spans="1:29" ht="15" x14ac:dyDescent="0.25">
      <c r="A52" s="691" t="str">
        <f>+Info!$B$2</f>
        <v>724</v>
      </c>
      <c r="B52" s="691" t="s">
        <v>1919</v>
      </c>
      <c r="C52" s="691" t="s">
        <v>4495</v>
      </c>
      <c r="D52" s="692" t="s">
        <v>4496</v>
      </c>
      <c r="E52" s="693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</row>
    <row r="53" spans="1:29" x14ac:dyDescent="0.2">
      <c r="A53" s="694" t="str">
        <f>+Info!$B$2</f>
        <v>724</v>
      </c>
      <c r="B53" s="694" t="s">
        <v>1922</v>
      </c>
      <c r="C53" s="694" t="s">
        <v>4497</v>
      </c>
      <c r="D53" s="695" t="s">
        <v>1297</v>
      </c>
      <c r="E53" s="696"/>
      <c r="F53" s="697"/>
      <c r="G53" s="697"/>
      <c r="H53" s="698"/>
      <c r="I53" s="697"/>
      <c r="J53" s="697"/>
      <c r="K53" s="697"/>
      <c r="L53" s="697"/>
      <c r="M53" s="697"/>
      <c r="N53" s="698"/>
      <c r="O53" s="697"/>
      <c r="P53" s="697"/>
      <c r="Q53" s="697"/>
      <c r="R53" s="697"/>
      <c r="S53" s="697"/>
      <c r="T53" s="697"/>
      <c r="U53" s="697"/>
      <c r="V53" s="697"/>
      <c r="W53" s="698"/>
      <c r="X53" s="698"/>
      <c r="Y53" s="697"/>
      <c r="Z53" s="697"/>
      <c r="AA53" s="697"/>
      <c r="AB53" s="697"/>
      <c r="AC53" s="697"/>
    </row>
    <row r="54" spans="1:29" x14ac:dyDescent="0.2">
      <c r="A54" s="694" t="str">
        <f>+Info!$B$2</f>
        <v>724</v>
      </c>
      <c r="B54" s="694" t="s">
        <v>1928</v>
      </c>
      <c r="C54" s="694" t="s">
        <v>4498</v>
      </c>
      <c r="D54" s="695" t="s">
        <v>1301</v>
      </c>
      <c r="E54" s="696"/>
      <c r="F54" s="697"/>
      <c r="G54" s="697"/>
      <c r="H54" s="698"/>
      <c r="I54" s="697"/>
      <c r="J54" s="697"/>
      <c r="K54" s="697"/>
      <c r="L54" s="697"/>
      <c r="M54" s="697"/>
      <c r="N54" s="698"/>
      <c r="O54" s="697"/>
      <c r="P54" s="697"/>
      <c r="Q54" s="697"/>
      <c r="R54" s="697"/>
      <c r="S54" s="697"/>
      <c r="T54" s="697"/>
      <c r="U54" s="697"/>
      <c r="V54" s="697"/>
      <c r="W54" s="698"/>
      <c r="X54" s="698"/>
      <c r="Y54" s="697"/>
      <c r="Z54" s="697"/>
      <c r="AA54" s="697"/>
      <c r="AB54" s="697"/>
      <c r="AC54" s="697"/>
    </row>
    <row r="55" spans="1:29" x14ac:dyDescent="0.2">
      <c r="A55" s="694" t="str">
        <f>+Info!$B$2</f>
        <v>724</v>
      </c>
      <c r="B55" s="694" t="s">
        <v>4499</v>
      </c>
      <c r="C55" s="694" t="s">
        <v>4500</v>
      </c>
      <c r="D55" s="695" t="s">
        <v>1305</v>
      </c>
      <c r="E55" s="696"/>
      <c r="F55" s="697"/>
      <c r="G55" s="697"/>
      <c r="H55" s="698"/>
      <c r="I55" s="697"/>
      <c r="J55" s="697"/>
      <c r="K55" s="697"/>
      <c r="L55" s="697"/>
      <c r="M55" s="697"/>
      <c r="N55" s="698"/>
      <c r="O55" s="697"/>
      <c r="P55" s="697"/>
      <c r="Q55" s="697"/>
      <c r="R55" s="697"/>
      <c r="S55" s="697"/>
      <c r="T55" s="697"/>
      <c r="U55" s="697"/>
      <c r="V55" s="697"/>
      <c r="W55" s="698"/>
      <c r="X55" s="698"/>
      <c r="Y55" s="697"/>
      <c r="Z55" s="697"/>
      <c r="AA55" s="697"/>
      <c r="AB55" s="697"/>
      <c r="AC55" s="697"/>
    </row>
    <row r="56" spans="1:29" x14ac:dyDescent="0.2">
      <c r="A56" s="694" t="str">
        <f>+Info!$B$2</f>
        <v>724</v>
      </c>
      <c r="B56" s="694" t="s">
        <v>4501</v>
      </c>
      <c r="C56" s="694" t="s">
        <v>4502</v>
      </c>
      <c r="D56" s="695" t="s">
        <v>1308</v>
      </c>
      <c r="E56" s="696"/>
      <c r="F56" s="697"/>
      <c r="G56" s="697"/>
      <c r="H56" s="698"/>
      <c r="I56" s="697"/>
      <c r="J56" s="697"/>
      <c r="K56" s="697"/>
      <c r="L56" s="697"/>
      <c r="M56" s="697"/>
      <c r="N56" s="698"/>
      <c r="O56" s="697"/>
      <c r="P56" s="697"/>
      <c r="Q56" s="697"/>
      <c r="R56" s="697"/>
      <c r="S56" s="697"/>
      <c r="T56" s="697"/>
      <c r="U56" s="697"/>
      <c r="V56" s="697"/>
      <c r="W56" s="698"/>
      <c r="X56" s="698"/>
      <c r="Y56" s="697"/>
      <c r="Z56" s="697"/>
      <c r="AA56" s="697"/>
      <c r="AB56" s="697"/>
      <c r="AC56" s="697"/>
    </row>
    <row r="57" spans="1:29" x14ac:dyDescent="0.2">
      <c r="A57" s="694" t="str">
        <f>+Info!$B$2</f>
        <v>724</v>
      </c>
      <c r="B57" s="694" t="s">
        <v>1953</v>
      </c>
      <c r="C57" s="694" t="s">
        <v>4503</v>
      </c>
      <c r="D57" s="695" t="s">
        <v>1312</v>
      </c>
      <c r="E57" s="696"/>
      <c r="F57" s="697"/>
      <c r="G57" s="697"/>
      <c r="H57" s="698"/>
      <c r="I57" s="697"/>
      <c r="J57" s="697"/>
      <c r="K57" s="697"/>
      <c r="L57" s="697"/>
      <c r="M57" s="697"/>
      <c r="N57" s="698"/>
      <c r="O57" s="697"/>
      <c r="P57" s="697"/>
      <c r="Q57" s="697"/>
      <c r="R57" s="697"/>
      <c r="S57" s="697"/>
      <c r="T57" s="697"/>
      <c r="U57" s="697"/>
      <c r="V57" s="697"/>
      <c r="W57" s="698"/>
      <c r="X57" s="698"/>
      <c r="Y57" s="697"/>
      <c r="Z57" s="697"/>
      <c r="AA57" s="697"/>
      <c r="AB57" s="697"/>
      <c r="AC57" s="697"/>
    </row>
    <row r="58" spans="1:29" x14ac:dyDescent="0.2">
      <c r="A58" s="694" t="str">
        <f>+Info!$B$2</f>
        <v>724</v>
      </c>
      <c r="B58" s="694" t="s">
        <v>1959</v>
      </c>
      <c r="C58" s="694" t="s">
        <v>4504</v>
      </c>
      <c r="D58" s="695" t="s">
        <v>1315</v>
      </c>
      <c r="E58" s="696"/>
      <c r="F58" s="697"/>
      <c r="G58" s="697"/>
      <c r="H58" s="698"/>
      <c r="I58" s="697"/>
      <c r="J58" s="697"/>
      <c r="K58" s="697"/>
      <c r="L58" s="697"/>
      <c r="M58" s="697"/>
      <c r="N58" s="698"/>
      <c r="O58" s="697"/>
      <c r="P58" s="697"/>
      <c r="Q58" s="697"/>
      <c r="R58" s="697"/>
      <c r="S58" s="697"/>
      <c r="T58" s="697"/>
      <c r="U58" s="697"/>
      <c r="V58" s="697"/>
      <c r="W58" s="698"/>
      <c r="X58" s="698"/>
      <c r="Y58" s="697"/>
      <c r="Z58" s="697"/>
      <c r="AA58" s="697"/>
      <c r="AB58" s="697"/>
      <c r="AC58" s="697"/>
    </row>
    <row r="59" spans="1:29" x14ac:dyDescent="0.2">
      <c r="A59" s="694" t="str">
        <f>+Info!$B$2</f>
        <v>724</v>
      </c>
      <c r="B59" s="694" t="s">
        <v>4505</v>
      </c>
      <c r="C59" s="694" t="s">
        <v>4506</v>
      </c>
      <c r="D59" s="695" t="s">
        <v>4507</v>
      </c>
      <c r="E59" s="696"/>
      <c r="F59" s="697"/>
      <c r="G59" s="697"/>
      <c r="H59" s="698"/>
      <c r="I59" s="697"/>
      <c r="J59" s="697"/>
      <c r="K59" s="697"/>
      <c r="L59" s="697"/>
      <c r="M59" s="697"/>
      <c r="N59" s="698"/>
      <c r="O59" s="697"/>
      <c r="P59" s="697"/>
      <c r="Q59" s="697"/>
      <c r="R59" s="697"/>
      <c r="S59" s="697"/>
      <c r="T59" s="697"/>
      <c r="U59" s="697"/>
      <c r="V59" s="697"/>
      <c r="W59" s="698"/>
      <c r="X59" s="698"/>
      <c r="Y59" s="697"/>
      <c r="Z59" s="697"/>
      <c r="AA59" s="697"/>
      <c r="AB59" s="697"/>
      <c r="AC59" s="697"/>
    </row>
    <row r="60" spans="1:29" x14ac:dyDescent="0.2">
      <c r="A60" s="694" t="str">
        <f>+Info!$B$2</f>
        <v>724</v>
      </c>
      <c r="B60" s="694" t="s">
        <v>4508</v>
      </c>
      <c r="C60" s="694" t="s">
        <v>4509</v>
      </c>
      <c r="D60" s="695" t="s">
        <v>1322</v>
      </c>
      <c r="E60" s="696"/>
      <c r="F60" s="697"/>
      <c r="G60" s="697"/>
      <c r="H60" s="698"/>
      <c r="I60" s="697"/>
      <c r="J60" s="697"/>
      <c r="K60" s="697"/>
      <c r="L60" s="697"/>
      <c r="M60" s="697"/>
      <c r="N60" s="698"/>
      <c r="O60" s="697"/>
      <c r="P60" s="697"/>
      <c r="Q60" s="697"/>
      <c r="R60" s="697"/>
      <c r="S60" s="697"/>
      <c r="T60" s="697"/>
      <c r="U60" s="697"/>
      <c r="V60" s="697"/>
      <c r="W60" s="698"/>
      <c r="X60" s="698"/>
      <c r="Y60" s="697"/>
      <c r="Z60" s="697"/>
      <c r="AA60" s="697"/>
      <c r="AB60" s="697"/>
      <c r="AC60" s="697"/>
    </row>
    <row r="61" spans="1:29" x14ac:dyDescent="0.2">
      <c r="A61" s="694" t="str">
        <f>+Info!$B$2</f>
        <v>724</v>
      </c>
      <c r="B61" s="694" t="s">
        <v>4510</v>
      </c>
      <c r="C61" s="694" t="s">
        <v>4511</v>
      </c>
      <c r="D61" s="695" t="s">
        <v>1325</v>
      </c>
      <c r="E61" s="696"/>
      <c r="F61" s="697"/>
      <c r="G61" s="697"/>
      <c r="H61" s="698"/>
      <c r="I61" s="697"/>
      <c r="J61" s="697"/>
      <c r="K61" s="697"/>
      <c r="L61" s="697"/>
      <c r="M61" s="697"/>
      <c r="N61" s="698"/>
      <c r="O61" s="697"/>
      <c r="P61" s="697"/>
      <c r="Q61" s="697"/>
      <c r="R61" s="697"/>
      <c r="S61" s="697"/>
      <c r="T61" s="697"/>
      <c r="U61" s="697"/>
      <c r="V61" s="697"/>
      <c r="W61" s="698"/>
      <c r="X61" s="698"/>
      <c r="Y61" s="697"/>
      <c r="Z61" s="697"/>
      <c r="AA61" s="697"/>
      <c r="AB61" s="697"/>
      <c r="AC61" s="697"/>
    </row>
    <row r="62" spans="1:29" x14ac:dyDescent="0.2">
      <c r="A62" s="694" t="str">
        <f>+Info!$B$2</f>
        <v>724</v>
      </c>
      <c r="B62" s="694" t="s">
        <v>4512</v>
      </c>
      <c r="C62" s="694" t="s">
        <v>4513</v>
      </c>
      <c r="D62" s="695" t="s">
        <v>1328</v>
      </c>
      <c r="E62" s="696"/>
      <c r="F62" s="697"/>
      <c r="G62" s="697"/>
      <c r="H62" s="698"/>
      <c r="I62" s="697"/>
      <c r="J62" s="697"/>
      <c r="K62" s="697"/>
      <c r="L62" s="697"/>
      <c r="M62" s="697"/>
      <c r="N62" s="698"/>
      <c r="O62" s="697"/>
      <c r="P62" s="697"/>
      <c r="Q62" s="697"/>
      <c r="R62" s="697"/>
      <c r="S62" s="697"/>
      <c r="T62" s="697"/>
      <c r="U62" s="697"/>
      <c r="V62" s="697"/>
      <c r="W62" s="698"/>
      <c r="X62" s="698"/>
      <c r="Y62" s="697"/>
      <c r="Z62" s="697"/>
      <c r="AA62" s="697"/>
      <c r="AB62" s="697"/>
      <c r="AC62" s="697"/>
    </row>
    <row r="63" spans="1:29" x14ac:dyDescent="0.2">
      <c r="A63" s="694" t="str">
        <f>+Info!$B$2</f>
        <v>724</v>
      </c>
      <c r="B63" s="694" t="s">
        <v>4514</v>
      </c>
      <c r="C63" s="694" t="s">
        <v>4515</v>
      </c>
      <c r="D63" s="695" t="s">
        <v>1331</v>
      </c>
      <c r="E63" s="696"/>
      <c r="F63" s="697"/>
      <c r="G63" s="697"/>
      <c r="H63" s="698"/>
      <c r="I63" s="697"/>
      <c r="J63" s="697"/>
      <c r="K63" s="697"/>
      <c r="L63" s="697"/>
      <c r="M63" s="697"/>
      <c r="N63" s="698"/>
      <c r="O63" s="697"/>
      <c r="P63" s="697"/>
      <c r="Q63" s="697"/>
      <c r="R63" s="697"/>
      <c r="S63" s="697"/>
      <c r="T63" s="697"/>
      <c r="U63" s="697"/>
      <c r="V63" s="697"/>
      <c r="W63" s="698"/>
      <c r="X63" s="698"/>
      <c r="Y63" s="697"/>
      <c r="Z63" s="697"/>
      <c r="AA63" s="697"/>
      <c r="AB63" s="697"/>
      <c r="AC63" s="697"/>
    </row>
    <row r="64" spans="1:29" x14ac:dyDescent="0.2">
      <c r="A64" s="694" t="str">
        <f>+Info!$B$2</f>
        <v>724</v>
      </c>
      <c r="B64" s="694" t="s">
        <v>4516</v>
      </c>
      <c r="C64" s="694" t="s">
        <v>4517</v>
      </c>
      <c r="D64" s="695" t="s">
        <v>1334</v>
      </c>
      <c r="E64" s="696"/>
      <c r="F64" s="697"/>
      <c r="G64" s="697"/>
      <c r="H64" s="698"/>
      <c r="I64" s="697"/>
      <c r="J64" s="697"/>
      <c r="K64" s="697"/>
      <c r="L64" s="697"/>
      <c r="M64" s="697"/>
      <c r="N64" s="698"/>
      <c r="O64" s="697"/>
      <c r="P64" s="697"/>
      <c r="Q64" s="697"/>
      <c r="R64" s="697"/>
      <c r="S64" s="697"/>
      <c r="T64" s="697"/>
      <c r="U64" s="697"/>
      <c r="V64" s="697"/>
      <c r="W64" s="698"/>
      <c r="X64" s="698"/>
      <c r="Y64" s="697"/>
      <c r="Z64" s="697"/>
      <c r="AA64" s="697"/>
      <c r="AB64" s="697"/>
      <c r="AC64" s="697"/>
    </row>
    <row r="65" spans="1:29" x14ac:dyDescent="0.2">
      <c r="A65" s="694" t="str">
        <f>+Info!$B$2</f>
        <v>724</v>
      </c>
      <c r="B65" s="694" t="s">
        <v>4518</v>
      </c>
      <c r="C65" s="694" t="s">
        <v>4519</v>
      </c>
      <c r="D65" s="695" t="s">
        <v>1338</v>
      </c>
      <c r="E65" s="696"/>
      <c r="F65" s="697"/>
      <c r="G65" s="697"/>
      <c r="H65" s="698"/>
      <c r="I65" s="697"/>
      <c r="J65" s="697"/>
      <c r="K65" s="697"/>
      <c r="L65" s="697"/>
      <c r="M65" s="697"/>
      <c r="N65" s="698"/>
      <c r="O65" s="697"/>
      <c r="P65" s="697"/>
      <c r="Q65" s="697"/>
      <c r="R65" s="697"/>
      <c r="S65" s="697"/>
      <c r="T65" s="697"/>
      <c r="U65" s="697"/>
      <c r="V65" s="697"/>
      <c r="W65" s="698"/>
      <c r="X65" s="698"/>
      <c r="Y65" s="697"/>
      <c r="Z65" s="697"/>
      <c r="AA65" s="697"/>
      <c r="AB65" s="697"/>
      <c r="AC65" s="697"/>
    </row>
    <row r="66" spans="1:29" x14ac:dyDescent="0.2">
      <c r="A66" s="694" t="str">
        <f>+Info!$B$2</f>
        <v>724</v>
      </c>
      <c r="B66" s="694" t="s">
        <v>4520</v>
      </c>
      <c r="C66" s="694" t="s">
        <v>4521</v>
      </c>
      <c r="D66" s="695" t="s">
        <v>4522</v>
      </c>
      <c r="E66" s="696"/>
      <c r="F66" s="697"/>
      <c r="G66" s="697"/>
      <c r="H66" s="698"/>
      <c r="I66" s="697"/>
      <c r="J66" s="697"/>
      <c r="K66" s="697"/>
      <c r="L66" s="697"/>
      <c r="M66" s="697"/>
      <c r="N66" s="698"/>
      <c r="O66" s="697"/>
      <c r="P66" s="697"/>
      <c r="Q66" s="697"/>
      <c r="R66" s="697"/>
      <c r="S66" s="697"/>
      <c r="T66" s="697"/>
      <c r="U66" s="697"/>
      <c r="V66" s="697"/>
      <c r="W66" s="698"/>
      <c r="X66" s="698"/>
      <c r="Y66" s="697"/>
      <c r="Z66" s="697"/>
      <c r="AA66" s="697"/>
      <c r="AB66" s="697"/>
      <c r="AC66" s="697"/>
    </row>
    <row r="67" spans="1:29" ht="15" x14ac:dyDescent="0.25">
      <c r="A67" s="691" t="str">
        <f>+Info!$B$2</f>
        <v>724</v>
      </c>
      <c r="B67" s="691" t="s">
        <v>4523</v>
      </c>
      <c r="C67" s="691" t="s">
        <v>4524</v>
      </c>
      <c r="D67" s="692" t="s">
        <v>4525</v>
      </c>
      <c r="E67" s="693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</row>
    <row r="68" spans="1:29" ht="15" x14ac:dyDescent="0.25">
      <c r="A68" s="691" t="str">
        <f>+Info!$B$2</f>
        <v>724</v>
      </c>
      <c r="B68" s="691" t="s">
        <v>4526</v>
      </c>
      <c r="C68" s="691" t="s">
        <v>4527</v>
      </c>
      <c r="D68" s="692" t="s">
        <v>4528</v>
      </c>
      <c r="E68" s="693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</row>
    <row r="69" spans="1:29" ht="15" x14ac:dyDescent="0.25">
      <c r="A69" s="691" t="str">
        <f>+Info!$B$2</f>
        <v>724</v>
      </c>
      <c r="B69" s="691" t="s">
        <v>4529</v>
      </c>
      <c r="C69" s="691" t="s">
        <v>4530</v>
      </c>
      <c r="D69" s="692" t="s">
        <v>4531</v>
      </c>
      <c r="E69" s="693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</row>
    <row r="70" spans="1:29" x14ac:dyDescent="0.2">
      <c r="A70" s="694" t="str">
        <f>+Info!$B$2</f>
        <v>724</v>
      </c>
      <c r="B70" s="694" t="s">
        <v>4532</v>
      </c>
      <c r="C70" s="694" t="s">
        <v>4533</v>
      </c>
      <c r="D70" s="695" t="s">
        <v>4534</v>
      </c>
      <c r="E70" s="696"/>
      <c r="F70" s="697"/>
      <c r="G70" s="697"/>
      <c r="H70" s="698"/>
      <c r="I70" s="697"/>
      <c r="J70" s="697"/>
      <c r="K70" s="697"/>
      <c r="L70" s="697"/>
      <c r="M70" s="697"/>
      <c r="N70" s="698"/>
      <c r="O70" s="697"/>
      <c r="P70" s="697"/>
      <c r="Q70" s="697"/>
      <c r="R70" s="697"/>
      <c r="S70" s="697"/>
      <c r="T70" s="698"/>
      <c r="U70" s="697"/>
      <c r="V70" s="697"/>
      <c r="W70" s="698"/>
      <c r="X70" s="698"/>
      <c r="Y70" s="697"/>
      <c r="Z70" s="697"/>
      <c r="AA70" s="697"/>
      <c r="AB70" s="697"/>
      <c r="AC70" s="697"/>
    </row>
    <row r="71" spans="1:29" x14ac:dyDescent="0.2">
      <c r="A71" s="694" t="str">
        <f>+Info!$B$2</f>
        <v>724</v>
      </c>
      <c r="B71" s="694" t="s">
        <v>4535</v>
      </c>
      <c r="C71" s="694" t="s">
        <v>4536</v>
      </c>
      <c r="D71" s="695" t="s">
        <v>4537</v>
      </c>
      <c r="E71" s="696"/>
      <c r="F71" s="697"/>
      <c r="G71" s="697"/>
      <c r="H71" s="698"/>
      <c r="I71" s="697"/>
      <c r="J71" s="697"/>
      <c r="K71" s="697"/>
      <c r="L71" s="697"/>
      <c r="M71" s="697"/>
      <c r="N71" s="698"/>
      <c r="O71" s="697"/>
      <c r="P71" s="697"/>
      <c r="Q71" s="697"/>
      <c r="R71" s="697"/>
      <c r="S71" s="697"/>
      <c r="T71" s="698"/>
      <c r="U71" s="697"/>
      <c r="V71" s="697"/>
      <c r="W71" s="698"/>
      <c r="X71" s="698"/>
      <c r="Y71" s="697"/>
      <c r="Z71" s="697"/>
      <c r="AA71" s="697"/>
      <c r="AB71" s="697"/>
      <c r="AC71" s="697"/>
    </row>
    <row r="72" spans="1:29" x14ac:dyDescent="0.2">
      <c r="A72" s="694" t="str">
        <f>+Info!$B$2</f>
        <v>724</v>
      </c>
      <c r="B72" s="694" t="s">
        <v>4538</v>
      </c>
      <c r="C72" s="694" t="s">
        <v>4539</v>
      </c>
      <c r="D72" s="695" t="s">
        <v>4540</v>
      </c>
      <c r="E72" s="696"/>
      <c r="F72" s="697"/>
      <c r="G72" s="697"/>
      <c r="H72" s="698"/>
      <c r="I72" s="697"/>
      <c r="J72" s="697"/>
      <c r="K72" s="697"/>
      <c r="L72" s="697"/>
      <c r="M72" s="697"/>
      <c r="N72" s="698"/>
      <c r="O72" s="697"/>
      <c r="P72" s="697"/>
      <c r="Q72" s="697"/>
      <c r="R72" s="697"/>
      <c r="S72" s="697"/>
      <c r="T72" s="698"/>
      <c r="U72" s="697"/>
      <c r="V72" s="697"/>
      <c r="W72" s="698"/>
      <c r="X72" s="698"/>
      <c r="Y72" s="697"/>
      <c r="Z72" s="697"/>
      <c r="AA72" s="697"/>
      <c r="AB72" s="697"/>
      <c r="AC72" s="697"/>
    </row>
    <row r="73" spans="1:29" x14ac:dyDescent="0.2">
      <c r="A73" s="694" t="str">
        <f>+Info!$B$2</f>
        <v>724</v>
      </c>
      <c r="B73" s="694" t="s">
        <v>4541</v>
      </c>
      <c r="C73" s="694" t="s">
        <v>4542</v>
      </c>
      <c r="D73" s="695" t="s">
        <v>4543</v>
      </c>
      <c r="E73" s="696"/>
      <c r="F73" s="697"/>
      <c r="G73" s="697"/>
      <c r="H73" s="698"/>
      <c r="I73" s="697"/>
      <c r="J73" s="697"/>
      <c r="K73" s="697"/>
      <c r="L73" s="697"/>
      <c r="M73" s="697"/>
      <c r="N73" s="698"/>
      <c r="O73" s="697"/>
      <c r="P73" s="697"/>
      <c r="Q73" s="697"/>
      <c r="R73" s="697"/>
      <c r="S73" s="697"/>
      <c r="T73" s="698"/>
      <c r="U73" s="697"/>
      <c r="V73" s="697"/>
      <c r="W73" s="698"/>
      <c r="X73" s="698"/>
      <c r="Y73" s="697"/>
      <c r="Z73" s="697"/>
      <c r="AA73" s="697"/>
      <c r="AB73" s="697"/>
      <c r="AC73" s="697"/>
    </row>
    <row r="74" spans="1:29" x14ac:dyDescent="0.2">
      <c r="A74" s="694" t="str">
        <f>+Info!$B$2</f>
        <v>724</v>
      </c>
      <c r="B74" s="694" t="s">
        <v>4544</v>
      </c>
      <c r="C74" s="694" t="s">
        <v>4545</v>
      </c>
      <c r="D74" s="695" t="s">
        <v>4546</v>
      </c>
      <c r="E74" s="696"/>
      <c r="F74" s="697"/>
      <c r="G74" s="697"/>
      <c r="H74" s="698"/>
      <c r="I74" s="697"/>
      <c r="J74" s="697"/>
      <c r="K74" s="697"/>
      <c r="L74" s="697"/>
      <c r="M74" s="697"/>
      <c r="N74" s="698"/>
      <c r="O74" s="697"/>
      <c r="P74" s="697"/>
      <c r="Q74" s="697"/>
      <c r="R74" s="697"/>
      <c r="S74" s="697"/>
      <c r="T74" s="698"/>
      <c r="U74" s="697"/>
      <c r="V74" s="697"/>
      <c r="W74" s="698"/>
      <c r="X74" s="698"/>
      <c r="Y74" s="697"/>
      <c r="Z74" s="697"/>
      <c r="AA74" s="697"/>
      <c r="AB74" s="697"/>
      <c r="AC74" s="697"/>
    </row>
    <row r="75" spans="1:29" x14ac:dyDescent="0.2">
      <c r="A75" s="694" t="str">
        <f>+Info!$B$2</f>
        <v>724</v>
      </c>
      <c r="B75" s="694" t="s">
        <v>4547</v>
      </c>
      <c r="C75" s="694" t="s">
        <v>4548</v>
      </c>
      <c r="D75" s="695" t="s">
        <v>4549</v>
      </c>
      <c r="E75" s="696"/>
      <c r="F75" s="697"/>
      <c r="G75" s="697"/>
      <c r="H75" s="698"/>
      <c r="I75" s="697"/>
      <c r="J75" s="697"/>
      <c r="K75" s="697"/>
      <c r="L75" s="697"/>
      <c r="M75" s="697"/>
      <c r="N75" s="698"/>
      <c r="O75" s="697"/>
      <c r="P75" s="697"/>
      <c r="Q75" s="697"/>
      <c r="R75" s="697"/>
      <c r="S75" s="697"/>
      <c r="T75" s="698"/>
      <c r="U75" s="697"/>
      <c r="V75" s="697"/>
      <c r="W75" s="698"/>
      <c r="X75" s="698"/>
      <c r="Y75" s="697"/>
      <c r="Z75" s="697"/>
      <c r="AA75" s="697"/>
      <c r="AB75" s="697"/>
      <c r="AC75" s="697"/>
    </row>
    <row r="76" spans="1:29" x14ac:dyDescent="0.2">
      <c r="A76" s="694" t="str">
        <f>+Info!$B$2</f>
        <v>724</v>
      </c>
      <c r="B76" s="694" t="s">
        <v>4550</v>
      </c>
      <c r="C76" s="694" t="s">
        <v>4551</v>
      </c>
      <c r="D76" s="695" t="s">
        <v>4552</v>
      </c>
      <c r="E76" s="696"/>
      <c r="F76" s="697"/>
      <c r="G76" s="697"/>
      <c r="H76" s="698"/>
      <c r="I76" s="697"/>
      <c r="J76" s="697"/>
      <c r="K76" s="697"/>
      <c r="L76" s="697"/>
      <c r="M76" s="697"/>
      <c r="N76" s="698"/>
      <c r="O76" s="697"/>
      <c r="P76" s="697"/>
      <c r="Q76" s="697"/>
      <c r="R76" s="697"/>
      <c r="S76" s="697"/>
      <c r="T76" s="698"/>
      <c r="U76" s="697"/>
      <c r="V76" s="697"/>
      <c r="W76" s="698"/>
      <c r="X76" s="698"/>
      <c r="Y76" s="697"/>
      <c r="Z76" s="697"/>
      <c r="AA76" s="697"/>
      <c r="AB76" s="697"/>
      <c r="AC76" s="697"/>
    </row>
    <row r="77" spans="1:29" x14ac:dyDescent="0.2">
      <c r="A77" s="694" t="str">
        <f>+Info!$B$2</f>
        <v>724</v>
      </c>
      <c r="B77" s="694" t="s">
        <v>4553</v>
      </c>
      <c r="C77" s="694" t="s">
        <v>4554</v>
      </c>
      <c r="D77" s="695" t="s">
        <v>4555</v>
      </c>
      <c r="E77" s="696"/>
      <c r="F77" s="697"/>
      <c r="G77" s="697"/>
      <c r="H77" s="698"/>
      <c r="I77" s="697"/>
      <c r="J77" s="697"/>
      <c r="K77" s="697"/>
      <c r="L77" s="697"/>
      <c r="M77" s="697"/>
      <c r="N77" s="698"/>
      <c r="O77" s="697"/>
      <c r="P77" s="697"/>
      <c r="Q77" s="697"/>
      <c r="R77" s="697"/>
      <c r="S77" s="697"/>
      <c r="T77" s="698"/>
      <c r="U77" s="697"/>
      <c r="V77" s="697"/>
      <c r="W77" s="698"/>
      <c r="X77" s="698"/>
      <c r="Y77" s="697"/>
      <c r="Z77" s="697"/>
      <c r="AA77" s="697"/>
      <c r="AB77" s="697"/>
      <c r="AC77" s="697"/>
    </row>
    <row r="78" spans="1:29" ht="15" x14ac:dyDescent="0.25">
      <c r="A78" s="691" t="str">
        <f>+Info!$B$2</f>
        <v>724</v>
      </c>
      <c r="B78" s="691" t="s">
        <v>4556</v>
      </c>
      <c r="C78" s="691" t="s">
        <v>4557</v>
      </c>
      <c r="D78" s="692" t="s">
        <v>4558</v>
      </c>
      <c r="E78" s="693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</row>
    <row r="79" spans="1:29" ht="25.5" x14ac:dyDescent="0.2">
      <c r="A79" s="694" t="str">
        <f>+Info!$B$2</f>
        <v>724</v>
      </c>
      <c r="B79" s="694" t="s">
        <v>4559</v>
      </c>
      <c r="C79" s="694" t="s">
        <v>4560</v>
      </c>
      <c r="D79" s="695" t="s">
        <v>4561</v>
      </c>
      <c r="E79" s="696"/>
      <c r="F79" s="697"/>
      <c r="G79" s="697"/>
      <c r="H79" s="698"/>
      <c r="I79" s="697"/>
      <c r="J79" s="697"/>
      <c r="K79" s="697"/>
      <c r="L79" s="697"/>
      <c r="M79" s="697"/>
      <c r="N79" s="698"/>
      <c r="O79" s="697"/>
      <c r="P79" s="697"/>
      <c r="Q79" s="697"/>
      <c r="R79" s="697"/>
      <c r="S79" s="697"/>
      <c r="T79" s="697"/>
      <c r="U79" s="697"/>
      <c r="V79" s="697"/>
      <c r="W79" s="698"/>
      <c r="X79" s="698"/>
      <c r="Y79" s="697"/>
      <c r="Z79" s="697"/>
      <c r="AA79" s="697"/>
      <c r="AB79" s="697"/>
      <c r="AC79" s="697"/>
    </row>
    <row r="80" spans="1:29" ht="25.5" x14ac:dyDescent="0.2">
      <c r="A80" s="694" t="str">
        <f>+Info!$B$2</f>
        <v>724</v>
      </c>
      <c r="B80" s="694" t="s">
        <v>4562</v>
      </c>
      <c r="C80" s="694" t="s">
        <v>4563</v>
      </c>
      <c r="D80" s="695" t="s">
        <v>4564</v>
      </c>
      <c r="E80" s="696"/>
      <c r="F80" s="697"/>
      <c r="G80" s="697"/>
      <c r="H80" s="698"/>
      <c r="I80" s="697"/>
      <c r="J80" s="697"/>
      <c r="K80" s="697"/>
      <c r="L80" s="697"/>
      <c r="M80" s="697"/>
      <c r="N80" s="698"/>
      <c r="O80" s="697"/>
      <c r="P80" s="697"/>
      <c r="Q80" s="697"/>
      <c r="R80" s="697"/>
      <c r="S80" s="697"/>
      <c r="T80" s="697"/>
      <c r="U80" s="697"/>
      <c r="V80" s="697"/>
      <c r="W80" s="698"/>
      <c r="X80" s="698"/>
      <c r="Y80" s="697"/>
      <c r="Z80" s="697"/>
      <c r="AA80" s="697"/>
      <c r="AB80" s="697"/>
      <c r="AC80" s="697"/>
    </row>
    <row r="81" spans="1:29" ht="25.5" x14ac:dyDescent="0.2">
      <c r="A81" s="694" t="str">
        <f>+Info!$B$2</f>
        <v>724</v>
      </c>
      <c r="B81" s="694" t="s">
        <v>4565</v>
      </c>
      <c r="C81" s="694" t="s">
        <v>4566</v>
      </c>
      <c r="D81" s="695" t="s">
        <v>4567</v>
      </c>
      <c r="E81" s="696"/>
      <c r="F81" s="697"/>
      <c r="G81" s="697"/>
      <c r="H81" s="698"/>
      <c r="I81" s="697"/>
      <c r="J81" s="697"/>
      <c r="K81" s="697"/>
      <c r="L81" s="697"/>
      <c r="M81" s="697"/>
      <c r="N81" s="698"/>
      <c r="O81" s="697"/>
      <c r="P81" s="697"/>
      <c r="Q81" s="697"/>
      <c r="R81" s="697"/>
      <c r="S81" s="697"/>
      <c r="T81" s="697"/>
      <c r="U81" s="697"/>
      <c r="V81" s="697"/>
      <c r="W81" s="698"/>
      <c r="X81" s="698"/>
      <c r="Y81" s="697"/>
      <c r="Z81" s="697"/>
      <c r="AA81" s="697"/>
      <c r="AB81" s="697"/>
      <c r="AC81" s="697"/>
    </row>
    <row r="82" spans="1:29" ht="25.5" x14ac:dyDescent="0.2">
      <c r="A82" s="694" t="str">
        <f>+Info!$B$2</f>
        <v>724</v>
      </c>
      <c r="B82" s="694" t="s">
        <v>4568</v>
      </c>
      <c r="C82" s="694" t="s">
        <v>4569</v>
      </c>
      <c r="D82" s="695" t="s">
        <v>4570</v>
      </c>
      <c r="E82" s="696"/>
      <c r="F82" s="697"/>
      <c r="G82" s="697"/>
      <c r="H82" s="698"/>
      <c r="I82" s="697"/>
      <c r="J82" s="697"/>
      <c r="K82" s="697"/>
      <c r="L82" s="697"/>
      <c r="M82" s="697"/>
      <c r="N82" s="698"/>
      <c r="O82" s="697"/>
      <c r="P82" s="697"/>
      <c r="Q82" s="697"/>
      <c r="R82" s="697"/>
      <c r="S82" s="697"/>
      <c r="T82" s="697"/>
      <c r="U82" s="697"/>
      <c r="V82" s="697"/>
      <c r="W82" s="698"/>
      <c r="X82" s="698"/>
      <c r="Y82" s="697"/>
      <c r="Z82" s="697"/>
      <c r="AA82" s="697"/>
      <c r="AB82" s="697"/>
      <c r="AC82" s="697"/>
    </row>
    <row r="83" spans="1:29" ht="25.5" x14ac:dyDescent="0.2">
      <c r="A83" s="694" t="str">
        <f>+Info!$B$2</f>
        <v>724</v>
      </c>
      <c r="B83" s="694" t="s">
        <v>4571</v>
      </c>
      <c r="C83" s="694" t="s">
        <v>4572</v>
      </c>
      <c r="D83" s="695" t="s">
        <v>4573</v>
      </c>
      <c r="E83" s="696"/>
      <c r="F83" s="697"/>
      <c r="G83" s="697"/>
      <c r="H83" s="698"/>
      <c r="I83" s="697"/>
      <c r="J83" s="697"/>
      <c r="K83" s="697"/>
      <c r="L83" s="697"/>
      <c r="M83" s="697"/>
      <c r="N83" s="698"/>
      <c r="O83" s="697"/>
      <c r="P83" s="697"/>
      <c r="Q83" s="697"/>
      <c r="R83" s="697"/>
      <c r="S83" s="697"/>
      <c r="T83" s="697"/>
      <c r="U83" s="697"/>
      <c r="V83" s="697"/>
      <c r="W83" s="698"/>
      <c r="X83" s="698"/>
      <c r="Y83" s="697"/>
      <c r="Z83" s="697"/>
      <c r="AA83" s="697"/>
      <c r="AB83" s="697"/>
      <c r="AC83" s="697"/>
    </row>
    <row r="84" spans="1:29" ht="25.5" x14ac:dyDescent="0.2">
      <c r="A84" s="694" t="str">
        <f>+Info!$B$2</f>
        <v>724</v>
      </c>
      <c r="B84" s="694" t="s">
        <v>4574</v>
      </c>
      <c r="C84" s="694" t="s">
        <v>4575</v>
      </c>
      <c r="D84" s="695" t="s">
        <v>4576</v>
      </c>
      <c r="E84" s="696"/>
      <c r="F84" s="697"/>
      <c r="G84" s="697"/>
      <c r="H84" s="698"/>
      <c r="I84" s="697"/>
      <c r="J84" s="697"/>
      <c r="K84" s="697"/>
      <c r="L84" s="697"/>
      <c r="M84" s="697"/>
      <c r="N84" s="698"/>
      <c r="O84" s="697"/>
      <c r="P84" s="697"/>
      <c r="Q84" s="697"/>
      <c r="R84" s="697"/>
      <c r="S84" s="697"/>
      <c r="T84" s="697"/>
      <c r="U84" s="697"/>
      <c r="V84" s="697"/>
      <c r="W84" s="698"/>
      <c r="X84" s="698"/>
      <c r="Y84" s="697"/>
      <c r="Z84" s="697"/>
      <c r="AA84" s="697"/>
      <c r="AB84" s="697"/>
      <c r="AC84" s="697"/>
    </row>
    <row r="85" spans="1:29" ht="25.5" x14ac:dyDescent="0.2">
      <c r="A85" s="694" t="str">
        <f>+Info!$B$2</f>
        <v>724</v>
      </c>
      <c r="B85" s="694" t="s">
        <v>4577</v>
      </c>
      <c r="C85" s="694" t="s">
        <v>4578</v>
      </c>
      <c r="D85" s="695" t="s">
        <v>4579</v>
      </c>
      <c r="E85" s="696"/>
      <c r="F85" s="697"/>
      <c r="G85" s="697"/>
      <c r="H85" s="698"/>
      <c r="I85" s="697"/>
      <c r="J85" s="697"/>
      <c r="K85" s="697"/>
      <c r="L85" s="697"/>
      <c r="M85" s="697"/>
      <c r="N85" s="698"/>
      <c r="O85" s="697"/>
      <c r="P85" s="697"/>
      <c r="Q85" s="697"/>
      <c r="R85" s="697"/>
      <c r="S85" s="697"/>
      <c r="T85" s="697"/>
      <c r="U85" s="697"/>
      <c r="V85" s="697"/>
      <c r="W85" s="698"/>
      <c r="X85" s="698"/>
      <c r="Y85" s="697"/>
      <c r="Z85" s="697"/>
      <c r="AA85" s="697"/>
      <c r="AB85" s="697"/>
      <c r="AC85" s="697"/>
    </row>
    <row r="86" spans="1:29" ht="25.5" x14ac:dyDescent="0.2">
      <c r="A86" s="694" t="str">
        <f>+Info!$B$2</f>
        <v>724</v>
      </c>
      <c r="B86" s="694" t="s">
        <v>4580</v>
      </c>
      <c r="C86" s="694" t="s">
        <v>4581</v>
      </c>
      <c r="D86" s="695" t="s">
        <v>4582</v>
      </c>
      <c r="E86" s="696"/>
      <c r="F86" s="697"/>
      <c r="G86" s="697"/>
      <c r="H86" s="698"/>
      <c r="I86" s="697"/>
      <c r="J86" s="697"/>
      <c r="K86" s="697"/>
      <c r="L86" s="697"/>
      <c r="M86" s="697"/>
      <c r="N86" s="698"/>
      <c r="O86" s="697"/>
      <c r="P86" s="697"/>
      <c r="Q86" s="697"/>
      <c r="R86" s="697"/>
      <c r="S86" s="697"/>
      <c r="T86" s="697"/>
      <c r="U86" s="697"/>
      <c r="V86" s="697"/>
      <c r="W86" s="698"/>
      <c r="X86" s="698"/>
      <c r="Y86" s="697"/>
      <c r="Z86" s="697"/>
      <c r="AA86" s="697"/>
      <c r="AB86" s="697"/>
      <c r="AC86" s="697"/>
    </row>
    <row r="87" spans="1:29" ht="25.5" x14ac:dyDescent="0.2">
      <c r="A87" s="694" t="str">
        <f>+Info!$B$2</f>
        <v>724</v>
      </c>
      <c r="B87" s="694" t="s">
        <v>4583</v>
      </c>
      <c r="C87" s="694" t="s">
        <v>4584</v>
      </c>
      <c r="D87" s="695" t="s">
        <v>4585</v>
      </c>
      <c r="E87" s="696"/>
      <c r="F87" s="697"/>
      <c r="G87" s="697"/>
      <c r="H87" s="698"/>
      <c r="I87" s="697"/>
      <c r="J87" s="697"/>
      <c r="K87" s="697"/>
      <c r="L87" s="697"/>
      <c r="M87" s="697"/>
      <c r="N87" s="698"/>
      <c r="O87" s="697"/>
      <c r="P87" s="697"/>
      <c r="Q87" s="697"/>
      <c r="R87" s="697"/>
      <c r="S87" s="697"/>
      <c r="T87" s="697"/>
      <c r="U87" s="697"/>
      <c r="V87" s="697"/>
      <c r="W87" s="698"/>
      <c r="X87" s="698"/>
      <c r="Y87" s="697"/>
      <c r="Z87" s="697"/>
      <c r="AA87" s="697"/>
      <c r="AB87" s="697"/>
      <c r="AC87" s="697"/>
    </row>
    <row r="88" spans="1:29" x14ac:dyDescent="0.2">
      <c r="A88" s="694" t="str">
        <f>+Info!$B$2</f>
        <v>724</v>
      </c>
      <c r="B88" s="694" t="s">
        <v>4586</v>
      </c>
      <c r="C88" s="694" t="s">
        <v>4587</v>
      </c>
      <c r="D88" s="695" t="s">
        <v>4588</v>
      </c>
      <c r="E88" s="696"/>
      <c r="F88" s="697"/>
      <c r="G88" s="697"/>
      <c r="H88" s="698"/>
      <c r="I88" s="697"/>
      <c r="J88" s="697"/>
      <c r="K88" s="697"/>
      <c r="L88" s="697"/>
      <c r="M88" s="697"/>
      <c r="N88" s="698"/>
      <c r="O88" s="697"/>
      <c r="P88" s="697"/>
      <c r="Q88" s="697"/>
      <c r="R88" s="697"/>
      <c r="S88" s="697"/>
      <c r="T88" s="697"/>
      <c r="U88" s="697"/>
      <c r="V88" s="697"/>
      <c r="W88" s="698"/>
      <c r="X88" s="698"/>
      <c r="Y88" s="697"/>
      <c r="Z88" s="697"/>
      <c r="AA88" s="697"/>
      <c r="AB88" s="697"/>
      <c r="AC88" s="697"/>
    </row>
    <row r="89" spans="1:29" ht="25.5" x14ac:dyDescent="0.2">
      <c r="A89" s="694" t="str">
        <f>+Info!$B$2</f>
        <v>724</v>
      </c>
      <c r="B89" s="694" t="s">
        <v>4589</v>
      </c>
      <c r="C89" s="694" t="s">
        <v>4590</v>
      </c>
      <c r="D89" s="695" t="s">
        <v>4591</v>
      </c>
      <c r="E89" s="696"/>
      <c r="F89" s="697"/>
      <c r="G89" s="697"/>
      <c r="H89" s="698"/>
      <c r="I89" s="697"/>
      <c r="J89" s="697"/>
      <c r="K89" s="697"/>
      <c r="L89" s="697"/>
      <c r="M89" s="697"/>
      <c r="N89" s="698"/>
      <c r="O89" s="697"/>
      <c r="P89" s="697"/>
      <c r="Q89" s="697"/>
      <c r="R89" s="697"/>
      <c r="S89" s="697"/>
      <c r="T89" s="697"/>
      <c r="U89" s="697"/>
      <c r="V89" s="697"/>
      <c r="W89" s="698"/>
      <c r="X89" s="698"/>
      <c r="Y89" s="697"/>
      <c r="Z89" s="697"/>
      <c r="AA89" s="697"/>
      <c r="AB89" s="697"/>
      <c r="AC89" s="697"/>
    </row>
    <row r="90" spans="1:29" x14ac:dyDescent="0.2">
      <c r="A90" s="694" t="str">
        <f>+Info!$B$2</f>
        <v>724</v>
      </c>
      <c r="B90" s="694" t="s">
        <v>4592</v>
      </c>
      <c r="C90" s="694" t="s">
        <v>4593</v>
      </c>
      <c r="D90" s="695" t="s">
        <v>4594</v>
      </c>
      <c r="E90" s="696"/>
      <c r="F90" s="697"/>
      <c r="G90" s="697"/>
      <c r="H90" s="698"/>
      <c r="I90" s="697"/>
      <c r="J90" s="697"/>
      <c r="K90" s="697"/>
      <c r="L90" s="697"/>
      <c r="M90" s="697"/>
      <c r="N90" s="698"/>
      <c r="O90" s="697"/>
      <c r="P90" s="697"/>
      <c r="Q90" s="697"/>
      <c r="R90" s="697"/>
      <c r="S90" s="697"/>
      <c r="T90" s="697"/>
      <c r="U90" s="697"/>
      <c r="V90" s="697"/>
      <c r="W90" s="698"/>
      <c r="X90" s="698"/>
      <c r="Y90" s="697"/>
      <c r="Z90" s="697"/>
      <c r="AA90" s="697"/>
      <c r="AB90" s="697"/>
      <c r="AC90" s="697"/>
    </row>
    <row r="91" spans="1:29" ht="15" x14ac:dyDescent="0.25">
      <c r="A91" s="691" t="str">
        <f>+Info!$B$2</f>
        <v>724</v>
      </c>
      <c r="B91" s="691" t="s">
        <v>4595</v>
      </c>
      <c r="C91" s="691" t="s">
        <v>4596</v>
      </c>
      <c r="D91" s="692" t="s">
        <v>4597</v>
      </c>
      <c r="E91" s="693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</row>
    <row r="92" spans="1:29" ht="25.5" x14ac:dyDescent="0.2">
      <c r="A92" s="694" t="str">
        <f>+Info!$B$2</f>
        <v>724</v>
      </c>
      <c r="B92" s="694" t="s">
        <v>4598</v>
      </c>
      <c r="C92" s="694" t="s">
        <v>4599</v>
      </c>
      <c r="D92" s="695" t="s">
        <v>4600</v>
      </c>
      <c r="E92" s="696"/>
      <c r="F92" s="697"/>
      <c r="G92" s="697"/>
      <c r="H92" s="698"/>
      <c r="I92" s="697"/>
      <c r="J92" s="697"/>
      <c r="K92" s="697"/>
      <c r="L92" s="697"/>
      <c r="M92" s="697"/>
      <c r="N92" s="698"/>
      <c r="O92" s="697"/>
      <c r="P92" s="697"/>
      <c r="Q92" s="697"/>
      <c r="R92" s="697"/>
      <c r="S92" s="697"/>
      <c r="T92" s="697"/>
      <c r="U92" s="697"/>
      <c r="V92" s="697"/>
      <c r="W92" s="698"/>
      <c r="X92" s="698"/>
      <c r="Y92" s="697"/>
      <c r="Z92" s="697"/>
      <c r="AA92" s="697"/>
      <c r="AB92" s="697"/>
      <c r="AC92" s="697"/>
    </row>
    <row r="93" spans="1:29" x14ac:dyDescent="0.2">
      <c r="A93" s="694" t="str">
        <f>+Info!$B$2</f>
        <v>724</v>
      </c>
      <c r="B93" s="694" t="s">
        <v>4601</v>
      </c>
      <c r="C93" s="694" t="s">
        <v>4602</v>
      </c>
      <c r="D93" s="695" t="s">
        <v>4603</v>
      </c>
      <c r="E93" s="696"/>
      <c r="F93" s="697"/>
      <c r="G93" s="697"/>
      <c r="H93" s="698"/>
      <c r="I93" s="697"/>
      <c r="J93" s="697"/>
      <c r="K93" s="697"/>
      <c r="L93" s="697"/>
      <c r="M93" s="697"/>
      <c r="N93" s="698"/>
      <c r="O93" s="697"/>
      <c r="P93" s="697"/>
      <c r="Q93" s="697"/>
      <c r="R93" s="697"/>
      <c r="S93" s="697"/>
      <c r="T93" s="697"/>
      <c r="U93" s="697"/>
      <c r="V93" s="697"/>
      <c r="W93" s="698"/>
      <c r="X93" s="698"/>
      <c r="Y93" s="697"/>
      <c r="Z93" s="697"/>
      <c r="AA93" s="697"/>
      <c r="AB93" s="697"/>
      <c r="AC93" s="697"/>
    </row>
    <row r="94" spans="1:29" ht="25.5" x14ac:dyDescent="0.2">
      <c r="A94" s="694" t="str">
        <f>+Info!$B$2</f>
        <v>724</v>
      </c>
      <c r="B94" s="694" t="s">
        <v>4604</v>
      </c>
      <c r="C94" s="694" t="s">
        <v>4605</v>
      </c>
      <c r="D94" s="695" t="s">
        <v>4606</v>
      </c>
      <c r="E94" s="696"/>
      <c r="F94" s="697"/>
      <c r="G94" s="697"/>
      <c r="H94" s="698"/>
      <c r="I94" s="697"/>
      <c r="J94" s="697"/>
      <c r="K94" s="697"/>
      <c r="L94" s="697"/>
      <c r="M94" s="697"/>
      <c r="N94" s="698"/>
      <c r="O94" s="697"/>
      <c r="P94" s="697"/>
      <c r="Q94" s="697"/>
      <c r="R94" s="697"/>
      <c r="S94" s="697"/>
      <c r="T94" s="697"/>
      <c r="U94" s="697"/>
      <c r="V94" s="697"/>
      <c r="W94" s="698"/>
      <c r="X94" s="698"/>
      <c r="Y94" s="697"/>
      <c r="Z94" s="697"/>
      <c r="AA94" s="697"/>
      <c r="AB94" s="697"/>
      <c r="AC94" s="697"/>
    </row>
    <row r="95" spans="1:29" ht="25.5" x14ac:dyDescent="0.2">
      <c r="A95" s="694" t="str">
        <f>+Info!$B$2</f>
        <v>724</v>
      </c>
      <c r="B95" s="694" t="s">
        <v>4607</v>
      </c>
      <c r="C95" s="694" t="s">
        <v>4608</v>
      </c>
      <c r="D95" s="695" t="s">
        <v>4609</v>
      </c>
      <c r="E95" s="696"/>
      <c r="F95" s="697"/>
      <c r="G95" s="697"/>
      <c r="H95" s="698"/>
      <c r="I95" s="697"/>
      <c r="J95" s="697"/>
      <c r="K95" s="697"/>
      <c r="L95" s="697"/>
      <c r="M95" s="697"/>
      <c r="N95" s="698"/>
      <c r="O95" s="697"/>
      <c r="P95" s="697"/>
      <c r="Q95" s="697"/>
      <c r="R95" s="697"/>
      <c r="S95" s="697"/>
      <c r="T95" s="697"/>
      <c r="U95" s="697"/>
      <c r="V95" s="697"/>
      <c r="W95" s="698"/>
      <c r="X95" s="698"/>
      <c r="Y95" s="697"/>
      <c r="Z95" s="697"/>
      <c r="AA95" s="697"/>
      <c r="AB95" s="697"/>
      <c r="AC95" s="697"/>
    </row>
    <row r="96" spans="1:29" x14ac:dyDescent="0.2">
      <c r="A96" s="694" t="str">
        <f>+Info!$B$2</f>
        <v>724</v>
      </c>
      <c r="B96" s="694" t="s">
        <v>4610</v>
      </c>
      <c r="C96" s="694" t="s">
        <v>4611</v>
      </c>
      <c r="D96" s="695" t="s">
        <v>4612</v>
      </c>
      <c r="E96" s="696"/>
      <c r="F96" s="697"/>
      <c r="G96" s="697"/>
      <c r="H96" s="698"/>
      <c r="I96" s="697"/>
      <c r="J96" s="698"/>
      <c r="K96" s="697"/>
      <c r="L96" s="697"/>
      <c r="M96" s="697"/>
      <c r="N96" s="698"/>
      <c r="O96" s="697"/>
      <c r="P96" s="697"/>
      <c r="Q96" s="697"/>
      <c r="R96" s="697"/>
      <c r="S96" s="697"/>
      <c r="T96" s="697"/>
      <c r="U96" s="697"/>
      <c r="V96" s="697"/>
      <c r="W96" s="698"/>
      <c r="X96" s="698"/>
      <c r="Y96" s="697"/>
      <c r="Z96" s="697"/>
      <c r="AA96" s="697"/>
      <c r="AB96" s="697"/>
      <c r="AC96" s="697"/>
    </row>
    <row r="97" spans="1:29" x14ac:dyDescent="0.2">
      <c r="A97" s="694" t="str">
        <f>+Info!$B$2</f>
        <v>724</v>
      </c>
      <c r="B97" s="694" t="s">
        <v>4613</v>
      </c>
      <c r="C97" s="694" t="s">
        <v>4614</v>
      </c>
      <c r="D97" s="695" t="s">
        <v>4615</v>
      </c>
      <c r="E97" s="696"/>
      <c r="F97" s="697"/>
      <c r="G97" s="697"/>
      <c r="H97" s="698"/>
      <c r="I97" s="697"/>
      <c r="J97" s="698"/>
      <c r="K97" s="697"/>
      <c r="L97" s="697"/>
      <c r="M97" s="697"/>
      <c r="N97" s="698"/>
      <c r="O97" s="697"/>
      <c r="P97" s="697"/>
      <c r="Q97" s="697"/>
      <c r="R97" s="697"/>
      <c r="S97" s="697"/>
      <c r="T97" s="697"/>
      <c r="U97" s="697"/>
      <c r="V97" s="697"/>
      <c r="W97" s="698"/>
      <c r="X97" s="698"/>
      <c r="Y97" s="697"/>
      <c r="Z97" s="697"/>
      <c r="AA97" s="697"/>
      <c r="AB97" s="697"/>
      <c r="AC97" s="697"/>
    </row>
    <row r="98" spans="1:29" x14ac:dyDescent="0.2">
      <c r="A98" s="694" t="str">
        <f>+Info!$B$2</f>
        <v>724</v>
      </c>
      <c r="B98" s="694" t="s">
        <v>4616</v>
      </c>
      <c r="C98" s="694" t="s">
        <v>4617</v>
      </c>
      <c r="D98" s="695" t="s">
        <v>4618</v>
      </c>
      <c r="E98" s="696"/>
      <c r="F98" s="697"/>
      <c r="G98" s="697"/>
      <c r="H98" s="698"/>
      <c r="I98" s="697"/>
      <c r="J98" s="698"/>
      <c r="K98" s="697"/>
      <c r="L98" s="697"/>
      <c r="M98" s="697"/>
      <c r="N98" s="698"/>
      <c r="O98" s="697"/>
      <c r="P98" s="697"/>
      <c r="Q98" s="697"/>
      <c r="R98" s="697"/>
      <c r="S98" s="697"/>
      <c r="T98" s="697"/>
      <c r="U98" s="697"/>
      <c r="V98" s="697"/>
      <c r="W98" s="698"/>
      <c r="X98" s="698"/>
      <c r="Y98" s="697"/>
      <c r="Z98" s="697"/>
      <c r="AA98" s="697"/>
      <c r="AB98" s="697"/>
      <c r="AC98" s="697"/>
    </row>
    <row r="99" spans="1:29" x14ac:dyDescent="0.2">
      <c r="A99" s="694" t="str">
        <f>+Info!$B$2</f>
        <v>724</v>
      </c>
      <c r="B99" s="694" t="s">
        <v>4619</v>
      </c>
      <c r="C99" s="694" t="s">
        <v>4620</v>
      </c>
      <c r="D99" s="695" t="s">
        <v>4621</v>
      </c>
      <c r="E99" s="696"/>
      <c r="F99" s="697"/>
      <c r="G99" s="697"/>
      <c r="H99" s="698"/>
      <c r="I99" s="697"/>
      <c r="J99" s="698"/>
      <c r="K99" s="697"/>
      <c r="L99" s="697"/>
      <c r="M99" s="697"/>
      <c r="N99" s="698"/>
      <c r="O99" s="697"/>
      <c r="P99" s="697"/>
      <c r="Q99" s="697"/>
      <c r="R99" s="697"/>
      <c r="S99" s="697"/>
      <c r="T99" s="697"/>
      <c r="U99" s="697"/>
      <c r="V99" s="697"/>
      <c r="W99" s="698"/>
      <c r="X99" s="698"/>
      <c r="Y99" s="697"/>
      <c r="Z99" s="697"/>
      <c r="AA99" s="697"/>
      <c r="AB99" s="697"/>
      <c r="AC99" s="697"/>
    </row>
    <row r="100" spans="1:29" x14ac:dyDescent="0.2">
      <c r="A100" s="694" t="str">
        <f>+Info!$B$2</f>
        <v>724</v>
      </c>
      <c r="B100" s="694" t="s">
        <v>4622</v>
      </c>
      <c r="C100" s="694" t="s">
        <v>4623</v>
      </c>
      <c r="D100" s="695" t="s">
        <v>4624</v>
      </c>
      <c r="E100" s="696"/>
      <c r="F100" s="697"/>
      <c r="G100" s="697"/>
      <c r="H100" s="698"/>
      <c r="I100" s="697"/>
      <c r="J100" s="698"/>
      <c r="K100" s="697"/>
      <c r="L100" s="697"/>
      <c r="M100" s="697"/>
      <c r="N100" s="698"/>
      <c r="O100" s="697"/>
      <c r="P100" s="697"/>
      <c r="Q100" s="697"/>
      <c r="R100" s="697"/>
      <c r="S100" s="697"/>
      <c r="T100" s="697"/>
      <c r="U100" s="697"/>
      <c r="V100" s="697"/>
      <c r="W100" s="698"/>
      <c r="X100" s="698"/>
      <c r="Y100" s="697"/>
      <c r="Z100" s="697"/>
      <c r="AA100" s="697"/>
      <c r="AB100" s="697"/>
      <c r="AC100" s="697"/>
    </row>
    <row r="101" spans="1:29" x14ac:dyDescent="0.2">
      <c r="A101" s="694" t="str">
        <f>+Info!$B$2</f>
        <v>724</v>
      </c>
      <c r="B101" s="694" t="s">
        <v>4625</v>
      </c>
      <c r="C101" s="694" t="s">
        <v>4626</v>
      </c>
      <c r="D101" s="695" t="s">
        <v>4627</v>
      </c>
      <c r="E101" s="696"/>
      <c r="F101" s="697"/>
      <c r="G101" s="697"/>
      <c r="H101" s="698"/>
      <c r="I101" s="697"/>
      <c r="J101" s="698"/>
      <c r="K101" s="697"/>
      <c r="L101" s="697"/>
      <c r="M101" s="697"/>
      <c r="N101" s="698"/>
      <c r="O101" s="697"/>
      <c r="P101" s="697"/>
      <c r="Q101" s="697"/>
      <c r="R101" s="697"/>
      <c r="S101" s="697"/>
      <c r="T101" s="697"/>
      <c r="U101" s="697"/>
      <c r="V101" s="697"/>
      <c r="W101" s="698"/>
      <c r="X101" s="698"/>
      <c r="Y101" s="697"/>
      <c r="Z101" s="697"/>
      <c r="AA101" s="697"/>
      <c r="AB101" s="697"/>
      <c r="AC101" s="697"/>
    </row>
    <row r="102" spans="1:29" x14ac:dyDescent="0.2">
      <c r="A102" s="694" t="str">
        <f>+Info!$B$2</f>
        <v>724</v>
      </c>
      <c r="B102" s="694" t="s">
        <v>4628</v>
      </c>
      <c r="C102" s="694" t="s">
        <v>4629</v>
      </c>
      <c r="D102" s="695" t="s">
        <v>4630</v>
      </c>
      <c r="E102" s="696"/>
      <c r="F102" s="697"/>
      <c r="G102" s="697"/>
      <c r="H102" s="698"/>
      <c r="I102" s="697"/>
      <c r="J102" s="698"/>
      <c r="K102" s="697"/>
      <c r="L102" s="697"/>
      <c r="M102" s="697"/>
      <c r="N102" s="698"/>
      <c r="O102" s="697"/>
      <c r="P102" s="697"/>
      <c r="Q102" s="697"/>
      <c r="R102" s="697"/>
      <c r="S102" s="697"/>
      <c r="T102" s="697"/>
      <c r="U102" s="697"/>
      <c r="V102" s="697"/>
      <c r="W102" s="698"/>
      <c r="X102" s="698"/>
      <c r="Y102" s="697"/>
      <c r="Z102" s="697"/>
      <c r="AA102" s="697"/>
      <c r="AB102" s="697"/>
      <c r="AC102" s="697"/>
    </row>
    <row r="103" spans="1:29" ht="16.5" customHeight="1" x14ac:dyDescent="0.2">
      <c r="A103" s="694" t="str">
        <f>+Info!$B$2</f>
        <v>724</v>
      </c>
      <c r="B103" s="694" t="s">
        <v>4631</v>
      </c>
      <c r="C103" s="694" t="s">
        <v>4632</v>
      </c>
      <c r="D103" s="695" t="s">
        <v>4633</v>
      </c>
      <c r="E103" s="696"/>
      <c r="F103" s="697"/>
      <c r="G103" s="697"/>
      <c r="H103" s="698"/>
      <c r="I103" s="697"/>
      <c r="J103" s="698"/>
      <c r="K103" s="697"/>
      <c r="L103" s="697"/>
      <c r="M103" s="697"/>
      <c r="N103" s="698"/>
      <c r="O103" s="697"/>
      <c r="P103" s="697"/>
      <c r="Q103" s="697"/>
      <c r="R103" s="697"/>
      <c r="S103" s="697"/>
      <c r="T103" s="697"/>
      <c r="U103" s="697"/>
      <c r="V103" s="697"/>
      <c r="W103" s="698"/>
      <c r="X103" s="698"/>
      <c r="Y103" s="697"/>
      <c r="Z103" s="697"/>
      <c r="AA103" s="697"/>
      <c r="AB103" s="697"/>
      <c r="AC103" s="697"/>
    </row>
    <row r="104" spans="1:29" x14ac:dyDescent="0.2">
      <c r="A104" s="694" t="str">
        <f>+Info!$B$2</f>
        <v>724</v>
      </c>
      <c r="B104" s="694" t="s">
        <v>4634</v>
      </c>
      <c r="C104" s="694" t="s">
        <v>4635</v>
      </c>
      <c r="D104" s="695" t="s">
        <v>4636</v>
      </c>
      <c r="E104" s="696"/>
      <c r="F104" s="697"/>
      <c r="G104" s="697"/>
      <c r="H104" s="698"/>
      <c r="I104" s="697"/>
      <c r="J104" s="697"/>
      <c r="K104" s="697"/>
      <c r="L104" s="697"/>
      <c r="M104" s="697"/>
      <c r="N104" s="698"/>
      <c r="O104" s="697"/>
      <c r="P104" s="697"/>
      <c r="Q104" s="697"/>
      <c r="R104" s="697"/>
      <c r="S104" s="697"/>
      <c r="T104" s="697"/>
      <c r="U104" s="697"/>
      <c r="V104" s="697"/>
      <c r="W104" s="698"/>
      <c r="X104" s="698"/>
      <c r="Y104" s="697"/>
      <c r="Z104" s="697"/>
      <c r="AA104" s="697"/>
      <c r="AB104" s="697"/>
      <c r="AC104" s="697"/>
    </row>
    <row r="105" spans="1:29" x14ac:dyDescent="0.2">
      <c r="A105" s="694" t="str">
        <f>+Info!$B$2</f>
        <v>724</v>
      </c>
      <c r="B105" s="694" t="s">
        <v>4637</v>
      </c>
      <c r="C105" s="694" t="s">
        <v>4638</v>
      </c>
      <c r="D105" s="695" t="s">
        <v>4639</v>
      </c>
      <c r="E105" s="696"/>
      <c r="F105" s="697"/>
      <c r="G105" s="697"/>
      <c r="H105" s="698"/>
      <c r="I105" s="697"/>
      <c r="J105" s="697"/>
      <c r="K105" s="697"/>
      <c r="L105" s="697"/>
      <c r="M105" s="697"/>
      <c r="N105" s="698"/>
      <c r="O105" s="697"/>
      <c r="P105" s="697"/>
      <c r="Q105" s="697"/>
      <c r="R105" s="697"/>
      <c r="S105" s="697"/>
      <c r="T105" s="697"/>
      <c r="U105" s="698"/>
      <c r="V105" s="698"/>
      <c r="W105" s="698"/>
      <c r="X105" s="698"/>
      <c r="Y105" s="698"/>
      <c r="Z105" s="698"/>
      <c r="AA105" s="698"/>
      <c r="AB105" s="697"/>
      <c r="AC105" s="697"/>
    </row>
    <row r="106" spans="1:29" x14ac:dyDescent="0.2">
      <c r="A106" s="694" t="str">
        <f>+Info!$B$2</f>
        <v>724</v>
      </c>
      <c r="B106" s="694" t="s">
        <v>4640</v>
      </c>
      <c r="C106" s="694" t="s">
        <v>4641</v>
      </c>
      <c r="D106" s="695" t="s">
        <v>4642</v>
      </c>
      <c r="E106" s="696"/>
      <c r="F106" s="697"/>
      <c r="G106" s="697"/>
      <c r="H106" s="698"/>
      <c r="I106" s="697"/>
      <c r="J106" s="697"/>
      <c r="K106" s="697"/>
      <c r="L106" s="697"/>
      <c r="M106" s="697"/>
      <c r="N106" s="698"/>
      <c r="O106" s="697"/>
      <c r="P106" s="697"/>
      <c r="Q106" s="697"/>
      <c r="R106" s="697"/>
      <c r="S106" s="697"/>
      <c r="T106" s="697"/>
      <c r="U106" s="697"/>
      <c r="V106" s="697"/>
      <c r="W106" s="698"/>
      <c r="X106" s="698"/>
      <c r="Y106" s="697"/>
      <c r="Z106" s="697"/>
      <c r="AA106" s="697"/>
      <c r="AB106" s="697"/>
      <c r="AC106" s="697"/>
    </row>
    <row r="107" spans="1:29" x14ac:dyDescent="0.2">
      <c r="A107" s="694" t="str">
        <f>+Info!$B$2</f>
        <v>724</v>
      </c>
      <c r="B107" s="694" t="s">
        <v>4643</v>
      </c>
      <c r="C107" s="694" t="s">
        <v>4644</v>
      </c>
      <c r="D107" s="695" t="s">
        <v>4645</v>
      </c>
      <c r="E107" s="696"/>
      <c r="F107" s="697"/>
      <c r="G107" s="697"/>
      <c r="H107" s="698"/>
      <c r="I107" s="697"/>
      <c r="J107" s="697"/>
      <c r="K107" s="697"/>
      <c r="L107" s="697"/>
      <c r="M107" s="697"/>
      <c r="N107" s="698"/>
      <c r="O107" s="697"/>
      <c r="P107" s="697"/>
      <c r="Q107" s="697"/>
      <c r="R107" s="697"/>
      <c r="S107" s="697"/>
      <c r="T107" s="697"/>
      <c r="U107" s="697"/>
      <c r="V107" s="697"/>
      <c r="W107" s="698"/>
      <c r="X107" s="698"/>
      <c r="Y107" s="697"/>
      <c r="Z107" s="697"/>
      <c r="AA107" s="697"/>
      <c r="AB107" s="697"/>
      <c r="AC107" s="697"/>
    </row>
    <row r="108" spans="1:29" ht="15.75" customHeight="1" x14ac:dyDescent="0.2">
      <c r="A108" s="694" t="str">
        <f>+Info!$B$2</f>
        <v>724</v>
      </c>
      <c r="B108" s="694" t="s">
        <v>4646</v>
      </c>
      <c r="C108" s="694" t="s">
        <v>4647</v>
      </c>
      <c r="D108" s="695" t="s">
        <v>4648</v>
      </c>
      <c r="E108" s="696"/>
      <c r="F108" s="697"/>
      <c r="G108" s="697"/>
      <c r="H108" s="698"/>
      <c r="I108" s="697"/>
      <c r="J108" s="697"/>
      <c r="K108" s="697"/>
      <c r="L108" s="697"/>
      <c r="M108" s="697"/>
      <c r="N108" s="698"/>
      <c r="O108" s="697"/>
      <c r="P108" s="697"/>
      <c r="Q108" s="697"/>
      <c r="R108" s="697"/>
      <c r="S108" s="697"/>
      <c r="T108" s="697"/>
      <c r="U108" s="697"/>
      <c r="V108" s="697"/>
      <c r="W108" s="698"/>
      <c r="X108" s="698"/>
      <c r="Y108" s="697"/>
      <c r="Z108" s="697"/>
      <c r="AA108" s="697"/>
      <c r="AB108" s="697"/>
      <c r="AC108" s="697"/>
    </row>
    <row r="109" spans="1:29" x14ac:dyDescent="0.2">
      <c r="A109" s="694" t="str">
        <f>+Info!$B$2</f>
        <v>724</v>
      </c>
      <c r="B109" s="694" t="s">
        <v>4649</v>
      </c>
      <c r="C109" s="694" t="s">
        <v>4650</v>
      </c>
      <c r="D109" s="695" t="s">
        <v>4651</v>
      </c>
      <c r="E109" s="696"/>
      <c r="F109" s="697"/>
      <c r="G109" s="697"/>
      <c r="H109" s="698"/>
      <c r="I109" s="697"/>
      <c r="J109" s="697"/>
      <c r="K109" s="697"/>
      <c r="L109" s="697"/>
      <c r="M109" s="697"/>
      <c r="N109" s="698"/>
      <c r="O109" s="697"/>
      <c r="P109" s="697"/>
      <c r="Q109" s="697"/>
      <c r="R109" s="697"/>
      <c r="S109" s="697"/>
      <c r="T109" s="697"/>
      <c r="U109" s="697"/>
      <c r="V109" s="697"/>
      <c r="W109" s="698"/>
      <c r="X109" s="698"/>
      <c r="Y109" s="697"/>
      <c r="Z109" s="697"/>
      <c r="AA109" s="697"/>
      <c r="AB109" s="697"/>
      <c r="AC109" s="697"/>
    </row>
    <row r="110" spans="1:29" x14ac:dyDescent="0.2">
      <c r="A110" s="694" t="str">
        <f>+Info!$B$2</f>
        <v>724</v>
      </c>
      <c r="B110" s="694" t="s">
        <v>4652</v>
      </c>
      <c r="C110" s="694" t="s">
        <v>4653</v>
      </c>
      <c r="D110" s="695" t="s">
        <v>4654</v>
      </c>
      <c r="E110" s="696"/>
      <c r="F110" s="697"/>
      <c r="G110" s="697"/>
      <c r="H110" s="698"/>
      <c r="I110" s="697"/>
      <c r="J110" s="698"/>
      <c r="K110" s="697"/>
      <c r="L110" s="697"/>
      <c r="M110" s="697"/>
      <c r="N110" s="698"/>
      <c r="O110" s="697"/>
      <c r="P110" s="697"/>
      <c r="Q110" s="697"/>
      <c r="R110" s="697"/>
      <c r="S110" s="697"/>
      <c r="T110" s="697"/>
      <c r="U110" s="697"/>
      <c r="V110" s="697"/>
      <c r="W110" s="698"/>
      <c r="X110" s="698"/>
      <c r="Y110" s="697"/>
      <c r="Z110" s="697"/>
      <c r="AA110" s="697"/>
      <c r="AB110" s="697"/>
      <c r="AC110" s="697"/>
    </row>
    <row r="111" spans="1:29" x14ac:dyDescent="0.2">
      <c r="A111" s="694" t="str">
        <f>+Info!$B$2</f>
        <v>724</v>
      </c>
      <c r="B111" s="694" t="s">
        <v>4655</v>
      </c>
      <c r="C111" s="694" t="s">
        <v>4656</v>
      </c>
      <c r="D111" s="695" t="s">
        <v>4657</v>
      </c>
      <c r="E111" s="696"/>
      <c r="F111" s="697"/>
      <c r="G111" s="697"/>
      <c r="H111" s="698"/>
      <c r="I111" s="697"/>
      <c r="J111" s="698"/>
      <c r="K111" s="697"/>
      <c r="L111" s="697"/>
      <c r="M111" s="697"/>
      <c r="N111" s="698"/>
      <c r="O111" s="697"/>
      <c r="P111" s="697"/>
      <c r="Q111" s="697"/>
      <c r="R111" s="697"/>
      <c r="S111" s="697"/>
      <c r="T111" s="697"/>
      <c r="U111" s="697"/>
      <c r="V111" s="697"/>
      <c r="W111" s="698"/>
      <c r="X111" s="698"/>
      <c r="Y111" s="697"/>
      <c r="Z111" s="697"/>
      <c r="AA111" s="697"/>
      <c r="AB111" s="697"/>
      <c r="AC111" s="697"/>
    </row>
    <row r="112" spans="1:29" x14ac:dyDescent="0.2">
      <c r="A112" s="694" t="str">
        <f>+Info!$B$2</f>
        <v>724</v>
      </c>
      <c r="B112" s="694" t="s">
        <v>4658</v>
      </c>
      <c r="C112" s="694" t="s">
        <v>4659</v>
      </c>
      <c r="D112" s="695" t="s">
        <v>4660</v>
      </c>
      <c r="E112" s="696"/>
      <c r="F112" s="697"/>
      <c r="G112" s="697"/>
      <c r="H112" s="698"/>
      <c r="I112" s="697"/>
      <c r="J112" s="698"/>
      <c r="K112" s="697"/>
      <c r="L112" s="697"/>
      <c r="M112" s="697"/>
      <c r="N112" s="698"/>
      <c r="O112" s="697"/>
      <c r="P112" s="697"/>
      <c r="Q112" s="697"/>
      <c r="R112" s="697"/>
      <c r="S112" s="697"/>
      <c r="T112" s="697"/>
      <c r="U112" s="697"/>
      <c r="V112" s="697"/>
      <c r="W112" s="698"/>
      <c r="X112" s="698"/>
      <c r="Y112" s="697"/>
      <c r="Z112" s="697"/>
      <c r="AA112" s="697"/>
      <c r="AB112" s="697"/>
      <c r="AC112" s="697"/>
    </row>
    <row r="113" spans="1:29" x14ac:dyDescent="0.2">
      <c r="A113" s="694" t="str">
        <f>+Info!$B$2</f>
        <v>724</v>
      </c>
      <c r="B113" s="694" t="s">
        <v>4661</v>
      </c>
      <c r="C113" s="694" t="s">
        <v>4662</v>
      </c>
      <c r="D113" s="695" t="s">
        <v>4663</v>
      </c>
      <c r="E113" s="696"/>
      <c r="F113" s="697"/>
      <c r="G113" s="697"/>
      <c r="H113" s="698"/>
      <c r="I113" s="697"/>
      <c r="J113" s="698"/>
      <c r="K113" s="697"/>
      <c r="L113" s="697"/>
      <c r="M113" s="697"/>
      <c r="N113" s="698"/>
      <c r="O113" s="697"/>
      <c r="P113" s="697"/>
      <c r="Q113" s="697"/>
      <c r="R113" s="697"/>
      <c r="S113" s="697"/>
      <c r="T113" s="697"/>
      <c r="U113" s="697"/>
      <c r="V113" s="697"/>
      <c r="W113" s="698"/>
      <c r="X113" s="698"/>
      <c r="Y113" s="697"/>
      <c r="Z113" s="697"/>
      <c r="AA113" s="697"/>
      <c r="AB113" s="697"/>
      <c r="AC113" s="697"/>
    </row>
    <row r="114" spans="1:29" x14ac:dyDescent="0.2">
      <c r="A114" s="694" t="str">
        <f>+Info!$B$2</f>
        <v>724</v>
      </c>
      <c r="B114" s="694" t="s">
        <v>4664</v>
      </c>
      <c r="C114" s="694" t="s">
        <v>4665</v>
      </c>
      <c r="D114" s="695" t="s">
        <v>4666</v>
      </c>
      <c r="E114" s="696"/>
      <c r="F114" s="697"/>
      <c r="G114" s="697"/>
      <c r="H114" s="698"/>
      <c r="I114" s="697"/>
      <c r="J114" s="698"/>
      <c r="K114" s="697"/>
      <c r="L114" s="697"/>
      <c r="M114" s="697"/>
      <c r="N114" s="698"/>
      <c r="O114" s="697"/>
      <c r="P114" s="697"/>
      <c r="Q114" s="697"/>
      <c r="R114" s="697"/>
      <c r="S114" s="697"/>
      <c r="T114" s="697"/>
      <c r="U114" s="697"/>
      <c r="V114" s="697"/>
      <c r="W114" s="698"/>
      <c r="X114" s="698"/>
      <c r="Y114" s="697"/>
      <c r="Z114" s="697"/>
      <c r="AA114" s="697"/>
      <c r="AB114" s="697"/>
      <c r="AC114" s="697"/>
    </row>
    <row r="115" spans="1:29" x14ac:dyDescent="0.2">
      <c r="A115" s="694" t="str">
        <f>+Info!$B$2</f>
        <v>724</v>
      </c>
      <c r="B115" s="694" t="s">
        <v>4667</v>
      </c>
      <c r="C115" s="694" t="s">
        <v>4668</v>
      </c>
      <c r="D115" s="695" t="s">
        <v>4669</v>
      </c>
      <c r="E115" s="696"/>
      <c r="F115" s="697"/>
      <c r="G115" s="697"/>
      <c r="H115" s="698"/>
      <c r="I115" s="697"/>
      <c r="J115" s="698"/>
      <c r="K115" s="697"/>
      <c r="L115" s="697"/>
      <c r="M115" s="697"/>
      <c r="N115" s="698"/>
      <c r="O115" s="697"/>
      <c r="P115" s="697"/>
      <c r="Q115" s="697"/>
      <c r="R115" s="697"/>
      <c r="S115" s="697"/>
      <c r="T115" s="697"/>
      <c r="U115" s="697"/>
      <c r="V115" s="697"/>
      <c r="W115" s="698"/>
      <c r="X115" s="698"/>
      <c r="Y115" s="697"/>
      <c r="Z115" s="697"/>
      <c r="AA115" s="697"/>
      <c r="AB115" s="697"/>
      <c r="AC115" s="697"/>
    </row>
    <row r="116" spans="1:29" x14ac:dyDescent="0.2">
      <c r="A116" s="694" t="str">
        <f>+Info!$B$2</f>
        <v>724</v>
      </c>
      <c r="B116" s="694" t="s">
        <v>4670</v>
      </c>
      <c r="C116" s="694" t="s">
        <v>4671</v>
      </c>
      <c r="D116" s="695" t="s">
        <v>4672</v>
      </c>
      <c r="E116" s="696"/>
      <c r="F116" s="697"/>
      <c r="G116" s="697"/>
      <c r="H116" s="698"/>
      <c r="I116" s="697"/>
      <c r="J116" s="698"/>
      <c r="K116" s="697"/>
      <c r="L116" s="697"/>
      <c r="M116" s="697"/>
      <c r="N116" s="698"/>
      <c r="O116" s="697"/>
      <c r="P116" s="697"/>
      <c r="Q116" s="697"/>
      <c r="R116" s="697"/>
      <c r="S116" s="697"/>
      <c r="T116" s="697"/>
      <c r="U116" s="697"/>
      <c r="V116" s="697"/>
      <c r="W116" s="698"/>
      <c r="X116" s="698"/>
      <c r="Y116" s="697"/>
      <c r="Z116" s="697"/>
      <c r="AA116" s="697"/>
      <c r="AB116" s="697"/>
      <c r="AC116" s="697"/>
    </row>
    <row r="117" spans="1:29" x14ac:dyDescent="0.2">
      <c r="A117" s="694" t="str">
        <f>+Info!$B$2</f>
        <v>724</v>
      </c>
      <c r="B117" s="694" t="s">
        <v>4673</v>
      </c>
      <c r="C117" s="694" t="s">
        <v>4674</v>
      </c>
      <c r="D117" s="695" t="s">
        <v>4675</v>
      </c>
      <c r="E117" s="696"/>
      <c r="F117" s="697"/>
      <c r="G117" s="697"/>
      <c r="H117" s="698"/>
      <c r="I117" s="697"/>
      <c r="J117" s="698"/>
      <c r="K117" s="697"/>
      <c r="L117" s="697"/>
      <c r="M117" s="697"/>
      <c r="N117" s="698"/>
      <c r="O117" s="697"/>
      <c r="P117" s="697"/>
      <c r="Q117" s="697"/>
      <c r="R117" s="697"/>
      <c r="S117" s="697"/>
      <c r="T117" s="697"/>
      <c r="U117" s="697"/>
      <c r="V117" s="697"/>
      <c r="W117" s="698"/>
      <c r="X117" s="698"/>
      <c r="Y117" s="697"/>
      <c r="Z117" s="697"/>
      <c r="AA117" s="697"/>
      <c r="AB117" s="697"/>
      <c r="AC117" s="697"/>
    </row>
    <row r="118" spans="1:29" x14ac:dyDescent="0.2">
      <c r="A118" s="694" t="str">
        <f>+Info!$B$2</f>
        <v>724</v>
      </c>
      <c r="B118" s="694" t="s">
        <v>4676</v>
      </c>
      <c r="C118" s="694" t="s">
        <v>4677</v>
      </c>
      <c r="D118" s="695" t="s">
        <v>4678</v>
      </c>
      <c r="E118" s="696"/>
      <c r="F118" s="697"/>
      <c r="G118" s="697"/>
      <c r="H118" s="698"/>
      <c r="I118" s="697"/>
      <c r="J118" s="697"/>
      <c r="K118" s="697"/>
      <c r="L118" s="697"/>
      <c r="M118" s="697"/>
      <c r="N118" s="698"/>
      <c r="O118" s="697"/>
      <c r="P118" s="697"/>
      <c r="Q118" s="697"/>
      <c r="R118" s="697"/>
      <c r="S118" s="697"/>
      <c r="T118" s="697"/>
      <c r="U118" s="697"/>
      <c r="V118" s="697"/>
      <c r="W118" s="698"/>
      <c r="X118" s="698"/>
      <c r="Y118" s="697"/>
      <c r="Z118" s="697"/>
      <c r="AA118" s="697"/>
      <c r="AB118" s="697"/>
      <c r="AC118" s="697"/>
    </row>
    <row r="119" spans="1:29" ht="25.5" x14ac:dyDescent="0.2">
      <c r="A119" s="694" t="str">
        <f>+Info!$B$2</f>
        <v>724</v>
      </c>
      <c r="B119" s="694" t="s">
        <v>4679</v>
      </c>
      <c r="C119" s="694" t="s">
        <v>4680</v>
      </c>
      <c r="D119" s="695" t="s">
        <v>4681</v>
      </c>
      <c r="E119" s="696"/>
      <c r="F119" s="697"/>
      <c r="G119" s="697"/>
      <c r="H119" s="698"/>
      <c r="I119" s="697"/>
      <c r="J119" s="697"/>
      <c r="K119" s="697"/>
      <c r="L119" s="697"/>
      <c r="M119" s="697"/>
      <c r="N119" s="698"/>
      <c r="O119" s="697"/>
      <c r="P119" s="697"/>
      <c r="Q119" s="697"/>
      <c r="R119" s="697"/>
      <c r="S119" s="697"/>
      <c r="T119" s="697"/>
      <c r="U119" s="697"/>
      <c r="V119" s="697"/>
      <c r="W119" s="698"/>
      <c r="X119" s="698"/>
      <c r="Y119" s="697"/>
      <c r="Z119" s="697"/>
      <c r="AA119" s="697"/>
      <c r="AB119" s="697"/>
      <c r="AC119" s="697"/>
    </row>
    <row r="120" spans="1:29" ht="25.5" x14ac:dyDescent="0.2">
      <c r="A120" s="694" t="str">
        <f>+Info!$B$2</f>
        <v>724</v>
      </c>
      <c r="B120" s="694" t="s">
        <v>4682</v>
      </c>
      <c r="C120" s="694" t="s">
        <v>4683</v>
      </c>
      <c r="D120" s="695" t="s">
        <v>4684</v>
      </c>
      <c r="E120" s="696"/>
      <c r="F120" s="697"/>
      <c r="G120" s="697"/>
      <c r="H120" s="698"/>
      <c r="I120" s="697"/>
      <c r="J120" s="697"/>
      <c r="K120" s="697"/>
      <c r="L120" s="697"/>
      <c r="M120" s="697"/>
      <c r="N120" s="698"/>
      <c r="O120" s="697"/>
      <c r="P120" s="697"/>
      <c r="Q120" s="697"/>
      <c r="R120" s="697"/>
      <c r="S120" s="697"/>
      <c r="T120" s="697"/>
      <c r="U120" s="697"/>
      <c r="V120" s="697"/>
      <c r="W120" s="698"/>
      <c r="X120" s="698"/>
      <c r="Y120" s="697"/>
      <c r="Z120" s="697"/>
      <c r="AA120" s="697"/>
      <c r="AB120" s="697"/>
      <c r="AC120" s="697"/>
    </row>
    <row r="121" spans="1:29" ht="25.5" x14ac:dyDescent="0.2">
      <c r="A121" s="694" t="str">
        <f>+Info!$B$2</f>
        <v>724</v>
      </c>
      <c r="B121" s="694" t="s">
        <v>4685</v>
      </c>
      <c r="C121" s="694" t="s">
        <v>4686</v>
      </c>
      <c r="D121" s="695" t="s">
        <v>4687</v>
      </c>
      <c r="E121" s="696"/>
      <c r="F121" s="697"/>
      <c r="G121" s="697"/>
      <c r="H121" s="698"/>
      <c r="I121" s="697"/>
      <c r="J121" s="697"/>
      <c r="K121" s="697"/>
      <c r="L121" s="697"/>
      <c r="M121" s="697"/>
      <c r="N121" s="698"/>
      <c r="O121" s="697"/>
      <c r="P121" s="697"/>
      <c r="Q121" s="697"/>
      <c r="R121" s="697"/>
      <c r="S121" s="697"/>
      <c r="T121" s="697"/>
      <c r="U121" s="697"/>
      <c r="V121" s="697"/>
      <c r="W121" s="698"/>
      <c r="X121" s="698"/>
      <c r="Y121" s="697"/>
      <c r="Z121" s="697"/>
      <c r="AA121" s="697"/>
      <c r="AB121" s="697"/>
      <c r="AC121" s="697"/>
    </row>
    <row r="122" spans="1:29" ht="25.5" x14ac:dyDescent="0.2">
      <c r="A122" s="694" t="str">
        <f>+Info!$B$2</f>
        <v>724</v>
      </c>
      <c r="B122" s="694" t="s">
        <v>4688</v>
      </c>
      <c r="C122" s="694" t="s">
        <v>4689</v>
      </c>
      <c r="D122" s="695" t="s">
        <v>4690</v>
      </c>
      <c r="E122" s="696"/>
      <c r="F122" s="697"/>
      <c r="G122" s="697"/>
      <c r="H122" s="698"/>
      <c r="I122" s="697"/>
      <c r="J122" s="697"/>
      <c r="K122" s="697"/>
      <c r="L122" s="697"/>
      <c r="M122" s="697"/>
      <c r="N122" s="698"/>
      <c r="O122" s="697"/>
      <c r="P122" s="697"/>
      <c r="Q122" s="697"/>
      <c r="R122" s="697"/>
      <c r="S122" s="697"/>
      <c r="T122" s="697"/>
      <c r="U122" s="697"/>
      <c r="V122" s="697"/>
      <c r="W122" s="698"/>
      <c r="X122" s="698"/>
      <c r="Y122" s="697"/>
      <c r="Z122" s="697"/>
      <c r="AA122" s="697"/>
      <c r="AB122" s="697"/>
      <c r="AC122" s="697"/>
    </row>
    <row r="123" spans="1:29" ht="25.5" x14ac:dyDescent="0.2">
      <c r="A123" s="694" t="str">
        <f>+Info!$B$2</f>
        <v>724</v>
      </c>
      <c r="B123" s="694" t="s">
        <v>4691</v>
      </c>
      <c r="C123" s="694" t="s">
        <v>4692</v>
      </c>
      <c r="D123" s="695" t="s">
        <v>4693</v>
      </c>
      <c r="E123" s="696"/>
      <c r="F123" s="697"/>
      <c r="G123" s="697"/>
      <c r="H123" s="698"/>
      <c r="I123" s="697"/>
      <c r="J123" s="698"/>
      <c r="K123" s="697"/>
      <c r="L123" s="697"/>
      <c r="M123" s="697"/>
      <c r="N123" s="698"/>
      <c r="O123" s="697"/>
      <c r="P123" s="697"/>
      <c r="Q123" s="697"/>
      <c r="R123" s="697"/>
      <c r="S123" s="697"/>
      <c r="T123" s="697"/>
      <c r="U123" s="697"/>
      <c r="V123" s="697"/>
      <c r="W123" s="698"/>
      <c r="X123" s="698"/>
      <c r="Y123" s="697"/>
      <c r="Z123" s="697"/>
      <c r="AA123" s="697"/>
      <c r="AB123" s="697"/>
      <c r="AC123" s="697"/>
    </row>
    <row r="124" spans="1:29" ht="25.5" x14ac:dyDescent="0.2">
      <c r="A124" s="694" t="str">
        <f>+Info!$B$2</f>
        <v>724</v>
      </c>
      <c r="B124" s="694" t="s">
        <v>4694</v>
      </c>
      <c r="C124" s="694" t="s">
        <v>4695</v>
      </c>
      <c r="D124" s="695" t="s">
        <v>4696</v>
      </c>
      <c r="E124" s="696"/>
      <c r="F124" s="697"/>
      <c r="G124" s="697"/>
      <c r="H124" s="698"/>
      <c r="I124" s="697"/>
      <c r="J124" s="698"/>
      <c r="K124" s="697"/>
      <c r="L124" s="697"/>
      <c r="M124" s="697"/>
      <c r="N124" s="698"/>
      <c r="O124" s="697"/>
      <c r="P124" s="697"/>
      <c r="Q124" s="697"/>
      <c r="R124" s="697"/>
      <c r="S124" s="697"/>
      <c r="T124" s="697"/>
      <c r="U124" s="697"/>
      <c r="V124" s="697"/>
      <c r="W124" s="698"/>
      <c r="X124" s="698"/>
      <c r="Y124" s="697"/>
      <c r="Z124" s="697"/>
      <c r="AA124" s="697"/>
      <c r="AB124" s="697"/>
      <c r="AC124" s="697"/>
    </row>
    <row r="125" spans="1:29" ht="25.5" x14ac:dyDescent="0.2">
      <c r="A125" s="694" t="str">
        <f>+Info!$B$2</f>
        <v>724</v>
      </c>
      <c r="B125" s="694" t="s">
        <v>4697</v>
      </c>
      <c r="C125" s="694" t="s">
        <v>4698</v>
      </c>
      <c r="D125" s="695" t="s">
        <v>4699</v>
      </c>
      <c r="E125" s="696"/>
      <c r="F125" s="697"/>
      <c r="G125" s="697"/>
      <c r="H125" s="698"/>
      <c r="I125" s="697"/>
      <c r="J125" s="698"/>
      <c r="K125" s="697"/>
      <c r="L125" s="697"/>
      <c r="M125" s="697"/>
      <c r="N125" s="698"/>
      <c r="O125" s="697"/>
      <c r="P125" s="697"/>
      <c r="Q125" s="697"/>
      <c r="R125" s="697"/>
      <c r="S125" s="697"/>
      <c r="T125" s="697"/>
      <c r="U125" s="697"/>
      <c r="V125" s="697"/>
      <c r="W125" s="698"/>
      <c r="X125" s="698"/>
      <c r="Y125" s="697"/>
      <c r="Z125" s="697"/>
      <c r="AA125" s="697"/>
      <c r="AB125" s="697"/>
      <c r="AC125" s="697"/>
    </row>
    <row r="126" spans="1:29" ht="25.5" x14ac:dyDescent="0.2">
      <c r="A126" s="694" t="str">
        <f>+Info!$B$2</f>
        <v>724</v>
      </c>
      <c r="B126" s="694" t="s">
        <v>4700</v>
      </c>
      <c r="C126" s="694" t="s">
        <v>4701</v>
      </c>
      <c r="D126" s="695" t="s">
        <v>4702</v>
      </c>
      <c r="E126" s="696"/>
      <c r="F126" s="697"/>
      <c r="G126" s="697"/>
      <c r="H126" s="698"/>
      <c r="I126" s="697"/>
      <c r="J126" s="698"/>
      <c r="K126" s="697"/>
      <c r="L126" s="697"/>
      <c r="M126" s="697"/>
      <c r="N126" s="698"/>
      <c r="O126" s="697"/>
      <c r="P126" s="697"/>
      <c r="Q126" s="697"/>
      <c r="R126" s="697"/>
      <c r="S126" s="697"/>
      <c r="T126" s="697"/>
      <c r="U126" s="697"/>
      <c r="V126" s="697"/>
      <c r="W126" s="698"/>
      <c r="X126" s="698"/>
      <c r="Y126" s="697"/>
      <c r="Z126" s="697"/>
      <c r="AA126" s="697"/>
      <c r="AB126" s="697"/>
      <c r="AC126" s="697"/>
    </row>
    <row r="127" spans="1:29" ht="25.5" x14ac:dyDescent="0.2">
      <c r="A127" s="694" t="str">
        <f>+Info!$B$2</f>
        <v>724</v>
      </c>
      <c r="B127" s="694" t="s">
        <v>4703</v>
      </c>
      <c r="C127" s="694" t="s">
        <v>4704</v>
      </c>
      <c r="D127" s="695" t="s">
        <v>4705</v>
      </c>
      <c r="E127" s="696"/>
      <c r="F127" s="697"/>
      <c r="G127" s="697"/>
      <c r="H127" s="698"/>
      <c r="I127" s="697"/>
      <c r="J127" s="698"/>
      <c r="K127" s="697"/>
      <c r="L127" s="697"/>
      <c r="M127" s="697"/>
      <c r="N127" s="698"/>
      <c r="O127" s="697"/>
      <c r="P127" s="697"/>
      <c r="Q127" s="697"/>
      <c r="R127" s="697"/>
      <c r="S127" s="697"/>
      <c r="T127" s="697"/>
      <c r="U127" s="697"/>
      <c r="V127" s="697"/>
      <c r="W127" s="698"/>
      <c r="X127" s="698"/>
      <c r="Y127" s="697"/>
      <c r="Z127" s="697"/>
      <c r="AA127" s="697"/>
      <c r="AB127" s="697"/>
      <c r="AC127" s="697"/>
    </row>
    <row r="128" spans="1:29" ht="25.5" x14ac:dyDescent="0.2">
      <c r="A128" s="694" t="str">
        <f>+Info!$B$2</f>
        <v>724</v>
      </c>
      <c r="B128" s="694" t="s">
        <v>4706</v>
      </c>
      <c r="C128" s="694" t="s">
        <v>4707</v>
      </c>
      <c r="D128" s="695" t="s">
        <v>4708</v>
      </c>
      <c r="E128" s="696"/>
      <c r="F128" s="697"/>
      <c r="G128" s="697"/>
      <c r="H128" s="698"/>
      <c r="I128" s="697"/>
      <c r="J128" s="698"/>
      <c r="K128" s="697"/>
      <c r="L128" s="697"/>
      <c r="M128" s="697"/>
      <c r="N128" s="698"/>
      <c r="O128" s="697"/>
      <c r="P128" s="697"/>
      <c r="Q128" s="697"/>
      <c r="R128" s="697"/>
      <c r="S128" s="697"/>
      <c r="T128" s="697"/>
      <c r="U128" s="697"/>
      <c r="V128" s="697"/>
      <c r="W128" s="698"/>
      <c r="X128" s="698"/>
      <c r="Y128" s="697"/>
      <c r="Z128" s="697"/>
      <c r="AA128" s="697"/>
      <c r="AB128" s="697"/>
      <c r="AC128" s="697"/>
    </row>
    <row r="129" spans="1:29" ht="25.5" x14ac:dyDescent="0.2">
      <c r="A129" s="694" t="str">
        <f>+Info!$B$2</f>
        <v>724</v>
      </c>
      <c r="B129" s="694" t="s">
        <v>4709</v>
      </c>
      <c r="C129" s="694" t="s">
        <v>4710</v>
      </c>
      <c r="D129" s="695" t="s">
        <v>4711</v>
      </c>
      <c r="E129" s="696"/>
      <c r="F129" s="697"/>
      <c r="G129" s="697"/>
      <c r="H129" s="698"/>
      <c r="I129" s="697"/>
      <c r="J129" s="698"/>
      <c r="K129" s="697"/>
      <c r="L129" s="697"/>
      <c r="M129" s="697"/>
      <c r="N129" s="698"/>
      <c r="O129" s="697"/>
      <c r="P129" s="697"/>
      <c r="Q129" s="697"/>
      <c r="R129" s="697"/>
      <c r="S129" s="697"/>
      <c r="T129" s="697"/>
      <c r="U129" s="697"/>
      <c r="V129" s="697"/>
      <c r="W129" s="698"/>
      <c r="X129" s="698"/>
      <c r="Y129" s="697"/>
      <c r="Z129" s="697"/>
      <c r="AA129" s="697"/>
      <c r="AB129" s="697"/>
      <c r="AC129" s="697"/>
    </row>
    <row r="130" spans="1:29" ht="25.5" x14ac:dyDescent="0.2">
      <c r="A130" s="694" t="str">
        <f>+Info!$B$2</f>
        <v>724</v>
      </c>
      <c r="B130" s="694" t="s">
        <v>4712</v>
      </c>
      <c r="C130" s="694" t="s">
        <v>4713</v>
      </c>
      <c r="D130" s="695" t="s">
        <v>4714</v>
      </c>
      <c r="E130" s="696"/>
      <c r="F130" s="697"/>
      <c r="G130" s="697"/>
      <c r="H130" s="698"/>
      <c r="I130" s="697"/>
      <c r="J130" s="698"/>
      <c r="K130" s="697"/>
      <c r="L130" s="697"/>
      <c r="M130" s="697"/>
      <c r="N130" s="698"/>
      <c r="O130" s="697"/>
      <c r="P130" s="697"/>
      <c r="Q130" s="697"/>
      <c r="R130" s="697"/>
      <c r="S130" s="697"/>
      <c r="T130" s="697"/>
      <c r="U130" s="697"/>
      <c r="V130" s="697"/>
      <c r="W130" s="698"/>
      <c r="X130" s="698"/>
      <c r="Y130" s="697"/>
      <c r="Z130" s="697"/>
      <c r="AA130" s="697"/>
      <c r="AB130" s="697"/>
      <c r="AC130" s="697"/>
    </row>
    <row r="131" spans="1:29" ht="25.5" x14ac:dyDescent="0.2">
      <c r="A131" s="694" t="str">
        <f>+Info!$B$2</f>
        <v>724</v>
      </c>
      <c r="B131" s="694" t="s">
        <v>4715</v>
      </c>
      <c r="C131" s="694" t="s">
        <v>4716</v>
      </c>
      <c r="D131" s="695" t="s">
        <v>4717</v>
      </c>
      <c r="E131" s="696"/>
      <c r="F131" s="697"/>
      <c r="G131" s="697"/>
      <c r="H131" s="698"/>
      <c r="I131" s="697"/>
      <c r="J131" s="697"/>
      <c r="K131" s="697"/>
      <c r="L131" s="697"/>
      <c r="M131" s="697"/>
      <c r="N131" s="698"/>
      <c r="O131" s="697"/>
      <c r="P131" s="697"/>
      <c r="Q131" s="697"/>
      <c r="R131" s="697"/>
      <c r="S131" s="697"/>
      <c r="T131" s="697"/>
      <c r="U131" s="697"/>
      <c r="V131" s="697"/>
      <c r="W131" s="698"/>
      <c r="X131" s="698"/>
      <c r="Y131" s="697"/>
      <c r="Z131" s="697"/>
      <c r="AA131" s="697"/>
      <c r="AB131" s="697"/>
      <c r="AC131" s="697"/>
    </row>
    <row r="132" spans="1:29" ht="15" x14ac:dyDescent="0.25">
      <c r="A132" s="691" t="str">
        <f>+Info!$B$2</f>
        <v>724</v>
      </c>
      <c r="B132" s="691" t="s">
        <v>4718</v>
      </c>
      <c r="C132" s="691" t="s">
        <v>4719</v>
      </c>
      <c r="D132" s="692" t="s">
        <v>4720</v>
      </c>
      <c r="E132" s="693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</row>
    <row r="133" spans="1:29" ht="25.5" x14ac:dyDescent="0.2">
      <c r="A133" s="694" t="str">
        <f>+Info!$B$2</f>
        <v>724</v>
      </c>
      <c r="B133" s="694" t="s">
        <v>4721</v>
      </c>
      <c r="C133" s="694" t="s">
        <v>4722</v>
      </c>
      <c r="D133" s="695" t="s">
        <v>4723</v>
      </c>
      <c r="E133" s="696"/>
      <c r="F133" s="697"/>
      <c r="G133" s="697"/>
      <c r="H133" s="698"/>
      <c r="I133" s="697"/>
      <c r="J133" s="698"/>
      <c r="K133" s="697"/>
      <c r="L133" s="697"/>
      <c r="M133" s="697"/>
      <c r="N133" s="698"/>
      <c r="O133" s="697"/>
      <c r="P133" s="697"/>
      <c r="Q133" s="697"/>
      <c r="R133" s="697"/>
      <c r="S133" s="697"/>
      <c r="T133" s="697"/>
      <c r="U133" s="697"/>
      <c r="V133" s="697"/>
      <c r="W133" s="698"/>
      <c r="X133" s="698"/>
      <c r="Y133" s="697"/>
      <c r="Z133" s="697"/>
      <c r="AA133" s="697"/>
      <c r="AB133" s="697"/>
      <c r="AC133" s="697"/>
    </row>
    <row r="134" spans="1:29" ht="25.5" x14ac:dyDescent="0.2">
      <c r="A134" s="694" t="str">
        <f>+Info!$B$2</f>
        <v>724</v>
      </c>
      <c r="B134" s="694" t="s">
        <v>4724</v>
      </c>
      <c r="C134" s="694" t="s">
        <v>4725</v>
      </c>
      <c r="D134" s="695" t="s">
        <v>4726</v>
      </c>
      <c r="E134" s="696"/>
      <c r="F134" s="697"/>
      <c r="G134" s="697"/>
      <c r="H134" s="698"/>
      <c r="I134" s="697"/>
      <c r="J134" s="698"/>
      <c r="K134" s="697"/>
      <c r="L134" s="697"/>
      <c r="M134" s="697"/>
      <c r="N134" s="698"/>
      <c r="O134" s="697"/>
      <c r="P134" s="697"/>
      <c r="Q134" s="697"/>
      <c r="R134" s="697"/>
      <c r="S134" s="697"/>
      <c r="T134" s="697"/>
      <c r="U134" s="697"/>
      <c r="V134" s="697"/>
      <c r="W134" s="698"/>
      <c r="X134" s="698"/>
      <c r="Y134" s="697"/>
      <c r="Z134" s="697"/>
      <c r="AA134" s="697"/>
      <c r="AB134" s="697"/>
      <c r="AC134" s="697"/>
    </row>
    <row r="135" spans="1:29" ht="25.5" x14ac:dyDescent="0.2">
      <c r="A135" s="694" t="str">
        <f>+Info!$B$2</f>
        <v>724</v>
      </c>
      <c r="B135" s="694" t="s">
        <v>4727</v>
      </c>
      <c r="C135" s="694" t="s">
        <v>4728</v>
      </c>
      <c r="D135" s="695" t="s">
        <v>4729</v>
      </c>
      <c r="E135" s="696"/>
      <c r="F135" s="697"/>
      <c r="G135" s="697"/>
      <c r="H135" s="698"/>
      <c r="I135" s="697"/>
      <c r="J135" s="698"/>
      <c r="K135" s="697"/>
      <c r="L135" s="697"/>
      <c r="M135" s="697"/>
      <c r="N135" s="698"/>
      <c r="O135" s="697"/>
      <c r="P135" s="697"/>
      <c r="Q135" s="697"/>
      <c r="R135" s="697"/>
      <c r="S135" s="697"/>
      <c r="T135" s="697"/>
      <c r="U135" s="697"/>
      <c r="V135" s="697"/>
      <c r="W135" s="698"/>
      <c r="X135" s="698"/>
      <c r="Y135" s="697"/>
      <c r="Z135" s="697"/>
      <c r="AA135" s="697"/>
      <c r="AB135" s="697"/>
      <c r="AC135" s="697"/>
    </row>
    <row r="136" spans="1:29" ht="25.5" x14ac:dyDescent="0.2">
      <c r="A136" s="694" t="str">
        <f>+Info!$B$2</f>
        <v>724</v>
      </c>
      <c r="B136" s="694" t="s">
        <v>4730</v>
      </c>
      <c r="C136" s="694" t="s">
        <v>4731</v>
      </c>
      <c r="D136" s="695" t="s">
        <v>4732</v>
      </c>
      <c r="E136" s="696"/>
      <c r="F136" s="697"/>
      <c r="G136" s="697"/>
      <c r="H136" s="698"/>
      <c r="I136" s="697"/>
      <c r="J136" s="698"/>
      <c r="K136" s="697"/>
      <c r="L136" s="697"/>
      <c r="M136" s="697"/>
      <c r="N136" s="698"/>
      <c r="O136" s="697"/>
      <c r="P136" s="697"/>
      <c r="Q136" s="697"/>
      <c r="R136" s="697"/>
      <c r="S136" s="697"/>
      <c r="T136" s="697"/>
      <c r="U136" s="697"/>
      <c r="V136" s="697"/>
      <c r="W136" s="698"/>
      <c r="X136" s="698"/>
      <c r="Y136" s="697"/>
      <c r="Z136" s="697"/>
      <c r="AA136" s="697"/>
      <c r="AB136" s="697"/>
      <c r="AC136" s="697"/>
    </row>
    <row r="137" spans="1:29" ht="25.5" x14ac:dyDescent="0.2">
      <c r="A137" s="694" t="str">
        <f>+Info!$B$2</f>
        <v>724</v>
      </c>
      <c r="B137" s="694" t="s">
        <v>4733</v>
      </c>
      <c r="C137" s="694" t="s">
        <v>4734</v>
      </c>
      <c r="D137" s="695" t="s">
        <v>4735</v>
      </c>
      <c r="E137" s="696"/>
      <c r="F137" s="697"/>
      <c r="G137" s="697"/>
      <c r="H137" s="698"/>
      <c r="I137" s="697"/>
      <c r="J137" s="698"/>
      <c r="K137" s="697"/>
      <c r="L137" s="697"/>
      <c r="M137" s="697"/>
      <c r="N137" s="698"/>
      <c r="O137" s="697"/>
      <c r="P137" s="697"/>
      <c r="Q137" s="697"/>
      <c r="R137" s="697"/>
      <c r="S137" s="697"/>
      <c r="T137" s="697"/>
      <c r="U137" s="697"/>
      <c r="V137" s="697"/>
      <c r="W137" s="698"/>
      <c r="X137" s="698"/>
      <c r="Y137" s="697"/>
      <c r="Z137" s="697"/>
      <c r="AA137" s="697"/>
      <c r="AB137" s="697"/>
      <c r="AC137" s="697"/>
    </row>
    <row r="138" spans="1:29" ht="25.5" x14ac:dyDescent="0.2">
      <c r="A138" s="694" t="str">
        <f>+Info!$B$2</f>
        <v>724</v>
      </c>
      <c r="B138" s="694" t="s">
        <v>4736</v>
      </c>
      <c r="C138" s="694" t="s">
        <v>4737</v>
      </c>
      <c r="D138" s="695" t="s">
        <v>4738</v>
      </c>
      <c r="E138" s="696"/>
      <c r="F138" s="697"/>
      <c r="G138" s="697"/>
      <c r="H138" s="698"/>
      <c r="I138" s="697"/>
      <c r="J138" s="698"/>
      <c r="K138" s="697"/>
      <c r="L138" s="697"/>
      <c r="M138" s="697"/>
      <c r="N138" s="698"/>
      <c r="O138" s="697"/>
      <c r="P138" s="697"/>
      <c r="Q138" s="697"/>
      <c r="R138" s="697"/>
      <c r="S138" s="697"/>
      <c r="T138" s="697"/>
      <c r="U138" s="697"/>
      <c r="V138" s="697"/>
      <c r="W138" s="698"/>
      <c r="X138" s="698"/>
      <c r="Y138" s="697"/>
      <c r="Z138" s="697"/>
      <c r="AA138" s="697"/>
      <c r="AB138" s="697"/>
      <c r="AC138" s="697"/>
    </row>
    <row r="139" spans="1:29" x14ac:dyDescent="0.2">
      <c r="A139" s="694" t="str">
        <f>+Info!$B$2</f>
        <v>724</v>
      </c>
      <c r="B139" s="694" t="s">
        <v>4739</v>
      </c>
      <c r="C139" s="694" t="s">
        <v>4740</v>
      </c>
      <c r="D139" s="695" t="s">
        <v>4741</v>
      </c>
      <c r="E139" s="696"/>
      <c r="F139" s="697"/>
      <c r="G139" s="697"/>
      <c r="H139" s="698"/>
      <c r="I139" s="697"/>
      <c r="J139" s="698"/>
      <c r="K139" s="697"/>
      <c r="L139" s="697"/>
      <c r="M139" s="697"/>
      <c r="N139" s="698"/>
      <c r="O139" s="697"/>
      <c r="P139" s="697"/>
      <c r="Q139" s="697"/>
      <c r="R139" s="697"/>
      <c r="S139" s="697"/>
      <c r="T139" s="697"/>
      <c r="U139" s="697"/>
      <c r="V139" s="697"/>
      <c r="W139" s="698"/>
      <c r="X139" s="698"/>
      <c r="Y139" s="697"/>
      <c r="Z139" s="697"/>
      <c r="AA139" s="697"/>
      <c r="AB139" s="697"/>
      <c r="AC139" s="697"/>
    </row>
    <row r="140" spans="1:29" ht="25.5" x14ac:dyDescent="0.2">
      <c r="A140" s="694" t="str">
        <f>+Info!$B$2</f>
        <v>724</v>
      </c>
      <c r="B140" s="694" t="s">
        <v>4742</v>
      </c>
      <c r="C140" s="694" t="s">
        <v>4743</v>
      </c>
      <c r="D140" s="695" t="s">
        <v>4744</v>
      </c>
      <c r="E140" s="696"/>
      <c r="F140" s="697"/>
      <c r="G140" s="697"/>
      <c r="H140" s="698"/>
      <c r="I140" s="697"/>
      <c r="J140" s="698"/>
      <c r="K140" s="697"/>
      <c r="L140" s="697"/>
      <c r="M140" s="697"/>
      <c r="N140" s="698"/>
      <c r="O140" s="697"/>
      <c r="P140" s="697"/>
      <c r="Q140" s="697"/>
      <c r="R140" s="697"/>
      <c r="S140" s="697"/>
      <c r="T140" s="697"/>
      <c r="U140" s="697"/>
      <c r="V140" s="697"/>
      <c r="W140" s="698"/>
      <c r="X140" s="698"/>
      <c r="Y140" s="697"/>
      <c r="Z140" s="697"/>
      <c r="AA140" s="697"/>
      <c r="AB140" s="697"/>
      <c r="AC140" s="697"/>
    </row>
    <row r="141" spans="1:29" ht="25.5" x14ac:dyDescent="0.2">
      <c r="A141" s="694" t="str">
        <f>+Info!$B$2</f>
        <v>724</v>
      </c>
      <c r="B141" s="694" t="s">
        <v>4745</v>
      </c>
      <c r="C141" s="694" t="s">
        <v>4746</v>
      </c>
      <c r="D141" s="695" t="s">
        <v>4747</v>
      </c>
      <c r="E141" s="696"/>
      <c r="F141" s="697"/>
      <c r="G141" s="697"/>
      <c r="H141" s="698"/>
      <c r="I141" s="697"/>
      <c r="J141" s="698"/>
      <c r="K141" s="697"/>
      <c r="L141" s="697"/>
      <c r="M141" s="697"/>
      <c r="N141" s="698"/>
      <c r="O141" s="697"/>
      <c r="P141" s="697"/>
      <c r="Q141" s="697"/>
      <c r="R141" s="697"/>
      <c r="S141" s="697"/>
      <c r="T141" s="697"/>
      <c r="U141" s="697"/>
      <c r="V141" s="697"/>
      <c r="W141" s="698"/>
      <c r="X141" s="698"/>
      <c r="Y141" s="697"/>
      <c r="Z141" s="697"/>
      <c r="AA141" s="697"/>
      <c r="AB141" s="697"/>
      <c r="AC141" s="697"/>
    </row>
    <row r="142" spans="1:29" ht="25.5" x14ac:dyDescent="0.2">
      <c r="A142" s="694" t="str">
        <f>+Info!$B$2</f>
        <v>724</v>
      </c>
      <c r="B142" s="694" t="s">
        <v>4748</v>
      </c>
      <c r="C142" s="694" t="s">
        <v>4749</v>
      </c>
      <c r="D142" s="695" t="s">
        <v>4750</v>
      </c>
      <c r="E142" s="696"/>
      <c r="F142" s="697"/>
      <c r="G142" s="697"/>
      <c r="H142" s="698"/>
      <c r="I142" s="697"/>
      <c r="J142" s="698"/>
      <c r="K142" s="697"/>
      <c r="L142" s="697"/>
      <c r="M142" s="697"/>
      <c r="N142" s="698"/>
      <c r="O142" s="697"/>
      <c r="P142" s="697"/>
      <c r="Q142" s="697"/>
      <c r="R142" s="697"/>
      <c r="S142" s="697"/>
      <c r="T142" s="697"/>
      <c r="U142" s="697"/>
      <c r="V142" s="697"/>
      <c r="W142" s="698"/>
      <c r="X142" s="698"/>
      <c r="Y142" s="697"/>
      <c r="Z142" s="697"/>
      <c r="AA142" s="697"/>
      <c r="AB142" s="697"/>
      <c r="AC142" s="697"/>
    </row>
    <row r="143" spans="1:29" ht="25.5" x14ac:dyDescent="0.2">
      <c r="A143" s="694" t="str">
        <f>+Info!$B$2</f>
        <v>724</v>
      </c>
      <c r="B143" s="694" t="s">
        <v>4751</v>
      </c>
      <c r="C143" s="694" t="s">
        <v>4752</v>
      </c>
      <c r="D143" s="695" t="s">
        <v>4753</v>
      </c>
      <c r="E143" s="696"/>
      <c r="F143" s="697"/>
      <c r="G143" s="697"/>
      <c r="H143" s="698"/>
      <c r="I143" s="697"/>
      <c r="J143" s="698"/>
      <c r="K143" s="697"/>
      <c r="L143" s="697"/>
      <c r="M143" s="697"/>
      <c r="N143" s="698"/>
      <c r="O143" s="697"/>
      <c r="P143" s="697"/>
      <c r="Q143" s="697"/>
      <c r="R143" s="697"/>
      <c r="S143" s="697"/>
      <c r="T143" s="697"/>
      <c r="U143" s="697"/>
      <c r="V143" s="697"/>
      <c r="W143" s="698"/>
      <c r="X143" s="698"/>
      <c r="Y143" s="697"/>
      <c r="Z143" s="697"/>
      <c r="AA143" s="697"/>
      <c r="AB143" s="697"/>
      <c r="AC143" s="697"/>
    </row>
    <row r="144" spans="1:29" ht="25.5" x14ac:dyDescent="0.2">
      <c r="A144" s="694" t="str">
        <f>+Info!$B$2</f>
        <v>724</v>
      </c>
      <c r="B144" s="694" t="s">
        <v>4754</v>
      </c>
      <c r="C144" s="694" t="s">
        <v>4755</v>
      </c>
      <c r="D144" s="695" t="s">
        <v>4756</v>
      </c>
      <c r="E144" s="696"/>
      <c r="F144" s="697"/>
      <c r="G144" s="697"/>
      <c r="H144" s="698"/>
      <c r="I144" s="697"/>
      <c r="J144" s="698"/>
      <c r="K144" s="697"/>
      <c r="L144" s="697"/>
      <c r="M144" s="697"/>
      <c r="N144" s="698"/>
      <c r="O144" s="697"/>
      <c r="P144" s="697"/>
      <c r="Q144" s="697"/>
      <c r="R144" s="697"/>
      <c r="S144" s="697"/>
      <c r="T144" s="697"/>
      <c r="U144" s="697"/>
      <c r="V144" s="697"/>
      <c r="W144" s="698"/>
      <c r="X144" s="698"/>
      <c r="Y144" s="697"/>
      <c r="Z144" s="697"/>
      <c r="AA144" s="697"/>
      <c r="AB144" s="697"/>
      <c r="AC144" s="697"/>
    </row>
    <row r="145" spans="1:29" ht="25.5" x14ac:dyDescent="0.2">
      <c r="A145" s="694" t="str">
        <f>+Info!$B$2</f>
        <v>724</v>
      </c>
      <c r="B145" s="694" t="s">
        <v>4757</v>
      </c>
      <c r="C145" s="694" t="s">
        <v>4758</v>
      </c>
      <c r="D145" s="695" t="s">
        <v>4759</v>
      </c>
      <c r="E145" s="696"/>
      <c r="F145" s="697"/>
      <c r="G145" s="697"/>
      <c r="H145" s="698"/>
      <c r="I145" s="697"/>
      <c r="J145" s="698"/>
      <c r="K145" s="697"/>
      <c r="L145" s="697"/>
      <c r="M145" s="697"/>
      <c r="N145" s="698"/>
      <c r="O145" s="697"/>
      <c r="P145" s="697"/>
      <c r="Q145" s="697"/>
      <c r="R145" s="697"/>
      <c r="S145" s="697"/>
      <c r="T145" s="697"/>
      <c r="U145" s="697"/>
      <c r="V145" s="697"/>
      <c r="W145" s="698"/>
      <c r="X145" s="698"/>
      <c r="Y145" s="697"/>
      <c r="Z145" s="697"/>
      <c r="AA145" s="697"/>
      <c r="AB145" s="697"/>
      <c r="AC145" s="697"/>
    </row>
    <row r="146" spans="1:29" ht="25.5" x14ac:dyDescent="0.2">
      <c r="A146" s="694" t="str">
        <f>+Info!$B$2</f>
        <v>724</v>
      </c>
      <c r="B146" s="694" t="s">
        <v>4760</v>
      </c>
      <c r="C146" s="694" t="s">
        <v>4761</v>
      </c>
      <c r="D146" s="695" t="s">
        <v>4762</v>
      </c>
      <c r="E146" s="696"/>
      <c r="F146" s="697"/>
      <c r="G146" s="697"/>
      <c r="H146" s="698"/>
      <c r="I146" s="697"/>
      <c r="J146" s="698"/>
      <c r="K146" s="697"/>
      <c r="L146" s="697"/>
      <c r="M146" s="697"/>
      <c r="N146" s="698"/>
      <c r="O146" s="697"/>
      <c r="P146" s="697"/>
      <c r="Q146" s="697"/>
      <c r="R146" s="697"/>
      <c r="S146" s="697"/>
      <c r="T146" s="697"/>
      <c r="U146" s="697"/>
      <c r="V146" s="697"/>
      <c r="W146" s="698"/>
      <c r="X146" s="698"/>
      <c r="Y146" s="697"/>
      <c r="Z146" s="697"/>
      <c r="AA146" s="697"/>
      <c r="AB146" s="697"/>
      <c r="AC146" s="697"/>
    </row>
    <row r="147" spans="1:29" ht="25.5" x14ac:dyDescent="0.2">
      <c r="A147" s="694" t="str">
        <f>+Info!$B$2</f>
        <v>724</v>
      </c>
      <c r="B147" s="694" t="s">
        <v>4763</v>
      </c>
      <c r="C147" s="694" t="s">
        <v>4764</v>
      </c>
      <c r="D147" s="695" t="s">
        <v>4765</v>
      </c>
      <c r="E147" s="696"/>
      <c r="F147" s="697"/>
      <c r="G147" s="697"/>
      <c r="H147" s="698"/>
      <c r="I147" s="697"/>
      <c r="J147" s="698"/>
      <c r="K147" s="697"/>
      <c r="L147" s="697"/>
      <c r="M147" s="697"/>
      <c r="N147" s="698"/>
      <c r="O147" s="697"/>
      <c r="P147" s="697"/>
      <c r="Q147" s="697"/>
      <c r="R147" s="697"/>
      <c r="S147" s="697"/>
      <c r="T147" s="697"/>
      <c r="U147" s="697"/>
      <c r="V147" s="697"/>
      <c r="W147" s="698"/>
      <c r="X147" s="698"/>
      <c r="Y147" s="697"/>
      <c r="Z147" s="697"/>
      <c r="AA147" s="697"/>
      <c r="AB147" s="697"/>
      <c r="AC147" s="697"/>
    </row>
    <row r="148" spans="1:29" ht="25.5" x14ac:dyDescent="0.2">
      <c r="A148" s="694" t="str">
        <f>+Info!$B$2</f>
        <v>724</v>
      </c>
      <c r="B148" s="694" t="s">
        <v>4766</v>
      </c>
      <c r="C148" s="694" t="s">
        <v>4767</v>
      </c>
      <c r="D148" s="695" t="s">
        <v>4768</v>
      </c>
      <c r="E148" s="696"/>
      <c r="F148" s="697"/>
      <c r="G148" s="697"/>
      <c r="H148" s="698"/>
      <c r="I148" s="697"/>
      <c r="J148" s="698"/>
      <c r="K148" s="697"/>
      <c r="L148" s="697"/>
      <c r="M148" s="697"/>
      <c r="N148" s="698"/>
      <c r="O148" s="697"/>
      <c r="P148" s="697"/>
      <c r="Q148" s="697"/>
      <c r="R148" s="697"/>
      <c r="S148" s="697"/>
      <c r="T148" s="697"/>
      <c r="U148" s="697"/>
      <c r="V148" s="697"/>
      <c r="W148" s="698"/>
      <c r="X148" s="698"/>
      <c r="Y148" s="697"/>
      <c r="Z148" s="697"/>
      <c r="AA148" s="697"/>
      <c r="AB148" s="697"/>
      <c r="AC148" s="697"/>
    </row>
    <row r="149" spans="1:29" ht="25.5" x14ac:dyDescent="0.2">
      <c r="A149" s="694" t="str">
        <f>+Info!$B$2</f>
        <v>724</v>
      </c>
      <c r="B149" s="694" t="s">
        <v>4769</v>
      </c>
      <c r="C149" s="694" t="s">
        <v>4770</v>
      </c>
      <c r="D149" s="695" t="s">
        <v>4771</v>
      </c>
      <c r="E149" s="696"/>
      <c r="F149" s="697"/>
      <c r="G149" s="697"/>
      <c r="H149" s="698"/>
      <c r="I149" s="697"/>
      <c r="J149" s="698"/>
      <c r="K149" s="697"/>
      <c r="L149" s="697"/>
      <c r="M149" s="697"/>
      <c r="N149" s="698"/>
      <c r="O149" s="697"/>
      <c r="P149" s="697"/>
      <c r="Q149" s="697"/>
      <c r="R149" s="697"/>
      <c r="S149" s="697"/>
      <c r="T149" s="697"/>
      <c r="U149" s="697"/>
      <c r="V149" s="697"/>
      <c r="W149" s="698"/>
      <c r="X149" s="698"/>
      <c r="Y149" s="697"/>
      <c r="Z149" s="697"/>
      <c r="AA149" s="697"/>
      <c r="AB149" s="697"/>
      <c r="AC149" s="697"/>
    </row>
    <row r="150" spans="1:29" ht="25.5" x14ac:dyDescent="0.2">
      <c r="A150" s="694" t="str">
        <f>+Info!$B$2</f>
        <v>724</v>
      </c>
      <c r="B150" s="694" t="s">
        <v>4772</v>
      </c>
      <c r="C150" s="694" t="s">
        <v>4773</v>
      </c>
      <c r="D150" s="695" t="s">
        <v>4774</v>
      </c>
      <c r="E150" s="696"/>
      <c r="F150" s="697"/>
      <c r="G150" s="697"/>
      <c r="H150" s="698"/>
      <c r="I150" s="697"/>
      <c r="J150" s="698"/>
      <c r="K150" s="697"/>
      <c r="L150" s="697"/>
      <c r="M150" s="697"/>
      <c r="N150" s="698"/>
      <c r="O150" s="697"/>
      <c r="P150" s="697"/>
      <c r="Q150" s="697"/>
      <c r="R150" s="697"/>
      <c r="S150" s="697"/>
      <c r="T150" s="697"/>
      <c r="U150" s="697"/>
      <c r="V150" s="697"/>
      <c r="W150" s="698"/>
      <c r="X150" s="698"/>
      <c r="Y150" s="697"/>
      <c r="Z150" s="697"/>
      <c r="AA150" s="697"/>
      <c r="AB150" s="697"/>
      <c r="AC150" s="697"/>
    </row>
    <row r="151" spans="1:29" ht="25.5" x14ac:dyDescent="0.2">
      <c r="A151" s="694" t="str">
        <f>+Info!$B$2</f>
        <v>724</v>
      </c>
      <c r="B151" s="694" t="s">
        <v>4775</v>
      </c>
      <c r="C151" s="694" t="s">
        <v>4776</v>
      </c>
      <c r="D151" s="695" t="s">
        <v>4777</v>
      </c>
      <c r="E151" s="696"/>
      <c r="F151" s="697"/>
      <c r="G151" s="697"/>
      <c r="H151" s="698"/>
      <c r="I151" s="697"/>
      <c r="J151" s="698"/>
      <c r="K151" s="697"/>
      <c r="L151" s="697"/>
      <c r="M151" s="697"/>
      <c r="N151" s="698"/>
      <c r="O151" s="697"/>
      <c r="P151" s="697"/>
      <c r="Q151" s="697"/>
      <c r="R151" s="697"/>
      <c r="S151" s="697"/>
      <c r="T151" s="697"/>
      <c r="U151" s="697"/>
      <c r="V151" s="697"/>
      <c r="W151" s="698"/>
      <c r="X151" s="698"/>
      <c r="Y151" s="697"/>
      <c r="Z151" s="697"/>
      <c r="AA151" s="697"/>
      <c r="AB151" s="697"/>
      <c r="AC151" s="697"/>
    </row>
    <row r="152" spans="1:29" ht="25.5" x14ac:dyDescent="0.2">
      <c r="A152" s="694" t="str">
        <f>+Info!$B$2</f>
        <v>724</v>
      </c>
      <c r="B152" s="694" t="s">
        <v>4778</v>
      </c>
      <c r="C152" s="694" t="s">
        <v>4779</v>
      </c>
      <c r="D152" s="695" t="s">
        <v>4780</v>
      </c>
      <c r="E152" s="696"/>
      <c r="F152" s="697"/>
      <c r="G152" s="697"/>
      <c r="H152" s="698"/>
      <c r="I152" s="697"/>
      <c r="J152" s="698"/>
      <c r="K152" s="697"/>
      <c r="L152" s="697"/>
      <c r="M152" s="697"/>
      <c r="N152" s="698"/>
      <c r="O152" s="697"/>
      <c r="P152" s="697"/>
      <c r="Q152" s="697"/>
      <c r="R152" s="697"/>
      <c r="S152" s="697"/>
      <c r="T152" s="697"/>
      <c r="U152" s="697"/>
      <c r="V152" s="697"/>
      <c r="W152" s="698"/>
      <c r="X152" s="698"/>
      <c r="Y152" s="697"/>
      <c r="Z152" s="697"/>
      <c r="AA152" s="697"/>
      <c r="AB152" s="697"/>
      <c r="AC152" s="697"/>
    </row>
    <row r="153" spans="1:29" ht="25.5" x14ac:dyDescent="0.2">
      <c r="A153" s="694" t="str">
        <f>+Info!$B$2</f>
        <v>724</v>
      </c>
      <c r="B153" s="694" t="s">
        <v>4781</v>
      </c>
      <c r="C153" s="694" t="s">
        <v>4782</v>
      </c>
      <c r="D153" s="695" t="s">
        <v>4783</v>
      </c>
      <c r="E153" s="696"/>
      <c r="F153" s="697"/>
      <c r="G153" s="697"/>
      <c r="H153" s="698"/>
      <c r="I153" s="697"/>
      <c r="J153" s="698"/>
      <c r="K153" s="697"/>
      <c r="L153" s="697"/>
      <c r="M153" s="697"/>
      <c r="N153" s="698"/>
      <c r="O153" s="697"/>
      <c r="P153" s="697"/>
      <c r="Q153" s="697"/>
      <c r="R153" s="697"/>
      <c r="S153" s="697"/>
      <c r="T153" s="697"/>
      <c r="U153" s="697"/>
      <c r="V153" s="697"/>
      <c r="W153" s="698"/>
      <c r="X153" s="698"/>
      <c r="Y153" s="697"/>
      <c r="Z153" s="697"/>
      <c r="AA153" s="697"/>
      <c r="AB153" s="697"/>
      <c r="AC153" s="697"/>
    </row>
    <row r="154" spans="1:29" ht="25.5" x14ac:dyDescent="0.2">
      <c r="A154" s="694" t="str">
        <f>+Info!$B$2</f>
        <v>724</v>
      </c>
      <c r="B154" s="694" t="s">
        <v>4784</v>
      </c>
      <c r="C154" s="694" t="s">
        <v>4785</v>
      </c>
      <c r="D154" s="695" t="s">
        <v>4786</v>
      </c>
      <c r="E154" s="696"/>
      <c r="F154" s="697"/>
      <c r="G154" s="697"/>
      <c r="H154" s="698"/>
      <c r="I154" s="697"/>
      <c r="J154" s="698"/>
      <c r="K154" s="697"/>
      <c r="L154" s="697"/>
      <c r="M154" s="697"/>
      <c r="N154" s="698"/>
      <c r="O154" s="697"/>
      <c r="P154" s="697"/>
      <c r="Q154" s="697"/>
      <c r="R154" s="697"/>
      <c r="S154" s="697"/>
      <c r="T154" s="697"/>
      <c r="U154" s="697"/>
      <c r="V154" s="697"/>
      <c r="W154" s="698"/>
      <c r="X154" s="698"/>
      <c r="Y154" s="697"/>
      <c r="Z154" s="697"/>
      <c r="AA154" s="697"/>
      <c r="AB154" s="697"/>
      <c r="AC154" s="697"/>
    </row>
    <row r="155" spans="1:29" x14ac:dyDescent="0.2">
      <c r="A155" s="694" t="str">
        <f>+Info!$B$2</f>
        <v>724</v>
      </c>
      <c r="B155" s="694" t="s">
        <v>4787</v>
      </c>
      <c r="C155" s="694" t="s">
        <v>4788</v>
      </c>
      <c r="D155" s="695" t="s">
        <v>4789</v>
      </c>
      <c r="E155" s="696"/>
      <c r="F155" s="697"/>
      <c r="G155" s="697"/>
      <c r="H155" s="698"/>
      <c r="I155" s="697"/>
      <c r="J155" s="698"/>
      <c r="K155" s="697"/>
      <c r="L155" s="697"/>
      <c r="M155" s="697"/>
      <c r="N155" s="698"/>
      <c r="O155" s="697"/>
      <c r="P155" s="697"/>
      <c r="Q155" s="697"/>
      <c r="R155" s="697"/>
      <c r="S155" s="697"/>
      <c r="T155" s="697"/>
      <c r="U155" s="697"/>
      <c r="V155" s="697"/>
      <c r="W155" s="698"/>
      <c r="X155" s="698"/>
      <c r="Y155" s="697"/>
      <c r="Z155" s="697"/>
      <c r="AA155" s="697"/>
      <c r="AB155" s="697"/>
      <c r="AC155" s="697"/>
    </row>
    <row r="156" spans="1:29" x14ac:dyDescent="0.2">
      <c r="A156" s="694" t="str">
        <f>+Info!$B$2</f>
        <v>724</v>
      </c>
      <c r="B156" s="694" t="s">
        <v>4790</v>
      </c>
      <c r="C156" s="694" t="s">
        <v>4791</v>
      </c>
      <c r="D156" s="695" t="s">
        <v>4792</v>
      </c>
      <c r="E156" s="696"/>
      <c r="F156" s="697"/>
      <c r="G156" s="697"/>
      <c r="H156" s="698"/>
      <c r="I156" s="697"/>
      <c r="J156" s="698"/>
      <c r="K156" s="697"/>
      <c r="L156" s="697"/>
      <c r="M156" s="697"/>
      <c r="N156" s="698"/>
      <c r="O156" s="697"/>
      <c r="P156" s="697"/>
      <c r="Q156" s="697"/>
      <c r="R156" s="697"/>
      <c r="S156" s="697"/>
      <c r="T156" s="697"/>
      <c r="U156" s="697"/>
      <c r="V156" s="697"/>
      <c r="W156" s="698"/>
      <c r="X156" s="698"/>
      <c r="Y156" s="697"/>
      <c r="Z156" s="697"/>
      <c r="AA156" s="697"/>
      <c r="AB156" s="697"/>
      <c r="AC156" s="697"/>
    </row>
    <row r="157" spans="1:29" x14ac:dyDescent="0.2">
      <c r="A157" s="694" t="str">
        <f>+Info!$B$2</f>
        <v>724</v>
      </c>
      <c r="B157" s="694" t="s">
        <v>4793</v>
      </c>
      <c r="C157" s="694" t="s">
        <v>4794</v>
      </c>
      <c r="D157" s="695" t="s">
        <v>4795</v>
      </c>
      <c r="E157" s="696"/>
      <c r="F157" s="697"/>
      <c r="G157" s="697"/>
      <c r="H157" s="698"/>
      <c r="I157" s="697"/>
      <c r="J157" s="698"/>
      <c r="K157" s="697"/>
      <c r="L157" s="697"/>
      <c r="M157" s="697"/>
      <c r="N157" s="698"/>
      <c r="O157" s="697"/>
      <c r="P157" s="697"/>
      <c r="Q157" s="697"/>
      <c r="R157" s="697"/>
      <c r="S157" s="697"/>
      <c r="T157" s="697"/>
      <c r="U157" s="697"/>
      <c r="V157" s="697"/>
      <c r="W157" s="698"/>
      <c r="X157" s="698"/>
      <c r="Y157" s="697"/>
      <c r="Z157" s="697"/>
      <c r="AA157" s="697"/>
      <c r="AB157" s="697"/>
      <c r="AC157" s="697"/>
    </row>
    <row r="158" spans="1:29" x14ac:dyDescent="0.2">
      <c r="A158" s="694" t="str">
        <f>+Info!$B$2</f>
        <v>724</v>
      </c>
      <c r="B158" s="694" t="s">
        <v>4796</v>
      </c>
      <c r="C158" s="694" t="s">
        <v>4797</v>
      </c>
      <c r="D158" s="695" t="s">
        <v>4798</v>
      </c>
      <c r="E158" s="696"/>
      <c r="F158" s="697"/>
      <c r="G158" s="697"/>
      <c r="H158" s="698"/>
      <c r="I158" s="697"/>
      <c r="J158" s="698"/>
      <c r="K158" s="697"/>
      <c r="L158" s="697"/>
      <c r="M158" s="697"/>
      <c r="N158" s="698"/>
      <c r="O158" s="697"/>
      <c r="P158" s="697"/>
      <c r="Q158" s="697"/>
      <c r="R158" s="697"/>
      <c r="S158" s="697"/>
      <c r="T158" s="697"/>
      <c r="U158" s="697"/>
      <c r="V158" s="697"/>
      <c r="W158" s="698"/>
      <c r="X158" s="698"/>
      <c r="Y158" s="697"/>
      <c r="Z158" s="697"/>
      <c r="AA158" s="697"/>
      <c r="AB158" s="697"/>
      <c r="AC158" s="697"/>
    </row>
    <row r="159" spans="1:29" x14ac:dyDescent="0.2">
      <c r="A159" s="694" t="str">
        <f>+Info!$B$2</f>
        <v>724</v>
      </c>
      <c r="B159" s="694" t="s">
        <v>4799</v>
      </c>
      <c r="C159" s="694" t="s">
        <v>4800</v>
      </c>
      <c r="D159" s="695" t="s">
        <v>4801</v>
      </c>
      <c r="E159" s="696"/>
      <c r="F159" s="697"/>
      <c r="G159" s="697"/>
      <c r="H159" s="698"/>
      <c r="I159" s="697"/>
      <c r="J159" s="698"/>
      <c r="K159" s="697"/>
      <c r="L159" s="697"/>
      <c r="M159" s="697"/>
      <c r="N159" s="698"/>
      <c r="O159" s="697"/>
      <c r="P159" s="697"/>
      <c r="Q159" s="697"/>
      <c r="R159" s="697"/>
      <c r="S159" s="697"/>
      <c r="T159" s="697"/>
      <c r="U159" s="697"/>
      <c r="V159" s="697"/>
      <c r="W159" s="698"/>
      <c r="X159" s="698"/>
      <c r="Y159" s="697"/>
      <c r="Z159" s="697"/>
      <c r="AA159" s="697"/>
      <c r="AB159" s="697"/>
      <c r="AC159" s="697"/>
    </row>
    <row r="160" spans="1:29" ht="25.5" x14ac:dyDescent="0.2">
      <c r="A160" s="694" t="str">
        <f>+Info!$B$2</f>
        <v>724</v>
      </c>
      <c r="B160" s="694" t="s">
        <v>4802</v>
      </c>
      <c r="C160" s="694" t="s">
        <v>4803</v>
      </c>
      <c r="D160" s="695" t="s">
        <v>4804</v>
      </c>
      <c r="E160" s="696"/>
      <c r="F160" s="697"/>
      <c r="G160" s="697"/>
      <c r="H160" s="698"/>
      <c r="I160" s="697"/>
      <c r="J160" s="698"/>
      <c r="K160" s="697"/>
      <c r="L160" s="697"/>
      <c r="M160" s="697"/>
      <c r="N160" s="698"/>
      <c r="O160" s="697"/>
      <c r="P160" s="697"/>
      <c r="Q160" s="697"/>
      <c r="R160" s="697"/>
      <c r="S160" s="697"/>
      <c r="T160" s="697"/>
      <c r="U160" s="697"/>
      <c r="V160" s="697"/>
      <c r="W160" s="698"/>
      <c r="X160" s="698"/>
      <c r="Y160" s="697"/>
      <c r="Z160" s="697"/>
      <c r="AA160" s="697"/>
      <c r="AB160" s="697"/>
      <c r="AC160" s="697"/>
    </row>
    <row r="161" spans="1:29" ht="15" x14ac:dyDescent="0.25">
      <c r="A161" s="691" t="str">
        <f>+Info!$B$2</f>
        <v>724</v>
      </c>
      <c r="B161" s="691" t="s">
        <v>4805</v>
      </c>
      <c r="C161" s="691" t="s">
        <v>4806</v>
      </c>
      <c r="D161" s="692" t="s">
        <v>4807</v>
      </c>
      <c r="E161" s="693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</row>
    <row r="162" spans="1:29" x14ac:dyDescent="0.2">
      <c r="A162" s="694" t="str">
        <f>+Info!$B$2</f>
        <v>724</v>
      </c>
      <c r="B162" s="694" t="s">
        <v>4808</v>
      </c>
      <c r="C162" s="694" t="s">
        <v>4809</v>
      </c>
      <c r="D162" s="695" t="s">
        <v>4810</v>
      </c>
      <c r="E162" s="696"/>
      <c r="F162" s="697"/>
      <c r="G162" s="697"/>
      <c r="H162" s="698"/>
      <c r="I162" s="697"/>
      <c r="J162" s="697"/>
      <c r="K162" s="697"/>
      <c r="L162" s="697"/>
      <c r="M162" s="697"/>
      <c r="N162" s="698"/>
      <c r="O162" s="697"/>
      <c r="P162" s="697"/>
      <c r="Q162" s="697"/>
      <c r="R162" s="697"/>
      <c r="S162" s="697"/>
      <c r="T162" s="697"/>
      <c r="U162" s="697"/>
      <c r="V162" s="697"/>
      <c r="W162" s="698"/>
      <c r="X162" s="698"/>
      <c r="Y162" s="697"/>
      <c r="Z162" s="697"/>
      <c r="AA162" s="697"/>
      <c r="AB162" s="697"/>
      <c r="AC162" s="697"/>
    </row>
    <row r="163" spans="1:29" x14ac:dyDescent="0.2">
      <c r="A163" s="694" t="str">
        <f>+Info!$B$2</f>
        <v>724</v>
      </c>
      <c r="B163" s="694" t="s">
        <v>4811</v>
      </c>
      <c r="C163" s="694" t="s">
        <v>4812</v>
      </c>
      <c r="D163" s="695" t="s">
        <v>4813</v>
      </c>
      <c r="E163" s="696"/>
      <c r="F163" s="697"/>
      <c r="G163" s="697"/>
      <c r="H163" s="698"/>
      <c r="I163" s="697"/>
      <c r="J163" s="697"/>
      <c r="K163" s="697"/>
      <c r="L163" s="697"/>
      <c r="M163" s="697"/>
      <c r="N163" s="698"/>
      <c r="O163" s="697"/>
      <c r="P163" s="697"/>
      <c r="Q163" s="697"/>
      <c r="R163" s="697"/>
      <c r="S163" s="697"/>
      <c r="T163" s="697"/>
      <c r="U163" s="697"/>
      <c r="V163" s="697"/>
      <c r="W163" s="698"/>
      <c r="X163" s="698"/>
      <c r="Y163" s="697"/>
      <c r="Z163" s="697"/>
      <c r="AA163" s="697"/>
      <c r="AB163" s="697"/>
      <c r="AC163" s="697"/>
    </row>
    <row r="164" spans="1:29" x14ac:dyDescent="0.2">
      <c r="A164" s="694" t="str">
        <f>+Info!$B$2</f>
        <v>724</v>
      </c>
      <c r="B164" s="694" t="s">
        <v>4814</v>
      </c>
      <c r="C164" s="694" t="s">
        <v>4815</v>
      </c>
      <c r="D164" s="695" t="s">
        <v>4816</v>
      </c>
      <c r="E164" s="696"/>
      <c r="F164" s="697"/>
      <c r="G164" s="697"/>
      <c r="H164" s="698"/>
      <c r="I164" s="697"/>
      <c r="J164" s="697"/>
      <c r="K164" s="697"/>
      <c r="L164" s="697"/>
      <c r="M164" s="697"/>
      <c r="N164" s="698"/>
      <c r="O164" s="697"/>
      <c r="P164" s="697"/>
      <c r="Q164" s="697"/>
      <c r="R164" s="697"/>
      <c r="S164" s="697"/>
      <c r="T164" s="697"/>
      <c r="U164" s="697"/>
      <c r="V164" s="697"/>
      <c r="W164" s="698"/>
      <c r="X164" s="698"/>
      <c r="Y164" s="697"/>
      <c r="Z164" s="697"/>
      <c r="AA164" s="697"/>
      <c r="AB164" s="697"/>
      <c r="AC164" s="697"/>
    </row>
    <row r="165" spans="1:29" x14ac:dyDescent="0.2">
      <c r="A165" s="694" t="str">
        <f>+Info!$B$2</f>
        <v>724</v>
      </c>
      <c r="B165" s="694" t="s">
        <v>4817</v>
      </c>
      <c r="C165" s="694" t="s">
        <v>4818</v>
      </c>
      <c r="D165" s="695" t="s">
        <v>4819</v>
      </c>
      <c r="E165" s="696"/>
      <c r="F165" s="697"/>
      <c r="G165" s="697"/>
      <c r="H165" s="698"/>
      <c r="I165" s="697"/>
      <c r="J165" s="697"/>
      <c r="K165" s="697"/>
      <c r="L165" s="697"/>
      <c r="M165" s="697"/>
      <c r="N165" s="698"/>
      <c r="O165" s="697"/>
      <c r="P165" s="697"/>
      <c r="Q165" s="697"/>
      <c r="R165" s="697"/>
      <c r="S165" s="697"/>
      <c r="T165" s="697"/>
      <c r="U165" s="697"/>
      <c r="V165" s="697"/>
      <c r="W165" s="698"/>
      <c r="X165" s="698"/>
      <c r="Y165" s="697"/>
      <c r="Z165" s="697"/>
      <c r="AA165" s="697"/>
      <c r="AB165" s="697"/>
      <c r="AC165" s="697"/>
    </row>
    <row r="166" spans="1:29" x14ac:dyDescent="0.2">
      <c r="A166" s="694" t="str">
        <f>+Info!$B$2</f>
        <v>724</v>
      </c>
      <c r="B166" s="694" t="s">
        <v>4820</v>
      </c>
      <c r="C166" s="694" t="s">
        <v>4821</v>
      </c>
      <c r="D166" s="695" t="s">
        <v>4822</v>
      </c>
      <c r="E166" s="696"/>
      <c r="F166" s="697"/>
      <c r="G166" s="697"/>
      <c r="H166" s="698"/>
      <c r="I166" s="697"/>
      <c r="J166" s="697"/>
      <c r="K166" s="697"/>
      <c r="L166" s="697"/>
      <c r="M166" s="697"/>
      <c r="N166" s="698"/>
      <c r="O166" s="697"/>
      <c r="P166" s="697"/>
      <c r="Q166" s="697"/>
      <c r="R166" s="697"/>
      <c r="S166" s="697"/>
      <c r="T166" s="697"/>
      <c r="U166" s="697"/>
      <c r="V166" s="697"/>
      <c r="W166" s="698"/>
      <c r="X166" s="698"/>
      <c r="Y166" s="697"/>
      <c r="Z166" s="697"/>
      <c r="AA166" s="697"/>
      <c r="AB166" s="697"/>
      <c r="AC166" s="697"/>
    </row>
    <row r="167" spans="1:29" x14ac:dyDescent="0.2">
      <c r="A167" s="694" t="str">
        <f>+Info!$B$2</f>
        <v>724</v>
      </c>
      <c r="B167" s="694" t="s">
        <v>4823</v>
      </c>
      <c r="C167" s="694" t="s">
        <v>4824</v>
      </c>
      <c r="D167" s="695" t="s">
        <v>4825</v>
      </c>
      <c r="E167" s="696"/>
      <c r="F167" s="697"/>
      <c r="G167" s="697"/>
      <c r="H167" s="698"/>
      <c r="I167" s="697"/>
      <c r="J167" s="698"/>
      <c r="K167" s="697"/>
      <c r="L167" s="697"/>
      <c r="M167" s="697"/>
      <c r="N167" s="698"/>
      <c r="O167" s="697"/>
      <c r="P167" s="697"/>
      <c r="Q167" s="697"/>
      <c r="R167" s="697"/>
      <c r="S167" s="697"/>
      <c r="T167" s="697"/>
      <c r="U167" s="697"/>
      <c r="V167" s="697"/>
      <c r="W167" s="698"/>
      <c r="X167" s="698"/>
      <c r="Y167" s="697"/>
      <c r="Z167" s="697"/>
      <c r="AA167" s="697"/>
      <c r="AB167" s="697"/>
      <c r="AC167" s="697"/>
    </row>
    <row r="168" spans="1:29" x14ac:dyDescent="0.2">
      <c r="A168" s="694" t="str">
        <f>+Info!$B$2</f>
        <v>724</v>
      </c>
      <c r="B168" s="694" t="s">
        <v>4826</v>
      </c>
      <c r="C168" s="694" t="s">
        <v>4827</v>
      </c>
      <c r="D168" s="695" t="s">
        <v>4828</v>
      </c>
      <c r="E168" s="696"/>
      <c r="F168" s="697"/>
      <c r="G168" s="697"/>
      <c r="H168" s="698"/>
      <c r="I168" s="697"/>
      <c r="J168" s="698"/>
      <c r="K168" s="697"/>
      <c r="L168" s="697"/>
      <c r="M168" s="697"/>
      <c r="N168" s="698"/>
      <c r="O168" s="697"/>
      <c r="P168" s="697"/>
      <c r="Q168" s="697"/>
      <c r="R168" s="697"/>
      <c r="S168" s="697"/>
      <c r="T168" s="697"/>
      <c r="U168" s="697"/>
      <c r="V168" s="697"/>
      <c r="W168" s="698"/>
      <c r="X168" s="698"/>
      <c r="Y168" s="697"/>
      <c r="Z168" s="697"/>
      <c r="AA168" s="697"/>
      <c r="AB168" s="697"/>
      <c r="AC168" s="697"/>
    </row>
    <row r="169" spans="1:29" x14ac:dyDescent="0.2">
      <c r="A169" s="694" t="str">
        <f>+Info!$B$2</f>
        <v>724</v>
      </c>
      <c r="B169" s="694" t="s">
        <v>4829</v>
      </c>
      <c r="C169" s="694" t="s">
        <v>4830</v>
      </c>
      <c r="D169" s="695" t="s">
        <v>4831</v>
      </c>
      <c r="E169" s="696"/>
      <c r="F169" s="697"/>
      <c r="G169" s="697"/>
      <c r="H169" s="698"/>
      <c r="I169" s="697"/>
      <c r="J169" s="698"/>
      <c r="K169" s="697"/>
      <c r="L169" s="697"/>
      <c r="M169" s="697"/>
      <c r="N169" s="698"/>
      <c r="O169" s="697"/>
      <c r="P169" s="697"/>
      <c r="Q169" s="697"/>
      <c r="R169" s="697"/>
      <c r="S169" s="697"/>
      <c r="T169" s="697"/>
      <c r="U169" s="697"/>
      <c r="V169" s="697"/>
      <c r="W169" s="698"/>
      <c r="X169" s="698"/>
      <c r="Y169" s="697"/>
      <c r="Z169" s="697"/>
      <c r="AA169" s="697"/>
      <c r="AB169" s="697"/>
      <c r="AC169" s="697"/>
    </row>
    <row r="170" spans="1:29" x14ac:dyDescent="0.2">
      <c r="A170" s="694" t="str">
        <f>+Info!$B$2</f>
        <v>724</v>
      </c>
      <c r="B170" s="694" t="s">
        <v>4832</v>
      </c>
      <c r="C170" s="694" t="s">
        <v>4833</v>
      </c>
      <c r="D170" s="695" t="s">
        <v>4834</v>
      </c>
      <c r="E170" s="696"/>
      <c r="F170" s="697"/>
      <c r="G170" s="697"/>
      <c r="H170" s="698"/>
      <c r="I170" s="697"/>
      <c r="J170" s="698"/>
      <c r="K170" s="697"/>
      <c r="L170" s="697"/>
      <c r="M170" s="697"/>
      <c r="N170" s="698"/>
      <c r="O170" s="697"/>
      <c r="P170" s="697"/>
      <c r="Q170" s="697"/>
      <c r="R170" s="697"/>
      <c r="S170" s="697"/>
      <c r="T170" s="697"/>
      <c r="U170" s="697"/>
      <c r="V170" s="697"/>
      <c r="W170" s="698"/>
      <c r="X170" s="698"/>
      <c r="Y170" s="697"/>
      <c r="Z170" s="697"/>
      <c r="AA170" s="697"/>
      <c r="AB170" s="697"/>
      <c r="AC170" s="697"/>
    </row>
    <row r="171" spans="1:29" x14ac:dyDescent="0.2">
      <c r="A171" s="694" t="str">
        <f>+Info!$B$2</f>
        <v>724</v>
      </c>
      <c r="B171" s="694" t="s">
        <v>4835</v>
      </c>
      <c r="C171" s="694" t="s">
        <v>4836</v>
      </c>
      <c r="D171" s="695" t="s">
        <v>4837</v>
      </c>
      <c r="E171" s="696"/>
      <c r="F171" s="697"/>
      <c r="G171" s="697"/>
      <c r="H171" s="698"/>
      <c r="I171" s="697"/>
      <c r="J171" s="698"/>
      <c r="K171" s="697"/>
      <c r="L171" s="697"/>
      <c r="M171" s="697"/>
      <c r="N171" s="698"/>
      <c r="O171" s="697"/>
      <c r="P171" s="697"/>
      <c r="Q171" s="697"/>
      <c r="R171" s="697"/>
      <c r="S171" s="697"/>
      <c r="T171" s="697"/>
      <c r="U171" s="697"/>
      <c r="V171" s="697"/>
      <c r="W171" s="698"/>
      <c r="X171" s="698"/>
      <c r="Y171" s="697"/>
      <c r="Z171" s="697"/>
      <c r="AA171" s="697"/>
      <c r="AB171" s="697"/>
      <c r="AC171" s="697"/>
    </row>
    <row r="172" spans="1:29" x14ac:dyDescent="0.2">
      <c r="A172" s="694" t="str">
        <f>+Info!$B$2</f>
        <v>724</v>
      </c>
      <c r="B172" s="694" t="s">
        <v>4838</v>
      </c>
      <c r="C172" s="694" t="s">
        <v>4839</v>
      </c>
      <c r="D172" s="695" t="s">
        <v>4840</v>
      </c>
      <c r="E172" s="696"/>
      <c r="F172" s="697"/>
      <c r="G172" s="697"/>
      <c r="H172" s="698"/>
      <c r="I172" s="697"/>
      <c r="J172" s="698"/>
      <c r="K172" s="697"/>
      <c r="L172" s="697"/>
      <c r="M172" s="697"/>
      <c r="N172" s="698"/>
      <c r="O172" s="697"/>
      <c r="P172" s="697"/>
      <c r="Q172" s="697"/>
      <c r="R172" s="697"/>
      <c r="S172" s="697"/>
      <c r="T172" s="697"/>
      <c r="U172" s="697"/>
      <c r="V172" s="697"/>
      <c r="W172" s="698"/>
      <c r="X172" s="698"/>
      <c r="Y172" s="697"/>
      <c r="Z172" s="697"/>
      <c r="AA172" s="697"/>
      <c r="AB172" s="697"/>
      <c r="AC172" s="697"/>
    </row>
    <row r="173" spans="1:29" ht="15" x14ac:dyDescent="0.25">
      <c r="A173" s="691" t="str">
        <f>+Info!$B$2</f>
        <v>724</v>
      </c>
      <c r="B173" s="691" t="s">
        <v>4841</v>
      </c>
      <c r="C173" s="691" t="s">
        <v>4842</v>
      </c>
      <c r="D173" s="692" t="s">
        <v>4843</v>
      </c>
      <c r="E173" s="693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</row>
    <row r="174" spans="1:29" x14ac:dyDescent="0.2">
      <c r="A174" s="694" t="str">
        <f>+Info!$B$2</f>
        <v>724</v>
      </c>
      <c r="B174" s="694" t="s">
        <v>4844</v>
      </c>
      <c r="C174" s="694" t="s">
        <v>4845</v>
      </c>
      <c r="D174" s="695" t="s">
        <v>4846</v>
      </c>
      <c r="E174" s="696"/>
      <c r="F174" s="697"/>
      <c r="G174" s="697"/>
      <c r="H174" s="698"/>
      <c r="I174" s="697"/>
      <c r="J174" s="697"/>
      <c r="K174" s="697"/>
      <c r="L174" s="697"/>
      <c r="M174" s="697"/>
      <c r="N174" s="698"/>
      <c r="O174" s="697"/>
      <c r="P174" s="697"/>
      <c r="Q174" s="697"/>
      <c r="R174" s="697"/>
      <c r="S174" s="697"/>
      <c r="T174" s="697"/>
      <c r="U174" s="697"/>
      <c r="V174" s="697"/>
      <c r="W174" s="698"/>
      <c r="X174" s="698"/>
      <c r="Y174" s="697"/>
      <c r="Z174" s="697"/>
      <c r="AA174" s="697"/>
      <c r="AB174" s="697"/>
      <c r="AC174" s="697"/>
    </row>
    <row r="175" spans="1:29" x14ac:dyDescent="0.2">
      <c r="A175" s="694" t="str">
        <f>+Info!$B$2</f>
        <v>724</v>
      </c>
      <c r="B175" s="694" t="s">
        <v>4847</v>
      </c>
      <c r="C175" s="694" t="s">
        <v>4848</v>
      </c>
      <c r="D175" s="695" t="s">
        <v>4849</v>
      </c>
      <c r="E175" s="696"/>
      <c r="F175" s="697"/>
      <c r="G175" s="697"/>
      <c r="H175" s="698"/>
      <c r="I175" s="697"/>
      <c r="J175" s="697"/>
      <c r="K175" s="697"/>
      <c r="L175" s="697"/>
      <c r="M175" s="697"/>
      <c r="N175" s="698"/>
      <c r="O175" s="697"/>
      <c r="P175" s="697"/>
      <c r="Q175" s="697"/>
      <c r="R175" s="697"/>
      <c r="S175" s="697"/>
      <c r="T175" s="697"/>
      <c r="U175" s="697"/>
      <c r="V175" s="697"/>
      <c r="W175" s="698"/>
      <c r="X175" s="698"/>
      <c r="Y175" s="697"/>
      <c r="Z175" s="697"/>
      <c r="AA175" s="697"/>
      <c r="AB175" s="697"/>
      <c r="AC175" s="697"/>
    </row>
    <row r="176" spans="1:29" ht="25.5" x14ac:dyDescent="0.2">
      <c r="A176" s="694" t="str">
        <f>+Info!$B$2</f>
        <v>724</v>
      </c>
      <c r="B176" s="694" t="s">
        <v>4850</v>
      </c>
      <c r="C176" s="694" t="s">
        <v>4851</v>
      </c>
      <c r="D176" s="695" t="s">
        <v>4852</v>
      </c>
      <c r="E176" s="696"/>
      <c r="F176" s="697"/>
      <c r="G176" s="697"/>
      <c r="H176" s="698"/>
      <c r="I176" s="697"/>
      <c r="J176" s="697"/>
      <c r="K176" s="697"/>
      <c r="L176" s="697"/>
      <c r="M176" s="697"/>
      <c r="N176" s="698"/>
      <c r="O176" s="697"/>
      <c r="P176" s="697"/>
      <c r="Q176" s="697"/>
      <c r="R176" s="697"/>
      <c r="S176" s="697"/>
      <c r="T176" s="697"/>
      <c r="U176" s="697"/>
      <c r="V176" s="697"/>
      <c r="W176" s="698"/>
      <c r="X176" s="698"/>
      <c r="Y176" s="697"/>
      <c r="Z176" s="697"/>
      <c r="AA176" s="697"/>
      <c r="AB176" s="697"/>
      <c r="AC176" s="697"/>
    </row>
    <row r="177" spans="1:29" x14ac:dyDescent="0.2">
      <c r="A177" s="694" t="str">
        <f>+Info!$B$2</f>
        <v>724</v>
      </c>
      <c r="B177" s="694" t="s">
        <v>4853</v>
      </c>
      <c r="C177" s="694" t="s">
        <v>4854</v>
      </c>
      <c r="D177" s="695" t="s">
        <v>4855</v>
      </c>
      <c r="E177" s="696"/>
      <c r="F177" s="697"/>
      <c r="G177" s="697"/>
      <c r="H177" s="698"/>
      <c r="I177" s="697"/>
      <c r="J177" s="697"/>
      <c r="K177" s="697"/>
      <c r="L177" s="697"/>
      <c r="M177" s="697"/>
      <c r="N177" s="698"/>
      <c r="O177" s="697"/>
      <c r="P177" s="697"/>
      <c r="Q177" s="697"/>
      <c r="R177" s="697"/>
      <c r="S177" s="697"/>
      <c r="T177" s="697"/>
      <c r="U177" s="697"/>
      <c r="V177" s="697"/>
      <c r="W177" s="698"/>
      <c r="X177" s="698"/>
      <c r="Y177" s="697"/>
      <c r="Z177" s="697"/>
      <c r="AA177" s="697"/>
      <c r="AB177" s="697"/>
      <c r="AC177" s="697"/>
    </row>
    <row r="178" spans="1:29" ht="25.5" x14ac:dyDescent="0.2">
      <c r="A178" s="694" t="str">
        <f>+Info!$B$2</f>
        <v>724</v>
      </c>
      <c r="B178" s="694" t="s">
        <v>4856</v>
      </c>
      <c r="C178" s="694" t="s">
        <v>4857</v>
      </c>
      <c r="D178" s="695" t="s">
        <v>4858</v>
      </c>
      <c r="E178" s="696"/>
      <c r="F178" s="697"/>
      <c r="G178" s="697"/>
      <c r="H178" s="698"/>
      <c r="I178" s="697"/>
      <c r="J178" s="697"/>
      <c r="K178" s="697"/>
      <c r="L178" s="697"/>
      <c r="M178" s="697"/>
      <c r="N178" s="698"/>
      <c r="O178" s="697"/>
      <c r="P178" s="697"/>
      <c r="Q178" s="697"/>
      <c r="R178" s="697"/>
      <c r="S178" s="697"/>
      <c r="T178" s="697"/>
      <c r="U178" s="697"/>
      <c r="V178" s="697"/>
      <c r="W178" s="698"/>
      <c r="X178" s="698"/>
      <c r="Y178" s="697"/>
      <c r="Z178" s="697"/>
      <c r="AA178" s="697"/>
      <c r="AB178" s="697"/>
      <c r="AC178" s="697"/>
    </row>
    <row r="179" spans="1:29" x14ac:dyDescent="0.2">
      <c r="A179" s="694" t="str">
        <f>+Info!$B$2</f>
        <v>724</v>
      </c>
      <c r="B179" s="694" t="s">
        <v>4859</v>
      </c>
      <c r="C179" s="694" t="s">
        <v>4860</v>
      </c>
      <c r="D179" s="695" t="s">
        <v>4861</v>
      </c>
      <c r="E179" s="696"/>
      <c r="F179" s="697"/>
      <c r="G179" s="697"/>
      <c r="H179" s="698"/>
      <c r="I179" s="697"/>
      <c r="J179" s="698"/>
      <c r="K179" s="697"/>
      <c r="L179" s="697"/>
      <c r="M179" s="697"/>
      <c r="N179" s="698"/>
      <c r="O179" s="697"/>
      <c r="P179" s="697"/>
      <c r="Q179" s="697"/>
      <c r="R179" s="697"/>
      <c r="S179" s="697"/>
      <c r="T179" s="697"/>
      <c r="U179" s="697"/>
      <c r="V179" s="697"/>
      <c r="W179" s="698"/>
      <c r="X179" s="698"/>
      <c r="Y179" s="697"/>
      <c r="Z179" s="697"/>
      <c r="AA179" s="697"/>
      <c r="AB179" s="697"/>
      <c r="AC179" s="697"/>
    </row>
    <row r="180" spans="1:29" x14ac:dyDescent="0.2">
      <c r="A180" s="694" t="str">
        <f>+Info!$B$2</f>
        <v>724</v>
      </c>
      <c r="B180" s="694" t="s">
        <v>4862</v>
      </c>
      <c r="C180" s="694" t="s">
        <v>4863</v>
      </c>
      <c r="D180" s="695" t="s">
        <v>4864</v>
      </c>
      <c r="E180" s="696"/>
      <c r="F180" s="697"/>
      <c r="G180" s="697"/>
      <c r="H180" s="698"/>
      <c r="I180" s="697"/>
      <c r="J180" s="698"/>
      <c r="K180" s="697"/>
      <c r="L180" s="697"/>
      <c r="M180" s="697"/>
      <c r="N180" s="698"/>
      <c r="O180" s="697"/>
      <c r="P180" s="697"/>
      <c r="Q180" s="697"/>
      <c r="R180" s="697"/>
      <c r="S180" s="697"/>
      <c r="T180" s="697"/>
      <c r="U180" s="697"/>
      <c r="V180" s="697"/>
      <c r="W180" s="698"/>
      <c r="X180" s="698"/>
      <c r="Y180" s="697"/>
      <c r="Z180" s="697"/>
      <c r="AA180" s="697"/>
      <c r="AB180" s="697"/>
      <c r="AC180" s="697"/>
    </row>
    <row r="181" spans="1:29" x14ac:dyDescent="0.2">
      <c r="A181" s="694" t="str">
        <f>+Info!$B$2</f>
        <v>724</v>
      </c>
      <c r="B181" s="694" t="s">
        <v>4865</v>
      </c>
      <c r="C181" s="694" t="s">
        <v>4866</v>
      </c>
      <c r="D181" s="695" t="s">
        <v>4867</v>
      </c>
      <c r="E181" s="696"/>
      <c r="F181" s="697"/>
      <c r="G181" s="697"/>
      <c r="H181" s="698"/>
      <c r="I181" s="697"/>
      <c r="J181" s="698"/>
      <c r="K181" s="697"/>
      <c r="L181" s="697"/>
      <c r="M181" s="697"/>
      <c r="N181" s="698"/>
      <c r="O181" s="697"/>
      <c r="P181" s="697"/>
      <c r="Q181" s="697"/>
      <c r="R181" s="697"/>
      <c r="S181" s="697"/>
      <c r="T181" s="697"/>
      <c r="U181" s="697"/>
      <c r="V181" s="697"/>
      <c r="W181" s="698"/>
      <c r="X181" s="698"/>
      <c r="Y181" s="697"/>
      <c r="Z181" s="697"/>
      <c r="AA181" s="697"/>
      <c r="AB181" s="697"/>
      <c r="AC181" s="697"/>
    </row>
    <row r="182" spans="1:29" ht="25.5" x14ac:dyDescent="0.2">
      <c r="A182" s="694" t="str">
        <f>+Info!$B$2</f>
        <v>724</v>
      </c>
      <c r="B182" s="694" t="s">
        <v>4868</v>
      </c>
      <c r="C182" s="694" t="s">
        <v>4869</v>
      </c>
      <c r="D182" s="695" t="s">
        <v>4870</v>
      </c>
      <c r="E182" s="696"/>
      <c r="F182" s="697"/>
      <c r="G182" s="697"/>
      <c r="H182" s="698"/>
      <c r="I182" s="697"/>
      <c r="J182" s="698"/>
      <c r="K182" s="697"/>
      <c r="L182" s="697"/>
      <c r="M182" s="697"/>
      <c r="N182" s="698"/>
      <c r="O182" s="697"/>
      <c r="P182" s="697"/>
      <c r="Q182" s="697"/>
      <c r="R182" s="697"/>
      <c r="S182" s="697"/>
      <c r="T182" s="697"/>
      <c r="U182" s="697"/>
      <c r="V182" s="697"/>
      <c r="W182" s="698"/>
      <c r="X182" s="698"/>
      <c r="Y182" s="697"/>
      <c r="Z182" s="697"/>
      <c r="AA182" s="697"/>
      <c r="AB182" s="697"/>
      <c r="AC182" s="697"/>
    </row>
    <row r="183" spans="1:29" ht="25.5" x14ac:dyDescent="0.2">
      <c r="A183" s="694" t="str">
        <f>+Info!$B$2</f>
        <v>724</v>
      </c>
      <c r="B183" s="694" t="s">
        <v>4871</v>
      </c>
      <c r="C183" s="694" t="s">
        <v>4872</v>
      </c>
      <c r="D183" s="695" t="s">
        <v>4873</v>
      </c>
      <c r="E183" s="696"/>
      <c r="F183" s="697"/>
      <c r="G183" s="697"/>
      <c r="H183" s="698"/>
      <c r="I183" s="697"/>
      <c r="J183" s="698"/>
      <c r="K183" s="697"/>
      <c r="L183" s="697"/>
      <c r="M183" s="697"/>
      <c r="N183" s="698"/>
      <c r="O183" s="697"/>
      <c r="P183" s="697"/>
      <c r="Q183" s="697"/>
      <c r="R183" s="697"/>
      <c r="S183" s="697"/>
      <c r="T183" s="697"/>
      <c r="U183" s="697"/>
      <c r="V183" s="697"/>
      <c r="W183" s="698"/>
      <c r="X183" s="698"/>
      <c r="Y183" s="697"/>
      <c r="Z183" s="697"/>
      <c r="AA183" s="697"/>
      <c r="AB183" s="697"/>
      <c r="AC183" s="697"/>
    </row>
    <row r="184" spans="1:29" ht="15" x14ac:dyDescent="0.25">
      <c r="A184" s="691" t="str">
        <f>+Info!$B$2</f>
        <v>724</v>
      </c>
      <c r="B184" s="691" t="s">
        <v>4874</v>
      </c>
      <c r="C184" s="691" t="s">
        <v>4875</v>
      </c>
      <c r="D184" s="692" t="s">
        <v>4876</v>
      </c>
      <c r="E184" s="693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</row>
    <row r="185" spans="1:29" x14ac:dyDescent="0.2">
      <c r="A185" s="694" t="str">
        <f>+Info!$B$2</f>
        <v>724</v>
      </c>
      <c r="B185" s="694" t="s">
        <v>4877</v>
      </c>
      <c r="C185" s="694" t="s">
        <v>4878</v>
      </c>
      <c r="D185" s="695" t="s">
        <v>4879</v>
      </c>
      <c r="E185" s="696"/>
      <c r="F185" s="697"/>
      <c r="G185" s="697"/>
      <c r="H185" s="698"/>
      <c r="I185" s="697"/>
      <c r="J185" s="697"/>
      <c r="K185" s="697"/>
      <c r="L185" s="697"/>
      <c r="M185" s="697"/>
      <c r="N185" s="698"/>
      <c r="O185" s="697"/>
      <c r="P185" s="697"/>
      <c r="Q185" s="697"/>
      <c r="R185" s="697"/>
      <c r="S185" s="697"/>
      <c r="T185" s="697"/>
      <c r="U185" s="697"/>
      <c r="V185" s="697"/>
      <c r="W185" s="698"/>
      <c r="X185" s="698"/>
      <c r="Y185" s="697"/>
      <c r="Z185" s="697"/>
      <c r="AA185" s="697"/>
      <c r="AB185" s="697"/>
      <c r="AC185" s="697"/>
    </row>
    <row r="186" spans="1:29" x14ac:dyDescent="0.2">
      <c r="A186" s="694" t="str">
        <f>+Info!$B$2</f>
        <v>724</v>
      </c>
      <c r="B186" s="694" t="s">
        <v>4880</v>
      </c>
      <c r="C186" s="694" t="s">
        <v>4881</v>
      </c>
      <c r="D186" s="695" t="s">
        <v>4882</v>
      </c>
      <c r="E186" s="696"/>
      <c r="F186" s="697"/>
      <c r="G186" s="697"/>
      <c r="H186" s="698"/>
      <c r="I186" s="697"/>
      <c r="J186" s="697"/>
      <c r="K186" s="697"/>
      <c r="L186" s="697"/>
      <c r="M186" s="697"/>
      <c r="N186" s="698"/>
      <c r="O186" s="697"/>
      <c r="P186" s="697"/>
      <c r="Q186" s="697"/>
      <c r="R186" s="697"/>
      <c r="S186" s="697"/>
      <c r="T186" s="697"/>
      <c r="U186" s="697"/>
      <c r="V186" s="697"/>
      <c r="W186" s="698"/>
      <c r="X186" s="698"/>
      <c r="Y186" s="697"/>
      <c r="Z186" s="697"/>
      <c r="AA186" s="697"/>
      <c r="AB186" s="697"/>
      <c r="AC186" s="697"/>
    </row>
    <row r="187" spans="1:29" x14ac:dyDescent="0.2">
      <c r="A187" s="694" t="str">
        <f>+Info!$B$2</f>
        <v>724</v>
      </c>
      <c r="B187" s="694" t="s">
        <v>4883</v>
      </c>
      <c r="C187" s="694" t="s">
        <v>4884</v>
      </c>
      <c r="D187" s="695" t="s">
        <v>4885</v>
      </c>
      <c r="E187" s="696"/>
      <c r="F187" s="697"/>
      <c r="G187" s="697"/>
      <c r="H187" s="698"/>
      <c r="I187" s="697"/>
      <c r="J187" s="697"/>
      <c r="K187" s="697"/>
      <c r="L187" s="697"/>
      <c r="M187" s="697"/>
      <c r="N187" s="698"/>
      <c r="O187" s="697"/>
      <c r="P187" s="697"/>
      <c r="Q187" s="697"/>
      <c r="R187" s="697"/>
      <c r="S187" s="697"/>
      <c r="T187" s="697"/>
      <c r="U187" s="697"/>
      <c r="V187" s="697"/>
      <c r="W187" s="698"/>
      <c r="X187" s="698"/>
      <c r="Y187" s="697"/>
      <c r="Z187" s="697"/>
      <c r="AA187" s="697"/>
      <c r="AB187" s="697"/>
      <c r="AC187" s="697"/>
    </row>
    <row r="188" spans="1:29" x14ac:dyDescent="0.2">
      <c r="A188" s="694" t="str">
        <f>+Info!$B$2</f>
        <v>724</v>
      </c>
      <c r="B188" s="694" t="s">
        <v>4886</v>
      </c>
      <c r="C188" s="694" t="s">
        <v>4887</v>
      </c>
      <c r="D188" s="695" t="s">
        <v>4888</v>
      </c>
      <c r="E188" s="696"/>
      <c r="F188" s="697"/>
      <c r="G188" s="697"/>
      <c r="H188" s="698"/>
      <c r="I188" s="697"/>
      <c r="J188" s="697"/>
      <c r="K188" s="697"/>
      <c r="L188" s="697"/>
      <c r="M188" s="697"/>
      <c r="N188" s="698"/>
      <c r="O188" s="697"/>
      <c r="P188" s="697"/>
      <c r="Q188" s="697"/>
      <c r="R188" s="697"/>
      <c r="S188" s="697"/>
      <c r="T188" s="697"/>
      <c r="U188" s="697"/>
      <c r="V188" s="697"/>
      <c r="W188" s="698"/>
      <c r="X188" s="698"/>
      <c r="Y188" s="697"/>
      <c r="Z188" s="697"/>
      <c r="AA188" s="697"/>
      <c r="AB188" s="697"/>
      <c r="AC188" s="697"/>
    </row>
    <row r="189" spans="1:29" x14ac:dyDescent="0.2">
      <c r="A189" s="694" t="str">
        <f>+Info!$B$2</f>
        <v>724</v>
      </c>
      <c r="B189" s="694" t="s">
        <v>4889</v>
      </c>
      <c r="C189" s="694" t="s">
        <v>4890</v>
      </c>
      <c r="D189" s="695" t="s">
        <v>4891</v>
      </c>
      <c r="E189" s="696"/>
      <c r="F189" s="697"/>
      <c r="G189" s="697"/>
      <c r="H189" s="698"/>
      <c r="I189" s="697"/>
      <c r="J189" s="697"/>
      <c r="K189" s="697"/>
      <c r="L189" s="697"/>
      <c r="M189" s="697"/>
      <c r="N189" s="698"/>
      <c r="O189" s="697"/>
      <c r="P189" s="697"/>
      <c r="Q189" s="697"/>
      <c r="R189" s="697"/>
      <c r="S189" s="697"/>
      <c r="T189" s="697"/>
      <c r="U189" s="697"/>
      <c r="V189" s="697"/>
      <c r="W189" s="698"/>
      <c r="X189" s="698"/>
      <c r="Y189" s="697"/>
      <c r="Z189" s="697"/>
      <c r="AA189" s="697"/>
      <c r="AB189" s="697"/>
      <c r="AC189" s="697"/>
    </row>
    <row r="190" spans="1:29" x14ac:dyDescent="0.2">
      <c r="A190" s="694" t="str">
        <f>+Info!$B$2</f>
        <v>724</v>
      </c>
      <c r="B190" s="694" t="s">
        <v>4892</v>
      </c>
      <c r="C190" s="694" t="s">
        <v>4893</v>
      </c>
      <c r="D190" s="695" t="s">
        <v>4894</v>
      </c>
      <c r="E190" s="696"/>
      <c r="F190" s="697"/>
      <c r="G190" s="697"/>
      <c r="H190" s="698"/>
      <c r="I190" s="697"/>
      <c r="J190" s="697"/>
      <c r="K190" s="697"/>
      <c r="L190" s="697"/>
      <c r="M190" s="697"/>
      <c r="N190" s="698"/>
      <c r="O190" s="697"/>
      <c r="P190" s="697"/>
      <c r="Q190" s="697"/>
      <c r="R190" s="697"/>
      <c r="S190" s="697"/>
      <c r="T190" s="697"/>
      <c r="U190" s="697"/>
      <c r="V190" s="697"/>
      <c r="W190" s="698"/>
      <c r="X190" s="698"/>
      <c r="Y190" s="697"/>
      <c r="Z190" s="697"/>
      <c r="AA190" s="697"/>
      <c r="AB190" s="697"/>
      <c r="AC190" s="697"/>
    </row>
    <row r="191" spans="1:29" x14ac:dyDescent="0.2">
      <c r="A191" s="694" t="str">
        <f>+Info!$B$2</f>
        <v>724</v>
      </c>
      <c r="B191" s="694" t="s">
        <v>4895</v>
      </c>
      <c r="C191" s="694" t="s">
        <v>4896</v>
      </c>
      <c r="D191" s="695" t="s">
        <v>4897</v>
      </c>
      <c r="E191" s="696"/>
      <c r="F191" s="697"/>
      <c r="G191" s="697"/>
      <c r="H191" s="698"/>
      <c r="I191" s="697"/>
      <c r="J191" s="698"/>
      <c r="K191" s="697"/>
      <c r="L191" s="697"/>
      <c r="M191" s="697"/>
      <c r="N191" s="698"/>
      <c r="O191" s="697"/>
      <c r="P191" s="697"/>
      <c r="Q191" s="697"/>
      <c r="R191" s="697"/>
      <c r="S191" s="697"/>
      <c r="T191" s="697"/>
      <c r="U191" s="697"/>
      <c r="V191" s="697"/>
      <c r="W191" s="698"/>
      <c r="X191" s="698"/>
      <c r="Y191" s="697"/>
      <c r="Z191" s="697"/>
      <c r="AA191" s="697"/>
      <c r="AB191" s="697"/>
      <c r="AC191" s="697"/>
    </row>
    <row r="192" spans="1:29" x14ac:dyDescent="0.2">
      <c r="A192" s="694" t="str">
        <f>+Info!$B$2</f>
        <v>724</v>
      </c>
      <c r="B192" s="694" t="s">
        <v>4898</v>
      </c>
      <c r="C192" s="694" t="s">
        <v>4899</v>
      </c>
      <c r="D192" s="695" t="s">
        <v>4900</v>
      </c>
      <c r="E192" s="696"/>
      <c r="F192" s="697"/>
      <c r="G192" s="697"/>
      <c r="H192" s="698"/>
      <c r="I192" s="697"/>
      <c r="J192" s="698"/>
      <c r="K192" s="697"/>
      <c r="L192" s="697"/>
      <c r="M192" s="697"/>
      <c r="N192" s="698"/>
      <c r="O192" s="697"/>
      <c r="P192" s="697"/>
      <c r="Q192" s="697"/>
      <c r="R192" s="697"/>
      <c r="S192" s="697"/>
      <c r="T192" s="697"/>
      <c r="U192" s="697"/>
      <c r="V192" s="697"/>
      <c r="W192" s="698"/>
      <c r="X192" s="698"/>
      <c r="Y192" s="697"/>
      <c r="Z192" s="697"/>
      <c r="AA192" s="697"/>
      <c r="AB192" s="697"/>
      <c r="AC192" s="697"/>
    </row>
    <row r="193" spans="1:29" x14ac:dyDescent="0.2">
      <c r="A193" s="694" t="str">
        <f>+Info!$B$2</f>
        <v>724</v>
      </c>
      <c r="B193" s="694" t="s">
        <v>4901</v>
      </c>
      <c r="C193" s="694" t="s">
        <v>4902</v>
      </c>
      <c r="D193" s="695" t="s">
        <v>4903</v>
      </c>
      <c r="E193" s="696"/>
      <c r="F193" s="697"/>
      <c r="G193" s="697"/>
      <c r="H193" s="698"/>
      <c r="I193" s="697"/>
      <c r="J193" s="698"/>
      <c r="K193" s="697"/>
      <c r="L193" s="697"/>
      <c r="M193" s="697"/>
      <c r="N193" s="698"/>
      <c r="O193" s="697"/>
      <c r="P193" s="697"/>
      <c r="Q193" s="697"/>
      <c r="R193" s="697"/>
      <c r="S193" s="697"/>
      <c r="T193" s="697"/>
      <c r="U193" s="697"/>
      <c r="V193" s="697"/>
      <c r="W193" s="698"/>
      <c r="X193" s="698"/>
      <c r="Y193" s="697"/>
      <c r="Z193" s="697"/>
      <c r="AA193" s="697"/>
      <c r="AB193" s="697"/>
      <c r="AC193" s="697"/>
    </row>
    <row r="194" spans="1:29" x14ac:dyDescent="0.2">
      <c r="A194" s="694" t="str">
        <f>+Info!$B$2</f>
        <v>724</v>
      </c>
      <c r="B194" s="694" t="s">
        <v>4904</v>
      </c>
      <c r="C194" s="694" t="s">
        <v>4905</v>
      </c>
      <c r="D194" s="695" t="s">
        <v>4906</v>
      </c>
      <c r="E194" s="696"/>
      <c r="F194" s="697"/>
      <c r="G194" s="697"/>
      <c r="H194" s="698"/>
      <c r="I194" s="697"/>
      <c r="J194" s="698"/>
      <c r="K194" s="697"/>
      <c r="L194" s="697"/>
      <c r="M194" s="697"/>
      <c r="N194" s="698"/>
      <c r="O194" s="697"/>
      <c r="P194" s="697"/>
      <c r="Q194" s="697"/>
      <c r="R194" s="697"/>
      <c r="S194" s="697"/>
      <c r="T194" s="697"/>
      <c r="U194" s="697"/>
      <c r="V194" s="697"/>
      <c r="W194" s="698"/>
      <c r="X194" s="698"/>
      <c r="Y194" s="697"/>
      <c r="Z194" s="697"/>
      <c r="AA194" s="697"/>
      <c r="AB194" s="697"/>
      <c r="AC194" s="697"/>
    </row>
    <row r="195" spans="1:29" x14ac:dyDescent="0.2">
      <c r="A195" s="694" t="str">
        <f>+Info!$B$2</f>
        <v>724</v>
      </c>
      <c r="B195" s="694" t="s">
        <v>4907</v>
      </c>
      <c r="C195" s="694" t="s">
        <v>4908</v>
      </c>
      <c r="D195" s="695" t="s">
        <v>4909</v>
      </c>
      <c r="E195" s="696"/>
      <c r="F195" s="697"/>
      <c r="G195" s="697"/>
      <c r="H195" s="698"/>
      <c r="I195" s="697"/>
      <c r="J195" s="698"/>
      <c r="K195" s="697"/>
      <c r="L195" s="697"/>
      <c r="M195" s="697"/>
      <c r="N195" s="698"/>
      <c r="O195" s="697"/>
      <c r="P195" s="697"/>
      <c r="Q195" s="697"/>
      <c r="R195" s="697"/>
      <c r="S195" s="697"/>
      <c r="T195" s="697"/>
      <c r="U195" s="697"/>
      <c r="V195" s="697"/>
      <c r="W195" s="698"/>
      <c r="X195" s="698"/>
      <c r="Y195" s="697"/>
      <c r="Z195" s="697"/>
      <c r="AA195" s="697"/>
      <c r="AB195" s="697"/>
      <c r="AC195" s="697"/>
    </row>
    <row r="196" spans="1:29" x14ac:dyDescent="0.2">
      <c r="A196" s="694" t="str">
        <f>+Info!$B$2</f>
        <v>724</v>
      </c>
      <c r="B196" s="694" t="s">
        <v>4910</v>
      </c>
      <c r="C196" s="694" t="s">
        <v>4911</v>
      </c>
      <c r="D196" s="695" t="s">
        <v>4912</v>
      </c>
      <c r="E196" s="696"/>
      <c r="F196" s="697"/>
      <c r="G196" s="697"/>
      <c r="H196" s="698"/>
      <c r="I196" s="697"/>
      <c r="J196" s="698"/>
      <c r="K196" s="697"/>
      <c r="L196" s="697"/>
      <c r="M196" s="697"/>
      <c r="N196" s="698"/>
      <c r="O196" s="697"/>
      <c r="P196" s="697"/>
      <c r="Q196" s="697"/>
      <c r="R196" s="697"/>
      <c r="S196" s="697"/>
      <c r="T196" s="697"/>
      <c r="U196" s="697"/>
      <c r="V196" s="697"/>
      <c r="W196" s="698"/>
      <c r="X196" s="698"/>
      <c r="Y196" s="697"/>
      <c r="Z196" s="697"/>
      <c r="AA196" s="697"/>
      <c r="AB196" s="697"/>
      <c r="AC196" s="697"/>
    </row>
    <row r="197" spans="1:29" ht="25.5" x14ac:dyDescent="0.2">
      <c r="A197" s="694" t="str">
        <f>+Info!$B$2</f>
        <v>724</v>
      </c>
      <c r="B197" s="694" t="s">
        <v>4913</v>
      </c>
      <c r="C197" s="694" t="s">
        <v>4914</v>
      </c>
      <c r="D197" s="695" t="s">
        <v>4915</v>
      </c>
      <c r="E197" s="696"/>
      <c r="F197" s="697"/>
      <c r="G197" s="697"/>
      <c r="H197" s="698"/>
      <c r="I197" s="697"/>
      <c r="J197" s="697"/>
      <c r="K197" s="697"/>
      <c r="L197" s="697"/>
      <c r="M197" s="697"/>
      <c r="N197" s="698"/>
      <c r="O197" s="697"/>
      <c r="P197" s="697"/>
      <c r="Q197" s="697"/>
      <c r="R197" s="697"/>
      <c r="S197" s="697"/>
      <c r="T197" s="697"/>
      <c r="U197" s="697"/>
      <c r="V197" s="697"/>
      <c r="W197" s="698"/>
      <c r="X197" s="698"/>
      <c r="Y197" s="697"/>
      <c r="Z197" s="697"/>
      <c r="AA197" s="697"/>
      <c r="AB197" s="697"/>
      <c r="AC197" s="697"/>
    </row>
    <row r="198" spans="1:29" ht="25.5" x14ac:dyDescent="0.2">
      <c r="A198" s="694" t="str">
        <f>+Info!$B$2</f>
        <v>724</v>
      </c>
      <c r="B198" s="694" t="s">
        <v>4916</v>
      </c>
      <c r="C198" s="694" t="s">
        <v>4917</v>
      </c>
      <c r="D198" s="695" t="s">
        <v>4918</v>
      </c>
      <c r="E198" s="696"/>
      <c r="F198" s="697"/>
      <c r="G198" s="697"/>
      <c r="H198" s="698"/>
      <c r="I198" s="697"/>
      <c r="J198" s="697"/>
      <c r="K198" s="697"/>
      <c r="L198" s="697"/>
      <c r="M198" s="697"/>
      <c r="N198" s="698"/>
      <c r="O198" s="697"/>
      <c r="P198" s="697"/>
      <c r="Q198" s="697"/>
      <c r="R198" s="697"/>
      <c r="S198" s="697"/>
      <c r="T198" s="697"/>
      <c r="U198" s="697"/>
      <c r="V198" s="697"/>
      <c r="W198" s="698"/>
      <c r="X198" s="698"/>
      <c r="Y198" s="697"/>
      <c r="Z198" s="697"/>
      <c r="AA198" s="697"/>
      <c r="AB198" s="697"/>
      <c r="AC198" s="697"/>
    </row>
    <row r="199" spans="1:29" ht="25.5" x14ac:dyDescent="0.2">
      <c r="A199" s="694" t="str">
        <f>+Info!$B$2</f>
        <v>724</v>
      </c>
      <c r="B199" s="694" t="s">
        <v>4919</v>
      </c>
      <c r="C199" s="694" t="s">
        <v>4920</v>
      </c>
      <c r="D199" s="695" t="s">
        <v>4921</v>
      </c>
      <c r="E199" s="696"/>
      <c r="F199" s="697"/>
      <c r="G199" s="697"/>
      <c r="H199" s="698"/>
      <c r="I199" s="697"/>
      <c r="J199" s="697"/>
      <c r="K199" s="697"/>
      <c r="L199" s="697"/>
      <c r="M199" s="697"/>
      <c r="N199" s="698"/>
      <c r="O199" s="697"/>
      <c r="P199" s="697"/>
      <c r="Q199" s="697"/>
      <c r="R199" s="697"/>
      <c r="S199" s="697"/>
      <c r="T199" s="697"/>
      <c r="U199" s="697"/>
      <c r="V199" s="697"/>
      <c r="W199" s="698"/>
      <c r="X199" s="698"/>
      <c r="Y199" s="697"/>
      <c r="Z199" s="697"/>
      <c r="AA199" s="697"/>
      <c r="AB199" s="697"/>
      <c r="AC199" s="697"/>
    </row>
    <row r="200" spans="1:29" ht="25.5" x14ac:dyDescent="0.2">
      <c r="A200" s="694" t="str">
        <f>+Info!$B$2</f>
        <v>724</v>
      </c>
      <c r="B200" s="694" t="s">
        <v>4922</v>
      </c>
      <c r="C200" s="694" t="s">
        <v>4923</v>
      </c>
      <c r="D200" s="695" t="s">
        <v>4924</v>
      </c>
      <c r="E200" s="696"/>
      <c r="F200" s="697"/>
      <c r="G200" s="697"/>
      <c r="H200" s="698"/>
      <c r="I200" s="697"/>
      <c r="J200" s="697"/>
      <c r="K200" s="697"/>
      <c r="L200" s="697"/>
      <c r="M200" s="697"/>
      <c r="N200" s="698"/>
      <c r="O200" s="697"/>
      <c r="P200" s="697"/>
      <c r="Q200" s="697"/>
      <c r="R200" s="697"/>
      <c r="S200" s="697"/>
      <c r="T200" s="697"/>
      <c r="U200" s="697"/>
      <c r="V200" s="697"/>
      <c r="W200" s="698"/>
      <c r="X200" s="698"/>
      <c r="Y200" s="697"/>
      <c r="Z200" s="697"/>
      <c r="AA200" s="697"/>
      <c r="AB200" s="697"/>
      <c r="AC200" s="697"/>
    </row>
    <row r="201" spans="1:29" x14ac:dyDescent="0.2">
      <c r="A201" s="694" t="str">
        <f>+Info!$B$2</f>
        <v>724</v>
      </c>
      <c r="B201" s="694" t="s">
        <v>4925</v>
      </c>
      <c r="C201" s="694" t="s">
        <v>4926</v>
      </c>
      <c r="D201" s="695" t="s">
        <v>4927</v>
      </c>
      <c r="E201" s="696"/>
      <c r="F201" s="697"/>
      <c r="G201" s="697"/>
      <c r="H201" s="698"/>
      <c r="I201" s="697"/>
      <c r="J201" s="697"/>
      <c r="K201" s="697"/>
      <c r="L201" s="697"/>
      <c r="M201" s="697"/>
      <c r="N201" s="698"/>
      <c r="O201" s="697"/>
      <c r="P201" s="697"/>
      <c r="Q201" s="697"/>
      <c r="R201" s="697"/>
      <c r="S201" s="697"/>
      <c r="T201" s="697"/>
      <c r="U201" s="697"/>
      <c r="V201" s="697"/>
      <c r="W201" s="698"/>
      <c r="X201" s="698"/>
      <c r="Y201" s="697"/>
      <c r="Z201" s="697"/>
      <c r="AA201" s="697"/>
      <c r="AB201" s="697"/>
      <c r="AC201" s="697"/>
    </row>
    <row r="202" spans="1:29" x14ac:dyDescent="0.2">
      <c r="A202" s="694" t="str">
        <f>+Info!$B$2</f>
        <v>724</v>
      </c>
      <c r="B202" s="694" t="s">
        <v>4928</v>
      </c>
      <c r="C202" s="694" t="s">
        <v>4929</v>
      </c>
      <c r="D202" s="695" t="s">
        <v>4930</v>
      </c>
      <c r="E202" s="696"/>
      <c r="F202" s="697"/>
      <c r="G202" s="697"/>
      <c r="H202" s="698"/>
      <c r="I202" s="697"/>
      <c r="J202" s="698"/>
      <c r="K202" s="697"/>
      <c r="L202" s="697"/>
      <c r="M202" s="697"/>
      <c r="N202" s="698"/>
      <c r="O202" s="697"/>
      <c r="P202" s="697"/>
      <c r="Q202" s="697"/>
      <c r="R202" s="697"/>
      <c r="S202" s="697"/>
      <c r="T202" s="697"/>
      <c r="U202" s="697"/>
      <c r="V202" s="697"/>
      <c r="W202" s="698"/>
      <c r="X202" s="698"/>
      <c r="Y202" s="697"/>
      <c r="Z202" s="697"/>
      <c r="AA202" s="697"/>
      <c r="AB202" s="697"/>
      <c r="AC202" s="697"/>
    </row>
    <row r="203" spans="1:29" x14ac:dyDescent="0.2">
      <c r="A203" s="694" t="str">
        <f>+Info!$B$2</f>
        <v>724</v>
      </c>
      <c r="B203" s="694" t="s">
        <v>4931</v>
      </c>
      <c r="C203" s="694" t="s">
        <v>4932</v>
      </c>
      <c r="D203" s="695" t="s">
        <v>4933</v>
      </c>
      <c r="E203" s="696"/>
      <c r="F203" s="697"/>
      <c r="G203" s="697"/>
      <c r="H203" s="698"/>
      <c r="I203" s="697"/>
      <c r="J203" s="698"/>
      <c r="K203" s="697"/>
      <c r="L203" s="697"/>
      <c r="M203" s="697"/>
      <c r="N203" s="698"/>
      <c r="O203" s="697"/>
      <c r="P203" s="697"/>
      <c r="Q203" s="697"/>
      <c r="R203" s="697"/>
      <c r="S203" s="697"/>
      <c r="T203" s="697"/>
      <c r="U203" s="697"/>
      <c r="V203" s="697"/>
      <c r="W203" s="698"/>
      <c r="X203" s="698"/>
      <c r="Y203" s="697"/>
      <c r="Z203" s="697"/>
      <c r="AA203" s="697"/>
      <c r="AB203" s="697"/>
      <c r="AC203" s="697"/>
    </row>
    <row r="204" spans="1:29" x14ac:dyDescent="0.2">
      <c r="A204" s="694" t="str">
        <f>+Info!$B$2</f>
        <v>724</v>
      </c>
      <c r="B204" s="694" t="s">
        <v>4934</v>
      </c>
      <c r="C204" s="694" t="s">
        <v>4935</v>
      </c>
      <c r="D204" s="695" t="s">
        <v>4936</v>
      </c>
      <c r="E204" s="696"/>
      <c r="F204" s="697"/>
      <c r="G204" s="697"/>
      <c r="H204" s="698"/>
      <c r="I204" s="697"/>
      <c r="J204" s="698"/>
      <c r="K204" s="697"/>
      <c r="L204" s="697"/>
      <c r="M204" s="697"/>
      <c r="N204" s="698"/>
      <c r="O204" s="697"/>
      <c r="P204" s="697"/>
      <c r="Q204" s="697"/>
      <c r="R204" s="697"/>
      <c r="S204" s="697"/>
      <c r="T204" s="697"/>
      <c r="U204" s="697"/>
      <c r="V204" s="697"/>
      <c r="W204" s="698"/>
      <c r="X204" s="698"/>
      <c r="Y204" s="697"/>
      <c r="Z204" s="697"/>
      <c r="AA204" s="697"/>
      <c r="AB204" s="697"/>
      <c r="AC204" s="697"/>
    </row>
    <row r="205" spans="1:29" x14ac:dyDescent="0.2">
      <c r="A205" s="694" t="str">
        <f>+Info!$B$2</f>
        <v>724</v>
      </c>
      <c r="B205" s="694" t="s">
        <v>4937</v>
      </c>
      <c r="C205" s="694" t="s">
        <v>4938</v>
      </c>
      <c r="D205" s="695" t="s">
        <v>4939</v>
      </c>
      <c r="E205" s="696"/>
      <c r="F205" s="697"/>
      <c r="G205" s="697"/>
      <c r="H205" s="698"/>
      <c r="I205" s="697"/>
      <c r="J205" s="698"/>
      <c r="K205" s="697"/>
      <c r="L205" s="697"/>
      <c r="M205" s="697"/>
      <c r="N205" s="698"/>
      <c r="O205" s="697"/>
      <c r="P205" s="697"/>
      <c r="Q205" s="697"/>
      <c r="R205" s="697"/>
      <c r="S205" s="697"/>
      <c r="T205" s="697"/>
      <c r="U205" s="697"/>
      <c r="V205" s="697"/>
      <c r="W205" s="698"/>
      <c r="X205" s="698"/>
      <c r="Y205" s="697"/>
      <c r="Z205" s="697"/>
      <c r="AA205" s="697"/>
      <c r="AB205" s="697"/>
      <c r="AC205" s="697"/>
    </row>
    <row r="206" spans="1:29" x14ac:dyDescent="0.2">
      <c r="A206" s="694" t="str">
        <f>+Info!$B$2</f>
        <v>724</v>
      </c>
      <c r="B206" s="694" t="s">
        <v>4940</v>
      </c>
      <c r="C206" s="694" t="s">
        <v>4941</v>
      </c>
      <c r="D206" s="695" t="s">
        <v>4942</v>
      </c>
      <c r="E206" s="696"/>
      <c r="F206" s="697"/>
      <c r="G206" s="697"/>
      <c r="H206" s="698"/>
      <c r="I206" s="697"/>
      <c r="J206" s="697"/>
      <c r="K206" s="697"/>
      <c r="L206" s="697"/>
      <c r="M206" s="697"/>
      <c r="N206" s="698"/>
      <c r="O206" s="697"/>
      <c r="P206" s="697"/>
      <c r="Q206" s="697"/>
      <c r="R206" s="697"/>
      <c r="S206" s="697"/>
      <c r="T206" s="697"/>
      <c r="U206" s="697"/>
      <c r="V206" s="697"/>
      <c r="W206" s="698"/>
      <c r="X206" s="698"/>
      <c r="Y206" s="697"/>
      <c r="Z206" s="697"/>
      <c r="AA206" s="697"/>
      <c r="AB206" s="697"/>
      <c r="AC206" s="697"/>
    </row>
    <row r="207" spans="1:29" ht="25.5" x14ac:dyDescent="0.2">
      <c r="A207" s="694" t="str">
        <f>+Info!$B$2</f>
        <v>724</v>
      </c>
      <c r="B207" s="694" t="s">
        <v>4943</v>
      </c>
      <c r="C207" s="694" t="s">
        <v>4944</v>
      </c>
      <c r="D207" s="695" t="s">
        <v>4945</v>
      </c>
      <c r="E207" s="696"/>
      <c r="F207" s="697"/>
      <c r="G207" s="697"/>
      <c r="H207" s="698"/>
      <c r="I207" s="697"/>
      <c r="J207" s="697"/>
      <c r="K207" s="697"/>
      <c r="L207" s="697"/>
      <c r="M207" s="697"/>
      <c r="N207" s="698"/>
      <c r="O207" s="697"/>
      <c r="P207" s="697"/>
      <c r="Q207" s="697"/>
      <c r="R207" s="697"/>
      <c r="S207" s="697"/>
      <c r="T207" s="697"/>
      <c r="U207" s="697"/>
      <c r="V207" s="697"/>
      <c r="W207" s="698"/>
      <c r="X207" s="698"/>
      <c r="Y207" s="697"/>
      <c r="Z207" s="697"/>
      <c r="AA207" s="697"/>
      <c r="AB207" s="697"/>
      <c r="AC207" s="697"/>
    </row>
    <row r="208" spans="1:29" x14ac:dyDescent="0.2">
      <c r="A208" s="694" t="str">
        <f>+Info!$B$2</f>
        <v>724</v>
      </c>
      <c r="B208" s="694" t="s">
        <v>4946</v>
      </c>
      <c r="C208" s="694" t="s">
        <v>4947</v>
      </c>
      <c r="D208" s="695" t="s">
        <v>4948</v>
      </c>
      <c r="E208" s="696"/>
      <c r="F208" s="697"/>
      <c r="G208" s="697"/>
      <c r="H208" s="698"/>
      <c r="I208" s="697"/>
      <c r="J208" s="697"/>
      <c r="K208" s="697"/>
      <c r="L208" s="697"/>
      <c r="M208" s="697"/>
      <c r="N208" s="698"/>
      <c r="O208" s="697"/>
      <c r="P208" s="697"/>
      <c r="Q208" s="697"/>
      <c r="R208" s="697"/>
      <c r="S208" s="697"/>
      <c r="T208" s="697"/>
      <c r="U208" s="697"/>
      <c r="V208" s="697"/>
      <c r="W208" s="698"/>
      <c r="X208" s="698"/>
      <c r="Y208" s="697"/>
      <c r="Z208" s="697"/>
      <c r="AA208" s="697"/>
      <c r="AB208" s="697"/>
      <c r="AC208" s="697"/>
    </row>
    <row r="209" spans="1:29" x14ac:dyDescent="0.2">
      <c r="A209" s="694" t="str">
        <f>+Info!$B$2</f>
        <v>724</v>
      </c>
      <c r="B209" s="694" t="s">
        <v>4949</v>
      </c>
      <c r="C209" s="694" t="s">
        <v>4950</v>
      </c>
      <c r="D209" s="695" t="s">
        <v>4951</v>
      </c>
      <c r="E209" s="696"/>
      <c r="F209" s="697"/>
      <c r="G209" s="697"/>
      <c r="H209" s="698"/>
      <c r="I209" s="697"/>
      <c r="J209" s="698"/>
      <c r="K209" s="697"/>
      <c r="L209" s="697"/>
      <c r="M209" s="697"/>
      <c r="N209" s="698"/>
      <c r="O209" s="697"/>
      <c r="P209" s="697"/>
      <c r="Q209" s="697"/>
      <c r="R209" s="697"/>
      <c r="S209" s="697"/>
      <c r="T209" s="697"/>
      <c r="U209" s="697"/>
      <c r="V209" s="697"/>
      <c r="W209" s="698"/>
      <c r="X209" s="698"/>
      <c r="Y209" s="697"/>
      <c r="Z209" s="697"/>
      <c r="AA209" s="697"/>
      <c r="AB209" s="697"/>
      <c r="AC209" s="697"/>
    </row>
    <row r="210" spans="1:29" x14ac:dyDescent="0.2">
      <c r="A210" s="694" t="str">
        <f>+Info!$B$2</f>
        <v>724</v>
      </c>
      <c r="B210" s="694" t="s">
        <v>4952</v>
      </c>
      <c r="C210" s="694" t="s">
        <v>4953</v>
      </c>
      <c r="D210" s="695" t="s">
        <v>4954</v>
      </c>
      <c r="E210" s="696"/>
      <c r="F210" s="697"/>
      <c r="G210" s="697"/>
      <c r="H210" s="698"/>
      <c r="I210" s="697"/>
      <c r="J210" s="698"/>
      <c r="K210" s="697"/>
      <c r="L210" s="697"/>
      <c r="M210" s="697"/>
      <c r="N210" s="698"/>
      <c r="O210" s="697"/>
      <c r="P210" s="697"/>
      <c r="Q210" s="697"/>
      <c r="R210" s="697"/>
      <c r="S210" s="697"/>
      <c r="T210" s="697"/>
      <c r="U210" s="697"/>
      <c r="V210" s="697"/>
      <c r="W210" s="698"/>
      <c r="X210" s="698"/>
      <c r="Y210" s="697"/>
      <c r="Z210" s="697"/>
      <c r="AA210" s="697"/>
      <c r="AB210" s="697"/>
      <c r="AC210" s="697"/>
    </row>
    <row r="211" spans="1:29" x14ac:dyDescent="0.2">
      <c r="A211" s="694" t="str">
        <f>+Info!$B$2</f>
        <v>724</v>
      </c>
      <c r="B211" s="694" t="s">
        <v>4955</v>
      </c>
      <c r="C211" s="694" t="s">
        <v>4956</v>
      </c>
      <c r="D211" s="695" t="s">
        <v>4957</v>
      </c>
      <c r="E211" s="696"/>
      <c r="F211" s="697"/>
      <c r="G211" s="697"/>
      <c r="H211" s="698"/>
      <c r="I211" s="697"/>
      <c r="J211" s="698"/>
      <c r="K211" s="697"/>
      <c r="L211" s="697"/>
      <c r="M211" s="697"/>
      <c r="N211" s="698"/>
      <c r="O211" s="697"/>
      <c r="P211" s="697"/>
      <c r="Q211" s="697"/>
      <c r="R211" s="697"/>
      <c r="S211" s="697"/>
      <c r="T211" s="697"/>
      <c r="U211" s="697"/>
      <c r="V211" s="697"/>
      <c r="W211" s="698"/>
      <c r="X211" s="698"/>
      <c r="Y211" s="697"/>
      <c r="Z211" s="697"/>
      <c r="AA211" s="697"/>
      <c r="AB211" s="697"/>
      <c r="AC211" s="697"/>
    </row>
    <row r="212" spans="1:29" ht="15" x14ac:dyDescent="0.25">
      <c r="A212" s="691" t="str">
        <f>+Info!$B$2</f>
        <v>724</v>
      </c>
      <c r="B212" s="691" t="s">
        <v>4958</v>
      </c>
      <c r="C212" s="691" t="s">
        <v>4959</v>
      </c>
      <c r="D212" s="692" t="s">
        <v>4960</v>
      </c>
      <c r="E212" s="693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</row>
    <row r="213" spans="1:29" x14ac:dyDescent="0.2">
      <c r="A213" s="694" t="str">
        <f>+Info!$B$2</f>
        <v>724</v>
      </c>
      <c r="B213" s="694" t="s">
        <v>4961</v>
      </c>
      <c r="C213" s="694" t="s">
        <v>4962</v>
      </c>
      <c r="D213" s="695" t="s">
        <v>4963</v>
      </c>
      <c r="E213" s="696"/>
      <c r="F213" s="697"/>
      <c r="G213" s="697"/>
      <c r="H213" s="698"/>
      <c r="I213" s="697"/>
      <c r="J213" s="698"/>
      <c r="K213" s="697"/>
      <c r="L213" s="697"/>
      <c r="M213" s="697"/>
      <c r="N213" s="698"/>
      <c r="O213" s="697"/>
      <c r="P213" s="697"/>
      <c r="Q213" s="697"/>
      <c r="R213" s="697"/>
      <c r="S213" s="697"/>
      <c r="T213" s="697"/>
      <c r="U213" s="697"/>
      <c r="V213" s="697"/>
      <c r="W213" s="698"/>
      <c r="X213" s="698"/>
      <c r="Y213" s="697"/>
      <c r="Z213" s="697"/>
      <c r="AA213" s="697"/>
      <c r="AB213" s="697"/>
      <c r="AC213" s="697"/>
    </row>
    <row r="214" spans="1:29" x14ac:dyDescent="0.2">
      <c r="A214" s="694" t="str">
        <f>+Info!$B$2</f>
        <v>724</v>
      </c>
      <c r="B214" s="694" t="s">
        <v>4964</v>
      </c>
      <c r="C214" s="694" t="s">
        <v>4965</v>
      </c>
      <c r="D214" s="695" t="s">
        <v>4966</v>
      </c>
      <c r="E214" s="696"/>
      <c r="F214" s="697"/>
      <c r="G214" s="697"/>
      <c r="H214" s="698"/>
      <c r="I214" s="697"/>
      <c r="J214" s="698"/>
      <c r="K214" s="697"/>
      <c r="L214" s="697"/>
      <c r="M214" s="697"/>
      <c r="N214" s="698"/>
      <c r="O214" s="697"/>
      <c r="P214" s="697"/>
      <c r="Q214" s="697"/>
      <c r="R214" s="697"/>
      <c r="S214" s="697"/>
      <c r="T214" s="697"/>
      <c r="U214" s="697"/>
      <c r="V214" s="697"/>
      <c r="W214" s="698"/>
      <c r="X214" s="698"/>
      <c r="Y214" s="697"/>
      <c r="Z214" s="697"/>
      <c r="AA214" s="697"/>
      <c r="AB214" s="697"/>
      <c r="AC214" s="697"/>
    </row>
    <row r="215" spans="1:29" x14ac:dyDescent="0.2">
      <c r="A215" s="694" t="str">
        <f>+Info!$B$2</f>
        <v>724</v>
      </c>
      <c r="B215" s="694" t="s">
        <v>4967</v>
      </c>
      <c r="C215" s="694" t="s">
        <v>4968</v>
      </c>
      <c r="D215" s="695" t="s">
        <v>4969</v>
      </c>
      <c r="E215" s="696"/>
      <c r="F215" s="697"/>
      <c r="G215" s="697"/>
      <c r="H215" s="698"/>
      <c r="I215" s="697"/>
      <c r="J215" s="698"/>
      <c r="K215" s="697"/>
      <c r="L215" s="697"/>
      <c r="M215" s="697"/>
      <c r="N215" s="698"/>
      <c r="O215" s="697"/>
      <c r="P215" s="697"/>
      <c r="Q215" s="697"/>
      <c r="R215" s="697"/>
      <c r="S215" s="697"/>
      <c r="T215" s="697"/>
      <c r="U215" s="697"/>
      <c r="V215" s="697"/>
      <c r="W215" s="698"/>
      <c r="X215" s="698"/>
      <c r="Y215" s="697"/>
      <c r="Z215" s="697"/>
      <c r="AA215" s="697"/>
      <c r="AB215" s="697"/>
      <c r="AC215" s="697"/>
    </row>
    <row r="216" spans="1:29" ht="15" x14ac:dyDescent="0.25">
      <c r="A216" s="691" t="str">
        <f>+Info!$B$2</f>
        <v>724</v>
      </c>
      <c r="B216" s="691" t="s">
        <v>4970</v>
      </c>
      <c r="C216" s="691" t="s">
        <v>4971</v>
      </c>
      <c r="D216" s="692" t="s">
        <v>4972</v>
      </c>
      <c r="E216" s="693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</row>
    <row r="217" spans="1:29" x14ac:dyDescent="0.2">
      <c r="A217" s="694" t="str">
        <f>+Info!$B$2</f>
        <v>724</v>
      </c>
      <c r="B217" s="694" t="s">
        <v>4973</v>
      </c>
      <c r="C217" s="694" t="s">
        <v>4974</v>
      </c>
      <c r="D217" s="695" t="s">
        <v>4975</v>
      </c>
      <c r="E217" s="696"/>
      <c r="F217" s="697"/>
      <c r="G217" s="697"/>
      <c r="H217" s="698"/>
      <c r="I217" s="697"/>
      <c r="J217" s="697"/>
      <c r="K217" s="697"/>
      <c r="L217" s="697"/>
      <c r="M217" s="697"/>
      <c r="N217" s="698"/>
      <c r="O217" s="697"/>
      <c r="P217" s="697"/>
      <c r="Q217" s="697"/>
      <c r="R217" s="697"/>
      <c r="S217" s="697"/>
      <c r="T217" s="697"/>
      <c r="U217" s="697"/>
      <c r="V217" s="697"/>
      <c r="W217" s="698"/>
      <c r="X217" s="698"/>
      <c r="Y217" s="697"/>
      <c r="Z217" s="697"/>
      <c r="AA217" s="697"/>
      <c r="AB217" s="697"/>
      <c r="AC217" s="697"/>
    </row>
    <row r="218" spans="1:29" x14ac:dyDescent="0.2">
      <c r="A218" s="694" t="str">
        <f>+Info!$B$2</f>
        <v>724</v>
      </c>
      <c r="B218" s="694" t="s">
        <v>4976</v>
      </c>
      <c r="C218" s="694" t="s">
        <v>4977</v>
      </c>
      <c r="D218" s="695" t="s">
        <v>4978</v>
      </c>
      <c r="E218" s="696"/>
      <c r="F218" s="697"/>
      <c r="G218" s="697"/>
      <c r="H218" s="698"/>
      <c r="I218" s="697"/>
      <c r="J218" s="697"/>
      <c r="K218" s="697"/>
      <c r="L218" s="697"/>
      <c r="M218" s="697"/>
      <c r="N218" s="698"/>
      <c r="O218" s="697"/>
      <c r="P218" s="697"/>
      <c r="Q218" s="697"/>
      <c r="R218" s="697"/>
      <c r="S218" s="697"/>
      <c r="T218" s="697"/>
      <c r="U218" s="697"/>
      <c r="V218" s="697"/>
      <c r="W218" s="698"/>
      <c r="X218" s="698"/>
      <c r="Y218" s="697"/>
      <c r="Z218" s="697"/>
      <c r="AA218" s="697"/>
      <c r="AB218" s="697"/>
      <c r="AC218" s="697"/>
    </row>
    <row r="219" spans="1:29" x14ac:dyDescent="0.2">
      <c r="A219" s="694" t="str">
        <f>+Info!$B$2</f>
        <v>724</v>
      </c>
      <c r="B219" s="694" t="s">
        <v>4979</v>
      </c>
      <c r="C219" s="694" t="s">
        <v>4980</v>
      </c>
      <c r="D219" s="695" t="s">
        <v>4981</v>
      </c>
      <c r="E219" s="696"/>
      <c r="F219" s="697"/>
      <c r="G219" s="697"/>
      <c r="H219" s="698"/>
      <c r="I219" s="697"/>
      <c r="J219" s="697"/>
      <c r="K219" s="697"/>
      <c r="L219" s="697"/>
      <c r="M219" s="697"/>
      <c r="N219" s="698"/>
      <c r="O219" s="697"/>
      <c r="P219" s="697"/>
      <c r="Q219" s="697"/>
      <c r="R219" s="697"/>
      <c r="S219" s="697"/>
      <c r="T219" s="697"/>
      <c r="U219" s="697"/>
      <c r="V219" s="697"/>
      <c r="W219" s="698"/>
      <c r="X219" s="698"/>
      <c r="Y219" s="697"/>
      <c r="Z219" s="697"/>
      <c r="AA219" s="697"/>
      <c r="AB219" s="697"/>
      <c r="AC219" s="697"/>
    </row>
    <row r="220" spans="1:29" x14ac:dyDescent="0.2">
      <c r="A220" s="694" t="str">
        <f>+Info!$B$2</f>
        <v>724</v>
      </c>
      <c r="B220" s="694" t="s">
        <v>4982</v>
      </c>
      <c r="C220" s="694" t="s">
        <v>4983</v>
      </c>
      <c r="D220" s="695" t="s">
        <v>4984</v>
      </c>
      <c r="E220" s="696"/>
      <c r="F220" s="697"/>
      <c r="G220" s="697"/>
      <c r="H220" s="698"/>
      <c r="I220" s="697"/>
      <c r="J220" s="698"/>
      <c r="K220" s="697"/>
      <c r="L220" s="697"/>
      <c r="M220" s="697"/>
      <c r="N220" s="698"/>
      <c r="O220" s="697"/>
      <c r="P220" s="697"/>
      <c r="Q220" s="697"/>
      <c r="R220" s="697"/>
      <c r="S220" s="697"/>
      <c r="T220" s="697"/>
      <c r="U220" s="697"/>
      <c r="V220" s="697"/>
      <c r="W220" s="698"/>
      <c r="X220" s="698"/>
      <c r="Y220" s="697"/>
      <c r="Z220" s="697"/>
      <c r="AA220" s="697"/>
      <c r="AB220" s="697"/>
      <c r="AC220" s="697"/>
    </row>
    <row r="221" spans="1:29" x14ac:dyDescent="0.2">
      <c r="A221" s="694" t="str">
        <f>+Info!$B$2</f>
        <v>724</v>
      </c>
      <c r="B221" s="694" t="s">
        <v>4985</v>
      </c>
      <c r="C221" s="694" t="s">
        <v>4986</v>
      </c>
      <c r="D221" s="695" t="s">
        <v>4987</v>
      </c>
      <c r="E221" s="696"/>
      <c r="F221" s="697"/>
      <c r="G221" s="697"/>
      <c r="H221" s="698"/>
      <c r="I221" s="697"/>
      <c r="J221" s="698"/>
      <c r="K221" s="697"/>
      <c r="L221" s="697"/>
      <c r="M221" s="697"/>
      <c r="N221" s="698"/>
      <c r="O221" s="697"/>
      <c r="P221" s="697"/>
      <c r="Q221" s="697"/>
      <c r="R221" s="697"/>
      <c r="S221" s="697"/>
      <c r="T221" s="697"/>
      <c r="U221" s="697"/>
      <c r="V221" s="697"/>
      <c r="W221" s="698"/>
      <c r="X221" s="698"/>
      <c r="Y221" s="697"/>
      <c r="Z221" s="697"/>
      <c r="AA221" s="697"/>
      <c r="AB221" s="697"/>
      <c r="AC221" s="697"/>
    </row>
    <row r="222" spans="1:29" ht="15" x14ac:dyDescent="0.25">
      <c r="A222" s="691" t="str">
        <f>+Info!$B$2</f>
        <v>724</v>
      </c>
      <c r="B222" s="691" t="s">
        <v>4988</v>
      </c>
      <c r="C222" s="691" t="s">
        <v>4989</v>
      </c>
      <c r="D222" s="692" t="s">
        <v>4990</v>
      </c>
      <c r="E222" s="693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</row>
    <row r="223" spans="1:29" x14ac:dyDescent="0.2">
      <c r="A223" s="694" t="str">
        <f>+Info!$B$2</f>
        <v>724</v>
      </c>
      <c r="B223" s="694" t="s">
        <v>4991</v>
      </c>
      <c r="C223" s="694" t="s">
        <v>4992</v>
      </c>
      <c r="D223" s="695" t="s">
        <v>4993</v>
      </c>
      <c r="E223" s="696"/>
      <c r="F223" s="697"/>
      <c r="G223" s="697"/>
      <c r="H223" s="698"/>
      <c r="I223" s="697"/>
      <c r="J223" s="697"/>
      <c r="K223" s="697"/>
      <c r="L223" s="697"/>
      <c r="M223" s="697"/>
      <c r="N223" s="698"/>
      <c r="O223" s="697"/>
      <c r="P223" s="697"/>
      <c r="Q223" s="697"/>
      <c r="R223" s="697"/>
      <c r="S223" s="697"/>
      <c r="T223" s="697"/>
      <c r="U223" s="697"/>
      <c r="V223" s="697"/>
      <c r="W223" s="698"/>
      <c r="X223" s="698"/>
      <c r="Y223" s="697"/>
      <c r="Z223" s="697"/>
      <c r="AA223" s="697"/>
      <c r="AB223" s="697"/>
      <c r="AC223" s="697"/>
    </row>
    <row r="224" spans="1:29" x14ac:dyDescent="0.2">
      <c r="A224" s="694" t="str">
        <f>+Info!$B$2</f>
        <v>724</v>
      </c>
      <c r="B224" s="694" t="s">
        <v>4994</v>
      </c>
      <c r="C224" s="694" t="s">
        <v>4995</v>
      </c>
      <c r="D224" s="695" t="s">
        <v>4996</v>
      </c>
      <c r="E224" s="696"/>
      <c r="F224" s="697"/>
      <c r="G224" s="697"/>
      <c r="H224" s="698"/>
      <c r="I224" s="697"/>
      <c r="J224" s="697"/>
      <c r="K224" s="697"/>
      <c r="L224" s="697"/>
      <c r="M224" s="697"/>
      <c r="N224" s="698"/>
      <c r="O224" s="697"/>
      <c r="P224" s="697"/>
      <c r="Q224" s="697"/>
      <c r="R224" s="697"/>
      <c r="S224" s="697"/>
      <c r="T224" s="697"/>
      <c r="U224" s="697"/>
      <c r="V224" s="697"/>
      <c r="W224" s="698"/>
      <c r="X224" s="698"/>
      <c r="Y224" s="697"/>
      <c r="Z224" s="697"/>
      <c r="AA224" s="697"/>
      <c r="AB224" s="697"/>
      <c r="AC224" s="697"/>
    </row>
    <row r="225" spans="1:29" x14ac:dyDescent="0.2">
      <c r="A225" s="694" t="str">
        <f>+Info!$B$2</f>
        <v>724</v>
      </c>
      <c r="B225" s="694" t="s">
        <v>4997</v>
      </c>
      <c r="C225" s="694" t="s">
        <v>4998</v>
      </c>
      <c r="D225" s="695" t="s">
        <v>4999</v>
      </c>
      <c r="E225" s="696"/>
      <c r="F225" s="697"/>
      <c r="G225" s="697"/>
      <c r="H225" s="698"/>
      <c r="I225" s="697"/>
      <c r="J225" s="697"/>
      <c r="K225" s="697"/>
      <c r="L225" s="697"/>
      <c r="M225" s="697"/>
      <c r="N225" s="698"/>
      <c r="O225" s="697"/>
      <c r="P225" s="697"/>
      <c r="Q225" s="697"/>
      <c r="R225" s="697"/>
      <c r="S225" s="697"/>
      <c r="T225" s="697"/>
      <c r="U225" s="697"/>
      <c r="V225" s="697"/>
      <c r="W225" s="698"/>
      <c r="X225" s="698"/>
      <c r="Y225" s="697"/>
      <c r="Z225" s="697"/>
      <c r="AA225" s="697"/>
      <c r="AB225" s="697"/>
      <c r="AC225" s="697"/>
    </row>
    <row r="226" spans="1:29" x14ac:dyDescent="0.2">
      <c r="A226" s="694" t="str">
        <f>+Info!$B$2</f>
        <v>724</v>
      </c>
      <c r="B226" s="694" t="s">
        <v>5000</v>
      </c>
      <c r="C226" s="694" t="s">
        <v>5001</v>
      </c>
      <c r="D226" s="695" t="s">
        <v>5002</v>
      </c>
      <c r="E226" s="696"/>
      <c r="F226" s="697"/>
      <c r="G226" s="697"/>
      <c r="H226" s="698"/>
      <c r="I226" s="697"/>
      <c r="J226" s="697"/>
      <c r="K226" s="697"/>
      <c r="L226" s="697"/>
      <c r="M226" s="697"/>
      <c r="N226" s="698"/>
      <c r="O226" s="697"/>
      <c r="P226" s="697"/>
      <c r="Q226" s="697"/>
      <c r="R226" s="697"/>
      <c r="S226" s="697"/>
      <c r="T226" s="697"/>
      <c r="U226" s="697"/>
      <c r="V226" s="697"/>
      <c r="W226" s="698"/>
      <c r="X226" s="698"/>
      <c r="Y226" s="697"/>
      <c r="Z226" s="697"/>
      <c r="AA226" s="697"/>
      <c r="AB226" s="697"/>
      <c r="AC226" s="697"/>
    </row>
    <row r="227" spans="1:29" ht="25.5" x14ac:dyDescent="0.2">
      <c r="A227" s="694" t="str">
        <f>+Info!$B$2</f>
        <v>724</v>
      </c>
      <c r="B227" s="694" t="s">
        <v>5003</v>
      </c>
      <c r="C227" s="694" t="s">
        <v>5004</v>
      </c>
      <c r="D227" s="695" t="s">
        <v>5005</v>
      </c>
      <c r="E227" s="696"/>
      <c r="F227" s="697"/>
      <c r="G227" s="697"/>
      <c r="H227" s="698"/>
      <c r="I227" s="697"/>
      <c r="J227" s="697"/>
      <c r="K227" s="697"/>
      <c r="L227" s="697"/>
      <c r="M227" s="697"/>
      <c r="N227" s="698"/>
      <c r="O227" s="697"/>
      <c r="P227" s="697"/>
      <c r="Q227" s="697"/>
      <c r="R227" s="697"/>
      <c r="S227" s="697"/>
      <c r="T227" s="697"/>
      <c r="U227" s="697"/>
      <c r="V227" s="697"/>
      <c r="W227" s="698"/>
      <c r="X227" s="698"/>
      <c r="Y227" s="697"/>
      <c r="Z227" s="697"/>
      <c r="AA227" s="697"/>
      <c r="AB227" s="697"/>
      <c r="AC227" s="697"/>
    </row>
    <row r="228" spans="1:29" ht="25.5" x14ac:dyDescent="0.2">
      <c r="A228" s="694" t="str">
        <f>+Info!$B$2</f>
        <v>724</v>
      </c>
      <c r="B228" s="694" t="s">
        <v>5006</v>
      </c>
      <c r="C228" s="694" t="s">
        <v>5007</v>
      </c>
      <c r="D228" s="695" t="s">
        <v>5008</v>
      </c>
      <c r="E228" s="696"/>
      <c r="F228" s="697"/>
      <c r="G228" s="697"/>
      <c r="H228" s="698"/>
      <c r="I228" s="697"/>
      <c r="J228" s="697"/>
      <c r="K228" s="697"/>
      <c r="L228" s="697"/>
      <c r="M228" s="697"/>
      <c r="N228" s="698"/>
      <c r="O228" s="697"/>
      <c r="P228" s="697"/>
      <c r="Q228" s="697"/>
      <c r="R228" s="697"/>
      <c r="S228" s="697"/>
      <c r="T228" s="697"/>
      <c r="U228" s="697"/>
      <c r="V228" s="697"/>
      <c r="W228" s="698"/>
      <c r="X228" s="698"/>
      <c r="Y228" s="697"/>
      <c r="Z228" s="697"/>
      <c r="AA228" s="697"/>
      <c r="AB228" s="697"/>
      <c r="AC228" s="697"/>
    </row>
    <row r="229" spans="1:29" ht="25.5" x14ac:dyDescent="0.2">
      <c r="A229" s="694" t="str">
        <f>+Info!$B$2</f>
        <v>724</v>
      </c>
      <c r="B229" s="694" t="s">
        <v>5009</v>
      </c>
      <c r="C229" s="694" t="s">
        <v>5010</v>
      </c>
      <c r="D229" s="695" t="s">
        <v>5011</v>
      </c>
      <c r="E229" s="696"/>
      <c r="F229" s="697"/>
      <c r="G229" s="697"/>
      <c r="H229" s="698"/>
      <c r="I229" s="697"/>
      <c r="J229" s="697"/>
      <c r="K229" s="697"/>
      <c r="L229" s="697"/>
      <c r="M229" s="697"/>
      <c r="N229" s="698"/>
      <c r="O229" s="697"/>
      <c r="P229" s="697"/>
      <c r="Q229" s="697"/>
      <c r="R229" s="697"/>
      <c r="S229" s="697"/>
      <c r="T229" s="697"/>
      <c r="U229" s="697"/>
      <c r="V229" s="697"/>
      <c r="W229" s="698"/>
      <c r="X229" s="698"/>
      <c r="Y229" s="697"/>
      <c r="Z229" s="697"/>
      <c r="AA229" s="697"/>
      <c r="AB229" s="697"/>
      <c r="AC229" s="697"/>
    </row>
    <row r="230" spans="1:29" x14ac:dyDescent="0.2">
      <c r="A230" s="694" t="str">
        <f>+Info!$B$2</f>
        <v>724</v>
      </c>
      <c r="B230" s="694" t="s">
        <v>5012</v>
      </c>
      <c r="C230" s="694" t="s">
        <v>5013</v>
      </c>
      <c r="D230" s="695" t="s">
        <v>5014</v>
      </c>
      <c r="E230" s="696"/>
      <c r="F230" s="697"/>
      <c r="G230" s="697"/>
      <c r="H230" s="698"/>
      <c r="I230" s="697"/>
      <c r="J230" s="697"/>
      <c r="K230" s="697"/>
      <c r="L230" s="697"/>
      <c r="M230" s="697"/>
      <c r="N230" s="698"/>
      <c r="O230" s="697"/>
      <c r="P230" s="697"/>
      <c r="Q230" s="697"/>
      <c r="R230" s="697"/>
      <c r="S230" s="697"/>
      <c r="T230" s="697"/>
      <c r="U230" s="697"/>
      <c r="V230" s="697"/>
      <c r="W230" s="698"/>
      <c r="X230" s="698"/>
      <c r="Y230" s="697"/>
      <c r="Z230" s="697"/>
      <c r="AA230" s="697"/>
      <c r="AB230" s="697"/>
      <c r="AC230" s="697"/>
    </row>
    <row r="231" spans="1:29" ht="25.5" x14ac:dyDescent="0.2">
      <c r="A231" s="694" t="str">
        <f>+Info!$B$2</f>
        <v>724</v>
      </c>
      <c r="B231" s="694" t="s">
        <v>5015</v>
      </c>
      <c r="C231" s="694" t="s">
        <v>5016</v>
      </c>
      <c r="D231" s="695" t="s">
        <v>5017</v>
      </c>
      <c r="E231" s="696"/>
      <c r="F231" s="697"/>
      <c r="G231" s="697"/>
      <c r="H231" s="698"/>
      <c r="I231" s="697"/>
      <c r="J231" s="697"/>
      <c r="K231" s="697"/>
      <c r="L231" s="697"/>
      <c r="M231" s="697"/>
      <c r="N231" s="698"/>
      <c r="O231" s="697"/>
      <c r="P231" s="697"/>
      <c r="Q231" s="697"/>
      <c r="R231" s="697"/>
      <c r="S231" s="697"/>
      <c r="T231" s="697"/>
      <c r="U231" s="697"/>
      <c r="V231" s="697"/>
      <c r="W231" s="698"/>
      <c r="X231" s="698"/>
      <c r="Y231" s="697"/>
      <c r="Z231" s="697"/>
      <c r="AA231" s="697"/>
      <c r="AB231" s="697"/>
      <c r="AC231" s="697"/>
    </row>
    <row r="232" spans="1:29" ht="25.5" x14ac:dyDescent="0.2">
      <c r="A232" s="694" t="str">
        <f>+Info!$B$2</f>
        <v>724</v>
      </c>
      <c r="B232" s="694" t="s">
        <v>5018</v>
      </c>
      <c r="C232" s="694" t="s">
        <v>5019</v>
      </c>
      <c r="D232" s="695" t="s">
        <v>5020</v>
      </c>
      <c r="E232" s="696"/>
      <c r="F232" s="697"/>
      <c r="G232" s="697"/>
      <c r="H232" s="698"/>
      <c r="I232" s="697"/>
      <c r="J232" s="697"/>
      <c r="K232" s="697"/>
      <c r="L232" s="697"/>
      <c r="M232" s="697"/>
      <c r="N232" s="698"/>
      <c r="O232" s="697"/>
      <c r="P232" s="697"/>
      <c r="Q232" s="697"/>
      <c r="R232" s="697"/>
      <c r="S232" s="697"/>
      <c r="T232" s="697"/>
      <c r="U232" s="697"/>
      <c r="V232" s="697"/>
      <c r="W232" s="698"/>
      <c r="X232" s="698"/>
      <c r="Y232" s="697"/>
      <c r="Z232" s="697"/>
      <c r="AA232" s="697"/>
      <c r="AB232" s="697"/>
      <c r="AC232" s="697"/>
    </row>
    <row r="233" spans="1:29" ht="25.5" x14ac:dyDescent="0.2">
      <c r="A233" s="694" t="str">
        <f>+Info!$B$2</f>
        <v>724</v>
      </c>
      <c r="B233" s="694" t="s">
        <v>5021</v>
      </c>
      <c r="C233" s="694" t="s">
        <v>5022</v>
      </c>
      <c r="D233" s="695" t="s">
        <v>5023</v>
      </c>
      <c r="E233" s="696"/>
      <c r="F233" s="697"/>
      <c r="G233" s="697"/>
      <c r="H233" s="698"/>
      <c r="I233" s="697"/>
      <c r="J233" s="697"/>
      <c r="K233" s="697"/>
      <c r="L233" s="697"/>
      <c r="M233" s="697"/>
      <c r="N233" s="698"/>
      <c r="O233" s="697"/>
      <c r="P233" s="697"/>
      <c r="Q233" s="697"/>
      <c r="R233" s="697"/>
      <c r="S233" s="697"/>
      <c r="T233" s="697"/>
      <c r="U233" s="697"/>
      <c r="V233" s="697"/>
      <c r="W233" s="698"/>
      <c r="X233" s="698"/>
      <c r="Y233" s="697"/>
      <c r="Z233" s="697"/>
      <c r="AA233" s="697"/>
      <c r="AB233" s="697"/>
      <c r="AC233" s="697"/>
    </row>
    <row r="234" spans="1:29" ht="25.5" x14ac:dyDescent="0.2">
      <c r="A234" s="694" t="str">
        <f>+Info!$B$2</f>
        <v>724</v>
      </c>
      <c r="B234" s="694" t="s">
        <v>5024</v>
      </c>
      <c r="C234" s="694" t="s">
        <v>5025</v>
      </c>
      <c r="D234" s="695" t="s">
        <v>5026</v>
      </c>
      <c r="E234" s="696"/>
      <c r="F234" s="697"/>
      <c r="G234" s="697"/>
      <c r="H234" s="698"/>
      <c r="I234" s="697"/>
      <c r="J234" s="697"/>
      <c r="K234" s="697"/>
      <c r="L234" s="697"/>
      <c r="M234" s="697"/>
      <c r="N234" s="698"/>
      <c r="O234" s="697"/>
      <c r="P234" s="697"/>
      <c r="Q234" s="697"/>
      <c r="R234" s="697"/>
      <c r="S234" s="697"/>
      <c r="T234" s="697"/>
      <c r="U234" s="697"/>
      <c r="V234" s="697"/>
      <c r="W234" s="698"/>
      <c r="X234" s="698"/>
      <c r="Y234" s="697"/>
      <c r="Z234" s="697"/>
      <c r="AA234" s="697"/>
      <c r="AB234" s="697"/>
      <c r="AC234" s="697"/>
    </row>
    <row r="235" spans="1:29" ht="25.5" x14ac:dyDescent="0.2">
      <c r="A235" s="694" t="str">
        <f>+Info!$B$2</f>
        <v>724</v>
      </c>
      <c r="B235" s="694" t="s">
        <v>5027</v>
      </c>
      <c r="C235" s="694" t="s">
        <v>5028</v>
      </c>
      <c r="D235" s="695" t="s">
        <v>5029</v>
      </c>
      <c r="E235" s="696"/>
      <c r="F235" s="697"/>
      <c r="G235" s="697"/>
      <c r="H235" s="698"/>
      <c r="I235" s="697"/>
      <c r="J235" s="697"/>
      <c r="K235" s="697"/>
      <c r="L235" s="697"/>
      <c r="M235" s="697"/>
      <c r="N235" s="698"/>
      <c r="O235" s="697"/>
      <c r="P235" s="697"/>
      <c r="Q235" s="697"/>
      <c r="R235" s="697"/>
      <c r="S235" s="697"/>
      <c r="T235" s="697"/>
      <c r="U235" s="697"/>
      <c r="V235" s="697"/>
      <c r="W235" s="698"/>
      <c r="X235" s="698"/>
      <c r="Y235" s="697"/>
      <c r="Z235" s="697"/>
      <c r="AA235" s="697"/>
      <c r="AB235" s="697"/>
      <c r="AC235" s="697"/>
    </row>
    <row r="236" spans="1:29" ht="25.5" x14ac:dyDescent="0.2">
      <c r="A236" s="694" t="str">
        <f>+Info!$B$2</f>
        <v>724</v>
      </c>
      <c r="B236" s="694" t="s">
        <v>5030</v>
      </c>
      <c r="C236" s="694" t="s">
        <v>5031</v>
      </c>
      <c r="D236" s="695" t="s">
        <v>5032</v>
      </c>
      <c r="E236" s="696"/>
      <c r="F236" s="697"/>
      <c r="G236" s="697"/>
      <c r="H236" s="698"/>
      <c r="I236" s="697"/>
      <c r="J236" s="697"/>
      <c r="K236" s="697"/>
      <c r="L236" s="697"/>
      <c r="M236" s="697"/>
      <c r="N236" s="698"/>
      <c r="O236" s="697"/>
      <c r="P236" s="697"/>
      <c r="Q236" s="697"/>
      <c r="R236" s="697"/>
      <c r="S236" s="697"/>
      <c r="T236" s="697"/>
      <c r="U236" s="697"/>
      <c r="V236" s="697"/>
      <c r="W236" s="698"/>
      <c r="X236" s="698"/>
      <c r="Y236" s="697"/>
      <c r="Z236" s="697"/>
      <c r="AA236" s="697"/>
      <c r="AB236" s="697"/>
      <c r="AC236" s="697"/>
    </row>
    <row r="237" spans="1:29" ht="25.5" x14ac:dyDescent="0.2">
      <c r="A237" s="694" t="str">
        <f>+Info!$B$2</f>
        <v>724</v>
      </c>
      <c r="B237" s="694" t="s">
        <v>5033</v>
      </c>
      <c r="C237" s="694" t="s">
        <v>5034</v>
      </c>
      <c r="D237" s="695" t="s">
        <v>5035</v>
      </c>
      <c r="E237" s="696"/>
      <c r="F237" s="697"/>
      <c r="G237" s="697"/>
      <c r="H237" s="698"/>
      <c r="I237" s="697"/>
      <c r="J237" s="697"/>
      <c r="K237" s="697"/>
      <c r="L237" s="697"/>
      <c r="M237" s="697"/>
      <c r="N237" s="698"/>
      <c r="O237" s="697"/>
      <c r="P237" s="697"/>
      <c r="Q237" s="697"/>
      <c r="R237" s="697"/>
      <c r="S237" s="697"/>
      <c r="T237" s="697"/>
      <c r="U237" s="697"/>
      <c r="V237" s="697"/>
      <c r="W237" s="698"/>
      <c r="X237" s="698"/>
      <c r="Y237" s="697"/>
      <c r="Z237" s="697"/>
      <c r="AA237" s="697"/>
      <c r="AB237" s="697"/>
      <c r="AC237" s="697"/>
    </row>
    <row r="238" spans="1:29" ht="25.5" x14ac:dyDescent="0.2">
      <c r="A238" s="694" t="str">
        <f>+Info!$B$2</f>
        <v>724</v>
      </c>
      <c r="B238" s="694" t="s">
        <v>5036</v>
      </c>
      <c r="C238" s="694" t="s">
        <v>5037</v>
      </c>
      <c r="D238" s="695" t="s">
        <v>5038</v>
      </c>
      <c r="E238" s="696"/>
      <c r="F238" s="697"/>
      <c r="G238" s="697"/>
      <c r="H238" s="698"/>
      <c r="I238" s="697"/>
      <c r="J238" s="697"/>
      <c r="K238" s="697"/>
      <c r="L238" s="697"/>
      <c r="M238" s="697"/>
      <c r="N238" s="698"/>
      <c r="O238" s="697"/>
      <c r="P238" s="697"/>
      <c r="Q238" s="697"/>
      <c r="R238" s="697"/>
      <c r="S238" s="697"/>
      <c r="T238" s="697"/>
      <c r="U238" s="697"/>
      <c r="V238" s="697"/>
      <c r="W238" s="698"/>
      <c r="X238" s="698"/>
      <c r="Y238" s="697"/>
      <c r="Z238" s="697"/>
      <c r="AA238" s="697"/>
      <c r="AB238" s="697"/>
      <c r="AC238" s="697"/>
    </row>
    <row r="239" spans="1:29" ht="25.5" x14ac:dyDescent="0.2">
      <c r="A239" s="694" t="str">
        <f>+Info!$B$2</f>
        <v>724</v>
      </c>
      <c r="B239" s="694" t="s">
        <v>5039</v>
      </c>
      <c r="C239" s="694" t="s">
        <v>5040</v>
      </c>
      <c r="D239" s="695" t="s">
        <v>5041</v>
      </c>
      <c r="E239" s="696"/>
      <c r="F239" s="697"/>
      <c r="G239" s="697"/>
      <c r="H239" s="698"/>
      <c r="I239" s="697"/>
      <c r="J239" s="697"/>
      <c r="K239" s="697"/>
      <c r="L239" s="697"/>
      <c r="M239" s="697"/>
      <c r="N239" s="698"/>
      <c r="O239" s="697"/>
      <c r="P239" s="697"/>
      <c r="Q239" s="697"/>
      <c r="R239" s="697"/>
      <c r="S239" s="697"/>
      <c r="T239" s="697"/>
      <c r="U239" s="697"/>
      <c r="V239" s="697"/>
      <c r="W239" s="698"/>
      <c r="X239" s="698"/>
      <c r="Y239" s="697"/>
      <c r="Z239" s="697"/>
      <c r="AA239" s="697"/>
      <c r="AB239" s="697"/>
      <c r="AC239" s="697"/>
    </row>
    <row r="240" spans="1:29" ht="25.5" x14ac:dyDescent="0.2">
      <c r="A240" s="694" t="str">
        <f>+Info!$B$2</f>
        <v>724</v>
      </c>
      <c r="B240" s="694" t="s">
        <v>5042</v>
      </c>
      <c r="C240" s="694" t="s">
        <v>5043</v>
      </c>
      <c r="D240" s="695" t="s">
        <v>5044</v>
      </c>
      <c r="E240" s="696"/>
      <c r="F240" s="697"/>
      <c r="G240" s="697"/>
      <c r="H240" s="698"/>
      <c r="I240" s="697"/>
      <c r="J240" s="697"/>
      <c r="K240" s="697"/>
      <c r="L240" s="697"/>
      <c r="M240" s="697"/>
      <c r="N240" s="698"/>
      <c r="O240" s="697"/>
      <c r="P240" s="697"/>
      <c r="Q240" s="697"/>
      <c r="R240" s="697"/>
      <c r="S240" s="697"/>
      <c r="T240" s="697"/>
      <c r="U240" s="697"/>
      <c r="V240" s="697"/>
      <c r="W240" s="698"/>
      <c r="X240" s="698"/>
      <c r="Y240" s="697"/>
      <c r="Z240" s="697"/>
      <c r="AA240" s="697"/>
      <c r="AB240" s="697"/>
      <c r="AC240" s="697"/>
    </row>
    <row r="241" spans="1:29" x14ac:dyDescent="0.2">
      <c r="A241" s="694" t="str">
        <f>+Info!$B$2</f>
        <v>724</v>
      </c>
      <c r="B241" s="694" t="s">
        <v>5045</v>
      </c>
      <c r="C241" s="694" t="s">
        <v>5046</v>
      </c>
      <c r="D241" s="695" t="s">
        <v>5047</v>
      </c>
      <c r="E241" s="696"/>
      <c r="F241" s="697"/>
      <c r="G241" s="697"/>
      <c r="H241" s="698"/>
      <c r="I241" s="697"/>
      <c r="J241" s="697"/>
      <c r="K241" s="697"/>
      <c r="L241" s="697"/>
      <c r="M241" s="697"/>
      <c r="N241" s="698"/>
      <c r="O241" s="697"/>
      <c r="P241" s="697"/>
      <c r="Q241" s="697"/>
      <c r="R241" s="697"/>
      <c r="S241" s="697"/>
      <c r="T241" s="697"/>
      <c r="U241" s="697"/>
      <c r="V241" s="697"/>
      <c r="W241" s="698"/>
      <c r="X241" s="698"/>
      <c r="Y241" s="697"/>
      <c r="Z241" s="697"/>
      <c r="AA241" s="697"/>
      <c r="AB241" s="697"/>
      <c r="AC241" s="697"/>
    </row>
    <row r="242" spans="1:29" ht="25.5" x14ac:dyDescent="0.2">
      <c r="A242" s="694" t="str">
        <f>+Info!$B$2</f>
        <v>724</v>
      </c>
      <c r="B242" s="694" t="s">
        <v>5048</v>
      </c>
      <c r="C242" s="694" t="s">
        <v>5049</v>
      </c>
      <c r="D242" s="695" t="s">
        <v>5050</v>
      </c>
      <c r="E242" s="696"/>
      <c r="F242" s="697"/>
      <c r="G242" s="697"/>
      <c r="H242" s="698"/>
      <c r="I242" s="697"/>
      <c r="J242" s="697"/>
      <c r="K242" s="697"/>
      <c r="L242" s="697"/>
      <c r="M242" s="697"/>
      <c r="N242" s="698"/>
      <c r="O242" s="697"/>
      <c r="P242" s="697"/>
      <c r="Q242" s="697"/>
      <c r="R242" s="697"/>
      <c r="S242" s="697"/>
      <c r="T242" s="697"/>
      <c r="U242" s="697"/>
      <c r="V242" s="697"/>
      <c r="W242" s="698"/>
      <c r="X242" s="698"/>
      <c r="Y242" s="697"/>
      <c r="Z242" s="697"/>
      <c r="AA242" s="697"/>
      <c r="AB242" s="697"/>
      <c r="AC242" s="697"/>
    </row>
    <row r="243" spans="1:29" ht="25.5" x14ac:dyDescent="0.2">
      <c r="A243" s="694" t="str">
        <f>+Info!$B$2</f>
        <v>724</v>
      </c>
      <c r="B243" s="694" t="s">
        <v>5051</v>
      </c>
      <c r="C243" s="694" t="s">
        <v>5052</v>
      </c>
      <c r="D243" s="695" t="s">
        <v>5053</v>
      </c>
      <c r="E243" s="696"/>
      <c r="F243" s="697"/>
      <c r="G243" s="697"/>
      <c r="H243" s="698"/>
      <c r="I243" s="697"/>
      <c r="J243" s="697"/>
      <c r="K243" s="697"/>
      <c r="L243" s="697"/>
      <c r="M243" s="697"/>
      <c r="N243" s="698"/>
      <c r="O243" s="697"/>
      <c r="P243" s="697"/>
      <c r="Q243" s="697"/>
      <c r="R243" s="697"/>
      <c r="S243" s="697"/>
      <c r="T243" s="697"/>
      <c r="U243" s="697"/>
      <c r="V243" s="697"/>
      <c r="W243" s="698"/>
      <c r="X243" s="698"/>
      <c r="Y243" s="697"/>
      <c r="Z243" s="697"/>
      <c r="AA243" s="697"/>
      <c r="AB243" s="697"/>
      <c r="AC243" s="697"/>
    </row>
    <row r="244" spans="1:29" x14ac:dyDescent="0.2">
      <c r="A244" s="694" t="str">
        <f>+Info!$B$2</f>
        <v>724</v>
      </c>
      <c r="B244" s="694" t="s">
        <v>5054</v>
      </c>
      <c r="C244" s="694" t="s">
        <v>5055</v>
      </c>
      <c r="D244" s="695" t="s">
        <v>5056</v>
      </c>
      <c r="E244" s="696"/>
      <c r="F244" s="697"/>
      <c r="G244" s="697"/>
      <c r="H244" s="698"/>
      <c r="I244" s="697"/>
      <c r="J244" s="697"/>
      <c r="K244" s="697"/>
      <c r="L244" s="697"/>
      <c r="M244" s="697"/>
      <c r="N244" s="698"/>
      <c r="O244" s="697"/>
      <c r="P244" s="697"/>
      <c r="Q244" s="697"/>
      <c r="R244" s="697"/>
      <c r="S244" s="697"/>
      <c r="T244" s="697"/>
      <c r="U244" s="697"/>
      <c r="V244" s="697"/>
      <c r="W244" s="698"/>
      <c r="X244" s="698"/>
      <c r="Y244" s="697"/>
      <c r="Z244" s="697"/>
      <c r="AA244" s="697"/>
      <c r="AB244" s="697"/>
      <c r="AC244" s="697"/>
    </row>
    <row r="245" spans="1:29" x14ac:dyDescent="0.2">
      <c r="A245" s="694" t="str">
        <f>+Info!$B$2</f>
        <v>724</v>
      </c>
      <c r="B245" s="694" t="s">
        <v>5057</v>
      </c>
      <c r="C245" s="694" t="s">
        <v>5058</v>
      </c>
      <c r="D245" s="695" t="s">
        <v>5059</v>
      </c>
      <c r="E245" s="696"/>
      <c r="F245" s="697"/>
      <c r="G245" s="697"/>
      <c r="H245" s="698"/>
      <c r="I245" s="697"/>
      <c r="J245" s="697"/>
      <c r="K245" s="697"/>
      <c r="L245" s="697"/>
      <c r="M245" s="697"/>
      <c r="N245" s="698"/>
      <c r="O245" s="697"/>
      <c r="P245" s="697"/>
      <c r="Q245" s="697"/>
      <c r="R245" s="697"/>
      <c r="S245" s="697"/>
      <c r="T245" s="697"/>
      <c r="U245" s="697"/>
      <c r="V245" s="697"/>
      <c r="W245" s="698"/>
      <c r="X245" s="698"/>
      <c r="Y245" s="697"/>
      <c r="Z245" s="697"/>
      <c r="AA245" s="697"/>
      <c r="AB245" s="697"/>
      <c r="AC245" s="697"/>
    </row>
    <row r="246" spans="1:29" x14ac:dyDescent="0.2">
      <c r="A246" s="694" t="str">
        <f>+Info!$B$2</f>
        <v>724</v>
      </c>
      <c r="B246" s="694" t="s">
        <v>5060</v>
      </c>
      <c r="C246" s="694" t="s">
        <v>5061</v>
      </c>
      <c r="D246" s="695" t="s">
        <v>5062</v>
      </c>
      <c r="E246" s="696"/>
      <c r="F246" s="697"/>
      <c r="G246" s="697"/>
      <c r="H246" s="698"/>
      <c r="I246" s="697"/>
      <c r="J246" s="697"/>
      <c r="K246" s="697"/>
      <c r="L246" s="697"/>
      <c r="M246" s="697"/>
      <c r="N246" s="698"/>
      <c r="O246" s="697"/>
      <c r="P246" s="697"/>
      <c r="Q246" s="697"/>
      <c r="R246" s="697"/>
      <c r="S246" s="697"/>
      <c r="T246" s="697"/>
      <c r="U246" s="697"/>
      <c r="V246" s="697"/>
      <c r="W246" s="698"/>
      <c r="X246" s="698"/>
      <c r="Y246" s="697"/>
      <c r="Z246" s="697"/>
      <c r="AA246" s="697"/>
      <c r="AB246" s="697"/>
      <c r="AC246" s="697"/>
    </row>
    <row r="247" spans="1:29" x14ac:dyDescent="0.2">
      <c r="A247" s="694" t="str">
        <f>+Info!$B$2</f>
        <v>724</v>
      </c>
      <c r="B247" s="694" t="s">
        <v>5063</v>
      </c>
      <c r="C247" s="694" t="s">
        <v>5064</v>
      </c>
      <c r="D247" s="695" t="s">
        <v>5065</v>
      </c>
      <c r="E247" s="696"/>
      <c r="F247" s="697"/>
      <c r="G247" s="697"/>
      <c r="H247" s="698"/>
      <c r="I247" s="697"/>
      <c r="J247" s="697"/>
      <c r="K247" s="697"/>
      <c r="L247" s="697"/>
      <c r="M247" s="697"/>
      <c r="N247" s="698"/>
      <c r="O247" s="697"/>
      <c r="P247" s="697"/>
      <c r="Q247" s="697"/>
      <c r="R247" s="697"/>
      <c r="S247" s="697"/>
      <c r="T247" s="697"/>
      <c r="U247" s="697"/>
      <c r="V247" s="697"/>
      <c r="W247" s="698"/>
      <c r="X247" s="698"/>
      <c r="Y247" s="697"/>
      <c r="Z247" s="697"/>
      <c r="AA247" s="697"/>
      <c r="AB247" s="697"/>
      <c r="AC247" s="697"/>
    </row>
    <row r="248" spans="1:29" x14ac:dyDescent="0.2">
      <c r="A248" s="694" t="str">
        <f>+Info!$B$2</f>
        <v>724</v>
      </c>
      <c r="B248" s="694" t="s">
        <v>5066</v>
      </c>
      <c r="C248" s="694" t="s">
        <v>5067</v>
      </c>
      <c r="D248" s="695" t="s">
        <v>5068</v>
      </c>
      <c r="E248" s="696"/>
      <c r="F248" s="697"/>
      <c r="G248" s="697"/>
      <c r="H248" s="698"/>
      <c r="I248" s="697"/>
      <c r="J248" s="697"/>
      <c r="K248" s="697"/>
      <c r="L248" s="697"/>
      <c r="M248" s="697"/>
      <c r="N248" s="698"/>
      <c r="O248" s="697"/>
      <c r="P248" s="697"/>
      <c r="Q248" s="697"/>
      <c r="R248" s="697"/>
      <c r="S248" s="697"/>
      <c r="T248" s="697"/>
      <c r="U248" s="697"/>
      <c r="V248" s="697"/>
      <c r="W248" s="698"/>
      <c r="X248" s="698"/>
      <c r="Y248" s="697"/>
      <c r="Z248" s="697"/>
      <c r="AA248" s="697"/>
      <c r="AB248" s="697"/>
      <c r="AC248" s="697"/>
    </row>
    <row r="249" spans="1:29" x14ac:dyDescent="0.2">
      <c r="A249" s="694" t="str">
        <f>+Info!$B$2</f>
        <v>724</v>
      </c>
      <c r="B249" s="694" t="s">
        <v>5069</v>
      </c>
      <c r="C249" s="694" t="s">
        <v>5070</v>
      </c>
      <c r="D249" s="695" t="s">
        <v>5071</v>
      </c>
      <c r="E249" s="696"/>
      <c r="F249" s="697"/>
      <c r="G249" s="697"/>
      <c r="H249" s="698"/>
      <c r="I249" s="697"/>
      <c r="J249" s="697"/>
      <c r="K249" s="697"/>
      <c r="L249" s="697"/>
      <c r="M249" s="697"/>
      <c r="N249" s="698"/>
      <c r="O249" s="697"/>
      <c r="P249" s="697"/>
      <c r="Q249" s="697"/>
      <c r="R249" s="697"/>
      <c r="S249" s="697"/>
      <c r="T249" s="697"/>
      <c r="U249" s="697"/>
      <c r="V249" s="697"/>
      <c r="W249" s="698"/>
      <c r="X249" s="698"/>
      <c r="Y249" s="697"/>
      <c r="Z249" s="697"/>
      <c r="AA249" s="697"/>
      <c r="AB249" s="697"/>
      <c r="AC249" s="697"/>
    </row>
    <row r="250" spans="1:29" x14ac:dyDescent="0.2">
      <c r="A250" s="694" t="str">
        <f>+Info!$B$2</f>
        <v>724</v>
      </c>
      <c r="B250" s="694" t="s">
        <v>5072</v>
      </c>
      <c r="C250" s="694" t="s">
        <v>5073</v>
      </c>
      <c r="D250" s="695" t="s">
        <v>5074</v>
      </c>
      <c r="E250" s="696"/>
      <c r="F250" s="697"/>
      <c r="G250" s="697"/>
      <c r="H250" s="698"/>
      <c r="I250" s="697"/>
      <c r="J250" s="697"/>
      <c r="K250" s="697"/>
      <c r="L250" s="697"/>
      <c r="M250" s="697"/>
      <c r="N250" s="698"/>
      <c r="O250" s="697"/>
      <c r="P250" s="697"/>
      <c r="Q250" s="697"/>
      <c r="R250" s="697"/>
      <c r="S250" s="697"/>
      <c r="T250" s="697"/>
      <c r="U250" s="697"/>
      <c r="V250" s="697"/>
      <c r="W250" s="698"/>
      <c r="X250" s="698"/>
      <c r="Y250" s="697"/>
      <c r="Z250" s="697"/>
      <c r="AA250" s="697"/>
      <c r="AB250" s="697"/>
      <c r="AC250" s="697"/>
    </row>
    <row r="251" spans="1:29" x14ac:dyDescent="0.2">
      <c r="A251" s="694" t="str">
        <f>+Info!$B$2</f>
        <v>724</v>
      </c>
      <c r="B251" s="694" t="s">
        <v>5075</v>
      </c>
      <c r="C251" s="694" t="s">
        <v>5076</v>
      </c>
      <c r="D251" s="695" t="s">
        <v>5077</v>
      </c>
      <c r="E251" s="696"/>
      <c r="F251" s="697"/>
      <c r="G251" s="697"/>
      <c r="H251" s="698"/>
      <c r="I251" s="697"/>
      <c r="J251" s="697"/>
      <c r="K251" s="697"/>
      <c r="L251" s="697"/>
      <c r="M251" s="697"/>
      <c r="N251" s="698"/>
      <c r="O251" s="697"/>
      <c r="P251" s="697"/>
      <c r="Q251" s="697"/>
      <c r="R251" s="697"/>
      <c r="S251" s="697"/>
      <c r="T251" s="697"/>
      <c r="U251" s="697"/>
      <c r="V251" s="697"/>
      <c r="W251" s="698"/>
      <c r="X251" s="698"/>
      <c r="Y251" s="697"/>
      <c r="Z251" s="697"/>
      <c r="AA251" s="697"/>
      <c r="AB251" s="697"/>
      <c r="AC251" s="697"/>
    </row>
    <row r="252" spans="1:29" x14ac:dyDescent="0.2">
      <c r="A252" s="694" t="str">
        <f>+Info!$B$2</f>
        <v>724</v>
      </c>
      <c r="B252" s="694" t="s">
        <v>5078</v>
      </c>
      <c r="C252" s="694" t="s">
        <v>5079</v>
      </c>
      <c r="D252" s="695" t="s">
        <v>5080</v>
      </c>
      <c r="E252" s="696"/>
      <c r="F252" s="697"/>
      <c r="G252" s="697"/>
      <c r="H252" s="698"/>
      <c r="I252" s="697"/>
      <c r="J252" s="697"/>
      <c r="K252" s="697"/>
      <c r="L252" s="697"/>
      <c r="M252" s="697"/>
      <c r="N252" s="698"/>
      <c r="O252" s="697"/>
      <c r="P252" s="697"/>
      <c r="Q252" s="697"/>
      <c r="R252" s="697"/>
      <c r="S252" s="697"/>
      <c r="T252" s="697"/>
      <c r="U252" s="697"/>
      <c r="V252" s="697"/>
      <c r="W252" s="698"/>
      <c r="X252" s="698"/>
      <c r="Y252" s="697"/>
      <c r="Z252" s="697"/>
      <c r="AA252" s="697"/>
      <c r="AB252" s="697"/>
      <c r="AC252" s="697"/>
    </row>
    <row r="253" spans="1:29" x14ac:dyDescent="0.2">
      <c r="A253" s="694" t="str">
        <f>+Info!$B$2</f>
        <v>724</v>
      </c>
      <c r="B253" s="694" t="s">
        <v>5081</v>
      </c>
      <c r="C253" s="694" t="s">
        <v>5082</v>
      </c>
      <c r="D253" s="695" t="s">
        <v>5083</v>
      </c>
      <c r="E253" s="696"/>
      <c r="F253" s="697"/>
      <c r="G253" s="697"/>
      <c r="H253" s="698"/>
      <c r="I253" s="697"/>
      <c r="J253" s="698"/>
      <c r="K253" s="697"/>
      <c r="L253" s="697"/>
      <c r="M253" s="697"/>
      <c r="N253" s="698"/>
      <c r="O253" s="697"/>
      <c r="P253" s="697"/>
      <c r="Q253" s="697"/>
      <c r="R253" s="697"/>
      <c r="S253" s="697"/>
      <c r="T253" s="697"/>
      <c r="U253" s="697"/>
      <c r="V253" s="697"/>
      <c r="W253" s="698"/>
      <c r="X253" s="698"/>
      <c r="Y253" s="697"/>
      <c r="Z253" s="697"/>
      <c r="AA253" s="697"/>
      <c r="AB253" s="697"/>
      <c r="AC253" s="697"/>
    </row>
    <row r="254" spans="1:29" x14ac:dyDescent="0.2">
      <c r="A254" s="694" t="str">
        <f>+Info!$B$2</f>
        <v>724</v>
      </c>
      <c r="B254" s="694" t="s">
        <v>5084</v>
      </c>
      <c r="C254" s="694" t="s">
        <v>5085</v>
      </c>
      <c r="D254" s="695" t="s">
        <v>5086</v>
      </c>
      <c r="E254" s="696"/>
      <c r="F254" s="697"/>
      <c r="G254" s="697"/>
      <c r="H254" s="698"/>
      <c r="I254" s="697"/>
      <c r="J254" s="698"/>
      <c r="K254" s="697"/>
      <c r="L254" s="697"/>
      <c r="M254" s="697"/>
      <c r="N254" s="698"/>
      <c r="O254" s="697"/>
      <c r="P254" s="697"/>
      <c r="Q254" s="697"/>
      <c r="R254" s="697"/>
      <c r="S254" s="697"/>
      <c r="T254" s="697"/>
      <c r="U254" s="697"/>
      <c r="V254" s="697"/>
      <c r="W254" s="698"/>
      <c r="X254" s="698"/>
      <c r="Y254" s="697"/>
      <c r="Z254" s="697"/>
      <c r="AA254" s="697"/>
      <c r="AB254" s="697"/>
      <c r="AC254" s="697"/>
    </row>
    <row r="255" spans="1:29" x14ac:dyDescent="0.2">
      <c r="A255" s="694" t="str">
        <f>+Info!$B$2</f>
        <v>724</v>
      </c>
      <c r="B255" s="694" t="s">
        <v>5087</v>
      </c>
      <c r="C255" s="694" t="s">
        <v>5088</v>
      </c>
      <c r="D255" s="695" t="s">
        <v>5089</v>
      </c>
      <c r="E255" s="696"/>
      <c r="F255" s="697"/>
      <c r="G255" s="697"/>
      <c r="H255" s="698"/>
      <c r="I255" s="697"/>
      <c r="J255" s="698"/>
      <c r="K255" s="697"/>
      <c r="L255" s="697"/>
      <c r="M255" s="697"/>
      <c r="N255" s="698"/>
      <c r="O255" s="697"/>
      <c r="P255" s="697"/>
      <c r="Q255" s="697"/>
      <c r="R255" s="697"/>
      <c r="S255" s="697"/>
      <c r="T255" s="697"/>
      <c r="U255" s="697"/>
      <c r="V255" s="697"/>
      <c r="W255" s="698"/>
      <c r="X255" s="698"/>
      <c r="Y255" s="697"/>
      <c r="Z255" s="697"/>
      <c r="AA255" s="697"/>
      <c r="AB255" s="697"/>
      <c r="AC255" s="697"/>
    </row>
    <row r="256" spans="1:29" x14ac:dyDescent="0.2">
      <c r="A256" s="694" t="str">
        <f>+Info!$B$2</f>
        <v>724</v>
      </c>
      <c r="B256" s="694" t="s">
        <v>5090</v>
      </c>
      <c r="C256" s="694" t="s">
        <v>5091</v>
      </c>
      <c r="D256" s="695" t="s">
        <v>5092</v>
      </c>
      <c r="E256" s="696"/>
      <c r="F256" s="697"/>
      <c r="G256" s="697"/>
      <c r="H256" s="698"/>
      <c r="I256" s="697"/>
      <c r="J256" s="698"/>
      <c r="K256" s="697"/>
      <c r="L256" s="697"/>
      <c r="M256" s="697"/>
      <c r="N256" s="698"/>
      <c r="O256" s="697"/>
      <c r="P256" s="697"/>
      <c r="Q256" s="697"/>
      <c r="R256" s="697"/>
      <c r="S256" s="697"/>
      <c r="T256" s="697"/>
      <c r="U256" s="697"/>
      <c r="V256" s="697"/>
      <c r="W256" s="698"/>
      <c r="X256" s="698"/>
      <c r="Y256" s="697"/>
      <c r="Z256" s="697"/>
      <c r="AA256" s="697"/>
      <c r="AB256" s="697"/>
      <c r="AC256" s="697"/>
    </row>
    <row r="257" spans="1:29" ht="25.5" x14ac:dyDescent="0.2">
      <c r="A257" s="694" t="str">
        <f>+Info!$B$2</f>
        <v>724</v>
      </c>
      <c r="B257" s="694" t="s">
        <v>5093</v>
      </c>
      <c r="C257" s="694" t="s">
        <v>5094</v>
      </c>
      <c r="D257" s="695" t="s">
        <v>5095</v>
      </c>
      <c r="E257" s="696"/>
      <c r="F257" s="697"/>
      <c r="G257" s="697"/>
      <c r="H257" s="698"/>
      <c r="I257" s="697"/>
      <c r="J257" s="698"/>
      <c r="K257" s="697"/>
      <c r="L257" s="697"/>
      <c r="M257" s="697"/>
      <c r="N257" s="698"/>
      <c r="O257" s="697"/>
      <c r="P257" s="697"/>
      <c r="Q257" s="697"/>
      <c r="R257" s="697"/>
      <c r="S257" s="697"/>
      <c r="T257" s="697"/>
      <c r="U257" s="697"/>
      <c r="V257" s="697"/>
      <c r="W257" s="698"/>
      <c r="X257" s="698"/>
      <c r="Y257" s="697"/>
      <c r="Z257" s="697"/>
      <c r="AA257" s="697"/>
      <c r="AB257" s="697"/>
      <c r="AC257" s="697"/>
    </row>
    <row r="258" spans="1:29" ht="25.5" x14ac:dyDescent="0.2">
      <c r="A258" s="694" t="str">
        <f>+Info!$B$2</f>
        <v>724</v>
      </c>
      <c r="B258" s="694" t="s">
        <v>5096</v>
      </c>
      <c r="C258" s="694" t="s">
        <v>5097</v>
      </c>
      <c r="D258" s="695" t="s">
        <v>5098</v>
      </c>
      <c r="E258" s="696"/>
      <c r="F258" s="697"/>
      <c r="G258" s="697"/>
      <c r="H258" s="698"/>
      <c r="I258" s="697"/>
      <c r="J258" s="698"/>
      <c r="K258" s="697"/>
      <c r="L258" s="697"/>
      <c r="M258" s="697"/>
      <c r="N258" s="698"/>
      <c r="O258" s="697"/>
      <c r="P258" s="697"/>
      <c r="Q258" s="697"/>
      <c r="R258" s="697"/>
      <c r="S258" s="697"/>
      <c r="T258" s="697"/>
      <c r="U258" s="697"/>
      <c r="V258" s="697"/>
      <c r="W258" s="698"/>
      <c r="X258" s="698"/>
      <c r="Y258" s="697"/>
      <c r="Z258" s="697"/>
      <c r="AA258" s="697"/>
      <c r="AB258" s="697"/>
      <c r="AC258" s="697"/>
    </row>
    <row r="259" spans="1:29" ht="25.5" x14ac:dyDescent="0.2">
      <c r="A259" s="694" t="str">
        <f>+Info!$B$2</f>
        <v>724</v>
      </c>
      <c r="B259" s="694" t="s">
        <v>5099</v>
      </c>
      <c r="C259" s="694" t="s">
        <v>5100</v>
      </c>
      <c r="D259" s="695" t="s">
        <v>5101</v>
      </c>
      <c r="E259" s="696"/>
      <c r="F259" s="697"/>
      <c r="G259" s="697"/>
      <c r="H259" s="698"/>
      <c r="I259" s="697"/>
      <c r="J259" s="698"/>
      <c r="K259" s="697"/>
      <c r="L259" s="697"/>
      <c r="M259" s="697"/>
      <c r="N259" s="698"/>
      <c r="O259" s="697"/>
      <c r="P259" s="697"/>
      <c r="Q259" s="697"/>
      <c r="R259" s="697"/>
      <c r="S259" s="697"/>
      <c r="T259" s="697"/>
      <c r="U259" s="697"/>
      <c r="V259" s="697"/>
      <c r="W259" s="698"/>
      <c r="X259" s="698"/>
      <c r="Y259" s="697"/>
      <c r="Z259" s="697"/>
      <c r="AA259" s="697"/>
      <c r="AB259" s="697"/>
      <c r="AC259" s="697"/>
    </row>
    <row r="260" spans="1:29" x14ac:dyDescent="0.2">
      <c r="A260" s="694" t="str">
        <f>+Info!$B$2</f>
        <v>724</v>
      </c>
      <c r="B260" s="694" t="s">
        <v>5102</v>
      </c>
      <c r="C260" s="694" t="s">
        <v>5103</v>
      </c>
      <c r="D260" s="695" t="s">
        <v>5104</v>
      </c>
      <c r="E260" s="696"/>
      <c r="F260" s="697"/>
      <c r="G260" s="697"/>
      <c r="H260" s="698"/>
      <c r="I260" s="697"/>
      <c r="J260" s="698"/>
      <c r="K260" s="697"/>
      <c r="L260" s="697"/>
      <c r="M260" s="697"/>
      <c r="N260" s="698"/>
      <c r="O260" s="697"/>
      <c r="P260" s="697"/>
      <c r="Q260" s="697"/>
      <c r="R260" s="697"/>
      <c r="S260" s="697"/>
      <c r="T260" s="697"/>
      <c r="U260" s="697"/>
      <c r="V260" s="697"/>
      <c r="W260" s="698"/>
      <c r="X260" s="698"/>
      <c r="Y260" s="697"/>
      <c r="Z260" s="697"/>
      <c r="AA260" s="697"/>
      <c r="AB260" s="697"/>
      <c r="AC260" s="697"/>
    </row>
    <row r="261" spans="1:29" ht="25.5" x14ac:dyDescent="0.2">
      <c r="A261" s="694" t="str">
        <f>+Info!$B$2</f>
        <v>724</v>
      </c>
      <c r="B261" s="694" t="s">
        <v>5105</v>
      </c>
      <c r="C261" s="694" t="s">
        <v>5106</v>
      </c>
      <c r="D261" s="695" t="s">
        <v>5107</v>
      </c>
      <c r="E261" s="696"/>
      <c r="F261" s="697"/>
      <c r="G261" s="697"/>
      <c r="H261" s="698"/>
      <c r="I261" s="697"/>
      <c r="J261" s="698"/>
      <c r="K261" s="697"/>
      <c r="L261" s="697"/>
      <c r="M261" s="697"/>
      <c r="N261" s="698"/>
      <c r="O261" s="697"/>
      <c r="P261" s="697"/>
      <c r="Q261" s="697"/>
      <c r="R261" s="697"/>
      <c r="S261" s="697"/>
      <c r="T261" s="697"/>
      <c r="U261" s="697"/>
      <c r="V261" s="697"/>
      <c r="W261" s="698"/>
      <c r="X261" s="698"/>
      <c r="Y261" s="697"/>
      <c r="Z261" s="697"/>
      <c r="AA261" s="697"/>
      <c r="AB261" s="697"/>
      <c r="AC261" s="697"/>
    </row>
    <row r="262" spans="1:29" ht="25.5" x14ac:dyDescent="0.2">
      <c r="A262" s="694" t="str">
        <f>+Info!$B$2</f>
        <v>724</v>
      </c>
      <c r="B262" s="694" t="s">
        <v>5108</v>
      </c>
      <c r="C262" s="694" t="s">
        <v>5109</v>
      </c>
      <c r="D262" s="695" t="s">
        <v>5110</v>
      </c>
      <c r="E262" s="696"/>
      <c r="F262" s="697"/>
      <c r="G262" s="697"/>
      <c r="H262" s="698"/>
      <c r="I262" s="697"/>
      <c r="J262" s="698"/>
      <c r="K262" s="697"/>
      <c r="L262" s="697"/>
      <c r="M262" s="697"/>
      <c r="N262" s="698"/>
      <c r="O262" s="697"/>
      <c r="P262" s="697"/>
      <c r="Q262" s="697"/>
      <c r="R262" s="697"/>
      <c r="S262" s="697"/>
      <c r="T262" s="697"/>
      <c r="U262" s="697"/>
      <c r="V262" s="697"/>
      <c r="W262" s="698"/>
      <c r="X262" s="698"/>
      <c r="Y262" s="697"/>
      <c r="Z262" s="697"/>
      <c r="AA262" s="697"/>
      <c r="AB262" s="697"/>
      <c r="AC262" s="697"/>
    </row>
    <row r="263" spans="1:29" ht="25.5" x14ac:dyDescent="0.2">
      <c r="A263" s="694" t="str">
        <f>+Info!$B$2</f>
        <v>724</v>
      </c>
      <c r="B263" s="694" t="s">
        <v>5111</v>
      </c>
      <c r="C263" s="694" t="s">
        <v>5112</v>
      </c>
      <c r="D263" s="695" t="s">
        <v>5113</v>
      </c>
      <c r="E263" s="696"/>
      <c r="F263" s="697"/>
      <c r="G263" s="697"/>
      <c r="H263" s="698"/>
      <c r="I263" s="697"/>
      <c r="J263" s="698"/>
      <c r="K263" s="697"/>
      <c r="L263" s="697"/>
      <c r="M263" s="697"/>
      <c r="N263" s="698"/>
      <c r="O263" s="697"/>
      <c r="P263" s="697"/>
      <c r="Q263" s="697"/>
      <c r="R263" s="697"/>
      <c r="S263" s="697"/>
      <c r="T263" s="697"/>
      <c r="U263" s="697"/>
      <c r="V263" s="697"/>
      <c r="W263" s="698"/>
      <c r="X263" s="698"/>
      <c r="Y263" s="697"/>
      <c r="Z263" s="697"/>
      <c r="AA263" s="697"/>
      <c r="AB263" s="697"/>
      <c r="AC263" s="697"/>
    </row>
    <row r="264" spans="1:29" ht="25.5" x14ac:dyDescent="0.2">
      <c r="A264" s="694" t="str">
        <f>+Info!$B$2</f>
        <v>724</v>
      </c>
      <c r="B264" s="694" t="s">
        <v>5114</v>
      </c>
      <c r="C264" s="694" t="s">
        <v>5115</v>
      </c>
      <c r="D264" s="695" t="s">
        <v>5116</v>
      </c>
      <c r="E264" s="696"/>
      <c r="F264" s="697"/>
      <c r="G264" s="697"/>
      <c r="H264" s="698"/>
      <c r="I264" s="697"/>
      <c r="J264" s="698"/>
      <c r="K264" s="697"/>
      <c r="L264" s="697"/>
      <c r="M264" s="697"/>
      <c r="N264" s="698"/>
      <c r="O264" s="697"/>
      <c r="P264" s="697"/>
      <c r="Q264" s="697"/>
      <c r="R264" s="697"/>
      <c r="S264" s="697"/>
      <c r="T264" s="697"/>
      <c r="U264" s="697"/>
      <c r="V264" s="697"/>
      <c r="W264" s="698"/>
      <c r="X264" s="698"/>
      <c r="Y264" s="697"/>
      <c r="Z264" s="697"/>
      <c r="AA264" s="697"/>
      <c r="AB264" s="697"/>
      <c r="AC264" s="697"/>
    </row>
    <row r="265" spans="1:29" ht="25.5" x14ac:dyDescent="0.2">
      <c r="A265" s="694" t="str">
        <f>+Info!$B$2</f>
        <v>724</v>
      </c>
      <c r="B265" s="694" t="s">
        <v>5117</v>
      </c>
      <c r="C265" s="694" t="s">
        <v>5118</v>
      </c>
      <c r="D265" s="695" t="s">
        <v>5119</v>
      </c>
      <c r="E265" s="696"/>
      <c r="F265" s="697"/>
      <c r="G265" s="697"/>
      <c r="H265" s="698"/>
      <c r="I265" s="697"/>
      <c r="J265" s="698"/>
      <c r="K265" s="697"/>
      <c r="L265" s="697"/>
      <c r="M265" s="697"/>
      <c r="N265" s="698"/>
      <c r="O265" s="697"/>
      <c r="P265" s="697"/>
      <c r="Q265" s="697"/>
      <c r="R265" s="697"/>
      <c r="S265" s="697"/>
      <c r="T265" s="697"/>
      <c r="U265" s="697"/>
      <c r="V265" s="697"/>
      <c r="W265" s="698"/>
      <c r="X265" s="698"/>
      <c r="Y265" s="697"/>
      <c r="Z265" s="697"/>
      <c r="AA265" s="697"/>
      <c r="AB265" s="697"/>
      <c r="AC265" s="697"/>
    </row>
    <row r="266" spans="1:29" ht="25.5" x14ac:dyDescent="0.2">
      <c r="A266" s="694" t="str">
        <f>+Info!$B$2</f>
        <v>724</v>
      </c>
      <c r="B266" s="694" t="s">
        <v>5120</v>
      </c>
      <c r="C266" s="694" t="s">
        <v>5121</v>
      </c>
      <c r="D266" s="695" t="s">
        <v>5122</v>
      </c>
      <c r="E266" s="696"/>
      <c r="F266" s="697"/>
      <c r="G266" s="697"/>
      <c r="H266" s="698"/>
      <c r="I266" s="697"/>
      <c r="J266" s="698"/>
      <c r="K266" s="697"/>
      <c r="L266" s="697"/>
      <c r="M266" s="697"/>
      <c r="N266" s="698"/>
      <c r="O266" s="697"/>
      <c r="P266" s="697"/>
      <c r="Q266" s="697"/>
      <c r="R266" s="697"/>
      <c r="S266" s="697"/>
      <c r="T266" s="697"/>
      <c r="U266" s="697"/>
      <c r="V266" s="697"/>
      <c r="W266" s="698"/>
      <c r="X266" s="698"/>
      <c r="Y266" s="697"/>
      <c r="Z266" s="697"/>
      <c r="AA266" s="697"/>
      <c r="AB266" s="697"/>
      <c r="AC266" s="697"/>
    </row>
    <row r="267" spans="1:29" ht="25.5" x14ac:dyDescent="0.2">
      <c r="A267" s="694" t="str">
        <f>+Info!$B$2</f>
        <v>724</v>
      </c>
      <c r="B267" s="694" t="s">
        <v>5123</v>
      </c>
      <c r="C267" s="694" t="s">
        <v>5124</v>
      </c>
      <c r="D267" s="695" t="s">
        <v>5125</v>
      </c>
      <c r="E267" s="696"/>
      <c r="F267" s="697"/>
      <c r="G267" s="697"/>
      <c r="H267" s="698"/>
      <c r="I267" s="697"/>
      <c r="J267" s="698"/>
      <c r="K267" s="697"/>
      <c r="L267" s="697"/>
      <c r="M267" s="697"/>
      <c r="N267" s="698"/>
      <c r="O267" s="697"/>
      <c r="P267" s="697"/>
      <c r="Q267" s="697"/>
      <c r="R267" s="697"/>
      <c r="S267" s="697"/>
      <c r="T267" s="697"/>
      <c r="U267" s="697"/>
      <c r="V267" s="697"/>
      <c r="W267" s="698"/>
      <c r="X267" s="698"/>
      <c r="Y267" s="697"/>
      <c r="Z267" s="697"/>
      <c r="AA267" s="697"/>
      <c r="AB267" s="697"/>
      <c r="AC267" s="697"/>
    </row>
    <row r="268" spans="1:29" ht="25.5" x14ac:dyDescent="0.2">
      <c r="A268" s="694" t="str">
        <f>+Info!$B$2</f>
        <v>724</v>
      </c>
      <c r="B268" s="694" t="s">
        <v>5126</v>
      </c>
      <c r="C268" s="694" t="s">
        <v>5127</v>
      </c>
      <c r="D268" s="695" t="s">
        <v>5128</v>
      </c>
      <c r="E268" s="696"/>
      <c r="F268" s="697"/>
      <c r="G268" s="697"/>
      <c r="H268" s="698"/>
      <c r="I268" s="697"/>
      <c r="J268" s="698"/>
      <c r="K268" s="697"/>
      <c r="L268" s="697"/>
      <c r="M268" s="697"/>
      <c r="N268" s="698"/>
      <c r="O268" s="697"/>
      <c r="P268" s="697"/>
      <c r="Q268" s="697"/>
      <c r="R268" s="697"/>
      <c r="S268" s="697"/>
      <c r="T268" s="697"/>
      <c r="U268" s="697"/>
      <c r="V268" s="697"/>
      <c r="W268" s="698"/>
      <c r="X268" s="698"/>
      <c r="Y268" s="697"/>
      <c r="Z268" s="697"/>
      <c r="AA268" s="697"/>
      <c r="AB268" s="697"/>
      <c r="AC268" s="697"/>
    </row>
    <row r="269" spans="1:29" ht="25.5" x14ac:dyDescent="0.2">
      <c r="A269" s="694" t="str">
        <f>+Info!$B$2</f>
        <v>724</v>
      </c>
      <c r="B269" s="694" t="s">
        <v>5129</v>
      </c>
      <c r="C269" s="694" t="s">
        <v>5130</v>
      </c>
      <c r="D269" s="695" t="s">
        <v>5131</v>
      </c>
      <c r="E269" s="696"/>
      <c r="F269" s="697"/>
      <c r="G269" s="697"/>
      <c r="H269" s="698"/>
      <c r="I269" s="697"/>
      <c r="J269" s="698"/>
      <c r="K269" s="697"/>
      <c r="L269" s="697"/>
      <c r="M269" s="697"/>
      <c r="N269" s="698"/>
      <c r="O269" s="697"/>
      <c r="P269" s="697"/>
      <c r="Q269" s="697"/>
      <c r="R269" s="697"/>
      <c r="S269" s="697"/>
      <c r="T269" s="697"/>
      <c r="U269" s="697"/>
      <c r="V269" s="697"/>
      <c r="W269" s="698"/>
      <c r="X269" s="698"/>
      <c r="Y269" s="697"/>
      <c r="Z269" s="697"/>
      <c r="AA269" s="697"/>
      <c r="AB269" s="697"/>
      <c r="AC269" s="697"/>
    </row>
    <row r="270" spans="1:29" ht="25.5" x14ac:dyDescent="0.2">
      <c r="A270" s="694" t="str">
        <f>+Info!$B$2</f>
        <v>724</v>
      </c>
      <c r="B270" s="694" t="s">
        <v>5132</v>
      </c>
      <c r="C270" s="694" t="s">
        <v>5133</v>
      </c>
      <c r="D270" s="695" t="s">
        <v>5134</v>
      </c>
      <c r="E270" s="696"/>
      <c r="F270" s="697"/>
      <c r="G270" s="697"/>
      <c r="H270" s="698"/>
      <c r="I270" s="697"/>
      <c r="J270" s="698"/>
      <c r="K270" s="697"/>
      <c r="L270" s="697"/>
      <c r="M270" s="697"/>
      <c r="N270" s="698"/>
      <c r="O270" s="697"/>
      <c r="P270" s="697"/>
      <c r="Q270" s="697"/>
      <c r="R270" s="697"/>
      <c r="S270" s="697"/>
      <c r="T270" s="697"/>
      <c r="U270" s="697"/>
      <c r="V270" s="697"/>
      <c r="W270" s="698"/>
      <c r="X270" s="698"/>
      <c r="Y270" s="697"/>
      <c r="Z270" s="697"/>
      <c r="AA270" s="697"/>
      <c r="AB270" s="697"/>
      <c r="AC270" s="697"/>
    </row>
    <row r="271" spans="1:29" x14ac:dyDescent="0.2">
      <c r="A271" s="694" t="str">
        <f>+Info!$B$2</f>
        <v>724</v>
      </c>
      <c r="B271" s="694" t="s">
        <v>5135</v>
      </c>
      <c r="C271" s="694" t="s">
        <v>5136</v>
      </c>
      <c r="D271" s="695" t="s">
        <v>5137</v>
      </c>
      <c r="E271" s="696"/>
      <c r="F271" s="697"/>
      <c r="G271" s="697"/>
      <c r="H271" s="698"/>
      <c r="I271" s="697"/>
      <c r="J271" s="698"/>
      <c r="K271" s="697"/>
      <c r="L271" s="697"/>
      <c r="M271" s="697"/>
      <c r="N271" s="698"/>
      <c r="O271" s="697"/>
      <c r="P271" s="697"/>
      <c r="Q271" s="697"/>
      <c r="R271" s="697"/>
      <c r="S271" s="697"/>
      <c r="T271" s="697"/>
      <c r="U271" s="697"/>
      <c r="V271" s="697"/>
      <c r="W271" s="698"/>
      <c r="X271" s="698"/>
      <c r="Y271" s="697"/>
      <c r="Z271" s="697"/>
      <c r="AA271" s="697"/>
      <c r="AB271" s="697"/>
      <c r="AC271" s="697"/>
    </row>
    <row r="272" spans="1:29" ht="25.5" x14ac:dyDescent="0.2">
      <c r="A272" s="694" t="str">
        <f>+Info!$B$2</f>
        <v>724</v>
      </c>
      <c r="B272" s="694" t="s">
        <v>5138</v>
      </c>
      <c r="C272" s="694" t="s">
        <v>5139</v>
      </c>
      <c r="D272" s="695" t="s">
        <v>5140</v>
      </c>
      <c r="E272" s="696"/>
      <c r="F272" s="697"/>
      <c r="G272" s="697"/>
      <c r="H272" s="698"/>
      <c r="I272" s="697"/>
      <c r="J272" s="698"/>
      <c r="K272" s="697"/>
      <c r="L272" s="697"/>
      <c r="M272" s="697"/>
      <c r="N272" s="698"/>
      <c r="O272" s="697"/>
      <c r="P272" s="697"/>
      <c r="Q272" s="697"/>
      <c r="R272" s="697"/>
      <c r="S272" s="697"/>
      <c r="T272" s="697"/>
      <c r="U272" s="697"/>
      <c r="V272" s="697"/>
      <c r="W272" s="698"/>
      <c r="X272" s="698"/>
      <c r="Y272" s="697"/>
      <c r="Z272" s="697"/>
      <c r="AA272" s="697"/>
      <c r="AB272" s="697"/>
      <c r="AC272" s="697"/>
    </row>
    <row r="273" spans="1:29" x14ac:dyDescent="0.2">
      <c r="A273" s="694" t="str">
        <f>+Info!$B$2</f>
        <v>724</v>
      </c>
      <c r="B273" s="694" t="s">
        <v>5141</v>
      </c>
      <c r="C273" s="694" t="s">
        <v>5142</v>
      </c>
      <c r="D273" s="695" t="s">
        <v>5143</v>
      </c>
      <c r="E273" s="696"/>
      <c r="F273" s="697"/>
      <c r="G273" s="697"/>
      <c r="H273" s="698"/>
      <c r="I273" s="697"/>
      <c r="J273" s="698"/>
      <c r="K273" s="697"/>
      <c r="L273" s="697"/>
      <c r="M273" s="697"/>
      <c r="N273" s="698"/>
      <c r="O273" s="697"/>
      <c r="P273" s="697"/>
      <c r="Q273" s="697"/>
      <c r="R273" s="697"/>
      <c r="S273" s="697"/>
      <c r="T273" s="697"/>
      <c r="U273" s="697"/>
      <c r="V273" s="697"/>
      <c r="W273" s="698"/>
      <c r="X273" s="698"/>
      <c r="Y273" s="697"/>
      <c r="Z273" s="697"/>
      <c r="AA273" s="697"/>
      <c r="AB273" s="697"/>
      <c r="AC273" s="697"/>
    </row>
    <row r="274" spans="1:29" x14ac:dyDescent="0.2">
      <c r="A274" s="694" t="str">
        <f>+Info!$B$2</f>
        <v>724</v>
      </c>
      <c r="B274" s="694" t="s">
        <v>5144</v>
      </c>
      <c r="C274" s="694" t="s">
        <v>5145</v>
      </c>
      <c r="D274" s="695" t="s">
        <v>5146</v>
      </c>
      <c r="E274" s="696"/>
      <c r="F274" s="697"/>
      <c r="G274" s="697"/>
      <c r="H274" s="698"/>
      <c r="I274" s="697"/>
      <c r="J274" s="698"/>
      <c r="K274" s="697"/>
      <c r="L274" s="697"/>
      <c r="M274" s="697"/>
      <c r="N274" s="698"/>
      <c r="O274" s="697"/>
      <c r="P274" s="697"/>
      <c r="Q274" s="697"/>
      <c r="R274" s="697"/>
      <c r="S274" s="697"/>
      <c r="T274" s="697"/>
      <c r="U274" s="697"/>
      <c r="V274" s="697"/>
      <c r="W274" s="698"/>
      <c r="X274" s="698"/>
      <c r="Y274" s="697"/>
      <c r="Z274" s="697"/>
      <c r="AA274" s="697"/>
      <c r="AB274" s="697"/>
      <c r="AC274" s="697"/>
    </row>
    <row r="275" spans="1:29" x14ac:dyDescent="0.2">
      <c r="A275" s="694" t="str">
        <f>+Info!$B$2</f>
        <v>724</v>
      </c>
      <c r="B275" s="694" t="s">
        <v>5147</v>
      </c>
      <c r="C275" s="694" t="s">
        <v>5148</v>
      </c>
      <c r="D275" s="695" t="s">
        <v>5149</v>
      </c>
      <c r="E275" s="696"/>
      <c r="F275" s="697"/>
      <c r="G275" s="697"/>
      <c r="H275" s="698"/>
      <c r="I275" s="697"/>
      <c r="J275" s="698"/>
      <c r="K275" s="697"/>
      <c r="L275" s="697"/>
      <c r="M275" s="697"/>
      <c r="N275" s="698"/>
      <c r="O275" s="697"/>
      <c r="P275" s="697"/>
      <c r="Q275" s="697"/>
      <c r="R275" s="697"/>
      <c r="S275" s="697"/>
      <c r="T275" s="697"/>
      <c r="U275" s="697"/>
      <c r="V275" s="697"/>
      <c r="W275" s="698"/>
      <c r="X275" s="698"/>
      <c r="Y275" s="697"/>
      <c r="Z275" s="697"/>
      <c r="AA275" s="697"/>
      <c r="AB275" s="697"/>
      <c r="AC275" s="697"/>
    </row>
    <row r="276" spans="1:29" x14ac:dyDescent="0.2">
      <c r="A276" s="694" t="str">
        <f>+Info!$B$2</f>
        <v>724</v>
      </c>
      <c r="B276" s="694" t="s">
        <v>5150</v>
      </c>
      <c r="C276" s="694" t="s">
        <v>5151</v>
      </c>
      <c r="D276" s="695" t="s">
        <v>5152</v>
      </c>
      <c r="E276" s="696"/>
      <c r="F276" s="697"/>
      <c r="G276" s="697"/>
      <c r="H276" s="698"/>
      <c r="I276" s="697"/>
      <c r="J276" s="698"/>
      <c r="K276" s="697"/>
      <c r="L276" s="697"/>
      <c r="M276" s="697"/>
      <c r="N276" s="698"/>
      <c r="O276" s="697"/>
      <c r="P276" s="697"/>
      <c r="Q276" s="697"/>
      <c r="R276" s="697"/>
      <c r="S276" s="697"/>
      <c r="T276" s="697"/>
      <c r="U276" s="697"/>
      <c r="V276" s="697"/>
      <c r="W276" s="698"/>
      <c r="X276" s="698"/>
      <c r="Y276" s="697"/>
      <c r="Z276" s="697"/>
      <c r="AA276" s="697"/>
      <c r="AB276" s="697"/>
      <c r="AC276" s="697"/>
    </row>
    <row r="277" spans="1:29" x14ac:dyDescent="0.2">
      <c r="A277" s="694" t="str">
        <f>+Info!$B$2</f>
        <v>724</v>
      </c>
      <c r="B277" s="694" t="s">
        <v>5153</v>
      </c>
      <c r="C277" s="694" t="s">
        <v>5154</v>
      </c>
      <c r="D277" s="695" t="s">
        <v>5155</v>
      </c>
      <c r="E277" s="696"/>
      <c r="F277" s="697"/>
      <c r="G277" s="697"/>
      <c r="H277" s="698"/>
      <c r="I277" s="697"/>
      <c r="J277" s="698"/>
      <c r="K277" s="697"/>
      <c r="L277" s="697"/>
      <c r="M277" s="697"/>
      <c r="N277" s="698"/>
      <c r="O277" s="697"/>
      <c r="P277" s="697"/>
      <c r="Q277" s="697"/>
      <c r="R277" s="697"/>
      <c r="S277" s="697"/>
      <c r="T277" s="697"/>
      <c r="U277" s="697"/>
      <c r="V277" s="697"/>
      <c r="W277" s="698"/>
      <c r="X277" s="698"/>
      <c r="Y277" s="697"/>
      <c r="Z277" s="697"/>
      <c r="AA277" s="697"/>
      <c r="AB277" s="697"/>
      <c r="AC277" s="697"/>
    </row>
    <row r="278" spans="1:29" x14ac:dyDescent="0.2">
      <c r="A278" s="694" t="str">
        <f>+Info!$B$2</f>
        <v>724</v>
      </c>
      <c r="B278" s="694" t="s">
        <v>5156</v>
      </c>
      <c r="C278" s="694" t="s">
        <v>5157</v>
      </c>
      <c r="D278" s="695" t="s">
        <v>5158</v>
      </c>
      <c r="E278" s="696"/>
      <c r="F278" s="697"/>
      <c r="G278" s="697"/>
      <c r="H278" s="698"/>
      <c r="I278" s="697"/>
      <c r="J278" s="698"/>
      <c r="K278" s="697"/>
      <c r="L278" s="697"/>
      <c r="M278" s="697"/>
      <c r="N278" s="698"/>
      <c r="O278" s="697"/>
      <c r="P278" s="697"/>
      <c r="Q278" s="697"/>
      <c r="R278" s="697"/>
      <c r="S278" s="697"/>
      <c r="T278" s="697"/>
      <c r="U278" s="697"/>
      <c r="V278" s="697"/>
      <c r="W278" s="698"/>
      <c r="X278" s="698"/>
      <c r="Y278" s="697"/>
      <c r="Z278" s="697"/>
      <c r="AA278" s="697"/>
      <c r="AB278" s="697"/>
      <c r="AC278" s="697"/>
    </row>
    <row r="279" spans="1:29" x14ac:dyDescent="0.2">
      <c r="A279" s="694" t="str">
        <f>+Info!$B$2</f>
        <v>724</v>
      </c>
      <c r="B279" s="694" t="s">
        <v>5159</v>
      </c>
      <c r="C279" s="694" t="s">
        <v>5160</v>
      </c>
      <c r="D279" s="695" t="s">
        <v>5161</v>
      </c>
      <c r="E279" s="696"/>
      <c r="F279" s="697"/>
      <c r="G279" s="697"/>
      <c r="H279" s="698"/>
      <c r="I279" s="697"/>
      <c r="J279" s="698"/>
      <c r="K279" s="697"/>
      <c r="L279" s="697"/>
      <c r="M279" s="697"/>
      <c r="N279" s="698"/>
      <c r="O279" s="697"/>
      <c r="P279" s="697"/>
      <c r="Q279" s="697"/>
      <c r="R279" s="697"/>
      <c r="S279" s="697"/>
      <c r="T279" s="697"/>
      <c r="U279" s="697"/>
      <c r="V279" s="697"/>
      <c r="W279" s="698"/>
      <c r="X279" s="698"/>
      <c r="Y279" s="697"/>
      <c r="Z279" s="697"/>
      <c r="AA279" s="697"/>
      <c r="AB279" s="697"/>
      <c r="AC279" s="697"/>
    </row>
    <row r="280" spans="1:29" x14ac:dyDescent="0.2">
      <c r="A280" s="694" t="str">
        <f>+Info!$B$2</f>
        <v>724</v>
      </c>
      <c r="B280" s="694" t="s">
        <v>5162</v>
      </c>
      <c r="C280" s="694" t="s">
        <v>5163</v>
      </c>
      <c r="D280" s="695" t="s">
        <v>5164</v>
      </c>
      <c r="E280" s="696"/>
      <c r="F280" s="697"/>
      <c r="G280" s="697"/>
      <c r="H280" s="698"/>
      <c r="I280" s="697"/>
      <c r="J280" s="698"/>
      <c r="K280" s="697"/>
      <c r="L280" s="697"/>
      <c r="M280" s="697"/>
      <c r="N280" s="698"/>
      <c r="O280" s="697"/>
      <c r="P280" s="697"/>
      <c r="Q280" s="697"/>
      <c r="R280" s="697"/>
      <c r="S280" s="697"/>
      <c r="T280" s="697"/>
      <c r="U280" s="697"/>
      <c r="V280" s="697"/>
      <c r="W280" s="698"/>
      <c r="X280" s="698"/>
      <c r="Y280" s="697"/>
      <c r="Z280" s="697"/>
      <c r="AA280" s="697"/>
      <c r="AB280" s="697"/>
      <c r="AC280" s="697"/>
    </row>
    <row r="281" spans="1:29" ht="25.5" x14ac:dyDescent="0.2">
      <c r="A281" s="694" t="str">
        <f>+Info!$B$2</f>
        <v>724</v>
      </c>
      <c r="B281" s="694" t="s">
        <v>5165</v>
      </c>
      <c r="C281" s="694" t="s">
        <v>5166</v>
      </c>
      <c r="D281" s="695" t="s">
        <v>5167</v>
      </c>
      <c r="E281" s="696"/>
      <c r="F281" s="697"/>
      <c r="G281" s="697"/>
      <c r="H281" s="698"/>
      <c r="I281" s="697"/>
      <c r="J281" s="698"/>
      <c r="K281" s="697"/>
      <c r="L281" s="697"/>
      <c r="M281" s="697"/>
      <c r="N281" s="698"/>
      <c r="O281" s="697"/>
      <c r="P281" s="697"/>
      <c r="Q281" s="697"/>
      <c r="R281" s="697"/>
      <c r="S281" s="697"/>
      <c r="T281" s="697"/>
      <c r="U281" s="697"/>
      <c r="V281" s="697"/>
      <c r="W281" s="698"/>
      <c r="X281" s="698"/>
      <c r="Y281" s="697"/>
      <c r="Z281" s="697"/>
      <c r="AA281" s="697"/>
      <c r="AB281" s="697"/>
      <c r="AC281" s="697"/>
    </row>
    <row r="282" spans="1:29" x14ac:dyDescent="0.2">
      <c r="A282" s="694" t="str">
        <f>+Info!$B$2</f>
        <v>724</v>
      </c>
      <c r="B282" s="694" t="s">
        <v>5168</v>
      </c>
      <c r="C282" s="694" t="s">
        <v>5169</v>
      </c>
      <c r="D282" s="695" t="s">
        <v>5170</v>
      </c>
      <c r="E282" s="696"/>
      <c r="F282" s="697"/>
      <c r="G282" s="697"/>
      <c r="H282" s="698"/>
      <c r="I282" s="697"/>
      <c r="J282" s="698"/>
      <c r="K282" s="697"/>
      <c r="L282" s="697"/>
      <c r="M282" s="697"/>
      <c r="N282" s="698"/>
      <c r="O282" s="697"/>
      <c r="P282" s="697"/>
      <c r="Q282" s="697"/>
      <c r="R282" s="697"/>
      <c r="S282" s="697"/>
      <c r="T282" s="697"/>
      <c r="U282" s="697"/>
      <c r="V282" s="697"/>
      <c r="W282" s="698"/>
      <c r="X282" s="698"/>
      <c r="Y282" s="697"/>
      <c r="Z282" s="697"/>
      <c r="AA282" s="697"/>
      <c r="AB282" s="697"/>
      <c r="AC282" s="697"/>
    </row>
    <row r="283" spans="1:29" x14ac:dyDescent="0.2">
      <c r="A283" s="694" t="str">
        <f>+Info!$B$2</f>
        <v>724</v>
      </c>
      <c r="B283" s="694" t="s">
        <v>5171</v>
      </c>
      <c r="C283" s="694" t="s">
        <v>5172</v>
      </c>
      <c r="D283" s="695" t="s">
        <v>5173</v>
      </c>
      <c r="E283" s="696"/>
      <c r="F283" s="697"/>
      <c r="G283" s="697"/>
      <c r="H283" s="698"/>
      <c r="I283" s="697"/>
      <c r="J283" s="698"/>
      <c r="K283" s="697"/>
      <c r="L283" s="697"/>
      <c r="M283" s="697"/>
      <c r="N283" s="698"/>
      <c r="O283" s="697"/>
      <c r="P283" s="697"/>
      <c r="Q283" s="697"/>
      <c r="R283" s="697"/>
      <c r="S283" s="697"/>
      <c r="T283" s="697"/>
      <c r="U283" s="697"/>
      <c r="V283" s="697"/>
      <c r="W283" s="698"/>
      <c r="X283" s="698"/>
      <c r="Y283" s="697"/>
      <c r="Z283" s="697"/>
      <c r="AA283" s="697"/>
      <c r="AB283" s="697"/>
      <c r="AC283" s="697"/>
    </row>
    <row r="284" spans="1:29" ht="15" x14ac:dyDescent="0.25">
      <c r="A284" s="691" t="str">
        <f>+Info!$B$2</f>
        <v>724</v>
      </c>
      <c r="B284" s="691" t="s">
        <v>5174</v>
      </c>
      <c r="C284" s="691" t="s">
        <v>5175</v>
      </c>
      <c r="D284" s="692" t="s">
        <v>5176</v>
      </c>
      <c r="E284" s="693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</row>
    <row r="285" spans="1:29" x14ac:dyDescent="0.2">
      <c r="A285" s="694" t="str">
        <f>+Info!$B$2</f>
        <v>724</v>
      </c>
      <c r="B285" s="694" t="s">
        <v>5177</v>
      </c>
      <c r="C285" s="694" t="s">
        <v>5178</v>
      </c>
      <c r="D285" s="695" t="s">
        <v>5179</v>
      </c>
      <c r="E285" s="696"/>
      <c r="F285" s="697"/>
      <c r="G285" s="697"/>
      <c r="H285" s="698"/>
      <c r="I285" s="698"/>
      <c r="J285" s="697"/>
      <c r="K285" s="697"/>
      <c r="L285" s="697"/>
      <c r="M285" s="697"/>
      <c r="N285" s="698"/>
      <c r="O285" s="697"/>
      <c r="P285" s="697"/>
      <c r="Q285" s="697"/>
      <c r="R285" s="697"/>
      <c r="S285" s="697"/>
      <c r="T285" s="697"/>
      <c r="U285" s="697"/>
      <c r="V285" s="697"/>
      <c r="W285" s="698"/>
      <c r="X285" s="698"/>
      <c r="Y285" s="697"/>
      <c r="Z285" s="697"/>
      <c r="AA285" s="697"/>
      <c r="AB285" s="697"/>
      <c r="AC285" s="697"/>
    </row>
    <row r="286" spans="1:29" x14ac:dyDescent="0.2">
      <c r="A286" s="694" t="str">
        <f>+Info!$B$2</f>
        <v>724</v>
      </c>
      <c r="B286" s="694" t="s">
        <v>5180</v>
      </c>
      <c r="C286" s="694" t="s">
        <v>5181</v>
      </c>
      <c r="D286" s="695" t="s">
        <v>5182</v>
      </c>
      <c r="E286" s="696"/>
      <c r="F286" s="697"/>
      <c r="G286" s="697"/>
      <c r="H286" s="698"/>
      <c r="I286" s="698"/>
      <c r="J286" s="697"/>
      <c r="K286" s="697"/>
      <c r="L286" s="697"/>
      <c r="M286" s="697"/>
      <c r="N286" s="698"/>
      <c r="O286" s="697"/>
      <c r="P286" s="697"/>
      <c r="Q286" s="697"/>
      <c r="R286" s="697"/>
      <c r="S286" s="697"/>
      <c r="T286" s="697"/>
      <c r="U286" s="697"/>
      <c r="V286" s="697"/>
      <c r="W286" s="698"/>
      <c r="X286" s="698"/>
      <c r="Y286" s="697"/>
      <c r="Z286" s="697"/>
      <c r="AA286" s="697"/>
      <c r="AB286" s="697"/>
      <c r="AC286" s="697"/>
    </row>
    <row r="287" spans="1:29" x14ac:dyDescent="0.2">
      <c r="A287" s="694" t="str">
        <f>+Info!$B$2</f>
        <v>724</v>
      </c>
      <c r="B287" s="694" t="s">
        <v>5183</v>
      </c>
      <c r="C287" s="694" t="s">
        <v>5184</v>
      </c>
      <c r="D287" s="695" t="s">
        <v>5185</v>
      </c>
      <c r="E287" s="696"/>
      <c r="F287" s="697"/>
      <c r="G287" s="697"/>
      <c r="H287" s="698"/>
      <c r="I287" s="698"/>
      <c r="J287" s="697"/>
      <c r="K287" s="697"/>
      <c r="L287" s="697"/>
      <c r="M287" s="697"/>
      <c r="N287" s="698"/>
      <c r="O287" s="697"/>
      <c r="P287" s="697"/>
      <c r="Q287" s="697"/>
      <c r="R287" s="697"/>
      <c r="S287" s="697"/>
      <c r="T287" s="697"/>
      <c r="U287" s="697"/>
      <c r="V287" s="697"/>
      <c r="W287" s="698"/>
      <c r="X287" s="698"/>
      <c r="Y287" s="697"/>
      <c r="Z287" s="697"/>
      <c r="AA287" s="697"/>
      <c r="AB287" s="697"/>
      <c r="AC287" s="697"/>
    </row>
    <row r="288" spans="1:29" x14ac:dyDescent="0.2">
      <c r="A288" s="694" t="str">
        <f>+Info!$B$2</f>
        <v>724</v>
      </c>
      <c r="B288" s="694" t="s">
        <v>5186</v>
      </c>
      <c r="C288" s="694" t="s">
        <v>5187</v>
      </c>
      <c r="D288" s="695" t="s">
        <v>5188</v>
      </c>
      <c r="E288" s="696"/>
      <c r="F288" s="697"/>
      <c r="G288" s="697"/>
      <c r="H288" s="698"/>
      <c r="I288" s="698"/>
      <c r="J288" s="697"/>
      <c r="K288" s="697"/>
      <c r="L288" s="697"/>
      <c r="M288" s="697"/>
      <c r="N288" s="698"/>
      <c r="O288" s="697"/>
      <c r="P288" s="697"/>
      <c r="Q288" s="697"/>
      <c r="R288" s="697"/>
      <c r="S288" s="697"/>
      <c r="T288" s="697"/>
      <c r="U288" s="697"/>
      <c r="V288" s="697"/>
      <c r="W288" s="698"/>
      <c r="X288" s="698"/>
      <c r="Y288" s="697"/>
      <c r="Z288" s="697"/>
      <c r="AA288" s="697"/>
      <c r="AB288" s="697"/>
      <c r="AC288" s="697"/>
    </row>
    <row r="289" spans="1:29" ht="25.5" x14ac:dyDescent="0.2">
      <c r="A289" s="694" t="str">
        <f>+Info!$B$2</f>
        <v>724</v>
      </c>
      <c r="B289" s="694" t="s">
        <v>5189</v>
      </c>
      <c r="C289" s="694" t="s">
        <v>5190</v>
      </c>
      <c r="D289" s="695" t="s">
        <v>5191</v>
      </c>
      <c r="E289" s="696"/>
      <c r="F289" s="697"/>
      <c r="G289" s="697"/>
      <c r="H289" s="698"/>
      <c r="I289" s="698"/>
      <c r="J289" s="697"/>
      <c r="K289" s="697"/>
      <c r="L289" s="697"/>
      <c r="M289" s="697"/>
      <c r="N289" s="698"/>
      <c r="O289" s="697"/>
      <c r="P289" s="697"/>
      <c r="Q289" s="697"/>
      <c r="R289" s="697"/>
      <c r="S289" s="697"/>
      <c r="T289" s="697"/>
      <c r="U289" s="697"/>
      <c r="V289" s="697"/>
      <c r="W289" s="698"/>
      <c r="X289" s="698"/>
      <c r="Y289" s="697"/>
      <c r="Z289" s="697"/>
      <c r="AA289" s="697"/>
      <c r="AB289" s="697"/>
      <c r="AC289" s="697"/>
    </row>
    <row r="290" spans="1:29" x14ac:dyDescent="0.2">
      <c r="A290" s="694" t="str">
        <f>+Info!$B$2</f>
        <v>724</v>
      </c>
      <c r="B290" s="694" t="s">
        <v>5192</v>
      </c>
      <c r="C290" s="694" t="s">
        <v>5193</v>
      </c>
      <c r="D290" s="695" t="s">
        <v>5194</v>
      </c>
      <c r="E290" s="696"/>
      <c r="F290" s="697"/>
      <c r="G290" s="697"/>
      <c r="H290" s="698"/>
      <c r="I290" s="698"/>
      <c r="J290" s="697"/>
      <c r="K290" s="697"/>
      <c r="L290" s="697"/>
      <c r="M290" s="697"/>
      <c r="N290" s="698"/>
      <c r="O290" s="697"/>
      <c r="P290" s="697"/>
      <c r="Q290" s="697"/>
      <c r="R290" s="697"/>
      <c r="S290" s="697"/>
      <c r="T290" s="697"/>
      <c r="U290" s="697"/>
      <c r="V290" s="697"/>
      <c r="W290" s="698"/>
      <c r="X290" s="698"/>
      <c r="Y290" s="697"/>
      <c r="Z290" s="697"/>
      <c r="AA290" s="697"/>
      <c r="AB290" s="697"/>
      <c r="AC290" s="697"/>
    </row>
    <row r="291" spans="1:29" x14ac:dyDescent="0.2">
      <c r="A291" s="702" t="str">
        <f>+Info!$B$2</f>
        <v>724</v>
      </c>
      <c r="B291" s="702" t="s">
        <v>5195</v>
      </c>
      <c r="C291" s="702" t="s">
        <v>5196</v>
      </c>
      <c r="D291" s="695" t="s">
        <v>5197</v>
      </c>
      <c r="E291" s="696"/>
      <c r="F291" s="697"/>
      <c r="G291" s="697"/>
      <c r="H291" s="698"/>
      <c r="I291" s="698"/>
      <c r="J291" s="697"/>
      <c r="K291" s="697"/>
      <c r="L291" s="697"/>
      <c r="M291" s="697"/>
      <c r="N291" s="698"/>
      <c r="O291" s="697"/>
      <c r="P291" s="697"/>
      <c r="Q291" s="697"/>
      <c r="R291" s="697"/>
      <c r="S291" s="697"/>
      <c r="T291" s="697"/>
      <c r="U291" s="697"/>
      <c r="V291" s="697"/>
      <c r="W291" s="698"/>
      <c r="X291" s="698"/>
      <c r="Y291" s="697"/>
      <c r="Z291" s="697"/>
      <c r="AA291" s="697"/>
      <c r="AB291" s="697"/>
      <c r="AC291" s="697"/>
    </row>
    <row r="292" spans="1:29" ht="15" x14ac:dyDescent="0.25">
      <c r="A292" s="691" t="str">
        <f>+Info!$B$2</f>
        <v>724</v>
      </c>
      <c r="B292" s="691" t="s">
        <v>5198</v>
      </c>
      <c r="C292" s="691" t="s">
        <v>5199</v>
      </c>
      <c r="D292" s="692" t="s">
        <v>5200</v>
      </c>
      <c r="E292" s="693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</row>
    <row r="293" spans="1:29" x14ac:dyDescent="0.2">
      <c r="A293" s="694" t="str">
        <f>+Info!$B$2</f>
        <v>724</v>
      </c>
      <c r="B293" s="694" t="s">
        <v>5201</v>
      </c>
      <c r="C293" s="694" t="s">
        <v>5202</v>
      </c>
      <c r="D293" s="695" t="s">
        <v>5203</v>
      </c>
      <c r="E293" s="696"/>
      <c r="F293" s="697"/>
      <c r="G293" s="697"/>
      <c r="H293" s="698"/>
      <c r="I293" s="697"/>
      <c r="J293" s="698"/>
      <c r="K293" s="697"/>
      <c r="L293" s="697"/>
      <c r="M293" s="697"/>
      <c r="N293" s="698"/>
      <c r="O293" s="697"/>
      <c r="P293" s="697"/>
      <c r="Q293" s="697"/>
      <c r="R293" s="697"/>
      <c r="S293" s="697"/>
      <c r="T293" s="697"/>
      <c r="U293" s="697"/>
      <c r="V293" s="697"/>
      <c r="W293" s="698"/>
      <c r="X293" s="698"/>
      <c r="Y293" s="697"/>
      <c r="Z293" s="697"/>
      <c r="AA293" s="697"/>
      <c r="AB293" s="697"/>
      <c r="AC293" s="697"/>
    </row>
    <row r="294" spans="1:29" x14ac:dyDescent="0.2">
      <c r="A294" s="694" t="str">
        <f>+Info!$B$2</f>
        <v>724</v>
      </c>
      <c r="B294" s="694" t="s">
        <v>5204</v>
      </c>
      <c r="C294" s="694" t="s">
        <v>5205</v>
      </c>
      <c r="D294" s="695" t="s">
        <v>5206</v>
      </c>
      <c r="E294" s="696"/>
      <c r="F294" s="697"/>
      <c r="G294" s="697"/>
      <c r="H294" s="698"/>
      <c r="I294" s="697"/>
      <c r="J294" s="698"/>
      <c r="K294" s="697"/>
      <c r="L294" s="697"/>
      <c r="M294" s="697"/>
      <c r="N294" s="698"/>
      <c r="O294" s="697"/>
      <c r="P294" s="697"/>
      <c r="Q294" s="697"/>
      <c r="R294" s="697"/>
      <c r="S294" s="697"/>
      <c r="T294" s="697"/>
      <c r="U294" s="697"/>
      <c r="V294" s="697"/>
      <c r="W294" s="698"/>
      <c r="X294" s="698"/>
      <c r="Y294" s="697"/>
      <c r="Z294" s="697"/>
      <c r="AA294" s="697"/>
      <c r="AB294" s="697"/>
      <c r="AC294" s="697"/>
    </row>
    <row r="295" spans="1:29" x14ac:dyDescent="0.2">
      <c r="A295" s="694" t="str">
        <f>+Info!$B$2</f>
        <v>724</v>
      </c>
      <c r="B295" s="694" t="s">
        <v>5207</v>
      </c>
      <c r="C295" s="694" t="s">
        <v>5208</v>
      </c>
      <c r="D295" s="695" t="s">
        <v>5209</v>
      </c>
      <c r="E295" s="696"/>
      <c r="F295" s="697"/>
      <c r="G295" s="697"/>
      <c r="H295" s="698"/>
      <c r="I295" s="697"/>
      <c r="J295" s="698"/>
      <c r="K295" s="697"/>
      <c r="L295" s="697"/>
      <c r="M295" s="697"/>
      <c r="N295" s="698"/>
      <c r="O295" s="697"/>
      <c r="P295" s="697"/>
      <c r="Q295" s="697"/>
      <c r="R295" s="697"/>
      <c r="S295" s="697"/>
      <c r="T295" s="697"/>
      <c r="U295" s="697"/>
      <c r="V295" s="697"/>
      <c r="W295" s="698"/>
      <c r="X295" s="698"/>
      <c r="Y295" s="697"/>
      <c r="Z295" s="697"/>
      <c r="AA295" s="697"/>
      <c r="AB295" s="697"/>
      <c r="AC295" s="697"/>
    </row>
    <row r="296" spans="1:29" x14ac:dyDescent="0.2">
      <c r="A296" s="694" t="str">
        <f>+Info!$B$2</f>
        <v>724</v>
      </c>
      <c r="B296" s="694" t="s">
        <v>5210</v>
      </c>
      <c r="C296" s="694" t="s">
        <v>5211</v>
      </c>
      <c r="D296" s="695" t="s">
        <v>5212</v>
      </c>
      <c r="E296" s="696"/>
      <c r="F296" s="697"/>
      <c r="G296" s="697"/>
      <c r="H296" s="698"/>
      <c r="I296" s="697"/>
      <c r="J296" s="698"/>
      <c r="K296" s="697"/>
      <c r="L296" s="697"/>
      <c r="M296" s="697"/>
      <c r="N296" s="698"/>
      <c r="O296" s="697"/>
      <c r="P296" s="697"/>
      <c r="Q296" s="697"/>
      <c r="R296" s="697"/>
      <c r="S296" s="697"/>
      <c r="T296" s="697"/>
      <c r="U296" s="697"/>
      <c r="V296" s="697"/>
      <c r="W296" s="698"/>
      <c r="X296" s="698"/>
      <c r="Y296" s="697"/>
      <c r="Z296" s="697"/>
      <c r="AA296" s="697"/>
      <c r="AB296" s="697"/>
      <c r="AC296" s="697"/>
    </row>
    <row r="297" spans="1:29" x14ac:dyDescent="0.2">
      <c r="A297" s="694" t="str">
        <f>+Info!$B$2</f>
        <v>724</v>
      </c>
      <c r="B297" s="694" t="s">
        <v>5213</v>
      </c>
      <c r="C297" s="694" t="s">
        <v>5214</v>
      </c>
      <c r="D297" s="695" t="s">
        <v>5215</v>
      </c>
      <c r="E297" s="696"/>
      <c r="F297" s="697"/>
      <c r="G297" s="697"/>
      <c r="H297" s="698"/>
      <c r="I297" s="697"/>
      <c r="J297" s="698"/>
      <c r="K297" s="697"/>
      <c r="L297" s="697"/>
      <c r="M297" s="697"/>
      <c r="N297" s="698"/>
      <c r="O297" s="697"/>
      <c r="P297" s="697"/>
      <c r="Q297" s="697"/>
      <c r="R297" s="697"/>
      <c r="S297" s="697"/>
      <c r="T297" s="697"/>
      <c r="U297" s="697"/>
      <c r="V297" s="697"/>
      <c r="W297" s="698"/>
      <c r="X297" s="698"/>
      <c r="Y297" s="697"/>
      <c r="Z297" s="697"/>
      <c r="AA297" s="697"/>
      <c r="AB297" s="697"/>
      <c r="AC297" s="697"/>
    </row>
    <row r="298" spans="1:29" x14ac:dyDescent="0.2">
      <c r="A298" s="694" t="str">
        <f>+Info!$B$2</f>
        <v>724</v>
      </c>
      <c r="B298" s="694" t="s">
        <v>5216</v>
      </c>
      <c r="C298" s="694" t="s">
        <v>5217</v>
      </c>
      <c r="D298" s="695" t="s">
        <v>5218</v>
      </c>
      <c r="E298" s="696"/>
      <c r="F298" s="697"/>
      <c r="G298" s="697"/>
      <c r="H298" s="698"/>
      <c r="I298" s="697"/>
      <c r="J298" s="697"/>
      <c r="K298" s="697"/>
      <c r="L298" s="697"/>
      <c r="M298" s="697"/>
      <c r="N298" s="698"/>
      <c r="O298" s="697"/>
      <c r="P298" s="697"/>
      <c r="Q298" s="697"/>
      <c r="R298" s="697"/>
      <c r="S298" s="697"/>
      <c r="T298" s="697"/>
      <c r="U298" s="697"/>
      <c r="V298" s="697"/>
      <c r="W298" s="698"/>
      <c r="X298" s="698"/>
      <c r="Y298" s="697"/>
      <c r="Z298" s="697"/>
      <c r="AA298" s="697"/>
      <c r="AB298" s="697"/>
      <c r="AC298" s="697"/>
    </row>
    <row r="299" spans="1:29" ht="25.5" x14ac:dyDescent="0.2">
      <c r="A299" s="694" t="str">
        <f>+Info!$B$2</f>
        <v>724</v>
      </c>
      <c r="B299" s="694" t="s">
        <v>5219</v>
      </c>
      <c r="C299" s="694" t="s">
        <v>5220</v>
      </c>
      <c r="D299" s="695" t="s">
        <v>5221</v>
      </c>
      <c r="E299" s="696"/>
      <c r="F299" s="697"/>
      <c r="G299" s="697"/>
      <c r="H299" s="698"/>
      <c r="I299" s="697"/>
      <c r="J299" s="698"/>
      <c r="K299" s="697"/>
      <c r="L299" s="697"/>
      <c r="M299" s="697"/>
      <c r="N299" s="698"/>
      <c r="O299" s="697"/>
      <c r="P299" s="697"/>
      <c r="Q299" s="697"/>
      <c r="R299" s="697"/>
      <c r="S299" s="697"/>
      <c r="T299" s="697"/>
      <c r="U299" s="697"/>
      <c r="V299" s="697"/>
      <c r="W299" s="698"/>
      <c r="X299" s="698"/>
      <c r="Y299" s="697"/>
      <c r="Z299" s="697"/>
      <c r="AA299" s="697"/>
      <c r="AB299" s="697"/>
      <c r="AC299" s="697"/>
    </row>
    <row r="300" spans="1:29" x14ac:dyDescent="0.2">
      <c r="A300" s="694" t="str">
        <f>+Info!$B$2</f>
        <v>724</v>
      </c>
      <c r="B300" s="694" t="s">
        <v>5222</v>
      </c>
      <c r="C300" s="694" t="s">
        <v>5223</v>
      </c>
      <c r="D300" s="695" t="s">
        <v>5224</v>
      </c>
      <c r="E300" s="696"/>
      <c r="F300" s="697"/>
      <c r="G300" s="697"/>
      <c r="H300" s="698"/>
      <c r="I300" s="697"/>
      <c r="J300" s="698"/>
      <c r="K300" s="697"/>
      <c r="L300" s="697"/>
      <c r="M300" s="697"/>
      <c r="N300" s="698"/>
      <c r="O300" s="697"/>
      <c r="P300" s="697"/>
      <c r="Q300" s="697"/>
      <c r="R300" s="697"/>
      <c r="S300" s="697"/>
      <c r="T300" s="697"/>
      <c r="U300" s="697"/>
      <c r="V300" s="697"/>
      <c r="W300" s="698"/>
      <c r="X300" s="698"/>
      <c r="Y300" s="697"/>
      <c r="Z300" s="697"/>
      <c r="AA300" s="697"/>
      <c r="AB300" s="697"/>
      <c r="AC300" s="697"/>
    </row>
    <row r="301" spans="1:29" ht="25.5" x14ac:dyDescent="0.25">
      <c r="A301" s="691" t="str">
        <f>+Info!$B$2</f>
        <v>724</v>
      </c>
      <c r="B301" s="691" t="s">
        <v>5225</v>
      </c>
      <c r="C301" s="691" t="s">
        <v>5226</v>
      </c>
      <c r="D301" s="692" t="s">
        <v>5227</v>
      </c>
      <c r="E301" s="693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</row>
    <row r="302" spans="1:29" x14ac:dyDescent="0.2">
      <c r="A302" s="694" t="str">
        <f>+Info!$B$2</f>
        <v>724</v>
      </c>
      <c r="B302" s="694" t="s">
        <v>5228</v>
      </c>
      <c r="C302" s="694" t="s">
        <v>5229</v>
      </c>
      <c r="D302" s="695" t="s">
        <v>5230</v>
      </c>
      <c r="E302" s="696"/>
      <c r="F302" s="697"/>
      <c r="G302" s="697"/>
      <c r="H302" s="698"/>
      <c r="I302" s="697"/>
      <c r="J302" s="697"/>
      <c r="K302" s="697"/>
      <c r="L302" s="697"/>
      <c r="M302" s="697"/>
      <c r="N302" s="698"/>
      <c r="O302" s="697"/>
      <c r="P302" s="697"/>
      <c r="Q302" s="697"/>
      <c r="R302" s="697"/>
      <c r="S302" s="697"/>
      <c r="T302" s="697"/>
      <c r="U302" s="697"/>
      <c r="V302" s="697"/>
      <c r="W302" s="698"/>
      <c r="X302" s="698"/>
      <c r="Y302" s="697"/>
      <c r="Z302" s="697"/>
      <c r="AA302" s="697"/>
      <c r="AB302" s="697"/>
      <c r="AC302" s="697"/>
    </row>
    <row r="303" spans="1:29" x14ac:dyDescent="0.2">
      <c r="A303" s="694" t="str">
        <f>+Info!$B$2</f>
        <v>724</v>
      </c>
      <c r="B303" s="694" t="s">
        <v>5231</v>
      </c>
      <c r="C303" s="694" t="s">
        <v>5232</v>
      </c>
      <c r="D303" s="695" t="s">
        <v>5233</v>
      </c>
      <c r="E303" s="696"/>
      <c r="F303" s="697"/>
      <c r="G303" s="697"/>
      <c r="H303" s="698"/>
      <c r="I303" s="697"/>
      <c r="J303" s="697"/>
      <c r="K303" s="697"/>
      <c r="L303" s="697"/>
      <c r="M303" s="697"/>
      <c r="N303" s="698"/>
      <c r="O303" s="697"/>
      <c r="P303" s="697"/>
      <c r="Q303" s="697"/>
      <c r="R303" s="697"/>
      <c r="S303" s="697"/>
      <c r="T303" s="697"/>
      <c r="U303" s="697"/>
      <c r="V303" s="697"/>
      <c r="W303" s="698"/>
      <c r="X303" s="698"/>
      <c r="Y303" s="697"/>
      <c r="Z303" s="697"/>
      <c r="AA303" s="697"/>
      <c r="AB303" s="697"/>
      <c r="AC303" s="697"/>
    </row>
    <row r="304" spans="1:29" x14ac:dyDescent="0.2">
      <c r="A304" s="694" t="str">
        <f>+Info!$B$2</f>
        <v>724</v>
      </c>
      <c r="B304" s="694" t="s">
        <v>5234</v>
      </c>
      <c r="C304" s="694" t="s">
        <v>5235</v>
      </c>
      <c r="D304" s="695" t="s">
        <v>5236</v>
      </c>
      <c r="E304" s="696"/>
      <c r="F304" s="697"/>
      <c r="G304" s="697"/>
      <c r="H304" s="698"/>
      <c r="I304" s="697"/>
      <c r="J304" s="697"/>
      <c r="K304" s="697"/>
      <c r="L304" s="697"/>
      <c r="M304" s="697"/>
      <c r="N304" s="698"/>
      <c r="O304" s="697"/>
      <c r="P304" s="697"/>
      <c r="Q304" s="697"/>
      <c r="R304" s="697"/>
      <c r="S304" s="697"/>
      <c r="T304" s="697"/>
      <c r="U304" s="697"/>
      <c r="V304" s="697"/>
      <c r="W304" s="698"/>
      <c r="X304" s="698"/>
      <c r="Y304" s="697"/>
      <c r="Z304" s="697"/>
      <c r="AA304" s="697"/>
      <c r="AB304" s="697"/>
      <c r="AC304" s="697"/>
    </row>
    <row r="305" spans="1:29" x14ac:dyDescent="0.2">
      <c r="A305" s="694" t="str">
        <f>+Info!$B$2</f>
        <v>724</v>
      </c>
      <c r="B305" s="694" t="s">
        <v>5237</v>
      </c>
      <c r="C305" s="694" t="s">
        <v>5238</v>
      </c>
      <c r="D305" s="695" t="s">
        <v>5239</v>
      </c>
      <c r="E305" s="696"/>
      <c r="F305" s="697"/>
      <c r="G305" s="697"/>
      <c r="H305" s="698"/>
      <c r="I305" s="697"/>
      <c r="J305" s="697"/>
      <c r="K305" s="697"/>
      <c r="L305" s="697"/>
      <c r="M305" s="697"/>
      <c r="N305" s="698"/>
      <c r="O305" s="697"/>
      <c r="P305" s="697"/>
      <c r="Q305" s="697"/>
      <c r="R305" s="697"/>
      <c r="S305" s="697"/>
      <c r="T305" s="697"/>
      <c r="U305" s="697"/>
      <c r="V305" s="697"/>
      <c r="W305" s="698"/>
      <c r="X305" s="698"/>
      <c r="Y305" s="697"/>
      <c r="Z305" s="697"/>
      <c r="AA305" s="697"/>
      <c r="AB305" s="697"/>
      <c r="AC305" s="697"/>
    </row>
    <row r="306" spans="1:29" x14ac:dyDescent="0.2">
      <c r="A306" s="694" t="str">
        <f>+Info!$B$2</f>
        <v>724</v>
      </c>
      <c r="B306" s="694" t="s">
        <v>5240</v>
      </c>
      <c r="C306" s="694" t="s">
        <v>5241</v>
      </c>
      <c r="D306" s="695" t="s">
        <v>5242</v>
      </c>
      <c r="E306" s="696"/>
      <c r="F306" s="697"/>
      <c r="G306" s="697"/>
      <c r="H306" s="698"/>
      <c r="I306" s="697"/>
      <c r="J306" s="697"/>
      <c r="K306" s="697"/>
      <c r="L306" s="697"/>
      <c r="M306" s="697"/>
      <c r="N306" s="698"/>
      <c r="O306" s="697"/>
      <c r="P306" s="697"/>
      <c r="Q306" s="697"/>
      <c r="R306" s="697"/>
      <c r="S306" s="697"/>
      <c r="T306" s="697"/>
      <c r="U306" s="697"/>
      <c r="V306" s="697"/>
      <c r="W306" s="698"/>
      <c r="X306" s="698"/>
      <c r="Y306" s="697"/>
      <c r="Z306" s="697"/>
      <c r="AA306" s="697"/>
      <c r="AB306" s="697"/>
      <c r="AC306" s="697"/>
    </row>
    <row r="307" spans="1:29" x14ac:dyDescent="0.2">
      <c r="A307" s="694" t="str">
        <f>+Info!$B$2</f>
        <v>724</v>
      </c>
      <c r="B307" s="694" t="s">
        <v>5243</v>
      </c>
      <c r="C307" s="694" t="s">
        <v>5244</v>
      </c>
      <c r="D307" s="695" t="s">
        <v>5245</v>
      </c>
      <c r="E307" s="696"/>
      <c r="F307" s="697"/>
      <c r="G307" s="697"/>
      <c r="H307" s="698"/>
      <c r="I307" s="697"/>
      <c r="J307" s="697"/>
      <c r="K307" s="697"/>
      <c r="L307" s="697"/>
      <c r="M307" s="697"/>
      <c r="N307" s="698"/>
      <c r="O307" s="697"/>
      <c r="P307" s="697"/>
      <c r="Q307" s="697"/>
      <c r="R307" s="697"/>
      <c r="S307" s="697"/>
      <c r="T307" s="697"/>
      <c r="U307" s="697"/>
      <c r="V307" s="697"/>
      <c r="W307" s="698"/>
      <c r="X307" s="698"/>
      <c r="Y307" s="697"/>
      <c r="Z307" s="697"/>
      <c r="AA307" s="697"/>
      <c r="AB307" s="697"/>
      <c r="AC307" s="697"/>
    </row>
    <row r="308" spans="1:29" x14ac:dyDescent="0.2">
      <c r="A308" s="694" t="str">
        <f>+Info!$B$2</f>
        <v>724</v>
      </c>
      <c r="B308" s="694" t="s">
        <v>5246</v>
      </c>
      <c r="C308" s="694" t="s">
        <v>5247</v>
      </c>
      <c r="D308" s="695" t="s">
        <v>5248</v>
      </c>
      <c r="E308" s="696"/>
      <c r="F308" s="697"/>
      <c r="G308" s="697"/>
      <c r="H308" s="698"/>
      <c r="I308" s="697"/>
      <c r="J308" s="698"/>
      <c r="K308" s="697"/>
      <c r="L308" s="697"/>
      <c r="M308" s="697"/>
      <c r="N308" s="698"/>
      <c r="O308" s="697"/>
      <c r="P308" s="697"/>
      <c r="Q308" s="697"/>
      <c r="R308" s="697"/>
      <c r="S308" s="697"/>
      <c r="T308" s="697"/>
      <c r="U308" s="697"/>
      <c r="V308" s="697"/>
      <c r="W308" s="698"/>
      <c r="X308" s="698"/>
      <c r="Y308" s="697"/>
      <c r="Z308" s="697"/>
      <c r="AA308" s="697"/>
      <c r="AB308" s="697"/>
      <c r="AC308" s="697"/>
    </row>
    <row r="309" spans="1:29" x14ac:dyDescent="0.2">
      <c r="A309" s="694" t="str">
        <f>+Info!$B$2</f>
        <v>724</v>
      </c>
      <c r="B309" s="694" t="s">
        <v>5249</v>
      </c>
      <c r="C309" s="694" t="s">
        <v>5250</v>
      </c>
      <c r="D309" s="695" t="s">
        <v>5251</v>
      </c>
      <c r="E309" s="696"/>
      <c r="F309" s="697"/>
      <c r="G309" s="697"/>
      <c r="H309" s="698"/>
      <c r="I309" s="697"/>
      <c r="J309" s="698"/>
      <c r="K309" s="697"/>
      <c r="L309" s="697"/>
      <c r="M309" s="697"/>
      <c r="N309" s="698"/>
      <c r="O309" s="697"/>
      <c r="P309" s="697"/>
      <c r="Q309" s="697"/>
      <c r="R309" s="697"/>
      <c r="S309" s="697"/>
      <c r="T309" s="697"/>
      <c r="U309" s="697"/>
      <c r="V309" s="697"/>
      <c r="W309" s="698"/>
      <c r="X309" s="698"/>
      <c r="Y309" s="697"/>
      <c r="Z309" s="697"/>
      <c r="AA309" s="697"/>
      <c r="AB309" s="697"/>
      <c r="AC309" s="697"/>
    </row>
    <row r="310" spans="1:29" x14ac:dyDescent="0.2">
      <c r="A310" s="694" t="str">
        <f>+Info!$B$2</f>
        <v>724</v>
      </c>
      <c r="B310" s="694" t="s">
        <v>5252</v>
      </c>
      <c r="C310" s="694" t="s">
        <v>5253</v>
      </c>
      <c r="D310" s="695" t="s">
        <v>5254</v>
      </c>
      <c r="E310" s="696"/>
      <c r="F310" s="697"/>
      <c r="G310" s="697"/>
      <c r="H310" s="698"/>
      <c r="I310" s="697"/>
      <c r="J310" s="698"/>
      <c r="K310" s="697"/>
      <c r="L310" s="697"/>
      <c r="M310" s="697"/>
      <c r="N310" s="698"/>
      <c r="O310" s="697"/>
      <c r="P310" s="697"/>
      <c r="Q310" s="697"/>
      <c r="R310" s="697"/>
      <c r="S310" s="697"/>
      <c r="T310" s="697"/>
      <c r="U310" s="697"/>
      <c r="V310" s="697"/>
      <c r="W310" s="698"/>
      <c r="X310" s="698"/>
      <c r="Y310" s="697"/>
      <c r="Z310" s="697"/>
      <c r="AA310" s="697"/>
      <c r="AB310" s="697"/>
      <c r="AC310" s="697"/>
    </row>
    <row r="311" spans="1:29" x14ac:dyDescent="0.2">
      <c r="A311" s="694" t="str">
        <f>+Info!$B$2</f>
        <v>724</v>
      </c>
      <c r="B311" s="694" t="s">
        <v>5255</v>
      </c>
      <c r="C311" s="694" t="s">
        <v>5256</v>
      </c>
      <c r="D311" s="695" t="s">
        <v>5257</v>
      </c>
      <c r="E311" s="696"/>
      <c r="F311" s="697"/>
      <c r="G311" s="697"/>
      <c r="H311" s="698"/>
      <c r="I311" s="697"/>
      <c r="J311" s="698"/>
      <c r="K311" s="697"/>
      <c r="L311" s="697"/>
      <c r="M311" s="697"/>
      <c r="N311" s="698"/>
      <c r="O311" s="697"/>
      <c r="P311" s="697"/>
      <c r="Q311" s="697"/>
      <c r="R311" s="697"/>
      <c r="S311" s="697"/>
      <c r="T311" s="697"/>
      <c r="U311" s="697"/>
      <c r="V311" s="697"/>
      <c r="W311" s="698"/>
      <c r="X311" s="698"/>
      <c r="Y311" s="697"/>
      <c r="Z311" s="697"/>
      <c r="AA311" s="697"/>
      <c r="AB311" s="697"/>
      <c r="AC311" s="697"/>
    </row>
    <row r="312" spans="1:29" x14ac:dyDescent="0.2">
      <c r="A312" s="694" t="str">
        <f>+Info!$B$2</f>
        <v>724</v>
      </c>
      <c r="B312" s="694" t="s">
        <v>5258</v>
      </c>
      <c r="C312" s="694" t="s">
        <v>5259</v>
      </c>
      <c r="D312" s="695" t="s">
        <v>5260</v>
      </c>
      <c r="E312" s="696"/>
      <c r="F312" s="697"/>
      <c r="G312" s="697"/>
      <c r="H312" s="698"/>
      <c r="I312" s="697"/>
      <c r="J312" s="698"/>
      <c r="K312" s="697"/>
      <c r="L312" s="697"/>
      <c r="M312" s="697"/>
      <c r="N312" s="698"/>
      <c r="O312" s="697"/>
      <c r="P312" s="697"/>
      <c r="Q312" s="697"/>
      <c r="R312" s="697"/>
      <c r="S312" s="697"/>
      <c r="T312" s="697"/>
      <c r="U312" s="697"/>
      <c r="V312" s="697"/>
      <c r="W312" s="698"/>
      <c r="X312" s="698"/>
      <c r="Y312" s="697"/>
      <c r="Z312" s="697"/>
      <c r="AA312" s="697"/>
      <c r="AB312" s="697"/>
      <c r="AC312" s="697"/>
    </row>
    <row r="313" spans="1:29" x14ac:dyDescent="0.2">
      <c r="A313" s="694" t="str">
        <f>+Info!$B$2</f>
        <v>724</v>
      </c>
      <c r="B313" s="694" t="s">
        <v>5261</v>
      </c>
      <c r="C313" s="694" t="s">
        <v>5262</v>
      </c>
      <c r="D313" s="695" t="s">
        <v>5263</v>
      </c>
      <c r="E313" s="696"/>
      <c r="F313" s="697"/>
      <c r="G313" s="697"/>
      <c r="H313" s="698"/>
      <c r="I313" s="697"/>
      <c r="J313" s="698"/>
      <c r="K313" s="697"/>
      <c r="L313" s="697"/>
      <c r="M313" s="697"/>
      <c r="N313" s="698"/>
      <c r="O313" s="697"/>
      <c r="P313" s="697"/>
      <c r="Q313" s="697"/>
      <c r="R313" s="697"/>
      <c r="S313" s="697"/>
      <c r="T313" s="697"/>
      <c r="U313" s="697"/>
      <c r="V313" s="697"/>
      <c r="W313" s="698"/>
      <c r="X313" s="698"/>
      <c r="Y313" s="697"/>
      <c r="Z313" s="697"/>
      <c r="AA313" s="697"/>
      <c r="AB313" s="697"/>
      <c r="AC313" s="697"/>
    </row>
    <row r="314" spans="1:29" x14ac:dyDescent="0.2">
      <c r="A314" s="694" t="str">
        <f>+Info!$B$2</f>
        <v>724</v>
      </c>
      <c r="B314" s="694" t="s">
        <v>5264</v>
      </c>
      <c r="C314" s="694" t="s">
        <v>5265</v>
      </c>
      <c r="D314" s="695" t="s">
        <v>5266</v>
      </c>
      <c r="E314" s="696"/>
      <c r="F314" s="697"/>
      <c r="G314" s="697"/>
      <c r="H314" s="698"/>
      <c r="I314" s="697"/>
      <c r="J314" s="698"/>
      <c r="K314" s="697"/>
      <c r="L314" s="697"/>
      <c r="M314" s="697"/>
      <c r="N314" s="698"/>
      <c r="O314" s="697"/>
      <c r="P314" s="697"/>
      <c r="Q314" s="697"/>
      <c r="R314" s="697"/>
      <c r="S314" s="697"/>
      <c r="T314" s="697"/>
      <c r="U314" s="697"/>
      <c r="V314" s="697"/>
      <c r="W314" s="698"/>
      <c r="X314" s="698"/>
      <c r="Y314" s="697"/>
      <c r="Z314" s="697"/>
      <c r="AA314" s="697"/>
      <c r="AB314" s="697"/>
      <c r="AC314" s="697"/>
    </row>
    <row r="315" spans="1:29" x14ac:dyDescent="0.2">
      <c r="A315" s="694" t="str">
        <f>+Info!$B$2</f>
        <v>724</v>
      </c>
      <c r="B315" s="694" t="s">
        <v>5267</v>
      </c>
      <c r="C315" s="694" t="s">
        <v>5268</v>
      </c>
      <c r="D315" s="695" t="s">
        <v>5269</v>
      </c>
      <c r="E315" s="696"/>
      <c r="F315" s="697"/>
      <c r="G315" s="697"/>
      <c r="H315" s="698"/>
      <c r="I315" s="698"/>
      <c r="J315" s="698"/>
      <c r="K315" s="697"/>
      <c r="L315" s="697"/>
      <c r="M315" s="697"/>
      <c r="N315" s="698"/>
      <c r="O315" s="697"/>
      <c r="P315" s="697"/>
      <c r="Q315" s="697"/>
      <c r="R315" s="697"/>
      <c r="S315" s="697"/>
      <c r="T315" s="697"/>
      <c r="U315" s="697"/>
      <c r="V315" s="697"/>
      <c r="W315" s="698"/>
      <c r="X315" s="698"/>
      <c r="Y315" s="697"/>
      <c r="Z315" s="697"/>
      <c r="AA315" s="697"/>
      <c r="AB315" s="697"/>
      <c r="AC315" s="697"/>
    </row>
    <row r="316" spans="1:29" x14ac:dyDescent="0.2">
      <c r="A316" s="694" t="str">
        <f>+Info!$B$2</f>
        <v>724</v>
      </c>
      <c r="B316" s="694" t="s">
        <v>5270</v>
      </c>
      <c r="C316" s="694" t="s">
        <v>5271</v>
      </c>
      <c r="D316" s="695" t="s">
        <v>5272</v>
      </c>
      <c r="E316" s="696"/>
      <c r="F316" s="697"/>
      <c r="G316" s="697"/>
      <c r="H316" s="698"/>
      <c r="I316" s="697"/>
      <c r="J316" s="698"/>
      <c r="K316" s="697"/>
      <c r="L316" s="697"/>
      <c r="M316" s="697"/>
      <c r="N316" s="698"/>
      <c r="O316" s="697"/>
      <c r="P316" s="697"/>
      <c r="Q316" s="697"/>
      <c r="R316" s="697"/>
      <c r="S316" s="697"/>
      <c r="T316" s="697"/>
      <c r="U316" s="697"/>
      <c r="V316" s="697"/>
      <c r="W316" s="698"/>
      <c r="X316" s="698"/>
      <c r="Y316" s="697"/>
      <c r="Z316" s="697"/>
      <c r="AA316" s="697"/>
      <c r="AB316" s="697"/>
      <c r="AC316" s="697"/>
    </row>
    <row r="317" spans="1:29" x14ac:dyDescent="0.2">
      <c r="A317" s="694" t="str">
        <f>+Info!$B$2</f>
        <v>724</v>
      </c>
      <c r="B317" s="694" t="s">
        <v>5273</v>
      </c>
      <c r="C317" s="694" t="s">
        <v>5274</v>
      </c>
      <c r="D317" s="695" t="s">
        <v>5275</v>
      </c>
      <c r="E317" s="696"/>
      <c r="F317" s="697"/>
      <c r="G317" s="697"/>
      <c r="H317" s="698"/>
      <c r="I317" s="697"/>
      <c r="J317" s="698"/>
      <c r="K317" s="697"/>
      <c r="L317" s="697"/>
      <c r="M317" s="697"/>
      <c r="N317" s="698"/>
      <c r="O317" s="697"/>
      <c r="P317" s="697"/>
      <c r="Q317" s="697"/>
      <c r="R317" s="697"/>
      <c r="S317" s="697"/>
      <c r="T317" s="697"/>
      <c r="U317" s="697"/>
      <c r="V317" s="697"/>
      <c r="W317" s="698"/>
      <c r="X317" s="698"/>
      <c r="Y317" s="697"/>
      <c r="Z317" s="697"/>
      <c r="AA317" s="697"/>
      <c r="AB317" s="697"/>
      <c r="AC317" s="697"/>
    </row>
    <row r="318" spans="1:29" x14ac:dyDescent="0.2">
      <c r="A318" s="694" t="str">
        <f>+Info!$B$2</f>
        <v>724</v>
      </c>
      <c r="B318" s="694" t="s">
        <v>5276</v>
      </c>
      <c r="C318" s="694" t="s">
        <v>5277</v>
      </c>
      <c r="D318" s="695" t="s">
        <v>5278</v>
      </c>
      <c r="E318" s="696"/>
      <c r="F318" s="697"/>
      <c r="G318" s="697"/>
      <c r="H318" s="698"/>
      <c r="I318" s="697"/>
      <c r="J318" s="698"/>
      <c r="K318" s="697"/>
      <c r="L318" s="697"/>
      <c r="M318" s="697"/>
      <c r="N318" s="698"/>
      <c r="O318" s="697"/>
      <c r="P318" s="697"/>
      <c r="Q318" s="697"/>
      <c r="R318" s="697"/>
      <c r="S318" s="697"/>
      <c r="T318" s="697"/>
      <c r="U318" s="697"/>
      <c r="V318" s="697"/>
      <c r="W318" s="698"/>
      <c r="X318" s="698"/>
      <c r="Y318" s="697"/>
      <c r="Z318" s="697"/>
      <c r="AA318" s="697"/>
      <c r="AB318" s="697"/>
      <c r="AC318" s="697"/>
    </row>
    <row r="319" spans="1:29" x14ac:dyDescent="0.2">
      <c r="A319" s="694" t="str">
        <f>+Info!$B$2</f>
        <v>724</v>
      </c>
      <c r="B319" s="694" t="s">
        <v>5279</v>
      </c>
      <c r="C319" s="694" t="s">
        <v>5280</v>
      </c>
      <c r="D319" s="695" t="s">
        <v>5281</v>
      </c>
      <c r="E319" s="696"/>
      <c r="F319" s="697"/>
      <c r="G319" s="697"/>
      <c r="H319" s="698"/>
      <c r="I319" s="697"/>
      <c r="J319" s="698"/>
      <c r="K319" s="697"/>
      <c r="L319" s="697"/>
      <c r="M319" s="697"/>
      <c r="N319" s="698"/>
      <c r="O319" s="697"/>
      <c r="P319" s="697"/>
      <c r="Q319" s="697"/>
      <c r="R319" s="697"/>
      <c r="S319" s="697"/>
      <c r="T319" s="697"/>
      <c r="U319" s="697"/>
      <c r="V319" s="697"/>
      <c r="W319" s="698"/>
      <c r="X319" s="698"/>
      <c r="Y319" s="697"/>
      <c r="Z319" s="697"/>
      <c r="AA319" s="697"/>
      <c r="AB319" s="697"/>
      <c r="AC319" s="697"/>
    </row>
    <row r="320" spans="1:29" x14ac:dyDescent="0.2">
      <c r="A320" s="694" t="str">
        <f>+Info!$B$2</f>
        <v>724</v>
      </c>
      <c r="B320" s="694" t="s">
        <v>5282</v>
      </c>
      <c r="C320" s="694" t="s">
        <v>5283</v>
      </c>
      <c r="D320" s="695" t="s">
        <v>5284</v>
      </c>
      <c r="E320" s="696"/>
      <c r="F320" s="697"/>
      <c r="G320" s="697"/>
      <c r="H320" s="698"/>
      <c r="I320" s="697"/>
      <c r="J320" s="698"/>
      <c r="K320" s="697"/>
      <c r="L320" s="697"/>
      <c r="M320" s="697"/>
      <c r="N320" s="698"/>
      <c r="O320" s="697"/>
      <c r="P320" s="697"/>
      <c r="Q320" s="697"/>
      <c r="R320" s="697"/>
      <c r="S320" s="697"/>
      <c r="T320" s="697"/>
      <c r="U320" s="697"/>
      <c r="V320" s="697"/>
      <c r="W320" s="698"/>
      <c r="X320" s="698"/>
      <c r="Y320" s="697"/>
      <c r="Z320" s="697"/>
      <c r="AA320" s="697"/>
      <c r="AB320" s="697"/>
      <c r="AC320" s="697"/>
    </row>
    <row r="321" spans="1:29" x14ac:dyDescent="0.2">
      <c r="A321" s="694" t="str">
        <f>+Info!$B$2</f>
        <v>724</v>
      </c>
      <c r="B321" s="694" t="s">
        <v>5285</v>
      </c>
      <c r="C321" s="694" t="s">
        <v>5286</v>
      </c>
      <c r="D321" s="695" t="s">
        <v>5287</v>
      </c>
      <c r="E321" s="696"/>
      <c r="F321" s="697"/>
      <c r="G321" s="697"/>
      <c r="H321" s="698"/>
      <c r="I321" s="697"/>
      <c r="J321" s="698"/>
      <c r="K321" s="697"/>
      <c r="L321" s="697"/>
      <c r="M321" s="697"/>
      <c r="N321" s="698"/>
      <c r="O321" s="697"/>
      <c r="P321" s="697"/>
      <c r="Q321" s="697"/>
      <c r="R321" s="697"/>
      <c r="S321" s="697"/>
      <c r="T321" s="697"/>
      <c r="U321" s="697"/>
      <c r="V321" s="697"/>
      <c r="W321" s="698"/>
      <c r="X321" s="698"/>
      <c r="Y321" s="697"/>
      <c r="Z321" s="697"/>
      <c r="AA321" s="697"/>
      <c r="AB321" s="697"/>
      <c r="AC321" s="697"/>
    </row>
    <row r="322" spans="1:29" x14ac:dyDescent="0.2">
      <c r="A322" s="694" t="str">
        <f>+Info!$B$2</f>
        <v>724</v>
      </c>
      <c r="B322" s="694" t="s">
        <v>5288</v>
      </c>
      <c r="C322" s="694" t="s">
        <v>5289</v>
      </c>
      <c r="D322" s="695" t="s">
        <v>5290</v>
      </c>
      <c r="E322" s="696"/>
      <c r="F322" s="697"/>
      <c r="G322" s="697"/>
      <c r="H322" s="698"/>
      <c r="I322" s="697"/>
      <c r="J322" s="698"/>
      <c r="K322" s="697"/>
      <c r="L322" s="697"/>
      <c r="M322" s="697"/>
      <c r="N322" s="698"/>
      <c r="O322" s="697"/>
      <c r="P322" s="697"/>
      <c r="Q322" s="697"/>
      <c r="R322" s="697"/>
      <c r="S322" s="697"/>
      <c r="T322" s="697"/>
      <c r="U322" s="697"/>
      <c r="V322" s="697"/>
      <c r="W322" s="698"/>
      <c r="X322" s="698"/>
      <c r="Y322" s="697"/>
      <c r="Z322" s="697"/>
      <c r="AA322" s="697"/>
      <c r="AB322" s="697"/>
      <c r="AC322" s="697"/>
    </row>
    <row r="323" spans="1:29" x14ac:dyDescent="0.2">
      <c r="A323" s="694" t="str">
        <f>+Info!$B$2</f>
        <v>724</v>
      </c>
      <c r="B323" s="694" t="s">
        <v>5291</v>
      </c>
      <c r="C323" s="694" t="s">
        <v>5292</v>
      </c>
      <c r="D323" s="695" t="s">
        <v>5293</v>
      </c>
      <c r="E323" s="696"/>
      <c r="F323" s="697"/>
      <c r="G323" s="697"/>
      <c r="H323" s="698"/>
      <c r="I323" s="697"/>
      <c r="J323" s="698"/>
      <c r="K323" s="697"/>
      <c r="L323" s="697"/>
      <c r="M323" s="697"/>
      <c r="N323" s="698"/>
      <c r="O323" s="697"/>
      <c r="P323" s="697"/>
      <c r="Q323" s="697"/>
      <c r="R323" s="697"/>
      <c r="S323" s="697"/>
      <c r="T323" s="697"/>
      <c r="U323" s="697"/>
      <c r="V323" s="697"/>
      <c r="W323" s="698"/>
      <c r="X323" s="698"/>
      <c r="Y323" s="697"/>
      <c r="Z323" s="697"/>
      <c r="AA323" s="697"/>
      <c r="AB323" s="697"/>
      <c r="AC323" s="697"/>
    </row>
    <row r="324" spans="1:29" ht="25.5" x14ac:dyDescent="0.2">
      <c r="A324" s="694" t="str">
        <f>+Info!$B$2</f>
        <v>724</v>
      </c>
      <c r="B324" s="694" t="s">
        <v>5294</v>
      </c>
      <c r="C324" s="694" t="s">
        <v>5295</v>
      </c>
      <c r="D324" s="695" t="s">
        <v>5296</v>
      </c>
      <c r="E324" s="696"/>
      <c r="F324" s="697"/>
      <c r="G324" s="697"/>
      <c r="H324" s="698"/>
      <c r="I324" s="698"/>
      <c r="J324" s="697"/>
      <c r="K324" s="697"/>
      <c r="L324" s="697"/>
      <c r="M324" s="697"/>
      <c r="N324" s="698"/>
      <c r="O324" s="697"/>
      <c r="P324" s="697"/>
      <c r="Q324" s="697"/>
      <c r="R324" s="697"/>
      <c r="S324" s="697"/>
      <c r="T324" s="697"/>
      <c r="U324" s="697"/>
      <c r="V324" s="697"/>
      <c r="W324" s="698"/>
      <c r="X324" s="698"/>
      <c r="Y324" s="697"/>
      <c r="Z324" s="697"/>
      <c r="AA324" s="697"/>
      <c r="AB324" s="697"/>
      <c r="AC324" s="697"/>
    </row>
    <row r="325" spans="1:29" ht="25.5" x14ac:dyDescent="0.2">
      <c r="A325" s="694" t="str">
        <f>+Info!$B$2</f>
        <v>724</v>
      </c>
      <c r="B325" s="694" t="s">
        <v>5297</v>
      </c>
      <c r="C325" s="694" t="s">
        <v>5298</v>
      </c>
      <c r="D325" s="695" t="s">
        <v>5299</v>
      </c>
      <c r="E325" s="696"/>
      <c r="F325" s="697"/>
      <c r="G325" s="697"/>
      <c r="H325" s="698"/>
      <c r="I325" s="698"/>
      <c r="J325" s="697"/>
      <c r="K325" s="697"/>
      <c r="L325" s="697"/>
      <c r="M325" s="697"/>
      <c r="N325" s="698"/>
      <c r="O325" s="697"/>
      <c r="P325" s="697"/>
      <c r="Q325" s="697"/>
      <c r="R325" s="697"/>
      <c r="S325" s="697"/>
      <c r="T325" s="697"/>
      <c r="U325" s="697"/>
      <c r="V325" s="697"/>
      <c r="W325" s="698"/>
      <c r="X325" s="698"/>
      <c r="Y325" s="697"/>
      <c r="Z325" s="697"/>
      <c r="AA325" s="697"/>
      <c r="AB325" s="697"/>
      <c r="AC325" s="697"/>
    </row>
    <row r="326" spans="1:29" ht="25.5" x14ac:dyDescent="0.2">
      <c r="A326" s="694" t="str">
        <f>+Info!$B$2</f>
        <v>724</v>
      </c>
      <c r="B326" s="694" t="s">
        <v>5300</v>
      </c>
      <c r="C326" s="694" t="s">
        <v>5301</v>
      </c>
      <c r="D326" s="695" t="s">
        <v>5302</v>
      </c>
      <c r="E326" s="696"/>
      <c r="F326" s="697"/>
      <c r="G326" s="697"/>
      <c r="H326" s="698"/>
      <c r="I326" s="698"/>
      <c r="J326" s="697"/>
      <c r="K326" s="697"/>
      <c r="L326" s="697"/>
      <c r="M326" s="697"/>
      <c r="N326" s="698"/>
      <c r="O326" s="697"/>
      <c r="P326" s="697"/>
      <c r="Q326" s="697"/>
      <c r="R326" s="697"/>
      <c r="S326" s="697"/>
      <c r="T326" s="697"/>
      <c r="U326" s="697"/>
      <c r="V326" s="697"/>
      <c r="W326" s="698"/>
      <c r="X326" s="698"/>
      <c r="Y326" s="697"/>
      <c r="Z326" s="697"/>
      <c r="AA326" s="697"/>
      <c r="AB326" s="697"/>
      <c r="AC326" s="697"/>
    </row>
    <row r="327" spans="1:29" ht="25.5" x14ac:dyDescent="0.2">
      <c r="A327" s="694" t="str">
        <f>+Info!$B$2</f>
        <v>724</v>
      </c>
      <c r="B327" s="694" t="s">
        <v>5303</v>
      </c>
      <c r="C327" s="694" t="s">
        <v>5304</v>
      </c>
      <c r="D327" s="695" t="s">
        <v>5305</v>
      </c>
      <c r="E327" s="696"/>
      <c r="F327" s="697"/>
      <c r="G327" s="697"/>
      <c r="H327" s="698"/>
      <c r="I327" s="698"/>
      <c r="J327" s="697"/>
      <c r="K327" s="697"/>
      <c r="L327" s="697"/>
      <c r="M327" s="697"/>
      <c r="N327" s="698"/>
      <c r="O327" s="697"/>
      <c r="P327" s="697"/>
      <c r="Q327" s="697"/>
      <c r="R327" s="697"/>
      <c r="S327" s="697"/>
      <c r="T327" s="697"/>
      <c r="U327" s="697"/>
      <c r="V327" s="697"/>
      <c r="W327" s="698"/>
      <c r="X327" s="698"/>
      <c r="Y327" s="697"/>
      <c r="Z327" s="697"/>
      <c r="AA327" s="697"/>
      <c r="AB327" s="697"/>
      <c r="AC327" s="697"/>
    </row>
    <row r="328" spans="1:29" ht="15" x14ac:dyDescent="0.25">
      <c r="A328" s="691" t="str">
        <f>+Info!$B$2</f>
        <v>724</v>
      </c>
      <c r="B328" s="691" t="s">
        <v>5306</v>
      </c>
      <c r="C328" s="691" t="s">
        <v>5307</v>
      </c>
      <c r="D328" s="692" t="s">
        <v>5308</v>
      </c>
      <c r="E328" s="693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</row>
    <row r="329" spans="1:29" x14ac:dyDescent="0.2">
      <c r="A329" s="694" t="str">
        <f>+Info!$B$2</f>
        <v>724</v>
      </c>
      <c r="B329" s="694" t="s">
        <v>5309</v>
      </c>
      <c r="C329" s="694" t="s">
        <v>5310</v>
      </c>
      <c r="D329" s="695" t="s">
        <v>5311</v>
      </c>
      <c r="E329" s="696"/>
      <c r="F329" s="697"/>
      <c r="G329" s="697"/>
      <c r="H329" s="698"/>
      <c r="I329" s="697"/>
      <c r="J329" s="697"/>
      <c r="K329" s="697"/>
      <c r="L329" s="697"/>
      <c r="M329" s="697"/>
      <c r="N329" s="698"/>
      <c r="O329" s="697"/>
      <c r="P329" s="697"/>
      <c r="Q329" s="697"/>
      <c r="R329" s="697"/>
      <c r="S329" s="697"/>
      <c r="T329" s="697"/>
      <c r="U329" s="697"/>
      <c r="V329" s="697"/>
      <c r="W329" s="698"/>
      <c r="X329" s="698"/>
      <c r="Y329" s="697"/>
      <c r="Z329" s="697"/>
      <c r="AA329" s="697"/>
      <c r="AB329" s="697"/>
      <c r="AC329" s="697"/>
    </row>
    <row r="330" spans="1:29" x14ac:dyDescent="0.2">
      <c r="A330" s="694" t="str">
        <f>+Info!$B$2</f>
        <v>724</v>
      </c>
      <c r="B330" s="694" t="s">
        <v>5312</v>
      </c>
      <c r="C330" s="694" t="s">
        <v>5313</v>
      </c>
      <c r="D330" s="695" t="s">
        <v>5314</v>
      </c>
      <c r="E330" s="696"/>
      <c r="F330" s="697"/>
      <c r="G330" s="697"/>
      <c r="H330" s="698"/>
      <c r="I330" s="697"/>
      <c r="J330" s="697"/>
      <c r="K330" s="697"/>
      <c r="L330" s="697"/>
      <c r="M330" s="697"/>
      <c r="N330" s="698"/>
      <c r="O330" s="697"/>
      <c r="P330" s="697"/>
      <c r="Q330" s="697"/>
      <c r="R330" s="697"/>
      <c r="S330" s="697"/>
      <c r="T330" s="697"/>
      <c r="U330" s="697"/>
      <c r="V330" s="697"/>
      <c r="W330" s="698"/>
      <c r="X330" s="698"/>
      <c r="Y330" s="697"/>
      <c r="Z330" s="697"/>
      <c r="AA330" s="697"/>
      <c r="AB330" s="697"/>
      <c r="AC330" s="697"/>
    </row>
    <row r="331" spans="1:29" x14ac:dyDescent="0.2">
      <c r="A331" s="694" t="str">
        <f>+Info!$B$2</f>
        <v>724</v>
      </c>
      <c r="B331" s="694" t="s">
        <v>5315</v>
      </c>
      <c r="C331" s="694" t="s">
        <v>5316</v>
      </c>
      <c r="D331" s="695" t="s">
        <v>5317</v>
      </c>
      <c r="E331" s="696"/>
      <c r="F331" s="697"/>
      <c r="G331" s="697"/>
      <c r="H331" s="698"/>
      <c r="I331" s="697"/>
      <c r="J331" s="697"/>
      <c r="K331" s="697"/>
      <c r="L331" s="697"/>
      <c r="M331" s="697"/>
      <c r="N331" s="698"/>
      <c r="O331" s="697"/>
      <c r="P331" s="697"/>
      <c r="Q331" s="697"/>
      <c r="R331" s="697"/>
      <c r="S331" s="697"/>
      <c r="T331" s="697"/>
      <c r="U331" s="697"/>
      <c r="V331" s="697"/>
      <c r="W331" s="698"/>
      <c r="X331" s="698"/>
      <c r="Y331" s="697"/>
      <c r="Z331" s="697"/>
      <c r="AA331" s="697"/>
      <c r="AB331" s="697"/>
      <c r="AC331" s="697"/>
    </row>
    <row r="332" spans="1:29" x14ac:dyDescent="0.2">
      <c r="A332" s="694" t="str">
        <f>+Info!$B$2</f>
        <v>724</v>
      </c>
      <c r="B332" s="694" t="s">
        <v>5318</v>
      </c>
      <c r="C332" s="694" t="s">
        <v>5319</v>
      </c>
      <c r="D332" s="695" t="s">
        <v>5320</v>
      </c>
      <c r="E332" s="696"/>
      <c r="F332" s="697"/>
      <c r="G332" s="697"/>
      <c r="H332" s="698"/>
      <c r="I332" s="697"/>
      <c r="J332" s="697"/>
      <c r="K332" s="697"/>
      <c r="L332" s="697"/>
      <c r="M332" s="697"/>
      <c r="N332" s="698"/>
      <c r="O332" s="697"/>
      <c r="P332" s="697"/>
      <c r="Q332" s="697"/>
      <c r="R332" s="697"/>
      <c r="S332" s="697"/>
      <c r="T332" s="697"/>
      <c r="U332" s="697"/>
      <c r="V332" s="697"/>
      <c r="W332" s="698"/>
      <c r="X332" s="698"/>
      <c r="Y332" s="697"/>
      <c r="Z332" s="697"/>
      <c r="AA332" s="697"/>
      <c r="AB332" s="697"/>
      <c r="AC332" s="697"/>
    </row>
    <row r="333" spans="1:29" x14ac:dyDescent="0.2">
      <c r="A333" s="694" t="str">
        <f>+Info!$B$2</f>
        <v>724</v>
      </c>
      <c r="B333" s="694" t="s">
        <v>5321</v>
      </c>
      <c r="C333" s="694" t="s">
        <v>5322</v>
      </c>
      <c r="D333" s="695" t="s">
        <v>5323</v>
      </c>
      <c r="E333" s="696"/>
      <c r="F333" s="697"/>
      <c r="G333" s="697"/>
      <c r="H333" s="698"/>
      <c r="I333" s="697"/>
      <c r="J333" s="697"/>
      <c r="K333" s="697"/>
      <c r="L333" s="697"/>
      <c r="M333" s="697"/>
      <c r="N333" s="698"/>
      <c r="O333" s="697"/>
      <c r="P333" s="697"/>
      <c r="Q333" s="697"/>
      <c r="R333" s="697"/>
      <c r="S333" s="697"/>
      <c r="T333" s="697"/>
      <c r="U333" s="697"/>
      <c r="V333" s="697"/>
      <c r="W333" s="698"/>
      <c r="X333" s="698"/>
      <c r="Y333" s="697"/>
      <c r="Z333" s="697"/>
      <c r="AA333" s="697"/>
      <c r="AB333" s="697"/>
      <c r="AC333" s="697"/>
    </row>
    <row r="334" spans="1:29" x14ac:dyDescent="0.2">
      <c r="A334" s="694" t="str">
        <f>+Info!$B$2</f>
        <v>724</v>
      </c>
      <c r="B334" s="694" t="s">
        <v>5324</v>
      </c>
      <c r="C334" s="694" t="s">
        <v>5325</v>
      </c>
      <c r="D334" s="695" t="s">
        <v>5326</v>
      </c>
      <c r="E334" s="696"/>
      <c r="F334" s="697"/>
      <c r="G334" s="697"/>
      <c r="H334" s="698"/>
      <c r="I334" s="697"/>
      <c r="J334" s="698"/>
      <c r="K334" s="697"/>
      <c r="L334" s="697"/>
      <c r="M334" s="697"/>
      <c r="N334" s="698"/>
      <c r="O334" s="697"/>
      <c r="P334" s="697"/>
      <c r="Q334" s="697"/>
      <c r="R334" s="697"/>
      <c r="S334" s="697"/>
      <c r="T334" s="697"/>
      <c r="U334" s="697"/>
      <c r="V334" s="697"/>
      <c r="W334" s="698"/>
      <c r="X334" s="698"/>
      <c r="Y334" s="697"/>
      <c r="Z334" s="697"/>
      <c r="AA334" s="697"/>
      <c r="AB334" s="697"/>
      <c r="AC334" s="697"/>
    </row>
    <row r="335" spans="1:29" x14ac:dyDescent="0.2">
      <c r="A335" s="694" t="str">
        <f>+Info!$B$2</f>
        <v>724</v>
      </c>
      <c r="B335" s="694" t="s">
        <v>5327</v>
      </c>
      <c r="C335" s="694" t="s">
        <v>5328</v>
      </c>
      <c r="D335" s="695" t="s">
        <v>5329</v>
      </c>
      <c r="E335" s="696"/>
      <c r="F335" s="697"/>
      <c r="G335" s="697"/>
      <c r="H335" s="698"/>
      <c r="I335" s="697"/>
      <c r="J335" s="698"/>
      <c r="K335" s="697"/>
      <c r="L335" s="697"/>
      <c r="M335" s="697"/>
      <c r="N335" s="698"/>
      <c r="O335" s="697"/>
      <c r="P335" s="697"/>
      <c r="Q335" s="697"/>
      <c r="R335" s="697"/>
      <c r="S335" s="697"/>
      <c r="T335" s="697"/>
      <c r="U335" s="697"/>
      <c r="V335" s="697"/>
      <c r="W335" s="698"/>
      <c r="X335" s="698"/>
      <c r="Y335" s="697"/>
      <c r="Z335" s="697"/>
      <c r="AA335" s="697"/>
      <c r="AB335" s="697"/>
      <c r="AC335" s="697"/>
    </row>
    <row r="336" spans="1:29" x14ac:dyDescent="0.2">
      <c r="A336" s="694" t="str">
        <f>+Info!$B$2</f>
        <v>724</v>
      </c>
      <c r="B336" s="694" t="s">
        <v>5330</v>
      </c>
      <c r="C336" s="694" t="s">
        <v>5331</v>
      </c>
      <c r="D336" s="695" t="s">
        <v>5332</v>
      </c>
      <c r="E336" s="696"/>
      <c r="F336" s="697"/>
      <c r="G336" s="697"/>
      <c r="H336" s="698"/>
      <c r="I336" s="697"/>
      <c r="J336" s="698"/>
      <c r="K336" s="697"/>
      <c r="L336" s="697"/>
      <c r="M336" s="697"/>
      <c r="N336" s="698"/>
      <c r="O336" s="697"/>
      <c r="P336" s="697"/>
      <c r="Q336" s="697"/>
      <c r="R336" s="697"/>
      <c r="S336" s="697"/>
      <c r="T336" s="697"/>
      <c r="U336" s="697"/>
      <c r="V336" s="697"/>
      <c r="W336" s="698"/>
      <c r="X336" s="698"/>
      <c r="Y336" s="697"/>
      <c r="Z336" s="697"/>
      <c r="AA336" s="697"/>
      <c r="AB336" s="697"/>
      <c r="AC336" s="697"/>
    </row>
    <row r="337" spans="1:29" x14ac:dyDescent="0.2">
      <c r="A337" s="694" t="str">
        <f>+Info!$B$2</f>
        <v>724</v>
      </c>
      <c r="B337" s="694" t="s">
        <v>5333</v>
      </c>
      <c r="C337" s="694" t="s">
        <v>5334</v>
      </c>
      <c r="D337" s="695" t="s">
        <v>5335</v>
      </c>
      <c r="E337" s="696"/>
      <c r="F337" s="697"/>
      <c r="G337" s="697"/>
      <c r="H337" s="698"/>
      <c r="I337" s="697"/>
      <c r="J337" s="698"/>
      <c r="K337" s="697"/>
      <c r="L337" s="697"/>
      <c r="M337" s="697"/>
      <c r="N337" s="698"/>
      <c r="O337" s="697"/>
      <c r="P337" s="697"/>
      <c r="Q337" s="697"/>
      <c r="R337" s="697"/>
      <c r="S337" s="697"/>
      <c r="T337" s="697"/>
      <c r="U337" s="697"/>
      <c r="V337" s="697"/>
      <c r="W337" s="698"/>
      <c r="X337" s="698"/>
      <c r="Y337" s="697"/>
      <c r="Z337" s="697"/>
      <c r="AA337" s="697"/>
      <c r="AB337" s="697"/>
      <c r="AC337" s="697"/>
    </row>
    <row r="338" spans="1:29" x14ac:dyDescent="0.2">
      <c r="A338" s="694" t="str">
        <f>+Info!$B$2</f>
        <v>724</v>
      </c>
      <c r="B338" s="694" t="s">
        <v>5336</v>
      </c>
      <c r="C338" s="694" t="s">
        <v>5337</v>
      </c>
      <c r="D338" s="695" t="s">
        <v>5338</v>
      </c>
      <c r="E338" s="696"/>
      <c r="F338" s="697"/>
      <c r="G338" s="697"/>
      <c r="H338" s="698"/>
      <c r="I338" s="697"/>
      <c r="J338" s="698"/>
      <c r="K338" s="697"/>
      <c r="L338" s="697"/>
      <c r="M338" s="697"/>
      <c r="N338" s="698"/>
      <c r="O338" s="697"/>
      <c r="P338" s="697"/>
      <c r="Q338" s="697"/>
      <c r="R338" s="697"/>
      <c r="S338" s="697"/>
      <c r="T338" s="697"/>
      <c r="U338" s="697"/>
      <c r="V338" s="697"/>
      <c r="W338" s="698"/>
      <c r="X338" s="698"/>
      <c r="Y338" s="697"/>
      <c r="Z338" s="697"/>
      <c r="AA338" s="697"/>
      <c r="AB338" s="697"/>
      <c r="AC338" s="697"/>
    </row>
    <row r="339" spans="1:29" x14ac:dyDescent="0.2">
      <c r="A339" s="694" t="str">
        <f>+Info!$B$2</f>
        <v>724</v>
      </c>
      <c r="B339" s="694" t="s">
        <v>5339</v>
      </c>
      <c r="C339" s="694" t="s">
        <v>5340</v>
      </c>
      <c r="D339" s="695" t="s">
        <v>5341</v>
      </c>
      <c r="E339" s="696"/>
      <c r="F339" s="697"/>
      <c r="G339" s="697"/>
      <c r="H339" s="698"/>
      <c r="I339" s="697"/>
      <c r="J339" s="698"/>
      <c r="K339" s="697"/>
      <c r="L339" s="697"/>
      <c r="M339" s="697"/>
      <c r="N339" s="698"/>
      <c r="O339" s="697"/>
      <c r="P339" s="697"/>
      <c r="Q339" s="697"/>
      <c r="R339" s="697"/>
      <c r="S339" s="697"/>
      <c r="T339" s="697"/>
      <c r="U339" s="697"/>
      <c r="V339" s="697"/>
      <c r="W339" s="698"/>
      <c r="X339" s="698"/>
      <c r="Y339" s="697"/>
      <c r="Z339" s="697"/>
      <c r="AA339" s="697"/>
      <c r="AB339" s="697"/>
      <c r="AC339" s="697"/>
    </row>
    <row r="340" spans="1:29" x14ac:dyDescent="0.2">
      <c r="A340" s="694" t="str">
        <f>+Info!$B$2</f>
        <v>724</v>
      </c>
      <c r="B340" s="694" t="s">
        <v>5342</v>
      </c>
      <c r="C340" s="694" t="s">
        <v>5343</v>
      </c>
      <c r="D340" s="695" t="s">
        <v>5344</v>
      </c>
      <c r="E340" s="696"/>
      <c r="F340" s="697"/>
      <c r="G340" s="697"/>
      <c r="H340" s="698"/>
      <c r="I340" s="697"/>
      <c r="J340" s="698"/>
      <c r="K340" s="697"/>
      <c r="L340" s="697"/>
      <c r="M340" s="697"/>
      <c r="N340" s="698"/>
      <c r="O340" s="697"/>
      <c r="P340" s="697"/>
      <c r="Q340" s="697"/>
      <c r="R340" s="697"/>
      <c r="S340" s="697"/>
      <c r="T340" s="697"/>
      <c r="U340" s="697"/>
      <c r="V340" s="697"/>
      <c r="W340" s="698"/>
      <c r="X340" s="698"/>
      <c r="Y340" s="697"/>
      <c r="Z340" s="697"/>
      <c r="AA340" s="697"/>
      <c r="AB340" s="697"/>
      <c r="AC340" s="697"/>
    </row>
    <row r="341" spans="1:29" x14ac:dyDescent="0.2">
      <c r="A341" s="694" t="str">
        <f>+Info!$B$2</f>
        <v>724</v>
      </c>
      <c r="B341" s="694" t="s">
        <v>5345</v>
      </c>
      <c r="C341" s="694" t="s">
        <v>5346</v>
      </c>
      <c r="D341" s="695" t="s">
        <v>5347</v>
      </c>
      <c r="E341" s="696"/>
      <c r="F341" s="697"/>
      <c r="G341" s="697"/>
      <c r="H341" s="698"/>
      <c r="I341" s="697"/>
      <c r="J341" s="698"/>
      <c r="K341" s="697"/>
      <c r="L341" s="697"/>
      <c r="M341" s="697"/>
      <c r="N341" s="698"/>
      <c r="O341" s="697"/>
      <c r="P341" s="697"/>
      <c r="Q341" s="697"/>
      <c r="R341" s="697"/>
      <c r="S341" s="697"/>
      <c r="T341" s="697"/>
      <c r="U341" s="697"/>
      <c r="V341" s="697"/>
      <c r="W341" s="698"/>
      <c r="X341" s="698"/>
      <c r="Y341" s="697"/>
      <c r="Z341" s="697"/>
      <c r="AA341" s="697"/>
      <c r="AB341" s="697"/>
      <c r="AC341" s="697"/>
    </row>
    <row r="342" spans="1:29" x14ac:dyDescent="0.2">
      <c r="A342" s="694" t="str">
        <f>+Info!$B$2</f>
        <v>724</v>
      </c>
      <c r="B342" s="694" t="s">
        <v>5348</v>
      </c>
      <c r="C342" s="694" t="s">
        <v>5349</v>
      </c>
      <c r="D342" s="695" t="s">
        <v>5350</v>
      </c>
      <c r="E342" s="696"/>
      <c r="F342" s="697"/>
      <c r="G342" s="697"/>
      <c r="H342" s="698"/>
      <c r="I342" s="697"/>
      <c r="J342" s="697"/>
      <c r="K342" s="697"/>
      <c r="L342" s="697"/>
      <c r="M342" s="697"/>
      <c r="N342" s="698"/>
      <c r="O342" s="697"/>
      <c r="P342" s="697"/>
      <c r="Q342" s="697"/>
      <c r="R342" s="697"/>
      <c r="S342" s="697"/>
      <c r="T342" s="697"/>
      <c r="U342" s="697"/>
      <c r="V342" s="697"/>
      <c r="W342" s="698"/>
      <c r="X342" s="698"/>
      <c r="Y342" s="697"/>
      <c r="Z342" s="697"/>
      <c r="AA342" s="697"/>
      <c r="AB342" s="697"/>
      <c r="AC342" s="697"/>
    </row>
    <row r="343" spans="1:29" x14ac:dyDescent="0.2">
      <c r="A343" s="694" t="str">
        <f>+Info!$B$2</f>
        <v>724</v>
      </c>
      <c r="B343" s="694" t="s">
        <v>5351</v>
      </c>
      <c r="C343" s="694" t="s">
        <v>5352</v>
      </c>
      <c r="D343" s="695" t="s">
        <v>5353</v>
      </c>
      <c r="E343" s="696"/>
      <c r="F343" s="697"/>
      <c r="G343" s="697"/>
      <c r="H343" s="698"/>
      <c r="I343" s="697"/>
      <c r="J343" s="698"/>
      <c r="K343" s="697"/>
      <c r="L343" s="697"/>
      <c r="M343" s="697"/>
      <c r="N343" s="698"/>
      <c r="O343" s="697"/>
      <c r="P343" s="697"/>
      <c r="Q343" s="697"/>
      <c r="R343" s="697"/>
      <c r="S343" s="697"/>
      <c r="T343" s="697"/>
      <c r="U343" s="697"/>
      <c r="V343" s="697"/>
      <c r="W343" s="698"/>
      <c r="X343" s="698"/>
      <c r="Y343" s="697"/>
      <c r="Z343" s="697"/>
      <c r="AA343" s="697"/>
      <c r="AB343" s="697"/>
      <c r="AC343" s="697"/>
    </row>
    <row r="344" spans="1:29" ht="15" x14ac:dyDescent="0.25">
      <c r="A344" s="691" t="str">
        <f>+Info!$B$2</f>
        <v>724</v>
      </c>
      <c r="B344" s="691" t="s">
        <v>5354</v>
      </c>
      <c r="C344" s="691" t="s">
        <v>5355</v>
      </c>
      <c r="D344" s="692" t="s">
        <v>5356</v>
      </c>
      <c r="E344" s="693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</row>
    <row r="345" spans="1:29" ht="15" x14ac:dyDescent="0.25">
      <c r="A345" s="691" t="str">
        <f>+Info!$B$2</f>
        <v>724</v>
      </c>
      <c r="B345" s="691" t="s">
        <v>5357</v>
      </c>
      <c r="C345" s="691" t="s">
        <v>5358</v>
      </c>
      <c r="D345" s="692" t="s">
        <v>5359</v>
      </c>
      <c r="E345" s="693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</row>
    <row r="346" spans="1:29" x14ac:dyDescent="0.2">
      <c r="A346" s="694" t="str">
        <f>+Info!$B$2</f>
        <v>724</v>
      </c>
      <c r="B346" s="694" t="s">
        <v>5360</v>
      </c>
      <c r="C346" s="694" t="s">
        <v>5361</v>
      </c>
      <c r="D346" s="695" t="s">
        <v>5362</v>
      </c>
      <c r="E346" s="696"/>
      <c r="F346" s="697"/>
      <c r="G346" s="697"/>
      <c r="H346" s="698"/>
      <c r="I346" s="697"/>
      <c r="J346" s="697"/>
      <c r="K346" s="697"/>
      <c r="L346" s="697"/>
      <c r="M346" s="697"/>
      <c r="N346" s="698"/>
      <c r="O346" s="697"/>
      <c r="P346" s="697"/>
      <c r="Q346" s="697"/>
      <c r="R346" s="697"/>
      <c r="S346" s="697"/>
      <c r="T346" s="697"/>
      <c r="U346" s="697"/>
      <c r="V346" s="697"/>
      <c r="W346" s="698"/>
      <c r="X346" s="698"/>
      <c r="Y346" s="697"/>
      <c r="Z346" s="697"/>
      <c r="AA346" s="697"/>
      <c r="AB346" s="697"/>
      <c r="AC346" s="697"/>
    </row>
    <row r="347" spans="1:29" x14ac:dyDescent="0.2">
      <c r="A347" s="694" t="str">
        <f>+Info!$B$2</f>
        <v>724</v>
      </c>
      <c r="B347" s="694" t="s">
        <v>5363</v>
      </c>
      <c r="C347" s="694" t="s">
        <v>5364</v>
      </c>
      <c r="D347" s="695" t="s">
        <v>5365</v>
      </c>
      <c r="E347" s="696"/>
      <c r="F347" s="697"/>
      <c r="G347" s="697"/>
      <c r="H347" s="698"/>
      <c r="I347" s="697"/>
      <c r="J347" s="697"/>
      <c r="K347" s="697"/>
      <c r="L347" s="697"/>
      <c r="M347" s="697"/>
      <c r="N347" s="698"/>
      <c r="O347" s="697"/>
      <c r="P347" s="697"/>
      <c r="Q347" s="697"/>
      <c r="R347" s="697"/>
      <c r="S347" s="697"/>
      <c r="T347" s="697"/>
      <c r="U347" s="697"/>
      <c r="V347" s="697"/>
      <c r="W347" s="698"/>
      <c r="X347" s="698"/>
      <c r="Y347" s="697"/>
      <c r="Z347" s="697"/>
      <c r="AA347" s="697"/>
      <c r="AB347" s="697"/>
      <c r="AC347" s="697"/>
    </row>
    <row r="348" spans="1:29" x14ac:dyDescent="0.2">
      <c r="A348" s="694" t="str">
        <f>+Info!$B$2</f>
        <v>724</v>
      </c>
      <c r="B348" s="694" t="s">
        <v>5366</v>
      </c>
      <c r="C348" s="694" t="s">
        <v>5367</v>
      </c>
      <c r="D348" s="695" t="s">
        <v>5368</v>
      </c>
      <c r="E348" s="696"/>
      <c r="F348" s="697"/>
      <c r="G348" s="697"/>
      <c r="H348" s="698"/>
      <c r="I348" s="697"/>
      <c r="J348" s="697"/>
      <c r="K348" s="697"/>
      <c r="L348" s="697"/>
      <c r="M348" s="697"/>
      <c r="N348" s="698"/>
      <c r="O348" s="697"/>
      <c r="P348" s="697"/>
      <c r="Q348" s="697"/>
      <c r="R348" s="697"/>
      <c r="S348" s="697"/>
      <c r="T348" s="697"/>
      <c r="U348" s="697"/>
      <c r="V348" s="697"/>
      <c r="W348" s="698"/>
      <c r="X348" s="698"/>
      <c r="Y348" s="697"/>
      <c r="Z348" s="697"/>
      <c r="AA348" s="697"/>
      <c r="AB348" s="697"/>
      <c r="AC348" s="697"/>
    </row>
    <row r="349" spans="1:29" x14ac:dyDescent="0.2">
      <c r="A349" s="694" t="str">
        <f>+Info!$B$2</f>
        <v>724</v>
      </c>
      <c r="B349" s="694" t="s">
        <v>5369</v>
      </c>
      <c r="C349" s="694" t="s">
        <v>5370</v>
      </c>
      <c r="D349" s="695" t="s">
        <v>5371</v>
      </c>
      <c r="E349" s="696"/>
      <c r="F349" s="697"/>
      <c r="G349" s="697"/>
      <c r="H349" s="698"/>
      <c r="I349" s="697"/>
      <c r="J349" s="697"/>
      <c r="K349" s="697"/>
      <c r="L349" s="697"/>
      <c r="M349" s="697"/>
      <c r="N349" s="698"/>
      <c r="O349" s="697"/>
      <c r="P349" s="697"/>
      <c r="Q349" s="697"/>
      <c r="R349" s="697"/>
      <c r="S349" s="697"/>
      <c r="T349" s="697"/>
      <c r="U349" s="697"/>
      <c r="V349" s="697"/>
      <c r="W349" s="698"/>
      <c r="X349" s="698"/>
      <c r="Y349" s="697"/>
      <c r="Z349" s="697"/>
      <c r="AA349" s="697"/>
      <c r="AB349" s="697"/>
      <c r="AC349" s="697"/>
    </row>
    <row r="350" spans="1:29" x14ac:dyDescent="0.2">
      <c r="A350" s="694" t="str">
        <f>+Info!$B$2</f>
        <v>724</v>
      </c>
      <c r="B350" s="694" t="s">
        <v>5372</v>
      </c>
      <c r="C350" s="694" t="s">
        <v>5373</v>
      </c>
      <c r="D350" s="695" t="s">
        <v>5374</v>
      </c>
      <c r="E350" s="696"/>
      <c r="F350" s="697"/>
      <c r="G350" s="697"/>
      <c r="H350" s="698"/>
      <c r="I350" s="697"/>
      <c r="J350" s="697"/>
      <c r="K350" s="697"/>
      <c r="L350" s="697"/>
      <c r="M350" s="697"/>
      <c r="N350" s="698"/>
      <c r="O350" s="697"/>
      <c r="P350" s="697"/>
      <c r="Q350" s="697"/>
      <c r="R350" s="697"/>
      <c r="S350" s="697"/>
      <c r="T350" s="697"/>
      <c r="U350" s="697"/>
      <c r="V350" s="697"/>
      <c r="W350" s="698"/>
      <c r="X350" s="698"/>
      <c r="Y350" s="697"/>
      <c r="Z350" s="697"/>
      <c r="AA350" s="697"/>
      <c r="AB350" s="697"/>
      <c r="AC350" s="697"/>
    </row>
    <row r="351" spans="1:29" x14ac:dyDescent="0.2">
      <c r="A351" s="694" t="str">
        <f>+Info!$B$2</f>
        <v>724</v>
      </c>
      <c r="B351" s="694" t="s">
        <v>5375</v>
      </c>
      <c r="C351" s="694" t="s">
        <v>5376</v>
      </c>
      <c r="D351" s="695" t="s">
        <v>5377</v>
      </c>
      <c r="E351" s="696"/>
      <c r="F351" s="697"/>
      <c r="G351" s="697"/>
      <c r="H351" s="698"/>
      <c r="I351" s="697"/>
      <c r="J351" s="697"/>
      <c r="K351" s="697"/>
      <c r="L351" s="697"/>
      <c r="M351" s="697"/>
      <c r="N351" s="698"/>
      <c r="O351" s="697"/>
      <c r="P351" s="697"/>
      <c r="Q351" s="697"/>
      <c r="R351" s="697"/>
      <c r="S351" s="697"/>
      <c r="T351" s="697"/>
      <c r="U351" s="697"/>
      <c r="V351" s="697"/>
      <c r="W351" s="698"/>
      <c r="X351" s="698"/>
      <c r="Y351" s="697"/>
      <c r="Z351" s="697"/>
      <c r="AA351" s="697"/>
      <c r="AB351" s="697"/>
      <c r="AC351" s="697"/>
    </row>
    <row r="352" spans="1:29" x14ac:dyDescent="0.2">
      <c r="A352" s="694" t="str">
        <f>+Info!$B$2</f>
        <v>724</v>
      </c>
      <c r="B352" s="694" t="s">
        <v>5378</v>
      </c>
      <c r="C352" s="694" t="s">
        <v>5379</v>
      </c>
      <c r="D352" s="695" t="s">
        <v>5380</v>
      </c>
      <c r="E352" s="696"/>
      <c r="F352" s="697"/>
      <c r="G352" s="697"/>
      <c r="H352" s="698"/>
      <c r="I352" s="697"/>
      <c r="J352" s="697"/>
      <c r="K352" s="697"/>
      <c r="L352" s="697"/>
      <c r="M352" s="697"/>
      <c r="N352" s="698"/>
      <c r="O352" s="697"/>
      <c r="P352" s="697"/>
      <c r="Q352" s="697"/>
      <c r="R352" s="697"/>
      <c r="S352" s="697"/>
      <c r="T352" s="697"/>
      <c r="U352" s="697"/>
      <c r="V352" s="697"/>
      <c r="W352" s="698"/>
      <c r="X352" s="698"/>
      <c r="Y352" s="697"/>
      <c r="Z352" s="697"/>
      <c r="AA352" s="697"/>
      <c r="AB352" s="697"/>
      <c r="AC352" s="697"/>
    </row>
    <row r="353" spans="1:29" x14ac:dyDescent="0.2">
      <c r="A353" s="694" t="str">
        <f>+Info!$B$2</f>
        <v>724</v>
      </c>
      <c r="B353" s="694" t="s">
        <v>5381</v>
      </c>
      <c r="C353" s="694" t="s">
        <v>4309</v>
      </c>
      <c r="D353" s="695" t="s">
        <v>5382</v>
      </c>
      <c r="E353" s="696"/>
      <c r="F353" s="697"/>
      <c r="G353" s="697"/>
      <c r="H353" s="698"/>
      <c r="I353" s="697"/>
      <c r="J353" s="697"/>
      <c r="K353" s="697"/>
      <c r="L353" s="697"/>
      <c r="M353" s="697"/>
      <c r="N353" s="698"/>
      <c r="O353" s="697"/>
      <c r="P353" s="697"/>
      <c r="Q353" s="697"/>
      <c r="R353" s="697"/>
      <c r="S353" s="697"/>
      <c r="T353" s="697"/>
      <c r="U353" s="697"/>
      <c r="V353" s="697"/>
      <c r="W353" s="698"/>
      <c r="X353" s="698"/>
      <c r="Y353" s="697"/>
      <c r="Z353" s="697"/>
      <c r="AA353" s="697"/>
      <c r="AB353" s="697"/>
      <c r="AC353" s="697"/>
    </row>
    <row r="354" spans="1:29" x14ac:dyDescent="0.2">
      <c r="A354" s="694" t="str">
        <f>+Info!$B$2</f>
        <v>724</v>
      </c>
      <c r="B354" s="694" t="s">
        <v>5383</v>
      </c>
      <c r="C354" s="694" t="s">
        <v>5384</v>
      </c>
      <c r="D354" s="695" t="s">
        <v>5385</v>
      </c>
      <c r="E354" s="696"/>
      <c r="F354" s="697"/>
      <c r="G354" s="697"/>
      <c r="H354" s="698"/>
      <c r="I354" s="697"/>
      <c r="J354" s="697"/>
      <c r="K354" s="697"/>
      <c r="L354" s="697"/>
      <c r="M354" s="697"/>
      <c r="N354" s="698"/>
      <c r="O354" s="697"/>
      <c r="P354" s="697"/>
      <c r="Q354" s="697"/>
      <c r="R354" s="697"/>
      <c r="S354" s="697"/>
      <c r="T354" s="697"/>
      <c r="U354" s="697"/>
      <c r="V354" s="697"/>
      <c r="W354" s="698"/>
      <c r="X354" s="698"/>
      <c r="Y354" s="697"/>
      <c r="Z354" s="697"/>
      <c r="AA354" s="697"/>
      <c r="AB354" s="697"/>
      <c r="AC354" s="697"/>
    </row>
    <row r="355" spans="1:29" x14ac:dyDescent="0.2">
      <c r="A355" s="694" t="str">
        <f>+Info!$B$2</f>
        <v>724</v>
      </c>
      <c r="B355" s="694" t="s">
        <v>5386</v>
      </c>
      <c r="C355" s="694" t="s">
        <v>5387</v>
      </c>
      <c r="D355" s="695" t="s">
        <v>5388</v>
      </c>
      <c r="E355" s="696"/>
      <c r="F355" s="697"/>
      <c r="G355" s="697"/>
      <c r="H355" s="698"/>
      <c r="I355" s="697"/>
      <c r="J355" s="697"/>
      <c r="K355" s="697"/>
      <c r="L355" s="697"/>
      <c r="M355" s="697"/>
      <c r="N355" s="698"/>
      <c r="O355" s="697"/>
      <c r="P355" s="697"/>
      <c r="Q355" s="697"/>
      <c r="R355" s="697"/>
      <c r="S355" s="697"/>
      <c r="T355" s="697"/>
      <c r="U355" s="697"/>
      <c r="V355" s="697"/>
      <c r="W355" s="698"/>
      <c r="X355" s="698"/>
      <c r="Y355" s="697"/>
      <c r="Z355" s="697"/>
      <c r="AA355" s="697"/>
      <c r="AB355" s="697"/>
      <c r="AC355" s="697"/>
    </row>
    <row r="356" spans="1:29" x14ac:dyDescent="0.2">
      <c r="A356" s="694" t="str">
        <f>+Info!$B$2</f>
        <v>724</v>
      </c>
      <c r="B356" s="694" t="s">
        <v>5389</v>
      </c>
      <c r="C356" s="694" t="s">
        <v>5390</v>
      </c>
      <c r="D356" s="695" t="s">
        <v>5391</v>
      </c>
      <c r="E356" s="696"/>
      <c r="F356" s="697"/>
      <c r="G356" s="697"/>
      <c r="H356" s="698"/>
      <c r="I356" s="697"/>
      <c r="J356" s="697"/>
      <c r="K356" s="697"/>
      <c r="L356" s="697"/>
      <c r="M356" s="697"/>
      <c r="N356" s="698"/>
      <c r="O356" s="697"/>
      <c r="P356" s="697"/>
      <c r="Q356" s="697"/>
      <c r="R356" s="697"/>
      <c r="S356" s="697"/>
      <c r="T356" s="697"/>
      <c r="U356" s="697"/>
      <c r="V356" s="697"/>
      <c r="W356" s="698"/>
      <c r="X356" s="698"/>
      <c r="Y356" s="697"/>
      <c r="Z356" s="697"/>
      <c r="AA356" s="697"/>
      <c r="AB356" s="697"/>
      <c r="AC356" s="697"/>
    </row>
    <row r="357" spans="1:29" x14ac:dyDescent="0.2">
      <c r="A357" s="694" t="str">
        <f>+Info!$B$2</f>
        <v>724</v>
      </c>
      <c r="B357" s="694" t="s">
        <v>5392</v>
      </c>
      <c r="C357" s="694" t="s">
        <v>5393</v>
      </c>
      <c r="D357" s="695" t="s">
        <v>5394</v>
      </c>
      <c r="E357" s="696"/>
      <c r="F357" s="697"/>
      <c r="G357" s="697"/>
      <c r="H357" s="698"/>
      <c r="I357" s="697"/>
      <c r="J357" s="697"/>
      <c r="K357" s="697"/>
      <c r="L357" s="697"/>
      <c r="M357" s="697"/>
      <c r="N357" s="698"/>
      <c r="O357" s="697"/>
      <c r="P357" s="697"/>
      <c r="Q357" s="697"/>
      <c r="R357" s="697"/>
      <c r="S357" s="697"/>
      <c r="T357" s="697"/>
      <c r="U357" s="697"/>
      <c r="V357" s="697"/>
      <c r="W357" s="698"/>
      <c r="X357" s="698"/>
      <c r="Y357" s="697"/>
      <c r="Z357" s="697"/>
      <c r="AA357" s="697"/>
      <c r="AB357" s="697"/>
      <c r="AC357" s="697"/>
    </row>
    <row r="358" spans="1:29" x14ac:dyDescent="0.2">
      <c r="A358" s="694" t="str">
        <f>+Info!$B$2</f>
        <v>724</v>
      </c>
      <c r="B358" s="694" t="s">
        <v>5395</v>
      </c>
      <c r="C358" s="694" t="s">
        <v>5396</v>
      </c>
      <c r="D358" s="695" t="s">
        <v>5397</v>
      </c>
      <c r="E358" s="696"/>
      <c r="F358" s="697"/>
      <c r="G358" s="697"/>
      <c r="H358" s="698"/>
      <c r="I358" s="697"/>
      <c r="J358" s="697"/>
      <c r="K358" s="697"/>
      <c r="L358" s="697"/>
      <c r="M358" s="697"/>
      <c r="N358" s="698"/>
      <c r="O358" s="697"/>
      <c r="P358" s="697"/>
      <c r="Q358" s="697"/>
      <c r="R358" s="697"/>
      <c r="S358" s="697"/>
      <c r="T358" s="697"/>
      <c r="U358" s="697"/>
      <c r="V358" s="697"/>
      <c r="W358" s="698"/>
      <c r="X358" s="698"/>
      <c r="Y358" s="697"/>
      <c r="Z358" s="697"/>
      <c r="AA358" s="697"/>
      <c r="AB358" s="697"/>
      <c r="AC358" s="697"/>
    </row>
    <row r="359" spans="1:29" x14ac:dyDescent="0.2">
      <c r="A359" s="694" t="str">
        <f>+Info!$B$2</f>
        <v>724</v>
      </c>
      <c r="B359" s="694" t="s">
        <v>5398</v>
      </c>
      <c r="C359" s="694" t="s">
        <v>5399</v>
      </c>
      <c r="D359" s="695" t="s">
        <v>5400</v>
      </c>
      <c r="E359" s="696"/>
      <c r="F359" s="697"/>
      <c r="G359" s="697"/>
      <c r="H359" s="698"/>
      <c r="I359" s="697"/>
      <c r="J359" s="697"/>
      <c r="K359" s="697"/>
      <c r="L359" s="697"/>
      <c r="M359" s="697"/>
      <c r="N359" s="698"/>
      <c r="O359" s="697"/>
      <c r="P359" s="697"/>
      <c r="Q359" s="697"/>
      <c r="R359" s="697"/>
      <c r="S359" s="697"/>
      <c r="T359" s="697"/>
      <c r="U359" s="697"/>
      <c r="V359" s="697"/>
      <c r="W359" s="698"/>
      <c r="X359" s="698"/>
      <c r="Y359" s="697"/>
      <c r="Z359" s="697"/>
      <c r="AA359" s="697"/>
      <c r="AB359" s="697"/>
      <c r="AC359" s="697"/>
    </row>
    <row r="360" spans="1:29" x14ac:dyDescent="0.2">
      <c r="A360" s="694" t="str">
        <f>+Info!$B$2</f>
        <v>724</v>
      </c>
      <c r="B360" s="694" t="s">
        <v>5401</v>
      </c>
      <c r="C360" s="694" t="s">
        <v>5402</v>
      </c>
      <c r="D360" s="695" t="s">
        <v>5403</v>
      </c>
      <c r="E360" s="696"/>
      <c r="F360" s="697"/>
      <c r="G360" s="697"/>
      <c r="H360" s="698"/>
      <c r="I360" s="697"/>
      <c r="J360" s="697"/>
      <c r="K360" s="697"/>
      <c r="L360" s="697"/>
      <c r="M360" s="697"/>
      <c r="N360" s="698"/>
      <c r="O360" s="697"/>
      <c r="P360" s="697"/>
      <c r="Q360" s="697"/>
      <c r="R360" s="697"/>
      <c r="S360" s="697"/>
      <c r="T360" s="697"/>
      <c r="U360" s="697"/>
      <c r="V360" s="697"/>
      <c r="W360" s="698"/>
      <c r="X360" s="698"/>
      <c r="Y360" s="697"/>
      <c r="Z360" s="697"/>
      <c r="AA360" s="697"/>
      <c r="AB360" s="697"/>
      <c r="AC360" s="697"/>
    </row>
    <row r="361" spans="1:29" x14ac:dyDescent="0.2">
      <c r="A361" s="694" t="str">
        <f>+Info!$B$2</f>
        <v>724</v>
      </c>
      <c r="B361" s="694" t="s">
        <v>5404</v>
      </c>
      <c r="C361" s="694" t="s">
        <v>5405</v>
      </c>
      <c r="D361" s="695" t="s">
        <v>5406</v>
      </c>
      <c r="E361" s="696"/>
      <c r="F361" s="697"/>
      <c r="G361" s="697"/>
      <c r="H361" s="698"/>
      <c r="I361" s="697"/>
      <c r="J361" s="697"/>
      <c r="K361" s="697"/>
      <c r="L361" s="697"/>
      <c r="M361" s="697"/>
      <c r="N361" s="698"/>
      <c r="O361" s="697"/>
      <c r="P361" s="697"/>
      <c r="Q361" s="697"/>
      <c r="R361" s="697"/>
      <c r="S361" s="697"/>
      <c r="T361" s="697"/>
      <c r="U361" s="697"/>
      <c r="V361" s="697"/>
      <c r="W361" s="698"/>
      <c r="X361" s="698"/>
      <c r="Y361" s="697"/>
      <c r="Z361" s="697"/>
      <c r="AA361" s="697"/>
      <c r="AB361" s="697"/>
      <c r="AC361" s="697"/>
    </row>
    <row r="362" spans="1:29" x14ac:dyDescent="0.2">
      <c r="A362" s="694" t="str">
        <f>+Info!$B$2</f>
        <v>724</v>
      </c>
      <c r="B362" s="694" t="s">
        <v>5407</v>
      </c>
      <c r="C362" s="694" t="s">
        <v>5408</v>
      </c>
      <c r="D362" s="695" t="s">
        <v>5409</v>
      </c>
      <c r="E362" s="696"/>
      <c r="F362" s="697"/>
      <c r="G362" s="697"/>
      <c r="H362" s="698"/>
      <c r="I362" s="697"/>
      <c r="J362" s="697"/>
      <c r="K362" s="697"/>
      <c r="L362" s="697"/>
      <c r="M362" s="697"/>
      <c r="N362" s="698"/>
      <c r="O362" s="697"/>
      <c r="P362" s="697"/>
      <c r="Q362" s="697"/>
      <c r="R362" s="697"/>
      <c r="S362" s="697"/>
      <c r="T362" s="697"/>
      <c r="U362" s="697"/>
      <c r="V362" s="697"/>
      <c r="W362" s="698"/>
      <c r="X362" s="698"/>
      <c r="Y362" s="697"/>
      <c r="Z362" s="697"/>
      <c r="AA362" s="697"/>
      <c r="AB362" s="697"/>
      <c r="AC362" s="697"/>
    </row>
    <row r="363" spans="1:29" x14ac:dyDescent="0.2">
      <c r="A363" s="694" t="str">
        <f>+Info!$B$2</f>
        <v>724</v>
      </c>
      <c r="B363" s="694" t="s">
        <v>5410</v>
      </c>
      <c r="C363" s="694" t="s">
        <v>5411</v>
      </c>
      <c r="D363" s="695" t="s">
        <v>5412</v>
      </c>
      <c r="E363" s="696"/>
      <c r="F363" s="697"/>
      <c r="G363" s="697"/>
      <c r="H363" s="698"/>
      <c r="I363" s="697"/>
      <c r="J363" s="697"/>
      <c r="K363" s="697"/>
      <c r="L363" s="697"/>
      <c r="M363" s="697"/>
      <c r="N363" s="698"/>
      <c r="O363" s="697"/>
      <c r="P363" s="697"/>
      <c r="Q363" s="697"/>
      <c r="R363" s="697"/>
      <c r="S363" s="697"/>
      <c r="T363" s="697"/>
      <c r="U363" s="697"/>
      <c r="V363" s="697"/>
      <c r="W363" s="698"/>
      <c r="X363" s="698"/>
      <c r="Y363" s="697"/>
      <c r="Z363" s="697"/>
      <c r="AA363" s="697"/>
      <c r="AB363" s="697"/>
      <c r="AC363" s="697"/>
    </row>
    <row r="364" spans="1:29" x14ac:dyDescent="0.2">
      <c r="A364" s="694" t="str">
        <f>+Info!$B$2</f>
        <v>724</v>
      </c>
      <c r="B364" s="694" t="s">
        <v>5413</v>
      </c>
      <c r="C364" s="694" t="s">
        <v>5414</v>
      </c>
      <c r="D364" s="695" t="s">
        <v>5415</v>
      </c>
      <c r="E364" s="696"/>
      <c r="F364" s="697"/>
      <c r="G364" s="697"/>
      <c r="H364" s="698"/>
      <c r="I364" s="697"/>
      <c r="J364" s="697"/>
      <c r="K364" s="697"/>
      <c r="L364" s="697"/>
      <c r="M364" s="697"/>
      <c r="N364" s="698"/>
      <c r="O364" s="697"/>
      <c r="P364" s="697"/>
      <c r="Q364" s="697"/>
      <c r="R364" s="697"/>
      <c r="S364" s="697"/>
      <c r="T364" s="697"/>
      <c r="U364" s="697"/>
      <c r="V364" s="697"/>
      <c r="W364" s="698"/>
      <c r="X364" s="698"/>
      <c r="Y364" s="697"/>
      <c r="Z364" s="697"/>
      <c r="AA364" s="697"/>
      <c r="AB364" s="697"/>
      <c r="AC364" s="697"/>
    </row>
    <row r="365" spans="1:29" x14ac:dyDescent="0.2">
      <c r="A365" s="694" t="str">
        <f>+Info!$B$2</f>
        <v>724</v>
      </c>
      <c r="B365" s="694" t="s">
        <v>5416</v>
      </c>
      <c r="C365" s="694" t="s">
        <v>5417</v>
      </c>
      <c r="D365" s="695" t="s">
        <v>5418</v>
      </c>
      <c r="E365" s="696"/>
      <c r="F365" s="697"/>
      <c r="G365" s="697"/>
      <c r="H365" s="698"/>
      <c r="I365" s="697"/>
      <c r="J365" s="697"/>
      <c r="K365" s="697"/>
      <c r="L365" s="697"/>
      <c r="M365" s="697"/>
      <c r="N365" s="698"/>
      <c r="O365" s="697"/>
      <c r="P365" s="697"/>
      <c r="Q365" s="697"/>
      <c r="R365" s="697"/>
      <c r="S365" s="697"/>
      <c r="T365" s="697"/>
      <c r="U365" s="697"/>
      <c r="V365" s="697"/>
      <c r="W365" s="698"/>
      <c r="X365" s="698"/>
      <c r="Y365" s="697"/>
      <c r="Z365" s="697"/>
      <c r="AA365" s="697"/>
      <c r="AB365" s="697"/>
      <c r="AC365" s="697"/>
    </row>
    <row r="366" spans="1:29" x14ac:dyDescent="0.2">
      <c r="A366" s="694" t="str">
        <f>+Info!$B$2</f>
        <v>724</v>
      </c>
      <c r="B366" s="694" t="s">
        <v>5419</v>
      </c>
      <c r="C366" s="694" t="s">
        <v>5420</v>
      </c>
      <c r="D366" s="695" t="s">
        <v>5421</v>
      </c>
      <c r="E366" s="696"/>
      <c r="F366" s="697"/>
      <c r="G366" s="697"/>
      <c r="H366" s="698"/>
      <c r="I366" s="697"/>
      <c r="J366" s="697"/>
      <c r="K366" s="697"/>
      <c r="L366" s="697"/>
      <c r="M366" s="697"/>
      <c r="N366" s="698"/>
      <c r="O366" s="697"/>
      <c r="P366" s="697"/>
      <c r="Q366" s="697"/>
      <c r="R366" s="697"/>
      <c r="S366" s="697"/>
      <c r="T366" s="697"/>
      <c r="U366" s="697"/>
      <c r="V366" s="697"/>
      <c r="W366" s="698"/>
      <c r="X366" s="698"/>
      <c r="Y366" s="697"/>
      <c r="Z366" s="697"/>
      <c r="AA366" s="697"/>
      <c r="AB366" s="697"/>
      <c r="AC366" s="697"/>
    </row>
    <row r="367" spans="1:29" ht="15" x14ac:dyDescent="0.25">
      <c r="A367" s="691" t="str">
        <f>+Info!$B$2</f>
        <v>724</v>
      </c>
      <c r="B367" s="691" t="s">
        <v>5422</v>
      </c>
      <c r="C367" s="691" t="s">
        <v>5423</v>
      </c>
      <c r="D367" s="692" t="s">
        <v>5424</v>
      </c>
      <c r="E367" s="693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</row>
    <row r="368" spans="1:29" x14ac:dyDescent="0.2">
      <c r="A368" s="694" t="str">
        <f>+Info!$B$2</f>
        <v>724</v>
      </c>
      <c r="B368" s="694" t="s">
        <v>5425</v>
      </c>
      <c r="C368" s="694" t="s">
        <v>5426</v>
      </c>
      <c r="D368" s="695" t="s">
        <v>5427</v>
      </c>
      <c r="E368" s="696"/>
      <c r="F368" s="697"/>
      <c r="G368" s="697"/>
      <c r="H368" s="698"/>
      <c r="I368" s="697"/>
      <c r="J368" s="697"/>
      <c r="K368" s="697"/>
      <c r="L368" s="697"/>
      <c r="M368" s="697"/>
      <c r="N368" s="698"/>
      <c r="O368" s="697"/>
      <c r="P368" s="697"/>
      <c r="Q368" s="697"/>
      <c r="R368" s="697"/>
      <c r="S368" s="697"/>
      <c r="T368" s="697"/>
      <c r="U368" s="697"/>
      <c r="V368" s="697"/>
      <c r="W368" s="698"/>
      <c r="X368" s="698"/>
      <c r="Y368" s="697"/>
      <c r="Z368" s="697"/>
      <c r="AA368" s="697"/>
      <c r="AB368" s="697"/>
      <c r="AC368" s="697"/>
    </row>
    <row r="369" spans="1:29" x14ac:dyDescent="0.2">
      <c r="A369" s="694" t="str">
        <f>+Info!$B$2</f>
        <v>724</v>
      </c>
      <c r="B369" s="694" t="s">
        <v>5428</v>
      </c>
      <c r="C369" s="694" t="s">
        <v>5429</v>
      </c>
      <c r="D369" s="695" t="s">
        <v>5430</v>
      </c>
      <c r="E369" s="696"/>
      <c r="F369" s="697"/>
      <c r="G369" s="697"/>
      <c r="H369" s="698"/>
      <c r="I369" s="697"/>
      <c r="J369" s="697"/>
      <c r="K369" s="697"/>
      <c r="L369" s="697"/>
      <c r="M369" s="697"/>
      <c r="N369" s="698"/>
      <c r="O369" s="697"/>
      <c r="P369" s="697"/>
      <c r="Q369" s="697"/>
      <c r="R369" s="697"/>
      <c r="S369" s="697"/>
      <c r="T369" s="697"/>
      <c r="U369" s="697"/>
      <c r="V369" s="697"/>
      <c r="W369" s="698"/>
      <c r="X369" s="698"/>
      <c r="Y369" s="697"/>
      <c r="Z369" s="697"/>
      <c r="AA369" s="697"/>
      <c r="AB369" s="697"/>
      <c r="AC369" s="697"/>
    </row>
    <row r="370" spans="1:29" x14ac:dyDescent="0.2">
      <c r="A370" s="694" t="str">
        <f>+Info!$B$2</f>
        <v>724</v>
      </c>
      <c r="B370" s="694" t="s">
        <v>5431</v>
      </c>
      <c r="C370" s="694" t="s">
        <v>5432</v>
      </c>
      <c r="D370" s="695" t="s">
        <v>5433</v>
      </c>
      <c r="E370" s="696"/>
      <c r="F370" s="697"/>
      <c r="G370" s="697"/>
      <c r="H370" s="698"/>
      <c r="I370" s="697"/>
      <c r="J370" s="697"/>
      <c r="K370" s="697"/>
      <c r="L370" s="697"/>
      <c r="M370" s="697"/>
      <c r="N370" s="698"/>
      <c r="O370" s="697"/>
      <c r="P370" s="697"/>
      <c r="Q370" s="697"/>
      <c r="R370" s="697"/>
      <c r="S370" s="697"/>
      <c r="T370" s="697"/>
      <c r="U370" s="697"/>
      <c r="V370" s="697"/>
      <c r="W370" s="698"/>
      <c r="X370" s="698"/>
      <c r="Y370" s="697"/>
      <c r="Z370" s="697"/>
      <c r="AA370" s="697"/>
      <c r="AB370" s="697"/>
      <c r="AC370" s="697"/>
    </row>
    <row r="371" spans="1:29" x14ac:dyDescent="0.2">
      <c r="A371" s="694" t="str">
        <f>+Info!$B$2</f>
        <v>724</v>
      </c>
      <c r="B371" s="694" t="s">
        <v>5434</v>
      </c>
      <c r="C371" s="694" t="s">
        <v>5435</v>
      </c>
      <c r="D371" s="695" t="s">
        <v>5436</v>
      </c>
      <c r="E371" s="696"/>
      <c r="F371" s="697"/>
      <c r="G371" s="697"/>
      <c r="H371" s="698"/>
      <c r="I371" s="697"/>
      <c r="J371" s="697"/>
      <c r="K371" s="697"/>
      <c r="L371" s="697"/>
      <c r="M371" s="697"/>
      <c r="N371" s="698"/>
      <c r="O371" s="697"/>
      <c r="P371" s="697"/>
      <c r="Q371" s="697"/>
      <c r="R371" s="697"/>
      <c r="S371" s="697"/>
      <c r="T371" s="697"/>
      <c r="U371" s="697"/>
      <c r="V371" s="697"/>
      <c r="W371" s="698"/>
      <c r="X371" s="698"/>
      <c r="Y371" s="697"/>
      <c r="Z371" s="697"/>
      <c r="AA371" s="697"/>
      <c r="AB371" s="697"/>
      <c r="AC371" s="697"/>
    </row>
    <row r="372" spans="1:29" x14ac:dyDescent="0.2">
      <c r="A372" s="694" t="str">
        <f>+Info!$B$2</f>
        <v>724</v>
      </c>
      <c r="B372" s="694" t="s">
        <v>5437</v>
      </c>
      <c r="C372" s="694" t="s">
        <v>5438</v>
      </c>
      <c r="D372" s="695" t="s">
        <v>5439</v>
      </c>
      <c r="E372" s="696"/>
      <c r="F372" s="697"/>
      <c r="G372" s="697"/>
      <c r="H372" s="698"/>
      <c r="I372" s="697"/>
      <c r="J372" s="697"/>
      <c r="K372" s="698"/>
      <c r="L372" s="698"/>
      <c r="M372" s="698"/>
      <c r="N372" s="698"/>
      <c r="O372" s="697"/>
      <c r="P372" s="697"/>
      <c r="Q372" s="697"/>
      <c r="R372" s="697"/>
      <c r="S372" s="697"/>
      <c r="T372" s="697"/>
      <c r="U372" s="697"/>
      <c r="V372" s="697"/>
      <c r="W372" s="698"/>
      <c r="X372" s="698"/>
      <c r="Y372" s="697"/>
      <c r="Z372" s="697"/>
      <c r="AA372" s="697"/>
      <c r="AB372" s="697"/>
      <c r="AC372" s="697"/>
    </row>
    <row r="373" spans="1:29" x14ac:dyDescent="0.2">
      <c r="A373" s="694" t="str">
        <f>+Info!$B$2</f>
        <v>724</v>
      </c>
      <c r="B373" s="694" t="s">
        <v>5440</v>
      </c>
      <c r="C373" s="694" t="s">
        <v>5441</v>
      </c>
      <c r="D373" s="695" t="s">
        <v>5442</v>
      </c>
      <c r="E373" s="696"/>
      <c r="F373" s="697"/>
      <c r="G373" s="697"/>
      <c r="H373" s="698"/>
      <c r="I373" s="697"/>
      <c r="J373" s="697"/>
      <c r="K373" s="697"/>
      <c r="L373" s="697"/>
      <c r="M373" s="697"/>
      <c r="N373" s="698"/>
      <c r="O373" s="697"/>
      <c r="P373" s="697"/>
      <c r="Q373" s="697"/>
      <c r="R373" s="697"/>
      <c r="S373" s="697"/>
      <c r="T373" s="697"/>
      <c r="U373" s="697"/>
      <c r="V373" s="697"/>
      <c r="W373" s="698"/>
      <c r="X373" s="698"/>
      <c r="Y373" s="697"/>
      <c r="Z373" s="697"/>
      <c r="AA373" s="697"/>
      <c r="AB373" s="697"/>
      <c r="AC373" s="697"/>
    </row>
    <row r="374" spans="1:29" x14ac:dyDescent="0.2">
      <c r="A374" s="694" t="str">
        <f>+Info!$B$2</f>
        <v>724</v>
      </c>
      <c r="B374" s="694" t="s">
        <v>5443</v>
      </c>
      <c r="C374" s="694" t="s">
        <v>5444</v>
      </c>
      <c r="D374" s="695" t="s">
        <v>5445</v>
      </c>
      <c r="E374" s="696"/>
      <c r="F374" s="697"/>
      <c r="G374" s="697"/>
      <c r="H374" s="698"/>
      <c r="I374" s="697"/>
      <c r="J374" s="697"/>
      <c r="K374" s="697"/>
      <c r="L374" s="697"/>
      <c r="M374" s="697"/>
      <c r="N374" s="698"/>
      <c r="O374" s="697"/>
      <c r="P374" s="697"/>
      <c r="Q374" s="697"/>
      <c r="R374" s="697"/>
      <c r="S374" s="697"/>
      <c r="T374" s="697"/>
      <c r="U374" s="697"/>
      <c r="V374" s="697"/>
      <c r="W374" s="698"/>
      <c r="X374" s="698"/>
      <c r="Y374" s="697"/>
      <c r="Z374" s="697"/>
      <c r="AA374" s="697"/>
      <c r="AB374" s="697"/>
      <c r="AC374" s="697"/>
    </row>
    <row r="375" spans="1:29" x14ac:dyDescent="0.2">
      <c r="A375" s="694" t="str">
        <f>+Info!$B$2</f>
        <v>724</v>
      </c>
      <c r="B375" s="694" t="s">
        <v>5446</v>
      </c>
      <c r="C375" s="694" t="s">
        <v>5447</v>
      </c>
      <c r="D375" s="695" t="s">
        <v>5448</v>
      </c>
      <c r="E375" s="696"/>
      <c r="F375" s="697"/>
      <c r="G375" s="697"/>
      <c r="H375" s="698"/>
      <c r="I375" s="697"/>
      <c r="J375" s="697"/>
      <c r="K375" s="697"/>
      <c r="L375" s="697"/>
      <c r="M375" s="697"/>
      <c r="N375" s="698"/>
      <c r="O375" s="697"/>
      <c r="P375" s="697"/>
      <c r="Q375" s="697"/>
      <c r="R375" s="697"/>
      <c r="S375" s="697"/>
      <c r="T375" s="697"/>
      <c r="U375" s="697"/>
      <c r="V375" s="697"/>
      <c r="W375" s="698"/>
      <c r="X375" s="698"/>
      <c r="Y375" s="697"/>
      <c r="Z375" s="697"/>
      <c r="AA375" s="697"/>
      <c r="AB375" s="697"/>
      <c r="AC375" s="697"/>
    </row>
    <row r="376" spans="1:29" x14ac:dyDescent="0.2">
      <c r="A376" s="694" t="str">
        <f>+Info!$B$2</f>
        <v>724</v>
      </c>
      <c r="B376" s="694" t="s">
        <v>5449</v>
      </c>
      <c r="C376" s="694" t="s">
        <v>5450</v>
      </c>
      <c r="D376" s="695" t="s">
        <v>5451</v>
      </c>
      <c r="E376" s="696"/>
      <c r="F376" s="697"/>
      <c r="G376" s="697"/>
      <c r="H376" s="698"/>
      <c r="I376" s="698"/>
      <c r="J376" s="697"/>
      <c r="K376" s="697"/>
      <c r="L376" s="697"/>
      <c r="M376" s="697"/>
      <c r="N376" s="698"/>
      <c r="O376" s="697"/>
      <c r="P376" s="697"/>
      <c r="Q376" s="697"/>
      <c r="R376" s="697"/>
      <c r="S376" s="697"/>
      <c r="T376" s="697"/>
      <c r="U376" s="697"/>
      <c r="V376" s="697"/>
      <c r="W376" s="698"/>
      <c r="X376" s="698"/>
      <c r="Y376" s="697"/>
      <c r="Z376" s="697"/>
      <c r="AA376" s="697"/>
      <c r="AB376" s="697"/>
      <c r="AC376" s="697"/>
    </row>
    <row r="377" spans="1:29" x14ac:dyDescent="0.2">
      <c r="A377" s="694" t="str">
        <f>+Info!$B$2</f>
        <v>724</v>
      </c>
      <c r="B377" s="694" t="s">
        <v>5452</v>
      </c>
      <c r="C377" s="694" t="s">
        <v>5453</v>
      </c>
      <c r="D377" s="695" t="s">
        <v>5454</v>
      </c>
      <c r="E377" s="696"/>
      <c r="F377" s="697"/>
      <c r="G377" s="697"/>
      <c r="H377" s="698"/>
      <c r="I377" s="697"/>
      <c r="J377" s="697"/>
      <c r="K377" s="697"/>
      <c r="L377" s="697"/>
      <c r="M377" s="697"/>
      <c r="N377" s="698"/>
      <c r="O377" s="697"/>
      <c r="P377" s="697"/>
      <c r="Q377" s="697"/>
      <c r="R377" s="697"/>
      <c r="S377" s="697"/>
      <c r="T377" s="697"/>
      <c r="U377" s="697"/>
      <c r="V377" s="697"/>
      <c r="W377" s="698"/>
      <c r="X377" s="698"/>
      <c r="Y377" s="697"/>
      <c r="Z377" s="697"/>
      <c r="AA377" s="697"/>
      <c r="AB377" s="697"/>
      <c r="AC377" s="697"/>
    </row>
    <row r="378" spans="1:29" x14ac:dyDescent="0.2">
      <c r="A378" s="694" t="str">
        <f>+Info!$B$2</f>
        <v>724</v>
      </c>
      <c r="B378" s="694" t="s">
        <v>5455</v>
      </c>
      <c r="C378" s="694" t="s">
        <v>5456</v>
      </c>
      <c r="D378" s="695" t="s">
        <v>5457</v>
      </c>
      <c r="E378" s="696"/>
      <c r="F378" s="697"/>
      <c r="G378" s="697"/>
      <c r="H378" s="698"/>
      <c r="I378" s="697"/>
      <c r="J378" s="697"/>
      <c r="K378" s="697"/>
      <c r="L378" s="697"/>
      <c r="M378" s="697"/>
      <c r="N378" s="698"/>
      <c r="O378" s="697"/>
      <c r="P378" s="697"/>
      <c r="Q378" s="697"/>
      <c r="R378" s="697"/>
      <c r="S378" s="697"/>
      <c r="T378" s="697"/>
      <c r="U378" s="697"/>
      <c r="V378" s="697"/>
      <c r="W378" s="698"/>
      <c r="X378" s="698"/>
      <c r="Y378" s="697"/>
      <c r="Z378" s="697"/>
      <c r="AA378" s="697"/>
      <c r="AB378" s="697"/>
      <c r="AC378" s="697"/>
    </row>
    <row r="379" spans="1:29" x14ac:dyDescent="0.2">
      <c r="A379" s="694" t="str">
        <f>+Info!$B$2</f>
        <v>724</v>
      </c>
      <c r="B379" s="694" t="s">
        <v>5458</v>
      </c>
      <c r="C379" s="694" t="s">
        <v>5459</v>
      </c>
      <c r="D379" s="695" t="s">
        <v>5460</v>
      </c>
      <c r="E379" s="696"/>
      <c r="F379" s="697"/>
      <c r="G379" s="697"/>
      <c r="H379" s="698"/>
      <c r="I379" s="697"/>
      <c r="J379" s="697"/>
      <c r="K379" s="697"/>
      <c r="L379" s="697"/>
      <c r="M379" s="697"/>
      <c r="N379" s="698"/>
      <c r="O379" s="697"/>
      <c r="P379" s="697"/>
      <c r="Q379" s="697"/>
      <c r="R379" s="697"/>
      <c r="S379" s="697"/>
      <c r="T379" s="697"/>
      <c r="U379" s="697"/>
      <c r="V379" s="697"/>
      <c r="W379" s="698"/>
      <c r="X379" s="698"/>
      <c r="Y379" s="697"/>
      <c r="Z379" s="697"/>
      <c r="AA379" s="697"/>
      <c r="AB379" s="697"/>
      <c r="AC379" s="697"/>
    </row>
    <row r="380" spans="1:29" x14ac:dyDescent="0.2">
      <c r="A380" s="694" t="str">
        <f>+Info!$B$2</f>
        <v>724</v>
      </c>
      <c r="B380" s="694" t="s">
        <v>5461</v>
      </c>
      <c r="C380" s="694" t="s">
        <v>5462</v>
      </c>
      <c r="D380" s="695" t="s">
        <v>5463</v>
      </c>
      <c r="E380" s="696"/>
      <c r="F380" s="697"/>
      <c r="G380" s="697"/>
      <c r="H380" s="698"/>
      <c r="I380" s="698"/>
      <c r="J380" s="697"/>
      <c r="K380" s="697"/>
      <c r="L380" s="697"/>
      <c r="M380" s="697"/>
      <c r="N380" s="698"/>
      <c r="O380" s="697"/>
      <c r="P380" s="697"/>
      <c r="Q380" s="697"/>
      <c r="R380" s="697"/>
      <c r="S380" s="697"/>
      <c r="T380" s="697"/>
      <c r="U380" s="697"/>
      <c r="V380" s="697"/>
      <c r="W380" s="698"/>
      <c r="X380" s="698"/>
      <c r="Y380" s="697"/>
      <c r="Z380" s="697"/>
      <c r="AA380" s="697"/>
      <c r="AB380" s="697"/>
      <c r="AC380" s="697"/>
    </row>
    <row r="381" spans="1:29" ht="25.5" x14ac:dyDescent="0.2">
      <c r="A381" s="694" t="str">
        <f>+Info!$B$2</f>
        <v>724</v>
      </c>
      <c r="B381" s="694" t="s">
        <v>5464</v>
      </c>
      <c r="C381" s="694" t="s">
        <v>5465</v>
      </c>
      <c r="D381" s="695" t="s">
        <v>5466</v>
      </c>
      <c r="E381" s="696"/>
      <c r="F381" s="697"/>
      <c r="G381" s="697"/>
      <c r="H381" s="698"/>
      <c r="I381" s="698"/>
      <c r="J381" s="697"/>
      <c r="K381" s="697"/>
      <c r="L381" s="697"/>
      <c r="M381" s="697"/>
      <c r="N381" s="698"/>
      <c r="O381" s="697"/>
      <c r="P381" s="697"/>
      <c r="Q381" s="697"/>
      <c r="R381" s="697"/>
      <c r="S381" s="697"/>
      <c r="T381" s="697"/>
      <c r="U381" s="697"/>
      <c r="V381" s="697"/>
      <c r="W381" s="698"/>
      <c r="X381" s="698"/>
      <c r="Y381" s="697"/>
      <c r="Z381" s="697"/>
      <c r="AA381" s="697"/>
      <c r="AB381" s="697"/>
      <c r="AC381" s="697"/>
    </row>
    <row r="382" spans="1:29" ht="25.5" x14ac:dyDescent="0.2">
      <c r="A382" s="694" t="str">
        <f>+Info!$B$2</f>
        <v>724</v>
      </c>
      <c r="B382" s="694" t="s">
        <v>5467</v>
      </c>
      <c r="C382" s="694" t="s">
        <v>5468</v>
      </c>
      <c r="D382" s="695" t="s">
        <v>5469</v>
      </c>
      <c r="E382" s="696"/>
      <c r="F382" s="697"/>
      <c r="G382" s="697"/>
      <c r="H382" s="698"/>
      <c r="I382" s="698"/>
      <c r="J382" s="697"/>
      <c r="K382" s="697"/>
      <c r="L382" s="697"/>
      <c r="M382" s="697"/>
      <c r="N382" s="698"/>
      <c r="O382" s="697"/>
      <c r="P382" s="697"/>
      <c r="Q382" s="697"/>
      <c r="R382" s="697"/>
      <c r="S382" s="697"/>
      <c r="T382" s="697"/>
      <c r="U382" s="697"/>
      <c r="V382" s="697"/>
      <c r="W382" s="698"/>
      <c r="X382" s="698"/>
      <c r="Y382" s="697"/>
      <c r="Z382" s="697"/>
      <c r="AA382" s="697"/>
      <c r="AB382" s="697"/>
      <c r="AC382" s="697"/>
    </row>
    <row r="383" spans="1:29" ht="25.5" x14ac:dyDescent="0.2">
      <c r="A383" s="694" t="str">
        <f>+Info!$B$2</f>
        <v>724</v>
      </c>
      <c r="B383" s="694" t="s">
        <v>5470</v>
      </c>
      <c r="C383" s="694" t="s">
        <v>5471</v>
      </c>
      <c r="D383" s="695" t="s">
        <v>5472</v>
      </c>
      <c r="E383" s="696"/>
      <c r="F383" s="697"/>
      <c r="G383" s="697"/>
      <c r="H383" s="698"/>
      <c r="I383" s="698"/>
      <c r="J383" s="697"/>
      <c r="K383" s="697"/>
      <c r="L383" s="697"/>
      <c r="M383" s="697"/>
      <c r="N383" s="698"/>
      <c r="O383" s="697"/>
      <c r="P383" s="697"/>
      <c r="Q383" s="697"/>
      <c r="R383" s="697"/>
      <c r="S383" s="697"/>
      <c r="T383" s="697"/>
      <c r="U383" s="697"/>
      <c r="V383" s="697"/>
      <c r="W383" s="698"/>
      <c r="X383" s="698"/>
      <c r="Y383" s="697"/>
      <c r="Z383" s="697"/>
      <c r="AA383" s="697"/>
      <c r="AB383" s="697"/>
      <c r="AC383" s="697"/>
    </row>
    <row r="384" spans="1:29" x14ac:dyDescent="0.2">
      <c r="A384" s="694" t="str">
        <f>+Info!$B$2</f>
        <v>724</v>
      </c>
      <c r="B384" s="694" t="s">
        <v>5473</v>
      </c>
      <c r="C384" s="694" t="s">
        <v>5474</v>
      </c>
      <c r="D384" s="695" t="s">
        <v>5475</v>
      </c>
      <c r="E384" s="696"/>
      <c r="F384" s="697"/>
      <c r="G384" s="697"/>
      <c r="H384" s="698"/>
      <c r="I384" s="698"/>
      <c r="J384" s="697"/>
      <c r="K384" s="697"/>
      <c r="L384" s="697"/>
      <c r="M384" s="697"/>
      <c r="N384" s="698"/>
      <c r="O384" s="697"/>
      <c r="P384" s="697"/>
      <c r="Q384" s="697"/>
      <c r="R384" s="697"/>
      <c r="S384" s="697"/>
      <c r="T384" s="697"/>
      <c r="U384" s="697"/>
      <c r="V384" s="697"/>
      <c r="W384" s="698"/>
      <c r="X384" s="698"/>
      <c r="Y384" s="697"/>
      <c r="Z384" s="697"/>
      <c r="AA384" s="697"/>
      <c r="AB384" s="697"/>
      <c r="AC384" s="697"/>
    </row>
    <row r="385" spans="1:29" ht="15" x14ac:dyDescent="0.25">
      <c r="A385" s="691" t="str">
        <f>+Info!$B$2</f>
        <v>724</v>
      </c>
      <c r="B385" s="691" t="s">
        <v>5476</v>
      </c>
      <c r="C385" s="691" t="s">
        <v>5477</v>
      </c>
      <c r="D385" s="692" t="s">
        <v>5478</v>
      </c>
      <c r="E385" s="693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</row>
    <row r="386" spans="1:29" x14ac:dyDescent="0.2">
      <c r="A386" s="694" t="str">
        <f>+Info!$B$2</f>
        <v>724</v>
      </c>
      <c r="B386" s="694" t="s">
        <v>5479</v>
      </c>
      <c r="C386" s="694" t="s">
        <v>5480</v>
      </c>
      <c r="D386" s="695" t="s">
        <v>5481</v>
      </c>
      <c r="E386" s="696"/>
      <c r="F386" s="697"/>
      <c r="G386" s="697"/>
      <c r="H386" s="698"/>
      <c r="I386" s="697"/>
      <c r="J386" s="697"/>
      <c r="K386" s="697"/>
      <c r="L386" s="697"/>
      <c r="M386" s="697"/>
      <c r="N386" s="698"/>
      <c r="O386" s="697"/>
      <c r="P386" s="697"/>
      <c r="Q386" s="697"/>
      <c r="R386" s="697"/>
      <c r="S386" s="697"/>
      <c r="T386" s="697"/>
      <c r="U386" s="697"/>
      <c r="V386" s="697"/>
      <c r="W386" s="698"/>
      <c r="X386" s="698"/>
      <c r="Y386" s="697"/>
      <c r="Z386" s="697"/>
      <c r="AA386" s="697"/>
      <c r="AB386" s="697"/>
      <c r="AC386" s="697"/>
    </row>
    <row r="387" spans="1:29" x14ac:dyDescent="0.2">
      <c r="A387" s="694" t="str">
        <f>+Info!$B$2</f>
        <v>724</v>
      </c>
      <c r="B387" s="694" t="s">
        <v>5482</v>
      </c>
      <c r="C387" s="694" t="s">
        <v>5483</v>
      </c>
      <c r="D387" s="695" t="s">
        <v>5484</v>
      </c>
      <c r="E387" s="696"/>
      <c r="F387" s="697"/>
      <c r="G387" s="697"/>
      <c r="H387" s="698"/>
      <c r="I387" s="697"/>
      <c r="J387" s="697"/>
      <c r="K387" s="697"/>
      <c r="L387" s="697"/>
      <c r="M387" s="697"/>
      <c r="N387" s="698"/>
      <c r="O387" s="697"/>
      <c r="P387" s="697"/>
      <c r="Q387" s="697"/>
      <c r="R387" s="697"/>
      <c r="S387" s="697"/>
      <c r="T387" s="697"/>
      <c r="U387" s="697"/>
      <c r="V387" s="697"/>
      <c r="W387" s="698"/>
      <c r="X387" s="698"/>
      <c r="Y387" s="697"/>
      <c r="Z387" s="697"/>
      <c r="AA387" s="697"/>
      <c r="AB387" s="697"/>
      <c r="AC387" s="697"/>
    </row>
    <row r="388" spans="1:29" x14ac:dyDescent="0.2">
      <c r="A388" s="694" t="str">
        <f>+Info!$B$2</f>
        <v>724</v>
      </c>
      <c r="B388" s="694" t="s">
        <v>5485</v>
      </c>
      <c r="C388" s="694" t="s">
        <v>5486</v>
      </c>
      <c r="D388" s="695" t="s">
        <v>5487</v>
      </c>
      <c r="E388" s="696"/>
      <c r="F388" s="697"/>
      <c r="G388" s="697"/>
      <c r="H388" s="698"/>
      <c r="I388" s="697"/>
      <c r="J388" s="697"/>
      <c r="K388" s="697"/>
      <c r="L388" s="697"/>
      <c r="M388" s="697"/>
      <c r="N388" s="698"/>
      <c r="O388" s="697"/>
      <c r="P388" s="697"/>
      <c r="Q388" s="697"/>
      <c r="R388" s="697"/>
      <c r="S388" s="697"/>
      <c r="T388" s="697"/>
      <c r="U388" s="697"/>
      <c r="V388" s="697"/>
      <c r="W388" s="698"/>
      <c r="X388" s="698"/>
      <c r="Y388" s="697"/>
      <c r="Z388" s="697"/>
      <c r="AA388" s="697"/>
      <c r="AB388" s="697"/>
      <c r="AC388" s="697"/>
    </row>
    <row r="389" spans="1:29" x14ac:dyDescent="0.2">
      <c r="A389" s="694" t="str">
        <f>+Info!$B$2</f>
        <v>724</v>
      </c>
      <c r="B389" s="694" t="s">
        <v>5488</v>
      </c>
      <c r="C389" s="694" t="s">
        <v>5489</v>
      </c>
      <c r="D389" s="695" t="s">
        <v>5490</v>
      </c>
      <c r="E389" s="696"/>
      <c r="F389" s="697"/>
      <c r="G389" s="697"/>
      <c r="H389" s="698"/>
      <c r="I389" s="697"/>
      <c r="J389" s="697"/>
      <c r="K389" s="697"/>
      <c r="L389" s="697"/>
      <c r="M389" s="697"/>
      <c r="N389" s="698"/>
      <c r="O389" s="697"/>
      <c r="P389" s="697"/>
      <c r="Q389" s="697"/>
      <c r="R389" s="697"/>
      <c r="S389" s="697"/>
      <c r="T389" s="697"/>
      <c r="U389" s="697"/>
      <c r="V389" s="697"/>
      <c r="W389" s="698"/>
      <c r="X389" s="698"/>
      <c r="Y389" s="697"/>
      <c r="Z389" s="697"/>
      <c r="AA389" s="697"/>
      <c r="AB389" s="697"/>
      <c r="AC389" s="697"/>
    </row>
    <row r="390" spans="1:29" ht="15" x14ac:dyDescent="0.25">
      <c r="A390" s="691" t="str">
        <f>+Info!$B$2</f>
        <v>724</v>
      </c>
      <c r="B390" s="691" t="s">
        <v>5491</v>
      </c>
      <c r="C390" s="691" t="s">
        <v>5492</v>
      </c>
      <c r="D390" s="692" t="s">
        <v>5493</v>
      </c>
      <c r="E390" s="693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</row>
    <row r="391" spans="1:29" x14ac:dyDescent="0.2">
      <c r="A391" s="694" t="str">
        <f>+Info!$B$2</f>
        <v>724</v>
      </c>
      <c r="B391" s="694" t="s">
        <v>5494</v>
      </c>
      <c r="C391" s="694" t="s">
        <v>5495</v>
      </c>
      <c r="D391" s="695" t="s">
        <v>5496</v>
      </c>
      <c r="E391" s="696"/>
      <c r="F391" s="697"/>
      <c r="G391" s="697"/>
      <c r="H391" s="698"/>
      <c r="I391" s="697"/>
      <c r="J391" s="697"/>
      <c r="K391" s="697"/>
      <c r="L391" s="697"/>
      <c r="M391" s="697"/>
      <c r="N391" s="698"/>
      <c r="O391" s="697"/>
      <c r="P391" s="697"/>
      <c r="Q391" s="697"/>
      <c r="R391" s="697"/>
      <c r="S391" s="697"/>
      <c r="T391" s="697"/>
      <c r="U391" s="697"/>
      <c r="V391" s="697"/>
      <c r="W391" s="698"/>
      <c r="X391" s="698"/>
      <c r="Y391" s="697"/>
      <c r="Z391" s="697"/>
      <c r="AA391" s="697"/>
      <c r="AB391" s="697"/>
      <c r="AC391" s="697"/>
    </row>
    <row r="392" spans="1:29" x14ac:dyDescent="0.2">
      <c r="A392" s="694" t="str">
        <f>+Info!$B$2</f>
        <v>724</v>
      </c>
      <c r="B392" s="694" t="s">
        <v>5497</v>
      </c>
      <c r="C392" s="694" t="s">
        <v>5498</v>
      </c>
      <c r="D392" s="695" t="s">
        <v>5499</v>
      </c>
      <c r="E392" s="696"/>
      <c r="F392" s="697"/>
      <c r="G392" s="697"/>
      <c r="H392" s="698"/>
      <c r="I392" s="697"/>
      <c r="J392" s="697"/>
      <c r="K392" s="697"/>
      <c r="L392" s="697"/>
      <c r="M392" s="697"/>
      <c r="N392" s="698"/>
      <c r="O392" s="697"/>
      <c r="P392" s="697"/>
      <c r="Q392" s="697"/>
      <c r="R392" s="697"/>
      <c r="S392" s="697"/>
      <c r="T392" s="697"/>
      <c r="U392" s="697"/>
      <c r="V392" s="697"/>
      <c r="W392" s="698"/>
      <c r="X392" s="698"/>
      <c r="Y392" s="697"/>
      <c r="Z392" s="697"/>
      <c r="AA392" s="697"/>
      <c r="AB392" s="697"/>
      <c r="AC392" s="697"/>
    </row>
    <row r="393" spans="1:29" x14ac:dyDescent="0.2">
      <c r="A393" s="694" t="str">
        <f>+Info!$B$2</f>
        <v>724</v>
      </c>
      <c r="B393" s="694" t="s">
        <v>5500</v>
      </c>
      <c r="C393" s="694" t="s">
        <v>5501</v>
      </c>
      <c r="D393" s="695" t="s">
        <v>5502</v>
      </c>
      <c r="E393" s="696"/>
      <c r="F393" s="697"/>
      <c r="G393" s="697"/>
      <c r="H393" s="698"/>
      <c r="I393" s="697"/>
      <c r="J393" s="697"/>
      <c r="K393" s="697"/>
      <c r="L393" s="697"/>
      <c r="M393" s="697"/>
      <c r="N393" s="698"/>
      <c r="O393" s="697"/>
      <c r="P393" s="697"/>
      <c r="Q393" s="697"/>
      <c r="R393" s="697"/>
      <c r="S393" s="697"/>
      <c r="T393" s="697"/>
      <c r="U393" s="697"/>
      <c r="V393" s="697"/>
      <c r="W393" s="698"/>
      <c r="X393" s="698"/>
      <c r="Y393" s="697"/>
      <c r="Z393" s="697"/>
      <c r="AA393" s="697"/>
      <c r="AB393" s="697"/>
      <c r="AC393" s="697"/>
    </row>
    <row r="394" spans="1:29" x14ac:dyDescent="0.2">
      <c r="A394" s="694" t="str">
        <f>+Info!$B$2</f>
        <v>724</v>
      </c>
      <c r="B394" s="694" t="s">
        <v>5503</v>
      </c>
      <c r="C394" s="694" t="s">
        <v>5504</v>
      </c>
      <c r="D394" s="695" t="s">
        <v>5505</v>
      </c>
      <c r="E394" s="696"/>
      <c r="F394" s="697"/>
      <c r="G394" s="697"/>
      <c r="H394" s="698"/>
      <c r="I394" s="697"/>
      <c r="J394" s="697"/>
      <c r="K394" s="697"/>
      <c r="L394" s="697"/>
      <c r="M394" s="697"/>
      <c r="N394" s="698"/>
      <c r="O394" s="697"/>
      <c r="P394" s="697"/>
      <c r="Q394" s="697"/>
      <c r="R394" s="697"/>
      <c r="S394" s="697"/>
      <c r="T394" s="697"/>
      <c r="U394" s="697"/>
      <c r="V394" s="697"/>
      <c r="W394" s="698"/>
      <c r="X394" s="698"/>
      <c r="Y394" s="697"/>
      <c r="Z394" s="697"/>
      <c r="AA394" s="697"/>
      <c r="AB394" s="697"/>
      <c r="AC394" s="697"/>
    </row>
    <row r="395" spans="1:29" x14ac:dyDescent="0.2">
      <c r="A395" s="694" t="str">
        <f>+Info!$B$2</f>
        <v>724</v>
      </c>
      <c r="B395" s="694" t="s">
        <v>5506</v>
      </c>
      <c r="C395" s="694" t="s">
        <v>5507</v>
      </c>
      <c r="D395" s="695" t="s">
        <v>5508</v>
      </c>
      <c r="E395" s="696"/>
      <c r="F395" s="697"/>
      <c r="G395" s="697"/>
      <c r="H395" s="698"/>
      <c r="I395" s="697"/>
      <c r="J395" s="697"/>
      <c r="K395" s="697"/>
      <c r="L395" s="697"/>
      <c r="M395" s="697"/>
      <c r="N395" s="698"/>
      <c r="O395" s="697"/>
      <c r="P395" s="697"/>
      <c r="Q395" s="697"/>
      <c r="R395" s="697"/>
      <c r="S395" s="697"/>
      <c r="T395" s="697"/>
      <c r="U395" s="697"/>
      <c r="V395" s="697"/>
      <c r="W395" s="698"/>
      <c r="X395" s="698"/>
      <c r="Y395" s="697"/>
      <c r="Z395" s="697"/>
      <c r="AA395" s="697"/>
      <c r="AB395" s="697"/>
      <c r="AC395" s="697"/>
    </row>
    <row r="396" spans="1:29" x14ac:dyDescent="0.2">
      <c r="A396" s="694" t="str">
        <f>+Info!$B$2</f>
        <v>724</v>
      </c>
      <c r="B396" s="694" t="s">
        <v>5509</v>
      </c>
      <c r="C396" s="694" t="s">
        <v>5510</v>
      </c>
      <c r="D396" s="695" t="s">
        <v>5511</v>
      </c>
      <c r="E396" s="696"/>
      <c r="F396" s="697"/>
      <c r="G396" s="697"/>
      <c r="H396" s="698"/>
      <c r="I396" s="697"/>
      <c r="J396" s="697"/>
      <c r="K396" s="697"/>
      <c r="L396" s="697"/>
      <c r="M396" s="697"/>
      <c r="N396" s="698"/>
      <c r="O396" s="697"/>
      <c r="P396" s="697"/>
      <c r="Q396" s="697"/>
      <c r="R396" s="697"/>
      <c r="S396" s="697"/>
      <c r="T396" s="697"/>
      <c r="U396" s="697"/>
      <c r="V396" s="697"/>
      <c r="W396" s="698"/>
      <c r="X396" s="698"/>
      <c r="Y396" s="697"/>
      <c r="Z396" s="697"/>
      <c r="AA396" s="697"/>
      <c r="AB396" s="697"/>
      <c r="AC396" s="697"/>
    </row>
    <row r="397" spans="1:29" x14ac:dyDescent="0.2">
      <c r="A397" s="694" t="str">
        <f>+Info!$B$2</f>
        <v>724</v>
      </c>
      <c r="B397" s="694" t="s">
        <v>5512</v>
      </c>
      <c r="C397" s="694" t="s">
        <v>4306</v>
      </c>
      <c r="D397" s="695" t="s">
        <v>5513</v>
      </c>
      <c r="E397" s="696"/>
      <c r="F397" s="697"/>
      <c r="G397" s="697"/>
      <c r="H397" s="698"/>
      <c r="I397" s="697"/>
      <c r="J397" s="697"/>
      <c r="K397" s="697"/>
      <c r="L397" s="697"/>
      <c r="M397" s="697"/>
      <c r="N397" s="698"/>
      <c r="O397" s="697"/>
      <c r="P397" s="697"/>
      <c r="Q397" s="697"/>
      <c r="R397" s="697"/>
      <c r="S397" s="697"/>
      <c r="T397" s="697"/>
      <c r="U397" s="697"/>
      <c r="V397" s="697"/>
      <c r="W397" s="698"/>
      <c r="X397" s="698"/>
      <c r="Y397" s="697"/>
      <c r="Z397" s="697"/>
      <c r="AA397" s="697"/>
      <c r="AB397" s="697"/>
      <c r="AC397" s="697"/>
    </row>
    <row r="398" spans="1:29" x14ac:dyDescent="0.2">
      <c r="A398" s="694" t="str">
        <f>+Info!$B$2</f>
        <v>724</v>
      </c>
      <c r="B398" s="694" t="s">
        <v>5514</v>
      </c>
      <c r="C398" s="694" t="s">
        <v>5515</v>
      </c>
      <c r="D398" s="695" t="s">
        <v>5516</v>
      </c>
      <c r="E398" s="696"/>
      <c r="F398" s="697"/>
      <c r="G398" s="697"/>
      <c r="H398" s="698"/>
      <c r="I398" s="697"/>
      <c r="J398" s="697"/>
      <c r="K398" s="697"/>
      <c r="L398" s="697"/>
      <c r="M398" s="697"/>
      <c r="N398" s="698"/>
      <c r="O398" s="697"/>
      <c r="P398" s="697"/>
      <c r="Q398" s="697"/>
      <c r="R398" s="697"/>
      <c r="S398" s="697"/>
      <c r="T398" s="697"/>
      <c r="U398" s="697"/>
      <c r="V398" s="697"/>
      <c r="W398" s="698"/>
      <c r="X398" s="698"/>
      <c r="Y398" s="697"/>
      <c r="Z398" s="697"/>
      <c r="AA398" s="697"/>
      <c r="AB398" s="697"/>
      <c r="AC398" s="697"/>
    </row>
    <row r="399" spans="1:29" ht="15" x14ac:dyDescent="0.25">
      <c r="A399" s="691" t="str">
        <f>+Info!$B$2</f>
        <v>724</v>
      </c>
      <c r="B399" s="691" t="s">
        <v>5517</v>
      </c>
      <c r="C399" s="691" t="s">
        <v>5518</v>
      </c>
      <c r="D399" s="692" t="s">
        <v>5519</v>
      </c>
      <c r="E399" s="693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</row>
    <row r="400" spans="1:29" x14ac:dyDescent="0.2">
      <c r="A400" s="694" t="str">
        <f>+Info!$B$2</f>
        <v>724</v>
      </c>
      <c r="B400" s="694" t="s">
        <v>5520</v>
      </c>
      <c r="C400" s="694" t="s">
        <v>5521</v>
      </c>
      <c r="D400" s="695" t="s">
        <v>5522</v>
      </c>
      <c r="E400" s="696"/>
      <c r="F400" s="697"/>
      <c r="G400" s="697"/>
      <c r="H400" s="698"/>
      <c r="I400" s="697"/>
      <c r="J400" s="697"/>
      <c r="K400" s="697"/>
      <c r="L400" s="697"/>
      <c r="M400" s="697"/>
      <c r="N400" s="698"/>
      <c r="O400" s="697"/>
      <c r="P400" s="697"/>
      <c r="Q400" s="697"/>
      <c r="R400" s="697"/>
      <c r="S400" s="697"/>
      <c r="T400" s="697"/>
      <c r="U400" s="697"/>
      <c r="V400" s="697"/>
      <c r="W400" s="698"/>
      <c r="X400" s="698"/>
      <c r="Y400" s="697"/>
      <c r="Z400" s="697"/>
      <c r="AA400" s="697"/>
      <c r="AB400" s="697"/>
      <c r="AC400" s="697"/>
    </row>
    <row r="401" spans="1:29" x14ac:dyDescent="0.2">
      <c r="A401" s="694" t="str">
        <f>+Info!$B$2</f>
        <v>724</v>
      </c>
      <c r="B401" s="694" t="s">
        <v>5523</v>
      </c>
      <c r="C401" s="694" t="s">
        <v>5524</v>
      </c>
      <c r="D401" s="695" t="s">
        <v>5525</v>
      </c>
      <c r="E401" s="696"/>
      <c r="F401" s="697"/>
      <c r="G401" s="697"/>
      <c r="H401" s="698"/>
      <c r="I401" s="697"/>
      <c r="J401" s="697"/>
      <c r="K401" s="697"/>
      <c r="L401" s="697"/>
      <c r="M401" s="697"/>
      <c r="N401" s="698"/>
      <c r="O401" s="697"/>
      <c r="P401" s="697"/>
      <c r="Q401" s="697"/>
      <c r="R401" s="697"/>
      <c r="S401" s="697"/>
      <c r="T401" s="697"/>
      <c r="U401" s="697"/>
      <c r="V401" s="697"/>
      <c r="W401" s="698"/>
      <c r="X401" s="698"/>
      <c r="Y401" s="697"/>
      <c r="Z401" s="697"/>
      <c r="AA401" s="697"/>
      <c r="AB401" s="697"/>
      <c r="AC401" s="697"/>
    </row>
    <row r="402" spans="1:29" x14ac:dyDescent="0.2">
      <c r="A402" s="694" t="str">
        <f>+Info!$B$2</f>
        <v>724</v>
      </c>
      <c r="B402" s="694" t="s">
        <v>5526</v>
      </c>
      <c r="C402" s="694" t="s">
        <v>5527</v>
      </c>
      <c r="D402" s="695" t="s">
        <v>5528</v>
      </c>
      <c r="E402" s="696"/>
      <c r="F402" s="697"/>
      <c r="G402" s="697"/>
      <c r="H402" s="698"/>
      <c r="I402" s="697"/>
      <c r="J402" s="697"/>
      <c r="K402" s="697"/>
      <c r="L402" s="697"/>
      <c r="M402" s="697"/>
      <c r="N402" s="698"/>
      <c r="O402" s="697"/>
      <c r="P402" s="697"/>
      <c r="Q402" s="697"/>
      <c r="R402" s="697"/>
      <c r="S402" s="697"/>
      <c r="T402" s="697"/>
      <c r="U402" s="697"/>
      <c r="V402" s="697"/>
      <c r="W402" s="698"/>
      <c r="X402" s="698"/>
      <c r="Y402" s="697"/>
      <c r="Z402" s="697"/>
      <c r="AA402" s="697"/>
      <c r="AB402" s="697"/>
      <c r="AC402" s="697"/>
    </row>
    <row r="403" spans="1:29" x14ac:dyDescent="0.2">
      <c r="A403" s="694" t="str">
        <f>+Info!$B$2</f>
        <v>724</v>
      </c>
      <c r="B403" s="694" t="s">
        <v>5529</v>
      </c>
      <c r="C403" s="694" t="s">
        <v>5530</v>
      </c>
      <c r="D403" s="695" t="s">
        <v>5531</v>
      </c>
      <c r="E403" s="696"/>
      <c r="F403" s="697"/>
      <c r="G403" s="697"/>
      <c r="H403" s="698"/>
      <c r="I403" s="697"/>
      <c r="J403" s="697"/>
      <c r="K403" s="697"/>
      <c r="L403" s="697"/>
      <c r="M403" s="697"/>
      <c r="N403" s="698"/>
      <c r="O403" s="697"/>
      <c r="P403" s="697"/>
      <c r="Q403" s="697"/>
      <c r="R403" s="697"/>
      <c r="S403" s="697"/>
      <c r="T403" s="697"/>
      <c r="U403" s="697"/>
      <c r="V403" s="697"/>
      <c r="W403" s="698"/>
      <c r="X403" s="698"/>
      <c r="Y403" s="697"/>
      <c r="Z403" s="697"/>
      <c r="AA403" s="697"/>
      <c r="AB403" s="697"/>
      <c r="AC403" s="697"/>
    </row>
    <row r="404" spans="1:29" x14ac:dyDescent="0.2">
      <c r="A404" s="694" t="str">
        <f>+Info!$B$2</f>
        <v>724</v>
      </c>
      <c r="B404" s="694" t="s">
        <v>5532</v>
      </c>
      <c r="C404" s="694" t="s">
        <v>5533</v>
      </c>
      <c r="D404" s="695" t="s">
        <v>5534</v>
      </c>
      <c r="E404" s="696"/>
      <c r="F404" s="697"/>
      <c r="G404" s="697"/>
      <c r="H404" s="698"/>
      <c r="I404" s="697"/>
      <c r="J404" s="697"/>
      <c r="K404" s="697"/>
      <c r="L404" s="697"/>
      <c r="M404" s="697"/>
      <c r="N404" s="698"/>
      <c r="O404" s="697"/>
      <c r="P404" s="697"/>
      <c r="Q404" s="697"/>
      <c r="R404" s="697"/>
      <c r="S404" s="697"/>
      <c r="T404" s="697"/>
      <c r="U404" s="697"/>
      <c r="V404" s="697"/>
      <c r="W404" s="698"/>
      <c r="X404" s="698"/>
      <c r="Y404" s="697"/>
      <c r="Z404" s="697"/>
      <c r="AA404" s="697"/>
      <c r="AB404" s="697"/>
      <c r="AC404" s="697"/>
    </row>
    <row r="405" spans="1:29" x14ac:dyDescent="0.2">
      <c r="A405" s="694" t="str">
        <f>+Info!$B$2</f>
        <v>724</v>
      </c>
      <c r="B405" s="694" t="s">
        <v>5535</v>
      </c>
      <c r="C405" s="694" t="s">
        <v>5536</v>
      </c>
      <c r="D405" s="695" t="s">
        <v>5537</v>
      </c>
      <c r="E405" s="696"/>
      <c r="F405" s="697"/>
      <c r="G405" s="697"/>
      <c r="H405" s="698"/>
      <c r="I405" s="697"/>
      <c r="J405" s="697"/>
      <c r="K405" s="697"/>
      <c r="L405" s="697"/>
      <c r="M405" s="697"/>
      <c r="N405" s="698"/>
      <c r="O405" s="697"/>
      <c r="P405" s="697"/>
      <c r="Q405" s="697"/>
      <c r="R405" s="697"/>
      <c r="S405" s="697"/>
      <c r="T405" s="697"/>
      <c r="U405" s="697"/>
      <c r="V405" s="697"/>
      <c r="W405" s="698"/>
      <c r="X405" s="698"/>
      <c r="Y405" s="697"/>
      <c r="Z405" s="697"/>
      <c r="AA405" s="697"/>
      <c r="AB405" s="697"/>
      <c r="AC405" s="697"/>
    </row>
    <row r="406" spans="1:29" x14ac:dyDescent="0.2">
      <c r="A406" s="694" t="str">
        <f>+Info!$B$2</f>
        <v>724</v>
      </c>
      <c r="B406" s="694" t="s">
        <v>5538</v>
      </c>
      <c r="C406" s="694" t="s">
        <v>5539</v>
      </c>
      <c r="D406" s="695" t="s">
        <v>5540</v>
      </c>
      <c r="E406" s="696"/>
      <c r="F406" s="697"/>
      <c r="G406" s="697"/>
      <c r="H406" s="698"/>
      <c r="I406" s="697"/>
      <c r="J406" s="697"/>
      <c r="K406" s="697"/>
      <c r="L406" s="697"/>
      <c r="M406" s="697"/>
      <c r="N406" s="698"/>
      <c r="O406" s="697"/>
      <c r="P406" s="697"/>
      <c r="Q406" s="697"/>
      <c r="R406" s="697"/>
      <c r="S406" s="697"/>
      <c r="T406" s="697"/>
      <c r="U406" s="697"/>
      <c r="V406" s="697"/>
      <c r="W406" s="698"/>
      <c r="X406" s="698"/>
      <c r="Y406" s="697"/>
      <c r="Z406" s="697"/>
      <c r="AA406" s="697"/>
      <c r="AB406" s="697"/>
      <c r="AC406" s="697"/>
    </row>
    <row r="407" spans="1:29" x14ac:dyDescent="0.2">
      <c r="A407" s="694" t="str">
        <f>+Info!$B$2</f>
        <v>724</v>
      </c>
      <c r="B407" s="694" t="s">
        <v>5541</v>
      </c>
      <c r="C407" s="694" t="s">
        <v>5542</v>
      </c>
      <c r="D407" s="695" t="s">
        <v>5543</v>
      </c>
      <c r="E407" s="696"/>
      <c r="F407" s="697"/>
      <c r="G407" s="697"/>
      <c r="H407" s="698"/>
      <c r="I407" s="697"/>
      <c r="J407" s="697"/>
      <c r="K407" s="697"/>
      <c r="L407" s="697"/>
      <c r="M407" s="697"/>
      <c r="N407" s="698"/>
      <c r="O407" s="697"/>
      <c r="P407" s="697"/>
      <c r="Q407" s="697"/>
      <c r="R407" s="697"/>
      <c r="S407" s="697"/>
      <c r="T407" s="697"/>
      <c r="U407" s="697"/>
      <c r="V407" s="697"/>
      <c r="W407" s="698"/>
      <c r="X407" s="698"/>
      <c r="Y407" s="697"/>
      <c r="Z407" s="697"/>
      <c r="AA407" s="697"/>
      <c r="AB407" s="697"/>
      <c r="AC407" s="697"/>
    </row>
    <row r="408" spans="1:29" x14ac:dyDescent="0.2">
      <c r="A408" s="694" t="str">
        <f>+Info!$B$2</f>
        <v>724</v>
      </c>
      <c r="B408" s="694" t="s">
        <v>5544</v>
      </c>
      <c r="C408" s="694" t="s">
        <v>5545</v>
      </c>
      <c r="D408" s="695" t="s">
        <v>5546</v>
      </c>
      <c r="E408" s="696"/>
      <c r="F408" s="697"/>
      <c r="G408" s="697"/>
      <c r="H408" s="698"/>
      <c r="I408" s="697"/>
      <c r="J408" s="697"/>
      <c r="K408" s="697"/>
      <c r="L408" s="697"/>
      <c r="M408" s="697"/>
      <c r="N408" s="698"/>
      <c r="O408" s="697"/>
      <c r="P408" s="697"/>
      <c r="Q408" s="697"/>
      <c r="R408" s="697"/>
      <c r="S408" s="697"/>
      <c r="T408" s="697"/>
      <c r="U408" s="697"/>
      <c r="V408" s="697"/>
      <c r="W408" s="698"/>
      <c r="X408" s="698"/>
      <c r="Y408" s="697"/>
      <c r="Z408" s="697"/>
      <c r="AA408" s="697"/>
      <c r="AB408" s="697"/>
      <c r="AC408" s="697"/>
    </row>
    <row r="409" spans="1:29" ht="15" x14ac:dyDescent="0.25">
      <c r="A409" s="691" t="str">
        <f>+Info!$B$2</f>
        <v>724</v>
      </c>
      <c r="B409" s="691" t="s">
        <v>5547</v>
      </c>
      <c r="C409" s="691" t="s">
        <v>5548</v>
      </c>
      <c r="D409" s="692" t="s">
        <v>5549</v>
      </c>
      <c r="E409" s="693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</row>
    <row r="410" spans="1:29" x14ac:dyDescent="0.2">
      <c r="A410" s="694" t="str">
        <f>+Info!$B$2</f>
        <v>724</v>
      </c>
      <c r="B410" s="694" t="s">
        <v>5550</v>
      </c>
      <c r="C410" s="694" t="s">
        <v>5551</v>
      </c>
      <c r="D410" s="695" t="s">
        <v>5552</v>
      </c>
      <c r="E410" s="696"/>
      <c r="F410" s="697"/>
      <c r="G410" s="697"/>
      <c r="H410" s="698"/>
      <c r="I410" s="698"/>
      <c r="J410" s="697"/>
      <c r="K410" s="697"/>
      <c r="L410" s="697"/>
      <c r="M410" s="697"/>
      <c r="N410" s="698"/>
      <c r="O410" s="698"/>
      <c r="P410" s="698"/>
      <c r="Q410" s="698"/>
      <c r="R410" s="697"/>
      <c r="S410" s="697"/>
      <c r="T410" s="697"/>
      <c r="U410" s="697"/>
      <c r="V410" s="697"/>
      <c r="W410" s="698"/>
      <c r="X410" s="698"/>
      <c r="Y410" s="697"/>
      <c r="Z410" s="697"/>
      <c r="AA410" s="697"/>
      <c r="AB410" s="697"/>
      <c r="AC410" s="697"/>
    </row>
    <row r="411" spans="1:29" x14ac:dyDescent="0.2">
      <c r="A411" s="694" t="str">
        <f>+Info!$B$2</f>
        <v>724</v>
      </c>
      <c r="B411" s="694" t="s">
        <v>5553</v>
      </c>
      <c r="C411" s="694" t="s">
        <v>5554</v>
      </c>
      <c r="D411" s="695" t="s">
        <v>5555</v>
      </c>
      <c r="E411" s="696"/>
      <c r="F411" s="697"/>
      <c r="G411" s="697"/>
      <c r="H411" s="698"/>
      <c r="I411" s="698"/>
      <c r="J411" s="697"/>
      <c r="K411" s="697"/>
      <c r="L411" s="697"/>
      <c r="M411" s="697"/>
      <c r="N411" s="698"/>
      <c r="O411" s="698"/>
      <c r="P411" s="698"/>
      <c r="Q411" s="698"/>
      <c r="R411" s="697"/>
      <c r="S411" s="697"/>
      <c r="T411" s="697"/>
      <c r="U411" s="697"/>
      <c r="V411" s="697"/>
      <c r="W411" s="698"/>
      <c r="X411" s="698"/>
      <c r="Y411" s="697"/>
      <c r="Z411" s="697"/>
      <c r="AA411" s="697"/>
      <c r="AB411" s="697"/>
      <c r="AC411" s="697"/>
    </row>
    <row r="412" spans="1:29" x14ac:dyDescent="0.2">
      <c r="A412" s="694" t="str">
        <f>+Info!$B$2</f>
        <v>724</v>
      </c>
      <c r="B412" s="694" t="s">
        <v>5556</v>
      </c>
      <c r="C412" s="694" t="s">
        <v>5557</v>
      </c>
      <c r="D412" s="695" t="s">
        <v>5558</v>
      </c>
      <c r="E412" s="696"/>
      <c r="F412" s="697"/>
      <c r="G412" s="697"/>
      <c r="H412" s="698"/>
      <c r="I412" s="698"/>
      <c r="J412" s="697"/>
      <c r="K412" s="697"/>
      <c r="L412" s="697"/>
      <c r="M412" s="697"/>
      <c r="N412" s="698"/>
      <c r="O412" s="698"/>
      <c r="P412" s="698"/>
      <c r="Q412" s="698"/>
      <c r="R412" s="697"/>
      <c r="S412" s="697"/>
      <c r="T412" s="697"/>
      <c r="U412" s="697"/>
      <c r="V412" s="697"/>
      <c r="W412" s="698"/>
      <c r="X412" s="698"/>
      <c r="Y412" s="697"/>
      <c r="Z412" s="697"/>
      <c r="AA412" s="697"/>
      <c r="AB412" s="697"/>
      <c r="AC412" s="697"/>
    </row>
    <row r="413" spans="1:29" x14ac:dyDescent="0.2">
      <c r="A413" s="694" t="str">
        <f>+Info!$B$2</f>
        <v>724</v>
      </c>
      <c r="B413" s="694" t="s">
        <v>5559</v>
      </c>
      <c r="C413" s="694" t="s">
        <v>5560</v>
      </c>
      <c r="D413" s="695" t="s">
        <v>5561</v>
      </c>
      <c r="E413" s="696"/>
      <c r="F413" s="697"/>
      <c r="G413" s="697"/>
      <c r="H413" s="698"/>
      <c r="I413" s="698"/>
      <c r="J413" s="697"/>
      <c r="K413" s="697"/>
      <c r="L413" s="697"/>
      <c r="M413" s="697"/>
      <c r="N413" s="698"/>
      <c r="O413" s="698"/>
      <c r="P413" s="698"/>
      <c r="Q413" s="698"/>
      <c r="R413" s="697"/>
      <c r="S413" s="697"/>
      <c r="T413" s="697"/>
      <c r="U413" s="697"/>
      <c r="V413" s="697"/>
      <c r="W413" s="698"/>
      <c r="X413" s="698"/>
      <c r="Y413" s="697"/>
      <c r="Z413" s="697"/>
      <c r="AA413" s="697"/>
      <c r="AB413" s="697"/>
      <c r="AC413" s="697"/>
    </row>
    <row r="414" spans="1:29" x14ac:dyDescent="0.2">
      <c r="A414" s="694" t="str">
        <f>+Info!$B$2</f>
        <v>724</v>
      </c>
      <c r="B414" s="694" t="s">
        <v>5562</v>
      </c>
      <c r="C414" s="694" t="s">
        <v>5563</v>
      </c>
      <c r="D414" s="695" t="s">
        <v>5564</v>
      </c>
      <c r="E414" s="696"/>
      <c r="F414" s="697"/>
      <c r="G414" s="697"/>
      <c r="H414" s="698"/>
      <c r="I414" s="698"/>
      <c r="J414" s="697"/>
      <c r="K414" s="697"/>
      <c r="L414" s="697"/>
      <c r="M414" s="697"/>
      <c r="N414" s="698"/>
      <c r="O414" s="698"/>
      <c r="P414" s="698"/>
      <c r="Q414" s="698"/>
      <c r="R414" s="697"/>
      <c r="S414" s="697"/>
      <c r="T414" s="697"/>
      <c r="U414" s="697"/>
      <c r="V414" s="697"/>
      <c r="W414" s="698"/>
      <c r="X414" s="698"/>
      <c r="Y414" s="697"/>
      <c r="Z414" s="697"/>
      <c r="AA414" s="697"/>
      <c r="AB414" s="697"/>
      <c r="AC414" s="697"/>
    </row>
    <row r="415" spans="1:29" ht="25.5" x14ac:dyDescent="0.2">
      <c r="A415" s="694" t="str">
        <f>+Info!$B$2</f>
        <v>724</v>
      </c>
      <c r="B415" s="694" t="s">
        <v>5565</v>
      </c>
      <c r="C415" s="694" t="s">
        <v>5566</v>
      </c>
      <c r="D415" s="695" t="s">
        <v>5567</v>
      </c>
      <c r="E415" s="696"/>
      <c r="F415" s="697"/>
      <c r="G415" s="697"/>
      <c r="H415" s="698"/>
      <c r="I415" s="698"/>
      <c r="J415" s="697"/>
      <c r="K415" s="697"/>
      <c r="L415" s="697"/>
      <c r="M415" s="697"/>
      <c r="N415" s="698"/>
      <c r="O415" s="698"/>
      <c r="P415" s="698"/>
      <c r="Q415" s="698"/>
      <c r="R415" s="697"/>
      <c r="S415" s="697"/>
      <c r="T415" s="697"/>
      <c r="U415" s="697"/>
      <c r="V415" s="697"/>
      <c r="W415" s="698"/>
      <c r="X415" s="698"/>
      <c r="Y415" s="697"/>
      <c r="Z415" s="697"/>
      <c r="AA415" s="697"/>
      <c r="AB415" s="697"/>
      <c r="AC415" s="697"/>
    </row>
    <row r="416" spans="1:29" x14ac:dyDescent="0.2">
      <c r="A416" s="694" t="str">
        <f>+Info!$B$2</f>
        <v>724</v>
      </c>
      <c r="B416" s="694" t="s">
        <v>5568</v>
      </c>
      <c r="C416" s="694" t="s">
        <v>5569</v>
      </c>
      <c r="D416" s="695" t="s">
        <v>5570</v>
      </c>
      <c r="E416" s="696"/>
      <c r="F416" s="697"/>
      <c r="G416" s="697"/>
      <c r="H416" s="698"/>
      <c r="I416" s="698"/>
      <c r="J416" s="697"/>
      <c r="K416" s="697"/>
      <c r="L416" s="697"/>
      <c r="M416" s="697"/>
      <c r="N416" s="698"/>
      <c r="O416" s="698"/>
      <c r="P416" s="698"/>
      <c r="Q416" s="698"/>
      <c r="R416" s="697"/>
      <c r="S416" s="697"/>
      <c r="T416" s="697"/>
      <c r="U416" s="697"/>
      <c r="V416" s="697"/>
      <c r="W416" s="698"/>
      <c r="X416" s="698"/>
      <c r="Y416" s="697"/>
      <c r="Z416" s="697"/>
      <c r="AA416" s="697"/>
      <c r="AB416" s="697"/>
      <c r="AC416" s="697"/>
    </row>
    <row r="417" spans="1:29" ht="25.5" x14ac:dyDescent="0.2">
      <c r="A417" s="694" t="str">
        <f>+Info!$B$2</f>
        <v>724</v>
      </c>
      <c r="B417" s="694" t="s">
        <v>5571</v>
      </c>
      <c r="C417" s="694" t="s">
        <v>5572</v>
      </c>
      <c r="D417" s="695" t="s">
        <v>5573</v>
      </c>
      <c r="E417" s="696"/>
      <c r="F417" s="697"/>
      <c r="G417" s="697"/>
      <c r="H417" s="698"/>
      <c r="I417" s="698"/>
      <c r="J417" s="697"/>
      <c r="K417" s="697"/>
      <c r="L417" s="697"/>
      <c r="M417" s="697"/>
      <c r="N417" s="698"/>
      <c r="O417" s="698"/>
      <c r="P417" s="698"/>
      <c r="Q417" s="698"/>
      <c r="R417" s="697"/>
      <c r="S417" s="697"/>
      <c r="T417" s="697"/>
      <c r="U417" s="697"/>
      <c r="V417" s="697"/>
      <c r="W417" s="698"/>
      <c r="X417" s="698"/>
      <c r="Y417" s="697"/>
      <c r="Z417" s="697"/>
      <c r="AA417" s="697"/>
      <c r="AB417" s="697"/>
      <c r="AC417" s="697"/>
    </row>
    <row r="418" spans="1:29" x14ac:dyDescent="0.2">
      <c r="A418" s="694" t="str">
        <f>+Info!$B$2</f>
        <v>724</v>
      </c>
      <c r="B418" s="694" t="s">
        <v>5574</v>
      </c>
      <c r="C418" s="694" t="s">
        <v>5575</v>
      </c>
      <c r="D418" s="695" t="s">
        <v>5576</v>
      </c>
      <c r="E418" s="696"/>
      <c r="F418" s="697"/>
      <c r="G418" s="697"/>
      <c r="H418" s="698"/>
      <c r="I418" s="698"/>
      <c r="J418" s="697"/>
      <c r="K418" s="697"/>
      <c r="L418" s="697"/>
      <c r="M418" s="697"/>
      <c r="N418" s="698"/>
      <c r="O418" s="698"/>
      <c r="P418" s="698"/>
      <c r="Q418" s="698"/>
      <c r="R418" s="697"/>
      <c r="S418" s="697"/>
      <c r="T418" s="697"/>
      <c r="U418" s="697"/>
      <c r="V418" s="697"/>
      <c r="W418" s="698"/>
      <c r="X418" s="698"/>
      <c r="Y418" s="697"/>
      <c r="Z418" s="697"/>
      <c r="AA418" s="697"/>
      <c r="AB418" s="697"/>
      <c r="AC418" s="697"/>
    </row>
    <row r="419" spans="1:29" x14ac:dyDescent="0.2">
      <c r="A419" s="694" t="str">
        <f>+Info!$B$2</f>
        <v>724</v>
      </c>
      <c r="B419" s="694" t="s">
        <v>5577</v>
      </c>
      <c r="C419" s="694" t="s">
        <v>5578</v>
      </c>
      <c r="D419" s="695" t="s">
        <v>5579</v>
      </c>
      <c r="E419" s="696"/>
      <c r="F419" s="697"/>
      <c r="G419" s="697"/>
      <c r="H419" s="698"/>
      <c r="I419" s="698"/>
      <c r="J419" s="697"/>
      <c r="K419" s="697"/>
      <c r="L419" s="697"/>
      <c r="M419" s="697"/>
      <c r="N419" s="698"/>
      <c r="O419" s="698"/>
      <c r="P419" s="698"/>
      <c r="Q419" s="698"/>
      <c r="R419" s="697"/>
      <c r="S419" s="697"/>
      <c r="T419" s="697"/>
      <c r="U419" s="697"/>
      <c r="V419" s="697"/>
      <c r="W419" s="698"/>
      <c r="X419" s="698"/>
      <c r="Y419" s="697"/>
      <c r="Z419" s="697"/>
      <c r="AA419" s="697"/>
      <c r="AB419" s="698"/>
      <c r="AC419" s="698"/>
    </row>
    <row r="420" spans="1:29" ht="25.5" x14ac:dyDescent="0.2">
      <c r="A420" s="694" t="str">
        <f>+Info!$B$2</f>
        <v>724</v>
      </c>
      <c r="B420" s="694" t="s">
        <v>5580</v>
      </c>
      <c r="C420" s="694" t="s">
        <v>5581</v>
      </c>
      <c r="D420" s="695" t="s">
        <v>5582</v>
      </c>
      <c r="E420" s="696"/>
      <c r="F420" s="697"/>
      <c r="G420" s="697"/>
      <c r="H420" s="698"/>
      <c r="I420" s="698"/>
      <c r="J420" s="697"/>
      <c r="K420" s="697"/>
      <c r="L420" s="697"/>
      <c r="M420" s="697"/>
      <c r="N420" s="698"/>
      <c r="O420" s="698"/>
      <c r="P420" s="698"/>
      <c r="Q420" s="698"/>
      <c r="R420" s="697"/>
      <c r="S420" s="697"/>
      <c r="T420" s="697"/>
      <c r="U420" s="697"/>
      <c r="V420" s="697"/>
      <c r="W420" s="698"/>
      <c r="X420" s="698"/>
      <c r="Y420" s="697"/>
      <c r="Z420" s="697"/>
      <c r="AA420" s="697"/>
      <c r="AB420" s="698"/>
      <c r="AC420" s="698"/>
    </row>
    <row r="421" spans="1:29" x14ac:dyDescent="0.2">
      <c r="A421" s="694" t="str">
        <f>+Info!$B$2</f>
        <v>724</v>
      </c>
      <c r="B421" s="694" t="s">
        <v>5583</v>
      </c>
      <c r="C421" s="694" t="s">
        <v>5584</v>
      </c>
      <c r="D421" s="695" t="s">
        <v>5585</v>
      </c>
      <c r="E421" s="696"/>
      <c r="F421" s="697"/>
      <c r="G421" s="697"/>
      <c r="H421" s="698"/>
      <c r="I421" s="698"/>
      <c r="J421" s="697"/>
      <c r="K421" s="697"/>
      <c r="L421" s="697"/>
      <c r="M421" s="697"/>
      <c r="N421" s="698"/>
      <c r="O421" s="698"/>
      <c r="P421" s="698"/>
      <c r="Q421" s="698"/>
      <c r="R421" s="697"/>
      <c r="S421" s="697"/>
      <c r="T421" s="697"/>
      <c r="U421" s="697"/>
      <c r="V421" s="697"/>
      <c r="W421" s="698"/>
      <c r="X421" s="698"/>
      <c r="Y421" s="697"/>
      <c r="Z421" s="697"/>
      <c r="AA421" s="697"/>
      <c r="AB421" s="697"/>
      <c r="AC421" s="697"/>
    </row>
    <row r="422" spans="1:29" x14ac:dyDescent="0.2">
      <c r="A422" s="694" t="str">
        <f>+Info!$B$2</f>
        <v>724</v>
      </c>
      <c r="B422" s="694" t="s">
        <v>5586</v>
      </c>
      <c r="C422" s="694" t="s">
        <v>5587</v>
      </c>
      <c r="D422" s="695" t="s">
        <v>5588</v>
      </c>
      <c r="E422" s="696"/>
      <c r="F422" s="697"/>
      <c r="G422" s="697"/>
      <c r="H422" s="698"/>
      <c r="I422" s="698"/>
      <c r="J422" s="697"/>
      <c r="K422" s="697"/>
      <c r="L422" s="697"/>
      <c r="M422" s="697"/>
      <c r="N422" s="698"/>
      <c r="O422" s="698"/>
      <c r="P422" s="698"/>
      <c r="Q422" s="698"/>
      <c r="R422" s="697"/>
      <c r="S422" s="697"/>
      <c r="T422" s="697"/>
      <c r="U422" s="697"/>
      <c r="V422" s="697"/>
      <c r="W422" s="698"/>
      <c r="X422" s="698"/>
      <c r="Y422" s="697"/>
      <c r="Z422" s="697"/>
      <c r="AA422" s="697"/>
      <c r="AB422" s="697"/>
      <c r="AC422" s="697"/>
    </row>
    <row r="423" spans="1:29" x14ac:dyDescent="0.2">
      <c r="A423" s="694" t="str">
        <f>+Info!$B$2</f>
        <v>724</v>
      </c>
      <c r="B423" s="694" t="s">
        <v>5589</v>
      </c>
      <c r="C423" s="694" t="s">
        <v>5590</v>
      </c>
      <c r="D423" s="695" t="s">
        <v>5591</v>
      </c>
      <c r="E423" s="696"/>
      <c r="F423" s="697"/>
      <c r="G423" s="697"/>
      <c r="H423" s="698"/>
      <c r="I423" s="698"/>
      <c r="J423" s="697"/>
      <c r="K423" s="697"/>
      <c r="L423" s="697"/>
      <c r="M423" s="697"/>
      <c r="N423" s="698"/>
      <c r="O423" s="698"/>
      <c r="P423" s="698"/>
      <c r="Q423" s="698"/>
      <c r="R423" s="697"/>
      <c r="S423" s="697"/>
      <c r="T423" s="697"/>
      <c r="U423" s="697"/>
      <c r="V423" s="697"/>
      <c r="W423" s="698"/>
      <c r="X423" s="698"/>
      <c r="Y423" s="697"/>
      <c r="Z423" s="697"/>
      <c r="AA423" s="697"/>
      <c r="AB423" s="697"/>
      <c r="AC423" s="697"/>
    </row>
    <row r="424" spans="1:29" x14ac:dyDescent="0.2">
      <c r="A424" s="694" t="str">
        <f>+Info!$B$2</f>
        <v>724</v>
      </c>
      <c r="B424" s="694" t="s">
        <v>5592</v>
      </c>
      <c r="C424" s="694" t="s">
        <v>5593</v>
      </c>
      <c r="D424" s="695" t="s">
        <v>5594</v>
      </c>
      <c r="E424" s="696"/>
      <c r="F424" s="697"/>
      <c r="G424" s="697"/>
      <c r="H424" s="698"/>
      <c r="I424" s="698"/>
      <c r="J424" s="697"/>
      <c r="K424" s="697"/>
      <c r="L424" s="697"/>
      <c r="M424" s="697"/>
      <c r="N424" s="698"/>
      <c r="O424" s="698"/>
      <c r="P424" s="698"/>
      <c r="Q424" s="698"/>
      <c r="R424" s="697"/>
      <c r="S424" s="697"/>
      <c r="T424" s="697"/>
      <c r="U424" s="697"/>
      <c r="V424" s="697"/>
      <c r="W424" s="698"/>
      <c r="X424" s="698"/>
      <c r="Y424" s="697"/>
      <c r="Z424" s="697"/>
      <c r="AA424" s="697"/>
      <c r="AB424" s="697"/>
      <c r="AC424" s="697"/>
    </row>
    <row r="425" spans="1:29" x14ac:dyDescent="0.2">
      <c r="A425" s="694" t="str">
        <f>+Info!$B$2</f>
        <v>724</v>
      </c>
      <c r="B425" s="694" t="s">
        <v>5595</v>
      </c>
      <c r="C425" s="694" t="s">
        <v>5596</v>
      </c>
      <c r="D425" s="695" t="s">
        <v>5597</v>
      </c>
      <c r="E425" s="696"/>
      <c r="F425" s="697"/>
      <c r="G425" s="697"/>
      <c r="H425" s="698"/>
      <c r="I425" s="698"/>
      <c r="J425" s="697"/>
      <c r="K425" s="697"/>
      <c r="L425" s="697"/>
      <c r="M425" s="697"/>
      <c r="N425" s="698"/>
      <c r="O425" s="698"/>
      <c r="P425" s="698"/>
      <c r="Q425" s="698"/>
      <c r="R425" s="697"/>
      <c r="S425" s="697"/>
      <c r="T425" s="697"/>
      <c r="U425" s="697"/>
      <c r="V425" s="697"/>
      <c r="W425" s="698"/>
      <c r="X425" s="698"/>
      <c r="Y425" s="697"/>
      <c r="Z425" s="697"/>
      <c r="AA425" s="697"/>
      <c r="AB425" s="697"/>
      <c r="AC425" s="697"/>
    </row>
    <row r="426" spans="1:29" x14ac:dyDescent="0.2">
      <c r="A426" s="694" t="str">
        <f>+Info!$B$2</f>
        <v>724</v>
      </c>
      <c r="B426" s="694" t="s">
        <v>5598</v>
      </c>
      <c r="C426" s="694" t="s">
        <v>5599</v>
      </c>
      <c r="D426" s="695" t="s">
        <v>5600</v>
      </c>
      <c r="E426" s="696"/>
      <c r="F426" s="697"/>
      <c r="G426" s="697"/>
      <c r="H426" s="698"/>
      <c r="I426" s="698"/>
      <c r="J426" s="697"/>
      <c r="K426" s="697"/>
      <c r="L426" s="697"/>
      <c r="M426" s="697"/>
      <c r="N426" s="698"/>
      <c r="O426" s="698"/>
      <c r="P426" s="698"/>
      <c r="Q426" s="698"/>
      <c r="R426" s="697"/>
      <c r="S426" s="697"/>
      <c r="T426" s="697"/>
      <c r="U426" s="697"/>
      <c r="V426" s="697"/>
      <c r="W426" s="698"/>
      <c r="X426" s="698"/>
      <c r="Y426" s="697"/>
      <c r="Z426" s="697"/>
      <c r="AA426" s="697"/>
      <c r="AB426" s="697"/>
      <c r="AC426" s="697"/>
    </row>
    <row r="427" spans="1:29" ht="25.5" x14ac:dyDescent="0.2">
      <c r="A427" s="694" t="str">
        <f>+Info!$B$2</f>
        <v>724</v>
      </c>
      <c r="B427" s="694" t="s">
        <v>5601</v>
      </c>
      <c r="C427" s="694" t="s">
        <v>5602</v>
      </c>
      <c r="D427" s="695" t="s">
        <v>5603</v>
      </c>
      <c r="E427" s="696"/>
      <c r="F427" s="697"/>
      <c r="G427" s="697"/>
      <c r="H427" s="698"/>
      <c r="I427" s="698"/>
      <c r="J427" s="697"/>
      <c r="K427" s="697"/>
      <c r="L427" s="697"/>
      <c r="M427" s="697"/>
      <c r="N427" s="698"/>
      <c r="O427" s="698"/>
      <c r="P427" s="698"/>
      <c r="Q427" s="698"/>
      <c r="R427" s="697"/>
      <c r="S427" s="697"/>
      <c r="T427" s="697"/>
      <c r="U427" s="697"/>
      <c r="V427" s="697"/>
      <c r="W427" s="698"/>
      <c r="X427" s="698"/>
      <c r="Y427" s="697"/>
      <c r="Z427" s="697"/>
      <c r="AA427" s="697"/>
      <c r="AB427" s="697"/>
      <c r="AC427" s="697"/>
    </row>
    <row r="428" spans="1:29" x14ac:dyDescent="0.2">
      <c r="A428" s="694" t="str">
        <f>+Info!$B$2</f>
        <v>724</v>
      </c>
      <c r="B428" s="694" t="s">
        <v>5604</v>
      </c>
      <c r="C428" s="694" t="s">
        <v>5605</v>
      </c>
      <c r="D428" s="695" t="s">
        <v>5606</v>
      </c>
      <c r="E428" s="696"/>
      <c r="F428" s="697"/>
      <c r="G428" s="697"/>
      <c r="H428" s="698"/>
      <c r="I428" s="698"/>
      <c r="J428" s="697"/>
      <c r="K428" s="697"/>
      <c r="L428" s="697"/>
      <c r="M428" s="697"/>
      <c r="N428" s="698"/>
      <c r="O428" s="698"/>
      <c r="P428" s="698"/>
      <c r="Q428" s="698"/>
      <c r="R428" s="697"/>
      <c r="S428" s="697"/>
      <c r="T428" s="697"/>
      <c r="U428" s="697"/>
      <c r="V428" s="697"/>
      <c r="W428" s="698"/>
      <c r="X428" s="698"/>
      <c r="Y428" s="697"/>
      <c r="Z428" s="697"/>
      <c r="AA428" s="697"/>
      <c r="AB428" s="697"/>
      <c r="AC428" s="697"/>
    </row>
    <row r="429" spans="1:29" ht="25.5" x14ac:dyDescent="0.2">
      <c r="A429" s="694" t="str">
        <f>+Info!$B$2</f>
        <v>724</v>
      </c>
      <c r="B429" s="694" t="s">
        <v>5607</v>
      </c>
      <c r="C429" s="694" t="s">
        <v>5608</v>
      </c>
      <c r="D429" s="695" t="s">
        <v>5609</v>
      </c>
      <c r="E429" s="696"/>
      <c r="F429" s="697"/>
      <c r="G429" s="697"/>
      <c r="H429" s="698"/>
      <c r="I429" s="698"/>
      <c r="J429" s="697"/>
      <c r="K429" s="697"/>
      <c r="L429" s="697"/>
      <c r="M429" s="697"/>
      <c r="N429" s="698"/>
      <c r="O429" s="698"/>
      <c r="P429" s="698"/>
      <c r="Q429" s="698"/>
      <c r="R429" s="697"/>
      <c r="S429" s="697"/>
      <c r="T429" s="697"/>
      <c r="U429" s="697"/>
      <c r="V429" s="697"/>
      <c r="W429" s="698"/>
      <c r="X429" s="698"/>
      <c r="Y429" s="697"/>
      <c r="Z429" s="697"/>
      <c r="AA429" s="697"/>
      <c r="AB429" s="697"/>
      <c r="AC429" s="697"/>
    </row>
    <row r="430" spans="1:29" x14ac:dyDescent="0.2">
      <c r="A430" s="694" t="str">
        <f>+Info!$B$2</f>
        <v>724</v>
      </c>
      <c r="B430" s="694" t="s">
        <v>5610</v>
      </c>
      <c r="C430" s="694" t="s">
        <v>5611</v>
      </c>
      <c r="D430" s="695" t="s">
        <v>5612</v>
      </c>
      <c r="E430" s="696"/>
      <c r="F430" s="697"/>
      <c r="G430" s="697"/>
      <c r="H430" s="698"/>
      <c r="I430" s="698"/>
      <c r="J430" s="697"/>
      <c r="K430" s="697"/>
      <c r="L430" s="697"/>
      <c r="M430" s="697"/>
      <c r="N430" s="698"/>
      <c r="O430" s="698"/>
      <c r="P430" s="698"/>
      <c r="Q430" s="698"/>
      <c r="R430" s="697"/>
      <c r="S430" s="697"/>
      <c r="T430" s="697"/>
      <c r="U430" s="697"/>
      <c r="V430" s="697"/>
      <c r="W430" s="698"/>
      <c r="X430" s="698"/>
      <c r="Y430" s="697"/>
      <c r="Z430" s="697"/>
      <c r="AA430" s="697"/>
      <c r="AB430" s="697"/>
      <c r="AC430" s="697"/>
    </row>
    <row r="431" spans="1:29" x14ac:dyDescent="0.2">
      <c r="A431" s="694" t="str">
        <f>+Info!$B$2</f>
        <v>724</v>
      </c>
      <c r="B431" s="694" t="s">
        <v>5613</v>
      </c>
      <c r="C431" s="694" t="s">
        <v>5614</v>
      </c>
      <c r="D431" s="695" t="s">
        <v>5615</v>
      </c>
      <c r="E431" s="696"/>
      <c r="F431" s="697"/>
      <c r="G431" s="697"/>
      <c r="H431" s="698"/>
      <c r="I431" s="698"/>
      <c r="J431" s="697"/>
      <c r="K431" s="697"/>
      <c r="L431" s="697"/>
      <c r="M431" s="697"/>
      <c r="N431" s="698"/>
      <c r="O431" s="698"/>
      <c r="P431" s="698"/>
      <c r="Q431" s="698"/>
      <c r="R431" s="697"/>
      <c r="S431" s="697"/>
      <c r="T431" s="697"/>
      <c r="U431" s="697"/>
      <c r="V431" s="697"/>
      <c r="W431" s="698"/>
      <c r="X431" s="698"/>
      <c r="Y431" s="697"/>
      <c r="Z431" s="697"/>
      <c r="AA431" s="697"/>
      <c r="AB431" s="698"/>
      <c r="AC431" s="698"/>
    </row>
    <row r="432" spans="1:29" ht="25.5" x14ac:dyDescent="0.2">
      <c r="A432" s="694" t="str">
        <f>+Info!$B$2</f>
        <v>724</v>
      </c>
      <c r="B432" s="694" t="s">
        <v>5616</v>
      </c>
      <c r="C432" s="694" t="s">
        <v>5617</v>
      </c>
      <c r="D432" s="695" t="s">
        <v>5618</v>
      </c>
      <c r="E432" s="696"/>
      <c r="F432" s="697"/>
      <c r="G432" s="697"/>
      <c r="H432" s="698"/>
      <c r="I432" s="698"/>
      <c r="J432" s="697"/>
      <c r="K432" s="697"/>
      <c r="L432" s="697"/>
      <c r="M432" s="697"/>
      <c r="N432" s="698"/>
      <c r="O432" s="698"/>
      <c r="P432" s="698"/>
      <c r="Q432" s="698"/>
      <c r="R432" s="697"/>
      <c r="S432" s="697"/>
      <c r="T432" s="697"/>
      <c r="U432" s="697"/>
      <c r="V432" s="697"/>
      <c r="W432" s="698"/>
      <c r="X432" s="698"/>
      <c r="Y432" s="697"/>
      <c r="Z432" s="697"/>
      <c r="AA432" s="697"/>
      <c r="AB432" s="698"/>
      <c r="AC432" s="698"/>
    </row>
    <row r="433" spans="1:29" x14ac:dyDescent="0.2">
      <c r="A433" s="694" t="str">
        <f>+Info!$B$2</f>
        <v>724</v>
      </c>
      <c r="B433" s="694" t="s">
        <v>5619</v>
      </c>
      <c r="C433" s="694" t="s">
        <v>5620</v>
      </c>
      <c r="D433" s="695" t="s">
        <v>5621</v>
      </c>
      <c r="E433" s="696"/>
      <c r="F433" s="697"/>
      <c r="G433" s="697"/>
      <c r="H433" s="698"/>
      <c r="I433" s="698"/>
      <c r="J433" s="697"/>
      <c r="K433" s="697"/>
      <c r="L433" s="697"/>
      <c r="M433" s="697"/>
      <c r="N433" s="698"/>
      <c r="O433" s="698"/>
      <c r="P433" s="698"/>
      <c r="Q433" s="698"/>
      <c r="R433" s="697"/>
      <c r="S433" s="697"/>
      <c r="T433" s="697"/>
      <c r="U433" s="697"/>
      <c r="V433" s="697"/>
      <c r="W433" s="698"/>
      <c r="X433" s="698"/>
      <c r="Y433" s="697"/>
      <c r="Z433" s="697"/>
      <c r="AA433" s="697"/>
      <c r="AB433" s="697"/>
      <c r="AC433" s="697"/>
    </row>
    <row r="434" spans="1:29" x14ac:dyDescent="0.2">
      <c r="A434" s="694" t="str">
        <f>+Info!$B$2</f>
        <v>724</v>
      </c>
      <c r="B434" s="694" t="s">
        <v>5622</v>
      </c>
      <c r="C434" s="694" t="s">
        <v>5623</v>
      </c>
      <c r="D434" s="695" t="s">
        <v>5624</v>
      </c>
      <c r="E434" s="696"/>
      <c r="F434" s="697"/>
      <c r="G434" s="697"/>
      <c r="H434" s="698"/>
      <c r="I434" s="698"/>
      <c r="J434" s="697"/>
      <c r="K434" s="697"/>
      <c r="L434" s="697"/>
      <c r="M434" s="697"/>
      <c r="N434" s="698"/>
      <c r="O434" s="698"/>
      <c r="P434" s="698"/>
      <c r="Q434" s="698"/>
      <c r="R434" s="697"/>
      <c r="S434" s="697"/>
      <c r="T434" s="697"/>
      <c r="U434" s="697"/>
      <c r="V434" s="697"/>
      <c r="W434" s="698"/>
      <c r="X434" s="698"/>
      <c r="Y434" s="697"/>
      <c r="Z434" s="697"/>
      <c r="AA434" s="697"/>
      <c r="AB434" s="697"/>
      <c r="AC434" s="697"/>
    </row>
    <row r="435" spans="1:29" x14ac:dyDescent="0.2">
      <c r="A435" s="694" t="str">
        <f>+Info!$B$2</f>
        <v>724</v>
      </c>
      <c r="B435" s="694" t="s">
        <v>5625</v>
      </c>
      <c r="C435" s="694" t="s">
        <v>5626</v>
      </c>
      <c r="D435" s="695" t="s">
        <v>5627</v>
      </c>
      <c r="E435" s="696"/>
      <c r="F435" s="697"/>
      <c r="G435" s="697"/>
      <c r="H435" s="698"/>
      <c r="I435" s="698"/>
      <c r="J435" s="697"/>
      <c r="K435" s="697"/>
      <c r="L435" s="697"/>
      <c r="M435" s="697"/>
      <c r="N435" s="698"/>
      <c r="O435" s="698"/>
      <c r="P435" s="698"/>
      <c r="Q435" s="698"/>
      <c r="R435" s="697"/>
      <c r="S435" s="697"/>
      <c r="T435" s="697"/>
      <c r="U435" s="697"/>
      <c r="V435" s="697"/>
      <c r="W435" s="698"/>
      <c r="X435" s="698"/>
      <c r="Y435" s="697"/>
      <c r="Z435" s="697"/>
      <c r="AA435" s="697"/>
      <c r="AB435" s="697"/>
      <c r="AC435" s="697"/>
    </row>
    <row r="436" spans="1:29" x14ac:dyDescent="0.2">
      <c r="A436" s="694" t="str">
        <f>+Info!$B$2</f>
        <v>724</v>
      </c>
      <c r="B436" s="694" t="s">
        <v>5628</v>
      </c>
      <c r="C436" s="694" t="s">
        <v>5629</v>
      </c>
      <c r="D436" s="695" t="s">
        <v>5630</v>
      </c>
      <c r="E436" s="696"/>
      <c r="F436" s="697"/>
      <c r="G436" s="697"/>
      <c r="H436" s="698"/>
      <c r="I436" s="698"/>
      <c r="J436" s="697"/>
      <c r="K436" s="697"/>
      <c r="L436" s="697"/>
      <c r="M436" s="697"/>
      <c r="N436" s="698"/>
      <c r="O436" s="698"/>
      <c r="P436" s="698"/>
      <c r="Q436" s="698"/>
      <c r="R436" s="697"/>
      <c r="S436" s="697"/>
      <c r="T436" s="697"/>
      <c r="U436" s="697"/>
      <c r="V436" s="697"/>
      <c r="W436" s="698"/>
      <c r="X436" s="698"/>
      <c r="Y436" s="697"/>
      <c r="Z436" s="697"/>
      <c r="AA436" s="697"/>
      <c r="AB436" s="697"/>
      <c r="AC436" s="697"/>
    </row>
    <row r="437" spans="1:29" x14ac:dyDescent="0.2">
      <c r="A437" s="694" t="str">
        <f>+Info!$B$2</f>
        <v>724</v>
      </c>
      <c r="B437" s="694" t="s">
        <v>5631</v>
      </c>
      <c r="C437" s="694" t="s">
        <v>5632</v>
      </c>
      <c r="D437" s="695" t="s">
        <v>5633</v>
      </c>
      <c r="E437" s="696"/>
      <c r="F437" s="697"/>
      <c r="G437" s="697"/>
      <c r="H437" s="698"/>
      <c r="I437" s="698"/>
      <c r="J437" s="697"/>
      <c r="K437" s="697"/>
      <c r="L437" s="697"/>
      <c r="M437" s="697"/>
      <c r="N437" s="698"/>
      <c r="O437" s="698"/>
      <c r="P437" s="698"/>
      <c r="Q437" s="698"/>
      <c r="R437" s="697"/>
      <c r="S437" s="697"/>
      <c r="T437" s="697"/>
      <c r="U437" s="697"/>
      <c r="V437" s="697"/>
      <c r="W437" s="698"/>
      <c r="X437" s="698"/>
      <c r="Y437" s="697"/>
      <c r="Z437" s="697"/>
      <c r="AA437" s="697"/>
      <c r="AB437" s="697"/>
      <c r="AC437" s="697"/>
    </row>
    <row r="438" spans="1:29" x14ac:dyDescent="0.2">
      <c r="A438" s="694" t="str">
        <f>+Info!$B$2</f>
        <v>724</v>
      </c>
      <c r="B438" s="694" t="s">
        <v>5634</v>
      </c>
      <c r="C438" s="694" t="s">
        <v>5635</v>
      </c>
      <c r="D438" s="695" t="s">
        <v>5636</v>
      </c>
      <c r="E438" s="696"/>
      <c r="F438" s="697"/>
      <c r="G438" s="697"/>
      <c r="H438" s="698"/>
      <c r="I438" s="698"/>
      <c r="J438" s="697"/>
      <c r="K438" s="697"/>
      <c r="L438" s="697"/>
      <c r="M438" s="697"/>
      <c r="N438" s="698"/>
      <c r="O438" s="698"/>
      <c r="P438" s="698"/>
      <c r="Q438" s="698"/>
      <c r="R438" s="697"/>
      <c r="S438" s="697"/>
      <c r="T438" s="697"/>
      <c r="U438" s="697"/>
      <c r="V438" s="697"/>
      <c r="W438" s="698"/>
      <c r="X438" s="698"/>
      <c r="Y438" s="697"/>
      <c r="Z438" s="697"/>
      <c r="AA438" s="697"/>
      <c r="AB438" s="697"/>
      <c r="AC438" s="697"/>
    </row>
    <row r="439" spans="1:29" x14ac:dyDescent="0.2">
      <c r="A439" s="694" t="str">
        <f>+Info!$B$2</f>
        <v>724</v>
      </c>
      <c r="B439" s="694" t="s">
        <v>5637</v>
      </c>
      <c r="C439" s="694" t="s">
        <v>5638</v>
      </c>
      <c r="D439" s="695" t="s">
        <v>5639</v>
      </c>
      <c r="E439" s="696"/>
      <c r="F439" s="697"/>
      <c r="G439" s="697"/>
      <c r="H439" s="698"/>
      <c r="I439" s="698"/>
      <c r="J439" s="697"/>
      <c r="K439" s="697"/>
      <c r="L439" s="697"/>
      <c r="M439" s="697"/>
      <c r="N439" s="698"/>
      <c r="O439" s="698"/>
      <c r="P439" s="698"/>
      <c r="Q439" s="698"/>
      <c r="R439" s="697"/>
      <c r="S439" s="697"/>
      <c r="T439" s="697"/>
      <c r="U439" s="697"/>
      <c r="V439" s="697"/>
      <c r="W439" s="698"/>
      <c r="X439" s="698"/>
      <c r="Y439" s="697"/>
      <c r="Z439" s="697"/>
      <c r="AA439" s="697"/>
      <c r="AB439" s="697"/>
      <c r="AC439" s="697"/>
    </row>
    <row r="440" spans="1:29" x14ac:dyDescent="0.2">
      <c r="A440" s="694" t="str">
        <f>+Info!$B$2</f>
        <v>724</v>
      </c>
      <c r="B440" s="694" t="s">
        <v>5640</v>
      </c>
      <c r="C440" s="694" t="s">
        <v>5641</v>
      </c>
      <c r="D440" s="695" t="s">
        <v>5642</v>
      </c>
      <c r="E440" s="696"/>
      <c r="F440" s="697"/>
      <c r="G440" s="697"/>
      <c r="H440" s="698"/>
      <c r="I440" s="698"/>
      <c r="J440" s="697"/>
      <c r="K440" s="697"/>
      <c r="L440" s="697"/>
      <c r="M440" s="697"/>
      <c r="N440" s="698"/>
      <c r="O440" s="698"/>
      <c r="P440" s="698"/>
      <c r="Q440" s="698"/>
      <c r="R440" s="697"/>
      <c r="S440" s="697"/>
      <c r="T440" s="697"/>
      <c r="U440" s="697"/>
      <c r="V440" s="697"/>
      <c r="W440" s="698"/>
      <c r="X440" s="698"/>
      <c r="Y440" s="697"/>
      <c r="Z440" s="697"/>
      <c r="AA440" s="697"/>
      <c r="AB440" s="697"/>
      <c r="AC440" s="697"/>
    </row>
    <row r="441" spans="1:29" ht="25.5" x14ac:dyDescent="0.2">
      <c r="A441" s="694" t="str">
        <f>+Info!$B$2</f>
        <v>724</v>
      </c>
      <c r="B441" s="694" t="s">
        <v>5643</v>
      </c>
      <c r="C441" s="694" t="s">
        <v>5644</v>
      </c>
      <c r="D441" s="695" t="s">
        <v>5645</v>
      </c>
      <c r="E441" s="696"/>
      <c r="F441" s="697"/>
      <c r="G441" s="697"/>
      <c r="H441" s="698"/>
      <c r="I441" s="698"/>
      <c r="J441" s="697"/>
      <c r="K441" s="697"/>
      <c r="L441" s="697"/>
      <c r="M441" s="697"/>
      <c r="N441" s="698"/>
      <c r="O441" s="698"/>
      <c r="P441" s="698"/>
      <c r="Q441" s="698"/>
      <c r="R441" s="697"/>
      <c r="S441" s="697"/>
      <c r="T441" s="697"/>
      <c r="U441" s="697"/>
      <c r="V441" s="697"/>
      <c r="W441" s="698"/>
      <c r="X441" s="698"/>
      <c r="Y441" s="697"/>
      <c r="Z441" s="697"/>
      <c r="AA441" s="697"/>
      <c r="AB441" s="697"/>
      <c r="AC441" s="697"/>
    </row>
    <row r="442" spans="1:29" x14ac:dyDescent="0.2">
      <c r="A442" s="694" t="str">
        <f>+Info!$B$2</f>
        <v>724</v>
      </c>
      <c r="B442" s="694" t="s">
        <v>5646</v>
      </c>
      <c r="C442" s="694" t="s">
        <v>5647</v>
      </c>
      <c r="D442" s="695" t="s">
        <v>5648</v>
      </c>
      <c r="E442" s="696"/>
      <c r="F442" s="697"/>
      <c r="G442" s="697"/>
      <c r="H442" s="698"/>
      <c r="I442" s="698"/>
      <c r="J442" s="697"/>
      <c r="K442" s="697"/>
      <c r="L442" s="697"/>
      <c r="M442" s="697"/>
      <c r="N442" s="698"/>
      <c r="O442" s="698"/>
      <c r="P442" s="698"/>
      <c r="Q442" s="698"/>
      <c r="R442" s="697"/>
      <c r="S442" s="697"/>
      <c r="T442" s="697"/>
      <c r="U442" s="697"/>
      <c r="V442" s="697"/>
      <c r="W442" s="698"/>
      <c r="X442" s="698"/>
      <c r="Y442" s="697"/>
      <c r="Z442" s="697"/>
      <c r="AA442" s="697"/>
      <c r="AB442" s="697"/>
      <c r="AC442" s="697"/>
    </row>
    <row r="443" spans="1:29" x14ac:dyDescent="0.2">
      <c r="A443" s="694" t="str">
        <f>+Info!$B$2</f>
        <v>724</v>
      </c>
      <c r="B443" s="694" t="s">
        <v>5649</v>
      </c>
      <c r="C443" s="694" t="s">
        <v>5650</v>
      </c>
      <c r="D443" s="695" t="s">
        <v>5651</v>
      </c>
      <c r="E443" s="696"/>
      <c r="F443" s="697"/>
      <c r="G443" s="697"/>
      <c r="H443" s="698"/>
      <c r="I443" s="698"/>
      <c r="J443" s="697"/>
      <c r="K443" s="697"/>
      <c r="L443" s="697"/>
      <c r="M443" s="697"/>
      <c r="N443" s="698"/>
      <c r="O443" s="698"/>
      <c r="P443" s="698"/>
      <c r="Q443" s="698"/>
      <c r="R443" s="697"/>
      <c r="S443" s="697"/>
      <c r="T443" s="697"/>
      <c r="U443" s="697"/>
      <c r="V443" s="697"/>
      <c r="W443" s="698"/>
      <c r="X443" s="698"/>
      <c r="Y443" s="697"/>
      <c r="Z443" s="697"/>
      <c r="AA443" s="697"/>
      <c r="AB443" s="698"/>
      <c r="AC443" s="698"/>
    </row>
    <row r="444" spans="1:29" ht="25.5" x14ac:dyDescent="0.2">
      <c r="A444" s="694" t="str">
        <f>+Info!$B$2</f>
        <v>724</v>
      </c>
      <c r="B444" s="694" t="s">
        <v>5652</v>
      </c>
      <c r="C444" s="694" t="s">
        <v>5653</v>
      </c>
      <c r="D444" s="695" t="s">
        <v>5654</v>
      </c>
      <c r="E444" s="696"/>
      <c r="F444" s="697"/>
      <c r="G444" s="697"/>
      <c r="H444" s="698"/>
      <c r="I444" s="698"/>
      <c r="J444" s="697"/>
      <c r="K444" s="697"/>
      <c r="L444" s="697"/>
      <c r="M444" s="697"/>
      <c r="N444" s="698"/>
      <c r="O444" s="698"/>
      <c r="P444" s="698"/>
      <c r="Q444" s="698"/>
      <c r="R444" s="697"/>
      <c r="S444" s="697"/>
      <c r="T444" s="697"/>
      <c r="U444" s="697"/>
      <c r="V444" s="697"/>
      <c r="W444" s="698"/>
      <c r="X444" s="698"/>
      <c r="Y444" s="697"/>
      <c r="Z444" s="697"/>
      <c r="AA444" s="697"/>
      <c r="AB444" s="698"/>
      <c r="AC444" s="698"/>
    </row>
    <row r="445" spans="1:29" x14ac:dyDescent="0.2">
      <c r="A445" s="694" t="str">
        <f>+Info!$B$2</f>
        <v>724</v>
      </c>
      <c r="B445" s="694" t="s">
        <v>5655</v>
      </c>
      <c r="C445" s="694" t="s">
        <v>5656</v>
      </c>
      <c r="D445" s="695" t="s">
        <v>5657</v>
      </c>
      <c r="E445" s="696"/>
      <c r="F445" s="697"/>
      <c r="G445" s="697"/>
      <c r="H445" s="698"/>
      <c r="I445" s="698"/>
      <c r="J445" s="697"/>
      <c r="K445" s="697"/>
      <c r="L445" s="697"/>
      <c r="M445" s="697"/>
      <c r="N445" s="698"/>
      <c r="O445" s="698"/>
      <c r="P445" s="698"/>
      <c r="Q445" s="698"/>
      <c r="R445" s="697"/>
      <c r="S445" s="697"/>
      <c r="T445" s="697"/>
      <c r="U445" s="697"/>
      <c r="V445" s="697"/>
      <c r="W445" s="698"/>
      <c r="X445" s="698"/>
      <c r="Y445" s="697"/>
      <c r="Z445" s="697"/>
      <c r="AA445" s="697"/>
      <c r="AB445" s="697"/>
      <c r="AC445" s="697"/>
    </row>
    <row r="446" spans="1:29" x14ac:dyDescent="0.2">
      <c r="A446" s="694" t="str">
        <f>+Info!$B$2</f>
        <v>724</v>
      </c>
      <c r="B446" s="694" t="s">
        <v>5658</v>
      </c>
      <c r="C446" s="694" t="s">
        <v>5659</v>
      </c>
      <c r="D446" s="695" t="s">
        <v>5660</v>
      </c>
      <c r="E446" s="696"/>
      <c r="F446" s="697"/>
      <c r="G446" s="697"/>
      <c r="H446" s="698"/>
      <c r="I446" s="698"/>
      <c r="J446" s="697"/>
      <c r="K446" s="697"/>
      <c r="L446" s="697"/>
      <c r="M446" s="697"/>
      <c r="N446" s="698"/>
      <c r="O446" s="698"/>
      <c r="P446" s="698"/>
      <c r="Q446" s="697"/>
      <c r="R446" s="698"/>
      <c r="S446" s="697"/>
      <c r="T446" s="697"/>
      <c r="U446" s="697"/>
      <c r="V446" s="697"/>
      <c r="W446" s="698"/>
      <c r="X446" s="698"/>
      <c r="Y446" s="697"/>
      <c r="Z446" s="697"/>
      <c r="AA446" s="697"/>
      <c r="AB446" s="697"/>
      <c r="AC446" s="697"/>
    </row>
    <row r="447" spans="1:29" x14ac:dyDescent="0.2">
      <c r="A447" s="694" t="str">
        <f>+Info!$B$2</f>
        <v>724</v>
      </c>
      <c r="B447" s="694" t="s">
        <v>5661</v>
      </c>
      <c r="C447" s="694" t="s">
        <v>5662</v>
      </c>
      <c r="D447" s="695" t="s">
        <v>5663</v>
      </c>
      <c r="E447" s="696"/>
      <c r="F447" s="697"/>
      <c r="G447" s="697"/>
      <c r="H447" s="698"/>
      <c r="I447" s="698"/>
      <c r="J447" s="697"/>
      <c r="K447" s="697"/>
      <c r="L447" s="697"/>
      <c r="M447" s="697"/>
      <c r="N447" s="698"/>
      <c r="O447" s="698"/>
      <c r="P447" s="698"/>
      <c r="Q447" s="697"/>
      <c r="R447" s="698"/>
      <c r="S447" s="697"/>
      <c r="T447" s="697"/>
      <c r="U447" s="697"/>
      <c r="V447" s="697"/>
      <c r="W447" s="698"/>
      <c r="X447" s="698"/>
      <c r="Y447" s="697"/>
      <c r="Z447" s="697"/>
      <c r="AA447" s="697"/>
      <c r="AB447" s="697"/>
      <c r="AC447" s="697"/>
    </row>
    <row r="448" spans="1:29" x14ac:dyDescent="0.2">
      <c r="A448" s="694" t="str">
        <f>+Info!$B$2</f>
        <v>724</v>
      </c>
      <c r="B448" s="694" t="s">
        <v>5664</v>
      </c>
      <c r="C448" s="694" t="s">
        <v>5665</v>
      </c>
      <c r="D448" s="695" t="s">
        <v>5666</v>
      </c>
      <c r="E448" s="696"/>
      <c r="F448" s="697"/>
      <c r="G448" s="697"/>
      <c r="H448" s="698"/>
      <c r="I448" s="698"/>
      <c r="J448" s="697"/>
      <c r="K448" s="697"/>
      <c r="L448" s="697"/>
      <c r="M448" s="697"/>
      <c r="N448" s="698"/>
      <c r="O448" s="698"/>
      <c r="P448" s="698"/>
      <c r="Q448" s="697"/>
      <c r="R448" s="698"/>
      <c r="S448" s="697"/>
      <c r="T448" s="697"/>
      <c r="U448" s="697"/>
      <c r="V448" s="697"/>
      <c r="W448" s="698"/>
      <c r="X448" s="698"/>
      <c r="Y448" s="697"/>
      <c r="Z448" s="697"/>
      <c r="AA448" s="697"/>
      <c r="AB448" s="697"/>
      <c r="AC448" s="697"/>
    </row>
    <row r="449" spans="1:29" x14ac:dyDescent="0.2">
      <c r="A449" s="694" t="str">
        <f>+Info!$B$2</f>
        <v>724</v>
      </c>
      <c r="B449" s="694" t="s">
        <v>5667</v>
      </c>
      <c r="C449" s="694" t="s">
        <v>5668</v>
      </c>
      <c r="D449" s="695" t="s">
        <v>5669</v>
      </c>
      <c r="E449" s="696"/>
      <c r="F449" s="697"/>
      <c r="G449" s="697"/>
      <c r="H449" s="698"/>
      <c r="I449" s="698"/>
      <c r="J449" s="697"/>
      <c r="K449" s="697"/>
      <c r="L449" s="697"/>
      <c r="M449" s="697"/>
      <c r="N449" s="698"/>
      <c r="O449" s="698"/>
      <c r="P449" s="698"/>
      <c r="Q449" s="697"/>
      <c r="R449" s="698"/>
      <c r="S449" s="697"/>
      <c r="T449" s="697"/>
      <c r="U449" s="697"/>
      <c r="V449" s="697"/>
      <c r="W449" s="698"/>
      <c r="X449" s="698"/>
      <c r="Y449" s="697"/>
      <c r="Z449" s="697"/>
      <c r="AA449" s="697"/>
      <c r="AB449" s="697"/>
      <c r="AC449" s="697"/>
    </row>
    <row r="450" spans="1:29" x14ac:dyDescent="0.2">
      <c r="A450" s="694" t="str">
        <f>+Info!$B$2</f>
        <v>724</v>
      </c>
      <c r="B450" s="694" t="s">
        <v>5670</v>
      </c>
      <c r="C450" s="694" t="s">
        <v>5671</v>
      </c>
      <c r="D450" s="695" t="s">
        <v>5672</v>
      </c>
      <c r="E450" s="696"/>
      <c r="F450" s="697"/>
      <c r="G450" s="697"/>
      <c r="H450" s="698"/>
      <c r="I450" s="698"/>
      <c r="J450" s="697"/>
      <c r="K450" s="697"/>
      <c r="L450" s="697"/>
      <c r="M450" s="697"/>
      <c r="N450" s="698"/>
      <c r="O450" s="698"/>
      <c r="P450" s="698"/>
      <c r="Q450" s="697"/>
      <c r="R450" s="698"/>
      <c r="S450" s="697"/>
      <c r="T450" s="697"/>
      <c r="U450" s="697"/>
      <c r="V450" s="697"/>
      <c r="W450" s="698"/>
      <c r="X450" s="698"/>
      <c r="Y450" s="697"/>
      <c r="Z450" s="697"/>
      <c r="AA450" s="697"/>
      <c r="AB450" s="697"/>
      <c r="AC450" s="697"/>
    </row>
    <row r="451" spans="1:29" x14ac:dyDescent="0.2">
      <c r="A451" s="694" t="str">
        <f>+Info!$B$2</f>
        <v>724</v>
      </c>
      <c r="B451" s="694" t="s">
        <v>5673</v>
      </c>
      <c r="C451" s="694" t="s">
        <v>5674</v>
      </c>
      <c r="D451" s="695" t="s">
        <v>5675</v>
      </c>
      <c r="E451" s="696"/>
      <c r="F451" s="697"/>
      <c r="G451" s="697"/>
      <c r="H451" s="698"/>
      <c r="I451" s="698"/>
      <c r="J451" s="697"/>
      <c r="K451" s="697"/>
      <c r="L451" s="697"/>
      <c r="M451" s="697"/>
      <c r="N451" s="698"/>
      <c r="O451" s="698"/>
      <c r="P451" s="698"/>
      <c r="Q451" s="697"/>
      <c r="R451" s="698"/>
      <c r="S451" s="697"/>
      <c r="T451" s="697"/>
      <c r="U451" s="697"/>
      <c r="V451" s="697"/>
      <c r="W451" s="698"/>
      <c r="X451" s="698"/>
      <c r="Y451" s="697"/>
      <c r="Z451" s="697"/>
      <c r="AA451" s="697"/>
      <c r="AB451" s="697"/>
      <c r="AC451" s="697"/>
    </row>
    <row r="452" spans="1:29" x14ac:dyDescent="0.2">
      <c r="A452" s="694" t="str">
        <f>+Info!$B$2</f>
        <v>724</v>
      </c>
      <c r="B452" s="694" t="s">
        <v>5676</v>
      </c>
      <c r="C452" s="694" t="s">
        <v>5677</v>
      </c>
      <c r="D452" s="695" t="s">
        <v>5678</v>
      </c>
      <c r="E452" s="696"/>
      <c r="F452" s="697"/>
      <c r="G452" s="697"/>
      <c r="H452" s="698"/>
      <c r="I452" s="698"/>
      <c r="J452" s="697"/>
      <c r="K452" s="697"/>
      <c r="L452" s="697"/>
      <c r="M452" s="697"/>
      <c r="N452" s="698"/>
      <c r="O452" s="698"/>
      <c r="P452" s="698"/>
      <c r="Q452" s="697"/>
      <c r="R452" s="698"/>
      <c r="S452" s="697"/>
      <c r="T452" s="697"/>
      <c r="U452" s="697"/>
      <c r="V452" s="697"/>
      <c r="W452" s="698"/>
      <c r="X452" s="698"/>
      <c r="Y452" s="697"/>
      <c r="Z452" s="697"/>
      <c r="AA452" s="697"/>
      <c r="AB452" s="697"/>
      <c r="AC452" s="697"/>
    </row>
    <row r="453" spans="1:29" ht="25.5" x14ac:dyDescent="0.2">
      <c r="A453" s="694" t="str">
        <f>+Info!$B$2</f>
        <v>724</v>
      </c>
      <c r="B453" s="694" t="s">
        <v>5679</v>
      </c>
      <c r="C453" s="694" t="s">
        <v>5680</v>
      </c>
      <c r="D453" s="695" t="s">
        <v>5681</v>
      </c>
      <c r="E453" s="696"/>
      <c r="F453" s="697"/>
      <c r="G453" s="697"/>
      <c r="H453" s="698"/>
      <c r="I453" s="698"/>
      <c r="J453" s="697"/>
      <c r="K453" s="697"/>
      <c r="L453" s="697"/>
      <c r="M453" s="697"/>
      <c r="N453" s="698"/>
      <c r="O453" s="698"/>
      <c r="P453" s="698"/>
      <c r="Q453" s="697"/>
      <c r="R453" s="698"/>
      <c r="S453" s="697"/>
      <c r="T453" s="697"/>
      <c r="U453" s="697"/>
      <c r="V453" s="697"/>
      <c r="W453" s="698"/>
      <c r="X453" s="698"/>
      <c r="Y453" s="697"/>
      <c r="Z453" s="697"/>
      <c r="AA453" s="697"/>
      <c r="AB453" s="697"/>
      <c r="AC453" s="697"/>
    </row>
    <row r="454" spans="1:29" x14ac:dyDescent="0.2">
      <c r="A454" s="694" t="str">
        <f>+Info!$B$2</f>
        <v>724</v>
      </c>
      <c r="B454" s="694" t="s">
        <v>5682</v>
      </c>
      <c r="C454" s="694" t="s">
        <v>5683</v>
      </c>
      <c r="D454" s="695" t="s">
        <v>5684</v>
      </c>
      <c r="E454" s="696"/>
      <c r="F454" s="697"/>
      <c r="G454" s="697"/>
      <c r="H454" s="698"/>
      <c r="I454" s="698"/>
      <c r="J454" s="697"/>
      <c r="K454" s="697"/>
      <c r="L454" s="697"/>
      <c r="M454" s="697"/>
      <c r="N454" s="698"/>
      <c r="O454" s="698"/>
      <c r="P454" s="698"/>
      <c r="Q454" s="697"/>
      <c r="R454" s="698"/>
      <c r="S454" s="697"/>
      <c r="T454" s="697"/>
      <c r="U454" s="697"/>
      <c r="V454" s="697"/>
      <c r="W454" s="698"/>
      <c r="X454" s="698"/>
      <c r="Y454" s="697"/>
      <c r="Z454" s="697"/>
      <c r="AA454" s="697"/>
      <c r="AB454" s="697"/>
      <c r="AC454" s="697"/>
    </row>
    <row r="455" spans="1:29" x14ac:dyDescent="0.2">
      <c r="A455" s="694" t="str">
        <f>+Info!$B$2</f>
        <v>724</v>
      </c>
      <c r="B455" s="694" t="s">
        <v>5685</v>
      </c>
      <c r="C455" s="694" t="s">
        <v>5686</v>
      </c>
      <c r="D455" s="695" t="s">
        <v>5687</v>
      </c>
      <c r="E455" s="696"/>
      <c r="F455" s="697"/>
      <c r="G455" s="697"/>
      <c r="H455" s="698"/>
      <c r="I455" s="698"/>
      <c r="J455" s="697"/>
      <c r="K455" s="697"/>
      <c r="L455" s="697"/>
      <c r="M455" s="697"/>
      <c r="N455" s="698"/>
      <c r="O455" s="698"/>
      <c r="P455" s="698"/>
      <c r="Q455" s="697"/>
      <c r="R455" s="698"/>
      <c r="S455" s="697"/>
      <c r="T455" s="697"/>
      <c r="U455" s="697"/>
      <c r="V455" s="697"/>
      <c r="W455" s="698"/>
      <c r="X455" s="698"/>
      <c r="Y455" s="697"/>
      <c r="Z455" s="697"/>
      <c r="AA455" s="697"/>
      <c r="AB455" s="698"/>
      <c r="AC455" s="698"/>
    </row>
    <row r="456" spans="1:29" ht="25.5" x14ac:dyDescent="0.2">
      <c r="A456" s="694" t="str">
        <f>+Info!$B$2</f>
        <v>724</v>
      </c>
      <c r="B456" s="694" t="s">
        <v>5688</v>
      </c>
      <c r="C456" s="694" t="s">
        <v>5689</v>
      </c>
      <c r="D456" s="695" t="s">
        <v>5690</v>
      </c>
      <c r="E456" s="696"/>
      <c r="F456" s="697"/>
      <c r="G456" s="697"/>
      <c r="H456" s="698"/>
      <c r="I456" s="698"/>
      <c r="J456" s="697"/>
      <c r="K456" s="697"/>
      <c r="L456" s="697"/>
      <c r="M456" s="697"/>
      <c r="N456" s="698"/>
      <c r="O456" s="698"/>
      <c r="P456" s="698"/>
      <c r="Q456" s="697"/>
      <c r="R456" s="698"/>
      <c r="S456" s="697"/>
      <c r="T456" s="697"/>
      <c r="U456" s="697"/>
      <c r="V456" s="697"/>
      <c r="W456" s="698"/>
      <c r="X456" s="698"/>
      <c r="Y456" s="697"/>
      <c r="Z456" s="697"/>
      <c r="AA456" s="697"/>
      <c r="AB456" s="698"/>
      <c r="AC456" s="698"/>
    </row>
    <row r="457" spans="1:29" x14ac:dyDescent="0.2">
      <c r="A457" s="694" t="str">
        <f>+Info!$B$2</f>
        <v>724</v>
      </c>
      <c r="B457" s="694" t="s">
        <v>5691</v>
      </c>
      <c r="C457" s="694" t="s">
        <v>5692</v>
      </c>
      <c r="D457" s="695" t="s">
        <v>5693</v>
      </c>
      <c r="E457" s="696"/>
      <c r="F457" s="697"/>
      <c r="G457" s="697"/>
      <c r="H457" s="698"/>
      <c r="I457" s="698"/>
      <c r="J457" s="697"/>
      <c r="K457" s="697"/>
      <c r="L457" s="697"/>
      <c r="M457" s="697"/>
      <c r="N457" s="698"/>
      <c r="O457" s="698"/>
      <c r="P457" s="698"/>
      <c r="Q457" s="697"/>
      <c r="R457" s="698"/>
      <c r="S457" s="697"/>
      <c r="T457" s="697"/>
      <c r="U457" s="697"/>
      <c r="V457" s="697"/>
      <c r="W457" s="698"/>
      <c r="X457" s="698"/>
      <c r="Y457" s="697"/>
      <c r="Z457" s="697"/>
      <c r="AA457" s="697"/>
      <c r="AB457" s="697"/>
      <c r="AC457" s="697"/>
    </row>
    <row r="458" spans="1:29" x14ac:dyDescent="0.2">
      <c r="A458" s="694" t="str">
        <f>+Info!$B$2</f>
        <v>724</v>
      </c>
      <c r="B458" s="694" t="s">
        <v>5694</v>
      </c>
      <c r="C458" s="694" t="s">
        <v>5695</v>
      </c>
      <c r="D458" s="695" t="s">
        <v>5696</v>
      </c>
      <c r="E458" s="696"/>
      <c r="F458" s="697"/>
      <c r="G458" s="697"/>
      <c r="H458" s="698"/>
      <c r="I458" s="698"/>
      <c r="J458" s="697"/>
      <c r="K458" s="697"/>
      <c r="L458" s="697"/>
      <c r="M458" s="697"/>
      <c r="N458" s="698"/>
      <c r="O458" s="698"/>
      <c r="P458" s="698"/>
      <c r="Q458" s="697"/>
      <c r="R458" s="698"/>
      <c r="S458" s="697"/>
      <c r="T458" s="697"/>
      <c r="U458" s="697"/>
      <c r="V458" s="697"/>
      <c r="W458" s="698"/>
      <c r="X458" s="698"/>
      <c r="Y458" s="697"/>
      <c r="Z458" s="697"/>
      <c r="AA458" s="697"/>
      <c r="AB458" s="697"/>
      <c r="AC458" s="697"/>
    </row>
    <row r="459" spans="1:29" x14ac:dyDescent="0.2">
      <c r="A459" s="694" t="str">
        <f>+Info!$B$2</f>
        <v>724</v>
      </c>
      <c r="B459" s="694" t="s">
        <v>5697</v>
      </c>
      <c r="C459" s="694" t="s">
        <v>5698</v>
      </c>
      <c r="D459" s="695" t="s">
        <v>5699</v>
      </c>
      <c r="E459" s="696"/>
      <c r="F459" s="697"/>
      <c r="G459" s="697"/>
      <c r="H459" s="698"/>
      <c r="I459" s="698"/>
      <c r="J459" s="697"/>
      <c r="K459" s="697"/>
      <c r="L459" s="697"/>
      <c r="M459" s="697"/>
      <c r="N459" s="698"/>
      <c r="O459" s="698"/>
      <c r="P459" s="698"/>
      <c r="Q459" s="697"/>
      <c r="R459" s="698"/>
      <c r="S459" s="697"/>
      <c r="T459" s="697"/>
      <c r="U459" s="697"/>
      <c r="V459" s="697"/>
      <c r="W459" s="698"/>
      <c r="X459" s="698"/>
      <c r="Y459" s="697"/>
      <c r="Z459" s="697"/>
      <c r="AA459" s="697"/>
      <c r="AB459" s="697"/>
      <c r="AC459" s="697"/>
    </row>
    <row r="460" spans="1:29" x14ac:dyDescent="0.2">
      <c r="A460" s="694" t="str">
        <f>+Info!$B$2</f>
        <v>724</v>
      </c>
      <c r="B460" s="694" t="s">
        <v>5700</v>
      </c>
      <c r="C460" s="694" t="s">
        <v>5701</v>
      </c>
      <c r="D460" s="695" t="s">
        <v>5702</v>
      </c>
      <c r="E460" s="696"/>
      <c r="F460" s="697"/>
      <c r="G460" s="697"/>
      <c r="H460" s="698"/>
      <c r="I460" s="698"/>
      <c r="J460" s="697"/>
      <c r="K460" s="697"/>
      <c r="L460" s="697"/>
      <c r="M460" s="697"/>
      <c r="N460" s="698"/>
      <c r="O460" s="698"/>
      <c r="P460" s="698"/>
      <c r="Q460" s="697"/>
      <c r="R460" s="698"/>
      <c r="S460" s="697"/>
      <c r="T460" s="697"/>
      <c r="U460" s="697"/>
      <c r="V460" s="697"/>
      <c r="W460" s="698"/>
      <c r="X460" s="698"/>
      <c r="Y460" s="697"/>
      <c r="Z460" s="697"/>
      <c r="AA460" s="697"/>
      <c r="AB460" s="697"/>
      <c r="AC460" s="697"/>
    </row>
    <row r="461" spans="1:29" x14ac:dyDescent="0.2">
      <c r="A461" s="694" t="str">
        <f>+Info!$B$2</f>
        <v>724</v>
      </c>
      <c r="B461" s="694" t="s">
        <v>5703</v>
      </c>
      <c r="C461" s="694" t="s">
        <v>5704</v>
      </c>
      <c r="D461" s="695" t="s">
        <v>5705</v>
      </c>
      <c r="E461" s="696"/>
      <c r="F461" s="697"/>
      <c r="G461" s="697"/>
      <c r="H461" s="698"/>
      <c r="I461" s="698"/>
      <c r="J461" s="697"/>
      <c r="K461" s="697"/>
      <c r="L461" s="697"/>
      <c r="M461" s="697"/>
      <c r="N461" s="698"/>
      <c r="O461" s="698"/>
      <c r="P461" s="698"/>
      <c r="Q461" s="697"/>
      <c r="R461" s="698"/>
      <c r="S461" s="697"/>
      <c r="T461" s="697"/>
      <c r="U461" s="697"/>
      <c r="V461" s="697"/>
      <c r="W461" s="698"/>
      <c r="X461" s="698"/>
      <c r="Y461" s="697"/>
      <c r="Z461" s="697"/>
      <c r="AA461" s="697"/>
      <c r="AB461" s="697"/>
      <c r="AC461" s="697"/>
    </row>
    <row r="462" spans="1:29" x14ac:dyDescent="0.2">
      <c r="A462" s="694" t="str">
        <f>+Info!$B$2</f>
        <v>724</v>
      </c>
      <c r="B462" s="694" t="s">
        <v>5706</v>
      </c>
      <c r="C462" s="694" t="s">
        <v>5707</v>
      </c>
      <c r="D462" s="695" t="s">
        <v>5708</v>
      </c>
      <c r="E462" s="696"/>
      <c r="F462" s="697"/>
      <c r="G462" s="697"/>
      <c r="H462" s="698"/>
      <c r="I462" s="698"/>
      <c r="J462" s="697"/>
      <c r="K462" s="697"/>
      <c r="L462" s="697"/>
      <c r="M462" s="697"/>
      <c r="N462" s="698"/>
      <c r="O462" s="698"/>
      <c r="P462" s="698"/>
      <c r="Q462" s="697"/>
      <c r="R462" s="698"/>
      <c r="S462" s="697"/>
      <c r="T462" s="697"/>
      <c r="U462" s="697"/>
      <c r="V462" s="697"/>
      <c r="W462" s="698"/>
      <c r="X462" s="698"/>
      <c r="Y462" s="697"/>
      <c r="Z462" s="697"/>
      <c r="AA462" s="697"/>
      <c r="AB462" s="697"/>
      <c r="AC462" s="697"/>
    </row>
    <row r="463" spans="1:29" x14ac:dyDescent="0.2">
      <c r="A463" s="694" t="str">
        <f>+Info!$B$2</f>
        <v>724</v>
      </c>
      <c r="B463" s="694" t="s">
        <v>5709</v>
      </c>
      <c r="C463" s="694" t="s">
        <v>5710</v>
      </c>
      <c r="D463" s="695" t="s">
        <v>5711</v>
      </c>
      <c r="E463" s="696"/>
      <c r="F463" s="697"/>
      <c r="G463" s="697"/>
      <c r="H463" s="698"/>
      <c r="I463" s="698"/>
      <c r="J463" s="697"/>
      <c r="K463" s="697"/>
      <c r="L463" s="697"/>
      <c r="M463" s="697"/>
      <c r="N463" s="698"/>
      <c r="O463" s="698"/>
      <c r="P463" s="698"/>
      <c r="Q463" s="697"/>
      <c r="R463" s="698"/>
      <c r="S463" s="697"/>
      <c r="T463" s="697"/>
      <c r="U463" s="697"/>
      <c r="V463" s="697"/>
      <c r="W463" s="698"/>
      <c r="X463" s="698"/>
      <c r="Y463" s="697"/>
      <c r="Z463" s="697"/>
      <c r="AA463" s="697"/>
      <c r="AB463" s="697"/>
      <c r="AC463" s="697"/>
    </row>
    <row r="464" spans="1:29" x14ac:dyDescent="0.2">
      <c r="A464" s="694" t="str">
        <f>+Info!$B$2</f>
        <v>724</v>
      </c>
      <c r="B464" s="694" t="s">
        <v>5712</v>
      </c>
      <c r="C464" s="694" t="s">
        <v>5713</v>
      </c>
      <c r="D464" s="695" t="s">
        <v>5714</v>
      </c>
      <c r="E464" s="696"/>
      <c r="F464" s="697"/>
      <c r="G464" s="697"/>
      <c r="H464" s="698"/>
      <c r="I464" s="698"/>
      <c r="J464" s="697"/>
      <c r="K464" s="697"/>
      <c r="L464" s="697"/>
      <c r="M464" s="697"/>
      <c r="N464" s="698"/>
      <c r="O464" s="698"/>
      <c r="P464" s="698"/>
      <c r="Q464" s="697"/>
      <c r="R464" s="698"/>
      <c r="S464" s="697"/>
      <c r="T464" s="697"/>
      <c r="U464" s="697"/>
      <c r="V464" s="697"/>
      <c r="W464" s="698"/>
      <c r="X464" s="698"/>
      <c r="Y464" s="697"/>
      <c r="Z464" s="697"/>
      <c r="AA464" s="697"/>
      <c r="AB464" s="697"/>
      <c r="AC464" s="697"/>
    </row>
    <row r="465" spans="1:29" ht="25.5" x14ac:dyDescent="0.2">
      <c r="A465" s="694" t="str">
        <f>+Info!$B$2</f>
        <v>724</v>
      </c>
      <c r="B465" s="694" t="s">
        <v>5715</v>
      </c>
      <c r="C465" s="694" t="s">
        <v>5716</v>
      </c>
      <c r="D465" s="695" t="s">
        <v>5717</v>
      </c>
      <c r="E465" s="696"/>
      <c r="F465" s="697"/>
      <c r="G465" s="697"/>
      <c r="H465" s="698"/>
      <c r="I465" s="698"/>
      <c r="J465" s="697"/>
      <c r="K465" s="697"/>
      <c r="L465" s="697"/>
      <c r="M465" s="697"/>
      <c r="N465" s="698"/>
      <c r="O465" s="698"/>
      <c r="P465" s="698"/>
      <c r="Q465" s="697"/>
      <c r="R465" s="698"/>
      <c r="S465" s="697"/>
      <c r="T465" s="697"/>
      <c r="U465" s="697"/>
      <c r="V465" s="697"/>
      <c r="W465" s="698"/>
      <c r="X465" s="698"/>
      <c r="Y465" s="697"/>
      <c r="Z465" s="697"/>
      <c r="AA465" s="697"/>
      <c r="AB465" s="697"/>
      <c r="AC465" s="697"/>
    </row>
    <row r="466" spans="1:29" x14ac:dyDescent="0.2">
      <c r="A466" s="694" t="str">
        <f>+Info!$B$2</f>
        <v>724</v>
      </c>
      <c r="B466" s="694" t="s">
        <v>5718</v>
      </c>
      <c r="C466" s="694" t="s">
        <v>5719</v>
      </c>
      <c r="D466" s="695" t="s">
        <v>5720</v>
      </c>
      <c r="E466" s="696"/>
      <c r="F466" s="697"/>
      <c r="G466" s="697"/>
      <c r="H466" s="698"/>
      <c r="I466" s="698"/>
      <c r="J466" s="697"/>
      <c r="K466" s="697"/>
      <c r="L466" s="697"/>
      <c r="M466" s="697"/>
      <c r="N466" s="698"/>
      <c r="O466" s="698"/>
      <c r="P466" s="698"/>
      <c r="Q466" s="697"/>
      <c r="R466" s="698"/>
      <c r="S466" s="697"/>
      <c r="T466" s="697"/>
      <c r="U466" s="697"/>
      <c r="V466" s="697"/>
      <c r="W466" s="698"/>
      <c r="X466" s="698"/>
      <c r="Y466" s="697"/>
      <c r="Z466" s="697"/>
      <c r="AA466" s="697"/>
      <c r="AB466" s="697"/>
      <c r="AC466" s="697"/>
    </row>
    <row r="467" spans="1:29" x14ac:dyDescent="0.2">
      <c r="A467" s="694" t="str">
        <f>+Info!$B$2</f>
        <v>724</v>
      </c>
      <c r="B467" s="694" t="s">
        <v>5721</v>
      </c>
      <c r="C467" s="694" t="s">
        <v>5722</v>
      </c>
      <c r="D467" s="695" t="s">
        <v>5723</v>
      </c>
      <c r="E467" s="696"/>
      <c r="F467" s="697"/>
      <c r="G467" s="697"/>
      <c r="H467" s="698"/>
      <c r="I467" s="698"/>
      <c r="J467" s="697"/>
      <c r="K467" s="697"/>
      <c r="L467" s="697"/>
      <c r="M467" s="697"/>
      <c r="N467" s="698"/>
      <c r="O467" s="698"/>
      <c r="P467" s="698"/>
      <c r="Q467" s="697"/>
      <c r="R467" s="698"/>
      <c r="S467" s="697"/>
      <c r="T467" s="697"/>
      <c r="U467" s="697"/>
      <c r="V467" s="697"/>
      <c r="W467" s="698"/>
      <c r="X467" s="698"/>
      <c r="Y467" s="697"/>
      <c r="Z467" s="697"/>
      <c r="AA467" s="697"/>
      <c r="AB467" s="698"/>
      <c r="AC467" s="698"/>
    </row>
    <row r="468" spans="1:29" ht="25.5" x14ac:dyDescent="0.2">
      <c r="A468" s="694" t="str">
        <f>+Info!$B$2</f>
        <v>724</v>
      </c>
      <c r="B468" s="694" t="s">
        <v>5724</v>
      </c>
      <c r="C468" s="694" t="s">
        <v>5725</v>
      </c>
      <c r="D468" s="695" t="s">
        <v>5726</v>
      </c>
      <c r="E468" s="696"/>
      <c r="F468" s="697"/>
      <c r="G468" s="697"/>
      <c r="H468" s="698"/>
      <c r="I468" s="698"/>
      <c r="J468" s="697"/>
      <c r="K468" s="697"/>
      <c r="L468" s="697"/>
      <c r="M468" s="697"/>
      <c r="N468" s="698"/>
      <c r="O468" s="698"/>
      <c r="P468" s="698"/>
      <c r="Q468" s="697"/>
      <c r="R468" s="698"/>
      <c r="S468" s="697"/>
      <c r="T468" s="697"/>
      <c r="U468" s="697"/>
      <c r="V468" s="697"/>
      <c r="W468" s="698"/>
      <c r="X468" s="698"/>
      <c r="Y468" s="697"/>
      <c r="Z468" s="697"/>
      <c r="AA468" s="697"/>
      <c r="AB468" s="698"/>
      <c r="AC468" s="698"/>
    </row>
    <row r="469" spans="1:29" x14ac:dyDescent="0.2">
      <c r="A469" s="694" t="str">
        <f>+Info!$B$2</f>
        <v>724</v>
      </c>
      <c r="B469" s="694" t="s">
        <v>5727</v>
      </c>
      <c r="C469" s="694" t="s">
        <v>5728</v>
      </c>
      <c r="D469" s="695" t="s">
        <v>5729</v>
      </c>
      <c r="E469" s="696"/>
      <c r="F469" s="697"/>
      <c r="G469" s="697"/>
      <c r="H469" s="698"/>
      <c r="I469" s="698"/>
      <c r="J469" s="697"/>
      <c r="K469" s="697"/>
      <c r="L469" s="697"/>
      <c r="M469" s="697"/>
      <c r="N469" s="698"/>
      <c r="O469" s="698"/>
      <c r="P469" s="698"/>
      <c r="Q469" s="697"/>
      <c r="R469" s="698"/>
      <c r="S469" s="697"/>
      <c r="T469" s="697"/>
      <c r="U469" s="697"/>
      <c r="V469" s="697"/>
      <c r="W469" s="698"/>
      <c r="X469" s="698"/>
      <c r="Y469" s="697"/>
      <c r="Z469" s="697"/>
      <c r="AA469" s="697"/>
      <c r="AB469" s="697"/>
      <c r="AC469" s="697"/>
    </row>
    <row r="470" spans="1:29" x14ac:dyDescent="0.2">
      <c r="A470" s="694" t="str">
        <f>+Info!$B$2</f>
        <v>724</v>
      </c>
      <c r="B470" s="694" t="s">
        <v>5730</v>
      </c>
      <c r="C470" s="694" t="s">
        <v>5731</v>
      </c>
      <c r="D470" s="695" t="s">
        <v>5732</v>
      </c>
      <c r="E470" s="696"/>
      <c r="F470" s="697"/>
      <c r="G470" s="697"/>
      <c r="H470" s="698"/>
      <c r="I470" s="698"/>
      <c r="J470" s="697"/>
      <c r="K470" s="697"/>
      <c r="L470" s="697"/>
      <c r="M470" s="697"/>
      <c r="N470" s="698"/>
      <c r="O470" s="698"/>
      <c r="P470" s="698"/>
      <c r="Q470" s="697"/>
      <c r="R470" s="698"/>
      <c r="S470" s="697"/>
      <c r="T470" s="697"/>
      <c r="U470" s="697"/>
      <c r="V470" s="697"/>
      <c r="W470" s="698"/>
      <c r="X470" s="698"/>
      <c r="Y470" s="697"/>
      <c r="Z470" s="697"/>
      <c r="AA470" s="697"/>
      <c r="AB470" s="697"/>
      <c r="AC470" s="697"/>
    </row>
    <row r="471" spans="1:29" x14ac:dyDescent="0.2">
      <c r="A471" s="694" t="str">
        <f>+Info!$B$2</f>
        <v>724</v>
      </c>
      <c r="B471" s="694" t="s">
        <v>5733</v>
      </c>
      <c r="C471" s="694" t="s">
        <v>5734</v>
      </c>
      <c r="D471" s="695" t="s">
        <v>5735</v>
      </c>
      <c r="E471" s="696"/>
      <c r="F471" s="697"/>
      <c r="G471" s="697"/>
      <c r="H471" s="698"/>
      <c r="I471" s="698"/>
      <c r="J471" s="697"/>
      <c r="K471" s="697"/>
      <c r="L471" s="697"/>
      <c r="M471" s="697"/>
      <c r="N471" s="698"/>
      <c r="O471" s="698"/>
      <c r="P471" s="698"/>
      <c r="Q471" s="697"/>
      <c r="R471" s="698"/>
      <c r="S471" s="697"/>
      <c r="T471" s="697"/>
      <c r="U471" s="697"/>
      <c r="V471" s="697"/>
      <c r="W471" s="698"/>
      <c r="X471" s="698"/>
      <c r="Y471" s="697"/>
      <c r="Z471" s="697"/>
      <c r="AA471" s="697"/>
      <c r="AB471" s="697"/>
      <c r="AC471" s="697"/>
    </row>
    <row r="472" spans="1:29" x14ac:dyDescent="0.2">
      <c r="A472" s="694" t="str">
        <f>+Info!$B$2</f>
        <v>724</v>
      </c>
      <c r="B472" s="694" t="s">
        <v>5736</v>
      </c>
      <c r="C472" s="694" t="s">
        <v>5737</v>
      </c>
      <c r="D472" s="695" t="s">
        <v>5738</v>
      </c>
      <c r="E472" s="696"/>
      <c r="F472" s="697"/>
      <c r="G472" s="697"/>
      <c r="H472" s="698"/>
      <c r="I472" s="698"/>
      <c r="J472" s="697"/>
      <c r="K472" s="697"/>
      <c r="L472" s="697"/>
      <c r="M472" s="697"/>
      <c r="N472" s="698"/>
      <c r="O472" s="698"/>
      <c r="P472" s="698"/>
      <c r="Q472" s="697"/>
      <c r="R472" s="698"/>
      <c r="S472" s="697"/>
      <c r="T472" s="697"/>
      <c r="U472" s="697"/>
      <c r="V472" s="697"/>
      <c r="W472" s="698"/>
      <c r="X472" s="698"/>
      <c r="Y472" s="697"/>
      <c r="Z472" s="697"/>
      <c r="AA472" s="697"/>
      <c r="AB472" s="697"/>
      <c r="AC472" s="697"/>
    </row>
    <row r="473" spans="1:29" x14ac:dyDescent="0.2">
      <c r="A473" s="694" t="str">
        <f>+Info!$B$2</f>
        <v>724</v>
      </c>
      <c r="B473" s="694" t="s">
        <v>5739</v>
      </c>
      <c r="C473" s="694" t="s">
        <v>5740</v>
      </c>
      <c r="D473" s="695" t="s">
        <v>5741</v>
      </c>
      <c r="E473" s="696"/>
      <c r="F473" s="697"/>
      <c r="G473" s="697"/>
      <c r="H473" s="698"/>
      <c r="I473" s="698"/>
      <c r="J473" s="697"/>
      <c r="K473" s="697"/>
      <c r="L473" s="697"/>
      <c r="M473" s="697"/>
      <c r="N473" s="698"/>
      <c r="O473" s="698"/>
      <c r="P473" s="698"/>
      <c r="Q473" s="697"/>
      <c r="R473" s="698"/>
      <c r="S473" s="697"/>
      <c r="T473" s="697"/>
      <c r="U473" s="697"/>
      <c r="V473" s="697"/>
      <c r="W473" s="698"/>
      <c r="X473" s="698"/>
      <c r="Y473" s="697"/>
      <c r="Z473" s="697"/>
      <c r="AA473" s="697"/>
      <c r="AB473" s="697"/>
      <c r="AC473" s="697"/>
    </row>
    <row r="474" spans="1:29" x14ac:dyDescent="0.2">
      <c r="A474" s="694" t="str">
        <f>+Info!$B$2</f>
        <v>724</v>
      </c>
      <c r="B474" s="694" t="s">
        <v>5742</v>
      </c>
      <c r="C474" s="694" t="s">
        <v>5743</v>
      </c>
      <c r="D474" s="695" t="s">
        <v>5744</v>
      </c>
      <c r="E474" s="696"/>
      <c r="F474" s="697"/>
      <c r="G474" s="697"/>
      <c r="H474" s="698"/>
      <c r="I474" s="698"/>
      <c r="J474" s="697"/>
      <c r="K474" s="697"/>
      <c r="L474" s="697"/>
      <c r="M474" s="697"/>
      <c r="N474" s="698"/>
      <c r="O474" s="698"/>
      <c r="P474" s="698"/>
      <c r="Q474" s="697"/>
      <c r="R474" s="698"/>
      <c r="S474" s="697"/>
      <c r="T474" s="697"/>
      <c r="U474" s="697"/>
      <c r="V474" s="697"/>
      <c r="W474" s="698"/>
      <c r="X474" s="698"/>
      <c r="Y474" s="697"/>
      <c r="Z474" s="697"/>
      <c r="AA474" s="697"/>
      <c r="AB474" s="697"/>
      <c r="AC474" s="697"/>
    </row>
    <row r="475" spans="1:29" x14ac:dyDescent="0.2">
      <c r="A475" s="694" t="str">
        <f>+Info!$B$2</f>
        <v>724</v>
      </c>
      <c r="B475" s="694" t="s">
        <v>5745</v>
      </c>
      <c r="C475" s="694" t="s">
        <v>5746</v>
      </c>
      <c r="D475" s="695" t="s">
        <v>5747</v>
      </c>
      <c r="E475" s="696"/>
      <c r="F475" s="697"/>
      <c r="G475" s="697"/>
      <c r="H475" s="698"/>
      <c r="I475" s="698"/>
      <c r="J475" s="697"/>
      <c r="K475" s="697"/>
      <c r="L475" s="697"/>
      <c r="M475" s="697"/>
      <c r="N475" s="698"/>
      <c r="O475" s="698"/>
      <c r="P475" s="698"/>
      <c r="Q475" s="697"/>
      <c r="R475" s="698"/>
      <c r="S475" s="697"/>
      <c r="T475" s="697"/>
      <c r="U475" s="697"/>
      <c r="V475" s="697"/>
      <c r="W475" s="698"/>
      <c r="X475" s="698"/>
      <c r="Y475" s="697"/>
      <c r="Z475" s="697"/>
      <c r="AA475" s="697"/>
      <c r="AB475" s="697"/>
      <c r="AC475" s="697"/>
    </row>
    <row r="476" spans="1:29" x14ac:dyDescent="0.2">
      <c r="A476" s="694" t="str">
        <f>+Info!$B$2</f>
        <v>724</v>
      </c>
      <c r="B476" s="694" t="s">
        <v>5748</v>
      </c>
      <c r="C476" s="694" t="s">
        <v>5749</v>
      </c>
      <c r="D476" s="695" t="s">
        <v>5750</v>
      </c>
      <c r="E476" s="696"/>
      <c r="F476" s="697"/>
      <c r="G476" s="697"/>
      <c r="H476" s="698"/>
      <c r="I476" s="698"/>
      <c r="J476" s="697"/>
      <c r="K476" s="697"/>
      <c r="L476" s="697"/>
      <c r="M476" s="697"/>
      <c r="N476" s="698"/>
      <c r="O476" s="698"/>
      <c r="P476" s="698"/>
      <c r="Q476" s="697"/>
      <c r="R476" s="698"/>
      <c r="S476" s="697"/>
      <c r="T476" s="697"/>
      <c r="U476" s="697"/>
      <c r="V476" s="697"/>
      <c r="W476" s="698"/>
      <c r="X476" s="698"/>
      <c r="Y476" s="697"/>
      <c r="Z476" s="697"/>
      <c r="AA476" s="697"/>
      <c r="AB476" s="697"/>
      <c r="AC476" s="697"/>
    </row>
    <row r="477" spans="1:29" x14ac:dyDescent="0.2">
      <c r="A477" s="694" t="str">
        <f>+Info!$B$2</f>
        <v>724</v>
      </c>
      <c r="B477" s="694" t="s">
        <v>5751</v>
      </c>
      <c r="C477" s="694" t="s">
        <v>5752</v>
      </c>
      <c r="D477" s="695" t="s">
        <v>5753</v>
      </c>
      <c r="E477" s="696"/>
      <c r="F477" s="697"/>
      <c r="G477" s="697"/>
      <c r="H477" s="698"/>
      <c r="I477" s="698"/>
      <c r="J477" s="697"/>
      <c r="K477" s="697"/>
      <c r="L477" s="697"/>
      <c r="M477" s="697"/>
      <c r="N477" s="698"/>
      <c r="O477" s="698"/>
      <c r="P477" s="698"/>
      <c r="Q477" s="697"/>
      <c r="R477" s="698"/>
      <c r="S477" s="697"/>
      <c r="T477" s="697"/>
      <c r="U477" s="697"/>
      <c r="V477" s="697"/>
      <c r="W477" s="698"/>
      <c r="X477" s="698"/>
      <c r="Y477" s="697"/>
      <c r="Z477" s="697"/>
      <c r="AA477" s="697"/>
      <c r="AB477" s="697"/>
      <c r="AC477" s="697"/>
    </row>
    <row r="478" spans="1:29" x14ac:dyDescent="0.2">
      <c r="A478" s="694" t="str">
        <f>+Info!$B$2</f>
        <v>724</v>
      </c>
      <c r="B478" s="694" t="s">
        <v>5754</v>
      </c>
      <c r="C478" s="694" t="s">
        <v>5755</v>
      </c>
      <c r="D478" s="695" t="s">
        <v>5756</v>
      </c>
      <c r="E478" s="696"/>
      <c r="F478" s="697"/>
      <c r="G478" s="697"/>
      <c r="H478" s="698"/>
      <c r="I478" s="698"/>
      <c r="J478" s="697"/>
      <c r="K478" s="697"/>
      <c r="L478" s="697"/>
      <c r="M478" s="697"/>
      <c r="N478" s="698"/>
      <c r="O478" s="698"/>
      <c r="P478" s="698"/>
      <c r="Q478" s="697"/>
      <c r="R478" s="698"/>
      <c r="S478" s="697"/>
      <c r="T478" s="697"/>
      <c r="U478" s="697"/>
      <c r="V478" s="697"/>
      <c r="W478" s="698"/>
      <c r="X478" s="698"/>
      <c r="Y478" s="697"/>
      <c r="Z478" s="697"/>
      <c r="AA478" s="697"/>
      <c r="AB478" s="697"/>
      <c r="AC478" s="697"/>
    </row>
    <row r="479" spans="1:29" x14ac:dyDescent="0.2">
      <c r="A479" s="694" t="str">
        <f>+Info!$B$2</f>
        <v>724</v>
      </c>
      <c r="B479" s="694" t="s">
        <v>5757</v>
      </c>
      <c r="C479" s="694" t="s">
        <v>5758</v>
      </c>
      <c r="D479" s="695" t="s">
        <v>5759</v>
      </c>
      <c r="E479" s="696"/>
      <c r="F479" s="697"/>
      <c r="G479" s="697"/>
      <c r="H479" s="698"/>
      <c r="I479" s="698"/>
      <c r="J479" s="697"/>
      <c r="K479" s="697"/>
      <c r="L479" s="697"/>
      <c r="M479" s="697"/>
      <c r="N479" s="698"/>
      <c r="O479" s="698"/>
      <c r="P479" s="698"/>
      <c r="Q479" s="697"/>
      <c r="R479" s="698"/>
      <c r="S479" s="697"/>
      <c r="T479" s="697"/>
      <c r="U479" s="697"/>
      <c r="V479" s="697"/>
      <c r="W479" s="698"/>
      <c r="X479" s="698"/>
      <c r="Y479" s="697"/>
      <c r="Z479" s="697"/>
      <c r="AA479" s="697"/>
      <c r="AB479" s="698"/>
      <c r="AC479" s="698"/>
    </row>
    <row r="480" spans="1:29" x14ac:dyDescent="0.2">
      <c r="A480" s="694" t="str">
        <f>+Info!$B$2</f>
        <v>724</v>
      </c>
      <c r="B480" s="694" t="s">
        <v>5760</v>
      </c>
      <c r="C480" s="694" t="s">
        <v>5761</v>
      </c>
      <c r="D480" s="695" t="s">
        <v>5762</v>
      </c>
      <c r="E480" s="696"/>
      <c r="F480" s="697"/>
      <c r="G480" s="697"/>
      <c r="H480" s="698"/>
      <c r="I480" s="698"/>
      <c r="J480" s="697"/>
      <c r="K480" s="697"/>
      <c r="L480" s="697"/>
      <c r="M480" s="697"/>
      <c r="N480" s="698"/>
      <c r="O480" s="698"/>
      <c r="P480" s="698"/>
      <c r="Q480" s="697"/>
      <c r="R480" s="698"/>
      <c r="S480" s="697"/>
      <c r="T480" s="697"/>
      <c r="U480" s="697"/>
      <c r="V480" s="697"/>
      <c r="W480" s="698"/>
      <c r="X480" s="698"/>
      <c r="Y480" s="697"/>
      <c r="Z480" s="697"/>
      <c r="AA480" s="697"/>
      <c r="AB480" s="698"/>
      <c r="AC480" s="698"/>
    </row>
    <row r="481" spans="1:29" x14ac:dyDescent="0.2">
      <c r="A481" s="694" t="str">
        <f>+Info!$B$2</f>
        <v>724</v>
      </c>
      <c r="B481" s="694" t="s">
        <v>5763</v>
      </c>
      <c r="C481" s="694" t="s">
        <v>5764</v>
      </c>
      <c r="D481" s="695" t="s">
        <v>5765</v>
      </c>
      <c r="E481" s="696"/>
      <c r="F481" s="697"/>
      <c r="G481" s="697"/>
      <c r="H481" s="698"/>
      <c r="I481" s="698"/>
      <c r="J481" s="697"/>
      <c r="K481" s="697"/>
      <c r="L481" s="697"/>
      <c r="M481" s="697"/>
      <c r="N481" s="698"/>
      <c r="O481" s="698"/>
      <c r="P481" s="698"/>
      <c r="Q481" s="697"/>
      <c r="R481" s="698"/>
      <c r="S481" s="697"/>
      <c r="T481" s="697"/>
      <c r="U481" s="697"/>
      <c r="V481" s="697"/>
      <c r="W481" s="698"/>
      <c r="X481" s="698"/>
      <c r="Y481" s="697"/>
      <c r="Z481" s="697"/>
      <c r="AA481" s="697"/>
      <c r="AB481" s="697"/>
      <c r="AC481" s="697"/>
    </row>
    <row r="482" spans="1:29" x14ac:dyDescent="0.2">
      <c r="A482" s="694" t="str">
        <f>+Info!$B$2</f>
        <v>724</v>
      </c>
      <c r="B482" s="694" t="s">
        <v>5766</v>
      </c>
      <c r="C482" s="694" t="s">
        <v>5767</v>
      </c>
      <c r="D482" s="695" t="s">
        <v>5768</v>
      </c>
      <c r="E482" s="696"/>
      <c r="F482" s="697"/>
      <c r="G482" s="697"/>
      <c r="H482" s="698"/>
      <c r="I482" s="698"/>
      <c r="J482" s="697"/>
      <c r="K482" s="697"/>
      <c r="L482" s="697"/>
      <c r="M482" s="697"/>
      <c r="N482" s="698"/>
      <c r="O482" s="698"/>
      <c r="P482" s="698"/>
      <c r="Q482" s="697"/>
      <c r="R482" s="697"/>
      <c r="S482" s="698"/>
      <c r="T482" s="697"/>
      <c r="U482" s="697"/>
      <c r="V482" s="697"/>
      <c r="W482" s="698"/>
      <c r="X482" s="698"/>
      <c r="Y482" s="697"/>
      <c r="Z482" s="697"/>
      <c r="AA482" s="697"/>
      <c r="AB482" s="697"/>
      <c r="AC482" s="697"/>
    </row>
    <row r="483" spans="1:29" x14ac:dyDescent="0.2">
      <c r="A483" s="694" t="str">
        <f>+Info!$B$2</f>
        <v>724</v>
      </c>
      <c r="B483" s="694" t="s">
        <v>5769</v>
      </c>
      <c r="C483" s="694" t="s">
        <v>5770</v>
      </c>
      <c r="D483" s="695" t="s">
        <v>5771</v>
      </c>
      <c r="E483" s="696"/>
      <c r="F483" s="697"/>
      <c r="G483" s="697"/>
      <c r="H483" s="698"/>
      <c r="I483" s="698"/>
      <c r="J483" s="697"/>
      <c r="K483" s="697"/>
      <c r="L483" s="697"/>
      <c r="M483" s="697"/>
      <c r="N483" s="698"/>
      <c r="O483" s="698"/>
      <c r="P483" s="698"/>
      <c r="Q483" s="697"/>
      <c r="R483" s="697"/>
      <c r="S483" s="698"/>
      <c r="T483" s="697"/>
      <c r="U483" s="697"/>
      <c r="V483" s="697"/>
      <c r="W483" s="698"/>
      <c r="X483" s="698"/>
      <c r="Y483" s="697"/>
      <c r="Z483" s="697"/>
      <c r="AA483" s="697"/>
      <c r="AB483" s="697"/>
      <c r="AC483" s="697"/>
    </row>
    <row r="484" spans="1:29" x14ac:dyDescent="0.2">
      <c r="A484" s="694" t="str">
        <f>+Info!$B$2</f>
        <v>724</v>
      </c>
      <c r="B484" s="694" t="s">
        <v>5772</v>
      </c>
      <c r="C484" s="694" t="s">
        <v>5773</v>
      </c>
      <c r="D484" s="695" t="s">
        <v>5774</v>
      </c>
      <c r="E484" s="696"/>
      <c r="F484" s="697"/>
      <c r="G484" s="697"/>
      <c r="H484" s="698"/>
      <c r="I484" s="698"/>
      <c r="J484" s="697"/>
      <c r="K484" s="697"/>
      <c r="L484" s="697"/>
      <c r="M484" s="697"/>
      <c r="N484" s="698"/>
      <c r="O484" s="698"/>
      <c r="P484" s="698"/>
      <c r="Q484" s="697"/>
      <c r="R484" s="697"/>
      <c r="S484" s="698"/>
      <c r="T484" s="697"/>
      <c r="U484" s="697"/>
      <c r="V484" s="697"/>
      <c r="W484" s="698"/>
      <c r="X484" s="698"/>
      <c r="Y484" s="697"/>
      <c r="Z484" s="697"/>
      <c r="AA484" s="697"/>
      <c r="AB484" s="697"/>
      <c r="AC484" s="697"/>
    </row>
    <row r="485" spans="1:29" x14ac:dyDescent="0.2">
      <c r="A485" s="694" t="str">
        <f>+Info!$B$2</f>
        <v>724</v>
      </c>
      <c r="B485" s="694" t="s">
        <v>5775</v>
      </c>
      <c r="C485" s="694" t="s">
        <v>5776</v>
      </c>
      <c r="D485" s="695" t="s">
        <v>5777</v>
      </c>
      <c r="E485" s="696"/>
      <c r="F485" s="697"/>
      <c r="G485" s="697"/>
      <c r="H485" s="698"/>
      <c r="I485" s="698"/>
      <c r="J485" s="697"/>
      <c r="K485" s="697"/>
      <c r="L485" s="697"/>
      <c r="M485" s="697"/>
      <c r="N485" s="698"/>
      <c r="O485" s="698"/>
      <c r="P485" s="698"/>
      <c r="Q485" s="697"/>
      <c r="R485" s="697"/>
      <c r="S485" s="698"/>
      <c r="T485" s="697"/>
      <c r="U485" s="697"/>
      <c r="V485" s="697"/>
      <c r="W485" s="698"/>
      <c r="X485" s="698"/>
      <c r="Y485" s="697"/>
      <c r="Z485" s="697"/>
      <c r="AA485" s="697"/>
      <c r="AB485" s="697"/>
      <c r="AC485" s="697"/>
    </row>
    <row r="486" spans="1:29" x14ac:dyDescent="0.2">
      <c r="A486" s="694" t="str">
        <f>+Info!$B$2</f>
        <v>724</v>
      </c>
      <c r="B486" s="694" t="s">
        <v>5778</v>
      </c>
      <c r="C486" s="694" t="s">
        <v>5779</v>
      </c>
      <c r="D486" s="695" t="s">
        <v>5780</v>
      </c>
      <c r="E486" s="696"/>
      <c r="F486" s="697"/>
      <c r="G486" s="697"/>
      <c r="H486" s="698"/>
      <c r="I486" s="698"/>
      <c r="J486" s="697"/>
      <c r="K486" s="697"/>
      <c r="L486" s="697"/>
      <c r="M486" s="697"/>
      <c r="N486" s="698"/>
      <c r="O486" s="698"/>
      <c r="P486" s="698"/>
      <c r="Q486" s="697"/>
      <c r="R486" s="697"/>
      <c r="S486" s="698"/>
      <c r="T486" s="697"/>
      <c r="U486" s="697"/>
      <c r="V486" s="697"/>
      <c r="W486" s="698"/>
      <c r="X486" s="698"/>
      <c r="Y486" s="697"/>
      <c r="Z486" s="697"/>
      <c r="AA486" s="697"/>
      <c r="AB486" s="697"/>
      <c r="AC486" s="697"/>
    </row>
    <row r="487" spans="1:29" x14ac:dyDescent="0.2">
      <c r="A487" s="694" t="str">
        <f>+Info!$B$2</f>
        <v>724</v>
      </c>
      <c r="B487" s="694" t="s">
        <v>5781</v>
      </c>
      <c r="C487" s="694" t="s">
        <v>5782</v>
      </c>
      <c r="D487" s="695" t="s">
        <v>5783</v>
      </c>
      <c r="E487" s="696"/>
      <c r="F487" s="697"/>
      <c r="G487" s="697"/>
      <c r="H487" s="698"/>
      <c r="I487" s="698"/>
      <c r="J487" s="697"/>
      <c r="K487" s="697"/>
      <c r="L487" s="697"/>
      <c r="M487" s="697"/>
      <c r="N487" s="698"/>
      <c r="O487" s="698"/>
      <c r="P487" s="698"/>
      <c r="Q487" s="697"/>
      <c r="R487" s="697"/>
      <c r="S487" s="698"/>
      <c r="T487" s="697"/>
      <c r="U487" s="697"/>
      <c r="V487" s="697"/>
      <c r="W487" s="698"/>
      <c r="X487" s="698"/>
      <c r="Y487" s="697"/>
      <c r="Z487" s="697"/>
      <c r="AA487" s="697"/>
      <c r="AB487" s="697"/>
      <c r="AC487" s="697"/>
    </row>
    <row r="488" spans="1:29" x14ac:dyDescent="0.2">
      <c r="A488" s="694" t="str">
        <f>+Info!$B$2</f>
        <v>724</v>
      </c>
      <c r="B488" s="694" t="s">
        <v>5784</v>
      </c>
      <c r="C488" s="694" t="s">
        <v>5785</v>
      </c>
      <c r="D488" s="695" t="s">
        <v>5786</v>
      </c>
      <c r="E488" s="696"/>
      <c r="F488" s="697"/>
      <c r="G488" s="697"/>
      <c r="H488" s="698"/>
      <c r="I488" s="698"/>
      <c r="J488" s="697"/>
      <c r="K488" s="697"/>
      <c r="L488" s="697"/>
      <c r="M488" s="697"/>
      <c r="N488" s="698"/>
      <c r="O488" s="698"/>
      <c r="P488" s="698"/>
      <c r="Q488" s="697"/>
      <c r="R488" s="697"/>
      <c r="S488" s="698"/>
      <c r="T488" s="697"/>
      <c r="U488" s="697"/>
      <c r="V488" s="697"/>
      <c r="W488" s="698"/>
      <c r="X488" s="698"/>
      <c r="Y488" s="697"/>
      <c r="Z488" s="697"/>
      <c r="AA488" s="697"/>
      <c r="AB488" s="697"/>
      <c r="AC488" s="697"/>
    </row>
    <row r="489" spans="1:29" x14ac:dyDescent="0.2">
      <c r="A489" s="694" t="str">
        <f>+Info!$B$2</f>
        <v>724</v>
      </c>
      <c r="B489" s="694" t="s">
        <v>5787</v>
      </c>
      <c r="C489" s="694" t="s">
        <v>5788</v>
      </c>
      <c r="D489" s="695" t="s">
        <v>5789</v>
      </c>
      <c r="E489" s="696"/>
      <c r="F489" s="697"/>
      <c r="G489" s="697"/>
      <c r="H489" s="698"/>
      <c r="I489" s="698"/>
      <c r="J489" s="697"/>
      <c r="K489" s="697"/>
      <c r="L489" s="697"/>
      <c r="M489" s="697"/>
      <c r="N489" s="698"/>
      <c r="O489" s="698"/>
      <c r="P489" s="698"/>
      <c r="Q489" s="697"/>
      <c r="R489" s="697"/>
      <c r="S489" s="698"/>
      <c r="T489" s="697"/>
      <c r="U489" s="697"/>
      <c r="V489" s="697"/>
      <c r="W489" s="698"/>
      <c r="X489" s="698"/>
      <c r="Y489" s="697"/>
      <c r="Z489" s="697"/>
      <c r="AA489" s="697"/>
      <c r="AB489" s="697"/>
      <c r="AC489" s="697"/>
    </row>
    <row r="490" spans="1:29" x14ac:dyDescent="0.2">
      <c r="A490" s="694" t="str">
        <f>+Info!$B$2</f>
        <v>724</v>
      </c>
      <c r="B490" s="694" t="s">
        <v>5790</v>
      </c>
      <c r="C490" s="694" t="s">
        <v>5791</v>
      </c>
      <c r="D490" s="695" t="s">
        <v>5792</v>
      </c>
      <c r="E490" s="696"/>
      <c r="F490" s="697"/>
      <c r="G490" s="697"/>
      <c r="H490" s="698"/>
      <c r="I490" s="698"/>
      <c r="J490" s="697"/>
      <c r="K490" s="697"/>
      <c r="L490" s="697"/>
      <c r="M490" s="697"/>
      <c r="N490" s="698"/>
      <c r="O490" s="698"/>
      <c r="P490" s="698"/>
      <c r="Q490" s="697"/>
      <c r="R490" s="697"/>
      <c r="S490" s="698"/>
      <c r="T490" s="697"/>
      <c r="U490" s="697"/>
      <c r="V490" s="697"/>
      <c r="W490" s="698"/>
      <c r="X490" s="698"/>
      <c r="Y490" s="697"/>
      <c r="Z490" s="697"/>
      <c r="AA490" s="697"/>
      <c r="AB490" s="698"/>
      <c r="AC490" s="698"/>
    </row>
    <row r="491" spans="1:29" x14ac:dyDescent="0.2">
      <c r="A491" s="694" t="str">
        <f>+Info!$B$2</f>
        <v>724</v>
      </c>
      <c r="B491" s="694" t="s">
        <v>5793</v>
      </c>
      <c r="C491" s="694" t="s">
        <v>5794</v>
      </c>
      <c r="D491" s="695" t="s">
        <v>5795</v>
      </c>
      <c r="E491" s="696"/>
      <c r="F491" s="697"/>
      <c r="G491" s="697"/>
      <c r="H491" s="698"/>
      <c r="I491" s="698"/>
      <c r="J491" s="697"/>
      <c r="K491" s="697"/>
      <c r="L491" s="697"/>
      <c r="M491" s="697"/>
      <c r="N491" s="698"/>
      <c r="O491" s="698"/>
      <c r="P491" s="698"/>
      <c r="Q491" s="697"/>
      <c r="R491" s="697"/>
      <c r="S491" s="698"/>
      <c r="T491" s="697"/>
      <c r="U491" s="697"/>
      <c r="V491" s="697"/>
      <c r="W491" s="698"/>
      <c r="X491" s="698"/>
      <c r="Y491" s="697"/>
      <c r="Z491" s="697"/>
      <c r="AA491" s="697"/>
      <c r="AB491" s="698"/>
      <c r="AC491" s="698"/>
    </row>
    <row r="492" spans="1:29" x14ac:dyDescent="0.2">
      <c r="A492" s="694" t="str">
        <f>+Info!$B$2</f>
        <v>724</v>
      </c>
      <c r="B492" s="694" t="s">
        <v>5796</v>
      </c>
      <c r="C492" s="694" t="s">
        <v>5797</v>
      </c>
      <c r="D492" s="695" t="s">
        <v>5798</v>
      </c>
      <c r="E492" s="696"/>
      <c r="F492" s="697"/>
      <c r="G492" s="697"/>
      <c r="H492" s="698"/>
      <c r="I492" s="698"/>
      <c r="J492" s="697"/>
      <c r="K492" s="697"/>
      <c r="L492" s="697"/>
      <c r="M492" s="697"/>
      <c r="N492" s="698"/>
      <c r="O492" s="698"/>
      <c r="P492" s="698"/>
      <c r="Q492" s="697"/>
      <c r="R492" s="697"/>
      <c r="S492" s="698"/>
      <c r="T492" s="697"/>
      <c r="U492" s="697"/>
      <c r="V492" s="697"/>
      <c r="W492" s="698"/>
      <c r="X492" s="698"/>
      <c r="Y492" s="697"/>
      <c r="Z492" s="697"/>
      <c r="AA492" s="697"/>
      <c r="AB492" s="697"/>
      <c r="AC492" s="697"/>
    </row>
    <row r="493" spans="1:29" x14ac:dyDescent="0.2">
      <c r="A493" s="694" t="str">
        <f>+Info!$B$2</f>
        <v>724</v>
      </c>
      <c r="B493" s="694" t="s">
        <v>5799</v>
      </c>
      <c r="C493" s="694" t="s">
        <v>5800</v>
      </c>
      <c r="D493" s="695" t="s">
        <v>5801</v>
      </c>
      <c r="E493" s="696"/>
      <c r="F493" s="697"/>
      <c r="G493" s="697"/>
      <c r="H493" s="698"/>
      <c r="I493" s="698"/>
      <c r="J493" s="697"/>
      <c r="K493" s="697"/>
      <c r="L493" s="697"/>
      <c r="M493" s="697"/>
      <c r="N493" s="698"/>
      <c r="O493" s="698"/>
      <c r="P493" s="698"/>
      <c r="Q493" s="697"/>
      <c r="R493" s="697"/>
      <c r="S493" s="698"/>
      <c r="T493" s="697"/>
      <c r="U493" s="697"/>
      <c r="V493" s="697"/>
      <c r="W493" s="698"/>
      <c r="X493" s="698"/>
      <c r="Y493" s="697"/>
      <c r="Z493" s="697"/>
      <c r="AA493" s="697"/>
      <c r="AB493" s="697"/>
      <c r="AC493" s="697"/>
    </row>
    <row r="494" spans="1:29" x14ac:dyDescent="0.2">
      <c r="A494" s="694" t="str">
        <f>+Info!$B$2</f>
        <v>724</v>
      </c>
      <c r="B494" s="694" t="s">
        <v>5802</v>
      </c>
      <c r="C494" s="694" t="s">
        <v>5803</v>
      </c>
      <c r="D494" s="695" t="s">
        <v>5804</v>
      </c>
      <c r="E494" s="696"/>
      <c r="F494" s="697"/>
      <c r="G494" s="697"/>
      <c r="H494" s="698"/>
      <c r="I494" s="698"/>
      <c r="J494" s="697"/>
      <c r="K494" s="697"/>
      <c r="L494" s="697"/>
      <c r="M494" s="697"/>
      <c r="N494" s="698"/>
      <c r="O494" s="698"/>
      <c r="P494" s="698"/>
      <c r="Q494" s="697"/>
      <c r="R494" s="697"/>
      <c r="S494" s="698"/>
      <c r="T494" s="697"/>
      <c r="U494" s="697"/>
      <c r="V494" s="697"/>
      <c r="W494" s="698"/>
      <c r="X494" s="698"/>
      <c r="Y494" s="697"/>
      <c r="Z494" s="697"/>
      <c r="AA494" s="697"/>
      <c r="AB494" s="697"/>
      <c r="AC494" s="697"/>
    </row>
    <row r="495" spans="1:29" x14ac:dyDescent="0.2">
      <c r="A495" s="694" t="str">
        <f>+Info!$B$2</f>
        <v>724</v>
      </c>
      <c r="B495" s="694" t="s">
        <v>5805</v>
      </c>
      <c r="C495" s="694" t="s">
        <v>5806</v>
      </c>
      <c r="D495" s="695" t="s">
        <v>5807</v>
      </c>
      <c r="E495" s="696"/>
      <c r="F495" s="697"/>
      <c r="G495" s="697"/>
      <c r="H495" s="698"/>
      <c r="I495" s="698"/>
      <c r="J495" s="697"/>
      <c r="K495" s="697"/>
      <c r="L495" s="697"/>
      <c r="M495" s="697"/>
      <c r="N495" s="698"/>
      <c r="O495" s="698"/>
      <c r="P495" s="698"/>
      <c r="Q495" s="697"/>
      <c r="R495" s="697"/>
      <c r="S495" s="698"/>
      <c r="T495" s="697"/>
      <c r="U495" s="697"/>
      <c r="V495" s="697"/>
      <c r="W495" s="698"/>
      <c r="X495" s="698"/>
      <c r="Y495" s="697"/>
      <c r="Z495" s="697"/>
      <c r="AA495" s="697"/>
      <c r="AB495" s="697"/>
      <c r="AC495" s="697"/>
    </row>
    <row r="496" spans="1:29" x14ac:dyDescent="0.2">
      <c r="A496" s="694" t="str">
        <f>+Info!$B$2</f>
        <v>724</v>
      </c>
      <c r="B496" s="694" t="s">
        <v>5808</v>
      </c>
      <c r="C496" s="694" t="s">
        <v>5809</v>
      </c>
      <c r="D496" s="695" t="s">
        <v>5810</v>
      </c>
      <c r="E496" s="696"/>
      <c r="F496" s="697"/>
      <c r="G496" s="697"/>
      <c r="H496" s="698"/>
      <c r="I496" s="698"/>
      <c r="J496" s="697"/>
      <c r="K496" s="697"/>
      <c r="L496" s="697"/>
      <c r="M496" s="697"/>
      <c r="N496" s="698"/>
      <c r="O496" s="698"/>
      <c r="P496" s="698"/>
      <c r="Q496" s="697"/>
      <c r="R496" s="697"/>
      <c r="S496" s="698"/>
      <c r="T496" s="697"/>
      <c r="U496" s="697"/>
      <c r="V496" s="697"/>
      <c r="W496" s="698"/>
      <c r="X496" s="698"/>
      <c r="Y496" s="697"/>
      <c r="Z496" s="697"/>
      <c r="AA496" s="697"/>
      <c r="AB496" s="697"/>
      <c r="AC496" s="697"/>
    </row>
    <row r="497" spans="1:29" x14ac:dyDescent="0.2">
      <c r="A497" s="694" t="str">
        <f>+Info!$B$2</f>
        <v>724</v>
      </c>
      <c r="B497" s="694" t="s">
        <v>5811</v>
      </c>
      <c r="C497" s="694" t="s">
        <v>5812</v>
      </c>
      <c r="D497" s="695" t="s">
        <v>5813</v>
      </c>
      <c r="E497" s="696"/>
      <c r="F497" s="697"/>
      <c r="G497" s="697"/>
      <c r="H497" s="698"/>
      <c r="I497" s="698"/>
      <c r="J497" s="697"/>
      <c r="K497" s="697"/>
      <c r="L497" s="697"/>
      <c r="M497" s="697"/>
      <c r="N497" s="698"/>
      <c r="O497" s="698"/>
      <c r="P497" s="698"/>
      <c r="Q497" s="697"/>
      <c r="R497" s="697"/>
      <c r="S497" s="698"/>
      <c r="T497" s="697"/>
      <c r="U497" s="697"/>
      <c r="V497" s="697"/>
      <c r="W497" s="698"/>
      <c r="X497" s="698"/>
      <c r="Y497" s="697"/>
      <c r="Z497" s="697"/>
      <c r="AA497" s="697"/>
      <c r="AB497" s="697"/>
      <c r="AC497" s="697"/>
    </row>
    <row r="498" spans="1:29" x14ac:dyDescent="0.2">
      <c r="A498" s="694" t="str">
        <f>+Info!$B$2</f>
        <v>724</v>
      </c>
      <c r="B498" s="694" t="s">
        <v>5814</v>
      </c>
      <c r="C498" s="694" t="s">
        <v>5815</v>
      </c>
      <c r="D498" s="695" t="s">
        <v>5816</v>
      </c>
      <c r="E498" s="696"/>
      <c r="F498" s="697"/>
      <c r="G498" s="697"/>
      <c r="H498" s="698"/>
      <c r="I498" s="698"/>
      <c r="J498" s="697"/>
      <c r="K498" s="697"/>
      <c r="L498" s="697"/>
      <c r="M498" s="697"/>
      <c r="N498" s="698"/>
      <c r="O498" s="698"/>
      <c r="P498" s="698"/>
      <c r="Q498" s="697"/>
      <c r="R498" s="697"/>
      <c r="S498" s="698"/>
      <c r="T498" s="697"/>
      <c r="U498" s="697"/>
      <c r="V498" s="697"/>
      <c r="W498" s="698"/>
      <c r="X498" s="698"/>
      <c r="Y498" s="697"/>
      <c r="Z498" s="697"/>
      <c r="AA498" s="697"/>
      <c r="AB498" s="697"/>
      <c r="AC498" s="697"/>
    </row>
    <row r="499" spans="1:29" x14ac:dyDescent="0.2">
      <c r="A499" s="694" t="str">
        <f>+Info!$B$2</f>
        <v>724</v>
      </c>
      <c r="B499" s="694" t="s">
        <v>5817</v>
      </c>
      <c r="C499" s="694" t="s">
        <v>5818</v>
      </c>
      <c r="D499" s="695" t="s">
        <v>5819</v>
      </c>
      <c r="E499" s="696"/>
      <c r="F499" s="697"/>
      <c r="G499" s="697"/>
      <c r="H499" s="698"/>
      <c r="I499" s="698"/>
      <c r="J499" s="697"/>
      <c r="K499" s="697"/>
      <c r="L499" s="697"/>
      <c r="M499" s="697"/>
      <c r="N499" s="698"/>
      <c r="O499" s="698"/>
      <c r="P499" s="698"/>
      <c r="Q499" s="697"/>
      <c r="R499" s="697"/>
      <c r="S499" s="698"/>
      <c r="T499" s="697"/>
      <c r="U499" s="697"/>
      <c r="V499" s="697"/>
      <c r="W499" s="698"/>
      <c r="X499" s="698"/>
      <c r="Y499" s="697"/>
      <c r="Z499" s="697"/>
      <c r="AA499" s="697"/>
      <c r="AB499" s="697"/>
      <c r="AC499" s="697"/>
    </row>
    <row r="500" spans="1:29" x14ac:dyDescent="0.2">
      <c r="A500" s="694" t="str">
        <f>+Info!$B$2</f>
        <v>724</v>
      </c>
      <c r="B500" s="694" t="s">
        <v>5820</v>
      </c>
      <c r="C500" s="694" t="s">
        <v>5821</v>
      </c>
      <c r="D500" s="695" t="s">
        <v>5822</v>
      </c>
      <c r="E500" s="696"/>
      <c r="F500" s="697"/>
      <c r="G500" s="697"/>
      <c r="H500" s="698"/>
      <c r="I500" s="698"/>
      <c r="J500" s="697"/>
      <c r="K500" s="697"/>
      <c r="L500" s="697"/>
      <c r="M500" s="697"/>
      <c r="N500" s="698"/>
      <c r="O500" s="698"/>
      <c r="P500" s="698"/>
      <c r="Q500" s="697"/>
      <c r="R500" s="697"/>
      <c r="S500" s="698"/>
      <c r="T500" s="697"/>
      <c r="U500" s="697"/>
      <c r="V500" s="697"/>
      <c r="W500" s="698"/>
      <c r="X500" s="698"/>
      <c r="Y500" s="697"/>
      <c r="Z500" s="697"/>
      <c r="AA500" s="697"/>
      <c r="AB500" s="697"/>
      <c r="AC500" s="697"/>
    </row>
    <row r="501" spans="1:29" x14ac:dyDescent="0.2">
      <c r="A501" s="694" t="str">
        <f>+Info!$B$2</f>
        <v>724</v>
      </c>
      <c r="B501" s="694" t="s">
        <v>5823</v>
      </c>
      <c r="C501" s="694" t="s">
        <v>5824</v>
      </c>
      <c r="D501" s="695" t="s">
        <v>5825</v>
      </c>
      <c r="E501" s="696"/>
      <c r="F501" s="697"/>
      <c r="G501" s="697"/>
      <c r="H501" s="698"/>
      <c r="I501" s="698"/>
      <c r="J501" s="697"/>
      <c r="K501" s="697"/>
      <c r="L501" s="697"/>
      <c r="M501" s="697"/>
      <c r="N501" s="698"/>
      <c r="O501" s="698"/>
      <c r="P501" s="698"/>
      <c r="Q501" s="697"/>
      <c r="R501" s="697"/>
      <c r="S501" s="698"/>
      <c r="T501" s="697"/>
      <c r="U501" s="697"/>
      <c r="V501" s="697"/>
      <c r="W501" s="698"/>
      <c r="X501" s="698"/>
      <c r="Y501" s="697"/>
      <c r="Z501" s="697"/>
      <c r="AA501" s="697"/>
      <c r="AB501" s="698"/>
      <c r="AC501" s="698"/>
    </row>
    <row r="502" spans="1:29" x14ac:dyDescent="0.2">
      <c r="A502" s="694" t="str">
        <f>+Info!$B$2</f>
        <v>724</v>
      </c>
      <c r="B502" s="694" t="s">
        <v>5826</v>
      </c>
      <c r="C502" s="694" t="s">
        <v>5827</v>
      </c>
      <c r="D502" s="695" t="s">
        <v>5828</v>
      </c>
      <c r="E502" s="696"/>
      <c r="F502" s="697"/>
      <c r="G502" s="697"/>
      <c r="H502" s="698"/>
      <c r="I502" s="698"/>
      <c r="J502" s="697"/>
      <c r="K502" s="697"/>
      <c r="L502" s="697"/>
      <c r="M502" s="697"/>
      <c r="N502" s="698"/>
      <c r="O502" s="698"/>
      <c r="P502" s="698"/>
      <c r="Q502" s="697"/>
      <c r="R502" s="697"/>
      <c r="S502" s="698"/>
      <c r="T502" s="697"/>
      <c r="U502" s="697"/>
      <c r="V502" s="697"/>
      <c r="W502" s="698"/>
      <c r="X502" s="698"/>
      <c r="Y502" s="697"/>
      <c r="Z502" s="697"/>
      <c r="AA502" s="697"/>
      <c r="AB502" s="698"/>
      <c r="AC502" s="698"/>
    </row>
    <row r="503" spans="1:29" x14ac:dyDescent="0.2">
      <c r="A503" s="694" t="str">
        <f>+Info!$B$2</f>
        <v>724</v>
      </c>
      <c r="B503" s="694" t="s">
        <v>5829</v>
      </c>
      <c r="C503" s="694" t="s">
        <v>5830</v>
      </c>
      <c r="D503" s="695" t="s">
        <v>5831</v>
      </c>
      <c r="E503" s="696"/>
      <c r="F503" s="697"/>
      <c r="G503" s="697"/>
      <c r="H503" s="698"/>
      <c r="I503" s="698"/>
      <c r="J503" s="697"/>
      <c r="K503" s="697"/>
      <c r="L503" s="697"/>
      <c r="M503" s="697"/>
      <c r="N503" s="698"/>
      <c r="O503" s="698"/>
      <c r="P503" s="698"/>
      <c r="Q503" s="697"/>
      <c r="R503" s="697"/>
      <c r="S503" s="698"/>
      <c r="T503" s="697"/>
      <c r="U503" s="697"/>
      <c r="V503" s="697"/>
      <c r="W503" s="698"/>
      <c r="X503" s="698"/>
      <c r="Y503" s="697"/>
      <c r="Z503" s="697"/>
      <c r="AA503" s="697"/>
      <c r="AB503" s="697"/>
      <c r="AC503" s="697"/>
    </row>
    <row r="504" spans="1:29" x14ac:dyDescent="0.2">
      <c r="A504" s="694" t="str">
        <f>+Info!$B$2</f>
        <v>724</v>
      </c>
      <c r="B504" s="694" t="s">
        <v>5832</v>
      </c>
      <c r="C504" s="694" t="s">
        <v>5833</v>
      </c>
      <c r="D504" s="695" t="s">
        <v>5834</v>
      </c>
      <c r="E504" s="696"/>
      <c r="F504" s="697"/>
      <c r="G504" s="697"/>
      <c r="H504" s="698"/>
      <c r="I504" s="698"/>
      <c r="J504" s="697"/>
      <c r="K504" s="697"/>
      <c r="L504" s="697"/>
      <c r="M504" s="697"/>
      <c r="N504" s="698"/>
      <c r="O504" s="698"/>
      <c r="P504" s="698"/>
      <c r="Q504" s="697"/>
      <c r="R504" s="697"/>
      <c r="S504" s="698"/>
      <c r="T504" s="697"/>
      <c r="U504" s="697"/>
      <c r="V504" s="697"/>
      <c r="W504" s="698"/>
      <c r="X504" s="698"/>
      <c r="Y504" s="697"/>
      <c r="Z504" s="697"/>
      <c r="AA504" s="697"/>
      <c r="AB504" s="697"/>
      <c r="AC504" s="697"/>
    </row>
    <row r="505" spans="1:29" x14ac:dyDescent="0.2">
      <c r="A505" s="694" t="str">
        <f>+Info!$B$2</f>
        <v>724</v>
      </c>
      <c r="B505" s="694" t="s">
        <v>5835</v>
      </c>
      <c r="C505" s="694" t="s">
        <v>5836</v>
      </c>
      <c r="D505" s="695" t="s">
        <v>5837</v>
      </c>
      <c r="E505" s="696"/>
      <c r="F505" s="697"/>
      <c r="G505" s="697"/>
      <c r="H505" s="698"/>
      <c r="I505" s="698"/>
      <c r="J505" s="697"/>
      <c r="K505" s="697"/>
      <c r="L505" s="697"/>
      <c r="M505" s="697"/>
      <c r="N505" s="698"/>
      <c r="O505" s="698"/>
      <c r="P505" s="698"/>
      <c r="Q505" s="697"/>
      <c r="R505" s="697"/>
      <c r="S505" s="698"/>
      <c r="T505" s="697"/>
      <c r="U505" s="697"/>
      <c r="V505" s="697"/>
      <c r="W505" s="698"/>
      <c r="X505" s="698"/>
      <c r="Y505" s="697"/>
      <c r="Z505" s="697"/>
      <c r="AA505" s="697"/>
      <c r="AB505" s="697"/>
      <c r="AC505" s="697"/>
    </row>
    <row r="506" spans="1:29" x14ac:dyDescent="0.2">
      <c r="A506" s="694" t="str">
        <f>+Info!$B$2</f>
        <v>724</v>
      </c>
      <c r="B506" s="694" t="s">
        <v>5838</v>
      </c>
      <c r="C506" s="694" t="s">
        <v>5839</v>
      </c>
      <c r="D506" s="695" t="s">
        <v>5840</v>
      </c>
      <c r="E506" s="696"/>
      <c r="F506" s="697"/>
      <c r="G506" s="697"/>
      <c r="H506" s="698"/>
      <c r="I506" s="698"/>
      <c r="J506" s="697"/>
      <c r="K506" s="697"/>
      <c r="L506" s="697"/>
      <c r="M506" s="697"/>
      <c r="N506" s="698"/>
      <c r="O506" s="698"/>
      <c r="P506" s="698"/>
      <c r="Q506" s="697"/>
      <c r="R506" s="697"/>
      <c r="S506" s="698"/>
      <c r="T506" s="697"/>
      <c r="U506" s="697"/>
      <c r="V506" s="697"/>
      <c r="W506" s="698"/>
      <c r="X506" s="698"/>
      <c r="Y506" s="697"/>
      <c r="Z506" s="697"/>
      <c r="AA506" s="697"/>
      <c r="AB506" s="697"/>
      <c r="AC506" s="697"/>
    </row>
    <row r="507" spans="1:29" x14ac:dyDescent="0.2">
      <c r="A507" s="694" t="str">
        <f>+Info!$B$2</f>
        <v>724</v>
      </c>
      <c r="B507" s="694" t="s">
        <v>5841</v>
      </c>
      <c r="C507" s="694" t="s">
        <v>5842</v>
      </c>
      <c r="D507" s="695" t="s">
        <v>5843</v>
      </c>
      <c r="E507" s="696"/>
      <c r="F507" s="697"/>
      <c r="G507" s="697"/>
      <c r="H507" s="698"/>
      <c r="I507" s="698"/>
      <c r="J507" s="697"/>
      <c r="K507" s="697"/>
      <c r="L507" s="697"/>
      <c r="M507" s="697"/>
      <c r="N507" s="698"/>
      <c r="O507" s="698"/>
      <c r="P507" s="698"/>
      <c r="Q507" s="697"/>
      <c r="R507" s="697"/>
      <c r="S507" s="698"/>
      <c r="T507" s="697"/>
      <c r="U507" s="697"/>
      <c r="V507" s="697"/>
      <c r="W507" s="698"/>
      <c r="X507" s="698"/>
      <c r="Y507" s="697"/>
      <c r="Z507" s="697"/>
      <c r="AA507" s="697"/>
      <c r="AB507" s="697"/>
      <c r="AC507" s="697"/>
    </row>
    <row r="508" spans="1:29" x14ac:dyDescent="0.2">
      <c r="A508" s="694" t="str">
        <f>+Info!$B$2</f>
        <v>724</v>
      </c>
      <c r="B508" s="694" t="s">
        <v>5844</v>
      </c>
      <c r="C508" s="694" t="s">
        <v>5845</v>
      </c>
      <c r="D508" s="695" t="s">
        <v>5846</v>
      </c>
      <c r="E508" s="696"/>
      <c r="F508" s="697"/>
      <c r="G508" s="697"/>
      <c r="H508" s="698"/>
      <c r="I508" s="698"/>
      <c r="J508" s="697"/>
      <c r="K508" s="697"/>
      <c r="L508" s="697"/>
      <c r="M508" s="697"/>
      <c r="N508" s="698"/>
      <c r="O508" s="698"/>
      <c r="P508" s="698"/>
      <c r="Q508" s="697"/>
      <c r="R508" s="697"/>
      <c r="S508" s="698"/>
      <c r="T508" s="697"/>
      <c r="U508" s="697"/>
      <c r="V508" s="697"/>
      <c r="W508" s="698"/>
      <c r="X508" s="698"/>
      <c r="Y508" s="697"/>
      <c r="Z508" s="697"/>
      <c r="AA508" s="697"/>
      <c r="AB508" s="697"/>
      <c r="AC508" s="697"/>
    </row>
    <row r="509" spans="1:29" x14ac:dyDescent="0.2">
      <c r="A509" s="694" t="str">
        <f>+Info!$B$2</f>
        <v>724</v>
      </c>
      <c r="B509" s="694" t="s">
        <v>5847</v>
      </c>
      <c r="C509" s="694" t="s">
        <v>5848</v>
      </c>
      <c r="D509" s="695" t="s">
        <v>5849</v>
      </c>
      <c r="E509" s="696"/>
      <c r="F509" s="697"/>
      <c r="G509" s="697"/>
      <c r="H509" s="698"/>
      <c r="I509" s="698"/>
      <c r="J509" s="697"/>
      <c r="K509" s="697"/>
      <c r="L509" s="697"/>
      <c r="M509" s="697"/>
      <c r="N509" s="698"/>
      <c r="O509" s="698"/>
      <c r="P509" s="698"/>
      <c r="Q509" s="697"/>
      <c r="R509" s="697"/>
      <c r="S509" s="698"/>
      <c r="T509" s="697"/>
      <c r="U509" s="697"/>
      <c r="V509" s="697"/>
      <c r="W509" s="698"/>
      <c r="X509" s="698"/>
      <c r="Y509" s="697"/>
      <c r="Z509" s="697"/>
      <c r="AA509" s="697"/>
      <c r="AB509" s="697"/>
      <c r="AC509" s="697"/>
    </row>
    <row r="510" spans="1:29" x14ac:dyDescent="0.2">
      <c r="A510" s="694" t="str">
        <f>+Info!$B$2</f>
        <v>724</v>
      </c>
      <c r="B510" s="694" t="s">
        <v>5850</v>
      </c>
      <c r="C510" s="694" t="s">
        <v>5851</v>
      </c>
      <c r="D510" s="695" t="s">
        <v>5852</v>
      </c>
      <c r="E510" s="696"/>
      <c r="F510" s="697"/>
      <c r="G510" s="697"/>
      <c r="H510" s="698"/>
      <c r="I510" s="698"/>
      <c r="J510" s="697"/>
      <c r="K510" s="697"/>
      <c r="L510" s="697"/>
      <c r="M510" s="697"/>
      <c r="N510" s="698"/>
      <c r="O510" s="698"/>
      <c r="P510" s="698"/>
      <c r="Q510" s="697"/>
      <c r="R510" s="697"/>
      <c r="S510" s="698"/>
      <c r="T510" s="697"/>
      <c r="U510" s="697"/>
      <c r="V510" s="697"/>
      <c r="W510" s="698"/>
      <c r="X510" s="698"/>
      <c r="Y510" s="697"/>
      <c r="Z510" s="697"/>
      <c r="AA510" s="697"/>
      <c r="AB510" s="697"/>
      <c r="AC510" s="697"/>
    </row>
    <row r="511" spans="1:29" x14ac:dyDescent="0.2">
      <c r="A511" s="694" t="str">
        <f>+Info!$B$2</f>
        <v>724</v>
      </c>
      <c r="B511" s="694" t="s">
        <v>5853</v>
      </c>
      <c r="C511" s="694" t="s">
        <v>5854</v>
      </c>
      <c r="D511" s="695" t="s">
        <v>5855</v>
      </c>
      <c r="E511" s="696"/>
      <c r="F511" s="697"/>
      <c r="G511" s="697"/>
      <c r="H511" s="698"/>
      <c r="I511" s="698"/>
      <c r="J511" s="697"/>
      <c r="K511" s="697"/>
      <c r="L511" s="697"/>
      <c r="M511" s="697"/>
      <c r="N511" s="698"/>
      <c r="O511" s="698"/>
      <c r="P511" s="698"/>
      <c r="Q511" s="697"/>
      <c r="R511" s="697"/>
      <c r="S511" s="698"/>
      <c r="T511" s="697"/>
      <c r="U511" s="697"/>
      <c r="V511" s="697"/>
      <c r="W511" s="698"/>
      <c r="X511" s="698"/>
      <c r="Y511" s="697"/>
      <c r="Z511" s="697"/>
      <c r="AA511" s="697"/>
      <c r="AB511" s="697"/>
      <c r="AC511" s="697"/>
    </row>
    <row r="512" spans="1:29" x14ac:dyDescent="0.2">
      <c r="A512" s="694" t="str">
        <f>+Info!$B$2</f>
        <v>724</v>
      </c>
      <c r="B512" s="694" t="s">
        <v>5856</v>
      </c>
      <c r="C512" s="694" t="s">
        <v>5857</v>
      </c>
      <c r="D512" s="695" t="s">
        <v>5858</v>
      </c>
      <c r="E512" s="696"/>
      <c r="F512" s="697"/>
      <c r="G512" s="697"/>
      <c r="H512" s="698"/>
      <c r="I512" s="698"/>
      <c r="J512" s="697"/>
      <c r="K512" s="697"/>
      <c r="L512" s="697"/>
      <c r="M512" s="697"/>
      <c r="N512" s="698"/>
      <c r="O512" s="698"/>
      <c r="P512" s="698"/>
      <c r="Q512" s="697"/>
      <c r="R512" s="697"/>
      <c r="S512" s="698"/>
      <c r="T512" s="697"/>
      <c r="U512" s="697"/>
      <c r="V512" s="697"/>
      <c r="W512" s="698"/>
      <c r="X512" s="698"/>
      <c r="Y512" s="697"/>
      <c r="Z512" s="697"/>
      <c r="AA512" s="697"/>
      <c r="AB512" s="698"/>
      <c r="AC512" s="698"/>
    </row>
    <row r="513" spans="1:29" x14ac:dyDescent="0.2">
      <c r="A513" s="694" t="str">
        <f>+Info!$B$2</f>
        <v>724</v>
      </c>
      <c r="B513" s="694" t="s">
        <v>5859</v>
      </c>
      <c r="C513" s="694" t="s">
        <v>5860</v>
      </c>
      <c r="D513" s="695" t="s">
        <v>5861</v>
      </c>
      <c r="E513" s="696"/>
      <c r="F513" s="697"/>
      <c r="G513" s="697"/>
      <c r="H513" s="698"/>
      <c r="I513" s="698"/>
      <c r="J513" s="697"/>
      <c r="K513" s="697"/>
      <c r="L513" s="697"/>
      <c r="M513" s="697"/>
      <c r="N513" s="698"/>
      <c r="O513" s="698"/>
      <c r="P513" s="698"/>
      <c r="Q513" s="697"/>
      <c r="R513" s="697"/>
      <c r="S513" s="698"/>
      <c r="T513" s="697"/>
      <c r="U513" s="697"/>
      <c r="V513" s="697"/>
      <c r="W513" s="698"/>
      <c r="X513" s="698"/>
      <c r="Y513" s="697"/>
      <c r="Z513" s="697"/>
      <c r="AA513" s="697"/>
      <c r="AB513" s="698"/>
      <c r="AC513" s="698"/>
    </row>
    <row r="514" spans="1:29" x14ac:dyDescent="0.2">
      <c r="A514" s="694" t="str">
        <f>+Info!$B$2</f>
        <v>724</v>
      </c>
      <c r="B514" s="694" t="s">
        <v>5862</v>
      </c>
      <c r="C514" s="694" t="s">
        <v>5863</v>
      </c>
      <c r="D514" s="695" t="s">
        <v>5864</v>
      </c>
      <c r="E514" s="696"/>
      <c r="F514" s="697"/>
      <c r="G514" s="697"/>
      <c r="H514" s="698"/>
      <c r="I514" s="698"/>
      <c r="J514" s="697"/>
      <c r="K514" s="697"/>
      <c r="L514" s="697"/>
      <c r="M514" s="697"/>
      <c r="N514" s="698"/>
      <c r="O514" s="698"/>
      <c r="P514" s="698"/>
      <c r="Q514" s="697"/>
      <c r="R514" s="697"/>
      <c r="S514" s="698"/>
      <c r="T514" s="697"/>
      <c r="U514" s="697"/>
      <c r="V514" s="697"/>
      <c r="W514" s="698"/>
      <c r="X514" s="698"/>
      <c r="Y514" s="697"/>
      <c r="Z514" s="697"/>
      <c r="AA514" s="697"/>
      <c r="AB514" s="697"/>
      <c r="AC514" s="697"/>
    </row>
    <row r="515" spans="1:29" ht="15" x14ac:dyDescent="0.25">
      <c r="A515" s="691" t="str">
        <f>+Info!$B$2</f>
        <v>724</v>
      </c>
      <c r="B515" s="691" t="s">
        <v>5865</v>
      </c>
      <c r="C515" s="691" t="s">
        <v>5866</v>
      </c>
      <c r="D515" s="692" t="s">
        <v>5867</v>
      </c>
      <c r="E515" s="693"/>
      <c r="F515" s="701"/>
      <c r="G515" s="701"/>
      <c r="H515" s="701"/>
      <c r="I515" s="701"/>
      <c r="J515" s="701"/>
      <c r="K515" s="701"/>
      <c r="L515" s="701"/>
      <c r="M515" s="701"/>
      <c r="N515" s="701"/>
      <c r="O515" s="701"/>
      <c r="P515" s="701"/>
      <c r="Q515" s="701"/>
      <c r="R515" s="701"/>
      <c r="S515" s="701"/>
      <c r="T515" s="701"/>
      <c r="U515" s="701"/>
      <c r="V515" s="701"/>
      <c r="W515" s="701"/>
      <c r="X515" s="701"/>
      <c r="Y515" s="701"/>
      <c r="Z515" s="701"/>
      <c r="AA515" s="701"/>
      <c r="AB515" s="701"/>
      <c r="AC515" s="701"/>
    </row>
    <row r="516" spans="1:29" x14ac:dyDescent="0.2">
      <c r="A516" s="694" t="str">
        <f>+Info!$B$2</f>
        <v>724</v>
      </c>
      <c r="B516" s="694" t="s">
        <v>5868</v>
      </c>
      <c r="C516" s="694" t="s">
        <v>5869</v>
      </c>
      <c r="D516" s="695" t="s">
        <v>5870</v>
      </c>
      <c r="E516" s="696"/>
      <c r="F516" s="697"/>
      <c r="G516" s="697"/>
      <c r="H516" s="698"/>
      <c r="I516" s="698"/>
      <c r="J516" s="697"/>
      <c r="K516" s="697"/>
      <c r="L516" s="697"/>
      <c r="M516" s="697"/>
      <c r="N516" s="698"/>
      <c r="O516" s="698"/>
      <c r="P516" s="698"/>
      <c r="Q516" s="697"/>
      <c r="R516" s="698"/>
      <c r="S516" s="697"/>
      <c r="T516" s="697"/>
      <c r="U516" s="697"/>
      <c r="V516" s="697"/>
      <c r="W516" s="698"/>
      <c r="X516" s="698"/>
      <c r="Y516" s="697"/>
      <c r="Z516" s="697"/>
      <c r="AA516" s="697"/>
      <c r="AB516" s="697"/>
      <c r="AC516" s="697"/>
    </row>
    <row r="517" spans="1:29" x14ac:dyDescent="0.2">
      <c r="A517" s="694" t="str">
        <f>+Info!$B$2</f>
        <v>724</v>
      </c>
      <c r="B517" s="694" t="s">
        <v>5871</v>
      </c>
      <c r="C517" s="694" t="s">
        <v>5872</v>
      </c>
      <c r="D517" s="695" t="s">
        <v>5873</v>
      </c>
      <c r="E517" s="696"/>
      <c r="F517" s="697"/>
      <c r="G517" s="697"/>
      <c r="H517" s="698"/>
      <c r="I517" s="698"/>
      <c r="J517" s="697"/>
      <c r="K517" s="697"/>
      <c r="L517" s="697"/>
      <c r="M517" s="697"/>
      <c r="N517" s="698"/>
      <c r="O517" s="698"/>
      <c r="P517" s="698"/>
      <c r="Q517" s="697"/>
      <c r="R517" s="698"/>
      <c r="S517" s="697"/>
      <c r="T517" s="697"/>
      <c r="U517" s="697"/>
      <c r="V517" s="697"/>
      <c r="W517" s="698"/>
      <c r="X517" s="698"/>
      <c r="Y517" s="697"/>
      <c r="Z517" s="697"/>
      <c r="AA517" s="697"/>
      <c r="AB517" s="697"/>
      <c r="AC517" s="697"/>
    </row>
    <row r="518" spans="1:29" x14ac:dyDescent="0.2">
      <c r="A518" s="694" t="str">
        <f>+Info!$B$2</f>
        <v>724</v>
      </c>
      <c r="B518" s="694" t="s">
        <v>5874</v>
      </c>
      <c r="C518" s="694" t="s">
        <v>5875</v>
      </c>
      <c r="D518" s="695" t="s">
        <v>5876</v>
      </c>
      <c r="E518" s="696"/>
      <c r="F518" s="697"/>
      <c r="G518" s="697"/>
      <c r="H518" s="698"/>
      <c r="I518" s="698"/>
      <c r="J518" s="697"/>
      <c r="K518" s="697"/>
      <c r="L518" s="697"/>
      <c r="M518" s="697"/>
      <c r="N518" s="698"/>
      <c r="O518" s="698"/>
      <c r="P518" s="698"/>
      <c r="Q518" s="697"/>
      <c r="R518" s="698"/>
      <c r="S518" s="697"/>
      <c r="T518" s="697"/>
      <c r="U518" s="697"/>
      <c r="V518" s="697"/>
      <c r="W518" s="698"/>
      <c r="X518" s="698"/>
      <c r="Y518" s="697"/>
      <c r="Z518" s="697"/>
      <c r="AA518" s="697"/>
      <c r="AB518" s="697"/>
      <c r="AC518" s="697"/>
    </row>
    <row r="519" spans="1:29" x14ac:dyDescent="0.2">
      <c r="A519" s="694" t="str">
        <f>+Info!$B$2</f>
        <v>724</v>
      </c>
      <c r="B519" s="694" t="s">
        <v>5877</v>
      </c>
      <c r="C519" s="694" t="s">
        <v>5878</v>
      </c>
      <c r="D519" s="695" t="s">
        <v>5879</v>
      </c>
      <c r="E519" s="696"/>
      <c r="F519" s="697"/>
      <c r="G519" s="697"/>
      <c r="H519" s="698"/>
      <c r="I519" s="698"/>
      <c r="J519" s="697"/>
      <c r="K519" s="697"/>
      <c r="L519" s="697"/>
      <c r="M519" s="697"/>
      <c r="N519" s="698"/>
      <c r="O519" s="698"/>
      <c r="P519" s="698"/>
      <c r="Q519" s="697"/>
      <c r="R519" s="698"/>
      <c r="S519" s="697"/>
      <c r="T519" s="697"/>
      <c r="U519" s="697"/>
      <c r="V519" s="697"/>
      <c r="W519" s="698"/>
      <c r="X519" s="698"/>
      <c r="Y519" s="697"/>
      <c r="Z519" s="697"/>
      <c r="AA519" s="697"/>
      <c r="AB519" s="697"/>
      <c r="AC519" s="697"/>
    </row>
    <row r="520" spans="1:29" ht="25.5" x14ac:dyDescent="0.2">
      <c r="A520" s="694" t="str">
        <f>+Info!$B$2</f>
        <v>724</v>
      </c>
      <c r="B520" s="694" t="s">
        <v>5880</v>
      </c>
      <c r="C520" s="694" t="s">
        <v>5881</v>
      </c>
      <c r="D520" s="695" t="s">
        <v>5882</v>
      </c>
      <c r="E520" s="696"/>
      <c r="F520" s="697"/>
      <c r="G520" s="697"/>
      <c r="H520" s="698"/>
      <c r="I520" s="698"/>
      <c r="J520" s="697"/>
      <c r="K520" s="697"/>
      <c r="L520" s="697"/>
      <c r="M520" s="697"/>
      <c r="N520" s="698"/>
      <c r="O520" s="698"/>
      <c r="P520" s="698"/>
      <c r="Q520" s="697"/>
      <c r="R520" s="698"/>
      <c r="S520" s="697"/>
      <c r="T520" s="697"/>
      <c r="U520" s="697"/>
      <c r="V520" s="697"/>
      <c r="W520" s="698"/>
      <c r="X520" s="698"/>
      <c r="Y520" s="697"/>
      <c r="Z520" s="697"/>
      <c r="AA520" s="697"/>
      <c r="AB520" s="697"/>
      <c r="AC520" s="697"/>
    </row>
    <row r="521" spans="1:29" x14ac:dyDescent="0.2">
      <c r="A521" s="694" t="str">
        <f>+Info!$B$2</f>
        <v>724</v>
      </c>
      <c r="B521" s="694" t="s">
        <v>5883</v>
      </c>
      <c r="C521" s="694" t="s">
        <v>5884</v>
      </c>
      <c r="D521" s="695" t="s">
        <v>5885</v>
      </c>
      <c r="E521" s="696"/>
      <c r="F521" s="697"/>
      <c r="G521" s="697"/>
      <c r="H521" s="698"/>
      <c r="I521" s="698"/>
      <c r="J521" s="697"/>
      <c r="K521" s="697"/>
      <c r="L521" s="697"/>
      <c r="M521" s="697"/>
      <c r="N521" s="698"/>
      <c r="O521" s="698"/>
      <c r="P521" s="698"/>
      <c r="Q521" s="697"/>
      <c r="R521" s="698"/>
      <c r="S521" s="697"/>
      <c r="T521" s="697"/>
      <c r="U521" s="697"/>
      <c r="V521" s="697"/>
      <c r="W521" s="698"/>
      <c r="X521" s="698"/>
      <c r="Y521" s="697"/>
      <c r="Z521" s="697"/>
      <c r="AA521" s="697"/>
      <c r="AB521" s="697"/>
      <c r="AC521" s="697"/>
    </row>
    <row r="522" spans="1:29" x14ac:dyDescent="0.2">
      <c r="A522" s="694" t="str">
        <f>+Info!$B$2</f>
        <v>724</v>
      </c>
      <c r="B522" s="694" t="s">
        <v>5886</v>
      </c>
      <c r="C522" s="694" t="s">
        <v>5887</v>
      </c>
      <c r="D522" s="695" t="s">
        <v>5888</v>
      </c>
      <c r="E522" s="696"/>
      <c r="F522" s="697"/>
      <c r="G522" s="697"/>
      <c r="H522" s="698"/>
      <c r="I522" s="698"/>
      <c r="J522" s="697"/>
      <c r="K522" s="697"/>
      <c r="L522" s="697"/>
      <c r="M522" s="697"/>
      <c r="N522" s="698"/>
      <c r="O522" s="698"/>
      <c r="P522" s="698"/>
      <c r="Q522" s="697"/>
      <c r="R522" s="698"/>
      <c r="S522" s="697"/>
      <c r="T522" s="697"/>
      <c r="U522" s="697"/>
      <c r="V522" s="697"/>
      <c r="W522" s="698"/>
      <c r="X522" s="698"/>
      <c r="Y522" s="697"/>
      <c r="Z522" s="697"/>
      <c r="AA522" s="697"/>
      <c r="AB522" s="697"/>
      <c r="AC522" s="697"/>
    </row>
    <row r="523" spans="1:29" x14ac:dyDescent="0.2">
      <c r="A523" s="694" t="str">
        <f>+Info!$B$2</f>
        <v>724</v>
      </c>
      <c r="B523" s="694" t="s">
        <v>5889</v>
      </c>
      <c r="C523" s="694" t="s">
        <v>5890</v>
      </c>
      <c r="D523" s="695" t="s">
        <v>5891</v>
      </c>
      <c r="E523" s="696"/>
      <c r="F523" s="697"/>
      <c r="G523" s="697"/>
      <c r="H523" s="698"/>
      <c r="I523" s="698"/>
      <c r="J523" s="697"/>
      <c r="K523" s="697"/>
      <c r="L523" s="697"/>
      <c r="M523" s="697"/>
      <c r="N523" s="698"/>
      <c r="O523" s="698"/>
      <c r="P523" s="698"/>
      <c r="Q523" s="697"/>
      <c r="R523" s="698"/>
      <c r="S523" s="697"/>
      <c r="T523" s="697"/>
      <c r="U523" s="697"/>
      <c r="V523" s="697"/>
      <c r="W523" s="698"/>
      <c r="X523" s="698"/>
      <c r="Y523" s="697"/>
      <c r="Z523" s="697"/>
      <c r="AA523" s="697"/>
      <c r="AB523" s="697"/>
      <c r="AC523" s="697"/>
    </row>
    <row r="524" spans="1:29" x14ac:dyDescent="0.2">
      <c r="A524" s="694" t="str">
        <f>+Info!$B$2</f>
        <v>724</v>
      </c>
      <c r="B524" s="694" t="s">
        <v>5892</v>
      </c>
      <c r="C524" s="694" t="s">
        <v>5893</v>
      </c>
      <c r="D524" s="695" t="s">
        <v>5894</v>
      </c>
      <c r="E524" s="696"/>
      <c r="F524" s="697"/>
      <c r="G524" s="697"/>
      <c r="H524" s="698"/>
      <c r="I524" s="698"/>
      <c r="J524" s="697"/>
      <c r="K524" s="697"/>
      <c r="L524" s="697"/>
      <c r="M524" s="697"/>
      <c r="N524" s="698"/>
      <c r="O524" s="698"/>
      <c r="P524" s="698"/>
      <c r="Q524" s="697"/>
      <c r="R524" s="698"/>
      <c r="S524" s="697"/>
      <c r="T524" s="697"/>
      <c r="U524" s="697"/>
      <c r="V524" s="697"/>
      <c r="W524" s="698"/>
      <c r="X524" s="698"/>
      <c r="Y524" s="697"/>
      <c r="Z524" s="697"/>
      <c r="AA524" s="697"/>
      <c r="AB524" s="697"/>
      <c r="AC524" s="697"/>
    </row>
    <row r="525" spans="1:29" x14ac:dyDescent="0.2">
      <c r="A525" s="694" t="str">
        <f>+Info!$B$2</f>
        <v>724</v>
      </c>
      <c r="B525" s="694" t="s">
        <v>5895</v>
      </c>
      <c r="C525" s="694" t="s">
        <v>5896</v>
      </c>
      <c r="D525" s="695" t="s">
        <v>5897</v>
      </c>
      <c r="E525" s="696"/>
      <c r="F525" s="697"/>
      <c r="G525" s="697"/>
      <c r="H525" s="698"/>
      <c r="I525" s="698"/>
      <c r="J525" s="697"/>
      <c r="K525" s="697"/>
      <c r="L525" s="697"/>
      <c r="M525" s="697"/>
      <c r="N525" s="698"/>
      <c r="O525" s="698"/>
      <c r="P525" s="698"/>
      <c r="Q525" s="697"/>
      <c r="R525" s="698"/>
      <c r="S525" s="697"/>
      <c r="T525" s="697"/>
      <c r="U525" s="697"/>
      <c r="V525" s="697"/>
      <c r="W525" s="698"/>
      <c r="X525" s="698"/>
      <c r="Y525" s="697"/>
      <c r="Z525" s="697"/>
      <c r="AA525" s="697"/>
      <c r="AB525" s="698"/>
      <c r="AC525" s="698"/>
    </row>
    <row r="526" spans="1:29" x14ac:dyDescent="0.2">
      <c r="A526" s="694" t="str">
        <f>+Info!$B$2</f>
        <v>724</v>
      </c>
      <c r="B526" s="694" t="s">
        <v>5898</v>
      </c>
      <c r="C526" s="694" t="s">
        <v>5899</v>
      </c>
      <c r="D526" s="695" t="s">
        <v>5900</v>
      </c>
      <c r="E526" s="696"/>
      <c r="F526" s="697"/>
      <c r="G526" s="697"/>
      <c r="H526" s="698"/>
      <c r="I526" s="698"/>
      <c r="J526" s="697"/>
      <c r="K526" s="697"/>
      <c r="L526" s="697"/>
      <c r="M526" s="697"/>
      <c r="N526" s="698"/>
      <c r="O526" s="698"/>
      <c r="P526" s="698"/>
      <c r="Q526" s="697"/>
      <c r="R526" s="698"/>
      <c r="S526" s="697"/>
      <c r="T526" s="697"/>
      <c r="U526" s="697"/>
      <c r="V526" s="697"/>
      <c r="W526" s="698"/>
      <c r="X526" s="698"/>
      <c r="Y526" s="697"/>
      <c r="Z526" s="697"/>
      <c r="AA526" s="697"/>
      <c r="AB526" s="698"/>
      <c r="AC526" s="698"/>
    </row>
    <row r="527" spans="1:29" x14ac:dyDescent="0.2">
      <c r="A527" s="694" t="str">
        <f>+Info!$B$2</f>
        <v>724</v>
      </c>
      <c r="B527" s="694" t="s">
        <v>5901</v>
      </c>
      <c r="C527" s="694" t="s">
        <v>5902</v>
      </c>
      <c r="D527" s="695" t="s">
        <v>5903</v>
      </c>
      <c r="E527" s="696"/>
      <c r="F527" s="697"/>
      <c r="G527" s="697"/>
      <c r="H527" s="698"/>
      <c r="I527" s="698"/>
      <c r="J527" s="697"/>
      <c r="K527" s="697"/>
      <c r="L527" s="697"/>
      <c r="M527" s="697"/>
      <c r="N527" s="698"/>
      <c r="O527" s="698"/>
      <c r="P527" s="698"/>
      <c r="Q527" s="697"/>
      <c r="R527" s="698"/>
      <c r="S527" s="697"/>
      <c r="T527" s="697"/>
      <c r="U527" s="697"/>
      <c r="V527" s="697"/>
      <c r="W527" s="698"/>
      <c r="X527" s="698"/>
      <c r="Y527" s="697"/>
      <c r="Z527" s="697"/>
      <c r="AA527" s="697"/>
      <c r="AB527" s="697"/>
      <c r="AC527" s="697"/>
    </row>
    <row r="528" spans="1:29" x14ac:dyDescent="0.2">
      <c r="A528" s="694" t="str">
        <f>+Info!$B$2</f>
        <v>724</v>
      </c>
      <c r="B528" s="694" t="s">
        <v>5904</v>
      </c>
      <c r="C528" s="694" t="s">
        <v>5905</v>
      </c>
      <c r="D528" s="695" t="s">
        <v>5906</v>
      </c>
      <c r="E528" s="696"/>
      <c r="F528" s="697"/>
      <c r="G528" s="697"/>
      <c r="H528" s="698"/>
      <c r="I528" s="698"/>
      <c r="J528" s="697"/>
      <c r="K528" s="697"/>
      <c r="L528" s="697"/>
      <c r="M528" s="697"/>
      <c r="N528" s="698"/>
      <c r="O528" s="698"/>
      <c r="P528" s="698"/>
      <c r="Q528" s="697"/>
      <c r="R528" s="698"/>
      <c r="S528" s="697"/>
      <c r="T528" s="697"/>
      <c r="U528" s="697"/>
      <c r="V528" s="697"/>
      <c r="W528" s="698"/>
      <c r="X528" s="698"/>
      <c r="Y528" s="697"/>
      <c r="Z528" s="697"/>
      <c r="AA528" s="697"/>
      <c r="AB528" s="697"/>
      <c r="AC528" s="697"/>
    </row>
    <row r="529" spans="1:29" x14ac:dyDescent="0.2">
      <c r="A529" s="694" t="str">
        <f>+Info!$B$2</f>
        <v>724</v>
      </c>
      <c r="B529" s="694" t="s">
        <v>5907</v>
      </c>
      <c r="C529" s="694" t="s">
        <v>5908</v>
      </c>
      <c r="D529" s="695" t="s">
        <v>5909</v>
      </c>
      <c r="E529" s="696"/>
      <c r="F529" s="697"/>
      <c r="G529" s="697"/>
      <c r="H529" s="698"/>
      <c r="I529" s="698"/>
      <c r="J529" s="697"/>
      <c r="K529" s="697"/>
      <c r="L529" s="697"/>
      <c r="M529" s="697"/>
      <c r="N529" s="698"/>
      <c r="O529" s="698"/>
      <c r="P529" s="698"/>
      <c r="Q529" s="697"/>
      <c r="R529" s="698"/>
      <c r="S529" s="697"/>
      <c r="T529" s="697"/>
      <c r="U529" s="697"/>
      <c r="V529" s="697"/>
      <c r="W529" s="698"/>
      <c r="X529" s="698"/>
      <c r="Y529" s="697"/>
      <c r="Z529" s="697"/>
      <c r="AA529" s="697"/>
      <c r="AB529" s="697"/>
      <c r="AC529" s="697"/>
    </row>
    <row r="530" spans="1:29" x14ac:dyDescent="0.2">
      <c r="A530" s="694" t="str">
        <f>+Info!$B$2</f>
        <v>724</v>
      </c>
      <c r="B530" s="694" t="s">
        <v>5910</v>
      </c>
      <c r="C530" s="694" t="s">
        <v>5911</v>
      </c>
      <c r="D530" s="695" t="s">
        <v>5912</v>
      </c>
      <c r="E530" s="696"/>
      <c r="F530" s="697"/>
      <c r="G530" s="697"/>
      <c r="H530" s="698"/>
      <c r="I530" s="698"/>
      <c r="J530" s="697"/>
      <c r="K530" s="697"/>
      <c r="L530" s="697"/>
      <c r="M530" s="697"/>
      <c r="N530" s="698"/>
      <c r="O530" s="698"/>
      <c r="P530" s="698"/>
      <c r="Q530" s="697"/>
      <c r="R530" s="698"/>
      <c r="S530" s="697"/>
      <c r="T530" s="697"/>
      <c r="U530" s="697"/>
      <c r="V530" s="697"/>
      <c r="W530" s="698"/>
      <c r="X530" s="698"/>
      <c r="Y530" s="697"/>
      <c r="Z530" s="697"/>
      <c r="AA530" s="697"/>
      <c r="AB530" s="697"/>
      <c r="AC530" s="697"/>
    </row>
    <row r="531" spans="1:29" x14ac:dyDescent="0.2">
      <c r="A531" s="694" t="str">
        <f>+Info!$B$2</f>
        <v>724</v>
      </c>
      <c r="B531" s="694" t="s">
        <v>5913</v>
      </c>
      <c r="C531" s="694" t="s">
        <v>5914</v>
      </c>
      <c r="D531" s="695" t="s">
        <v>5915</v>
      </c>
      <c r="E531" s="696"/>
      <c r="F531" s="697"/>
      <c r="G531" s="697"/>
      <c r="H531" s="698"/>
      <c r="I531" s="698"/>
      <c r="J531" s="697"/>
      <c r="K531" s="697"/>
      <c r="L531" s="697"/>
      <c r="M531" s="697"/>
      <c r="N531" s="698"/>
      <c r="O531" s="698"/>
      <c r="P531" s="698"/>
      <c r="Q531" s="697"/>
      <c r="R531" s="698"/>
      <c r="S531" s="697"/>
      <c r="T531" s="697"/>
      <c r="U531" s="697"/>
      <c r="V531" s="697"/>
      <c r="W531" s="698"/>
      <c r="X531" s="698"/>
      <c r="Y531" s="697"/>
      <c r="Z531" s="697"/>
      <c r="AA531" s="697"/>
      <c r="AB531" s="697"/>
      <c r="AC531" s="697"/>
    </row>
    <row r="532" spans="1:29" ht="25.5" x14ac:dyDescent="0.2">
      <c r="A532" s="694" t="str">
        <f>+Info!$B$2</f>
        <v>724</v>
      </c>
      <c r="B532" s="694" t="s">
        <v>5916</v>
      </c>
      <c r="C532" s="694" t="s">
        <v>5917</v>
      </c>
      <c r="D532" s="695" t="s">
        <v>5918</v>
      </c>
      <c r="E532" s="696"/>
      <c r="F532" s="697"/>
      <c r="G532" s="697"/>
      <c r="H532" s="698"/>
      <c r="I532" s="698"/>
      <c r="J532" s="697"/>
      <c r="K532" s="697"/>
      <c r="L532" s="697"/>
      <c r="M532" s="697"/>
      <c r="N532" s="698"/>
      <c r="O532" s="698"/>
      <c r="P532" s="698"/>
      <c r="Q532" s="697"/>
      <c r="R532" s="698"/>
      <c r="S532" s="697"/>
      <c r="T532" s="697"/>
      <c r="U532" s="697"/>
      <c r="V532" s="697"/>
      <c r="W532" s="698"/>
      <c r="X532" s="698"/>
      <c r="Y532" s="697"/>
      <c r="Z532" s="697"/>
      <c r="AA532" s="697"/>
      <c r="AB532" s="697"/>
      <c r="AC532" s="697"/>
    </row>
    <row r="533" spans="1:29" x14ac:dyDescent="0.2">
      <c r="A533" s="694" t="str">
        <f>+Info!$B$2</f>
        <v>724</v>
      </c>
      <c r="B533" s="694" t="s">
        <v>5919</v>
      </c>
      <c r="C533" s="694" t="s">
        <v>5920</v>
      </c>
      <c r="D533" s="695" t="s">
        <v>5921</v>
      </c>
      <c r="E533" s="696"/>
      <c r="F533" s="697"/>
      <c r="G533" s="697"/>
      <c r="H533" s="698"/>
      <c r="I533" s="698"/>
      <c r="J533" s="697"/>
      <c r="K533" s="697"/>
      <c r="L533" s="697"/>
      <c r="M533" s="697"/>
      <c r="N533" s="698"/>
      <c r="O533" s="698"/>
      <c r="P533" s="698"/>
      <c r="Q533" s="697"/>
      <c r="R533" s="698"/>
      <c r="S533" s="697"/>
      <c r="T533" s="697"/>
      <c r="U533" s="697"/>
      <c r="V533" s="697"/>
      <c r="W533" s="698"/>
      <c r="X533" s="698"/>
      <c r="Y533" s="697"/>
      <c r="Z533" s="697"/>
      <c r="AA533" s="697"/>
      <c r="AB533" s="697"/>
      <c r="AC533" s="697"/>
    </row>
    <row r="534" spans="1:29" x14ac:dyDescent="0.2">
      <c r="A534" s="694" t="str">
        <f>+Info!$B$2</f>
        <v>724</v>
      </c>
      <c r="B534" s="694" t="s">
        <v>5922</v>
      </c>
      <c r="C534" s="694" t="s">
        <v>5923</v>
      </c>
      <c r="D534" s="695" t="s">
        <v>5924</v>
      </c>
      <c r="E534" s="696"/>
      <c r="F534" s="697"/>
      <c r="G534" s="697"/>
      <c r="H534" s="698"/>
      <c r="I534" s="698"/>
      <c r="J534" s="697"/>
      <c r="K534" s="697"/>
      <c r="L534" s="697"/>
      <c r="M534" s="697"/>
      <c r="N534" s="698"/>
      <c r="O534" s="698"/>
      <c r="P534" s="698"/>
      <c r="Q534" s="697"/>
      <c r="R534" s="698"/>
      <c r="S534" s="697"/>
      <c r="T534" s="697"/>
      <c r="U534" s="697"/>
      <c r="V534" s="697"/>
      <c r="W534" s="698"/>
      <c r="X534" s="698"/>
      <c r="Y534" s="697"/>
      <c r="Z534" s="697"/>
      <c r="AA534" s="697"/>
      <c r="AB534" s="697"/>
      <c r="AC534" s="697"/>
    </row>
    <row r="535" spans="1:29" x14ac:dyDescent="0.2">
      <c r="A535" s="694" t="str">
        <f>+Info!$B$2</f>
        <v>724</v>
      </c>
      <c r="B535" s="694" t="s">
        <v>5925</v>
      </c>
      <c r="C535" s="694" t="s">
        <v>5926</v>
      </c>
      <c r="D535" s="695" t="s">
        <v>5927</v>
      </c>
      <c r="E535" s="696"/>
      <c r="F535" s="697"/>
      <c r="G535" s="697"/>
      <c r="H535" s="698"/>
      <c r="I535" s="698"/>
      <c r="J535" s="697"/>
      <c r="K535" s="697"/>
      <c r="L535" s="697"/>
      <c r="M535" s="697"/>
      <c r="N535" s="698"/>
      <c r="O535" s="698"/>
      <c r="P535" s="698"/>
      <c r="Q535" s="697"/>
      <c r="R535" s="698"/>
      <c r="S535" s="697"/>
      <c r="T535" s="697"/>
      <c r="U535" s="697"/>
      <c r="V535" s="697"/>
      <c r="W535" s="698"/>
      <c r="X535" s="698"/>
      <c r="Y535" s="697"/>
      <c r="Z535" s="697"/>
      <c r="AA535" s="697"/>
      <c r="AB535" s="697"/>
      <c r="AC535" s="697"/>
    </row>
    <row r="536" spans="1:29" x14ac:dyDescent="0.2">
      <c r="A536" s="694" t="str">
        <f>+Info!$B$2</f>
        <v>724</v>
      </c>
      <c r="B536" s="694" t="s">
        <v>5928</v>
      </c>
      <c r="C536" s="694" t="s">
        <v>5929</v>
      </c>
      <c r="D536" s="695" t="s">
        <v>5930</v>
      </c>
      <c r="E536" s="696"/>
      <c r="F536" s="697"/>
      <c r="G536" s="697"/>
      <c r="H536" s="698"/>
      <c r="I536" s="698"/>
      <c r="J536" s="697"/>
      <c r="K536" s="697"/>
      <c r="L536" s="697"/>
      <c r="M536" s="697"/>
      <c r="N536" s="698"/>
      <c r="O536" s="698"/>
      <c r="P536" s="698"/>
      <c r="Q536" s="697"/>
      <c r="R536" s="698"/>
      <c r="S536" s="697"/>
      <c r="T536" s="697"/>
      <c r="U536" s="697"/>
      <c r="V536" s="697"/>
      <c r="W536" s="698"/>
      <c r="X536" s="698"/>
      <c r="Y536" s="697"/>
      <c r="Z536" s="697"/>
      <c r="AA536" s="697"/>
      <c r="AB536" s="697"/>
      <c r="AC536" s="697"/>
    </row>
    <row r="537" spans="1:29" x14ac:dyDescent="0.2">
      <c r="A537" s="694" t="str">
        <f>+Info!$B$2</f>
        <v>724</v>
      </c>
      <c r="B537" s="694" t="s">
        <v>5931</v>
      </c>
      <c r="C537" s="694" t="s">
        <v>5932</v>
      </c>
      <c r="D537" s="695" t="s">
        <v>5933</v>
      </c>
      <c r="E537" s="696"/>
      <c r="F537" s="697"/>
      <c r="G537" s="697"/>
      <c r="H537" s="698"/>
      <c r="I537" s="698"/>
      <c r="J537" s="697"/>
      <c r="K537" s="697"/>
      <c r="L537" s="697"/>
      <c r="M537" s="697"/>
      <c r="N537" s="698"/>
      <c r="O537" s="698"/>
      <c r="P537" s="698"/>
      <c r="Q537" s="697"/>
      <c r="R537" s="698"/>
      <c r="S537" s="697"/>
      <c r="T537" s="697"/>
      <c r="U537" s="697"/>
      <c r="V537" s="697"/>
      <c r="W537" s="698"/>
      <c r="X537" s="698"/>
      <c r="Y537" s="697"/>
      <c r="Z537" s="697"/>
      <c r="AA537" s="697"/>
      <c r="AB537" s="698"/>
      <c r="AC537" s="698"/>
    </row>
    <row r="538" spans="1:29" x14ac:dyDescent="0.2">
      <c r="A538" s="694" t="str">
        <f>+Info!$B$2</f>
        <v>724</v>
      </c>
      <c r="B538" s="694" t="s">
        <v>5934</v>
      </c>
      <c r="C538" s="694" t="s">
        <v>5935</v>
      </c>
      <c r="D538" s="695" t="s">
        <v>5936</v>
      </c>
      <c r="E538" s="696"/>
      <c r="F538" s="697"/>
      <c r="G538" s="697"/>
      <c r="H538" s="698"/>
      <c r="I538" s="698"/>
      <c r="J538" s="697"/>
      <c r="K538" s="697"/>
      <c r="L538" s="697"/>
      <c r="M538" s="697"/>
      <c r="N538" s="698"/>
      <c r="O538" s="698"/>
      <c r="P538" s="698"/>
      <c r="Q538" s="697"/>
      <c r="R538" s="698"/>
      <c r="S538" s="697"/>
      <c r="T538" s="697"/>
      <c r="U538" s="697"/>
      <c r="V538" s="697"/>
      <c r="W538" s="698"/>
      <c r="X538" s="698"/>
      <c r="Y538" s="697"/>
      <c r="Z538" s="697"/>
      <c r="AA538" s="697"/>
      <c r="AB538" s="698"/>
      <c r="AC538" s="698"/>
    </row>
    <row r="539" spans="1:29" x14ac:dyDescent="0.2">
      <c r="A539" s="694" t="str">
        <f>+Info!$B$2</f>
        <v>724</v>
      </c>
      <c r="B539" s="694" t="s">
        <v>5937</v>
      </c>
      <c r="C539" s="694" t="s">
        <v>5938</v>
      </c>
      <c r="D539" s="695" t="s">
        <v>5939</v>
      </c>
      <c r="E539" s="696"/>
      <c r="F539" s="697"/>
      <c r="G539" s="697"/>
      <c r="H539" s="698"/>
      <c r="I539" s="698"/>
      <c r="J539" s="697"/>
      <c r="K539" s="697"/>
      <c r="L539" s="697"/>
      <c r="M539" s="697"/>
      <c r="N539" s="698"/>
      <c r="O539" s="698"/>
      <c r="P539" s="698"/>
      <c r="Q539" s="697"/>
      <c r="R539" s="698"/>
      <c r="S539" s="697"/>
      <c r="T539" s="697"/>
      <c r="U539" s="697"/>
      <c r="V539" s="697"/>
      <c r="W539" s="698"/>
      <c r="X539" s="698"/>
      <c r="Y539" s="697"/>
      <c r="Z539" s="697"/>
      <c r="AA539" s="697"/>
      <c r="AB539" s="697"/>
      <c r="AC539" s="697"/>
    </row>
    <row r="540" spans="1:29" x14ac:dyDescent="0.2">
      <c r="A540" s="694" t="str">
        <f>+Info!$B$2</f>
        <v>724</v>
      </c>
      <c r="B540" s="694" t="s">
        <v>5940</v>
      </c>
      <c r="C540" s="694" t="s">
        <v>5941</v>
      </c>
      <c r="D540" s="695" t="s">
        <v>5942</v>
      </c>
      <c r="E540" s="696"/>
      <c r="F540" s="697"/>
      <c r="G540" s="697"/>
      <c r="H540" s="698"/>
      <c r="I540" s="698"/>
      <c r="J540" s="697"/>
      <c r="K540" s="697"/>
      <c r="L540" s="697"/>
      <c r="M540" s="697"/>
      <c r="N540" s="698"/>
      <c r="O540" s="698"/>
      <c r="P540" s="698"/>
      <c r="Q540" s="697"/>
      <c r="R540" s="698"/>
      <c r="S540" s="697"/>
      <c r="T540" s="697"/>
      <c r="U540" s="697"/>
      <c r="V540" s="697"/>
      <c r="W540" s="698"/>
      <c r="X540" s="698"/>
      <c r="Y540" s="697"/>
      <c r="Z540" s="697"/>
      <c r="AA540" s="697"/>
      <c r="AB540" s="697"/>
      <c r="AC540" s="697"/>
    </row>
    <row r="541" spans="1:29" x14ac:dyDescent="0.2">
      <c r="A541" s="694" t="str">
        <f>+Info!$B$2</f>
        <v>724</v>
      </c>
      <c r="B541" s="694" t="s">
        <v>5943</v>
      </c>
      <c r="C541" s="694" t="s">
        <v>5944</v>
      </c>
      <c r="D541" s="695" t="s">
        <v>5945</v>
      </c>
      <c r="E541" s="696"/>
      <c r="F541" s="697"/>
      <c r="G541" s="697"/>
      <c r="H541" s="698"/>
      <c r="I541" s="698"/>
      <c r="J541" s="697"/>
      <c r="K541" s="697"/>
      <c r="L541" s="697"/>
      <c r="M541" s="697"/>
      <c r="N541" s="698"/>
      <c r="O541" s="698"/>
      <c r="P541" s="698"/>
      <c r="Q541" s="697"/>
      <c r="R541" s="698"/>
      <c r="S541" s="697"/>
      <c r="T541" s="697"/>
      <c r="U541" s="697"/>
      <c r="V541" s="697"/>
      <c r="W541" s="698"/>
      <c r="X541" s="698"/>
      <c r="Y541" s="697"/>
      <c r="Z541" s="697"/>
      <c r="AA541" s="697"/>
      <c r="AB541" s="697"/>
      <c r="AC541" s="697"/>
    </row>
    <row r="542" spans="1:29" x14ac:dyDescent="0.2">
      <c r="A542" s="694" t="str">
        <f>+Info!$B$2</f>
        <v>724</v>
      </c>
      <c r="B542" s="694" t="s">
        <v>5946</v>
      </c>
      <c r="C542" s="694" t="s">
        <v>5947</v>
      </c>
      <c r="D542" s="695" t="s">
        <v>5948</v>
      </c>
      <c r="E542" s="696"/>
      <c r="F542" s="697"/>
      <c r="G542" s="697"/>
      <c r="H542" s="698"/>
      <c r="I542" s="698"/>
      <c r="J542" s="697"/>
      <c r="K542" s="697"/>
      <c r="L542" s="697"/>
      <c r="M542" s="697"/>
      <c r="N542" s="698"/>
      <c r="O542" s="698"/>
      <c r="P542" s="698"/>
      <c r="Q542" s="697"/>
      <c r="R542" s="698"/>
      <c r="S542" s="697"/>
      <c r="T542" s="697"/>
      <c r="U542" s="697"/>
      <c r="V542" s="697"/>
      <c r="W542" s="698"/>
      <c r="X542" s="698"/>
      <c r="Y542" s="697"/>
      <c r="Z542" s="697"/>
      <c r="AA542" s="697"/>
      <c r="AB542" s="697"/>
      <c r="AC542" s="697"/>
    </row>
    <row r="543" spans="1:29" x14ac:dyDescent="0.2">
      <c r="A543" s="694" t="str">
        <f>+Info!$B$2</f>
        <v>724</v>
      </c>
      <c r="B543" s="694" t="s">
        <v>5949</v>
      </c>
      <c r="C543" s="694" t="s">
        <v>5950</v>
      </c>
      <c r="D543" s="695" t="s">
        <v>5951</v>
      </c>
      <c r="E543" s="696"/>
      <c r="F543" s="697"/>
      <c r="G543" s="697"/>
      <c r="H543" s="698"/>
      <c r="I543" s="698"/>
      <c r="J543" s="697"/>
      <c r="K543" s="697"/>
      <c r="L543" s="697"/>
      <c r="M543" s="697"/>
      <c r="N543" s="698"/>
      <c r="O543" s="698"/>
      <c r="P543" s="698"/>
      <c r="Q543" s="697"/>
      <c r="R543" s="698"/>
      <c r="S543" s="697"/>
      <c r="T543" s="697"/>
      <c r="U543" s="697"/>
      <c r="V543" s="697"/>
      <c r="W543" s="698"/>
      <c r="X543" s="698"/>
      <c r="Y543" s="697"/>
      <c r="Z543" s="697"/>
      <c r="AA543" s="697"/>
      <c r="AB543" s="697"/>
      <c r="AC543" s="697"/>
    </row>
    <row r="544" spans="1:29" ht="25.5" x14ac:dyDescent="0.2">
      <c r="A544" s="694" t="str">
        <f>+Info!$B$2</f>
        <v>724</v>
      </c>
      <c r="B544" s="694" t="s">
        <v>5952</v>
      </c>
      <c r="C544" s="694" t="s">
        <v>5953</v>
      </c>
      <c r="D544" s="695" t="s">
        <v>5954</v>
      </c>
      <c r="E544" s="696"/>
      <c r="F544" s="697"/>
      <c r="G544" s="697"/>
      <c r="H544" s="698"/>
      <c r="I544" s="698"/>
      <c r="J544" s="697"/>
      <c r="K544" s="697"/>
      <c r="L544" s="697"/>
      <c r="M544" s="697"/>
      <c r="N544" s="698"/>
      <c r="O544" s="698"/>
      <c r="P544" s="698"/>
      <c r="Q544" s="697"/>
      <c r="R544" s="698"/>
      <c r="S544" s="697"/>
      <c r="T544" s="697"/>
      <c r="U544" s="697"/>
      <c r="V544" s="697"/>
      <c r="W544" s="698"/>
      <c r="X544" s="698"/>
      <c r="Y544" s="697"/>
      <c r="Z544" s="697"/>
      <c r="AA544" s="697"/>
      <c r="AB544" s="697"/>
      <c r="AC544" s="697"/>
    </row>
    <row r="545" spans="1:29" x14ac:dyDescent="0.2">
      <c r="A545" s="694" t="str">
        <f>+Info!$B$2</f>
        <v>724</v>
      </c>
      <c r="B545" s="694" t="s">
        <v>5955</v>
      </c>
      <c r="C545" s="694" t="s">
        <v>5956</v>
      </c>
      <c r="D545" s="695" t="s">
        <v>5957</v>
      </c>
      <c r="E545" s="696"/>
      <c r="F545" s="697"/>
      <c r="G545" s="697"/>
      <c r="H545" s="698"/>
      <c r="I545" s="698"/>
      <c r="J545" s="697"/>
      <c r="K545" s="697"/>
      <c r="L545" s="697"/>
      <c r="M545" s="697"/>
      <c r="N545" s="698"/>
      <c r="O545" s="698"/>
      <c r="P545" s="698"/>
      <c r="Q545" s="697"/>
      <c r="R545" s="698"/>
      <c r="S545" s="697"/>
      <c r="T545" s="697"/>
      <c r="U545" s="697"/>
      <c r="V545" s="697"/>
      <c r="W545" s="698"/>
      <c r="X545" s="698"/>
      <c r="Y545" s="697"/>
      <c r="Z545" s="697"/>
      <c r="AA545" s="697"/>
      <c r="AB545" s="697"/>
      <c r="AC545" s="697"/>
    </row>
    <row r="546" spans="1:29" x14ac:dyDescent="0.2">
      <c r="A546" s="694" t="str">
        <f>+Info!$B$2</f>
        <v>724</v>
      </c>
      <c r="B546" s="694" t="s">
        <v>5958</v>
      </c>
      <c r="C546" s="694" t="s">
        <v>5959</v>
      </c>
      <c r="D546" s="695" t="s">
        <v>5960</v>
      </c>
      <c r="E546" s="696"/>
      <c r="F546" s="697"/>
      <c r="G546" s="697"/>
      <c r="H546" s="698"/>
      <c r="I546" s="698"/>
      <c r="J546" s="697"/>
      <c r="K546" s="697"/>
      <c r="L546" s="697"/>
      <c r="M546" s="697"/>
      <c r="N546" s="698"/>
      <c r="O546" s="698"/>
      <c r="P546" s="698"/>
      <c r="Q546" s="697"/>
      <c r="R546" s="698"/>
      <c r="S546" s="697"/>
      <c r="T546" s="697"/>
      <c r="U546" s="697"/>
      <c r="V546" s="697"/>
      <c r="W546" s="698"/>
      <c r="X546" s="698"/>
      <c r="Y546" s="697"/>
      <c r="Z546" s="697"/>
      <c r="AA546" s="697"/>
      <c r="AB546" s="697"/>
      <c r="AC546" s="697"/>
    </row>
    <row r="547" spans="1:29" x14ac:dyDescent="0.2">
      <c r="A547" s="694" t="str">
        <f>+Info!$B$2</f>
        <v>724</v>
      </c>
      <c r="B547" s="694" t="s">
        <v>5961</v>
      </c>
      <c r="C547" s="694" t="s">
        <v>5962</v>
      </c>
      <c r="D547" s="695" t="s">
        <v>5963</v>
      </c>
      <c r="E547" s="696"/>
      <c r="F547" s="697"/>
      <c r="G547" s="697"/>
      <c r="H547" s="698"/>
      <c r="I547" s="698"/>
      <c r="J547" s="697"/>
      <c r="K547" s="697"/>
      <c r="L547" s="697"/>
      <c r="M547" s="697"/>
      <c r="N547" s="698"/>
      <c r="O547" s="698"/>
      <c r="P547" s="698"/>
      <c r="Q547" s="697"/>
      <c r="R547" s="698"/>
      <c r="S547" s="697"/>
      <c r="T547" s="697"/>
      <c r="U547" s="697"/>
      <c r="V547" s="697"/>
      <c r="W547" s="698"/>
      <c r="X547" s="698"/>
      <c r="Y547" s="697"/>
      <c r="Z547" s="697"/>
      <c r="AA547" s="697"/>
      <c r="AB547" s="697"/>
      <c r="AC547" s="697"/>
    </row>
    <row r="548" spans="1:29" x14ac:dyDescent="0.2">
      <c r="A548" s="694" t="str">
        <f>+Info!$B$2</f>
        <v>724</v>
      </c>
      <c r="B548" s="694" t="s">
        <v>5964</v>
      </c>
      <c r="C548" s="694" t="s">
        <v>5965</v>
      </c>
      <c r="D548" s="695" t="s">
        <v>5966</v>
      </c>
      <c r="E548" s="696"/>
      <c r="F548" s="697"/>
      <c r="G548" s="697"/>
      <c r="H548" s="698"/>
      <c r="I548" s="698"/>
      <c r="J548" s="697"/>
      <c r="K548" s="697"/>
      <c r="L548" s="697"/>
      <c r="M548" s="697"/>
      <c r="N548" s="698"/>
      <c r="O548" s="698"/>
      <c r="P548" s="698"/>
      <c r="Q548" s="697"/>
      <c r="R548" s="698"/>
      <c r="S548" s="697"/>
      <c r="T548" s="697"/>
      <c r="U548" s="697"/>
      <c r="V548" s="697"/>
      <c r="W548" s="698"/>
      <c r="X548" s="698"/>
      <c r="Y548" s="697"/>
      <c r="Z548" s="697"/>
      <c r="AA548" s="697"/>
      <c r="AB548" s="697"/>
      <c r="AC548" s="697"/>
    </row>
    <row r="549" spans="1:29" x14ac:dyDescent="0.2">
      <c r="A549" s="694" t="str">
        <f>+Info!$B$2</f>
        <v>724</v>
      </c>
      <c r="B549" s="694" t="s">
        <v>5967</v>
      </c>
      <c r="C549" s="694" t="s">
        <v>5968</v>
      </c>
      <c r="D549" s="695" t="s">
        <v>5969</v>
      </c>
      <c r="E549" s="696"/>
      <c r="F549" s="697"/>
      <c r="G549" s="697"/>
      <c r="H549" s="698"/>
      <c r="I549" s="698"/>
      <c r="J549" s="697"/>
      <c r="K549" s="697"/>
      <c r="L549" s="697"/>
      <c r="M549" s="697"/>
      <c r="N549" s="698"/>
      <c r="O549" s="698"/>
      <c r="P549" s="698"/>
      <c r="Q549" s="697"/>
      <c r="R549" s="698"/>
      <c r="S549" s="697"/>
      <c r="T549" s="697"/>
      <c r="U549" s="697"/>
      <c r="V549" s="697"/>
      <c r="W549" s="698"/>
      <c r="X549" s="698"/>
      <c r="Y549" s="697"/>
      <c r="Z549" s="697"/>
      <c r="AA549" s="697"/>
      <c r="AB549" s="698"/>
      <c r="AC549" s="698"/>
    </row>
    <row r="550" spans="1:29" x14ac:dyDescent="0.2">
      <c r="A550" s="694" t="str">
        <f>+Info!$B$2</f>
        <v>724</v>
      </c>
      <c r="B550" s="694" t="s">
        <v>5970</v>
      </c>
      <c r="C550" s="694" t="s">
        <v>5971</v>
      </c>
      <c r="D550" s="695" t="s">
        <v>5972</v>
      </c>
      <c r="E550" s="696"/>
      <c r="F550" s="697"/>
      <c r="G550" s="697"/>
      <c r="H550" s="698"/>
      <c r="I550" s="698"/>
      <c r="J550" s="697"/>
      <c r="K550" s="697"/>
      <c r="L550" s="697"/>
      <c r="M550" s="697"/>
      <c r="N550" s="698"/>
      <c r="O550" s="698"/>
      <c r="P550" s="698"/>
      <c r="Q550" s="697"/>
      <c r="R550" s="698"/>
      <c r="S550" s="697"/>
      <c r="T550" s="697"/>
      <c r="U550" s="697"/>
      <c r="V550" s="697"/>
      <c r="W550" s="698"/>
      <c r="X550" s="698"/>
      <c r="Y550" s="697"/>
      <c r="Z550" s="697"/>
      <c r="AA550" s="697"/>
      <c r="AB550" s="698"/>
      <c r="AC550" s="698"/>
    </row>
    <row r="551" spans="1:29" x14ac:dyDescent="0.2">
      <c r="A551" s="694" t="str">
        <f>+Info!$B$2</f>
        <v>724</v>
      </c>
      <c r="B551" s="694" t="s">
        <v>5973</v>
      </c>
      <c r="C551" s="694" t="s">
        <v>5974</v>
      </c>
      <c r="D551" s="695" t="s">
        <v>5975</v>
      </c>
      <c r="E551" s="696"/>
      <c r="F551" s="697"/>
      <c r="G551" s="697"/>
      <c r="H551" s="698"/>
      <c r="I551" s="698"/>
      <c r="J551" s="697"/>
      <c r="K551" s="697"/>
      <c r="L551" s="697"/>
      <c r="M551" s="697"/>
      <c r="N551" s="698"/>
      <c r="O551" s="698"/>
      <c r="P551" s="698"/>
      <c r="Q551" s="697"/>
      <c r="R551" s="698"/>
      <c r="S551" s="697"/>
      <c r="T551" s="697"/>
      <c r="U551" s="697"/>
      <c r="V551" s="697"/>
      <c r="W551" s="698"/>
      <c r="X551" s="698"/>
      <c r="Y551" s="697"/>
      <c r="Z551" s="697"/>
      <c r="AA551" s="697"/>
      <c r="AB551" s="697"/>
      <c r="AC551" s="697"/>
    </row>
    <row r="552" spans="1:29" x14ac:dyDescent="0.2">
      <c r="A552" s="694" t="str">
        <f>+Info!$B$2</f>
        <v>724</v>
      </c>
      <c r="B552" s="694" t="s">
        <v>5976</v>
      </c>
      <c r="C552" s="694" t="s">
        <v>5977</v>
      </c>
      <c r="D552" s="695" t="s">
        <v>5978</v>
      </c>
      <c r="E552" s="696"/>
      <c r="F552" s="697"/>
      <c r="G552" s="697"/>
      <c r="H552" s="698"/>
      <c r="I552" s="698"/>
      <c r="J552" s="697"/>
      <c r="K552" s="697"/>
      <c r="L552" s="697"/>
      <c r="M552" s="697"/>
      <c r="N552" s="698"/>
      <c r="O552" s="698"/>
      <c r="P552" s="698"/>
      <c r="Q552" s="697"/>
      <c r="R552" s="697"/>
      <c r="S552" s="698"/>
      <c r="T552" s="697"/>
      <c r="U552" s="697"/>
      <c r="V552" s="697"/>
      <c r="W552" s="698"/>
      <c r="X552" s="698"/>
      <c r="Y552" s="697"/>
      <c r="Z552" s="697"/>
      <c r="AA552" s="697"/>
      <c r="AB552" s="697"/>
      <c r="AC552" s="697"/>
    </row>
    <row r="553" spans="1:29" x14ac:dyDescent="0.2">
      <c r="A553" s="694" t="str">
        <f>+Info!$B$2</f>
        <v>724</v>
      </c>
      <c r="B553" s="694" t="s">
        <v>5979</v>
      </c>
      <c r="C553" s="694" t="s">
        <v>5980</v>
      </c>
      <c r="D553" s="695" t="s">
        <v>5981</v>
      </c>
      <c r="E553" s="696"/>
      <c r="F553" s="697"/>
      <c r="G553" s="697"/>
      <c r="H553" s="698"/>
      <c r="I553" s="698"/>
      <c r="J553" s="697"/>
      <c r="K553" s="697"/>
      <c r="L553" s="697"/>
      <c r="M553" s="697"/>
      <c r="N553" s="698"/>
      <c r="O553" s="698"/>
      <c r="P553" s="698"/>
      <c r="Q553" s="697"/>
      <c r="R553" s="697"/>
      <c r="S553" s="698"/>
      <c r="T553" s="697"/>
      <c r="U553" s="697"/>
      <c r="V553" s="697"/>
      <c r="W553" s="698"/>
      <c r="X553" s="698"/>
      <c r="Y553" s="697"/>
      <c r="Z553" s="697"/>
      <c r="AA553" s="697"/>
      <c r="AB553" s="697"/>
      <c r="AC553" s="697"/>
    </row>
    <row r="554" spans="1:29" x14ac:dyDescent="0.2">
      <c r="A554" s="694" t="str">
        <f>+Info!$B$2</f>
        <v>724</v>
      </c>
      <c r="B554" s="694" t="s">
        <v>5982</v>
      </c>
      <c r="C554" s="694" t="s">
        <v>5983</v>
      </c>
      <c r="D554" s="695" t="s">
        <v>5984</v>
      </c>
      <c r="E554" s="696"/>
      <c r="F554" s="697"/>
      <c r="G554" s="697"/>
      <c r="H554" s="698"/>
      <c r="I554" s="698"/>
      <c r="J554" s="697"/>
      <c r="K554" s="697"/>
      <c r="L554" s="697"/>
      <c r="M554" s="697"/>
      <c r="N554" s="698"/>
      <c r="O554" s="698"/>
      <c r="P554" s="698"/>
      <c r="Q554" s="697"/>
      <c r="R554" s="697"/>
      <c r="S554" s="698"/>
      <c r="T554" s="697"/>
      <c r="U554" s="697"/>
      <c r="V554" s="697"/>
      <c r="W554" s="698"/>
      <c r="X554" s="698"/>
      <c r="Y554" s="697"/>
      <c r="Z554" s="697"/>
      <c r="AA554" s="697"/>
      <c r="AB554" s="697"/>
      <c r="AC554" s="697"/>
    </row>
    <row r="555" spans="1:29" x14ac:dyDescent="0.2">
      <c r="A555" s="694" t="str">
        <f>+Info!$B$2</f>
        <v>724</v>
      </c>
      <c r="B555" s="694" t="s">
        <v>5985</v>
      </c>
      <c r="C555" s="694" t="s">
        <v>5986</v>
      </c>
      <c r="D555" s="695" t="s">
        <v>5987</v>
      </c>
      <c r="E555" s="696"/>
      <c r="F555" s="697"/>
      <c r="G555" s="697"/>
      <c r="H555" s="698"/>
      <c r="I555" s="698"/>
      <c r="J555" s="697"/>
      <c r="K555" s="697"/>
      <c r="L555" s="697"/>
      <c r="M555" s="697"/>
      <c r="N555" s="698"/>
      <c r="O555" s="698"/>
      <c r="P555" s="698"/>
      <c r="Q555" s="697"/>
      <c r="R555" s="697"/>
      <c r="S555" s="698"/>
      <c r="T555" s="697"/>
      <c r="U555" s="697"/>
      <c r="V555" s="697"/>
      <c r="W555" s="698"/>
      <c r="X555" s="698"/>
      <c r="Y555" s="697"/>
      <c r="Z555" s="697"/>
      <c r="AA555" s="697"/>
      <c r="AB555" s="697"/>
      <c r="AC555" s="697"/>
    </row>
    <row r="556" spans="1:29" ht="25.5" x14ac:dyDescent="0.2">
      <c r="A556" s="694" t="str">
        <f>+Info!$B$2</f>
        <v>724</v>
      </c>
      <c r="B556" s="694" t="s">
        <v>5988</v>
      </c>
      <c r="C556" s="694" t="s">
        <v>5989</v>
      </c>
      <c r="D556" s="695" t="s">
        <v>5990</v>
      </c>
      <c r="E556" s="696"/>
      <c r="F556" s="697"/>
      <c r="G556" s="697"/>
      <c r="H556" s="698"/>
      <c r="I556" s="698"/>
      <c r="J556" s="697"/>
      <c r="K556" s="697"/>
      <c r="L556" s="697"/>
      <c r="M556" s="697"/>
      <c r="N556" s="698"/>
      <c r="O556" s="698"/>
      <c r="P556" s="698"/>
      <c r="Q556" s="697"/>
      <c r="R556" s="697"/>
      <c r="S556" s="698"/>
      <c r="T556" s="697"/>
      <c r="U556" s="697"/>
      <c r="V556" s="697"/>
      <c r="W556" s="698"/>
      <c r="X556" s="698"/>
      <c r="Y556" s="697"/>
      <c r="Z556" s="697"/>
      <c r="AA556" s="697"/>
      <c r="AB556" s="697"/>
      <c r="AC556" s="697"/>
    </row>
    <row r="557" spans="1:29" x14ac:dyDescent="0.2">
      <c r="A557" s="694" t="str">
        <f>+Info!$B$2</f>
        <v>724</v>
      </c>
      <c r="B557" s="694" t="s">
        <v>5991</v>
      </c>
      <c r="C557" s="694" t="s">
        <v>5992</v>
      </c>
      <c r="D557" s="695" t="s">
        <v>5993</v>
      </c>
      <c r="E557" s="696"/>
      <c r="F557" s="697"/>
      <c r="G557" s="697"/>
      <c r="H557" s="698"/>
      <c r="I557" s="698"/>
      <c r="J557" s="697"/>
      <c r="K557" s="697"/>
      <c r="L557" s="697"/>
      <c r="M557" s="697"/>
      <c r="N557" s="698"/>
      <c r="O557" s="698"/>
      <c r="P557" s="698"/>
      <c r="Q557" s="697"/>
      <c r="R557" s="697"/>
      <c r="S557" s="698"/>
      <c r="T557" s="697"/>
      <c r="U557" s="697"/>
      <c r="V557" s="697"/>
      <c r="W557" s="698"/>
      <c r="X557" s="698"/>
      <c r="Y557" s="697"/>
      <c r="Z557" s="697"/>
      <c r="AA557" s="697"/>
      <c r="AB557" s="697"/>
      <c r="AC557" s="697"/>
    </row>
    <row r="558" spans="1:29" x14ac:dyDescent="0.2">
      <c r="A558" s="694" t="str">
        <f>+Info!$B$2</f>
        <v>724</v>
      </c>
      <c r="B558" s="694" t="s">
        <v>5994</v>
      </c>
      <c r="C558" s="694" t="s">
        <v>5995</v>
      </c>
      <c r="D558" s="695" t="s">
        <v>5996</v>
      </c>
      <c r="E558" s="696"/>
      <c r="F558" s="697"/>
      <c r="G558" s="697"/>
      <c r="H558" s="698"/>
      <c r="I558" s="698"/>
      <c r="J558" s="697"/>
      <c r="K558" s="697"/>
      <c r="L558" s="697"/>
      <c r="M558" s="697"/>
      <c r="N558" s="698"/>
      <c r="O558" s="698"/>
      <c r="P558" s="698"/>
      <c r="Q558" s="697"/>
      <c r="R558" s="697"/>
      <c r="S558" s="698"/>
      <c r="T558" s="697"/>
      <c r="U558" s="697"/>
      <c r="V558" s="697"/>
      <c r="W558" s="698"/>
      <c r="X558" s="698"/>
      <c r="Y558" s="697"/>
      <c r="Z558" s="697"/>
      <c r="AA558" s="697"/>
      <c r="AB558" s="697"/>
      <c r="AC558" s="697"/>
    </row>
    <row r="559" spans="1:29" x14ac:dyDescent="0.2">
      <c r="A559" s="694" t="str">
        <f>+Info!$B$2</f>
        <v>724</v>
      </c>
      <c r="B559" s="694" t="s">
        <v>5997</v>
      </c>
      <c r="C559" s="694" t="s">
        <v>5998</v>
      </c>
      <c r="D559" s="695" t="s">
        <v>5999</v>
      </c>
      <c r="E559" s="696"/>
      <c r="F559" s="697"/>
      <c r="G559" s="697"/>
      <c r="H559" s="698"/>
      <c r="I559" s="698"/>
      <c r="J559" s="697"/>
      <c r="K559" s="697"/>
      <c r="L559" s="697"/>
      <c r="M559" s="697"/>
      <c r="N559" s="698"/>
      <c r="O559" s="698"/>
      <c r="P559" s="698"/>
      <c r="Q559" s="697"/>
      <c r="R559" s="697"/>
      <c r="S559" s="698"/>
      <c r="T559" s="697"/>
      <c r="U559" s="697"/>
      <c r="V559" s="697"/>
      <c r="W559" s="698"/>
      <c r="X559" s="698"/>
      <c r="Y559" s="697"/>
      <c r="Z559" s="697"/>
      <c r="AA559" s="697"/>
      <c r="AB559" s="697"/>
      <c r="AC559" s="697"/>
    </row>
    <row r="560" spans="1:29" x14ac:dyDescent="0.2">
      <c r="A560" s="694" t="str">
        <f>+Info!$B$2</f>
        <v>724</v>
      </c>
      <c r="B560" s="694" t="s">
        <v>6000</v>
      </c>
      <c r="C560" s="694" t="s">
        <v>6001</v>
      </c>
      <c r="D560" s="695" t="s">
        <v>6002</v>
      </c>
      <c r="E560" s="696"/>
      <c r="F560" s="697"/>
      <c r="G560" s="697"/>
      <c r="H560" s="698"/>
      <c r="I560" s="698"/>
      <c r="J560" s="697"/>
      <c r="K560" s="697"/>
      <c r="L560" s="697"/>
      <c r="M560" s="697"/>
      <c r="N560" s="698"/>
      <c r="O560" s="698"/>
      <c r="P560" s="698"/>
      <c r="Q560" s="697"/>
      <c r="R560" s="697"/>
      <c r="S560" s="698"/>
      <c r="T560" s="697"/>
      <c r="U560" s="697"/>
      <c r="V560" s="697"/>
      <c r="W560" s="698"/>
      <c r="X560" s="698"/>
      <c r="Y560" s="697"/>
      <c r="Z560" s="697"/>
      <c r="AA560" s="697"/>
      <c r="AB560" s="698"/>
      <c r="AC560" s="698"/>
    </row>
    <row r="561" spans="1:29" x14ac:dyDescent="0.2">
      <c r="A561" s="694" t="str">
        <f>+Info!$B$2</f>
        <v>724</v>
      </c>
      <c r="B561" s="694" t="s">
        <v>6003</v>
      </c>
      <c r="C561" s="694" t="s">
        <v>6004</v>
      </c>
      <c r="D561" s="695" t="s">
        <v>6005</v>
      </c>
      <c r="E561" s="696"/>
      <c r="F561" s="697"/>
      <c r="G561" s="697"/>
      <c r="H561" s="698"/>
      <c r="I561" s="698"/>
      <c r="J561" s="697"/>
      <c r="K561" s="697"/>
      <c r="L561" s="697"/>
      <c r="M561" s="697"/>
      <c r="N561" s="698"/>
      <c r="O561" s="698"/>
      <c r="P561" s="698"/>
      <c r="Q561" s="697"/>
      <c r="R561" s="697"/>
      <c r="S561" s="698"/>
      <c r="T561" s="697"/>
      <c r="U561" s="697"/>
      <c r="V561" s="697"/>
      <c r="W561" s="698"/>
      <c r="X561" s="698"/>
      <c r="Y561" s="697"/>
      <c r="Z561" s="697"/>
      <c r="AA561" s="697"/>
      <c r="AB561" s="698"/>
      <c r="AC561" s="698"/>
    </row>
    <row r="562" spans="1:29" x14ac:dyDescent="0.2">
      <c r="A562" s="694" t="str">
        <f>+Info!$B$2</f>
        <v>724</v>
      </c>
      <c r="B562" s="694" t="s">
        <v>6006</v>
      </c>
      <c r="C562" s="694" t="s">
        <v>6007</v>
      </c>
      <c r="D562" s="695" t="s">
        <v>6008</v>
      </c>
      <c r="E562" s="696"/>
      <c r="F562" s="697"/>
      <c r="G562" s="697"/>
      <c r="H562" s="698"/>
      <c r="I562" s="698"/>
      <c r="J562" s="697"/>
      <c r="K562" s="697"/>
      <c r="L562" s="697"/>
      <c r="M562" s="697"/>
      <c r="N562" s="698"/>
      <c r="O562" s="698"/>
      <c r="P562" s="698"/>
      <c r="Q562" s="697"/>
      <c r="R562" s="697"/>
      <c r="S562" s="698"/>
      <c r="T562" s="697"/>
      <c r="U562" s="697"/>
      <c r="V562" s="697"/>
      <c r="W562" s="698"/>
      <c r="X562" s="698"/>
      <c r="Y562" s="697"/>
      <c r="Z562" s="697"/>
      <c r="AA562" s="697"/>
      <c r="AB562" s="697"/>
      <c r="AC562" s="697"/>
    </row>
    <row r="563" spans="1:29" x14ac:dyDescent="0.2">
      <c r="A563" s="694" t="str">
        <f>+Info!$B$2</f>
        <v>724</v>
      </c>
      <c r="B563" s="694" t="s">
        <v>6009</v>
      </c>
      <c r="C563" s="694" t="s">
        <v>6010</v>
      </c>
      <c r="D563" s="695" t="s">
        <v>6011</v>
      </c>
      <c r="E563" s="696"/>
      <c r="F563" s="697"/>
      <c r="G563" s="697"/>
      <c r="H563" s="698"/>
      <c r="I563" s="698"/>
      <c r="J563" s="697"/>
      <c r="K563" s="697"/>
      <c r="L563" s="697"/>
      <c r="M563" s="697"/>
      <c r="N563" s="698"/>
      <c r="O563" s="698"/>
      <c r="P563" s="698"/>
      <c r="Q563" s="697"/>
      <c r="R563" s="697"/>
      <c r="S563" s="698"/>
      <c r="T563" s="697"/>
      <c r="U563" s="697"/>
      <c r="V563" s="697"/>
      <c r="W563" s="698"/>
      <c r="X563" s="698"/>
      <c r="Y563" s="697"/>
      <c r="Z563" s="697"/>
      <c r="AA563" s="697"/>
      <c r="AB563" s="697"/>
      <c r="AC563" s="697"/>
    </row>
    <row r="564" spans="1:29" x14ac:dyDescent="0.2">
      <c r="A564" s="694" t="str">
        <f>+Info!$B$2</f>
        <v>724</v>
      </c>
      <c r="B564" s="694" t="s">
        <v>6012</v>
      </c>
      <c r="C564" s="694" t="s">
        <v>6013</v>
      </c>
      <c r="D564" s="695" t="s">
        <v>6014</v>
      </c>
      <c r="E564" s="696"/>
      <c r="F564" s="697"/>
      <c r="G564" s="697"/>
      <c r="H564" s="698"/>
      <c r="I564" s="698"/>
      <c r="J564" s="697"/>
      <c r="K564" s="697"/>
      <c r="L564" s="697"/>
      <c r="M564" s="697"/>
      <c r="N564" s="698"/>
      <c r="O564" s="698"/>
      <c r="P564" s="698"/>
      <c r="Q564" s="697"/>
      <c r="R564" s="697"/>
      <c r="S564" s="698"/>
      <c r="T564" s="697"/>
      <c r="U564" s="697"/>
      <c r="V564" s="697"/>
      <c r="W564" s="698"/>
      <c r="X564" s="698"/>
      <c r="Y564" s="697"/>
      <c r="Z564" s="697"/>
      <c r="AA564" s="697"/>
      <c r="AB564" s="697"/>
      <c r="AC564" s="697"/>
    </row>
    <row r="565" spans="1:29" x14ac:dyDescent="0.2">
      <c r="A565" s="694" t="str">
        <f>+Info!$B$2</f>
        <v>724</v>
      </c>
      <c r="B565" s="694" t="s">
        <v>6015</v>
      </c>
      <c r="C565" s="694" t="s">
        <v>6016</v>
      </c>
      <c r="D565" s="695" t="s">
        <v>6017</v>
      </c>
      <c r="E565" s="696"/>
      <c r="F565" s="697"/>
      <c r="G565" s="697"/>
      <c r="H565" s="698"/>
      <c r="I565" s="698"/>
      <c r="J565" s="697"/>
      <c r="K565" s="697"/>
      <c r="L565" s="697"/>
      <c r="M565" s="697"/>
      <c r="N565" s="698"/>
      <c r="O565" s="698"/>
      <c r="P565" s="698"/>
      <c r="Q565" s="697"/>
      <c r="R565" s="697"/>
      <c r="S565" s="698"/>
      <c r="T565" s="697"/>
      <c r="U565" s="697"/>
      <c r="V565" s="697"/>
      <c r="W565" s="698"/>
      <c r="X565" s="698"/>
      <c r="Y565" s="697"/>
      <c r="Z565" s="697"/>
      <c r="AA565" s="697"/>
      <c r="AB565" s="697"/>
      <c r="AC565" s="697"/>
    </row>
    <row r="566" spans="1:29" x14ac:dyDescent="0.2">
      <c r="A566" s="694" t="str">
        <f>+Info!$B$2</f>
        <v>724</v>
      </c>
      <c r="B566" s="694" t="s">
        <v>6018</v>
      </c>
      <c r="C566" s="694" t="s">
        <v>6019</v>
      </c>
      <c r="D566" s="695" t="s">
        <v>6020</v>
      </c>
      <c r="E566" s="696"/>
      <c r="F566" s="697"/>
      <c r="G566" s="697"/>
      <c r="H566" s="698"/>
      <c r="I566" s="698"/>
      <c r="J566" s="697"/>
      <c r="K566" s="697"/>
      <c r="L566" s="697"/>
      <c r="M566" s="697"/>
      <c r="N566" s="698"/>
      <c r="O566" s="698"/>
      <c r="P566" s="698"/>
      <c r="Q566" s="697"/>
      <c r="R566" s="697"/>
      <c r="S566" s="698"/>
      <c r="T566" s="697"/>
      <c r="U566" s="697"/>
      <c r="V566" s="697"/>
      <c r="W566" s="698"/>
      <c r="X566" s="698"/>
      <c r="Y566" s="697"/>
      <c r="Z566" s="697"/>
      <c r="AA566" s="697"/>
      <c r="AB566" s="697"/>
      <c r="AC566" s="697"/>
    </row>
    <row r="567" spans="1:29" ht="25.5" x14ac:dyDescent="0.2">
      <c r="A567" s="694" t="str">
        <f>+Info!$B$2</f>
        <v>724</v>
      </c>
      <c r="B567" s="694" t="s">
        <v>6021</v>
      </c>
      <c r="C567" s="694" t="s">
        <v>6022</v>
      </c>
      <c r="D567" s="695" t="s">
        <v>6023</v>
      </c>
      <c r="E567" s="696"/>
      <c r="F567" s="697"/>
      <c r="G567" s="697"/>
      <c r="H567" s="698"/>
      <c r="I567" s="698"/>
      <c r="J567" s="697"/>
      <c r="K567" s="697"/>
      <c r="L567" s="697"/>
      <c r="M567" s="697"/>
      <c r="N567" s="698"/>
      <c r="O567" s="698"/>
      <c r="P567" s="698"/>
      <c r="Q567" s="697"/>
      <c r="R567" s="697"/>
      <c r="S567" s="698"/>
      <c r="T567" s="697"/>
      <c r="U567" s="697"/>
      <c r="V567" s="697"/>
      <c r="W567" s="698"/>
      <c r="X567" s="698"/>
      <c r="Y567" s="697"/>
      <c r="Z567" s="697"/>
      <c r="AA567" s="697"/>
      <c r="AB567" s="697"/>
      <c r="AC567" s="697"/>
    </row>
    <row r="568" spans="1:29" x14ac:dyDescent="0.2">
      <c r="A568" s="694" t="str">
        <f>+Info!$B$2</f>
        <v>724</v>
      </c>
      <c r="B568" s="694" t="s">
        <v>6024</v>
      </c>
      <c r="C568" s="694" t="s">
        <v>6025</v>
      </c>
      <c r="D568" s="695" t="s">
        <v>6026</v>
      </c>
      <c r="E568" s="696"/>
      <c r="F568" s="697"/>
      <c r="G568" s="697"/>
      <c r="H568" s="698"/>
      <c r="I568" s="698"/>
      <c r="J568" s="697"/>
      <c r="K568" s="697"/>
      <c r="L568" s="697"/>
      <c r="M568" s="697"/>
      <c r="N568" s="698"/>
      <c r="O568" s="698"/>
      <c r="P568" s="698"/>
      <c r="Q568" s="697"/>
      <c r="R568" s="697"/>
      <c r="S568" s="698"/>
      <c r="T568" s="697"/>
      <c r="U568" s="697"/>
      <c r="V568" s="697"/>
      <c r="W568" s="698"/>
      <c r="X568" s="698"/>
      <c r="Y568" s="697"/>
      <c r="Z568" s="697"/>
      <c r="AA568" s="697"/>
      <c r="AB568" s="697"/>
      <c r="AC568" s="697"/>
    </row>
    <row r="569" spans="1:29" x14ac:dyDescent="0.2">
      <c r="A569" s="694" t="str">
        <f>+Info!$B$2</f>
        <v>724</v>
      </c>
      <c r="B569" s="694" t="s">
        <v>6027</v>
      </c>
      <c r="C569" s="694" t="s">
        <v>6028</v>
      </c>
      <c r="D569" s="695" t="s">
        <v>6029</v>
      </c>
      <c r="E569" s="696"/>
      <c r="F569" s="697"/>
      <c r="G569" s="697"/>
      <c r="H569" s="698"/>
      <c r="I569" s="698"/>
      <c r="J569" s="697"/>
      <c r="K569" s="697"/>
      <c r="L569" s="697"/>
      <c r="M569" s="697"/>
      <c r="N569" s="698"/>
      <c r="O569" s="698"/>
      <c r="P569" s="698"/>
      <c r="Q569" s="697"/>
      <c r="R569" s="697"/>
      <c r="S569" s="698"/>
      <c r="T569" s="697"/>
      <c r="U569" s="697"/>
      <c r="V569" s="697"/>
      <c r="W569" s="698"/>
      <c r="X569" s="698"/>
      <c r="Y569" s="697"/>
      <c r="Z569" s="697"/>
      <c r="AA569" s="697"/>
      <c r="AB569" s="697"/>
      <c r="AC569" s="697"/>
    </row>
    <row r="570" spans="1:29" x14ac:dyDescent="0.2">
      <c r="A570" s="694" t="str">
        <f>+Info!$B$2</f>
        <v>724</v>
      </c>
      <c r="B570" s="694" t="s">
        <v>6030</v>
      </c>
      <c r="C570" s="694" t="s">
        <v>6031</v>
      </c>
      <c r="D570" s="695" t="s">
        <v>6032</v>
      </c>
      <c r="E570" s="696"/>
      <c r="F570" s="697"/>
      <c r="G570" s="697"/>
      <c r="H570" s="698"/>
      <c r="I570" s="698"/>
      <c r="J570" s="697"/>
      <c r="K570" s="697"/>
      <c r="L570" s="697"/>
      <c r="M570" s="697"/>
      <c r="N570" s="698"/>
      <c r="O570" s="698"/>
      <c r="P570" s="698"/>
      <c r="Q570" s="697"/>
      <c r="R570" s="697"/>
      <c r="S570" s="698"/>
      <c r="T570" s="697"/>
      <c r="U570" s="697"/>
      <c r="V570" s="697"/>
      <c r="W570" s="698"/>
      <c r="X570" s="698"/>
      <c r="Y570" s="697"/>
      <c r="Z570" s="697"/>
      <c r="AA570" s="697"/>
      <c r="AB570" s="697"/>
      <c r="AC570" s="697"/>
    </row>
    <row r="571" spans="1:29" x14ac:dyDescent="0.2">
      <c r="A571" s="694" t="str">
        <f>+Info!$B$2</f>
        <v>724</v>
      </c>
      <c r="B571" s="694" t="s">
        <v>6033</v>
      </c>
      <c r="C571" s="694" t="s">
        <v>6034</v>
      </c>
      <c r="D571" s="695" t="s">
        <v>6035</v>
      </c>
      <c r="E571" s="696"/>
      <c r="F571" s="697"/>
      <c r="G571" s="697"/>
      <c r="H571" s="698"/>
      <c r="I571" s="698"/>
      <c r="J571" s="697"/>
      <c r="K571" s="697"/>
      <c r="L571" s="697"/>
      <c r="M571" s="697"/>
      <c r="N571" s="698"/>
      <c r="O571" s="698"/>
      <c r="P571" s="698"/>
      <c r="Q571" s="697"/>
      <c r="R571" s="697"/>
      <c r="S571" s="698"/>
      <c r="T571" s="697"/>
      <c r="U571" s="697"/>
      <c r="V571" s="697"/>
      <c r="W571" s="698"/>
      <c r="X571" s="698"/>
      <c r="Y571" s="697"/>
      <c r="Z571" s="697"/>
      <c r="AA571" s="697"/>
      <c r="AB571" s="698"/>
      <c r="AC571" s="698"/>
    </row>
    <row r="572" spans="1:29" x14ac:dyDescent="0.2">
      <c r="A572" s="694" t="str">
        <f>+Info!$B$2</f>
        <v>724</v>
      </c>
      <c r="B572" s="694" t="s">
        <v>6036</v>
      </c>
      <c r="C572" s="694" t="s">
        <v>6037</v>
      </c>
      <c r="D572" s="695" t="s">
        <v>6038</v>
      </c>
      <c r="E572" s="696"/>
      <c r="F572" s="697"/>
      <c r="G572" s="697"/>
      <c r="H572" s="698"/>
      <c r="I572" s="698"/>
      <c r="J572" s="697"/>
      <c r="K572" s="697"/>
      <c r="L572" s="697"/>
      <c r="M572" s="697"/>
      <c r="N572" s="698"/>
      <c r="O572" s="698"/>
      <c r="P572" s="698"/>
      <c r="Q572" s="697"/>
      <c r="R572" s="697"/>
      <c r="S572" s="698"/>
      <c r="T572" s="697"/>
      <c r="U572" s="697"/>
      <c r="V572" s="697"/>
      <c r="W572" s="698"/>
      <c r="X572" s="698"/>
      <c r="Y572" s="697"/>
      <c r="Z572" s="697"/>
      <c r="AA572" s="697"/>
      <c r="AB572" s="698"/>
      <c r="AC572" s="698"/>
    </row>
    <row r="573" spans="1:29" x14ac:dyDescent="0.2">
      <c r="A573" s="694" t="str">
        <f>+Info!$B$2</f>
        <v>724</v>
      </c>
      <c r="B573" s="694" t="s">
        <v>6039</v>
      </c>
      <c r="C573" s="694" t="s">
        <v>6040</v>
      </c>
      <c r="D573" s="695" t="s">
        <v>6041</v>
      </c>
      <c r="E573" s="696"/>
      <c r="F573" s="697"/>
      <c r="G573" s="697"/>
      <c r="H573" s="698"/>
      <c r="I573" s="698"/>
      <c r="J573" s="697"/>
      <c r="K573" s="697"/>
      <c r="L573" s="697"/>
      <c r="M573" s="697"/>
      <c r="N573" s="698"/>
      <c r="O573" s="698"/>
      <c r="P573" s="698"/>
      <c r="Q573" s="697"/>
      <c r="R573" s="697"/>
      <c r="S573" s="698"/>
      <c r="T573" s="697"/>
      <c r="U573" s="697"/>
      <c r="V573" s="697"/>
      <c r="W573" s="698"/>
      <c r="X573" s="698"/>
      <c r="Y573" s="697"/>
      <c r="Z573" s="697"/>
      <c r="AA573" s="697"/>
      <c r="AB573" s="697"/>
      <c r="AC573" s="697"/>
    </row>
    <row r="574" spans="1:29" x14ac:dyDescent="0.2">
      <c r="A574" s="694" t="str">
        <f>+Info!$B$2</f>
        <v>724</v>
      </c>
      <c r="B574" s="694" t="s">
        <v>6042</v>
      </c>
      <c r="C574" s="694" t="s">
        <v>6043</v>
      </c>
      <c r="D574" s="695" t="s">
        <v>6044</v>
      </c>
      <c r="E574" s="696"/>
      <c r="F574" s="697"/>
      <c r="G574" s="697"/>
      <c r="H574" s="698"/>
      <c r="I574" s="698"/>
      <c r="J574" s="697"/>
      <c r="K574" s="697"/>
      <c r="L574" s="697"/>
      <c r="M574" s="697"/>
      <c r="N574" s="698"/>
      <c r="O574" s="698"/>
      <c r="P574" s="698"/>
      <c r="Q574" s="697"/>
      <c r="R574" s="697"/>
      <c r="S574" s="698"/>
      <c r="T574" s="697"/>
      <c r="U574" s="697"/>
      <c r="V574" s="697"/>
      <c r="W574" s="698"/>
      <c r="X574" s="698"/>
      <c r="Y574" s="697"/>
      <c r="Z574" s="697"/>
      <c r="AA574" s="697"/>
      <c r="AB574" s="697"/>
      <c r="AC574" s="697"/>
    </row>
    <row r="575" spans="1:29" x14ac:dyDescent="0.2">
      <c r="A575" s="694" t="str">
        <f>+Info!$B$2</f>
        <v>724</v>
      </c>
      <c r="B575" s="694" t="s">
        <v>6045</v>
      </c>
      <c r="C575" s="694" t="s">
        <v>6046</v>
      </c>
      <c r="D575" s="695" t="s">
        <v>6047</v>
      </c>
      <c r="E575" s="696"/>
      <c r="F575" s="697"/>
      <c r="G575" s="697"/>
      <c r="H575" s="698"/>
      <c r="I575" s="698"/>
      <c r="J575" s="697"/>
      <c r="K575" s="697"/>
      <c r="L575" s="697"/>
      <c r="M575" s="697"/>
      <c r="N575" s="698"/>
      <c r="O575" s="698"/>
      <c r="P575" s="698"/>
      <c r="Q575" s="697"/>
      <c r="R575" s="697"/>
      <c r="S575" s="698"/>
      <c r="T575" s="697"/>
      <c r="U575" s="697"/>
      <c r="V575" s="697"/>
      <c r="W575" s="698"/>
      <c r="X575" s="698"/>
      <c r="Y575" s="697"/>
      <c r="Z575" s="697"/>
      <c r="AA575" s="697"/>
      <c r="AB575" s="697"/>
      <c r="AC575" s="697"/>
    </row>
    <row r="576" spans="1:29" x14ac:dyDescent="0.2">
      <c r="A576" s="694" t="str">
        <f>+Info!$B$2</f>
        <v>724</v>
      </c>
      <c r="B576" s="694" t="s">
        <v>6048</v>
      </c>
      <c r="C576" s="694" t="s">
        <v>6049</v>
      </c>
      <c r="D576" s="695" t="s">
        <v>6050</v>
      </c>
      <c r="E576" s="696"/>
      <c r="F576" s="697"/>
      <c r="G576" s="697"/>
      <c r="H576" s="698"/>
      <c r="I576" s="698"/>
      <c r="J576" s="697"/>
      <c r="K576" s="697"/>
      <c r="L576" s="697"/>
      <c r="M576" s="697"/>
      <c r="N576" s="698"/>
      <c r="O576" s="698"/>
      <c r="P576" s="698"/>
      <c r="Q576" s="697"/>
      <c r="R576" s="697"/>
      <c r="S576" s="698"/>
      <c r="T576" s="697"/>
      <c r="U576" s="697"/>
      <c r="V576" s="697"/>
      <c r="W576" s="698"/>
      <c r="X576" s="698"/>
      <c r="Y576" s="697"/>
      <c r="Z576" s="697"/>
      <c r="AA576" s="697"/>
      <c r="AB576" s="697"/>
      <c r="AC576" s="697"/>
    </row>
    <row r="577" spans="1:29" x14ac:dyDescent="0.2">
      <c r="A577" s="694" t="str">
        <f>+Info!$B$2</f>
        <v>724</v>
      </c>
      <c r="B577" s="694" t="s">
        <v>6051</v>
      </c>
      <c r="C577" s="694" t="s">
        <v>6052</v>
      </c>
      <c r="D577" s="695" t="s">
        <v>6053</v>
      </c>
      <c r="E577" s="696"/>
      <c r="F577" s="697"/>
      <c r="G577" s="697"/>
      <c r="H577" s="698"/>
      <c r="I577" s="698"/>
      <c r="J577" s="697"/>
      <c r="K577" s="697"/>
      <c r="L577" s="697"/>
      <c r="M577" s="697"/>
      <c r="N577" s="698"/>
      <c r="O577" s="698"/>
      <c r="P577" s="698"/>
      <c r="Q577" s="697"/>
      <c r="R577" s="697"/>
      <c r="S577" s="698"/>
      <c r="T577" s="697"/>
      <c r="U577" s="697"/>
      <c r="V577" s="697"/>
      <c r="W577" s="698"/>
      <c r="X577" s="698"/>
      <c r="Y577" s="697"/>
      <c r="Z577" s="697"/>
      <c r="AA577" s="697"/>
      <c r="AB577" s="697"/>
      <c r="AC577" s="697"/>
    </row>
    <row r="578" spans="1:29" x14ac:dyDescent="0.2">
      <c r="A578" s="694" t="str">
        <f>+Info!$B$2</f>
        <v>724</v>
      </c>
      <c r="B578" s="694" t="s">
        <v>6054</v>
      </c>
      <c r="C578" s="694" t="s">
        <v>6055</v>
      </c>
      <c r="D578" s="695" t="s">
        <v>6056</v>
      </c>
      <c r="E578" s="696"/>
      <c r="F578" s="697"/>
      <c r="G578" s="697"/>
      <c r="H578" s="698"/>
      <c r="I578" s="698"/>
      <c r="J578" s="697"/>
      <c r="K578" s="697"/>
      <c r="L578" s="697"/>
      <c r="M578" s="697"/>
      <c r="N578" s="698"/>
      <c r="O578" s="698"/>
      <c r="P578" s="698"/>
      <c r="Q578" s="697"/>
      <c r="R578" s="697"/>
      <c r="S578" s="698"/>
      <c r="T578" s="697"/>
      <c r="U578" s="697"/>
      <c r="V578" s="697"/>
      <c r="W578" s="698"/>
      <c r="X578" s="698"/>
      <c r="Y578" s="697"/>
      <c r="Z578" s="697"/>
      <c r="AA578" s="697"/>
      <c r="AB578" s="697"/>
      <c r="AC578" s="697"/>
    </row>
    <row r="579" spans="1:29" x14ac:dyDescent="0.2">
      <c r="A579" s="694" t="str">
        <f>+Info!$B$2</f>
        <v>724</v>
      </c>
      <c r="B579" s="694" t="s">
        <v>6057</v>
      </c>
      <c r="C579" s="694" t="s">
        <v>6058</v>
      </c>
      <c r="D579" s="695" t="s">
        <v>6059</v>
      </c>
      <c r="E579" s="696"/>
      <c r="F579" s="697"/>
      <c r="G579" s="697"/>
      <c r="H579" s="698"/>
      <c r="I579" s="698"/>
      <c r="J579" s="697"/>
      <c r="K579" s="697"/>
      <c r="L579" s="697"/>
      <c r="M579" s="697"/>
      <c r="N579" s="698"/>
      <c r="O579" s="698"/>
      <c r="P579" s="698"/>
      <c r="Q579" s="697"/>
      <c r="R579" s="697"/>
      <c r="S579" s="698"/>
      <c r="T579" s="697"/>
      <c r="U579" s="697"/>
      <c r="V579" s="697"/>
      <c r="W579" s="698"/>
      <c r="X579" s="698"/>
      <c r="Y579" s="697"/>
      <c r="Z579" s="697"/>
      <c r="AA579" s="697"/>
      <c r="AB579" s="697"/>
      <c r="AC579" s="697"/>
    </row>
    <row r="580" spans="1:29" x14ac:dyDescent="0.2">
      <c r="A580" s="694" t="str">
        <f>+Info!$B$2</f>
        <v>724</v>
      </c>
      <c r="B580" s="694" t="s">
        <v>6060</v>
      </c>
      <c r="C580" s="694" t="s">
        <v>6061</v>
      </c>
      <c r="D580" s="695" t="s">
        <v>6062</v>
      </c>
      <c r="E580" s="696"/>
      <c r="F580" s="697"/>
      <c r="G580" s="697"/>
      <c r="H580" s="698"/>
      <c r="I580" s="698"/>
      <c r="J580" s="697"/>
      <c r="K580" s="697"/>
      <c r="L580" s="697"/>
      <c r="M580" s="697"/>
      <c r="N580" s="698"/>
      <c r="O580" s="698"/>
      <c r="P580" s="698"/>
      <c r="Q580" s="697"/>
      <c r="R580" s="697"/>
      <c r="S580" s="698"/>
      <c r="T580" s="697"/>
      <c r="U580" s="697"/>
      <c r="V580" s="697"/>
      <c r="W580" s="698"/>
      <c r="X580" s="698"/>
      <c r="Y580" s="697"/>
      <c r="Z580" s="697"/>
      <c r="AA580" s="697"/>
      <c r="AB580" s="697"/>
      <c r="AC580" s="697"/>
    </row>
    <row r="581" spans="1:29" x14ac:dyDescent="0.2">
      <c r="A581" s="694" t="str">
        <f>+Info!$B$2</f>
        <v>724</v>
      </c>
      <c r="B581" s="694" t="s">
        <v>6063</v>
      </c>
      <c r="C581" s="694" t="s">
        <v>6064</v>
      </c>
      <c r="D581" s="695" t="s">
        <v>6065</v>
      </c>
      <c r="E581" s="696"/>
      <c r="F581" s="697"/>
      <c r="G581" s="697"/>
      <c r="H581" s="698"/>
      <c r="I581" s="698"/>
      <c r="J581" s="697"/>
      <c r="K581" s="697"/>
      <c r="L581" s="697"/>
      <c r="M581" s="697"/>
      <c r="N581" s="698"/>
      <c r="O581" s="698"/>
      <c r="P581" s="698"/>
      <c r="Q581" s="697"/>
      <c r="R581" s="697"/>
      <c r="S581" s="698"/>
      <c r="T581" s="697"/>
      <c r="U581" s="697"/>
      <c r="V581" s="697"/>
      <c r="W581" s="698"/>
      <c r="X581" s="698"/>
      <c r="Y581" s="697"/>
      <c r="Z581" s="697"/>
      <c r="AA581" s="697"/>
      <c r="AB581" s="697"/>
      <c r="AC581" s="697"/>
    </row>
    <row r="582" spans="1:29" x14ac:dyDescent="0.2">
      <c r="A582" s="694" t="str">
        <f>+Info!$B$2</f>
        <v>724</v>
      </c>
      <c r="B582" s="694" t="s">
        <v>6066</v>
      </c>
      <c r="C582" s="694" t="s">
        <v>6067</v>
      </c>
      <c r="D582" s="695" t="s">
        <v>6068</v>
      </c>
      <c r="E582" s="696"/>
      <c r="F582" s="697"/>
      <c r="G582" s="697"/>
      <c r="H582" s="698"/>
      <c r="I582" s="698"/>
      <c r="J582" s="697"/>
      <c r="K582" s="697"/>
      <c r="L582" s="697"/>
      <c r="M582" s="697"/>
      <c r="N582" s="698"/>
      <c r="O582" s="698"/>
      <c r="P582" s="698"/>
      <c r="Q582" s="697"/>
      <c r="R582" s="697"/>
      <c r="S582" s="698"/>
      <c r="T582" s="697"/>
      <c r="U582" s="697"/>
      <c r="V582" s="697"/>
      <c r="W582" s="698"/>
      <c r="X582" s="698"/>
      <c r="Y582" s="697"/>
      <c r="Z582" s="697"/>
      <c r="AA582" s="697"/>
      <c r="AB582" s="698"/>
      <c r="AC582" s="698"/>
    </row>
    <row r="583" spans="1:29" x14ac:dyDescent="0.2">
      <c r="A583" s="694" t="str">
        <f>+Info!$B$2</f>
        <v>724</v>
      </c>
      <c r="B583" s="694" t="s">
        <v>6069</v>
      </c>
      <c r="C583" s="694" t="s">
        <v>6070</v>
      </c>
      <c r="D583" s="695" t="s">
        <v>6071</v>
      </c>
      <c r="E583" s="696"/>
      <c r="F583" s="697"/>
      <c r="G583" s="697"/>
      <c r="H583" s="698"/>
      <c r="I583" s="698"/>
      <c r="J583" s="697"/>
      <c r="K583" s="697"/>
      <c r="L583" s="697"/>
      <c r="M583" s="697"/>
      <c r="N583" s="698"/>
      <c r="O583" s="698"/>
      <c r="P583" s="698"/>
      <c r="Q583" s="697"/>
      <c r="R583" s="697"/>
      <c r="S583" s="698"/>
      <c r="T583" s="697"/>
      <c r="U583" s="697"/>
      <c r="V583" s="697"/>
      <c r="W583" s="698"/>
      <c r="X583" s="698"/>
      <c r="Y583" s="697"/>
      <c r="Z583" s="697"/>
      <c r="AA583" s="697"/>
      <c r="AB583" s="698"/>
      <c r="AC583" s="698"/>
    </row>
    <row r="584" spans="1:29" x14ac:dyDescent="0.2">
      <c r="A584" s="694" t="str">
        <f>+Info!$B$2</f>
        <v>724</v>
      </c>
      <c r="B584" s="694" t="s">
        <v>6072</v>
      </c>
      <c r="C584" s="694" t="s">
        <v>6073</v>
      </c>
      <c r="D584" s="695" t="s">
        <v>6074</v>
      </c>
      <c r="E584" s="696"/>
      <c r="F584" s="697"/>
      <c r="G584" s="697"/>
      <c r="H584" s="698"/>
      <c r="I584" s="698"/>
      <c r="J584" s="697"/>
      <c r="K584" s="697"/>
      <c r="L584" s="697"/>
      <c r="M584" s="697"/>
      <c r="N584" s="698"/>
      <c r="O584" s="698"/>
      <c r="P584" s="698"/>
      <c r="Q584" s="697"/>
      <c r="R584" s="697"/>
      <c r="S584" s="698"/>
      <c r="T584" s="697"/>
      <c r="U584" s="697"/>
      <c r="V584" s="697"/>
      <c r="W584" s="698"/>
      <c r="X584" s="698"/>
      <c r="Y584" s="697"/>
      <c r="Z584" s="697"/>
      <c r="AA584" s="697"/>
      <c r="AB584" s="697"/>
      <c r="AC584" s="697"/>
    </row>
    <row r="585" spans="1:29" ht="15" x14ac:dyDescent="0.25">
      <c r="A585" s="691" t="str">
        <f>+Info!$B$2</f>
        <v>724</v>
      </c>
      <c r="B585" s="691" t="s">
        <v>6075</v>
      </c>
      <c r="C585" s="691" t="s">
        <v>6076</v>
      </c>
      <c r="D585" s="692" t="s">
        <v>6077</v>
      </c>
      <c r="E585" s="693"/>
      <c r="F585" s="701"/>
      <c r="G585" s="701"/>
      <c r="H585" s="701"/>
      <c r="I585" s="701"/>
      <c r="J585" s="701"/>
      <c r="K585" s="701"/>
      <c r="L585" s="701"/>
      <c r="M585" s="701"/>
      <c r="N585" s="701"/>
      <c r="O585" s="701"/>
      <c r="P585" s="701"/>
      <c r="Q585" s="701"/>
      <c r="R585" s="701"/>
      <c r="S585" s="701"/>
      <c r="T585" s="701"/>
      <c r="U585" s="701"/>
      <c r="V585" s="701"/>
      <c r="W585" s="701"/>
      <c r="X585" s="701"/>
      <c r="Y585" s="701"/>
      <c r="Z585" s="701"/>
      <c r="AA585" s="701"/>
      <c r="AB585" s="701"/>
      <c r="AC585" s="701"/>
    </row>
    <row r="586" spans="1:29" x14ac:dyDescent="0.2">
      <c r="A586" s="694" t="str">
        <f>+Info!$B$2</f>
        <v>724</v>
      </c>
      <c r="B586" s="694" t="s">
        <v>6078</v>
      </c>
      <c r="C586" s="694" t="s">
        <v>6079</v>
      </c>
      <c r="D586" s="695" t="s">
        <v>6080</v>
      </c>
      <c r="E586" s="696"/>
      <c r="F586" s="697"/>
      <c r="G586" s="697"/>
      <c r="H586" s="698"/>
      <c r="I586" s="698"/>
      <c r="J586" s="697"/>
      <c r="K586" s="697"/>
      <c r="L586" s="697"/>
      <c r="M586" s="697"/>
      <c r="N586" s="698"/>
      <c r="O586" s="698"/>
      <c r="P586" s="698"/>
      <c r="Q586" s="697"/>
      <c r="R586" s="698"/>
      <c r="S586" s="697"/>
      <c r="T586" s="697"/>
      <c r="U586" s="697"/>
      <c r="V586" s="697"/>
      <c r="W586" s="698"/>
      <c r="X586" s="698"/>
      <c r="Y586" s="697"/>
      <c r="Z586" s="697"/>
      <c r="AA586" s="697"/>
      <c r="AB586" s="697"/>
      <c r="AC586" s="697"/>
    </row>
    <row r="587" spans="1:29" x14ac:dyDescent="0.2">
      <c r="A587" s="694" t="str">
        <f>+Info!$B$2</f>
        <v>724</v>
      </c>
      <c r="B587" s="694" t="s">
        <v>6081</v>
      </c>
      <c r="C587" s="694" t="s">
        <v>6082</v>
      </c>
      <c r="D587" s="695" t="s">
        <v>6083</v>
      </c>
      <c r="E587" s="696"/>
      <c r="F587" s="697"/>
      <c r="G587" s="697"/>
      <c r="H587" s="698"/>
      <c r="I587" s="698"/>
      <c r="J587" s="697"/>
      <c r="K587" s="697"/>
      <c r="L587" s="697"/>
      <c r="M587" s="697"/>
      <c r="N587" s="698"/>
      <c r="O587" s="698"/>
      <c r="P587" s="698"/>
      <c r="Q587" s="697"/>
      <c r="R587" s="698"/>
      <c r="S587" s="697"/>
      <c r="T587" s="697"/>
      <c r="U587" s="697"/>
      <c r="V587" s="697"/>
      <c r="W587" s="698"/>
      <c r="X587" s="698"/>
      <c r="Y587" s="697"/>
      <c r="Z587" s="697"/>
      <c r="AA587" s="697"/>
      <c r="AB587" s="697"/>
      <c r="AC587" s="697"/>
    </row>
    <row r="588" spans="1:29" x14ac:dyDescent="0.2">
      <c r="A588" s="694" t="str">
        <f>+Info!$B$2</f>
        <v>724</v>
      </c>
      <c r="B588" s="694" t="s">
        <v>6084</v>
      </c>
      <c r="C588" s="694" t="s">
        <v>6085</v>
      </c>
      <c r="D588" s="695" t="s">
        <v>6086</v>
      </c>
      <c r="E588" s="696"/>
      <c r="F588" s="697"/>
      <c r="G588" s="697"/>
      <c r="H588" s="698"/>
      <c r="I588" s="698"/>
      <c r="J588" s="697"/>
      <c r="K588" s="697"/>
      <c r="L588" s="697"/>
      <c r="M588" s="697"/>
      <c r="N588" s="698"/>
      <c r="O588" s="698"/>
      <c r="P588" s="698"/>
      <c r="Q588" s="697"/>
      <c r="R588" s="698"/>
      <c r="S588" s="697"/>
      <c r="T588" s="697"/>
      <c r="U588" s="697"/>
      <c r="V588" s="697"/>
      <c r="W588" s="698"/>
      <c r="X588" s="698"/>
      <c r="Y588" s="697"/>
      <c r="Z588" s="697"/>
      <c r="AA588" s="697"/>
      <c r="AB588" s="697"/>
      <c r="AC588" s="697"/>
    </row>
    <row r="589" spans="1:29" x14ac:dyDescent="0.2">
      <c r="A589" s="694" t="str">
        <f>+Info!$B$2</f>
        <v>724</v>
      </c>
      <c r="B589" s="694" t="s">
        <v>6087</v>
      </c>
      <c r="C589" s="694" t="s">
        <v>6088</v>
      </c>
      <c r="D589" s="695" t="s">
        <v>6089</v>
      </c>
      <c r="E589" s="696"/>
      <c r="F589" s="697"/>
      <c r="G589" s="697"/>
      <c r="H589" s="698"/>
      <c r="I589" s="698"/>
      <c r="J589" s="697"/>
      <c r="K589" s="697"/>
      <c r="L589" s="697"/>
      <c r="M589" s="697"/>
      <c r="N589" s="698"/>
      <c r="O589" s="698"/>
      <c r="P589" s="698"/>
      <c r="Q589" s="697"/>
      <c r="R589" s="698"/>
      <c r="S589" s="697"/>
      <c r="T589" s="697"/>
      <c r="U589" s="697"/>
      <c r="V589" s="697"/>
      <c r="W589" s="698"/>
      <c r="X589" s="698"/>
      <c r="Y589" s="697"/>
      <c r="Z589" s="697"/>
      <c r="AA589" s="697"/>
      <c r="AB589" s="697"/>
      <c r="AC589" s="697"/>
    </row>
    <row r="590" spans="1:29" x14ac:dyDescent="0.2">
      <c r="A590" s="694" t="str">
        <f>+Info!$B$2</f>
        <v>724</v>
      </c>
      <c r="B590" s="694" t="s">
        <v>6090</v>
      </c>
      <c r="C590" s="694" t="s">
        <v>6091</v>
      </c>
      <c r="D590" s="695" t="s">
        <v>6092</v>
      </c>
      <c r="E590" s="696"/>
      <c r="F590" s="697"/>
      <c r="G590" s="697"/>
      <c r="H590" s="698"/>
      <c r="I590" s="698"/>
      <c r="J590" s="697"/>
      <c r="K590" s="697"/>
      <c r="L590" s="697"/>
      <c r="M590" s="697"/>
      <c r="N590" s="698"/>
      <c r="O590" s="698"/>
      <c r="P590" s="698"/>
      <c r="Q590" s="697"/>
      <c r="R590" s="698"/>
      <c r="S590" s="697"/>
      <c r="T590" s="697"/>
      <c r="U590" s="697"/>
      <c r="V590" s="697"/>
      <c r="W590" s="698"/>
      <c r="X590" s="698"/>
      <c r="Y590" s="697"/>
      <c r="Z590" s="697"/>
      <c r="AA590" s="697"/>
      <c r="AB590" s="697"/>
      <c r="AC590" s="697"/>
    </row>
    <row r="591" spans="1:29" x14ac:dyDescent="0.2">
      <c r="A591" s="694" t="str">
        <f>+Info!$B$2</f>
        <v>724</v>
      </c>
      <c r="B591" s="694" t="s">
        <v>6093</v>
      </c>
      <c r="C591" s="694" t="s">
        <v>6094</v>
      </c>
      <c r="D591" s="695" t="s">
        <v>6095</v>
      </c>
      <c r="E591" s="696"/>
      <c r="F591" s="697"/>
      <c r="G591" s="697"/>
      <c r="H591" s="698"/>
      <c r="I591" s="698"/>
      <c r="J591" s="697"/>
      <c r="K591" s="697"/>
      <c r="L591" s="697"/>
      <c r="M591" s="697"/>
      <c r="N591" s="698"/>
      <c r="O591" s="698"/>
      <c r="P591" s="698"/>
      <c r="Q591" s="697"/>
      <c r="R591" s="698"/>
      <c r="S591" s="697"/>
      <c r="T591" s="697"/>
      <c r="U591" s="697"/>
      <c r="V591" s="697"/>
      <c r="W591" s="698"/>
      <c r="X591" s="698"/>
      <c r="Y591" s="697"/>
      <c r="Z591" s="697"/>
      <c r="AA591" s="697"/>
      <c r="AB591" s="697"/>
      <c r="AC591" s="697"/>
    </row>
    <row r="592" spans="1:29" x14ac:dyDescent="0.2">
      <c r="A592" s="694" t="str">
        <f>+Info!$B$2</f>
        <v>724</v>
      </c>
      <c r="B592" s="694" t="s">
        <v>6096</v>
      </c>
      <c r="C592" s="694" t="s">
        <v>6097</v>
      </c>
      <c r="D592" s="695" t="s">
        <v>6098</v>
      </c>
      <c r="E592" s="696"/>
      <c r="F592" s="697"/>
      <c r="G592" s="697"/>
      <c r="H592" s="698"/>
      <c r="I592" s="698"/>
      <c r="J592" s="697"/>
      <c r="K592" s="697"/>
      <c r="L592" s="697"/>
      <c r="M592" s="697"/>
      <c r="N592" s="698"/>
      <c r="O592" s="698"/>
      <c r="P592" s="698"/>
      <c r="Q592" s="697"/>
      <c r="R592" s="698"/>
      <c r="S592" s="697"/>
      <c r="T592" s="697"/>
      <c r="U592" s="697"/>
      <c r="V592" s="697"/>
      <c r="W592" s="698"/>
      <c r="X592" s="698"/>
      <c r="Y592" s="697"/>
      <c r="Z592" s="697"/>
      <c r="AA592" s="697"/>
      <c r="AB592" s="697"/>
      <c r="AC592" s="697"/>
    </row>
    <row r="593" spans="1:29" x14ac:dyDescent="0.2">
      <c r="A593" s="694" t="str">
        <f>+Info!$B$2</f>
        <v>724</v>
      </c>
      <c r="B593" s="694" t="s">
        <v>6099</v>
      </c>
      <c r="C593" s="694" t="s">
        <v>6100</v>
      </c>
      <c r="D593" s="695" t="s">
        <v>6101</v>
      </c>
      <c r="E593" s="696"/>
      <c r="F593" s="697"/>
      <c r="G593" s="697"/>
      <c r="H593" s="698"/>
      <c r="I593" s="698"/>
      <c r="J593" s="697"/>
      <c r="K593" s="697"/>
      <c r="L593" s="697"/>
      <c r="M593" s="697"/>
      <c r="N593" s="698"/>
      <c r="O593" s="698"/>
      <c r="P593" s="698"/>
      <c r="Q593" s="697"/>
      <c r="R593" s="698"/>
      <c r="S593" s="697"/>
      <c r="T593" s="697"/>
      <c r="U593" s="697"/>
      <c r="V593" s="697"/>
      <c r="W593" s="698"/>
      <c r="X593" s="698"/>
      <c r="Y593" s="697"/>
      <c r="Z593" s="697"/>
      <c r="AA593" s="697"/>
      <c r="AB593" s="697"/>
      <c r="AC593" s="697"/>
    </row>
    <row r="594" spans="1:29" x14ac:dyDescent="0.2">
      <c r="A594" s="694" t="str">
        <f>+Info!$B$2</f>
        <v>724</v>
      </c>
      <c r="B594" s="694" t="s">
        <v>6102</v>
      </c>
      <c r="C594" s="694" t="s">
        <v>6103</v>
      </c>
      <c r="D594" s="695" t="s">
        <v>6104</v>
      </c>
      <c r="E594" s="696"/>
      <c r="F594" s="697"/>
      <c r="G594" s="697"/>
      <c r="H594" s="698"/>
      <c r="I594" s="698"/>
      <c r="J594" s="697"/>
      <c r="K594" s="697"/>
      <c r="L594" s="697"/>
      <c r="M594" s="697"/>
      <c r="N594" s="698"/>
      <c r="O594" s="698"/>
      <c r="P594" s="698"/>
      <c r="Q594" s="697"/>
      <c r="R594" s="698"/>
      <c r="S594" s="697"/>
      <c r="T594" s="697"/>
      <c r="U594" s="697"/>
      <c r="V594" s="697"/>
      <c r="W594" s="698"/>
      <c r="X594" s="698"/>
      <c r="Y594" s="697"/>
      <c r="Z594" s="697"/>
      <c r="AA594" s="697"/>
      <c r="AB594" s="697"/>
      <c r="AC594" s="697"/>
    </row>
    <row r="595" spans="1:29" x14ac:dyDescent="0.2">
      <c r="A595" s="694" t="str">
        <f>+Info!$B$2</f>
        <v>724</v>
      </c>
      <c r="B595" s="694" t="s">
        <v>6105</v>
      </c>
      <c r="C595" s="694" t="s">
        <v>6106</v>
      </c>
      <c r="D595" s="695" t="s">
        <v>6107</v>
      </c>
      <c r="E595" s="696"/>
      <c r="F595" s="697"/>
      <c r="G595" s="697"/>
      <c r="H595" s="698"/>
      <c r="I595" s="698"/>
      <c r="J595" s="697"/>
      <c r="K595" s="697"/>
      <c r="L595" s="697"/>
      <c r="M595" s="697"/>
      <c r="N595" s="698"/>
      <c r="O595" s="698"/>
      <c r="P595" s="698"/>
      <c r="Q595" s="697"/>
      <c r="R595" s="698"/>
      <c r="S595" s="697"/>
      <c r="T595" s="697"/>
      <c r="U595" s="697"/>
      <c r="V595" s="697"/>
      <c r="W595" s="698"/>
      <c r="X595" s="698"/>
      <c r="Y595" s="697"/>
      <c r="Z595" s="697"/>
      <c r="AA595" s="697"/>
      <c r="AB595" s="698"/>
      <c r="AC595" s="698"/>
    </row>
    <row r="596" spans="1:29" x14ac:dyDescent="0.2">
      <c r="A596" s="694" t="str">
        <f>+Info!$B$2</f>
        <v>724</v>
      </c>
      <c r="B596" s="694" t="s">
        <v>6108</v>
      </c>
      <c r="C596" s="694" t="s">
        <v>6109</v>
      </c>
      <c r="D596" s="695" t="s">
        <v>6110</v>
      </c>
      <c r="E596" s="696"/>
      <c r="F596" s="697"/>
      <c r="G596" s="697"/>
      <c r="H596" s="698"/>
      <c r="I596" s="698"/>
      <c r="J596" s="697"/>
      <c r="K596" s="697"/>
      <c r="L596" s="697"/>
      <c r="M596" s="697"/>
      <c r="N596" s="698"/>
      <c r="O596" s="698"/>
      <c r="P596" s="698"/>
      <c r="Q596" s="697"/>
      <c r="R596" s="698"/>
      <c r="S596" s="697"/>
      <c r="T596" s="697"/>
      <c r="U596" s="697"/>
      <c r="V596" s="697"/>
      <c r="W596" s="698"/>
      <c r="X596" s="698"/>
      <c r="Y596" s="697"/>
      <c r="Z596" s="697"/>
      <c r="AA596" s="697"/>
      <c r="AB596" s="698"/>
      <c r="AC596" s="698"/>
    </row>
    <row r="597" spans="1:29" x14ac:dyDescent="0.2">
      <c r="A597" s="694" t="str">
        <f>+Info!$B$2</f>
        <v>724</v>
      </c>
      <c r="B597" s="694" t="s">
        <v>6111</v>
      </c>
      <c r="C597" s="694" t="s">
        <v>6112</v>
      </c>
      <c r="D597" s="695" t="s">
        <v>6113</v>
      </c>
      <c r="E597" s="696"/>
      <c r="F597" s="697"/>
      <c r="G597" s="697"/>
      <c r="H597" s="698"/>
      <c r="I597" s="698"/>
      <c r="J597" s="697"/>
      <c r="K597" s="697"/>
      <c r="L597" s="697"/>
      <c r="M597" s="697"/>
      <c r="N597" s="698"/>
      <c r="O597" s="698"/>
      <c r="P597" s="698"/>
      <c r="Q597" s="697"/>
      <c r="R597" s="698"/>
      <c r="S597" s="697"/>
      <c r="T597" s="697"/>
      <c r="U597" s="697"/>
      <c r="V597" s="697"/>
      <c r="W597" s="698"/>
      <c r="X597" s="698"/>
      <c r="Y597" s="697"/>
      <c r="Z597" s="697"/>
      <c r="AA597" s="697"/>
      <c r="AB597" s="697"/>
      <c r="AC597" s="697"/>
    </row>
    <row r="598" spans="1:29" x14ac:dyDescent="0.2">
      <c r="A598" s="694" t="str">
        <f>+Info!$B$2</f>
        <v>724</v>
      </c>
      <c r="B598" s="694" t="s">
        <v>6114</v>
      </c>
      <c r="C598" s="694" t="s">
        <v>6115</v>
      </c>
      <c r="D598" s="695" t="s">
        <v>6116</v>
      </c>
      <c r="E598" s="696"/>
      <c r="F598" s="697"/>
      <c r="G598" s="697"/>
      <c r="H598" s="698"/>
      <c r="I598" s="698"/>
      <c r="J598" s="697"/>
      <c r="K598" s="697"/>
      <c r="L598" s="697"/>
      <c r="M598" s="697"/>
      <c r="N598" s="698"/>
      <c r="O598" s="698"/>
      <c r="P598" s="698"/>
      <c r="Q598" s="697"/>
      <c r="R598" s="698"/>
      <c r="S598" s="697"/>
      <c r="T598" s="697"/>
      <c r="U598" s="697"/>
      <c r="V598" s="697"/>
      <c r="W598" s="698"/>
      <c r="X598" s="698"/>
      <c r="Y598" s="697"/>
      <c r="Z598" s="697"/>
      <c r="AA598" s="697"/>
      <c r="AB598" s="697"/>
      <c r="AC598" s="697"/>
    </row>
    <row r="599" spans="1:29" x14ac:dyDescent="0.2">
      <c r="A599" s="694" t="str">
        <f>+Info!$B$2</f>
        <v>724</v>
      </c>
      <c r="B599" s="694" t="s">
        <v>6117</v>
      </c>
      <c r="C599" s="694" t="s">
        <v>6118</v>
      </c>
      <c r="D599" s="695" t="s">
        <v>6119</v>
      </c>
      <c r="E599" s="696"/>
      <c r="F599" s="697"/>
      <c r="G599" s="697"/>
      <c r="H599" s="698"/>
      <c r="I599" s="698"/>
      <c r="J599" s="697"/>
      <c r="K599" s="697"/>
      <c r="L599" s="697"/>
      <c r="M599" s="697"/>
      <c r="N599" s="698"/>
      <c r="O599" s="698"/>
      <c r="P599" s="698"/>
      <c r="Q599" s="697"/>
      <c r="R599" s="698"/>
      <c r="S599" s="697"/>
      <c r="T599" s="697"/>
      <c r="U599" s="697"/>
      <c r="V599" s="697"/>
      <c r="W599" s="698"/>
      <c r="X599" s="698"/>
      <c r="Y599" s="697"/>
      <c r="Z599" s="697"/>
      <c r="AA599" s="697"/>
      <c r="AB599" s="697"/>
      <c r="AC599" s="697"/>
    </row>
    <row r="600" spans="1:29" x14ac:dyDescent="0.2">
      <c r="A600" s="694" t="str">
        <f>+Info!$B$2</f>
        <v>724</v>
      </c>
      <c r="B600" s="694" t="s">
        <v>6120</v>
      </c>
      <c r="C600" s="694" t="s">
        <v>6121</v>
      </c>
      <c r="D600" s="695" t="s">
        <v>6122</v>
      </c>
      <c r="E600" s="696"/>
      <c r="F600" s="697"/>
      <c r="G600" s="697"/>
      <c r="H600" s="698"/>
      <c r="I600" s="698"/>
      <c r="J600" s="697"/>
      <c r="K600" s="697"/>
      <c r="L600" s="697"/>
      <c r="M600" s="697"/>
      <c r="N600" s="698"/>
      <c r="O600" s="698"/>
      <c r="P600" s="698"/>
      <c r="Q600" s="697"/>
      <c r="R600" s="698"/>
      <c r="S600" s="697"/>
      <c r="T600" s="697"/>
      <c r="U600" s="697"/>
      <c r="V600" s="697"/>
      <c r="W600" s="698"/>
      <c r="X600" s="698"/>
      <c r="Y600" s="697"/>
      <c r="Z600" s="697"/>
      <c r="AA600" s="697"/>
      <c r="AB600" s="697"/>
      <c r="AC600" s="697"/>
    </row>
    <row r="601" spans="1:29" x14ac:dyDescent="0.2">
      <c r="A601" s="694" t="str">
        <f>+Info!$B$2</f>
        <v>724</v>
      </c>
      <c r="B601" s="694" t="s">
        <v>6123</v>
      </c>
      <c r="C601" s="694" t="s">
        <v>6124</v>
      </c>
      <c r="D601" s="695" t="s">
        <v>6125</v>
      </c>
      <c r="E601" s="696"/>
      <c r="F601" s="697"/>
      <c r="G601" s="697"/>
      <c r="H601" s="698"/>
      <c r="I601" s="698"/>
      <c r="J601" s="697"/>
      <c r="K601" s="697"/>
      <c r="L601" s="697"/>
      <c r="M601" s="697"/>
      <c r="N601" s="698"/>
      <c r="O601" s="698"/>
      <c r="P601" s="698"/>
      <c r="Q601" s="697"/>
      <c r="R601" s="698"/>
      <c r="S601" s="697"/>
      <c r="T601" s="697"/>
      <c r="U601" s="697"/>
      <c r="V601" s="697"/>
      <c r="W601" s="698"/>
      <c r="X601" s="698"/>
      <c r="Y601" s="697"/>
      <c r="Z601" s="697"/>
      <c r="AA601" s="697"/>
      <c r="AB601" s="697"/>
      <c r="AC601" s="697"/>
    </row>
    <row r="602" spans="1:29" x14ac:dyDescent="0.2">
      <c r="A602" s="694" t="str">
        <f>+Info!$B$2</f>
        <v>724</v>
      </c>
      <c r="B602" s="694" t="s">
        <v>6126</v>
      </c>
      <c r="C602" s="694" t="s">
        <v>6127</v>
      </c>
      <c r="D602" s="695" t="s">
        <v>6128</v>
      </c>
      <c r="E602" s="696"/>
      <c r="F602" s="697"/>
      <c r="G602" s="697"/>
      <c r="H602" s="698"/>
      <c r="I602" s="698"/>
      <c r="J602" s="697"/>
      <c r="K602" s="697"/>
      <c r="L602" s="697"/>
      <c r="M602" s="697"/>
      <c r="N602" s="698"/>
      <c r="O602" s="698"/>
      <c r="P602" s="698"/>
      <c r="Q602" s="697"/>
      <c r="R602" s="698"/>
      <c r="S602" s="697"/>
      <c r="T602" s="697"/>
      <c r="U602" s="697"/>
      <c r="V602" s="697"/>
      <c r="W602" s="698"/>
      <c r="X602" s="698"/>
      <c r="Y602" s="697"/>
      <c r="Z602" s="697"/>
      <c r="AA602" s="697"/>
      <c r="AB602" s="697"/>
      <c r="AC602" s="697"/>
    </row>
    <row r="603" spans="1:29" x14ac:dyDescent="0.2">
      <c r="A603" s="694" t="str">
        <f>+Info!$B$2</f>
        <v>724</v>
      </c>
      <c r="B603" s="694" t="s">
        <v>6129</v>
      </c>
      <c r="C603" s="694" t="s">
        <v>6130</v>
      </c>
      <c r="D603" s="695" t="s">
        <v>6131</v>
      </c>
      <c r="E603" s="696"/>
      <c r="F603" s="697"/>
      <c r="G603" s="697"/>
      <c r="H603" s="698"/>
      <c r="I603" s="698"/>
      <c r="J603" s="697"/>
      <c r="K603" s="697"/>
      <c r="L603" s="697"/>
      <c r="M603" s="697"/>
      <c r="N603" s="698"/>
      <c r="O603" s="698"/>
      <c r="P603" s="698"/>
      <c r="Q603" s="697"/>
      <c r="R603" s="698"/>
      <c r="S603" s="697"/>
      <c r="T603" s="697"/>
      <c r="U603" s="697"/>
      <c r="V603" s="697"/>
      <c r="W603" s="698"/>
      <c r="X603" s="698"/>
      <c r="Y603" s="697"/>
      <c r="Z603" s="697"/>
      <c r="AA603" s="697"/>
      <c r="AB603" s="697"/>
      <c r="AC603" s="697"/>
    </row>
    <row r="604" spans="1:29" x14ac:dyDescent="0.2">
      <c r="A604" s="694" t="str">
        <f>+Info!$B$2</f>
        <v>724</v>
      </c>
      <c r="B604" s="694" t="s">
        <v>6132</v>
      </c>
      <c r="C604" s="694" t="s">
        <v>6133</v>
      </c>
      <c r="D604" s="695" t="s">
        <v>6134</v>
      </c>
      <c r="E604" s="696"/>
      <c r="F604" s="697"/>
      <c r="G604" s="697"/>
      <c r="H604" s="698"/>
      <c r="I604" s="698"/>
      <c r="J604" s="697"/>
      <c r="K604" s="697"/>
      <c r="L604" s="697"/>
      <c r="M604" s="697"/>
      <c r="N604" s="698"/>
      <c r="O604" s="698"/>
      <c r="P604" s="698"/>
      <c r="Q604" s="697"/>
      <c r="R604" s="698"/>
      <c r="S604" s="697"/>
      <c r="T604" s="697"/>
      <c r="U604" s="697"/>
      <c r="V604" s="697"/>
      <c r="W604" s="698"/>
      <c r="X604" s="698"/>
      <c r="Y604" s="697"/>
      <c r="Z604" s="697"/>
      <c r="AA604" s="697"/>
      <c r="AB604" s="697"/>
      <c r="AC604" s="697"/>
    </row>
    <row r="605" spans="1:29" x14ac:dyDescent="0.2">
      <c r="A605" s="694" t="str">
        <f>+Info!$B$2</f>
        <v>724</v>
      </c>
      <c r="B605" s="694" t="s">
        <v>6135</v>
      </c>
      <c r="C605" s="694" t="s">
        <v>6136</v>
      </c>
      <c r="D605" s="695" t="s">
        <v>6137</v>
      </c>
      <c r="E605" s="696"/>
      <c r="F605" s="697"/>
      <c r="G605" s="697"/>
      <c r="H605" s="698"/>
      <c r="I605" s="698"/>
      <c r="J605" s="697"/>
      <c r="K605" s="697"/>
      <c r="L605" s="697"/>
      <c r="M605" s="697"/>
      <c r="N605" s="698"/>
      <c r="O605" s="698"/>
      <c r="P605" s="698"/>
      <c r="Q605" s="697"/>
      <c r="R605" s="698"/>
      <c r="S605" s="697"/>
      <c r="T605" s="697"/>
      <c r="U605" s="697"/>
      <c r="V605" s="697"/>
      <c r="W605" s="698"/>
      <c r="X605" s="698"/>
      <c r="Y605" s="697"/>
      <c r="Z605" s="697"/>
      <c r="AA605" s="697"/>
      <c r="AB605" s="697"/>
      <c r="AC605" s="697"/>
    </row>
    <row r="606" spans="1:29" x14ac:dyDescent="0.2">
      <c r="A606" s="694" t="str">
        <f>+Info!$B$2</f>
        <v>724</v>
      </c>
      <c r="B606" s="694" t="s">
        <v>6138</v>
      </c>
      <c r="C606" s="694" t="s">
        <v>6139</v>
      </c>
      <c r="D606" s="695" t="s">
        <v>6140</v>
      </c>
      <c r="E606" s="696"/>
      <c r="F606" s="697"/>
      <c r="G606" s="697"/>
      <c r="H606" s="698"/>
      <c r="I606" s="698"/>
      <c r="J606" s="697"/>
      <c r="K606" s="697"/>
      <c r="L606" s="697"/>
      <c r="M606" s="697"/>
      <c r="N606" s="698"/>
      <c r="O606" s="698"/>
      <c r="P606" s="698"/>
      <c r="Q606" s="697"/>
      <c r="R606" s="698"/>
      <c r="S606" s="697"/>
      <c r="T606" s="697"/>
      <c r="U606" s="697"/>
      <c r="V606" s="697"/>
      <c r="W606" s="698"/>
      <c r="X606" s="698"/>
      <c r="Y606" s="697"/>
      <c r="Z606" s="697"/>
      <c r="AA606" s="697"/>
      <c r="AB606" s="697"/>
      <c r="AC606" s="697"/>
    </row>
    <row r="607" spans="1:29" x14ac:dyDescent="0.2">
      <c r="A607" s="694" t="str">
        <f>+Info!$B$2</f>
        <v>724</v>
      </c>
      <c r="B607" s="694" t="s">
        <v>6141</v>
      </c>
      <c r="C607" s="694" t="s">
        <v>6142</v>
      </c>
      <c r="D607" s="695" t="s">
        <v>6143</v>
      </c>
      <c r="E607" s="696"/>
      <c r="F607" s="697"/>
      <c r="G607" s="697"/>
      <c r="H607" s="698"/>
      <c r="I607" s="698"/>
      <c r="J607" s="697"/>
      <c r="K607" s="697"/>
      <c r="L607" s="697"/>
      <c r="M607" s="697"/>
      <c r="N607" s="698"/>
      <c r="O607" s="698"/>
      <c r="P607" s="698"/>
      <c r="Q607" s="697"/>
      <c r="R607" s="698"/>
      <c r="S607" s="697"/>
      <c r="T607" s="697"/>
      <c r="U607" s="697"/>
      <c r="V607" s="697"/>
      <c r="W607" s="698"/>
      <c r="X607" s="698"/>
      <c r="Y607" s="697"/>
      <c r="Z607" s="697"/>
      <c r="AA607" s="697"/>
      <c r="AB607" s="698"/>
      <c r="AC607" s="698"/>
    </row>
    <row r="608" spans="1:29" x14ac:dyDescent="0.2">
      <c r="A608" s="694" t="str">
        <f>+Info!$B$2</f>
        <v>724</v>
      </c>
      <c r="B608" s="694" t="s">
        <v>6144</v>
      </c>
      <c r="C608" s="694" t="s">
        <v>6145</v>
      </c>
      <c r="D608" s="695" t="s">
        <v>6146</v>
      </c>
      <c r="E608" s="696"/>
      <c r="F608" s="697"/>
      <c r="G608" s="697"/>
      <c r="H608" s="698"/>
      <c r="I608" s="698"/>
      <c r="J608" s="697"/>
      <c r="K608" s="697"/>
      <c r="L608" s="697"/>
      <c r="M608" s="697"/>
      <c r="N608" s="698"/>
      <c r="O608" s="698"/>
      <c r="P608" s="698"/>
      <c r="Q608" s="697"/>
      <c r="R608" s="698"/>
      <c r="S608" s="697"/>
      <c r="T608" s="697"/>
      <c r="U608" s="697"/>
      <c r="V608" s="697"/>
      <c r="W608" s="698"/>
      <c r="X608" s="698"/>
      <c r="Y608" s="697"/>
      <c r="Z608" s="697"/>
      <c r="AA608" s="697"/>
      <c r="AB608" s="698"/>
      <c r="AC608" s="698"/>
    </row>
    <row r="609" spans="1:29" x14ac:dyDescent="0.2">
      <c r="A609" s="694" t="str">
        <f>+Info!$B$2</f>
        <v>724</v>
      </c>
      <c r="B609" s="694" t="s">
        <v>6147</v>
      </c>
      <c r="C609" s="694" t="s">
        <v>6148</v>
      </c>
      <c r="D609" s="695" t="s">
        <v>6149</v>
      </c>
      <c r="E609" s="696"/>
      <c r="F609" s="697"/>
      <c r="G609" s="697"/>
      <c r="H609" s="698"/>
      <c r="I609" s="698"/>
      <c r="J609" s="697"/>
      <c r="K609" s="697"/>
      <c r="L609" s="697"/>
      <c r="M609" s="697"/>
      <c r="N609" s="698"/>
      <c r="O609" s="698"/>
      <c r="P609" s="698"/>
      <c r="Q609" s="697"/>
      <c r="R609" s="698"/>
      <c r="S609" s="697"/>
      <c r="T609" s="697"/>
      <c r="U609" s="697"/>
      <c r="V609" s="697"/>
      <c r="W609" s="698"/>
      <c r="X609" s="698"/>
      <c r="Y609" s="697"/>
      <c r="Z609" s="697"/>
      <c r="AA609" s="697"/>
      <c r="AB609" s="697"/>
      <c r="AC609" s="697"/>
    </row>
    <row r="610" spans="1:29" x14ac:dyDescent="0.2">
      <c r="A610" s="694" t="str">
        <f>+Info!$B$2</f>
        <v>724</v>
      </c>
      <c r="B610" s="694" t="s">
        <v>6150</v>
      </c>
      <c r="C610" s="694" t="s">
        <v>6151</v>
      </c>
      <c r="D610" s="695" t="s">
        <v>6152</v>
      </c>
      <c r="E610" s="696"/>
      <c r="F610" s="697"/>
      <c r="G610" s="697"/>
      <c r="H610" s="698"/>
      <c r="I610" s="698"/>
      <c r="J610" s="697"/>
      <c r="K610" s="697"/>
      <c r="L610" s="697"/>
      <c r="M610" s="697"/>
      <c r="N610" s="698"/>
      <c r="O610" s="698"/>
      <c r="P610" s="698"/>
      <c r="Q610" s="697"/>
      <c r="R610" s="698"/>
      <c r="S610" s="697"/>
      <c r="T610" s="697"/>
      <c r="U610" s="697"/>
      <c r="V610" s="697"/>
      <c r="W610" s="698"/>
      <c r="X610" s="698"/>
      <c r="Y610" s="697"/>
      <c r="Z610" s="697"/>
      <c r="AA610" s="697"/>
      <c r="AB610" s="697"/>
      <c r="AC610" s="697"/>
    </row>
    <row r="611" spans="1:29" x14ac:dyDescent="0.2">
      <c r="A611" s="694" t="str">
        <f>+Info!$B$2</f>
        <v>724</v>
      </c>
      <c r="B611" s="694" t="s">
        <v>6153</v>
      </c>
      <c r="C611" s="694" t="s">
        <v>6154</v>
      </c>
      <c r="D611" s="695" t="s">
        <v>6155</v>
      </c>
      <c r="E611" s="696"/>
      <c r="F611" s="697"/>
      <c r="G611" s="697"/>
      <c r="H611" s="698"/>
      <c r="I611" s="698"/>
      <c r="J611" s="697"/>
      <c r="K611" s="697"/>
      <c r="L611" s="697"/>
      <c r="M611" s="697"/>
      <c r="N611" s="698"/>
      <c r="O611" s="698"/>
      <c r="P611" s="698"/>
      <c r="Q611" s="697"/>
      <c r="R611" s="698"/>
      <c r="S611" s="697"/>
      <c r="T611" s="697"/>
      <c r="U611" s="697"/>
      <c r="V611" s="697"/>
      <c r="W611" s="698"/>
      <c r="X611" s="698"/>
      <c r="Y611" s="697"/>
      <c r="Z611" s="697"/>
      <c r="AA611" s="697"/>
      <c r="AB611" s="697"/>
      <c r="AC611" s="697"/>
    </row>
    <row r="612" spans="1:29" x14ac:dyDescent="0.2">
      <c r="A612" s="694" t="str">
        <f>+Info!$B$2</f>
        <v>724</v>
      </c>
      <c r="B612" s="694" t="s">
        <v>6156</v>
      </c>
      <c r="C612" s="694" t="s">
        <v>6157</v>
      </c>
      <c r="D612" s="695" t="s">
        <v>6158</v>
      </c>
      <c r="E612" s="696"/>
      <c r="F612" s="697"/>
      <c r="G612" s="697"/>
      <c r="H612" s="698"/>
      <c r="I612" s="698"/>
      <c r="J612" s="697"/>
      <c r="K612" s="697"/>
      <c r="L612" s="697"/>
      <c r="M612" s="697"/>
      <c r="N612" s="698"/>
      <c r="O612" s="698"/>
      <c r="P612" s="698"/>
      <c r="Q612" s="697"/>
      <c r="R612" s="698"/>
      <c r="S612" s="697"/>
      <c r="T612" s="697"/>
      <c r="U612" s="697"/>
      <c r="V612" s="697"/>
      <c r="W612" s="698"/>
      <c r="X612" s="698"/>
      <c r="Y612" s="697"/>
      <c r="Z612" s="697"/>
      <c r="AA612" s="697"/>
      <c r="AB612" s="697"/>
      <c r="AC612" s="697"/>
    </row>
    <row r="613" spans="1:29" x14ac:dyDescent="0.2">
      <c r="A613" s="694" t="str">
        <f>+Info!$B$2</f>
        <v>724</v>
      </c>
      <c r="B613" s="694" t="s">
        <v>6159</v>
      </c>
      <c r="C613" s="694" t="s">
        <v>6160</v>
      </c>
      <c r="D613" s="695" t="s">
        <v>6161</v>
      </c>
      <c r="E613" s="696"/>
      <c r="F613" s="697"/>
      <c r="G613" s="697"/>
      <c r="H613" s="698"/>
      <c r="I613" s="698"/>
      <c r="J613" s="697"/>
      <c r="K613" s="697"/>
      <c r="L613" s="697"/>
      <c r="M613" s="697"/>
      <c r="N613" s="698"/>
      <c r="O613" s="698"/>
      <c r="P613" s="698"/>
      <c r="Q613" s="697"/>
      <c r="R613" s="698"/>
      <c r="S613" s="697"/>
      <c r="T613" s="697"/>
      <c r="U613" s="697"/>
      <c r="V613" s="697"/>
      <c r="W613" s="698"/>
      <c r="X613" s="698"/>
      <c r="Y613" s="697"/>
      <c r="Z613" s="697"/>
      <c r="AA613" s="697"/>
      <c r="AB613" s="697"/>
      <c r="AC613" s="697"/>
    </row>
    <row r="614" spans="1:29" x14ac:dyDescent="0.2">
      <c r="A614" s="694" t="str">
        <f>+Info!$B$2</f>
        <v>724</v>
      </c>
      <c r="B614" s="694" t="s">
        <v>6162</v>
      </c>
      <c r="C614" s="694" t="s">
        <v>6163</v>
      </c>
      <c r="D614" s="695" t="s">
        <v>6164</v>
      </c>
      <c r="E614" s="696"/>
      <c r="F614" s="697"/>
      <c r="G614" s="697"/>
      <c r="H614" s="698"/>
      <c r="I614" s="698"/>
      <c r="J614" s="697"/>
      <c r="K614" s="697"/>
      <c r="L614" s="697"/>
      <c r="M614" s="697"/>
      <c r="N614" s="698"/>
      <c r="O614" s="698"/>
      <c r="P614" s="698"/>
      <c r="Q614" s="697"/>
      <c r="R614" s="698"/>
      <c r="S614" s="697"/>
      <c r="T614" s="697"/>
      <c r="U614" s="697"/>
      <c r="V614" s="697"/>
      <c r="W614" s="698"/>
      <c r="X614" s="698"/>
      <c r="Y614" s="697"/>
      <c r="Z614" s="697"/>
      <c r="AA614" s="697"/>
      <c r="AB614" s="697"/>
      <c r="AC614" s="697"/>
    </row>
    <row r="615" spans="1:29" x14ac:dyDescent="0.2">
      <c r="A615" s="694" t="str">
        <f>+Info!$B$2</f>
        <v>724</v>
      </c>
      <c r="B615" s="694" t="s">
        <v>6165</v>
      </c>
      <c r="C615" s="694" t="s">
        <v>6166</v>
      </c>
      <c r="D615" s="695" t="s">
        <v>6167</v>
      </c>
      <c r="E615" s="696"/>
      <c r="F615" s="697"/>
      <c r="G615" s="697"/>
      <c r="H615" s="698"/>
      <c r="I615" s="698"/>
      <c r="J615" s="697"/>
      <c r="K615" s="697"/>
      <c r="L615" s="697"/>
      <c r="M615" s="697"/>
      <c r="N615" s="698"/>
      <c r="O615" s="698"/>
      <c r="P615" s="698"/>
      <c r="Q615" s="697"/>
      <c r="R615" s="698"/>
      <c r="S615" s="697"/>
      <c r="T615" s="697"/>
      <c r="U615" s="697"/>
      <c r="V615" s="697"/>
      <c r="W615" s="698"/>
      <c r="X615" s="698"/>
      <c r="Y615" s="697"/>
      <c r="Z615" s="697"/>
      <c r="AA615" s="697"/>
      <c r="AB615" s="697"/>
      <c r="AC615" s="697"/>
    </row>
    <row r="616" spans="1:29" x14ac:dyDescent="0.2">
      <c r="A616" s="694" t="str">
        <f>+Info!$B$2</f>
        <v>724</v>
      </c>
      <c r="B616" s="694" t="s">
        <v>6168</v>
      </c>
      <c r="C616" s="694" t="s">
        <v>6169</v>
      </c>
      <c r="D616" s="695" t="s">
        <v>6170</v>
      </c>
      <c r="E616" s="696"/>
      <c r="F616" s="697"/>
      <c r="G616" s="697"/>
      <c r="H616" s="698"/>
      <c r="I616" s="698"/>
      <c r="J616" s="697"/>
      <c r="K616" s="697"/>
      <c r="L616" s="697"/>
      <c r="M616" s="697"/>
      <c r="N616" s="698"/>
      <c r="O616" s="698"/>
      <c r="P616" s="698"/>
      <c r="Q616" s="697"/>
      <c r="R616" s="698"/>
      <c r="S616" s="697"/>
      <c r="T616" s="697"/>
      <c r="U616" s="697"/>
      <c r="V616" s="697"/>
      <c r="W616" s="698"/>
      <c r="X616" s="698"/>
      <c r="Y616" s="697"/>
      <c r="Z616" s="697"/>
      <c r="AA616" s="697"/>
      <c r="AB616" s="697"/>
      <c r="AC616" s="697"/>
    </row>
    <row r="617" spans="1:29" x14ac:dyDescent="0.2">
      <c r="A617" s="694" t="str">
        <f>+Info!$B$2</f>
        <v>724</v>
      </c>
      <c r="B617" s="694" t="s">
        <v>6171</v>
      </c>
      <c r="C617" s="694" t="s">
        <v>6172</v>
      </c>
      <c r="D617" s="695" t="s">
        <v>6173</v>
      </c>
      <c r="E617" s="696"/>
      <c r="F617" s="697"/>
      <c r="G617" s="697"/>
      <c r="H617" s="698"/>
      <c r="I617" s="698"/>
      <c r="J617" s="697"/>
      <c r="K617" s="697"/>
      <c r="L617" s="697"/>
      <c r="M617" s="697"/>
      <c r="N617" s="698"/>
      <c r="O617" s="698"/>
      <c r="P617" s="698"/>
      <c r="Q617" s="697"/>
      <c r="R617" s="698"/>
      <c r="S617" s="697"/>
      <c r="T617" s="697"/>
      <c r="U617" s="697"/>
      <c r="V617" s="697"/>
      <c r="W617" s="698"/>
      <c r="X617" s="698"/>
      <c r="Y617" s="697"/>
      <c r="Z617" s="697"/>
      <c r="AA617" s="697"/>
      <c r="AB617" s="697"/>
      <c r="AC617" s="697"/>
    </row>
    <row r="618" spans="1:29" x14ac:dyDescent="0.2">
      <c r="A618" s="694" t="str">
        <f>+Info!$B$2</f>
        <v>724</v>
      </c>
      <c r="B618" s="694" t="s">
        <v>6174</v>
      </c>
      <c r="C618" s="694" t="s">
        <v>6175</v>
      </c>
      <c r="D618" s="695" t="s">
        <v>6176</v>
      </c>
      <c r="E618" s="696"/>
      <c r="F618" s="697"/>
      <c r="G618" s="697"/>
      <c r="H618" s="698"/>
      <c r="I618" s="698"/>
      <c r="J618" s="697"/>
      <c r="K618" s="697"/>
      <c r="L618" s="697"/>
      <c r="M618" s="697"/>
      <c r="N618" s="698"/>
      <c r="O618" s="698"/>
      <c r="P618" s="698"/>
      <c r="Q618" s="697"/>
      <c r="R618" s="698"/>
      <c r="S618" s="697"/>
      <c r="T618" s="697"/>
      <c r="U618" s="697"/>
      <c r="V618" s="697"/>
      <c r="W618" s="698"/>
      <c r="X618" s="698"/>
      <c r="Y618" s="697"/>
      <c r="Z618" s="697"/>
      <c r="AA618" s="697"/>
      <c r="AB618" s="697"/>
      <c r="AC618" s="697"/>
    </row>
    <row r="619" spans="1:29" x14ac:dyDescent="0.2">
      <c r="A619" s="694" t="str">
        <f>+Info!$B$2</f>
        <v>724</v>
      </c>
      <c r="B619" s="694" t="s">
        <v>6177</v>
      </c>
      <c r="C619" s="694" t="s">
        <v>6178</v>
      </c>
      <c r="D619" s="695" t="s">
        <v>6179</v>
      </c>
      <c r="E619" s="696"/>
      <c r="F619" s="697"/>
      <c r="G619" s="697"/>
      <c r="H619" s="698"/>
      <c r="I619" s="698"/>
      <c r="J619" s="697"/>
      <c r="K619" s="697"/>
      <c r="L619" s="697"/>
      <c r="M619" s="697"/>
      <c r="N619" s="698"/>
      <c r="O619" s="698"/>
      <c r="P619" s="698"/>
      <c r="Q619" s="697"/>
      <c r="R619" s="698"/>
      <c r="S619" s="697"/>
      <c r="T619" s="697"/>
      <c r="U619" s="697"/>
      <c r="V619" s="697"/>
      <c r="W619" s="698"/>
      <c r="X619" s="698"/>
      <c r="Y619" s="697"/>
      <c r="Z619" s="697"/>
      <c r="AA619" s="697"/>
      <c r="AB619" s="698"/>
      <c r="AC619" s="698"/>
    </row>
    <row r="620" spans="1:29" x14ac:dyDescent="0.2">
      <c r="A620" s="694" t="str">
        <f>+Info!$B$2</f>
        <v>724</v>
      </c>
      <c r="B620" s="694" t="s">
        <v>6180</v>
      </c>
      <c r="C620" s="694" t="s">
        <v>6181</v>
      </c>
      <c r="D620" s="695" t="s">
        <v>6182</v>
      </c>
      <c r="E620" s="696"/>
      <c r="F620" s="697"/>
      <c r="G620" s="697"/>
      <c r="H620" s="698"/>
      <c r="I620" s="698"/>
      <c r="J620" s="697"/>
      <c r="K620" s="697"/>
      <c r="L620" s="697"/>
      <c r="M620" s="697"/>
      <c r="N620" s="698"/>
      <c r="O620" s="698"/>
      <c r="P620" s="698"/>
      <c r="Q620" s="697"/>
      <c r="R620" s="698"/>
      <c r="S620" s="697"/>
      <c r="T620" s="697"/>
      <c r="U620" s="697"/>
      <c r="V620" s="697"/>
      <c r="W620" s="698"/>
      <c r="X620" s="698"/>
      <c r="Y620" s="697"/>
      <c r="Z620" s="697"/>
      <c r="AA620" s="697"/>
      <c r="AB620" s="698"/>
      <c r="AC620" s="698"/>
    </row>
    <row r="621" spans="1:29" x14ac:dyDescent="0.2">
      <c r="A621" s="694" t="str">
        <f>+Info!$B$2</f>
        <v>724</v>
      </c>
      <c r="B621" s="694" t="s">
        <v>6183</v>
      </c>
      <c r="C621" s="694" t="s">
        <v>6184</v>
      </c>
      <c r="D621" s="695" t="s">
        <v>6185</v>
      </c>
      <c r="E621" s="696"/>
      <c r="F621" s="697"/>
      <c r="G621" s="697"/>
      <c r="H621" s="698"/>
      <c r="I621" s="698"/>
      <c r="J621" s="697"/>
      <c r="K621" s="697"/>
      <c r="L621" s="697"/>
      <c r="M621" s="697"/>
      <c r="N621" s="698"/>
      <c r="O621" s="698"/>
      <c r="P621" s="698"/>
      <c r="Q621" s="697"/>
      <c r="R621" s="698"/>
      <c r="S621" s="697"/>
      <c r="T621" s="697"/>
      <c r="U621" s="697"/>
      <c r="V621" s="697"/>
      <c r="W621" s="698"/>
      <c r="X621" s="698"/>
      <c r="Y621" s="697"/>
      <c r="Z621" s="697"/>
      <c r="AA621" s="697"/>
      <c r="AB621" s="697"/>
      <c r="AC621" s="697"/>
    </row>
    <row r="622" spans="1:29" x14ac:dyDescent="0.2">
      <c r="A622" s="694" t="str">
        <f>+Info!$B$2</f>
        <v>724</v>
      </c>
      <c r="B622" s="694" t="s">
        <v>6186</v>
      </c>
      <c r="C622" s="694" t="s">
        <v>6187</v>
      </c>
      <c r="D622" s="695" t="s">
        <v>6188</v>
      </c>
      <c r="E622" s="696"/>
      <c r="F622" s="697"/>
      <c r="G622" s="697"/>
      <c r="H622" s="698"/>
      <c r="I622" s="698"/>
      <c r="J622" s="697"/>
      <c r="K622" s="697"/>
      <c r="L622" s="697"/>
      <c r="M622" s="697"/>
      <c r="N622" s="698"/>
      <c r="O622" s="698"/>
      <c r="P622" s="698"/>
      <c r="Q622" s="697"/>
      <c r="R622" s="697"/>
      <c r="S622" s="698"/>
      <c r="T622" s="697"/>
      <c r="U622" s="697"/>
      <c r="V622" s="697"/>
      <c r="W622" s="698"/>
      <c r="X622" s="698"/>
      <c r="Y622" s="697"/>
      <c r="Z622" s="697"/>
      <c r="AA622" s="697"/>
      <c r="AB622" s="697"/>
      <c r="AC622" s="697"/>
    </row>
    <row r="623" spans="1:29" x14ac:dyDescent="0.2">
      <c r="A623" s="694" t="str">
        <f>+Info!$B$2</f>
        <v>724</v>
      </c>
      <c r="B623" s="694" t="s">
        <v>6189</v>
      </c>
      <c r="C623" s="694" t="s">
        <v>6190</v>
      </c>
      <c r="D623" s="695" t="s">
        <v>6191</v>
      </c>
      <c r="E623" s="696"/>
      <c r="F623" s="697"/>
      <c r="G623" s="697"/>
      <c r="H623" s="698"/>
      <c r="I623" s="698"/>
      <c r="J623" s="697"/>
      <c r="K623" s="697"/>
      <c r="L623" s="697"/>
      <c r="M623" s="697"/>
      <c r="N623" s="698"/>
      <c r="O623" s="698"/>
      <c r="P623" s="698"/>
      <c r="Q623" s="697"/>
      <c r="R623" s="697"/>
      <c r="S623" s="698"/>
      <c r="T623" s="697"/>
      <c r="U623" s="697"/>
      <c r="V623" s="697"/>
      <c r="W623" s="698"/>
      <c r="X623" s="698"/>
      <c r="Y623" s="697"/>
      <c r="Z623" s="697"/>
      <c r="AA623" s="697"/>
      <c r="AB623" s="697"/>
      <c r="AC623" s="697"/>
    </row>
    <row r="624" spans="1:29" x14ac:dyDescent="0.2">
      <c r="A624" s="694" t="str">
        <f>+Info!$B$2</f>
        <v>724</v>
      </c>
      <c r="B624" s="694" t="s">
        <v>6192</v>
      </c>
      <c r="C624" s="694" t="s">
        <v>6193</v>
      </c>
      <c r="D624" s="695" t="s">
        <v>6194</v>
      </c>
      <c r="E624" s="696"/>
      <c r="F624" s="697"/>
      <c r="G624" s="697"/>
      <c r="H624" s="698"/>
      <c r="I624" s="698"/>
      <c r="J624" s="697"/>
      <c r="K624" s="697"/>
      <c r="L624" s="697"/>
      <c r="M624" s="697"/>
      <c r="N624" s="698"/>
      <c r="O624" s="698"/>
      <c r="P624" s="698"/>
      <c r="Q624" s="697"/>
      <c r="R624" s="697"/>
      <c r="S624" s="698"/>
      <c r="T624" s="697"/>
      <c r="U624" s="697"/>
      <c r="V624" s="697"/>
      <c r="W624" s="698"/>
      <c r="X624" s="698"/>
      <c r="Y624" s="697"/>
      <c r="Z624" s="697"/>
      <c r="AA624" s="697"/>
      <c r="AB624" s="697"/>
      <c r="AC624" s="697"/>
    </row>
    <row r="625" spans="1:29" x14ac:dyDescent="0.2">
      <c r="A625" s="694" t="str">
        <f>+Info!$B$2</f>
        <v>724</v>
      </c>
      <c r="B625" s="694" t="s">
        <v>6195</v>
      </c>
      <c r="C625" s="694" t="s">
        <v>6196</v>
      </c>
      <c r="D625" s="695" t="s">
        <v>6197</v>
      </c>
      <c r="E625" s="696"/>
      <c r="F625" s="697"/>
      <c r="G625" s="697"/>
      <c r="H625" s="698"/>
      <c r="I625" s="698"/>
      <c r="J625" s="697"/>
      <c r="K625" s="697"/>
      <c r="L625" s="697"/>
      <c r="M625" s="697"/>
      <c r="N625" s="698"/>
      <c r="O625" s="698"/>
      <c r="P625" s="698"/>
      <c r="Q625" s="697"/>
      <c r="R625" s="697"/>
      <c r="S625" s="698"/>
      <c r="T625" s="697"/>
      <c r="U625" s="697"/>
      <c r="V625" s="697"/>
      <c r="W625" s="698"/>
      <c r="X625" s="698"/>
      <c r="Y625" s="697"/>
      <c r="Z625" s="697"/>
      <c r="AA625" s="697"/>
      <c r="AB625" s="697"/>
      <c r="AC625" s="697"/>
    </row>
    <row r="626" spans="1:29" x14ac:dyDescent="0.2">
      <c r="A626" s="694" t="str">
        <f>+Info!$B$2</f>
        <v>724</v>
      </c>
      <c r="B626" s="694" t="s">
        <v>6198</v>
      </c>
      <c r="C626" s="694" t="s">
        <v>6199</v>
      </c>
      <c r="D626" s="695" t="s">
        <v>6200</v>
      </c>
      <c r="E626" s="696"/>
      <c r="F626" s="697"/>
      <c r="G626" s="697"/>
      <c r="H626" s="698"/>
      <c r="I626" s="698"/>
      <c r="J626" s="697"/>
      <c r="K626" s="697"/>
      <c r="L626" s="697"/>
      <c r="M626" s="697"/>
      <c r="N626" s="698"/>
      <c r="O626" s="698"/>
      <c r="P626" s="698"/>
      <c r="Q626" s="697"/>
      <c r="R626" s="697"/>
      <c r="S626" s="698"/>
      <c r="T626" s="697"/>
      <c r="U626" s="697"/>
      <c r="V626" s="697"/>
      <c r="W626" s="698"/>
      <c r="X626" s="698"/>
      <c r="Y626" s="697"/>
      <c r="Z626" s="697"/>
      <c r="AA626" s="697"/>
      <c r="AB626" s="697"/>
      <c r="AC626" s="697"/>
    </row>
    <row r="627" spans="1:29" x14ac:dyDescent="0.2">
      <c r="A627" s="694" t="str">
        <f>+Info!$B$2</f>
        <v>724</v>
      </c>
      <c r="B627" s="694" t="s">
        <v>6201</v>
      </c>
      <c r="C627" s="694" t="s">
        <v>6202</v>
      </c>
      <c r="D627" s="695" t="s">
        <v>6203</v>
      </c>
      <c r="E627" s="696"/>
      <c r="F627" s="697"/>
      <c r="G627" s="697"/>
      <c r="H627" s="698"/>
      <c r="I627" s="698"/>
      <c r="J627" s="697"/>
      <c r="K627" s="697"/>
      <c r="L627" s="697"/>
      <c r="M627" s="697"/>
      <c r="N627" s="698"/>
      <c r="O627" s="698"/>
      <c r="P627" s="698"/>
      <c r="Q627" s="697"/>
      <c r="R627" s="697"/>
      <c r="S627" s="698"/>
      <c r="T627" s="697"/>
      <c r="U627" s="697"/>
      <c r="V627" s="697"/>
      <c r="W627" s="698"/>
      <c r="X627" s="698"/>
      <c r="Y627" s="697"/>
      <c r="Z627" s="697"/>
      <c r="AA627" s="697"/>
      <c r="AB627" s="697"/>
      <c r="AC627" s="697"/>
    </row>
    <row r="628" spans="1:29" x14ac:dyDescent="0.2">
      <c r="A628" s="694" t="str">
        <f>+Info!$B$2</f>
        <v>724</v>
      </c>
      <c r="B628" s="694" t="s">
        <v>6204</v>
      </c>
      <c r="C628" s="694" t="s">
        <v>6205</v>
      </c>
      <c r="D628" s="695" t="s">
        <v>6206</v>
      </c>
      <c r="E628" s="696"/>
      <c r="F628" s="697"/>
      <c r="G628" s="697"/>
      <c r="H628" s="698"/>
      <c r="I628" s="698"/>
      <c r="J628" s="697"/>
      <c r="K628" s="697"/>
      <c r="L628" s="697"/>
      <c r="M628" s="697"/>
      <c r="N628" s="698"/>
      <c r="O628" s="698"/>
      <c r="P628" s="698"/>
      <c r="Q628" s="697"/>
      <c r="R628" s="697"/>
      <c r="S628" s="698"/>
      <c r="T628" s="697"/>
      <c r="U628" s="697"/>
      <c r="V628" s="697"/>
      <c r="W628" s="698"/>
      <c r="X628" s="698"/>
      <c r="Y628" s="697"/>
      <c r="Z628" s="697"/>
      <c r="AA628" s="697"/>
      <c r="AB628" s="697"/>
      <c r="AC628" s="697"/>
    </row>
    <row r="629" spans="1:29" x14ac:dyDescent="0.2">
      <c r="A629" s="694" t="str">
        <f>+Info!$B$2</f>
        <v>724</v>
      </c>
      <c r="B629" s="694" t="s">
        <v>6207</v>
      </c>
      <c r="C629" s="694" t="s">
        <v>6208</v>
      </c>
      <c r="D629" s="695" t="s">
        <v>6209</v>
      </c>
      <c r="E629" s="696"/>
      <c r="F629" s="697"/>
      <c r="G629" s="697"/>
      <c r="H629" s="698"/>
      <c r="I629" s="698"/>
      <c r="J629" s="697"/>
      <c r="K629" s="697"/>
      <c r="L629" s="697"/>
      <c r="M629" s="697"/>
      <c r="N629" s="698"/>
      <c r="O629" s="698"/>
      <c r="P629" s="698"/>
      <c r="Q629" s="697"/>
      <c r="R629" s="697"/>
      <c r="S629" s="698"/>
      <c r="T629" s="697"/>
      <c r="U629" s="697"/>
      <c r="V629" s="697"/>
      <c r="W629" s="698"/>
      <c r="X629" s="698"/>
      <c r="Y629" s="697"/>
      <c r="Z629" s="697"/>
      <c r="AA629" s="697"/>
      <c r="AB629" s="697"/>
      <c r="AC629" s="697"/>
    </row>
    <row r="630" spans="1:29" x14ac:dyDescent="0.2">
      <c r="A630" s="694" t="str">
        <f>+Info!$B$2</f>
        <v>724</v>
      </c>
      <c r="B630" s="694" t="s">
        <v>6210</v>
      </c>
      <c r="C630" s="694" t="s">
        <v>6211</v>
      </c>
      <c r="D630" s="695" t="s">
        <v>6212</v>
      </c>
      <c r="E630" s="696"/>
      <c r="F630" s="697"/>
      <c r="G630" s="697"/>
      <c r="H630" s="698"/>
      <c r="I630" s="698"/>
      <c r="J630" s="697"/>
      <c r="K630" s="697"/>
      <c r="L630" s="697"/>
      <c r="M630" s="697"/>
      <c r="N630" s="698"/>
      <c r="O630" s="698"/>
      <c r="P630" s="698"/>
      <c r="Q630" s="697"/>
      <c r="R630" s="697"/>
      <c r="S630" s="698"/>
      <c r="T630" s="697"/>
      <c r="U630" s="697"/>
      <c r="V630" s="697"/>
      <c r="W630" s="698"/>
      <c r="X630" s="698"/>
      <c r="Y630" s="697"/>
      <c r="Z630" s="697"/>
      <c r="AA630" s="697"/>
      <c r="AB630" s="698"/>
      <c r="AC630" s="698"/>
    </row>
    <row r="631" spans="1:29" x14ac:dyDescent="0.2">
      <c r="A631" s="694" t="str">
        <f>+Info!$B$2</f>
        <v>724</v>
      </c>
      <c r="B631" s="694" t="s">
        <v>6213</v>
      </c>
      <c r="C631" s="694" t="s">
        <v>6214</v>
      </c>
      <c r="D631" s="695" t="s">
        <v>6215</v>
      </c>
      <c r="E631" s="696"/>
      <c r="F631" s="697"/>
      <c r="G631" s="697"/>
      <c r="H631" s="698"/>
      <c r="I631" s="698"/>
      <c r="J631" s="697"/>
      <c r="K631" s="697"/>
      <c r="L631" s="697"/>
      <c r="M631" s="697"/>
      <c r="N631" s="698"/>
      <c r="O631" s="698"/>
      <c r="P631" s="698"/>
      <c r="Q631" s="697"/>
      <c r="R631" s="697"/>
      <c r="S631" s="698"/>
      <c r="T631" s="697"/>
      <c r="U631" s="697"/>
      <c r="V631" s="697"/>
      <c r="W631" s="698"/>
      <c r="X631" s="698"/>
      <c r="Y631" s="697"/>
      <c r="Z631" s="697"/>
      <c r="AA631" s="697"/>
      <c r="AB631" s="698"/>
      <c r="AC631" s="698"/>
    </row>
    <row r="632" spans="1:29" x14ac:dyDescent="0.2">
      <c r="A632" s="694" t="str">
        <f>+Info!$B$2</f>
        <v>724</v>
      </c>
      <c r="B632" s="694" t="s">
        <v>6216</v>
      </c>
      <c r="C632" s="694" t="s">
        <v>6217</v>
      </c>
      <c r="D632" s="695" t="s">
        <v>6218</v>
      </c>
      <c r="E632" s="696"/>
      <c r="F632" s="697"/>
      <c r="G632" s="697"/>
      <c r="H632" s="698"/>
      <c r="I632" s="698"/>
      <c r="J632" s="697"/>
      <c r="K632" s="697"/>
      <c r="L632" s="697"/>
      <c r="M632" s="697"/>
      <c r="N632" s="698"/>
      <c r="O632" s="698"/>
      <c r="P632" s="698"/>
      <c r="Q632" s="697"/>
      <c r="R632" s="697"/>
      <c r="S632" s="698"/>
      <c r="T632" s="697"/>
      <c r="U632" s="697"/>
      <c r="V632" s="697"/>
      <c r="W632" s="698"/>
      <c r="X632" s="698"/>
      <c r="Y632" s="697"/>
      <c r="Z632" s="697"/>
      <c r="AA632" s="697"/>
      <c r="AB632" s="697"/>
      <c r="AC632" s="697"/>
    </row>
    <row r="633" spans="1:29" x14ac:dyDescent="0.2">
      <c r="A633" s="694" t="str">
        <f>+Info!$B$2</f>
        <v>724</v>
      </c>
      <c r="B633" s="694" t="s">
        <v>6219</v>
      </c>
      <c r="C633" s="694" t="s">
        <v>6220</v>
      </c>
      <c r="D633" s="695" t="s">
        <v>6221</v>
      </c>
      <c r="E633" s="696"/>
      <c r="F633" s="697"/>
      <c r="G633" s="697"/>
      <c r="H633" s="698"/>
      <c r="I633" s="698"/>
      <c r="J633" s="697"/>
      <c r="K633" s="697"/>
      <c r="L633" s="697"/>
      <c r="M633" s="697"/>
      <c r="N633" s="698"/>
      <c r="O633" s="698"/>
      <c r="P633" s="698"/>
      <c r="Q633" s="697"/>
      <c r="R633" s="697"/>
      <c r="S633" s="698"/>
      <c r="T633" s="697"/>
      <c r="U633" s="697"/>
      <c r="V633" s="697"/>
      <c r="W633" s="698"/>
      <c r="X633" s="698"/>
      <c r="Y633" s="697"/>
      <c r="Z633" s="697"/>
      <c r="AA633" s="697"/>
      <c r="AB633" s="697"/>
      <c r="AC633" s="697"/>
    </row>
    <row r="634" spans="1:29" x14ac:dyDescent="0.2">
      <c r="A634" s="694" t="str">
        <f>+Info!$B$2</f>
        <v>724</v>
      </c>
      <c r="B634" s="694" t="s">
        <v>6222</v>
      </c>
      <c r="C634" s="694" t="s">
        <v>6223</v>
      </c>
      <c r="D634" s="695" t="s">
        <v>6224</v>
      </c>
      <c r="E634" s="696"/>
      <c r="F634" s="697"/>
      <c r="G634" s="697"/>
      <c r="H634" s="698"/>
      <c r="I634" s="698"/>
      <c r="J634" s="697"/>
      <c r="K634" s="697"/>
      <c r="L634" s="697"/>
      <c r="M634" s="697"/>
      <c r="N634" s="698"/>
      <c r="O634" s="698"/>
      <c r="P634" s="698"/>
      <c r="Q634" s="697"/>
      <c r="R634" s="697"/>
      <c r="S634" s="698"/>
      <c r="T634" s="697"/>
      <c r="U634" s="697"/>
      <c r="V634" s="697"/>
      <c r="W634" s="698"/>
      <c r="X634" s="698"/>
      <c r="Y634" s="697"/>
      <c r="Z634" s="697"/>
      <c r="AA634" s="697"/>
      <c r="AB634" s="697"/>
      <c r="AC634" s="697"/>
    </row>
    <row r="635" spans="1:29" x14ac:dyDescent="0.2">
      <c r="A635" s="694" t="str">
        <f>+Info!$B$2</f>
        <v>724</v>
      </c>
      <c r="B635" s="694" t="s">
        <v>6225</v>
      </c>
      <c r="C635" s="694" t="s">
        <v>6226</v>
      </c>
      <c r="D635" s="695" t="s">
        <v>6227</v>
      </c>
      <c r="E635" s="696"/>
      <c r="F635" s="697"/>
      <c r="G635" s="697"/>
      <c r="H635" s="698"/>
      <c r="I635" s="698"/>
      <c r="J635" s="697"/>
      <c r="K635" s="697"/>
      <c r="L635" s="697"/>
      <c r="M635" s="697"/>
      <c r="N635" s="698"/>
      <c r="O635" s="698"/>
      <c r="P635" s="698"/>
      <c r="Q635" s="697"/>
      <c r="R635" s="697"/>
      <c r="S635" s="698"/>
      <c r="T635" s="697"/>
      <c r="U635" s="697"/>
      <c r="V635" s="697"/>
      <c r="W635" s="698"/>
      <c r="X635" s="698"/>
      <c r="Y635" s="697"/>
      <c r="Z635" s="697"/>
      <c r="AA635" s="697"/>
      <c r="AB635" s="697"/>
      <c r="AC635" s="697"/>
    </row>
    <row r="636" spans="1:29" x14ac:dyDescent="0.2">
      <c r="A636" s="694" t="str">
        <f>+Info!$B$2</f>
        <v>724</v>
      </c>
      <c r="B636" s="694" t="s">
        <v>6228</v>
      </c>
      <c r="C636" s="694" t="s">
        <v>6229</v>
      </c>
      <c r="D636" s="695" t="s">
        <v>6230</v>
      </c>
      <c r="E636" s="696"/>
      <c r="F636" s="697"/>
      <c r="G636" s="697"/>
      <c r="H636" s="698"/>
      <c r="I636" s="698"/>
      <c r="J636" s="697"/>
      <c r="K636" s="697"/>
      <c r="L636" s="697"/>
      <c r="M636" s="697"/>
      <c r="N636" s="698"/>
      <c r="O636" s="698"/>
      <c r="P636" s="698"/>
      <c r="Q636" s="697"/>
      <c r="R636" s="697"/>
      <c r="S636" s="698"/>
      <c r="T636" s="697"/>
      <c r="U636" s="697"/>
      <c r="V636" s="697"/>
      <c r="W636" s="698"/>
      <c r="X636" s="698"/>
      <c r="Y636" s="697"/>
      <c r="Z636" s="697"/>
      <c r="AA636" s="697"/>
      <c r="AB636" s="697"/>
      <c r="AC636" s="697"/>
    </row>
    <row r="637" spans="1:29" x14ac:dyDescent="0.2">
      <c r="A637" s="694" t="str">
        <f>+Info!$B$2</f>
        <v>724</v>
      </c>
      <c r="B637" s="694" t="s">
        <v>6231</v>
      </c>
      <c r="C637" s="694" t="s">
        <v>6232</v>
      </c>
      <c r="D637" s="695" t="s">
        <v>6233</v>
      </c>
      <c r="E637" s="696"/>
      <c r="F637" s="697"/>
      <c r="G637" s="697"/>
      <c r="H637" s="698"/>
      <c r="I637" s="698"/>
      <c r="J637" s="697"/>
      <c r="K637" s="697"/>
      <c r="L637" s="697"/>
      <c r="M637" s="697"/>
      <c r="N637" s="698"/>
      <c r="O637" s="698"/>
      <c r="P637" s="698"/>
      <c r="Q637" s="697"/>
      <c r="R637" s="697"/>
      <c r="S637" s="698"/>
      <c r="T637" s="697"/>
      <c r="U637" s="697"/>
      <c r="V637" s="697"/>
      <c r="W637" s="698"/>
      <c r="X637" s="698"/>
      <c r="Y637" s="697"/>
      <c r="Z637" s="697"/>
      <c r="AA637" s="697"/>
      <c r="AB637" s="697"/>
      <c r="AC637" s="697"/>
    </row>
    <row r="638" spans="1:29" x14ac:dyDescent="0.2">
      <c r="A638" s="694" t="str">
        <f>+Info!$B$2</f>
        <v>724</v>
      </c>
      <c r="B638" s="694" t="s">
        <v>6234</v>
      </c>
      <c r="C638" s="694" t="s">
        <v>6235</v>
      </c>
      <c r="D638" s="695" t="s">
        <v>6236</v>
      </c>
      <c r="E638" s="696"/>
      <c r="F638" s="697"/>
      <c r="G638" s="697"/>
      <c r="H638" s="698"/>
      <c r="I638" s="698"/>
      <c r="J638" s="697"/>
      <c r="K638" s="697"/>
      <c r="L638" s="697"/>
      <c r="M638" s="697"/>
      <c r="N638" s="698"/>
      <c r="O638" s="698"/>
      <c r="P638" s="698"/>
      <c r="Q638" s="697"/>
      <c r="R638" s="697"/>
      <c r="S638" s="698"/>
      <c r="T638" s="697"/>
      <c r="U638" s="697"/>
      <c r="V638" s="697"/>
      <c r="W638" s="698"/>
      <c r="X638" s="698"/>
      <c r="Y638" s="697"/>
      <c r="Z638" s="697"/>
      <c r="AA638" s="697"/>
      <c r="AB638" s="697"/>
      <c r="AC638" s="697"/>
    </row>
    <row r="639" spans="1:29" x14ac:dyDescent="0.2">
      <c r="A639" s="694" t="str">
        <f>+Info!$B$2</f>
        <v>724</v>
      </c>
      <c r="B639" s="694" t="s">
        <v>6237</v>
      </c>
      <c r="C639" s="694" t="s">
        <v>6238</v>
      </c>
      <c r="D639" s="695" t="s">
        <v>6239</v>
      </c>
      <c r="E639" s="696"/>
      <c r="F639" s="697"/>
      <c r="G639" s="697"/>
      <c r="H639" s="698"/>
      <c r="I639" s="698"/>
      <c r="J639" s="697"/>
      <c r="K639" s="697"/>
      <c r="L639" s="697"/>
      <c r="M639" s="697"/>
      <c r="N639" s="698"/>
      <c r="O639" s="698"/>
      <c r="P639" s="698"/>
      <c r="Q639" s="697"/>
      <c r="R639" s="697"/>
      <c r="S639" s="698"/>
      <c r="T639" s="697"/>
      <c r="U639" s="697"/>
      <c r="V639" s="697"/>
      <c r="W639" s="698"/>
      <c r="X639" s="698"/>
      <c r="Y639" s="697"/>
      <c r="Z639" s="697"/>
      <c r="AA639" s="697"/>
      <c r="AB639" s="697"/>
      <c r="AC639" s="697"/>
    </row>
    <row r="640" spans="1:29" x14ac:dyDescent="0.2">
      <c r="A640" s="694" t="str">
        <f>+Info!$B$2</f>
        <v>724</v>
      </c>
      <c r="B640" s="694" t="s">
        <v>6240</v>
      </c>
      <c r="C640" s="694" t="s">
        <v>6241</v>
      </c>
      <c r="D640" s="695" t="s">
        <v>6242</v>
      </c>
      <c r="E640" s="696"/>
      <c r="F640" s="697"/>
      <c r="G640" s="697"/>
      <c r="H640" s="698"/>
      <c r="I640" s="698"/>
      <c r="J640" s="697"/>
      <c r="K640" s="697"/>
      <c r="L640" s="697"/>
      <c r="M640" s="697"/>
      <c r="N640" s="698"/>
      <c r="O640" s="698"/>
      <c r="P640" s="698"/>
      <c r="Q640" s="697"/>
      <c r="R640" s="697"/>
      <c r="S640" s="698"/>
      <c r="T640" s="697"/>
      <c r="U640" s="697"/>
      <c r="V640" s="697"/>
      <c r="W640" s="698"/>
      <c r="X640" s="698"/>
      <c r="Y640" s="697"/>
      <c r="Z640" s="697"/>
      <c r="AA640" s="697"/>
      <c r="AB640" s="697"/>
      <c r="AC640" s="697"/>
    </row>
    <row r="641" spans="1:29" x14ac:dyDescent="0.2">
      <c r="A641" s="694" t="str">
        <f>+Info!$B$2</f>
        <v>724</v>
      </c>
      <c r="B641" s="694" t="s">
        <v>6243</v>
      </c>
      <c r="C641" s="694" t="s">
        <v>6244</v>
      </c>
      <c r="D641" s="695" t="s">
        <v>6245</v>
      </c>
      <c r="E641" s="696"/>
      <c r="F641" s="697"/>
      <c r="G641" s="697"/>
      <c r="H641" s="698"/>
      <c r="I641" s="698"/>
      <c r="J641" s="697"/>
      <c r="K641" s="697"/>
      <c r="L641" s="697"/>
      <c r="M641" s="697"/>
      <c r="N641" s="698"/>
      <c r="O641" s="698"/>
      <c r="P641" s="698"/>
      <c r="Q641" s="697"/>
      <c r="R641" s="697"/>
      <c r="S641" s="698"/>
      <c r="T641" s="697"/>
      <c r="U641" s="697"/>
      <c r="V641" s="697"/>
      <c r="W641" s="698"/>
      <c r="X641" s="698"/>
      <c r="Y641" s="697"/>
      <c r="Z641" s="697"/>
      <c r="AA641" s="697"/>
      <c r="AB641" s="698"/>
      <c r="AC641" s="698"/>
    </row>
    <row r="642" spans="1:29" x14ac:dyDescent="0.2">
      <c r="A642" s="694" t="str">
        <f>+Info!$B$2</f>
        <v>724</v>
      </c>
      <c r="B642" s="694" t="s">
        <v>6246</v>
      </c>
      <c r="C642" s="694" t="s">
        <v>6247</v>
      </c>
      <c r="D642" s="695" t="s">
        <v>6248</v>
      </c>
      <c r="E642" s="696"/>
      <c r="F642" s="697"/>
      <c r="G642" s="697"/>
      <c r="H642" s="698"/>
      <c r="I642" s="698"/>
      <c r="J642" s="697"/>
      <c r="K642" s="697"/>
      <c r="L642" s="697"/>
      <c r="M642" s="697"/>
      <c r="N642" s="698"/>
      <c r="O642" s="698"/>
      <c r="P642" s="698"/>
      <c r="Q642" s="697"/>
      <c r="R642" s="697"/>
      <c r="S642" s="698"/>
      <c r="T642" s="697"/>
      <c r="U642" s="697"/>
      <c r="V642" s="697"/>
      <c r="W642" s="698"/>
      <c r="X642" s="698"/>
      <c r="Y642" s="697"/>
      <c r="Z642" s="697"/>
      <c r="AA642" s="697"/>
      <c r="AB642" s="698"/>
      <c r="AC642" s="698"/>
    </row>
    <row r="643" spans="1:29" x14ac:dyDescent="0.2">
      <c r="A643" s="694" t="str">
        <f>+Info!$B$2</f>
        <v>724</v>
      </c>
      <c r="B643" s="694" t="s">
        <v>6249</v>
      </c>
      <c r="C643" s="694" t="s">
        <v>6250</v>
      </c>
      <c r="D643" s="695" t="s">
        <v>6251</v>
      </c>
      <c r="E643" s="696"/>
      <c r="F643" s="697"/>
      <c r="G643" s="697"/>
      <c r="H643" s="698"/>
      <c r="I643" s="698"/>
      <c r="J643" s="697"/>
      <c r="K643" s="697"/>
      <c r="L643" s="697"/>
      <c r="M643" s="697"/>
      <c r="N643" s="698"/>
      <c r="O643" s="698"/>
      <c r="P643" s="698"/>
      <c r="Q643" s="697"/>
      <c r="R643" s="697"/>
      <c r="S643" s="698"/>
      <c r="T643" s="697"/>
      <c r="U643" s="697"/>
      <c r="V643" s="697"/>
      <c r="W643" s="698"/>
      <c r="X643" s="698"/>
      <c r="Y643" s="697"/>
      <c r="Z643" s="697"/>
      <c r="AA643" s="697"/>
      <c r="AB643" s="697"/>
      <c r="AC643" s="697"/>
    </row>
    <row r="644" spans="1:29" x14ac:dyDescent="0.2">
      <c r="A644" s="694" t="str">
        <f>+Info!$B$2</f>
        <v>724</v>
      </c>
      <c r="B644" s="694" t="s">
        <v>6252</v>
      </c>
      <c r="C644" s="694" t="s">
        <v>6253</v>
      </c>
      <c r="D644" s="695" t="s">
        <v>6254</v>
      </c>
      <c r="E644" s="696"/>
      <c r="F644" s="697"/>
      <c r="G644" s="697"/>
      <c r="H644" s="698"/>
      <c r="I644" s="698"/>
      <c r="J644" s="697"/>
      <c r="K644" s="697"/>
      <c r="L644" s="697"/>
      <c r="M644" s="697"/>
      <c r="N644" s="698"/>
      <c r="O644" s="698"/>
      <c r="P644" s="698"/>
      <c r="Q644" s="697"/>
      <c r="R644" s="697"/>
      <c r="S644" s="698"/>
      <c r="T644" s="697"/>
      <c r="U644" s="697"/>
      <c r="V644" s="697"/>
      <c r="W644" s="698"/>
      <c r="X644" s="698"/>
      <c r="Y644" s="697"/>
      <c r="Z644" s="697"/>
      <c r="AA644" s="697"/>
      <c r="AB644" s="697"/>
      <c r="AC644" s="697"/>
    </row>
    <row r="645" spans="1:29" x14ac:dyDescent="0.2">
      <c r="A645" s="694" t="str">
        <f>+Info!$B$2</f>
        <v>724</v>
      </c>
      <c r="B645" s="694" t="s">
        <v>6255</v>
      </c>
      <c r="C645" s="694" t="s">
        <v>6256</v>
      </c>
      <c r="D645" s="695" t="s">
        <v>6257</v>
      </c>
      <c r="E645" s="696"/>
      <c r="F645" s="697"/>
      <c r="G645" s="697"/>
      <c r="H645" s="698"/>
      <c r="I645" s="698"/>
      <c r="J645" s="697"/>
      <c r="K645" s="697"/>
      <c r="L645" s="697"/>
      <c r="M645" s="697"/>
      <c r="N645" s="698"/>
      <c r="O645" s="698"/>
      <c r="P645" s="698"/>
      <c r="Q645" s="697"/>
      <c r="R645" s="697"/>
      <c r="S645" s="698"/>
      <c r="T645" s="697"/>
      <c r="U645" s="697"/>
      <c r="V645" s="697"/>
      <c r="W645" s="698"/>
      <c r="X645" s="698"/>
      <c r="Y645" s="697"/>
      <c r="Z645" s="697"/>
      <c r="AA645" s="697"/>
      <c r="AB645" s="697"/>
      <c r="AC645" s="697"/>
    </row>
    <row r="646" spans="1:29" x14ac:dyDescent="0.2">
      <c r="A646" s="694" t="str">
        <f>+Info!$B$2</f>
        <v>724</v>
      </c>
      <c r="B646" s="694" t="s">
        <v>6258</v>
      </c>
      <c r="C646" s="694" t="s">
        <v>6259</v>
      </c>
      <c r="D646" s="695" t="s">
        <v>6260</v>
      </c>
      <c r="E646" s="696"/>
      <c r="F646" s="697"/>
      <c r="G646" s="697"/>
      <c r="H646" s="698"/>
      <c r="I646" s="698"/>
      <c r="J646" s="697"/>
      <c r="K646" s="697"/>
      <c r="L646" s="697"/>
      <c r="M646" s="697"/>
      <c r="N646" s="698"/>
      <c r="O646" s="698"/>
      <c r="P646" s="698"/>
      <c r="Q646" s="697"/>
      <c r="R646" s="697"/>
      <c r="S646" s="698"/>
      <c r="T646" s="697"/>
      <c r="U646" s="697"/>
      <c r="V646" s="697"/>
      <c r="W646" s="698"/>
      <c r="X646" s="698"/>
      <c r="Y646" s="697"/>
      <c r="Z646" s="697"/>
      <c r="AA646" s="697"/>
      <c r="AB646" s="697"/>
      <c r="AC646" s="697"/>
    </row>
    <row r="647" spans="1:29" x14ac:dyDescent="0.2">
      <c r="A647" s="694" t="str">
        <f>+Info!$B$2</f>
        <v>724</v>
      </c>
      <c r="B647" s="694" t="s">
        <v>6261</v>
      </c>
      <c r="C647" s="694" t="s">
        <v>6262</v>
      </c>
      <c r="D647" s="695" t="s">
        <v>6263</v>
      </c>
      <c r="E647" s="696"/>
      <c r="F647" s="697"/>
      <c r="G647" s="697"/>
      <c r="H647" s="698"/>
      <c r="I647" s="698"/>
      <c r="J647" s="697"/>
      <c r="K647" s="697"/>
      <c r="L647" s="697"/>
      <c r="M647" s="697"/>
      <c r="N647" s="698"/>
      <c r="O647" s="698"/>
      <c r="P647" s="698"/>
      <c r="Q647" s="697"/>
      <c r="R647" s="697"/>
      <c r="S647" s="698"/>
      <c r="T647" s="697"/>
      <c r="U647" s="697"/>
      <c r="V647" s="697"/>
      <c r="W647" s="698"/>
      <c r="X647" s="698"/>
      <c r="Y647" s="697"/>
      <c r="Z647" s="697"/>
      <c r="AA647" s="697"/>
      <c r="AB647" s="697"/>
      <c r="AC647" s="697"/>
    </row>
    <row r="648" spans="1:29" x14ac:dyDescent="0.2">
      <c r="A648" s="694" t="str">
        <f>+Info!$B$2</f>
        <v>724</v>
      </c>
      <c r="B648" s="694" t="s">
        <v>6264</v>
      </c>
      <c r="C648" s="694" t="s">
        <v>6265</v>
      </c>
      <c r="D648" s="695" t="s">
        <v>6266</v>
      </c>
      <c r="E648" s="696"/>
      <c r="F648" s="697"/>
      <c r="G648" s="697"/>
      <c r="H648" s="698"/>
      <c r="I648" s="698"/>
      <c r="J648" s="697"/>
      <c r="K648" s="697"/>
      <c r="L648" s="697"/>
      <c r="M648" s="697"/>
      <c r="N648" s="698"/>
      <c r="O648" s="698"/>
      <c r="P648" s="698"/>
      <c r="Q648" s="697"/>
      <c r="R648" s="697"/>
      <c r="S648" s="698"/>
      <c r="T648" s="697"/>
      <c r="U648" s="697"/>
      <c r="V648" s="697"/>
      <c r="W648" s="698"/>
      <c r="X648" s="698"/>
      <c r="Y648" s="697"/>
      <c r="Z648" s="697"/>
      <c r="AA648" s="697"/>
      <c r="AB648" s="697"/>
      <c r="AC648" s="697"/>
    </row>
    <row r="649" spans="1:29" x14ac:dyDescent="0.2">
      <c r="A649" s="694" t="str">
        <f>+Info!$B$2</f>
        <v>724</v>
      </c>
      <c r="B649" s="694" t="s">
        <v>6267</v>
      </c>
      <c r="C649" s="694" t="s">
        <v>6268</v>
      </c>
      <c r="D649" s="695" t="s">
        <v>6269</v>
      </c>
      <c r="E649" s="696"/>
      <c r="F649" s="697"/>
      <c r="G649" s="697"/>
      <c r="H649" s="698"/>
      <c r="I649" s="698"/>
      <c r="J649" s="697"/>
      <c r="K649" s="697"/>
      <c r="L649" s="697"/>
      <c r="M649" s="697"/>
      <c r="N649" s="698"/>
      <c r="O649" s="698"/>
      <c r="P649" s="698"/>
      <c r="Q649" s="697"/>
      <c r="R649" s="697"/>
      <c r="S649" s="698"/>
      <c r="T649" s="697"/>
      <c r="U649" s="697"/>
      <c r="V649" s="697"/>
      <c r="W649" s="698"/>
      <c r="X649" s="698"/>
      <c r="Y649" s="697"/>
      <c r="Z649" s="697"/>
      <c r="AA649" s="697"/>
      <c r="AB649" s="697"/>
      <c r="AC649" s="697"/>
    </row>
    <row r="650" spans="1:29" x14ac:dyDescent="0.2">
      <c r="A650" s="694" t="str">
        <f>+Info!$B$2</f>
        <v>724</v>
      </c>
      <c r="B650" s="694" t="s">
        <v>6270</v>
      </c>
      <c r="C650" s="694" t="s">
        <v>6271</v>
      </c>
      <c r="D650" s="695" t="s">
        <v>6272</v>
      </c>
      <c r="E650" s="696"/>
      <c r="F650" s="697"/>
      <c r="G650" s="697"/>
      <c r="H650" s="698"/>
      <c r="I650" s="698"/>
      <c r="J650" s="697"/>
      <c r="K650" s="697"/>
      <c r="L650" s="697"/>
      <c r="M650" s="697"/>
      <c r="N650" s="698"/>
      <c r="O650" s="698"/>
      <c r="P650" s="698"/>
      <c r="Q650" s="697"/>
      <c r="R650" s="697"/>
      <c r="S650" s="698"/>
      <c r="T650" s="697"/>
      <c r="U650" s="697"/>
      <c r="V650" s="697"/>
      <c r="W650" s="698"/>
      <c r="X650" s="698"/>
      <c r="Y650" s="697"/>
      <c r="Z650" s="697"/>
      <c r="AA650" s="697"/>
      <c r="AB650" s="697"/>
      <c r="AC650" s="697"/>
    </row>
    <row r="651" spans="1:29" x14ac:dyDescent="0.2">
      <c r="A651" s="694" t="str">
        <f>+Info!$B$2</f>
        <v>724</v>
      </c>
      <c r="B651" s="694" t="s">
        <v>6273</v>
      </c>
      <c r="C651" s="694" t="s">
        <v>6274</v>
      </c>
      <c r="D651" s="695" t="s">
        <v>6275</v>
      </c>
      <c r="E651" s="696"/>
      <c r="F651" s="697"/>
      <c r="G651" s="697"/>
      <c r="H651" s="698"/>
      <c r="I651" s="698"/>
      <c r="J651" s="697"/>
      <c r="K651" s="697"/>
      <c r="L651" s="697"/>
      <c r="M651" s="697"/>
      <c r="N651" s="698"/>
      <c r="O651" s="698"/>
      <c r="P651" s="698"/>
      <c r="Q651" s="697"/>
      <c r="R651" s="697"/>
      <c r="S651" s="698"/>
      <c r="T651" s="697"/>
      <c r="U651" s="697"/>
      <c r="V651" s="697"/>
      <c r="W651" s="698"/>
      <c r="X651" s="698"/>
      <c r="Y651" s="697"/>
      <c r="Z651" s="697"/>
      <c r="AA651" s="697"/>
      <c r="AB651" s="697"/>
      <c r="AC651" s="697"/>
    </row>
    <row r="652" spans="1:29" x14ac:dyDescent="0.2">
      <c r="A652" s="694" t="str">
        <f>+Info!$B$2</f>
        <v>724</v>
      </c>
      <c r="B652" s="694" t="s">
        <v>6276</v>
      </c>
      <c r="C652" s="694" t="s">
        <v>6277</v>
      </c>
      <c r="D652" s="695" t="s">
        <v>6278</v>
      </c>
      <c r="E652" s="696"/>
      <c r="F652" s="697"/>
      <c r="G652" s="697"/>
      <c r="H652" s="698"/>
      <c r="I652" s="698"/>
      <c r="J652" s="697"/>
      <c r="K652" s="697"/>
      <c r="L652" s="697"/>
      <c r="M652" s="697"/>
      <c r="N652" s="698"/>
      <c r="O652" s="698"/>
      <c r="P652" s="698"/>
      <c r="Q652" s="697"/>
      <c r="R652" s="697"/>
      <c r="S652" s="698"/>
      <c r="T652" s="697"/>
      <c r="U652" s="697"/>
      <c r="V652" s="697"/>
      <c r="W652" s="698"/>
      <c r="X652" s="698"/>
      <c r="Y652" s="697"/>
      <c r="Z652" s="697"/>
      <c r="AA652" s="697"/>
      <c r="AB652" s="698"/>
      <c r="AC652" s="698"/>
    </row>
    <row r="653" spans="1:29" x14ac:dyDescent="0.2">
      <c r="A653" s="694" t="str">
        <f>+Info!$B$2</f>
        <v>724</v>
      </c>
      <c r="B653" s="694" t="s">
        <v>6279</v>
      </c>
      <c r="C653" s="694" t="s">
        <v>6280</v>
      </c>
      <c r="D653" s="695" t="s">
        <v>6281</v>
      </c>
      <c r="E653" s="696"/>
      <c r="F653" s="697"/>
      <c r="G653" s="697"/>
      <c r="H653" s="698"/>
      <c r="I653" s="698"/>
      <c r="J653" s="697"/>
      <c r="K653" s="697"/>
      <c r="L653" s="697"/>
      <c r="M653" s="697"/>
      <c r="N653" s="698"/>
      <c r="O653" s="698"/>
      <c r="P653" s="698"/>
      <c r="Q653" s="697"/>
      <c r="R653" s="697"/>
      <c r="S653" s="698"/>
      <c r="T653" s="697"/>
      <c r="U653" s="697"/>
      <c r="V653" s="697"/>
      <c r="W653" s="698"/>
      <c r="X653" s="698"/>
      <c r="Y653" s="697"/>
      <c r="Z653" s="697"/>
      <c r="AA653" s="697"/>
      <c r="AB653" s="698"/>
      <c r="AC653" s="698"/>
    </row>
    <row r="654" spans="1:29" x14ac:dyDescent="0.2">
      <c r="A654" s="694" t="str">
        <f>+Info!$B$2</f>
        <v>724</v>
      </c>
      <c r="B654" s="694" t="s">
        <v>6282</v>
      </c>
      <c r="C654" s="694" t="s">
        <v>6283</v>
      </c>
      <c r="D654" s="695" t="s">
        <v>6284</v>
      </c>
      <c r="E654" s="696"/>
      <c r="F654" s="697"/>
      <c r="G654" s="697"/>
      <c r="H654" s="698"/>
      <c r="I654" s="698"/>
      <c r="J654" s="697"/>
      <c r="K654" s="697"/>
      <c r="L654" s="697"/>
      <c r="M654" s="697"/>
      <c r="N654" s="698"/>
      <c r="O654" s="698"/>
      <c r="P654" s="698"/>
      <c r="Q654" s="697"/>
      <c r="R654" s="697"/>
      <c r="S654" s="698"/>
      <c r="T654" s="697"/>
      <c r="U654" s="697"/>
      <c r="V654" s="697"/>
      <c r="W654" s="698"/>
      <c r="X654" s="698"/>
      <c r="Y654" s="697"/>
      <c r="Z654" s="697"/>
      <c r="AA654" s="697"/>
      <c r="AB654" s="697"/>
      <c r="AC654" s="697"/>
    </row>
    <row r="655" spans="1:29" ht="15" x14ac:dyDescent="0.25">
      <c r="A655" s="691" t="str">
        <f>+Info!$B$2</f>
        <v>724</v>
      </c>
      <c r="B655" s="691" t="s">
        <v>6285</v>
      </c>
      <c r="C655" s="691" t="s">
        <v>6286</v>
      </c>
      <c r="D655" s="692" t="s">
        <v>6287</v>
      </c>
      <c r="E655" s="693"/>
      <c r="F655" s="701"/>
      <c r="G655" s="701"/>
      <c r="H655" s="701"/>
      <c r="I655" s="701"/>
      <c r="J655" s="701"/>
      <c r="K655" s="701"/>
      <c r="L655" s="701"/>
      <c r="M655" s="701"/>
      <c r="N655" s="701"/>
      <c r="O655" s="701"/>
      <c r="P655" s="701"/>
      <c r="Q655" s="701"/>
      <c r="R655" s="701"/>
      <c r="S655" s="701"/>
      <c r="T655" s="701"/>
      <c r="U655" s="701"/>
      <c r="V655" s="701"/>
      <c r="W655" s="701"/>
      <c r="X655" s="701"/>
      <c r="Y655" s="701"/>
      <c r="Z655" s="701"/>
      <c r="AA655" s="701"/>
      <c r="AB655" s="701"/>
      <c r="AC655" s="701"/>
    </row>
    <row r="656" spans="1:29" x14ac:dyDescent="0.2">
      <c r="A656" s="694" t="str">
        <f>+Info!$B$2</f>
        <v>724</v>
      </c>
      <c r="B656" s="694" t="s">
        <v>6288</v>
      </c>
      <c r="C656" s="694" t="s">
        <v>6289</v>
      </c>
      <c r="D656" s="695" t="s">
        <v>6290</v>
      </c>
      <c r="E656" s="696"/>
      <c r="F656" s="697"/>
      <c r="G656" s="697"/>
      <c r="H656" s="698"/>
      <c r="I656" s="698"/>
      <c r="J656" s="697"/>
      <c r="K656" s="697"/>
      <c r="L656" s="697"/>
      <c r="M656" s="697"/>
      <c r="N656" s="698"/>
      <c r="O656" s="698"/>
      <c r="P656" s="698"/>
      <c r="Q656" s="697"/>
      <c r="R656" s="698"/>
      <c r="S656" s="697"/>
      <c r="T656" s="697"/>
      <c r="U656" s="697"/>
      <c r="V656" s="697"/>
      <c r="W656" s="698"/>
      <c r="X656" s="698"/>
      <c r="Y656" s="697"/>
      <c r="Z656" s="697"/>
      <c r="AA656" s="697"/>
      <c r="AB656" s="697"/>
      <c r="AC656" s="697"/>
    </row>
    <row r="657" spans="1:29" x14ac:dyDescent="0.2">
      <c r="A657" s="694" t="str">
        <f>+Info!$B$2</f>
        <v>724</v>
      </c>
      <c r="B657" s="694" t="s">
        <v>6291</v>
      </c>
      <c r="C657" s="694" t="s">
        <v>6292</v>
      </c>
      <c r="D657" s="695" t="s">
        <v>6293</v>
      </c>
      <c r="E657" s="696"/>
      <c r="F657" s="697"/>
      <c r="G657" s="697"/>
      <c r="H657" s="698"/>
      <c r="I657" s="698"/>
      <c r="J657" s="697"/>
      <c r="K657" s="697"/>
      <c r="L657" s="697"/>
      <c r="M657" s="697"/>
      <c r="N657" s="698"/>
      <c r="O657" s="698"/>
      <c r="P657" s="698"/>
      <c r="Q657" s="697"/>
      <c r="R657" s="698"/>
      <c r="S657" s="697"/>
      <c r="T657" s="697"/>
      <c r="U657" s="697"/>
      <c r="V657" s="697"/>
      <c r="W657" s="698"/>
      <c r="X657" s="698"/>
      <c r="Y657" s="697"/>
      <c r="Z657" s="697"/>
      <c r="AA657" s="697"/>
      <c r="AB657" s="697"/>
      <c r="AC657" s="697"/>
    </row>
    <row r="658" spans="1:29" x14ac:dyDescent="0.2">
      <c r="A658" s="694" t="str">
        <f>+Info!$B$2</f>
        <v>724</v>
      </c>
      <c r="B658" s="694" t="s">
        <v>6294</v>
      </c>
      <c r="C658" s="694" t="s">
        <v>6295</v>
      </c>
      <c r="D658" s="695" t="s">
        <v>6296</v>
      </c>
      <c r="E658" s="696"/>
      <c r="F658" s="697"/>
      <c r="G658" s="697"/>
      <c r="H658" s="698"/>
      <c r="I658" s="698"/>
      <c r="J658" s="697"/>
      <c r="K658" s="697"/>
      <c r="L658" s="697"/>
      <c r="M658" s="697"/>
      <c r="N658" s="698"/>
      <c r="O658" s="698"/>
      <c r="P658" s="698"/>
      <c r="Q658" s="697"/>
      <c r="R658" s="698"/>
      <c r="S658" s="697"/>
      <c r="T658" s="697"/>
      <c r="U658" s="697"/>
      <c r="V658" s="697"/>
      <c r="W658" s="698"/>
      <c r="X658" s="698"/>
      <c r="Y658" s="697"/>
      <c r="Z658" s="697"/>
      <c r="AA658" s="697"/>
      <c r="AB658" s="697"/>
      <c r="AC658" s="697"/>
    </row>
    <row r="659" spans="1:29" x14ac:dyDescent="0.2">
      <c r="A659" s="694" t="str">
        <f>+Info!$B$2</f>
        <v>724</v>
      </c>
      <c r="B659" s="694" t="s">
        <v>6297</v>
      </c>
      <c r="C659" s="694" t="s">
        <v>6298</v>
      </c>
      <c r="D659" s="695" t="s">
        <v>6299</v>
      </c>
      <c r="E659" s="696"/>
      <c r="F659" s="697"/>
      <c r="G659" s="697"/>
      <c r="H659" s="698"/>
      <c r="I659" s="698"/>
      <c r="J659" s="697"/>
      <c r="K659" s="697"/>
      <c r="L659" s="697"/>
      <c r="M659" s="697"/>
      <c r="N659" s="698"/>
      <c r="O659" s="698"/>
      <c r="P659" s="698"/>
      <c r="Q659" s="697"/>
      <c r="R659" s="698"/>
      <c r="S659" s="697"/>
      <c r="T659" s="697"/>
      <c r="U659" s="697"/>
      <c r="V659" s="697"/>
      <c r="W659" s="698"/>
      <c r="X659" s="698"/>
      <c r="Y659" s="697"/>
      <c r="Z659" s="697"/>
      <c r="AA659" s="697"/>
      <c r="AB659" s="697"/>
      <c r="AC659" s="697"/>
    </row>
    <row r="660" spans="1:29" ht="25.5" x14ac:dyDescent="0.2">
      <c r="A660" s="694" t="str">
        <f>+Info!$B$2</f>
        <v>724</v>
      </c>
      <c r="B660" s="694" t="s">
        <v>6300</v>
      </c>
      <c r="C660" s="694" t="s">
        <v>6301</v>
      </c>
      <c r="D660" s="695" t="s">
        <v>6302</v>
      </c>
      <c r="E660" s="696"/>
      <c r="F660" s="697"/>
      <c r="G660" s="697"/>
      <c r="H660" s="698"/>
      <c r="I660" s="698"/>
      <c r="J660" s="697"/>
      <c r="K660" s="697"/>
      <c r="L660" s="697"/>
      <c r="M660" s="697"/>
      <c r="N660" s="698"/>
      <c r="O660" s="698"/>
      <c r="P660" s="698"/>
      <c r="Q660" s="697"/>
      <c r="R660" s="698"/>
      <c r="S660" s="697"/>
      <c r="T660" s="697"/>
      <c r="U660" s="697"/>
      <c r="V660" s="697"/>
      <c r="W660" s="698"/>
      <c r="X660" s="698"/>
      <c r="Y660" s="697"/>
      <c r="Z660" s="697"/>
      <c r="AA660" s="697"/>
      <c r="AB660" s="697"/>
      <c r="AC660" s="697"/>
    </row>
    <row r="661" spans="1:29" x14ac:dyDescent="0.2">
      <c r="A661" s="694" t="str">
        <f>+Info!$B$2</f>
        <v>724</v>
      </c>
      <c r="B661" s="694" t="s">
        <v>6303</v>
      </c>
      <c r="C661" s="694" t="s">
        <v>6304</v>
      </c>
      <c r="D661" s="695" t="s">
        <v>6305</v>
      </c>
      <c r="E661" s="696"/>
      <c r="F661" s="697"/>
      <c r="G661" s="697"/>
      <c r="H661" s="698"/>
      <c r="I661" s="698"/>
      <c r="J661" s="697"/>
      <c r="K661" s="697"/>
      <c r="L661" s="697"/>
      <c r="M661" s="697"/>
      <c r="N661" s="698"/>
      <c r="O661" s="698"/>
      <c r="P661" s="698"/>
      <c r="Q661" s="697"/>
      <c r="R661" s="698"/>
      <c r="S661" s="697"/>
      <c r="T661" s="697"/>
      <c r="U661" s="697"/>
      <c r="V661" s="697"/>
      <c r="W661" s="698"/>
      <c r="X661" s="698"/>
      <c r="Y661" s="697"/>
      <c r="Z661" s="697"/>
      <c r="AA661" s="697"/>
      <c r="AB661" s="697"/>
      <c r="AC661" s="697"/>
    </row>
    <row r="662" spans="1:29" x14ac:dyDescent="0.2">
      <c r="A662" s="694" t="str">
        <f>+Info!$B$2</f>
        <v>724</v>
      </c>
      <c r="B662" s="694" t="s">
        <v>6306</v>
      </c>
      <c r="C662" s="694" t="s">
        <v>6307</v>
      </c>
      <c r="D662" s="695" t="s">
        <v>6308</v>
      </c>
      <c r="E662" s="696"/>
      <c r="F662" s="697"/>
      <c r="G662" s="697"/>
      <c r="H662" s="698"/>
      <c r="I662" s="698"/>
      <c r="J662" s="697"/>
      <c r="K662" s="697"/>
      <c r="L662" s="697"/>
      <c r="M662" s="697"/>
      <c r="N662" s="698"/>
      <c r="O662" s="698"/>
      <c r="P662" s="698"/>
      <c r="Q662" s="697"/>
      <c r="R662" s="698"/>
      <c r="S662" s="697"/>
      <c r="T662" s="697"/>
      <c r="U662" s="697"/>
      <c r="V662" s="697"/>
      <c r="W662" s="698"/>
      <c r="X662" s="698"/>
      <c r="Y662" s="697"/>
      <c r="Z662" s="697"/>
      <c r="AA662" s="697"/>
      <c r="AB662" s="697"/>
      <c r="AC662" s="697"/>
    </row>
    <row r="663" spans="1:29" x14ac:dyDescent="0.2">
      <c r="A663" s="694" t="str">
        <f>+Info!$B$2</f>
        <v>724</v>
      </c>
      <c r="B663" s="694" t="s">
        <v>6309</v>
      </c>
      <c r="C663" s="694" t="s">
        <v>6310</v>
      </c>
      <c r="D663" s="695" t="s">
        <v>6311</v>
      </c>
      <c r="E663" s="696"/>
      <c r="F663" s="697"/>
      <c r="G663" s="697"/>
      <c r="H663" s="698"/>
      <c r="I663" s="698"/>
      <c r="J663" s="697"/>
      <c r="K663" s="697"/>
      <c r="L663" s="697"/>
      <c r="M663" s="697"/>
      <c r="N663" s="698"/>
      <c r="O663" s="698"/>
      <c r="P663" s="698"/>
      <c r="Q663" s="697"/>
      <c r="R663" s="698"/>
      <c r="S663" s="697"/>
      <c r="T663" s="697"/>
      <c r="U663" s="697"/>
      <c r="V663" s="697"/>
      <c r="W663" s="698"/>
      <c r="X663" s="698"/>
      <c r="Y663" s="697"/>
      <c r="Z663" s="697"/>
      <c r="AA663" s="697"/>
      <c r="AB663" s="697"/>
      <c r="AC663" s="697"/>
    </row>
    <row r="664" spans="1:29" x14ac:dyDescent="0.2">
      <c r="A664" s="694" t="str">
        <f>+Info!$B$2</f>
        <v>724</v>
      </c>
      <c r="B664" s="694" t="s">
        <v>6312</v>
      </c>
      <c r="C664" s="694" t="s">
        <v>6313</v>
      </c>
      <c r="D664" s="695" t="s">
        <v>6314</v>
      </c>
      <c r="E664" s="696"/>
      <c r="F664" s="697"/>
      <c r="G664" s="697"/>
      <c r="H664" s="698"/>
      <c r="I664" s="698"/>
      <c r="J664" s="697"/>
      <c r="K664" s="697"/>
      <c r="L664" s="697"/>
      <c r="M664" s="697"/>
      <c r="N664" s="698"/>
      <c r="O664" s="698"/>
      <c r="P664" s="698"/>
      <c r="Q664" s="697"/>
      <c r="R664" s="698"/>
      <c r="S664" s="697"/>
      <c r="T664" s="697"/>
      <c r="U664" s="697"/>
      <c r="V664" s="697"/>
      <c r="W664" s="698"/>
      <c r="X664" s="698"/>
      <c r="Y664" s="697"/>
      <c r="Z664" s="697"/>
      <c r="AA664" s="697"/>
      <c r="AB664" s="697"/>
      <c r="AC664" s="697"/>
    </row>
    <row r="665" spans="1:29" x14ac:dyDescent="0.2">
      <c r="A665" s="694" t="str">
        <f>+Info!$B$2</f>
        <v>724</v>
      </c>
      <c r="B665" s="694" t="s">
        <v>6315</v>
      </c>
      <c r="C665" s="694" t="s">
        <v>6316</v>
      </c>
      <c r="D665" s="695" t="s">
        <v>6317</v>
      </c>
      <c r="E665" s="696"/>
      <c r="F665" s="697"/>
      <c r="G665" s="697"/>
      <c r="H665" s="698"/>
      <c r="I665" s="698"/>
      <c r="J665" s="697"/>
      <c r="K665" s="697"/>
      <c r="L665" s="697"/>
      <c r="M665" s="697"/>
      <c r="N665" s="698"/>
      <c r="O665" s="698"/>
      <c r="P665" s="698"/>
      <c r="Q665" s="697"/>
      <c r="R665" s="698"/>
      <c r="S665" s="697"/>
      <c r="T665" s="697"/>
      <c r="U665" s="697"/>
      <c r="V665" s="697"/>
      <c r="W665" s="698"/>
      <c r="X665" s="698"/>
      <c r="Y665" s="697"/>
      <c r="Z665" s="697"/>
      <c r="AA665" s="697"/>
      <c r="AB665" s="698"/>
      <c r="AC665" s="698"/>
    </row>
    <row r="666" spans="1:29" x14ac:dyDescent="0.2">
      <c r="A666" s="694" t="str">
        <f>+Info!$B$2</f>
        <v>724</v>
      </c>
      <c r="B666" s="694" t="s">
        <v>6318</v>
      </c>
      <c r="C666" s="694" t="s">
        <v>6319</v>
      </c>
      <c r="D666" s="695" t="s">
        <v>6320</v>
      </c>
      <c r="E666" s="696"/>
      <c r="F666" s="697"/>
      <c r="G666" s="697"/>
      <c r="H666" s="698"/>
      <c r="I666" s="698"/>
      <c r="J666" s="697"/>
      <c r="K666" s="697"/>
      <c r="L666" s="697"/>
      <c r="M666" s="697"/>
      <c r="N666" s="698"/>
      <c r="O666" s="698"/>
      <c r="P666" s="698"/>
      <c r="Q666" s="697"/>
      <c r="R666" s="698"/>
      <c r="S666" s="697"/>
      <c r="T666" s="697"/>
      <c r="U666" s="697"/>
      <c r="V666" s="697"/>
      <c r="W666" s="698"/>
      <c r="X666" s="698"/>
      <c r="Y666" s="697"/>
      <c r="Z666" s="697"/>
      <c r="AA666" s="697"/>
      <c r="AB666" s="698"/>
      <c r="AC666" s="698"/>
    </row>
    <row r="667" spans="1:29" x14ac:dyDescent="0.2">
      <c r="A667" s="694" t="str">
        <f>+Info!$B$2</f>
        <v>724</v>
      </c>
      <c r="B667" s="694" t="s">
        <v>6321</v>
      </c>
      <c r="C667" s="694" t="s">
        <v>6322</v>
      </c>
      <c r="D667" s="695" t="s">
        <v>6323</v>
      </c>
      <c r="E667" s="696"/>
      <c r="F667" s="697"/>
      <c r="G667" s="697"/>
      <c r="H667" s="698"/>
      <c r="I667" s="698"/>
      <c r="J667" s="697"/>
      <c r="K667" s="697"/>
      <c r="L667" s="697"/>
      <c r="M667" s="697"/>
      <c r="N667" s="698"/>
      <c r="O667" s="698"/>
      <c r="P667" s="698"/>
      <c r="Q667" s="697"/>
      <c r="R667" s="698"/>
      <c r="S667" s="697"/>
      <c r="T667" s="697"/>
      <c r="U667" s="697"/>
      <c r="V667" s="697"/>
      <c r="W667" s="698"/>
      <c r="X667" s="698"/>
      <c r="Y667" s="697"/>
      <c r="Z667" s="697"/>
      <c r="AA667" s="697"/>
      <c r="AB667" s="697"/>
      <c r="AC667" s="697"/>
    </row>
    <row r="668" spans="1:29" x14ac:dyDescent="0.2">
      <c r="A668" s="694" t="str">
        <f>+Info!$B$2</f>
        <v>724</v>
      </c>
      <c r="B668" s="694" t="s">
        <v>6324</v>
      </c>
      <c r="C668" s="694" t="s">
        <v>6325</v>
      </c>
      <c r="D668" s="695" t="s">
        <v>6326</v>
      </c>
      <c r="E668" s="696"/>
      <c r="F668" s="697"/>
      <c r="G668" s="697"/>
      <c r="H668" s="698"/>
      <c r="I668" s="698"/>
      <c r="J668" s="697"/>
      <c r="K668" s="697"/>
      <c r="L668" s="697"/>
      <c r="M668" s="697"/>
      <c r="N668" s="698"/>
      <c r="O668" s="698"/>
      <c r="P668" s="698"/>
      <c r="Q668" s="697"/>
      <c r="R668" s="698"/>
      <c r="S668" s="697"/>
      <c r="T668" s="697"/>
      <c r="U668" s="697"/>
      <c r="V668" s="697"/>
      <c r="W668" s="698"/>
      <c r="X668" s="698"/>
      <c r="Y668" s="697"/>
      <c r="Z668" s="697"/>
      <c r="AA668" s="697"/>
      <c r="AB668" s="697"/>
      <c r="AC668" s="697"/>
    </row>
    <row r="669" spans="1:29" x14ac:dyDescent="0.2">
      <c r="A669" s="694" t="str">
        <f>+Info!$B$2</f>
        <v>724</v>
      </c>
      <c r="B669" s="694" t="s">
        <v>6327</v>
      </c>
      <c r="C669" s="694" t="s">
        <v>6328</v>
      </c>
      <c r="D669" s="695" t="s">
        <v>6329</v>
      </c>
      <c r="E669" s="696"/>
      <c r="F669" s="697"/>
      <c r="G669" s="697"/>
      <c r="H669" s="698"/>
      <c r="I669" s="698"/>
      <c r="J669" s="697"/>
      <c r="K669" s="697"/>
      <c r="L669" s="697"/>
      <c r="M669" s="697"/>
      <c r="N669" s="698"/>
      <c r="O669" s="698"/>
      <c r="P669" s="698"/>
      <c r="Q669" s="697"/>
      <c r="R669" s="698"/>
      <c r="S669" s="697"/>
      <c r="T669" s="697"/>
      <c r="U669" s="697"/>
      <c r="V669" s="697"/>
      <c r="W669" s="698"/>
      <c r="X669" s="698"/>
      <c r="Y669" s="697"/>
      <c r="Z669" s="697"/>
      <c r="AA669" s="697"/>
      <c r="AB669" s="697"/>
      <c r="AC669" s="697"/>
    </row>
    <row r="670" spans="1:29" x14ac:dyDescent="0.2">
      <c r="A670" s="694" t="str">
        <f>+Info!$B$2</f>
        <v>724</v>
      </c>
      <c r="B670" s="694" t="s">
        <v>6330</v>
      </c>
      <c r="C670" s="694" t="s">
        <v>6331</v>
      </c>
      <c r="D670" s="695" t="s">
        <v>6332</v>
      </c>
      <c r="E670" s="696"/>
      <c r="F670" s="697"/>
      <c r="G670" s="697"/>
      <c r="H670" s="698"/>
      <c r="I670" s="698"/>
      <c r="J670" s="697"/>
      <c r="K670" s="697"/>
      <c r="L670" s="697"/>
      <c r="M670" s="697"/>
      <c r="N670" s="698"/>
      <c r="O670" s="698"/>
      <c r="P670" s="698"/>
      <c r="Q670" s="697"/>
      <c r="R670" s="698"/>
      <c r="S670" s="697"/>
      <c r="T670" s="697"/>
      <c r="U670" s="697"/>
      <c r="V670" s="697"/>
      <c r="W670" s="698"/>
      <c r="X670" s="698"/>
      <c r="Y670" s="697"/>
      <c r="Z670" s="697"/>
      <c r="AA670" s="697"/>
      <c r="AB670" s="697"/>
      <c r="AC670" s="697"/>
    </row>
    <row r="671" spans="1:29" x14ac:dyDescent="0.2">
      <c r="A671" s="694" t="str">
        <f>+Info!$B$2</f>
        <v>724</v>
      </c>
      <c r="B671" s="694" t="s">
        <v>6333</v>
      </c>
      <c r="C671" s="694" t="s">
        <v>6334</v>
      </c>
      <c r="D671" s="695" t="s">
        <v>6335</v>
      </c>
      <c r="E671" s="696"/>
      <c r="F671" s="697"/>
      <c r="G671" s="697"/>
      <c r="H671" s="698"/>
      <c r="I671" s="698"/>
      <c r="J671" s="697"/>
      <c r="K671" s="697"/>
      <c r="L671" s="697"/>
      <c r="M671" s="697"/>
      <c r="N671" s="698"/>
      <c r="O671" s="698"/>
      <c r="P671" s="698"/>
      <c r="Q671" s="697"/>
      <c r="R671" s="698"/>
      <c r="S671" s="697"/>
      <c r="T671" s="697"/>
      <c r="U671" s="697"/>
      <c r="V671" s="697"/>
      <c r="W671" s="698"/>
      <c r="X671" s="698"/>
      <c r="Y671" s="697"/>
      <c r="Z671" s="697"/>
      <c r="AA671" s="697"/>
      <c r="AB671" s="697"/>
      <c r="AC671" s="697"/>
    </row>
    <row r="672" spans="1:29" ht="25.5" x14ac:dyDescent="0.2">
      <c r="A672" s="694" t="str">
        <f>+Info!$B$2</f>
        <v>724</v>
      </c>
      <c r="B672" s="694" t="s">
        <v>6336</v>
      </c>
      <c r="C672" s="694" t="s">
        <v>6337</v>
      </c>
      <c r="D672" s="695" t="s">
        <v>6338</v>
      </c>
      <c r="E672" s="696"/>
      <c r="F672" s="697"/>
      <c r="G672" s="697"/>
      <c r="H672" s="698"/>
      <c r="I672" s="698"/>
      <c r="J672" s="697"/>
      <c r="K672" s="697"/>
      <c r="L672" s="697"/>
      <c r="M672" s="697"/>
      <c r="N672" s="698"/>
      <c r="O672" s="698"/>
      <c r="P672" s="698"/>
      <c r="Q672" s="697"/>
      <c r="R672" s="698"/>
      <c r="S672" s="697"/>
      <c r="T672" s="697"/>
      <c r="U672" s="697"/>
      <c r="V672" s="697"/>
      <c r="W672" s="698"/>
      <c r="X672" s="698"/>
      <c r="Y672" s="697"/>
      <c r="Z672" s="697"/>
      <c r="AA672" s="697"/>
      <c r="AB672" s="697"/>
      <c r="AC672" s="697"/>
    </row>
    <row r="673" spans="1:29" x14ac:dyDescent="0.2">
      <c r="A673" s="694" t="str">
        <f>+Info!$B$2</f>
        <v>724</v>
      </c>
      <c r="B673" s="694" t="s">
        <v>6339</v>
      </c>
      <c r="C673" s="694" t="s">
        <v>6340</v>
      </c>
      <c r="D673" s="695" t="s">
        <v>6341</v>
      </c>
      <c r="E673" s="696"/>
      <c r="F673" s="697"/>
      <c r="G673" s="697"/>
      <c r="H673" s="698"/>
      <c r="I673" s="698"/>
      <c r="J673" s="697"/>
      <c r="K673" s="697"/>
      <c r="L673" s="697"/>
      <c r="M673" s="697"/>
      <c r="N673" s="698"/>
      <c r="O673" s="698"/>
      <c r="P673" s="698"/>
      <c r="Q673" s="697"/>
      <c r="R673" s="698"/>
      <c r="S673" s="697"/>
      <c r="T673" s="697"/>
      <c r="U673" s="697"/>
      <c r="V673" s="697"/>
      <c r="W673" s="698"/>
      <c r="X673" s="698"/>
      <c r="Y673" s="697"/>
      <c r="Z673" s="697"/>
      <c r="AA673" s="697"/>
      <c r="AB673" s="697"/>
      <c r="AC673" s="697"/>
    </row>
    <row r="674" spans="1:29" x14ac:dyDescent="0.2">
      <c r="A674" s="694" t="str">
        <f>+Info!$B$2</f>
        <v>724</v>
      </c>
      <c r="B674" s="694" t="s">
        <v>6342</v>
      </c>
      <c r="C674" s="694" t="s">
        <v>6343</v>
      </c>
      <c r="D674" s="695" t="s">
        <v>6344</v>
      </c>
      <c r="E674" s="696"/>
      <c r="F674" s="697"/>
      <c r="G674" s="697"/>
      <c r="H674" s="698"/>
      <c r="I674" s="698"/>
      <c r="J674" s="697"/>
      <c r="K674" s="697"/>
      <c r="L674" s="697"/>
      <c r="M674" s="697"/>
      <c r="N674" s="698"/>
      <c r="O674" s="698"/>
      <c r="P674" s="698"/>
      <c r="Q674" s="697"/>
      <c r="R674" s="698"/>
      <c r="S674" s="697"/>
      <c r="T674" s="697"/>
      <c r="U674" s="697"/>
      <c r="V674" s="697"/>
      <c r="W674" s="698"/>
      <c r="X674" s="698"/>
      <c r="Y674" s="697"/>
      <c r="Z674" s="697"/>
      <c r="AA674" s="697"/>
      <c r="AB674" s="697"/>
      <c r="AC674" s="697"/>
    </row>
    <row r="675" spans="1:29" x14ac:dyDescent="0.2">
      <c r="A675" s="694" t="str">
        <f>+Info!$B$2</f>
        <v>724</v>
      </c>
      <c r="B675" s="694" t="s">
        <v>6345</v>
      </c>
      <c r="C675" s="694" t="s">
        <v>6346</v>
      </c>
      <c r="D675" s="695" t="s">
        <v>6347</v>
      </c>
      <c r="E675" s="696"/>
      <c r="F675" s="697"/>
      <c r="G675" s="697"/>
      <c r="H675" s="698"/>
      <c r="I675" s="698"/>
      <c r="J675" s="697"/>
      <c r="K675" s="697"/>
      <c r="L675" s="697"/>
      <c r="M675" s="697"/>
      <c r="N675" s="698"/>
      <c r="O675" s="698"/>
      <c r="P675" s="698"/>
      <c r="Q675" s="697"/>
      <c r="R675" s="698"/>
      <c r="S675" s="697"/>
      <c r="T675" s="697"/>
      <c r="U675" s="697"/>
      <c r="V675" s="697"/>
      <c r="W675" s="698"/>
      <c r="X675" s="698"/>
      <c r="Y675" s="697"/>
      <c r="Z675" s="697"/>
      <c r="AA675" s="697"/>
      <c r="AB675" s="697"/>
      <c r="AC675" s="697"/>
    </row>
    <row r="676" spans="1:29" x14ac:dyDescent="0.2">
      <c r="A676" s="694" t="str">
        <f>+Info!$B$2</f>
        <v>724</v>
      </c>
      <c r="B676" s="694" t="s">
        <v>6348</v>
      </c>
      <c r="C676" s="694" t="s">
        <v>6349</v>
      </c>
      <c r="D676" s="695" t="s">
        <v>6350</v>
      </c>
      <c r="E676" s="696"/>
      <c r="F676" s="697"/>
      <c r="G676" s="697"/>
      <c r="H676" s="698"/>
      <c r="I676" s="698"/>
      <c r="J676" s="697"/>
      <c r="K676" s="697"/>
      <c r="L676" s="697"/>
      <c r="M676" s="697"/>
      <c r="N676" s="698"/>
      <c r="O676" s="698"/>
      <c r="P676" s="698"/>
      <c r="Q676" s="697"/>
      <c r="R676" s="698"/>
      <c r="S676" s="697"/>
      <c r="T676" s="697"/>
      <c r="U676" s="697"/>
      <c r="V676" s="697"/>
      <c r="W676" s="698"/>
      <c r="X676" s="698"/>
      <c r="Y676" s="697"/>
      <c r="Z676" s="697"/>
      <c r="AA676" s="697"/>
      <c r="AB676" s="697"/>
      <c r="AC676" s="697"/>
    </row>
    <row r="677" spans="1:29" x14ac:dyDescent="0.2">
      <c r="A677" s="694" t="str">
        <f>+Info!$B$2</f>
        <v>724</v>
      </c>
      <c r="B677" s="694" t="s">
        <v>6351</v>
      </c>
      <c r="C677" s="694" t="s">
        <v>6352</v>
      </c>
      <c r="D677" s="695" t="s">
        <v>6353</v>
      </c>
      <c r="E677" s="696"/>
      <c r="F677" s="697"/>
      <c r="G677" s="697"/>
      <c r="H677" s="698"/>
      <c r="I677" s="698"/>
      <c r="J677" s="697"/>
      <c r="K677" s="697"/>
      <c r="L677" s="697"/>
      <c r="M677" s="697"/>
      <c r="N677" s="698"/>
      <c r="O677" s="698"/>
      <c r="P677" s="698"/>
      <c r="Q677" s="697"/>
      <c r="R677" s="698"/>
      <c r="S677" s="697"/>
      <c r="T677" s="697"/>
      <c r="U677" s="697"/>
      <c r="V677" s="697"/>
      <c r="W677" s="698"/>
      <c r="X677" s="698"/>
      <c r="Y677" s="697"/>
      <c r="Z677" s="697"/>
      <c r="AA677" s="697"/>
      <c r="AB677" s="698"/>
      <c r="AC677" s="698"/>
    </row>
    <row r="678" spans="1:29" x14ac:dyDescent="0.2">
      <c r="A678" s="694" t="str">
        <f>+Info!$B$2</f>
        <v>724</v>
      </c>
      <c r="B678" s="694" t="s">
        <v>6354</v>
      </c>
      <c r="C678" s="694" t="s">
        <v>6355</v>
      </c>
      <c r="D678" s="695" t="s">
        <v>6356</v>
      </c>
      <c r="E678" s="696"/>
      <c r="F678" s="697"/>
      <c r="G678" s="697"/>
      <c r="H678" s="698"/>
      <c r="I678" s="698"/>
      <c r="J678" s="697"/>
      <c r="K678" s="697"/>
      <c r="L678" s="697"/>
      <c r="M678" s="697"/>
      <c r="N678" s="698"/>
      <c r="O678" s="698"/>
      <c r="P678" s="698"/>
      <c r="Q678" s="697"/>
      <c r="R678" s="698"/>
      <c r="S678" s="697"/>
      <c r="T678" s="697"/>
      <c r="U678" s="697"/>
      <c r="V678" s="697"/>
      <c r="W678" s="698"/>
      <c r="X678" s="698"/>
      <c r="Y678" s="697"/>
      <c r="Z678" s="697"/>
      <c r="AA678" s="697"/>
      <c r="AB678" s="698"/>
      <c r="AC678" s="698"/>
    </row>
    <row r="679" spans="1:29" x14ac:dyDescent="0.2">
      <c r="A679" s="694" t="str">
        <f>+Info!$B$2</f>
        <v>724</v>
      </c>
      <c r="B679" s="694" t="s">
        <v>6357</v>
      </c>
      <c r="C679" s="694" t="s">
        <v>6358</v>
      </c>
      <c r="D679" s="695" t="s">
        <v>6359</v>
      </c>
      <c r="E679" s="696"/>
      <c r="F679" s="697"/>
      <c r="G679" s="697"/>
      <c r="H679" s="698"/>
      <c r="I679" s="698"/>
      <c r="J679" s="697"/>
      <c r="K679" s="697"/>
      <c r="L679" s="697"/>
      <c r="M679" s="697"/>
      <c r="N679" s="698"/>
      <c r="O679" s="698"/>
      <c r="P679" s="698"/>
      <c r="Q679" s="697"/>
      <c r="R679" s="698"/>
      <c r="S679" s="697"/>
      <c r="T679" s="697"/>
      <c r="U679" s="697"/>
      <c r="V679" s="697"/>
      <c r="W679" s="698"/>
      <c r="X679" s="698"/>
      <c r="Y679" s="697"/>
      <c r="Z679" s="697"/>
      <c r="AA679" s="697"/>
      <c r="AB679" s="697"/>
      <c r="AC679" s="697"/>
    </row>
    <row r="680" spans="1:29" x14ac:dyDescent="0.2">
      <c r="A680" s="694" t="str">
        <f>+Info!$B$2</f>
        <v>724</v>
      </c>
      <c r="B680" s="694" t="s">
        <v>6360</v>
      </c>
      <c r="C680" s="694" t="s">
        <v>6361</v>
      </c>
      <c r="D680" s="695" t="s">
        <v>6362</v>
      </c>
      <c r="E680" s="696"/>
      <c r="F680" s="697"/>
      <c r="G680" s="697"/>
      <c r="H680" s="698"/>
      <c r="I680" s="698"/>
      <c r="J680" s="697"/>
      <c r="K680" s="697"/>
      <c r="L680" s="697"/>
      <c r="M680" s="697"/>
      <c r="N680" s="698"/>
      <c r="O680" s="698"/>
      <c r="P680" s="698"/>
      <c r="Q680" s="697"/>
      <c r="R680" s="698"/>
      <c r="S680" s="697"/>
      <c r="T680" s="697"/>
      <c r="U680" s="697"/>
      <c r="V680" s="697"/>
      <c r="W680" s="698"/>
      <c r="X680" s="698"/>
      <c r="Y680" s="697"/>
      <c r="Z680" s="697"/>
      <c r="AA680" s="697"/>
      <c r="AB680" s="697"/>
      <c r="AC680" s="697"/>
    </row>
    <row r="681" spans="1:29" x14ac:dyDescent="0.2">
      <c r="A681" s="694" t="str">
        <f>+Info!$B$2</f>
        <v>724</v>
      </c>
      <c r="B681" s="694" t="s">
        <v>6363</v>
      </c>
      <c r="C681" s="694" t="s">
        <v>6364</v>
      </c>
      <c r="D681" s="695" t="s">
        <v>6365</v>
      </c>
      <c r="E681" s="696"/>
      <c r="F681" s="697"/>
      <c r="G681" s="697"/>
      <c r="H681" s="698"/>
      <c r="I681" s="698"/>
      <c r="J681" s="697"/>
      <c r="K681" s="697"/>
      <c r="L681" s="697"/>
      <c r="M681" s="697"/>
      <c r="N681" s="698"/>
      <c r="O681" s="698"/>
      <c r="P681" s="698"/>
      <c r="Q681" s="697"/>
      <c r="R681" s="698"/>
      <c r="S681" s="697"/>
      <c r="T681" s="697"/>
      <c r="U681" s="697"/>
      <c r="V681" s="697"/>
      <c r="W681" s="698"/>
      <c r="X681" s="698"/>
      <c r="Y681" s="697"/>
      <c r="Z681" s="697"/>
      <c r="AA681" s="697"/>
      <c r="AB681" s="697"/>
      <c r="AC681" s="697"/>
    </row>
    <row r="682" spans="1:29" x14ac:dyDescent="0.2">
      <c r="A682" s="694" t="str">
        <f>+Info!$B$2</f>
        <v>724</v>
      </c>
      <c r="B682" s="694" t="s">
        <v>6366</v>
      </c>
      <c r="C682" s="694" t="s">
        <v>6367</v>
      </c>
      <c r="D682" s="695" t="s">
        <v>6368</v>
      </c>
      <c r="E682" s="696"/>
      <c r="F682" s="697"/>
      <c r="G682" s="697"/>
      <c r="H682" s="698"/>
      <c r="I682" s="698"/>
      <c r="J682" s="697"/>
      <c r="K682" s="697"/>
      <c r="L682" s="697"/>
      <c r="M682" s="697"/>
      <c r="N682" s="698"/>
      <c r="O682" s="698"/>
      <c r="P682" s="698"/>
      <c r="Q682" s="697"/>
      <c r="R682" s="698"/>
      <c r="S682" s="697"/>
      <c r="T682" s="697"/>
      <c r="U682" s="697"/>
      <c r="V682" s="697"/>
      <c r="W682" s="698"/>
      <c r="X682" s="698"/>
      <c r="Y682" s="697"/>
      <c r="Z682" s="697"/>
      <c r="AA682" s="697"/>
      <c r="AB682" s="697"/>
      <c r="AC682" s="697"/>
    </row>
    <row r="683" spans="1:29" x14ac:dyDescent="0.2">
      <c r="A683" s="694" t="str">
        <f>+Info!$B$2</f>
        <v>724</v>
      </c>
      <c r="B683" s="694" t="s">
        <v>6369</v>
      </c>
      <c r="C683" s="694" t="s">
        <v>6370</v>
      </c>
      <c r="D683" s="695" t="s">
        <v>6371</v>
      </c>
      <c r="E683" s="696"/>
      <c r="F683" s="697"/>
      <c r="G683" s="697"/>
      <c r="H683" s="698"/>
      <c r="I683" s="698"/>
      <c r="J683" s="697"/>
      <c r="K683" s="697"/>
      <c r="L683" s="697"/>
      <c r="M683" s="697"/>
      <c r="N683" s="698"/>
      <c r="O683" s="698"/>
      <c r="P683" s="698"/>
      <c r="Q683" s="697"/>
      <c r="R683" s="698"/>
      <c r="S683" s="697"/>
      <c r="T683" s="697"/>
      <c r="U683" s="697"/>
      <c r="V683" s="697"/>
      <c r="W683" s="698"/>
      <c r="X683" s="698"/>
      <c r="Y683" s="697"/>
      <c r="Z683" s="697"/>
      <c r="AA683" s="697"/>
      <c r="AB683" s="697"/>
      <c r="AC683" s="697"/>
    </row>
    <row r="684" spans="1:29" ht="25.5" x14ac:dyDescent="0.2">
      <c r="A684" s="694" t="str">
        <f>+Info!$B$2</f>
        <v>724</v>
      </c>
      <c r="B684" s="694" t="s">
        <v>6372</v>
      </c>
      <c r="C684" s="694" t="s">
        <v>6373</v>
      </c>
      <c r="D684" s="695" t="s">
        <v>6374</v>
      </c>
      <c r="E684" s="696"/>
      <c r="F684" s="697"/>
      <c r="G684" s="697"/>
      <c r="H684" s="698"/>
      <c r="I684" s="698"/>
      <c r="J684" s="697"/>
      <c r="K684" s="697"/>
      <c r="L684" s="697"/>
      <c r="M684" s="697"/>
      <c r="N684" s="698"/>
      <c r="O684" s="698"/>
      <c r="P684" s="698"/>
      <c r="Q684" s="697"/>
      <c r="R684" s="698"/>
      <c r="S684" s="697"/>
      <c r="T684" s="697"/>
      <c r="U684" s="697"/>
      <c r="V684" s="697"/>
      <c r="W684" s="698"/>
      <c r="X684" s="698"/>
      <c r="Y684" s="697"/>
      <c r="Z684" s="697"/>
      <c r="AA684" s="697"/>
      <c r="AB684" s="697"/>
      <c r="AC684" s="697"/>
    </row>
    <row r="685" spans="1:29" x14ac:dyDescent="0.2">
      <c r="A685" s="694" t="str">
        <f>+Info!$B$2</f>
        <v>724</v>
      </c>
      <c r="B685" s="694" t="s">
        <v>6375</v>
      </c>
      <c r="C685" s="694" t="s">
        <v>6376</v>
      </c>
      <c r="D685" s="695" t="s">
        <v>6377</v>
      </c>
      <c r="E685" s="696"/>
      <c r="F685" s="697"/>
      <c r="G685" s="697"/>
      <c r="H685" s="698"/>
      <c r="I685" s="698"/>
      <c r="J685" s="697"/>
      <c r="K685" s="697"/>
      <c r="L685" s="697"/>
      <c r="M685" s="697"/>
      <c r="N685" s="698"/>
      <c r="O685" s="698"/>
      <c r="P685" s="698"/>
      <c r="Q685" s="697"/>
      <c r="R685" s="698"/>
      <c r="S685" s="697"/>
      <c r="T685" s="697"/>
      <c r="U685" s="697"/>
      <c r="V685" s="697"/>
      <c r="W685" s="698"/>
      <c r="X685" s="698"/>
      <c r="Y685" s="697"/>
      <c r="Z685" s="697"/>
      <c r="AA685" s="697"/>
      <c r="AB685" s="697"/>
      <c r="AC685" s="697"/>
    </row>
    <row r="686" spans="1:29" x14ac:dyDescent="0.2">
      <c r="A686" s="694" t="str">
        <f>+Info!$B$2</f>
        <v>724</v>
      </c>
      <c r="B686" s="694" t="s">
        <v>6378</v>
      </c>
      <c r="C686" s="694" t="s">
        <v>6379</v>
      </c>
      <c r="D686" s="695" t="s">
        <v>6380</v>
      </c>
      <c r="E686" s="696"/>
      <c r="F686" s="697"/>
      <c r="G686" s="697"/>
      <c r="H686" s="698"/>
      <c r="I686" s="698"/>
      <c r="J686" s="697"/>
      <c r="K686" s="697"/>
      <c r="L686" s="697"/>
      <c r="M686" s="697"/>
      <c r="N686" s="698"/>
      <c r="O686" s="698"/>
      <c r="P686" s="698"/>
      <c r="Q686" s="697"/>
      <c r="R686" s="698"/>
      <c r="S686" s="697"/>
      <c r="T686" s="697"/>
      <c r="U686" s="697"/>
      <c r="V686" s="697"/>
      <c r="W686" s="698"/>
      <c r="X686" s="698"/>
      <c r="Y686" s="697"/>
      <c r="Z686" s="697"/>
      <c r="AA686" s="697"/>
      <c r="AB686" s="697"/>
      <c r="AC686" s="697"/>
    </row>
    <row r="687" spans="1:29" x14ac:dyDescent="0.2">
      <c r="A687" s="694" t="str">
        <f>+Info!$B$2</f>
        <v>724</v>
      </c>
      <c r="B687" s="694" t="s">
        <v>6381</v>
      </c>
      <c r="C687" s="694" t="s">
        <v>6382</v>
      </c>
      <c r="D687" s="695" t="s">
        <v>6383</v>
      </c>
      <c r="E687" s="696"/>
      <c r="F687" s="697"/>
      <c r="G687" s="697"/>
      <c r="H687" s="698"/>
      <c r="I687" s="698"/>
      <c r="J687" s="697"/>
      <c r="K687" s="697"/>
      <c r="L687" s="697"/>
      <c r="M687" s="697"/>
      <c r="N687" s="698"/>
      <c r="O687" s="698"/>
      <c r="P687" s="698"/>
      <c r="Q687" s="697"/>
      <c r="R687" s="698"/>
      <c r="S687" s="697"/>
      <c r="T687" s="697"/>
      <c r="U687" s="697"/>
      <c r="V687" s="697"/>
      <c r="W687" s="698"/>
      <c r="X687" s="698"/>
      <c r="Y687" s="697"/>
      <c r="Z687" s="697"/>
      <c r="AA687" s="697"/>
      <c r="AB687" s="697"/>
      <c r="AC687" s="697"/>
    </row>
    <row r="688" spans="1:29" x14ac:dyDescent="0.2">
      <c r="A688" s="694" t="str">
        <f>+Info!$B$2</f>
        <v>724</v>
      </c>
      <c r="B688" s="694" t="s">
        <v>6384</v>
      </c>
      <c r="C688" s="694" t="s">
        <v>6385</v>
      </c>
      <c r="D688" s="695" t="s">
        <v>6386</v>
      </c>
      <c r="E688" s="696"/>
      <c r="F688" s="697"/>
      <c r="G688" s="697"/>
      <c r="H688" s="698"/>
      <c r="I688" s="698"/>
      <c r="J688" s="697"/>
      <c r="K688" s="697"/>
      <c r="L688" s="697"/>
      <c r="M688" s="697"/>
      <c r="N688" s="698"/>
      <c r="O688" s="698"/>
      <c r="P688" s="698"/>
      <c r="Q688" s="697"/>
      <c r="R688" s="698"/>
      <c r="S688" s="697"/>
      <c r="T688" s="697"/>
      <c r="U688" s="697"/>
      <c r="V688" s="697"/>
      <c r="W688" s="698"/>
      <c r="X688" s="698"/>
      <c r="Y688" s="697"/>
      <c r="Z688" s="697"/>
      <c r="AA688" s="697"/>
      <c r="AB688" s="697"/>
      <c r="AC688" s="697"/>
    </row>
    <row r="689" spans="1:29" x14ac:dyDescent="0.2">
      <c r="A689" s="694" t="str">
        <f>+Info!$B$2</f>
        <v>724</v>
      </c>
      <c r="B689" s="694" t="s">
        <v>6387</v>
      </c>
      <c r="C689" s="694" t="s">
        <v>6388</v>
      </c>
      <c r="D689" s="695" t="s">
        <v>6389</v>
      </c>
      <c r="E689" s="696"/>
      <c r="F689" s="697"/>
      <c r="G689" s="697"/>
      <c r="H689" s="698"/>
      <c r="I689" s="698"/>
      <c r="J689" s="697"/>
      <c r="K689" s="697"/>
      <c r="L689" s="697"/>
      <c r="M689" s="697"/>
      <c r="N689" s="698"/>
      <c r="O689" s="698"/>
      <c r="P689" s="698"/>
      <c r="Q689" s="697"/>
      <c r="R689" s="698"/>
      <c r="S689" s="697"/>
      <c r="T689" s="697"/>
      <c r="U689" s="697"/>
      <c r="V689" s="697"/>
      <c r="W689" s="698"/>
      <c r="X689" s="698"/>
      <c r="Y689" s="697"/>
      <c r="Z689" s="697"/>
      <c r="AA689" s="697"/>
      <c r="AB689" s="698"/>
      <c r="AC689" s="698"/>
    </row>
    <row r="690" spans="1:29" x14ac:dyDescent="0.2">
      <c r="A690" s="694" t="str">
        <f>+Info!$B$2</f>
        <v>724</v>
      </c>
      <c r="B690" s="694" t="s">
        <v>6390</v>
      </c>
      <c r="C690" s="694" t="s">
        <v>6391</v>
      </c>
      <c r="D690" s="695" t="s">
        <v>6392</v>
      </c>
      <c r="E690" s="696"/>
      <c r="F690" s="697"/>
      <c r="G690" s="697"/>
      <c r="H690" s="698"/>
      <c r="I690" s="698"/>
      <c r="J690" s="697"/>
      <c r="K690" s="697"/>
      <c r="L690" s="697"/>
      <c r="M690" s="697"/>
      <c r="N690" s="698"/>
      <c r="O690" s="698"/>
      <c r="P690" s="698"/>
      <c r="Q690" s="697"/>
      <c r="R690" s="698"/>
      <c r="S690" s="697"/>
      <c r="T690" s="697"/>
      <c r="U690" s="697"/>
      <c r="V690" s="697"/>
      <c r="W690" s="698"/>
      <c r="X690" s="698"/>
      <c r="Y690" s="697"/>
      <c r="Z690" s="697"/>
      <c r="AA690" s="697"/>
      <c r="AB690" s="698"/>
      <c r="AC690" s="698"/>
    </row>
    <row r="691" spans="1:29" x14ac:dyDescent="0.2">
      <c r="A691" s="694" t="str">
        <f>+Info!$B$2</f>
        <v>724</v>
      </c>
      <c r="B691" s="694" t="s">
        <v>6393</v>
      </c>
      <c r="C691" s="694" t="s">
        <v>6394</v>
      </c>
      <c r="D691" s="695" t="s">
        <v>6395</v>
      </c>
      <c r="E691" s="696"/>
      <c r="F691" s="697"/>
      <c r="G691" s="697"/>
      <c r="H691" s="698"/>
      <c r="I691" s="698"/>
      <c r="J691" s="697"/>
      <c r="K691" s="697"/>
      <c r="L691" s="697"/>
      <c r="M691" s="697"/>
      <c r="N691" s="698"/>
      <c r="O691" s="698"/>
      <c r="P691" s="698"/>
      <c r="Q691" s="697"/>
      <c r="R691" s="698"/>
      <c r="S691" s="697"/>
      <c r="T691" s="697"/>
      <c r="U691" s="697"/>
      <c r="V691" s="697"/>
      <c r="W691" s="698"/>
      <c r="X691" s="698"/>
      <c r="Y691" s="697"/>
      <c r="Z691" s="697"/>
      <c r="AA691" s="697"/>
      <c r="AB691" s="697"/>
      <c r="AC691" s="697"/>
    </row>
    <row r="692" spans="1:29" x14ac:dyDescent="0.2">
      <c r="A692" s="694" t="str">
        <f>+Info!$B$2</f>
        <v>724</v>
      </c>
      <c r="B692" s="694" t="s">
        <v>6396</v>
      </c>
      <c r="C692" s="694" t="s">
        <v>6397</v>
      </c>
      <c r="D692" s="695" t="s">
        <v>6398</v>
      </c>
      <c r="E692" s="696"/>
      <c r="F692" s="697"/>
      <c r="G692" s="697"/>
      <c r="H692" s="698"/>
      <c r="I692" s="698"/>
      <c r="J692" s="697"/>
      <c r="K692" s="697"/>
      <c r="L692" s="697"/>
      <c r="M692" s="697"/>
      <c r="N692" s="698"/>
      <c r="O692" s="698"/>
      <c r="P692" s="698"/>
      <c r="Q692" s="697"/>
      <c r="R692" s="697"/>
      <c r="S692" s="698"/>
      <c r="T692" s="697"/>
      <c r="U692" s="697"/>
      <c r="V692" s="697"/>
      <c r="W692" s="698"/>
      <c r="X692" s="698"/>
      <c r="Y692" s="697"/>
      <c r="Z692" s="697"/>
      <c r="AA692" s="697"/>
      <c r="AB692" s="697"/>
      <c r="AC692" s="697"/>
    </row>
    <row r="693" spans="1:29" x14ac:dyDescent="0.2">
      <c r="A693" s="694" t="str">
        <f>+Info!$B$2</f>
        <v>724</v>
      </c>
      <c r="B693" s="694" t="s">
        <v>6399</v>
      </c>
      <c r="C693" s="694" t="s">
        <v>6400</v>
      </c>
      <c r="D693" s="695" t="s">
        <v>6401</v>
      </c>
      <c r="E693" s="696"/>
      <c r="F693" s="697"/>
      <c r="G693" s="697"/>
      <c r="H693" s="698"/>
      <c r="I693" s="698"/>
      <c r="J693" s="697"/>
      <c r="K693" s="697"/>
      <c r="L693" s="697"/>
      <c r="M693" s="697"/>
      <c r="N693" s="698"/>
      <c r="O693" s="698"/>
      <c r="P693" s="698"/>
      <c r="Q693" s="697"/>
      <c r="R693" s="697"/>
      <c r="S693" s="698"/>
      <c r="T693" s="697"/>
      <c r="U693" s="697"/>
      <c r="V693" s="697"/>
      <c r="W693" s="698"/>
      <c r="X693" s="698"/>
      <c r="Y693" s="697"/>
      <c r="Z693" s="697"/>
      <c r="AA693" s="697"/>
      <c r="AB693" s="697"/>
      <c r="AC693" s="697"/>
    </row>
    <row r="694" spans="1:29" x14ac:dyDescent="0.2">
      <c r="A694" s="694" t="str">
        <f>+Info!$B$2</f>
        <v>724</v>
      </c>
      <c r="B694" s="694" t="s">
        <v>6402</v>
      </c>
      <c r="C694" s="694" t="s">
        <v>6403</v>
      </c>
      <c r="D694" s="695" t="s">
        <v>6404</v>
      </c>
      <c r="E694" s="696"/>
      <c r="F694" s="697"/>
      <c r="G694" s="697"/>
      <c r="H694" s="698"/>
      <c r="I694" s="698"/>
      <c r="J694" s="697"/>
      <c r="K694" s="697"/>
      <c r="L694" s="697"/>
      <c r="M694" s="697"/>
      <c r="N694" s="698"/>
      <c r="O694" s="698"/>
      <c r="P694" s="698"/>
      <c r="Q694" s="697"/>
      <c r="R694" s="697"/>
      <c r="S694" s="698"/>
      <c r="T694" s="697"/>
      <c r="U694" s="697"/>
      <c r="V694" s="697"/>
      <c r="W694" s="698"/>
      <c r="X694" s="698"/>
      <c r="Y694" s="697"/>
      <c r="Z694" s="697"/>
      <c r="AA694" s="697"/>
      <c r="AB694" s="697"/>
      <c r="AC694" s="697"/>
    </row>
    <row r="695" spans="1:29" x14ac:dyDescent="0.2">
      <c r="A695" s="694" t="str">
        <f>+Info!$B$2</f>
        <v>724</v>
      </c>
      <c r="B695" s="694" t="s">
        <v>6405</v>
      </c>
      <c r="C695" s="694" t="s">
        <v>6406</v>
      </c>
      <c r="D695" s="695" t="s">
        <v>6407</v>
      </c>
      <c r="E695" s="696"/>
      <c r="F695" s="697"/>
      <c r="G695" s="697"/>
      <c r="H695" s="698"/>
      <c r="I695" s="698"/>
      <c r="J695" s="697"/>
      <c r="K695" s="697"/>
      <c r="L695" s="697"/>
      <c r="M695" s="697"/>
      <c r="N695" s="698"/>
      <c r="O695" s="698"/>
      <c r="P695" s="698"/>
      <c r="Q695" s="697"/>
      <c r="R695" s="697"/>
      <c r="S695" s="698"/>
      <c r="T695" s="697"/>
      <c r="U695" s="697"/>
      <c r="V695" s="697"/>
      <c r="W695" s="698"/>
      <c r="X695" s="698"/>
      <c r="Y695" s="697"/>
      <c r="Z695" s="697"/>
      <c r="AA695" s="697"/>
      <c r="AB695" s="697"/>
      <c r="AC695" s="697"/>
    </row>
    <row r="696" spans="1:29" ht="25.5" x14ac:dyDescent="0.2">
      <c r="A696" s="694" t="str">
        <f>+Info!$B$2</f>
        <v>724</v>
      </c>
      <c r="B696" s="694" t="s">
        <v>6408</v>
      </c>
      <c r="C696" s="694" t="s">
        <v>6409</v>
      </c>
      <c r="D696" s="695" t="s">
        <v>6410</v>
      </c>
      <c r="E696" s="696"/>
      <c r="F696" s="697"/>
      <c r="G696" s="697"/>
      <c r="H696" s="698"/>
      <c r="I696" s="698"/>
      <c r="J696" s="697"/>
      <c r="K696" s="697"/>
      <c r="L696" s="697"/>
      <c r="M696" s="697"/>
      <c r="N696" s="698"/>
      <c r="O696" s="698"/>
      <c r="P696" s="698"/>
      <c r="Q696" s="697"/>
      <c r="R696" s="697"/>
      <c r="S696" s="698"/>
      <c r="T696" s="697"/>
      <c r="U696" s="697"/>
      <c r="V696" s="697"/>
      <c r="W696" s="698"/>
      <c r="X696" s="698"/>
      <c r="Y696" s="697"/>
      <c r="Z696" s="697"/>
      <c r="AA696" s="697"/>
      <c r="AB696" s="697"/>
      <c r="AC696" s="697"/>
    </row>
    <row r="697" spans="1:29" x14ac:dyDescent="0.2">
      <c r="A697" s="694" t="str">
        <f>+Info!$B$2</f>
        <v>724</v>
      </c>
      <c r="B697" s="694" t="s">
        <v>6411</v>
      </c>
      <c r="C697" s="694" t="s">
        <v>6412</v>
      </c>
      <c r="D697" s="695" t="s">
        <v>6413</v>
      </c>
      <c r="E697" s="696"/>
      <c r="F697" s="697"/>
      <c r="G697" s="697"/>
      <c r="H697" s="698"/>
      <c r="I697" s="698"/>
      <c r="J697" s="697"/>
      <c r="K697" s="697"/>
      <c r="L697" s="697"/>
      <c r="M697" s="697"/>
      <c r="N697" s="698"/>
      <c r="O697" s="698"/>
      <c r="P697" s="698"/>
      <c r="Q697" s="697"/>
      <c r="R697" s="697"/>
      <c r="S697" s="698"/>
      <c r="T697" s="697"/>
      <c r="U697" s="697"/>
      <c r="V697" s="697"/>
      <c r="W697" s="698"/>
      <c r="X697" s="698"/>
      <c r="Y697" s="697"/>
      <c r="Z697" s="697"/>
      <c r="AA697" s="697"/>
      <c r="AB697" s="697"/>
      <c r="AC697" s="697"/>
    </row>
    <row r="698" spans="1:29" x14ac:dyDescent="0.2">
      <c r="A698" s="694" t="str">
        <f>+Info!$B$2</f>
        <v>724</v>
      </c>
      <c r="B698" s="694" t="s">
        <v>6414</v>
      </c>
      <c r="C698" s="694" t="s">
        <v>6415</v>
      </c>
      <c r="D698" s="695" t="s">
        <v>6416</v>
      </c>
      <c r="E698" s="696"/>
      <c r="F698" s="697"/>
      <c r="G698" s="697"/>
      <c r="H698" s="698"/>
      <c r="I698" s="698"/>
      <c r="J698" s="697"/>
      <c r="K698" s="697"/>
      <c r="L698" s="697"/>
      <c r="M698" s="697"/>
      <c r="N698" s="698"/>
      <c r="O698" s="698"/>
      <c r="P698" s="698"/>
      <c r="Q698" s="697"/>
      <c r="R698" s="697"/>
      <c r="S698" s="698"/>
      <c r="T698" s="697"/>
      <c r="U698" s="697"/>
      <c r="V698" s="697"/>
      <c r="W698" s="698"/>
      <c r="X698" s="698"/>
      <c r="Y698" s="697"/>
      <c r="Z698" s="697"/>
      <c r="AA698" s="697"/>
      <c r="AB698" s="697"/>
      <c r="AC698" s="697"/>
    </row>
    <row r="699" spans="1:29" x14ac:dyDescent="0.2">
      <c r="A699" s="694" t="str">
        <f>+Info!$B$2</f>
        <v>724</v>
      </c>
      <c r="B699" s="694" t="s">
        <v>6417</v>
      </c>
      <c r="C699" s="694" t="s">
        <v>6418</v>
      </c>
      <c r="D699" s="695" t="s">
        <v>6419</v>
      </c>
      <c r="E699" s="696"/>
      <c r="F699" s="697"/>
      <c r="G699" s="697"/>
      <c r="H699" s="698"/>
      <c r="I699" s="698"/>
      <c r="J699" s="697"/>
      <c r="K699" s="697"/>
      <c r="L699" s="697"/>
      <c r="M699" s="697"/>
      <c r="N699" s="698"/>
      <c r="O699" s="698"/>
      <c r="P699" s="698"/>
      <c r="Q699" s="697"/>
      <c r="R699" s="697"/>
      <c r="S699" s="698"/>
      <c r="T699" s="697"/>
      <c r="U699" s="697"/>
      <c r="V699" s="697"/>
      <c r="W699" s="698"/>
      <c r="X699" s="698"/>
      <c r="Y699" s="697"/>
      <c r="Z699" s="697"/>
      <c r="AA699" s="697"/>
      <c r="AB699" s="697"/>
      <c r="AC699" s="697"/>
    </row>
    <row r="700" spans="1:29" x14ac:dyDescent="0.2">
      <c r="A700" s="694" t="str">
        <f>+Info!$B$2</f>
        <v>724</v>
      </c>
      <c r="B700" s="694" t="s">
        <v>6420</v>
      </c>
      <c r="C700" s="694" t="s">
        <v>6421</v>
      </c>
      <c r="D700" s="695" t="s">
        <v>6422</v>
      </c>
      <c r="E700" s="696"/>
      <c r="F700" s="697"/>
      <c r="G700" s="697"/>
      <c r="H700" s="698"/>
      <c r="I700" s="698"/>
      <c r="J700" s="697"/>
      <c r="K700" s="697"/>
      <c r="L700" s="697"/>
      <c r="M700" s="697"/>
      <c r="N700" s="698"/>
      <c r="O700" s="698"/>
      <c r="P700" s="698"/>
      <c r="Q700" s="697"/>
      <c r="R700" s="697"/>
      <c r="S700" s="698"/>
      <c r="T700" s="697"/>
      <c r="U700" s="697"/>
      <c r="V700" s="697"/>
      <c r="W700" s="698"/>
      <c r="X700" s="698"/>
      <c r="Y700" s="697"/>
      <c r="Z700" s="697"/>
      <c r="AA700" s="697"/>
      <c r="AB700" s="698"/>
      <c r="AC700" s="698"/>
    </row>
    <row r="701" spans="1:29" x14ac:dyDescent="0.2">
      <c r="A701" s="694" t="str">
        <f>+Info!$B$2</f>
        <v>724</v>
      </c>
      <c r="B701" s="694" t="s">
        <v>6423</v>
      </c>
      <c r="C701" s="694" t="s">
        <v>6424</v>
      </c>
      <c r="D701" s="695" t="s">
        <v>6425</v>
      </c>
      <c r="E701" s="696"/>
      <c r="F701" s="697"/>
      <c r="G701" s="697"/>
      <c r="H701" s="698"/>
      <c r="I701" s="698"/>
      <c r="J701" s="697"/>
      <c r="K701" s="697"/>
      <c r="L701" s="697"/>
      <c r="M701" s="697"/>
      <c r="N701" s="698"/>
      <c r="O701" s="698"/>
      <c r="P701" s="698"/>
      <c r="Q701" s="697"/>
      <c r="R701" s="697"/>
      <c r="S701" s="698"/>
      <c r="T701" s="697"/>
      <c r="U701" s="697"/>
      <c r="V701" s="697"/>
      <c r="W701" s="698"/>
      <c r="X701" s="698"/>
      <c r="Y701" s="697"/>
      <c r="Z701" s="697"/>
      <c r="AA701" s="697"/>
      <c r="AB701" s="698"/>
      <c r="AC701" s="698"/>
    </row>
    <row r="702" spans="1:29" x14ac:dyDescent="0.2">
      <c r="A702" s="694" t="str">
        <f>+Info!$B$2</f>
        <v>724</v>
      </c>
      <c r="B702" s="694" t="s">
        <v>6426</v>
      </c>
      <c r="C702" s="694" t="s">
        <v>6427</v>
      </c>
      <c r="D702" s="695" t="s">
        <v>6428</v>
      </c>
      <c r="E702" s="696"/>
      <c r="F702" s="697"/>
      <c r="G702" s="697"/>
      <c r="H702" s="698"/>
      <c r="I702" s="698"/>
      <c r="J702" s="697"/>
      <c r="K702" s="697"/>
      <c r="L702" s="697"/>
      <c r="M702" s="697"/>
      <c r="N702" s="698"/>
      <c r="O702" s="698"/>
      <c r="P702" s="698"/>
      <c r="Q702" s="697"/>
      <c r="R702" s="697"/>
      <c r="S702" s="698"/>
      <c r="T702" s="697"/>
      <c r="U702" s="697"/>
      <c r="V702" s="697"/>
      <c r="W702" s="698"/>
      <c r="X702" s="698"/>
      <c r="Y702" s="697"/>
      <c r="Z702" s="697"/>
      <c r="AA702" s="697"/>
      <c r="AB702" s="697"/>
      <c r="AC702" s="697"/>
    </row>
    <row r="703" spans="1:29" x14ac:dyDescent="0.2">
      <c r="A703" s="694" t="str">
        <f>+Info!$B$2</f>
        <v>724</v>
      </c>
      <c r="B703" s="694" t="s">
        <v>6429</v>
      </c>
      <c r="C703" s="694" t="s">
        <v>6430</v>
      </c>
      <c r="D703" s="695" t="s">
        <v>6431</v>
      </c>
      <c r="E703" s="696"/>
      <c r="F703" s="697"/>
      <c r="G703" s="697"/>
      <c r="H703" s="698"/>
      <c r="I703" s="698"/>
      <c r="J703" s="697"/>
      <c r="K703" s="697"/>
      <c r="L703" s="697"/>
      <c r="M703" s="697"/>
      <c r="N703" s="698"/>
      <c r="O703" s="698"/>
      <c r="P703" s="698"/>
      <c r="Q703" s="697"/>
      <c r="R703" s="697"/>
      <c r="S703" s="698"/>
      <c r="T703" s="697"/>
      <c r="U703" s="697"/>
      <c r="V703" s="697"/>
      <c r="W703" s="698"/>
      <c r="X703" s="698"/>
      <c r="Y703" s="697"/>
      <c r="Z703" s="697"/>
      <c r="AA703" s="697"/>
      <c r="AB703" s="697"/>
      <c r="AC703" s="697"/>
    </row>
    <row r="704" spans="1:29" x14ac:dyDescent="0.2">
      <c r="A704" s="694" t="str">
        <f>+Info!$B$2</f>
        <v>724</v>
      </c>
      <c r="B704" s="694" t="s">
        <v>6432</v>
      </c>
      <c r="C704" s="694" t="s">
        <v>6433</v>
      </c>
      <c r="D704" s="695" t="s">
        <v>6434</v>
      </c>
      <c r="E704" s="696"/>
      <c r="F704" s="697"/>
      <c r="G704" s="697"/>
      <c r="H704" s="698"/>
      <c r="I704" s="698"/>
      <c r="J704" s="697"/>
      <c r="K704" s="697"/>
      <c r="L704" s="697"/>
      <c r="M704" s="697"/>
      <c r="N704" s="698"/>
      <c r="O704" s="698"/>
      <c r="P704" s="698"/>
      <c r="Q704" s="697"/>
      <c r="R704" s="697"/>
      <c r="S704" s="698"/>
      <c r="T704" s="697"/>
      <c r="U704" s="697"/>
      <c r="V704" s="697"/>
      <c r="W704" s="698"/>
      <c r="X704" s="698"/>
      <c r="Y704" s="697"/>
      <c r="Z704" s="697"/>
      <c r="AA704" s="697"/>
      <c r="AB704" s="697"/>
      <c r="AC704" s="697"/>
    </row>
    <row r="705" spans="1:29" x14ac:dyDescent="0.2">
      <c r="A705" s="694" t="str">
        <f>+Info!$B$2</f>
        <v>724</v>
      </c>
      <c r="B705" s="694" t="s">
        <v>6435</v>
      </c>
      <c r="C705" s="694" t="s">
        <v>6436</v>
      </c>
      <c r="D705" s="695" t="s">
        <v>6437</v>
      </c>
      <c r="E705" s="696"/>
      <c r="F705" s="697"/>
      <c r="G705" s="697"/>
      <c r="H705" s="698"/>
      <c r="I705" s="698"/>
      <c r="J705" s="697"/>
      <c r="K705" s="697"/>
      <c r="L705" s="697"/>
      <c r="M705" s="697"/>
      <c r="N705" s="698"/>
      <c r="O705" s="698"/>
      <c r="P705" s="698"/>
      <c r="Q705" s="697"/>
      <c r="R705" s="697"/>
      <c r="S705" s="698"/>
      <c r="T705" s="697"/>
      <c r="U705" s="697"/>
      <c r="V705" s="697"/>
      <c r="W705" s="698"/>
      <c r="X705" s="698"/>
      <c r="Y705" s="697"/>
      <c r="Z705" s="697"/>
      <c r="AA705" s="697"/>
      <c r="AB705" s="697"/>
      <c r="AC705" s="697"/>
    </row>
    <row r="706" spans="1:29" x14ac:dyDescent="0.2">
      <c r="A706" s="694" t="str">
        <f>+Info!$B$2</f>
        <v>724</v>
      </c>
      <c r="B706" s="694" t="s">
        <v>6438</v>
      </c>
      <c r="C706" s="694" t="s">
        <v>6439</v>
      </c>
      <c r="D706" s="695" t="s">
        <v>6440</v>
      </c>
      <c r="E706" s="696"/>
      <c r="F706" s="697"/>
      <c r="G706" s="697"/>
      <c r="H706" s="698"/>
      <c r="I706" s="698"/>
      <c r="J706" s="697"/>
      <c r="K706" s="697"/>
      <c r="L706" s="697"/>
      <c r="M706" s="697"/>
      <c r="N706" s="698"/>
      <c r="O706" s="698"/>
      <c r="P706" s="698"/>
      <c r="Q706" s="697"/>
      <c r="R706" s="697"/>
      <c r="S706" s="698"/>
      <c r="T706" s="697"/>
      <c r="U706" s="697"/>
      <c r="V706" s="697"/>
      <c r="W706" s="698"/>
      <c r="X706" s="698"/>
      <c r="Y706" s="697"/>
      <c r="Z706" s="697"/>
      <c r="AA706" s="697"/>
      <c r="AB706" s="697"/>
      <c r="AC706" s="697"/>
    </row>
    <row r="707" spans="1:29" ht="25.5" x14ac:dyDescent="0.2">
      <c r="A707" s="694" t="str">
        <f>+Info!$B$2</f>
        <v>724</v>
      </c>
      <c r="B707" s="694" t="s">
        <v>6441</v>
      </c>
      <c r="C707" s="694" t="s">
        <v>6442</v>
      </c>
      <c r="D707" s="695" t="s">
        <v>6443</v>
      </c>
      <c r="E707" s="696"/>
      <c r="F707" s="697"/>
      <c r="G707" s="697"/>
      <c r="H707" s="698"/>
      <c r="I707" s="698"/>
      <c r="J707" s="697"/>
      <c r="K707" s="697"/>
      <c r="L707" s="697"/>
      <c r="M707" s="697"/>
      <c r="N707" s="698"/>
      <c r="O707" s="698"/>
      <c r="P707" s="698"/>
      <c r="Q707" s="697"/>
      <c r="R707" s="697"/>
      <c r="S707" s="698"/>
      <c r="T707" s="697"/>
      <c r="U707" s="697"/>
      <c r="V707" s="697"/>
      <c r="W707" s="698"/>
      <c r="X707" s="698"/>
      <c r="Y707" s="697"/>
      <c r="Z707" s="697"/>
      <c r="AA707" s="697"/>
      <c r="AB707" s="697"/>
      <c r="AC707" s="697"/>
    </row>
    <row r="708" spans="1:29" x14ac:dyDescent="0.2">
      <c r="A708" s="694" t="str">
        <f>+Info!$B$2</f>
        <v>724</v>
      </c>
      <c r="B708" s="694" t="s">
        <v>6444</v>
      </c>
      <c r="C708" s="694" t="s">
        <v>6445</v>
      </c>
      <c r="D708" s="695" t="s">
        <v>6446</v>
      </c>
      <c r="E708" s="696"/>
      <c r="F708" s="697"/>
      <c r="G708" s="697"/>
      <c r="H708" s="698"/>
      <c r="I708" s="698"/>
      <c r="J708" s="697"/>
      <c r="K708" s="697"/>
      <c r="L708" s="697"/>
      <c r="M708" s="697"/>
      <c r="N708" s="698"/>
      <c r="O708" s="698"/>
      <c r="P708" s="698"/>
      <c r="Q708" s="697"/>
      <c r="R708" s="697"/>
      <c r="S708" s="698"/>
      <c r="T708" s="697"/>
      <c r="U708" s="697"/>
      <c r="V708" s="697"/>
      <c r="W708" s="698"/>
      <c r="X708" s="698"/>
      <c r="Y708" s="697"/>
      <c r="Z708" s="697"/>
      <c r="AA708" s="697"/>
      <c r="AB708" s="697"/>
      <c r="AC708" s="697"/>
    </row>
    <row r="709" spans="1:29" x14ac:dyDescent="0.2">
      <c r="A709" s="694" t="str">
        <f>+Info!$B$2</f>
        <v>724</v>
      </c>
      <c r="B709" s="694" t="s">
        <v>6447</v>
      </c>
      <c r="C709" s="694" t="s">
        <v>6448</v>
      </c>
      <c r="D709" s="695" t="s">
        <v>6449</v>
      </c>
      <c r="E709" s="696"/>
      <c r="F709" s="697"/>
      <c r="G709" s="697"/>
      <c r="H709" s="698"/>
      <c r="I709" s="698"/>
      <c r="J709" s="697"/>
      <c r="K709" s="697"/>
      <c r="L709" s="697"/>
      <c r="M709" s="697"/>
      <c r="N709" s="698"/>
      <c r="O709" s="698"/>
      <c r="P709" s="698"/>
      <c r="Q709" s="697"/>
      <c r="R709" s="697"/>
      <c r="S709" s="698"/>
      <c r="T709" s="697"/>
      <c r="U709" s="697"/>
      <c r="V709" s="697"/>
      <c r="W709" s="698"/>
      <c r="X709" s="698"/>
      <c r="Y709" s="697"/>
      <c r="Z709" s="697"/>
      <c r="AA709" s="697"/>
      <c r="AB709" s="697"/>
      <c r="AC709" s="697"/>
    </row>
    <row r="710" spans="1:29" x14ac:dyDescent="0.2">
      <c r="A710" s="694" t="str">
        <f>+Info!$B$2</f>
        <v>724</v>
      </c>
      <c r="B710" s="694" t="s">
        <v>6450</v>
      </c>
      <c r="C710" s="694" t="s">
        <v>6451</v>
      </c>
      <c r="D710" s="695" t="s">
        <v>6452</v>
      </c>
      <c r="E710" s="696"/>
      <c r="F710" s="697"/>
      <c r="G710" s="697"/>
      <c r="H710" s="698"/>
      <c r="I710" s="698"/>
      <c r="J710" s="697"/>
      <c r="K710" s="697"/>
      <c r="L710" s="697"/>
      <c r="M710" s="697"/>
      <c r="N710" s="698"/>
      <c r="O710" s="698"/>
      <c r="P710" s="698"/>
      <c r="Q710" s="697"/>
      <c r="R710" s="697"/>
      <c r="S710" s="698"/>
      <c r="T710" s="697"/>
      <c r="U710" s="697"/>
      <c r="V710" s="697"/>
      <c r="W710" s="698"/>
      <c r="X710" s="698"/>
      <c r="Y710" s="697"/>
      <c r="Z710" s="697"/>
      <c r="AA710" s="697"/>
      <c r="AB710" s="697"/>
      <c r="AC710" s="697"/>
    </row>
    <row r="711" spans="1:29" x14ac:dyDescent="0.2">
      <c r="A711" s="694" t="str">
        <f>+Info!$B$2</f>
        <v>724</v>
      </c>
      <c r="B711" s="694" t="s">
        <v>6453</v>
      </c>
      <c r="C711" s="694" t="s">
        <v>6454</v>
      </c>
      <c r="D711" s="695" t="s">
        <v>6455</v>
      </c>
      <c r="E711" s="696"/>
      <c r="F711" s="697"/>
      <c r="G711" s="697"/>
      <c r="H711" s="698"/>
      <c r="I711" s="698"/>
      <c r="J711" s="697"/>
      <c r="K711" s="697"/>
      <c r="L711" s="697"/>
      <c r="M711" s="697"/>
      <c r="N711" s="698"/>
      <c r="O711" s="698"/>
      <c r="P711" s="698"/>
      <c r="Q711" s="697"/>
      <c r="R711" s="697"/>
      <c r="S711" s="698"/>
      <c r="T711" s="697"/>
      <c r="U711" s="697"/>
      <c r="V711" s="697"/>
      <c r="W711" s="698"/>
      <c r="X711" s="698"/>
      <c r="Y711" s="697"/>
      <c r="Z711" s="697"/>
      <c r="AA711" s="697"/>
      <c r="AB711" s="698"/>
      <c r="AC711" s="698"/>
    </row>
    <row r="712" spans="1:29" x14ac:dyDescent="0.2">
      <c r="A712" s="694" t="str">
        <f>+Info!$B$2</f>
        <v>724</v>
      </c>
      <c r="B712" s="694" t="s">
        <v>6456</v>
      </c>
      <c r="C712" s="694" t="s">
        <v>6457</v>
      </c>
      <c r="D712" s="695" t="s">
        <v>6458</v>
      </c>
      <c r="E712" s="696"/>
      <c r="F712" s="697"/>
      <c r="G712" s="697"/>
      <c r="H712" s="698"/>
      <c r="I712" s="698"/>
      <c r="J712" s="697"/>
      <c r="K712" s="697"/>
      <c r="L712" s="697"/>
      <c r="M712" s="697"/>
      <c r="N712" s="698"/>
      <c r="O712" s="698"/>
      <c r="P712" s="698"/>
      <c r="Q712" s="697"/>
      <c r="R712" s="697"/>
      <c r="S712" s="698"/>
      <c r="T712" s="697"/>
      <c r="U712" s="697"/>
      <c r="V712" s="697"/>
      <c r="W712" s="698"/>
      <c r="X712" s="698"/>
      <c r="Y712" s="697"/>
      <c r="Z712" s="697"/>
      <c r="AA712" s="697"/>
      <c r="AB712" s="698"/>
      <c r="AC712" s="698"/>
    </row>
    <row r="713" spans="1:29" x14ac:dyDescent="0.2">
      <c r="A713" s="694" t="str">
        <f>+Info!$B$2</f>
        <v>724</v>
      </c>
      <c r="B713" s="694" t="s">
        <v>6459</v>
      </c>
      <c r="C713" s="694" t="s">
        <v>6460</v>
      </c>
      <c r="D713" s="695" t="s">
        <v>6461</v>
      </c>
      <c r="E713" s="696"/>
      <c r="F713" s="697"/>
      <c r="G713" s="697"/>
      <c r="H713" s="698"/>
      <c r="I713" s="698"/>
      <c r="J713" s="697"/>
      <c r="K713" s="697"/>
      <c r="L713" s="697"/>
      <c r="M713" s="697"/>
      <c r="N713" s="698"/>
      <c r="O713" s="698"/>
      <c r="P713" s="698"/>
      <c r="Q713" s="697"/>
      <c r="R713" s="697"/>
      <c r="S713" s="698"/>
      <c r="T713" s="697"/>
      <c r="U713" s="697"/>
      <c r="V713" s="697"/>
      <c r="W713" s="698"/>
      <c r="X713" s="698"/>
      <c r="Y713" s="697"/>
      <c r="Z713" s="697"/>
      <c r="AA713" s="697"/>
      <c r="AB713" s="697"/>
      <c r="AC713" s="697"/>
    </row>
    <row r="714" spans="1:29" x14ac:dyDescent="0.2">
      <c r="A714" s="694" t="str">
        <f>+Info!$B$2</f>
        <v>724</v>
      </c>
      <c r="B714" s="694" t="s">
        <v>6462</v>
      </c>
      <c r="C714" s="694" t="s">
        <v>6463</v>
      </c>
      <c r="D714" s="695" t="s">
        <v>6464</v>
      </c>
      <c r="E714" s="696"/>
      <c r="F714" s="697"/>
      <c r="G714" s="697"/>
      <c r="H714" s="698"/>
      <c r="I714" s="698"/>
      <c r="J714" s="697"/>
      <c r="K714" s="697"/>
      <c r="L714" s="697"/>
      <c r="M714" s="697"/>
      <c r="N714" s="698"/>
      <c r="O714" s="698"/>
      <c r="P714" s="698"/>
      <c r="Q714" s="697"/>
      <c r="R714" s="697"/>
      <c r="S714" s="698"/>
      <c r="T714" s="697"/>
      <c r="U714" s="697"/>
      <c r="V714" s="697"/>
      <c r="W714" s="698"/>
      <c r="X714" s="698"/>
      <c r="Y714" s="697"/>
      <c r="Z714" s="697"/>
      <c r="AA714" s="697"/>
      <c r="AB714" s="697"/>
      <c r="AC714" s="697"/>
    </row>
    <row r="715" spans="1:29" x14ac:dyDescent="0.2">
      <c r="A715" s="694" t="str">
        <f>+Info!$B$2</f>
        <v>724</v>
      </c>
      <c r="B715" s="694" t="s">
        <v>6465</v>
      </c>
      <c r="C715" s="694" t="s">
        <v>6466</v>
      </c>
      <c r="D715" s="695" t="s">
        <v>6467</v>
      </c>
      <c r="E715" s="696"/>
      <c r="F715" s="697"/>
      <c r="G715" s="697"/>
      <c r="H715" s="698"/>
      <c r="I715" s="698"/>
      <c r="J715" s="697"/>
      <c r="K715" s="697"/>
      <c r="L715" s="697"/>
      <c r="M715" s="697"/>
      <c r="N715" s="698"/>
      <c r="O715" s="698"/>
      <c r="P715" s="698"/>
      <c r="Q715" s="697"/>
      <c r="R715" s="697"/>
      <c r="S715" s="698"/>
      <c r="T715" s="697"/>
      <c r="U715" s="697"/>
      <c r="V715" s="697"/>
      <c r="W715" s="698"/>
      <c r="X715" s="698"/>
      <c r="Y715" s="697"/>
      <c r="Z715" s="697"/>
      <c r="AA715" s="697"/>
      <c r="AB715" s="697"/>
      <c r="AC715" s="697"/>
    </row>
    <row r="716" spans="1:29" x14ac:dyDescent="0.2">
      <c r="A716" s="694" t="str">
        <f>+Info!$B$2</f>
        <v>724</v>
      </c>
      <c r="B716" s="694" t="s">
        <v>6468</v>
      </c>
      <c r="C716" s="694" t="s">
        <v>6469</v>
      </c>
      <c r="D716" s="695" t="s">
        <v>6470</v>
      </c>
      <c r="E716" s="696"/>
      <c r="F716" s="697"/>
      <c r="G716" s="697"/>
      <c r="H716" s="698"/>
      <c r="I716" s="698"/>
      <c r="J716" s="697"/>
      <c r="K716" s="697"/>
      <c r="L716" s="697"/>
      <c r="M716" s="697"/>
      <c r="N716" s="698"/>
      <c r="O716" s="698"/>
      <c r="P716" s="698"/>
      <c r="Q716" s="697"/>
      <c r="R716" s="697"/>
      <c r="S716" s="698"/>
      <c r="T716" s="697"/>
      <c r="U716" s="697"/>
      <c r="V716" s="697"/>
      <c r="W716" s="698"/>
      <c r="X716" s="698"/>
      <c r="Y716" s="697"/>
      <c r="Z716" s="697"/>
      <c r="AA716" s="697"/>
      <c r="AB716" s="697"/>
      <c r="AC716" s="697"/>
    </row>
    <row r="717" spans="1:29" x14ac:dyDescent="0.2">
      <c r="A717" s="694" t="str">
        <f>+Info!$B$2</f>
        <v>724</v>
      </c>
      <c r="B717" s="694" t="s">
        <v>6471</v>
      </c>
      <c r="C717" s="694" t="s">
        <v>6472</v>
      </c>
      <c r="D717" s="695" t="s">
        <v>6473</v>
      </c>
      <c r="E717" s="696"/>
      <c r="F717" s="697"/>
      <c r="G717" s="697"/>
      <c r="H717" s="698"/>
      <c r="I717" s="698"/>
      <c r="J717" s="697"/>
      <c r="K717" s="697"/>
      <c r="L717" s="697"/>
      <c r="M717" s="697"/>
      <c r="N717" s="698"/>
      <c r="O717" s="698"/>
      <c r="P717" s="698"/>
      <c r="Q717" s="697"/>
      <c r="R717" s="697"/>
      <c r="S717" s="698"/>
      <c r="T717" s="697"/>
      <c r="U717" s="697"/>
      <c r="V717" s="697"/>
      <c r="W717" s="698"/>
      <c r="X717" s="698"/>
      <c r="Y717" s="697"/>
      <c r="Z717" s="697"/>
      <c r="AA717" s="697"/>
      <c r="AB717" s="697"/>
      <c r="AC717" s="697"/>
    </row>
    <row r="718" spans="1:29" x14ac:dyDescent="0.2">
      <c r="A718" s="694" t="str">
        <f>+Info!$B$2</f>
        <v>724</v>
      </c>
      <c r="B718" s="694" t="s">
        <v>6474</v>
      </c>
      <c r="C718" s="694" t="s">
        <v>6475</v>
      </c>
      <c r="D718" s="695" t="s">
        <v>6476</v>
      </c>
      <c r="E718" s="696"/>
      <c r="F718" s="697"/>
      <c r="G718" s="697"/>
      <c r="H718" s="698"/>
      <c r="I718" s="698"/>
      <c r="J718" s="697"/>
      <c r="K718" s="697"/>
      <c r="L718" s="697"/>
      <c r="M718" s="697"/>
      <c r="N718" s="698"/>
      <c r="O718" s="698"/>
      <c r="P718" s="698"/>
      <c r="Q718" s="697"/>
      <c r="R718" s="697"/>
      <c r="S718" s="698"/>
      <c r="T718" s="697"/>
      <c r="U718" s="697"/>
      <c r="V718" s="697"/>
      <c r="W718" s="698"/>
      <c r="X718" s="698"/>
      <c r="Y718" s="697"/>
      <c r="Z718" s="697"/>
      <c r="AA718" s="697"/>
      <c r="AB718" s="697"/>
      <c r="AC718" s="697"/>
    </row>
    <row r="719" spans="1:29" x14ac:dyDescent="0.2">
      <c r="A719" s="694" t="str">
        <f>+Info!$B$2</f>
        <v>724</v>
      </c>
      <c r="B719" s="694" t="s">
        <v>6477</v>
      </c>
      <c r="C719" s="694" t="s">
        <v>6478</v>
      </c>
      <c r="D719" s="695" t="s">
        <v>6479</v>
      </c>
      <c r="E719" s="696"/>
      <c r="F719" s="697"/>
      <c r="G719" s="697"/>
      <c r="H719" s="698"/>
      <c r="I719" s="698"/>
      <c r="J719" s="697"/>
      <c r="K719" s="697"/>
      <c r="L719" s="697"/>
      <c r="M719" s="697"/>
      <c r="N719" s="698"/>
      <c r="O719" s="698"/>
      <c r="P719" s="698"/>
      <c r="Q719" s="697"/>
      <c r="R719" s="697"/>
      <c r="S719" s="698"/>
      <c r="T719" s="697"/>
      <c r="U719" s="697"/>
      <c r="V719" s="697"/>
      <c r="W719" s="698"/>
      <c r="X719" s="698"/>
      <c r="Y719" s="697"/>
      <c r="Z719" s="697"/>
      <c r="AA719" s="697"/>
      <c r="AB719" s="697"/>
      <c r="AC719" s="697"/>
    </row>
    <row r="720" spans="1:29" x14ac:dyDescent="0.2">
      <c r="A720" s="694" t="str">
        <f>+Info!$B$2</f>
        <v>724</v>
      </c>
      <c r="B720" s="694" t="s">
        <v>6480</v>
      </c>
      <c r="C720" s="694" t="s">
        <v>6481</v>
      </c>
      <c r="D720" s="695" t="s">
        <v>6482</v>
      </c>
      <c r="E720" s="696"/>
      <c r="F720" s="697"/>
      <c r="G720" s="697"/>
      <c r="H720" s="698"/>
      <c r="I720" s="698"/>
      <c r="J720" s="697"/>
      <c r="K720" s="697"/>
      <c r="L720" s="697"/>
      <c r="M720" s="697"/>
      <c r="N720" s="698"/>
      <c r="O720" s="698"/>
      <c r="P720" s="698"/>
      <c r="Q720" s="697"/>
      <c r="R720" s="697"/>
      <c r="S720" s="698"/>
      <c r="T720" s="697"/>
      <c r="U720" s="697"/>
      <c r="V720" s="697"/>
      <c r="W720" s="698"/>
      <c r="X720" s="698"/>
      <c r="Y720" s="697"/>
      <c r="Z720" s="697"/>
      <c r="AA720" s="697"/>
      <c r="AB720" s="697"/>
      <c r="AC720" s="697"/>
    </row>
    <row r="721" spans="1:29" x14ac:dyDescent="0.2">
      <c r="A721" s="694" t="str">
        <f>+Info!$B$2</f>
        <v>724</v>
      </c>
      <c r="B721" s="694" t="s">
        <v>6483</v>
      </c>
      <c r="C721" s="694" t="s">
        <v>6484</v>
      </c>
      <c r="D721" s="695" t="s">
        <v>6485</v>
      </c>
      <c r="E721" s="696"/>
      <c r="F721" s="697"/>
      <c r="G721" s="697"/>
      <c r="H721" s="698"/>
      <c r="I721" s="698"/>
      <c r="J721" s="697"/>
      <c r="K721" s="697"/>
      <c r="L721" s="697"/>
      <c r="M721" s="697"/>
      <c r="N721" s="698"/>
      <c r="O721" s="698"/>
      <c r="P721" s="698"/>
      <c r="Q721" s="697"/>
      <c r="R721" s="697"/>
      <c r="S721" s="698"/>
      <c r="T721" s="697"/>
      <c r="U721" s="697"/>
      <c r="V721" s="697"/>
      <c r="W721" s="698"/>
      <c r="X721" s="698"/>
      <c r="Y721" s="697"/>
      <c r="Z721" s="697"/>
      <c r="AA721" s="697"/>
      <c r="AB721" s="697"/>
      <c r="AC721" s="697"/>
    </row>
    <row r="722" spans="1:29" x14ac:dyDescent="0.2">
      <c r="A722" s="694" t="str">
        <f>+Info!$B$2</f>
        <v>724</v>
      </c>
      <c r="B722" s="694" t="s">
        <v>6486</v>
      </c>
      <c r="C722" s="694" t="s">
        <v>6487</v>
      </c>
      <c r="D722" s="695" t="s">
        <v>6488</v>
      </c>
      <c r="E722" s="696"/>
      <c r="F722" s="697"/>
      <c r="G722" s="697"/>
      <c r="H722" s="698"/>
      <c r="I722" s="698"/>
      <c r="J722" s="697"/>
      <c r="K722" s="697"/>
      <c r="L722" s="697"/>
      <c r="M722" s="697"/>
      <c r="N722" s="698"/>
      <c r="O722" s="698"/>
      <c r="P722" s="698"/>
      <c r="Q722" s="697"/>
      <c r="R722" s="697"/>
      <c r="S722" s="698"/>
      <c r="T722" s="697"/>
      <c r="U722" s="697"/>
      <c r="V722" s="697"/>
      <c r="W722" s="698"/>
      <c r="X722" s="698"/>
      <c r="Y722" s="697"/>
      <c r="Z722" s="697"/>
      <c r="AA722" s="697"/>
      <c r="AB722" s="698"/>
      <c r="AC722" s="698"/>
    </row>
    <row r="723" spans="1:29" x14ac:dyDescent="0.2">
      <c r="A723" s="694" t="str">
        <f>+Info!$B$2</f>
        <v>724</v>
      </c>
      <c r="B723" s="694" t="s">
        <v>6489</v>
      </c>
      <c r="C723" s="694" t="s">
        <v>6490</v>
      </c>
      <c r="D723" s="695" t="s">
        <v>6491</v>
      </c>
      <c r="E723" s="696"/>
      <c r="F723" s="697"/>
      <c r="G723" s="697"/>
      <c r="H723" s="698"/>
      <c r="I723" s="698"/>
      <c r="J723" s="697"/>
      <c r="K723" s="697"/>
      <c r="L723" s="697"/>
      <c r="M723" s="697"/>
      <c r="N723" s="698"/>
      <c r="O723" s="698"/>
      <c r="P723" s="698"/>
      <c r="Q723" s="697"/>
      <c r="R723" s="697"/>
      <c r="S723" s="698"/>
      <c r="T723" s="697"/>
      <c r="U723" s="697"/>
      <c r="V723" s="697"/>
      <c r="W723" s="698"/>
      <c r="X723" s="698"/>
      <c r="Y723" s="697"/>
      <c r="Z723" s="697"/>
      <c r="AA723" s="697"/>
      <c r="AB723" s="698"/>
      <c r="AC723" s="698"/>
    </row>
    <row r="724" spans="1:29" x14ac:dyDescent="0.2">
      <c r="A724" s="694" t="str">
        <f>+Info!$B$2</f>
        <v>724</v>
      </c>
      <c r="B724" s="694" t="s">
        <v>6492</v>
      </c>
      <c r="C724" s="694" t="s">
        <v>6493</v>
      </c>
      <c r="D724" s="695" t="s">
        <v>6494</v>
      </c>
      <c r="E724" s="696"/>
      <c r="F724" s="697"/>
      <c r="G724" s="697"/>
      <c r="H724" s="698"/>
      <c r="I724" s="698"/>
      <c r="J724" s="697"/>
      <c r="K724" s="697"/>
      <c r="L724" s="697"/>
      <c r="M724" s="697"/>
      <c r="N724" s="698"/>
      <c r="O724" s="698"/>
      <c r="P724" s="698"/>
      <c r="Q724" s="697"/>
      <c r="R724" s="697"/>
      <c r="S724" s="698"/>
      <c r="T724" s="697"/>
      <c r="U724" s="697"/>
      <c r="V724" s="697"/>
      <c r="W724" s="698"/>
      <c r="X724" s="698"/>
      <c r="Y724" s="697"/>
      <c r="Z724" s="697"/>
      <c r="AA724" s="697"/>
      <c r="AB724" s="697"/>
      <c r="AC724" s="697"/>
    </row>
    <row r="725" spans="1:29" ht="15" x14ac:dyDescent="0.25">
      <c r="A725" s="691" t="str">
        <f>+Info!$B$2</f>
        <v>724</v>
      </c>
      <c r="B725" s="691" t="s">
        <v>6495</v>
      </c>
      <c r="C725" s="691" t="s">
        <v>6496</v>
      </c>
      <c r="D725" s="692" t="s">
        <v>6497</v>
      </c>
      <c r="E725" s="693"/>
      <c r="F725" s="701"/>
      <c r="G725" s="701"/>
      <c r="H725" s="701"/>
      <c r="I725" s="701"/>
      <c r="J725" s="701"/>
      <c r="K725" s="701"/>
      <c r="L725" s="701"/>
      <c r="M725" s="701"/>
      <c r="N725" s="701"/>
      <c r="O725" s="701"/>
      <c r="P725" s="701"/>
      <c r="Q725" s="701"/>
      <c r="R725" s="701"/>
      <c r="S725" s="701"/>
      <c r="T725" s="701"/>
      <c r="U725" s="701"/>
      <c r="V725" s="701"/>
      <c r="W725" s="701"/>
      <c r="X725" s="701"/>
      <c r="Y725" s="701"/>
      <c r="Z725" s="701"/>
      <c r="AA725" s="701"/>
      <c r="AB725" s="701"/>
      <c r="AC725" s="701"/>
    </row>
    <row r="726" spans="1:29" x14ac:dyDescent="0.2">
      <c r="A726" s="694" t="str">
        <f>+Info!$B$2</f>
        <v>724</v>
      </c>
      <c r="B726" s="694" t="s">
        <v>6498</v>
      </c>
      <c r="C726" s="694" t="s">
        <v>6499</v>
      </c>
      <c r="D726" s="695" t="s">
        <v>6500</v>
      </c>
      <c r="E726" s="696"/>
      <c r="F726" s="697"/>
      <c r="G726" s="697"/>
      <c r="H726" s="698"/>
      <c r="I726" s="697"/>
      <c r="J726" s="697"/>
      <c r="K726" s="697"/>
      <c r="L726" s="697"/>
      <c r="M726" s="697"/>
      <c r="N726" s="698"/>
      <c r="O726" s="697"/>
      <c r="P726" s="697"/>
      <c r="Q726" s="697"/>
      <c r="R726" s="697"/>
      <c r="S726" s="697"/>
      <c r="T726" s="697"/>
      <c r="U726" s="697"/>
      <c r="V726" s="697"/>
      <c r="W726" s="698"/>
      <c r="X726" s="698"/>
      <c r="Y726" s="697"/>
      <c r="Z726" s="697"/>
      <c r="AA726" s="697"/>
      <c r="AB726" s="697"/>
      <c r="AC726" s="697"/>
    </row>
    <row r="727" spans="1:29" x14ac:dyDescent="0.2">
      <c r="A727" s="694" t="str">
        <f>+Info!$B$2</f>
        <v>724</v>
      </c>
      <c r="B727" s="694" t="s">
        <v>6501</v>
      </c>
      <c r="C727" s="694" t="s">
        <v>6502</v>
      </c>
      <c r="D727" s="695" t="s">
        <v>6503</v>
      </c>
      <c r="E727" s="696"/>
      <c r="F727" s="697"/>
      <c r="G727" s="697"/>
      <c r="H727" s="698"/>
      <c r="I727" s="697"/>
      <c r="J727" s="697"/>
      <c r="K727" s="697"/>
      <c r="L727" s="697"/>
      <c r="M727" s="697"/>
      <c r="N727" s="698"/>
      <c r="O727" s="697"/>
      <c r="P727" s="697"/>
      <c r="Q727" s="697"/>
      <c r="R727" s="697"/>
      <c r="S727" s="697"/>
      <c r="T727" s="697"/>
      <c r="U727" s="697"/>
      <c r="V727" s="697"/>
      <c r="W727" s="698"/>
      <c r="X727" s="698"/>
      <c r="Y727" s="697"/>
      <c r="Z727" s="697"/>
      <c r="AA727" s="697"/>
      <c r="AB727" s="697"/>
      <c r="AC727" s="697"/>
    </row>
    <row r="728" spans="1:29" x14ac:dyDescent="0.2">
      <c r="A728" s="694" t="str">
        <f>+Info!$B$2</f>
        <v>724</v>
      </c>
      <c r="B728" s="694" t="s">
        <v>6504</v>
      </c>
      <c r="C728" s="694" t="s">
        <v>6505</v>
      </c>
      <c r="D728" s="695" t="s">
        <v>6506</v>
      </c>
      <c r="E728" s="696"/>
      <c r="F728" s="697"/>
      <c r="G728" s="697"/>
      <c r="H728" s="698"/>
      <c r="I728" s="697"/>
      <c r="J728" s="697"/>
      <c r="K728" s="697"/>
      <c r="L728" s="697"/>
      <c r="M728" s="697"/>
      <c r="N728" s="698"/>
      <c r="O728" s="697"/>
      <c r="P728" s="697"/>
      <c r="Q728" s="697"/>
      <c r="R728" s="697"/>
      <c r="S728" s="697"/>
      <c r="T728" s="697"/>
      <c r="U728" s="697"/>
      <c r="V728" s="697"/>
      <c r="W728" s="698"/>
      <c r="X728" s="698"/>
      <c r="Y728" s="697"/>
      <c r="Z728" s="697"/>
      <c r="AA728" s="697"/>
      <c r="AB728" s="697"/>
      <c r="AC728" s="697"/>
    </row>
    <row r="729" spans="1:29" ht="25.5" x14ac:dyDescent="0.2">
      <c r="A729" s="694" t="str">
        <f>+Info!$B$2</f>
        <v>724</v>
      </c>
      <c r="B729" s="694" t="s">
        <v>6507</v>
      </c>
      <c r="C729" s="694" t="s">
        <v>6508</v>
      </c>
      <c r="D729" s="695" t="s">
        <v>6509</v>
      </c>
      <c r="E729" s="696"/>
      <c r="F729" s="697"/>
      <c r="G729" s="697"/>
      <c r="H729" s="698"/>
      <c r="I729" s="697"/>
      <c r="J729" s="697"/>
      <c r="K729" s="697"/>
      <c r="L729" s="697"/>
      <c r="M729" s="697"/>
      <c r="N729" s="698"/>
      <c r="O729" s="697"/>
      <c r="P729" s="697"/>
      <c r="Q729" s="697"/>
      <c r="R729" s="697"/>
      <c r="S729" s="697"/>
      <c r="T729" s="697"/>
      <c r="U729" s="697"/>
      <c r="V729" s="697"/>
      <c r="W729" s="698"/>
      <c r="X729" s="698"/>
      <c r="Y729" s="697"/>
      <c r="Z729" s="697"/>
      <c r="AA729" s="697"/>
      <c r="AB729" s="697"/>
      <c r="AC729" s="697"/>
    </row>
    <row r="730" spans="1:29" ht="25.5" x14ac:dyDescent="0.2">
      <c r="A730" s="694" t="str">
        <f>+Info!$B$2</f>
        <v>724</v>
      </c>
      <c r="B730" s="694" t="s">
        <v>6510</v>
      </c>
      <c r="C730" s="694" t="s">
        <v>6511</v>
      </c>
      <c r="D730" s="695" t="s">
        <v>6512</v>
      </c>
      <c r="E730" s="696"/>
      <c r="F730" s="697"/>
      <c r="G730" s="697"/>
      <c r="H730" s="698"/>
      <c r="I730" s="697"/>
      <c r="J730" s="697"/>
      <c r="K730" s="697"/>
      <c r="L730" s="697"/>
      <c r="M730" s="697"/>
      <c r="N730" s="698"/>
      <c r="O730" s="697"/>
      <c r="P730" s="697"/>
      <c r="Q730" s="697"/>
      <c r="R730" s="697"/>
      <c r="S730" s="697"/>
      <c r="T730" s="697"/>
      <c r="U730" s="697"/>
      <c r="V730" s="697"/>
      <c r="W730" s="698"/>
      <c r="X730" s="698"/>
      <c r="Y730" s="697"/>
      <c r="Z730" s="697"/>
      <c r="AA730" s="697"/>
      <c r="AB730" s="697"/>
      <c r="AC730" s="697"/>
    </row>
    <row r="731" spans="1:29" x14ac:dyDescent="0.2">
      <c r="A731" s="694" t="str">
        <f>+Info!$B$2</f>
        <v>724</v>
      </c>
      <c r="B731" s="694" t="s">
        <v>6513</v>
      </c>
      <c r="C731" s="694" t="s">
        <v>6514</v>
      </c>
      <c r="D731" s="695" t="s">
        <v>6515</v>
      </c>
      <c r="E731" s="696"/>
      <c r="F731" s="697"/>
      <c r="G731" s="697"/>
      <c r="H731" s="698"/>
      <c r="I731" s="697"/>
      <c r="J731" s="697"/>
      <c r="K731" s="697"/>
      <c r="L731" s="697"/>
      <c r="M731" s="697"/>
      <c r="N731" s="698"/>
      <c r="O731" s="697"/>
      <c r="P731" s="697"/>
      <c r="Q731" s="697"/>
      <c r="R731" s="697"/>
      <c r="S731" s="697"/>
      <c r="T731" s="697"/>
      <c r="U731" s="697"/>
      <c r="V731" s="697"/>
      <c r="W731" s="698"/>
      <c r="X731" s="698"/>
      <c r="Y731" s="697"/>
      <c r="Z731" s="697"/>
      <c r="AA731" s="697"/>
      <c r="AB731" s="697"/>
      <c r="AC731" s="697"/>
    </row>
    <row r="732" spans="1:29" ht="25.5" x14ac:dyDescent="0.2">
      <c r="A732" s="694" t="str">
        <f>+Info!$B$2</f>
        <v>724</v>
      </c>
      <c r="B732" s="694" t="s">
        <v>6516</v>
      </c>
      <c r="C732" s="694" t="s">
        <v>6517</v>
      </c>
      <c r="D732" s="695" t="s">
        <v>6518</v>
      </c>
      <c r="E732" s="696"/>
      <c r="F732" s="697"/>
      <c r="G732" s="697"/>
      <c r="H732" s="698"/>
      <c r="I732" s="697"/>
      <c r="J732" s="697"/>
      <c r="K732" s="697"/>
      <c r="L732" s="697"/>
      <c r="M732" s="697"/>
      <c r="N732" s="698"/>
      <c r="O732" s="697"/>
      <c r="P732" s="697"/>
      <c r="Q732" s="697"/>
      <c r="R732" s="697"/>
      <c r="S732" s="697"/>
      <c r="T732" s="697"/>
      <c r="U732" s="697"/>
      <c r="V732" s="697"/>
      <c r="W732" s="698"/>
      <c r="X732" s="698"/>
      <c r="Y732" s="697"/>
      <c r="Z732" s="697"/>
      <c r="AA732" s="697"/>
      <c r="AB732" s="697"/>
      <c r="AC732" s="697"/>
    </row>
    <row r="733" spans="1:29" x14ac:dyDescent="0.2">
      <c r="A733" s="694" t="str">
        <f>+Info!$B$2</f>
        <v>724</v>
      </c>
      <c r="B733" s="694" t="s">
        <v>6519</v>
      </c>
      <c r="C733" s="694" t="s">
        <v>6520</v>
      </c>
      <c r="D733" s="695" t="s">
        <v>6521</v>
      </c>
      <c r="E733" s="696"/>
      <c r="F733" s="697"/>
      <c r="G733" s="697"/>
      <c r="H733" s="698"/>
      <c r="I733" s="697"/>
      <c r="J733" s="697"/>
      <c r="K733" s="697"/>
      <c r="L733" s="697"/>
      <c r="M733" s="697"/>
      <c r="N733" s="698"/>
      <c r="O733" s="697"/>
      <c r="P733" s="697"/>
      <c r="Q733" s="697"/>
      <c r="R733" s="697"/>
      <c r="S733" s="697"/>
      <c r="T733" s="697"/>
      <c r="U733" s="697"/>
      <c r="V733" s="697"/>
      <c r="W733" s="698"/>
      <c r="X733" s="698"/>
      <c r="Y733" s="697"/>
      <c r="Z733" s="697"/>
      <c r="AA733" s="697"/>
      <c r="AB733" s="697"/>
      <c r="AC733" s="697"/>
    </row>
    <row r="734" spans="1:29" ht="25.5" x14ac:dyDescent="0.2">
      <c r="A734" s="694" t="str">
        <f>+Info!$B$2</f>
        <v>724</v>
      </c>
      <c r="B734" s="694" t="s">
        <v>6522</v>
      </c>
      <c r="C734" s="694" t="s">
        <v>6523</v>
      </c>
      <c r="D734" s="695" t="s">
        <v>6524</v>
      </c>
      <c r="E734" s="696"/>
      <c r="F734" s="697"/>
      <c r="G734" s="697"/>
      <c r="H734" s="698"/>
      <c r="I734" s="697"/>
      <c r="J734" s="697"/>
      <c r="K734" s="697"/>
      <c r="L734" s="697"/>
      <c r="M734" s="697"/>
      <c r="N734" s="698"/>
      <c r="O734" s="697"/>
      <c r="P734" s="697"/>
      <c r="Q734" s="697"/>
      <c r="R734" s="697"/>
      <c r="S734" s="697"/>
      <c r="T734" s="697"/>
      <c r="U734" s="697"/>
      <c r="V734" s="697"/>
      <c r="W734" s="698"/>
      <c r="X734" s="698"/>
      <c r="Y734" s="697"/>
      <c r="Z734" s="697"/>
      <c r="AA734" s="697"/>
      <c r="AB734" s="697"/>
      <c r="AC734" s="697"/>
    </row>
    <row r="735" spans="1:29" x14ac:dyDescent="0.2">
      <c r="A735" s="694" t="str">
        <f>+Info!$B$2</f>
        <v>724</v>
      </c>
      <c r="B735" s="694" t="s">
        <v>6525</v>
      </c>
      <c r="C735" s="694" t="s">
        <v>6526</v>
      </c>
      <c r="D735" s="695" t="s">
        <v>6527</v>
      </c>
      <c r="E735" s="696"/>
      <c r="F735" s="697"/>
      <c r="G735" s="697"/>
      <c r="H735" s="698"/>
      <c r="I735" s="697"/>
      <c r="J735" s="697"/>
      <c r="K735" s="697"/>
      <c r="L735" s="697"/>
      <c r="M735" s="697"/>
      <c r="N735" s="698"/>
      <c r="O735" s="697"/>
      <c r="P735" s="697"/>
      <c r="Q735" s="697"/>
      <c r="R735" s="697"/>
      <c r="S735" s="697"/>
      <c r="T735" s="697"/>
      <c r="U735" s="697"/>
      <c r="V735" s="697"/>
      <c r="W735" s="698"/>
      <c r="X735" s="698"/>
      <c r="Y735" s="697"/>
      <c r="Z735" s="697"/>
      <c r="AA735" s="697"/>
      <c r="AB735" s="697"/>
      <c r="AC735" s="697"/>
    </row>
    <row r="736" spans="1:29" x14ac:dyDescent="0.2">
      <c r="A736" s="694" t="str">
        <f>+Info!$B$2</f>
        <v>724</v>
      </c>
      <c r="B736" s="694" t="s">
        <v>6528</v>
      </c>
      <c r="C736" s="694" t="s">
        <v>6529</v>
      </c>
      <c r="D736" s="695" t="s">
        <v>6530</v>
      </c>
      <c r="E736" s="696"/>
      <c r="F736" s="697"/>
      <c r="G736" s="697"/>
      <c r="H736" s="698"/>
      <c r="I736" s="697"/>
      <c r="J736" s="697"/>
      <c r="K736" s="697"/>
      <c r="L736" s="697"/>
      <c r="M736" s="697"/>
      <c r="N736" s="698"/>
      <c r="O736" s="697"/>
      <c r="P736" s="697"/>
      <c r="Q736" s="697"/>
      <c r="R736" s="697"/>
      <c r="S736" s="697"/>
      <c r="T736" s="697"/>
      <c r="U736" s="697"/>
      <c r="V736" s="697"/>
      <c r="W736" s="698"/>
      <c r="X736" s="698"/>
      <c r="Y736" s="697"/>
      <c r="Z736" s="697"/>
      <c r="AA736" s="697"/>
      <c r="AB736" s="697"/>
      <c r="AC736" s="697"/>
    </row>
    <row r="737" spans="1:29" x14ac:dyDescent="0.2">
      <c r="A737" s="694" t="str">
        <f>+Info!$B$2</f>
        <v>724</v>
      </c>
      <c r="B737" s="694" t="s">
        <v>6531</v>
      </c>
      <c r="C737" s="694" t="s">
        <v>6532</v>
      </c>
      <c r="D737" s="695" t="s">
        <v>6533</v>
      </c>
      <c r="E737" s="696"/>
      <c r="F737" s="697"/>
      <c r="G737" s="697"/>
      <c r="H737" s="698"/>
      <c r="I737" s="697"/>
      <c r="J737" s="697"/>
      <c r="K737" s="697"/>
      <c r="L737" s="697"/>
      <c r="M737" s="697"/>
      <c r="N737" s="698"/>
      <c r="O737" s="697"/>
      <c r="P737" s="697"/>
      <c r="Q737" s="697"/>
      <c r="R737" s="697"/>
      <c r="S737" s="697"/>
      <c r="T737" s="697"/>
      <c r="U737" s="697"/>
      <c r="V737" s="697"/>
      <c r="W737" s="698"/>
      <c r="X737" s="698"/>
      <c r="Y737" s="697"/>
      <c r="Z737" s="697"/>
      <c r="AA737" s="697"/>
      <c r="AB737" s="697"/>
      <c r="AC737" s="697"/>
    </row>
    <row r="738" spans="1:29" x14ac:dyDescent="0.2">
      <c r="A738" s="694" t="str">
        <f>+Info!$B$2</f>
        <v>724</v>
      </c>
      <c r="B738" s="694" t="s">
        <v>6534</v>
      </c>
      <c r="C738" s="694" t="s">
        <v>4304</v>
      </c>
      <c r="D738" s="695" t="s">
        <v>6535</v>
      </c>
      <c r="E738" s="696"/>
      <c r="F738" s="697"/>
      <c r="G738" s="697"/>
      <c r="H738" s="698"/>
      <c r="I738" s="697"/>
      <c r="J738" s="697"/>
      <c r="K738" s="697"/>
      <c r="L738" s="697"/>
      <c r="M738" s="697"/>
      <c r="N738" s="698"/>
      <c r="O738" s="697"/>
      <c r="P738" s="697"/>
      <c r="Q738" s="697"/>
      <c r="R738" s="697"/>
      <c r="S738" s="697"/>
      <c r="T738" s="697"/>
      <c r="U738" s="697"/>
      <c r="V738" s="697"/>
      <c r="W738" s="698"/>
      <c r="X738" s="698"/>
      <c r="Y738" s="697"/>
      <c r="Z738" s="697"/>
      <c r="AA738" s="697"/>
      <c r="AB738" s="697"/>
      <c r="AC738" s="697"/>
    </row>
    <row r="739" spans="1:29" x14ac:dyDescent="0.2">
      <c r="A739" s="694" t="str">
        <f>+Info!$B$2</f>
        <v>724</v>
      </c>
      <c r="B739" s="694" t="s">
        <v>6536</v>
      </c>
      <c r="C739" s="694" t="s">
        <v>6537</v>
      </c>
      <c r="D739" s="695" t="s">
        <v>6538</v>
      </c>
      <c r="E739" s="696"/>
      <c r="F739" s="697"/>
      <c r="G739" s="697"/>
      <c r="H739" s="698"/>
      <c r="I739" s="697"/>
      <c r="J739" s="697"/>
      <c r="K739" s="697"/>
      <c r="L739" s="697"/>
      <c r="M739" s="697"/>
      <c r="N739" s="698"/>
      <c r="O739" s="697"/>
      <c r="P739" s="697"/>
      <c r="Q739" s="697"/>
      <c r="R739" s="697"/>
      <c r="S739" s="697"/>
      <c r="T739" s="697"/>
      <c r="U739" s="697"/>
      <c r="V739" s="697"/>
      <c r="W739" s="698"/>
      <c r="X739" s="698"/>
      <c r="Y739" s="697"/>
      <c r="Z739" s="697"/>
      <c r="AA739" s="697"/>
      <c r="AB739" s="697"/>
      <c r="AC739" s="697"/>
    </row>
    <row r="740" spans="1:29" x14ac:dyDescent="0.2">
      <c r="A740" s="694" t="str">
        <f>+Info!$B$2</f>
        <v>724</v>
      </c>
      <c r="B740" s="694" t="s">
        <v>6539</v>
      </c>
      <c r="C740" s="694" t="s">
        <v>6540</v>
      </c>
      <c r="D740" s="695" t="s">
        <v>6541</v>
      </c>
      <c r="E740" s="696"/>
      <c r="F740" s="697"/>
      <c r="G740" s="697"/>
      <c r="H740" s="698"/>
      <c r="I740" s="697"/>
      <c r="J740" s="697"/>
      <c r="K740" s="697"/>
      <c r="L740" s="697"/>
      <c r="M740" s="697"/>
      <c r="N740" s="698"/>
      <c r="O740" s="697"/>
      <c r="P740" s="697"/>
      <c r="Q740" s="697"/>
      <c r="R740" s="697"/>
      <c r="S740" s="697"/>
      <c r="T740" s="697"/>
      <c r="U740" s="697"/>
      <c r="V740" s="697"/>
      <c r="W740" s="698"/>
      <c r="X740" s="698"/>
      <c r="Y740" s="697"/>
      <c r="Z740" s="697"/>
      <c r="AA740" s="697"/>
      <c r="AB740" s="697"/>
      <c r="AC740" s="697"/>
    </row>
    <row r="741" spans="1:29" ht="15" x14ac:dyDescent="0.25">
      <c r="A741" s="691" t="str">
        <f>+Info!$B$2</f>
        <v>724</v>
      </c>
      <c r="B741" s="691" t="s">
        <v>2025</v>
      </c>
      <c r="C741" s="691" t="s">
        <v>6542</v>
      </c>
      <c r="D741" s="692" t="s">
        <v>6543</v>
      </c>
      <c r="E741" s="693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1"/>
      <c r="X741" s="701"/>
      <c r="Y741" s="701"/>
      <c r="Z741" s="701"/>
      <c r="AA741" s="701"/>
      <c r="AB741" s="701"/>
      <c r="AC741" s="701"/>
    </row>
    <row r="742" spans="1:29" ht="15" x14ac:dyDescent="0.25">
      <c r="A742" s="691" t="str">
        <f>+Info!$B$2</f>
        <v>724</v>
      </c>
      <c r="B742" s="691" t="s">
        <v>6544</v>
      </c>
      <c r="C742" s="691" t="s">
        <v>6545</v>
      </c>
      <c r="D742" s="692" t="s">
        <v>6546</v>
      </c>
      <c r="E742" s="693"/>
      <c r="F742" s="701"/>
      <c r="G742" s="701"/>
      <c r="H742" s="701"/>
      <c r="I742" s="701"/>
      <c r="J742" s="701"/>
      <c r="K742" s="701"/>
      <c r="L742" s="701"/>
      <c r="M742" s="701"/>
      <c r="N742" s="701"/>
      <c r="O742" s="701"/>
      <c r="P742" s="701"/>
      <c r="Q742" s="701"/>
      <c r="R742" s="701"/>
      <c r="S742" s="701"/>
      <c r="T742" s="701"/>
      <c r="U742" s="701"/>
      <c r="V742" s="701"/>
      <c r="W742" s="701"/>
      <c r="X742" s="701"/>
      <c r="Y742" s="701"/>
      <c r="Z742" s="701"/>
      <c r="AA742" s="701"/>
      <c r="AB742" s="701"/>
      <c r="AC742" s="701"/>
    </row>
    <row r="743" spans="1:29" x14ac:dyDescent="0.2">
      <c r="A743" s="694" t="str">
        <f>+Info!$B$2</f>
        <v>724</v>
      </c>
      <c r="B743" s="694" t="s">
        <v>6547</v>
      </c>
      <c r="C743" s="694" t="s">
        <v>6548</v>
      </c>
      <c r="D743" s="695" t="s">
        <v>6549</v>
      </c>
      <c r="E743" s="696"/>
      <c r="F743" s="697"/>
      <c r="G743" s="697"/>
      <c r="H743" s="698"/>
      <c r="I743" s="697"/>
      <c r="J743" s="697"/>
      <c r="K743" s="697"/>
      <c r="L743" s="697"/>
      <c r="M743" s="697"/>
      <c r="N743" s="698"/>
      <c r="O743" s="697"/>
      <c r="P743" s="697"/>
      <c r="Q743" s="697"/>
      <c r="R743" s="697"/>
      <c r="S743" s="697"/>
      <c r="T743" s="697"/>
      <c r="U743" s="697"/>
      <c r="V743" s="697"/>
      <c r="W743" s="698"/>
      <c r="X743" s="698"/>
      <c r="Y743" s="697"/>
      <c r="Z743" s="697"/>
      <c r="AA743" s="697"/>
      <c r="AB743" s="697"/>
      <c r="AC743" s="697"/>
    </row>
    <row r="744" spans="1:29" x14ac:dyDescent="0.2">
      <c r="A744" s="694" t="str">
        <f>+Info!$B$2</f>
        <v>724</v>
      </c>
      <c r="B744" s="694" t="s">
        <v>6550</v>
      </c>
      <c r="C744" s="694" t="s">
        <v>6551</v>
      </c>
      <c r="D744" s="695" t="s">
        <v>6552</v>
      </c>
      <c r="E744" s="696"/>
      <c r="F744" s="697"/>
      <c r="G744" s="697"/>
      <c r="H744" s="698"/>
      <c r="I744" s="697"/>
      <c r="J744" s="697"/>
      <c r="K744" s="697"/>
      <c r="L744" s="697"/>
      <c r="M744" s="697"/>
      <c r="N744" s="698"/>
      <c r="O744" s="697"/>
      <c r="P744" s="697"/>
      <c r="Q744" s="697"/>
      <c r="R744" s="697"/>
      <c r="S744" s="697"/>
      <c r="T744" s="697"/>
      <c r="U744" s="697"/>
      <c r="V744" s="697"/>
      <c r="W744" s="698"/>
      <c r="X744" s="698"/>
      <c r="Y744" s="697"/>
      <c r="Z744" s="697"/>
      <c r="AA744" s="697"/>
      <c r="AB744" s="697"/>
      <c r="AC744" s="697"/>
    </row>
    <row r="745" spans="1:29" x14ac:dyDescent="0.2">
      <c r="A745" s="694" t="str">
        <f>+Info!$B$2</f>
        <v>724</v>
      </c>
      <c r="B745" s="694" t="s">
        <v>6553</v>
      </c>
      <c r="C745" s="694" t="s">
        <v>6554</v>
      </c>
      <c r="D745" s="695" t="s">
        <v>6555</v>
      </c>
      <c r="E745" s="696"/>
      <c r="F745" s="697"/>
      <c r="G745" s="697"/>
      <c r="H745" s="698"/>
      <c r="I745" s="697"/>
      <c r="J745" s="697"/>
      <c r="K745" s="697"/>
      <c r="L745" s="697"/>
      <c r="M745" s="697"/>
      <c r="N745" s="698"/>
      <c r="O745" s="697"/>
      <c r="P745" s="697"/>
      <c r="Q745" s="697"/>
      <c r="R745" s="697"/>
      <c r="S745" s="697"/>
      <c r="T745" s="697"/>
      <c r="U745" s="697"/>
      <c r="V745" s="697"/>
      <c r="W745" s="698"/>
      <c r="X745" s="698"/>
      <c r="Y745" s="697"/>
      <c r="Z745" s="697"/>
      <c r="AA745" s="697"/>
      <c r="AB745" s="697"/>
      <c r="AC745" s="697"/>
    </row>
    <row r="746" spans="1:29" x14ac:dyDescent="0.2">
      <c r="A746" s="694" t="str">
        <f>+Info!$B$2</f>
        <v>724</v>
      </c>
      <c r="B746" s="694" t="s">
        <v>6556</v>
      </c>
      <c r="C746" s="694" t="s">
        <v>6557</v>
      </c>
      <c r="D746" s="695" t="s">
        <v>6558</v>
      </c>
      <c r="E746" s="696"/>
      <c r="F746" s="697"/>
      <c r="G746" s="697"/>
      <c r="H746" s="698"/>
      <c r="I746" s="697"/>
      <c r="J746" s="697"/>
      <c r="K746" s="697"/>
      <c r="L746" s="697"/>
      <c r="M746" s="697"/>
      <c r="N746" s="698"/>
      <c r="O746" s="697"/>
      <c r="P746" s="697"/>
      <c r="Q746" s="697"/>
      <c r="R746" s="697"/>
      <c r="S746" s="697"/>
      <c r="T746" s="697"/>
      <c r="U746" s="697"/>
      <c r="V746" s="697"/>
      <c r="W746" s="698"/>
      <c r="X746" s="698"/>
      <c r="Y746" s="697"/>
      <c r="Z746" s="697"/>
      <c r="AA746" s="697"/>
      <c r="AB746" s="697"/>
      <c r="AC746" s="697"/>
    </row>
    <row r="747" spans="1:29" x14ac:dyDescent="0.2">
      <c r="A747" s="694" t="str">
        <f>+Info!$B$2</f>
        <v>724</v>
      </c>
      <c r="B747" s="694" t="s">
        <v>6559</v>
      </c>
      <c r="C747" s="694" t="s">
        <v>6560</v>
      </c>
      <c r="D747" s="695" t="s">
        <v>6561</v>
      </c>
      <c r="E747" s="696"/>
      <c r="F747" s="697"/>
      <c r="G747" s="697"/>
      <c r="H747" s="698"/>
      <c r="I747" s="697"/>
      <c r="J747" s="697"/>
      <c r="K747" s="697"/>
      <c r="L747" s="697"/>
      <c r="M747" s="697"/>
      <c r="N747" s="698"/>
      <c r="O747" s="697"/>
      <c r="P747" s="697"/>
      <c r="Q747" s="697"/>
      <c r="R747" s="697"/>
      <c r="S747" s="697"/>
      <c r="T747" s="697"/>
      <c r="U747" s="697"/>
      <c r="V747" s="697"/>
      <c r="W747" s="698"/>
      <c r="X747" s="698"/>
      <c r="Y747" s="697"/>
      <c r="Z747" s="697"/>
      <c r="AA747" s="697"/>
      <c r="AB747" s="697"/>
      <c r="AC747" s="697"/>
    </row>
    <row r="748" spans="1:29" x14ac:dyDescent="0.2">
      <c r="A748" s="694" t="str">
        <f>+Info!$B$2</f>
        <v>724</v>
      </c>
      <c r="B748" s="694" t="s">
        <v>6562</v>
      </c>
      <c r="C748" s="694" t="s">
        <v>6563</v>
      </c>
      <c r="D748" s="695" t="s">
        <v>6564</v>
      </c>
      <c r="E748" s="696"/>
      <c r="F748" s="697"/>
      <c r="G748" s="697"/>
      <c r="H748" s="698"/>
      <c r="I748" s="697"/>
      <c r="J748" s="697"/>
      <c r="K748" s="697"/>
      <c r="L748" s="697"/>
      <c r="M748" s="697"/>
      <c r="N748" s="698"/>
      <c r="O748" s="697"/>
      <c r="P748" s="697"/>
      <c r="Q748" s="697"/>
      <c r="R748" s="697"/>
      <c r="S748" s="697"/>
      <c r="T748" s="697"/>
      <c r="U748" s="697"/>
      <c r="V748" s="697"/>
      <c r="W748" s="698"/>
      <c r="X748" s="698"/>
      <c r="Y748" s="697"/>
      <c r="Z748" s="697"/>
      <c r="AA748" s="697"/>
      <c r="AB748" s="697"/>
      <c r="AC748" s="697"/>
    </row>
    <row r="749" spans="1:29" x14ac:dyDescent="0.2">
      <c r="A749" s="694" t="str">
        <f>+Info!$B$2</f>
        <v>724</v>
      </c>
      <c r="B749" s="694" t="s">
        <v>6565</v>
      </c>
      <c r="C749" s="694" t="s">
        <v>6566</v>
      </c>
      <c r="D749" s="695" t="s">
        <v>6567</v>
      </c>
      <c r="E749" s="696"/>
      <c r="F749" s="697"/>
      <c r="G749" s="697"/>
      <c r="H749" s="698"/>
      <c r="I749" s="697"/>
      <c r="J749" s="697"/>
      <c r="K749" s="697"/>
      <c r="L749" s="697"/>
      <c r="M749" s="697"/>
      <c r="N749" s="698"/>
      <c r="O749" s="697"/>
      <c r="P749" s="697"/>
      <c r="Q749" s="697"/>
      <c r="R749" s="697"/>
      <c r="S749" s="697"/>
      <c r="T749" s="697"/>
      <c r="U749" s="697"/>
      <c r="V749" s="697"/>
      <c r="W749" s="698"/>
      <c r="X749" s="698"/>
      <c r="Y749" s="697"/>
      <c r="Z749" s="697"/>
      <c r="AA749" s="697"/>
      <c r="AB749" s="697"/>
      <c r="AC749" s="697"/>
    </row>
    <row r="750" spans="1:29" x14ac:dyDescent="0.2">
      <c r="A750" s="694" t="str">
        <f>+Info!$B$2</f>
        <v>724</v>
      </c>
      <c r="B750" s="694" t="s">
        <v>6568</v>
      </c>
      <c r="C750" s="694" t="s">
        <v>6569</v>
      </c>
      <c r="D750" s="695" t="s">
        <v>6570</v>
      </c>
      <c r="E750" s="696"/>
      <c r="F750" s="697"/>
      <c r="G750" s="697"/>
      <c r="H750" s="698"/>
      <c r="I750" s="697"/>
      <c r="J750" s="697"/>
      <c r="K750" s="697"/>
      <c r="L750" s="697"/>
      <c r="M750" s="697"/>
      <c r="N750" s="698"/>
      <c r="O750" s="697"/>
      <c r="P750" s="697"/>
      <c r="Q750" s="697"/>
      <c r="R750" s="697"/>
      <c r="S750" s="697"/>
      <c r="T750" s="697"/>
      <c r="U750" s="697"/>
      <c r="V750" s="697"/>
      <c r="W750" s="698"/>
      <c r="X750" s="698"/>
      <c r="Y750" s="697"/>
      <c r="Z750" s="697"/>
      <c r="AA750" s="697"/>
      <c r="AB750" s="697"/>
      <c r="AC750" s="697"/>
    </row>
    <row r="751" spans="1:29" ht="15" x14ac:dyDescent="0.25">
      <c r="A751" s="691" t="str">
        <f>+Info!$B$2</f>
        <v>724</v>
      </c>
      <c r="B751" s="691" t="s">
        <v>6571</v>
      </c>
      <c r="C751" s="691" t="s">
        <v>6572</v>
      </c>
      <c r="D751" s="692" t="s">
        <v>6573</v>
      </c>
      <c r="E751" s="693"/>
      <c r="F751" s="701"/>
      <c r="G751" s="701"/>
      <c r="H751" s="701"/>
      <c r="I751" s="701"/>
      <c r="J751" s="701"/>
      <c r="K751" s="701"/>
      <c r="L751" s="701"/>
      <c r="M751" s="701"/>
      <c r="N751" s="701"/>
      <c r="O751" s="701"/>
      <c r="P751" s="701"/>
      <c r="Q751" s="701"/>
      <c r="R751" s="701"/>
      <c r="S751" s="701"/>
      <c r="T751" s="701"/>
      <c r="U751" s="701"/>
      <c r="V751" s="701"/>
      <c r="W751" s="701"/>
      <c r="X751" s="701"/>
      <c r="Y751" s="701"/>
      <c r="Z751" s="701"/>
      <c r="AA751" s="701"/>
      <c r="AB751" s="701"/>
      <c r="AC751" s="701"/>
    </row>
    <row r="752" spans="1:29" x14ac:dyDescent="0.2">
      <c r="A752" s="694" t="str">
        <f>+Info!$B$2</f>
        <v>724</v>
      </c>
      <c r="B752" s="694" t="s">
        <v>6574</v>
      </c>
      <c r="C752" s="694" t="s">
        <v>6575</v>
      </c>
      <c r="D752" s="695" t="s">
        <v>6576</v>
      </c>
      <c r="E752" s="696"/>
      <c r="F752" s="697"/>
      <c r="G752" s="697"/>
      <c r="H752" s="698"/>
      <c r="I752" s="697"/>
      <c r="J752" s="697"/>
      <c r="K752" s="697"/>
      <c r="L752" s="697"/>
      <c r="M752" s="697"/>
      <c r="N752" s="698"/>
      <c r="O752" s="697"/>
      <c r="P752" s="697"/>
      <c r="Q752" s="697"/>
      <c r="R752" s="697"/>
      <c r="S752" s="697"/>
      <c r="T752" s="697"/>
      <c r="U752" s="697"/>
      <c r="V752" s="697"/>
      <c r="W752" s="698"/>
      <c r="X752" s="698"/>
      <c r="Y752" s="697"/>
      <c r="Z752" s="697"/>
      <c r="AA752" s="697"/>
      <c r="AB752" s="697"/>
      <c r="AC752" s="697"/>
    </row>
    <row r="753" spans="1:29" x14ac:dyDescent="0.2">
      <c r="A753" s="694" t="str">
        <f>+Info!$B$2</f>
        <v>724</v>
      </c>
      <c r="B753" s="694" t="s">
        <v>6577</v>
      </c>
      <c r="C753" s="694" t="s">
        <v>6578</v>
      </c>
      <c r="D753" s="695" t="s">
        <v>6579</v>
      </c>
      <c r="E753" s="696"/>
      <c r="F753" s="697"/>
      <c r="G753" s="697"/>
      <c r="H753" s="698"/>
      <c r="I753" s="697"/>
      <c r="J753" s="697"/>
      <c r="K753" s="697"/>
      <c r="L753" s="697"/>
      <c r="M753" s="697"/>
      <c r="N753" s="698"/>
      <c r="O753" s="697"/>
      <c r="P753" s="697"/>
      <c r="Q753" s="697"/>
      <c r="R753" s="697"/>
      <c r="S753" s="697"/>
      <c r="T753" s="697"/>
      <c r="U753" s="697"/>
      <c r="V753" s="697"/>
      <c r="W753" s="698"/>
      <c r="X753" s="698"/>
      <c r="Y753" s="697"/>
      <c r="Z753" s="697"/>
      <c r="AA753" s="697"/>
      <c r="AB753" s="697"/>
      <c r="AC753" s="697"/>
    </row>
    <row r="754" spans="1:29" x14ac:dyDescent="0.2">
      <c r="A754" s="694" t="str">
        <f>+Info!$B$2</f>
        <v>724</v>
      </c>
      <c r="B754" s="694" t="s">
        <v>6580</v>
      </c>
      <c r="C754" s="694" t="s">
        <v>6581</v>
      </c>
      <c r="D754" s="695" t="s">
        <v>6582</v>
      </c>
      <c r="E754" s="696"/>
      <c r="F754" s="697"/>
      <c r="G754" s="697"/>
      <c r="H754" s="698"/>
      <c r="I754" s="697"/>
      <c r="J754" s="697"/>
      <c r="K754" s="697"/>
      <c r="L754" s="697"/>
      <c r="M754" s="697"/>
      <c r="N754" s="698"/>
      <c r="O754" s="697"/>
      <c r="P754" s="697"/>
      <c r="Q754" s="697"/>
      <c r="R754" s="697"/>
      <c r="S754" s="697"/>
      <c r="T754" s="697"/>
      <c r="U754" s="697"/>
      <c r="V754" s="697"/>
      <c r="W754" s="698"/>
      <c r="X754" s="698"/>
      <c r="Y754" s="697"/>
      <c r="Z754" s="697"/>
      <c r="AA754" s="697"/>
      <c r="AB754" s="697"/>
      <c r="AC754" s="697"/>
    </row>
    <row r="755" spans="1:29" x14ac:dyDescent="0.2">
      <c r="A755" s="694" t="str">
        <f>+Info!$B$2</f>
        <v>724</v>
      </c>
      <c r="B755" s="694" t="s">
        <v>6583</v>
      </c>
      <c r="C755" s="694" t="s">
        <v>6584</v>
      </c>
      <c r="D755" s="695" t="s">
        <v>6585</v>
      </c>
      <c r="E755" s="696"/>
      <c r="F755" s="697"/>
      <c r="G755" s="697"/>
      <c r="H755" s="698"/>
      <c r="I755" s="697"/>
      <c r="J755" s="697"/>
      <c r="K755" s="697"/>
      <c r="L755" s="697"/>
      <c r="M755" s="697"/>
      <c r="N755" s="698"/>
      <c r="O755" s="697"/>
      <c r="P755" s="697"/>
      <c r="Q755" s="697"/>
      <c r="R755" s="697"/>
      <c r="S755" s="697"/>
      <c r="T755" s="697"/>
      <c r="U755" s="697"/>
      <c r="V755" s="697"/>
      <c r="W755" s="698"/>
      <c r="X755" s="698"/>
      <c r="Y755" s="697"/>
      <c r="Z755" s="697"/>
      <c r="AA755" s="697"/>
      <c r="AB755" s="697"/>
      <c r="AC755" s="697"/>
    </row>
    <row r="756" spans="1:29" x14ac:dyDescent="0.2">
      <c r="A756" s="694" t="str">
        <f>+Info!$B$2</f>
        <v>724</v>
      </c>
      <c r="B756" s="694" t="s">
        <v>6586</v>
      </c>
      <c r="C756" s="694" t="s">
        <v>6587</v>
      </c>
      <c r="D756" s="695" t="s">
        <v>6588</v>
      </c>
      <c r="E756" s="696"/>
      <c r="F756" s="697"/>
      <c r="G756" s="697"/>
      <c r="H756" s="698"/>
      <c r="I756" s="697"/>
      <c r="J756" s="697"/>
      <c r="K756" s="697"/>
      <c r="L756" s="697"/>
      <c r="M756" s="697"/>
      <c r="N756" s="698"/>
      <c r="O756" s="697"/>
      <c r="P756" s="697"/>
      <c r="Q756" s="697"/>
      <c r="R756" s="697"/>
      <c r="S756" s="697"/>
      <c r="T756" s="697"/>
      <c r="U756" s="697"/>
      <c r="V756" s="697"/>
      <c r="W756" s="698"/>
      <c r="X756" s="698"/>
      <c r="Y756" s="697"/>
      <c r="Z756" s="697"/>
      <c r="AA756" s="697"/>
      <c r="AB756" s="697"/>
      <c r="AC756" s="697"/>
    </row>
    <row r="757" spans="1:29" ht="15" x14ac:dyDescent="0.25">
      <c r="A757" s="691" t="str">
        <f>+Info!$B$2</f>
        <v>724</v>
      </c>
      <c r="B757" s="691" t="s">
        <v>6589</v>
      </c>
      <c r="C757" s="691" t="s">
        <v>6590</v>
      </c>
      <c r="D757" s="692" t="s">
        <v>6591</v>
      </c>
      <c r="E757" s="693"/>
      <c r="F757" s="701"/>
      <c r="G757" s="701"/>
      <c r="H757" s="701"/>
      <c r="I757" s="701"/>
      <c r="J757" s="701"/>
      <c r="K757" s="701"/>
      <c r="L757" s="701"/>
      <c r="M757" s="701"/>
      <c r="N757" s="701"/>
      <c r="O757" s="701"/>
      <c r="P757" s="701"/>
      <c r="Q757" s="701"/>
      <c r="R757" s="701"/>
      <c r="S757" s="701"/>
      <c r="T757" s="701"/>
      <c r="U757" s="701"/>
      <c r="V757" s="701"/>
      <c r="W757" s="701"/>
      <c r="X757" s="701"/>
      <c r="Y757" s="701"/>
      <c r="Z757" s="701"/>
      <c r="AA757" s="701"/>
      <c r="AB757" s="701"/>
      <c r="AC757" s="701"/>
    </row>
    <row r="758" spans="1:29" ht="15" x14ac:dyDescent="0.25">
      <c r="A758" s="691" t="str">
        <f>+Info!$B$2</f>
        <v>724</v>
      </c>
      <c r="B758" s="691" t="s">
        <v>6592</v>
      </c>
      <c r="C758" s="691" t="s">
        <v>6593</v>
      </c>
      <c r="D758" s="692" t="s">
        <v>6594</v>
      </c>
      <c r="E758" s="693"/>
      <c r="F758" s="701"/>
      <c r="G758" s="701"/>
      <c r="H758" s="701"/>
      <c r="I758" s="701"/>
      <c r="J758" s="701"/>
      <c r="K758" s="701"/>
      <c r="L758" s="701"/>
      <c r="M758" s="701"/>
      <c r="N758" s="701"/>
      <c r="O758" s="701"/>
      <c r="P758" s="701"/>
      <c r="Q758" s="701"/>
      <c r="R758" s="701"/>
      <c r="S758" s="701"/>
      <c r="T758" s="701"/>
      <c r="U758" s="701"/>
      <c r="V758" s="701"/>
      <c r="W758" s="701"/>
      <c r="X758" s="701"/>
      <c r="Y758" s="701"/>
      <c r="Z758" s="701"/>
      <c r="AA758" s="701"/>
      <c r="AB758" s="701"/>
      <c r="AC758" s="701"/>
    </row>
    <row r="759" spans="1:29" x14ac:dyDescent="0.2">
      <c r="A759" s="694" t="str">
        <f>+Info!$B$2</f>
        <v>724</v>
      </c>
      <c r="B759" s="694" t="s">
        <v>6595</v>
      </c>
      <c r="C759" s="694" t="s">
        <v>6596</v>
      </c>
      <c r="D759" s="695" t="s">
        <v>6597</v>
      </c>
      <c r="E759" s="696"/>
      <c r="F759" s="697"/>
      <c r="G759" s="697"/>
      <c r="H759" s="698"/>
      <c r="I759" s="697"/>
      <c r="J759" s="697"/>
      <c r="K759" s="697"/>
      <c r="L759" s="697"/>
      <c r="M759" s="697"/>
      <c r="N759" s="698"/>
      <c r="O759" s="697"/>
      <c r="P759" s="697"/>
      <c r="Q759" s="697"/>
      <c r="R759" s="697"/>
      <c r="S759" s="697"/>
      <c r="T759" s="697"/>
      <c r="U759" s="697"/>
      <c r="V759" s="697"/>
      <c r="W759" s="698"/>
      <c r="X759" s="698"/>
      <c r="Y759" s="697"/>
      <c r="Z759" s="697"/>
      <c r="AA759" s="697"/>
      <c r="AB759" s="697"/>
      <c r="AC759" s="697"/>
    </row>
    <row r="760" spans="1:29" x14ac:dyDescent="0.2">
      <c r="A760" s="694" t="str">
        <f>+Info!$B$2</f>
        <v>724</v>
      </c>
      <c r="B760" s="694" t="s">
        <v>6598</v>
      </c>
      <c r="C760" s="694" t="s">
        <v>6599</v>
      </c>
      <c r="D760" s="695" t="s">
        <v>6600</v>
      </c>
      <c r="E760" s="696"/>
      <c r="F760" s="697"/>
      <c r="G760" s="697"/>
      <c r="H760" s="698"/>
      <c r="I760" s="697"/>
      <c r="J760" s="697"/>
      <c r="K760" s="697"/>
      <c r="L760" s="697"/>
      <c r="M760" s="697"/>
      <c r="N760" s="698"/>
      <c r="O760" s="697"/>
      <c r="P760" s="697"/>
      <c r="Q760" s="697"/>
      <c r="R760" s="697"/>
      <c r="S760" s="697"/>
      <c r="T760" s="697"/>
      <c r="U760" s="697"/>
      <c r="V760" s="697"/>
      <c r="W760" s="698"/>
      <c r="X760" s="698"/>
      <c r="Y760" s="697"/>
      <c r="Z760" s="697"/>
      <c r="AA760" s="697"/>
      <c r="AB760" s="697"/>
      <c r="AC760" s="697"/>
    </row>
    <row r="761" spans="1:29" x14ac:dyDescent="0.2">
      <c r="A761" s="694" t="str">
        <f>+Info!$B$2</f>
        <v>724</v>
      </c>
      <c r="B761" s="694" t="s">
        <v>6601</v>
      </c>
      <c r="C761" s="694" t="s">
        <v>6602</v>
      </c>
      <c r="D761" s="695" t="s">
        <v>6603</v>
      </c>
      <c r="E761" s="696"/>
      <c r="F761" s="697"/>
      <c r="G761" s="697"/>
      <c r="H761" s="698"/>
      <c r="I761" s="697"/>
      <c r="J761" s="697"/>
      <c r="K761" s="697"/>
      <c r="L761" s="697"/>
      <c r="M761" s="697"/>
      <c r="N761" s="698"/>
      <c r="O761" s="697"/>
      <c r="P761" s="697"/>
      <c r="Q761" s="697"/>
      <c r="R761" s="697"/>
      <c r="S761" s="697"/>
      <c r="T761" s="697"/>
      <c r="U761" s="697"/>
      <c r="V761" s="697"/>
      <c r="W761" s="698"/>
      <c r="X761" s="698"/>
      <c r="Y761" s="697"/>
      <c r="Z761" s="697"/>
      <c r="AA761" s="697"/>
      <c r="AB761" s="697"/>
      <c r="AC761" s="697"/>
    </row>
    <row r="762" spans="1:29" x14ac:dyDescent="0.2">
      <c r="A762" s="694" t="str">
        <f>+Info!$B$2</f>
        <v>724</v>
      </c>
      <c r="B762" s="694" t="s">
        <v>6604</v>
      </c>
      <c r="C762" s="694" t="s">
        <v>6605</v>
      </c>
      <c r="D762" s="695" t="s">
        <v>6606</v>
      </c>
      <c r="E762" s="696"/>
      <c r="F762" s="697"/>
      <c r="G762" s="697"/>
      <c r="H762" s="698"/>
      <c r="I762" s="697"/>
      <c r="J762" s="697"/>
      <c r="K762" s="697"/>
      <c r="L762" s="697"/>
      <c r="M762" s="697"/>
      <c r="N762" s="698"/>
      <c r="O762" s="697"/>
      <c r="P762" s="697"/>
      <c r="Q762" s="697"/>
      <c r="R762" s="697"/>
      <c r="S762" s="697"/>
      <c r="T762" s="697"/>
      <c r="U762" s="697"/>
      <c r="V762" s="697"/>
      <c r="W762" s="698"/>
      <c r="X762" s="698"/>
      <c r="Y762" s="697"/>
      <c r="Z762" s="697"/>
      <c r="AA762" s="697"/>
      <c r="AB762" s="697"/>
      <c r="AC762" s="697"/>
    </row>
    <row r="763" spans="1:29" x14ac:dyDescent="0.2">
      <c r="A763" s="694" t="str">
        <f>+Info!$B$2</f>
        <v>724</v>
      </c>
      <c r="B763" s="694" t="s">
        <v>6607</v>
      </c>
      <c r="C763" s="694" t="s">
        <v>6608</v>
      </c>
      <c r="D763" s="695" t="s">
        <v>6609</v>
      </c>
      <c r="E763" s="696"/>
      <c r="F763" s="697"/>
      <c r="G763" s="697"/>
      <c r="H763" s="698"/>
      <c r="I763" s="697"/>
      <c r="J763" s="697"/>
      <c r="K763" s="697"/>
      <c r="L763" s="697"/>
      <c r="M763" s="697"/>
      <c r="N763" s="698"/>
      <c r="O763" s="697"/>
      <c r="P763" s="697"/>
      <c r="Q763" s="697"/>
      <c r="R763" s="697"/>
      <c r="S763" s="697"/>
      <c r="T763" s="697"/>
      <c r="U763" s="697"/>
      <c r="V763" s="697"/>
      <c r="W763" s="698"/>
      <c r="X763" s="698"/>
      <c r="Y763" s="697"/>
      <c r="Z763" s="697"/>
      <c r="AA763" s="697"/>
      <c r="AB763" s="697"/>
      <c r="AC763" s="697"/>
    </row>
    <row r="764" spans="1:29" x14ac:dyDescent="0.2">
      <c r="A764" s="694" t="str">
        <f>+Info!$B$2</f>
        <v>724</v>
      </c>
      <c r="B764" s="694" t="s">
        <v>6610</v>
      </c>
      <c r="C764" s="694" t="s">
        <v>6611</v>
      </c>
      <c r="D764" s="695" t="s">
        <v>6612</v>
      </c>
      <c r="E764" s="696"/>
      <c r="F764" s="697"/>
      <c r="G764" s="697"/>
      <c r="H764" s="698"/>
      <c r="I764" s="697"/>
      <c r="J764" s="697"/>
      <c r="K764" s="697"/>
      <c r="L764" s="697"/>
      <c r="M764" s="697"/>
      <c r="N764" s="698"/>
      <c r="O764" s="697"/>
      <c r="P764" s="697"/>
      <c r="Q764" s="697"/>
      <c r="R764" s="697"/>
      <c r="S764" s="697"/>
      <c r="T764" s="697"/>
      <c r="U764" s="697"/>
      <c r="V764" s="697"/>
      <c r="W764" s="698"/>
      <c r="X764" s="698"/>
      <c r="Y764" s="697"/>
      <c r="Z764" s="697"/>
      <c r="AA764" s="697"/>
      <c r="AB764" s="697"/>
      <c r="AC764" s="697"/>
    </row>
    <row r="765" spans="1:29" x14ac:dyDescent="0.2">
      <c r="A765" s="694" t="str">
        <f>+Info!$B$2</f>
        <v>724</v>
      </c>
      <c r="B765" s="694" t="s">
        <v>6613</v>
      </c>
      <c r="C765" s="694" t="s">
        <v>6614</v>
      </c>
      <c r="D765" s="695" t="s">
        <v>6615</v>
      </c>
      <c r="E765" s="696"/>
      <c r="F765" s="697"/>
      <c r="G765" s="697"/>
      <c r="H765" s="698"/>
      <c r="I765" s="697"/>
      <c r="J765" s="697"/>
      <c r="K765" s="697"/>
      <c r="L765" s="697"/>
      <c r="M765" s="697"/>
      <c r="N765" s="698"/>
      <c r="O765" s="697"/>
      <c r="P765" s="697"/>
      <c r="Q765" s="697"/>
      <c r="R765" s="697"/>
      <c r="S765" s="697"/>
      <c r="T765" s="697"/>
      <c r="U765" s="697"/>
      <c r="V765" s="697"/>
      <c r="W765" s="698"/>
      <c r="X765" s="698"/>
      <c r="Y765" s="697"/>
      <c r="Z765" s="697"/>
      <c r="AA765" s="697"/>
      <c r="AB765" s="697"/>
      <c r="AC765" s="697"/>
    </row>
    <row r="766" spans="1:29" x14ac:dyDescent="0.2">
      <c r="A766" s="694" t="str">
        <f>+Info!$B$2</f>
        <v>724</v>
      </c>
      <c r="B766" s="694" t="s">
        <v>6616</v>
      </c>
      <c r="C766" s="694" t="s">
        <v>6617</v>
      </c>
      <c r="D766" s="695" t="s">
        <v>6618</v>
      </c>
      <c r="E766" s="696"/>
      <c r="F766" s="697"/>
      <c r="G766" s="697"/>
      <c r="H766" s="698"/>
      <c r="I766" s="697"/>
      <c r="J766" s="697"/>
      <c r="K766" s="697"/>
      <c r="L766" s="697"/>
      <c r="M766" s="697"/>
      <c r="N766" s="698"/>
      <c r="O766" s="697"/>
      <c r="P766" s="697"/>
      <c r="Q766" s="697"/>
      <c r="R766" s="697"/>
      <c r="S766" s="697"/>
      <c r="T766" s="697"/>
      <c r="U766" s="697"/>
      <c r="V766" s="697"/>
      <c r="W766" s="698"/>
      <c r="X766" s="698"/>
      <c r="Y766" s="697"/>
      <c r="Z766" s="697"/>
      <c r="AA766" s="697"/>
      <c r="AB766" s="697"/>
      <c r="AC766" s="697"/>
    </row>
    <row r="767" spans="1:29" ht="15" x14ac:dyDescent="0.25">
      <c r="A767" s="691" t="str">
        <f>+Info!$B$2</f>
        <v>724</v>
      </c>
      <c r="B767" s="691" t="s">
        <v>6619</v>
      </c>
      <c r="C767" s="691" t="s">
        <v>6620</v>
      </c>
      <c r="D767" s="692" t="s">
        <v>6621</v>
      </c>
      <c r="E767" s="693"/>
      <c r="F767" s="701"/>
      <c r="G767" s="701"/>
      <c r="H767" s="701"/>
      <c r="I767" s="701"/>
      <c r="J767" s="701"/>
      <c r="K767" s="701"/>
      <c r="L767" s="701"/>
      <c r="M767" s="701"/>
      <c r="N767" s="701"/>
      <c r="O767" s="701"/>
      <c r="P767" s="701"/>
      <c r="Q767" s="701"/>
      <c r="R767" s="701"/>
      <c r="S767" s="701"/>
      <c r="T767" s="701"/>
      <c r="U767" s="701"/>
      <c r="V767" s="701"/>
      <c r="W767" s="701"/>
      <c r="X767" s="701"/>
      <c r="Y767" s="701"/>
      <c r="Z767" s="701"/>
      <c r="AA767" s="701"/>
      <c r="AB767" s="701"/>
      <c r="AC767" s="701"/>
    </row>
    <row r="768" spans="1:29" x14ac:dyDescent="0.2">
      <c r="A768" s="694" t="str">
        <f>+Info!$B$2</f>
        <v>724</v>
      </c>
      <c r="B768" s="694" t="s">
        <v>6622</v>
      </c>
      <c r="C768" s="694" t="s">
        <v>6623</v>
      </c>
      <c r="D768" s="695" t="s">
        <v>6624</v>
      </c>
      <c r="E768" s="696"/>
      <c r="F768" s="697"/>
      <c r="G768" s="697"/>
      <c r="H768" s="698"/>
      <c r="I768" s="697"/>
      <c r="J768" s="697"/>
      <c r="K768" s="697"/>
      <c r="L768" s="697"/>
      <c r="M768" s="697"/>
      <c r="N768" s="698"/>
      <c r="O768" s="697"/>
      <c r="P768" s="697"/>
      <c r="Q768" s="697"/>
      <c r="R768" s="697"/>
      <c r="S768" s="697"/>
      <c r="T768" s="697"/>
      <c r="U768" s="697"/>
      <c r="V768" s="697"/>
      <c r="W768" s="698"/>
      <c r="X768" s="698"/>
      <c r="Y768" s="697"/>
      <c r="Z768" s="697"/>
      <c r="AA768" s="697"/>
      <c r="AB768" s="697"/>
      <c r="AC768" s="697"/>
    </row>
    <row r="769" spans="1:29" x14ac:dyDescent="0.2">
      <c r="A769" s="694" t="str">
        <f>+Info!$B$2</f>
        <v>724</v>
      </c>
      <c r="B769" s="694" t="s">
        <v>6625</v>
      </c>
      <c r="C769" s="694" t="s">
        <v>6626</v>
      </c>
      <c r="D769" s="695" t="s">
        <v>6627</v>
      </c>
      <c r="E769" s="696"/>
      <c r="F769" s="697"/>
      <c r="G769" s="697"/>
      <c r="H769" s="698"/>
      <c r="I769" s="697"/>
      <c r="J769" s="697"/>
      <c r="K769" s="697"/>
      <c r="L769" s="697"/>
      <c r="M769" s="697"/>
      <c r="N769" s="698"/>
      <c r="O769" s="697"/>
      <c r="P769" s="697"/>
      <c r="Q769" s="697"/>
      <c r="R769" s="697"/>
      <c r="S769" s="697"/>
      <c r="T769" s="697"/>
      <c r="U769" s="697"/>
      <c r="V769" s="697"/>
      <c r="W769" s="698"/>
      <c r="X769" s="698"/>
      <c r="Y769" s="697"/>
      <c r="Z769" s="697"/>
      <c r="AA769" s="697"/>
      <c r="AB769" s="697"/>
      <c r="AC769" s="697"/>
    </row>
    <row r="770" spans="1:29" ht="15" x14ac:dyDescent="0.25">
      <c r="A770" s="691" t="str">
        <f>+Info!$B$2</f>
        <v>724</v>
      </c>
      <c r="B770" s="691" t="s">
        <v>2257</v>
      </c>
      <c r="C770" s="691" t="s">
        <v>6628</v>
      </c>
      <c r="D770" s="692" t="s">
        <v>6629</v>
      </c>
      <c r="E770" s="693"/>
      <c r="F770" s="701"/>
      <c r="G770" s="701"/>
      <c r="H770" s="701"/>
      <c r="I770" s="701"/>
      <c r="J770" s="701"/>
      <c r="K770" s="701"/>
      <c r="L770" s="701"/>
      <c r="M770" s="701"/>
      <c r="N770" s="701"/>
      <c r="O770" s="701"/>
      <c r="P770" s="701"/>
      <c r="Q770" s="701"/>
      <c r="R770" s="701"/>
      <c r="S770" s="701"/>
      <c r="T770" s="701"/>
      <c r="U770" s="701"/>
      <c r="V770" s="701"/>
      <c r="W770" s="701"/>
      <c r="X770" s="701"/>
      <c r="Y770" s="701"/>
      <c r="Z770" s="701"/>
      <c r="AA770" s="701"/>
      <c r="AB770" s="701"/>
      <c r="AC770" s="701"/>
    </row>
    <row r="771" spans="1:29" ht="15" x14ac:dyDescent="0.25">
      <c r="A771" s="691" t="str">
        <f>+Info!$B$2</f>
        <v>724</v>
      </c>
      <c r="B771" s="691" t="s">
        <v>2578</v>
      </c>
      <c r="C771" s="691" t="s">
        <v>6630</v>
      </c>
      <c r="D771" s="692" t="s">
        <v>6631</v>
      </c>
      <c r="E771" s="693"/>
      <c r="F771" s="701"/>
      <c r="G771" s="701"/>
      <c r="H771" s="701"/>
      <c r="I771" s="701"/>
      <c r="J771" s="701"/>
      <c r="K771" s="701"/>
      <c r="L771" s="701"/>
      <c r="M771" s="701"/>
      <c r="N771" s="701"/>
      <c r="O771" s="701"/>
      <c r="P771" s="701"/>
      <c r="Q771" s="701"/>
      <c r="R771" s="701"/>
      <c r="S771" s="701"/>
      <c r="T771" s="701"/>
      <c r="U771" s="701"/>
      <c r="V771" s="701"/>
      <c r="W771" s="701"/>
      <c r="X771" s="701"/>
      <c r="Y771" s="701"/>
      <c r="Z771" s="701"/>
      <c r="AA771" s="701"/>
      <c r="AB771" s="701"/>
      <c r="AC771" s="701"/>
    </row>
    <row r="772" spans="1:29" x14ac:dyDescent="0.2">
      <c r="A772" s="694" t="str">
        <f>+Info!$B$2</f>
        <v>724</v>
      </c>
      <c r="B772" s="694" t="s">
        <v>6632</v>
      </c>
      <c r="C772" s="694" t="s">
        <v>6633</v>
      </c>
      <c r="D772" s="695" t="s">
        <v>6634</v>
      </c>
      <c r="E772" s="696"/>
      <c r="F772" s="697"/>
      <c r="G772" s="697"/>
      <c r="H772" s="698"/>
      <c r="I772" s="697"/>
      <c r="J772" s="697"/>
      <c r="K772" s="697"/>
      <c r="L772" s="697"/>
      <c r="M772" s="697"/>
      <c r="N772" s="698"/>
      <c r="O772" s="697"/>
      <c r="P772" s="697"/>
      <c r="Q772" s="697"/>
      <c r="R772" s="697"/>
      <c r="S772" s="697"/>
      <c r="T772" s="697"/>
      <c r="U772" s="697"/>
      <c r="V772" s="697"/>
      <c r="W772" s="698"/>
      <c r="X772" s="698"/>
      <c r="Y772" s="697"/>
      <c r="Z772" s="697"/>
      <c r="AA772" s="697"/>
      <c r="AB772" s="697"/>
      <c r="AC772" s="697"/>
    </row>
    <row r="773" spans="1:29" x14ac:dyDescent="0.2">
      <c r="A773" s="694" t="str">
        <f>+Info!$B$2</f>
        <v>724</v>
      </c>
      <c r="B773" s="694" t="s">
        <v>6635</v>
      </c>
      <c r="C773" s="694" t="s">
        <v>6636</v>
      </c>
      <c r="D773" s="695" t="s">
        <v>6637</v>
      </c>
      <c r="E773" s="696"/>
      <c r="F773" s="697"/>
      <c r="G773" s="697"/>
      <c r="H773" s="698"/>
      <c r="I773" s="697"/>
      <c r="J773" s="697"/>
      <c r="K773" s="697"/>
      <c r="L773" s="697"/>
      <c r="M773" s="697"/>
      <c r="N773" s="698"/>
      <c r="O773" s="697"/>
      <c r="P773" s="697"/>
      <c r="Q773" s="697"/>
      <c r="R773" s="697"/>
      <c r="S773" s="697"/>
      <c r="T773" s="697"/>
      <c r="U773" s="697"/>
      <c r="V773" s="697"/>
      <c r="W773" s="698"/>
      <c r="X773" s="698"/>
      <c r="Y773" s="697"/>
      <c r="Z773" s="697"/>
      <c r="AA773" s="697"/>
      <c r="AB773" s="697"/>
      <c r="AC773" s="697"/>
    </row>
    <row r="774" spans="1:29" x14ac:dyDescent="0.2">
      <c r="A774" s="694" t="str">
        <f>+Info!$B$2</f>
        <v>724</v>
      </c>
      <c r="B774" s="694" t="s">
        <v>6638</v>
      </c>
      <c r="C774" s="694" t="s">
        <v>6639</v>
      </c>
      <c r="D774" s="695" t="s">
        <v>6640</v>
      </c>
      <c r="E774" s="696"/>
      <c r="F774" s="697"/>
      <c r="G774" s="697"/>
      <c r="H774" s="698"/>
      <c r="I774" s="697"/>
      <c r="J774" s="697"/>
      <c r="K774" s="697"/>
      <c r="L774" s="697"/>
      <c r="M774" s="697"/>
      <c r="N774" s="698"/>
      <c r="O774" s="697"/>
      <c r="P774" s="697"/>
      <c r="Q774" s="697"/>
      <c r="R774" s="697"/>
      <c r="S774" s="697"/>
      <c r="T774" s="697"/>
      <c r="U774" s="697"/>
      <c r="V774" s="697"/>
      <c r="W774" s="698"/>
      <c r="X774" s="698"/>
      <c r="Y774" s="697"/>
      <c r="Z774" s="697"/>
      <c r="AA774" s="697"/>
      <c r="AB774" s="697"/>
      <c r="AC774" s="697"/>
    </row>
    <row r="775" spans="1:29" ht="15" x14ac:dyDescent="0.25">
      <c r="A775" s="691" t="str">
        <f>+Info!$B$2</f>
        <v>724</v>
      </c>
      <c r="B775" s="691" t="s">
        <v>6641</v>
      </c>
      <c r="C775" s="691" t="s">
        <v>6642</v>
      </c>
      <c r="D775" s="692" t="s">
        <v>6643</v>
      </c>
      <c r="E775" s="693"/>
      <c r="F775" s="701"/>
      <c r="G775" s="701"/>
      <c r="H775" s="701"/>
      <c r="I775" s="701"/>
      <c r="J775" s="701"/>
      <c r="K775" s="701"/>
      <c r="L775" s="701"/>
      <c r="M775" s="701"/>
      <c r="N775" s="701"/>
      <c r="O775" s="701"/>
      <c r="P775" s="701"/>
      <c r="Q775" s="701"/>
      <c r="R775" s="701"/>
      <c r="S775" s="701"/>
      <c r="T775" s="701"/>
      <c r="U775" s="701"/>
      <c r="V775" s="701"/>
      <c r="W775" s="701"/>
      <c r="X775" s="701"/>
      <c r="Y775" s="701"/>
      <c r="Z775" s="701"/>
      <c r="AA775" s="701"/>
      <c r="AB775" s="701"/>
      <c r="AC775" s="701"/>
    </row>
    <row r="776" spans="1:29" x14ac:dyDescent="0.2">
      <c r="A776" s="694" t="str">
        <f>+Info!$B$2</f>
        <v>724</v>
      </c>
      <c r="B776" s="694" t="s">
        <v>6644</v>
      </c>
      <c r="C776" s="694" t="s">
        <v>6645</v>
      </c>
      <c r="D776" s="695" t="s">
        <v>6634</v>
      </c>
      <c r="E776" s="696"/>
      <c r="F776" s="697"/>
      <c r="G776" s="697"/>
      <c r="H776" s="698"/>
      <c r="I776" s="697"/>
      <c r="J776" s="697"/>
      <c r="K776" s="697"/>
      <c r="L776" s="697"/>
      <c r="M776" s="697"/>
      <c r="N776" s="698"/>
      <c r="O776" s="697"/>
      <c r="P776" s="697"/>
      <c r="Q776" s="697"/>
      <c r="R776" s="697"/>
      <c r="S776" s="697"/>
      <c r="T776" s="697"/>
      <c r="U776" s="697"/>
      <c r="V776" s="697"/>
      <c r="W776" s="698"/>
      <c r="X776" s="698"/>
      <c r="Y776" s="697"/>
      <c r="Z776" s="697"/>
      <c r="AA776" s="697"/>
      <c r="AB776" s="697"/>
      <c r="AC776" s="697"/>
    </row>
    <row r="777" spans="1:29" x14ac:dyDescent="0.2">
      <c r="A777" s="694" t="str">
        <f>+Info!$B$2</f>
        <v>724</v>
      </c>
      <c r="B777" s="694" t="s">
        <v>6646</v>
      </c>
      <c r="C777" s="694" t="s">
        <v>6647</v>
      </c>
      <c r="D777" s="695" t="s">
        <v>6637</v>
      </c>
      <c r="E777" s="696"/>
      <c r="F777" s="697"/>
      <c r="G777" s="697"/>
      <c r="H777" s="698"/>
      <c r="I777" s="697"/>
      <c r="J777" s="697"/>
      <c r="K777" s="697"/>
      <c r="L777" s="697"/>
      <c r="M777" s="697"/>
      <c r="N777" s="698"/>
      <c r="O777" s="697"/>
      <c r="P777" s="697"/>
      <c r="Q777" s="697"/>
      <c r="R777" s="697"/>
      <c r="S777" s="697"/>
      <c r="T777" s="697"/>
      <c r="U777" s="697"/>
      <c r="V777" s="697"/>
      <c r="W777" s="698"/>
      <c r="X777" s="698"/>
      <c r="Y777" s="697"/>
      <c r="Z777" s="697"/>
      <c r="AA777" s="697"/>
      <c r="AB777" s="697"/>
      <c r="AC777" s="697"/>
    </row>
    <row r="778" spans="1:29" x14ac:dyDescent="0.2">
      <c r="A778" s="694" t="str">
        <f>+Info!$B$2</f>
        <v>724</v>
      </c>
      <c r="B778" s="694" t="s">
        <v>6648</v>
      </c>
      <c r="C778" s="694" t="s">
        <v>6649</v>
      </c>
      <c r="D778" s="695" t="s">
        <v>6640</v>
      </c>
      <c r="E778" s="696"/>
      <c r="F778" s="697"/>
      <c r="G778" s="697"/>
      <c r="H778" s="698"/>
      <c r="I778" s="697"/>
      <c r="J778" s="697"/>
      <c r="K778" s="697"/>
      <c r="L778" s="697"/>
      <c r="M778" s="697"/>
      <c r="N778" s="698"/>
      <c r="O778" s="697"/>
      <c r="P778" s="697"/>
      <c r="Q778" s="697"/>
      <c r="R778" s="697"/>
      <c r="S778" s="697"/>
      <c r="T778" s="697"/>
      <c r="U778" s="697"/>
      <c r="V778" s="697"/>
      <c r="W778" s="698"/>
      <c r="X778" s="698"/>
      <c r="Y778" s="697"/>
      <c r="Z778" s="697"/>
      <c r="AA778" s="697"/>
      <c r="AB778" s="697"/>
      <c r="AC778" s="697"/>
    </row>
    <row r="779" spans="1:29" ht="15" x14ac:dyDescent="0.25">
      <c r="A779" s="691" t="str">
        <f>+Info!$B$2</f>
        <v>724</v>
      </c>
      <c r="B779" s="691" t="s">
        <v>6650</v>
      </c>
      <c r="C779" s="691" t="s">
        <v>6651</v>
      </c>
      <c r="D779" s="692" t="s">
        <v>6652</v>
      </c>
      <c r="E779" s="693"/>
      <c r="F779" s="701"/>
      <c r="G779" s="701"/>
      <c r="H779" s="701"/>
      <c r="I779" s="701"/>
      <c r="J779" s="701"/>
      <c r="K779" s="701"/>
      <c r="L779" s="701"/>
      <c r="M779" s="701"/>
      <c r="N779" s="701"/>
      <c r="O779" s="701"/>
      <c r="P779" s="701"/>
      <c r="Q779" s="701"/>
      <c r="R779" s="701"/>
      <c r="S779" s="701"/>
      <c r="T779" s="701"/>
      <c r="U779" s="701"/>
      <c r="V779" s="701"/>
      <c r="W779" s="701"/>
      <c r="X779" s="701"/>
      <c r="Y779" s="701"/>
      <c r="Z779" s="701"/>
      <c r="AA779" s="701"/>
      <c r="AB779" s="701"/>
      <c r="AC779" s="701"/>
    </row>
    <row r="780" spans="1:29" x14ac:dyDescent="0.2">
      <c r="A780" s="694" t="str">
        <f>+Info!$B$2</f>
        <v>724</v>
      </c>
      <c r="B780" s="694" t="s">
        <v>6653</v>
      </c>
      <c r="C780" s="694" t="s">
        <v>6654</v>
      </c>
      <c r="D780" s="695" t="s">
        <v>6655</v>
      </c>
      <c r="E780" s="696"/>
      <c r="F780" s="703"/>
      <c r="G780" s="703"/>
      <c r="H780" s="698"/>
      <c r="I780" s="698"/>
      <c r="J780" s="697"/>
      <c r="K780" s="697"/>
      <c r="L780" s="697"/>
      <c r="M780" s="697"/>
      <c r="N780" s="698"/>
      <c r="O780" s="697"/>
      <c r="P780" s="697"/>
      <c r="Q780" s="697"/>
      <c r="R780" s="697"/>
      <c r="S780" s="697"/>
      <c r="T780" s="697"/>
      <c r="U780" s="697"/>
      <c r="V780" s="697"/>
      <c r="W780" s="698"/>
      <c r="X780" s="698"/>
      <c r="Y780" s="697"/>
      <c r="Z780" s="697"/>
      <c r="AA780" s="697"/>
      <c r="AB780" s="697"/>
      <c r="AC780" s="697"/>
    </row>
    <row r="781" spans="1:29" x14ac:dyDescent="0.2">
      <c r="A781" s="694" t="str">
        <f>+Info!$B$2</f>
        <v>724</v>
      </c>
      <c r="B781" s="694" t="s">
        <v>6656</v>
      </c>
      <c r="C781" s="694" t="s">
        <v>6657</v>
      </c>
      <c r="D781" s="695" t="s">
        <v>6658</v>
      </c>
      <c r="E781" s="696"/>
      <c r="F781" s="703"/>
      <c r="G781" s="703"/>
      <c r="H781" s="698"/>
      <c r="I781" s="698"/>
      <c r="J781" s="697"/>
      <c r="K781" s="697"/>
      <c r="L781" s="697"/>
      <c r="M781" s="697"/>
      <c r="N781" s="698"/>
      <c r="O781" s="697"/>
      <c r="P781" s="697"/>
      <c r="Q781" s="697"/>
      <c r="R781" s="697"/>
      <c r="S781" s="697"/>
      <c r="T781" s="697"/>
      <c r="U781" s="697"/>
      <c r="V781" s="697"/>
      <c r="W781" s="698"/>
      <c r="X781" s="698"/>
      <c r="Y781" s="697"/>
      <c r="Z781" s="697"/>
      <c r="AA781" s="697"/>
      <c r="AB781" s="697"/>
      <c r="AC781" s="697"/>
    </row>
    <row r="782" spans="1:29" x14ac:dyDescent="0.2">
      <c r="A782" s="694" t="str">
        <f>+Info!$B$2</f>
        <v>724</v>
      </c>
      <c r="B782" s="694" t="s">
        <v>6659</v>
      </c>
      <c r="C782" s="694" t="s">
        <v>6660</v>
      </c>
      <c r="D782" s="695" t="s">
        <v>6661</v>
      </c>
      <c r="E782" s="696"/>
      <c r="F782" s="703"/>
      <c r="G782" s="703"/>
      <c r="H782" s="698"/>
      <c r="I782" s="697"/>
      <c r="J782" s="697"/>
      <c r="K782" s="697"/>
      <c r="L782" s="697"/>
      <c r="M782" s="697"/>
      <c r="N782" s="698"/>
      <c r="O782" s="697"/>
      <c r="P782" s="697"/>
      <c r="Q782" s="697"/>
      <c r="R782" s="697"/>
      <c r="S782" s="697"/>
      <c r="T782" s="697"/>
      <c r="U782" s="697"/>
      <c r="V782" s="697"/>
      <c r="W782" s="698"/>
      <c r="X782" s="698"/>
      <c r="Y782" s="697"/>
      <c r="Z782" s="697"/>
      <c r="AA782" s="697"/>
      <c r="AB782" s="697"/>
      <c r="AC782" s="697"/>
    </row>
    <row r="783" spans="1:29" x14ac:dyDescent="0.2">
      <c r="A783" s="694" t="str">
        <f>+Info!$B$2</f>
        <v>724</v>
      </c>
      <c r="B783" s="694" t="s">
        <v>6662</v>
      </c>
      <c r="C783" s="694" t="s">
        <v>6663</v>
      </c>
      <c r="D783" s="695" t="s">
        <v>6664</v>
      </c>
      <c r="E783" s="696"/>
      <c r="F783" s="703"/>
      <c r="G783" s="703"/>
      <c r="H783" s="698"/>
      <c r="I783" s="697"/>
      <c r="J783" s="697"/>
      <c r="K783" s="697"/>
      <c r="L783" s="697"/>
      <c r="M783" s="697"/>
      <c r="N783" s="698"/>
      <c r="O783" s="697"/>
      <c r="P783" s="697"/>
      <c r="Q783" s="697"/>
      <c r="R783" s="697"/>
      <c r="S783" s="697"/>
      <c r="T783" s="697"/>
      <c r="U783" s="697"/>
      <c r="V783" s="697"/>
      <c r="W783" s="698"/>
      <c r="X783" s="698"/>
      <c r="Y783" s="697"/>
      <c r="Z783" s="697"/>
      <c r="AA783" s="697"/>
      <c r="AB783" s="697"/>
      <c r="AC783" s="697"/>
    </row>
    <row r="784" spans="1:29" x14ac:dyDescent="0.2">
      <c r="A784" s="694" t="str">
        <f>+Info!$B$2</f>
        <v>724</v>
      </c>
      <c r="B784" s="694" t="s">
        <v>6665</v>
      </c>
      <c r="C784" s="694" t="s">
        <v>6666</v>
      </c>
      <c r="D784" s="695" t="s">
        <v>6667</v>
      </c>
      <c r="E784" s="696"/>
      <c r="F784" s="703"/>
      <c r="G784" s="703"/>
      <c r="H784" s="698"/>
      <c r="I784" s="697"/>
      <c r="J784" s="697"/>
      <c r="K784" s="697"/>
      <c r="L784" s="697"/>
      <c r="M784" s="697"/>
      <c r="N784" s="698"/>
      <c r="O784" s="697"/>
      <c r="P784" s="697"/>
      <c r="Q784" s="697"/>
      <c r="R784" s="697"/>
      <c r="S784" s="697"/>
      <c r="T784" s="697"/>
      <c r="U784" s="697"/>
      <c r="V784" s="697"/>
      <c r="W784" s="698"/>
      <c r="X784" s="698"/>
      <c r="Y784" s="697"/>
      <c r="Z784" s="697"/>
      <c r="AA784" s="697"/>
      <c r="AB784" s="697"/>
      <c r="AC784" s="697"/>
    </row>
    <row r="785" spans="1:29" x14ac:dyDescent="0.2">
      <c r="A785" s="694" t="str">
        <f>+Info!$B$2</f>
        <v>724</v>
      </c>
      <c r="B785" s="694" t="s">
        <v>6668</v>
      </c>
      <c r="C785" s="694" t="s">
        <v>6669</v>
      </c>
      <c r="D785" s="695" t="s">
        <v>6670</v>
      </c>
      <c r="E785" s="696"/>
      <c r="F785" s="703"/>
      <c r="G785" s="703"/>
      <c r="H785" s="698"/>
      <c r="I785" s="697"/>
      <c r="J785" s="697"/>
      <c r="K785" s="697"/>
      <c r="L785" s="697"/>
      <c r="M785" s="697"/>
      <c r="N785" s="698"/>
      <c r="O785" s="697"/>
      <c r="P785" s="697"/>
      <c r="Q785" s="697"/>
      <c r="R785" s="697"/>
      <c r="S785" s="697"/>
      <c r="T785" s="697"/>
      <c r="U785" s="697"/>
      <c r="V785" s="697"/>
      <c r="W785" s="698"/>
      <c r="X785" s="698"/>
      <c r="Y785" s="697"/>
      <c r="Z785" s="697"/>
      <c r="AA785" s="697"/>
      <c r="AB785" s="697"/>
      <c r="AC785" s="697"/>
    </row>
    <row r="786" spans="1:29" x14ac:dyDescent="0.2">
      <c r="A786" s="694" t="str">
        <f>+Info!$B$2</f>
        <v>724</v>
      </c>
      <c r="B786" s="694" t="s">
        <v>6671</v>
      </c>
      <c r="C786" s="694" t="s">
        <v>6672</v>
      </c>
      <c r="D786" s="695" t="s">
        <v>6673</v>
      </c>
      <c r="E786" s="696"/>
      <c r="F786" s="703"/>
      <c r="G786" s="703"/>
      <c r="H786" s="698"/>
      <c r="I786" s="697"/>
      <c r="J786" s="697"/>
      <c r="K786" s="697"/>
      <c r="L786" s="697"/>
      <c r="M786" s="697"/>
      <c r="N786" s="698"/>
      <c r="O786" s="697"/>
      <c r="P786" s="697"/>
      <c r="Q786" s="697"/>
      <c r="R786" s="697"/>
      <c r="S786" s="697"/>
      <c r="T786" s="697"/>
      <c r="U786" s="697"/>
      <c r="V786" s="697"/>
      <c r="W786" s="698"/>
      <c r="X786" s="698"/>
      <c r="Y786" s="697"/>
      <c r="Z786" s="697"/>
      <c r="AA786" s="697"/>
      <c r="AB786" s="697"/>
      <c r="AC786" s="697"/>
    </row>
    <row r="787" spans="1:29" x14ac:dyDescent="0.2">
      <c r="A787" s="694" t="str">
        <f>+Info!$B$2</f>
        <v>724</v>
      </c>
      <c r="B787" s="694" t="s">
        <v>6674</v>
      </c>
      <c r="C787" s="694" t="s">
        <v>6675</v>
      </c>
      <c r="D787" s="695" t="s">
        <v>6676</v>
      </c>
      <c r="E787" s="696"/>
      <c r="F787" s="703"/>
      <c r="G787" s="703"/>
      <c r="H787" s="698"/>
      <c r="I787" s="697"/>
      <c r="J787" s="697"/>
      <c r="K787" s="697"/>
      <c r="L787" s="697"/>
      <c r="M787" s="697"/>
      <c r="N787" s="698"/>
      <c r="O787" s="697"/>
      <c r="P787" s="697"/>
      <c r="Q787" s="697"/>
      <c r="R787" s="697"/>
      <c r="S787" s="697"/>
      <c r="T787" s="697"/>
      <c r="U787" s="697"/>
      <c r="V787" s="697"/>
      <c r="W787" s="698"/>
      <c r="X787" s="698"/>
      <c r="Y787" s="697"/>
      <c r="Z787" s="697"/>
      <c r="AA787" s="697"/>
      <c r="AB787" s="697"/>
      <c r="AC787" s="697"/>
    </row>
    <row r="788" spans="1:29" x14ac:dyDescent="0.2">
      <c r="A788" s="694" t="str">
        <f>+Info!$B$2</f>
        <v>724</v>
      </c>
      <c r="B788" s="694" t="s">
        <v>6677</v>
      </c>
      <c r="C788" s="694" t="s">
        <v>6678</v>
      </c>
      <c r="D788" s="695" t="s">
        <v>6679</v>
      </c>
      <c r="E788" s="696"/>
      <c r="F788" s="697"/>
      <c r="G788" s="697"/>
      <c r="H788" s="698"/>
      <c r="I788" s="697"/>
      <c r="J788" s="697"/>
      <c r="K788" s="698"/>
      <c r="L788" s="698"/>
      <c r="M788" s="698"/>
      <c r="N788" s="698"/>
      <c r="O788" s="697"/>
      <c r="P788" s="697"/>
      <c r="Q788" s="697"/>
      <c r="R788" s="697"/>
      <c r="S788" s="697"/>
      <c r="T788" s="697"/>
      <c r="U788" s="697"/>
      <c r="V788" s="697"/>
      <c r="W788" s="698"/>
      <c r="X788" s="698"/>
      <c r="Y788" s="697"/>
      <c r="Z788" s="697"/>
      <c r="AA788" s="697"/>
      <c r="AB788" s="697"/>
      <c r="AC788" s="697"/>
    </row>
    <row r="789" spans="1:29" x14ac:dyDescent="0.2">
      <c r="A789" s="694" t="str">
        <f>+Info!$B$2</f>
        <v>724</v>
      </c>
      <c r="B789" s="694" t="s">
        <v>6680</v>
      </c>
      <c r="C789" s="694" t="s">
        <v>6681</v>
      </c>
      <c r="D789" s="695" t="s">
        <v>6682</v>
      </c>
      <c r="E789" s="696"/>
      <c r="F789" s="697"/>
      <c r="G789" s="697"/>
      <c r="H789" s="698"/>
      <c r="I789" s="697"/>
      <c r="J789" s="697"/>
      <c r="K789" s="697"/>
      <c r="L789" s="697"/>
      <c r="M789" s="697"/>
      <c r="N789" s="698"/>
      <c r="O789" s="697"/>
      <c r="P789" s="697"/>
      <c r="Q789" s="697"/>
      <c r="R789" s="697"/>
      <c r="S789" s="697"/>
      <c r="T789" s="697"/>
      <c r="U789" s="697"/>
      <c r="V789" s="697"/>
      <c r="W789" s="698"/>
      <c r="X789" s="698"/>
      <c r="Y789" s="697"/>
      <c r="Z789" s="697"/>
      <c r="AA789" s="697"/>
      <c r="AB789" s="697"/>
      <c r="AC789" s="697"/>
    </row>
  </sheetData>
  <sheetCalcPr fullCalcOnLoad="1"/>
  <sheetProtection password="A01C" sheet="1" objects="1" scenarios="1"/>
  <autoFilter ref="C5:AB789"/>
  <mergeCells count="4">
    <mergeCell ref="F2:G2"/>
    <mergeCell ref="H2:N2"/>
    <mergeCell ref="O2:X2"/>
    <mergeCell ref="Y2:AA2"/>
  </mergeCells>
  <pageMargins left="0.70833333333333337" right="0.70833333333333337" top="0.74791666666666667" bottom="0.74791666666666667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2:AB789"/>
  <sheetViews>
    <sheetView showGridLines="0" zoomScaleSheetLayoutView="80" workbookViewId="0"/>
  </sheetViews>
  <sheetFormatPr defaultRowHeight="14.25" x14ac:dyDescent="0.2"/>
  <cols>
    <col min="1" max="1" width="5.5703125" style="671" customWidth="1"/>
    <col min="2" max="2" width="24.28515625" style="671" customWidth="1"/>
    <col min="3" max="3" width="23" style="671" customWidth="1"/>
    <col min="4" max="4" width="100.7109375" style="672" customWidth="1"/>
    <col min="5" max="5" width="9.140625" style="673"/>
    <col min="6" max="27" width="20.7109375" style="673" customWidth="1"/>
    <col min="28" max="28" width="27.7109375" style="673" customWidth="1"/>
    <col min="29" max="16384" width="9.140625" style="673"/>
  </cols>
  <sheetData>
    <row r="2" spans="1:28" s="676" customFormat="1" ht="38.25" customHeight="1" x14ac:dyDescent="0.2">
      <c r="A2" s="674"/>
      <c r="B2" s="674"/>
      <c r="C2" s="674"/>
      <c r="D2" s="675"/>
      <c r="F2" s="936" t="s">
        <v>2033</v>
      </c>
      <c r="G2" s="936"/>
      <c r="H2" s="936" t="s">
        <v>2043</v>
      </c>
      <c r="I2" s="936"/>
      <c r="J2" s="936"/>
      <c r="K2" s="936"/>
      <c r="L2" s="936"/>
      <c r="M2" s="936"/>
      <c r="N2" s="936"/>
      <c r="O2" s="936" t="s">
        <v>2180</v>
      </c>
      <c r="P2" s="936"/>
      <c r="Q2" s="936"/>
      <c r="R2" s="936"/>
      <c r="S2" s="936"/>
      <c r="T2" s="936"/>
      <c r="U2" s="936"/>
      <c r="V2" s="936"/>
      <c r="W2" s="936"/>
      <c r="X2" s="936" t="s">
        <v>2237</v>
      </c>
      <c r="Y2" s="936"/>
      <c r="Z2" s="936"/>
      <c r="AA2" s="677" t="s">
        <v>2252</v>
      </c>
      <c r="AB2" s="677" t="s">
        <v>2256</v>
      </c>
    </row>
    <row r="3" spans="1:28" s="676" customFormat="1" ht="51" x14ac:dyDescent="0.2">
      <c r="A3" s="674"/>
      <c r="B3" s="674"/>
      <c r="C3" s="674"/>
      <c r="D3" s="675"/>
      <c r="F3" s="678" t="s">
        <v>2036</v>
      </c>
      <c r="G3" s="678" t="s">
        <v>2039</v>
      </c>
      <c r="H3" s="678" t="s">
        <v>2048</v>
      </c>
      <c r="I3" s="678" t="s">
        <v>2053</v>
      </c>
      <c r="J3" s="678" t="s">
        <v>2058</v>
      </c>
      <c r="K3" s="678" t="s">
        <v>2063</v>
      </c>
      <c r="L3" s="678" t="s">
        <v>2071</v>
      </c>
      <c r="M3" s="678" t="s">
        <v>2076</v>
      </c>
      <c r="N3" s="678" t="s">
        <v>2076</v>
      </c>
      <c r="O3" s="437" t="s">
        <v>2188</v>
      </c>
      <c r="P3" s="437" t="s">
        <v>2191</v>
      </c>
      <c r="Q3" s="679" t="s">
        <v>2199</v>
      </c>
      <c r="R3" s="679" t="s">
        <v>2202</v>
      </c>
      <c r="S3" s="679" t="s">
        <v>2205</v>
      </c>
      <c r="T3" s="679" t="s">
        <v>2209</v>
      </c>
      <c r="U3" s="680" t="s">
        <v>2213</v>
      </c>
      <c r="V3" s="678" t="s">
        <v>2216</v>
      </c>
      <c r="W3" s="678" t="s">
        <v>2228</v>
      </c>
      <c r="X3" s="437" t="s">
        <v>2240</v>
      </c>
      <c r="Y3" s="437" t="s">
        <v>2243</v>
      </c>
      <c r="Z3" s="437" t="s">
        <v>2246</v>
      </c>
      <c r="AA3" s="678" t="s">
        <v>4398</v>
      </c>
      <c r="AB3" s="678" t="s">
        <v>4399</v>
      </c>
    </row>
    <row r="4" spans="1:28" s="676" customFormat="1" ht="15" x14ac:dyDescent="0.25">
      <c r="A4" s="674"/>
      <c r="B4" s="674"/>
      <c r="C4" s="674"/>
      <c r="D4" s="675"/>
      <c r="E4" s="681" t="s">
        <v>4400</v>
      </c>
      <c r="F4" s="682">
        <f t="shared" ref="F4:AB4" si="0">SUM(F7:F789)</f>
        <v>0</v>
      </c>
      <c r="G4" s="682">
        <f t="shared" si="0"/>
        <v>0</v>
      </c>
      <c r="H4" s="682">
        <f t="shared" si="0"/>
        <v>0</v>
      </c>
      <c r="I4" s="682">
        <f t="shared" si="0"/>
        <v>0</v>
      </c>
      <c r="J4" s="682">
        <f t="shared" si="0"/>
        <v>0</v>
      </c>
      <c r="K4" s="682">
        <f t="shared" si="0"/>
        <v>0</v>
      </c>
      <c r="L4" s="682">
        <f t="shared" si="0"/>
        <v>0</v>
      </c>
      <c r="M4" s="682">
        <f t="shared" si="0"/>
        <v>0</v>
      </c>
      <c r="N4" s="682">
        <f t="shared" si="0"/>
        <v>0</v>
      </c>
      <c r="O4" s="682">
        <f t="shared" si="0"/>
        <v>0</v>
      </c>
      <c r="P4" s="682">
        <f t="shared" si="0"/>
        <v>0</v>
      </c>
      <c r="Q4" s="682">
        <f t="shared" si="0"/>
        <v>0</v>
      </c>
      <c r="R4" s="682">
        <f t="shared" si="0"/>
        <v>0</v>
      </c>
      <c r="S4" s="682">
        <f t="shared" si="0"/>
        <v>0</v>
      </c>
      <c r="T4" s="682">
        <f t="shared" si="0"/>
        <v>0</v>
      </c>
      <c r="U4" s="682">
        <f t="shared" si="0"/>
        <v>0</v>
      </c>
      <c r="V4" s="682">
        <f t="shared" si="0"/>
        <v>0</v>
      </c>
      <c r="W4" s="682">
        <f t="shared" si="0"/>
        <v>0</v>
      </c>
      <c r="X4" s="682">
        <f t="shared" si="0"/>
        <v>0</v>
      </c>
      <c r="Y4" s="682">
        <f t="shared" si="0"/>
        <v>0</v>
      </c>
      <c r="Z4" s="682">
        <f t="shared" si="0"/>
        <v>0</v>
      </c>
      <c r="AA4" s="682">
        <f t="shared" si="0"/>
        <v>0</v>
      </c>
      <c r="AB4" s="682">
        <f t="shared" si="0"/>
        <v>0</v>
      </c>
    </row>
    <row r="5" spans="1:28" s="690" customFormat="1" ht="12.75" x14ac:dyDescent="0.2">
      <c r="A5" s="683" t="s">
        <v>4401</v>
      </c>
      <c r="B5" s="683" t="s">
        <v>4277</v>
      </c>
      <c r="C5" s="683" t="s">
        <v>6683</v>
      </c>
      <c r="D5" s="684" t="s">
        <v>4403</v>
      </c>
      <c r="E5" s="685" t="s">
        <v>2956</v>
      </c>
      <c r="F5" s="686" t="s">
        <v>2035</v>
      </c>
      <c r="G5" s="686" t="s">
        <v>2038</v>
      </c>
      <c r="H5" s="686" t="s">
        <v>2045</v>
      </c>
      <c r="I5" s="686" t="s">
        <v>2050</v>
      </c>
      <c r="J5" s="686" t="s">
        <v>2055</v>
      </c>
      <c r="K5" s="686" t="s">
        <v>2060</v>
      </c>
      <c r="L5" s="284" t="s">
        <v>2069</v>
      </c>
      <c r="M5" s="686" t="s">
        <v>2073</v>
      </c>
      <c r="N5" s="686" t="s">
        <v>2073</v>
      </c>
      <c r="O5" s="687" t="s">
        <v>2187</v>
      </c>
      <c r="P5" s="687" t="s">
        <v>2190</v>
      </c>
      <c r="Q5" s="688" t="s">
        <v>2197</v>
      </c>
      <c r="R5" s="688" t="s">
        <v>2201</v>
      </c>
      <c r="S5" s="688" t="s">
        <v>2204</v>
      </c>
      <c r="T5" s="688" t="s">
        <v>2207</v>
      </c>
      <c r="U5" s="688" t="s">
        <v>2211</v>
      </c>
      <c r="V5" s="687" t="s">
        <v>2215</v>
      </c>
      <c r="W5" s="124" t="s">
        <v>2226</v>
      </c>
      <c r="X5" s="686" t="s">
        <v>2239</v>
      </c>
      <c r="Y5" s="686" t="s">
        <v>2242</v>
      </c>
      <c r="Z5" s="686" t="s">
        <v>2245</v>
      </c>
      <c r="AA5" s="689" t="s">
        <v>2248</v>
      </c>
      <c r="AB5" s="79" t="s">
        <v>2254</v>
      </c>
    </row>
    <row r="6" spans="1:28" s="690" customFormat="1" ht="12.75" x14ac:dyDescent="0.2">
      <c r="A6" s="683"/>
      <c r="B6" s="683"/>
      <c r="C6" s="683"/>
      <c r="D6" s="684"/>
      <c r="E6" s="685"/>
      <c r="F6" s="686" t="s">
        <v>2034</v>
      </c>
      <c r="G6" s="686" t="s">
        <v>2037</v>
      </c>
      <c r="H6" s="686" t="s">
        <v>2044</v>
      </c>
      <c r="I6" s="686" t="s">
        <v>2049</v>
      </c>
      <c r="J6" s="686" t="s">
        <v>2054</v>
      </c>
      <c r="K6" s="686" t="s">
        <v>2059</v>
      </c>
      <c r="L6" s="686" t="s">
        <v>2068</v>
      </c>
      <c r="M6" s="686" t="s">
        <v>2072</v>
      </c>
      <c r="N6" s="686" t="s">
        <v>2072</v>
      </c>
      <c r="O6" s="686" t="s">
        <v>2186</v>
      </c>
      <c r="P6" s="686" t="s">
        <v>2189</v>
      </c>
      <c r="Q6" s="686" t="s">
        <v>2196</v>
      </c>
      <c r="R6" s="686" t="s">
        <v>2200</v>
      </c>
      <c r="S6" s="686" t="s">
        <v>2203</v>
      </c>
      <c r="T6" s="686" t="s">
        <v>2206</v>
      </c>
      <c r="U6" s="686" t="s">
        <v>2210</v>
      </c>
      <c r="V6" s="686" t="s">
        <v>2214</v>
      </c>
      <c r="W6" s="686" t="s">
        <v>2225</v>
      </c>
      <c r="X6" s="686" t="s">
        <v>2238</v>
      </c>
      <c r="Y6" s="686" t="s">
        <v>2241</v>
      </c>
      <c r="Z6" s="686" t="s">
        <v>2244</v>
      </c>
      <c r="AA6" s="686" t="s">
        <v>2247</v>
      </c>
      <c r="AB6" s="686" t="s">
        <v>2253</v>
      </c>
    </row>
    <row r="7" spans="1:28" ht="15" x14ac:dyDescent="0.25">
      <c r="A7" s="691" t="str">
        <f>+Info!$B$2</f>
        <v>724</v>
      </c>
      <c r="B7" s="691" t="s">
        <v>1910</v>
      </c>
      <c r="C7" s="691" t="s">
        <v>4404</v>
      </c>
      <c r="D7" s="692" t="s">
        <v>4405</v>
      </c>
      <c r="E7" s="693"/>
      <c r="F7" s="693"/>
      <c r="G7" s="693"/>
      <c r="H7" s="693"/>
      <c r="I7" s="693"/>
      <c r="J7" s="693"/>
      <c r="K7" s="693"/>
      <c r="L7" s="693"/>
      <c r="M7" s="693"/>
      <c r="N7" s="693"/>
      <c r="O7" s="693"/>
      <c r="P7" s="693"/>
      <c r="Q7" s="693"/>
      <c r="R7" s="693"/>
      <c r="S7" s="693"/>
      <c r="T7" s="693"/>
      <c r="U7" s="693"/>
      <c r="V7" s="693"/>
      <c r="W7" s="693"/>
      <c r="X7" s="693"/>
      <c r="Y7" s="693"/>
      <c r="Z7" s="693"/>
      <c r="AA7" s="693"/>
      <c r="AB7" s="693"/>
    </row>
    <row r="8" spans="1:28" ht="15" x14ac:dyDescent="0.25">
      <c r="A8" s="691" t="str">
        <f>+Info!$B$2</f>
        <v>724</v>
      </c>
      <c r="B8" s="691" t="s">
        <v>1913</v>
      </c>
      <c r="C8" s="691" t="s">
        <v>4406</v>
      </c>
      <c r="D8" s="692" t="s">
        <v>4407</v>
      </c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3"/>
      <c r="AA8" s="693"/>
      <c r="AB8" s="693"/>
    </row>
    <row r="9" spans="1:28" x14ac:dyDescent="0.2">
      <c r="A9" s="694" t="str">
        <f>+Info!$B$2</f>
        <v>724</v>
      </c>
      <c r="B9" s="694" t="s">
        <v>4408</v>
      </c>
      <c r="C9" s="694" t="s">
        <v>4409</v>
      </c>
      <c r="D9" s="695" t="s">
        <v>1141</v>
      </c>
      <c r="E9" s="696"/>
      <c r="F9" s="697"/>
      <c r="G9" s="697"/>
      <c r="H9" s="698"/>
      <c r="I9" s="697"/>
      <c r="J9" s="697"/>
      <c r="K9" s="697"/>
      <c r="L9" s="697"/>
      <c r="M9" s="697"/>
      <c r="N9" s="698"/>
      <c r="O9" s="697"/>
      <c r="P9" s="697"/>
      <c r="Q9" s="697"/>
      <c r="R9" s="697"/>
      <c r="S9" s="697"/>
      <c r="T9" s="697"/>
      <c r="U9" s="697"/>
      <c r="V9" s="698"/>
      <c r="W9" s="698"/>
      <c r="X9" s="697"/>
      <c r="Y9" s="697"/>
      <c r="Z9" s="697"/>
      <c r="AA9" s="697"/>
      <c r="AB9" s="697"/>
    </row>
    <row r="10" spans="1:28" x14ac:dyDescent="0.2">
      <c r="A10" s="694" t="str">
        <f>+Info!$B$2</f>
        <v>724</v>
      </c>
      <c r="B10" s="694" t="s">
        <v>4410</v>
      </c>
      <c r="C10" s="694" t="s">
        <v>4411</v>
      </c>
      <c r="D10" s="695" t="s">
        <v>1152</v>
      </c>
      <c r="E10" s="696"/>
      <c r="F10" s="697"/>
      <c r="G10" s="697"/>
      <c r="H10" s="698"/>
      <c r="I10" s="697"/>
      <c r="J10" s="697"/>
      <c r="K10" s="697"/>
      <c r="L10" s="697"/>
      <c r="M10" s="697"/>
      <c r="N10" s="698"/>
      <c r="O10" s="697"/>
      <c r="P10" s="697"/>
      <c r="Q10" s="697"/>
      <c r="R10" s="697"/>
      <c r="S10" s="697"/>
      <c r="T10" s="697"/>
      <c r="U10" s="697"/>
      <c r="V10" s="698"/>
      <c r="W10" s="698"/>
      <c r="X10" s="697"/>
      <c r="Y10" s="697"/>
      <c r="Z10" s="697"/>
      <c r="AA10" s="697"/>
      <c r="AB10" s="697"/>
    </row>
    <row r="11" spans="1:28" x14ac:dyDescent="0.2">
      <c r="A11" s="694" t="str">
        <f>+Info!$B$2</f>
        <v>724</v>
      </c>
      <c r="B11" s="694" t="s">
        <v>4412</v>
      </c>
      <c r="C11" s="694" t="s">
        <v>4413</v>
      </c>
      <c r="D11" s="695" t="s">
        <v>1155</v>
      </c>
      <c r="E11" s="696"/>
      <c r="F11" s="697"/>
      <c r="G11" s="697"/>
      <c r="H11" s="698"/>
      <c r="I11" s="697"/>
      <c r="J11" s="697"/>
      <c r="K11" s="697"/>
      <c r="L11" s="697"/>
      <c r="M11" s="697"/>
      <c r="N11" s="698"/>
      <c r="O11" s="697"/>
      <c r="P11" s="697"/>
      <c r="Q11" s="697"/>
      <c r="R11" s="697"/>
      <c r="S11" s="697"/>
      <c r="T11" s="697"/>
      <c r="U11" s="697"/>
      <c r="V11" s="698"/>
      <c r="W11" s="698"/>
      <c r="X11" s="697"/>
      <c r="Y11" s="697"/>
      <c r="Z11" s="697"/>
      <c r="AA11" s="697"/>
      <c r="AB11" s="697"/>
    </row>
    <row r="12" spans="1:28" x14ac:dyDescent="0.2">
      <c r="A12" s="694" t="str">
        <f>+Info!$B$2</f>
        <v>724</v>
      </c>
      <c r="B12" s="694" t="s">
        <v>4414</v>
      </c>
      <c r="C12" s="694" t="s">
        <v>4415</v>
      </c>
      <c r="D12" s="695" t="s">
        <v>1158</v>
      </c>
      <c r="E12" s="696"/>
      <c r="F12" s="697"/>
      <c r="G12" s="697"/>
      <c r="H12" s="698"/>
      <c r="I12" s="697"/>
      <c r="J12" s="697"/>
      <c r="K12" s="697"/>
      <c r="L12" s="697"/>
      <c r="M12" s="697"/>
      <c r="N12" s="698"/>
      <c r="O12" s="697"/>
      <c r="P12" s="697"/>
      <c r="Q12" s="697"/>
      <c r="R12" s="697"/>
      <c r="S12" s="697"/>
      <c r="T12" s="697"/>
      <c r="U12" s="697"/>
      <c r="V12" s="698"/>
      <c r="W12" s="698"/>
      <c r="X12" s="697"/>
      <c r="Y12" s="697"/>
      <c r="Z12" s="697"/>
      <c r="AA12" s="697"/>
      <c r="AB12" s="697"/>
    </row>
    <row r="13" spans="1:28" x14ac:dyDescent="0.2">
      <c r="A13" s="694" t="str">
        <f>+Info!$B$2</f>
        <v>724</v>
      </c>
      <c r="B13" s="694" t="s">
        <v>4416</v>
      </c>
      <c r="C13" s="694" t="s">
        <v>4417</v>
      </c>
      <c r="D13" s="695" t="s">
        <v>1161</v>
      </c>
      <c r="E13" s="696"/>
      <c r="F13" s="697"/>
      <c r="G13" s="697"/>
      <c r="H13" s="698"/>
      <c r="I13" s="697"/>
      <c r="J13" s="697"/>
      <c r="K13" s="697"/>
      <c r="L13" s="697"/>
      <c r="M13" s="697"/>
      <c r="N13" s="698"/>
      <c r="O13" s="697"/>
      <c r="P13" s="697"/>
      <c r="Q13" s="697"/>
      <c r="R13" s="697"/>
      <c r="S13" s="697"/>
      <c r="T13" s="697"/>
      <c r="U13" s="697"/>
      <c r="V13" s="698"/>
      <c r="W13" s="698"/>
      <c r="X13" s="697"/>
      <c r="Y13" s="697"/>
      <c r="Z13" s="697"/>
      <c r="AA13" s="697"/>
      <c r="AB13" s="697"/>
    </row>
    <row r="14" spans="1:28" x14ac:dyDescent="0.2">
      <c r="A14" s="694" t="str">
        <f>+Info!$B$2</f>
        <v>724</v>
      </c>
      <c r="B14" s="694" t="s">
        <v>4418</v>
      </c>
      <c r="C14" s="694" t="s">
        <v>4419</v>
      </c>
      <c r="D14" s="695" t="s">
        <v>1164</v>
      </c>
      <c r="E14" s="696"/>
      <c r="F14" s="697"/>
      <c r="G14" s="697"/>
      <c r="H14" s="698"/>
      <c r="I14" s="697"/>
      <c r="J14" s="697"/>
      <c r="K14" s="697"/>
      <c r="L14" s="697"/>
      <c r="M14" s="697"/>
      <c r="N14" s="698"/>
      <c r="O14" s="697"/>
      <c r="P14" s="697"/>
      <c r="Q14" s="697"/>
      <c r="R14" s="697"/>
      <c r="S14" s="697"/>
      <c r="T14" s="697"/>
      <c r="U14" s="697"/>
      <c r="V14" s="698"/>
      <c r="W14" s="698"/>
      <c r="X14" s="697"/>
      <c r="Y14" s="697"/>
      <c r="Z14" s="697"/>
      <c r="AA14" s="697"/>
      <c r="AB14" s="697"/>
    </row>
    <row r="15" spans="1:28" x14ac:dyDescent="0.2">
      <c r="A15" s="694" t="str">
        <f>+Info!$B$2</f>
        <v>724</v>
      </c>
      <c r="B15" s="694" t="s">
        <v>4420</v>
      </c>
      <c r="C15" s="694" t="s">
        <v>4421</v>
      </c>
      <c r="D15" s="695" t="s">
        <v>1167</v>
      </c>
      <c r="E15" s="696"/>
      <c r="F15" s="697"/>
      <c r="G15" s="697"/>
      <c r="H15" s="698"/>
      <c r="I15" s="697"/>
      <c r="J15" s="697"/>
      <c r="K15" s="697"/>
      <c r="L15" s="697"/>
      <c r="M15" s="697"/>
      <c r="N15" s="698"/>
      <c r="O15" s="697"/>
      <c r="P15" s="697"/>
      <c r="Q15" s="697"/>
      <c r="R15" s="697"/>
      <c r="S15" s="697"/>
      <c r="T15" s="697"/>
      <c r="U15" s="697"/>
      <c r="V15" s="698"/>
      <c r="W15" s="698"/>
      <c r="X15" s="697"/>
      <c r="Y15" s="697"/>
      <c r="Z15" s="697"/>
      <c r="AA15" s="697"/>
      <c r="AB15" s="697"/>
    </row>
    <row r="16" spans="1:28" x14ac:dyDescent="0.2">
      <c r="A16" s="694" t="str">
        <f>+Info!$B$2</f>
        <v>724</v>
      </c>
      <c r="B16" s="694" t="s">
        <v>4422</v>
      </c>
      <c r="C16" s="694" t="s">
        <v>4423</v>
      </c>
      <c r="D16" s="695" t="s">
        <v>1170</v>
      </c>
      <c r="E16" s="696"/>
      <c r="F16" s="697"/>
      <c r="G16" s="697"/>
      <c r="H16" s="698"/>
      <c r="I16" s="697"/>
      <c r="J16" s="697"/>
      <c r="K16" s="697"/>
      <c r="L16" s="697"/>
      <c r="M16" s="697"/>
      <c r="N16" s="698"/>
      <c r="O16" s="697"/>
      <c r="P16" s="697"/>
      <c r="Q16" s="697"/>
      <c r="R16" s="697"/>
      <c r="S16" s="697"/>
      <c r="T16" s="697"/>
      <c r="U16" s="697"/>
      <c r="V16" s="698"/>
      <c r="W16" s="698"/>
      <c r="X16" s="697"/>
      <c r="Y16" s="697"/>
      <c r="Z16" s="697"/>
      <c r="AA16" s="697"/>
      <c r="AB16" s="697"/>
    </row>
    <row r="17" spans="1:28" x14ac:dyDescent="0.2">
      <c r="A17" s="694" t="str">
        <f>+Info!$B$2</f>
        <v>724</v>
      </c>
      <c r="B17" s="694" t="s">
        <v>4424</v>
      </c>
      <c r="C17" s="694" t="s">
        <v>4425</v>
      </c>
      <c r="D17" s="695" t="s">
        <v>1173</v>
      </c>
      <c r="E17" s="696"/>
      <c r="F17" s="697"/>
      <c r="G17" s="697"/>
      <c r="H17" s="698"/>
      <c r="I17" s="697"/>
      <c r="J17" s="697"/>
      <c r="K17" s="697"/>
      <c r="L17" s="697"/>
      <c r="M17" s="697"/>
      <c r="N17" s="698"/>
      <c r="O17" s="697"/>
      <c r="P17" s="697"/>
      <c r="Q17" s="697"/>
      <c r="R17" s="697"/>
      <c r="S17" s="697"/>
      <c r="T17" s="697"/>
      <c r="U17" s="697"/>
      <c r="V17" s="698"/>
      <c r="W17" s="698"/>
      <c r="X17" s="697"/>
      <c r="Y17" s="697"/>
      <c r="Z17" s="697"/>
      <c r="AA17" s="697"/>
      <c r="AB17" s="697"/>
    </row>
    <row r="18" spans="1:28" x14ac:dyDescent="0.2">
      <c r="A18" s="694" t="str">
        <f>+Info!$B$2</f>
        <v>724</v>
      </c>
      <c r="B18" s="694" t="s">
        <v>4426</v>
      </c>
      <c r="C18" s="694" t="s">
        <v>4427</v>
      </c>
      <c r="D18" s="695" t="s">
        <v>1176</v>
      </c>
      <c r="E18" s="696"/>
      <c r="F18" s="697"/>
      <c r="G18" s="697"/>
      <c r="H18" s="698"/>
      <c r="I18" s="697"/>
      <c r="J18" s="697"/>
      <c r="K18" s="697"/>
      <c r="L18" s="697"/>
      <c r="M18" s="697"/>
      <c r="N18" s="698"/>
      <c r="O18" s="697"/>
      <c r="P18" s="697"/>
      <c r="Q18" s="697"/>
      <c r="R18" s="697"/>
      <c r="S18" s="697"/>
      <c r="T18" s="697"/>
      <c r="U18" s="697"/>
      <c r="V18" s="698"/>
      <c r="W18" s="698"/>
      <c r="X18" s="697"/>
      <c r="Y18" s="697"/>
      <c r="Z18" s="697"/>
      <c r="AA18" s="697"/>
      <c r="AB18" s="697"/>
    </row>
    <row r="19" spans="1:28" x14ac:dyDescent="0.2">
      <c r="A19" s="694" t="str">
        <f>+Info!$B$2</f>
        <v>724</v>
      </c>
      <c r="B19" s="694" t="s">
        <v>4428</v>
      </c>
      <c r="C19" s="694" t="s">
        <v>4429</v>
      </c>
      <c r="D19" s="695" t="s">
        <v>1179</v>
      </c>
      <c r="E19" s="696"/>
      <c r="F19" s="697"/>
      <c r="G19" s="697"/>
      <c r="H19" s="698"/>
      <c r="I19" s="697"/>
      <c r="J19" s="697"/>
      <c r="K19" s="697"/>
      <c r="L19" s="697"/>
      <c r="M19" s="697"/>
      <c r="N19" s="698"/>
      <c r="O19" s="697"/>
      <c r="P19" s="697"/>
      <c r="Q19" s="697"/>
      <c r="R19" s="697"/>
      <c r="S19" s="697"/>
      <c r="T19" s="697"/>
      <c r="U19" s="697"/>
      <c r="V19" s="698"/>
      <c r="W19" s="698"/>
      <c r="X19" s="697"/>
      <c r="Y19" s="697"/>
      <c r="Z19" s="697"/>
      <c r="AA19" s="697"/>
      <c r="AB19" s="697"/>
    </row>
    <row r="20" spans="1:28" x14ac:dyDescent="0.2">
      <c r="A20" s="694" t="str">
        <f>+Info!$B$2</f>
        <v>724</v>
      </c>
      <c r="B20" s="694" t="s">
        <v>4430</v>
      </c>
      <c r="C20" s="694" t="s">
        <v>4431</v>
      </c>
      <c r="D20" s="695" t="s">
        <v>1182</v>
      </c>
      <c r="E20" s="696"/>
      <c r="F20" s="697"/>
      <c r="G20" s="697"/>
      <c r="H20" s="698"/>
      <c r="I20" s="697"/>
      <c r="J20" s="697"/>
      <c r="K20" s="697"/>
      <c r="L20" s="697"/>
      <c r="M20" s="697"/>
      <c r="N20" s="698"/>
      <c r="O20" s="697"/>
      <c r="P20" s="697"/>
      <c r="Q20" s="697"/>
      <c r="R20" s="697"/>
      <c r="S20" s="697"/>
      <c r="T20" s="697"/>
      <c r="U20" s="697"/>
      <c r="V20" s="698"/>
      <c r="W20" s="698"/>
      <c r="X20" s="697"/>
      <c r="Y20" s="697"/>
      <c r="Z20" s="697"/>
      <c r="AA20" s="697"/>
      <c r="AB20" s="697"/>
    </row>
    <row r="21" spans="1:28" x14ac:dyDescent="0.2">
      <c r="A21" s="694" t="str">
        <f>+Info!$B$2</f>
        <v>724</v>
      </c>
      <c r="B21" s="694" t="s">
        <v>4432</v>
      </c>
      <c r="C21" s="694" t="s">
        <v>4433</v>
      </c>
      <c r="D21" s="695" t="s">
        <v>1185</v>
      </c>
      <c r="E21" s="696"/>
      <c r="F21" s="697"/>
      <c r="G21" s="697"/>
      <c r="H21" s="698"/>
      <c r="I21" s="697"/>
      <c r="J21" s="697"/>
      <c r="K21" s="697"/>
      <c r="L21" s="697"/>
      <c r="M21" s="697"/>
      <c r="N21" s="698"/>
      <c r="O21" s="697"/>
      <c r="P21" s="697"/>
      <c r="Q21" s="697"/>
      <c r="R21" s="697"/>
      <c r="S21" s="697"/>
      <c r="T21" s="697"/>
      <c r="U21" s="697"/>
      <c r="V21" s="698"/>
      <c r="W21" s="698"/>
      <c r="X21" s="697"/>
      <c r="Y21" s="697"/>
      <c r="Z21" s="697"/>
      <c r="AA21" s="697"/>
      <c r="AB21" s="697"/>
    </row>
    <row r="22" spans="1:28" x14ac:dyDescent="0.2">
      <c r="A22" s="694" t="str">
        <f>+Info!$B$2</f>
        <v>724</v>
      </c>
      <c r="B22" s="694" t="s">
        <v>4434</v>
      </c>
      <c r="C22" s="694" t="s">
        <v>4435</v>
      </c>
      <c r="D22" s="695" t="s">
        <v>1188</v>
      </c>
      <c r="E22" s="696"/>
      <c r="F22" s="697"/>
      <c r="G22" s="697"/>
      <c r="H22" s="698"/>
      <c r="I22" s="697"/>
      <c r="J22" s="697"/>
      <c r="K22" s="697"/>
      <c r="L22" s="697"/>
      <c r="M22" s="697"/>
      <c r="N22" s="698"/>
      <c r="O22" s="697"/>
      <c r="P22" s="697"/>
      <c r="Q22" s="697"/>
      <c r="R22" s="697"/>
      <c r="S22" s="697"/>
      <c r="T22" s="697"/>
      <c r="U22" s="697"/>
      <c r="V22" s="698"/>
      <c r="W22" s="698"/>
      <c r="X22" s="697"/>
      <c r="Y22" s="697"/>
      <c r="Z22" s="697"/>
      <c r="AA22" s="697"/>
      <c r="AB22" s="697"/>
    </row>
    <row r="23" spans="1:28" x14ac:dyDescent="0.2">
      <c r="A23" s="694" t="str">
        <f>+Info!$B$2</f>
        <v>724</v>
      </c>
      <c r="B23" s="694" t="s">
        <v>4436</v>
      </c>
      <c r="C23" s="694" t="s">
        <v>4437</v>
      </c>
      <c r="D23" s="699" t="s">
        <v>1191</v>
      </c>
      <c r="E23" s="696"/>
      <c r="F23" s="697"/>
      <c r="G23" s="697"/>
      <c r="H23" s="698"/>
      <c r="I23" s="697"/>
      <c r="J23" s="697"/>
      <c r="K23" s="697"/>
      <c r="L23" s="697"/>
      <c r="M23" s="697"/>
      <c r="N23" s="698"/>
      <c r="O23" s="697"/>
      <c r="P23" s="697"/>
      <c r="Q23" s="697"/>
      <c r="R23" s="697"/>
      <c r="S23" s="697"/>
      <c r="T23" s="697"/>
      <c r="U23" s="697"/>
      <c r="V23" s="698"/>
      <c r="W23" s="698"/>
      <c r="X23" s="697"/>
      <c r="Y23" s="697"/>
      <c r="Z23" s="697"/>
      <c r="AA23" s="697"/>
      <c r="AB23" s="697"/>
    </row>
    <row r="24" spans="1:28" x14ac:dyDescent="0.2">
      <c r="A24" s="694" t="str">
        <f>+Info!$B$2</f>
        <v>724</v>
      </c>
      <c r="B24" s="694" t="s">
        <v>4438</v>
      </c>
      <c r="C24" s="694" t="s">
        <v>4439</v>
      </c>
      <c r="D24" s="695" t="s">
        <v>1194</v>
      </c>
      <c r="E24" s="696"/>
      <c r="F24" s="697"/>
      <c r="G24" s="697"/>
      <c r="H24" s="698"/>
      <c r="I24" s="697"/>
      <c r="J24" s="697"/>
      <c r="K24" s="697"/>
      <c r="L24" s="697"/>
      <c r="M24" s="697"/>
      <c r="N24" s="698"/>
      <c r="O24" s="697"/>
      <c r="P24" s="697"/>
      <c r="Q24" s="697"/>
      <c r="R24" s="697"/>
      <c r="S24" s="697"/>
      <c r="T24" s="697"/>
      <c r="U24" s="697"/>
      <c r="V24" s="698"/>
      <c r="W24" s="698"/>
      <c r="X24" s="697"/>
      <c r="Y24" s="697"/>
      <c r="Z24" s="697"/>
      <c r="AA24" s="697"/>
      <c r="AB24" s="697"/>
    </row>
    <row r="25" spans="1:28" ht="25.5" x14ac:dyDescent="0.2">
      <c r="A25" s="694" t="str">
        <f>+Info!$B$2</f>
        <v>724</v>
      </c>
      <c r="B25" s="694" t="s">
        <v>4440</v>
      </c>
      <c r="C25" s="694" t="s">
        <v>4441</v>
      </c>
      <c r="D25" s="699" t="s">
        <v>1197</v>
      </c>
      <c r="E25" s="696"/>
      <c r="F25" s="697"/>
      <c r="G25" s="697"/>
      <c r="H25" s="698"/>
      <c r="I25" s="697"/>
      <c r="J25" s="697"/>
      <c r="K25" s="697"/>
      <c r="L25" s="697"/>
      <c r="M25" s="697"/>
      <c r="N25" s="698"/>
      <c r="O25" s="697"/>
      <c r="P25" s="697"/>
      <c r="Q25" s="697"/>
      <c r="R25" s="697"/>
      <c r="S25" s="697"/>
      <c r="T25" s="697"/>
      <c r="U25" s="697"/>
      <c r="V25" s="698"/>
      <c r="W25" s="698"/>
      <c r="X25" s="697"/>
      <c r="Y25" s="697"/>
      <c r="Z25" s="697"/>
      <c r="AA25" s="697"/>
      <c r="AB25" s="697"/>
    </row>
    <row r="26" spans="1:28" ht="25.5" x14ac:dyDescent="0.2">
      <c r="A26" s="694" t="str">
        <f>+Info!$B$2</f>
        <v>724</v>
      </c>
      <c r="B26" s="694" t="s">
        <v>4442</v>
      </c>
      <c r="C26" s="694" t="s">
        <v>4443</v>
      </c>
      <c r="D26" s="699" t="s">
        <v>1200</v>
      </c>
      <c r="E26" s="696"/>
      <c r="F26" s="697"/>
      <c r="G26" s="697"/>
      <c r="H26" s="698"/>
      <c r="I26" s="697"/>
      <c r="J26" s="697"/>
      <c r="K26" s="697"/>
      <c r="L26" s="697"/>
      <c r="M26" s="697"/>
      <c r="N26" s="698"/>
      <c r="O26" s="697"/>
      <c r="P26" s="697"/>
      <c r="Q26" s="697"/>
      <c r="R26" s="697"/>
      <c r="S26" s="697"/>
      <c r="T26" s="697"/>
      <c r="U26" s="697"/>
      <c r="V26" s="698"/>
      <c r="W26" s="698"/>
      <c r="X26" s="697"/>
      <c r="Y26" s="697"/>
      <c r="Z26" s="697"/>
      <c r="AA26" s="697"/>
      <c r="AB26" s="697"/>
    </row>
    <row r="27" spans="1:28" ht="25.5" x14ac:dyDescent="0.2">
      <c r="A27" s="694" t="str">
        <f>+Info!$B$2</f>
        <v>724</v>
      </c>
      <c r="B27" s="694" t="s">
        <v>4444</v>
      </c>
      <c r="C27" s="694" t="s">
        <v>4445</v>
      </c>
      <c r="D27" s="699" t="s">
        <v>1203</v>
      </c>
      <c r="E27" s="696"/>
      <c r="F27" s="697"/>
      <c r="G27" s="697"/>
      <c r="H27" s="698"/>
      <c r="I27" s="697"/>
      <c r="J27" s="697"/>
      <c r="K27" s="697"/>
      <c r="L27" s="697"/>
      <c r="M27" s="697"/>
      <c r="N27" s="698"/>
      <c r="O27" s="697"/>
      <c r="P27" s="697"/>
      <c r="Q27" s="697"/>
      <c r="R27" s="697"/>
      <c r="S27" s="697"/>
      <c r="T27" s="697"/>
      <c r="U27" s="697"/>
      <c r="V27" s="698"/>
      <c r="W27" s="698"/>
      <c r="X27" s="697"/>
      <c r="Y27" s="697"/>
      <c r="Z27" s="697"/>
      <c r="AA27" s="697"/>
      <c r="AB27" s="697"/>
    </row>
    <row r="28" spans="1:28" x14ac:dyDescent="0.2">
      <c r="A28" s="694" t="str">
        <f>+Info!$B$2</f>
        <v>724</v>
      </c>
      <c r="B28" s="694" t="s">
        <v>4446</v>
      </c>
      <c r="C28" s="694" t="s">
        <v>4447</v>
      </c>
      <c r="D28" s="695" t="s">
        <v>1206</v>
      </c>
      <c r="E28" s="696"/>
      <c r="F28" s="697"/>
      <c r="G28" s="697"/>
      <c r="H28" s="698"/>
      <c r="I28" s="697"/>
      <c r="J28" s="697"/>
      <c r="K28" s="697"/>
      <c r="L28" s="697"/>
      <c r="M28" s="697"/>
      <c r="N28" s="698"/>
      <c r="O28" s="697"/>
      <c r="P28" s="697"/>
      <c r="Q28" s="697"/>
      <c r="R28" s="697"/>
      <c r="S28" s="697"/>
      <c r="T28" s="697"/>
      <c r="U28" s="697"/>
      <c r="V28" s="698"/>
      <c r="W28" s="698"/>
      <c r="X28" s="697"/>
      <c r="Y28" s="697"/>
      <c r="Z28" s="697"/>
      <c r="AA28" s="697"/>
      <c r="AB28" s="697"/>
    </row>
    <row r="29" spans="1:28" x14ac:dyDescent="0.2">
      <c r="A29" s="694" t="str">
        <f>+Info!$B$2</f>
        <v>724</v>
      </c>
      <c r="B29" s="694" t="s">
        <v>4448</v>
      </c>
      <c r="C29" s="694" t="s">
        <v>4449</v>
      </c>
      <c r="D29" s="695" t="s">
        <v>1209</v>
      </c>
      <c r="E29" s="696"/>
      <c r="F29" s="697"/>
      <c r="G29" s="697"/>
      <c r="H29" s="698"/>
      <c r="I29" s="697"/>
      <c r="J29" s="697"/>
      <c r="K29" s="697"/>
      <c r="L29" s="697"/>
      <c r="M29" s="697"/>
      <c r="N29" s="698"/>
      <c r="O29" s="697"/>
      <c r="P29" s="697"/>
      <c r="Q29" s="697"/>
      <c r="R29" s="697"/>
      <c r="S29" s="697"/>
      <c r="T29" s="697"/>
      <c r="U29" s="697"/>
      <c r="V29" s="698"/>
      <c r="W29" s="698"/>
      <c r="X29" s="697"/>
      <c r="Y29" s="697"/>
      <c r="Z29" s="697"/>
      <c r="AA29" s="697"/>
      <c r="AB29" s="697"/>
    </row>
    <row r="30" spans="1:28" x14ac:dyDescent="0.2">
      <c r="A30" s="694" t="str">
        <f>+Info!$B$2</f>
        <v>724</v>
      </c>
      <c r="B30" s="694" t="s">
        <v>4450</v>
      </c>
      <c r="C30" s="694" t="s">
        <v>4451</v>
      </c>
      <c r="D30" s="695" t="s">
        <v>1213</v>
      </c>
      <c r="E30" s="696"/>
      <c r="F30" s="697"/>
      <c r="G30" s="697"/>
      <c r="H30" s="698"/>
      <c r="I30" s="697"/>
      <c r="J30" s="697"/>
      <c r="K30" s="697"/>
      <c r="L30" s="697"/>
      <c r="M30" s="697"/>
      <c r="N30" s="698"/>
      <c r="O30" s="697"/>
      <c r="P30" s="697"/>
      <c r="Q30" s="697"/>
      <c r="R30" s="697"/>
      <c r="S30" s="697"/>
      <c r="T30" s="697"/>
      <c r="U30" s="697"/>
      <c r="V30" s="698"/>
      <c r="W30" s="698"/>
      <c r="X30" s="697"/>
      <c r="Y30" s="697"/>
      <c r="Z30" s="697"/>
      <c r="AA30" s="697"/>
      <c r="AB30" s="697"/>
    </row>
    <row r="31" spans="1:28" x14ac:dyDescent="0.2">
      <c r="A31" s="694" t="str">
        <f>+Info!$B$2</f>
        <v>724</v>
      </c>
      <c r="B31" s="694" t="s">
        <v>4452</v>
      </c>
      <c r="C31" s="694" t="s">
        <v>4453</v>
      </c>
      <c r="D31" s="695" t="s">
        <v>1217</v>
      </c>
      <c r="E31" s="696"/>
      <c r="F31" s="697"/>
      <c r="G31" s="697"/>
      <c r="H31" s="698"/>
      <c r="I31" s="697"/>
      <c r="J31" s="697"/>
      <c r="K31" s="697"/>
      <c r="L31" s="697"/>
      <c r="M31" s="697"/>
      <c r="N31" s="698"/>
      <c r="O31" s="697"/>
      <c r="P31" s="697"/>
      <c r="Q31" s="697"/>
      <c r="R31" s="697"/>
      <c r="S31" s="697"/>
      <c r="T31" s="697"/>
      <c r="U31" s="697"/>
      <c r="V31" s="698"/>
      <c r="W31" s="698"/>
      <c r="X31" s="697"/>
      <c r="Y31" s="697"/>
      <c r="Z31" s="697"/>
      <c r="AA31" s="697"/>
      <c r="AB31" s="697"/>
    </row>
    <row r="32" spans="1:28" x14ac:dyDescent="0.2">
      <c r="A32" s="694" t="str">
        <f>+Info!$B$2</f>
        <v>724</v>
      </c>
      <c r="B32" s="694" t="s">
        <v>4454</v>
      </c>
      <c r="C32" s="694" t="s">
        <v>4455</v>
      </c>
      <c r="D32" s="695" t="s">
        <v>1220</v>
      </c>
      <c r="E32" s="696"/>
      <c r="F32" s="697"/>
      <c r="G32" s="697"/>
      <c r="H32" s="698"/>
      <c r="I32" s="697"/>
      <c r="J32" s="697"/>
      <c r="K32" s="697"/>
      <c r="L32" s="697"/>
      <c r="M32" s="697"/>
      <c r="N32" s="698"/>
      <c r="O32" s="697"/>
      <c r="P32" s="697"/>
      <c r="Q32" s="697"/>
      <c r="R32" s="697"/>
      <c r="S32" s="697"/>
      <c r="T32" s="697"/>
      <c r="U32" s="697"/>
      <c r="V32" s="698"/>
      <c r="W32" s="698"/>
      <c r="X32" s="697"/>
      <c r="Y32" s="697"/>
      <c r="Z32" s="697"/>
      <c r="AA32" s="697"/>
      <c r="AB32" s="697"/>
    </row>
    <row r="33" spans="1:28" x14ac:dyDescent="0.2">
      <c r="A33" s="694" t="str">
        <f>+Info!$B$2</f>
        <v>724</v>
      </c>
      <c r="B33" s="694" t="s">
        <v>4456</v>
      </c>
      <c r="C33" s="694" t="s">
        <v>4457</v>
      </c>
      <c r="D33" s="695" t="s">
        <v>1224</v>
      </c>
      <c r="E33" s="696"/>
      <c r="F33" s="697"/>
      <c r="G33" s="697"/>
      <c r="H33" s="698"/>
      <c r="I33" s="697"/>
      <c r="J33" s="697"/>
      <c r="K33" s="697"/>
      <c r="L33" s="697"/>
      <c r="M33" s="697"/>
      <c r="N33" s="698"/>
      <c r="O33" s="697"/>
      <c r="P33" s="697"/>
      <c r="Q33" s="697"/>
      <c r="R33" s="697"/>
      <c r="S33" s="697"/>
      <c r="T33" s="697"/>
      <c r="U33" s="697"/>
      <c r="V33" s="698"/>
      <c r="W33" s="698"/>
      <c r="X33" s="697"/>
      <c r="Y33" s="697"/>
      <c r="Z33" s="697"/>
      <c r="AA33" s="697"/>
      <c r="AB33" s="697"/>
    </row>
    <row r="34" spans="1:28" ht="25.5" x14ac:dyDescent="0.2">
      <c r="A34" s="694" t="str">
        <f>+Info!$B$2</f>
        <v>724</v>
      </c>
      <c r="B34" s="694" t="s">
        <v>4458</v>
      </c>
      <c r="C34" s="694" t="s">
        <v>4459</v>
      </c>
      <c r="D34" s="695" t="s">
        <v>1227</v>
      </c>
      <c r="E34" s="696"/>
      <c r="F34" s="697"/>
      <c r="G34" s="697"/>
      <c r="H34" s="698"/>
      <c r="I34" s="697"/>
      <c r="J34" s="697"/>
      <c r="K34" s="697"/>
      <c r="L34" s="697"/>
      <c r="M34" s="697"/>
      <c r="N34" s="698"/>
      <c r="O34" s="697"/>
      <c r="P34" s="697"/>
      <c r="Q34" s="697"/>
      <c r="R34" s="697"/>
      <c r="S34" s="697"/>
      <c r="T34" s="697"/>
      <c r="U34" s="697"/>
      <c r="V34" s="698"/>
      <c r="W34" s="698"/>
      <c r="X34" s="697"/>
      <c r="Y34" s="697"/>
      <c r="Z34" s="697"/>
      <c r="AA34" s="697"/>
      <c r="AB34" s="697"/>
    </row>
    <row r="35" spans="1:28" x14ac:dyDescent="0.2">
      <c r="A35" s="694" t="str">
        <f>+Info!$B$2</f>
        <v>724</v>
      </c>
      <c r="B35" s="694" t="s">
        <v>4460</v>
      </c>
      <c r="C35" s="694" t="s">
        <v>4461</v>
      </c>
      <c r="D35" s="695" t="s">
        <v>1230</v>
      </c>
      <c r="E35" s="696"/>
      <c r="F35" s="697"/>
      <c r="G35" s="697"/>
      <c r="H35" s="698"/>
      <c r="I35" s="697"/>
      <c r="J35" s="697"/>
      <c r="K35" s="697"/>
      <c r="L35" s="697"/>
      <c r="M35" s="697"/>
      <c r="N35" s="698"/>
      <c r="O35" s="697"/>
      <c r="P35" s="697"/>
      <c r="Q35" s="697"/>
      <c r="R35" s="697"/>
      <c r="S35" s="697"/>
      <c r="T35" s="697"/>
      <c r="U35" s="697"/>
      <c r="V35" s="698"/>
      <c r="W35" s="698"/>
      <c r="X35" s="697"/>
      <c r="Y35" s="697"/>
      <c r="Z35" s="697"/>
      <c r="AA35" s="697"/>
      <c r="AB35" s="697"/>
    </row>
    <row r="36" spans="1:28" x14ac:dyDescent="0.2">
      <c r="A36" s="694" t="str">
        <f>+Info!$B$2</f>
        <v>724</v>
      </c>
      <c r="B36" s="694" t="s">
        <v>4462</v>
      </c>
      <c r="C36" s="694" t="s">
        <v>4463</v>
      </c>
      <c r="D36" s="700" t="s">
        <v>1233</v>
      </c>
      <c r="E36" s="696"/>
      <c r="F36" s="697"/>
      <c r="G36" s="697"/>
      <c r="H36" s="698"/>
      <c r="I36" s="697"/>
      <c r="J36" s="697"/>
      <c r="K36" s="697"/>
      <c r="L36" s="697"/>
      <c r="M36" s="697"/>
      <c r="N36" s="698"/>
      <c r="O36" s="697"/>
      <c r="P36" s="697"/>
      <c r="Q36" s="697"/>
      <c r="R36" s="697"/>
      <c r="S36" s="697"/>
      <c r="T36" s="697"/>
      <c r="U36" s="697"/>
      <c r="V36" s="698"/>
      <c r="W36" s="698"/>
      <c r="X36" s="697"/>
      <c r="Y36" s="697"/>
      <c r="Z36" s="697"/>
      <c r="AA36" s="697"/>
      <c r="AB36" s="697"/>
    </row>
    <row r="37" spans="1:28" x14ac:dyDescent="0.2">
      <c r="A37" s="694" t="str">
        <f>+Info!$B$2</f>
        <v>724</v>
      </c>
      <c r="B37" s="694" t="s">
        <v>4464</v>
      </c>
      <c r="C37" s="694" t="s">
        <v>4465</v>
      </c>
      <c r="D37" s="700" t="s">
        <v>1236</v>
      </c>
      <c r="E37" s="696"/>
      <c r="F37" s="697"/>
      <c r="G37" s="697"/>
      <c r="H37" s="698"/>
      <c r="I37" s="697"/>
      <c r="J37" s="697"/>
      <c r="K37" s="697"/>
      <c r="L37" s="697"/>
      <c r="M37" s="697"/>
      <c r="N37" s="698"/>
      <c r="O37" s="697"/>
      <c r="P37" s="697"/>
      <c r="Q37" s="697"/>
      <c r="R37" s="697"/>
      <c r="S37" s="697"/>
      <c r="T37" s="697"/>
      <c r="U37" s="697"/>
      <c r="V37" s="698"/>
      <c r="W37" s="698"/>
      <c r="X37" s="697"/>
      <c r="Y37" s="697"/>
      <c r="Z37" s="697"/>
      <c r="AA37" s="697"/>
      <c r="AB37" s="697"/>
    </row>
    <row r="38" spans="1:28" x14ac:dyDescent="0.2">
      <c r="A38" s="694" t="str">
        <f>+Info!$B$2</f>
        <v>724</v>
      </c>
      <c r="B38" s="694" t="s">
        <v>4466</v>
      </c>
      <c r="C38" s="694" t="s">
        <v>4467</v>
      </c>
      <c r="D38" s="695" t="s">
        <v>1240</v>
      </c>
      <c r="E38" s="696"/>
      <c r="F38" s="697"/>
      <c r="G38" s="697"/>
      <c r="H38" s="698"/>
      <c r="I38" s="697"/>
      <c r="J38" s="697"/>
      <c r="K38" s="697"/>
      <c r="L38" s="697"/>
      <c r="M38" s="697"/>
      <c r="N38" s="698"/>
      <c r="O38" s="697"/>
      <c r="P38" s="697"/>
      <c r="Q38" s="697"/>
      <c r="R38" s="697"/>
      <c r="S38" s="697"/>
      <c r="T38" s="697"/>
      <c r="U38" s="697"/>
      <c r="V38" s="698"/>
      <c r="W38" s="698"/>
      <c r="X38" s="697"/>
      <c r="Y38" s="697"/>
      <c r="Z38" s="697"/>
      <c r="AA38" s="697"/>
      <c r="AB38" s="697"/>
    </row>
    <row r="39" spans="1:28" x14ac:dyDescent="0.2">
      <c r="A39" s="694" t="str">
        <f>+Info!$B$2</f>
        <v>724</v>
      </c>
      <c r="B39" s="694" t="s">
        <v>4468</v>
      </c>
      <c r="C39" s="694" t="s">
        <v>4469</v>
      </c>
      <c r="D39" s="695" t="s">
        <v>1243</v>
      </c>
      <c r="E39" s="696"/>
      <c r="F39" s="697"/>
      <c r="G39" s="697"/>
      <c r="H39" s="698"/>
      <c r="I39" s="697"/>
      <c r="J39" s="697"/>
      <c r="K39" s="697"/>
      <c r="L39" s="697"/>
      <c r="M39" s="697"/>
      <c r="N39" s="698"/>
      <c r="O39" s="697"/>
      <c r="P39" s="697"/>
      <c r="Q39" s="697"/>
      <c r="R39" s="697"/>
      <c r="S39" s="697"/>
      <c r="T39" s="697"/>
      <c r="U39" s="697"/>
      <c r="V39" s="698"/>
      <c r="W39" s="698"/>
      <c r="X39" s="697"/>
      <c r="Y39" s="697"/>
      <c r="Z39" s="697"/>
      <c r="AA39" s="697"/>
      <c r="AB39" s="697"/>
    </row>
    <row r="40" spans="1:28" x14ac:dyDescent="0.2">
      <c r="A40" s="694" t="str">
        <f>+Info!$B$2</f>
        <v>724</v>
      </c>
      <c r="B40" s="694" t="s">
        <v>4470</v>
      </c>
      <c r="C40" s="694" t="s">
        <v>4471</v>
      </c>
      <c r="D40" s="695" t="s">
        <v>1246</v>
      </c>
      <c r="E40" s="696"/>
      <c r="F40" s="697"/>
      <c r="G40" s="697"/>
      <c r="H40" s="698"/>
      <c r="I40" s="697"/>
      <c r="J40" s="697"/>
      <c r="K40" s="697"/>
      <c r="L40" s="697"/>
      <c r="M40" s="697"/>
      <c r="N40" s="698"/>
      <c r="O40" s="697"/>
      <c r="P40" s="697"/>
      <c r="Q40" s="697"/>
      <c r="R40" s="697"/>
      <c r="S40" s="697"/>
      <c r="T40" s="697"/>
      <c r="U40" s="697"/>
      <c r="V40" s="698"/>
      <c r="W40" s="698"/>
      <c r="X40" s="697"/>
      <c r="Y40" s="697"/>
      <c r="Z40" s="697"/>
      <c r="AA40" s="697"/>
      <c r="AB40" s="697"/>
    </row>
    <row r="41" spans="1:28" x14ac:dyDescent="0.2">
      <c r="A41" s="694" t="str">
        <f>+Info!$B$2</f>
        <v>724</v>
      </c>
      <c r="B41" s="694" t="s">
        <v>4472</v>
      </c>
      <c r="C41" s="694" t="s">
        <v>4473</v>
      </c>
      <c r="D41" s="695" t="s">
        <v>1249</v>
      </c>
      <c r="E41" s="696"/>
      <c r="F41" s="697"/>
      <c r="G41" s="697"/>
      <c r="H41" s="698"/>
      <c r="I41" s="697"/>
      <c r="J41" s="697"/>
      <c r="K41" s="697"/>
      <c r="L41" s="697"/>
      <c r="M41" s="697"/>
      <c r="N41" s="698"/>
      <c r="O41" s="697"/>
      <c r="P41" s="697"/>
      <c r="Q41" s="697"/>
      <c r="R41" s="697"/>
      <c r="S41" s="697"/>
      <c r="T41" s="697"/>
      <c r="U41" s="697"/>
      <c r="V41" s="698"/>
      <c r="W41" s="698"/>
      <c r="X41" s="697"/>
      <c r="Y41" s="697"/>
      <c r="Z41" s="697"/>
      <c r="AA41" s="697"/>
      <c r="AB41" s="697"/>
    </row>
    <row r="42" spans="1:28" x14ac:dyDescent="0.2">
      <c r="A42" s="694" t="str">
        <f>+Info!$B$2</f>
        <v>724</v>
      </c>
      <c r="B42" s="694" t="s">
        <v>4474</v>
      </c>
      <c r="C42" s="694" t="s">
        <v>4475</v>
      </c>
      <c r="D42" s="695" t="s">
        <v>1252</v>
      </c>
      <c r="E42" s="696"/>
      <c r="F42" s="697"/>
      <c r="G42" s="697"/>
      <c r="H42" s="698"/>
      <c r="I42" s="697"/>
      <c r="J42" s="697"/>
      <c r="K42" s="697"/>
      <c r="L42" s="697"/>
      <c r="M42" s="697"/>
      <c r="N42" s="698"/>
      <c r="O42" s="697"/>
      <c r="P42" s="697"/>
      <c r="Q42" s="697"/>
      <c r="R42" s="697"/>
      <c r="S42" s="697"/>
      <c r="T42" s="697"/>
      <c r="U42" s="697"/>
      <c r="V42" s="698"/>
      <c r="W42" s="698"/>
      <c r="X42" s="697"/>
      <c r="Y42" s="697"/>
      <c r="Z42" s="697"/>
      <c r="AA42" s="697"/>
      <c r="AB42" s="697"/>
    </row>
    <row r="43" spans="1:28" x14ac:dyDescent="0.2">
      <c r="A43" s="694" t="str">
        <f>+Info!$B$2</f>
        <v>724</v>
      </c>
      <c r="B43" s="694" t="s">
        <v>4476</v>
      </c>
      <c r="C43" s="694" t="s">
        <v>4477</v>
      </c>
      <c r="D43" s="695" t="s">
        <v>4478</v>
      </c>
      <c r="E43" s="696"/>
      <c r="F43" s="697"/>
      <c r="G43" s="697"/>
      <c r="H43" s="698"/>
      <c r="I43" s="697"/>
      <c r="J43" s="697"/>
      <c r="K43" s="697"/>
      <c r="L43" s="697"/>
      <c r="M43" s="697"/>
      <c r="N43" s="698"/>
      <c r="O43" s="697"/>
      <c r="P43" s="697"/>
      <c r="Q43" s="697"/>
      <c r="R43" s="697"/>
      <c r="S43" s="697"/>
      <c r="T43" s="697"/>
      <c r="U43" s="697"/>
      <c r="V43" s="698"/>
      <c r="W43" s="698"/>
      <c r="X43" s="697"/>
      <c r="Y43" s="697"/>
      <c r="Z43" s="697"/>
      <c r="AA43" s="697"/>
      <c r="AB43" s="697"/>
    </row>
    <row r="44" spans="1:28" x14ac:dyDescent="0.2">
      <c r="A44" s="694" t="str">
        <f>+Info!$B$2</f>
        <v>724</v>
      </c>
      <c r="B44" s="694" t="s">
        <v>4479</v>
      </c>
      <c r="C44" s="694" t="s">
        <v>4480</v>
      </c>
      <c r="D44" s="695" t="s">
        <v>1259</v>
      </c>
      <c r="E44" s="696"/>
      <c r="F44" s="697"/>
      <c r="G44" s="697"/>
      <c r="H44" s="698"/>
      <c r="I44" s="697"/>
      <c r="J44" s="697"/>
      <c r="K44" s="697"/>
      <c r="L44" s="697"/>
      <c r="M44" s="697"/>
      <c r="N44" s="698"/>
      <c r="O44" s="697"/>
      <c r="P44" s="697"/>
      <c r="Q44" s="697"/>
      <c r="R44" s="697"/>
      <c r="S44" s="697"/>
      <c r="T44" s="697"/>
      <c r="U44" s="697"/>
      <c r="V44" s="698"/>
      <c r="W44" s="698"/>
      <c r="X44" s="697"/>
      <c r="Y44" s="697"/>
      <c r="Z44" s="697"/>
      <c r="AA44" s="697"/>
      <c r="AB44" s="697"/>
    </row>
    <row r="45" spans="1:28" x14ac:dyDescent="0.2">
      <c r="A45" s="694" t="str">
        <f>+Info!$B$2</f>
        <v>724</v>
      </c>
      <c r="B45" s="694" t="s">
        <v>4481</v>
      </c>
      <c r="C45" s="694" t="s">
        <v>4482</v>
      </c>
      <c r="D45" s="695" t="s">
        <v>1262</v>
      </c>
      <c r="E45" s="696"/>
      <c r="F45" s="697"/>
      <c r="G45" s="697"/>
      <c r="H45" s="698"/>
      <c r="I45" s="697"/>
      <c r="J45" s="697"/>
      <c r="K45" s="697"/>
      <c r="L45" s="697"/>
      <c r="M45" s="697"/>
      <c r="N45" s="698"/>
      <c r="O45" s="697"/>
      <c r="P45" s="697"/>
      <c r="Q45" s="697"/>
      <c r="R45" s="697"/>
      <c r="S45" s="697"/>
      <c r="T45" s="697"/>
      <c r="U45" s="697"/>
      <c r="V45" s="698"/>
      <c r="W45" s="698"/>
      <c r="X45" s="697"/>
      <c r="Y45" s="697"/>
      <c r="Z45" s="697"/>
      <c r="AA45" s="697"/>
      <c r="AB45" s="697"/>
    </row>
    <row r="46" spans="1:28" x14ac:dyDescent="0.2">
      <c r="A46" s="694" t="str">
        <f>+Info!$B$2</f>
        <v>724</v>
      </c>
      <c r="B46" s="694" t="s">
        <v>4483</v>
      </c>
      <c r="C46" s="694" t="s">
        <v>4484</v>
      </c>
      <c r="D46" s="695" t="s">
        <v>1265</v>
      </c>
      <c r="E46" s="696"/>
      <c r="F46" s="697"/>
      <c r="G46" s="697"/>
      <c r="H46" s="698"/>
      <c r="I46" s="697"/>
      <c r="J46" s="697"/>
      <c r="K46" s="697"/>
      <c r="L46" s="697"/>
      <c r="M46" s="697"/>
      <c r="N46" s="698"/>
      <c r="O46" s="697"/>
      <c r="P46" s="697"/>
      <c r="Q46" s="697"/>
      <c r="R46" s="697"/>
      <c r="S46" s="697"/>
      <c r="T46" s="697"/>
      <c r="U46" s="697"/>
      <c r="V46" s="698"/>
      <c r="W46" s="698"/>
      <c r="X46" s="697"/>
      <c r="Y46" s="697"/>
      <c r="Z46" s="697"/>
      <c r="AA46" s="697"/>
      <c r="AB46" s="697"/>
    </row>
    <row r="47" spans="1:28" x14ac:dyDescent="0.2">
      <c r="A47" s="694" t="str">
        <f>+Info!$B$2</f>
        <v>724</v>
      </c>
      <c r="B47" s="694" t="s">
        <v>4485</v>
      </c>
      <c r="C47" s="694" t="s">
        <v>4486</v>
      </c>
      <c r="D47" s="695" t="s">
        <v>1269</v>
      </c>
      <c r="E47" s="696"/>
      <c r="F47" s="697"/>
      <c r="G47" s="697"/>
      <c r="H47" s="698"/>
      <c r="I47" s="697"/>
      <c r="J47" s="697"/>
      <c r="K47" s="697"/>
      <c r="L47" s="697"/>
      <c r="M47" s="697"/>
      <c r="N47" s="698"/>
      <c r="O47" s="697"/>
      <c r="P47" s="697"/>
      <c r="Q47" s="697"/>
      <c r="R47" s="697"/>
      <c r="S47" s="697"/>
      <c r="T47" s="697"/>
      <c r="U47" s="697"/>
      <c r="V47" s="698"/>
      <c r="W47" s="698"/>
      <c r="X47" s="697"/>
      <c r="Y47" s="697"/>
      <c r="Z47" s="697"/>
      <c r="AA47" s="697"/>
      <c r="AB47" s="697"/>
    </row>
    <row r="48" spans="1:28" x14ac:dyDescent="0.2">
      <c r="A48" s="694" t="str">
        <f>+Info!$B$2</f>
        <v>724</v>
      </c>
      <c r="B48" s="694" t="s">
        <v>4487</v>
      </c>
      <c r="C48" s="694" t="s">
        <v>4488</v>
      </c>
      <c r="D48" s="695" t="s">
        <v>1272</v>
      </c>
      <c r="E48" s="696"/>
      <c r="F48" s="697"/>
      <c r="G48" s="697"/>
      <c r="H48" s="698"/>
      <c r="I48" s="697"/>
      <c r="J48" s="697"/>
      <c r="K48" s="697"/>
      <c r="L48" s="697"/>
      <c r="M48" s="697"/>
      <c r="N48" s="698"/>
      <c r="O48" s="697"/>
      <c r="P48" s="697"/>
      <c r="Q48" s="697"/>
      <c r="R48" s="697"/>
      <c r="S48" s="697"/>
      <c r="T48" s="697"/>
      <c r="U48" s="697"/>
      <c r="V48" s="698"/>
      <c r="W48" s="698"/>
      <c r="X48" s="697"/>
      <c r="Y48" s="697"/>
      <c r="Z48" s="697"/>
      <c r="AA48" s="697"/>
      <c r="AB48" s="697"/>
    </row>
    <row r="49" spans="1:28" x14ac:dyDescent="0.2">
      <c r="A49" s="694" t="str">
        <f>+Info!$B$2</f>
        <v>724</v>
      </c>
      <c r="B49" s="694" t="s">
        <v>4489</v>
      </c>
      <c r="C49" s="694" t="s">
        <v>4490</v>
      </c>
      <c r="D49" s="695" t="s">
        <v>1275</v>
      </c>
      <c r="E49" s="696"/>
      <c r="F49" s="697"/>
      <c r="G49" s="697"/>
      <c r="H49" s="698"/>
      <c r="I49" s="697"/>
      <c r="J49" s="697"/>
      <c r="K49" s="697"/>
      <c r="L49" s="697"/>
      <c r="M49" s="697"/>
      <c r="N49" s="698"/>
      <c r="O49" s="697"/>
      <c r="P49" s="697"/>
      <c r="Q49" s="697"/>
      <c r="R49" s="697"/>
      <c r="S49" s="697"/>
      <c r="T49" s="697"/>
      <c r="U49" s="697"/>
      <c r="V49" s="698"/>
      <c r="W49" s="698"/>
      <c r="X49" s="697"/>
      <c r="Y49" s="697"/>
      <c r="Z49" s="697"/>
      <c r="AA49" s="697"/>
      <c r="AB49" s="697"/>
    </row>
    <row r="50" spans="1:28" x14ac:dyDescent="0.2">
      <c r="A50" s="694" t="str">
        <f>+Info!$B$2</f>
        <v>724</v>
      </c>
      <c r="B50" s="694" t="s">
        <v>4491</v>
      </c>
      <c r="C50" s="694" t="s">
        <v>4492</v>
      </c>
      <c r="D50" s="695" t="s">
        <v>1279</v>
      </c>
      <c r="E50" s="696"/>
      <c r="F50" s="697"/>
      <c r="G50" s="697"/>
      <c r="H50" s="698"/>
      <c r="I50" s="697"/>
      <c r="J50" s="697"/>
      <c r="K50" s="697"/>
      <c r="L50" s="697"/>
      <c r="M50" s="697"/>
      <c r="N50" s="698"/>
      <c r="O50" s="697"/>
      <c r="P50" s="697"/>
      <c r="Q50" s="697"/>
      <c r="R50" s="697"/>
      <c r="S50" s="697"/>
      <c r="T50" s="697"/>
      <c r="U50" s="697"/>
      <c r="V50" s="698"/>
      <c r="W50" s="698"/>
      <c r="X50" s="697"/>
      <c r="Y50" s="697"/>
      <c r="Z50" s="697"/>
      <c r="AA50" s="697"/>
      <c r="AB50" s="697"/>
    </row>
    <row r="51" spans="1:28" ht="25.5" x14ac:dyDescent="0.2">
      <c r="A51" s="694" t="str">
        <f>+Info!$B$2</f>
        <v>724</v>
      </c>
      <c r="B51" s="694" t="s">
        <v>4493</v>
      </c>
      <c r="C51" s="694" t="s">
        <v>4494</v>
      </c>
      <c r="D51" s="695" t="s">
        <v>1282</v>
      </c>
      <c r="E51" s="696"/>
      <c r="F51" s="697"/>
      <c r="G51" s="697"/>
      <c r="H51" s="698"/>
      <c r="I51" s="697"/>
      <c r="J51" s="697"/>
      <c r="K51" s="697"/>
      <c r="L51" s="697"/>
      <c r="M51" s="697"/>
      <c r="N51" s="698"/>
      <c r="O51" s="697"/>
      <c r="P51" s="697"/>
      <c r="Q51" s="697"/>
      <c r="R51" s="697"/>
      <c r="S51" s="697"/>
      <c r="T51" s="697"/>
      <c r="U51" s="697"/>
      <c r="V51" s="698"/>
      <c r="W51" s="698"/>
      <c r="X51" s="697"/>
      <c r="Y51" s="697"/>
      <c r="Z51" s="697"/>
      <c r="AA51" s="697"/>
      <c r="AB51" s="697"/>
    </row>
    <row r="52" spans="1:28" ht="15" x14ac:dyDescent="0.25">
      <c r="A52" s="691" t="str">
        <f>+Info!$B$2</f>
        <v>724</v>
      </c>
      <c r="B52" s="691" t="s">
        <v>1919</v>
      </c>
      <c r="C52" s="691" t="s">
        <v>4495</v>
      </c>
      <c r="D52" s="692" t="s">
        <v>4496</v>
      </c>
      <c r="E52" s="693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</row>
    <row r="53" spans="1:28" x14ac:dyDescent="0.2">
      <c r="A53" s="694" t="str">
        <f>+Info!$B$2</f>
        <v>724</v>
      </c>
      <c r="B53" s="694" t="s">
        <v>1922</v>
      </c>
      <c r="C53" s="694" t="s">
        <v>4497</v>
      </c>
      <c r="D53" s="695" t="s">
        <v>1297</v>
      </c>
      <c r="E53" s="696"/>
      <c r="F53" s="697"/>
      <c r="G53" s="697"/>
      <c r="H53" s="698"/>
      <c r="I53" s="697"/>
      <c r="J53" s="697"/>
      <c r="K53" s="697"/>
      <c r="L53" s="697"/>
      <c r="M53" s="697"/>
      <c r="N53" s="698"/>
      <c r="O53" s="697"/>
      <c r="P53" s="697"/>
      <c r="Q53" s="697"/>
      <c r="R53" s="697"/>
      <c r="S53" s="697"/>
      <c r="T53" s="697"/>
      <c r="U53" s="697"/>
      <c r="V53" s="698"/>
      <c r="W53" s="698"/>
      <c r="X53" s="697"/>
      <c r="Y53" s="697"/>
      <c r="Z53" s="697"/>
      <c r="AA53" s="697"/>
      <c r="AB53" s="697"/>
    </row>
    <row r="54" spans="1:28" x14ac:dyDescent="0.2">
      <c r="A54" s="694" t="str">
        <f>+Info!$B$2</f>
        <v>724</v>
      </c>
      <c r="B54" s="694" t="s">
        <v>1928</v>
      </c>
      <c r="C54" s="694" t="s">
        <v>4498</v>
      </c>
      <c r="D54" s="695" t="s">
        <v>1301</v>
      </c>
      <c r="E54" s="696"/>
      <c r="F54" s="697"/>
      <c r="G54" s="697"/>
      <c r="H54" s="698"/>
      <c r="I54" s="697"/>
      <c r="J54" s="697"/>
      <c r="K54" s="697"/>
      <c r="L54" s="697"/>
      <c r="M54" s="697"/>
      <c r="N54" s="698"/>
      <c r="O54" s="697"/>
      <c r="P54" s="697"/>
      <c r="Q54" s="697"/>
      <c r="R54" s="697"/>
      <c r="S54" s="697"/>
      <c r="T54" s="697"/>
      <c r="U54" s="697"/>
      <c r="V54" s="698"/>
      <c r="W54" s="698"/>
      <c r="X54" s="697"/>
      <c r="Y54" s="697"/>
      <c r="Z54" s="697"/>
      <c r="AA54" s="697"/>
      <c r="AB54" s="697"/>
    </row>
    <row r="55" spans="1:28" x14ac:dyDescent="0.2">
      <c r="A55" s="694" t="str">
        <f>+Info!$B$2</f>
        <v>724</v>
      </c>
      <c r="B55" s="694" t="s">
        <v>4499</v>
      </c>
      <c r="C55" s="694" t="s">
        <v>4500</v>
      </c>
      <c r="D55" s="695" t="s">
        <v>1305</v>
      </c>
      <c r="E55" s="696"/>
      <c r="F55" s="697"/>
      <c r="G55" s="697"/>
      <c r="H55" s="698"/>
      <c r="I55" s="697"/>
      <c r="J55" s="697"/>
      <c r="K55" s="697"/>
      <c r="L55" s="697"/>
      <c r="M55" s="697"/>
      <c r="N55" s="698"/>
      <c r="O55" s="697"/>
      <c r="P55" s="697"/>
      <c r="Q55" s="697"/>
      <c r="R55" s="697"/>
      <c r="S55" s="697"/>
      <c r="T55" s="697"/>
      <c r="U55" s="697"/>
      <c r="V55" s="698"/>
      <c r="W55" s="698"/>
      <c r="X55" s="697"/>
      <c r="Y55" s="697"/>
      <c r="Z55" s="697"/>
      <c r="AA55" s="697"/>
      <c r="AB55" s="697"/>
    </row>
    <row r="56" spans="1:28" x14ac:dyDescent="0.2">
      <c r="A56" s="694" t="str">
        <f>+Info!$B$2</f>
        <v>724</v>
      </c>
      <c r="B56" s="694" t="s">
        <v>4501</v>
      </c>
      <c r="C56" s="694" t="s">
        <v>4502</v>
      </c>
      <c r="D56" s="695" t="s">
        <v>1308</v>
      </c>
      <c r="E56" s="696"/>
      <c r="F56" s="697"/>
      <c r="G56" s="697"/>
      <c r="H56" s="698"/>
      <c r="I56" s="697"/>
      <c r="J56" s="697"/>
      <c r="K56" s="697"/>
      <c r="L56" s="697"/>
      <c r="M56" s="697"/>
      <c r="N56" s="698"/>
      <c r="O56" s="697"/>
      <c r="P56" s="697"/>
      <c r="Q56" s="697"/>
      <c r="R56" s="697"/>
      <c r="S56" s="697"/>
      <c r="T56" s="697"/>
      <c r="U56" s="697"/>
      <c r="V56" s="698"/>
      <c r="W56" s="698"/>
      <c r="X56" s="697"/>
      <c r="Y56" s="697"/>
      <c r="Z56" s="697"/>
      <c r="AA56" s="697"/>
      <c r="AB56" s="697"/>
    </row>
    <row r="57" spans="1:28" x14ac:dyDescent="0.2">
      <c r="A57" s="694" t="str">
        <f>+Info!$B$2</f>
        <v>724</v>
      </c>
      <c r="B57" s="694" t="s">
        <v>1953</v>
      </c>
      <c r="C57" s="694" t="s">
        <v>4503</v>
      </c>
      <c r="D57" s="695" t="s">
        <v>1312</v>
      </c>
      <c r="E57" s="696"/>
      <c r="F57" s="697"/>
      <c r="G57" s="697"/>
      <c r="H57" s="698"/>
      <c r="I57" s="697"/>
      <c r="J57" s="697"/>
      <c r="K57" s="697"/>
      <c r="L57" s="697"/>
      <c r="M57" s="697"/>
      <c r="N57" s="698"/>
      <c r="O57" s="697"/>
      <c r="P57" s="697"/>
      <c r="Q57" s="697"/>
      <c r="R57" s="697"/>
      <c r="S57" s="697"/>
      <c r="T57" s="697"/>
      <c r="U57" s="697"/>
      <c r="V57" s="698"/>
      <c r="W57" s="698"/>
      <c r="X57" s="697"/>
      <c r="Y57" s="697"/>
      <c r="Z57" s="697"/>
      <c r="AA57" s="697"/>
      <c r="AB57" s="697"/>
    </row>
    <row r="58" spans="1:28" x14ac:dyDescent="0.2">
      <c r="A58" s="694" t="str">
        <f>+Info!$B$2</f>
        <v>724</v>
      </c>
      <c r="B58" s="694" t="s">
        <v>1959</v>
      </c>
      <c r="C58" s="694" t="s">
        <v>4504</v>
      </c>
      <c r="D58" s="695" t="s">
        <v>1315</v>
      </c>
      <c r="E58" s="696"/>
      <c r="F58" s="697"/>
      <c r="G58" s="697"/>
      <c r="H58" s="698"/>
      <c r="I58" s="697"/>
      <c r="J58" s="697"/>
      <c r="K58" s="697"/>
      <c r="L58" s="697"/>
      <c r="M58" s="697"/>
      <c r="N58" s="698"/>
      <c r="O58" s="697"/>
      <c r="P58" s="697"/>
      <c r="Q58" s="697"/>
      <c r="R58" s="697"/>
      <c r="S58" s="697"/>
      <c r="T58" s="697"/>
      <c r="U58" s="697"/>
      <c r="V58" s="698"/>
      <c r="W58" s="698"/>
      <c r="X58" s="697"/>
      <c r="Y58" s="697"/>
      <c r="Z58" s="697"/>
      <c r="AA58" s="697"/>
      <c r="AB58" s="697"/>
    </row>
    <row r="59" spans="1:28" x14ac:dyDescent="0.2">
      <c r="A59" s="694" t="str">
        <f>+Info!$B$2</f>
        <v>724</v>
      </c>
      <c r="B59" s="694" t="s">
        <v>4505</v>
      </c>
      <c r="C59" s="694" t="s">
        <v>4506</v>
      </c>
      <c r="D59" s="695" t="s">
        <v>4507</v>
      </c>
      <c r="E59" s="696"/>
      <c r="F59" s="697"/>
      <c r="G59" s="697"/>
      <c r="H59" s="698"/>
      <c r="I59" s="697"/>
      <c r="J59" s="697"/>
      <c r="K59" s="697"/>
      <c r="L59" s="697"/>
      <c r="M59" s="697"/>
      <c r="N59" s="698"/>
      <c r="O59" s="697"/>
      <c r="P59" s="697"/>
      <c r="Q59" s="697"/>
      <c r="R59" s="697"/>
      <c r="S59" s="697"/>
      <c r="T59" s="697"/>
      <c r="U59" s="697"/>
      <c r="V59" s="698"/>
      <c r="W59" s="698"/>
      <c r="X59" s="697"/>
      <c r="Y59" s="697"/>
      <c r="Z59" s="697"/>
      <c r="AA59" s="697"/>
      <c r="AB59" s="697"/>
    </row>
    <row r="60" spans="1:28" x14ac:dyDescent="0.2">
      <c r="A60" s="694" t="str">
        <f>+Info!$B$2</f>
        <v>724</v>
      </c>
      <c r="B60" s="694" t="s">
        <v>4508</v>
      </c>
      <c r="C60" s="694" t="s">
        <v>4509</v>
      </c>
      <c r="D60" s="695" t="s">
        <v>1322</v>
      </c>
      <c r="E60" s="696"/>
      <c r="F60" s="697"/>
      <c r="G60" s="697"/>
      <c r="H60" s="698"/>
      <c r="I60" s="697"/>
      <c r="J60" s="697"/>
      <c r="K60" s="697"/>
      <c r="L60" s="697"/>
      <c r="M60" s="697"/>
      <c r="N60" s="698"/>
      <c r="O60" s="697"/>
      <c r="P60" s="697"/>
      <c r="Q60" s="697"/>
      <c r="R60" s="697"/>
      <c r="S60" s="697"/>
      <c r="T60" s="697"/>
      <c r="U60" s="697"/>
      <c r="V60" s="698"/>
      <c r="W60" s="698"/>
      <c r="X60" s="697"/>
      <c r="Y60" s="697"/>
      <c r="Z60" s="697"/>
      <c r="AA60" s="697"/>
      <c r="AB60" s="697"/>
    </row>
    <row r="61" spans="1:28" x14ac:dyDescent="0.2">
      <c r="A61" s="694" t="str">
        <f>+Info!$B$2</f>
        <v>724</v>
      </c>
      <c r="B61" s="694" t="s">
        <v>4510</v>
      </c>
      <c r="C61" s="694" t="s">
        <v>4511</v>
      </c>
      <c r="D61" s="695" t="s">
        <v>1325</v>
      </c>
      <c r="E61" s="696"/>
      <c r="F61" s="697"/>
      <c r="G61" s="697"/>
      <c r="H61" s="698"/>
      <c r="I61" s="697"/>
      <c r="J61" s="697"/>
      <c r="K61" s="697"/>
      <c r="L61" s="697"/>
      <c r="M61" s="697"/>
      <c r="N61" s="698"/>
      <c r="O61" s="697"/>
      <c r="P61" s="697"/>
      <c r="Q61" s="697"/>
      <c r="R61" s="697"/>
      <c r="S61" s="697"/>
      <c r="T61" s="697"/>
      <c r="U61" s="697"/>
      <c r="V61" s="698"/>
      <c r="W61" s="698"/>
      <c r="X61" s="697"/>
      <c r="Y61" s="697"/>
      <c r="Z61" s="697"/>
      <c r="AA61" s="697"/>
      <c r="AB61" s="697"/>
    </row>
    <row r="62" spans="1:28" x14ac:dyDescent="0.2">
      <c r="A62" s="694" t="str">
        <f>+Info!$B$2</f>
        <v>724</v>
      </c>
      <c r="B62" s="694" t="s">
        <v>4512</v>
      </c>
      <c r="C62" s="694" t="s">
        <v>4513</v>
      </c>
      <c r="D62" s="695" t="s">
        <v>1328</v>
      </c>
      <c r="E62" s="696"/>
      <c r="F62" s="697"/>
      <c r="G62" s="697"/>
      <c r="H62" s="698"/>
      <c r="I62" s="697"/>
      <c r="J62" s="697"/>
      <c r="K62" s="697"/>
      <c r="L62" s="697"/>
      <c r="M62" s="697"/>
      <c r="N62" s="698"/>
      <c r="O62" s="697"/>
      <c r="P62" s="697"/>
      <c r="Q62" s="697"/>
      <c r="R62" s="697"/>
      <c r="S62" s="697"/>
      <c r="T62" s="697"/>
      <c r="U62" s="697"/>
      <c r="V62" s="698"/>
      <c r="W62" s="698"/>
      <c r="X62" s="697"/>
      <c r="Y62" s="697"/>
      <c r="Z62" s="697"/>
      <c r="AA62" s="697"/>
      <c r="AB62" s="697"/>
    </row>
    <row r="63" spans="1:28" x14ac:dyDescent="0.2">
      <c r="A63" s="694" t="str">
        <f>+Info!$B$2</f>
        <v>724</v>
      </c>
      <c r="B63" s="694" t="s">
        <v>4514</v>
      </c>
      <c r="C63" s="694" t="s">
        <v>4515</v>
      </c>
      <c r="D63" s="695" t="s">
        <v>1331</v>
      </c>
      <c r="E63" s="696"/>
      <c r="F63" s="697"/>
      <c r="G63" s="697"/>
      <c r="H63" s="698"/>
      <c r="I63" s="697"/>
      <c r="J63" s="697"/>
      <c r="K63" s="697"/>
      <c r="L63" s="697"/>
      <c r="M63" s="697"/>
      <c r="N63" s="698"/>
      <c r="O63" s="697"/>
      <c r="P63" s="697"/>
      <c r="Q63" s="697"/>
      <c r="R63" s="697"/>
      <c r="S63" s="697"/>
      <c r="T63" s="697"/>
      <c r="U63" s="697"/>
      <c r="V63" s="698"/>
      <c r="W63" s="698"/>
      <c r="X63" s="697"/>
      <c r="Y63" s="697"/>
      <c r="Z63" s="697"/>
      <c r="AA63" s="697"/>
      <c r="AB63" s="697"/>
    </row>
    <row r="64" spans="1:28" x14ac:dyDescent="0.2">
      <c r="A64" s="694" t="str">
        <f>+Info!$B$2</f>
        <v>724</v>
      </c>
      <c r="B64" s="694" t="s">
        <v>4516</v>
      </c>
      <c r="C64" s="694" t="s">
        <v>4517</v>
      </c>
      <c r="D64" s="695" t="s">
        <v>1334</v>
      </c>
      <c r="E64" s="696"/>
      <c r="F64" s="697"/>
      <c r="G64" s="697"/>
      <c r="H64" s="698"/>
      <c r="I64" s="697"/>
      <c r="J64" s="697"/>
      <c r="K64" s="697"/>
      <c r="L64" s="697"/>
      <c r="M64" s="697"/>
      <c r="N64" s="698"/>
      <c r="O64" s="697"/>
      <c r="P64" s="697"/>
      <c r="Q64" s="697"/>
      <c r="R64" s="697"/>
      <c r="S64" s="697"/>
      <c r="T64" s="697"/>
      <c r="U64" s="697"/>
      <c r="V64" s="698"/>
      <c r="W64" s="698"/>
      <c r="X64" s="697"/>
      <c r="Y64" s="697"/>
      <c r="Z64" s="697"/>
      <c r="AA64" s="697"/>
      <c r="AB64" s="697"/>
    </row>
    <row r="65" spans="1:28" x14ac:dyDescent="0.2">
      <c r="A65" s="694" t="str">
        <f>+Info!$B$2</f>
        <v>724</v>
      </c>
      <c r="B65" s="694" t="s">
        <v>4518</v>
      </c>
      <c r="C65" s="694" t="s">
        <v>4519</v>
      </c>
      <c r="D65" s="695" t="s">
        <v>1338</v>
      </c>
      <c r="E65" s="696"/>
      <c r="F65" s="697"/>
      <c r="G65" s="697"/>
      <c r="H65" s="698"/>
      <c r="I65" s="697"/>
      <c r="J65" s="697"/>
      <c r="K65" s="697"/>
      <c r="L65" s="697"/>
      <c r="M65" s="697"/>
      <c r="N65" s="698"/>
      <c r="O65" s="697"/>
      <c r="P65" s="697"/>
      <c r="Q65" s="697"/>
      <c r="R65" s="697"/>
      <c r="S65" s="697"/>
      <c r="T65" s="697"/>
      <c r="U65" s="697"/>
      <c r="V65" s="698"/>
      <c r="W65" s="698"/>
      <c r="X65" s="697"/>
      <c r="Y65" s="697"/>
      <c r="Z65" s="697"/>
      <c r="AA65" s="697"/>
      <c r="AB65" s="697"/>
    </row>
    <row r="66" spans="1:28" x14ac:dyDescent="0.2">
      <c r="A66" s="694" t="str">
        <f>+Info!$B$2</f>
        <v>724</v>
      </c>
      <c r="B66" s="694" t="s">
        <v>4520</v>
      </c>
      <c r="C66" s="694" t="s">
        <v>4521</v>
      </c>
      <c r="D66" s="695" t="s">
        <v>4522</v>
      </c>
      <c r="E66" s="696"/>
      <c r="F66" s="697"/>
      <c r="G66" s="697"/>
      <c r="H66" s="698"/>
      <c r="I66" s="697"/>
      <c r="J66" s="697"/>
      <c r="K66" s="697"/>
      <c r="L66" s="697"/>
      <c r="M66" s="697"/>
      <c r="N66" s="698"/>
      <c r="O66" s="697"/>
      <c r="P66" s="697"/>
      <c r="Q66" s="697"/>
      <c r="R66" s="697"/>
      <c r="S66" s="697"/>
      <c r="T66" s="697"/>
      <c r="U66" s="697"/>
      <c r="V66" s="698"/>
      <c r="W66" s="698"/>
      <c r="X66" s="697"/>
      <c r="Y66" s="697"/>
      <c r="Z66" s="697"/>
      <c r="AA66" s="697"/>
      <c r="AB66" s="697"/>
    </row>
    <row r="67" spans="1:28" ht="15" x14ac:dyDescent="0.25">
      <c r="A67" s="691" t="str">
        <f>+Info!$B$2</f>
        <v>724</v>
      </c>
      <c r="B67" s="691" t="s">
        <v>4523</v>
      </c>
      <c r="C67" s="691" t="s">
        <v>4524</v>
      </c>
      <c r="D67" s="692" t="s">
        <v>4525</v>
      </c>
      <c r="E67" s="693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</row>
    <row r="68" spans="1:28" ht="15" x14ac:dyDescent="0.25">
      <c r="A68" s="691" t="str">
        <f>+Info!$B$2</f>
        <v>724</v>
      </c>
      <c r="B68" s="691" t="s">
        <v>4526</v>
      </c>
      <c r="C68" s="691" t="s">
        <v>4527</v>
      </c>
      <c r="D68" s="692" t="s">
        <v>4528</v>
      </c>
      <c r="E68" s="693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</row>
    <row r="69" spans="1:28" ht="15" x14ac:dyDescent="0.25">
      <c r="A69" s="691" t="str">
        <f>+Info!$B$2</f>
        <v>724</v>
      </c>
      <c r="B69" s="691" t="s">
        <v>4529</v>
      </c>
      <c r="C69" s="691" t="s">
        <v>4530</v>
      </c>
      <c r="D69" s="692" t="s">
        <v>4531</v>
      </c>
      <c r="E69" s="693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</row>
    <row r="70" spans="1:28" x14ac:dyDescent="0.2">
      <c r="A70" s="694" t="str">
        <f>+Info!$B$2</f>
        <v>724</v>
      </c>
      <c r="B70" s="694" t="s">
        <v>4532</v>
      </c>
      <c r="C70" s="694" t="s">
        <v>4533</v>
      </c>
      <c r="D70" s="695" t="s">
        <v>4534</v>
      </c>
      <c r="E70" s="696"/>
      <c r="F70" s="697"/>
      <c r="G70" s="697"/>
      <c r="H70" s="698"/>
      <c r="I70" s="697"/>
      <c r="J70" s="697"/>
      <c r="K70" s="697"/>
      <c r="L70" s="697"/>
      <c r="M70" s="697"/>
      <c r="N70" s="698"/>
      <c r="O70" s="697"/>
      <c r="P70" s="697"/>
      <c r="Q70" s="697"/>
      <c r="R70" s="697"/>
      <c r="S70" s="697"/>
      <c r="T70" s="698"/>
      <c r="U70" s="697"/>
      <c r="V70" s="698"/>
      <c r="W70" s="698"/>
      <c r="X70" s="697"/>
      <c r="Y70" s="697"/>
      <c r="Z70" s="697"/>
      <c r="AA70" s="697"/>
      <c r="AB70" s="697"/>
    </row>
    <row r="71" spans="1:28" x14ac:dyDescent="0.2">
      <c r="A71" s="694" t="str">
        <f>+Info!$B$2</f>
        <v>724</v>
      </c>
      <c r="B71" s="694" t="s">
        <v>4535</v>
      </c>
      <c r="C71" s="694" t="s">
        <v>4536</v>
      </c>
      <c r="D71" s="695" t="s">
        <v>4537</v>
      </c>
      <c r="E71" s="696"/>
      <c r="F71" s="697"/>
      <c r="G71" s="697"/>
      <c r="H71" s="698"/>
      <c r="I71" s="697"/>
      <c r="J71" s="697"/>
      <c r="K71" s="697"/>
      <c r="L71" s="697"/>
      <c r="M71" s="697"/>
      <c r="N71" s="698"/>
      <c r="O71" s="697"/>
      <c r="P71" s="697"/>
      <c r="Q71" s="697"/>
      <c r="R71" s="697"/>
      <c r="S71" s="697"/>
      <c r="T71" s="698"/>
      <c r="U71" s="697"/>
      <c r="V71" s="698"/>
      <c r="W71" s="698"/>
      <c r="X71" s="697"/>
      <c r="Y71" s="697"/>
      <c r="Z71" s="697"/>
      <c r="AA71" s="697"/>
      <c r="AB71" s="697"/>
    </row>
    <row r="72" spans="1:28" x14ac:dyDescent="0.2">
      <c r="A72" s="694" t="str">
        <f>+Info!$B$2</f>
        <v>724</v>
      </c>
      <c r="B72" s="694" t="s">
        <v>4538</v>
      </c>
      <c r="C72" s="694" t="s">
        <v>4539</v>
      </c>
      <c r="D72" s="695" t="s">
        <v>4540</v>
      </c>
      <c r="E72" s="696"/>
      <c r="F72" s="697"/>
      <c r="G72" s="697"/>
      <c r="H72" s="698"/>
      <c r="I72" s="697"/>
      <c r="J72" s="697"/>
      <c r="K72" s="697"/>
      <c r="L72" s="697"/>
      <c r="M72" s="697"/>
      <c r="N72" s="698"/>
      <c r="O72" s="697"/>
      <c r="P72" s="697"/>
      <c r="Q72" s="697"/>
      <c r="R72" s="697"/>
      <c r="S72" s="697"/>
      <c r="T72" s="698"/>
      <c r="U72" s="697"/>
      <c r="V72" s="698"/>
      <c r="W72" s="698"/>
      <c r="X72" s="697"/>
      <c r="Y72" s="697"/>
      <c r="Z72" s="697"/>
      <c r="AA72" s="697"/>
      <c r="AB72" s="697"/>
    </row>
    <row r="73" spans="1:28" x14ac:dyDescent="0.2">
      <c r="A73" s="694" t="str">
        <f>+Info!$B$2</f>
        <v>724</v>
      </c>
      <c r="B73" s="694" t="s">
        <v>4541</v>
      </c>
      <c r="C73" s="694" t="s">
        <v>4542</v>
      </c>
      <c r="D73" s="695" t="s">
        <v>4543</v>
      </c>
      <c r="E73" s="696"/>
      <c r="F73" s="697"/>
      <c r="G73" s="697"/>
      <c r="H73" s="698"/>
      <c r="I73" s="697"/>
      <c r="J73" s="697"/>
      <c r="K73" s="697"/>
      <c r="L73" s="697"/>
      <c r="M73" s="697"/>
      <c r="N73" s="698"/>
      <c r="O73" s="697"/>
      <c r="P73" s="697"/>
      <c r="Q73" s="697"/>
      <c r="R73" s="697"/>
      <c r="S73" s="697"/>
      <c r="T73" s="698"/>
      <c r="U73" s="697"/>
      <c r="V73" s="698"/>
      <c r="W73" s="698"/>
      <c r="X73" s="697"/>
      <c r="Y73" s="697"/>
      <c r="Z73" s="697"/>
      <c r="AA73" s="697"/>
      <c r="AB73" s="697"/>
    </row>
    <row r="74" spans="1:28" x14ac:dyDescent="0.2">
      <c r="A74" s="694" t="str">
        <f>+Info!$B$2</f>
        <v>724</v>
      </c>
      <c r="B74" s="694" t="s">
        <v>4544</v>
      </c>
      <c r="C74" s="694" t="s">
        <v>4545</v>
      </c>
      <c r="D74" s="695" t="s">
        <v>4546</v>
      </c>
      <c r="E74" s="696"/>
      <c r="F74" s="697"/>
      <c r="G74" s="697"/>
      <c r="H74" s="698"/>
      <c r="I74" s="697"/>
      <c r="J74" s="697"/>
      <c r="K74" s="697"/>
      <c r="L74" s="697"/>
      <c r="M74" s="697"/>
      <c r="N74" s="698"/>
      <c r="O74" s="697"/>
      <c r="P74" s="697"/>
      <c r="Q74" s="697"/>
      <c r="R74" s="697"/>
      <c r="S74" s="697"/>
      <c r="T74" s="698"/>
      <c r="U74" s="697"/>
      <c r="V74" s="698"/>
      <c r="W74" s="698"/>
      <c r="X74" s="697"/>
      <c r="Y74" s="697"/>
      <c r="Z74" s="697"/>
      <c r="AA74" s="697"/>
      <c r="AB74" s="697"/>
    </row>
    <row r="75" spans="1:28" x14ac:dyDescent="0.2">
      <c r="A75" s="694" t="str">
        <f>+Info!$B$2</f>
        <v>724</v>
      </c>
      <c r="B75" s="694" t="s">
        <v>4547</v>
      </c>
      <c r="C75" s="694" t="s">
        <v>4548</v>
      </c>
      <c r="D75" s="695" t="s">
        <v>4549</v>
      </c>
      <c r="E75" s="696"/>
      <c r="F75" s="697"/>
      <c r="G75" s="697"/>
      <c r="H75" s="698"/>
      <c r="I75" s="697"/>
      <c r="J75" s="697"/>
      <c r="K75" s="697"/>
      <c r="L75" s="697"/>
      <c r="M75" s="697"/>
      <c r="N75" s="698"/>
      <c r="O75" s="697"/>
      <c r="P75" s="697"/>
      <c r="Q75" s="697"/>
      <c r="R75" s="697"/>
      <c r="S75" s="697"/>
      <c r="T75" s="698"/>
      <c r="U75" s="697"/>
      <c r="V75" s="698"/>
      <c r="W75" s="698"/>
      <c r="X75" s="697"/>
      <c r="Y75" s="697"/>
      <c r="Z75" s="697"/>
      <c r="AA75" s="697"/>
      <c r="AB75" s="697"/>
    </row>
    <row r="76" spans="1:28" x14ac:dyDescent="0.2">
      <c r="A76" s="694" t="str">
        <f>+Info!$B$2</f>
        <v>724</v>
      </c>
      <c r="B76" s="694" t="s">
        <v>4550</v>
      </c>
      <c r="C76" s="694" t="s">
        <v>4551</v>
      </c>
      <c r="D76" s="695" t="s">
        <v>4552</v>
      </c>
      <c r="E76" s="696"/>
      <c r="F76" s="697"/>
      <c r="G76" s="697"/>
      <c r="H76" s="698"/>
      <c r="I76" s="697"/>
      <c r="J76" s="697"/>
      <c r="K76" s="697"/>
      <c r="L76" s="697"/>
      <c r="M76" s="697"/>
      <c r="N76" s="698"/>
      <c r="O76" s="697"/>
      <c r="P76" s="697"/>
      <c r="Q76" s="697"/>
      <c r="R76" s="697"/>
      <c r="S76" s="697"/>
      <c r="T76" s="698"/>
      <c r="U76" s="697"/>
      <c r="V76" s="698"/>
      <c r="W76" s="698"/>
      <c r="X76" s="697"/>
      <c r="Y76" s="697"/>
      <c r="Z76" s="697"/>
      <c r="AA76" s="697"/>
      <c r="AB76" s="697"/>
    </row>
    <row r="77" spans="1:28" x14ac:dyDescent="0.2">
      <c r="A77" s="694" t="str">
        <f>+Info!$B$2</f>
        <v>724</v>
      </c>
      <c r="B77" s="694" t="s">
        <v>4553</v>
      </c>
      <c r="C77" s="694" t="s">
        <v>4554</v>
      </c>
      <c r="D77" s="695" t="s">
        <v>4555</v>
      </c>
      <c r="E77" s="696"/>
      <c r="F77" s="697"/>
      <c r="G77" s="697"/>
      <c r="H77" s="698"/>
      <c r="I77" s="697"/>
      <c r="J77" s="697"/>
      <c r="K77" s="697"/>
      <c r="L77" s="697"/>
      <c r="M77" s="697"/>
      <c r="N77" s="698"/>
      <c r="O77" s="697"/>
      <c r="P77" s="697"/>
      <c r="Q77" s="697"/>
      <c r="R77" s="697"/>
      <c r="S77" s="697"/>
      <c r="T77" s="698"/>
      <c r="U77" s="697"/>
      <c r="V77" s="698"/>
      <c r="W77" s="698"/>
      <c r="X77" s="697"/>
      <c r="Y77" s="697"/>
      <c r="Z77" s="697"/>
      <c r="AA77" s="697"/>
      <c r="AB77" s="697"/>
    </row>
    <row r="78" spans="1:28" ht="15" x14ac:dyDescent="0.25">
      <c r="A78" s="691" t="str">
        <f>+Info!$B$2</f>
        <v>724</v>
      </c>
      <c r="B78" s="691" t="s">
        <v>4556</v>
      </c>
      <c r="C78" s="691" t="s">
        <v>4557</v>
      </c>
      <c r="D78" s="692" t="s">
        <v>4558</v>
      </c>
      <c r="E78" s="693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</row>
    <row r="79" spans="1:28" ht="25.5" x14ac:dyDescent="0.2">
      <c r="A79" s="694" t="str">
        <f>+Info!$B$2</f>
        <v>724</v>
      </c>
      <c r="B79" s="694" t="s">
        <v>4559</v>
      </c>
      <c r="C79" s="694" t="s">
        <v>4560</v>
      </c>
      <c r="D79" s="695" t="s">
        <v>4561</v>
      </c>
      <c r="E79" s="696"/>
      <c r="F79" s="697"/>
      <c r="G79" s="697"/>
      <c r="H79" s="698"/>
      <c r="I79" s="697"/>
      <c r="J79" s="697"/>
      <c r="K79" s="697"/>
      <c r="L79" s="697"/>
      <c r="M79" s="697"/>
      <c r="N79" s="698"/>
      <c r="O79" s="697"/>
      <c r="P79" s="697"/>
      <c r="Q79" s="697"/>
      <c r="R79" s="697"/>
      <c r="S79" s="697"/>
      <c r="T79" s="697"/>
      <c r="U79" s="697"/>
      <c r="V79" s="698"/>
      <c r="W79" s="698"/>
      <c r="X79" s="697"/>
      <c r="Y79" s="697"/>
      <c r="Z79" s="697"/>
      <c r="AA79" s="697"/>
      <c r="AB79" s="697"/>
    </row>
    <row r="80" spans="1:28" ht="25.5" x14ac:dyDescent="0.2">
      <c r="A80" s="694" t="str">
        <f>+Info!$B$2</f>
        <v>724</v>
      </c>
      <c r="B80" s="694" t="s">
        <v>4562</v>
      </c>
      <c r="C80" s="694" t="s">
        <v>4563</v>
      </c>
      <c r="D80" s="695" t="s">
        <v>4564</v>
      </c>
      <c r="E80" s="696"/>
      <c r="F80" s="697"/>
      <c r="G80" s="697"/>
      <c r="H80" s="698"/>
      <c r="I80" s="697"/>
      <c r="J80" s="697"/>
      <c r="K80" s="697"/>
      <c r="L80" s="697"/>
      <c r="M80" s="697"/>
      <c r="N80" s="698"/>
      <c r="O80" s="697"/>
      <c r="P80" s="697"/>
      <c r="Q80" s="697"/>
      <c r="R80" s="697"/>
      <c r="S80" s="697"/>
      <c r="T80" s="697"/>
      <c r="U80" s="697"/>
      <c r="V80" s="698"/>
      <c r="W80" s="698"/>
      <c r="X80" s="697"/>
      <c r="Y80" s="697"/>
      <c r="Z80" s="697"/>
      <c r="AA80" s="697"/>
      <c r="AB80" s="697"/>
    </row>
    <row r="81" spans="1:28" ht="25.5" x14ac:dyDescent="0.2">
      <c r="A81" s="694" t="str">
        <f>+Info!$B$2</f>
        <v>724</v>
      </c>
      <c r="B81" s="694" t="s">
        <v>4565</v>
      </c>
      <c r="C81" s="694" t="s">
        <v>4566</v>
      </c>
      <c r="D81" s="695" t="s">
        <v>4567</v>
      </c>
      <c r="E81" s="696"/>
      <c r="F81" s="697"/>
      <c r="G81" s="697"/>
      <c r="H81" s="698"/>
      <c r="I81" s="697"/>
      <c r="J81" s="697"/>
      <c r="K81" s="697"/>
      <c r="L81" s="697"/>
      <c r="M81" s="697"/>
      <c r="N81" s="698"/>
      <c r="O81" s="697"/>
      <c r="P81" s="697"/>
      <c r="Q81" s="697"/>
      <c r="R81" s="697"/>
      <c r="S81" s="697"/>
      <c r="T81" s="697"/>
      <c r="U81" s="697"/>
      <c r="V81" s="698"/>
      <c r="W81" s="698"/>
      <c r="X81" s="697"/>
      <c r="Y81" s="697"/>
      <c r="Z81" s="697"/>
      <c r="AA81" s="697"/>
      <c r="AB81" s="697"/>
    </row>
    <row r="82" spans="1:28" ht="25.5" x14ac:dyDescent="0.2">
      <c r="A82" s="694" t="str">
        <f>+Info!$B$2</f>
        <v>724</v>
      </c>
      <c r="B82" s="694" t="s">
        <v>4568</v>
      </c>
      <c r="C82" s="694" t="s">
        <v>4569</v>
      </c>
      <c r="D82" s="695" t="s">
        <v>4570</v>
      </c>
      <c r="E82" s="696"/>
      <c r="F82" s="697"/>
      <c r="G82" s="697"/>
      <c r="H82" s="698"/>
      <c r="I82" s="697"/>
      <c r="J82" s="697"/>
      <c r="K82" s="697"/>
      <c r="L82" s="697"/>
      <c r="M82" s="697"/>
      <c r="N82" s="698"/>
      <c r="O82" s="697"/>
      <c r="P82" s="697"/>
      <c r="Q82" s="697"/>
      <c r="R82" s="697"/>
      <c r="S82" s="697"/>
      <c r="T82" s="697"/>
      <c r="U82" s="697"/>
      <c r="V82" s="698"/>
      <c r="W82" s="698"/>
      <c r="X82" s="697"/>
      <c r="Y82" s="697"/>
      <c r="Z82" s="697"/>
      <c r="AA82" s="697"/>
      <c r="AB82" s="697"/>
    </row>
    <row r="83" spans="1:28" ht="25.5" x14ac:dyDescent="0.2">
      <c r="A83" s="694" t="str">
        <f>+Info!$B$2</f>
        <v>724</v>
      </c>
      <c r="B83" s="694" t="s">
        <v>4571</v>
      </c>
      <c r="C83" s="694" t="s">
        <v>4572</v>
      </c>
      <c r="D83" s="695" t="s">
        <v>4573</v>
      </c>
      <c r="E83" s="696"/>
      <c r="F83" s="697"/>
      <c r="G83" s="697"/>
      <c r="H83" s="698"/>
      <c r="I83" s="697"/>
      <c r="J83" s="697"/>
      <c r="K83" s="697"/>
      <c r="L83" s="697"/>
      <c r="M83" s="697"/>
      <c r="N83" s="698"/>
      <c r="O83" s="697"/>
      <c r="P83" s="697"/>
      <c r="Q83" s="697"/>
      <c r="R83" s="697"/>
      <c r="S83" s="697"/>
      <c r="T83" s="697"/>
      <c r="U83" s="697"/>
      <c r="V83" s="698"/>
      <c r="W83" s="698"/>
      <c r="X83" s="697"/>
      <c r="Y83" s="697"/>
      <c r="Z83" s="697"/>
      <c r="AA83" s="697"/>
      <c r="AB83" s="697"/>
    </row>
    <row r="84" spans="1:28" ht="25.5" x14ac:dyDescent="0.2">
      <c r="A84" s="694" t="str">
        <f>+Info!$B$2</f>
        <v>724</v>
      </c>
      <c r="B84" s="694" t="s">
        <v>4574</v>
      </c>
      <c r="C84" s="694" t="s">
        <v>4575</v>
      </c>
      <c r="D84" s="695" t="s">
        <v>4576</v>
      </c>
      <c r="E84" s="696"/>
      <c r="F84" s="697"/>
      <c r="G84" s="697"/>
      <c r="H84" s="698"/>
      <c r="I84" s="697"/>
      <c r="J84" s="697"/>
      <c r="K84" s="697"/>
      <c r="L84" s="697"/>
      <c r="M84" s="697"/>
      <c r="N84" s="698"/>
      <c r="O84" s="697"/>
      <c r="P84" s="697"/>
      <c r="Q84" s="697"/>
      <c r="R84" s="697"/>
      <c r="S84" s="697"/>
      <c r="T84" s="697"/>
      <c r="U84" s="697"/>
      <c r="V84" s="698"/>
      <c r="W84" s="698"/>
      <c r="X84" s="697"/>
      <c r="Y84" s="697"/>
      <c r="Z84" s="697"/>
      <c r="AA84" s="697"/>
      <c r="AB84" s="697"/>
    </row>
    <row r="85" spans="1:28" ht="25.5" x14ac:dyDescent="0.2">
      <c r="A85" s="694" t="str">
        <f>+Info!$B$2</f>
        <v>724</v>
      </c>
      <c r="B85" s="694" t="s">
        <v>4577</v>
      </c>
      <c r="C85" s="694" t="s">
        <v>4578</v>
      </c>
      <c r="D85" s="695" t="s">
        <v>4579</v>
      </c>
      <c r="E85" s="696"/>
      <c r="F85" s="697"/>
      <c r="G85" s="697"/>
      <c r="H85" s="698"/>
      <c r="I85" s="697"/>
      <c r="J85" s="697"/>
      <c r="K85" s="697"/>
      <c r="L85" s="697"/>
      <c r="M85" s="697"/>
      <c r="N85" s="698"/>
      <c r="O85" s="697"/>
      <c r="P85" s="697"/>
      <c r="Q85" s="697"/>
      <c r="R85" s="697"/>
      <c r="S85" s="697"/>
      <c r="T85" s="697"/>
      <c r="U85" s="697"/>
      <c r="V85" s="698"/>
      <c r="W85" s="698"/>
      <c r="X85" s="697"/>
      <c r="Y85" s="697"/>
      <c r="Z85" s="697"/>
      <c r="AA85" s="697"/>
      <c r="AB85" s="697"/>
    </row>
    <row r="86" spans="1:28" ht="25.5" x14ac:dyDescent="0.2">
      <c r="A86" s="694" t="str">
        <f>+Info!$B$2</f>
        <v>724</v>
      </c>
      <c r="B86" s="694" t="s">
        <v>4580</v>
      </c>
      <c r="C86" s="694" t="s">
        <v>4581</v>
      </c>
      <c r="D86" s="695" t="s">
        <v>4582</v>
      </c>
      <c r="E86" s="696"/>
      <c r="F86" s="697"/>
      <c r="G86" s="697"/>
      <c r="H86" s="698"/>
      <c r="I86" s="697"/>
      <c r="J86" s="697"/>
      <c r="K86" s="697"/>
      <c r="L86" s="697"/>
      <c r="M86" s="697"/>
      <c r="N86" s="698"/>
      <c r="O86" s="697"/>
      <c r="P86" s="697"/>
      <c r="Q86" s="697"/>
      <c r="R86" s="697"/>
      <c r="S86" s="697"/>
      <c r="T86" s="697"/>
      <c r="U86" s="697"/>
      <c r="V86" s="698"/>
      <c r="W86" s="698"/>
      <c r="X86" s="697"/>
      <c r="Y86" s="697"/>
      <c r="Z86" s="697"/>
      <c r="AA86" s="697"/>
      <c r="AB86" s="697"/>
    </row>
    <row r="87" spans="1:28" ht="25.5" x14ac:dyDescent="0.2">
      <c r="A87" s="694" t="str">
        <f>+Info!$B$2</f>
        <v>724</v>
      </c>
      <c r="B87" s="694" t="s">
        <v>4583</v>
      </c>
      <c r="C87" s="694" t="s">
        <v>4584</v>
      </c>
      <c r="D87" s="695" t="s">
        <v>4585</v>
      </c>
      <c r="E87" s="696"/>
      <c r="F87" s="697"/>
      <c r="G87" s="697"/>
      <c r="H87" s="698"/>
      <c r="I87" s="697"/>
      <c r="J87" s="697"/>
      <c r="K87" s="697"/>
      <c r="L87" s="697"/>
      <c r="M87" s="697"/>
      <c r="N87" s="698"/>
      <c r="O87" s="697"/>
      <c r="P87" s="697"/>
      <c r="Q87" s="697"/>
      <c r="R87" s="697"/>
      <c r="S87" s="697"/>
      <c r="T87" s="697"/>
      <c r="U87" s="697"/>
      <c r="V87" s="698"/>
      <c r="W87" s="698"/>
      <c r="X87" s="697"/>
      <c r="Y87" s="697"/>
      <c r="Z87" s="697"/>
      <c r="AA87" s="697"/>
      <c r="AB87" s="697"/>
    </row>
    <row r="88" spans="1:28" x14ac:dyDescent="0.2">
      <c r="A88" s="694" t="str">
        <f>+Info!$B$2</f>
        <v>724</v>
      </c>
      <c r="B88" s="694" t="s">
        <v>4586</v>
      </c>
      <c r="C88" s="694" t="s">
        <v>4587</v>
      </c>
      <c r="D88" s="695" t="s">
        <v>4588</v>
      </c>
      <c r="E88" s="696"/>
      <c r="F88" s="697"/>
      <c r="G88" s="697"/>
      <c r="H88" s="698"/>
      <c r="I88" s="697"/>
      <c r="J88" s="697"/>
      <c r="K88" s="697"/>
      <c r="L88" s="697"/>
      <c r="M88" s="697"/>
      <c r="N88" s="698"/>
      <c r="O88" s="697"/>
      <c r="P88" s="697"/>
      <c r="Q88" s="697"/>
      <c r="R88" s="697"/>
      <c r="S88" s="697"/>
      <c r="T88" s="697"/>
      <c r="U88" s="697"/>
      <c r="V88" s="698"/>
      <c r="W88" s="698"/>
      <c r="X88" s="697"/>
      <c r="Y88" s="697"/>
      <c r="Z88" s="697"/>
      <c r="AA88" s="697"/>
      <c r="AB88" s="697"/>
    </row>
    <row r="89" spans="1:28" ht="25.5" x14ac:dyDescent="0.2">
      <c r="A89" s="694" t="str">
        <f>+Info!$B$2</f>
        <v>724</v>
      </c>
      <c r="B89" s="694" t="s">
        <v>4589</v>
      </c>
      <c r="C89" s="694" t="s">
        <v>4590</v>
      </c>
      <c r="D89" s="695" t="s">
        <v>4591</v>
      </c>
      <c r="E89" s="696"/>
      <c r="F89" s="697"/>
      <c r="G89" s="697"/>
      <c r="H89" s="698"/>
      <c r="I89" s="697"/>
      <c r="J89" s="697"/>
      <c r="K89" s="697"/>
      <c r="L89" s="697"/>
      <c r="M89" s="697"/>
      <c r="N89" s="698"/>
      <c r="O89" s="697"/>
      <c r="P89" s="697"/>
      <c r="Q89" s="697"/>
      <c r="R89" s="697"/>
      <c r="S89" s="697"/>
      <c r="T89" s="697"/>
      <c r="U89" s="697"/>
      <c r="V89" s="698"/>
      <c r="W89" s="698"/>
      <c r="X89" s="697"/>
      <c r="Y89" s="697"/>
      <c r="Z89" s="697"/>
      <c r="AA89" s="697"/>
      <c r="AB89" s="697"/>
    </row>
    <row r="90" spans="1:28" x14ac:dyDescent="0.2">
      <c r="A90" s="694" t="str">
        <f>+Info!$B$2</f>
        <v>724</v>
      </c>
      <c r="B90" s="694" t="s">
        <v>4592</v>
      </c>
      <c r="C90" s="694" t="s">
        <v>4593</v>
      </c>
      <c r="D90" s="695" t="s">
        <v>4594</v>
      </c>
      <c r="E90" s="696"/>
      <c r="F90" s="697"/>
      <c r="G90" s="697"/>
      <c r="H90" s="698"/>
      <c r="I90" s="697"/>
      <c r="J90" s="697"/>
      <c r="K90" s="697"/>
      <c r="L90" s="697"/>
      <c r="M90" s="697"/>
      <c r="N90" s="698"/>
      <c r="O90" s="697"/>
      <c r="P90" s="697"/>
      <c r="Q90" s="697"/>
      <c r="R90" s="697"/>
      <c r="S90" s="697"/>
      <c r="T90" s="697"/>
      <c r="U90" s="697"/>
      <c r="V90" s="698"/>
      <c r="W90" s="698"/>
      <c r="X90" s="697"/>
      <c r="Y90" s="697"/>
      <c r="Z90" s="697"/>
      <c r="AA90" s="697"/>
      <c r="AB90" s="697"/>
    </row>
    <row r="91" spans="1:28" ht="15" x14ac:dyDescent="0.25">
      <c r="A91" s="691" t="str">
        <f>+Info!$B$2</f>
        <v>724</v>
      </c>
      <c r="B91" s="691" t="s">
        <v>4595</v>
      </c>
      <c r="C91" s="691" t="s">
        <v>4596</v>
      </c>
      <c r="D91" s="692" t="s">
        <v>4597</v>
      </c>
      <c r="E91" s="693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</row>
    <row r="92" spans="1:28" ht="25.5" x14ac:dyDescent="0.2">
      <c r="A92" s="694" t="str">
        <f>+Info!$B$2</f>
        <v>724</v>
      </c>
      <c r="B92" s="694" t="s">
        <v>4598</v>
      </c>
      <c r="C92" s="694" t="s">
        <v>4599</v>
      </c>
      <c r="D92" s="695" t="s">
        <v>4600</v>
      </c>
      <c r="E92" s="696"/>
      <c r="F92" s="697"/>
      <c r="G92" s="697"/>
      <c r="H92" s="698"/>
      <c r="I92" s="697"/>
      <c r="J92" s="697"/>
      <c r="K92" s="697"/>
      <c r="L92" s="697"/>
      <c r="M92" s="697"/>
      <c r="N92" s="698"/>
      <c r="O92" s="697"/>
      <c r="P92" s="697"/>
      <c r="Q92" s="697"/>
      <c r="R92" s="697"/>
      <c r="S92" s="697"/>
      <c r="T92" s="697"/>
      <c r="U92" s="697"/>
      <c r="V92" s="698"/>
      <c r="W92" s="698"/>
      <c r="X92" s="697"/>
      <c r="Y92" s="697"/>
      <c r="Z92" s="697"/>
      <c r="AA92" s="697"/>
      <c r="AB92" s="697"/>
    </row>
    <row r="93" spans="1:28" x14ac:dyDescent="0.2">
      <c r="A93" s="694" t="str">
        <f>+Info!$B$2</f>
        <v>724</v>
      </c>
      <c r="B93" s="694" t="s">
        <v>4601</v>
      </c>
      <c r="C93" s="694" t="s">
        <v>4602</v>
      </c>
      <c r="D93" s="695" t="s">
        <v>4603</v>
      </c>
      <c r="E93" s="696"/>
      <c r="F93" s="697"/>
      <c r="G93" s="697"/>
      <c r="H93" s="698"/>
      <c r="I93" s="697"/>
      <c r="J93" s="697"/>
      <c r="K93" s="697"/>
      <c r="L93" s="697"/>
      <c r="M93" s="697"/>
      <c r="N93" s="698"/>
      <c r="O93" s="697"/>
      <c r="P93" s="697"/>
      <c r="Q93" s="697"/>
      <c r="R93" s="697"/>
      <c r="S93" s="697"/>
      <c r="T93" s="697"/>
      <c r="U93" s="697"/>
      <c r="V93" s="698"/>
      <c r="W93" s="698"/>
      <c r="X93" s="697"/>
      <c r="Y93" s="697"/>
      <c r="Z93" s="697"/>
      <c r="AA93" s="697"/>
      <c r="AB93" s="697"/>
    </row>
    <row r="94" spans="1:28" ht="25.5" x14ac:dyDescent="0.2">
      <c r="A94" s="694" t="str">
        <f>+Info!$B$2</f>
        <v>724</v>
      </c>
      <c r="B94" s="694" t="s">
        <v>4604</v>
      </c>
      <c r="C94" s="694" t="s">
        <v>4605</v>
      </c>
      <c r="D94" s="695" t="s">
        <v>4606</v>
      </c>
      <c r="E94" s="696"/>
      <c r="F94" s="697"/>
      <c r="G94" s="697"/>
      <c r="H94" s="698"/>
      <c r="I94" s="697"/>
      <c r="J94" s="697"/>
      <c r="K94" s="697"/>
      <c r="L94" s="697"/>
      <c r="M94" s="697"/>
      <c r="N94" s="698"/>
      <c r="O94" s="697"/>
      <c r="P94" s="697"/>
      <c r="Q94" s="697"/>
      <c r="R94" s="697"/>
      <c r="S94" s="697"/>
      <c r="T94" s="697"/>
      <c r="U94" s="697"/>
      <c r="V94" s="698"/>
      <c r="W94" s="698"/>
      <c r="X94" s="697"/>
      <c r="Y94" s="697"/>
      <c r="Z94" s="697"/>
      <c r="AA94" s="697"/>
      <c r="AB94" s="697"/>
    </row>
    <row r="95" spans="1:28" ht="25.5" x14ac:dyDescent="0.2">
      <c r="A95" s="694" t="str">
        <f>+Info!$B$2</f>
        <v>724</v>
      </c>
      <c r="B95" s="694" t="s">
        <v>4607</v>
      </c>
      <c r="C95" s="694" t="s">
        <v>4608</v>
      </c>
      <c r="D95" s="695" t="s">
        <v>4609</v>
      </c>
      <c r="E95" s="696"/>
      <c r="F95" s="697"/>
      <c r="G95" s="697"/>
      <c r="H95" s="698"/>
      <c r="I95" s="697"/>
      <c r="J95" s="697"/>
      <c r="K95" s="697"/>
      <c r="L95" s="697"/>
      <c r="M95" s="697"/>
      <c r="N95" s="698"/>
      <c r="O95" s="697"/>
      <c r="P95" s="697"/>
      <c r="Q95" s="697"/>
      <c r="R95" s="697"/>
      <c r="S95" s="697"/>
      <c r="T95" s="697"/>
      <c r="U95" s="697"/>
      <c r="V95" s="698"/>
      <c r="W95" s="698"/>
      <c r="X95" s="697"/>
      <c r="Y95" s="697"/>
      <c r="Z95" s="697"/>
      <c r="AA95" s="697"/>
      <c r="AB95" s="697"/>
    </row>
    <row r="96" spans="1:28" x14ac:dyDescent="0.2">
      <c r="A96" s="694" t="str">
        <f>+Info!$B$2</f>
        <v>724</v>
      </c>
      <c r="B96" s="694" t="s">
        <v>4610</v>
      </c>
      <c r="C96" s="694" t="s">
        <v>4611</v>
      </c>
      <c r="D96" s="695" t="s">
        <v>4612</v>
      </c>
      <c r="E96" s="696"/>
      <c r="F96" s="697"/>
      <c r="G96" s="697"/>
      <c r="H96" s="698"/>
      <c r="I96" s="697"/>
      <c r="J96" s="698"/>
      <c r="K96" s="697"/>
      <c r="L96" s="697"/>
      <c r="M96" s="697"/>
      <c r="N96" s="698"/>
      <c r="O96" s="697"/>
      <c r="P96" s="697"/>
      <c r="Q96" s="697"/>
      <c r="R96" s="697"/>
      <c r="S96" s="697"/>
      <c r="T96" s="697"/>
      <c r="U96" s="697"/>
      <c r="V96" s="698"/>
      <c r="W96" s="698"/>
      <c r="X96" s="697"/>
      <c r="Y96" s="697"/>
      <c r="Z96" s="697"/>
      <c r="AA96" s="697"/>
      <c r="AB96" s="697"/>
    </row>
    <row r="97" spans="1:28" x14ac:dyDescent="0.2">
      <c r="A97" s="694" t="str">
        <f>+Info!$B$2</f>
        <v>724</v>
      </c>
      <c r="B97" s="694" t="s">
        <v>4613</v>
      </c>
      <c r="C97" s="694" t="s">
        <v>4614</v>
      </c>
      <c r="D97" s="695" t="s">
        <v>4615</v>
      </c>
      <c r="E97" s="696"/>
      <c r="F97" s="697"/>
      <c r="G97" s="697"/>
      <c r="H97" s="698"/>
      <c r="I97" s="697"/>
      <c r="J97" s="698"/>
      <c r="K97" s="697"/>
      <c r="L97" s="697"/>
      <c r="M97" s="697"/>
      <c r="N97" s="698"/>
      <c r="O97" s="697"/>
      <c r="P97" s="697"/>
      <c r="Q97" s="697"/>
      <c r="R97" s="697"/>
      <c r="S97" s="697"/>
      <c r="T97" s="697"/>
      <c r="U97" s="697"/>
      <c r="V97" s="698"/>
      <c r="W97" s="698"/>
      <c r="X97" s="697"/>
      <c r="Y97" s="697"/>
      <c r="Z97" s="697"/>
      <c r="AA97" s="697"/>
      <c r="AB97" s="697"/>
    </row>
    <row r="98" spans="1:28" x14ac:dyDescent="0.2">
      <c r="A98" s="694" t="str">
        <f>+Info!$B$2</f>
        <v>724</v>
      </c>
      <c r="B98" s="694" t="s">
        <v>4616</v>
      </c>
      <c r="C98" s="694" t="s">
        <v>4617</v>
      </c>
      <c r="D98" s="695" t="s">
        <v>4618</v>
      </c>
      <c r="E98" s="696"/>
      <c r="F98" s="697"/>
      <c r="G98" s="697"/>
      <c r="H98" s="698"/>
      <c r="I98" s="697"/>
      <c r="J98" s="698"/>
      <c r="K98" s="697"/>
      <c r="L98" s="697"/>
      <c r="M98" s="697"/>
      <c r="N98" s="698"/>
      <c r="O98" s="697"/>
      <c r="P98" s="697"/>
      <c r="Q98" s="697"/>
      <c r="R98" s="697"/>
      <c r="S98" s="697"/>
      <c r="T98" s="697"/>
      <c r="U98" s="697"/>
      <c r="V98" s="698"/>
      <c r="W98" s="698"/>
      <c r="X98" s="697"/>
      <c r="Y98" s="697"/>
      <c r="Z98" s="697"/>
      <c r="AA98" s="697"/>
      <c r="AB98" s="697"/>
    </row>
    <row r="99" spans="1:28" x14ac:dyDescent="0.2">
      <c r="A99" s="694" t="str">
        <f>+Info!$B$2</f>
        <v>724</v>
      </c>
      <c r="B99" s="694" t="s">
        <v>4619</v>
      </c>
      <c r="C99" s="694" t="s">
        <v>4620</v>
      </c>
      <c r="D99" s="695" t="s">
        <v>4621</v>
      </c>
      <c r="E99" s="696"/>
      <c r="F99" s="697"/>
      <c r="G99" s="697"/>
      <c r="H99" s="698"/>
      <c r="I99" s="697"/>
      <c r="J99" s="698"/>
      <c r="K99" s="697"/>
      <c r="L99" s="697"/>
      <c r="M99" s="697"/>
      <c r="N99" s="698"/>
      <c r="O99" s="697"/>
      <c r="P99" s="697"/>
      <c r="Q99" s="697"/>
      <c r="R99" s="697"/>
      <c r="S99" s="697"/>
      <c r="T99" s="697"/>
      <c r="U99" s="697"/>
      <c r="V99" s="698"/>
      <c r="W99" s="698"/>
      <c r="X99" s="697"/>
      <c r="Y99" s="697"/>
      <c r="Z99" s="697"/>
      <c r="AA99" s="697"/>
      <c r="AB99" s="697"/>
    </row>
    <row r="100" spans="1:28" x14ac:dyDescent="0.2">
      <c r="A100" s="694" t="str">
        <f>+Info!$B$2</f>
        <v>724</v>
      </c>
      <c r="B100" s="694" t="s">
        <v>4622</v>
      </c>
      <c r="C100" s="694" t="s">
        <v>4623</v>
      </c>
      <c r="D100" s="695" t="s">
        <v>4624</v>
      </c>
      <c r="E100" s="696"/>
      <c r="F100" s="697"/>
      <c r="G100" s="697"/>
      <c r="H100" s="698"/>
      <c r="I100" s="697"/>
      <c r="J100" s="698"/>
      <c r="K100" s="697"/>
      <c r="L100" s="697"/>
      <c r="M100" s="697"/>
      <c r="N100" s="698"/>
      <c r="O100" s="697"/>
      <c r="P100" s="697"/>
      <c r="Q100" s="697"/>
      <c r="R100" s="697"/>
      <c r="S100" s="697"/>
      <c r="T100" s="697"/>
      <c r="U100" s="697"/>
      <c r="V100" s="698"/>
      <c r="W100" s="698"/>
      <c r="X100" s="697"/>
      <c r="Y100" s="697"/>
      <c r="Z100" s="697"/>
      <c r="AA100" s="697"/>
      <c r="AB100" s="697"/>
    </row>
    <row r="101" spans="1:28" x14ac:dyDescent="0.2">
      <c r="A101" s="694" t="str">
        <f>+Info!$B$2</f>
        <v>724</v>
      </c>
      <c r="B101" s="694" t="s">
        <v>4625</v>
      </c>
      <c r="C101" s="694" t="s">
        <v>4626</v>
      </c>
      <c r="D101" s="695" t="s">
        <v>4627</v>
      </c>
      <c r="E101" s="696"/>
      <c r="F101" s="697"/>
      <c r="G101" s="697"/>
      <c r="H101" s="698"/>
      <c r="I101" s="697"/>
      <c r="J101" s="698"/>
      <c r="K101" s="697"/>
      <c r="L101" s="697"/>
      <c r="M101" s="697"/>
      <c r="N101" s="698"/>
      <c r="O101" s="697"/>
      <c r="P101" s="697"/>
      <c r="Q101" s="697"/>
      <c r="R101" s="697"/>
      <c r="S101" s="697"/>
      <c r="T101" s="697"/>
      <c r="U101" s="697"/>
      <c r="V101" s="698"/>
      <c r="W101" s="698"/>
      <c r="X101" s="697"/>
      <c r="Y101" s="697"/>
      <c r="Z101" s="697"/>
      <c r="AA101" s="697"/>
      <c r="AB101" s="697"/>
    </row>
    <row r="102" spans="1:28" x14ac:dyDescent="0.2">
      <c r="A102" s="694" t="str">
        <f>+Info!$B$2</f>
        <v>724</v>
      </c>
      <c r="B102" s="694" t="s">
        <v>4628</v>
      </c>
      <c r="C102" s="694" t="s">
        <v>4629</v>
      </c>
      <c r="D102" s="695" t="s">
        <v>4630</v>
      </c>
      <c r="E102" s="696"/>
      <c r="F102" s="697"/>
      <c r="G102" s="697"/>
      <c r="H102" s="698"/>
      <c r="I102" s="697"/>
      <c r="J102" s="698"/>
      <c r="K102" s="697"/>
      <c r="L102" s="697"/>
      <c r="M102" s="697"/>
      <c r="N102" s="698"/>
      <c r="O102" s="697"/>
      <c r="P102" s="697"/>
      <c r="Q102" s="697"/>
      <c r="R102" s="697"/>
      <c r="S102" s="697"/>
      <c r="T102" s="697"/>
      <c r="U102" s="697"/>
      <c r="V102" s="698"/>
      <c r="W102" s="698"/>
      <c r="X102" s="697"/>
      <c r="Y102" s="697"/>
      <c r="Z102" s="697"/>
      <c r="AA102" s="697"/>
      <c r="AB102" s="697"/>
    </row>
    <row r="103" spans="1:28" ht="16.5" customHeight="1" x14ac:dyDescent="0.2">
      <c r="A103" s="694" t="str">
        <f>+Info!$B$2</f>
        <v>724</v>
      </c>
      <c r="B103" s="694" t="s">
        <v>4631</v>
      </c>
      <c r="C103" s="694" t="s">
        <v>4632</v>
      </c>
      <c r="D103" s="695" t="s">
        <v>4633</v>
      </c>
      <c r="E103" s="696"/>
      <c r="F103" s="697"/>
      <c r="G103" s="697"/>
      <c r="H103" s="698"/>
      <c r="I103" s="697"/>
      <c r="J103" s="698"/>
      <c r="K103" s="697"/>
      <c r="L103" s="697"/>
      <c r="M103" s="697"/>
      <c r="N103" s="698"/>
      <c r="O103" s="697"/>
      <c r="P103" s="697"/>
      <c r="Q103" s="697"/>
      <c r="R103" s="697"/>
      <c r="S103" s="697"/>
      <c r="T103" s="697"/>
      <c r="U103" s="697"/>
      <c r="V103" s="698"/>
      <c r="W103" s="698"/>
      <c r="X103" s="697"/>
      <c r="Y103" s="697"/>
      <c r="Z103" s="697"/>
      <c r="AA103" s="697"/>
      <c r="AB103" s="697"/>
    </row>
    <row r="104" spans="1:28" x14ac:dyDescent="0.2">
      <c r="A104" s="694" t="str">
        <f>+Info!$B$2</f>
        <v>724</v>
      </c>
      <c r="B104" s="694" t="s">
        <v>4634</v>
      </c>
      <c r="C104" s="694" t="s">
        <v>4635</v>
      </c>
      <c r="D104" s="695" t="s">
        <v>4636</v>
      </c>
      <c r="E104" s="696"/>
      <c r="F104" s="697"/>
      <c r="G104" s="697"/>
      <c r="H104" s="698"/>
      <c r="I104" s="697"/>
      <c r="J104" s="697"/>
      <c r="K104" s="697"/>
      <c r="L104" s="697"/>
      <c r="M104" s="697"/>
      <c r="N104" s="698"/>
      <c r="O104" s="697"/>
      <c r="P104" s="697"/>
      <c r="Q104" s="697"/>
      <c r="R104" s="697"/>
      <c r="S104" s="697"/>
      <c r="T104" s="697"/>
      <c r="U104" s="697"/>
      <c r="V104" s="698"/>
      <c r="W104" s="698"/>
      <c r="X104" s="697"/>
      <c r="Y104" s="697"/>
      <c r="Z104" s="697"/>
      <c r="AA104" s="697"/>
      <c r="AB104" s="697"/>
    </row>
    <row r="105" spans="1:28" x14ac:dyDescent="0.2">
      <c r="A105" s="694" t="str">
        <f>+Info!$B$2</f>
        <v>724</v>
      </c>
      <c r="B105" s="694" t="s">
        <v>4637</v>
      </c>
      <c r="C105" s="694" t="s">
        <v>4638</v>
      </c>
      <c r="D105" s="695" t="s">
        <v>4639</v>
      </c>
      <c r="E105" s="696"/>
      <c r="F105" s="697"/>
      <c r="G105" s="697"/>
      <c r="H105" s="698"/>
      <c r="I105" s="697"/>
      <c r="J105" s="697"/>
      <c r="K105" s="697"/>
      <c r="L105" s="697"/>
      <c r="M105" s="697"/>
      <c r="N105" s="698"/>
      <c r="O105" s="697"/>
      <c r="P105" s="697"/>
      <c r="Q105" s="697"/>
      <c r="R105" s="697"/>
      <c r="S105" s="697"/>
      <c r="T105" s="697"/>
      <c r="U105" s="698"/>
      <c r="V105" s="698"/>
      <c r="W105" s="698"/>
      <c r="X105" s="698"/>
      <c r="Y105" s="698"/>
      <c r="Z105" s="698"/>
      <c r="AA105" s="697"/>
      <c r="AB105" s="697"/>
    </row>
    <row r="106" spans="1:28" x14ac:dyDescent="0.2">
      <c r="A106" s="694" t="str">
        <f>+Info!$B$2</f>
        <v>724</v>
      </c>
      <c r="B106" s="694" t="s">
        <v>4640</v>
      </c>
      <c r="C106" s="694" t="s">
        <v>4641</v>
      </c>
      <c r="D106" s="695" t="s">
        <v>4642</v>
      </c>
      <c r="E106" s="696"/>
      <c r="F106" s="697"/>
      <c r="G106" s="697"/>
      <c r="H106" s="698"/>
      <c r="I106" s="697"/>
      <c r="J106" s="697"/>
      <c r="K106" s="697"/>
      <c r="L106" s="697"/>
      <c r="M106" s="697"/>
      <c r="N106" s="698"/>
      <c r="O106" s="697"/>
      <c r="P106" s="697"/>
      <c r="Q106" s="697"/>
      <c r="R106" s="697"/>
      <c r="S106" s="697"/>
      <c r="T106" s="697"/>
      <c r="U106" s="697"/>
      <c r="V106" s="698"/>
      <c r="W106" s="698"/>
      <c r="X106" s="697"/>
      <c r="Y106" s="697"/>
      <c r="Z106" s="697"/>
      <c r="AA106" s="697"/>
      <c r="AB106" s="697"/>
    </row>
    <row r="107" spans="1:28" x14ac:dyDescent="0.2">
      <c r="A107" s="694" t="str">
        <f>+Info!$B$2</f>
        <v>724</v>
      </c>
      <c r="B107" s="694" t="s">
        <v>4643</v>
      </c>
      <c r="C107" s="694" t="s">
        <v>4644</v>
      </c>
      <c r="D107" s="695" t="s">
        <v>4645</v>
      </c>
      <c r="E107" s="696"/>
      <c r="F107" s="697"/>
      <c r="G107" s="697"/>
      <c r="H107" s="698"/>
      <c r="I107" s="697"/>
      <c r="J107" s="697"/>
      <c r="K107" s="697"/>
      <c r="L107" s="697"/>
      <c r="M107" s="697"/>
      <c r="N107" s="698"/>
      <c r="O107" s="697"/>
      <c r="P107" s="697"/>
      <c r="Q107" s="697"/>
      <c r="R107" s="697"/>
      <c r="S107" s="697"/>
      <c r="T107" s="697"/>
      <c r="U107" s="697"/>
      <c r="V107" s="698"/>
      <c r="W107" s="698"/>
      <c r="X107" s="697"/>
      <c r="Y107" s="697"/>
      <c r="Z107" s="697"/>
      <c r="AA107" s="697"/>
      <c r="AB107" s="697"/>
    </row>
    <row r="108" spans="1:28" ht="15.75" customHeight="1" x14ac:dyDescent="0.2">
      <c r="A108" s="694" t="str">
        <f>+Info!$B$2</f>
        <v>724</v>
      </c>
      <c r="B108" s="694" t="s">
        <v>4646</v>
      </c>
      <c r="C108" s="694" t="s">
        <v>4647</v>
      </c>
      <c r="D108" s="695" t="s">
        <v>4648</v>
      </c>
      <c r="E108" s="696"/>
      <c r="F108" s="697"/>
      <c r="G108" s="697"/>
      <c r="H108" s="698"/>
      <c r="I108" s="697"/>
      <c r="J108" s="697"/>
      <c r="K108" s="697"/>
      <c r="L108" s="697"/>
      <c r="M108" s="697"/>
      <c r="N108" s="698"/>
      <c r="O108" s="697"/>
      <c r="P108" s="697"/>
      <c r="Q108" s="697"/>
      <c r="R108" s="697"/>
      <c r="S108" s="697"/>
      <c r="T108" s="697"/>
      <c r="U108" s="697"/>
      <c r="V108" s="698"/>
      <c r="W108" s="698"/>
      <c r="X108" s="697"/>
      <c r="Y108" s="697"/>
      <c r="Z108" s="697"/>
      <c r="AA108" s="697"/>
      <c r="AB108" s="697"/>
    </row>
    <row r="109" spans="1:28" x14ac:dyDescent="0.2">
      <c r="A109" s="694" t="str">
        <f>+Info!$B$2</f>
        <v>724</v>
      </c>
      <c r="B109" s="694" t="s">
        <v>4649</v>
      </c>
      <c r="C109" s="694" t="s">
        <v>4650</v>
      </c>
      <c r="D109" s="695" t="s">
        <v>4651</v>
      </c>
      <c r="E109" s="696"/>
      <c r="F109" s="697"/>
      <c r="G109" s="697"/>
      <c r="H109" s="698"/>
      <c r="I109" s="697"/>
      <c r="J109" s="697"/>
      <c r="K109" s="697"/>
      <c r="L109" s="697"/>
      <c r="M109" s="697"/>
      <c r="N109" s="698"/>
      <c r="O109" s="697"/>
      <c r="P109" s="697"/>
      <c r="Q109" s="697"/>
      <c r="R109" s="697"/>
      <c r="S109" s="697"/>
      <c r="T109" s="697"/>
      <c r="U109" s="697"/>
      <c r="V109" s="698"/>
      <c r="W109" s="698"/>
      <c r="X109" s="697"/>
      <c r="Y109" s="697"/>
      <c r="Z109" s="697"/>
      <c r="AA109" s="697"/>
      <c r="AB109" s="697"/>
    </row>
    <row r="110" spans="1:28" x14ac:dyDescent="0.2">
      <c r="A110" s="694" t="str">
        <f>+Info!$B$2</f>
        <v>724</v>
      </c>
      <c r="B110" s="694" t="s">
        <v>4652</v>
      </c>
      <c r="C110" s="694" t="s">
        <v>4653</v>
      </c>
      <c r="D110" s="695" t="s">
        <v>4654</v>
      </c>
      <c r="E110" s="696"/>
      <c r="F110" s="697"/>
      <c r="G110" s="697"/>
      <c r="H110" s="698"/>
      <c r="I110" s="697"/>
      <c r="J110" s="698"/>
      <c r="K110" s="697"/>
      <c r="L110" s="697"/>
      <c r="M110" s="697"/>
      <c r="N110" s="698"/>
      <c r="O110" s="697"/>
      <c r="P110" s="697"/>
      <c r="Q110" s="697"/>
      <c r="R110" s="697"/>
      <c r="S110" s="697"/>
      <c r="T110" s="697"/>
      <c r="U110" s="697"/>
      <c r="V110" s="698"/>
      <c r="W110" s="698"/>
      <c r="X110" s="697"/>
      <c r="Y110" s="697"/>
      <c r="Z110" s="697"/>
      <c r="AA110" s="697"/>
      <c r="AB110" s="697"/>
    </row>
    <row r="111" spans="1:28" x14ac:dyDescent="0.2">
      <c r="A111" s="694" t="str">
        <f>+Info!$B$2</f>
        <v>724</v>
      </c>
      <c r="B111" s="694" t="s">
        <v>4655</v>
      </c>
      <c r="C111" s="694" t="s">
        <v>4656</v>
      </c>
      <c r="D111" s="695" t="s">
        <v>4657</v>
      </c>
      <c r="E111" s="696"/>
      <c r="F111" s="697"/>
      <c r="G111" s="697"/>
      <c r="H111" s="698"/>
      <c r="I111" s="697"/>
      <c r="J111" s="698"/>
      <c r="K111" s="697"/>
      <c r="L111" s="697"/>
      <c r="M111" s="697"/>
      <c r="N111" s="698"/>
      <c r="O111" s="697"/>
      <c r="P111" s="697"/>
      <c r="Q111" s="697"/>
      <c r="R111" s="697"/>
      <c r="S111" s="697"/>
      <c r="T111" s="697"/>
      <c r="U111" s="697"/>
      <c r="V111" s="698"/>
      <c r="W111" s="698"/>
      <c r="X111" s="697"/>
      <c r="Y111" s="697"/>
      <c r="Z111" s="697"/>
      <c r="AA111" s="697"/>
      <c r="AB111" s="697"/>
    </row>
    <row r="112" spans="1:28" x14ac:dyDescent="0.2">
      <c r="A112" s="694" t="str">
        <f>+Info!$B$2</f>
        <v>724</v>
      </c>
      <c r="B112" s="694" t="s">
        <v>4658</v>
      </c>
      <c r="C112" s="694" t="s">
        <v>4659</v>
      </c>
      <c r="D112" s="695" t="s">
        <v>4660</v>
      </c>
      <c r="E112" s="696"/>
      <c r="F112" s="697"/>
      <c r="G112" s="697"/>
      <c r="H112" s="698"/>
      <c r="I112" s="697"/>
      <c r="J112" s="698"/>
      <c r="K112" s="697"/>
      <c r="L112" s="697"/>
      <c r="M112" s="697"/>
      <c r="N112" s="698"/>
      <c r="O112" s="697"/>
      <c r="P112" s="697"/>
      <c r="Q112" s="697"/>
      <c r="R112" s="697"/>
      <c r="S112" s="697"/>
      <c r="T112" s="697"/>
      <c r="U112" s="697"/>
      <c r="V112" s="698"/>
      <c r="W112" s="698"/>
      <c r="X112" s="697"/>
      <c r="Y112" s="697"/>
      <c r="Z112" s="697"/>
      <c r="AA112" s="697"/>
      <c r="AB112" s="697"/>
    </row>
    <row r="113" spans="1:28" x14ac:dyDescent="0.2">
      <c r="A113" s="694" t="str">
        <f>+Info!$B$2</f>
        <v>724</v>
      </c>
      <c r="B113" s="694" t="s">
        <v>4661</v>
      </c>
      <c r="C113" s="694" t="s">
        <v>4662</v>
      </c>
      <c r="D113" s="695" t="s">
        <v>4663</v>
      </c>
      <c r="E113" s="696"/>
      <c r="F113" s="697"/>
      <c r="G113" s="697"/>
      <c r="H113" s="698"/>
      <c r="I113" s="697"/>
      <c r="J113" s="698"/>
      <c r="K113" s="697"/>
      <c r="L113" s="697"/>
      <c r="M113" s="697"/>
      <c r="N113" s="698"/>
      <c r="O113" s="697"/>
      <c r="P113" s="697"/>
      <c r="Q113" s="697"/>
      <c r="R113" s="697"/>
      <c r="S113" s="697"/>
      <c r="T113" s="697"/>
      <c r="U113" s="697"/>
      <c r="V113" s="698"/>
      <c r="W113" s="698"/>
      <c r="X113" s="697"/>
      <c r="Y113" s="697"/>
      <c r="Z113" s="697"/>
      <c r="AA113" s="697"/>
      <c r="AB113" s="697"/>
    </row>
    <row r="114" spans="1:28" x14ac:dyDescent="0.2">
      <c r="A114" s="694" t="str">
        <f>+Info!$B$2</f>
        <v>724</v>
      </c>
      <c r="B114" s="694" t="s">
        <v>4664</v>
      </c>
      <c r="C114" s="694" t="s">
        <v>4665</v>
      </c>
      <c r="D114" s="695" t="s">
        <v>4666</v>
      </c>
      <c r="E114" s="696"/>
      <c r="F114" s="697"/>
      <c r="G114" s="697"/>
      <c r="H114" s="698"/>
      <c r="I114" s="697"/>
      <c r="J114" s="698"/>
      <c r="K114" s="697"/>
      <c r="L114" s="697"/>
      <c r="M114" s="697"/>
      <c r="N114" s="698"/>
      <c r="O114" s="697"/>
      <c r="P114" s="697"/>
      <c r="Q114" s="697"/>
      <c r="R114" s="697"/>
      <c r="S114" s="697"/>
      <c r="T114" s="697"/>
      <c r="U114" s="697"/>
      <c r="V114" s="698"/>
      <c r="W114" s="698"/>
      <c r="X114" s="697"/>
      <c r="Y114" s="697"/>
      <c r="Z114" s="697"/>
      <c r="AA114" s="697"/>
      <c r="AB114" s="697"/>
    </row>
    <row r="115" spans="1:28" x14ac:dyDescent="0.2">
      <c r="A115" s="694" t="str">
        <f>+Info!$B$2</f>
        <v>724</v>
      </c>
      <c r="B115" s="694" t="s">
        <v>4667</v>
      </c>
      <c r="C115" s="694" t="s">
        <v>4668</v>
      </c>
      <c r="D115" s="695" t="s">
        <v>4669</v>
      </c>
      <c r="E115" s="696"/>
      <c r="F115" s="697"/>
      <c r="G115" s="697"/>
      <c r="H115" s="698"/>
      <c r="I115" s="697"/>
      <c r="J115" s="698"/>
      <c r="K115" s="697"/>
      <c r="L115" s="697"/>
      <c r="M115" s="697"/>
      <c r="N115" s="698"/>
      <c r="O115" s="697"/>
      <c r="P115" s="697"/>
      <c r="Q115" s="697"/>
      <c r="R115" s="697"/>
      <c r="S115" s="697"/>
      <c r="T115" s="697"/>
      <c r="U115" s="697"/>
      <c r="V115" s="698"/>
      <c r="W115" s="698"/>
      <c r="X115" s="697"/>
      <c r="Y115" s="697"/>
      <c r="Z115" s="697"/>
      <c r="AA115" s="697"/>
      <c r="AB115" s="697"/>
    </row>
    <row r="116" spans="1:28" x14ac:dyDescent="0.2">
      <c r="A116" s="694" t="str">
        <f>+Info!$B$2</f>
        <v>724</v>
      </c>
      <c r="B116" s="694" t="s">
        <v>4670</v>
      </c>
      <c r="C116" s="694" t="s">
        <v>4671</v>
      </c>
      <c r="D116" s="695" t="s">
        <v>4672</v>
      </c>
      <c r="E116" s="696"/>
      <c r="F116" s="697"/>
      <c r="G116" s="697"/>
      <c r="H116" s="698"/>
      <c r="I116" s="697"/>
      <c r="J116" s="698"/>
      <c r="K116" s="697"/>
      <c r="L116" s="697"/>
      <c r="M116" s="697"/>
      <c r="N116" s="698"/>
      <c r="O116" s="697"/>
      <c r="P116" s="697"/>
      <c r="Q116" s="697"/>
      <c r="R116" s="697"/>
      <c r="S116" s="697"/>
      <c r="T116" s="697"/>
      <c r="U116" s="697"/>
      <c r="V116" s="698"/>
      <c r="W116" s="698"/>
      <c r="X116" s="697"/>
      <c r="Y116" s="697"/>
      <c r="Z116" s="697"/>
      <c r="AA116" s="697"/>
      <c r="AB116" s="697"/>
    </row>
    <row r="117" spans="1:28" x14ac:dyDescent="0.2">
      <c r="A117" s="694" t="str">
        <f>+Info!$B$2</f>
        <v>724</v>
      </c>
      <c r="B117" s="694" t="s">
        <v>4673</v>
      </c>
      <c r="C117" s="694" t="s">
        <v>4674</v>
      </c>
      <c r="D117" s="695" t="s">
        <v>4675</v>
      </c>
      <c r="E117" s="696"/>
      <c r="F117" s="697"/>
      <c r="G117" s="697"/>
      <c r="H117" s="698"/>
      <c r="I117" s="697"/>
      <c r="J117" s="698"/>
      <c r="K117" s="697"/>
      <c r="L117" s="697"/>
      <c r="M117" s="697"/>
      <c r="N117" s="698"/>
      <c r="O117" s="697"/>
      <c r="P117" s="697"/>
      <c r="Q117" s="697"/>
      <c r="R117" s="697"/>
      <c r="S117" s="697"/>
      <c r="T117" s="697"/>
      <c r="U117" s="697"/>
      <c r="V117" s="698"/>
      <c r="W117" s="698"/>
      <c r="X117" s="697"/>
      <c r="Y117" s="697"/>
      <c r="Z117" s="697"/>
      <c r="AA117" s="697"/>
      <c r="AB117" s="697"/>
    </row>
    <row r="118" spans="1:28" x14ac:dyDescent="0.2">
      <c r="A118" s="694" t="str">
        <f>+Info!$B$2</f>
        <v>724</v>
      </c>
      <c r="B118" s="694" t="s">
        <v>4676</v>
      </c>
      <c r="C118" s="694" t="s">
        <v>4677</v>
      </c>
      <c r="D118" s="695" t="s">
        <v>4678</v>
      </c>
      <c r="E118" s="696"/>
      <c r="F118" s="697"/>
      <c r="G118" s="697"/>
      <c r="H118" s="698"/>
      <c r="I118" s="697"/>
      <c r="J118" s="697"/>
      <c r="K118" s="697"/>
      <c r="L118" s="697"/>
      <c r="M118" s="697"/>
      <c r="N118" s="698"/>
      <c r="O118" s="697"/>
      <c r="P118" s="697"/>
      <c r="Q118" s="697"/>
      <c r="R118" s="697"/>
      <c r="S118" s="697"/>
      <c r="T118" s="697"/>
      <c r="U118" s="697"/>
      <c r="V118" s="698"/>
      <c r="W118" s="698"/>
      <c r="X118" s="697"/>
      <c r="Y118" s="697"/>
      <c r="Z118" s="697"/>
      <c r="AA118" s="697"/>
      <c r="AB118" s="697"/>
    </row>
    <row r="119" spans="1:28" ht="25.5" x14ac:dyDescent="0.2">
      <c r="A119" s="694" t="str">
        <f>+Info!$B$2</f>
        <v>724</v>
      </c>
      <c r="B119" s="694" t="s">
        <v>4679</v>
      </c>
      <c r="C119" s="694" t="s">
        <v>4680</v>
      </c>
      <c r="D119" s="695" t="s">
        <v>4681</v>
      </c>
      <c r="E119" s="696"/>
      <c r="F119" s="697"/>
      <c r="G119" s="697"/>
      <c r="H119" s="698"/>
      <c r="I119" s="697"/>
      <c r="J119" s="697"/>
      <c r="K119" s="697"/>
      <c r="L119" s="697"/>
      <c r="M119" s="697"/>
      <c r="N119" s="698"/>
      <c r="O119" s="697"/>
      <c r="P119" s="697"/>
      <c r="Q119" s="697"/>
      <c r="R119" s="697"/>
      <c r="S119" s="697"/>
      <c r="T119" s="697"/>
      <c r="U119" s="697"/>
      <c r="V119" s="698"/>
      <c r="W119" s="698"/>
      <c r="X119" s="697"/>
      <c r="Y119" s="697"/>
      <c r="Z119" s="697"/>
      <c r="AA119" s="697"/>
      <c r="AB119" s="697"/>
    </row>
    <row r="120" spans="1:28" ht="25.5" x14ac:dyDescent="0.2">
      <c r="A120" s="694" t="str">
        <f>+Info!$B$2</f>
        <v>724</v>
      </c>
      <c r="B120" s="694" t="s">
        <v>4682</v>
      </c>
      <c r="C120" s="694" t="s">
        <v>4683</v>
      </c>
      <c r="D120" s="695" t="s">
        <v>4684</v>
      </c>
      <c r="E120" s="696"/>
      <c r="F120" s="697"/>
      <c r="G120" s="697"/>
      <c r="H120" s="698"/>
      <c r="I120" s="697"/>
      <c r="J120" s="697"/>
      <c r="K120" s="697"/>
      <c r="L120" s="697"/>
      <c r="M120" s="697"/>
      <c r="N120" s="698"/>
      <c r="O120" s="697"/>
      <c r="P120" s="697"/>
      <c r="Q120" s="697"/>
      <c r="R120" s="697"/>
      <c r="S120" s="697"/>
      <c r="T120" s="697"/>
      <c r="U120" s="697"/>
      <c r="V120" s="698"/>
      <c r="W120" s="698"/>
      <c r="X120" s="697"/>
      <c r="Y120" s="697"/>
      <c r="Z120" s="697"/>
      <c r="AA120" s="697"/>
      <c r="AB120" s="697"/>
    </row>
    <row r="121" spans="1:28" ht="25.5" x14ac:dyDescent="0.2">
      <c r="A121" s="694" t="str">
        <f>+Info!$B$2</f>
        <v>724</v>
      </c>
      <c r="B121" s="694" t="s">
        <v>4685</v>
      </c>
      <c r="C121" s="694" t="s">
        <v>4686</v>
      </c>
      <c r="D121" s="695" t="s">
        <v>4687</v>
      </c>
      <c r="E121" s="696"/>
      <c r="F121" s="697"/>
      <c r="G121" s="697"/>
      <c r="H121" s="698"/>
      <c r="I121" s="697"/>
      <c r="J121" s="697"/>
      <c r="K121" s="697"/>
      <c r="L121" s="697"/>
      <c r="M121" s="697"/>
      <c r="N121" s="698"/>
      <c r="O121" s="697"/>
      <c r="P121" s="697"/>
      <c r="Q121" s="697"/>
      <c r="R121" s="697"/>
      <c r="S121" s="697"/>
      <c r="T121" s="697"/>
      <c r="U121" s="697"/>
      <c r="V121" s="698"/>
      <c r="W121" s="698"/>
      <c r="X121" s="697"/>
      <c r="Y121" s="697"/>
      <c r="Z121" s="697"/>
      <c r="AA121" s="697"/>
      <c r="AB121" s="697"/>
    </row>
    <row r="122" spans="1:28" ht="25.5" x14ac:dyDescent="0.2">
      <c r="A122" s="694" t="str">
        <f>+Info!$B$2</f>
        <v>724</v>
      </c>
      <c r="B122" s="694" t="s">
        <v>4688</v>
      </c>
      <c r="C122" s="694" t="s">
        <v>4689</v>
      </c>
      <c r="D122" s="695" t="s">
        <v>4690</v>
      </c>
      <c r="E122" s="696"/>
      <c r="F122" s="697"/>
      <c r="G122" s="697"/>
      <c r="H122" s="698"/>
      <c r="I122" s="697"/>
      <c r="J122" s="697"/>
      <c r="K122" s="697"/>
      <c r="L122" s="697"/>
      <c r="M122" s="697"/>
      <c r="N122" s="698"/>
      <c r="O122" s="697"/>
      <c r="P122" s="697"/>
      <c r="Q122" s="697"/>
      <c r="R122" s="697"/>
      <c r="S122" s="697"/>
      <c r="T122" s="697"/>
      <c r="U122" s="697"/>
      <c r="V122" s="698"/>
      <c r="W122" s="698"/>
      <c r="X122" s="697"/>
      <c r="Y122" s="697"/>
      <c r="Z122" s="697"/>
      <c r="AA122" s="697"/>
      <c r="AB122" s="697"/>
    </row>
    <row r="123" spans="1:28" ht="25.5" x14ac:dyDescent="0.2">
      <c r="A123" s="694" t="str">
        <f>+Info!$B$2</f>
        <v>724</v>
      </c>
      <c r="B123" s="694" t="s">
        <v>4691</v>
      </c>
      <c r="C123" s="694" t="s">
        <v>4692</v>
      </c>
      <c r="D123" s="695" t="s">
        <v>4693</v>
      </c>
      <c r="E123" s="696"/>
      <c r="F123" s="697"/>
      <c r="G123" s="697"/>
      <c r="H123" s="698"/>
      <c r="I123" s="697"/>
      <c r="J123" s="698"/>
      <c r="K123" s="697"/>
      <c r="L123" s="697"/>
      <c r="M123" s="697"/>
      <c r="N123" s="698"/>
      <c r="O123" s="697"/>
      <c r="P123" s="697"/>
      <c r="Q123" s="697"/>
      <c r="R123" s="697"/>
      <c r="S123" s="697"/>
      <c r="T123" s="697"/>
      <c r="U123" s="697"/>
      <c r="V123" s="698"/>
      <c r="W123" s="698"/>
      <c r="X123" s="697"/>
      <c r="Y123" s="697"/>
      <c r="Z123" s="697"/>
      <c r="AA123" s="697"/>
      <c r="AB123" s="697"/>
    </row>
    <row r="124" spans="1:28" ht="25.5" x14ac:dyDescent="0.2">
      <c r="A124" s="694" t="str">
        <f>+Info!$B$2</f>
        <v>724</v>
      </c>
      <c r="B124" s="694" t="s">
        <v>4694</v>
      </c>
      <c r="C124" s="694" t="s">
        <v>4695</v>
      </c>
      <c r="D124" s="695" t="s">
        <v>4696</v>
      </c>
      <c r="E124" s="696"/>
      <c r="F124" s="697"/>
      <c r="G124" s="697"/>
      <c r="H124" s="698"/>
      <c r="I124" s="697"/>
      <c r="J124" s="698"/>
      <c r="K124" s="697"/>
      <c r="L124" s="697"/>
      <c r="M124" s="697"/>
      <c r="N124" s="698"/>
      <c r="O124" s="697"/>
      <c r="P124" s="697"/>
      <c r="Q124" s="697"/>
      <c r="R124" s="697"/>
      <c r="S124" s="697"/>
      <c r="T124" s="697"/>
      <c r="U124" s="697"/>
      <c r="V124" s="698"/>
      <c r="W124" s="698"/>
      <c r="X124" s="697"/>
      <c r="Y124" s="697"/>
      <c r="Z124" s="697"/>
      <c r="AA124" s="697"/>
      <c r="AB124" s="697"/>
    </row>
    <row r="125" spans="1:28" ht="25.5" x14ac:dyDescent="0.2">
      <c r="A125" s="694" t="str">
        <f>+Info!$B$2</f>
        <v>724</v>
      </c>
      <c r="B125" s="694" t="s">
        <v>4697</v>
      </c>
      <c r="C125" s="694" t="s">
        <v>4698</v>
      </c>
      <c r="D125" s="695" t="s">
        <v>4699</v>
      </c>
      <c r="E125" s="696"/>
      <c r="F125" s="697"/>
      <c r="G125" s="697"/>
      <c r="H125" s="698"/>
      <c r="I125" s="697"/>
      <c r="J125" s="698"/>
      <c r="K125" s="697"/>
      <c r="L125" s="697"/>
      <c r="M125" s="697"/>
      <c r="N125" s="698"/>
      <c r="O125" s="697"/>
      <c r="P125" s="697"/>
      <c r="Q125" s="697"/>
      <c r="R125" s="697"/>
      <c r="S125" s="697"/>
      <c r="T125" s="697"/>
      <c r="U125" s="697"/>
      <c r="V125" s="698"/>
      <c r="W125" s="698"/>
      <c r="X125" s="697"/>
      <c r="Y125" s="697"/>
      <c r="Z125" s="697"/>
      <c r="AA125" s="697"/>
      <c r="AB125" s="697"/>
    </row>
    <row r="126" spans="1:28" ht="25.5" x14ac:dyDescent="0.2">
      <c r="A126" s="694" t="str">
        <f>+Info!$B$2</f>
        <v>724</v>
      </c>
      <c r="B126" s="694" t="s">
        <v>4700</v>
      </c>
      <c r="C126" s="694" t="s">
        <v>4701</v>
      </c>
      <c r="D126" s="695" t="s">
        <v>4702</v>
      </c>
      <c r="E126" s="696"/>
      <c r="F126" s="697"/>
      <c r="G126" s="697"/>
      <c r="H126" s="698"/>
      <c r="I126" s="697"/>
      <c r="J126" s="698"/>
      <c r="K126" s="697"/>
      <c r="L126" s="697"/>
      <c r="M126" s="697"/>
      <c r="N126" s="698"/>
      <c r="O126" s="697"/>
      <c r="P126" s="697"/>
      <c r="Q126" s="697"/>
      <c r="R126" s="697"/>
      <c r="S126" s="697"/>
      <c r="T126" s="697"/>
      <c r="U126" s="697"/>
      <c r="V126" s="698"/>
      <c r="W126" s="698"/>
      <c r="X126" s="697"/>
      <c r="Y126" s="697"/>
      <c r="Z126" s="697"/>
      <c r="AA126" s="697"/>
      <c r="AB126" s="697"/>
    </row>
    <row r="127" spans="1:28" ht="25.5" x14ac:dyDescent="0.2">
      <c r="A127" s="694" t="str">
        <f>+Info!$B$2</f>
        <v>724</v>
      </c>
      <c r="B127" s="694" t="s">
        <v>4703</v>
      </c>
      <c r="C127" s="694" t="s">
        <v>4704</v>
      </c>
      <c r="D127" s="695" t="s">
        <v>4705</v>
      </c>
      <c r="E127" s="696"/>
      <c r="F127" s="697"/>
      <c r="G127" s="697"/>
      <c r="H127" s="698"/>
      <c r="I127" s="697"/>
      <c r="J127" s="698"/>
      <c r="K127" s="697"/>
      <c r="L127" s="697"/>
      <c r="M127" s="697"/>
      <c r="N127" s="698"/>
      <c r="O127" s="697"/>
      <c r="P127" s="697"/>
      <c r="Q127" s="697"/>
      <c r="R127" s="697"/>
      <c r="S127" s="697"/>
      <c r="T127" s="697"/>
      <c r="U127" s="697"/>
      <c r="V127" s="698"/>
      <c r="W127" s="698"/>
      <c r="X127" s="697"/>
      <c r="Y127" s="697"/>
      <c r="Z127" s="697"/>
      <c r="AA127" s="697"/>
      <c r="AB127" s="697"/>
    </row>
    <row r="128" spans="1:28" ht="25.5" x14ac:dyDescent="0.2">
      <c r="A128" s="694" t="str">
        <f>+Info!$B$2</f>
        <v>724</v>
      </c>
      <c r="B128" s="694" t="s">
        <v>4706</v>
      </c>
      <c r="C128" s="694" t="s">
        <v>4707</v>
      </c>
      <c r="D128" s="695" t="s">
        <v>4708</v>
      </c>
      <c r="E128" s="696"/>
      <c r="F128" s="697"/>
      <c r="G128" s="697"/>
      <c r="H128" s="698"/>
      <c r="I128" s="697"/>
      <c r="J128" s="698"/>
      <c r="K128" s="697"/>
      <c r="L128" s="697"/>
      <c r="M128" s="697"/>
      <c r="N128" s="698"/>
      <c r="O128" s="697"/>
      <c r="P128" s="697"/>
      <c r="Q128" s="697"/>
      <c r="R128" s="697"/>
      <c r="S128" s="697"/>
      <c r="T128" s="697"/>
      <c r="U128" s="697"/>
      <c r="V128" s="698"/>
      <c r="W128" s="698"/>
      <c r="X128" s="697"/>
      <c r="Y128" s="697"/>
      <c r="Z128" s="697"/>
      <c r="AA128" s="697"/>
      <c r="AB128" s="697"/>
    </row>
    <row r="129" spans="1:28" ht="25.5" x14ac:dyDescent="0.2">
      <c r="A129" s="694" t="str">
        <f>+Info!$B$2</f>
        <v>724</v>
      </c>
      <c r="B129" s="694" t="s">
        <v>4709</v>
      </c>
      <c r="C129" s="694" t="s">
        <v>4710</v>
      </c>
      <c r="D129" s="695" t="s">
        <v>4711</v>
      </c>
      <c r="E129" s="696"/>
      <c r="F129" s="697"/>
      <c r="G129" s="697"/>
      <c r="H129" s="698"/>
      <c r="I129" s="697"/>
      <c r="J129" s="698"/>
      <c r="K129" s="697"/>
      <c r="L129" s="697"/>
      <c r="M129" s="697"/>
      <c r="N129" s="698"/>
      <c r="O129" s="697"/>
      <c r="P129" s="697"/>
      <c r="Q129" s="697"/>
      <c r="R129" s="697"/>
      <c r="S129" s="697"/>
      <c r="T129" s="697"/>
      <c r="U129" s="697"/>
      <c r="V129" s="698"/>
      <c r="W129" s="698"/>
      <c r="X129" s="697"/>
      <c r="Y129" s="697"/>
      <c r="Z129" s="697"/>
      <c r="AA129" s="697"/>
      <c r="AB129" s="697"/>
    </row>
    <row r="130" spans="1:28" ht="25.5" x14ac:dyDescent="0.2">
      <c r="A130" s="694" t="str">
        <f>+Info!$B$2</f>
        <v>724</v>
      </c>
      <c r="B130" s="694" t="s">
        <v>4712</v>
      </c>
      <c r="C130" s="694" t="s">
        <v>4713</v>
      </c>
      <c r="D130" s="695" t="s">
        <v>4714</v>
      </c>
      <c r="E130" s="696"/>
      <c r="F130" s="697"/>
      <c r="G130" s="697"/>
      <c r="H130" s="698"/>
      <c r="I130" s="697"/>
      <c r="J130" s="698"/>
      <c r="K130" s="697"/>
      <c r="L130" s="697"/>
      <c r="M130" s="697"/>
      <c r="N130" s="698"/>
      <c r="O130" s="697"/>
      <c r="P130" s="697"/>
      <c r="Q130" s="697"/>
      <c r="R130" s="697"/>
      <c r="S130" s="697"/>
      <c r="T130" s="697"/>
      <c r="U130" s="697"/>
      <c r="V130" s="698"/>
      <c r="W130" s="698"/>
      <c r="X130" s="697"/>
      <c r="Y130" s="697"/>
      <c r="Z130" s="697"/>
      <c r="AA130" s="697"/>
      <c r="AB130" s="697"/>
    </row>
    <row r="131" spans="1:28" ht="25.5" x14ac:dyDescent="0.2">
      <c r="A131" s="694" t="str">
        <f>+Info!$B$2</f>
        <v>724</v>
      </c>
      <c r="B131" s="694" t="s">
        <v>4715</v>
      </c>
      <c r="C131" s="694" t="s">
        <v>4716</v>
      </c>
      <c r="D131" s="695" t="s">
        <v>4717</v>
      </c>
      <c r="E131" s="696"/>
      <c r="F131" s="697"/>
      <c r="G131" s="697"/>
      <c r="H131" s="698"/>
      <c r="I131" s="697"/>
      <c r="J131" s="697"/>
      <c r="K131" s="697"/>
      <c r="L131" s="697"/>
      <c r="M131" s="697"/>
      <c r="N131" s="698"/>
      <c r="O131" s="697"/>
      <c r="P131" s="697"/>
      <c r="Q131" s="697"/>
      <c r="R131" s="697"/>
      <c r="S131" s="697"/>
      <c r="T131" s="697"/>
      <c r="U131" s="697"/>
      <c r="V131" s="698"/>
      <c r="W131" s="698"/>
      <c r="X131" s="697"/>
      <c r="Y131" s="697"/>
      <c r="Z131" s="697"/>
      <c r="AA131" s="697"/>
      <c r="AB131" s="697"/>
    </row>
    <row r="132" spans="1:28" ht="15" x14ac:dyDescent="0.25">
      <c r="A132" s="691" t="str">
        <f>+Info!$B$2</f>
        <v>724</v>
      </c>
      <c r="B132" s="691" t="s">
        <v>4718</v>
      </c>
      <c r="C132" s="691" t="s">
        <v>4719</v>
      </c>
      <c r="D132" s="692" t="s">
        <v>4720</v>
      </c>
      <c r="E132" s="693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</row>
    <row r="133" spans="1:28" ht="25.5" x14ac:dyDescent="0.2">
      <c r="A133" s="694" t="str">
        <f>+Info!$B$2</f>
        <v>724</v>
      </c>
      <c r="B133" s="694" t="s">
        <v>4721</v>
      </c>
      <c r="C133" s="694" t="s">
        <v>4722</v>
      </c>
      <c r="D133" s="695" t="s">
        <v>4723</v>
      </c>
      <c r="E133" s="696"/>
      <c r="F133" s="697"/>
      <c r="G133" s="697"/>
      <c r="H133" s="698"/>
      <c r="I133" s="697"/>
      <c r="J133" s="698"/>
      <c r="K133" s="697"/>
      <c r="L133" s="697"/>
      <c r="M133" s="697"/>
      <c r="N133" s="698"/>
      <c r="O133" s="697"/>
      <c r="P133" s="697"/>
      <c r="Q133" s="697"/>
      <c r="R133" s="697"/>
      <c r="S133" s="697"/>
      <c r="T133" s="697"/>
      <c r="U133" s="697"/>
      <c r="V133" s="698"/>
      <c r="W133" s="698"/>
      <c r="X133" s="697"/>
      <c r="Y133" s="697"/>
      <c r="Z133" s="697"/>
      <c r="AA133" s="697"/>
      <c r="AB133" s="697"/>
    </row>
    <row r="134" spans="1:28" ht="25.5" x14ac:dyDescent="0.2">
      <c r="A134" s="694" t="str">
        <f>+Info!$B$2</f>
        <v>724</v>
      </c>
      <c r="B134" s="694" t="s">
        <v>4724</v>
      </c>
      <c r="C134" s="694" t="s">
        <v>4725</v>
      </c>
      <c r="D134" s="695" t="s">
        <v>4726</v>
      </c>
      <c r="E134" s="696"/>
      <c r="F134" s="697"/>
      <c r="G134" s="697"/>
      <c r="H134" s="698"/>
      <c r="I134" s="697"/>
      <c r="J134" s="698"/>
      <c r="K134" s="697"/>
      <c r="L134" s="697"/>
      <c r="M134" s="697"/>
      <c r="N134" s="698"/>
      <c r="O134" s="697"/>
      <c r="P134" s="697"/>
      <c r="Q134" s="697"/>
      <c r="R134" s="697"/>
      <c r="S134" s="697"/>
      <c r="T134" s="697"/>
      <c r="U134" s="697"/>
      <c r="V134" s="698"/>
      <c r="W134" s="698"/>
      <c r="X134" s="697"/>
      <c r="Y134" s="697"/>
      <c r="Z134" s="697"/>
      <c r="AA134" s="697"/>
      <c r="AB134" s="697"/>
    </row>
    <row r="135" spans="1:28" ht="25.5" x14ac:dyDescent="0.2">
      <c r="A135" s="694" t="str">
        <f>+Info!$B$2</f>
        <v>724</v>
      </c>
      <c r="B135" s="694" t="s">
        <v>4727</v>
      </c>
      <c r="C135" s="694" t="s">
        <v>4728</v>
      </c>
      <c r="D135" s="695" t="s">
        <v>4729</v>
      </c>
      <c r="E135" s="696"/>
      <c r="F135" s="697"/>
      <c r="G135" s="697"/>
      <c r="H135" s="698"/>
      <c r="I135" s="697"/>
      <c r="J135" s="698"/>
      <c r="K135" s="697"/>
      <c r="L135" s="697"/>
      <c r="M135" s="697"/>
      <c r="N135" s="698"/>
      <c r="O135" s="697"/>
      <c r="P135" s="697"/>
      <c r="Q135" s="697"/>
      <c r="R135" s="697"/>
      <c r="S135" s="697"/>
      <c r="T135" s="697"/>
      <c r="U135" s="697"/>
      <c r="V135" s="698"/>
      <c r="W135" s="698"/>
      <c r="X135" s="697"/>
      <c r="Y135" s="697"/>
      <c r="Z135" s="697"/>
      <c r="AA135" s="697"/>
      <c r="AB135" s="697"/>
    </row>
    <row r="136" spans="1:28" ht="25.5" x14ac:dyDescent="0.2">
      <c r="A136" s="694" t="str">
        <f>+Info!$B$2</f>
        <v>724</v>
      </c>
      <c r="B136" s="694" t="s">
        <v>4730</v>
      </c>
      <c r="C136" s="694" t="s">
        <v>4731</v>
      </c>
      <c r="D136" s="695" t="s">
        <v>4732</v>
      </c>
      <c r="E136" s="696"/>
      <c r="F136" s="697"/>
      <c r="G136" s="697"/>
      <c r="H136" s="698"/>
      <c r="I136" s="697"/>
      <c r="J136" s="698"/>
      <c r="K136" s="697"/>
      <c r="L136" s="697"/>
      <c r="M136" s="697"/>
      <c r="N136" s="698"/>
      <c r="O136" s="697"/>
      <c r="P136" s="697"/>
      <c r="Q136" s="697"/>
      <c r="R136" s="697"/>
      <c r="S136" s="697"/>
      <c r="T136" s="697"/>
      <c r="U136" s="697"/>
      <c r="V136" s="698"/>
      <c r="W136" s="698"/>
      <c r="X136" s="697"/>
      <c r="Y136" s="697"/>
      <c r="Z136" s="697"/>
      <c r="AA136" s="697"/>
      <c r="AB136" s="697"/>
    </row>
    <row r="137" spans="1:28" ht="25.5" x14ac:dyDescent="0.2">
      <c r="A137" s="694" t="str">
        <f>+Info!$B$2</f>
        <v>724</v>
      </c>
      <c r="B137" s="694" t="s">
        <v>4733</v>
      </c>
      <c r="C137" s="694" t="s">
        <v>4734</v>
      </c>
      <c r="D137" s="695" t="s">
        <v>4735</v>
      </c>
      <c r="E137" s="696"/>
      <c r="F137" s="697"/>
      <c r="G137" s="697"/>
      <c r="H137" s="698"/>
      <c r="I137" s="697"/>
      <c r="J137" s="698"/>
      <c r="K137" s="697"/>
      <c r="L137" s="697"/>
      <c r="M137" s="697"/>
      <c r="N137" s="698"/>
      <c r="O137" s="697"/>
      <c r="P137" s="697"/>
      <c r="Q137" s="697"/>
      <c r="R137" s="697"/>
      <c r="S137" s="697"/>
      <c r="T137" s="697"/>
      <c r="U137" s="697"/>
      <c r="V137" s="698"/>
      <c r="W137" s="698"/>
      <c r="X137" s="697"/>
      <c r="Y137" s="697"/>
      <c r="Z137" s="697"/>
      <c r="AA137" s="697"/>
      <c r="AB137" s="697"/>
    </row>
    <row r="138" spans="1:28" ht="25.5" x14ac:dyDescent="0.2">
      <c r="A138" s="694" t="str">
        <f>+Info!$B$2</f>
        <v>724</v>
      </c>
      <c r="B138" s="694" t="s">
        <v>4736</v>
      </c>
      <c r="C138" s="694" t="s">
        <v>4737</v>
      </c>
      <c r="D138" s="695" t="s">
        <v>4738</v>
      </c>
      <c r="E138" s="696"/>
      <c r="F138" s="697"/>
      <c r="G138" s="697"/>
      <c r="H138" s="698"/>
      <c r="I138" s="697"/>
      <c r="J138" s="698"/>
      <c r="K138" s="697"/>
      <c r="L138" s="697"/>
      <c r="M138" s="697"/>
      <c r="N138" s="698"/>
      <c r="O138" s="697"/>
      <c r="P138" s="697"/>
      <c r="Q138" s="697"/>
      <c r="R138" s="697"/>
      <c r="S138" s="697"/>
      <c r="T138" s="697"/>
      <c r="U138" s="697"/>
      <c r="V138" s="698"/>
      <c r="W138" s="698"/>
      <c r="X138" s="697"/>
      <c r="Y138" s="697"/>
      <c r="Z138" s="697"/>
      <c r="AA138" s="697"/>
      <c r="AB138" s="697"/>
    </row>
    <row r="139" spans="1:28" x14ac:dyDescent="0.2">
      <c r="A139" s="694" t="str">
        <f>+Info!$B$2</f>
        <v>724</v>
      </c>
      <c r="B139" s="694" t="s">
        <v>4739</v>
      </c>
      <c r="C139" s="694" t="s">
        <v>4740</v>
      </c>
      <c r="D139" s="695" t="s">
        <v>4741</v>
      </c>
      <c r="E139" s="696"/>
      <c r="F139" s="697"/>
      <c r="G139" s="697"/>
      <c r="H139" s="698"/>
      <c r="I139" s="697"/>
      <c r="J139" s="698"/>
      <c r="K139" s="697"/>
      <c r="L139" s="697"/>
      <c r="M139" s="697"/>
      <c r="N139" s="698"/>
      <c r="O139" s="697"/>
      <c r="P139" s="697"/>
      <c r="Q139" s="697"/>
      <c r="R139" s="697"/>
      <c r="S139" s="697"/>
      <c r="T139" s="697"/>
      <c r="U139" s="697"/>
      <c r="V139" s="698"/>
      <c r="W139" s="698"/>
      <c r="X139" s="697"/>
      <c r="Y139" s="697"/>
      <c r="Z139" s="697"/>
      <c r="AA139" s="697"/>
      <c r="AB139" s="697"/>
    </row>
    <row r="140" spans="1:28" ht="25.5" x14ac:dyDescent="0.2">
      <c r="A140" s="694" t="str">
        <f>+Info!$B$2</f>
        <v>724</v>
      </c>
      <c r="B140" s="694" t="s">
        <v>4742</v>
      </c>
      <c r="C140" s="694" t="s">
        <v>4743</v>
      </c>
      <c r="D140" s="695" t="s">
        <v>4744</v>
      </c>
      <c r="E140" s="696"/>
      <c r="F140" s="697"/>
      <c r="G140" s="697"/>
      <c r="H140" s="698"/>
      <c r="I140" s="697"/>
      <c r="J140" s="698"/>
      <c r="K140" s="697"/>
      <c r="L140" s="697"/>
      <c r="M140" s="697"/>
      <c r="N140" s="698"/>
      <c r="O140" s="697"/>
      <c r="P140" s="697"/>
      <c r="Q140" s="697"/>
      <c r="R140" s="697"/>
      <c r="S140" s="697"/>
      <c r="T140" s="697"/>
      <c r="U140" s="697"/>
      <c r="V140" s="698"/>
      <c r="W140" s="698"/>
      <c r="X140" s="697"/>
      <c r="Y140" s="697"/>
      <c r="Z140" s="697"/>
      <c r="AA140" s="697"/>
      <c r="AB140" s="697"/>
    </row>
    <row r="141" spans="1:28" ht="25.5" x14ac:dyDescent="0.2">
      <c r="A141" s="694" t="str">
        <f>+Info!$B$2</f>
        <v>724</v>
      </c>
      <c r="B141" s="694" t="s">
        <v>4745</v>
      </c>
      <c r="C141" s="694" t="s">
        <v>4746</v>
      </c>
      <c r="D141" s="695" t="s">
        <v>4747</v>
      </c>
      <c r="E141" s="696"/>
      <c r="F141" s="697"/>
      <c r="G141" s="697"/>
      <c r="H141" s="698"/>
      <c r="I141" s="697"/>
      <c r="J141" s="698"/>
      <c r="K141" s="697"/>
      <c r="L141" s="697"/>
      <c r="M141" s="697"/>
      <c r="N141" s="698"/>
      <c r="O141" s="697"/>
      <c r="P141" s="697"/>
      <c r="Q141" s="697"/>
      <c r="R141" s="697"/>
      <c r="S141" s="697"/>
      <c r="T141" s="697"/>
      <c r="U141" s="697"/>
      <c r="V141" s="698"/>
      <c r="W141" s="698"/>
      <c r="X141" s="697"/>
      <c r="Y141" s="697"/>
      <c r="Z141" s="697"/>
      <c r="AA141" s="697"/>
      <c r="AB141" s="697"/>
    </row>
    <row r="142" spans="1:28" ht="25.5" x14ac:dyDescent="0.2">
      <c r="A142" s="694" t="str">
        <f>+Info!$B$2</f>
        <v>724</v>
      </c>
      <c r="B142" s="694" t="s">
        <v>4748</v>
      </c>
      <c r="C142" s="694" t="s">
        <v>4749</v>
      </c>
      <c r="D142" s="695" t="s">
        <v>4750</v>
      </c>
      <c r="E142" s="696"/>
      <c r="F142" s="697"/>
      <c r="G142" s="697"/>
      <c r="H142" s="698"/>
      <c r="I142" s="697"/>
      <c r="J142" s="698"/>
      <c r="K142" s="697"/>
      <c r="L142" s="697"/>
      <c r="M142" s="697"/>
      <c r="N142" s="698"/>
      <c r="O142" s="697"/>
      <c r="P142" s="697"/>
      <c r="Q142" s="697"/>
      <c r="R142" s="697"/>
      <c r="S142" s="697"/>
      <c r="T142" s="697"/>
      <c r="U142" s="697"/>
      <c r="V142" s="698"/>
      <c r="W142" s="698"/>
      <c r="X142" s="697"/>
      <c r="Y142" s="697"/>
      <c r="Z142" s="697"/>
      <c r="AA142" s="697"/>
      <c r="AB142" s="697"/>
    </row>
    <row r="143" spans="1:28" ht="25.5" x14ac:dyDescent="0.2">
      <c r="A143" s="694" t="str">
        <f>+Info!$B$2</f>
        <v>724</v>
      </c>
      <c r="B143" s="694" t="s">
        <v>4751</v>
      </c>
      <c r="C143" s="694" t="s">
        <v>4752</v>
      </c>
      <c r="D143" s="695" t="s">
        <v>4753</v>
      </c>
      <c r="E143" s="696"/>
      <c r="F143" s="697"/>
      <c r="G143" s="697"/>
      <c r="H143" s="698"/>
      <c r="I143" s="697"/>
      <c r="J143" s="698"/>
      <c r="K143" s="697"/>
      <c r="L143" s="697"/>
      <c r="M143" s="697"/>
      <c r="N143" s="698"/>
      <c r="O143" s="697"/>
      <c r="P143" s="697"/>
      <c r="Q143" s="697"/>
      <c r="R143" s="697"/>
      <c r="S143" s="697"/>
      <c r="T143" s="697"/>
      <c r="U143" s="697"/>
      <c r="V143" s="698"/>
      <c r="W143" s="698"/>
      <c r="X143" s="697"/>
      <c r="Y143" s="697"/>
      <c r="Z143" s="697"/>
      <c r="AA143" s="697"/>
      <c r="AB143" s="697"/>
    </row>
    <row r="144" spans="1:28" ht="25.5" x14ac:dyDescent="0.2">
      <c r="A144" s="694" t="str">
        <f>+Info!$B$2</f>
        <v>724</v>
      </c>
      <c r="B144" s="694" t="s">
        <v>4754</v>
      </c>
      <c r="C144" s="694" t="s">
        <v>4755</v>
      </c>
      <c r="D144" s="695" t="s">
        <v>4756</v>
      </c>
      <c r="E144" s="696"/>
      <c r="F144" s="697"/>
      <c r="G144" s="697"/>
      <c r="H144" s="698"/>
      <c r="I144" s="697"/>
      <c r="J144" s="698"/>
      <c r="K144" s="697"/>
      <c r="L144" s="697"/>
      <c r="M144" s="697"/>
      <c r="N144" s="698"/>
      <c r="O144" s="697"/>
      <c r="P144" s="697"/>
      <c r="Q144" s="697"/>
      <c r="R144" s="697"/>
      <c r="S144" s="697"/>
      <c r="T144" s="697"/>
      <c r="U144" s="697"/>
      <c r="V144" s="698"/>
      <c r="W144" s="698"/>
      <c r="X144" s="697"/>
      <c r="Y144" s="697"/>
      <c r="Z144" s="697"/>
      <c r="AA144" s="697"/>
      <c r="AB144" s="697"/>
    </row>
    <row r="145" spans="1:28" ht="25.5" x14ac:dyDescent="0.2">
      <c r="A145" s="694" t="str">
        <f>+Info!$B$2</f>
        <v>724</v>
      </c>
      <c r="B145" s="694" t="s">
        <v>4757</v>
      </c>
      <c r="C145" s="694" t="s">
        <v>4758</v>
      </c>
      <c r="D145" s="695" t="s">
        <v>4759</v>
      </c>
      <c r="E145" s="696"/>
      <c r="F145" s="697"/>
      <c r="G145" s="697"/>
      <c r="H145" s="698"/>
      <c r="I145" s="697"/>
      <c r="J145" s="698"/>
      <c r="K145" s="697"/>
      <c r="L145" s="697"/>
      <c r="M145" s="697"/>
      <c r="N145" s="698"/>
      <c r="O145" s="697"/>
      <c r="P145" s="697"/>
      <c r="Q145" s="697"/>
      <c r="R145" s="697"/>
      <c r="S145" s="697"/>
      <c r="T145" s="697"/>
      <c r="U145" s="697"/>
      <c r="V145" s="698"/>
      <c r="W145" s="698"/>
      <c r="X145" s="697"/>
      <c r="Y145" s="697"/>
      <c r="Z145" s="697"/>
      <c r="AA145" s="697"/>
      <c r="AB145" s="697"/>
    </row>
    <row r="146" spans="1:28" ht="25.5" x14ac:dyDescent="0.2">
      <c r="A146" s="694" t="str">
        <f>+Info!$B$2</f>
        <v>724</v>
      </c>
      <c r="B146" s="694" t="s">
        <v>4760</v>
      </c>
      <c r="C146" s="694" t="s">
        <v>4761</v>
      </c>
      <c r="D146" s="695" t="s">
        <v>4762</v>
      </c>
      <c r="E146" s="696"/>
      <c r="F146" s="697"/>
      <c r="G146" s="697"/>
      <c r="H146" s="698"/>
      <c r="I146" s="697"/>
      <c r="J146" s="698"/>
      <c r="K146" s="697"/>
      <c r="L146" s="697"/>
      <c r="M146" s="697"/>
      <c r="N146" s="698"/>
      <c r="O146" s="697"/>
      <c r="P146" s="697"/>
      <c r="Q146" s="697"/>
      <c r="R146" s="697"/>
      <c r="S146" s="697"/>
      <c r="T146" s="697"/>
      <c r="U146" s="697"/>
      <c r="V146" s="698"/>
      <c r="W146" s="698"/>
      <c r="X146" s="697"/>
      <c r="Y146" s="697"/>
      <c r="Z146" s="697"/>
      <c r="AA146" s="697"/>
      <c r="AB146" s="697"/>
    </row>
    <row r="147" spans="1:28" ht="25.5" x14ac:dyDescent="0.2">
      <c r="A147" s="694" t="str">
        <f>+Info!$B$2</f>
        <v>724</v>
      </c>
      <c r="B147" s="694" t="s">
        <v>4763</v>
      </c>
      <c r="C147" s="694" t="s">
        <v>4764</v>
      </c>
      <c r="D147" s="695" t="s">
        <v>4765</v>
      </c>
      <c r="E147" s="696"/>
      <c r="F147" s="697"/>
      <c r="G147" s="697"/>
      <c r="H147" s="698"/>
      <c r="I147" s="697"/>
      <c r="J147" s="698"/>
      <c r="K147" s="697"/>
      <c r="L147" s="697"/>
      <c r="M147" s="697"/>
      <c r="N147" s="698"/>
      <c r="O147" s="697"/>
      <c r="P147" s="697"/>
      <c r="Q147" s="697"/>
      <c r="R147" s="697"/>
      <c r="S147" s="697"/>
      <c r="T147" s="697"/>
      <c r="U147" s="697"/>
      <c r="V147" s="698"/>
      <c r="W147" s="698"/>
      <c r="X147" s="697"/>
      <c r="Y147" s="697"/>
      <c r="Z147" s="697"/>
      <c r="AA147" s="697"/>
      <c r="AB147" s="697"/>
    </row>
    <row r="148" spans="1:28" ht="25.5" x14ac:dyDescent="0.2">
      <c r="A148" s="694" t="str">
        <f>+Info!$B$2</f>
        <v>724</v>
      </c>
      <c r="B148" s="694" t="s">
        <v>4766</v>
      </c>
      <c r="C148" s="694" t="s">
        <v>4767</v>
      </c>
      <c r="D148" s="695" t="s">
        <v>4768</v>
      </c>
      <c r="E148" s="696"/>
      <c r="F148" s="697"/>
      <c r="G148" s="697"/>
      <c r="H148" s="698"/>
      <c r="I148" s="697"/>
      <c r="J148" s="698"/>
      <c r="K148" s="697"/>
      <c r="L148" s="697"/>
      <c r="M148" s="697"/>
      <c r="N148" s="698"/>
      <c r="O148" s="697"/>
      <c r="P148" s="697"/>
      <c r="Q148" s="697"/>
      <c r="R148" s="697"/>
      <c r="S148" s="697"/>
      <c r="T148" s="697"/>
      <c r="U148" s="697"/>
      <c r="V148" s="698"/>
      <c r="W148" s="698"/>
      <c r="X148" s="697"/>
      <c r="Y148" s="697"/>
      <c r="Z148" s="697"/>
      <c r="AA148" s="697"/>
      <c r="AB148" s="697"/>
    </row>
    <row r="149" spans="1:28" ht="25.5" x14ac:dyDescent="0.2">
      <c r="A149" s="694" t="str">
        <f>+Info!$B$2</f>
        <v>724</v>
      </c>
      <c r="B149" s="694" t="s">
        <v>4769</v>
      </c>
      <c r="C149" s="694" t="s">
        <v>4770</v>
      </c>
      <c r="D149" s="695" t="s">
        <v>4771</v>
      </c>
      <c r="E149" s="696"/>
      <c r="F149" s="697"/>
      <c r="G149" s="697"/>
      <c r="H149" s="698"/>
      <c r="I149" s="697"/>
      <c r="J149" s="698"/>
      <c r="K149" s="697"/>
      <c r="L149" s="697"/>
      <c r="M149" s="697"/>
      <c r="N149" s="698"/>
      <c r="O149" s="697"/>
      <c r="P149" s="697"/>
      <c r="Q149" s="697"/>
      <c r="R149" s="697"/>
      <c r="S149" s="697"/>
      <c r="T149" s="697"/>
      <c r="U149" s="697"/>
      <c r="V149" s="698"/>
      <c r="W149" s="698"/>
      <c r="X149" s="697"/>
      <c r="Y149" s="697"/>
      <c r="Z149" s="697"/>
      <c r="AA149" s="697"/>
      <c r="AB149" s="697"/>
    </row>
    <row r="150" spans="1:28" ht="25.5" x14ac:dyDescent="0.2">
      <c r="A150" s="694" t="str">
        <f>+Info!$B$2</f>
        <v>724</v>
      </c>
      <c r="B150" s="694" t="s">
        <v>4772</v>
      </c>
      <c r="C150" s="694" t="s">
        <v>4773</v>
      </c>
      <c r="D150" s="695" t="s">
        <v>4774</v>
      </c>
      <c r="E150" s="696"/>
      <c r="F150" s="697"/>
      <c r="G150" s="697"/>
      <c r="H150" s="698"/>
      <c r="I150" s="697"/>
      <c r="J150" s="698"/>
      <c r="K150" s="697"/>
      <c r="L150" s="697"/>
      <c r="M150" s="697"/>
      <c r="N150" s="698"/>
      <c r="O150" s="697"/>
      <c r="P150" s="697"/>
      <c r="Q150" s="697"/>
      <c r="R150" s="697"/>
      <c r="S150" s="697"/>
      <c r="T150" s="697"/>
      <c r="U150" s="697"/>
      <c r="V150" s="698"/>
      <c r="W150" s="698"/>
      <c r="X150" s="697"/>
      <c r="Y150" s="697"/>
      <c r="Z150" s="697"/>
      <c r="AA150" s="697"/>
      <c r="AB150" s="697"/>
    </row>
    <row r="151" spans="1:28" ht="25.5" x14ac:dyDescent="0.2">
      <c r="A151" s="694" t="str">
        <f>+Info!$B$2</f>
        <v>724</v>
      </c>
      <c r="B151" s="694" t="s">
        <v>4775</v>
      </c>
      <c r="C151" s="694" t="s">
        <v>4776</v>
      </c>
      <c r="D151" s="695" t="s">
        <v>4777</v>
      </c>
      <c r="E151" s="696"/>
      <c r="F151" s="697"/>
      <c r="G151" s="697"/>
      <c r="H151" s="698"/>
      <c r="I151" s="697"/>
      <c r="J151" s="698"/>
      <c r="K151" s="697"/>
      <c r="L151" s="697"/>
      <c r="M151" s="697"/>
      <c r="N151" s="698"/>
      <c r="O151" s="697"/>
      <c r="P151" s="697"/>
      <c r="Q151" s="697"/>
      <c r="R151" s="697"/>
      <c r="S151" s="697"/>
      <c r="T151" s="697"/>
      <c r="U151" s="697"/>
      <c r="V151" s="698"/>
      <c r="W151" s="698"/>
      <c r="X151" s="697"/>
      <c r="Y151" s="697"/>
      <c r="Z151" s="697"/>
      <c r="AA151" s="697"/>
      <c r="AB151" s="697"/>
    </row>
    <row r="152" spans="1:28" ht="25.5" x14ac:dyDescent="0.2">
      <c r="A152" s="694" t="str">
        <f>+Info!$B$2</f>
        <v>724</v>
      </c>
      <c r="B152" s="694" t="s">
        <v>4778</v>
      </c>
      <c r="C152" s="694" t="s">
        <v>4779</v>
      </c>
      <c r="D152" s="695" t="s">
        <v>4780</v>
      </c>
      <c r="E152" s="696"/>
      <c r="F152" s="697"/>
      <c r="G152" s="697"/>
      <c r="H152" s="698"/>
      <c r="I152" s="697"/>
      <c r="J152" s="698"/>
      <c r="K152" s="697"/>
      <c r="L152" s="697"/>
      <c r="M152" s="697"/>
      <c r="N152" s="698"/>
      <c r="O152" s="697"/>
      <c r="P152" s="697"/>
      <c r="Q152" s="697"/>
      <c r="R152" s="697"/>
      <c r="S152" s="697"/>
      <c r="T152" s="697"/>
      <c r="U152" s="697"/>
      <c r="V152" s="698"/>
      <c r="W152" s="698"/>
      <c r="X152" s="697"/>
      <c r="Y152" s="697"/>
      <c r="Z152" s="697"/>
      <c r="AA152" s="697"/>
      <c r="AB152" s="697"/>
    </row>
    <row r="153" spans="1:28" ht="25.5" x14ac:dyDescent="0.2">
      <c r="A153" s="694" t="str">
        <f>+Info!$B$2</f>
        <v>724</v>
      </c>
      <c r="B153" s="694" t="s">
        <v>4781</v>
      </c>
      <c r="C153" s="694" t="s">
        <v>4782</v>
      </c>
      <c r="D153" s="695" t="s">
        <v>4783</v>
      </c>
      <c r="E153" s="696"/>
      <c r="F153" s="697"/>
      <c r="G153" s="697"/>
      <c r="H153" s="698"/>
      <c r="I153" s="697"/>
      <c r="J153" s="698"/>
      <c r="K153" s="697"/>
      <c r="L153" s="697"/>
      <c r="M153" s="697"/>
      <c r="N153" s="698"/>
      <c r="O153" s="697"/>
      <c r="P153" s="697"/>
      <c r="Q153" s="697"/>
      <c r="R153" s="697"/>
      <c r="S153" s="697"/>
      <c r="T153" s="697"/>
      <c r="U153" s="697"/>
      <c r="V153" s="698"/>
      <c r="W153" s="698"/>
      <c r="X153" s="697"/>
      <c r="Y153" s="697"/>
      <c r="Z153" s="697"/>
      <c r="AA153" s="697"/>
      <c r="AB153" s="697"/>
    </row>
    <row r="154" spans="1:28" ht="25.5" x14ac:dyDescent="0.2">
      <c r="A154" s="694" t="str">
        <f>+Info!$B$2</f>
        <v>724</v>
      </c>
      <c r="B154" s="694" t="s">
        <v>4784</v>
      </c>
      <c r="C154" s="694" t="s">
        <v>4785</v>
      </c>
      <c r="D154" s="695" t="s">
        <v>4786</v>
      </c>
      <c r="E154" s="696"/>
      <c r="F154" s="697"/>
      <c r="G154" s="697"/>
      <c r="H154" s="698"/>
      <c r="I154" s="697"/>
      <c r="J154" s="698"/>
      <c r="K154" s="697"/>
      <c r="L154" s="697"/>
      <c r="M154" s="697"/>
      <c r="N154" s="698"/>
      <c r="O154" s="697"/>
      <c r="P154" s="697"/>
      <c r="Q154" s="697"/>
      <c r="R154" s="697"/>
      <c r="S154" s="697"/>
      <c r="T154" s="697"/>
      <c r="U154" s="697"/>
      <c r="V154" s="698"/>
      <c r="W154" s="698"/>
      <c r="X154" s="697"/>
      <c r="Y154" s="697"/>
      <c r="Z154" s="697"/>
      <c r="AA154" s="697"/>
      <c r="AB154" s="697"/>
    </row>
    <row r="155" spans="1:28" x14ac:dyDescent="0.2">
      <c r="A155" s="694" t="str">
        <f>+Info!$B$2</f>
        <v>724</v>
      </c>
      <c r="B155" s="694" t="s">
        <v>4787</v>
      </c>
      <c r="C155" s="694" t="s">
        <v>4788</v>
      </c>
      <c r="D155" s="695" t="s">
        <v>4789</v>
      </c>
      <c r="E155" s="696"/>
      <c r="F155" s="697"/>
      <c r="G155" s="697"/>
      <c r="H155" s="698"/>
      <c r="I155" s="697"/>
      <c r="J155" s="698"/>
      <c r="K155" s="697"/>
      <c r="L155" s="697"/>
      <c r="M155" s="697"/>
      <c r="N155" s="698"/>
      <c r="O155" s="697"/>
      <c r="P155" s="697"/>
      <c r="Q155" s="697"/>
      <c r="R155" s="697"/>
      <c r="S155" s="697"/>
      <c r="T155" s="697"/>
      <c r="U155" s="697"/>
      <c r="V155" s="698"/>
      <c r="W155" s="698"/>
      <c r="X155" s="697"/>
      <c r="Y155" s="697"/>
      <c r="Z155" s="697"/>
      <c r="AA155" s="697"/>
      <c r="AB155" s="697"/>
    </row>
    <row r="156" spans="1:28" x14ac:dyDescent="0.2">
      <c r="A156" s="694" t="str">
        <f>+Info!$B$2</f>
        <v>724</v>
      </c>
      <c r="B156" s="694" t="s">
        <v>4790</v>
      </c>
      <c r="C156" s="694" t="s">
        <v>4791</v>
      </c>
      <c r="D156" s="695" t="s">
        <v>4792</v>
      </c>
      <c r="E156" s="696"/>
      <c r="F156" s="697"/>
      <c r="G156" s="697"/>
      <c r="H156" s="698"/>
      <c r="I156" s="697"/>
      <c r="J156" s="698"/>
      <c r="K156" s="697"/>
      <c r="L156" s="697"/>
      <c r="M156" s="697"/>
      <c r="N156" s="698"/>
      <c r="O156" s="697"/>
      <c r="P156" s="697"/>
      <c r="Q156" s="697"/>
      <c r="R156" s="697"/>
      <c r="S156" s="697"/>
      <c r="T156" s="697"/>
      <c r="U156" s="697"/>
      <c r="V156" s="698"/>
      <c r="W156" s="698"/>
      <c r="X156" s="697"/>
      <c r="Y156" s="697"/>
      <c r="Z156" s="697"/>
      <c r="AA156" s="697"/>
      <c r="AB156" s="697"/>
    </row>
    <row r="157" spans="1:28" x14ac:dyDescent="0.2">
      <c r="A157" s="694" t="str">
        <f>+Info!$B$2</f>
        <v>724</v>
      </c>
      <c r="B157" s="694" t="s">
        <v>4793</v>
      </c>
      <c r="C157" s="694" t="s">
        <v>4794</v>
      </c>
      <c r="D157" s="695" t="s">
        <v>4795</v>
      </c>
      <c r="E157" s="696"/>
      <c r="F157" s="697"/>
      <c r="G157" s="697"/>
      <c r="H157" s="698"/>
      <c r="I157" s="697"/>
      <c r="J157" s="698"/>
      <c r="K157" s="697"/>
      <c r="L157" s="697"/>
      <c r="M157" s="697"/>
      <c r="N157" s="698"/>
      <c r="O157" s="697"/>
      <c r="P157" s="697"/>
      <c r="Q157" s="697"/>
      <c r="R157" s="697"/>
      <c r="S157" s="697"/>
      <c r="T157" s="697"/>
      <c r="U157" s="697"/>
      <c r="V157" s="698"/>
      <c r="W157" s="698"/>
      <c r="X157" s="697"/>
      <c r="Y157" s="697"/>
      <c r="Z157" s="697"/>
      <c r="AA157" s="697"/>
      <c r="AB157" s="697"/>
    </row>
    <row r="158" spans="1:28" x14ac:dyDescent="0.2">
      <c r="A158" s="694" t="str">
        <f>+Info!$B$2</f>
        <v>724</v>
      </c>
      <c r="B158" s="694" t="s">
        <v>4796</v>
      </c>
      <c r="C158" s="694" t="s">
        <v>4797</v>
      </c>
      <c r="D158" s="695" t="s">
        <v>4798</v>
      </c>
      <c r="E158" s="696"/>
      <c r="F158" s="697"/>
      <c r="G158" s="697"/>
      <c r="H158" s="698"/>
      <c r="I158" s="697"/>
      <c r="J158" s="698"/>
      <c r="K158" s="697"/>
      <c r="L158" s="697"/>
      <c r="M158" s="697"/>
      <c r="N158" s="698"/>
      <c r="O158" s="697"/>
      <c r="P158" s="697"/>
      <c r="Q158" s="697"/>
      <c r="R158" s="697"/>
      <c r="S158" s="697"/>
      <c r="T158" s="697"/>
      <c r="U158" s="697"/>
      <c r="V158" s="698"/>
      <c r="W158" s="698"/>
      <c r="X158" s="697"/>
      <c r="Y158" s="697"/>
      <c r="Z158" s="697"/>
      <c r="AA158" s="697"/>
      <c r="AB158" s="697"/>
    </row>
    <row r="159" spans="1:28" x14ac:dyDescent="0.2">
      <c r="A159" s="694" t="str">
        <f>+Info!$B$2</f>
        <v>724</v>
      </c>
      <c r="B159" s="694" t="s">
        <v>4799</v>
      </c>
      <c r="C159" s="694" t="s">
        <v>4800</v>
      </c>
      <c r="D159" s="695" t="s">
        <v>4801</v>
      </c>
      <c r="E159" s="696"/>
      <c r="F159" s="697"/>
      <c r="G159" s="697"/>
      <c r="H159" s="698"/>
      <c r="I159" s="697"/>
      <c r="J159" s="698"/>
      <c r="K159" s="697"/>
      <c r="L159" s="697"/>
      <c r="M159" s="697"/>
      <c r="N159" s="698"/>
      <c r="O159" s="697"/>
      <c r="P159" s="697"/>
      <c r="Q159" s="697"/>
      <c r="R159" s="697"/>
      <c r="S159" s="697"/>
      <c r="T159" s="697"/>
      <c r="U159" s="697"/>
      <c r="V159" s="698"/>
      <c r="W159" s="698"/>
      <c r="X159" s="697"/>
      <c r="Y159" s="697"/>
      <c r="Z159" s="697"/>
      <c r="AA159" s="697"/>
      <c r="AB159" s="697"/>
    </row>
    <row r="160" spans="1:28" ht="25.5" x14ac:dyDescent="0.2">
      <c r="A160" s="694" t="str">
        <f>+Info!$B$2</f>
        <v>724</v>
      </c>
      <c r="B160" s="694" t="s">
        <v>4802</v>
      </c>
      <c r="C160" s="694" t="s">
        <v>4803</v>
      </c>
      <c r="D160" s="695" t="s">
        <v>4804</v>
      </c>
      <c r="E160" s="696"/>
      <c r="F160" s="697"/>
      <c r="G160" s="697"/>
      <c r="H160" s="698"/>
      <c r="I160" s="697"/>
      <c r="J160" s="698"/>
      <c r="K160" s="697"/>
      <c r="L160" s="697"/>
      <c r="M160" s="697"/>
      <c r="N160" s="698"/>
      <c r="O160" s="697"/>
      <c r="P160" s="697"/>
      <c r="Q160" s="697"/>
      <c r="R160" s="697"/>
      <c r="S160" s="697"/>
      <c r="T160" s="697"/>
      <c r="U160" s="697"/>
      <c r="V160" s="698"/>
      <c r="W160" s="698"/>
      <c r="X160" s="697"/>
      <c r="Y160" s="697"/>
      <c r="Z160" s="697"/>
      <c r="AA160" s="697"/>
      <c r="AB160" s="697"/>
    </row>
    <row r="161" spans="1:28" ht="15" x14ac:dyDescent="0.25">
      <c r="A161" s="691" t="str">
        <f>+Info!$B$2</f>
        <v>724</v>
      </c>
      <c r="B161" s="691" t="s">
        <v>4805</v>
      </c>
      <c r="C161" s="691" t="s">
        <v>4806</v>
      </c>
      <c r="D161" s="692" t="s">
        <v>4807</v>
      </c>
      <c r="E161" s="693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</row>
    <row r="162" spans="1:28" x14ac:dyDescent="0.2">
      <c r="A162" s="694" t="str">
        <f>+Info!$B$2</f>
        <v>724</v>
      </c>
      <c r="B162" s="694" t="s">
        <v>4808</v>
      </c>
      <c r="C162" s="694" t="s">
        <v>4809</v>
      </c>
      <c r="D162" s="695" t="s">
        <v>4810</v>
      </c>
      <c r="E162" s="696"/>
      <c r="F162" s="697"/>
      <c r="G162" s="697"/>
      <c r="H162" s="698"/>
      <c r="I162" s="697"/>
      <c r="J162" s="697"/>
      <c r="K162" s="697"/>
      <c r="L162" s="697"/>
      <c r="M162" s="697"/>
      <c r="N162" s="698"/>
      <c r="O162" s="697"/>
      <c r="P162" s="697"/>
      <c r="Q162" s="697"/>
      <c r="R162" s="697"/>
      <c r="S162" s="697"/>
      <c r="T162" s="697"/>
      <c r="U162" s="697"/>
      <c r="V162" s="698"/>
      <c r="W162" s="698"/>
      <c r="X162" s="697"/>
      <c r="Y162" s="697"/>
      <c r="Z162" s="697"/>
      <c r="AA162" s="697"/>
      <c r="AB162" s="697"/>
    </row>
    <row r="163" spans="1:28" x14ac:dyDescent="0.2">
      <c r="A163" s="694" t="str">
        <f>+Info!$B$2</f>
        <v>724</v>
      </c>
      <c r="B163" s="694" t="s">
        <v>4811</v>
      </c>
      <c r="C163" s="694" t="s">
        <v>4812</v>
      </c>
      <c r="D163" s="695" t="s">
        <v>4813</v>
      </c>
      <c r="E163" s="696"/>
      <c r="F163" s="697"/>
      <c r="G163" s="697"/>
      <c r="H163" s="698"/>
      <c r="I163" s="697"/>
      <c r="J163" s="697"/>
      <c r="K163" s="697"/>
      <c r="L163" s="697"/>
      <c r="M163" s="697"/>
      <c r="N163" s="698"/>
      <c r="O163" s="697"/>
      <c r="P163" s="697"/>
      <c r="Q163" s="697"/>
      <c r="R163" s="697"/>
      <c r="S163" s="697"/>
      <c r="T163" s="697"/>
      <c r="U163" s="697"/>
      <c r="V163" s="698"/>
      <c r="W163" s="698"/>
      <c r="X163" s="697"/>
      <c r="Y163" s="697"/>
      <c r="Z163" s="697"/>
      <c r="AA163" s="697"/>
      <c r="AB163" s="697"/>
    </row>
    <row r="164" spans="1:28" x14ac:dyDescent="0.2">
      <c r="A164" s="694" t="str">
        <f>+Info!$B$2</f>
        <v>724</v>
      </c>
      <c r="B164" s="694" t="s">
        <v>4814</v>
      </c>
      <c r="C164" s="694" t="s">
        <v>4815</v>
      </c>
      <c r="D164" s="695" t="s">
        <v>4816</v>
      </c>
      <c r="E164" s="696"/>
      <c r="F164" s="697"/>
      <c r="G164" s="697"/>
      <c r="H164" s="698"/>
      <c r="I164" s="697"/>
      <c r="J164" s="697"/>
      <c r="K164" s="697"/>
      <c r="L164" s="697"/>
      <c r="M164" s="697"/>
      <c r="N164" s="698"/>
      <c r="O164" s="697"/>
      <c r="P164" s="697"/>
      <c r="Q164" s="697"/>
      <c r="R164" s="697"/>
      <c r="S164" s="697"/>
      <c r="T164" s="697"/>
      <c r="U164" s="697"/>
      <c r="V164" s="698"/>
      <c r="W164" s="698"/>
      <c r="X164" s="697"/>
      <c r="Y164" s="697"/>
      <c r="Z164" s="697"/>
      <c r="AA164" s="697"/>
      <c r="AB164" s="697"/>
    </row>
    <row r="165" spans="1:28" x14ac:dyDescent="0.2">
      <c r="A165" s="694" t="str">
        <f>+Info!$B$2</f>
        <v>724</v>
      </c>
      <c r="B165" s="694" t="s">
        <v>4817</v>
      </c>
      <c r="C165" s="694" t="s">
        <v>4818</v>
      </c>
      <c r="D165" s="695" t="s">
        <v>4819</v>
      </c>
      <c r="E165" s="696"/>
      <c r="F165" s="697"/>
      <c r="G165" s="697"/>
      <c r="H165" s="698"/>
      <c r="I165" s="697"/>
      <c r="J165" s="697"/>
      <c r="K165" s="697"/>
      <c r="L165" s="697"/>
      <c r="M165" s="697"/>
      <c r="N165" s="698"/>
      <c r="O165" s="697"/>
      <c r="P165" s="697"/>
      <c r="Q165" s="697"/>
      <c r="R165" s="697"/>
      <c r="S165" s="697"/>
      <c r="T165" s="697"/>
      <c r="U165" s="697"/>
      <c r="V165" s="698"/>
      <c r="W165" s="698"/>
      <c r="X165" s="697"/>
      <c r="Y165" s="697"/>
      <c r="Z165" s="697"/>
      <c r="AA165" s="697"/>
      <c r="AB165" s="697"/>
    </row>
    <row r="166" spans="1:28" x14ac:dyDescent="0.2">
      <c r="A166" s="694" t="str">
        <f>+Info!$B$2</f>
        <v>724</v>
      </c>
      <c r="B166" s="694" t="s">
        <v>4820</v>
      </c>
      <c r="C166" s="694" t="s">
        <v>4821</v>
      </c>
      <c r="D166" s="695" t="s">
        <v>4822</v>
      </c>
      <c r="E166" s="696"/>
      <c r="F166" s="697"/>
      <c r="G166" s="697"/>
      <c r="H166" s="698"/>
      <c r="I166" s="697"/>
      <c r="J166" s="697"/>
      <c r="K166" s="697"/>
      <c r="L166" s="697"/>
      <c r="M166" s="697"/>
      <c r="N166" s="698"/>
      <c r="O166" s="697"/>
      <c r="P166" s="697"/>
      <c r="Q166" s="697"/>
      <c r="R166" s="697"/>
      <c r="S166" s="697"/>
      <c r="T166" s="697"/>
      <c r="U166" s="697"/>
      <c r="V166" s="698"/>
      <c r="W166" s="698"/>
      <c r="X166" s="697"/>
      <c r="Y166" s="697"/>
      <c r="Z166" s="697"/>
      <c r="AA166" s="697"/>
      <c r="AB166" s="697"/>
    </row>
    <row r="167" spans="1:28" x14ac:dyDescent="0.2">
      <c r="A167" s="694" t="str">
        <f>+Info!$B$2</f>
        <v>724</v>
      </c>
      <c r="B167" s="694" t="s">
        <v>4823</v>
      </c>
      <c r="C167" s="694" t="s">
        <v>4824</v>
      </c>
      <c r="D167" s="695" t="s">
        <v>4825</v>
      </c>
      <c r="E167" s="696"/>
      <c r="F167" s="697"/>
      <c r="G167" s="697"/>
      <c r="H167" s="698"/>
      <c r="I167" s="697"/>
      <c r="J167" s="698"/>
      <c r="K167" s="697"/>
      <c r="L167" s="697"/>
      <c r="M167" s="697"/>
      <c r="N167" s="698"/>
      <c r="O167" s="697"/>
      <c r="P167" s="697"/>
      <c r="Q167" s="697"/>
      <c r="R167" s="697"/>
      <c r="S167" s="697"/>
      <c r="T167" s="697"/>
      <c r="U167" s="697"/>
      <c r="V167" s="698"/>
      <c r="W167" s="698"/>
      <c r="X167" s="697"/>
      <c r="Y167" s="697"/>
      <c r="Z167" s="697"/>
      <c r="AA167" s="697"/>
      <c r="AB167" s="697"/>
    </row>
    <row r="168" spans="1:28" x14ac:dyDescent="0.2">
      <c r="A168" s="694" t="str">
        <f>+Info!$B$2</f>
        <v>724</v>
      </c>
      <c r="B168" s="694" t="s">
        <v>4826</v>
      </c>
      <c r="C168" s="694" t="s">
        <v>4827</v>
      </c>
      <c r="D168" s="695" t="s">
        <v>4828</v>
      </c>
      <c r="E168" s="696"/>
      <c r="F168" s="697"/>
      <c r="G168" s="697"/>
      <c r="H168" s="698"/>
      <c r="I168" s="697"/>
      <c r="J168" s="698"/>
      <c r="K168" s="697"/>
      <c r="L168" s="697"/>
      <c r="M168" s="697"/>
      <c r="N168" s="698"/>
      <c r="O168" s="697"/>
      <c r="P168" s="697"/>
      <c r="Q168" s="697"/>
      <c r="R168" s="697"/>
      <c r="S168" s="697"/>
      <c r="T168" s="697"/>
      <c r="U168" s="697"/>
      <c r="V168" s="698"/>
      <c r="W168" s="698"/>
      <c r="X168" s="697"/>
      <c r="Y168" s="697"/>
      <c r="Z168" s="697"/>
      <c r="AA168" s="697"/>
      <c r="AB168" s="697"/>
    </row>
    <row r="169" spans="1:28" x14ac:dyDescent="0.2">
      <c r="A169" s="694" t="str">
        <f>+Info!$B$2</f>
        <v>724</v>
      </c>
      <c r="B169" s="694" t="s">
        <v>4829</v>
      </c>
      <c r="C169" s="694" t="s">
        <v>4830</v>
      </c>
      <c r="D169" s="695" t="s">
        <v>4831</v>
      </c>
      <c r="E169" s="696"/>
      <c r="F169" s="697"/>
      <c r="G169" s="697"/>
      <c r="H169" s="698"/>
      <c r="I169" s="697"/>
      <c r="J169" s="698"/>
      <c r="K169" s="697"/>
      <c r="L169" s="697"/>
      <c r="M169" s="697"/>
      <c r="N169" s="698"/>
      <c r="O169" s="697"/>
      <c r="P169" s="697"/>
      <c r="Q169" s="697"/>
      <c r="R169" s="697"/>
      <c r="S169" s="697"/>
      <c r="T169" s="697"/>
      <c r="U169" s="697"/>
      <c r="V169" s="698"/>
      <c r="W169" s="698"/>
      <c r="X169" s="697"/>
      <c r="Y169" s="697"/>
      <c r="Z169" s="697"/>
      <c r="AA169" s="697"/>
      <c r="AB169" s="697"/>
    </row>
    <row r="170" spans="1:28" x14ac:dyDescent="0.2">
      <c r="A170" s="694" t="str">
        <f>+Info!$B$2</f>
        <v>724</v>
      </c>
      <c r="B170" s="694" t="s">
        <v>4832</v>
      </c>
      <c r="C170" s="694" t="s">
        <v>4833</v>
      </c>
      <c r="D170" s="695" t="s">
        <v>4834</v>
      </c>
      <c r="E170" s="696"/>
      <c r="F170" s="697"/>
      <c r="G170" s="697"/>
      <c r="H170" s="698"/>
      <c r="I170" s="697"/>
      <c r="J170" s="698"/>
      <c r="K170" s="697"/>
      <c r="L170" s="697"/>
      <c r="M170" s="697"/>
      <c r="N170" s="698"/>
      <c r="O170" s="697"/>
      <c r="P170" s="697"/>
      <c r="Q170" s="697"/>
      <c r="R170" s="697"/>
      <c r="S170" s="697"/>
      <c r="T170" s="697"/>
      <c r="U170" s="697"/>
      <c r="V170" s="698"/>
      <c r="W170" s="698"/>
      <c r="X170" s="697"/>
      <c r="Y170" s="697"/>
      <c r="Z170" s="697"/>
      <c r="AA170" s="697"/>
      <c r="AB170" s="697"/>
    </row>
    <row r="171" spans="1:28" x14ac:dyDescent="0.2">
      <c r="A171" s="694" t="str">
        <f>+Info!$B$2</f>
        <v>724</v>
      </c>
      <c r="B171" s="694" t="s">
        <v>4835</v>
      </c>
      <c r="C171" s="694" t="s">
        <v>4836</v>
      </c>
      <c r="D171" s="695" t="s">
        <v>4837</v>
      </c>
      <c r="E171" s="696"/>
      <c r="F171" s="697"/>
      <c r="G171" s="697"/>
      <c r="H171" s="698"/>
      <c r="I171" s="697"/>
      <c r="J171" s="698"/>
      <c r="K171" s="697"/>
      <c r="L171" s="697"/>
      <c r="M171" s="697"/>
      <c r="N171" s="698"/>
      <c r="O171" s="697"/>
      <c r="P171" s="697"/>
      <c r="Q171" s="697"/>
      <c r="R171" s="697"/>
      <c r="S171" s="697"/>
      <c r="T171" s="697"/>
      <c r="U171" s="697"/>
      <c r="V171" s="698"/>
      <c r="W171" s="698"/>
      <c r="X171" s="697"/>
      <c r="Y171" s="697"/>
      <c r="Z171" s="697"/>
      <c r="AA171" s="697"/>
      <c r="AB171" s="697"/>
    </row>
    <row r="172" spans="1:28" x14ac:dyDescent="0.2">
      <c r="A172" s="694" t="str">
        <f>+Info!$B$2</f>
        <v>724</v>
      </c>
      <c r="B172" s="694" t="s">
        <v>4838</v>
      </c>
      <c r="C172" s="694" t="s">
        <v>4839</v>
      </c>
      <c r="D172" s="695" t="s">
        <v>4840</v>
      </c>
      <c r="E172" s="696"/>
      <c r="F172" s="697"/>
      <c r="G172" s="697"/>
      <c r="H172" s="698"/>
      <c r="I172" s="697"/>
      <c r="J172" s="698"/>
      <c r="K172" s="697"/>
      <c r="L172" s="697"/>
      <c r="M172" s="697"/>
      <c r="N172" s="698"/>
      <c r="O172" s="697"/>
      <c r="P172" s="697"/>
      <c r="Q172" s="697"/>
      <c r="R172" s="697"/>
      <c r="S172" s="697"/>
      <c r="T172" s="697"/>
      <c r="U172" s="697"/>
      <c r="V172" s="698"/>
      <c r="W172" s="698"/>
      <c r="X172" s="697"/>
      <c r="Y172" s="697"/>
      <c r="Z172" s="697"/>
      <c r="AA172" s="697"/>
      <c r="AB172" s="697"/>
    </row>
    <row r="173" spans="1:28" ht="15" x14ac:dyDescent="0.25">
      <c r="A173" s="691" t="str">
        <f>+Info!$B$2</f>
        <v>724</v>
      </c>
      <c r="B173" s="691" t="s">
        <v>4841</v>
      </c>
      <c r="C173" s="691" t="s">
        <v>4842</v>
      </c>
      <c r="D173" s="692" t="s">
        <v>4843</v>
      </c>
      <c r="E173" s="693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</row>
    <row r="174" spans="1:28" x14ac:dyDescent="0.2">
      <c r="A174" s="694" t="str">
        <f>+Info!$B$2</f>
        <v>724</v>
      </c>
      <c r="B174" s="694" t="s">
        <v>4844</v>
      </c>
      <c r="C174" s="694" t="s">
        <v>4845</v>
      </c>
      <c r="D174" s="695" t="s">
        <v>4846</v>
      </c>
      <c r="E174" s="696"/>
      <c r="F174" s="697"/>
      <c r="G174" s="697"/>
      <c r="H174" s="698"/>
      <c r="I174" s="697"/>
      <c r="J174" s="697"/>
      <c r="K174" s="697"/>
      <c r="L174" s="697"/>
      <c r="M174" s="697"/>
      <c r="N174" s="698"/>
      <c r="O174" s="697"/>
      <c r="P174" s="697"/>
      <c r="Q174" s="697"/>
      <c r="R174" s="697"/>
      <c r="S174" s="697"/>
      <c r="T174" s="697"/>
      <c r="U174" s="697"/>
      <c r="V174" s="698"/>
      <c r="W174" s="698"/>
      <c r="X174" s="697"/>
      <c r="Y174" s="697"/>
      <c r="Z174" s="697"/>
      <c r="AA174" s="697"/>
      <c r="AB174" s="697"/>
    </row>
    <row r="175" spans="1:28" x14ac:dyDescent="0.2">
      <c r="A175" s="694" t="str">
        <f>+Info!$B$2</f>
        <v>724</v>
      </c>
      <c r="B175" s="694" t="s">
        <v>4847</v>
      </c>
      <c r="C175" s="694" t="s">
        <v>4848</v>
      </c>
      <c r="D175" s="695" t="s">
        <v>4849</v>
      </c>
      <c r="E175" s="696"/>
      <c r="F175" s="697"/>
      <c r="G175" s="697"/>
      <c r="H175" s="698"/>
      <c r="I175" s="697"/>
      <c r="J175" s="697"/>
      <c r="K175" s="697"/>
      <c r="L175" s="697"/>
      <c r="M175" s="697"/>
      <c r="N175" s="698"/>
      <c r="O175" s="697"/>
      <c r="P175" s="697"/>
      <c r="Q175" s="697"/>
      <c r="R175" s="697"/>
      <c r="S175" s="697"/>
      <c r="T175" s="697"/>
      <c r="U175" s="697"/>
      <c r="V175" s="698"/>
      <c r="W175" s="698"/>
      <c r="X175" s="697"/>
      <c r="Y175" s="697"/>
      <c r="Z175" s="697"/>
      <c r="AA175" s="697"/>
      <c r="AB175" s="697"/>
    </row>
    <row r="176" spans="1:28" ht="25.5" x14ac:dyDescent="0.2">
      <c r="A176" s="694" t="str">
        <f>+Info!$B$2</f>
        <v>724</v>
      </c>
      <c r="B176" s="694" t="s">
        <v>4850</v>
      </c>
      <c r="C176" s="694" t="s">
        <v>4851</v>
      </c>
      <c r="D176" s="695" t="s">
        <v>4852</v>
      </c>
      <c r="E176" s="696"/>
      <c r="F176" s="697"/>
      <c r="G176" s="697"/>
      <c r="H176" s="698"/>
      <c r="I176" s="697"/>
      <c r="J176" s="697"/>
      <c r="K176" s="697"/>
      <c r="L176" s="697"/>
      <c r="M176" s="697"/>
      <c r="N176" s="698"/>
      <c r="O176" s="697"/>
      <c r="P176" s="697"/>
      <c r="Q176" s="697"/>
      <c r="R176" s="697"/>
      <c r="S176" s="697"/>
      <c r="T176" s="697"/>
      <c r="U176" s="697"/>
      <c r="V176" s="698"/>
      <c r="W176" s="698"/>
      <c r="X176" s="697"/>
      <c r="Y176" s="697"/>
      <c r="Z176" s="697"/>
      <c r="AA176" s="697"/>
      <c r="AB176" s="697"/>
    </row>
    <row r="177" spans="1:28" x14ac:dyDescent="0.2">
      <c r="A177" s="694" t="str">
        <f>+Info!$B$2</f>
        <v>724</v>
      </c>
      <c r="B177" s="694" t="s">
        <v>4853</v>
      </c>
      <c r="C177" s="694" t="s">
        <v>4854</v>
      </c>
      <c r="D177" s="695" t="s">
        <v>4855</v>
      </c>
      <c r="E177" s="696"/>
      <c r="F177" s="697"/>
      <c r="G177" s="697"/>
      <c r="H177" s="698"/>
      <c r="I177" s="697"/>
      <c r="J177" s="697"/>
      <c r="K177" s="697"/>
      <c r="L177" s="697"/>
      <c r="M177" s="697"/>
      <c r="N177" s="698"/>
      <c r="O177" s="697"/>
      <c r="P177" s="697"/>
      <c r="Q177" s="697"/>
      <c r="R177" s="697"/>
      <c r="S177" s="697"/>
      <c r="T177" s="697"/>
      <c r="U177" s="697"/>
      <c r="V177" s="698"/>
      <c r="W177" s="698"/>
      <c r="X177" s="697"/>
      <c r="Y177" s="697"/>
      <c r="Z177" s="697"/>
      <c r="AA177" s="697"/>
      <c r="AB177" s="697"/>
    </row>
    <row r="178" spans="1:28" ht="25.5" x14ac:dyDescent="0.2">
      <c r="A178" s="694" t="str">
        <f>+Info!$B$2</f>
        <v>724</v>
      </c>
      <c r="B178" s="694" t="s">
        <v>4856</v>
      </c>
      <c r="C178" s="694" t="s">
        <v>4857</v>
      </c>
      <c r="D178" s="695" t="s">
        <v>4858</v>
      </c>
      <c r="E178" s="696"/>
      <c r="F178" s="697"/>
      <c r="G178" s="697"/>
      <c r="H178" s="698"/>
      <c r="I178" s="697"/>
      <c r="J178" s="697"/>
      <c r="K178" s="697"/>
      <c r="L178" s="697"/>
      <c r="M178" s="697"/>
      <c r="N178" s="698"/>
      <c r="O178" s="697"/>
      <c r="P178" s="697"/>
      <c r="Q178" s="697"/>
      <c r="R178" s="697"/>
      <c r="S178" s="697"/>
      <c r="T178" s="697"/>
      <c r="U178" s="697"/>
      <c r="V178" s="698"/>
      <c r="W178" s="698"/>
      <c r="X178" s="697"/>
      <c r="Y178" s="697"/>
      <c r="Z178" s="697"/>
      <c r="AA178" s="697"/>
      <c r="AB178" s="697"/>
    </row>
    <row r="179" spans="1:28" x14ac:dyDescent="0.2">
      <c r="A179" s="694" t="str">
        <f>+Info!$B$2</f>
        <v>724</v>
      </c>
      <c r="B179" s="694" t="s">
        <v>4859</v>
      </c>
      <c r="C179" s="694" t="s">
        <v>4860</v>
      </c>
      <c r="D179" s="695" t="s">
        <v>4861</v>
      </c>
      <c r="E179" s="696"/>
      <c r="F179" s="697"/>
      <c r="G179" s="697"/>
      <c r="H179" s="698"/>
      <c r="I179" s="697"/>
      <c r="J179" s="698"/>
      <c r="K179" s="697"/>
      <c r="L179" s="697"/>
      <c r="M179" s="697"/>
      <c r="N179" s="698"/>
      <c r="O179" s="697"/>
      <c r="P179" s="697"/>
      <c r="Q179" s="697"/>
      <c r="R179" s="697"/>
      <c r="S179" s="697"/>
      <c r="T179" s="697"/>
      <c r="U179" s="697"/>
      <c r="V179" s="698"/>
      <c r="W179" s="698"/>
      <c r="X179" s="697"/>
      <c r="Y179" s="697"/>
      <c r="Z179" s="697"/>
      <c r="AA179" s="697"/>
      <c r="AB179" s="697"/>
    </row>
    <row r="180" spans="1:28" x14ac:dyDescent="0.2">
      <c r="A180" s="694" t="str">
        <f>+Info!$B$2</f>
        <v>724</v>
      </c>
      <c r="B180" s="694" t="s">
        <v>4862</v>
      </c>
      <c r="C180" s="694" t="s">
        <v>4863</v>
      </c>
      <c r="D180" s="695" t="s">
        <v>4864</v>
      </c>
      <c r="E180" s="696"/>
      <c r="F180" s="697"/>
      <c r="G180" s="697"/>
      <c r="H180" s="698"/>
      <c r="I180" s="697"/>
      <c r="J180" s="698"/>
      <c r="K180" s="697"/>
      <c r="L180" s="697"/>
      <c r="M180" s="697"/>
      <c r="N180" s="698"/>
      <c r="O180" s="697"/>
      <c r="P180" s="697"/>
      <c r="Q180" s="697"/>
      <c r="R180" s="697"/>
      <c r="S180" s="697"/>
      <c r="T180" s="697"/>
      <c r="U180" s="697"/>
      <c r="V180" s="698"/>
      <c r="W180" s="698"/>
      <c r="X180" s="697"/>
      <c r="Y180" s="697"/>
      <c r="Z180" s="697"/>
      <c r="AA180" s="697"/>
      <c r="AB180" s="697"/>
    </row>
    <row r="181" spans="1:28" x14ac:dyDescent="0.2">
      <c r="A181" s="694" t="str">
        <f>+Info!$B$2</f>
        <v>724</v>
      </c>
      <c r="B181" s="694" t="s">
        <v>4865</v>
      </c>
      <c r="C181" s="694" t="s">
        <v>4866</v>
      </c>
      <c r="D181" s="695" t="s">
        <v>4867</v>
      </c>
      <c r="E181" s="696"/>
      <c r="F181" s="697"/>
      <c r="G181" s="697"/>
      <c r="H181" s="698"/>
      <c r="I181" s="697"/>
      <c r="J181" s="698"/>
      <c r="K181" s="697"/>
      <c r="L181" s="697"/>
      <c r="M181" s="697"/>
      <c r="N181" s="698"/>
      <c r="O181" s="697"/>
      <c r="P181" s="697"/>
      <c r="Q181" s="697"/>
      <c r="R181" s="697"/>
      <c r="S181" s="697"/>
      <c r="T181" s="697"/>
      <c r="U181" s="697"/>
      <c r="V181" s="698"/>
      <c r="W181" s="698"/>
      <c r="X181" s="697"/>
      <c r="Y181" s="697"/>
      <c r="Z181" s="697"/>
      <c r="AA181" s="697"/>
      <c r="AB181" s="697"/>
    </row>
    <row r="182" spans="1:28" ht="25.5" x14ac:dyDescent="0.2">
      <c r="A182" s="694" t="str">
        <f>+Info!$B$2</f>
        <v>724</v>
      </c>
      <c r="B182" s="694" t="s">
        <v>4868</v>
      </c>
      <c r="C182" s="694" t="s">
        <v>4869</v>
      </c>
      <c r="D182" s="695" t="s">
        <v>4870</v>
      </c>
      <c r="E182" s="696"/>
      <c r="F182" s="697"/>
      <c r="G182" s="697"/>
      <c r="H182" s="698"/>
      <c r="I182" s="697"/>
      <c r="J182" s="698"/>
      <c r="K182" s="697"/>
      <c r="L182" s="697"/>
      <c r="M182" s="697"/>
      <c r="N182" s="698"/>
      <c r="O182" s="697"/>
      <c r="P182" s="697"/>
      <c r="Q182" s="697"/>
      <c r="R182" s="697"/>
      <c r="S182" s="697"/>
      <c r="T182" s="697"/>
      <c r="U182" s="697"/>
      <c r="V182" s="698"/>
      <c r="W182" s="698"/>
      <c r="X182" s="697"/>
      <c r="Y182" s="697"/>
      <c r="Z182" s="697"/>
      <c r="AA182" s="697"/>
      <c r="AB182" s="697"/>
    </row>
    <row r="183" spans="1:28" ht="25.5" x14ac:dyDescent="0.2">
      <c r="A183" s="694" t="str">
        <f>+Info!$B$2</f>
        <v>724</v>
      </c>
      <c r="B183" s="694" t="s">
        <v>4871</v>
      </c>
      <c r="C183" s="694" t="s">
        <v>4872</v>
      </c>
      <c r="D183" s="695" t="s">
        <v>4873</v>
      </c>
      <c r="E183" s="696"/>
      <c r="F183" s="697"/>
      <c r="G183" s="697"/>
      <c r="H183" s="698"/>
      <c r="I183" s="697"/>
      <c r="J183" s="698"/>
      <c r="K183" s="697"/>
      <c r="L183" s="697"/>
      <c r="M183" s="697"/>
      <c r="N183" s="698"/>
      <c r="O183" s="697"/>
      <c r="P183" s="697"/>
      <c r="Q183" s="697"/>
      <c r="R183" s="697"/>
      <c r="S183" s="697"/>
      <c r="T183" s="697"/>
      <c r="U183" s="697"/>
      <c r="V183" s="698"/>
      <c r="W183" s="698"/>
      <c r="X183" s="697"/>
      <c r="Y183" s="697"/>
      <c r="Z183" s="697"/>
      <c r="AA183" s="697"/>
      <c r="AB183" s="697"/>
    </row>
    <row r="184" spans="1:28" ht="15" x14ac:dyDescent="0.25">
      <c r="A184" s="691" t="str">
        <f>+Info!$B$2</f>
        <v>724</v>
      </c>
      <c r="B184" s="691" t="s">
        <v>4874</v>
      </c>
      <c r="C184" s="691" t="s">
        <v>4875</v>
      </c>
      <c r="D184" s="692" t="s">
        <v>4876</v>
      </c>
      <c r="E184" s="693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</row>
    <row r="185" spans="1:28" x14ac:dyDescent="0.2">
      <c r="A185" s="694" t="str">
        <f>+Info!$B$2</f>
        <v>724</v>
      </c>
      <c r="B185" s="694" t="s">
        <v>4877</v>
      </c>
      <c r="C185" s="694" t="s">
        <v>4878</v>
      </c>
      <c r="D185" s="695" t="s">
        <v>4879</v>
      </c>
      <c r="E185" s="696"/>
      <c r="F185" s="697"/>
      <c r="G185" s="697"/>
      <c r="H185" s="698"/>
      <c r="I185" s="697"/>
      <c r="J185" s="697"/>
      <c r="K185" s="697"/>
      <c r="L185" s="697"/>
      <c r="M185" s="697"/>
      <c r="N185" s="698"/>
      <c r="O185" s="697"/>
      <c r="P185" s="697"/>
      <c r="Q185" s="697"/>
      <c r="R185" s="697"/>
      <c r="S185" s="697"/>
      <c r="T185" s="697"/>
      <c r="U185" s="697"/>
      <c r="V185" s="698"/>
      <c r="W185" s="698"/>
      <c r="X185" s="697"/>
      <c r="Y185" s="697"/>
      <c r="Z185" s="697"/>
      <c r="AA185" s="697"/>
      <c r="AB185" s="697"/>
    </row>
    <row r="186" spans="1:28" x14ac:dyDescent="0.2">
      <c r="A186" s="694" t="str">
        <f>+Info!$B$2</f>
        <v>724</v>
      </c>
      <c r="B186" s="694" t="s">
        <v>4880</v>
      </c>
      <c r="C186" s="694" t="s">
        <v>4881</v>
      </c>
      <c r="D186" s="695" t="s">
        <v>4882</v>
      </c>
      <c r="E186" s="696"/>
      <c r="F186" s="697"/>
      <c r="G186" s="697"/>
      <c r="H186" s="698"/>
      <c r="I186" s="697"/>
      <c r="J186" s="697"/>
      <c r="K186" s="697"/>
      <c r="L186" s="697"/>
      <c r="M186" s="697"/>
      <c r="N186" s="698"/>
      <c r="O186" s="697"/>
      <c r="P186" s="697"/>
      <c r="Q186" s="697"/>
      <c r="R186" s="697"/>
      <c r="S186" s="697"/>
      <c r="T186" s="697"/>
      <c r="U186" s="697"/>
      <c r="V186" s="698"/>
      <c r="W186" s="698"/>
      <c r="X186" s="697"/>
      <c r="Y186" s="697"/>
      <c r="Z186" s="697"/>
      <c r="AA186" s="697"/>
      <c r="AB186" s="697"/>
    </row>
    <row r="187" spans="1:28" x14ac:dyDescent="0.2">
      <c r="A187" s="694" t="str">
        <f>+Info!$B$2</f>
        <v>724</v>
      </c>
      <c r="B187" s="694" t="s">
        <v>4883</v>
      </c>
      <c r="C187" s="694" t="s">
        <v>4884</v>
      </c>
      <c r="D187" s="695" t="s">
        <v>4885</v>
      </c>
      <c r="E187" s="696"/>
      <c r="F187" s="697"/>
      <c r="G187" s="697"/>
      <c r="H187" s="698"/>
      <c r="I187" s="697"/>
      <c r="J187" s="697"/>
      <c r="K187" s="697"/>
      <c r="L187" s="697"/>
      <c r="M187" s="697"/>
      <c r="N187" s="698"/>
      <c r="O187" s="697"/>
      <c r="P187" s="697"/>
      <c r="Q187" s="697"/>
      <c r="R187" s="697"/>
      <c r="S187" s="697"/>
      <c r="T187" s="697"/>
      <c r="U187" s="697"/>
      <c r="V187" s="698"/>
      <c r="W187" s="698"/>
      <c r="X187" s="697"/>
      <c r="Y187" s="697"/>
      <c r="Z187" s="697"/>
      <c r="AA187" s="697"/>
      <c r="AB187" s="697"/>
    </row>
    <row r="188" spans="1:28" x14ac:dyDescent="0.2">
      <c r="A188" s="694" t="str">
        <f>+Info!$B$2</f>
        <v>724</v>
      </c>
      <c r="B188" s="694" t="s">
        <v>4886</v>
      </c>
      <c r="C188" s="694" t="s">
        <v>4887</v>
      </c>
      <c r="D188" s="695" t="s">
        <v>4888</v>
      </c>
      <c r="E188" s="696"/>
      <c r="F188" s="697"/>
      <c r="G188" s="697"/>
      <c r="H188" s="698"/>
      <c r="I188" s="697"/>
      <c r="J188" s="697"/>
      <c r="K188" s="697"/>
      <c r="L188" s="697"/>
      <c r="M188" s="697"/>
      <c r="N188" s="698"/>
      <c r="O188" s="697"/>
      <c r="P188" s="697"/>
      <c r="Q188" s="697"/>
      <c r="R188" s="697"/>
      <c r="S188" s="697"/>
      <c r="T188" s="697"/>
      <c r="U188" s="697"/>
      <c r="V188" s="698"/>
      <c r="W188" s="698"/>
      <c r="X188" s="697"/>
      <c r="Y188" s="697"/>
      <c r="Z188" s="697"/>
      <c r="AA188" s="697"/>
      <c r="AB188" s="697"/>
    </row>
    <row r="189" spans="1:28" x14ac:dyDescent="0.2">
      <c r="A189" s="694" t="str">
        <f>+Info!$B$2</f>
        <v>724</v>
      </c>
      <c r="B189" s="694" t="s">
        <v>4889</v>
      </c>
      <c r="C189" s="694" t="s">
        <v>4890</v>
      </c>
      <c r="D189" s="695" t="s">
        <v>4891</v>
      </c>
      <c r="E189" s="696"/>
      <c r="F189" s="697"/>
      <c r="G189" s="697"/>
      <c r="H189" s="698"/>
      <c r="I189" s="697"/>
      <c r="J189" s="697"/>
      <c r="K189" s="697"/>
      <c r="L189" s="697"/>
      <c r="M189" s="697"/>
      <c r="N189" s="698"/>
      <c r="O189" s="697"/>
      <c r="P189" s="697"/>
      <c r="Q189" s="697"/>
      <c r="R189" s="697"/>
      <c r="S189" s="697"/>
      <c r="T189" s="697"/>
      <c r="U189" s="697"/>
      <c r="V189" s="698"/>
      <c r="W189" s="698"/>
      <c r="X189" s="697"/>
      <c r="Y189" s="697"/>
      <c r="Z189" s="697"/>
      <c r="AA189" s="697"/>
      <c r="AB189" s="697"/>
    </row>
    <row r="190" spans="1:28" x14ac:dyDescent="0.2">
      <c r="A190" s="694" t="str">
        <f>+Info!$B$2</f>
        <v>724</v>
      </c>
      <c r="B190" s="694" t="s">
        <v>4892</v>
      </c>
      <c r="C190" s="694" t="s">
        <v>4893</v>
      </c>
      <c r="D190" s="695" t="s">
        <v>4894</v>
      </c>
      <c r="E190" s="696"/>
      <c r="F190" s="697"/>
      <c r="G190" s="697"/>
      <c r="H190" s="698"/>
      <c r="I190" s="697"/>
      <c r="J190" s="697"/>
      <c r="K190" s="697"/>
      <c r="L190" s="697"/>
      <c r="M190" s="697"/>
      <c r="N190" s="698"/>
      <c r="O190" s="697"/>
      <c r="P190" s="697"/>
      <c r="Q190" s="697"/>
      <c r="R190" s="697"/>
      <c r="S190" s="697"/>
      <c r="T190" s="697"/>
      <c r="U190" s="697"/>
      <c r="V190" s="698"/>
      <c r="W190" s="698"/>
      <c r="X190" s="697"/>
      <c r="Y190" s="697"/>
      <c r="Z190" s="697"/>
      <c r="AA190" s="697"/>
      <c r="AB190" s="697"/>
    </row>
    <row r="191" spans="1:28" x14ac:dyDescent="0.2">
      <c r="A191" s="694" t="str">
        <f>+Info!$B$2</f>
        <v>724</v>
      </c>
      <c r="B191" s="694" t="s">
        <v>4895</v>
      </c>
      <c r="C191" s="694" t="s">
        <v>4896</v>
      </c>
      <c r="D191" s="695" t="s">
        <v>4897</v>
      </c>
      <c r="E191" s="696"/>
      <c r="F191" s="697"/>
      <c r="G191" s="697"/>
      <c r="H191" s="698"/>
      <c r="I191" s="697"/>
      <c r="J191" s="698"/>
      <c r="K191" s="697"/>
      <c r="L191" s="697"/>
      <c r="M191" s="697"/>
      <c r="N191" s="698"/>
      <c r="O191" s="697"/>
      <c r="P191" s="697"/>
      <c r="Q191" s="697"/>
      <c r="R191" s="697"/>
      <c r="S191" s="697"/>
      <c r="T191" s="697"/>
      <c r="U191" s="697"/>
      <c r="V191" s="698"/>
      <c r="W191" s="698"/>
      <c r="X191" s="697"/>
      <c r="Y191" s="697"/>
      <c r="Z191" s="697"/>
      <c r="AA191" s="697"/>
      <c r="AB191" s="697"/>
    </row>
    <row r="192" spans="1:28" x14ac:dyDescent="0.2">
      <c r="A192" s="694" t="str">
        <f>+Info!$B$2</f>
        <v>724</v>
      </c>
      <c r="B192" s="694" t="s">
        <v>4898</v>
      </c>
      <c r="C192" s="694" t="s">
        <v>4899</v>
      </c>
      <c r="D192" s="695" t="s">
        <v>4900</v>
      </c>
      <c r="E192" s="696"/>
      <c r="F192" s="697"/>
      <c r="G192" s="697"/>
      <c r="H192" s="698"/>
      <c r="I192" s="697"/>
      <c r="J192" s="698"/>
      <c r="K192" s="697"/>
      <c r="L192" s="697"/>
      <c r="M192" s="697"/>
      <c r="N192" s="698"/>
      <c r="O192" s="697"/>
      <c r="P192" s="697"/>
      <c r="Q192" s="697"/>
      <c r="R192" s="697"/>
      <c r="S192" s="697"/>
      <c r="T192" s="697"/>
      <c r="U192" s="697"/>
      <c r="V192" s="698"/>
      <c r="W192" s="698"/>
      <c r="X192" s="697"/>
      <c r="Y192" s="697"/>
      <c r="Z192" s="697"/>
      <c r="AA192" s="697"/>
      <c r="AB192" s="697"/>
    </row>
    <row r="193" spans="1:28" x14ac:dyDescent="0.2">
      <c r="A193" s="694" t="str">
        <f>+Info!$B$2</f>
        <v>724</v>
      </c>
      <c r="B193" s="694" t="s">
        <v>4901</v>
      </c>
      <c r="C193" s="694" t="s">
        <v>4902</v>
      </c>
      <c r="D193" s="695" t="s">
        <v>4903</v>
      </c>
      <c r="E193" s="696"/>
      <c r="F193" s="697"/>
      <c r="G193" s="697"/>
      <c r="H193" s="698"/>
      <c r="I193" s="697"/>
      <c r="J193" s="698"/>
      <c r="K193" s="697"/>
      <c r="L193" s="697"/>
      <c r="M193" s="697"/>
      <c r="N193" s="698"/>
      <c r="O193" s="697"/>
      <c r="P193" s="697"/>
      <c r="Q193" s="697"/>
      <c r="R193" s="697"/>
      <c r="S193" s="697"/>
      <c r="T193" s="697"/>
      <c r="U193" s="697"/>
      <c r="V193" s="698"/>
      <c r="W193" s="698"/>
      <c r="X193" s="697"/>
      <c r="Y193" s="697"/>
      <c r="Z193" s="697"/>
      <c r="AA193" s="697"/>
      <c r="AB193" s="697"/>
    </row>
    <row r="194" spans="1:28" x14ac:dyDescent="0.2">
      <c r="A194" s="694" t="str">
        <f>+Info!$B$2</f>
        <v>724</v>
      </c>
      <c r="B194" s="694" t="s">
        <v>4904</v>
      </c>
      <c r="C194" s="694" t="s">
        <v>4905</v>
      </c>
      <c r="D194" s="695" t="s">
        <v>4906</v>
      </c>
      <c r="E194" s="696"/>
      <c r="F194" s="697"/>
      <c r="G194" s="697"/>
      <c r="H194" s="698"/>
      <c r="I194" s="697"/>
      <c r="J194" s="698"/>
      <c r="K194" s="697"/>
      <c r="L194" s="697"/>
      <c r="M194" s="697"/>
      <c r="N194" s="698"/>
      <c r="O194" s="697"/>
      <c r="P194" s="697"/>
      <c r="Q194" s="697"/>
      <c r="R194" s="697"/>
      <c r="S194" s="697"/>
      <c r="T194" s="697"/>
      <c r="U194" s="697"/>
      <c r="V194" s="698"/>
      <c r="W194" s="698"/>
      <c r="X194" s="697"/>
      <c r="Y194" s="697"/>
      <c r="Z194" s="697"/>
      <c r="AA194" s="697"/>
      <c r="AB194" s="697"/>
    </row>
    <row r="195" spans="1:28" x14ac:dyDescent="0.2">
      <c r="A195" s="694" t="str">
        <f>+Info!$B$2</f>
        <v>724</v>
      </c>
      <c r="B195" s="694" t="s">
        <v>4907</v>
      </c>
      <c r="C195" s="694" t="s">
        <v>4908</v>
      </c>
      <c r="D195" s="695" t="s">
        <v>4909</v>
      </c>
      <c r="E195" s="696"/>
      <c r="F195" s="697"/>
      <c r="G195" s="697"/>
      <c r="H195" s="698"/>
      <c r="I195" s="697"/>
      <c r="J195" s="698"/>
      <c r="K195" s="697"/>
      <c r="L195" s="697"/>
      <c r="M195" s="697"/>
      <c r="N195" s="698"/>
      <c r="O195" s="697"/>
      <c r="P195" s="697"/>
      <c r="Q195" s="697"/>
      <c r="R195" s="697"/>
      <c r="S195" s="697"/>
      <c r="T195" s="697"/>
      <c r="U195" s="697"/>
      <c r="V195" s="698"/>
      <c r="W195" s="698"/>
      <c r="X195" s="697"/>
      <c r="Y195" s="697"/>
      <c r="Z195" s="697"/>
      <c r="AA195" s="697"/>
      <c r="AB195" s="697"/>
    </row>
    <row r="196" spans="1:28" x14ac:dyDescent="0.2">
      <c r="A196" s="694" t="str">
        <f>+Info!$B$2</f>
        <v>724</v>
      </c>
      <c r="B196" s="694" t="s">
        <v>4910</v>
      </c>
      <c r="C196" s="694" t="s">
        <v>4911</v>
      </c>
      <c r="D196" s="695" t="s">
        <v>4912</v>
      </c>
      <c r="E196" s="696"/>
      <c r="F196" s="697"/>
      <c r="G196" s="697"/>
      <c r="H196" s="698"/>
      <c r="I196" s="697"/>
      <c r="J196" s="698"/>
      <c r="K196" s="697"/>
      <c r="L196" s="697"/>
      <c r="M196" s="697"/>
      <c r="N196" s="698"/>
      <c r="O196" s="697"/>
      <c r="P196" s="697"/>
      <c r="Q196" s="697"/>
      <c r="R196" s="697"/>
      <c r="S196" s="697"/>
      <c r="T196" s="697"/>
      <c r="U196" s="697"/>
      <c r="V196" s="698"/>
      <c r="W196" s="698"/>
      <c r="X196" s="697"/>
      <c r="Y196" s="697"/>
      <c r="Z196" s="697"/>
      <c r="AA196" s="697"/>
      <c r="AB196" s="697"/>
    </row>
    <row r="197" spans="1:28" ht="25.5" x14ac:dyDescent="0.2">
      <c r="A197" s="694" t="str">
        <f>+Info!$B$2</f>
        <v>724</v>
      </c>
      <c r="B197" s="694" t="s">
        <v>4913</v>
      </c>
      <c r="C197" s="694" t="s">
        <v>4914</v>
      </c>
      <c r="D197" s="695" t="s">
        <v>4915</v>
      </c>
      <c r="E197" s="696"/>
      <c r="F197" s="697"/>
      <c r="G197" s="697"/>
      <c r="H197" s="698"/>
      <c r="I197" s="697"/>
      <c r="J197" s="697"/>
      <c r="K197" s="697"/>
      <c r="L197" s="697"/>
      <c r="M197" s="697"/>
      <c r="N197" s="698"/>
      <c r="O197" s="697"/>
      <c r="P197" s="697"/>
      <c r="Q197" s="697"/>
      <c r="R197" s="697"/>
      <c r="S197" s="697"/>
      <c r="T197" s="697"/>
      <c r="U197" s="697"/>
      <c r="V197" s="698"/>
      <c r="W197" s="698"/>
      <c r="X197" s="697"/>
      <c r="Y197" s="697"/>
      <c r="Z197" s="697"/>
      <c r="AA197" s="697"/>
      <c r="AB197" s="697"/>
    </row>
    <row r="198" spans="1:28" ht="25.5" x14ac:dyDescent="0.2">
      <c r="A198" s="694" t="str">
        <f>+Info!$B$2</f>
        <v>724</v>
      </c>
      <c r="B198" s="694" t="s">
        <v>4916</v>
      </c>
      <c r="C198" s="694" t="s">
        <v>4917</v>
      </c>
      <c r="D198" s="695" t="s">
        <v>4918</v>
      </c>
      <c r="E198" s="696"/>
      <c r="F198" s="697"/>
      <c r="G198" s="697"/>
      <c r="H198" s="698"/>
      <c r="I198" s="697"/>
      <c r="J198" s="697"/>
      <c r="K198" s="697"/>
      <c r="L198" s="697"/>
      <c r="M198" s="697"/>
      <c r="N198" s="698"/>
      <c r="O198" s="697"/>
      <c r="P198" s="697"/>
      <c r="Q198" s="697"/>
      <c r="R198" s="697"/>
      <c r="S198" s="697"/>
      <c r="T198" s="697"/>
      <c r="U198" s="697"/>
      <c r="V198" s="698"/>
      <c r="W198" s="698"/>
      <c r="X198" s="697"/>
      <c r="Y198" s="697"/>
      <c r="Z198" s="697"/>
      <c r="AA198" s="697"/>
      <c r="AB198" s="697"/>
    </row>
    <row r="199" spans="1:28" ht="25.5" x14ac:dyDescent="0.2">
      <c r="A199" s="694" t="str">
        <f>+Info!$B$2</f>
        <v>724</v>
      </c>
      <c r="B199" s="694" t="s">
        <v>4919</v>
      </c>
      <c r="C199" s="694" t="s">
        <v>4920</v>
      </c>
      <c r="D199" s="695" t="s">
        <v>4921</v>
      </c>
      <c r="E199" s="696"/>
      <c r="F199" s="697"/>
      <c r="G199" s="697"/>
      <c r="H199" s="698"/>
      <c r="I199" s="697"/>
      <c r="J199" s="697"/>
      <c r="K199" s="697"/>
      <c r="L199" s="697"/>
      <c r="M199" s="697"/>
      <c r="N199" s="698"/>
      <c r="O199" s="697"/>
      <c r="P199" s="697"/>
      <c r="Q199" s="697"/>
      <c r="R199" s="697"/>
      <c r="S199" s="697"/>
      <c r="T199" s="697"/>
      <c r="U199" s="697"/>
      <c r="V199" s="698"/>
      <c r="W199" s="698"/>
      <c r="X199" s="697"/>
      <c r="Y199" s="697"/>
      <c r="Z199" s="697"/>
      <c r="AA199" s="697"/>
      <c r="AB199" s="697"/>
    </row>
    <row r="200" spans="1:28" ht="25.5" x14ac:dyDescent="0.2">
      <c r="A200" s="694" t="str">
        <f>+Info!$B$2</f>
        <v>724</v>
      </c>
      <c r="B200" s="694" t="s">
        <v>4922</v>
      </c>
      <c r="C200" s="694" t="s">
        <v>4923</v>
      </c>
      <c r="D200" s="695" t="s">
        <v>4924</v>
      </c>
      <c r="E200" s="696"/>
      <c r="F200" s="697"/>
      <c r="G200" s="697"/>
      <c r="H200" s="698"/>
      <c r="I200" s="697"/>
      <c r="J200" s="697"/>
      <c r="K200" s="697"/>
      <c r="L200" s="697"/>
      <c r="M200" s="697"/>
      <c r="N200" s="698"/>
      <c r="O200" s="697"/>
      <c r="P200" s="697"/>
      <c r="Q200" s="697"/>
      <c r="R200" s="697"/>
      <c r="S200" s="697"/>
      <c r="T200" s="697"/>
      <c r="U200" s="697"/>
      <c r="V200" s="698"/>
      <c r="W200" s="698"/>
      <c r="X200" s="697"/>
      <c r="Y200" s="697"/>
      <c r="Z200" s="697"/>
      <c r="AA200" s="697"/>
      <c r="AB200" s="697"/>
    </row>
    <row r="201" spans="1:28" x14ac:dyDescent="0.2">
      <c r="A201" s="694" t="str">
        <f>+Info!$B$2</f>
        <v>724</v>
      </c>
      <c r="B201" s="694" t="s">
        <v>4925</v>
      </c>
      <c r="C201" s="694" t="s">
        <v>4926</v>
      </c>
      <c r="D201" s="695" t="s">
        <v>4927</v>
      </c>
      <c r="E201" s="696"/>
      <c r="F201" s="697"/>
      <c r="G201" s="697"/>
      <c r="H201" s="698"/>
      <c r="I201" s="697"/>
      <c r="J201" s="697"/>
      <c r="K201" s="697"/>
      <c r="L201" s="697"/>
      <c r="M201" s="697"/>
      <c r="N201" s="698"/>
      <c r="O201" s="697"/>
      <c r="P201" s="697"/>
      <c r="Q201" s="697"/>
      <c r="R201" s="697"/>
      <c r="S201" s="697"/>
      <c r="T201" s="697"/>
      <c r="U201" s="697"/>
      <c r="V201" s="698"/>
      <c r="W201" s="698"/>
      <c r="X201" s="697"/>
      <c r="Y201" s="697"/>
      <c r="Z201" s="697"/>
      <c r="AA201" s="697"/>
      <c r="AB201" s="697"/>
    </row>
    <row r="202" spans="1:28" x14ac:dyDescent="0.2">
      <c r="A202" s="694" t="str">
        <f>+Info!$B$2</f>
        <v>724</v>
      </c>
      <c r="B202" s="694" t="s">
        <v>4928</v>
      </c>
      <c r="C202" s="694" t="s">
        <v>4929</v>
      </c>
      <c r="D202" s="695" t="s">
        <v>4930</v>
      </c>
      <c r="E202" s="696"/>
      <c r="F202" s="697"/>
      <c r="G202" s="697"/>
      <c r="H202" s="698"/>
      <c r="I202" s="697"/>
      <c r="J202" s="698"/>
      <c r="K202" s="697"/>
      <c r="L202" s="697"/>
      <c r="M202" s="697"/>
      <c r="N202" s="698"/>
      <c r="O202" s="697"/>
      <c r="P202" s="697"/>
      <c r="Q202" s="697"/>
      <c r="R202" s="697"/>
      <c r="S202" s="697"/>
      <c r="T202" s="697"/>
      <c r="U202" s="697"/>
      <c r="V202" s="698"/>
      <c r="W202" s="698"/>
      <c r="X202" s="697"/>
      <c r="Y202" s="697"/>
      <c r="Z202" s="697"/>
      <c r="AA202" s="697"/>
      <c r="AB202" s="697"/>
    </row>
    <row r="203" spans="1:28" x14ac:dyDescent="0.2">
      <c r="A203" s="694" t="str">
        <f>+Info!$B$2</f>
        <v>724</v>
      </c>
      <c r="B203" s="694" t="s">
        <v>4931</v>
      </c>
      <c r="C203" s="694" t="s">
        <v>4932</v>
      </c>
      <c r="D203" s="695" t="s">
        <v>4933</v>
      </c>
      <c r="E203" s="696"/>
      <c r="F203" s="697"/>
      <c r="G203" s="697"/>
      <c r="H203" s="698"/>
      <c r="I203" s="697"/>
      <c r="J203" s="698"/>
      <c r="K203" s="697"/>
      <c r="L203" s="697"/>
      <c r="M203" s="697"/>
      <c r="N203" s="698"/>
      <c r="O203" s="697"/>
      <c r="P203" s="697"/>
      <c r="Q203" s="697"/>
      <c r="R203" s="697"/>
      <c r="S203" s="697"/>
      <c r="T203" s="697"/>
      <c r="U203" s="697"/>
      <c r="V203" s="698"/>
      <c r="W203" s="698"/>
      <c r="X203" s="697"/>
      <c r="Y203" s="697"/>
      <c r="Z203" s="697"/>
      <c r="AA203" s="697"/>
      <c r="AB203" s="697"/>
    </row>
    <row r="204" spans="1:28" x14ac:dyDescent="0.2">
      <c r="A204" s="694" t="str">
        <f>+Info!$B$2</f>
        <v>724</v>
      </c>
      <c r="B204" s="694" t="s">
        <v>4934</v>
      </c>
      <c r="C204" s="694" t="s">
        <v>4935</v>
      </c>
      <c r="D204" s="695" t="s">
        <v>4936</v>
      </c>
      <c r="E204" s="696"/>
      <c r="F204" s="697"/>
      <c r="G204" s="697"/>
      <c r="H204" s="698"/>
      <c r="I204" s="697"/>
      <c r="J204" s="698"/>
      <c r="K204" s="697"/>
      <c r="L204" s="697"/>
      <c r="M204" s="697"/>
      <c r="N204" s="698"/>
      <c r="O204" s="697"/>
      <c r="P204" s="697"/>
      <c r="Q204" s="697"/>
      <c r="R204" s="697"/>
      <c r="S204" s="697"/>
      <c r="T204" s="697"/>
      <c r="U204" s="697"/>
      <c r="V204" s="698"/>
      <c r="W204" s="698"/>
      <c r="X204" s="697"/>
      <c r="Y204" s="697"/>
      <c r="Z204" s="697"/>
      <c r="AA204" s="697"/>
      <c r="AB204" s="697"/>
    </row>
    <row r="205" spans="1:28" x14ac:dyDescent="0.2">
      <c r="A205" s="694" t="str">
        <f>+Info!$B$2</f>
        <v>724</v>
      </c>
      <c r="B205" s="694" t="s">
        <v>4937</v>
      </c>
      <c r="C205" s="694" t="s">
        <v>4938</v>
      </c>
      <c r="D205" s="695" t="s">
        <v>4939</v>
      </c>
      <c r="E205" s="696"/>
      <c r="F205" s="697"/>
      <c r="G205" s="697"/>
      <c r="H205" s="698"/>
      <c r="I205" s="697"/>
      <c r="J205" s="698"/>
      <c r="K205" s="697"/>
      <c r="L205" s="697"/>
      <c r="M205" s="697"/>
      <c r="N205" s="698"/>
      <c r="O205" s="697"/>
      <c r="P205" s="697"/>
      <c r="Q205" s="697"/>
      <c r="R205" s="697"/>
      <c r="S205" s="697"/>
      <c r="T205" s="697"/>
      <c r="U205" s="697"/>
      <c r="V205" s="698"/>
      <c r="W205" s="698"/>
      <c r="X205" s="697"/>
      <c r="Y205" s="697"/>
      <c r="Z205" s="697"/>
      <c r="AA205" s="697"/>
      <c r="AB205" s="697"/>
    </row>
    <row r="206" spans="1:28" x14ac:dyDescent="0.2">
      <c r="A206" s="694" t="str">
        <f>+Info!$B$2</f>
        <v>724</v>
      </c>
      <c r="B206" s="694" t="s">
        <v>4940</v>
      </c>
      <c r="C206" s="694" t="s">
        <v>4941</v>
      </c>
      <c r="D206" s="695" t="s">
        <v>4942</v>
      </c>
      <c r="E206" s="696"/>
      <c r="F206" s="697"/>
      <c r="G206" s="697"/>
      <c r="H206" s="698"/>
      <c r="I206" s="697"/>
      <c r="J206" s="697"/>
      <c r="K206" s="697"/>
      <c r="L206" s="697"/>
      <c r="M206" s="697"/>
      <c r="N206" s="698"/>
      <c r="O206" s="697"/>
      <c r="P206" s="697"/>
      <c r="Q206" s="697"/>
      <c r="R206" s="697"/>
      <c r="S206" s="697"/>
      <c r="T206" s="697"/>
      <c r="U206" s="697"/>
      <c r="V206" s="698"/>
      <c r="W206" s="698"/>
      <c r="X206" s="697"/>
      <c r="Y206" s="697"/>
      <c r="Z206" s="697"/>
      <c r="AA206" s="697"/>
      <c r="AB206" s="697"/>
    </row>
    <row r="207" spans="1:28" ht="25.5" x14ac:dyDescent="0.2">
      <c r="A207" s="694" t="str">
        <f>+Info!$B$2</f>
        <v>724</v>
      </c>
      <c r="B207" s="694" t="s">
        <v>4943</v>
      </c>
      <c r="C207" s="694" t="s">
        <v>4944</v>
      </c>
      <c r="D207" s="695" t="s">
        <v>4945</v>
      </c>
      <c r="E207" s="696"/>
      <c r="F207" s="697"/>
      <c r="G207" s="697"/>
      <c r="H207" s="698"/>
      <c r="I207" s="697"/>
      <c r="J207" s="697"/>
      <c r="K207" s="697"/>
      <c r="L207" s="697"/>
      <c r="M207" s="697"/>
      <c r="N207" s="698"/>
      <c r="O207" s="697"/>
      <c r="P207" s="697"/>
      <c r="Q207" s="697"/>
      <c r="R207" s="697"/>
      <c r="S207" s="697"/>
      <c r="T207" s="697"/>
      <c r="U207" s="697"/>
      <c r="V207" s="698"/>
      <c r="W207" s="698"/>
      <c r="X207" s="697"/>
      <c r="Y207" s="697"/>
      <c r="Z207" s="697"/>
      <c r="AA207" s="697"/>
      <c r="AB207" s="697"/>
    </row>
    <row r="208" spans="1:28" x14ac:dyDescent="0.2">
      <c r="A208" s="694" t="str">
        <f>+Info!$B$2</f>
        <v>724</v>
      </c>
      <c r="B208" s="694" t="s">
        <v>4946</v>
      </c>
      <c r="C208" s="694" t="s">
        <v>4947</v>
      </c>
      <c r="D208" s="695" t="s">
        <v>4948</v>
      </c>
      <c r="E208" s="696"/>
      <c r="F208" s="697"/>
      <c r="G208" s="697"/>
      <c r="H208" s="698"/>
      <c r="I208" s="697"/>
      <c r="J208" s="697"/>
      <c r="K208" s="697"/>
      <c r="L208" s="697"/>
      <c r="M208" s="697"/>
      <c r="N208" s="698"/>
      <c r="O208" s="697"/>
      <c r="P208" s="697"/>
      <c r="Q208" s="697"/>
      <c r="R208" s="697"/>
      <c r="S208" s="697"/>
      <c r="T208" s="697"/>
      <c r="U208" s="697"/>
      <c r="V208" s="698"/>
      <c r="W208" s="698"/>
      <c r="X208" s="697"/>
      <c r="Y208" s="697"/>
      <c r="Z208" s="697"/>
      <c r="AA208" s="697"/>
      <c r="AB208" s="697"/>
    </row>
    <row r="209" spans="1:28" x14ac:dyDescent="0.2">
      <c r="A209" s="694" t="str">
        <f>+Info!$B$2</f>
        <v>724</v>
      </c>
      <c r="B209" s="694" t="s">
        <v>4949</v>
      </c>
      <c r="C209" s="694" t="s">
        <v>4950</v>
      </c>
      <c r="D209" s="695" t="s">
        <v>4951</v>
      </c>
      <c r="E209" s="696"/>
      <c r="F209" s="697"/>
      <c r="G209" s="697"/>
      <c r="H209" s="698"/>
      <c r="I209" s="697"/>
      <c r="J209" s="698"/>
      <c r="K209" s="697"/>
      <c r="L209" s="697"/>
      <c r="M209" s="697"/>
      <c r="N209" s="698"/>
      <c r="O209" s="697"/>
      <c r="P209" s="697"/>
      <c r="Q209" s="697"/>
      <c r="R209" s="697"/>
      <c r="S209" s="697"/>
      <c r="T209" s="697"/>
      <c r="U209" s="697"/>
      <c r="V209" s="698"/>
      <c r="W209" s="698"/>
      <c r="X209" s="697"/>
      <c r="Y209" s="697"/>
      <c r="Z209" s="697"/>
      <c r="AA209" s="697"/>
      <c r="AB209" s="697"/>
    </row>
    <row r="210" spans="1:28" x14ac:dyDescent="0.2">
      <c r="A210" s="694" t="str">
        <f>+Info!$B$2</f>
        <v>724</v>
      </c>
      <c r="B210" s="694" t="s">
        <v>4952</v>
      </c>
      <c r="C210" s="694" t="s">
        <v>4953</v>
      </c>
      <c r="D210" s="695" t="s">
        <v>4954</v>
      </c>
      <c r="E210" s="696"/>
      <c r="F210" s="697"/>
      <c r="G210" s="697"/>
      <c r="H210" s="698"/>
      <c r="I210" s="697"/>
      <c r="J210" s="698"/>
      <c r="K210" s="697"/>
      <c r="L210" s="697"/>
      <c r="M210" s="697"/>
      <c r="N210" s="698"/>
      <c r="O210" s="697"/>
      <c r="P210" s="697"/>
      <c r="Q210" s="697"/>
      <c r="R210" s="697"/>
      <c r="S210" s="697"/>
      <c r="T210" s="697"/>
      <c r="U210" s="697"/>
      <c r="V210" s="698"/>
      <c r="W210" s="698"/>
      <c r="X210" s="697"/>
      <c r="Y210" s="697"/>
      <c r="Z210" s="697"/>
      <c r="AA210" s="697"/>
      <c r="AB210" s="697"/>
    </row>
    <row r="211" spans="1:28" x14ac:dyDescent="0.2">
      <c r="A211" s="694" t="str">
        <f>+Info!$B$2</f>
        <v>724</v>
      </c>
      <c r="B211" s="694" t="s">
        <v>4955</v>
      </c>
      <c r="C211" s="694" t="s">
        <v>4956</v>
      </c>
      <c r="D211" s="695" t="s">
        <v>4957</v>
      </c>
      <c r="E211" s="696"/>
      <c r="F211" s="697"/>
      <c r="G211" s="697"/>
      <c r="H211" s="698"/>
      <c r="I211" s="697"/>
      <c r="J211" s="698"/>
      <c r="K211" s="697"/>
      <c r="L211" s="697"/>
      <c r="M211" s="697"/>
      <c r="N211" s="698"/>
      <c r="O211" s="697"/>
      <c r="P211" s="697"/>
      <c r="Q211" s="697"/>
      <c r="R211" s="697"/>
      <c r="S211" s="697"/>
      <c r="T211" s="697"/>
      <c r="U211" s="697"/>
      <c r="V211" s="698"/>
      <c r="W211" s="698"/>
      <c r="X211" s="697"/>
      <c r="Y211" s="697"/>
      <c r="Z211" s="697"/>
      <c r="AA211" s="697"/>
      <c r="AB211" s="697"/>
    </row>
    <row r="212" spans="1:28" ht="15" x14ac:dyDescent="0.25">
      <c r="A212" s="691" t="str">
        <f>+Info!$B$2</f>
        <v>724</v>
      </c>
      <c r="B212" s="691" t="s">
        <v>4958</v>
      </c>
      <c r="C212" s="691" t="s">
        <v>4959</v>
      </c>
      <c r="D212" s="692" t="s">
        <v>4960</v>
      </c>
      <c r="E212" s="693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</row>
    <row r="213" spans="1:28" x14ac:dyDescent="0.2">
      <c r="A213" s="694" t="str">
        <f>+Info!$B$2</f>
        <v>724</v>
      </c>
      <c r="B213" s="694" t="s">
        <v>4961</v>
      </c>
      <c r="C213" s="694" t="s">
        <v>4962</v>
      </c>
      <c r="D213" s="695" t="s">
        <v>4963</v>
      </c>
      <c r="E213" s="696"/>
      <c r="F213" s="697"/>
      <c r="G213" s="697"/>
      <c r="H213" s="698"/>
      <c r="I213" s="697"/>
      <c r="J213" s="698"/>
      <c r="K213" s="697"/>
      <c r="L213" s="697"/>
      <c r="M213" s="697"/>
      <c r="N213" s="698"/>
      <c r="O213" s="697"/>
      <c r="P213" s="697"/>
      <c r="Q213" s="697"/>
      <c r="R213" s="697"/>
      <c r="S213" s="697"/>
      <c r="T213" s="697"/>
      <c r="U213" s="697"/>
      <c r="V213" s="698"/>
      <c r="W213" s="698"/>
      <c r="X213" s="697"/>
      <c r="Y213" s="697"/>
      <c r="Z213" s="697"/>
      <c r="AA213" s="697"/>
      <c r="AB213" s="697"/>
    </row>
    <row r="214" spans="1:28" x14ac:dyDescent="0.2">
      <c r="A214" s="694" t="str">
        <f>+Info!$B$2</f>
        <v>724</v>
      </c>
      <c r="B214" s="694" t="s">
        <v>4964</v>
      </c>
      <c r="C214" s="694" t="s">
        <v>4965</v>
      </c>
      <c r="D214" s="695" t="s">
        <v>4966</v>
      </c>
      <c r="E214" s="696"/>
      <c r="F214" s="697"/>
      <c r="G214" s="697"/>
      <c r="H214" s="698"/>
      <c r="I214" s="697"/>
      <c r="J214" s="698"/>
      <c r="K214" s="697"/>
      <c r="L214" s="697"/>
      <c r="M214" s="697"/>
      <c r="N214" s="698"/>
      <c r="O214" s="697"/>
      <c r="P214" s="697"/>
      <c r="Q214" s="697"/>
      <c r="R214" s="697"/>
      <c r="S214" s="697"/>
      <c r="T214" s="697"/>
      <c r="U214" s="697"/>
      <c r="V214" s="698"/>
      <c r="W214" s="698"/>
      <c r="X214" s="697"/>
      <c r="Y214" s="697"/>
      <c r="Z214" s="697"/>
      <c r="AA214" s="697"/>
      <c r="AB214" s="697"/>
    </row>
    <row r="215" spans="1:28" x14ac:dyDescent="0.2">
      <c r="A215" s="694" t="str">
        <f>+Info!$B$2</f>
        <v>724</v>
      </c>
      <c r="B215" s="694" t="s">
        <v>4967</v>
      </c>
      <c r="C215" s="694" t="s">
        <v>4968</v>
      </c>
      <c r="D215" s="695" t="s">
        <v>4969</v>
      </c>
      <c r="E215" s="696"/>
      <c r="F215" s="697"/>
      <c r="G215" s="697"/>
      <c r="H215" s="698"/>
      <c r="I215" s="697"/>
      <c r="J215" s="698"/>
      <c r="K215" s="697"/>
      <c r="L215" s="697"/>
      <c r="M215" s="697"/>
      <c r="N215" s="698"/>
      <c r="O215" s="697"/>
      <c r="P215" s="697"/>
      <c r="Q215" s="697"/>
      <c r="R215" s="697"/>
      <c r="S215" s="697"/>
      <c r="T215" s="697"/>
      <c r="U215" s="697"/>
      <c r="V215" s="698"/>
      <c r="W215" s="698"/>
      <c r="X215" s="697"/>
      <c r="Y215" s="697"/>
      <c r="Z215" s="697"/>
      <c r="AA215" s="697"/>
      <c r="AB215" s="697"/>
    </row>
    <row r="216" spans="1:28" ht="15" x14ac:dyDescent="0.25">
      <c r="A216" s="691" t="str">
        <f>+Info!$B$2</f>
        <v>724</v>
      </c>
      <c r="B216" s="691" t="s">
        <v>4970</v>
      </c>
      <c r="C216" s="691" t="s">
        <v>4971</v>
      </c>
      <c r="D216" s="692" t="s">
        <v>4972</v>
      </c>
      <c r="E216" s="693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</row>
    <row r="217" spans="1:28" x14ac:dyDescent="0.2">
      <c r="A217" s="694" t="str">
        <f>+Info!$B$2</f>
        <v>724</v>
      </c>
      <c r="B217" s="694" t="s">
        <v>4973</v>
      </c>
      <c r="C217" s="694" t="s">
        <v>4974</v>
      </c>
      <c r="D217" s="695" t="s">
        <v>4975</v>
      </c>
      <c r="E217" s="696"/>
      <c r="F217" s="697"/>
      <c r="G217" s="697"/>
      <c r="H217" s="698"/>
      <c r="I217" s="697"/>
      <c r="J217" s="697"/>
      <c r="K217" s="697"/>
      <c r="L217" s="697"/>
      <c r="M217" s="697"/>
      <c r="N217" s="698"/>
      <c r="O217" s="697"/>
      <c r="P217" s="697"/>
      <c r="Q217" s="697"/>
      <c r="R217" s="697"/>
      <c r="S217" s="697"/>
      <c r="T217" s="697"/>
      <c r="U217" s="697"/>
      <c r="V217" s="698"/>
      <c r="W217" s="698"/>
      <c r="X217" s="697"/>
      <c r="Y217" s="697"/>
      <c r="Z217" s="697"/>
      <c r="AA217" s="697"/>
      <c r="AB217" s="697"/>
    </row>
    <row r="218" spans="1:28" x14ac:dyDescent="0.2">
      <c r="A218" s="694" t="str">
        <f>+Info!$B$2</f>
        <v>724</v>
      </c>
      <c r="B218" s="694" t="s">
        <v>4976</v>
      </c>
      <c r="C218" s="694" t="s">
        <v>4977</v>
      </c>
      <c r="D218" s="695" t="s">
        <v>4978</v>
      </c>
      <c r="E218" s="696"/>
      <c r="F218" s="697"/>
      <c r="G218" s="697"/>
      <c r="H218" s="698"/>
      <c r="I218" s="697"/>
      <c r="J218" s="697"/>
      <c r="K218" s="697"/>
      <c r="L218" s="697"/>
      <c r="M218" s="697"/>
      <c r="N218" s="698"/>
      <c r="O218" s="697"/>
      <c r="P218" s="697"/>
      <c r="Q218" s="697"/>
      <c r="R218" s="697"/>
      <c r="S218" s="697"/>
      <c r="T218" s="697"/>
      <c r="U218" s="697"/>
      <c r="V218" s="698"/>
      <c r="W218" s="698"/>
      <c r="X218" s="697"/>
      <c r="Y218" s="697"/>
      <c r="Z218" s="697"/>
      <c r="AA218" s="697"/>
      <c r="AB218" s="697"/>
    </row>
    <row r="219" spans="1:28" x14ac:dyDescent="0.2">
      <c r="A219" s="694" t="str">
        <f>+Info!$B$2</f>
        <v>724</v>
      </c>
      <c r="B219" s="694" t="s">
        <v>4979</v>
      </c>
      <c r="C219" s="694" t="s">
        <v>4980</v>
      </c>
      <c r="D219" s="695" t="s">
        <v>4981</v>
      </c>
      <c r="E219" s="696"/>
      <c r="F219" s="697"/>
      <c r="G219" s="697"/>
      <c r="H219" s="698"/>
      <c r="I219" s="697"/>
      <c r="J219" s="697"/>
      <c r="K219" s="697"/>
      <c r="L219" s="697"/>
      <c r="M219" s="697"/>
      <c r="N219" s="698"/>
      <c r="O219" s="697"/>
      <c r="P219" s="697"/>
      <c r="Q219" s="697"/>
      <c r="R219" s="697"/>
      <c r="S219" s="697"/>
      <c r="T219" s="697"/>
      <c r="U219" s="697"/>
      <c r="V219" s="698"/>
      <c r="W219" s="698"/>
      <c r="X219" s="697"/>
      <c r="Y219" s="697"/>
      <c r="Z219" s="697"/>
      <c r="AA219" s="697"/>
      <c r="AB219" s="697"/>
    </row>
    <row r="220" spans="1:28" x14ac:dyDescent="0.2">
      <c r="A220" s="694" t="str">
        <f>+Info!$B$2</f>
        <v>724</v>
      </c>
      <c r="B220" s="694" t="s">
        <v>4982</v>
      </c>
      <c r="C220" s="694" t="s">
        <v>4983</v>
      </c>
      <c r="D220" s="695" t="s">
        <v>4984</v>
      </c>
      <c r="E220" s="696"/>
      <c r="F220" s="697"/>
      <c r="G220" s="697"/>
      <c r="H220" s="698"/>
      <c r="I220" s="697"/>
      <c r="J220" s="698"/>
      <c r="K220" s="697"/>
      <c r="L220" s="697"/>
      <c r="M220" s="697"/>
      <c r="N220" s="698"/>
      <c r="O220" s="697"/>
      <c r="P220" s="697"/>
      <c r="Q220" s="697"/>
      <c r="R220" s="697"/>
      <c r="S220" s="697"/>
      <c r="T220" s="697"/>
      <c r="U220" s="697"/>
      <c r="V220" s="698"/>
      <c r="W220" s="698"/>
      <c r="X220" s="697"/>
      <c r="Y220" s="697"/>
      <c r="Z220" s="697"/>
      <c r="AA220" s="697"/>
      <c r="AB220" s="697"/>
    </row>
    <row r="221" spans="1:28" x14ac:dyDescent="0.2">
      <c r="A221" s="694" t="str">
        <f>+Info!$B$2</f>
        <v>724</v>
      </c>
      <c r="B221" s="694" t="s">
        <v>4985</v>
      </c>
      <c r="C221" s="694" t="s">
        <v>4986</v>
      </c>
      <c r="D221" s="695" t="s">
        <v>4987</v>
      </c>
      <c r="E221" s="696"/>
      <c r="F221" s="697"/>
      <c r="G221" s="697"/>
      <c r="H221" s="698"/>
      <c r="I221" s="697"/>
      <c r="J221" s="698"/>
      <c r="K221" s="697"/>
      <c r="L221" s="697"/>
      <c r="M221" s="697"/>
      <c r="N221" s="698"/>
      <c r="O221" s="697"/>
      <c r="P221" s="697"/>
      <c r="Q221" s="697"/>
      <c r="R221" s="697"/>
      <c r="S221" s="697"/>
      <c r="T221" s="697"/>
      <c r="U221" s="697"/>
      <c r="V221" s="698"/>
      <c r="W221" s="698"/>
      <c r="X221" s="697"/>
      <c r="Y221" s="697"/>
      <c r="Z221" s="697"/>
      <c r="AA221" s="697"/>
      <c r="AB221" s="697"/>
    </row>
    <row r="222" spans="1:28" ht="15" x14ac:dyDescent="0.25">
      <c r="A222" s="691" t="str">
        <f>+Info!$B$2</f>
        <v>724</v>
      </c>
      <c r="B222" s="691" t="s">
        <v>4988</v>
      </c>
      <c r="C222" s="691" t="s">
        <v>4989</v>
      </c>
      <c r="D222" s="692" t="s">
        <v>4990</v>
      </c>
      <c r="E222" s="693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</row>
    <row r="223" spans="1:28" x14ac:dyDescent="0.2">
      <c r="A223" s="694" t="str">
        <f>+Info!$B$2</f>
        <v>724</v>
      </c>
      <c r="B223" s="694" t="s">
        <v>4991</v>
      </c>
      <c r="C223" s="694" t="s">
        <v>4992</v>
      </c>
      <c r="D223" s="695" t="s">
        <v>4993</v>
      </c>
      <c r="E223" s="696"/>
      <c r="F223" s="697"/>
      <c r="G223" s="697"/>
      <c r="H223" s="698"/>
      <c r="I223" s="697"/>
      <c r="J223" s="697"/>
      <c r="K223" s="697"/>
      <c r="L223" s="697"/>
      <c r="M223" s="697"/>
      <c r="N223" s="698"/>
      <c r="O223" s="697"/>
      <c r="P223" s="697"/>
      <c r="Q223" s="697"/>
      <c r="R223" s="697"/>
      <c r="S223" s="697"/>
      <c r="T223" s="697"/>
      <c r="U223" s="697"/>
      <c r="V223" s="698"/>
      <c r="W223" s="698"/>
      <c r="X223" s="697"/>
      <c r="Y223" s="697"/>
      <c r="Z223" s="697"/>
      <c r="AA223" s="697"/>
      <c r="AB223" s="697"/>
    </row>
    <row r="224" spans="1:28" x14ac:dyDescent="0.2">
      <c r="A224" s="694" t="str">
        <f>+Info!$B$2</f>
        <v>724</v>
      </c>
      <c r="B224" s="694" t="s">
        <v>4994</v>
      </c>
      <c r="C224" s="694" t="s">
        <v>4995</v>
      </c>
      <c r="D224" s="695" t="s">
        <v>4996</v>
      </c>
      <c r="E224" s="696"/>
      <c r="F224" s="697"/>
      <c r="G224" s="697"/>
      <c r="H224" s="698"/>
      <c r="I224" s="697"/>
      <c r="J224" s="697"/>
      <c r="K224" s="697"/>
      <c r="L224" s="697"/>
      <c r="M224" s="697"/>
      <c r="N224" s="698"/>
      <c r="O224" s="697"/>
      <c r="P224" s="697"/>
      <c r="Q224" s="697"/>
      <c r="R224" s="697"/>
      <c r="S224" s="697"/>
      <c r="T224" s="697"/>
      <c r="U224" s="697"/>
      <c r="V224" s="698"/>
      <c r="W224" s="698"/>
      <c r="X224" s="697"/>
      <c r="Y224" s="697"/>
      <c r="Z224" s="697"/>
      <c r="AA224" s="697"/>
      <c r="AB224" s="697"/>
    </row>
    <row r="225" spans="1:28" x14ac:dyDescent="0.2">
      <c r="A225" s="694" t="str">
        <f>+Info!$B$2</f>
        <v>724</v>
      </c>
      <c r="B225" s="694" t="s">
        <v>4997</v>
      </c>
      <c r="C225" s="694" t="s">
        <v>4998</v>
      </c>
      <c r="D225" s="695" t="s">
        <v>4999</v>
      </c>
      <c r="E225" s="696"/>
      <c r="F225" s="697"/>
      <c r="G225" s="697"/>
      <c r="H225" s="698"/>
      <c r="I225" s="697"/>
      <c r="J225" s="697"/>
      <c r="K225" s="697"/>
      <c r="L225" s="697"/>
      <c r="M225" s="697"/>
      <c r="N225" s="698"/>
      <c r="O225" s="697"/>
      <c r="P225" s="697"/>
      <c r="Q225" s="697"/>
      <c r="R225" s="697"/>
      <c r="S225" s="697"/>
      <c r="T225" s="697"/>
      <c r="U225" s="697"/>
      <c r="V225" s="698"/>
      <c r="W225" s="698"/>
      <c r="X225" s="697"/>
      <c r="Y225" s="697"/>
      <c r="Z225" s="697"/>
      <c r="AA225" s="697"/>
      <c r="AB225" s="697"/>
    </row>
    <row r="226" spans="1:28" x14ac:dyDescent="0.2">
      <c r="A226" s="694" t="str">
        <f>+Info!$B$2</f>
        <v>724</v>
      </c>
      <c r="B226" s="694" t="s">
        <v>5000</v>
      </c>
      <c r="C226" s="694" t="s">
        <v>5001</v>
      </c>
      <c r="D226" s="695" t="s">
        <v>5002</v>
      </c>
      <c r="E226" s="696"/>
      <c r="F226" s="697"/>
      <c r="G226" s="697"/>
      <c r="H226" s="698"/>
      <c r="I226" s="697"/>
      <c r="J226" s="697"/>
      <c r="K226" s="697"/>
      <c r="L226" s="697"/>
      <c r="M226" s="697"/>
      <c r="N226" s="698"/>
      <c r="O226" s="697"/>
      <c r="P226" s="697"/>
      <c r="Q226" s="697"/>
      <c r="R226" s="697"/>
      <c r="S226" s="697"/>
      <c r="T226" s="697"/>
      <c r="U226" s="697"/>
      <c r="V226" s="698"/>
      <c r="W226" s="698"/>
      <c r="X226" s="697"/>
      <c r="Y226" s="697"/>
      <c r="Z226" s="697"/>
      <c r="AA226" s="697"/>
      <c r="AB226" s="697"/>
    </row>
    <row r="227" spans="1:28" ht="25.5" x14ac:dyDescent="0.2">
      <c r="A227" s="694" t="str">
        <f>+Info!$B$2</f>
        <v>724</v>
      </c>
      <c r="B227" s="694" t="s">
        <v>5003</v>
      </c>
      <c r="C227" s="694" t="s">
        <v>5004</v>
      </c>
      <c r="D227" s="695" t="s">
        <v>5005</v>
      </c>
      <c r="E227" s="696"/>
      <c r="F227" s="697"/>
      <c r="G227" s="697"/>
      <c r="H227" s="698"/>
      <c r="I227" s="697"/>
      <c r="J227" s="697"/>
      <c r="K227" s="697"/>
      <c r="L227" s="697"/>
      <c r="M227" s="697"/>
      <c r="N227" s="698"/>
      <c r="O227" s="697"/>
      <c r="P227" s="697"/>
      <c r="Q227" s="697"/>
      <c r="R227" s="697"/>
      <c r="S227" s="697"/>
      <c r="T227" s="697"/>
      <c r="U227" s="697"/>
      <c r="V227" s="698"/>
      <c r="W227" s="698"/>
      <c r="X227" s="697"/>
      <c r="Y227" s="697"/>
      <c r="Z227" s="697"/>
      <c r="AA227" s="697"/>
      <c r="AB227" s="697"/>
    </row>
    <row r="228" spans="1:28" ht="25.5" x14ac:dyDescent="0.2">
      <c r="A228" s="694" t="str">
        <f>+Info!$B$2</f>
        <v>724</v>
      </c>
      <c r="B228" s="694" t="s">
        <v>5006</v>
      </c>
      <c r="C228" s="694" t="s">
        <v>5007</v>
      </c>
      <c r="D228" s="695" t="s">
        <v>5008</v>
      </c>
      <c r="E228" s="696"/>
      <c r="F228" s="697"/>
      <c r="G228" s="697"/>
      <c r="H228" s="698"/>
      <c r="I228" s="697"/>
      <c r="J228" s="697"/>
      <c r="K228" s="697"/>
      <c r="L228" s="697"/>
      <c r="M228" s="697"/>
      <c r="N228" s="698"/>
      <c r="O228" s="697"/>
      <c r="P228" s="697"/>
      <c r="Q228" s="697"/>
      <c r="R228" s="697"/>
      <c r="S228" s="697"/>
      <c r="T228" s="697"/>
      <c r="U228" s="697"/>
      <c r="V228" s="698"/>
      <c r="W228" s="698"/>
      <c r="X228" s="697"/>
      <c r="Y228" s="697"/>
      <c r="Z228" s="697"/>
      <c r="AA228" s="697"/>
      <c r="AB228" s="697"/>
    </row>
    <row r="229" spans="1:28" ht="25.5" x14ac:dyDescent="0.2">
      <c r="A229" s="694" t="str">
        <f>+Info!$B$2</f>
        <v>724</v>
      </c>
      <c r="B229" s="694" t="s">
        <v>5009</v>
      </c>
      <c r="C229" s="694" t="s">
        <v>5010</v>
      </c>
      <c r="D229" s="695" t="s">
        <v>5011</v>
      </c>
      <c r="E229" s="696"/>
      <c r="F229" s="697"/>
      <c r="G229" s="697"/>
      <c r="H229" s="698"/>
      <c r="I229" s="697"/>
      <c r="J229" s="697"/>
      <c r="K229" s="697"/>
      <c r="L229" s="697"/>
      <c r="M229" s="697"/>
      <c r="N229" s="698"/>
      <c r="O229" s="697"/>
      <c r="P229" s="697"/>
      <c r="Q229" s="697"/>
      <c r="R229" s="697"/>
      <c r="S229" s="697"/>
      <c r="T229" s="697"/>
      <c r="U229" s="697"/>
      <c r="V229" s="698"/>
      <c r="W229" s="698"/>
      <c r="X229" s="697"/>
      <c r="Y229" s="697"/>
      <c r="Z229" s="697"/>
      <c r="AA229" s="697"/>
      <c r="AB229" s="697"/>
    </row>
    <row r="230" spans="1:28" x14ac:dyDescent="0.2">
      <c r="A230" s="694" t="str">
        <f>+Info!$B$2</f>
        <v>724</v>
      </c>
      <c r="B230" s="694" t="s">
        <v>5012</v>
      </c>
      <c r="C230" s="694" t="s">
        <v>5013</v>
      </c>
      <c r="D230" s="695" t="s">
        <v>5014</v>
      </c>
      <c r="E230" s="696"/>
      <c r="F230" s="697"/>
      <c r="G230" s="697"/>
      <c r="H230" s="698"/>
      <c r="I230" s="697"/>
      <c r="J230" s="697"/>
      <c r="K230" s="697"/>
      <c r="L230" s="697"/>
      <c r="M230" s="697"/>
      <c r="N230" s="698"/>
      <c r="O230" s="697"/>
      <c r="P230" s="697"/>
      <c r="Q230" s="697"/>
      <c r="R230" s="697"/>
      <c r="S230" s="697"/>
      <c r="T230" s="697"/>
      <c r="U230" s="697"/>
      <c r="V230" s="698"/>
      <c r="W230" s="698"/>
      <c r="X230" s="697"/>
      <c r="Y230" s="697"/>
      <c r="Z230" s="697"/>
      <c r="AA230" s="697"/>
      <c r="AB230" s="697"/>
    </row>
    <row r="231" spans="1:28" ht="25.5" x14ac:dyDescent="0.2">
      <c r="A231" s="694" t="str">
        <f>+Info!$B$2</f>
        <v>724</v>
      </c>
      <c r="B231" s="694" t="s">
        <v>5015</v>
      </c>
      <c r="C231" s="694" t="s">
        <v>5016</v>
      </c>
      <c r="D231" s="695" t="s">
        <v>5017</v>
      </c>
      <c r="E231" s="696"/>
      <c r="F231" s="697"/>
      <c r="G231" s="697"/>
      <c r="H231" s="698"/>
      <c r="I231" s="697"/>
      <c r="J231" s="697"/>
      <c r="K231" s="697"/>
      <c r="L231" s="697"/>
      <c r="M231" s="697"/>
      <c r="N231" s="698"/>
      <c r="O231" s="697"/>
      <c r="P231" s="697"/>
      <c r="Q231" s="697"/>
      <c r="R231" s="697"/>
      <c r="S231" s="697"/>
      <c r="T231" s="697"/>
      <c r="U231" s="697"/>
      <c r="V231" s="698"/>
      <c r="W231" s="698"/>
      <c r="X231" s="697"/>
      <c r="Y231" s="697"/>
      <c r="Z231" s="697"/>
      <c r="AA231" s="697"/>
      <c r="AB231" s="697"/>
    </row>
    <row r="232" spans="1:28" ht="25.5" x14ac:dyDescent="0.2">
      <c r="A232" s="694" t="str">
        <f>+Info!$B$2</f>
        <v>724</v>
      </c>
      <c r="B232" s="694" t="s">
        <v>5018</v>
      </c>
      <c r="C232" s="694" t="s">
        <v>5019</v>
      </c>
      <c r="D232" s="695" t="s">
        <v>5020</v>
      </c>
      <c r="E232" s="696"/>
      <c r="F232" s="697"/>
      <c r="G232" s="697"/>
      <c r="H232" s="698"/>
      <c r="I232" s="697"/>
      <c r="J232" s="697"/>
      <c r="K232" s="697"/>
      <c r="L232" s="697"/>
      <c r="M232" s="697"/>
      <c r="N232" s="698"/>
      <c r="O232" s="697"/>
      <c r="P232" s="697"/>
      <c r="Q232" s="697"/>
      <c r="R232" s="697"/>
      <c r="S232" s="697"/>
      <c r="T232" s="697"/>
      <c r="U232" s="697"/>
      <c r="V232" s="698"/>
      <c r="W232" s="698"/>
      <c r="X232" s="697"/>
      <c r="Y232" s="697"/>
      <c r="Z232" s="697"/>
      <c r="AA232" s="697"/>
      <c r="AB232" s="697"/>
    </row>
    <row r="233" spans="1:28" ht="25.5" x14ac:dyDescent="0.2">
      <c r="A233" s="694" t="str">
        <f>+Info!$B$2</f>
        <v>724</v>
      </c>
      <c r="B233" s="694" t="s">
        <v>5021</v>
      </c>
      <c r="C233" s="694" t="s">
        <v>5022</v>
      </c>
      <c r="D233" s="695" t="s">
        <v>5023</v>
      </c>
      <c r="E233" s="696"/>
      <c r="F233" s="697"/>
      <c r="G233" s="697"/>
      <c r="H233" s="698"/>
      <c r="I233" s="697"/>
      <c r="J233" s="697"/>
      <c r="K233" s="697"/>
      <c r="L233" s="697"/>
      <c r="M233" s="697"/>
      <c r="N233" s="698"/>
      <c r="O233" s="697"/>
      <c r="P233" s="697"/>
      <c r="Q233" s="697"/>
      <c r="R233" s="697"/>
      <c r="S233" s="697"/>
      <c r="T233" s="697"/>
      <c r="U233" s="697"/>
      <c r="V233" s="698"/>
      <c r="W233" s="698"/>
      <c r="X233" s="697"/>
      <c r="Y233" s="697"/>
      <c r="Z233" s="697"/>
      <c r="AA233" s="697"/>
      <c r="AB233" s="697"/>
    </row>
    <row r="234" spans="1:28" ht="25.5" x14ac:dyDescent="0.2">
      <c r="A234" s="694" t="str">
        <f>+Info!$B$2</f>
        <v>724</v>
      </c>
      <c r="B234" s="694" t="s">
        <v>5024</v>
      </c>
      <c r="C234" s="694" t="s">
        <v>5025</v>
      </c>
      <c r="D234" s="695" t="s">
        <v>5026</v>
      </c>
      <c r="E234" s="696"/>
      <c r="F234" s="697"/>
      <c r="G234" s="697"/>
      <c r="H234" s="698"/>
      <c r="I234" s="697"/>
      <c r="J234" s="697"/>
      <c r="K234" s="697"/>
      <c r="L234" s="697"/>
      <c r="M234" s="697"/>
      <c r="N234" s="698"/>
      <c r="O234" s="697"/>
      <c r="P234" s="697"/>
      <c r="Q234" s="697"/>
      <c r="R234" s="697"/>
      <c r="S234" s="697"/>
      <c r="T234" s="697"/>
      <c r="U234" s="697"/>
      <c r="V234" s="698"/>
      <c r="W234" s="698"/>
      <c r="X234" s="697"/>
      <c r="Y234" s="697"/>
      <c r="Z234" s="697"/>
      <c r="AA234" s="697"/>
      <c r="AB234" s="697"/>
    </row>
    <row r="235" spans="1:28" ht="25.5" x14ac:dyDescent="0.2">
      <c r="A235" s="694" t="str">
        <f>+Info!$B$2</f>
        <v>724</v>
      </c>
      <c r="B235" s="694" t="s">
        <v>5027</v>
      </c>
      <c r="C235" s="694" t="s">
        <v>5028</v>
      </c>
      <c r="D235" s="695" t="s">
        <v>5029</v>
      </c>
      <c r="E235" s="696"/>
      <c r="F235" s="697"/>
      <c r="G235" s="697"/>
      <c r="H235" s="698"/>
      <c r="I235" s="697"/>
      <c r="J235" s="697"/>
      <c r="K235" s="697"/>
      <c r="L235" s="697"/>
      <c r="M235" s="697"/>
      <c r="N235" s="698"/>
      <c r="O235" s="697"/>
      <c r="P235" s="697"/>
      <c r="Q235" s="697"/>
      <c r="R235" s="697"/>
      <c r="S235" s="697"/>
      <c r="T235" s="697"/>
      <c r="U235" s="697"/>
      <c r="V235" s="698"/>
      <c r="W235" s="698"/>
      <c r="X235" s="697"/>
      <c r="Y235" s="697"/>
      <c r="Z235" s="697"/>
      <c r="AA235" s="697"/>
      <c r="AB235" s="697"/>
    </row>
    <row r="236" spans="1:28" ht="25.5" x14ac:dyDescent="0.2">
      <c r="A236" s="694" t="str">
        <f>+Info!$B$2</f>
        <v>724</v>
      </c>
      <c r="B236" s="694" t="s">
        <v>5030</v>
      </c>
      <c r="C236" s="694" t="s">
        <v>5031</v>
      </c>
      <c r="D236" s="695" t="s">
        <v>5032</v>
      </c>
      <c r="E236" s="696"/>
      <c r="F236" s="697"/>
      <c r="G236" s="697"/>
      <c r="H236" s="698"/>
      <c r="I236" s="697"/>
      <c r="J236" s="697"/>
      <c r="K236" s="697"/>
      <c r="L236" s="697"/>
      <c r="M236" s="697"/>
      <c r="N236" s="698"/>
      <c r="O236" s="697"/>
      <c r="P236" s="697"/>
      <c r="Q236" s="697"/>
      <c r="R236" s="697"/>
      <c r="S236" s="697"/>
      <c r="T236" s="697"/>
      <c r="U236" s="697"/>
      <c r="V236" s="698"/>
      <c r="W236" s="698"/>
      <c r="X236" s="697"/>
      <c r="Y236" s="697"/>
      <c r="Z236" s="697"/>
      <c r="AA236" s="697"/>
      <c r="AB236" s="697"/>
    </row>
    <row r="237" spans="1:28" ht="25.5" x14ac:dyDescent="0.2">
      <c r="A237" s="694" t="str">
        <f>+Info!$B$2</f>
        <v>724</v>
      </c>
      <c r="B237" s="694" t="s">
        <v>5033</v>
      </c>
      <c r="C237" s="694" t="s">
        <v>5034</v>
      </c>
      <c r="D237" s="695" t="s">
        <v>5035</v>
      </c>
      <c r="E237" s="696"/>
      <c r="F237" s="697"/>
      <c r="G237" s="697"/>
      <c r="H237" s="698"/>
      <c r="I237" s="697"/>
      <c r="J237" s="697"/>
      <c r="K237" s="697"/>
      <c r="L237" s="697"/>
      <c r="M237" s="697"/>
      <c r="N237" s="698"/>
      <c r="O237" s="697"/>
      <c r="P237" s="697"/>
      <c r="Q237" s="697"/>
      <c r="R237" s="697"/>
      <c r="S237" s="697"/>
      <c r="T237" s="697"/>
      <c r="U237" s="697"/>
      <c r="V237" s="698"/>
      <c r="W237" s="698"/>
      <c r="X237" s="697"/>
      <c r="Y237" s="697"/>
      <c r="Z237" s="697"/>
      <c r="AA237" s="697"/>
      <c r="AB237" s="697"/>
    </row>
    <row r="238" spans="1:28" ht="25.5" x14ac:dyDescent="0.2">
      <c r="A238" s="694" t="str">
        <f>+Info!$B$2</f>
        <v>724</v>
      </c>
      <c r="B238" s="694" t="s">
        <v>5036</v>
      </c>
      <c r="C238" s="694" t="s">
        <v>5037</v>
      </c>
      <c r="D238" s="695" t="s">
        <v>5038</v>
      </c>
      <c r="E238" s="696"/>
      <c r="F238" s="697"/>
      <c r="G238" s="697"/>
      <c r="H238" s="698"/>
      <c r="I238" s="697"/>
      <c r="J238" s="697"/>
      <c r="K238" s="697"/>
      <c r="L238" s="697"/>
      <c r="M238" s="697"/>
      <c r="N238" s="698"/>
      <c r="O238" s="697"/>
      <c r="P238" s="697"/>
      <c r="Q238" s="697"/>
      <c r="R238" s="697"/>
      <c r="S238" s="697"/>
      <c r="T238" s="697"/>
      <c r="U238" s="697"/>
      <c r="V238" s="698"/>
      <c r="W238" s="698"/>
      <c r="X238" s="697"/>
      <c r="Y238" s="697"/>
      <c r="Z238" s="697"/>
      <c r="AA238" s="697"/>
      <c r="AB238" s="697"/>
    </row>
    <row r="239" spans="1:28" ht="25.5" x14ac:dyDescent="0.2">
      <c r="A239" s="694" t="str">
        <f>+Info!$B$2</f>
        <v>724</v>
      </c>
      <c r="B239" s="694" t="s">
        <v>5039</v>
      </c>
      <c r="C239" s="694" t="s">
        <v>5040</v>
      </c>
      <c r="D239" s="695" t="s">
        <v>5041</v>
      </c>
      <c r="E239" s="696"/>
      <c r="F239" s="697"/>
      <c r="G239" s="697"/>
      <c r="H239" s="698"/>
      <c r="I239" s="697"/>
      <c r="J239" s="697"/>
      <c r="K239" s="697"/>
      <c r="L239" s="697"/>
      <c r="M239" s="697"/>
      <c r="N239" s="698"/>
      <c r="O239" s="697"/>
      <c r="P239" s="697"/>
      <c r="Q239" s="697"/>
      <c r="R239" s="697"/>
      <c r="S239" s="697"/>
      <c r="T239" s="697"/>
      <c r="U239" s="697"/>
      <c r="V239" s="698"/>
      <c r="W239" s="698"/>
      <c r="X239" s="697"/>
      <c r="Y239" s="697"/>
      <c r="Z239" s="697"/>
      <c r="AA239" s="697"/>
      <c r="AB239" s="697"/>
    </row>
    <row r="240" spans="1:28" ht="25.5" x14ac:dyDescent="0.2">
      <c r="A240" s="694" t="str">
        <f>+Info!$B$2</f>
        <v>724</v>
      </c>
      <c r="B240" s="694" t="s">
        <v>5042</v>
      </c>
      <c r="C240" s="694" t="s">
        <v>5043</v>
      </c>
      <c r="D240" s="695" t="s">
        <v>5044</v>
      </c>
      <c r="E240" s="696"/>
      <c r="F240" s="697"/>
      <c r="G240" s="697"/>
      <c r="H240" s="698"/>
      <c r="I240" s="697"/>
      <c r="J240" s="697"/>
      <c r="K240" s="697"/>
      <c r="L240" s="697"/>
      <c r="M240" s="697"/>
      <c r="N240" s="698"/>
      <c r="O240" s="697"/>
      <c r="P240" s="697"/>
      <c r="Q240" s="697"/>
      <c r="R240" s="697"/>
      <c r="S240" s="697"/>
      <c r="T240" s="697"/>
      <c r="U240" s="697"/>
      <c r="V240" s="698"/>
      <c r="W240" s="698"/>
      <c r="X240" s="697"/>
      <c r="Y240" s="697"/>
      <c r="Z240" s="697"/>
      <c r="AA240" s="697"/>
      <c r="AB240" s="697"/>
    </row>
    <row r="241" spans="1:28" x14ac:dyDescent="0.2">
      <c r="A241" s="694" t="str">
        <f>+Info!$B$2</f>
        <v>724</v>
      </c>
      <c r="B241" s="694" t="s">
        <v>5045</v>
      </c>
      <c r="C241" s="694" t="s">
        <v>5046</v>
      </c>
      <c r="D241" s="695" t="s">
        <v>5047</v>
      </c>
      <c r="E241" s="696"/>
      <c r="F241" s="697"/>
      <c r="G241" s="697"/>
      <c r="H241" s="698"/>
      <c r="I241" s="697"/>
      <c r="J241" s="697"/>
      <c r="K241" s="697"/>
      <c r="L241" s="697"/>
      <c r="M241" s="697"/>
      <c r="N241" s="698"/>
      <c r="O241" s="697"/>
      <c r="P241" s="697"/>
      <c r="Q241" s="697"/>
      <c r="R241" s="697"/>
      <c r="S241" s="697"/>
      <c r="T241" s="697"/>
      <c r="U241" s="697"/>
      <c r="V241" s="698"/>
      <c r="W241" s="698"/>
      <c r="X241" s="697"/>
      <c r="Y241" s="697"/>
      <c r="Z241" s="697"/>
      <c r="AA241" s="697"/>
      <c r="AB241" s="697"/>
    </row>
    <row r="242" spans="1:28" ht="25.5" x14ac:dyDescent="0.2">
      <c r="A242" s="694" t="str">
        <f>+Info!$B$2</f>
        <v>724</v>
      </c>
      <c r="B242" s="694" t="s">
        <v>5048</v>
      </c>
      <c r="C242" s="694" t="s">
        <v>5049</v>
      </c>
      <c r="D242" s="695" t="s">
        <v>5050</v>
      </c>
      <c r="E242" s="696"/>
      <c r="F242" s="697"/>
      <c r="G242" s="697"/>
      <c r="H242" s="698"/>
      <c r="I242" s="697"/>
      <c r="J242" s="697"/>
      <c r="K242" s="697"/>
      <c r="L242" s="697"/>
      <c r="M242" s="697"/>
      <c r="N242" s="698"/>
      <c r="O242" s="697"/>
      <c r="P242" s="697"/>
      <c r="Q242" s="697"/>
      <c r="R242" s="697"/>
      <c r="S242" s="697"/>
      <c r="T242" s="697"/>
      <c r="U242" s="697"/>
      <c r="V242" s="698"/>
      <c r="W242" s="698"/>
      <c r="X242" s="697"/>
      <c r="Y242" s="697"/>
      <c r="Z242" s="697"/>
      <c r="AA242" s="697"/>
      <c r="AB242" s="697"/>
    </row>
    <row r="243" spans="1:28" ht="25.5" x14ac:dyDescent="0.2">
      <c r="A243" s="694" t="str">
        <f>+Info!$B$2</f>
        <v>724</v>
      </c>
      <c r="B243" s="694" t="s">
        <v>5051</v>
      </c>
      <c r="C243" s="694" t="s">
        <v>5052</v>
      </c>
      <c r="D243" s="695" t="s">
        <v>5053</v>
      </c>
      <c r="E243" s="696"/>
      <c r="F243" s="697"/>
      <c r="G243" s="697"/>
      <c r="H243" s="698"/>
      <c r="I243" s="697"/>
      <c r="J243" s="697"/>
      <c r="K243" s="697"/>
      <c r="L243" s="697"/>
      <c r="M243" s="697"/>
      <c r="N243" s="698"/>
      <c r="O243" s="697"/>
      <c r="P243" s="697"/>
      <c r="Q243" s="697"/>
      <c r="R243" s="697"/>
      <c r="S243" s="697"/>
      <c r="T243" s="697"/>
      <c r="U243" s="697"/>
      <c r="V243" s="698"/>
      <c r="W243" s="698"/>
      <c r="X243" s="697"/>
      <c r="Y243" s="697"/>
      <c r="Z243" s="697"/>
      <c r="AA243" s="697"/>
      <c r="AB243" s="697"/>
    </row>
    <row r="244" spans="1:28" x14ac:dyDescent="0.2">
      <c r="A244" s="694" t="str">
        <f>+Info!$B$2</f>
        <v>724</v>
      </c>
      <c r="B244" s="694" t="s">
        <v>5054</v>
      </c>
      <c r="C244" s="694" t="s">
        <v>5055</v>
      </c>
      <c r="D244" s="695" t="s">
        <v>5056</v>
      </c>
      <c r="E244" s="696"/>
      <c r="F244" s="697"/>
      <c r="G244" s="697"/>
      <c r="H244" s="698"/>
      <c r="I244" s="697"/>
      <c r="J244" s="697"/>
      <c r="K244" s="697"/>
      <c r="L244" s="697"/>
      <c r="M244" s="697"/>
      <c r="N244" s="698"/>
      <c r="O244" s="697"/>
      <c r="P244" s="697"/>
      <c r="Q244" s="697"/>
      <c r="R244" s="697"/>
      <c r="S244" s="697"/>
      <c r="T244" s="697"/>
      <c r="U244" s="697"/>
      <c r="V244" s="698"/>
      <c r="W244" s="698"/>
      <c r="X244" s="697"/>
      <c r="Y244" s="697"/>
      <c r="Z244" s="697"/>
      <c r="AA244" s="697"/>
      <c r="AB244" s="697"/>
    </row>
    <row r="245" spans="1:28" x14ac:dyDescent="0.2">
      <c r="A245" s="694" t="str">
        <f>+Info!$B$2</f>
        <v>724</v>
      </c>
      <c r="B245" s="694" t="s">
        <v>5057</v>
      </c>
      <c r="C245" s="694" t="s">
        <v>5058</v>
      </c>
      <c r="D245" s="695" t="s">
        <v>5059</v>
      </c>
      <c r="E245" s="696"/>
      <c r="F245" s="697"/>
      <c r="G245" s="697"/>
      <c r="H245" s="698"/>
      <c r="I245" s="697"/>
      <c r="J245" s="697"/>
      <c r="K245" s="697"/>
      <c r="L245" s="697"/>
      <c r="M245" s="697"/>
      <c r="N245" s="698"/>
      <c r="O245" s="697"/>
      <c r="P245" s="697"/>
      <c r="Q245" s="697"/>
      <c r="R245" s="697"/>
      <c r="S245" s="697"/>
      <c r="T245" s="697"/>
      <c r="U245" s="697"/>
      <c r="V245" s="698"/>
      <c r="W245" s="698"/>
      <c r="X245" s="697"/>
      <c r="Y245" s="697"/>
      <c r="Z245" s="697"/>
      <c r="AA245" s="697"/>
      <c r="AB245" s="697"/>
    </row>
    <row r="246" spans="1:28" x14ac:dyDescent="0.2">
      <c r="A246" s="694" t="str">
        <f>+Info!$B$2</f>
        <v>724</v>
      </c>
      <c r="B246" s="694" t="s">
        <v>5060</v>
      </c>
      <c r="C246" s="694" t="s">
        <v>5061</v>
      </c>
      <c r="D246" s="695" t="s">
        <v>5062</v>
      </c>
      <c r="E246" s="696"/>
      <c r="F246" s="697"/>
      <c r="G246" s="697"/>
      <c r="H246" s="698"/>
      <c r="I246" s="697"/>
      <c r="J246" s="697"/>
      <c r="K246" s="697"/>
      <c r="L246" s="697"/>
      <c r="M246" s="697"/>
      <c r="N246" s="698"/>
      <c r="O246" s="697"/>
      <c r="P246" s="697"/>
      <c r="Q246" s="697"/>
      <c r="R246" s="697"/>
      <c r="S246" s="697"/>
      <c r="T246" s="697"/>
      <c r="U246" s="697"/>
      <c r="V246" s="698"/>
      <c r="W246" s="698"/>
      <c r="X246" s="697"/>
      <c r="Y246" s="697"/>
      <c r="Z246" s="697"/>
      <c r="AA246" s="697"/>
      <c r="AB246" s="697"/>
    </row>
    <row r="247" spans="1:28" x14ac:dyDescent="0.2">
      <c r="A247" s="694" t="str">
        <f>+Info!$B$2</f>
        <v>724</v>
      </c>
      <c r="B247" s="694" t="s">
        <v>5063</v>
      </c>
      <c r="C247" s="694" t="s">
        <v>5064</v>
      </c>
      <c r="D247" s="695" t="s">
        <v>5065</v>
      </c>
      <c r="E247" s="696"/>
      <c r="F247" s="697"/>
      <c r="G247" s="697"/>
      <c r="H247" s="698"/>
      <c r="I247" s="697"/>
      <c r="J247" s="697"/>
      <c r="K247" s="697"/>
      <c r="L247" s="697"/>
      <c r="M247" s="697"/>
      <c r="N247" s="698"/>
      <c r="O247" s="697"/>
      <c r="P247" s="697"/>
      <c r="Q247" s="697"/>
      <c r="R247" s="697"/>
      <c r="S247" s="697"/>
      <c r="T247" s="697"/>
      <c r="U247" s="697"/>
      <c r="V247" s="698"/>
      <c r="W247" s="698"/>
      <c r="X247" s="697"/>
      <c r="Y247" s="697"/>
      <c r="Z247" s="697"/>
      <c r="AA247" s="697"/>
      <c r="AB247" s="697"/>
    </row>
    <row r="248" spans="1:28" x14ac:dyDescent="0.2">
      <c r="A248" s="694" t="str">
        <f>+Info!$B$2</f>
        <v>724</v>
      </c>
      <c r="B248" s="694" t="s">
        <v>5066</v>
      </c>
      <c r="C248" s="694" t="s">
        <v>5067</v>
      </c>
      <c r="D248" s="695" t="s">
        <v>5068</v>
      </c>
      <c r="E248" s="696"/>
      <c r="F248" s="697"/>
      <c r="G248" s="697"/>
      <c r="H248" s="698"/>
      <c r="I248" s="697"/>
      <c r="J248" s="697"/>
      <c r="K248" s="697"/>
      <c r="L248" s="697"/>
      <c r="M248" s="697"/>
      <c r="N248" s="698"/>
      <c r="O248" s="697"/>
      <c r="P248" s="697"/>
      <c r="Q248" s="697"/>
      <c r="R248" s="697"/>
      <c r="S248" s="697"/>
      <c r="T248" s="697"/>
      <c r="U248" s="697"/>
      <c r="V248" s="698"/>
      <c r="W248" s="698"/>
      <c r="X248" s="697"/>
      <c r="Y248" s="697"/>
      <c r="Z248" s="697"/>
      <c r="AA248" s="697"/>
      <c r="AB248" s="697"/>
    </row>
    <row r="249" spans="1:28" x14ac:dyDescent="0.2">
      <c r="A249" s="694" t="str">
        <f>+Info!$B$2</f>
        <v>724</v>
      </c>
      <c r="B249" s="694" t="s">
        <v>5069</v>
      </c>
      <c r="C249" s="694" t="s">
        <v>5070</v>
      </c>
      <c r="D249" s="695" t="s">
        <v>5071</v>
      </c>
      <c r="E249" s="696"/>
      <c r="F249" s="697"/>
      <c r="G249" s="697"/>
      <c r="H249" s="698"/>
      <c r="I249" s="697"/>
      <c r="J249" s="697"/>
      <c r="K249" s="697"/>
      <c r="L249" s="697"/>
      <c r="M249" s="697"/>
      <c r="N249" s="698"/>
      <c r="O249" s="697"/>
      <c r="P249" s="697"/>
      <c r="Q249" s="697"/>
      <c r="R249" s="697"/>
      <c r="S249" s="697"/>
      <c r="T249" s="697"/>
      <c r="U249" s="697"/>
      <c r="V249" s="698"/>
      <c r="W249" s="698"/>
      <c r="X249" s="697"/>
      <c r="Y249" s="697"/>
      <c r="Z249" s="697"/>
      <c r="AA249" s="697"/>
      <c r="AB249" s="697"/>
    </row>
    <row r="250" spans="1:28" x14ac:dyDescent="0.2">
      <c r="A250" s="694" t="str">
        <f>+Info!$B$2</f>
        <v>724</v>
      </c>
      <c r="B250" s="694" t="s">
        <v>5072</v>
      </c>
      <c r="C250" s="694" t="s">
        <v>5073</v>
      </c>
      <c r="D250" s="695" t="s">
        <v>5074</v>
      </c>
      <c r="E250" s="696"/>
      <c r="F250" s="697"/>
      <c r="G250" s="697"/>
      <c r="H250" s="698"/>
      <c r="I250" s="697"/>
      <c r="J250" s="697"/>
      <c r="K250" s="697"/>
      <c r="L250" s="697"/>
      <c r="M250" s="697"/>
      <c r="N250" s="698"/>
      <c r="O250" s="697"/>
      <c r="P250" s="697"/>
      <c r="Q250" s="697"/>
      <c r="R250" s="697"/>
      <c r="S250" s="697"/>
      <c r="T250" s="697"/>
      <c r="U250" s="697"/>
      <c r="V250" s="698"/>
      <c r="W250" s="698"/>
      <c r="X250" s="697"/>
      <c r="Y250" s="697"/>
      <c r="Z250" s="697"/>
      <c r="AA250" s="697"/>
      <c r="AB250" s="697"/>
    </row>
    <row r="251" spans="1:28" x14ac:dyDescent="0.2">
      <c r="A251" s="694" t="str">
        <f>+Info!$B$2</f>
        <v>724</v>
      </c>
      <c r="B251" s="694" t="s">
        <v>5075</v>
      </c>
      <c r="C251" s="694" t="s">
        <v>5076</v>
      </c>
      <c r="D251" s="695" t="s">
        <v>5077</v>
      </c>
      <c r="E251" s="696"/>
      <c r="F251" s="697"/>
      <c r="G251" s="697"/>
      <c r="H251" s="698"/>
      <c r="I251" s="697"/>
      <c r="J251" s="697"/>
      <c r="K251" s="697"/>
      <c r="L251" s="697"/>
      <c r="M251" s="697"/>
      <c r="N251" s="698"/>
      <c r="O251" s="697"/>
      <c r="P251" s="697"/>
      <c r="Q251" s="697"/>
      <c r="R251" s="697"/>
      <c r="S251" s="697"/>
      <c r="T251" s="697"/>
      <c r="U251" s="697"/>
      <c r="V251" s="698"/>
      <c r="W251" s="698"/>
      <c r="X251" s="697"/>
      <c r="Y251" s="697"/>
      <c r="Z251" s="697"/>
      <c r="AA251" s="697"/>
      <c r="AB251" s="697"/>
    </row>
    <row r="252" spans="1:28" x14ac:dyDescent="0.2">
      <c r="A252" s="694" t="str">
        <f>+Info!$B$2</f>
        <v>724</v>
      </c>
      <c r="B252" s="694" t="s">
        <v>5078</v>
      </c>
      <c r="C252" s="694" t="s">
        <v>5079</v>
      </c>
      <c r="D252" s="695" t="s">
        <v>5080</v>
      </c>
      <c r="E252" s="696"/>
      <c r="F252" s="697"/>
      <c r="G252" s="697"/>
      <c r="H252" s="698"/>
      <c r="I252" s="697"/>
      <c r="J252" s="697"/>
      <c r="K252" s="697"/>
      <c r="L252" s="697"/>
      <c r="M252" s="697"/>
      <c r="N252" s="698"/>
      <c r="O252" s="697"/>
      <c r="P252" s="697"/>
      <c r="Q252" s="697"/>
      <c r="R252" s="697"/>
      <c r="S252" s="697"/>
      <c r="T252" s="697"/>
      <c r="U252" s="697"/>
      <c r="V252" s="698"/>
      <c r="W252" s="698"/>
      <c r="X252" s="697"/>
      <c r="Y252" s="697"/>
      <c r="Z252" s="697"/>
      <c r="AA252" s="697"/>
      <c r="AB252" s="697"/>
    </row>
    <row r="253" spans="1:28" x14ac:dyDescent="0.2">
      <c r="A253" s="694" t="str">
        <f>+Info!$B$2</f>
        <v>724</v>
      </c>
      <c r="B253" s="694" t="s">
        <v>5081</v>
      </c>
      <c r="C253" s="694" t="s">
        <v>5082</v>
      </c>
      <c r="D253" s="695" t="s">
        <v>5083</v>
      </c>
      <c r="E253" s="696"/>
      <c r="F253" s="697"/>
      <c r="G253" s="697"/>
      <c r="H253" s="698"/>
      <c r="I253" s="697"/>
      <c r="J253" s="698"/>
      <c r="K253" s="697"/>
      <c r="L253" s="697"/>
      <c r="M253" s="697"/>
      <c r="N253" s="698"/>
      <c r="O253" s="697"/>
      <c r="P253" s="697"/>
      <c r="Q253" s="697"/>
      <c r="R253" s="697"/>
      <c r="S253" s="697"/>
      <c r="T253" s="697"/>
      <c r="U253" s="697"/>
      <c r="V253" s="698"/>
      <c r="W253" s="698"/>
      <c r="X253" s="697"/>
      <c r="Y253" s="697"/>
      <c r="Z253" s="697"/>
      <c r="AA253" s="697"/>
      <c r="AB253" s="697"/>
    </row>
    <row r="254" spans="1:28" x14ac:dyDescent="0.2">
      <c r="A254" s="694" t="str">
        <f>+Info!$B$2</f>
        <v>724</v>
      </c>
      <c r="B254" s="694" t="s">
        <v>5084</v>
      </c>
      <c r="C254" s="694" t="s">
        <v>5085</v>
      </c>
      <c r="D254" s="695" t="s">
        <v>5086</v>
      </c>
      <c r="E254" s="696"/>
      <c r="F254" s="697"/>
      <c r="G254" s="697"/>
      <c r="H254" s="698"/>
      <c r="I254" s="697"/>
      <c r="J254" s="698"/>
      <c r="K254" s="697"/>
      <c r="L254" s="697"/>
      <c r="M254" s="697"/>
      <c r="N254" s="698"/>
      <c r="O254" s="697"/>
      <c r="P254" s="697"/>
      <c r="Q254" s="697"/>
      <c r="R254" s="697"/>
      <c r="S254" s="697"/>
      <c r="T254" s="697"/>
      <c r="U254" s="697"/>
      <c r="V254" s="698"/>
      <c r="W254" s="698"/>
      <c r="X254" s="697"/>
      <c r="Y254" s="697"/>
      <c r="Z254" s="697"/>
      <c r="AA254" s="697"/>
      <c r="AB254" s="697"/>
    </row>
    <row r="255" spans="1:28" x14ac:dyDescent="0.2">
      <c r="A255" s="694" t="str">
        <f>+Info!$B$2</f>
        <v>724</v>
      </c>
      <c r="B255" s="694" t="s">
        <v>5087</v>
      </c>
      <c r="C255" s="694" t="s">
        <v>5088</v>
      </c>
      <c r="D255" s="695" t="s">
        <v>5089</v>
      </c>
      <c r="E255" s="696"/>
      <c r="F255" s="697"/>
      <c r="G255" s="697"/>
      <c r="H255" s="698"/>
      <c r="I255" s="697"/>
      <c r="J255" s="698"/>
      <c r="K255" s="697"/>
      <c r="L255" s="697"/>
      <c r="M255" s="697"/>
      <c r="N255" s="698"/>
      <c r="O255" s="697"/>
      <c r="P255" s="697"/>
      <c r="Q255" s="697"/>
      <c r="R255" s="697"/>
      <c r="S255" s="697"/>
      <c r="T255" s="697"/>
      <c r="U255" s="697"/>
      <c r="V255" s="698"/>
      <c r="W255" s="698"/>
      <c r="X255" s="697"/>
      <c r="Y255" s="697"/>
      <c r="Z255" s="697"/>
      <c r="AA255" s="697"/>
      <c r="AB255" s="697"/>
    </row>
    <row r="256" spans="1:28" x14ac:dyDescent="0.2">
      <c r="A256" s="694" t="str">
        <f>+Info!$B$2</f>
        <v>724</v>
      </c>
      <c r="B256" s="694" t="s">
        <v>5090</v>
      </c>
      <c r="C256" s="694" t="s">
        <v>5091</v>
      </c>
      <c r="D256" s="695" t="s">
        <v>5092</v>
      </c>
      <c r="E256" s="696"/>
      <c r="F256" s="697"/>
      <c r="G256" s="697"/>
      <c r="H256" s="698"/>
      <c r="I256" s="697"/>
      <c r="J256" s="698"/>
      <c r="K256" s="697"/>
      <c r="L256" s="697"/>
      <c r="M256" s="697"/>
      <c r="N256" s="698"/>
      <c r="O256" s="697"/>
      <c r="P256" s="697"/>
      <c r="Q256" s="697"/>
      <c r="R256" s="697"/>
      <c r="S256" s="697"/>
      <c r="T256" s="697"/>
      <c r="U256" s="697"/>
      <c r="V256" s="698"/>
      <c r="W256" s="698"/>
      <c r="X256" s="697"/>
      <c r="Y256" s="697"/>
      <c r="Z256" s="697"/>
      <c r="AA256" s="697"/>
      <c r="AB256" s="697"/>
    </row>
    <row r="257" spans="1:28" ht="25.5" x14ac:dyDescent="0.2">
      <c r="A257" s="694" t="str">
        <f>+Info!$B$2</f>
        <v>724</v>
      </c>
      <c r="B257" s="694" t="s">
        <v>5093</v>
      </c>
      <c r="C257" s="694" t="s">
        <v>5094</v>
      </c>
      <c r="D257" s="695" t="s">
        <v>5095</v>
      </c>
      <c r="E257" s="696"/>
      <c r="F257" s="697"/>
      <c r="G257" s="697"/>
      <c r="H257" s="698"/>
      <c r="I257" s="697"/>
      <c r="J257" s="698"/>
      <c r="K257" s="697"/>
      <c r="L257" s="697"/>
      <c r="M257" s="697"/>
      <c r="N257" s="698"/>
      <c r="O257" s="697"/>
      <c r="P257" s="697"/>
      <c r="Q257" s="697"/>
      <c r="R257" s="697"/>
      <c r="S257" s="697"/>
      <c r="T257" s="697"/>
      <c r="U257" s="697"/>
      <c r="V257" s="698"/>
      <c r="W257" s="698"/>
      <c r="X257" s="697"/>
      <c r="Y257" s="697"/>
      <c r="Z257" s="697"/>
      <c r="AA257" s="697"/>
      <c r="AB257" s="697"/>
    </row>
    <row r="258" spans="1:28" ht="25.5" x14ac:dyDescent="0.2">
      <c r="A258" s="694" t="str">
        <f>+Info!$B$2</f>
        <v>724</v>
      </c>
      <c r="B258" s="694" t="s">
        <v>5096</v>
      </c>
      <c r="C258" s="694" t="s">
        <v>5097</v>
      </c>
      <c r="D258" s="695" t="s">
        <v>5098</v>
      </c>
      <c r="E258" s="696"/>
      <c r="F258" s="697"/>
      <c r="G258" s="697"/>
      <c r="H258" s="698"/>
      <c r="I258" s="697"/>
      <c r="J258" s="698"/>
      <c r="K258" s="697"/>
      <c r="L258" s="697"/>
      <c r="M258" s="697"/>
      <c r="N258" s="698"/>
      <c r="O258" s="697"/>
      <c r="P258" s="697"/>
      <c r="Q258" s="697"/>
      <c r="R258" s="697"/>
      <c r="S258" s="697"/>
      <c r="T258" s="697"/>
      <c r="U258" s="697"/>
      <c r="V258" s="698"/>
      <c r="W258" s="698"/>
      <c r="X258" s="697"/>
      <c r="Y258" s="697"/>
      <c r="Z258" s="697"/>
      <c r="AA258" s="697"/>
      <c r="AB258" s="697"/>
    </row>
    <row r="259" spans="1:28" ht="25.5" x14ac:dyDescent="0.2">
      <c r="A259" s="694" t="str">
        <f>+Info!$B$2</f>
        <v>724</v>
      </c>
      <c r="B259" s="694" t="s">
        <v>5099</v>
      </c>
      <c r="C259" s="694" t="s">
        <v>5100</v>
      </c>
      <c r="D259" s="695" t="s">
        <v>5101</v>
      </c>
      <c r="E259" s="696"/>
      <c r="F259" s="697"/>
      <c r="G259" s="697"/>
      <c r="H259" s="698"/>
      <c r="I259" s="697"/>
      <c r="J259" s="698"/>
      <c r="K259" s="697"/>
      <c r="L259" s="697"/>
      <c r="M259" s="697"/>
      <c r="N259" s="698"/>
      <c r="O259" s="697"/>
      <c r="P259" s="697"/>
      <c r="Q259" s="697"/>
      <c r="R259" s="697"/>
      <c r="S259" s="697"/>
      <c r="T259" s="697"/>
      <c r="U259" s="697"/>
      <c r="V259" s="698"/>
      <c r="W259" s="698"/>
      <c r="X259" s="697"/>
      <c r="Y259" s="697"/>
      <c r="Z259" s="697"/>
      <c r="AA259" s="697"/>
      <c r="AB259" s="697"/>
    </row>
    <row r="260" spans="1:28" x14ac:dyDescent="0.2">
      <c r="A260" s="694" t="str">
        <f>+Info!$B$2</f>
        <v>724</v>
      </c>
      <c r="B260" s="694" t="s">
        <v>5102</v>
      </c>
      <c r="C260" s="694" t="s">
        <v>5103</v>
      </c>
      <c r="D260" s="695" t="s">
        <v>5104</v>
      </c>
      <c r="E260" s="696"/>
      <c r="F260" s="697"/>
      <c r="G260" s="697"/>
      <c r="H260" s="698"/>
      <c r="I260" s="697"/>
      <c r="J260" s="698"/>
      <c r="K260" s="697"/>
      <c r="L260" s="697"/>
      <c r="M260" s="697"/>
      <c r="N260" s="698"/>
      <c r="O260" s="697"/>
      <c r="P260" s="697"/>
      <c r="Q260" s="697"/>
      <c r="R260" s="697"/>
      <c r="S260" s="697"/>
      <c r="T260" s="697"/>
      <c r="U260" s="697"/>
      <c r="V260" s="698"/>
      <c r="W260" s="698"/>
      <c r="X260" s="697"/>
      <c r="Y260" s="697"/>
      <c r="Z260" s="697"/>
      <c r="AA260" s="697"/>
      <c r="AB260" s="697"/>
    </row>
    <row r="261" spans="1:28" ht="25.5" x14ac:dyDescent="0.2">
      <c r="A261" s="694" t="str">
        <f>+Info!$B$2</f>
        <v>724</v>
      </c>
      <c r="B261" s="694" t="s">
        <v>5105</v>
      </c>
      <c r="C261" s="694" t="s">
        <v>5106</v>
      </c>
      <c r="D261" s="695" t="s">
        <v>5107</v>
      </c>
      <c r="E261" s="696"/>
      <c r="F261" s="697"/>
      <c r="G261" s="697"/>
      <c r="H261" s="698"/>
      <c r="I261" s="697"/>
      <c r="J261" s="698"/>
      <c r="K261" s="697"/>
      <c r="L261" s="697"/>
      <c r="M261" s="697"/>
      <c r="N261" s="698"/>
      <c r="O261" s="697"/>
      <c r="P261" s="697"/>
      <c r="Q261" s="697"/>
      <c r="R261" s="697"/>
      <c r="S261" s="697"/>
      <c r="T261" s="697"/>
      <c r="U261" s="697"/>
      <c r="V261" s="698"/>
      <c r="W261" s="698"/>
      <c r="X261" s="697"/>
      <c r="Y261" s="697"/>
      <c r="Z261" s="697"/>
      <c r="AA261" s="697"/>
      <c r="AB261" s="697"/>
    </row>
    <row r="262" spans="1:28" ht="25.5" x14ac:dyDescent="0.2">
      <c r="A262" s="694" t="str">
        <f>+Info!$B$2</f>
        <v>724</v>
      </c>
      <c r="B262" s="694" t="s">
        <v>5108</v>
      </c>
      <c r="C262" s="694" t="s">
        <v>5109</v>
      </c>
      <c r="D262" s="695" t="s">
        <v>5110</v>
      </c>
      <c r="E262" s="696"/>
      <c r="F262" s="697"/>
      <c r="G262" s="697"/>
      <c r="H262" s="698"/>
      <c r="I262" s="697"/>
      <c r="J262" s="698"/>
      <c r="K262" s="697"/>
      <c r="L262" s="697"/>
      <c r="M262" s="697"/>
      <c r="N262" s="698"/>
      <c r="O262" s="697"/>
      <c r="P262" s="697"/>
      <c r="Q262" s="697"/>
      <c r="R262" s="697"/>
      <c r="S262" s="697"/>
      <c r="T262" s="697"/>
      <c r="U262" s="697"/>
      <c r="V262" s="698"/>
      <c r="W262" s="698"/>
      <c r="X262" s="697"/>
      <c r="Y262" s="697"/>
      <c r="Z262" s="697"/>
      <c r="AA262" s="697"/>
      <c r="AB262" s="697"/>
    </row>
    <row r="263" spans="1:28" ht="25.5" x14ac:dyDescent="0.2">
      <c r="A263" s="694" t="str">
        <f>+Info!$B$2</f>
        <v>724</v>
      </c>
      <c r="B263" s="694" t="s">
        <v>5111</v>
      </c>
      <c r="C263" s="694" t="s">
        <v>5112</v>
      </c>
      <c r="D263" s="695" t="s">
        <v>5113</v>
      </c>
      <c r="E263" s="696"/>
      <c r="F263" s="697"/>
      <c r="G263" s="697"/>
      <c r="H263" s="698"/>
      <c r="I263" s="697"/>
      <c r="J263" s="698"/>
      <c r="K263" s="697"/>
      <c r="L263" s="697"/>
      <c r="M263" s="697"/>
      <c r="N263" s="698"/>
      <c r="O263" s="697"/>
      <c r="P263" s="697"/>
      <c r="Q263" s="697"/>
      <c r="R263" s="697"/>
      <c r="S263" s="697"/>
      <c r="T263" s="697"/>
      <c r="U263" s="697"/>
      <c r="V263" s="698"/>
      <c r="W263" s="698"/>
      <c r="X263" s="697"/>
      <c r="Y263" s="697"/>
      <c r="Z263" s="697"/>
      <c r="AA263" s="697"/>
      <c r="AB263" s="697"/>
    </row>
    <row r="264" spans="1:28" ht="25.5" x14ac:dyDescent="0.2">
      <c r="A264" s="694" t="str">
        <f>+Info!$B$2</f>
        <v>724</v>
      </c>
      <c r="B264" s="694" t="s">
        <v>5114</v>
      </c>
      <c r="C264" s="694" t="s">
        <v>5115</v>
      </c>
      <c r="D264" s="695" t="s">
        <v>5116</v>
      </c>
      <c r="E264" s="696"/>
      <c r="F264" s="697"/>
      <c r="G264" s="697"/>
      <c r="H264" s="698"/>
      <c r="I264" s="697"/>
      <c r="J264" s="698"/>
      <c r="K264" s="697"/>
      <c r="L264" s="697"/>
      <c r="M264" s="697"/>
      <c r="N264" s="698"/>
      <c r="O264" s="697"/>
      <c r="P264" s="697"/>
      <c r="Q264" s="697"/>
      <c r="R264" s="697"/>
      <c r="S264" s="697"/>
      <c r="T264" s="697"/>
      <c r="U264" s="697"/>
      <c r="V264" s="698"/>
      <c r="W264" s="698"/>
      <c r="X264" s="697"/>
      <c r="Y264" s="697"/>
      <c r="Z264" s="697"/>
      <c r="AA264" s="697"/>
      <c r="AB264" s="697"/>
    </row>
    <row r="265" spans="1:28" ht="25.5" x14ac:dyDescent="0.2">
      <c r="A265" s="694" t="str">
        <f>+Info!$B$2</f>
        <v>724</v>
      </c>
      <c r="B265" s="694" t="s">
        <v>5117</v>
      </c>
      <c r="C265" s="694" t="s">
        <v>5118</v>
      </c>
      <c r="D265" s="695" t="s">
        <v>5119</v>
      </c>
      <c r="E265" s="696"/>
      <c r="F265" s="697"/>
      <c r="G265" s="697"/>
      <c r="H265" s="698"/>
      <c r="I265" s="697"/>
      <c r="J265" s="698"/>
      <c r="K265" s="697"/>
      <c r="L265" s="697"/>
      <c r="M265" s="697"/>
      <c r="N265" s="698"/>
      <c r="O265" s="697"/>
      <c r="P265" s="697"/>
      <c r="Q265" s="697"/>
      <c r="R265" s="697"/>
      <c r="S265" s="697"/>
      <c r="T265" s="697"/>
      <c r="U265" s="697"/>
      <c r="V265" s="698"/>
      <c r="W265" s="698"/>
      <c r="X265" s="697"/>
      <c r="Y265" s="697"/>
      <c r="Z265" s="697"/>
      <c r="AA265" s="697"/>
      <c r="AB265" s="697"/>
    </row>
    <row r="266" spans="1:28" ht="25.5" x14ac:dyDescent="0.2">
      <c r="A266" s="694" t="str">
        <f>+Info!$B$2</f>
        <v>724</v>
      </c>
      <c r="B266" s="694" t="s">
        <v>5120</v>
      </c>
      <c r="C266" s="694" t="s">
        <v>5121</v>
      </c>
      <c r="D266" s="695" t="s">
        <v>5122</v>
      </c>
      <c r="E266" s="696"/>
      <c r="F266" s="697"/>
      <c r="G266" s="697"/>
      <c r="H266" s="698"/>
      <c r="I266" s="697"/>
      <c r="J266" s="698"/>
      <c r="K266" s="697"/>
      <c r="L266" s="697"/>
      <c r="M266" s="697"/>
      <c r="N266" s="698"/>
      <c r="O266" s="697"/>
      <c r="P266" s="697"/>
      <c r="Q266" s="697"/>
      <c r="R266" s="697"/>
      <c r="S266" s="697"/>
      <c r="T266" s="697"/>
      <c r="U266" s="697"/>
      <c r="V266" s="698"/>
      <c r="W266" s="698"/>
      <c r="X266" s="697"/>
      <c r="Y266" s="697"/>
      <c r="Z266" s="697"/>
      <c r="AA266" s="697"/>
      <c r="AB266" s="697"/>
    </row>
    <row r="267" spans="1:28" ht="25.5" x14ac:dyDescent="0.2">
      <c r="A267" s="694" t="str">
        <f>+Info!$B$2</f>
        <v>724</v>
      </c>
      <c r="B267" s="694" t="s">
        <v>5123</v>
      </c>
      <c r="C267" s="694" t="s">
        <v>5124</v>
      </c>
      <c r="D267" s="695" t="s">
        <v>5125</v>
      </c>
      <c r="E267" s="696"/>
      <c r="F267" s="697"/>
      <c r="G267" s="697"/>
      <c r="H267" s="698"/>
      <c r="I267" s="697"/>
      <c r="J267" s="698"/>
      <c r="K267" s="697"/>
      <c r="L267" s="697"/>
      <c r="M267" s="697"/>
      <c r="N267" s="698"/>
      <c r="O267" s="697"/>
      <c r="P267" s="697"/>
      <c r="Q267" s="697"/>
      <c r="R267" s="697"/>
      <c r="S267" s="697"/>
      <c r="T267" s="697"/>
      <c r="U267" s="697"/>
      <c r="V267" s="698"/>
      <c r="W267" s="698"/>
      <c r="X267" s="697"/>
      <c r="Y267" s="697"/>
      <c r="Z267" s="697"/>
      <c r="AA267" s="697"/>
      <c r="AB267" s="697"/>
    </row>
    <row r="268" spans="1:28" ht="25.5" x14ac:dyDescent="0.2">
      <c r="A268" s="694" t="str">
        <f>+Info!$B$2</f>
        <v>724</v>
      </c>
      <c r="B268" s="694" t="s">
        <v>5126</v>
      </c>
      <c r="C268" s="694" t="s">
        <v>5127</v>
      </c>
      <c r="D268" s="695" t="s">
        <v>5128</v>
      </c>
      <c r="E268" s="696"/>
      <c r="F268" s="697"/>
      <c r="G268" s="697"/>
      <c r="H268" s="698"/>
      <c r="I268" s="697"/>
      <c r="J268" s="698"/>
      <c r="K268" s="697"/>
      <c r="L268" s="697"/>
      <c r="M268" s="697"/>
      <c r="N268" s="698"/>
      <c r="O268" s="697"/>
      <c r="P268" s="697"/>
      <c r="Q268" s="697"/>
      <c r="R268" s="697"/>
      <c r="S268" s="697"/>
      <c r="T268" s="697"/>
      <c r="U268" s="697"/>
      <c r="V268" s="698"/>
      <c r="W268" s="698"/>
      <c r="X268" s="697"/>
      <c r="Y268" s="697"/>
      <c r="Z268" s="697"/>
      <c r="AA268" s="697"/>
      <c r="AB268" s="697"/>
    </row>
    <row r="269" spans="1:28" ht="25.5" x14ac:dyDescent="0.2">
      <c r="A269" s="694" t="str">
        <f>+Info!$B$2</f>
        <v>724</v>
      </c>
      <c r="B269" s="694" t="s">
        <v>5129</v>
      </c>
      <c r="C269" s="694" t="s">
        <v>5130</v>
      </c>
      <c r="D269" s="695" t="s">
        <v>5131</v>
      </c>
      <c r="E269" s="696"/>
      <c r="F269" s="697"/>
      <c r="G269" s="697"/>
      <c r="H269" s="698"/>
      <c r="I269" s="697"/>
      <c r="J269" s="698"/>
      <c r="K269" s="697"/>
      <c r="L269" s="697"/>
      <c r="M269" s="697"/>
      <c r="N269" s="698"/>
      <c r="O269" s="697"/>
      <c r="P269" s="697"/>
      <c r="Q269" s="697"/>
      <c r="R269" s="697"/>
      <c r="S269" s="697"/>
      <c r="T269" s="697"/>
      <c r="U269" s="697"/>
      <c r="V269" s="698"/>
      <c r="W269" s="698"/>
      <c r="X269" s="697"/>
      <c r="Y269" s="697"/>
      <c r="Z269" s="697"/>
      <c r="AA269" s="697"/>
      <c r="AB269" s="697"/>
    </row>
    <row r="270" spans="1:28" ht="25.5" x14ac:dyDescent="0.2">
      <c r="A270" s="694" t="str">
        <f>+Info!$B$2</f>
        <v>724</v>
      </c>
      <c r="B270" s="694" t="s">
        <v>5132</v>
      </c>
      <c r="C270" s="694" t="s">
        <v>5133</v>
      </c>
      <c r="D270" s="695" t="s">
        <v>5134</v>
      </c>
      <c r="E270" s="696"/>
      <c r="F270" s="697"/>
      <c r="G270" s="697"/>
      <c r="H270" s="698"/>
      <c r="I270" s="697"/>
      <c r="J270" s="698"/>
      <c r="K270" s="697"/>
      <c r="L270" s="697"/>
      <c r="M270" s="697"/>
      <c r="N270" s="698"/>
      <c r="O270" s="697"/>
      <c r="P270" s="697"/>
      <c r="Q270" s="697"/>
      <c r="R270" s="697"/>
      <c r="S270" s="697"/>
      <c r="T270" s="697"/>
      <c r="U270" s="697"/>
      <c r="V270" s="698"/>
      <c r="W270" s="698"/>
      <c r="X270" s="697"/>
      <c r="Y270" s="697"/>
      <c r="Z270" s="697"/>
      <c r="AA270" s="697"/>
      <c r="AB270" s="697"/>
    </row>
    <row r="271" spans="1:28" x14ac:dyDescent="0.2">
      <c r="A271" s="694" t="str">
        <f>+Info!$B$2</f>
        <v>724</v>
      </c>
      <c r="B271" s="694" t="s">
        <v>5135</v>
      </c>
      <c r="C271" s="694" t="s">
        <v>5136</v>
      </c>
      <c r="D271" s="695" t="s">
        <v>5137</v>
      </c>
      <c r="E271" s="696"/>
      <c r="F271" s="697"/>
      <c r="G271" s="697"/>
      <c r="H271" s="698"/>
      <c r="I271" s="697"/>
      <c r="J271" s="698"/>
      <c r="K271" s="697"/>
      <c r="L271" s="697"/>
      <c r="M271" s="697"/>
      <c r="N271" s="698"/>
      <c r="O271" s="697"/>
      <c r="P271" s="697"/>
      <c r="Q271" s="697"/>
      <c r="R271" s="697"/>
      <c r="S271" s="697"/>
      <c r="T271" s="697"/>
      <c r="U271" s="697"/>
      <c r="V271" s="698"/>
      <c r="W271" s="698"/>
      <c r="X271" s="697"/>
      <c r="Y271" s="697"/>
      <c r="Z271" s="697"/>
      <c r="AA271" s="697"/>
      <c r="AB271" s="697"/>
    </row>
    <row r="272" spans="1:28" ht="25.5" x14ac:dyDescent="0.2">
      <c r="A272" s="694" t="str">
        <f>+Info!$B$2</f>
        <v>724</v>
      </c>
      <c r="B272" s="694" t="s">
        <v>5138</v>
      </c>
      <c r="C272" s="694" t="s">
        <v>5139</v>
      </c>
      <c r="D272" s="695" t="s">
        <v>5140</v>
      </c>
      <c r="E272" s="696"/>
      <c r="F272" s="697"/>
      <c r="G272" s="697"/>
      <c r="H272" s="698"/>
      <c r="I272" s="697"/>
      <c r="J272" s="698"/>
      <c r="K272" s="697"/>
      <c r="L272" s="697"/>
      <c r="M272" s="697"/>
      <c r="N272" s="698"/>
      <c r="O272" s="697"/>
      <c r="P272" s="697"/>
      <c r="Q272" s="697"/>
      <c r="R272" s="697"/>
      <c r="S272" s="697"/>
      <c r="T272" s="697"/>
      <c r="U272" s="697"/>
      <c r="V272" s="698"/>
      <c r="W272" s="698"/>
      <c r="X272" s="697"/>
      <c r="Y272" s="697"/>
      <c r="Z272" s="697"/>
      <c r="AA272" s="697"/>
      <c r="AB272" s="697"/>
    </row>
    <row r="273" spans="1:28" x14ac:dyDescent="0.2">
      <c r="A273" s="694" t="str">
        <f>+Info!$B$2</f>
        <v>724</v>
      </c>
      <c r="B273" s="694" t="s">
        <v>5141</v>
      </c>
      <c r="C273" s="694" t="s">
        <v>5142</v>
      </c>
      <c r="D273" s="695" t="s">
        <v>5143</v>
      </c>
      <c r="E273" s="696"/>
      <c r="F273" s="697"/>
      <c r="G273" s="697"/>
      <c r="H273" s="698"/>
      <c r="I273" s="697"/>
      <c r="J273" s="698"/>
      <c r="K273" s="697"/>
      <c r="L273" s="697"/>
      <c r="M273" s="697"/>
      <c r="N273" s="698"/>
      <c r="O273" s="697"/>
      <c r="P273" s="697"/>
      <c r="Q273" s="697"/>
      <c r="R273" s="697"/>
      <c r="S273" s="697"/>
      <c r="T273" s="697"/>
      <c r="U273" s="697"/>
      <c r="V273" s="698"/>
      <c r="W273" s="698"/>
      <c r="X273" s="697"/>
      <c r="Y273" s="697"/>
      <c r="Z273" s="697"/>
      <c r="AA273" s="697"/>
      <c r="AB273" s="697"/>
    </row>
    <row r="274" spans="1:28" x14ac:dyDescent="0.2">
      <c r="A274" s="694" t="str">
        <f>+Info!$B$2</f>
        <v>724</v>
      </c>
      <c r="B274" s="694" t="s">
        <v>5144</v>
      </c>
      <c r="C274" s="694" t="s">
        <v>5145</v>
      </c>
      <c r="D274" s="695" t="s">
        <v>5146</v>
      </c>
      <c r="E274" s="696"/>
      <c r="F274" s="697"/>
      <c r="G274" s="697"/>
      <c r="H274" s="698"/>
      <c r="I274" s="697"/>
      <c r="J274" s="698"/>
      <c r="K274" s="697"/>
      <c r="L274" s="697"/>
      <c r="M274" s="697"/>
      <c r="N274" s="698"/>
      <c r="O274" s="697"/>
      <c r="P274" s="697"/>
      <c r="Q274" s="697"/>
      <c r="R274" s="697"/>
      <c r="S274" s="697"/>
      <c r="T274" s="697"/>
      <c r="U274" s="697"/>
      <c r="V274" s="698"/>
      <c r="W274" s="698"/>
      <c r="X274" s="697"/>
      <c r="Y274" s="697"/>
      <c r="Z274" s="697"/>
      <c r="AA274" s="697"/>
      <c r="AB274" s="697"/>
    </row>
    <row r="275" spans="1:28" x14ac:dyDescent="0.2">
      <c r="A275" s="694" t="str">
        <f>+Info!$B$2</f>
        <v>724</v>
      </c>
      <c r="B275" s="694" t="s">
        <v>5147</v>
      </c>
      <c r="C275" s="694" t="s">
        <v>5148</v>
      </c>
      <c r="D275" s="695" t="s">
        <v>5149</v>
      </c>
      <c r="E275" s="696"/>
      <c r="F275" s="697"/>
      <c r="G275" s="697"/>
      <c r="H275" s="698"/>
      <c r="I275" s="697"/>
      <c r="J275" s="698"/>
      <c r="K275" s="697"/>
      <c r="L275" s="697"/>
      <c r="M275" s="697"/>
      <c r="N275" s="698"/>
      <c r="O275" s="697"/>
      <c r="P275" s="697"/>
      <c r="Q275" s="697"/>
      <c r="R275" s="697"/>
      <c r="S275" s="697"/>
      <c r="T275" s="697"/>
      <c r="U275" s="697"/>
      <c r="V275" s="698"/>
      <c r="W275" s="698"/>
      <c r="X275" s="697"/>
      <c r="Y275" s="697"/>
      <c r="Z275" s="697"/>
      <c r="AA275" s="697"/>
      <c r="AB275" s="697"/>
    </row>
    <row r="276" spans="1:28" x14ac:dyDescent="0.2">
      <c r="A276" s="694" t="str">
        <f>+Info!$B$2</f>
        <v>724</v>
      </c>
      <c r="B276" s="694" t="s">
        <v>5150</v>
      </c>
      <c r="C276" s="694" t="s">
        <v>5151</v>
      </c>
      <c r="D276" s="695" t="s">
        <v>5152</v>
      </c>
      <c r="E276" s="696"/>
      <c r="F276" s="697"/>
      <c r="G276" s="697"/>
      <c r="H276" s="698"/>
      <c r="I276" s="697"/>
      <c r="J276" s="698"/>
      <c r="K276" s="697"/>
      <c r="L276" s="697"/>
      <c r="M276" s="697"/>
      <c r="N276" s="698"/>
      <c r="O276" s="697"/>
      <c r="P276" s="697"/>
      <c r="Q276" s="697"/>
      <c r="R276" s="697"/>
      <c r="S276" s="697"/>
      <c r="T276" s="697"/>
      <c r="U276" s="697"/>
      <c r="V276" s="698"/>
      <c r="W276" s="698"/>
      <c r="X276" s="697"/>
      <c r="Y276" s="697"/>
      <c r="Z276" s="697"/>
      <c r="AA276" s="697"/>
      <c r="AB276" s="697"/>
    </row>
    <row r="277" spans="1:28" x14ac:dyDescent="0.2">
      <c r="A277" s="694" t="str">
        <f>+Info!$B$2</f>
        <v>724</v>
      </c>
      <c r="B277" s="694" t="s">
        <v>5153</v>
      </c>
      <c r="C277" s="694" t="s">
        <v>5154</v>
      </c>
      <c r="D277" s="695" t="s">
        <v>5155</v>
      </c>
      <c r="E277" s="696"/>
      <c r="F277" s="697"/>
      <c r="G277" s="697"/>
      <c r="H277" s="698"/>
      <c r="I277" s="697"/>
      <c r="J277" s="698"/>
      <c r="K277" s="697"/>
      <c r="L277" s="697"/>
      <c r="M277" s="697"/>
      <c r="N277" s="698"/>
      <c r="O277" s="697"/>
      <c r="P277" s="697"/>
      <c r="Q277" s="697"/>
      <c r="R277" s="697"/>
      <c r="S277" s="697"/>
      <c r="T277" s="697"/>
      <c r="U277" s="697"/>
      <c r="V277" s="698"/>
      <c r="W277" s="698"/>
      <c r="X277" s="697"/>
      <c r="Y277" s="697"/>
      <c r="Z277" s="697"/>
      <c r="AA277" s="697"/>
      <c r="AB277" s="697"/>
    </row>
    <row r="278" spans="1:28" x14ac:dyDescent="0.2">
      <c r="A278" s="694" t="str">
        <f>+Info!$B$2</f>
        <v>724</v>
      </c>
      <c r="B278" s="694" t="s">
        <v>5156</v>
      </c>
      <c r="C278" s="694" t="s">
        <v>5157</v>
      </c>
      <c r="D278" s="695" t="s">
        <v>5158</v>
      </c>
      <c r="E278" s="696"/>
      <c r="F278" s="697"/>
      <c r="G278" s="697"/>
      <c r="H278" s="698"/>
      <c r="I278" s="697"/>
      <c r="J278" s="698"/>
      <c r="K278" s="697"/>
      <c r="L278" s="697"/>
      <c r="M278" s="697"/>
      <c r="N278" s="698"/>
      <c r="O278" s="697"/>
      <c r="P278" s="697"/>
      <c r="Q278" s="697"/>
      <c r="R278" s="697"/>
      <c r="S278" s="697"/>
      <c r="T278" s="697"/>
      <c r="U278" s="697"/>
      <c r="V278" s="698"/>
      <c r="W278" s="698"/>
      <c r="X278" s="697"/>
      <c r="Y278" s="697"/>
      <c r="Z278" s="697"/>
      <c r="AA278" s="697"/>
      <c r="AB278" s="697"/>
    </row>
    <row r="279" spans="1:28" x14ac:dyDescent="0.2">
      <c r="A279" s="694" t="str">
        <f>+Info!$B$2</f>
        <v>724</v>
      </c>
      <c r="B279" s="694" t="s">
        <v>5159</v>
      </c>
      <c r="C279" s="694" t="s">
        <v>5160</v>
      </c>
      <c r="D279" s="695" t="s">
        <v>5161</v>
      </c>
      <c r="E279" s="696"/>
      <c r="F279" s="697"/>
      <c r="G279" s="697"/>
      <c r="H279" s="698"/>
      <c r="I279" s="697"/>
      <c r="J279" s="698"/>
      <c r="K279" s="697"/>
      <c r="L279" s="697"/>
      <c r="M279" s="697"/>
      <c r="N279" s="698"/>
      <c r="O279" s="697"/>
      <c r="P279" s="697"/>
      <c r="Q279" s="697"/>
      <c r="R279" s="697"/>
      <c r="S279" s="697"/>
      <c r="T279" s="697"/>
      <c r="U279" s="697"/>
      <c r="V279" s="698"/>
      <c r="W279" s="698"/>
      <c r="X279" s="697"/>
      <c r="Y279" s="697"/>
      <c r="Z279" s="697"/>
      <c r="AA279" s="697"/>
      <c r="AB279" s="697"/>
    </row>
    <row r="280" spans="1:28" x14ac:dyDescent="0.2">
      <c r="A280" s="694" t="str">
        <f>+Info!$B$2</f>
        <v>724</v>
      </c>
      <c r="B280" s="694" t="s">
        <v>5162</v>
      </c>
      <c r="C280" s="694" t="s">
        <v>5163</v>
      </c>
      <c r="D280" s="695" t="s">
        <v>5164</v>
      </c>
      <c r="E280" s="696"/>
      <c r="F280" s="697"/>
      <c r="G280" s="697"/>
      <c r="H280" s="698"/>
      <c r="I280" s="697"/>
      <c r="J280" s="698"/>
      <c r="K280" s="697"/>
      <c r="L280" s="697"/>
      <c r="M280" s="697"/>
      <c r="N280" s="698"/>
      <c r="O280" s="697"/>
      <c r="P280" s="697"/>
      <c r="Q280" s="697"/>
      <c r="R280" s="697"/>
      <c r="S280" s="697"/>
      <c r="T280" s="697"/>
      <c r="U280" s="697"/>
      <c r="V280" s="698"/>
      <c r="W280" s="698"/>
      <c r="X280" s="697"/>
      <c r="Y280" s="697"/>
      <c r="Z280" s="697"/>
      <c r="AA280" s="697"/>
      <c r="AB280" s="697"/>
    </row>
    <row r="281" spans="1:28" ht="25.5" x14ac:dyDescent="0.2">
      <c r="A281" s="694" t="str">
        <f>+Info!$B$2</f>
        <v>724</v>
      </c>
      <c r="B281" s="694" t="s">
        <v>5165</v>
      </c>
      <c r="C281" s="694" t="s">
        <v>5166</v>
      </c>
      <c r="D281" s="695" t="s">
        <v>5167</v>
      </c>
      <c r="E281" s="696"/>
      <c r="F281" s="697"/>
      <c r="G281" s="697"/>
      <c r="H281" s="698"/>
      <c r="I281" s="697"/>
      <c r="J281" s="698"/>
      <c r="K281" s="697"/>
      <c r="L281" s="697"/>
      <c r="M281" s="697"/>
      <c r="N281" s="698"/>
      <c r="O281" s="697"/>
      <c r="P281" s="697"/>
      <c r="Q281" s="697"/>
      <c r="R281" s="697"/>
      <c r="S281" s="697"/>
      <c r="T281" s="697"/>
      <c r="U281" s="697"/>
      <c r="V281" s="698"/>
      <c r="W281" s="698"/>
      <c r="X281" s="697"/>
      <c r="Y281" s="697"/>
      <c r="Z281" s="697"/>
      <c r="AA281" s="697"/>
      <c r="AB281" s="697"/>
    </row>
    <row r="282" spans="1:28" x14ac:dyDescent="0.2">
      <c r="A282" s="694" t="str">
        <f>+Info!$B$2</f>
        <v>724</v>
      </c>
      <c r="B282" s="694" t="s">
        <v>5168</v>
      </c>
      <c r="C282" s="694" t="s">
        <v>5169</v>
      </c>
      <c r="D282" s="695" t="s">
        <v>5170</v>
      </c>
      <c r="E282" s="696"/>
      <c r="F282" s="697"/>
      <c r="G282" s="697"/>
      <c r="H282" s="698"/>
      <c r="I282" s="697"/>
      <c r="J282" s="698"/>
      <c r="K282" s="697"/>
      <c r="L282" s="697"/>
      <c r="M282" s="697"/>
      <c r="N282" s="698"/>
      <c r="O282" s="697"/>
      <c r="P282" s="697"/>
      <c r="Q282" s="697"/>
      <c r="R282" s="697"/>
      <c r="S282" s="697"/>
      <c r="T282" s="697"/>
      <c r="U282" s="697"/>
      <c r="V282" s="698"/>
      <c r="W282" s="698"/>
      <c r="X282" s="697"/>
      <c r="Y282" s="697"/>
      <c r="Z282" s="697"/>
      <c r="AA282" s="697"/>
      <c r="AB282" s="697"/>
    </row>
    <row r="283" spans="1:28" x14ac:dyDescent="0.2">
      <c r="A283" s="694" t="str">
        <f>+Info!$B$2</f>
        <v>724</v>
      </c>
      <c r="B283" s="694" t="s">
        <v>5171</v>
      </c>
      <c r="C283" s="694" t="s">
        <v>5172</v>
      </c>
      <c r="D283" s="695" t="s">
        <v>5173</v>
      </c>
      <c r="E283" s="696"/>
      <c r="F283" s="697"/>
      <c r="G283" s="697"/>
      <c r="H283" s="698"/>
      <c r="I283" s="697"/>
      <c r="J283" s="698"/>
      <c r="K283" s="697"/>
      <c r="L283" s="697"/>
      <c r="M283" s="697"/>
      <c r="N283" s="698"/>
      <c r="O283" s="697"/>
      <c r="P283" s="697"/>
      <c r="Q283" s="697"/>
      <c r="R283" s="697"/>
      <c r="S283" s="697"/>
      <c r="T283" s="697"/>
      <c r="U283" s="697"/>
      <c r="V283" s="698"/>
      <c r="W283" s="698"/>
      <c r="X283" s="697"/>
      <c r="Y283" s="697"/>
      <c r="Z283" s="697"/>
      <c r="AA283" s="697"/>
      <c r="AB283" s="697"/>
    </row>
    <row r="284" spans="1:28" ht="15" x14ac:dyDescent="0.25">
      <c r="A284" s="691" t="str">
        <f>+Info!$B$2</f>
        <v>724</v>
      </c>
      <c r="B284" s="691" t="s">
        <v>5174</v>
      </c>
      <c r="C284" s="691" t="s">
        <v>5175</v>
      </c>
      <c r="D284" s="692" t="s">
        <v>5176</v>
      </c>
      <c r="E284" s="693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</row>
    <row r="285" spans="1:28" x14ac:dyDescent="0.2">
      <c r="A285" s="694" t="str">
        <f>+Info!$B$2</f>
        <v>724</v>
      </c>
      <c r="B285" s="694" t="s">
        <v>5177</v>
      </c>
      <c r="C285" s="694" t="s">
        <v>5178</v>
      </c>
      <c r="D285" s="695" t="s">
        <v>5179</v>
      </c>
      <c r="E285" s="696"/>
      <c r="F285" s="697"/>
      <c r="G285" s="697"/>
      <c r="H285" s="698"/>
      <c r="I285" s="698"/>
      <c r="J285" s="697"/>
      <c r="K285" s="697"/>
      <c r="L285" s="697"/>
      <c r="M285" s="697"/>
      <c r="N285" s="698"/>
      <c r="O285" s="697"/>
      <c r="P285" s="697"/>
      <c r="Q285" s="697"/>
      <c r="R285" s="697"/>
      <c r="S285" s="697"/>
      <c r="T285" s="697"/>
      <c r="U285" s="697"/>
      <c r="V285" s="698"/>
      <c r="W285" s="698"/>
      <c r="X285" s="697"/>
      <c r="Y285" s="697"/>
      <c r="Z285" s="697"/>
      <c r="AA285" s="697"/>
      <c r="AB285" s="697"/>
    </row>
    <row r="286" spans="1:28" x14ac:dyDescent="0.2">
      <c r="A286" s="694" t="str">
        <f>+Info!$B$2</f>
        <v>724</v>
      </c>
      <c r="B286" s="694" t="s">
        <v>5180</v>
      </c>
      <c r="C286" s="694" t="s">
        <v>5181</v>
      </c>
      <c r="D286" s="695" t="s">
        <v>5182</v>
      </c>
      <c r="E286" s="696"/>
      <c r="F286" s="697"/>
      <c r="G286" s="697"/>
      <c r="H286" s="698"/>
      <c r="I286" s="698"/>
      <c r="J286" s="697"/>
      <c r="K286" s="697"/>
      <c r="L286" s="697"/>
      <c r="M286" s="697"/>
      <c r="N286" s="698"/>
      <c r="O286" s="697"/>
      <c r="P286" s="697"/>
      <c r="Q286" s="697"/>
      <c r="R286" s="697"/>
      <c r="S286" s="697"/>
      <c r="T286" s="697"/>
      <c r="U286" s="697"/>
      <c r="V286" s="698"/>
      <c r="W286" s="698"/>
      <c r="X286" s="697"/>
      <c r="Y286" s="697"/>
      <c r="Z286" s="697"/>
      <c r="AA286" s="697"/>
      <c r="AB286" s="697"/>
    </row>
    <row r="287" spans="1:28" x14ac:dyDescent="0.2">
      <c r="A287" s="694" t="str">
        <f>+Info!$B$2</f>
        <v>724</v>
      </c>
      <c r="B287" s="694" t="s">
        <v>5183</v>
      </c>
      <c r="C287" s="694" t="s">
        <v>5184</v>
      </c>
      <c r="D287" s="695" t="s">
        <v>5185</v>
      </c>
      <c r="E287" s="696"/>
      <c r="F287" s="697"/>
      <c r="G287" s="697"/>
      <c r="H287" s="698"/>
      <c r="I287" s="698"/>
      <c r="J287" s="697"/>
      <c r="K287" s="697"/>
      <c r="L287" s="697"/>
      <c r="M287" s="697"/>
      <c r="N287" s="698"/>
      <c r="O287" s="697"/>
      <c r="P287" s="697"/>
      <c r="Q287" s="697"/>
      <c r="R287" s="697"/>
      <c r="S287" s="697"/>
      <c r="T287" s="697"/>
      <c r="U287" s="697"/>
      <c r="V287" s="698"/>
      <c r="W287" s="698"/>
      <c r="X287" s="697"/>
      <c r="Y287" s="697"/>
      <c r="Z287" s="697"/>
      <c r="AA287" s="697"/>
      <c r="AB287" s="697"/>
    </row>
    <row r="288" spans="1:28" x14ac:dyDescent="0.2">
      <c r="A288" s="694" t="str">
        <f>+Info!$B$2</f>
        <v>724</v>
      </c>
      <c r="B288" s="694" t="s">
        <v>5186</v>
      </c>
      <c r="C288" s="694" t="s">
        <v>5187</v>
      </c>
      <c r="D288" s="695" t="s">
        <v>5188</v>
      </c>
      <c r="E288" s="696"/>
      <c r="F288" s="697"/>
      <c r="G288" s="697"/>
      <c r="H288" s="698"/>
      <c r="I288" s="698"/>
      <c r="J288" s="697"/>
      <c r="K288" s="697"/>
      <c r="L288" s="697"/>
      <c r="M288" s="697"/>
      <c r="N288" s="698"/>
      <c r="O288" s="697"/>
      <c r="P288" s="697"/>
      <c r="Q288" s="697"/>
      <c r="R288" s="697"/>
      <c r="S288" s="697"/>
      <c r="T288" s="697"/>
      <c r="U288" s="697"/>
      <c r="V288" s="698"/>
      <c r="W288" s="698"/>
      <c r="X288" s="697"/>
      <c r="Y288" s="697"/>
      <c r="Z288" s="697"/>
      <c r="AA288" s="697"/>
      <c r="AB288" s="697"/>
    </row>
    <row r="289" spans="1:28" ht="25.5" x14ac:dyDescent="0.2">
      <c r="A289" s="694" t="str">
        <f>+Info!$B$2</f>
        <v>724</v>
      </c>
      <c r="B289" s="694" t="s">
        <v>5189</v>
      </c>
      <c r="C289" s="694" t="s">
        <v>5190</v>
      </c>
      <c r="D289" s="695" t="s">
        <v>5191</v>
      </c>
      <c r="E289" s="696"/>
      <c r="F289" s="697"/>
      <c r="G289" s="697"/>
      <c r="H289" s="698"/>
      <c r="I289" s="698"/>
      <c r="J289" s="697"/>
      <c r="K289" s="697"/>
      <c r="L289" s="697"/>
      <c r="M289" s="697"/>
      <c r="N289" s="698"/>
      <c r="O289" s="697"/>
      <c r="P289" s="697"/>
      <c r="Q289" s="697"/>
      <c r="R289" s="697"/>
      <c r="S289" s="697"/>
      <c r="T289" s="697"/>
      <c r="U289" s="697"/>
      <c r="V289" s="698"/>
      <c r="W289" s="698"/>
      <c r="X289" s="697"/>
      <c r="Y289" s="697"/>
      <c r="Z289" s="697"/>
      <c r="AA289" s="697"/>
      <c r="AB289" s="697"/>
    </row>
    <row r="290" spans="1:28" x14ac:dyDescent="0.2">
      <c r="A290" s="694" t="str">
        <f>+Info!$B$2</f>
        <v>724</v>
      </c>
      <c r="B290" s="694" t="s">
        <v>5192</v>
      </c>
      <c r="C290" s="694" t="s">
        <v>5193</v>
      </c>
      <c r="D290" s="695" t="s">
        <v>5194</v>
      </c>
      <c r="E290" s="696"/>
      <c r="F290" s="697"/>
      <c r="G290" s="697"/>
      <c r="H290" s="698"/>
      <c r="I290" s="698"/>
      <c r="J290" s="697"/>
      <c r="K290" s="697"/>
      <c r="L290" s="697"/>
      <c r="M290" s="697"/>
      <c r="N290" s="698"/>
      <c r="O290" s="697"/>
      <c r="P290" s="697"/>
      <c r="Q290" s="697"/>
      <c r="R290" s="697"/>
      <c r="S290" s="697"/>
      <c r="T290" s="697"/>
      <c r="U290" s="697"/>
      <c r="V290" s="698"/>
      <c r="W290" s="698"/>
      <c r="X290" s="697"/>
      <c r="Y290" s="697"/>
      <c r="Z290" s="697"/>
      <c r="AA290" s="697"/>
      <c r="AB290" s="697"/>
    </row>
    <row r="291" spans="1:28" x14ac:dyDescent="0.2">
      <c r="A291" s="702" t="str">
        <f>+Info!$B$2</f>
        <v>724</v>
      </c>
      <c r="B291" s="702" t="s">
        <v>5195</v>
      </c>
      <c r="C291" s="702" t="s">
        <v>5196</v>
      </c>
      <c r="D291" s="695" t="s">
        <v>5197</v>
      </c>
      <c r="E291" s="696"/>
      <c r="F291" s="697"/>
      <c r="G291" s="697"/>
      <c r="H291" s="698"/>
      <c r="I291" s="698"/>
      <c r="J291" s="697"/>
      <c r="K291" s="697"/>
      <c r="L291" s="697"/>
      <c r="M291" s="697"/>
      <c r="N291" s="698"/>
      <c r="O291" s="697"/>
      <c r="P291" s="697"/>
      <c r="Q291" s="697"/>
      <c r="R291" s="697"/>
      <c r="S291" s="697"/>
      <c r="T291" s="697"/>
      <c r="U291" s="697"/>
      <c r="V291" s="698"/>
      <c r="W291" s="698"/>
      <c r="X291" s="697"/>
      <c r="Y291" s="697"/>
      <c r="Z291" s="697"/>
      <c r="AA291" s="697"/>
      <c r="AB291" s="697"/>
    </row>
    <row r="292" spans="1:28" ht="15" x14ac:dyDescent="0.25">
      <c r="A292" s="691" t="str">
        <f>+Info!$B$2</f>
        <v>724</v>
      </c>
      <c r="B292" s="691" t="s">
        <v>5198</v>
      </c>
      <c r="C292" s="691" t="s">
        <v>5199</v>
      </c>
      <c r="D292" s="692" t="s">
        <v>5200</v>
      </c>
      <c r="E292" s="693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</row>
    <row r="293" spans="1:28" x14ac:dyDescent="0.2">
      <c r="A293" s="694" t="str">
        <f>+Info!$B$2</f>
        <v>724</v>
      </c>
      <c r="B293" s="694" t="s">
        <v>5201</v>
      </c>
      <c r="C293" s="694" t="s">
        <v>5202</v>
      </c>
      <c r="D293" s="695" t="s">
        <v>5203</v>
      </c>
      <c r="E293" s="696"/>
      <c r="F293" s="697"/>
      <c r="G293" s="697"/>
      <c r="H293" s="698"/>
      <c r="I293" s="697"/>
      <c r="J293" s="698"/>
      <c r="K293" s="697"/>
      <c r="L293" s="697"/>
      <c r="M293" s="697"/>
      <c r="N293" s="698"/>
      <c r="O293" s="697"/>
      <c r="P293" s="697"/>
      <c r="Q293" s="697"/>
      <c r="R293" s="697"/>
      <c r="S293" s="697"/>
      <c r="T293" s="697"/>
      <c r="U293" s="697"/>
      <c r="V293" s="698"/>
      <c r="W293" s="698"/>
      <c r="X293" s="697"/>
      <c r="Y293" s="697"/>
      <c r="Z293" s="697"/>
      <c r="AA293" s="697"/>
      <c r="AB293" s="697"/>
    </row>
    <row r="294" spans="1:28" x14ac:dyDescent="0.2">
      <c r="A294" s="694" t="str">
        <f>+Info!$B$2</f>
        <v>724</v>
      </c>
      <c r="B294" s="694" t="s">
        <v>5204</v>
      </c>
      <c r="C294" s="694" t="s">
        <v>5205</v>
      </c>
      <c r="D294" s="695" t="s">
        <v>5206</v>
      </c>
      <c r="E294" s="696"/>
      <c r="F294" s="697"/>
      <c r="G294" s="697"/>
      <c r="H294" s="698"/>
      <c r="I294" s="697"/>
      <c r="J294" s="698"/>
      <c r="K294" s="697"/>
      <c r="L294" s="697"/>
      <c r="M294" s="697"/>
      <c r="N294" s="698"/>
      <c r="O294" s="697"/>
      <c r="P294" s="697"/>
      <c r="Q294" s="697"/>
      <c r="R294" s="697"/>
      <c r="S294" s="697"/>
      <c r="T294" s="697"/>
      <c r="U294" s="697"/>
      <c r="V294" s="698"/>
      <c r="W294" s="698"/>
      <c r="X294" s="697"/>
      <c r="Y294" s="697"/>
      <c r="Z294" s="697"/>
      <c r="AA294" s="697"/>
      <c r="AB294" s="697"/>
    </row>
    <row r="295" spans="1:28" x14ac:dyDescent="0.2">
      <c r="A295" s="694" t="str">
        <f>+Info!$B$2</f>
        <v>724</v>
      </c>
      <c r="B295" s="694" t="s">
        <v>5207</v>
      </c>
      <c r="C295" s="694" t="s">
        <v>5208</v>
      </c>
      <c r="D295" s="695" t="s">
        <v>5209</v>
      </c>
      <c r="E295" s="696"/>
      <c r="F295" s="697"/>
      <c r="G295" s="697"/>
      <c r="H295" s="698"/>
      <c r="I295" s="697"/>
      <c r="J295" s="698"/>
      <c r="K295" s="697"/>
      <c r="L295" s="697"/>
      <c r="M295" s="697"/>
      <c r="N295" s="698"/>
      <c r="O295" s="697"/>
      <c r="P295" s="697"/>
      <c r="Q295" s="697"/>
      <c r="R295" s="697"/>
      <c r="S295" s="697"/>
      <c r="T295" s="697"/>
      <c r="U295" s="697"/>
      <c r="V295" s="698"/>
      <c r="W295" s="698"/>
      <c r="X295" s="697"/>
      <c r="Y295" s="697"/>
      <c r="Z295" s="697"/>
      <c r="AA295" s="697"/>
      <c r="AB295" s="697"/>
    </row>
    <row r="296" spans="1:28" x14ac:dyDescent="0.2">
      <c r="A296" s="694" t="str">
        <f>+Info!$B$2</f>
        <v>724</v>
      </c>
      <c r="B296" s="694" t="s">
        <v>5210</v>
      </c>
      <c r="C296" s="694" t="s">
        <v>5211</v>
      </c>
      <c r="D296" s="695" t="s">
        <v>5212</v>
      </c>
      <c r="E296" s="696"/>
      <c r="F296" s="697"/>
      <c r="G296" s="697"/>
      <c r="H296" s="698"/>
      <c r="I296" s="697"/>
      <c r="J296" s="698"/>
      <c r="K296" s="697"/>
      <c r="L296" s="697"/>
      <c r="M296" s="697"/>
      <c r="N296" s="698"/>
      <c r="O296" s="697"/>
      <c r="P296" s="697"/>
      <c r="Q296" s="697"/>
      <c r="R296" s="697"/>
      <c r="S296" s="697"/>
      <c r="T296" s="697"/>
      <c r="U296" s="697"/>
      <c r="V296" s="698"/>
      <c r="W296" s="698"/>
      <c r="X296" s="697"/>
      <c r="Y296" s="697"/>
      <c r="Z296" s="697"/>
      <c r="AA296" s="697"/>
      <c r="AB296" s="697"/>
    </row>
    <row r="297" spans="1:28" x14ac:dyDescent="0.2">
      <c r="A297" s="694" t="str">
        <f>+Info!$B$2</f>
        <v>724</v>
      </c>
      <c r="B297" s="694" t="s">
        <v>5213</v>
      </c>
      <c r="C297" s="694" t="s">
        <v>5214</v>
      </c>
      <c r="D297" s="695" t="s">
        <v>5215</v>
      </c>
      <c r="E297" s="696"/>
      <c r="F297" s="697"/>
      <c r="G297" s="697"/>
      <c r="H297" s="698"/>
      <c r="I297" s="697"/>
      <c r="J297" s="698"/>
      <c r="K297" s="697"/>
      <c r="L297" s="697"/>
      <c r="M297" s="697"/>
      <c r="N297" s="698"/>
      <c r="O297" s="697"/>
      <c r="P297" s="697"/>
      <c r="Q297" s="697"/>
      <c r="R297" s="697"/>
      <c r="S297" s="697"/>
      <c r="T297" s="697"/>
      <c r="U297" s="697"/>
      <c r="V297" s="698"/>
      <c r="W297" s="698"/>
      <c r="X297" s="697"/>
      <c r="Y297" s="697"/>
      <c r="Z297" s="697"/>
      <c r="AA297" s="697"/>
      <c r="AB297" s="697"/>
    </row>
    <row r="298" spans="1:28" x14ac:dyDescent="0.2">
      <c r="A298" s="694" t="str">
        <f>+Info!$B$2</f>
        <v>724</v>
      </c>
      <c r="B298" s="694" t="s">
        <v>5216</v>
      </c>
      <c r="C298" s="694" t="s">
        <v>5217</v>
      </c>
      <c r="D298" s="695" t="s">
        <v>5218</v>
      </c>
      <c r="E298" s="696"/>
      <c r="F298" s="697"/>
      <c r="G298" s="697"/>
      <c r="H298" s="698"/>
      <c r="I298" s="697"/>
      <c r="J298" s="697"/>
      <c r="K298" s="697"/>
      <c r="L298" s="697"/>
      <c r="M298" s="697"/>
      <c r="N298" s="698"/>
      <c r="O298" s="697"/>
      <c r="P298" s="697"/>
      <c r="Q298" s="697"/>
      <c r="R298" s="697"/>
      <c r="S298" s="697"/>
      <c r="T298" s="697"/>
      <c r="U298" s="697"/>
      <c r="V298" s="698"/>
      <c r="W298" s="698"/>
      <c r="X298" s="697"/>
      <c r="Y298" s="697"/>
      <c r="Z298" s="697"/>
      <c r="AA298" s="697"/>
      <c r="AB298" s="697"/>
    </row>
    <row r="299" spans="1:28" ht="25.5" x14ac:dyDescent="0.2">
      <c r="A299" s="694" t="str">
        <f>+Info!$B$2</f>
        <v>724</v>
      </c>
      <c r="B299" s="694" t="s">
        <v>5219</v>
      </c>
      <c r="C299" s="694" t="s">
        <v>5220</v>
      </c>
      <c r="D299" s="695" t="s">
        <v>5221</v>
      </c>
      <c r="E299" s="696"/>
      <c r="F299" s="697"/>
      <c r="G299" s="697"/>
      <c r="H299" s="698"/>
      <c r="I299" s="697"/>
      <c r="J299" s="698"/>
      <c r="K299" s="697"/>
      <c r="L299" s="697"/>
      <c r="M299" s="697"/>
      <c r="N299" s="698"/>
      <c r="O299" s="697"/>
      <c r="P299" s="697"/>
      <c r="Q299" s="697"/>
      <c r="R299" s="697"/>
      <c r="S299" s="697"/>
      <c r="T299" s="697"/>
      <c r="U299" s="697"/>
      <c r="V299" s="698"/>
      <c r="W299" s="698"/>
      <c r="X299" s="697"/>
      <c r="Y299" s="697"/>
      <c r="Z299" s="697"/>
      <c r="AA299" s="697"/>
      <c r="AB299" s="697"/>
    </row>
    <row r="300" spans="1:28" x14ac:dyDescent="0.2">
      <c r="A300" s="694" t="str">
        <f>+Info!$B$2</f>
        <v>724</v>
      </c>
      <c r="B300" s="694" t="s">
        <v>5222</v>
      </c>
      <c r="C300" s="694" t="s">
        <v>5223</v>
      </c>
      <c r="D300" s="695" t="s">
        <v>5224</v>
      </c>
      <c r="E300" s="696"/>
      <c r="F300" s="697"/>
      <c r="G300" s="697"/>
      <c r="H300" s="698"/>
      <c r="I300" s="697"/>
      <c r="J300" s="698"/>
      <c r="K300" s="697"/>
      <c r="L300" s="697"/>
      <c r="M300" s="697"/>
      <c r="N300" s="698"/>
      <c r="O300" s="697"/>
      <c r="P300" s="697"/>
      <c r="Q300" s="697"/>
      <c r="R300" s="697"/>
      <c r="S300" s="697"/>
      <c r="T300" s="697"/>
      <c r="U300" s="697"/>
      <c r="V300" s="698"/>
      <c r="W300" s="698"/>
      <c r="X300" s="697"/>
      <c r="Y300" s="697"/>
      <c r="Z300" s="697"/>
      <c r="AA300" s="697"/>
      <c r="AB300" s="697"/>
    </row>
    <row r="301" spans="1:28" ht="25.5" x14ac:dyDescent="0.25">
      <c r="A301" s="691" t="str">
        <f>+Info!$B$2</f>
        <v>724</v>
      </c>
      <c r="B301" s="691" t="s">
        <v>5225</v>
      </c>
      <c r="C301" s="691" t="s">
        <v>5226</v>
      </c>
      <c r="D301" s="692" t="s">
        <v>5227</v>
      </c>
      <c r="E301" s="693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</row>
    <row r="302" spans="1:28" x14ac:dyDescent="0.2">
      <c r="A302" s="694" t="str">
        <f>+Info!$B$2</f>
        <v>724</v>
      </c>
      <c r="B302" s="694" t="s">
        <v>5228</v>
      </c>
      <c r="C302" s="694" t="s">
        <v>5229</v>
      </c>
      <c r="D302" s="695" t="s">
        <v>5230</v>
      </c>
      <c r="E302" s="696"/>
      <c r="F302" s="697"/>
      <c r="G302" s="697"/>
      <c r="H302" s="698"/>
      <c r="I302" s="697"/>
      <c r="J302" s="697"/>
      <c r="K302" s="697"/>
      <c r="L302" s="697"/>
      <c r="M302" s="697"/>
      <c r="N302" s="698"/>
      <c r="O302" s="697"/>
      <c r="P302" s="697"/>
      <c r="Q302" s="697"/>
      <c r="R302" s="697"/>
      <c r="S302" s="697"/>
      <c r="T302" s="697"/>
      <c r="U302" s="697"/>
      <c r="V302" s="698"/>
      <c r="W302" s="698"/>
      <c r="X302" s="697"/>
      <c r="Y302" s="697"/>
      <c r="Z302" s="697"/>
      <c r="AA302" s="697"/>
      <c r="AB302" s="697"/>
    </row>
    <row r="303" spans="1:28" x14ac:dyDescent="0.2">
      <c r="A303" s="694" t="str">
        <f>+Info!$B$2</f>
        <v>724</v>
      </c>
      <c r="B303" s="694" t="s">
        <v>5231</v>
      </c>
      <c r="C303" s="694" t="s">
        <v>5232</v>
      </c>
      <c r="D303" s="695" t="s">
        <v>5233</v>
      </c>
      <c r="E303" s="696"/>
      <c r="F303" s="697"/>
      <c r="G303" s="697"/>
      <c r="H303" s="698"/>
      <c r="I303" s="697"/>
      <c r="J303" s="697"/>
      <c r="K303" s="697"/>
      <c r="L303" s="697"/>
      <c r="M303" s="697"/>
      <c r="N303" s="698"/>
      <c r="O303" s="697"/>
      <c r="P303" s="697"/>
      <c r="Q303" s="697"/>
      <c r="R303" s="697"/>
      <c r="S303" s="697"/>
      <c r="T303" s="697"/>
      <c r="U303" s="697"/>
      <c r="V303" s="698"/>
      <c r="W303" s="698"/>
      <c r="X303" s="697"/>
      <c r="Y303" s="697"/>
      <c r="Z303" s="697"/>
      <c r="AA303" s="697"/>
      <c r="AB303" s="697"/>
    </row>
    <row r="304" spans="1:28" x14ac:dyDescent="0.2">
      <c r="A304" s="694" t="str">
        <f>+Info!$B$2</f>
        <v>724</v>
      </c>
      <c r="B304" s="694" t="s">
        <v>5234</v>
      </c>
      <c r="C304" s="694" t="s">
        <v>5235</v>
      </c>
      <c r="D304" s="695" t="s">
        <v>5236</v>
      </c>
      <c r="E304" s="696"/>
      <c r="F304" s="697"/>
      <c r="G304" s="697"/>
      <c r="H304" s="698"/>
      <c r="I304" s="697"/>
      <c r="J304" s="697"/>
      <c r="K304" s="697"/>
      <c r="L304" s="697"/>
      <c r="M304" s="697"/>
      <c r="N304" s="698"/>
      <c r="O304" s="697"/>
      <c r="P304" s="697"/>
      <c r="Q304" s="697"/>
      <c r="R304" s="697"/>
      <c r="S304" s="697"/>
      <c r="T304" s="697"/>
      <c r="U304" s="697"/>
      <c r="V304" s="698"/>
      <c r="W304" s="698"/>
      <c r="X304" s="697"/>
      <c r="Y304" s="697"/>
      <c r="Z304" s="697"/>
      <c r="AA304" s="697"/>
      <c r="AB304" s="697"/>
    </row>
    <row r="305" spans="1:28" x14ac:dyDescent="0.2">
      <c r="A305" s="694" t="str">
        <f>+Info!$B$2</f>
        <v>724</v>
      </c>
      <c r="B305" s="694" t="s">
        <v>5237</v>
      </c>
      <c r="C305" s="694" t="s">
        <v>5238</v>
      </c>
      <c r="D305" s="695" t="s">
        <v>5239</v>
      </c>
      <c r="E305" s="696"/>
      <c r="F305" s="697"/>
      <c r="G305" s="697"/>
      <c r="H305" s="698"/>
      <c r="I305" s="697"/>
      <c r="J305" s="697"/>
      <c r="K305" s="697"/>
      <c r="L305" s="697"/>
      <c r="M305" s="697"/>
      <c r="N305" s="698"/>
      <c r="O305" s="697"/>
      <c r="P305" s="697"/>
      <c r="Q305" s="697"/>
      <c r="R305" s="697"/>
      <c r="S305" s="697"/>
      <c r="T305" s="697"/>
      <c r="U305" s="697"/>
      <c r="V305" s="698"/>
      <c r="W305" s="698"/>
      <c r="X305" s="697"/>
      <c r="Y305" s="697"/>
      <c r="Z305" s="697"/>
      <c r="AA305" s="697"/>
      <c r="AB305" s="697"/>
    </row>
    <row r="306" spans="1:28" x14ac:dyDescent="0.2">
      <c r="A306" s="694" t="str">
        <f>+Info!$B$2</f>
        <v>724</v>
      </c>
      <c r="B306" s="694" t="s">
        <v>5240</v>
      </c>
      <c r="C306" s="694" t="s">
        <v>5241</v>
      </c>
      <c r="D306" s="695" t="s">
        <v>5242</v>
      </c>
      <c r="E306" s="696"/>
      <c r="F306" s="697"/>
      <c r="G306" s="697"/>
      <c r="H306" s="698"/>
      <c r="I306" s="697"/>
      <c r="J306" s="697"/>
      <c r="K306" s="697"/>
      <c r="L306" s="697"/>
      <c r="M306" s="697"/>
      <c r="N306" s="698"/>
      <c r="O306" s="697"/>
      <c r="P306" s="697"/>
      <c r="Q306" s="697"/>
      <c r="R306" s="697"/>
      <c r="S306" s="697"/>
      <c r="T306" s="697"/>
      <c r="U306" s="697"/>
      <c r="V306" s="698"/>
      <c r="W306" s="698"/>
      <c r="X306" s="697"/>
      <c r="Y306" s="697"/>
      <c r="Z306" s="697"/>
      <c r="AA306" s="697"/>
      <c r="AB306" s="697"/>
    </row>
    <row r="307" spans="1:28" x14ac:dyDescent="0.2">
      <c r="A307" s="694" t="str">
        <f>+Info!$B$2</f>
        <v>724</v>
      </c>
      <c r="B307" s="694" t="s">
        <v>5243</v>
      </c>
      <c r="C307" s="694" t="s">
        <v>5244</v>
      </c>
      <c r="D307" s="695" t="s">
        <v>5245</v>
      </c>
      <c r="E307" s="696"/>
      <c r="F307" s="697"/>
      <c r="G307" s="697"/>
      <c r="H307" s="698"/>
      <c r="I307" s="697"/>
      <c r="J307" s="697"/>
      <c r="K307" s="697"/>
      <c r="L307" s="697"/>
      <c r="M307" s="697"/>
      <c r="N307" s="698"/>
      <c r="O307" s="697"/>
      <c r="P307" s="697"/>
      <c r="Q307" s="697"/>
      <c r="R307" s="697"/>
      <c r="S307" s="697"/>
      <c r="T307" s="697"/>
      <c r="U307" s="697"/>
      <c r="V307" s="698"/>
      <c r="W307" s="698"/>
      <c r="X307" s="697"/>
      <c r="Y307" s="697"/>
      <c r="Z307" s="697"/>
      <c r="AA307" s="697"/>
      <c r="AB307" s="697"/>
    </row>
    <row r="308" spans="1:28" x14ac:dyDescent="0.2">
      <c r="A308" s="694" t="str">
        <f>+Info!$B$2</f>
        <v>724</v>
      </c>
      <c r="B308" s="694" t="s">
        <v>5246</v>
      </c>
      <c r="C308" s="694" t="s">
        <v>5247</v>
      </c>
      <c r="D308" s="695" t="s">
        <v>5248</v>
      </c>
      <c r="E308" s="696"/>
      <c r="F308" s="697"/>
      <c r="G308" s="697"/>
      <c r="H308" s="698"/>
      <c r="I308" s="697"/>
      <c r="J308" s="698"/>
      <c r="K308" s="697"/>
      <c r="L308" s="697"/>
      <c r="M308" s="697"/>
      <c r="N308" s="698"/>
      <c r="O308" s="697"/>
      <c r="P308" s="697"/>
      <c r="Q308" s="697"/>
      <c r="R308" s="697"/>
      <c r="S308" s="697"/>
      <c r="T308" s="697"/>
      <c r="U308" s="697"/>
      <c r="V308" s="698"/>
      <c r="W308" s="698"/>
      <c r="X308" s="697"/>
      <c r="Y308" s="697"/>
      <c r="Z308" s="697"/>
      <c r="AA308" s="697"/>
      <c r="AB308" s="697"/>
    </row>
    <row r="309" spans="1:28" x14ac:dyDescent="0.2">
      <c r="A309" s="694" t="str">
        <f>+Info!$B$2</f>
        <v>724</v>
      </c>
      <c r="B309" s="694" t="s">
        <v>5249</v>
      </c>
      <c r="C309" s="694" t="s">
        <v>5250</v>
      </c>
      <c r="D309" s="695" t="s">
        <v>5251</v>
      </c>
      <c r="E309" s="696"/>
      <c r="F309" s="697"/>
      <c r="G309" s="697"/>
      <c r="H309" s="698"/>
      <c r="I309" s="697"/>
      <c r="J309" s="698"/>
      <c r="K309" s="697"/>
      <c r="L309" s="697"/>
      <c r="M309" s="697"/>
      <c r="N309" s="698"/>
      <c r="O309" s="697"/>
      <c r="P309" s="697"/>
      <c r="Q309" s="697"/>
      <c r="R309" s="697"/>
      <c r="S309" s="697"/>
      <c r="T309" s="697"/>
      <c r="U309" s="697"/>
      <c r="V309" s="698"/>
      <c r="W309" s="698"/>
      <c r="X309" s="697"/>
      <c r="Y309" s="697"/>
      <c r="Z309" s="697"/>
      <c r="AA309" s="697"/>
      <c r="AB309" s="697"/>
    </row>
    <row r="310" spans="1:28" x14ac:dyDescent="0.2">
      <c r="A310" s="694" t="str">
        <f>+Info!$B$2</f>
        <v>724</v>
      </c>
      <c r="B310" s="694" t="s">
        <v>5252</v>
      </c>
      <c r="C310" s="694" t="s">
        <v>5253</v>
      </c>
      <c r="D310" s="695" t="s">
        <v>5254</v>
      </c>
      <c r="E310" s="696"/>
      <c r="F310" s="697"/>
      <c r="G310" s="697"/>
      <c r="H310" s="698"/>
      <c r="I310" s="697"/>
      <c r="J310" s="698"/>
      <c r="K310" s="697"/>
      <c r="L310" s="697"/>
      <c r="M310" s="697"/>
      <c r="N310" s="698"/>
      <c r="O310" s="697"/>
      <c r="P310" s="697"/>
      <c r="Q310" s="697"/>
      <c r="R310" s="697"/>
      <c r="S310" s="697"/>
      <c r="T310" s="697"/>
      <c r="U310" s="697"/>
      <c r="V310" s="698"/>
      <c r="W310" s="698"/>
      <c r="X310" s="697"/>
      <c r="Y310" s="697"/>
      <c r="Z310" s="697"/>
      <c r="AA310" s="697"/>
      <c r="AB310" s="697"/>
    </row>
    <row r="311" spans="1:28" x14ac:dyDescent="0.2">
      <c r="A311" s="694" t="str">
        <f>+Info!$B$2</f>
        <v>724</v>
      </c>
      <c r="B311" s="694" t="s">
        <v>5255</v>
      </c>
      <c r="C311" s="694" t="s">
        <v>5256</v>
      </c>
      <c r="D311" s="695" t="s">
        <v>5257</v>
      </c>
      <c r="E311" s="696"/>
      <c r="F311" s="697"/>
      <c r="G311" s="697"/>
      <c r="H311" s="698"/>
      <c r="I311" s="697"/>
      <c r="J311" s="698"/>
      <c r="K311" s="697"/>
      <c r="L311" s="697"/>
      <c r="M311" s="697"/>
      <c r="N311" s="698"/>
      <c r="O311" s="697"/>
      <c r="P311" s="697"/>
      <c r="Q311" s="697"/>
      <c r="R311" s="697"/>
      <c r="S311" s="697"/>
      <c r="T311" s="697"/>
      <c r="U311" s="697"/>
      <c r="V311" s="698"/>
      <c r="W311" s="698"/>
      <c r="X311" s="697"/>
      <c r="Y311" s="697"/>
      <c r="Z311" s="697"/>
      <c r="AA311" s="697"/>
      <c r="AB311" s="697"/>
    </row>
    <row r="312" spans="1:28" x14ac:dyDescent="0.2">
      <c r="A312" s="694" t="str">
        <f>+Info!$B$2</f>
        <v>724</v>
      </c>
      <c r="B312" s="694" t="s">
        <v>5258</v>
      </c>
      <c r="C312" s="694" t="s">
        <v>5259</v>
      </c>
      <c r="D312" s="695" t="s">
        <v>5260</v>
      </c>
      <c r="E312" s="696"/>
      <c r="F312" s="697"/>
      <c r="G312" s="697"/>
      <c r="H312" s="698"/>
      <c r="I312" s="697"/>
      <c r="J312" s="698"/>
      <c r="K312" s="697"/>
      <c r="L312" s="697"/>
      <c r="M312" s="697"/>
      <c r="N312" s="698"/>
      <c r="O312" s="697"/>
      <c r="P312" s="697"/>
      <c r="Q312" s="697"/>
      <c r="R312" s="697"/>
      <c r="S312" s="697"/>
      <c r="T312" s="697"/>
      <c r="U312" s="697"/>
      <c r="V312" s="698"/>
      <c r="W312" s="698"/>
      <c r="X312" s="697"/>
      <c r="Y312" s="697"/>
      <c r="Z312" s="697"/>
      <c r="AA312" s="697"/>
      <c r="AB312" s="697"/>
    </row>
    <row r="313" spans="1:28" x14ac:dyDescent="0.2">
      <c r="A313" s="694" t="str">
        <f>+Info!$B$2</f>
        <v>724</v>
      </c>
      <c r="B313" s="694" t="s">
        <v>5261</v>
      </c>
      <c r="C313" s="694" t="s">
        <v>5262</v>
      </c>
      <c r="D313" s="695" t="s">
        <v>5263</v>
      </c>
      <c r="E313" s="696"/>
      <c r="F313" s="697"/>
      <c r="G313" s="697"/>
      <c r="H313" s="698"/>
      <c r="I313" s="697"/>
      <c r="J313" s="698"/>
      <c r="K313" s="697"/>
      <c r="L313" s="697"/>
      <c r="M313" s="697"/>
      <c r="N313" s="698"/>
      <c r="O313" s="697"/>
      <c r="P313" s="697"/>
      <c r="Q313" s="697"/>
      <c r="R313" s="697"/>
      <c r="S313" s="697"/>
      <c r="T313" s="697"/>
      <c r="U313" s="697"/>
      <c r="V313" s="698"/>
      <c r="W313" s="698"/>
      <c r="X313" s="697"/>
      <c r="Y313" s="697"/>
      <c r="Z313" s="697"/>
      <c r="AA313" s="697"/>
      <c r="AB313" s="697"/>
    </row>
    <row r="314" spans="1:28" x14ac:dyDescent="0.2">
      <c r="A314" s="694" t="str">
        <f>+Info!$B$2</f>
        <v>724</v>
      </c>
      <c r="B314" s="694" t="s">
        <v>5264</v>
      </c>
      <c r="C314" s="694" t="s">
        <v>5265</v>
      </c>
      <c r="D314" s="695" t="s">
        <v>5266</v>
      </c>
      <c r="E314" s="696"/>
      <c r="F314" s="697"/>
      <c r="G314" s="697"/>
      <c r="H314" s="698"/>
      <c r="I314" s="697"/>
      <c r="J314" s="698"/>
      <c r="K314" s="697"/>
      <c r="L314" s="697"/>
      <c r="M314" s="697"/>
      <c r="N314" s="698"/>
      <c r="O314" s="697"/>
      <c r="P314" s="697"/>
      <c r="Q314" s="697"/>
      <c r="R314" s="697"/>
      <c r="S314" s="697"/>
      <c r="T314" s="697"/>
      <c r="U314" s="697"/>
      <c r="V314" s="698"/>
      <c r="W314" s="698"/>
      <c r="X314" s="697"/>
      <c r="Y314" s="697"/>
      <c r="Z314" s="697"/>
      <c r="AA314" s="697"/>
      <c r="AB314" s="697"/>
    </row>
    <row r="315" spans="1:28" x14ac:dyDescent="0.2">
      <c r="A315" s="694" t="str">
        <f>+Info!$B$2</f>
        <v>724</v>
      </c>
      <c r="B315" s="694" t="s">
        <v>5267</v>
      </c>
      <c r="C315" s="694" t="s">
        <v>5268</v>
      </c>
      <c r="D315" s="695" t="s">
        <v>5269</v>
      </c>
      <c r="E315" s="696"/>
      <c r="F315" s="697"/>
      <c r="G315" s="697"/>
      <c r="H315" s="698"/>
      <c r="I315" s="698"/>
      <c r="J315" s="698"/>
      <c r="K315" s="697"/>
      <c r="L315" s="697"/>
      <c r="M315" s="697"/>
      <c r="N315" s="698"/>
      <c r="O315" s="697"/>
      <c r="P315" s="697"/>
      <c r="Q315" s="697"/>
      <c r="R315" s="697"/>
      <c r="S315" s="697"/>
      <c r="T315" s="697"/>
      <c r="U315" s="697"/>
      <c r="V315" s="698"/>
      <c r="W315" s="698"/>
      <c r="X315" s="697"/>
      <c r="Y315" s="697"/>
      <c r="Z315" s="697"/>
      <c r="AA315" s="697"/>
      <c r="AB315" s="697"/>
    </row>
    <row r="316" spans="1:28" x14ac:dyDescent="0.2">
      <c r="A316" s="694" t="str">
        <f>+Info!$B$2</f>
        <v>724</v>
      </c>
      <c r="B316" s="694" t="s">
        <v>5270</v>
      </c>
      <c r="C316" s="694" t="s">
        <v>5271</v>
      </c>
      <c r="D316" s="695" t="s">
        <v>5272</v>
      </c>
      <c r="E316" s="696"/>
      <c r="F316" s="697"/>
      <c r="G316" s="697"/>
      <c r="H316" s="698"/>
      <c r="I316" s="697"/>
      <c r="J316" s="698"/>
      <c r="K316" s="697"/>
      <c r="L316" s="697"/>
      <c r="M316" s="697"/>
      <c r="N316" s="698"/>
      <c r="O316" s="697"/>
      <c r="P316" s="697"/>
      <c r="Q316" s="697"/>
      <c r="R316" s="697"/>
      <c r="S316" s="697"/>
      <c r="T316" s="697"/>
      <c r="U316" s="697"/>
      <c r="V316" s="698"/>
      <c r="W316" s="698"/>
      <c r="X316" s="697"/>
      <c r="Y316" s="697"/>
      <c r="Z316" s="697"/>
      <c r="AA316" s="697"/>
      <c r="AB316" s="697"/>
    </row>
    <row r="317" spans="1:28" x14ac:dyDescent="0.2">
      <c r="A317" s="694" t="str">
        <f>+Info!$B$2</f>
        <v>724</v>
      </c>
      <c r="B317" s="694" t="s">
        <v>5273</v>
      </c>
      <c r="C317" s="694" t="s">
        <v>5274</v>
      </c>
      <c r="D317" s="695" t="s">
        <v>5275</v>
      </c>
      <c r="E317" s="696"/>
      <c r="F317" s="697"/>
      <c r="G317" s="697"/>
      <c r="H317" s="698"/>
      <c r="I317" s="697"/>
      <c r="J317" s="698"/>
      <c r="K317" s="697"/>
      <c r="L317" s="697"/>
      <c r="M317" s="697"/>
      <c r="N317" s="698"/>
      <c r="O317" s="697"/>
      <c r="P317" s="697"/>
      <c r="Q317" s="697"/>
      <c r="R317" s="697"/>
      <c r="S317" s="697"/>
      <c r="T317" s="697"/>
      <c r="U317" s="697"/>
      <c r="V317" s="698"/>
      <c r="W317" s="698"/>
      <c r="X317" s="697"/>
      <c r="Y317" s="697"/>
      <c r="Z317" s="697"/>
      <c r="AA317" s="697"/>
      <c r="AB317" s="697"/>
    </row>
    <row r="318" spans="1:28" x14ac:dyDescent="0.2">
      <c r="A318" s="694" t="str">
        <f>+Info!$B$2</f>
        <v>724</v>
      </c>
      <c r="B318" s="694" t="s">
        <v>5276</v>
      </c>
      <c r="C318" s="694" t="s">
        <v>5277</v>
      </c>
      <c r="D318" s="695" t="s">
        <v>5278</v>
      </c>
      <c r="E318" s="696"/>
      <c r="F318" s="697"/>
      <c r="G318" s="697"/>
      <c r="H318" s="698"/>
      <c r="I318" s="697"/>
      <c r="J318" s="698"/>
      <c r="K318" s="697"/>
      <c r="L318" s="697"/>
      <c r="M318" s="697"/>
      <c r="N318" s="698"/>
      <c r="O318" s="697"/>
      <c r="P318" s="697"/>
      <c r="Q318" s="697"/>
      <c r="R318" s="697"/>
      <c r="S318" s="697"/>
      <c r="T318" s="697"/>
      <c r="U318" s="697"/>
      <c r="V318" s="698"/>
      <c r="W318" s="698"/>
      <c r="X318" s="697"/>
      <c r="Y318" s="697"/>
      <c r="Z318" s="697"/>
      <c r="AA318" s="697"/>
      <c r="AB318" s="697"/>
    </row>
    <row r="319" spans="1:28" x14ac:dyDescent="0.2">
      <c r="A319" s="694" t="str">
        <f>+Info!$B$2</f>
        <v>724</v>
      </c>
      <c r="B319" s="694" t="s">
        <v>5279</v>
      </c>
      <c r="C319" s="694" t="s">
        <v>5280</v>
      </c>
      <c r="D319" s="695" t="s">
        <v>5281</v>
      </c>
      <c r="E319" s="696"/>
      <c r="F319" s="697"/>
      <c r="G319" s="697"/>
      <c r="H319" s="698"/>
      <c r="I319" s="697"/>
      <c r="J319" s="698"/>
      <c r="K319" s="697"/>
      <c r="L319" s="697"/>
      <c r="M319" s="697"/>
      <c r="N319" s="698"/>
      <c r="O319" s="697"/>
      <c r="P319" s="697"/>
      <c r="Q319" s="697"/>
      <c r="R319" s="697"/>
      <c r="S319" s="697"/>
      <c r="T319" s="697"/>
      <c r="U319" s="697"/>
      <c r="V319" s="698"/>
      <c r="W319" s="698"/>
      <c r="X319" s="697"/>
      <c r="Y319" s="697"/>
      <c r="Z319" s="697"/>
      <c r="AA319" s="697"/>
      <c r="AB319" s="697"/>
    </row>
    <row r="320" spans="1:28" x14ac:dyDescent="0.2">
      <c r="A320" s="694" t="str">
        <f>+Info!$B$2</f>
        <v>724</v>
      </c>
      <c r="B320" s="694" t="s">
        <v>5282</v>
      </c>
      <c r="C320" s="694" t="s">
        <v>5283</v>
      </c>
      <c r="D320" s="695" t="s">
        <v>5284</v>
      </c>
      <c r="E320" s="696"/>
      <c r="F320" s="697"/>
      <c r="G320" s="697"/>
      <c r="H320" s="698"/>
      <c r="I320" s="697"/>
      <c r="J320" s="698"/>
      <c r="K320" s="697"/>
      <c r="L320" s="697"/>
      <c r="M320" s="697"/>
      <c r="N320" s="698"/>
      <c r="O320" s="697"/>
      <c r="P320" s="697"/>
      <c r="Q320" s="697"/>
      <c r="R320" s="697"/>
      <c r="S320" s="697"/>
      <c r="T320" s="697"/>
      <c r="U320" s="697"/>
      <c r="V320" s="698"/>
      <c r="W320" s="698"/>
      <c r="X320" s="697"/>
      <c r="Y320" s="697"/>
      <c r="Z320" s="697"/>
      <c r="AA320" s="697"/>
      <c r="AB320" s="697"/>
    </row>
    <row r="321" spans="1:28" x14ac:dyDescent="0.2">
      <c r="A321" s="694" t="str">
        <f>+Info!$B$2</f>
        <v>724</v>
      </c>
      <c r="B321" s="694" t="s">
        <v>5285</v>
      </c>
      <c r="C321" s="694" t="s">
        <v>5286</v>
      </c>
      <c r="D321" s="695" t="s">
        <v>5287</v>
      </c>
      <c r="E321" s="696"/>
      <c r="F321" s="697"/>
      <c r="G321" s="697"/>
      <c r="H321" s="698"/>
      <c r="I321" s="697"/>
      <c r="J321" s="698"/>
      <c r="K321" s="697"/>
      <c r="L321" s="697"/>
      <c r="M321" s="697"/>
      <c r="N321" s="698"/>
      <c r="O321" s="697"/>
      <c r="P321" s="697"/>
      <c r="Q321" s="697"/>
      <c r="R321" s="697"/>
      <c r="S321" s="697"/>
      <c r="T321" s="697"/>
      <c r="U321" s="697"/>
      <c r="V321" s="698"/>
      <c r="W321" s="698"/>
      <c r="X321" s="697"/>
      <c r="Y321" s="697"/>
      <c r="Z321" s="697"/>
      <c r="AA321" s="697"/>
      <c r="AB321" s="697"/>
    </row>
    <row r="322" spans="1:28" x14ac:dyDescent="0.2">
      <c r="A322" s="694" t="str">
        <f>+Info!$B$2</f>
        <v>724</v>
      </c>
      <c r="B322" s="694" t="s">
        <v>5288</v>
      </c>
      <c r="C322" s="694" t="s">
        <v>5289</v>
      </c>
      <c r="D322" s="695" t="s">
        <v>5290</v>
      </c>
      <c r="E322" s="696"/>
      <c r="F322" s="697"/>
      <c r="G322" s="697"/>
      <c r="H322" s="698"/>
      <c r="I322" s="697"/>
      <c r="J322" s="698"/>
      <c r="K322" s="697"/>
      <c r="L322" s="697"/>
      <c r="M322" s="697"/>
      <c r="N322" s="698"/>
      <c r="O322" s="697"/>
      <c r="P322" s="697"/>
      <c r="Q322" s="697"/>
      <c r="R322" s="697"/>
      <c r="S322" s="697"/>
      <c r="T322" s="697"/>
      <c r="U322" s="697"/>
      <c r="V322" s="698"/>
      <c r="W322" s="698"/>
      <c r="X322" s="697"/>
      <c r="Y322" s="697"/>
      <c r="Z322" s="697"/>
      <c r="AA322" s="697"/>
      <c r="AB322" s="697"/>
    </row>
    <row r="323" spans="1:28" x14ac:dyDescent="0.2">
      <c r="A323" s="694" t="str">
        <f>+Info!$B$2</f>
        <v>724</v>
      </c>
      <c r="B323" s="694" t="s">
        <v>5291</v>
      </c>
      <c r="C323" s="694" t="s">
        <v>5292</v>
      </c>
      <c r="D323" s="695" t="s">
        <v>5293</v>
      </c>
      <c r="E323" s="696"/>
      <c r="F323" s="697"/>
      <c r="G323" s="697"/>
      <c r="H323" s="698"/>
      <c r="I323" s="697"/>
      <c r="J323" s="698"/>
      <c r="K323" s="697"/>
      <c r="L323" s="697"/>
      <c r="M323" s="697"/>
      <c r="N323" s="698"/>
      <c r="O323" s="697"/>
      <c r="P323" s="697"/>
      <c r="Q323" s="697"/>
      <c r="R323" s="697"/>
      <c r="S323" s="697"/>
      <c r="T323" s="697"/>
      <c r="U323" s="697"/>
      <c r="V323" s="698"/>
      <c r="W323" s="698"/>
      <c r="X323" s="697"/>
      <c r="Y323" s="697"/>
      <c r="Z323" s="697"/>
      <c r="AA323" s="697"/>
      <c r="AB323" s="697"/>
    </row>
    <row r="324" spans="1:28" ht="25.5" x14ac:dyDescent="0.2">
      <c r="A324" s="694" t="str">
        <f>+Info!$B$2</f>
        <v>724</v>
      </c>
      <c r="B324" s="694" t="s">
        <v>5294</v>
      </c>
      <c r="C324" s="694" t="s">
        <v>5295</v>
      </c>
      <c r="D324" s="695" t="s">
        <v>5296</v>
      </c>
      <c r="E324" s="696"/>
      <c r="F324" s="697"/>
      <c r="G324" s="697"/>
      <c r="H324" s="698"/>
      <c r="I324" s="698"/>
      <c r="J324" s="697"/>
      <c r="K324" s="697"/>
      <c r="L324" s="697"/>
      <c r="M324" s="697"/>
      <c r="N324" s="698"/>
      <c r="O324" s="697"/>
      <c r="P324" s="697"/>
      <c r="Q324" s="697"/>
      <c r="R324" s="697"/>
      <c r="S324" s="697"/>
      <c r="T324" s="697"/>
      <c r="U324" s="697"/>
      <c r="V324" s="698"/>
      <c r="W324" s="698"/>
      <c r="X324" s="697"/>
      <c r="Y324" s="697"/>
      <c r="Z324" s="697"/>
      <c r="AA324" s="697"/>
      <c r="AB324" s="697"/>
    </row>
    <row r="325" spans="1:28" ht="25.5" x14ac:dyDescent="0.2">
      <c r="A325" s="694" t="str">
        <f>+Info!$B$2</f>
        <v>724</v>
      </c>
      <c r="B325" s="694" t="s">
        <v>5297</v>
      </c>
      <c r="C325" s="694" t="s">
        <v>5298</v>
      </c>
      <c r="D325" s="695" t="s">
        <v>5299</v>
      </c>
      <c r="E325" s="696"/>
      <c r="F325" s="697"/>
      <c r="G325" s="697"/>
      <c r="H325" s="698"/>
      <c r="I325" s="698"/>
      <c r="J325" s="697"/>
      <c r="K325" s="697"/>
      <c r="L325" s="697"/>
      <c r="M325" s="697"/>
      <c r="N325" s="698"/>
      <c r="O325" s="697"/>
      <c r="P325" s="697"/>
      <c r="Q325" s="697"/>
      <c r="R325" s="697"/>
      <c r="S325" s="697"/>
      <c r="T325" s="697"/>
      <c r="U325" s="697"/>
      <c r="V325" s="698"/>
      <c r="W325" s="698"/>
      <c r="X325" s="697"/>
      <c r="Y325" s="697"/>
      <c r="Z325" s="697"/>
      <c r="AA325" s="697"/>
      <c r="AB325" s="697"/>
    </row>
    <row r="326" spans="1:28" ht="25.5" x14ac:dyDescent="0.2">
      <c r="A326" s="694" t="str">
        <f>+Info!$B$2</f>
        <v>724</v>
      </c>
      <c r="B326" s="694" t="s">
        <v>5300</v>
      </c>
      <c r="C326" s="694" t="s">
        <v>5301</v>
      </c>
      <c r="D326" s="695" t="s">
        <v>5302</v>
      </c>
      <c r="E326" s="696"/>
      <c r="F326" s="697"/>
      <c r="G326" s="697"/>
      <c r="H326" s="698"/>
      <c r="I326" s="698"/>
      <c r="J326" s="697"/>
      <c r="K326" s="697"/>
      <c r="L326" s="697"/>
      <c r="M326" s="697"/>
      <c r="N326" s="698"/>
      <c r="O326" s="697"/>
      <c r="P326" s="697"/>
      <c r="Q326" s="697"/>
      <c r="R326" s="697"/>
      <c r="S326" s="697"/>
      <c r="T326" s="697"/>
      <c r="U326" s="697"/>
      <c r="V326" s="698"/>
      <c r="W326" s="698"/>
      <c r="X326" s="697"/>
      <c r="Y326" s="697"/>
      <c r="Z326" s="697"/>
      <c r="AA326" s="697"/>
      <c r="AB326" s="697"/>
    </row>
    <row r="327" spans="1:28" ht="25.5" x14ac:dyDescent="0.2">
      <c r="A327" s="694" t="str">
        <f>+Info!$B$2</f>
        <v>724</v>
      </c>
      <c r="B327" s="694" t="s">
        <v>5303</v>
      </c>
      <c r="C327" s="694" t="s">
        <v>5304</v>
      </c>
      <c r="D327" s="695" t="s">
        <v>5305</v>
      </c>
      <c r="E327" s="696"/>
      <c r="F327" s="697"/>
      <c r="G327" s="697"/>
      <c r="H327" s="698"/>
      <c r="I327" s="698"/>
      <c r="J327" s="697"/>
      <c r="K327" s="697"/>
      <c r="L327" s="697"/>
      <c r="M327" s="697"/>
      <c r="N327" s="698"/>
      <c r="O327" s="697"/>
      <c r="P327" s="697"/>
      <c r="Q327" s="697"/>
      <c r="R327" s="697"/>
      <c r="S327" s="697"/>
      <c r="T327" s="697"/>
      <c r="U327" s="697"/>
      <c r="V327" s="698"/>
      <c r="W327" s="698"/>
      <c r="X327" s="697"/>
      <c r="Y327" s="697"/>
      <c r="Z327" s="697"/>
      <c r="AA327" s="697"/>
      <c r="AB327" s="697"/>
    </row>
    <row r="328" spans="1:28" ht="15" x14ac:dyDescent="0.25">
      <c r="A328" s="691" t="str">
        <f>+Info!$B$2</f>
        <v>724</v>
      </c>
      <c r="B328" s="691" t="s">
        <v>5306</v>
      </c>
      <c r="C328" s="691" t="s">
        <v>5307</v>
      </c>
      <c r="D328" s="692" t="s">
        <v>5308</v>
      </c>
      <c r="E328" s="693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</row>
    <row r="329" spans="1:28" x14ac:dyDescent="0.2">
      <c r="A329" s="694" t="str">
        <f>+Info!$B$2</f>
        <v>724</v>
      </c>
      <c r="B329" s="694" t="s">
        <v>5309</v>
      </c>
      <c r="C329" s="694" t="s">
        <v>5310</v>
      </c>
      <c r="D329" s="695" t="s">
        <v>5311</v>
      </c>
      <c r="E329" s="696"/>
      <c r="F329" s="697"/>
      <c r="G329" s="697"/>
      <c r="H329" s="698"/>
      <c r="I329" s="697"/>
      <c r="J329" s="697"/>
      <c r="K329" s="697"/>
      <c r="L329" s="697"/>
      <c r="M329" s="697"/>
      <c r="N329" s="698"/>
      <c r="O329" s="697"/>
      <c r="P329" s="697"/>
      <c r="Q329" s="697"/>
      <c r="R329" s="697"/>
      <c r="S329" s="697"/>
      <c r="T329" s="697"/>
      <c r="U329" s="697"/>
      <c r="V329" s="698"/>
      <c r="W329" s="698"/>
      <c r="X329" s="697"/>
      <c r="Y329" s="697"/>
      <c r="Z329" s="697"/>
      <c r="AA329" s="697"/>
      <c r="AB329" s="697"/>
    </row>
    <row r="330" spans="1:28" x14ac:dyDescent="0.2">
      <c r="A330" s="694" t="str">
        <f>+Info!$B$2</f>
        <v>724</v>
      </c>
      <c r="B330" s="694" t="s">
        <v>5312</v>
      </c>
      <c r="C330" s="694" t="s">
        <v>5313</v>
      </c>
      <c r="D330" s="695" t="s">
        <v>5314</v>
      </c>
      <c r="E330" s="696"/>
      <c r="F330" s="697"/>
      <c r="G330" s="697"/>
      <c r="H330" s="698"/>
      <c r="I330" s="697"/>
      <c r="J330" s="697"/>
      <c r="K330" s="697"/>
      <c r="L330" s="697"/>
      <c r="M330" s="697"/>
      <c r="N330" s="698"/>
      <c r="O330" s="697"/>
      <c r="P330" s="697"/>
      <c r="Q330" s="697"/>
      <c r="R330" s="697"/>
      <c r="S330" s="697"/>
      <c r="T330" s="697"/>
      <c r="U330" s="697"/>
      <c r="V330" s="698"/>
      <c r="W330" s="698"/>
      <c r="X330" s="697"/>
      <c r="Y330" s="697"/>
      <c r="Z330" s="697"/>
      <c r="AA330" s="697"/>
      <c r="AB330" s="697"/>
    </row>
    <row r="331" spans="1:28" x14ac:dyDescent="0.2">
      <c r="A331" s="694" t="str">
        <f>+Info!$B$2</f>
        <v>724</v>
      </c>
      <c r="B331" s="694" t="s">
        <v>5315</v>
      </c>
      <c r="C331" s="694" t="s">
        <v>5316</v>
      </c>
      <c r="D331" s="695" t="s">
        <v>5317</v>
      </c>
      <c r="E331" s="696"/>
      <c r="F331" s="697"/>
      <c r="G331" s="697"/>
      <c r="H331" s="698"/>
      <c r="I331" s="697"/>
      <c r="J331" s="697"/>
      <c r="K331" s="697"/>
      <c r="L331" s="697"/>
      <c r="M331" s="697"/>
      <c r="N331" s="698"/>
      <c r="O331" s="697"/>
      <c r="P331" s="697"/>
      <c r="Q331" s="697"/>
      <c r="R331" s="697"/>
      <c r="S331" s="697"/>
      <c r="T331" s="697"/>
      <c r="U331" s="697"/>
      <c r="V331" s="698"/>
      <c r="W331" s="698"/>
      <c r="X331" s="697"/>
      <c r="Y331" s="697"/>
      <c r="Z331" s="697"/>
      <c r="AA331" s="697"/>
      <c r="AB331" s="697"/>
    </row>
    <row r="332" spans="1:28" x14ac:dyDescent="0.2">
      <c r="A332" s="694" t="str">
        <f>+Info!$B$2</f>
        <v>724</v>
      </c>
      <c r="B332" s="694" t="s">
        <v>5318</v>
      </c>
      <c r="C332" s="694" t="s">
        <v>5319</v>
      </c>
      <c r="D332" s="695" t="s">
        <v>5320</v>
      </c>
      <c r="E332" s="696"/>
      <c r="F332" s="697"/>
      <c r="G332" s="697"/>
      <c r="H332" s="698"/>
      <c r="I332" s="697"/>
      <c r="J332" s="697"/>
      <c r="K332" s="697"/>
      <c r="L332" s="697"/>
      <c r="M332" s="697"/>
      <c r="N332" s="698"/>
      <c r="O332" s="697"/>
      <c r="P332" s="697"/>
      <c r="Q332" s="697"/>
      <c r="R332" s="697"/>
      <c r="S332" s="697"/>
      <c r="T332" s="697"/>
      <c r="U332" s="697"/>
      <c r="V332" s="698"/>
      <c r="W332" s="698"/>
      <c r="X332" s="697"/>
      <c r="Y332" s="697"/>
      <c r="Z332" s="697"/>
      <c r="AA332" s="697"/>
      <c r="AB332" s="697"/>
    </row>
    <row r="333" spans="1:28" x14ac:dyDescent="0.2">
      <c r="A333" s="694" t="str">
        <f>+Info!$B$2</f>
        <v>724</v>
      </c>
      <c r="B333" s="694" t="s">
        <v>5321</v>
      </c>
      <c r="C333" s="694" t="s">
        <v>5322</v>
      </c>
      <c r="D333" s="695" t="s">
        <v>5323</v>
      </c>
      <c r="E333" s="696"/>
      <c r="F333" s="697"/>
      <c r="G333" s="697"/>
      <c r="H333" s="698"/>
      <c r="I333" s="697"/>
      <c r="J333" s="697"/>
      <c r="K333" s="697"/>
      <c r="L333" s="697"/>
      <c r="M333" s="697"/>
      <c r="N333" s="698"/>
      <c r="O333" s="697"/>
      <c r="P333" s="697"/>
      <c r="Q333" s="697"/>
      <c r="R333" s="697"/>
      <c r="S333" s="697"/>
      <c r="T333" s="697"/>
      <c r="U333" s="697"/>
      <c r="V333" s="698"/>
      <c r="W333" s="698"/>
      <c r="X333" s="697"/>
      <c r="Y333" s="697"/>
      <c r="Z333" s="697"/>
      <c r="AA333" s="697"/>
      <c r="AB333" s="697"/>
    </row>
    <row r="334" spans="1:28" x14ac:dyDescent="0.2">
      <c r="A334" s="694" t="str">
        <f>+Info!$B$2</f>
        <v>724</v>
      </c>
      <c r="B334" s="694" t="s">
        <v>5324</v>
      </c>
      <c r="C334" s="694" t="s">
        <v>5325</v>
      </c>
      <c r="D334" s="695" t="s">
        <v>5326</v>
      </c>
      <c r="E334" s="696"/>
      <c r="F334" s="697"/>
      <c r="G334" s="697"/>
      <c r="H334" s="698"/>
      <c r="I334" s="697"/>
      <c r="J334" s="698"/>
      <c r="K334" s="697"/>
      <c r="L334" s="697"/>
      <c r="M334" s="697"/>
      <c r="N334" s="698"/>
      <c r="O334" s="697"/>
      <c r="P334" s="697"/>
      <c r="Q334" s="697"/>
      <c r="R334" s="697"/>
      <c r="S334" s="697"/>
      <c r="T334" s="697"/>
      <c r="U334" s="697"/>
      <c r="V334" s="698"/>
      <c r="W334" s="698"/>
      <c r="X334" s="697"/>
      <c r="Y334" s="697"/>
      <c r="Z334" s="697"/>
      <c r="AA334" s="697"/>
      <c r="AB334" s="697"/>
    </row>
    <row r="335" spans="1:28" x14ac:dyDescent="0.2">
      <c r="A335" s="694" t="str">
        <f>+Info!$B$2</f>
        <v>724</v>
      </c>
      <c r="B335" s="694" t="s">
        <v>5327</v>
      </c>
      <c r="C335" s="694" t="s">
        <v>5328</v>
      </c>
      <c r="D335" s="695" t="s">
        <v>5329</v>
      </c>
      <c r="E335" s="696"/>
      <c r="F335" s="697"/>
      <c r="G335" s="697"/>
      <c r="H335" s="698"/>
      <c r="I335" s="697"/>
      <c r="J335" s="698"/>
      <c r="K335" s="697"/>
      <c r="L335" s="697"/>
      <c r="M335" s="697"/>
      <c r="N335" s="698"/>
      <c r="O335" s="697"/>
      <c r="P335" s="697"/>
      <c r="Q335" s="697"/>
      <c r="R335" s="697"/>
      <c r="S335" s="697"/>
      <c r="T335" s="697"/>
      <c r="U335" s="697"/>
      <c r="V335" s="698"/>
      <c r="W335" s="698"/>
      <c r="X335" s="697"/>
      <c r="Y335" s="697"/>
      <c r="Z335" s="697"/>
      <c r="AA335" s="697"/>
      <c r="AB335" s="697"/>
    </row>
    <row r="336" spans="1:28" x14ac:dyDescent="0.2">
      <c r="A336" s="694" t="str">
        <f>+Info!$B$2</f>
        <v>724</v>
      </c>
      <c r="B336" s="694" t="s">
        <v>5330</v>
      </c>
      <c r="C336" s="694" t="s">
        <v>5331</v>
      </c>
      <c r="D336" s="695" t="s">
        <v>5332</v>
      </c>
      <c r="E336" s="696"/>
      <c r="F336" s="697"/>
      <c r="G336" s="697"/>
      <c r="H336" s="698"/>
      <c r="I336" s="697"/>
      <c r="J336" s="698"/>
      <c r="K336" s="697"/>
      <c r="L336" s="697"/>
      <c r="M336" s="697"/>
      <c r="N336" s="698"/>
      <c r="O336" s="697"/>
      <c r="P336" s="697"/>
      <c r="Q336" s="697"/>
      <c r="R336" s="697"/>
      <c r="S336" s="697"/>
      <c r="T336" s="697"/>
      <c r="U336" s="697"/>
      <c r="V336" s="698"/>
      <c r="W336" s="698"/>
      <c r="X336" s="697"/>
      <c r="Y336" s="697"/>
      <c r="Z336" s="697"/>
      <c r="AA336" s="697"/>
      <c r="AB336" s="697"/>
    </row>
    <row r="337" spans="1:28" x14ac:dyDescent="0.2">
      <c r="A337" s="694" t="str">
        <f>+Info!$B$2</f>
        <v>724</v>
      </c>
      <c r="B337" s="694" t="s">
        <v>5333</v>
      </c>
      <c r="C337" s="694" t="s">
        <v>5334</v>
      </c>
      <c r="D337" s="695" t="s">
        <v>5335</v>
      </c>
      <c r="E337" s="696"/>
      <c r="F337" s="697"/>
      <c r="G337" s="697"/>
      <c r="H337" s="698"/>
      <c r="I337" s="697"/>
      <c r="J337" s="698"/>
      <c r="K337" s="697"/>
      <c r="L337" s="697"/>
      <c r="M337" s="697"/>
      <c r="N337" s="698"/>
      <c r="O337" s="697"/>
      <c r="P337" s="697"/>
      <c r="Q337" s="697"/>
      <c r="R337" s="697"/>
      <c r="S337" s="697"/>
      <c r="T337" s="697"/>
      <c r="U337" s="697"/>
      <c r="V337" s="698"/>
      <c r="W337" s="698"/>
      <c r="X337" s="697"/>
      <c r="Y337" s="697"/>
      <c r="Z337" s="697"/>
      <c r="AA337" s="697"/>
      <c r="AB337" s="697"/>
    </row>
    <row r="338" spans="1:28" x14ac:dyDescent="0.2">
      <c r="A338" s="694" t="str">
        <f>+Info!$B$2</f>
        <v>724</v>
      </c>
      <c r="B338" s="694" t="s">
        <v>5336</v>
      </c>
      <c r="C338" s="694" t="s">
        <v>5337</v>
      </c>
      <c r="D338" s="695" t="s">
        <v>5338</v>
      </c>
      <c r="E338" s="696"/>
      <c r="F338" s="697"/>
      <c r="G338" s="697"/>
      <c r="H338" s="698"/>
      <c r="I338" s="697"/>
      <c r="J338" s="698"/>
      <c r="K338" s="697"/>
      <c r="L338" s="697"/>
      <c r="M338" s="697"/>
      <c r="N338" s="698"/>
      <c r="O338" s="697"/>
      <c r="P338" s="697"/>
      <c r="Q338" s="697"/>
      <c r="R338" s="697"/>
      <c r="S338" s="697"/>
      <c r="T338" s="697"/>
      <c r="U338" s="697"/>
      <c r="V338" s="698"/>
      <c r="W338" s="698"/>
      <c r="X338" s="697"/>
      <c r="Y338" s="697"/>
      <c r="Z338" s="697"/>
      <c r="AA338" s="697"/>
      <c r="AB338" s="697"/>
    </row>
    <row r="339" spans="1:28" x14ac:dyDescent="0.2">
      <c r="A339" s="694" t="str">
        <f>+Info!$B$2</f>
        <v>724</v>
      </c>
      <c r="B339" s="694" t="s">
        <v>5339</v>
      </c>
      <c r="C339" s="694" t="s">
        <v>5340</v>
      </c>
      <c r="D339" s="695" t="s">
        <v>5341</v>
      </c>
      <c r="E339" s="696"/>
      <c r="F339" s="697"/>
      <c r="G339" s="697"/>
      <c r="H339" s="698"/>
      <c r="I339" s="697"/>
      <c r="J339" s="698"/>
      <c r="K339" s="697"/>
      <c r="L339" s="697"/>
      <c r="M339" s="697"/>
      <c r="N339" s="698"/>
      <c r="O339" s="697"/>
      <c r="P339" s="697"/>
      <c r="Q339" s="697"/>
      <c r="R339" s="697"/>
      <c r="S339" s="697"/>
      <c r="T339" s="697"/>
      <c r="U339" s="697"/>
      <c r="V339" s="698"/>
      <c r="W339" s="698"/>
      <c r="X339" s="697"/>
      <c r="Y339" s="697"/>
      <c r="Z339" s="697"/>
      <c r="AA339" s="697"/>
      <c r="AB339" s="697"/>
    </row>
    <row r="340" spans="1:28" x14ac:dyDescent="0.2">
      <c r="A340" s="694" t="str">
        <f>+Info!$B$2</f>
        <v>724</v>
      </c>
      <c r="B340" s="694" t="s">
        <v>5342</v>
      </c>
      <c r="C340" s="694" t="s">
        <v>5343</v>
      </c>
      <c r="D340" s="695" t="s">
        <v>5344</v>
      </c>
      <c r="E340" s="696"/>
      <c r="F340" s="697"/>
      <c r="G340" s="697"/>
      <c r="H340" s="698"/>
      <c r="I340" s="697"/>
      <c r="J340" s="698"/>
      <c r="K340" s="697"/>
      <c r="L340" s="697"/>
      <c r="M340" s="697"/>
      <c r="N340" s="698"/>
      <c r="O340" s="697"/>
      <c r="P340" s="697"/>
      <c r="Q340" s="697"/>
      <c r="R340" s="697"/>
      <c r="S340" s="697"/>
      <c r="T340" s="697"/>
      <c r="U340" s="697"/>
      <c r="V340" s="698"/>
      <c r="W340" s="698"/>
      <c r="X340" s="697"/>
      <c r="Y340" s="697"/>
      <c r="Z340" s="697"/>
      <c r="AA340" s="697"/>
      <c r="AB340" s="697"/>
    </row>
    <row r="341" spans="1:28" x14ac:dyDescent="0.2">
      <c r="A341" s="694" t="str">
        <f>+Info!$B$2</f>
        <v>724</v>
      </c>
      <c r="B341" s="694" t="s">
        <v>5345</v>
      </c>
      <c r="C341" s="694" t="s">
        <v>5346</v>
      </c>
      <c r="D341" s="695" t="s">
        <v>5347</v>
      </c>
      <c r="E341" s="696"/>
      <c r="F341" s="697"/>
      <c r="G341" s="697"/>
      <c r="H341" s="698"/>
      <c r="I341" s="697"/>
      <c r="J341" s="698"/>
      <c r="K341" s="697"/>
      <c r="L341" s="697"/>
      <c r="M341" s="697"/>
      <c r="N341" s="698"/>
      <c r="O341" s="697"/>
      <c r="P341" s="697"/>
      <c r="Q341" s="697"/>
      <c r="R341" s="697"/>
      <c r="S341" s="697"/>
      <c r="T341" s="697"/>
      <c r="U341" s="697"/>
      <c r="V341" s="698"/>
      <c r="W341" s="698"/>
      <c r="X341" s="697"/>
      <c r="Y341" s="697"/>
      <c r="Z341" s="697"/>
      <c r="AA341" s="697"/>
      <c r="AB341" s="697"/>
    </row>
    <row r="342" spans="1:28" x14ac:dyDescent="0.2">
      <c r="A342" s="694" t="str">
        <f>+Info!$B$2</f>
        <v>724</v>
      </c>
      <c r="B342" s="694" t="s">
        <v>5348</v>
      </c>
      <c r="C342" s="694" t="s">
        <v>5349</v>
      </c>
      <c r="D342" s="695" t="s">
        <v>5350</v>
      </c>
      <c r="E342" s="696"/>
      <c r="F342" s="697"/>
      <c r="G342" s="697"/>
      <c r="H342" s="698"/>
      <c r="I342" s="697"/>
      <c r="J342" s="697"/>
      <c r="K342" s="697"/>
      <c r="L342" s="697"/>
      <c r="M342" s="697"/>
      <c r="N342" s="698"/>
      <c r="O342" s="697"/>
      <c r="P342" s="697"/>
      <c r="Q342" s="697"/>
      <c r="R342" s="697"/>
      <c r="S342" s="697"/>
      <c r="T342" s="697"/>
      <c r="U342" s="697"/>
      <c r="V342" s="698"/>
      <c r="W342" s="698"/>
      <c r="X342" s="697"/>
      <c r="Y342" s="697"/>
      <c r="Z342" s="697"/>
      <c r="AA342" s="697"/>
      <c r="AB342" s="697"/>
    </row>
    <row r="343" spans="1:28" x14ac:dyDescent="0.2">
      <c r="A343" s="694" t="str">
        <f>+Info!$B$2</f>
        <v>724</v>
      </c>
      <c r="B343" s="694" t="s">
        <v>5351</v>
      </c>
      <c r="C343" s="694" t="s">
        <v>5352</v>
      </c>
      <c r="D343" s="695" t="s">
        <v>5353</v>
      </c>
      <c r="E343" s="696"/>
      <c r="F343" s="697"/>
      <c r="G343" s="697"/>
      <c r="H343" s="698"/>
      <c r="I343" s="697"/>
      <c r="J343" s="698"/>
      <c r="K343" s="697"/>
      <c r="L343" s="697"/>
      <c r="M343" s="697"/>
      <c r="N343" s="698"/>
      <c r="O343" s="697"/>
      <c r="P343" s="697"/>
      <c r="Q343" s="697"/>
      <c r="R343" s="697"/>
      <c r="S343" s="697"/>
      <c r="T343" s="697"/>
      <c r="U343" s="697"/>
      <c r="V343" s="698"/>
      <c r="W343" s="698"/>
      <c r="X343" s="697"/>
      <c r="Y343" s="697"/>
      <c r="Z343" s="697"/>
      <c r="AA343" s="697"/>
      <c r="AB343" s="697"/>
    </row>
    <row r="344" spans="1:28" ht="15" x14ac:dyDescent="0.25">
      <c r="A344" s="691" t="str">
        <f>+Info!$B$2</f>
        <v>724</v>
      </c>
      <c r="B344" s="691" t="s">
        <v>5354</v>
      </c>
      <c r="C344" s="691" t="s">
        <v>5355</v>
      </c>
      <c r="D344" s="692" t="s">
        <v>5356</v>
      </c>
      <c r="E344" s="693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</row>
    <row r="345" spans="1:28" ht="15" x14ac:dyDescent="0.25">
      <c r="A345" s="691" t="str">
        <f>+Info!$B$2</f>
        <v>724</v>
      </c>
      <c r="B345" s="691" t="s">
        <v>5357</v>
      </c>
      <c r="C345" s="691" t="s">
        <v>5358</v>
      </c>
      <c r="D345" s="692" t="s">
        <v>5359</v>
      </c>
      <c r="E345" s="693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</row>
    <row r="346" spans="1:28" x14ac:dyDescent="0.2">
      <c r="A346" s="694" t="str">
        <f>+Info!$B$2</f>
        <v>724</v>
      </c>
      <c r="B346" s="694" t="s">
        <v>5360</v>
      </c>
      <c r="C346" s="694" t="s">
        <v>5361</v>
      </c>
      <c r="D346" s="695" t="s">
        <v>5362</v>
      </c>
      <c r="E346" s="696"/>
      <c r="F346" s="697"/>
      <c r="G346" s="697"/>
      <c r="H346" s="698"/>
      <c r="I346" s="697"/>
      <c r="J346" s="697"/>
      <c r="K346" s="697"/>
      <c r="L346" s="697"/>
      <c r="M346" s="697"/>
      <c r="N346" s="698"/>
      <c r="O346" s="697"/>
      <c r="P346" s="697"/>
      <c r="Q346" s="697"/>
      <c r="R346" s="697"/>
      <c r="S346" s="697"/>
      <c r="T346" s="697"/>
      <c r="U346" s="697"/>
      <c r="V346" s="698"/>
      <c r="W346" s="698"/>
      <c r="X346" s="697"/>
      <c r="Y346" s="697"/>
      <c r="Z346" s="697"/>
      <c r="AA346" s="697"/>
      <c r="AB346" s="697"/>
    </row>
    <row r="347" spans="1:28" x14ac:dyDescent="0.2">
      <c r="A347" s="694" t="str">
        <f>+Info!$B$2</f>
        <v>724</v>
      </c>
      <c r="B347" s="694" t="s">
        <v>5363</v>
      </c>
      <c r="C347" s="694" t="s">
        <v>5364</v>
      </c>
      <c r="D347" s="695" t="s">
        <v>5365</v>
      </c>
      <c r="E347" s="696"/>
      <c r="F347" s="697"/>
      <c r="G347" s="697"/>
      <c r="H347" s="698"/>
      <c r="I347" s="697"/>
      <c r="J347" s="697"/>
      <c r="K347" s="697"/>
      <c r="L347" s="697"/>
      <c r="M347" s="697"/>
      <c r="N347" s="698"/>
      <c r="O347" s="697"/>
      <c r="P347" s="697"/>
      <c r="Q347" s="697"/>
      <c r="R347" s="697"/>
      <c r="S347" s="697"/>
      <c r="T347" s="697"/>
      <c r="U347" s="697"/>
      <c r="V347" s="698"/>
      <c r="W347" s="698"/>
      <c r="X347" s="697"/>
      <c r="Y347" s="697"/>
      <c r="Z347" s="697"/>
      <c r="AA347" s="697"/>
      <c r="AB347" s="697"/>
    </row>
    <row r="348" spans="1:28" x14ac:dyDescent="0.2">
      <c r="A348" s="694" t="str">
        <f>+Info!$B$2</f>
        <v>724</v>
      </c>
      <c r="B348" s="694" t="s">
        <v>5366</v>
      </c>
      <c r="C348" s="694" t="s">
        <v>5367</v>
      </c>
      <c r="D348" s="695" t="s">
        <v>5368</v>
      </c>
      <c r="E348" s="696"/>
      <c r="F348" s="697"/>
      <c r="G348" s="697"/>
      <c r="H348" s="698"/>
      <c r="I348" s="697"/>
      <c r="J348" s="697"/>
      <c r="K348" s="697"/>
      <c r="L348" s="697"/>
      <c r="M348" s="697"/>
      <c r="N348" s="698"/>
      <c r="O348" s="697"/>
      <c r="P348" s="697"/>
      <c r="Q348" s="697"/>
      <c r="R348" s="697"/>
      <c r="S348" s="697"/>
      <c r="T348" s="697"/>
      <c r="U348" s="697"/>
      <c r="V348" s="698"/>
      <c r="W348" s="698"/>
      <c r="X348" s="697"/>
      <c r="Y348" s="697"/>
      <c r="Z348" s="697"/>
      <c r="AA348" s="697"/>
      <c r="AB348" s="697"/>
    </row>
    <row r="349" spans="1:28" x14ac:dyDescent="0.2">
      <c r="A349" s="694" t="str">
        <f>+Info!$B$2</f>
        <v>724</v>
      </c>
      <c r="B349" s="694" t="s">
        <v>5369</v>
      </c>
      <c r="C349" s="694" t="s">
        <v>5370</v>
      </c>
      <c r="D349" s="695" t="s">
        <v>5371</v>
      </c>
      <c r="E349" s="696"/>
      <c r="F349" s="697"/>
      <c r="G349" s="697"/>
      <c r="H349" s="698"/>
      <c r="I349" s="697"/>
      <c r="J349" s="697"/>
      <c r="K349" s="697"/>
      <c r="L349" s="697"/>
      <c r="M349" s="697"/>
      <c r="N349" s="698"/>
      <c r="O349" s="697"/>
      <c r="P349" s="697"/>
      <c r="Q349" s="697"/>
      <c r="R349" s="697"/>
      <c r="S349" s="697"/>
      <c r="T349" s="697"/>
      <c r="U349" s="697"/>
      <c r="V349" s="698"/>
      <c r="W349" s="698"/>
      <c r="X349" s="697"/>
      <c r="Y349" s="697"/>
      <c r="Z349" s="697"/>
      <c r="AA349" s="697"/>
      <c r="AB349" s="697"/>
    </row>
    <row r="350" spans="1:28" x14ac:dyDescent="0.2">
      <c r="A350" s="694" t="str">
        <f>+Info!$B$2</f>
        <v>724</v>
      </c>
      <c r="B350" s="694" t="s">
        <v>5372</v>
      </c>
      <c r="C350" s="694" t="s">
        <v>5373</v>
      </c>
      <c r="D350" s="695" t="s">
        <v>5374</v>
      </c>
      <c r="E350" s="696"/>
      <c r="F350" s="697"/>
      <c r="G350" s="697"/>
      <c r="H350" s="698"/>
      <c r="I350" s="697"/>
      <c r="J350" s="697"/>
      <c r="K350" s="697"/>
      <c r="L350" s="697"/>
      <c r="M350" s="697"/>
      <c r="N350" s="698"/>
      <c r="O350" s="697"/>
      <c r="P350" s="697"/>
      <c r="Q350" s="697"/>
      <c r="R350" s="697"/>
      <c r="S350" s="697"/>
      <c r="T350" s="697"/>
      <c r="U350" s="697"/>
      <c r="V350" s="698"/>
      <c r="W350" s="698"/>
      <c r="X350" s="697"/>
      <c r="Y350" s="697"/>
      <c r="Z350" s="697"/>
      <c r="AA350" s="697"/>
      <c r="AB350" s="697"/>
    </row>
    <row r="351" spans="1:28" x14ac:dyDescent="0.2">
      <c r="A351" s="694" t="str">
        <f>+Info!$B$2</f>
        <v>724</v>
      </c>
      <c r="B351" s="694" t="s">
        <v>5375</v>
      </c>
      <c r="C351" s="694" t="s">
        <v>5376</v>
      </c>
      <c r="D351" s="695" t="s">
        <v>5377</v>
      </c>
      <c r="E351" s="696"/>
      <c r="F351" s="697"/>
      <c r="G351" s="697"/>
      <c r="H351" s="698"/>
      <c r="I351" s="697"/>
      <c r="J351" s="697"/>
      <c r="K351" s="697"/>
      <c r="L351" s="697"/>
      <c r="M351" s="697"/>
      <c r="N351" s="698"/>
      <c r="O351" s="697"/>
      <c r="P351" s="697"/>
      <c r="Q351" s="697"/>
      <c r="R351" s="697"/>
      <c r="S351" s="697"/>
      <c r="T351" s="697"/>
      <c r="U351" s="697"/>
      <c r="V351" s="698"/>
      <c r="W351" s="698"/>
      <c r="X351" s="697"/>
      <c r="Y351" s="697"/>
      <c r="Z351" s="697"/>
      <c r="AA351" s="697"/>
      <c r="AB351" s="697"/>
    </row>
    <row r="352" spans="1:28" x14ac:dyDescent="0.2">
      <c r="A352" s="694" t="str">
        <f>+Info!$B$2</f>
        <v>724</v>
      </c>
      <c r="B352" s="694" t="s">
        <v>5378</v>
      </c>
      <c r="C352" s="694" t="s">
        <v>5379</v>
      </c>
      <c r="D352" s="695" t="s">
        <v>5380</v>
      </c>
      <c r="E352" s="696"/>
      <c r="F352" s="697"/>
      <c r="G352" s="697"/>
      <c r="H352" s="698"/>
      <c r="I352" s="697"/>
      <c r="J352" s="697"/>
      <c r="K352" s="697"/>
      <c r="L352" s="697"/>
      <c r="M352" s="697"/>
      <c r="N352" s="698"/>
      <c r="O352" s="697"/>
      <c r="P352" s="697"/>
      <c r="Q352" s="697"/>
      <c r="R352" s="697"/>
      <c r="S352" s="697"/>
      <c r="T352" s="697"/>
      <c r="U352" s="697"/>
      <c r="V352" s="698"/>
      <c r="W352" s="698"/>
      <c r="X352" s="697"/>
      <c r="Y352" s="697"/>
      <c r="Z352" s="697"/>
      <c r="AA352" s="697"/>
      <c r="AB352" s="697"/>
    </row>
    <row r="353" spans="1:28" x14ac:dyDescent="0.2">
      <c r="A353" s="694" t="str">
        <f>+Info!$B$2</f>
        <v>724</v>
      </c>
      <c r="B353" s="694" t="s">
        <v>5381</v>
      </c>
      <c r="C353" s="694" t="s">
        <v>4309</v>
      </c>
      <c r="D353" s="695" t="s">
        <v>5382</v>
      </c>
      <c r="E353" s="696"/>
      <c r="F353" s="697"/>
      <c r="G353" s="697"/>
      <c r="H353" s="698"/>
      <c r="I353" s="697"/>
      <c r="J353" s="697"/>
      <c r="K353" s="697"/>
      <c r="L353" s="697"/>
      <c r="M353" s="697"/>
      <c r="N353" s="698"/>
      <c r="O353" s="697"/>
      <c r="P353" s="697"/>
      <c r="Q353" s="697"/>
      <c r="R353" s="697"/>
      <c r="S353" s="697"/>
      <c r="T353" s="697"/>
      <c r="U353" s="697"/>
      <c r="V353" s="698"/>
      <c r="W353" s="698"/>
      <c r="X353" s="697"/>
      <c r="Y353" s="697"/>
      <c r="Z353" s="697"/>
      <c r="AA353" s="697"/>
      <c r="AB353" s="697"/>
    </row>
    <row r="354" spans="1:28" x14ac:dyDescent="0.2">
      <c r="A354" s="694" t="str">
        <f>+Info!$B$2</f>
        <v>724</v>
      </c>
      <c r="B354" s="694" t="s">
        <v>5383</v>
      </c>
      <c r="C354" s="694" t="s">
        <v>5384</v>
      </c>
      <c r="D354" s="695" t="s">
        <v>5385</v>
      </c>
      <c r="E354" s="696"/>
      <c r="F354" s="697"/>
      <c r="G354" s="697"/>
      <c r="H354" s="698"/>
      <c r="I354" s="697"/>
      <c r="J354" s="697"/>
      <c r="K354" s="697"/>
      <c r="L354" s="697"/>
      <c r="M354" s="697"/>
      <c r="N354" s="698"/>
      <c r="O354" s="697"/>
      <c r="P354" s="697"/>
      <c r="Q354" s="697"/>
      <c r="R354" s="697"/>
      <c r="S354" s="697"/>
      <c r="T354" s="697"/>
      <c r="U354" s="697"/>
      <c r="V354" s="698"/>
      <c r="W354" s="698"/>
      <c r="X354" s="697"/>
      <c r="Y354" s="697"/>
      <c r="Z354" s="697"/>
      <c r="AA354" s="697"/>
      <c r="AB354" s="697"/>
    </row>
    <row r="355" spans="1:28" x14ac:dyDescent="0.2">
      <c r="A355" s="694" t="str">
        <f>+Info!$B$2</f>
        <v>724</v>
      </c>
      <c r="B355" s="694" t="s">
        <v>5386</v>
      </c>
      <c r="C355" s="694" t="s">
        <v>5387</v>
      </c>
      <c r="D355" s="695" t="s">
        <v>5388</v>
      </c>
      <c r="E355" s="696"/>
      <c r="F355" s="697"/>
      <c r="G355" s="697"/>
      <c r="H355" s="698"/>
      <c r="I355" s="697"/>
      <c r="J355" s="697"/>
      <c r="K355" s="697"/>
      <c r="L355" s="697"/>
      <c r="M355" s="697"/>
      <c r="N355" s="698"/>
      <c r="O355" s="697"/>
      <c r="P355" s="697"/>
      <c r="Q355" s="697"/>
      <c r="R355" s="697"/>
      <c r="S355" s="697"/>
      <c r="T355" s="697"/>
      <c r="U355" s="697"/>
      <c r="V355" s="698"/>
      <c r="W355" s="698"/>
      <c r="X355" s="697"/>
      <c r="Y355" s="697"/>
      <c r="Z355" s="697"/>
      <c r="AA355" s="697"/>
      <c r="AB355" s="697"/>
    </row>
    <row r="356" spans="1:28" x14ac:dyDescent="0.2">
      <c r="A356" s="694" t="str">
        <f>+Info!$B$2</f>
        <v>724</v>
      </c>
      <c r="B356" s="694" t="s">
        <v>5389</v>
      </c>
      <c r="C356" s="694" t="s">
        <v>5390</v>
      </c>
      <c r="D356" s="695" t="s">
        <v>5391</v>
      </c>
      <c r="E356" s="696"/>
      <c r="F356" s="697"/>
      <c r="G356" s="697"/>
      <c r="H356" s="698"/>
      <c r="I356" s="697"/>
      <c r="J356" s="697"/>
      <c r="K356" s="697"/>
      <c r="L356" s="697"/>
      <c r="M356" s="697"/>
      <c r="N356" s="698"/>
      <c r="O356" s="697"/>
      <c r="P356" s="697"/>
      <c r="Q356" s="697"/>
      <c r="R356" s="697"/>
      <c r="S356" s="697"/>
      <c r="T356" s="697"/>
      <c r="U356" s="697"/>
      <c r="V356" s="698"/>
      <c r="W356" s="698"/>
      <c r="X356" s="697"/>
      <c r="Y356" s="697"/>
      <c r="Z356" s="697"/>
      <c r="AA356" s="697"/>
      <c r="AB356" s="697"/>
    </row>
    <row r="357" spans="1:28" x14ac:dyDescent="0.2">
      <c r="A357" s="694" t="str">
        <f>+Info!$B$2</f>
        <v>724</v>
      </c>
      <c r="B357" s="694" t="s">
        <v>5392</v>
      </c>
      <c r="C357" s="694" t="s">
        <v>5393</v>
      </c>
      <c r="D357" s="695" t="s">
        <v>5394</v>
      </c>
      <c r="E357" s="696"/>
      <c r="F357" s="697"/>
      <c r="G357" s="697"/>
      <c r="H357" s="698"/>
      <c r="I357" s="697"/>
      <c r="J357" s="697"/>
      <c r="K357" s="697"/>
      <c r="L357" s="697"/>
      <c r="M357" s="697"/>
      <c r="N357" s="698"/>
      <c r="O357" s="697"/>
      <c r="P357" s="697"/>
      <c r="Q357" s="697"/>
      <c r="R357" s="697"/>
      <c r="S357" s="697"/>
      <c r="T357" s="697"/>
      <c r="U357" s="697"/>
      <c r="V357" s="698"/>
      <c r="W357" s="698"/>
      <c r="X357" s="697"/>
      <c r="Y357" s="697"/>
      <c r="Z357" s="697"/>
      <c r="AA357" s="697"/>
      <c r="AB357" s="697"/>
    </row>
    <row r="358" spans="1:28" x14ac:dyDescent="0.2">
      <c r="A358" s="694" t="str">
        <f>+Info!$B$2</f>
        <v>724</v>
      </c>
      <c r="B358" s="694" t="s">
        <v>5395</v>
      </c>
      <c r="C358" s="694" t="s">
        <v>5396</v>
      </c>
      <c r="D358" s="695" t="s">
        <v>5397</v>
      </c>
      <c r="E358" s="696"/>
      <c r="F358" s="697"/>
      <c r="G358" s="697"/>
      <c r="H358" s="698"/>
      <c r="I358" s="697"/>
      <c r="J358" s="697"/>
      <c r="K358" s="697"/>
      <c r="L358" s="697"/>
      <c r="M358" s="697"/>
      <c r="N358" s="698"/>
      <c r="O358" s="697"/>
      <c r="P358" s="697"/>
      <c r="Q358" s="697"/>
      <c r="R358" s="697"/>
      <c r="S358" s="697"/>
      <c r="T358" s="697"/>
      <c r="U358" s="697"/>
      <c r="V358" s="698"/>
      <c r="W358" s="698"/>
      <c r="X358" s="697"/>
      <c r="Y358" s="697"/>
      <c r="Z358" s="697"/>
      <c r="AA358" s="697"/>
      <c r="AB358" s="697"/>
    </row>
    <row r="359" spans="1:28" x14ac:dyDescent="0.2">
      <c r="A359" s="694" t="str">
        <f>+Info!$B$2</f>
        <v>724</v>
      </c>
      <c r="B359" s="694" t="s">
        <v>5398</v>
      </c>
      <c r="C359" s="694" t="s">
        <v>5399</v>
      </c>
      <c r="D359" s="695" t="s">
        <v>5400</v>
      </c>
      <c r="E359" s="696"/>
      <c r="F359" s="697"/>
      <c r="G359" s="697"/>
      <c r="H359" s="698"/>
      <c r="I359" s="697"/>
      <c r="J359" s="697"/>
      <c r="K359" s="697"/>
      <c r="L359" s="697"/>
      <c r="M359" s="697"/>
      <c r="N359" s="698"/>
      <c r="O359" s="697"/>
      <c r="P359" s="697"/>
      <c r="Q359" s="697"/>
      <c r="R359" s="697"/>
      <c r="S359" s="697"/>
      <c r="T359" s="697"/>
      <c r="U359" s="697"/>
      <c r="V359" s="698"/>
      <c r="W359" s="698"/>
      <c r="X359" s="697"/>
      <c r="Y359" s="697"/>
      <c r="Z359" s="697"/>
      <c r="AA359" s="697"/>
      <c r="AB359" s="697"/>
    </row>
    <row r="360" spans="1:28" x14ac:dyDescent="0.2">
      <c r="A360" s="694" t="str">
        <f>+Info!$B$2</f>
        <v>724</v>
      </c>
      <c r="B360" s="694" t="s">
        <v>5401</v>
      </c>
      <c r="C360" s="694" t="s">
        <v>5402</v>
      </c>
      <c r="D360" s="695" t="s">
        <v>5403</v>
      </c>
      <c r="E360" s="696"/>
      <c r="F360" s="697"/>
      <c r="G360" s="697"/>
      <c r="H360" s="698"/>
      <c r="I360" s="697"/>
      <c r="J360" s="697"/>
      <c r="K360" s="697"/>
      <c r="L360" s="697"/>
      <c r="M360" s="697"/>
      <c r="N360" s="698"/>
      <c r="O360" s="697"/>
      <c r="P360" s="697"/>
      <c r="Q360" s="697"/>
      <c r="R360" s="697"/>
      <c r="S360" s="697"/>
      <c r="T360" s="697"/>
      <c r="U360" s="697"/>
      <c r="V360" s="698"/>
      <c r="W360" s="698"/>
      <c r="X360" s="697"/>
      <c r="Y360" s="697"/>
      <c r="Z360" s="697"/>
      <c r="AA360" s="697"/>
      <c r="AB360" s="697"/>
    </row>
    <row r="361" spans="1:28" x14ac:dyDescent="0.2">
      <c r="A361" s="694" t="str">
        <f>+Info!$B$2</f>
        <v>724</v>
      </c>
      <c r="B361" s="694" t="s">
        <v>5404</v>
      </c>
      <c r="C361" s="694" t="s">
        <v>5405</v>
      </c>
      <c r="D361" s="695" t="s">
        <v>5406</v>
      </c>
      <c r="E361" s="696"/>
      <c r="F361" s="697"/>
      <c r="G361" s="697"/>
      <c r="H361" s="698"/>
      <c r="I361" s="697"/>
      <c r="J361" s="697"/>
      <c r="K361" s="697"/>
      <c r="L361" s="697"/>
      <c r="M361" s="697"/>
      <c r="N361" s="698"/>
      <c r="O361" s="697"/>
      <c r="P361" s="697"/>
      <c r="Q361" s="697"/>
      <c r="R361" s="697"/>
      <c r="S361" s="697"/>
      <c r="T361" s="697"/>
      <c r="U361" s="697"/>
      <c r="V361" s="698"/>
      <c r="W361" s="698"/>
      <c r="X361" s="697"/>
      <c r="Y361" s="697"/>
      <c r="Z361" s="697"/>
      <c r="AA361" s="697"/>
      <c r="AB361" s="697"/>
    </row>
    <row r="362" spans="1:28" x14ac:dyDescent="0.2">
      <c r="A362" s="694" t="str">
        <f>+Info!$B$2</f>
        <v>724</v>
      </c>
      <c r="B362" s="694" t="s">
        <v>5407</v>
      </c>
      <c r="C362" s="694" t="s">
        <v>5408</v>
      </c>
      <c r="D362" s="695" t="s">
        <v>5409</v>
      </c>
      <c r="E362" s="696"/>
      <c r="F362" s="697"/>
      <c r="G362" s="697"/>
      <c r="H362" s="698"/>
      <c r="I362" s="697"/>
      <c r="J362" s="697"/>
      <c r="K362" s="697"/>
      <c r="L362" s="697"/>
      <c r="M362" s="697"/>
      <c r="N362" s="698"/>
      <c r="O362" s="697"/>
      <c r="P362" s="697"/>
      <c r="Q362" s="697"/>
      <c r="R362" s="697"/>
      <c r="S362" s="697"/>
      <c r="T362" s="697"/>
      <c r="U362" s="697"/>
      <c r="V362" s="698"/>
      <c r="W362" s="698"/>
      <c r="X362" s="697"/>
      <c r="Y362" s="697"/>
      <c r="Z362" s="697"/>
      <c r="AA362" s="697"/>
      <c r="AB362" s="697"/>
    </row>
    <row r="363" spans="1:28" x14ac:dyDescent="0.2">
      <c r="A363" s="694" t="str">
        <f>+Info!$B$2</f>
        <v>724</v>
      </c>
      <c r="B363" s="694" t="s">
        <v>5410</v>
      </c>
      <c r="C363" s="694" t="s">
        <v>5411</v>
      </c>
      <c r="D363" s="695" t="s">
        <v>5412</v>
      </c>
      <c r="E363" s="696"/>
      <c r="F363" s="697"/>
      <c r="G363" s="697"/>
      <c r="H363" s="698"/>
      <c r="I363" s="697"/>
      <c r="J363" s="697"/>
      <c r="K363" s="697"/>
      <c r="L363" s="697"/>
      <c r="M363" s="697"/>
      <c r="N363" s="698"/>
      <c r="O363" s="697"/>
      <c r="P363" s="697"/>
      <c r="Q363" s="697"/>
      <c r="R363" s="697"/>
      <c r="S363" s="697"/>
      <c r="T363" s="697"/>
      <c r="U363" s="697"/>
      <c r="V363" s="698"/>
      <c r="W363" s="698"/>
      <c r="X363" s="697"/>
      <c r="Y363" s="697"/>
      <c r="Z363" s="697"/>
      <c r="AA363" s="697"/>
      <c r="AB363" s="697"/>
    </row>
    <row r="364" spans="1:28" x14ac:dyDescent="0.2">
      <c r="A364" s="694" t="str">
        <f>+Info!$B$2</f>
        <v>724</v>
      </c>
      <c r="B364" s="694" t="s">
        <v>5413</v>
      </c>
      <c r="C364" s="694" t="s">
        <v>5414</v>
      </c>
      <c r="D364" s="695" t="s">
        <v>5415</v>
      </c>
      <c r="E364" s="696"/>
      <c r="F364" s="697"/>
      <c r="G364" s="697"/>
      <c r="H364" s="698"/>
      <c r="I364" s="697"/>
      <c r="J364" s="697"/>
      <c r="K364" s="697"/>
      <c r="L364" s="697"/>
      <c r="M364" s="697"/>
      <c r="N364" s="698"/>
      <c r="O364" s="697"/>
      <c r="P364" s="697"/>
      <c r="Q364" s="697"/>
      <c r="R364" s="697"/>
      <c r="S364" s="697"/>
      <c r="T364" s="697"/>
      <c r="U364" s="697"/>
      <c r="V364" s="698"/>
      <c r="W364" s="698"/>
      <c r="X364" s="697"/>
      <c r="Y364" s="697"/>
      <c r="Z364" s="697"/>
      <c r="AA364" s="697"/>
      <c r="AB364" s="697"/>
    </row>
    <row r="365" spans="1:28" x14ac:dyDescent="0.2">
      <c r="A365" s="694" t="str">
        <f>+Info!$B$2</f>
        <v>724</v>
      </c>
      <c r="B365" s="694" t="s">
        <v>5416</v>
      </c>
      <c r="C365" s="694" t="s">
        <v>5417</v>
      </c>
      <c r="D365" s="695" t="s">
        <v>5418</v>
      </c>
      <c r="E365" s="696"/>
      <c r="F365" s="697"/>
      <c r="G365" s="697"/>
      <c r="H365" s="698"/>
      <c r="I365" s="697"/>
      <c r="J365" s="697"/>
      <c r="K365" s="697"/>
      <c r="L365" s="697"/>
      <c r="M365" s="697"/>
      <c r="N365" s="698"/>
      <c r="O365" s="697"/>
      <c r="P365" s="697"/>
      <c r="Q365" s="697"/>
      <c r="R365" s="697"/>
      <c r="S365" s="697"/>
      <c r="T365" s="697"/>
      <c r="U365" s="697"/>
      <c r="V365" s="698"/>
      <c r="W365" s="698"/>
      <c r="X365" s="697"/>
      <c r="Y365" s="697"/>
      <c r="Z365" s="697"/>
      <c r="AA365" s="697"/>
      <c r="AB365" s="697"/>
    </row>
    <row r="366" spans="1:28" x14ac:dyDescent="0.2">
      <c r="A366" s="694" t="str">
        <f>+Info!$B$2</f>
        <v>724</v>
      </c>
      <c r="B366" s="694" t="s">
        <v>5419</v>
      </c>
      <c r="C366" s="694" t="s">
        <v>5420</v>
      </c>
      <c r="D366" s="695" t="s">
        <v>5421</v>
      </c>
      <c r="E366" s="696"/>
      <c r="F366" s="697"/>
      <c r="G366" s="697"/>
      <c r="H366" s="698"/>
      <c r="I366" s="697"/>
      <c r="J366" s="697"/>
      <c r="K366" s="697"/>
      <c r="L366" s="697"/>
      <c r="M366" s="697"/>
      <c r="N366" s="698"/>
      <c r="O366" s="697"/>
      <c r="P366" s="697"/>
      <c r="Q366" s="697"/>
      <c r="R366" s="697"/>
      <c r="S366" s="697"/>
      <c r="T366" s="697"/>
      <c r="U366" s="697"/>
      <c r="V366" s="698"/>
      <c r="W366" s="698"/>
      <c r="X366" s="697"/>
      <c r="Y366" s="697"/>
      <c r="Z366" s="697"/>
      <c r="AA366" s="697"/>
      <c r="AB366" s="697"/>
    </row>
    <row r="367" spans="1:28" ht="15" x14ac:dyDescent="0.25">
      <c r="A367" s="691" t="str">
        <f>+Info!$B$2</f>
        <v>724</v>
      </c>
      <c r="B367" s="691" t="s">
        <v>5422</v>
      </c>
      <c r="C367" s="691" t="s">
        <v>5423</v>
      </c>
      <c r="D367" s="692" t="s">
        <v>5424</v>
      </c>
      <c r="E367" s="693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</row>
    <row r="368" spans="1:28" x14ac:dyDescent="0.2">
      <c r="A368" s="694" t="str">
        <f>+Info!$B$2</f>
        <v>724</v>
      </c>
      <c r="B368" s="694" t="s">
        <v>5425</v>
      </c>
      <c r="C368" s="694" t="s">
        <v>5426</v>
      </c>
      <c r="D368" s="695" t="s">
        <v>5427</v>
      </c>
      <c r="E368" s="696"/>
      <c r="F368" s="697"/>
      <c r="G368" s="697"/>
      <c r="H368" s="698"/>
      <c r="I368" s="697"/>
      <c r="J368" s="697"/>
      <c r="K368" s="697"/>
      <c r="L368" s="697"/>
      <c r="M368" s="697"/>
      <c r="N368" s="698"/>
      <c r="O368" s="697"/>
      <c r="P368" s="697"/>
      <c r="Q368" s="697"/>
      <c r="R368" s="697"/>
      <c r="S368" s="697"/>
      <c r="T368" s="697"/>
      <c r="U368" s="697"/>
      <c r="V368" s="698"/>
      <c r="W368" s="698"/>
      <c r="X368" s="697"/>
      <c r="Y368" s="697"/>
      <c r="Z368" s="697"/>
      <c r="AA368" s="697"/>
      <c r="AB368" s="697"/>
    </row>
    <row r="369" spans="1:28" x14ac:dyDescent="0.2">
      <c r="A369" s="694" t="str">
        <f>+Info!$B$2</f>
        <v>724</v>
      </c>
      <c r="B369" s="694" t="s">
        <v>5428</v>
      </c>
      <c r="C369" s="694" t="s">
        <v>5429</v>
      </c>
      <c r="D369" s="695" t="s">
        <v>5430</v>
      </c>
      <c r="E369" s="696"/>
      <c r="F369" s="697"/>
      <c r="G369" s="697"/>
      <c r="H369" s="698"/>
      <c r="I369" s="697"/>
      <c r="J369" s="697"/>
      <c r="K369" s="697"/>
      <c r="L369" s="697"/>
      <c r="M369" s="697"/>
      <c r="N369" s="698"/>
      <c r="O369" s="697"/>
      <c r="P369" s="697"/>
      <c r="Q369" s="697"/>
      <c r="R369" s="697"/>
      <c r="S369" s="697"/>
      <c r="T369" s="697"/>
      <c r="U369" s="697"/>
      <c r="V369" s="698"/>
      <c r="W369" s="698"/>
      <c r="X369" s="697"/>
      <c r="Y369" s="697"/>
      <c r="Z369" s="697"/>
      <c r="AA369" s="697"/>
      <c r="AB369" s="697"/>
    </row>
    <row r="370" spans="1:28" x14ac:dyDescent="0.2">
      <c r="A370" s="694" t="str">
        <f>+Info!$B$2</f>
        <v>724</v>
      </c>
      <c r="B370" s="694" t="s">
        <v>5431</v>
      </c>
      <c r="C370" s="694" t="s">
        <v>5432</v>
      </c>
      <c r="D370" s="695" t="s">
        <v>5433</v>
      </c>
      <c r="E370" s="696"/>
      <c r="F370" s="697"/>
      <c r="G370" s="697"/>
      <c r="H370" s="698"/>
      <c r="I370" s="697"/>
      <c r="J370" s="697"/>
      <c r="K370" s="697"/>
      <c r="L370" s="697"/>
      <c r="M370" s="697"/>
      <c r="N370" s="698"/>
      <c r="O370" s="697"/>
      <c r="P370" s="697"/>
      <c r="Q370" s="697"/>
      <c r="R370" s="697"/>
      <c r="S370" s="697"/>
      <c r="T370" s="697"/>
      <c r="U370" s="697"/>
      <c r="V370" s="698"/>
      <c r="W370" s="698"/>
      <c r="X370" s="697"/>
      <c r="Y370" s="697"/>
      <c r="Z370" s="697"/>
      <c r="AA370" s="697"/>
      <c r="AB370" s="697"/>
    </row>
    <row r="371" spans="1:28" x14ac:dyDescent="0.2">
      <c r="A371" s="694" t="str">
        <f>+Info!$B$2</f>
        <v>724</v>
      </c>
      <c r="B371" s="694" t="s">
        <v>5434</v>
      </c>
      <c r="C371" s="694" t="s">
        <v>5435</v>
      </c>
      <c r="D371" s="695" t="s">
        <v>5436</v>
      </c>
      <c r="E371" s="696"/>
      <c r="F371" s="697"/>
      <c r="G371" s="697"/>
      <c r="H371" s="698"/>
      <c r="I371" s="697"/>
      <c r="J371" s="697"/>
      <c r="K371" s="697"/>
      <c r="L371" s="697"/>
      <c r="M371" s="697"/>
      <c r="N371" s="698"/>
      <c r="O371" s="697"/>
      <c r="P371" s="697"/>
      <c r="Q371" s="697"/>
      <c r="R371" s="697"/>
      <c r="S371" s="697"/>
      <c r="T371" s="697"/>
      <c r="U371" s="697"/>
      <c r="V371" s="698"/>
      <c r="W371" s="698"/>
      <c r="X371" s="697"/>
      <c r="Y371" s="697"/>
      <c r="Z371" s="697"/>
      <c r="AA371" s="697"/>
      <c r="AB371" s="697"/>
    </row>
    <row r="372" spans="1:28" x14ac:dyDescent="0.2">
      <c r="A372" s="694" t="str">
        <f>+Info!$B$2</f>
        <v>724</v>
      </c>
      <c r="B372" s="694" t="s">
        <v>5437</v>
      </c>
      <c r="C372" s="694" t="s">
        <v>5438</v>
      </c>
      <c r="D372" s="695" t="s">
        <v>5439</v>
      </c>
      <c r="E372" s="696"/>
      <c r="F372" s="697"/>
      <c r="G372" s="697"/>
      <c r="H372" s="698"/>
      <c r="I372" s="697"/>
      <c r="J372" s="697"/>
      <c r="K372" s="698"/>
      <c r="L372" s="698"/>
      <c r="M372" s="698"/>
      <c r="N372" s="698"/>
      <c r="O372" s="697"/>
      <c r="P372" s="697"/>
      <c r="Q372" s="697"/>
      <c r="R372" s="697"/>
      <c r="S372" s="697"/>
      <c r="T372" s="697"/>
      <c r="U372" s="697"/>
      <c r="V372" s="698"/>
      <c r="W372" s="698"/>
      <c r="X372" s="697"/>
      <c r="Y372" s="697"/>
      <c r="Z372" s="697"/>
      <c r="AA372" s="697"/>
      <c r="AB372" s="697"/>
    </row>
    <row r="373" spans="1:28" x14ac:dyDescent="0.2">
      <c r="A373" s="694" t="str">
        <f>+Info!$B$2</f>
        <v>724</v>
      </c>
      <c r="B373" s="694" t="s">
        <v>5440</v>
      </c>
      <c r="C373" s="694" t="s">
        <v>5441</v>
      </c>
      <c r="D373" s="695" t="s">
        <v>5442</v>
      </c>
      <c r="E373" s="696"/>
      <c r="F373" s="697"/>
      <c r="G373" s="697"/>
      <c r="H373" s="698"/>
      <c r="I373" s="697"/>
      <c r="J373" s="697"/>
      <c r="K373" s="697"/>
      <c r="L373" s="697"/>
      <c r="M373" s="697"/>
      <c r="N373" s="698"/>
      <c r="O373" s="697"/>
      <c r="P373" s="697"/>
      <c r="Q373" s="697"/>
      <c r="R373" s="697"/>
      <c r="S373" s="697"/>
      <c r="T373" s="697"/>
      <c r="U373" s="697"/>
      <c r="V373" s="698"/>
      <c r="W373" s="698"/>
      <c r="X373" s="697"/>
      <c r="Y373" s="697"/>
      <c r="Z373" s="697"/>
      <c r="AA373" s="697"/>
      <c r="AB373" s="697"/>
    </row>
    <row r="374" spans="1:28" x14ac:dyDescent="0.2">
      <c r="A374" s="694" t="str">
        <f>+Info!$B$2</f>
        <v>724</v>
      </c>
      <c r="B374" s="694" t="s">
        <v>5443</v>
      </c>
      <c r="C374" s="694" t="s">
        <v>5444</v>
      </c>
      <c r="D374" s="695" t="s">
        <v>5445</v>
      </c>
      <c r="E374" s="696"/>
      <c r="F374" s="697"/>
      <c r="G374" s="697"/>
      <c r="H374" s="698"/>
      <c r="I374" s="697"/>
      <c r="J374" s="697"/>
      <c r="K374" s="697"/>
      <c r="L374" s="697"/>
      <c r="M374" s="697"/>
      <c r="N374" s="698"/>
      <c r="O374" s="697"/>
      <c r="P374" s="697"/>
      <c r="Q374" s="697"/>
      <c r="R374" s="697"/>
      <c r="S374" s="697"/>
      <c r="T374" s="697"/>
      <c r="U374" s="697"/>
      <c r="V374" s="698"/>
      <c r="W374" s="698"/>
      <c r="X374" s="697"/>
      <c r="Y374" s="697"/>
      <c r="Z374" s="697"/>
      <c r="AA374" s="697"/>
      <c r="AB374" s="697"/>
    </row>
    <row r="375" spans="1:28" x14ac:dyDescent="0.2">
      <c r="A375" s="694" t="str">
        <f>+Info!$B$2</f>
        <v>724</v>
      </c>
      <c r="B375" s="694" t="s">
        <v>5446</v>
      </c>
      <c r="C375" s="694" t="s">
        <v>5447</v>
      </c>
      <c r="D375" s="695" t="s">
        <v>5448</v>
      </c>
      <c r="E375" s="696"/>
      <c r="F375" s="697"/>
      <c r="G375" s="697"/>
      <c r="H375" s="698"/>
      <c r="I375" s="697"/>
      <c r="J375" s="697"/>
      <c r="K375" s="697"/>
      <c r="L375" s="697"/>
      <c r="M375" s="697"/>
      <c r="N375" s="698"/>
      <c r="O375" s="697"/>
      <c r="P375" s="697"/>
      <c r="Q375" s="697"/>
      <c r="R375" s="697"/>
      <c r="S375" s="697"/>
      <c r="T375" s="697"/>
      <c r="U375" s="697"/>
      <c r="V375" s="698"/>
      <c r="W375" s="698"/>
      <c r="X375" s="697"/>
      <c r="Y375" s="697"/>
      <c r="Z375" s="697"/>
      <c r="AA375" s="697"/>
      <c r="AB375" s="697"/>
    </row>
    <row r="376" spans="1:28" x14ac:dyDescent="0.2">
      <c r="A376" s="694" t="str">
        <f>+Info!$B$2</f>
        <v>724</v>
      </c>
      <c r="B376" s="694" t="s">
        <v>5449</v>
      </c>
      <c r="C376" s="694" t="s">
        <v>5450</v>
      </c>
      <c r="D376" s="695" t="s">
        <v>5451</v>
      </c>
      <c r="E376" s="696"/>
      <c r="F376" s="697"/>
      <c r="G376" s="697"/>
      <c r="H376" s="698"/>
      <c r="I376" s="698"/>
      <c r="J376" s="697"/>
      <c r="K376" s="697"/>
      <c r="L376" s="697"/>
      <c r="M376" s="697"/>
      <c r="N376" s="698"/>
      <c r="O376" s="697"/>
      <c r="P376" s="697"/>
      <c r="Q376" s="697"/>
      <c r="R376" s="697"/>
      <c r="S376" s="697"/>
      <c r="T376" s="697"/>
      <c r="U376" s="697"/>
      <c r="V376" s="698"/>
      <c r="W376" s="698"/>
      <c r="X376" s="697"/>
      <c r="Y376" s="697"/>
      <c r="Z376" s="697"/>
      <c r="AA376" s="697"/>
      <c r="AB376" s="697"/>
    </row>
    <row r="377" spans="1:28" x14ac:dyDescent="0.2">
      <c r="A377" s="694" t="str">
        <f>+Info!$B$2</f>
        <v>724</v>
      </c>
      <c r="B377" s="694" t="s">
        <v>5452</v>
      </c>
      <c r="C377" s="694" t="s">
        <v>5453</v>
      </c>
      <c r="D377" s="695" t="s">
        <v>5454</v>
      </c>
      <c r="E377" s="696"/>
      <c r="F377" s="697"/>
      <c r="G377" s="697"/>
      <c r="H377" s="698"/>
      <c r="I377" s="697"/>
      <c r="J377" s="697"/>
      <c r="K377" s="697"/>
      <c r="L377" s="697"/>
      <c r="M377" s="697"/>
      <c r="N377" s="698"/>
      <c r="O377" s="697"/>
      <c r="P377" s="697"/>
      <c r="Q377" s="697"/>
      <c r="R377" s="697"/>
      <c r="S377" s="697"/>
      <c r="T377" s="697"/>
      <c r="U377" s="697"/>
      <c r="V377" s="698"/>
      <c r="W377" s="698"/>
      <c r="X377" s="697"/>
      <c r="Y377" s="697"/>
      <c r="Z377" s="697"/>
      <c r="AA377" s="697"/>
      <c r="AB377" s="697"/>
    </row>
    <row r="378" spans="1:28" x14ac:dyDescent="0.2">
      <c r="A378" s="694" t="str">
        <f>+Info!$B$2</f>
        <v>724</v>
      </c>
      <c r="B378" s="694" t="s">
        <v>5455</v>
      </c>
      <c r="C378" s="694" t="s">
        <v>5456</v>
      </c>
      <c r="D378" s="695" t="s">
        <v>5457</v>
      </c>
      <c r="E378" s="696"/>
      <c r="F378" s="697"/>
      <c r="G378" s="697"/>
      <c r="H378" s="698"/>
      <c r="I378" s="697"/>
      <c r="J378" s="697"/>
      <c r="K378" s="697"/>
      <c r="L378" s="697"/>
      <c r="M378" s="697"/>
      <c r="N378" s="698"/>
      <c r="O378" s="697"/>
      <c r="P378" s="697"/>
      <c r="Q378" s="697"/>
      <c r="R378" s="697"/>
      <c r="S378" s="697"/>
      <c r="T378" s="697"/>
      <c r="U378" s="697"/>
      <c r="V378" s="698"/>
      <c r="W378" s="698"/>
      <c r="X378" s="697"/>
      <c r="Y378" s="697"/>
      <c r="Z378" s="697"/>
      <c r="AA378" s="697"/>
      <c r="AB378" s="697"/>
    </row>
    <row r="379" spans="1:28" x14ac:dyDescent="0.2">
      <c r="A379" s="694" t="str">
        <f>+Info!$B$2</f>
        <v>724</v>
      </c>
      <c r="B379" s="694" t="s">
        <v>5458</v>
      </c>
      <c r="C379" s="694" t="s">
        <v>5459</v>
      </c>
      <c r="D379" s="695" t="s">
        <v>5460</v>
      </c>
      <c r="E379" s="696"/>
      <c r="F379" s="697"/>
      <c r="G379" s="697"/>
      <c r="H379" s="698"/>
      <c r="I379" s="697"/>
      <c r="J379" s="697"/>
      <c r="K379" s="697"/>
      <c r="L379" s="697"/>
      <c r="M379" s="697"/>
      <c r="N379" s="698"/>
      <c r="O379" s="697"/>
      <c r="P379" s="697"/>
      <c r="Q379" s="697"/>
      <c r="R379" s="697"/>
      <c r="S379" s="697"/>
      <c r="T379" s="697"/>
      <c r="U379" s="697"/>
      <c r="V379" s="698"/>
      <c r="W379" s="698"/>
      <c r="X379" s="697"/>
      <c r="Y379" s="697"/>
      <c r="Z379" s="697"/>
      <c r="AA379" s="697"/>
      <c r="AB379" s="697"/>
    </row>
    <row r="380" spans="1:28" x14ac:dyDescent="0.2">
      <c r="A380" s="694" t="str">
        <f>+Info!$B$2</f>
        <v>724</v>
      </c>
      <c r="B380" s="694" t="s">
        <v>5461</v>
      </c>
      <c r="C380" s="694" t="s">
        <v>5462</v>
      </c>
      <c r="D380" s="695" t="s">
        <v>5463</v>
      </c>
      <c r="E380" s="696"/>
      <c r="F380" s="697"/>
      <c r="G380" s="697"/>
      <c r="H380" s="698"/>
      <c r="I380" s="698"/>
      <c r="J380" s="697"/>
      <c r="K380" s="697"/>
      <c r="L380" s="697"/>
      <c r="M380" s="697"/>
      <c r="N380" s="698"/>
      <c r="O380" s="697"/>
      <c r="P380" s="697"/>
      <c r="Q380" s="697"/>
      <c r="R380" s="697"/>
      <c r="S380" s="697"/>
      <c r="T380" s="697"/>
      <c r="U380" s="697"/>
      <c r="V380" s="698"/>
      <c r="W380" s="698"/>
      <c r="X380" s="697"/>
      <c r="Y380" s="697"/>
      <c r="Z380" s="697"/>
      <c r="AA380" s="697"/>
      <c r="AB380" s="697"/>
    </row>
    <row r="381" spans="1:28" ht="25.5" x14ac:dyDescent="0.2">
      <c r="A381" s="694" t="str">
        <f>+Info!$B$2</f>
        <v>724</v>
      </c>
      <c r="B381" s="694" t="s">
        <v>5464</v>
      </c>
      <c r="C381" s="694" t="s">
        <v>5465</v>
      </c>
      <c r="D381" s="695" t="s">
        <v>5466</v>
      </c>
      <c r="E381" s="696"/>
      <c r="F381" s="697"/>
      <c r="G381" s="697"/>
      <c r="H381" s="698"/>
      <c r="I381" s="698"/>
      <c r="J381" s="697"/>
      <c r="K381" s="697"/>
      <c r="L381" s="697"/>
      <c r="M381" s="697"/>
      <c r="N381" s="698"/>
      <c r="O381" s="697"/>
      <c r="P381" s="697"/>
      <c r="Q381" s="697"/>
      <c r="R381" s="697"/>
      <c r="S381" s="697"/>
      <c r="T381" s="697"/>
      <c r="U381" s="697"/>
      <c r="V381" s="698"/>
      <c r="W381" s="698"/>
      <c r="X381" s="697"/>
      <c r="Y381" s="697"/>
      <c r="Z381" s="697"/>
      <c r="AA381" s="697"/>
      <c r="AB381" s="697"/>
    </row>
    <row r="382" spans="1:28" ht="25.5" x14ac:dyDescent="0.2">
      <c r="A382" s="694" t="str">
        <f>+Info!$B$2</f>
        <v>724</v>
      </c>
      <c r="B382" s="694" t="s">
        <v>5467</v>
      </c>
      <c r="C382" s="694" t="s">
        <v>5468</v>
      </c>
      <c r="D382" s="695" t="s">
        <v>5469</v>
      </c>
      <c r="E382" s="696"/>
      <c r="F382" s="697"/>
      <c r="G382" s="697"/>
      <c r="H382" s="698"/>
      <c r="I382" s="698"/>
      <c r="J382" s="697"/>
      <c r="K382" s="697"/>
      <c r="L382" s="697"/>
      <c r="M382" s="697"/>
      <c r="N382" s="698"/>
      <c r="O382" s="697"/>
      <c r="P382" s="697"/>
      <c r="Q382" s="697"/>
      <c r="R382" s="697"/>
      <c r="S382" s="697"/>
      <c r="T382" s="697"/>
      <c r="U382" s="697"/>
      <c r="V382" s="698"/>
      <c r="W382" s="698"/>
      <c r="X382" s="697"/>
      <c r="Y382" s="697"/>
      <c r="Z382" s="697"/>
      <c r="AA382" s="697"/>
      <c r="AB382" s="697"/>
    </row>
    <row r="383" spans="1:28" ht="25.5" x14ac:dyDescent="0.2">
      <c r="A383" s="694" t="str">
        <f>+Info!$B$2</f>
        <v>724</v>
      </c>
      <c r="B383" s="694" t="s">
        <v>5470</v>
      </c>
      <c r="C383" s="694" t="s">
        <v>5471</v>
      </c>
      <c r="D383" s="695" t="s">
        <v>5472</v>
      </c>
      <c r="E383" s="696"/>
      <c r="F383" s="697"/>
      <c r="G383" s="697"/>
      <c r="H383" s="698"/>
      <c r="I383" s="698"/>
      <c r="J383" s="697"/>
      <c r="K383" s="697"/>
      <c r="L383" s="697"/>
      <c r="M383" s="697"/>
      <c r="N383" s="698"/>
      <c r="O383" s="697"/>
      <c r="P383" s="697"/>
      <c r="Q383" s="697"/>
      <c r="R383" s="697"/>
      <c r="S383" s="697"/>
      <c r="T383" s="697"/>
      <c r="U383" s="697"/>
      <c r="V383" s="698"/>
      <c r="W383" s="698"/>
      <c r="X383" s="697"/>
      <c r="Y383" s="697"/>
      <c r="Z383" s="697"/>
      <c r="AA383" s="697"/>
      <c r="AB383" s="697"/>
    </row>
    <row r="384" spans="1:28" x14ac:dyDescent="0.2">
      <c r="A384" s="694" t="str">
        <f>+Info!$B$2</f>
        <v>724</v>
      </c>
      <c r="B384" s="694" t="s">
        <v>5473</v>
      </c>
      <c r="C384" s="694" t="s">
        <v>5474</v>
      </c>
      <c r="D384" s="695" t="s">
        <v>5475</v>
      </c>
      <c r="E384" s="696"/>
      <c r="F384" s="697"/>
      <c r="G384" s="697"/>
      <c r="H384" s="698"/>
      <c r="I384" s="698"/>
      <c r="J384" s="697"/>
      <c r="K384" s="697"/>
      <c r="L384" s="697"/>
      <c r="M384" s="697"/>
      <c r="N384" s="698"/>
      <c r="O384" s="697"/>
      <c r="P384" s="697"/>
      <c r="Q384" s="697"/>
      <c r="R384" s="697"/>
      <c r="S384" s="697"/>
      <c r="T384" s="697"/>
      <c r="U384" s="697"/>
      <c r="V384" s="698"/>
      <c r="W384" s="698"/>
      <c r="X384" s="697"/>
      <c r="Y384" s="697"/>
      <c r="Z384" s="697"/>
      <c r="AA384" s="697"/>
      <c r="AB384" s="697"/>
    </row>
    <row r="385" spans="1:28" ht="15" x14ac:dyDescent="0.25">
      <c r="A385" s="691" t="str">
        <f>+Info!$B$2</f>
        <v>724</v>
      </c>
      <c r="B385" s="691" t="s">
        <v>5476</v>
      </c>
      <c r="C385" s="691" t="s">
        <v>5477</v>
      </c>
      <c r="D385" s="692" t="s">
        <v>5478</v>
      </c>
      <c r="E385" s="693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</row>
    <row r="386" spans="1:28" x14ac:dyDescent="0.2">
      <c r="A386" s="694" t="str">
        <f>+Info!$B$2</f>
        <v>724</v>
      </c>
      <c r="B386" s="694" t="s">
        <v>5479</v>
      </c>
      <c r="C386" s="694" t="s">
        <v>5480</v>
      </c>
      <c r="D386" s="695" t="s">
        <v>5481</v>
      </c>
      <c r="E386" s="696"/>
      <c r="F386" s="697"/>
      <c r="G386" s="697"/>
      <c r="H386" s="698"/>
      <c r="I386" s="697"/>
      <c r="J386" s="697"/>
      <c r="K386" s="697"/>
      <c r="L386" s="697"/>
      <c r="M386" s="697"/>
      <c r="N386" s="698"/>
      <c r="O386" s="697"/>
      <c r="P386" s="697"/>
      <c r="Q386" s="697"/>
      <c r="R386" s="697"/>
      <c r="S386" s="697"/>
      <c r="T386" s="697"/>
      <c r="U386" s="697"/>
      <c r="V386" s="698"/>
      <c r="W386" s="698"/>
      <c r="X386" s="697"/>
      <c r="Y386" s="697"/>
      <c r="Z386" s="697"/>
      <c r="AA386" s="697"/>
      <c r="AB386" s="697"/>
    </row>
    <row r="387" spans="1:28" x14ac:dyDescent="0.2">
      <c r="A387" s="694" t="str">
        <f>+Info!$B$2</f>
        <v>724</v>
      </c>
      <c r="B387" s="694" t="s">
        <v>5482</v>
      </c>
      <c r="C387" s="694" t="s">
        <v>5483</v>
      </c>
      <c r="D387" s="695" t="s">
        <v>5484</v>
      </c>
      <c r="E387" s="696"/>
      <c r="F387" s="697"/>
      <c r="G387" s="697"/>
      <c r="H387" s="698"/>
      <c r="I387" s="697"/>
      <c r="J387" s="697"/>
      <c r="K387" s="697"/>
      <c r="L387" s="697"/>
      <c r="M387" s="697"/>
      <c r="N387" s="698"/>
      <c r="O387" s="697"/>
      <c r="P387" s="697"/>
      <c r="Q387" s="697"/>
      <c r="R387" s="697"/>
      <c r="S387" s="697"/>
      <c r="T387" s="697"/>
      <c r="U387" s="697"/>
      <c r="V387" s="698"/>
      <c r="W387" s="698"/>
      <c r="X387" s="697"/>
      <c r="Y387" s="697"/>
      <c r="Z387" s="697"/>
      <c r="AA387" s="697"/>
      <c r="AB387" s="697"/>
    </row>
    <row r="388" spans="1:28" x14ac:dyDescent="0.2">
      <c r="A388" s="694" t="str">
        <f>+Info!$B$2</f>
        <v>724</v>
      </c>
      <c r="B388" s="694" t="s">
        <v>5485</v>
      </c>
      <c r="C388" s="694" t="s">
        <v>5486</v>
      </c>
      <c r="D388" s="695" t="s">
        <v>5487</v>
      </c>
      <c r="E388" s="696"/>
      <c r="F388" s="697"/>
      <c r="G388" s="697"/>
      <c r="H388" s="698"/>
      <c r="I388" s="697"/>
      <c r="J388" s="697"/>
      <c r="K388" s="697"/>
      <c r="L388" s="697"/>
      <c r="M388" s="697"/>
      <c r="N388" s="698"/>
      <c r="O388" s="697"/>
      <c r="P388" s="697"/>
      <c r="Q388" s="697"/>
      <c r="R388" s="697"/>
      <c r="S388" s="697"/>
      <c r="T388" s="697"/>
      <c r="U388" s="697"/>
      <c r="V388" s="698"/>
      <c r="W388" s="698"/>
      <c r="X388" s="697"/>
      <c r="Y388" s="697"/>
      <c r="Z388" s="697"/>
      <c r="AA388" s="697"/>
      <c r="AB388" s="697"/>
    </row>
    <row r="389" spans="1:28" x14ac:dyDescent="0.2">
      <c r="A389" s="694" t="str">
        <f>+Info!$B$2</f>
        <v>724</v>
      </c>
      <c r="B389" s="694" t="s">
        <v>5488</v>
      </c>
      <c r="C389" s="694" t="s">
        <v>5489</v>
      </c>
      <c r="D389" s="695" t="s">
        <v>5490</v>
      </c>
      <c r="E389" s="696"/>
      <c r="F389" s="697"/>
      <c r="G389" s="697"/>
      <c r="H389" s="698"/>
      <c r="I389" s="697"/>
      <c r="J389" s="697"/>
      <c r="K389" s="697"/>
      <c r="L389" s="697"/>
      <c r="M389" s="697"/>
      <c r="N389" s="698"/>
      <c r="O389" s="697"/>
      <c r="P389" s="697"/>
      <c r="Q389" s="697"/>
      <c r="R389" s="697"/>
      <c r="S389" s="697"/>
      <c r="T389" s="697"/>
      <c r="U389" s="697"/>
      <c r="V389" s="698"/>
      <c r="W389" s="698"/>
      <c r="X389" s="697"/>
      <c r="Y389" s="697"/>
      <c r="Z389" s="697"/>
      <c r="AA389" s="697"/>
      <c r="AB389" s="697"/>
    </row>
    <row r="390" spans="1:28" ht="15" x14ac:dyDescent="0.25">
      <c r="A390" s="691" t="str">
        <f>+Info!$B$2</f>
        <v>724</v>
      </c>
      <c r="B390" s="691" t="s">
        <v>5491</v>
      </c>
      <c r="C390" s="691" t="s">
        <v>5492</v>
      </c>
      <c r="D390" s="692" t="s">
        <v>5493</v>
      </c>
      <c r="E390" s="693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</row>
    <row r="391" spans="1:28" x14ac:dyDescent="0.2">
      <c r="A391" s="694" t="str">
        <f>+Info!$B$2</f>
        <v>724</v>
      </c>
      <c r="B391" s="694" t="s">
        <v>5494</v>
      </c>
      <c r="C391" s="694" t="s">
        <v>5495</v>
      </c>
      <c r="D391" s="695" t="s">
        <v>5496</v>
      </c>
      <c r="E391" s="696"/>
      <c r="F391" s="697"/>
      <c r="G391" s="697"/>
      <c r="H391" s="698"/>
      <c r="I391" s="697"/>
      <c r="J391" s="697"/>
      <c r="K391" s="697"/>
      <c r="L391" s="697"/>
      <c r="M391" s="697"/>
      <c r="N391" s="698"/>
      <c r="O391" s="697"/>
      <c r="P391" s="697"/>
      <c r="Q391" s="697"/>
      <c r="R391" s="697"/>
      <c r="S391" s="697"/>
      <c r="T391" s="697"/>
      <c r="U391" s="697"/>
      <c r="V391" s="698"/>
      <c r="W391" s="698"/>
      <c r="X391" s="697"/>
      <c r="Y391" s="697"/>
      <c r="Z391" s="697"/>
      <c r="AA391" s="697"/>
      <c r="AB391" s="697"/>
    </row>
    <row r="392" spans="1:28" x14ac:dyDescent="0.2">
      <c r="A392" s="694" t="str">
        <f>+Info!$B$2</f>
        <v>724</v>
      </c>
      <c r="B392" s="694" t="s">
        <v>5497</v>
      </c>
      <c r="C392" s="694" t="s">
        <v>5498</v>
      </c>
      <c r="D392" s="695" t="s">
        <v>5499</v>
      </c>
      <c r="E392" s="696"/>
      <c r="F392" s="697"/>
      <c r="G392" s="697"/>
      <c r="H392" s="698"/>
      <c r="I392" s="697"/>
      <c r="J392" s="697"/>
      <c r="K392" s="697"/>
      <c r="L392" s="697"/>
      <c r="M392" s="697"/>
      <c r="N392" s="698"/>
      <c r="O392" s="697"/>
      <c r="P392" s="697"/>
      <c r="Q392" s="697"/>
      <c r="R392" s="697"/>
      <c r="S392" s="697"/>
      <c r="T392" s="697"/>
      <c r="U392" s="697"/>
      <c r="V392" s="698"/>
      <c r="W392" s="698"/>
      <c r="X392" s="697"/>
      <c r="Y392" s="697"/>
      <c r="Z392" s="697"/>
      <c r="AA392" s="697"/>
      <c r="AB392" s="697"/>
    </row>
    <row r="393" spans="1:28" x14ac:dyDescent="0.2">
      <c r="A393" s="694" t="str">
        <f>+Info!$B$2</f>
        <v>724</v>
      </c>
      <c r="B393" s="694" t="s">
        <v>5500</v>
      </c>
      <c r="C393" s="694" t="s">
        <v>5501</v>
      </c>
      <c r="D393" s="695" t="s">
        <v>5502</v>
      </c>
      <c r="E393" s="696"/>
      <c r="F393" s="697"/>
      <c r="G393" s="697"/>
      <c r="H393" s="698"/>
      <c r="I393" s="697"/>
      <c r="J393" s="697"/>
      <c r="K393" s="697"/>
      <c r="L393" s="697"/>
      <c r="M393" s="697"/>
      <c r="N393" s="698"/>
      <c r="O393" s="697"/>
      <c r="P393" s="697"/>
      <c r="Q393" s="697"/>
      <c r="R393" s="697"/>
      <c r="S393" s="697"/>
      <c r="T393" s="697"/>
      <c r="U393" s="697"/>
      <c r="V393" s="698"/>
      <c r="W393" s="698"/>
      <c r="X393" s="697"/>
      <c r="Y393" s="697"/>
      <c r="Z393" s="697"/>
      <c r="AA393" s="697"/>
      <c r="AB393" s="697"/>
    </row>
    <row r="394" spans="1:28" x14ac:dyDescent="0.2">
      <c r="A394" s="694" t="str">
        <f>+Info!$B$2</f>
        <v>724</v>
      </c>
      <c r="B394" s="694" t="s">
        <v>5503</v>
      </c>
      <c r="C394" s="694" t="s">
        <v>5504</v>
      </c>
      <c r="D394" s="695" t="s">
        <v>5505</v>
      </c>
      <c r="E394" s="696"/>
      <c r="F394" s="697"/>
      <c r="G394" s="697"/>
      <c r="H394" s="698"/>
      <c r="I394" s="697"/>
      <c r="J394" s="697"/>
      <c r="K394" s="697"/>
      <c r="L394" s="697"/>
      <c r="M394" s="697"/>
      <c r="N394" s="698"/>
      <c r="O394" s="697"/>
      <c r="P394" s="697"/>
      <c r="Q394" s="697"/>
      <c r="R394" s="697"/>
      <c r="S394" s="697"/>
      <c r="T394" s="697"/>
      <c r="U394" s="697"/>
      <c r="V394" s="698"/>
      <c r="W394" s="698"/>
      <c r="X394" s="697"/>
      <c r="Y394" s="697"/>
      <c r="Z394" s="697"/>
      <c r="AA394" s="697"/>
      <c r="AB394" s="697"/>
    </row>
    <row r="395" spans="1:28" x14ac:dyDescent="0.2">
      <c r="A395" s="694" t="str">
        <f>+Info!$B$2</f>
        <v>724</v>
      </c>
      <c r="B395" s="694" t="s">
        <v>5506</v>
      </c>
      <c r="C395" s="694" t="s">
        <v>5507</v>
      </c>
      <c r="D395" s="695" t="s">
        <v>5508</v>
      </c>
      <c r="E395" s="696"/>
      <c r="F395" s="697"/>
      <c r="G395" s="697"/>
      <c r="H395" s="698"/>
      <c r="I395" s="697"/>
      <c r="J395" s="697"/>
      <c r="K395" s="697"/>
      <c r="L395" s="697"/>
      <c r="M395" s="697"/>
      <c r="N395" s="698"/>
      <c r="O395" s="697"/>
      <c r="P395" s="697"/>
      <c r="Q395" s="697"/>
      <c r="R395" s="697"/>
      <c r="S395" s="697"/>
      <c r="T395" s="697"/>
      <c r="U395" s="697"/>
      <c r="V395" s="698"/>
      <c r="W395" s="698"/>
      <c r="X395" s="697"/>
      <c r="Y395" s="697"/>
      <c r="Z395" s="697"/>
      <c r="AA395" s="697"/>
      <c r="AB395" s="697"/>
    </row>
    <row r="396" spans="1:28" x14ac:dyDescent="0.2">
      <c r="A396" s="694" t="str">
        <f>+Info!$B$2</f>
        <v>724</v>
      </c>
      <c r="B396" s="694" t="s">
        <v>5509</v>
      </c>
      <c r="C396" s="694" t="s">
        <v>5510</v>
      </c>
      <c r="D396" s="695" t="s">
        <v>5511</v>
      </c>
      <c r="E396" s="696"/>
      <c r="F396" s="697"/>
      <c r="G396" s="697"/>
      <c r="H396" s="698"/>
      <c r="I396" s="697"/>
      <c r="J396" s="697"/>
      <c r="K396" s="697"/>
      <c r="L396" s="697"/>
      <c r="M396" s="697"/>
      <c r="N396" s="698"/>
      <c r="O396" s="697"/>
      <c r="P396" s="697"/>
      <c r="Q396" s="697"/>
      <c r="R396" s="697"/>
      <c r="S396" s="697"/>
      <c r="T396" s="697"/>
      <c r="U396" s="697"/>
      <c r="V396" s="698"/>
      <c r="W396" s="698"/>
      <c r="X396" s="697"/>
      <c r="Y396" s="697"/>
      <c r="Z396" s="697"/>
      <c r="AA396" s="697"/>
      <c r="AB396" s="697"/>
    </row>
    <row r="397" spans="1:28" x14ac:dyDescent="0.2">
      <c r="A397" s="694" t="str">
        <f>+Info!$B$2</f>
        <v>724</v>
      </c>
      <c r="B397" s="694" t="s">
        <v>5512</v>
      </c>
      <c r="C397" s="694" t="s">
        <v>4306</v>
      </c>
      <c r="D397" s="695" t="s">
        <v>5513</v>
      </c>
      <c r="E397" s="696"/>
      <c r="F397" s="697"/>
      <c r="G397" s="697"/>
      <c r="H397" s="698"/>
      <c r="I397" s="697"/>
      <c r="J397" s="697"/>
      <c r="K397" s="697"/>
      <c r="L397" s="697"/>
      <c r="M397" s="697"/>
      <c r="N397" s="698"/>
      <c r="O397" s="697"/>
      <c r="P397" s="697"/>
      <c r="Q397" s="697"/>
      <c r="R397" s="697"/>
      <c r="S397" s="697"/>
      <c r="T397" s="697"/>
      <c r="U397" s="697"/>
      <c r="V397" s="698"/>
      <c r="W397" s="698"/>
      <c r="X397" s="697"/>
      <c r="Y397" s="697"/>
      <c r="Z397" s="697"/>
      <c r="AA397" s="697"/>
      <c r="AB397" s="697"/>
    </row>
    <row r="398" spans="1:28" x14ac:dyDescent="0.2">
      <c r="A398" s="694" t="str">
        <f>+Info!$B$2</f>
        <v>724</v>
      </c>
      <c r="B398" s="694" t="s">
        <v>5514</v>
      </c>
      <c r="C398" s="694" t="s">
        <v>5515</v>
      </c>
      <c r="D398" s="695" t="s">
        <v>5516</v>
      </c>
      <c r="E398" s="696"/>
      <c r="F398" s="697"/>
      <c r="G398" s="697"/>
      <c r="H398" s="698"/>
      <c r="I398" s="697"/>
      <c r="J398" s="697"/>
      <c r="K398" s="697"/>
      <c r="L398" s="697"/>
      <c r="M398" s="697"/>
      <c r="N398" s="698"/>
      <c r="O398" s="697"/>
      <c r="P398" s="697"/>
      <c r="Q398" s="697"/>
      <c r="R398" s="697"/>
      <c r="S398" s="697"/>
      <c r="T398" s="697"/>
      <c r="U398" s="697"/>
      <c r="V398" s="698"/>
      <c r="W398" s="698"/>
      <c r="X398" s="697"/>
      <c r="Y398" s="697"/>
      <c r="Z398" s="697"/>
      <c r="AA398" s="697"/>
      <c r="AB398" s="697"/>
    </row>
    <row r="399" spans="1:28" ht="15" x14ac:dyDescent="0.25">
      <c r="A399" s="691" t="str">
        <f>+Info!$B$2</f>
        <v>724</v>
      </c>
      <c r="B399" s="691" t="s">
        <v>5517</v>
      </c>
      <c r="C399" s="691" t="s">
        <v>5518</v>
      </c>
      <c r="D399" s="692" t="s">
        <v>5519</v>
      </c>
      <c r="E399" s="693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</row>
    <row r="400" spans="1:28" x14ac:dyDescent="0.2">
      <c r="A400" s="694" t="str">
        <f>+Info!$B$2</f>
        <v>724</v>
      </c>
      <c r="B400" s="694" t="s">
        <v>5520</v>
      </c>
      <c r="C400" s="694" t="s">
        <v>5521</v>
      </c>
      <c r="D400" s="695" t="s">
        <v>5522</v>
      </c>
      <c r="E400" s="696"/>
      <c r="F400" s="697"/>
      <c r="G400" s="697"/>
      <c r="H400" s="698"/>
      <c r="I400" s="697"/>
      <c r="J400" s="697"/>
      <c r="K400" s="697"/>
      <c r="L400" s="697"/>
      <c r="M400" s="697"/>
      <c r="N400" s="698"/>
      <c r="O400" s="697"/>
      <c r="P400" s="697"/>
      <c r="Q400" s="697"/>
      <c r="R400" s="697"/>
      <c r="S400" s="697"/>
      <c r="T400" s="697"/>
      <c r="U400" s="697"/>
      <c r="V400" s="698"/>
      <c r="W400" s="698"/>
      <c r="X400" s="697"/>
      <c r="Y400" s="697"/>
      <c r="Z400" s="697"/>
      <c r="AA400" s="697"/>
      <c r="AB400" s="697"/>
    </row>
    <row r="401" spans="1:28" x14ac:dyDescent="0.2">
      <c r="A401" s="694" t="str">
        <f>+Info!$B$2</f>
        <v>724</v>
      </c>
      <c r="B401" s="694" t="s">
        <v>5523</v>
      </c>
      <c r="C401" s="694" t="s">
        <v>5524</v>
      </c>
      <c r="D401" s="695" t="s">
        <v>5525</v>
      </c>
      <c r="E401" s="696"/>
      <c r="F401" s="697"/>
      <c r="G401" s="697"/>
      <c r="H401" s="698"/>
      <c r="I401" s="697"/>
      <c r="J401" s="697"/>
      <c r="K401" s="697"/>
      <c r="L401" s="697"/>
      <c r="M401" s="697"/>
      <c r="N401" s="698"/>
      <c r="O401" s="697"/>
      <c r="P401" s="697"/>
      <c r="Q401" s="697"/>
      <c r="R401" s="697"/>
      <c r="S401" s="697"/>
      <c r="T401" s="697"/>
      <c r="U401" s="697"/>
      <c r="V401" s="698"/>
      <c r="W401" s="698"/>
      <c r="X401" s="697"/>
      <c r="Y401" s="697"/>
      <c r="Z401" s="697"/>
      <c r="AA401" s="697"/>
      <c r="AB401" s="697"/>
    </row>
    <row r="402" spans="1:28" x14ac:dyDescent="0.2">
      <c r="A402" s="694" t="str">
        <f>+Info!$B$2</f>
        <v>724</v>
      </c>
      <c r="B402" s="694" t="s">
        <v>5526</v>
      </c>
      <c r="C402" s="694" t="s">
        <v>5527</v>
      </c>
      <c r="D402" s="695" t="s">
        <v>5528</v>
      </c>
      <c r="E402" s="696"/>
      <c r="F402" s="697"/>
      <c r="G402" s="697"/>
      <c r="H402" s="698"/>
      <c r="I402" s="697"/>
      <c r="J402" s="697"/>
      <c r="K402" s="697"/>
      <c r="L402" s="697"/>
      <c r="M402" s="697"/>
      <c r="N402" s="698"/>
      <c r="O402" s="697"/>
      <c r="P402" s="697"/>
      <c r="Q402" s="697"/>
      <c r="R402" s="697"/>
      <c r="S402" s="697"/>
      <c r="T402" s="697"/>
      <c r="U402" s="697"/>
      <c r="V402" s="698"/>
      <c r="W402" s="698"/>
      <c r="X402" s="697"/>
      <c r="Y402" s="697"/>
      <c r="Z402" s="697"/>
      <c r="AA402" s="697"/>
      <c r="AB402" s="697"/>
    </row>
    <row r="403" spans="1:28" x14ac:dyDescent="0.2">
      <c r="A403" s="694" t="str">
        <f>+Info!$B$2</f>
        <v>724</v>
      </c>
      <c r="B403" s="694" t="s">
        <v>5529</v>
      </c>
      <c r="C403" s="694" t="s">
        <v>5530</v>
      </c>
      <c r="D403" s="695" t="s">
        <v>5531</v>
      </c>
      <c r="E403" s="696"/>
      <c r="F403" s="697"/>
      <c r="G403" s="697"/>
      <c r="H403" s="698"/>
      <c r="I403" s="697"/>
      <c r="J403" s="697"/>
      <c r="K403" s="697"/>
      <c r="L403" s="697"/>
      <c r="M403" s="697"/>
      <c r="N403" s="698"/>
      <c r="O403" s="697"/>
      <c r="P403" s="697"/>
      <c r="Q403" s="697"/>
      <c r="R403" s="697"/>
      <c r="S403" s="697"/>
      <c r="T403" s="697"/>
      <c r="U403" s="697"/>
      <c r="V403" s="698"/>
      <c r="W403" s="698"/>
      <c r="X403" s="697"/>
      <c r="Y403" s="697"/>
      <c r="Z403" s="697"/>
      <c r="AA403" s="697"/>
      <c r="AB403" s="697"/>
    </row>
    <row r="404" spans="1:28" x14ac:dyDescent="0.2">
      <c r="A404" s="694" t="str">
        <f>+Info!$B$2</f>
        <v>724</v>
      </c>
      <c r="B404" s="694" t="s">
        <v>5532</v>
      </c>
      <c r="C404" s="694" t="s">
        <v>5533</v>
      </c>
      <c r="D404" s="695" t="s">
        <v>5534</v>
      </c>
      <c r="E404" s="696"/>
      <c r="F404" s="697"/>
      <c r="G404" s="697"/>
      <c r="H404" s="698"/>
      <c r="I404" s="697"/>
      <c r="J404" s="697"/>
      <c r="K404" s="697"/>
      <c r="L404" s="697"/>
      <c r="M404" s="697"/>
      <c r="N404" s="698"/>
      <c r="O404" s="697"/>
      <c r="P404" s="697"/>
      <c r="Q404" s="697"/>
      <c r="R404" s="697"/>
      <c r="S404" s="697"/>
      <c r="T404" s="697"/>
      <c r="U404" s="697"/>
      <c r="V404" s="698"/>
      <c r="W404" s="698"/>
      <c r="X404" s="697"/>
      <c r="Y404" s="697"/>
      <c r="Z404" s="697"/>
      <c r="AA404" s="697"/>
      <c r="AB404" s="697"/>
    </row>
    <row r="405" spans="1:28" x14ac:dyDescent="0.2">
      <c r="A405" s="694" t="str">
        <f>+Info!$B$2</f>
        <v>724</v>
      </c>
      <c r="B405" s="694" t="s">
        <v>5535</v>
      </c>
      <c r="C405" s="694" t="s">
        <v>5536</v>
      </c>
      <c r="D405" s="695" t="s">
        <v>5537</v>
      </c>
      <c r="E405" s="696"/>
      <c r="F405" s="697"/>
      <c r="G405" s="697"/>
      <c r="H405" s="698"/>
      <c r="I405" s="697"/>
      <c r="J405" s="697"/>
      <c r="K405" s="697"/>
      <c r="L405" s="697"/>
      <c r="M405" s="697"/>
      <c r="N405" s="698"/>
      <c r="O405" s="697"/>
      <c r="P405" s="697"/>
      <c r="Q405" s="697"/>
      <c r="R405" s="697"/>
      <c r="S405" s="697"/>
      <c r="T405" s="697"/>
      <c r="U405" s="697"/>
      <c r="V405" s="698"/>
      <c r="W405" s="698"/>
      <c r="X405" s="697"/>
      <c r="Y405" s="697"/>
      <c r="Z405" s="697"/>
      <c r="AA405" s="697"/>
      <c r="AB405" s="697"/>
    </row>
    <row r="406" spans="1:28" x14ac:dyDescent="0.2">
      <c r="A406" s="694" t="str">
        <f>+Info!$B$2</f>
        <v>724</v>
      </c>
      <c r="B406" s="694" t="s">
        <v>5538</v>
      </c>
      <c r="C406" s="694" t="s">
        <v>5539</v>
      </c>
      <c r="D406" s="695" t="s">
        <v>5540</v>
      </c>
      <c r="E406" s="696"/>
      <c r="F406" s="697"/>
      <c r="G406" s="697"/>
      <c r="H406" s="698"/>
      <c r="I406" s="697"/>
      <c r="J406" s="697"/>
      <c r="K406" s="697"/>
      <c r="L406" s="697"/>
      <c r="M406" s="697"/>
      <c r="N406" s="698"/>
      <c r="O406" s="697"/>
      <c r="P406" s="697"/>
      <c r="Q406" s="697"/>
      <c r="R406" s="697"/>
      <c r="S406" s="697"/>
      <c r="T406" s="697"/>
      <c r="U406" s="697"/>
      <c r="V406" s="698"/>
      <c r="W406" s="698"/>
      <c r="X406" s="697"/>
      <c r="Y406" s="697"/>
      <c r="Z406" s="697"/>
      <c r="AA406" s="697"/>
      <c r="AB406" s="697"/>
    </row>
    <row r="407" spans="1:28" x14ac:dyDescent="0.2">
      <c r="A407" s="694" t="str">
        <f>+Info!$B$2</f>
        <v>724</v>
      </c>
      <c r="B407" s="694" t="s">
        <v>5541</v>
      </c>
      <c r="C407" s="694" t="s">
        <v>5542</v>
      </c>
      <c r="D407" s="695" t="s">
        <v>5543</v>
      </c>
      <c r="E407" s="696"/>
      <c r="F407" s="697"/>
      <c r="G407" s="697"/>
      <c r="H407" s="698"/>
      <c r="I407" s="697"/>
      <c r="J407" s="697"/>
      <c r="K407" s="697"/>
      <c r="L407" s="697"/>
      <c r="M407" s="697"/>
      <c r="N407" s="698"/>
      <c r="O407" s="697"/>
      <c r="P407" s="697"/>
      <c r="Q407" s="697"/>
      <c r="R407" s="697"/>
      <c r="S407" s="697"/>
      <c r="T407" s="697"/>
      <c r="U407" s="697"/>
      <c r="V407" s="698"/>
      <c r="W407" s="698"/>
      <c r="X407" s="697"/>
      <c r="Y407" s="697"/>
      <c r="Z407" s="697"/>
      <c r="AA407" s="697"/>
      <c r="AB407" s="697"/>
    </row>
    <row r="408" spans="1:28" x14ac:dyDescent="0.2">
      <c r="A408" s="694" t="str">
        <f>+Info!$B$2</f>
        <v>724</v>
      </c>
      <c r="B408" s="694" t="s">
        <v>5544</v>
      </c>
      <c r="C408" s="694" t="s">
        <v>5545</v>
      </c>
      <c r="D408" s="695" t="s">
        <v>5546</v>
      </c>
      <c r="E408" s="696"/>
      <c r="F408" s="697"/>
      <c r="G408" s="697"/>
      <c r="H408" s="698"/>
      <c r="I408" s="697"/>
      <c r="J408" s="697"/>
      <c r="K408" s="697"/>
      <c r="L408" s="697"/>
      <c r="M408" s="697"/>
      <c r="N408" s="698"/>
      <c r="O408" s="697"/>
      <c r="P408" s="697"/>
      <c r="Q408" s="697"/>
      <c r="R408" s="697"/>
      <c r="S408" s="697"/>
      <c r="T408" s="697"/>
      <c r="U408" s="697"/>
      <c r="V408" s="698"/>
      <c r="W408" s="698"/>
      <c r="X408" s="697"/>
      <c r="Y408" s="697"/>
      <c r="Z408" s="697"/>
      <c r="AA408" s="697"/>
      <c r="AB408" s="697"/>
    </row>
    <row r="409" spans="1:28" ht="15" x14ac:dyDescent="0.25">
      <c r="A409" s="691" t="str">
        <f>+Info!$B$2</f>
        <v>724</v>
      </c>
      <c r="B409" s="691" t="s">
        <v>5547</v>
      </c>
      <c r="C409" s="691" t="s">
        <v>5548</v>
      </c>
      <c r="D409" s="692" t="s">
        <v>5549</v>
      </c>
      <c r="E409" s="693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</row>
    <row r="410" spans="1:28" x14ac:dyDescent="0.2">
      <c r="A410" s="694" t="str">
        <f>+Info!$B$2</f>
        <v>724</v>
      </c>
      <c r="B410" s="694" t="s">
        <v>5550</v>
      </c>
      <c r="C410" s="694" t="s">
        <v>5551</v>
      </c>
      <c r="D410" s="695" t="s">
        <v>5552</v>
      </c>
      <c r="E410" s="696"/>
      <c r="F410" s="697"/>
      <c r="G410" s="697"/>
      <c r="H410" s="698"/>
      <c r="I410" s="698"/>
      <c r="J410" s="697"/>
      <c r="K410" s="697"/>
      <c r="L410" s="697"/>
      <c r="M410" s="697"/>
      <c r="N410" s="698"/>
      <c r="O410" s="698"/>
      <c r="P410" s="698"/>
      <c r="Q410" s="698"/>
      <c r="R410" s="697"/>
      <c r="S410" s="697"/>
      <c r="T410" s="697"/>
      <c r="U410" s="697"/>
      <c r="V410" s="698"/>
      <c r="W410" s="698"/>
      <c r="X410" s="697"/>
      <c r="Y410" s="697"/>
      <c r="Z410" s="697"/>
      <c r="AA410" s="697"/>
      <c r="AB410" s="697"/>
    </row>
    <row r="411" spans="1:28" x14ac:dyDescent="0.2">
      <c r="A411" s="694" t="str">
        <f>+Info!$B$2</f>
        <v>724</v>
      </c>
      <c r="B411" s="694" t="s">
        <v>5553</v>
      </c>
      <c r="C411" s="694" t="s">
        <v>5554</v>
      </c>
      <c r="D411" s="695" t="s">
        <v>5555</v>
      </c>
      <c r="E411" s="696"/>
      <c r="F411" s="697"/>
      <c r="G411" s="697"/>
      <c r="H411" s="698"/>
      <c r="I411" s="698"/>
      <c r="J411" s="697"/>
      <c r="K411" s="697"/>
      <c r="L411" s="697"/>
      <c r="M411" s="697"/>
      <c r="N411" s="698"/>
      <c r="O411" s="698"/>
      <c r="P411" s="698"/>
      <c r="Q411" s="698"/>
      <c r="R411" s="697"/>
      <c r="S411" s="697"/>
      <c r="T411" s="697"/>
      <c r="U411" s="697"/>
      <c r="V411" s="698"/>
      <c r="W411" s="698"/>
      <c r="X411" s="697"/>
      <c r="Y411" s="697"/>
      <c r="Z411" s="697"/>
      <c r="AA411" s="697"/>
      <c r="AB411" s="697"/>
    </row>
    <row r="412" spans="1:28" x14ac:dyDescent="0.2">
      <c r="A412" s="694" t="str">
        <f>+Info!$B$2</f>
        <v>724</v>
      </c>
      <c r="B412" s="694" t="s">
        <v>5556</v>
      </c>
      <c r="C412" s="694" t="s">
        <v>5557</v>
      </c>
      <c r="D412" s="695" t="s">
        <v>5558</v>
      </c>
      <c r="E412" s="696"/>
      <c r="F412" s="697"/>
      <c r="G412" s="697"/>
      <c r="H412" s="698"/>
      <c r="I412" s="698"/>
      <c r="J412" s="697"/>
      <c r="K412" s="697"/>
      <c r="L412" s="697"/>
      <c r="M412" s="697"/>
      <c r="N412" s="698"/>
      <c r="O412" s="698"/>
      <c r="P412" s="698"/>
      <c r="Q412" s="698"/>
      <c r="R412" s="697"/>
      <c r="S412" s="697"/>
      <c r="T412" s="697"/>
      <c r="U412" s="697"/>
      <c r="V412" s="698"/>
      <c r="W412" s="698"/>
      <c r="X412" s="697"/>
      <c r="Y412" s="697"/>
      <c r="Z412" s="697"/>
      <c r="AA412" s="697"/>
      <c r="AB412" s="697"/>
    </row>
    <row r="413" spans="1:28" x14ac:dyDescent="0.2">
      <c r="A413" s="694" t="str">
        <f>+Info!$B$2</f>
        <v>724</v>
      </c>
      <c r="B413" s="694" t="s">
        <v>5559</v>
      </c>
      <c r="C413" s="694" t="s">
        <v>5560</v>
      </c>
      <c r="D413" s="695" t="s">
        <v>5561</v>
      </c>
      <c r="E413" s="696"/>
      <c r="F413" s="697"/>
      <c r="G413" s="697"/>
      <c r="H413" s="698"/>
      <c r="I413" s="698"/>
      <c r="J413" s="697"/>
      <c r="K413" s="697"/>
      <c r="L413" s="697"/>
      <c r="M413" s="697"/>
      <c r="N413" s="698"/>
      <c r="O413" s="698"/>
      <c r="P413" s="698"/>
      <c r="Q413" s="698"/>
      <c r="R413" s="697"/>
      <c r="S413" s="697"/>
      <c r="T413" s="697"/>
      <c r="U413" s="697"/>
      <c r="V413" s="698"/>
      <c r="W413" s="698"/>
      <c r="X413" s="697"/>
      <c r="Y413" s="697"/>
      <c r="Z413" s="697"/>
      <c r="AA413" s="697"/>
      <c r="AB413" s="697"/>
    </row>
    <row r="414" spans="1:28" x14ac:dyDescent="0.2">
      <c r="A414" s="694" t="str">
        <f>+Info!$B$2</f>
        <v>724</v>
      </c>
      <c r="B414" s="694" t="s">
        <v>5562</v>
      </c>
      <c r="C414" s="694" t="s">
        <v>5563</v>
      </c>
      <c r="D414" s="695" t="s">
        <v>5564</v>
      </c>
      <c r="E414" s="696"/>
      <c r="F414" s="697"/>
      <c r="G414" s="697"/>
      <c r="H414" s="698"/>
      <c r="I414" s="698"/>
      <c r="J414" s="697"/>
      <c r="K414" s="697"/>
      <c r="L414" s="697"/>
      <c r="M414" s="697"/>
      <c r="N414" s="698"/>
      <c r="O414" s="698"/>
      <c r="P414" s="698"/>
      <c r="Q414" s="698"/>
      <c r="R414" s="697"/>
      <c r="S414" s="697"/>
      <c r="T414" s="697"/>
      <c r="U414" s="697"/>
      <c r="V414" s="698"/>
      <c r="W414" s="698"/>
      <c r="X414" s="697"/>
      <c r="Y414" s="697"/>
      <c r="Z414" s="697"/>
      <c r="AA414" s="697"/>
      <c r="AB414" s="697"/>
    </row>
    <row r="415" spans="1:28" ht="25.5" x14ac:dyDescent="0.2">
      <c r="A415" s="694" t="str">
        <f>+Info!$B$2</f>
        <v>724</v>
      </c>
      <c r="B415" s="694" t="s">
        <v>5565</v>
      </c>
      <c r="C415" s="694" t="s">
        <v>5566</v>
      </c>
      <c r="D415" s="695" t="s">
        <v>5567</v>
      </c>
      <c r="E415" s="696"/>
      <c r="F415" s="697"/>
      <c r="G415" s="697"/>
      <c r="H415" s="698"/>
      <c r="I415" s="698"/>
      <c r="J415" s="697"/>
      <c r="K415" s="697"/>
      <c r="L415" s="697"/>
      <c r="M415" s="697"/>
      <c r="N415" s="698"/>
      <c r="O415" s="698"/>
      <c r="P415" s="698"/>
      <c r="Q415" s="698"/>
      <c r="R415" s="697"/>
      <c r="S415" s="697"/>
      <c r="T415" s="697"/>
      <c r="U415" s="697"/>
      <c r="V415" s="698"/>
      <c r="W415" s="698"/>
      <c r="X415" s="697"/>
      <c r="Y415" s="697"/>
      <c r="Z415" s="697"/>
      <c r="AA415" s="697"/>
      <c r="AB415" s="697"/>
    </row>
    <row r="416" spans="1:28" x14ac:dyDescent="0.2">
      <c r="A416" s="694" t="str">
        <f>+Info!$B$2</f>
        <v>724</v>
      </c>
      <c r="B416" s="694" t="s">
        <v>5568</v>
      </c>
      <c r="C416" s="694" t="s">
        <v>5569</v>
      </c>
      <c r="D416" s="695" t="s">
        <v>5570</v>
      </c>
      <c r="E416" s="696"/>
      <c r="F416" s="697"/>
      <c r="G416" s="697"/>
      <c r="H416" s="698"/>
      <c r="I416" s="698"/>
      <c r="J416" s="697"/>
      <c r="K416" s="697"/>
      <c r="L416" s="697"/>
      <c r="M416" s="697"/>
      <c r="N416" s="698"/>
      <c r="O416" s="698"/>
      <c r="P416" s="698"/>
      <c r="Q416" s="698"/>
      <c r="R416" s="697"/>
      <c r="S416" s="697"/>
      <c r="T416" s="697"/>
      <c r="U416" s="697"/>
      <c r="V416" s="698"/>
      <c r="W416" s="698"/>
      <c r="X416" s="697"/>
      <c r="Y416" s="697"/>
      <c r="Z416" s="697"/>
      <c r="AA416" s="697"/>
      <c r="AB416" s="697"/>
    </row>
    <row r="417" spans="1:28" ht="25.5" x14ac:dyDescent="0.2">
      <c r="A417" s="694" t="str">
        <f>+Info!$B$2</f>
        <v>724</v>
      </c>
      <c r="B417" s="694" t="s">
        <v>5571</v>
      </c>
      <c r="C417" s="694" t="s">
        <v>5572</v>
      </c>
      <c r="D417" s="695" t="s">
        <v>5573</v>
      </c>
      <c r="E417" s="696"/>
      <c r="F417" s="697"/>
      <c r="G417" s="697"/>
      <c r="H417" s="698"/>
      <c r="I417" s="698"/>
      <c r="J417" s="697"/>
      <c r="K417" s="697"/>
      <c r="L417" s="697"/>
      <c r="M417" s="697"/>
      <c r="N417" s="698"/>
      <c r="O417" s="698"/>
      <c r="P417" s="698"/>
      <c r="Q417" s="698"/>
      <c r="R417" s="697"/>
      <c r="S417" s="697"/>
      <c r="T417" s="697"/>
      <c r="U417" s="697"/>
      <c r="V417" s="698"/>
      <c r="W417" s="698"/>
      <c r="X417" s="697"/>
      <c r="Y417" s="697"/>
      <c r="Z417" s="697"/>
      <c r="AA417" s="697"/>
      <c r="AB417" s="697"/>
    </row>
    <row r="418" spans="1:28" x14ac:dyDescent="0.2">
      <c r="A418" s="694" t="str">
        <f>+Info!$B$2</f>
        <v>724</v>
      </c>
      <c r="B418" s="694" t="s">
        <v>5574</v>
      </c>
      <c r="C418" s="694" t="s">
        <v>5575</v>
      </c>
      <c r="D418" s="695" t="s">
        <v>5576</v>
      </c>
      <c r="E418" s="696"/>
      <c r="F418" s="697"/>
      <c r="G418" s="697"/>
      <c r="H418" s="698"/>
      <c r="I418" s="698"/>
      <c r="J418" s="697"/>
      <c r="K418" s="697"/>
      <c r="L418" s="697"/>
      <c r="M418" s="697"/>
      <c r="N418" s="698"/>
      <c r="O418" s="698"/>
      <c r="P418" s="698"/>
      <c r="Q418" s="698"/>
      <c r="R418" s="697"/>
      <c r="S418" s="697"/>
      <c r="T418" s="697"/>
      <c r="U418" s="697"/>
      <c r="V418" s="698"/>
      <c r="W418" s="698"/>
      <c r="X418" s="697"/>
      <c r="Y418" s="697"/>
      <c r="Z418" s="697"/>
      <c r="AA418" s="697"/>
      <c r="AB418" s="697"/>
    </row>
    <row r="419" spans="1:28" x14ac:dyDescent="0.2">
      <c r="A419" s="694" t="str">
        <f>+Info!$B$2</f>
        <v>724</v>
      </c>
      <c r="B419" s="694" t="s">
        <v>5577</v>
      </c>
      <c r="C419" s="694" t="s">
        <v>5578</v>
      </c>
      <c r="D419" s="695" t="s">
        <v>5579</v>
      </c>
      <c r="E419" s="696"/>
      <c r="F419" s="697"/>
      <c r="G419" s="697"/>
      <c r="H419" s="698"/>
      <c r="I419" s="698"/>
      <c r="J419" s="697"/>
      <c r="K419" s="697"/>
      <c r="L419" s="697"/>
      <c r="M419" s="697"/>
      <c r="N419" s="698"/>
      <c r="O419" s="698"/>
      <c r="P419" s="698"/>
      <c r="Q419" s="698"/>
      <c r="R419" s="697"/>
      <c r="S419" s="697"/>
      <c r="T419" s="697"/>
      <c r="U419" s="697"/>
      <c r="V419" s="698"/>
      <c r="W419" s="698"/>
      <c r="X419" s="697"/>
      <c r="Y419" s="697"/>
      <c r="Z419" s="697"/>
      <c r="AA419" s="698"/>
      <c r="AB419" s="698"/>
    </row>
    <row r="420" spans="1:28" ht="25.5" x14ac:dyDescent="0.2">
      <c r="A420" s="694" t="str">
        <f>+Info!$B$2</f>
        <v>724</v>
      </c>
      <c r="B420" s="694" t="s">
        <v>5580</v>
      </c>
      <c r="C420" s="694" t="s">
        <v>5581</v>
      </c>
      <c r="D420" s="695" t="s">
        <v>5582</v>
      </c>
      <c r="E420" s="696"/>
      <c r="F420" s="697"/>
      <c r="G420" s="697"/>
      <c r="H420" s="698"/>
      <c r="I420" s="698"/>
      <c r="J420" s="697"/>
      <c r="K420" s="697"/>
      <c r="L420" s="697"/>
      <c r="M420" s="697"/>
      <c r="N420" s="698"/>
      <c r="O420" s="698"/>
      <c r="P420" s="698"/>
      <c r="Q420" s="698"/>
      <c r="R420" s="697"/>
      <c r="S420" s="697"/>
      <c r="T420" s="697"/>
      <c r="U420" s="697"/>
      <c r="V420" s="698"/>
      <c r="W420" s="698"/>
      <c r="X420" s="697"/>
      <c r="Y420" s="697"/>
      <c r="Z420" s="697"/>
      <c r="AA420" s="698"/>
      <c r="AB420" s="698"/>
    </row>
    <row r="421" spans="1:28" x14ac:dyDescent="0.2">
      <c r="A421" s="694" t="str">
        <f>+Info!$B$2</f>
        <v>724</v>
      </c>
      <c r="B421" s="694" t="s">
        <v>5583</v>
      </c>
      <c r="C421" s="694" t="s">
        <v>5584</v>
      </c>
      <c r="D421" s="695" t="s">
        <v>5585</v>
      </c>
      <c r="E421" s="696"/>
      <c r="F421" s="697"/>
      <c r="G421" s="697"/>
      <c r="H421" s="698"/>
      <c r="I421" s="698"/>
      <c r="J421" s="697"/>
      <c r="K421" s="697"/>
      <c r="L421" s="697"/>
      <c r="M421" s="697"/>
      <c r="N421" s="698"/>
      <c r="O421" s="698"/>
      <c r="P421" s="698"/>
      <c r="Q421" s="698"/>
      <c r="R421" s="697"/>
      <c r="S421" s="697"/>
      <c r="T421" s="697"/>
      <c r="U421" s="697"/>
      <c r="V421" s="698"/>
      <c r="W421" s="698"/>
      <c r="X421" s="697"/>
      <c r="Y421" s="697"/>
      <c r="Z421" s="697"/>
      <c r="AA421" s="697"/>
      <c r="AB421" s="697"/>
    </row>
    <row r="422" spans="1:28" x14ac:dyDescent="0.2">
      <c r="A422" s="694" t="str">
        <f>+Info!$B$2</f>
        <v>724</v>
      </c>
      <c r="B422" s="694" t="s">
        <v>5586</v>
      </c>
      <c r="C422" s="694" t="s">
        <v>5587</v>
      </c>
      <c r="D422" s="695" t="s">
        <v>5588</v>
      </c>
      <c r="E422" s="696"/>
      <c r="F422" s="697"/>
      <c r="G422" s="697"/>
      <c r="H422" s="698"/>
      <c r="I422" s="698"/>
      <c r="J422" s="697"/>
      <c r="K422" s="697"/>
      <c r="L422" s="697"/>
      <c r="M422" s="697"/>
      <c r="N422" s="698"/>
      <c r="O422" s="698"/>
      <c r="P422" s="698"/>
      <c r="Q422" s="698"/>
      <c r="R422" s="697"/>
      <c r="S422" s="697"/>
      <c r="T422" s="697"/>
      <c r="U422" s="697"/>
      <c r="V422" s="698"/>
      <c r="W422" s="698"/>
      <c r="X422" s="697"/>
      <c r="Y422" s="697"/>
      <c r="Z422" s="697"/>
      <c r="AA422" s="697"/>
      <c r="AB422" s="697"/>
    </row>
    <row r="423" spans="1:28" x14ac:dyDescent="0.2">
      <c r="A423" s="694" t="str">
        <f>+Info!$B$2</f>
        <v>724</v>
      </c>
      <c r="B423" s="694" t="s">
        <v>5589</v>
      </c>
      <c r="C423" s="694" t="s">
        <v>5590</v>
      </c>
      <c r="D423" s="695" t="s">
        <v>5591</v>
      </c>
      <c r="E423" s="696"/>
      <c r="F423" s="697"/>
      <c r="G423" s="697"/>
      <c r="H423" s="698"/>
      <c r="I423" s="698"/>
      <c r="J423" s="697"/>
      <c r="K423" s="697"/>
      <c r="L423" s="697"/>
      <c r="M423" s="697"/>
      <c r="N423" s="698"/>
      <c r="O423" s="698"/>
      <c r="P423" s="698"/>
      <c r="Q423" s="698"/>
      <c r="R423" s="697"/>
      <c r="S423" s="697"/>
      <c r="T423" s="697"/>
      <c r="U423" s="697"/>
      <c r="V423" s="698"/>
      <c r="W423" s="698"/>
      <c r="X423" s="697"/>
      <c r="Y423" s="697"/>
      <c r="Z423" s="697"/>
      <c r="AA423" s="697"/>
      <c r="AB423" s="697"/>
    </row>
    <row r="424" spans="1:28" x14ac:dyDescent="0.2">
      <c r="A424" s="694" t="str">
        <f>+Info!$B$2</f>
        <v>724</v>
      </c>
      <c r="B424" s="694" t="s">
        <v>5592</v>
      </c>
      <c r="C424" s="694" t="s">
        <v>5593</v>
      </c>
      <c r="D424" s="695" t="s">
        <v>5594</v>
      </c>
      <c r="E424" s="696"/>
      <c r="F424" s="697"/>
      <c r="G424" s="697"/>
      <c r="H424" s="698"/>
      <c r="I424" s="698"/>
      <c r="J424" s="697"/>
      <c r="K424" s="697"/>
      <c r="L424" s="697"/>
      <c r="M424" s="697"/>
      <c r="N424" s="698"/>
      <c r="O424" s="698"/>
      <c r="P424" s="698"/>
      <c r="Q424" s="698"/>
      <c r="R424" s="697"/>
      <c r="S424" s="697"/>
      <c r="T424" s="697"/>
      <c r="U424" s="697"/>
      <c r="V424" s="698"/>
      <c r="W424" s="698"/>
      <c r="X424" s="697"/>
      <c r="Y424" s="697"/>
      <c r="Z424" s="697"/>
      <c r="AA424" s="697"/>
      <c r="AB424" s="697"/>
    </row>
    <row r="425" spans="1:28" x14ac:dyDescent="0.2">
      <c r="A425" s="694" t="str">
        <f>+Info!$B$2</f>
        <v>724</v>
      </c>
      <c r="B425" s="694" t="s">
        <v>5595</v>
      </c>
      <c r="C425" s="694" t="s">
        <v>5596</v>
      </c>
      <c r="D425" s="695" t="s">
        <v>5597</v>
      </c>
      <c r="E425" s="696"/>
      <c r="F425" s="697"/>
      <c r="G425" s="697"/>
      <c r="H425" s="698"/>
      <c r="I425" s="698"/>
      <c r="J425" s="697"/>
      <c r="K425" s="697"/>
      <c r="L425" s="697"/>
      <c r="M425" s="697"/>
      <c r="N425" s="698"/>
      <c r="O425" s="698"/>
      <c r="P425" s="698"/>
      <c r="Q425" s="698"/>
      <c r="R425" s="697"/>
      <c r="S425" s="697"/>
      <c r="T425" s="697"/>
      <c r="U425" s="697"/>
      <c r="V425" s="698"/>
      <c r="W425" s="698"/>
      <c r="X425" s="697"/>
      <c r="Y425" s="697"/>
      <c r="Z425" s="697"/>
      <c r="AA425" s="697"/>
      <c r="AB425" s="697"/>
    </row>
    <row r="426" spans="1:28" x14ac:dyDescent="0.2">
      <c r="A426" s="694" t="str">
        <f>+Info!$B$2</f>
        <v>724</v>
      </c>
      <c r="B426" s="694" t="s">
        <v>5598</v>
      </c>
      <c r="C426" s="694" t="s">
        <v>5599</v>
      </c>
      <c r="D426" s="695" t="s">
        <v>5600</v>
      </c>
      <c r="E426" s="696"/>
      <c r="F426" s="697"/>
      <c r="G426" s="697"/>
      <c r="H426" s="698"/>
      <c r="I426" s="698"/>
      <c r="J426" s="697"/>
      <c r="K426" s="697"/>
      <c r="L426" s="697"/>
      <c r="M426" s="697"/>
      <c r="N426" s="698"/>
      <c r="O426" s="698"/>
      <c r="P426" s="698"/>
      <c r="Q426" s="698"/>
      <c r="R426" s="697"/>
      <c r="S426" s="697"/>
      <c r="T426" s="697"/>
      <c r="U426" s="697"/>
      <c r="V426" s="698"/>
      <c r="W426" s="698"/>
      <c r="X426" s="697"/>
      <c r="Y426" s="697"/>
      <c r="Z426" s="697"/>
      <c r="AA426" s="697"/>
      <c r="AB426" s="697"/>
    </row>
    <row r="427" spans="1:28" ht="25.5" x14ac:dyDescent="0.2">
      <c r="A427" s="694" t="str">
        <f>+Info!$B$2</f>
        <v>724</v>
      </c>
      <c r="B427" s="694" t="s">
        <v>5601</v>
      </c>
      <c r="C427" s="694" t="s">
        <v>5602</v>
      </c>
      <c r="D427" s="695" t="s">
        <v>5603</v>
      </c>
      <c r="E427" s="696"/>
      <c r="F427" s="697"/>
      <c r="G427" s="697"/>
      <c r="H427" s="698"/>
      <c r="I427" s="698"/>
      <c r="J427" s="697"/>
      <c r="K427" s="697"/>
      <c r="L427" s="697"/>
      <c r="M427" s="697"/>
      <c r="N427" s="698"/>
      <c r="O427" s="698"/>
      <c r="P427" s="698"/>
      <c r="Q427" s="698"/>
      <c r="R427" s="697"/>
      <c r="S427" s="697"/>
      <c r="T427" s="697"/>
      <c r="U427" s="697"/>
      <c r="V427" s="698"/>
      <c r="W427" s="698"/>
      <c r="X427" s="697"/>
      <c r="Y427" s="697"/>
      <c r="Z427" s="697"/>
      <c r="AA427" s="697"/>
      <c r="AB427" s="697"/>
    </row>
    <row r="428" spans="1:28" x14ac:dyDescent="0.2">
      <c r="A428" s="694" t="str">
        <f>+Info!$B$2</f>
        <v>724</v>
      </c>
      <c r="B428" s="694" t="s">
        <v>5604</v>
      </c>
      <c r="C428" s="694" t="s">
        <v>5605</v>
      </c>
      <c r="D428" s="695" t="s">
        <v>5606</v>
      </c>
      <c r="E428" s="696"/>
      <c r="F428" s="697"/>
      <c r="G428" s="697"/>
      <c r="H428" s="698"/>
      <c r="I428" s="698"/>
      <c r="J428" s="697"/>
      <c r="K428" s="697"/>
      <c r="L428" s="697"/>
      <c r="M428" s="697"/>
      <c r="N428" s="698"/>
      <c r="O428" s="698"/>
      <c r="P428" s="698"/>
      <c r="Q428" s="698"/>
      <c r="R428" s="697"/>
      <c r="S428" s="697"/>
      <c r="T428" s="697"/>
      <c r="U428" s="697"/>
      <c r="V428" s="698"/>
      <c r="W428" s="698"/>
      <c r="X428" s="697"/>
      <c r="Y428" s="697"/>
      <c r="Z428" s="697"/>
      <c r="AA428" s="697"/>
      <c r="AB428" s="697"/>
    </row>
    <row r="429" spans="1:28" ht="25.5" x14ac:dyDescent="0.2">
      <c r="A429" s="694" t="str">
        <f>+Info!$B$2</f>
        <v>724</v>
      </c>
      <c r="B429" s="694" t="s">
        <v>5607</v>
      </c>
      <c r="C429" s="694" t="s">
        <v>5608</v>
      </c>
      <c r="D429" s="695" t="s">
        <v>5609</v>
      </c>
      <c r="E429" s="696"/>
      <c r="F429" s="697"/>
      <c r="G429" s="697"/>
      <c r="H429" s="698"/>
      <c r="I429" s="698"/>
      <c r="J429" s="697"/>
      <c r="K429" s="697"/>
      <c r="L429" s="697"/>
      <c r="M429" s="697"/>
      <c r="N429" s="698"/>
      <c r="O429" s="698"/>
      <c r="P429" s="698"/>
      <c r="Q429" s="698"/>
      <c r="R429" s="697"/>
      <c r="S429" s="697"/>
      <c r="T429" s="697"/>
      <c r="U429" s="697"/>
      <c r="V429" s="698"/>
      <c r="W429" s="698"/>
      <c r="X429" s="697"/>
      <c r="Y429" s="697"/>
      <c r="Z429" s="697"/>
      <c r="AA429" s="697"/>
      <c r="AB429" s="697"/>
    </row>
    <row r="430" spans="1:28" x14ac:dyDescent="0.2">
      <c r="A430" s="694" t="str">
        <f>+Info!$B$2</f>
        <v>724</v>
      </c>
      <c r="B430" s="694" t="s">
        <v>5610</v>
      </c>
      <c r="C430" s="694" t="s">
        <v>5611</v>
      </c>
      <c r="D430" s="695" t="s">
        <v>5612</v>
      </c>
      <c r="E430" s="696"/>
      <c r="F430" s="697"/>
      <c r="G430" s="697"/>
      <c r="H430" s="698"/>
      <c r="I430" s="698"/>
      <c r="J430" s="697"/>
      <c r="K430" s="697"/>
      <c r="L430" s="697"/>
      <c r="M430" s="697"/>
      <c r="N430" s="698"/>
      <c r="O430" s="698"/>
      <c r="P430" s="698"/>
      <c r="Q430" s="698"/>
      <c r="R430" s="697"/>
      <c r="S430" s="697"/>
      <c r="T430" s="697"/>
      <c r="U430" s="697"/>
      <c r="V430" s="698"/>
      <c r="W430" s="698"/>
      <c r="X430" s="697"/>
      <c r="Y430" s="697"/>
      <c r="Z430" s="697"/>
      <c r="AA430" s="697"/>
      <c r="AB430" s="697"/>
    </row>
    <row r="431" spans="1:28" x14ac:dyDescent="0.2">
      <c r="A431" s="694" t="str">
        <f>+Info!$B$2</f>
        <v>724</v>
      </c>
      <c r="B431" s="694" t="s">
        <v>5613</v>
      </c>
      <c r="C431" s="694" t="s">
        <v>5614</v>
      </c>
      <c r="D431" s="695" t="s">
        <v>5615</v>
      </c>
      <c r="E431" s="696"/>
      <c r="F431" s="697"/>
      <c r="G431" s="697"/>
      <c r="H431" s="698"/>
      <c r="I431" s="698"/>
      <c r="J431" s="697"/>
      <c r="K431" s="697"/>
      <c r="L431" s="697"/>
      <c r="M431" s="697"/>
      <c r="N431" s="698"/>
      <c r="O431" s="698"/>
      <c r="P431" s="698"/>
      <c r="Q431" s="698"/>
      <c r="R431" s="697"/>
      <c r="S431" s="697"/>
      <c r="T431" s="697"/>
      <c r="U431" s="697"/>
      <c r="V431" s="698"/>
      <c r="W431" s="698"/>
      <c r="X431" s="697"/>
      <c r="Y431" s="697"/>
      <c r="Z431" s="697"/>
      <c r="AA431" s="698"/>
      <c r="AB431" s="698"/>
    </row>
    <row r="432" spans="1:28" ht="25.5" x14ac:dyDescent="0.2">
      <c r="A432" s="694" t="str">
        <f>+Info!$B$2</f>
        <v>724</v>
      </c>
      <c r="B432" s="694" t="s">
        <v>5616</v>
      </c>
      <c r="C432" s="694" t="s">
        <v>5617</v>
      </c>
      <c r="D432" s="695" t="s">
        <v>5618</v>
      </c>
      <c r="E432" s="696"/>
      <c r="F432" s="697"/>
      <c r="G432" s="697"/>
      <c r="H432" s="698"/>
      <c r="I432" s="698"/>
      <c r="J432" s="697"/>
      <c r="K432" s="697"/>
      <c r="L432" s="697"/>
      <c r="M432" s="697"/>
      <c r="N432" s="698"/>
      <c r="O432" s="698"/>
      <c r="P432" s="698"/>
      <c r="Q432" s="698"/>
      <c r="R432" s="697"/>
      <c r="S432" s="697"/>
      <c r="T432" s="697"/>
      <c r="U432" s="697"/>
      <c r="V432" s="698"/>
      <c r="W432" s="698"/>
      <c r="X432" s="697"/>
      <c r="Y432" s="697"/>
      <c r="Z432" s="697"/>
      <c r="AA432" s="698"/>
      <c r="AB432" s="698"/>
    </row>
    <row r="433" spans="1:28" x14ac:dyDescent="0.2">
      <c r="A433" s="694" t="str">
        <f>+Info!$B$2</f>
        <v>724</v>
      </c>
      <c r="B433" s="694" t="s">
        <v>5619</v>
      </c>
      <c r="C433" s="694" t="s">
        <v>5620</v>
      </c>
      <c r="D433" s="695" t="s">
        <v>5621</v>
      </c>
      <c r="E433" s="696"/>
      <c r="F433" s="697"/>
      <c r="G433" s="697"/>
      <c r="H433" s="698"/>
      <c r="I433" s="698"/>
      <c r="J433" s="697"/>
      <c r="K433" s="697"/>
      <c r="L433" s="697"/>
      <c r="M433" s="697"/>
      <c r="N433" s="698"/>
      <c r="O433" s="698"/>
      <c r="P433" s="698"/>
      <c r="Q433" s="698"/>
      <c r="R433" s="697"/>
      <c r="S433" s="697"/>
      <c r="T433" s="697"/>
      <c r="U433" s="697"/>
      <c r="V433" s="698"/>
      <c r="W433" s="698"/>
      <c r="X433" s="697"/>
      <c r="Y433" s="697"/>
      <c r="Z433" s="697"/>
      <c r="AA433" s="697"/>
      <c r="AB433" s="697"/>
    </row>
    <row r="434" spans="1:28" x14ac:dyDescent="0.2">
      <c r="A434" s="694" t="str">
        <f>+Info!$B$2</f>
        <v>724</v>
      </c>
      <c r="B434" s="694" t="s">
        <v>5622</v>
      </c>
      <c r="C434" s="694" t="s">
        <v>5623</v>
      </c>
      <c r="D434" s="695" t="s">
        <v>5624</v>
      </c>
      <c r="E434" s="696"/>
      <c r="F434" s="697"/>
      <c r="G434" s="697"/>
      <c r="H434" s="698"/>
      <c r="I434" s="698"/>
      <c r="J434" s="697"/>
      <c r="K434" s="697"/>
      <c r="L434" s="697"/>
      <c r="M434" s="697"/>
      <c r="N434" s="698"/>
      <c r="O434" s="698"/>
      <c r="P434" s="698"/>
      <c r="Q434" s="698"/>
      <c r="R434" s="697"/>
      <c r="S434" s="697"/>
      <c r="T434" s="697"/>
      <c r="U434" s="697"/>
      <c r="V434" s="698"/>
      <c r="W434" s="698"/>
      <c r="X434" s="697"/>
      <c r="Y434" s="697"/>
      <c r="Z434" s="697"/>
      <c r="AA434" s="697"/>
      <c r="AB434" s="697"/>
    </row>
    <row r="435" spans="1:28" x14ac:dyDescent="0.2">
      <c r="A435" s="694" t="str">
        <f>+Info!$B$2</f>
        <v>724</v>
      </c>
      <c r="B435" s="694" t="s">
        <v>5625</v>
      </c>
      <c r="C435" s="694" t="s">
        <v>5626</v>
      </c>
      <c r="D435" s="695" t="s">
        <v>5627</v>
      </c>
      <c r="E435" s="696"/>
      <c r="F435" s="697"/>
      <c r="G435" s="697"/>
      <c r="H435" s="698"/>
      <c r="I435" s="698"/>
      <c r="J435" s="697"/>
      <c r="K435" s="697"/>
      <c r="L435" s="697"/>
      <c r="M435" s="697"/>
      <c r="N435" s="698"/>
      <c r="O435" s="698"/>
      <c r="P435" s="698"/>
      <c r="Q435" s="698"/>
      <c r="R435" s="697"/>
      <c r="S435" s="697"/>
      <c r="T435" s="697"/>
      <c r="U435" s="697"/>
      <c r="V435" s="698"/>
      <c r="W435" s="698"/>
      <c r="X435" s="697"/>
      <c r="Y435" s="697"/>
      <c r="Z435" s="697"/>
      <c r="AA435" s="697"/>
      <c r="AB435" s="697"/>
    </row>
    <row r="436" spans="1:28" x14ac:dyDescent="0.2">
      <c r="A436" s="694" t="str">
        <f>+Info!$B$2</f>
        <v>724</v>
      </c>
      <c r="B436" s="694" t="s">
        <v>5628</v>
      </c>
      <c r="C436" s="694" t="s">
        <v>5629</v>
      </c>
      <c r="D436" s="695" t="s">
        <v>5630</v>
      </c>
      <c r="E436" s="696"/>
      <c r="F436" s="697"/>
      <c r="G436" s="697"/>
      <c r="H436" s="698"/>
      <c r="I436" s="698"/>
      <c r="J436" s="697"/>
      <c r="K436" s="697"/>
      <c r="L436" s="697"/>
      <c r="M436" s="697"/>
      <c r="N436" s="698"/>
      <c r="O436" s="698"/>
      <c r="P436" s="698"/>
      <c r="Q436" s="698"/>
      <c r="R436" s="697"/>
      <c r="S436" s="697"/>
      <c r="T436" s="697"/>
      <c r="U436" s="697"/>
      <c r="V436" s="698"/>
      <c r="W436" s="698"/>
      <c r="X436" s="697"/>
      <c r="Y436" s="697"/>
      <c r="Z436" s="697"/>
      <c r="AA436" s="697"/>
      <c r="AB436" s="697"/>
    </row>
    <row r="437" spans="1:28" x14ac:dyDescent="0.2">
      <c r="A437" s="694" t="str">
        <f>+Info!$B$2</f>
        <v>724</v>
      </c>
      <c r="B437" s="694" t="s">
        <v>5631</v>
      </c>
      <c r="C437" s="694" t="s">
        <v>5632</v>
      </c>
      <c r="D437" s="695" t="s">
        <v>5633</v>
      </c>
      <c r="E437" s="696"/>
      <c r="F437" s="697"/>
      <c r="G437" s="697"/>
      <c r="H437" s="698"/>
      <c r="I437" s="698"/>
      <c r="J437" s="697"/>
      <c r="K437" s="697"/>
      <c r="L437" s="697"/>
      <c r="M437" s="697"/>
      <c r="N437" s="698"/>
      <c r="O437" s="698"/>
      <c r="P437" s="698"/>
      <c r="Q437" s="698"/>
      <c r="R437" s="697"/>
      <c r="S437" s="697"/>
      <c r="T437" s="697"/>
      <c r="U437" s="697"/>
      <c r="V437" s="698"/>
      <c r="W437" s="698"/>
      <c r="X437" s="697"/>
      <c r="Y437" s="697"/>
      <c r="Z437" s="697"/>
      <c r="AA437" s="697"/>
      <c r="AB437" s="697"/>
    </row>
    <row r="438" spans="1:28" x14ac:dyDescent="0.2">
      <c r="A438" s="694" t="str">
        <f>+Info!$B$2</f>
        <v>724</v>
      </c>
      <c r="B438" s="694" t="s">
        <v>5634</v>
      </c>
      <c r="C438" s="694" t="s">
        <v>5635</v>
      </c>
      <c r="D438" s="695" t="s">
        <v>5636</v>
      </c>
      <c r="E438" s="696"/>
      <c r="F438" s="697"/>
      <c r="G438" s="697"/>
      <c r="H438" s="698"/>
      <c r="I438" s="698"/>
      <c r="J438" s="697"/>
      <c r="K438" s="697"/>
      <c r="L438" s="697"/>
      <c r="M438" s="697"/>
      <c r="N438" s="698"/>
      <c r="O438" s="698"/>
      <c r="P438" s="698"/>
      <c r="Q438" s="698"/>
      <c r="R438" s="697"/>
      <c r="S438" s="697"/>
      <c r="T438" s="697"/>
      <c r="U438" s="697"/>
      <c r="V438" s="698"/>
      <c r="W438" s="698"/>
      <c r="X438" s="697"/>
      <c r="Y438" s="697"/>
      <c r="Z438" s="697"/>
      <c r="AA438" s="697"/>
      <c r="AB438" s="697"/>
    </row>
    <row r="439" spans="1:28" x14ac:dyDescent="0.2">
      <c r="A439" s="694" t="str">
        <f>+Info!$B$2</f>
        <v>724</v>
      </c>
      <c r="B439" s="694" t="s">
        <v>5637</v>
      </c>
      <c r="C439" s="694" t="s">
        <v>5638</v>
      </c>
      <c r="D439" s="695" t="s">
        <v>5639</v>
      </c>
      <c r="E439" s="696"/>
      <c r="F439" s="697"/>
      <c r="G439" s="697"/>
      <c r="H439" s="698"/>
      <c r="I439" s="698"/>
      <c r="J439" s="697"/>
      <c r="K439" s="697"/>
      <c r="L439" s="697"/>
      <c r="M439" s="697"/>
      <c r="N439" s="698"/>
      <c r="O439" s="698"/>
      <c r="P439" s="698"/>
      <c r="Q439" s="698"/>
      <c r="R439" s="697"/>
      <c r="S439" s="697"/>
      <c r="T439" s="697"/>
      <c r="U439" s="697"/>
      <c r="V439" s="698"/>
      <c r="W439" s="698"/>
      <c r="X439" s="697"/>
      <c r="Y439" s="697"/>
      <c r="Z439" s="697"/>
      <c r="AA439" s="697"/>
      <c r="AB439" s="697"/>
    </row>
    <row r="440" spans="1:28" x14ac:dyDescent="0.2">
      <c r="A440" s="694" t="str">
        <f>+Info!$B$2</f>
        <v>724</v>
      </c>
      <c r="B440" s="694" t="s">
        <v>5640</v>
      </c>
      <c r="C440" s="694" t="s">
        <v>5641</v>
      </c>
      <c r="D440" s="695" t="s">
        <v>5642</v>
      </c>
      <c r="E440" s="696"/>
      <c r="F440" s="697"/>
      <c r="G440" s="697"/>
      <c r="H440" s="698"/>
      <c r="I440" s="698"/>
      <c r="J440" s="697"/>
      <c r="K440" s="697"/>
      <c r="L440" s="697"/>
      <c r="M440" s="697"/>
      <c r="N440" s="698"/>
      <c r="O440" s="698"/>
      <c r="P440" s="698"/>
      <c r="Q440" s="698"/>
      <c r="R440" s="697"/>
      <c r="S440" s="697"/>
      <c r="T440" s="697"/>
      <c r="U440" s="697"/>
      <c r="V440" s="698"/>
      <c r="W440" s="698"/>
      <c r="X440" s="697"/>
      <c r="Y440" s="697"/>
      <c r="Z440" s="697"/>
      <c r="AA440" s="697"/>
      <c r="AB440" s="697"/>
    </row>
    <row r="441" spans="1:28" ht="25.5" x14ac:dyDescent="0.2">
      <c r="A441" s="694" t="str">
        <f>+Info!$B$2</f>
        <v>724</v>
      </c>
      <c r="B441" s="694" t="s">
        <v>5643</v>
      </c>
      <c r="C441" s="694" t="s">
        <v>5644</v>
      </c>
      <c r="D441" s="695" t="s">
        <v>5645</v>
      </c>
      <c r="E441" s="696"/>
      <c r="F441" s="697"/>
      <c r="G441" s="697"/>
      <c r="H441" s="698"/>
      <c r="I441" s="698"/>
      <c r="J441" s="697"/>
      <c r="K441" s="697"/>
      <c r="L441" s="697"/>
      <c r="M441" s="697"/>
      <c r="N441" s="698"/>
      <c r="O441" s="698"/>
      <c r="P441" s="698"/>
      <c r="Q441" s="698"/>
      <c r="R441" s="697"/>
      <c r="S441" s="697"/>
      <c r="T441" s="697"/>
      <c r="U441" s="697"/>
      <c r="V441" s="698"/>
      <c r="W441" s="698"/>
      <c r="X441" s="697"/>
      <c r="Y441" s="697"/>
      <c r="Z441" s="697"/>
      <c r="AA441" s="697"/>
      <c r="AB441" s="697"/>
    </row>
    <row r="442" spans="1:28" x14ac:dyDescent="0.2">
      <c r="A442" s="694" t="str">
        <f>+Info!$B$2</f>
        <v>724</v>
      </c>
      <c r="B442" s="694" t="s">
        <v>5646</v>
      </c>
      <c r="C442" s="694" t="s">
        <v>5647</v>
      </c>
      <c r="D442" s="695" t="s">
        <v>5648</v>
      </c>
      <c r="E442" s="696"/>
      <c r="F442" s="697"/>
      <c r="G442" s="697"/>
      <c r="H442" s="698"/>
      <c r="I442" s="698"/>
      <c r="J442" s="697"/>
      <c r="K442" s="697"/>
      <c r="L442" s="697"/>
      <c r="M442" s="697"/>
      <c r="N442" s="698"/>
      <c r="O442" s="698"/>
      <c r="P442" s="698"/>
      <c r="Q442" s="698"/>
      <c r="R442" s="697"/>
      <c r="S442" s="697"/>
      <c r="T442" s="697"/>
      <c r="U442" s="697"/>
      <c r="V442" s="698"/>
      <c r="W442" s="698"/>
      <c r="X442" s="697"/>
      <c r="Y442" s="697"/>
      <c r="Z442" s="697"/>
      <c r="AA442" s="697"/>
      <c r="AB442" s="697"/>
    </row>
    <row r="443" spans="1:28" x14ac:dyDescent="0.2">
      <c r="A443" s="694" t="str">
        <f>+Info!$B$2</f>
        <v>724</v>
      </c>
      <c r="B443" s="694" t="s">
        <v>5649</v>
      </c>
      <c r="C443" s="694" t="s">
        <v>5650</v>
      </c>
      <c r="D443" s="695" t="s">
        <v>5651</v>
      </c>
      <c r="E443" s="696"/>
      <c r="F443" s="697"/>
      <c r="G443" s="697"/>
      <c r="H443" s="698"/>
      <c r="I443" s="698"/>
      <c r="J443" s="697"/>
      <c r="K443" s="697"/>
      <c r="L443" s="697"/>
      <c r="M443" s="697"/>
      <c r="N443" s="698"/>
      <c r="O443" s="698"/>
      <c r="P443" s="698"/>
      <c r="Q443" s="698"/>
      <c r="R443" s="697"/>
      <c r="S443" s="697"/>
      <c r="T443" s="697"/>
      <c r="U443" s="697"/>
      <c r="V443" s="698"/>
      <c r="W443" s="698"/>
      <c r="X443" s="697"/>
      <c r="Y443" s="697"/>
      <c r="Z443" s="697"/>
      <c r="AA443" s="698"/>
      <c r="AB443" s="698"/>
    </row>
    <row r="444" spans="1:28" ht="25.5" x14ac:dyDescent="0.2">
      <c r="A444" s="694" t="str">
        <f>+Info!$B$2</f>
        <v>724</v>
      </c>
      <c r="B444" s="694" t="s">
        <v>5652</v>
      </c>
      <c r="C444" s="694" t="s">
        <v>5653</v>
      </c>
      <c r="D444" s="695" t="s">
        <v>5654</v>
      </c>
      <c r="E444" s="696"/>
      <c r="F444" s="697"/>
      <c r="G444" s="697"/>
      <c r="H444" s="698"/>
      <c r="I444" s="698"/>
      <c r="J444" s="697"/>
      <c r="K444" s="697"/>
      <c r="L444" s="697"/>
      <c r="M444" s="697"/>
      <c r="N444" s="698"/>
      <c r="O444" s="698"/>
      <c r="P444" s="698"/>
      <c r="Q444" s="698"/>
      <c r="R444" s="697"/>
      <c r="S444" s="697"/>
      <c r="T444" s="697"/>
      <c r="U444" s="697"/>
      <c r="V444" s="698"/>
      <c r="W444" s="698"/>
      <c r="X444" s="697"/>
      <c r="Y444" s="697"/>
      <c r="Z444" s="697"/>
      <c r="AA444" s="698"/>
      <c r="AB444" s="698"/>
    </row>
    <row r="445" spans="1:28" x14ac:dyDescent="0.2">
      <c r="A445" s="694" t="str">
        <f>+Info!$B$2</f>
        <v>724</v>
      </c>
      <c r="B445" s="694" t="s">
        <v>5655</v>
      </c>
      <c r="C445" s="694" t="s">
        <v>5656</v>
      </c>
      <c r="D445" s="695" t="s">
        <v>5657</v>
      </c>
      <c r="E445" s="696"/>
      <c r="F445" s="697"/>
      <c r="G445" s="697"/>
      <c r="H445" s="698"/>
      <c r="I445" s="698"/>
      <c r="J445" s="697"/>
      <c r="K445" s="697"/>
      <c r="L445" s="697"/>
      <c r="M445" s="697"/>
      <c r="N445" s="698"/>
      <c r="O445" s="698"/>
      <c r="P445" s="698"/>
      <c r="Q445" s="698"/>
      <c r="R445" s="697"/>
      <c r="S445" s="697"/>
      <c r="T445" s="697"/>
      <c r="U445" s="697"/>
      <c r="V445" s="698"/>
      <c r="W445" s="698"/>
      <c r="X445" s="697"/>
      <c r="Y445" s="697"/>
      <c r="Z445" s="697"/>
      <c r="AA445" s="697"/>
      <c r="AB445" s="697"/>
    </row>
    <row r="446" spans="1:28" x14ac:dyDescent="0.2">
      <c r="A446" s="694" t="str">
        <f>+Info!$B$2</f>
        <v>724</v>
      </c>
      <c r="B446" s="694" t="s">
        <v>5658</v>
      </c>
      <c r="C446" s="694" t="s">
        <v>5659</v>
      </c>
      <c r="D446" s="695" t="s">
        <v>5660</v>
      </c>
      <c r="E446" s="696"/>
      <c r="F446" s="697"/>
      <c r="G446" s="697"/>
      <c r="H446" s="698"/>
      <c r="I446" s="698"/>
      <c r="J446" s="697"/>
      <c r="K446" s="697"/>
      <c r="L446" s="697"/>
      <c r="M446" s="697"/>
      <c r="N446" s="698"/>
      <c r="O446" s="698"/>
      <c r="P446" s="698"/>
      <c r="Q446" s="697"/>
      <c r="R446" s="698"/>
      <c r="S446" s="697"/>
      <c r="T446" s="697"/>
      <c r="U446" s="697"/>
      <c r="V446" s="698"/>
      <c r="W446" s="698"/>
      <c r="X446" s="697"/>
      <c r="Y446" s="697"/>
      <c r="Z446" s="697"/>
      <c r="AA446" s="697"/>
      <c r="AB446" s="697"/>
    </row>
    <row r="447" spans="1:28" x14ac:dyDescent="0.2">
      <c r="A447" s="694" t="str">
        <f>+Info!$B$2</f>
        <v>724</v>
      </c>
      <c r="B447" s="694" t="s">
        <v>5661</v>
      </c>
      <c r="C447" s="694" t="s">
        <v>5662</v>
      </c>
      <c r="D447" s="695" t="s">
        <v>5663</v>
      </c>
      <c r="E447" s="696"/>
      <c r="F447" s="697"/>
      <c r="G447" s="697"/>
      <c r="H447" s="698"/>
      <c r="I447" s="698"/>
      <c r="J447" s="697"/>
      <c r="K447" s="697"/>
      <c r="L447" s="697"/>
      <c r="M447" s="697"/>
      <c r="N447" s="698"/>
      <c r="O447" s="698"/>
      <c r="P447" s="698"/>
      <c r="Q447" s="697"/>
      <c r="R447" s="698"/>
      <c r="S447" s="697"/>
      <c r="T447" s="697"/>
      <c r="U447" s="697"/>
      <c r="V447" s="698"/>
      <c r="W447" s="698"/>
      <c r="X447" s="697"/>
      <c r="Y447" s="697"/>
      <c r="Z447" s="697"/>
      <c r="AA447" s="697"/>
      <c r="AB447" s="697"/>
    </row>
    <row r="448" spans="1:28" x14ac:dyDescent="0.2">
      <c r="A448" s="694" t="str">
        <f>+Info!$B$2</f>
        <v>724</v>
      </c>
      <c r="B448" s="694" t="s">
        <v>5664</v>
      </c>
      <c r="C448" s="694" t="s">
        <v>5665</v>
      </c>
      <c r="D448" s="695" t="s">
        <v>5666</v>
      </c>
      <c r="E448" s="696"/>
      <c r="F448" s="697"/>
      <c r="G448" s="697"/>
      <c r="H448" s="698"/>
      <c r="I448" s="698"/>
      <c r="J448" s="697"/>
      <c r="K448" s="697"/>
      <c r="L448" s="697"/>
      <c r="M448" s="697"/>
      <c r="N448" s="698"/>
      <c r="O448" s="698"/>
      <c r="P448" s="698"/>
      <c r="Q448" s="697"/>
      <c r="R448" s="698"/>
      <c r="S448" s="697"/>
      <c r="T448" s="697"/>
      <c r="U448" s="697"/>
      <c r="V448" s="698"/>
      <c r="W448" s="698"/>
      <c r="X448" s="697"/>
      <c r="Y448" s="697"/>
      <c r="Z448" s="697"/>
      <c r="AA448" s="697"/>
      <c r="AB448" s="697"/>
    </row>
    <row r="449" spans="1:28" x14ac:dyDescent="0.2">
      <c r="A449" s="694" t="str">
        <f>+Info!$B$2</f>
        <v>724</v>
      </c>
      <c r="B449" s="694" t="s">
        <v>5667</v>
      </c>
      <c r="C449" s="694" t="s">
        <v>5668</v>
      </c>
      <c r="D449" s="695" t="s">
        <v>5669</v>
      </c>
      <c r="E449" s="696"/>
      <c r="F449" s="697"/>
      <c r="G449" s="697"/>
      <c r="H449" s="698"/>
      <c r="I449" s="698"/>
      <c r="J449" s="697"/>
      <c r="K449" s="697"/>
      <c r="L449" s="697"/>
      <c r="M449" s="697"/>
      <c r="N449" s="698"/>
      <c r="O449" s="698"/>
      <c r="P449" s="698"/>
      <c r="Q449" s="697"/>
      <c r="R449" s="698"/>
      <c r="S449" s="697"/>
      <c r="T449" s="697"/>
      <c r="U449" s="697"/>
      <c r="V449" s="698"/>
      <c r="W449" s="698"/>
      <c r="X449" s="697"/>
      <c r="Y449" s="697"/>
      <c r="Z449" s="697"/>
      <c r="AA449" s="697"/>
      <c r="AB449" s="697"/>
    </row>
    <row r="450" spans="1:28" x14ac:dyDescent="0.2">
      <c r="A450" s="694" t="str">
        <f>+Info!$B$2</f>
        <v>724</v>
      </c>
      <c r="B450" s="694" t="s">
        <v>5670</v>
      </c>
      <c r="C450" s="694" t="s">
        <v>5671</v>
      </c>
      <c r="D450" s="695" t="s">
        <v>5672</v>
      </c>
      <c r="E450" s="696"/>
      <c r="F450" s="697"/>
      <c r="G450" s="697"/>
      <c r="H450" s="698"/>
      <c r="I450" s="698"/>
      <c r="J450" s="697"/>
      <c r="K450" s="697"/>
      <c r="L450" s="697"/>
      <c r="M450" s="697"/>
      <c r="N450" s="698"/>
      <c r="O450" s="698"/>
      <c r="P450" s="698"/>
      <c r="Q450" s="697"/>
      <c r="R450" s="698"/>
      <c r="S450" s="697"/>
      <c r="T450" s="697"/>
      <c r="U450" s="697"/>
      <c r="V450" s="698"/>
      <c r="W450" s="698"/>
      <c r="X450" s="697"/>
      <c r="Y450" s="697"/>
      <c r="Z450" s="697"/>
      <c r="AA450" s="697"/>
      <c r="AB450" s="697"/>
    </row>
    <row r="451" spans="1:28" x14ac:dyDescent="0.2">
      <c r="A451" s="694" t="str">
        <f>+Info!$B$2</f>
        <v>724</v>
      </c>
      <c r="B451" s="694" t="s">
        <v>5673</v>
      </c>
      <c r="C451" s="694" t="s">
        <v>5674</v>
      </c>
      <c r="D451" s="695" t="s">
        <v>5675</v>
      </c>
      <c r="E451" s="696"/>
      <c r="F451" s="697"/>
      <c r="G451" s="697"/>
      <c r="H451" s="698"/>
      <c r="I451" s="698"/>
      <c r="J451" s="697"/>
      <c r="K451" s="697"/>
      <c r="L451" s="697"/>
      <c r="M451" s="697"/>
      <c r="N451" s="698"/>
      <c r="O451" s="698"/>
      <c r="P451" s="698"/>
      <c r="Q451" s="697"/>
      <c r="R451" s="698"/>
      <c r="S451" s="697"/>
      <c r="T451" s="697"/>
      <c r="U451" s="697"/>
      <c r="V451" s="698"/>
      <c r="W451" s="698"/>
      <c r="X451" s="697"/>
      <c r="Y451" s="697"/>
      <c r="Z451" s="697"/>
      <c r="AA451" s="697"/>
      <c r="AB451" s="697"/>
    </row>
    <row r="452" spans="1:28" x14ac:dyDescent="0.2">
      <c r="A452" s="694" t="str">
        <f>+Info!$B$2</f>
        <v>724</v>
      </c>
      <c r="B452" s="694" t="s">
        <v>5676</v>
      </c>
      <c r="C452" s="694" t="s">
        <v>5677</v>
      </c>
      <c r="D452" s="695" t="s">
        <v>5678</v>
      </c>
      <c r="E452" s="696"/>
      <c r="F452" s="697"/>
      <c r="G452" s="697"/>
      <c r="H452" s="698"/>
      <c r="I452" s="698"/>
      <c r="J452" s="697"/>
      <c r="K452" s="697"/>
      <c r="L452" s="697"/>
      <c r="M452" s="697"/>
      <c r="N452" s="698"/>
      <c r="O452" s="698"/>
      <c r="P452" s="698"/>
      <c r="Q452" s="697"/>
      <c r="R452" s="698"/>
      <c r="S452" s="697"/>
      <c r="T452" s="697"/>
      <c r="U452" s="697"/>
      <c r="V452" s="698"/>
      <c r="W452" s="698"/>
      <c r="X452" s="697"/>
      <c r="Y452" s="697"/>
      <c r="Z452" s="697"/>
      <c r="AA452" s="697"/>
      <c r="AB452" s="697"/>
    </row>
    <row r="453" spans="1:28" ht="25.5" x14ac:dyDescent="0.2">
      <c r="A453" s="694" t="str">
        <f>+Info!$B$2</f>
        <v>724</v>
      </c>
      <c r="B453" s="694" t="s">
        <v>5679</v>
      </c>
      <c r="C453" s="694" t="s">
        <v>5680</v>
      </c>
      <c r="D453" s="695" t="s">
        <v>5681</v>
      </c>
      <c r="E453" s="696"/>
      <c r="F453" s="697"/>
      <c r="G453" s="697"/>
      <c r="H453" s="698"/>
      <c r="I453" s="698"/>
      <c r="J453" s="697"/>
      <c r="K453" s="697"/>
      <c r="L453" s="697"/>
      <c r="M453" s="697"/>
      <c r="N453" s="698"/>
      <c r="O453" s="698"/>
      <c r="P453" s="698"/>
      <c r="Q453" s="697"/>
      <c r="R453" s="698"/>
      <c r="S453" s="697"/>
      <c r="T453" s="697"/>
      <c r="U453" s="697"/>
      <c r="V453" s="698"/>
      <c r="W453" s="698"/>
      <c r="X453" s="697"/>
      <c r="Y453" s="697"/>
      <c r="Z453" s="697"/>
      <c r="AA453" s="697"/>
      <c r="AB453" s="697"/>
    </row>
    <row r="454" spans="1:28" x14ac:dyDescent="0.2">
      <c r="A454" s="694" t="str">
        <f>+Info!$B$2</f>
        <v>724</v>
      </c>
      <c r="B454" s="694" t="s">
        <v>5682</v>
      </c>
      <c r="C454" s="694" t="s">
        <v>5683</v>
      </c>
      <c r="D454" s="695" t="s">
        <v>5684</v>
      </c>
      <c r="E454" s="696"/>
      <c r="F454" s="697"/>
      <c r="G454" s="697"/>
      <c r="H454" s="698"/>
      <c r="I454" s="698"/>
      <c r="J454" s="697"/>
      <c r="K454" s="697"/>
      <c r="L454" s="697"/>
      <c r="M454" s="697"/>
      <c r="N454" s="698"/>
      <c r="O454" s="698"/>
      <c r="P454" s="698"/>
      <c r="Q454" s="697"/>
      <c r="R454" s="698"/>
      <c r="S454" s="697"/>
      <c r="T454" s="697"/>
      <c r="U454" s="697"/>
      <c r="V454" s="698"/>
      <c r="W454" s="698"/>
      <c r="X454" s="697"/>
      <c r="Y454" s="697"/>
      <c r="Z454" s="697"/>
      <c r="AA454" s="697"/>
      <c r="AB454" s="697"/>
    </row>
    <row r="455" spans="1:28" x14ac:dyDescent="0.2">
      <c r="A455" s="694" t="str">
        <f>+Info!$B$2</f>
        <v>724</v>
      </c>
      <c r="B455" s="694" t="s">
        <v>5685</v>
      </c>
      <c r="C455" s="694" t="s">
        <v>5686</v>
      </c>
      <c r="D455" s="695" t="s">
        <v>5687</v>
      </c>
      <c r="E455" s="696"/>
      <c r="F455" s="697"/>
      <c r="G455" s="697"/>
      <c r="H455" s="698"/>
      <c r="I455" s="698"/>
      <c r="J455" s="697"/>
      <c r="K455" s="697"/>
      <c r="L455" s="697"/>
      <c r="M455" s="697"/>
      <c r="N455" s="698"/>
      <c r="O455" s="698"/>
      <c r="P455" s="698"/>
      <c r="Q455" s="697"/>
      <c r="R455" s="698"/>
      <c r="S455" s="697"/>
      <c r="T455" s="697"/>
      <c r="U455" s="697"/>
      <c r="V455" s="698"/>
      <c r="W455" s="698"/>
      <c r="X455" s="697"/>
      <c r="Y455" s="697"/>
      <c r="Z455" s="697"/>
      <c r="AA455" s="698"/>
      <c r="AB455" s="698"/>
    </row>
    <row r="456" spans="1:28" ht="25.5" x14ac:dyDescent="0.2">
      <c r="A456" s="694" t="str">
        <f>+Info!$B$2</f>
        <v>724</v>
      </c>
      <c r="B456" s="694" t="s">
        <v>5688</v>
      </c>
      <c r="C456" s="694" t="s">
        <v>5689</v>
      </c>
      <c r="D456" s="695" t="s">
        <v>5690</v>
      </c>
      <c r="E456" s="696"/>
      <c r="F456" s="697"/>
      <c r="G456" s="697"/>
      <c r="H456" s="698"/>
      <c r="I456" s="698"/>
      <c r="J456" s="697"/>
      <c r="K456" s="697"/>
      <c r="L456" s="697"/>
      <c r="M456" s="697"/>
      <c r="N456" s="698"/>
      <c r="O456" s="698"/>
      <c r="P456" s="698"/>
      <c r="Q456" s="697"/>
      <c r="R456" s="698"/>
      <c r="S456" s="697"/>
      <c r="T456" s="697"/>
      <c r="U456" s="697"/>
      <c r="V456" s="698"/>
      <c r="W456" s="698"/>
      <c r="X456" s="697"/>
      <c r="Y456" s="697"/>
      <c r="Z456" s="697"/>
      <c r="AA456" s="698"/>
      <c r="AB456" s="698"/>
    </row>
    <row r="457" spans="1:28" x14ac:dyDescent="0.2">
      <c r="A457" s="694" t="str">
        <f>+Info!$B$2</f>
        <v>724</v>
      </c>
      <c r="B457" s="694" t="s">
        <v>5691</v>
      </c>
      <c r="C457" s="694" t="s">
        <v>5692</v>
      </c>
      <c r="D457" s="695" t="s">
        <v>5693</v>
      </c>
      <c r="E457" s="696"/>
      <c r="F457" s="697"/>
      <c r="G457" s="697"/>
      <c r="H457" s="698"/>
      <c r="I457" s="698"/>
      <c r="J457" s="697"/>
      <c r="K457" s="697"/>
      <c r="L457" s="697"/>
      <c r="M457" s="697"/>
      <c r="N457" s="698"/>
      <c r="O457" s="698"/>
      <c r="P457" s="698"/>
      <c r="Q457" s="697"/>
      <c r="R457" s="698"/>
      <c r="S457" s="697"/>
      <c r="T457" s="697"/>
      <c r="U457" s="697"/>
      <c r="V457" s="698"/>
      <c r="W457" s="698"/>
      <c r="X457" s="697"/>
      <c r="Y457" s="697"/>
      <c r="Z457" s="697"/>
      <c r="AA457" s="697"/>
      <c r="AB457" s="697"/>
    </row>
    <row r="458" spans="1:28" x14ac:dyDescent="0.2">
      <c r="A458" s="694" t="str">
        <f>+Info!$B$2</f>
        <v>724</v>
      </c>
      <c r="B458" s="694" t="s">
        <v>5694</v>
      </c>
      <c r="C458" s="694" t="s">
        <v>5695</v>
      </c>
      <c r="D458" s="695" t="s">
        <v>5696</v>
      </c>
      <c r="E458" s="696"/>
      <c r="F458" s="697"/>
      <c r="G458" s="697"/>
      <c r="H458" s="698"/>
      <c r="I458" s="698"/>
      <c r="J458" s="697"/>
      <c r="K458" s="697"/>
      <c r="L458" s="697"/>
      <c r="M458" s="697"/>
      <c r="N458" s="698"/>
      <c r="O458" s="698"/>
      <c r="P458" s="698"/>
      <c r="Q458" s="697"/>
      <c r="R458" s="698"/>
      <c r="S458" s="697"/>
      <c r="T458" s="697"/>
      <c r="U458" s="697"/>
      <c r="V458" s="698"/>
      <c r="W458" s="698"/>
      <c r="X458" s="697"/>
      <c r="Y458" s="697"/>
      <c r="Z458" s="697"/>
      <c r="AA458" s="697"/>
      <c r="AB458" s="697"/>
    </row>
    <row r="459" spans="1:28" x14ac:dyDescent="0.2">
      <c r="A459" s="694" t="str">
        <f>+Info!$B$2</f>
        <v>724</v>
      </c>
      <c r="B459" s="694" t="s">
        <v>5697</v>
      </c>
      <c r="C459" s="694" t="s">
        <v>5698</v>
      </c>
      <c r="D459" s="695" t="s">
        <v>5699</v>
      </c>
      <c r="E459" s="696"/>
      <c r="F459" s="697"/>
      <c r="G459" s="697"/>
      <c r="H459" s="698"/>
      <c r="I459" s="698"/>
      <c r="J459" s="697"/>
      <c r="K459" s="697"/>
      <c r="L459" s="697"/>
      <c r="M459" s="697"/>
      <c r="N459" s="698"/>
      <c r="O459" s="698"/>
      <c r="P459" s="698"/>
      <c r="Q459" s="697"/>
      <c r="R459" s="698"/>
      <c r="S459" s="697"/>
      <c r="T459" s="697"/>
      <c r="U459" s="697"/>
      <c r="V459" s="698"/>
      <c r="W459" s="698"/>
      <c r="X459" s="697"/>
      <c r="Y459" s="697"/>
      <c r="Z459" s="697"/>
      <c r="AA459" s="697"/>
      <c r="AB459" s="697"/>
    </row>
    <row r="460" spans="1:28" x14ac:dyDescent="0.2">
      <c r="A460" s="694" t="str">
        <f>+Info!$B$2</f>
        <v>724</v>
      </c>
      <c r="B460" s="694" t="s">
        <v>5700</v>
      </c>
      <c r="C460" s="694" t="s">
        <v>5701</v>
      </c>
      <c r="D460" s="695" t="s">
        <v>5702</v>
      </c>
      <c r="E460" s="696"/>
      <c r="F460" s="697"/>
      <c r="G460" s="697"/>
      <c r="H460" s="698"/>
      <c r="I460" s="698"/>
      <c r="J460" s="697"/>
      <c r="K460" s="697"/>
      <c r="L460" s="697"/>
      <c r="M460" s="697"/>
      <c r="N460" s="698"/>
      <c r="O460" s="698"/>
      <c r="P460" s="698"/>
      <c r="Q460" s="697"/>
      <c r="R460" s="698"/>
      <c r="S460" s="697"/>
      <c r="T460" s="697"/>
      <c r="U460" s="697"/>
      <c r="V460" s="698"/>
      <c r="W460" s="698"/>
      <c r="X460" s="697"/>
      <c r="Y460" s="697"/>
      <c r="Z460" s="697"/>
      <c r="AA460" s="697"/>
      <c r="AB460" s="697"/>
    </row>
    <row r="461" spans="1:28" x14ac:dyDescent="0.2">
      <c r="A461" s="694" t="str">
        <f>+Info!$B$2</f>
        <v>724</v>
      </c>
      <c r="B461" s="694" t="s">
        <v>5703</v>
      </c>
      <c r="C461" s="694" t="s">
        <v>5704</v>
      </c>
      <c r="D461" s="695" t="s">
        <v>5705</v>
      </c>
      <c r="E461" s="696"/>
      <c r="F461" s="697"/>
      <c r="G461" s="697"/>
      <c r="H461" s="698"/>
      <c r="I461" s="698"/>
      <c r="J461" s="697"/>
      <c r="K461" s="697"/>
      <c r="L461" s="697"/>
      <c r="M461" s="697"/>
      <c r="N461" s="698"/>
      <c r="O461" s="698"/>
      <c r="P461" s="698"/>
      <c r="Q461" s="697"/>
      <c r="R461" s="698"/>
      <c r="S461" s="697"/>
      <c r="T461" s="697"/>
      <c r="U461" s="697"/>
      <c r="V461" s="698"/>
      <c r="W461" s="698"/>
      <c r="X461" s="697"/>
      <c r="Y461" s="697"/>
      <c r="Z461" s="697"/>
      <c r="AA461" s="697"/>
      <c r="AB461" s="697"/>
    </row>
    <row r="462" spans="1:28" x14ac:dyDescent="0.2">
      <c r="A462" s="694" t="str">
        <f>+Info!$B$2</f>
        <v>724</v>
      </c>
      <c r="B462" s="694" t="s">
        <v>5706</v>
      </c>
      <c r="C462" s="694" t="s">
        <v>5707</v>
      </c>
      <c r="D462" s="695" t="s">
        <v>5708</v>
      </c>
      <c r="E462" s="696"/>
      <c r="F462" s="697"/>
      <c r="G462" s="697"/>
      <c r="H462" s="698"/>
      <c r="I462" s="698"/>
      <c r="J462" s="697"/>
      <c r="K462" s="697"/>
      <c r="L462" s="697"/>
      <c r="M462" s="697"/>
      <c r="N462" s="698"/>
      <c r="O462" s="698"/>
      <c r="P462" s="698"/>
      <c r="Q462" s="697"/>
      <c r="R462" s="698"/>
      <c r="S462" s="697"/>
      <c r="T462" s="697"/>
      <c r="U462" s="697"/>
      <c r="V462" s="698"/>
      <c r="W462" s="698"/>
      <c r="X462" s="697"/>
      <c r="Y462" s="697"/>
      <c r="Z462" s="697"/>
      <c r="AA462" s="697"/>
      <c r="AB462" s="697"/>
    </row>
    <row r="463" spans="1:28" x14ac:dyDescent="0.2">
      <c r="A463" s="694" t="str">
        <f>+Info!$B$2</f>
        <v>724</v>
      </c>
      <c r="B463" s="694" t="s">
        <v>5709</v>
      </c>
      <c r="C463" s="694" t="s">
        <v>5710</v>
      </c>
      <c r="D463" s="695" t="s">
        <v>5711</v>
      </c>
      <c r="E463" s="696"/>
      <c r="F463" s="697"/>
      <c r="G463" s="697"/>
      <c r="H463" s="698"/>
      <c r="I463" s="698"/>
      <c r="J463" s="697"/>
      <c r="K463" s="697"/>
      <c r="L463" s="697"/>
      <c r="M463" s="697"/>
      <c r="N463" s="698"/>
      <c r="O463" s="698"/>
      <c r="P463" s="698"/>
      <c r="Q463" s="697"/>
      <c r="R463" s="698"/>
      <c r="S463" s="697"/>
      <c r="T463" s="697"/>
      <c r="U463" s="697"/>
      <c r="V463" s="698"/>
      <c r="W463" s="698"/>
      <c r="X463" s="697"/>
      <c r="Y463" s="697"/>
      <c r="Z463" s="697"/>
      <c r="AA463" s="697"/>
      <c r="AB463" s="697"/>
    </row>
    <row r="464" spans="1:28" x14ac:dyDescent="0.2">
      <c r="A464" s="694" t="str">
        <f>+Info!$B$2</f>
        <v>724</v>
      </c>
      <c r="B464" s="694" t="s">
        <v>5712</v>
      </c>
      <c r="C464" s="694" t="s">
        <v>5713</v>
      </c>
      <c r="D464" s="695" t="s">
        <v>5714</v>
      </c>
      <c r="E464" s="696"/>
      <c r="F464" s="697"/>
      <c r="G464" s="697"/>
      <c r="H464" s="698"/>
      <c r="I464" s="698"/>
      <c r="J464" s="697"/>
      <c r="K464" s="697"/>
      <c r="L464" s="697"/>
      <c r="M464" s="697"/>
      <c r="N464" s="698"/>
      <c r="O464" s="698"/>
      <c r="P464" s="698"/>
      <c r="Q464" s="697"/>
      <c r="R464" s="698"/>
      <c r="S464" s="697"/>
      <c r="T464" s="697"/>
      <c r="U464" s="697"/>
      <c r="V464" s="698"/>
      <c r="W464" s="698"/>
      <c r="X464" s="697"/>
      <c r="Y464" s="697"/>
      <c r="Z464" s="697"/>
      <c r="AA464" s="697"/>
      <c r="AB464" s="697"/>
    </row>
    <row r="465" spans="1:28" ht="25.5" x14ac:dyDescent="0.2">
      <c r="A465" s="694" t="str">
        <f>+Info!$B$2</f>
        <v>724</v>
      </c>
      <c r="B465" s="694" t="s">
        <v>5715</v>
      </c>
      <c r="C465" s="694" t="s">
        <v>5716</v>
      </c>
      <c r="D465" s="695" t="s">
        <v>5717</v>
      </c>
      <c r="E465" s="696"/>
      <c r="F465" s="697"/>
      <c r="G465" s="697"/>
      <c r="H465" s="698"/>
      <c r="I465" s="698"/>
      <c r="J465" s="697"/>
      <c r="K465" s="697"/>
      <c r="L465" s="697"/>
      <c r="M465" s="697"/>
      <c r="N465" s="698"/>
      <c r="O465" s="698"/>
      <c r="P465" s="698"/>
      <c r="Q465" s="697"/>
      <c r="R465" s="698"/>
      <c r="S465" s="697"/>
      <c r="T465" s="697"/>
      <c r="U465" s="697"/>
      <c r="V465" s="698"/>
      <c r="W465" s="698"/>
      <c r="X465" s="697"/>
      <c r="Y465" s="697"/>
      <c r="Z465" s="697"/>
      <c r="AA465" s="697"/>
      <c r="AB465" s="697"/>
    </row>
    <row r="466" spans="1:28" x14ac:dyDescent="0.2">
      <c r="A466" s="694" t="str">
        <f>+Info!$B$2</f>
        <v>724</v>
      </c>
      <c r="B466" s="694" t="s">
        <v>5718</v>
      </c>
      <c r="C466" s="694" t="s">
        <v>5719</v>
      </c>
      <c r="D466" s="695" t="s">
        <v>5720</v>
      </c>
      <c r="E466" s="696"/>
      <c r="F466" s="697"/>
      <c r="G466" s="697"/>
      <c r="H466" s="698"/>
      <c r="I466" s="698"/>
      <c r="J466" s="697"/>
      <c r="K466" s="697"/>
      <c r="L466" s="697"/>
      <c r="M466" s="697"/>
      <c r="N466" s="698"/>
      <c r="O466" s="698"/>
      <c r="P466" s="698"/>
      <c r="Q466" s="697"/>
      <c r="R466" s="698"/>
      <c r="S466" s="697"/>
      <c r="T466" s="697"/>
      <c r="U466" s="697"/>
      <c r="V466" s="698"/>
      <c r="W466" s="698"/>
      <c r="X466" s="697"/>
      <c r="Y466" s="697"/>
      <c r="Z466" s="697"/>
      <c r="AA466" s="697"/>
      <c r="AB466" s="697"/>
    </row>
    <row r="467" spans="1:28" x14ac:dyDescent="0.2">
      <c r="A467" s="694" t="str">
        <f>+Info!$B$2</f>
        <v>724</v>
      </c>
      <c r="B467" s="694" t="s">
        <v>5721</v>
      </c>
      <c r="C467" s="694" t="s">
        <v>5722</v>
      </c>
      <c r="D467" s="695" t="s">
        <v>5723</v>
      </c>
      <c r="E467" s="696"/>
      <c r="F467" s="697"/>
      <c r="G467" s="697"/>
      <c r="H467" s="698"/>
      <c r="I467" s="698"/>
      <c r="J467" s="697"/>
      <c r="K467" s="697"/>
      <c r="L467" s="697"/>
      <c r="M467" s="697"/>
      <c r="N467" s="698"/>
      <c r="O467" s="698"/>
      <c r="P467" s="698"/>
      <c r="Q467" s="697"/>
      <c r="R467" s="698"/>
      <c r="S467" s="697"/>
      <c r="T467" s="697"/>
      <c r="U467" s="697"/>
      <c r="V467" s="698"/>
      <c r="W467" s="698"/>
      <c r="X467" s="697"/>
      <c r="Y467" s="697"/>
      <c r="Z467" s="697"/>
      <c r="AA467" s="698"/>
      <c r="AB467" s="698"/>
    </row>
    <row r="468" spans="1:28" ht="25.5" x14ac:dyDescent="0.2">
      <c r="A468" s="694" t="str">
        <f>+Info!$B$2</f>
        <v>724</v>
      </c>
      <c r="B468" s="694" t="s">
        <v>5724</v>
      </c>
      <c r="C468" s="694" t="s">
        <v>5725</v>
      </c>
      <c r="D468" s="695" t="s">
        <v>5726</v>
      </c>
      <c r="E468" s="696"/>
      <c r="F468" s="697"/>
      <c r="G468" s="697"/>
      <c r="H468" s="698"/>
      <c r="I468" s="698"/>
      <c r="J468" s="697"/>
      <c r="K468" s="697"/>
      <c r="L468" s="697"/>
      <c r="M468" s="697"/>
      <c r="N468" s="698"/>
      <c r="O468" s="698"/>
      <c r="P468" s="698"/>
      <c r="Q468" s="697"/>
      <c r="R468" s="698"/>
      <c r="S468" s="697"/>
      <c r="T468" s="697"/>
      <c r="U468" s="697"/>
      <c r="V468" s="698"/>
      <c r="W468" s="698"/>
      <c r="X468" s="697"/>
      <c r="Y468" s="697"/>
      <c r="Z468" s="697"/>
      <c r="AA468" s="698"/>
      <c r="AB468" s="698"/>
    </row>
    <row r="469" spans="1:28" x14ac:dyDescent="0.2">
      <c r="A469" s="694" t="str">
        <f>+Info!$B$2</f>
        <v>724</v>
      </c>
      <c r="B469" s="694" t="s">
        <v>5727</v>
      </c>
      <c r="C469" s="694" t="s">
        <v>5728</v>
      </c>
      <c r="D469" s="695" t="s">
        <v>5729</v>
      </c>
      <c r="E469" s="696"/>
      <c r="F469" s="697"/>
      <c r="G469" s="697"/>
      <c r="H469" s="698"/>
      <c r="I469" s="698"/>
      <c r="J469" s="697"/>
      <c r="K469" s="697"/>
      <c r="L469" s="697"/>
      <c r="M469" s="697"/>
      <c r="N469" s="698"/>
      <c r="O469" s="698"/>
      <c r="P469" s="698"/>
      <c r="Q469" s="697"/>
      <c r="R469" s="698"/>
      <c r="S469" s="697"/>
      <c r="T469" s="697"/>
      <c r="U469" s="697"/>
      <c r="V469" s="698"/>
      <c r="W469" s="698"/>
      <c r="X469" s="697"/>
      <c r="Y469" s="697"/>
      <c r="Z469" s="697"/>
      <c r="AA469" s="697"/>
      <c r="AB469" s="697"/>
    </row>
    <row r="470" spans="1:28" x14ac:dyDescent="0.2">
      <c r="A470" s="694" t="str">
        <f>+Info!$B$2</f>
        <v>724</v>
      </c>
      <c r="B470" s="694" t="s">
        <v>5730</v>
      </c>
      <c r="C470" s="694" t="s">
        <v>5731</v>
      </c>
      <c r="D470" s="695" t="s">
        <v>5732</v>
      </c>
      <c r="E470" s="696"/>
      <c r="F470" s="697"/>
      <c r="G470" s="697"/>
      <c r="H470" s="698"/>
      <c r="I470" s="698"/>
      <c r="J470" s="697"/>
      <c r="K470" s="697"/>
      <c r="L470" s="697"/>
      <c r="M470" s="697"/>
      <c r="N470" s="698"/>
      <c r="O470" s="698"/>
      <c r="P470" s="698"/>
      <c r="Q470" s="697"/>
      <c r="R470" s="698"/>
      <c r="S470" s="697"/>
      <c r="T470" s="697"/>
      <c r="U470" s="697"/>
      <c r="V470" s="698"/>
      <c r="W470" s="698"/>
      <c r="X470" s="697"/>
      <c r="Y470" s="697"/>
      <c r="Z470" s="697"/>
      <c r="AA470" s="697"/>
      <c r="AB470" s="697"/>
    </row>
    <row r="471" spans="1:28" x14ac:dyDescent="0.2">
      <c r="A471" s="694" t="str">
        <f>+Info!$B$2</f>
        <v>724</v>
      </c>
      <c r="B471" s="694" t="s">
        <v>5733</v>
      </c>
      <c r="C471" s="694" t="s">
        <v>5734</v>
      </c>
      <c r="D471" s="695" t="s">
        <v>5735</v>
      </c>
      <c r="E471" s="696"/>
      <c r="F471" s="697"/>
      <c r="G471" s="697"/>
      <c r="H471" s="698"/>
      <c r="I471" s="698"/>
      <c r="J471" s="697"/>
      <c r="K471" s="697"/>
      <c r="L471" s="697"/>
      <c r="M471" s="697"/>
      <c r="N471" s="698"/>
      <c r="O471" s="698"/>
      <c r="P471" s="698"/>
      <c r="Q471" s="697"/>
      <c r="R471" s="698"/>
      <c r="S471" s="697"/>
      <c r="T471" s="697"/>
      <c r="U471" s="697"/>
      <c r="V471" s="698"/>
      <c r="W471" s="698"/>
      <c r="X471" s="697"/>
      <c r="Y471" s="697"/>
      <c r="Z471" s="697"/>
      <c r="AA471" s="697"/>
      <c r="AB471" s="697"/>
    </row>
    <row r="472" spans="1:28" x14ac:dyDescent="0.2">
      <c r="A472" s="694" t="str">
        <f>+Info!$B$2</f>
        <v>724</v>
      </c>
      <c r="B472" s="694" t="s">
        <v>5736</v>
      </c>
      <c r="C472" s="694" t="s">
        <v>5737</v>
      </c>
      <c r="D472" s="695" t="s">
        <v>5738</v>
      </c>
      <c r="E472" s="696"/>
      <c r="F472" s="697"/>
      <c r="G472" s="697"/>
      <c r="H472" s="698"/>
      <c r="I472" s="698"/>
      <c r="J472" s="697"/>
      <c r="K472" s="697"/>
      <c r="L472" s="697"/>
      <c r="M472" s="697"/>
      <c r="N472" s="698"/>
      <c r="O472" s="698"/>
      <c r="P472" s="698"/>
      <c r="Q472" s="697"/>
      <c r="R472" s="698"/>
      <c r="S472" s="697"/>
      <c r="T472" s="697"/>
      <c r="U472" s="697"/>
      <c r="V472" s="698"/>
      <c r="W472" s="698"/>
      <c r="X472" s="697"/>
      <c r="Y472" s="697"/>
      <c r="Z472" s="697"/>
      <c r="AA472" s="697"/>
      <c r="AB472" s="697"/>
    </row>
    <row r="473" spans="1:28" x14ac:dyDescent="0.2">
      <c r="A473" s="694" t="str">
        <f>+Info!$B$2</f>
        <v>724</v>
      </c>
      <c r="B473" s="694" t="s">
        <v>5739</v>
      </c>
      <c r="C473" s="694" t="s">
        <v>5740</v>
      </c>
      <c r="D473" s="695" t="s">
        <v>5741</v>
      </c>
      <c r="E473" s="696"/>
      <c r="F473" s="697"/>
      <c r="G473" s="697"/>
      <c r="H473" s="698"/>
      <c r="I473" s="698"/>
      <c r="J473" s="697"/>
      <c r="K473" s="697"/>
      <c r="L473" s="697"/>
      <c r="M473" s="697"/>
      <c r="N473" s="698"/>
      <c r="O473" s="698"/>
      <c r="P473" s="698"/>
      <c r="Q473" s="697"/>
      <c r="R473" s="698"/>
      <c r="S473" s="697"/>
      <c r="T473" s="697"/>
      <c r="U473" s="697"/>
      <c r="V473" s="698"/>
      <c r="W473" s="698"/>
      <c r="X473" s="697"/>
      <c r="Y473" s="697"/>
      <c r="Z473" s="697"/>
      <c r="AA473" s="697"/>
      <c r="AB473" s="697"/>
    </row>
    <row r="474" spans="1:28" x14ac:dyDescent="0.2">
      <c r="A474" s="694" t="str">
        <f>+Info!$B$2</f>
        <v>724</v>
      </c>
      <c r="B474" s="694" t="s">
        <v>5742</v>
      </c>
      <c r="C474" s="694" t="s">
        <v>5743</v>
      </c>
      <c r="D474" s="695" t="s">
        <v>5744</v>
      </c>
      <c r="E474" s="696"/>
      <c r="F474" s="697"/>
      <c r="G474" s="697"/>
      <c r="H474" s="698"/>
      <c r="I474" s="698"/>
      <c r="J474" s="697"/>
      <c r="K474" s="697"/>
      <c r="L474" s="697"/>
      <c r="M474" s="697"/>
      <c r="N474" s="698"/>
      <c r="O474" s="698"/>
      <c r="P474" s="698"/>
      <c r="Q474" s="697"/>
      <c r="R474" s="698"/>
      <c r="S474" s="697"/>
      <c r="T474" s="697"/>
      <c r="U474" s="697"/>
      <c r="V474" s="698"/>
      <c r="W474" s="698"/>
      <c r="X474" s="697"/>
      <c r="Y474" s="697"/>
      <c r="Z474" s="697"/>
      <c r="AA474" s="697"/>
      <c r="AB474" s="697"/>
    </row>
    <row r="475" spans="1:28" x14ac:dyDescent="0.2">
      <c r="A475" s="694" t="str">
        <f>+Info!$B$2</f>
        <v>724</v>
      </c>
      <c r="B475" s="694" t="s">
        <v>5745</v>
      </c>
      <c r="C475" s="694" t="s">
        <v>5746</v>
      </c>
      <c r="D475" s="695" t="s">
        <v>5747</v>
      </c>
      <c r="E475" s="696"/>
      <c r="F475" s="697"/>
      <c r="G475" s="697"/>
      <c r="H475" s="698"/>
      <c r="I475" s="698"/>
      <c r="J475" s="697"/>
      <c r="K475" s="697"/>
      <c r="L475" s="697"/>
      <c r="M475" s="697"/>
      <c r="N475" s="698"/>
      <c r="O475" s="698"/>
      <c r="P475" s="698"/>
      <c r="Q475" s="697"/>
      <c r="R475" s="698"/>
      <c r="S475" s="697"/>
      <c r="T475" s="697"/>
      <c r="U475" s="697"/>
      <c r="V475" s="698"/>
      <c r="W475" s="698"/>
      <c r="X475" s="697"/>
      <c r="Y475" s="697"/>
      <c r="Z475" s="697"/>
      <c r="AA475" s="697"/>
      <c r="AB475" s="697"/>
    </row>
    <row r="476" spans="1:28" x14ac:dyDescent="0.2">
      <c r="A476" s="694" t="str">
        <f>+Info!$B$2</f>
        <v>724</v>
      </c>
      <c r="B476" s="694" t="s">
        <v>5748</v>
      </c>
      <c r="C476" s="694" t="s">
        <v>5749</v>
      </c>
      <c r="D476" s="695" t="s">
        <v>5750</v>
      </c>
      <c r="E476" s="696"/>
      <c r="F476" s="697"/>
      <c r="G476" s="697"/>
      <c r="H476" s="698"/>
      <c r="I476" s="698"/>
      <c r="J476" s="697"/>
      <c r="K476" s="697"/>
      <c r="L476" s="697"/>
      <c r="M476" s="697"/>
      <c r="N476" s="698"/>
      <c r="O476" s="698"/>
      <c r="P476" s="698"/>
      <c r="Q476" s="697"/>
      <c r="R476" s="698"/>
      <c r="S476" s="697"/>
      <c r="T476" s="697"/>
      <c r="U476" s="697"/>
      <c r="V476" s="698"/>
      <c r="W476" s="698"/>
      <c r="X476" s="697"/>
      <c r="Y476" s="697"/>
      <c r="Z476" s="697"/>
      <c r="AA476" s="697"/>
      <c r="AB476" s="697"/>
    </row>
    <row r="477" spans="1:28" x14ac:dyDescent="0.2">
      <c r="A477" s="694" t="str">
        <f>+Info!$B$2</f>
        <v>724</v>
      </c>
      <c r="B477" s="694" t="s">
        <v>5751</v>
      </c>
      <c r="C477" s="694" t="s">
        <v>5752</v>
      </c>
      <c r="D477" s="695" t="s">
        <v>5753</v>
      </c>
      <c r="E477" s="696"/>
      <c r="F477" s="697"/>
      <c r="G477" s="697"/>
      <c r="H477" s="698"/>
      <c r="I477" s="698"/>
      <c r="J477" s="697"/>
      <c r="K477" s="697"/>
      <c r="L477" s="697"/>
      <c r="M477" s="697"/>
      <c r="N477" s="698"/>
      <c r="O477" s="698"/>
      <c r="P477" s="698"/>
      <c r="Q477" s="697"/>
      <c r="R477" s="698"/>
      <c r="S477" s="697"/>
      <c r="T477" s="697"/>
      <c r="U477" s="697"/>
      <c r="V477" s="698"/>
      <c r="W477" s="698"/>
      <c r="X477" s="697"/>
      <c r="Y477" s="697"/>
      <c r="Z477" s="697"/>
      <c r="AA477" s="697"/>
      <c r="AB477" s="697"/>
    </row>
    <row r="478" spans="1:28" x14ac:dyDescent="0.2">
      <c r="A478" s="694" t="str">
        <f>+Info!$B$2</f>
        <v>724</v>
      </c>
      <c r="B478" s="694" t="s">
        <v>5754</v>
      </c>
      <c r="C478" s="694" t="s">
        <v>5755</v>
      </c>
      <c r="D478" s="695" t="s">
        <v>5756</v>
      </c>
      <c r="E478" s="696"/>
      <c r="F478" s="697"/>
      <c r="G478" s="697"/>
      <c r="H478" s="698"/>
      <c r="I478" s="698"/>
      <c r="J478" s="697"/>
      <c r="K478" s="697"/>
      <c r="L478" s="697"/>
      <c r="M478" s="697"/>
      <c r="N478" s="698"/>
      <c r="O478" s="698"/>
      <c r="P478" s="698"/>
      <c r="Q478" s="697"/>
      <c r="R478" s="698"/>
      <c r="S478" s="697"/>
      <c r="T478" s="697"/>
      <c r="U478" s="697"/>
      <c r="V478" s="698"/>
      <c r="W478" s="698"/>
      <c r="X478" s="697"/>
      <c r="Y478" s="697"/>
      <c r="Z478" s="697"/>
      <c r="AA478" s="697"/>
      <c r="AB478" s="697"/>
    </row>
    <row r="479" spans="1:28" x14ac:dyDescent="0.2">
      <c r="A479" s="694" t="str">
        <f>+Info!$B$2</f>
        <v>724</v>
      </c>
      <c r="B479" s="694" t="s">
        <v>5757</v>
      </c>
      <c r="C479" s="694" t="s">
        <v>5758</v>
      </c>
      <c r="D479" s="695" t="s">
        <v>5759</v>
      </c>
      <c r="E479" s="696"/>
      <c r="F479" s="697"/>
      <c r="G479" s="697"/>
      <c r="H479" s="698"/>
      <c r="I479" s="698"/>
      <c r="J479" s="697"/>
      <c r="K479" s="697"/>
      <c r="L479" s="697"/>
      <c r="M479" s="697"/>
      <c r="N479" s="698"/>
      <c r="O479" s="698"/>
      <c r="P479" s="698"/>
      <c r="Q479" s="697"/>
      <c r="R479" s="698"/>
      <c r="S479" s="697"/>
      <c r="T479" s="697"/>
      <c r="U479" s="697"/>
      <c r="V479" s="698"/>
      <c r="W479" s="698"/>
      <c r="X479" s="697"/>
      <c r="Y479" s="697"/>
      <c r="Z479" s="697"/>
      <c r="AA479" s="698"/>
      <c r="AB479" s="698"/>
    </row>
    <row r="480" spans="1:28" x14ac:dyDescent="0.2">
      <c r="A480" s="694" t="str">
        <f>+Info!$B$2</f>
        <v>724</v>
      </c>
      <c r="B480" s="694" t="s">
        <v>5760</v>
      </c>
      <c r="C480" s="694" t="s">
        <v>5761</v>
      </c>
      <c r="D480" s="695" t="s">
        <v>5762</v>
      </c>
      <c r="E480" s="696"/>
      <c r="F480" s="697"/>
      <c r="G480" s="697"/>
      <c r="H480" s="698"/>
      <c r="I480" s="698"/>
      <c r="J480" s="697"/>
      <c r="K480" s="697"/>
      <c r="L480" s="697"/>
      <c r="M480" s="697"/>
      <c r="N480" s="698"/>
      <c r="O480" s="698"/>
      <c r="P480" s="698"/>
      <c r="Q480" s="697"/>
      <c r="R480" s="698"/>
      <c r="S480" s="697"/>
      <c r="T480" s="697"/>
      <c r="U480" s="697"/>
      <c r="V480" s="698"/>
      <c r="W480" s="698"/>
      <c r="X480" s="697"/>
      <c r="Y480" s="697"/>
      <c r="Z480" s="697"/>
      <c r="AA480" s="698"/>
      <c r="AB480" s="698"/>
    </row>
    <row r="481" spans="1:28" x14ac:dyDescent="0.2">
      <c r="A481" s="694" t="str">
        <f>+Info!$B$2</f>
        <v>724</v>
      </c>
      <c r="B481" s="694" t="s">
        <v>5763</v>
      </c>
      <c r="C481" s="694" t="s">
        <v>5764</v>
      </c>
      <c r="D481" s="695" t="s">
        <v>5765</v>
      </c>
      <c r="E481" s="696"/>
      <c r="F481" s="697"/>
      <c r="G481" s="697"/>
      <c r="H481" s="698"/>
      <c r="I481" s="698"/>
      <c r="J481" s="697"/>
      <c r="K481" s="697"/>
      <c r="L481" s="697"/>
      <c r="M481" s="697"/>
      <c r="N481" s="698"/>
      <c r="O481" s="698"/>
      <c r="P481" s="698"/>
      <c r="Q481" s="697"/>
      <c r="R481" s="698"/>
      <c r="S481" s="697"/>
      <c r="T481" s="697"/>
      <c r="U481" s="697"/>
      <c r="V481" s="698"/>
      <c r="W481" s="698"/>
      <c r="X481" s="697"/>
      <c r="Y481" s="697"/>
      <c r="Z481" s="697"/>
      <c r="AA481" s="697"/>
      <c r="AB481" s="697"/>
    </row>
    <row r="482" spans="1:28" x14ac:dyDescent="0.2">
      <c r="A482" s="694" t="str">
        <f>+Info!$B$2</f>
        <v>724</v>
      </c>
      <c r="B482" s="694" t="s">
        <v>5766</v>
      </c>
      <c r="C482" s="694" t="s">
        <v>5767</v>
      </c>
      <c r="D482" s="695" t="s">
        <v>5768</v>
      </c>
      <c r="E482" s="696"/>
      <c r="F482" s="697"/>
      <c r="G482" s="697"/>
      <c r="H482" s="698"/>
      <c r="I482" s="698"/>
      <c r="J482" s="697"/>
      <c r="K482" s="697"/>
      <c r="L482" s="697"/>
      <c r="M482" s="697"/>
      <c r="N482" s="698"/>
      <c r="O482" s="698"/>
      <c r="P482" s="698"/>
      <c r="Q482" s="697"/>
      <c r="R482" s="697"/>
      <c r="S482" s="698"/>
      <c r="T482" s="697"/>
      <c r="U482" s="697"/>
      <c r="V482" s="698"/>
      <c r="W482" s="698"/>
      <c r="X482" s="697"/>
      <c r="Y482" s="697"/>
      <c r="Z482" s="697"/>
      <c r="AA482" s="697"/>
      <c r="AB482" s="697"/>
    </row>
    <row r="483" spans="1:28" x14ac:dyDescent="0.2">
      <c r="A483" s="694" t="str">
        <f>+Info!$B$2</f>
        <v>724</v>
      </c>
      <c r="B483" s="694" t="s">
        <v>5769</v>
      </c>
      <c r="C483" s="694" t="s">
        <v>5770</v>
      </c>
      <c r="D483" s="695" t="s">
        <v>5771</v>
      </c>
      <c r="E483" s="696"/>
      <c r="F483" s="697"/>
      <c r="G483" s="697"/>
      <c r="H483" s="698"/>
      <c r="I483" s="698"/>
      <c r="J483" s="697"/>
      <c r="K483" s="697"/>
      <c r="L483" s="697"/>
      <c r="M483" s="697"/>
      <c r="N483" s="698"/>
      <c r="O483" s="698"/>
      <c r="P483" s="698"/>
      <c r="Q483" s="697"/>
      <c r="R483" s="697"/>
      <c r="S483" s="698"/>
      <c r="T483" s="697"/>
      <c r="U483" s="697"/>
      <c r="V483" s="698"/>
      <c r="W483" s="698"/>
      <c r="X483" s="697"/>
      <c r="Y483" s="697"/>
      <c r="Z483" s="697"/>
      <c r="AA483" s="697"/>
      <c r="AB483" s="697"/>
    </row>
    <row r="484" spans="1:28" x14ac:dyDescent="0.2">
      <c r="A484" s="694" t="str">
        <f>+Info!$B$2</f>
        <v>724</v>
      </c>
      <c r="B484" s="694" t="s">
        <v>5772</v>
      </c>
      <c r="C484" s="694" t="s">
        <v>5773</v>
      </c>
      <c r="D484" s="695" t="s">
        <v>5774</v>
      </c>
      <c r="E484" s="696"/>
      <c r="F484" s="697"/>
      <c r="G484" s="697"/>
      <c r="H484" s="698"/>
      <c r="I484" s="698"/>
      <c r="J484" s="697"/>
      <c r="K484" s="697"/>
      <c r="L484" s="697"/>
      <c r="M484" s="697"/>
      <c r="N484" s="698"/>
      <c r="O484" s="698"/>
      <c r="P484" s="698"/>
      <c r="Q484" s="697"/>
      <c r="R484" s="697"/>
      <c r="S484" s="698"/>
      <c r="T484" s="697"/>
      <c r="U484" s="697"/>
      <c r="V484" s="698"/>
      <c r="W484" s="698"/>
      <c r="X484" s="697"/>
      <c r="Y484" s="697"/>
      <c r="Z484" s="697"/>
      <c r="AA484" s="697"/>
      <c r="AB484" s="697"/>
    </row>
    <row r="485" spans="1:28" x14ac:dyDescent="0.2">
      <c r="A485" s="694" t="str">
        <f>+Info!$B$2</f>
        <v>724</v>
      </c>
      <c r="B485" s="694" t="s">
        <v>5775</v>
      </c>
      <c r="C485" s="694" t="s">
        <v>5776</v>
      </c>
      <c r="D485" s="695" t="s">
        <v>5777</v>
      </c>
      <c r="E485" s="696"/>
      <c r="F485" s="697"/>
      <c r="G485" s="697"/>
      <c r="H485" s="698"/>
      <c r="I485" s="698"/>
      <c r="J485" s="697"/>
      <c r="K485" s="697"/>
      <c r="L485" s="697"/>
      <c r="M485" s="697"/>
      <c r="N485" s="698"/>
      <c r="O485" s="698"/>
      <c r="P485" s="698"/>
      <c r="Q485" s="697"/>
      <c r="R485" s="697"/>
      <c r="S485" s="698"/>
      <c r="T485" s="697"/>
      <c r="U485" s="697"/>
      <c r="V485" s="698"/>
      <c r="W485" s="698"/>
      <c r="X485" s="697"/>
      <c r="Y485" s="697"/>
      <c r="Z485" s="697"/>
      <c r="AA485" s="697"/>
      <c r="AB485" s="697"/>
    </row>
    <row r="486" spans="1:28" x14ac:dyDescent="0.2">
      <c r="A486" s="694" t="str">
        <f>+Info!$B$2</f>
        <v>724</v>
      </c>
      <c r="B486" s="694" t="s">
        <v>5778</v>
      </c>
      <c r="C486" s="694" t="s">
        <v>5779</v>
      </c>
      <c r="D486" s="695" t="s">
        <v>5780</v>
      </c>
      <c r="E486" s="696"/>
      <c r="F486" s="697"/>
      <c r="G486" s="697"/>
      <c r="H486" s="698"/>
      <c r="I486" s="698"/>
      <c r="J486" s="697"/>
      <c r="K486" s="697"/>
      <c r="L486" s="697"/>
      <c r="M486" s="697"/>
      <c r="N486" s="698"/>
      <c r="O486" s="698"/>
      <c r="P486" s="698"/>
      <c r="Q486" s="697"/>
      <c r="R486" s="697"/>
      <c r="S486" s="698"/>
      <c r="T486" s="697"/>
      <c r="U486" s="697"/>
      <c r="V486" s="698"/>
      <c r="W486" s="698"/>
      <c r="X486" s="697"/>
      <c r="Y486" s="697"/>
      <c r="Z486" s="697"/>
      <c r="AA486" s="697"/>
      <c r="AB486" s="697"/>
    </row>
    <row r="487" spans="1:28" x14ac:dyDescent="0.2">
      <c r="A487" s="694" t="str">
        <f>+Info!$B$2</f>
        <v>724</v>
      </c>
      <c r="B487" s="694" t="s">
        <v>5781</v>
      </c>
      <c r="C487" s="694" t="s">
        <v>5782</v>
      </c>
      <c r="D487" s="695" t="s">
        <v>5783</v>
      </c>
      <c r="E487" s="696"/>
      <c r="F487" s="697"/>
      <c r="G487" s="697"/>
      <c r="H487" s="698"/>
      <c r="I487" s="698"/>
      <c r="J487" s="697"/>
      <c r="K487" s="697"/>
      <c r="L487" s="697"/>
      <c r="M487" s="697"/>
      <c r="N487" s="698"/>
      <c r="O487" s="698"/>
      <c r="P487" s="698"/>
      <c r="Q487" s="697"/>
      <c r="R487" s="697"/>
      <c r="S487" s="698"/>
      <c r="T487" s="697"/>
      <c r="U487" s="697"/>
      <c r="V487" s="698"/>
      <c r="W487" s="698"/>
      <c r="X487" s="697"/>
      <c r="Y487" s="697"/>
      <c r="Z487" s="697"/>
      <c r="AA487" s="697"/>
      <c r="AB487" s="697"/>
    </row>
    <row r="488" spans="1:28" x14ac:dyDescent="0.2">
      <c r="A488" s="694" t="str">
        <f>+Info!$B$2</f>
        <v>724</v>
      </c>
      <c r="B488" s="694" t="s">
        <v>5784</v>
      </c>
      <c r="C488" s="694" t="s">
        <v>5785</v>
      </c>
      <c r="D488" s="695" t="s">
        <v>5786</v>
      </c>
      <c r="E488" s="696"/>
      <c r="F488" s="697"/>
      <c r="G488" s="697"/>
      <c r="H488" s="698"/>
      <c r="I488" s="698"/>
      <c r="J488" s="697"/>
      <c r="K488" s="697"/>
      <c r="L488" s="697"/>
      <c r="M488" s="697"/>
      <c r="N488" s="698"/>
      <c r="O488" s="698"/>
      <c r="P488" s="698"/>
      <c r="Q488" s="697"/>
      <c r="R488" s="697"/>
      <c r="S488" s="698"/>
      <c r="T488" s="697"/>
      <c r="U488" s="697"/>
      <c r="V488" s="698"/>
      <c r="W488" s="698"/>
      <c r="X488" s="697"/>
      <c r="Y488" s="697"/>
      <c r="Z488" s="697"/>
      <c r="AA488" s="697"/>
      <c r="AB488" s="697"/>
    </row>
    <row r="489" spans="1:28" x14ac:dyDescent="0.2">
      <c r="A489" s="694" t="str">
        <f>+Info!$B$2</f>
        <v>724</v>
      </c>
      <c r="B489" s="694" t="s">
        <v>5787</v>
      </c>
      <c r="C489" s="694" t="s">
        <v>5788</v>
      </c>
      <c r="D489" s="695" t="s">
        <v>5789</v>
      </c>
      <c r="E489" s="696"/>
      <c r="F489" s="697"/>
      <c r="G489" s="697"/>
      <c r="H489" s="698"/>
      <c r="I489" s="698"/>
      <c r="J489" s="697"/>
      <c r="K489" s="697"/>
      <c r="L489" s="697"/>
      <c r="M489" s="697"/>
      <c r="N489" s="698"/>
      <c r="O489" s="698"/>
      <c r="P489" s="698"/>
      <c r="Q489" s="697"/>
      <c r="R489" s="697"/>
      <c r="S489" s="698"/>
      <c r="T489" s="697"/>
      <c r="U489" s="697"/>
      <c r="V489" s="698"/>
      <c r="W489" s="698"/>
      <c r="X489" s="697"/>
      <c r="Y489" s="697"/>
      <c r="Z489" s="697"/>
      <c r="AA489" s="697"/>
      <c r="AB489" s="697"/>
    </row>
    <row r="490" spans="1:28" x14ac:dyDescent="0.2">
      <c r="A490" s="694" t="str">
        <f>+Info!$B$2</f>
        <v>724</v>
      </c>
      <c r="B490" s="694" t="s">
        <v>5790</v>
      </c>
      <c r="C490" s="694" t="s">
        <v>5791</v>
      </c>
      <c r="D490" s="695" t="s">
        <v>5792</v>
      </c>
      <c r="E490" s="696"/>
      <c r="F490" s="697"/>
      <c r="G490" s="697"/>
      <c r="H490" s="698"/>
      <c r="I490" s="698"/>
      <c r="J490" s="697"/>
      <c r="K490" s="697"/>
      <c r="L490" s="697"/>
      <c r="M490" s="697"/>
      <c r="N490" s="698"/>
      <c r="O490" s="698"/>
      <c r="P490" s="698"/>
      <c r="Q490" s="697"/>
      <c r="R490" s="697"/>
      <c r="S490" s="698"/>
      <c r="T490" s="697"/>
      <c r="U490" s="697"/>
      <c r="V490" s="698"/>
      <c r="W490" s="698"/>
      <c r="X490" s="697"/>
      <c r="Y490" s="697"/>
      <c r="Z490" s="697"/>
      <c r="AA490" s="698"/>
      <c r="AB490" s="698"/>
    </row>
    <row r="491" spans="1:28" x14ac:dyDescent="0.2">
      <c r="A491" s="694" t="str">
        <f>+Info!$B$2</f>
        <v>724</v>
      </c>
      <c r="B491" s="694" t="s">
        <v>5793</v>
      </c>
      <c r="C491" s="694" t="s">
        <v>5794</v>
      </c>
      <c r="D491" s="695" t="s">
        <v>5795</v>
      </c>
      <c r="E491" s="696"/>
      <c r="F491" s="697"/>
      <c r="G491" s="697"/>
      <c r="H491" s="698"/>
      <c r="I491" s="698"/>
      <c r="J491" s="697"/>
      <c r="K491" s="697"/>
      <c r="L491" s="697"/>
      <c r="M491" s="697"/>
      <c r="N491" s="698"/>
      <c r="O491" s="698"/>
      <c r="P491" s="698"/>
      <c r="Q491" s="697"/>
      <c r="R491" s="697"/>
      <c r="S491" s="698"/>
      <c r="T491" s="697"/>
      <c r="U491" s="697"/>
      <c r="V491" s="698"/>
      <c r="W491" s="698"/>
      <c r="X491" s="697"/>
      <c r="Y491" s="697"/>
      <c r="Z491" s="697"/>
      <c r="AA491" s="698"/>
      <c r="AB491" s="698"/>
    </row>
    <row r="492" spans="1:28" x14ac:dyDescent="0.2">
      <c r="A492" s="694" t="str">
        <f>+Info!$B$2</f>
        <v>724</v>
      </c>
      <c r="B492" s="694" t="s">
        <v>5796</v>
      </c>
      <c r="C492" s="694" t="s">
        <v>5797</v>
      </c>
      <c r="D492" s="695" t="s">
        <v>5798</v>
      </c>
      <c r="E492" s="696"/>
      <c r="F492" s="697"/>
      <c r="G492" s="697"/>
      <c r="H492" s="698"/>
      <c r="I492" s="698"/>
      <c r="J492" s="697"/>
      <c r="K492" s="697"/>
      <c r="L492" s="697"/>
      <c r="M492" s="697"/>
      <c r="N492" s="698"/>
      <c r="O492" s="698"/>
      <c r="P492" s="698"/>
      <c r="Q492" s="697"/>
      <c r="R492" s="697"/>
      <c r="S492" s="698"/>
      <c r="T492" s="697"/>
      <c r="U492" s="697"/>
      <c r="V492" s="698"/>
      <c r="W492" s="698"/>
      <c r="X492" s="697"/>
      <c r="Y492" s="697"/>
      <c r="Z492" s="697"/>
      <c r="AA492" s="697"/>
      <c r="AB492" s="697"/>
    </row>
    <row r="493" spans="1:28" x14ac:dyDescent="0.2">
      <c r="A493" s="694" t="str">
        <f>+Info!$B$2</f>
        <v>724</v>
      </c>
      <c r="B493" s="694" t="s">
        <v>5799</v>
      </c>
      <c r="C493" s="694" t="s">
        <v>5800</v>
      </c>
      <c r="D493" s="695" t="s">
        <v>5801</v>
      </c>
      <c r="E493" s="696"/>
      <c r="F493" s="697"/>
      <c r="G493" s="697"/>
      <c r="H493" s="698"/>
      <c r="I493" s="698"/>
      <c r="J493" s="697"/>
      <c r="K493" s="697"/>
      <c r="L493" s="697"/>
      <c r="M493" s="697"/>
      <c r="N493" s="698"/>
      <c r="O493" s="698"/>
      <c r="P493" s="698"/>
      <c r="Q493" s="697"/>
      <c r="R493" s="697"/>
      <c r="S493" s="698"/>
      <c r="T493" s="697"/>
      <c r="U493" s="697"/>
      <c r="V493" s="698"/>
      <c r="W493" s="698"/>
      <c r="X493" s="697"/>
      <c r="Y493" s="697"/>
      <c r="Z493" s="697"/>
      <c r="AA493" s="697"/>
      <c r="AB493" s="697"/>
    </row>
    <row r="494" spans="1:28" x14ac:dyDescent="0.2">
      <c r="A494" s="694" t="str">
        <f>+Info!$B$2</f>
        <v>724</v>
      </c>
      <c r="B494" s="694" t="s">
        <v>5802</v>
      </c>
      <c r="C494" s="694" t="s">
        <v>5803</v>
      </c>
      <c r="D494" s="695" t="s">
        <v>5804</v>
      </c>
      <c r="E494" s="696"/>
      <c r="F494" s="697"/>
      <c r="G494" s="697"/>
      <c r="H494" s="698"/>
      <c r="I494" s="698"/>
      <c r="J494" s="697"/>
      <c r="K494" s="697"/>
      <c r="L494" s="697"/>
      <c r="M494" s="697"/>
      <c r="N494" s="698"/>
      <c r="O494" s="698"/>
      <c r="P494" s="698"/>
      <c r="Q494" s="697"/>
      <c r="R494" s="697"/>
      <c r="S494" s="698"/>
      <c r="T494" s="697"/>
      <c r="U494" s="697"/>
      <c r="V494" s="698"/>
      <c r="W494" s="698"/>
      <c r="X494" s="697"/>
      <c r="Y494" s="697"/>
      <c r="Z494" s="697"/>
      <c r="AA494" s="697"/>
      <c r="AB494" s="697"/>
    </row>
    <row r="495" spans="1:28" x14ac:dyDescent="0.2">
      <c r="A495" s="694" t="str">
        <f>+Info!$B$2</f>
        <v>724</v>
      </c>
      <c r="B495" s="694" t="s">
        <v>5805</v>
      </c>
      <c r="C495" s="694" t="s">
        <v>5806</v>
      </c>
      <c r="D495" s="695" t="s">
        <v>5807</v>
      </c>
      <c r="E495" s="696"/>
      <c r="F495" s="697"/>
      <c r="G495" s="697"/>
      <c r="H495" s="698"/>
      <c r="I495" s="698"/>
      <c r="J495" s="697"/>
      <c r="K495" s="697"/>
      <c r="L495" s="697"/>
      <c r="M495" s="697"/>
      <c r="N495" s="698"/>
      <c r="O495" s="698"/>
      <c r="P495" s="698"/>
      <c r="Q495" s="697"/>
      <c r="R495" s="697"/>
      <c r="S495" s="698"/>
      <c r="T495" s="697"/>
      <c r="U495" s="697"/>
      <c r="V495" s="698"/>
      <c r="W495" s="698"/>
      <c r="X495" s="697"/>
      <c r="Y495" s="697"/>
      <c r="Z495" s="697"/>
      <c r="AA495" s="697"/>
      <c r="AB495" s="697"/>
    </row>
    <row r="496" spans="1:28" x14ac:dyDescent="0.2">
      <c r="A496" s="694" t="str">
        <f>+Info!$B$2</f>
        <v>724</v>
      </c>
      <c r="B496" s="694" t="s">
        <v>5808</v>
      </c>
      <c r="C496" s="694" t="s">
        <v>5809</v>
      </c>
      <c r="D496" s="695" t="s">
        <v>5810</v>
      </c>
      <c r="E496" s="696"/>
      <c r="F496" s="697"/>
      <c r="G496" s="697"/>
      <c r="H496" s="698"/>
      <c r="I496" s="698"/>
      <c r="J496" s="697"/>
      <c r="K496" s="697"/>
      <c r="L496" s="697"/>
      <c r="M496" s="697"/>
      <c r="N496" s="698"/>
      <c r="O496" s="698"/>
      <c r="P496" s="698"/>
      <c r="Q496" s="697"/>
      <c r="R496" s="697"/>
      <c r="S496" s="698"/>
      <c r="T496" s="697"/>
      <c r="U496" s="697"/>
      <c r="V496" s="698"/>
      <c r="W496" s="698"/>
      <c r="X496" s="697"/>
      <c r="Y496" s="697"/>
      <c r="Z496" s="697"/>
      <c r="AA496" s="697"/>
      <c r="AB496" s="697"/>
    </row>
    <row r="497" spans="1:28" x14ac:dyDescent="0.2">
      <c r="A497" s="694" t="str">
        <f>+Info!$B$2</f>
        <v>724</v>
      </c>
      <c r="B497" s="694" t="s">
        <v>5811</v>
      </c>
      <c r="C497" s="694" t="s">
        <v>5812</v>
      </c>
      <c r="D497" s="695" t="s">
        <v>5813</v>
      </c>
      <c r="E497" s="696"/>
      <c r="F497" s="697"/>
      <c r="G497" s="697"/>
      <c r="H497" s="698"/>
      <c r="I497" s="698"/>
      <c r="J497" s="697"/>
      <c r="K497" s="697"/>
      <c r="L497" s="697"/>
      <c r="M497" s="697"/>
      <c r="N497" s="698"/>
      <c r="O497" s="698"/>
      <c r="P497" s="698"/>
      <c r="Q497" s="697"/>
      <c r="R497" s="697"/>
      <c r="S497" s="698"/>
      <c r="T497" s="697"/>
      <c r="U497" s="697"/>
      <c r="V497" s="698"/>
      <c r="W497" s="698"/>
      <c r="X497" s="697"/>
      <c r="Y497" s="697"/>
      <c r="Z497" s="697"/>
      <c r="AA497" s="697"/>
      <c r="AB497" s="697"/>
    </row>
    <row r="498" spans="1:28" x14ac:dyDescent="0.2">
      <c r="A498" s="694" t="str">
        <f>+Info!$B$2</f>
        <v>724</v>
      </c>
      <c r="B498" s="694" t="s">
        <v>5814</v>
      </c>
      <c r="C498" s="694" t="s">
        <v>5815</v>
      </c>
      <c r="D498" s="695" t="s">
        <v>5816</v>
      </c>
      <c r="E498" s="696"/>
      <c r="F498" s="697"/>
      <c r="G498" s="697"/>
      <c r="H498" s="698"/>
      <c r="I498" s="698"/>
      <c r="J498" s="697"/>
      <c r="K498" s="697"/>
      <c r="L498" s="697"/>
      <c r="M498" s="697"/>
      <c r="N498" s="698"/>
      <c r="O498" s="698"/>
      <c r="P498" s="698"/>
      <c r="Q498" s="697"/>
      <c r="R498" s="697"/>
      <c r="S498" s="698"/>
      <c r="T498" s="697"/>
      <c r="U498" s="697"/>
      <c r="V498" s="698"/>
      <c r="W498" s="698"/>
      <c r="X498" s="697"/>
      <c r="Y498" s="697"/>
      <c r="Z498" s="697"/>
      <c r="AA498" s="697"/>
      <c r="AB498" s="697"/>
    </row>
    <row r="499" spans="1:28" x14ac:dyDescent="0.2">
      <c r="A499" s="694" t="str">
        <f>+Info!$B$2</f>
        <v>724</v>
      </c>
      <c r="B499" s="694" t="s">
        <v>5817</v>
      </c>
      <c r="C499" s="694" t="s">
        <v>5818</v>
      </c>
      <c r="D499" s="695" t="s">
        <v>5819</v>
      </c>
      <c r="E499" s="696"/>
      <c r="F499" s="697"/>
      <c r="G499" s="697"/>
      <c r="H499" s="698"/>
      <c r="I499" s="698"/>
      <c r="J499" s="697"/>
      <c r="K499" s="697"/>
      <c r="L499" s="697"/>
      <c r="M499" s="697"/>
      <c r="N499" s="698"/>
      <c r="O499" s="698"/>
      <c r="P499" s="698"/>
      <c r="Q499" s="697"/>
      <c r="R499" s="697"/>
      <c r="S499" s="698"/>
      <c r="T499" s="697"/>
      <c r="U499" s="697"/>
      <c r="V499" s="698"/>
      <c r="W499" s="698"/>
      <c r="X499" s="697"/>
      <c r="Y499" s="697"/>
      <c r="Z499" s="697"/>
      <c r="AA499" s="697"/>
      <c r="AB499" s="697"/>
    </row>
    <row r="500" spans="1:28" x14ac:dyDescent="0.2">
      <c r="A500" s="694" t="str">
        <f>+Info!$B$2</f>
        <v>724</v>
      </c>
      <c r="B500" s="694" t="s">
        <v>5820</v>
      </c>
      <c r="C500" s="694" t="s">
        <v>5821</v>
      </c>
      <c r="D500" s="695" t="s">
        <v>5822</v>
      </c>
      <c r="E500" s="696"/>
      <c r="F500" s="697"/>
      <c r="G500" s="697"/>
      <c r="H500" s="698"/>
      <c r="I500" s="698"/>
      <c r="J500" s="697"/>
      <c r="K500" s="697"/>
      <c r="L500" s="697"/>
      <c r="M500" s="697"/>
      <c r="N500" s="698"/>
      <c r="O500" s="698"/>
      <c r="P500" s="698"/>
      <c r="Q500" s="697"/>
      <c r="R500" s="697"/>
      <c r="S500" s="698"/>
      <c r="T500" s="697"/>
      <c r="U500" s="697"/>
      <c r="V500" s="698"/>
      <c r="W500" s="698"/>
      <c r="X500" s="697"/>
      <c r="Y500" s="697"/>
      <c r="Z500" s="697"/>
      <c r="AA500" s="697"/>
      <c r="AB500" s="697"/>
    </row>
    <row r="501" spans="1:28" x14ac:dyDescent="0.2">
      <c r="A501" s="694" t="str">
        <f>+Info!$B$2</f>
        <v>724</v>
      </c>
      <c r="B501" s="694" t="s">
        <v>5823</v>
      </c>
      <c r="C501" s="694" t="s">
        <v>5824</v>
      </c>
      <c r="D501" s="695" t="s">
        <v>5825</v>
      </c>
      <c r="E501" s="696"/>
      <c r="F501" s="697"/>
      <c r="G501" s="697"/>
      <c r="H501" s="698"/>
      <c r="I501" s="698"/>
      <c r="J501" s="697"/>
      <c r="K501" s="697"/>
      <c r="L501" s="697"/>
      <c r="M501" s="697"/>
      <c r="N501" s="698"/>
      <c r="O501" s="698"/>
      <c r="P501" s="698"/>
      <c r="Q501" s="697"/>
      <c r="R501" s="697"/>
      <c r="S501" s="698"/>
      <c r="T501" s="697"/>
      <c r="U501" s="697"/>
      <c r="V501" s="698"/>
      <c r="W501" s="698"/>
      <c r="X501" s="697"/>
      <c r="Y501" s="697"/>
      <c r="Z501" s="697"/>
      <c r="AA501" s="698"/>
      <c r="AB501" s="698"/>
    </row>
    <row r="502" spans="1:28" x14ac:dyDescent="0.2">
      <c r="A502" s="694" t="str">
        <f>+Info!$B$2</f>
        <v>724</v>
      </c>
      <c r="B502" s="694" t="s">
        <v>5826</v>
      </c>
      <c r="C502" s="694" t="s">
        <v>5827</v>
      </c>
      <c r="D502" s="695" t="s">
        <v>5828</v>
      </c>
      <c r="E502" s="696"/>
      <c r="F502" s="697"/>
      <c r="G502" s="697"/>
      <c r="H502" s="698"/>
      <c r="I502" s="698"/>
      <c r="J502" s="697"/>
      <c r="K502" s="697"/>
      <c r="L502" s="697"/>
      <c r="M502" s="697"/>
      <c r="N502" s="698"/>
      <c r="O502" s="698"/>
      <c r="P502" s="698"/>
      <c r="Q502" s="697"/>
      <c r="R502" s="697"/>
      <c r="S502" s="698"/>
      <c r="T502" s="697"/>
      <c r="U502" s="697"/>
      <c r="V502" s="698"/>
      <c r="W502" s="698"/>
      <c r="X502" s="697"/>
      <c r="Y502" s="697"/>
      <c r="Z502" s="697"/>
      <c r="AA502" s="698"/>
      <c r="AB502" s="698"/>
    </row>
    <row r="503" spans="1:28" x14ac:dyDescent="0.2">
      <c r="A503" s="694" t="str">
        <f>+Info!$B$2</f>
        <v>724</v>
      </c>
      <c r="B503" s="694" t="s">
        <v>5829</v>
      </c>
      <c r="C503" s="694" t="s">
        <v>5830</v>
      </c>
      <c r="D503" s="695" t="s">
        <v>5831</v>
      </c>
      <c r="E503" s="696"/>
      <c r="F503" s="697"/>
      <c r="G503" s="697"/>
      <c r="H503" s="698"/>
      <c r="I503" s="698"/>
      <c r="J503" s="697"/>
      <c r="K503" s="697"/>
      <c r="L503" s="697"/>
      <c r="M503" s="697"/>
      <c r="N503" s="698"/>
      <c r="O503" s="698"/>
      <c r="P503" s="698"/>
      <c r="Q503" s="697"/>
      <c r="R503" s="697"/>
      <c r="S503" s="698"/>
      <c r="T503" s="697"/>
      <c r="U503" s="697"/>
      <c r="V503" s="698"/>
      <c r="W503" s="698"/>
      <c r="X503" s="697"/>
      <c r="Y503" s="697"/>
      <c r="Z503" s="697"/>
      <c r="AA503" s="697"/>
      <c r="AB503" s="697"/>
    </row>
    <row r="504" spans="1:28" x14ac:dyDescent="0.2">
      <c r="A504" s="694" t="str">
        <f>+Info!$B$2</f>
        <v>724</v>
      </c>
      <c r="B504" s="694" t="s">
        <v>5832</v>
      </c>
      <c r="C504" s="694" t="s">
        <v>5833</v>
      </c>
      <c r="D504" s="695" t="s">
        <v>5834</v>
      </c>
      <c r="E504" s="696"/>
      <c r="F504" s="697"/>
      <c r="G504" s="697"/>
      <c r="H504" s="698"/>
      <c r="I504" s="698"/>
      <c r="J504" s="697"/>
      <c r="K504" s="697"/>
      <c r="L504" s="697"/>
      <c r="M504" s="697"/>
      <c r="N504" s="698"/>
      <c r="O504" s="698"/>
      <c r="P504" s="698"/>
      <c r="Q504" s="697"/>
      <c r="R504" s="697"/>
      <c r="S504" s="698"/>
      <c r="T504" s="697"/>
      <c r="U504" s="697"/>
      <c r="V504" s="698"/>
      <c r="W504" s="698"/>
      <c r="X504" s="697"/>
      <c r="Y504" s="697"/>
      <c r="Z504" s="697"/>
      <c r="AA504" s="697"/>
      <c r="AB504" s="697"/>
    </row>
    <row r="505" spans="1:28" x14ac:dyDescent="0.2">
      <c r="A505" s="694" t="str">
        <f>+Info!$B$2</f>
        <v>724</v>
      </c>
      <c r="B505" s="694" t="s">
        <v>5835</v>
      </c>
      <c r="C505" s="694" t="s">
        <v>5836</v>
      </c>
      <c r="D505" s="695" t="s">
        <v>5837</v>
      </c>
      <c r="E505" s="696"/>
      <c r="F505" s="697"/>
      <c r="G505" s="697"/>
      <c r="H505" s="698"/>
      <c r="I505" s="698"/>
      <c r="J505" s="697"/>
      <c r="K505" s="697"/>
      <c r="L505" s="697"/>
      <c r="M505" s="697"/>
      <c r="N505" s="698"/>
      <c r="O505" s="698"/>
      <c r="P505" s="698"/>
      <c r="Q505" s="697"/>
      <c r="R505" s="697"/>
      <c r="S505" s="698"/>
      <c r="T505" s="697"/>
      <c r="U505" s="697"/>
      <c r="V505" s="698"/>
      <c r="W505" s="698"/>
      <c r="X505" s="697"/>
      <c r="Y505" s="697"/>
      <c r="Z505" s="697"/>
      <c r="AA505" s="697"/>
      <c r="AB505" s="697"/>
    </row>
    <row r="506" spans="1:28" x14ac:dyDescent="0.2">
      <c r="A506" s="694" t="str">
        <f>+Info!$B$2</f>
        <v>724</v>
      </c>
      <c r="B506" s="694" t="s">
        <v>5838</v>
      </c>
      <c r="C506" s="694" t="s">
        <v>5839</v>
      </c>
      <c r="D506" s="695" t="s">
        <v>5840</v>
      </c>
      <c r="E506" s="696"/>
      <c r="F506" s="697"/>
      <c r="G506" s="697"/>
      <c r="H506" s="698"/>
      <c r="I506" s="698"/>
      <c r="J506" s="697"/>
      <c r="K506" s="697"/>
      <c r="L506" s="697"/>
      <c r="M506" s="697"/>
      <c r="N506" s="698"/>
      <c r="O506" s="698"/>
      <c r="P506" s="698"/>
      <c r="Q506" s="697"/>
      <c r="R506" s="697"/>
      <c r="S506" s="698"/>
      <c r="T506" s="697"/>
      <c r="U506" s="697"/>
      <c r="V506" s="698"/>
      <c r="W506" s="698"/>
      <c r="X506" s="697"/>
      <c r="Y506" s="697"/>
      <c r="Z506" s="697"/>
      <c r="AA506" s="697"/>
      <c r="AB506" s="697"/>
    </row>
    <row r="507" spans="1:28" x14ac:dyDescent="0.2">
      <c r="A507" s="694" t="str">
        <f>+Info!$B$2</f>
        <v>724</v>
      </c>
      <c r="B507" s="694" t="s">
        <v>5841</v>
      </c>
      <c r="C507" s="694" t="s">
        <v>5842</v>
      </c>
      <c r="D507" s="695" t="s">
        <v>5843</v>
      </c>
      <c r="E507" s="696"/>
      <c r="F507" s="697"/>
      <c r="G507" s="697"/>
      <c r="H507" s="698"/>
      <c r="I507" s="698"/>
      <c r="J507" s="697"/>
      <c r="K507" s="697"/>
      <c r="L507" s="697"/>
      <c r="M507" s="697"/>
      <c r="N507" s="698"/>
      <c r="O507" s="698"/>
      <c r="P507" s="698"/>
      <c r="Q507" s="697"/>
      <c r="R507" s="697"/>
      <c r="S507" s="698"/>
      <c r="T507" s="697"/>
      <c r="U507" s="697"/>
      <c r="V507" s="698"/>
      <c r="W507" s="698"/>
      <c r="X507" s="697"/>
      <c r="Y507" s="697"/>
      <c r="Z507" s="697"/>
      <c r="AA507" s="697"/>
      <c r="AB507" s="697"/>
    </row>
    <row r="508" spans="1:28" x14ac:dyDescent="0.2">
      <c r="A508" s="694" t="str">
        <f>+Info!$B$2</f>
        <v>724</v>
      </c>
      <c r="B508" s="694" t="s">
        <v>5844</v>
      </c>
      <c r="C508" s="694" t="s">
        <v>5845</v>
      </c>
      <c r="D508" s="695" t="s">
        <v>5846</v>
      </c>
      <c r="E508" s="696"/>
      <c r="F508" s="697"/>
      <c r="G508" s="697"/>
      <c r="H508" s="698"/>
      <c r="I508" s="698"/>
      <c r="J508" s="697"/>
      <c r="K508" s="697"/>
      <c r="L508" s="697"/>
      <c r="M508" s="697"/>
      <c r="N508" s="698"/>
      <c r="O508" s="698"/>
      <c r="P508" s="698"/>
      <c r="Q508" s="697"/>
      <c r="R508" s="697"/>
      <c r="S508" s="698"/>
      <c r="T508" s="697"/>
      <c r="U508" s="697"/>
      <c r="V508" s="698"/>
      <c r="W508" s="698"/>
      <c r="X508" s="697"/>
      <c r="Y508" s="697"/>
      <c r="Z508" s="697"/>
      <c r="AA508" s="697"/>
      <c r="AB508" s="697"/>
    </row>
    <row r="509" spans="1:28" x14ac:dyDescent="0.2">
      <c r="A509" s="694" t="str">
        <f>+Info!$B$2</f>
        <v>724</v>
      </c>
      <c r="B509" s="694" t="s">
        <v>5847</v>
      </c>
      <c r="C509" s="694" t="s">
        <v>5848</v>
      </c>
      <c r="D509" s="695" t="s">
        <v>5849</v>
      </c>
      <c r="E509" s="696"/>
      <c r="F509" s="697"/>
      <c r="G509" s="697"/>
      <c r="H509" s="698"/>
      <c r="I509" s="698"/>
      <c r="J509" s="697"/>
      <c r="K509" s="697"/>
      <c r="L509" s="697"/>
      <c r="M509" s="697"/>
      <c r="N509" s="698"/>
      <c r="O509" s="698"/>
      <c r="P509" s="698"/>
      <c r="Q509" s="697"/>
      <c r="R509" s="697"/>
      <c r="S509" s="698"/>
      <c r="T509" s="697"/>
      <c r="U509" s="697"/>
      <c r="V509" s="698"/>
      <c r="W509" s="698"/>
      <c r="X509" s="697"/>
      <c r="Y509" s="697"/>
      <c r="Z509" s="697"/>
      <c r="AA509" s="697"/>
      <c r="AB509" s="697"/>
    </row>
    <row r="510" spans="1:28" x14ac:dyDescent="0.2">
      <c r="A510" s="694" t="str">
        <f>+Info!$B$2</f>
        <v>724</v>
      </c>
      <c r="B510" s="694" t="s">
        <v>5850</v>
      </c>
      <c r="C510" s="694" t="s">
        <v>5851</v>
      </c>
      <c r="D510" s="695" t="s">
        <v>5852</v>
      </c>
      <c r="E510" s="696"/>
      <c r="F510" s="697"/>
      <c r="G510" s="697"/>
      <c r="H510" s="698"/>
      <c r="I510" s="698"/>
      <c r="J510" s="697"/>
      <c r="K510" s="697"/>
      <c r="L510" s="697"/>
      <c r="M510" s="697"/>
      <c r="N510" s="698"/>
      <c r="O510" s="698"/>
      <c r="P510" s="698"/>
      <c r="Q510" s="697"/>
      <c r="R510" s="697"/>
      <c r="S510" s="698"/>
      <c r="T510" s="697"/>
      <c r="U510" s="697"/>
      <c r="V510" s="698"/>
      <c r="W510" s="698"/>
      <c r="X510" s="697"/>
      <c r="Y510" s="697"/>
      <c r="Z510" s="697"/>
      <c r="AA510" s="697"/>
      <c r="AB510" s="697"/>
    </row>
    <row r="511" spans="1:28" x14ac:dyDescent="0.2">
      <c r="A511" s="694" t="str">
        <f>+Info!$B$2</f>
        <v>724</v>
      </c>
      <c r="B511" s="694" t="s">
        <v>5853</v>
      </c>
      <c r="C511" s="694" t="s">
        <v>5854</v>
      </c>
      <c r="D511" s="695" t="s">
        <v>5855</v>
      </c>
      <c r="E511" s="696"/>
      <c r="F511" s="697"/>
      <c r="G511" s="697"/>
      <c r="H511" s="698"/>
      <c r="I511" s="698"/>
      <c r="J511" s="697"/>
      <c r="K511" s="697"/>
      <c r="L511" s="697"/>
      <c r="M511" s="697"/>
      <c r="N511" s="698"/>
      <c r="O511" s="698"/>
      <c r="P511" s="698"/>
      <c r="Q511" s="697"/>
      <c r="R511" s="697"/>
      <c r="S511" s="698"/>
      <c r="T511" s="697"/>
      <c r="U511" s="697"/>
      <c r="V511" s="698"/>
      <c r="W511" s="698"/>
      <c r="X511" s="697"/>
      <c r="Y511" s="697"/>
      <c r="Z511" s="697"/>
      <c r="AA511" s="697"/>
      <c r="AB511" s="697"/>
    </row>
    <row r="512" spans="1:28" x14ac:dyDescent="0.2">
      <c r="A512" s="694" t="str">
        <f>+Info!$B$2</f>
        <v>724</v>
      </c>
      <c r="B512" s="694" t="s">
        <v>5856</v>
      </c>
      <c r="C512" s="694" t="s">
        <v>5857</v>
      </c>
      <c r="D512" s="695" t="s">
        <v>5858</v>
      </c>
      <c r="E512" s="696"/>
      <c r="F512" s="697"/>
      <c r="G512" s="697"/>
      <c r="H512" s="698"/>
      <c r="I512" s="698"/>
      <c r="J512" s="697"/>
      <c r="K512" s="697"/>
      <c r="L512" s="697"/>
      <c r="M512" s="697"/>
      <c r="N512" s="698"/>
      <c r="O512" s="698"/>
      <c r="P512" s="698"/>
      <c r="Q512" s="697"/>
      <c r="R512" s="697"/>
      <c r="S512" s="698"/>
      <c r="T512" s="697"/>
      <c r="U512" s="697"/>
      <c r="V512" s="698"/>
      <c r="W512" s="698"/>
      <c r="X512" s="697"/>
      <c r="Y512" s="697"/>
      <c r="Z512" s="697"/>
      <c r="AA512" s="698"/>
      <c r="AB512" s="698"/>
    </row>
    <row r="513" spans="1:28" x14ac:dyDescent="0.2">
      <c r="A513" s="694" t="str">
        <f>+Info!$B$2</f>
        <v>724</v>
      </c>
      <c r="B513" s="694" t="s">
        <v>5859</v>
      </c>
      <c r="C513" s="694" t="s">
        <v>5860</v>
      </c>
      <c r="D513" s="695" t="s">
        <v>5861</v>
      </c>
      <c r="E513" s="696"/>
      <c r="F513" s="697"/>
      <c r="G513" s="697"/>
      <c r="H513" s="698"/>
      <c r="I513" s="698"/>
      <c r="J513" s="697"/>
      <c r="K513" s="697"/>
      <c r="L513" s="697"/>
      <c r="M513" s="697"/>
      <c r="N513" s="698"/>
      <c r="O513" s="698"/>
      <c r="P513" s="698"/>
      <c r="Q513" s="697"/>
      <c r="R513" s="697"/>
      <c r="S513" s="698"/>
      <c r="T513" s="697"/>
      <c r="U513" s="697"/>
      <c r="V513" s="698"/>
      <c r="W513" s="698"/>
      <c r="X513" s="697"/>
      <c r="Y513" s="697"/>
      <c r="Z513" s="697"/>
      <c r="AA513" s="698"/>
      <c r="AB513" s="698"/>
    </row>
    <row r="514" spans="1:28" x14ac:dyDescent="0.2">
      <c r="A514" s="694" t="str">
        <f>+Info!$B$2</f>
        <v>724</v>
      </c>
      <c r="B514" s="694" t="s">
        <v>5862</v>
      </c>
      <c r="C514" s="694" t="s">
        <v>5863</v>
      </c>
      <c r="D514" s="695" t="s">
        <v>5864</v>
      </c>
      <c r="E514" s="696"/>
      <c r="F514" s="697"/>
      <c r="G514" s="697"/>
      <c r="H514" s="698"/>
      <c r="I514" s="698"/>
      <c r="J514" s="697"/>
      <c r="K514" s="697"/>
      <c r="L514" s="697"/>
      <c r="M514" s="697"/>
      <c r="N514" s="698"/>
      <c r="O514" s="698"/>
      <c r="P514" s="698"/>
      <c r="Q514" s="697"/>
      <c r="R514" s="697"/>
      <c r="S514" s="698"/>
      <c r="T514" s="697"/>
      <c r="U514" s="697"/>
      <c r="V514" s="698"/>
      <c r="W514" s="698"/>
      <c r="X514" s="697"/>
      <c r="Y514" s="697"/>
      <c r="Z514" s="697"/>
      <c r="AA514" s="697"/>
      <c r="AB514" s="697"/>
    </row>
    <row r="515" spans="1:28" ht="15" x14ac:dyDescent="0.25">
      <c r="A515" s="691" t="str">
        <f>+Info!$B$2</f>
        <v>724</v>
      </c>
      <c r="B515" s="691" t="s">
        <v>5865</v>
      </c>
      <c r="C515" s="691" t="s">
        <v>5866</v>
      </c>
      <c r="D515" s="692" t="s">
        <v>5867</v>
      </c>
      <c r="E515" s="693"/>
      <c r="F515" s="701"/>
      <c r="G515" s="701"/>
      <c r="H515" s="701"/>
      <c r="I515" s="701"/>
      <c r="J515" s="701"/>
      <c r="K515" s="701"/>
      <c r="L515" s="701"/>
      <c r="M515" s="701"/>
      <c r="N515" s="701"/>
      <c r="O515" s="701"/>
      <c r="P515" s="701"/>
      <c r="Q515" s="701"/>
      <c r="R515" s="701"/>
      <c r="S515" s="701"/>
      <c r="T515" s="701"/>
      <c r="U515" s="701"/>
      <c r="V515" s="701"/>
      <c r="W515" s="701"/>
      <c r="X515" s="701"/>
      <c r="Y515" s="701"/>
      <c r="Z515" s="701"/>
      <c r="AA515" s="701"/>
      <c r="AB515" s="701"/>
    </row>
    <row r="516" spans="1:28" x14ac:dyDescent="0.2">
      <c r="A516" s="694" t="str">
        <f>+Info!$B$2</f>
        <v>724</v>
      </c>
      <c r="B516" s="694" t="s">
        <v>5868</v>
      </c>
      <c r="C516" s="694" t="s">
        <v>5869</v>
      </c>
      <c r="D516" s="695" t="s">
        <v>5870</v>
      </c>
      <c r="E516" s="696"/>
      <c r="F516" s="697"/>
      <c r="G516" s="697"/>
      <c r="H516" s="698"/>
      <c r="I516" s="698"/>
      <c r="J516" s="697"/>
      <c r="K516" s="697"/>
      <c r="L516" s="697"/>
      <c r="M516" s="697"/>
      <c r="N516" s="698"/>
      <c r="O516" s="698"/>
      <c r="P516" s="698"/>
      <c r="Q516" s="697"/>
      <c r="R516" s="698"/>
      <c r="S516" s="697"/>
      <c r="T516" s="697"/>
      <c r="U516" s="697"/>
      <c r="V516" s="698"/>
      <c r="W516" s="698"/>
      <c r="X516" s="697"/>
      <c r="Y516" s="697"/>
      <c r="Z516" s="697"/>
      <c r="AA516" s="697"/>
      <c r="AB516" s="697"/>
    </row>
    <row r="517" spans="1:28" x14ac:dyDescent="0.2">
      <c r="A517" s="694" t="str">
        <f>+Info!$B$2</f>
        <v>724</v>
      </c>
      <c r="B517" s="694" t="s">
        <v>5871</v>
      </c>
      <c r="C517" s="694" t="s">
        <v>5872</v>
      </c>
      <c r="D517" s="695" t="s">
        <v>5873</v>
      </c>
      <c r="E517" s="696"/>
      <c r="F517" s="697"/>
      <c r="G517" s="697"/>
      <c r="H517" s="698"/>
      <c r="I517" s="698"/>
      <c r="J517" s="697"/>
      <c r="K517" s="697"/>
      <c r="L517" s="697"/>
      <c r="M517" s="697"/>
      <c r="N517" s="698"/>
      <c r="O517" s="698"/>
      <c r="P517" s="698"/>
      <c r="Q517" s="697"/>
      <c r="R517" s="698"/>
      <c r="S517" s="697"/>
      <c r="T517" s="697"/>
      <c r="U517" s="697"/>
      <c r="V517" s="698"/>
      <c r="W517" s="698"/>
      <c r="X517" s="697"/>
      <c r="Y517" s="697"/>
      <c r="Z517" s="697"/>
      <c r="AA517" s="697"/>
      <c r="AB517" s="697"/>
    </row>
    <row r="518" spans="1:28" x14ac:dyDescent="0.2">
      <c r="A518" s="694" t="str">
        <f>+Info!$B$2</f>
        <v>724</v>
      </c>
      <c r="B518" s="694" t="s">
        <v>5874</v>
      </c>
      <c r="C518" s="694" t="s">
        <v>5875</v>
      </c>
      <c r="D518" s="695" t="s">
        <v>5876</v>
      </c>
      <c r="E518" s="696"/>
      <c r="F518" s="697"/>
      <c r="G518" s="697"/>
      <c r="H518" s="698"/>
      <c r="I518" s="698"/>
      <c r="J518" s="697"/>
      <c r="K518" s="697"/>
      <c r="L518" s="697"/>
      <c r="M518" s="697"/>
      <c r="N518" s="698"/>
      <c r="O518" s="698"/>
      <c r="P518" s="698"/>
      <c r="Q518" s="697"/>
      <c r="R518" s="698"/>
      <c r="S518" s="697"/>
      <c r="T518" s="697"/>
      <c r="U518" s="697"/>
      <c r="V518" s="698"/>
      <c r="W518" s="698"/>
      <c r="X518" s="697"/>
      <c r="Y518" s="697"/>
      <c r="Z518" s="697"/>
      <c r="AA518" s="697"/>
      <c r="AB518" s="697"/>
    </row>
    <row r="519" spans="1:28" x14ac:dyDescent="0.2">
      <c r="A519" s="694" t="str">
        <f>+Info!$B$2</f>
        <v>724</v>
      </c>
      <c r="B519" s="694" t="s">
        <v>5877</v>
      </c>
      <c r="C519" s="694" t="s">
        <v>5878</v>
      </c>
      <c r="D519" s="695" t="s">
        <v>5879</v>
      </c>
      <c r="E519" s="696"/>
      <c r="F519" s="697"/>
      <c r="G519" s="697"/>
      <c r="H519" s="698"/>
      <c r="I519" s="698"/>
      <c r="J519" s="697"/>
      <c r="K519" s="697"/>
      <c r="L519" s="697"/>
      <c r="M519" s="697"/>
      <c r="N519" s="698"/>
      <c r="O519" s="698"/>
      <c r="P519" s="698"/>
      <c r="Q519" s="697"/>
      <c r="R519" s="698"/>
      <c r="S519" s="697"/>
      <c r="T519" s="697"/>
      <c r="U519" s="697"/>
      <c r="V519" s="698"/>
      <c r="W519" s="698"/>
      <c r="X519" s="697"/>
      <c r="Y519" s="697"/>
      <c r="Z519" s="697"/>
      <c r="AA519" s="697"/>
      <c r="AB519" s="697"/>
    </row>
    <row r="520" spans="1:28" ht="25.5" x14ac:dyDescent="0.2">
      <c r="A520" s="694" t="str">
        <f>+Info!$B$2</f>
        <v>724</v>
      </c>
      <c r="B520" s="694" t="s">
        <v>5880</v>
      </c>
      <c r="C520" s="694" t="s">
        <v>5881</v>
      </c>
      <c r="D520" s="695" t="s">
        <v>5882</v>
      </c>
      <c r="E520" s="696"/>
      <c r="F520" s="697"/>
      <c r="G520" s="697"/>
      <c r="H520" s="698"/>
      <c r="I520" s="698"/>
      <c r="J520" s="697"/>
      <c r="K520" s="697"/>
      <c r="L520" s="697"/>
      <c r="M520" s="697"/>
      <c r="N520" s="698"/>
      <c r="O520" s="698"/>
      <c r="P520" s="698"/>
      <c r="Q520" s="697"/>
      <c r="R520" s="698"/>
      <c r="S520" s="697"/>
      <c r="T520" s="697"/>
      <c r="U520" s="697"/>
      <c r="V520" s="698"/>
      <c r="W520" s="698"/>
      <c r="X520" s="697"/>
      <c r="Y520" s="697"/>
      <c r="Z520" s="697"/>
      <c r="AA520" s="697"/>
      <c r="AB520" s="697"/>
    </row>
    <row r="521" spans="1:28" x14ac:dyDescent="0.2">
      <c r="A521" s="694" t="str">
        <f>+Info!$B$2</f>
        <v>724</v>
      </c>
      <c r="B521" s="694" t="s">
        <v>5883</v>
      </c>
      <c r="C521" s="694" t="s">
        <v>5884</v>
      </c>
      <c r="D521" s="695" t="s">
        <v>5885</v>
      </c>
      <c r="E521" s="696"/>
      <c r="F521" s="697"/>
      <c r="G521" s="697"/>
      <c r="H521" s="698"/>
      <c r="I521" s="698"/>
      <c r="J521" s="697"/>
      <c r="K521" s="697"/>
      <c r="L521" s="697"/>
      <c r="M521" s="697"/>
      <c r="N521" s="698"/>
      <c r="O521" s="698"/>
      <c r="P521" s="698"/>
      <c r="Q521" s="697"/>
      <c r="R521" s="698"/>
      <c r="S521" s="697"/>
      <c r="T521" s="697"/>
      <c r="U521" s="697"/>
      <c r="V521" s="698"/>
      <c r="W521" s="698"/>
      <c r="X521" s="697"/>
      <c r="Y521" s="697"/>
      <c r="Z521" s="697"/>
      <c r="AA521" s="697"/>
      <c r="AB521" s="697"/>
    </row>
    <row r="522" spans="1:28" x14ac:dyDescent="0.2">
      <c r="A522" s="694" t="str">
        <f>+Info!$B$2</f>
        <v>724</v>
      </c>
      <c r="B522" s="694" t="s">
        <v>5886</v>
      </c>
      <c r="C522" s="694" t="s">
        <v>5887</v>
      </c>
      <c r="D522" s="695" t="s">
        <v>5888</v>
      </c>
      <c r="E522" s="696"/>
      <c r="F522" s="697"/>
      <c r="G522" s="697"/>
      <c r="H522" s="698"/>
      <c r="I522" s="698"/>
      <c r="J522" s="697"/>
      <c r="K522" s="697"/>
      <c r="L522" s="697"/>
      <c r="M522" s="697"/>
      <c r="N522" s="698"/>
      <c r="O522" s="698"/>
      <c r="P522" s="698"/>
      <c r="Q522" s="697"/>
      <c r="R522" s="698"/>
      <c r="S522" s="697"/>
      <c r="T522" s="697"/>
      <c r="U522" s="697"/>
      <c r="V522" s="698"/>
      <c r="W522" s="698"/>
      <c r="X522" s="697"/>
      <c r="Y522" s="697"/>
      <c r="Z522" s="697"/>
      <c r="AA522" s="697"/>
      <c r="AB522" s="697"/>
    </row>
    <row r="523" spans="1:28" x14ac:dyDescent="0.2">
      <c r="A523" s="694" t="str">
        <f>+Info!$B$2</f>
        <v>724</v>
      </c>
      <c r="B523" s="694" t="s">
        <v>5889</v>
      </c>
      <c r="C523" s="694" t="s">
        <v>5890</v>
      </c>
      <c r="D523" s="695" t="s">
        <v>5891</v>
      </c>
      <c r="E523" s="696"/>
      <c r="F523" s="697"/>
      <c r="G523" s="697"/>
      <c r="H523" s="698"/>
      <c r="I523" s="698"/>
      <c r="J523" s="697"/>
      <c r="K523" s="697"/>
      <c r="L523" s="697"/>
      <c r="M523" s="697"/>
      <c r="N523" s="698"/>
      <c r="O523" s="698"/>
      <c r="P523" s="698"/>
      <c r="Q523" s="697"/>
      <c r="R523" s="698"/>
      <c r="S523" s="697"/>
      <c r="T523" s="697"/>
      <c r="U523" s="697"/>
      <c r="V523" s="698"/>
      <c r="W523" s="698"/>
      <c r="X523" s="697"/>
      <c r="Y523" s="697"/>
      <c r="Z523" s="697"/>
      <c r="AA523" s="697"/>
      <c r="AB523" s="697"/>
    </row>
    <row r="524" spans="1:28" x14ac:dyDescent="0.2">
      <c r="A524" s="694" t="str">
        <f>+Info!$B$2</f>
        <v>724</v>
      </c>
      <c r="B524" s="694" t="s">
        <v>5892</v>
      </c>
      <c r="C524" s="694" t="s">
        <v>5893</v>
      </c>
      <c r="D524" s="695" t="s">
        <v>5894</v>
      </c>
      <c r="E524" s="696"/>
      <c r="F524" s="697"/>
      <c r="G524" s="697"/>
      <c r="H524" s="698"/>
      <c r="I524" s="698"/>
      <c r="J524" s="697"/>
      <c r="K524" s="697"/>
      <c r="L524" s="697"/>
      <c r="M524" s="697"/>
      <c r="N524" s="698"/>
      <c r="O524" s="698"/>
      <c r="P524" s="698"/>
      <c r="Q524" s="697"/>
      <c r="R524" s="698"/>
      <c r="S524" s="697"/>
      <c r="T524" s="697"/>
      <c r="U524" s="697"/>
      <c r="V524" s="698"/>
      <c r="W524" s="698"/>
      <c r="X524" s="697"/>
      <c r="Y524" s="697"/>
      <c r="Z524" s="697"/>
      <c r="AA524" s="697"/>
      <c r="AB524" s="697"/>
    </row>
    <row r="525" spans="1:28" x14ac:dyDescent="0.2">
      <c r="A525" s="694" t="str">
        <f>+Info!$B$2</f>
        <v>724</v>
      </c>
      <c r="B525" s="694" t="s">
        <v>5895</v>
      </c>
      <c r="C525" s="694" t="s">
        <v>5896</v>
      </c>
      <c r="D525" s="695" t="s">
        <v>5897</v>
      </c>
      <c r="E525" s="696"/>
      <c r="F525" s="697"/>
      <c r="G525" s="697"/>
      <c r="H525" s="698"/>
      <c r="I525" s="698"/>
      <c r="J525" s="697"/>
      <c r="K525" s="697"/>
      <c r="L525" s="697"/>
      <c r="M525" s="697"/>
      <c r="N525" s="698"/>
      <c r="O525" s="698"/>
      <c r="P525" s="698"/>
      <c r="Q525" s="697"/>
      <c r="R525" s="698"/>
      <c r="S525" s="697"/>
      <c r="T525" s="697"/>
      <c r="U525" s="697"/>
      <c r="V525" s="698"/>
      <c r="W525" s="698"/>
      <c r="X525" s="697"/>
      <c r="Y525" s="697"/>
      <c r="Z525" s="697"/>
      <c r="AA525" s="698"/>
      <c r="AB525" s="698"/>
    </row>
    <row r="526" spans="1:28" x14ac:dyDescent="0.2">
      <c r="A526" s="694" t="str">
        <f>+Info!$B$2</f>
        <v>724</v>
      </c>
      <c r="B526" s="694" t="s">
        <v>5898</v>
      </c>
      <c r="C526" s="694" t="s">
        <v>5899</v>
      </c>
      <c r="D526" s="695" t="s">
        <v>5900</v>
      </c>
      <c r="E526" s="696"/>
      <c r="F526" s="697"/>
      <c r="G526" s="697"/>
      <c r="H526" s="698"/>
      <c r="I526" s="698"/>
      <c r="J526" s="697"/>
      <c r="K526" s="697"/>
      <c r="L526" s="697"/>
      <c r="M526" s="697"/>
      <c r="N526" s="698"/>
      <c r="O526" s="698"/>
      <c r="P526" s="698"/>
      <c r="Q526" s="697"/>
      <c r="R526" s="698"/>
      <c r="S526" s="697"/>
      <c r="T526" s="697"/>
      <c r="U526" s="697"/>
      <c r="V526" s="698"/>
      <c r="W526" s="698"/>
      <c r="X526" s="697"/>
      <c r="Y526" s="697"/>
      <c r="Z526" s="697"/>
      <c r="AA526" s="698"/>
      <c r="AB526" s="698"/>
    </row>
    <row r="527" spans="1:28" x14ac:dyDescent="0.2">
      <c r="A527" s="694" t="str">
        <f>+Info!$B$2</f>
        <v>724</v>
      </c>
      <c r="B527" s="694" t="s">
        <v>5901</v>
      </c>
      <c r="C527" s="694" t="s">
        <v>5902</v>
      </c>
      <c r="D527" s="695" t="s">
        <v>5903</v>
      </c>
      <c r="E527" s="696"/>
      <c r="F527" s="697"/>
      <c r="G527" s="697"/>
      <c r="H527" s="698"/>
      <c r="I527" s="698"/>
      <c r="J527" s="697"/>
      <c r="K527" s="697"/>
      <c r="L527" s="697"/>
      <c r="M527" s="697"/>
      <c r="N527" s="698"/>
      <c r="O527" s="698"/>
      <c r="P527" s="698"/>
      <c r="Q527" s="697"/>
      <c r="R527" s="698"/>
      <c r="S527" s="697"/>
      <c r="T527" s="697"/>
      <c r="U527" s="697"/>
      <c r="V527" s="698"/>
      <c r="W527" s="698"/>
      <c r="X527" s="697"/>
      <c r="Y527" s="697"/>
      <c r="Z527" s="697"/>
      <c r="AA527" s="697"/>
      <c r="AB527" s="697"/>
    </row>
    <row r="528" spans="1:28" x14ac:dyDescent="0.2">
      <c r="A528" s="694" t="str">
        <f>+Info!$B$2</f>
        <v>724</v>
      </c>
      <c r="B528" s="694" t="s">
        <v>5904</v>
      </c>
      <c r="C528" s="694" t="s">
        <v>5905</v>
      </c>
      <c r="D528" s="695" t="s">
        <v>5906</v>
      </c>
      <c r="E528" s="696"/>
      <c r="F528" s="697"/>
      <c r="G528" s="697"/>
      <c r="H528" s="698"/>
      <c r="I528" s="698"/>
      <c r="J528" s="697"/>
      <c r="K528" s="697"/>
      <c r="L528" s="697"/>
      <c r="M528" s="697"/>
      <c r="N528" s="698"/>
      <c r="O528" s="698"/>
      <c r="P528" s="698"/>
      <c r="Q528" s="697"/>
      <c r="R528" s="698"/>
      <c r="S528" s="697"/>
      <c r="T528" s="697"/>
      <c r="U528" s="697"/>
      <c r="V528" s="698"/>
      <c r="W528" s="698"/>
      <c r="X528" s="697"/>
      <c r="Y528" s="697"/>
      <c r="Z528" s="697"/>
      <c r="AA528" s="697"/>
      <c r="AB528" s="697"/>
    </row>
    <row r="529" spans="1:28" x14ac:dyDescent="0.2">
      <c r="A529" s="694" t="str">
        <f>+Info!$B$2</f>
        <v>724</v>
      </c>
      <c r="B529" s="694" t="s">
        <v>5907</v>
      </c>
      <c r="C529" s="694" t="s">
        <v>5908</v>
      </c>
      <c r="D529" s="695" t="s">
        <v>5909</v>
      </c>
      <c r="E529" s="696"/>
      <c r="F529" s="697"/>
      <c r="G529" s="697"/>
      <c r="H529" s="698"/>
      <c r="I529" s="698"/>
      <c r="J529" s="697"/>
      <c r="K529" s="697"/>
      <c r="L529" s="697"/>
      <c r="M529" s="697"/>
      <c r="N529" s="698"/>
      <c r="O529" s="698"/>
      <c r="P529" s="698"/>
      <c r="Q529" s="697"/>
      <c r="R529" s="698"/>
      <c r="S529" s="697"/>
      <c r="T529" s="697"/>
      <c r="U529" s="697"/>
      <c r="V529" s="698"/>
      <c r="W529" s="698"/>
      <c r="X529" s="697"/>
      <c r="Y529" s="697"/>
      <c r="Z529" s="697"/>
      <c r="AA529" s="697"/>
      <c r="AB529" s="697"/>
    </row>
    <row r="530" spans="1:28" x14ac:dyDescent="0.2">
      <c r="A530" s="694" t="str">
        <f>+Info!$B$2</f>
        <v>724</v>
      </c>
      <c r="B530" s="694" t="s">
        <v>5910</v>
      </c>
      <c r="C530" s="694" t="s">
        <v>5911</v>
      </c>
      <c r="D530" s="695" t="s">
        <v>5912</v>
      </c>
      <c r="E530" s="696"/>
      <c r="F530" s="697"/>
      <c r="G530" s="697"/>
      <c r="H530" s="698"/>
      <c r="I530" s="698"/>
      <c r="J530" s="697"/>
      <c r="K530" s="697"/>
      <c r="L530" s="697"/>
      <c r="M530" s="697"/>
      <c r="N530" s="698"/>
      <c r="O530" s="698"/>
      <c r="P530" s="698"/>
      <c r="Q530" s="697"/>
      <c r="R530" s="698"/>
      <c r="S530" s="697"/>
      <c r="T530" s="697"/>
      <c r="U530" s="697"/>
      <c r="V530" s="698"/>
      <c r="W530" s="698"/>
      <c r="X530" s="697"/>
      <c r="Y530" s="697"/>
      <c r="Z530" s="697"/>
      <c r="AA530" s="697"/>
      <c r="AB530" s="697"/>
    </row>
    <row r="531" spans="1:28" x14ac:dyDescent="0.2">
      <c r="A531" s="694" t="str">
        <f>+Info!$B$2</f>
        <v>724</v>
      </c>
      <c r="B531" s="694" t="s">
        <v>5913</v>
      </c>
      <c r="C531" s="694" t="s">
        <v>5914</v>
      </c>
      <c r="D531" s="695" t="s">
        <v>5915</v>
      </c>
      <c r="E531" s="696"/>
      <c r="F531" s="697"/>
      <c r="G531" s="697"/>
      <c r="H531" s="698"/>
      <c r="I531" s="698"/>
      <c r="J531" s="697"/>
      <c r="K531" s="697"/>
      <c r="L531" s="697"/>
      <c r="M531" s="697"/>
      <c r="N531" s="698"/>
      <c r="O531" s="698"/>
      <c r="P531" s="698"/>
      <c r="Q531" s="697"/>
      <c r="R531" s="698"/>
      <c r="S531" s="697"/>
      <c r="T531" s="697"/>
      <c r="U531" s="697"/>
      <c r="V531" s="698"/>
      <c r="W531" s="698"/>
      <c r="X531" s="697"/>
      <c r="Y531" s="697"/>
      <c r="Z531" s="697"/>
      <c r="AA531" s="697"/>
      <c r="AB531" s="697"/>
    </row>
    <row r="532" spans="1:28" ht="25.5" x14ac:dyDescent="0.2">
      <c r="A532" s="694" t="str">
        <f>+Info!$B$2</f>
        <v>724</v>
      </c>
      <c r="B532" s="694" t="s">
        <v>5916</v>
      </c>
      <c r="C532" s="694" t="s">
        <v>5917</v>
      </c>
      <c r="D532" s="695" t="s">
        <v>5918</v>
      </c>
      <c r="E532" s="696"/>
      <c r="F532" s="697"/>
      <c r="G532" s="697"/>
      <c r="H532" s="698"/>
      <c r="I532" s="698"/>
      <c r="J532" s="697"/>
      <c r="K532" s="697"/>
      <c r="L532" s="697"/>
      <c r="M532" s="697"/>
      <c r="N532" s="698"/>
      <c r="O532" s="698"/>
      <c r="P532" s="698"/>
      <c r="Q532" s="697"/>
      <c r="R532" s="698"/>
      <c r="S532" s="697"/>
      <c r="T532" s="697"/>
      <c r="U532" s="697"/>
      <c r="V532" s="698"/>
      <c r="W532" s="698"/>
      <c r="X532" s="697"/>
      <c r="Y532" s="697"/>
      <c r="Z532" s="697"/>
      <c r="AA532" s="697"/>
      <c r="AB532" s="697"/>
    </row>
    <row r="533" spans="1:28" x14ac:dyDescent="0.2">
      <c r="A533" s="694" t="str">
        <f>+Info!$B$2</f>
        <v>724</v>
      </c>
      <c r="B533" s="694" t="s">
        <v>5919</v>
      </c>
      <c r="C533" s="694" t="s">
        <v>5920</v>
      </c>
      <c r="D533" s="695" t="s">
        <v>5921</v>
      </c>
      <c r="E533" s="696"/>
      <c r="F533" s="697"/>
      <c r="G533" s="697"/>
      <c r="H533" s="698"/>
      <c r="I533" s="698"/>
      <c r="J533" s="697"/>
      <c r="K533" s="697"/>
      <c r="L533" s="697"/>
      <c r="M533" s="697"/>
      <c r="N533" s="698"/>
      <c r="O533" s="698"/>
      <c r="P533" s="698"/>
      <c r="Q533" s="697"/>
      <c r="R533" s="698"/>
      <c r="S533" s="697"/>
      <c r="T533" s="697"/>
      <c r="U533" s="697"/>
      <c r="V533" s="698"/>
      <c r="W533" s="698"/>
      <c r="X533" s="697"/>
      <c r="Y533" s="697"/>
      <c r="Z533" s="697"/>
      <c r="AA533" s="697"/>
      <c r="AB533" s="697"/>
    </row>
    <row r="534" spans="1:28" x14ac:dyDescent="0.2">
      <c r="A534" s="694" t="str">
        <f>+Info!$B$2</f>
        <v>724</v>
      </c>
      <c r="B534" s="694" t="s">
        <v>5922</v>
      </c>
      <c r="C534" s="694" t="s">
        <v>5923</v>
      </c>
      <c r="D534" s="695" t="s">
        <v>5924</v>
      </c>
      <c r="E534" s="696"/>
      <c r="F534" s="697"/>
      <c r="G534" s="697"/>
      <c r="H534" s="698"/>
      <c r="I534" s="698"/>
      <c r="J534" s="697"/>
      <c r="K534" s="697"/>
      <c r="L534" s="697"/>
      <c r="M534" s="697"/>
      <c r="N534" s="698"/>
      <c r="O534" s="698"/>
      <c r="P534" s="698"/>
      <c r="Q534" s="697"/>
      <c r="R534" s="698"/>
      <c r="S534" s="697"/>
      <c r="T534" s="697"/>
      <c r="U534" s="697"/>
      <c r="V534" s="698"/>
      <c r="W534" s="698"/>
      <c r="X534" s="697"/>
      <c r="Y534" s="697"/>
      <c r="Z534" s="697"/>
      <c r="AA534" s="697"/>
      <c r="AB534" s="697"/>
    </row>
    <row r="535" spans="1:28" x14ac:dyDescent="0.2">
      <c r="A535" s="694" t="str">
        <f>+Info!$B$2</f>
        <v>724</v>
      </c>
      <c r="B535" s="694" t="s">
        <v>5925</v>
      </c>
      <c r="C535" s="694" t="s">
        <v>5926</v>
      </c>
      <c r="D535" s="695" t="s">
        <v>5927</v>
      </c>
      <c r="E535" s="696"/>
      <c r="F535" s="697"/>
      <c r="G535" s="697"/>
      <c r="H535" s="698"/>
      <c r="I535" s="698"/>
      <c r="J535" s="697"/>
      <c r="K535" s="697"/>
      <c r="L535" s="697"/>
      <c r="M535" s="697"/>
      <c r="N535" s="698"/>
      <c r="O535" s="698"/>
      <c r="P535" s="698"/>
      <c r="Q535" s="697"/>
      <c r="R535" s="698"/>
      <c r="S535" s="697"/>
      <c r="T535" s="697"/>
      <c r="U535" s="697"/>
      <c r="V535" s="698"/>
      <c r="W535" s="698"/>
      <c r="X535" s="697"/>
      <c r="Y535" s="697"/>
      <c r="Z535" s="697"/>
      <c r="AA535" s="697"/>
      <c r="AB535" s="697"/>
    </row>
    <row r="536" spans="1:28" x14ac:dyDescent="0.2">
      <c r="A536" s="694" t="str">
        <f>+Info!$B$2</f>
        <v>724</v>
      </c>
      <c r="B536" s="694" t="s">
        <v>5928</v>
      </c>
      <c r="C536" s="694" t="s">
        <v>5929</v>
      </c>
      <c r="D536" s="695" t="s">
        <v>5930</v>
      </c>
      <c r="E536" s="696"/>
      <c r="F536" s="697"/>
      <c r="G536" s="697"/>
      <c r="H536" s="698"/>
      <c r="I536" s="698"/>
      <c r="J536" s="697"/>
      <c r="K536" s="697"/>
      <c r="L536" s="697"/>
      <c r="M536" s="697"/>
      <c r="N536" s="698"/>
      <c r="O536" s="698"/>
      <c r="P536" s="698"/>
      <c r="Q536" s="697"/>
      <c r="R536" s="698"/>
      <c r="S536" s="697"/>
      <c r="T536" s="697"/>
      <c r="U536" s="697"/>
      <c r="V536" s="698"/>
      <c r="W536" s="698"/>
      <c r="X536" s="697"/>
      <c r="Y536" s="697"/>
      <c r="Z536" s="697"/>
      <c r="AA536" s="697"/>
      <c r="AB536" s="697"/>
    </row>
    <row r="537" spans="1:28" x14ac:dyDescent="0.2">
      <c r="A537" s="694" t="str">
        <f>+Info!$B$2</f>
        <v>724</v>
      </c>
      <c r="B537" s="694" t="s">
        <v>5931</v>
      </c>
      <c r="C537" s="694" t="s">
        <v>5932</v>
      </c>
      <c r="D537" s="695" t="s">
        <v>5933</v>
      </c>
      <c r="E537" s="696"/>
      <c r="F537" s="697"/>
      <c r="G537" s="697"/>
      <c r="H537" s="698"/>
      <c r="I537" s="698"/>
      <c r="J537" s="697"/>
      <c r="K537" s="697"/>
      <c r="L537" s="697"/>
      <c r="M537" s="697"/>
      <c r="N537" s="698"/>
      <c r="O537" s="698"/>
      <c r="P537" s="698"/>
      <c r="Q537" s="697"/>
      <c r="R537" s="698"/>
      <c r="S537" s="697"/>
      <c r="T537" s="697"/>
      <c r="U537" s="697"/>
      <c r="V537" s="698"/>
      <c r="W537" s="698"/>
      <c r="X537" s="697"/>
      <c r="Y537" s="697"/>
      <c r="Z537" s="697"/>
      <c r="AA537" s="698"/>
      <c r="AB537" s="698"/>
    </row>
    <row r="538" spans="1:28" x14ac:dyDescent="0.2">
      <c r="A538" s="694" t="str">
        <f>+Info!$B$2</f>
        <v>724</v>
      </c>
      <c r="B538" s="694" t="s">
        <v>5934</v>
      </c>
      <c r="C538" s="694" t="s">
        <v>5935</v>
      </c>
      <c r="D538" s="695" t="s">
        <v>5936</v>
      </c>
      <c r="E538" s="696"/>
      <c r="F538" s="697"/>
      <c r="G538" s="697"/>
      <c r="H538" s="698"/>
      <c r="I538" s="698"/>
      <c r="J538" s="697"/>
      <c r="K538" s="697"/>
      <c r="L538" s="697"/>
      <c r="M538" s="697"/>
      <c r="N538" s="698"/>
      <c r="O538" s="698"/>
      <c r="P538" s="698"/>
      <c r="Q538" s="697"/>
      <c r="R538" s="698"/>
      <c r="S538" s="697"/>
      <c r="T538" s="697"/>
      <c r="U538" s="697"/>
      <c r="V538" s="698"/>
      <c r="W538" s="698"/>
      <c r="X538" s="697"/>
      <c r="Y538" s="697"/>
      <c r="Z538" s="697"/>
      <c r="AA538" s="698"/>
      <c r="AB538" s="698"/>
    </row>
    <row r="539" spans="1:28" x14ac:dyDescent="0.2">
      <c r="A539" s="694" t="str">
        <f>+Info!$B$2</f>
        <v>724</v>
      </c>
      <c r="B539" s="694" t="s">
        <v>5937</v>
      </c>
      <c r="C539" s="694" t="s">
        <v>5938</v>
      </c>
      <c r="D539" s="695" t="s">
        <v>5939</v>
      </c>
      <c r="E539" s="696"/>
      <c r="F539" s="697"/>
      <c r="G539" s="697"/>
      <c r="H539" s="698"/>
      <c r="I539" s="698"/>
      <c r="J539" s="697"/>
      <c r="K539" s="697"/>
      <c r="L539" s="697"/>
      <c r="M539" s="697"/>
      <c r="N539" s="698"/>
      <c r="O539" s="698"/>
      <c r="P539" s="698"/>
      <c r="Q539" s="697"/>
      <c r="R539" s="698"/>
      <c r="S539" s="697"/>
      <c r="T539" s="697"/>
      <c r="U539" s="697"/>
      <c r="V539" s="698"/>
      <c r="W539" s="698"/>
      <c r="X539" s="697"/>
      <c r="Y539" s="697"/>
      <c r="Z539" s="697"/>
      <c r="AA539" s="697"/>
      <c r="AB539" s="697"/>
    </row>
    <row r="540" spans="1:28" x14ac:dyDescent="0.2">
      <c r="A540" s="694" t="str">
        <f>+Info!$B$2</f>
        <v>724</v>
      </c>
      <c r="B540" s="694" t="s">
        <v>5940</v>
      </c>
      <c r="C540" s="694" t="s">
        <v>5941</v>
      </c>
      <c r="D540" s="695" t="s">
        <v>5942</v>
      </c>
      <c r="E540" s="696"/>
      <c r="F540" s="697"/>
      <c r="G540" s="697"/>
      <c r="H540" s="698"/>
      <c r="I540" s="698"/>
      <c r="J540" s="697"/>
      <c r="K540" s="697"/>
      <c r="L540" s="697"/>
      <c r="M540" s="697"/>
      <c r="N540" s="698"/>
      <c r="O540" s="698"/>
      <c r="P540" s="698"/>
      <c r="Q540" s="697"/>
      <c r="R540" s="698"/>
      <c r="S540" s="697"/>
      <c r="T540" s="697"/>
      <c r="U540" s="697"/>
      <c r="V540" s="698"/>
      <c r="W540" s="698"/>
      <c r="X540" s="697"/>
      <c r="Y540" s="697"/>
      <c r="Z540" s="697"/>
      <c r="AA540" s="697"/>
      <c r="AB540" s="697"/>
    </row>
    <row r="541" spans="1:28" x14ac:dyDescent="0.2">
      <c r="A541" s="694" t="str">
        <f>+Info!$B$2</f>
        <v>724</v>
      </c>
      <c r="B541" s="694" t="s">
        <v>5943</v>
      </c>
      <c r="C541" s="694" t="s">
        <v>5944</v>
      </c>
      <c r="D541" s="695" t="s">
        <v>5945</v>
      </c>
      <c r="E541" s="696"/>
      <c r="F541" s="697"/>
      <c r="G541" s="697"/>
      <c r="H541" s="698"/>
      <c r="I541" s="698"/>
      <c r="J541" s="697"/>
      <c r="K541" s="697"/>
      <c r="L541" s="697"/>
      <c r="M541" s="697"/>
      <c r="N541" s="698"/>
      <c r="O541" s="698"/>
      <c r="P541" s="698"/>
      <c r="Q541" s="697"/>
      <c r="R541" s="698"/>
      <c r="S541" s="697"/>
      <c r="T541" s="697"/>
      <c r="U541" s="697"/>
      <c r="V541" s="698"/>
      <c r="W541" s="698"/>
      <c r="X541" s="697"/>
      <c r="Y541" s="697"/>
      <c r="Z541" s="697"/>
      <c r="AA541" s="697"/>
      <c r="AB541" s="697"/>
    </row>
    <row r="542" spans="1:28" x14ac:dyDescent="0.2">
      <c r="A542" s="694" t="str">
        <f>+Info!$B$2</f>
        <v>724</v>
      </c>
      <c r="B542" s="694" t="s">
        <v>5946</v>
      </c>
      <c r="C542" s="694" t="s">
        <v>5947</v>
      </c>
      <c r="D542" s="695" t="s">
        <v>5948</v>
      </c>
      <c r="E542" s="696"/>
      <c r="F542" s="697"/>
      <c r="G542" s="697"/>
      <c r="H542" s="698"/>
      <c r="I542" s="698"/>
      <c r="J542" s="697"/>
      <c r="K542" s="697"/>
      <c r="L542" s="697"/>
      <c r="M542" s="697"/>
      <c r="N542" s="698"/>
      <c r="O542" s="698"/>
      <c r="P542" s="698"/>
      <c r="Q542" s="697"/>
      <c r="R542" s="698"/>
      <c r="S542" s="697"/>
      <c r="T542" s="697"/>
      <c r="U542" s="697"/>
      <c r="V542" s="698"/>
      <c r="W542" s="698"/>
      <c r="X542" s="697"/>
      <c r="Y542" s="697"/>
      <c r="Z542" s="697"/>
      <c r="AA542" s="697"/>
      <c r="AB542" s="697"/>
    </row>
    <row r="543" spans="1:28" x14ac:dyDescent="0.2">
      <c r="A543" s="694" t="str">
        <f>+Info!$B$2</f>
        <v>724</v>
      </c>
      <c r="B543" s="694" t="s">
        <v>5949</v>
      </c>
      <c r="C543" s="694" t="s">
        <v>5950</v>
      </c>
      <c r="D543" s="695" t="s">
        <v>5951</v>
      </c>
      <c r="E543" s="696"/>
      <c r="F543" s="697"/>
      <c r="G543" s="697"/>
      <c r="H543" s="698"/>
      <c r="I543" s="698"/>
      <c r="J543" s="697"/>
      <c r="K543" s="697"/>
      <c r="L543" s="697"/>
      <c r="M543" s="697"/>
      <c r="N543" s="698"/>
      <c r="O543" s="698"/>
      <c r="P543" s="698"/>
      <c r="Q543" s="697"/>
      <c r="R543" s="698"/>
      <c r="S543" s="697"/>
      <c r="T543" s="697"/>
      <c r="U543" s="697"/>
      <c r="V543" s="698"/>
      <c r="W543" s="698"/>
      <c r="X543" s="697"/>
      <c r="Y543" s="697"/>
      <c r="Z543" s="697"/>
      <c r="AA543" s="697"/>
      <c r="AB543" s="697"/>
    </row>
    <row r="544" spans="1:28" ht="25.5" x14ac:dyDescent="0.2">
      <c r="A544" s="694" t="str">
        <f>+Info!$B$2</f>
        <v>724</v>
      </c>
      <c r="B544" s="694" t="s">
        <v>5952</v>
      </c>
      <c r="C544" s="694" t="s">
        <v>5953</v>
      </c>
      <c r="D544" s="695" t="s">
        <v>5954</v>
      </c>
      <c r="E544" s="696"/>
      <c r="F544" s="697"/>
      <c r="G544" s="697"/>
      <c r="H544" s="698"/>
      <c r="I544" s="698"/>
      <c r="J544" s="697"/>
      <c r="K544" s="697"/>
      <c r="L544" s="697"/>
      <c r="M544" s="697"/>
      <c r="N544" s="698"/>
      <c r="O544" s="698"/>
      <c r="P544" s="698"/>
      <c r="Q544" s="697"/>
      <c r="R544" s="698"/>
      <c r="S544" s="697"/>
      <c r="T544" s="697"/>
      <c r="U544" s="697"/>
      <c r="V544" s="698"/>
      <c r="W544" s="698"/>
      <c r="X544" s="697"/>
      <c r="Y544" s="697"/>
      <c r="Z544" s="697"/>
      <c r="AA544" s="697"/>
      <c r="AB544" s="697"/>
    </row>
    <row r="545" spans="1:28" x14ac:dyDescent="0.2">
      <c r="A545" s="694" t="str">
        <f>+Info!$B$2</f>
        <v>724</v>
      </c>
      <c r="B545" s="694" t="s">
        <v>5955</v>
      </c>
      <c r="C545" s="694" t="s">
        <v>5956</v>
      </c>
      <c r="D545" s="695" t="s">
        <v>5957</v>
      </c>
      <c r="E545" s="696"/>
      <c r="F545" s="697"/>
      <c r="G545" s="697"/>
      <c r="H545" s="698"/>
      <c r="I545" s="698"/>
      <c r="J545" s="697"/>
      <c r="K545" s="697"/>
      <c r="L545" s="697"/>
      <c r="M545" s="697"/>
      <c r="N545" s="698"/>
      <c r="O545" s="698"/>
      <c r="P545" s="698"/>
      <c r="Q545" s="697"/>
      <c r="R545" s="698"/>
      <c r="S545" s="697"/>
      <c r="T545" s="697"/>
      <c r="U545" s="697"/>
      <c r="V545" s="698"/>
      <c r="W545" s="698"/>
      <c r="X545" s="697"/>
      <c r="Y545" s="697"/>
      <c r="Z545" s="697"/>
      <c r="AA545" s="697"/>
      <c r="AB545" s="697"/>
    </row>
    <row r="546" spans="1:28" x14ac:dyDescent="0.2">
      <c r="A546" s="694" t="str">
        <f>+Info!$B$2</f>
        <v>724</v>
      </c>
      <c r="B546" s="694" t="s">
        <v>5958</v>
      </c>
      <c r="C546" s="694" t="s">
        <v>5959</v>
      </c>
      <c r="D546" s="695" t="s">
        <v>5960</v>
      </c>
      <c r="E546" s="696"/>
      <c r="F546" s="697"/>
      <c r="G546" s="697"/>
      <c r="H546" s="698"/>
      <c r="I546" s="698"/>
      <c r="J546" s="697"/>
      <c r="K546" s="697"/>
      <c r="L546" s="697"/>
      <c r="M546" s="697"/>
      <c r="N546" s="698"/>
      <c r="O546" s="698"/>
      <c r="P546" s="698"/>
      <c r="Q546" s="697"/>
      <c r="R546" s="698"/>
      <c r="S546" s="697"/>
      <c r="T546" s="697"/>
      <c r="U546" s="697"/>
      <c r="V546" s="698"/>
      <c r="W546" s="698"/>
      <c r="X546" s="697"/>
      <c r="Y546" s="697"/>
      <c r="Z546" s="697"/>
      <c r="AA546" s="697"/>
      <c r="AB546" s="697"/>
    </row>
    <row r="547" spans="1:28" x14ac:dyDescent="0.2">
      <c r="A547" s="694" t="str">
        <f>+Info!$B$2</f>
        <v>724</v>
      </c>
      <c r="B547" s="694" t="s">
        <v>5961</v>
      </c>
      <c r="C547" s="694" t="s">
        <v>5962</v>
      </c>
      <c r="D547" s="695" t="s">
        <v>5963</v>
      </c>
      <c r="E547" s="696"/>
      <c r="F547" s="697"/>
      <c r="G547" s="697"/>
      <c r="H547" s="698"/>
      <c r="I547" s="698"/>
      <c r="J547" s="697"/>
      <c r="K547" s="697"/>
      <c r="L547" s="697"/>
      <c r="M547" s="697"/>
      <c r="N547" s="698"/>
      <c r="O547" s="698"/>
      <c r="P547" s="698"/>
      <c r="Q547" s="697"/>
      <c r="R547" s="698"/>
      <c r="S547" s="697"/>
      <c r="T547" s="697"/>
      <c r="U547" s="697"/>
      <c r="V547" s="698"/>
      <c r="W547" s="698"/>
      <c r="X547" s="697"/>
      <c r="Y547" s="697"/>
      <c r="Z547" s="697"/>
      <c r="AA547" s="697"/>
      <c r="AB547" s="697"/>
    </row>
    <row r="548" spans="1:28" x14ac:dyDescent="0.2">
      <c r="A548" s="694" t="str">
        <f>+Info!$B$2</f>
        <v>724</v>
      </c>
      <c r="B548" s="694" t="s">
        <v>5964</v>
      </c>
      <c r="C548" s="694" t="s">
        <v>5965</v>
      </c>
      <c r="D548" s="695" t="s">
        <v>5966</v>
      </c>
      <c r="E548" s="696"/>
      <c r="F548" s="697"/>
      <c r="G548" s="697"/>
      <c r="H548" s="698"/>
      <c r="I548" s="698"/>
      <c r="J548" s="697"/>
      <c r="K548" s="697"/>
      <c r="L548" s="697"/>
      <c r="M548" s="697"/>
      <c r="N548" s="698"/>
      <c r="O548" s="698"/>
      <c r="P548" s="698"/>
      <c r="Q548" s="697"/>
      <c r="R548" s="698"/>
      <c r="S548" s="697"/>
      <c r="T548" s="697"/>
      <c r="U548" s="697"/>
      <c r="V548" s="698"/>
      <c r="W548" s="698"/>
      <c r="X548" s="697"/>
      <c r="Y548" s="697"/>
      <c r="Z548" s="697"/>
      <c r="AA548" s="697"/>
      <c r="AB548" s="697"/>
    </row>
    <row r="549" spans="1:28" x14ac:dyDescent="0.2">
      <c r="A549" s="694" t="str">
        <f>+Info!$B$2</f>
        <v>724</v>
      </c>
      <c r="B549" s="694" t="s">
        <v>5967</v>
      </c>
      <c r="C549" s="694" t="s">
        <v>5968</v>
      </c>
      <c r="D549" s="695" t="s">
        <v>5969</v>
      </c>
      <c r="E549" s="696"/>
      <c r="F549" s="697"/>
      <c r="G549" s="697"/>
      <c r="H549" s="698"/>
      <c r="I549" s="698"/>
      <c r="J549" s="697"/>
      <c r="K549" s="697"/>
      <c r="L549" s="697"/>
      <c r="M549" s="697"/>
      <c r="N549" s="698"/>
      <c r="O549" s="698"/>
      <c r="P549" s="698"/>
      <c r="Q549" s="697"/>
      <c r="R549" s="698"/>
      <c r="S549" s="697"/>
      <c r="T549" s="697"/>
      <c r="U549" s="697"/>
      <c r="V549" s="698"/>
      <c r="W549" s="698"/>
      <c r="X549" s="697"/>
      <c r="Y549" s="697"/>
      <c r="Z549" s="697"/>
      <c r="AA549" s="698"/>
      <c r="AB549" s="698"/>
    </row>
    <row r="550" spans="1:28" x14ac:dyDescent="0.2">
      <c r="A550" s="694" t="str">
        <f>+Info!$B$2</f>
        <v>724</v>
      </c>
      <c r="B550" s="694" t="s">
        <v>5970</v>
      </c>
      <c r="C550" s="694" t="s">
        <v>5971</v>
      </c>
      <c r="D550" s="695" t="s">
        <v>5972</v>
      </c>
      <c r="E550" s="696"/>
      <c r="F550" s="697"/>
      <c r="G550" s="697"/>
      <c r="H550" s="698"/>
      <c r="I550" s="698"/>
      <c r="J550" s="697"/>
      <c r="K550" s="697"/>
      <c r="L550" s="697"/>
      <c r="M550" s="697"/>
      <c r="N550" s="698"/>
      <c r="O550" s="698"/>
      <c r="P550" s="698"/>
      <c r="Q550" s="697"/>
      <c r="R550" s="698"/>
      <c r="S550" s="697"/>
      <c r="T550" s="697"/>
      <c r="U550" s="697"/>
      <c r="V550" s="698"/>
      <c r="W550" s="698"/>
      <c r="X550" s="697"/>
      <c r="Y550" s="697"/>
      <c r="Z550" s="697"/>
      <c r="AA550" s="698"/>
      <c r="AB550" s="698"/>
    </row>
    <row r="551" spans="1:28" x14ac:dyDescent="0.2">
      <c r="A551" s="694" t="str">
        <f>+Info!$B$2</f>
        <v>724</v>
      </c>
      <c r="B551" s="694" t="s">
        <v>5973</v>
      </c>
      <c r="C551" s="694" t="s">
        <v>5974</v>
      </c>
      <c r="D551" s="695" t="s">
        <v>5975</v>
      </c>
      <c r="E551" s="696"/>
      <c r="F551" s="697"/>
      <c r="G551" s="697"/>
      <c r="H551" s="698"/>
      <c r="I551" s="698"/>
      <c r="J551" s="697"/>
      <c r="K551" s="697"/>
      <c r="L551" s="697"/>
      <c r="M551" s="697"/>
      <c r="N551" s="698"/>
      <c r="O551" s="698"/>
      <c r="P551" s="698"/>
      <c r="Q551" s="697"/>
      <c r="R551" s="698"/>
      <c r="S551" s="697"/>
      <c r="T551" s="697"/>
      <c r="U551" s="697"/>
      <c r="V551" s="698"/>
      <c r="W551" s="698"/>
      <c r="X551" s="697"/>
      <c r="Y551" s="697"/>
      <c r="Z551" s="697"/>
      <c r="AA551" s="697"/>
      <c r="AB551" s="697"/>
    </row>
    <row r="552" spans="1:28" x14ac:dyDescent="0.2">
      <c r="A552" s="694" t="str">
        <f>+Info!$B$2</f>
        <v>724</v>
      </c>
      <c r="B552" s="694" t="s">
        <v>5976</v>
      </c>
      <c r="C552" s="694" t="s">
        <v>5977</v>
      </c>
      <c r="D552" s="695" t="s">
        <v>5978</v>
      </c>
      <c r="E552" s="696"/>
      <c r="F552" s="697"/>
      <c r="G552" s="697"/>
      <c r="H552" s="698"/>
      <c r="I552" s="698"/>
      <c r="J552" s="697"/>
      <c r="K552" s="697"/>
      <c r="L552" s="697"/>
      <c r="M552" s="697"/>
      <c r="N552" s="698"/>
      <c r="O552" s="698"/>
      <c r="P552" s="698"/>
      <c r="Q552" s="697"/>
      <c r="R552" s="697"/>
      <c r="S552" s="698"/>
      <c r="T552" s="697"/>
      <c r="U552" s="697"/>
      <c r="V552" s="698"/>
      <c r="W552" s="698"/>
      <c r="X552" s="697"/>
      <c r="Y552" s="697"/>
      <c r="Z552" s="697"/>
      <c r="AA552" s="697"/>
      <c r="AB552" s="697"/>
    </row>
    <row r="553" spans="1:28" x14ac:dyDescent="0.2">
      <c r="A553" s="694" t="str">
        <f>+Info!$B$2</f>
        <v>724</v>
      </c>
      <c r="B553" s="694" t="s">
        <v>5979</v>
      </c>
      <c r="C553" s="694" t="s">
        <v>5980</v>
      </c>
      <c r="D553" s="695" t="s">
        <v>5981</v>
      </c>
      <c r="E553" s="696"/>
      <c r="F553" s="697"/>
      <c r="G553" s="697"/>
      <c r="H553" s="698"/>
      <c r="I553" s="698"/>
      <c r="J553" s="697"/>
      <c r="K553" s="697"/>
      <c r="L553" s="697"/>
      <c r="M553" s="697"/>
      <c r="N553" s="698"/>
      <c r="O553" s="698"/>
      <c r="P553" s="698"/>
      <c r="Q553" s="697"/>
      <c r="R553" s="697"/>
      <c r="S553" s="698"/>
      <c r="T553" s="697"/>
      <c r="U553" s="697"/>
      <c r="V553" s="698"/>
      <c r="W553" s="698"/>
      <c r="X553" s="697"/>
      <c r="Y553" s="697"/>
      <c r="Z553" s="697"/>
      <c r="AA553" s="697"/>
      <c r="AB553" s="697"/>
    </row>
    <row r="554" spans="1:28" x14ac:dyDescent="0.2">
      <c r="A554" s="694" t="str">
        <f>+Info!$B$2</f>
        <v>724</v>
      </c>
      <c r="B554" s="694" t="s">
        <v>5982</v>
      </c>
      <c r="C554" s="694" t="s">
        <v>5983</v>
      </c>
      <c r="D554" s="695" t="s">
        <v>5984</v>
      </c>
      <c r="E554" s="696"/>
      <c r="F554" s="697"/>
      <c r="G554" s="697"/>
      <c r="H554" s="698"/>
      <c r="I554" s="698"/>
      <c r="J554" s="697"/>
      <c r="K554" s="697"/>
      <c r="L554" s="697"/>
      <c r="M554" s="697"/>
      <c r="N554" s="698"/>
      <c r="O554" s="698"/>
      <c r="P554" s="698"/>
      <c r="Q554" s="697"/>
      <c r="R554" s="697"/>
      <c r="S554" s="698"/>
      <c r="T554" s="697"/>
      <c r="U554" s="697"/>
      <c r="V554" s="698"/>
      <c r="W554" s="698"/>
      <c r="X554" s="697"/>
      <c r="Y554" s="697"/>
      <c r="Z554" s="697"/>
      <c r="AA554" s="697"/>
      <c r="AB554" s="697"/>
    </row>
    <row r="555" spans="1:28" x14ac:dyDescent="0.2">
      <c r="A555" s="694" t="str">
        <f>+Info!$B$2</f>
        <v>724</v>
      </c>
      <c r="B555" s="694" t="s">
        <v>5985</v>
      </c>
      <c r="C555" s="694" t="s">
        <v>5986</v>
      </c>
      <c r="D555" s="695" t="s">
        <v>5987</v>
      </c>
      <c r="E555" s="696"/>
      <c r="F555" s="697"/>
      <c r="G555" s="697"/>
      <c r="H555" s="698"/>
      <c r="I555" s="698"/>
      <c r="J555" s="697"/>
      <c r="K555" s="697"/>
      <c r="L555" s="697"/>
      <c r="M555" s="697"/>
      <c r="N555" s="698"/>
      <c r="O555" s="698"/>
      <c r="P555" s="698"/>
      <c r="Q555" s="697"/>
      <c r="R555" s="697"/>
      <c r="S555" s="698"/>
      <c r="T555" s="697"/>
      <c r="U555" s="697"/>
      <c r="V555" s="698"/>
      <c r="W555" s="698"/>
      <c r="X555" s="697"/>
      <c r="Y555" s="697"/>
      <c r="Z555" s="697"/>
      <c r="AA555" s="697"/>
      <c r="AB555" s="697"/>
    </row>
    <row r="556" spans="1:28" ht="25.5" x14ac:dyDescent="0.2">
      <c r="A556" s="694" t="str">
        <f>+Info!$B$2</f>
        <v>724</v>
      </c>
      <c r="B556" s="694" t="s">
        <v>5988</v>
      </c>
      <c r="C556" s="694" t="s">
        <v>5989</v>
      </c>
      <c r="D556" s="695" t="s">
        <v>5990</v>
      </c>
      <c r="E556" s="696"/>
      <c r="F556" s="697"/>
      <c r="G556" s="697"/>
      <c r="H556" s="698"/>
      <c r="I556" s="698"/>
      <c r="J556" s="697"/>
      <c r="K556" s="697"/>
      <c r="L556" s="697"/>
      <c r="M556" s="697"/>
      <c r="N556" s="698"/>
      <c r="O556" s="698"/>
      <c r="P556" s="698"/>
      <c r="Q556" s="697"/>
      <c r="R556" s="697"/>
      <c r="S556" s="698"/>
      <c r="T556" s="697"/>
      <c r="U556" s="697"/>
      <c r="V556" s="698"/>
      <c r="W556" s="698"/>
      <c r="X556" s="697"/>
      <c r="Y556" s="697"/>
      <c r="Z556" s="697"/>
      <c r="AA556" s="697"/>
      <c r="AB556" s="697"/>
    </row>
    <row r="557" spans="1:28" x14ac:dyDescent="0.2">
      <c r="A557" s="694" t="str">
        <f>+Info!$B$2</f>
        <v>724</v>
      </c>
      <c r="B557" s="694" t="s">
        <v>5991</v>
      </c>
      <c r="C557" s="694" t="s">
        <v>5992</v>
      </c>
      <c r="D557" s="695" t="s">
        <v>5993</v>
      </c>
      <c r="E557" s="696"/>
      <c r="F557" s="697"/>
      <c r="G557" s="697"/>
      <c r="H557" s="698"/>
      <c r="I557" s="698"/>
      <c r="J557" s="697"/>
      <c r="K557" s="697"/>
      <c r="L557" s="697"/>
      <c r="M557" s="697"/>
      <c r="N557" s="698"/>
      <c r="O557" s="698"/>
      <c r="P557" s="698"/>
      <c r="Q557" s="697"/>
      <c r="R557" s="697"/>
      <c r="S557" s="698"/>
      <c r="T557" s="697"/>
      <c r="U557" s="697"/>
      <c r="V557" s="698"/>
      <c r="W557" s="698"/>
      <c r="X557" s="697"/>
      <c r="Y557" s="697"/>
      <c r="Z557" s="697"/>
      <c r="AA557" s="697"/>
      <c r="AB557" s="697"/>
    </row>
    <row r="558" spans="1:28" x14ac:dyDescent="0.2">
      <c r="A558" s="694" t="str">
        <f>+Info!$B$2</f>
        <v>724</v>
      </c>
      <c r="B558" s="694" t="s">
        <v>5994</v>
      </c>
      <c r="C558" s="694" t="s">
        <v>5995</v>
      </c>
      <c r="D558" s="695" t="s">
        <v>5996</v>
      </c>
      <c r="E558" s="696"/>
      <c r="F558" s="697"/>
      <c r="G558" s="697"/>
      <c r="H558" s="698"/>
      <c r="I558" s="698"/>
      <c r="J558" s="697"/>
      <c r="K558" s="697"/>
      <c r="L558" s="697"/>
      <c r="M558" s="697"/>
      <c r="N558" s="698"/>
      <c r="O558" s="698"/>
      <c r="P558" s="698"/>
      <c r="Q558" s="697"/>
      <c r="R558" s="697"/>
      <c r="S558" s="698"/>
      <c r="T558" s="697"/>
      <c r="U558" s="697"/>
      <c r="V558" s="698"/>
      <c r="W558" s="698"/>
      <c r="X558" s="697"/>
      <c r="Y558" s="697"/>
      <c r="Z558" s="697"/>
      <c r="AA558" s="697"/>
      <c r="AB558" s="697"/>
    </row>
    <row r="559" spans="1:28" x14ac:dyDescent="0.2">
      <c r="A559" s="694" t="str">
        <f>+Info!$B$2</f>
        <v>724</v>
      </c>
      <c r="B559" s="694" t="s">
        <v>5997</v>
      </c>
      <c r="C559" s="694" t="s">
        <v>5998</v>
      </c>
      <c r="D559" s="695" t="s">
        <v>5999</v>
      </c>
      <c r="E559" s="696"/>
      <c r="F559" s="697"/>
      <c r="G559" s="697"/>
      <c r="H559" s="698"/>
      <c r="I559" s="698"/>
      <c r="J559" s="697"/>
      <c r="K559" s="697"/>
      <c r="L559" s="697"/>
      <c r="M559" s="697"/>
      <c r="N559" s="698"/>
      <c r="O559" s="698"/>
      <c r="P559" s="698"/>
      <c r="Q559" s="697"/>
      <c r="R559" s="697"/>
      <c r="S559" s="698"/>
      <c r="T559" s="697"/>
      <c r="U559" s="697"/>
      <c r="V559" s="698"/>
      <c r="W559" s="698"/>
      <c r="X559" s="697"/>
      <c r="Y559" s="697"/>
      <c r="Z559" s="697"/>
      <c r="AA559" s="697"/>
      <c r="AB559" s="697"/>
    </row>
    <row r="560" spans="1:28" x14ac:dyDescent="0.2">
      <c r="A560" s="694" t="str">
        <f>+Info!$B$2</f>
        <v>724</v>
      </c>
      <c r="B560" s="694" t="s">
        <v>6000</v>
      </c>
      <c r="C560" s="694" t="s">
        <v>6001</v>
      </c>
      <c r="D560" s="695" t="s">
        <v>6002</v>
      </c>
      <c r="E560" s="696"/>
      <c r="F560" s="697"/>
      <c r="G560" s="697"/>
      <c r="H560" s="698"/>
      <c r="I560" s="698"/>
      <c r="J560" s="697"/>
      <c r="K560" s="697"/>
      <c r="L560" s="697"/>
      <c r="M560" s="697"/>
      <c r="N560" s="698"/>
      <c r="O560" s="698"/>
      <c r="P560" s="698"/>
      <c r="Q560" s="697"/>
      <c r="R560" s="697"/>
      <c r="S560" s="698"/>
      <c r="T560" s="697"/>
      <c r="U560" s="697"/>
      <c r="V560" s="698"/>
      <c r="W560" s="698"/>
      <c r="X560" s="697"/>
      <c r="Y560" s="697"/>
      <c r="Z560" s="697"/>
      <c r="AA560" s="698"/>
      <c r="AB560" s="698"/>
    </row>
    <row r="561" spans="1:28" x14ac:dyDescent="0.2">
      <c r="A561" s="694" t="str">
        <f>+Info!$B$2</f>
        <v>724</v>
      </c>
      <c r="B561" s="694" t="s">
        <v>6003</v>
      </c>
      <c r="C561" s="694" t="s">
        <v>6004</v>
      </c>
      <c r="D561" s="695" t="s">
        <v>6005</v>
      </c>
      <c r="E561" s="696"/>
      <c r="F561" s="697"/>
      <c r="G561" s="697"/>
      <c r="H561" s="698"/>
      <c r="I561" s="698"/>
      <c r="J561" s="697"/>
      <c r="K561" s="697"/>
      <c r="L561" s="697"/>
      <c r="M561" s="697"/>
      <c r="N561" s="698"/>
      <c r="O561" s="698"/>
      <c r="P561" s="698"/>
      <c r="Q561" s="697"/>
      <c r="R561" s="697"/>
      <c r="S561" s="698"/>
      <c r="T561" s="697"/>
      <c r="U561" s="697"/>
      <c r="V561" s="698"/>
      <c r="W561" s="698"/>
      <c r="X561" s="697"/>
      <c r="Y561" s="697"/>
      <c r="Z561" s="697"/>
      <c r="AA561" s="698"/>
      <c r="AB561" s="698"/>
    </row>
    <row r="562" spans="1:28" x14ac:dyDescent="0.2">
      <c r="A562" s="694" t="str">
        <f>+Info!$B$2</f>
        <v>724</v>
      </c>
      <c r="B562" s="694" t="s">
        <v>6006</v>
      </c>
      <c r="C562" s="694" t="s">
        <v>6007</v>
      </c>
      <c r="D562" s="695" t="s">
        <v>6008</v>
      </c>
      <c r="E562" s="696"/>
      <c r="F562" s="697"/>
      <c r="G562" s="697"/>
      <c r="H562" s="698"/>
      <c r="I562" s="698"/>
      <c r="J562" s="697"/>
      <c r="K562" s="697"/>
      <c r="L562" s="697"/>
      <c r="M562" s="697"/>
      <c r="N562" s="698"/>
      <c r="O562" s="698"/>
      <c r="P562" s="698"/>
      <c r="Q562" s="697"/>
      <c r="R562" s="697"/>
      <c r="S562" s="698"/>
      <c r="T562" s="697"/>
      <c r="U562" s="697"/>
      <c r="V562" s="698"/>
      <c r="W562" s="698"/>
      <c r="X562" s="697"/>
      <c r="Y562" s="697"/>
      <c r="Z562" s="697"/>
      <c r="AA562" s="697"/>
      <c r="AB562" s="697"/>
    </row>
    <row r="563" spans="1:28" x14ac:dyDescent="0.2">
      <c r="A563" s="694" t="str">
        <f>+Info!$B$2</f>
        <v>724</v>
      </c>
      <c r="B563" s="694" t="s">
        <v>6009</v>
      </c>
      <c r="C563" s="694" t="s">
        <v>6010</v>
      </c>
      <c r="D563" s="695" t="s">
        <v>6011</v>
      </c>
      <c r="E563" s="696"/>
      <c r="F563" s="697"/>
      <c r="G563" s="697"/>
      <c r="H563" s="698"/>
      <c r="I563" s="698"/>
      <c r="J563" s="697"/>
      <c r="K563" s="697"/>
      <c r="L563" s="697"/>
      <c r="M563" s="697"/>
      <c r="N563" s="698"/>
      <c r="O563" s="698"/>
      <c r="P563" s="698"/>
      <c r="Q563" s="697"/>
      <c r="R563" s="697"/>
      <c r="S563" s="698"/>
      <c r="T563" s="697"/>
      <c r="U563" s="697"/>
      <c r="V563" s="698"/>
      <c r="W563" s="698"/>
      <c r="X563" s="697"/>
      <c r="Y563" s="697"/>
      <c r="Z563" s="697"/>
      <c r="AA563" s="697"/>
      <c r="AB563" s="697"/>
    </row>
    <row r="564" spans="1:28" x14ac:dyDescent="0.2">
      <c r="A564" s="694" t="str">
        <f>+Info!$B$2</f>
        <v>724</v>
      </c>
      <c r="B564" s="694" t="s">
        <v>6012</v>
      </c>
      <c r="C564" s="694" t="s">
        <v>6013</v>
      </c>
      <c r="D564" s="695" t="s">
        <v>6014</v>
      </c>
      <c r="E564" s="696"/>
      <c r="F564" s="697"/>
      <c r="G564" s="697"/>
      <c r="H564" s="698"/>
      <c r="I564" s="698"/>
      <c r="J564" s="697"/>
      <c r="K564" s="697"/>
      <c r="L564" s="697"/>
      <c r="M564" s="697"/>
      <c r="N564" s="698"/>
      <c r="O564" s="698"/>
      <c r="P564" s="698"/>
      <c r="Q564" s="697"/>
      <c r="R564" s="697"/>
      <c r="S564" s="698"/>
      <c r="T564" s="697"/>
      <c r="U564" s="697"/>
      <c r="V564" s="698"/>
      <c r="W564" s="698"/>
      <c r="X564" s="697"/>
      <c r="Y564" s="697"/>
      <c r="Z564" s="697"/>
      <c r="AA564" s="697"/>
      <c r="AB564" s="697"/>
    </row>
    <row r="565" spans="1:28" x14ac:dyDescent="0.2">
      <c r="A565" s="694" t="str">
        <f>+Info!$B$2</f>
        <v>724</v>
      </c>
      <c r="B565" s="694" t="s">
        <v>6015</v>
      </c>
      <c r="C565" s="694" t="s">
        <v>6016</v>
      </c>
      <c r="D565" s="695" t="s">
        <v>6017</v>
      </c>
      <c r="E565" s="696"/>
      <c r="F565" s="697"/>
      <c r="G565" s="697"/>
      <c r="H565" s="698"/>
      <c r="I565" s="698"/>
      <c r="J565" s="697"/>
      <c r="K565" s="697"/>
      <c r="L565" s="697"/>
      <c r="M565" s="697"/>
      <c r="N565" s="698"/>
      <c r="O565" s="698"/>
      <c r="P565" s="698"/>
      <c r="Q565" s="697"/>
      <c r="R565" s="697"/>
      <c r="S565" s="698"/>
      <c r="T565" s="697"/>
      <c r="U565" s="697"/>
      <c r="V565" s="698"/>
      <c r="W565" s="698"/>
      <c r="X565" s="697"/>
      <c r="Y565" s="697"/>
      <c r="Z565" s="697"/>
      <c r="AA565" s="697"/>
      <c r="AB565" s="697"/>
    </row>
    <row r="566" spans="1:28" x14ac:dyDescent="0.2">
      <c r="A566" s="694" t="str">
        <f>+Info!$B$2</f>
        <v>724</v>
      </c>
      <c r="B566" s="694" t="s">
        <v>6018</v>
      </c>
      <c r="C566" s="694" t="s">
        <v>6019</v>
      </c>
      <c r="D566" s="695" t="s">
        <v>6020</v>
      </c>
      <c r="E566" s="696"/>
      <c r="F566" s="697"/>
      <c r="G566" s="697"/>
      <c r="H566" s="698"/>
      <c r="I566" s="698"/>
      <c r="J566" s="697"/>
      <c r="K566" s="697"/>
      <c r="L566" s="697"/>
      <c r="M566" s="697"/>
      <c r="N566" s="698"/>
      <c r="O566" s="698"/>
      <c r="P566" s="698"/>
      <c r="Q566" s="697"/>
      <c r="R566" s="697"/>
      <c r="S566" s="698"/>
      <c r="T566" s="697"/>
      <c r="U566" s="697"/>
      <c r="V566" s="698"/>
      <c r="W566" s="698"/>
      <c r="X566" s="697"/>
      <c r="Y566" s="697"/>
      <c r="Z566" s="697"/>
      <c r="AA566" s="697"/>
      <c r="AB566" s="697"/>
    </row>
    <row r="567" spans="1:28" ht="25.5" x14ac:dyDescent="0.2">
      <c r="A567" s="694" t="str">
        <f>+Info!$B$2</f>
        <v>724</v>
      </c>
      <c r="B567" s="694" t="s">
        <v>6021</v>
      </c>
      <c r="C567" s="694" t="s">
        <v>6022</v>
      </c>
      <c r="D567" s="695" t="s">
        <v>6023</v>
      </c>
      <c r="E567" s="696"/>
      <c r="F567" s="697"/>
      <c r="G567" s="697"/>
      <c r="H567" s="698"/>
      <c r="I567" s="698"/>
      <c r="J567" s="697"/>
      <c r="K567" s="697"/>
      <c r="L567" s="697"/>
      <c r="M567" s="697"/>
      <c r="N567" s="698"/>
      <c r="O567" s="698"/>
      <c r="P567" s="698"/>
      <c r="Q567" s="697"/>
      <c r="R567" s="697"/>
      <c r="S567" s="698"/>
      <c r="T567" s="697"/>
      <c r="U567" s="697"/>
      <c r="V567" s="698"/>
      <c r="W567" s="698"/>
      <c r="X567" s="697"/>
      <c r="Y567" s="697"/>
      <c r="Z567" s="697"/>
      <c r="AA567" s="697"/>
      <c r="AB567" s="697"/>
    </row>
    <row r="568" spans="1:28" x14ac:dyDescent="0.2">
      <c r="A568" s="694" t="str">
        <f>+Info!$B$2</f>
        <v>724</v>
      </c>
      <c r="B568" s="694" t="s">
        <v>6024</v>
      </c>
      <c r="C568" s="694" t="s">
        <v>6025</v>
      </c>
      <c r="D568" s="695" t="s">
        <v>6026</v>
      </c>
      <c r="E568" s="696"/>
      <c r="F568" s="697"/>
      <c r="G568" s="697"/>
      <c r="H568" s="698"/>
      <c r="I568" s="698"/>
      <c r="J568" s="697"/>
      <c r="K568" s="697"/>
      <c r="L568" s="697"/>
      <c r="M568" s="697"/>
      <c r="N568" s="698"/>
      <c r="O568" s="698"/>
      <c r="P568" s="698"/>
      <c r="Q568" s="697"/>
      <c r="R568" s="697"/>
      <c r="S568" s="698"/>
      <c r="T568" s="697"/>
      <c r="U568" s="697"/>
      <c r="V568" s="698"/>
      <c r="W568" s="698"/>
      <c r="X568" s="697"/>
      <c r="Y568" s="697"/>
      <c r="Z568" s="697"/>
      <c r="AA568" s="697"/>
      <c r="AB568" s="697"/>
    </row>
    <row r="569" spans="1:28" x14ac:dyDescent="0.2">
      <c r="A569" s="694" t="str">
        <f>+Info!$B$2</f>
        <v>724</v>
      </c>
      <c r="B569" s="694" t="s">
        <v>6027</v>
      </c>
      <c r="C569" s="694" t="s">
        <v>6028</v>
      </c>
      <c r="D569" s="695" t="s">
        <v>6029</v>
      </c>
      <c r="E569" s="696"/>
      <c r="F569" s="697"/>
      <c r="G569" s="697"/>
      <c r="H569" s="698"/>
      <c r="I569" s="698"/>
      <c r="J569" s="697"/>
      <c r="K569" s="697"/>
      <c r="L569" s="697"/>
      <c r="M569" s="697"/>
      <c r="N569" s="698"/>
      <c r="O569" s="698"/>
      <c r="P569" s="698"/>
      <c r="Q569" s="697"/>
      <c r="R569" s="697"/>
      <c r="S569" s="698"/>
      <c r="T569" s="697"/>
      <c r="U569" s="697"/>
      <c r="V569" s="698"/>
      <c r="W569" s="698"/>
      <c r="X569" s="697"/>
      <c r="Y569" s="697"/>
      <c r="Z569" s="697"/>
      <c r="AA569" s="697"/>
      <c r="AB569" s="697"/>
    </row>
    <row r="570" spans="1:28" x14ac:dyDescent="0.2">
      <c r="A570" s="694" t="str">
        <f>+Info!$B$2</f>
        <v>724</v>
      </c>
      <c r="B570" s="694" t="s">
        <v>6030</v>
      </c>
      <c r="C570" s="694" t="s">
        <v>6031</v>
      </c>
      <c r="D570" s="695" t="s">
        <v>6032</v>
      </c>
      <c r="E570" s="696"/>
      <c r="F570" s="697"/>
      <c r="G570" s="697"/>
      <c r="H570" s="698"/>
      <c r="I570" s="698"/>
      <c r="J570" s="697"/>
      <c r="K570" s="697"/>
      <c r="L570" s="697"/>
      <c r="M570" s="697"/>
      <c r="N570" s="698"/>
      <c r="O570" s="698"/>
      <c r="P570" s="698"/>
      <c r="Q570" s="697"/>
      <c r="R570" s="697"/>
      <c r="S570" s="698"/>
      <c r="T570" s="697"/>
      <c r="U570" s="697"/>
      <c r="V570" s="698"/>
      <c r="W570" s="698"/>
      <c r="X570" s="697"/>
      <c r="Y570" s="697"/>
      <c r="Z570" s="697"/>
      <c r="AA570" s="697"/>
      <c r="AB570" s="697"/>
    </row>
    <row r="571" spans="1:28" x14ac:dyDescent="0.2">
      <c r="A571" s="694" t="str">
        <f>+Info!$B$2</f>
        <v>724</v>
      </c>
      <c r="B571" s="694" t="s">
        <v>6033</v>
      </c>
      <c r="C571" s="694" t="s">
        <v>6034</v>
      </c>
      <c r="D571" s="695" t="s">
        <v>6035</v>
      </c>
      <c r="E571" s="696"/>
      <c r="F571" s="697"/>
      <c r="G571" s="697"/>
      <c r="H571" s="698"/>
      <c r="I571" s="698"/>
      <c r="J571" s="697"/>
      <c r="K571" s="697"/>
      <c r="L571" s="697"/>
      <c r="M571" s="697"/>
      <c r="N571" s="698"/>
      <c r="O571" s="698"/>
      <c r="P571" s="698"/>
      <c r="Q571" s="697"/>
      <c r="R571" s="697"/>
      <c r="S571" s="698"/>
      <c r="T571" s="697"/>
      <c r="U571" s="697"/>
      <c r="V571" s="698"/>
      <c r="W571" s="698"/>
      <c r="X571" s="697"/>
      <c r="Y571" s="697"/>
      <c r="Z571" s="697"/>
      <c r="AA571" s="698"/>
      <c r="AB571" s="698"/>
    </row>
    <row r="572" spans="1:28" x14ac:dyDescent="0.2">
      <c r="A572" s="694" t="str">
        <f>+Info!$B$2</f>
        <v>724</v>
      </c>
      <c r="B572" s="694" t="s">
        <v>6036</v>
      </c>
      <c r="C572" s="694" t="s">
        <v>6037</v>
      </c>
      <c r="D572" s="695" t="s">
        <v>6038</v>
      </c>
      <c r="E572" s="696"/>
      <c r="F572" s="697"/>
      <c r="G572" s="697"/>
      <c r="H572" s="698"/>
      <c r="I572" s="698"/>
      <c r="J572" s="697"/>
      <c r="K572" s="697"/>
      <c r="L572" s="697"/>
      <c r="M572" s="697"/>
      <c r="N572" s="698"/>
      <c r="O572" s="698"/>
      <c r="P572" s="698"/>
      <c r="Q572" s="697"/>
      <c r="R572" s="697"/>
      <c r="S572" s="698"/>
      <c r="T572" s="697"/>
      <c r="U572" s="697"/>
      <c r="V572" s="698"/>
      <c r="W572" s="698"/>
      <c r="X572" s="697"/>
      <c r="Y572" s="697"/>
      <c r="Z572" s="697"/>
      <c r="AA572" s="698"/>
      <c r="AB572" s="698"/>
    </row>
    <row r="573" spans="1:28" x14ac:dyDescent="0.2">
      <c r="A573" s="694" t="str">
        <f>+Info!$B$2</f>
        <v>724</v>
      </c>
      <c r="B573" s="694" t="s">
        <v>6039</v>
      </c>
      <c r="C573" s="694" t="s">
        <v>6040</v>
      </c>
      <c r="D573" s="695" t="s">
        <v>6041</v>
      </c>
      <c r="E573" s="696"/>
      <c r="F573" s="697"/>
      <c r="G573" s="697"/>
      <c r="H573" s="698"/>
      <c r="I573" s="698"/>
      <c r="J573" s="697"/>
      <c r="K573" s="697"/>
      <c r="L573" s="697"/>
      <c r="M573" s="697"/>
      <c r="N573" s="698"/>
      <c r="O573" s="698"/>
      <c r="P573" s="698"/>
      <c r="Q573" s="697"/>
      <c r="R573" s="697"/>
      <c r="S573" s="698"/>
      <c r="T573" s="697"/>
      <c r="U573" s="697"/>
      <c r="V573" s="698"/>
      <c r="W573" s="698"/>
      <c r="X573" s="697"/>
      <c r="Y573" s="697"/>
      <c r="Z573" s="697"/>
      <c r="AA573" s="697"/>
      <c r="AB573" s="697"/>
    </row>
    <row r="574" spans="1:28" x14ac:dyDescent="0.2">
      <c r="A574" s="694" t="str">
        <f>+Info!$B$2</f>
        <v>724</v>
      </c>
      <c r="B574" s="694" t="s">
        <v>6042</v>
      </c>
      <c r="C574" s="694" t="s">
        <v>6043</v>
      </c>
      <c r="D574" s="695" t="s">
        <v>6044</v>
      </c>
      <c r="E574" s="696"/>
      <c r="F574" s="697"/>
      <c r="G574" s="697"/>
      <c r="H574" s="698"/>
      <c r="I574" s="698"/>
      <c r="J574" s="697"/>
      <c r="K574" s="697"/>
      <c r="L574" s="697"/>
      <c r="M574" s="697"/>
      <c r="N574" s="698"/>
      <c r="O574" s="698"/>
      <c r="P574" s="698"/>
      <c r="Q574" s="697"/>
      <c r="R574" s="697"/>
      <c r="S574" s="698"/>
      <c r="T574" s="697"/>
      <c r="U574" s="697"/>
      <c r="V574" s="698"/>
      <c r="W574" s="698"/>
      <c r="X574" s="697"/>
      <c r="Y574" s="697"/>
      <c r="Z574" s="697"/>
      <c r="AA574" s="697"/>
      <c r="AB574" s="697"/>
    </row>
    <row r="575" spans="1:28" x14ac:dyDescent="0.2">
      <c r="A575" s="694" t="str">
        <f>+Info!$B$2</f>
        <v>724</v>
      </c>
      <c r="B575" s="694" t="s">
        <v>6045</v>
      </c>
      <c r="C575" s="694" t="s">
        <v>6046</v>
      </c>
      <c r="D575" s="695" t="s">
        <v>6047</v>
      </c>
      <c r="E575" s="696"/>
      <c r="F575" s="697"/>
      <c r="G575" s="697"/>
      <c r="H575" s="698"/>
      <c r="I575" s="698"/>
      <c r="J575" s="697"/>
      <c r="K575" s="697"/>
      <c r="L575" s="697"/>
      <c r="M575" s="697"/>
      <c r="N575" s="698"/>
      <c r="O575" s="698"/>
      <c r="P575" s="698"/>
      <c r="Q575" s="697"/>
      <c r="R575" s="697"/>
      <c r="S575" s="698"/>
      <c r="T575" s="697"/>
      <c r="U575" s="697"/>
      <c r="V575" s="698"/>
      <c r="W575" s="698"/>
      <c r="X575" s="697"/>
      <c r="Y575" s="697"/>
      <c r="Z575" s="697"/>
      <c r="AA575" s="697"/>
      <c r="AB575" s="697"/>
    </row>
    <row r="576" spans="1:28" x14ac:dyDescent="0.2">
      <c r="A576" s="694" t="str">
        <f>+Info!$B$2</f>
        <v>724</v>
      </c>
      <c r="B576" s="694" t="s">
        <v>6048</v>
      </c>
      <c r="C576" s="694" t="s">
        <v>6049</v>
      </c>
      <c r="D576" s="695" t="s">
        <v>6050</v>
      </c>
      <c r="E576" s="696"/>
      <c r="F576" s="697"/>
      <c r="G576" s="697"/>
      <c r="H576" s="698"/>
      <c r="I576" s="698"/>
      <c r="J576" s="697"/>
      <c r="K576" s="697"/>
      <c r="L576" s="697"/>
      <c r="M576" s="697"/>
      <c r="N576" s="698"/>
      <c r="O576" s="698"/>
      <c r="P576" s="698"/>
      <c r="Q576" s="697"/>
      <c r="R576" s="697"/>
      <c r="S576" s="698"/>
      <c r="T576" s="697"/>
      <c r="U576" s="697"/>
      <c r="V576" s="698"/>
      <c r="W576" s="698"/>
      <c r="X576" s="697"/>
      <c r="Y576" s="697"/>
      <c r="Z576" s="697"/>
      <c r="AA576" s="697"/>
      <c r="AB576" s="697"/>
    </row>
    <row r="577" spans="1:28" x14ac:dyDescent="0.2">
      <c r="A577" s="694" t="str">
        <f>+Info!$B$2</f>
        <v>724</v>
      </c>
      <c r="B577" s="694" t="s">
        <v>6051</v>
      </c>
      <c r="C577" s="694" t="s">
        <v>6052</v>
      </c>
      <c r="D577" s="695" t="s">
        <v>6053</v>
      </c>
      <c r="E577" s="696"/>
      <c r="F577" s="697"/>
      <c r="G577" s="697"/>
      <c r="H577" s="698"/>
      <c r="I577" s="698"/>
      <c r="J577" s="697"/>
      <c r="K577" s="697"/>
      <c r="L577" s="697"/>
      <c r="M577" s="697"/>
      <c r="N577" s="698"/>
      <c r="O577" s="698"/>
      <c r="P577" s="698"/>
      <c r="Q577" s="697"/>
      <c r="R577" s="697"/>
      <c r="S577" s="698"/>
      <c r="T577" s="697"/>
      <c r="U577" s="697"/>
      <c r="V577" s="698"/>
      <c r="W577" s="698"/>
      <c r="X577" s="697"/>
      <c r="Y577" s="697"/>
      <c r="Z577" s="697"/>
      <c r="AA577" s="697"/>
      <c r="AB577" s="697"/>
    </row>
    <row r="578" spans="1:28" x14ac:dyDescent="0.2">
      <c r="A578" s="694" t="str">
        <f>+Info!$B$2</f>
        <v>724</v>
      </c>
      <c r="B578" s="694" t="s">
        <v>6054</v>
      </c>
      <c r="C578" s="694" t="s">
        <v>6055</v>
      </c>
      <c r="D578" s="695" t="s">
        <v>6056</v>
      </c>
      <c r="E578" s="696"/>
      <c r="F578" s="697"/>
      <c r="G578" s="697"/>
      <c r="H578" s="698"/>
      <c r="I578" s="698"/>
      <c r="J578" s="697"/>
      <c r="K578" s="697"/>
      <c r="L578" s="697"/>
      <c r="M578" s="697"/>
      <c r="N578" s="698"/>
      <c r="O578" s="698"/>
      <c r="P578" s="698"/>
      <c r="Q578" s="697"/>
      <c r="R578" s="697"/>
      <c r="S578" s="698"/>
      <c r="T578" s="697"/>
      <c r="U578" s="697"/>
      <c r="V578" s="698"/>
      <c r="W578" s="698"/>
      <c r="X578" s="697"/>
      <c r="Y578" s="697"/>
      <c r="Z578" s="697"/>
      <c r="AA578" s="697"/>
      <c r="AB578" s="697"/>
    </row>
    <row r="579" spans="1:28" x14ac:dyDescent="0.2">
      <c r="A579" s="694" t="str">
        <f>+Info!$B$2</f>
        <v>724</v>
      </c>
      <c r="B579" s="694" t="s">
        <v>6057</v>
      </c>
      <c r="C579" s="694" t="s">
        <v>6058</v>
      </c>
      <c r="D579" s="695" t="s">
        <v>6059</v>
      </c>
      <c r="E579" s="696"/>
      <c r="F579" s="697"/>
      <c r="G579" s="697"/>
      <c r="H579" s="698"/>
      <c r="I579" s="698"/>
      <c r="J579" s="697"/>
      <c r="K579" s="697"/>
      <c r="L579" s="697"/>
      <c r="M579" s="697"/>
      <c r="N579" s="698"/>
      <c r="O579" s="698"/>
      <c r="P579" s="698"/>
      <c r="Q579" s="697"/>
      <c r="R579" s="697"/>
      <c r="S579" s="698"/>
      <c r="T579" s="697"/>
      <c r="U579" s="697"/>
      <c r="V579" s="698"/>
      <c r="W579" s="698"/>
      <c r="X579" s="697"/>
      <c r="Y579" s="697"/>
      <c r="Z579" s="697"/>
      <c r="AA579" s="697"/>
      <c r="AB579" s="697"/>
    </row>
    <row r="580" spans="1:28" x14ac:dyDescent="0.2">
      <c r="A580" s="694" t="str">
        <f>+Info!$B$2</f>
        <v>724</v>
      </c>
      <c r="B580" s="694" t="s">
        <v>6060</v>
      </c>
      <c r="C580" s="694" t="s">
        <v>6061</v>
      </c>
      <c r="D580" s="695" t="s">
        <v>6062</v>
      </c>
      <c r="E580" s="696"/>
      <c r="F580" s="697"/>
      <c r="G580" s="697"/>
      <c r="H580" s="698"/>
      <c r="I580" s="698"/>
      <c r="J580" s="697"/>
      <c r="K580" s="697"/>
      <c r="L580" s="697"/>
      <c r="M580" s="697"/>
      <c r="N580" s="698"/>
      <c r="O580" s="698"/>
      <c r="P580" s="698"/>
      <c r="Q580" s="697"/>
      <c r="R580" s="697"/>
      <c r="S580" s="698"/>
      <c r="T580" s="697"/>
      <c r="U580" s="697"/>
      <c r="V580" s="698"/>
      <c r="W580" s="698"/>
      <c r="X580" s="697"/>
      <c r="Y580" s="697"/>
      <c r="Z580" s="697"/>
      <c r="AA580" s="697"/>
      <c r="AB580" s="697"/>
    </row>
    <row r="581" spans="1:28" x14ac:dyDescent="0.2">
      <c r="A581" s="694" t="str">
        <f>+Info!$B$2</f>
        <v>724</v>
      </c>
      <c r="B581" s="694" t="s">
        <v>6063</v>
      </c>
      <c r="C581" s="694" t="s">
        <v>6064</v>
      </c>
      <c r="D581" s="695" t="s">
        <v>6065</v>
      </c>
      <c r="E581" s="696"/>
      <c r="F581" s="697"/>
      <c r="G581" s="697"/>
      <c r="H581" s="698"/>
      <c r="I581" s="698"/>
      <c r="J581" s="697"/>
      <c r="K581" s="697"/>
      <c r="L581" s="697"/>
      <c r="M581" s="697"/>
      <c r="N581" s="698"/>
      <c r="O581" s="698"/>
      <c r="P581" s="698"/>
      <c r="Q581" s="697"/>
      <c r="R581" s="697"/>
      <c r="S581" s="698"/>
      <c r="T581" s="697"/>
      <c r="U581" s="697"/>
      <c r="V581" s="698"/>
      <c r="W581" s="698"/>
      <c r="X581" s="697"/>
      <c r="Y581" s="697"/>
      <c r="Z581" s="697"/>
      <c r="AA581" s="697"/>
      <c r="AB581" s="697"/>
    </row>
    <row r="582" spans="1:28" x14ac:dyDescent="0.2">
      <c r="A582" s="694" t="str">
        <f>+Info!$B$2</f>
        <v>724</v>
      </c>
      <c r="B582" s="694" t="s">
        <v>6066</v>
      </c>
      <c r="C582" s="694" t="s">
        <v>6067</v>
      </c>
      <c r="D582" s="695" t="s">
        <v>6068</v>
      </c>
      <c r="E582" s="696"/>
      <c r="F582" s="697"/>
      <c r="G582" s="697"/>
      <c r="H582" s="698"/>
      <c r="I582" s="698"/>
      <c r="J582" s="697"/>
      <c r="K582" s="697"/>
      <c r="L582" s="697"/>
      <c r="M582" s="697"/>
      <c r="N582" s="698"/>
      <c r="O582" s="698"/>
      <c r="P582" s="698"/>
      <c r="Q582" s="697"/>
      <c r="R582" s="697"/>
      <c r="S582" s="698"/>
      <c r="T582" s="697"/>
      <c r="U582" s="697"/>
      <c r="V582" s="698"/>
      <c r="W582" s="698"/>
      <c r="X582" s="697"/>
      <c r="Y582" s="697"/>
      <c r="Z582" s="697"/>
      <c r="AA582" s="698"/>
      <c r="AB582" s="698"/>
    </row>
    <row r="583" spans="1:28" x14ac:dyDescent="0.2">
      <c r="A583" s="694" t="str">
        <f>+Info!$B$2</f>
        <v>724</v>
      </c>
      <c r="B583" s="694" t="s">
        <v>6069</v>
      </c>
      <c r="C583" s="694" t="s">
        <v>6070</v>
      </c>
      <c r="D583" s="695" t="s">
        <v>6071</v>
      </c>
      <c r="E583" s="696"/>
      <c r="F583" s="697"/>
      <c r="G583" s="697"/>
      <c r="H583" s="698"/>
      <c r="I583" s="698"/>
      <c r="J583" s="697"/>
      <c r="K583" s="697"/>
      <c r="L583" s="697"/>
      <c r="M583" s="697"/>
      <c r="N583" s="698"/>
      <c r="O583" s="698"/>
      <c r="P583" s="698"/>
      <c r="Q583" s="697"/>
      <c r="R583" s="697"/>
      <c r="S583" s="698"/>
      <c r="T583" s="697"/>
      <c r="U583" s="697"/>
      <c r="V583" s="698"/>
      <c r="W583" s="698"/>
      <c r="X583" s="697"/>
      <c r="Y583" s="697"/>
      <c r="Z583" s="697"/>
      <c r="AA583" s="698"/>
      <c r="AB583" s="698"/>
    </row>
    <row r="584" spans="1:28" x14ac:dyDescent="0.2">
      <c r="A584" s="694" t="str">
        <f>+Info!$B$2</f>
        <v>724</v>
      </c>
      <c r="B584" s="694" t="s">
        <v>6072</v>
      </c>
      <c r="C584" s="694" t="s">
        <v>6073</v>
      </c>
      <c r="D584" s="695" t="s">
        <v>6074</v>
      </c>
      <c r="E584" s="696"/>
      <c r="F584" s="697"/>
      <c r="G584" s="697"/>
      <c r="H584" s="698"/>
      <c r="I584" s="698"/>
      <c r="J584" s="697"/>
      <c r="K584" s="697"/>
      <c r="L584" s="697"/>
      <c r="M584" s="697"/>
      <c r="N584" s="698"/>
      <c r="O584" s="698"/>
      <c r="P584" s="698"/>
      <c r="Q584" s="697"/>
      <c r="R584" s="697"/>
      <c r="S584" s="698"/>
      <c r="T584" s="697"/>
      <c r="U584" s="697"/>
      <c r="V584" s="698"/>
      <c r="W584" s="698"/>
      <c r="X584" s="697"/>
      <c r="Y584" s="697"/>
      <c r="Z584" s="697"/>
      <c r="AA584" s="697"/>
      <c r="AB584" s="697"/>
    </row>
    <row r="585" spans="1:28" ht="15" x14ac:dyDescent="0.25">
      <c r="A585" s="691" t="str">
        <f>+Info!$B$2</f>
        <v>724</v>
      </c>
      <c r="B585" s="691" t="s">
        <v>6075</v>
      </c>
      <c r="C585" s="691" t="s">
        <v>6076</v>
      </c>
      <c r="D585" s="692" t="s">
        <v>6077</v>
      </c>
      <c r="E585" s="693"/>
      <c r="F585" s="701"/>
      <c r="G585" s="701"/>
      <c r="H585" s="701"/>
      <c r="I585" s="701"/>
      <c r="J585" s="701"/>
      <c r="K585" s="701"/>
      <c r="L585" s="701"/>
      <c r="M585" s="701"/>
      <c r="N585" s="701"/>
      <c r="O585" s="701"/>
      <c r="P585" s="701"/>
      <c r="Q585" s="701"/>
      <c r="R585" s="701"/>
      <c r="S585" s="701"/>
      <c r="T585" s="701"/>
      <c r="U585" s="701"/>
      <c r="V585" s="701"/>
      <c r="W585" s="701"/>
      <c r="X585" s="701"/>
      <c r="Y585" s="701"/>
      <c r="Z585" s="701"/>
      <c r="AA585" s="701"/>
      <c r="AB585" s="701"/>
    </row>
    <row r="586" spans="1:28" x14ac:dyDescent="0.2">
      <c r="A586" s="694" t="str">
        <f>+Info!$B$2</f>
        <v>724</v>
      </c>
      <c r="B586" s="694" t="s">
        <v>6078</v>
      </c>
      <c r="C586" s="694" t="s">
        <v>6079</v>
      </c>
      <c r="D586" s="695" t="s">
        <v>6080</v>
      </c>
      <c r="E586" s="696"/>
      <c r="F586" s="697"/>
      <c r="G586" s="697"/>
      <c r="H586" s="698"/>
      <c r="I586" s="698"/>
      <c r="J586" s="697"/>
      <c r="K586" s="697"/>
      <c r="L586" s="697"/>
      <c r="M586" s="697"/>
      <c r="N586" s="698"/>
      <c r="O586" s="698"/>
      <c r="P586" s="698"/>
      <c r="Q586" s="697"/>
      <c r="R586" s="698"/>
      <c r="S586" s="697"/>
      <c r="T586" s="697"/>
      <c r="U586" s="697"/>
      <c r="V586" s="698"/>
      <c r="W586" s="698"/>
      <c r="X586" s="697"/>
      <c r="Y586" s="697"/>
      <c r="Z586" s="697"/>
      <c r="AA586" s="697"/>
      <c r="AB586" s="697"/>
    </row>
    <row r="587" spans="1:28" x14ac:dyDescent="0.2">
      <c r="A587" s="694" t="str">
        <f>+Info!$B$2</f>
        <v>724</v>
      </c>
      <c r="B587" s="694" t="s">
        <v>6081</v>
      </c>
      <c r="C587" s="694" t="s">
        <v>6082</v>
      </c>
      <c r="D587" s="695" t="s">
        <v>6083</v>
      </c>
      <c r="E587" s="696"/>
      <c r="F587" s="697"/>
      <c r="G587" s="697"/>
      <c r="H587" s="698"/>
      <c r="I587" s="698"/>
      <c r="J587" s="697"/>
      <c r="K587" s="697"/>
      <c r="L587" s="697"/>
      <c r="M587" s="697"/>
      <c r="N587" s="698"/>
      <c r="O587" s="698"/>
      <c r="P587" s="698"/>
      <c r="Q587" s="697"/>
      <c r="R587" s="698"/>
      <c r="S587" s="697"/>
      <c r="T587" s="697"/>
      <c r="U587" s="697"/>
      <c r="V587" s="698"/>
      <c r="W587" s="698"/>
      <c r="X587" s="697"/>
      <c r="Y587" s="697"/>
      <c r="Z587" s="697"/>
      <c r="AA587" s="697"/>
      <c r="AB587" s="697"/>
    </row>
    <row r="588" spans="1:28" x14ac:dyDescent="0.2">
      <c r="A588" s="694" t="str">
        <f>+Info!$B$2</f>
        <v>724</v>
      </c>
      <c r="B588" s="694" t="s">
        <v>6084</v>
      </c>
      <c r="C588" s="694" t="s">
        <v>6085</v>
      </c>
      <c r="D588" s="695" t="s">
        <v>6086</v>
      </c>
      <c r="E588" s="696"/>
      <c r="F588" s="697"/>
      <c r="G588" s="697"/>
      <c r="H588" s="698"/>
      <c r="I588" s="698"/>
      <c r="J588" s="697"/>
      <c r="K588" s="697"/>
      <c r="L588" s="697"/>
      <c r="M588" s="697"/>
      <c r="N588" s="698"/>
      <c r="O588" s="698"/>
      <c r="P588" s="698"/>
      <c r="Q588" s="697"/>
      <c r="R588" s="698"/>
      <c r="S588" s="697"/>
      <c r="T588" s="697"/>
      <c r="U588" s="697"/>
      <c r="V588" s="698"/>
      <c r="W588" s="698"/>
      <c r="X588" s="697"/>
      <c r="Y588" s="697"/>
      <c r="Z588" s="697"/>
      <c r="AA588" s="697"/>
      <c r="AB588" s="697"/>
    </row>
    <row r="589" spans="1:28" x14ac:dyDescent="0.2">
      <c r="A589" s="694" t="str">
        <f>+Info!$B$2</f>
        <v>724</v>
      </c>
      <c r="B589" s="694" t="s">
        <v>6087</v>
      </c>
      <c r="C589" s="694" t="s">
        <v>6088</v>
      </c>
      <c r="D589" s="695" t="s">
        <v>6089</v>
      </c>
      <c r="E589" s="696"/>
      <c r="F589" s="697"/>
      <c r="G589" s="697"/>
      <c r="H589" s="698"/>
      <c r="I589" s="698"/>
      <c r="J589" s="697"/>
      <c r="K589" s="697"/>
      <c r="L589" s="697"/>
      <c r="M589" s="697"/>
      <c r="N589" s="698"/>
      <c r="O589" s="698"/>
      <c r="P589" s="698"/>
      <c r="Q589" s="697"/>
      <c r="R589" s="698"/>
      <c r="S589" s="697"/>
      <c r="T589" s="697"/>
      <c r="U589" s="697"/>
      <c r="V589" s="698"/>
      <c r="W589" s="698"/>
      <c r="X589" s="697"/>
      <c r="Y589" s="697"/>
      <c r="Z589" s="697"/>
      <c r="AA589" s="697"/>
      <c r="AB589" s="697"/>
    </row>
    <row r="590" spans="1:28" x14ac:dyDescent="0.2">
      <c r="A590" s="694" t="str">
        <f>+Info!$B$2</f>
        <v>724</v>
      </c>
      <c r="B590" s="694" t="s">
        <v>6090</v>
      </c>
      <c r="C590" s="694" t="s">
        <v>6091</v>
      </c>
      <c r="D590" s="695" t="s">
        <v>6092</v>
      </c>
      <c r="E590" s="696"/>
      <c r="F590" s="697"/>
      <c r="G590" s="697"/>
      <c r="H590" s="698"/>
      <c r="I590" s="698"/>
      <c r="J590" s="697"/>
      <c r="K590" s="697"/>
      <c r="L590" s="697"/>
      <c r="M590" s="697"/>
      <c r="N590" s="698"/>
      <c r="O590" s="698"/>
      <c r="P590" s="698"/>
      <c r="Q590" s="697"/>
      <c r="R590" s="698"/>
      <c r="S590" s="697"/>
      <c r="T590" s="697"/>
      <c r="U590" s="697"/>
      <c r="V590" s="698"/>
      <c r="W590" s="698"/>
      <c r="X590" s="697"/>
      <c r="Y590" s="697"/>
      <c r="Z590" s="697"/>
      <c r="AA590" s="697"/>
      <c r="AB590" s="697"/>
    </row>
    <row r="591" spans="1:28" x14ac:dyDescent="0.2">
      <c r="A591" s="694" t="str">
        <f>+Info!$B$2</f>
        <v>724</v>
      </c>
      <c r="B591" s="694" t="s">
        <v>6093</v>
      </c>
      <c r="C591" s="694" t="s">
        <v>6094</v>
      </c>
      <c r="D591" s="695" t="s">
        <v>6095</v>
      </c>
      <c r="E591" s="696"/>
      <c r="F591" s="697"/>
      <c r="G591" s="697"/>
      <c r="H591" s="698"/>
      <c r="I591" s="698"/>
      <c r="J591" s="697"/>
      <c r="K591" s="697"/>
      <c r="L591" s="697"/>
      <c r="M591" s="697"/>
      <c r="N591" s="698"/>
      <c r="O591" s="698"/>
      <c r="P591" s="698"/>
      <c r="Q591" s="697"/>
      <c r="R591" s="698"/>
      <c r="S591" s="697"/>
      <c r="T591" s="697"/>
      <c r="U591" s="697"/>
      <c r="V591" s="698"/>
      <c r="W591" s="698"/>
      <c r="X591" s="697"/>
      <c r="Y591" s="697"/>
      <c r="Z591" s="697"/>
      <c r="AA591" s="697"/>
      <c r="AB591" s="697"/>
    </row>
    <row r="592" spans="1:28" x14ac:dyDescent="0.2">
      <c r="A592" s="694" t="str">
        <f>+Info!$B$2</f>
        <v>724</v>
      </c>
      <c r="B592" s="694" t="s">
        <v>6096</v>
      </c>
      <c r="C592" s="694" t="s">
        <v>6097</v>
      </c>
      <c r="D592" s="695" t="s">
        <v>6098</v>
      </c>
      <c r="E592" s="696"/>
      <c r="F592" s="697"/>
      <c r="G592" s="697"/>
      <c r="H592" s="698"/>
      <c r="I592" s="698"/>
      <c r="J592" s="697"/>
      <c r="K592" s="697"/>
      <c r="L592" s="697"/>
      <c r="M592" s="697"/>
      <c r="N592" s="698"/>
      <c r="O592" s="698"/>
      <c r="P592" s="698"/>
      <c r="Q592" s="697"/>
      <c r="R592" s="698"/>
      <c r="S592" s="697"/>
      <c r="T592" s="697"/>
      <c r="U592" s="697"/>
      <c r="V592" s="698"/>
      <c r="W592" s="698"/>
      <c r="X592" s="697"/>
      <c r="Y592" s="697"/>
      <c r="Z592" s="697"/>
      <c r="AA592" s="697"/>
      <c r="AB592" s="697"/>
    </row>
    <row r="593" spans="1:28" x14ac:dyDescent="0.2">
      <c r="A593" s="694" t="str">
        <f>+Info!$B$2</f>
        <v>724</v>
      </c>
      <c r="B593" s="694" t="s">
        <v>6099</v>
      </c>
      <c r="C593" s="694" t="s">
        <v>6100</v>
      </c>
      <c r="D593" s="695" t="s">
        <v>6101</v>
      </c>
      <c r="E593" s="696"/>
      <c r="F593" s="697"/>
      <c r="G593" s="697"/>
      <c r="H593" s="698"/>
      <c r="I593" s="698"/>
      <c r="J593" s="697"/>
      <c r="K593" s="697"/>
      <c r="L593" s="697"/>
      <c r="M593" s="697"/>
      <c r="N593" s="698"/>
      <c r="O593" s="698"/>
      <c r="P593" s="698"/>
      <c r="Q593" s="697"/>
      <c r="R593" s="698"/>
      <c r="S593" s="697"/>
      <c r="T593" s="697"/>
      <c r="U593" s="697"/>
      <c r="V593" s="698"/>
      <c r="W593" s="698"/>
      <c r="X593" s="697"/>
      <c r="Y593" s="697"/>
      <c r="Z593" s="697"/>
      <c r="AA593" s="697"/>
      <c r="AB593" s="697"/>
    </row>
    <row r="594" spans="1:28" x14ac:dyDescent="0.2">
      <c r="A594" s="694" t="str">
        <f>+Info!$B$2</f>
        <v>724</v>
      </c>
      <c r="B594" s="694" t="s">
        <v>6102</v>
      </c>
      <c r="C594" s="694" t="s">
        <v>6103</v>
      </c>
      <c r="D594" s="695" t="s">
        <v>6104</v>
      </c>
      <c r="E594" s="696"/>
      <c r="F594" s="697"/>
      <c r="G594" s="697"/>
      <c r="H594" s="698"/>
      <c r="I594" s="698"/>
      <c r="J594" s="697"/>
      <c r="K594" s="697"/>
      <c r="L594" s="697"/>
      <c r="M594" s="697"/>
      <c r="N594" s="698"/>
      <c r="O594" s="698"/>
      <c r="P594" s="698"/>
      <c r="Q594" s="697"/>
      <c r="R594" s="698"/>
      <c r="S594" s="697"/>
      <c r="T594" s="697"/>
      <c r="U594" s="697"/>
      <c r="V594" s="698"/>
      <c r="W594" s="698"/>
      <c r="X594" s="697"/>
      <c r="Y594" s="697"/>
      <c r="Z594" s="697"/>
      <c r="AA594" s="697"/>
      <c r="AB594" s="697"/>
    </row>
    <row r="595" spans="1:28" x14ac:dyDescent="0.2">
      <c r="A595" s="694" t="str">
        <f>+Info!$B$2</f>
        <v>724</v>
      </c>
      <c r="B595" s="694" t="s">
        <v>6105</v>
      </c>
      <c r="C595" s="694" t="s">
        <v>6106</v>
      </c>
      <c r="D595" s="695" t="s">
        <v>6107</v>
      </c>
      <c r="E595" s="696"/>
      <c r="F595" s="697"/>
      <c r="G595" s="697"/>
      <c r="H595" s="698"/>
      <c r="I595" s="698"/>
      <c r="J595" s="697"/>
      <c r="K595" s="697"/>
      <c r="L595" s="697"/>
      <c r="M595" s="697"/>
      <c r="N595" s="698"/>
      <c r="O595" s="698"/>
      <c r="P595" s="698"/>
      <c r="Q595" s="697"/>
      <c r="R595" s="698"/>
      <c r="S595" s="697"/>
      <c r="T595" s="697"/>
      <c r="U595" s="697"/>
      <c r="V595" s="698"/>
      <c r="W595" s="698"/>
      <c r="X595" s="697"/>
      <c r="Y595" s="697"/>
      <c r="Z595" s="697"/>
      <c r="AA595" s="698"/>
      <c r="AB595" s="698"/>
    </row>
    <row r="596" spans="1:28" x14ac:dyDescent="0.2">
      <c r="A596" s="694" t="str">
        <f>+Info!$B$2</f>
        <v>724</v>
      </c>
      <c r="B596" s="694" t="s">
        <v>6108</v>
      </c>
      <c r="C596" s="694" t="s">
        <v>6109</v>
      </c>
      <c r="D596" s="695" t="s">
        <v>6110</v>
      </c>
      <c r="E596" s="696"/>
      <c r="F596" s="697"/>
      <c r="G596" s="697"/>
      <c r="H596" s="698"/>
      <c r="I596" s="698"/>
      <c r="J596" s="697"/>
      <c r="K596" s="697"/>
      <c r="L596" s="697"/>
      <c r="M596" s="697"/>
      <c r="N596" s="698"/>
      <c r="O596" s="698"/>
      <c r="P596" s="698"/>
      <c r="Q596" s="697"/>
      <c r="R596" s="698"/>
      <c r="S596" s="697"/>
      <c r="T596" s="697"/>
      <c r="U596" s="697"/>
      <c r="V596" s="698"/>
      <c r="W596" s="698"/>
      <c r="X596" s="697"/>
      <c r="Y596" s="697"/>
      <c r="Z596" s="697"/>
      <c r="AA596" s="698"/>
      <c r="AB596" s="698"/>
    </row>
    <row r="597" spans="1:28" x14ac:dyDescent="0.2">
      <c r="A597" s="694" t="str">
        <f>+Info!$B$2</f>
        <v>724</v>
      </c>
      <c r="B597" s="694" t="s">
        <v>6111</v>
      </c>
      <c r="C597" s="694" t="s">
        <v>6112</v>
      </c>
      <c r="D597" s="695" t="s">
        <v>6113</v>
      </c>
      <c r="E597" s="696"/>
      <c r="F597" s="697"/>
      <c r="G597" s="697"/>
      <c r="H597" s="698"/>
      <c r="I597" s="698"/>
      <c r="J597" s="697"/>
      <c r="K597" s="697"/>
      <c r="L597" s="697"/>
      <c r="M597" s="697"/>
      <c r="N597" s="698"/>
      <c r="O597" s="698"/>
      <c r="P597" s="698"/>
      <c r="Q597" s="697"/>
      <c r="R597" s="698"/>
      <c r="S597" s="697"/>
      <c r="T597" s="697"/>
      <c r="U597" s="697"/>
      <c r="V597" s="698"/>
      <c r="W597" s="698"/>
      <c r="X597" s="697"/>
      <c r="Y597" s="697"/>
      <c r="Z597" s="697"/>
      <c r="AA597" s="697"/>
      <c r="AB597" s="697"/>
    </row>
    <row r="598" spans="1:28" x14ac:dyDescent="0.2">
      <c r="A598" s="694" t="str">
        <f>+Info!$B$2</f>
        <v>724</v>
      </c>
      <c r="B598" s="694" t="s">
        <v>6114</v>
      </c>
      <c r="C598" s="694" t="s">
        <v>6115</v>
      </c>
      <c r="D598" s="695" t="s">
        <v>6116</v>
      </c>
      <c r="E598" s="696"/>
      <c r="F598" s="697"/>
      <c r="G598" s="697"/>
      <c r="H598" s="698"/>
      <c r="I598" s="698"/>
      <c r="J598" s="697"/>
      <c r="K598" s="697"/>
      <c r="L598" s="697"/>
      <c r="M598" s="697"/>
      <c r="N598" s="698"/>
      <c r="O598" s="698"/>
      <c r="P598" s="698"/>
      <c r="Q598" s="697"/>
      <c r="R598" s="698"/>
      <c r="S598" s="697"/>
      <c r="T598" s="697"/>
      <c r="U598" s="697"/>
      <c r="V598" s="698"/>
      <c r="W598" s="698"/>
      <c r="X598" s="697"/>
      <c r="Y598" s="697"/>
      <c r="Z598" s="697"/>
      <c r="AA598" s="697"/>
      <c r="AB598" s="697"/>
    </row>
    <row r="599" spans="1:28" x14ac:dyDescent="0.2">
      <c r="A599" s="694" t="str">
        <f>+Info!$B$2</f>
        <v>724</v>
      </c>
      <c r="B599" s="694" t="s">
        <v>6117</v>
      </c>
      <c r="C599" s="694" t="s">
        <v>6118</v>
      </c>
      <c r="D599" s="695" t="s">
        <v>6119</v>
      </c>
      <c r="E599" s="696"/>
      <c r="F599" s="697"/>
      <c r="G599" s="697"/>
      <c r="H599" s="698"/>
      <c r="I599" s="698"/>
      <c r="J599" s="697"/>
      <c r="K599" s="697"/>
      <c r="L599" s="697"/>
      <c r="M599" s="697"/>
      <c r="N599" s="698"/>
      <c r="O599" s="698"/>
      <c r="P599" s="698"/>
      <c r="Q599" s="697"/>
      <c r="R599" s="698"/>
      <c r="S599" s="697"/>
      <c r="T599" s="697"/>
      <c r="U599" s="697"/>
      <c r="V599" s="698"/>
      <c r="W599" s="698"/>
      <c r="X599" s="697"/>
      <c r="Y599" s="697"/>
      <c r="Z599" s="697"/>
      <c r="AA599" s="697"/>
      <c r="AB599" s="697"/>
    </row>
    <row r="600" spans="1:28" x14ac:dyDescent="0.2">
      <c r="A600" s="694" t="str">
        <f>+Info!$B$2</f>
        <v>724</v>
      </c>
      <c r="B600" s="694" t="s">
        <v>6120</v>
      </c>
      <c r="C600" s="694" t="s">
        <v>6121</v>
      </c>
      <c r="D600" s="695" t="s">
        <v>6122</v>
      </c>
      <c r="E600" s="696"/>
      <c r="F600" s="697"/>
      <c r="G600" s="697"/>
      <c r="H600" s="698"/>
      <c r="I600" s="698"/>
      <c r="J600" s="697"/>
      <c r="K600" s="697"/>
      <c r="L600" s="697"/>
      <c r="M600" s="697"/>
      <c r="N600" s="698"/>
      <c r="O600" s="698"/>
      <c r="P600" s="698"/>
      <c r="Q600" s="697"/>
      <c r="R600" s="698"/>
      <c r="S600" s="697"/>
      <c r="T600" s="697"/>
      <c r="U600" s="697"/>
      <c r="V600" s="698"/>
      <c r="W600" s="698"/>
      <c r="X600" s="697"/>
      <c r="Y600" s="697"/>
      <c r="Z600" s="697"/>
      <c r="AA600" s="697"/>
      <c r="AB600" s="697"/>
    </row>
    <row r="601" spans="1:28" x14ac:dyDescent="0.2">
      <c r="A601" s="694" t="str">
        <f>+Info!$B$2</f>
        <v>724</v>
      </c>
      <c r="B601" s="694" t="s">
        <v>6123</v>
      </c>
      <c r="C601" s="694" t="s">
        <v>6124</v>
      </c>
      <c r="D601" s="695" t="s">
        <v>6125</v>
      </c>
      <c r="E601" s="696"/>
      <c r="F601" s="697"/>
      <c r="G601" s="697"/>
      <c r="H601" s="698"/>
      <c r="I601" s="698"/>
      <c r="J601" s="697"/>
      <c r="K601" s="697"/>
      <c r="L601" s="697"/>
      <c r="M601" s="697"/>
      <c r="N601" s="698"/>
      <c r="O601" s="698"/>
      <c r="P601" s="698"/>
      <c r="Q601" s="697"/>
      <c r="R601" s="698"/>
      <c r="S601" s="697"/>
      <c r="T601" s="697"/>
      <c r="U601" s="697"/>
      <c r="V601" s="698"/>
      <c r="W601" s="698"/>
      <c r="X601" s="697"/>
      <c r="Y601" s="697"/>
      <c r="Z601" s="697"/>
      <c r="AA601" s="697"/>
      <c r="AB601" s="697"/>
    </row>
    <row r="602" spans="1:28" x14ac:dyDescent="0.2">
      <c r="A602" s="694" t="str">
        <f>+Info!$B$2</f>
        <v>724</v>
      </c>
      <c r="B602" s="694" t="s">
        <v>6126</v>
      </c>
      <c r="C602" s="694" t="s">
        <v>6127</v>
      </c>
      <c r="D602" s="695" t="s">
        <v>6128</v>
      </c>
      <c r="E602" s="696"/>
      <c r="F602" s="697"/>
      <c r="G602" s="697"/>
      <c r="H602" s="698"/>
      <c r="I602" s="698"/>
      <c r="J602" s="697"/>
      <c r="K602" s="697"/>
      <c r="L602" s="697"/>
      <c r="M602" s="697"/>
      <c r="N602" s="698"/>
      <c r="O602" s="698"/>
      <c r="P602" s="698"/>
      <c r="Q602" s="697"/>
      <c r="R602" s="698"/>
      <c r="S602" s="697"/>
      <c r="T602" s="697"/>
      <c r="U602" s="697"/>
      <c r="V602" s="698"/>
      <c r="W602" s="698"/>
      <c r="X602" s="697"/>
      <c r="Y602" s="697"/>
      <c r="Z602" s="697"/>
      <c r="AA602" s="697"/>
      <c r="AB602" s="697"/>
    </row>
    <row r="603" spans="1:28" x14ac:dyDescent="0.2">
      <c r="A603" s="694" t="str">
        <f>+Info!$B$2</f>
        <v>724</v>
      </c>
      <c r="B603" s="694" t="s">
        <v>6129</v>
      </c>
      <c r="C603" s="694" t="s">
        <v>6130</v>
      </c>
      <c r="D603" s="695" t="s">
        <v>6131</v>
      </c>
      <c r="E603" s="696"/>
      <c r="F603" s="697"/>
      <c r="G603" s="697"/>
      <c r="H603" s="698"/>
      <c r="I603" s="698"/>
      <c r="J603" s="697"/>
      <c r="K603" s="697"/>
      <c r="L603" s="697"/>
      <c r="M603" s="697"/>
      <c r="N603" s="698"/>
      <c r="O603" s="698"/>
      <c r="P603" s="698"/>
      <c r="Q603" s="697"/>
      <c r="R603" s="698"/>
      <c r="S603" s="697"/>
      <c r="T603" s="697"/>
      <c r="U603" s="697"/>
      <c r="V603" s="698"/>
      <c r="W603" s="698"/>
      <c r="X603" s="697"/>
      <c r="Y603" s="697"/>
      <c r="Z603" s="697"/>
      <c r="AA603" s="697"/>
      <c r="AB603" s="697"/>
    </row>
    <row r="604" spans="1:28" x14ac:dyDescent="0.2">
      <c r="A604" s="694" t="str">
        <f>+Info!$B$2</f>
        <v>724</v>
      </c>
      <c r="B604" s="694" t="s">
        <v>6132</v>
      </c>
      <c r="C604" s="694" t="s">
        <v>6133</v>
      </c>
      <c r="D604" s="695" t="s">
        <v>6134</v>
      </c>
      <c r="E604" s="696"/>
      <c r="F604" s="697"/>
      <c r="G604" s="697"/>
      <c r="H604" s="698"/>
      <c r="I604" s="698"/>
      <c r="J604" s="697"/>
      <c r="K604" s="697"/>
      <c r="L604" s="697"/>
      <c r="M604" s="697"/>
      <c r="N604" s="698"/>
      <c r="O604" s="698"/>
      <c r="P604" s="698"/>
      <c r="Q604" s="697"/>
      <c r="R604" s="698"/>
      <c r="S604" s="697"/>
      <c r="T604" s="697"/>
      <c r="U604" s="697"/>
      <c r="V604" s="698"/>
      <c r="W604" s="698"/>
      <c r="X604" s="697"/>
      <c r="Y604" s="697"/>
      <c r="Z604" s="697"/>
      <c r="AA604" s="697"/>
      <c r="AB604" s="697"/>
    </row>
    <row r="605" spans="1:28" x14ac:dyDescent="0.2">
      <c r="A605" s="694" t="str">
        <f>+Info!$B$2</f>
        <v>724</v>
      </c>
      <c r="B605" s="694" t="s">
        <v>6135</v>
      </c>
      <c r="C605" s="694" t="s">
        <v>6136</v>
      </c>
      <c r="D605" s="695" t="s">
        <v>6137</v>
      </c>
      <c r="E605" s="696"/>
      <c r="F605" s="697"/>
      <c r="G605" s="697"/>
      <c r="H605" s="698"/>
      <c r="I605" s="698"/>
      <c r="J605" s="697"/>
      <c r="K605" s="697"/>
      <c r="L605" s="697"/>
      <c r="M605" s="697"/>
      <c r="N605" s="698"/>
      <c r="O605" s="698"/>
      <c r="P605" s="698"/>
      <c r="Q605" s="697"/>
      <c r="R605" s="698"/>
      <c r="S605" s="697"/>
      <c r="T605" s="697"/>
      <c r="U605" s="697"/>
      <c r="V605" s="698"/>
      <c r="W605" s="698"/>
      <c r="X605" s="697"/>
      <c r="Y605" s="697"/>
      <c r="Z605" s="697"/>
      <c r="AA605" s="697"/>
      <c r="AB605" s="697"/>
    </row>
    <row r="606" spans="1:28" x14ac:dyDescent="0.2">
      <c r="A606" s="694" t="str">
        <f>+Info!$B$2</f>
        <v>724</v>
      </c>
      <c r="B606" s="694" t="s">
        <v>6138</v>
      </c>
      <c r="C606" s="694" t="s">
        <v>6139</v>
      </c>
      <c r="D606" s="695" t="s">
        <v>6140</v>
      </c>
      <c r="E606" s="696"/>
      <c r="F606" s="697"/>
      <c r="G606" s="697"/>
      <c r="H606" s="698"/>
      <c r="I606" s="698"/>
      <c r="J606" s="697"/>
      <c r="K606" s="697"/>
      <c r="L606" s="697"/>
      <c r="M606" s="697"/>
      <c r="N606" s="698"/>
      <c r="O606" s="698"/>
      <c r="P606" s="698"/>
      <c r="Q606" s="697"/>
      <c r="R606" s="698"/>
      <c r="S606" s="697"/>
      <c r="T606" s="697"/>
      <c r="U606" s="697"/>
      <c r="V606" s="698"/>
      <c r="W606" s="698"/>
      <c r="X606" s="697"/>
      <c r="Y606" s="697"/>
      <c r="Z606" s="697"/>
      <c r="AA606" s="697"/>
      <c r="AB606" s="697"/>
    </row>
    <row r="607" spans="1:28" x14ac:dyDescent="0.2">
      <c r="A607" s="694" t="str">
        <f>+Info!$B$2</f>
        <v>724</v>
      </c>
      <c r="B607" s="694" t="s">
        <v>6141</v>
      </c>
      <c r="C607" s="694" t="s">
        <v>6142</v>
      </c>
      <c r="D607" s="695" t="s">
        <v>6143</v>
      </c>
      <c r="E607" s="696"/>
      <c r="F607" s="697"/>
      <c r="G607" s="697"/>
      <c r="H607" s="698"/>
      <c r="I607" s="698"/>
      <c r="J607" s="697"/>
      <c r="K607" s="697"/>
      <c r="L607" s="697"/>
      <c r="M607" s="697"/>
      <c r="N607" s="698"/>
      <c r="O607" s="698"/>
      <c r="P607" s="698"/>
      <c r="Q607" s="697"/>
      <c r="R607" s="698"/>
      <c r="S607" s="697"/>
      <c r="T607" s="697"/>
      <c r="U607" s="697"/>
      <c r="V607" s="698"/>
      <c r="W607" s="698"/>
      <c r="X607" s="697"/>
      <c r="Y607" s="697"/>
      <c r="Z607" s="697"/>
      <c r="AA607" s="698"/>
      <c r="AB607" s="698"/>
    </row>
    <row r="608" spans="1:28" x14ac:dyDescent="0.2">
      <c r="A608" s="694" t="str">
        <f>+Info!$B$2</f>
        <v>724</v>
      </c>
      <c r="B608" s="694" t="s">
        <v>6144</v>
      </c>
      <c r="C608" s="694" t="s">
        <v>6145</v>
      </c>
      <c r="D608" s="695" t="s">
        <v>6146</v>
      </c>
      <c r="E608" s="696"/>
      <c r="F608" s="697"/>
      <c r="G608" s="697"/>
      <c r="H608" s="698"/>
      <c r="I608" s="698"/>
      <c r="J608" s="697"/>
      <c r="K608" s="697"/>
      <c r="L608" s="697"/>
      <c r="M608" s="697"/>
      <c r="N608" s="698"/>
      <c r="O608" s="698"/>
      <c r="P608" s="698"/>
      <c r="Q608" s="697"/>
      <c r="R608" s="698"/>
      <c r="S608" s="697"/>
      <c r="T608" s="697"/>
      <c r="U608" s="697"/>
      <c r="V608" s="698"/>
      <c r="W608" s="698"/>
      <c r="X608" s="697"/>
      <c r="Y608" s="697"/>
      <c r="Z608" s="697"/>
      <c r="AA608" s="698"/>
      <c r="AB608" s="698"/>
    </row>
    <row r="609" spans="1:28" x14ac:dyDescent="0.2">
      <c r="A609" s="694" t="str">
        <f>+Info!$B$2</f>
        <v>724</v>
      </c>
      <c r="B609" s="694" t="s">
        <v>6147</v>
      </c>
      <c r="C609" s="694" t="s">
        <v>6148</v>
      </c>
      <c r="D609" s="695" t="s">
        <v>6149</v>
      </c>
      <c r="E609" s="696"/>
      <c r="F609" s="697"/>
      <c r="G609" s="697"/>
      <c r="H609" s="698"/>
      <c r="I609" s="698"/>
      <c r="J609" s="697"/>
      <c r="K609" s="697"/>
      <c r="L609" s="697"/>
      <c r="M609" s="697"/>
      <c r="N609" s="698"/>
      <c r="O609" s="698"/>
      <c r="P609" s="698"/>
      <c r="Q609" s="697"/>
      <c r="R609" s="698"/>
      <c r="S609" s="697"/>
      <c r="T609" s="697"/>
      <c r="U609" s="697"/>
      <c r="V609" s="698"/>
      <c r="W609" s="698"/>
      <c r="X609" s="697"/>
      <c r="Y609" s="697"/>
      <c r="Z609" s="697"/>
      <c r="AA609" s="697"/>
      <c r="AB609" s="697"/>
    </row>
    <row r="610" spans="1:28" x14ac:dyDescent="0.2">
      <c r="A610" s="694" t="str">
        <f>+Info!$B$2</f>
        <v>724</v>
      </c>
      <c r="B610" s="694" t="s">
        <v>6150</v>
      </c>
      <c r="C610" s="694" t="s">
        <v>6151</v>
      </c>
      <c r="D610" s="695" t="s">
        <v>6152</v>
      </c>
      <c r="E610" s="696"/>
      <c r="F610" s="697"/>
      <c r="G610" s="697"/>
      <c r="H610" s="698"/>
      <c r="I610" s="698"/>
      <c r="J610" s="697"/>
      <c r="K610" s="697"/>
      <c r="L610" s="697"/>
      <c r="M610" s="697"/>
      <c r="N610" s="698"/>
      <c r="O610" s="698"/>
      <c r="P610" s="698"/>
      <c r="Q610" s="697"/>
      <c r="R610" s="698"/>
      <c r="S610" s="697"/>
      <c r="T610" s="697"/>
      <c r="U610" s="697"/>
      <c r="V610" s="698"/>
      <c r="W610" s="698"/>
      <c r="X610" s="697"/>
      <c r="Y610" s="697"/>
      <c r="Z610" s="697"/>
      <c r="AA610" s="697"/>
      <c r="AB610" s="697"/>
    </row>
    <row r="611" spans="1:28" x14ac:dyDescent="0.2">
      <c r="A611" s="694" t="str">
        <f>+Info!$B$2</f>
        <v>724</v>
      </c>
      <c r="B611" s="694" t="s">
        <v>6153</v>
      </c>
      <c r="C611" s="694" t="s">
        <v>6154</v>
      </c>
      <c r="D611" s="695" t="s">
        <v>6155</v>
      </c>
      <c r="E611" s="696"/>
      <c r="F611" s="697"/>
      <c r="G611" s="697"/>
      <c r="H611" s="698"/>
      <c r="I611" s="698"/>
      <c r="J611" s="697"/>
      <c r="K611" s="697"/>
      <c r="L611" s="697"/>
      <c r="M611" s="697"/>
      <c r="N611" s="698"/>
      <c r="O611" s="698"/>
      <c r="P611" s="698"/>
      <c r="Q611" s="697"/>
      <c r="R611" s="698"/>
      <c r="S611" s="697"/>
      <c r="T611" s="697"/>
      <c r="U611" s="697"/>
      <c r="V611" s="698"/>
      <c r="W611" s="698"/>
      <c r="X611" s="697"/>
      <c r="Y611" s="697"/>
      <c r="Z611" s="697"/>
      <c r="AA611" s="697"/>
      <c r="AB611" s="697"/>
    </row>
    <row r="612" spans="1:28" x14ac:dyDescent="0.2">
      <c r="A612" s="694" t="str">
        <f>+Info!$B$2</f>
        <v>724</v>
      </c>
      <c r="B612" s="694" t="s">
        <v>6156</v>
      </c>
      <c r="C612" s="694" t="s">
        <v>6157</v>
      </c>
      <c r="D612" s="695" t="s">
        <v>6158</v>
      </c>
      <c r="E612" s="696"/>
      <c r="F612" s="697"/>
      <c r="G612" s="697"/>
      <c r="H612" s="698"/>
      <c r="I612" s="698"/>
      <c r="J612" s="697"/>
      <c r="K612" s="697"/>
      <c r="L612" s="697"/>
      <c r="M612" s="697"/>
      <c r="N612" s="698"/>
      <c r="O612" s="698"/>
      <c r="P612" s="698"/>
      <c r="Q612" s="697"/>
      <c r="R612" s="698"/>
      <c r="S612" s="697"/>
      <c r="T612" s="697"/>
      <c r="U612" s="697"/>
      <c r="V612" s="698"/>
      <c r="W612" s="698"/>
      <c r="X612" s="697"/>
      <c r="Y612" s="697"/>
      <c r="Z612" s="697"/>
      <c r="AA612" s="697"/>
      <c r="AB612" s="697"/>
    </row>
    <row r="613" spans="1:28" x14ac:dyDescent="0.2">
      <c r="A613" s="694" t="str">
        <f>+Info!$B$2</f>
        <v>724</v>
      </c>
      <c r="B613" s="694" t="s">
        <v>6159</v>
      </c>
      <c r="C613" s="694" t="s">
        <v>6160</v>
      </c>
      <c r="D613" s="695" t="s">
        <v>6161</v>
      </c>
      <c r="E613" s="696"/>
      <c r="F613" s="697"/>
      <c r="G613" s="697"/>
      <c r="H613" s="698"/>
      <c r="I613" s="698"/>
      <c r="J613" s="697"/>
      <c r="K613" s="697"/>
      <c r="L613" s="697"/>
      <c r="M613" s="697"/>
      <c r="N613" s="698"/>
      <c r="O613" s="698"/>
      <c r="P613" s="698"/>
      <c r="Q613" s="697"/>
      <c r="R613" s="698"/>
      <c r="S613" s="697"/>
      <c r="T613" s="697"/>
      <c r="U613" s="697"/>
      <c r="V613" s="698"/>
      <c r="W613" s="698"/>
      <c r="X613" s="697"/>
      <c r="Y613" s="697"/>
      <c r="Z613" s="697"/>
      <c r="AA613" s="697"/>
      <c r="AB613" s="697"/>
    </row>
    <row r="614" spans="1:28" x14ac:dyDescent="0.2">
      <c r="A614" s="694" t="str">
        <f>+Info!$B$2</f>
        <v>724</v>
      </c>
      <c r="B614" s="694" t="s">
        <v>6162</v>
      </c>
      <c r="C614" s="694" t="s">
        <v>6163</v>
      </c>
      <c r="D614" s="695" t="s">
        <v>6164</v>
      </c>
      <c r="E614" s="696"/>
      <c r="F614" s="697"/>
      <c r="G614" s="697"/>
      <c r="H614" s="698"/>
      <c r="I614" s="698"/>
      <c r="J614" s="697"/>
      <c r="K614" s="697"/>
      <c r="L614" s="697"/>
      <c r="M614" s="697"/>
      <c r="N614" s="698"/>
      <c r="O614" s="698"/>
      <c r="P614" s="698"/>
      <c r="Q614" s="697"/>
      <c r="R614" s="698"/>
      <c r="S614" s="697"/>
      <c r="T614" s="697"/>
      <c r="U614" s="697"/>
      <c r="V614" s="698"/>
      <c r="W614" s="698"/>
      <c r="X614" s="697"/>
      <c r="Y614" s="697"/>
      <c r="Z614" s="697"/>
      <c r="AA614" s="697"/>
      <c r="AB614" s="697"/>
    </row>
    <row r="615" spans="1:28" x14ac:dyDescent="0.2">
      <c r="A615" s="694" t="str">
        <f>+Info!$B$2</f>
        <v>724</v>
      </c>
      <c r="B615" s="694" t="s">
        <v>6165</v>
      </c>
      <c r="C615" s="694" t="s">
        <v>6166</v>
      </c>
      <c r="D615" s="695" t="s">
        <v>6167</v>
      </c>
      <c r="E615" s="696"/>
      <c r="F615" s="697"/>
      <c r="G615" s="697"/>
      <c r="H615" s="698"/>
      <c r="I615" s="698"/>
      <c r="J615" s="697"/>
      <c r="K615" s="697"/>
      <c r="L615" s="697"/>
      <c r="M615" s="697"/>
      <c r="N615" s="698"/>
      <c r="O615" s="698"/>
      <c r="P615" s="698"/>
      <c r="Q615" s="697"/>
      <c r="R615" s="698"/>
      <c r="S615" s="697"/>
      <c r="T615" s="697"/>
      <c r="U615" s="697"/>
      <c r="V615" s="698"/>
      <c r="W615" s="698"/>
      <c r="X615" s="697"/>
      <c r="Y615" s="697"/>
      <c r="Z615" s="697"/>
      <c r="AA615" s="697"/>
      <c r="AB615" s="697"/>
    </row>
    <row r="616" spans="1:28" x14ac:dyDescent="0.2">
      <c r="A616" s="694" t="str">
        <f>+Info!$B$2</f>
        <v>724</v>
      </c>
      <c r="B616" s="694" t="s">
        <v>6168</v>
      </c>
      <c r="C616" s="694" t="s">
        <v>6169</v>
      </c>
      <c r="D616" s="695" t="s">
        <v>6170</v>
      </c>
      <c r="E616" s="696"/>
      <c r="F616" s="697"/>
      <c r="G616" s="697"/>
      <c r="H616" s="698"/>
      <c r="I616" s="698"/>
      <c r="J616" s="697"/>
      <c r="K616" s="697"/>
      <c r="L616" s="697"/>
      <c r="M616" s="697"/>
      <c r="N616" s="698"/>
      <c r="O616" s="698"/>
      <c r="P616" s="698"/>
      <c r="Q616" s="697"/>
      <c r="R616" s="698"/>
      <c r="S616" s="697"/>
      <c r="T616" s="697"/>
      <c r="U616" s="697"/>
      <c r="V616" s="698"/>
      <c r="W616" s="698"/>
      <c r="X616" s="697"/>
      <c r="Y616" s="697"/>
      <c r="Z616" s="697"/>
      <c r="AA616" s="697"/>
      <c r="AB616" s="697"/>
    </row>
    <row r="617" spans="1:28" x14ac:dyDescent="0.2">
      <c r="A617" s="694" t="str">
        <f>+Info!$B$2</f>
        <v>724</v>
      </c>
      <c r="B617" s="694" t="s">
        <v>6171</v>
      </c>
      <c r="C617" s="694" t="s">
        <v>6172</v>
      </c>
      <c r="D617" s="695" t="s">
        <v>6173</v>
      </c>
      <c r="E617" s="696"/>
      <c r="F617" s="697"/>
      <c r="G617" s="697"/>
      <c r="H617" s="698"/>
      <c r="I617" s="698"/>
      <c r="J617" s="697"/>
      <c r="K617" s="697"/>
      <c r="L617" s="697"/>
      <c r="M617" s="697"/>
      <c r="N617" s="698"/>
      <c r="O617" s="698"/>
      <c r="P617" s="698"/>
      <c r="Q617" s="697"/>
      <c r="R617" s="698"/>
      <c r="S617" s="697"/>
      <c r="T617" s="697"/>
      <c r="U617" s="697"/>
      <c r="V617" s="698"/>
      <c r="W617" s="698"/>
      <c r="X617" s="697"/>
      <c r="Y617" s="697"/>
      <c r="Z617" s="697"/>
      <c r="AA617" s="697"/>
      <c r="AB617" s="697"/>
    </row>
    <row r="618" spans="1:28" x14ac:dyDescent="0.2">
      <c r="A618" s="694" t="str">
        <f>+Info!$B$2</f>
        <v>724</v>
      </c>
      <c r="B618" s="694" t="s">
        <v>6174</v>
      </c>
      <c r="C618" s="694" t="s">
        <v>6175</v>
      </c>
      <c r="D618" s="695" t="s">
        <v>6176</v>
      </c>
      <c r="E618" s="696"/>
      <c r="F618" s="697"/>
      <c r="G618" s="697"/>
      <c r="H618" s="698"/>
      <c r="I618" s="698"/>
      <c r="J618" s="697"/>
      <c r="K618" s="697"/>
      <c r="L618" s="697"/>
      <c r="M618" s="697"/>
      <c r="N618" s="698"/>
      <c r="O618" s="698"/>
      <c r="P618" s="698"/>
      <c r="Q618" s="697"/>
      <c r="R618" s="698"/>
      <c r="S618" s="697"/>
      <c r="T618" s="697"/>
      <c r="U618" s="697"/>
      <c r="V618" s="698"/>
      <c r="W618" s="698"/>
      <c r="X618" s="697"/>
      <c r="Y618" s="697"/>
      <c r="Z618" s="697"/>
      <c r="AA618" s="697"/>
      <c r="AB618" s="697"/>
    </row>
    <row r="619" spans="1:28" x14ac:dyDescent="0.2">
      <c r="A619" s="694" t="str">
        <f>+Info!$B$2</f>
        <v>724</v>
      </c>
      <c r="B619" s="694" t="s">
        <v>6177</v>
      </c>
      <c r="C619" s="694" t="s">
        <v>6178</v>
      </c>
      <c r="D619" s="695" t="s">
        <v>6179</v>
      </c>
      <c r="E619" s="696"/>
      <c r="F619" s="697"/>
      <c r="G619" s="697"/>
      <c r="H619" s="698"/>
      <c r="I619" s="698"/>
      <c r="J619" s="697"/>
      <c r="K619" s="697"/>
      <c r="L619" s="697"/>
      <c r="M619" s="697"/>
      <c r="N619" s="698"/>
      <c r="O619" s="698"/>
      <c r="P619" s="698"/>
      <c r="Q619" s="697"/>
      <c r="R619" s="698"/>
      <c r="S619" s="697"/>
      <c r="T619" s="697"/>
      <c r="U619" s="697"/>
      <c r="V619" s="698"/>
      <c r="W619" s="698"/>
      <c r="X619" s="697"/>
      <c r="Y619" s="697"/>
      <c r="Z619" s="697"/>
      <c r="AA619" s="698"/>
      <c r="AB619" s="698"/>
    </row>
    <row r="620" spans="1:28" x14ac:dyDescent="0.2">
      <c r="A620" s="694" t="str">
        <f>+Info!$B$2</f>
        <v>724</v>
      </c>
      <c r="B620" s="694" t="s">
        <v>6180</v>
      </c>
      <c r="C620" s="694" t="s">
        <v>6181</v>
      </c>
      <c r="D620" s="695" t="s">
        <v>6182</v>
      </c>
      <c r="E620" s="696"/>
      <c r="F620" s="697"/>
      <c r="G620" s="697"/>
      <c r="H620" s="698"/>
      <c r="I620" s="698"/>
      <c r="J620" s="697"/>
      <c r="K620" s="697"/>
      <c r="L620" s="697"/>
      <c r="M620" s="697"/>
      <c r="N620" s="698"/>
      <c r="O620" s="698"/>
      <c r="P620" s="698"/>
      <c r="Q620" s="697"/>
      <c r="R620" s="698"/>
      <c r="S620" s="697"/>
      <c r="T620" s="697"/>
      <c r="U620" s="697"/>
      <c r="V620" s="698"/>
      <c r="W620" s="698"/>
      <c r="X620" s="697"/>
      <c r="Y620" s="697"/>
      <c r="Z620" s="697"/>
      <c r="AA620" s="698"/>
      <c r="AB620" s="698"/>
    </row>
    <row r="621" spans="1:28" x14ac:dyDescent="0.2">
      <c r="A621" s="694" t="str">
        <f>+Info!$B$2</f>
        <v>724</v>
      </c>
      <c r="B621" s="694" t="s">
        <v>6183</v>
      </c>
      <c r="C621" s="694" t="s">
        <v>6184</v>
      </c>
      <c r="D621" s="695" t="s">
        <v>6185</v>
      </c>
      <c r="E621" s="696"/>
      <c r="F621" s="697"/>
      <c r="G621" s="697"/>
      <c r="H621" s="698"/>
      <c r="I621" s="698"/>
      <c r="J621" s="697"/>
      <c r="K621" s="697"/>
      <c r="L621" s="697"/>
      <c r="M621" s="697"/>
      <c r="N621" s="698"/>
      <c r="O621" s="698"/>
      <c r="P621" s="698"/>
      <c r="Q621" s="697"/>
      <c r="R621" s="698"/>
      <c r="S621" s="697"/>
      <c r="T621" s="697"/>
      <c r="U621" s="697"/>
      <c r="V621" s="698"/>
      <c r="W621" s="698"/>
      <c r="X621" s="697"/>
      <c r="Y621" s="697"/>
      <c r="Z621" s="697"/>
      <c r="AA621" s="697"/>
      <c r="AB621" s="697"/>
    </row>
    <row r="622" spans="1:28" x14ac:dyDescent="0.2">
      <c r="A622" s="694" t="str">
        <f>+Info!$B$2</f>
        <v>724</v>
      </c>
      <c r="B622" s="694" t="s">
        <v>6186</v>
      </c>
      <c r="C622" s="694" t="s">
        <v>6187</v>
      </c>
      <c r="D622" s="695" t="s">
        <v>6188</v>
      </c>
      <c r="E622" s="696"/>
      <c r="F622" s="697"/>
      <c r="G622" s="697"/>
      <c r="H622" s="698"/>
      <c r="I622" s="698"/>
      <c r="J622" s="697"/>
      <c r="K622" s="697"/>
      <c r="L622" s="697"/>
      <c r="M622" s="697"/>
      <c r="N622" s="698"/>
      <c r="O622" s="698"/>
      <c r="P622" s="698"/>
      <c r="Q622" s="697"/>
      <c r="R622" s="697"/>
      <c r="S622" s="698"/>
      <c r="T622" s="697"/>
      <c r="U622" s="697"/>
      <c r="V622" s="698"/>
      <c r="W622" s="698"/>
      <c r="X622" s="697"/>
      <c r="Y622" s="697"/>
      <c r="Z622" s="697"/>
      <c r="AA622" s="697"/>
      <c r="AB622" s="697"/>
    </row>
    <row r="623" spans="1:28" x14ac:dyDescent="0.2">
      <c r="A623" s="694" t="str">
        <f>+Info!$B$2</f>
        <v>724</v>
      </c>
      <c r="B623" s="694" t="s">
        <v>6189</v>
      </c>
      <c r="C623" s="694" t="s">
        <v>6190</v>
      </c>
      <c r="D623" s="695" t="s">
        <v>6191</v>
      </c>
      <c r="E623" s="696"/>
      <c r="F623" s="697"/>
      <c r="G623" s="697"/>
      <c r="H623" s="698"/>
      <c r="I623" s="698"/>
      <c r="J623" s="697"/>
      <c r="K623" s="697"/>
      <c r="L623" s="697"/>
      <c r="M623" s="697"/>
      <c r="N623" s="698"/>
      <c r="O623" s="698"/>
      <c r="P623" s="698"/>
      <c r="Q623" s="697"/>
      <c r="R623" s="697"/>
      <c r="S623" s="698"/>
      <c r="T623" s="697"/>
      <c r="U623" s="697"/>
      <c r="V623" s="698"/>
      <c r="W623" s="698"/>
      <c r="X623" s="697"/>
      <c r="Y623" s="697"/>
      <c r="Z623" s="697"/>
      <c r="AA623" s="697"/>
      <c r="AB623" s="697"/>
    </row>
    <row r="624" spans="1:28" x14ac:dyDescent="0.2">
      <c r="A624" s="694" t="str">
        <f>+Info!$B$2</f>
        <v>724</v>
      </c>
      <c r="B624" s="694" t="s">
        <v>6192</v>
      </c>
      <c r="C624" s="694" t="s">
        <v>6193</v>
      </c>
      <c r="D624" s="695" t="s">
        <v>6194</v>
      </c>
      <c r="E624" s="696"/>
      <c r="F624" s="697"/>
      <c r="G624" s="697"/>
      <c r="H624" s="698"/>
      <c r="I624" s="698"/>
      <c r="J624" s="697"/>
      <c r="K624" s="697"/>
      <c r="L624" s="697"/>
      <c r="M624" s="697"/>
      <c r="N624" s="698"/>
      <c r="O624" s="698"/>
      <c r="P624" s="698"/>
      <c r="Q624" s="697"/>
      <c r="R624" s="697"/>
      <c r="S624" s="698"/>
      <c r="T624" s="697"/>
      <c r="U624" s="697"/>
      <c r="V624" s="698"/>
      <c r="W624" s="698"/>
      <c r="X624" s="697"/>
      <c r="Y624" s="697"/>
      <c r="Z624" s="697"/>
      <c r="AA624" s="697"/>
      <c r="AB624" s="697"/>
    </row>
    <row r="625" spans="1:28" x14ac:dyDescent="0.2">
      <c r="A625" s="694" t="str">
        <f>+Info!$B$2</f>
        <v>724</v>
      </c>
      <c r="B625" s="694" t="s">
        <v>6195</v>
      </c>
      <c r="C625" s="694" t="s">
        <v>6196</v>
      </c>
      <c r="D625" s="695" t="s">
        <v>6197</v>
      </c>
      <c r="E625" s="696"/>
      <c r="F625" s="697"/>
      <c r="G625" s="697"/>
      <c r="H625" s="698"/>
      <c r="I625" s="698"/>
      <c r="J625" s="697"/>
      <c r="K625" s="697"/>
      <c r="L625" s="697"/>
      <c r="M625" s="697"/>
      <c r="N625" s="698"/>
      <c r="O625" s="698"/>
      <c r="P625" s="698"/>
      <c r="Q625" s="697"/>
      <c r="R625" s="697"/>
      <c r="S625" s="698"/>
      <c r="T625" s="697"/>
      <c r="U625" s="697"/>
      <c r="V625" s="698"/>
      <c r="W625" s="698"/>
      <c r="X625" s="697"/>
      <c r="Y625" s="697"/>
      <c r="Z625" s="697"/>
      <c r="AA625" s="697"/>
      <c r="AB625" s="697"/>
    </row>
    <row r="626" spans="1:28" x14ac:dyDescent="0.2">
      <c r="A626" s="694" t="str">
        <f>+Info!$B$2</f>
        <v>724</v>
      </c>
      <c r="B626" s="694" t="s">
        <v>6198</v>
      </c>
      <c r="C626" s="694" t="s">
        <v>6199</v>
      </c>
      <c r="D626" s="695" t="s">
        <v>6200</v>
      </c>
      <c r="E626" s="696"/>
      <c r="F626" s="697"/>
      <c r="G626" s="697"/>
      <c r="H626" s="698"/>
      <c r="I626" s="698"/>
      <c r="J626" s="697"/>
      <c r="K626" s="697"/>
      <c r="L626" s="697"/>
      <c r="M626" s="697"/>
      <c r="N626" s="698"/>
      <c r="O626" s="698"/>
      <c r="P626" s="698"/>
      <c r="Q626" s="697"/>
      <c r="R626" s="697"/>
      <c r="S626" s="698"/>
      <c r="T626" s="697"/>
      <c r="U626" s="697"/>
      <c r="V626" s="698"/>
      <c r="W626" s="698"/>
      <c r="X626" s="697"/>
      <c r="Y626" s="697"/>
      <c r="Z626" s="697"/>
      <c r="AA626" s="697"/>
      <c r="AB626" s="697"/>
    </row>
    <row r="627" spans="1:28" x14ac:dyDescent="0.2">
      <c r="A627" s="694" t="str">
        <f>+Info!$B$2</f>
        <v>724</v>
      </c>
      <c r="B627" s="694" t="s">
        <v>6201</v>
      </c>
      <c r="C627" s="694" t="s">
        <v>6202</v>
      </c>
      <c r="D627" s="695" t="s">
        <v>6203</v>
      </c>
      <c r="E627" s="696"/>
      <c r="F627" s="697"/>
      <c r="G627" s="697"/>
      <c r="H627" s="698"/>
      <c r="I627" s="698"/>
      <c r="J627" s="697"/>
      <c r="K627" s="697"/>
      <c r="L627" s="697"/>
      <c r="M627" s="697"/>
      <c r="N627" s="698"/>
      <c r="O627" s="698"/>
      <c r="P627" s="698"/>
      <c r="Q627" s="697"/>
      <c r="R627" s="697"/>
      <c r="S627" s="698"/>
      <c r="T627" s="697"/>
      <c r="U627" s="697"/>
      <c r="V627" s="698"/>
      <c r="W627" s="698"/>
      <c r="X627" s="697"/>
      <c r="Y627" s="697"/>
      <c r="Z627" s="697"/>
      <c r="AA627" s="697"/>
      <c r="AB627" s="697"/>
    </row>
    <row r="628" spans="1:28" x14ac:dyDescent="0.2">
      <c r="A628" s="694" t="str">
        <f>+Info!$B$2</f>
        <v>724</v>
      </c>
      <c r="B628" s="694" t="s">
        <v>6204</v>
      </c>
      <c r="C628" s="694" t="s">
        <v>6205</v>
      </c>
      <c r="D628" s="695" t="s">
        <v>6206</v>
      </c>
      <c r="E628" s="696"/>
      <c r="F628" s="697"/>
      <c r="G628" s="697"/>
      <c r="H628" s="698"/>
      <c r="I628" s="698"/>
      <c r="J628" s="697"/>
      <c r="K628" s="697"/>
      <c r="L628" s="697"/>
      <c r="M628" s="697"/>
      <c r="N628" s="698"/>
      <c r="O628" s="698"/>
      <c r="P628" s="698"/>
      <c r="Q628" s="697"/>
      <c r="R628" s="697"/>
      <c r="S628" s="698"/>
      <c r="T628" s="697"/>
      <c r="U628" s="697"/>
      <c r="V628" s="698"/>
      <c r="W628" s="698"/>
      <c r="X628" s="697"/>
      <c r="Y628" s="697"/>
      <c r="Z628" s="697"/>
      <c r="AA628" s="697"/>
      <c r="AB628" s="697"/>
    </row>
    <row r="629" spans="1:28" x14ac:dyDescent="0.2">
      <c r="A629" s="694" t="str">
        <f>+Info!$B$2</f>
        <v>724</v>
      </c>
      <c r="B629" s="694" t="s">
        <v>6207</v>
      </c>
      <c r="C629" s="694" t="s">
        <v>6208</v>
      </c>
      <c r="D629" s="695" t="s">
        <v>6209</v>
      </c>
      <c r="E629" s="696"/>
      <c r="F629" s="697"/>
      <c r="G629" s="697"/>
      <c r="H629" s="698"/>
      <c r="I629" s="698"/>
      <c r="J629" s="697"/>
      <c r="K629" s="697"/>
      <c r="L629" s="697"/>
      <c r="M629" s="697"/>
      <c r="N629" s="698"/>
      <c r="O629" s="698"/>
      <c r="P629" s="698"/>
      <c r="Q629" s="697"/>
      <c r="R629" s="697"/>
      <c r="S629" s="698"/>
      <c r="T629" s="697"/>
      <c r="U629" s="697"/>
      <c r="V629" s="698"/>
      <c r="W629" s="698"/>
      <c r="X629" s="697"/>
      <c r="Y629" s="697"/>
      <c r="Z629" s="697"/>
      <c r="AA629" s="697"/>
      <c r="AB629" s="697"/>
    </row>
    <row r="630" spans="1:28" x14ac:dyDescent="0.2">
      <c r="A630" s="694" t="str">
        <f>+Info!$B$2</f>
        <v>724</v>
      </c>
      <c r="B630" s="694" t="s">
        <v>6210</v>
      </c>
      <c r="C630" s="694" t="s">
        <v>6211</v>
      </c>
      <c r="D630" s="695" t="s">
        <v>6212</v>
      </c>
      <c r="E630" s="696"/>
      <c r="F630" s="697"/>
      <c r="G630" s="697"/>
      <c r="H630" s="698"/>
      <c r="I630" s="698"/>
      <c r="J630" s="697"/>
      <c r="K630" s="697"/>
      <c r="L630" s="697"/>
      <c r="M630" s="697"/>
      <c r="N630" s="698"/>
      <c r="O630" s="698"/>
      <c r="P630" s="698"/>
      <c r="Q630" s="697"/>
      <c r="R630" s="697"/>
      <c r="S630" s="698"/>
      <c r="T630" s="697"/>
      <c r="U630" s="697"/>
      <c r="V630" s="698"/>
      <c r="W630" s="698"/>
      <c r="X630" s="697"/>
      <c r="Y630" s="697"/>
      <c r="Z630" s="697"/>
      <c r="AA630" s="698"/>
      <c r="AB630" s="698"/>
    </row>
    <row r="631" spans="1:28" x14ac:dyDescent="0.2">
      <c r="A631" s="694" t="str">
        <f>+Info!$B$2</f>
        <v>724</v>
      </c>
      <c r="B631" s="694" t="s">
        <v>6213</v>
      </c>
      <c r="C631" s="694" t="s">
        <v>6214</v>
      </c>
      <c r="D631" s="695" t="s">
        <v>6215</v>
      </c>
      <c r="E631" s="696"/>
      <c r="F631" s="697"/>
      <c r="G631" s="697"/>
      <c r="H631" s="698"/>
      <c r="I631" s="698"/>
      <c r="J631" s="697"/>
      <c r="K631" s="697"/>
      <c r="L631" s="697"/>
      <c r="M631" s="697"/>
      <c r="N631" s="698"/>
      <c r="O631" s="698"/>
      <c r="P631" s="698"/>
      <c r="Q631" s="697"/>
      <c r="R631" s="697"/>
      <c r="S631" s="698"/>
      <c r="T631" s="697"/>
      <c r="U631" s="697"/>
      <c r="V631" s="698"/>
      <c r="W631" s="698"/>
      <c r="X631" s="697"/>
      <c r="Y631" s="697"/>
      <c r="Z631" s="697"/>
      <c r="AA631" s="698"/>
      <c r="AB631" s="698"/>
    </row>
    <row r="632" spans="1:28" x14ac:dyDescent="0.2">
      <c r="A632" s="694" t="str">
        <f>+Info!$B$2</f>
        <v>724</v>
      </c>
      <c r="B632" s="694" t="s">
        <v>6216</v>
      </c>
      <c r="C632" s="694" t="s">
        <v>6217</v>
      </c>
      <c r="D632" s="695" t="s">
        <v>6218</v>
      </c>
      <c r="E632" s="696"/>
      <c r="F632" s="697"/>
      <c r="G632" s="697"/>
      <c r="H632" s="698"/>
      <c r="I632" s="698"/>
      <c r="J632" s="697"/>
      <c r="K632" s="697"/>
      <c r="L632" s="697"/>
      <c r="M632" s="697"/>
      <c r="N632" s="698"/>
      <c r="O632" s="698"/>
      <c r="P632" s="698"/>
      <c r="Q632" s="697"/>
      <c r="R632" s="697"/>
      <c r="S632" s="698"/>
      <c r="T632" s="697"/>
      <c r="U632" s="697"/>
      <c r="V632" s="698"/>
      <c r="W632" s="698"/>
      <c r="X632" s="697"/>
      <c r="Y632" s="697"/>
      <c r="Z632" s="697"/>
      <c r="AA632" s="697"/>
      <c r="AB632" s="697"/>
    </row>
    <row r="633" spans="1:28" x14ac:dyDescent="0.2">
      <c r="A633" s="694" t="str">
        <f>+Info!$B$2</f>
        <v>724</v>
      </c>
      <c r="B633" s="694" t="s">
        <v>6219</v>
      </c>
      <c r="C633" s="694" t="s">
        <v>6220</v>
      </c>
      <c r="D633" s="695" t="s">
        <v>6221</v>
      </c>
      <c r="E633" s="696"/>
      <c r="F633" s="697"/>
      <c r="G633" s="697"/>
      <c r="H633" s="698"/>
      <c r="I633" s="698"/>
      <c r="J633" s="697"/>
      <c r="K633" s="697"/>
      <c r="L633" s="697"/>
      <c r="M633" s="697"/>
      <c r="N633" s="698"/>
      <c r="O633" s="698"/>
      <c r="P633" s="698"/>
      <c r="Q633" s="697"/>
      <c r="R633" s="697"/>
      <c r="S633" s="698"/>
      <c r="T633" s="697"/>
      <c r="U633" s="697"/>
      <c r="V633" s="698"/>
      <c r="W633" s="698"/>
      <c r="X633" s="697"/>
      <c r="Y633" s="697"/>
      <c r="Z633" s="697"/>
      <c r="AA633" s="697"/>
      <c r="AB633" s="697"/>
    </row>
    <row r="634" spans="1:28" x14ac:dyDescent="0.2">
      <c r="A634" s="694" t="str">
        <f>+Info!$B$2</f>
        <v>724</v>
      </c>
      <c r="B634" s="694" t="s">
        <v>6222</v>
      </c>
      <c r="C634" s="694" t="s">
        <v>6223</v>
      </c>
      <c r="D634" s="695" t="s">
        <v>6224</v>
      </c>
      <c r="E634" s="696"/>
      <c r="F634" s="697"/>
      <c r="G634" s="697"/>
      <c r="H634" s="698"/>
      <c r="I634" s="698"/>
      <c r="J634" s="697"/>
      <c r="K634" s="697"/>
      <c r="L634" s="697"/>
      <c r="M634" s="697"/>
      <c r="N634" s="698"/>
      <c r="O634" s="698"/>
      <c r="P634" s="698"/>
      <c r="Q634" s="697"/>
      <c r="R634" s="697"/>
      <c r="S634" s="698"/>
      <c r="T634" s="697"/>
      <c r="U634" s="697"/>
      <c r="V634" s="698"/>
      <c r="W634" s="698"/>
      <c r="X634" s="697"/>
      <c r="Y634" s="697"/>
      <c r="Z634" s="697"/>
      <c r="AA634" s="697"/>
      <c r="AB634" s="697"/>
    </row>
    <row r="635" spans="1:28" x14ac:dyDescent="0.2">
      <c r="A635" s="694" t="str">
        <f>+Info!$B$2</f>
        <v>724</v>
      </c>
      <c r="B635" s="694" t="s">
        <v>6225</v>
      </c>
      <c r="C635" s="694" t="s">
        <v>6226</v>
      </c>
      <c r="D635" s="695" t="s">
        <v>6227</v>
      </c>
      <c r="E635" s="696"/>
      <c r="F635" s="697"/>
      <c r="G635" s="697"/>
      <c r="H635" s="698"/>
      <c r="I635" s="698"/>
      <c r="J635" s="697"/>
      <c r="K635" s="697"/>
      <c r="L635" s="697"/>
      <c r="M635" s="697"/>
      <c r="N635" s="698"/>
      <c r="O635" s="698"/>
      <c r="P635" s="698"/>
      <c r="Q635" s="697"/>
      <c r="R635" s="697"/>
      <c r="S635" s="698"/>
      <c r="T635" s="697"/>
      <c r="U635" s="697"/>
      <c r="V635" s="698"/>
      <c r="W635" s="698"/>
      <c r="X635" s="697"/>
      <c r="Y635" s="697"/>
      <c r="Z635" s="697"/>
      <c r="AA635" s="697"/>
      <c r="AB635" s="697"/>
    </row>
    <row r="636" spans="1:28" x14ac:dyDescent="0.2">
      <c r="A636" s="694" t="str">
        <f>+Info!$B$2</f>
        <v>724</v>
      </c>
      <c r="B636" s="694" t="s">
        <v>6228</v>
      </c>
      <c r="C636" s="694" t="s">
        <v>6229</v>
      </c>
      <c r="D636" s="695" t="s">
        <v>6230</v>
      </c>
      <c r="E636" s="696"/>
      <c r="F636" s="697"/>
      <c r="G636" s="697"/>
      <c r="H636" s="698"/>
      <c r="I636" s="698"/>
      <c r="J636" s="697"/>
      <c r="K636" s="697"/>
      <c r="L636" s="697"/>
      <c r="M636" s="697"/>
      <c r="N636" s="698"/>
      <c r="O636" s="698"/>
      <c r="P636" s="698"/>
      <c r="Q636" s="697"/>
      <c r="R636" s="697"/>
      <c r="S636" s="698"/>
      <c r="T636" s="697"/>
      <c r="U636" s="697"/>
      <c r="V636" s="698"/>
      <c r="W636" s="698"/>
      <c r="X636" s="697"/>
      <c r="Y636" s="697"/>
      <c r="Z636" s="697"/>
      <c r="AA636" s="697"/>
      <c r="AB636" s="697"/>
    </row>
    <row r="637" spans="1:28" x14ac:dyDescent="0.2">
      <c r="A637" s="694" t="str">
        <f>+Info!$B$2</f>
        <v>724</v>
      </c>
      <c r="B637" s="694" t="s">
        <v>6231</v>
      </c>
      <c r="C637" s="694" t="s">
        <v>6232</v>
      </c>
      <c r="D637" s="695" t="s">
        <v>6233</v>
      </c>
      <c r="E637" s="696"/>
      <c r="F637" s="697"/>
      <c r="G637" s="697"/>
      <c r="H637" s="698"/>
      <c r="I637" s="698"/>
      <c r="J637" s="697"/>
      <c r="K637" s="697"/>
      <c r="L637" s="697"/>
      <c r="M637" s="697"/>
      <c r="N637" s="698"/>
      <c r="O637" s="698"/>
      <c r="P637" s="698"/>
      <c r="Q637" s="697"/>
      <c r="R637" s="697"/>
      <c r="S637" s="698"/>
      <c r="T637" s="697"/>
      <c r="U637" s="697"/>
      <c r="V637" s="698"/>
      <c r="W637" s="698"/>
      <c r="X637" s="697"/>
      <c r="Y637" s="697"/>
      <c r="Z637" s="697"/>
      <c r="AA637" s="697"/>
      <c r="AB637" s="697"/>
    </row>
    <row r="638" spans="1:28" x14ac:dyDescent="0.2">
      <c r="A638" s="694" t="str">
        <f>+Info!$B$2</f>
        <v>724</v>
      </c>
      <c r="B638" s="694" t="s">
        <v>6234</v>
      </c>
      <c r="C638" s="694" t="s">
        <v>6235</v>
      </c>
      <c r="D638" s="695" t="s">
        <v>6236</v>
      </c>
      <c r="E638" s="696"/>
      <c r="F638" s="697"/>
      <c r="G638" s="697"/>
      <c r="H638" s="698"/>
      <c r="I638" s="698"/>
      <c r="J638" s="697"/>
      <c r="K638" s="697"/>
      <c r="L638" s="697"/>
      <c r="M638" s="697"/>
      <c r="N638" s="698"/>
      <c r="O638" s="698"/>
      <c r="P638" s="698"/>
      <c r="Q638" s="697"/>
      <c r="R638" s="697"/>
      <c r="S638" s="698"/>
      <c r="T638" s="697"/>
      <c r="U638" s="697"/>
      <c r="V638" s="698"/>
      <c r="W638" s="698"/>
      <c r="X638" s="697"/>
      <c r="Y638" s="697"/>
      <c r="Z638" s="697"/>
      <c r="AA638" s="697"/>
      <c r="AB638" s="697"/>
    </row>
    <row r="639" spans="1:28" x14ac:dyDescent="0.2">
      <c r="A639" s="694" t="str">
        <f>+Info!$B$2</f>
        <v>724</v>
      </c>
      <c r="B639" s="694" t="s">
        <v>6237</v>
      </c>
      <c r="C639" s="694" t="s">
        <v>6238</v>
      </c>
      <c r="D639" s="695" t="s">
        <v>6239</v>
      </c>
      <c r="E639" s="696"/>
      <c r="F639" s="697"/>
      <c r="G639" s="697"/>
      <c r="H639" s="698"/>
      <c r="I639" s="698"/>
      <c r="J639" s="697"/>
      <c r="K639" s="697"/>
      <c r="L639" s="697"/>
      <c r="M639" s="697"/>
      <c r="N639" s="698"/>
      <c r="O639" s="698"/>
      <c r="P639" s="698"/>
      <c r="Q639" s="697"/>
      <c r="R639" s="697"/>
      <c r="S639" s="698"/>
      <c r="T639" s="697"/>
      <c r="U639" s="697"/>
      <c r="V639" s="698"/>
      <c r="W639" s="698"/>
      <c r="X639" s="697"/>
      <c r="Y639" s="697"/>
      <c r="Z639" s="697"/>
      <c r="AA639" s="697"/>
      <c r="AB639" s="697"/>
    </row>
    <row r="640" spans="1:28" x14ac:dyDescent="0.2">
      <c r="A640" s="694" t="str">
        <f>+Info!$B$2</f>
        <v>724</v>
      </c>
      <c r="B640" s="694" t="s">
        <v>6240</v>
      </c>
      <c r="C640" s="694" t="s">
        <v>6241</v>
      </c>
      <c r="D640" s="695" t="s">
        <v>6242</v>
      </c>
      <c r="E640" s="696"/>
      <c r="F640" s="697"/>
      <c r="G640" s="697"/>
      <c r="H640" s="698"/>
      <c r="I640" s="698"/>
      <c r="J640" s="697"/>
      <c r="K640" s="697"/>
      <c r="L640" s="697"/>
      <c r="M640" s="697"/>
      <c r="N640" s="698"/>
      <c r="O640" s="698"/>
      <c r="P640" s="698"/>
      <c r="Q640" s="697"/>
      <c r="R640" s="697"/>
      <c r="S640" s="698"/>
      <c r="T640" s="697"/>
      <c r="U640" s="697"/>
      <c r="V640" s="698"/>
      <c r="W640" s="698"/>
      <c r="X640" s="697"/>
      <c r="Y640" s="697"/>
      <c r="Z640" s="697"/>
      <c r="AA640" s="697"/>
      <c r="AB640" s="697"/>
    </row>
    <row r="641" spans="1:28" x14ac:dyDescent="0.2">
      <c r="A641" s="694" t="str">
        <f>+Info!$B$2</f>
        <v>724</v>
      </c>
      <c r="B641" s="694" t="s">
        <v>6243</v>
      </c>
      <c r="C641" s="694" t="s">
        <v>6244</v>
      </c>
      <c r="D641" s="695" t="s">
        <v>6245</v>
      </c>
      <c r="E641" s="696"/>
      <c r="F641" s="697"/>
      <c r="G641" s="697"/>
      <c r="H641" s="698"/>
      <c r="I641" s="698"/>
      <c r="J641" s="697"/>
      <c r="K641" s="697"/>
      <c r="L641" s="697"/>
      <c r="M641" s="697"/>
      <c r="N641" s="698"/>
      <c r="O641" s="698"/>
      <c r="P641" s="698"/>
      <c r="Q641" s="697"/>
      <c r="R641" s="697"/>
      <c r="S641" s="698"/>
      <c r="T641" s="697"/>
      <c r="U641" s="697"/>
      <c r="V641" s="698"/>
      <c r="W641" s="698"/>
      <c r="X641" s="697"/>
      <c r="Y641" s="697"/>
      <c r="Z641" s="697"/>
      <c r="AA641" s="698"/>
      <c r="AB641" s="698"/>
    </row>
    <row r="642" spans="1:28" x14ac:dyDescent="0.2">
      <c r="A642" s="694" t="str">
        <f>+Info!$B$2</f>
        <v>724</v>
      </c>
      <c r="B642" s="694" t="s">
        <v>6246</v>
      </c>
      <c r="C642" s="694" t="s">
        <v>6247</v>
      </c>
      <c r="D642" s="695" t="s">
        <v>6248</v>
      </c>
      <c r="E642" s="696"/>
      <c r="F642" s="697"/>
      <c r="G642" s="697"/>
      <c r="H642" s="698"/>
      <c r="I642" s="698"/>
      <c r="J642" s="697"/>
      <c r="K642" s="697"/>
      <c r="L642" s="697"/>
      <c r="M642" s="697"/>
      <c r="N642" s="698"/>
      <c r="O642" s="698"/>
      <c r="P642" s="698"/>
      <c r="Q642" s="697"/>
      <c r="R642" s="697"/>
      <c r="S642" s="698"/>
      <c r="T642" s="697"/>
      <c r="U642" s="697"/>
      <c r="V642" s="698"/>
      <c r="W642" s="698"/>
      <c r="X642" s="697"/>
      <c r="Y642" s="697"/>
      <c r="Z642" s="697"/>
      <c r="AA642" s="698"/>
      <c r="AB642" s="698"/>
    </row>
    <row r="643" spans="1:28" x14ac:dyDescent="0.2">
      <c r="A643" s="694" t="str">
        <f>+Info!$B$2</f>
        <v>724</v>
      </c>
      <c r="B643" s="694" t="s">
        <v>6249</v>
      </c>
      <c r="C643" s="694" t="s">
        <v>6250</v>
      </c>
      <c r="D643" s="695" t="s">
        <v>6251</v>
      </c>
      <c r="E643" s="696"/>
      <c r="F643" s="697"/>
      <c r="G643" s="697"/>
      <c r="H643" s="698"/>
      <c r="I643" s="698"/>
      <c r="J643" s="697"/>
      <c r="K643" s="697"/>
      <c r="L643" s="697"/>
      <c r="M643" s="697"/>
      <c r="N643" s="698"/>
      <c r="O643" s="698"/>
      <c r="P643" s="698"/>
      <c r="Q643" s="697"/>
      <c r="R643" s="697"/>
      <c r="S643" s="698"/>
      <c r="T643" s="697"/>
      <c r="U643" s="697"/>
      <c r="V643" s="698"/>
      <c r="W643" s="698"/>
      <c r="X643" s="697"/>
      <c r="Y643" s="697"/>
      <c r="Z643" s="697"/>
      <c r="AA643" s="697"/>
      <c r="AB643" s="697"/>
    </row>
    <row r="644" spans="1:28" x14ac:dyDescent="0.2">
      <c r="A644" s="694" t="str">
        <f>+Info!$B$2</f>
        <v>724</v>
      </c>
      <c r="B644" s="694" t="s">
        <v>6252</v>
      </c>
      <c r="C644" s="694" t="s">
        <v>6253</v>
      </c>
      <c r="D644" s="695" t="s">
        <v>6254</v>
      </c>
      <c r="E644" s="696"/>
      <c r="F644" s="697"/>
      <c r="G644" s="697"/>
      <c r="H644" s="698"/>
      <c r="I644" s="698"/>
      <c r="J644" s="697"/>
      <c r="K644" s="697"/>
      <c r="L644" s="697"/>
      <c r="M644" s="697"/>
      <c r="N644" s="698"/>
      <c r="O644" s="698"/>
      <c r="P644" s="698"/>
      <c r="Q644" s="697"/>
      <c r="R644" s="697"/>
      <c r="S644" s="698"/>
      <c r="T644" s="697"/>
      <c r="U644" s="697"/>
      <c r="V644" s="698"/>
      <c r="W644" s="698"/>
      <c r="X644" s="697"/>
      <c r="Y644" s="697"/>
      <c r="Z644" s="697"/>
      <c r="AA644" s="697"/>
      <c r="AB644" s="697"/>
    </row>
    <row r="645" spans="1:28" x14ac:dyDescent="0.2">
      <c r="A645" s="694" t="str">
        <f>+Info!$B$2</f>
        <v>724</v>
      </c>
      <c r="B645" s="694" t="s">
        <v>6255</v>
      </c>
      <c r="C645" s="694" t="s">
        <v>6256</v>
      </c>
      <c r="D645" s="695" t="s">
        <v>6257</v>
      </c>
      <c r="E645" s="696"/>
      <c r="F645" s="697"/>
      <c r="G645" s="697"/>
      <c r="H645" s="698"/>
      <c r="I645" s="698"/>
      <c r="J645" s="697"/>
      <c r="K645" s="697"/>
      <c r="L645" s="697"/>
      <c r="M645" s="697"/>
      <c r="N645" s="698"/>
      <c r="O645" s="698"/>
      <c r="P645" s="698"/>
      <c r="Q645" s="697"/>
      <c r="R645" s="697"/>
      <c r="S645" s="698"/>
      <c r="T645" s="697"/>
      <c r="U645" s="697"/>
      <c r="V645" s="698"/>
      <c r="W645" s="698"/>
      <c r="X645" s="697"/>
      <c r="Y645" s="697"/>
      <c r="Z645" s="697"/>
      <c r="AA645" s="697"/>
      <c r="AB645" s="697"/>
    </row>
    <row r="646" spans="1:28" x14ac:dyDescent="0.2">
      <c r="A646" s="694" t="str">
        <f>+Info!$B$2</f>
        <v>724</v>
      </c>
      <c r="B646" s="694" t="s">
        <v>6258</v>
      </c>
      <c r="C646" s="694" t="s">
        <v>6259</v>
      </c>
      <c r="D646" s="695" t="s">
        <v>6260</v>
      </c>
      <c r="E646" s="696"/>
      <c r="F646" s="697"/>
      <c r="G646" s="697"/>
      <c r="H646" s="698"/>
      <c r="I646" s="698"/>
      <c r="J646" s="697"/>
      <c r="K646" s="697"/>
      <c r="L646" s="697"/>
      <c r="M646" s="697"/>
      <c r="N646" s="698"/>
      <c r="O646" s="698"/>
      <c r="P646" s="698"/>
      <c r="Q646" s="697"/>
      <c r="R646" s="697"/>
      <c r="S646" s="698"/>
      <c r="T646" s="697"/>
      <c r="U646" s="697"/>
      <c r="V646" s="698"/>
      <c r="W646" s="698"/>
      <c r="X646" s="697"/>
      <c r="Y646" s="697"/>
      <c r="Z646" s="697"/>
      <c r="AA646" s="697"/>
      <c r="AB646" s="697"/>
    </row>
    <row r="647" spans="1:28" x14ac:dyDescent="0.2">
      <c r="A647" s="694" t="str">
        <f>+Info!$B$2</f>
        <v>724</v>
      </c>
      <c r="B647" s="694" t="s">
        <v>6261</v>
      </c>
      <c r="C647" s="694" t="s">
        <v>6262</v>
      </c>
      <c r="D647" s="695" t="s">
        <v>6263</v>
      </c>
      <c r="E647" s="696"/>
      <c r="F647" s="697"/>
      <c r="G647" s="697"/>
      <c r="H647" s="698"/>
      <c r="I647" s="698"/>
      <c r="J647" s="697"/>
      <c r="K647" s="697"/>
      <c r="L647" s="697"/>
      <c r="M647" s="697"/>
      <c r="N647" s="698"/>
      <c r="O647" s="698"/>
      <c r="P647" s="698"/>
      <c r="Q647" s="697"/>
      <c r="R647" s="697"/>
      <c r="S647" s="698"/>
      <c r="T647" s="697"/>
      <c r="U647" s="697"/>
      <c r="V647" s="698"/>
      <c r="W647" s="698"/>
      <c r="X647" s="697"/>
      <c r="Y647" s="697"/>
      <c r="Z647" s="697"/>
      <c r="AA647" s="697"/>
      <c r="AB647" s="697"/>
    </row>
    <row r="648" spans="1:28" x14ac:dyDescent="0.2">
      <c r="A648" s="694" t="str">
        <f>+Info!$B$2</f>
        <v>724</v>
      </c>
      <c r="B648" s="694" t="s">
        <v>6264</v>
      </c>
      <c r="C648" s="694" t="s">
        <v>6265</v>
      </c>
      <c r="D648" s="695" t="s">
        <v>6266</v>
      </c>
      <c r="E648" s="696"/>
      <c r="F648" s="697"/>
      <c r="G648" s="697"/>
      <c r="H648" s="698"/>
      <c r="I648" s="698"/>
      <c r="J648" s="697"/>
      <c r="K648" s="697"/>
      <c r="L648" s="697"/>
      <c r="M648" s="697"/>
      <c r="N648" s="698"/>
      <c r="O648" s="698"/>
      <c r="P648" s="698"/>
      <c r="Q648" s="697"/>
      <c r="R648" s="697"/>
      <c r="S648" s="698"/>
      <c r="T648" s="697"/>
      <c r="U648" s="697"/>
      <c r="V648" s="698"/>
      <c r="W648" s="698"/>
      <c r="X648" s="697"/>
      <c r="Y648" s="697"/>
      <c r="Z648" s="697"/>
      <c r="AA648" s="697"/>
      <c r="AB648" s="697"/>
    </row>
    <row r="649" spans="1:28" x14ac:dyDescent="0.2">
      <c r="A649" s="694" t="str">
        <f>+Info!$B$2</f>
        <v>724</v>
      </c>
      <c r="B649" s="694" t="s">
        <v>6267</v>
      </c>
      <c r="C649" s="694" t="s">
        <v>6268</v>
      </c>
      <c r="D649" s="695" t="s">
        <v>6269</v>
      </c>
      <c r="E649" s="696"/>
      <c r="F649" s="697"/>
      <c r="G649" s="697"/>
      <c r="H649" s="698"/>
      <c r="I649" s="698"/>
      <c r="J649" s="697"/>
      <c r="K649" s="697"/>
      <c r="L649" s="697"/>
      <c r="M649" s="697"/>
      <c r="N649" s="698"/>
      <c r="O649" s="698"/>
      <c r="P649" s="698"/>
      <c r="Q649" s="697"/>
      <c r="R649" s="697"/>
      <c r="S649" s="698"/>
      <c r="T649" s="697"/>
      <c r="U649" s="697"/>
      <c r="V649" s="698"/>
      <c r="W649" s="698"/>
      <c r="X649" s="697"/>
      <c r="Y649" s="697"/>
      <c r="Z649" s="697"/>
      <c r="AA649" s="697"/>
      <c r="AB649" s="697"/>
    </row>
    <row r="650" spans="1:28" x14ac:dyDescent="0.2">
      <c r="A650" s="694" t="str">
        <f>+Info!$B$2</f>
        <v>724</v>
      </c>
      <c r="B650" s="694" t="s">
        <v>6270</v>
      </c>
      <c r="C650" s="694" t="s">
        <v>6271</v>
      </c>
      <c r="D650" s="695" t="s">
        <v>6272</v>
      </c>
      <c r="E650" s="696"/>
      <c r="F650" s="697"/>
      <c r="G650" s="697"/>
      <c r="H650" s="698"/>
      <c r="I650" s="698"/>
      <c r="J650" s="697"/>
      <c r="K650" s="697"/>
      <c r="L650" s="697"/>
      <c r="M650" s="697"/>
      <c r="N650" s="698"/>
      <c r="O650" s="698"/>
      <c r="P650" s="698"/>
      <c r="Q650" s="697"/>
      <c r="R650" s="697"/>
      <c r="S650" s="698"/>
      <c r="T650" s="697"/>
      <c r="U650" s="697"/>
      <c r="V650" s="698"/>
      <c r="W650" s="698"/>
      <c r="X650" s="697"/>
      <c r="Y650" s="697"/>
      <c r="Z650" s="697"/>
      <c r="AA650" s="697"/>
      <c r="AB650" s="697"/>
    </row>
    <row r="651" spans="1:28" x14ac:dyDescent="0.2">
      <c r="A651" s="694" t="str">
        <f>+Info!$B$2</f>
        <v>724</v>
      </c>
      <c r="B651" s="694" t="s">
        <v>6273</v>
      </c>
      <c r="C651" s="694" t="s">
        <v>6274</v>
      </c>
      <c r="D651" s="695" t="s">
        <v>6275</v>
      </c>
      <c r="E651" s="696"/>
      <c r="F651" s="697"/>
      <c r="G651" s="697"/>
      <c r="H651" s="698"/>
      <c r="I651" s="698"/>
      <c r="J651" s="697"/>
      <c r="K651" s="697"/>
      <c r="L651" s="697"/>
      <c r="M651" s="697"/>
      <c r="N651" s="698"/>
      <c r="O651" s="698"/>
      <c r="P651" s="698"/>
      <c r="Q651" s="697"/>
      <c r="R651" s="697"/>
      <c r="S651" s="698"/>
      <c r="T651" s="697"/>
      <c r="U651" s="697"/>
      <c r="V651" s="698"/>
      <c r="W651" s="698"/>
      <c r="X651" s="697"/>
      <c r="Y651" s="697"/>
      <c r="Z651" s="697"/>
      <c r="AA651" s="697"/>
      <c r="AB651" s="697"/>
    </row>
    <row r="652" spans="1:28" x14ac:dyDescent="0.2">
      <c r="A652" s="694" t="str">
        <f>+Info!$B$2</f>
        <v>724</v>
      </c>
      <c r="B652" s="694" t="s">
        <v>6276</v>
      </c>
      <c r="C652" s="694" t="s">
        <v>6277</v>
      </c>
      <c r="D652" s="695" t="s">
        <v>6278</v>
      </c>
      <c r="E652" s="696"/>
      <c r="F652" s="697"/>
      <c r="G652" s="697"/>
      <c r="H652" s="698"/>
      <c r="I652" s="698"/>
      <c r="J652" s="697"/>
      <c r="K652" s="697"/>
      <c r="L652" s="697"/>
      <c r="M652" s="697"/>
      <c r="N652" s="698"/>
      <c r="O652" s="698"/>
      <c r="P652" s="698"/>
      <c r="Q652" s="697"/>
      <c r="R652" s="697"/>
      <c r="S652" s="698"/>
      <c r="T652" s="697"/>
      <c r="U652" s="697"/>
      <c r="V652" s="698"/>
      <c r="W652" s="698"/>
      <c r="X652" s="697"/>
      <c r="Y652" s="697"/>
      <c r="Z652" s="697"/>
      <c r="AA652" s="698"/>
      <c r="AB652" s="698"/>
    </row>
    <row r="653" spans="1:28" x14ac:dyDescent="0.2">
      <c r="A653" s="694" t="str">
        <f>+Info!$B$2</f>
        <v>724</v>
      </c>
      <c r="B653" s="694" t="s">
        <v>6279</v>
      </c>
      <c r="C653" s="694" t="s">
        <v>6280</v>
      </c>
      <c r="D653" s="695" t="s">
        <v>6281</v>
      </c>
      <c r="E653" s="696"/>
      <c r="F653" s="697"/>
      <c r="G653" s="697"/>
      <c r="H653" s="698"/>
      <c r="I653" s="698"/>
      <c r="J653" s="697"/>
      <c r="K653" s="697"/>
      <c r="L653" s="697"/>
      <c r="M653" s="697"/>
      <c r="N653" s="698"/>
      <c r="O653" s="698"/>
      <c r="P653" s="698"/>
      <c r="Q653" s="697"/>
      <c r="R653" s="697"/>
      <c r="S653" s="698"/>
      <c r="T653" s="697"/>
      <c r="U653" s="697"/>
      <c r="V653" s="698"/>
      <c r="W653" s="698"/>
      <c r="X653" s="697"/>
      <c r="Y653" s="697"/>
      <c r="Z653" s="697"/>
      <c r="AA653" s="698"/>
      <c r="AB653" s="698"/>
    </row>
    <row r="654" spans="1:28" x14ac:dyDescent="0.2">
      <c r="A654" s="694" t="str">
        <f>+Info!$B$2</f>
        <v>724</v>
      </c>
      <c r="B654" s="694" t="s">
        <v>6282</v>
      </c>
      <c r="C654" s="694" t="s">
        <v>6283</v>
      </c>
      <c r="D654" s="695" t="s">
        <v>6284</v>
      </c>
      <c r="E654" s="696"/>
      <c r="F654" s="697"/>
      <c r="G654" s="697"/>
      <c r="H654" s="698"/>
      <c r="I654" s="698"/>
      <c r="J654" s="697"/>
      <c r="K654" s="697"/>
      <c r="L654" s="697"/>
      <c r="M654" s="697"/>
      <c r="N654" s="698"/>
      <c r="O654" s="698"/>
      <c r="P654" s="698"/>
      <c r="Q654" s="697"/>
      <c r="R654" s="697"/>
      <c r="S654" s="698"/>
      <c r="T654" s="697"/>
      <c r="U654" s="697"/>
      <c r="V654" s="698"/>
      <c r="W654" s="698"/>
      <c r="X654" s="697"/>
      <c r="Y654" s="697"/>
      <c r="Z654" s="697"/>
      <c r="AA654" s="697"/>
      <c r="AB654" s="697"/>
    </row>
    <row r="655" spans="1:28" ht="15" x14ac:dyDescent="0.25">
      <c r="A655" s="691" t="str">
        <f>+Info!$B$2</f>
        <v>724</v>
      </c>
      <c r="B655" s="691" t="s">
        <v>6285</v>
      </c>
      <c r="C655" s="691" t="s">
        <v>6286</v>
      </c>
      <c r="D655" s="692" t="s">
        <v>6287</v>
      </c>
      <c r="E655" s="693"/>
      <c r="F655" s="701"/>
      <c r="G655" s="701"/>
      <c r="H655" s="701"/>
      <c r="I655" s="701"/>
      <c r="J655" s="701"/>
      <c r="K655" s="701"/>
      <c r="L655" s="701"/>
      <c r="M655" s="701"/>
      <c r="N655" s="701"/>
      <c r="O655" s="701"/>
      <c r="P655" s="701"/>
      <c r="Q655" s="701"/>
      <c r="R655" s="701"/>
      <c r="S655" s="701"/>
      <c r="T655" s="701"/>
      <c r="U655" s="701"/>
      <c r="V655" s="701"/>
      <c r="W655" s="701"/>
      <c r="X655" s="701"/>
      <c r="Y655" s="701"/>
      <c r="Z655" s="701"/>
      <c r="AA655" s="701"/>
      <c r="AB655" s="701"/>
    </row>
    <row r="656" spans="1:28" x14ac:dyDescent="0.2">
      <c r="A656" s="694" t="str">
        <f>+Info!$B$2</f>
        <v>724</v>
      </c>
      <c r="B656" s="694" t="s">
        <v>6288</v>
      </c>
      <c r="C656" s="694" t="s">
        <v>6289</v>
      </c>
      <c r="D656" s="695" t="s">
        <v>6290</v>
      </c>
      <c r="E656" s="696"/>
      <c r="F656" s="697"/>
      <c r="G656" s="697"/>
      <c r="H656" s="698"/>
      <c r="I656" s="698"/>
      <c r="J656" s="697"/>
      <c r="K656" s="697"/>
      <c r="L656" s="697"/>
      <c r="M656" s="697"/>
      <c r="N656" s="698"/>
      <c r="O656" s="698"/>
      <c r="P656" s="698"/>
      <c r="Q656" s="697"/>
      <c r="R656" s="698"/>
      <c r="S656" s="697"/>
      <c r="T656" s="697"/>
      <c r="U656" s="697"/>
      <c r="V656" s="698"/>
      <c r="W656" s="698"/>
      <c r="X656" s="697"/>
      <c r="Y656" s="697"/>
      <c r="Z656" s="697"/>
      <c r="AA656" s="697"/>
      <c r="AB656" s="697"/>
    </row>
    <row r="657" spans="1:28" x14ac:dyDescent="0.2">
      <c r="A657" s="694" t="str">
        <f>+Info!$B$2</f>
        <v>724</v>
      </c>
      <c r="B657" s="694" t="s">
        <v>6291</v>
      </c>
      <c r="C657" s="694" t="s">
        <v>6292</v>
      </c>
      <c r="D657" s="695" t="s">
        <v>6293</v>
      </c>
      <c r="E657" s="696"/>
      <c r="F657" s="697"/>
      <c r="G657" s="697"/>
      <c r="H657" s="698"/>
      <c r="I657" s="698"/>
      <c r="J657" s="697"/>
      <c r="K657" s="697"/>
      <c r="L657" s="697"/>
      <c r="M657" s="697"/>
      <c r="N657" s="698"/>
      <c r="O657" s="698"/>
      <c r="P657" s="698"/>
      <c r="Q657" s="697"/>
      <c r="R657" s="698"/>
      <c r="S657" s="697"/>
      <c r="T657" s="697"/>
      <c r="U657" s="697"/>
      <c r="V657" s="698"/>
      <c r="W657" s="698"/>
      <c r="X657" s="697"/>
      <c r="Y657" s="697"/>
      <c r="Z657" s="697"/>
      <c r="AA657" s="697"/>
      <c r="AB657" s="697"/>
    </row>
    <row r="658" spans="1:28" x14ac:dyDescent="0.2">
      <c r="A658" s="694" t="str">
        <f>+Info!$B$2</f>
        <v>724</v>
      </c>
      <c r="B658" s="694" t="s">
        <v>6294</v>
      </c>
      <c r="C658" s="694" t="s">
        <v>6295</v>
      </c>
      <c r="D658" s="695" t="s">
        <v>6296</v>
      </c>
      <c r="E658" s="696"/>
      <c r="F658" s="697"/>
      <c r="G658" s="697"/>
      <c r="H658" s="698"/>
      <c r="I658" s="698"/>
      <c r="J658" s="697"/>
      <c r="K658" s="697"/>
      <c r="L658" s="697"/>
      <c r="M658" s="697"/>
      <c r="N658" s="698"/>
      <c r="O658" s="698"/>
      <c r="P658" s="698"/>
      <c r="Q658" s="697"/>
      <c r="R658" s="698"/>
      <c r="S658" s="697"/>
      <c r="T658" s="697"/>
      <c r="U658" s="697"/>
      <c r="V658" s="698"/>
      <c r="W658" s="698"/>
      <c r="X658" s="697"/>
      <c r="Y658" s="697"/>
      <c r="Z658" s="697"/>
      <c r="AA658" s="697"/>
      <c r="AB658" s="697"/>
    </row>
    <row r="659" spans="1:28" x14ac:dyDescent="0.2">
      <c r="A659" s="694" t="str">
        <f>+Info!$B$2</f>
        <v>724</v>
      </c>
      <c r="B659" s="694" t="s">
        <v>6297</v>
      </c>
      <c r="C659" s="694" t="s">
        <v>6298</v>
      </c>
      <c r="D659" s="695" t="s">
        <v>6299</v>
      </c>
      <c r="E659" s="696"/>
      <c r="F659" s="697"/>
      <c r="G659" s="697"/>
      <c r="H659" s="698"/>
      <c r="I659" s="698"/>
      <c r="J659" s="697"/>
      <c r="K659" s="697"/>
      <c r="L659" s="697"/>
      <c r="M659" s="697"/>
      <c r="N659" s="698"/>
      <c r="O659" s="698"/>
      <c r="P659" s="698"/>
      <c r="Q659" s="697"/>
      <c r="R659" s="698"/>
      <c r="S659" s="697"/>
      <c r="T659" s="697"/>
      <c r="U659" s="697"/>
      <c r="V659" s="698"/>
      <c r="W659" s="698"/>
      <c r="X659" s="697"/>
      <c r="Y659" s="697"/>
      <c r="Z659" s="697"/>
      <c r="AA659" s="697"/>
      <c r="AB659" s="697"/>
    </row>
    <row r="660" spans="1:28" ht="25.5" x14ac:dyDescent="0.2">
      <c r="A660" s="694" t="str">
        <f>+Info!$B$2</f>
        <v>724</v>
      </c>
      <c r="B660" s="694" t="s">
        <v>6300</v>
      </c>
      <c r="C660" s="694" t="s">
        <v>6301</v>
      </c>
      <c r="D660" s="695" t="s">
        <v>6302</v>
      </c>
      <c r="E660" s="696"/>
      <c r="F660" s="697"/>
      <c r="G660" s="697"/>
      <c r="H660" s="698"/>
      <c r="I660" s="698"/>
      <c r="J660" s="697"/>
      <c r="K660" s="697"/>
      <c r="L660" s="697"/>
      <c r="M660" s="697"/>
      <c r="N660" s="698"/>
      <c r="O660" s="698"/>
      <c r="P660" s="698"/>
      <c r="Q660" s="697"/>
      <c r="R660" s="698"/>
      <c r="S660" s="697"/>
      <c r="T660" s="697"/>
      <c r="U660" s="697"/>
      <c r="V660" s="698"/>
      <c r="W660" s="698"/>
      <c r="X660" s="697"/>
      <c r="Y660" s="697"/>
      <c r="Z660" s="697"/>
      <c r="AA660" s="697"/>
      <c r="AB660" s="697"/>
    </row>
    <row r="661" spans="1:28" x14ac:dyDescent="0.2">
      <c r="A661" s="694" t="str">
        <f>+Info!$B$2</f>
        <v>724</v>
      </c>
      <c r="B661" s="694" t="s">
        <v>6303</v>
      </c>
      <c r="C661" s="694" t="s">
        <v>6304</v>
      </c>
      <c r="D661" s="695" t="s">
        <v>6305</v>
      </c>
      <c r="E661" s="696"/>
      <c r="F661" s="697"/>
      <c r="G661" s="697"/>
      <c r="H661" s="698"/>
      <c r="I661" s="698"/>
      <c r="J661" s="697"/>
      <c r="K661" s="697"/>
      <c r="L661" s="697"/>
      <c r="M661" s="697"/>
      <c r="N661" s="698"/>
      <c r="O661" s="698"/>
      <c r="P661" s="698"/>
      <c r="Q661" s="697"/>
      <c r="R661" s="698"/>
      <c r="S661" s="697"/>
      <c r="T661" s="697"/>
      <c r="U661" s="697"/>
      <c r="V661" s="698"/>
      <c r="W661" s="698"/>
      <c r="X661" s="697"/>
      <c r="Y661" s="697"/>
      <c r="Z661" s="697"/>
      <c r="AA661" s="697"/>
      <c r="AB661" s="697"/>
    </row>
    <row r="662" spans="1:28" x14ac:dyDescent="0.2">
      <c r="A662" s="694" t="str">
        <f>+Info!$B$2</f>
        <v>724</v>
      </c>
      <c r="B662" s="694" t="s">
        <v>6306</v>
      </c>
      <c r="C662" s="694" t="s">
        <v>6307</v>
      </c>
      <c r="D662" s="695" t="s">
        <v>6308</v>
      </c>
      <c r="E662" s="696"/>
      <c r="F662" s="697"/>
      <c r="G662" s="697"/>
      <c r="H662" s="698"/>
      <c r="I662" s="698"/>
      <c r="J662" s="697"/>
      <c r="K662" s="697"/>
      <c r="L662" s="697"/>
      <c r="M662" s="697"/>
      <c r="N662" s="698"/>
      <c r="O662" s="698"/>
      <c r="P662" s="698"/>
      <c r="Q662" s="697"/>
      <c r="R662" s="698"/>
      <c r="S662" s="697"/>
      <c r="T662" s="697"/>
      <c r="U662" s="697"/>
      <c r="V662" s="698"/>
      <c r="W662" s="698"/>
      <c r="X662" s="697"/>
      <c r="Y662" s="697"/>
      <c r="Z662" s="697"/>
      <c r="AA662" s="697"/>
      <c r="AB662" s="697"/>
    </row>
    <row r="663" spans="1:28" x14ac:dyDescent="0.2">
      <c r="A663" s="694" t="str">
        <f>+Info!$B$2</f>
        <v>724</v>
      </c>
      <c r="B663" s="694" t="s">
        <v>6309</v>
      </c>
      <c r="C663" s="694" t="s">
        <v>6310</v>
      </c>
      <c r="D663" s="695" t="s">
        <v>6311</v>
      </c>
      <c r="E663" s="696"/>
      <c r="F663" s="697"/>
      <c r="G663" s="697"/>
      <c r="H663" s="698"/>
      <c r="I663" s="698"/>
      <c r="J663" s="697"/>
      <c r="K663" s="697"/>
      <c r="L663" s="697"/>
      <c r="M663" s="697"/>
      <c r="N663" s="698"/>
      <c r="O663" s="698"/>
      <c r="P663" s="698"/>
      <c r="Q663" s="697"/>
      <c r="R663" s="698"/>
      <c r="S663" s="697"/>
      <c r="T663" s="697"/>
      <c r="U663" s="697"/>
      <c r="V663" s="698"/>
      <c r="W663" s="698"/>
      <c r="X663" s="697"/>
      <c r="Y663" s="697"/>
      <c r="Z663" s="697"/>
      <c r="AA663" s="697"/>
      <c r="AB663" s="697"/>
    </row>
    <row r="664" spans="1:28" x14ac:dyDescent="0.2">
      <c r="A664" s="694" t="str">
        <f>+Info!$B$2</f>
        <v>724</v>
      </c>
      <c r="B664" s="694" t="s">
        <v>6312</v>
      </c>
      <c r="C664" s="694" t="s">
        <v>6313</v>
      </c>
      <c r="D664" s="695" t="s">
        <v>6314</v>
      </c>
      <c r="E664" s="696"/>
      <c r="F664" s="697"/>
      <c r="G664" s="697"/>
      <c r="H664" s="698"/>
      <c r="I664" s="698"/>
      <c r="J664" s="697"/>
      <c r="K664" s="697"/>
      <c r="L664" s="697"/>
      <c r="M664" s="697"/>
      <c r="N664" s="698"/>
      <c r="O664" s="698"/>
      <c r="P664" s="698"/>
      <c r="Q664" s="697"/>
      <c r="R664" s="698"/>
      <c r="S664" s="697"/>
      <c r="T664" s="697"/>
      <c r="U664" s="697"/>
      <c r="V664" s="698"/>
      <c r="W664" s="698"/>
      <c r="X664" s="697"/>
      <c r="Y664" s="697"/>
      <c r="Z664" s="697"/>
      <c r="AA664" s="697"/>
      <c r="AB664" s="697"/>
    </row>
    <row r="665" spans="1:28" x14ac:dyDescent="0.2">
      <c r="A665" s="694" t="str">
        <f>+Info!$B$2</f>
        <v>724</v>
      </c>
      <c r="B665" s="694" t="s">
        <v>6315</v>
      </c>
      <c r="C665" s="694" t="s">
        <v>6316</v>
      </c>
      <c r="D665" s="695" t="s">
        <v>6317</v>
      </c>
      <c r="E665" s="696"/>
      <c r="F665" s="697"/>
      <c r="G665" s="697"/>
      <c r="H665" s="698"/>
      <c r="I665" s="698"/>
      <c r="J665" s="697"/>
      <c r="K665" s="697"/>
      <c r="L665" s="697"/>
      <c r="M665" s="697"/>
      <c r="N665" s="698"/>
      <c r="O665" s="698"/>
      <c r="P665" s="698"/>
      <c r="Q665" s="697"/>
      <c r="R665" s="698"/>
      <c r="S665" s="697"/>
      <c r="T665" s="697"/>
      <c r="U665" s="697"/>
      <c r="V665" s="698"/>
      <c r="W665" s="698"/>
      <c r="X665" s="697"/>
      <c r="Y665" s="697"/>
      <c r="Z665" s="697"/>
      <c r="AA665" s="698"/>
      <c r="AB665" s="698"/>
    </row>
    <row r="666" spans="1:28" x14ac:dyDescent="0.2">
      <c r="A666" s="694" t="str">
        <f>+Info!$B$2</f>
        <v>724</v>
      </c>
      <c r="B666" s="694" t="s">
        <v>6318</v>
      </c>
      <c r="C666" s="694" t="s">
        <v>6319</v>
      </c>
      <c r="D666" s="695" t="s">
        <v>6320</v>
      </c>
      <c r="E666" s="696"/>
      <c r="F666" s="697"/>
      <c r="G666" s="697"/>
      <c r="H666" s="698"/>
      <c r="I666" s="698"/>
      <c r="J666" s="697"/>
      <c r="K666" s="697"/>
      <c r="L666" s="697"/>
      <c r="M666" s="697"/>
      <c r="N666" s="698"/>
      <c r="O666" s="698"/>
      <c r="P666" s="698"/>
      <c r="Q666" s="697"/>
      <c r="R666" s="698"/>
      <c r="S666" s="697"/>
      <c r="T666" s="697"/>
      <c r="U666" s="697"/>
      <c r="V666" s="698"/>
      <c r="W666" s="698"/>
      <c r="X666" s="697"/>
      <c r="Y666" s="697"/>
      <c r="Z666" s="697"/>
      <c r="AA666" s="698"/>
      <c r="AB666" s="698"/>
    </row>
    <row r="667" spans="1:28" x14ac:dyDescent="0.2">
      <c r="A667" s="694" t="str">
        <f>+Info!$B$2</f>
        <v>724</v>
      </c>
      <c r="B667" s="694" t="s">
        <v>6321</v>
      </c>
      <c r="C667" s="694" t="s">
        <v>6322</v>
      </c>
      <c r="D667" s="695" t="s">
        <v>6323</v>
      </c>
      <c r="E667" s="696"/>
      <c r="F667" s="697"/>
      <c r="G667" s="697"/>
      <c r="H667" s="698"/>
      <c r="I667" s="698"/>
      <c r="J667" s="697"/>
      <c r="K667" s="697"/>
      <c r="L667" s="697"/>
      <c r="M667" s="697"/>
      <c r="N667" s="698"/>
      <c r="O667" s="698"/>
      <c r="P667" s="698"/>
      <c r="Q667" s="697"/>
      <c r="R667" s="698"/>
      <c r="S667" s="697"/>
      <c r="T667" s="697"/>
      <c r="U667" s="697"/>
      <c r="V667" s="698"/>
      <c r="W667" s="698"/>
      <c r="X667" s="697"/>
      <c r="Y667" s="697"/>
      <c r="Z667" s="697"/>
      <c r="AA667" s="697"/>
      <c r="AB667" s="697"/>
    </row>
    <row r="668" spans="1:28" x14ac:dyDescent="0.2">
      <c r="A668" s="694" t="str">
        <f>+Info!$B$2</f>
        <v>724</v>
      </c>
      <c r="B668" s="694" t="s">
        <v>6324</v>
      </c>
      <c r="C668" s="694" t="s">
        <v>6325</v>
      </c>
      <c r="D668" s="695" t="s">
        <v>6326</v>
      </c>
      <c r="E668" s="696"/>
      <c r="F668" s="697"/>
      <c r="G668" s="697"/>
      <c r="H668" s="698"/>
      <c r="I668" s="698"/>
      <c r="J668" s="697"/>
      <c r="K668" s="697"/>
      <c r="L668" s="697"/>
      <c r="M668" s="697"/>
      <c r="N668" s="698"/>
      <c r="O668" s="698"/>
      <c r="P668" s="698"/>
      <c r="Q668" s="697"/>
      <c r="R668" s="698"/>
      <c r="S668" s="697"/>
      <c r="T668" s="697"/>
      <c r="U668" s="697"/>
      <c r="V668" s="698"/>
      <c r="W668" s="698"/>
      <c r="X668" s="697"/>
      <c r="Y668" s="697"/>
      <c r="Z668" s="697"/>
      <c r="AA668" s="697"/>
      <c r="AB668" s="697"/>
    </row>
    <row r="669" spans="1:28" x14ac:dyDescent="0.2">
      <c r="A669" s="694" t="str">
        <f>+Info!$B$2</f>
        <v>724</v>
      </c>
      <c r="B669" s="694" t="s">
        <v>6327</v>
      </c>
      <c r="C669" s="694" t="s">
        <v>6328</v>
      </c>
      <c r="D669" s="695" t="s">
        <v>6329</v>
      </c>
      <c r="E669" s="696"/>
      <c r="F669" s="697"/>
      <c r="G669" s="697"/>
      <c r="H669" s="698"/>
      <c r="I669" s="698"/>
      <c r="J669" s="697"/>
      <c r="K669" s="697"/>
      <c r="L669" s="697"/>
      <c r="M669" s="697"/>
      <c r="N669" s="698"/>
      <c r="O669" s="698"/>
      <c r="P669" s="698"/>
      <c r="Q669" s="697"/>
      <c r="R669" s="698"/>
      <c r="S669" s="697"/>
      <c r="T669" s="697"/>
      <c r="U669" s="697"/>
      <c r="V669" s="698"/>
      <c r="W669" s="698"/>
      <c r="X669" s="697"/>
      <c r="Y669" s="697"/>
      <c r="Z669" s="697"/>
      <c r="AA669" s="697"/>
      <c r="AB669" s="697"/>
    </row>
    <row r="670" spans="1:28" x14ac:dyDescent="0.2">
      <c r="A670" s="694" t="str">
        <f>+Info!$B$2</f>
        <v>724</v>
      </c>
      <c r="B670" s="694" t="s">
        <v>6330</v>
      </c>
      <c r="C670" s="694" t="s">
        <v>6331</v>
      </c>
      <c r="D670" s="695" t="s">
        <v>6332</v>
      </c>
      <c r="E670" s="696"/>
      <c r="F670" s="697"/>
      <c r="G670" s="697"/>
      <c r="H670" s="698"/>
      <c r="I670" s="698"/>
      <c r="J670" s="697"/>
      <c r="K670" s="697"/>
      <c r="L670" s="697"/>
      <c r="M670" s="697"/>
      <c r="N670" s="698"/>
      <c r="O670" s="698"/>
      <c r="P670" s="698"/>
      <c r="Q670" s="697"/>
      <c r="R670" s="698"/>
      <c r="S670" s="697"/>
      <c r="T670" s="697"/>
      <c r="U670" s="697"/>
      <c r="V670" s="698"/>
      <c r="W670" s="698"/>
      <c r="X670" s="697"/>
      <c r="Y670" s="697"/>
      <c r="Z670" s="697"/>
      <c r="AA670" s="697"/>
      <c r="AB670" s="697"/>
    </row>
    <row r="671" spans="1:28" x14ac:dyDescent="0.2">
      <c r="A671" s="694" t="str">
        <f>+Info!$B$2</f>
        <v>724</v>
      </c>
      <c r="B671" s="694" t="s">
        <v>6333</v>
      </c>
      <c r="C671" s="694" t="s">
        <v>6334</v>
      </c>
      <c r="D671" s="695" t="s">
        <v>6335</v>
      </c>
      <c r="E671" s="696"/>
      <c r="F671" s="697"/>
      <c r="G671" s="697"/>
      <c r="H671" s="698"/>
      <c r="I671" s="698"/>
      <c r="J671" s="697"/>
      <c r="K671" s="697"/>
      <c r="L671" s="697"/>
      <c r="M671" s="697"/>
      <c r="N671" s="698"/>
      <c r="O671" s="698"/>
      <c r="P671" s="698"/>
      <c r="Q671" s="697"/>
      <c r="R671" s="698"/>
      <c r="S671" s="697"/>
      <c r="T671" s="697"/>
      <c r="U671" s="697"/>
      <c r="V671" s="698"/>
      <c r="W671" s="698"/>
      <c r="X671" s="697"/>
      <c r="Y671" s="697"/>
      <c r="Z671" s="697"/>
      <c r="AA671" s="697"/>
      <c r="AB671" s="697"/>
    </row>
    <row r="672" spans="1:28" ht="25.5" x14ac:dyDescent="0.2">
      <c r="A672" s="694" t="str">
        <f>+Info!$B$2</f>
        <v>724</v>
      </c>
      <c r="B672" s="694" t="s">
        <v>6336</v>
      </c>
      <c r="C672" s="694" t="s">
        <v>6337</v>
      </c>
      <c r="D672" s="695" t="s">
        <v>6338</v>
      </c>
      <c r="E672" s="696"/>
      <c r="F672" s="697"/>
      <c r="G672" s="697"/>
      <c r="H672" s="698"/>
      <c r="I672" s="698"/>
      <c r="J672" s="697"/>
      <c r="K672" s="697"/>
      <c r="L672" s="697"/>
      <c r="M672" s="697"/>
      <c r="N672" s="698"/>
      <c r="O672" s="698"/>
      <c r="P672" s="698"/>
      <c r="Q672" s="697"/>
      <c r="R672" s="698"/>
      <c r="S672" s="697"/>
      <c r="T672" s="697"/>
      <c r="U672" s="697"/>
      <c r="V672" s="698"/>
      <c r="W672" s="698"/>
      <c r="X672" s="697"/>
      <c r="Y672" s="697"/>
      <c r="Z672" s="697"/>
      <c r="AA672" s="697"/>
      <c r="AB672" s="697"/>
    </row>
    <row r="673" spans="1:28" x14ac:dyDescent="0.2">
      <c r="A673" s="694" t="str">
        <f>+Info!$B$2</f>
        <v>724</v>
      </c>
      <c r="B673" s="694" t="s">
        <v>6339</v>
      </c>
      <c r="C673" s="694" t="s">
        <v>6340</v>
      </c>
      <c r="D673" s="695" t="s">
        <v>6341</v>
      </c>
      <c r="E673" s="696"/>
      <c r="F673" s="697"/>
      <c r="G673" s="697"/>
      <c r="H673" s="698"/>
      <c r="I673" s="698"/>
      <c r="J673" s="697"/>
      <c r="K673" s="697"/>
      <c r="L673" s="697"/>
      <c r="M673" s="697"/>
      <c r="N673" s="698"/>
      <c r="O673" s="698"/>
      <c r="P673" s="698"/>
      <c r="Q673" s="697"/>
      <c r="R673" s="698"/>
      <c r="S673" s="697"/>
      <c r="T673" s="697"/>
      <c r="U673" s="697"/>
      <c r="V673" s="698"/>
      <c r="W673" s="698"/>
      <c r="X673" s="697"/>
      <c r="Y673" s="697"/>
      <c r="Z673" s="697"/>
      <c r="AA673" s="697"/>
      <c r="AB673" s="697"/>
    </row>
    <row r="674" spans="1:28" x14ac:dyDescent="0.2">
      <c r="A674" s="694" t="str">
        <f>+Info!$B$2</f>
        <v>724</v>
      </c>
      <c r="B674" s="694" t="s">
        <v>6342</v>
      </c>
      <c r="C674" s="694" t="s">
        <v>6343</v>
      </c>
      <c r="D674" s="695" t="s">
        <v>6344</v>
      </c>
      <c r="E674" s="696"/>
      <c r="F674" s="697"/>
      <c r="G674" s="697"/>
      <c r="H674" s="698"/>
      <c r="I674" s="698"/>
      <c r="J674" s="697"/>
      <c r="K674" s="697"/>
      <c r="L674" s="697"/>
      <c r="M674" s="697"/>
      <c r="N674" s="698"/>
      <c r="O674" s="698"/>
      <c r="P674" s="698"/>
      <c r="Q674" s="697"/>
      <c r="R674" s="698"/>
      <c r="S674" s="697"/>
      <c r="T674" s="697"/>
      <c r="U674" s="697"/>
      <c r="V674" s="698"/>
      <c r="W674" s="698"/>
      <c r="X674" s="697"/>
      <c r="Y674" s="697"/>
      <c r="Z674" s="697"/>
      <c r="AA674" s="697"/>
      <c r="AB674" s="697"/>
    </row>
    <row r="675" spans="1:28" x14ac:dyDescent="0.2">
      <c r="A675" s="694" t="str">
        <f>+Info!$B$2</f>
        <v>724</v>
      </c>
      <c r="B675" s="694" t="s">
        <v>6345</v>
      </c>
      <c r="C675" s="694" t="s">
        <v>6346</v>
      </c>
      <c r="D675" s="695" t="s">
        <v>6347</v>
      </c>
      <c r="E675" s="696"/>
      <c r="F675" s="697"/>
      <c r="G675" s="697"/>
      <c r="H675" s="698"/>
      <c r="I675" s="698"/>
      <c r="J675" s="697"/>
      <c r="K675" s="697"/>
      <c r="L675" s="697"/>
      <c r="M675" s="697"/>
      <c r="N675" s="698"/>
      <c r="O675" s="698"/>
      <c r="P675" s="698"/>
      <c r="Q675" s="697"/>
      <c r="R675" s="698"/>
      <c r="S675" s="697"/>
      <c r="T675" s="697"/>
      <c r="U675" s="697"/>
      <c r="V675" s="698"/>
      <c r="W675" s="698"/>
      <c r="X675" s="697"/>
      <c r="Y675" s="697"/>
      <c r="Z675" s="697"/>
      <c r="AA675" s="697"/>
      <c r="AB675" s="697"/>
    </row>
    <row r="676" spans="1:28" x14ac:dyDescent="0.2">
      <c r="A676" s="694" t="str">
        <f>+Info!$B$2</f>
        <v>724</v>
      </c>
      <c r="B676" s="694" t="s">
        <v>6348</v>
      </c>
      <c r="C676" s="694" t="s">
        <v>6349</v>
      </c>
      <c r="D676" s="695" t="s">
        <v>6350</v>
      </c>
      <c r="E676" s="696"/>
      <c r="F676" s="697"/>
      <c r="G676" s="697"/>
      <c r="H676" s="698"/>
      <c r="I676" s="698"/>
      <c r="J676" s="697"/>
      <c r="K676" s="697"/>
      <c r="L676" s="697"/>
      <c r="M676" s="697"/>
      <c r="N676" s="698"/>
      <c r="O676" s="698"/>
      <c r="P676" s="698"/>
      <c r="Q676" s="697"/>
      <c r="R676" s="698"/>
      <c r="S676" s="697"/>
      <c r="T676" s="697"/>
      <c r="U676" s="697"/>
      <c r="V676" s="698"/>
      <c r="W676" s="698"/>
      <c r="X676" s="697"/>
      <c r="Y676" s="697"/>
      <c r="Z676" s="697"/>
      <c r="AA676" s="697"/>
      <c r="AB676" s="697"/>
    </row>
    <row r="677" spans="1:28" x14ac:dyDescent="0.2">
      <c r="A677" s="694" t="str">
        <f>+Info!$B$2</f>
        <v>724</v>
      </c>
      <c r="B677" s="694" t="s">
        <v>6351</v>
      </c>
      <c r="C677" s="694" t="s">
        <v>6352</v>
      </c>
      <c r="D677" s="695" t="s">
        <v>6353</v>
      </c>
      <c r="E677" s="696"/>
      <c r="F677" s="697"/>
      <c r="G677" s="697"/>
      <c r="H677" s="698"/>
      <c r="I677" s="698"/>
      <c r="J677" s="697"/>
      <c r="K677" s="697"/>
      <c r="L677" s="697"/>
      <c r="M677" s="697"/>
      <c r="N677" s="698"/>
      <c r="O677" s="698"/>
      <c r="P677" s="698"/>
      <c r="Q677" s="697"/>
      <c r="R677" s="698"/>
      <c r="S677" s="697"/>
      <c r="T677" s="697"/>
      <c r="U677" s="697"/>
      <c r="V677" s="698"/>
      <c r="W677" s="698"/>
      <c r="X677" s="697"/>
      <c r="Y677" s="697"/>
      <c r="Z677" s="697"/>
      <c r="AA677" s="698"/>
      <c r="AB677" s="698"/>
    </row>
    <row r="678" spans="1:28" x14ac:dyDescent="0.2">
      <c r="A678" s="694" t="str">
        <f>+Info!$B$2</f>
        <v>724</v>
      </c>
      <c r="B678" s="694" t="s">
        <v>6354</v>
      </c>
      <c r="C678" s="694" t="s">
        <v>6355</v>
      </c>
      <c r="D678" s="695" t="s">
        <v>6356</v>
      </c>
      <c r="E678" s="696"/>
      <c r="F678" s="697"/>
      <c r="G678" s="697"/>
      <c r="H678" s="698"/>
      <c r="I678" s="698"/>
      <c r="J678" s="697"/>
      <c r="K678" s="697"/>
      <c r="L678" s="697"/>
      <c r="M678" s="697"/>
      <c r="N678" s="698"/>
      <c r="O678" s="698"/>
      <c r="P678" s="698"/>
      <c r="Q678" s="697"/>
      <c r="R678" s="698"/>
      <c r="S678" s="697"/>
      <c r="T678" s="697"/>
      <c r="U678" s="697"/>
      <c r="V678" s="698"/>
      <c r="W678" s="698"/>
      <c r="X678" s="697"/>
      <c r="Y678" s="697"/>
      <c r="Z678" s="697"/>
      <c r="AA678" s="698"/>
      <c r="AB678" s="698"/>
    </row>
    <row r="679" spans="1:28" x14ac:dyDescent="0.2">
      <c r="A679" s="694" t="str">
        <f>+Info!$B$2</f>
        <v>724</v>
      </c>
      <c r="B679" s="694" t="s">
        <v>6357</v>
      </c>
      <c r="C679" s="694" t="s">
        <v>6358</v>
      </c>
      <c r="D679" s="695" t="s">
        <v>6359</v>
      </c>
      <c r="E679" s="696"/>
      <c r="F679" s="697"/>
      <c r="G679" s="697"/>
      <c r="H679" s="698"/>
      <c r="I679" s="698"/>
      <c r="J679" s="697"/>
      <c r="K679" s="697"/>
      <c r="L679" s="697"/>
      <c r="M679" s="697"/>
      <c r="N679" s="698"/>
      <c r="O679" s="698"/>
      <c r="P679" s="698"/>
      <c r="Q679" s="697"/>
      <c r="R679" s="698"/>
      <c r="S679" s="697"/>
      <c r="T679" s="697"/>
      <c r="U679" s="697"/>
      <c r="V679" s="698"/>
      <c r="W679" s="698"/>
      <c r="X679" s="697"/>
      <c r="Y679" s="697"/>
      <c r="Z679" s="697"/>
      <c r="AA679" s="697"/>
      <c r="AB679" s="697"/>
    </row>
    <row r="680" spans="1:28" x14ac:dyDescent="0.2">
      <c r="A680" s="694" t="str">
        <f>+Info!$B$2</f>
        <v>724</v>
      </c>
      <c r="B680" s="694" t="s">
        <v>6360</v>
      </c>
      <c r="C680" s="694" t="s">
        <v>6361</v>
      </c>
      <c r="D680" s="695" t="s">
        <v>6362</v>
      </c>
      <c r="E680" s="696"/>
      <c r="F680" s="697"/>
      <c r="G680" s="697"/>
      <c r="H680" s="698"/>
      <c r="I680" s="698"/>
      <c r="J680" s="697"/>
      <c r="K680" s="697"/>
      <c r="L680" s="697"/>
      <c r="M680" s="697"/>
      <c r="N680" s="698"/>
      <c r="O680" s="698"/>
      <c r="P680" s="698"/>
      <c r="Q680" s="697"/>
      <c r="R680" s="698"/>
      <c r="S680" s="697"/>
      <c r="T680" s="697"/>
      <c r="U680" s="697"/>
      <c r="V680" s="698"/>
      <c r="W680" s="698"/>
      <c r="X680" s="697"/>
      <c r="Y680" s="697"/>
      <c r="Z680" s="697"/>
      <c r="AA680" s="697"/>
      <c r="AB680" s="697"/>
    </row>
    <row r="681" spans="1:28" x14ac:dyDescent="0.2">
      <c r="A681" s="694" t="str">
        <f>+Info!$B$2</f>
        <v>724</v>
      </c>
      <c r="B681" s="694" t="s">
        <v>6363</v>
      </c>
      <c r="C681" s="694" t="s">
        <v>6364</v>
      </c>
      <c r="D681" s="695" t="s">
        <v>6365</v>
      </c>
      <c r="E681" s="696"/>
      <c r="F681" s="697"/>
      <c r="G681" s="697"/>
      <c r="H681" s="698"/>
      <c r="I681" s="698"/>
      <c r="J681" s="697"/>
      <c r="K681" s="697"/>
      <c r="L681" s="697"/>
      <c r="M681" s="697"/>
      <c r="N681" s="698"/>
      <c r="O681" s="698"/>
      <c r="P681" s="698"/>
      <c r="Q681" s="697"/>
      <c r="R681" s="698"/>
      <c r="S681" s="697"/>
      <c r="T681" s="697"/>
      <c r="U681" s="697"/>
      <c r="V681" s="698"/>
      <c r="W681" s="698"/>
      <c r="X681" s="697"/>
      <c r="Y681" s="697"/>
      <c r="Z681" s="697"/>
      <c r="AA681" s="697"/>
      <c r="AB681" s="697"/>
    </row>
    <row r="682" spans="1:28" x14ac:dyDescent="0.2">
      <c r="A682" s="694" t="str">
        <f>+Info!$B$2</f>
        <v>724</v>
      </c>
      <c r="B682" s="694" t="s">
        <v>6366</v>
      </c>
      <c r="C682" s="694" t="s">
        <v>6367</v>
      </c>
      <c r="D682" s="695" t="s">
        <v>6368</v>
      </c>
      <c r="E682" s="696"/>
      <c r="F682" s="697"/>
      <c r="G682" s="697"/>
      <c r="H682" s="698"/>
      <c r="I682" s="698"/>
      <c r="J682" s="697"/>
      <c r="K682" s="697"/>
      <c r="L682" s="697"/>
      <c r="M682" s="697"/>
      <c r="N682" s="698"/>
      <c r="O682" s="698"/>
      <c r="P682" s="698"/>
      <c r="Q682" s="697"/>
      <c r="R682" s="698"/>
      <c r="S682" s="697"/>
      <c r="T682" s="697"/>
      <c r="U682" s="697"/>
      <c r="V682" s="698"/>
      <c r="W682" s="698"/>
      <c r="X682" s="697"/>
      <c r="Y682" s="697"/>
      <c r="Z682" s="697"/>
      <c r="AA682" s="697"/>
      <c r="AB682" s="697"/>
    </row>
    <row r="683" spans="1:28" x14ac:dyDescent="0.2">
      <c r="A683" s="694" t="str">
        <f>+Info!$B$2</f>
        <v>724</v>
      </c>
      <c r="B683" s="694" t="s">
        <v>6369</v>
      </c>
      <c r="C683" s="694" t="s">
        <v>6370</v>
      </c>
      <c r="D683" s="695" t="s">
        <v>6371</v>
      </c>
      <c r="E683" s="696"/>
      <c r="F683" s="697"/>
      <c r="G683" s="697"/>
      <c r="H683" s="698"/>
      <c r="I683" s="698"/>
      <c r="J683" s="697"/>
      <c r="K683" s="697"/>
      <c r="L683" s="697"/>
      <c r="M683" s="697"/>
      <c r="N683" s="698"/>
      <c r="O683" s="698"/>
      <c r="P683" s="698"/>
      <c r="Q683" s="697"/>
      <c r="R683" s="698"/>
      <c r="S683" s="697"/>
      <c r="T683" s="697"/>
      <c r="U683" s="697"/>
      <c r="V683" s="698"/>
      <c r="W683" s="698"/>
      <c r="X683" s="697"/>
      <c r="Y683" s="697"/>
      <c r="Z683" s="697"/>
      <c r="AA683" s="697"/>
      <c r="AB683" s="697"/>
    </row>
    <row r="684" spans="1:28" ht="25.5" x14ac:dyDescent="0.2">
      <c r="A684" s="694" t="str">
        <f>+Info!$B$2</f>
        <v>724</v>
      </c>
      <c r="B684" s="694" t="s">
        <v>6372</v>
      </c>
      <c r="C684" s="694" t="s">
        <v>6373</v>
      </c>
      <c r="D684" s="695" t="s">
        <v>6374</v>
      </c>
      <c r="E684" s="696"/>
      <c r="F684" s="697"/>
      <c r="G684" s="697"/>
      <c r="H684" s="698"/>
      <c r="I684" s="698"/>
      <c r="J684" s="697"/>
      <c r="K684" s="697"/>
      <c r="L684" s="697"/>
      <c r="M684" s="697"/>
      <c r="N684" s="698"/>
      <c r="O684" s="698"/>
      <c r="P684" s="698"/>
      <c r="Q684" s="697"/>
      <c r="R684" s="698"/>
      <c r="S684" s="697"/>
      <c r="T684" s="697"/>
      <c r="U684" s="697"/>
      <c r="V684" s="698"/>
      <c r="W684" s="698"/>
      <c r="X684" s="697"/>
      <c r="Y684" s="697"/>
      <c r="Z684" s="697"/>
      <c r="AA684" s="697"/>
      <c r="AB684" s="697"/>
    </row>
    <row r="685" spans="1:28" x14ac:dyDescent="0.2">
      <c r="A685" s="694" t="str">
        <f>+Info!$B$2</f>
        <v>724</v>
      </c>
      <c r="B685" s="694" t="s">
        <v>6375</v>
      </c>
      <c r="C685" s="694" t="s">
        <v>6376</v>
      </c>
      <c r="D685" s="695" t="s">
        <v>6377</v>
      </c>
      <c r="E685" s="696"/>
      <c r="F685" s="697"/>
      <c r="G685" s="697"/>
      <c r="H685" s="698"/>
      <c r="I685" s="698"/>
      <c r="J685" s="697"/>
      <c r="K685" s="697"/>
      <c r="L685" s="697"/>
      <c r="M685" s="697"/>
      <c r="N685" s="698"/>
      <c r="O685" s="698"/>
      <c r="P685" s="698"/>
      <c r="Q685" s="697"/>
      <c r="R685" s="698"/>
      <c r="S685" s="697"/>
      <c r="T685" s="697"/>
      <c r="U685" s="697"/>
      <c r="V685" s="698"/>
      <c r="W685" s="698"/>
      <c r="X685" s="697"/>
      <c r="Y685" s="697"/>
      <c r="Z685" s="697"/>
      <c r="AA685" s="697"/>
      <c r="AB685" s="697"/>
    </row>
    <row r="686" spans="1:28" x14ac:dyDescent="0.2">
      <c r="A686" s="694" t="str">
        <f>+Info!$B$2</f>
        <v>724</v>
      </c>
      <c r="B686" s="694" t="s">
        <v>6378</v>
      </c>
      <c r="C686" s="694" t="s">
        <v>6379</v>
      </c>
      <c r="D686" s="695" t="s">
        <v>6380</v>
      </c>
      <c r="E686" s="696"/>
      <c r="F686" s="697"/>
      <c r="G686" s="697"/>
      <c r="H686" s="698"/>
      <c r="I686" s="698"/>
      <c r="J686" s="697"/>
      <c r="K686" s="697"/>
      <c r="L686" s="697"/>
      <c r="M686" s="697"/>
      <c r="N686" s="698"/>
      <c r="O686" s="698"/>
      <c r="P686" s="698"/>
      <c r="Q686" s="697"/>
      <c r="R686" s="698"/>
      <c r="S686" s="697"/>
      <c r="T686" s="697"/>
      <c r="U686" s="697"/>
      <c r="V686" s="698"/>
      <c r="W686" s="698"/>
      <c r="X686" s="697"/>
      <c r="Y686" s="697"/>
      <c r="Z686" s="697"/>
      <c r="AA686" s="697"/>
      <c r="AB686" s="697"/>
    </row>
    <row r="687" spans="1:28" x14ac:dyDescent="0.2">
      <c r="A687" s="694" t="str">
        <f>+Info!$B$2</f>
        <v>724</v>
      </c>
      <c r="B687" s="694" t="s">
        <v>6381</v>
      </c>
      <c r="C687" s="694" t="s">
        <v>6382</v>
      </c>
      <c r="D687" s="695" t="s">
        <v>6383</v>
      </c>
      <c r="E687" s="696"/>
      <c r="F687" s="697"/>
      <c r="G687" s="697"/>
      <c r="H687" s="698"/>
      <c r="I687" s="698"/>
      <c r="J687" s="697"/>
      <c r="K687" s="697"/>
      <c r="L687" s="697"/>
      <c r="M687" s="697"/>
      <c r="N687" s="698"/>
      <c r="O687" s="698"/>
      <c r="P687" s="698"/>
      <c r="Q687" s="697"/>
      <c r="R687" s="698"/>
      <c r="S687" s="697"/>
      <c r="T687" s="697"/>
      <c r="U687" s="697"/>
      <c r="V687" s="698"/>
      <c r="W687" s="698"/>
      <c r="X687" s="697"/>
      <c r="Y687" s="697"/>
      <c r="Z687" s="697"/>
      <c r="AA687" s="697"/>
      <c r="AB687" s="697"/>
    </row>
    <row r="688" spans="1:28" x14ac:dyDescent="0.2">
      <c r="A688" s="694" t="str">
        <f>+Info!$B$2</f>
        <v>724</v>
      </c>
      <c r="B688" s="694" t="s">
        <v>6384</v>
      </c>
      <c r="C688" s="694" t="s">
        <v>6385</v>
      </c>
      <c r="D688" s="695" t="s">
        <v>6386</v>
      </c>
      <c r="E688" s="696"/>
      <c r="F688" s="697"/>
      <c r="G688" s="697"/>
      <c r="H688" s="698"/>
      <c r="I688" s="698"/>
      <c r="J688" s="697"/>
      <c r="K688" s="697"/>
      <c r="L688" s="697"/>
      <c r="M688" s="697"/>
      <c r="N688" s="698"/>
      <c r="O688" s="698"/>
      <c r="P688" s="698"/>
      <c r="Q688" s="697"/>
      <c r="R688" s="698"/>
      <c r="S688" s="697"/>
      <c r="T688" s="697"/>
      <c r="U688" s="697"/>
      <c r="V688" s="698"/>
      <c r="W688" s="698"/>
      <c r="X688" s="697"/>
      <c r="Y688" s="697"/>
      <c r="Z688" s="697"/>
      <c r="AA688" s="697"/>
      <c r="AB688" s="697"/>
    </row>
    <row r="689" spans="1:28" x14ac:dyDescent="0.2">
      <c r="A689" s="694" t="str">
        <f>+Info!$B$2</f>
        <v>724</v>
      </c>
      <c r="B689" s="694" t="s">
        <v>6387</v>
      </c>
      <c r="C689" s="694" t="s">
        <v>6388</v>
      </c>
      <c r="D689" s="695" t="s">
        <v>6389</v>
      </c>
      <c r="E689" s="696"/>
      <c r="F689" s="697"/>
      <c r="G689" s="697"/>
      <c r="H689" s="698"/>
      <c r="I689" s="698"/>
      <c r="J689" s="697"/>
      <c r="K689" s="697"/>
      <c r="L689" s="697"/>
      <c r="M689" s="697"/>
      <c r="N689" s="698"/>
      <c r="O689" s="698"/>
      <c r="P689" s="698"/>
      <c r="Q689" s="697"/>
      <c r="R689" s="698"/>
      <c r="S689" s="697"/>
      <c r="T689" s="697"/>
      <c r="U689" s="697"/>
      <c r="V689" s="698"/>
      <c r="W689" s="698"/>
      <c r="X689" s="697"/>
      <c r="Y689" s="697"/>
      <c r="Z689" s="697"/>
      <c r="AA689" s="698"/>
      <c r="AB689" s="698"/>
    </row>
    <row r="690" spans="1:28" x14ac:dyDescent="0.2">
      <c r="A690" s="694" t="str">
        <f>+Info!$B$2</f>
        <v>724</v>
      </c>
      <c r="B690" s="694" t="s">
        <v>6390</v>
      </c>
      <c r="C690" s="694" t="s">
        <v>6391</v>
      </c>
      <c r="D690" s="695" t="s">
        <v>6392</v>
      </c>
      <c r="E690" s="696"/>
      <c r="F690" s="697"/>
      <c r="G690" s="697"/>
      <c r="H690" s="698"/>
      <c r="I690" s="698"/>
      <c r="J690" s="697"/>
      <c r="K690" s="697"/>
      <c r="L690" s="697"/>
      <c r="M690" s="697"/>
      <c r="N690" s="698"/>
      <c r="O690" s="698"/>
      <c r="P690" s="698"/>
      <c r="Q690" s="697"/>
      <c r="R690" s="698"/>
      <c r="S690" s="697"/>
      <c r="T690" s="697"/>
      <c r="U690" s="697"/>
      <c r="V690" s="698"/>
      <c r="W690" s="698"/>
      <c r="X690" s="697"/>
      <c r="Y690" s="697"/>
      <c r="Z690" s="697"/>
      <c r="AA690" s="698"/>
      <c r="AB690" s="698"/>
    </row>
    <row r="691" spans="1:28" x14ac:dyDescent="0.2">
      <c r="A691" s="694" t="str">
        <f>+Info!$B$2</f>
        <v>724</v>
      </c>
      <c r="B691" s="694" t="s">
        <v>6393</v>
      </c>
      <c r="C691" s="694" t="s">
        <v>6394</v>
      </c>
      <c r="D691" s="695" t="s">
        <v>6395</v>
      </c>
      <c r="E691" s="696"/>
      <c r="F691" s="697"/>
      <c r="G691" s="697"/>
      <c r="H691" s="698"/>
      <c r="I691" s="698"/>
      <c r="J691" s="697"/>
      <c r="K691" s="697"/>
      <c r="L691" s="697"/>
      <c r="M691" s="697"/>
      <c r="N691" s="698"/>
      <c r="O691" s="698"/>
      <c r="P691" s="698"/>
      <c r="Q691" s="697"/>
      <c r="R691" s="698"/>
      <c r="S691" s="697"/>
      <c r="T691" s="697"/>
      <c r="U691" s="697"/>
      <c r="V691" s="698"/>
      <c r="W691" s="698"/>
      <c r="X691" s="697"/>
      <c r="Y691" s="697"/>
      <c r="Z691" s="697"/>
      <c r="AA691" s="697"/>
      <c r="AB691" s="697"/>
    </row>
    <row r="692" spans="1:28" x14ac:dyDescent="0.2">
      <c r="A692" s="694" t="str">
        <f>+Info!$B$2</f>
        <v>724</v>
      </c>
      <c r="B692" s="694" t="s">
        <v>6396</v>
      </c>
      <c r="C692" s="694" t="s">
        <v>6397</v>
      </c>
      <c r="D692" s="695" t="s">
        <v>6398</v>
      </c>
      <c r="E692" s="696"/>
      <c r="F692" s="697"/>
      <c r="G692" s="697"/>
      <c r="H692" s="698"/>
      <c r="I692" s="698"/>
      <c r="J692" s="697"/>
      <c r="K692" s="697"/>
      <c r="L692" s="697"/>
      <c r="M692" s="697"/>
      <c r="N692" s="698"/>
      <c r="O692" s="698"/>
      <c r="P692" s="698"/>
      <c r="Q692" s="697"/>
      <c r="R692" s="697"/>
      <c r="S692" s="698"/>
      <c r="T692" s="697"/>
      <c r="U692" s="697"/>
      <c r="V692" s="698"/>
      <c r="W692" s="698"/>
      <c r="X692" s="697"/>
      <c r="Y692" s="697"/>
      <c r="Z692" s="697"/>
      <c r="AA692" s="697"/>
      <c r="AB692" s="697"/>
    </row>
    <row r="693" spans="1:28" x14ac:dyDescent="0.2">
      <c r="A693" s="694" t="str">
        <f>+Info!$B$2</f>
        <v>724</v>
      </c>
      <c r="B693" s="694" t="s">
        <v>6399</v>
      </c>
      <c r="C693" s="694" t="s">
        <v>6400</v>
      </c>
      <c r="D693" s="695" t="s">
        <v>6401</v>
      </c>
      <c r="E693" s="696"/>
      <c r="F693" s="697"/>
      <c r="G693" s="697"/>
      <c r="H693" s="698"/>
      <c r="I693" s="698"/>
      <c r="J693" s="697"/>
      <c r="K693" s="697"/>
      <c r="L693" s="697"/>
      <c r="M693" s="697"/>
      <c r="N693" s="698"/>
      <c r="O693" s="698"/>
      <c r="P693" s="698"/>
      <c r="Q693" s="697"/>
      <c r="R693" s="697"/>
      <c r="S693" s="698"/>
      <c r="T693" s="697"/>
      <c r="U693" s="697"/>
      <c r="V693" s="698"/>
      <c r="W693" s="698"/>
      <c r="X693" s="697"/>
      <c r="Y693" s="697"/>
      <c r="Z693" s="697"/>
      <c r="AA693" s="697"/>
      <c r="AB693" s="697"/>
    </row>
    <row r="694" spans="1:28" x14ac:dyDescent="0.2">
      <c r="A694" s="694" t="str">
        <f>+Info!$B$2</f>
        <v>724</v>
      </c>
      <c r="B694" s="694" t="s">
        <v>6402</v>
      </c>
      <c r="C694" s="694" t="s">
        <v>6403</v>
      </c>
      <c r="D694" s="695" t="s">
        <v>6404</v>
      </c>
      <c r="E694" s="696"/>
      <c r="F694" s="697"/>
      <c r="G694" s="697"/>
      <c r="H694" s="698"/>
      <c r="I694" s="698"/>
      <c r="J694" s="697"/>
      <c r="K694" s="697"/>
      <c r="L694" s="697"/>
      <c r="M694" s="697"/>
      <c r="N694" s="698"/>
      <c r="O694" s="698"/>
      <c r="P694" s="698"/>
      <c r="Q694" s="697"/>
      <c r="R694" s="697"/>
      <c r="S694" s="698"/>
      <c r="T694" s="697"/>
      <c r="U694" s="697"/>
      <c r="V694" s="698"/>
      <c r="W694" s="698"/>
      <c r="X694" s="697"/>
      <c r="Y694" s="697"/>
      <c r="Z694" s="697"/>
      <c r="AA694" s="697"/>
      <c r="AB694" s="697"/>
    </row>
    <row r="695" spans="1:28" x14ac:dyDescent="0.2">
      <c r="A695" s="694" t="str">
        <f>+Info!$B$2</f>
        <v>724</v>
      </c>
      <c r="B695" s="694" t="s">
        <v>6405</v>
      </c>
      <c r="C695" s="694" t="s">
        <v>6406</v>
      </c>
      <c r="D695" s="695" t="s">
        <v>6407</v>
      </c>
      <c r="E695" s="696"/>
      <c r="F695" s="697"/>
      <c r="G695" s="697"/>
      <c r="H695" s="698"/>
      <c r="I695" s="698"/>
      <c r="J695" s="697"/>
      <c r="K695" s="697"/>
      <c r="L695" s="697"/>
      <c r="M695" s="697"/>
      <c r="N695" s="698"/>
      <c r="O695" s="698"/>
      <c r="P695" s="698"/>
      <c r="Q695" s="697"/>
      <c r="R695" s="697"/>
      <c r="S695" s="698"/>
      <c r="T695" s="697"/>
      <c r="U695" s="697"/>
      <c r="V695" s="698"/>
      <c r="W695" s="698"/>
      <c r="X695" s="697"/>
      <c r="Y695" s="697"/>
      <c r="Z695" s="697"/>
      <c r="AA695" s="697"/>
      <c r="AB695" s="697"/>
    </row>
    <row r="696" spans="1:28" ht="25.5" x14ac:dyDescent="0.2">
      <c r="A696" s="694" t="str">
        <f>+Info!$B$2</f>
        <v>724</v>
      </c>
      <c r="B696" s="694" t="s">
        <v>6408</v>
      </c>
      <c r="C696" s="694" t="s">
        <v>6409</v>
      </c>
      <c r="D696" s="695" t="s">
        <v>6410</v>
      </c>
      <c r="E696" s="696"/>
      <c r="F696" s="697"/>
      <c r="G696" s="697"/>
      <c r="H696" s="698"/>
      <c r="I696" s="698"/>
      <c r="J696" s="697"/>
      <c r="K696" s="697"/>
      <c r="L696" s="697"/>
      <c r="M696" s="697"/>
      <c r="N696" s="698"/>
      <c r="O696" s="698"/>
      <c r="P696" s="698"/>
      <c r="Q696" s="697"/>
      <c r="R696" s="697"/>
      <c r="S696" s="698"/>
      <c r="T696" s="697"/>
      <c r="U696" s="697"/>
      <c r="V696" s="698"/>
      <c r="W696" s="698"/>
      <c r="X696" s="697"/>
      <c r="Y696" s="697"/>
      <c r="Z696" s="697"/>
      <c r="AA696" s="697"/>
      <c r="AB696" s="697"/>
    </row>
    <row r="697" spans="1:28" x14ac:dyDescent="0.2">
      <c r="A697" s="694" t="str">
        <f>+Info!$B$2</f>
        <v>724</v>
      </c>
      <c r="B697" s="694" t="s">
        <v>6411</v>
      </c>
      <c r="C697" s="694" t="s">
        <v>6412</v>
      </c>
      <c r="D697" s="695" t="s">
        <v>6413</v>
      </c>
      <c r="E697" s="696"/>
      <c r="F697" s="697"/>
      <c r="G697" s="697"/>
      <c r="H697" s="698"/>
      <c r="I697" s="698"/>
      <c r="J697" s="697"/>
      <c r="K697" s="697"/>
      <c r="L697" s="697"/>
      <c r="M697" s="697"/>
      <c r="N697" s="698"/>
      <c r="O697" s="698"/>
      <c r="P697" s="698"/>
      <c r="Q697" s="697"/>
      <c r="R697" s="697"/>
      <c r="S697" s="698"/>
      <c r="T697" s="697"/>
      <c r="U697" s="697"/>
      <c r="V697" s="698"/>
      <c r="W697" s="698"/>
      <c r="X697" s="697"/>
      <c r="Y697" s="697"/>
      <c r="Z697" s="697"/>
      <c r="AA697" s="697"/>
      <c r="AB697" s="697"/>
    </row>
    <row r="698" spans="1:28" x14ac:dyDescent="0.2">
      <c r="A698" s="694" t="str">
        <f>+Info!$B$2</f>
        <v>724</v>
      </c>
      <c r="B698" s="694" t="s">
        <v>6414</v>
      </c>
      <c r="C698" s="694" t="s">
        <v>6415</v>
      </c>
      <c r="D698" s="695" t="s">
        <v>6416</v>
      </c>
      <c r="E698" s="696"/>
      <c r="F698" s="697"/>
      <c r="G698" s="697"/>
      <c r="H698" s="698"/>
      <c r="I698" s="698"/>
      <c r="J698" s="697"/>
      <c r="K698" s="697"/>
      <c r="L698" s="697"/>
      <c r="M698" s="697"/>
      <c r="N698" s="698"/>
      <c r="O698" s="698"/>
      <c r="P698" s="698"/>
      <c r="Q698" s="697"/>
      <c r="R698" s="697"/>
      <c r="S698" s="698"/>
      <c r="T698" s="697"/>
      <c r="U698" s="697"/>
      <c r="V698" s="698"/>
      <c r="W698" s="698"/>
      <c r="X698" s="697"/>
      <c r="Y698" s="697"/>
      <c r="Z698" s="697"/>
      <c r="AA698" s="697"/>
      <c r="AB698" s="697"/>
    </row>
    <row r="699" spans="1:28" x14ac:dyDescent="0.2">
      <c r="A699" s="694" t="str">
        <f>+Info!$B$2</f>
        <v>724</v>
      </c>
      <c r="B699" s="694" t="s">
        <v>6417</v>
      </c>
      <c r="C699" s="694" t="s">
        <v>6418</v>
      </c>
      <c r="D699" s="695" t="s">
        <v>6419</v>
      </c>
      <c r="E699" s="696"/>
      <c r="F699" s="697"/>
      <c r="G699" s="697"/>
      <c r="H699" s="698"/>
      <c r="I699" s="698"/>
      <c r="J699" s="697"/>
      <c r="K699" s="697"/>
      <c r="L699" s="697"/>
      <c r="M699" s="697"/>
      <c r="N699" s="698"/>
      <c r="O699" s="698"/>
      <c r="P699" s="698"/>
      <c r="Q699" s="697"/>
      <c r="R699" s="697"/>
      <c r="S699" s="698"/>
      <c r="T699" s="697"/>
      <c r="U699" s="697"/>
      <c r="V699" s="698"/>
      <c r="W699" s="698"/>
      <c r="X699" s="697"/>
      <c r="Y699" s="697"/>
      <c r="Z699" s="697"/>
      <c r="AA699" s="697"/>
      <c r="AB699" s="697"/>
    </row>
    <row r="700" spans="1:28" x14ac:dyDescent="0.2">
      <c r="A700" s="694" t="str">
        <f>+Info!$B$2</f>
        <v>724</v>
      </c>
      <c r="B700" s="694" t="s">
        <v>6420</v>
      </c>
      <c r="C700" s="694" t="s">
        <v>6421</v>
      </c>
      <c r="D700" s="695" t="s">
        <v>6422</v>
      </c>
      <c r="E700" s="696"/>
      <c r="F700" s="697"/>
      <c r="G700" s="697"/>
      <c r="H700" s="698"/>
      <c r="I700" s="698"/>
      <c r="J700" s="697"/>
      <c r="K700" s="697"/>
      <c r="L700" s="697"/>
      <c r="M700" s="697"/>
      <c r="N700" s="698"/>
      <c r="O700" s="698"/>
      <c r="P700" s="698"/>
      <c r="Q700" s="697"/>
      <c r="R700" s="697"/>
      <c r="S700" s="698"/>
      <c r="T700" s="697"/>
      <c r="U700" s="697"/>
      <c r="V700" s="698"/>
      <c r="W700" s="698"/>
      <c r="X700" s="697"/>
      <c r="Y700" s="697"/>
      <c r="Z700" s="697"/>
      <c r="AA700" s="698"/>
      <c r="AB700" s="698"/>
    </row>
    <row r="701" spans="1:28" x14ac:dyDescent="0.2">
      <c r="A701" s="694" t="str">
        <f>+Info!$B$2</f>
        <v>724</v>
      </c>
      <c r="B701" s="694" t="s">
        <v>6423</v>
      </c>
      <c r="C701" s="694" t="s">
        <v>6424</v>
      </c>
      <c r="D701" s="695" t="s">
        <v>6425</v>
      </c>
      <c r="E701" s="696"/>
      <c r="F701" s="697"/>
      <c r="G701" s="697"/>
      <c r="H701" s="698"/>
      <c r="I701" s="698"/>
      <c r="J701" s="697"/>
      <c r="K701" s="697"/>
      <c r="L701" s="697"/>
      <c r="M701" s="697"/>
      <c r="N701" s="698"/>
      <c r="O701" s="698"/>
      <c r="P701" s="698"/>
      <c r="Q701" s="697"/>
      <c r="R701" s="697"/>
      <c r="S701" s="698"/>
      <c r="T701" s="697"/>
      <c r="U701" s="697"/>
      <c r="V701" s="698"/>
      <c r="W701" s="698"/>
      <c r="X701" s="697"/>
      <c r="Y701" s="697"/>
      <c r="Z701" s="697"/>
      <c r="AA701" s="698"/>
      <c r="AB701" s="698"/>
    </row>
    <row r="702" spans="1:28" x14ac:dyDescent="0.2">
      <c r="A702" s="694" t="str">
        <f>+Info!$B$2</f>
        <v>724</v>
      </c>
      <c r="B702" s="694" t="s">
        <v>6426</v>
      </c>
      <c r="C702" s="694" t="s">
        <v>6427</v>
      </c>
      <c r="D702" s="695" t="s">
        <v>6428</v>
      </c>
      <c r="E702" s="696"/>
      <c r="F702" s="697"/>
      <c r="G702" s="697"/>
      <c r="H702" s="698"/>
      <c r="I702" s="698"/>
      <c r="J702" s="697"/>
      <c r="K702" s="697"/>
      <c r="L702" s="697"/>
      <c r="M702" s="697"/>
      <c r="N702" s="698"/>
      <c r="O702" s="698"/>
      <c r="P702" s="698"/>
      <c r="Q702" s="697"/>
      <c r="R702" s="697"/>
      <c r="S702" s="698"/>
      <c r="T702" s="697"/>
      <c r="U702" s="697"/>
      <c r="V702" s="698"/>
      <c r="W702" s="698"/>
      <c r="X702" s="697"/>
      <c r="Y702" s="697"/>
      <c r="Z702" s="697"/>
      <c r="AA702" s="697"/>
      <c r="AB702" s="697"/>
    </row>
    <row r="703" spans="1:28" x14ac:dyDescent="0.2">
      <c r="A703" s="694" t="str">
        <f>+Info!$B$2</f>
        <v>724</v>
      </c>
      <c r="B703" s="694" t="s">
        <v>6429</v>
      </c>
      <c r="C703" s="694" t="s">
        <v>6430</v>
      </c>
      <c r="D703" s="695" t="s">
        <v>6431</v>
      </c>
      <c r="E703" s="696"/>
      <c r="F703" s="697"/>
      <c r="G703" s="697"/>
      <c r="H703" s="698"/>
      <c r="I703" s="698"/>
      <c r="J703" s="697"/>
      <c r="K703" s="697"/>
      <c r="L703" s="697"/>
      <c r="M703" s="697"/>
      <c r="N703" s="698"/>
      <c r="O703" s="698"/>
      <c r="P703" s="698"/>
      <c r="Q703" s="697"/>
      <c r="R703" s="697"/>
      <c r="S703" s="698"/>
      <c r="T703" s="697"/>
      <c r="U703" s="697"/>
      <c r="V703" s="698"/>
      <c r="W703" s="698"/>
      <c r="X703" s="697"/>
      <c r="Y703" s="697"/>
      <c r="Z703" s="697"/>
      <c r="AA703" s="697"/>
      <c r="AB703" s="697"/>
    </row>
    <row r="704" spans="1:28" x14ac:dyDescent="0.2">
      <c r="A704" s="694" t="str">
        <f>+Info!$B$2</f>
        <v>724</v>
      </c>
      <c r="B704" s="694" t="s">
        <v>6432</v>
      </c>
      <c r="C704" s="694" t="s">
        <v>6433</v>
      </c>
      <c r="D704" s="695" t="s">
        <v>6434</v>
      </c>
      <c r="E704" s="696"/>
      <c r="F704" s="697"/>
      <c r="G704" s="697"/>
      <c r="H704" s="698"/>
      <c r="I704" s="698"/>
      <c r="J704" s="697"/>
      <c r="K704" s="697"/>
      <c r="L704" s="697"/>
      <c r="M704" s="697"/>
      <c r="N704" s="698"/>
      <c r="O704" s="698"/>
      <c r="P704" s="698"/>
      <c r="Q704" s="697"/>
      <c r="R704" s="697"/>
      <c r="S704" s="698"/>
      <c r="T704" s="697"/>
      <c r="U704" s="697"/>
      <c r="V704" s="698"/>
      <c r="W704" s="698"/>
      <c r="X704" s="697"/>
      <c r="Y704" s="697"/>
      <c r="Z704" s="697"/>
      <c r="AA704" s="697"/>
      <c r="AB704" s="697"/>
    </row>
    <row r="705" spans="1:28" x14ac:dyDescent="0.2">
      <c r="A705" s="694" t="str">
        <f>+Info!$B$2</f>
        <v>724</v>
      </c>
      <c r="B705" s="694" t="s">
        <v>6435</v>
      </c>
      <c r="C705" s="694" t="s">
        <v>6436</v>
      </c>
      <c r="D705" s="695" t="s">
        <v>6437</v>
      </c>
      <c r="E705" s="696"/>
      <c r="F705" s="697"/>
      <c r="G705" s="697"/>
      <c r="H705" s="698"/>
      <c r="I705" s="698"/>
      <c r="J705" s="697"/>
      <c r="K705" s="697"/>
      <c r="L705" s="697"/>
      <c r="M705" s="697"/>
      <c r="N705" s="698"/>
      <c r="O705" s="698"/>
      <c r="P705" s="698"/>
      <c r="Q705" s="697"/>
      <c r="R705" s="697"/>
      <c r="S705" s="698"/>
      <c r="T705" s="697"/>
      <c r="U705" s="697"/>
      <c r="V705" s="698"/>
      <c r="W705" s="698"/>
      <c r="X705" s="697"/>
      <c r="Y705" s="697"/>
      <c r="Z705" s="697"/>
      <c r="AA705" s="697"/>
      <c r="AB705" s="697"/>
    </row>
    <row r="706" spans="1:28" x14ac:dyDescent="0.2">
      <c r="A706" s="694" t="str">
        <f>+Info!$B$2</f>
        <v>724</v>
      </c>
      <c r="B706" s="694" t="s">
        <v>6438</v>
      </c>
      <c r="C706" s="694" t="s">
        <v>6439</v>
      </c>
      <c r="D706" s="695" t="s">
        <v>6440</v>
      </c>
      <c r="E706" s="696"/>
      <c r="F706" s="697"/>
      <c r="G706" s="697"/>
      <c r="H706" s="698"/>
      <c r="I706" s="698"/>
      <c r="J706" s="697"/>
      <c r="K706" s="697"/>
      <c r="L706" s="697"/>
      <c r="M706" s="697"/>
      <c r="N706" s="698"/>
      <c r="O706" s="698"/>
      <c r="P706" s="698"/>
      <c r="Q706" s="697"/>
      <c r="R706" s="697"/>
      <c r="S706" s="698"/>
      <c r="T706" s="697"/>
      <c r="U706" s="697"/>
      <c r="V706" s="698"/>
      <c r="W706" s="698"/>
      <c r="X706" s="697"/>
      <c r="Y706" s="697"/>
      <c r="Z706" s="697"/>
      <c r="AA706" s="697"/>
      <c r="AB706" s="697"/>
    </row>
    <row r="707" spans="1:28" ht="25.5" x14ac:dyDescent="0.2">
      <c r="A707" s="694" t="str">
        <f>+Info!$B$2</f>
        <v>724</v>
      </c>
      <c r="B707" s="694" t="s">
        <v>6441</v>
      </c>
      <c r="C707" s="694" t="s">
        <v>6442</v>
      </c>
      <c r="D707" s="695" t="s">
        <v>6443</v>
      </c>
      <c r="E707" s="696"/>
      <c r="F707" s="697"/>
      <c r="G707" s="697"/>
      <c r="H707" s="698"/>
      <c r="I707" s="698"/>
      <c r="J707" s="697"/>
      <c r="K707" s="697"/>
      <c r="L707" s="697"/>
      <c r="M707" s="697"/>
      <c r="N707" s="698"/>
      <c r="O707" s="698"/>
      <c r="P707" s="698"/>
      <c r="Q707" s="697"/>
      <c r="R707" s="697"/>
      <c r="S707" s="698"/>
      <c r="T707" s="697"/>
      <c r="U707" s="697"/>
      <c r="V707" s="698"/>
      <c r="W707" s="698"/>
      <c r="X707" s="697"/>
      <c r="Y707" s="697"/>
      <c r="Z707" s="697"/>
      <c r="AA707" s="697"/>
      <c r="AB707" s="697"/>
    </row>
    <row r="708" spans="1:28" x14ac:dyDescent="0.2">
      <c r="A708" s="694" t="str">
        <f>+Info!$B$2</f>
        <v>724</v>
      </c>
      <c r="B708" s="694" t="s">
        <v>6444</v>
      </c>
      <c r="C708" s="694" t="s">
        <v>6445</v>
      </c>
      <c r="D708" s="695" t="s">
        <v>6446</v>
      </c>
      <c r="E708" s="696"/>
      <c r="F708" s="697"/>
      <c r="G708" s="697"/>
      <c r="H708" s="698"/>
      <c r="I708" s="698"/>
      <c r="J708" s="697"/>
      <c r="K708" s="697"/>
      <c r="L708" s="697"/>
      <c r="M708" s="697"/>
      <c r="N708" s="698"/>
      <c r="O708" s="698"/>
      <c r="P708" s="698"/>
      <c r="Q708" s="697"/>
      <c r="R708" s="697"/>
      <c r="S708" s="698"/>
      <c r="T708" s="697"/>
      <c r="U708" s="697"/>
      <c r="V708" s="698"/>
      <c r="W708" s="698"/>
      <c r="X708" s="697"/>
      <c r="Y708" s="697"/>
      <c r="Z708" s="697"/>
      <c r="AA708" s="697"/>
      <c r="AB708" s="697"/>
    </row>
    <row r="709" spans="1:28" x14ac:dyDescent="0.2">
      <c r="A709" s="694" t="str">
        <f>+Info!$B$2</f>
        <v>724</v>
      </c>
      <c r="B709" s="694" t="s">
        <v>6447</v>
      </c>
      <c r="C709" s="694" t="s">
        <v>6448</v>
      </c>
      <c r="D709" s="695" t="s">
        <v>6449</v>
      </c>
      <c r="E709" s="696"/>
      <c r="F709" s="697"/>
      <c r="G709" s="697"/>
      <c r="H709" s="698"/>
      <c r="I709" s="698"/>
      <c r="J709" s="697"/>
      <c r="K709" s="697"/>
      <c r="L709" s="697"/>
      <c r="M709" s="697"/>
      <c r="N709" s="698"/>
      <c r="O709" s="698"/>
      <c r="P709" s="698"/>
      <c r="Q709" s="697"/>
      <c r="R709" s="697"/>
      <c r="S709" s="698"/>
      <c r="T709" s="697"/>
      <c r="U709" s="697"/>
      <c r="V709" s="698"/>
      <c r="W709" s="698"/>
      <c r="X709" s="697"/>
      <c r="Y709" s="697"/>
      <c r="Z709" s="697"/>
      <c r="AA709" s="697"/>
      <c r="AB709" s="697"/>
    </row>
    <row r="710" spans="1:28" x14ac:dyDescent="0.2">
      <c r="A710" s="694" t="str">
        <f>+Info!$B$2</f>
        <v>724</v>
      </c>
      <c r="B710" s="694" t="s">
        <v>6450</v>
      </c>
      <c r="C710" s="694" t="s">
        <v>6451</v>
      </c>
      <c r="D710" s="695" t="s">
        <v>6452</v>
      </c>
      <c r="E710" s="696"/>
      <c r="F710" s="697"/>
      <c r="G710" s="697"/>
      <c r="H710" s="698"/>
      <c r="I710" s="698"/>
      <c r="J710" s="697"/>
      <c r="K710" s="697"/>
      <c r="L710" s="697"/>
      <c r="M710" s="697"/>
      <c r="N710" s="698"/>
      <c r="O710" s="698"/>
      <c r="P710" s="698"/>
      <c r="Q710" s="697"/>
      <c r="R710" s="697"/>
      <c r="S710" s="698"/>
      <c r="T710" s="697"/>
      <c r="U710" s="697"/>
      <c r="V710" s="698"/>
      <c r="W710" s="698"/>
      <c r="X710" s="697"/>
      <c r="Y710" s="697"/>
      <c r="Z710" s="697"/>
      <c r="AA710" s="697"/>
      <c r="AB710" s="697"/>
    </row>
    <row r="711" spans="1:28" x14ac:dyDescent="0.2">
      <c r="A711" s="694" t="str">
        <f>+Info!$B$2</f>
        <v>724</v>
      </c>
      <c r="B711" s="694" t="s">
        <v>6453</v>
      </c>
      <c r="C711" s="694" t="s">
        <v>6454</v>
      </c>
      <c r="D711" s="695" t="s">
        <v>6455</v>
      </c>
      <c r="E711" s="696"/>
      <c r="F711" s="697"/>
      <c r="G711" s="697"/>
      <c r="H711" s="698"/>
      <c r="I711" s="698"/>
      <c r="J711" s="697"/>
      <c r="K711" s="697"/>
      <c r="L711" s="697"/>
      <c r="M711" s="697"/>
      <c r="N711" s="698"/>
      <c r="O711" s="698"/>
      <c r="P711" s="698"/>
      <c r="Q711" s="697"/>
      <c r="R711" s="697"/>
      <c r="S711" s="698"/>
      <c r="T711" s="697"/>
      <c r="U711" s="697"/>
      <c r="V711" s="698"/>
      <c r="W711" s="698"/>
      <c r="X711" s="697"/>
      <c r="Y711" s="697"/>
      <c r="Z711" s="697"/>
      <c r="AA711" s="698"/>
      <c r="AB711" s="698"/>
    </row>
    <row r="712" spans="1:28" x14ac:dyDescent="0.2">
      <c r="A712" s="694" t="str">
        <f>+Info!$B$2</f>
        <v>724</v>
      </c>
      <c r="B712" s="694" t="s">
        <v>6456</v>
      </c>
      <c r="C712" s="694" t="s">
        <v>6457</v>
      </c>
      <c r="D712" s="695" t="s">
        <v>6458</v>
      </c>
      <c r="E712" s="696"/>
      <c r="F712" s="697"/>
      <c r="G712" s="697"/>
      <c r="H712" s="698"/>
      <c r="I712" s="698"/>
      <c r="J712" s="697"/>
      <c r="K712" s="697"/>
      <c r="L712" s="697"/>
      <c r="M712" s="697"/>
      <c r="N712" s="698"/>
      <c r="O712" s="698"/>
      <c r="P712" s="698"/>
      <c r="Q712" s="697"/>
      <c r="R712" s="697"/>
      <c r="S712" s="698"/>
      <c r="T712" s="697"/>
      <c r="U712" s="697"/>
      <c r="V712" s="698"/>
      <c r="W712" s="698"/>
      <c r="X712" s="697"/>
      <c r="Y712" s="697"/>
      <c r="Z712" s="697"/>
      <c r="AA712" s="698"/>
      <c r="AB712" s="698"/>
    </row>
    <row r="713" spans="1:28" x14ac:dyDescent="0.2">
      <c r="A713" s="694" t="str">
        <f>+Info!$B$2</f>
        <v>724</v>
      </c>
      <c r="B713" s="694" t="s">
        <v>6459</v>
      </c>
      <c r="C713" s="694" t="s">
        <v>6460</v>
      </c>
      <c r="D713" s="695" t="s">
        <v>6461</v>
      </c>
      <c r="E713" s="696"/>
      <c r="F713" s="697"/>
      <c r="G713" s="697"/>
      <c r="H713" s="698"/>
      <c r="I713" s="698"/>
      <c r="J713" s="697"/>
      <c r="K713" s="697"/>
      <c r="L713" s="697"/>
      <c r="M713" s="697"/>
      <c r="N713" s="698"/>
      <c r="O713" s="698"/>
      <c r="P713" s="698"/>
      <c r="Q713" s="697"/>
      <c r="R713" s="697"/>
      <c r="S713" s="698"/>
      <c r="T713" s="697"/>
      <c r="U713" s="697"/>
      <c r="V713" s="698"/>
      <c r="W713" s="698"/>
      <c r="X713" s="697"/>
      <c r="Y713" s="697"/>
      <c r="Z713" s="697"/>
      <c r="AA713" s="697"/>
      <c r="AB713" s="697"/>
    </row>
    <row r="714" spans="1:28" x14ac:dyDescent="0.2">
      <c r="A714" s="694" t="str">
        <f>+Info!$B$2</f>
        <v>724</v>
      </c>
      <c r="B714" s="694" t="s">
        <v>6462</v>
      </c>
      <c r="C714" s="694" t="s">
        <v>6463</v>
      </c>
      <c r="D714" s="695" t="s">
        <v>6464</v>
      </c>
      <c r="E714" s="696"/>
      <c r="F714" s="697"/>
      <c r="G714" s="697"/>
      <c r="H714" s="698"/>
      <c r="I714" s="698"/>
      <c r="J714" s="697"/>
      <c r="K714" s="697"/>
      <c r="L714" s="697"/>
      <c r="M714" s="697"/>
      <c r="N714" s="698"/>
      <c r="O714" s="698"/>
      <c r="P714" s="698"/>
      <c r="Q714" s="697"/>
      <c r="R714" s="697"/>
      <c r="S714" s="698"/>
      <c r="T714" s="697"/>
      <c r="U714" s="697"/>
      <c r="V714" s="698"/>
      <c r="W714" s="698"/>
      <c r="X714" s="697"/>
      <c r="Y714" s="697"/>
      <c r="Z714" s="697"/>
      <c r="AA714" s="697"/>
      <c r="AB714" s="697"/>
    </row>
    <row r="715" spans="1:28" x14ac:dyDescent="0.2">
      <c r="A715" s="694" t="str">
        <f>+Info!$B$2</f>
        <v>724</v>
      </c>
      <c r="B715" s="694" t="s">
        <v>6465</v>
      </c>
      <c r="C715" s="694" t="s">
        <v>6466</v>
      </c>
      <c r="D715" s="695" t="s">
        <v>6467</v>
      </c>
      <c r="E715" s="696"/>
      <c r="F715" s="697"/>
      <c r="G715" s="697"/>
      <c r="H715" s="698"/>
      <c r="I715" s="698"/>
      <c r="J715" s="697"/>
      <c r="K715" s="697"/>
      <c r="L715" s="697"/>
      <c r="M715" s="697"/>
      <c r="N715" s="698"/>
      <c r="O715" s="698"/>
      <c r="P715" s="698"/>
      <c r="Q715" s="697"/>
      <c r="R715" s="697"/>
      <c r="S715" s="698"/>
      <c r="T715" s="697"/>
      <c r="U715" s="697"/>
      <c r="V715" s="698"/>
      <c r="W715" s="698"/>
      <c r="X715" s="697"/>
      <c r="Y715" s="697"/>
      <c r="Z715" s="697"/>
      <c r="AA715" s="697"/>
      <c r="AB715" s="697"/>
    </row>
    <row r="716" spans="1:28" x14ac:dyDescent="0.2">
      <c r="A716" s="694" t="str">
        <f>+Info!$B$2</f>
        <v>724</v>
      </c>
      <c r="B716" s="694" t="s">
        <v>6468</v>
      </c>
      <c r="C716" s="694" t="s">
        <v>6469</v>
      </c>
      <c r="D716" s="695" t="s">
        <v>6470</v>
      </c>
      <c r="E716" s="696"/>
      <c r="F716" s="697"/>
      <c r="G716" s="697"/>
      <c r="H716" s="698"/>
      <c r="I716" s="698"/>
      <c r="J716" s="697"/>
      <c r="K716" s="697"/>
      <c r="L716" s="697"/>
      <c r="M716" s="697"/>
      <c r="N716" s="698"/>
      <c r="O716" s="698"/>
      <c r="P716" s="698"/>
      <c r="Q716" s="697"/>
      <c r="R716" s="697"/>
      <c r="S716" s="698"/>
      <c r="T716" s="697"/>
      <c r="U716" s="697"/>
      <c r="V716" s="698"/>
      <c r="W716" s="698"/>
      <c r="X716" s="697"/>
      <c r="Y716" s="697"/>
      <c r="Z716" s="697"/>
      <c r="AA716" s="697"/>
      <c r="AB716" s="697"/>
    </row>
    <row r="717" spans="1:28" x14ac:dyDescent="0.2">
      <c r="A717" s="694" t="str">
        <f>+Info!$B$2</f>
        <v>724</v>
      </c>
      <c r="B717" s="694" t="s">
        <v>6471</v>
      </c>
      <c r="C717" s="694" t="s">
        <v>6472</v>
      </c>
      <c r="D717" s="695" t="s">
        <v>6473</v>
      </c>
      <c r="E717" s="696"/>
      <c r="F717" s="697"/>
      <c r="G717" s="697"/>
      <c r="H717" s="698"/>
      <c r="I717" s="698"/>
      <c r="J717" s="697"/>
      <c r="K717" s="697"/>
      <c r="L717" s="697"/>
      <c r="M717" s="697"/>
      <c r="N717" s="698"/>
      <c r="O717" s="698"/>
      <c r="P717" s="698"/>
      <c r="Q717" s="697"/>
      <c r="R717" s="697"/>
      <c r="S717" s="698"/>
      <c r="T717" s="697"/>
      <c r="U717" s="697"/>
      <c r="V717" s="698"/>
      <c r="W717" s="698"/>
      <c r="X717" s="697"/>
      <c r="Y717" s="697"/>
      <c r="Z717" s="697"/>
      <c r="AA717" s="697"/>
      <c r="AB717" s="697"/>
    </row>
    <row r="718" spans="1:28" x14ac:dyDescent="0.2">
      <c r="A718" s="694" t="str">
        <f>+Info!$B$2</f>
        <v>724</v>
      </c>
      <c r="B718" s="694" t="s">
        <v>6474</v>
      </c>
      <c r="C718" s="694" t="s">
        <v>6475</v>
      </c>
      <c r="D718" s="695" t="s">
        <v>6476</v>
      </c>
      <c r="E718" s="696"/>
      <c r="F718" s="697"/>
      <c r="G718" s="697"/>
      <c r="H718" s="698"/>
      <c r="I718" s="698"/>
      <c r="J718" s="697"/>
      <c r="K718" s="697"/>
      <c r="L718" s="697"/>
      <c r="M718" s="697"/>
      <c r="N718" s="698"/>
      <c r="O718" s="698"/>
      <c r="P718" s="698"/>
      <c r="Q718" s="697"/>
      <c r="R718" s="697"/>
      <c r="S718" s="698"/>
      <c r="T718" s="697"/>
      <c r="U718" s="697"/>
      <c r="V718" s="698"/>
      <c r="W718" s="698"/>
      <c r="X718" s="697"/>
      <c r="Y718" s="697"/>
      <c r="Z718" s="697"/>
      <c r="AA718" s="697"/>
      <c r="AB718" s="697"/>
    </row>
    <row r="719" spans="1:28" x14ac:dyDescent="0.2">
      <c r="A719" s="694" t="str">
        <f>+Info!$B$2</f>
        <v>724</v>
      </c>
      <c r="B719" s="694" t="s">
        <v>6477</v>
      </c>
      <c r="C719" s="694" t="s">
        <v>6478</v>
      </c>
      <c r="D719" s="695" t="s">
        <v>6479</v>
      </c>
      <c r="E719" s="696"/>
      <c r="F719" s="697"/>
      <c r="G719" s="697"/>
      <c r="H719" s="698"/>
      <c r="I719" s="698"/>
      <c r="J719" s="697"/>
      <c r="K719" s="697"/>
      <c r="L719" s="697"/>
      <c r="M719" s="697"/>
      <c r="N719" s="698"/>
      <c r="O719" s="698"/>
      <c r="P719" s="698"/>
      <c r="Q719" s="697"/>
      <c r="R719" s="697"/>
      <c r="S719" s="698"/>
      <c r="T719" s="697"/>
      <c r="U719" s="697"/>
      <c r="V719" s="698"/>
      <c r="W719" s="698"/>
      <c r="X719" s="697"/>
      <c r="Y719" s="697"/>
      <c r="Z719" s="697"/>
      <c r="AA719" s="697"/>
      <c r="AB719" s="697"/>
    </row>
    <row r="720" spans="1:28" x14ac:dyDescent="0.2">
      <c r="A720" s="694" t="str">
        <f>+Info!$B$2</f>
        <v>724</v>
      </c>
      <c r="B720" s="694" t="s">
        <v>6480</v>
      </c>
      <c r="C720" s="694" t="s">
        <v>6481</v>
      </c>
      <c r="D720" s="695" t="s">
        <v>6482</v>
      </c>
      <c r="E720" s="696"/>
      <c r="F720" s="697"/>
      <c r="G720" s="697"/>
      <c r="H720" s="698"/>
      <c r="I720" s="698"/>
      <c r="J720" s="697"/>
      <c r="K720" s="697"/>
      <c r="L720" s="697"/>
      <c r="M720" s="697"/>
      <c r="N720" s="698"/>
      <c r="O720" s="698"/>
      <c r="P720" s="698"/>
      <c r="Q720" s="697"/>
      <c r="R720" s="697"/>
      <c r="S720" s="698"/>
      <c r="T720" s="697"/>
      <c r="U720" s="697"/>
      <c r="V720" s="698"/>
      <c r="W720" s="698"/>
      <c r="X720" s="697"/>
      <c r="Y720" s="697"/>
      <c r="Z720" s="697"/>
      <c r="AA720" s="697"/>
      <c r="AB720" s="697"/>
    </row>
    <row r="721" spans="1:28" x14ac:dyDescent="0.2">
      <c r="A721" s="694" t="str">
        <f>+Info!$B$2</f>
        <v>724</v>
      </c>
      <c r="B721" s="694" t="s">
        <v>6483</v>
      </c>
      <c r="C721" s="694" t="s">
        <v>6484</v>
      </c>
      <c r="D721" s="695" t="s">
        <v>6485</v>
      </c>
      <c r="E721" s="696"/>
      <c r="F721" s="697"/>
      <c r="G721" s="697"/>
      <c r="H721" s="698"/>
      <c r="I721" s="698"/>
      <c r="J721" s="697"/>
      <c r="K721" s="697"/>
      <c r="L721" s="697"/>
      <c r="M721" s="697"/>
      <c r="N721" s="698"/>
      <c r="O721" s="698"/>
      <c r="P721" s="698"/>
      <c r="Q721" s="697"/>
      <c r="R721" s="697"/>
      <c r="S721" s="698"/>
      <c r="T721" s="697"/>
      <c r="U721" s="697"/>
      <c r="V721" s="698"/>
      <c r="W721" s="698"/>
      <c r="X721" s="697"/>
      <c r="Y721" s="697"/>
      <c r="Z721" s="697"/>
      <c r="AA721" s="697"/>
      <c r="AB721" s="697"/>
    </row>
    <row r="722" spans="1:28" x14ac:dyDescent="0.2">
      <c r="A722" s="694" t="str">
        <f>+Info!$B$2</f>
        <v>724</v>
      </c>
      <c r="B722" s="694" t="s">
        <v>6486</v>
      </c>
      <c r="C722" s="694" t="s">
        <v>6487</v>
      </c>
      <c r="D722" s="695" t="s">
        <v>6488</v>
      </c>
      <c r="E722" s="696"/>
      <c r="F722" s="697"/>
      <c r="G722" s="697"/>
      <c r="H722" s="698"/>
      <c r="I722" s="698"/>
      <c r="J722" s="697"/>
      <c r="K722" s="697"/>
      <c r="L722" s="697"/>
      <c r="M722" s="697"/>
      <c r="N722" s="698"/>
      <c r="O722" s="698"/>
      <c r="P722" s="698"/>
      <c r="Q722" s="697"/>
      <c r="R722" s="697"/>
      <c r="S722" s="698"/>
      <c r="T722" s="697"/>
      <c r="U722" s="697"/>
      <c r="V722" s="698"/>
      <c r="W722" s="698"/>
      <c r="X722" s="697"/>
      <c r="Y722" s="697"/>
      <c r="Z722" s="697"/>
      <c r="AA722" s="698"/>
      <c r="AB722" s="698"/>
    </row>
    <row r="723" spans="1:28" x14ac:dyDescent="0.2">
      <c r="A723" s="694" t="str">
        <f>+Info!$B$2</f>
        <v>724</v>
      </c>
      <c r="B723" s="694" t="s">
        <v>6489</v>
      </c>
      <c r="C723" s="694" t="s">
        <v>6490</v>
      </c>
      <c r="D723" s="695" t="s">
        <v>6491</v>
      </c>
      <c r="E723" s="696"/>
      <c r="F723" s="697"/>
      <c r="G723" s="697"/>
      <c r="H723" s="698"/>
      <c r="I723" s="698"/>
      <c r="J723" s="697"/>
      <c r="K723" s="697"/>
      <c r="L723" s="697"/>
      <c r="M723" s="697"/>
      <c r="N723" s="698"/>
      <c r="O723" s="698"/>
      <c r="P723" s="698"/>
      <c r="Q723" s="697"/>
      <c r="R723" s="697"/>
      <c r="S723" s="698"/>
      <c r="T723" s="697"/>
      <c r="U723" s="697"/>
      <c r="V723" s="698"/>
      <c r="W723" s="698"/>
      <c r="X723" s="697"/>
      <c r="Y723" s="697"/>
      <c r="Z723" s="697"/>
      <c r="AA723" s="698"/>
      <c r="AB723" s="698"/>
    </row>
    <row r="724" spans="1:28" x14ac:dyDescent="0.2">
      <c r="A724" s="694" t="str">
        <f>+Info!$B$2</f>
        <v>724</v>
      </c>
      <c r="B724" s="694" t="s">
        <v>6492</v>
      </c>
      <c r="C724" s="694" t="s">
        <v>6493</v>
      </c>
      <c r="D724" s="695" t="s">
        <v>6494</v>
      </c>
      <c r="E724" s="696"/>
      <c r="F724" s="697"/>
      <c r="G724" s="697"/>
      <c r="H724" s="698"/>
      <c r="I724" s="698"/>
      <c r="J724" s="697"/>
      <c r="K724" s="697"/>
      <c r="L724" s="697"/>
      <c r="M724" s="697"/>
      <c r="N724" s="698"/>
      <c r="O724" s="698"/>
      <c r="P724" s="698"/>
      <c r="Q724" s="697"/>
      <c r="R724" s="697"/>
      <c r="S724" s="698"/>
      <c r="T724" s="697"/>
      <c r="U724" s="697"/>
      <c r="V724" s="698"/>
      <c r="W724" s="698"/>
      <c r="X724" s="697"/>
      <c r="Y724" s="697"/>
      <c r="Z724" s="697"/>
      <c r="AA724" s="697"/>
      <c r="AB724" s="697"/>
    </row>
    <row r="725" spans="1:28" ht="15" x14ac:dyDescent="0.25">
      <c r="A725" s="691" t="str">
        <f>+Info!$B$2</f>
        <v>724</v>
      </c>
      <c r="B725" s="691" t="s">
        <v>6495</v>
      </c>
      <c r="C725" s="691" t="s">
        <v>6496</v>
      </c>
      <c r="D725" s="692" t="s">
        <v>6497</v>
      </c>
      <c r="E725" s="693"/>
      <c r="F725" s="701"/>
      <c r="G725" s="701"/>
      <c r="H725" s="701"/>
      <c r="I725" s="701"/>
      <c r="J725" s="701"/>
      <c r="K725" s="701"/>
      <c r="L725" s="701"/>
      <c r="M725" s="701"/>
      <c r="N725" s="701"/>
      <c r="O725" s="701"/>
      <c r="P725" s="701"/>
      <c r="Q725" s="701"/>
      <c r="R725" s="701"/>
      <c r="S725" s="701"/>
      <c r="T725" s="701"/>
      <c r="U725" s="701"/>
      <c r="V725" s="701"/>
      <c r="W725" s="701"/>
      <c r="X725" s="701"/>
      <c r="Y725" s="701"/>
      <c r="Z725" s="701"/>
      <c r="AA725" s="701"/>
      <c r="AB725" s="701"/>
    </row>
    <row r="726" spans="1:28" x14ac:dyDescent="0.2">
      <c r="A726" s="694" t="str">
        <f>+Info!$B$2</f>
        <v>724</v>
      </c>
      <c r="B726" s="694" t="s">
        <v>6498</v>
      </c>
      <c r="C726" s="694" t="s">
        <v>6499</v>
      </c>
      <c r="D726" s="695" t="s">
        <v>6500</v>
      </c>
      <c r="E726" s="696"/>
      <c r="F726" s="697"/>
      <c r="G726" s="697"/>
      <c r="H726" s="698"/>
      <c r="I726" s="697"/>
      <c r="J726" s="697"/>
      <c r="K726" s="697"/>
      <c r="L726" s="697"/>
      <c r="M726" s="697"/>
      <c r="N726" s="698"/>
      <c r="O726" s="697"/>
      <c r="P726" s="697"/>
      <c r="Q726" s="697"/>
      <c r="R726" s="697"/>
      <c r="S726" s="697"/>
      <c r="T726" s="697"/>
      <c r="U726" s="697"/>
      <c r="V726" s="698"/>
      <c r="W726" s="698"/>
      <c r="X726" s="697"/>
      <c r="Y726" s="697"/>
      <c r="Z726" s="697"/>
      <c r="AA726" s="697"/>
      <c r="AB726" s="697"/>
    </row>
    <row r="727" spans="1:28" x14ac:dyDescent="0.2">
      <c r="A727" s="694" t="str">
        <f>+Info!$B$2</f>
        <v>724</v>
      </c>
      <c r="B727" s="694" t="s">
        <v>6501</v>
      </c>
      <c r="C727" s="694" t="s">
        <v>6502</v>
      </c>
      <c r="D727" s="695" t="s">
        <v>6503</v>
      </c>
      <c r="E727" s="696"/>
      <c r="F727" s="697"/>
      <c r="G727" s="697"/>
      <c r="H727" s="698"/>
      <c r="I727" s="697"/>
      <c r="J727" s="697"/>
      <c r="K727" s="697"/>
      <c r="L727" s="697"/>
      <c r="M727" s="697"/>
      <c r="N727" s="698"/>
      <c r="O727" s="697"/>
      <c r="P727" s="697"/>
      <c r="Q727" s="697"/>
      <c r="R727" s="697"/>
      <c r="S727" s="697"/>
      <c r="T727" s="697"/>
      <c r="U727" s="697"/>
      <c r="V727" s="698"/>
      <c r="W727" s="698"/>
      <c r="X727" s="697"/>
      <c r="Y727" s="697"/>
      <c r="Z727" s="697"/>
      <c r="AA727" s="697"/>
      <c r="AB727" s="697"/>
    </row>
    <row r="728" spans="1:28" x14ac:dyDescent="0.2">
      <c r="A728" s="694" t="str">
        <f>+Info!$B$2</f>
        <v>724</v>
      </c>
      <c r="B728" s="694" t="s">
        <v>6504</v>
      </c>
      <c r="C728" s="694" t="s">
        <v>6505</v>
      </c>
      <c r="D728" s="695" t="s">
        <v>6506</v>
      </c>
      <c r="E728" s="696"/>
      <c r="F728" s="697"/>
      <c r="G728" s="697"/>
      <c r="H728" s="698"/>
      <c r="I728" s="697"/>
      <c r="J728" s="697"/>
      <c r="K728" s="697"/>
      <c r="L728" s="697"/>
      <c r="M728" s="697"/>
      <c r="N728" s="698"/>
      <c r="O728" s="697"/>
      <c r="P728" s="697"/>
      <c r="Q728" s="697"/>
      <c r="R728" s="697"/>
      <c r="S728" s="697"/>
      <c r="T728" s="697"/>
      <c r="U728" s="697"/>
      <c r="V728" s="698"/>
      <c r="W728" s="698"/>
      <c r="X728" s="697"/>
      <c r="Y728" s="697"/>
      <c r="Z728" s="697"/>
      <c r="AA728" s="697"/>
      <c r="AB728" s="697"/>
    </row>
    <row r="729" spans="1:28" ht="25.5" x14ac:dyDescent="0.2">
      <c r="A729" s="694" t="str">
        <f>+Info!$B$2</f>
        <v>724</v>
      </c>
      <c r="B729" s="694" t="s">
        <v>6507</v>
      </c>
      <c r="C729" s="694" t="s">
        <v>6508</v>
      </c>
      <c r="D729" s="695" t="s">
        <v>6509</v>
      </c>
      <c r="E729" s="696"/>
      <c r="F729" s="697"/>
      <c r="G729" s="697"/>
      <c r="H729" s="698"/>
      <c r="I729" s="697"/>
      <c r="J729" s="697"/>
      <c r="K729" s="697"/>
      <c r="L729" s="697"/>
      <c r="M729" s="697"/>
      <c r="N729" s="698"/>
      <c r="O729" s="697"/>
      <c r="P729" s="697"/>
      <c r="Q729" s="697"/>
      <c r="R729" s="697"/>
      <c r="S729" s="697"/>
      <c r="T729" s="697"/>
      <c r="U729" s="697"/>
      <c r="V729" s="698"/>
      <c r="W729" s="698"/>
      <c r="X729" s="697"/>
      <c r="Y729" s="697"/>
      <c r="Z729" s="697"/>
      <c r="AA729" s="697"/>
      <c r="AB729" s="697"/>
    </row>
    <row r="730" spans="1:28" ht="25.5" x14ac:dyDescent="0.2">
      <c r="A730" s="694" t="str">
        <f>+Info!$B$2</f>
        <v>724</v>
      </c>
      <c r="B730" s="694" t="s">
        <v>6510</v>
      </c>
      <c r="C730" s="694" t="s">
        <v>6511</v>
      </c>
      <c r="D730" s="695" t="s">
        <v>6512</v>
      </c>
      <c r="E730" s="696"/>
      <c r="F730" s="697"/>
      <c r="G730" s="697"/>
      <c r="H730" s="698"/>
      <c r="I730" s="697"/>
      <c r="J730" s="697"/>
      <c r="K730" s="697"/>
      <c r="L730" s="697"/>
      <c r="M730" s="697"/>
      <c r="N730" s="698"/>
      <c r="O730" s="697"/>
      <c r="P730" s="697"/>
      <c r="Q730" s="697"/>
      <c r="R730" s="697"/>
      <c r="S730" s="697"/>
      <c r="T730" s="697"/>
      <c r="U730" s="697"/>
      <c r="V730" s="698"/>
      <c r="W730" s="698"/>
      <c r="X730" s="697"/>
      <c r="Y730" s="697"/>
      <c r="Z730" s="697"/>
      <c r="AA730" s="697"/>
      <c r="AB730" s="697"/>
    </row>
    <row r="731" spans="1:28" x14ac:dyDescent="0.2">
      <c r="A731" s="694" t="str">
        <f>+Info!$B$2</f>
        <v>724</v>
      </c>
      <c r="B731" s="694" t="s">
        <v>6513</v>
      </c>
      <c r="C731" s="694" t="s">
        <v>6514</v>
      </c>
      <c r="D731" s="695" t="s">
        <v>6515</v>
      </c>
      <c r="E731" s="696"/>
      <c r="F731" s="697"/>
      <c r="G731" s="697"/>
      <c r="H731" s="698"/>
      <c r="I731" s="697"/>
      <c r="J731" s="697"/>
      <c r="K731" s="697"/>
      <c r="L731" s="697"/>
      <c r="M731" s="697"/>
      <c r="N731" s="698"/>
      <c r="O731" s="697"/>
      <c r="P731" s="697"/>
      <c r="Q731" s="697"/>
      <c r="R731" s="697"/>
      <c r="S731" s="697"/>
      <c r="T731" s="697"/>
      <c r="U731" s="697"/>
      <c r="V731" s="698"/>
      <c r="W731" s="698"/>
      <c r="X731" s="697"/>
      <c r="Y731" s="697"/>
      <c r="Z731" s="697"/>
      <c r="AA731" s="697"/>
      <c r="AB731" s="697"/>
    </row>
    <row r="732" spans="1:28" ht="25.5" x14ac:dyDescent="0.2">
      <c r="A732" s="694" t="str">
        <f>+Info!$B$2</f>
        <v>724</v>
      </c>
      <c r="B732" s="694" t="s">
        <v>6516</v>
      </c>
      <c r="C732" s="694" t="s">
        <v>6517</v>
      </c>
      <c r="D732" s="695" t="s">
        <v>6518</v>
      </c>
      <c r="E732" s="696"/>
      <c r="F732" s="697"/>
      <c r="G732" s="697"/>
      <c r="H732" s="698"/>
      <c r="I732" s="697"/>
      <c r="J732" s="697"/>
      <c r="K732" s="697"/>
      <c r="L732" s="697"/>
      <c r="M732" s="697"/>
      <c r="N732" s="698"/>
      <c r="O732" s="697"/>
      <c r="P732" s="697"/>
      <c r="Q732" s="697"/>
      <c r="R732" s="697"/>
      <c r="S732" s="697"/>
      <c r="T732" s="697"/>
      <c r="U732" s="697"/>
      <c r="V732" s="698"/>
      <c r="W732" s="698"/>
      <c r="X732" s="697"/>
      <c r="Y732" s="697"/>
      <c r="Z732" s="697"/>
      <c r="AA732" s="697"/>
      <c r="AB732" s="697"/>
    </row>
    <row r="733" spans="1:28" x14ac:dyDescent="0.2">
      <c r="A733" s="694" t="str">
        <f>+Info!$B$2</f>
        <v>724</v>
      </c>
      <c r="B733" s="694" t="s">
        <v>6519</v>
      </c>
      <c r="C733" s="694" t="s">
        <v>6520</v>
      </c>
      <c r="D733" s="695" t="s">
        <v>6521</v>
      </c>
      <c r="E733" s="696"/>
      <c r="F733" s="697"/>
      <c r="G733" s="697"/>
      <c r="H733" s="698"/>
      <c r="I733" s="697"/>
      <c r="J733" s="697"/>
      <c r="K733" s="697"/>
      <c r="L733" s="697"/>
      <c r="M733" s="697"/>
      <c r="N733" s="698"/>
      <c r="O733" s="697"/>
      <c r="P733" s="697"/>
      <c r="Q733" s="697"/>
      <c r="R733" s="697"/>
      <c r="S733" s="697"/>
      <c r="T733" s="697"/>
      <c r="U733" s="697"/>
      <c r="V733" s="698"/>
      <c r="W733" s="698"/>
      <c r="X733" s="697"/>
      <c r="Y733" s="697"/>
      <c r="Z733" s="697"/>
      <c r="AA733" s="697"/>
      <c r="AB733" s="697"/>
    </row>
    <row r="734" spans="1:28" ht="25.5" x14ac:dyDescent="0.2">
      <c r="A734" s="694" t="str">
        <f>+Info!$B$2</f>
        <v>724</v>
      </c>
      <c r="B734" s="694" t="s">
        <v>6522</v>
      </c>
      <c r="C734" s="694" t="s">
        <v>6523</v>
      </c>
      <c r="D734" s="695" t="s">
        <v>6524</v>
      </c>
      <c r="E734" s="696"/>
      <c r="F734" s="697"/>
      <c r="G734" s="697"/>
      <c r="H734" s="698"/>
      <c r="I734" s="697"/>
      <c r="J734" s="697"/>
      <c r="K734" s="697"/>
      <c r="L734" s="697"/>
      <c r="M734" s="697"/>
      <c r="N734" s="698"/>
      <c r="O734" s="697"/>
      <c r="P734" s="697"/>
      <c r="Q734" s="697"/>
      <c r="R734" s="697"/>
      <c r="S734" s="697"/>
      <c r="T734" s="697"/>
      <c r="U734" s="697"/>
      <c r="V734" s="698"/>
      <c r="W734" s="698"/>
      <c r="X734" s="697"/>
      <c r="Y734" s="697"/>
      <c r="Z734" s="697"/>
      <c r="AA734" s="697"/>
      <c r="AB734" s="697"/>
    </row>
    <row r="735" spans="1:28" x14ac:dyDescent="0.2">
      <c r="A735" s="694" t="str">
        <f>+Info!$B$2</f>
        <v>724</v>
      </c>
      <c r="B735" s="694" t="s">
        <v>6525</v>
      </c>
      <c r="C735" s="694" t="s">
        <v>6526</v>
      </c>
      <c r="D735" s="695" t="s">
        <v>6527</v>
      </c>
      <c r="E735" s="696"/>
      <c r="F735" s="697"/>
      <c r="G735" s="697"/>
      <c r="H735" s="698"/>
      <c r="I735" s="697"/>
      <c r="J735" s="697"/>
      <c r="K735" s="697"/>
      <c r="L735" s="697"/>
      <c r="M735" s="697"/>
      <c r="N735" s="698"/>
      <c r="O735" s="697"/>
      <c r="P735" s="697"/>
      <c r="Q735" s="697"/>
      <c r="R735" s="697"/>
      <c r="S735" s="697"/>
      <c r="T735" s="697"/>
      <c r="U735" s="697"/>
      <c r="V735" s="698"/>
      <c r="W735" s="698"/>
      <c r="X735" s="697"/>
      <c r="Y735" s="697"/>
      <c r="Z735" s="697"/>
      <c r="AA735" s="697"/>
      <c r="AB735" s="697"/>
    </row>
    <row r="736" spans="1:28" x14ac:dyDescent="0.2">
      <c r="A736" s="694" t="str">
        <f>+Info!$B$2</f>
        <v>724</v>
      </c>
      <c r="B736" s="694" t="s">
        <v>6528</v>
      </c>
      <c r="C736" s="694" t="s">
        <v>6529</v>
      </c>
      <c r="D736" s="695" t="s">
        <v>6530</v>
      </c>
      <c r="E736" s="696"/>
      <c r="F736" s="697"/>
      <c r="G736" s="697"/>
      <c r="H736" s="698"/>
      <c r="I736" s="697"/>
      <c r="J736" s="697"/>
      <c r="K736" s="697"/>
      <c r="L736" s="697"/>
      <c r="M736" s="697"/>
      <c r="N736" s="698"/>
      <c r="O736" s="697"/>
      <c r="P736" s="697"/>
      <c r="Q736" s="697"/>
      <c r="R736" s="697"/>
      <c r="S736" s="697"/>
      <c r="T736" s="697"/>
      <c r="U736" s="697"/>
      <c r="V736" s="698"/>
      <c r="W736" s="698"/>
      <c r="X736" s="697"/>
      <c r="Y736" s="697"/>
      <c r="Z736" s="697"/>
      <c r="AA736" s="697"/>
      <c r="AB736" s="697"/>
    </row>
    <row r="737" spans="1:28" x14ac:dyDescent="0.2">
      <c r="A737" s="694" t="str">
        <f>+Info!$B$2</f>
        <v>724</v>
      </c>
      <c r="B737" s="694" t="s">
        <v>6531</v>
      </c>
      <c r="C737" s="694" t="s">
        <v>6532</v>
      </c>
      <c r="D737" s="695" t="s">
        <v>6533</v>
      </c>
      <c r="E737" s="696"/>
      <c r="F737" s="697"/>
      <c r="G737" s="697"/>
      <c r="H737" s="698"/>
      <c r="I737" s="697"/>
      <c r="J737" s="697"/>
      <c r="K737" s="697"/>
      <c r="L737" s="697"/>
      <c r="M737" s="697"/>
      <c r="N737" s="698"/>
      <c r="O737" s="697"/>
      <c r="P737" s="697"/>
      <c r="Q737" s="697"/>
      <c r="R737" s="697"/>
      <c r="S737" s="697"/>
      <c r="T737" s="697"/>
      <c r="U737" s="697"/>
      <c r="V737" s="698"/>
      <c r="W737" s="698"/>
      <c r="X737" s="697"/>
      <c r="Y737" s="697"/>
      <c r="Z737" s="697"/>
      <c r="AA737" s="697"/>
      <c r="AB737" s="697"/>
    </row>
    <row r="738" spans="1:28" x14ac:dyDescent="0.2">
      <c r="A738" s="694" t="str">
        <f>+Info!$B$2</f>
        <v>724</v>
      </c>
      <c r="B738" s="694" t="s">
        <v>6534</v>
      </c>
      <c r="C738" s="694" t="s">
        <v>4304</v>
      </c>
      <c r="D738" s="695" t="s">
        <v>6535</v>
      </c>
      <c r="E738" s="696"/>
      <c r="F738" s="697"/>
      <c r="G738" s="697"/>
      <c r="H738" s="698"/>
      <c r="I738" s="697"/>
      <c r="J738" s="697"/>
      <c r="K738" s="697"/>
      <c r="L738" s="697"/>
      <c r="M738" s="697"/>
      <c r="N738" s="698"/>
      <c r="O738" s="697"/>
      <c r="P738" s="697"/>
      <c r="Q738" s="697"/>
      <c r="R738" s="697"/>
      <c r="S738" s="697"/>
      <c r="T738" s="697"/>
      <c r="U738" s="697"/>
      <c r="V738" s="698"/>
      <c r="W738" s="698"/>
      <c r="X738" s="697"/>
      <c r="Y738" s="697"/>
      <c r="Z738" s="697"/>
      <c r="AA738" s="697"/>
      <c r="AB738" s="697"/>
    </row>
    <row r="739" spans="1:28" x14ac:dyDescent="0.2">
      <c r="A739" s="694" t="str">
        <f>+Info!$B$2</f>
        <v>724</v>
      </c>
      <c r="B739" s="694" t="s">
        <v>6536</v>
      </c>
      <c r="C739" s="694" t="s">
        <v>6537</v>
      </c>
      <c r="D739" s="695" t="s">
        <v>6538</v>
      </c>
      <c r="E739" s="696"/>
      <c r="F739" s="697"/>
      <c r="G739" s="697"/>
      <c r="H739" s="698"/>
      <c r="I739" s="697"/>
      <c r="J739" s="697"/>
      <c r="K739" s="697"/>
      <c r="L739" s="697"/>
      <c r="M739" s="697"/>
      <c r="N739" s="698"/>
      <c r="O739" s="697"/>
      <c r="P739" s="697"/>
      <c r="Q739" s="697"/>
      <c r="R739" s="697"/>
      <c r="S739" s="697"/>
      <c r="T739" s="697"/>
      <c r="U739" s="697"/>
      <c r="V739" s="698"/>
      <c r="W739" s="698"/>
      <c r="X739" s="697"/>
      <c r="Y739" s="697"/>
      <c r="Z739" s="697"/>
      <c r="AA739" s="697"/>
      <c r="AB739" s="697"/>
    </row>
    <row r="740" spans="1:28" x14ac:dyDescent="0.2">
      <c r="A740" s="694" t="str">
        <f>+Info!$B$2</f>
        <v>724</v>
      </c>
      <c r="B740" s="694" t="s">
        <v>6539</v>
      </c>
      <c r="C740" s="694" t="s">
        <v>6540</v>
      </c>
      <c r="D740" s="695" t="s">
        <v>6541</v>
      </c>
      <c r="E740" s="696"/>
      <c r="F740" s="697"/>
      <c r="G740" s="697"/>
      <c r="H740" s="698"/>
      <c r="I740" s="697"/>
      <c r="J740" s="697"/>
      <c r="K740" s="697"/>
      <c r="L740" s="697"/>
      <c r="M740" s="697"/>
      <c r="N740" s="698"/>
      <c r="O740" s="697"/>
      <c r="P740" s="697"/>
      <c r="Q740" s="697"/>
      <c r="R740" s="697"/>
      <c r="S740" s="697"/>
      <c r="T740" s="697"/>
      <c r="U740" s="697"/>
      <c r="V740" s="698"/>
      <c r="W740" s="698"/>
      <c r="X740" s="697"/>
      <c r="Y740" s="697"/>
      <c r="Z740" s="697"/>
      <c r="AA740" s="697"/>
      <c r="AB740" s="697"/>
    </row>
    <row r="741" spans="1:28" ht="15" x14ac:dyDescent="0.25">
      <c r="A741" s="691" t="str">
        <f>+Info!$B$2</f>
        <v>724</v>
      </c>
      <c r="B741" s="691" t="s">
        <v>2025</v>
      </c>
      <c r="C741" s="691" t="s">
        <v>6542</v>
      </c>
      <c r="D741" s="692" t="s">
        <v>6543</v>
      </c>
      <c r="E741" s="693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1"/>
      <c r="X741" s="701"/>
      <c r="Y741" s="701"/>
      <c r="Z741" s="701"/>
      <c r="AA741" s="701"/>
      <c r="AB741" s="701"/>
    </row>
    <row r="742" spans="1:28" ht="15" x14ac:dyDescent="0.25">
      <c r="A742" s="691" t="str">
        <f>+Info!$B$2</f>
        <v>724</v>
      </c>
      <c r="B742" s="691" t="s">
        <v>6544</v>
      </c>
      <c r="C742" s="691" t="s">
        <v>6545</v>
      </c>
      <c r="D742" s="692" t="s">
        <v>6546</v>
      </c>
      <c r="E742" s="693"/>
      <c r="F742" s="701"/>
      <c r="G742" s="701"/>
      <c r="H742" s="701"/>
      <c r="I742" s="701"/>
      <c r="J742" s="701"/>
      <c r="K742" s="701"/>
      <c r="L742" s="701"/>
      <c r="M742" s="701"/>
      <c r="N742" s="701"/>
      <c r="O742" s="701"/>
      <c r="P742" s="701"/>
      <c r="Q742" s="701"/>
      <c r="R742" s="701"/>
      <c r="S742" s="701"/>
      <c r="T742" s="701"/>
      <c r="U742" s="701"/>
      <c r="V742" s="701"/>
      <c r="W742" s="701"/>
      <c r="X742" s="701"/>
      <c r="Y742" s="701"/>
      <c r="Z742" s="701"/>
      <c r="AA742" s="701"/>
      <c r="AB742" s="701"/>
    </row>
    <row r="743" spans="1:28" x14ac:dyDescent="0.2">
      <c r="A743" s="694" t="str">
        <f>+Info!$B$2</f>
        <v>724</v>
      </c>
      <c r="B743" s="694" t="s">
        <v>6547</v>
      </c>
      <c r="C743" s="694" t="s">
        <v>6548</v>
      </c>
      <c r="D743" s="695" t="s">
        <v>6549</v>
      </c>
      <c r="E743" s="696"/>
      <c r="F743" s="697"/>
      <c r="G743" s="697"/>
      <c r="H743" s="698"/>
      <c r="I743" s="697"/>
      <c r="J743" s="697"/>
      <c r="K743" s="697"/>
      <c r="L743" s="697"/>
      <c r="M743" s="697"/>
      <c r="N743" s="698"/>
      <c r="O743" s="697"/>
      <c r="P743" s="697"/>
      <c r="Q743" s="697"/>
      <c r="R743" s="697"/>
      <c r="S743" s="697"/>
      <c r="T743" s="697"/>
      <c r="U743" s="697"/>
      <c r="V743" s="698"/>
      <c r="W743" s="698"/>
      <c r="X743" s="697"/>
      <c r="Y743" s="697"/>
      <c r="Z743" s="697"/>
      <c r="AA743" s="697"/>
      <c r="AB743" s="697"/>
    </row>
    <row r="744" spans="1:28" x14ac:dyDescent="0.2">
      <c r="A744" s="694" t="str">
        <f>+Info!$B$2</f>
        <v>724</v>
      </c>
      <c r="B744" s="694" t="s">
        <v>6550</v>
      </c>
      <c r="C744" s="694" t="s">
        <v>6551</v>
      </c>
      <c r="D744" s="695" t="s">
        <v>6552</v>
      </c>
      <c r="E744" s="696"/>
      <c r="F744" s="697"/>
      <c r="G744" s="697"/>
      <c r="H744" s="698"/>
      <c r="I744" s="697"/>
      <c r="J744" s="697"/>
      <c r="K744" s="697"/>
      <c r="L744" s="697"/>
      <c r="M744" s="697"/>
      <c r="N744" s="698"/>
      <c r="O744" s="697"/>
      <c r="P744" s="697"/>
      <c r="Q744" s="697"/>
      <c r="R744" s="697"/>
      <c r="S744" s="697"/>
      <c r="T744" s="697"/>
      <c r="U744" s="697"/>
      <c r="V744" s="698"/>
      <c r="W744" s="698"/>
      <c r="X744" s="697"/>
      <c r="Y744" s="697"/>
      <c r="Z744" s="697"/>
      <c r="AA744" s="697"/>
      <c r="AB744" s="697"/>
    </row>
    <row r="745" spans="1:28" x14ac:dyDescent="0.2">
      <c r="A745" s="694" t="str">
        <f>+Info!$B$2</f>
        <v>724</v>
      </c>
      <c r="B745" s="694" t="s">
        <v>6553</v>
      </c>
      <c r="C745" s="694" t="s">
        <v>6554</v>
      </c>
      <c r="D745" s="695" t="s">
        <v>6555</v>
      </c>
      <c r="E745" s="696"/>
      <c r="F745" s="697"/>
      <c r="G745" s="697"/>
      <c r="H745" s="698"/>
      <c r="I745" s="697"/>
      <c r="J745" s="697"/>
      <c r="K745" s="697"/>
      <c r="L745" s="697"/>
      <c r="M745" s="697"/>
      <c r="N745" s="698"/>
      <c r="O745" s="697"/>
      <c r="P745" s="697"/>
      <c r="Q745" s="697"/>
      <c r="R745" s="697"/>
      <c r="S745" s="697"/>
      <c r="T745" s="697"/>
      <c r="U745" s="697"/>
      <c r="V745" s="698"/>
      <c r="W745" s="698"/>
      <c r="X745" s="697"/>
      <c r="Y745" s="697"/>
      <c r="Z745" s="697"/>
      <c r="AA745" s="697"/>
      <c r="AB745" s="697"/>
    </row>
    <row r="746" spans="1:28" x14ac:dyDescent="0.2">
      <c r="A746" s="694" t="str">
        <f>+Info!$B$2</f>
        <v>724</v>
      </c>
      <c r="B746" s="694" t="s">
        <v>6556</v>
      </c>
      <c r="C746" s="694" t="s">
        <v>6557</v>
      </c>
      <c r="D746" s="695" t="s">
        <v>6558</v>
      </c>
      <c r="E746" s="696"/>
      <c r="F746" s="697"/>
      <c r="G746" s="697"/>
      <c r="H746" s="698"/>
      <c r="I746" s="697"/>
      <c r="J746" s="697"/>
      <c r="K746" s="697"/>
      <c r="L746" s="697"/>
      <c r="M746" s="697"/>
      <c r="N746" s="698"/>
      <c r="O746" s="697"/>
      <c r="P746" s="697"/>
      <c r="Q746" s="697"/>
      <c r="R746" s="697"/>
      <c r="S746" s="697"/>
      <c r="T746" s="697"/>
      <c r="U746" s="697"/>
      <c r="V746" s="698"/>
      <c r="W746" s="698"/>
      <c r="X746" s="697"/>
      <c r="Y746" s="697"/>
      <c r="Z746" s="697"/>
      <c r="AA746" s="697"/>
      <c r="AB746" s="697"/>
    </row>
    <row r="747" spans="1:28" x14ac:dyDescent="0.2">
      <c r="A747" s="694" t="str">
        <f>+Info!$B$2</f>
        <v>724</v>
      </c>
      <c r="B747" s="694" t="s">
        <v>6559</v>
      </c>
      <c r="C747" s="694" t="s">
        <v>6560</v>
      </c>
      <c r="D747" s="695" t="s">
        <v>6561</v>
      </c>
      <c r="E747" s="696"/>
      <c r="F747" s="697"/>
      <c r="G747" s="697"/>
      <c r="H747" s="698"/>
      <c r="I747" s="697"/>
      <c r="J747" s="697"/>
      <c r="K747" s="697"/>
      <c r="L747" s="697"/>
      <c r="M747" s="697"/>
      <c r="N747" s="698"/>
      <c r="O747" s="697"/>
      <c r="P747" s="697"/>
      <c r="Q747" s="697"/>
      <c r="R747" s="697"/>
      <c r="S747" s="697"/>
      <c r="T747" s="697"/>
      <c r="U747" s="697"/>
      <c r="V747" s="698"/>
      <c r="W747" s="698"/>
      <c r="X747" s="697"/>
      <c r="Y747" s="697"/>
      <c r="Z747" s="697"/>
      <c r="AA747" s="697"/>
      <c r="AB747" s="697"/>
    </row>
    <row r="748" spans="1:28" x14ac:dyDescent="0.2">
      <c r="A748" s="694" t="str">
        <f>+Info!$B$2</f>
        <v>724</v>
      </c>
      <c r="B748" s="694" t="s">
        <v>6562</v>
      </c>
      <c r="C748" s="694" t="s">
        <v>6563</v>
      </c>
      <c r="D748" s="695" t="s">
        <v>6564</v>
      </c>
      <c r="E748" s="696"/>
      <c r="F748" s="697"/>
      <c r="G748" s="697"/>
      <c r="H748" s="698"/>
      <c r="I748" s="697"/>
      <c r="J748" s="697"/>
      <c r="K748" s="697"/>
      <c r="L748" s="697"/>
      <c r="M748" s="697"/>
      <c r="N748" s="698"/>
      <c r="O748" s="697"/>
      <c r="P748" s="697"/>
      <c r="Q748" s="697"/>
      <c r="R748" s="697"/>
      <c r="S748" s="697"/>
      <c r="T748" s="697"/>
      <c r="U748" s="697"/>
      <c r="V748" s="698"/>
      <c r="W748" s="698"/>
      <c r="X748" s="697"/>
      <c r="Y748" s="697"/>
      <c r="Z748" s="697"/>
      <c r="AA748" s="697"/>
      <c r="AB748" s="697"/>
    </row>
    <row r="749" spans="1:28" x14ac:dyDescent="0.2">
      <c r="A749" s="694" t="str">
        <f>+Info!$B$2</f>
        <v>724</v>
      </c>
      <c r="B749" s="694" t="s">
        <v>6565</v>
      </c>
      <c r="C749" s="694" t="s">
        <v>6566</v>
      </c>
      <c r="D749" s="695" t="s">
        <v>6567</v>
      </c>
      <c r="E749" s="696"/>
      <c r="F749" s="697"/>
      <c r="G749" s="697"/>
      <c r="H749" s="698"/>
      <c r="I749" s="697"/>
      <c r="J749" s="697"/>
      <c r="K749" s="697"/>
      <c r="L749" s="697"/>
      <c r="M749" s="697"/>
      <c r="N749" s="698"/>
      <c r="O749" s="697"/>
      <c r="P749" s="697"/>
      <c r="Q749" s="697"/>
      <c r="R749" s="697"/>
      <c r="S749" s="697"/>
      <c r="T749" s="697"/>
      <c r="U749" s="697"/>
      <c r="V749" s="698"/>
      <c r="W749" s="698"/>
      <c r="X749" s="697"/>
      <c r="Y749" s="697"/>
      <c r="Z749" s="697"/>
      <c r="AA749" s="697"/>
      <c r="AB749" s="697"/>
    </row>
    <row r="750" spans="1:28" x14ac:dyDescent="0.2">
      <c r="A750" s="694" t="str">
        <f>+Info!$B$2</f>
        <v>724</v>
      </c>
      <c r="B750" s="694" t="s">
        <v>6568</v>
      </c>
      <c r="C750" s="694" t="s">
        <v>6569</v>
      </c>
      <c r="D750" s="695" t="s">
        <v>6570</v>
      </c>
      <c r="E750" s="696"/>
      <c r="F750" s="697"/>
      <c r="G750" s="697"/>
      <c r="H750" s="698"/>
      <c r="I750" s="697"/>
      <c r="J750" s="697"/>
      <c r="K750" s="697"/>
      <c r="L750" s="697"/>
      <c r="M750" s="697"/>
      <c r="N750" s="698"/>
      <c r="O750" s="697"/>
      <c r="P750" s="697"/>
      <c r="Q750" s="697"/>
      <c r="R750" s="697"/>
      <c r="S750" s="697"/>
      <c r="T750" s="697"/>
      <c r="U750" s="697"/>
      <c r="V750" s="698"/>
      <c r="W750" s="698"/>
      <c r="X750" s="697"/>
      <c r="Y750" s="697"/>
      <c r="Z750" s="697"/>
      <c r="AA750" s="697"/>
      <c r="AB750" s="697"/>
    </row>
    <row r="751" spans="1:28" ht="15" x14ac:dyDescent="0.25">
      <c r="A751" s="691" t="str">
        <f>+Info!$B$2</f>
        <v>724</v>
      </c>
      <c r="B751" s="691" t="s">
        <v>6571</v>
      </c>
      <c r="C751" s="691" t="s">
        <v>6572</v>
      </c>
      <c r="D751" s="692" t="s">
        <v>6573</v>
      </c>
      <c r="E751" s="693"/>
      <c r="F751" s="701"/>
      <c r="G751" s="701"/>
      <c r="H751" s="701"/>
      <c r="I751" s="701"/>
      <c r="J751" s="701"/>
      <c r="K751" s="701"/>
      <c r="L751" s="701"/>
      <c r="M751" s="701"/>
      <c r="N751" s="701"/>
      <c r="O751" s="701"/>
      <c r="P751" s="701"/>
      <c r="Q751" s="701"/>
      <c r="R751" s="701"/>
      <c r="S751" s="701"/>
      <c r="T751" s="701"/>
      <c r="U751" s="701"/>
      <c r="V751" s="701"/>
      <c r="W751" s="701"/>
      <c r="X751" s="701"/>
      <c r="Y751" s="701"/>
      <c r="Z751" s="701"/>
      <c r="AA751" s="701"/>
      <c r="AB751" s="701"/>
    </row>
    <row r="752" spans="1:28" x14ac:dyDescent="0.2">
      <c r="A752" s="694" t="str">
        <f>+Info!$B$2</f>
        <v>724</v>
      </c>
      <c r="B752" s="694" t="s">
        <v>6574</v>
      </c>
      <c r="C752" s="694" t="s">
        <v>6575</v>
      </c>
      <c r="D752" s="695" t="s">
        <v>6576</v>
      </c>
      <c r="E752" s="696"/>
      <c r="F752" s="697"/>
      <c r="G752" s="697"/>
      <c r="H752" s="698"/>
      <c r="I752" s="697"/>
      <c r="J752" s="697"/>
      <c r="K752" s="697"/>
      <c r="L752" s="697"/>
      <c r="M752" s="697"/>
      <c r="N752" s="698"/>
      <c r="O752" s="697"/>
      <c r="P752" s="697"/>
      <c r="Q752" s="697"/>
      <c r="R752" s="697"/>
      <c r="S752" s="697"/>
      <c r="T752" s="697"/>
      <c r="U752" s="697"/>
      <c r="V752" s="698"/>
      <c r="W752" s="698"/>
      <c r="X752" s="697"/>
      <c r="Y752" s="697"/>
      <c r="Z752" s="697"/>
      <c r="AA752" s="697"/>
      <c r="AB752" s="697"/>
    </row>
    <row r="753" spans="1:28" x14ac:dyDescent="0.2">
      <c r="A753" s="694" t="str">
        <f>+Info!$B$2</f>
        <v>724</v>
      </c>
      <c r="B753" s="694" t="s">
        <v>6577</v>
      </c>
      <c r="C753" s="694" t="s">
        <v>6578</v>
      </c>
      <c r="D753" s="695" t="s">
        <v>6579</v>
      </c>
      <c r="E753" s="696"/>
      <c r="F753" s="697"/>
      <c r="G753" s="697"/>
      <c r="H753" s="698"/>
      <c r="I753" s="697"/>
      <c r="J753" s="697"/>
      <c r="K753" s="697"/>
      <c r="L753" s="697"/>
      <c r="M753" s="697"/>
      <c r="N753" s="698"/>
      <c r="O753" s="697"/>
      <c r="P753" s="697"/>
      <c r="Q753" s="697"/>
      <c r="R753" s="697"/>
      <c r="S753" s="697"/>
      <c r="T753" s="697"/>
      <c r="U753" s="697"/>
      <c r="V753" s="698"/>
      <c r="W753" s="698"/>
      <c r="X753" s="697"/>
      <c r="Y753" s="697"/>
      <c r="Z753" s="697"/>
      <c r="AA753" s="697"/>
      <c r="AB753" s="697"/>
    </row>
    <row r="754" spans="1:28" x14ac:dyDescent="0.2">
      <c r="A754" s="694" t="str">
        <f>+Info!$B$2</f>
        <v>724</v>
      </c>
      <c r="B754" s="694" t="s">
        <v>6580</v>
      </c>
      <c r="C754" s="694" t="s">
        <v>6581</v>
      </c>
      <c r="D754" s="695" t="s">
        <v>6582</v>
      </c>
      <c r="E754" s="696"/>
      <c r="F754" s="697"/>
      <c r="G754" s="697"/>
      <c r="H754" s="698"/>
      <c r="I754" s="697"/>
      <c r="J754" s="697"/>
      <c r="K754" s="697"/>
      <c r="L754" s="697"/>
      <c r="M754" s="697"/>
      <c r="N754" s="698"/>
      <c r="O754" s="697"/>
      <c r="P754" s="697"/>
      <c r="Q754" s="697"/>
      <c r="R754" s="697"/>
      <c r="S754" s="697"/>
      <c r="T754" s="697"/>
      <c r="U754" s="697"/>
      <c r="V754" s="698"/>
      <c r="W754" s="698"/>
      <c r="X754" s="697"/>
      <c r="Y754" s="697"/>
      <c r="Z754" s="697"/>
      <c r="AA754" s="697"/>
      <c r="AB754" s="697"/>
    </row>
    <row r="755" spans="1:28" x14ac:dyDescent="0.2">
      <c r="A755" s="694" t="str">
        <f>+Info!$B$2</f>
        <v>724</v>
      </c>
      <c r="B755" s="694" t="s">
        <v>6583</v>
      </c>
      <c r="C755" s="694" t="s">
        <v>6584</v>
      </c>
      <c r="D755" s="695" t="s">
        <v>6585</v>
      </c>
      <c r="E755" s="696"/>
      <c r="F755" s="697"/>
      <c r="G755" s="697"/>
      <c r="H755" s="698"/>
      <c r="I755" s="697"/>
      <c r="J755" s="697"/>
      <c r="K755" s="697"/>
      <c r="L755" s="697"/>
      <c r="M755" s="697"/>
      <c r="N755" s="698"/>
      <c r="O755" s="697"/>
      <c r="P755" s="697"/>
      <c r="Q755" s="697"/>
      <c r="R755" s="697"/>
      <c r="S755" s="697"/>
      <c r="T755" s="697"/>
      <c r="U755" s="697"/>
      <c r="V755" s="698"/>
      <c r="W755" s="698"/>
      <c r="X755" s="697"/>
      <c r="Y755" s="697"/>
      <c r="Z755" s="697"/>
      <c r="AA755" s="697"/>
      <c r="AB755" s="697"/>
    </row>
    <row r="756" spans="1:28" x14ac:dyDescent="0.2">
      <c r="A756" s="694" t="str">
        <f>+Info!$B$2</f>
        <v>724</v>
      </c>
      <c r="B756" s="694" t="s">
        <v>6586</v>
      </c>
      <c r="C756" s="694" t="s">
        <v>6587</v>
      </c>
      <c r="D756" s="695" t="s">
        <v>6588</v>
      </c>
      <c r="E756" s="696"/>
      <c r="F756" s="697"/>
      <c r="G756" s="697"/>
      <c r="H756" s="698"/>
      <c r="I756" s="697"/>
      <c r="J756" s="697"/>
      <c r="K756" s="697"/>
      <c r="L756" s="697"/>
      <c r="M756" s="697"/>
      <c r="N756" s="698"/>
      <c r="O756" s="697"/>
      <c r="P756" s="697"/>
      <c r="Q756" s="697"/>
      <c r="R756" s="697"/>
      <c r="S756" s="697"/>
      <c r="T756" s="697"/>
      <c r="U756" s="697"/>
      <c r="V756" s="698"/>
      <c r="W756" s="698"/>
      <c r="X756" s="697"/>
      <c r="Y756" s="697"/>
      <c r="Z756" s="697"/>
      <c r="AA756" s="697"/>
      <c r="AB756" s="697"/>
    </row>
    <row r="757" spans="1:28" ht="15" x14ac:dyDescent="0.25">
      <c r="A757" s="691" t="str">
        <f>+Info!$B$2</f>
        <v>724</v>
      </c>
      <c r="B757" s="691" t="s">
        <v>6589</v>
      </c>
      <c r="C757" s="691" t="s">
        <v>6590</v>
      </c>
      <c r="D757" s="692" t="s">
        <v>6591</v>
      </c>
      <c r="E757" s="693"/>
      <c r="F757" s="701"/>
      <c r="G757" s="701"/>
      <c r="H757" s="701"/>
      <c r="I757" s="701"/>
      <c r="J757" s="701"/>
      <c r="K757" s="701"/>
      <c r="L757" s="701"/>
      <c r="M757" s="701"/>
      <c r="N757" s="701"/>
      <c r="O757" s="701"/>
      <c r="P757" s="701"/>
      <c r="Q757" s="701"/>
      <c r="R757" s="701"/>
      <c r="S757" s="701"/>
      <c r="T757" s="701"/>
      <c r="U757" s="701"/>
      <c r="V757" s="701"/>
      <c r="W757" s="701"/>
      <c r="X757" s="701"/>
      <c r="Y757" s="701"/>
      <c r="Z757" s="701"/>
      <c r="AA757" s="701"/>
      <c r="AB757" s="701"/>
    </row>
    <row r="758" spans="1:28" ht="15" x14ac:dyDescent="0.25">
      <c r="A758" s="691" t="str">
        <f>+Info!$B$2</f>
        <v>724</v>
      </c>
      <c r="B758" s="691" t="s">
        <v>6592</v>
      </c>
      <c r="C758" s="691" t="s">
        <v>6593</v>
      </c>
      <c r="D758" s="692" t="s">
        <v>6594</v>
      </c>
      <c r="E758" s="693"/>
      <c r="F758" s="701"/>
      <c r="G758" s="701"/>
      <c r="H758" s="701"/>
      <c r="I758" s="701"/>
      <c r="J758" s="701"/>
      <c r="K758" s="701"/>
      <c r="L758" s="701"/>
      <c r="M758" s="701"/>
      <c r="N758" s="701"/>
      <c r="O758" s="701"/>
      <c r="P758" s="701"/>
      <c r="Q758" s="701"/>
      <c r="R758" s="701"/>
      <c r="S758" s="701"/>
      <c r="T758" s="701"/>
      <c r="U758" s="701"/>
      <c r="V758" s="701"/>
      <c r="W758" s="701"/>
      <c r="X758" s="701"/>
      <c r="Y758" s="701"/>
      <c r="Z758" s="701"/>
      <c r="AA758" s="701"/>
      <c r="AB758" s="701"/>
    </row>
    <row r="759" spans="1:28" x14ac:dyDescent="0.2">
      <c r="A759" s="694" t="str">
        <f>+Info!$B$2</f>
        <v>724</v>
      </c>
      <c r="B759" s="694" t="s">
        <v>6595</v>
      </c>
      <c r="C759" s="694" t="s">
        <v>6596</v>
      </c>
      <c r="D759" s="695" t="s">
        <v>6597</v>
      </c>
      <c r="E759" s="696"/>
      <c r="F759" s="697"/>
      <c r="G759" s="697"/>
      <c r="H759" s="698"/>
      <c r="I759" s="697"/>
      <c r="J759" s="697"/>
      <c r="K759" s="697"/>
      <c r="L759" s="697"/>
      <c r="M759" s="697"/>
      <c r="N759" s="698"/>
      <c r="O759" s="697"/>
      <c r="P759" s="697"/>
      <c r="Q759" s="697"/>
      <c r="R759" s="697"/>
      <c r="S759" s="697"/>
      <c r="T759" s="697"/>
      <c r="U759" s="697"/>
      <c r="V759" s="698"/>
      <c r="W759" s="698"/>
      <c r="X759" s="697"/>
      <c r="Y759" s="697"/>
      <c r="Z759" s="697"/>
      <c r="AA759" s="697"/>
      <c r="AB759" s="697"/>
    </row>
    <row r="760" spans="1:28" x14ac:dyDescent="0.2">
      <c r="A760" s="694" t="str">
        <f>+Info!$B$2</f>
        <v>724</v>
      </c>
      <c r="B760" s="694" t="s">
        <v>6598</v>
      </c>
      <c r="C760" s="694" t="s">
        <v>6599</v>
      </c>
      <c r="D760" s="695" t="s">
        <v>6600</v>
      </c>
      <c r="E760" s="696"/>
      <c r="F760" s="697"/>
      <c r="G760" s="697"/>
      <c r="H760" s="698"/>
      <c r="I760" s="697"/>
      <c r="J760" s="697"/>
      <c r="K760" s="697"/>
      <c r="L760" s="697"/>
      <c r="M760" s="697"/>
      <c r="N760" s="698"/>
      <c r="O760" s="697"/>
      <c r="P760" s="697"/>
      <c r="Q760" s="697"/>
      <c r="R760" s="697"/>
      <c r="S760" s="697"/>
      <c r="T760" s="697"/>
      <c r="U760" s="697"/>
      <c r="V760" s="698"/>
      <c r="W760" s="698"/>
      <c r="X760" s="697"/>
      <c r="Y760" s="697"/>
      <c r="Z760" s="697"/>
      <c r="AA760" s="697"/>
      <c r="AB760" s="697"/>
    </row>
    <row r="761" spans="1:28" x14ac:dyDescent="0.2">
      <c r="A761" s="694" t="str">
        <f>+Info!$B$2</f>
        <v>724</v>
      </c>
      <c r="B761" s="694" t="s">
        <v>6601</v>
      </c>
      <c r="C761" s="694" t="s">
        <v>6602</v>
      </c>
      <c r="D761" s="695" t="s">
        <v>6603</v>
      </c>
      <c r="E761" s="696"/>
      <c r="F761" s="697"/>
      <c r="G761" s="697"/>
      <c r="H761" s="698"/>
      <c r="I761" s="697"/>
      <c r="J761" s="697"/>
      <c r="K761" s="697"/>
      <c r="L761" s="697"/>
      <c r="M761" s="697"/>
      <c r="N761" s="698"/>
      <c r="O761" s="697"/>
      <c r="P761" s="697"/>
      <c r="Q761" s="697"/>
      <c r="R761" s="697"/>
      <c r="S761" s="697"/>
      <c r="T761" s="697"/>
      <c r="U761" s="697"/>
      <c r="V761" s="698"/>
      <c r="W761" s="698"/>
      <c r="X761" s="697"/>
      <c r="Y761" s="697"/>
      <c r="Z761" s="697"/>
      <c r="AA761" s="697"/>
      <c r="AB761" s="697"/>
    </row>
    <row r="762" spans="1:28" x14ac:dyDescent="0.2">
      <c r="A762" s="694" t="str">
        <f>+Info!$B$2</f>
        <v>724</v>
      </c>
      <c r="B762" s="694" t="s">
        <v>6604</v>
      </c>
      <c r="C762" s="694" t="s">
        <v>6605</v>
      </c>
      <c r="D762" s="695" t="s">
        <v>6606</v>
      </c>
      <c r="E762" s="696"/>
      <c r="F762" s="697"/>
      <c r="G762" s="697"/>
      <c r="H762" s="698"/>
      <c r="I762" s="697"/>
      <c r="J762" s="697"/>
      <c r="K762" s="697"/>
      <c r="L762" s="697"/>
      <c r="M762" s="697"/>
      <c r="N762" s="698"/>
      <c r="O762" s="697"/>
      <c r="P762" s="697"/>
      <c r="Q762" s="697"/>
      <c r="R762" s="697"/>
      <c r="S762" s="697"/>
      <c r="T762" s="697"/>
      <c r="U762" s="697"/>
      <c r="V762" s="698"/>
      <c r="W762" s="698"/>
      <c r="X762" s="697"/>
      <c r="Y762" s="697"/>
      <c r="Z762" s="697"/>
      <c r="AA762" s="697"/>
      <c r="AB762" s="697"/>
    </row>
    <row r="763" spans="1:28" x14ac:dyDescent="0.2">
      <c r="A763" s="694" t="str">
        <f>+Info!$B$2</f>
        <v>724</v>
      </c>
      <c r="B763" s="694" t="s">
        <v>6607</v>
      </c>
      <c r="C763" s="694" t="s">
        <v>6608</v>
      </c>
      <c r="D763" s="695" t="s">
        <v>6609</v>
      </c>
      <c r="E763" s="696"/>
      <c r="F763" s="697"/>
      <c r="G763" s="697"/>
      <c r="H763" s="698"/>
      <c r="I763" s="697"/>
      <c r="J763" s="697"/>
      <c r="K763" s="697"/>
      <c r="L763" s="697"/>
      <c r="M763" s="697"/>
      <c r="N763" s="698"/>
      <c r="O763" s="697"/>
      <c r="P763" s="697"/>
      <c r="Q763" s="697"/>
      <c r="R763" s="697"/>
      <c r="S763" s="697"/>
      <c r="T763" s="697"/>
      <c r="U763" s="697"/>
      <c r="V763" s="698"/>
      <c r="W763" s="698"/>
      <c r="X763" s="697"/>
      <c r="Y763" s="697"/>
      <c r="Z763" s="697"/>
      <c r="AA763" s="697"/>
      <c r="AB763" s="697"/>
    </row>
    <row r="764" spans="1:28" x14ac:dyDescent="0.2">
      <c r="A764" s="694" t="str">
        <f>+Info!$B$2</f>
        <v>724</v>
      </c>
      <c r="B764" s="694" t="s">
        <v>6610</v>
      </c>
      <c r="C764" s="694" t="s">
        <v>6611</v>
      </c>
      <c r="D764" s="695" t="s">
        <v>6612</v>
      </c>
      <c r="E764" s="696"/>
      <c r="F764" s="697"/>
      <c r="G764" s="697"/>
      <c r="H764" s="698"/>
      <c r="I764" s="697"/>
      <c r="J764" s="697"/>
      <c r="K764" s="697"/>
      <c r="L764" s="697"/>
      <c r="M764" s="697"/>
      <c r="N764" s="698"/>
      <c r="O764" s="697"/>
      <c r="P764" s="697"/>
      <c r="Q764" s="697"/>
      <c r="R764" s="697"/>
      <c r="S764" s="697"/>
      <c r="T764" s="697"/>
      <c r="U764" s="697"/>
      <c r="V764" s="698"/>
      <c r="W764" s="698"/>
      <c r="X764" s="697"/>
      <c r="Y764" s="697"/>
      <c r="Z764" s="697"/>
      <c r="AA764" s="697"/>
      <c r="AB764" s="697"/>
    </row>
    <row r="765" spans="1:28" x14ac:dyDescent="0.2">
      <c r="A765" s="694" t="str">
        <f>+Info!$B$2</f>
        <v>724</v>
      </c>
      <c r="B765" s="694" t="s">
        <v>6613</v>
      </c>
      <c r="C765" s="694" t="s">
        <v>6614</v>
      </c>
      <c r="D765" s="695" t="s">
        <v>6615</v>
      </c>
      <c r="E765" s="696"/>
      <c r="F765" s="697"/>
      <c r="G765" s="697"/>
      <c r="H765" s="698"/>
      <c r="I765" s="697"/>
      <c r="J765" s="697"/>
      <c r="K765" s="697"/>
      <c r="L765" s="697"/>
      <c r="M765" s="697"/>
      <c r="N765" s="698"/>
      <c r="O765" s="697"/>
      <c r="P765" s="697"/>
      <c r="Q765" s="697"/>
      <c r="R765" s="697"/>
      <c r="S765" s="697"/>
      <c r="T765" s="697"/>
      <c r="U765" s="697"/>
      <c r="V765" s="698"/>
      <c r="W765" s="698"/>
      <c r="X765" s="697"/>
      <c r="Y765" s="697"/>
      <c r="Z765" s="697"/>
      <c r="AA765" s="697"/>
      <c r="AB765" s="697"/>
    </row>
    <row r="766" spans="1:28" x14ac:dyDescent="0.2">
      <c r="A766" s="694" t="str">
        <f>+Info!$B$2</f>
        <v>724</v>
      </c>
      <c r="B766" s="694" t="s">
        <v>6616</v>
      </c>
      <c r="C766" s="694" t="s">
        <v>6617</v>
      </c>
      <c r="D766" s="695" t="s">
        <v>6618</v>
      </c>
      <c r="E766" s="696"/>
      <c r="F766" s="697"/>
      <c r="G766" s="697"/>
      <c r="H766" s="698"/>
      <c r="I766" s="697"/>
      <c r="J766" s="697"/>
      <c r="K766" s="697"/>
      <c r="L766" s="697"/>
      <c r="M766" s="697"/>
      <c r="N766" s="698"/>
      <c r="O766" s="697"/>
      <c r="P766" s="697"/>
      <c r="Q766" s="697"/>
      <c r="R766" s="697"/>
      <c r="S766" s="697"/>
      <c r="T766" s="697"/>
      <c r="U766" s="697"/>
      <c r="V766" s="698"/>
      <c r="W766" s="698"/>
      <c r="X766" s="697"/>
      <c r="Y766" s="697"/>
      <c r="Z766" s="697"/>
      <c r="AA766" s="697"/>
      <c r="AB766" s="697"/>
    </row>
    <row r="767" spans="1:28" ht="15" x14ac:dyDescent="0.25">
      <c r="A767" s="691" t="str">
        <f>+Info!$B$2</f>
        <v>724</v>
      </c>
      <c r="B767" s="691" t="s">
        <v>6619</v>
      </c>
      <c r="C767" s="691" t="s">
        <v>6620</v>
      </c>
      <c r="D767" s="692" t="s">
        <v>6621</v>
      </c>
      <c r="E767" s="693"/>
      <c r="F767" s="701"/>
      <c r="G767" s="701"/>
      <c r="H767" s="701"/>
      <c r="I767" s="701"/>
      <c r="J767" s="701"/>
      <c r="K767" s="701"/>
      <c r="L767" s="701"/>
      <c r="M767" s="701"/>
      <c r="N767" s="701"/>
      <c r="O767" s="701"/>
      <c r="P767" s="701"/>
      <c r="Q767" s="701"/>
      <c r="R767" s="701"/>
      <c r="S767" s="701"/>
      <c r="T767" s="701"/>
      <c r="U767" s="701"/>
      <c r="V767" s="701"/>
      <c r="W767" s="701"/>
      <c r="X767" s="701"/>
      <c r="Y767" s="701"/>
      <c r="Z767" s="701"/>
      <c r="AA767" s="701"/>
      <c r="AB767" s="701"/>
    </row>
    <row r="768" spans="1:28" x14ac:dyDescent="0.2">
      <c r="A768" s="694" t="str">
        <f>+Info!$B$2</f>
        <v>724</v>
      </c>
      <c r="B768" s="694" t="s">
        <v>6622</v>
      </c>
      <c r="C768" s="694" t="s">
        <v>6623</v>
      </c>
      <c r="D768" s="695" t="s">
        <v>6624</v>
      </c>
      <c r="E768" s="696"/>
      <c r="F768" s="697"/>
      <c r="G768" s="697"/>
      <c r="H768" s="698"/>
      <c r="I768" s="697"/>
      <c r="J768" s="697"/>
      <c r="K768" s="697"/>
      <c r="L768" s="697"/>
      <c r="M768" s="697"/>
      <c r="N768" s="698"/>
      <c r="O768" s="697"/>
      <c r="P768" s="697"/>
      <c r="Q768" s="697"/>
      <c r="R768" s="697"/>
      <c r="S768" s="697"/>
      <c r="T768" s="697"/>
      <c r="U768" s="697"/>
      <c r="V768" s="698"/>
      <c r="W768" s="698"/>
      <c r="X768" s="697"/>
      <c r="Y768" s="697"/>
      <c r="Z768" s="697"/>
      <c r="AA768" s="697"/>
      <c r="AB768" s="697"/>
    </row>
    <row r="769" spans="1:28" x14ac:dyDescent="0.2">
      <c r="A769" s="694" t="str">
        <f>+Info!$B$2</f>
        <v>724</v>
      </c>
      <c r="B769" s="694" t="s">
        <v>6625</v>
      </c>
      <c r="C769" s="694" t="s">
        <v>6626</v>
      </c>
      <c r="D769" s="695" t="s">
        <v>6627</v>
      </c>
      <c r="E769" s="696"/>
      <c r="F769" s="697"/>
      <c r="G769" s="697"/>
      <c r="H769" s="698"/>
      <c r="I769" s="697"/>
      <c r="J769" s="697"/>
      <c r="K769" s="697"/>
      <c r="L769" s="697"/>
      <c r="M769" s="697"/>
      <c r="N769" s="698"/>
      <c r="O769" s="697"/>
      <c r="P769" s="697"/>
      <c r="Q769" s="697"/>
      <c r="R769" s="697"/>
      <c r="S769" s="697"/>
      <c r="T769" s="697"/>
      <c r="U769" s="697"/>
      <c r="V769" s="698"/>
      <c r="W769" s="698"/>
      <c r="X769" s="697"/>
      <c r="Y769" s="697"/>
      <c r="Z769" s="697"/>
      <c r="AA769" s="697"/>
      <c r="AB769" s="697"/>
    </row>
    <row r="770" spans="1:28" ht="15" x14ac:dyDescent="0.25">
      <c r="A770" s="691" t="str">
        <f>+Info!$B$2</f>
        <v>724</v>
      </c>
      <c r="B770" s="691" t="s">
        <v>2257</v>
      </c>
      <c r="C770" s="691" t="s">
        <v>6628</v>
      </c>
      <c r="D770" s="692" t="s">
        <v>6629</v>
      </c>
      <c r="E770" s="693"/>
      <c r="F770" s="701"/>
      <c r="G770" s="701"/>
      <c r="H770" s="701"/>
      <c r="I770" s="701"/>
      <c r="J770" s="701"/>
      <c r="K770" s="701"/>
      <c r="L770" s="701"/>
      <c r="M770" s="701"/>
      <c r="N770" s="701"/>
      <c r="O770" s="701"/>
      <c r="P770" s="701"/>
      <c r="Q770" s="701"/>
      <c r="R770" s="701"/>
      <c r="S770" s="701"/>
      <c r="T770" s="701"/>
      <c r="U770" s="701"/>
      <c r="V770" s="701"/>
      <c r="W770" s="701"/>
      <c r="X770" s="701"/>
      <c r="Y770" s="701"/>
      <c r="Z770" s="701"/>
      <c r="AA770" s="701"/>
      <c r="AB770" s="701"/>
    </row>
    <row r="771" spans="1:28" ht="15" x14ac:dyDescent="0.25">
      <c r="A771" s="691" t="str">
        <f>+Info!$B$2</f>
        <v>724</v>
      </c>
      <c r="B771" s="691" t="s">
        <v>2578</v>
      </c>
      <c r="C771" s="691" t="s">
        <v>6630</v>
      </c>
      <c r="D771" s="692" t="s">
        <v>6631</v>
      </c>
      <c r="E771" s="693"/>
      <c r="F771" s="701"/>
      <c r="G771" s="701"/>
      <c r="H771" s="701"/>
      <c r="I771" s="701"/>
      <c r="J771" s="701"/>
      <c r="K771" s="701"/>
      <c r="L771" s="701"/>
      <c r="M771" s="701"/>
      <c r="N771" s="701"/>
      <c r="O771" s="701"/>
      <c r="P771" s="701"/>
      <c r="Q771" s="701"/>
      <c r="R771" s="701"/>
      <c r="S771" s="701"/>
      <c r="T771" s="701"/>
      <c r="U771" s="701"/>
      <c r="V771" s="701"/>
      <c r="W771" s="701"/>
      <c r="X771" s="701"/>
      <c r="Y771" s="701"/>
      <c r="Z771" s="701"/>
      <c r="AA771" s="701"/>
      <c r="AB771" s="701"/>
    </row>
    <row r="772" spans="1:28" x14ac:dyDescent="0.2">
      <c r="A772" s="694" t="str">
        <f>+Info!$B$2</f>
        <v>724</v>
      </c>
      <c r="B772" s="694" t="s">
        <v>6632</v>
      </c>
      <c r="C772" s="694" t="s">
        <v>6633</v>
      </c>
      <c r="D772" s="695" t="s">
        <v>6634</v>
      </c>
      <c r="E772" s="696"/>
      <c r="F772" s="697"/>
      <c r="G772" s="697"/>
      <c r="H772" s="698"/>
      <c r="I772" s="697"/>
      <c r="J772" s="697"/>
      <c r="K772" s="697"/>
      <c r="L772" s="697"/>
      <c r="M772" s="697"/>
      <c r="N772" s="698"/>
      <c r="O772" s="697"/>
      <c r="P772" s="697"/>
      <c r="Q772" s="697"/>
      <c r="R772" s="697"/>
      <c r="S772" s="697"/>
      <c r="T772" s="697"/>
      <c r="U772" s="697"/>
      <c r="V772" s="698"/>
      <c r="W772" s="698"/>
      <c r="X772" s="697"/>
      <c r="Y772" s="697"/>
      <c r="Z772" s="697"/>
      <c r="AA772" s="697"/>
      <c r="AB772" s="697"/>
    </row>
    <row r="773" spans="1:28" x14ac:dyDescent="0.2">
      <c r="A773" s="694" t="str">
        <f>+Info!$B$2</f>
        <v>724</v>
      </c>
      <c r="B773" s="694" t="s">
        <v>6635</v>
      </c>
      <c r="C773" s="694" t="s">
        <v>6636</v>
      </c>
      <c r="D773" s="695" t="s">
        <v>6637</v>
      </c>
      <c r="E773" s="696"/>
      <c r="F773" s="697"/>
      <c r="G773" s="697"/>
      <c r="H773" s="698"/>
      <c r="I773" s="697"/>
      <c r="J773" s="697"/>
      <c r="K773" s="697"/>
      <c r="L773" s="697"/>
      <c r="M773" s="697"/>
      <c r="N773" s="698"/>
      <c r="O773" s="697"/>
      <c r="P773" s="697"/>
      <c r="Q773" s="697"/>
      <c r="R773" s="697"/>
      <c r="S773" s="697"/>
      <c r="T773" s="697"/>
      <c r="U773" s="697"/>
      <c r="V773" s="698"/>
      <c r="W773" s="698"/>
      <c r="X773" s="697"/>
      <c r="Y773" s="697"/>
      <c r="Z773" s="697"/>
      <c r="AA773" s="697"/>
      <c r="AB773" s="697"/>
    </row>
    <row r="774" spans="1:28" x14ac:dyDescent="0.2">
      <c r="A774" s="694" t="str">
        <f>+Info!$B$2</f>
        <v>724</v>
      </c>
      <c r="B774" s="694" t="s">
        <v>6638</v>
      </c>
      <c r="C774" s="694" t="s">
        <v>6639</v>
      </c>
      <c r="D774" s="695" t="s">
        <v>6640</v>
      </c>
      <c r="E774" s="696"/>
      <c r="F774" s="697"/>
      <c r="G774" s="697"/>
      <c r="H774" s="698"/>
      <c r="I774" s="697"/>
      <c r="J774" s="697"/>
      <c r="K774" s="697"/>
      <c r="L774" s="697"/>
      <c r="M774" s="697"/>
      <c r="N774" s="698"/>
      <c r="O774" s="697"/>
      <c r="P774" s="697"/>
      <c r="Q774" s="697"/>
      <c r="R774" s="697"/>
      <c r="S774" s="697"/>
      <c r="T774" s="697"/>
      <c r="U774" s="697"/>
      <c r="V774" s="698"/>
      <c r="W774" s="698"/>
      <c r="X774" s="697"/>
      <c r="Y774" s="697"/>
      <c r="Z774" s="697"/>
      <c r="AA774" s="697"/>
      <c r="AB774" s="697"/>
    </row>
    <row r="775" spans="1:28" ht="15" x14ac:dyDescent="0.25">
      <c r="A775" s="691" t="str">
        <f>+Info!$B$2</f>
        <v>724</v>
      </c>
      <c r="B775" s="691" t="s">
        <v>6641</v>
      </c>
      <c r="C775" s="691" t="s">
        <v>6642</v>
      </c>
      <c r="D775" s="692" t="s">
        <v>6643</v>
      </c>
      <c r="E775" s="693"/>
      <c r="F775" s="701"/>
      <c r="G775" s="701"/>
      <c r="H775" s="701"/>
      <c r="I775" s="701"/>
      <c r="J775" s="701"/>
      <c r="K775" s="701"/>
      <c r="L775" s="701"/>
      <c r="M775" s="701"/>
      <c r="N775" s="701"/>
      <c r="O775" s="701"/>
      <c r="P775" s="701"/>
      <c r="Q775" s="701"/>
      <c r="R775" s="701"/>
      <c r="S775" s="701"/>
      <c r="T775" s="701"/>
      <c r="U775" s="701"/>
      <c r="V775" s="701"/>
      <c r="W775" s="701"/>
      <c r="X775" s="701"/>
      <c r="Y775" s="701"/>
      <c r="Z775" s="701"/>
      <c r="AA775" s="701"/>
      <c r="AB775" s="701"/>
    </row>
    <row r="776" spans="1:28" x14ac:dyDescent="0.2">
      <c r="A776" s="694" t="str">
        <f>+Info!$B$2</f>
        <v>724</v>
      </c>
      <c r="B776" s="694" t="s">
        <v>6644</v>
      </c>
      <c r="C776" s="694" t="s">
        <v>6645</v>
      </c>
      <c r="D776" s="695" t="s">
        <v>6634</v>
      </c>
      <c r="E776" s="696"/>
      <c r="F776" s="697"/>
      <c r="G776" s="697"/>
      <c r="H776" s="698"/>
      <c r="I776" s="697"/>
      <c r="J776" s="697"/>
      <c r="K776" s="697"/>
      <c r="L776" s="697"/>
      <c r="M776" s="697"/>
      <c r="N776" s="698"/>
      <c r="O776" s="697"/>
      <c r="P776" s="697"/>
      <c r="Q776" s="697"/>
      <c r="R776" s="697"/>
      <c r="S776" s="697"/>
      <c r="T776" s="697"/>
      <c r="U776" s="697"/>
      <c r="V776" s="698"/>
      <c r="W776" s="698"/>
      <c r="X776" s="697"/>
      <c r="Y776" s="697"/>
      <c r="Z776" s="697"/>
      <c r="AA776" s="697"/>
      <c r="AB776" s="697"/>
    </row>
    <row r="777" spans="1:28" x14ac:dyDescent="0.2">
      <c r="A777" s="694" t="str">
        <f>+Info!$B$2</f>
        <v>724</v>
      </c>
      <c r="B777" s="694" t="s">
        <v>6646</v>
      </c>
      <c r="C777" s="694" t="s">
        <v>6647</v>
      </c>
      <c r="D777" s="695" t="s">
        <v>6637</v>
      </c>
      <c r="E777" s="696"/>
      <c r="F777" s="697"/>
      <c r="G777" s="697"/>
      <c r="H777" s="698"/>
      <c r="I777" s="697"/>
      <c r="J777" s="697"/>
      <c r="K777" s="697"/>
      <c r="L777" s="697"/>
      <c r="M777" s="697"/>
      <c r="N777" s="698"/>
      <c r="O777" s="697"/>
      <c r="P777" s="697"/>
      <c r="Q777" s="697"/>
      <c r="R777" s="697"/>
      <c r="S777" s="697"/>
      <c r="T777" s="697"/>
      <c r="U777" s="697"/>
      <c r="V777" s="698"/>
      <c r="W777" s="698"/>
      <c r="X777" s="697"/>
      <c r="Y777" s="697"/>
      <c r="Z777" s="697"/>
      <c r="AA777" s="697"/>
      <c r="AB777" s="697"/>
    </row>
    <row r="778" spans="1:28" x14ac:dyDescent="0.2">
      <c r="A778" s="694" t="str">
        <f>+Info!$B$2</f>
        <v>724</v>
      </c>
      <c r="B778" s="694" t="s">
        <v>6648</v>
      </c>
      <c r="C778" s="694" t="s">
        <v>6649</v>
      </c>
      <c r="D778" s="695" t="s">
        <v>6640</v>
      </c>
      <c r="E778" s="696"/>
      <c r="F778" s="697"/>
      <c r="G778" s="697"/>
      <c r="H778" s="698"/>
      <c r="I778" s="697"/>
      <c r="J778" s="697"/>
      <c r="K778" s="697"/>
      <c r="L778" s="697"/>
      <c r="M778" s="697"/>
      <c r="N778" s="698"/>
      <c r="O778" s="697"/>
      <c r="P778" s="697"/>
      <c r="Q778" s="697"/>
      <c r="R778" s="697"/>
      <c r="S778" s="697"/>
      <c r="T778" s="697"/>
      <c r="U778" s="697"/>
      <c r="V778" s="698"/>
      <c r="W778" s="698"/>
      <c r="X778" s="697"/>
      <c r="Y778" s="697"/>
      <c r="Z778" s="697"/>
      <c r="AA778" s="697"/>
      <c r="AB778" s="697"/>
    </row>
    <row r="779" spans="1:28" ht="15" x14ac:dyDescent="0.25">
      <c r="A779" s="691" t="str">
        <f>+Info!$B$2</f>
        <v>724</v>
      </c>
      <c r="B779" s="691" t="s">
        <v>6650</v>
      </c>
      <c r="C779" s="691" t="s">
        <v>6651</v>
      </c>
      <c r="D779" s="692" t="s">
        <v>6652</v>
      </c>
      <c r="E779" s="693"/>
      <c r="F779" s="701"/>
      <c r="G779" s="701"/>
      <c r="H779" s="701"/>
      <c r="I779" s="701"/>
      <c r="J779" s="701"/>
      <c r="K779" s="701"/>
      <c r="L779" s="701"/>
      <c r="M779" s="701"/>
      <c r="N779" s="701"/>
      <c r="O779" s="701"/>
      <c r="P779" s="701"/>
      <c r="Q779" s="701"/>
      <c r="R779" s="701"/>
      <c r="S779" s="701"/>
      <c r="T779" s="701"/>
      <c r="U779" s="701"/>
      <c r="V779" s="701"/>
      <c r="W779" s="701"/>
      <c r="X779" s="701"/>
      <c r="Y779" s="701"/>
      <c r="Z779" s="701"/>
      <c r="AA779" s="701"/>
      <c r="AB779" s="701"/>
    </row>
    <row r="780" spans="1:28" x14ac:dyDescent="0.2">
      <c r="A780" s="694" t="str">
        <f>+Info!$B$2</f>
        <v>724</v>
      </c>
      <c r="B780" s="694" t="s">
        <v>6653</v>
      </c>
      <c r="C780" s="694" t="s">
        <v>6654</v>
      </c>
      <c r="D780" s="695" t="s">
        <v>6655</v>
      </c>
      <c r="E780" s="696"/>
      <c r="F780" s="703"/>
      <c r="G780" s="703"/>
      <c r="H780" s="698"/>
      <c r="I780" s="698"/>
      <c r="J780" s="697"/>
      <c r="K780" s="697"/>
      <c r="L780" s="697"/>
      <c r="M780" s="697"/>
      <c r="N780" s="698"/>
      <c r="O780" s="697"/>
      <c r="P780" s="697"/>
      <c r="Q780" s="697"/>
      <c r="R780" s="697"/>
      <c r="S780" s="697"/>
      <c r="T780" s="697"/>
      <c r="U780" s="697"/>
      <c r="V780" s="698"/>
      <c r="W780" s="698"/>
      <c r="X780" s="697"/>
      <c r="Y780" s="697"/>
      <c r="Z780" s="697"/>
      <c r="AA780" s="697"/>
      <c r="AB780" s="697"/>
    </row>
    <row r="781" spans="1:28" x14ac:dyDescent="0.2">
      <c r="A781" s="694" t="str">
        <f>+Info!$B$2</f>
        <v>724</v>
      </c>
      <c r="B781" s="694" t="s">
        <v>6656</v>
      </c>
      <c r="C781" s="694" t="s">
        <v>6657</v>
      </c>
      <c r="D781" s="695" t="s">
        <v>6658</v>
      </c>
      <c r="E781" s="696"/>
      <c r="F781" s="703"/>
      <c r="G781" s="703"/>
      <c r="H781" s="698"/>
      <c r="I781" s="698"/>
      <c r="J781" s="697"/>
      <c r="K781" s="697"/>
      <c r="L781" s="697"/>
      <c r="M781" s="697"/>
      <c r="N781" s="698"/>
      <c r="O781" s="697"/>
      <c r="P781" s="697"/>
      <c r="Q781" s="697"/>
      <c r="R781" s="697"/>
      <c r="S781" s="697"/>
      <c r="T781" s="697"/>
      <c r="U781" s="697"/>
      <c r="V781" s="698"/>
      <c r="W781" s="698"/>
      <c r="X781" s="697"/>
      <c r="Y781" s="697"/>
      <c r="Z781" s="697"/>
      <c r="AA781" s="697"/>
      <c r="AB781" s="697"/>
    </row>
    <row r="782" spans="1:28" x14ac:dyDescent="0.2">
      <c r="A782" s="694" t="str">
        <f>+Info!$B$2</f>
        <v>724</v>
      </c>
      <c r="B782" s="694" t="s">
        <v>6659</v>
      </c>
      <c r="C782" s="694" t="s">
        <v>6660</v>
      </c>
      <c r="D782" s="695" t="s">
        <v>6661</v>
      </c>
      <c r="E782" s="696"/>
      <c r="F782" s="703"/>
      <c r="G782" s="703"/>
      <c r="H782" s="698"/>
      <c r="I782" s="697"/>
      <c r="J782" s="697"/>
      <c r="K782" s="697"/>
      <c r="L782" s="697"/>
      <c r="M782" s="697"/>
      <c r="N782" s="698"/>
      <c r="O782" s="697"/>
      <c r="P782" s="697"/>
      <c r="Q782" s="697"/>
      <c r="R782" s="697"/>
      <c r="S782" s="697"/>
      <c r="T782" s="697"/>
      <c r="U782" s="697"/>
      <c r="V782" s="698"/>
      <c r="W782" s="698"/>
      <c r="X782" s="697"/>
      <c r="Y782" s="697"/>
      <c r="Z782" s="697"/>
      <c r="AA782" s="697"/>
      <c r="AB782" s="697"/>
    </row>
    <row r="783" spans="1:28" x14ac:dyDescent="0.2">
      <c r="A783" s="694" t="str">
        <f>+Info!$B$2</f>
        <v>724</v>
      </c>
      <c r="B783" s="694" t="s">
        <v>6662</v>
      </c>
      <c r="C783" s="694" t="s">
        <v>6663</v>
      </c>
      <c r="D783" s="695" t="s">
        <v>6664</v>
      </c>
      <c r="E783" s="696"/>
      <c r="F783" s="703"/>
      <c r="G783" s="703"/>
      <c r="H783" s="698"/>
      <c r="I783" s="697"/>
      <c r="J783" s="697"/>
      <c r="K783" s="697"/>
      <c r="L783" s="697"/>
      <c r="M783" s="697"/>
      <c r="N783" s="698"/>
      <c r="O783" s="697"/>
      <c r="P783" s="697"/>
      <c r="Q783" s="697"/>
      <c r="R783" s="697"/>
      <c r="S783" s="697"/>
      <c r="T783" s="697"/>
      <c r="U783" s="697"/>
      <c r="V783" s="698"/>
      <c r="W783" s="698"/>
      <c r="X783" s="697"/>
      <c r="Y783" s="697"/>
      <c r="Z783" s="697"/>
      <c r="AA783" s="697"/>
      <c r="AB783" s="697"/>
    </row>
    <row r="784" spans="1:28" x14ac:dyDescent="0.2">
      <c r="A784" s="694" t="str">
        <f>+Info!$B$2</f>
        <v>724</v>
      </c>
      <c r="B784" s="694" t="s">
        <v>6665</v>
      </c>
      <c r="C784" s="694" t="s">
        <v>6666</v>
      </c>
      <c r="D784" s="695" t="s">
        <v>6667</v>
      </c>
      <c r="E784" s="696"/>
      <c r="F784" s="703"/>
      <c r="G784" s="703"/>
      <c r="H784" s="698"/>
      <c r="I784" s="697"/>
      <c r="J784" s="697"/>
      <c r="K784" s="697"/>
      <c r="L784" s="697"/>
      <c r="M784" s="697"/>
      <c r="N784" s="698"/>
      <c r="O784" s="697"/>
      <c r="P784" s="697"/>
      <c r="Q784" s="697"/>
      <c r="R784" s="697"/>
      <c r="S784" s="697"/>
      <c r="T784" s="697"/>
      <c r="U784" s="697"/>
      <c r="V784" s="698"/>
      <c r="W784" s="698"/>
      <c r="X784" s="697"/>
      <c r="Y784" s="697"/>
      <c r="Z784" s="697"/>
      <c r="AA784" s="697"/>
      <c r="AB784" s="697"/>
    </row>
    <row r="785" spans="1:28" x14ac:dyDescent="0.2">
      <c r="A785" s="694" t="str">
        <f>+Info!$B$2</f>
        <v>724</v>
      </c>
      <c r="B785" s="694" t="s">
        <v>6668</v>
      </c>
      <c r="C785" s="694" t="s">
        <v>6669</v>
      </c>
      <c r="D785" s="695" t="s">
        <v>6670</v>
      </c>
      <c r="E785" s="696"/>
      <c r="F785" s="703"/>
      <c r="G785" s="703"/>
      <c r="H785" s="698"/>
      <c r="I785" s="697"/>
      <c r="J785" s="697"/>
      <c r="K785" s="697"/>
      <c r="L785" s="697"/>
      <c r="M785" s="697"/>
      <c r="N785" s="698"/>
      <c r="O785" s="697"/>
      <c r="P785" s="697"/>
      <c r="Q785" s="697"/>
      <c r="R785" s="697"/>
      <c r="S785" s="697"/>
      <c r="T785" s="697"/>
      <c r="U785" s="697"/>
      <c r="V785" s="698"/>
      <c r="W785" s="698"/>
      <c r="X785" s="697"/>
      <c r="Y785" s="697"/>
      <c r="Z785" s="697"/>
      <c r="AA785" s="697"/>
      <c r="AB785" s="697"/>
    </row>
    <row r="786" spans="1:28" x14ac:dyDescent="0.2">
      <c r="A786" s="694" t="str">
        <f>+Info!$B$2</f>
        <v>724</v>
      </c>
      <c r="B786" s="694" t="s">
        <v>6671</v>
      </c>
      <c r="C786" s="694" t="s">
        <v>6672</v>
      </c>
      <c r="D786" s="695" t="s">
        <v>6673</v>
      </c>
      <c r="E786" s="696"/>
      <c r="F786" s="703"/>
      <c r="G786" s="703"/>
      <c r="H786" s="698"/>
      <c r="I786" s="697"/>
      <c r="J786" s="697"/>
      <c r="K786" s="697"/>
      <c r="L786" s="697"/>
      <c r="M786" s="697"/>
      <c r="N786" s="698"/>
      <c r="O786" s="697"/>
      <c r="P786" s="697"/>
      <c r="Q786" s="697"/>
      <c r="R786" s="697"/>
      <c r="S786" s="697"/>
      <c r="T786" s="697"/>
      <c r="U786" s="697"/>
      <c r="V786" s="698"/>
      <c r="W786" s="698"/>
      <c r="X786" s="697"/>
      <c r="Y786" s="697"/>
      <c r="Z786" s="697"/>
      <c r="AA786" s="697"/>
      <c r="AB786" s="697"/>
    </row>
    <row r="787" spans="1:28" x14ac:dyDescent="0.2">
      <c r="A787" s="694" t="str">
        <f>+Info!$B$2</f>
        <v>724</v>
      </c>
      <c r="B787" s="694" t="s">
        <v>6674</v>
      </c>
      <c r="C787" s="694" t="s">
        <v>6675</v>
      </c>
      <c r="D787" s="695" t="s">
        <v>6676</v>
      </c>
      <c r="E787" s="696"/>
      <c r="F787" s="703"/>
      <c r="G787" s="703"/>
      <c r="H787" s="698"/>
      <c r="I787" s="697"/>
      <c r="J787" s="697"/>
      <c r="K787" s="697"/>
      <c r="L787" s="697"/>
      <c r="M787" s="697"/>
      <c r="N787" s="698"/>
      <c r="O787" s="697"/>
      <c r="P787" s="697"/>
      <c r="Q787" s="697"/>
      <c r="R787" s="697"/>
      <c r="S787" s="697"/>
      <c r="T787" s="697"/>
      <c r="U787" s="697"/>
      <c r="V787" s="698"/>
      <c r="W787" s="698"/>
      <c r="X787" s="697"/>
      <c r="Y787" s="697"/>
      <c r="Z787" s="697"/>
      <c r="AA787" s="697"/>
      <c r="AB787" s="697"/>
    </row>
    <row r="788" spans="1:28" x14ac:dyDescent="0.2">
      <c r="A788" s="694" t="str">
        <f>+Info!$B$2</f>
        <v>724</v>
      </c>
      <c r="B788" s="694" t="s">
        <v>6677</v>
      </c>
      <c r="C788" s="694" t="s">
        <v>6678</v>
      </c>
      <c r="D788" s="695" t="s">
        <v>6679</v>
      </c>
      <c r="E788" s="696"/>
      <c r="F788" s="697"/>
      <c r="G788" s="697"/>
      <c r="H788" s="698"/>
      <c r="I788" s="697"/>
      <c r="J788" s="697"/>
      <c r="K788" s="698"/>
      <c r="L788" s="698"/>
      <c r="M788" s="698"/>
      <c r="N788" s="698"/>
      <c r="O788" s="697"/>
      <c r="P788" s="697"/>
      <c r="Q788" s="697"/>
      <c r="R788" s="697"/>
      <c r="S788" s="697"/>
      <c r="T788" s="697"/>
      <c r="U788" s="697"/>
      <c r="V788" s="698"/>
      <c r="W788" s="698"/>
      <c r="X788" s="697"/>
      <c r="Y788" s="697"/>
      <c r="Z788" s="697"/>
      <c r="AA788" s="697"/>
      <c r="AB788" s="697"/>
    </row>
    <row r="789" spans="1:28" x14ac:dyDescent="0.2">
      <c r="A789" s="694" t="str">
        <f>+Info!$B$2</f>
        <v>724</v>
      </c>
      <c r="B789" s="694" t="s">
        <v>6680</v>
      </c>
      <c r="C789" s="694" t="s">
        <v>6681</v>
      </c>
      <c r="D789" s="695" t="s">
        <v>6682</v>
      </c>
      <c r="E789" s="696"/>
      <c r="F789" s="697"/>
      <c r="G789" s="697"/>
      <c r="H789" s="698"/>
      <c r="I789" s="697"/>
      <c r="J789" s="697"/>
      <c r="K789" s="697"/>
      <c r="L789" s="697"/>
      <c r="M789" s="697"/>
      <c r="N789" s="698"/>
      <c r="O789" s="697"/>
      <c r="P789" s="697"/>
      <c r="Q789" s="697"/>
      <c r="R789" s="697"/>
      <c r="S789" s="697"/>
      <c r="T789" s="697"/>
      <c r="U789" s="697"/>
      <c r="V789" s="698"/>
      <c r="W789" s="698"/>
      <c r="X789" s="697"/>
      <c r="Y789" s="697"/>
      <c r="Z789" s="697"/>
      <c r="AA789" s="697"/>
      <c r="AB789" s="697"/>
    </row>
  </sheetData>
  <sheetProtection password="A01C" sheet="1" objects="1" scenarios="1"/>
  <autoFilter ref="C5:AA789"/>
  <mergeCells count="4">
    <mergeCell ref="F2:G2"/>
    <mergeCell ref="H2:N2"/>
    <mergeCell ref="O2:W2"/>
    <mergeCell ref="X2:Z2"/>
  </mergeCells>
  <pageMargins left="0.70833333333333337" right="0.70833333333333337" top="0.74791666666666667" bottom="0.74791666666666667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1"/>
  <sheetViews>
    <sheetView topLeftCell="B1" zoomScale="90" zoomScaleNormal="90" zoomScaleSheetLayoutView="40" workbookViewId="0">
      <pane xSplit="7" ySplit="2" topLeftCell="AH27" activePane="bottomRight" state="frozen"/>
      <selection activeCell="B1" sqref="B1"/>
      <selection pane="topRight" activeCell="I1" sqref="I1"/>
      <selection pane="bottomLeft" activeCell="B3" sqref="B3"/>
      <selection pane="bottomRight" activeCell="E25" sqref="E25"/>
    </sheetView>
  </sheetViews>
  <sheetFormatPr defaultRowHeight="12.75" x14ac:dyDescent="0.2"/>
  <cols>
    <col min="1" max="1" width="20" style="704" customWidth="1"/>
    <col min="2" max="2" width="28.28515625" style="705" customWidth="1"/>
    <col min="3" max="3" width="57.28515625" style="706" customWidth="1"/>
    <col min="4" max="4" width="2.42578125" style="706" customWidth="1"/>
    <col min="5" max="5" width="20.7109375" style="706" customWidth="1"/>
    <col min="6" max="6" width="20.7109375" style="707" customWidth="1"/>
    <col min="7" max="7" width="10.7109375" style="708" customWidth="1"/>
    <col min="8" max="8" width="6.28515625" style="704" hidden="1" customWidth="1"/>
    <col min="9" max="50" width="10.7109375" style="704" customWidth="1"/>
    <col min="51" max="51" width="9" style="704" hidden="1" customWidth="1"/>
    <col min="52" max="16384" width="9.140625" style="704"/>
  </cols>
  <sheetData>
    <row r="1" spans="1:65" ht="165.75" customHeight="1" x14ac:dyDescent="0.2">
      <c r="A1" s="709" t="s">
        <v>72</v>
      </c>
      <c r="B1" s="709" t="s">
        <v>73</v>
      </c>
      <c r="C1" s="710" t="str">
        <f>"Dettaglio nota integrativa di: "&amp;+Info!$C$2&amp;" - "&amp;Info!$B$5&amp;" "&amp;Info!$B$3</f>
        <v>Dettaglio nota integrativa di: ASST DI CREMONA - Consuntivo 2020</v>
      </c>
      <c r="D1" s="711"/>
      <c r="E1" s="712" t="s">
        <v>6684</v>
      </c>
      <c r="F1" s="713" t="s">
        <v>6685</v>
      </c>
      <c r="G1" s="713" t="s">
        <v>6686</v>
      </c>
      <c r="H1" s="714" t="s">
        <v>6687</v>
      </c>
      <c r="I1" s="715" t="s">
        <v>6688</v>
      </c>
      <c r="J1" s="715" t="s">
        <v>6689</v>
      </c>
      <c r="K1" s="715" t="s">
        <v>6690</v>
      </c>
      <c r="L1" s="715" t="s">
        <v>6691</v>
      </c>
      <c r="M1" s="715" t="s">
        <v>6692</v>
      </c>
      <c r="N1" s="715" t="s">
        <v>6693</v>
      </c>
      <c r="O1" s="715" t="s">
        <v>6694</v>
      </c>
      <c r="P1" s="715" t="s">
        <v>6695</v>
      </c>
      <c r="Q1" s="715" t="s">
        <v>6696</v>
      </c>
      <c r="R1" s="715" t="s">
        <v>6697</v>
      </c>
      <c r="S1" s="715" t="s">
        <v>6698</v>
      </c>
      <c r="T1" s="715" t="s">
        <v>6699</v>
      </c>
      <c r="U1" s="715" t="s">
        <v>6700</v>
      </c>
      <c r="V1" s="715" t="s">
        <v>6701</v>
      </c>
      <c r="W1" s="715" t="s">
        <v>6702</v>
      </c>
      <c r="X1" s="715" t="s">
        <v>6703</v>
      </c>
      <c r="Y1" s="715" t="s">
        <v>6704</v>
      </c>
      <c r="Z1" s="715" t="s">
        <v>6705</v>
      </c>
      <c r="AA1" s="715" t="s">
        <v>6706</v>
      </c>
      <c r="AB1" s="715" t="s">
        <v>6707</v>
      </c>
      <c r="AC1" s="715" t="s">
        <v>6708</v>
      </c>
      <c r="AD1" s="715" t="s">
        <v>6709</v>
      </c>
      <c r="AE1" s="715" t="s">
        <v>6710</v>
      </c>
      <c r="AF1" s="715" t="s">
        <v>6711</v>
      </c>
      <c r="AG1" s="715" t="s">
        <v>6712</v>
      </c>
      <c r="AH1" s="715" t="s">
        <v>6713</v>
      </c>
      <c r="AI1" s="715" t="s">
        <v>6714</v>
      </c>
      <c r="AJ1" s="715" t="s">
        <v>6715</v>
      </c>
      <c r="AK1" s="715" t="s">
        <v>6716</v>
      </c>
      <c r="AL1" s="715" t="s">
        <v>6717</v>
      </c>
      <c r="AM1" s="715" t="s">
        <v>6718</v>
      </c>
      <c r="AN1" s="715" t="s">
        <v>6719</v>
      </c>
      <c r="AO1" s="715" t="s">
        <v>6720</v>
      </c>
      <c r="AP1" s="715" t="s">
        <v>6721</v>
      </c>
      <c r="AQ1" s="715" t="s">
        <v>6722</v>
      </c>
      <c r="AR1" s="715" t="s">
        <v>6723</v>
      </c>
      <c r="AS1" s="715" t="s">
        <v>6724</v>
      </c>
      <c r="AT1" s="715" t="s">
        <v>6725</v>
      </c>
      <c r="AU1" s="715" t="s">
        <v>6726</v>
      </c>
      <c r="AV1" s="715" t="s">
        <v>6727</v>
      </c>
      <c r="AW1" s="715" t="s">
        <v>67</v>
      </c>
      <c r="AX1" s="715" t="s">
        <v>6728</v>
      </c>
      <c r="AY1" s="716"/>
      <c r="AZ1" s="716"/>
      <c r="BA1" s="716"/>
      <c r="BB1" s="716"/>
      <c r="BC1" s="716"/>
      <c r="BD1" s="716"/>
      <c r="BE1" s="716"/>
      <c r="BF1" s="716"/>
      <c r="BG1" s="716"/>
      <c r="BH1" s="716"/>
      <c r="BI1" s="716"/>
      <c r="BJ1" s="716"/>
      <c r="BK1" s="716"/>
      <c r="BL1" s="716"/>
      <c r="BM1" s="716"/>
    </row>
    <row r="2" spans="1:65" ht="15" x14ac:dyDescent="0.2">
      <c r="B2" s="717"/>
      <c r="C2" s="718" t="s">
        <v>6729</v>
      </c>
      <c r="D2" s="719"/>
      <c r="E2" s="719"/>
      <c r="F2" s="720" t="str">
        <f>Info!$B$2</f>
        <v>724</v>
      </c>
      <c r="G2" s="721"/>
      <c r="H2" s="722">
        <v>999</v>
      </c>
      <c r="I2" s="723" t="s">
        <v>6730</v>
      </c>
      <c r="J2" s="723" t="s">
        <v>6731</v>
      </c>
      <c r="K2" s="723" t="s">
        <v>6732</v>
      </c>
      <c r="L2" s="723" t="s">
        <v>6733</v>
      </c>
      <c r="M2" s="723" t="s">
        <v>6734</v>
      </c>
      <c r="N2" s="723" t="s">
        <v>6735</v>
      </c>
      <c r="O2" s="723" t="s">
        <v>6736</v>
      </c>
      <c r="P2" s="723" t="s">
        <v>6737</v>
      </c>
      <c r="Q2" s="723" t="s">
        <v>6738</v>
      </c>
      <c r="R2" s="723" t="s">
        <v>6739</v>
      </c>
      <c r="S2" s="723" t="s">
        <v>6740</v>
      </c>
      <c r="T2" s="723" t="s">
        <v>6741</v>
      </c>
      <c r="U2" s="723" t="s">
        <v>6742</v>
      </c>
      <c r="V2" s="723" t="s">
        <v>6743</v>
      </c>
      <c r="W2" s="723" t="s">
        <v>6744</v>
      </c>
      <c r="X2" s="723" t="s">
        <v>6745</v>
      </c>
      <c r="Y2" s="723" t="s">
        <v>6746</v>
      </c>
      <c r="Z2" s="723" t="s">
        <v>6747</v>
      </c>
      <c r="AA2" s="723" t="s">
        <v>6748</v>
      </c>
      <c r="AB2" s="723" t="s">
        <v>6749</v>
      </c>
      <c r="AC2" s="723" t="s">
        <v>6750</v>
      </c>
      <c r="AD2" s="723" t="s">
        <v>6751</v>
      </c>
      <c r="AE2" s="723" t="s">
        <v>6752</v>
      </c>
      <c r="AF2" s="723" t="s">
        <v>6753</v>
      </c>
      <c r="AG2" s="723" t="s">
        <v>6754</v>
      </c>
      <c r="AH2" s="723" t="s">
        <v>6755</v>
      </c>
      <c r="AI2" s="723" t="s">
        <v>6756</v>
      </c>
      <c r="AJ2" s="723" t="s">
        <v>6757</v>
      </c>
      <c r="AK2" s="723" t="s">
        <v>6758</v>
      </c>
      <c r="AL2" s="723" t="s">
        <v>6759</v>
      </c>
      <c r="AM2" s="723" t="s">
        <v>6760</v>
      </c>
      <c r="AN2" s="723" t="s">
        <v>6761</v>
      </c>
      <c r="AO2" s="723" t="s">
        <v>6762</v>
      </c>
      <c r="AP2" s="723" t="s">
        <v>6763</v>
      </c>
      <c r="AQ2" s="723" t="s">
        <v>6764</v>
      </c>
      <c r="AR2" s="723" t="s">
        <v>6765</v>
      </c>
      <c r="AS2" s="723" t="s">
        <v>6766</v>
      </c>
      <c r="AT2" s="723" t="s">
        <v>6767</v>
      </c>
      <c r="AU2" s="723" t="s">
        <v>6768</v>
      </c>
      <c r="AV2" s="723" t="s">
        <v>6769</v>
      </c>
      <c r="AW2" s="723">
        <v>991</v>
      </c>
      <c r="AX2" s="723">
        <v>992</v>
      </c>
    </row>
    <row r="3" spans="1:65" ht="15.75" customHeight="1" x14ac:dyDescent="0.2">
      <c r="A3" s="724"/>
      <c r="B3" s="724"/>
      <c r="C3" s="725" t="s">
        <v>6770</v>
      </c>
      <c r="D3" s="725"/>
      <c r="E3" s="725"/>
      <c r="F3" s="726"/>
      <c r="G3" s="727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9"/>
    </row>
    <row r="4" spans="1:65" s="204" customFormat="1" ht="15" hidden="1" x14ac:dyDescent="0.25">
      <c r="A4" s="730"/>
      <c r="B4" s="730"/>
      <c r="C4" s="731"/>
      <c r="D4" s="732"/>
      <c r="E4" s="733"/>
      <c r="F4" s="734">
        <f t="shared" ref="F4:F16" si="0">SUM(H4:AX4)</f>
        <v>0</v>
      </c>
      <c r="G4" s="735" t="str">
        <f>Info!$B$2</f>
        <v>724</v>
      </c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  <c r="AK4" s="736"/>
      <c r="AL4" s="736"/>
      <c r="AM4" s="736"/>
      <c r="AN4" s="736"/>
      <c r="AO4" s="736"/>
      <c r="AP4" s="736"/>
      <c r="AQ4" s="736"/>
      <c r="AR4" s="736"/>
      <c r="AS4" s="736"/>
      <c r="AT4" s="736"/>
      <c r="AU4" s="736"/>
      <c r="AV4" s="736"/>
      <c r="AW4" s="736"/>
      <c r="AX4" s="736"/>
      <c r="AY4" s="704"/>
      <c r="AZ4" s="704"/>
      <c r="BA4" s="704"/>
      <c r="BB4" s="704"/>
      <c r="BC4" s="704"/>
      <c r="BD4" s="704"/>
      <c r="BE4" s="704"/>
      <c r="BF4" s="704"/>
      <c r="BG4" s="704"/>
      <c r="BH4" s="704"/>
      <c r="BI4" s="704"/>
    </row>
    <row r="5" spans="1:65" s="204" customFormat="1" ht="15" x14ac:dyDescent="0.25">
      <c r="A5" s="737" t="s">
        <v>1593</v>
      </c>
      <c r="B5" s="737" t="s">
        <v>1594</v>
      </c>
      <c r="C5" s="738" t="s">
        <v>1595</v>
      </c>
      <c r="D5" s="732" t="s">
        <v>6771</v>
      </c>
      <c r="E5" s="739">
        <f>SUMIF(Codifica_SP!$E$2:$E$1449,$B5,Codifica_SP!$R$2:$R$1449)</f>
        <v>0</v>
      </c>
      <c r="F5" s="740">
        <f t="shared" si="0"/>
        <v>0</v>
      </c>
      <c r="G5" s="735" t="str">
        <f>Info!$B$2</f>
        <v>724</v>
      </c>
      <c r="H5" s="736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741"/>
      <c r="AS5" s="741"/>
      <c r="AT5" s="741"/>
      <c r="AU5" s="741"/>
      <c r="AV5" s="741"/>
      <c r="AW5" s="741"/>
      <c r="AX5" s="741"/>
      <c r="AY5" s="704" t="str">
        <f>VLOOKUP(B5,Codifica_SP!E:G,3,FALSE)</f>
        <v>CM</v>
      </c>
      <c r="AZ5" s="704"/>
      <c r="BA5" s="704"/>
      <c r="BB5" s="704"/>
      <c r="BC5" s="704"/>
      <c r="BD5" s="704"/>
      <c r="BE5" s="704"/>
      <c r="BF5" s="704"/>
      <c r="BG5" s="704"/>
      <c r="BH5" s="704"/>
      <c r="BI5" s="704"/>
    </row>
    <row r="6" spans="1:65" s="204" customFormat="1" ht="15" x14ac:dyDescent="0.25">
      <c r="A6" s="737" t="s">
        <v>1603</v>
      </c>
      <c r="B6" s="737" t="s">
        <v>1604</v>
      </c>
      <c r="C6" s="738" t="s">
        <v>1605</v>
      </c>
      <c r="D6" s="732" t="s">
        <v>6771</v>
      </c>
      <c r="E6" s="739">
        <f>SUMIF(Codifica_SP!$E$2:$E$1449,$B6,Codifica_SP!$R$2:$R$1449)</f>
        <v>0</v>
      </c>
      <c r="F6" s="740">
        <f t="shared" si="0"/>
        <v>0</v>
      </c>
      <c r="G6" s="735" t="str">
        <f>Info!$B$2</f>
        <v>724</v>
      </c>
      <c r="H6" s="736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  <c r="T6" s="741"/>
      <c r="U6" s="741"/>
      <c r="V6" s="741"/>
      <c r="W6" s="741"/>
      <c r="X6" s="741"/>
      <c r="Y6" s="741"/>
      <c r="Z6" s="741"/>
      <c r="AA6" s="741"/>
      <c r="AB6" s="741"/>
      <c r="AC6" s="741"/>
      <c r="AD6" s="741"/>
      <c r="AE6" s="741"/>
      <c r="AF6" s="741"/>
      <c r="AG6" s="741"/>
      <c r="AH6" s="741"/>
      <c r="AI6" s="741"/>
      <c r="AJ6" s="741"/>
      <c r="AK6" s="741"/>
      <c r="AL6" s="741"/>
      <c r="AM6" s="741"/>
      <c r="AN6" s="741"/>
      <c r="AO6" s="741"/>
      <c r="AP6" s="741"/>
      <c r="AQ6" s="741"/>
      <c r="AR6" s="741"/>
      <c r="AS6" s="741"/>
      <c r="AT6" s="741"/>
      <c r="AU6" s="741"/>
      <c r="AV6" s="741"/>
      <c r="AW6" s="741"/>
      <c r="AX6" s="741"/>
      <c r="AY6" s="704" t="str">
        <f>VLOOKUP(B6,Codifica_SP!E:G,3,FALSE)</f>
        <v>CM</v>
      </c>
      <c r="AZ6" s="704"/>
      <c r="BA6" s="704"/>
      <c r="BB6" s="704"/>
      <c r="BC6" s="704"/>
      <c r="BD6" s="704"/>
      <c r="BE6" s="704"/>
      <c r="BF6" s="704"/>
      <c r="BG6" s="704"/>
      <c r="BH6" s="704"/>
      <c r="BI6" s="704"/>
    </row>
    <row r="7" spans="1:65" s="204" customFormat="1" ht="15" x14ac:dyDescent="0.25">
      <c r="A7" s="737" t="s">
        <v>1614</v>
      </c>
      <c r="B7" s="737" t="s">
        <v>1615</v>
      </c>
      <c r="C7" s="738" t="s">
        <v>1616</v>
      </c>
      <c r="D7" s="732" t="s">
        <v>6771</v>
      </c>
      <c r="E7" s="739">
        <f>SUMIF(Codifica_SP!$E$2:$E$1449,$B7,Codifica_SP!$R$2:$R$1449)</f>
        <v>8863133</v>
      </c>
      <c r="F7" s="740">
        <f t="shared" si="0"/>
        <v>8863133</v>
      </c>
      <c r="G7" s="735" t="str">
        <f>Info!$B$2</f>
        <v>724</v>
      </c>
      <c r="H7" s="736"/>
      <c r="I7" s="741"/>
      <c r="J7" s="741"/>
      <c r="K7" s="741"/>
      <c r="L7" s="741"/>
      <c r="M7" s="741"/>
      <c r="N7" s="741">
        <v>72132</v>
      </c>
      <c r="O7" s="741">
        <v>8789069</v>
      </c>
      <c r="P7" s="741"/>
      <c r="Q7" s="741">
        <v>1932</v>
      </c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  <c r="AW7" s="741"/>
      <c r="AX7" s="741"/>
      <c r="AY7" s="704" t="str">
        <f>VLOOKUP(B7,Codifica_SP!E:G,3,FALSE)</f>
        <v>CONS</v>
      </c>
      <c r="AZ7" s="704"/>
      <c r="BA7" s="704"/>
      <c r="BB7" s="704"/>
      <c r="BC7" s="704"/>
      <c r="BD7" s="704"/>
      <c r="BE7" s="704"/>
      <c r="BF7" s="704"/>
      <c r="BG7" s="704"/>
      <c r="BH7" s="704"/>
      <c r="BI7" s="704"/>
    </row>
    <row r="8" spans="1:65" s="204" customFormat="1" ht="15" x14ac:dyDescent="0.25">
      <c r="A8" s="737" t="s">
        <v>1620</v>
      </c>
      <c r="B8" s="737" t="s">
        <v>1621</v>
      </c>
      <c r="C8" s="738" t="s">
        <v>1622</v>
      </c>
      <c r="D8" s="732" t="s">
        <v>6771</v>
      </c>
      <c r="E8" s="739">
        <f>SUMIF(Codifica_SP!$E$2:$E$1449,$B8,Codifica_SP!$R$2:$R$1449)</f>
        <v>2178793</v>
      </c>
      <c r="F8" s="740">
        <f t="shared" si="0"/>
        <v>2178793</v>
      </c>
      <c r="G8" s="735" t="str">
        <f>Info!$B$2</f>
        <v>724</v>
      </c>
      <c r="H8" s="736"/>
      <c r="I8" s="741"/>
      <c r="J8" s="741"/>
      <c r="K8" s="741"/>
      <c r="L8" s="741"/>
      <c r="M8" s="741"/>
      <c r="N8" s="741"/>
      <c r="O8" s="741"/>
      <c r="P8" s="741"/>
      <c r="Q8" s="741">
        <f>61363-1932</f>
        <v>59431</v>
      </c>
      <c r="R8" s="741">
        <v>31350</v>
      </c>
      <c r="S8" s="741">
        <v>905</v>
      </c>
      <c r="T8" s="741">
        <v>6160</v>
      </c>
      <c r="U8" s="741">
        <v>39102</v>
      </c>
      <c r="V8" s="741"/>
      <c r="W8" s="741"/>
      <c r="X8" s="741"/>
      <c r="Y8" s="741">
        <v>3301</v>
      </c>
      <c r="Z8" s="741">
        <v>2489</v>
      </c>
      <c r="AA8" s="741">
        <v>1400</v>
      </c>
      <c r="AB8" s="741"/>
      <c r="AC8" s="741"/>
      <c r="AD8" s="741">
        <v>5111</v>
      </c>
      <c r="AE8" s="741"/>
      <c r="AF8" s="741"/>
      <c r="AG8" s="741">
        <v>8185</v>
      </c>
      <c r="AH8" s="741"/>
      <c r="AI8" s="741"/>
      <c r="AJ8" s="741"/>
      <c r="AK8" s="741">
        <v>28021</v>
      </c>
      <c r="AL8" s="741"/>
      <c r="AM8" s="741">
        <v>90204</v>
      </c>
      <c r="AN8" s="741"/>
      <c r="AO8" s="741">
        <v>603653</v>
      </c>
      <c r="AP8" s="741">
        <f>613601+52491</f>
        <v>666092</v>
      </c>
      <c r="AQ8" s="741"/>
      <c r="AR8" s="741"/>
      <c r="AS8" s="741"/>
      <c r="AT8" s="741"/>
      <c r="AU8" s="741"/>
      <c r="AV8" s="741"/>
      <c r="AW8" s="741">
        <v>633389</v>
      </c>
      <c r="AX8" s="741"/>
      <c r="AY8" s="704" t="str">
        <f>VLOOKUP(B8,Codifica_SP!E:G,3,FALSE)</f>
        <v>CONS</v>
      </c>
      <c r="AZ8" s="704"/>
      <c r="BA8" s="704"/>
      <c r="BB8" s="704"/>
      <c r="BC8" s="704"/>
      <c r="BD8" s="704"/>
      <c r="BE8" s="704"/>
      <c r="BF8" s="704"/>
      <c r="BG8" s="704"/>
      <c r="BH8" s="704"/>
      <c r="BI8" s="704"/>
    </row>
    <row r="9" spans="1:65" s="204" customFormat="1" ht="15" x14ac:dyDescent="0.25">
      <c r="A9" s="737" t="s">
        <v>1623</v>
      </c>
      <c r="B9" s="737" t="s">
        <v>1624</v>
      </c>
      <c r="C9" s="738" t="s">
        <v>1625</v>
      </c>
      <c r="D9" s="732" t="s">
        <v>6771</v>
      </c>
      <c r="E9" s="739">
        <f>SUMIF(Codifica_SP!$E$2:$E$1449,$B9,Codifica_SP!$R$2:$R$1449)</f>
        <v>848251</v>
      </c>
      <c r="F9" s="740">
        <f t="shared" si="0"/>
        <v>848251</v>
      </c>
      <c r="G9" s="735" t="str">
        <f>Info!$B$2</f>
        <v>724</v>
      </c>
      <c r="H9" s="736"/>
      <c r="I9" s="741"/>
      <c r="J9" s="741"/>
      <c r="K9" s="741"/>
      <c r="L9" s="741"/>
      <c r="M9" s="741"/>
      <c r="N9" s="741"/>
      <c r="O9" s="741"/>
      <c r="P9" s="741"/>
      <c r="Q9" s="741"/>
      <c r="R9" s="741"/>
      <c r="S9" s="741"/>
      <c r="T9" s="741"/>
      <c r="U9" s="741"/>
      <c r="V9" s="741"/>
      <c r="W9" s="741"/>
      <c r="X9" s="741"/>
      <c r="Y9" s="741"/>
      <c r="Z9" s="741"/>
      <c r="AA9" s="741"/>
      <c r="AB9" s="741"/>
      <c r="AC9" s="741"/>
      <c r="AD9" s="741"/>
      <c r="AE9" s="741"/>
      <c r="AF9" s="741"/>
      <c r="AG9" s="741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>
        <v>2090</v>
      </c>
      <c r="AT9" s="741">
        <v>88550</v>
      </c>
      <c r="AU9" s="741">
        <v>723438</v>
      </c>
      <c r="AV9" s="741">
        <v>34173</v>
      </c>
      <c r="AW9" s="741"/>
      <c r="AX9" s="741"/>
      <c r="AY9" s="704" t="str">
        <f>VLOOKUP(B9,Codifica_SP!E:G,3,FALSE)</f>
        <v>CONS</v>
      </c>
      <c r="AZ9" s="704"/>
      <c r="BA9" s="704"/>
      <c r="BB9" s="704"/>
      <c r="BC9" s="704"/>
      <c r="BD9" s="704"/>
      <c r="BE9" s="704"/>
      <c r="BF9" s="704"/>
      <c r="BG9" s="704"/>
      <c r="BH9" s="704"/>
      <c r="BI9" s="704"/>
    </row>
    <row r="10" spans="1:65" s="204" customFormat="1" ht="15" x14ac:dyDescent="0.25">
      <c r="A10" s="742" t="s">
        <v>1626</v>
      </c>
      <c r="B10" s="742" t="s">
        <v>1627</v>
      </c>
      <c r="C10" s="738" t="s">
        <v>1629</v>
      </c>
      <c r="D10" s="732" t="s">
        <v>6771</v>
      </c>
      <c r="E10" s="739">
        <f>SUMIF(Codifica_SP!$E$2:$E$1449,$B10,Codifica_SP!$R$2:$R$1449)</f>
        <v>0</v>
      </c>
      <c r="F10" s="740">
        <f t="shared" si="0"/>
        <v>0</v>
      </c>
      <c r="G10" s="735" t="str">
        <f>Info!$B$2</f>
        <v>724</v>
      </c>
      <c r="H10" s="736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04" t="str">
        <f>VLOOKUP(B10,Codifica_SP!E:G,3,FALSE)</f>
        <v>CONS</v>
      </c>
      <c r="AZ10" s="704"/>
      <c r="BA10" s="704"/>
      <c r="BB10" s="704"/>
      <c r="BC10" s="704"/>
      <c r="BD10" s="704"/>
      <c r="BE10" s="704"/>
      <c r="BF10" s="704"/>
      <c r="BG10" s="704"/>
      <c r="BH10" s="704"/>
      <c r="BI10" s="704"/>
    </row>
    <row r="11" spans="1:65" s="204" customFormat="1" ht="30" x14ac:dyDescent="0.25">
      <c r="A11" s="99" t="s">
        <v>1648</v>
      </c>
      <c r="B11" s="99" t="s">
        <v>1649</v>
      </c>
      <c r="C11" s="743" t="s">
        <v>1651</v>
      </c>
      <c r="D11" s="732" t="s">
        <v>6771</v>
      </c>
      <c r="E11" s="739">
        <f>SUMIF(Codifica_SP!$E$2:$E$1449,$B11,Codifica_SP!$R$2:$R$1449)</f>
        <v>0</v>
      </c>
      <c r="F11" s="740">
        <f t="shared" si="0"/>
        <v>0</v>
      </c>
      <c r="G11" s="735" t="str">
        <f>Info!$B$2</f>
        <v>724</v>
      </c>
      <c r="H11" s="736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04"/>
      <c r="AZ11" s="704"/>
      <c r="BA11" s="704"/>
      <c r="BB11" s="704"/>
      <c r="BC11" s="704"/>
      <c r="BD11" s="704"/>
      <c r="BE11" s="704"/>
      <c r="BF11" s="704"/>
      <c r="BG11" s="704"/>
      <c r="BH11" s="704"/>
      <c r="BI11" s="704"/>
    </row>
    <row r="12" spans="1:65" s="204" customFormat="1" ht="30" x14ac:dyDescent="0.25">
      <c r="A12" s="99" t="s">
        <v>1652</v>
      </c>
      <c r="B12" s="99" t="s">
        <v>1653</v>
      </c>
      <c r="C12" s="743" t="s">
        <v>1654</v>
      </c>
      <c r="D12" s="732" t="s">
        <v>6771</v>
      </c>
      <c r="E12" s="739">
        <f>SUMIF(Codifica_SP!$E$2:$E$1449,$B12,Codifica_SP!$R$2:$R$1449)</f>
        <v>0</v>
      </c>
      <c r="F12" s="740">
        <f t="shared" si="0"/>
        <v>0</v>
      </c>
      <c r="G12" s="735" t="str">
        <f>Info!$B$2</f>
        <v>724</v>
      </c>
      <c r="H12" s="736"/>
      <c r="I12" s="741"/>
      <c r="J12" s="741"/>
      <c r="K12" s="741"/>
      <c r="L12" s="741"/>
      <c r="M12" s="741"/>
      <c r="N12" s="741"/>
      <c r="O12" s="741"/>
      <c r="P12" s="741"/>
      <c r="Q12" s="741"/>
      <c r="R12" s="741"/>
      <c r="S12" s="741"/>
      <c r="T12" s="741"/>
      <c r="U12" s="741"/>
      <c r="V12" s="741"/>
      <c r="W12" s="741"/>
      <c r="X12" s="741"/>
      <c r="Y12" s="741"/>
      <c r="Z12" s="741"/>
      <c r="AA12" s="741"/>
      <c r="AB12" s="741"/>
      <c r="AC12" s="741"/>
      <c r="AD12" s="741"/>
      <c r="AE12" s="741"/>
      <c r="AF12" s="741"/>
      <c r="AG12" s="741"/>
      <c r="AH12" s="741"/>
      <c r="AI12" s="741"/>
      <c r="AJ12" s="741"/>
      <c r="AK12" s="741"/>
      <c r="AL12" s="741"/>
      <c r="AM12" s="741"/>
      <c r="AN12" s="741"/>
      <c r="AO12" s="741"/>
      <c r="AP12" s="741"/>
      <c r="AQ12" s="741"/>
      <c r="AR12" s="741"/>
      <c r="AS12" s="741"/>
      <c r="AT12" s="741"/>
      <c r="AU12" s="741"/>
      <c r="AV12" s="741"/>
      <c r="AW12" s="741"/>
      <c r="AX12" s="741"/>
      <c r="AY12" s="704"/>
      <c r="AZ12" s="704"/>
      <c r="BA12" s="704"/>
      <c r="BB12" s="704"/>
      <c r="BC12" s="704"/>
      <c r="BD12" s="704"/>
      <c r="BE12" s="704"/>
      <c r="BF12" s="704"/>
      <c r="BG12" s="704"/>
      <c r="BH12" s="704"/>
      <c r="BI12" s="704"/>
    </row>
    <row r="13" spans="1:65" s="204" customFormat="1" ht="30" x14ac:dyDescent="0.25">
      <c r="A13" s="99" t="s">
        <v>1655</v>
      </c>
      <c r="B13" s="99" t="s">
        <v>1656</v>
      </c>
      <c r="C13" s="743" t="s">
        <v>1657</v>
      </c>
      <c r="D13" s="732" t="s">
        <v>6771</v>
      </c>
      <c r="E13" s="739">
        <f>SUMIF(Codifica_SP!$E$2:$E$1449,$B13,Codifica_SP!$R$2:$R$1449)</f>
        <v>0</v>
      </c>
      <c r="F13" s="740">
        <f t="shared" si="0"/>
        <v>0</v>
      </c>
      <c r="G13" s="735" t="str">
        <f>Info!$B$2</f>
        <v>724</v>
      </c>
      <c r="H13" s="736"/>
      <c r="I13" s="741"/>
      <c r="J13" s="741"/>
      <c r="K13" s="741"/>
      <c r="L13" s="741"/>
      <c r="M13" s="741"/>
      <c r="N13" s="741"/>
      <c r="O13" s="741"/>
      <c r="P13" s="741"/>
      <c r="Q13" s="741"/>
      <c r="R13" s="741"/>
      <c r="S13" s="741"/>
      <c r="T13" s="741"/>
      <c r="U13" s="741"/>
      <c r="V13" s="741"/>
      <c r="W13" s="741"/>
      <c r="X13" s="741"/>
      <c r="Y13" s="741"/>
      <c r="Z13" s="741"/>
      <c r="AA13" s="741"/>
      <c r="AB13" s="741"/>
      <c r="AC13" s="741"/>
      <c r="AD13" s="741"/>
      <c r="AE13" s="741"/>
      <c r="AF13" s="741"/>
      <c r="AG13" s="741"/>
      <c r="AH13" s="741"/>
      <c r="AI13" s="741"/>
      <c r="AJ13" s="741"/>
      <c r="AK13" s="741"/>
      <c r="AL13" s="741"/>
      <c r="AM13" s="741"/>
      <c r="AN13" s="741"/>
      <c r="AO13" s="741"/>
      <c r="AP13" s="741"/>
      <c r="AQ13" s="741"/>
      <c r="AR13" s="741"/>
      <c r="AS13" s="741"/>
      <c r="AT13" s="741"/>
      <c r="AU13" s="741"/>
      <c r="AV13" s="741"/>
      <c r="AW13" s="741"/>
      <c r="AX13" s="741"/>
      <c r="AY13" s="704"/>
      <c r="AZ13" s="704"/>
      <c r="BA13" s="704"/>
      <c r="BB13" s="704"/>
      <c r="BC13" s="704"/>
      <c r="BD13" s="704"/>
      <c r="BE13" s="704"/>
      <c r="BF13" s="704"/>
      <c r="BG13" s="704"/>
      <c r="BH13" s="704"/>
      <c r="BI13" s="704"/>
    </row>
    <row r="14" spans="1:65" s="204" customFormat="1" ht="15" x14ac:dyDescent="0.25">
      <c r="A14" s="737" t="s">
        <v>1630</v>
      </c>
      <c r="B14" s="737" t="s">
        <v>1631</v>
      </c>
      <c r="C14" s="738" t="s">
        <v>1633</v>
      </c>
      <c r="D14" s="732" t="s">
        <v>6771</v>
      </c>
      <c r="E14" s="739">
        <f>SUMIF(Codifica_SP!$E$2:$E$1449,$B14,Codifica_SP!$R$2:$R$1449)</f>
        <v>0</v>
      </c>
      <c r="F14" s="740">
        <f t="shared" si="0"/>
        <v>0</v>
      </c>
      <c r="G14" s="735" t="str">
        <f>Info!$B$2</f>
        <v>724</v>
      </c>
      <c r="H14" s="736"/>
      <c r="I14" s="741"/>
      <c r="J14" s="741"/>
      <c r="K14" s="741"/>
      <c r="L14" s="741"/>
      <c r="M14" s="741"/>
      <c r="N14" s="741"/>
      <c r="O14" s="741"/>
      <c r="P14" s="741"/>
      <c r="Q14" s="741"/>
      <c r="R14" s="741"/>
      <c r="S14" s="741"/>
      <c r="T14" s="741"/>
      <c r="U14" s="741"/>
      <c r="V14" s="741"/>
      <c r="W14" s="741"/>
      <c r="X14" s="741"/>
      <c r="Y14" s="741"/>
      <c r="Z14" s="741"/>
      <c r="AA14" s="741"/>
      <c r="AB14" s="741"/>
      <c r="AC14" s="741"/>
      <c r="AD14" s="741"/>
      <c r="AE14" s="741"/>
      <c r="AF14" s="741"/>
      <c r="AG14" s="741"/>
      <c r="AH14" s="741"/>
      <c r="AI14" s="741"/>
      <c r="AJ14" s="741"/>
      <c r="AK14" s="741"/>
      <c r="AL14" s="741"/>
      <c r="AM14" s="741"/>
      <c r="AN14" s="741"/>
      <c r="AO14" s="741"/>
      <c r="AP14" s="741"/>
      <c r="AQ14" s="741"/>
      <c r="AR14" s="741"/>
      <c r="AS14" s="741"/>
      <c r="AT14" s="741"/>
      <c r="AU14" s="741"/>
      <c r="AV14" s="741"/>
      <c r="AW14" s="741"/>
      <c r="AX14" s="741"/>
      <c r="AY14" s="704" t="str">
        <f>VLOOKUP(B14,Codifica_SP!E:G,3,FALSE)</f>
        <v>CONS</v>
      </c>
      <c r="AZ14" s="704"/>
      <c r="BA14" s="704"/>
      <c r="BB14" s="704"/>
      <c r="BC14" s="704"/>
      <c r="BD14" s="704"/>
      <c r="BE14" s="704"/>
      <c r="BF14" s="704"/>
      <c r="BG14" s="704"/>
      <c r="BH14" s="704"/>
      <c r="BI14" s="704"/>
    </row>
    <row r="15" spans="1:65" s="204" customFormat="1" ht="15" x14ac:dyDescent="0.25">
      <c r="A15" s="737" t="s">
        <v>1824</v>
      </c>
      <c r="B15" s="737" t="s">
        <v>1825</v>
      </c>
      <c r="C15" s="744" t="s">
        <v>1826</v>
      </c>
      <c r="D15" s="732" t="s">
        <v>6771</v>
      </c>
      <c r="E15" s="739">
        <f>SUMIF(Codifica_SP!$E$2:$E$1449,$B15,Codifica_SP!$R$2:$R$1449)</f>
        <v>0</v>
      </c>
      <c r="F15" s="740">
        <f t="shared" si="0"/>
        <v>0</v>
      </c>
      <c r="G15" s="735" t="str">
        <f>Info!$B$2</f>
        <v>724</v>
      </c>
      <c r="H15" s="736"/>
      <c r="I15" s="741"/>
      <c r="J15" s="741"/>
      <c r="K15" s="741"/>
      <c r="L15" s="741"/>
      <c r="M15" s="741"/>
      <c r="N15" s="741"/>
      <c r="O15" s="741"/>
      <c r="P15" s="741"/>
      <c r="Q15" s="741"/>
      <c r="R15" s="741"/>
      <c r="S15" s="741"/>
      <c r="T15" s="741"/>
      <c r="U15" s="741"/>
      <c r="V15" s="741"/>
      <c r="W15" s="741"/>
      <c r="X15" s="741"/>
      <c r="Y15" s="741"/>
      <c r="Z15" s="741"/>
      <c r="AA15" s="741"/>
      <c r="AB15" s="741"/>
      <c r="AC15" s="741"/>
      <c r="AD15" s="741"/>
      <c r="AE15" s="741"/>
      <c r="AF15" s="741"/>
      <c r="AG15" s="741"/>
      <c r="AH15" s="741"/>
      <c r="AI15" s="741"/>
      <c r="AJ15" s="741"/>
      <c r="AK15" s="741"/>
      <c r="AL15" s="741"/>
      <c r="AM15" s="741"/>
      <c r="AN15" s="741"/>
      <c r="AO15" s="741"/>
      <c r="AP15" s="741"/>
      <c r="AQ15" s="741"/>
      <c r="AR15" s="741"/>
      <c r="AS15" s="741"/>
      <c r="AT15" s="741"/>
      <c r="AU15" s="741"/>
      <c r="AV15" s="741"/>
      <c r="AW15" s="741"/>
      <c r="AX15" s="741"/>
      <c r="AY15" s="704" t="str">
        <f>VLOOKUP(B15,Codifica_SP!E:G,3,FALSE)</f>
        <v>CONS</v>
      </c>
      <c r="AZ15" s="704"/>
      <c r="BA15" s="704"/>
      <c r="BB15" s="704"/>
      <c r="BC15" s="704"/>
      <c r="BD15" s="704"/>
      <c r="BE15" s="704"/>
      <c r="BF15" s="704"/>
      <c r="BG15" s="704"/>
      <c r="BH15" s="704"/>
      <c r="BI15" s="704"/>
    </row>
    <row r="16" spans="1:65" s="204" customFormat="1" ht="15" x14ac:dyDescent="0.25">
      <c r="A16" s="737" t="s">
        <v>1835</v>
      </c>
      <c r="B16" s="737" t="s">
        <v>1836</v>
      </c>
      <c r="C16" s="263" t="s">
        <v>6772</v>
      </c>
      <c r="D16" s="732" t="s">
        <v>6771</v>
      </c>
      <c r="E16" s="739">
        <f>SUMIF(Codifica_SP!$E$2:$E$1449,$B16,Codifica_SP!$R$2:$R$1449)</f>
        <v>0</v>
      </c>
      <c r="F16" s="740">
        <f t="shared" si="0"/>
        <v>0</v>
      </c>
      <c r="G16" s="735" t="str">
        <f>Info!$B$2</f>
        <v>724</v>
      </c>
      <c r="H16" s="736"/>
      <c r="I16" s="741"/>
      <c r="J16" s="741"/>
      <c r="K16" s="741"/>
      <c r="L16" s="741"/>
      <c r="M16" s="741"/>
      <c r="N16" s="741"/>
      <c r="O16" s="741"/>
      <c r="P16" s="741"/>
      <c r="Q16" s="741"/>
      <c r="R16" s="741"/>
      <c r="S16" s="741"/>
      <c r="T16" s="741"/>
      <c r="U16" s="741"/>
      <c r="V16" s="741"/>
      <c r="W16" s="741"/>
      <c r="X16" s="741"/>
      <c r="Y16" s="741"/>
      <c r="Z16" s="741"/>
      <c r="AA16" s="741"/>
      <c r="AB16" s="741"/>
      <c r="AC16" s="741"/>
      <c r="AD16" s="741"/>
      <c r="AE16" s="741"/>
      <c r="AF16" s="741"/>
      <c r="AG16" s="741"/>
      <c r="AH16" s="741"/>
      <c r="AI16" s="741"/>
      <c r="AJ16" s="741"/>
      <c r="AK16" s="741"/>
      <c r="AL16" s="741"/>
      <c r="AM16" s="741"/>
      <c r="AN16" s="741"/>
      <c r="AO16" s="741"/>
      <c r="AP16" s="741"/>
      <c r="AQ16" s="741"/>
      <c r="AR16" s="741"/>
      <c r="AS16" s="741"/>
      <c r="AT16" s="741"/>
      <c r="AU16" s="741"/>
      <c r="AV16" s="741"/>
      <c r="AW16" s="741"/>
      <c r="AX16" s="741"/>
      <c r="AY16" s="704" t="str">
        <f>VLOOKUP(B16,Codifica_SP!E:G,3,FALSE)</f>
        <v>CONS</v>
      </c>
      <c r="AZ16" s="704"/>
      <c r="BA16" s="704"/>
      <c r="BB16" s="704"/>
      <c r="BC16" s="704"/>
      <c r="BD16" s="704"/>
      <c r="BE16" s="704"/>
      <c r="BF16" s="704"/>
      <c r="BG16" s="704"/>
      <c r="BH16" s="704"/>
      <c r="BI16" s="704"/>
    </row>
    <row r="17" spans="1:61" ht="15.75" customHeight="1" x14ac:dyDescent="0.2">
      <c r="A17" s="724"/>
      <c r="B17" s="724"/>
      <c r="C17" s="725" t="s">
        <v>6773</v>
      </c>
      <c r="D17" s="725"/>
      <c r="E17" s="745"/>
      <c r="F17" s="745"/>
      <c r="G17" s="727"/>
      <c r="H17" s="728"/>
      <c r="I17" s="746"/>
      <c r="J17" s="746"/>
      <c r="K17" s="746"/>
      <c r="L17" s="746"/>
      <c r="M17" s="746"/>
      <c r="N17" s="746"/>
      <c r="O17" s="746"/>
      <c r="P17" s="746"/>
      <c r="Q17" s="746"/>
      <c r="R17" s="746"/>
      <c r="S17" s="746"/>
      <c r="T17" s="746"/>
      <c r="U17" s="746"/>
      <c r="V17" s="746"/>
      <c r="W17" s="746"/>
      <c r="X17" s="746"/>
      <c r="Y17" s="746"/>
      <c r="Z17" s="746"/>
      <c r="AA17" s="746"/>
      <c r="AB17" s="746"/>
      <c r="AC17" s="746"/>
      <c r="AD17" s="746"/>
      <c r="AE17" s="746"/>
      <c r="AF17" s="746"/>
      <c r="AG17" s="746"/>
      <c r="AH17" s="746"/>
      <c r="AI17" s="746"/>
      <c r="AJ17" s="746"/>
      <c r="AK17" s="746"/>
      <c r="AL17" s="746"/>
      <c r="AM17" s="746"/>
      <c r="AN17" s="746"/>
      <c r="AO17" s="746"/>
      <c r="AP17" s="746"/>
      <c r="AQ17" s="746"/>
      <c r="AR17" s="746"/>
      <c r="AS17" s="746"/>
      <c r="AT17" s="746"/>
      <c r="AU17" s="746"/>
      <c r="AV17" s="746"/>
      <c r="AW17" s="746"/>
      <c r="AX17" s="747"/>
    </row>
    <row r="18" spans="1:61" s="204" customFormat="1" ht="15" x14ac:dyDescent="0.25">
      <c r="A18" s="380" t="s">
        <v>2365</v>
      </c>
      <c r="B18" s="380" t="s">
        <v>2366</v>
      </c>
      <c r="C18" s="738" t="s">
        <v>2367</v>
      </c>
      <c r="D18" s="732" t="s">
        <v>6771</v>
      </c>
      <c r="E18" s="739">
        <f>SUMIF(Codifica_SP!$E$2:$E$1449,$B18,Codifica_SP!$R$2:$R$1449)</f>
        <v>0</v>
      </c>
      <c r="F18" s="740">
        <f t="shared" ref="F18:F37" si="1">SUM(H18:AX18)</f>
        <v>0</v>
      </c>
      <c r="G18" s="735" t="str">
        <f>Info!$B$2</f>
        <v>724</v>
      </c>
      <c r="H18" s="736"/>
      <c r="I18" s="741"/>
      <c r="J18" s="741"/>
      <c r="K18" s="741"/>
      <c r="L18" s="741"/>
      <c r="M18" s="741"/>
      <c r="N18" s="741"/>
      <c r="O18" s="741"/>
      <c r="P18" s="741"/>
      <c r="Q18" s="741"/>
      <c r="R18" s="741"/>
      <c r="S18" s="741"/>
      <c r="T18" s="741"/>
      <c r="U18" s="741"/>
      <c r="V18" s="741"/>
      <c r="W18" s="741"/>
      <c r="X18" s="741"/>
      <c r="Y18" s="741"/>
      <c r="Z18" s="741"/>
      <c r="AA18" s="741"/>
      <c r="AB18" s="741"/>
      <c r="AC18" s="741"/>
      <c r="AD18" s="741"/>
      <c r="AE18" s="741"/>
      <c r="AF18" s="741"/>
      <c r="AG18" s="741"/>
      <c r="AH18" s="741"/>
      <c r="AI18" s="741"/>
      <c r="AJ18" s="741"/>
      <c r="AK18" s="741"/>
      <c r="AL18" s="741"/>
      <c r="AM18" s="741"/>
      <c r="AN18" s="741"/>
      <c r="AO18" s="741"/>
      <c r="AP18" s="741"/>
      <c r="AQ18" s="741"/>
      <c r="AR18" s="741"/>
      <c r="AS18" s="741"/>
      <c r="AT18" s="741"/>
      <c r="AU18" s="741"/>
      <c r="AV18" s="741"/>
      <c r="AW18" s="741"/>
      <c r="AX18" s="741"/>
      <c r="AY18" s="704"/>
      <c r="AZ18" s="704"/>
      <c r="BA18" s="704"/>
      <c r="BB18" s="704"/>
      <c r="BC18" s="704"/>
      <c r="BD18" s="704"/>
      <c r="BE18" s="704"/>
      <c r="BF18" s="704"/>
      <c r="BG18" s="704"/>
      <c r="BH18" s="704"/>
      <c r="BI18" s="704"/>
    </row>
    <row r="19" spans="1:61" s="204" customFormat="1" ht="15" x14ac:dyDescent="0.25">
      <c r="A19" s="380" t="s">
        <v>2371</v>
      </c>
      <c r="B19" s="380" t="s">
        <v>2372</v>
      </c>
      <c r="C19" s="738" t="s">
        <v>2373</v>
      </c>
      <c r="D19" s="732" t="s">
        <v>6771</v>
      </c>
      <c r="E19" s="739">
        <f>SUMIF(Codifica_SP!$E$2:$E$1449,$B19,Codifica_SP!$R$2:$R$1449)</f>
        <v>0</v>
      </c>
      <c r="F19" s="740">
        <f t="shared" si="1"/>
        <v>0</v>
      </c>
      <c r="G19" s="735" t="str">
        <f>Info!$B$2</f>
        <v>724</v>
      </c>
      <c r="H19" s="736"/>
      <c r="I19" s="741"/>
      <c r="J19" s="741"/>
      <c r="K19" s="741"/>
      <c r="L19" s="741"/>
      <c r="M19" s="741"/>
      <c r="N19" s="741"/>
      <c r="O19" s="741"/>
      <c r="P19" s="741"/>
      <c r="Q19" s="741"/>
      <c r="R19" s="741"/>
      <c r="S19" s="741"/>
      <c r="T19" s="741"/>
      <c r="U19" s="741"/>
      <c r="V19" s="741"/>
      <c r="W19" s="741"/>
      <c r="X19" s="741"/>
      <c r="Y19" s="741"/>
      <c r="Z19" s="741"/>
      <c r="AA19" s="741"/>
      <c r="AB19" s="741"/>
      <c r="AC19" s="741"/>
      <c r="AD19" s="741"/>
      <c r="AE19" s="741"/>
      <c r="AF19" s="741"/>
      <c r="AG19" s="741"/>
      <c r="AH19" s="741"/>
      <c r="AI19" s="741"/>
      <c r="AJ19" s="741"/>
      <c r="AK19" s="741"/>
      <c r="AL19" s="741"/>
      <c r="AM19" s="741"/>
      <c r="AN19" s="741"/>
      <c r="AO19" s="741"/>
      <c r="AP19" s="741"/>
      <c r="AQ19" s="741"/>
      <c r="AR19" s="741"/>
      <c r="AS19" s="741"/>
      <c r="AT19" s="741"/>
      <c r="AU19" s="741"/>
      <c r="AV19" s="741"/>
      <c r="AW19" s="741"/>
      <c r="AX19" s="741"/>
      <c r="AY19" s="704"/>
      <c r="AZ19" s="704"/>
      <c r="BA19" s="704"/>
      <c r="BB19" s="704"/>
      <c r="BC19" s="704"/>
      <c r="BD19" s="704"/>
      <c r="BE19" s="704"/>
      <c r="BF19" s="704"/>
      <c r="BG19" s="704"/>
      <c r="BH19" s="704"/>
      <c r="BI19" s="704"/>
    </row>
    <row r="20" spans="1:61" s="204" customFormat="1" ht="15" x14ac:dyDescent="0.25">
      <c r="A20" s="380" t="s">
        <v>2374</v>
      </c>
      <c r="B20" s="380" t="s">
        <v>2375</v>
      </c>
      <c r="C20" s="738" t="s">
        <v>2376</v>
      </c>
      <c r="D20" s="732" t="s">
        <v>6771</v>
      </c>
      <c r="E20" s="739">
        <f>SUMIF(Codifica_SP!$E$2:$E$1449,$B20,Codifica_SP!$R$2:$R$1449)</f>
        <v>0</v>
      </c>
      <c r="F20" s="740">
        <f t="shared" si="1"/>
        <v>0</v>
      </c>
      <c r="G20" s="735" t="str">
        <f>Info!$B$2</f>
        <v>724</v>
      </c>
      <c r="H20" s="736"/>
      <c r="I20" s="741"/>
      <c r="J20" s="741"/>
      <c r="K20" s="741"/>
      <c r="L20" s="741"/>
      <c r="M20" s="741"/>
      <c r="N20" s="741"/>
      <c r="O20" s="741"/>
      <c r="P20" s="741"/>
      <c r="Q20" s="741"/>
      <c r="R20" s="741"/>
      <c r="S20" s="741"/>
      <c r="T20" s="741"/>
      <c r="U20" s="741"/>
      <c r="V20" s="741"/>
      <c r="W20" s="741"/>
      <c r="X20" s="741"/>
      <c r="Y20" s="741"/>
      <c r="Z20" s="741"/>
      <c r="AA20" s="741"/>
      <c r="AB20" s="741"/>
      <c r="AC20" s="741"/>
      <c r="AD20" s="741"/>
      <c r="AE20" s="741"/>
      <c r="AF20" s="741"/>
      <c r="AG20" s="741"/>
      <c r="AH20" s="741"/>
      <c r="AI20" s="741"/>
      <c r="AJ20" s="741"/>
      <c r="AK20" s="741"/>
      <c r="AL20" s="741"/>
      <c r="AM20" s="741"/>
      <c r="AN20" s="741"/>
      <c r="AO20" s="741"/>
      <c r="AP20" s="741"/>
      <c r="AQ20" s="741"/>
      <c r="AR20" s="741"/>
      <c r="AS20" s="741"/>
      <c r="AT20" s="741"/>
      <c r="AU20" s="741"/>
      <c r="AV20" s="741"/>
      <c r="AW20" s="741"/>
      <c r="AX20" s="741"/>
      <c r="AY20" s="704"/>
      <c r="AZ20" s="704"/>
      <c r="BA20" s="704"/>
      <c r="BB20" s="704"/>
      <c r="BC20" s="704"/>
      <c r="BD20" s="704"/>
      <c r="BE20" s="704"/>
      <c r="BF20" s="704"/>
      <c r="BG20" s="704"/>
      <c r="BH20" s="704"/>
      <c r="BI20" s="704"/>
    </row>
    <row r="21" spans="1:61" s="204" customFormat="1" ht="15" x14ac:dyDescent="0.25">
      <c r="A21" s="380" t="s">
        <v>2380</v>
      </c>
      <c r="B21" s="380" t="s">
        <v>2381</v>
      </c>
      <c r="C21" s="738" t="s">
        <v>6774</v>
      </c>
      <c r="D21" s="732" t="s">
        <v>6771</v>
      </c>
      <c r="E21" s="739">
        <f>SUMIF(Codifica_SP!$E$2:$E$1449,$B21,Codifica_SP!$R$2:$R$1449)</f>
        <v>0</v>
      </c>
      <c r="F21" s="740">
        <f t="shared" si="1"/>
        <v>0</v>
      </c>
      <c r="G21" s="735" t="str">
        <f>Info!$B$2</f>
        <v>724</v>
      </c>
      <c r="H21" s="736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/>
      <c r="AP21" s="741"/>
      <c r="AQ21" s="741"/>
      <c r="AR21" s="741"/>
      <c r="AS21" s="741"/>
      <c r="AT21" s="741"/>
      <c r="AU21" s="741"/>
      <c r="AV21" s="741"/>
      <c r="AW21" s="741"/>
      <c r="AX21" s="741"/>
      <c r="AY21" s="704"/>
      <c r="AZ21" s="704"/>
      <c r="BA21" s="704"/>
      <c r="BB21" s="704"/>
      <c r="BC21" s="704"/>
      <c r="BD21" s="704"/>
      <c r="BE21" s="704"/>
      <c r="BF21" s="704"/>
      <c r="BG21" s="704"/>
      <c r="BH21" s="704"/>
      <c r="BI21" s="704"/>
    </row>
    <row r="22" spans="1:61" s="204" customFormat="1" ht="15" x14ac:dyDescent="0.25">
      <c r="A22" s="380" t="s">
        <v>2385</v>
      </c>
      <c r="B22" s="380" t="s">
        <v>2386</v>
      </c>
      <c r="C22" s="738" t="s">
        <v>6775</v>
      </c>
      <c r="D22" s="732" t="s">
        <v>6771</v>
      </c>
      <c r="E22" s="739">
        <f>SUMIF(Codifica_SP!$E$2:$E$1449,$B22,Codifica_SP!$R$2:$R$1449)</f>
        <v>0</v>
      </c>
      <c r="F22" s="740">
        <f t="shared" si="1"/>
        <v>0</v>
      </c>
      <c r="G22" s="735" t="str">
        <f>Info!$B$2</f>
        <v>724</v>
      </c>
      <c r="H22" s="736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/>
      <c r="AP22" s="741"/>
      <c r="AQ22" s="741"/>
      <c r="AR22" s="741"/>
      <c r="AS22" s="741"/>
      <c r="AT22" s="741"/>
      <c r="AU22" s="741"/>
      <c r="AV22" s="741"/>
      <c r="AW22" s="741"/>
      <c r="AX22" s="741"/>
      <c r="AY22" s="704"/>
      <c r="AZ22" s="704"/>
      <c r="BA22" s="704"/>
      <c r="BB22" s="704"/>
      <c r="BC22" s="704"/>
      <c r="BD22" s="704"/>
      <c r="BE22" s="704"/>
      <c r="BF22" s="704"/>
      <c r="BG22" s="704"/>
      <c r="BH22" s="704"/>
      <c r="BI22" s="704"/>
    </row>
    <row r="23" spans="1:61" s="204" customFormat="1" ht="15" customHeight="1" x14ac:dyDescent="0.25">
      <c r="A23" s="380" t="s">
        <v>2398</v>
      </c>
      <c r="B23" s="380" t="s">
        <v>2399</v>
      </c>
      <c r="C23" s="748" t="s">
        <v>2400</v>
      </c>
      <c r="D23" s="732" t="s">
        <v>6771</v>
      </c>
      <c r="E23" s="739">
        <f>SUMIF(Codifica_SP!$E$2:$E$1449,$B23,Codifica_SP!$R$2:$R$1449)</f>
        <v>4157082</v>
      </c>
      <c r="F23" s="740">
        <f t="shared" si="1"/>
        <v>4157082</v>
      </c>
      <c r="G23" s="735" t="str">
        <f>Info!$B$2</f>
        <v>724</v>
      </c>
      <c r="H23" s="736"/>
      <c r="I23" s="741"/>
      <c r="J23" s="741"/>
      <c r="K23" s="741"/>
      <c r="L23" s="741"/>
      <c r="M23" s="741"/>
      <c r="N23" s="741"/>
      <c r="O23" s="741">
        <v>4157082</v>
      </c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/>
      <c r="AP23" s="741"/>
      <c r="AQ23" s="741"/>
      <c r="AR23" s="741"/>
      <c r="AS23" s="741"/>
      <c r="AT23" s="741"/>
      <c r="AU23" s="741"/>
      <c r="AV23" s="741"/>
      <c r="AW23" s="741"/>
      <c r="AX23" s="741"/>
      <c r="AY23" s="704"/>
      <c r="AZ23" s="704"/>
      <c r="BA23" s="704"/>
      <c r="BB23" s="704"/>
      <c r="BC23" s="704"/>
      <c r="BD23" s="704"/>
      <c r="BE23" s="704"/>
      <c r="BF23" s="704"/>
      <c r="BG23" s="704"/>
      <c r="BH23" s="704"/>
      <c r="BI23" s="704"/>
    </row>
    <row r="24" spans="1:61" s="204" customFormat="1" ht="15" x14ac:dyDescent="0.25">
      <c r="A24" s="380" t="s">
        <v>2404</v>
      </c>
      <c r="B24" s="380" t="s">
        <v>2405</v>
      </c>
      <c r="C24" s="738" t="s">
        <v>6776</v>
      </c>
      <c r="D24" s="732" t="s">
        <v>6771</v>
      </c>
      <c r="E24" s="739">
        <f>SUMIF(Codifica_SP!$E$2:$E$1449,$B24,Codifica_SP!$R$2:$R$1449)</f>
        <v>0</v>
      </c>
      <c r="F24" s="740">
        <f t="shared" si="1"/>
        <v>0</v>
      </c>
      <c r="G24" s="735" t="str">
        <f>Info!$B$2</f>
        <v>724</v>
      </c>
      <c r="H24" s="736"/>
      <c r="I24" s="741"/>
      <c r="J24" s="741"/>
      <c r="K24" s="741"/>
      <c r="L24" s="741"/>
      <c r="M24" s="741"/>
      <c r="N24" s="741"/>
      <c r="O24" s="741"/>
      <c r="P24" s="741"/>
      <c r="Q24" s="741"/>
      <c r="R24" s="741"/>
      <c r="S24" s="741"/>
      <c r="T24" s="741"/>
      <c r="U24" s="741"/>
      <c r="V24" s="741"/>
      <c r="W24" s="741"/>
      <c r="X24" s="741"/>
      <c r="Y24" s="741"/>
      <c r="Z24" s="741"/>
      <c r="AA24" s="741"/>
      <c r="AB24" s="741"/>
      <c r="AC24" s="741"/>
      <c r="AD24" s="741"/>
      <c r="AE24" s="741"/>
      <c r="AF24" s="741"/>
      <c r="AG24" s="741"/>
      <c r="AH24" s="741"/>
      <c r="AI24" s="741"/>
      <c r="AJ24" s="741"/>
      <c r="AK24" s="741"/>
      <c r="AL24" s="741"/>
      <c r="AM24" s="741"/>
      <c r="AN24" s="741"/>
      <c r="AO24" s="741"/>
      <c r="AP24" s="741"/>
      <c r="AQ24" s="741"/>
      <c r="AR24" s="741"/>
      <c r="AS24" s="741"/>
      <c r="AT24" s="741"/>
      <c r="AU24" s="741"/>
      <c r="AV24" s="741"/>
      <c r="AW24" s="741"/>
      <c r="AX24" s="741"/>
      <c r="AY24" s="704"/>
      <c r="AZ24" s="704"/>
      <c r="BA24" s="704"/>
      <c r="BB24" s="704"/>
      <c r="BC24" s="704"/>
      <c r="BD24" s="704"/>
      <c r="BE24" s="704"/>
      <c r="BF24" s="704"/>
      <c r="BG24" s="704"/>
      <c r="BH24" s="704"/>
      <c r="BI24" s="704"/>
    </row>
    <row r="25" spans="1:61" s="204" customFormat="1" ht="15" x14ac:dyDescent="0.25">
      <c r="A25" s="380" t="s">
        <v>2416</v>
      </c>
      <c r="B25" s="380" t="s">
        <v>2417</v>
      </c>
      <c r="C25" s="738" t="s">
        <v>2418</v>
      </c>
      <c r="D25" s="732" t="s">
        <v>6771</v>
      </c>
      <c r="E25" s="739">
        <f>SUMIF(Codifica_SP!$E$2:$E$1449,$B25,Codifica_SP!$R$2:$R$1449)</f>
        <v>1252035</v>
      </c>
      <c r="F25" s="740">
        <f t="shared" si="1"/>
        <v>1252035</v>
      </c>
      <c r="G25" s="735" t="str">
        <f>Info!$B$2</f>
        <v>724</v>
      </c>
      <c r="H25" s="736"/>
      <c r="I25" s="741"/>
      <c r="J25" s="741"/>
      <c r="K25" s="741"/>
      <c r="L25" s="741"/>
      <c r="M25" s="741"/>
      <c r="N25" s="741">
        <v>25440</v>
      </c>
      <c r="O25" s="741">
        <v>1226595</v>
      </c>
      <c r="P25" s="741"/>
      <c r="Q25" s="741"/>
      <c r="R25" s="741"/>
      <c r="S25" s="741"/>
      <c r="T25" s="741"/>
      <c r="U25" s="741"/>
      <c r="V25" s="741"/>
      <c r="W25" s="741"/>
      <c r="X25" s="741"/>
      <c r="Y25" s="741"/>
      <c r="Z25" s="741"/>
      <c r="AA25" s="741"/>
      <c r="AB25" s="741"/>
      <c r="AC25" s="741"/>
      <c r="AD25" s="741"/>
      <c r="AE25" s="741"/>
      <c r="AF25" s="741"/>
      <c r="AG25" s="741"/>
      <c r="AH25" s="741"/>
      <c r="AI25" s="741"/>
      <c r="AJ25" s="741"/>
      <c r="AK25" s="741"/>
      <c r="AL25" s="741"/>
      <c r="AM25" s="741"/>
      <c r="AN25" s="741"/>
      <c r="AO25" s="741"/>
      <c r="AP25" s="741"/>
      <c r="AQ25" s="741"/>
      <c r="AR25" s="741"/>
      <c r="AS25" s="741"/>
      <c r="AT25" s="741"/>
      <c r="AU25" s="741"/>
      <c r="AV25" s="741"/>
      <c r="AW25" s="741"/>
      <c r="AX25" s="741"/>
      <c r="AY25" s="704"/>
      <c r="AZ25" s="704"/>
      <c r="BA25" s="704"/>
      <c r="BB25" s="704"/>
      <c r="BC25" s="704"/>
      <c r="BD25" s="704"/>
      <c r="BE25" s="704"/>
      <c r="BF25" s="704"/>
      <c r="BG25" s="704"/>
      <c r="BH25" s="704"/>
      <c r="BI25" s="704"/>
    </row>
    <row r="26" spans="1:61" s="204" customFormat="1" ht="15" x14ac:dyDescent="0.25">
      <c r="A26" s="380" t="s">
        <v>2422</v>
      </c>
      <c r="B26" s="380" t="s">
        <v>2423</v>
      </c>
      <c r="C26" s="738" t="s">
        <v>2424</v>
      </c>
      <c r="D26" s="732" t="s">
        <v>6771</v>
      </c>
      <c r="E26" s="739">
        <f>SUMIF(Codifica_SP!$E$2:$E$1449,$B26,Codifica_SP!$R$2:$R$1449)</f>
        <v>5757416</v>
      </c>
      <c r="F26" s="740">
        <f t="shared" si="1"/>
        <v>5757416</v>
      </c>
      <c r="G26" s="735" t="str">
        <f>Info!$B$2</f>
        <v>724</v>
      </c>
      <c r="H26" s="736"/>
      <c r="I26" s="741"/>
      <c r="J26" s="741"/>
      <c r="K26" s="741"/>
      <c r="L26" s="741"/>
      <c r="M26" s="741"/>
      <c r="N26" s="741"/>
      <c r="O26" s="741"/>
      <c r="P26" s="741"/>
      <c r="Q26" s="741">
        <v>59085</v>
      </c>
      <c r="R26" s="741">
        <v>831</v>
      </c>
      <c r="S26" s="741">
        <v>1527</v>
      </c>
      <c r="T26" s="741">
        <v>127</v>
      </c>
      <c r="U26" s="741"/>
      <c r="V26" s="741">
        <v>2618</v>
      </c>
      <c r="W26" s="741"/>
      <c r="X26" s="741"/>
      <c r="Y26" s="741">
        <v>254</v>
      </c>
      <c r="Z26" s="741">
        <v>26580</v>
      </c>
      <c r="AA26" s="741"/>
      <c r="AB26" s="741"/>
      <c r="AC26" s="741"/>
      <c r="AD26" s="741"/>
      <c r="AE26" s="741"/>
      <c r="AF26" s="741"/>
      <c r="AG26" s="741"/>
      <c r="AH26" s="741">
        <v>8056</v>
      </c>
      <c r="AI26" s="741"/>
      <c r="AJ26" s="741"/>
      <c r="AK26" s="741">
        <v>69121</v>
      </c>
      <c r="AL26" s="741"/>
      <c r="AM26" s="741"/>
      <c r="AN26" s="741"/>
      <c r="AO26" s="741">
        <v>5193563</v>
      </c>
      <c r="AP26" s="741">
        <v>395654</v>
      </c>
      <c r="AQ26" s="741"/>
      <c r="AR26" s="741"/>
      <c r="AS26" s="741"/>
      <c r="AT26" s="741"/>
      <c r="AU26" s="741"/>
      <c r="AV26" s="741"/>
      <c r="AW26" s="741"/>
      <c r="AX26" s="741"/>
      <c r="AY26" s="704"/>
      <c r="AZ26" s="704"/>
      <c r="BA26" s="704"/>
      <c r="BB26" s="704"/>
      <c r="BC26" s="704"/>
      <c r="BD26" s="704"/>
      <c r="BE26" s="704"/>
      <c r="BF26" s="704"/>
      <c r="BG26" s="704"/>
      <c r="BH26" s="704"/>
      <c r="BI26" s="704"/>
    </row>
    <row r="27" spans="1:61" s="204" customFormat="1" ht="15" x14ac:dyDescent="0.25">
      <c r="A27" s="380" t="s">
        <v>2425</v>
      </c>
      <c r="B27" s="380" t="s">
        <v>2426</v>
      </c>
      <c r="C27" s="738" t="s">
        <v>2427</v>
      </c>
      <c r="D27" s="732" t="s">
        <v>6771</v>
      </c>
      <c r="E27" s="739">
        <f>SUMIF(Codifica_SP!$E$2:$E$1449,$B27,Codifica_SP!$R$2:$R$1449)</f>
        <v>35176</v>
      </c>
      <c r="F27" s="740">
        <f t="shared" si="1"/>
        <v>35176</v>
      </c>
      <c r="G27" s="735" t="str">
        <f>Info!$B$2</f>
        <v>724</v>
      </c>
      <c r="H27" s="736"/>
      <c r="I27" s="741"/>
      <c r="J27" s="741"/>
      <c r="K27" s="741"/>
      <c r="L27" s="741"/>
      <c r="M27" s="741"/>
      <c r="N27" s="741"/>
      <c r="O27" s="741"/>
      <c r="P27" s="741"/>
      <c r="Q27" s="741"/>
      <c r="R27" s="741"/>
      <c r="S27" s="741"/>
      <c r="T27" s="741"/>
      <c r="U27" s="741"/>
      <c r="V27" s="741"/>
      <c r="W27" s="741"/>
      <c r="X27" s="741"/>
      <c r="Y27" s="741"/>
      <c r="Z27" s="741"/>
      <c r="AA27" s="741"/>
      <c r="AB27" s="741"/>
      <c r="AC27" s="741"/>
      <c r="AD27" s="741"/>
      <c r="AE27" s="741"/>
      <c r="AF27" s="741"/>
      <c r="AG27" s="741"/>
      <c r="AH27" s="741"/>
      <c r="AI27" s="741"/>
      <c r="AJ27" s="741"/>
      <c r="AK27" s="741"/>
      <c r="AL27" s="741"/>
      <c r="AM27" s="741"/>
      <c r="AN27" s="741"/>
      <c r="AO27" s="741"/>
      <c r="AP27" s="741"/>
      <c r="AQ27" s="741"/>
      <c r="AR27" s="741"/>
      <c r="AS27" s="741"/>
      <c r="AT27" s="741">
        <v>3737</v>
      </c>
      <c r="AU27" s="741">
        <v>10035</v>
      </c>
      <c r="AV27" s="741">
        <v>21404</v>
      </c>
      <c r="AW27" s="741"/>
      <c r="AX27" s="741"/>
      <c r="AY27" s="704"/>
      <c r="AZ27" s="704"/>
      <c r="BA27" s="704"/>
      <c r="BB27" s="704"/>
      <c r="BC27" s="704"/>
      <c r="BD27" s="704"/>
      <c r="BE27" s="704"/>
      <c r="BF27" s="704"/>
      <c r="BG27" s="704"/>
      <c r="BH27" s="704"/>
      <c r="BI27" s="704"/>
    </row>
    <row r="28" spans="1:61" s="204" customFormat="1" ht="15" x14ac:dyDescent="0.25">
      <c r="A28" s="380" t="s">
        <v>2428</v>
      </c>
      <c r="B28" s="380" t="s">
        <v>2429</v>
      </c>
      <c r="C28" s="738" t="s">
        <v>2431</v>
      </c>
      <c r="D28" s="732" t="s">
        <v>6771</v>
      </c>
      <c r="E28" s="739">
        <f>SUMIF(Codifica_SP!$E$2:$E$1449,$B28,Codifica_SP!$R$2:$R$1449)</f>
        <v>0</v>
      </c>
      <c r="F28" s="740">
        <f t="shared" si="1"/>
        <v>0</v>
      </c>
      <c r="G28" s="735" t="str">
        <f>Info!$B$2</f>
        <v>724</v>
      </c>
      <c r="H28" s="736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04"/>
      <c r="AZ28" s="704"/>
      <c r="BA28" s="704"/>
      <c r="BB28" s="704"/>
      <c r="BC28" s="704"/>
      <c r="BD28" s="704"/>
      <c r="BE28" s="704"/>
      <c r="BF28" s="704"/>
      <c r="BG28" s="704"/>
      <c r="BH28" s="704"/>
      <c r="BI28" s="704"/>
    </row>
    <row r="29" spans="1:61" s="204" customFormat="1" ht="15" x14ac:dyDescent="0.25">
      <c r="A29" s="380" t="s">
        <v>2432</v>
      </c>
      <c r="B29" s="380" t="s">
        <v>2433</v>
      </c>
      <c r="C29" s="738" t="s">
        <v>2435</v>
      </c>
      <c r="D29" s="732" t="s">
        <v>6771</v>
      </c>
      <c r="E29" s="739">
        <f>SUMIF(Codifica_SP!$E$2:$E$1449,$B29,Codifica_SP!$R$2:$R$1449)</f>
        <v>0</v>
      </c>
      <c r="F29" s="740">
        <f t="shared" si="1"/>
        <v>0</v>
      </c>
      <c r="G29" s="735" t="str">
        <f>Info!$B$2</f>
        <v>724</v>
      </c>
      <c r="H29" s="736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1"/>
      <c r="U29" s="741"/>
      <c r="V29" s="741"/>
      <c r="W29" s="741"/>
      <c r="X29" s="741"/>
      <c r="Y29" s="741"/>
      <c r="Z29" s="741"/>
      <c r="AA29" s="741"/>
      <c r="AB29" s="741"/>
      <c r="AC29" s="741"/>
      <c r="AD29" s="741"/>
      <c r="AE29" s="741"/>
      <c r="AF29" s="741"/>
      <c r="AG29" s="741"/>
      <c r="AH29" s="741"/>
      <c r="AI29" s="741"/>
      <c r="AJ29" s="741"/>
      <c r="AK29" s="741"/>
      <c r="AL29" s="741"/>
      <c r="AM29" s="741"/>
      <c r="AN29" s="741"/>
      <c r="AO29" s="741"/>
      <c r="AP29" s="741"/>
      <c r="AQ29" s="741"/>
      <c r="AR29" s="741"/>
      <c r="AS29" s="741"/>
      <c r="AT29" s="741"/>
      <c r="AU29" s="741"/>
      <c r="AV29" s="741"/>
      <c r="AW29" s="741"/>
      <c r="AX29" s="741"/>
      <c r="AY29" s="704"/>
      <c r="AZ29" s="704"/>
      <c r="BA29" s="704"/>
      <c r="BB29" s="704"/>
      <c r="BC29" s="704"/>
      <c r="BD29" s="704"/>
      <c r="BE29" s="704"/>
      <c r="BF29" s="704"/>
      <c r="BG29" s="704"/>
      <c r="BH29" s="704"/>
      <c r="BI29" s="704"/>
    </row>
    <row r="30" spans="1:61" s="204" customFormat="1" ht="30" x14ac:dyDescent="0.25">
      <c r="A30" s="99" t="s">
        <v>2436</v>
      </c>
      <c r="B30" s="99" t="s">
        <v>2437</v>
      </c>
      <c r="C30" s="743" t="s">
        <v>2439</v>
      </c>
      <c r="D30" s="732" t="s">
        <v>6771</v>
      </c>
      <c r="E30" s="739">
        <f>SUMIF(Codifica_SP!$E$2:$E$1449,$B30,Codifica_SP!$R$2:$R$1449)</f>
        <v>0</v>
      </c>
      <c r="F30" s="740">
        <f t="shared" si="1"/>
        <v>0</v>
      </c>
      <c r="G30" s="735" t="str">
        <f>Info!$B$2</f>
        <v>724</v>
      </c>
      <c r="H30" s="736"/>
      <c r="I30" s="741"/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1"/>
      <c r="U30" s="741"/>
      <c r="V30" s="741"/>
      <c r="W30" s="741"/>
      <c r="X30" s="741"/>
      <c r="Y30" s="741"/>
      <c r="Z30" s="741"/>
      <c r="AA30" s="741"/>
      <c r="AB30" s="741"/>
      <c r="AC30" s="741"/>
      <c r="AD30" s="741"/>
      <c r="AE30" s="741"/>
      <c r="AF30" s="741"/>
      <c r="AG30" s="741"/>
      <c r="AH30" s="741"/>
      <c r="AI30" s="741"/>
      <c r="AJ30" s="741"/>
      <c r="AK30" s="741"/>
      <c r="AL30" s="741"/>
      <c r="AM30" s="741"/>
      <c r="AN30" s="741"/>
      <c r="AO30" s="741"/>
      <c r="AP30" s="741"/>
      <c r="AQ30" s="741"/>
      <c r="AR30" s="741"/>
      <c r="AS30" s="741"/>
      <c r="AT30" s="741"/>
      <c r="AU30" s="741"/>
      <c r="AV30" s="741"/>
      <c r="AW30" s="741"/>
      <c r="AX30" s="741"/>
      <c r="AY30" s="704"/>
      <c r="AZ30" s="704"/>
      <c r="BA30" s="704"/>
      <c r="BB30" s="704"/>
      <c r="BC30" s="704"/>
      <c r="BD30" s="704"/>
      <c r="BE30" s="704"/>
      <c r="BF30" s="704"/>
      <c r="BG30" s="704"/>
      <c r="BH30" s="704"/>
      <c r="BI30" s="704"/>
    </row>
    <row r="31" spans="1:61" s="204" customFormat="1" ht="30" x14ac:dyDescent="0.25">
      <c r="A31" s="99" t="s">
        <v>2440</v>
      </c>
      <c r="B31" s="99" t="s">
        <v>2441</v>
      </c>
      <c r="C31" s="743" t="s">
        <v>2443</v>
      </c>
      <c r="D31" s="732" t="s">
        <v>6771</v>
      </c>
      <c r="E31" s="739">
        <f>SUMIF(Codifica_SP!$E$2:$E$1449,$B31,Codifica_SP!$R$2:$R$1449)</f>
        <v>0</v>
      </c>
      <c r="F31" s="740">
        <f t="shared" si="1"/>
        <v>0</v>
      </c>
      <c r="G31" s="735" t="str">
        <f>Info!$B$2</f>
        <v>724</v>
      </c>
      <c r="H31" s="736"/>
      <c r="I31" s="741"/>
      <c r="J31" s="741"/>
      <c r="K31" s="741"/>
      <c r="L31" s="741"/>
      <c r="M31" s="741"/>
      <c r="N31" s="741"/>
      <c r="O31" s="741"/>
      <c r="P31" s="741"/>
      <c r="Q31" s="741"/>
      <c r="R31" s="741"/>
      <c r="S31" s="741"/>
      <c r="T31" s="741"/>
      <c r="U31" s="741"/>
      <c r="V31" s="741"/>
      <c r="W31" s="741"/>
      <c r="X31" s="741"/>
      <c r="Y31" s="741"/>
      <c r="Z31" s="741"/>
      <c r="AA31" s="741"/>
      <c r="AB31" s="741"/>
      <c r="AC31" s="741"/>
      <c r="AD31" s="741"/>
      <c r="AE31" s="741"/>
      <c r="AF31" s="741"/>
      <c r="AG31" s="741"/>
      <c r="AH31" s="741"/>
      <c r="AI31" s="741"/>
      <c r="AJ31" s="741"/>
      <c r="AK31" s="741"/>
      <c r="AL31" s="741"/>
      <c r="AM31" s="741"/>
      <c r="AN31" s="741"/>
      <c r="AO31" s="741"/>
      <c r="AP31" s="741"/>
      <c r="AQ31" s="741"/>
      <c r="AR31" s="741"/>
      <c r="AS31" s="741"/>
      <c r="AT31" s="741"/>
      <c r="AU31" s="741"/>
      <c r="AV31" s="741"/>
      <c r="AW31" s="741"/>
      <c r="AX31" s="741"/>
      <c r="AY31" s="704"/>
      <c r="AZ31" s="704"/>
      <c r="BA31" s="704"/>
      <c r="BB31" s="704"/>
      <c r="BC31" s="704"/>
      <c r="BD31" s="704"/>
      <c r="BE31" s="704"/>
      <c r="BF31" s="704"/>
      <c r="BG31" s="704"/>
      <c r="BH31" s="704"/>
      <c r="BI31" s="704"/>
    </row>
    <row r="32" spans="1:61" s="204" customFormat="1" ht="30" x14ac:dyDescent="0.25">
      <c r="A32" s="99" t="s">
        <v>2444</v>
      </c>
      <c r="B32" s="99" t="s">
        <v>2451</v>
      </c>
      <c r="C32" s="743" t="s">
        <v>2453</v>
      </c>
      <c r="D32" s="732" t="s">
        <v>6771</v>
      </c>
      <c r="E32" s="739">
        <f>SUMIF(Codifica_SP!$E$2:$E$1449,$B32,Codifica_SP!$R$2:$R$1449)</f>
        <v>0</v>
      </c>
      <c r="F32" s="740">
        <f t="shared" si="1"/>
        <v>0</v>
      </c>
      <c r="G32" s="735" t="str">
        <f>Info!$B$2</f>
        <v>724</v>
      </c>
      <c r="H32" s="736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04"/>
      <c r="AZ32" s="704"/>
      <c r="BA32" s="704"/>
      <c r="BB32" s="704"/>
      <c r="BC32" s="704"/>
      <c r="BD32" s="704"/>
      <c r="BE32" s="704"/>
      <c r="BF32" s="704"/>
      <c r="BG32" s="704"/>
      <c r="BH32" s="704"/>
      <c r="BI32" s="704"/>
    </row>
    <row r="33" spans="1:61" s="204" customFormat="1" ht="15" x14ac:dyDescent="0.25">
      <c r="A33" s="380" t="s">
        <v>2465</v>
      </c>
      <c r="B33" s="380" t="s">
        <v>2466</v>
      </c>
      <c r="C33" s="738" t="s">
        <v>6777</v>
      </c>
      <c r="D33" s="732" t="s">
        <v>6771</v>
      </c>
      <c r="E33" s="739">
        <f>SUMIF(Codifica_SP!$E$2:$E$1449,$B33,Codifica_SP!$R$2:$R$1449)</f>
        <v>0</v>
      </c>
      <c r="F33" s="740">
        <f t="shared" si="1"/>
        <v>0</v>
      </c>
      <c r="G33" s="735" t="str">
        <f>Info!$B$2</f>
        <v>724</v>
      </c>
      <c r="H33" s="736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  <c r="V33" s="741"/>
      <c r="W33" s="741"/>
      <c r="X33" s="741"/>
      <c r="Y33" s="741"/>
      <c r="Z33" s="741"/>
      <c r="AA33" s="741"/>
      <c r="AB33" s="741"/>
      <c r="AC33" s="741"/>
      <c r="AD33" s="741"/>
      <c r="AE33" s="741"/>
      <c r="AF33" s="741"/>
      <c r="AG33" s="741"/>
      <c r="AH33" s="741"/>
      <c r="AI33" s="741"/>
      <c r="AJ33" s="741"/>
      <c r="AK33" s="741"/>
      <c r="AL33" s="741"/>
      <c r="AM33" s="741"/>
      <c r="AN33" s="741"/>
      <c r="AO33" s="741"/>
      <c r="AP33" s="741"/>
      <c r="AQ33" s="741"/>
      <c r="AR33" s="741"/>
      <c r="AS33" s="741"/>
      <c r="AT33" s="741"/>
      <c r="AU33" s="741"/>
      <c r="AV33" s="741"/>
      <c r="AW33" s="741"/>
      <c r="AX33" s="741"/>
      <c r="AY33" s="704"/>
      <c r="AZ33" s="704"/>
      <c r="BA33" s="704"/>
      <c r="BB33" s="704"/>
      <c r="BC33" s="704"/>
      <c r="BD33" s="704"/>
      <c r="BE33" s="704"/>
      <c r="BF33" s="704"/>
      <c r="BG33" s="704"/>
      <c r="BH33" s="704"/>
      <c r="BI33" s="704"/>
    </row>
    <row r="34" spans="1:61" s="204" customFormat="1" ht="15" x14ac:dyDescent="0.25">
      <c r="A34" s="737" t="s">
        <v>2665</v>
      </c>
      <c r="B34" s="737" t="s">
        <v>2666</v>
      </c>
      <c r="C34" s="738" t="s">
        <v>2667</v>
      </c>
      <c r="D34" s="732" t="s">
        <v>6771</v>
      </c>
      <c r="E34" s="739">
        <f>SUMIF(Codifica_SP!$E$2:$E$1449,$B34,Codifica_SP!$R$2:$R$1449)</f>
        <v>0</v>
      </c>
      <c r="F34" s="740">
        <f t="shared" si="1"/>
        <v>0</v>
      </c>
      <c r="G34" s="735" t="str">
        <f>Info!$B$2</f>
        <v>724</v>
      </c>
      <c r="H34" s="736"/>
      <c r="I34" s="741"/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1"/>
      <c r="U34" s="741"/>
      <c r="V34" s="741"/>
      <c r="W34" s="741"/>
      <c r="X34" s="741"/>
      <c r="Y34" s="741"/>
      <c r="Z34" s="741"/>
      <c r="AA34" s="741"/>
      <c r="AB34" s="741"/>
      <c r="AC34" s="741"/>
      <c r="AD34" s="741"/>
      <c r="AE34" s="741"/>
      <c r="AF34" s="741"/>
      <c r="AG34" s="741"/>
      <c r="AH34" s="741"/>
      <c r="AI34" s="741"/>
      <c r="AJ34" s="741"/>
      <c r="AK34" s="741"/>
      <c r="AL34" s="741"/>
      <c r="AM34" s="741"/>
      <c r="AN34" s="741"/>
      <c r="AO34" s="741"/>
      <c r="AP34" s="741"/>
      <c r="AQ34" s="741"/>
      <c r="AR34" s="741"/>
      <c r="AS34" s="741"/>
      <c r="AT34" s="741"/>
      <c r="AU34" s="741"/>
      <c r="AV34" s="741"/>
      <c r="AW34" s="741"/>
      <c r="AX34" s="741"/>
      <c r="AY34" s="704"/>
      <c r="AZ34" s="704"/>
      <c r="BA34" s="704"/>
      <c r="BB34" s="704"/>
      <c r="BC34" s="704"/>
      <c r="BD34" s="704"/>
      <c r="BE34" s="704"/>
      <c r="BF34" s="704"/>
      <c r="BG34" s="704"/>
      <c r="BH34" s="704"/>
      <c r="BI34" s="704"/>
    </row>
    <row r="35" spans="1:61" s="204" customFormat="1" ht="15" x14ac:dyDescent="0.25">
      <c r="A35" s="737" t="s">
        <v>2668</v>
      </c>
      <c r="B35" s="737" t="s">
        <v>2669</v>
      </c>
      <c r="C35" s="738" t="s">
        <v>2670</v>
      </c>
      <c r="D35" s="732" t="s">
        <v>6771</v>
      </c>
      <c r="E35" s="739">
        <f>SUMIF(Codifica_SP!$E$2:$E$1449,$B35,Codifica_SP!$R$2:$R$1449)</f>
        <v>0</v>
      </c>
      <c r="F35" s="740">
        <f t="shared" si="1"/>
        <v>0</v>
      </c>
      <c r="G35" s="735" t="str">
        <f>Info!$B$2</f>
        <v>724</v>
      </c>
      <c r="H35" s="736"/>
      <c r="I35" s="741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  <c r="V35" s="741"/>
      <c r="W35" s="741"/>
      <c r="X35" s="741"/>
      <c r="Y35" s="741"/>
      <c r="Z35" s="741"/>
      <c r="AA35" s="741"/>
      <c r="AB35" s="741"/>
      <c r="AC35" s="741"/>
      <c r="AD35" s="741"/>
      <c r="AE35" s="741"/>
      <c r="AF35" s="741"/>
      <c r="AG35" s="741"/>
      <c r="AH35" s="741"/>
      <c r="AI35" s="741"/>
      <c r="AJ35" s="741"/>
      <c r="AK35" s="741"/>
      <c r="AL35" s="741"/>
      <c r="AM35" s="741"/>
      <c r="AN35" s="741"/>
      <c r="AO35" s="741"/>
      <c r="AP35" s="741"/>
      <c r="AQ35" s="741"/>
      <c r="AR35" s="741"/>
      <c r="AS35" s="741"/>
      <c r="AT35" s="741"/>
      <c r="AU35" s="741"/>
      <c r="AV35" s="741"/>
      <c r="AW35" s="741"/>
      <c r="AX35" s="741"/>
      <c r="AY35" s="704"/>
      <c r="AZ35" s="704"/>
      <c r="BA35" s="704"/>
      <c r="BB35" s="704"/>
      <c r="BC35" s="704"/>
      <c r="BD35" s="704"/>
      <c r="BE35" s="704"/>
      <c r="BF35" s="704"/>
      <c r="BG35" s="704"/>
      <c r="BH35" s="704"/>
      <c r="BI35" s="704"/>
    </row>
    <row r="36" spans="1:61" s="204" customFormat="1" ht="15" x14ac:dyDescent="0.25">
      <c r="A36" s="737" t="s">
        <v>2674</v>
      </c>
      <c r="B36" s="737" t="s">
        <v>2675</v>
      </c>
      <c r="C36" s="738" t="s">
        <v>2676</v>
      </c>
      <c r="D36" s="732" t="s">
        <v>6771</v>
      </c>
      <c r="E36" s="739">
        <f>SUMIF(Codifica_SP!$E$2:$E$1449,$B36,Codifica_SP!$R$2:$R$1449)</f>
        <v>0</v>
      </c>
      <c r="F36" s="740">
        <f t="shared" si="1"/>
        <v>0</v>
      </c>
      <c r="G36" s="735" t="str">
        <f>Info!$B$2</f>
        <v>724</v>
      </c>
      <c r="H36" s="736"/>
      <c r="I36" s="741"/>
      <c r="J36" s="741"/>
      <c r="K36" s="741"/>
      <c r="L36" s="741"/>
      <c r="M36" s="741"/>
      <c r="N36" s="741"/>
      <c r="O36" s="741"/>
      <c r="P36" s="741"/>
      <c r="Q36" s="741"/>
      <c r="R36" s="741"/>
      <c r="S36" s="741"/>
      <c r="T36" s="741"/>
      <c r="U36" s="741"/>
      <c r="V36" s="741"/>
      <c r="W36" s="741"/>
      <c r="X36" s="741"/>
      <c r="Y36" s="741"/>
      <c r="Z36" s="741"/>
      <c r="AA36" s="741"/>
      <c r="AB36" s="741"/>
      <c r="AC36" s="741"/>
      <c r="AD36" s="741"/>
      <c r="AE36" s="741"/>
      <c r="AF36" s="741"/>
      <c r="AG36" s="741"/>
      <c r="AH36" s="741"/>
      <c r="AI36" s="741"/>
      <c r="AJ36" s="741"/>
      <c r="AK36" s="741"/>
      <c r="AL36" s="741"/>
      <c r="AM36" s="741"/>
      <c r="AN36" s="741"/>
      <c r="AO36" s="741"/>
      <c r="AP36" s="741"/>
      <c r="AQ36" s="741"/>
      <c r="AR36" s="741"/>
      <c r="AS36" s="741"/>
      <c r="AT36" s="741"/>
      <c r="AU36" s="741"/>
      <c r="AV36" s="741"/>
      <c r="AW36" s="741"/>
      <c r="AX36" s="741"/>
      <c r="AY36" s="704"/>
      <c r="AZ36" s="704"/>
      <c r="BA36" s="704"/>
      <c r="BB36" s="704"/>
      <c r="BC36" s="704"/>
      <c r="BD36" s="704"/>
      <c r="BE36" s="704"/>
      <c r="BF36" s="704"/>
      <c r="BG36" s="704"/>
      <c r="BH36" s="704"/>
      <c r="BI36" s="704"/>
    </row>
    <row r="37" spans="1:61" s="204" customFormat="1" ht="15" x14ac:dyDescent="0.25">
      <c r="A37" s="737" t="s">
        <v>2685</v>
      </c>
      <c r="B37" s="737" t="s">
        <v>2686</v>
      </c>
      <c r="C37" s="263" t="s">
        <v>6778</v>
      </c>
      <c r="D37" s="732" t="s">
        <v>6771</v>
      </c>
      <c r="E37" s="739">
        <f>SUMIF(Codifica_SP!$E$2:$E$1449,$B37,Codifica_SP!$R$2:$R$1449)</f>
        <v>0</v>
      </c>
      <c r="F37" s="740">
        <f t="shared" si="1"/>
        <v>0</v>
      </c>
      <c r="G37" s="735" t="str">
        <f>Info!$B$2</f>
        <v>724</v>
      </c>
      <c r="H37" s="736"/>
      <c r="I37" s="741"/>
      <c r="J37" s="741"/>
      <c r="K37" s="741"/>
      <c r="L37" s="741"/>
      <c r="M37" s="741"/>
      <c r="N37" s="741"/>
      <c r="O37" s="741"/>
      <c r="P37" s="741"/>
      <c r="Q37" s="741"/>
      <c r="R37" s="741"/>
      <c r="S37" s="741"/>
      <c r="T37" s="741"/>
      <c r="U37" s="741"/>
      <c r="V37" s="741"/>
      <c r="W37" s="741"/>
      <c r="X37" s="741"/>
      <c r="Y37" s="741"/>
      <c r="Z37" s="741"/>
      <c r="AA37" s="741"/>
      <c r="AB37" s="741"/>
      <c r="AC37" s="741"/>
      <c r="AD37" s="741"/>
      <c r="AE37" s="741"/>
      <c r="AF37" s="741"/>
      <c r="AG37" s="741"/>
      <c r="AH37" s="741"/>
      <c r="AI37" s="741"/>
      <c r="AJ37" s="741"/>
      <c r="AK37" s="741"/>
      <c r="AL37" s="741"/>
      <c r="AM37" s="741"/>
      <c r="AN37" s="741"/>
      <c r="AO37" s="741"/>
      <c r="AP37" s="741"/>
      <c r="AQ37" s="741"/>
      <c r="AR37" s="741"/>
      <c r="AS37" s="741"/>
      <c r="AT37" s="741"/>
      <c r="AU37" s="741"/>
      <c r="AV37" s="741"/>
      <c r="AW37" s="741"/>
      <c r="AX37" s="741"/>
      <c r="AY37" s="704"/>
      <c r="AZ37" s="704"/>
      <c r="BA37" s="704"/>
      <c r="BB37" s="704"/>
      <c r="BC37" s="704"/>
      <c r="BD37" s="704"/>
      <c r="BE37" s="704"/>
      <c r="BF37" s="704"/>
      <c r="BG37" s="704"/>
      <c r="BH37" s="704"/>
      <c r="BI37" s="704"/>
    </row>
    <row r="41" spans="1:61" x14ac:dyDescent="0.2">
      <c r="F41" s="706"/>
      <c r="G41" s="706"/>
      <c r="H41" s="706"/>
      <c r="I41" s="706"/>
    </row>
  </sheetData>
  <sheetCalcPr fullCalcOnLoad="1"/>
  <sheetProtection password="A01C" sheet="1" objects="1" scenarios="1"/>
  <printOptions horizontalCentered="1"/>
  <pageMargins left="0.19652777777777777" right="0.19652777777777777" top="0.78749999999999998" bottom="0.98402777777777772" header="0.51180555555555551" footer="0.51180555555555551"/>
  <pageSetup paperSize="9" firstPageNumber="0" fitToHeight="2" orientation="landscape" horizontalDpi="300" verticalDpi="300"/>
  <headerFooter alignWithMargins="0">
    <oddFooter>&amp;C&amp;A - &amp;P</oddFooter>
  </headerFooter>
  <colBreaks count="2" manualBreakCount="2">
    <brk id="15" max="1048575" man="1"/>
    <brk id="3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43"/>
  <sheetViews>
    <sheetView showGridLines="0" topLeftCell="B1" zoomScaleSheetLayoutView="80" workbookViewId="0">
      <pane ySplit="2" topLeftCell="A129" activePane="bottomLeft" state="frozen"/>
      <selection pane="bottomLeft" activeCell="D125" sqref="D125"/>
    </sheetView>
  </sheetViews>
  <sheetFormatPr defaultRowHeight="12.75" x14ac:dyDescent="0.2"/>
  <cols>
    <col min="1" max="1" width="9.140625" style="118"/>
    <col min="2" max="2" width="71" style="749" customWidth="1"/>
    <col min="3" max="3" width="13.28515625" style="750" customWidth="1"/>
    <col min="4" max="4" width="13.7109375" style="750" customWidth="1"/>
    <col min="5" max="5" width="12.140625" style="750" customWidth="1"/>
    <col min="6" max="6" width="11.85546875" style="750" customWidth="1"/>
    <col min="7" max="7" width="12.140625" style="750" customWidth="1"/>
    <col min="8" max="8" width="11.85546875" style="750" customWidth="1"/>
    <col min="9" max="9" width="12.140625" style="750" customWidth="1"/>
    <col min="10" max="10" width="11.85546875" style="750" customWidth="1"/>
    <col min="11" max="16384" width="9.140625" style="118"/>
  </cols>
  <sheetData>
    <row r="2" spans="1:10" ht="38.25" x14ac:dyDescent="0.2">
      <c r="A2" s="118" t="s">
        <v>2760</v>
      </c>
      <c r="B2" s="751" t="s">
        <v>2761</v>
      </c>
      <c r="C2" s="752" t="str">
        <f>"Bilancio Consuntivo - Totale "&amp;Info!B3-1</f>
        <v>Bilancio Consuntivo - Totale 2019</v>
      </c>
      <c r="D2" s="753" t="str">
        <f>"Bilancio Consuntivo -Totale "&amp;Info!B3</f>
        <v>Bilancio Consuntivo -Totale 2020</v>
      </c>
      <c r="E2" s="752" t="s">
        <v>6779</v>
      </c>
      <c r="F2" s="753" t="s">
        <v>6780</v>
      </c>
      <c r="G2" s="752" t="s">
        <v>6781</v>
      </c>
      <c r="H2" s="753" t="s">
        <v>6782</v>
      </c>
      <c r="I2" s="752" t="s">
        <v>6783</v>
      </c>
      <c r="J2" s="753" t="s">
        <v>6784</v>
      </c>
    </row>
    <row r="3" spans="1:10" x14ac:dyDescent="0.2">
      <c r="A3" s="754" t="s">
        <v>6785</v>
      </c>
      <c r="B3" s="755" t="s">
        <v>2763</v>
      </c>
      <c r="C3" s="756">
        <f t="shared" ref="C3:J3" ca="1" si="0">+C4+C52+C85</f>
        <v>213910168</v>
      </c>
      <c r="D3" s="756">
        <f t="shared" ca="1" si="0"/>
        <v>232309840</v>
      </c>
      <c r="E3" s="756">
        <f t="shared" ca="1" si="0"/>
        <v>40988174</v>
      </c>
      <c r="F3" s="756">
        <f t="shared" ca="1" si="0"/>
        <v>22588502</v>
      </c>
      <c r="G3" s="756">
        <f t="shared" si="0"/>
        <v>-3268746</v>
      </c>
      <c r="H3" s="756">
        <f t="shared" si="0"/>
        <v>-3268746</v>
      </c>
      <c r="I3" s="756">
        <f t="shared" ca="1" si="0"/>
        <v>37719428</v>
      </c>
      <c r="J3" s="756">
        <f t="shared" ca="1" si="0"/>
        <v>19319756</v>
      </c>
    </row>
    <row r="4" spans="1:10" x14ac:dyDescent="0.2">
      <c r="A4" s="754" t="s">
        <v>6786</v>
      </c>
      <c r="B4" s="757" t="s">
        <v>115</v>
      </c>
      <c r="C4" s="758">
        <f t="shared" ref="C4:J4" ca="1" si="1">+C5+C22+C49</f>
        <v>102579817</v>
      </c>
      <c r="D4" s="758">
        <f t="shared" ca="1" si="1"/>
        <v>96964471</v>
      </c>
      <c r="E4" s="758">
        <f t="shared" ca="1" si="1"/>
        <v>5408492</v>
      </c>
      <c r="F4" s="758">
        <f t="shared" ca="1" si="1"/>
        <v>11023838</v>
      </c>
      <c r="G4" s="758">
        <f t="shared" si="1"/>
        <v>-26359</v>
      </c>
      <c r="H4" s="758">
        <f t="shared" si="1"/>
        <v>-26359</v>
      </c>
      <c r="I4" s="758">
        <f t="shared" ca="1" si="1"/>
        <v>5382133</v>
      </c>
      <c r="J4" s="758">
        <f t="shared" ca="1" si="1"/>
        <v>10997479</v>
      </c>
    </row>
    <row r="5" spans="1:10" x14ac:dyDescent="0.2">
      <c r="A5" s="754" t="s">
        <v>6787</v>
      </c>
      <c r="B5" s="759" t="s">
        <v>2766</v>
      </c>
      <c r="C5" s="760">
        <f ca="1">+C6-C12-C17</f>
        <v>1505977</v>
      </c>
      <c r="D5" s="760">
        <f ca="1">+D6-D12-D17</f>
        <v>1902992</v>
      </c>
      <c r="E5" s="760">
        <f t="shared" ref="E5:J5" ca="1" si="2">+E6+E12+E17</f>
        <v>1272460</v>
      </c>
      <c r="F5" s="760">
        <f t="shared" ca="1" si="2"/>
        <v>875445</v>
      </c>
      <c r="G5" s="760">
        <f t="shared" si="2"/>
        <v>0</v>
      </c>
      <c r="H5" s="760">
        <f t="shared" si="2"/>
        <v>0</v>
      </c>
      <c r="I5" s="760">
        <f t="shared" ca="1" si="2"/>
        <v>1272460</v>
      </c>
      <c r="J5" s="760">
        <f t="shared" ca="1" si="2"/>
        <v>875445</v>
      </c>
    </row>
    <row r="6" spans="1:10" x14ac:dyDescent="0.2">
      <c r="A6" s="754" t="s">
        <v>6788</v>
      </c>
      <c r="B6" s="761" t="s">
        <v>6789</v>
      </c>
      <c r="C6" s="762">
        <f t="shared" ref="C6:J6" ca="1" si="3">SUM(C7:C11)</f>
        <v>15999329</v>
      </c>
      <c r="D6" s="762">
        <f t="shared" ca="1" si="3"/>
        <v>16566206</v>
      </c>
      <c r="E6" s="762">
        <f t="shared" ca="1" si="3"/>
        <v>1272460</v>
      </c>
      <c r="F6" s="762">
        <f t="shared" ca="1" si="3"/>
        <v>705583</v>
      </c>
      <c r="G6" s="762">
        <f t="shared" si="3"/>
        <v>0</v>
      </c>
      <c r="H6" s="762">
        <f t="shared" si="3"/>
        <v>0</v>
      </c>
      <c r="I6" s="762">
        <f t="shared" ca="1" si="3"/>
        <v>1272460</v>
      </c>
      <c r="J6" s="762">
        <f t="shared" ca="1" si="3"/>
        <v>705583</v>
      </c>
    </row>
    <row r="7" spans="1:10" x14ac:dyDescent="0.2">
      <c r="A7" s="754" t="s">
        <v>126</v>
      </c>
      <c r="B7" s="763" t="s">
        <v>6790</v>
      </c>
      <c r="C7" s="764">
        <f ca="1">SUMIF(RFTOT01,$A7,RFVALAP)</f>
        <v>79200</v>
      </c>
      <c r="D7" s="764">
        <f ca="1">SUMIF(RFTOT01,$A7,RFVALAC)</f>
        <v>79200</v>
      </c>
      <c r="E7" s="764">
        <f ca="1">IF(D7&gt;C7,(D7-C7),0)</f>
        <v>0</v>
      </c>
      <c r="F7" s="764">
        <f ca="1">IF(D7&lt;C7,(D7-C7),0)</f>
        <v>0</v>
      </c>
      <c r="G7" s="765"/>
      <c r="H7" s="765"/>
      <c r="I7" s="766">
        <f t="shared" ref="I7:J11" ca="1" si="4">+E7+G7</f>
        <v>0</v>
      </c>
      <c r="J7" s="766">
        <f t="shared" ca="1" si="4"/>
        <v>0</v>
      </c>
    </row>
    <row r="8" spans="1:10" x14ac:dyDescent="0.2">
      <c r="A8" s="754" t="s">
        <v>152</v>
      </c>
      <c r="B8" s="763" t="s">
        <v>6791</v>
      </c>
      <c r="C8" s="764">
        <f ca="1">SUMIF(RFTOT01,$A8,RFVALAP)</f>
        <v>0</v>
      </c>
      <c r="D8" s="764">
        <f ca="1">SUMIF(RFTOT01,$A8,RFVALAC)</f>
        <v>0</v>
      </c>
      <c r="E8" s="764">
        <f ca="1">IF(D8&gt;C8,(D8-C8),0)</f>
        <v>0</v>
      </c>
      <c r="F8" s="764">
        <f ca="1">IF(D8&lt;C8,-(D8-C8),0)</f>
        <v>0</v>
      </c>
      <c r="G8" s="765"/>
      <c r="H8" s="765"/>
      <c r="I8" s="766">
        <f t="shared" ca="1" si="4"/>
        <v>0</v>
      </c>
      <c r="J8" s="766">
        <f t="shared" ca="1" si="4"/>
        <v>0</v>
      </c>
    </row>
    <row r="9" spans="1:10" ht="15" customHeight="1" x14ac:dyDescent="0.2">
      <c r="A9" s="754" t="s">
        <v>178</v>
      </c>
      <c r="B9" s="763" t="s">
        <v>6792</v>
      </c>
      <c r="C9" s="764">
        <f ca="1">SUMIF(RFTOT01,$A9,RFVALAP)</f>
        <v>5790214</v>
      </c>
      <c r="D9" s="764">
        <f ca="1">SUMIF(RFTOT01,$A9,RFVALAC)</f>
        <v>5790214</v>
      </c>
      <c r="E9" s="764">
        <f ca="1">IF(D9&gt;C9,(D9-C9),0)</f>
        <v>0</v>
      </c>
      <c r="F9" s="764">
        <f ca="1">IF(D9&lt;C9,-(D9-C9),0)</f>
        <v>0</v>
      </c>
      <c r="G9" s="765"/>
      <c r="H9" s="765"/>
      <c r="I9" s="766">
        <f t="shared" ca="1" si="4"/>
        <v>0</v>
      </c>
      <c r="J9" s="766">
        <f t="shared" ca="1" si="4"/>
        <v>0</v>
      </c>
    </row>
    <row r="10" spans="1:10" x14ac:dyDescent="0.2">
      <c r="A10" s="754" t="s">
        <v>244</v>
      </c>
      <c r="B10" s="763" t="s">
        <v>6793</v>
      </c>
      <c r="C10" s="764">
        <f ca="1">SUMIF(RFTOT01,$A10,RFVALAP)</f>
        <v>1247582</v>
      </c>
      <c r="D10" s="764">
        <f ca="1">SUMIF(RFTOT01,$A10,RFVALAC)</f>
        <v>541999</v>
      </c>
      <c r="E10" s="764">
        <f ca="1">IF(D10&gt;C10,(D10-C10),0)</f>
        <v>0</v>
      </c>
      <c r="F10" s="764">
        <f ca="1">IF(D10&lt;C10,-(D10-C10),0)</f>
        <v>705583</v>
      </c>
      <c r="G10" s="765"/>
      <c r="H10" s="765"/>
      <c r="I10" s="766">
        <f t="shared" ca="1" si="4"/>
        <v>0</v>
      </c>
      <c r="J10" s="766">
        <f t="shared" ca="1" si="4"/>
        <v>705583</v>
      </c>
    </row>
    <row r="11" spans="1:10" x14ac:dyDescent="0.2">
      <c r="A11" s="754" t="s">
        <v>260</v>
      </c>
      <c r="B11" s="763" t="s">
        <v>6794</v>
      </c>
      <c r="C11" s="764">
        <f ca="1">SUMIF(RFTOT01,$A11,RFVALAP)</f>
        <v>8882333</v>
      </c>
      <c r="D11" s="764">
        <f ca="1">SUMIF(RFTOT01,$A11,RFVALAC)</f>
        <v>10154793</v>
      </c>
      <c r="E11" s="764">
        <f ca="1">IF(D11&gt;C11,(D11-C11),0)</f>
        <v>1272460</v>
      </c>
      <c r="F11" s="764">
        <f ca="1">IF(D11&lt;C11,-(D11-C11),0)</f>
        <v>0</v>
      </c>
      <c r="G11" s="765"/>
      <c r="H11" s="765"/>
      <c r="I11" s="766">
        <f t="shared" ca="1" si="4"/>
        <v>1272460</v>
      </c>
      <c r="J11" s="766">
        <f t="shared" ca="1" si="4"/>
        <v>0</v>
      </c>
    </row>
    <row r="12" spans="1:10" x14ac:dyDescent="0.2">
      <c r="A12" s="754" t="s">
        <v>6795</v>
      </c>
      <c r="B12" s="767" t="s">
        <v>6796</v>
      </c>
      <c r="C12" s="768">
        <f t="shared" ref="C12:J12" ca="1" si="5">SUM(C13:C16)</f>
        <v>14493352</v>
      </c>
      <c r="D12" s="768">
        <f t="shared" ca="1" si="5"/>
        <v>14663214</v>
      </c>
      <c r="E12" s="768">
        <f t="shared" ca="1" si="5"/>
        <v>0</v>
      </c>
      <c r="F12" s="768">
        <f t="shared" ca="1" si="5"/>
        <v>169862</v>
      </c>
      <c r="G12" s="768">
        <f t="shared" si="5"/>
        <v>0</v>
      </c>
      <c r="H12" s="768">
        <f t="shared" si="5"/>
        <v>0</v>
      </c>
      <c r="I12" s="768">
        <f t="shared" ca="1" si="5"/>
        <v>0</v>
      </c>
      <c r="J12" s="769">
        <f t="shared" ca="1" si="5"/>
        <v>169862</v>
      </c>
    </row>
    <row r="13" spans="1:10" x14ac:dyDescent="0.2">
      <c r="A13" s="754" t="s">
        <v>137</v>
      </c>
      <c r="B13" s="763" t="s">
        <v>6797</v>
      </c>
      <c r="C13" s="764">
        <f ca="1">SUMIF(RFTOT01,$A13,RFVALAP)</f>
        <v>79200</v>
      </c>
      <c r="D13" s="764">
        <f ca="1">SUMIF(RFTOT01,$A13,RFVALAC)</f>
        <v>79200</v>
      </c>
      <c r="E13" s="764">
        <f ca="1">IF(D13&lt;C13,-(D13-C13),0)</f>
        <v>0</v>
      </c>
      <c r="F13" s="764">
        <f ca="1">IF(D13&gt;C13,(D13-C13),0)</f>
        <v>0</v>
      </c>
      <c r="G13" s="765"/>
      <c r="H13" s="765"/>
      <c r="I13" s="764">
        <f t="shared" ref="I13:J16" ca="1" si="6">+E13+G13</f>
        <v>0</v>
      </c>
      <c r="J13" s="766">
        <f t="shared" ca="1" si="6"/>
        <v>0</v>
      </c>
    </row>
    <row r="14" spans="1:10" ht="15" customHeight="1" x14ac:dyDescent="0.2">
      <c r="A14" s="754" t="s">
        <v>163</v>
      </c>
      <c r="B14" s="763" t="s">
        <v>6798</v>
      </c>
      <c r="C14" s="764">
        <f ca="1">SUMIF(RFTOT01,$A14,RFVALAP)</f>
        <v>0</v>
      </c>
      <c r="D14" s="764">
        <f ca="1">SUMIF(RFTOT01,$A14,RFVALAC)</f>
        <v>0</v>
      </c>
      <c r="E14" s="764">
        <f ca="1">IF(D14&lt;C14,-(D14-C14),0)</f>
        <v>0</v>
      </c>
      <c r="F14" s="764">
        <f ca="1">IF(D14&gt;C14,(D14-C14),0)</f>
        <v>0</v>
      </c>
      <c r="G14" s="765"/>
      <c r="H14" s="765"/>
      <c r="I14" s="764">
        <f t="shared" ca="1" si="6"/>
        <v>0</v>
      </c>
      <c r="J14" s="766">
        <f t="shared" ca="1" si="6"/>
        <v>0</v>
      </c>
    </row>
    <row r="15" spans="1:10" x14ac:dyDescent="0.2">
      <c r="A15" s="754" t="s">
        <v>195</v>
      </c>
      <c r="B15" s="763" t="s">
        <v>6799</v>
      </c>
      <c r="C15" s="764">
        <f ca="1">SUMIF(RFTOT01,$A15,RFVALAP)</f>
        <v>5788592</v>
      </c>
      <c r="D15" s="764">
        <f ca="1">SUMIF(RFTOT01,$A15,RFVALAC)</f>
        <v>5790214</v>
      </c>
      <c r="E15" s="764">
        <f ca="1">IF(D15&lt;C15,-(D15-C15),0)</f>
        <v>0</v>
      </c>
      <c r="F15" s="764">
        <f ca="1">IF(D15&gt;C15,(D15-C15),0)</f>
        <v>1622</v>
      </c>
      <c r="G15" s="765"/>
      <c r="H15" s="765"/>
      <c r="I15" s="764">
        <f t="shared" ca="1" si="6"/>
        <v>0</v>
      </c>
      <c r="J15" s="766">
        <f t="shared" ca="1" si="6"/>
        <v>1622</v>
      </c>
    </row>
    <row r="16" spans="1:10" x14ac:dyDescent="0.2">
      <c r="A16" s="754" t="s">
        <v>289</v>
      </c>
      <c r="B16" s="763" t="s">
        <v>6800</v>
      </c>
      <c r="C16" s="764">
        <f ca="1">SUMIF(RFTOT01,$A16,RFVALAP)</f>
        <v>8625560</v>
      </c>
      <c r="D16" s="764">
        <f ca="1">SUMIF(RFTOT01,$A16,RFVALAC)</f>
        <v>8793800</v>
      </c>
      <c r="E16" s="764">
        <f ca="1">IF(D16&lt;C16,-(D16-C16),0)</f>
        <v>0</v>
      </c>
      <c r="F16" s="764">
        <f ca="1">IF(D16&gt;C16,(D16-C16),0)</f>
        <v>168240</v>
      </c>
      <c r="G16" s="765"/>
      <c r="H16" s="765"/>
      <c r="I16" s="764">
        <f t="shared" ca="1" si="6"/>
        <v>0</v>
      </c>
      <c r="J16" s="766">
        <f t="shared" ca="1" si="6"/>
        <v>168240</v>
      </c>
    </row>
    <row r="17" spans="1:10" x14ac:dyDescent="0.2">
      <c r="A17" s="754" t="s">
        <v>6801</v>
      </c>
      <c r="B17" s="770" t="s">
        <v>6802</v>
      </c>
      <c r="C17" s="768">
        <f t="shared" ref="C17:J17" ca="1" si="7">SUM(C18:C21)</f>
        <v>0</v>
      </c>
      <c r="D17" s="768">
        <f t="shared" ca="1" si="7"/>
        <v>0</v>
      </c>
      <c r="E17" s="768">
        <f t="shared" ca="1" si="7"/>
        <v>0</v>
      </c>
      <c r="F17" s="768">
        <f t="shared" ca="1" si="7"/>
        <v>0</v>
      </c>
      <c r="G17" s="768">
        <f t="shared" si="7"/>
        <v>0</v>
      </c>
      <c r="H17" s="768">
        <f t="shared" si="7"/>
        <v>0</v>
      </c>
      <c r="I17" s="769">
        <f t="shared" ca="1" si="7"/>
        <v>0</v>
      </c>
      <c r="J17" s="769">
        <f t="shared" ca="1" si="7"/>
        <v>0</v>
      </c>
    </row>
    <row r="18" spans="1:10" x14ac:dyDescent="0.2">
      <c r="A18" s="754" t="s">
        <v>387</v>
      </c>
      <c r="B18" s="763" t="s">
        <v>6803</v>
      </c>
      <c r="C18" s="764">
        <f ca="1">-SUMIF(RFTOT01,$A18,RFVALAP)</f>
        <v>0</v>
      </c>
      <c r="D18" s="764">
        <f ca="1">-SUMIF(RFTOT01,$A18,RFVALAC)</f>
        <v>0</v>
      </c>
      <c r="E18" s="764">
        <f ca="1">IF(D18&lt;C18,-(D18-C18),0)</f>
        <v>0</v>
      </c>
      <c r="F18" s="764">
        <f ca="1">IF(D18&gt;C18,(D18-C18),0)</f>
        <v>0</v>
      </c>
      <c r="G18" s="765"/>
      <c r="H18" s="765"/>
      <c r="I18" s="766">
        <f t="shared" ref="I18:J21" ca="1" si="8">+E18+G18</f>
        <v>0</v>
      </c>
      <c r="J18" s="766">
        <f t="shared" ca="1" si="8"/>
        <v>0</v>
      </c>
    </row>
    <row r="19" spans="1:10" x14ac:dyDescent="0.2">
      <c r="A19" s="754" t="s">
        <v>398</v>
      </c>
      <c r="B19" s="763" t="s">
        <v>6804</v>
      </c>
      <c r="C19" s="764">
        <f ca="1">-SUMIF(RFTOT01,$A19,RFVALAP)</f>
        <v>0</v>
      </c>
      <c r="D19" s="764">
        <f ca="1">-SUMIF(RFTOT01,$A19,RFVALAC)</f>
        <v>0</v>
      </c>
      <c r="E19" s="764">
        <f ca="1">IF(D19&lt;C19,-(D19-C19),0)</f>
        <v>0</v>
      </c>
      <c r="F19" s="764">
        <f ca="1">IF(D19&gt;C19,(D19-C19),0)</f>
        <v>0</v>
      </c>
      <c r="G19" s="765"/>
      <c r="H19" s="765"/>
      <c r="I19" s="766">
        <f t="shared" ca="1" si="8"/>
        <v>0</v>
      </c>
      <c r="J19" s="766">
        <f t="shared" ca="1" si="8"/>
        <v>0</v>
      </c>
    </row>
    <row r="20" spans="1:10" x14ac:dyDescent="0.2">
      <c r="A20" s="754" t="s">
        <v>409</v>
      </c>
      <c r="B20" s="763" t="s">
        <v>6805</v>
      </c>
      <c r="C20" s="764">
        <f ca="1">-SUMIF(RFTOT01,$A20,RFVALAP)</f>
        <v>0</v>
      </c>
      <c r="D20" s="764">
        <f ca="1">-SUMIF(RFTOT01,$A20,RFVALAC)</f>
        <v>0</v>
      </c>
      <c r="E20" s="764">
        <f ca="1">IF(D20&lt;C20,-(D20-C20),0)</f>
        <v>0</v>
      </c>
      <c r="F20" s="764">
        <f ca="1">IF(D20&gt;C20,(D20-C20),0)</f>
        <v>0</v>
      </c>
      <c r="G20" s="765"/>
      <c r="H20" s="765"/>
      <c r="I20" s="766">
        <f t="shared" ca="1" si="8"/>
        <v>0</v>
      </c>
      <c r="J20" s="766">
        <f t="shared" ca="1" si="8"/>
        <v>0</v>
      </c>
    </row>
    <row r="21" spans="1:10" x14ac:dyDescent="0.2">
      <c r="A21" s="754" t="s">
        <v>420</v>
      </c>
      <c r="B21" s="763" t="s">
        <v>6806</v>
      </c>
      <c r="C21" s="764">
        <f ca="1">-SUMIF(RFTOT01,$A21,RFVALAP)</f>
        <v>0</v>
      </c>
      <c r="D21" s="764">
        <f ca="1">-SUMIF(RFTOT01,$A21,RFVALAC)</f>
        <v>0</v>
      </c>
      <c r="E21" s="764">
        <f ca="1">IF(D21&lt;C21,-(D21-C21),0)</f>
        <v>0</v>
      </c>
      <c r="F21" s="764">
        <f ca="1">IF(D21&gt;C21,(D21-C21),0)</f>
        <v>0</v>
      </c>
      <c r="G21" s="765"/>
      <c r="H21" s="765"/>
      <c r="I21" s="766">
        <f t="shared" ca="1" si="8"/>
        <v>0</v>
      </c>
      <c r="J21" s="766">
        <f t="shared" ca="1" si="8"/>
        <v>0</v>
      </c>
    </row>
    <row r="22" spans="1:10" x14ac:dyDescent="0.2">
      <c r="A22" s="754" t="s">
        <v>6807</v>
      </c>
      <c r="B22" s="759" t="s">
        <v>2773</v>
      </c>
      <c r="C22" s="771">
        <f ca="1">+C23-C33-C40</f>
        <v>101073840</v>
      </c>
      <c r="D22" s="771">
        <f ca="1">+D23-D33-D40</f>
        <v>95061479</v>
      </c>
      <c r="E22" s="771">
        <f t="shared" ref="E22:J22" ca="1" si="9">+E23+E33+E40</f>
        <v>4136032</v>
      </c>
      <c r="F22" s="771">
        <f t="shared" ca="1" si="9"/>
        <v>10148393</v>
      </c>
      <c r="G22" s="771">
        <f t="shared" si="9"/>
        <v>-26359</v>
      </c>
      <c r="H22" s="771">
        <f t="shared" si="9"/>
        <v>-26359</v>
      </c>
      <c r="I22" s="771">
        <f t="shared" ca="1" si="9"/>
        <v>4109673</v>
      </c>
      <c r="J22" s="771">
        <f t="shared" ca="1" si="9"/>
        <v>10122034</v>
      </c>
    </row>
    <row r="23" spans="1:10" x14ac:dyDescent="0.2">
      <c r="A23" s="754" t="s">
        <v>6808</v>
      </c>
      <c r="B23" s="761" t="s">
        <v>6789</v>
      </c>
      <c r="C23" s="768">
        <f t="shared" ref="C23:J23" ca="1" si="10">SUM(C24:C32)</f>
        <v>309646198</v>
      </c>
      <c r="D23" s="768">
        <f t="shared" ca="1" si="10"/>
        <v>313312077</v>
      </c>
      <c r="E23" s="768">
        <f t="shared" ca="1" si="10"/>
        <v>4109673</v>
      </c>
      <c r="F23" s="768">
        <f t="shared" ca="1" si="10"/>
        <v>443794</v>
      </c>
      <c r="G23" s="768">
        <f t="shared" si="10"/>
        <v>0</v>
      </c>
      <c r="H23" s="768">
        <f t="shared" si="10"/>
        <v>0</v>
      </c>
      <c r="I23" s="768">
        <f t="shared" ca="1" si="10"/>
        <v>4109673</v>
      </c>
      <c r="J23" s="768">
        <f t="shared" ca="1" si="10"/>
        <v>443794</v>
      </c>
    </row>
    <row r="24" spans="1:10" x14ac:dyDescent="0.2">
      <c r="A24" s="754" t="s">
        <v>433</v>
      </c>
      <c r="B24" s="763" t="s">
        <v>6809</v>
      </c>
      <c r="C24" s="764">
        <f t="shared" ref="C24:C32" ca="1" si="11">SUMIF(RFTOT01,$A24,RFVALAP)</f>
        <v>1164620</v>
      </c>
      <c r="D24" s="764">
        <f t="shared" ref="D24:D32" ca="1" si="12">SUMIF(RFTOT01,$A24,RFVALAC)</f>
        <v>1164620</v>
      </c>
      <c r="E24" s="764">
        <f t="shared" ref="E24:E32" ca="1" si="13">IF(D24&gt;C24,(D24-C24),0)</f>
        <v>0</v>
      </c>
      <c r="F24" s="764">
        <f t="shared" ref="F24:F32" ca="1" si="14">IF(D24&lt;C24,-(D24-C24),0)</f>
        <v>0</v>
      </c>
      <c r="G24" s="765"/>
      <c r="H24" s="765"/>
      <c r="I24" s="766">
        <f t="shared" ref="I24:I32" ca="1" si="15">+E24+G24</f>
        <v>0</v>
      </c>
      <c r="J24" s="766">
        <f t="shared" ref="J24:J32" ca="1" si="16">+F24+H24</f>
        <v>0</v>
      </c>
    </row>
    <row r="25" spans="1:10" x14ac:dyDescent="0.2">
      <c r="A25" s="754" t="s">
        <v>491</v>
      </c>
      <c r="B25" s="763" t="s">
        <v>6810</v>
      </c>
      <c r="C25" s="764">
        <f t="shared" ca="1" si="11"/>
        <v>166734710</v>
      </c>
      <c r="D25" s="764">
        <f t="shared" ca="1" si="12"/>
        <v>167896169</v>
      </c>
      <c r="E25" s="764">
        <f t="shared" ca="1" si="13"/>
        <v>1161459</v>
      </c>
      <c r="F25" s="764">
        <f t="shared" ca="1" si="14"/>
        <v>0</v>
      </c>
      <c r="G25" s="765"/>
      <c r="H25" s="765"/>
      <c r="I25" s="766">
        <f t="shared" ca="1" si="15"/>
        <v>1161459</v>
      </c>
      <c r="J25" s="766">
        <f t="shared" ca="1" si="16"/>
        <v>0</v>
      </c>
    </row>
    <row r="26" spans="1:10" x14ac:dyDescent="0.2">
      <c r="A26" s="754" t="s">
        <v>565</v>
      </c>
      <c r="B26" s="763" t="s">
        <v>6811</v>
      </c>
      <c r="C26" s="764">
        <f t="shared" ca="1" si="11"/>
        <v>55131929</v>
      </c>
      <c r="D26" s="764">
        <f t="shared" ca="1" si="12"/>
        <v>56057963</v>
      </c>
      <c r="E26" s="764">
        <f t="shared" ca="1" si="13"/>
        <v>926034</v>
      </c>
      <c r="F26" s="764">
        <f t="shared" ca="1" si="14"/>
        <v>0</v>
      </c>
      <c r="G26" s="765"/>
      <c r="H26" s="765"/>
      <c r="I26" s="766">
        <f t="shared" ca="1" si="15"/>
        <v>926034</v>
      </c>
      <c r="J26" s="766">
        <f t="shared" ca="1" si="16"/>
        <v>0</v>
      </c>
    </row>
    <row r="27" spans="1:10" x14ac:dyDescent="0.2">
      <c r="A27" s="754" t="s">
        <v>663</v>
      </c>
      <c r="B27" s="763" t="s">
        <v>6812</v>
      </c>
      <c r="C27" s="764">
        <f t="shared" ca="1" si="11"/>
        <v>67255470</v>
      </c>
      <c r="D27" s="764">
        <f t="shared" ca="1" si="12"/>
        <v>69161530</v>
      </c>
      <c r="E27" s="764">
        <f t="shared" ca="1" si="13"/>
        <v>1906060</v>
      </c>
      <c r="F27" s="764">
        <f t="shared" ca="1" si="14"/>
        <v>0</v>
      </c>
      <c r="G27" s="765"/>
      <c r="H27" s="765"/>
      <c r="I27" s="766">
        <f t="shared" ca="1" si="15"/>
        <v>1906060</v>
      </c>
      <c r="J27" s="766">
        <f t="shared" ca="1" si="16"/>
        <v>0</v>
      </c>
    </row>
    <row r="28" spans="1:10" x14ac:dyDescent="0.2">
      <c r="A28" s="754" t="s">
        <v>713</v>
      </c>
      <c r="B28" s="763" t="s">
        <v>6813</v>
      </c>
      <c r="C28" s="764">
        <f t="shared" ca="1" si="11"/>
        <v>7528290</v>
      </c>
      <c r="D28" s="764">
        <f t="shared" ca="1" si="12"/>
        <v>7555687</v>
      </c>
      <c r="E28" s="764">
        <f t="shared" ca="1" si="13"/>
        <v>27397</v>
      </c>
      <c r="F28" s="764">
        <f t="shared" ca="1" si="14"/>
        <v>0</v>
      </c>
      <c r="G28" s="765"/>
      <c r="H28" s="765"/>
      <c r="I28" s="766">
        <f t="shared" ca="1" si="15"/>
        <v>27397</v>
      </c>
      <c r="J28" s="766">
        <f t="shared" ca="1" si="16"/>
        <v>0</v>
      </c>
    </row>
    <row r="29" spans="1:10" x14ac:dyDescent="0.2">
      <c r="A29" s="754" t="s">
        <v>775</v>
      </c>
      <c r="B29" s="763" t="s">
        <v>6814</v>
      </c>
      <c r="C29" s="764">
        <f t="shared" ca="1" si="11"/>
        <v>930515</v>
      </c>
      <c r="D29" s="764">
        <f t="shared" ca="1" si="12"/>
        <v>930515</v>
      </c>
      <c r="E29" s="764">
        <f t="shared" ca="1" si="13"/>
        <v>0</v>
      </c>
      <c r="F29" s="764">
        <f t="shared" ca="1" si="14"/>
        <v>0</v>
      </c>
      <c r="G29" s="765"/>
      <c r="H29" s="765"/>
      <c r="I29" s="766">
        <f t="shared" ca="1" si="15"/>
        <v>0</v>
      </c>
      <c r="J29" s="766">
        <f t="shared" ca="1" si="16"/>
        <v>0</v>
      </c>
    </row>
    <row r="30" spans="1:10" x14ac:dyDescent="0.2">
      <c r="A30" s="754" t="s">
        <v>849</v>
      </c>
      <c r="B30" s="763" t="s">
        <v>853</v>
      </c>
      <c r="C30" s="764">
        <f t="shared" ca="1" si="11"/>
        <v>24416</v>
      </c>
      <c r="D30" s="764">
        <f t="shared" ca="1" si="12"/>
        <v>113139</v>
      </c>
      <c r="E30" s="764">
        <f t="shared" ca="1" si="13"/>
        <v>88723</v>
      </c>
      <c r="F30" s="764">
        <f t="shared" ca="1" si="14"/>
        <v>0</v>
      </c>
      <c r="G30" s="765"/>
      <c r="H30" s="765"/>
      <c r="I30" s="766">
        <f t="shared" ca="1" si="15"/>
        <v>88723</v>
      </c>
      <c r="J30" s="766">
        <f t="shared" ca="1" si="16"/>
        <v>0</v>
      </c>
    </row>
    <row r="31" spans="1:10" x14ac:dyDescent="0.2">
      <c r="A31" s="754" t="s">
        <v>861</v>
      </c>
      <c r="B31" s="763" t="s">
        <v>6815</v>
      </c>
      <c r="C31" s="764">
        <f t="shared" ca="1" si="11"/>
        <v>9248959</v>
      </c>
      <c r="D31" s="764">
        <f t="shared" ca="1" si="12"/>
        <v>9220312</v>
      </c>
      <c r="E31" s="764">
        <f t="shared" ca="1" si="13"/>
        <v>0</v>
      </c>
      <c r="F31" s="764">
        <f t="shared" ca="1" si="14"/>
        <v>28647</v>
      </c>
      <c r="G31" s="765"/>
      <c r="H31" s="765"/>
      <c r="I31" s="766">
        <f t="shared" ca="1" si="15"/>
        <v>0</v>
      </c>
      <c r="J31" s="766">
        <f t="shared" ca="1" si="16"/>
        <v>28647</v>
      </c>
    </row>
    <row r="32" spans="1:10" x14ac:dyDescent="0.2">
      <c r="A32" s="754" t="s">
        <v>943</v>
      </c>
      <c r="B32" s="763" t="s">
        <v>6816</v>
      </c>
      <c r="C32" s="764">
        <f t="shared" ca="1" si="11"/>
        <v>1627289</v>
      </c>
      <c r="D32" s="764">
        <f t="shared" ca="1" si="12"/>
        <v>1212142</v>
      </c>
      <c r="E32" s="764">
        <f t="shared" ca="1" si="13"/>
        <v>0</v>
      </c>
      <c r="F32" s="764">
        <f t="shared" ca="1" si="14"/>
        <v>415147</v>
      </c>
      <c r="G32" s="765"/>
      <c r="H32" s="765"/>
      <c r="I32" s="766">
        <f t="shared" ca="1" si="15"/>
        <v>0</v>
      </c>
      <c r="J32" s="766">
        <f t="shared" ca="1" si="16"/>
        <v>415147</v>
      </c>
    </row>
    <row r="33" spans="1:10" x14ac:dyDescent="0.2">
      <c r="A33" s="754" t="s">
        <v>6817</v>
      </c>
      <c r="B33" s="761" t="s">
        <v>6796</v>
      </c>
      <c r="C33" s="768">
        <f t="shared" ref="C33:J33" ca="1" si="17">SUM(C34:C39)</f>
        <v>208572358</v>
      </c>
      <c r="D33" s="768">
        <f t="shared" ca="1" si="17"/>
        <v>218250598</v>
      </c>
      <c r="E33" s="768">
        <f t="shared" ca="1" si="17"/>
        <v>26359</v>
      </c>
      <c r="F33" s="768">
        <f t="shared" ca="1" si="17"/>
        <v>9704599</v>
      </c>
      <c r="G33" s="768">
        <f t="shared" si="17"/>
        <v>-26359</v>
      </c>
      <c r="H33" s="768">
        <f t="shared" si="17"/>
        <v>-26359</v>
      </c>
      <c r="I33" s="768">
        <f t="shared" ca="1" si="17"/>
        <v>0</v>
      </c>
      <c r="J33" s="769">
        <f t="shared" ca="1" si="17"/>
        <v>9678240</v>
      </c>
    </row>
    <row r="34" spans="1:10" x14ac:dyDescent="0.2">
      <c r="A34" s="754" t="s">
        <v>508</v>
      </c>
      <c r="B34" s="763" t="s">
        <v>6818</v>
      </c>
      <c r="C34" s="764">
        <f t="shared" ref="C34:C39" ca="1" si="18">SUMIF(RFTOT01,$A34,RFVALAP)</f>
        <v>83531361</v>
      </c>
      <c r="D34" s="764">
        <f t="shared" ref="D34:D39" ca="1" si="19">SUMIF(RFTOT01,$A34,RFVALAC)</f>
        <v>89537767</v>
      </c>
      <c r="E34" s="764">
        <f t="shared" ref="E34:E39" ca="1" si="20">IF(D34&lt;C34,-(D34-C34),0)</f>
        <v>0</v>
      </c>
      <c r="F34" s="764">
        <f t="shared" ref="F34:F39" ca="1" si="21">IF(D34&gt;C34,(D34-C34),0)</f>
        <v>6006406</v>
      </c>
      <c r="G34" s="765"/>
      <c r="H34" s="765"/>
      <c r="I34" s="764">
        <f t="shared" ref="I34:I39" ca="1" si="22">+E34+G34</f>
        <v>0</v>
      </c>
      <c r="J34" s="766">
        <f t="shared" ref="J34:J39" ca="1" si="23">+F34+H34</f>
        <v>6006406</v>
      </c>
    </row>
    <row r="35" spans="1:10" x14ac:dyDescent="0.2">
      <c r="A35" s="754" t="s">
        <v>612</v>
      </c>
      <c r="B35" s="763" t="s">
        <v>6819</v>
      </c>
      <c r="C35" s="764">
        <f t="shared" ca="1" si="18"/>
        <v>45515589</v>
      </c>
      <c r="D35" s="764">
        <f t="shared" ca="1" si="19"/>
        <v>48218432</v>
      </c>
      <c r="E35" s="764">
        <f t="shared" ca="1" si="20"/>
        <v>0</v>
      </c>
      <c r="F35" s="764">
        <f t="shared" ca="1" si="21"/>
        <v>2702843</v>
      </c>
      <c r="G35" s="765"/>
      <c r="H35" s="765"/>
      <c r="I35" s="764">
        <f t="shared" ca="1" si="22"/>
        <v>0</v>
      </c>
      <c r="J35" s="766">
        <f t="shared" ca="1" si="23"/>
        <v>2702843</v>
      </c>
    </row>
    <row r="36" spans="1:10" x14ac:dyDescent="0.2">
      <c r="A36" s="754" t="s">
        <v>686</v>
      </c>
      <c r="B36" s="763" t="s">
        <v>6820</v>
      </c>
      <c r="C36" s="764">
        <f t="shared" ca="1" si="18"/>
        <v>62920922</v>
      </c>
      <c r="D36" s="764">
        <f t="shared" ca="1" si="19"/>
        <v>63786885</v>
      </c>
      <c r="E36" s="764">
        <f t="shared" ca="1" si="20"/>
        <v>0</v>
      </c>
      <c r="F36" s="764">
        <f t="shared" ca="1" si="21"/>
        <v>865963</v>
      </c>
      <c r="G36" s="765"/>
      <c r="H36" s="765"/>
      <c r="I36" s="764">
        <f t="shared" ca="1" si="22"/>
        <v>0</v>
      </c>
      <c r="J36" s="766">
        <f t="shared" ca="1" si="23"/>
        <v>865963</v>
      </c>
    </row>
    <row r="37" spans="1:10" x14ac:dyDescent="0.2">
      <c r="A37" s="754" t="s">
        <v>742</v>
      </c>
      <c r="B37" s="763" t="s">
        <v>6821</v>
      </c>
      <c r="C37" s="764">
        <f t="shared" ca="1" si="18"/>
        <v>7035253</v>
      </c>
      <c r="D37" s="764">
        <f t="shared" ca="1" si="19"/>
        <v>7164640</v>
      </c>
      <c r="E37" s="764">
        <f t="shared" ca="1" si="20"/>
        <v>0</v>
      </c>
      <c r="F37" s="764">
        <f t="shared" ca="1" si="21"/>
        <v>129387</v>
      </c>
      <c r="G37" s="765"/>
      <c r="H37" s="765"/>
      <c r="I37" s="764">
        <f t="shared" ca="1" si="22"/>
        <v>0</v>
      </c>
      <c r="J37" s="766">
        <f t="shared" ca="1" si="23"/>
        <v>129387</v>
      </c>
    </row>
    <row r="38" spans="1:10" x14ac:dyDescent="0.2">
      <c r="A38" s="754" t="s">
        <v>810</v>
      </c>
      <c r="B38" s="763" t="s">
        <v>6822</v>
      </c>
      <c r="C38" s="764">
        <f t="shared" ca="1" si="18"/>
        <v>930515</v>
      </c>
      <c r="D38" s="764">
        <f t="shared" ca="1" si="19"/>
        <v>930515</v>
      </c>
      <c r="E38" s="764">
        <f t="shared" ca="1" si="20"/>
        <v>0</v>
      </c>
      <c r="F38" s="764">
        <f t="shared" ca="1" si="21"/>
        <v>0</v>
      </c>
      <c r="G38" s="765"/>
      <c r="H38" s="765"/>
      <c r="I38" s="764">
        <f t="shared" ca="1" si="22"/>
        <v>0</v>
      </c>
      <c r="J38" s="766">
        <f t="shared" ca="1" si="23"/>
        <v>0</v>
      </c>
    </row>
    <row r="39" spans="1:10" s="772" customFormat="1" x14ac:dyDescent="0.2">
      <c r="A39" s="754" t="s">
        <v>902</v>
      </c>
      <c r="B39" s="763" t="s">
        <v>6823</v>
      </c>
      <c r="C39" s="764">
        <f t="shared" ca="1" si="18"/>
        <v>8638718</v>
      </c>
      <c r="D39" s="764">
        <f t="shared" ca="1" si="19"/>
        <v>8612359</v>
      </c>
      <c r="E39" s="764">
        <f t="shared" ca="1" si="20"/>
        <v>26359</v>
      </c>
      <c r="F39" s="764">
        <f t="shared" ca="1" si="21"/>
        <v>0</v>
      </c>
      <c r="G39" s="765">
        <v>-26359</v>
      </c>
      <c r="H39" s="765">
        <v>-26359</v>
      </c>
      <c r="I39" s="764">
        <f t="shared" ca="1" si="22"/>
        <v>0</v>
      </c>
      <c r="J39" s="766">
        <f t="shared" ca="1" si="23"/>
        <v>-26359</v>
      </c>
    </row>
    <row r="40" spans="1:10" x14ac:dyDescent="0.2">
      <c r="A40" s="754" t="s">
        <v>6824</v>
      </c>
      <c r="B40" s="770" t="s">
        <v>6802</v>
      </c>
      <c r="C40" s="768">
        <f t="shared" ref="C40:J40" ca="1" si="24">SUM(C41:C48)</f>
        <v>0</v>
      </c>
      <c r="D40" s="768">
        <f t="shared" ca="1" si="24"/>
        <v>0</v>
      </c>
      <c r="E40" s="768">
        <f t="shared" ca="1" si="24"/>
        <v>0</v>
      </c>
      <c r="F40" s="768">
        <f t="shared" ca="1" si="24"/>
        <v>0</v>
      </c>
      <c r="G40" s="768">
        <f t="shared" si="24"/>
        <v>0</v>
      </c>
      <c r="H40" s="768">
        <f t="shared" si="24"/>
        <v>0</v>
      </c>
      <c r="I40" s="769">
        <f t="shared" ca="1" si="24"/>
        <v>0</v>
      </c>
      <c r="J40" s="769">
        <f t="shared" ca="1" si="24"/>
        <v>0</v>
      </c>
    </row>
    <row r="41" spans="1:10" x14ac:dyDescent="0.2">
      <c r="A41" s="754" t="s">
        <v>961</v>
      </c>
      <c r="B41" s="763" t="s">
        <v>6825</v>
      </c>
      <c r="C41" s="764">
        <f t="shared" ref="C41:C48" ca="1" si="25">-SUMIF(RFTOT01,$A41,RFVALAP)</f>
        <v>0</v>
      </c>
      <c r="D41" s="764">
        <f t="shared" ref="D41:D48" ca="1" si="26">-SUMIF(RFTOT01,$A41,RFVALAC)</f>
        <v>0</v>
      </c>
      <c r="E41" s="764">
        <f t="shared" ref="E41:E48" ca="1" si="27">IF(D41&lt;C41,-(D41-C41),0)</f>
        <v>0</v>
      </c>
      <c r="F41" s="764">
        <f t="shared" ref="F41:F48" ca="1" si="28">IF(D41&gt;C41,(D41-C41),0)</f>
        <v>0</v>
      </c>
      <c r="G41" s="765"/>
      <c r="H41" s="765"/>
      <c r="I41" s="766">
        <f t="shared" ref="I41:I48" ca="1" si="29">+E41+G41</f>
        <v>0</v>
      </c>
      <c r="J41" s="766">
        <f t="shared" ref="J41:J48" ca="1" si="30">+F41+H41</f>
        <v>0</v>
      </c>
    </row>
    <row r="42" spans="1:10" x14ac:dyDescent="0.2">
      <c r="A42" s="754" t="s">
        <v>978</v>
      </c>
      <c r="B42" s="763" t="s">
        <v>6826</v>
      </c>
      <c r="C42" s="764">
        <f t="shared" ca="1" si="25"/>
        <v>0</v>
      </c>
      <c r="D42" s="764">
        <f t="shared" ca="1" si="26"/>
        <v>0</v>
      </c>
      <c r="E42" s="764">
        <f t="shared" ca="1" si="27"/>
        <v>0</v>
      </c>
      <c r="F42" s="764">
        <f t="shared" ca="1" si="28"/>
        <v>0</v>
      </c>
      <c r="G42" s="765"/>
      <c r="H42" s="765"/>
      <c r="I42" s="766">
        <f t="shared" ca="1" si="29"/>
        <v>0</v>
      </c>
      <c r="J42" s="766">
        <f t="shared" ca="1" si="30"/>
        <v>0</v>
      </c>
    </row>
    <row r="43" spans="1:10" x14ac:dyDescent="0.2">
      <c r="A43" s="754" t="s">
        <v>995</v>
      </c>
      <c r="B43" s="763" t="s">
        <v>6827</v>
      </c>
      <c r="C43" s="764">
        <f t="shared" ca="1" si="25"/>
        <v>0</v>
      </c>
      <c r="D43" s="764">
        <f t="shared" ca="1" si="26"/>
        <v>0</v>
      </c>
      <c r="E43" s="764">
        <f t="shared" ca="1" si="27"/>
        <v>0</v>
      </c>
      <c r="F43" s="764">
        <f t="shared" ca="1" si="28"/>
        <v>0</v>
      </c>
      <c r="G43" s="765"/>
      <c r="H43" s="765"/>
      <c r="I43" s="766">
        <f t="shared" ca="1" si="29"/>
        <v>0</v>
      </c>
      <c r="J43" s="766">
        <f t="shared" ca="1" si="30"/>
        <v>0</v>
      </c>
    </row>
    <row r="44" spans="1:10" x14ac:dyDescent="0.2">
      <c r="A44" s="754" t="s">
        <v>1006</v>
      </c>
      <c r="B44" s="763" t="s">
        <v>6828</v>
      </c>
      <c r="C44" s="764">
        <f t="shared" ca="1" si="25"/>
        <v>0</v>
      </c>
      <c r="D44" s="764">
        <f t="shared" ca="1" si="26"/>
        <v>0</v>
      </c>
      <c r="E44" s="764">
        <f t="shared" ca="1" si="27"/>
        <v>0</v>
      </c>
      <c r="F44" s="764">
        <f t="shared" ca="1" si="28"/>
        <v>0</v>
      </c>
      <c r="G44" s="765"/>
      <c r="H44" s="765"/>
      <c r="I44" s="766">
        <f t="shared" ca="1" si="29"/>
        <v>0</v>
      </c>
      <c r="J44" s="766">
        <f t="shared" ca="1" si="30"/>
        <v>0</v>
      </c>
    </row>
    <row r="45" spans="1:10" x14ac:dyDescent="0.2">
      <c r="A45" s="754" t="s">
        <v>1023</v>
      </c>
      <c r="B45" s="763" t="s">
        <v>6829</v>
      </c>
      <c r="C45" s="764">
        <f t="shared" ca="1" si="25"/>
        <v>0</v>
      </c>
      <c r="D45" s="764">
        <f t="shared" ca="1" si="26"/>
        <v>0</v>
      </c>
      <c r="E45" s="764">
        <f t="shared" ca="1" si="27"/>
        <v>0</v>
      </c>
      <c r="F45" s="764">
        <f t="shared" ca="1" si="28"/>
        <v>0</v>
      </c>
      <c r="G45" s="765"/>
      <c r="H45" s="765"/>
      <c r="I45" s="766">
        <f t="shared" ca="1" si="29"/>
        <v>0</v>
      </c>
      <c r="J45" s="766">
        <f t="shared" ca="1" si="30"/>
        <v>0</v>
      </c>
    </row>
    <row r="46" spans="1:10" x14ac:dyDescent="0.2">
      <c r="A46" s="754" t="s">
        <v>1034</v>
      </c>
      <c r="B46" s="763" t="s">
        <v>6830</v>
      </c>
      <c r="C46" s="764">
        <f t="shared" ca="1" si="25"/>
        <v>0</v>
      </c>
      <c r="D46" s="764">
        <f t="shared" ca="1" si="26"/>
        <v>0</v>
      </c>
      <c r="E46" s="764">
        <f t="shared" ca="1" si="27"/>
        <v>0</v>
      </c>
      <c r="F46" s="764">
        <f t="shared" ca="1" si="28"/>
        <v>0</v>
      </c>
      <c r="G46" s="765"/>
      <c r="H46" s="765"/>
      <c r="I46" s="766">
        <f t="shared" ca="1" si="29"/>
        <v>0</v>
      </c>
      <c r="J46" s="766">
        <f t="shared" ca="1" si="30"/>
        <v>0</v>
      </c>
    </row>
    <row r="47" spans="1:10" x14ac:dyDescent="0.2">
      <c r="A47" s="754" t="s">
        <v>1045</v>
      </c>
      <c r="B47" s="763" t="s">
        <v>6831</v>
      </c>
      <c r="C47" s="764">
        <f t="shared" ca="1" si="25"/>
        <v>0</v>
      </c>
      <c r="D47" s="764">
        <f t="shared" ca="1" si="26"/>
        <v>0</v>
      </c>
      <c r="E47" s="764">
        <f t="shared" ca="1" si="27"/>
        <v>0</v>
      </c>
      <c r="F47" s="764">
        <f t="shared" ca="1" si="28"/>
        <v>0</v>
      </c>
      <c r="G47" s="765"/>
      <c r="H47" s="765"/>
      <c r="I47" s="766">
        <f t="shared" ca="1" si="29"/>
        <v>0</v>
      </c>
      <c r="J47" s="766">
        <f t="shared" ca="1" si="30"/>
        <v>0</v>
      </c>
    </row>
    <row r="48" spans="1:10" x14ac:dyDescent="0.2">
      <c r="A48" s="754" t="s">
        <v>1053</v>
      </c>
      <c r="B48" s="763" t="s">
        <v>6832</v>
      </c>
      <c r="C48" s="764">
        <f t="shared" ca="1" si="25"/>
        <v>0</v>
      </c>
      <c r="D48" s="764">
        <f t="shared" ca="1" si="26"/>
        <v>0</v>
      </c>
      <c r="E48" s="764">
        <f t="shared" ca="1" si="27"/>
        <v>0</v>
      </c>
      <c r="F48" s="764">
        <f t="shared" ca="1" si="28"/>
        <v>0</v>
      </c>
      <c r="G48" s="765"/>
      <c r="H48" s="765"/>
      <c r="I48" s="766">
        <f t="shared" ca="1" si="29"/>
        <v>0</v>
      </c>
      <c r="J48" s="766">
        <f t="shared" ca="1" si="30"/>
        <v>0</v>
      </c>
    </row>
    <row r="49" spans="1:10" x14ac:dyDescent="0.2">
      <c r="A49" s="754" t="s">
        <v>6833</v>
      </c>
      <c r="B49" s="759" t="s">
        <v>6834</v>
      </c>
      <c r="C49" s="771">
        <f t="shared" ref="C49:J49" ca="1" si="31">SUM(C50:C51)</f>
        <v>0</v>
      </c>
      <c r="D49" s="771">
        <f t="shared" ca="1" si="31"/>
        <v>0</v>
      </c>
      <c r="E49" s="771">
        <f t="shared" ca="1" si="31"/>
        <v>0</v>
      </c>
      <c r="F49" s="771">
        <f t="shared" ca="1" si="31"/>
        <v>0</v>
      </c>
      <c r="G49" s="771">
        <f t="shared" si="31"/>
        <v>0</v>
      </c>
      <c r="H49" s="771">
        <f t="shared" si="31"/>
        <v>0</v>
      </c>
      <c r="I49" s="771">
        <f t="shared" ca="1" si="31"/>
        <v>0</v>
      </c>
      <c r="J49" s="771">
        <f t="shared" ca="1" si="31"/>
        <v>0</v>
      </c>
    </row>
    <row r="50" spans="1:10" x14ac:dyDescent="0.2">
      <c r="A50" s="754" t="s">
        <v>1066</v>
      </c>
      <c r="B50" s="773" t="s">
        <v>6835</v>
      </c>
      <c r="C50" s="764">
        <f ca="1">SUMIF(RFTOT01,$A50,RFVALAP)</f>
        <v>0</v>
      </c>
      <c r="D50" s="764">
        <f ca="1">SUMIF(RFTOT01,$A50,RFVALAC)</f>
        <v>0</v>
      </c>
      <c r="E50" s="764">
        <f ca="1">IF(D50&gt;C50,(D50-C50),0)</f>
        <v>0</v>
      </c>
      <c r="F50" s="764">
        <f ca="1">IF(D50&lt;C50,-(D50-C50),0)</f>
        <v>0</v>
      </c>
      <c r="G50" s="765"/>
      <c r="H50" s="765"/>
      <c r="I50" s="766">
        <f ca="1">+E50+G50</f>
        <v>0</v>
      </c>
      <c r="J50" s="766">
        <f ca="1">+F50+H50</f>
        <v>0</v>
      </c>
    </row>
    <row r="51" spans="1:10" x14ac:dyDescent="0.2">
      <c r="A51" s="754" t="s">
        <v>1090</v>
      </c>
      <c r="B51" s="773" t="s">
        <v>6836</v>
      </c>
      <c r="C51" s="764">
        <f ca="1">SUMIF(RFTOT01,$A51,RFVALAP)</f>
        <v>0</v>
      </c>
      <c r="D51" s="764">
        <f ca="1">SUMIF(RFTOT01,$A51,RFVALAC)</f>
        <v>0</v>
      </c>
      <c r="E51" s="764">
        <f ca="1">IF(D51&gt;C51,(D51-C51),0)</f>
        <v>0</v>
      </c>
      <c r="F51" s="764">
        <f ca="1">IF(D51&lt;C51,-(D51-C51),0)</f>
        <v>0</v>
      </c>
      <c r="G51" s="765"/>
      <c r="H51" s="765"/>
      <c r="I51" s="766">
        <f ca="1">+E51+G51</f>
        <v>0</v>
      </c>
      <c r="J51" s="766">
        <f ca="1">+F51+H51</f>
        <v>0</v>
      </c>
    </row>
    <row r="52" spans="1:10" x14ac:dyDescent="0.2">
      <c r="A52" s="754" t="s">
        <v>6837</v>
      </c>
      <c r="B52" s="757" t="s">
        <v>6838</v>
      </c>
      <c r="C52" s="774">
        <f t="shared" ref="C52:J52" ca="1" si="32">+C53+C58+C77+C80</f>
        <v>111296606</v>
      </c>
      <c r="D52" s="774">
        <f t="shared" ca="1" si="32"/>
        <v>135336879</v>
      </c>
      <c r="E52" s="774">
        <f t="shared" ca="1" si="32"/>
        <v>35579682</v>
      </c>
      <c r="F52" s="774">
        <f t="shared" ca="1" si="32"/>
        <v>11539409</v>
      </c>
      <c r="G52" s="774">
        <f t="shared" si="32"/>
        <v>-3242387</v>
      </c>
      <c r="H52" s="774">
        <f t="shared" si="32"/>
        <v>-3242387</v>
      </c>
      <c r="I52" s="774">
        <f t="shared" ca="1" si="32"/>
        <v>32337295</v>
      </c>
      <c r="J52" s="774">
        <f t="shared" ca="1" si="32"/>
        <v>8297022</v>
      </c>
    </row>
    <row r="53" spans="1:10" x14ac:dyDescent="0.2">
      <c r="A53" s="754" t="s">
        <v>6839</v>
      </c>
      <c r="B53" s="759" t="s">
        <v>2805</v>
      </c>
      <c r="C53" s="771">
        <f t="shared" ref="C53:J53" ca="1" si="33">SUM(C54:C57)</f>
        <v>11430307</v>
      </c>
      <c r="D53" s="771">
        <f t="shared" ca="1" si="33"/>
        <v>15048961</v>
      </c>
      <c r="E53" s="771">
        <f t="shared" ca="1" si="33"/>
        <v>3618654</v>
      </c>
      <c r="F53" s="771">
        <f t="shared" ca="1" si="33"/>
        <v>0</v>
      </c>
      <c r="G53" s="771">
        <f t="shared" si="33"/>
        <v>0</v>
      </c>
      <c r="H53" s="771">
        <f t="shared" si="33"/>
        <v>0</v>
      </c>
      <c r="I53" s="771">
        <f t="shared" ca="1" si="33"/>
        <v>3618654</v>
      </c>
      <c r="J53" s="771">
        <f t="shared" ca="1" si="33"/>
        <v>0</v>
      </c>
    </row>
    <row r="54" spans="1:10" x14ac:dyDescent="0.2">
      <c r="A54" s="754" t="s">
        <v>1134</v>
      </c>
      <c r="B54" s="773" t="s">
        <v>6840</v>
      </c>
      <c r="C54" s="764">
        <f ca="1">SUMIF(RFTOT01,$A54,RFVALAP)</f>
        <v>11277052</v>
      </c>
      <c r="D54" s="764">
        <f ca="1">SUMIF(RFTOT01,$A54,RFVALAC)</f>
        <v>14894110</v>
      </c>
      <c r="E54" s="764">
        <f ca="1">IF(D54&gt;C54,(D54-C54),0)</f>
        <v>3617058</v>
      </c>
      <c r="F54" s="764">
        <f ca="1">IF(D54&lt;C54,-(D54-C54),0)</f>
        <v>0</v>
      </c>
      <c r="G54" s="765"/>
      <c r="H54" s="765"/>
      <c r="I54" s="766">
        <f t="shared" ref="I54:J57" ca="1" si="34">+E54+G54</f>
        <v>3617058</v>
      </c>
      <c r="J54" s="766">
        <f t="shared" ca="1" si="34"/>
        <v>0</v>
      </c>
    </row>
    <row r="55" spans="1:10" x14ac:dyDescent="0.2">
      <c r="A55" s="754" t="s">
        <v>1291</v>
      </c>
      <c r="B55" s="773" t="s">
        <v>6841</v>
      </c>
      <c r="C55" s="764">
        <f ca="1">SUMIF(RFTOT01,$A55,RFVALAP)</f>
        <v>153255</v>
      </c>
      <c r="D55" s="764">
        <f ca="1">SUMIF(RFTOT01,$A55,RFVALAC)</f>
        <v>154851</v>
      </c>
      <c r="E55" s="764">
        <f ca="1">IF(D55&gt;C55,(D55-C55),0)</f>
        <v>1596</v>
      </c>
      <c r="F55" s="764">
        <f ca="1">IF(D55&lt;C55,-(D55-C55),0)</f>
        <v>0</v>
      </c>
      <c r="G55" s="765"/>
      <c r="H55" s="765"/>
      <c r="I55" s="766">
        <f t="shared" ca="1" si="34"/>
        <v>1596</v>
      </c>
      <c r="J55" s="766">
        <f t="shared" ca="1" si="34"/>
        <v>0</v>
      </c>
    </row>
    <row r="56" spans="1:10" x14ac:dyDescent="0.2">
      <c r="A56" s="754" t="s">
        <v>1286</v>
      </c>
      <c r="B56" s="773" t="s">
        <v>6842</v>
      </c>
      <c r="C56" s="764">
        <f ca="1">SUMIF(RFTOT01,$A56,RFVALAP)</f>
        <v>0</v>
      </c>
      <c r="D56" s="764">
        <f ca="1">SUMIF(RFTOT01,$A56,RFVALAC)</f>
        <v>0</v>
      </c>
      <c r="E56" s="764">
        <f ca="1">IF(D56&gt;C56,(D56-C56),0)</f>
        <v>0</v>
      </c>
      <c r="F56" s="764">
        <f ca="1">IF(D56&lt;C56,-(D56-C56),0)</f>
        <v>0</v>
      </c>
      <c r="G56" s="765"/>
      <c r="H56" s="765"/>
      <c r="I56" s="766">
        <f t="shared" ca="1" si="34"/>
        <v>0</v>
      </c>
      <c r="J56" s="766">
        <f t="shared" ca="1" si="34"/>
        <v>0</v>
      </c>
    </row>
    <row r="57" spans="1:10" x14ac:dyDescent="0.2">
      <c r="A57" s="754" t="s">
        <v>1345</v>
      </c>
      <c r="B57" s="773" t="s">
        <v>6843</v>
      </c>
      <c r="C57" s="764">
        <f ca="1">SUMIF(RFTOT01,$A57,RFVALAP)</f>
        <v>0</v>
      </c>
      <c r="D57" s="764">
        <f ca="1">SUMIF(RFTOT01,$A57,RFVALAC)</f>
        <v>0</v>
      </c>
      <c r="E57" s="764">
        <f ca="1">IF(D57&gt;C57,(D57-C57),0)</f>
        <v>0</v>
      </c>
      <c r="F57" s="764">
        <f ca="1">IF(D57&lt;C57,-(D57-C57),0)</f>
        <v>0</v>
      </c>
      <c r="G57" s="765"/>
      <c r="H57" s="765"/>
      <c r="I57" s="766">
        <f t="shared" ca="1" si="34"/>
        <v>0</v>
      </c>
      <c r="J57" s="766">
        <f t="shared" ca="1" si="34"/>
        <v>0</v>
      </c>
    </row>
    <row r="58" spans="1:10" x14ac:dyDescent="0.2">
      <c r="A58" s="754" t="s">
        <v>6844</v>
      </c>
      <c r="B58" s="759" t="s">
        <v>6845</v>
      </c>
      <c r="C58" s="771">
        <f t="shared" ref="C58:J58" ca="1" si="35">SUM(C59:C76)</f>
        <v>77775738</v>
      </c>
      <c r="D58" s="771">
        <f t="shared" ca="1" si="35"/>
        <v>104377979</v>
      </c>
      <c r="E58" s="771">
        <f t="shared" ca="1" si="35"/>
        <v>31931709</v>
      </c>
      <c r="F58" s="771">
        <f t="shared" ca="1" si="35"/>
        <v>5329468</v>
      </c>
      <c r="G58" s="771">
        <f t="shared" si="35"/>
        <v>-3242387</v>
      </c>
      <c r="H58" s="771">
        <f t="shared" si="35"/>
        <v>0</v>
      </c>
      <c r="I58" s="771">
        <f t="shared" ca="1" si="35"/>
        <v>28689322</v>
      </c>
      <c r="J58" s="771">
        <f t="shared" ca="1" si="35"/>
        <v>5329468</v>
      </c>
    </row>
    <row r="59" spans="1:10" x14ac:dyDescent="0.2">
      <c r="A59" s="754" t="s">
        <v>1359</v>
      </c>
      <c r="B59" s="773" t="s">
        <v>6846</v>
      </c>
      <c r="C59" s="764">
        <f t="shared" ref="C59:C76" ca="1" si="36">SUMIF(RFTOT01,$A59,RFVALAP)</f>
        <v>328223</v>
      </c>
      <c r="D59" s="764">
        <f t="shared" ref="D59:D76" ca="1" si="37">SUMIF(RFTOT01,$A59,RFVALAC)</f>
        <v>332888</v>
      </c>
      <c r="E59" s="764">
        <f t="shared" ref="E59:E76" ca="1" si="38">IF(D59&gt;C59,(D59-C59),0)</f>
        <v>4665</v>
      </c>
      <c r="F59" s="764">
        <f t="shared" ref="F59:F76" ca="1" si="39">IF(D59&lt;C59,-(D59-C59),0)</f>
        <v>0</v>
      </c>
      <c r="G59" s="765"/>
      <c r="H59" s="765"/>
      <c r="I59" s="766">
        <f t="shared" ref="I59:I76" ca="1" si="40">+E59+G59</f>
        <v>4665</v>
      </c>
      <c r="J59" s="766">
        <f t="shared" ref="J59:J76" ca="1" si="41">+F59+H59</f>
        <v>0</v>
      </c>
    </row>
    <row r="60" spans="1:10" x14ac:dyDescent="0.2">
      <c r="A60" s="754" t="s">
        <v>1416</v>
      </c>
      <c r="B60" s="773" t="s">
        <v>6847</v>
      </c>
      <c r="C60" s="764">
        <f t="shared" ca="1" si="36"/>
        <v>0</v>
      </c>
      <c r="D60" s="764">
        <f t="shared" ca="1" si="37"/>
        <v>0</v>
      </c>
      <c r="E60" s="764">
        <f t="shared" ca="1" si="38"/>
        <v>0</v>
      </c>
      <c r="F60" s="764">
        <f t="shared" ca="1" si="39"/>
        <v>0</v>
      </c>
      <c r="G60" s="765"/>
      <c r="H60" s="765"/>
      <c r="I60" s="766">
        <f t="shared" ca="1" si="40"/>
        <v>0</v>
      </c>
      <c r="J60" s="766">
        <f t="shared" ca="1" si="41"/>
        <v>0</v>
      </c>
    </row>
    <row r="61" spans="1:10" x14ac:dyDescent="0.2">
      <c r="A61" s="754" t="s">
        <v>1443</v>
      </c>
      <c r="B61" s="773" t="s">
        <v>6848</v>
      </c>
      <c r="C61" s="775">
        <f t="shared" ca="1" si="36"/>
        <v>0</v>
      </c>
      <c r="D61" s="775">
        <f t="shared" ca="1" si="37"/>
        <v>0</v>
      </c>
      <c r="E61" s="775">
        <f t="shared" ca="1" si="38"/>
        <v>0</v>
      </c>
      <c r="F61" s="775">
        <f t="shared" ca="1" si="39"/>
        <v>0</v>
      </c>
      <c r="G61" s="775"/>
      <c r="H61" s="775"/>
      <c r="I61" s="775">
        <f t="shared" ca="1" si="40"/>
        <v>0</v>
      </c>
      <c r="J61" s="775">
        <f t="shared" ca="1" si="41"/>
        <v>0</v>
      </c>
    </row>
    <row r="62" spans="1:10" x14ac:dyDescent="0.2">
      <c r="A62" s="754" t="s">
        <v>6849</v>
      </c>
      <c r="B62" s="773" t="s">
        <v>6850</v>
      </c>
      <c r="C62" s="775">
        <f t="shared" ca="1" si="36"/>
        <v>0</v>
      </c>
      <c r="D62" s="775">
        <f t="shared" ca="1" si="37"/>
        <v>0</v>
      </c>
      <c r="E62" s="775">
        <f t="shared" ca="1" si="38"/>
        <v>0</v>
      </c>
      <c r="F62" s="775">
        <f t="shared" ca="1" si="39"/>
        <v>0</v>
      </c>
      <c r="G62" s="775"/>
      <c r="H62" s="775"/>
      <c r="I62" s="775">
        <f t="shared" ca="1" si="40"/>
        <v>0</v>
      </c>
      <c r="J62" s="775">
        <f t="shared" ca="1" si="41"/>
        <v>0</v>
      </c>
    </row>
    <row r="63" spans="1:10" ht="25.5" x14ac:dyDescent="0.2">
      <c r="A63" s="754" t="s">
        <v>6851</v>
      </c>
      <c r="B63" s="773" t="s">
        <v>6852</v>
      </c>
      <c r="C63" s="775">
        <f t="shared" ca="1" si="36"/>
        <v>0</v>
      </c>
      <c r="D63" s="775">
        <f t="shared" ca="1" si="37"/>
        <v>0</v>
      </c>
      <c r="E63" s="775">
        <f t="shared" ca="1" si="38"/>
        <v>0</v>
      </c>
      <c r="F63" s="775">
        <f t="shared" ca="1" si="39"/>
        <v>0</v>
      </c>
      <c r="G63" s="775"/>
      <c r="H63" s="775"/>
      <c r="I63" s="775">
        <f t="shared" ca="1" si="40"/>
        <v>0</v>
      </c>
      <c r="J63" s="775">
        <f t="shared" ca="1" si="41"/>
        <v>0</v>
      </c>
    </row>
    <row r="64" spans="1:10" x14ac:dyDescent="0.2">
      <c r="A64" s="754" t="s">
        <v>6853</v>
      </c>
      <c r="B64" s="773" t="s">
        <v>6854</v>
      </c>
      <c r="C64" s="764">
        <f t="shared" ca="1" si="36"/>
        <v>0</v>
      </c>
      <c r="D64" s="764">
        <f t="shared" ca="1" si="37"/>
        <v>0</v>
      </c>
      <c r="E64" s="764">
        <f t="shared" ca="1" si="38"/>
        <v>0</v>
      </c>
      <c r="F64" s="764">
        <f t="shared" ca="1" si="39"/>
        <v>0</v>
      </c>
      <c r="G64" s="765"/>
      <c r="H64" s="765"/>
      <c r="I64" s="766">
        <f t="shared" ca="1" si="40"/>
        <v>0</v>
      </c>
      <c r="J64" s="766">
        <f t="shared" ca="1" si="41"/>
        <v>0</v>
      </c>
    </row>
    <row r="65" spans="1:10" x14ac:dyDescent="0.2">
      <c r="A65" s="754" t="s">
        <v>1471</v>
      </c>
      <c r="B65" s="773" t="s">
        <v>6855</v>
      </c>
      <c r="C65" s="764">
        <f t="shared" ca="1" si="36"/>
        <v>36533</v>
      </c>
      <c r="D65" s="764">
        <f t="shared" ca="1" si="37"/>
        <v>6034164</v>
      </c>
      <c r="E65" s="764">
        <f t="shared" ca="1" si="38"/>
        <v>5997631</v>
      </c>
      <c r="F65" s="764">
        <f t="shared" ca="1" si="39"/>
        <v>0</v>
      </c>
      <c r="G65" s="765"/>
      <c r="H65" s="765"/>
      <c r="I65" s="766">
        <f t="shared" ca="1" si="40"/>
        <v>5997631</v>
      </c>
      <c r="J65" s="766">
        <f t="shared" ca="1" si="41"/>
        <v>0</v>
      </c>
    </row>
    <row r="66" spans="1:10" x14ac:dyDescent="0.2">
      <c r="A66" s="754" t="s">
        <v>1455</v>
      </c>
      <c r="B66" s="773" t="s">
        <v>6856</v>
      </c>
      <c r="C66" s="764">
        <f t="shared" ca="1" si="36"/>
        <v>26786267</v>
      </c>
      <c r="D66" s="764">
        <f t="shared" ca="1" si="37"/>
        <v>38563179</v>
      </c>
      <c r="E66" s="764">
        <f t="shared" ca="1" si="38"/>
        <v>11776912</v>
      </c>
      <c r="F66" s="764">
        <f t="shared" ca="1" si="39"/>
        <v>0</v>
      </c>
      <c r="G66" s="765">
        <v>-3242387</v>
      </c>
      <c r="H66" s="765"/>
      <c r="I66" s="766">
        <f t="shared" ca="1" si="40"/>
        <v>8534525</v>
      </c>
      <c r="J66" s="766">
        <f t="shared" ca="1" si="41"/>
        <v>0</v>
      </c>
    </row>
    <row r="67" spans="1:10" x14ac:dyDescent="0.2">
      <c r="A67" s="754" t="s">
        <v>1575</v>
      </c>
      <c r="B67" s="773" t="s">
        <v>6857</v>
      </c>
      <c r="C67" s="764">
        <f t="shared" ca="1" si="36"/>
        <v>5546</v>
      </c>
      <c r="D67" s="764">
        <f t="shared" ca="1" si="37"/>
        <v>22120</v>
      </c>
      <c r="E67" s="764">
        <f t="shared" ca="1" si="38"/>
        <v>16574</v>
      </c>
      <c r="F67" s="764">
        <f t="shared" ca="1" si="39"/>
        <v>0</v>
      </c>
      <c r="G67" s="765"/>
      <c r="H67" s="765"/>
      <c r="I67" s="766">
        <f t="shared" ca="1" si="40"/>
        <v>16574</v>
      </c>
      <c r="J67" s="766">
        <f t="shared" ca="1" si="41"/>
        <v>0</v>
      </c>
    </row>
    <row r="68" spans="1:10" x14ac:dyDescent="0.2">
      <c r="A68" s="754" t="s">
        <v>1580</v>
      </c>
      <c r="B68" s="773" t="s">
        <v>6858</v>
      </c>
      <c r="C68" s="764">
        <f t="shared" ca="1" si="36"/>
        <v>18276645</v>
      </c>
      <c r="D68" s="764">
        <f t="shared" ca="1" si="37"/>
        <v>12947177</v>
      </c>
      <c r="E68" s="764">
        <f t="shared" ca="1" si="38"/>
        <v>0</v>
      </c>
      <c r="F68" s="764">
        <f t="shared" ca="1" si="39"/>
        <v>5329468</v>
      </c>
      <c r="G68" s="765"/>
      <c r="H68" s="765"/>
      <c r="I68" s="766">
        <f t="shared" ca="1" si="40"/>
        <v>0</v>
      </c>
      <c r="J68" s="766">
        <f t="shared" ca="1" si="41"/>
        <v>5329468</v>
      </c>
    </row>
    <row r="69" spans="1:10" x14ac:dyDescent="0.2">
      <c r="A69" s="754" t="s">
        <v>1660</v>
      </c>
      <c r="B69" s="773" t="s">
        <v>6859</v>
      </c>
      <c r="C69" s="764">
        <f t="shared" ca="1" si="36"/>
        <v>0</v>
      </c>
      <c r="D69" s="764">
        <f t="shared" ca="1" si="37"/>
        <v>0</v>
      </c>
      <c r="E69" s="764">
        <f t="shared" ca="1" si="38"/>
        <v>0</v>
      </c>
      <c r="F69" s="764">
        <f t="shared" ca="1" si="39"/>
        <v>0</v>
      </c>
      <c r="G69" s="765"/>
      <c r="H69" s="765"/>
      <c r="I69" s="766">
        <f t="shared" ca="1" si="40"/>
        <v>0</v>
      </c>
      <c r="J69" s="766">
        <f t="shared" ca="1" si="41"/>
        <v>0</v>
      </c>
    </row>
    <row r="70" spans="1:10" x14ac:dyDescent="0.2">
      <c r="A70" s="754" t="s">
        <v>1684</v>
      </c>
      <c r="B70" s="773" t="s">
        <v>6860</v>
      </c>
      <c r="C70" s="764">
        <f t="shared" ca="1" si="36"/>
        <v>0</v>
      </c>
      <c r="D70" s="764">
        <f t="shared" ca="1" si="37"/>
        <v>1087</v>
      </c>
      <c r="E70" s="764">
        <f t="shared" ca="1" si="38"/>
        <v>1087</v>
      </c>
      <c r="F70" s="764">
        <f t="shared" ca="1" si="39"/>
        <v>0</v>
      </c>
      <c r="G70" s="765"/>
      <c r="H70" s="765"/>
      <c r="I70" s="766">
        <f t="shared" ca="1" si="40"/>
        <v>1087</v>
      </c>
      <c r="J70" s="766">
        <f t="shared" ca="1" si="41"/>
        <v>0</v>
      </c>
    </row>
    <row r="71" spans="1:10" x14ac:dyDescent="0.2">
      <c r="A71" s="754" t="s">
        <v>1689</v>
      </c>
      <c r="B71" s="773" t="s">
        <v>6861</v>
      </c>
      <c r="C71" s="764">
        <f t="shared" ca="1" si="36"/>
        <v>3075665</v>
      </c>
      <c r="D71" s="764">
        <f t="shared" ca="1" si="37"/>
        <v>3236937</v>
      </c>
      <c r="E71" s="764">
        <f t="shared" ca="1" si="38"/>
        <v>161272</v>
      </c>
      <c r="F71" s="764">
        <f t="shared" ca="1" si="39"/>
        <v>0</v>
      </c>
      <c r="G71" s="765"/>
      <c r="H71" s="765"/>
      <c r="I71" s="766">
        <f t="shared" ca="1" si="40"/>
        <v>161272</v>
      </c>
      <c r="J71" s="766">
        <f t="shared" ca="1" si="41"/>
        <v>0</v>
      </c>
    </row>
    <row r="72" spans="1:10" x14ac:dyDescent="0.2">
      <c r="A72" s="754" t="s">
        <v>1402</v>
      </c>
      <c r="B72" s="773" t="s">
        <v>6862</v>
      </c>
      <c r="C72" s="764">
        <f t="shared" ca="1" si="36"/>
        <v>0</v>
      </c>
      <c r="D72" s="764">
        <f t="shared" ca="1" si="37"/>
        <v>13598000</v>
      </c>
      <c r="E72" s="764">
        <f t="shared" ca="1" si="38"/>
        <v>13598000</v>
      </c>
      <c r="F72" s="764">
        <f t="shared" ca="1" si="39"/>
        <v>0</v>
      </c>
      <c r="G72" s="765"/>
      <c r="H72" s="765"/>
      <c r="I72" s="766">
        <f t="shared" ca="1" si="40"/>
        <v>13598000</v>
      </c>
      <c r="J72" s="766">
        <f t="shared" ca="1" si="41"/>
        <v>0</v>
      </c>
    </row>
    <row r="73" spans="1:10" x14ac:dyDescent="0.2">
      <c r="A73" s="754" t="s">
        <v>1534</v>
      </c>
      <c r="B73" s="773" t="s">
        <v>6863</v>
      </c>
      <c r="C73" s="764">
        <f t="shared" ca="1" si="36"/>
        <v>29266859</v>
      </c>
      <c r="D73" s="764">
        <f t="shared" ca="1" si="37"/>
        <v>29642427</v>
      </c>
      <c r="E73" s="764">
        <f t="shared" ca="1" si="38"/>
        <v>375568</v>
      </c>
      <c r="F73" s="764">
        <f t="shared" ca="1" si="39"/>
        <v>0</v>
      </c>
      <c r="G73" s="765"/>
      <c r="H73" s="765"/>
      <c r="I73" s="766">
        <f t="shared" ca="1" si="40"/>
        <v>375568</v>
      </c>
      <c r="J73" s="766">
        <f t="shared" ca="1" si="41"/>
        <v>0</v>
      </c>
    </row>
    <row r="74" spans="1:10" x14ac:dyDescent="0.2">
      <c r="A74" s="754" t="s">
        <v>1540</v>
      </c>
      <c r="B74" s="773" t="s">
        <v>6864</v>
      </c>
      <c r="C74" s="764">
        <f t="shared" ca="1" si="36"/>
        <v>0</v>
      </c>
      <c r="D74" s="764">
        <f t="shared" ca="1" si="37"/>
        <v>0</v>
      </c>
      <c r="E74" s="764">
        <f t="shared" ca="1" si="38"/>
        <v>0</v>
      </c>
      <c r="F74" s="764">
        <f t="shared" ca="1" si="39"/>
        <v>0</v>
      </c>
      <c r="G74" s="765"/>
      <c r="H74" s="765"/>
      <c r="I74" s="766">
        <f t="shared" ca="1" si="40"/>
        <v>0</v>
      </c>
      <c r="J74" s="766">
        <f t="shared" ca="1" si="41"/>
        <v>0</v>
      </c>
    </row>
    <row r="75" spans="1:10" x14ac:dyDescent="0.2">
      <c r="A75" s="754" t="s">
        <v>1546</v>
      </c>
      <c r="B75" s="773" t="s">
        <v>6865</v>
      </c>
      <c r="C75" s="764">
        <f t="shared" ca="1" si="36"/>
        <v>0</v>
      </c>
      <c r="D75" s="764">
        <f t="shared" ca="1" si="37"/>
        <v>0</v>
      </c>
      <c r="E75" s="764">
        <f t="shared" ca="1" si="38"/>
        <v>0</v>
      </c>
      <c r="F75" s="764">
        <f t="shared" ca="1" si="39"/>
        <v>0</v>
      </c>
      <c r="G75" s="765"/>
      <c r="H75" s="765"/>
      <c r="I75" s="766">
        <f t="shared" ca="1" si="40"/>
        <v>0</v>
      </c>
      <c r="J75" s="766">
        <f t="shared" ca="1" si="41"/>
        <v>0</v>
      </c>
    </row>
    <row r="76" spans="1:10" x14ac:dyDescent="0.2">
      <c r="A76" s="754" t="s">
        <v>1557</v>
      </c>
      <c r="B76" s="773" t="s">
        <v>6866</v>
      </c>
      <c r="C76" s="764">
        <f t="shared" ca="1" si="36"/>
        <v>0</v>
      </c>
      <c r="D76" s="764">
        <f t="shared" ca="1" si="37"/>
        <v>0</v>
      </c>
      <c r="E76" s="764">
        <f t="shared" ca="1" si="38"/>
        <v>0</v>
      </c>
      <c r="F76" s="764">
        <f t="shared" ca="1" si="39"/>
        <v>0</v>
      </c>
      <c r="G76" s="765"/>
      <c r="H76" s="765"/>
      <c r="I76" s="766">
        <f t="shared" ca="1" si="40"/>
        <v>0</v>
      </c>
      <c r="J76" s="766">
        <f t="shared" ca="1" si="41"/>
        <v>0</v>
      </c>
    </row>
    <row r="77" spans="1:10" ht="15" customHeight="1" x14ac:dyDescent="0.2">
      <c r="A77" s="754" t="s">
        <v>6867</v>
      </c>
      <c r="B77" s="759" t="s">
        <v>6868</v>
      </c>
      <c r="C77" s="771">
        <f t="shared" ref="C77:J77" ca="1" si="42">SUM(C78:C79)</f>
        <v>0</v>
      </c>
      <c r="D77" s="771">
        <f t="shared" ca="1" si="42"/>
        <v>0</v>
      </c>
      <c r="E77" s="771">
        <f t="shared" ca="1" si="42"/>
        <v>0</v>
      </c>
      <c r="F77" s="771">
        <f t="shared" ca="1" si="42"/>
        <v>0</v>
      </c>
      <c r="G77" s="771">
        <f t="shared" si="42"/>
        <v>0</v>
      </c>
      <c r="H77" s="771">
        <f t="shared" si="42"/>
        <v>0</v>
      </c>
      <c r="I77" s="771">
        <f t="shared" ca="1" si="42"/>
        <v>0</v>
      </c>
      <c r="J77" s="771">
        <f t="shared" ca="1" si="42"/>
        <v>0</v>
      </c>
    </row>
    <row r="78" spans="1:10" x14ac:dyDescent="0.2">
      <c r="A78" s="754" t="s">
        <v>1763</v>
      </c>
      <c r="B78" s="773" t="s">
        <v>6869</v>
      </c>
      <c r="C78" s="764">
        <f ca="1">SUMIF(RFTOT01,$A78,RFVALAP)</f>
        <v>0</v>
      </c>
      <c r="D78" s="764">
        <f ca="1">SUMIF(RFTOT01,$A78,RFVALAC)</f>
        <v>0</v>
      </c>
      <c r="E78" s="764">
        <f ca="1">IF(D78&gt;C78,(D78-C78),0)</f>
        <v>0</v>
      </c>
      <c r="F78" s="764">
        <f ca="1">IF(D78&lt;C78,-(D78-C78),0)</f>
        <v>0</v>
      </c>
      <c r="G78" s="765"/>
      <c r="H78" s="765"/>
      <c r="I78" s="764">
        <f ca="1">+E78+G78</f>
        <v>0</v>
      </c>
      <c r="J78" s="764">
        <f ca="1">+F78+H78</f>
        <v>0</v>
      </c>
    </row>
    <row r="79" spans="1:10" x14ac:dyDescent="0.2">
      <c r="A79" s="754" t="s">
        <v>1772</v>
      </c>
      <c r="B79" s="773" t="s">
        <v>6870</v>
      </c>
      <c r="C79" s="764">
        <f ca="1">SUMIF(RFTOT01,$A79,RFVALAP)</f>
        <v>0</v>
      </c>
      <c r="D79" s="764">
        <f ca="1">SUMIF(RFTOT01,$A79,RFVALAC)</f>
        <v>0</v>
      </c>
      <c r="E79" s="764">
        <f ca="1">IF(D79&gt;C79,(D79-C79),0)</f>
        <v>0</v>
      </c>
      <c r="F79" s="764">
        <f ca="1">IF(D79&lt;C79,-(D79-C79),0)</f>
        <v>0</v>
      </c>
      <c r="G79" s="765"/>
      <c r="H79" s="765"/>
      <c r="I79" s="764">
        <f ca="1">+E79+G79</f>
        <v>0</v>
      </c>
      <c r="J79" s="764">
        <f ca="1">+F79+H79</f>
        <v>0</v>
      </c>
    </row>
    <row r="80" spans="1:10" x14ac:dyDescent="0.2">
      <c r="A80" s="754" t="s">
        <v>6871</v>
      </c>
      <c r="B80" s="759" t="s">
        <v>2863</v>
      </c>
      <c r="C80" s="771">
        <f t="shared" ref="C80:J80" ca="1" si="43">SUM(C81:C84)</f>
        <v>22090561</v>
      </c>
      <c r="D80" s="771">
        <f t="shared" ca="1" si="43"/>
        <v>15909939</v>
      </c>
      <c r="E80" s="771">
        <f t="shared" ca="1" si="43"/>
        <v>29319</v>
      </c>
      <c r="F80" s="771">
        <f t="shared" ca="1" si="43"/>
        <v>6209941</v>
      </c>
      <c r="G80" s="771">
        <f t="shared" si="43"/>
        <v>0</v>
      </c>
      <c r="H80" s="771">
        <f t="shared" si="43"/>
        <v>-3242387</v>
      </c>
      <c r="I80" s="771">
        <f t="shared" ca="1" si="43"/>
        <v>29319</v>
      </c>
      <c r="J80" s="771">
        <f t="shared" ca="1" si="43"/>
        <v>2967554</v>
      </c>
    </row>
    <row r="81" spans="1:10" x14ac:dyDescent="0.2">
      <c r="A81" s="754" t="s">
        <v>1781</v>
      </c>
      <c r="B81" s="773" t="s">
        <v>1783</v>
      </c>
      <c r="C81" s="764">
        <f ca="1">SUMIF(RFTOT01,$A81,RFVALAP)</f>
        <v>54618</v>
      </c>
      <c r="D81" s="764">
        <f ca="1">SUMIF(RFTOT01,$A81,RFVALAC)</f>
        <v>83937</v>
      </c>
      <c r="E81" s="764">
        <f ca="1">IF(D81&gt;C81,(D81-C81),0)</f>
        <v>29319</v>
      </c>
      <c r="F81" s="764">
        <f ca="1">IF(D81&lt;C81,-(D81-C81),0)</f>
        <v>0</v>
      </c>
      <c r="G81" s="765"/>
      <c r="H81" s="765"/>
      <c r="I81" s="764">
        <f t="shared" ref="I81:J85" ca="1" si="44">+E81+G81</f>
        <v>29319</v>
      </c>
      <c r="J81" s="764">
        <f t="shared" ca="1" si="44"/>
        <v>0</v>
      </c>
    </row>
    <row r="82" spans="1:10" x14ac:dyDescent="0.2">
      <c r="A82" s="754" t="s">
        <v>1787</v>
      </c>
      <c r="B82" s="773" t="s">
        <v>6872</v>
      </c>
      <c r="C82" s="764">
        <f ca="1">SUMIF(RFTOT01,$A82,RFVALAP)</f>
        <v>22019007</v>
      </c>
      <c r="D82" s="764">
        <f ca="1">SUMIF(RFTOT01,$A82,RFVALAC)</f>
        <v>15810342</v>
      </c>
      <c r="E82" s="764">
        <f ca="1">IF(D82&gt;C82,(D82-C82),0)</f>
        <v>0</v>
      </c>
      <c r="F82" s="764">
        <f ca="1">IF(D82&lt;C82,-(D82-C82),0)</f>
        <v>6208665</v>
      </c>
      <c r="G82" s="765"/>
      <c r="H82" s="765">
        <v>-3242387</v>
      </c>
      <c r="I82" s="764">
        <f t="shared" ca="1" si="44"/>
        <v>0</v>
      </c>
      <c r="J82" s="764">
        <f t="shared" ca="1" si="44"/>
        <v>2966278</v>
      </c>
    </row>
    <row r="83" spans="1:10" x14ac:dyDescent="0.2">
      <c r="A83" s="754" t="s">
        <v>1793</v>
      </c>
      <c r="B83" s="773" t="s">
        <v>1795</v>
      </c>
      <c r="C83" s="764">
        <f ca="1">SUMIF(RFTOT01,$A83,RFVALAP)</f>
        <v>0</v>
      </c>
      <c r="D83" s="764">
        <f ca="1">SUMIF(RFTOT01,$A83,RFVALAC)</f>
        <v>0</v>
      </c>
      <c r="E83" s="764">
        <f ca="1">IF(D83&gt;C83,(D83-C83),0)</f>
        <v>0</v>
      </c>
      <c r="F83" s="764">
        <f ca="1">IF(D83&lt;C83,-(D83-C83),0)</f>
        <v>0</v>
      </c>
      <c r="G83" s="765"/>
      <c r="H83" s="765"/>
      <c r="I83" s="764">
        <f t="shared" ca="1" si="44"/>
        <v>0</v>
      </c>
      <c r="J83" s="764">
        <f t="shared" ca="1" si="44"/>
        <v>0</v>
      </c>
    </row>
    <row r="84" spans="1:10" x14ac:dyDescent="0.2">
      <c r="A84" s="754" t="s">
        <v>1799</v>
      </c>
      <c r="B84" s="773" t="s">
        <v>1801</v>
      </c>
      <c r="C84" s="764">
        <f ca="1">SUMIF(RFTOT01,$A84,RFVALAP)</f>
        <v>16936</v>
      </c>
      <c r="D84" s="764">
        <f ca="1">SUMIF(RFTOT01,$A84,RFVALAC)</f>
        <v>15660</v>
      </c>
      <c r="E84" s="764">
        <f ca="1">IF(D84&gt;C84,(D84-C84),0)</f>
        <v>0</v>
      </c>
      <c r="F84" s="764">
        <f ca="1">IF(D84&lt;C84,-(D84-C84),0)</f>
        <v>1276</v>
      </c>
      <c r="G84" s="765"/>
      <c r="H84" s="765"/>
      <c r="I84" s="764">
        <f t="shared" ca="1" si="44"/>
        <v>0</v>
      </c>
      <c r="J84" s="764">
        <f t="shared" ca="1" si="44"/>
        <v>1276</v>
      </c>
    </row>
    <row r="85" spans="1:10" x14ac:dyDescent="0.2">
      <c r="A85" s="754" t="s">
        <v>1804</v>
      </c>
      <c r="B85" s="757" t="s">
        <v>2871</v>
      </c>
      <c r="C85" s="776">
        <f ca="1">SUMIF(RFTOT01,$A85,RFVALAP)</f>
        <v>33745</v>
      </c>
      <c r="D85" s="776">
        <f ca="1">SUMIF(RFTOT01,$A85,RFVALAC)</f>
        <v>8490</v>
      </c>
      <c r="E85" s="776">
        <f ca="1">IF(D85&gt;C85,(D85-C85),0)</f>
        <v>0</v>
      </c>
      <c r="F85" s="776">
        <f ca="1">IF(D85&lt;C85,-(D85-C85),0)</f>
        <v>25255</v>
      </c>
      <c r="G85" s="765"/>
      <c r="H85" s="765"/>
      <c r="I85" s="777">
        <f t="shared" ca="1" si="44"/>
        <v>0</v>
      </c>
      <c r="J85" s="777">
        <f t="shared" ca="1" si="44"/>
        <v>25255</v>
      </c>
    </row>
    <row r="86" spans="1:10" x14ac:dyDescent="0.2">
      <c r="A86" s="754" t="s">
        <v>6873</v>
      </c>
      <c r="B86" s="755" t="s">
        <v>2883</v>
      </c>
      <c r="C86" s="756">
        <f t="shared" ref="C86:J86" ca="1" si="45">+C87+C101+C126+C129+C141</f>
        <v>213730849</v>
      </c>
      <c r="D86" s="756">
        <f t="shared" ca="1" si="45"/>
        <v>228888134</v>
      </c>
      <c r="E86" s="756">
        <f t="shared" ca="1" si="45"/>
        <v>5628380</v>
      </c>
      <c r="F86" s="756">
        <f t="shared" ca="1" si="45"/>
        <v>20785665</v>
      </c>
      <c r="G86" s="756">
        <f t="shared" si="45"/>
        <v>-434441</v>
      </c>
      <c r="H86" s="756">
        <f t="shared" si="45"/>
        <v>-434441</v>
      </c>
      <c r="I86" s="756">
        <f t="shared" ca="1" si="45"/>
        <v>5193939</v>
      </c>
      <c r="J86" s="756">
        <f t="shared" ca="1" si="45"/>
        <v>20351224</v>
      </c>
    </row>
    <row r="87" spans="1:10" x14ac:dyDescent="0.2">
      <c r="A87" s="754" t="s">
        <v>6874</v>
      </c>
      <c r="B87" s="757" t="s">
        <v>6875</v>
      </c>
      <c r="C87" s="778">
        <f ca="1">+C88+C89+C95+C96+C97+C98+C99</f>
        <v>114274462</v>
      </c>
      <c r="D87" s="778">
        <f ca="1">+D88+D89+D95+D96+D97+D98+D100</f>
        <v>128447184</v>
      </c>
      <c r="E87" s="778">
        <f t="shared" ref="E87:J87" ca="1" si="46">+E88+E89+E95+E96+E97+E98+E99+E100</f>
        <v>2241582</v>
      </c>
      <c r="F87" s="778">
        <f t="shared" ca="1" si="46"/>
        <v>16414304</v>
      </c>
      <c r="G87" s="778">
        <f t="shared" si="46"/>
        <v>0</v>
      </c>
      <c r="H87" s="778">
        <f t="shared" si="46"/>
        <v>0</v>
      </c>
      <c r="I87" s="778">
        <f t="shared" ca="1" si="46"/>
        <v>2241582</v>
      </c>
      <c r="J87" s="778">
        <f t="shared" ca="1" si="46"/>
        <v>16414304</v>
      </c>
    </row>
    <row r="88" spans="1:10" x14ac:dyDescent="0.2">
      <c r="A88" s="754" t="s">
        <v>1916</v>
      </c>
      <c r="B88" s="779" t="s">
        <v>1918</v>
      </c>
      <c r="C88" s="764">
        <f ca="1">SUMIF(RFTOT01,$A88,RFVALAP)</f>
        <v>27529020</v>
      </c>
      <c r="D88" s="764">
        <f ca="1">SUMIF(RFTOT01,$A88,RFVALAC)</f>
        <v>27529020</v>
      </c>
      <c r="E88" s="764">
        <f ca="1">IF(D88&lt;C88,-(D88-C88),0)</f>
        <v>0</v>
      </c>
      <c r="F88" s="764">
        <f ca="1">IF(D88&gt;C88,(D88-C88),0)</f>
        <v>0</v>
      </c>
      <c r="G88" s="765"/>
      <c r="H88" s="765"/>
      <c r="I88" s="766">
        <f ca="1">+E88+G88</f>
        <v>0</v>
      </c>
      <c r="J88" s="766">
        <f ca="1">+F88+H88</f>
        <v>0</v>
      </c>
    </row>
    <row r="89" spans="1:10" x14ac:dyDescent="0.2">
      <c r="A89" s="754" t="s">
        <v>6876</v>
      </c>
      <c r="B89" s="779" t="s">
        <v>1921</v>
      </c>
      <c r="C89" s="771">
        <f t="shared" ref="C89:J89" ca="1" si="47">SUM(C90:C94)</f>
        <v>74830150</v>
      </c>
      <c r="D89" s="771">
        <f t="shared" ca="1" si="47"/>
        <v>88220877</v>
      </c>
      <c r="E89" s="771">
        <f t="shared" ca="1" si="47"/>
        <v>2237525</v>
      </c>
      <c r="F89" s="771">
        <f t="shared" ca="1" si="47"/>
        <v>15628252</v>
      </c>
      <c r="G89" s="771">
        <f t="shared" si="47"/>
        <v>0</v>
      </c>
      <c r="H89" s="771">
        <f t="shared" si="47"/>
        <v>0</v>
      </c>
      <c r="I89" s="771">
        <f t="shared" ca="1" si="47"/>
        <v>2237525</v>
      </c>
      <c r="J89" s="771">
        <f t="shared" ca="1" si="47"/>
        <v>15628252</v>
      </c>
    </row>
    <row r="90" spans="1:10" x14ac:dyDescent="0.2">
      <c r="A90" s="754" t="s">
        <v>1925</v>
      </c>
      <c r="B90" s="763" t="s">
        <v>6877</v>
      </c>
      <c r="C90" s="764">
        <f t="shared" ref="C90:C98" ca="1" si="48">SUMIF(RFTOT01,$A90,RFVALAP)</f>
        <v>27609856</v>
      </c>
      <c r="D90" s="764">
        <f t="shared" ref="D90:D98" ca="1" si="49">SUMIF(RFTOT01,$A90,RFVALAC)</f>
        <v>25372331</v>
      </c>
      <c r="E90" s="764">
        <f t="shared" ref="E90:E98" ca="1" si="50">IF(D90&lt;C90,-(D90-C90),0)</f>
        <v>2237525</v>
      </c>
      <c r="F90" s="764">
        <f t="shared" ref="F90:F98" ca="1" si="51">IF(D90&gt;C90,(D90-C90),0)</f>
        <v>0</v>
      </c>
      <c r="G90" s="765"/>
      <c r="H90" s="765"/>
      <c r="I90" s="766">
        <f t="shared" ref="I90:I100" ca="1" si="52">+E90+G90</f>
        <v>2237525</v>
      </c>
      <c r="J90" s="766">
        <f t="shared" ref="J90:J100" ca="1" si="53">+F90+H90</f>
        <v>0</v>
      </c>
    </row>
    <row r="91" spans="1:10" x14ac:dyDescent="0.2">
      <c r="A91" s="754" t="s">
        <v>1930</v>
      </c>
      <c r="B91" s="763" t="s">
        <v>6878</v>
      </c>
      <c r="C91" s="764">
        <f t="shared" ca="1" si="48"/>
        <v>0</v>
      </c>
      <c r="D91" s="764">
        <f t="shared" ca="1" si="49"/>
        <v>13598000</v>
      </c>
      <c r="E91" s="764">
        <f t="shared" ca="1" si="50"/>
        <v>0</v>
      </c>
      <c r="F91" s="764">
        <f t="shared" ca="1" si="51"/>
        <v>13598000</v>
      </c>
      <c r="G91" s="765"/>
      <c r="H91" s="765"/>
      <c r="I91" s="766">
        <f t="shared" ca="1" si="52"/>
        <v>0</v>
      </c>
      <c r="J91" s="766">
        <f t="shared" ca="1" si="53"/>
        <v>13598000</v>
      </c>
    </row>
    <row r="92" spans="1:10" x14ac:dyDescent="0.2">
      <c r="A92" s="754" t="s">
        <v>1950</v>
      </c>
      <c r="B92" s="763" t="s">
        <v>6879</v>
      </c>
      <c r="C92" s="764">
        <f t="shared" ca="1" si="48"/>
        <v>47015826</v>
      </c>
      <c r="D92" s="764">
        <f t="shared" ca="1" si="49"/>
        <v>47453477</v>
      </c>
      <c r="E92" s="764">
        <f t="shared" ca="1" si="50"/>
        <v>0</v>
      </c>
      <c r="F92" s="764">
        <f t="shared" ca="1" si="51"/>
        <v>437651</v>
      </c>
      <c r="G92" s="765"/>
      <c r="H92" s="765"/>
      <c r="I92" s="766">
        <f t="shared" ca="1" si="52"/>
        <v>0</v>
      </c>
      <c r="J92" s="766">
        <f t="shared" ca="1" si="53"/>
        <v>437651</v>
      </c>
    </row>
    <row r="93" spans="1:10" x14ac:dyDescent="0.2">
      <c r="A93" s="754" t="s">
        <v>1956</v>
      </c>
      <c r="B93" s="763" t="s">
        <v>6880</v>
      </c>
      <c r="C93" s="764">
        <f t="shared" ca="1" si="48"/>
        <v>0</v>
      </c>
      <c r="D93" s="764">
        <f t="shared" ca="1" si="49"/>
        <v>0</v>
      </c>
      <c r="E93" s="764">
        <f t="shared" ca="1" si="50"/>
        <v>0</v>
      </c>
      <c r="F93" s="764">
        <f t="shared" ca="1" si="51"/>
        <v>0</v>
      </c>
      <c r="G93" s="765"/>
      <c r="H93" s="765"/>
      <c r="I93" s="766">
        <f t="shared" ca="1" si="52"/>
        <v>0</v>
      </c>
      <c r="J93" s="766">
        <f t="shared" ca="1" si="53"/>
        <v>0</v>
      </c>
    </row>
    <row r="94" spans="1:10" ht="15" customHeight="1" x14ac:dyDescent="0.2">
      <c r="A94" s="754" t="s">
        <v>1962</v>
      </c>
      <c r="B94" s="763" t="s">
        <v>6881</v>
      </c>
      <c r="C94" s="764">
        <f t="shared" ca="1" si="48"/>
        <v>204468</v>
      </c>
      <c r="D94" s="764">
        <f t="shared" ca="1" si="49"/>
        <v>1797069</v>
      </c>
      <c r="E94" s="764">
        <f t="shared" ca="1" si="50"/>
        <v>0</v>
      </c>
      <c r="F94" s="764">
        <f t="shared" ca="1" si="51"/>
        <v>1592601</v>
      </c>
      <c r="G94" s="765"/>
      <c r="H94" s="765"/>
      <c r="I94" s="766">
        <f t="shared" ca="1" si="52"/>
        <v>0</v>
      </c>
      <c r="J94" s="766">
        <f t="shared" ca="1" si="53"/>
        <v>1592601</v>
      </c>
    </row>
    <row r="95" spans="1:10" x14ac:dyDescent="0.2">
      <c r="A95" s="754" t="s">
        <v>1968</v>
      </c>
      <c r="B95" s="779" t="s">
        <v>1970</v>
      </c>
      <c r="C95" s="780">
        <f t="shared" ca="1" si="48"/>
        <v>10575860</v>
      </c>
      <c r="D95" s="780">
        <f t="shared" ca="1" si="49"/>
        <v>11361912</v>
      </c>
      <c r="E95" s="780">
        <f t="shared" ca="1" si="50"/>
        <v>0</v>
      </c>
      <c r="F95" s="780">
        <f t="shared" ca="1" si="51"/>
        <v>786052</v>
      </c>
      <c r="G95" s="765"/>
      <c r="H95" s="765"/>
      <c r="I95" s="777">
        <f t="shared" ca="1" si="52"/>
        <v>0</v>
      </c>
      <c r="J95" s="777">
        <f t="shared" ca="1" si="53"/>
        <v>786052</v>
      </c>
    </row>
    <row r="96" spans="1:10" x14ac:dyDescent="0.2">
      <c r="A96" s="754" t="s">
        <v>1973</v>
      </c>
      <c r="B96" s="779" t="s">
        <v>1975</v>
      </c>
      <c r="C96" s="780">
        <f t="shared" ca="1" si="48"/>
        <v>1339432</v>
      </c>
      <c r="D96" s="780">
        <f t="shared" ca="1" si="49"/>
        <v>1335375</v>
      </c>
      <c r="E96" s="780">
        <f t="shared" ca="1" si="50"/>
        <v>4057</v>
      </c>
      <c r="F96" s="780">
        <f t="shared" ca="1" si="51"/>
        <v>0</v>
      </c>
      <c r="G96" s="765"/>
      <c r="H96" s="765"/>
      <c r="I96" s="777">
        <f t="shared" ca="1" si="52"/>
        <v>4057</v>
      </c>
      <c r="J96" s="777">
        <f t="shared" ca="1" si="53"/>
        <v>0</v>
      </c>
    </row>
    <row r="97" spans="1:10" x14ac:dyDescent="0.2">
      <c r="A97" s="754" t="s">
        <v>1998</v>
      </c>
      <c r="B97" s="779" t="s">
        <v>2000</v>
      </c>
      <c r="C97" s="780">
        <f t="shared" ca="1" si="48"/>
        <v>0</v>
      </c>
      <c r="D97" s="780">
        <f t="shared" ca="1" si="49"/>
        <v>0</v>
      </c>
      <c r="E97" s="780">
        <f t="shared" ca="1" si="50"/>
        <v>0</v>
      </c>
      <c r="F97" s="780">
        <f t="shared" ca="1" si="51"/>
        <v>0</v>
      </c>
      <c r="G97" s="765"/>
      <c r="H97" s="765"/>
      <c r="I97" s="777">
        <f t="shared" ca="1" si="52"/>
        <v>0</v>
      </c>
      <c r="J97" s="777">
        <f t="shared" ca="1" si="53"/>
        <v>0</v>
      </c>
    </row>
    <row r="98" spans="1:10" x14ac:dyDescent="0.2">
      <c r="A98" s="754" t="s">
        <v>2016</v>
      </c>
      <c r="B98" s="779" t="s">
        <v>2018</v>
      </c>
      <c r="C98" s="780">
        <f t="shared" ca="1" si="48"/>
        <v>0</v>
      </c>
      <c r="D98" s="780">
        <f t="shared" ca="1" si="49"/>
        <v>0</v>
      </c>
      <c r="E98" s="780">
        <f t="shared" ca="1" si="50"/>
        <v>0</v>
      </c>
      <c r="F98" s="780">
        <f t="shared" ca="1" si="51"/>
        <v>0</v>
      </c>
      <c r="G98" s="765"/>
      <c r="H98" s="765"/>
      <c r="I98" s="777">
        <f t="shared" ca="1" si="52"/>
        <v>0</v>
      </c>
      <c r="J98" s="777">
        <f t="shared" ca="1" si="53"/>
        <v>0</v>
      </c>
    </row>
    <row r="99" spans="1:10" x14ac:dyDescent="0.2">
      <c r="A99" s="754" t="s">
        <v>2022</v>
      </c>
      <c r="B99" s="761" t="str">
        <f>"A.VII) UTILE (PERDITA) D'ESERCIZIO - Anno "&amp;Info!B3-1</f>
        <v>A.VII) UTILE (PERDITA) D'ESERCIZIO - Anno 2019</v>
      </c>
      <c r="C99" s="780">
        <f>'NI-Tot_SP'!R817</f>
        <v>0</v>
      </c>
      <c r="D99" s="781"/>
      <c r="E99" s="780">
        <f>IF(C99&gt;=0,C99,0)</f>
        <v>0</v>
      </c>
      <c r="F99" s="780">
        <f>IF(C99&lt;0,-C99,0)</f>
        <v>0</v>
      </c>
      <c r="G99" s="765"/>
      <c r="H99" s="765"/>
      <c r="I99" s="777">
        <f t="shared" si="52"/>
        <v>0</v>
      </c>
      <c r="J99" s="777">
        <f t="shared" si="53"/>
        <v>0</v>
      </c>
    </row>
    <row r="100" spans="1:10" x14ac:dyDescent="0.2">
      <c r="A100" s="754" t="s">
        <v>6882</v>
      </c>
      <c r="B100" s="761" t="str">
        <f>"A.VII) UTILE (PERDITA) D'ESERCIZIO - Anno "&amp;Info!B3</f>
        <v>A.VII) UTILE (PERDITA) D'ESERCIZIO - Anno 2020</v>
      </c>
      <c r="C100" s="781"/>
      <c r="D100" s="780">
        <f>'NI-Tot_SP'!Z817</f>
        <v>0</v>
      </c>
      <c r="E100" s="780">
        <f>IF(D100&lt;0,D100,0)</f>
        <v>0</v>
      </c>
      <c r="F100" s="780">
        <f>IF(D100&gt;=0,D100,0)</f>
        <v>0</v>
      </c>
      <c r="G100" s="765"/>
      <c r="H100" s="765"/>
      <c r="I100" s="777">
        <f t="shared" si="52"/>
        <v>0</v>
      </c>
      <c r="J100" s="777">
        <f t="shared" si="53"/>
        <v>0</v>
      </c>
    </row>
    <row r="101" spans="1:10" x14ac:dyDescent="0.2">
      <c r="A101" s="754" t="s">
        <v>6883</v>
      </c>
      <c r="B101" s="757" t="s">
        <v>2904</v>
      </c>
      <c r="C101" s="778">
        <f t="shared" ref="C101:J101" ca="1" si="54">+C102+C103+C109+C117+C122</f>
        <v>10346836</v>
      </c>
      <c r="D101" s="778">
        <f t="shared" ca="1" si="54"/>
        <v>10508064</v>
      </c>
      <c r="E101" s="778">
        <f t="shared" ca="1" si="54"/>
        <v>1841998</v>
      </c>
      <c r="F101" s="778">
        <f t="shared" ca="1" si="54"/>
        <v>2003226</v>
      </c>
      <c r="G101" s="778">
        <f t="shared" si="54"/>
        <v>0</v>
      </c>
      <c r="H101" s="778">
        <f t="shared" si="54"/>
        <v>0</v>
      </c>
      <c r="I101" s="778">
        <f t="shared" ca="1" si="54"/>
        <v>1841998</v>
      </c>
      <c r="J101" s="778">
        <f t="shared" ca="1" si="54"/>
        <v>2003226</v>
      </c>
    </row>
    <row r="102" spans="1:10" x14ac:dyDescent="0.2">
      <c r="A102" s="754" t="s">
        <v>2031</v>
      </c>
      <c r="B102" s="779" t="s">
        <v>6884</v>
      </c>
      <c r="C102" s="780">
        <f ca="1">SUMIF(RFTOT01,$A102,RFVALAP)</f>
        <v>0</v>
      </c>
      <c r="D102" s="780">
        <f ca="1">SUMIF(RFTOT01,$A102,RFVALAC)</f>
        <v>0</v>
      </c>
      <c r="E102" s="780">
        <f ca="1">IF(D102&lt;C102,-(D102-C102),0)</f>
        <v>0</v>
      </c>
      <c r="F102" s="780">
        <f ca="1">IF(D102&gt;C102,(D102-C102),0)</f>
        <v>0</v>
      </c>
      <c r="G102" s="765"/>
      <c r="H102" s="765"/>
      <c r="I102" s="780">
        <f ca="1">+E102+G102</f>
        <v>0</v>
      </c>
      <c r="J102" s="780">
        <f ca="1">+F102+H102</f>
        <v>0</v>
      </c>
    </row>
    <row r="103" spans="1:10" x14ac:dyDescent="0.2">
      <c r="A103" s="754" t="s">
        <v>6885</v>
      </c>
      <c r="B103" s="782" t="s">
        <v>6886</v>
      </c>
      <c r="C103" s="780">
        <f t="shared" ref="C103:J103" ca="1" si="55">SUM(C104:C108)</f>
        <v>5016560</v>
      </c>
      <c r="D103" s="780">
        <f t="shared" ca="1" si="55"/>
        <v>6227161</v>
      </c>
      <c r="E103" s="780">
        <f t="shared" ca="1" si="55"/>
        <v>34289</v>
      </c>
      <c r="F103" s="780">
        <f t="shared" ca="1" si="55"/>
        <v>1244890</v>
      </c>
      <c r="G103" s="780">
        <f t="shared" si="55"/>
        <v>0</v>
      </c>
      <c r="H103" s="780">
        <f t="shared" si="55"/>
        <v>0</v>
      </c>
      <c r="I103" s="780">
        <f t="shared" ca="1" si="55"/>
        <v>34289</v>
      </c>
      <c r="J103" s="780">
        <f t="shared" ca="1" si="55"/>
        <v>1244890</v>
      </c>
    </row>
    <row r="104" spans="1:10" x14ac:dyDescent="0.2">
      <c r="A104" s="754" t="s">
        <v>2047</v>
      </c>
      <c r="B104" s="763" t="s">
        <v>6887</v>
      </c>
      <c r="C104" s="764">
        <f ca="1">SUMIF(RFTOT01,$A104,RFVALAP)</f>
        <v>40746</v>
      </c>
      <c r="D104" s="764">
        <f ca="1">SUMIF(RFTOT01,$A104,RFVALAC)</f>
        <v>6457</v>
      </c>
      <c r="E104" s="764">
        <f ca="1">IF(D104&lt;C104,-(D104-C104),0)</f>
        <v>34289</v>
      </c>
      <c r="F104" s="764">
        <f ca="1">IF(D104&gt;C104,(D104-C104),0)</f>
        <v>0</v>
      </c>
      <c r="G104" s="765"/>
      <c r="H104" s="765"/>
      <c r="I104" s="766">
        <f t="shared" ref="I104:J108" ca="1" si="56">+E104+G104</f>
        <v>34289</v>
      </c>
      <c r="J104" s="766">
        <f t="shared" ca="1" si="56"/>
        <v>0</v>
      </c>
    </row>
    <row r="105" spans="1:10" x14ac:dyDescent="0.2">
      <c r="A105" s="754" t="s">
        <v>2052</v>
      </c>
      <c r="B105" s="763" t="s">
        <v>6888</v>
      </c>
      <c r="C105" s="764">
        <f ca="1">SUMIF(RFTOT01,$A105,RFVALAP)</f>
        <v>40507</v>
      </c>
      <c r="D105" s="764">
        <f ca="1">SUMIF(RFTOT01,$A105,RFVALAC)</f>
        <v>40507</v>
      </c>
      <c r="E105" s="764">
        <f ca="1">IF(D105&lt;C105,-(D105-C105),0)</f>
        <v>0</v>
      </c>
      <c r="F105" s="764">
        <f ca="1">IF(D105&gt;C105,(D105-C105),0)</f>
        <v>0</v>
      </c>
      <c r="G105" s="765"/>
      <c r="H105" s="765"/>
      <c r="I105" s="766">
        <f t="shared" ca="1" si="56"/>
        <v>0</v>
      </c>
      <c r="J105" s="766">
        <f t="shared" ca="1" si="56"/>
        <v>0</v>
      </c>
    </row>
    <row r="106" spans="1:10" ht="15" customHeight="1" x14ac:dyDescent="0.2">
      <c r="A106" s="754" t="s">
        <v>2057</v>
      </c>
      <c r="B106" s="763" t="s">
        <v>6889</v>
      </c>
      <c r="C106" s="764">
        <f ca="1">SUMIF(RFTOT01,$A106,RFVALAP)</f>
        <v>0</v>
      </c>
      <c r="D106" s="764">
        <f ca="1">SUMIF(RFTOT01,$A106,RFVALAC)</f>
        <v>0</v>
      </c>
      <c r="E106" s="764">
        <f ca="1">IF(D106&lt;C106,-(D106-C106),0)</f>
        <v>0</v>
      </c>
      <c r="F106" s="764">
        <f ca="1">IF(D106&gt;C106,(D106-C106),0)</f>
        <v>0</v>
      </c>
      <c r="G106" s="765"/>
      <c r="H106" s="765"/>
      <c r="I106" s="766">
        <f t="shared" ca="1" si="56"/>
        <v>0</v>
      </c>
      <c r="J106" s="766">
        <f t="shared" ca="1" si="56"/>
        <v>0</v>
      </c>
    </row>
    <row r="107" spans="1:10" ht="15" customHeight="1" x14ac:dyDescent="0.2">
      <c r="A107" s="754" t="s">
        <v>2062</v>
      </c>
      <c r="B107" s="763" t="s">
        <v>6890</v>
      </c>
      <c r="C107" s="764">
        <f ca="1">SUMIF(RFTOT01,$A107,RFVALAP)</f>
        <v>4935307</v>
      </c>
      <c r="D107" s="764">
        <f ca="1">SUMIF(RFTOT01,$A107,RFVALAC)</f>
        <v>6180197</v>
      </c>
      <c r="E107" s="764">
        <f ca="1">IF(D107&lt;C107,-(D107-C107),0)</f>
        <v>0</v>
      </c>
      <c r="F107" s="764">
        <f ca="1">IF(D107&gt;C107,(D107-C107),0)</f>
        <v>1244890</v>
      </c>
      <c r="G107" s="765"/>
      <c r="H107" s="765"/>
      <c r="I107" s="766">
        <f t="shared" ca="1" si="56"/>
        <v>0</v>
      </c>
      <c r="J107" s="766">
        <f t="shared" ca="1" si="56"/>
        <v>1244890</v>
      </c>
    </row>
    <row r="108" spans="1:10" x14ac:dyDescent="0.2">
      <c r="A108" s="754" t="s">
        <v>2075</v>
      </c>
      <c r="B108" s="763" t="s">
        <v>6891</v>
      </c>
      <c r="C108" s="764">
        <f ca="1">SUMIF(RFTOT01,$A108,RFVALAP)</f>
        <v>0</v>
      </c>
      <c r="D108" s="764">
        <f ca="1">SUMIF(RFTOT01,$A108,RFVALAC)</f>
        <v>0</v>
      </c>
      <c r="E108" s="764">
        <f ca="1">IF(D108&lt;C108,-(D108-C108),0)</f>
        <v>0</v>
      </c>
      <c r="F108" s="764">
        <f ca="1">IF(D108&gt;C108,(D108-C108),0)</f>
        <v>0</v>
      </c>
      <c r="G108" s="765"/>
      <c r="H108" s="765"/>
      <c r="I108" s="766">
        <f t="shared" ca="1" si="56"/>
        <v>0</v>
      </c>
      <c r="J108" s="766">
        <f t="shared" ca="1" si="56"/>
        <v>0</v>
      </c>
    </row>
    <row r="109" spans="1:10" x14ac:dyDescent="0.2">
      <c r="A109" s="754" t="s">
        <v>6892</v>
      </c>
      <c r="B109" s="782" t="s">
        <v>6893</v>
      </c>
      <c r="C109" s="780">
        <f t="shared" ref="C109:J109" ca="1" si="57">SUM(C110:C116)</f>
        <v>0</v>
      </c>
      <c r="D109" s="780">
        <f t="shared" ca="1" si="57"/>
        <v>0</v>
      </c>
      <c r="E109" s="780">
        <f t="shared" ca="1" si="57"/>
        <v>0</v>
      </c>
      <c r="F109" s="780">
        <f t="shared" ca="1" si="57"/>
        <v>0</v>
      </c>
      <c r="G109" s="780">
        <f t="shared" si="57"/>
        <v>0</v>
      </c>
      <c r="H109" s="780">
        <f t="shared" si="57"/>
        <v>0</v>
      </c>
      <c r="I109" s="780">
        <f t="shared" ca="1" si="57"/>
        <v>0</v>
      </c>
      <c r="J109" s="780">
        <f t="shared" ca="1" si="57"/>
        <v>0</v>
      </c>
    </row>
    <row r="110" spans="1:10" x14ac:dyDescent="0.2">
      <c r="A110" s="754" t="s">
        <v>2084</v>
      </c>
      <c r="B110" s="763" t="s">
        <v>6894</v>
      </c>
      <c r="C110" s="764">
        <f t="shared" ref="C110:C116" ca="1" si="58">SUMIF(RFTOT01,$A110,RFVALAP)</f>
        <v>0</v>
      </c>
      <c r="D110" s="764">
        <f t="shared" ref="D110:D116" ca="1" si="59">SUMIF(RFTOT01,$A110,RFVALAC)</f>
        <v>0</v>
      </c>
      <c r="E110" s="764">
        <f t="shared" ref="E110:E116" ca="1" si="60">IF(D110&lt;C110,-(D110-C110),0)</f>
        <v>0</v>
      </c>
      <c r="F110" s="764">
        <f t="shared" ref="F110:F116" ca="1" si="61">IF(D110&gt;C110,(D110-C110),0)</f>
        <v>0</v>
      </c>
      <c r="G110" s="765"/>
      <c r="H110" s="765"/>
      <c r="I110" s="766">
        <f t="shared" ref="I110:I116" ca="1" si="62">+E110+G110</f>
        <v>0</v>
      </c>
      <c r="J110" s="766">
        <f t="shared" ref="J110:J116" ca="1" si="63">+F110+H110</f>
        <v>0</v>
      </c>
    </row>
    <row r="111" spans="1:10" x14ac:dyDescent="0.2">
      <c r="A111" s="754" t="s">
        <v>2089</v>
      </c>
      <c r="B111" s="763" t="s">
        <v>6895</v>
      </c>
      <c r="C111" s="764">
        <f t="shared" ca="1" si="58"/>
        <v>0</v>
      </c>
      <c r="D111" s="764">
        <f t="shared" ca="1" si="59"/>
        <v>0</v>
      </c>
      <c r="E111" s="764">
        <f t="shared" ca="1" si="60"/>
        <v>0</v>
      </c>
      <c r="F111" s="764">
        <f t="shared" ca="1" si="61"/>
        <v>0</v>
      </c>
      <c r="G111" s="765"/>
      <c r="H111" s="765"/>
      <c r="I111" s="766">
        <f t="shared" ca="1" si="62"/>
        <v>0</v>
      </c>
      <c r="J111" s="766">
        <f t="shared" ca="1" si="63"/>
        <v>0</v>
      </c>
    </row>
    <row r="112" spans="1:10" x14ac:dyDescent="0.2">
      <c r="A112" s="754" t="s">
        <v>2094</v>
      </c>
      <c r="B112" s="763" t="s">
        <v>6896</v>
      </c>
      <c r="C112" s="764">
        <f t="shared" ca="1" si="58"/>
        <v>0</v>
      </c>
      <c r="D112" s="764">
        <f t="shared" ca="1" si="59"/>
        <v>0</v>
      </c>
      <c r="E112" s="764">
        <f t="shared" ca="1" si="60"/>
        <v>0</v>
      </c>
      <c r="F112" s="764">
        <f t="shared" ca="1" si="61"/>
        <v>0</v>
      </c>
      <c r="G112" s="765"/>
      <c r="H112" s="765"/>
      <c r="I112" s="766">
        <f t="shared" ca="1" si="62"/>
        <v>0</v>
      </c>
      <c r="J112" s="766">
        <f t="shared" ca="1" si="63"/>
        <v>0</v>
      </c>
    </row>
    <row r="113" spans="1:10" x14ac:dyDescent="0.2">
      <c r="A113" s="754" t="s">
        <v>2099</v>
      </c>
      <c r="B113" s="763" t="s">
        <v>6897</v>
      </c>
      <c r="C113" s="764">
        <f t="shared" ca="1" si="58"/>
        <v>0</v>
      </c>
      <c r="D113" s="764">
        <f t="shared" ca="1" si="59"/>
        <v>0</v>
      </c>
      <c r="E113" s="764">
        <f t="shared" ca="1" si="60"/>
        <v>0</v>
      </c>
      <c r="F113" s="764">
        <f t="shared" ca="1" si="61"/>
        <v>0</v>
      </c>
      <c r="G113" s="765"/>
      <c r="H113" s="765"/>
      <c r="I113" s="766">
        <f t="shared" ca="1" si="62"/>
        <v>0</v>
      </c>
      <c r="J113" s="766">
        <f t="shared" ca="1" si="63"/>
        <v>0</v>
      </c>
    </row>
    <row r="114" spans="1:10" ht="15" customHeight="1" x14ac:dyDescent="0.2">
      <c r="A114" s="754" t="s">
        <v>2104</v>
      </c>
      <c r="B114" s="763" t="s">
        <v>6898</v>
      </c>
      <c r="C114" s="764">
        <f t="shared" ca="1" si="58"/>
        <v>0</v>
      </c>
      <c r="D114" s="764">
        <f t="shared" ca="1" si="59"/>
        <v>0</v>
      </c>
      <c r="E114" s="764">
        <f t="shared" ca="1" si="60"/>
        <v>0</v>
      </c>
      <c r="F114" s="764">
        <f t="shared" ca="1" si="61"/>
        <v>0</v>
      </c>
      <c r="G114" s="765"/>
      <c r="H114" s="765"/>
      <c r="I114" s="766">
        <f t="shared" ca="1" si="62"/>
        <v>0</v>
      </c>
      <c r="J114" s="766">
        <f t="shared" ca="1" si="63"/>
        <v>0</v>
      </c>
    </row>
    <row r="115" spans="1:10" x14ac:dyDescent="0.2">
      <c r="A115" s="754" t="s">
        <v>2109</v>
      </c>
      <c r="B115" s="763" t="s">
        <v>6899</v>
      </c>
      <c r="C115" s="764">
        <f t="shared" ca="1" si="58"/>
        <v>0</v>
      </c>
      <c r="D115" s="764">
        <f t="shared" ca="1" si="59"/>
        <v>0</v>
      </c>
      <c r="E115" s="764">
        <f t="shared" ca="1" si="60"/>
        <v>0</v>
      </c>
      <c r="F115" s="764">
        <f t="shared" ca="1" si="61"/>
        <v>0</v>
      </c>
      <c r="G115" s="765"/>
      <c r="H115" s="765"/>
      <c r="I115" s="766">
        <f t="shared" ca="1" si="62"/>
        <v>0</v>
      </c>
      <c r="J115" s="766">
        <f t="shared" ca="1" si="63"/>
        <v>0</v>
      </c>
    </row>
    <row r="116" spans="1:10" x14ac:dyDescent="0.2">
      <c r="A116" s="754" t="s">
        <v>2114</v>
      </c>
      <c r="B116" s="763" t="s">
        <v>6900</v>
      </c>
      <c r="C116" s="764">
        <f t="shared" ca="1" si="58"/>
        <v>0</v>
      </c>
      <c r="D116" s="764">
        <f t="shared" ca="1" si="59"/>
        <v>0</v>
      </c>
      <c r="E116" s="764">
        <f t="shared" ca="1" si="60"/>
        <v>0</v>
      </c>
      <c r="F116" s="764">
        <f t="shared" ca="1" si="61"/>
        <v>0</v>
      </c>
      <c r="G116" s="765"/>
      <c r="H116" s="765"/>
      <c r="I116" s="766">
        <f t="shared" ca="1" si="62"/>
        <v>0</v>
      </c>
      <c r="J116" s="766">
        <f t="shared" ca="1" si="63"/>
        <v>0</v>
      </c>
    </row>
    <row r="117" spans="1:10" x14ac:dyDescent="0.2">
      <c r="A117" s="754" t="s">
        <v>6901</v>
      </c>
      <c r="B117" s="782" t="s">
        <v>6902</v>
      </c>
      <c r="C117" s="780">
        <f t="shared" ref="C117:J117" ca="1" si="64">SUM(C118:C121)</f>
        <v>1471536</v>
      </c>
      <c r="D117" s="780">
        <f t="shared" ca="1" si="64"/>
        <v>2229872</v>
      </c>
      <c r="E117" s="780">
        <f t="shared" ca="1" si="64"/>
        <v>0</v>
      </c>
      <c r="F117" s="780">
        <f t="shared" ca="1" si="64"/>
        <v>758336</v>
      </c>
      <c r="G117" s="780">
        <f t="shared" si="64"/>
        <v>0</v>
      </c>
      <c r="H117" s="780">
        <f t="shared" si="64"/>
        <v>0</v>
      </c>
      <c r="I117" s="780">
        <f t="shared" ca="1" si="64"/>
        <v>0</v>
      </c>
      <c r="J117" s="780">
        <f t="shared" ca="1" si="64"/>
        <v>758336</v>
      </c>
    </row>
    <row r="118" spans="1:10" ht="15" customHeight="1" x14ac:dyDescent="0.2">
      <c r="A118" s="754" t="s">
        <v>2133</v>
      </c>
      <c r="B118" s="763" t="s">
        <v>2140</v>
      </c>
      <c r="C118" s="764">
        <f ca="1">SUMIF(RFTOT01,$A118,RFVALAP)</f>
        <v>43697</v>
      </c>
      <c r="D118" s="764">
        <f ca="1">SUMIF(RFTOT01,$A118,RFVALAC)</f>
        <v>94291</v>
      </c>
      <c r="E118" s="764">
        <f ca="1">IF(D118&lt;C118,-(D118-C118),0)</f>
        <v>0</v>
      </c>
      <c r="F118" s="764">
        <f ca="1">IF(D118&gt;C118,(D118-C118),0)</f>
        <v>50594</v>
      </c>
      <c r="G118" s="765"/>
      <c r="H118" s="765"/>
      <c r="I118" s="766">
        <f t="shared" ref="I118:J121" ca="1" si="65">+E118+G118</f>
        <v>0</v>
      </c>
      <c r="J118" s="766">
        <f t="shared" ca="1" si="65"/>
        <v>50594</v>
      </c>
    </row>
    <row r="119" spans="1:10" ht="15" customHeight="1" x14ac:dyDescent="0.2">
      <c r="A119" s="754" t="s">
        <v>2150</v>
      </c>
      <c r="B119" s="763" t="s">
        <v>6903</v>
      </c>
      <c r="C119" s="764">
        <f ca="1">SUMIF(RFTOT01,$A119,RFVALAP)</f>
        <v>3393</v>
      </c>
      <c r="D119" s="764">
        <f ca="1">SUMIF(RFTOT01,$A119,RFVALAC)</f>
        <v>35608</v>
      </c>
      <c r="E119" s="764">
        <f ca="1">IF(D119&lt;C119,-(D119-C119),0)</f>
        <v>0</v>
      </c>
      <c r="F119" s="764">
        <f ca="1">IF(D119&gt;C119,(D119-C119),0)</f>
        <v>32215</v>
      </c>
      <c r="G119" s="765"/>
      <c r="H119" s="765"/>
      <c r="I119" s="766">
        <f t="shared" ca="1" si="65"/>
        <v>0</v>
      </c>
      <c r="J119" s="766">
        <f t="shared" ca="1" si="65"/>
        <v>32215</v>
      </c>
    </row>
    <row r="120" spans="1:10" x14ac:dyDescent="0.2">
      <c r="A120" s="754" t="s">
        <v>2155</v>
      </c>
      <c r="B120" s="763" t="s">
        <v>6904</v>
      </c>
      <c r="C120" s="764">
        <f ca="1">SUMIF(RFTOT01,$A120,RFVALAP)</f>
        <v>0</v>
      </c>
      <c r="D120" s="764">
        <f ca="1">SUMIF(RFTOT01,$A120,RFVALAC)</f>
        <v>0</v>
      </c>
      <c r="E120" s="764">
        <f ca="1">IF(D120&lt;C120,-(D120-C120),0)</f>
        <v>0</v>
      </c>
      <c r="F120" s="764">
        <f ca="1">IF(D120&gt;C120,(D120-C120),0)</f>
        <v>0</v>
      </c>
      <c r="G120" s="765"/>
      <c r="H120" s="765"/>
      <c r="I120" s="766">
        <f t="shared" ca="1" si="65"/>
        <v>0</v>
      </c>
      <c r="J120" s="766">
        <f t="shared" ca="1" si="65"/>
        <v>0</v>
      </c>
    </row>
    <row r="121" spans="1:10" x14ac:dyDescent="0.2">
      <c r="A121" s="754" t="s">
        <v>2175</v>
      </c>
      <c r="B121" s="763" t="s">
        <v>6905</v>
      </c>
      <c r="C121" s="764">
        <f ca="1">SUMIF(RFTOT01,$A121,RFVALAP)</f>
        <v>1424446</v>
      </c>
      <c r="D121" s="764">
        <f ca="1">SUMIF(RFTOT01,$A121,RFVALAC)</f>
        <v>2099973</v>
      </c>
      <c r="E121" s="764">
        <f ca="1">IF(D121&lt;C121,-(D121-C121),0)</f>
        <v>0</v>
      </c>
      <c r="F121" s="764">
        <f ca="1">IF(D121&gt;C121,(D121-C121),0)</f>
        <v>675527</v>
      </c>
      <c r="G121" s="765"/>
      <c r="H121" s="765"/>
      <c r="I121" s="766">
        <f t="shared" ca="1" si="65"/>
        <v>0</v>
      </c>
      <c r="J121" s="766">
        <f t="shared" ca="1" si="65"/>
        <v>675527</v>
      </c>
    </row>
    <row r="122" spans="1:10" x14ac:dyDescent="0.2">
      <c r="A122" s="754" t="s">
        <v>6906</v>
      </c>
      <c r="B122" s="782" t="s">
        <v>6907</v>
      </c>
      <c r="C122" s="780">
        <f t="shared" ref="C122:J122" ca="1" si="66">SUM(C123:C125)</f>
        <v>3858740</v>
      </c>
      <c r="D122" s="780">
        <f t="shared" ca="1" si="66"/>
        <v>2051031</v>
      </c>
      <c r="E122" s="780">
        <f t="shared" ca="1" si="66"/>
        <v>1807709</v>
      </c>
      <c r="F122" s="780">
        <f t="shared" ca="1" si="66"/>
        <v>0</v>
      </c>
      <c r="G122" s="780">
        <f t="shared" si="66"/>
        <v>0</v>
      </c>
      <c r="H122" s="780">
        <f t="shared" si="66"/>
        <v>0</v>
      </c>
      <c r="I122" s="780">
        <f t="shared" ca="1" si="66"/>
        <v>1807709</v>
      </c>
      <c r="J122" s="780">
        <f t="shared" ca="1" si="66"/>
        <v>0</v>
      </c>
    </row>
    <row r="123" spans="1:10" x14ac:dyDescent="0.2">
      <c r="A123" s="754" t="s">
        <v>2184</v>
      </c>
      <c r="B123" s="763" t="s">
        <v>6908</v>
      </c>
      <c r="C123" s="764">
        <f ca="1">SUMIF(RFTOT01,$A123,RFVALAP)</f>
        <v>0</v>
      </c>
      <c r="D123" s="764">
        <f ca="1">SUMIF(RFTOT01,$A123,RFVALAC)</f>
        <v>0</v>
      </c>
      <c r="E123" s="764">
        <f ca="1">IF(D123&lt;C123,-(D123-C123),0)</f>
        <v>0</v>
      </c>
      <c r="F123" s="764">
        <f ca="1">IF(D123&gt;C123,(D123-C123),0)</f>
        <v>0</v>
      </c>
      <c r="G123" s="765"/>
      <c r="H123" s="765"/>
      <c r="I123" s="766">
        <f t="shared" ref="I123:J125" ca="1" si="67">+E123+G123</f>
        <v>0</v>
      </c>
      <c r="J123" s="766">
        <f t="shared" ca="1" si="67"/>
        <v>0</v>
      </c>
    </row>
    <row r="124" spans="1:10" x14ac:dyDescent="0.2">
      <c r="A124" s="754" t="s">
        <v>2194</v>
      </c>
      <c r="B124" s="763" t="s">
        <v>6909</v>
      </c>
      <c r="C124" s="764">
        <f ca="1">SUMIF(RFTOT01,$A124,RFVALAP)</f>
        <v>3646599</v>
      </c>
      <c r="D124" s="764">
        <f ca="1">SUMIF(RFTOT01,$A124,RFVALAC)</f>
        <v>2015917</v>
      </c>
      <c r="E124" s="764">
        <f ca="1">IF(D124&lt;C124,-(D124-C124),0)</f>
        <v>1630682</v>
      </c>
      <c r="F124" s="764">
        <f ca="1">IF(D124&gt;C124,(D124-C124),0)</f>
        <v>0</v>
      </c>
      <c r="G124" s="765"/>
      <c r="H124" s="765"/>
      <c r="I124" s="766">
        <f t="shared" ca="1" si="67"/>
        <v>1630682</v>
      </c>
      <c r="J124" s="766">
        <f t="shared" ca="1" si="67"/>
        <v>0</v>
      </c>
    </row>
    <row r="125" spans="1:10" x14ac:dyDescent="0.2">
      <c r="A125" s="754" t="s">
        <v>2220</v>
      </c>
      <c r="B125" s="763" t="s">
        <v>6910</v>
      </c>
      <c r="C125" s="764">
        <f ca="1">SUMIF(RFTOT01,$A125,RFVALAP)</f>
        <v>212141</v>
      </c>
      <c r="D125" s="764">
        <f ca="1">SUMIF(RFTOT01,$A125,RFVALAC)</f>
        <v>35114</v>
      </c>
      <c r="E125" s="764">
        <f ca="1">IF(D125&lt;C125,-(D125-C125),0)</f>
        <v>177027</v>
      </c>
      <c r="F125" s="764">
        <f ca="1">IF(D125&gt;C125,(D125-C125),0)</f>
        <v>0</v>
      </c>
      <c r="G125" s="765"/>
      <c r="H125" s="765"/>
      <c r="I125" s="766">
        <f t="shared" ca="1" si="67"/>
        <v>177027</v>
      </c>
      <c r="J125" s="766">
        <f t="shared" ca="1" si="67"/>
        <v>0</v>
      </c>
    </row>
    <row r="126" spans="1:10" x14ac:dyDescent="0.2">
      <c r="A126" s="754" t="s">
        <v>6911</v>
      </c>
      <c r="B126" s="783" t="s">
        <v>2911</v>
      </c>
      <c r="C126" s="776">
        <f t="shared" ref="C126:J126" ca="1" si="68">+C127+C128</f>
        <v>1058912</v>
      </c>
      <c r="D126" s="776">
        <f t="shared" ca="1" si="68"/>
        <v>1012499</v>
      </c>
      <c r="E126" s="776">
        <f t="shared" ca="1" si="68"/>
        <v>46413</v>
      </c>
      <c r="F126" s="776">
        <f t="shared" ca="1" si="68"/>
        <v>0</v>
      </c>
      <c r="G126" s="776">
        <f t="shared" si="68"/>
        <v>0</v>
      </c>
      <c r="H126" s="776">
        <f t="shared" si="68"/>
        <v>0</v>
      </c>
      <c r="I126" s="776">
        <f t="shared" ca="1" si="68"/>
        <v>46413</v>
      </c>
      <c r="J126" s="776">
        <f t="shared" ca="1" si="68"/>
        <v>0</v>
      </c>
    </row>
    <row r="127" spans="1:10" x14ac:dyDescent="0.2">
      <c r="A127" s="754" t="s">
        <v>2235</v>
      </c>
      <c r="B127" s="782" t="s">
        <v>6912</v>
      </c>
      <c r="C127" s="780">
        <f ca="1">SUMIF(RFTOT01,$A127,RFVALAP)</f>
        <v>1026550</v>
      </c>
      <c r="D127" s="780">
        <f ca="1">SUMIF(RFTOT01,$A127,RFVALAC)</f>
        <v>980137</v>
      </c>
      <c r="E127" s="780">
        <f ca="1">IF(D127&lt;C127,-(D127-C127),0)</f>
        <v>46413</v>
      </c>
      <c r="F127" s="780">
        <f ca="1">IF(D127&gt;C127,(D127-C127),0)</f>
        <v>0</v>
      </c>
      <c r="G127" s="765"/>
      <c r="H127" s="765"/>
      <c r="I127" s="777">
        <f ca="1">+E127+G127</f>
        <v>46413</v>
      </c>
      <c r="J127" s="777">
        <f ca="1">+F127+H127</f>
        <v>0</v>
      </c>
    </row>
    <row r="128" spans="1:10" x14ac:dyDescent="0.2">
      <c r="A128" s="754" t="s">
        <v>2250</v>
      </c>
      <c r="B128" s="782" t="s">
        <v>6913</v>
      </c>
      <c r="C128" s="780">
        <f ca="1">SUMIF(RFTOT01,$A128,RFVALAP)</f>
        <v>32362</v>
      </c>
      <c r="D128" s="780">
        <f ca="1">SUMIF(RFTOT01,$A128,RFVALAC)</f>
        <v>32362</v>
      </c>
      <c r="E128" s="780">
        <f ca="1">IF(D128&lt;C128,-(D128-C128),0)</f>
        <v>0</v>
      </c>
      <c r="F128" s="780">
        <f ca="1">IF(D128&gt;C128,(D128-C128),0)</f>
        <v>0</v>
      </c>
      <c r="G128" s="765"/>
      <c r="H128" s="765"/>
      <c r="I128" s="777">
        <f ca="1">+E128+G128</f>
        <v>0</v>
      </c>
      <c r="J128" s="777">
        <f ca="1">+F128+H128</f>
        <v>0</v>
      </c>
    </row>
    <row r="129" spans="1:10" x14ac:dyDescent="0.2">
      <c r="A129" s="754" t="s">
        <v>6914</v>
      </c>
      <c r="B129" s="783" t="s">
        <v>6915</v>
      </c>
      <c r="C129" s="776">
        <f t="shared" ref="C129:J129" ca="1" si="69">SUM(C130:C140)</f>
        <v>88013080</v>
      </c>
      <c r="D129" s="776">
        <f t="shared" ca="1" si="69"/>
        <v>88880850</v>
      </c>
      <c r="E129" s="776">
        <f t="shared" ca="1" si="69"/>
        <v>1498387</v>
      </c>
      <c r="F129" s="776">
        <f t="shared" ca="1" si="69"/>
        <v>2366157</v>
      </c>
      <c r="G129" s="776">
        <f t="shared" si="69"/>
        <v>-434441</v>
      </c>
      <c r="H129" s="776">
        <f t="shared" si="69"/>
        <v>-434441</v>
      </c>
      <c r="I129" s="776">
        <f t="shared" ca="1" si="69"/>
        <v>1063946</v>
      </c>
      <c r="J129" s="776">
        <f t="shared" ca="1" si="69"/>
        <v>1931716</v>
      </c>
    </row>
    <row r="130" spans="1:10" x14ac:dyDescent="0.2">
      <c r="A130" s="754" t="s">
        <v>2263</v>
      </c>
      <c r="B130" s="763" t="s">
        <v>6916</v>
      </c>
      <c r="C130" s="764">
        <f t="shared" ref="C130:C141" ca="1" si="70">SUMIF(RFTOT01,$A130,RFVALAP)</f>
        <v>655134</v>
      </c>
      <c r="D130" s="764">
        <f t="shared" ref="D130:D141" ca="1" si="71">SUMIF(RFTOT01,$A130,RFVALAC)</f>
        <v>220693</v>
      </c>
      <c r="E130" s="764">
        <f t="shared" ref="E130:E141" ca="1" si="72">IF(D130&lt;C130,-(D130-C130),0)</f>
        <v>434441</v>
      </c>
      <c r="F130" s="764">
        <f t="shared" ref="F130:F141" ca="1" si="73">IF(D130&gt;C130,(D130-C130),0)</f>
        <v>0</v>
      </c>
      <c r="G130" s="765">
        <f>-434441</f>
        <v>-434441</v>
      </c>
      <c r="H130" s="765">
        <f>-434441</f>
        <v>-434441</v>
      </c>
      <c r="I130" s="766">
        <f t="shared" ref="I130:I141" ca="1" si="74">+E130+G130</f>
        <v>0</v>
      </c>
      <c r="J130" s="766">
        <f t="shared" ref="J130:J141" ca="1" si="75">+F130+H130</f>
        <v>-434441</v>
      </c>
    </row>
    <row r="131" spans="1:10" x14ac:dyDescent="0.2">
      <c r="A131" s="754" t="s">
        <v>2268</v>
      </c>
      <c r="B131" s="763" t="s">
        <v>6917</v>
      </c>
      <c r="C131" s="764">
        <f t="shared" ca="1" si="70"/>
        <v>0</v>
      </c>
      <c r="D131" s="764">
        <f t="shared" ca="1" si="71"/>
        <v>1148</v>
      </c>
      <c r="E131" s="764">
        <f t="shared" ca="1" si="72"/>
        <v>0</v>
      </c>
      <c r="F131" s="764">
        <f t="shared" ca="1" si="73"/>
        <v>1148</v>
      </c>
      <c r="G131" s="765"/>
      <c r="H131" s="765"/>
      <c r="I131" s="766">
        <f t="shared" ca="1" si="74"/>
        <v>0</v>
      </c>
      <c r="J131" s="766">
        <f t="shared" ca="1" si="75"/>
        <v>1148</v>
      </c>
    </row>
    <row r="132" spans="1:10" x14ac:dyDescent="0.2">
      <c r="A132" s="754" t="s">
        <v>2294</v>
      </c>
      <c r="B132" s="763" t="s">
        <v>6918</v>
      </c>
      <c r="C132" s="764">
        <f t="shared" ca="1" si="70"/>
        <v>18076651</v>
      </c>
      <c r="D132" s="764">
        <f t="shared" ca="1" si="71"/>
        <v>18076651</v>
      </c>
      <c r="E132" s="764">
        <f t="shared" ca="1" si="72"/>
        <v>0</v>
      </c>
      <c r="F132" s="764">
        <f t="shared" ca="1" si="73"/>
        <v>0</v>
      </c>
      <c r="G132" s="765"/>
      <c r="H132" s="765"/>
      <c r="I132" s="766">
        <f t="shared" ca="1" si="74"/>
        <v>0</v>
      </c>
      <c r="J132" s="766">
        <f t="shared" ca="1" si="75"/>
        <v>0</v>
      </c>
    </row>
    <row r="133" spans="1:10" x14ac:dyDescent="0.2">
      <c r="A133" s="754" t="s">
        <v>2346</v>
      </c>
      <c r="B133" s="763" t="s">
        <v>6919</v>
      </c>
      <c r="C133" s="764">
        <f t="shared" ca="1" si="70"/>
        <v>513</v>
      </c>
      <c r="D133" s="764">
        <f t="shared" ca="1" si="71"/>
        <v>15671</v>
      </c>
      <c r="E133" s="764">
        <f t="shared" ca="1" si="72"/>
        <v>0</v>
      </c>
      <c r="F133" s="764">
        <f t="shared" ca="1" si="73"/>
        <v>15158</v>
      </c>
      <c r="G133" s="765"/>
      <c r="H133" s="765"/>
      <c r="I133" s="766">
        <f t="shared" ca="1" si="74"/>
        <v>0</v>
      </c>
      <c r="J133" s="766">
        <f t="shared" ca="1" si="75"/>
        <v>15158</v>
      </c>
    </row>
    <row r="134" spans="1:10" x14ac:dyDescent="0.2">
      <c r="A134" s="754" t="s">
        <v>2351</v>
      </c>
      <c r="B134" s="763" t="s">
        <v>6920</v>
      </c>
      <c r="C134" s="764">
        <f t="shared" ca="1" si="70"/>
        <v>10599074</v>
      </c>
      <c r="D134" s="764">
        <f t="shared" ca="1" si="71"/>
        <v>11209212</v>
      </c>
      <c r="E134" s="764">
        <f t="shared" ca="1" si="72"/>
        <v>0</v>
      </c>
      <c r="F134" s="764">
        <f t="shared" ca="1" si="73"/>
        <v>610138</v>
      </c>
      <c r="G134" s="765"/>
      <c r="H134" s="765"/>
      <c r="I134" s="766">
        <f t="shared" ca="1" si="74"/>
        <v>0</v>
      </c>
      <c r="J134" s="766">
        <f t="shared" ca="1" si="75"/>
        <v>610138</v>
      </c>
    </row>
    <row r="135" spans="1:10" x14ac:dyDescent="0.2">
      <c r="A135" s="754" t="s">
        <v>2492</v>
      </c>
      <c r="B135" s="763" t="s">
        <v>6921</v>
      </c>
      <c r="C135" s="764">
        <f t="shared" ca="1" si="70"/>
        <v>0</v>
      </c>
      <c r="D135" s="764">
        <f t="shared" ca="1" si="71"/>
        <v>0</v>
      </c>
      <c r="E135" s="764">
        <f t="shared" ca="1" si="72"/>
        <v>0</v>
      </c>
      <c r="F135" s="764">
        <f t="shared" ca="1" si="73"/>
        <v>0</v>
      </c>
      <c r="G135" s="765"/>
      <c r="H135" s="765"/>
      <c r="I135" s="766">
        <f t="shared" ca="1" si="74"/>
        <v>0</v>
      </c>
      <c r="J135" s="766">
        <f t="shared" ca="1" si="75"/>
        <v>0</v>
      </c>
    </row>
    <row r="136" spans="1:10" x14ac:dyDescent="0.2">
      <c r="A136" s="754" t="s">
        <v>2521</v>
      </c>
      <c r="B136" s="763" t="s">
        <v>6922</v>
      </c>
      <c r="C136" s="764">
        <f t="shared" ca="1" si="70"/>
        <v>32537849</v>
      </c>
      <c r="D136" s="764">
        <f t="shared" ca="1" si="71"/>
        <v>31686580</v>
      </c>
      <c r="E136" s="764">
        <f t="shared" ca="1" si="72"/>
        <v>851269</v>
      </c>
      <c r="F136" s="764">
        <f t="shared" ca="1" si="73"/>
        <v>0</v>
      </c>
      <c r="G136" s="765"/>
      <c r="H136" s="765"/>
      <c r="I136" s="766">
        <f t="shared" ca="1" si="74"/>
        <v>851269</v>
      </c>
      <c r="J136" s="766">
        <f t="shared" ca="1" si="75"/>
        <v>0</v>
      </c>
    </row>
    <row r="137" spans="1:10" x14ac:dyDescent="0.2">
      <c r="A137" s="754" t="s">
        <v>2569</v>
      </c>
      <c r="B137" s="763" t="s">
        <v>6923</v>
      </c>
      <c r="C137" s="764">
        <f t="shared" ca="1" si="70"/>
        <v>0</v>
      </c>
      <c r="D137" s="764">
        <f t="shared" ca="1" si="71"/>
        <v>2058</v>
      </c>
      <c r="E137" s="764">
        <f t="shared" ca="1" si="72"/>
        <v>0</v>
      </c>
      <c r="F137" s="764">
        <f t="shared" ca="1" si="73"/>
        <v>2058</v>
      </c>
      <c r="G137" s="765"/>
      <c r="H137" s="765"/>
      <c r="I137" s="764">
        <f t="shared" ca="1" si="74"/>
        <v>0</v>
      </c>
      <c r="J137" s="764">
        <f t="shared" ca="1" si="75"/>
        <v>2058</v>
      </c>
    </row>
    <row r="138" spans="1:10" x14ac:dyDescent="0.2">
      <c r="A138" s="754" t="s">
        <v>2575</v>
      </c>
      <c r="B138" s="763" t="s">
        <v>6924</v>
      </c>
      <c r="C138" s="764">
        <f t="shared" ca="1" si="70"/>
        <v>5353825</v>
      </c>
      <c r="D138" s="764">
        <f t="shared" ca="1" si="71"/>
        <v>5141148</v>
      </c>
      <c r="E138" s="764">
        <f t="shared" ca="1" si="72"/>
        <v>212677</v>
      </c>
      <c r="F138" s="764">
        <f t="shared" ca="1" si="73"/>
        <v>0</v>
      </c>
      <c r="G138" s="765"/>
      <c r="H138" s="765"/>
      <c r="I138" s="766">
        <f t="shared" ca="1" si="74"/>
        <v>212677</v>
      </c>
      <c r="J138" s="766">
        <f t="shared" ca="1" si="75"/>
        <v>0</v>
      </c>
    </row>
    <row r="139" spans="1:10" x14ac:dyDescent="0.2">
      <c r="A139" s="754" t="s">
        <v>2581</v>
      </c>
      <c r="B139" s="763" t="s">
        <v>6925</v>
      </c>
      <c r="C139" s="764">
        <f t="shared" ca="1" si="70"/>
        <v>8411731</v>
      </c>
      <c r="D139" s="764">
        <f t="shared" ca="1" si="71"/>
        <v>8853515</v>
      </c>
      <c r="E139" s="764">
        <f t="shared" ca="1" si="72"/>
        <v>0</v>
      </c>
      <c r="F139" s="764">
        <f t="shared" ca="1" si="73"/>
        <v>441784</v>
      </c>
      <c r="G139" s="765"/>
      <c r="H139" s="765"/>
      <c r="I139" s="766">
        <f t="shared" ca="1" si="74"/>
        <v>0</v>
      </c>
      <c r="J139" s="766">
        <f t="shared" ca="1" si="75"/>
        <v>441784</v>
      </c>
    </row>
    <row r="140" spans="1:10" x14ac:dyDescent="0.2">
      <c r="A140" s="754" t="s">
        <v>2586</v>
      </c>
      <c r="B140" s="763" t="s">
        <v>6926</v>
      </c>
      <c r="C140" s="764">
        <f t="shared" ca="1" si="70"/>
        <v>12378303</v>
      </c>
      <c r="D140" s="764">
        <f t="shared" ca="1" si="71"/>
        <v>13674174</v>
      </c>
      <c r="E140" s="764">
        <f t="shared" ca="1" si="72"/>
        <v>0</v>
      </c>
      <c r="F140" s="764">
        <f t="shared" ca="1" si="73"/>
        <v>1295871</v>
      </c>
      <c r="G140" s="765"/>
      <c r="H140" s="765"/>
      <c r="I140" s="766">
        <f t="shared" ca="1" si="74"/>
        <v>0</v>
      </c>
      <c r="J140" s="766">
        <f t="shared" ca="1" si="75"/>
        <v>1295871</v>
      </c>
    </row>
    <row r="141" spans="1:10" x14ac:dyDescent="0.2">
      <c r="A141" s="754" t="s">
        <v>2648</v>
      </c>
      <c r="B141" s="783" t="s">
        <v>2942</v>
      </c>
      <c r="C141" s="776">
        <f t="shared" ca="1" si="70"/>
        <v>37559</v>
      </c>
      <c r="D141" s="776">
        <f t="shared" ca="1" si="71"/>
        <v>39537</v>
      </c>
      <c r="E141" s="776">
        <f t="shared" ca="1" si="72"/>
        <v>0</v>
      </c>
      <c r="F141" s="776">
        <f t="shared" ca="1" si="73"/>
        <v>1978</v>
      </c>
      <c r="G141" s="765"/>
      <c r="H141" s="765"/>
      <c r="I141" s="777">
        <f t="shared" ca="1" si="74"/>
        <v>0</v>
      </c>
      <c r="J141" s="777">
        <f t="shared" ca="1" si="75"/>
        <v>1978</v>
      </c>
    </row>
    <row r="142" spans="1:10" x14ac:dyDescent="0.2">
      <c r="D142" s="784" t="s">
        <v>4289</v>
      </c>
      <c r="E142" s="785">
        <f t="shared" ref="E142:J142" ca="1" si="76">+E3+E86</f>
        <v>46616554</v>
      </c>
      <c r="F142" s="785">
        <f t="shared" ca="1" si="76"/>
        <v>43374167</v>
      </c>
      <c r="G142" s="785">
        <f t="shared" si="76"/>
        <v>-3703187</v>
      </c>
      <c r="H142" s="785">
        <f t="shared" si="76"/>
        <v>-3703187</v>
      </c>
      <c r="I142" s="785">
        <f t="shared" ca="1" si="76"/>
        <v>42913367</v>
      </c>
      <c r="J142" s="785">
        <f t="shared" ca="1" si="76"/>
        <v>39670980</v>
      </c>
    </row>
    <row r="143" spans="1:10" x14ac:dyDescent="0.2">
      <c r="E143" s="937" t="str">
        <f ca="1">IF(E142-F142=0,"","Squadratura!")</f>
        <v>Squadratura!</v>
      </c>
      <c r="F143" s="937"/>
      <c r="G143" s="937" t="str">
        <f>IF(G142-H142=0,"","Squadratura!")</f>
        <v/>
      </c>
      <c r="H143" s="937"/>
      <c r="I143" s="937" t="str">
        <f ca="1">IF(I142-J142=0,"","Squadratura!")</f>
        <v>Squadratura!</v>
      </c>
      <c r="J143" s="937"/>
    </row>
  </sheetData>
  <sheetProtection password="A01C" sheet="1" objects="1" scenarios="1"/>
  <mergeCells count="3">
    <mergeCell ref="E143:F143"/>
    <mergeCell ref="G143:H143"/>
    <mergeCell ref="I143:J143"/>
  </mergeCells>
  <conditionalFormatting sqref="I12:I16 I33:I39">
    <cfRule type="cellIs" dxfId="3" priority="1" stopIfTrue="1" operator="notEqual">
      <formula>0</formula>
    </cfRule>
  </conditionalFormatting>
  <conditionalFormatting sqref="E143:J143">
    <cfRule type="cellIs" dxfId="2" priority="2" stopIfTrue="1" operator="equal">
      <formula>"Squadratura!"</formula>
    </cfRule>
  </conditionalFormatting>
  <dataValidations count="1">
    <dataValidation type="whole" allowBlank="1" showErrorMessage="1" sqref="G7:H130 C99 D100 G131:H141">
      <formula1>-9999999999</formula1>
      <formula2>9999999999</formula2>
    </dataValidation>
  </dataValidations>
  <pageMargins left="0.75" right="0.75" top="1" bottom="1" header="0.51180555555555551" footer="0.51180555555555551"/>
  <pageSetup paperSize="9" scale="50" firstPageNumber="0" fitToHeight="0" orientation="portrait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4"/>
  <sheetViews>
    <sheetView showGridLines="0" topLeftCell="A97" zoomScaleSheetLayoutView="80" workbookViewId="0">
      <selection activeCell="E114" sqref="E114"/>
    </sheetView>
  </sheetViews>
  <sheetFormatPr defaultRowHeight="15" x14ac:dyDescent="0.25"/>
  <cols>
    <col min="1" max="2" width="9.140625" style="786"/>
    <col min="3" max="3" width="82.5703125" style="786" customWidth="1"/>
    <col min="4" max="5" width="13.85546875" style="786" customWidth="1"/>
    <col min="6" max="6" width="9.140625" hidden="1" customWidth="1"/>
    <col min="7" max="7" width="121.85546875" style="787" customWidth="1"/>
    <col min="8" max="16384" width="9.140625" style="786"/>
  </cols>
  <sheetData>
    <row r="1" spans="1:8" hidden="1" x14ac:dyDescent="0.25">
      <c r="D1" s="786">
        <v>0</v>
      </c>
      <c r="E1" s="786">
        <v>0</v>
      </c>
      <c r="F1">
        <v>0</v>
      </c>
    </row>
    <row r="2" spans="1:8" hidden="1" x14ac:dyDescent="0.25">
      <c r="D2" s="786">
        <v>0</v>
      </c>
      <c r="E2" s="786">
        <v>0</v>
      </c>
      <c r="F2">
        <v>0</v>
      </c>
    </row>
    <row r="3" spans="1:8" hidden="1" x14ac:dyDescent="0.25">
      <c r="D3" s="786">
        <v>0</v>
      </c>
      <c r="E3" s="786">
        <v>0</v>
      </c>
      <c r="F3">
        <v>0</v>
      </c>
    </row>
    <row r="4" spans="1:8" ht="40.5" customHeight="1" x14ac:dyDescent="0.25">
      <c r="A4" s="786" t="s">
        <v>2760</v>
      </c>
      <c r="B4" s="938" t="s">
        <v>6927</v>
      </c>
      <c r="C4" s="938"/>
      <c r="D4" s="788" t="str">
        <f>"ANNO "&amp;Info!$B$3-1</f>
        <v>ANNO 2019</v>
      </c>
      <c r="E4" s="788" t="str">
        <f>"ANNO "&amp;Info!$B$3</f>
        <v>ANNO 2020</v>
      </c>
      <c r="H4" s="787"/>
    </row>
    <row r="5" spans="1:8" s="620" customFormat="1" ht="24.75" customHeight="1" x14ac:dyDescent="0.25">
      <c r="B5" s="789" t="s">
        <v>6928</v>
      </c>
      <c r="C5" s="790"/>
      <c r="D5" s="791"/>
      <c r="E5" s="791"/>
      <c r="G5" s="792"/>
      <c r="H5" s="792"/>
    </row>
    <row r="6" spans="1:8" s="620" customFormat="1" x14ac:dyDescent="0.25">
      <c r="A6" s="620" t="s">
        <v>6929</v>
      </c>
      <c r="B6" s="793" t="s">
        <v>6930</v>
      </c>
      <c r="C6" s="793" t="s">
        <v>6931</v>
      </c>
      <c r="D6" s="794">
        <f>IF(ISERROR(VLOOKUP($A6,ESTR_REND_PREC!$A$1:$M$6000,2,FALSE))=TRUE,0,VLOOKUP($A6,ESTR_REND_PREC!$A$1:$M$6000,2,FALSE))</f>
        <v>0</v>
      </c>
      <c r="E6" s="795">
        <f>+Rend_Finanz_Input!J100-Rend_Finanz_Input!I100</f>
        <v>0</v>
      </c>
      <c r="G6" s="792"/>
      <c r="H6" s="792"/>
    </row>
    <row r="7" spans="1:8" s="620" customFormat="1" x14ac:dyDescent="0.25">
      <c r="B7" s="793"/>
      <c r="C7" s="796" t="s">
        <v>6932</v>
      </c>
      <c r="D7" s="796"/>
      <c r="E7" s="796"/>
      <c r="G7" s="792"/>
      <c r="H7" s="792"/>
    </row>
    <row r="8" spans="1:8" s="620" customFormat="1" x14ac:dyDescent="0.25">
      <c r="A8" s="620" t="s">
        <v>6933</v>
      </c>
      <c r="B8" s="797" t="s">
        <v>6930</v>
      </c>
      <c r="C8" s="798" t="s">
        <v>6934</v>
      </c>
      <c r="D8" s="794">
        <f>IF(ISERROR(VLOOKUP($A8,ESTR_REND_PREC!$A$1:$M$6000,2,FALSE))=TRUE,0,VLOOKUP($A8,ESTR_REND_PREC!$A$1:$M$6000,2,FALSE))</f>
        <v>5958361</v>
      </c>
      <c r="E8" s="799">
        <f ca="1">+Rend_Finanz_Input!J34</f>
        <v>6006406</v>
      </c>
      <c r="G8" s="792"/>
      <c r="H8" s="792"/>
    </row>
    <row r="9" spans="1:8" s="620" customFormat="1" x14ac:dyDescent="0.25">
      <c r="A9" s="620" t="s">
        <v>6935</v>
      </c>
      <c r="B9" s="797" t="s">
        <v>6930</v>
      </c>
      <c r="C9" s="798" t="s">
        <v>6936</v>
      </c>
      <c r="D9" s="794">
        <f>IF(ISERROR(VLOOKUP($A9,ESTR_REND_PREC!$A$1:$M$6000,2,FALSE))=TRUE,0,VLOOKUP($A9,ESTR_REND_PREC!$A$1:$M$6000,2,FALSE))</f>
        <v>4246997</v>
      </c>
      <c r="E9" s="799">
        <f ca="1">+Rend_Finanz_Input!J35+Rend_Finanz_Input!J36+Rend_Finanz_Input!J37+Rend_Finanz_Input!J38+Rend_Finanz_Input!J39</f>
        <v>3671834</v>
      </c>
      <c r="G9" s="792"/>
      <c r="H9" s="792"/>
    </row>
    <row r="10" spans="1:8" s="620" customFormat="1" x14ac:dyDescent="0.25">
      <c r="A10" s="620" t="s">
        <v>6937</v>
      </c>
      <c r="B10" s="797" t="s">
        <v>6930</v>
      </c>
      <c r="C10" s="798" t="s">
        <v>6938</v>
      </c>
      <c r="D10" s="794">
        <f>IF(ISERROR(VLOOKUP($A10,ESTR_REND_PREC!$A$1:$M$6000,2,FALSE))=TRUE,0,VLOOKUP($A10,ESTR_REND_PREC!$A$1:$M$6000,2,FALSE))</f>
        <v>283352</v>
      </c>
      <c r="E10" s="799">
        <f ca="1">+Rend_Finanz_Input!J12</f>
        <v>169862</v>
      </c>
      <c r="G10" s="792"/>
      <c r="H10" s="792"/>
    </row>
    <row r="11" spans="1:8" s="620" customFormat="1" x14ac:dyDescent="0.25">
      <c r="A11" s="620" t="s">
        <v>6939</v>
      </c>
      <c r="B11" s="789" t="s">
        <v>6940</v>
      </c>
      <c r="C11" s="800"/>
      <c r="D11" s="801">
        <f>SUM(D8:D10)</f>
        <v>10488710</v>
      </c>
      <c r="E11" s="801">
        <f ca="1">SUM(E8:E10)</f>
        <v>9848102</v>
      </c>
      <c r="G11" s="792"/>
      <c r="H11" s="792"/>
    </row>
    <row r="12" spans="1:8" s="620" customFormat="1" x14ac:dyDescent="0.25">
      <c r="A12" s="620" t="s">
        <v>6941</v>
      </c>
      <c r="B12" s="797" t="s">
        <v>6942</v>
      </c>
      <c r="C12" s="798" t="s">
        <v>6943</v>
      </c>
      <c r="D12" s="794">
        <f>IF(ISERROR(VLOOKUP($A12,ESTR_REND_PREC!$A$1:$M$6000,2,FALSE))=TRUE,0,VLOOKUP($A12,ESTR_REND_PREC!$A$1:$M$6000,2,FALSE))</f>
        <v>-2572676</v>
      </c>
      <c r="E12" s="799">
        <f ca="1">-Rend_Finanz_Input!I89</f>
        <v>-2237525</v>
      </c>
      <c r="G12" s="792"/>
      <c r="H12" s="792"/>
    </row>
    <row r="13" spans="1:8" s="620" customFormat="1" x14ac:dyDescent="0.25">
      <c r="A13" s="620" t="s">
        <v>6944</v>
      </c>
      <c r="B13" s="797" t="s">
        <v>6942</v>
      </c>
      <c r="C13" s="798" t="s">
        <v>6945</v>
      </c>
      <c r="D13" s="794">
        <f>IF(ISERROR(VLOOKUP($A13,ESTR_REND_PREC!$A$1:$M$6000,2,FALSE))=TRUE,0,VLOOKUP($A13,ESTR_REND_PREC!$A$1:$M$6000,2,FALSE))</f>
        <v>-415708</v>
      </c>
      <c r="E13" s="799">
        <f ca="1">-Rend_Finanz_Input!I95-Rend_Finanz_Input!I96</f>
        <v>-4057</v>
      </c>
      <c r="G13" s="792"/>
      <c r="H13" s="792"/>
    </row>
    <row r="14" spans="1:8" s="620" customFormat="1" x14ac:dyDescent="0.25">
      <c r="A14" s="620" t="s">
        <v>6946</v>
      </c>
      <c r="B14" s="789" t="s">
        <v>6947</v>
      </c>
      <c r="C14" s="800"/>
      <c r="D14" s="801">
        <f>+D12+D13</f>
        <v>-2988384</v>
      </c>
      <c r="E14" s="801">
        <f ca="1">+E12+E13</f>
        <v>-2241582</v>
      </c>
      <c r="G14" s="792"/>
      <c r="H14" s="792"/>
    </row>
    <row r="15" spans="1:8" s="620" customFormat="1" x14ac:dyDescent="0.25">
      <c r="A15" s="620" t="s">
        <v>6948</v>
      </c>
      <c r="B15" s="797" t="s">
        <v>6930</v>
      </c>
      <c r="C15" s="797" t="s">
        <v>6949</v>
      </c>
      <c r="D15" s="794">
        <f>IF(ISERROR(VLOOKUP($A15,ESTR_REND_PREC!$A$1:$M$6000,2,FALSE))=TRUE,0,VLOOKUP($A15,ESTR_REND_PREC!$A$1:$M$6000,2,FALSE))</f>
        <v>0</v>
      </c>
      <c r="E15" s="799">
        <f ca="1">+Rend_Finanz_Input!J127</f>
        <v>0</v>
      </c>
      <c r="G15" s="792"/>
      <c r="H15" s="792"/>
    </row>
    <row r="16" spans="1:8" s="620" customFormat="1" x14ac:dyDescent="0.25">
      <c r="A16" s="620" t="s">
        <v>6950</v>
      </c>
      <c r="B16" s="797" t="s">
        <v>6942</v>
      </c>
      <c r="C16" s="798" t="s">
        <v>6951</v>
      </c>
      <c r="D16" s="794">
        <f>IF(ISERROR(VLOOKUP($A16,ESTR_REND_PREC!$A$1:$M$6000,2,FALSE))=TRUE,0,VLOOKUP($A16,ESTR_REND_PREC!$A$1:$M$6000,2,FALSE))</f>
        <v>-89450</v>
      </c>
      <c r="E16" s="799">
        <f ca="1">-Rend_Finanz_Input!I127</f>
        <v>-46413</v>
      </c>
      <c r="G16" s="792"/>
      <c r="H16" s="792"/>
    </row>
    <row r="17" spans="1:8" s="620" customFormat="1" x14ac:dyDescent="0.25">
      <c r="A17" s="620" t="s">
        <v>6952</v>
      </c>
      <c r="B17" s="797" t="s">
        <v>6930</v>
      </c>
      <c r="C17" s="797" t="s">
        <v>6953</v>
      </c>
      <c r="D17" s="794">
        <f>IF(ISERROR(VLOOKUP($A17,ESTR_REND_PREC!$A$1:$M$6000,2,FALSE))=TRUE,0,VLOOKUP($A17,ESTR_REND_PREC!$A$1:$M$6000,2,FALSE))</f>
        <v>2362</v>
      </c>
      <c r="E17" s="799">
        <f ca="1">+Rend_Finanz_Input!J128</f>
        <v>0</v>
      </c>
      <c r="G17" s="792"/>
      <c r="H17" s="792"/>
    </row>
    <row r="18" spans="1:8" s="620" customFormat="1" x14ac:dyDescent="0.25">
      <c r="A18" s="620" t="s">
        <v>6954</v>
      </c>
      <c r="B18" s="797" t="s">
        <v>6942</v>
      </c>
      <c r="C18" s="798" t="s">
        <v>6955</v>
      </c>
      <c r="D18" s="794">
        <f>IF(ISERROR(VLOOKUP($A18,ESTR_REND_PREC!$A$1:$M$6000,2,FALSE))=TRUE,0,VLOOKUP($A18,ESTR_REND_PREC!$A$1:$M$6000,2,FALSE))</f>
        <v>0</v>
      </c>
      <c r="E18" s="799">
        <f ca="1">-Rend_Finanz_Input!I128</f>
        <v>0</v>
      </c>
      <c r="G18" s="792"/>
      <c r="H18" s="792"/>
    </row>
    <row r="19" spans="1:8" s="620" customFormat="1" x14ac:dyDescent="0.25">
      <c r="A19" s="620" t="s">
        <v>6956</v>
      </c>
      <c r="B19" s="789" t="s">
        <v>6957</v>
      </c>
      <c r="C19" s="800"/>
      <c r="D19" s="801">
        <f>SUM(D15:D18)</f>
        <v>-87088</v>
      </c>
      <c r="E19" s="801">
        <f ca="1">SUM(E15:E18)</f>
        <v>-46413</v>
      </c>
      <c r="G19" s="792"/>
      <c r="H19" s="792"/>
    </row>
    <row r="20" spans="1:8" s="620" customFormat="1" x14ac:dyDescent="0.25">
      <c r="A20" s="620" t="s">
        <v>6958</v>
      </c>
      <c r="B20" s="797" t="s">
        <v>6959</v>
      </c>
      <c r="C20" s="798" t="s">
        <v>6960</v>
      </c>
      <c r="D20" s="802"/>
      <c r="E20" s="802"/>
      <c r="G20" s="792"/>
      <c r="H20" s="792"/>
    </row>
    <row r="21" spans="1:8" s="620" customFormat="1" x14ac:dyDescent="0.25">
      <c r="A21" s="620" t="s">
        <v>6961</v>
      </c>
      <c r="B21" s="797" t="s">
        <v>6930</v>
      </c>
      <c r="C21" s="797" t="s">
        <v>6962</v>
      </c>
      <c r="D21" s="794">
        <f>IF(ISERROR(VLOOKUP($A21,ESTR_REND_PREC!$A$1:$M$6000,2,FALSE))=TRUE,0,VLOOKUP($A21,ESTR_REND_PREC!$A$1:$M$6000,2,FALSE))</f>
        <v>0</v>
      </c>
      <c r="E21" s="799">
        <f ca="1">+Rend_Finanz_Input!J40+Rend_Finanz_Input!J17</f>
        <v>0</v>
      </c>
      <c r="G21" s="792"/>
      <c r="H21" s="792"/>
    </row>
    <row r="22" spans="1:8" s="620" customFormat="1" x14ac:dyDescent="0.25">
      <c r="A22" s="620" t="s">
        <v>6963</v>
      </c>
      <c r="B22" s="803" t="s">
        <v>6942</v>
      </c>
      <c r="C22" s="803" t="s">
        <v>6964</v>
      </c>
      <c r="D22" s="794">
        <f>IF(ISERROR(VLOOKUP($A22,ESTR_REND_PREC!$A$1:$M$6000,2,FALSE))=TRUE,0,VLOOKUP($A22,ESTR_REND_PREC!$A$1:$M$6000,2,FALSE))</f>
        <v>0</v>
      </c>
      <c r="E22" s="799">
        <f ca="1">-Rend_Finanz_Input!I17-Rend_Finanz_Input!I40</f>
        <v>0</v>
      </c>
      <c r="G22" s="792"/>
      <c r="H22" s="792"/>
    </row>
    <row r="23" spans="1:8" s="620" customFormat="1" x14ac:dyDescent="0.25">
      <c r="A23" s="620" t="s">
        <v>6965</v>
      </c>
      <c r="B23" s="789" t="s">
        <v>6966</v>
      </c>
      <c r="C23" s="800"/>
      <c r="D23" s="801">
        <f>SUM(D20:D22)</f>
        <v>0</v>
      </c>
      <c r="E23" s="801">
        <f ca="1">SUM(E20:E22)</f>
        <v>0</v>
      </c>
      <c r="G23" s="792"/>
      <c r="H23" s="792"/>
    </row>
    <row r="24" spans="1:8" s="620" customFormat="1" x14ac:dyDescent="0.25">
      <c r="A24" s="620" t="s">
        <v>6967</v>
      </c>
      <c r="B24" s="797" t="s">
        <v>6930</v>
      </c>
      <c r="C24" s="797" t="s">
        <v>6968</v>
      </c>
      <c r="D24" s="794">
        <f>IF(ISERROR(VLOOKUP($A24,ESTR_REND_PREC!$A$1:$M$6000,2,FALSE))=TRUE,0,VLOOKUP($A24,ESTR_REND_PREC!$A$1:$M$6000,2,FALSE))</f>
        <v>2773812</v>
      </c>
      <c r="E24" s="799">
        <f ca="1">+Rend_Finanz_Input!J122+Rend_Finanz_Input!J103+Rend_Finanz_Input!J102+Rend_Finanz_Input!J109+Rend_Finanz_Input!J117</f>
        <v>2003226</v>
      </c>
      <c r="G24" s="792"/>
      <c r="H24" s="792"/>
    </row>
    <row r="25" spans="1:8" s="620" customFormat="1" x14ac:dyDescent="0.25">
      <c r="A25" s="620" t="s">
        <v>6969</v>
      </c>
      <c r="B25" s="797" t="s">
        <v>6942</v>
      </c>
      <c r="C25" s="798" t="s">
        <v>6970</v>
      </c>
      <c r="D25" s="794">
        <f>IF(ISERROR(VLOOKUP($A25,ESTR_REND_PREC!$A$1:$M$6000,2,FALSE))=TRUE,0,VLOOKUP($A25,ESTR_REND_PREC!$A$1:$M$6000,2,FALSE))</f>
        <v>-41657</v>
      </c>
      <c r="E25" s="799">
        <f ca="1">-Rend_Finanz_Input!I102-Rend_Finanz_Input!I103-Rend_Finanz_Input!I109-Rend_Finanz_Input!I117-Rend_Finanz_Input!I122</f>
        <v>-1841998</v>
      </c>
      <c r="G25" s="792"/>
      <c r="H25" s="792"/>
    </row>
    <row r="26" spans="1:8" s="620" customFormat="1" x14ac:dyDescent="0.25">
      <c r="A26" s="620" t="s">
        <v>6971</v>
      </c>
      <c r="B26" s="789" t="s">
        <v>6972</v>
      </c>
      <c r="C26" s="800"/>
      <c r="D26" s="801">
        <f>SUM(D24:D25)</f>
        <v>2732155</v>
      </c>
      <c r="E26" s="801">
        <f ca="1">SUM(E24:E25)</f>
        <v>161228</v>
      </c>
      <c r="G26" s="792"/>
      <c r="H26" s="792"/>
    </row>
    <row r="27" spans="1:8" s="620" customFormat="1" x14ac:dyDescent="0.25">
      <c r="A27" s="620" t="s">
        <v>6973</v>
      </c>
      <c r="B27" s="804" t="s">
        <v>6974</v>
      </c>
      <c r="C27" s="804"/>
      <c r="D27" s="805">
        <f>+D6+D11+D14+D19+D23+D26</f>
        <v>10145393</v>
      </c>
      <c r="E27" s="805">
        <f ca="1">+E6+E11+E14+E19+E23+E26</f>
        <v>7721335</v>
      </c>
      <c r="F27" s="620" t="s">
        <v>6975</v>
      </c>
      <c r="G27" s="792"/>
      <c r="H27" s="792"/>
    </row>
    <row r="28" spans="1:8" s="620" customFormat="1" x14ac:dyDescent="0.25">
      <c r="A28" s="620" t="s">
        <v>6976</v>
      </c>
      <c r="B28" s="797" t="s">
        <v>6977</v>
      </c>
      <c r="C28" s="806" t="s">
        <v>6978</v>
      </c>
      <c r="D28" s="794">
        <f>IF(ISERROR(VLOOKUP($A28,ESTR_REND_PREC!$A$1:$M$6000,2,FALSE))=TRUE,0,VLOOKUP($A28,ESTR_REND_PREC!$A$1:$M$6000,2,FALSE))</f>
        <v>-18349</v>
      </c>
      <c r="E28" s="799">
        <f ca="1">+Rend_Finanz_Input!J131+Rend_Finanz_Input!J132-Rend_Finanz_Input!I131-Rend_Finanz_Input!I132-F28</f>
        <v>1148</v>
      </c>
      <c r="F28" s="620">
        <f ca="1">+SUMIF('NI-Tot_SP'!$K$881:$AB$1022,Rend_Finanz_Output!A28,'NI-Tot_SP'!$AB$881:$AB$1022)-SUMIF('NI-Tot_SP'!$K$881:$AB$1022,Rend_Finanz_Output!A28,'NI-Tot_SP'!$S$881:$S$1022)</f>
        <v>0</v>
      </c>
      <c r="G28" s="792"/>
      <c r="H28" s="792"/>
    </row>
    <row r="29" spans="1:8" s="620" customFormat="1" x14ac:dyDescent="0.25">
      <c r="A29" s="620" t="s">
        <v>6979</v>
      </c>
      <c r="B29" s="797" t="s">
        <v>6977</v>
      </c>
      <c r="C29" s="807" t="s">
        <v>6980</v>
      </c>
      <c r="D29" s="794">
        <f>IF(ISERROR(VLOOKUP($A29,ESTR_REND_PREC!$A$1:$M$6000,2,FALSE))=TRUE,0,VLOOKUP($A29,ESTR_REND_PREC!$A$1:$M$6000,2,FALSE))</f>
        <v>-10487</v>
      </c>
      <c r="E29" s="799">
        <f ca="1">+Rend_Finanz_Input!J133-Rend_Finanz_Input!I133-F29</f>
        <v>15158</v>
      </c>
      <c r="F29" s="620">
        <f ca="1">+SUMIF('NI-Tot_SP'!$K$881:$AB$1022,Rend_Finanz_Output!A29,'NI-Tot_SP'!$AB$881:$AB$1022)-SUMIF('NI-Tot_SP'!$K$881:$AB$1022,Rend_Finanz_Output!A29,'NI-Tot_SP'!$S$881:$S$1022)</f>
        <v>0</v>
      </c>
      <c r="G29" s="792"/>
      <c r="H29" s="792"/>
    </row>
    <row r="30" spans="1:8" s="620" customFormat="1" x14ac:dyDescent="0.25">
      <c r="A30" s="620" t="s">
        <v>6981</v>
      </c>
      <c r="B30" s="797" t="s">
        <v>6977</v>
      </c>
      <c r="C30" s="807" t="s">
        <v>6982</v>
      </c>
      <c r="D30" s="794">
        <f>IF(ISERROR(VLOOKUP($A30,ESTR_REND_PREC!$A$1:$M$6000,2,FALSE))=TRUE,0,VLOOKUP($A30,ESTR_REND_PREC!$A$1:$M$6000,2,FALSE))</f>
        <v>-1565926</v>
      </c>
      <c r="E30" s="799">
        <f ca="1">+Rend_Finanz_Input!J134-Rend_Finanz_Input!I134-F30</f>
        <v>610138</v>
      </c>
      <c r="F30" s="620">
        <f ca="1">+SUMIF('NI-Tot_SP'!$K$881:$AB$1022,Rend_Finanz_Output!A30,'NI-Tot_SP'!$AB$881:$AB$1022)-SUMIF('NI-Tot_SP'!$K$881:$AB$1022,Rend_Finanz_Output!A30,'NI-Tot_SP'!$S$881:$S$1022)</f>
        <v>0</v>
      </c>
      <c r="G30" s="792"/>
      <c r="H30" s="792"/>
    </row>
    <row r="31" spans="1:8" s="620" customFormat="1" x14ac:dyDescent="0.25">
      <c r="A31" s="620" t="s">
        <v>6983</v>
      </c>
      <c r="B31" s="797" t="s">
        <v>6977</v>
      </c>
      <c r="C31" s="807" t="s">
        <v>6984</v>
      </c>
      <c r="D31" s="794">
        <f>IF(ISERROR(VLOOKUP($A31,ESTR_REND_PREC!$A$1:$M$6000,2,FALSE))=TRUE,0,VLOOKUP($A31,ESTR_REND_PREC!$A$1:$M$6000,2,FALSE))</f>
        <v>0</v>
      </c>
      <c r="E31" s="799">
        <f ca="1">+Rend_Finanz_Input!J135-Rend_Finanz_Input!I135-F31</f>
        <v>0</v>
      </c>
      <c r="F31" s="620">
        <f ca="1">+SUMIF('NI-Tot_SP'!$K$881:$AB$1022,Rend_Finanz_Output!A31,'NI-Tot_SP'!$AB$881:$AB$1022)-SUMIF('NI-Tot_SP'!$K$881:$AB$1022,Rend_Finanz_Output!A31,'NI-Tot_SP'!$S$881:$S$1022)</f>
        <v>0</v>
      </c>
      <c r="G31" s="792"/>
      <c r="H31" s="792"/>
    </row>
    <row r="32" spans="1:8" s="620" customFormat="1" x14ac:dyDescent="0.25">
      <c r="A32" s="620" t="s">
        <v>6985</v>
      </c>
      <c r="B32" s="797" t="s">
        <v>6977</v>
      </c>
      <c r="C32" s="807" t="s">
        <v>6986</v>
      </c>
      <c r="D32" s="794">
        <f>IF(ISERROR(VLOOKUP($A32,ESTR_REND_PREC!$A$1:$M$6000,2,FALSE))=TRUE,0,VLOOKUP($A32,ESTR_REND_PREC!$A$1:$M$6000,2,FALSE))</f>
        <v>-5372151</v>
      </c>
      <c r="E32" s="799">
        <f ca="1">+Rend_Finanz_Input!J136-Rend_Finanz_Input!I136-F32</f>
        <v>-851269</v>
      </c>
      <c r="F32" s="620">
        <f ca="1">+SUMIF('NI-Tot_SP'!$K$881:$AB$1022,Rend_Finanz_Output!A32,'NI-Tot_SP'!$AB$881:$AB$1022)-SUMIF('NI-Tot_SP'!$K$881:$AB$1022,Rend_Finanz_Output!A32,'NI-Tot_SP'!$S$881:$S$1022)</f>
        <v>0</v>
      </c>
      <c r="G32" s="792"/>
      <c r="H32" s="792"/>
    </row>
    <row r="33" spans="1:8" s="620" customFormat="1" x14ac:dyDescent="0.25">
      <c r="A33" s="620" t="s">
        <v>6987</v>
      </c>
      <c r="B33" s="797" t="s">
        <v>6977</v>
      </c>
      <c r="C33" s="807" t="s">
        <v>6988</v>
      </c>
      <c r="D33" s="794">
        <f>IF(ISERROR(VLOOKUP($A33,ESTR_REND_PREC!$A$1:$M$6000,2,FALSE))=TRUE,0,VLOOKUP($A33,ESTR_REND_PREC!$A$1:$M$6000,2,FALSE))</f>
        <v>-565175</v>
      </c>
      <c r="E33" s="799">
        <f ca="1">+Rend_Finanz_Input!J138-Rend_Finanz_Input!I138-F33</f>
        <v>-212677</v>
      </c>
      <c r="F33" s="620">
        <f ca="1">+SUMIF('NI-Tot_SP'!$K$881:$AB$1022,Rend_Finanz_Output!A33,'NI-Tot_SP'!$AB$881:$AB$1022)-SUMIF('NI-Tot_SP'!$K$881:$AB$1022,Rend_Finanz_Output!A33,'NI-Tot_SP'!$S$881:$S$1022)</f>
        <v>0</v>
      </c>
      <c r="G33" s="792"/>
      <c r="H33" s="792"/>
    </row>
    <row r="34" spans="1:8" s="620" customFormat="1" ht="13.5" customHeight="1" x14ac:dyDescent="0.25">
      <c r="A34" s="620" t="s">
        <v>6989</v>
      </c>
      <c r="B34" s="797" t="s">
        <v>6977</v>
      </c>
      <c r="C34" s="807" t="s">
        <v>6990</v>
      </c>
      <c r="D34" s="794">
        <f>IF(ISERROR(VLOOKUP($A34,ESTR_REND_PREC!$A$1:$M$6000,2,FALSE))=TRUE,0,VLOOKUP($A34,ESTR_REND_PREC!$A$1:$M$6000,2,FALSE))</f>
        <v>942731</v>
      </c>
      <c r="E34" s="799">
        <f ca="1">+Rend_Finanz_Input!J139-Rend_Finanz_Input!I139-F34</f>
        <v>441784</v>
      </c>
      <c r="F34" s="620">
        <f ca="1">+SUMIF('NI-Tot_SP'!$K$881:$AB$1022,Rend_Finanz_Output!A34,'NI-Tot_SP'!$AB$881:$AB$1022)-SUMIF('NI-Tot_SP'!$K$881:$AB$1022,Rend_Finanz_Output!A34,'NI-Tot_SP'!$S$881:$S$1022)</f>
        <v>0</v>
      </c>
      <c r="G34" s="792"/>
      <c r="H34" s="792"/>
    </row>
    <row r="35" spans="1:8" s="620" customFormat="1" x14ac:dyDescent="0.25">
      <c r="A35" s="620" t="s">
        <v>6991</v>
      </c>
      <c r="B35" s="797" t="s">
        <v>6977</v>
      </c>
      <c r="C35" s="807" t="s">
        <v>6992</v>
      </c>
      <c r="D35" s="794">
        <f>IF(ISERROR(VLOOKUP($A35,ESTR_REND_PREC!$A$1:$M$6000,2,FALSE))=TRUE,0,VLOOKUP($A35,ESTR_REND_PREC!$A$1:$M$6000,2,FALSE))</f>
        <v>2221303</v>
      </c>
      <c r="E35" s="799">
        <f ca="1">+Rend_Finanz_Input!J140-Rend_Finanz_Input!I140-F35</f>
        <v>1295871</v>
      </c>
      <c r="F35" s="620">
        <f ca="1">+SUMIF('NI-Tot_SP'!$K$881:$AB$1022,Rend_Finanz_Output!A35,'NI-Tot_SP'!$AB$881:$AB$1022)-SUMIF('NI-Tot_SP'!$K$881:$AB$1022,Rend_Finanz_Output!A35,'NI-Tot_SP'!$S$881:$S$1022)</f>
        <v>0</v>
      </c>
      <c r="G35" s="792"/>
      <c r="H35" s="792"/>
    </row>
    <row r="36" spans="1:8" s="620" customFormat="1" x14ac:dyDescent="0.25">
      <c r="A36" s="620" t="s">
        <v>6993</v>
      </c>
      <c r="B36" s="793" t="s">
        <v>6977</v>
      </c>
      <c r="C36" s="793" t="s">
        <v>6994</v>
      </c>
      <c r="D36" s="801">
        <f>SUM(D28:D35)</f>
        <v>-4368054</v>
      </c>
      <c r="E36" s="801">
        <f ca="1">SUM(E28:E35)</f>
        <v>1300153</v>
      </c>
      <c r="G36" s="792"/>
      <c r="H36" s="792"/>
    </row>
    <row r="37" spans="1:8" s="620" customFormat="1" x14ac:dyDescent="0.25">
      <c r="A37" s="620" t="s">
        <v>6995</v>
      </c>
      <c r="B37" s="793" t="s">
        <v>6977</v>
      </c>
      <c r="C37" s="793" t="s">
        <v>6996</v>
      </c>
      <c r="D37" s="794">
        <f>IF(ISERROR(VLOOKUP($A37,ESTR_REND_PREC!$A$1:$M$6000,2,FALSE))=TRUE,0,VLOOKUP($A37,ESTR_REND_PREC!$A$1:$M$6000,2,FALSE))</f>
        <v>559</v>
      </c>
      <c r="E37" s="801">
        <f ca="1">+Rend_Finanz_Input!J141-Rend_Finanz_Input!I141</f>
        <v>1978</v>
      </c>
      <c r="G37" s="792"/>
      <c r="H37" s="792"/>
    </row>
    <row r="38" spans="1:8" s="620" customFormat="1" x14ac:dyDescent="0.25">
      <c r="A38" s="620" t="s">
        <v>6997</v>
      </c>
      <c r="B38" s="797" t="s">
        <v>6977</v>
      </c>
      <c r="C38" s="807" t="s">
        <v>6998</v>
      </c>
      <c r="D38" s="794">
        <f>IF(ISERROR(VLOOKUP($A38,ESTR_REND_PREC!$A$1:$M$6000,2,FALSE))=TRUE,0,VLOOKUP($A38,ESTR_REND_PREC!$A$1:$M$6000,2,FALSE))</f>
        <v>91777</v>
      </c>
      <c r="E38" s="799">
        <f ca="1">+Rend_Finanz_Input!J59-Rend_Finanz_Input!I59</f>
        <v>-4665</v>
      </c>
      <c r="G38" s="792"/>
      <c r="H38" s="792"/>
    </row>
    <row r="39" spans="1:8" s="620" customFormat="1" x14ac:dyDescent="0.25">
      <c r="A39" s="620" t="s">
        <v>6999</v>
      </c>
      <c r="B39" s="797" t="s">
        <v>6977</v>
      </c>
      <c r="C39" s="807" t="s">
        <v>7000</v>
      </c>
      <c r="D39" s="794">
        <f>IF(ISERROR(VLOOKUP($A39,ESTR_REND_PREC!$A$1:$M$6000,2,FALSE))=TRUE,0,VLOOKUP($A39,ESTR_REND_PREC!$A$1:$M$6000,2,FALSE))</f>
        <v>0</v>
      </c>
      <c r="E39" s="799">
        <f ca="1">+Rend_Finanz_Input!J60-Rend_Finanz_Input!I60</f>
        <v>0</v>
      </c>
      <c r="G39" s="792"/>
      <c r="H39" s="792"/>
    </row>
    <row r="40" spans="1:8" s="620" customFormat="1" x14ac:dyDescent="0.25">
      <c r="A40" s="620" t="s">
        <v>7001</v>
      </c>
      <c r="B40" s="797" t="s">
        <v>6977</v>
      </c>
      <c r="C40" s="808" t="s">
        <v>7002</v>
      </c>
      <c r="D40" s="802"/>
      <c r="E40" s="802">
        <f ca="1">+Rend_Finanz_Input!J61-Rend_Finanz_Input!I61</f>
        <v>0</v>
      </c>
      <c r="G40" s="792"/>
      <c r="H40" s="792"/>
    </row>
    <row r="41" spans="1:8" s="620" customFormat="1" x14ac:dyDescent="0.25">
      <c r="A41" s="620" t="s">
        <v>7003</v>
      </c>
      <c r="B41" s="797" t="s">
        <v>6977</v>
      </c>
      <c r="C41" s="808" t="s">
        <v>7004</v>
      </c>
      <c r="D41" s="802"/>
      <c r="E41" s="802">
        <f ca="1">+Rend_Finanz_Input!J62-Rend_Finanz_Input!I62</f>
        <v>0</v>
      </c>
      <c r="G41" s="792"/>
      <c r="H41" s="792"/>
    </row>
    <row r="42" spans="1:8" s="620" customFormat="1" x14ac:dyDescent="0.25">
      <c r="A42" s="620" t="s">
        <v>7005</v>
      </c>
      <c r="B42" s="797" t="s">
        <v>6977</v>
      </c>
      <c r="C42" s="808" t="s">
        <v>7006</v>
      </c>
      <c r="D42" s="802"/>
      <c r="E42" s="802">
        <f ca="1">+Rend_Finanz_Input!J63-Rend_Finanz_Input!I63</f>
        <v>0</v>
      </c>
      <c r="G42" s="792"/>
      <c r="H42" s="792"/>
    </row>
    <row r="43" spans="1:8" s="620" customFormat="1" x14ac:dyDescent="0.25">
      <c r="A43" s="620" t="s">
        <v>7007</v>
      </c>
      <c r="B43" s="797" t="s">
        <v>6977</v>
      </c>
      <c r="C43" s="807" t="s">
        <v>7008</v>
      </c>
      <c r="D43" s="794">
        <f>IF(ISERROR(VLOOKUP($A43,ESTR_REND_PREC!$A$1:$M$6000,2,FALSE))=TRUE,0,VLOOKUP($A43,ESTR_REND_PREC!$A$1:$M$6000,2,FALSE))</f>
        <v>0</v>
      </c>
      <c r="E43" s="799">
        <f ca="1">+Rend_Finanz_Input!J64-Rend_Finanz_Input!I64</f>
        <v>0</v>
      </c>
      <c r="G43" s="792"/>
      <c r="H43" s="792"/>
    </row>
    <row r="44" spans="1:8" s="620" customFormat="1" x14ac:dyDescent="0.25">
      <c r="A44" s="620" t="s">
        <v>7009</v>
      </c>
      <c r="B44" s="797" t="s">
        <v>6977</v>
      </c>
      <c r="C44" s="807" t="s">
        <v>7010</v>
      </c>
      <c r="D44" s="794">
        <f>IF(ISERROR(VLOOKUP($A44,ESTR_REND_PREC!$A$1:$M$6000,2,FALSE))=TRUE,0,VLOOKUP($A44,ESTR_REND_PREC!$A$1:$M$6000,2,FALSE))</f>
        <v>-27533</v>
      </c>
      <c r="E44" s="799">
        <f ca="1">+Rend_Finanz_Input!J65-Rend_Finanz_Input!I65</f>
        <v>-5997631</v>
      </c>
      <c r="G44" s="792"/>
      <c r="H44" s="792"/>
    </row>
    <row r="45" spans="1:8" s="620" customFormat="1" x14ac:dyDescent="0.25">
      <c r="A45" s="620" t="s">
        <v>7011</v>
      </c>
      <c r="B45" s="797" t="s">
        <v>6977</v>
      </c>
      <c r="C45" s="807" t="s">
        <v>7012</v>
      </c>
      <c r="D45" s="794">
        <f>IF(ISERROR(VLOOKUP($A45,ESTR_REND_PREC!$A$1:$M$6000,2,FALSE))=TRUE,0,VLOOKUP($A45,ESTR_REND_PREC!$A$1:$M$6000,2,FALSE))</f>
        <v>-8602247</v>
      </c>
      <c r="E45" s="799">
        <f ca="1">+Rend_Finanz_Input!J66-Rend_Finanz_Input!I66</f>
        <v>-8534525</v>
      </c>
      <c r="G45" s="792"/>
      <c r="H45" s="792"/>
    </row>
    <row r="46" spans="1:8" s="620" customFormat="1" x14ac:dyDescent="0.25">
      <c r="A46" s="620" t="s">
        <v>7013</v>
      </c>
      <c r="B46" s="797" t="s">
        <v>6977</v>
      </c>
      <c r="C46" s="807" t="s">
        <v>7014</v>
      </c>
      <c r="D46" s="794">
        <f>IF(ISERROR(VLOOKUP($A46,ESTR_REND_PREC!$A$1:$M$6000,2,FALSE))=TRUE,0,VLOOKUP($A46,ESTR_REND_PREC!$A$1:$M$6000,2,FALSE))</f>
        <v>-5546</v>
      </c>
      <c r="E46" s="799">
        <f ca="1">+Rend_Finanz_Input!J67-Rend_Finanz_Input!I67</f>
        <v>-16574</v>
      </c>
      <c r="G46" s="792"/>
      <c r="H46" s="792"/>
    </row>
    <row r="47" spans="1:8" s="620" customFormat="1" x14ac:dyDescent="0.25">
      <c r="A47" s="620" t="s">
        <v>7015</v>
      </c>
      <c r="B47" s="797" t="s">
        <v>6977</v>
      </c>
      <c r="C47" s="807" t="s">
        <v>7016</v>
      </c>
      <c r="D47" s="794">
        <f>IF(ISERROR(VLOOKUP($A47,ESTR_REND_PREC!$A$1:$M$6000,2,FALSE))=TRUE,0,VLOOKUP($A47,ESTR_REND_PREC!$A$1:$M$6000,2,FALSE))</f>
        <v>12430355</v>
      </c>
      <c r="E47" s="799">
        <f ca="1">+Rend_Finanz_Input!J68-Rend_Finanz_Input!I68</f>
        <v>5329468</v>
      </c>
      <c r="G47" s="792"/>
      <c r="H47" s="792"/>
    </row>
    <row r="48" spans="1:8" s="620" customFormat="1" x14ac:dyDescent="0.25">
      <c r="A48" s="620" t="s">
        <v>7017</v>
      </c>
      <c r="B48" s="797" t="s">
        <v>6977</v>
      </c>
      <c r="C48" s="807" t="s">
        <v>7018</v>
      </c>
      <c r="D48" s="794">
        <f>IF(ISERROR(VLOOKUP($A48,ESTR_REND_PREC!$A$1:$M$6000,2,FALSE))=TRUE,0,VLOOKUP($A48,ESTR_REND_PREC!$A$1:$M$6000,2,FALSE))</f>
        <v>0</v>
      </c>
      <c r="E48" s="799">
        <f ca="1">+Rend_Finanz_Input!J69-Rend_Finanz_Input!I69</f>
        <v>0</v>
      </c>
      <c r="G48" s="792"/>
      <c r="H48" s="792"/>
    </row>
    <row r="49" spans="1:8" s="620" customFormat="1" x14ac:dyDescent="0.25">
      <c r="A49" s="620" t="s">
        <v>7019</v>
      </c>
      <c r="B49" s="797" t="s">
        <v>6977</v>
      </c>
      <c r="C49" s="807" t="s">
        <v>7020</v>
      </c>
      <c r="D49" s="794">
        <f>IF(ISERROR(VLOOKUP($A49,ESTR_REND_PREC!$A$1:$M$6000,2,FALSE))=TRUE,0,VLOOKUP($A49,ESTR_REND_PREC!$A$1:$M$6000,2,FALSE))</f>
        <v>15000</v>
      </c>
      <c r="E49" s="799">
        <f ca="1">+Rend_Finanz_Input!J70-Rend_Finanz_Input!I70</f>
        <v>-1087</v>
      </c>
      <c r="G49" s="792"/>
      <c r="H49" s="792"/>
    </row>
    <row r="50" spans="1:8" s="620" customFormat="1" x14ac:dyDescent="0.25">
      <c r="A50" s="620" t="s">
        <v>7021</v>
      </c>
      <c r="B50" s="797" t="s">
        <v>6977</v>
      </c>
      <c r="C50" s="807" t="s">
        <v>7022</v>
      </c>
      <c r="D50" s="794">
        <f>IF(ISERROR(VLOOKUP($A50,ESTR_REND_PREC!$A$1:$M$6000,2,FALSE))=TRUE,0,VLOOKUP($A50,ESTR_REND_PREC!$A$1:$M$6000,2,FALSE))</f>
        <v>-814665</v>
      </c>
      <c r="E50" s="799">
        <f ca="1">+Rend_Finanz_Input!J71-Rend_Finanz_Input!I71</f>
        <v>-161272</v>
      </c>
      <c r="G50" s="792"/>
      <c r="H50" s="792"/>
    </row>
    <row r="51" spans="1:8" s="620" customFormat="1" x14ac:dyDescent="0.25">
      <c r="A51" s="620" t="s">
        <v>7023</v>
      </c>
      <c r="B51" s="793" t="s">
        <v>6977</v>
      </c>
      <c r="C51" s="793" t="s">
        <v>7024</v>
      </c>
      <c r="D51" s="801">
        <f>SUM(D38:D50)</f>
        <v>3087141</v>
      </c>
      <c r="E51" s="801">
        <f ca="1">SUM(E38:E50)</f>
        <v>-9386286</v>
      </c>
      <c r="G51" s="792"/>
      <c r="H51" s="792"/>
    </row>
    <row r="52" spans="1:8" s="620" customFormat="1" x14ac:dyDescent="0.25">
      <c r="A52" s="620" t="s">
        <v>7025</v>
      </c>
      <c r="B52" s="803" t="s">
        <v>6977</v>
      </c>
      <c r="C52" s="807" t="s">
        <v>7026</v>
      </c>
      <c r="D52" s="794">
        <f>IF(ISERROR(VLOOKUP($A52,ESTR_REND_PREC!$A$1:$M$6000,2,FALSE))=TRUE,0,VLOOKUP($A52,ESTR_REND_PREC!$A$1:$M$6000,2,FALSE))</f>
        <v>-1129307</v>
      </c>
      <c r="E52" s="799">
        <f ca="1">+Rend_Finanz_Input!J54+Rend_Finanz_Input!J55-Rend_Finanz_Input!I54-Rend_Finanz_Input!I55</f>
        <v>-3618654</v>
      </c>
      <c r="G52" s="792"/>
      <c r="H52" s="792"/>
    </row>
    <row r="53" spans="1:8" s="620" customFormat="1" x14ac:dyDescent="0.25">
      <c r="A53" s="620" t="s">
        <v>7027</v>
      </c>
      <c r="B53" s="803" t="s">
        <v>6977</v>
      </c>
      <c r="C53" s="807" t="s">
        <v>7028</v>
      </c>
      <c r="D53" s="794">
        <f>IF(ISERROR(VLOOKUP($A53,ESTR_REND_PREC!$A$1:$M$6000,2,FALSE))=TRUE,0,VLOOKUP($A53,ESTR_REND_PREC!$A$1:$M$6000,2,FALSE))</f>
        <v>0</v>
      </c>
      <c r="E53" s="799">
        <f ca="1">+Rend_Finanz_Input!J56+Rend_Finanz_Input!J57-Rend_Finanz_Input!I56-Rend_Finanz_Input!I57</f>
        <v>0</v>
      </c>
      <c r="G53" s="792"/>
      <c r="H53" s="792"/>
    </row>
    <row r="54" spans="1:8" s="620" customFormat="1" x14ac:dyDescent="0.25">
      <c r="A54" s="620" t="s">
        <v>7029</v>
      </c>
      <c r="B54" s="793" t="s">
        <v>6977</v>
      </c>
      <c r="C54" s="809" t="s">
        <v>7030</v>
      </c>
      <c r="D54" s="801">
        <f>SUM(D52:D53)</f>
        <v>-1129307</v>
      </c>
      <c r="E54" s="801">
        <f ca="1">SUM(E52:E53)</f>
        <v>-3618654</v>
      </c>
      <c r="G54" s="792"/>
      <c r="H54" s="792"/>
    </row>
    <row r="55" spans="1:8" s="620" customFormat="1" x14ac:dyDescent="0.25">
      <c r="A55" s="620" t="s">
        <v>7031</v>
      </c>
      <c r="B55" s="793" t="s">
        <v>6977</v>
      </c>
      <c r="C55" s="793" t="s">
        <v>7032</v>
      </c>
      <c r="D55" s="794">
        <f>IF(ISERROR(VLOOKUP($A55,ESTR_REND_PREC!$A$1:$M$6000,2,FALSE))=TRUE,0,VLOOKUP($A55,ESTR_REND_PREC!$A$1:$M$6000,2,FALSE))</f>
        <v>-16745</v>
      </c>
      <c r="E55" s="801">
        <f ca="1">+Rend_Finanz_Input!J85-Rend_Finanz_Input!I85</f>
        <v>25255</v>
      </c>
      <c r="G55" s="792"/>
      <c r="H55" s="792"/>
    </row>
    <row r="56" spans="1:8" s="620" customFormat="1" x14ac:dyDescent="0.25">
      <c r="A56" s="620" t="s">
        <v>7033</v>
      </c>
      <c r="B56" s="804" t="s">
        <v>7034</v>
      </c>
      <c r="C56" s="804"/>
      <c r="D56" s="805">
        <f>+D27+D36+D37+D51+D54+D55</f>
        <v>7718987</v>
      </c>
      <c r="E56" s="805">
        <f ca="1">+E27+E36+E37+E51+E54+E55</f>
        <v>-3956219</v>
      </c>
      <c r="G56" s="792"/>
      <c r="H56" s="792"/>
    </row>
    <row r="57" spans="1:8" s="620" customFormat="1" ht="24.75" customHeight="1" x14ac:dyDescent="0.25">
      <c r="A57" s="620" t="s">
        <v>7035</v>
      </c>
      <c r="B57" s="789" t="s">
        <v>7036</v>
      </c>
      <c r="C57" s="790"/>
      <c r="D57" s="791"/>
      <c r="E57" s="791"/>
      <c r="G57" s="792"/>
      <c r="H57" s="792"/>
    </row>
    <row r="58" spans="1:8" s="620" customFormat="1" x14ac:dyDescent="0.25">
      <c r="A58" s="620" t="s">
        <v>7037</v>
      </c>
      <c r="B58" s="797" t="s">
        <v>6942</v>
      </c>
      <c r="C58" s="798" t="s">
        <v>7038</v>
      </c>
      <c r="D58" s="794">
        <f>IF(ISERROR(VLOOKUP($A58,ESTR_REND_PREC!$A$1:$M$6000,2,FALSE))=TRUE,0,VLOOKUP($A58,ESTR_REND_PREC!$A$1:$M$6000,2,FALSE))</f>
        <v>-200</v>
      </c>
      <c r="E58" s="799">
        <f ca="1">-Rend_Finanz_Input!I7</f>
        <v>0</v>
      </c>
      <c r="G58" s="792"/>
      <c r="H58" s="792"/>
    </row>
    <row r="59" spans="1:8" s="620" customFormat="1" x14ac:dyDescent="0.25">
      <c r="A59" s="620" t="s">
        <v>7039</v>
      </c>
      <c r="B59" s="797" t="s">
        <v>6942</v>
      </c>
      <c r="C59" s="798" t="s">
        <v>7040</v>
      </c>
      <c r="D59" s="794">
        <f>IF(ISERROR(VLOOKUP($A59,ESTR_REND_PREC!$A$1:$M$6000,2,FALSE))=TRUE,0,VLOOKUP($A59,ESTR_REND_PREC!$A$1:$M$6000,2,FALSE))</f>
        <v>0</v>
      </c>
      <c r="E59" s="799">
        <f ca="1">-Rend_Finanz_Input!I8</f>
        <v>0</v>
      </c>
      <c r="G59" s="792"/>
      <c r="H59" s="792"/>
    </row>
    <row r="60" spans="1:8" s="620" customFormat="1" x14ac:dyDescent="0.25">
      <c r="A60" s="620" t="s">
        <v>7041</v>
      </c>
      <c r="B60" s="797" t="s">
        <v>6942</v>
      </c>
      <c r="C60" s="798" t="s">
        <v>7042</v>
      </c>
      <c r="D60" s="794">
        <f>IF(ISERROR(VLOOKUP($A60,ESTR_REND_PREC!$A$1:$M$6000,2,FALSE))=TRUE,0,VLOOKUP($A60,ESTR_REND_PREC!$A$1:$M$6000,2,FALSE))</f>
        <v>-2214</v>
      </c>
      <c r="E60" s="799">
        <f ca="1">-Rend_Finanz_Input!I9</f>
        <v>0</v>
      </c>
      <c r="G60" s="792"/>
      <c r="H60" s="792"/>
    </row>
    <row r="61" spans="1:8" s="620" customFormat="1" x14ac:dyDescent="0.25">
      <c r="A61" s="620" t="s">
        <v>7043</v>
      </c>
      <c r="B61" s="797" t="s">
        <v>6942</v>
      </c>
      <c r="C61" s="798" t="s">
        <v>7044</v>
      </c>
      <c r="D61" s="794">
        <f>IF(ISERROR(VLOOKUP($A61,ESTR_REND_PREC!$A$1:$M$6000,2,FALSE))=TRUE,0,VLOOKUP($A61,ESTR_REND_PREC!$A$1:$M$6000,2,FALSE))</f>
        <v>-1194582</v>
      </c>
      <c r="E61" s="799">
        <f ca="1">-Rend_Finanz_Input!I10</f>
        <v>0</v>
      </c>
      <c r="G61" s="792"/>
      <c r="H61" s="792"/>
    </row>
    <row r="62" spans="1:8" s="620" customFormat="1" x14ac:dyDescent="0.25">
      <c r="A62" s="620" t="s">
        <v>7045</v>
      </c>
      <c r="B62" s="797" t="s">
        <v>6942</v>
      </c>
      <c r="C62" s="798" t="s">
        <v>7046</v>
      </c>
      <c r="D62" s="794">
        <f>IF(ISERROR(VLOOKUP($A62,ESTR_REND_PREC!$A$1:$M$6000,2,FALSE))=TRUE,0,VLOOKUP($A62,ESTR_REND_PREC!$A$1:$M$6000,2,FALSE))</f>
        <v>-89333</v>
      </c>
      <c r="E62" s="799">
        <f ca="1">-Rend_Finanz_Input!I11</f>
        <v>-1272460</v>
      </c>
      <c r="G62" s="792"/>
      <c r="H62" s="792"/>
    </row>
    <row r="63" spans="1:8" s="620" customFormat="1" x14ac:dyDescent="0.25">
      <c r="A63" s="620" t="s">
        <v>7047</v>
      </c>
      <c r="B63" s="793" t="s">
        <v>6942</v>
      </c>
      <c r="C63" s="809" t="s">
        <v>7048</v>
      </c>
      <c r="D63" s="801">
        <f>SUM(D58:D62)</f>
        <v>-1286329</v>
      </c>
      <c r="E63" s="801">
        <f ca="1">SUM(E58:E62)</f>
        <v>-1272460</v>
      </c>
      <c r="G63" s="792"/>
      <c r="H63" s="792"/>
    </row>
    <row r="64" spans="1:8" s="620" customFormat="1" x14ac:dyDescent="0.25">
      <c r="A64" s="620" t="s">
        <v>7049</v>
      </c>
      <c r="B64" s="797" t="s">
        <v>6930</v>
      </c>
      <c r="C64" s="798" t="s">
        <v>7050</v>
      </c>
      <c r="D64" s="794">
        <f>IF(ISERROR(VLOOKUP($A64,ESTR_REND_PREC!$A$1:$M$6000,2,FALSE))=TRUE,0,VLOOKUP($A64,ESTR_REND_PREC!$A$1:$M$6000,2,FALSE))</f>
        <v>0</v>
      </c>
      <c r="E64" s="799">
        <f ca="1">+Rend_Finanz_Input!J7</f>
        <v>0</v>
      </c>
      <c r="G64" s="792"/>
      <c r="H64" s="792"/>
    </row>
    <row r="65" spans="1:8" s="620" customFormat="1" x14ac:dyDescent="0.25">
      <c r="A65" s="620" t="s">
        <v>7051</v>
      </c>
      <c r="B65" s="797" t="s">
        <v>6930</v>
      </c>
      <c r="C65" s="798" t="s">
        <v>7052</v>
      </c>
      <c r="D65" s="794">
        <f>IF(ISERROR(VLOOKUP($A65,ESTR_REND_PREC!$A$1:$M$6000,2,FALSE))=TRUE,0,VLOOKUP($A65,ESTR_REND_PREC!$A$1:$M$6000,2,FALSE))</f>
        <v>0</v>
      </c>
      <c r="E65" s="799">
        <f ca="1">+Rend_Finanz_Input!J8</f>
        <v>0</v>
      </c>
      <c r="G65" s="792"/>
      <c r="H65" s="792"/>
    </row>
    <row r="66" spans="1:8" s="620" customFormat="1" x14ac:dyDescent="0.25">
      <c r="A66" s="620" t="s">
        <v>7053</v>
      </c>
      <c r="B66" s="797" t="s">
        <v>6930</v>
      </c>
      <c r="C66" s="798" t="s">
        <v>7054</v>
      </c>
      <c r="D66" s="794">
        <f>IF(ISERROR(VLOOKUP($A66,ESTR_REND_PREC!$A$1:$M$6000,2,FALSE))=TRUE,0,VLOOKUP($A66,ESTR_REND_PREC!$A$1:$M$6000,2,FALSE))</f>
        <v>0</v>
      </c>
      <c r="E66" s="799">
        <f ca="1">+Rend_Finanz_Input!J9</f>
        <v>0</v>
      </c>
      <c r="G66" s="792"/>
      <c r="H66" s="792"/>
    </row>
    <row r="67" spans="1:8" s="620" customFormat="1" x14ac:dyDescent="0.25">
      <c r="A67" s="620" t="s">
        <v>7055</v>
      </c>
      <c r="B67" s="797" t="s">
        <v>6930</v>
      </c>
      <c r="C67" s="798" t="s">
        <v>7056</v>
      </c>
      <c r="D67" s="794">
        <f>IF(ISERROR(VLOOKUP($A67,ESTR_REND_PREC!$A$1:$M$6000,2,FALSE))=TRUE,0,VLOOKUP($A67,ESTR_REND_PREC!$A$1:$M$6000,2,FALSE))</f>
        <v>0</v>
      </c>
      <c r="E67" s="799">
        <f ca="1">+Rend_Finanz_Input!J10</f>
        <v>705583</v>
      </c>
      <c r="G67" s="792"/>
      <c r="H67" s="792"/>
    </row>
    <row r="68" spans="1:8" s="620" customFormat="1" x14ac:dyDescent="0.25">
      <c r="A68" s="620" t="s">
        <v>7057</v>
      </c>
      <c r="B68" s="797" t="s">
        <v>6930</v>
      </c>
      <c r="C68" s="798" t="s">
        <v>7058</v>
      </c>
      <c r="D68" s="794">
        <f>IF(ISERROR(VLOOKUP($A68,ESTR_REND_PREC!$A$1:$M$6000,2,FALSE))=TRUE,0,VLOOKUP($A68,ESTR_REND_PREC!$A$1:$M$6000,2,FALSE))</f>
        <v>0</v>
      </c>
      <c r="E68" s="799">
        <f ca="1">+Rend_Finanz_Input!J11</f>
        <v>0</v>
      </c>
      <c r="G68" s="792"/>
      <c r="H68" s="792"/>
    </row>
    <row r="69" spans="1:8" s="620" customFormat="1" x14ac:dyDescent="0.25">
      <c r="A69" s="620" t="s">
        <v>7059</v>
      </c>
      <c r="B69" s="793" t="s">
        <v>6930</v>
      </c>
      <c r="C69" s="809" t="s">
        <v>7060</v>
      </c>
      <c r="D69" s="801">
        <f>SUM(D64:D68)</f>
        <v>0</v>
      </c>
      <c r="E69" s="801">
        <f ca="1">SUM(E64:E68)</f>
        <v>705583</v>
      </c>
      <c r="G69" s="792"/>
      <c r="H69" s="792"/>
    </row>
    <row r="70" spans="1:8" s="620" customFormat="1" x14ac:dyDescent="0.25">
      <c r="A70" s="620" t="s">
        <v>7061</v>
      </c>
      <c r="B70" s="797" t="s">
        <v>6942</v>
      </c>
      <c r="C70" s="798" t="s">
        <v>7062</v>
      </c>
      <c r="D70" s="794">
        <f>IF(ISERROR(VLOOKUP($A70,ESTR_REND_PREC!$A$1:$M$6000,2,FALSE))=TRUE,0,VLOOKUP($A70,ESTR_REND_PREC!$A$1:$M$6000,2,FALSE))</f>
        <v>-620</v>
      </c>
      <c r="E70" s="799">
        <f ca="1">-Rend_Finanz_Input!I24</f>
        <v>0</v>
      </c>
      <c r="G70" s="792"/>
      <c r="H70" s="792"/>
    </row>
    <row r="71" spans="1:8" s="620" customFormat="1" x14ac:dyDescent="0.25">
      <c r="A71" s="620" t="s">
        <v>7063</v>
      </c>
      <c r="B71" s="797" t="s">
        <v>6942</v>
      </c>
      <c r="C71" s="798" t="s">
        <v>7064</v>
      </c>
      <c r="D71" s="794">
        <f>IF(ISERROR(VLOOKUP($A71,ESTR_REND_PREC!$A$1:$M$6000,2,FALSE))=TRUE,0,VLOOKUP($A71,ESTR_REND_PREC!$A$1:$M$6000,2,FALSE))</f>
        <v>-801710</v>
      </c>
      <c r="E71" s="799">
        <f ca="1">-Rend_Finanz_Input!I25</f>
        <v>-1161459</v>
      </c>
      <c r="G71" s="792"/>
      <c r="H71" s="792"/>
    </row>
    <row r="72" spans="1:8" s="620" customFormat="1" x14ac:dyDescent="0.25">
      <c r="A72" s="620" t="s">
        <v>7065</v>
      </c>
      <c r="B72" s="797" t="s">
        <v>6942</v>
      </c>
      <c r="C72" s="798" t="s">
        <v>7066</v>
      </c>
      <c r="D72" s="794">
        <f>IF(ISERROR(VLOOKUP($A72,ESTR_REND_PREC!$A$1:$M$6000,2,FALSE))=TRUE,0,VLOOKUP($A72,ESTR_REND_PREC!$A$1:$M$6000,2,FALSE))</f>
        <v>-3739929</v>
      </c>
      <c r="E72" s="799">
        <f ca="1">-Rend_Finanz_Input!I26</f>
        <v>-926034</v>
      </c>
      <c r="G72" s="792"/>
      <c r="H72" s="792"/>
    </row>
    <row r="73" spans="1:8" s="620" customFormat="1" x14ac:dyDescent="0.25">
      <c r="A73" s="620" t="s">
        <v>7067</v>
      </c>
      <c r="B73" s="797" t="s">
        <v>6942</v>
      </c>
      <c r="C73" s="798" t="s">
        <v>7068</v>
      </c>
      <c r="D73" s="794">
        <f>IF(ISERROR(VLOOKUP($A73,ESTR_REND_PREC!$A$1:$M$6000,2,FALSE))=TRUE,0,VLOOKUP($A73,ESTR_REND_PREC!$A$1:$M$6000,2,FALSE))</f>
        <v>-358470</v>
      </c>
      <c r="E73" s="799">
        <f ca="1">-Rend_Finanz_Input!I27</f>
        <v>-1906060</v>
      </c>
      <c r="G73" s="792"/>
      <c r="H73" s="792"/>
    </row>
    <row r="74" spans="1:8" s="620" customFormat="1" x14ac:dyDescent="0.25">
      <c r="A74" s="620" t="s">
        <v>7069</v>
      </c>
      <c r="B74" s="797" t="s">
        <v>6942</v>
      </c>
      <c r="C74" s="798" t="s">
        <v>7070</v>
      </c>
      <c r="D74" s="794">
        <f>IF(ISERROR(VLOOKUP($A74,ESTR_REND_PREC!$A$1:$M$6000,2,FALSE))=TRUE,0,VLOOKUP($A74,ESTR_REND_PREC!$A$1:$M$6000,2,FALSE))</f>
        <v>-42290</v>
      </c>
      <c r="E74" s="799">
        <f ca="1">-Rend_Finanz_Input!I28</f>
        <v>-27397</v>
      </c>
      <c r="G74" s="792"/>
      <c r="H74" s="792"/>
    </row>
    <row r="75" spans="1:8" s="620" customFormat="1" x14ac:dyDescent="0.25">
      <c r="A75" s="620" t="s">
        <v>7071</v>
      </c>
      <c r="B75" s="797" t="s">
        <v>6942</v>
      </c>
      <c r="C75" s="798" t="s">
        <v>7072</v>
      </c>
      <c r="D75" s="794">
        <f>IF(ISERROR(VLOOKUP($A75,ESTR_REND_PREC!$A$1:$M$6000,2,FALSE))=TRUE,0,VLOOKUP($A75,ESTR_REND_PREC!$A$1:$M$6000,2,FALSE))</f>
        <v>0</v>
      </c>
      <c r="E75" s="799">
        <f ca="1">-Rend_Finanz_Input!I29</f>
        <v>0</v>
      </c>
      <c r="G75" s="792"/>
      <c r="H75" s="792"/>
    </row>
    <row r="76" spans="1:8" s="620" customFormat="1" x14ac:dyDescent="0.25">
      <c r="A76" s="620" t="s">
        <v>7073</v>
      </c>
      <c r="B76" s="797" t="s">
        <v>6942</v>
      </c>
      <c r="C76" s="798" t="s">
        <v>7074</v>
      </c>
      <c r="D76" s="794">
        <f>IF(ISERROR(VLOOKUP($A76,ESTR_REND_PREC!$A$1:$M$6000,2,FALSE))=TRUE,0,VLOOKUP($A76,ESTR_REND_PREC!$A$1:$M$6000,2,FALSE))</f>
        <v>0</v>
      </c>
      <c r="E76" s="799">
        <f ca="1">-Rend_Finanz_Input!I30</f>
        <v>-88723</v>
      </c>
      <c r="G76" s="792"/>
      <c r="H76" s="792"/>
    </row>
    <row r="77" spans="1:8" s="620" customFormat="1" x14ac:dyDescent="0.25">
      <c r="A77" s="620" t="s">
        <v>7075</v>
      </c>
      <c r="B77" s="797" t="s">
        <v>6942</v>
      </c>
      <c r="C77" s="798" t="s">
        <v>7076</v>
      </c>
      <c r="D77" s="794">
        <f>IF(ISERROR(VLOOKUP($A77,ESTR_REND_PREC!$A$1:$M$6000,2,FALSE))=TRUE,0,VLOOKUP($A77,ESTR_REND_PREC!$A$1:$M$6000,2,FALSE))</f>
        <v>0</v>
      </c>
      <c r="E77" s="799">
        <f ca="1">-Rend_Finanz_Input!I31</f>
        <v>0</v>
      </c>
      <c r="G77" s="792"/>
      <c r="H77" s="792"/>
    </row>
    <row r="78" spans="1:8" s="620" customFormat="1" x14ac:dyDescent="0.25">
      <c r="A78" s="620" t="s">
        <v>7077</v>
      </c>
      <c r="B78" s="797" t="s">
        <v>6942</v>
      </c>
      <c r="C78" s="798" t="s">
        <v>7078</v>
      </c>
      <c r="D78" s="794">
        <f>IF(ISERROR(VLOOKUP($A78,ESTR_REND_PREC!$A$1:$M$6000,2,FALSE))=TRUE,0,VLOOKUP($A78,ESTR_REND_PREC!$A$1:$M$6000,2,FALSE))</f>
        <v>0</v>
      </c>
      <c r="E78" s="799">
        <f ca="1">-Rend_Finanz_Input!I32</f>
        <v>0</v>
      </c>
      <c r="G78" s="792"/>
      <c r="H78" s="792"/>
    </row>
    <row r="79" spans="1:8" s="620" customFormat="1" x14ac:dyDescent="0.25">
      <c r="A79" s="620" t="s">
        <v>7079</v>
      </c>
      <c r="B79" s="793" t="s">
        <v>6942</v>
      </c>
      <c r="C79" s="809" t="s">
        <v>7080</v>
      </c>
      <c r="D79" s="801">
        <f>SUM(D70:D78)</f>
        <v>-4943019</v>
      </c>
      <c r="E79" s="801">
        <f ca="1">SUM(E70:E78)</f>
        <v>-4109673</v>
      </c>
      <c r="G79" s="792"/>
      <c r="H79" s="792"/>
    </row>
    <row r="80" spans="1:8" s="620" customFormat="1" x14ac:dyDescent="0.25">
      <c r="A80" s="620" t="s">
        <v>7081</v>
      </c>
      <c r="B80" s="797" t="s">
        <v>6930</v>
      </c>
      <c r="C80" s="798" t="s">
        <v>7082</v>
      </c>
      <c r="D80" s="794">
        <f>IF(ISERROR(VLOOKUP($A80,ESTR_REND_PREC!$A$1:$M$6000,2,FALSE))=TRUE,0,VLOOKUP($A80,ESTR_REND_PREC!$A$1:$M$6000,2,FALSE))</f>
        <v>0</v>
      </c>
      <c r="E80" s="799">
        <f ca="1">+Rend_Finanz_Input!J24</f>
        <v>0</v>
      </c>
      <c r="G80" s="792"/>
      <c r="H80" s="792"/>
    </row>
    <row r="81" spans="1:8" s="620" customFormat="1" x14ac:dyDescent="0.25">
      <c r="A81" s="620" t="s">
        <v>7083</v>
      </c>
      <c r="B81" s="797" t="s">
        <v>6930</v>
      </c>
      <c r="C81" s="798" t="s">
        <v>7084</v>
      </c>
      <c r="D81" s="794">
        <f>IF(ISERROR(VLOOKUP($A81,ESTR_REND_PREC!$A$1:$M$6000,2,FALSE))=TRUE,0,VLOOKUP($A81,ESTR_REND_PREC!$A$1:$M$6000,2,FALSE))</f>
        <v>0</v>
      </c>
      <c r="E81" s="799">
        <f ca="1">+Rend_Finanz_Input!J25</f>
        <v>0</v>
      </c>
      <c r="G81" s="792"/>
      <c r="H81" s="792"/>
    </row>
    <row r="82" spans="1:8" s="620" customFormat="1" x14ac:dyDescent="0.25">
      <c r="A82" s="620" t="s">
        <v>7085</v>
      </c>
      <c r="B82" s="797" t="s">
        <v>6930</v>
      </c>
      <c r="C82" s="798" t="s">
        <v>7086</v>
      </c>
      <c r="D82" s="794">
        <f>IF(ISERROR(VLOOKUP($A82,ESTR_REND_PREC!$A$1:$M$6000,2,FALSE))=TRUE,0,VLOOKUP($A82,ESTR_REND_PREC!$A$1:$M$6000,2,FALSE))</f>
        <v>0</v>
      </c>
      <c r="E82" s="799">
        <f ca="1">+Rend_Finanz_Input!J26</f>
        <v>0</v>
      </c>
      <c r="G82" s="792"/>
      <c r="H82" s="792"/>
    </row>
    <row r="83" spans="1:8" s="620" customFormat="1" x14ac:dyDescent="0.25">
      <c r="A83" s="620" t="s">
        <v>7087</v>
      </c>
      <c r="B83" s="797" t="s">
        <v>6930</v>
      </c>
      <c r="C83" s="798" t="s">
        <v>7088</v>
      </c>
      <c r="D83" s="794">
        <f>IF(ISERROR(VLOOKUP($A83,ESTR_REND_PREC!$A$1:$M$6000,2,FALSE))=TRUE,0,VLOOKUP($A83,ESTR_REND_PREC!$A$1:$M$6000,2,FALSE))</f>
        <v>0</v>
      </c>
      <c r="E83" s="799">
        <f ca="1">+Rend_Finanz_Input!J27</f>
        <v>0</v>
      </c>
      <c r="G83" s="792"/>
      <c r="H83" s="792"/>
    </row>
    <row r="84" spans="1:8" s="620" customFormat="1" x14ac:dyDescent="0.25">
      <c r="A84" s="620" t="s">
        <v>7089</v>
      </c>
      <c r="B84" s="797" t="s">
        <v>6930</v>
      </c>
      <c r="C84" s="798" t="s">
        <v>7090</v>
      </c>
      <c r="D84" s="794">
        <f>IF(ISERROR(VLOOKUP($A84,ESTR_REND_PREC!$A$1:$M$6000,2,FALSE))=TRUE,0,VLOOKUP($A84,ESTR_REND_PREC!$A$1:$M$6000,2,FALSE))</f>
        <v>0</v>
      </c>
      <c r="E84" s="799">
        <f ca="1">+Rend_Finanz_Input!J28</f>
        <v>0</v>
      </c>
      <c r="G84" s="792"/>
      <c r="H84" s="792"/>
    </row>
    <row r="85" spans="1:8" s="620" customFormat="1" x14ac:dyDescent="0.25">
      <c r="A85" s="620" t="s">
        <v>7091</v>
      </c>
      <c r="B85" s="797" t="s">
        <v>6930</v>
      </c>
      <c r="C85" s="798" t="s">
        <v>7092</v>
      </c>
      <c r="D85" s="794">
        <f>IF(ISERROR(VLOOKUP($A85,ESTR_REND_PREC!$A$1:$M$6000,2,FALSE))=TRUE,0,VLOOKUP($A85,ESTR_REND_PREC!$A$1:$M$6000,2,FALSE))</f>
        <v>485</v>
      </c>
      <c r="E85" s="799">
        <f ca="1">+Rend_Finanz_Input!J29</f>
        <v>0</v>
      </c>
      <c r="G85" s="792"/>
      <c r="H85" s="792"/>
    </row>
    <row r="86" spans="1:8" s="620" customFormat="1" x14ac:dyDescent="0.25">
      <c r="A86" s="620" t="s">
        <v>7093</v>
      </c>
      <c r="B86" s="797" t="s">
        <v>6930</v>
      </c>
      <c r="C86" s="798" t="s">
        <v>7094</v>
      </c>
      <c r="D86" s="794">
        <f>IF(ISERROR(VLOOKUP($A86,ESTR_REND_PREC!$A$1:$M$6000,2,FALSE))=TRUE,0,VLOOKUP($A86,ESTR_REND_PREC!$A$1:$M$6000,2,FALSE))</f>
        <v>584</v>
      </c>
      <c r="E86" s="799">
        <f ca="1">+Rend_Finanz_Input!J30</f>
        <v>0</v>
      </c>
      <c r="G86" s="792"/>
      <c r="H86" s="792"/>
    </row>
    <row r="87" spans="1:8" s="620" customFormat="1" x14ac:dyDescent="0.25">
      <c r="A87" s="620" t="s">
        <v>7095</v>
      </c>
      <c r="B87" s="797" t="s">
        <v>6930</v>
      </c>
      <c r="C87" s="798" t="s">
        <v>7096</v>
      </c>
      <c r="D87" s="794">
        <f>IF(ISERROR(VLOOKUP($A87,ESTR_REND_PREC!$A$1:$M$6000,2,FALSE))=TRUE,0,VLOOKUP($A87,ESTR_REND_PREC!$A$1:$M$6000,2,FALSE))</f>
        <v>93041</v>
      </c>
      <c r="E87" s="799">
        <f ca="1">+Rend_Finanz_Input!J31</f>
        <v>28647</v>
      </c>
      <c r="G87" s="792"/>
      <c r="H87" s="792"/>
    </row>
    <row r="88" spans="1:8" s="620" customFormat="1" x14ac:dyDescent="0.25">
      <c r="A88" s="620" t="s">
        <v>7097</v>
      </c>
      <c r="B88" s="797" t="s">
        <v>6930</v>
      </c>
      <c r="C88" s="798" t="s">
        <v>7098</v>
      </c>
      <c r="D88" s="794">
        <f>IF(ISERROR(VLOOKUP($A88,ESTR_REND_PREC!$A$1:$M$6000,2,FALSE))=TRUE,0,VLOOKUP($A88,ESTR_REND_PREC!$A$1:$M$6000,2,FALSE))</f>
        <v>2211711</v>
      </c>
      <c r="E88" s="799">
        <f ca="1">+Rend_Finanz_Input!J32</f>
        <v>415147</v>
      </c>
      <c r="G88" s="792"/>
      <c r="H88" s="792"/>
    </row>
    <row r="89" spans="1:8" s="620" customFormat="1" x14ac:dyDescent="0.25">
      <c r="A89" s="620" t="s">
        <v>7099</v>
      </c>
      <c r="B89" s="793" t="s">
        <v>6930</v>
      </c>
      <c r="C89" s="809" t="s">
        <v>7100</v>
      </c>
      <c r="D89" s="801">
        <f>SUM(D80:D88)</f>
        <v>2305821</v>
      </c>
      <c r="E89" s="801">
        <f ca="1">SUM(E80:E88)</f>
        <v>443794</v>
      </c>
      <c r="G89" s="792"/>
      <c r="H89" s="792"/>
    </row>
    <row r="90" spans="1:8" s="620" customFormat="1" x14ac:dyDescent="0.25">
      <c r="A90" s="620" t="s">
        <v>7101</v>
      </c>
      <c r="B90" s="797" t="s">
        <v>6942</v>
      </c>
      <c r="C90" s="798" t="s">
        <v>7102</v>
      </c>
      <c r="D90" s="794">
        <f>IF(ISERROR(VLOOKUP($A90,ESTR_REND_PREC!$A$1:$M$6000,2,FALSE))=TRUE,0,VLOOKUP($A90,ESTR_REND_PREC!$A$1:$M$6000,2,FALSE))</f>
        <v>0</v>
      </c>
      <c r="E90" s="799">
        <f ca="1">-Rend_Finanz_Input!I50</f>
        <v>0</v>
      </c>
      <c r="G90" s="792"/>
      <c r="H90" s="792"/>
    </row>
    <row r="91" spans="1:8" s="620" customFormat="1" x14ac:dyDescent="0.25">
      <c r="A91" s="620" t="s">
        <v>7103</v>
      </c>
      <c r="B91" s="797" t="s">
        <v>6942</v>
      </c>
      <c r="C91" s="798" t="s">
        <v>7104</v>
      </c>
      <c r="D91" s="794">
        <f>IF(ISERROR(VLOOKUP($A91,ESTR_REND_PREC!$A$1:$M$6000,2,FALSE))=TRUE,0,VLOOKUP($A91,ESTR_REND_PREC!$A$1:$M$6000,2,FALSE))</f>
        <v>0</v>
      </c>
      <c r="E91" s="799">
        <f ca="1">-Rend_Finanz_Input!I51</f>
        <v>0</v>
      </c>
      <c r="G91" s="792"/>
      <c r="H91" s="792"/>
    </row>
    <row r="92" spans="1:8" s="620" customFormat="1" x14ac:dyDescent="0.25">
      <c r="A92" s="620" t="s">
        <v>7105</v>
      </c>
      <c r="B92" s="793" t="s">
        <v>6942</v>
      </c>
      <c r="C92" s="809" t="s">
        <v>7106</v>
      </c>
      <c r="D92" s="801">
        <f>SUM(D90:D91)</f>
        <v>0</v>
      </c>
      <c r="E92" s="801">
        <f ca="1">SUM(E90:E91)</f>
        <v>0</v>
      </c>
      <c r="G92" s="792"/>
      <c r="H92" s="792"/>
    </row>
    <row r="93" spans="1:8" s="620" customFormat="1" x14ac:dyDescent="0.25">
      <c r="A93" s="620" t="s">
        <v>7107</v>
      </c>
      <c r="B93" s="797" t="s">
        <v>6930</v>
      </c>
      <c r="C93" s="798" t="s">
        <v>7108</v>
      </c>
      <c r="D93" s="794">
        <f>IF(ISERROR(VLOOKUP($A93,ESTR_REND_PREC!$A$1:$M$6000,2,FALSE))=TRUE,0,VLOOKUP($A93,ESTR_REND_PREC!$A$1:$M$6000,2,FALSE))</f>
        <v>0</v>
      </c>
      <c r="E93" s="799">
        <f ca="1">+Rend_Finanz_Input!J50</f>
        <v>0</v>
      </c>
      <c r="G93" s="792"/>
      <c r="H93" s="792"/>
    </row>
    <row r="94" spans="1:8" s="620" customFormat="1" x14ac:dyDescent="0.25">
      <c r="A94" s="620" t="s">
        <v>7109</v>
      </c>
      <c r="B94" s="797" t="s">
        <v>6930</v>
      </c>
      <c r="C94" s="798" t="s">
        <v>7110</v>
      </c>
      <c r="D94" s="794">
        <f>IF(ISERROR(VLOOKUP($A94,ESTR_REND_PREC!$A$1:$M$6000,2,FALSE))=TRUE,0,VLOOKUP($A94,ESTR_REND_PREC!$A$1:$M$6000,2,FALSE))</f>
        <v>0</v>
      </c>
      <c r="E94" s="799">
        <f ca="1">+Rend_Finanz_Input!J51</f>
        <v>0</v>
      </c>
      <c r="G94" s="792"/>
      <c r="H94" s="792"/>
    </row>
    <row r="95" spans="1:8" s="620" customFormat="1" x14ac:dyDescent="0.25">
      <c r="A95" s="620" t="s">
        <v>7111</v>
      </c>
      <c r="B95" s="793" t="s">
        <v>6930</v>
      </c>
      <c r="C95" s="809" t="s">
        <v>7112</v>
      </c>
      <c r="D95" s="801">
        <f>SUM(D93:D94)</f>
        <v>0</v>
      </c>
      <c r="E95" s="801">
        <f ca="1">SUM(E93:E94)</f>
        <v>0</v>
      </c>
      <c r="G95" s="792"/>
      <c r="H95" s="792"/>
    </row>
    <row r="96" spans="1:8" s="620" customFormat="1" x14ac:dyDescent="0.25">
      <c r="A96" s="620" t="s">
        <v>7113</v>
      </c>
      <c r="B96" s="793" t="s">
        <v>6959</v>
      </c>
      <c r="C96" s="809" t="s">
        <v>7114</v>
      </c>
      <c r="D96" s="794">
        <f>IF(ISERROR(VLOOKUP($A96,ESTR_REND_PREC!$A$1:$M$6000,2,FALSE))=TRUE,0,VLOOKUP($A96,ESTR_REND_PREC!$A$1:$M$6000,2,FALSE))</f>
        <v>0</v>
      </c>
      <c r="E96" s="801">
        <f ca="1">+SUM(F28:F35)</f>
        <v>0</v>
      </c>
      <c r="G96" s="792"/>
      <c r="H96" s="792"/>
    </row>
    <row r="97" spans="1:8" s="620" customFormat="1" x14ac:dyDescent="0.25">
      <c r="A97" s="620" t="s">
        <v>7115</v>
      </c>
      <c r="B97" s="804" t="s">
        <v>7116</v>
      </c>
      <c r="C97" s="804"/>
      <c r="D97" s="805">
        <f>+D96+D95+D92+D89+D79+D69+D63</f>
        <v>-3923527</v>
      </c>
      <c r="E97" s="805">
        <f ca="1">+E96+E95+E92+E89+E79+E69+E63</f>
        <v>-4232756</v>
      </c>
      <c r="G97" s="792"/>
      <c r="H97" s="792"/>
    </row>
    <row r="98" spans="1:8" s="620" customFormat="1" ht="24.75" customHeight="1" x14ac:dyDescent="0.25">
      <c r="A98" s="620" t="s">
        <v>7117</v>
      </c>
      <c r="B98" s="789" t="s">
        <v>7118</v>
      </c>
      <c r="C98" s="790"/>
      <c r="D98" s="791"/>
      <c r="E98" s="791"/>
      <c r="G98" s="792"/>
      <c r="H98" s="792"/>
    </row>
    <row r="99" spans="1:8" s="620" customFormat="1" x14ac:dyDescent="0.25">
      <c r="A99" s="620" t="s">
        <v>7119</v>
      </c>
      <c r="B99" s="797" t="s">
        <v>6977</v>
      </c>
      <c r="C99" s="797" t="s">
        <v>7120</v>
      </c>
      <c r="D99" s="794">
        <f>IF(ISERROR(VLOOKUP($A99,ESTR_REND_PREC!$A$1:$M$6000,2,FALSE))=TRUE,0,VLOOKUP($A99,ESTR_REND_PREC!$A$1:$M$6000,2,FALSE))</f>
        <v>0</v>
      </c>
      <c r="E99" s="799">
        <f ca="1">+Rend_Finanz_Input!J72-Rend_Finanz_Input!I72</f>
        <v>-13598000</v>
      </c>
      <c r="G99" s="792"/>
      <c r="H99" s="792"/>
    </row>
    <row r="100" spans="1:8" s="620" customFormat="1" x14ac:dyDescent="0.25">
      <c r="A100" s="620" t="s">
        <v>7121</v>
      </c>
      <c r="B100" s="797" t="s">
        <v>6977</v>
      </c>
      <c r="C100" s="797" t="s">
        <v>7122</v>
      </c>
      <c r="D100" s="794">
        <f>IF(ISERROR(VLOOKUP($A100,ESTR_REND_PREC!$A$1:$M$6000,2,FALSE))=TRUE,0,VLOOKUP($A100,ESTR_REND_PREC!$A$1:$M$6000,2,FALSE))</f>
        <v>-458859</v>
      </c>
      <c r="E100" s="799">
        <f ca="1">+Rend_Finanz_Input!J73-Rend_Finanz_Input!I73</f>
        <v>-375568</v>
      </c>
      <c r="G100" s="792"/>
      <c r="H100" s="792"/>
    </row>
    <row r="101" spans="1:8" s="620" customFormat="1" x14ac:dyDescent="0.25">
      <c r="A101" s="620" t="s">
        <v>7123</v>
      </c>
      <c r="B101" s="797" t="s">
        <v>6977</v>
      </c>
      <c r="C101" s="797" t="s">
        <v>7124</v>
      </c>
      <c r="D101" s="794">
        <f>IF(ISERROR(VLOOKUP($A101,ESTR_REND_PREC!$A$1:$M$6000,2,FALSE))=TRUE,0,VLOOKUP($A101,ESTR_REND_PREC!$A$1:$M$6000,2,FALSE))</f>
        <v>0</v>
      </c>
      <c r="E101" s="799">
        <f ca="1">+Rend_Finanz_Input!J74-Rend_Finanz_Input!I74</f>
        <v>0</v>
      </c>
      <c r="G101" s="792"/>
      <c r="H101" s="792"/>
    </row>
    <row r="102" spans="1:8" s="620" customFormat="1" x14ac:dyDescent="0.25">
      <c r="A102" s="620" t="s">
        <v>7125</v>
      </c>
      <c r="B102" s="797" t="s">
        <v>6977</v>
      </c>
      <c r="C102" s="797" t="s">
        <v>7126</v>
      </c>
      <c r="D102" s="794">
        <f>IF(ISERROR(VLOOKUP($A102,ESTR_REND_PREC!$A$1:$M$6000,2,FALSE))=TRUE,0,VLOOKUP($A102,ESTR_REND_PREC!$A$1:$M$6000,2,FALSE))</f>
        <v>0</v>
      </c>
      <c r="E102" s="799">
        <f ca="1">+Rend_Finanz_Input!J75-Rend_Finanz_Input!I75</f>
        <v>0</v>
      </c>
      <c r="G102" s="792"/>
      <c r="H102" s="792"/>
    </row>
    <row r="103" spans="1:8" s="620" customFormat="1" x14ac:dyDescent="0.25">
      <c r="A103" s="620" t="s">
        <v>7127</v>
      </c>
      <c r="B103" s="797" t="s">
        <v>6977</v>
      </c>
      <c r="C103" s="797" t="s">
        <v>7128</v>
      </c>
      <c r="D103" s="794">
        <f>IF(ISERROR(VLOOKUP($A103,ESTR_REND_PREC!$A$1:$M$6000,2,FALSE))=TRUE,0,VLOOKUP($A103,ESTR_REND_PREC!$A$1:$M$6000,2,FALSE))</f>
        <v>0</v>
      </c>
      <c r="E103" s="799">
        <f ca="1">+Rend_Finanz_Input!J76-Rend_Finanz_Input!I76</f>
        <v>0</v>
      </c>
      <c r="G103" s="792"/>
      <c r="H103" s="792"/>
    </row>
    <row r="104" spans="1:8" s="620" customFormat="1" x14ac:dyDescent="0.25">
      <c r="A104" s="620" t="s">
        <v>7129</v>
      </c>
      <c r="B104" s="793" t="s">
        <v>6930</v>
      </c>
      <c r="C104" s="793" t="s">
        <v>7130</v>
      </c>
      <c r="D104" s="801">
        <f ca="1">+Rend_Finanz_Input!I88-Rend_Finanz_Input!H88</f>
        <v>0</v>
      </c>
      <c r="E104" s="801">
        <f ca="1">+Rend_Finanz_Input!J88-Rend_Finanz_Input!I88</f>
        <v>0</v>
      </c>
      <c r="G104" s="792"/>
      <c r="H104" s="792"/>
    </row>
    <row r="105" spans="1:8" s="620" customFormat="1" x14ac:dyDescent="0.25">
      <c r="A105" s="620" t="s">
        <v>7131</v>
      </c>
      <c r="B105" s="797" t="s">
        <v>6930</v>
      </c>
      <c r="C105" s="797" t="s">
        <v>7132</v>
      </c>
      <c r="D105" s="794">
        <f>IF(ISERROR(VLOOKUP($A105,ESTR_REND_PREC!$A$1:$M$6000,2,FALSE))=TRUE,0,VLOOKUP($A105,ESTR_REND_PREC!$A$1:$M$6000,2,FALSE))</f>
        <v>2774826</v>
      </c>
      <c r="E105" s="799">
        <f ca="1">+Rend_Finanz_Input!J90+Rend_Finanz_Input!J91+Rend_Finanz_Input!J92+Rend_Finanz_Input!J93+Rend_Finanz_Input!J94</f>
        <v>15628252</v>
      </c>
      <c r="G105" s="792"/>
      <c r="H105" s="792"/>
    </row>
    <row r="106" spans="1:8" s="620" customFormat="1" x14ac:dyDescent="0.25">
      <c r="A106" s="620" t="s">
        <v>7133</v>
      </c>
      <c r="B106" s="797" t="s">
        <v>6977</v>
      </c>
      <c r="C106" s="797" t="s">
        <v>7134</v>
      </c>
      <c r="D106" s="794">
        <f>IF(ISERROR(VLOOKUP($A106,ESTR_REND_PREC!$A$1:$M$6000,2,FALSE))=TRUE,0,VLOOKUP($A106,ESTR_REND_PREC!$A$1:$M$6000,2,FALSE))</f>
        <v>0</v>
      </c>
      <c r="E106" s="799">
        <f ca="1">+Rend_Finanz_Input!J95+Rend_Finanz_Input!J96+Rend_Finanz_Input!J97+Rend_Finanz_Input!J98-Rend_Finanz_Input!I98-Rend_Finanz_Input!I97+Rend_Finanz_Input!J99-Rend_Finanz_Input!I99</f>
        <v>786052</v>
      </c>
      <c r="G106" s="792"/>
      <c r="H106" s="792"/>
    </row>
    <row r="107" spans="1:8" s="620" customFormat="1" x14ac:dyDescent="0.25">
      <c r="A107" s="620" t="s">
        <v>7135</v>
      </c>
      <c r="B107" s="793" t="s">
        <v>6977</v>
      </c>
      <c r="C107" s="809" t="s">
        <v>7136</v>
      </c>
      <c r="D107" s="810">
        <f ca="1">SUM(D104:D106)</f>
        <v>2774826</v>
      </c>
      <c r="E107" s="810">
        <f ca="1">SUM(E104:E106)</f>
        <v>16414304</v>
      </c>
      <c r="G107" s="792"/>
      <c r="H107" s="792"/>
    </row>
    <row r="108" spans="1:8" s="620" customFormat="1" x14ac:dyDescent="0.25">
      <c r="A108" s="620" t="s">
        <v>7137</v>
      </c>
      <c r="B108" s="811" t="s">
        <v>6977</v>
      </c>
      <c r="C108" s="812" t="s">
        <v>7138</v>
      </c>
      <c r="D108" s="794">
        <f>IF(ISERROR(VLOOKUP($A108,ESTR_REND_PREC!$A$1:$M$6000,2,FALSE))=TRUE,0,VLOOKUP($A108,ESTR_REND_PREC!$A$1:$M$6000,2,FALSE))</f>
        <v>0</v>
      </c>
      <c r="E108" s="799"/>
      <c r="G108" s="792"/>
      <c r="H108" s="792"/>
    </row>
    <row r="109" spans="1:8" s="620" customFormat="1" x14ac:dyDescent="0.25">
      <c r="A109" s="620" t="s">
        <v>7139</v>
      </c>
      <c r="B109" s="797" t="s">
        <v>6930</v>
      </c>
      <c r="C109" s="813" t="s">
        <v>7140</v>
      </c>
      <c r="D109" s="794">
        <f>IF(ISERROR(VLOOKUP($A109,ESTR_REND_PREC!$A$1:$M$6000,2,FALSE))=TRUE,0,VLOOKUP($A109,ESTR_REND_PREC!$A$1:$M$6000,2,FALSE))</f>
        <v>-425866</v>
      </c>
      <c r="E109" s="799">
        <f ca="1">+Rend_Finanz_Input!J130</f>
        <v>-434441</v>
      </c>
      <c r="G109" s="792"/>
      <c r="H109" s="792"/>
    </row>
    <row r="110" spans="1:8" s="620" customFormat="1" x14ac:dyDescent="0.25">
      <c r="A110" s="620" t="s">
        <v>7141</v>
      </c>
      <c r="B110" s="797" t="s">
        <v>6942</v>
      </c>
      <c r="C110" s="797" t="s">
        <v>7142</v>
      </c>
      <c r="D110" s="794">
        <f>IF(ISERROR(VLOOKUP($A110,ESTR_REND_PREC!$A$1:$M$6000,2,FALSE))=TRUE,0,VLOOKUP($A110,ESTR_REND_PREC!$A$1:$M$6000,2,FALSE))</f>
        <v>0</v>
      </c>
      <c r="E110" s="799">
        <f ca="1">+Rend_Finanz_Input!I130</f>
        <v>0</v>
      </c>
      <c r="G110" s="792"/>
      <c r="H110" s="792"/>
    </row>
    <row r="111" spans="1:8" s="620" customFormat="1" x14ac:dyDescent="0.25">
      <c r="A111" s="620" t="s">
        <v>7143</v>
      </c>
      <c r="B111" s="804" t="s">
        <v>7144</v>
      </c>
      <c r="C111" s="804"/>
      <c r="D111" s="805">
        <f ca="1">+SUM(D99:D103)+D104+D107+D109+D110</f>
        <v>1890101</v>
      </c>
      <c r="E111" s="805">
        <f ca="1">+SUM(E99:E103)+E104+E107+E109+E110</f>
        <v>2006295</v>
      </c>
      <c r="G111" s="792"/>
      <c r="H111" s="792"/>
    </row>
    <row r="112" spans="1:8" s="620" customFormat="1" ht="24.75" customHeight="1" x14ac:dyDescent="0.25">
      <c r="A112" s="620" t="s">
        <v>7145</v>
      </c>
      <c r="B112" s="789" t="s">
        <v>7146</v>
      </c>
      <c r="C112" s="790"/>
      <c r="D112" s="791">
        <f ca="1">+D111+D97+D56</f>
        <v>5685561</v>
      </c>
      <c r="E112" s="791">
        <f ca="1">+E111+E97+E56</f>
        <v>-6182680</v>
      </c>
      <c r="G112" s="792"/>
      <c r="H112" s="792"/>
    </row>
    <row r="113" spans="1:8" s="620" customFormat="1" x14ac:dyDescent="0.25">
      <c r="A113" s="620" t="s">
        <v>7147</v>
      </c>
      <c r="B113" s="809" t="s">
        <v>7148</v>
      </c>
      <c r="C113" s="814"/>
      <c r="D113" s="794">
        <f>IF(ISERROR(VLOOKUP($A113,ESTR_REND_PREC!$A$1:$M$6000,2,FALSE))=TRUE,0,VLOOKUP($A113,ESTR_REND_PREC!$A$1:$M$6000,2,FALSE))</f>
        <v>5685561</v>
      </c>
      <c r="E113" s="795">
        <f>'NI-Tot_SP'!P736-'NI-Tot_SP'!P1018</f>
        <v>-6182680</v>
      </c>
      <c r="G113" s="792"/>
      <c r="H113" s="792"/>
    </row>
    <row r="114" spans="1:8" s="620" customFormat="1" x14ac:dyDescent="0.25">
      <c r="A114" s="620" t="s">
        <v>7149</v>
      </c>
      <c r="B114" s="939" t="s">
        <v>7150</v>
      </c>
      <c r="C114" s="939"/>
      <c r="D114" s="794">
        <f>IF(ISERROR(VLOOKUP($A114,ESTR_REND_PREC!$A$1:$M$6000,2,FALSE))=TRUE,0,VLOOKUP($A114,ESTR_REND_PREC!$A$1:$M$6000,2,FALSE))</f>
        <v>0</v>
      </c>
      <c r="E114" s="799">
        <f ca="1">+E112-E113</f>
        <v>0</v>
      </c>
      <c r="F114" s="815" t="s">
        <v>7151</v>
      </c>
      <c r="G114" s="792"/>
      <c r="H114" s="792"/>
    </row>
    <row r="115" spans="1:8" x14ac:dyDescent="0.25">
      <c r="H115" s="787"/>
    </row>
    <row r="116" spans="1:8" x14ac:dyDescent="0.25">
      <c r="H116" s="787"/>
    </row>
    <row r="117" spans="1:8" x14ac:dyDescent="0.25">
      <c r="H117" s="787"/>
    </row>
    <row r="118" spans="1:8" x14ac:dyDescent="0.25">
      <c r="H118" s="787"/>
    </row>
    <row r="119" spans="1:8" x14ac:dyDescent="0.25">
      <c r="H119" s="787"/>
    </row>
    <row r="120" spans="1:8" x14ac:dyDescent="0.25">
      <c r="H120" s="787"/>
    </row>
    <row r="121" spans="1:8" x14ac:dyDescent="0.25">
      <c r="H121" s="787"/>
    </row>
    <row r="122" spans="1:8" x14ac:dyDescent="0.25">
      <c r="H122" s="787"/>
    </row>
    <row r="123" spans="1:8" x14ac:dyDescent="0.25">
      <c r="H123" s="787"/>
    </row>
    <row r="124" spans="1:8" x14ac:dyDescent="0.25">
      <c r="H124" s="787"/>
    </row>
  </sheetData>
  <sheetProtection password="A01C" sheet="1"/>
  <mergeCells count="2">
    <mergeCell ref="B4:C4"/>
    <mergeCell ref="B114:C114"/>
  </mergeCells>
  <conditionalFormatting sqref="B114:C114">
    <cfRule type="expression" dxfId="1" priority="1" stopIfTrue="1">
      <formula>$E$114&lt;&gt;0</formula>
    </cfRule>
  </conditionalFormatting>
  <conditionalFormatting sqref="F114">
    <cfRule type="expression" dxfId="0" priority="2" stopIfTrue="1">
      <formula>$E$114&lt;&gt;0</formula>
    </cfRule>
  </conditionalFormatting>
  <pageMargins left="0.75" right="0.75" top="1" bottom="1" header="0.51180555555555551" footer="0.51180555555555551"/>
  <pageSetup paperSize="9" firstPageNumber="0" fitToHeight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30"/>
  <sheetViews>
    <sheetView showGridLines="0" topLeftCell="A10" zoomScale="110" zoomScaleNormal="110" zoomScaleSheetLayoutView="80" workbookViewId="0">
      <selection activeCell="M22" sqref="M22"/>
    </sheetView>
  </sheetViews>
  <sheetFormatPr defaultColWidth="3.28515625" defaultRowHeight="15" x14ac:dyDescent="0.25"/>
  <cols>
    <col min="1" max="1" width="9.140625" style="816" customWidth="1"/>
    <col min="2" max="2" width="10.140625" style="816" customWidth="1"/>
    <col min="3" max="3" width="1" style="816" customWidth="1"/>
    <col min="4" max="6" width="3.28515625" style="816"/>
    <col min="7" max="7" width="3" style="816" customWidth="1"/>
    <col min="8" max="8" width="17.85546875" style="816" customWidth="1"/>
    <col min="9" max="9" width="1.85546875" style="816" customWidth="1"/>
    <col min="10" max="12" width="3.28515625" style="816"/>
    <col min="13" max="13" width="2.85546875" style="816" customWidth="1"/>
    <col min="14" max="14" width="1.85546875" style="816" customWidth="1"/>
    <col min="15" max="15" width="19.7109375" style="816" customWidth="1"/>
    <col min="16" max="16" width="1.85546875" style="816" customWidth="1"/>
    <col min="17" max="19" width="3" style="816" customWidth="1"/>
    <col min="20" max="20" width="4.42578125" style="816" customWidth="1"/>
    <col min="21" max="22" width="3" style="816" customWidth="1"/>
    <col min="23" max="27" width="3.28515625" style="816"/>
    <col min="28" max="28" width="5.28515625" style="816" customWidth="1"/>
    <col min="29" max="32" width="3.28515625" style="816"/>
    <col min="33" max="33" width="4.140625" style="816" customWidth="1"/>
    <col min="34" max="34" width="20.28515625" style="817" customWidth="1"/>
    <col min="35" max="35" width="16.7109375" style="816" hidden="1" customWidth="1"/>
    <col min="36" max="36" width="24.42578125" style="816" hidden="1" customWidth="1"/>
    <col min="37" max="37" width="22.5703125" style="816" hidden="1" customWidth="1"/>
    <col min="38" max="40" width="9.140625" style="816" hidden="1" customWidth="1"/>
    <col min="41" max="211" width="9.140625" style="816" customWidth="1"/>
    <col min="212" max="212" width="10.140625" style="816" customWidth="1"/>
    <col min="213" max="213" width="1" style="816" customWidth="1"/>
    <col min="214" max="216" width="3.28515625" style="816"/>
    <col min="217" max="217" width="1.85546875" style="816" customWidth="1"/>
    <col min="218" max="218" width="17.85546875" style="816" customWidth="1"/>
    <col min="219" max="219" width="1.85546875" style="816" customWidth="1"/>
    <col min="220" max="222" width="3.28515625" style="816"/>
    <col min="223" max="223" width="2.85546875" style="816" customWidth="1"/>
    <col min="224" max="224" width="1.85546875" style="816" customWidth="1"/>
    <col min="225" max="225" width="19.7109375" style="816" customWidth="1"/>
    <col min="226" max="226" width="1.85546875" style="816" customWidth="1"/>
    <col min="227" max="229" width="3" style="816" customWidth="1"/>
    <col min="230" max="230" width="4.42578125" style="816" customWidth="1"/>
    <col min="231" max="232" width="3" style="816" customWidth="1"/>
    <col min="233" max="238" width="3.28515625" style="816"/>
    <col min="239" max="240" width="9.140625" style="816" customWidth="1"/>
    <col min="241" max="244" width="3.28515625" style="816"/>
    <col min="245" max="245" width="4.140625" style="816" customWidth="1"/>
    <col min="246" max="246" width="1.7109375" style="816" customWidth="1"/>
    <col min="247" max="16384" width="3.28515625" style="816"/>
  </cols>
  <sheetData>
    <row r="1" spans="1:34" x14ac:dyDescent="0.25">
      <c r="A1" s="818"/>
      <c r="B1" s="818" t="s">
        <v>7152</v>
      </c>
      <c r="C1" s="818"/>
      <c r="D1" s="818"/>
      <c r="E1" s="818"/>
      <c r="F1" s="818"/>
      <c r="AD1" s="993" t="s">
        <v>7153</v>
      </c>
      <c r="AE1" s="993"/>
      <c r="AF1" s="993"/>
      <c r="AG1" s="993"/>
      <c r="AH1" s="816"/>
    </row>
    <row r="2" spans="1:34" ht="9" customHeight="1" x14ac:dyDescent="0.25">
      <c r="AD2" s="993"/>
      <c r="AE2" s="993"/>
      <c r="AF2" s="993"/>
      <c r="AG2" s="993"/>
      <c r="AH2" s="816"/>
    </row>
    <row r="3" spans="1:34" ht="15" customHeight="1" x14ac:dyDescent="0.25">
      <c r="B3" s="819" t="s">
        <v>7154</v>
      </c>
      <c r="AH3" s="816"/>
    </row>
    <row r="4" spans="1:34" ht="15" customHeight="1" x14ac:dyDescent="0.25">
      <c r="B4" s="819" t="s">
        <v>7155</v>
      </c>
      <c r="AH4" s="816"/>
    </row>
    <row r="5" spans="1:34" ht="15" customHeight="1" x14ac:dyDescent="0.25"/>
    <row r="6" spans="1:34" s="819" customFormat="1" ht="76.5" customHeight="1" x14ac:dyDescent="0.25">
      <c r="B6" s="994" t="s">
        <v>7156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4"/>
      <c r="O6" s="994"/>
      <c r="P6" s="994"/>
      <c r="Q6" s="994"/>
      <c r="R6" s="994"/>
      <c r="S6" s="994"/>
      <c r="T6" s="994"/>
      <c r="U6" s="994"/>
      <c r="V6" s="994"/>
      <c r="W6" s="994"/>
      <c r="X6" s="994"/>
      <c r="Y6" s="994"/>
      <c r="Z6" s="994"/>
      <c r="AA6" s="994"/>
      <c r="AB6" s="994"/>
      <c r="AC6" s="994"/>
      <c r="AD6" s="994"/>
      <c r="AE6" s="994"/>
      <c r="AF6" s="994"/>
      <c r="AG6" s="994"/>
      <c r="AH6" s="820"/>
    </row>
    <row r="7" spans="1:34" s="819" customFormat="1" ht="15" customHeight="1" x14ac:dyDescent="0.25">
      <c r="A7" s="821"/>
      <c r="B7" s="822"/>
      <c r="C7" s="822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822"/>
      <c r="AB7" s="822"/>
      <c r="AC7" s="822"/>
      <c r="AD7" s="822"/>
      <c r="AE7" s="822"/>
      <c r="AF7" s="822"/>
      <c r="AG7" s="822"/>
      <c r="AH7" s="820"/>
    </row>
    <row r="8" spans="1:34" s="819" customFormat="1" ht="23.25" customHeight="1" x14ac:dyDescent="0.25">
      <c r="A8" s="823"/>
      <c r="B8" s="995" t="s">
        <v>7157</v>
      </c>
      <c r="C8" s="995"/>
      <c r="D8" s="995"/>
      <c r="E8" s="995"/>
      <c r="F8" s="995"/>
      <c r="G8" s="995"/>
      <c r="H8" s="995"/>
      <c r="I8" s="995"/>
      <c r="J8" s="995"/>
      <c r="K8" s="995"/>
      <c r="L8" s="995"/>
      <c r="M8" s="995"/>
      <c r="N8" s="995"/>
      <c r="O8" s="822"/>
      <c r="P8" s="995" t="s">
        <v>7158</v>
      </c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5"/>
      <c r="AB8" s="995"/>
      <c r="AC8" s="995"/>
      <c r="AD8" s="995"/>
      <c r="AE8" s="995"/>
      <c r="AF8" s="995"/>
      <c r="AG8" s="995"/>
      <c r="AH8" s="820"/>
    </row>
    <row r="9" spans="1:34" s="819" customFormat="1" ht="15" customHeight="1" x14ac:dyDescent="0.25">
      <c r="A9" s="824"/>
      <c r="B9" s="825"/>
      <c r="C9" s="826"/>
      <c r="D9" s="826"/>
      <c r="E9" s="826"/>
      <c r="F9" s="826"/>
      <c r="G9" s="826"/>
      <c r="H9" s="826"/>
      <c r="I9" s="826"/>
      <c r="J9" s="826"/>
      <c r="K9" s="826"/>
      <c r="L9" s="826"/>
      <c r="M9" s="826"/>
      <c r="N9" s="827"/>
      <c r="O9" s="822"/>
      <c r="P9" s="825"/>
      <c r="Q9" s="826"/>
      <c r="R9" s="826"/>
      <c r="S9" s="826"/>
      <c r="T9" s="826"/>
      <c r="U9" s="826"/>
      <c r="V9" s="826"/>
      <c r="W9" s="826"/>
      <c r="X9" s="826"/>
      <c r="Y9" s="826"/>
      <c r="Z9" s="826"/>
      <c r="AA9" s="826"/>
      <c r="AB9" s="826"/>
      <c r="AC9" s="826"/>
      <c r="AD9" s="826"/>
      <c r="AE9" s="826"/>
      <c r="AF9" s="826"/>
      <c r="AG9" s="827"/>
      <c r="AH9" s="820"/>
    </row>
    <row r="10" spans="1:34" s="819" customFormat="1" ht="15" customHeight="1" x14ac:dyDescent="0.25">
      <c r="A10" s="828"/>
      <c r="B10" s="829" t="s">
        <v>7159</v>
      </c>
      <c r="C10" s="830"/>
      <c r="D10" s="831"/>
      <c r="E10" s="831"/>
      <c r="F10" s="831"/>
      <c r="G10" s="821"/>
      <c r="H10" s="821" t="s">
        <v>7160</v>
      </c>
      <c r="I10" s="821"/>
      <c r="J10" s="831"/>
      <c r="K10" s="831"/>
      <c r="L10" s="831"/>
      <c r="M10" s="831"/>
      <c r="N10" s="832"/>
      <c r="O10" s="822"/>
      <c r="P10" s="833" t="s">
        <v>7161</v>
      </c>
      <c r="Q10" s="834"/>
      <c r="R10" s="834"/>
      <c r="S10" s="834"/>
      <c r="T10" s="834"/>
      <c r="U10" s="835"/>
      <c r="V10" s="835"/>
      <c r="W10" s="836"/>
      <c r="X10" s="836"/>
      <c r="Y10" s="836"/>
      <c r="Z10" s="836"/>
      <c r="AA10" s="835"/>
      <c r="AB10" s="835"/>
      <c r="AC10" s="835"/>
      <c r="AD10" s="835"/>
      <c r="AE10" s="835"/>
      <c r="AF10" s="835"/>
      <c r="AG10" s="837"/>
      <c r="AH10" s="820"/>
    </row>
    <row r="11" spans="1:34" s="819" customFormat="1" ht="9.9499999999999993" customHeight="1" x14ac:dyDescent="0.25">
      <c r="A11" s="824"/>
      <c r="B11" s="838"/>
      <c r="C11" s="821"/>
      <c r="D11" s="821"/>
      <c r="E11" s="821"/>
      <c r="F11" s="821"/>
      <c r="G11" s="821"/>
      <c r="H11" s="821"/>
      <c r="I11" s="821"/>
      <c r="J11" s="821"/>
      <c r="K11" s="821"/>
      <c r="L11" s="821"/>
      <c r="M11" s="821"/>
      <c r="N11" s="832"/>
      <c r="O11" s="822"/>
      <c r="P11" s="838"/>
      <c r="Q11" s="821"/>
      <c r="R11" s="821"/>
      <c r="S11" s="821"/>
      <c r="T11" s="821"/>
      <c r="U11" s="821"/>
      <c r="V11" s="821"/>
      <c r="W11" s="821"/>
      <c r="X11" s="821"/>
      <c r="Y11" s="821"/>
      <c r="Z11" s="821"/>
      <c r="AA11" s="821"/>
      <c r="AB11" s="821"/>
      <c r="AC11" s="821"/>
      <c r="AD11" s="821"/>
      <c r="AE11" s="821"/>
      <c r="AF11" s="821"/>
      <c r="AG11" s="832"/>
      <c r="AH11" s="820"/>
    </row>
    <row r="12" spans="1:34" s="819" customFormat="1" ht="15" customHeight="1" x14ac:dyDescent="0.25">
      <c r="A12" s="824"/>
      <c r="B12" s="838"/>
      <c r="C12" s="821"/>
      <c r="D12" s="821"/>
      <c r="E12" s="821"/>
      <c r="F12" s="821"/>
      <c r="G12" s="821"/>
      <c r="H12" s="821"/>
      <c r="I12" s="821"/>
      <c r="J12" s="821"/>
      <c r="K12" s="821"/>
      <c r="L12" s="821"/>
      <c r="M12" s="821"/>
      <c r="N12" s="832"/>
      <c r="O12" s="822"/>
      <c r="P12" s="996" t="s">
        <v>7162</v>
      </c>
      <c r="Q12" s="996"/>
      <c r="R12" s="996"/>
      <c r="S12" s="996"/>
      <c r="T12" s="996"/>
      <c r="U12" s="996"/>
      <c r="V12" s="821">
        <v>1</v>
      </c>
      <c r="W12" s="831"/>
      <c r="X12" s="821"/>
      <c r="Y12" s="821">
        <v>2</v>
      </c>
      <c r="Z12" s="831"/>
      <c r="AA12" s="821"/>
      <c r="AB12" s="821">
        <v>3</v>
      </c>
      <c r="AC12" s="831"/>
      <c r="AD12" s="821"/>
      <c r="AE12" s="821">
        <v>4</v>
      </c>
      <c r="AF12" s="831"/>
      <c r="AG12" s="832"/>
      <c r="AH12" s="820"/>
    </row>
    <row r="13" spans="1:34" s="819" customFormat="1" ht="9.9499999999999993" customHeight="1" x14ac:dyDescent="0.25">
      <c r="A13" s="824"/>
      <c r="B13" s="838"/>
      <c r="C13" s="821"/>
      <c r="D13" s="821"/>
      <c r="E13" s="821"/>
      <c r="F13" s="821"/>
      <c r="G13" s="821"/>
      <c r="H13" s="821"/>
      <c r="I13" s="821"/>
      <c r="J13" s="821"/>
      <c r="K13" s="821"/>
      <c r="L13" s="821"/>
      <c r="M13" s="821"/>
      <c r="N13" s="832"/>
      <c r="O13" s="822"/>
      <c r="P13" s="838"/>
      <c r="Q13" s="821"/>
      <c r="R13" s="821"/>
      <c r="S13" s="821"/>
      <c r="T13" s="821"/>
      <c r="U13" s="821"/>
      <c r="V13" s="821"/>
      <c r="W13" s="821"/>
      <c r="X13" s="821"/>
      <c r="Y13" s="821"/>
      <c r="Z13" s="821"/>
      <c r="AA13" s="821"/>
      <c r="AB13" s="821"/>
      <c r="AC13" s="821"/>
      <c r="AD13" s="821"/>
      <c r="AE13" s="821"/>
      <c r="AF13" s="821"/>
      <c r="AG13" s="832"/>
      <c r="AH13" s="820"/>
    </row>
    <row r="14" spans="1:34" s="819" customFormat="1" ht="15" customHeight="1" x14ac:dyDescent="0.25">
      <c r="A14" s="824"/>
      <c r="B14" s="838"/>
      <c r="C14" s="821"/>
      <c r="D14" s="821"/>
      <c r="E14" s="821"/>
      <c r="F14" s="821"/>
      <c r="G14" s="821"/>
      <c r="H14" s="821"/>
      <c r="I14" s="821"/>
      <c r="J14" s="821"/>
      <c r="K14" s="821"/>
      <c r="L14" s="821"/>
      <c r="M14" s="821"/>
      <c r="N14" s="832"/>
      <c r="O14" s="822"/>
      <c r="P14" s="996" t="s">
        <v>7163</v>
      </c>
      <c r="Q14" s="996"/>
      <c r="R14" s="996"/>
      <c r="S14" s="996"/>
      <c r="T14" s="996"/>
      <c r="U14" s="996"/>
      <c r="V14" s="821"/>
      <c r="W14" s="831"/>
      <c r="X14" s="821"/>
      <c r="Y14" s="821"/>
      <c r="Z14" s="997" t="s">
        <v>7164</v>
      </c>
      <c r="AA14" s="997"/>
      <c r="AB14" s="997"/>
      <c r="AC14" s="997"/>
      <c r="AD14" s="997"/>
      <c r="AE14" s="997"/>
      <c r="AF14" s="831"/>
      <c r="AG14" s="832"/>
      <c r="AH14" s="820"/>
    </row>
    <row r="15" spans="1:34" s="819" customFormat="1" ht="15" customHeight="1" x14ac:dyDescent="0.25">
      <c r="A15" s="824"/>
      <c r="B15" s="839"/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1"/>
      <c r="O15" s="822"/>
      <c r="P15" s="839"/>
      <c r="Q15" s="840"/>
      <c r="R15" s="840"/>
      <c r="S15" s="840"/>
      <c r="T15" s="840"/>
      <c r="U15" s="840"/>
      <c r="V15" s="840"/>
      <c r="W15" s="840"/>
      <c r="X15" s="840"/>
      <c r="Y15" s="840"/>
      <c r="Z15" s="840"/>
      <c r="AA15" s="840"/>
      <c r="AB15" s="840"/>
      <c r="AC15" s="840"/>
      <c r="AD15" s="840"/>
      <c r="AE15" s="840"/>
      <c r="AF15" s="840"/>
      <c r="AG15" s="841"/>
      <c r="AH15" s="820"/>
    </row>
    <row r="16" spans="1:34" s="819" customFormat="1" ht="7.5" customHeight="1" x14ac:dyDescent="0.25">
      <c r="A16" s="821"/>
      <c r="B16" s="989"/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  <c r="AC16" s="989"/>
      <c r="AD16" s="989"/>
      <c r="AE16" s="989"/>
      <c r="AF16" s="989"/>
      <c r="AG16" s="989"/>
      <c r="AH16" s="820"/>
    </row>
    <row r="17" spans="1:38" s="819" customFormat="1" ht="7.5" customHeight="1" x14ac:dyDescent="0.25">
      <c r="A17" s="821"/>
      <c r="B17" s="821"/>
      <c r="C17" s="821"/>
      <c r="D17" s="821"/>
      <c r="E17" s="821"/>
      <c r="F17" s="821"/>
      <c r="G17" s="821"/>
      <c r="H17" s="821"/>
      <c r="I17" s="821"/>
      <c r="J17" s="821"/>
      <c r="K17" s="821"/>
      <c r="L17" s="821"/>
      <c r="M17" s="821"/>
      <c r="N17" s="821"/>
      <c r="O17" s="821"/>
      <c r="P17" s="821"/>
      <c r="Q17" s="821"/>
      <c r="R17" s="821"/>
      <c r="S17" s="821"/>
      <c r="T17" s="821"/>
      <c r="U17" s="821"/>
      <c r="V17" s="821"/>
      <c r="W17" s="821"/>
      <c r="X17" s="821"/>
      <c r="Y17" s="821"/>
      <c r="Z17" s="821"/>
      <c r="AA17" s="821"/>
      <c r="AB17" s="821"/>
      <c r="AC17" s="821"/>
      <c r="AD17" s="821"/>
      <c r="AE17" s="821"/>
      <c r="AF17" s="821"/>
      <c r="AG17" s="821"/>
      <c r="AH17" s="820"/>
    </row>
    <row r="18" spans="1:38" s="819" customFormat="1" ht="7.5" customHeight="1" x14ac:dyDescent="0.25">
      <c r="A18" s="821"/>
      <c r="B18" s="821"/>
      <c r="C18" s="821"/>
      <c r="D18" s="821"/>
      <c r="E18" s="821"/>
      <c r="F18" s="821"/>
      <c r="G18" s="821"/>
      <c r="H18" s="821"/>
      <c r="I18" s="821"/>
      <c r="J18" s="821"/>
      <c r="K18" s="821"/>
      <c r="L18" s="821"/>
      <c r="M18" s="821"/>
      <c r="N18" s="821"/>
      <c r="O18" s="821"/>
      <c r="P18" s="821"/>
      <c r="Q18" s="821"/>
      <c r="R18" s="821"/>
      <c r="S18" s="821"/>
      <c r="T18" s="821"/>
      <c r="U18" s="821"/>
      <c r="V18" s="821"/>
      <c r="W18" s="821"/>
      <c r="X18" s="821"/>
      <c r="Y18" s="821"/>
      <c r="Z18" s="821"/>
      <c r="AA18" s="821"/>
      <c r="AB18" s="821"/>
      <c r="AC18" s="821"/>
      <c r="AD18" s="821"/>
      <c r="AE18" s="821"/>
      <c r="AF18" s="821"/>
      <c r="AG18" s="821"/>
      <c r="AH18" s="820"/>
    </row>
    <row r="19" spans="1:38" s="819" customFormat="1" ht="7.5" customHeight="1" x14ac:dyDescent="0.25">
      <c r="B19" s="840"/>
      <c r="C19" s="840"/>
      <c r="D19" s="840"/>
      <c r="E19" s="840"/>
      <c r="F19" s="840"/>
      <c r="G19" s="840"/>
      <c r="H19" s="840"/>
      <c r="I19" s="840"/>
      <c r="J19" s="840"/>
      <c r="K19" s="840"/>
      <c r="L19" s="840"/>
      <c r="M19" s="840"/>
      <c r="N19" s="840"/>
      <c r="O19" s="840"/>
      <c r="P19" s="840"/>
      <c r="Q19" s="840"/>
      <c r="R19" s="840"/>
      <c r="S19" s="840"/>
      <c r="T19" s="840"/>
      <c r="U19" s="840"/>
      <c r="V19" s="840"/>
      <c r="W19" s="840"/>
      <c r="X19" s="840"/>
      <c r="Y19" s="840"/>
      <c r="Z19" s="840"/>
      <c r="AA19" s="840"/>
      <c r="AB19" s="840"/>
      <c r="AC19" s="840"/>
      <c r="AD19" s="840"/>
      <c r="AE19" s="840"/>
      <c r="AF19" s="840"/>
      <c r="AG19" s="840"/>
      <c r="AH19" s="820"/>
    </row>
    <row r="20" spans="1:38" s="819" customFormat="1" ht="23.25" customHeight="1" x14ac:dyDescent="0.25">
      <c r="B20" s="990" t="s">
        <v>7165</v>
      </c>
      <c r="C20" s="990"/>
      <c r="D20" s="990"/>
      <c r="E20" s="990"/>
      <c r="F20" s="990"/>
      <c r="G20" s="990"/>
      <c r="H20" s="990"/>
      <c r="I20" s="990"/>
      <c r="J20" s="990"/>
      <c r="K20" s="990"/>
      <c r="L20" s="990"/>
      <c r="M20" s="990"/>
      <c r="N20" s="990"/>
      <c r="O20" s="990"/>
      <c r="P20" s="990"/>
      <c r="Q20" s="990"/>
      <c r="R20" s="990"/>
      <c r="S20" s="990"/>
      <c r="T20" s="990"/>
      <c r="U20" s="990"/>
      <c r="V20" s="990"/>
      <c r="W20" s="990"/>
      <c r="X20" s="990"/>
      <c r="Y20" s="990"/>
      <c r="Z20" s="990"/>
      <c r="AA20" s="990"/>
      <c r="AB20" s="990"/>
      <c r="AC20" s="990"/>
      <c r="AD20" s="990"/>
      <c r="AE20" s="990"/>
      <c r="AF20" s="990"/>
      <c r="AG20" s="990"/>
      <c r="AH20" s="820"/>
    </row>
    <row r="21" spans="1:38" s="819" customFormat="1" ht="15" customHeight="1" x14ac:dyDescent="0.25">
      <c r="B21" s="842"/>
      <c r="C21" s="843"/>
      <c r="D21" s="843"/>
      <c r="E21" s="843"/>
      <c r="F21" s="843"/>
      <c r="G21" s="843"/>
      <c r="H21" s="843"/>
      <c r="I21" s="843"/>
      <c r="J21" s="843"/>
      <c r="K21" s="843"/>
      <c r="L21" s="843"/>
      <c r="M21" s="843"/>
      <c r="N21" s="843"/>
      <c r="O21" s="843"/>
      <c r="P21" s="843"/>
      <c r="Q21" s="843"/>
      <c r="R21" s="843"/>
      <c r="S21" s="843"/>
      <c r="T21" s="843"/>
      <c r="U21" s="843"/>
      <c r="V21" s="843"/>
      <c r="W21" s="843"/>
      <c r="X21" s="843"/>
      <c r="Y21" s="843"/>
      <c r="Z21" s="843"/>
      <c r="AA21" s="843"/>
      <c r="AB21" s="843"/>
      <c r="AC21" s="843"/>
      <c r="AD21" s="843"/>
      <c r="AE21" s="843"/>
      <c r="AF21" s="843"/>
      <c r="AG21" s="844"/>
      <c r="AH21" s="820"/>
    </row>
    <row r="22" spans="1:38" s="819" customFormat="1" ht="15" customHeight="1" x14ac:dyDescent="0.25">
      <c r="B22" s="838"/>
      <c r="C22" s="821"/>
      <c r="D22" s="821"/>
      <c r="E22" s="821"/>
      <c r="F22" s="821"/>
      <c r="G22" s="821"/>
      <c r="H22" s="821"/>
      <c r="I22" s="821"/>
      <c r="J22" s="821"/>
      <c r="K22" s="821"/>
      <c r="L22" s="845" t="s">
        <v>7166</v>
      </c>
      <c r="M22" s="831"/>
      <c r="N22" s="821"/>
      <c r="O22" s="821"/>
      <c r="P22" s="845" t="s">
        <v>7167</v>
      </c>
      <c r="Q22" s="831"/>
      <c r="R22" s="830"/>
      <c r="S22" s="821"/>
      <c r="T22" s="821"/>
      <c r="U22" s="821"/>
      <c r="V22" s="821"/>
      <c r="W22" s="821"/>
      <c r="X22" s="821"/>
      <c r="Y22" s="821"/>
      <c r="Z22" s="821"/>
      <c r="AA22" s="821"/>
      <c r="AB22" s="821"/>
      <c r="AC22" s="821"/>
      <c r="AD22" s="821"/>
      <c r="AE22" s="821"/>
      <c r="AF22" s="821"/>
      <c r="AG22" s="832"/>
      <c r="AH22" s="820"/>
    </row>
    <row r="23" spans="1:38" s="819" customFormat="1" ht="15" customHeight="1" x14ac:dyDescent="0.25">
      <c r="B23" s="839"/>
      <c r="C23" s="840"/>
      <c r="D23" s="840"/>
      <c r="E23" s="840"/>
      <c r="F23" s="840"/>
      <c r="G23" s="840"/>
      <c r="H23" s="840"/>
      <c r="I23" s="840"/>
      <c r="J23" s="840"/>
      <c r="K23" s="840"/>
      <c r="L23" s="840"/>
      <c r="M23" s="840"/>
      <c r="N23" s="840"/>
      <c r="O23" s="840"/>
      <c r="P23" s="840"/>
      <c r="Q23" s="840"/>
      <c r="R23" s="840"/>
      <c r="S23" s="840"/>
      <c r="T23" s="840"/>
      <c r="U23" s="840"/>
      <c r="V23" s="840"/>
      <c r="W23" s="840"/>
      <c r="X23" s="840"/>
      <c r="Y23" s="840"/>
      <c r="Z23" s="840"/>
      <c r="AA23" s="840"/>
      <c r="AB23" s="840"/>
      <c r="AC23" s="840"/>
      <c r="AD23" s="840"/>
      <c r="AE23" s="840"/>
      <c r="AF23" s="840"/>
      <c r="AG23" s="841"/>
      <c r="AH23" s="820"/>
    </row>
    <row r="24" spans="1:38" s="819" customFormat="1" ht="7.5" customHeight="1" x14ac:dyDescent="0.25">
      <c r="B24" s="991"/>
      <c r="C24" s="991"/>
      <c r="D24" s="991"/>
      <c r="E24" s="991"/>
      <c r="F24" s="991"/>
      <c r="G24" s="991"/>
      <c r="H24" s="991"/>
      <c r="I24" s="991"/>
      <c r="J24" s="991"/>
      <c r="K24" s="991"/>
      <c r="L24" s="991"/>
      <c r="M24" s="991"/>
      <c r="N24" s="991"/>
      <c r="O24" s="991"/>
      <c r="P24" s="991"/>
      <c r="Q24" s="991"/>
      <c r="R24" s="991"/>
      <c r="S24" s="991"/>
      <c r="T24" s="991"/>
      <c r="U24" s="991"/>
      <c r="V24" s="991"/>
      <c r="W24" s="991"/>
      <c r="X24" s="991"/>
      <c r="Y24" s="991"/>
      <c r="Z24" s="991"/>
      <c r="AA24" s="991"/>
      <c r="AB24" s="991"/>
      <c r="AC24" s="991"/>
      <c r="AD24" s="991"/>
      <c r="AE24" s="991"/>
      <c r="AF24" s="991"/>
      <c r="AG24" s="991"/>
      <c r="AH24" s="820"/>
    </row>
    <row r="25" spans="1:38" s="819" customFormat="1" ht="7.5" customHeight="1" x14ac:dyDescent="0.25">
      <c r="A25" s="821"/>
      <c r="B25" s="989"/>
      <c r="C25" s="989"/>
      <c r="D25" s="989"/>
      <c r="E25" s="989"/>
      <c r="F25" s="989"/>
      <c r="G25" s="989"/>
      <c r="H25" s="989"/>
      <c r="I25" s="989"/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  <c r="AB25" s="989"/>
      <c r="AC25" s="989"/>
      <c r="AD25" s="989"/>
      <c r="AE25" s="989"/>
      <c r="AF25" s="989"/>
      <c r="AG25" s="989"/>
      <c r="AH25" s="820"/>
    </row>
    <row r="26" spans="1:38" s="819" customFormat="1" ht="7.5" customHeight="1" x14ac:dyDescent="0.25">
      <c r="A26" s="821"/>
      <c r="B26" s="821"/>
      <c r="C26" s="821"/>
      <c r="D26" s="821"/>
      <c r="E26" s="821"/>
      <c r="F26" s="821"/>
      <c r="G26" s="821"/>
      <c r="H26" s="821"/>
      <c r="I26" s="821"/>
      <c r="J26" s="821"/>
      <c r="K26" s="821"/>
      <c r="L26" s="821"/>
      <c r="M26" s="821"/>
      <c r="N26" s="821"/>
      <c r="O26" s="821"/>
      <c r="P26" s="821"/>
      <c r="Q26" s="821"/>
      <c r="R26" s="821"/>
      <c r="S26" s="821"/>
      <c r="T26" s="821"/>
      <c r="U26" s="821"/>
      <c r="V26" s="821"/>
      <c r="W26" s="821"/>
      <c r="X26" s="821"/>
      <c r="Y26" s="821"/>
      <c r="Z26" s="821"/>
      <c r="AA26" s="821"/>
      <c r="AB26" s="821"/>
      <c r="AC26" s="821"/>
      <c r="AD26" s="821"/>
      <c r="AE26" s="821"/>
      <c r="AF26" s="821"/>
      <c r="AG26" s="821"/>
      <c r="AH26" s="820"/>
    </row>
    <row r="27" spans="1:38" s="819" customFormat="1" ht="7.5" customHeight="1" x14ac:dyDescent="0.25">
      <c r="A27" s="821"/>
      <c r="B27" s="821"/>
      <c r="C27" s="821"/>
      <c r="D27" s="821"/>
      <c r="E27" s="821"/>
      <c r="F27" s="821"/>
      <c r="G27" s="821"/>
      <c r="H27" s="821"/>
      <c r="I27" s="821"/>
      <c r="J27" s="821"/>
      <c r="K27" s="821"/>
      <c r="L27" s="821"/>
      <c r="M27" s="821"/>
      <c r="N27" s="821"/>
      <c r="O27" s="821"/>
      <c r="P27" s="821"/>
      <c r="Q27" s="821"/>
      <c r="R27" s="821"/>
      <c r="S27" s="821"/>
      <c r="T27" s="821"/>
      <c r="U27" s="821"/>
      <c r="V27" s="821"/>
      <c r="W27" s="821"/>
      <c r="X27" s="821"/>
      <c r="Y27" s="821"/>
      <c r="Z27" s="821"/>
      <c r="AA27" s="821"/>
      <c r="AB27" s="821"/>
      <c r="AC27" s="821"/>
      <c r="AD27" s="821"/>
      <c r="AE27" s="821"/>
      <c r="AF27" s="821"/>
      <c r="AG27" s="821"/>
      <c r="AH27" s="820"/>
    </row>
    <row r="28" spans="1:38" s="819" customFormat="1" ht="15" customHeight="1" x14ac:dyDescent="0.25">
      <c r="A28" s="822"/>
      <c r="B28" s="822"/>
      <c r="C28" s="822"/>
      <c r="D28" s="822"/>
      <c r="E28" s="822"/>
      <c r="F28" s="822"/>
      <c r="G28" s="992" t="s">
        <v>7168</v>
      </c>
      <c r="H28" s="992"/>
      <c r="I28" s="992"/>
      <c r="J28" s="992"/>
      <c r="K28" s="992"/>
      <c r="L28" s="992"/>
      <c r="M28" s="992"/>
      <c r="N28" s="992"/>
      <c r="O28" s="992"/>
      <c r="P28" s="992"/>
      <c r="Q28" s="992"/>
      <c r="R28" s="992"/>
      <c r="S28" s="992"/>
      <c r="T28" s="992"/>
      <c r="U28" s="992"/>
      <c r="V28" s="992"/>
      <c r="W28" s="992"/>
      <c r="X28" s="992"/>
      <c r="Y28" s="992"/>
      <c r="Z28" s="992"/>
      <c r="AA28" s="992"/>
      <c r="AB28" s="992"/>
      <c r="AC28" s="989" t="s">
        <v>7169</v>
      </c>
      <c r="AD28" s="989"/>
      <c r="AE28" s="989"/>
      <c r="AF28" s="989"/>
      <c r="AG28" s="989"/>
      <c r="AH28" s="820"/>
    </row>
    <row r="29" spans="1:38" s="819" customFormat="1" ht="7.5" customHeight="1" x14ac:dyDescent="0.25">
      <c r="A29" s="822"/>
      <c r="B29" s="822"/>
      <c r="C29" s="822"/>
      <c r="D29" s="822"/>
      <c r="E29" s="822"/>
      <c r="F29" s="822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  <c r="AB29" s="846"/>
      <c r="AC29" s="821"/>
      <c r="AD29" s="821"/>
      <c r="AE29" s="821"/>
      <c r="AF29" s="821"/>
      <c r="AG29" s="821"/>
      <c r="AH29" s="820"/>
    </row>
    <row r="30" spans="1:38" ht="35.1" customHeight="1" x14ac:dyDescent="0.25">
      <c r="A30" s="984" t="s">
        <v>7170</v>
      </c>
      <c r="B30" s="985" t="s">
        <v>7171</v>
      </c>
      <c r="C30" s="985"/>
      <c r="D30" s="985"/>
      <c r="E30" s="985"/>
      <c r="F30" s="985"/>
      <c r="G30" s="986" t="s">
        <v>84</v>
      </c>
      <c r="H30" s="986"/>
      <c r="I30" s="986"/>
      <c r="J30" s="986"/>
      <c r="K30" s="986"/>
      <c r="L30" s="986"/>
      <c r="M30" s="986"/>
      <c r="N30" s="986"/>
      <c r="O30" s="986"/>
      <c r="P30" s="986"/>
      <c r="Q30" s="986"/>
      <c r="R30" s="986"/>
      <c r="S30" s="986"/>
      <c r="T30" s="986"/>
      <c r="U30" s="986"/>
      <c r="V30" s="986"/>
      <c r="W30" s="986"/>
      <c r="X30" s="986"/>
      <c r="Y30" s="986"/>
      <c r="Z30" s="986"/>
      <c r="AA30" s="986"/>
      <c r="AB30" s="986"/>
      <c r="AC30" s="987" t="s">
        <v>7172</v>
      </c>
      <c r="AD30" s="987"/>
      <c r="AE30" s="987"/>
      <c r="AF30" s="987"/>
      <c r="AG30" s="987"/>
      <c r="AH30" s="988" t="s">
        <v>7173</v>
      </c>
    </row>
    <row r="31" spans="1:38" ht="20.100000000000001" customHeight="1" x14ac:dyDescent="0.25">
      <c r="A31" s="984"/>
      <c r="B31" s="985"/>
      <c r="C31" s="985"/>
      <c r="D31" s="985"/>
      <c r="E31" s="985"/>
      <c r="F31" s="985"/>
      <c r="G31" s="986"/>
      <c r="H31" s="986"/>
      <c r="I31" s="986"/>
      <c r="J31" s="986"/>
      <c r="K31" s="986"/>
      <c r="L31" s="986"/>
      <c r="M31" s="986"/>
      <c r="N31" s="986"/>
      <c r="O31" s="986"/>
      <c r="P31" s="986"/>
      <c r="Q31" s="986"/>
      <c r="R31" s="986"/>
      <c r="S31" s="986"/>
      <c r="T31" s="986"/>
      <c r="U31" s="986"/>
      <c r="V31" s="986"/>
      <c r="W31" s="986"/>
      <c r="X31" s="986"/>
      <c r="Y31" s="986"/>
      <c r="Z31" s="986"/>
      <c r="AA31" s="986"/>
      <c r="AB31" s="986"/>
      <c r="AC31" s="987"/>
      <c r="AD31" s="987"/>
      <c r="AE31" s="987"/>
      <c r="AF31" s="987"/>
      <c r="AG31" s="987"/>
      <c r="AH31" s="988"/>
    </row>
    <row r="32" spans="1:38" s="850" customFormat="1" ht="18" customHeight="1" x14ac:dyDescent="0.25">
      <c r="A32" s="847"/>
      <c r="B32" s="948" t="s">
        <v>7174</v>
      </c>
      <c r="C32" s="948"/>
      <c r="D32" s="948"/>
      <c r="E32" s="948"/>
      <c r="F32" s="948"/>
      <c r="G32" s="949" t="s">
        <v>115</v>
      </c>
      <c r="H32" s="949"/>
      <c r="I32" s="949"/>
      <c r="J32" s="949"/>
      <c r="K32" s="949"/>
      <c r="L32" s="949"/>
      <c r="M32" s="949"/>
      <c r="N32" s="949"/>
      <c r="O32" s="949"/>
      <c r="P32" s="949"/>
      <c r="Q32" s="949"/>
      <c r="R32" s="949"/>
      <c r="S32" s="949"/>
      <c r="T32" s="949"/>
      <c r="U32" s="949"/>
      <c r="V32" s="949"/>
      <c r="W32" s="949"/>
      <c r="X32" s="949"/>
      <c r="Y32" s="949"/>
      <c r="Z32" s="949"/>
      <c r="AA32" s="949"/>
      <c r="AB32" s="949"/>
      <c r="AC32" s="950">
        <f ca="1">AC33+AC60+AC97</f>
        <v>96964471</v>
      </c>
      <c r="AD32" s="950"/>
      <c r="AE32" s="950"/>
      <c r="AF32" s="950"/>
      <c r="AG32" s="950"/>
      <c r="AH32" s="848" t="s">
        <v>7175</v>
      </c>
      <c r="AI32" s="849">
        <f ca="1">AJ32-AC32</f>
        <v>0</v>
      </c>
      <c r="AJ32" s="850">
        <f>'NI-San_SP'!O13+'NI-Ric_SP'!O13</f>
        <v>96964471</v>
      </c>
      <c r="AK32" s="849">
        <f ca="1">AC32+AC110+AC202</f>
        <v>232309840</v>
      </c>
      <c r="AL32" s="849">
        <f ca="1">AK32-'NI-San_SP'!O10-'NI-Ric_SP'!O10</f>
        <v>0</v>
      </c>
    </row>
    <row r="33" spans="1:36" s="852" customFormat="1" ht="15.75" customHeight="1" x14ac:dyDescent="0.25">
      <c r="A33" s="851"/>
      <c r="B33" s="943" t="s">
        <v>7176</v>
      </c>
      <c r="C33" s="943"/>
      <c r="D33" s="943"/>
      <c r="E33" s="943"/>
      <c r="F33" s="943"/>
      <c r="G33" s="944" t="s">
        <v>7177</v>
      </c>
      <c r="H33" s="944"/>
      <c r="I33" s="944"/>
      <c r="J33" s="944"/>
      <c r="K33" s="944"/>
      <c r="L33" s="944"/>
      <c r="M33" s="944"/>
      <c r="N33" s="944"/>
      <c r="O33" s="944"/>
      <c r="P33" s="944"/>
      <c r="Q33" s="944"/>
      <c r="R33" s="944"/>
      <c r="S33" s="944"/>
      <c r="T33" s="944"/>
      <c r="U33" s="944"/>
      <c r="V33" s="944"/>
      <c r="W33" s="944"/>
      <c r="X33" s="944"/>
      <c r="Y33" s="944"/>
      <c r="Z33" s="944"/>
      <c r="AA33" s="944"/>
      <c r="AB33" s="944"/>
      <c r="AC33" s="954">
        <f ca="1">AC34+AC37+AC40+AC45+AC46-AC55</f>
        <v>1902992</v>
      </c>
      <c r="AD33" s="954"/>
      <c r="AE33" s="954"/>
      <c r="AF33" s="954"/>
      <c r="AG33" s="954"/>
      <c r="AH33" s="848" t="s">
        <v>7175</v>
      </c>
      <c r="AI33" s="849">
        <f ca="1">AJ33-AC33</f>
        <v>0</v>
      </c>
      <c r="AJ33" s="852">
        <f>'NI-San_SP'!O16+'NI-Ric_SP'!O16</f>
        <v>1902992</v>
      </c>
    </row>
    <row r="34" spans="1:36" s="854" customFormat="1" ht="15.75" customHeight="1" x14ac:dyDescent="0.25">
      <c r="A34" s="853"/>
      <c r="B34" s="951" t="s">
        <v>7178</v>
      </c>
      <c r="C34" s="951"/>
      <c r="D34" s="951"/>
      <c r="E34" s="951"/>
      <c r="F34" s="951"/>
      <c r="G34" s="952" t="s">
        <v>7179</v>
      </c>
      <c r="H34" s="952"/>
      <c r="I34" s="952"/>
      <c r="J34" s="952"/>
      <c r="K34" s="952"/>
      <c r="L34" s="952"/>
      <c r="M34" s="952"/>
      <c r="N34" s="952"/>
      <c r="O34" s="952"/>
      <c r="P34" s="952"/>
      <c r="Q34" s="952"/>
      <c r="R34" s="952"/>
      <c r="S34" s="952"/>
      <c r="T34" s="952"/>
      <c r="U34" s="952"/>
      <c r="V34" s="952"/>
      <c r="W34" s="952"/>
      <c r="X34" s="952"/>
      <c r="Y34" s="952"/>
      <c r="Z34" s="952"/>
      <c r="AA34" s="952"/>
      <c r="AB34" s="952"/>
      <c r="AC34" s="961">
        <f ca="1">AC35-AC36</f>
        <v>0</v>
      </c>
      <c r="AD34" s="961"/>
      <c r="AE34" s="961"/>
      <c r="AF34" s="961"/>
      <c r="AG34" s="961"/>
      <c r="AH34" s="848" t="s">
        <v>7175</v>
      </c>
    </row>
    <row r="35" spans="1:36" s="855" customFormat="1" ht="15.75" customHeight="1" x14ac:dyDescent="0.25">
      <c r="A35" s="851"/>
      <c r="B35" s="957" t="s">
        <v>125</v>
      </c>
      <c r="C35" s="957"/>
      <c r="D35" s="957"/>
      <c r="E35" s="957"/>
      <c r="F35" s="957"/>
      <c r="G35" s="958" t="s">
        <v>7180</v>
      </c>
      <c r="H35" s="958"/>
      <c r="I35" s="958"/>
      <c r="J35" s="958"/>
      <c r="K35" s="958"/>
      <c r="L35" s="958"/>
      <c r="M35" s="958"/>
      <c r="N35" s="958"/>
      <c r="O35" s="958"/>
      <c r="P35" s="958"/>
      <c r="Q35" s="958"/>
      <c r="R35" s="958"/>
      <c r="S35" s="958"/>
      <c r="T35" s="958"/>
      <c r="U35" s="958"/>
      <c r="V35" s="958"/>
      <c r="W35" s="958"/>
      <c r="X35" s="958"/>
      <c r="Y35" s="958"/>
      <c r="Z35" s="958"/>
      <c r="AA35" s="958"/>
      <c r="AB35" s="958"/>
      <c r="AC35" s="942">
        <f ca="1">SUMIF(Codifica_SP!$J$2:$R$1445,B35,Codifica_SP!$R$2:$R$1445)</f>
        <v>79200</v>
      </c>
      <c r="AD35" s="942"/>
      <c r="AE35" s="942"/>
      <c r="AF35" s="942"/>
      <c r="AG35" s="942"/>
      <c r="AH35" s="848" t="s">
        <v>7175</v>
      </c>
    </row>
    <row r="36" spans="1:36" s="855" customFormat="1" ht="15.75" customHeight="1" x14ac:dyDescent="0.25">
      <c r="A36" s="851"/>
      <c r="B36" s="957" t="s">
        <v>136</v>
      </c>
      <c r="C36" s="957"/>
      <c r="D36" s="957"/>
      <c r="E36" s="957"/>
      <c r="F36" s="957"/>
      <c r="G36" s="958" t="s">
        <v>7181</v>
      </c>
      <c r="H36" s="958"/>
      <c r="I36" s="958"/>
      <c r="J36" s="958"/>
      <c r="K36" s="958"/>
      <c r="L36" s="958"/>
      <c r="M36" s="958"/>
      <c r="N36" s="958"/>
      <c r="O36" s="958"/>
      <c r="P36" s="958"/>
      <c r="Q36" s="958"/>
      <c r="R36" s="958"/>
      <c r="S36" s="958"/>
      <c r="T36" s="958"/>
      <c r="U36" s="958"/>
      <c r="V36" s="958"/>
      <c r="W36" s="958"/>
      <c r="X36" s="958"/>
      <c r="Y36" s="958"/>
      <c r="Z36" s="958"/>
      <c r="AA36" s="958"/>
      <c r="AB36" s="958"/>
      <c r="AC36" s="942">
        <f ca="1">SUMIF(Codifica_SP!$J$2:$R$1445,B36,Codifica_SP!$R$2:$R$1445)</f>
        <v>79200</v>
      </c>
      <c r="AD36" s="942"/>
      <c r="AE36" s="942"/>
      <c r="AF36" s="942"/>
      <c r="AG36" s="942"/>
      <c r="AH36" s="848" t="s">
        <v>7175</v>
      </c>
    </row>
    <row r="37" spans="1:36" s="855" customFormat="1" ht="15.75" customHeight="1" x14ac:dyDescent="0.25">
      <c r="A37" s="851"/>
      <c r="B37" s="951" t="s">
        <v>7182</v>
      </c>
      <c r="C37" s="951"/>
      <c r="D37" s="951"/>
      <c r="E37" s="951"/>
      <c r="F37" s="951"/>
      <c r="G37" s="952" t="s">
        <v>7183</v>
      </c>
      <c r="H37" s="952"/>
      <c r="I37" s="952"/>
      <c r="J37" s="952"/>
      <c r="K37" s="952"/>
      <c r="L37" s="952"/>
      <c r="M37" s="952"/>
      <c r="N37" s="952"/>
      <c r="O37" s="952"/>
      <c r="P37" s="952"/>
      <c r="Q37" s="952"/>
      <c r="R37" s="952"/>
      <c r="S37" s="952"/>
      <c r="T37" s="952"/>
      <c r="U37" s="952"/>
      <c r="V37" s="952"/>
      <c r="W37" s="952"/>
      <c r="X37" s="952"/>
      <c r="Y37" s="952"/>
      <c r="Z37" s="952"/>
      <c r="AA37" s="952"/>
      <c r="AB37" s="952"/>
      <c r="AC37" s="961">
        <f ca="1">AC38-AC39</f>
        <v>0</v>
      </c>
      <c r="AD37" s="961"/>
      <c r="AE37" s="961"/>
      <c r="AF37" s="961"/>
      <c r="AG37" s="961"/>
      <c r="AH37" s="848" t="s">
        <v>7175</v>
      </c>
    </row>
    <row r="38" spans="1:36" s="855" customFormat="1" ht="15.75" customHeight="1" x14ac:dyDescent="0.25">
      <c r="A38" s="851"/>
      <c r="B38" s="957" t="s">
        <v>151</v>
      </c>
      <c r="C38" s="957"/>
      <c r="D38" s="957"/>
      <c r="E38" s="957"/>
      <c r="F38" s="957"/>
      <c r="G38" s="958" t="s">
        <v>7184</v>
      </c>
      <c r="H38" s="958"/>
      <c r="I38" s="958"/>
      <c r="J38" s="958"/>
      <c r="K38" s="958"/>
      <c r="L38" s="958"/>
      <c r="M38" s="958"/>
      <c r="N38" s="958"/>
      <c r="O38" s="958"/>
      <c r="P38" s="958"/>
      <c r="Q38" s="958"/>
      <c r="R38" s="958"/>
      <c r="S38" s="958"/>
      <c r="T38" s="958"/>
      <c r="U38" s="958"/>
      <c r="V38" s="958"/>
      <c r="W38" s="958"/>
      <c r="X38" s="958"/>
      <c r="Y38" s="958"/>
      <c r="Z38" s="958"/>
      <c r="AA38" s="958"/>
      <c r="AB38" s="958"/>
      <c r="AC38" s="942">
        <f ca="1">SUMIF(Codifica_SP!$J$2:$R$1445,B38,Codifica_SP!$R$2:$R$1445)</f>
        <v>0</v>
      </c>
      <c r="AD38" s="942"/>
      <c r="AE38" s="942"/>
      <c r="AF38" s="942"/>
      <c r="AG38" s="942"/>
      <c r="AH38" s="848" t="s">
        <v>7175</v>
      </c>
    </row>
    <row r="39" spans="1:36" s="855" customFormat="1" ht="15.75" customHeight="1" x14ac:dyDescent="0.25">
      <c r="A39" s="851"/>
      <c r="B39" s="957" t="s">
        <v>162</v>
      </c>
      <c r="C39" s="957"/>
      <c r="D39" s="957"/>
      <c r="E39" s="957"/>
      <c r="F39" s="957"/>
      <c r="G39" s="958" t="s">
        <v>7185</v>
      </c>
      <c r="H39" s="958"/>
      <c r="I39" s="958"/>
      <c r="J39" s="958"/>
      <c r="K39" s="958"/>
      <c r="L39" s="958"/>
      <c r="M39" s="958"/>
      <c r="N39" s="958"/>
      <c r="O39" s="958"/>
      <c r="P39" s="958"/>
      <c r="Q39" s="958"/>
      <c r="R39" s="958"/>
      <c r="S39" s="958"/>
      <c r="T39" s="958"/>
      <c r="U39" s="958"/>
      <c r="V39" s="958"/>
      <c r="W39" s="958"/>
      <c r="X39" s="958"/>
      <c r="Y39" s="958"/>
      <c r="Z39" s="958"/>
      <c r="AA39" s="958"/>
      <c r="AB39" s="958"/>
      <c r="AC39" s="942">
        <f ca="1">SUMIF(Codifica_SP!$J$2:$R$1445,B39,Codifica_SP!$R$2:$R$1445)</f>
        <v>0</v>
      </c>
      <c r="AD39" s="942"/>
      <c r="AE39" s="942"/>
      <c r="AF39" s="942"/>
      <c r="AG39" s="942"/>
      <c r="AH39" s="848" t="s">
        <v>7175</v>
      </c>
    </row>
    <row r="40" spans="1:36" s="855" customFormat="1" ht="15.75" customHeight="1" x14ac:dyDescent="0.25">
      <c r="A40" s="851"/>
      <c r="B40" s="951" t="s">
        <v>7186</v>
      </c>
      <c r="C40" s="951"/>
      <c r="D40" s="951"/>
      <c r="E40" s="951"/>
      <c r="F40" s="951"/>
      <c r="G40" s="952" t="s">
        <v>7187</v>
      </c>
      <c r="H40" s="952"/>
      <c r="I40" s="952"/>
      <c r="J40" s="952"/>
      <c r="K40" s="952"/>
      <c r="L40" s="952"/>
      <c r="M40" s="952"/>
      <c r="N40" s="952"/>
      <c r="O40" s="952"/>
      <c r="P40" s="952"/>
      <c r="Q40" s="952"/>
      <c r="R40" s="952"/>
      <c r="S40" s="952"/>
      <c r="T40" s="952"/>
      <c r="U40" s="952"/>
      <c r="V40" s="952"/>
      <c r="W40" s="952"/>
      <c r="X40" s="952"/>
      <c r="Y40" s="952"/>
      <c r="Z40" s="952"/>
      <c r="AA40" s="952"/>
      <c r="AB40" s="952"/>
      <c r="AC40" s="961">
        <f ca="1">AC41-AC42+AC43-AC44</f>
        <v>0</v>
      </c>
      <c r="AD40" s="961"/>
      <c r="AE40" s="961"/>
      <c r="AF40" s="961"/>
      <c r="AG40" s="961"/>
      <c r="AH40" s="848" t="s">
        <v>7175</v>
      </c>
      <c r="AI40" s="849"/>
      <c r="AJ40" s="852"/>
    </row>
    <row r="41" spans="1:36" s="855" customFormat="1" ht="27.75" customHeight="1" x14ac:dyDescent="0.25">
      <c r="A41" s="851"/>
      <c r="B41" s="969" t="s">
        <v>177</v>
      </c>
      <c r="C41" s="969"/>
      <c r="D41" s="969"/>
      <c r="E41" s="969"/>
      <c r="F41" s="969"/>
      <c r="G41" s="958" t="s">
        <v>7188</v>
      </c>
      <c r="H41" s="958"/>
      <c r="I41" s="958"/>
      <c r="J41" s="958"/>
      <c r="K41" s="958"/>
      <c r="L41" s="958"/>
      <c r="M41" s="958"/>
      <c r="N41" s="958"/>
      <c r="O41" s="958"/>
      <c r="P41" s="958"/>
      <c r="Q41" s="958"/>
      <c r="R41" s="958"/>
      <c r="S41" s="958"/>
      <c r="T41" s="958"/>
      <c r="U41" s="958"/>
      <c r="V41" s="958"/>
      <c r="W41" s="958"/>
      <c r="X41" s="958"/>
      <c r="Y41" s="958"/>
      <c r="Z41" s="958"/>
      <c r="AA41" s="958"/>
      <c r="AB41" s="958"/>
      <c r="AC41" s="942">
        <f ca="1">SUMIF(Codifica_SP!$J$2:$R$1445,B41,Codifica_SP!$R$2:$R$1445)</f>
        <v>5790214</v>
      </c>
      <c r="AD41" s="942"/>
      <c r="AE41" s="942"/>
      <c r="AF41" s="942"/>
      <c r="AG41" s="942"/>
      <c r="AH41" s="848" t="s">
        <v>7175</v>
      </c>
    </row>
    <row r="42" spans="1:36" s="855" customFormat="1" ht="31.5" customHeight="1" x14ac:dyDescent="0.25">
      <c r="A42" s="851"/>
      <c r="B42" s="957" t="s">
        <v>194</v>
      </c>
      <c r="C42" s="957"/>
      <c r="D42" s="957"/>
      <c r="E42" s="957"/>
      <c r="F42" s="957"/>
      <c r="G42" s="958" t="s">
        <v>7189</v>
      </c>
      <c r="H42" s="958"/>
      <c r="I42" s="958"/>
      <c r="J42" s="958"/>
      <c r="K42" s="958"/>
      <c r="L42" s="958"/>
      <c r="M42" s="958"/>
      <c r="N42" s="958"/>
      <c r="O42" s="958"/>
      <c r="P42" s="958"/>
      <c r="Q42" s="958"/>
      <c r="R42" s="958"/>
      <c r="S42" s="958"/>
      <c r="T42" s="958"/>
      <c r="U42" s="958"/>
      <c r="V42" s="958"/>
      <c r="W42" s="958"/>
      <c r="X42" s="958"/>
      <c r="Y42" s="958"/>
      <c r="Z42" s="958"/>
      <c r="AA42" s="958"/>
      <c r="AB42" s="958"/>
      <c r="AC42" s="942">
        <f ca="1">SUMIF(Codifica_SP!$J$2:$R$1445,B42,Codifica_SP!$R$2:$R$1445)</f>
        <v>5790214</v>
      </c>
      <c r="AD42" s="942"/>
      <c r="AE42" s="942"/>
      <c r="AF42" s="942"/>
      <c r="AG42" s="942"/>
      <c r="AH42" s="848" t="s">
        <v>7175</v>
      </c>
    </row>
    <row r="43" spans="1:36" s="855" customFormat="1" ht="15.75" customHeight="1" x14ac:dyDescent="0.25">
      <c r="A43" s="851"/>
      <c r="B43" s="957" t="s">
        <v>211</v>
      </c>
      <c r="C43" s="957"/>
      <c r="D43" s="957"/>
      <c r="E43" s="957"/>
      <c r="F43" s="957"/>
      <c r="G43" s="958" t="s">
        <v>7190</v>
      </c>
      <c r="H43" s="958"/>
      <c r="I43" s="958"/>
      <c r="J43" s="958"/>
      <c r="K43" s="958"/>
      <c r="L43" s="958"/>
      <c r="M43" s="958"/>
      <c r="N43" s="958"/>
      <c r="O43" s="958"/>
      <c r="P43" s="958"/>
      <c r="Q43" s="958"/>
      <c r="R43" s="958"/>
      <c r="S43" s="958"/>
      <c r="T43" s="958"/>
      <c r="U43" s="958"/>
      <c r="V43" s="958"/>
      <c r="W43" s="958"/>
      <c r="X43" s="958"/>
      <c r="Y43" s="958"/>
      <c r="Z43" s="958"/>
      <c r="AA43" s="958"/>
      <c r="AB43" s="958"/>
      <c r="AC43" s="942">
        <f ca="1">SUMIF(Codifica_SP!$J$2:$R$1445,B43,Codifica_SP!$R$2:$R$1445)</f>
        <v>0</v>
      </c>
      <c r="AD43" s="942"/>
      <c r="AE43" s="942"/>
      <c r="AF43" s="942"/>
      <c r="AG43" s="942"/>
      <c r="AH43" s="848" t="s">
        <v>7175</v>
      </c>
    </row>
    <row r="44" spans="1:36" s="855" customFormat="1" ht="15.75" customHeight="1" x14ac:dyDescent="0.25">
      <c r="A44" s="851"/>
      <c r="B44" s="957" t="s">
        <v>227</v>
      </c>
      <c r="C44" s="957"/>
      <c r="D44" s="957"/>
      <c r="E44" s="957"/>
      <c r="F44" s="957"/>
      <c r="G44" s="958" t="s">
        <v>7191</v>
      </c>
      <c r="H44" s="958"/>
      <c r="I44" s="958"/>
      <c r="J44" s="958"/>
      <c r="K44" s="958"/>
      <c r="L44" s="958"/>
      <c r="M44" s="958"/>
      <c r="N44" s="958"/>
      <c r="O44" s="958"/>
      <c r="P44" s="958"/>
      <c r="Q44" s="958"/>
      <c r="R44" s="958"/>
      <c r="S44" s="958"/>
      <c r="T44" s="958"/>
      <c r="U44" s="958"/>
      <c r="V44" s="958"/>
      <c r="W44" s="958"/>
      <c r="X44" s="958"/>
      <c r="Y44" s="958"/>
      <c r="Z44" s="958"/>
      <c r="AA44" s="958"/>
      <c r="AB44" s="958"/>
      <c r="AC44" s="942">
        <f ca="1">SUMIF(Codifica_SP!$J$2:$R$1445,B44,Codifica_SP!$R$2:$R$1445)</f>
        <v>0</v>
      </c>
      <c r="AD44" s="942"/>
      <c r="AE44" s="942"/>
      <c r="AF44" s="942"/>
      <c r="AG44" s="942"/>
      <c r="AH44" s="848" t="s">
        <v>7175</v>
      </c>
    </row>
    <row r="45" spans="1:36" s="855" customFormat="1" ht="15.75" customHeight="1" x14ac:dyDescent="0.25">
      <c r="A45" s="851"/>
      <c r="B45" s="951" t="s">
        <v>243</v>
      </c>
      <c r="C45" s="951"/>
      <c r="D45" s="951"/>
      <c r="E45" s="951"/>
      <c r="F45" s="951"/>
      <c r="G45" s="952" t="s">
        <v>7192</v>
      </c>
      <c r="H45" s="952"/>
      <c r="I45" s="952"/>
      <c r="J45" s="952"/>
      <c r="K45" s="952"/>
      <c r="L45" s="952"/>
      <c r="M45" s="952"/>
      <c r="N45" s="952"/>
      <c r="O45" s="952"/>
      <c r="P45" s="952"/>
      <c r="Q45" s="952"/>
      <c r="R45" s="952"/>
      <c r="S45" s="952"/>
      <c r="T45" s="952"/>
      <c r="U45" s="952"/>
      <c r="V45" s="952"/>
      <c r="W45" s="952"/>
      <c r="X45" s="952"/>
      <c r="Y45" s="952"/>
      <c r="Z45" s="952"/>
      <c r="AA45" s="952"/>
      <c r="AB45" s="952"/>
      <c r="AC45" s="942">
        <f ca="1">SUMIF(Codifica_SP!$J$2:$R$1445,B45,Codifica_SP!$R$2:$R$1445)</f>
        <v>541999</v>
      </c>
      <c r="AD45" s="942"/>
      <c r="AE45" s="942"/>
      <c r="AF45" s="942"/>
      <c r="AG45" s="942"/>
      <c r="AH45" s="848" t="s">
        <v>7175</v>
      </c>
      <c r="AI45" s="849"/>
      <c r="AJ45" s="852"/>
    </row>
    <row r="46" spans="1:36" s="855" customFormat="1" ht="15.75" customHeight="1" x14ac:dyDescent="0.25">
      <c r="A46" s="851"/>
      <c r="B46" s="951" t="s">
        <v>7193</v>
      </c>
      <c r="C46" s="951"/>
      <c r="D46" s="951"/>
      <c r="E46" s="951"/>
      <c r="F46" s="951"/>
      <c r="G46" s="952" t="s">
        <v>7194</v>
      </c>
      <c r="H46" s="952"/>
      <c r="I46" s="952"/>
      <c r="J46" s="952"/>
      <c r="K46" s="952"/>
      <c r="L46" s="952"/>
      <c r="M46" s="952"/>
      <c r="N46" s="952"/>
      <c r="O46" s="952"/>
      <c r="P46" s="952"/>
      <c r="Q46" s="952"/>
      <c r="R46" s="952"/>
      <c r="S46" s="952"/>
      <c r="T46" s="952"/>
      <c r="U46" s="952"/>
      <c r="V46" s="952"/>
      <c r="W46" s="952"/>
      <c r="X46" s="952"/>
      <c r="Y46" s="952"/>
      <c r="Z46" s="952"/>
      <c r="AA46" s="952"/>
      <c r="AB46" s="952"/>
      <c r="AC46" s="961">
        <f ca="1">AC47-AC48+AC49-AC50+AC51-AC52+AC53-AC54</f>
        <v>1360993</v>
      </c>
      <c r="AD46" s="961"/>
      <c r="AE46" s="961"/>
      <c r="AF46" s="961"/>
      <c r="AG46" s="961"/>
      <c r="AH46" s="848" t="s">
        <v>7175</v>
      </c>
      <c r="AI46" s="849"/>
      <c r="AJ46" s="852"/>
    </row>
    <row r="47" spans="1:36" s="855" customFormat="1" ht="15.75" customHeight="1" x14ac:dyDescent="0.25">
      <c r="A47" s="851"/>
      <c r="B47" s="957" t="s">
        <v>259</v>
      </c>
      <c r="C47" s="957"/>
      <c r="D47" s="957"/>
      <c r="E47" s="957"/>
      <c r="F47" s="957"/>
      <c r="G47" s="958" t="s">
        <v>7195</v>
      </c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958"/>
      <c r="T47" s="958"/>
      <c r="U47" s="958"/>
      <c r="V47" s="958"/>
      <c r="W47" s="958"/>
      <c r="X47" s="958"/>
      <c r="Y47" s="958"/>
      <c r="Z47" s="958"/>
      <c r="AA47" s="958"/>
      <c r="AB47" s="958"/>
      <c r="AC47" s="942">
        <f ca="1">SUMIF(Codifica_SP!$J$2:$R$1445,B47,Codifica_SP!$R$2:$R$1445)</f>
        <v>10153143</v>
      </c>
      <c r="AD47" s="942"/>
      <c r="AE47" s="942"/>
      <c r="AF47" s="942"/>
      <c r="AG47" s="942"/>
      <c r="AH47" s="848" t="s">
        <v>7175</v>
      </c>
    </row>
    <row r="48" spans="1:36" s="855" customFormat="1" ht="15.75" customHeight="1" x14ac:dyDescent="0.25">
      <c r="A48" s="851"/>
      <c r="B48" s="957" t="s">
        <v>288</v>
      </c>
      <c r="C48" s="957"/>
      <c r="D48" s="957"/>
      <c r="E48" s="957"/>
      <c r="F48" s="957"/>
      <c r="G48" s="958" t="s">
        <v>7196</v>
      </c>
      <c r="H48" s="958"/>
      <c r="I48" s="958"/>
      <c r="J48" s="958"/>
      <c r="K48" s="958"/>
      <c r="L48" s="958"/>
      <c r="M48" s="958"/>
      <c r="N48" s="958"/>
      <c r="O48" s="958"/>
      <c r="P48" s="958"/>
      <c r="Q48" s="958"/>
      <c r="R48" s="958"/>
      <c r="S48" s="958"/>
      <c r="T48" s="958"/>
      <c r="U48" s="958"/>
      <c r="V48" s="958"/>
      <c r="W48" s="958"/>
      <c r="X48" s="958"/>
      <c r="Y48" s="958"/>
      <c r="Z48" s="958"/>
      <c r="AA48" s="958"/>
      <c r="AB48" s="958"/>
      <c r="AC48" s="942">
        <f ca="1">SUMIF(Codifica_SP!$J$2:$R$1445,B48,Codifica_SP!$R$2:$R$1445)</f>
        <v>8792150</v>
      </c>
      <c r="AD48" s="942"/>
      <c r="AE48" s="942"/>
      <c r="AF48" s="942"/>
      <c r="AG48" s="942"/>
      <c r="AH48" s="848" t="s">
        <v>7175</v>
      </c>
    </row>
    <row r="49" spans="1:36" s="855" customFormat="1" ht="15.75" customHeight="1" x14ac:dyDescent="0.25">
      <c r="A49" s="851"/>
      <c r="B49" s="957" t="s">
        <v>311</v>
      </c>
      <c r="C49" s="957"/>
      <c r="D49" s="957"/>
      <c r="E49" s="957"/>
      <c r="F49" s="957"/>
      <c r="G49" s="958" t="s">
        <v>7197</v>
      </c>
      <c r="H49" s="958"/>
      <c r="I49" s="958"/>
      <c r="J49" s="958"/>
      <c r="K49" s="958"/>
      <c r="L49" s="958"/>
      <c r="M49" s="958"/>
      <c r="N49" s="958"/>
      <c r="O49" s="958"/>
      <c r="P49" s="958"/>
      <c r="Q49" s="958"/>
      <c r="R49" s="958"/>
      <c r="S49" s="958"/>
      <c r="T49" s="958"/>
      <c r="U49" s="958"/>
      <c r="V49" s="958"/>
      <c r="W49" s="958"/>
      <c r="X49" s="958"/>
      <c r="Y49" s="958"/>
      <c r="Z49" s="958"/>
      <c r="AA49" s="958"/>
      <c r="AB49" s="958"/>
      <c r="AC49" s="942">
        <f ca="1">SUMIF(Codifica_SP!$J$2:$R$1445,B49,Codifica_SP!$R$2:$R$1445)</f>
        <v>0</v>
      </c>
      <c r="AD49" s="942"/>
      <c r="AE49" s="942"/>
      <c r="AF49" s="942"/>
      <c r="AG49" s="942"/>
      <c r="AH49" s="848" t="s">
        <v>7175</v>
      </c>
    </row>
    <row r="50" spans="1:36" s="855" customFormat="1" ht="15.75" customHeight="1" x14ac:dyDescent="0.25">
      <c r="A50" s="851"/>
      <c r="B50" s="957" t="s">
        <v>321</v>
      </c>
      <c r="C50" s="957"/>
      <c r="D50" s="957"/>
      <c r="E50" s="957"/>
      <c r="F50" s="957"/>
      <c r="G50" s="958" t="s">
        <v>7198</v>
      </c>
      <c r="H50" s="958"/>
      <c r="I50" s="958"/>
      <c r="J50" s="958"/>
      <c r="K50" s="958"/>
      <c r="L50" s="958"/>
      <c r="M50" s="958"/>
      <c r="N50" s="958"/>
      <c r="O50" s="958"/>
      <c r="P50" s="958"/>
      <c r="Q50" s="958"/>
      <c r="R50" s="958"/>
      <c r="S50" s="958"/>
      <c r="T50" s="958"/>
      <c r="U50" s="958"/>
      <c r="V50" s="958"/>
      <c r="W50" s="958"/>
      <c r="X50" s="958"/>
      <c r="Y50" s="958"/>
      <c r="Z50" s="958"/>
      <c r="AA50" s="958"/>
      <c r="AB50" s="958"/>
      <c r="AC50" s="942">
        <f ca="1">SUMIF(Codifica_SP!$J$2:$R$1445,B50,Codifica_SP!$R$2:$R$1445)</f>
        <v>0</v>
      </c>
      <c r="AD50" s="942"/>
      <c r="AE50" s="942"/>
      <c r="AF50" s="942"/>
      <c r="AG50" s="942"/>
      <c r="AH50" s="848" t="s">
        <v>7175</v>
      </c>
    </row>
    <row r="51" spans="1:36" s="855" customFormat="1" ht="15.75" customHeight="1" x14ac:dyDescent="0.25">
      <c r="A51" s="851"/>
      <c r="B51" s="957" t="s">
        <v>331</v>
      </c>
      <c r="C51" s="957"/>
      <c r="D51" s="957"/>
      <c r="E51" s="957"/>
      <c r="F51" s="957"/>
      <c r="G51" s="958" t="s">
        <v>7199</v>
      </c>
      <c r="H51" s="958"/>
      <c r="I51" s="958"/>
      <c r="J51" s="958"/>
      <c r="K51" s="958"/>
      <c r="L51" s="958"/>
      <c r="M51" s="958"/>
      <c r="N51" s="958"/>
      <c r="O51" s="958"/>
      <c r="P51" s="958"/>
      <c r="Q51" s="958"/>
      <c r="R51" s="958"/>
      <c r="S51" s="958"/>
      <c r="T51" s="958"/>
      <c r="U51" s="958"/>
      <c r="V51" s="958"/>
      <c r="W51" s="958"/>
      <c r="X51" s="958"/>
      <c r="Y51" s="958"/>
      <c r="Z51" s="958"/>
      <c r="AA51" s="958"/>
      <c r="AB51" s="958"/>
      <c r="AC51" s="942">
        <f ca="1">SUMIF(Codifica_SP!$J$2:$R$1445,B51,Codifica_SP!$R$2:$R$1445)</f>
        <v>0</v>
      </c>
      <c r="AD51" s="942"/>
      <c r="AE51" s="942"/>
      <c r="AF51" s="942"/>
      <c r="AG51" s="942"/>
      <c r="AH51" s="848" t="s">
        <v>7175</v>
      </c>
    </row>
    <row r="52" spans="1:36" s="855" customFormat="1" ht="15.75" customHeight="1" x14ac:dyDescent="0.25">
      <c r="A52" s="851"/>
      <c r="B52" s="957" t="s">
        <v>341</v>
      </c>
      <c r="C52" s="957"/>
      <c r="D52" s="957"/>
      <c r="E52" s="957"/>
      <c r="F52" s="957"/>
      <c r="G52" s="958" t="s">
        <v>7200</v>
      </c>
      <c r="H52" s="958"/>
      <c r="I52" s="958"/>
      <c r="J52" s="958"/>
      <c r="K52" s="958"/>
      <c r="L52" s="958"/>
      <c r="M52" s="958"/>
      <c r="N52" s="958"/>
      <c r="O52" s="958"/>
      <c r="P52" s="958"/>
      <c r="Q52" s="958"/>
      <c r="R52" s="958"/>
      <c r="S52" s="958"/>
      <c r="T52" s="958"/>
      <c r="U52" s="958"/>
      <c r="V52" s="958"/>
      <c r="W52" s="958"/>
      <c r="X52" s="958"/>
      <c r="Y52" s="958"/>
      <c r="Z52" s="958"/>
      <c r="AA52" s="958"/>
      <c r="AB52" s="958"/>
      <c r="AC52" s="942">
        <f ca="1">SUMIF(Codifica_SP!$J$2:$R$1445,B52,Codifica_SP!$R$2:$R$1445)</f>
        <v>0</v>
      </c>
      <c r="AD52" s="942"/>
      <c r="AE52" s="942"/>
      <c r="AF52" s="942"/>
      <c r="AG52" s="942"/>
      <c r="AH52" s="848" t="s">
        <v>7175</v>
      </c>
    </row>
    <row r="53" spans="1:36" s="855" customFormat="1" ht="15.75" customHeight="1" x14ac:dyDescent="0.25">
      <c r="A53" s="851"/>
      <c r="B53" s="957" t="s">
        <v>351</v>
      </c>
      <c r="C53" s="957"/>
      <c r="D53" s="957"/>
      <c r="E53" s="957"/>
      <c r="F53" s="957"/>
      <c r="G53" s="958" t="s">
        <v>7201</v>
      </c>
      <c r="H53" s="958"/>
      <c r="I53" s="958"/>
      <c r="J53" s="958"/>
      <c r="K53" s="958"/>
      <c r="L53" s="958"/>
      <c r="M53" s="958"/>
      <c r="N53" s="958"/>
      <c r="O53" s="958"/>
      <c r="P53" s="958"/>
      <c r="Q53" s="958"/>
      <c r="R53" s="958"/>
      <c r="S53" s="958"/>
      <c r="T53" s="958"/>
      <c r="U53" s="958"/>
      <c r="V53" s="958"/>
      <c r="W53" s="958"/>
      <c r="X53" s="958"/>
      <c r="Y53" s="958"/>
      <c r="Z53" s="958"/>
      <c r="AA53" s="958"/>
      <c r="AB53" s="958"/>
      <c r="AC53" s="942">
        <f ca="1">SUMIF(Codifica_SP!$J$2:$R$1445,B53,Codifica_SP!$R$2:$R$1445)</f>
        <v>1650</v>
      </c>
      <c r="AD53" s="942"/>
      <c r="AE53" s="942"/>
      <c r="AF53" s="942"/>
      <c r="AG53" s="942"/>
      <c r="AH53" s="848" t="s">
        <v>7175</v>
      </c>
    </row>
    <row r="54" spans="1:36" s="855" customFormat="1" ht="15.75" customHeight="1" x14ac:dyDescent="0.25">
      <c r="A54" s="851"/>
      <c r="B54" s="957" t="s">
        <v>367</v>
      </c>
      <c r="C54" s="957"/>
      <c r="D54" s="957"/>
      <c r="E54" s="957"/>
      <c r="F54" s="957"/>
      <c r="G54" s="958" t="s">
        <v>7202</v>
      </c>
      <c r="H54" s="958"/>
      <c r="I54" s="958"/>
      <c r="J54" s="958"/>
      <c r="K54" s="958"/>
      <c r="L54" s="958"/>
      <c r="M54" s="958"/>
      <c r="N54" s="958"/>
      <c r="O54" s="958"/>
      <c r="P54" s="958"/>
      <c r="Q54" s="958"/>
      <c r="R54" s="958"/>
      <c r="S54" s="958"/>
      <c r="T54" s="958"/>
      <c r="U54" s="958"/>
      <c r="V54" s="958"/>
      <c r="W54" s="958"/>
      <c r="X54" s="958"/>
      <c r="Y54" s="958"/>
      <c r="Z54" s="958"/>
      <c r="AA54" s="958"/>
      <c r="AB54" s="958"/>
      <c r="AC54" s="942">
        <f ca="1">SUMIF(Codifica_SP!$J$2:$R$1445,B54,Codifica_SP!$R$2:$R$1445)</f>
        <v>1650</v>
      </c>
      <c r="AD54" s="942"/>
      <c r="AE54" s="942"/>
      <c r="AF54" s="942"/>
      <c r="AG54" s="942"/>
      <c r="AH54" s="848" t="s">
        <v>7175</v>
      </c>
    </row>
    <row r="55" spans="1:36" s="855" customFormat="1" ht="15.75" customHeight="1" x14ac:dyDescent="0.25">
      <c r="A55" s="851"/>
      <c r="B55" s="951" t="s">
        <v>7203</v>
      </c>
      <c r="C55" s="951"/>
      <c r="D55" s="951"/>
      <c r="E55" s="951"/>
      <c r="F55" s="951"/>
      <c r="G55" s="952" t="s">
        <v>7204</v>
      </c>
      <c r="H55" s="952"/>
      <c r="I55" s="952"/>
      <c r="J55" s="952"/>
      <c r="K55" s="952"/>
      <c r="L55" s="952"/>
      <c r="M55" s="952"/>
      <c r="N55" s="952"/>
      <c r="O55" s="952"/>
      <c r="P55" s="952"/>
      <c r="Q55" s="952"/>
      <c r="R55" s="952"/>
      <c r="S55" s="952"/>
      <c r="T55" s="952"/>
      <c r="U55" s="952"/>
      <c r="V55" s="952"/>
      <c r="W55" s="952"/>
      <c r="X55" s="952"/>
      <c r="Y55" s="952"/>
      <c r="Z55" s="952"/>
      <c r="AA55" s="952"/>
      <c r="AB55" s="952"/>
      <c r="AC55" s="961">
        <f ca="1">SUM(AC56:AC59)</f>
        <v>0</v>
      </c>
      <c r="AD55" s="961"/>
      <c r="AE55" s="961"/>
      <c r="AF55" s="961"/>
      <c r="AG55" s="961"/>
      <c r="AH55" s="848" t="s">
        <v>7175</v>
      </c>
    </row>
    <row r="56" spans="1:36" s="855" customFormat="1" ht="15.75" customHeight="1" x14ac:dyDescent="0.25">
      <c r="A56" s="856"/>
      <c r="B56" s="975" t="s">
        <v>386</v>
      </c>
      <c r="C56" s="975"/>
      <c r="D56" s="975"/>
      <c r="E56" s="975"/>
      <c r="F56" s="975"/>
      <c r="G56" s="976" t="s">
        <v>7205</v>
      </c>
      <c r="H56" s="976"/>
      <c r="I56" s="976"/>
      <c r="J56" s="976"/>
      <c r="K56" s="976"/>
      <c r="L56" s="976"/>
      <c r="M56" s="976"/>
      <c r="N56" s="976"/>
      <c r="O56" s="976"/>
      <c r="P56" s="976"/>
      <c r="Q56" s="976"/>
      <c r="R56" s="976"/>
      <c r="S56" s="976"/>
      <c r="T56" s="976"/>
      <c r="U56" s="976"/>
      <c r="V56" s="976"/>
      <c r="W56" s="976"/>
      <c r="X56" s="976"/>
      <c r="Y56" s="976"/>
      <c r="Z56" s="976"/>
      <c r="AA56" s="976"/>
      <c r="AB56" s="976"/>
      <c r="AC56" s="942">
        <f ca="1">SUMIF(Codifica_SP!$J$2:$R$1445,B56,Codifica_SP!$R$2:$R$1445)</f>
        <v>0</v>
      </c>
      <c r="AD56" s="942"/>
      <c r="AE56" s="942"/>
      <c r="AF56" s="942"/>
      <c r="AG56" s="942"/>
      <c r="AH56" s="848" t="s">
        <v>7175</v>
      </c>
    </row>
    <row r="57" spans="1:36" s="855" customFormat="1" ht="15.75" customHeight="1" x14ac:dyDescent="0.25">
      <c r="A57" s="851"/>
      <c r="B57" s="957" t="s">
        <v>397</v>
      </c>
      <c r="C57" s="957"/>
      <c r="D57" s="957"/>
      <c r="E57" s="957"/>
      <c r="F57" s="957"/>
      <c r="G57" s="958" t="s">
        <v>7206</v>
      </c>
      <c r="H57" s="958"/>
      <c r="I57" s="958"/>
      <c r="J57" s="958"/>
      <c r="K57" s="958"/>
      <c r="L57" s="958"/>
      <c r="M57" s="958"/>
      <c r="N57" s="958"/>
      <c r="O57" s="958"/>
      <c r="P57" s="958"/>
      <c r="Q57" s="958"/>
      <c r="R57" s="958"/>
      <c r="S57" s="958"/>
      <c r="T57" s="958"/>
      <c r="U57" s="958"/>
      <c r="V57" s="958"/>
      <c r="W57" s="958"/>
      <c r="X57" s="958"/>
      <c r="Y57" s="958"/>
      <c r="Z57" s="958"/>
      <c r="AA57" s="958"/>
      <c r="AB57" s="958"/>
      <c r="AC57" s="942">
        <f ca="1">SUMIF(Codifica_SP!$J$2:$R$1445,B57,Codifica_SP!$R$2:$R$1445)</f>
        <v>0</v>
      </c>
      <c r="AD57" s="942"/>
      <c r="AE57" s="942"/>
      <c r="AF57" s="942"/>
      <c r="AG57" s="942"/>
      <c r="AH57" s="848" t="s">
        <v>7175</v>
      </c>
    </row>
    <row r="58" spans="1:36" s="855" customFormat="1" ht="15.75" customHeight="1" x14ac:dyDescent="0.25">
      <c r="A58" s="851"/>
      <c r="B58" s="957" t="s">
        <v>408</v>
      </c>
      <c r="C58" s="957"/>
      <c r="D58" s="957"/>
      <c r="E58" s="957"/>
      <c r="F58" s="957"/>
      <c r="G58" s="958" t="s">
        <v>7207</v>
      </c>
      <c r="H58" s="958"/>
      <c r="I58" s="958"/>
      <c r="J58" s="958"/>
      <c r="K58" s="958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8"/>
      <c r="Z58" s="958"/>
      <c r="AA58" s="958"/>
      <c r="AB58" s="958"/>
      <c r="AC58" s="942">
        <f ca="1">SUMIF(Codifica_SP!$J$2:$R$1445,B58,Codifica_SP!$R$2:$R$1445)</f>
        <v>0</v>
      </c>
      <c r="AD58" s="942"/>
      <c r="AE58" s="942"/>
      <c r="AF58" s="942"/>
      <c r="AG58" s="942"/>
      <c r="AH58" s="848" t="s">
        <v>7175</v>
      </c>
    </row>
    <row r="59" spans="1:36" s="855" customFormat="1" ht="15.75" customHeight="1" x14ac:dyDescent="0.25">
      <c r="A59" s="857"/>
      <c r="B59" s="973" t="s">
        <v>419</v>
      </c>
      <c r="C59" s="973"/>
      <c r="D59" s="973"/>
      <c r="E59" s="973"/>
      <c r="F59" s="973"/>
      <c r="G59" s="974" t="s">
        <v>7208</v>
      </c>
      <c r="H59" s="974"/>
      <c r="I59" s="974"/>
      <c r="J59" s="974"/>
      <c r="K59" s="974"/>
      <c r="L59" s="974"/>
      <c r="M59" s="974"/>
      <c r="N59" s="974"/>
      <c r="O59" s="974"/>
      <c r="P59" s="974"/>
      <c r="Q59" s="974"/>
      <c r="R59" s="974"/>
      <c r="S59" s="974"/>
      <c r="T59" s="974"/>
      <c r="U59" s="974"/>
      <c r="V59" s="974"/>
      <c r="W59" s="974"/>
      <c r="X59" s="974"/>
      <c r="Y59" s="974"/>
      <c r="Z59" s="974"/>
      <c r="AA59" s="974"/>
      <c r="AB59" s="974"/>
      <c r="AC59" s="942">
        <f ca="1">SUMIF(Codifica_SP!$J$2:$R$1445,B59,Codifica_SP!$R$2:$R$1445)</f>
        <v>0</v>
      </c>
      <c r="AD59" s="942"/>
      <c r="AE59" s="942"/>
      <c r="AF59" s="942"/>
      <c r="AG59" s="942"/>
      <c r="AH59" s="848" t="s">
        <v>7175</v>
      </c>
    </row>
    <row r="60" spans="1:36" s="855" customFormat="1" ht="15.75" customHeight="1" x14ac:dyDescent="0.25">
      <c r="A60" s="856"/>
      <c r="B60" s="955" t="s">
        <v>7209</v>
      </c>
      <c r="C60" s="955"/>
      <c r="D60" s="955"/>
      <c r="E60" s="955"/>
      <c r="F60" s="955"/>
      <c r="G60" s="946" t="s">
        <v>7210</v>
      </c>
      <c r="H60" s="946"/>
      <c r="I60" s="946"/>
      <c r="J60" s="946"/>
      <c r="K60" s="946"/>
      <c r="L60" s="946"/>
      <c r="M60" s="946"/>
      <c r="N60" s="946"/>
      <c r="O60" s="946"/>
      <c r="P60" s="946"/>
      <c r="Q60" s="946"/>
      <c r="R60" s="946"/>
      <c r="S60" s="946"/>
      <c r="T60" s="946"/>
      <c r="U60" s="946"/>
      <c r="V60" s="946"/>
      <c r="W60" s="946"/>
      <c r="X60" s="946"/>
      <c r="Y60" s="946"/>
      <c r="Z60" s="946"/>
      <c r="AA60" s="946"/>
      <c r="AB60" s="946"/>
      <c r="AC60" s="956">
        <f ca="1">AC61+AC64+AC71+AC74+AC77+AC80+AC83+AC84+AC87-AC88</f>
        <v>95061479</v>
      </c>
      <c r="AD60" s="956"/>
      <c r="AE60" s="956"/>
      <c r="AF60" s="956"/>
      <c r="AG60" s="956"/>
      <c r="AH60" s="848" t="s">
        <v>7175</v>
      </c>
      <c r="AJ60" s="855">
        <f>'NI-San_SP'!O186</f>
        <v>95061479</v>
      </c>
    </row>
    <row r="61" spans="1:36" s="855" customFormat="1" ht="15.75" customHeight="1" x14ac:dyDescent="0.25">
      <c r="A61" s="851"/>
      <c r="B61" s="951" t="s">
        <v>7211</v>
      </c>
      <c r="C61" s="951"/>
      <c r="D61" s="951"/>
      <c r="E61" s="951"/>
      <c r="F61" s="951"/>
      <c r="G61" s="952" t="s">
        <v>7212</v>
      </c>
      <c r="H61" s="952"/>
      <c r="I61" s="952"/>
      <c r="J61" s="952"/>
      <c r="K61" s="952"/>
      <c r="L61" s="952"/>
      <c r="M61" s="952"/>
      <c r="N61" s="952"/>
      <c r="O61" s="952"/>
      <c r="P61" s="952"/>
      <c r="Q61" s="952"/>
      <c r="R61" s="952"/>
      <c r="S61" s="952"/>
      <c r="T61" s="952"/>
      <c r="U61" s="952"/>
      <c r="V61" s="952"/>
      <c r="W61" s="952"/>
      <c r="X61" s="952"/>
      <c r="Y61" s="952"/>
      <c r="Z61" s="952"/>
      <c r="AA61" s="952"/>
      <c r="AB61" s="952"/>
      <c r="AC61" s="961">
        <f ca="1">SUM(AC62:AC63)</f>
        <v>1164620</v>
      </c>
      <c r="AD61" s="961"/>
      <c r="AE61" s="961"/>
      <c r="AF61" s="961"/>
      <c r="AG61" s="961"/>
      <c r="AH61" s="848" t="s">
        <v>7175</v>
      </c>
    </row>
    <row r="62" spans="1:36" s="855" customFormat="1" ht="15.75" customHeight="1" x14ac:dyDescent="0.25">
      <c r="A62" s="851"/>
      <c r="B62" s="981" t="s">
        <v>437</v>
      </c>
      <c r="C62" s="981"/>
      <c r="D62" s="981"/>
      <c r="E62" s="981"/>
      <c r="F62" s="981"/>
      <c r="G62" s="982" t="s">
        <v>7213</v>
      </c>
      <c r="H62" s="982"/>
      <c r="I62" s="982"/>
      <c r="J62" s="982"/>
      <c r="K62" s="982"/>
      <c r="L62" s="982"/>
      <c r="M62" s="982"/>
      <c r="N62" s="982"/>
      <c r="O62" s="982"/>
      <c r="P62" s="982"/>
      <c r="Q62" s="982"/>
      <c r="R62" s="982"/>
      <c r="S62" s="982"/>
      <c r="T62" s="982"/>
      <c r="U62" s="982"/>
      <c r="V62" s="982"/>
      <c r="W62" s="982"/>
      <c r="X62" s="982"/>
      <c r="Y62" s="982"/>
      <c r="Z62" s="982"/>
      <c r="AA62" s="982"/>
      <c r="AB62" s="982"/>
      <c r="AC62" s="942">
        <f ca="1">SUMIF(Codifica_SP!$J$2:$R$1445,B62,Codifica_SP!$R$2:$R$1445)</f>
        <v>1164620</v>
      </c>
      <c r="AD62" s="942"/>
      <c r="AE62" s="942"/>
      <c r="AF62" s="942"/>
      <c r="AG62" s="942"/>
      <c r="AH62" s="848" t="s">
        <v>7175</v>
      </c>
    </row>
    <row r="63" spans="1:36" s="855" customFormat="1" ht="15.75" customHeight="1" x14ac:dyDescent="0.25">
      <c r="A63" s="851"/>
      <c r="B63" s="981" t="s">
        <v>460</v>
      </c>
      <c r="C63" s="981"/>
      <c r="D63" s="981"/>
      <c r="E63" s="981"/>
      <c r="F63" s="981"/>
      <c r="G63" s="982" t="s">
        <v>7214</v>
      </c>
      <c r="H63" s="982"/>
      <c r="I63" s="982"/>
      <c r="J63" s="982"/>
      <c r="K63" s="982"/>
      <c r="L63" s="982"/>
      <c r="M63" s="982"/>
      <c r="N63" s="982"/>
      <c r="O63" s="982"/>
      <c r="P63" s="982"/>
      <c r="Q63" s="982"/>
      <c r="R63" s="982"/>
      <c r="S63" s="982"/>
      <c r="T63" s="982"/>
      <c r="U63" s="982"/>
      <c r="V63" s="982"/>
      <c r="W63" s="982"/>
      <c r="X63" s="982"/>
      <c r="Y63" s="982"/>
      <c r="Z63" s="982"/>
      <c r="AA63" s="982"/>
      <c r="AB63" s="982"/>
      <c r="AC63" s="942">
        <f ca="1">SUMIF(Codifica_SP!$J$2:$R$1445,B63,Codifica_SP!$R$2:$R$1445)</f>
        <v>0</v>
      </c>
      <c r="AD63" s="942"/>
      <c r="AE63" s="942"/>
      <c r="AF63" s="942"/>
      <c r="AG63" s="942"/>
      <c r="AH63" s="848" t="s">
        <v>7175</v>
      </c>
    </row>
    <row r="64" spans="1:36" s="855" customFormat="1" ht="15.75" customHeight="1" x14ac:dyDescent="0.25">
      <c r="A64" s="851"/>
      <c r="B64" s="951" t="s">
        <v>7215</v>
      </c>
      <c r="C64" s="951"/>
      <c r="D64" s="951"/>
      <c r="E64" s="951"/>
      <c r="F64" s="951"/>
      <c r="G64" s="952" t="s">
        <v>7216</v>
      </c>
      <c r="H64" s="952"/>
      <c r="I64" s="952"/>
      <c r="J64" s="952"/>
      <c r="K64" s="952"/>
      <c r="L64" s="952"/>
      <c r="M64" s="952"/>
      <c r="N64" s="952"/>
      <c r="O64" s="952"/>
      <c r="P64" s="952"/>
      <c r="Q64" s="952"/>
      <c r="R64" s="952"/>
      <c r="S64" s="952"/>
      <c r="T64" s="952"/>
      <c r="U64" s="952"/>
      <c r="V64" s="952"/>
      <c r="W64" s="952"/>
      <c r="X64" s="952"/>
      <c r="Y64" s="952"/>
      <c r="Z64" s="952"/>
      <c r="AA64" s="952"/>
      <c r="AB64" s="952"/>
      <c r="AC64" s="961">
        <f ca="1">AC65+AC68</f>
        <v>78358402</v>
      </c>
      <c r="AD64" s="961"/>
      <c r="AE64" s="961"/>
      <c r="AF64" s="961"/>
      <c r="AG64" s="961"/>
      <c r="AH64" s="848" t="s">
        <v>7175</v>
      </c>
    </row>
    <row r="65" spans="1:34" s="855" customFormat="1" ht="15.75" customHeight="1" x14ac:dyDescent="0.25">
      <c r="A65" s="851"/>
      <c r="B65" s="981" t="s">
        <v>7217</v>
      </c>
      <c r="C65" s="981"/>
      <c r="D65" s="981"/>
      <c r="E65" s="981"/>
      <c r="F65" s="981"/>
      <c r="G65" s="982" t="s">
        <v>7218</v>
      </c>
      <c r="H65" s="982"/>
      <c r="I65" s="982"/>
      <c r="J65" s="982"/>
      <c r="K65" s="982"/>
      <c r="L65" s="982"/>
      <c r="M65" s="982"/>
      <c r="N65" s="982"/>
      <c r="O65" s="982"/>
      <c r="P65" s="982"/>
      <c r="Q65" s="982"/>
      <c r="R65" s="982"/>
      <c r="S65" s="982"/>
      <c r="T65" s="982"/>
      <c r="U65" s="982"/>
      <c r="V65" s="982"/>
      <c r="W65" s="982"/>
      <c r="X65" s="982"/>
      <c r="Y65" s="982"/>
      <c r="Z65" s="982"/>
      <c r="AA65" s="982"/>
      <c r="AB65" s="982"/>
      <c r="AC65" s="983">
        <f ca="1">+AC66-AC67</f>
        <v>7044578</v>
      </c>
      <c r="AD65" s="983"/>
      <c r="AE65" s="983"/>
      <c r="AF65" s="983"/>
      <c r="AG65" s="983"/>
      <c r="AH65" s="848" t="s">
        <v>7175</v>
      </c>
    </row>
    <row r="66" spans="1:34" s="855" customFormat="1" ht="15.75" customHeight="1" x14ac:dyDescent="0.25">
      <c r="A66" s="851"/>
      <c r="B66" s="957" t="s">
        <v>490</v>
      </c>
      <c r="C66" s="957"/>
      <c r="D66" s="957"/>
      <c r="E66" s="957"/>
      <c r="F66" s="957"/>
      <c r="G66" s="958" t="s">
        <v>7219</v>
      </c>
      <c r="H66" s="958"/>
      <c r="I66" s="958"/>
      <c r="J66" s="958"/>
      <c r="K66" s="958"/>
      <c r="L66" s="958"/>
      <c r="M66" s="958"/>
      <c r="N66" s="958"/>
      <c r="O66" s="958"/>
      <c r="P66" s="958"/>
      <c r="Q66" s="958"/>
      <c r="R66" s="958"/>
      <c r="S66" s="958"/>
      <c r="T66" s="958"/>
      <c r="U66" s="958"/>
      <c r="V66" s="958"/>
      <c r="W66" s="958"/>
      <c r="X66" s="958"/>
      <c r="Y66" s="958"/>
      <c r="Z66" s="958"/>
      <c r="AA66" s="958"/>
      <c r="AB66" s="958"/>
      <c r="AC66" s="942">
        <f ca="1">SUMIF(Codifica_SP!$J$2:$R$1445,B66,Codifica_SP!$R$2:$R$1445)</f>
        <v>7044578</v>
      </c>
      <c r="AD66" s="942"/>
      <c r="AE66" s="942"/>
      <c r="AF66" s="942"/>
      <c r="AG66" s="942"/>
      <c r="AH66" s="848" t="s">
        <v>7175</v>
      </c>
    </row>
    <row r="67" spans="1:34" s="855" customFormat="1" ht="15.75" customHeight="1" x14ac:dyDescent="0.25">
      <c r="A67" s="851"/>
      <c r="B67" s="957" t="s">
        <v>507</v>
      </c>
      <c r="C67" s="957"/>
      <c r="D67" s="957"/>
      <c r="E67" s="957"/>
      <c r="F67" s="957"/>
      <c r="G67" s="958" t="s">
        <v>7220</v>
      </c>
      <c r="H67" s="958"/>
      <c r="I67" s="958"/>
      <c r="J67" s="958"/>
      <c r="K67" s="958"/>
      <c r="L67" s="958"/>
      <c r="M67" s="958"/>
      <c r="N67" s="958"/>
      <c r="O67" s="958"/>
      <c r="P67" s="958"/>
      <c r="Q67" s="958"/>
      <c r="R67" s="958"/>
      <c r="S67" s="958"/>
      <c r="T67" s="958"/>
      <c r="U67" s="958"/>
      <c r="V67" s="958"/>
      <c r="W67" s="958"/>
      <c r="X67" s="958"/>
      <c r="Y67" s="958"/>
      <c r="Z67" s="958"/>
      <c r="AA67" s="958"/>
      <c r="AB67" s="958"/>
      <c r="AC67" s="942">
        <f ca="1">SUMIF(Codifica_SP!$J$2:$R$1445,B67,Codifica_SP!$R$2:$R$1445)</f>
        <v>0</v>
      </c>
      <c r="AD67" s="942"/>
      <c r="AE67" s="942"/>
      <c r="AF67" s="942"/>
      <c r="AG67" s="942"/>
      <c r="AH67" s="848" t="s">
        <v>7175</v>
      </c>
    </row>
    <row r="68" spans="1:34" s="855" customFormat="1" ht="15.75" customHeight="1" x14ac:dyDescent="0.25">
      <c r="A68" s="851"/>
      <c r="B68" s="981" t="s">
        <v>7221</v>
      </c>
      <c r="C68" s="981"/>
      <c r="D68" s="981"/>
      <c r="E68" s="981"/>
      <c r="F68" s="981"/>
      <c r="G68" s="982" t="s">
        <v>7222</v>
      </c>
      <c r="H68" s="982"/>
      <c r="I68" s="982"/>
      <c r="J68" s="982"/>
      <c r="K68" s="982"/>
      <c r="L68" s="982"/>
      <c r="M68" s="982"/>
      <c r="N68" s="982"/>
      <c r="O68" s="982"/>
      <c r="P68" s="982"/>
      <c r="Q68" s="982"/>
      <c r="R68" s="982"/>
      <c r="S68" s="982"/>
      <c r="T68" s="982"/>
      <c r="U68" s="982"/>
      <c r="V68" s="982"/>
      <c r="W68" s="982"/>
      <c r="X68" s="982"/>
      <c r="Y68" s="982"/>
      <c r="Z68" s="982"/>
      <c r="AA68" s="982"/>
      <c r="AB68" s="982"/>
      <c r="AC68" s="983">
        <f ca="1">+AC69-AC70</f>
        <v>71313824</v>
      </c>
      <c r="AD68" s="983"/>
      <c r="AE68" s="983"/>
      <c r="AF68" s="983"/>
      <c r="AG68" s="983"/>
      <c r="AH68" s="848" t="s">
        <v>7175</v>
      </c>
    </row>
    <row r="69" spans="1:34" s="855" customFormat="1" ht="15.75" customHeight="1" x14ac:dyDescent="0.25">
      <c r="A69" s="851"/>
      <c r="B69" s="957" t="s">
        <v>528</v>
      </c>
      <c r="C69" s="957"/>
      <c r="D69" s="957"/>
      <c r="E69" s="957"/>
      <c r="F69" s="957"/>
      <c r="G69" s="958" t="s">
        <v>7223</v>
      </c>
      <c r="H69" s="958"/>
      <c r="I69" s="958"/>
      <c r="J69" s="958"/>
      <c r="K69" s="958"/>
      <c r="L69" s="958"/>
      <c r="M69" s="958"/>
      <c r="N69" s="958"/>
      <c r="O69" s="958"/>
      <c r="P69" s="958"/>
      <c r="Q69" s="958"/>
      <c r="R69" s="958"/>
      <c r="S69" s="958"/>
      <c r="T69" s="958"/>
      <c r="U69" s="958"/>
      <c r="V69" s="958"/>
      <c r="W69" s="958"/>
      <c r="X69" s="958"/>
      <c r="Y69" s="958"/>
      <c r="Z69" s="958"/>
      <c r="AA69" s="958"/>
      <c r="AB69" s="958"/>
      <c r="AC69" s="942">
        <f ca="1">SUMIF(Codifica_SP!$J$2:$R$1445,B69,Codifica_SP!$R$2:$R$1445)</f>
        <v>160851591</v>
      </c>
      <c r="AD69" s="942"/>
      <c r="AE69" s="942"/>
      <c r="AF69" s="942"/>
      <c r="AG69" s="942"/>
      <c r="AH69" s="848" t="s">
        <v>7175</v>
      </c>
    </row>
    <row r="70" spans="1:34" s="855" customFormat="1" ht="15.75" customHeight="1" x14ac:dyDescent="0.25">
      <c r="A70" s="851"/>
      <c r="B70" s="957" t="s">
        <v>544</v>
      </c>
      <c r="C70" s="957"/>
      <c r="D70" s="957"/>
      <c r="E70" s="957"/>
      <c r="F70" s="957"/>
      <c r="G70" s="958" t="s">
        <v>7224</v>
      </c>
      <c r="H70" s="958"/>
      <c r="I70" s="958"/>
      <c r="J70" s="958"/>
      <c r="K70" s="958"/>
      <c r="L70" s="958"/>
      <c r="M70" s="958"/>
      <c r="N70" s="958"/>
      <c r="O70" s="958"/>
      <c r="P70" s="958"/>
      <c r="Q70" s="958"/>
      <c r="R70" s="958"/>
      <c r="S70" s="958"/>
      <c r="T70" s="958"/>
      <c r="U70" s="958"/>
      <c r="V70" s="958"/>
      <c r="W70" s="958"/>
      <c r="X70" s="958"/>
      <c r="Y70" s="958"/>
      <c r="Z70" s="958"/>
      <c r="AA70" s="958"/>
      <c r="AB70" s="958"/>
      <c r="AC70" s="942">
        <f ca="1">SUMIF(Codifica_SP!$J$2:$R$1445,B70,Codifica_SP!$R$2:$R$1445)</f>
        <v>89537767</v>
      </c>
      <c r="AD70" s="942"/>
      <c r="AE70" s="942"/>
      <c r="AF70" s="942"/>
      <c r="AG70" s="942"/>
      <c r="AH70" s="848" t="s">
        <v>7175</v>
      </c>
    </row>
    <row r="71" spans="1:34" s="855" customFormat="1" ht="15.75" customHeight="1" x14ac:dyDescent="0.25">
      <c r="A71" s="851"/>
      <c r="B71" s="951" t="s">
        <v>7225</v>
      </c>
      <c r="C71" s="951"/>
      <c r="D71" s="951"/>
      <c r="E71" s="951"/>
      <c r="F71" s="951"/>
      <c r="G71" s="952" t="s">
        <v>7226</v>
      </c>
      <c r="H71" s="952"/>
      <c r="I71" s="952"/>
      <c r="J71" s="952"/>
      <c r="K71" s="952"/>
      <c r="L71" s="952"/>
      <c r="M71" s="952"/>
      <c r="N71" s="952"/>
      <c r="O71" s="952"/>
      <c r="P71" s="952"/>
      <c r="Q71" s="952"/>
      <c r="R71" s="952"/>
      <c r="S71" s="952"/>
      <c r="T71" s="952"/>
      <c r="U71" s="952"/>
      <c r="V71" s="952"/>
      <c r="W71" s="952"/>
      <c r="X71" s="952"/>
      <c r="Y71" s="952"/>
      <c r="Z71" s="952"/>
      <c r="AA71" s="952"/>
      <c r="AB71" s="952"/>
      <c r="AC71" s="961">
        <f ca="1">+AC72-AC73</f>
        <v>7839531</v>
      </c>
      <c r="AD71" s="961"/>
      <c r="AE71" s="961"/>
      <c r="AF71" s="961"/>
      <c r="AG71" s="961"/>
      <c r="AH71" s="848" t="s">
        <v>7175</v>
      </c>
    </row>
    <row r="72" spans="1:34" s="855" customFormat="1" ht="15.75" customHeight="1" x14ac:dyDescent="0.25">
      <c r="A72" s="851"/>
      <c r="B72" s="957" t="s">
        <v>564</v>
      </c>
      <c r="C72" s="957"/>
      <c r="D72" s="957"/>
      <c r="E72" s="957"/>
      <c r="F72" s="957"/>
      <c r="G72" s="958" t="s">
        <v>7227</v>
      </c>
      <c r="H72" s="958"/>
      <c r="I72" s="958"/>
      <c r="J72" s="958"/>
      <c r="K72" s="958"/>
      <c r="L72" s="958"/>
      <c r="M72" s="958"/>
      <c r="N72" s="958"/>
      <c r="O72" s="958"/>
      <c r="P72" s="958"/>
      <c r="Q72" s="958"/>
      <c r="R72" s="958"/>
      <c r="S72" s="958"/>
      <c r="T72" s="958"/>
      <c r="U72" s="958"/>
      <c r="V72" s="958"/>
      <c r="W72" s="958"/>
      <c r="X72" s="958"/>
      <c r="Y72" s="958"/>
      <c r="Z72" s="958"/>
      <c r="AA72" s="958"/>
      <c r="AB72" s="958"/>
      <c r="AC72" s="942">
        <f ca="1">SUMIF(Codifica_SP!$J$2:$R$1445,B72,Codifica_SP!$R$2:$R$1445)</f>
        <v>56057963</v>
      </c>
      <c r="AD72" s="942"/>
      <c r="AE72" s="942"/>
      <c r="AF72" s="942"/>
      <c r="AG72" s="942"/>
      <c r="AH72" s="848" t="s">
        <v>7175</v>
      </c>
    </row>
    <row r="73" spans="1:34" s="855" customFormat="1" ht="15.75" customHeight="1" x14ac:dyDescent="0.25">
      <c r="A73" s="851"/>
      <c r="B73" s="957" t="s">
        <v>611</v>
      </c>
      <c r="C73" s="957"/>
      <c r="D73" s="957"/>
      <c r="E73" s="957"/>
      <c r="F73" s="957"/>
      <c r="G73" s="958" t="s">
        <v>7228</v>
      </c>
      <c r="H73" s="958"/>
      <c r="I73" s="958"/>
      <c r="J73" s="958"/>
      <c r="K73" s="958"/>
      <c r="L73" s="958"/>
      <c r="M73" s="958"/>
      <c r="N73" s="958"/>
      <c r="O73" s="958"/>
      <c r="P73" s="958"/>
      <c r="Q73" s="958"/>
      <c r="R73" s="958"/>
      <c r="S73" s="958"/>
      <c r="T73" s="958"/>
      <c r="U73" s="958"/>
      <c r="V73" s="958"/>
      <c r="W73" s="958"/>
      <c r="X73" s="958"/>
      <c r="Y73" s="958"/>
      <c r="Z73" s="958"/>
      <c r="AA73" s="958"/>
      <c r="AB73" s="958"/>
      <c r="AC73" s="942">
        <f ca="1">SUMIF(Codifica_SP!$J$2:$R$1445,B73,Codifica_SP!$R$2:$R$1445)</f>
        <v>48218432</v>
      </c>
      <c r="AD73" s="942"/>
      <c r="AE73" s="942"/>
      <c r="AF73" s="942"/>
      <c r="AG73" s="942"/>
      <c r="AH73" s="848" t="s">
        <v>7175</v>
      </c>
    </row>
    <row r="74" spans="1:34" s="855" customFormat="1" ht="15.75" customHeight="1" x14ac:dyDescent="0.25">
      <c r="A74" s="851"/>
      <c r="B74" s="951" t="s">
        <v>7229</v>
      </c>
      <c r="C74" s="951"/>
      <c r="D74" s="951"/>
      <c r="E74" s="951"/>
      <c r="F74" s="951"/>
      <c r="G74" s="952" t="s">
        <v>7230</v>
      </c>
      <c r="H74" s="952"/>
      <c r="I74" s="952"/>
      <c r="J74" s="952"/>
      <c r="K74" s="952"/>
      <c r="L74" s="952"/>
      <c r="M74" s="952"/>
      <c r="N74" s="952"/>
      <c r="O74" s="952"/>
      <c r="P74" s="952"/>
      <c r="Q74" s="952"/>
      <c r="R74" s="952"/>
      <c r="S74" s="952"/>
      <c r="T74" s="952"/>
      <c r="U74" s="952"/>
      <c r="V74" s="952"/>
      <c r="W74" s="952"/>
      <c r="X74" s="952"/>
      <c r="Y74" s="952"/>
      <c r="Z74" s="952"/>
      <c r="AA74" s="952"/>
      <c r="AB74" s="952"/>
      <c r="AC74" s="961">
        <f ca="1">+AC75-AC76</f>
        <v>5374645</v>
      </c>
      <c r="AD74" s="961"/>
      <c r="AE74" s="961"/>
      <c r="AF74" s="961"/>
      <c r="AG74" s="961"/>
      <c r="AH74" s="848" t="s">
        <v>7175</v>
      </c>
    </row>
    <row r="75" spans="1:34" s="855" customFormat="1" ht="15.75" customHeight="1" x14ac:dyDescent="0.25">
      <c r="A75" s="851"/>
      <c r="B75" s="957" t="s">
        <v>662</v>
      </c>
      <c r="C75" s="957"/>
      <c r="D75" s="957"/>
      <c r="E75" s="957"/>
      <c r="F75" s="957"/>
      <c r="G75" s="958" t="s">
        <v>7231</v>
      </c>
      <c r="H75" s="958"/>
      <c r="I75" s="958"/>
      <c r="J75" s="958"/>
      <c r="K75" s="958"/>
      <c r="L75" s="958"/>
      <c r="M75" s="958"/>
      <c r="N75" s="958"/>
      <c r="O75" s="958"/>
      <c r="P75" s="958"/>
      <c r="Q75" s="958"/>
      <c r="R75" s="958"/>
      <c r="S75" s="958"/>
      <c r="T75" s="958"/>
      <c r="U75" s="958"/>
      <c r="V75" s="958"/>
      <c r="W75" s="958"/>
      <c r="X75" s="958"/>
      <c r="Y75" s="958"/>
      <c r="Z75" s="958"/>
      <c r="AA75" s="958"/>
      <c r="AB75" s="958"/>
      <c r="AC75" s="942">
        <f ca="1">SUMIF(Codifica_SP!$J$2:$R$1445,B75,Codifica_SP!$R$2:$R$1445)</f>
        <v>69161530</v>
      </c>
      <c r="AD75" s="942"/>
      <c r="AE75" s="942"/>
      <c r="AF75" s="942"/>
      <c r="AG75" s="942"/>
      <c r="AH75" s="848" t="s">
        <v>7175</v>
      </c>
    </row>
    <row r="76" spans="1:34" s="855" customFormat="1" ht="15.75" customHeight="1" x14ac:dyDescent="0.25">
      <c r="A76" s="851"/>
      <c r="B76" s="957" t="s">
        <v>685</v>
      </c>
      <c r="C76" s="957"/>
      <c r="D76" s="957"/>
      <c r="E76" s="957"/>
      <c r="F76" s="957"/>
      <c r="G76" s="958" t="s">
        <v>7232</v>
      </c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958"/>
      <c r="W76" s="958"/>
      <c r="X76" s="958"/>
      <c r="Y76" s="958"/>
      <c r="Z76" s="958"/>
      <c r="AA76" s="958"/>
      <c r="AB76" s="958"/>
      <c r="AC76" s="942">
        <f ca="1">SUMIF(Codifica_SP!$J$2:$R$1445,B76,Codifica_SP!$R$2:$R$1445)</f>
        <v>63786885</v>
      </c>
      <c r="AD76" s="942"/>
      <c r="AE76" s="942"/>
      <c r="AF76" s="942"/>
      <c r="AG76" s="942"/>
      <c r="AH76" s="848" t="s">
        <v>7175</v>
      </c>
    </row>
    <row r="77" spans="1:34" s="855" customFormat="1" ht="15.75" customHeight="1" x14ac:dyDescent="0.25">
      <c r="A77" s="851"/>
      <c r="B77" s="951" t="s">
        <v>7233</v>
      </c>
      <c r="C77" s="951"/>
      <c r="D77" s="951"/>
      <c r="E77" s="951"/>
      <c r="F77" s="951"/>
      <c r="G77" s="952" t="s">
        <v>7234</v>
      </c>
      <c r="H77" s="952"/>
      <c r="I77" s="952"/>
      <c r="J77" s="952"/>
      <c r="K77" s="952"/>
      <c r="L77" s="952"/>
      <c r="M77" s="952"/>
      <c r="N77" s="952"/>
      <c r="O77" s="952"/>
      <c r="P77" s="952"/>
      <c r="Q77" s="952"/>
      <c r="R77" s="952"/>
      <c r="S77" s="952"/>
      <c r="T77" s="952"/>
      <c r="U77" s="952"/>
      <c r="V77" s="952"/>
      <c r="W77" s="952"/>
      <c r="X77" s="952"/>
      <c r="Y77" s="952"/>
      <c r="Z77" s="952"/>
      <c r="AA77" s="952"/>
      <c r="AB77" s="952"/>
      <c r="AC77" s="961">
        <f ca="1">+AC78-AC79</f>
        <v>391047</v>
      </c>
      <c r="AD77" s="961"/>
      <c r="AE77" s="961"/>
      <c r="AF77" s="961"/>
      <c r="AG77" s="961"/>
      <c r="AH77" s="848" t="s">
        <v>7175</v>
      </c>
    </row>
    <row r="78" spans="1:34" s="855" customFormat="1" ht="15.75" customHeight="1" x14ac:dyDescent="0.25">
      <c r="A78" s="851"/>
      <c r="B78" s="957" t="s">
        <v>712</v>
      </c>
      <c r="C78" s="957"/>
      <c r="D78" s="957"/>
      <c r="E78" s="957"/>
      <c r="F78" s="957"/>
      <c r="G78" s="958" t="s">
        <v>7235</v>
      </c>
      <c r="H78" s="958"/>
      <c r="I78" s="958"/>
      <c r="J78" s="958"/>
      <c r="K78" s="958"/>
      <c r="L78" s="958"/>
      <c r="M78" s="958"/>
      <c r="N78" s="958"/>
      <c r="O78" s="958"/>
      <c r="P78" s="958"/>
      <c r="Q78" s="958"/>
      <c r="R78" s="958"/>
      <c r="S78" s="958"/>
      <c r="T78" s="958"/>
      <c r="U78" s="958"/>
      <c r="V78" s="958"/>
      <c r="W78" s="958"/>
      <c r="X78" s="958"/>
      <c r="Y78" s="958"/>
      <c r="Z78" s="958"/>
      <c r="AA78" s="958"/>
      <c r="AB78" s="958"/>
      <c r="AC78" s="942">
        <f ca="1">SUMIF(Codifica_SP!$J$2:$R$1445,B78,Codifica_SP!$R$2:$R$1445)</f>
        <v>7555687</v>
      </c>
      <c r="AD78" s="942"/>
      <c r="AE78" s="942"/>
      <c r="AF78" s="942"/>
      <c r="AG78" s="942"/>
      <c r="AH78" s="848" t="s">
        <v>7175</v>
      </c>
    </row>
    <row r="79" spans="1:34" s="855" customFormat="1" ht="15.75" customHeight="1" x14ac:dyDescent="0.25">
      <c r="A79" s="851"/>
      <c r="B79" s="957" t="s">
        <v>741</v>
      </c>
      <c r="C79" s="957"/>
      <c r="D79" s="957"/>
      <c r="E79" s="957"/>
      <c r="F79" s="957"/>
      <c r="G79" s="958" t="s">
        <v>7236</v>
      </c>
      <c r="H79" s="958"/>
      <c r="I79" s="958"/>
      <c r="J79" s="958"/>
      <c r="K79" s="958"/>
      <c r="L79" s="958"/>
      <c r="M79" s="958"/>
      <c r="N79" s="958"/>
      <c r="O79" s="958"/>
      <c r="P79" s="958"/>
      <c r="Q79" s="958"/>
      <c r="R79" s="958"/>
      <c r="S79" s="958"/>
      <c r="T79" s="958"/>
      <c r="U79" s="958"/>
      <c r="V79" s="958"/>
      <c r="W79" s="958"/>
      <c r="X79" s="958"/>
      <c r="Y79" s="958"/>
      <c r="Z79" s="958"/>
      <c r="AA79" s="958"/>
      <c r="AB79" s="958"/>
      <c r="AC79" s="942">
        <f ca="1">SUMIF(Codifica_SP!$J$2:$R$1445,B79,Codifica_SP!$R$2:$R$1445)</f>
        <v>7164640</v>
      </c>
      <c r="AD79" s="942"/>
      <c r="AE79" s="942"/>
      <c r="AF79" s="942"/>
      <c r="AG79" s="942"/>
      <c r="AH79" s="848" t="s">
        <v>7175</v>
      </c>
    </row>
    <row r="80" spans="1:34" s="855" customFormat="1" ht="15.75" customHeight="1" x14ac:dyDescent="0.25">
      <c r="A80" s="851"/>
      <c r="B80" s="951" t="s">
        <v>7237</v>
      </c>
      <c r="C80" s="951"/>
      <c r="D80" s="951"/>
      <c r="E80" s="951"/>
      <c r="F80" s="951"/>
      <c r="G80" s="952" t="s">
        <v>7238</v>
      </c>
      <c r="H80" s="952"/>
      <c r="I80" s="952"/>
      <c r="J80" s="952"/>
      <c r="K80" s="952"/>
      <c r="L80" s="952"/>
      <c r="M80" s="952"/>
      <c r="N80" s="952"/>
      <c r="O80" s="952"/>
      <c r="P80" s="952"/>
      <c r="Q80" s="952"/>
      <c r="R80" s="952"/>
      <c r="S80" s="952"/>
      <c r="T80" s="952"/>
      <c r="U80" s="952"/>
      <c r="V80" s="952"/>
      <c r="W80" s="952"/>
      <c r="X80" s="952"/>
      <c r="Y80" s="952"/>
      <c r="Z80" s="952"/>
      <c r="AA80" s="952"/>
      <c r="AB80" s="952"/>
      <c r="AC80" s="961">
        <f ca="1">+AC81-AC82</f>
        <v>0</v>
      </c>
      <c r="AD80" s="961"/>
      <c r="AE80" s="961"/>
      <c r="AF80" s="961"/>
      <c r="AG80" s="961"/>
      <c r="AH80" s="848" t="s">
        <v>7175</v>
      </c>
    </row>
    <row r="81" spans="1:34" s="855" customFormat="1" ht="15.75" customHeight="1" x14ac:dyDescent="0.25">
      <c r="A81" s="851"/>
      <c r="B81" s="957" t="s">
        <v>774</v>
      </c>
      <c r="C81" s="957"/>
      <c r="D81" s="957"/>
      <c r="E81" s="957"/>
      <c r="F81" s="957"/>
      <c r="G81" s="958" t="s">
        <v>7239</v>
      </c>
      <c r="H81" s="958"/>
      <c r="I81" s="958"/>
      <c r="J81" s="958"/>
      <c r="K81" s="958"/>
      <c r="L81" s="958"/>
      <c r="M81" s="958"/>
      <c r="N81" s="958"/>
      <c r="O81" s="958"/>
      <c r="P81" s="958"/>
      <c r="Q81" s="958"/>
      <c r="R81" s="958"/>
      <c r="S81" s="958"/>
      <c r="T81" s="958"/>
      <c r="U81" s="958"/>
      <c r="V81" s="958"/>
      <c r="W81" s="958"/>
      <c r="X81" s="958"/>
      <c r="Y81" s="958"/>
      <c r="Z81" s="958"/>
      <c r="AA81" s="958"/>
      <c r="AB81" s="958"/>
      <c r="AC81" s="942">
        <f ca="1">SUMIF(Codifica_SP!$J$2:$R$1445,B81,Codifica_SP!$R$2:$R$1445)</f>
        <v>930515</v>
      </c>
      <c r="AD81" s="942"/>
      <c r="AE81" s="942"/>
      <c r="AF81" s="942"/>
      <c r="AG81" s="942"/>
      <c r="AH81" s="848" t="s">
        <v>7175</v>
      </c>
    </row>
    <row r="82" spans="1:34" s="855" customFormat="1" ht="15.75" customHeight="1" x14ac:dyDescent="0.25">
      <c r="A82" s="851"/>
      <c r="B82" s="957" t="s">
        <v>809</v>
      </c>
      <c r="C82" s="957"/>
      <c r="D82" s="957"/>
      <c r="E82" s="957"/>
      <c r="F82" s="957"/>
      <c r="G82" s="958" t="s">
        <v>7240</v>
      </c>
      <c r="H82" s="958"/>
      <c r="I82" s="958"/>
      <c r="J82" s="958"/>
      <c r="K82" s="958"/>
      <c r="L82" s="958"/>
      <c r="M82" s="958"/>
      <c r="N82" s="958"/>
      <c r="O82" s="958"/>
      <c r="P82" s="958"/>
      <c r="Q82" s="958"/>
      <c r="R82" s="958"/>
      <c r="S82" s="958"/>
      <c r="T82" s="958"/>
      <c r="U82" s="958"/>
      <c r="V82" s="958"/>
      <c r="W82" s="958"/>
      <c r="X82" s="958"/>
      <c r="Y82" s="958"/>
      <c r="Z82" s="958"/>
      <c r="AA82" s="958"/>
      <c r="AB82" s="958"/>
      <c r="AC82" s="942">
        <f ca="1">SUMIF(Codifica_SP!$J$2:$R$1445,B82,Codifica_SP!$R$2:$R$1445)</f>
        <v>930515</v>
      </c>
      <c r="AD82" s="942"/>
      <c r="AE82" s="942"/>
      <c r="AF82" s="942"/>
      <c r="AG82" s="942"/>
      <c r="AH82" s="848" t="s">
        <v>7175</v>
      </c>
    </row>
    <row r="83" spans="1:34" s="855" customFormat="1" ht="15.75" customHeight="1" x14ac:dyDescent="0.25">
      <c r="A83" s="851"/>
      <c r="B83" s="951" t="s">
        <v>844</v>
      </c>
      <c r="C83" s="951"/>
      <c r="D83" s="951"/>
      <c r="E83" s="951"/>
      <c r="F83" s="951"/>
      <c r="G83" s="952" t="s">
        <v>7241</v>
      </c>
      <c r="H83" s="952"/>
      <c r="I83" s="952"/>
      <c r="J83" s="952"/>
      <c r="K83" s="952"/>
      <c r="L83" s="952"/>
      <c r="M83" s="952"/>
      <c r="N83" s="952"/>
      <c r="O83" s="952"/>
      <c r="P83" s="952"/>
      <c r="Q83" s="952"/>
      <c r="R83" s="952"/>
      <c r="S83" s="952"/>
      <c r="T83" s="952"/>
      <c r="U83" s="952"/>
      <c r="V83" s="952"/>
      <c r="W83" s="952"/>
      <c r="X83" s="952"/>
      <c r="Y83" s="952"/>
      <c r="Z83" s="952"/>
      <c r="AA83" s="952"/>
      <c r="AB83" s="952"/>
      <c r="AC83" s="942">
        <f ca="1">SUMIF(Codifica_SP!$I$2:$R$1445,B83,Codifica_SP!$R$2:$R$1445)</f>
        <v>113139</v>
      </c>
      <c r="AD83" s="942"/>
      <c r="AE83" s="942"/>
      <c r="AF83" s="942"/>
      <c r="AG83" s="942"/>
      <c r="AH83" s="848" t="s">
        <v>7175</v>
      </c>
    </row>
    <row r="84" spans="1:34" s="855" customFormat="1" ht="15.75" customHeight="1" x14ac:dyDescent="0.25">
      <c r="A84" s="851"/>
      <c r="B84" s="951" t="s">
        <v>7242</v>
      </c>
      <c r="C84" s="951"/>
      <c r="D84" s="951"/>
      <c r="E84" s="951"/>
      <c r="F84" s="951"/>
      <c r="G84" s="952" t="s">
        <v>7243</v>
      </c>
      <c r="H84" s="952"/>
      <c r="I84" s="952"/>
      <c r="J84" s="952"/>
      <c r="K84" s="952"/>
      <c r="L84" s="952"/>
      <c r="M84" s="952"/>
      <c r="N84" s="952"/>
      <c r="O84" s="952"/>
      <c r="P84" s="952"/>
      <c r="Q84" s="952"/>
      <c r="R84" s="952"/>
      <c r="S84" s="952"/>
      <c r="T84" s="952"/>
      <c r="U84" s="952"/>
      <c r="V84" s="952"/>
      <c r="W84" s="952"/>
      <c r="X84" s="952"/>
      <c r="Y84" s="952"/>
      <c r="Z84" s="952"/>
      <c r="AA84" s="952"/>
      <c r="AB84" s="952"/>
      <c r="AC84" s="961">
        <f ca="1">+AC85-AC86</f>
        <v>607953</v>
      </c>
      <c r="AD84" s="961"/>
      <c r="AE84" s="961"/>
      <c r="AF84" s="961"/>
      <c r="AG84" s="961"/>
      <c r="AH84" s="848" t="s">
        <v>7175</v>
      </c>
    </row>
    <row r="85" spans="1:34" s="855" customFormat="1" ht="15.75" customHeight="1" x14ac:dyDescent="0.25">
      <c r="A85" s="851"/>
      <c r="B85" s="957" t="s">
        <v>860</v>
      </c>
      <c r="C85" s="957"/>
      <c r="D85" s="957"/>
      <c r="E85" s="957"/>
      <c r="F85" s="957"/>
      <c r="G85" s="958" t="s">
        <v>7244</v>
      </c>
      <c r="H85" s="958"/>
      <c r="I85" s="958"/>
      <c r="J85" s="958"/>
      <c r="K85" s="958"/>
      <c r="L85" s="958"/>
      <c r="M85" s="958"/>
      <c r="N85" s="958"/>
      <c r="O85" s="958"/>
      <c r="P85" s="958"/>
      <c r="Q85" s="958"/>
      <c r="R85" s="958"/>
      <c r="S85" s="958"/>
      <c r="T85" s="958"/>
      <c r="U85" s="958"/>
      <c r="V85" s="958"/>
      <c r="W85" s="958"/>
      <c r="X85" s="958"/>
      <c r="Y85" s="958"/>
      <c r="Z85" s="958"/>
      <c r="AA85" s="958"/>
      <c r="AB85" s="958"/>
      <c r="AC85" s="942">
        <f ca="1">SUMIF(Codifica_SP!$J$2:$R$1445,B85,Codifica_SP!$R$2:$R$1445)</f>
        <v>9220312</v>
      </c>
      <c r="AD85" s="942"/>
      <c r="AE85" s="942"/>
      <c r="AF85" s="942"/>
      <c r="AG85" s="942"/>
      <c r="AH85" s="848" t="s">
        <v>7175</v>
      </c>
    </row>
    <row r="86" spans="1:34" s="855" customFormat="1" ht="15.75" customHeight="1" x14ac:dyDescent="0.25">
      <c r="A86" s="851"/>
      <c r="B86" s="957" t="s">
        <v>901</v>
      </c>
      <c r="C86" s="957"/>
      <c r="D86" s="957"/>
      <c r="E86" s="957"/>
      <c r="F86" s="957"/>
      <c r="G86" s="958" t="s">
        <v>7245</v>
      </c>
      <c r="H86" s="958"/>
      <c r="I86" s="958"/>
      <c r="J86" s="958"/>
      <c r="K86" s="958"/>
      <c r="L86" s="958"/>
      <c r="M86" s="958"/>
      <c r="N86" s="958"/>
      <c r="O86" s="958"/>
      <c r="P86" s="958"/>
      <c r="Q86" s="958"/>
      <c r="R86" s="958"/>
      <c r="S86" s="958"/>
      <c r="T86" s="958"/>
      <c r="U86" s="958"/>
      <c r="V86" s="958"/>
      <c r="W86" s="958"/>
      <c r="X86" s="958"/>
      <c r="Y86" s="958"/>
      <c r="Z86" s="958"/>
      <c r="AA86" s="958"/>
      <c r="AB86" s="958"/>
      <c r="AC86" s="942">
        <f ca="1">SUMIF(Codifica_SP!$J$2:$R$1445,B86,Codifica_SP!$R$2:$R$1445)</f>
        <v>8612359</v>
      </c>
      <c r="AD86" s="942"/>
      <c r="AE86" s="942"/>
      <c r="AF86" s="942"/>
      <c r="AG86" s="942"/>
      <c r="AH86" s="848" t="s">
        <v>7175</v>
      </c>
    </row>
    <row r="87" spans="1:34" s="855" customFormat="1" ht="15.75" customHeight="1" x14ac:dyDescent="0.25">
      <c r="A87" s="851"/>
      <c r="B87" s="951" t="s">
        <v>942</v>
      </c>
      <c r="C87" s="951"/>
      <c r="D87" s="951"/>
      <c r="E87" s="951"/>
      <c r="F87" s="951"/>
      <c r="G87" s="952" t="s">
        <v>7246</v>
      </c>
      <c r="H87" s="952"/>
      <c r="I87" s="952"/>
      <c r="J87" s="952"/>
      <c r="K87" s="952"/>
      <c r="L87" s="952"/>
      <c r="M87" s="952"/>
      <c r="N87" s="952"/>
      <c r="O87" s="952"/>
      <c r="P87" s="952"/>
      <c r="Q87" s="952"/>
      <c r="R87" s="952"/>
      <c r="S87" s="952"/>
      <c r="T87" s="952"/>
      <c r="U87" s="952"/>
      <c r="V87" s="952"/>
      <c r="W87" s="952"/>
      <c r="X87" s="952"/>
      <c r="Y87" s="952"/>
      <c r="Z87" s="952"/>
      <c r="AA87" s="952"/>
      <c r="AB87" s="952"/>
      <c r="AC87" s="968">
        <f ca="1">SUMIF(Codifica_SP!$I$2:$R$1445,B87,Codifica_SP!$R$2:$R$1445)</f>
        <v>1212142</v>
      </c>
      <c r="AD87" s="968"/>
      <c r="AE87" s="968"/>
      <c r="AF87" s="968"/>
      <c r="AG87" s="968"/>
      <c r="AH87" s="848" t="s">
        <v>7175</v>
      </c>
    </row>
    <row r="88" spans="1:34" s="855" customFormat="1" ht="15.75" customHeight="1" x14ac:dyDescent="0.25">
      <c r="A88" s="858"/>
      <c r="B88" s="978" t="s">
        <v>7247</v>
      </c>
      <c r="C88" s="978"/>
      <c r="D88" s="978"/>
      <c r="E88" s="978"/>
      <c r="F88" s="978"/>
      <c r="G88" s="979" t="s">
        <v>7248</v>
      </c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80">
        <f ca="1">SUM(AC89:AC96)</f>
        <v>0</v>
      </c>
      <c r="AD88" s="980"/>
      <c r="AE88" s="980"/>
      <c r="AF88" s="980"/>
      <c r="AG88" s="980"/>
      <c r="AH88" s="848" t="s">
        <v>7175</v>
      </c>
    </row>
    <row r="89" spans="1:34" s="855" customFormat="1" ht="15.75" customHeight="1" x14ac:dyDescent="0.25">
      <c r="A89" s="851"/>
      <c r="B89" s="957" t="s">
        <v>960</v>
      </c>
      <c r="C89" s="957"/>
      <c r="D89" s="957"/>
      <c r="E89" s="957"/>
      <c r="F89" s="957"/>
      <c r="G89" s="958" t="s">
        <v>7249</v>
      </c>
      <c r="H89" s="958"/>
      <c r="I89" s="958"/>
      <c r="J89" s="958"/>
      <c r="K89" s="958"/>
      <c r="L89" s="958"/>
      <c r="M89" s="958"/>
      <c r="N89" s="958"/>
      <c r="O89" s="958"/>
      <c r="P89" s="958"/>
      <c r="Q89" s="958"/>
      <c r="R89" s="958"/>
      <c r="S89" s="958"/>
      <c r="T89" s="958"/>
      <c r="U89" s="958"/>
      <c r="V89" s="958"/>
      <c r="W89" s="958"/>
      <c r="X89" s="958"/>
      <c r="Y89" s="958"/>
      <c r="Z89" s="958"/>
      <c r="AA89" s="958"/>
      <c r="AB89" s="958"/>
      <c r="AC89" s="942">
        <f ca="1">SUMIF(Codifica_SP!$J$2:$R$1445,B89,Codifica_SP!$R$2:$R$1445)</f>
        <v>0</v>
      </c>
      <c r="AD89" s="942"/>
      <c r="AE89" s="942"/>
      <c r="AF89" s="942"/>
      <c r="AG89" s="942"/>
      <c r="AH89" s="848" t="s">
        <v>7175</v>
      </c>
    </row>
    <row r="90" spans="1:34" s="855" customFormat="1" ht="15.75" customHeight="1" x14ac:dyDescent="0.25">
      <c r="A90" s="851"/>
      <c r="B90" s="957" t="s">
        <v>977</v>
      </c>
      <c r="C90" s="957"/>
      <c r="D90" s="957"/>
      <c r="E90" s="957"/>
      <c r="F90" s="957"/>
      <c r="G90" s="958" t="s">
        <v>7250</v>
      </c>
      <c r="H90" s="958"/>
      <c r="I90" s="958"/>
      <c r="J90" s="958"/>
      <c r="K90" s="958"/>
      <c r="L90" s="958"/>
      <c r="M90" s="958"/>
      <c r="N90" s="958"/>
      <c r="O90" s="958"/>
      <c r="P90" s="958"/>
      <c r="Q90" s="958"/>
      <c r="R90" s="958"/>
      <c r="S90" s="958"/>
      <c r="T90" s="958"/>
      <c r="U90" s="958"/>
      <c r="V90" s="958"/>
      <c r="W90" s="958"/>
      <c r="X90" s="958"/>
      <c r="Y90" s="958"/>
      <c r="Z90" s="958"/>
      <c r="AA90" s="958"/>
      <c r="AB90" s="958"/>
      <c r="AC90" s="942">
        <f ca="1">SUMIF(Codifica_SP!$J$2:$R$1445,B90,Codifica_SP!$R$2:$R$1445)</f>
        <v>0</v>
      </c>
      <c r="AD90" s="942"/>
      <c r="AE90" s="942"/>
      <c r="AF90" s="942"/>
      <c r="AG90" s="942"/>
      <c r="AH90" s="848" t="s">
        <v>7175</v>
      </c>
    </row>
    <row r="91" spans="1:34" s="855" customFormat="1" ht="15.75" customHeight="1" x14ac:dyDescent="0.25">
      <c r="A91" s="851"/>
      <c r="B91" s="957" t="s">
        <v>994</v>
      </c>
      <c r="C91" s="957"/>
      <c r="D91" s="957"/>
      <c r="E91" s="957"/>
      <c r="F91" s="957"/>
      <c r="G91" s="958" t="s">
        <v>7251</v>
      </c>
      <c r="H91" s="958"/>
      <c r="I91" s="958"/>
      <c r="J91" s="958"/>
      <c r="K91" s="958"/>
      <c r="L91" s="958"/>
      <c r="M91" s="958"/>
      <c r="N91" s="958"/>
      <c r="O91" s="958"/>
      <c r="P91" s="958"/>
      <c r="Q91" s="958"/>
      <c r="R91" s="958"/>
      <c r="S91" s="958"/>
      <c r="T91" s="958"/>
      <c r="U91" s="958"/>
      <c r="V91" s="958"/>
      <c r="W91" s="958"/>
      <c r="X91" s="958"/>
      <c r="Y91" s="958"/>
      <c r="Z91" s="958"/>
      <c r="AA91" s="958"/>
      <c r="AB91" s="958"/>
      <c r="AC91" s="942">
        <f ca="1">SUMIF(Codifica_SP!$J$2:$R$1445,B91,Codifica_SP!$R$2:$R$1445)</f>
        <v>0</v>
      </c>
      <c r="AD91" s="942"/>
      <c r="AE91" s="942"/>
      <c r="AF91" s="942"/>
      <c r="AG91" s="942"/>
      <c r="AH91" s="848" t="s">
        <v>7175</v>
      </c>
    </row>
    <row r="92" spans="1:34" s="855" customFormat="1" ht="15.75" customHeight="1" x14ac:dyDescent="0.25">
      <c r="A92" s="851"/>
      <c r="B92" s="957" t="s">
        <v>1005</v>
      </c>
      <c r="C92" s="957"/>
      <c r="D92" s="957"/>
      <c r="E92" s="957"/>
      <c r="F92" s="957"/>
      <c r="G92" s="958" t="s">
        <v>7252</v>
      </c>
      <c r="H92" s="958"/>
      <c r="I92" s="958"/>
      <c r="J92" s="958"/>
      <c r="K92" s="958"/>
      <c r="L92" s="958"/>
      <c r="M92" s="958"/>
      <c r="N92" s="958"/>
      <c r="O92" s="958"/>
      <c r="P92" s="958"/>
      <c r="Q92" s="958"/>
      <c r="R92" s="958"/>
      <c r="S92" s="958"/>
      <c r="T92" s="958"/>
      <c r="U92" s="958"/>
      <c r="V92" s="958"/>
      <c r="W92" s="958"/>
      <c r="X92" s="958"/>
      <c r="Y92" s="958"/>
      <c r="Z92" s="958"/>
      <c r="AA92" s="958"/>
      <c r="AB92" s="958"/>
      <c r="AC92" s="942">
        <f ca="1">SUMIF(Codifica_SP!$J$2:$R$1445,B92,Codifica_SP!$R$2:$R$1445)</f>
        <v>0</v>
      </c>
      <c r="AD92" s="942"/>
      <c r="AE92" s="942"/>
      <c r="AF92" s="942"/>
      <c r="AG92" s="942"/>
      <c r="AH92" s="848" t="s">
        <v>7175</v>
      </c>
    </row>
    <row r="93" spans="1:34" s="855" customFormat="1" ht="15.75" customHeight="1" x14ac:dyDescent="0.25">
      <c r="A93" s="851"/>
      <c r="B93" s="957" t="s">
        <v>1022</v>
      </c>
      <c r="C93" s="957"/>
      <c r="D93" s="957"/>
      <c r="E93" s="957"/>
      <c r="F93" s="957"/>
      <c r="G93" s="958" t="s">
        <v>7253</v>
      </c>
      <c r="H93" s="958"/>
      <c r="I93" s="958"/>
      <c r="J93" s="958"/>
      <c r="K93" s="958"/>
      <c r="L93" s="958"/>
      <c r="M93" s="958"/>
      <c r="N93" s="958"/>
      <c r="O93" s="958"/>
      <c r="P93" s="958"/>
      <c r="Q93" s="958"/>
      <c r="R93" s="958"/>
      <c r="S93" s="958"/>
      <c r="T93" s="958"/>
      <c r="U93" s="958"/>
      <c r="V93" s="958"/>
      <c r="W93" s="958"/>
      <c r="X93" s="958"/>
      <c r="Y93" s="958"/>
      <c r="Z93" s="958"/>
      <c r="AA93" s="958"/>
      <c r="AB93" s="958"/>
      <c r="AC93" s="942">
        <f ca="1">SUMIF(Codifica_SP!$J$2:$R$1445,B93,Codifica_SP!$R$2:$R$1445)</f>
        <v>0</v>
      </c>
      <c r="AD93" s="942"/>
      <c r="AE93" s="942"/>
      <c r="AF93" s="942"/>
      <c r="AG93" s="942"/>
      <c r="AH93" s="848" t="s">
        <v>7175</v>
      </c>
    </row>
    <row r="94" spans="1:34" s="855" customFormat="1" ht="15.75" customHeight="1" x14ac:dyDescent="0.25">
      <c r="A94" s="851"/>
      <c r="B94" s="957" t="s">
        <v>1033</v>
      </c>
      <c r="C94" s="957"/>
      <c r="D94" s="957"/>
      <c r="E94" s="957"/>
      <c r="F94" s="957"/>
      <c r="G94" s="958" t="s">
        <v>7254</v>
      </c>
      <c r="H94" s="958"/>
      <c r="I94" s="958"/>
      <c r="J94" s="958"/>
      <c r="K94" s="958"/>
      <c r="L94" s="958"/>
      <c r="M94" s="958"/>
      <c r="N94" s="958"/>
      <c r="O94" s="958"/>
      <c r="P94" s="958"/>
      <c r="Q94" s="958"/>
      <c r="R94" s="958"/>
      <c r="S94" s="958"/>
      <c r="T94" s="958"/>
      <c r="U94" s="958"/>
      <c r="V94" s="958"/>
      <c r="W94" s="958"/>
      <c r="X94" s="958"/>
      <c r="Y94" s="958"/>
      <c r="Z94" s="958"/>
      <c r="AA94" s="958"/>
      <c r="AB94" s="958"/>
      <c r="AC94" s="942">
        <f ca="1">SUMIF(Codifica_SP!$J$2:$R$1445,B94,Codifica_SP!$R$2:$R$1445)</f>
        <v>0</v>
      </c>
      <c r="AD94" s="942"/>
      <c r="AE94" s="942"/>
      <c r="AF94" s="942"/>
      <c r="AG94" s="942"/>
      <c r="AH94" s="848" t="s">
        <v>7175</v>
      </c>
    </row>
    <row r="95" spans="1:34" s="855" customFormat="1" ht="15.75" customHeight="1" x14ac:dyDescent="0.25">
      <c r="A95" s="851"/>
      <c r="B95" s="957" t="s">
        <v>1044</v>
      </c>
      <c r="C95" s="957"/>
      <c r="D95" s="957"/>
      <c r="E95" s="957"/>
      <c r="F95" s="957"/>
      <c r="G95" s="958" t="s">
        <v>7255</v>
      </c>
      <c r="H95" s="958"/>
      <c r="I95" s="958"/>
      <c r="J95" s="958"/>
      <c r="K95" s="958"/>
      <c r="L95" s="958"/>
      <c r="M95" s="958"/>
      <c r="N95" s="958"/>
      <c r="O95" s="958"/>
      <c r="P95" s="958"/>
      <c r="Q95" s="958"/>
      <c r="R95" s="958"/>
      <c r="S95" s="958"/>
      <c r="T95" s="958"/>
      <c r="U95" s="958"/>
      <c r="V95" s="958"/>
      <c r="W95" s="958"/>
      <c r="X95" s="958"/>
      <c r="Y95" s="958"/>
      <c r="Z95" s="958"/>
      <c r="AA95" s="958"/>
      <c r="AB95" s="958"/>
      <c r="AC95" s="942">
        <f ca="1">SUMIF(Codifica_SP!$J$2:$R$1445,B95,Codifica_SP!$R$2:$R$1445)</f>
        <v>0</v>
      </c>
      <c r="AD95" s="942"/>
      <c r="AE95" s="942"/>
      <c r="AF95" s="942"/>
      <c r="AG95" s="942"/>
      <c r="AH95" s="848" t="s">
        <v>7175</v>
      </c>
    </row>
    <row r="96" spans="1:34" s="855" customFormat="1" ht="15.75" customHeight="1" x14ac:dyDescent="0.25">
      <c r="A96" s="857"/>
      <c r="B96" s="973" t="s">
        <v>1052</v>
      </c>
      <c r="C96" s="973"/>
      <c r="D96" s="973"/>
      <c r="E96" s="973"/>
      <c r="F96" s="973"/>
      <c r="G96" s="974" t="s">
        <v>7256</v>
      </c>
      <c r="H96" s="974"/>
      <c r="I96" s="974"/>
      <c r="J96" s="974"/>
      <c r="K96" s="974"/>
      <c r="L96" s="974"/>
      <c r="M96" s="974"/>
      <c r="N96" s="974"/>
      <c r="O96" s="974"/>
      <c r="P96" s="974"/>
      <c r="Q96" s="974"/>
      <c r="R96" s="974"/>
      <c r="S96" s="974"/>
      <c r="T96" s="974"/>
      <c r="U96" s="974"/>
      <c r="V96" s="974"/>
      <c r="W96" s="974"/>
      <c r="X96" s="974"/>
      <c r="Y96" s="974"/>
      <c r="Z96" s="974"/>
      <c r="AA96" s="974"/>
      <c r="AB96" s="974"/>
      <c r="AC96" s="942">
        <f ca="1">SUMIF(Codifica_SP!$J$2:$R$1445,B96,Codifica_SP!$R$2:$R$1445)</f>
        <v>0</v>
      </c>
      <c r="AD96" s="942"/>
      <c r="AE96" s="942"/>
      <c r="AF96" s="942"/>
      <c r="AG96" s="942"/>
      <c r="AH96" s="848" t="s">
        <v>7175</v>
      </c>
    </row>
    <row r="97" spans="1:36" s="855" customFormat="1" ht="15.75" customHeight="1" x14ac:dyDescent="0.25">
      <c r="A97" s="856"/>
      <c r="B97" s="955" t="s">
        <v>7257</v>
      </c>
      <c r="C97" s="955"/>
      <c r="D97" s="955"/>
      <c r="E97" s="955"/>
      <c r="F97" s="955"/>
      <c r="G97" s="946" t="s">
        <v>7258</v>
      </c>
      <c r="H97" s="946"/>
      <c r="I97" s="946"/>
      <c r="J97" s="946"/>
      <c r="K97" s="946"/>
      <c r="L97" s="946"/>
      <c r="M97" s="946"/>
      <c r="N97" s="946"/>
      <c r="O97" s="946"/>
      <c r="P97" s="946"/>
      <c r="Q97" s="946"/>
      <c r="R97" s="946"/>
      <c r="S97" s="946"/>
      <c r="T97" s="946"/>
      <c r="U97" s="946"/>
      <c r="V97" s="946"/>
      <c r="W97" s="946"/>
      <c r="X97" s="946"/>
      <c r="Y97" s="946"/>
      <c r="Z97" s="946"/>
      <c r="AA97" s="946"/>
      <c r="AB97" s="946"/>
      <c r="AC97" s="956">
        <f ca="1">SUM(AC98+AC103)</f>
        <v>0</v>
      </c>
      <c r="AD97" s="956"/>
      <c r="AE97" s="956"/>
      <c r="AF97" s="956"/>
      <c r="AG97" s="956"/>
      <c r="AH97" s="848" t="s">
        <v>7175</v>
      </c>
      <c r="AI97" s="859">
        <f ca="1">AJ97-AC97</f>
        <v>0</v>
      </c>
      <c r="AJ97" s="855">
        <f>'NI-San_SP'!O482</f>
        <v>0</v>
      </c>
    </row>
    <row r="98" spans="1:36" s="855" customFormat="1" ht="15.75" customHeight="1" x14ac:dyDescent="0.25">
      <c r="A98" s="851"/>
      <c r="B98" s="951" t="s">
        <v>7259</v>
      </c>
      <c r="C98" s="951"/>
      <c r="D98" s="951"/>
      <c r="E98" s="951"/>
      <c r="F98" s="951"/>
      <c r="G98" s="952" t="s">
        <v>7260</v>
      </c>
      <c r="H98" s="952"/>
      <c r="I98" s="952"/>
      <c r="J98" s="952"/>
      <c r="K98" s="952"/>
      <c r="L98" s="952"/>
      <c r="M98" s="952"/>
      <c r="N98" s="952"/>
      <c r="O98" s="952"/>
      <c r="P98" s="952"/>
      <c r="Q98" s="952"/>
      <c r="R98" s="952"/>
      <c r="S98" s="952"/>
      <c r="T98" s="952"/>
      <c r="U98" s="952"/>
      <c r="V98" s="952"/>
      <c r="W98" s="952"/>
      <c r="X98" s="952"/>
      <c r="Y98" s="952"/>
      <c r="Z98" s="952"/>
      <c r="AA98" s="952"/>
      <c r="AB98" s="952"/>
      <c r="AC98" s="961">
        <f ca="1">SUM(AC99:AC102)</f>
        <v>0</v>
      </c>
      <c r="AD98" s="961"/>
      <c r="AE98" s="961"/>
      <c r="AF98" s="961"/>
      <c r="AG98" s="961"/>
      <c r="AH98" s="848" t="s">
        <v>7175</v>
      </c>
    </row>
    <row r="99" spans="1:36" s="855" customFormat="1" ht="15.75" customHeight="1" x14ac:dyDescent="0.25">
      <c r="A99" s="851"/>
      <c r="B99" s="957" t="s">
        <v>1070</v>
      </c>
      <c r="C99" s="957"/>
      <c r="D99" s="957"/>
      <c r="E99" s="957"/>
      <c r="F99" s="957"/>
      <c r="G99" s="958" t="s">
        <v>7261</v>
      </c>
      <c r="H99" s="958"/>
      <c r="I99" s="958"/>
      <c r="J99" s="958"/>
      <c r="K99" s="958"/>
      <c r="L99" s="958"/>
      <c r="M99" s="958"/>
      <c r="N99" s="958"/>
      <c r="O99" s="958"/>
      <c r="P99" s="958"/>
      <c r="Q99" s="958"/>
      <c r="R99" s="958"/>
      <c r="S99" s="958"/>
      <c r="T99" s="958"/>
      <c r="U99" s="958"/>
      <c r="V99" s="958"/>
      <c r="W99" s="958"/>
      <c r="X99" s="958"/>
      <c r="Y99" s="958"/>
      <c r="Z99" s="958"/>
      <c r="AA99" s="958"/>
      <c r="AB99" s="958"/>
      <c r="AC99" s="942">
        <f ca="1">SUMIF(Codifica_SP!$J$2:$R$1445,B99,Codifica_SP!$R$2:$R$1445)</f>
        <v>0</v>
      </c>
      <c r="AD99" s="942"/>
      <c r="AE99" s="942"/>
      <c r="AF99" s="942"/>
      <c r="AG99" s="942"/>
      <c r="AH99" s="848" t="s">
        <v>7175</v>
      </c>
    </row>
    <row r="100" spans="1:36" s="855" customFormat="1" ht="15.75" customHeight="1" x14ac:dyDescent="0.25">
      <c r="A100" s="851"/>
      <c r="B100" s="957" t="s">
        <v>1075</v>
      </c>
      <c r="C100" s="957"/>
      <c r="D100" s="957"/>
      <c r="E100" s="957"/>
      <c r="F100" s="957"/>
      <c r="G100" s="958" t="s">
        <v>7262</v>
      </c>
      <c r="H100" s="958"/>
      <c r="I100" s="958"/>
      <c r="J100" s="958"/>
      <c r="K100" s="958"/>
      <c r="L100" s="958"/>
      <c r="M100" s="958"/>
      <c r="N100" s="958"/>
      <c r="O100" s="958"/>
      <c r="P100" s="958"/>
      <c r="Q100" s="958"/>
      <c r="R100" s="958"/>
      <c r="S100" s="958"/>
      <c r="T100" s="958"/>
      <c r="U100" s="958"/>
      <c r="V100" s="958"/>
      <c r="W100" s="958"/>
      <c r="X100" s="958"/>
      <c r="Y100" s="958"/>
      <c r="Z100" s="958"/>
      <c r="AA100" s="958"/>
      <c r="AB100" s="958"/>
      <c r="AC100" s="942">
        <f ca="1">SUMIF(Codifica_SP!$J$2:$R$1445,B100,Codifica_SP!$R$2:$R$1445)</f>
        <v>0</v>
      </c>
      <c r="AD100" s="942"/>
      <c r="AE100" s="942"/>
      <c r="AF100" s="942"/>
      <c r="AG100" s="942"/>
      <c r="AH100" s="848" t="s">
        <v>7175</v>
      </c>
    </row>
    <row r="101" spans="1:36" s="855" customFormat="1" ht="18" customHeight="1" x14ac:dyDescent="0.25">
      <c r="A101" s="851"/>
      <c r="B101" s="962" t="s">
        <v>1080</v>
      </c>
      <c r="C101" s="962"/>
      <c r="D101" s="962"/>
      <c r="E101" s="962"/>
      <c r="F101" s="962"/>
      <c r="G101" s="963" t="s">
        <v>7263</v>
      </c>
      <c r="H101" s="963"/>
      <c r="I101" s="963"/>
      <c r="J101" s="963"/>
      <c r="K101" s="963"/>
      <c r="L101" s="963"/>
      <c r="M101" s="963"/>
      <c r="N101" s="963"/>
      <c r="O101" s="963"/>
      <c r="P101" s="963"/>
      <c r="Q101" s="963"/>
      <c r="R101" s="963"/>
      <c r="S101" s="963"/>
      <c r="T101" s="963"/>
      <c r="U101" s="963"/>
      <c r="V101" s="963"/>
      <c r="W101" s="963"/>
      <c r="X101" s="963"/>
      <c r="Y101" s="963"/>
      <c r="Z101" s="963"/>
      <c r="AA101" s="963"/>
      <c r="AB101" s="963"/>
      <c r="AC101" s="942">
        <f ca="1">SUMIF(Codifica_SP!$J$2:$R$1445,B101,Codifica_SP!$R$2:$R$1445)</f>
        <v>0</v>
      </c>
      <c r="AD101" s="942"/>
      <c r="AE101" s="942"/>
      <c r="AF101" s="942"/>
      <c r="AG101" s="942"/>
      <c r="AH101" s="848" t="s">
        <v>7175</v>
      </c>
    </row>
    <row r="102" spans="1:36" s="855" customFormat="1" ht="15.75" customHeight="1" x14ac:dyDescent="0.25">
      <c r="A102" s="851"/>
      <c r="B102" s="957" t="s">
        <v>1085</v>
      </c>
      <c r="C102" s="957"/>
      <c r="D102" s="957"/>
      <c r="E102" s="957"/>
      <c r="F102" s="957"/>
      <c r="G102" s="958" t="s">
        <v>7264</v>
      </c>
      <c r="H102" s="958"/>
      <c r="I102" s="958"/>
      <c r="J102" s="958"/>
      <c r="K102" s="958"/>
      <c r="L102" s="958"/>
      <c r="M102" s="958"/>
      <c r="N102" s="958"/>
      <c r="O102" s="958"/>
      <c r="P102" s="958"/>
      <c r="Q102" s="958"/>
      <c r="R102" s="958"/>
      <c r="S102" s="958"/>
      <c r="T102" s="958"/>
      <c r="U102" s="958"/>
      <c r="V102" s="958"/>
      <c r="W102" s="958"/>
      <c r="X102" s="958"/>
      <c r="Y102" s="958"/>
      <c r="Z102" s="958"/>
      <c r="AA102" s="958"/>
      <c r="AB102" s="958"/>
      <c r="AC102" s="942">
        <f>SUMIF(Codifica_SP!$I$2:$I$1445,B102,Codifica_SP!$R$2:$R$1445)</f>
        <v>0</v>
      </c>
      <c r="AD102" s="942"/>
      <c r="AE102" s="942"/>
      <c r="AF102" s="942"/>
      <c r="AG102" s="942"/>
      <c r="AH102" s="848" t="s">
        <v>7175</v>
      </c>
    </row>
    <row r="103" spans="1:36" s="855" customFormat="1" ht="15.75" customHeight="1" x14ac:dyDescent="0.25">
      <c r="A103" s="851"/>
      <c r="B103" s="951" t="s">
        <v>7265</v>
      </c>
      <c r="C103" s="951"/>
      <c r="D103" s="951"/>
      <c r="E103" s="951"/>
      <c r="F103" s="951"/>
      <c r="G103" s="952" t="s">
        <v>7266</v>
      </c>
      <c r="H103" s="952"/>
      <c r="I103" s="952"/>
      <c r="J103" s="952"/>
      <c r="K103" s="952"/>
      <c r="L103" s="952"/>
      <c r="M103" s="952"/>
      <c r="N103" s="952"/>
      <c r="O103" s="952"/>
      <c r="P103" s="952"/>
      <c r="Q103" s="952"/>
      <c r="R103" s="952"/>
      <c r="S103" s="952"/>
      <c r="T103" s="952"/>
      <c r="U103" s="952"/>
      <c r="V103" s="952"/>
      <c r="W103" s="952"/>
      <c r="X103" s="952"/>
      <c r="Y103" s="952"/>
      <c r="Z103" s="952"/>
      <c r="AA103" s="952"/>
      <c r="AB103" s="952"/>
      <c r="AC103" s="961">
        <f ca="1">AC104+AC105</f>
        <v>0</v>
      </c>
      <c r="AD103" s="961"/>
      <c r="AE103" s="961"/>
      <c r="AF103" s="961"/>
      <c r="AG103" s="961"/>
      <c r="AH103" s="848" t="s">
        <v>7175</v>
      </c>
    </row>
    <row r="104" spans="1:36" s="855" customFormat="1" ht="15" customHeight="1" x14ac:dyDescent="0.25">
      <c r="A104" s="851"/>
      <c r="B104" s="957" t="s">
        <v>1094</v>
      </c>
      <c r="C104" s="957"/>
      <c r="D104" s="957"/>
      <c r="E104" s="957"/>
      <c r="F104" s="957"/>
      <c r="G104" s="958" t="s">
        <v>7267</v>
      </c>
      <c r="H104" s="958"/>
      <c r="I104" s="958"/>
      <c r="J104" s="958"/>
      <c r="K104" s="958"/>
      <c r="L104" s="958"/>
      <c r="M104" s="958"/>
      <c r="N104" s="958"/>
      <c r="O104" s="958"/>
      <c r="P104" s="958"/>
      <c r="Q104" s="958"/>
      <c r="R104" s="958"/>
      <c r="S104" s="958"/>
      <c r="T104" s="958"/>
      <c r="U104" s="958"/>
      <c r="V104" s="958"/>
      <c r="W104" s="958"/>
      <c r="X104" s="958"/>
      <c r="Y104" s="958"/>
      <c r="Z104" s="958"/>
      <c r="AA104" s="958"/>
      <c r="AB104" s="958"/>
      <c r="AC104" s="942">
        <f ca="1">SUMIF(Codifica_SP!$J$2:$R$1445,B104,Codifica_SP!$R$2:$R$1445)</f>
        <v>0</v>
      </c>
      <c r="AD104" s="942"/>
      <c r="AE104" s="942"/>
      <c r="AF104" s="942"/>
      <c r="AG104" s="942"/>
      <c r="AH104" s="848" t="s">
        <v>7175</v>
      </c>
    </row>
    <row r="105" spans="1:36" s="855" customFormat="1" ht="15.75" customHeight="1" x14ac:dyDescent="0.25">
      <c r="A105" s="851"/>
      <c r="B105" s="975" t="s">
        <v>7268</v>
      </c>
      <c r="C105" s="975"/>
      <c r="D105" s="975"/>
      <c r="E105" s="975"/>
      <c r="F105" s="975"/>
      <c r="G105" s="976" t="s">
        <v>7269</v>
      </c>
      <c r="H105" s="976"/>
      <c r="I105" s="976"/>
      <c r="J105" s="976"/>
      <c r="K105" s="976"/>
      <c r="L105" s="976"/>
      <c r="M105" s="976"/>
      <c r="N105" s="976"/>
      <c r="O105" s="976"/>
      <c r="P105" s="976"/>
      <c r="Q105" s="976"/>
      <c r="R105" s="976"/>
      <c r="S105" s="976"/>
      <c r="T105" s="976"/>
      <c r="U105" s="976"/>
      <c r="V105" s="976"/>
      <c r="W105" s="976"/>
      <c r="X105" s="976"/>
      <c r="Y105" s="976"/>
      <c r="Z105" s="976"/>
      <c r="AA105" s="976"/>
      <c r="AB105" s="976"/>
      <c r="AC105" s="977">
        <f ca="1">SUM(AC106:AC109)</f>
        <v>0</v>
      </c>
      <c r="AD105" s="977"/>
      <c r="AE105" s="977"/>
      <c r="AF105" s="977"/>
      <c r="AG105" s="977"/>
      <c r="AH105" s="848" t="s">
        <v>7175</v>
      </c>
    </row>
    <row r="106" spans="1:36" s="855" customFormat="1" ht="15.75" customHeight="1" x14ac:dyDescent="0.25">
      <c r="A106" s="851"/>
      <c r="B106" s="957" t="s">
        <v>1112</v>
      </c>
      <c r="C106" s="957"/>
      <c r="D106" s="957"/>
      <c r="E106" s="957"/>
      <c r="F106" s="957"/>
      <c r="G106" s="958" t="s">
        <v>7270</v>
      </c>
      <c r="H106" s="958"/>
      <c r="I106" s="958"/>
      <c r="J106" s="958"/>
      <c r="K106" s="958"/>
      <c r="L106" s="958"/>
      <c r="M106" s="958"/>
      <c r="N106" s="958"/>
      <c r="O106" s="958"/>
      <c r="P106" s="958"/>
      <c r="Q106" s="958"/>
      <c r="R106" s="958"/>
      <c r="S106" s="958"/>
      <c r="T106" s="958"/>
      <c r="U106" s="958"/>
      <c r="V106" s="958"/>
      <c r="W106" s="958"/>
      <c r="X106" s="958"/>
      <c r="Y106" s="958"/>
      <c r="Z106" s="958"/>
      <c r="AA106" s="958"/>
      <c r="AB106" s="958"/>
      <c r="AC106" s="942">
        <f ca="1">SUMIF(Codifica_SP!$J$2:$R$1445,B106,Codifica_SP!$R$2:$R$1445)</f>
        <v>0</v>
      </c>
      <c r="AD106" s="942"/>
      <c r="AE106" s="942"/>
      <c r="AF106" s="942"/>
      <c r="AG106" s="942"/>
      <c r="AH106" s="848" t="s">
        <v>7175</v>
      </c>
    </row>
    <row r="107" spans="1:36" s="855" customFormat="1" ht="15.75" customHeight="1" x14ac:dyDescent="0.25">
      <c r="A107" s="851"/>
      <c r="B107" s="957" t="s">
        <v>1116</v>
      </c>
      <c r="C107" s="957"/>
      <c r="D107" s="957"/>
      <c r="E107" s="957"/>
      <c r="F107" s="957"/>
      <c r="G107" s="958" t="s">
        <v>7271</v>
      </c>
      <c r="H107" s="958"/>
      <c r="I107" s="958"/>
      <c r="J107" s="958"/>
      <c r="K107" s="958"/>
      <c r="L107" s="958"/>
      <c r="M107" s="958"/>
      <c r="N107" s="958"/>
      <c r="O107" s="958"/>
      <c r="P107" s="958"/>
      <c r="Q107" s="958"/>
      <c r="R107" s="958"/>
      <c r="S107" s="958"/>
      <c r="T107" s="958"/>
      <c r="U107" s="958"/>
      <c r="V107" s="958"/>
      <c r="W107" s="958"/>
      <c r="X107" s="958"/>
      <c r="Y107" s="958"/>
      <c r="Z107" s="958"/>
      <c r="AA107" s="958"/>
      <c r="AB107" s="958"/>
      <c r="AC107" s="942">
        <f ca="1">SUMIF(Codifica_SP!$J$2:$R$1445,B107,Codifica_SP!$R$2:$R$1445)</f>
        <v>0</v>
      </c>
      <c r="AD107" s="942"/>
      <c r="AE107" s="942"/>
      <c r="AF107" s="942"/>
      <c r="AG107" s="942"/>
      <c r="AH107" s="848" t="s">
        <v>7175</v>
      </c>
    </row>
    <row r="108" spans="1:36" s="855" customFormat="1" ht="15.75" customHeight="1" x14ac:dyDescent="0.25">
      <c r="A108" s="851"/>
      <c r="B108" s="957" t="s">
        <v>1120</v>
      </c>
      <c r="C108" s="957"/>
      <c r="D108" s="957"/>
      <c r="E108" s="957"/>
      <c r="F108" s="957"/>
      <c r="G108" s="958" t="s">
        <v>7272</v>
      </c>
      <c r="H108" s="958"/>
      <c r="I108" s="958"/>
      <c r="J108" s="958"/>
      <c r="K108" s="958"/>
      <c r="L108" s="958"/>
      <c r="M108" s="958"/>
      <c r="N108" s="958"/>
      <c r="O108" s="958"/>
      <c r="P108" s="958"/>
      <c r="Q108" s="958"/>
      <c r="R108" s="958"/>
      <c r="S108" s="958"/>
      <c r="T108" s="958"/>
      <c r="U108" s="958"/>
      <c r="V108" s="958"/>
      <c r="W108" s="958"/>
      <c r="X108" s="958"/>
      <c r="Y108" s="958"/>
      <c r="Z108" s="958"/>
      <c r="AA108" s="958"/>
      <c r="AB108" s="958"/>
      <c r="AC108" s="942">
        <f ca="1">SUMIF(Codifica_SP!$J$2:$R$1445,B108,Codifica_SP!$R$2:$R$1445)</f>
        <v>0</v>
      </c>
      <c r="AD108" s="942"/>
      <c r="AE108" s="942"/>
      <c r="AF108" s="942"/>
      <c r="AG108" s="942"/>
      <c r="AH108" s="848" t="s">
        <v>7175</v>
      </c>
    </row>
    <row r="109" spans="1:36" s="855" customFormat="1" ht="15.75" customHeight="1" x14ac:dyDescent="0.25">
      <c r="A109" s="857"/>
      <c r="B109" s="973" t="s">
        <v>1124</v>
      </c>
      <c r="C109" s="973"/>
      <c r="D109" s="973"/>
      <c r="E109" s="973"/>
      <c r="F109" s="973"/>
      <c r="G109" s="974" t="s">
        <v>7273</v>
      </c>
      <c r="H109" s="974"/>
      <c r="I109" s="974"/>
      <c r="J109" s="974"/>
      <c r="K109" s="974"/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4"/>
      <c r="Y109" s="974"/>
      <c r="Z109" s="974"/>
      <c r="AA109" s="974"/>
      <c r="AB109" s="974"/>
      <c r="AC109" s="942">
        <f ca="1">SUMIF(Codifica_SP!$J$2:$R$1445,B109,Codifica_SP!$R$2:$R$1445)</f>
        <v>0</v>
      </c>
      <c r="AD109" s="942"/>
      <c r="AE109" s="942"/>
      <c r="AF109" s="942"/>
      <c r="AG109" s="942"/>
      <c r="AH109" s="848" t="s">
        <v>7175</v>
      </c>
    </row>
    <row r="110" spans="1:36" s="855" customFormat="1" ht="15.75" customHeight="1" x14ac:dyDescent="0.25">
      <c r="A110" s="856"/>
      <c r="B110" s="955" t="s">
        <v>7274</v>
      </c>
      <c r="C110" s="955"/>
      <c r="D110" s="955"/>
      <c r="E110" s="955"/>
      <c r="F110" s="955"/>
      <c r="G110" s="946" t="s">
        <v>6838</v>
      </c>
      <c r="H110" s="946"/>
      <c r="I110" s="946"/>
      <c r="J110" s="946"/>
      <c r="K110" s="946"/>
      <c r="L110" s="946"/>
      <c r="M110" s="946"/>
      <c r="N110" s="946"/>
      <c r="O110" s="946"/>
      <c r="P110" s="946"/>
      <c r="Q110" s="946"/>
      <c r="R110" s="946"/>
      <c r="S110" s="946"/>
      <c r="T110" s="946"/>
      <c r="U110" s="946"/>
      <c r="V110" s="946"/>
      <c r="W110" s="946"/>
      <c r="X110" s="946"/>
      <c r="Y110" s="946"/>
      <c r="Z110" s="946"/>
      <c r="AA110" s="946"/>
      <c r="AB110" s="946"/>
      <c r="AC110" s="956">
        <f ca="1">AC111+AC130+AC194+AC197</f>
        <v>135336879</v>
      </c>
      <c r="AD110" s="956"/>
      <c r="AE110" s="956"/>
      <c r="AF110" s="956"/>
      <c r="AG110" s="956"/>
      <c r="AH110" s="848" t="s">
        <v>7175</v>
      </c>
      <c r="AI110" s="859">
        <f ca="1">AJ110-AC110</f>
        <v>0</v>
      </c>
      <c r="AJ110" s="855">
        <f>'NI-San_SP'!O512+'NI-Ric_SP'!O512</f>
        <v>135336879</v>
      </c>
    </row>
    <row r="111" spans="1:36" s="855" customFormat="1" ht="15.75" customHeight="1" x14ac:dyDescent="0.25">
      <c r="A111" s="851"/>
      <c r="B111" s="943" t="s">
        <v>7275</v>
      </c>
      <c r="C111" s="943"/>
      <c r="D111" s="943"/>
      <c r="E111" s="943"/>
      <c r="F111" s="943"/>
      <c r="G111" s="944" t="s">
        <v>7276</v>
      </c>
      <c r="H111" s="944"/>
      <c r="I111" s="944"/>
      <c r="J111" s="944"/>
      <c r="K111" s="944"/>
      <c r="L111" s="944"/>
      <c r="M111" s="944"/>
      <c r="N111" s="944"/>
      <c r="O111" s="944"/>
      <c r="P111" s="944"/>
      <c r="Q111" s="944"/>
      <c r="R111" s="944"/>
      <c r="S111" s="944"/>
      <c r="T111" s="944"/>
      <c r="U111" s="944"/>
      <c r="V111" s="944"/>
      <c r="W111" s="944"/>
      <c r="X111" s="944"/>
      <c r="Y111" s="944"/>
      <c r="Z111" s="944"/>
      <c r="AA111" s="944"/>
      <c r="AB111" s="944"/>
      <c r="AC111" s="954">
        <f ca="1">AC112+AC122</f>
        <v>15048961</v>
      </c>
      <c r="AD111" s="954"/>
      <c r="AE111" s="954"/>
      <c r="AF111" s="954"/>
      <c r="AG111" s="954"/>
      <c r="AH111" s="848" t="s">
        <v>7175</v>
      </c>
      <c r="AI111" s="859">
        <f ca="1">AJ111-AC111</f>
        <v>0</v>
      </c>
      <c r="AJ111" s="855">
        <f>'NI-San_SP'!O515+'NI-Ric_SP'!O515</f>
        <v>15048961</v>
      </c>
    </row>
    <row r="112" spans="1:36" s="855" customFormat="1" ht="15" customHeight="1" x14ac:dyDescent="0.25">
      <c r="A112" s="851"/>
      <c r="B112" s="951" t="s">
        <v>7277</v>
      </c>
      <c r="C112" s="951"/>
      <c r="D112" s="951"/>
      <c r="E112" s="951"/>
      <c r="F112" s="951"/>
      <c r="G112" s="952" t="s">
        <v>7278</v>
      </c>
      <c r="H112" s="952"/>
      <c r="I112" s="952"/>
      <c r="J112" s="952"/>
      <c r="K112" s="952"/>
      <c r="L112" s="952"/>
      <c r="M112" s="952"/>
      <c r="N112" s="952"/>
      <c r="O112" s="952"/>
      <c r="P112" s="952"/>
      <c r="Q112" s="952"/>
      <c r="R112" s="952"/>
      <c r="S112" s="952"/>
      <c r="T112" s="952"/>
      <c r="U112" s="952"/>
      <c r="V112" s="952"/>
      <c r="W112" s="952"/>
      <c r="X112" s="952"/>
      <c r="Y112" s="952"/>
      <c r="Z112" s="952"/>
      <c r="AA112" s="952"/>
      <c r="AB112" s="952"/>
      <c r="AC112" s="961">
        <f ca="1">SUM(AC113:AC121)</f>
        <v>14894110</v>
      </c>
      <c r="AD112" s="961"/>
      <c r="AE112" s="961"/>
      <c r="AF112" s="961"/>
      <c r="AG112" s="961"/>
      <c r="AH112" s="848" t="s">
        <v>7175</v>
      </c>
    </row>
    <row r="113" spans="1:34" s="855" customFormat="1" ht="15.75" customHeight="1" x14ac:dyDescent="0.25">
      <c r="A113" s="851"/>
      <c r="B113" s="957" t="s">
        <v>1144</v>
      </c>
      <c r="C113" s="957"/>
      <c r="D113" s="957"/>
      <c r="E113" s="957"/>
      <c r="F113" s="957"/>
      <c r="G113" s="958" t="s">
        <v>7279</v>
      </c>
      <c r="H113" s="958"/>
      <c r="I113" s="958"/>
      <c r="J113" s="958"/>
      <c r="K113" s="958"/>
      <c r="L113" s="958"/>
      <c r="M113" s="958"/>
      <c r="N113" s="958"/>
      <c r="O113" s="958"/>
      <c r="P113" s="958"/>
      <c r="Q113" s="958"/>
      <c r="R113" s="958"/>
      <c r="S113" s="958"/>
      <c r="T113" s="958"/>
      <c r="U113" s="958"/>
      <c r="V113" s="958"/>
      <c r="W113" s="958"/>
      <c r="X113" s="958"/>
      <c r="Y113" s="958"/>
      <c r="Z113" s="958"/>
      <c r="AA113" s="958"/>
      <c r="AB113" s="958"/>
      <c r="AC113" s="942">
        <f ca="1">SUMIF(Codifica_SP!$J$2:$R$1445,B113,Codifica_SP!$R$2:$R$1445)</f>
        <v>9937586</v>
      </c>
      <c r="AD113" s="942"/>
      <c r="AE113" s="942"/>
      <c r="AF113" s="942"/>
      <c r="AG113" s="942"/>
      <c r="AH113" s="848" t="s">
        <v>7175</v>
      </c>
    </row>
    <row r="114" spans="1:34" s="855" customFormat="1" ht="15.75" customHeight="1" x14ac:dyDescent="0.25">
      <c r="A114" s="851"/>
      <c r="B114" s="957" t="s">
        <v>1268</v>
      </c>
      <c r="C114" s="957"/>
      <c r="D114" s="957"/>
      <c r="E114" s="957"/>
      <c r="F114" s="957"/>
      <c r="G114" s="958" t="s">
        <v>7280</v>
      </c>
      <c r="H114" s="958"/>
      <c r="I114" s="958"/>
      <c r="J114" s="958"/>
      <c r="K114" s="958"/>
      <c r="L114" s="958"/>
      <c r="M114" s="958"/>
      <c r="N114" s="958"/>
      <c r="O114" s="958"/>
      <c r="P114" s="958"/>
      <c r="Q114" s="958"/>
      <c r="R114" s="958"/>
      <c r="S114" s="958"/>
      <c r="T114" s="958"/>
      <c r="U114" s="958"/>
      <c r="V114" s="958"/>
      <c r="W114" s="958"/>
      <c r="X114" s="958"/>
      <c r="Y114" s="958"/>
      <c r="Z114" s="958"/>
      <c r="AA114" s="958"/>
      <c r="AB114" s="958"/>
      <c r="AC114" s="942">
        <f ca="1">SUMIF(Codifica_SP!$J$2:$R$1445,B114,Codifica_SP!$R$2:$R$1445)</f>
        <v>0</v>
      </c>
      <c r="AD114" s="942"/>
      <c r="AE114" s="942"/>
      <c r="AF114" s="942"/>
      <c r="AG114" s="942"/>
      <c r="AH114" s="848" t="s">
        <v>7175</v>
      </c>
    </row>
    <row r="115" spans="1:34" s="855" customFormat="1" ht="15.75" customHeight="1" x14ac:dyDescent="0.25">
      <c r="A115" s="851"/>
      <c r="B115" s="962" t="s">
        <v>1216</v>
      </c>
      <c r="C115" s="962"/>
      <c r="D115" s="962"/>
      <c r="E115" s="962"/>
      <c r="F115" s="962"/>
      <c r="G115" s="963" t="s">
        <v>7281</v>
      </c>
      <c r="H115" s="963"/>
      <c r="I115" s="963"/>
      <c r="J115" s="963"/>
      <c r="K115" s="963"/>
      <c r="L115" s="963"/>
      <c r="M115" s="963"/>
      <c r="N115" s="963"/>
      <c r="O115" s="963"/>
      <c r="P115" s="963"/>
      <c r="Q115" s="963"/>
      <c r="R115" s="963"/>
      <c r="S115" s="963"/>
      <c r="T115" s="963"/>
      <c r="U115" s="963"/>
      <c r="V115" s="963"/>
      <c r="W115" s="963"/>
      <c r="X115" s="963"/>
      <c r="Y115" s="963"/>
      <c r="Z115" s="963"/>
      <c r="AA115" s="963"/>
      <c r="AB115" s="963"/>
      <c r="AC115" s="942">
        <f ca="1">SUMIF(Codifica_SP!$J$2:$R$1445,B115,Codifica_SP!$R$2:$R$1445)</f>
        <v>3964506</v>
      </c>
      <c r="AD115" s="942"/>
      <c r="AE115" s="942"/>
      <c r="AF115" s="942"/>
      <c r="AG115" s="942"/>
      <c r="AH115" s="848" t="s">
        <v>7175</v>
      </c>
    </row>
    <row r="116" spans="1:34" s="855" customFormat="1" ht="15.75" customHeight="1" x14ac:dyDescent="0.25">
      <c r="A116" s="851"/>
      <c r="B116" s="957" t="s">
        <v>1212</v>
      </c>
      <c r="C116" s="957"/>
      <c r="D116" s="957"/>
      <c r="E116" s="957"/>
      <c r="F116" s="957"/>
      <c r="G116" s="958" t="s">
        <v>7282</v>
      </c>
      <c r="H116" s="958"/>
      <c r="I116" s="958"/>
      <c r="J116" s="958"/>
      <c r="K116" s="958"/>
      <c r="L116" s="958"/>
      <c r="M116" s="958"/>
      <c r="N116" s="958"/>
      <c r="O116" s="958"/>
      <c r="P116" s="958"/>
      <c r="Q116" s="958"/>
      <c r="R116" s="958"/>
      <c r="S116" s="958"/>
      <c r="T116" s="958"/>
      <c r="U116" s="958"/>
      <c r="V116" s="958"/>
      <c r="W116" s="958"/>
      <c r="X116" s="958"/>
      <c r="Y116" s="958"/>
      <c r="Z116" s="958"/>
      <c r="AA116" s="958"/>
      <c r="AB116" s="958"/>
      <c r="AC116" s="942">
        <f ca="1">SUMIF(Codifica_SP!$J$2:$R$1445,B116,Codifica_SP!$R$2:$R$1445)</f>
        <v>14870</v>
      </c>
      <c r="AD116" s="942"/>
      <c r="AE116" s="942"/>
      <c r="AF116" s="942"/>
      <c r="AG116" s="942"/>
      <c r="AH116" s="848" t="s">
        <v>7175</v>
      </c>
    </row>
    <row r="117" spans="1:34" s="855" customFormat="1" ht="15.75" customHeight="1" x14ac:dyDescent="0.25">
      <c r="A117" s="851"/>
      <c r="B117" s="957" t="s">
        <v>1258</v>
      </c>
      <c r="C117" s="957"/>
      <c r="D117" s="957"/>
      <c r="E117" s="957"/>
      <c r="F117" s="957"/>
      <c r="G117" s="958" t="s">
        <v>7283</v>
      </c>
      <c r="H117" s="958"/>
      <c r="I117" s="958"/>
      <c r="J117" s="958"/>
      <c r="K117" s="958"/>
      <c r="L117" s="958"/>
      <c r="M117" s="958"/>
      <c r="N117" s="958"/>
      <c r="O117" s="958"/>
      <c r="P117" s="958"/>
      <c r="Q117" s="958"/>
      <c r="R117" s="958"/>
      <c r="S117" s="958"/>
      <c r="T117" s="958"/>
      <c r="U117" s="958"/>
      <c r="V117" s="958"/>
      <c r="W117" s="958"/>
      <c r="X117" s="958"/>
      <c r="Y117" s="958"/>
      <c r="Z117" s="958"/>
      <c r="AA117" s="958"/>
      <c r="AB117" s="958"/>
      <c r="AC117" s="942">
        <f ca="1">SUMIF(Codifica_SP!$J$2:$R$1445,B117,Codifica_SP!$R$2:$R$1445)</f>
        <v>400582</v>
      </c>
      <c r="AD117" s="942"/>
      <c r="AE117" s="942"/>
      <c r="AF117" s="942"/>
      <c r="AG117" s="942"/>
      <c r="AH117" s="848" t="s">
        <v>7175</v>
      </c>
    </row>
    <row r="118" spans="1:34" s="855" customFormat="1" ht="15.75" customHeight="1" x14ac:dyDescent="0.25">
      <c r="A118" s="851"/>
      <c r="B118" s="957" t="s">
        <v>1223</v>
      </c>
      <c r="C118" s="957"/>
      <c r="D118" s="957"/>
      <c r="E118" s="957"/>
      <c r="F118" s="957"/>
      <c r="G118" s="958" t="s">
        <v>7284</v>
      </c>
      <c r="H118" s="958"/>
      <c r="I118" s="958"/>
      <c r="J118" s="958"/>
      <c r="K118" s="958"/>
      <c r="L118" s="958"/>
      <c r="M118" s="958"/>
      <c r="N118" s="958"/>
      <c r="O118" s="958"/>
      <c r="P118" s="958"/>
      <c r="Q118" s="958"/>
      <c r="R118" s="958"/>
      <c r="S118" s="958"/>
      <c r="T118" s="958"/>
      <c r="U118" s="958"/>
      <c r="V118" s="958"/>
      <c r="W118" s="958"/>
      <c r="X118" s="958"/>
      <c r="Y118" s="958"/>
      <c r="Z118" s="958"/>
      <c r="AA118" s="958"/>
      <c r="AB118" s="958"/>
      <c r="AC118" s="942">
        <f ca="1">SUMIF(Codifica_SP!$J$2:$R$1445,B118,Codifica_SP!$R$2:$R$1445)</f>
        <v>443546</v>
      </c>
      <c r="AD118" s="942"/>
      <c r="AE118" s="942"/>
      <c r="AF118" s="942"/>
      <c r="AG118" s="942"/>
      <c r="AH118" s="848" t="s">
        <v>7175</v>
      </c>
    </row>
    <row r="119" spans="1:34" s="855" customFormat="1" ht="15.75" customHeight="1" x14ac:dyDescent="0.25">
      <c r="A119" s="860"/>
      <c r="B119" s="957" t="s">
        <v>1239</v>
      </c>
      <c r="C119" s="957"/>
      <c r="D119" s="957"/>
      <c r="E119" s="957"/>
      <c r="F119" s="957"/>
      <c r="G119" s="958" t="s">
        <v>7285</v>
      </c>
      <c r="H119" s="958"/>
      <c r="I119" s="958"/>
      <c r="J119" s="958"/>
      <c r="K119" s="958"/>
      <c r="L119" s="958"/>
      <c r="M119" s="958"/>
      <c r="N119" s="958"/>
      <c r="O119" s="958"/>
      <c r="P119" s="958"/>
      <c r="Q119" s="958"/>
      <c r="R119" s="958"/>
      <c r="S119" s="958"/>
      <c r="T119" s="958"/>
      <c r="U119" s="958"/>
      <c r="V119" s="958"/>
      <c r="W119" s="958"/>
      <c r="X119" s="958"/>
      <c r="Y119" s="958"/>
      <c r="Z119" s="958"/>
      <c r="AA119" s="958"/>
      <c r="AB119" s="958"/>
      <c r="AC119" s="942">
        <f ca="1">SUMIF(Codifica_SP!$J$2:$R$1445,B119,Codifica_SP!$R$2:$R$1445)</f>
        <v>0</v>
      </c>
      <c r="AD119" s="942"/>
      <c r="AE119" s="942"/>
      <c r="AF119" s="942"/>
      <c r="AG119" s="942"/>
      <c r="AH119" s="848" t="s">
        <v>7175</v>
      </c>
    </row>
    <row r="120" spans="1:34" s="855" customFormat="1" ht="15.75" customHeight="1" x14ac:dyDescent="0.25">
      <c r="A120" s="851"/>
      <c r="B120" s="957" t="s">
        <v>1278</v>
      </c>
      <c r="C120" s="957"/>
      <c r="D120" s="957"/>
      <c r="E120" s="957"/>
      <c r="F120" s="957"/>
      <c r="G120" s="958" t="s">
        <v>7286</v>
      </c>
      <c r="H120" s="958"/>
      <c r="I120" s="958"/>
      <c r="J120" s="958"/>
      <c r="K120" s="958"/>
      <c r="L120" s="958"/>
      <c r="M120" s="958"/>
      <c r="N120" s="958"/>
      <c r="O120" s="958"/>
      <c r="P120" s="958"/>
      <c r="Q120" s="958"/>
      <c r="R120" s="958"/>
      <c r="S120" s="958"/>
      <c r="T120" s="958"/>
      <c r="U120" s="958"/>
      <c r="V120" s="958"/>
      <c r="W120" s="958"/>
      <c r="X120" s="958"/>
      <c r="Y120" s="958"/>
      <c r="Z120" s="958"/>
      <c r="AA120" s="958"/>
      <c r="AB120" s="958"/>
      <c r="AC120" s="942">
        <f ca="1">SUMIF(Codifica_SP!$J$2:$R$1445,B120,Codifica_SP!$R$2:$R$1445)</f>
        <v>133020</v>
      </c>
      <c r="AD120" s="942"/>
      <c r="AE120" s="942"/>
      <c r="AF120" s="942"/>
      <c r="AG120" s="942"/>
      <c r="AH120" s="848" t="s">
        <v>7175</v>
      </c>
    </row>
    <row r="121" spans="1:34" s="855" customFormat="1" ht="15.75" customHeight="1" x14ac:dyDescent="0.25">
      <c r="A121" s="851"/>
      <c r="B121" s="957" t="s">
        <v>1285</v>
      </c>
      <c r="C121" s="957"/>
      <c r="D121" s="957"/>
      <c r="E121" s="957"/>
      <c r="F121" s="957"/>
      <c r="G121" s="958" t="s">
        <v>7287</v>
      </c>
      <c r="H121" s="958"/>
      <c r="I121" s="958"/>
      <c r="J121" s="958"/>
      <c r="K121" s="958"/>
      <c r="L121" s="958"/>
      <c r="M121" s="958"/>
      <c r="N121" s="958"/>
      <c r="O121" s="958"/>
      <c r="P121" s="958"/>
      <c r="Q121" s="958"/>
      <c r="R121" s="958"/>
      <c r="S121" s="958"/>
      <c r="T121" s="958"/>
      <c r="U121" s="958"/>
      <c r="V121" s="958"/>
      <c r="W121" s="958"/>
      <c r="X121" s="958"/>
      <c r="Y121" s="958"/>
      <c r="Z121" s="958"/>
      <c r="AA121" s="958"/>
      <c r="AB121" s="958"/>
      <c r="AC121" s="942">
        <f ca="1">SUMIF(Codifica_SP!$J$2:$R$1445,B121,Codifica_SP!$R$2:$R$1445)</f>
        <v>0</v>
      </c>
      <c r="AD121" s="942"/>
      <c r="AE121" s="942"/>
      <c r="AF121" s="942"/>
      <c r="AG121" s="942"/>
      <c r="AH121" s="848" t="s">
        <v>7175</v>
      </c>
    </row>
    <row r="122" spans="1:34" s="855" customFormat="1" ht="15.75" customHeight="1" x14ac:dyDescent="0.25">
      <c r="A122" s="851"/>
      <c r="B122" s="951" t="s">
        <v>7288</v>
      </c>
      <c r="C122" s="951"/>
      <c r="D122" s="951"/>
      <c r="E122" s="951"/>
      <c r="F122" s="951"/>
      <c r="G122" s="952" t="s">
        <v>7289</v>
      </c>
      <c r="H122" s="952"/>
      <c r="I122" s="952"/>
      <c r="J122" s="952"/>
      <c r="K122" s="952"/>
      <c r="L122" s="952"/>
      <c r="M122" s="952"/>
      <c r="N122" s="952"/>
      <c r="O122" s="952"/>
      <c r="P122" s="952"/>
      <c r="Q122" s="952"/>
      <c r="R122" s="952"/>
      <c r="S122" s="952"/>
      <c r="T122" s="952"/>
      <c r="U122" s="952"/>
      <c r="V122" s="952"/>
      <c r="W122" s="952"/>
      <c r="X122" s="952"/>
      <c r="Y122" s="952"/>
      <c r="Z122" s="952"/>
      <c r="AA122" s="952"/>
      <c r="AB122" s="952"/>
      <c r="AC122" s="961">
        <f ca="1">SUM(AC123:AC129)</f>
        <v>154851</v>
      </c>
      <c r="AD122" s="961"/>
      <c r="AE122" s="961"/>
      <c r="AF122" s="961"/>
      <c r="AG122" s="961"/>
      <c r="AH122" s="848" t="s">
        <v>7175</v>
      </c>
    </row>
    <row r="123" spans="1:34" s="855" customFormat="1" ht="15.75" customHeight="1" x14ac:dyDescent="0.25">
      <c r="A123" s="851"/>
      <c r="B123" s="957" t="s">
        <v>1295</v>
      </c>
      <c r="C123" s="957"/>
      <c r="D123" s="957"/>
      <c r="E123" s="957"/>
      <c r="F123" s="957"/>
      <c r="G123" s="958" t="s">
        <v>7290</v>
      </c>
      <c r="H123" s="958"/>
      <c r="I123" s="958"/>
      <c r="J123" s="958"/>
      <c r="K123" s="958"/>
      <c r="L123" s="958"/>
      <c r="M123" s="958"/>
      <c r="N123" s="958"/>
      <c r="O123" s="958"/>
      <c r="P123" s="958"/>
      <c r="Q123" s="958"/>
      <c r="R123" s="958"/>
      <c r="S123" s="958"/>
      <c r="T123" s="958"/>
      <c r="U123" s="958"/>
      <c r="V123" s="958"/>
      <c r="W123" s="958"/>
      <c r="X123" s="958"/>
      <c r="Y123" s="958"/>
      <c r="Z123" s="958"/>
      <c r="AA123" s="958"/>
      <c r="AB123" s="958"/>
      <c r="AC123" s="942">
        <f ca="1">SUMIF(Codifica_SP!$J$2:$R$1445,B123,Codifica_SP!$R$2:$R$1445)</f>
        <v>2826</v>
      </c>
      <c r="AD123" s="942"/>
      <c r="AE123" s="942"/>
      <c r="AF123" s="942"/>
      <c r="AG123" s="942"/>
      <c r="AH123" s="848" t="s">
        <v>7175</v>
      </c>
    </row>
    <row r="124" spans="1:34" s="855" customFormat="1" ht="15.75" customHeight="1" x14ac:dyDescent="0.25">
      <c r="A124" s="851"/>
      <c r="B124" s="957" t="s">
        <v>1300</v>
      </c>
      <c r="C124" s="957"/>
      <c r="D124" s="957"/>
      <c r="E124" s="957"/>
      <c r="F124" s="957"/>
      <c r="G124" s="958" t="s">
        <v>7291</v>
      </c>
      <c r="H124" s="958"/>
      <c r="I124" s="958"/>
      <c r="J124" s="958"/>
      <c r="K124" s="958"/>
      <c r="L124" s="958"/>
      <c r="M124" s="958"/>
      <c r="N124" s="958"/>
      <c r="O124" s="958"/>
      <c r="P124" s="958"/>
      <c r="Q124" s="958"/>
      <c r="R124" s="958"/>
      <c r="S124" s="958"/>
      <c r="T124" s="958"/>
      <c r="U124" s="958"/>
      <c r="V124" s="958"/>
      <c r="W124" s="958"/>
      <c r="X124" s="958"/>
      <c r="Y124" s="958"/>
      <c r="Z124" s="958"/>
      <c r="AA124" s="958"/>
      <c r="AB124" s="958"/>
      <c r="AC124" s="942">
        <f ca="1">SUMIF(Codifica_SP!$J$2:$R$1445,B124,Codifica_SP!$R$2:$R$1445)</f>
        <v>48984</v>
      </c>
      <c r="AD124" s="942"/>
      <c r="AE124" s="942"/>
      <c r="AF124" s="942"/>
      <c r="AG124" s="942"/>
      <c r="AH124" s="848" t="s">
        <v>7175</v>
      </c>
    </row>
    <row r="125" spans="1:34" s="855" customFormat="1" ht="15.75" customHeight="1" x14ac:dyDescent="0.25">
      <c r="A125" s="851"/>
      <c r="B125" s="957" t="s">
        <v>1304</v>
      </c>
      <c r="C125" s="957"/>
      <c r="D125" s="957"/>
      <c r="E125" s="957"/>
      <c r="F125" s="957"/>
      <c r="G125" s="958" t="s">
        <v>7292</v>
      </c>
      <c r="H125" s="958"/>
      <c r="I125" s="958"/>
      <c r="J125" s="958"/>
      <c r="K125" s="958"/>
      <c r="L125" s="958"/>
      <c r="M125" s="958"/>
      <c r="N125" s="958"/>
      <c r="O125" s="958"/>
      <c r="P125" s="958"/>
      <c r="Q125" s="958"/>
      <c r="R125" s="958"/>
      <c r="S125" s="958"/>
      <c r="T125" s="958"/>
      <c r="U125" s="958"/>
      <c r="V125" s="958"/>
      <c r="W125" s="958"/>
      <c r="X125" s="958"/>
      <c r="Y125" s="958"/>
      <c r="Z125" s="958"/>
      <c r="AA125" s="958"/>
      <c r="AB125" s="958"/>
      <c r="AC125" s="942">
        <f ca="1">SUMIF(Codifica_SP!$J$2:$R$1445,B125,Codifica_SP!$R$2:$R$1445)</f>
        <v>0</v>
      </c>
      <c r="AD125" s="942"/>
      <c r="AE125" s="942"/>
      <c r="AF125" s="942"/>
      <c r="AG125" s="942"/>
      <c r="AH125" s="848" t="s">
        <v>7175</v>
      </c>
    </row>
    <row r="126" spans="1:34" s="855" customFormat="1" ht="15.75" customHeight="1" x14ac:dyDescent="0.25">
      <c r="A126" s="851"/>
      <c r="B126" s="957" t="s">
        <v>1311</v>
      </c>
      <c r="C126" s="957"/>
      <c r="D126" s="957"/>
      <c r="E126" s="957"/>
      <c r="F126" s="957"/>
      <c r="G126" s="958" t="s">
        <v>7293</v>
      </c>
      <c r="H126" s="958"/>
      <c r="I126" s="958"/>
      <c r="J126" s="958"/>
      <c r="K126" s="958"/>
      <c r="L126" s="958"/>
      <c r="M126" s="958"/>
      <c r="N126" s="958"/>
      <c r="O126" s="958"/>
      <c r="P126" s="958"/>
      <c r="Q126" s="958"/>
      <c r="R126" s="958"/>
      <c r="S126" s="958"/>
      <c r="T126" s="958"/>
      <c r="U126" s="958"/>
      <c r="V126" s="958"/>
      <c r="W126" s="958"/>
      <c r="X126" s="958"/>
      <c r="Y126" s="958"/>
      <c r="Z126" s="958"/>
      <c r="AA126" s="958"/>
      <c r="AB126" s="958"/>
      <c r="AC126" s="942">
        <f ca="1">SUMIF(Codifica_SP!$J$2:$R$1445,B126,Codifica_SP!$R$2:$R$1445)</f>
        <v>78680</v>
      </c>
      <c r="AD126" s="942"/>
      <c r="AE126" s="942"/>
      <c r="AF126" s="942"/>
      <c r="AG126" s="942"/>
      <c r="AH126" s="848" t="s">
        <v>7175</v>
      </c>
    </row>
    <row r="127" spans="1:34" s="855" customFormat="1" ht="15.75" customHeight="1" x14ac:dyDescent="0.25">
      <c r="A127" s="851"/>
      <c r="B127" s="957" t="s">
        <v>1318</v>
      </c>
      <c r="C127" s="957"/>
      <c r="D127" s="957"/>
      <c r="E127" s="957"/>
      <c r="F127" s="957"/>
      <c r="G127" s="958" t="s">
        <v>7294</v>
      </c>
      <c r="H127" s="958"/>
      <c r="I127" s="958"/>
      <c r="J127" s="958"/>
      <c r="K127" s="958"/>
      <c r="L127" s="958"/>
      <c r="M127" s="958"/>
      <c r="N127" s="958"/>
      <c r="O127" s="958"/>
      <c r="P127" s="958"/>
      <c r="Q127" s="958"/>
      <c r="R127" s="958"/>
      <c r="S127" s="958"/>
      <c r="T127" s="958"/>
      <c r="U127" s="958"/>
      <c r="V127" s="958"/>
      <c r="W127" s="958"/>
      <c r="X127" s="958"/>
      <c r="Y127" s="958"/>
      <c r="Z127" s="958"/>
      <c r="AA127" s="958"/>
      <c r="AB127" s="958"/>
      <c r="AC127" s="942">
        <f ca="1">SUMIF(Codifica_SP!$J$2:$R$1445,B127,Codifica_SP!$R$2:$R$1445)</f>
        <v>22452</v>
      </c>
      <c r="AD127" s="942"/>
      <c r="AE127" s="942"/>
      <c r="AF127" s="942"/>
      <c r="AG127" s="942"/>
      <c r="AH127" s="848" t="s">
        <v>7175</v>
      </c>
    </row>
    <row r="128" spans="1:34" s="855" customFormat="1" ht="15.75" customHeight="1" x14ac:dyDescent="0.25">
      <c r="A128" s="851"/>
      <c r="B128" s="957" t="s">
        <v>1337</v>
      </c>
      <c r="C128" s="957"/>
      <c r="D128" s="957"/>
      <c r="E128" s="957"/>
      <c r="F128" s="957"/>
      <c r="G128" s="958" t="s">
        <v>7295</v>
      </c>
      <c r="H128" s="958"/>
      <c r="I128" s="958"/>
      <c r="J128" s="958"/>
      <c r="K128" s="958"/>
      <c r="L128" s="958"/>
      <c r="M128" s="958"/>
      <c r="N128" s="958"/>
      <c r="O128" s="958"/>
      <c r="P128" s="958"/>
      <c r="Q128" s="958"/>
      <c r="R128" s="958"/>
      <c r="S128" s="958"/>
      <c r="T128" s="958"/>
      <c r="U128" s="958"/>
      <c r="V128" s="958"/>
      <c r="W128" s="958"/>
      <c r="X128" s="958"/>
      <c r="Y128" s="958"/>
      <c r="Z128" s="958"/>
      <c r="AA128" s="958"/>
      <c r="AB128" s="958"/>
      <c r="AC128" s="942">
        <f ca="1">SUMIF(Codifica_SP!$J$2:$R$1445,B128,Codifica_SP!$R$2:$R$1445)</f>
        <v>1909</v>
      </c>
      <c r="AD128" s="942"/>
      <c r="AE128" s="942"/>
      <c r="AF128" s="942"/>
      <c r="AG128" s="942"/>
      <c r="AH128" s="848" t="s">
        <v>7175</v>
      </c>
    </row>
    <row r="129" spans="1:37" s="855" customFormat="1" ht="15.75" customHeight="1" x14ac:dyDescent="0.25">
      <c r="A129" s="857"/>
      <c r="B129" s="973" t="s">
        <v>1344</v>
      </c>
      <c r="C129" s="973"/>
      <c r="D129" s="973"/>
      <c r="E129" s="973"/>
      <c r="F129" s="973"/>
      <c r="G129" s="974" t="s">
        <v>7296</v>
      </c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42">
        <f ca="1">SUMIF(Codifica_SP!$J$2:$R$1445,B129,Codifica_SP!$R$2:$R$1445)</f>
        <v>0</v>
      </c>
      <c r="AD129" s="942"/>
      <c r="AE129" s="942"/>
      <c r="AF129" s="942"/>
      <c r="AG129" s="942"/>
      <c r="AH129" s="848" t="s">
        <v>7175</v>
      </c>
    </row>
    <row r="130" spans="1:37" s="855" customFormat="1" ht="15.75" customHeight="1" x14ac:dyDescent="0.25">
      <c r="A130" s="856"/>
      <c r="B130" s="955" t="s">
        <v>7297</v>
      </c>
      <c r="C130" s="955"/>
      <c r="D130" s="955"/>
      <c r="E130" s="955"/>
      <c r="F130" s="955"/>
      <c r="G130" s="946" t="s">
        <v>7298</v>
      </c>
      <c r="H130" s="946"/>
      <c r="I130" s="946"/>
      <c r="J130" s="946"/>
      <c r="K130" s="946"/>
      <c r="L130" s="946"/>
      <c r="M130" s="946"/>
      <c r="N130" s="946"/>
      <c r="O130" s="946"/>
      <c r="P130" s="946"/>
      <c r="Q130" s="946"/>
      <c r="R130" s="946"/>
      <c r="S130" s="946"/>
      <c r="T130" s="946"/>
      <c r="U130" s="946"/>
      <c r="V130" s="946"/>
      <c r="W130" s="946"/>
      <c r="X130" s="946"/>
      <c r="Y130" s="946"/>
      <c r="Z130" s="946"/>
      <c r="AA130" s="946"/>
      <c r="AB130" s="946"/>
      <c r="AC130" s="956">
        <f ca="1">AC131+AC147+AC168+AC169+AC178+AC182+AC183</f>
        <v>104377979</v>
      </c>
      <c r="AD130" s="956"/>
      <c r="AE130" s="956"/>
      <c r="AF130" s="956"/>
      <c r="AG130" s="956"/>
      <c r="AH130" s="848" t="s">
        <v>7175</v>
      </c>
      <c r="AI130" s="859">
        <f ca="1">AJ130-AC130</f>
        <v>0</v>
      </c>
      <c r="AJ130" s="855">
        <f>'NI-San_SP'!O590+'NI-Ric_SP'!O590</f>
        <v>104377979</v>
      </c>
    </row>
    <row r="131" spans="1:37" s="855" customFormat="1" ht="15.75" customHeight="1" x14ac:dyDescent="0.25">
      <c r="A131" s="851"/>
      <c r="B131" s="951" t="s">
        <v>7299</v>
      </c>
      <c r="C131" s="951"/>
      <c r="D131" s="951"/>
      <c r="E131" s="951"/>
      <c r="F131" s="951"/>
      <c r="G131" s="952" t="s">
        <v>7300</v>
      </c>
      <c r="H131" s="952"/>
      <c r="I131" s="952"/>
      <c r="J131" s="952"/>
      <c r="K131" s="952"/>
      <c r="L131" s="952"/>
      <c r="M131" s="952"/>
      <c r="N131" s="952"/>
      <c r="O131" s="952"/>
      <c r="P131" s="952"/>
      <c r="Q131" s="952"/>
      <c r="R131" s="952"/>
      <c r="S131" s="952"/>
      <c r="T131" s="952"/>
      <c r="U131" s="952"/>
      <c r="V131" s="952"/>
      <c r="W131" s="952"/>
      <c r="X131" s="952"/>
      <c r="Y131" s="952"/>
      <c r="Z131" s="952"/>
      <c r="AA131" s="952"/>
      <c r="AB131" s="952"/>
      <c r="AC131" s="961">
        <f ca="1">SUM(AC132:AC141)+AC146</f>
        <v>13930888</v>
      </c>
      <c r="AD131" s="961"/>
      <c r="AE131" s="961"/>
      <c r="AF131" s="961"/>
      <c r="AG131" s="961"/>
      <c r="AH131" s="848" t="s">
        <v>7175</v>
      </c>
      <c r="AI131" s="859">
        <f ca="1">AJ131-AC131</f>
        <v>0</v>
      </c>
      <c r="AJ131" s="855">
        <f>'NI-San_SP'!O592+'NI-Ric_SP'!O592</f>
        <v>13930888</v>
      </c>
    </row>
    <row r="132" spans="1:37" s="855" customFormat="1" ht="15.75" customHeight="1" x14ac:dyDescent="0.25">
      <c r="A132" s="861" t="s">
        <v>7301</v>
      </c>
      <c r="B132" s="972" t="s">
        <v>1357</v>
      </c>
      <c r="C132" s="972"/>
      <c r="D132" s="972"/>
      <c r="E132" s="972"/>
      <c r="F132" s="972"/>
      <c r="G132" s="971" t="s">
        <v>7302</v>
      </c>
      <c r="H132" s="971"/>
      <c r="I132" s="971"/>
      <c r="J132" s="971"/>
      <c r="K132" s="971"/>
      <c r="L132" s="971"/>
      <c r="M132" s="971"/>
      <c r="N132" s="971"/>
      <c r="O132" s="971"/>
      <c r="P132" s="971"/>
      <c r="Q132" s="971"/>
      <c r="R132" s="971"/>
      <c r="S132" s="971"/>
      <c r="T132" s="971"/>
      <c r="U132" s="971"/>
      <c r="V132" s="971"/>
      <c r="W132" s="971"/>
      <c r="X132" s="971"/>
      <c r="Y132" s="971"/>
      <c r="Z132" s="971"/>
      <c r="AA132" s="971"/>
      <c r="AB132" s="971"/>
      <c r="AC132" s="942">
        <f ca="1">SUMIF(Codifica_SP!$J$2:$R$1445,B132,Codifica_SP!$R$2:$R$1445)</f>
        <v>0</v>
      </c>
      <c r="AD132" s="942"/>
      <c r="AE132" s="942"/>
      <c r="AF132" s="942"/>
      <c r="AG132" s="942"/>
      <c r="AH132" s="848" t="s">
        <v>7175</v>
      </c>
      <c r="AK132" s="855" t="s">
        <v>7303</v>
      </c>
    </row>
    <row r="133" spans="1:37" s="855" customFormat="1" ht="15.75" customHeight="1" x14ac:dyDescent="0.25">
      <c r="A133" s="851" t="s">
        <v>7301</v>
      </c>
      <c r="B133" s="957" t="s">
        <v>1365</v>
      </c>
      <c r="C133" s="957"/>
      <c r="D133" s="957"/>
      <c r="E133" s="957"/>
      <c r="F133" s="957"/>
      <c r="G133" s="958" t="s">
        <v>7304</v>
      </c>
      <c r="H133" s="958"/>
      <c r="I133" s="958"/>
      <c r="J133" s="958"/>
      <c r="K133" s="958"/>
      <c r="L133" s="958"/>
      <c r="M133" s="958"/>
      <c r="N133" s="958"/>
      <c r="O133" s="958"/>
      <c r="P133" s="958"/>
      <c r="Q133" s="958"/>
      <c r="R133" s="958"/>
      <c r="S133" s="958"/>
      <c r="T133" s="958"/>
      <c r="U133" s="958"/>
      <c r="V133" s="958"/>
      <c r="W133" s="958"/>
      <c r="X133" s="958"/>
      <c r="Y133" s="958"/>
      <c r="Z133" s="958"/>
      <c r="AA133" s="958"/>
      <c r="AB133" s="958"/>
      <c r="AC133" s="942">
        <f ca="1">SUMIF(Codifica_SP!$J$2:$R$1445,B133,Codifica_SP!$R$2:$R$1445)</f>
        <v>0</v>
      </c>
      <c r="AD133" s="942"/>
      <c r="AE133" s="942"/>
      <c r="AF133" s="942"/>
      <c r="AG133" s="942"/>
      <c r="AH133" s="848" t="s">
        <v>7175</v>
      </c>
    </row>
    <row r="134" spans="1:37" s="855" customFormat="1" ht="19.5" customHeight="1" x14ac:dyDescent="0.25">
      <c r="A134" s="851" t="s">
        <v>7305</v>
      </c>
      <c r="B134" s="962" t="s">
        <v>1372</v>
      </c>
      <c r="C134" s="962"/>
      <c r="D134" s="962"/>
      <c r="E134" s="962"/>
      <c r="F134" s="962"/>
      <c r="G134" s="963" t="s">
        <v>7306</v>
      </c>
      <c r="H134" s="963"/>
      <c r="I134" s="963"/>
      <c r="J134" s="963"/>
      <c r="K134" s="963"/>
      <c r="L134" s="963"/>
      <c r="M134" s="963"/>
      <c r="N134" s="963"/>
      <c r="O134" s="963"/>
      <c r="P134" s="963"/>
      <c r="Q134" s="963"/>
      <c r="R134" s="963"/>
      <c r="S134" s="963"/>
      <c r="T134" s="963"/>
      <c r="U134" s="963"/>
      <c r="V134" s="963"/>
      <c r="W134" s="963"/>
      <c r="X134" s="963"/>
      <c r="Y134" s="963"/>
      <c r="Z134" s="963"/>
      <c r="AA134" s="963"/>
      <c r="AB134" s="963"/>
      <c r="AC134" s="942">
        <f ca="1">SUMIF(Codifica_SP!$J$2:$R$1445,B134,Codifica_SP!$R$2:$R$1445)</f>
        <v>0</v>
      </c>
      <c r="AD134" s="942"/>
      <c r="AE134" s="942"/>
      <c r="AF134" s="942"/>
      <c r="AG134" s="942"/>
      <c r="AH134" s="848" t="s">
        <v>7175</v>
      </c>
    </row>
    <row r="135" spans="1:37" s="855" customFormat="1" ht="18.75" customHeight="1" x14ac:dyDescent="0.25">
      <c r="A135" s="851"/>
      <c r="B135" s="962" t="s">
        <v>1380</v>
      </c>
      <c r="C135" s="962"/>
      <c r="D135" s="962"/>
      <c r="E135" s="962"/>
      <c r="F135" s="962"/>
      <c r="G135" s="963" t="s">
        <v>7307</v>
      </c>
      <c r="H135" s="963"/>
      <c r="I135" s="963"/>
      <c r="J135" s="963"/>
      <c r="K135" s="963"/>
      <c r="L135" s="963"/>
      <c r="M135" s="963"/>
      <c r="N135" s="963"/>
      <c r="O135" s="963"/>
      <c r="P135" s="963"/>
      <c r="Q135" s="963"/>
      <c r="R135" s="963"/>
      <c r="S135" s="963"/>
      <c r="T135" s="963"/>
      <c r="U135" s="963"/>
      <c r="V135" s="963"/>
      <c r="W135" s="963"/>
      <c r="X135" s="963"/>
      <c r="Y135" s="963"/>
      <c r="Z135" s="963"/>
      <c r="AA135" s="963"/>
      <c r="AB135" s="963"/>
      <c r="AC135" s="942">
        <f ca="1">SUMIF(Codifica_SP!$J$2:$R$1445,B135,Codifica_SP!$R$2:$R$1445)</f>
        <v>0</v>
      </c>
      <c r="AD135" s="942"/>
      <c r="AE135" s="942"/>
      <c r="AF135" s="942"/>
      <c r="AG135" s="942"/>
      <c r="AH135" s="848" t="s">
        <v>7175</v>
      </c>
    </row>
    <row r="136" spans="1:37" s="855" customFormat="1" ht="15.75" customHeight="1" x14ac:dyDescent="0.25">
      <c r="A136" s="851" t="s">
        <v>7301</v>
      </c>
      <c r="B136" s="957" t="s">
        <v>1384</v>
      </c>
      <c r="C136" s="957"/>
      <c r="D136" s="957"/>
      <c r="E136" s="957"/>
      <c r="F136" s="957"/>
      <c r="G136" s="958" t="s">
        <v>7308</v>
      </c>
      <c r="H136" s="958"/>
      <c r="I136" s="958"/>
      <c r="J136" s="958"/>
      <c r="K136" s="958"/>
      <c r="L136" s="958"/>
      <c r="M136" s="958"/>
      <c r="N136" s="958"/>
      <c r="O136" s="958"/>
      <c r="P136" s="958"/>
      <c r="Q136" s="958"/>
      <c r="R136" s="958"/>
      <c r="S136" s="958"/>
      <c r="T136" s="958"/>
      <c r="U136" s="958"/>
      <c r="V136" s="958"/>
      <c r="W136" s="958"/>
      <c r="X136" s="958"/>
      <c r="Y136" s="958"/>
      <c r="Z136" s="958"/>
      <c r="AA136" s="958"/>
      <c r="AB136" s="958"/>
      <c r="AC136" s="942">
        <f ca="1">SUMIF(Codifica_SP!$J$2:$R$1445,B136,Codifica_SP!$R$2:$R$1445)</f>
        <v>0</v>
      </c>
      <c r="AD136" s="942"/>
      <c r="AE136" s="942"/>
      <c r="AF136" s="942"/>
      <c r="AG136" s="942"/>
      <c r="AH136" s="848" t="s">
        <v>7175</v>
      </c>
    </row>
    <row r="137" spans="1:37" s="855" customFormat="1" ht="15.75" customHeight="1" x14ac:dyDescent="0.25">
      <c r="A137" s="851" t="s">
        <v>7301</v>
      </c>
      <c r="B137" s="957" t="s">
        <v>1388</v>
      </c>
      <c r="C137" s="957"/>
      <c r="D137" s="957"/>
      <c r="E137" s="957"/>
      <c r="F137" s="957"/>
      <c r="G137" s="958" t="s">
        <v>7309</v>
      </c>
      <c r="H137" s="958"/>
      <c r="I137" s="958"/>
      <c r="J137" s="958"/>
      <c r="K137" s="958"/>
      <c r="L137" s="958"/>
      <c r="M137" s="958"/>
      <c r="N137" s="958"/>
      <c r="O137" s="958"/>
      <c r="P137" s="958"/>
      <c r="Q137" s="958"/>
      <c r="R137" s="958"/>
      <c r="S137" s="958"/>
      <c r="T137" s="958"/>
      <c r="U137" s="958"/>
      <c r="V137" s="958"/>
      <c r="W137" s="958"/>
      <c r="X137" s="958"/>
      <c r="Y137" s="958"/>
      <c r="Z137" s="958"/>
      <c r="AA137" s="958"/>
      <c r="AB137" s="958"/>
      <c r="AC137" s="942">
        <f ca="1">SUMIF(Codifica_SP!$J$2:$R$1445,B137,Codifica_SP!$R$2:$R$1445)</f>
        <v>0</v>
      </c>
      <c r="AD137" s="942"/>
      <c r="AE137" s="942"/>
      <c r="AF137" s="942"/>
      <c r="AG137" s="942"/>
      <c r="AH137" s="848" t="s">
        <v>7175</v>
      </c>
    </row>
    <row r="138" spans="1:37" s="855" customFormat="1" ht="15.75" customHeight="1" x14ac:dyDescent="0.25">
      <c r="A138" s="851" t="s">
        <v>7301</v>
      </c>
      <c r="B138" s="957" t="s">
        <v>1392</v>
      </c>
      <c r="C138" s="957"/>
      <c r="D138" s="957"/>
      <c r="E138" s="957"/>
      <c r="F138" s="957"/>
      <c r="G138" s="958" t="s">
        <v>7310</v>
      </c>
      <c r="H138" s="958"/>
      <c r="I138" s="958"/>
      <c r="J138" s="958"/>
      <c r="K138" s="958"/>
      <c r="L138" s="958"/>
      <c r="M138" s="958"/>
      <c r="N138" s="958"/>
      <c r="O138" s="958"/>
      <c r="P138" s="958"/>
      <c r="Q138" s="958"/>
      <c r="R138" s="958"/>
      <c r="S138" s="958"/>
      <c r="T138" s="958"/>
      <c r="U138" s="958"/>
      <c r="V138" s="958"/>
      <c r="W138" s="958"/>
      <c r="X138" s="958"/>
      <c r="Y138" s="958"/>
      <c r="Z138" s="958"/>
      <c r="AA138" s="958"/>
      <c r="AB138" s="958"/>
      <c r="AC138" s="942">
        <f ca="1">SUMIF(Codifica_SP!$J$2:$R$1445,B138,Codifica_SP!$R$2:$R$1445)</f>
        <v>332888</v>
      </c>
      <c r="AD138" s="942"/>
      <c r="AE138" s="942"/>
      <c r="AF138" s="942"/>
      <c r="AG138" s="942"/>
      <c r="AH138" s="848" t="s">
        <v>7175</v>
      </c>
    </row>
    <row r="139" spans="1:37" s="855" customFormat="1" ht="15.75" customHeight="1" x14ac:dyDescent="0.25">
      <c r="A139" s="851"/>
      <c r="B139" s="957" t="s">
        <v>1397</v>
      </c>
      <c r="C139" s="957"/>
      <c r="D139" s="957"/>
      <c r="E139" s="957"/>
      <c r="F139" s="957"/>
      <c r="G139" s="958" t="s">
        <v>7311</v>
      </c>
      <c r="H139" s="958"/>
      <c r="I139" s="958"/>
      <c r="J139" s="958"/>
      <c r="K139" s="958"/>
      <c r="L139" s="958"/>
      <c r="M139" s="958"/>
      <c r="N139" s="958"/>
      <c r="O139" s="958"/>
      <c r="P139" s="958"/>
      <c r="Q139" s="958"/>
      <c r="R139" s="958"/>
      <c r="S139" s="958"/>
      <c r="T139" s="958"/>
      <c r="U139" s="958"/>
      <c r="V139" s="958"/>
      <c r="W139" s="958"/>
      <c r="X139" s="958"/>
      <c r="Y139" s="958"/>
      <c r="Z139" s="958"/>
      <c r="AA139" s="958"/>
      <c r="AB139" s="958"/>
      <c r="AC139" s="942">
        <f ca="1">SUMIF(Codifica_SP!$J$2:$R$1445,B139,Codifica_SP!$R$2:$R$1445)</f>
        <v>0</v>
      </c>
      <c r="AD139" s="942"/>
      <c r="AE139" s="942"/>
      <c r="AF139" s="942"/>
      <c r="AG139" s="942"/>
      <c r="AH139" s="848" t="s">
        <v>7175</v>
      </c>
    </row>
    <row r="140" spans="1:37" s="855" customFormat="1" ht="15.75" customHeight="1" x14ac:dyDescent="0.25">
      <c r="A140" s="851" t="s">
        <v>7301</v>
      </c>
      <c r="B140" s="957" t="s">
        <v>1401</v>
      </c>
      <c r="C140" s="957"/>
      <c r="D140" s="957"/>
      <c r="E140" s="957"/>
      <c r="F140" s="957"/>
      <c r="G140" s="958" t="s">
        <v>7312</v>
      </c>
      <c r="H140" s="958"/>
      <c r="I140" s="958"/>
      <c r="J140" s="958"/>
      <c r="K140" s="958"/>
      <c r="L140" s="958"/>
      <c r="M140" s="958"/>
      <c r="N140" s="958"/>
      <c r="O140" s="958"/>
      <c r="P140" s="958"/>
      <c r="Q140" s="958"/>
      <c r="R140" s="958"/>
      <c r="S140" s="958"/>
      <c r="T140" s="958"/>
      <c r="U140" s="958"/>
      <c r="V140" s="958"/>
      <c r="W140" s="958"/>
      <c r="X140" s="958"/>
      <c r="Y140" s="958"/>
      <c r="Z140" s="958"/>
      <c r="AA140" s="958"/>
      <c r="AB140" s="958"/>
      <c r="AC140" s="942">
        <f ca="1">SUMIF(Codifica_SP!$J$2:$R$1445,B140,Codifica_SP!$R$2:$R$1445)</f>
        <v>13598000</v>
      </c>
      <c r="AD140" s="942"/>
      <c r="AE140" s="942"/>
      <c r="AF140" s="942"/>
      <c r="AG140" s="942"/>
      <c r="AH140" s="848" t="s">
        <v>7175</v>
      </c>
    </row>
    <row r="141" spans="1:37" s="855" customFormat="1" ht="15.75" customHeight="1" x14ac:dyDescent="0.25">
      <c r="A141" s="851"/>
      <c r="B141" s="957" t="s">
        <v>7313</v>
      </c>
      <c r="C141" s="957"/>
      <c r="D141" s="957"/>
      <c r="E141" s="957"/>
      <c r="F141" s="957"/>
      <c r="G141" s="958" t="s">
        <v>7314</v>
      </c>
      <c r="H141" s="958"/>
      <c r="I141" s="958"/>
      <c r="J141" s="958"/>
      <c r="K141" s="958"/>
      <c r="L141" s="958"/>
      <c r="M141" s="958"/>
      <c r="N141" s="958"/>
      <c r="O141" s="958"/>
      <c r="P141" s="958"/>
      <c r="Q141" s="958"/>
      <c r="R141" s="958"/>
      <c r="S141" s="958"/>
      <c r="T141" s="958"/>
      <c r="U141" s="958"/>
      <c r="V141" s="958"/>
      <c r="W141" s="958"/>
      <c r="X141" s="958"/>
      <c r="Y141" s="958"/>
      <c r="Z141" s="958"/>
      <c r="AA141" s="958"/>
      <c r="AB141" s="958"/>
      <c r="AC141" s="968">
        <f ca="1">SUM(AC142:AC145)</f>
        <v>0</v>
      </c>
      <c r="AD141" s="968"/>
      <c r="AE141" s="968"/>
      <c r="AF141" s="968"/>
      <c r="AG141" s="968"/>
      <c r="AH141" s="848" t="s">
        <v>7175</v>
      </c>
    </row>
    <row r="142" spans="1:37" s="855" customFormat="1" ht="15.75" customHeight="1" x14ac:dyDescent="0.25">
      <c r="A142" s="851" t="s">
        <v>7301</v>
      </c>
      <c r="B142" s="957" t="s">
        <v>1410</v>
      </c>
      <c r="C142" s="957"/>
      <c r="D142" s="957"/>
      <c r="E142" s="957"/>
      <c r="F142" s="957"/>
      <c r="G142" s="958" t="s">
        <v>7315</v>
      </c>
      <c r="H142" s="958"/>
      <c r="I142" s="958"/>
      <c r="J142" s="958"/>
      <c r="K142" s="958"/>
      <c r="L142" s="958"/>
      <c r="M142" s="958"/>
      <c r="N142" s="958"/>
      <c r="O142" s="958"/>
      <c r="P142" s="958"/>
      <c r="Q142" s="958"/>
      <c r="R142" s="958"/>
      <c r="S142" s="958"/>
      <c r="T142" s="958"/>
      <c r="U142" s="958"/>
      <c r="V142" s="958"/>
      <c r="W142" s="958"/>
      <c r="X142" s="958"/>
      <c r="Y142" s="958"/>
      <c r="Z142" s="958"/>
      <c r="AA142" s="958"/>
      <c r="AB142" s="958"/>
      <c r="AC142" s="942">
        <f ca="1">SUMIF(Codifica_SP!$J$2:$R$1445,B142,Codifica_SP!$R$2:$R$1445)</f>
        <v>0</v>
      </c>
      <c r="AD142" s="942"/>
      <c r="AE142" s="942"/>
      <c r="AF142" s="942"/>
      <c r="AG142" s="942"/>
      <c r="AH142" s="848" t="s">
        <v>7175</v>
      </c>
    </row>
    <row r="143" spans="1:37" s="855" customFormat="1" ht="15.75" customHeight="1" x14ac:dyDescent="0.25">
      <c r="A143" s="851" t="s">
        <v>7301</v>
      </c>
      <c r="B143" s="957" t="s">
        <v>1415</v>
      </c>
      <c r="C143" s="957"/>
      <c r="D143" s="957"/>
      <c r="E143" s="957"/>
      <c r="F143" s="957"/>
      <c r="G143" s="958" t="s">
        <v>7316</v>
      </c>
      <c r="H143" s="958"/>
      <c r="I143" s="958"/>
      <c r="J143" s="958"/>
      <c r="K143" s="958"/>
      <c r="L143" s="958"/>
      <c r="M143" s="958"/>
      <c r="N143" s="958"/>
      <c r="O143" s="958"/>
      <c r="P143" s="958"/>
      <c r="Q143" s="958"/>
      <c r="R143" s="958"/>
      <c r="S143" s="958"/>
      <c r="T143" s="958"/>
      <c r="U143" s="958"/>
      <c r="V143" s="958"/>
      <c r="W143" s="958"/>
      <c r="X143" s="958"/>
      <c r="Y143" s="958"/>
      <c r="Z143" s="958"/>
      <c r="AA143" s="958"/>
      <c r="AB143" s="958"/>
      <c r="AC143" s="942">
        <f ca="1">SUMIF(Codifica_SP!$J$2:$R$1445,B143,Codifica_SP!$R$2:$R$1445)</f>
        <v>0</v>
      </c>
      <c r="AD143" s="942"/>
      <c r="AE143" s="942"/>
      <c r="AF143" s="942"/>
      <c r="AG143" s="942"/>
      <c r="AH143" s="848" t="s">
        <v>7175</v>
      </c>
    </row>
    <row r="144" spans="1:37" s="855" customFormat="1" ht="15.75" customHeight="1" x14ac:dyDescent="0.25">
      <c r="A144" s="851" t="s">
        <v>7301</v>
      </c>
      <c r="B144" s="957" t="s">
        <v>1421</v>
      </c>
      <c r="C144" s="957"/>
      <c r="D144" s="957"/>
      <c r="E144" s="957"/>
      <c r="F144" s="957"/>
      <c r="G144" s="958" t="s">
        <v>7317</v>
      </c>
      <c r="H144" s="958"/>
      <c r="I144" s="958"/>
      <c r="J144" s="958"/>
      <c r="K144" s="958"/>
      <c r="L144" s="958"/>
      <c r="M144" s="958"/>
      <c r="N144" s="958"/>
      <c r="O144" s="958"/>
      <c r="P144" s="958"/>
      <c r="Q144" s="958"/>
      <c r="R144" s="958"/>
      <c r="S144" s="958"/>
      <c r="T144" s="958"/>
      <c r="U144" s="958"/>
      <c r="V144" s="958"/>
      <c r="W144" s="958"/>
      <c r="X144" s="958"/>
      <c r="Y144" s="958"/>
      <c r="Z144" s="958"/>
      <c r="AA144" s="958"/>
      <c r="AB144" s="958"/>
      <c r="AC144" s="942">
        <f ca="1">SUMIF(Codifica_SP!$J$2:$R$1445,B144,Codifica_SP!$R$2:$R$1445)</f>
        <v>0</v>
      </c>
      <c r="AD144" s="942"/>
      <c r="AE144" s="942"/>
      <c r="AF144" s="942"/>
      <c r="AG144" s="942"/>
      <c r="AH144" s="848" t="s">
        <v>7175</v>
      </c>
    </row>
    <row r="145" spans="1:36" s="855" customFormat="1" ht="15.75" customHeight="1" x14ac:dyDescent="0.25">
      <c r="A145" s="851" t="s">
        <v>7301</v>
      </c>
      <c r="B145" s="957" t="s">
        <v>1426</v>
      </c>
      <c r="C145" s="957"/>
      <c r="D145" s="957"/>
      <c r="E145" s="957"/>
      <c r="F145" s="957"/>
      <c r="G145" s="958" t="s">
        <v>7318</v>
      </c>
      <c r="H145" s="958"/>
      <c r="I145" s="958"/>
      <c r="J145" s="958"/>
      <c r="K145" s="958"/>
      <c r="L145" s="958"/>
      <c r="M145" s="958"/>
      <c r="N145" s="958"/>
      <c r="O145" s="958"/>
      <c r="P145" s="958"/>
      <c r="Q145" s="958"/>
      <c r="R145" s="958"/>
      <c r="S145" s="958"/>
      <c r="T145" s="958"/>
      <c r="U145" s="958"/>
      <c r="V145" s="958"/>
      <c r="W145" s="958"/>
      <c r="X145" s="958"/>
      <c r="Y145" s="958"/>
      <c r="Z145" s="958"/>
      <c r="AA145" s="958"/>
      <c r="AB145" s="958"/>
      <c r="AC145" s="942">
        <f ca="1">SUMIF(Codifica_SP!$J$2:$R$1445,B145,Codifica_SP!$R$2:$R$1445)</f>
        <v>0</v>
      </c>
      <c r="AD145" s="942"/>
      <c r="AE145" s="942"/>
      <c r="AF145" s="942"/>
      <c r="AG145" s="942"/>
      <c r="AH145" s="848" t="s">
        <v>7175</v>
      </c>
    </row>
    <row r="146" spans="1:36" s="855" customFormat="1" ht="15.75" customHeight="1" x14ac:dyDescent="0.25">
      <c r="A146" s="851"/>
      <c r="B146" s="957" t="s">
        <v>1431</v>
      </c>
      <c r="C146" s="957"/>
      <c r="D146" s="957"/>
      <c r="E146" s="957"/>
      <c r="F146" s="957"/>
      <c r="G146" s="958" t="s">
        <v>7319</v>
      </c>
      <c r="H146" s="958"/>
      <c r="I146" s="958"/>
      <c r="J146" s="958"/>
      <c r="K146" s="958"/>
      <c r="L146" s="958"/>
      <c r="M146" s="958"/>
      <c r="N146" s="958"/>
      <c r="O146" s="958"/>
      <c r="P146" s="958"/>
      <c r="Q146" s="958"/>
      <c r="R146" s="958"/>
      <c r="S146" s="958"/>
      <c r="T146" s="958"/>
      <c r="U146" s="958"/>
      <c r="V146" s="958"/>
      <c r="W146" s="958"/>
      <c r="X146" s="958"/>
      <c r="Y146" s="958"/>
      <c r="Z146" s="958"/>
      <c r="AA146" s="958"/>
      <c r="AB146" s="958"/>
      <c r="AC146" s="942">
        <f ca="1">SUMIF(Codifica_SP!$J$2:$R$1445,B146,Codifica_SP!$R$2:$R$1445)</f>
        <v>0</v>
      </c>
      <c r="AD146" s="942"/>
      <c r="AE146" s="942"/>
      <c r="AF146" s="942"/>
      <c r="AG146" s="942"/>
      <c r="AH146" s="848" t="s">
        <v>7175</v>
      </c>
    </row>
    <row r="147" spans="1:36" s="855" customFormat="1" ht="15.75" customHeight="1" x14ac:dyDescent="0.25">
      <c r="A147" s="851"/>
      <c r="B147" s="951" t="s">
        <v>7320</v>
      </c>
      <c r="C147" s="951"/>
      <c r="D147" s="951"/>
      <c r="E147" s="951"/>
      <c r="F147" s="951"/>
      <c r="G147" s="952" t="s">
        <v>7321</v>
      </c>
      <c r="H147" s="952"/>
      <c r="I147" s="952"/>
      <c r="J147" s="952"/>
      <c r="K147" s="952"/>
      <c r="L147" s="952"/>
      <c r="M147" s="952"/>
      <c r="N147" s="952"/>
      <c r="O147" s="952"/>
      <c r="P147" s="952"/>
      <c r="Q147" s="952"/>
      <c r="R147" s="952"/>
      <c r="S147" s="952"/>
      <c r="T147" s="952"/>
      <c r="U147" s="952"/>
      <c r="V147" s="952"/>
      <c r="W147" s="952"/>
      <c r="X147" s="952"/>
      <c r="Y147" s="952"/>
      <c r="Z147" s="952"/>
      <c r="AA147" s="952"/>
      <c r="AB147" s="952"/>
      <c r="AC147" s="961">
        <f ca="1">AC148+AC159+AC166+AC167</f>
        <v>74239770</v>
      </c>
      <c r="AD147" s="961"/>
      <c r="AE147" s="961"/>
      <c r="AF147" s="961"/>
      <c r="AG147" s="961"/>
      <c r="AH147" s="848" t="s">
        <v>7175</v>
      </c>
      <c r="AI147" s="859">
        <f ca="1">AJ147-AC147</f>
        <v>0</v>
      </c>
      <c r="AJ147" s="855">
        <f>'NI-Ric_SP'!O614+'NI-San_SP'!O614</f>
        <v>74239770</v>
      </c>
    </row>
    <row r="148" spans="1:36" s="855" customFormat="1" ht="15.75" customHeight="1" x14ac:dyDescent="0.25">
      <c r="A148" s="851"/>
      <c r="B148" s="957" t="s">
        <v>7322</v>
      </c>
      <c r="C148" s="957"/>
      <c r="D148" s="957"/>
      <c r="E148" s="957"/>
      <c r="F148" s="957"/>
      <c r="G148" s="971" t="s">
        <v>7323</v>
      </c>
      <c r="H148" s="971"/>
      <c r="I148" s="971"/>
      <c r="J148" s="971"/>
      <c r="K148" s="971"/>
      <c r="L148" s="971"/>
      <c r="M148" s="971"/>
      <c r="N148" s="971"/>
      <c r="O148" s="971"/>
      <c r="P148" s="971"/>
      <c r="Q148" s="971"/>
      <c r="R148" s="971"/>
      <c r="S148" s="971"/>
      <c r="T148" s="971"/>
      <c r="U148" s="971"/>
      <c r="V148" s="971"/>
      <c r="W148" s="971"/>
      <c r="X148" s="971"/>
      <c r="Y148" s="971"/>
      <c r="Z148" s="971"/>
      <c r="AA148" s="971"/>
      <c r="AB148" s="971"/>
      <c r="AC148" s="968">
        <f ca="1">SUM(AC149:AC158)</f>
        <v>44597343</v>
      </c>
      <c r="AD148" s="968"/>
      <c r="AE148" s="968"/>
      <c r="AF148" s="968"/>
      <c r="AG148" s="968"/>
      <c r="AH148" s="848" t="s">
        <v>7175</v>
      </c>
      <c r="AI148" s="859">
        <f ca="1">AJ148-AC148</f>
        <v>0</v>
      </c>
      <c r="AJ148" s="855">
        <f>'NI-San_SP'!O618+'NI-Ric_SP'!O618</f>
        <v>44597343</v>
      </c>
    </row>
    <row r="149" spans="1:36" s="855" customFormat="1" ht="15.75" customHeight="1" x14ac:dyDescent="0.25">
      <c r="A149" s="851" t="s">
        <v>7324</v>
      </c>
      <c r="B149" s="957" t="s">
        <v>1448</v>
      </c>
      <c r="C149" s="957"/>
      <c r="D149" s="957"/>
      <c r="E149" s="957"/>
      <c r="F149" s="957"/>
      <c r="G149" s="958" t="s">
        <v>7325</v>
      </c>
      <c r="H149" s="958"/>
      <c r="I149" s="958"/>
      <c r="J149" s="958"/>
      <c r="K149" s="958"/>
      <c r="L149" s="958"/>
      <c r="M149" s="958"/>
      <c r="N149" s="958"/>
      <c r="O149" s="958"/>
      <c r="P149" s="958"/>
      <c r="Q149" s="958"/>
      <c r="R149" s="958"/>
      <c r="S149" s="958"/>
      <c r="T149" s="958"/>
      <c r="U149" s="958"/>
      <c r="V149" s="958"/>
      <c r="W149" s="958"/>
      <c r="X149" s="958"/>
      <c r="Y149" s="958"/>
      <c r="Z149" s="958"/>
      <c r="AA149" s="958"/>
      <c r="AB149" s="958"/>
      <c r="AC149" s="942">
        <f ca="1">SUMIF(Codifica_SP!$J$2:$R$1445,B149,Codifica_SP!$R$2:$R$1445)</f>
        <v>36727183</v>
      </c>
      <c r="AD149" s="942"/>
      <c r="AE149" s="942"/>
      <c r="AF149" s="942"/>
      <c r="AG149" s="942"/>
      <c r="AH149" s="848" t="s">
        <v>7175</v>
      </c>
      <c r="AI149" s="859">
        <f ca="1">AJ149-AC149</f>
        <v>0</v>
      </c>
      <c r="AJ149" s="855">
        <f>'NI-San_SP'!O621+'NI-Ric_SP'!O621</f>
        <v>36727183</v>
      </c>
    </row>
    <row r="150" spans="1:36" s="855" customFormat="1" ht="15.75" customHeight="1" x14ac:dyDescent="0.25">
      <c r="A150" s="851" t="s">
        <v>7326</v>
      </c>
      <c r="B150" s="957" t="s">
        <v>1479</v>
      </c>
      <c r="C150" s="957"/>
      <c r="D150" s="957"/>
      <c r="E150" s="957"/>
      <c r="F150" s="957"/>
      <c r="G150" s="958" t="s">
        <v>7327</v>
      </c>
      <c r="H150" s="958"/>
      <c r="I150" s="958"/>
      <c r="J150" s="958"/>
      <c r="K150" s="958"/>
      <c r="L150" s="958"/>
      <c r="M150" s="958"/>
      <c r="N150" s="958"/>
      <c r="O150" s="958"/>
      <c r="P150" s="958"/>
      <c r="Q150" s="958"/>
      <c r="R150" s="958"/>
      <c r="S150" s="958"/>
      <c r="T150" s="958"/>
      <c r="U150" s="958"/>
      <c r="V150" s="958"/>
      <c r="W150" s="958"/>
      <c r="X150" s="958"/>
      <c r="Y150" s="958"/>
      <c r="Z150" s="958"/>
      <c r="AA150" s="958"/>
      <c r="AB150" s="958"/>
      <c r="AC150" s="942">
        <f ca="1">SUMIF(Codifica_SP!$J$2:$R$1445,B150,Codifica_SP!$R$2:$R$1445)</f>
        <v>0</v>
      </c>
      <c r="AD150" s="942"/>
      <c r="AE150" s="942"/>
      <c r="AF150" s="942"/>
      <c r="AG150" s="942"/>
      <c r="AH150" s="848" t="s">
        <v>7175</v>
      </c>
      <c r="AI150" s="859">
        <f ca="1">AJ150-AC150</f>
        <v>0</v>
      </c>
      <c r="AJ150" s="855">
        <f>'NI-San_SP'!O629+'NI-Ric_SP'!O629</f>
        <v>0</v>
      </c>
    </row>
    <row r="151" spans="1:36" s="855" customFormat="1" ht="15.75" customHeight="1" x14ac:dyDescent="0.25">
      <c r="A151" s="851" t="s">
        <v>7305</v>
      </c>
      <c r="B151" s="957" t="s">
        <v>1483</v>
      </c>
      <c r="C151" s="957"/>
      <c r="D151" s="957"/>
      <c r="E151" s="957"/>
      <c r="F151" s="957"/>
      <c r="G151" s="958" t="s">
        <v>7328</v>
      </c>
      <c r="H151" s="958"/>
      <c r="I151" s="958"/>
      <c r="J151" s="958"/>
      <c r="K151" s="958"/>
      <c r="L151" s="958"/>
      <c r="M151" s="958"/>
      <c r="N151" s="958"/>
      <c r="O151" s="958"/>
      <c r="P151" s="958"/>
      <c r="Q151" s="958"/>
      <c r="R151" s="958"/>
      <c r="S151" s="958"/>
      <c r="T151" s="958"/>
      <c r="U151" s="958"/>
      <c r="V151" s="958"/>
      <c r="W151" s="958"/>
      <c r="X151" s="958"/>
      <c r="Y151" s="958"/>
      <c r="Z151" s="958"/>
      <c r="AA151" s="958"/>
      <c r="AB151" s="958"/>
      <c r="AC151" s="942">
        <f ca="1">SUMIF(Codifica_SP!$J$2:$R$1445,B151,Codifica_SP!$R$2:$R$1445)</f>
        <v>0</v>
      </c>
      <c r="AD151" s="942"/>
      <c r="AE151" s="942"/>
      <c r="AF151" s="942"/>
      <c r="AG151" s="942"/>
      <c r="AH151" s="848" t="s">
        <v>7175</v>
      </c>
      <c r="AI151" s="859">
        <f ca="1">AJ151-AC151</f>
        <v>0</v>
      </c>
      <c r="AJ151" s="855">
        <f>'NI-San_SP'!O630+'NI-Ric_SP'!O630</f>
        <v>0</v>
      </c>
    </row>
    <row r="152" spans="1:36" s="855" customFormat="1" ht="15.75" customHeight="1" x14ac:dyDescent="0.25">
      <c r="A152" s="851" t="s">
        <v>7324</v>
      </c>
      <c r="B152" s="957" t="s">
        <v>1496</v>
      </c>
      <c r="C152" s="957"/>
      <c r="D152" s="957"/>
      <c r="E152" s="957"/>
      <c r="F152" s="957"/>
      <c r="G152" s="958" t="s">
        <v>7329</v>
      </c>
      <c r="H152" s="958"/>
      <c r="I152" s="958"/>
      <c r="J152" s="958"/>
      <c r="K152" s="958"/>
      <c r="L152" s="958"/>
      <c r="M152" s="958"/>
      <c r="N152" s="958"/>
      <c r="O152" s="958"/>
      <c r="P152" s="958"/>
      <c r="Q152" s="958"/>
      <c r="R152" s="958"/>
      <c r="S152" s="958"/>
      <c r="T152" s="958"/>
      <c r="U152" s="958"/>
      <c r="V152" s="958"/>
      <c r="W152" s="958"/>
      <c r="X152" s="958"/>
      <c r="Y152" s="958"/>
      <c r="Z152" s="958"/>
      <c r="AA152" s="958"/>
      <c r="AB152" s="958"/>
      <c r="AC152" s="942">
        <f ca="1">SUMIF(Codifica_SP!$J$2:$R$1445,B152,Codifica_SP!$R$2:$R$1445)</f>
        <v>0</v>
      </c>
      <c r="AD152" s="942"/>
      <c r="AE152" s="942"/>
      <c r="AF152" s="942"/>
      <c r="AG152" s="942"/>
      <c r="AH152" s="848" t="s">
        <v>7175</v>
      </c>
      <c r="AJ152" s="855">
        <f>'NI-San_SP'!O634+'NI-Ric_SP'!O634</f>
        <v>0</v>
      </c>
    </row>
    <row r="153" spans="1:36" s="855" customFormat="1" ht="27.75" customHeight="1" x14ac:dyDescent="0.25">
      <c r="A153" s="851" t="s">
        <v>7324</v>
      </c>
      <c r="B153" s="957" t="s">
        <v>1500</v>
      </c>
      <c r="C153" s="957"/>
      <c r="D153" s="957"/>
      <c r="E153" s="957"/>
      <c r="F153" s="957"/>
      <c r="G153" s="958" t="s">
        <v>7330</v>
      </c>
      <c r="H153" s="958"/>
      <c r="I153" s="958"/>
      <c r="J153" s="958"/>
      <c r="K153" s="958"/>
      <c r="L153" s="958"/>
      <c r="M153" s="958"/>
      <c r="N153" s="958"/>
      <c r="O153" s="958"/>
      <c r="P153" s="958"/>
      <c r="Q153" s="958"/>
      <c r="R153" s="958"/>
      <c r="S153" s="958"/>
      <c r="T153" s="958"/>
      <c r="U153" s="958"/>
      <c r="V153" s="958"/>
      <c r="W153" s="958"/>
      <c r="X153" s="958"/>
      <c r="Y153" s="958"/>
      <c r="Z153" s="958"/>
      <c r="AA153" s="958"/>
      <c r="AB153" s="958"/>
      <c r="AC153" s="942">
        <f ca="1">SUMIF(Codifica_SP!$J$2:$R$1445,B153,Codifica_SP!$R$2:$R$1445)</f>
        <v>0</v>
      </c>
      <c r="AD153" s="942"/>
      <c r="AE153" s="942"/>
      <c r="AF153" s="942"/>
      <c r="AG153" s="942"/>
      <c r="AH153" s="848" t="s">
        <v>7175</v>
      </c>
      <c r="AJ153" s="855">
        <f>'NI-San_SP'!O635+'NI-Ric_SP'!O635</f>
        <v>0</v>
      </c>
    </row>
    <row r="154" spans="1:36" s="855" customFormat="1" ht="27.75" customHeight="1" x14ac:dyDescent="0.25">
      <c r="A154" s="851" t="s">
        <v>7324</v>
      </c>
      <c r="B154" s="957" t="s">
        <v>1505</v>
      </c>
      <c r="C154" s="957"/>
      <c r="D154" s="957"/>
      <c r="E154" s="957"/>
      <c r="F154" s="957"/>
      <c r="G154" s="958" t="s">
        <v>7331</v>
      </c>
      <c r="H154" s="958"/>
      <c r="I154" s="958"/>
      <c r="J154" s="958"/>
      <c r="K154" s="958"/>
      <c r="L154" s="958"/>
      <c r="M154" s="958"/>
      <c r="N154" s="958"/>
      <c r="O154" s="958"/>
      <c r="P154" s="958"/>
      <c r="Q154" s="958"/>
      <c r="R154" s="958"/>
      <c r="S154" s="958"/>
      <c r="T154" s="958"/>
      <c r="U154" s="958"/>
      <c r="V154" s="958"/>
      <c r="W154" s="958"/>
      <c r="X154" s="958"/>
      <c r="Y154" s="958"/>
      <c r="Z154" s="958"/>
      <c r="AA154" s="958"/>
      <c r="AB154" s="958"/>
      <c r="AC154" s="942">
        <f ca="1">SUMIF(Codifica_SP!$J$2:$R$1445,B154,Codifica_SP!$R$2:$R$1445)</f>
        <v>0</v>
      </c>
      <c r="AD154" s="942"/>
      <c r="AE154" s="942"/>
      <c r="AF154" s="942"/>
      <c r="AG154" s="942"/>
      <c r="AH154" s="848" t="s">
        <v>7175</v>
      </c>
      <c r="AJ154" s="855">
        <f>'NI-San_SP'!O636+'NI-Ric_SP'!O636</f>
        <v>0</v>
      </c>
    </row>
    <row r="155" spans="1:36" s="855" customFormat="1" ht="15.75" customHeight="1" x14ac:dyDescent="0.25">
      <c r="A155" s="851" t="s">
        <v>7324</v>
      </c>
      <c r="B155" s="957" t="s">
        <v>1510</v>
      </c>
      <c r="C155" s="957"/>
      <c r="D155" s="957"/>
      <c r="E155" s="957"/>
      <c r="F155" s="957"/>
      <c r="G155" s="958" t="s">
        <v>7332</v>
      </c>
      <c r="H155" s="958"/>
      <c r="I155" s="958"/>
      <c r="J155" s="958"/>
      <c r="K155" s="958"/>
      <c r="L155" s="958"/>
      <c r="M155" s="958"/>
      <c r="N155" s="958"/>
      <c r="O155" s="958"/>
      <c r="P155" s="958"/>
      <c r="Q155" s="958"/>
      <c r="R155" s="958"/>
      <c r="S155" s="958"/>
      <c r="T155" s="958"/>
      <c r="U155" s="958"/>
      <c r="V155" s="958"/>
      <c r="W155" s="958"/>
      <c r="X155" s="958"/>
      <c r="Y155" s="958"/>
      <c r="Z155" s="958"/>
      <c r="AA155" s="958"/>
      <c r="AB155" s="958"/>
      <c r="AC155" s="942">
        <f ca="1">SUMIF(Codifica_SP!$J$2:$R$1445,B155,Codifica_SP!$R$2:$R$1445)</f>
        <v>7870160</v>
      </c>
      <c r="AD155" s="942"/>
      <c r="AE155" s="942"/>
      <c r="AF155" s="942"/>
      <c r="AG155" s="942"/>
      <c r="AH155" s="848" t="s">
        <v>7175</v>
      </c>
      <c r="AI155" s="859">
        <f ca="1">AJ155-AC155</f>
        <v>0</v>
      </c>
      <c r="AJ155" s="855">
        <f>'NI-San_SP'!O637+'NI-Ric_SP'!O637</f>
        <v>7870160</v>
      </c>
    </row>
    <row r="156" spans="1:36" s="855" customFormat="1" ht="15.75" customHeight="1" x14ac:dyDescent="0.25">
      <c r="A156" s="851" t="s">
        <v>7324</v>
      </c>
      <c r="B156" s="970" t="s">
        <v>1515</v>
      </c>
      <c r="C156" s="970"/>
      <c r="D156" s="970"/>
      <c r="E156" s="970"/>
      <c r="F156" s="970"/>
      <c r="G156" s="958" t="s">
        <v>7333</v>
      </c>
      <c r="H156" s="958"/>
      <c r="I156" s="958"/>
      <c r="J156" s="958"/>
      <c r="K156" s="958"/>
      <c r="L156" s="958"/>
      <c r="M156" s="958"/>
      <c r="N156" s="958"/>
      <c r="O156" s="958"/>
      <c r="P156" s="958"/>
      <c r="Q156" s="958"/>
      <c r="R156" s="958"/>
      <c r="S156" s="958"/>
      <c r="T156" s="958"/>
      <c r="U156" s="958"/>
      <c r="V156" s="958"/>
      <c r="W156" s="958"/>
      <c r="X156" s="958"/>
      <c r="Y156" s="958"/>
      <c r="Z156" s="958"/>
      <c r="AA156" s="958"/>
      <c r="AB156" s="958"/>
      <c r="AC156" s="942">
        <f ca="1">SUMIF(Codifica_SP!$J$2:$R$1445,B156,Codifica_SP!$R$2:$R$1445)</f>
        <v>0</v>
      </c>
      <c r="AD156" s="942"/>
      <c r="AE156" s="942"/>
      <c r="AF156" s="942"/>
      <c r="AG156" s="942"/>
      <c r="AH156" s="848" t="s">
        <v>7175</v>
      </c>
      <c r="AI156" s="859">
        <f ca="1">AJ156-AC156</f>
        <v>0</v>
      </c>
      <c r="AJ156" s="855">
        <f>'NI-San_SP'!O638+'NI-Ric_SP'!O638</f>
        <v>0</v>
      </c>
    </row>
    <row r="157" spans="1:36" s="855" customFormat="1" ht="15.75" customHeight="1" x14ac:dyDescent="0.25">
      <c r="A157" s="851" t="s">
        <v>7324</v>
      </c>
      <c r="B157" s="957" t="s">
        <v>1520</v>
      </c>
      <c r="C157" s="957"/>
      <c r="D157" s="957"/>
      <c r="E157" s="957"/>
      <c r="F157" s="957"/>
      <c r="G157" s="958" t="s">
        <v>7334</v>
      </c>
      <c r="H157" s="958"/>
      <c r="I157" s="958"/>
      <c r="J157" s="958"/>
      <c r="K157" s="958"/>
      <c r="L157" s="958"/>
      <c r="M157" s="958"/>
      <c r="N157" s="958"/>
      <c r="O157" s="958"/>
      <c r="P157" s="958"/>
      <c r="Q157" s="958"/>
      <c r="R157" s="958"/>
      <c r="S157" s="958"/>
      <c r="T157" s="958"/>
      <c r="U157" s="958"/>
      <c r="V157" s="958"/>
      <c r="W157" s="958"/>
      <c r="X157" s="958"/>
      <c r="Y157" s="958"/>
      <c r="Z157" s="958"/>
      <c r="AA157" s="958"/>
      <c r="AB157" s="958"/>
      <c r="AC157" s="942">
        <f ca="1">SUMIF(Codifica_SP!$J$2:$R$1445,B157,Codifica_SP!$R$2:$R$1445)</f>
        <v>0</v>
      </c>
      <c r="AD157" s="942"/>
      <c r="AE157" s="942"/>
      <c r="AF157" s="942"/>
      <c r="AG157" s="942"/>
      <c r="AH157" s="848" t="s">
        <v>7175</v>
      </c>
    </row>
    <row r="158" spans="1:36" s="855" customFormat="1" ht="15.75" customHeight="1" x14ac:dyDescent="0.25">
      <c r="A158" s="851" t="s">
        <v>7324</v>
      </c>
      <c r="B158" s="970" t="s">
        <v>1525</v>
      </c>
      <c r="C158" s="970"/>
      <c r="D158" s="970"/>
      <c r="E158" s="970"/>
      <c r="F158" s="970"/>
      <c r="G158" s="958" t="s">
        <v>7335</v>
      </c>
      <c r="H158" s="958"/>
      <c r="I158" s="958"/>
      <c r="J158" s="958"/>
      <c r="K158" s="958"/>
      <c r="L158" s="958"/>
      <c r="M158" s="958"/>
      <c r="N158" s="958"/>
      <c r="O158" s="958"/>
      <c r="P158" s="958"/>
      <c r="Q158" s="958"/>
      <c r="R158" s="958"/>
      <c r="S158" s="958"/>
      <c r="T158" s="958"/>
      <c r="U158" s="958"/>
      <c r="V158" s="958"/>
      <c r="W158" s="958"/>
      <c r="X158" s="958"/>
      <c r="Y158" s="958"/>
      <c r="Z158" s="958"/>
      <c r="AA158" s="958"/>
      <c r="AB158" s="958"/>
      <c r="AC158" s="942">
        <f ca="1">SUMIF(Codifica_SP!$J$2:$R$1445,B158,Codifica_SP!$R$2:$R$1445)</f>
        <v>0</v>
      </c>
      <c r="AD158" s="942"/>
      <c r="AE158" s="942"/>
      <c r="AF158" s="942"/>
      <c r="AG158" s="942"/>
      <c r="AH158" s="848" t="s">
        <v>7175</v>
      </c>
    </row>
    <row r="159" spans="1:36" s="855" customFormat="1" ht="15.75" customHeight="1" x14ac:dyDescent="0.25">
      <c r="A159" s="862"/>
      <c r="B159" s="957" t="s">
        <v>7336</v>
      </c>
      <c r="C159" s="957"/>
      <c r="D159" s="957"/>
      <c r="E159" s="957"/>
      <c r="F159" s="957"/>
      <c r="G159" s="958" t="s">
        <v>7337</v>
      </c>
      <c r="H159" s="958"/>
      <c r="I159" s="958"/>
      <c r="J159" s="958"/>
      <c r="K159" s="958"/>
      <c r="L159" s="958"/>
      <c r="M159" s="958"/>
      <c r="N159" s="958"/>
      <c r="O159" s="958"/>
      <c r="P159" s="958"/>
      <c r="Q159" s="958"/>
      <c r="R159" s="958"/>
      <c r="S159" s="958"/>
      <c r="T159" s="958"/>
      <c r="U159" s="958"/>
      <c r="V159" s="958"/>
      <c r="W159" s="958"/>
      <c r="X159" s="958"/>
      <c r="Y159" s="958"/>
      <c r="Z159" s="958"/>
      <c r="AA159" s="958"/>
      <c r="AB159" s="958"/>
      <c r="AC159" s="968">
        <f ca="1">SUM(AC160:AC165)</f>
        <v>29642427</v>
      </c>
      <c r="AD159" s="968"/>
      <c r="AE159" s="968"/>
      <c r="AF159" s="968"/>
      <c r="AG159" s="968"/>
      <c r="AH159" s="848" t="s">
        <v>7175</v>
      </c>
    </row>
    <row r="160" spans="1:36" s="855" customFormat="1" ht="15.75" customHeight="1" x14ac:dyDescent="0.25">
      <c r="A160" s="851" t="s">
        <v>7324</v>
      </c>
      <c r="B160" s="957" t="s">
        <v>1533</v>
      </c>
      <c r="C160" s="957"/>
      <c r="D160" s="957"/>
      <c r="E160" s="957"/>
      <c r="F160" s="957"/>
      <c r="G160" s="958" t="s">
        <v>7338</v>
      </c>
      <c r="H160" s="958"/>
      <c r="I160" s="958"/>
      <c r="J160" s="958"/>
      <c r="K160" s="958"/>
      <c r="L160" s="958"/>
      <c r="M160" s="958"/>
      <c r="N160" s="958"/>
      <c r="O160" s="958"/>
      <c r="P160" s="958"/>
      <c r="Q160" s="958"/>
      <c r="R160" s="958"/>
      <c r="S160" s="958"/>
      <c r="T160" s="958"/>
      <c r="U160" s="958"/>
      <c r="V160" s="958"/>
      <c r="W160" s="958"/>
      <c r="X160" s="958"/>
      <c r="Y160" s="958"/>
      <c r="Z160" s="958"/>
      <c r="AA160" s="958"/>
      <c r="AB160" s="958"/>
      <c r="AC160" s="942">
        <f ca="1">SUMIF(Codifica_SP!$J$2:$R$1445,B160,Codifica_SP!$R$2:$R$1445)</f>
        <v>29642427</v>
      </c>
      <c r="AD160" s="942"/>
      <c r="AE160" s="942"/>
      <c r="AF160" s="942"/>
      <c r="AG160" s="942"/>
      <c r="AH160" s="848" t="s">
        <v>7175</v>
      </c>
    </row>
    <row r="161" spans="1:36" s="855" customFormat="1" ht="15.75" customHeight="1" x14ac:dyDescent="0.25">
      <c r="A161" s="851" t="s">
        <v>7324</v>
      </c>
      <c r="B161" s="957" t="s">
        <v>1539</v>
      </c>
      <c r="C161" s="957"/>
      <c r="D161" s="957"/>
      <c r="E161" s="957"/>
      <c r="F161" s="957"/>
      <c r="G161" s="958" t="s">
        <v>7339</v>
      </c>
      <c r="H161" s="958"/>
      <c r="I161" s="958"/>
      <c r="J161" s="958"/>
      <c r="K161" s="958"/>
      <c r="L161" s="958"/>
      <c r="M161" s="958"/>
      <c r="N161" s="958"/>
      <c r="O161" s="958"/>
      <c r="P161" s="958"/>
      <c r="Q161" s="958"/>
      <c r="R161" s="958"/>
      <c r="S161" s="958"/>
      <c r="T161" s="958"/>
      <c r="U161" s="958"/>
      <c r="V161" s="958"/>
      <c r="W161" s="958"/>
      <c r="X161" s="958"/>
      <c r="Y161" s="958"/>
      <c r="Z161" s="958"/>
      <c r="AA161" s="958"/>
      <c r="AB161" s="958"/>
      <c r="AC161" s="942">
        <f ca="1">SUMIF(Codifica_SP!$J$2:$R$1445,B161,Codifica_SP!$R$2:$R$1445)</f>
        <v>0</v>
      </c>
      <c r="AD161" s="942"/>
      <c r="AE161" s="942"/>
      <c r="AF161" s="942"/>
      <c r="AG161" s="942"/>
      <c r="AH161" s="848" t="s">
        <v>7175</v>
      </c>
    </row>
    <row r="162" spans="1:36" s="855" customFormat="1" ht="15.75" customHeight="1" x14ac:dyDescent="0.25">
      <c r="A162" s="851" t="s">
        <v>7324</v>
      </c>
      <c r="B162" s="957" t="s">
        <v>1545</v>
      </c>
      <c r="C162" s="957"/>
      <c r="D162" s="957"/>
      <c r="E162" s="957"/>
      <c r="F162" s="957"/>
      <c r="G162" s="958" t="s">
        <v>7340</v>
      </c>
      <c r="H162" s="958"/>
      <c r="I162" s="958"/>
      <c r="J162" s="958"/>
      <c r="K162" s="958"/>
      <c r="L162" s="958"/>
      <c r="M162" s="958"/>
      <c r="N162" s="958"/>
      <c r="O162" s="958"/>
      <c r="P162" s="958"/>
      <c r="Q162" s="958"/>
      <c r="R162" s="958"/>
      <c r="S162" s="958"/>
      <c r="T162" s="958"/>
      <c r="U162" s="958"/>
      <c r="V162" s="958"/>
      <c r="W162" s="958"/>
      <c r="X162" s="958"/>
      <c r="Y162" s="958"/>
      <c r="Z162" s="958"/>
      <c r="AA162" s="958"/>
      <c r="AB162" s="958"/>
      <c r="AC162" s="942">
        <f ca="1">SUMIF(Codifica_SP!$J$2:$R$1445,B162,Codifica_SP!$R$2:$R$1445)</f>
        <v>0</v>
      </c>
      <c r="AD162" s="942"/>
      <c r="AE162" s="942"/>
      <c r="AF162" s="942"/>
      <c r="AG162" s="942"/>
      <c r="AH162" s="848" t="s">
        <v>7175</v>
      </c>
    </row>
    <row r="163" spans="1:36" s="855" customFormat="1" ht="15.75" customHeight="1" x14ac:dyDescent="0.25">
      <c r="A163" s="851" t="s">
        <v>7324</v>
      </c>
      <c r="B163" s="957" t="s">
        <v>1551</v>
      </c>
      <c r="C163" s="957"/>
      <c r="D163" s="957"/>
      <c r="E163" s="957"/>
      <c r="F163" s="957"/>
      <c r="G163" s="958" t="s">
        <v>7341</v>
      </c>
      <c r="H163" s="958"/>
      <c r="I163" s="958"/>
      <c r="J163" s="958"/>
      <c r="K163" s="958"/>
      <c r="L163" s="958"/>
      <c r="M163" s="958"/>
      <c r="N163" s="958"/>
      <c r="O163" s="958"/>
      <c r="P163" s="958"/>
      <c r="Q163" s="958"/>
      <c r="R163" s="958"/>
      <c r="S163" s="958"/>
      <c r="T163" s="958"/>
      <c r="U163" s="958"/>
      <c r="V163" s="958"/>
      <c r="W163" s="958"/>
      <c r="X163" s="958"/>
      <c r="Y163" s="958"/>
      <c r="Z163" s="958"/>
      <c r="AA163" s="958"/>
      <c r="AB163" s="958"/>
      <c r="AC163" s="942">
        <f ca="1">SUMIF(Codifica_SP!$J$2:$R$1445,B163,Codifica_SP!$R$2:$R$1445)</f>
        <v>0</v>
      </c>
      <c r="AD163" s="942"/>
      <c r="AE163" s="942"/>
      <c r="AF163" s="942"/>
      <c r="AG163" s="942"/>
      <c r="AH163" s="848" t="s">
        <v>7175</v>
      </c>
    </row>
    <row r="164" spans="1:36" s="855" customFormat="1" ht="15.75" customHeight="1" x14ac:dyDescent="0.25">
      <c r="A164" s="851" t="s">
        <v>7324</v>
      </c>
      <c r="B164" s="957" t="s">
        <v>1556</v>
      </c>
      <c r="C164" s="957"/>
      <c r="D164" s="957"/>
      <c r="E164" s="957"/>
      <c r="F164" s="957"/>
      <c r="G164" s="958" t="s">
        <v>7342</v>
      </c>
      <c r="H164" s="958"/>
      <c r="I164" s="958"/>
      <c r="J164" s="958"/>
      <c r="K164" s="958"/>
      <c r="L164" s="958"/>
      <c r="M164" s="958"/>
      <c r="N164" s="958"/>
      <c r="O164" s="958"/>
      <c r="P164" s="958"/>
      <c r="Q164" s="958"/>
      <c r="R164" s="958"/>
      <c r="S164" s="958"/>
      <c r="T164" s="958"/>
      <c r="U164" s="958"/>
      <c r="V164" s="958"/>
      <c r="W164" s="958"/>
      <c r="X164" s="958"/>
      <c r="Y164" s="958"/>
      <c r="Z164" s="958"/>
      <c r="AA164" s="958"/>
      <c r="AB164" s="958"/>
      <c r="AC164" s="942">
        <f ca="1">SUMIF(Codifica_SP!$J$2:$R$1445,B164,Codifica_SP!$R$2:$R$1445)</f>
        <v>0</v>
      </c>
      <c r="AD164" s="942"/>
      <c r="AE164" s="942"/>
      <c r="AF164" s="942"/>
      <c r="AG164" s="942"/>
      <c r="AH164" s="848" t="s">
        <v>7175</v>
      </c>
    </row>
    <row r="165" spans="1:36" s="855" customFormat="1" ht="29.25" customHeight="1" x14ac:dyDescent="0.25">
      <c r="A165" s="851" t="s">
        <v>7324</v>
      </c>
      <c r="B165" s="969" t="s">
        <v>1561</v>
      </c>
      <c r="C165" s="969"/>
      <c r="D165" s="969"/>
      <c r="E165" s="969"/>
      <c r="F165" s="969"/>
      <c r="G165" s="958" t="s">
        <v>7343</v>
      </c>
      <c r="H165" s="958"/>
      <c r="I165" s="958"/>
      <c r="J165" s="958"/>
      <c r="K165" s="958"/>
      <c r="L165" s="958"/>
      <c r="M165" s="958"/>
      <c r="N165" s="958"/>
      <c r="O165" s="958"/>
      <c r="P165" s="958"/>
      <c r="Q165" s="958"/>
      <c r="R165" s="958"/>
      <c r="S165" s="958"/>
      <c r="T165" s="958"/>
      <c r="U165" s="958"/>
      <c r="V165" s="958"/>
      <c r="W165" s="958"/>
      <c r="X165" s="958"/>
      <c r="Y165" s="958"/>
      <c r="Z165" s="958"/>
      <c r="AA165" s="958"/>
      <c r="AB165" s="958"/>
      <c r="AC165" s="942">
        <f ca="1">SUMIF(Codifica_SP!$J$2:$R$1445,B165,Codifica_SP!$R$2:$R$1445)</f>
        <v>0</v>
      </c>
      <c r="AD165" s="942"/>
      <c r="AE165" s="942"/>
      <c r="AF165" s="942"/>
      <c r="AG165" s="942"/>
      <c r="AH165" s="848" t="s">
        <v>7175</v>
      </c>
    </row>
    <row r="166" spans="1:36" s="855" customFormat="1" ht="29.25" customHeight="1" x14ac:dyDescent="0.25">
      <c r="A166" s="851"/>
      <c r="B166" s="959" t="s">
        <v>1565</v>
      </c>
      <c r="C166" s="959"/>
      <c r="D166" s="959"/>
      <c r="E166" s="959"/>
      <c r="F166" s="959"/>
      <c r="G166" s="958" t="s">
        <v>7344</v>
      </c>
      <c r="H166" s="958"/>
      <c r="I166" s="958"/>
      <c r="J166" s="958"/>
      <c r="K166" s="958"/>
      <c r="L166" s="958"/>
      <c r="M166" s="958"/>
      <c r="N166" s="958"/>
      <c r="O166" s="958"/>
      <c r="P166" s="958"/>
      <c r="Q166" s="958"/>
      <c r="R166" s="958"/>
      <c r="S166" s="958"/>
      <c r="T166" s="958"/>
      <c r="U166" s="958"/>
      <c r="V166" s="958"/>
      <c r="W166" s="958"/>
      <c r="X166" s="958"/>
      <c r="Y166" s="958"/>
      <c r="Z166" s="958"/>
      <c r="AA166" s="958"/>
      <c r="AB166" s="958"/>
      <c r="AC166" s="942">
        <f ca="1">SUMIF(Codifica_SP!$J$2:$R$1445,B166,Codifica_SP!$R$2:$R$1445)</f>
        <v>0</v>
      </c>
      <c r="AD166" s="942"/>
      <c r="AE166" s="942"/>
      <c r="AF166" s="942"/>
      <c r="AG166" s="942"/>
      <c r="AH166" s="848" t="s">
        <v>7175</v>
      </c>
    </row>
    <row r="167" spans="1:36" s="855" customFormat="1" ht="29.25" customHeight="1" x14ac:dyDescent="0.25">
      <c r="A167" s="851" t="s">
        <v>7324</v>
      </c>
      <c r="B167" s="959" t="s">
        <v>1570</v>
      </c>
      <c r="C167" s="959"/>
      <c r="D167" s="959"/>
      <c r="E167" s="959"/>
      <c r="F167" s="959"/>
      <c r="G167" s="958" t="s">
        <v>7345</v>
      </c>
      <c r="H167" s="958"/>
      <c r="I167" s="958"/>
      <c r="J167" s="958"/>
      <c r="K167" s="958"/>
      <c r="L167" s="958"/>
      <c r="M167" s="958"/>
      <c r="N167" s="958"/>
      <c r="O167" s="958"/>
      <c r="P167" s="958"/>
      <c r="Q167" s="958"/>
      <c r="R167" s="958"/>
      <c r="S167" s="958"/>
      <c r="T167" s="958"/>
      <c r="U167" s="958"/>
      <c r="V167" s="958"/>
      <c r="W167" s="958"/>
      <c r="X167" s="958"/>
      <c r="Y167" s="958"/>
      <c r="Z167" s="958"/>
      <c r="AA167" s="958"/>
      <c r="AB167" s="958"/>
      <c r="AC167" s="942">
        <f ca="1">SUMIF(Codifica_SP!$J$2:$R$1445,B167,Codifica_SP!$R$2:$R$1445)</f>
        <v>0</v>
      </c>
      <c r="AD167" s="942"/>
      <c r="AE167" s="942"/>
      <c r="AF167" s="942"/>
      <c r="AG167" s="942"/>
      <c r="AH167" s="848" t="s">
        <v>7175</v>
      </c>
    </row>
    <row r="168" spans="1:36" s="855" customFormat="1" ht="15.75" customHeight="1" x14ac:dyDescent="0.25">
      <c r="A168" s="851"/>
      <c r="B168" s="951" t="s">
        <v>1574</v>
      </c>
      <c r="C168" s="951"/>
      <c r="D168" s="951"/>
      <c r="E168" s="951"/>
      <c r="F168" s="951"/>
      <c r="G168" s="952" t="s">
        <v>7346</v>
      </c>
      <c r="H168" s="952"/>
      <c r="I168" s="952"/>
      <c r="J168" s="952"/>
      <c r="K168" s="952"/>
      <c r="L168" s="952"/>
      <c r="M168" s="952"/>
      <c r="N168" s="952"/>
      <c r="O168" s="952"/>
      <c r="P168" s="952"/>
      <c r="Q168" s="952"/>
      <c r="R168" s="952"/>
      <c r="S168" s="952"/>
      <c r="T168" s="952"/>
      <c r="U168" s="952"/>
      <c r="V168" s="952"/>
      <c r="W168" s="952"/>
      <c r="X168" s="952"/>
      <c r="Y168" s="952"/>
      <c r="Z168" s="952"/>
      <c r="AA168" s="952"/>
      <c r="AB168" s="952"/>
      <c r="AC168" s="942">
        <f ca="1">SUMIF(Codifica_SP!$J$2:$R$1445,B168,Codifica_SP!$R$2:$R$1445)</f>
        <v>22120</v>
      </c>
      <c r="AD168" s="942"/>
      <c r="AE168" s="942"/>
      <c r="AF168" s="942"/>
      <c r="AG168" s="942"/>
      <c r="AH168" s="848" t="s">
        <v>7175</v>
      </c>
      <c r="AI168" s="859">
        <f ca="1">AJ168-AC168</f>
        <v>0</v>
      </c>
      <c r="AJ168" s="855">
        <f>'NI-San_SP'!O653+'NI-Ric_SP'!O653</f>
        <v>22120</v>
      </c>
    </row>
    <row r="169" spans="1:36" s="855" customFormat="1" ht="15.75" customHeight="1" x14ac:dyDescent="0.25">
      <c r="A169" s="863"/>
      <c r="B169" s="965" t="s">
        <v>7347</v>
      </c>
      <c r="C169" s="965"/>
      <c r="D169" s="965"/>
      <c r="E169" s="965"/>
      <c r="F169" s="965"/>
      <c r="G169" s="966" t="s">
        <v>7348</v>
      </c>
      <c r="H169" s="966"/>
      <c r="I169" s="966"/>
      <c r="J169" s="966"/>
      <c r="K169" s="966"/>
      <c r="L169" s="966"/>
      <c r="M169" s="966"/>
      <c r="N169" s="966"/>
      <c r="O169" s="966"/>
      <c r="P169" s="966"/>
      <c r="Q169" s="966"/>
      <c r="R169" s="966"/>
      <c r="S169" s="966"/>
      <c r="T169" s="966"/>
      <c r="U169" s="966"/>
      <c r="V169" s="966"/>
      <c r="W169" s="966"/>
      <c r="X169" s="966"/>
      <c r="Y169" s="966"/>
      <c r="Z169" s="966"/>
      <c r="AA169" s="966"/>
      <c r="AB169" s="966"/>
      <c r="AC169" s="967">
        <f ca="1">AC170+AC174+AC176+AC175+AC177</f>
        <v>12947177</v>
      </c>
      <c r="AD169" s="967"/>
      <c r="AE169" s="967"/>
      <c r="AF169" s="967"/>
      <c r="AG169" s="967"/>
      <c r="AH169" s="848" t="s">
        <v>7175</v>
      </c>
      <c r="AI169" s="859">
        <f ca="1">AJ169-AC169</f>
        <v>0</v>
      </c>
      <c r="AJ169" s="855">
        <f>'NI-San_SP'!O656+'NI-Ric_SP'!O656</f>
        <v>12947177</v>
      </c>
    </row>
    <row r="170" spans="1:36" s="855" customFormat="1" ht="19.5" customHeight="1" x14ac:dyDescent="0.25">
      <c r="A170" s="851"/>
      <c r="B170" s="962" t="s">
        <v>7349</v>
      </c>
      <c r="C170" s="962"/>
      <c r="D170" s="962"/>
      <c r="E170" s="962"/>
      <c r="F170" s="962"/>
      <c r="G170" s="963" t="s">
        <v>7350</v>
      </c>
      <c r="H170" s="963"/>
      <c r="I170" s="963"/>
      <c r="J170" s="963"/>
      <c r="K170" s="963"/>
      <c r="L170" s="963"/>
      <c r="M170" s="963"/>
      <c r="N170" s="963"/>
      <c r="O170" s="963"/>
      <c r="P170" s="963"/>
      <c r="Q170" s="963"/>
      <c r="R170" s="963"/>
      <c r="S170" s="963"/>
      <c r="T170" s="963"/>
      <c r="U170" s="963"/>
      <c r="V170" s="963"/>
      <c r="W170" s="963"/>
      <c r="X170" s="963"/>
      <c r="Y170" s="963"/>
      <c r="Z170" s="963"/>
      <c r="AA170" s="963"/>
      <c r="AB170" s="963"/>
      <c r="AC170" s="968">
        <f ca="1">SUM(AC171:AC173)</f>
        <v>11890177</v>
      </c>
      <c r="AD170" s="968"/>
      <c r="AE170" s="968"/>
      <c r="AF170" s="968"/>
      <c r="AG170" s="968"/>
      <c r="AH170" s="848" t="s">
        <v>7175</v>
      </c>
    </row>
    <row r="171" spans="1:36" s="855" customFormat="1" ht="19.5" customHeight="1" x14ac:dyDescent="0.25">
      <c r="A171" s="851" t="s">
        <v>7326</v>
      </c>
      <c r="B171" s="962" t="s">
        <v>1587</v>
      </c>
      <c r="C171" s="962"/>
      <c r="D171" s="962"/>
      <c r="E171" s="962"/>
      <c r="F171" s="962"/>
      <c r="G171" s="963" t="s">
        <v>7351</v>
      </c>
      <c r="H171" s="963"/>
      <c r="I171" s="963"/>
      <c r="J171" s="963"/>
      <c r="K171" s="963"/>
      <c r="L171" s="963"/>
      <c r="M171" s="963"/>
      <c r="N171" s="963"/>
      <c r="O171" s="963"/>
      <c r="P171" s="963"/>
      <c r="Q171" s="963"/>
      <c r="R171" s="963"/>
      <c r="S171" s="963"/>
      <c r="T171" s="963"/>
      <c r="U171" s="963"/>
      <c r="V171" s="963"/>
      <c r="W171" s="963"/>
      <c r="X171" s="963"/>
      <c r="Y171" s="963"/>
      <c r="Z171" s="963"/>
      <c r="AA171" s="963"/>
      <c r="AB171" s="963"/>
      <c r="AC171" s="942">
        <f ca="1">SUMIF(Codifica_SP!$J$2:$R$1445,B171,Codifica_SP!$R$2:$R$1445)</f>
        <v>0</v>
      </c>
      <c r="AD171" s="942"/>
      <c r="AE171" s="942"/>
      <c r="AF171" s="942"/>
      <c r="AG171" s="942"/>
      <c r="AH171" s="848" t="s">
        <v>7175</v>
      </c>
    </row>
    <row r="172" spans="1:36" s="855" customFormat="1" ht="29.25" customHeight="1" x14ac:dyDescent="0.25">
      <c r="A172" s="851" t="s">
        <v>7324</v>
      </c>
      <c r="B172" s="962" t="s">
        <v>1598</v>
      </c>
      <c r="C172" s="962"/>
      <c r="D172" s="962"/>
      <c r="E172" s="962"/>
      <c r="F172" s="962"/>
      <c r="G172" s="963" t="s">
        <v>7352</v>
      </c>
      <c r="H172" s="963"/>
      <c r="I172" s="963"/>
      <c r="J172" s="963"/>
      <c r="K172" s="963"/>
      <c r="L172" s="963"/>
      <c r="M172" s="963"/>
      <c r="N172" s="963"/>
      <c r="O172" s="963"/>
      <c r="P172" s="963"/>
      <c r="Q172" s="963"/>
      <c r="R172" s="963"/>
      <c r="S172" s="963"/>
      <c r="T172" s="963"/>
      <c r="U172" s="963"/>
      <c r="V172" s="963"/>
      <c r="W172" s="963"/>
      <c r="X172" s="963"/>
      <c r="Y172" s="963"/>
      <c r="Z172" s="963"/>
      <c r="AA172" s="963"/>
      <c r="AB172" s="963"/>
      <c r="AC172" s="942">
        <f ca="1">SUMIF(Codifica_SP!$J$2:$R$1445,B172,Codifica_SP!$R$2:$R$1445)</f>
        <v>0</v>
      </c>
      <c r="AD172" s="942"/>
      <c r="AE172" s="942"/>
      <c r="AF172" s="942"/>
      <c r="AG172" s="942"/>
      <c r="AH172" s="848" t="s">
        <v>7175</v>
      </c>
    </row>
    <row r="173" spans="1:36" s="855" customFormat="1" ht="19.5" customHeight="1" x14ac:dyDescent="0.25">
      <c r="A173" s="851" t="s">
        <v>7324</v>
      </c>
      <c r="B173" s="964" t="s">
        <v>1609</v>
      </c>
      <c r="C173" s="964"/>
      <c r="D173" s="964"/>
      <c r="E173" s="964"/>
      <c r="F173" s="964"/>
      <c r="G173" s="963" t="s">
        <v>7353</v>
      </c>
      <c r="H173" s="963"/>
      <c r="I173" s="963"/>
      <c r="J173" s="963"/>
      <c r="K173" s="963"/>
      <c r="L173" s="963"/>
      <c r="M173" s="963"/>
      <c r="N173" s="963"/>
      <c r="O173" s="963"/>
      <c r="P173" s="963"/>
      <c r="Q173" s="963"/>
      <c r="R173" s="963"/>
      <c r="S173" s="963"/>
      <c r="T173" s="963"/>
      <c r="U173" s="963"/>
      <c r="V173" s="963"/>
      <c r="W173" s="963"/>
      <c r="X173" s="963"/>
      <c r="Y173" s="963"/>
      <c r="Z173" s="963"/>
      <c r="AA173" s="963"/>
      <c r="AB173" s="963"/>
      <c r="AC173" s="942">
        <f ca="1">SUMIF(Codifica_SP!$J$2:$R$1445,B173,Codifica_SP!$R$2:$R$1445)</f>
        <v>11890177</v>
      </c>
      <c r="AD173" s="942"/>
      <c r="AE173" s="942"/>
      <c r="AF173" s="942"/>
      <c r="AG173" s="942"/>
      <c r="AH173" s="848" t="s">
        <v>7175</v>
      </c>
    </row>
    <row r="174" spans="1:36" s="855" customFormat="1" ht="19.5" customHeight="1" x14ac:dyDescent="0.25">
      <c r="A174" s="851" t="s">
        <v>7324</v>
      </c>
      <c r="B174" s="964" t="s">
        <v>1636</v>
      </c>
      <c r="C174" s="964"/>
      <c r="D174" s="964"/>
      <c r="E174" s="964"/>
      <c r="F174" s="964"/>
      <c r="G174" s="963" t="s">
        <v>7354</v>
      </c>
      <c r="H174" s="963"/>
      <c r="I174" s="963"/>
      <c r="J174" s="963"/>
      <c r="K174" s="963"/>
      <c r="L174" s="963"/>
      <c r="M174" s="963"/>
      <c r="N174" s="963"/>
      <c r="O174" s="963"/>
      <c r="P174" s="963"/>
      <c r="Q174" s="963"/>
      <c r="R174" s="963"/>
      <c r="S174" s="963"/>
      <c r="T174" s="963"/>
      <c r="U174" s="963"/>
      <c r="V174" s="963"/>
      <c r="W174" s="963"/>
      <c r="X174" s="963"/>
      <c r="Y174" s="963"/>
      <c r="Z174" s="963"/>
      <c r="AA174" s="963"/>
      <c r="AB174" s="963"/>
      <c r="AC174" s="942">
        <f ca="1">SUMIF(Codifica_SP!$J$2:$R$1445,B174,Codifica_SP!$R$2:$R$1445)</f>
        <v>0</v>
      </c>
      <c r="AD174" s="942"/>
      <c r="AE174" s="942"/>
      <c r="AF174" s="942"/>
      <c r="AG174" s="942"/>
      <c r="AH174" s="848" t="s">
        <v>7175</v>
      </c>
    </row>
    <row r="175" spans="1:36" s="855" customFormat="1" ht="35.25" customHeight="1" x14ac:dyDescent="0.25">
      <c r="A175" s="851"/>
      <c r="B175" s="964" t="s">
        <v>1640</v>
      </c>
      <c r="C175" s="964"/>
      <c r="D175" s="964"/>
      <c r="E175" s="964"/>
      <c r="F175" s="964"/>
      <c r="G175" s="958" t="s">
        <v>7355</v>
      </c>
      <c r="H175" s="958"/>
      <c r="I175" s="958"/>
      <c r="J175" s="958"/>
      <c r="K175" s="958"/>
      <c r="L175" s="958"/>
      <c r="M175" s="958"/>
      <c r="N175" s="958"/>
      <c r="O175" s="958"/>
      <c r="P175" s="958"/>
      <c r="Q175" s="958"/>
      <c r="R175" s="958"/>
      <c r="S175" s="958"/>
      <c r="T175" s="958"/>
      <c r="U175" s="958"/>
      <c r="V175" s="958"/>
      <c r="W175" s="958"/>
      <c r="X175" s="958"/>
      <c r="Y175" s="958"/>
      <c r="Z175" s="958"/>
      <c r="AA175" s="958"/>
      <c r="AB175" s="958"/>
      <c r="AC175" s="942">
        <f ca="1">SUMIF(Codifica_SP!$J$2:$R$1445,B175,Codifica_SP!$R$2:$R$1445)</f>
        <v>0</v>
      </c>
      <c r="AD175" s="942"/>
      <c r="AE175" s="942"/>
      <c r="AF175" s="942"/>
      <c r="AG175" s="942"/>
      <c r="AH175" s="848" t="s">
        <v>7175</v>
      </c>
    </row>
    <row r="176" spans="1:36" s="855" customFormat="1" ht="15.75" customHeight="1" x14ac:dyDescent="0.25">
      <c r="A176" s="851" t="s">
        <v>7305</v>
      </c>
      <c r="B176" s="957" t="s">
        <v>1645</v>
      </c>
      <c r="C176" s="957"/>
      <c r="D176" s="957"/>
      <c r="E176" s="957"/>
      <c r="F176" s="957"/>
      <c r="G176" s="958" t="s">
        <v>7356</v>
      </c>
      <c r="H176" s="958"/>
      <c r="I176" s="958"/>
      <c r="J176" s="958"/>
      <c r="K176" s="958"/>
      <c r="L176" s="958"/>
      <c r="M176" s="958"/>
      <c r="N176" s="958"/>
      <c r="O176" s="958"/>
      <c r="P176" s="958"/>
      <c r="Q176" s="958"/>
      <c r="R176" s="958"/>
      <c r="S176" s="958"/>
      <c r="T176" s="958"/>
      <c r="U176" s="958"/>
      <c r="V176" s="958"/>
      <c r="W176" s="958"/>
      <c r="X176" s="958"/>
      <c r="Y176" s="958"/>
      <c r="Z176" s="958"/>
      <c r="AA176" s="958"/>
      <c r="AB176" s="958"/>
      <c r="AC176" s="942">
        <f ca="1">SUMIF(Codifica_SP!$J$2:$R$1445,B176,Codifica_SP!$R$2:$R$1445)</f>
        <v>1057000</v>
      </c>
      <c r="AD176" s="942"/>
      <c r="AE176" s="942"/>
      <c r="AF176" s="942"/>
      <c r="AG176" s="942"/>
      <c r="AH176" s="848" t="s">
        <v>7175</v>
      </c>
    </row>
    <row r="177" spans="1:36" s="855" customFormat="1" ht="29.25" customHeight="1" x14ac:dyDescent="0.25">
      <c r="A177" s="851" t="s">
        <v>7305</v>
      </c>
      <c r="B177" s="957" t="s">
        <v>1650</v>
      </c>
      <c r="C177" s="957"/>
      <c r="D177" s="957"/>
      <c r="E177" s="957"/>
      <c r="F177" s="957"/>
      <c r="G177" s="958" t="s">
        <v>7357</v>
      </c>
      <c r="H177" s="958"/>
      <c r="I177" s="958"/>
      <c r="J177" s="958"/>
      <c r="K177" s="958"/>
      <c r="L177" s="958"/>
      <c r="M177" s="958"/>
      <c r="N177" s="958"/>
      <c r="O177" s="958"/>
      <c r="P177" s="958"/>
      <c r="Q177" s="958"/>
      <c r="R177" s="958"/>
      <c r="S177" s="958"/>
      <c r="T177" s="958"/>
      <c r="U177" s="958"/>
      <c r="V177" s="958"/>
      <c r="W177" s="958"/>
      <c r="X177" s="958"/>
      <c r="Y177" s="958"/>
      <c r="Z177" s="958"/>
      <c r="AA177" s="958"/>
      <c r="AB177" s="958"/>
      <c r="AC177" s="942">
        <f ca="1">SUMIF(Codifica_SP!$J$2:$R$1445,B177,Codifica_SP!$R$2:$R$1445)</f>
        <v>0</v>
      </c>
      <c r="AD177" s="942"/>
      <c r="AE177" s="942"/>
      <c r="AF177" s="942"/>
      <c r="AG177" s="942"/>
      <c r="AH177" s="848" t="s">
        <v>7175</v>
      </c>
    </row>
    <row r="178" spans="1:36" s="855" customFormat="1" ht="15.75" customHeight="1" x14ac:dyDescent="0.25">
      <c r="A178" s="851"/>
      <c r="B178" s="951" t="s">
        <v>7358</v>
      </c>
      <c r="C178" s="951"/>
      <c r="D178" s="951"/>
      <c r="E178" s="951"/>
      <c r="F178" s="951"/>
      <c r="G178" s="952" t="s">
        <v>7359</v>
      </c>
      <c r="H178" s="952"/>
      <c r="I178" s="952"/>
      <c r="J178" s="952"/>
      <c r="K178" s="952"/>
      <c r="L178" s="952"/>
      <c r="M178" s="952"/>
      <c r="N178" s="952"/>
      <c r="O178" s="952"/>
      <c r="P178" s="952"/>
      <c r="Q178" s="952"/>
      <c r="R178" s="952"/>
      <c r="S178" s="952"/>
      <c r="T178" s="952"/>
      <c r="U178" s="952"/>
      <c r="V178" s="952"/>
      <c r="W178" s="952"/>
      <c r="X178" s="952"/>
      <c r="Y178" s="952"/>
      <c r="Z178" s="952"/>
      <c r="AA178" s="952"/>
      <c r="AB178" s="952"/>
      <c r="AC178" s="961">
        <f ca="1">SUM(AC179:AC181)</f>
        <v>0</v>
      </c>
      <c r="AD178" s="961"/>
      <c r="AE178" s="961"/>
      <c r="AF178" s="961"/>
      <c r="AG178" s="961"/>
      <c r="AH178" s="848" t="s">
        <v>7175</v>
      </c>
      <c r="AJ178" s="855">
        <f>'NI-San_SP'!O685+'NI-Ric_SP'!O685</f>
        <v>0</v>
      </c>
    </row>
    <row r="179" spans="1:36" s="855" customFormat="1" ht="16.5" customHeight="1" x14ac:dyDescent="0.25">
      <c r="A179" s="851"/>
      <c r="B179" s="962" t="s">
        <v>1665</v>
      </c>
      <c r="C179" s="962"/>
      <c r="D179" s="962"/>
      <c r="E179" s="962"/>
      <c r="F179" s="962"/>
      <c r="G179" s="963" t="s">
        <v>7360</v>
      </c>
      <c r="H179" s="963"/>
      <c r="I179" s="963"/>
      <c r="J179" s="963"/>
      <c r="K179" s="963"/>
      <c r="L179" s="963"/>
      <c r="M179" s="963"/>
      <c r="N179" s="963"/>
      <c r="O179" s="963"/>
      <c r="P179" s="963"/>
      <c r="Q179" s="963"/>
      <c r="R179" s="963"/>
      <c r="S179" s="963"/>
      <c r="T179" s="963"/>
      <c r="U179" s="963"/>
      <c r="V179" s="963"/>
      <c r="W179" s="963"/>
      <c r="X179" s="963"/>
      <c r="Y179" s="963"/>
      <c r="Z179" s="963"/>
      <c r="AA179" s="963"/>
      <c r="AB179" s="963"/>
      <c r="AC179" s="942">
        <f ca="1">SUMIF(Codifica_SP!$J$2:$R$1445,B179,Codifica_SP!$R$2:$R$1445)</f>
        <v>0</v>
      </c>
      <c r="AD179" s="942"/>
      <c r="AE179" s="942"/>
      <c r="AF179" s="942"/>
      <c r="AG179" s="942"/>
      <c r="AH179" s="848" t="s">
        <v>7175</v>
      </c>
    </row>
    <row r="180" spans="1:36" s="855" customFormat="1" ht="15.75" customHeight="1" x14ac:dyDescent="0.25">
      <c r="A180" s="851"/>
      <c r="B180" s="957" t="s">
        <v>1675</v>
      </c>
      <c r="C180" s="957"/>
      <c r="D180" s="957"/>
      <c r="E180" s="957"/>
      <c r="F180" s="957"/>
      <c r="G180" s="958" t="s">
        <v>7361</v>
      </c>
      <c r="H180" s="958"/>
      <c r="I180" s="958"/>
      <c r="J180" s="958"/>
      <c r="K180" s="958"/>
      <c r="L180" s="958"/>
      <c r="M180" s="958"/>
      <c r="N180" s="958"/>
      <c r="O180" s="958"/>
      <c r="P180" s="958"/>
      <c r="Q180" s="958"/>
      <c r="R180" s="958"/>
      <c r="S180" s="958"/>
      <c r="T180" s="958"/>
      <c r="U180" s="958"/>
      <c r="V180" s="958"/>
      <c r="W180" s="958"/>
      <c r="X180" s="958"/>
      <c r="Y180" s="958"/>
      <c r="Z180" s="958"/>
      <c r="AA180" s="958"/>
      <c r="AB180" s="958"/>
      <c r="AC180" s="942">
        <f ca="1">SUMIF(Codifica_SP!$J$2:$R$1445,B180,Codifica_SP!$R$2:$R$1445)</f>
        <v>0</v>
      </c>
      <c r="AD180" s="942"/>
      <c r="AE180" s="942"/>
      <c r="AF180" s="942"/>
      <c r="AG180" s="942"/>
      <c r="AH180" s="848" t="s">
        <v>7175</v>
      </c>
    </row>
    <row r="181" spans="1:36" s="855" customFormat="1" ht="15.75" customHeight="1" x14ac:dyDescent="0.25">
      <c r="A181" s="851"/>
      <c r="B181" s="957" t="s">
        <v>1679</v>
      </c>
      <c r="C181" s="957"/>
      <c r="D181" s="957"/>
      <c r="E181" s="957"/>
      <c r="F181" s="957"/>
      <c r="G181" s="958" t="s">
        <v>7362</v>
      </c>
      <c r="H181" s="958"/>
      <c r="I181" s="958"/>
      <c r="J181" s="958"/>
      <c r="K181" s="958"/>
      <c r="L181" s="958"/>
      <c r="M181" s="958"/>
      <c r="N181" s="958"/>
      <c r="O181" s="958"/>
      <c r="P181" s="958"/>
      <c r="Q181" s="958"/>
      <c r="R181" s="958"/>
      <c r="S181" s="958"/>
      <c r="T181" s="958"/>
      <c r="U181" s="958"/>
      <c r="V181" s="958"/>
      <c r="W181" s="958"/>
      <c r="X181" s="958"/>
      <c r="Y181" s="958"/>
      <c r="Z181" s="958"/>
      <c r="AA181" s="958"/>
      <c r="AB181" s="958"/>
      <c r="AC181" s="942">
        <f ca="1">SUMIF(Codifica_SP!$J$2:$R$1445,B181,Codifica_SP!$R$2:$R$1445)</f>
        <v>0</v>
      </c>
      <c r="AD181" s="942"/>
      <c r="AE181" s="942"/>
      <c r="AF181" s="942"/>
      <c r="AG181" s="942"/>
      <c r="AH181" s="848" t="s">
        <v>7175</v>
      </c>
    </row>
    <row r="182" spans="1:36" s="855" customFormat="1" ht="15.75" customHeight="1" x14ac:dyDescent="0.25">
      <c r="A182" s="851"/>
      <c r="B182" s="951" t="s">
        <v>1683</v>
      </c>
      <c r="C182" s="951"/>
      <c r="D182" s="951"/>
      <c r="E182" s="951"/>
      <c r="F182" s="951"/>
      <c r="G182" s="952" t="s">
        <v>7363</v>
      </c>
      <c r="H182" s="952"/>
      <c r="I182" s="952"/>
      <c r="J182" s="952"/>
      <c r="K182" s="952"/>
      <c r="L182" s="952"/>
      <c r="M182" s="952"/>
      <c r="N182" s="952"/>
      <c r="O182" s="952"/>
      <c r="P182" s="952"/>
      <c r="Q182" s="952"/>
      <c r="R182" s="952"/>
      <c r="S182" s="952"/>
      <c r="T182" s="952"/>
      <c r="U182" s="952"/>
      <c r="V182" s="952"/>
      <c r="W182" s="952"/>
      <c r="X182" s="952"/>
      <c r="Y182" s="952"/>
      <c r="Z182" s="952"/>
      <c r="AA182" s="952"/>
      <c r="AB182" s="952"/>
      <c r="AC182" s="942">
        <f ca="1">SUMIF(Codifica_SP!$J$2:$R$1445,B182,Codifica_SP!$R$2:$R$1445)</f>
        <v>1087</v>
      </c>
      <c r="AD182" s="942"/>
      <c r="AE182" s="942"/>
      <c r="AF182" s="942"/>
      <c r="AG182" s="942"/>
      <c r="AH182" s="848" t="s">
        <v>7175</v>
      </c>
    </row>
    <row r="183" spans="1:36" s="855" customFormat="1" ht="15.75" customHeight="1" x14ac:dyDescent="0.25">
      <c r="A183" s="851"/>
      <c r="B183" s="951" t="s">
        <v>7364</v>
      </c>
      <c r="C183" s="951"/>
      <c r="D183" s="951"/>
      <c r="E183" s="951"/>
      <c r="F183" s="951"/>
      <c r="G183" s="952" t="s">
        <v>7365</v>
      </c>
      <c r="H183" s="952"/>
      <c r="I183" s="952"/>
      <c r="J183" s="952"/>
      <c r="K183" s="952"/>
      <c r="L183" s="952"/>
      <c r="M183" s="952"/>
      <c r="N183" s="952"/>
      <c r="O183" s="952"/>
      <c r="P183" s="952"/>
      <c r="Q183" s="952"/>
      <c r="R183" s="952"/>
      <c r="S183" s="952"/>
      <c r="T183" s="952"/>
      <c r="U183" s="952"/>
      <c r="V183" s="952"/>
      <c r="W183" s="952"/>
      <c r="X183" s="952"/>
      <c r="Y183" s="952"/>
      <c r="Z183" s="952"/>
      <c r="AA183" s="952"/>
      <c r="AB183" s="952"/>
      <c r="AC183" s="961">
        <f ca="1">AC184+AC185+AC186+AC187+AC188+AC191</f>
        <v>3236937</v>
      </c>
      <c r="AD183" s="961"/>
      <c r="AE183" s="961"/>
      <c r="AF183" s="961"/>
      <c r="AG183" s="961"/>
      <c r="AH183" s="848" t="s">
        <v>7175</v>
      </c>
    </row>
    <row r="184" spans="1:36" s="855" customFormat="1" ht="15.75" customHeight="1" x14ac:dyDescent="0.25">
      <c r="A184" s="851"/>
      <c r="B184" s="957" t="s">
        <v>1696</v>
      </c>
      <c r="C184" s="957"/>
      <c r="D184" s="957"/>
      <c r="E184" s="957"/>
      <c r="F184" s="957"/>
      <c r="G184" s="958" t="s">
        <v>7366</v>
      </c>
      <c r="H184" s="958"/>
      <c r="I184" s="958"/>
      <c r="J184" s="958"/>
      <c r="K184" s="958"/>
      <c r="L184" s="958"/>
      <c r="M184" s="958"/>
      <c r="N184" s="958"/>
      <c r="O184" s="958"/>
      <c r="P184" s="958"/>
      <c r="Q184" s="958"/>
      <c r="R184" s="958"/>
      <c r="S184" s="958"/>
      <c r="T184" s="958"/>
      <c r="U184" s="958"/>
      <c r="V184" s="958"/>
      <c r="W184" s="958"/>
      <c r="X184" s="958"/>
      <c r="Y184" s="958"/>
      <c r="Z184" s="958"/>
      <c r="AA184" s="958"/>
      <c r="AB184" s="958"/>
      <c r="AC184" s="942">
        <f ca="1">SUMIF(Codifica_SP!$J$2:$R$1445,B184,Codifica_SP!$R$2:$R$1445)</f>
        <v>2554509</v>
      </c>
      <c r="AD184" s="942"/>
      <c r="AE184" s="942"/>
      <c r="AF184" s="942"/>
      <c r="AG184" s="942"/>
      <c r="AH184" s="848" t="s">
        <v>7175</v>
      </c>
    </row>
    <row r="185" spans="1:36" s="855" customFormat="1" ht="15.75" customHeight="1" x14ac:dyDescent="0.25">
      <c r="A185" s="851"/>
      <c r="B185" s="957" t="s">
        <v>1703</v>
      </c>
      <c r="C185" s="957"/>
      <c r="D185" s="957"/>
      <c r="E185" s="957"/>
      <c r="F185" s="957"/>
      <c r="G185" s="958" t="s">
        <v>7367</v>
      </c>
      <c r="H185" s="958"/>
      <c r="I185" s="958"/>
      <c r="J185" s="958"/>
      <c r="K185" s="958"/>
      <c r="L185" s="958"/>
      <c r="M185" s="958"/>
      <c r="N185" s="958"/>
      <c r="O185" s="958"/>
      <c r="P185" s="958"/>
      <c r="Q185" s="958"/>
      <c r="R185" s="958"/>
      <c r="S185" s="958"/>
      <c r="T185" s="958"/>
      <c r="U185" s="958"/>
      <c r="V185" s="958"/>
      <c r="W185" s="958"/>
      <c r="X185" s="958"/>
      <c r="Y185" s="958"/>
      <c r="Z185" s="958"/>
      <c r="AA185" s="958"/>
      <c r="AB185" s="958"/>
      <c r="AC185" s="942">
        <f ca="1">SUMIF(Codifica_SP!$J$2:$R$1445,B185,Codifica_SP!$R$2:$R$1445)</f>
        <v>0</v>
      </c>
      <c r="AD185" s="942"/>
      <c r="AE185" s="942"/>
      <c r="AF185" s="942"/>
      <c r="AG185" s="942"/>
      <c r="AH185" s="848" t="s">
        <v>7175</v>
      </c>
    </row>
    <row r="186" spans="1:36" s="855" customFormat="1" ht="15.75" customHeight="1" x14ac:dyDescent="0.25">
      <c r="A186" s="851"/>
      <c r="B186" s="957" t="s">
        <v>1707</v>
      </c>
      <c r="C186" s="957"/>
      <c r="D186" s="957"/>
      <c r="E186" s="957"/>
      <c r="F186" s="957"/>
      <c r="G186" s="958" t="s">
        <v>7368</v>
      </c>
      <c r="H186" s="958"/>
      <c r="I186" s="958"/>
      <c r="J186" s="958"/>
      <c r="K186" s="958"/>
      <c r="L186" s="958"/>
      <c r="M186" s="958"/>
      <c r="N186" s="958"/>
      <c r="O186" s="958"/>
      <c r="P186" s="958"/>
      <c r="Q186" s="958"/>
      <c r="R186" s="958"/>
      <c r="S186" s="958"/>
      <c r="T186" s="958"/>
      <c r="U186" s="958"/>
      <c r="V186" s="958"/>
      <c r="W186" s="958"/>
      <c r="X186" s="958"/>
      <c r="Y186" s="958"/>
      <c r="Z186" s="958"/>
      <c r="AA186" s="958"/>
      <c r="AB186" s="958"/>
      <c r="AC186" s="942">
        <f ca="1">SUMIF(Codifica_SP!$J$2:$R$1445,B186,Codifica_SP!$R$2:$R$1445)</f>
        <v>147943</v>
      </c>
      <c r="AD186" s="942"/>
      <c r="AE186" s="942"/>
      <c r="AF186" s="942"/>
      <c r="AG186" s="942"/>
      <c r="AH186" s="848" t="s">
        <v>7175</v>
      </c>
    </row>
    <row r="187" spans="1:36" s="855" customFormat="1" ht="15.75" customHeight="1" x14ac:dyDescent="0.25">
      <c r="A187" s="851"/>
      <c r="B187" s="957" t="s">
        <v>1711</v>
      </c>
      <c r="C187" s="957"/>
      <c r="D187" s="957"/>
      <c r="E187" s="957"/>
      <c r="F187" s="957"/>
      <c r="G187" s="958" t="s">
        <v>7369</v>
      </c>
      <c r="H187" s="958"/>
      <c r="I187" s="958"/>
      <c r="J187" s="958"/>
      <c r="K187" s="958"/>
      <c r="L187" s="958"/>
      <c r="M187" s="958"/>
      <c r="N187" s="958"/>
      <c r="O187" s="958"/>
      <c r="P187" s="958"/>
      <c r="Q187" s="958"/>
      <c r="R187" s="958"/>
      <c r="S187" s="958"/>
      <c r="T187" s="958"/>
      <c r="U187" s="958"/>
      <c r="V187" s="958"/>
      <c r="W187" s="958"/>
      <c r="X187" s="958"/>
      <c r="Y187" s="958"/>
      <c r="Z187" s="958"/>
      <c r="AA187" s="958"/>
      <c r="AB187" s="958"/>
      <c r="AC187" s="942">
        <f ca="1">SUMIF(Codifica_SP!$J$2:$R$1445,B187,Codifica_SP!$R$2:$R$1445)</f>
        <v>0</v>
      </c>
      <c r="AD187" s="942"/>
      <c r="AE187" s="942"/>
      <c r="AF187" s="942"/>
      <c r="AG187" s="942"/>
      <c r="AH187" s="848" t="s">
        <v>7175</v>
      </c>
    </row>
    <row r="188" spans="1:36" s="855" customFormat="1" ht="15.75" customHeight="1" x14ac:dyDescent="0.25">
      <c r="A188" s="864"/>
      <c r="B188" s="957" t="s">
        <v>1718</v>
      </c>
      <c r="C188" s="957"/>
      <c r="D188" s="957"/>
      <c r="E188" s="957"/>
      <c r="F188" s="957"/>
      <c r="G188" s="958" t="s">
        <v>7370</v>
      </c>
      <c r="H188" s="958"/>
      <c r="I188" s="958"/>
      <c r="J188" s="958"/>
      <c r="K188" s="958"/>
      <c r="L188" s="958"/>
      <c r="M188" s="958"/>
      <c r="N188" s="958"/>
      <c r="O188" s="958"/>
      <c r="P188" s="958"/>
      <c r="Q188" s="958"/>
      <c r="R188" s="958"/>
      <c r="S188" s="958"/>
      <c r="T188" s="958"/>
      <c r="U188" s="958"/>
      <c r="V188" s="958"/>
      <c r="W188" s="958"/>
      <c r="X188" s="958"/>
      <c r="Y188" s="958"/>
      <c r="Z188" s="958"/>
      <c r="AA188" s="958"/>
      <c r="AB188" s="958"/>
      <c r="AC188" s="960">
        <f ca="1">SUM(AC189:AC190)</f>
        <v>534485</v>
      </c>
      <c r="AD188" s="960"/>
      <c r="AE188" s="960"/>
      <c r="AF188" s="960"/>
      <c r="AG188" s="960"/>
      <c r="AH188" s="865" t="s">
        <v>7175</v>
      </c>
    </row>
    <row r="189" spans="1:36" s="855" customFormat="1" ht="15.75" customHeight="1" x14ac:dyDescent="0.25">
      <c r="A189" s="864"/>
      <c r="B189" s="957" t="s">
        <v>1722</v>
      </c>
      <c r="C189" s="957"/>
      <c r="D189" s="957"/>
      <c r="E189" s="957"/>
      <c r="F189" s="957"/>
      <c r="G189" s="958" t="s">
        <v>7371</v>
      </c>
      <c r="H189" s="958"/>
      <c r="I189" s="958"/>
      <c r="J189" s="958"/>
      <c r="K189" s="958"/>
      <c r="L189" s="958"/>
      <c r="M189" s="958"/>
      <c r="N189" s="958"/>
      <c r="O189" s="958"/>
      <c r="P189" s="958"/>
      <c r="Q189" s="958"/>
      <c r="R189" s="958"/>
      <c r="S189" s="958"/>
      <c r="T189" s="958"/>
      <c r="U189" s="958"/>
      <c r="V189" s="958"/>
      <c r="W189" s="958"/>
      <c r="X189" s="958"/>
      <c r="Y189" s="958"/>
      <c r="Z189" s="958"/>
      <c r="AA189" s="958"/>
      <c r="AB189" s="958"/>
      <c r="AC189" s="942">
        <f ca="1">SUMIF(Codifica_SP!$J$2:$R$1445,B189,Codifica_SP!$R$2:$R$1445)</f>
        <v>534485</v>
      </c>
      <c r="AD189" s="942"/>
      <c r="AE189" s="942"/>
      <c r="AF189" s="942"/>
      <c r="AG189" s="942"/>
      <c r="AH189" s="865" t="s">
        <v>7175</v>
      </c>
    </row>
    <row r="190" spans="1:36" s="855" customFormat="1" ht="15.75" customHeight="1" x14ac:dyDescent="0.25">
      <c r="A190" s="864"/>
      <c r="B190" s="957" t="s">
        <v>1743</v>
      </c>
      <c r="C190" s="957"/>
      <c r="D190" s="957"/>
      <c r="E190" s="957"/>
      <c r="F190" s="957"/>
      <c r="G190" s="958" t="s">
        <v>7372</v>
      </c>
      <c r="H190" s="958"/>
      <c r="I190" s="958"/>
      <c r="J190" s="958"/>
      <c r="K190" s="958"/>
      <c r="L190" s="958"/>
      <c r="M190" s="958"/>
      <c r="N190" s="958"/>
      <c r="O190" s="958"/>
      <c r="P190" s="958"/>
      <c r="Q190" s="958"/>
      <c r="R190" s="958"/>
      <c r="S190" s="958"/>
      <c r="T190" s="958"/>
      <c r="U190" s="958"/>
      <c r="V190" s="958"/>
      <c r="W190" s="958"/>
      <c r="X190" s="958"/>
      <c r="Y190" s="958"/>
      <c r="Z190" s="958"/>
      <c r="AA190" s="958"/>
      <c r="AB190" s="958"/>
      <c r="AC190" s="942">
        <f ca="1">SUMIF(Codifica_SP!$J$2:$R$1445,B190,Codifica_SP!$R$2:$R$1445)</f>
        <v>0</v>
      </c>
      <c r="AD190" s="942"/>
      <c r="AE190" s="942"/>
      <c r="AF190" s="942"/>
      <c r="AG190" s="942"/>
      <c r="AH190" s="865" t="s">
        <v>7175</v>
      </c>
    </row>
    <row r="191" spans="1:36" s="855" customFormat="1" ht="15.75" customHeight="1" x14ac:dyDescent="0.25">
      <c r="A191" s="864"/>
      <c r="B191" s="957" t="s">
        <v>7373</v>
      </c>
      <c r="C191" s="957"/>
      <c r="D191" s="957"/>
      <c r="E191" s="957"/>
      <c r="F191" s="957"/>
      <c r="G191" s="959" t="s">
        <v>7374</v>
      </c>
      <c r="H191" s="959"/>
      <c r="I191" s="959"/>
      <c r="J191" s="959"/>
      <c r="K191" s="959"/>
      <c r="L191" s="959"/>
      <c r="M191" s="959"/>
      <c r="N191" s="959"/>
      <c r="O191" s="959"/>
      <c r="P191" s="959"/>
      <c r="Q191" s="959"/>
      <c r="R191" s="959"/>
      <c r="S191" s="959"/>
      <c r="T191" s="959"/>
      <c r="U191" s="959"/>
      <c r="V191" s="959"/>
      <c r="W191" s="959"/>
      <c r="X191" s="959"/>
      <c r="Y191" s="959"/>
      <c r="Z191" s="959"/>
      <c r="AA191" s="959"/>
      <c r="AB191" s="959"/>
      <c r="AC191" s="960">
        <f ca="1">SUM(AC192:AC193)</f>
        <v>0</v>
      </c>
      <c r="AD191" s="960"/>
      <c r="AE191" s="960"/>
      <c r="AF191" s="960"/>
      <c r="AG191" s="960"/>
      <c r="AH191" s="865" t="s">
        <v>7175</v>
      </c>
    </row>
    <row r="192" spans="1:36" s="855" customFormat="1" ht="15.75" customHeight="1" x14ac:dyDescent="0.25">
      <c r="A192" s="864"/>
      <c r="B192" s="957" t="s">
        <v>1751</v>
      </c>
      <c r="C192" s="957"/>
      <c r="D192" s="957"/>
      <c r="E192" s="957"/>
      <c r="F192" s="957"/>
      <c r="G192" s="958" t="s">
        <v>7375</v>
      </c>
      <c r="H192" s="958"/>
      <c r="I192" s="958"/>
      <c r="J192" s="958"/>
      <c r="K192" s="958"/>
      <c r="L192" s="958"/>
      <c r="M192" s="958"/>
      <c r="N192" s="958"/>
      <c r="O192" s="958"/>
      <c r="P192" s="958"/>
      <c r="Q192" s="958"/>
      <c r="R192" s="958"/>
      <c r="S192" s="958"/>
      <c r="T192" s="958"/>
      <c r="U192" s="958"/>
      <c r="V192" s="958"/>
      <c r="W192" s="958"/>
      <c r="X192" s="958"/>
      <c r="Y192" s="958"/>
      <c r="Z192" s="958"/>
      <c r="AA192" s="958"/>
      <c r="AB192" s="958"/>
      <c r="AC192" s="942">
        <f ca="1">SUMIF(Codifica_SP!$J$2:$R$1445,B192,Codifica_SP!$R$2:$R$1445)</f>
        <v>0</v>
      </c>
      <c r="AD192" s="942"/>
      <c r="AE192" s="942"/>
      <c r="AF192" s="942"/>
      <c r="AG192" s="942"/>
      <c r="AH192" s="865" t="s">
        <v>7175</v>
      </c>
    </row>
    <row r="193" spans="1:34" s="855" customFormat="1" ht="15.75" customHeight="1" x14ac:dyDescent="0.25">
      <c r="A193" s="864"/>
      <c r="B193" s="957" t="s">
        <v>1755</v>
      </c>
      <c r="C193" s="957"/>
      <c r="D193" s="957"/>
      <c r="E193" s="957"/>
      <c r="F193" s="957"/>
      <c r="G193" s="958" t="s">
        <v>7376</v>
      </c>
      <c r="H193" s="958"/>
      <c r="I193" s="958"/>
      <c r="J193" s="958"/>
      <c r="K193" s="958"/>
      <c r="L193" s="958"/>
      <c r="M193" s="958"/>
      <c r="N193" s="958"/>
      <c r="O193" s="958"/>
      <c r="P193" s="958"/>
      <c r="Q193" s="958"/>
      <c r="R193" s="958"/>
      <c r="S193" s="958"/>
      <c r="T193" s="958"/>
      <c r="U193" s="958"/>
      <c r="V193" s="958"/>
      <c r="W193" s="958"/>
      <c r="X193" s="958"/>
      <c r="Y193" s="958"/>
      <c r="Z193" s="958"/>
      <c r="AA193" s="958"/>
      <c r="AB193" s="958"/>
      <c r="AC193" s="942">
        <f ca="1">SUMIF(Codifica_SP!$J$2:$R$1445,B193,Codifica_SP!$R$2:$R$1445)</f>
        <v>0</v>
      </c>
      <c r="AD193" s="942"/>
      <c r="AE193" s="942"/>
      <c r="AF193" s="942"/>
      <c r="AG193" s="942"/>
      <c r="AH193" s="865" t="s">
        <v>7175</v>
      </c>
    </row>
    <row r="194" spans="1:34" s="855" customFormat="1" ht="15.75" customHeight="1" x14ac:dyDescent="0.25">
      <c r="A194" s="856"/>
      <c r="B194" s="955" t="s">
        <v>7377</v>
      </c>
      <c r="C194" s="955"/>
      <c r="D194" s="955"/>
      <c r="E194" s="955"/>
      <c r="F194" s="955"/>
      <c r="G194" s="946" t="s">
        <v>7378</v>
      </c>
      <c r="H194" s="946"/>
      <c r="I194" s="946"/>
      <c r="J194" s="946"/>
      <c r="K194" s="946"/>
      <c r="L194" s="946"/>
      <c r="M194" s="946"/>
      <c r="N194" s="946"/>
      <c r="O194" s="946"/>
      <c r="P194" s="946"/>
      <c r="Q194" s="946"/>
      <c r="R194" s="946"/>
      <c r="S194" s="946"/>
      <c r="T194" s="946"/>
      <c r="U194" s="946"/>
      <c r="V194" s="946"/>
      <c r="W194" s="946"/>
      <c r="X194" s="946"/>
      <c r="Y194" s="946"/>
      <c r="Z194" s="946"/>
      <c r="AA194" s="946"/>
      <c r="AB194" s="946"/>
      <c r="AC194" s="956">
        <f ca="1">SUM(AC195:AC196)</f>
        <v>0</v>
      </c>
      <c r="AD194" s="956"/>
      <c r="AE194" s="956"/>
      <c r="AF194" s="956"/>
      <c r="AG194" s="956"/>
      <c r="AH194" s="848" t="s">
        <v>7175</v>
      </c>
    </row>
    <row r="195" spans="1:34" s="855" customFormat="1" ht="15.75" customHeight="1" x14ac:dyDescent="0.25">
      <c r="A195" s="851"/>
      <c r="B195" s="951" t="s">
        <v>1762</v>
      </c>
      <c r="C195" s="951"/>
      <c r="D195" s="951"/>
      <c r="E195" s="951"/>
      <c r="F195" s="951"/>
      <c r="G195" s="952" t="s">
        <v>7379</v>
      </c>
      <c r="H195" s="952"/>
      <c r="I195" s="952"/>
      <c r="J195" s="952"/>
      <c r="K195" s="952"/>
      <c r="L195" s="952"/>
      <c r="M195" s="952"/>
      <c r="N195" s="952"/>
      <c r="O195" s="952"/>
      <c r="P195" s="952"/>
      <c r="Q195" s="952"/>
      <c r="R195" s="952"/>
      <c r="S195" s="952"/>
      <c r="T195" s="952"/>
      <c r="U195" s="952"/>
      <c r="V195" s="952"/>
      <c r="W195" s="952"/>
      <c r="X195" s="952"/>
      <c r="Y195" s="952"/>
      <c r="Z195" s="952"/>
      <c r="AA195" s="952"/>
      <c r="AB195" s="952"/>
      <c r="AC195" s="942">
        <f ca="1">SUMIF(Codifica_SP!$J$2:$R$1445,B195,Codifica_SP!$R$2:$R$1445)</f>
        <v>0</v>
      </c>
      <c r="AD195" s="942"/>
      <c r="AE195" s="942"/>
      <c r="AF195" s="942"/>
      <c r="AG195" s="942"/>
      <c r="AH195" s="848" t="s">
        <v>7175</v>
      </c>
    </row>
    <row r="196" spans="1:34" s="855" customFormat="1" ht="15.75" customHeight="1" x14ac:dyDescent="0.25">
      <c r="A196" s="857"/>
      <c r="B196" s="945" t="s">
        <v>1771</v>
      </c>
      <c r="C196" s="945"/>
      <c r="D196" s="945"/>
      <c r="E196" s="945"/>
      <c r="F196" s="945"/>
      <c r="G196" s="953" t="s">
        <v>7380</v>
      </c>
      <c r="H196" s="953"/>
      <c r="I196" s="953"/>
      <c r="J196" s="953"/>
      <c r="K196" s="953"/>
      <c r="L196" s="953"/>
      <c r="M196" s="953"/>
      <c r="N196" s="953"/>
      <c r="O196" s="953"/>
      <c r="P196" s="953"/>
      <c r="Q196" s="953"/>
      <c r="R196" s="953"/>
      <c r="S196" s="953"/>
      <c r="T196" s="953"/>
      <c r="U196" s="953"/>
      <c r="V196" s="953"/>
      <c r="W196" s="953"/>
      <c r="X196" s="953"/>
      <c r="Y196" s="953"/>
      <c r="Z196" s="953"/>
      <c r="AA196" s="953"/>
      <c r="AB196" s="953"/>
      <c r="AC196" s="942">
        <f ca="1">SUMIF(Codifica_SP!$J$2:$R$1445,B196,Codifica_SP!$R$2:$R$1445)</f>
        <v>0</v>
      </c>
      <c r="AD196" s="942"/>
      <c r="AE196" s="942"/>
      <c r="AF196" s="942"/>
      <c r="AG196" s="942"/>
      <c r="AH196" s="848" t="s">
        <v>7175</v>
      </c>
    </row>
    <row r="197" spans="1:34" s="855" customFormat="1" ht="15.75" customHeight="1" x14ac:dyDescent="0.25">
      <c r="A197" s="856"/>
      <c r="B197" s="955" t="s">
        <v>7381</v>
      </c>
      <c r="C197" s="955"/>
      <c r="D197" s="955"/>
      <c r="E197" s="955"/>
      <c r="F197" s="955"/>
      <c r="G197" s="946" t="s">
        <v>7382</v>
      </c>
      <c r="H197" s="946"/>
      <c r="I197" s="946"/>
      <c r="J197" s="946"/>
      <c r="K197" s="946"/>
      <c r="L197" s="946"/>
      <c r="M197" s="946"/>
      <c r="N197" s="946"/>
      <c r="O197" s="946"/>
      <c r="P197" s="946"/>
      <c r="Q197" s="946"/>
      <c r="R197" s="946"/>
      <c r="S197" s="946"/>
      <c r="T197" s="946"/>
      <c r="U197" s="946"/>
      <c r="V197" s="946"/>
      <c r="W197" s="946"/>
      <c r="X197" s="946"/>
      <c r="Y197" s="946"/>
      <c r="Z197" s="946"/>
      <c r="AA197" s="946"/>
      <c r="AB197" s="946"/>
      <c r="AC197" s="956">
        <f ca="1">SUM(AC198:AC201)</f>
        <v>15909939</v>
      </c>
      <c r="AD197" s="956"/>
      <c r="AE197" s="956"/>
      <c r="AF197" s="956"/>
      <c r="AG197" s="956"/>
      <c r="AH197" s="848" t="s">
        <v>7175</v>
      </c>
    </row>
    <row r="198" spans="1:34" s="855" customFormat="1" ht="15.75" customHeight="1" x14ac:dyDescent="0.25">
      <c r="A198" s="851"/>
      <c r="B198" s="951" t="s">
        <v>1780</v>
      </c>
      <c r="C198" s="951"/>
      <c r="D198" s="951"/>
      <c r="E198" s="951"/>
      <c r="F198" s="951"/>
      <c r="G198" s="952" t="s">
        <v>7383</v>
      </c>
      <c r="H198" s="952"/>
      <c r="I198" s="952"/>
      <c r="J198" s="952"/>
      <c r="K198" s="952"/>
      <c r="L198" s="952"/>
      <c r="M198" s="952"/>
      <c r="N198" s="952"/>
      <c r="O198" s="952"/>
      <c r="P198" s="952"/>
      <c r="Q198" s="952"/>
      <c r="R198" s="952"/>
      <c r="S198" s="952"/>
      <c r="T198" s="952"/>
      <c r="U198" s="952"/>
      <c r="V198" s="952"/>
      <c r="W198" s="952"/>
      <c r="X198" s="952"/>
      <c r="Y198" s="952"/>
      <c r="Z198" s="952"/>
      <c r="AA198" s="952"/>
      <c r="AB198" s="952"/>
      <c r="AC198" s="942">
        <f ca="1">SUMIF(Codifica_SP!$J$2:$R$1445,B198,Codifica_SP!$R$2:$R$1445)</f>
        <v>83937</v>
      </c>
      <c r="AD198" s="942"/>
      <c r="AE198" s="942"/>
      <c r="AF198" s="942"/>
      <c r="AG198" s="942"/>
      <c r="AH198" s="848" t="s">
        <v>7175</v>
      </c>
    </row>
    <row r="199" spans="1:34" s="855" customFormat="1" ht="15.75" customHeight="1" x14ac:dyDescent="0.25">
      <c r="A199" s="851"/>
      <c r="B199" s="951" t="s">
        <v>1786</v>
      </c>
      <c r="C199" s="951"/>
      <c r="D199" s="951"/>
      <c r="E199" s="951"/>
      <c r="F199" s="951"/>
      <c r="G199" s="952" t="s">
        <v>7384</v>
      </c>
      <c r="H199" s="952"/>
      <c r="I199" s="952"/>
      <c r="J199" s="952"/>
      <c r="K199" s="952"/>
      <c r="L199" s="952"/>
      <c r="M199" s="952"/>
      <c r="N199" s="952"/>
      <c r="O199" s="952"/>
      <c r="P199" s="952"/>
      <c r="Q199" s="952"/>
      <c r="R199" s="952"/>
      <c r="S199" s="952"/>
      <c r="T199" s="952"/>
      <c r="U199" s="952"/>
      <c r="V199" s="952"/>
      <c r="W199" s="952"/>
      <c r="X199" s="952"/>
      <c r="Y199" s="952"/>
      <c r="Z199" s="952"/>
      <c r="AA199" s="952"/>
      <c r="AB199" s="952"/>
      <c r="AC199" s="942">
        <f ca="1">SUMIF(Codifica_SP!$J$2:$R$1445,B199,Codifica_SP!$R$2:$R$1445)</f>
        <v>15810342</v>
      </c>
      <c r="AD199" s="942"/>
      <c r="AE199" s="942"/>
      <c r="AF199" s="942"/>
      <c r="AG199" s="942"/>
      <c r="AH199" s="848" t="s">
        <v>7175</v>
      </c>
    </row>
    <row r="200" spans="1:34" s="855" customFormat="1" ht="15.75" customHeight="1" x14ac:dyDescent="0.25">
      <c r="A200" s="851"/>
      <c r="B200" s="951" t="s">
        <v>1792</v>
      </c>
      <c r="C200" s="951"/>
      <c r="D200" s="951"/>
      <c r="E200" s="951"/>
      <c r="F200" s="951"/>
      <c r="G200" s="952" t="s">
        <v>7385</v>
      </c>
      <c r="H200" s="952"/>
      <c r="I200" s="952"/>
      <c r="J200" s="952"/>
      <c r="K200" s="952"/>
      <c r="L200" s="952"/>
      <c r="M200" s="952"/>
      <c r="N200" s="952"/>
      <c r="O200" s="952"/>
      <c r="P200" s="952"/>
      <c r="Q200" s="952"/>
      <c r="R200" s="952"/>
      <c r="S200" s="952"/>
      <c r="T200" s="952"/>
      <c r="U200" s="952"/>
      <c r="V200" s="952"/>
      <c r="W200" s="952"/>
      <c r="X200" s="952"/>
      <c r="Y200" s="952"/>
      <c r="Z200" s="952"/>
      <c r="AA200" s="952"/>
      <c r="AB200" s="952"/>
      <c r="AC200" s="942">
        <f ca="1">SUMIF(Codifica_SP!$J$2:$R$1445,B200,Codifica_SP!$R$2:$R$1445)</f>
        <v>0</v>
      </c>
      <c r="AD200" s="942"/>
      <c r="AE200" s="942"/>
      <c r="AF200" s="942"/>
      <c r="AG200" s="942"/>
      <c r="AH200" s="848" t="s">
        <v>7175</v>
      </c>
    </row>
    <row r="201" spans="1:34" s="855" customFormat="1" ht="15.75" customHeight="1" x14ac:dyDescent="0.25">
      <c r="A201" s="857"/>
      <c r="B201" s="945" t="s">
        <v>1798</v>
      </c>
      <c r="C201" s="945"/>
      <c r="D201" s="945"/>
      <c r="E201" s="945"/>
      <c r="F201" s="945"/>
      <c r="G201" s="953" t="s">
        <v>7386</v>
      </c>
      <c r="H201" s="953"/>
      <c r="I201" s="953"/>
      <c r="J201" s="953"/>
      <c r="K201" s="953"/>
      <c r="L201" s="953"/>
      <c r="M201" s="953"/>
      <c r="N201" s="953"/>
      <c r="O201" s="953"/>
      <c r="P201" s="953"/>
      <c r="Q201" s="953"/>
      <c r="R201" s="953"/>
      <c r="S201" s="953"/>
      <c r="T201" s="953"/>
      <c r="U201" s="953"/>
      <c r="V201" s="953"/>
      <c r="W201" s="953"/>
      <c r="X201" s="953"/>
      <c r="Y201" s="953"/>
      <c r="Z201" s="953"/>
      <c r="AA201" s="953"/>
      <c r="AB201" s="953"/>
      <c r="AC201" s="942">
        <f ca="1">SUMIF(Codifica_SP!$J$2:$R$1445,B201,Codifica_SP!$R$2:$R$1445)</f>
        <v>15660</v>
      </c>
      <c r="AD201" s="942"/>
      <c r="AE201" s="942"/>
      <c r="AF201" s="942"/>
      <c r="AG201" s="942"/>
      <c r="AH201" s="848" t="s">
        <v>7175</v>
      </c>
    </row>
    <row r="202" spans="1:34" s="855" customFormat="1" ht="15.75" customHeight="1" x14ac:dyDescent="0.25">
      <c r="A202" s="856"/>
      <c r="B202" s="955" t="s">
        <v>7387</v>
      </c>
      <c r="C202" s="955"/>
      <c r="D202" s="955"/>
      <c r="E202" s="955"/>
      <c r="F202" s="955"/>
      <c r="G202" s="946" t="s">
        <v>2871</v>
      </c>
      <c r="H202" s="946"/>
      <c r="I202" s="946"/>
      <c r="J202" s="946"/>
      <c r="K202" s="946"/>
      <c r="L202" s="946"/>
      <c r="M202" s="946"/>
      <c r="N202" s="946"/>
      <c r="O202" s="946"/>
      <c r="P202" s="946"/>
      <c r="Q202" s="946"/>
      <c r="R202" s="946"/>
      <c r="S202" s="946"/>
      <c r="T202" s="946"/>
      <c r="U202" s="946"/>
      <c r="V202" s="946"/>
      <c r="W202" s="946"/>
      <c r="X202" s="946"/>
      <c r="Y202" s="946"/>
      <c r="Z202" s="946"/>
      <c r="AA202" s="946"/>
      <c r="AB202" s="946"/>
      <c r="AC202" s="956">
        <f ca="1">AC203+AC206</f>
        <v>8490</v>
      </c>
      <c r="AD202" s="956"/>
      <c r="AE202" s="956"/>
      <c r="AF202" s="956"/>
      <c r="AG202" s="956"/>
      <c r="AH202" s="848" t="s">
        <v>7175</v>
      </c>
    </row>
    <row r="203" spans="1:34" s="855" customFormat="1" ht="15.75" customHeight="1" x14ac:dyDescent="0.25">
      <c r="A203" s="851"/>
      <c r="B203" s="943" t="s">
        <v>7388</v>
      </c>
      <c r="C203" s="943"/>
      <c r="D203" s="943"/>
      <c r="E203" s="943"/>
      <c r="F203" s="943"/>
      <c r="G203" s="944" t="s">
        <v>7389</v>
      </c>
      <c r="H203" s="944"/>
      <c r="I203" s="944"/>
      <c r="J203" s="944"/>
      <c r="K203" s="944"/>
      <c r="L203" s="944"/>
      <c r="M203" s="944"/>
      <c r="N203" s="944"/>
      <c r="O203" s="944"/>
      <c r="P203" s="944"/>
      <c r="Q203" s="944"/>
      <c r="R203" s="944"/>
      <c r="S203" s="944"/>
      <c r="T203" s="944"/>
      <c r="U203" s="944"/>
      <c r="V203" s="944"/>
      <c r="W203" s="944"/>
      <c r="X203" s="944"/>
      <c r="Y203" s="944"/>
      <c r="Z203" s="944"/>
      <c r="AA203" s="944"/>
      <c r="AB203" s="944"/>
      <c r="AC203" s="954">
        <f ca="1">SUM(AC204:AC205)</f>
        <v>0</v>
      </c>
      <c r="AD203" s="954"/>
      <c r="AE203" s="954"/>
      <c r="AF203" s="954"/>
      <c r="AG203" s="954"/>
      <c r="AH203" s="848" t="s">
        <v>7175</v>
      </c>
    </row>
    <row r="204" spans="1:34" s="855" customFormat="1" ht="15.75" customHeight="1" x14ac:dyDescent="0.25">
      <c r="A204" s="860"/>
      <c r="B204" s="951" t="s">
        <v>1812</v>
      </c>
      <c r="C204" s="951"/>
      <c r="D204" s="951"/>
      <c r="E204" s="951"/>
      <c r="F204" s="951"/>
      <c r="G204" s="952" t="s">
        <v>7390</v>
      </c>
      <c r="H204" s="952"/>
      <c r="I204" s="952"/>
      <c r="J204" s="952"/>
      <c r="K204" s="952"/>
      <c r="L204" s="952"/>
      <c r="M204" s="952"/>
      <c r="N204" s="952"/>
      <c r="O204" s="952"/>
      <c r="P204" s="952"/>
      <c r="Q204" s="952"/>
      <c r="R204" s="952"/>
      <c r="S204" s="952"/>
      <c r="T204" s="952"/>
      <c r="U204" s="952"/>
      <c r="V204" s="952"/>
      <c r="W204" s="952"/>
      <c r="X204" s="952"/>
      <c r="Y204" s="952"/>
      <c r="Z204" s="952"/>
      <c r="AA204" s="952"/>
      <c r="AB204" s="952"/>
      <c r="AC204" s="942">
        <f ca="1">SUMIF(Codifica_SP!$J$2:$R$1445,B204,Codifica_SP!$R$2:$R$1445)</f>
        <v>0</v>
      </c>
      <c r="AD204" s="942"/>
      <c r="AE204" s="942"/>
      <c r="AF204" s="942"/>
      <c r="AG204" s="942"/>
      <c r="AH204" s="848" t="s">
        <v>7175</v>
      </c>
    </row>
    <row r="205" spans="1:34" s="855" customFormat="1" ht="15.75" customHeight="1" x14ac:dyDescent="0.25">
      <c r="A205" s="851" t="s">
        <v>7326</v>
      </c>
      <c r="B205" s="951" t="s">
        <v>1816</v>
      </c>
      <c r="C205" s="951"/>
      <c r="D205" s="951"/>
      <c r="E205" s="951"/>
      <c r="F205" s="951"/>
      <c r="G205" s="952" t="s">
        <v>7391</v>
      </c>
      <c r="H205" s="952"/>
      <c r="I205" s="952"/>
      <c r="J205" s="952"/>
      <c r="K205" s="952"/>
      <c r="L205" s="952"/>
      <c r="M205" s="952"/>
      <c r="N205" s="952"/>
      <c r="O205" s="952"/>
      <c r="P205" s="952"/>
      <c r="Q205" s="952"/>
      <c r="R205" s="952"/>
      <c r="S205" s="952"/>
      <c r="T205" s="952"/>
      <c r="U205" s="952"/>
      <c r="V205" s="952"/>
      <c r="W205" s="952"/>
      <c r="X205" s="952"/>
      <c r="Y205" s="952"/>
      <c r="Z205" s="952"/>
      <c r="AA205" s="952"/>
      <c r="AB205" s="952"/>
      <c r="AC205" s="942">
        <f ca="1">SUMIF(Codifica_SP!$J$2:$R$1445,B205,Codifica_SP!$R$2:$R$1445)</f>
        <v>0</v>
      </c>
      <c r="AD205" s="942"/>
      <c r="AE205" s="942"/>
      <c r="AF205" s="942"/>
      <c r="AG205" s="942"/>
      <c r="AH205" s="848" t="s">
        <v>7175</v>
      </c>
    </row>
    <row r="206" spans="1:34" s="855" customFormat="1" ht="15.75" customHeight="1" x14ac:dyDescent="0.25">
      <c r="A206" s="851"/>
      <c r="B206" s="943" t="s">
        <v>7392</v>
      </c>
      <c r="C206" s="943"/>
      <c r="D206" s="943"/>
      <c r="E206" s="943"/>
      <c r="F206" s="943"/>
      <c r="G206" s="944" t="s">
        <v>7393</v>
      </c>
      <c r="H206" s="944"/>
      <c r="I206" s="944"/>
      <c r="J206" s="944"/>
      <c r="K206" s="944"/>
      <c r="L206" s="944"/>
      <c r="M206" s="944"/>
      <c r="N206" s="944"/>
      <c r="O206" s="944"/>
      <c r="P206" s="944"/>
      <c r="Q206" s="944"/>
      <c r="R206" s="944"/>
      <c r="S206" s="944"/>
      <c r="T206" s="944"/>
      <c r="U206" s="944"/>
      <c r="V206" s="944"/>
      <c r="W206" s="944"/>
      <c r="X206" s="944"/>
      <c r="Y206" s="944"/>
      <c r="Z206" s="944"/>
      <c r="AA206" s="944"/>
      <c r="AB206" s="944"/>
      <c r="AC206" s="954">
        <f ca="1">SUM(AC207:AC208)</f>
        <v>8490</v>
      </c>
      <c r="AD206" s="954"/>
      <c r="AE206" s="954"/>
      <c r="AF206" s="954"/>
      <c r="AG206" s="954"/>
      <c r="AH206" s="848" t="s">
        <v>7175</v>
      </c>
    </row>
    <row r="207" spans="1:34" s="855" customFormat="1" ht="15.75" customHeight="1" x14ac:dyDescent="0.25">
      <c r="A207" s="851"/>
      <c r="B207" s="951" t="s">
        <v>1833</v>
      </c>
      <c r="C207" s="951"/>
      <c r="D207" s="951"/>
      <c r="E207" s="951"/>
      <c r="F207" s="951"/>
      <c r="G207" s="952" t="s">
        <v>7394</v>
      </c>
      <c r="H207" s="952"/>
      <c r="I207" s="952"/>
      <c r="J207" s="952"/>
      <c r="K207" s="952"/>
      <c r="L207" s="952"/>
      <c r="M207" s="952"/>
      <c r="N207" s="952"/>
      <c r="O207" s="952"/>
      <c r="P207" s="952"/>
      <c r="Q207" s="952"/>
      <c r="R207" s="952"/>
      <c r="S207" s="952"/>
      <c r="T207" s="952"/>
      <c r="U207" s="952"/>
      <c r="V207" s="952"/>
      <c r="W207" s="952"/>
      <c r="X207" s="952"/>
      <c r="Y207" s="952"/>
      <c r="Z207" s="952"/>
      <c r="AA207" s="952"/>
      <c r="AB207" s="952"/>
      <c r="AC207" s="942">
        <f ca="1">SUMIF(Codifica_SP!$J$2:$R$1445,B207,Codifica_SP!$R$2:$R$1445)</f>
        <v>8490</v>
      </c>
      <c r="AD207" s="942"/>
      <c r="AE207" s="942"/>
      <c r="AF207" s="942"/>
      <c r="AG207" s="942"/>
      <c r="AH207" s="848" t="s">
        <v>7175</v>
      </c>
    </row>
    <row r="208" spans="1:34" s="855" customFormat="1" ht="15.75" customHeight="1" x14ac:dyDescent="0.25">
      <c r="A208" s="857" t="s">
        <v>7326</v>
      </c>
      <c r="B208" s="945" t="s">
        <v>1837</v>
      </c>
      <c r="C208" s="945"/>
      <c r="D208" s="945"/>
      <c r="E208" s="945"/>
      <c r="F208" s="945"/>
      <c r="G208" s="953" t="s">
        <v>7395</v>
      </c>
      <c r="H208" s="953"/>
      <c r="I208" s="953"/>
      <c r="J208" s="953"/>
      <c r="K208" s="953"/>
      <c r="L208" s="953"/>
      <c r="M208" s="953"/>
      <c r="N208" s="953"/>
      <c r="O208" s="953"/>
      <c r="P208" s="953"/>
      <c r="Q208" s="953"/>
      <c r="R208" s="953"/>
      <c r="S208" s="953"/>
      <c r="T208" s="953"/>
      <c r="U208" s="953"/>
      <c r="V208" s="953"/>
      <c r="W208" s="953"/>
      <c r="X208" s="953"/>
      <c r="Y208" s="953"/>
      <c r="Z208" s="953"/>
      <c r="AA208" s="953"/>
      <c r="AB208" s="953"/>
      <c r="AC208" s="942">
        <f ca="1">SUMIF(Codifica_SP!$J$2:$R$1445,B208,Codifica_SP!$R$2:$R$1445)</f>
        <v>0</v>
      </c>
      <c r="AD208" s="942"/>
      <c r="AE208" s="942"/>
      <c r="AF208" s="942"/>
      <c r="AG208" s="942"/>
      <c r="AH208" s="848" t="s">
        <v>7175</v>
      </c>
    </row>
    <row r="209" spans="1:36" s="855" customFormat="1" ht="15.75" customHeight="1" x14ac:dyDescent="0.25">
      <c r="A209" s="866"/>
      <c r="B209" s="945" t="s">
        <v>7396</v>
      </c>
      <c r="C209" s="945"/>
      <c r="D209" s="945"/>
      <c r="E209" s="945"/>
      <c r="F209" s="945"/>
      <c r="G209" s="946" t="s">
        <v>7397</v>
      </c>
      <c r="H209" s="946"/>
      <c r="I209" s="946"/>
      <c r="J209" s="946"/>
      <c r="K209" s="946"/>
      <c r="L209" s="946"/>
      <c r="M209" s="946"/>
      <c r="N209" s="946"/>
      <c r="O209" s="946"/>
      <c r="P209" s="946"/>
      <c r="Q209" s="946"/>
      <c r="R209" s="946"/>
      <c r="S209" s="946"/>
      <c r="T209" s="946"/>
      <c r="U209" s="946"/>
      <c r="V209" s="946"/>
      <c r="W209" s="946"/>
      <c r="X209" s="946"/>
      <c r="Y209" s="946"/>
      <c r="Z209" s="946"/>
      <c r="AA209" s="946"/>
      <c r="AB209" s="946"/>
      <c r="AC209" s="947">
        <f ca="1">AC202+AC110+AC32</f>
        <v>232309840</v>
      </c>
      <c r="AD209" s="947"/>
      <c r="AE209" s="947"/>
      <c r="AF209" s="947"/>
      <c r="AG209" s="947"/>
      <c r="AH209" s="848"/>
      <c r="AI209" s="859">
        <f ca="1">AJ209-AC209</f>
        <v>0</v>
      </c>
      <c r="AJ209" s="855">
        <f>'NI-San_SP'!O10+'NI-Ric_SP'!O10</f>
        <v>232309840</v>
      </c>
    </row>
    <row r="210" spans="1:36" s="855" customFormat="1" ht="15.75" customHeight="1" x14ac:dyDescent="0.25">
      <c r="A210" s="867"/>
      <c r="B210" s="948" t="s">
        <v>7398</v>
      </c>
      <c r="C210" s="948"/>
      <c r="D210" s="948"/>
      <c r="E210" s="948"/>
      <c r="F210" s="948"/>
      <c r="G210" s="949" t="s">
        <v>7399</v>
      </c>
      <c r="H210" s="949"/>
      <c r="I210" s="949"/>
      <c r="J210" s="949"/>
      <c r="K210" s="949"/>
      <c r="L210" s="949"/>
      <c r="M210" s="949"/>
      <c r="N210" s="949"/>
      <c r="O210" s="949"/>
      <c r="P210" s="949"/>
      <c r="Q210" s="949"/>
      <c r="R210" s="949"/>
      <c r="S210" s="949"/>
      <c r="T210" s="949"/>
      <c r="U210" s="949"/>
      <c r="V210" s="949"/>
      <c r="W210" s="949"/>
      <c r="X210" s="949"/>
      <c r="Y210" s="949"/>
      <c r="Z210" s="949"/>
      <c r="AA210" s="949"/>
      <c r="AB210" s="949"/>
      <c r="AC210" s="950">
        <f ca="1">SUM(AC211:AC215)</f>
        <v>8399763</v>
      </c>
      <c r="AD210" s="950"/>
      <c r="AE210" s="950"/>
      <c r="AF210" s="950"/>
      <c r="AG210" s="950"/>
      <c r="AH210" s="848" t="s">
        <v>7175</v>
      </c>
    </row>
    <row r="211" spans="1:36" s="855" customFormat="1" ht="15.75" customHeight="1" x14ac:dyDescent="0.25">
      <c r="A211" s="851"/>
      <c r="B211" s="943" t="s">
        <v>1844</v>
      </c>
      <c r="C211" s="943"/>
      <c r="D211" s="943"/>
      <c r="E211" s="943"/>
      <c r="F211" s="943"/>
      <c r="G211" s="944" t="s">
        <v>7400</v>
      </c>
      <c r="H211" s="944"/>
      <c r="I211" s="944"/>
      <c r="J211" s="944"/>
      <c r="K211" s="944"/>
      <c r="L211" s="944"/>
      <c r="M211" s="944"/>
      <c r="N211" s="944"/>
      <c r="O211" s="944"/>
      <c r="P211" s="944"/>
      <c r="Q211" s="944"/>
      <c r="R211" s="944"/>
      <c r="S211" s="944"/>
      <c r="T211" s="944"/>
      <c r="U211" s="944"/>
      <c r="V211" s="944"/>
      <c r="W211" s="944"/>
      <c r="X211" s="944"/>
      <c r="Y211" s="944"/>
      <c r="Z211" s="944"/>
      <c r="AA211" s="944"/>
      <c r="AB211" s="944"/>
      <c r="AC211" s="942">
        <f ca="1">SUMIF(Codifica_SP!$J$2:$R$1445,B211,Codifica_SP!$R$2:$R$1445)</f>
        <v>0</v>
      </c>
      <c r="AD211" s="942"/>
      <c r="AE211" s="942"/>
      <c r="AF211" s="942"/>
      <c r="AG211" s="942"/>
      <c r="AH211" s="848" t="s">
        <v>7175</v>
      </c>
    </row>
    <row r="212" spans="1:36" s="855" customFormat="1" ht="15.75" customHeight="1" x14ac:dyDescent="0.25">
      <c r="A212" s="851"/>
      <c r="B212" s="943" t="s">
        <v>1849</v>
      </c>
      <c r="C212" s="943"/>
      <c r="D212" s="943"/>
      <c r="E212" s="943"/>
      <c r="F212" s="943"/>
      <c r="G212" s="944" t="s">
        <v>7401</v>
      </c>
      <c r="H212" s="944"/>
      <c r="I212" s="944"/>
      <c r="J212" s="944"/>
      <c r="K212" s="944"/>
      <c r="L212" s="944"/>
      <c r="M212" s="944"/>
      <c r="N212" s="944"/>
      <c r="O212" s="944"/>
      <c r="P212" s="944"/>
      <c r="Q212" s="944"/>
      <c r="R212" s="944"/>
      <c r="S212" s="944"/>
      <c r="T212" s="944"/>
      <c r="U212" s="944"/>
      <c r="V212" s="944"/>
      <c r="W212" s="944"/>
      <c r="X212" s="944"/>
      <c r="Y212" s="944"/>
      <c r="Z212" s="944"/>
      <c r="AA212" s="944"/>
      <c r="AB212" s="944"/>
      <c r="AC212" s="942">
        <f ca="1">SUMIF(Codifica_SP!$J$2:$R$1445,B212,Codifica_SP!$R$2:$R$1445)</f>
        <v>0</v>
      </c>
      <c r="AD212" s="942"/>
      <c r="AE212" s="942"/>
      <c r="AF212" s="942"/>
      <c r="AG212" s="942"/>
      <c r="AH212" s="848" t="s">
        <v>7175</v>
      </c>
    </row>
    <row r="213" spans="1:36" s="855" customFormat="1" ht="15.75" customHeight="1" x14ac:dyDescent="0.25">
      <c r="A213" s="851"/>
      <c r="B213" s="943" t="s">
        <v>1854</v>
      </c>
      <c r="C213" s="943"/>
      <c r="D213" s="943"/>
      <c r="E213" s="943"/>
      <c r="F213" s="943"/>
      <c r="G213" s="944" t="s">
        <v>7402</v>
      </c>
      <c r="H213" s="944"/>
      <c r="I213" s="944"/>
      <c r="J213" s="944"/>
      <c r="K213" s="944"/>
      <c r="L213" s="944"/>
      <c r="M213" s="944"/>
      <c r="N213" s="944"/>
      <c r="O213" s="944"/>
      <c r="P213" s="944"/>
      <c r="Q213" s="944"/>
      <c r="R213" s="944"/>
      <c r="S213" s="944"/>
      <c r="T213" s="944"/>
      <c r="U213" s="944"/>
      <c r="V213" s="944"/>
      <c r="W213" s="944"/>
      <c r="X213" s="944"/>
      <c r="Y213" s="944"/>
      <c r="Z213" s="944"/>
      <c r="AA213" s="944"/>
      <c r="AB213" s="944"/>
      <c r="AC213" s="942">
        <f ca="1">SUMIF(Codifica_SP!$J$2:$R$1445,B213,Codifica_SP!$R$2:$R$1445)</f>
        <v>7812</v>
      </c>
      <c r="AD213" s="942"/>
      <c r="AE213" s="942"/>
      <c r="AF213" s="942"/>
      <c r="AG213" s="942"/>
      <c r="AH213" s="848" t="s">
        <v>7175</v>
      </c>
    </row>
    <row r="214" spans="1:36" s="855" customFormat="1" ht="15.75" customHeight="1" x14ac:dyDescent="0.25">
      <c r="A214" s="858"/>
      <c r="B214" s="943" t="s">
        <v>1859</v>
      </c>
      <c r="C214" s="943"/>
      <c r="D214" s="943"/>
      <c r="E214" s="943"/>
      <c r="F214" s="943"/>
      <c r="G214" s="944" t="s">
        <v>7403</v>
      </c>
      <c r="H214" s="944"/>
      <c r="I214" s="944"/>
      <c r="J214" s="944"/>
      <c r="K214" s="944"/>
      <c r="L214" s="944"/>
      <c r="M214" s="944"/>
      <c r="N214" s="944"/>
      <c r="O214" s="944"/>
      <c r="P214" s="944"/>
      <c r="Q214" s="944"/>
      <c r="R214" s="944"/>
      <c r="S214" s="944"/>
      <c r="T214" s="944"/>
      <c r="U214" s="944"/>
      <c r="V214" s="944"/>
      <c r="W214" s="944"/>
      <c r="X214" s="944"/>
      <c r="Y214" s="944"/>
      <c r="Z214" s="944"/>
      <c r="AA214" s="944"/>
      <c r="AB214" s="944"/>
      <c r="AC214" s="942">
        <f ca="1">SUMIF(Codifica_SP!$J$2:$R$1445,B214,Codifica_SP!$R$2:$R$1445)</f>
        <v>0</v>
      </c>
      <c r="AD214" s="942"/>
      <c r="AE214" s="942"/>
      <c r="AF214" s="942"/>
      <c r="AG214" s="942"/>
      <c r="AH214" s="848" t="s">
        <v>7175</v>
      </c>
    </row>
    <row r="215" spans="1:36" s="855" customFormat="1" ht="15.75" customHeight="1" x14ac:dyDescent="0.25">
      <c r="A215" s="857"/>
      <c r="B215" s="940" t="s">
        <v>1864</v>
      </c>
      <c r="C215" s="940"/>
      <c r="D215" s="940"/>
      <c r="E215" s="940"/>
      <c r="F215" s="940"/>
      <c r="G215" s="941" t="s">
        <v>7404</v>
      </c>
      <c r="H215" s="941"/>
      <c r="I215" s="941"/>
      <c r="J215" s="941"/>
      <c r="K215" s="941"/>
      <c r="L215" s="941"/>
      <c r="M215" s="941"/>
      <c r="N215" s="941"/>
      <c r="O215" s="941"/>
      <c r="P215" s="941"/>
      <c r="Q215" s="941"/>
      <c r="R215" s="941"/>
      <c r="S215" s="941"/>
      <c r="T215" s="941"/>
      <c r="U215" s="941"/>
      <c r="V215" s="941"/>
      <c r="W215" s="941"/>
      <c r="X215" s="941"/>
      <c r="Y215" s="941"/>
      <c r="Z215" s="941"/>
      <c r="AA215" s="941"/>
      <c r="AB215" s="941"/>
      <c r="AC215" s="942">
        <f ca="1">SUMIF(Codifica_SP!$J$2:$R$1445,B215,Codifica_SP!$R$2:$R$1445)</f>
        <v>8391951</v>
      </c>
      <c r="AD215" s="942"/>
      <c r="AE215" s="942"/>
      <c r="AF215" s="942"/>
      <c r="AG215" s="942"/>
      <c r="AH215" s="848" t="s">
        <v>7175</v>
      </c>
    </row>
    <row r="216" spans="1:36" ht="15.75" customHeight="1" x14ac:dyDescent="0.25">
      <c r="AC216" s="824"/>
      <c r="AD216" s="868"/>
      <c r="AE216" s="868"/>
      <c r="AF216" s="868"/>
      <c r="AG216" s="868"/>
    </row>
    <row r="217" spans="1:36" ht="15.75" customHeight="1" x14ac:dyDescent="0.25">
      <c r="AC217" s="824"/>
      <c r="AD217" s="868"/>
      <c r="AE217" s="868"/>
      <c r="AF217" s="868"/>
      <c r="AG217" s="868"/>
    </row>
    <row r="218" spans="1:36" ht="15.75" customHeight="1" x14ac:dyDescent="0.25">
      <c r="AC218" s="824"/>
      <c r="AD218" s="868"/>
      <c r="AE218" s="868"/>
      <c r="AF218" s="868"/>
      <c r="AG218" s="868"/>
    </row>
    <row r="219" spans="1:36" ht="15.75" customHeight="1" x14ac:dyDescent="0.25">
      <c r="AC219" s="824"/>
      <c r="AD219" s="868"/>
      <c r="AE219" s="868"/>
      <c r="AF219" s="868"/>
      <c r="AG219" s="868"/>
    </row>
    <row r="220" spans="1:36" ht="15.75" customHeight="1" x14ac:dyDescent="0.25">
      <c r="AC220" s="824"/>
      <c r="AD220" s="868"/>
      <c r="AE220" s="868"/>
      <c r="AF220" s="868"/>
      <c r="AG220" s="868"/>
    </row>
    <row r="221" spans="1:36" ht="15.75" customHeight="1" x14ac:dyDescent="0.25">
      <c r="AC221" s="824"/>
      <c r="AD221" s="868"/>
      <c r="AE221" s="868"/>
      <c r="AF221" s="868"/>
      <c r="AG221" s="868"/>
    </row>
    <row r="222" spans="1:36" ht="15.75" customHeight="1" x14ac:dyDescent="0.25">
      <c r="AC222" s="824"/>
      <c r="AD222" s="868"/>
      <c r="AE222" s="868"/>
      <c r="AF222" s="868"/>
      <c r="AG222" s="868"/>
    </row>
    <row r="223" spans="1:36" ht="15.75" customHeight="1" x14ac:dyDescent="0.25">
      <c r="AC223" s="824"/>
      <c r="AD223" s="868"/>
      <c r="AE223" s="868"/>
      <c r="AF223" s="868"/>
      <c r="AG223" s="868"/>
    </row>
    <row r="224" spans="1:36" ht="15.75" customHeight="1" x14ac:dyDescent="0.25">
      <c r="AC224" s="824"/>
      <c r="AD224" s="868"/>
      <c r="AE224" s="868"/>
      <c r="AF224" s="868"/>
      <c r="AG224" s="868"/>
    </row>
    <row r="225" spans="29:33" ht="15.75" customHeight="1" x14ac:dyDescent="0.25">
      <c r="AC225" s="824"/>
      <c r="AD225" s="868"/>
      <c r="AE225" s="868"/>
      <c r="AF225" s="868"/>
      <c r="AG225" s="868"/>
    </row>
    <row r="226" spans="29:33" ht="15.75" customHeight="1" x14ac:dyDescent="0.25">
      <c r="AC226" s="824"/>
      <c r="AD226" s="868"/>
      <c r="AE226" s="868"/>
      <c r="AF226" s="868"/>
      <c r="AG226" s="868"/>
    </row>
    <row r="227" spans="29:33" ht="15.75" customHeight="1" x14ac:dyDescent="0.25">
      <c r="AC227" s="824"/>
      <c r="AD227" s="868"/>
      <c r="AE227" s="868"/>
      <c r="AF227" s="868"/>
      <c r="AG227" s="868"/>
    </row>
    <row r="228" spans="29:33" ht="15.75" customHeight="1" x14ac:dyDescent="0.25">
      <c r="AC228" s="824"/>
      <c r="AD228" s="868"/>
      <c r="AE228" s="868"/>
      <c r="AF228" s="868"/>
      <c r="AG228" s="868"/>
    </row>
    <row r="229" spans="29:33" ht="15.75" customHeight="1" x14ac:dyDescent="0.25">
      <c r="AC229" s="824"/>
      <c r="AD229" s="868"/>
      <c r="AE229" s="868"/>
      <c r="AF229" s="868"/>
      <c r="AG229" s="868"/>
    </row>
    <row r="230" spans="29:33" ht="15.75" customHeight="1" x14ac:dyDescent="0.25">
      <c r="AC230" s="824"/>
      <c r="AD230" s="868"/>
      <c r="AE230" s="868"/>
      <c r="AF230" s="868"/>
      <c r="AG230" s="868"/>
    </row>
    <row r="231" spans="29:33" ht="15.75" customHeight="1" x14ac:dyDescent="0.25">
      <c r="AC231" s="824"/>
      <c r="AD231" s="868"/>
      <c r="AE231" s="868"/>
      <c r="AF231" s="868"/>
      <c r="AG231" s="868"/>
    </row>
    <row r="232" spans="29:33" ht="15.75" customHeight="1" x14ac:dyDescent="0.25">
      <c r="AC232" s="824"/>
      <c r="AD232" s="868"/>
      <c r="AE232" s="868"/>
      <c r="AF232" s="868"/>
      <c r="AG232" s="868"/>
    </row>
    <row r="233" spans="29:33" ht="15.75" customHeight="1" x14ac:dyDescent="0.25">
      <c r="AC233" s="824"/>
      <c r="AD233" s="868"/>
      <c r="AE233" s="868"/>
      <c r="AF233" s="868"/>
      <c r="AG233" s="868"/>
    </row>
    <row r="234" spans="29:33" ht="15.75" customHeight="1" x14ac:dyDescent="0.25">
      <c r="AC234" s="824"/>
      <c r="AD234" s="868"/>
      <c r="AE234" s="868"/>
      <c r="AF234" s="868"/>
      <c r="AG234" s="868"/>
    </row>
    <row r="235" spans="29:33" ht="15.75" customHeight="1" x14ac:dyDescent="0.25">
      <c r="AC235" s="824"/>
      <c r="AD235" s="868"/>
      <c r="AE235" s="868"/>
      <c r="AF235" s="868"/>
      <c r="AG235" s="868"/>
    </row>
    <row r="236" spans="29:33" ht="15.75" customHeight="1" x14ac:dyDescent="0.25">
      <c r="AC236" s="824"/>
      <c r="AD236" s="868"/>
      <c r="AE236" s="868"/>
      <c r="AF236" s="868"/>
      <c r="AG236" s="868"/>
    </row>
    <row r="237" spans="29:33" ht="15.75" customHeight="1" x14ac:dyDescent="0.25">
      <c r="AC237" s="824"/>
      <c r="AD237" s="868"/>
      <c r="AE237" s="868"/>
      <c r="AF237" s="868"/>
      <c r="AG237" s="868"/>
    </row>
    <row r="238" spans="29:33" ht="15.75" customHeight="1" x14ac:dyDescent="0.25">
      <c r="AC238" s="824"/>
      <c r="AD238" s="868"/>
      <c r="AE238" s="868"/>
      <c r="AF238" s="868"/>
      <c r="AG238" s="868"/>
    </row>
    <row r="239" spans="29:33" ht="15.75" customHeight="1" x14ac:dyDescent="0.25">
      <c r="AC239" s="824"/>
      <c r="AD239" s="868"/>
      <c r="AE239" s="868"/>
      <c r="AF239" s="868"/>
      <c r="AG239" s="868"/>
    </row>
    <row r="240" spans="29:33" ht="15.75" customHeight="1" x14ac:dyDescent="0.25">
      <c r="AC240" s="824"/>
      <c r="AD240" s="868"/>
      <c r="AE240" s="868"/>
      <c r="AF240" s="868"/>
      <c r="AG240" s="868"/>
    </row>
    <row r="241" spans="29:33" ht="15.75" customHeight="1" x14ac:dyDescent="0.25">
      <c r="AC241" s="824"/>
      <c r="AD241" s="868"/>
      <c r="AE241" s="868"/>
      <c r="AF241" s="868"/>
      <c r="AG241" s="868"/>
    </row>
    <row r="242" spans="29:33" ht="15.75" customHeight="1" x14ac:dyDescent="0.25">
      <c r="AC242" s="824"/>
      <c r="AD242" s="868"/>
      <c r="AE242" s="868"/>
      <c r="AF242" s="868"/>
      <c r="AG242" s="868"/>
    </row>
    <row r="243" spans="29:33" ht="15.75" customHeight="1" x14ac:dyDescent="0.25">
      <c r="AC243" s="824"/>
      <c r="AD243" s="868"/>
      <c r="AE243" s="868"/>
      <c r="AF243" s="868"/>
      <c r="AG243" s="868"/>
    </row>
    <row r="244" spans="29:33" ht="15.75" customHeight="1" x14ac:dyDescent="0.25">
      <c r="AC244" s="824"/>
      <c r="AD244" s="868"/>
      <c r="AE244" s="868"/>
      <c r="AF244" s="868"/>
      <c r="AG244" s="868"/>
    </row>
    <row r="245" spans="29:33" ht="15.75" customHeight="1" x14ac:dyDescent="0.25">
      <c r="AC245" s="824"/>
      <c r="AD245" s="868"/>
      <c r="AE245" s="868"/>
      <c r="AF245" s="868"/>
      <c r="AG245" s="868"/>
    </row>
    <row r="246" spans="29:33" ht="15.75" customHeight="1" x14ac:dyDescent="0.25">
      <c r="AC246" s="824"/>
      <c r="AD246" s="868"/>
      <c r="AE246" s="868"/>
      <c r="AF246" s="868"/>
      <c r="AG246" s="868"/>
    </row>
    <row r="247" spans="29:33" ht="15.75" customHeight="1" x14ac:dyDescent="0.25">
      <c r="AC247" s="824"/>
      <c r="AD247" s="868"/>
      <c r="AE247" s="868"/>
      <c r="AF247" s="868"/>
      <c r="AG247" s="868"/>
    </row>
    <row r="248" spans="29:33" ht="15.75" customHeight="1" x14ac:dyDescent="0.25">
      <c r="AC248" s="824"/>
      <c r="AD248" s="868"/>
      <c r="AE248" s="868"/>
      <c r="AF248" s="868"/>
      <c r="AG248" s="868"/>
    </row>
    <row r="249" spans="29:33" ht="15.75" customHeight="1" x14ac:dyDescent="0.25">
      <c r="AC249" s="824"/>
      <c r="AD249" s="868"/>
      <c r="AE249" s="868"/>
      <c r="AF249" s="868"/>
      <c r="AG249" s="868"/>
    </row>
    <row r="250" spans="29:33" ht="15.75" customHeight="1" x14ac:dyDescent="0.25">
      <c r="AC250" s="824"/>
      <c r="AD250" s="868"/>
      <c r="AE250" s="868"/>
      <c r="AF250" s="868"/>
      <c r="AG250" s="868"/>
    </row>
    <row r="251" spans="29:33" ht="15.75" customHeight="1" x14ac:dyDescent="0.25">
      <c r="AC251" s="824"/>
      <c r="AD251" s="868"/>
      <c r="AE251" s="868"/>
      <c r="AF251" s="868"/>
      <c r="AG251" s="868"/>
    </row>
    <row r="252" spans="29:33" ht="15.75" customHeight="1" x14ac:dyDescent="0.25">
      <c r="AC252" s="824"/>
      <c r="AD252" s="868"/>
      <c r="AE252" s="868"/>
      <c r="AF252" s="868"/>
      <c r="AG252" s="868"/>
    </row>
    <row r="253" spans="29:33" ht="15.75" customHeight="1" x14ac:dyDescent="0.25">
      <c r="AC253" s="824"/>
      <c r="AD253" s="868"/>
      <c r="AE253" s="868"/>
      <c r="AF253" s="868"/>
      <c r="AG253" s="868"/>
    </row>
    <row r="254" spans="29:33" ht="15.75" customHeight="1" x14ac:dyDescent="0.25">
      <c r="AC254" s="824"/>
      <c r="AD254" s="868"/>
      <c r="AE254" s="868"/>
      <c r="AF254" s="868"/>
      <c r="AG254" s="868"/>
    </row>
    <row r="255" spans="29:33" ht="15.75" customHeight="1" x14ac:dyDescent="0.25">
      <c r="AC255" s="824"/>
      <c r="AD255" s="868"/>
      <c r="AE255" s="868"/>
      <c r="AF255" s="868"/>
      <c r="AG255" s="868"/>
    </row>
    <row r="256" spans="29:33" ht="15.75" customHeight="1" x14ac:dyDescent="0.25">
      <c r="AC256" s="824"/>
      <c r="AD256" s="868"/>
      <c r="AE256" s="868"/>
      <c r="AF256" s="868"/>
      <c r="AG256" s="868"/>
    </row>
    <row r="257" spans="29:33" ht="15.75" customHeight="1" x14ac:dyDescent="0.25">
      <c r="AC257" s="824"/>
      <c r="AD257" s="868"/>
      <c r="AE257" s="868"/>
      <c r="AF257" s="868"/>
      <c r="AG257" s="868"/>
    </row>
    <row r="258" spans="29:33" ht="15.75" customHeight="1" x14ac:dyDescent="0.25">
      <c r="AC258" s="824"/>
      <c r="AD258" s="868"/>
      <c r="AE258" s="868"/>
      <c r="AF258" s="868"/>
      <c r="AG258" s="868"/>
    </row>
    <row r="259" spans="29:33" ht="15.75" customHeight="1" x14ac:dyDescent="0.25">
      <c r="AC259" s="824"/>
      <c r="AD259" s="868"/>
      <c r="AE259" s="868"/>
      <c r="AF259" s="868"/>
      <c r="AG259" s="868"/>
    </row>
    <row r="260" spans="29:33" ht="15.75" customHeight="1" x14ac:dyDescent="0.25">
      <c r="AC260" s="824"/>
      <c r="AD260" s="868"/>
      <c r="AE260" s="868"/>
      <c r="AF260" s="868"/>
      <c r="AG260" s="868"/>
    </row>
    <row r="261" spans="29:33" ht="15.75" customHeight="1" x14ac:dyDescent="0.25">
      <c r="AC261" s="824"/>
      <c r="AD261" s="868"/>
      <c r="AE261" s="868"/>
      <c r="AF261" s="868"/>
      <c r="AG261" s="868"/>
    </row>
    <row r="262" spans="29:33" ht="15.75" customHeight="1" x14ac:dyDescent="0.25">
      <c r="AC262" s="824"/>
      <c r="AD262" s="868"/>
      <c r="AE262" s="868"/>
      <c r="AF262" s="868"/>
      <c r="AG262" s="868"/>
    </row>
    <row r="263" spans="29:33" ht="15.75" customHeight="1" x14ac:dyDescent="0.25">
      <c r="AC263" s="824"/>
      <c r="AD263" s="868"/>
      <c r="AE263" s="868"/>
      <c r="AF263" s="868"/>
      <c r="AG263" s="868"/>
    </row>
    <row r="264" spans="29:33" ht="15.75" customHeight="1" x14ac:dyDescent="0.25">
      <c r="AC264" s="824"/>
      <c r="AD264" s="868"/>
      <c r="AE264" s="868"/>
      <c r="AF264" s="868"/>
      <c r="AG264" s="868"/>
    </row>
    <row r="265" spans="29:33" ht="15.75" customHeight="1" x14ac:dyDescent="0.25">
      <c r="AC265" s="824"/>
      <c r="AD265" s="868"/>
      <c r="AE265" s="868"/>
      <c r="AF265" s="868"/>
      <c r="AG265" s="868"/>
    </row>
    <row r="266" spans="29:33" ht="15.75" customHeight="1" x14ac:dyDescent="0.25">
      <c r="AC266" s="824"/>
      <c r="AD266" s="868"/>
      <c r="AE266" s="868"/>
      <c r="AF266" s="868"/>
      <c r="AG266" s="868"/>
    </row>
    <row r="267" spans="29:33" ht="15.75" customHeight="1" x14ac:dyDescent="0.25">
      <c r="AC267" s="824"/>
      <c r="AD267" s="868"/>
      <c r="AE267" s="868"/>
      <c r="AF267" s="868"/>
      <c r="AG267" s="868"/>
    </row>
    <row r="268" spans="29:33" ht="15.75" customHeight="1" x14ac:dyDescent="0.25">
      <c r="AC268" s="824"/>
      <c r="AD268" s="868"/>
      <c r="AE268" s="868"/>
      <c r="AF268" s="868"/>
      <c r="AG268" s="868"/>
    </row>
    <row r="269" spans="29:33" ht="15.75" customHeight="1" x14ac:dyDescent="0.25">
      <c r="AC269" s="824"/>
      <c r="AD269" s="868"/>
      <c r="AE269" s="868"/>
      <c r="AF269" s="868"/>
      <c r="AG269" s="868"/>
    </row>
    <row r="270" spans="29:33" ht="15.75" customHeight="1" x14ac:dyDescent="0.25">
      <c r="AC270" s="824"/>
      <c r="AD270" s="868"/>
      <c r="AE270" s="868"/>
      <c r="AF270" s="868"/>
      <c r="AG270" s="868"/>
    </row>
    <row r="271" spans="29:33" ht="15.75" customHeight="1" x14ac:dyDescent="0.25">
      <c r="AC271" s="824"/>
      <c r="AD271" s="868"/>
      <c r="AE271" s="868"/>
      <c r="AF271" s="868"/>
      <c r="AG271" s="868"/>
    </row>
    <row r="272" spans="29:33" ht="15.75" customHeight="1" x14ac:dyDescent="0.25">
      <c r="AC272" s="824"/>
      <c r="AD272" s="868"/>
      <c r="AE272" s="868"/>
      <c r="AF272" s="868"/>
      <c r="AG272" s="868"/>
    </row>
    <row r="273" spans="29:33" ht="15.75" customHeight="1" x14ac:dyDescent="0.25">
      <c r="AC273" s="824"/>
      <c r="AD273" s="868"/>
      <c r="AE273" s="868"/>
      <c r="AF273" s="868"/>
      <c r="AG273" s="868"/>
    </row>
    <row r="274" spans="29:33" ht="15.75" customHeight="1" x14ac:dyDescent="0.25">
      <c r="AC274" s="824"/>
      <c r="AD274" s="868"/>
      <c r="AE274" s="868"/>
      <c r="AF274" s="868"/>
      <c r="AG274" s="868"/>
    </row>
    <row r="275" spans="29:33" ht="15.75" customHeight="1" x14ac:dyDescent="0.25">
      <c r="AC275" s="824"/>
      <c r="AD275" s="868"/>
      <c r="AE275" s="868"/>
      <c r="AF275" s="868"/>
      <c r="AG275" s="868"/>
    </row>
    <row r="276" spans="29:33" ht="15.75" customHeight="1" x14ac:dyDescent="0.25">
      <c r="AC276" s="824"/>
      <c r="AD276" s="868"/>
      <c r="AE276" s="868"/>
      <c r="AF276" s="868"/>
      <c r="AG276" s="868"/>
    </row>
    <row r="277" spans="29:33" ht="15.75" customHeight="1" x14ac:dyDescent="0.25">
      <c r="AC277" s="824"/>
      <c r="AD277" s="868"/>
      <c r="AE277" s="868"/>
      <c r="AF277" s="868"/>
      <c r="AG277" s="868"/>
    </row>
    <row r="278" spans="29:33" ht="15.75" customHeight="1" x14ac:dyDescent="0.25">
      <c r="AC278" s="824"/>
      <c r="AD278" s="868"/>
      <c r="AE278" s="868"/>
      <c r="AF278" s="868"/>
      <c r="AG278" s="868"/>
    </row>
    <row r="279" spans="29:33" ht="15.75" customHeight="1" x14ac:dyDescent="0.25">
      <c r="AC279" s="824"/>
      <c r="AD279" s="868"/>
      <c r="AE279" s="868"/>
      <c r="AF279" s="868"/>
      <c r="AG279" s="868"/>
    </row>
    <row r="280" spans="29:33" ht="15.75" customHeight="1" x14ac:dyDescent="0.25">
      <c r="AC280" s="824"/>
      <c r="AD280" s="868"/>
      <c r="AE280" s="868"/>
      <c r="AF280" s="868"/>
      <c r="AG280" s="868"/>
    </row>
    <row r="281" spans="29:33" ht="15.75" customHeight="1" x14ac:dyDescent="0.25">
      <c r="AC281" s="824"/>
      <c r="AD281" s="868"/>
      <c r="AE281" s="868"/>
      <c r="AF281" s="868"/>
      <c r="AG281" s="868"/>
    </row>
    <row r="282" spans="29:33" ht="15.75" customHeight="1" x14ac:dyDescent="0.25">
      <c r="AC282" s="824"/>
      <c r="AD282" s="868"/>
      <c r="AE282" s="868"/>
      <c r="AF282" s="868"/>
      <c r="AG282" s="868"/>
    </row>
    <row r="283" spans="29:33" ht="15.75" customHeight="1" x14ac:dyDescent="0.25">
      <c r="AC283" s="824"/>
      <c r="AD283" s="868"/>
      <c r="AE283" s="868"/>
      <c r="AF283" s="868"/>
      <c r="AG283" s="868"/>
    </row>
    <row r="284" spans="29:33" ht="15.75" customHeight="1" x14ac:dyDescent="0.25">
      <c r="AC284" s="824"/>
      <c r="AD284" s="868"/>
      <c r="AE284" s="868"/>
      <c r="AF284" s="868"/>
      <c r="AG284" s="868"/>
    </row>
    <row r="285" spans="29:33" ht="15.75" customHeight="1" x14ac:dyDescent="0.25">
      <c r="AC285" s="824"/>
      <c r="AD285" s="868"/>
      <c r="AE285" s="868"/>
      <c r="AF285" s="868"/>
      <c r="AG285" s="868"/>
    </row>
    <row r="286" spans="29:33" ht="15.75" customHeight="1" x14ac:dyDescent="0.25">
      <c r="AC286" s="824"/>
      <c r="AD286" s="868"/>
      <c r="AE286" s="868"/>
      <c r="AF286" s="868"/>
      <c r="AG286" s="868"/>
    </row>
    <row r="287" spans="29:33" ht="15.75" customHeight="1" x14ac:dyDescent="0.25">
      <c r="AC287" s="824"/>
      <c r="AD287" s="868"/>
      <c r="AE287" s="868"/>
      <c r="AF287" s="868"/>
      <c r="AG287" s="868"/>
    </row>
    <row r="288" spans="29:33" ht="15.75" customHeight="1" x14ac:dyDescent="0.25">
      <c r="AC288" s="824"/>
      <c r="AD288" s="868"/>
      <c r="AE288" s="868"/>
      <c r="AF288" s="868"/>
      <c r="AG288" s="868"/>
    </row>
    <row r="289" spans="29:33" ht="15.75" customHeight="1" x14ac:dyDescent="0.25">
      <c r="AC289" s="824"/>
      <c r="AD289" s="868"/>
      <c r="AE289" s="868"/>
      <c r="AF289" s="868"/>
      <c r="AG289" s="868"/>
    </row>
    <row r="290" spans="29:33" ht="15.75" customHeight="1" x14ac:dyDescent="0.25">
      <c r="AC290" s="824"/>
      <c r="AD290" s="868"/>
      <c r="AE290" s="868"/>
      <c r="AF290" s="868"/>
      <c r="AG290" s="868"/>
    </row>
    <row r="291" spans="29:33" ht="15.75" customHeight="1" x14ac:dyDescent="0.25">
      <c r="AC291" s="824"/>
      <c r="AD291" s="868"/>
      <c r="AE291" s="868"/>
      <c r="AF291" s="868"/>
      <c r="AG291" s="868"/>
    </row>
    <row r="292" spans="29:33" ht="15.75" customHeight="1" x14ac:dyDescent="0.25">
      <c r="AC292" s="824"/>
      <c r="AD292" s="868"/>
      <c r="AE292" s="868"/>
      <c r="AF292" s="868"/>
      <c r="AG292" s="868"/>
    </row>
    <row r="293" spans="29:33" ht="15.75" customHeight="1" x14ac:dyDescent="0.25">
      <c r="AC293" s="824"/>
      <c r="AD293" s="868"/>
      <c r="AE293" s="868"/>
      <c r="AF293" s="868"/>
      <c r="AG293" s="868"/>
    </row>
    <row r="294" spans="29:33" ht="15.75" customHeight="1" x14ac:dyDescent="0.25">
      <c r="AC294" s="824"/>
      <c r="AD294" s="868"/>
      <c r="AE294" s="868"/>
      <c r="AF294" s="868"/>
      <c r="AG294" s="868"/>
    </row>
    <row r="295" spans="29:33" ht="15.75" customHeight="1" x14ac:dyDescent="0.25">
      <c r="AC295" s="824"/>
      <c r="AD295" s="868"/>
      <c r="AE295" s="868"/>
      <c r="AF295" s="868"/>
      <c r="AG295" s="868"/>
    </row>
    <row r="296" spans="29:33" ht="15.75" customHeight="1" x14ac:dyDescent="0.25">
      <c r="AC296" s="824"/>
      <c r="AD296" s="868"/>
      <c r="AE296" s="868"/>
      <c r="AF296" s="868"/>
      <c r="AG296" s="868"/>
    </row>
    <row r="297" spans="29:33" ht="15.75" customHeight="1" x14ac:dyDescent="0.25">
      <c r="AC297" s="824"/>
      <c r="AD297" s="868"/>
      <c r="AE297" s="868"/>
      <c r="AF297" s="868"/>
      <c r="AG297" s="868"/>
    </row>
    <row r="298" spans="29:33" ht="15.75" customHeight="1" x14ac:dyDescent="0.25">
      <c r="AC298" s="824"/>
      <c r="AD298" s="868"/>
      <c r="AE298" s="868"/>
      <c r="AF298" s="868"/>
      <c r="AG298" s="868"/>
    </row>
    <row r="299" spans="29:33" ht="15.75" customHeight="1" x14ac:dyDescent="0.25">
      <c r="AC299" s="824"/>
      <c r="AD299" s="868"/>
      <c r="AE299" s="868"/>
      <c r="AF299" s="868"/>
      <c r="AG299" s="868"/>
    </row>
    <row r="300" spans="29:33" ht="15.75" customHeight="1" x14ac:dyDescent="0.25">
      <c r="AC300" s="824"/>
      <c r="AD300" s="868"/>
      <c r="AE300" s="868"/>
      <c r="AF300" s="868"/>
      <c r="AG300" s="868"/>
    </row>
    <row r="301" spans="29:33" ht="15.75" customHeight="1" x14ac:dyDescent="0.25">
      <c r="AC301" s="824"/>
      <c r="AD301" s="868"/>
      <c r="AE301" s="868"/>
      <c r="AF301" s="868"/>
      <c r="AG301" s="868"/>
    </row>
    <row r="302" spans="29:33" ht="15.75" customHeight="1" x14ac:dyDescent="0.25">
      <c r="AC302" s="824"/>
      <c r="AD302" s="868"/>
      <c r="AE302" s="868"/>
      <c r="AF302" s="868"/>
      <c r="AG302" s="868"/>
    </row>
    <row r="303" spans="29:33" ht="15.75" customHeight="1" x14ac:dyDescent="0.25">
      <c r="AC303" s="824"/>
      <c r="AD303" s="868"/>
      <c r="AE303" s="868"/>
      <c r="AF303" s="868"/>
      <c r="AG303" s="868"/>
    </row>
    <row r="304" spans="29:33" ht="15.75" customHeight="1" x14ac:dyDescent="0.25">
      <c r="AC304" s="824"/>
      <c r="AD304" s="868"/>
      <c r="AE304" s="868"/>
      <c r="AF304" s="868"/>
      <c r="AG304" s="868"/>
    </row>
    <row r="305" spans="29:33" ht="15.75" customHeight="1" x14ac:dyDescent="0.25">
      <c r="AC305" s="824"/>
      <c r="AD305" s="868"/>
      <c r="AE305" s="868"/>
      <c r="AF305" s="868"/>
      <c r="AG305" s="868"/>
    </row>
    <row r="306" spans="29:33" ht="15.75" customHeight="1" x14ac:dyDescent="0.25">
      <c r="AC306" s="824"/>
      <c r="AD306" s="868"/>
      <c r="AE306" s="868"/>
      <c r="AF306" s="868"/>
      <c r="AG306" s="868"/>
    </row>
    <row r="307" spans="29:33" ht="15.75" customHeight="1" x14ac:dyDescent="0.25">
      <c r="AC307" s="824"/>
      <c r="AD307" s="868"/>
      <c r="AE307" s="868"/>
      <c r="AF307" s="868"/>
      <c r="AG307" s="868"/>
    </row>
    <row r="308" spans="29:33" ht="15.75" customHeight="1" x14ac:dyDescent="0.25">
      <c r="AC308" s="824"/>
      <c r="AD308" s="868"/>
      <c r="AE308" s="868"/>
      <c r="AF308" s="868"/>
      <c r="AG308" s="868"/>
    </row>
    <row r="309" spans="29:33" ht="15.75" customHeight="1" x14ac:dyDescent="0.25">
      <c r="AC309" s="824"/>
      <c r="AD309" s="868"/>
      <c r="AE309" s="868"/>
      <c r="AF309" s="868"/>
      <c r="AG309" s="868"/>
    </row>
    <row r="310" spans="29:33" ht="15.75" customHeight="1" x14ac:dyDescent="0.25">
      <c r="AC310" s="824"/>
      <c r="AD310" s="868"/>
      <c r="AE310" s="868"/>
      <c r="AF310" s="868"/>
      <c r="AG310" s="868"/>
    </row>
    <row r="311" spans="29:33" ht="15.75" customHeight="1" x14ac:dyDescent="0.25">
      <c r="AC311" s="824"/>
      <c r="AD311" s="868"/>
      <c r="AE311" s="868"/>
      <c r="AF311" s="868"/>
      <c r="AG311" s="868"/>
    </row>
    <row r="312" spans="29:33" ht="15.75" customHeight="1" x14ac:dyDescent="0.25">
      <c r="AC312" s="824"/>
      <c r="AD312" s="868"/>
      <c r="AE312" s="868"/>
      <c r="AF312" s="868"/>
      <c r="AG312" s="868"/>
    </row>
    <row r="313" spans="29:33" ht="15.75" customHeight="1" x14ac:dyDescent="0.25">
      <c r="AC313" s="824"/>
      <c r="AD313" s="868"/>
      <c r="AE313" s="868"/>
      <c r="AF313" s="868"/>
      <c r="AG313" s="868"/>
    </row>
    <row r="314" spans="29:33" ht="15.75" customHeight="1" x14ac:dyDescent="0.25">
      <c r="AC314" s="824"/>
      <c r="AD314" s="868"/>
      <c r="AE314" s="868"/>
      <c r="AF314" s="868"/>
      <c r="AG314" s="868"/>
    </row>
    <row r="315" spans="29:33" ht="15.75" customHeight="1" x14ac:dyDescent="0.25">
      <c r="AC315" s="824"/>
      <c r="AD315" s="868"/>
      <c r="AE315" s="868"/>
      <c r="AF315" s="868"/>
      <c r="AG315" s="868"/>
    </row>
    <row r="316" spans="29:33" ht="15.75" customHeight="1" x14ac:dyDescent="0.25">
      <c r="AC316" s="824"/>
      <c r="AD316" s="868"/>
      <c r="AE316" s="868"/>
      <c r="AF316" s="868"/>
      <c r="AG316" s="868"/>
    </row>
    <row r="317" spans="29:33" ht="15.75" customHeight="1" x14ac:dyDescent="0.25">
      <c r="AC317" s="824"/>
      <c r="AD317" s="868"/>
      <c r="AE317" s="868"/>
      <c r="AF317" s="868"/>
      <c r="AG317" s="868"/>
    </row>
    <row r="318" spans="29:33" ht="15.75" customHeight="1" x14ac:dyDescent="0.25">
      <c r="AC318" s="824"/>
      <c r="AD318" s="868"/>
      <c r="AE318" s="868"/>
      <c r="AF318" s="868"/>
      <c r="AG318" s="868"/>
    </row>
    <row r="319" spans="29:33" ht="15.75" customHeight="1" x14ac:dyDescent="0.25">
      <c r="AC319" s="824"/>
      <c r="AD319" s="868"/>
      <c r="AE319" s="868"/>
      <c r="AF319" s="868"/>
      <c r="AG319" s="868"/>
    </row>
    <row r="320" spans="29:33" ht="15.75" customHeight="1" x14ac:dyDescent="0.25">
      <c r="AC320" s="824"/>
      <c r="AD320" s="868"/>
      <c r="AE320" s="868"/>
      <c r="AF320" s="868"/>
      <c r="AG320" s="868"/>
    </row>
    <row r="321" spans="29:33" ht="15.75" customHeight="1" x14ac:dyDescent="0.25">
      <c r="AC321" s="824"/>
      <c r="AD321" s="868"/>
      <c r="AE321" s="868"/>
      <c r="AF321" s="868"/>
      <c r="AG321" s="868"/>
    </row>
    <row r="322" spans="29:33" ht="15.75" customHeight="1" x14ac:dyDescent="0.25">
      <c r="AC322" s="824"/>
      <c r="AD322" s="868"/>
      <c r="AE322" s="868"/>
      <c r="AF322" s="868"/>
      <c r="AG322" s="868"/>
    </row>
    <row r="323" spans="29:33" ht="15.75" customHeight="1" x14ac:dyDescent="0.25">
      <c r="AC323" s="824"/>
      <c r="AD323" s="868"/>
      <c r="AE323" s="868"/>
      <c r="AF323" s="868"/>
      <c r="AG323" s="868"/>
    </row>
    <row r="324" spans="29:33" ht="15.75" customHeight="1" x14ac:dyDescent="0.25">
      <c r="AC324" s="824"/>
      <c r="AD324" s="868"/>
      <c r="AE324" s="868"/>
      <c r="AF324" s="868"/>
      <c r="AG324" s="868"/>
    </row>
    <row r="325" spans="29:33" ht="15.75" customHeight="1" x14ac:dyDescent="0.25">
      <c r="AC325" s="824"/>
      <c r="AD325" s="868"/>
      <c r="AE325" s="868"/>
      <c r="AF325" s="868"/>
      <c r="AG325" s="868"/>
    </row>
    <row r="326" spans="29:33" ht="15.75" customHeight="1" x14ac:dyDescent="0.25">
      <c r="AC326" s="824"/>
      <c r="AD326" s="868"/>
      <c r="AE326" s="868"/>
      <c r="AF326" s="868"/>
      <c r="AG326" s="868"/>
    </row>
    <row r="327" spans="29:33" ht="15.75" customHeight="1" x14ac:dyDescent="0.25">
      <c r="AC327" s="824"/>
      <c r="AD327" s="868"/>
      <c r="AE327" s="868"/>
      <c r="AF327" s="868"/>
      <c r="AG327" s="868"/>
    </row>
    <row r="328" spans="29:33" ht="15.75" customHeight="1" x14ac:dyDescent="0.25">
      <c r="AC328" s="824"/>
      <c r="AD328" s="868"/>
      <c r="AE328" s="868"/>
      <c r="AF328" s="868"/>
      <c r="AG328" s="868"/>
    </row>
    <row r="329" spans="29:33" ht="15.75" customHeight="1" x14ac:dyDescent="0.25">
      <c r="AC329" s="824"/>
      <c r="AD329" s="868"/>
      <c r="AE329" s="868"/>
      <c r="AF329" s="868"/>
      <c r="AG329" s="868"/>
    </row>
    <row r="330" spans="29:33" ht="15.75" customHeight="1" x14ac:dyDescent="0.25">
      <c r="AC330" s="824"/>
      <c r="AD330" s="868"/>
      <c r="AE330" s="868"/>
      <c r="AF330" s="868"/>
      <c r="AG330" s="868"/>
    </row>
    <row r="331" spans="29:33" ht="15.75" customHeight="1" x14ac:dyDescent="0.25">
      <c r="AC331" s="824"/>
      <c r="AD331" s="868"/>
      <c r="AE331" s="868"/>
      <c r="AF331" s="868"/>
      <c r="AG331" s="868"/>
    </row>
    <row r="332" spans="29:33" ht="15.75" customHeight="1" x14ac:dyDescent="0.25">
      <c r="AC332" s="824"/>
      <c r="AD332" s="868"/>
      <c r="AE332" s="868"/>
      <c r="AF332" s="868"/>
      <c r="AG332" s="868"/>
    </row>
    <row r="333" spans="29:33" ht="15.75" customHeight="1" x14ac:dyDescent="0.25">
      <c r="AC333" s="824"/>
      <c r="AD333" s="868"/>
      <c r="AE333" s="868"/>
      <c r="AF333" s="868"/>
      <c r="AG333" s="868"/>
    </row>
    <row r="334" spans="29:33" ht="15.75" customHeight="1" x14ac:dyDescent="0.25">
      <c r="AC334" s="824"/>
      <c r="AD334" s="868"/>
      <c r="AE334" s="868"/>
      <c r="AF334" s="868"/>
      <c r="AG334" s="868"/>
    </row>
    <row r="335" spans="29:33" ht="15.75" customHeight="1" x14ac:dyDescent="0.25">
      <c r="AC335" s="824"/>
      <c r="AD335" s="868"/>
      <c r="AE335" s="868"/>
      <c r="AF335" s="868"/>
      <c r="AG335" s="868"/>
    </row>
    <row r="336" spans="29:33" ht="15.75" customHeight="1" x14ac:dyDescent="0.25">
      <c r="AC336" s="824"/>
      <c r="AD336" s="868"/>
      <c r="AE336" s="868"/>
      <c r="AF336" s="868"/>
      <c r="AG336" s="868"/>
    </row>
    <row r="337" spans="29:33" ht="15.75" customHeight="1" x14ac:dyDescent="0.25">
      <c r="AC337" s="824"/>
      <c r="AD337" s="868"/>
      <c r="AE337" s="868"/>
      <c r="AF337" s="868"/>
      <c r="AG337" s="868"/>
    </row>
    <row r="338" spans="29:33" ht="15.75" customHeight="1" x14ac:dyDescent="0.25">
      <c r="AC338" s="824"/>
      <c r="AD338" s="868"/>
      <c r="AE338" s="868"/>
      <c r="AF338" s="868"/>
      <c r="AG338" s="868"/>
    </row>
    <row r="339" spans="29:33" ht="15.75" customHeight="1" x14ac:dyDescent="0.25">
      <c r="AC339" s="824"/>
      <c r="AD339" s="868"/>
      <c r="AE339" s="868"/>
      <c r="AF339" s="868"/>
      <c r="AG339" s="868"/>
    </row>
    <row r="340" spans="29:33" ht="15.75" customHeight="1" x14ac:dyDescent="0.25">
      <c r="AC340" s="824"/>
      <c r="AD340" s="868"/>
      <c r="AE340" s="868"/>
      <c r="AF340" s="868"/>
      <c r="AG340" s="868"/>
    </row>
    <row r="341" spans="29:33" ht="15.75" customHeight="1" x14ac:dyDescent="0.25">
      <c r="AC341" s="824"/>
      <c r="AD341" s="868"/>
      <c r="AE341" s="868"/>
      <c r="AF341" s="868"/>
      <c r="AG341" s="868"/>
    </row>
    <row r="342" spans="29:33" ht="15.75" customHeight="1" x14ac:dyDescent="0.25">
      <c r="AC342" s="824"/>
      <c r="AD342" s="868"/>
      <c r="AE342" s="868"/>
      <c r="AF342" s="868"/>
      <c r="AG342" s="868"/>
    </row>
    <row r="343" spans="29:33" ht="15.75" customHeight="1" x14ac:dyDescent="0.25">
      <c r="AC343" s="824"/>
      <c r="AD343" s="868"/>
      <c r="AE343" s="868"/>
      <c r="AF343" s="868"/>
      <c r="AG343" s="868"/>
    </row>
    <row r="344" spans="29:33" ht="15.75" customHeight="1" x14ac:dyDescent="0.25">
      <c r="AC344" s="824"/>
      <c r="AD344" s="868"/>
      <c r="AE344" s="868"/>
      <c r="AF344" s="868"/>
      <c r="AG344" s="868"/>
    </row>
    <row r="345" spans="29:33" ht="15.75" customHeight="1" x14ac:dyDescent="0.25">
      <c r="AC345" s="824"/>
      <c r="AD345" s="868"/>
      <c r="AE345" s="868"/>
      <c r="AF345" s="868"/>
      <c r="AG345" s="868"/>
    </row>
    <row r="346" spans="29:33" ht="15.75" customHeight="1" x14ac:dyDescent="0.25">
      <c r="AC346" s="824"/>
      <c r="AD346" s="868"/>
      <c r="AE346" s="868"/>
      <c r="AF346" s="868"/>
      <c r="AG346" s="868"/>
    </row>
    <row r="347" spans="29:33" ht="15.75" customHeight="1" x14ac:dyDescent="0.25">
      <c r="AC347" s="824"/>
      <c r="AD347" s="868"/>
      <c r="AE347" s="868"/>
      <c r="AF347" s="868"/>
      <c r="AG347" s="868"/>
    </row>
    <row r="348" spans="29:33" ht="15.75" customHeight="1" x14ac:dyDescent="0.25">
      <c r="AC348" s="824"/>
      <c r="AD348" s="868"/>
      <c r="AE348" s="868"/>
      <c r="AF348" s="868"/>
      <c r="AG348" s="868"/>
    </row>
    <row r="349" spans="29:33" ht="15.75" customHeight="1" x14ac:dyDescent="0.25">
      <c r="AC349" s="824"/>
      <c r="AD349" s="868"/>
      <c r="AE349" s="868"/>
      <c r="AF349" s="868"/>
      <c r="AG349" s="868"/>
    </row>
    <row r="350" spans="29:33" ht="15.75" customHeight="1" x14ac:dyDescent="0.25">
      <c r="AC350" s="824"/>
      <c r="AD350" s="868"/>
      <c r="AE350" s="868"/>
      <c r="AF350" s="868"/>
      <c r="AG350" s="868"/>
    </row>
    <row r="351" spans="29:33" ht="15.75" customHeight="1" x14ac:dyDescent="0.25">
      <c r="AC351" s="824"/>
      <c r="AD351" s="868"/>
      <c r="AE351" s="868"/>
      <c r="AF351" s="868"/>
      <c r="AG351" s="868"/>
    </row>
    <row r="352" spans="29:33" ht="15.75" customHeight="1" x14ac:dyDescent="0.25">
      <c r="AC352" s="824"/>
      <c r="AD352" s="868"/>
      <c r="AE352" s="868"/>
      <c r="AF352" s="868"/>
      <c r="AG352" s="868"/>
    </row>
    <row r="353" spans="29:33" ht="15.75" customHeight="1" x14ac:dyDescent="0.25">
      <c r="AC353" s="824"/>
      <c r="AD353" s="868"/>
      <c r="AE353" s="868"/>
      <c r="AF353" s="868"/>
      <c r="AG353" s="868"/>
    </row>
    <row r="354" spans="29:33" ht="15.75" customHeight="1" x14ac:dyDescent="0.25">
      <c r="AC354" s="824"/>
      <c r="AD354" s="868"/>
      <c r="AE354" s="868"/>
      <c r="AF354" s="868"/>
      <c r="AG354" s="868"/>
    </row>
    <row r="355" spans="29:33" ht="15.75" customHeight="1" x14ac:dyDescent="0.25">
      <c r="AC355" s="824"/>
      <c r="AD355" s="868"/>
      <c r="AE355" s="868"/>
      <c r="AF355" s="868"/>
      <c r="AG355" s="868"/>
    </row>
    <row r="356" spans="29:33" ht="15.75" customHeight="1" x14ac:dyDescent="0.25">
      <c r="AC356" s="824"/>
      <c r="AD356" s="868"/>
      <c r="AE356" s="868"/>
      <c r="AF356" s="868"/>
      <c r="AG356" s="868"/>
    </row>
    <row r="357" spans="29:33" ht="15.75" customHeight="1" x14ac:dyDescent="0.25">
      <c r="AC357" s="824"/>
      <c r="AD357" s="868"/>
      <c r="AE357" s="868"/>
      <c r="AF357" s="868"/>
      <c r="AG357" s="868"/>
    </row>
    <row r="358" spans="29:33" ht="15.75" customHeight="1" x14ac:dyDescent="0.25">
      <c r="AC358" s="824"/>
      <c r="AD358" s="868"/>
      <c r="AE358" s="868"/>
      <c r="AF358" s="868"/>
      <c r="AG358" s="868"/>
    </row>
    <row r="359" spans="29:33" ht="15.75" customHeight="1" x14ac:dyDescent="0.25">
      <c r="AC359" s="824"/>
      <c r="AD359" s="868"/>
      <c r="AE359" s="868"/>
      <c r="AF359" s="868"/>
      <c r="AG359" s="868"/>
    </row>
    <row r="360" spans="29:33" ht="15.75" customHeight="1" x14ac:dyDescent="0.25">
      <c r="AC360" s="824"/>
      <c r="AD360" s="868"/>
      <c r="AE360" s="868"/>
      <c r="AF360" s="868"/>
      <c r="AG360" s="868"/>
    </row>
    <row r="361" spans="29:33" ht="15.75" customHeight="1" x14ac:dyDescent="0.25">
      <c r="AC361" s="824"/>
      <c r="AD361" s="868"/>
      <c r="AE361" s="868"/>
      <c r="AF361" s="868"/>
      <c r="AG361" s="868"/>
    </row>
    <row r="362" spans="29:33" ht="15.75" customHeight="1" x14ac:dyDescent="0.25">
      <c r="AC362" s="824"/>
      <c r="AD362" s="868"/>
      <c r="AE362" s="868"/>
      <c r="AF362" s="868"/>
      <c r="AG362" s="868"/>
    </row>
    <row r="363" spans="29:33" ht="15.75" customHeight="1" x14ac:dyDescent="0.25">
      <c r="AC363" s="824"/>
      <c r="AD363" s="868"/>
      <c r="AE363" s="868"/>
      <c r="AF363" s="868"/>
      <c r="AG363" s="868"/>
    </row>
    <row r="364" spans="29:33" ht="15.75" customHeight="1" x14ac:dyDescent="0.25">
      <c r="AC364" s="824"/>
      <c r="AD364" s="868"/>
      <c r="AE364" s="868"/>
      <c r="AF364" s="868"/>
      <c r="AG364" s="868"/>
    </row>
    <row r="365" spans="29:33" ht="15.75" customHeight="1" x14ac:dyDescent="0.25">
      <c r="AC365" s="824"/>
      <c r="AD365" s="868"/>
      <c r="AE365" s="868"/>
      <c r="AF365" s="868"/>
      <c r="AG365" s="868"/>
    </row>
    <row r="366" spans="29:33" ht="15.75" customHeight="1" x14ac:dyDescent="0.25">
      <c r="AC366" s="824"/>
      <c r="AD366" s="868"/>
      <c r="AE366" s="868"/>
      <c r="AF366" s="868"/>
      <c r="AG366" s="868"/>
    </row>
    <row r="367" spans="29:33" ht="15.75" customHeight="1" x14ac:dyDescent="0.25">
      <c r="AC367" s="824"/>
      <c r="AD367" s="868"/>
      <c r="AE367" s="868"/>
      <c r="AF367" s="868"/>
      <c r="AG367" s="868"/>
    </row>
    <row r="368" spans="29:33" ht="15.75" customHeight="1" x14ac:dyDescent="0.25">
      <c r="AC368" s="824"/>
      <c r="AD368" s="868"/>
      <c r="AE368" s="868"/>
      <c r="AF368" s="868"/>
      <c r="AG368" s="868"/>
    </row>
    <row r="369" spans="29:33" ht="15.75" customHeight="1" x14ac:dyDescent="0.25">
      <c r="AC369" s="824"/>
      <c r="AD369" s="868"/>
      <c r="AE369" s="868"/>
      <c r="AF369" s="868"/>
      <c r="AG369" s="868"/>
    </row>
    <row r="370" spans="29:33" ht="15.75" customHeight="1" x14ac:dyDescent="0.25">
      <c r="AC370" s="824"/>
      <c r="AD370" s="868"/>
      <c r="AE370" s="868"/>
      <c r="AF370" s="868"/>
      <c r="AG370" s="868"/>
    </row>
    <row r="371" spans="29:33" ht="15.75" customHeight="1" x14ac:dyDescent="0.25">
      <c r="AC371" s="824"/>
      <c r="AD371" s="868"/>
      <c r="AE371" s="868"/>
      <c r="AF371" s="868"/>
      <c r="AG371" s="868"/>
    </row>
    <row r="372" spans="29:33" ht="15.75" customHeight="1" x14ac:dyDescent="0.25">
      <c r="AC372" s="824"/>
      <c r="AD372" s="868"/>
      <c r="AE372" s="868"/>
      <c r="AF372" s="868"/>
      <c r="AG372" s="868"/>
    </row>
    <row r="373" spans="29:33" ht="15.75" customHeight="1" x14ac:dyDescent="0.25">
      <c r="AC373" s="824"/>
      <c r="AD373" s="868"/>
      <c r="AE373" s="868"/>
      <c r="AF373" s="868"/>
      <c r="AG373" s="868"/>
    </row>
    <row r="374" spans="29:33" ht="15.75" customHeight="1" x14ac:dyDescent="0.25">
      <c r="AC374" s="824"/>
      <c r="AD374" s="868"/>
      <c r="AE374" s="868"/>
      <c r="AF374" s="868"/>
      <c r="AG374" s="868"/>
    </row>
    <row r="375" spans="29:33" ht="15.75" customHeight="1" x14ac:dyDescent="0.25">
      <c r="AC375" s="824"/>
      <c r="AD375" s="868"/>
      <c r="AE375" s="868"/>
      <c r="AF375" s="868"/>
      <c r="AG375" s="868"/>
    </row>
    <row r="376" spans="29:33" ht="15.75" customHeight="1" x14ac:dyDescent="0.25">
      <c r="AC376" s="824"/>
      <c r="AD376" s="868"/>
      <c r="AE376" s="868"/>
      <c r="AF376" s="868"/>
      <c r="AG376" s="868"/>
    </row>
    <row r="377" spans="29:33" ht="15.75" customHeight="1" x14ac:dyDescent="0.25">
      <c r="AC377" s="824"/>
      <c r="AD377" s="868"/>
      <c r="AE377" s="868"/>
      <c r="AF377" s="868"/>
      <c r="AG377" s="868"/>
    </row>
    <row r="378" spans="29:33" ht="15.75" customHeight="1" x14ac:dyDescent="0.25">
      <c r="AC378" s="824"/>
      <c r="AD378" s="868"/>
      <c r="AE378" s="868"/>
      <c r="AF378" s="868"/>
      <c r="AG378" s="868"/>
    </row>
    <row r="379" spans="29:33" ht="15.75" customHeight="1" x14ac:dyDescent="0.25">
      <c r="AC379" s="824"/>
      <c r="AD379" s="868"/>
      <c r="AE379" s="868"/>
      <c r="AF379" s="868"/>
      <c r="AG379" s="868"/>
    </row>
    <row r="380" spans="29:33" ht="15.75" customHeight="1" x14ac:dyDescent="0.25">
      <c r="AC380" s="824"/>
      <c r="AD380" s="868"/>
      <c r="AE380" s="868"/>
      <c r="AF380" s="868"/>
      <c r="AG380" s="868"/>
    </row>
    <row r="381" spans="29:33" ht="15.75" customHeight="1" x14ac:dyDescent="0.25">
      <c r="AC381" s="824"/>
      <c r="AD381" s="868"/>
      <c r="AE381" s="868"/>
      <c r="AF381" s="868"/>
      <c r="AG381" s="868"/>
    </row>
    <row r="382" spans="29:33" ht="15.75" customHeight="1" x14ac:dyDescent="0.25">
      <c r="AC382" s="824"/>
      <c r="AD382" s="868"/>
      <c r="AE382" s="868"/>
      <c r="AF382" s="868"/>
      <c r="AG382" s="868"/>
    </row>
    <row r="383" spans="29:33" ht="15.75" customHeight="1" x14ac:dyDescent="0.25">
      <c r="AC383" s="824"/>
      <c r="AD383" s="868"/>
      <c r="AE383" s="868"/>
      <c r="AF383" s="868"/>
      <c r="AG383" s="868"/>
    </row>
    <row r="384" spans="29:33" ht="15.75" customHeight="1" x14ac:dyDescent="0.25">
      <c r="AC384" s="824"/>
      <c r="AD384" s="868"/>
      <c r="AE384" s="868"/>
      <c r="AF384" s="868"/>
      <c r="AG384" s="868"/>
    </row>
    <row r="385" spans="29:33" ht="15.75" customHeight="1" x14ac:dyDescent="0.25">
      <c r="AC385" s="824"/>
      <c r="AD385" s="868"/>
      <c r="AE385" s="868"/>
      <c r="AF385" s="868"/>
      <c r="AG385" s="868"/>
    </row>
    <row r="386" spans="29:33" ht="15.75" customHeight="1" x14ac:dyDescent="0.25">
      <c r="AC386" s="824"/>
      <c r="AD386" s="830"/>
      <c r="AE386" s="830"/>
      <c r="AF386" s="830"/>
      <c r="AG386" s="830"/>
    </row>
    <row r="387" spans="29:33" ht="15.75" customHeight="1" x14ac:dyDescent="0.25">
      <c r="AC387" s="824"/>
      <c r="AD387" s="830"/>
      <c r="AE387" s="830"/>
      <c r="AF387" s="830"/>
      <c r="AG387" s="830"/>
    </row>
    <row r="388" spans="29:33" ht="15.75" customHeight="1" x14ac:dyDescent="0.25">
      <c r="AC388" s="824"/>
      <c r="AD388" s="830"/>
      <c r="AE388" s="830"/>
      <c r="AF388" s="830"/>
      <c r="AG388" s="830"/>
    </row>
    <row r="389" spans="29:33" ht="15.75" customHeight="1" x14ac:dyDescent="0.25">
      <c r="AC389" s="824"/>
      <c r="AD389" s="830"/>
      <c r="AE389" s="830"/>
      <c r="AF389" s="830"/>
      <c r="AG389" s="830"/>
    </row>
    <row r="390" spans="29:33" ht="15.75" customHeight="1" x14ac:dyDescent="0.25">
      <c r="AC390" s="824"/>
      <c r="AD390" s="830"/>
      <c r="AE390" s="830"/>
      <c r="AF390" s="830"/>
      <c r="AG390" s="830"/>
    </row>
    <row r="391" spans="29:33" ht="15.75" customHeight="1" x14ac:dyDescent="0.25">
      <c r="AC391" s="824"/>
      <c r="AD391" s="830"/>
      <c r="AE391" s="830"/>
      <c r="AF391" s="830"/>
      <c r="AG391" s="830"/>
    </row>
    <row r="392" spans="29:33" ht="15.75" customHeight="1" x14ac:dyDescent="0.25">
      <c r="AC392" s="824"/>
      <c r="AD392" s="830"/>
      <c r="AE392" s="830"/>
      <c r="AF392" s="830"/>
      <c r="AG392" s="830"/>
    </row>
    <row r="393" spans="29:33" ht="15.75" customHeight="1" x14ac:dyDescent="0.25">
      <c r="AC393" s="824"/>
      <c r="AD393" s="830"/>
      <c r="AE393" s="830"/>
      <c r="AF393" s="830"/>
      <c r="AG393" s="830"/>
    </row>
    <row r="394" spans="29:33" ht="15.75" customHeight="1" x14ac:dyDescent="0.25">
      <c r="AC394" s="824"/>
      <c r="AD394" s="830"/>
      <c r="AE394" s="830"/>
      <c r="AF394" s="830"/>
      <c r="AG394" s="830"/>
    </row>
    <row r="395" spans="29:33" ht="15.75" customHeight="1" x14ac:dyDescent="0.25">
      <c r="AC395" s="824"/>
      <c r="AD395" s="830"/>
      <c r="AE395" s="830"/>
      <c r="AF395" s="830"/>
      <c r="AG395" s="830"/>
    </row>
    <row r="396" spans="29:33" ht="15.75" customHeight="1" x14ac:dyDescent="0.25">
      <c r="AC396" s="824"/>
      <c r="AD396" s="830"/>
      <c r="AE396" s="830"/>
      <c r="AF396" s="830"/>
      <c r="AG396" s="830"/>
    </row>
    <row r="397" spans="29:33" ht="15.75" customHeight="1" x14ac:dyDescent="0.25">
      <c r="AC397" s="824"/>
      <c r="AD397" s="830"/>
      <c r="AE397" s="830"/>
      <c r="AF397" s="830"/>
      <c r="AG397" s="830"/>
    </row>
    <row r="398" spans="29:33" ht="15.75" customHeight="1" x14ac:dyDescent="0.25">
      <c r="AC398" s="824"/>
      <c r="AD398" s="830"/>
      <c r="AE398" s="830"/>
      <c r="AF398" s="830"/>
      <c r="AG398" s="830"/>
    </row>
    <row r="399" spans="29:33" ht="15.75" customHeight="1" x14ac:dyDescent="0.25">
      <c r="AC399" s="824"/>
      <c r="AD399" s="830"/>
      <c r="AE399" s="830"/>
      <c r="AF399" s="830"/>
      <c r="AG399" s="830"/>
    </row>
    <row r="400" spans="29:33" ht="15.75" customHeight="1" x14ac:dyDescent="0.25">
      <c r="AC400" s="824"/>
      <c r="AD400" s="830"/>
      <c r="AE400" s="830"/>
      <c r="AF400" s="830"/>
      <c r="AG400" s="830"/>
    </row>
    <row r="401" spans="29:33" ht="15.75" customHeight="1" x14ac:dyDescent="0.25">
      <c r="AC401" s="824"/>
      <c r="AD401" s="830"/>
      <c r="AE401" s="830"/>
      <c r="AF401" s="830"/>
      <c r="AG401" s="830"/>
    </row>
    <row r="402" spans="29:33" ht="15.75" customHeight="1" x14ac:dyDescent="0.25">
      <c r="AC402" s="824"/>
      <c r="AD402" s="830"/>
      <c r="AE402" s="830"/>
      <c r="AF402" s="830"/>
      <c r="AG402" s="830"/>
    </row>
    <row r="403" spans="29:33" ht="15.75" customHeight="1" x14ac:dyDescent="0.25">
      <c r="AC403" s="824"/>
      <c r="AD403" s="830"/>
      <c r="AE403" s="830"/>
      <c r="AF403" s="830"/>
      <c r="AG403" s="830"/>
    </row>
    <row r="404" spans="29:33" ht="15.75" customHeight="1" x14ac:dyDescent="0.25">
      <c r="AC404" s="824"/>
      <c r="AD404" s="830"/>
      <c r="AE404" s="830"/>
      <c r="AF404" s="830"/>
      <c r="AG404" s="830"/>
    </row>
    <row r="405" spans="29:33" ht="15.75" customHeight="1" x14ac:dyDescent="0.25">
      <c r="AC405" s="824"/>
      <c r="AD405" s="830"/>
      <c r="AE405" s="830"/>
      <c r="AF405" s="830"/>
      <c r="AG405" s="830"/>
    </row>
    <row r="406" spans="29:33" ht="15.75" customHeight="1" x14ac:dyDescent="0.25">
      <c r="AC406" s="824"/>
      <c r="AD406" s="830"/>
      <c r="AE406" s="830"/>
      <c r="AF406" s="830"/>
      <c r="AG406" s="830"/>
    </row>
    <row r="407" spans="29:33" ht="15.75" customHeight="1" x14ac:dyDescent="0.25">
      <c r="AC407" s="824"/>
      <c r="AD407" s="830"/>
      <c r="AE407" s="830"/>
      <c r="AF407" s="830"/>
      <c r="AG407" s="830"/>
    </row>
    <row r="408" spans="29:33" ht="15.75" customHeight="1" x14ac:dyDescent="0.25">
      <c r="AC408" s="824"/>
      <c r="AD408" s="830"/>
      <c r="AE408" s="830"/>
      <c r="AF408" s="830"/>
      <c r="AG408" s="830"/>
    </row>
    <row r="409" spans="29:33" ht="15.75" customHeight="1" x14ac:dyDescent="0.25">
      <c r="AC409" s="824"/>
      <c r="AD409" s="830"/>
      <c r="AE409" s="830"/>
      <c r="AF409" s="830"/>
      <c r="AG409" s="830"/>
    </row>
    <row r="410" spans="29:33" ht="15.75" customHeight="1" x14ac:dyDescent="0.25">
      <c r="AC410" s="824"/>
      <c r="AD410" s="830"/>
      <c r="AE410" s="830"/>
      <c r="AF410" s="830"/>
      <c r="AG410" s="830"/>
    </row>
    <row r="411" spans="29:33" ht="15.75" customHeight="1" x14ac:dyDescent="0.25">
      <c r="AC411" s="824"/>
      <c r="AD411" s="830"/>
      <c r="AE411" s="830"/>
      <c r="AF411" s="830"/>
      <c r="AG411" s="830"/>
    </row>
    <row r="412" spans="29:33" ht="15.75" customHeight="1" x14ac:dyDescent="0.25">
      <c r="AC412" s="824"/>
      <c r="AD412" s="830"/>
      <c r="AE412" s="830"/>
      <c r="AF412" s="830"/>
      <c r="AG412" s="830"/>
    </row>
    <row r="413" spans="29:33" ht="15.75" customHeight="1" x14ac:dyDescent="0.25">
      <c r="AC413" s="824"/>
      <c r="AD413" s="830"/>
      <c r="AE413" s="830"/>
      <c r="AF413" s="830"/>
      <c r="AG413" s="830"/>
    </row>
    <row r="414" spans="29:33" ht="15.75" customHeight="1" x14ac:dyDescent="0.25">
      <c r="AC414" s="824"/>
      <c r="AD414" s="830"/>
      <c r="AE414" s="830"/>
      <c r="AF414" s="830"/>
      <c r="AG414" s="830"/>
    </row>
    <row r="415" spans="29:33" ht="15.75" customHeight="1" x14ac:dyDescent="0.25">
      <c r="AC415" s="824"/>
      <c r="AD415" s="830"/>
      <c r="AE415" s="830"/>
      <c r="AF415" s="830"/>
      <c r="AG415" s="830"/>
    </row>
    <row r="416" spans="29:33" ht="15.75" customHeight="1" x14ac:dyDescent="0.25">
      <c r="AC416" s="824"/>
      <c r="AD416" s="830"/>
      <c r="AE416" s="830"/>
      <c r="AF416" s="830"/>
      <c r="AG416" s="830"/>
    </row>
    <row r="417" spans="29:33" ht="15.75" customHeight="1" x14ac:dyDescent="0.25">
      <c r="AC417" s="824"/>
      <c r="AD417" s="830"/>
      <c r="AE417" s="830"/>
      <c r="AF417" s="830"/>
      <c r="AG417" s="830"/>
    </row>
    <row r="418" spans="29:33" ht="15.75" customHeight="1" x14ac:dyDescent="0.25">
      <c r="AC418" s="824"/>
      <c r="AD418" s="830"/>
      <c r="AE418" s="830"/>
      <c r="AF418" s="830"/>
      <c r="AG418" s="830"/>
    </row>
    <row r="419" spans="29:33" ht="15.75" customHeight="1" x14ac:dyDescent="0.25">
      <c r="AC419" s="824"/>
      <c r="AD419" s="830"/>
      <c r="AE419" s="830"/>
      <c r="AF419" s="830"/>
      <c r="AG419" s="830"/>
    </row>
    <row r="420" spans="29:33" ht="15.75" customHeight="1" x14ac:dyDescent="0.25">
      <c r="AC420" s="824"/>
      <c r="AD420" s="830"/>
      <c r="AE420" s="830"/>
      <c r="AF420" s="830"/>
      <c r="AG420" s="830"/>
    </row>
    <row r="421" spans="29:33" ht="15.75" customHeight="1" x14ac:dyDescent="0.25">
      <c r="AC421" s="824"/>
      <c r="AD421" s="830"/>
      <c r="AE421" s="830"/>
      <c r="AF421" s="830"/>
      <c r="AG421" s="830"/>
    </row>
    <row r="422" spans="29:33" ht="15.75" customHeight="1" x14ac:dyDescent="0.25">
      <c r="AC422" s="824"/>
      <c r="AD422" s="830"/>
      <c r="AE422" s="830"/>
      <c r="AF422" s="830"/>
      <c r="AG422" s="830"/>
    </row>
    <row r="423" spans="29:33" ht="15.75" customHeight="1" x14ac:dyDescent="0.25">
      <c r="AC423" s="824"/>
      <c r="AD423" s="830"/>
      <c r="AE423" s="830"/>
      <c r="AF423" s="830"/>
      <c r="AG423" s="830"/>
    </row>
    <row r="424" spans="29:33" ht="15.75" customHeight="1" x14ac:dyDescent="0.25">
      <c r="AC424" s="824"/>
      <c r="AD424" s="830"/>
      <c r="AE424" s="830"/>
      <c r="AF424" s="830"/>
      <c r="AG424" s="830"/>
    </row>
    <row r="425" spans="29:33" ht="15.75" customHeight="1" x14ac:dyDescent="0.25">
      <c r="AC425" s="824"/>
      <c r="AD425" s="830"/>
      <c r="AE425" s="830"/>
      <c r="AF425" s="830"/>
      <c r="AG425" s="830"/>
    </row>
    <row r="426" spans="29:33" ht="15.75" customHeight="1" x14ac:dyDescent="0.25">
      <c r="AC426" s="824"/>
      <c r="AD426" s="830"/>
      <c r="AE426" s="830"/>
      <c r="AF426" s="830"/>
      <c r="AG426" s="830"/>
    </row>
    <row r="427" spans="29:33" ht="15.75" customHeight="1" x14ac:dyDescent="0.25">
      <c r="AC427" s="824"/>
      <c r="AD427" s="830"/>
      <c r="AE427" s="830"/>
      <c r="AF427" s="830"/>
      <c r="AG427" s="830"/>
    </row>
    <row r="428" spans="29:33" ht="15.75" customHeight="1" x14ac:dyDescent="0.25">
      <c r="AC428" s="824"/>
      <c r="AD428" s="830"/>
      <c r="AE428" s="830"/>
      <c r="AF428" s="830"/>
      <c r="AG428" s="830"/>
    </row>
    <row r="429" spans="29:33" ht="15.75" customHeight="1" x14ac:dyDescent="0.25">
      <c r="AC429" s="824"/>
      <c r="AD429" s="830"/>
      <c r="AE429" s="830"/>
      <c r="AF429" s="830"/>
      <c r="AG429" s="830"/>
    </row>
    <row r="430" spans="29:33" ht="15.75" customHeight="1" x14ac:dyDescent="0.25">
      <c r="AC430" s="824"/>
      <c r="AD430" s="830"/>
      <c r="AE430" s="830"/>
      <c r="AF430" s="830"/>
      <c r="AG430" s="830"/>
    </row>
    <row r="431" spans="29:33" ht="15.75" customHeight="1" x14ac:dyDescent="0.25">
      <c r="AD431" s="819"/>
      <c r="AE431" s="819"/>
      <c r="AF431" s="819"/>
      <c r="AG431" s="819"/>
    </row>
    <row r="432" spans="29:33" ht="15.75" customHeight="1" x14ac:dyDescent="0.25">
      <c r="AD432" s="819"/>
      <c r="AE432" s="819"/>
      <c r="AF432" s="819"/>
      <c r="AG432" s="819"/>
    </row>
    <row r="433" spans="30:33" ht="15.75" customHeight="1" x14ac:dyDescent="0.25">
      <c r="AD433" s="819"/>
      <c r="AE433" s="819"/>
      <c r="AF433" s="819"/>
      <c r="AG433" s="819"/>
    </row>
    <row r="434" spans="30:33" ht="15.75" customHeight="1" x14ac:dyDescent="0.25">
      <c r="AD434" s="819"/>
      <c r="AE434" s="819"/>
      <c r="AF434" s="819"/>
      <c r="AG434" s="819"/>
    </row>
    <row r="435" spans="30:33" ht="15.75" customHeight="1" x14ac:dyDescent="0.25">
      <c r="AD435" s="819"/>
      <c r="AE435" s="819"/>
      <c r="AF435" s="819"/>
      <c r="AG435" s="819"/>
    </row>
    <row r="436" spans="30:33" ht="15.75" customHeight="1" x14ac:dyDescent="0.25">
      <c r="AD436" s="819"/>
      <c r="AE436" s="819"/>
      <c r="AF436" s="819"/>
      <c r="AG436" s="819"/>
    </row>
    <row r="437" spans="30:33" ht="15.75" customHeight="1" x14ac:dyDescent="0.25">
      <c r="AD437" s="819"/>
      <c r="AE437" s="819"/>
      <c r="AF437" s="819"/>
      <c r="AG437" s="819"/>
    </row>
    <row r="438" spans="30:33" ht="15.75" customHeight="1" x14ac:dyDescent="0.25">
      <c r="AD438" s="819"/>
      <c r="AE438" s="819"/>
      <c r="AF438" s="819"/>
      <c r="AG438" s="819"/>
    </row>
    <row r="439" spans="30:33" ht="15.75" customHeight="1" x14ac:dyDescent="0.25">
      <c r="AD439" s="819"/>
      <c r="AE439" s="819"/>
      <c r="AF439" s="819"/>
      <c r="AG439" s="819"/>
    </row>
    <row r="440" spans="30:33" ht="15.75" customHeight="1" x14ac:dyDescent="0.25">
      <c r="AD440" s="819"/>
      <c r="AE440" s="819"/>
      <c r="AF440" s="819"/>
      <c r="AG440" s="819"/>
    </row>
    <row r="441" spans="30:33" ht="15.75" customHeight="1" x14ac:dyDescent="0.25">
      <c r="AD441" s="819"/>
      <c r="AE441" s="819"/>
      <c r="AF441" s="819"/>
      <c r="AG441" s="819"/>
    </row>
    <row r="442" spans="30:33" ht="15.75" customHeight="1" x14ac:dyDescent="0.25">
      <c r="AD442" s="819"/>
      <c r="AE442" s="819"/>
      <c r="AF442" s="819"/>
      <c r="AG442" s="819"/>
    </row>
    <row r="443" spans="30:33" ht="15.75" customHeight="1" x14ac:dyDescent="0.25">
      <c r="AD443" s="819"/>
      <c r="AE443" s="819"/>
      <c r="AF443" s="819"/>
      <c r="AG443" s="819"/>
    </row>
    <row r="444" spans="30:33" ht="15.75" customHeight="1" x14ac:dyDescent="0.25">
      <c r="AD444" s="819"/>
      <c r="AE444" s="819"/>
      <c r="AF444" s="819"/>
      <c r="AG444" s="819"/>
    </row>
    <row r="445" spans="30:33" ht="15.75" customHeight="1" x14ac:dyDescent="0.25">
      <c r="AD445" s="819"/>
      <c r="AE445" s="819"/>
      <c r="AF445" s="819"/>
      <c r="AG445" s="819"/>
    </row>
    <row r="446" spans="30:33" ht="15.75" customHeight="1" x14ac:dyDescent="0.25">
      <c r="AD446" s="819"/>
      <c r="AE446" s="819"/>
      <c r="AF446" s="819"/>
      <c r="AG446" s="819"/>
    </row>
    <row r="447" spans="30:33" ht="15.75" customHeight="1" x14ac:dyDescent="0.25">
      <c r="AD447" s="819"/>
      <c r="AE447" s="819"/>
      <c r="AF447" s="819"/>
      <c r="AG447" s="819"/>
    </row>
    <row r="448" spans="30:33" ht="15.75" customHeight="1" x14ac:dyDescent="0.25">
      <c r="AD448" s="819"/>
      <c r="AE448" s="819"/>
      <c r="AF448" s="819"/>
      <c r="AG448" s="819"/>
    </row>
    <row r="449" spans="30:33" ht="15.75" customHeight="1" x14ac:dyDescent="0.25">
      <c r="AD449" s="819"/>
      <c r="AE449" s="819"/>
      <c r="AF449" s="819"/>
      <c r="AG449" s="819"/>
    </row>
    <row r="450" spans="30:33" ht="15.75" customHeight="1" x14ac:dyDescent="0.25">
      <c r="AD450" s="819"/>
      <c r="AE450" s="819"/>
      <c r="AF450" s="819"/>
      <c r="AG450" s="819"/>
    </row>
    <row r="451" spans="30:33" ht="15.75" customHeight="1" x14ac:dyDescent="0.25">
      <c r="AD451" s="819"/>
      <c r="AE451" s="819"/>
      <c r="AF451" s="819"/>
      <c r="AG451" s="819"/>
    </row>
    <row r="452" spans="30:33" ht="15.75" customHeight="1" x14ac:dyDescent="0.25">
      <c r="AD452" s="819"/>
      <c r="AE452" s="819"/>
      <c r="AF452" s="819"/>
      <c r="AG452" s="819"/>
    </row>
    <row r="453" spans="30:33" ht="15.75" customHeight="1" x14ac:dyDescent="0.25">
      <c r="AD453" s="819"/>
      <c r="AE453" s="819"/>
      <c r="AF453" s="819"/>
      <c r="AG453" s="819"/>
    </row>
    <row r="454" spans="30:33" ht="15.75" customHeight="1" x14ac:dyDescent="0.25">
      <c r="AD454" s="819"/>
      <c r="AE454" s="819"/>
      <c r="AF454" s="819"/>
      <c r="AG454" s="819"/>
    </row>
    <row r="455" spans="30:33" ht="15.75" customHeight="1" x14ac:dyDescent="0.25">
      <c r="AD455" s="819"/>
      <c r="AE455" s="819"/>
      <c r="AF455" s="819"/>
      <c r="AG455" s="819"/>
    </row>
    <row r="456" spans="30:33" ht="15.75" customHeight="1" x14ac:dyDescent="0.25">
      <c r="AD456" s="819"/>
      <c r="AE456" s="819"/>
      <c r="AF456" s="819"/>
      <c r="AG456" s="819"/>
    </row>
    <row r="457" spans="30:33" ht="15.75" customHeight="1" x14ac:dyDescent="0.25">
      <c r="AD457" s="819"/>
      <c r="AE457" s="819"/>
      <c r="AF457" s="819"/>
      <c r="AG457" s="819"/>
    </row>
    <row r="458" spans="30:33" ht="15.75" customHeight="1" x14ac:dyDescent="0.25">
      <c r="AD458" s="819"/>
      <c r="AE458" s="819"/>
      <c r="AF458" s="819"/>
      <c r="AG458" s="819"/>
    </row>
    <row r="459" spans="30:33" ht="15.75" customHeight="1" x14ac:dyDescent="0.25">
      <c r="AD459" s="819"/>
      <c r="AE459" s="819"/>
      <c r="AF459" s="819"/>
      <c r="AG459" s="819"/>
    </row>
    <row r="460" spans="30:33" ht="15.75" customHeight="1" x14ac:dyDescent="0.25">
      <c r="AD460" s="819"/>
      <c r="AE460" s="819"/>
      <c r="AF460" s="819"/>
      <c r="AG460" s="819"/>
    </row>
    <row r="461" spans="30:33" ht="15.75" customHeight="1" x14ac:dyDescent="0.25">
      <c r="AD461" s="819"/>
      <c r="AE461" s="819"/>
      <c r="AF461" s="819"/>
      <c r="AG461" s="819"/>
    </row>
    <row r="462" spans="30:33" ht="15.75" customHeight="1" x14ac:dyDescent="0.25">
      <c r="AD462" s="819"/>
      <c r="AE462" s="819"/>
      <c r="AF462" s="819"/>
      <c r="AG462" s="819"/>
    </row>
    <row r="463" spans="30:33" ht="15.75" customHeight="1" x14ac:dyDescent="0.25">
      <c r="AD463" s="819"/>
      <c r="AE463" s="819"/>
      <c r="AF463" s="819"/>
      <c r="AG463" s="819"/>
    </row>
    <row r="464" spans="30:33" ht="15.75" customHeight="1" x14ac:dyDescent="0.25">
      <c r="AD464" s="819"/>
      <c r="AE464" s="819"/>
      <c r="AF464" s="819"/>
      <c r="AG464" s="819"/>
    </row>
    <row r="465" spans="30:33" ht="15.75" customHeight="1" x14ac:dyDescent="0.25">
      <c r="AD465" s="819"/>
      <c r="AE465" s="819"/>
      <c r="AF465" s="819"/>
      <c r="AG465" s="819"/>
    </row>
    <row r="466" spans="30:33" ht="15.75" customHeight="1" x14ac:dyDescent="0.25">
      <c r="AD466" s="819"/>
      <c r="AE466" s="819"/>
      <c r="AF466" s="819"/>
      <c r="AG466" s="819"/>
    </row>
    <row r="467" spans="30:33" ht="15.75" customHeight="1" x14ac:dyDescent="0.25">
      <c r="AD467" s="819"/>
      <c r="AE467" s="819"/>
      <c r="AF467" s="819"/>
      <c r="AG467" s="819"/>
    </row>
    <row r="468" spans="30:33" ht="15.75" customHeight="1" x14ac:dyDescent="0.25">
      <c r="AD468" s="819"/>
      <c r="AE468" s="819"/>
      <c r="AF468" s="819"/>
      <c r="AG468" s="819"/>
    </row>
    <row r="469" spans="30:33" ht="15.75" customHeight="1" x14ac:dyDescent="0.25">
      <c r="AD469" s="819"/>
      <c r="AE469" s="819"/>
      <c r="AF469" s="819"/>
      <c r="AG469" s="819"/>
    </row>
    <row r="470" spans="30:33" ht="15.75" customHeight="1" x14ac:dyDescent="0.25">
      <c r="AD470" s="819"/>
      <c r="AE470" s="819"/>
      <c r="AF470" s="819"/>
      <c r="AG470" s="819"/>
    </row>
    <row r="471" spans="30:33" ht="15.75" customHeight="1" x14ac:dyDescent="0.25">
      <c r="AD471" s="819"/>
      <c r="AE471" s="819"/>
      <c r="AF471" s="819"/>
      <c r="AG471" s="819"/>
    </row>
    <row r="472" spans="30:33" ht="15.75" customHeight="1" x14ac:dyDescent="0.25">
      <c r="AD472" s="819"/>
      <c r="AE472" s="819"/>
      <c r="AF472" s="819"/>
      <c r="AG472" s="819"/>
    </row>
    <row r="473" spans="30:33" ht="15.75" customHeight="1" x14ac:dyDescent="0.25">
      <c r="AD473" s="819"/>
      <c r="AE473" s="819"/>
      <c r="AF473" s="819"/>
      <c r="AG473" s="819"/>
    </row>
    <row r="474" spans="30:33" ht="15.75" customHeight="1" x14ac:dyDescent="0.25">
      <c r="AD474" s="819"/>
      <c r="AE474" s="819"/>
      <c r="AF474" s="819"/>
      <c r="AG474" s="819"/>
    </row>
    <row r="475" spans="30:33" ht="15.75" customHeight="1" x14ac:dyDescent="0.25">
      <c r="AD475" s="819"/>
      <c r="AE475" s="819"/>
      <c r="AF475" s="819"/>
      <c r="AG475" s="819"/>
    </row>
    <row r="476" spans="30:33" ht="15.75" customHeight="1" x14ac:dyDescent="0.25">
      <c r="AD476" s="819"/>
      <c r="AE476" s="819"/>
      <c r="AF476" s="819"/>
      <c r="AG476" s="819"/>
    </row>
    <row r="477" spans="30:33" ht="15.75" customHeight="1" x14ac:dyDescent="0.25">
      <c r="AD477" s="819"/>
      <c r="AE477" s="819"/>
      <c r="AF477" s="819"/>
      <c r="AG477" s="819"/>
    </row>
    <row r="478" spans="30:33" ht="15.75" customHeight="1" x14ac:dyDescent="0.25">
      <c r="AD478" s="819"/>
      <c r="AE478" s="819"/>
      <c r="AF478" s="819"/>
      <c r="AG478" s="819"/>
    </row>
    <row r="479" spans="30:33" ht="15.75" customHeight="1" x14ac:dyDescent="0.25">
      <c r="AD479" s="819"/>
      <c r="AE479" s="819"/>
      <c r="AF479" s="819"/>
      <c r="AG479" s="819"/>
    </row>
    <row r="480" spans="30:33" ht="15.75" customHeight="1" x14ac:dyDescent="0.25">
      <c r="AD480" s="819"/>
      <c r="AE480" s="819"/>
      <c r="AF480" s="819"/>
      <c r="AG480" s="819"/>
    </row>
    <row r="481" spans="30:33" ht="15.75" customHeight="1" x14ac:dyDescent="0.25">
      <c r="AD481" s="819"/>
      <c r="AE481" s="819"/>
      <c r="AF481" s="819"/>
      <c r="AG481" s="819"/>
    </row>
    <row r="482" spans="30:33" ht="15.75" customHeight="1" x14ac:dyDescent="0.25">
      <c r="AD482" s="819"/>
      <c r="AE482" s="819"/>
      <c r="AF482" s="819"/>
      <c r="AG482" s="819"/>
    </row>
    <row r="483" spans="30:33" ht="15.75" customHeight="1" x14ac:dyDescent="0.25">
      <c r="AD483" s="819"/>
      <c r="AE483" s="819"/>
      <c r="AF483" s="819"/>
      <c r="AG483" s="819"/>
    </row>
    <row r="484" spans="30:33" ht="15.75" customHeight="1" x14ac:dyDescent="0.25">
      <c r="AD484" s="819"/>
      <c r="AE484" s="819"/>
      <c r="AF484" s="819"/>
      <c r="AG484" s="819"/>
    </row>
    <row r="485" spans="30:33" ht="15.75" customHeight="1" x14ac:dyDescent="0.25">
      <c r="AD485" s="819"/>
      <c r="AE485" s="819"/>
      <c r="AF485" s="819"/>
      <c r="AG485" s="819"/>
    </row>
    <row r="486" spans="30:33" ht="15.75" customHeight="1" x14ac:dyDescent="0.25">
      <c r="AD486" s="819"/>
      <c r="AE486" s="819"/>
      <c r="AF486" s="819"/>
      <c r="AG486" s="819"/>
    </row>
    <row r="487" spans="30:33" ht="15.75" customHeight="1" x14ac:dyDescent="0.25">
      <c r="AD487" s="819"/>
      <c r="AE487" s="819"/>
      <c r="AF487" s="819"/>
      <c r="AG487" s="819"/>
    </row>
    <row r="488" spans="30:33" ht="15.75" customHeight="1" x14ac:dyDescent="0.25">
      <c r="AD488" s="819"/>
      <c r="AE488" s="819"/>
      <c r="AF488" s="819"/>
      <c r="AG488" s="819"/>
    </row>
    <row r="489" spans="30:33" ht="15.75" customHeight="1" x14ac:dyDescent="0.25">
      <c r="AD489" s="819"/>
      <c r="AE489" s="819"/>
      <c r="AF489" s="819"/>
      <c r="AG489" s="819"/>
    </row>
    <row r="490" spans="30:33" ht="15.75" customHeight="1" x14ac:dyDescent="0.25">
      <c r="AD490" s="819"/>
      <c r="AE490" s="819"/>
      <c r="AF490" s="819"/>
      <c r="AG490" s="819"/>
    </row>
    <row r="491" spans="30:33" ht="15.75" customHeight="1" x14ac:dyDescent="0.25">
      <c r="AD491" s="819"/>
      <c r="AE491" s="819"/>
      <c r="AF491" s="819"/>
      <c r="AG491" s="819"/>
    </row>
    <row r="492" spans="30:33" ht="15.75" customHeight="1" x14ac:dyDescent="0.25">
      <c r="AD492" s="819"/>
      <c r="AE492" s="819"/>
      <c r="AF492" s="819"/>
      <c r="AG492" s="819"/>
    </row>
    <row r="493" spans="30:33" ht="15.75" customHeight="1" x14ac:dyDescent="0.25">
      <c r="AD493" s="819"/>
      <c r="AE493" s="819"/>
      <c r="AF493" s="819"/>
      <c r="AG493" s="819"/>
    </row>
    <row r="494" spans="30:33" ht="15.75" customHeight="1" x14ac:dyDescent="0.25">
      <c r="AD494" s="819"/>
      <c r="AE494" s="819"/>
      <c r="AF494" s="819"/>
      <c r="AG494" s="819"/>
    </row>
    <row r="495" spans="30:33" ht="15.75" customHeight="1" x14ac:dyDescent="0.25">
      <c r="AD495" s="819"/>
      <c r="AE495" s="819"/>
      <c r="AF495" s="819"/>
      <c r="AG495" s="819"/>
    </row>
    <row r="496" spans="30:33" ht="15.75" customHeight="1" x14ac:dyDescent="0.25">
      <c r="AD496" s="819"/>
      <c r="AE496" s="819"/>
      <c r="AF496" s="819"/>
      <c r="AG496" s="819"/>
    </row>
    <row r="497" spans="30:33" ht="15.75" customHeight="1" x14ac:dyDescent="0.25">
      <c r="AD497" s="819"/>
      <c r="AE497" s="819"/>
      <c r="AF497" s="819"/>
      <c r="AG497" s="819"/>
    </row>
    <row r="498" spans="30:33" ht="15.75" customHeight="1" x14ac:dyDescent="0.25">
      <c r="AD498" s="819"/>
      <c r="AE498" s="819"/>
      <c r="AF498" s="819"/>
      <c r="AG498" s="819"/>
    </row>
    <row r="499" spans="30:33" ht="15.75" customHeight="1" x14ac:dyDescent="0.25">
      <c r="AD499" s="819"/>
      <c r="AE499" s="819"/>
      <c r="AF499" s="819"/>
      <c r="AG499" s="819"/>
    </row>
    <row r="500" spans="30:33" ht="15.75" customHeight="1" x14ac:dyDescent="0.25">
      <c r="AD500" s="819"/>
      <c r="AE500" s="819"/>
      <c r="AF500" s="819"/>
      <c r="AG500" s="819"/>
    </row>
    <row r="501" spans="30:33" ht="15.75" customHeight="1" x14ac:dyDescent="0.25">
      <c r="AD501" s="819"/>
      <c r="AE501" s="819"/>
      <c r="AF501" s="819"/>
      <c r="AG501" s="819"/>
    </row>
    <row r="502" spans="30:33" ht="15.75" customHeight="1" x14ac:dyDescent="0.25">
      <c r="AD502" s="819"/>
      <c r="AE502" s="819"/>
      <c r="AF502" s="819"/>
      <c r="AG502" s="819"/>
    </row>
    <row r="503" spans="30:33" ht="15.75" customHeight="1" x14ac:dyDescent="0.25">
      <c r="AD503" s="819"/>
      <c r="AE503" s="819"/>
      <c r="AF503" s="819"/>
      <c r="AG503" s="819"/>
    </row>
    <row r="504" spans="30:33" ht="15.75" customHeight="1" x14ac:dyDescent="0.25">
      <c r="AD504" s="819"/>
      <c r="AE504" s="819"/>
      <c r="AF504" s="819"/>
      <c r="AG504" s="819"/>
    </row>
    <row r="505" spans="30:33" ht="15.75" customHeight="1" x14ac:dyDescent="0.25">
      <c r="AD505" s="819"/>
      <c r="AE505" s="819"/>
      <c r="AF505" s="819"/>
      <c r="AG505" s="819"/>
    </row>
    <row r="506" spans="30:33" ht="15.75" customHeight="1" x14ac:dyDescent="0.25">
      <c r="AD506" s="819"/>
      <c r="AE506" s="819"/>
      <c r="AF506" s="819"/>
      <c r="AG506" s="819"/>
    </row>
    <row r="507" spans="30:33" ht="15.75" customHeight="1" x14ac:dyDescent="0.25">
      <c r="AD507" s="819"/>
      <c r="AE507" s="819"/>
      <c r="AF507" s="819"/>
      <c r="AG507" s="819"/>
    </row>
    <row r="508" spans="30:33" ht="15.75" customHeight="1" x14ac:dyDescent="0.25">
      <c r="AD508" s="819"/>
      <c r="AE508" s="819"/>
      <c r="AF508" s="819"/>
      <c r="AG508" s="819"/>
    </row>
    <row r="509" spans="30:33" ht="15.75" customHeight="1" x14ac:dyDescent="0.25">
      <c r="AD509" s="819"/>
      <c r="AE509" s="819"/>
      <c r="AF509" s="819"/>
      <c r="AG509" s="819"/>
    </row>
    <row r="510" spans="30:33" ht="15.75" customHeight="1" x14ac:dyDescent="0.25">
      <c r="AD510" s="819"/>
      <c r="AE510" s="819"/>
      <c r="AF510" s="819"/>
      <c r="AG510" s="819"/>
    </row>
    <row r="511" spans="30:33" ht="15.75" customHeight="1" x14ac:dyDescent="0.25">
      <c r="AD511" s="819"/>
      <c r="AE511" s="819"/>
      <c r="AF511" s="819"/>
      <c r="AG511" s="819"/>
    </row>
    <row r="512" spans="30:33" ht="15.75" customHeight="1" x14ac:dyDescent="0.25">
      <c r="AD512" s="819"/>
      <c r="AE512" s="819"/>
      <c r="AF512" s="819"/>
      <c r="AG512" s="819"/>
    </row>
    <row r="513" spans="30:33" ht="15.75" customHeight="1" x14ac:dyDescent="0.25">
      <c r="AD513" s="819"/>
      <c r="AE513" s="819"/>
      <c r="AF513" s="819"/>
      <c r="AG513" s="819"/>
    </row>
    <row r="514" spans="30:33" ht="15.75" customHeight="1" x14ac:dyDescent="0.25">
      <c r="AD514" s="819"/>
      <c r="AE514" s="819"/>
      <c r="AF514" s="819"/>
      <c r="AG514" s="819"/>
    </row>
    <row r="515" spans="30:33" ht="15.75" customHeight="1" x14ac:dyDescent="0.25">
      <c r="AD515" s="819"/>
      <c r="AE515" s="819"/>
      <c r="AF515" s="819"/>
      <c r="AG515" s="819"/>
    </row>
    <row r="516" spans="30:33" ht="15.75" customHeight="1" x14ac:dyDescent="0.25">
      <c r="AD516" s="819"/>
      <c r="AE516" s="819"/>
      <c r="AF516" s="819"/>
      <c r="AG516" s="819"/>
    </row>
    <row r="517" spans="30:33" ht="15.75" customHeight="1" x14ac:dyDescent="0.25">
      <c r="AD517" s="819"/>
      <c r="AE517" s="819"/>
      <c r="AF517" s="819"/>
      <c r="AG517" s="819"/>
    </row>
    <row r="518" spans="30:33" ht="15.75" customHeight="1" x14ac:dyDescent="0.25">
      <c r="AD518" s="819"/>
      <c r="AE518" s="819"/>
      <c r="AF518" s="819"/>
      <c r="AG518" s="819"/>
    </row>
    <row r="519" spans="30:33" ht="15.75" customHeight="1" x14ac:dyDescent="0.25">
      <c r="AD519" s="819"/>
      <c r="AE519" s="819"/>
      <c r="AF519" s="819"/>
      <c r="AG519" s="819"/>
    </row>
    <row r="520" spans="30:33" ht="15.75" customHeight="1" x14ac:dyDescent="0.25">
      <c r="AD520" s="819"/>
      <c r="AE520" s="819"/>
      <c r="AF520" s="819"/>
      <c r="AG520" s="819"/>
    </row>
    <row r="521" spans="30:33" ht="15.75" customHeight="1" x14ac:dyDescent="0.25">
      <c r="AD521" s="819"/>
      <c r="AE521" s="819"/>
      <c r="AF521" s="819"/>
      <c r="AG521" s="819"/>
    </row>
    <row r="522" spans="30:33" ht="15.75" customHeight="1" x14ac:dyDescent="0.25">
      <c r="AD522" s="819"/>
      <c r="AE522" s="819"/>
      <c r="AF522" s="819"/>
      <c r="AG522" s="819"/>
    </row>
    <row r="523" spans="30:33" ht="15.75" customHeight="1" x14ac:dyDescent="0.25">
      <c r="AD523" s="819"/>
      <c r="AE523" s="819"/>
      <c r="AF523" s="819"/>
      <c r="AG523" s="819"/>
    </row>
    <row r="524" spans="30:33" ht="15.75" customHeight="1" x14ac:dyDescent="0.25">
      <c r="AD524" s="819"/>
      <c r="AE524" s="819"/>
      <c r="AF524" s="819"/>
      <c r="AG524" s="819"/>
    </row>
    <row r="525" spans="30:33" ht="15.75" customHeight="1" x14ac:dyDescent="0.25">
      <c r="AD525" s="819"/>
      <c r="AE525" s="819"/>
      <c r="AF525" s="819"/>
      <c r="AG525" s="819"/>
    </row>
    <row r="526" spans="30:33" ht="15.75" customHeight="1" x14ac:dyDescent="0.25">
      <c r="AD526" s="819"/>
      <c r="AE526" s="819"/>
      <c r="AF526" s="819"/>
      <c r="AG526" s="819"/>
    </row>
    <row r="527" spans="30:33" ht="15.75" customHeight="1" x14ac:dyDescent="0.25">
      <c r="AD527" s="819"/>
      <c r="AE527" s="819"/>
      <c r="AF527" s="819"/>
      <c r="AG527" s="819"/>
    </row>
    <row r="528" spans="30:33" ht="15.75" customHeight="1" x14ac:dyDescent="0.25">
      <c r="AD528" s="819"/>
      <c r="AE528" s="819"/>
      <c r="AF528" s="819"/>
      <c r="AG528" s="819"/>
    </row>
    <row r="529" spans="30:33" ht="15.75" customHeight="1" x14ac:dyDescent="0.25">
      <c r="AD529" s="819"/>
      <c r="AE529" s="819"/>
      <c r="AF529" s="819"/>
      <c r="AG529" s="819"/>
    </row>
    <row r="530" spans="30:33" ht="15.75" customHeight="1" x14ac:dyDescent="0.25">
      <c r="AD530" s="819"/>
      <c r="AE530" s="819"/>
      <c r="AF530" s="819"/>
      <c r="AG530" s="819"/>
    </row>
    <row r="531" spans="30:33" ht="15.75" customHeight="1" x14ac:dyDescent="0.25">
      <c r="AD531" s="819"/>
      <c r="AE531" s="819"/>
      <c r="AF531" s="819"/>
      <c r="AG531" s="819"/>
    </row>
    <row r="532" spans="30:33" ht="15.75" customHeight="1" x14ac:dyDescent="0.25">
      <c r="AD532" s="819"/>
      <c r="AE532" s="819"/>
      <c r="AF532" s="819"/>
      <c r="AG532" s="819"/>
    </row>
    <row r="533" spans="30:33" ht="15.75" customHeight="1" x14ac:dyDescent="0.25">
      <c r="AD533" s="819"/>
      <c r="AE533" s="819"/>
      <c r="AF533" s="819"/>
      <c r="AG533" s="819"/>
    </row>
    <row r="534" spans="30:33" ht="15.75" customHeight="1" x14ac:dyDescent="0.25">
      <c r="AD534" s="819"/>
      <c r="AE534" s="819"/>
      <c r="AF534" s="819"/>
      <c r="AG534" s="819"/>
    </row>
    <row r="535" spans="30:33" ht="15.75" customHeight="1" x14ac:dyDescent="0.25">
      <c r="AD535" s="819"/>
      <c r="AE535" s="819"/>
      <c r="AF535" s="819"/>
      <c r="AG535" s="819"/>
    </row>
    <row r="536" spans="30:33" ht="15.75" customHeight="1" x14ac:dyDescent="0.25">
      <c r="AD536" s="819"/>
      <c r="AE536" s="819"/>
      <c r="AF536" s="819"/>
      <c r="AG536" s="819"/>
    </row>
    <row r="537" spans="30:33" ht="15.75" customHeight="1" x14ac:dyDescent="0.25">
      <c r="AD537" s="819"/>
      <c r="AE537" s="819"/>
      <c r="AF537" s="819"/>
      <c r="AG537" s="819"/>
    </row>
    <row r="538" spans="30:33" ht="15.75" customHeight="1" x14ac:dyDescent="0.25">
      <c r="AD538" s="819"/>
      <c r="AE538" s="819"/>
      <c r="AF538" s="819"/>
      <c r="AG538" s="819"/>
    </row>
    <row r="539" spans="30:33" ht="15.75" customHeight="1" x14ac:dyDescent="0.25">
      <c r="AD539" s="819"/>
      <c r="AE539" s="819"/>
      <c r="AF539" s="819"/>
      <c r="AG539" s="819"/>
    </row>
    <row r="540" spans="30:33" ht="15.75" customHeight="1" x14ac:dyDescent="0.25">
      <c r="AD540" s="819"/>
      <c r="AE540" s="819"/>
      <c r="AF540" s="819"/>
      <c r="AG540" s="819"/>
    </row>
    <row r="541" spans="30:33" ht="15.75" customHeight="1" x14ac:dyDescent="0.25">
      <c r="AD541" s="819"/>
      <c r="AE541" s="819"/>
      <c r="AF541" s="819"/>
      <c r="AG541" s="819"/>
    </row>
    <row r="542" spans="30:33" ht="15.75" customHeight="1" x14ac:dyDescent="0.25">
      <c r="AD542" s="819"/>
      <c r="AE542" s="819"/>
      <c r="AF542" s="819"/>
      <c r="AG542" s="819"/>
    </row>
    <row r="543" spans="30:33" ht="15.75" customHeight="1" x14ac:dyDescent="0.25">
      <c r="AD543" s="819"/>
      <c r="AE543" s="819"/>
      <c r="AF543" s="819"/>
      <c r="AG543" s="819"/>
    </row>
    <row r="544" spans="30:33" ht="15.75" customHeight="1" x14ac:dyDescent="0.25">
      <c r="AD544" s="819"/>
      <c r="AE544" s="819"/>
      <c r="AF544" s="819"/>
      <c r="AG544" s="819"/>
    </row>
    <row r="545" spans="30:33" ht="15.75" customHeight="1" x14ac:dyDescent="0.25">
      <c r="AD545" s="819"/>
      <c r="AE545" s="819"/>
      <c r="AF545" s="819"/>
      <c r="AG545" s="819"/>
    </row>
    <row r="546" spans="30:33" ht="15.75" customHeight="1" x14ac:dyDescent="0.25">
      <c r="AD546" s="819"/>
      <c r="AE546" s="819"/>
      <c r="AF546" s="819"/>
      <c r="AG546" s="819"/>
    </row>
    <row r="547" spans="30:33" ht="15.75" customHeight="1" x14ac:dyDescent="0.25">
      <c r="AD547" s="819"/>
      <c r="AE547" s="819"/>
      <c r="AF547" s="819"/>
      <c r="AG547" s="819"/>
    </row>
    <row r="548" spans="30:33" ht="15.75" customHeight="1" x14ac:dyDescent="0.25">
      <c r="AD548" s="819"/>
      <c r="AE548" s="819"/>
      <c r="AF548" s="819"/>
      <c r="AG548" s="819"/>
    </row>
    <row r="549" spans="30:33" ht="15.75" customHeight="1" x14ac:dyDescent="0.25">
      <c r="AD549" s="819"/>
      <c r="AE549" s="819"/>
      <c r="AF549" s="819"/>
      <c r="AG549" s="819"/>
    </row>
    <row r="550" spans="30:33" ht="15.75" customHeight="1" x14ac:dyDescent="0.25">
      <c r="AD550" s="819"/>
      <c r="AE550" s="819"/>
      <c r="AF550" s="819"/>
      <c r="AG550" s="819"/>
    </row>
    <row r="551" spans="30:33" ht="15.75" customHeight="1" x14ac:dyDescent="0.25">
      <c r="AD551" s="819"/>
      <c r="AE551" s="819"/>
      <c r="AF551" s="819"/>
      <c r="AG551" s="819"/>
    </row>
    <row r="552" spans="30:33" ht="15.75" customHeight="1" x14ac:dyDescent="0.25">
      <c r="AD552" s="819"/>
      <c r="AE552" s="819"/>
      <c r="AF552" s="819"/>
      <c r="AG552" s="819"/>
    </row>
    <row r="553" spans="30:33" ht="15.75" customHeight="1" x14ac:dyDescent="0.25">
      <c r="AD553" s="819"/>
      <c r="AE553" s="819"/>
      <c r="AF553" s="819"/>
      <c r="AG553" s="819"/>
    </row>
    <row r="554" spans="30:33" ht="15.75" customHeight="1" x14ac:dyDescent="0.25">
      <c r="AD554" s="819"/>
      <c r="AE554" s="819"/>
      <c r="AF554" s="819"/>
      <c r="AG554" s="819"/>
    </row>
    <row r="555" spans="30:33" ht="15.75" customHeight="1" x14ac:dyDescent="0.25">
      <c r="AD555" s="819"/>
      <c r="AE555" s="819"/>
      <c r="AF555" s="819"/>
      <c r="AG555" s="819"/>
    </row>
    <row r="556" spans="30:33" ht="15.75" customHeight="1" x14ac:dyDescent="0.25">
      <c r="AD556" s="819"/>
      <c r="AE556" s="819"/>
      <c r="AF556" s="819"/>
      <c r="AG556" s="819"/>
    </row>
    <row r="557" spans="30:33" ht="15.75" customHeight="1" x14ac:dyDescent="0.25">
      <c r="AD557" s="819"/>
      <c r="AE557" s="819"/>
      <c r="AF557" s="819"/>
      <c r="AG557" s="819"/>
    </row>
    <row r="558" spans="30:33" ht="15.75" customHeight="1" x14ac:dyDescent="0.25">
      <c r="AD558" s="819"/>
      <c r="AE558" s="819"/>
      <c r="AF558" s="819"/>
      <c r="AG558" s="819"/>
    </row>
    <row r="559" spans="30:33" ht="15.75" customHeight="1" x14ac:dyDescent="0.25">
      <c r="AD559" s="819"/>
      <c r="AE559" s="819"/>
      <c r="AF559" s="819"/>
      <c r="AG559" s="819"/>
    </row>
    <row r="560" spans="30:33" ht="15.75" customHeight="1" x14ac:dyDescent="0.25">
      <c r="AD560" s="819"/>
      <c r="AE560" s="819"/>
      <c r="AF560" s="819"/>
      <c r="AG560" s="819"/>
    </row>
    <row r="561" spans="30:33" ht="15.75" customHeight="1" x14ac:dyDescent="0.25">
      <c r="AD561" s="819"/>
      <c r="AE561" s="819"/>
      <c r="AF561" s="819"/>
      <c r="AG561" s="819"/>
    </row>
    <row r="562" spans="30:33" ht="15.75" customHeight="1" x14ac:dyDescent="0.25">
      <c r="AD562" s="819"/>
      <c r="AE562" s="819"/>
      <c r="AF562" s="819"/>
      <c r="AG562" s="819"/>
    </row>
    <row r="563" spans="30:33" ht="15.75" customHeight="1" x14ac:dyDescent="0.25">
      <c r="AD563" s="819"/>
      <c r="AE563" s="819"/>
      <c r="AF563" s="819"/>
      <c r="AG563" s="819"/>
    </row>
    <row r="564" spans="30:33" ht="15.75" customHeight="1" x14ac:dyDescent="0.25">
      <c r="AD564" s="819"/>
      <c r="AE564" s="819"/>
      <c r="AF564" s="819"/>
      <c r="AG564" s="819"/>
    </row>
    <row r="565" spans="30:33" ht="15.75" customHeight="1" x14ac:dyDescent="0.25">
      <c r="AD565" s="819"/>
      <c r="AE565" s="819"/>
      <c r="AF565" s="819"/>
      <c r="AG565" s="819"/>
    </row>
    <row r="566" spans="30:33" ht="15.75" customHeight="1" x14ac:dyDescent="0.25">
      <c r="AD566" s="819"/>
      <c r="AE566" s="819"/>
      <c r="AF566" s="819"/>
      <c r="AG566" s="819"/>
    </row>
    <row r="567" spans="30:33" ht="15.75" customHeight="1" x14ac:dyDescent="0.25">
      <c r="AD567" s="819"/>
      <c r="AE567" s="819"/>
      <c r="AF567" s="819"/>
      <c r="AG567" s="819"/>
    </row>
    <row r="568" spans="30:33" ht="15.75" customHeight="1" x14ac:dyDescent="0.25">
      <c r="AD568" s="819"/>
      <c r="AE568" s="819"/>
      <c r="AF568" s="819"/>
      <c r="AG568" s="819"/>
    </row>
    <row r="569" spans="30:33" ht="15.75" customHeight="1" x14ac:dyDescent="0.25">
      <c r="AD569" s="819"/>
      <c r="AE569" s="819"/>
      <c r="AF569" s="819"/>
      <c r="AG569" s="819"/>
    </row>
    <row r="570" spans="30:33" ht="15.75" customHeight="1" x14ac:dyDescent="0.25">
      <c r="AD570" s="819"/>
      <c r="AE570" s="819"/>
      <c r="AF570" s="819"/>
      <c r="AG570" s="819"/>
    </row>
    <row r="571" spans="30:33" ht="15.75" customHeight="1" x14ac:dyDescent="0.25">
      <c r="AD571" s="819"/>
      <c r="AE571" s="819"/>
      <c r="AF571" s="819"/>
      <c r="AG571" s="819"/>
    </row>
    <row r="572" spans="30:33" ht="15.75" customHeight="1" x14ac:dyDescent="0.25">
      <c r="AD572" s="819"/>
      <c r="AE572" s="819"/>
      <c r="AF572" s="819"/>
      <c r="AG572" s="819"/>
    </row>
    <row r="573" spans="30:33" ht="15.75" customHeight="1" x14ac:dyDescent="0.25">
      <c r="AD573" s="819"/>
      <c r="AE573" s="819"/>
      <c r="AF573" s="819"/>
      <c r="AG573" s="819"/>
    </row>
    <row r="574" spans="30:33" ht="15.75" customHeight="1" x14ac:dyDescent="0.25">
      <c r="AD574" s="819"/>
      <c r="AE574" s="819"/>
      <c r="AF574" s="819"/>
      <c r="AG574" s="819"/>
    </row>
    <row r="575" spans="30:33" ht="15.75" customHeight="1" x14ac:dyDescent="0.25">
      <c r="AD575" s="819"/>
      <c r="AE575" s="819"/>
      <c r="AF575" s="819"/>
      <c r="AG575" s="819"/>
    </row>
    <row r="576" spans="30:33" ht="15.75" customHeight="1" x14ac:dyDescent="0.25">
      <c r="AD576" s="819"/>
      <c r="AE576" s="819"/>
      <c r="AF576" s="819"/>
      <c r="AG576" s="819"/>
    </row>
    <row r="577" spans="30:33" ht="15.75" customHeight="1" x14ac:dyDescent="0.25">
      <c r="AD577" s="819"/>
      <c r="AE577" s="819"/>
      <c r="AF577" s="819"/>
      <c r="AG577" s="819"/>
    </row>
    <row r="578" spans="30:33" ht="15.75" customHeight="1" x14ac:dyDescent="0.25">
      <c r="AD578" s="819"/>
      <c r="AE578" s="819"/>
      <c r="AF578" s="819"/>
      <c r="AG578" s="819"/>
    </row>
    <row r="579" spans="30:33" ht="15.75" customHeight="1" x14ac:dyDescent="0.25">
      <c r="AD579" s="819"/>
      <c r="AE579" s="819"/>
      <c r="AF579" s="819"/>
      <c r="AG579" s="819"/>
    </row>
    <row r="580" spans="30:33" ht="15.75" customHeight="1" x14ac:dyDescent="0.25">
      <c r="AD580" s="819"/>
      <c r="AE580" s="819"/>
      <c r="AF580" s="819"/>
      <c r="AG580" s="819"/>
    </row>
    <row r="581" spans="30:33" ht="15.75" customHeight="1" x14ac:dyDescent="0.25">
      <c r="AD581" s="819"/>
      <c r="AE581" s="819"/>
      <c r="AF581" s="819"/>
      <c r="AG581" s="819"/>
    </row>
    <row r="582" spans="30:33" ht="15.75" customHeight="1" x14ac:dyDescent="0.25">
      <c r="AD582" s="819"/>
      <c r="AE582" s="819"/>
      <c r="AF582" s="819"/>
      <c r="AG582" s="819"/>
    </row>
    <row r="583" spans="30:33" ht="15.75" customHeight="1" x14ac:dyDescent="0.25">
      <c r="AD583" s="819"/>
      <c r="AE583" s="819"/>
      <c r="AF583" s="819"/>
      <c r="AG583" s="819"/>
    </row>
    <row r="584" spans="30:33" ht="15.75" customHeight="1" x14ac:dyDescent="0.25">
      <c r="AD584" s="819"/>
      <c r="AE584" s="819"/>
      <c r="AF584" s="819"/>
      <c r="AG584" s="819"/>
    </row>
    <row r="585" spans="30:33" ht="15.75" customHeight="1" x14ac:dyDescent="0.25">
      <c r="AD585" s="819"/>
      <c r="AE585" s="819"/>
      <c r="AF585" s="819"/>
      <c r="AG585" s="819"/>
    </row>
    <row r="586" spans="30:33" ht="15.75" customHeight="1" x14ac:dyDescent="0.25">
      <c r="AD586" s="819"/>
      <c r="AE586" s="819"/>
      <c r="AF586" s="819"/>
      <c r="AG586" s="819"/>
    </row>
    <row r="587" spans="30:33" ht="15.75" customHeight="1" x14ac:dyDescent="0.25">
      <c r="AD587" s="819"/>
      <c r="AE587" s="819"/>
      <c r="AF587" s="819"/>
      <c r="AG587" s="819"/>
    </row>
    <row r="588" spans="30:33" ht="15.75" customHeight="1" x14ac:dyDescent="0.25">
      <c r="AD588" s="819"/>
      <c r="AE588" s="819"/>
      <c r="AF588" s="819"/>
      <c r="AG588" s="819"/>
    </row>
    <row r="589" spans="30:33" ht="15.75" customHeight="1" x14ac:dyDescent="0.25"/>
    <row r="590" spans="30:33" ht="15.75" customHeight="1" x14ac:dyDescent="0.25"/>
    <row r="591" spans="30:33" ht="15.75" customHeight="1" x14ac:dyDescent="0.25"/>
    <row r="592" spans="30:33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</sheetData>
  <sheetProtection password="9E7F" sheet="1" objects="1" scenarios="1"/>
  <mergeCells count="570">
    <mergeCell ref="AD1:AG2"/>
    <mergeCell ref="B6:AG6"/>
    <mergeCell ref="B8:N8"/>
    <mergeCell ref="P8:AG8"/>
    <mergeCell ref="P12:U12"/>
    <mergeCell ref="P14:U14"/>
    <mergeCell ref="Z14:AE14"/>
    <mergeCell ref="B16:AG16"/>
    <mergeCell ref="B20:AG20"/>
    <mergeCell ref="B24:AG24"/>
    <mergeCell ref="B25:AG25"/>
    <mergeCell ref="G28:AB28"/>
    <mergeCell ref="AC28:AG28"/>
    <mergeCell ref="A30:A31"/>
    <mergeCell ref="B30:F31"/>
    <mergeCell ref="G30:AB31"/>
    <mergeCell ref="AC30:AG31"/>
    <mergeCell ref="AH30:AH31"/>
    <mergeCell ref="B32:F32"/>
    <mergeCell ref="G32:AB32"/>
    <mergeCell ref="AC32:AG32"/>
    <mergeCell ref="B33:F33"/>
    <mergeCell ref="G33:AB33"/>
    <mergeCell ref="AC33:AG33"/>
    <mergeCell ref="B34:F34"/>
    <mergeCell ref="G34:AB34"/>
    <mergeCell ref="AC34:AG34"/>
    <mergeCell ref="B35:F35"/>
    <mergeCell ref="G35:AB35"/>
    <mergeCell ref="AC35:AG35"/>
    <mergeCell ref="B36:F36"/>
    <mergeCell ref="G36:AB36"/>
    <mergeCell ref="AC36:AG36"/>
    <mergeCell ref="B37:F37"/>
    <mergeCell ref="G37:AB37"/>
    <mergeCell ref="AC37:AG37"/>
    <mergeCell ref="B38:F38"/>
    <mergeCell ref="G38:AB38"/>
    <mergeCell ref="AC38:AG38"/>
    <mergeCell ref="B39:F39"/>
    <mergeCell ref="G39:AB39"/>
    <mergeCell ref="AC39:AG39"/>
    <mergeCell ref="B40:F40"/>
    <mergeCell ref="G40:AB40"/>
    <mergeCell ref="AC40:AG40"/>
    <mergeCell ref="B41:F41"/>
    <mergeCell ref="G41:AB41"/>
    <mergeCell ref="AC41:AG41"/>
    <mergeCell ref="B42:F42"/>
    <mergeCell ref="G42:AB42"/>
    <mergeCell ref="AC42:AG42"/>
    <mergeCell ref="B43:F43"/>
    <mergeCell ref="G43:AB43"/>
    <mergeCell ref="AC43:AG43"/>
    <mergeCell ref="B44:F44"/>
    <mergeCell ref="G44:AB44"/>
    <mergeCell ref="AC44:AG44"/>
    <mergeCell ref="B45:F45"/>
    <mergeCell ref="G45:AB45"/>
    <mergeCell ref="AC45:AG45"/>
    <mergeCell ref="B46:F46"/>
    <mergeCell ref="G46:AB46"/>
    <mergeCell ref="AC46:AG46"/>
    <mergeCell ref="B47:F47"/>
    <mergeCell ref="G47:AB47"/>
    <mergeCell ref="AC47:AG47"/>
    <mergeCell ref="B48:F48"/>
    <mergeCell ref="G48:AB48"/>
    <mergeCell ref="AC48:AG48"/>
    <mergeCell ref="B49:F49"/>
    <mergeCell ref="G49:AB49"/>
    <mergeCell ref="AC49:AG49"/>
    <mergeCell ref="B50:F50"/>
    <mergeCell ref="G50:AB50"/>
    <mergeCell ref="AC50:AG50"/>
    <mergeCell ref="B51:F51"/>
    <mergeCell ref="G51:AB51"/>
    <mergeCell ref="AC51:AG51"/>
    <mergeCell ref="B52:F52"/>
    <mergeCell ref="G52:AB52"/>
    <mergeCell ref="AC52:AG52"/>
    <mergeCell ref="B53:F53"/>
    <mergeCell ref="G53:AB53"/>
    <mergeCell ref="AC53:AG53"/>
    <mergeCell ref="B54:F54"/>
    <mergeCell ref="G54:AB54"/>
    <mergeCell ref="AC54:AG54"/>
    <mergeCell ref="B55:F55"/>
    <mergeCell ref="G55:AB55"/>
    <mergeCell ref="AC55:AG55"/>
    <mergeCell ref="B56:F56"/>
    <mergeCell ref="G56:AB56"/>
    <mergeCell ref="AC56:AG56"/>
    <mergeCell ref="B57:F57"/>
    <mergeCell ref="G57:AB57"/>
    <mergeCell ref="AC57:AG57"/>
    <mergeCell ref="B58:F58"/>
    <mergeCell ref="G58:AB58"/>
    <mergeCell ref="AC58:AG58"/>
    <mergeCell ref="B59:F59"/>
    <mergeCell ref="G59:AB59"/>
    <mergeCell ref="AC59:AG59"/>
    <mergeCell ref="B60:F60"/>
    <mergeCell ref="G60:AB60"/>
    <mergeCell ref="AC60:AG60"/>
    <mergeCell ref="B61:F61"/>
    <mergeCell ref="G61:AB61"/>
    <mergeCell ref="AC61:AG61"/>
    <mergeCell ref="B62:F62"/>
    <mergeCell ref="G62:AB62"/>
    <mergeCell ref="AC62:AG62"/>
    <mergeCell ref="B63:F63"/>
    <mergeCell ref="G63:AB63"/>
    <mergeCell ref="AC63:AG63"/>
    <mergeCell ref="B64:F64"/>
    <mergeCell ref="G64:AB64"/>
    <mergeCell ref="AC64:AG64"/>
    <mergeCell ref="B65:F65"/>
    <mergeCell ref="G65:AB65"/>
    <mergeCell ref="AC65:AG65"/>
    <mergeCell ref="B66:F66"/>
    <mergeCell ref="G66:AB66"/>
    <mergeCell ref="AC66:AG66"/>
    <mergeCell ref="B67:F67"/>
    <mergeCell ref="G67:AB67"/>
    <mergeCell ref="AC67:AG67"/>
    <mergeCell ref="B68:F68"/>
    <mergeCell ref="G68:AB68"/>
    <mergeCell ref="AC68:AG68"/>
    <mergeCell ref="B69:F69"/>
    <mergeCell ref="G69:AB69"/>
    <mergeCell ref="AC69:AG69"/>
    <mergeCell ref="B70:F70"/>
    <mergeCell ref="G70:AB70"/>
    <mergeCell ref="AC70:AG70"/>
    <mergeCell ref="B71:F71"/>
    <mergeCell ref="G71:AB71"/>
    <mergeCell ref="AC71:AG71"/>
    <mergeCell ref="B72:F72"/>
    <mergeCell ref="G72:AB72"/>
    <mergeCell ref="AC72:AG72"/>
    <mergeCell ref="B73:F73"/>
    <mergeCell ref="G73:AB73"/>
    <mergeCell ref="AC73:AG73"/>
    <mergeCell ref="B74:F74"/>
    <mergeCell ref="G74:AB74"/>
    <mergeCell ref="AC74:AG74"/>
    <mergeCell ref="B75:F75"/>
    <mergeCell ref="G75:AB75"/>
    <mergeCell ref="AC75:AG75"/>
    <mergeCell ref="B76:F76"/>
    <mergeCell ref="G76:AB76"/>
    <mergeCell ref="AC76:AG76"/>
    <mergeCell ref="B77:F77"/>
    <mergeCell ref="G77:AB77"/>
    <mergeCell ref="AC77:AG77"/>
    <mergeCell ref="B78:F78"/>
    <mergeCell ref="G78:AB78"/>
    <mergeCell ref="AC78:AG78"/>
    <mergeCell ref="B79:F79"/>
    <mergeCell ref="G79:AB79"/>
    <mergeCell ref="AC79:AG79"/>
    <mergeCell ref="B80:F80"/>
    <mergeCell ref="G80:AB80"/>
    <mergeCell ref="AC80:AG80"/>
    <mergeCell ref="B81:F81"/>
    <mergeCell ref="G81:AB81"/>
    <mergeCell ref="AC81:AG81"/>
    <mergeCell ref="B82:F82"/>
    <mergeCell ref="G82:AB82"/>
    <mergeCell ref="AC82:AG82"/>
    <mergeCell ref="B83:F83"/>
    <mergeCell ref="G83:AB83"/>
    <mergeCell ref="AC83:AG83"/>
    <mergeCell ref="B84:F84"/>
    <mergeCell ref="G84:AB84"/>
    <mergeCell ref="AC84:AG84"/>
    <mergeCell ref="B85:F85"/>
    <mergeCell ref="G85:AB85"/>
    <mergeCell ref="AC85:AG85"/>
    <mergeCell ref="B86:F86"/>
    <mergeCell ref="G86:AB86"/>
    <mergeCell ref="AC86:AG86"/>
    <mergeCell ref="B87:F87"/>
    <mergeCell ref="G87:AB87"/>
    <mergeCell ref="AC87:AG87"/>
    <mergeCell ref="B88:F88"/>
    <mergeCell ref="G88:AB88"/>
    <mergeCell ref="AC88:AG88"/>
    <mergeCell ref="B89:F89"/>
    <mergeCell ref="G89:AB89"/>
    <mergeCell ref="AC89:AG89"/>
    <mergeCell ref="B90:F90"/>
    <mergeCell ref="G90:AB90"/>
    <mergeCell ref="AC90:AG90"/>
    <mergeCell ref="B91:F91"/>
    <mergeCell ref="G91:AB91"/>
    <mergeCell ref="AC91:AG91"/>
    <mergeCell ref="B92:F92"/>
    <mergeCell ref="G92:AB92"/>
    <mergeCell ref="AC92:AG92"/>
    <mergeCell ref="B93:F93"/>
    <mergeCell ref="G93:AB93"/>
    <mergeCell ref="AC93:AG93"/>
    <mergeCell ref="B94:F94"/>
    <mergeCell ref="G94:AB94"/>
    <mergeCell ref="AC94:AG94"/>
    <mergeCell ref="B95:F95"/>
    <mergeCell ref="G95:AB95"/>
    <mergeCell ref="AC95:AG95"/>
    <mergeCell ref="B96:F96"/>
    <mergeCell ref="G96:AB96"/>
    <mergeCell ref="AC96:AG96"/>
    <mergeCell ref="B97:F97"/>
    <mergeCell ref="G97:AB97"/>
    <mergeCell ref="AC97:AG97"/>
    <mergeCell ref="B98:F98"/>
    <mergeCell ref="G98:AB98"/>
    <mergeCell ref="AC98:AG98"/>
    <mergeCell ref="B99:F99"/>
    <mergeCell ref="G99:AB99"/>
    <mergeCell ref="AC99:AG99"/>
    <mergeCell ref="B100:F100"/>
    <mergeCell ref="G100:AB100"/>
    <mergeCell ref="AC100:AG100"/>
    <mergeCell ref="B101:F101"/>
    <mergeCell ref="G101:AB101"/>
    <mergeCell ref="AC101:AG101"/>
    <mergeCell ref="B102:F102"/>
    <mergeCell ref="G102:AB102"/>
    <mergeCell ref="AC102:AG102"/>
    <mergeCell ref="B103:F103"/>
    <mergeCell ref="G103:AB103"/>
    <mergeCell ref="AC103:AG103"/>
    <mergeCell ref="B104:F104"/>
    <mergeCell ref="G104:AB104"/>
    <mergeCell ref="AC104:AG104"/>
    <mergeCell ref="B105:F105"/>
    <mergeCell ref="G105:AB105"/>
    <mergeCell ref="AC105:AG105"/>
    <mergeCell ref="B106:F106"/>
    <mergeCell ref="G106:AB106"/>
    <mergeCell ref="AC106:AG106"/>
    <mergeCell ref="B107:F107"/>
    <mergeCell ref="G107:AB107"/>
    <mergeCell ref="AC107:AG107"/>
    <mergeCell ref="B108:F108"/>
    <mergeCell ref="G108:AB108"/>
    <mergeCell ref="AC108:AG108"/>
    <mergeCell ref="B109:F109"/>
    <mergeCell ref="G109:AB109"/>
    <mergeCell ref="AC109:AG109"/>
    <mergeCell ref="B110:F110"/>
    <mergeCell ref="G110:AB110"/>
    <mergeCell ref="AC110:AG110"/>
    <mergeCell ref="B111:F111"/>
    <mergeCell ref="G111:AB111"/>
    <mergeCell ref="AC111:AG111"/>
    <mergeCell ref="B112:F112"/>
    <mergeCell ref="G112:AB112"/>
    <mergeCell ref="AC112:AG112"/>
    <mergeCell ref="B113:F113"/>
    <mergeCell ref="G113:AB113"/>
    <mergeCell ref="AC113:AG113"/>
    <mergeCell ref="B114:F114"/>
    <mergeCell ref="G114:AB114"/>
    <mergeCell ref="AC114:AG114"/>
    <mergeCell ref="B115:F115"/>
    <mergeCell ref="G115:AB115"/>
    <mergeCell ref="AC115:AG115"/>
    <mergeCell ref="B116:F116"/>
    <mergeCell ref="G116:AB116"/>
    <mergeCell ref="AC116:AG116"/>
    <mergeCell ref="B117:F117"/>
    <mergeCell ref="G117:AB117"/>
    <mergeCell ref="AC117:AG117"/>
    <mergeCell ref="B118:F118"/>
    <mergeCell ref="G118:AB118"/>
    <mergeCell ref="AC118:AG118"/>
    <mergeCell ref="B119:F119"/>
    <mergeCell ref="G119:AB119"/>
    <mergeCell ref="AC119:AG119"/>
    <mergeCell ref="B120:F120"/>
    <mergeCell ref="G120:AB120"/>
    <mergeCell ref="AC120:AG120"/>
    <mergeCell ref="B121:F121"/>
    <mergeCell ref="G121:AB121"/>
    <mergeCell ref="AC121:AG121"/>
    <mergeCell ref="B122:F122"/>
    <mergeCell ref="G122:AB122"/>
    <mergeCell ref="AC122:AG122"/>
    <mergeCell ref="B123:F123"/>
    <mergeCell ref="G123:AB123"/>
    <mergeCell ref="AC123:AG123"/>
    <mergeCell ref="B124:F124"/>
    <mergeCell ref="G124:AB124"/>
    <mergeCell ref="AC124:AG124"/>
    <mergeCell ref="B125:F125"/>
    <mergeCell ref="G125:AB125"/>
    <mergeCell ref="AC125:AG125"/>
    <mergeCell ref="B126:F126"/>
    <mergeCell ref="G126:AB126"/>
    <mergeCell ref="AC126:AG126"/>
    <mergeCell ref="B127:F127"/>
    <mergeCell ref="G127:AB127"/>
    <mergeCell ref="AC127:AG127"/>
    <mergeCell ref="B128:F128"/>
    <mergeCell ref="G128:AB128"/>
    <mergeCell ref="AC128:AG128"/>
    <mergeCell ref="B129:F129"/>
    <mergeCell ref="G129:AB129"/>
    <mergeCell ref="AC129:AG129"/>
    <mergeCell ref="B130:F130"/>
    <mergeCell ref="G130:AB130"/>
    <mergeCell ref="AC130:AG130"/>
    <mergeCell ref="B131:F131"/>
    <mergeCell ref="G131:AB131"/>
    <mergeCell ref="AC131:AG131"/>
    <mergeCell ref="B132:F132"/>
    <mergeCell ref="G132:AB132"/>
    <mergeCell ref="AC132:AG132"/>
    <mergeCell ref="B133:F133"/>
    <mergeCell ref="G133:AB133"/>
    <mergeCell ref="AC133:AG133"/>
    <mergeCell ref="B134:F134"/>
    <mergeCell ref="G134:AB134"/>
    <mergeCell ref="AC134:AG134"/>
    <mergeCell ref="B135:F135"/>
    <mergeCell ref="G135:AB135"/>
    <mergeCell ref="AC135:AG135"/>
    <mergeCell ref="B136:F136"/>
    <mergeCell ref="G136:AB136"/>
    <mergeCell ref="AC136:AG136"/>
    <mergeCell ref="B137:F137"/>
    <mergeCell ref="G137:AB137"/>
    <mergeCell ref="AC137:AG137"/>
    <mergeCell ref="B138:F138"/>
    <mergeCell ref="G138:AB138"/>
    <mergeCell ref="AC138:AG138"/>
    <mergeCell ref="B139:F139"/>
    <mergeCell ref="G139:AB139"/>
    <mergeCell ref="AC139:AG139"/>
    <mergeCell ref="B140:F140"/>
    <mergeCell ref="G140:AB140"/>
    <mergeCell ref="AC140:AG140"/>
    <mergeCell ref="B141:F141"/>
    <mergeCell ref="G141:AB141"/>
    <mergeCell ref="AC141:AG141"/>
    <mergeCell ref="B142:F142"/>
    <mergeCell ref="G142:AB142"/>
    <mergeCell ref="AC142:AG142"/>
    <mergeCell ref="B143:F143"/>
    <mergeCell ref="G143:AB143"/>
    <mergeCell ref="AC143:AG143"/>
    <mergeCell ref="B144:F144"/>
    <mergeCell ref="G144:AB144"/>
    <mergeCell ref="AC144:AG144"/>
    <mergeCell ref="B145:F145"/>
    <mergeCell ref="G145:AB145"/>
    <mergeCell ref="AC145:AG145"/>
    <mergeCell ref="B146:F146"/>
    <mergeCell ref="G146:AB146"/>
    <mergeCell ref="AC146:AG146"/>
    <mergeCell ref="B147:F147"/>
    <mergeCell ref="G147:AB147"/>
    <mergeCell ref="AC147:AG147"/>
    <mergeCell ref="B148:F148"/>
    <mergeCell ref="G148:AB148"/>
    <mergeCell ref="AC148:AG148"/>
    <mergeCell ref="B149:F149"/>
    <mergeCell ref="G149:AB149"/>
    <mergeCell ref="AC149:AG149"/>
    <mergeCell ref="B150:F150"/>
    <mergeCell ref="G150:AB150"/>
    <mergeCell ref="AC150:AG150"/>
    <mergeCell ref="B151:F151"/>
    <mergeCell ref="G151:AB151"/>
    <mergeCell ref="AC151:AG151"/>
    <mergeCell ref="B152:F152"/>
    <mergeCell ref="G152:AB152"/>
    <mergeCell ref="AC152:AG152"/>
    <mergeCell ref="B153:F153"/>
    <mergeCell ref="G153:AB153"/>
    <mergeCell ref="AC153:AG153"/>
    <mergeCell ref="B154:F154"/>
    <mergeCell ref="G154:AB154"/>
    <mergeCell ref="AC154:AG154"/>
    <mergeCell ref="B155:F155"/>
    <mergeCell ref="G155:AB155"/>
    <mergeCell ref="AC155:AG155"/>
    <mergeCell ref="B156:F156"/>
    <mergeCell ref="G156:AB156"/>
    <mergeCell ref="AC156:AG156"/>
    <mergeCell ref="B157:F157"/>
    <mergeCell ref="G157:AB157"/>
    <mergeCell ref="AC157:AG157"/>
    <mergeCell ref="B158:F158"/>
    <mergeCell ref="G158:AB158"/>
    <mergeCell ref="AC158:AG158"/>
    <mergeCell ref="B159:F159"/>
    <mergeCell ref="G159:AB159"/>
    <mergeCell ref="AC159:AG159"/>
    <mergeCell ref="B160:F160"/>
    <mergeCell ref="G160:AB160"/>
    <mergeCell ref="AC160:AG160"/>
    <mergeCell ref="B161:F161"/>
    <mergeCell ref="G161:AB161"/>
    <mergeCell ref="AC161:AG161"/>
    <mergeCell ref="B162:F162"/>
    <mergeCell ref="G162:AB162"/>
    <mergeCell ref="AC162:AG162"/>
    <mergeCell ref="B163:F163"/>
    <mergeCell ref="G163:AB163"/>
    <mergeCell ref="AC163:AG163"/>
    <mergeCell ref="B164:F164"/>
    <mergeCell ref="G164:AB164"/>
    <mergeCell ref="AC164:AG164"/>
    <mergeCell ref="B165:F165"/>
    <mergeCell ref="G165:AB165"/>
    <mergeCell ref="AC165:AG165"/>
    <mergeCell ref="B166:F166"/>
    <mergeCell ref="G166:AB166"/>
    <mergeCell ref="AC166:AG166"/>
    <mergeCell ref="B167:F167"/>
    <mergeCell ref="G167:AB167"/>
    <mergeCell ref="AC167:AG167"/>
    <mergeCell ref="B168:F168"/>
    <mergeCell ref="G168:AB168"/>
    <mergeCell ref="AC168:AG168"/>
    <mergeCell ref="B169:F169"/>
    <mergeCell ref="G169:AB169"/>
    <mergeCell ref="AC169:AG169"/>
    <mergeCell ref="B170:F170"/>
    <mergeCell ref="G170:AB170"/>
    <mergeCell ref="AC170:AG170"/>
    <mergeCell ref="B171:F171"/>
    <mergeCell ref="G171:AB171"/>
    <mergeCell ref="AC171:AG171"/>
    <mergeCell ref="B172:F172"/>
    <mergeCell ref="G172:AB172"/>
    <mergeCell ref="AC172:AG172"/>
    <mergeCell ref="B173:F173"/>
    <mergeCell ref="G173:AB173"/>
    <mergeCell ref="AC173:AG173"/>
    <mergeCell ref="B174:F174"/>
    <mergeCell ref="G174:AB174"/>
    <mergeCell ref="AC174:AG174"/>
    <mergeCell ref="B175:F175"/>
    <mergeCell ref="G175:AB175"/>
    <mergeCell ref="AC175:AG175"/>
    <mergeCell ref="B176:F176"/>
    <mergeCell ref="G176:AB176"/>
    <mergeCell ref="AC176:AG176"/>
    <mergeCell ref="B177:F177"/>
    <mergeCell ref="G177:AB177"/>
    <mergeCell ref="AC177:AG177"/>
    <mergeCell ref="B178:F178"/>
    <mergeCell ref="G178:AB178"/>
    <mergeCell ref="AC178:AG178"/>
    <mergeCell ref="B179:F179"/>
    <mergeCell ref="G179:AB179"/>
    <mergeCell ref="AC179:AG179"/>
    <mergeCell ref="B180:F180"/>
    <mergeCell ref="G180:AB180"/>
    <mergeCell ref="AC180:AG180"/>
    <mergeCell ref="B181:F181"/>
    <mergeCell ref="G181:AB181"/>
    <mergeCell ref="AC181:AG181"/>
    <mergeCell ref="B182:F182"/>
    <mergeCell ref="G182:AB182"/>
    <mergeCell ref="AC182:AG182"/>
    <mergeCell ref="B183:F183"/>
    <mergeCell ref="G183:AB183"/>
    <mergeCell ref="AC183:AG183"/>
    <mergeCell ref="B184:F184"/>
    <mergeCell ref="G184:AB184"/>
    <mergeCell ref="AC184:AG184"/>
    <mergeCell ref="B185:F185"/>
    <mergeCell ref="G185:AB185"/>
    <mergeCell ref="AC185:AG185"/>
    <mergeCell ref="B186:F186"/>
    <mergeCell ref="G186:AB186"/>
    <mergeCell ref="AC186:AG186"/>
    <mergeCell ref="B187:F187"/>
    <mergeCell ref="G187:AB187"/>
    <mergeCell ref="AC187:AG187"/>
    <mergeCell ref="B188:F188"/>
    <mergeCell ref="G188:AB188"/>
    <mergeCell ref="AC188:AG188"/>
    <mergeCell ref="B189:F189"/>
    <mergeCell ref="G189:AB189"/>
    <mergeCell ref="AC189:AG189"/>
    <mergeCell ref="B190:F190"/>
    <mergeCell ref="G190:AB190"/>
    <mergeCell ref="AC190:AG190"/>
    <mergeCell ref="B191:F191"/>
    <mergeCell ref="G191:AB191"/>
    <mergeCell ref="AC191:AG191"/>
    <mergeCell ref="B192:F192"/>
    <mergeCell ref="G192:AB192"/>
    <mergeCell ref="AC192:AG192"/>
    <mergeCell ref="B193:F193"/>
    <mergeCell ref="G193:AB193"/>
    <mergeCell ref="AC193:AG193"/>
    <mergeCell ref="B194:F194"/>
    <mergeCell ref="G194:AB194"/>
    <mergeCell ref="AC194:AG194"/>
    <mergeCell ref="B195:F195"/>
    <mergeCell ref="G195:AB195"/>
    <mergeCell ref="AC195:AG195"/>
    <mergeCell ref="B196:F196"/>
    <mergeCell ref="G196:AB196"/>
    <mergeCell ref="AC196:AG196"/>
    <mergeCell ref="B197:F197"/>
    <mergeCell ref="G197:AB197"/>
    <mergeCell ref="AC197:AG197"/>
    <mergeCell ref="B198:F198"/>
    <mergeCell ref="G198:AB198"/>
    <mergeCell ref="AC198:AG198"/>
    <mergeCell ref="B199:F199"/>
    <mergeCell ref="G199:AB199"/>
    <mergeCell ref="AC199:AG199"/>
    <mergeCell ref="B200:F200"/>
    <mergeCell ref="G200:AB200"/>
    <mergeCell ref="AC200:AG200"/>
    <mergeCell ref="B201:F201"/>
    <mergeCell ref="G201:AB201"/>
    <mergeCell ref="AC201:AG201"/>
    <mergeCell ref="B202:F202"/>
    <mergeCell ref="G202:AB202"/>
    <mergeCell ref="AC202:AG202"/>
    <mergeCell ref="B203:F203"/>
    <mergeCell ref="G203:AB203"/>
    <mergeCell ref="AC203:AG203"/>
    <mergeCell ref="B204:F204"/>
    <mergeCell ref="G204:AB204"/>
    <mergeCell ref="AC204:AG204"/>
    <mergeCell ref="B205:F205"/>
    <mergeCell ref="G205:AB205"/>
    <mergeCell ref="AC205:AG205"/>
    <mergeCell ref="B206:F206"/>
    <mergeCell ref="G206:AB206"/>
    <mergeCell ref="AC206:AG206"/>
    <mergeCell ref="B207:F207"/>
    <mergeCell ref="G207:AB207"/>
    <mergeCell ref="AC207:AG207"/>
    <mergeCell ref="B208:F208"/>
    <mergeCell ref="G208:AB208"/>
    <mergeCell ref="AC208:AG208"/>
    <mergeCell ref="B209:F209"/>
    <mergeCell ref="G209:AB209"/>
    <mergeCell ref="AC209:AG209"/>
    <mergeCell ref="B210:F210"/>
    <mergeCell ref="G210:AB210"/>
    <mergeCell ref="AC210:AG210"/>
    <mergeCell ref="B211:F211"/>
    <mergeCell ref="G211:AB211"/>
    <mergeCell ref="AC211:AG211"/>
    <mergeCell ref="B212:F212"/>
    <mergeCell ref="G212:AB212"/>
    <mergeCell ref="AC212:AG212"/>
    <mergeCell ref="B215:F215"/>
    <mergeCell ref="G215:AB215"/>
    <mergeCell ref="AC215:AG215"/>
    <mergeCell ref="B213:F213"/>
    <mergeCell ref="G213:AB213"/>
    <mergeCell ref="AC213:AG213"/>
    <mergeCell ref="B214:F214"/>
    <mergeCell ref="G214:AB214"/>
    <mergeCell ref="AC214:AG214"/>
  </mergeCells>
  <printOptions horizontalCentered="1"/>
  <pageMargins left="0.59027777777777779" right="0.59027777777777779" top="0.59027777777777779" bottom="0.59027777777777779" header="0.51180555555555551" footer="0.19652777777777777"/>
  <pageSetup paperSize="9" firstPageNumber="0" fitToHeight="0" orientation="portrait" horizontalDpi="300" verticalDpi="300"/>
  <headerFooter alignWithMargins="0">
    <oddFooter>&amp;C&amp;"Tahoma,Normale"&amp;P / &amp;N</oddFooter>
  </headerFooter>
  <rowBreaks count="1" manualBreakCount="1">
    <brk id="167" max="16383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77"/>
  <sheetViews>
    <sheetView showGridLines="0" topLeftCell="A154" zoomScaleSheetLayoutView="80" workbookViewId="0">
      <selection activeCell="AC142" sqref="AC142:AG142"/>
    </sheetView>
  </sheetViews>
  <sheetFormatPr defaultColWidth="3.28515625" defaultRowHeight="15" x14ac:dyDescent="0.25"/>
  <cols>
    <col min="1" max="1" width="9.140625" style="816" customWidth="1"/>
    <col min="2" max="2" width="10.140625" style="816" customWidth="1"/>
    <col min="3" max="3" width="1" style="816" customWidth="1"/>
    <col min="4" max="6" width="3.28515625" style="816"/>
    <col min="7" max="7" width="1.85546875" style="816" customWidth="1"/>
    <col min="8" max="8" width="17.85546875" style="816" customWidth="1"/>
    <col min="9" max="9" width="1.85546875" style="816" customWidth="1"/>
    <col min="10" max="10" width="3.28515625" style="816"/>
    <col min="11" max="14" width="3.7109375" style="816" customWidth="1"/>
    <col min="15" max="15" width="17.85546875" style="816" customWidth="1"/>
    <col min="16" max="16" width="1.85546875" style="816" customWidth="1"/>
    <col min="17" max="19" width="3" style="816" customWidth="1"/>
    <col min="20" max="20" width="4.42578125" style="816" customWidth="1"/>
    <col min="21" max="22" width="3" style="816" customWidth="1"/>
    <col min="23" max="32" width="3.28515625" style="816"/>
    <col min="33" max="33" width="4.140625" style="816" customWidth="1"/>
    <col min="34" max="34" width="9.140625" style="869" customWidth="1"/>
    <col min="35" max="35" width="2.5703125" style="816" hidden="1" customWidth="1"/>
    <col min="36" max="36" width="20.28515625" style="816" hidden="1" customWidth="1"/>
    <col min="37" max="37" width="21.140625" style="816" hidden="1" customWidth="1"/>
    <col min="38" max="38" width="21.28515625" style="816" hidden="1" customWidth="1"/>
    <col min="39" max="39" width="19.85546875" style="816" hidden="1" customWidth="1"/>
    <col min="40" max="40" width="17" style="816" hidden="1" customWidth="1"/>
    <col min="41" max="41" width="9.140625" style="816" hidden="1" customWidth="1"/>
    <col min="42" max="212" width="9.140625" style="816" customWidth="1"/>
    <col min="213" max="213" width="10.140625" style="816" customWidth="1"/>
    <col min="214" max="214" width="1" style="816" customWidth="1"/>
    <col min="215" max="217" width="3.28515625" style="816"/>
    <col min="218" max="218" width="1.85546875" style="816" customWidth="1"/>
    <col min="219" max="219" width="17.85546875" style="816" customWidth="1"/>
    <col min="220" max="220" width="1.85546875" style="816" customWidth="1"/>
    <col min="221" max="223" width="3.28515625" style="816"/>
    <col min="224" max="224" width="2.85546875" style="816" customWidth="1"/>
    <col min="225" max="225" width="1.85546875" style="816" customWidth="1"/>
    <col min="226" max="226" width="19.7109375" style="816" customWidth="1"/>
    <col min="227" max="227" width="1.85546875" style="816" customWidth="1"/>
    <col min="228" max="230" width="3" style="816" customWidth="1"/>
    <col min="231" max="231" width="4.42578125" style="816" customWidth="1"/>
    <col min="232" max="233" width="3" style="816" customWidth="1"/>
    <col min="234" max="239" width="3.28515625" style="816"/>
    <col min="240" max="241" width="9.140625" style="816" customWidth="1"/>
    <col min="242" max="245" width="3.28515625" style="816"/>
    <col min="246" max="246" width="4.140625" style="816" customWidth="1"/>
    <col min="247" max="247" width="1.7109375" style="816" customWidth="1"/>
    <col min="248" max="252" width="3.28515625" style="816"/>
    <col min="253" max="253" width="1.7109375" style="816" customWidth="1"/>
    <col min="254" max="16384" width="3.28515625" style="816"/>
  </cols>
  <sheetData>
    <row r="1" spans="1:34" x14ac:dyDescent="0.25">
      <c r="A1" s="818"/>
      <c r="B1" s="818" t="s">
        <v>7152</v>
      </c>
      <c r="C1" s="818"/>
      <c r="D1" s="818"/>
      <c r="E1" s="818"/>
      <c r="F1" s="818"/>
      <c r="AD1" s="993" t="s">
        <v>7153</v>
      </c>
      <c r="AE1" s="993"/>
      <c r="AF1" s="993"/>
      <c r="AG1" s="993"/>
    </row>
    <row r="2" spans="1:34" ht="9" customHeight="1" x14ac:dyDescent="0.25">
      <c r="AD2" s="993"/>
      <c r="AE2" s="993"/>
      <c r="AF2" s="993"/>
      <c r="AG2" s="993"/>
    </row>
    <row r="3" spans="1:34" ht="15" customHeight="1" x14ac:dyDescent="0.25">
      <c r="B3" s="819" t="s">
        <v>7154</v>
      </c>
    </row>
    <row r="4" spans="1:34" ht="15" customHeight="1" x14ac:dyDescent="0.25">
      <c r="B4" s="819" t="s">
        <v>7155</v>
      </c>
      <c r="D4" s="819"/>
    </row>
    <row r="5" spans="1:34" ht="15" customHeight="1" x14ac:dyDescent="0.25"/>
    <row r="6" spans="1:34" s="819" customFormat="1" ht="76.5" customHeight="1" x14ac:dyDescent="0.25">
      <c r="B6" s="994" t="s">
        <v>7156</v>
      </c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4"/>
      <c r="O6" s="994"/>
      <c r="P6" s="994"/>
      <c r="Q6" s="994"/>
      <c r="R6" s="994"/>
      <c r="S6" s="994"/>
      <c r="T6" s="994"/>
      <c r="U6" s="994"/>
      <c r="V6" s="994"/>
      <c r="W6" s="994"/>
      <c r="X6" s="994"/>
      <c r="Y6" s="994"/>
      <c r="Z6" s="994"/>
      <c r="AA6" s="994"/>
      <c r="AB6" s="994"/>
      <c r="AC6" s="994"/>
      <c r="AD6" s="994"/>
      <c r="AE6" s="994"/>
      <c r="AF6" s="994"/>
      <c r="AG6" s="994"/>
      <c r="AH6" s="870"/>
    </row>
    <row r="7" spans="1:34" s="819" customFormat="1" ht="15" customHeight="1" x14ac:dyDescent="0.25">
      <c r="A7" s="821"/>
      <c r="B7" s="822"/>
      <c r="C7" s="822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822"/>
      <c r="AB7" s="822"/>
      <c r="AC7" s="822"/>
      <c r="AD7" s="822"/>
      <c r="AE7" s="822"/>
      <c r="AF7" s="822"/>
      <c r="AG7" s="822"/>
      <c r="AH7" s="870"/>
    </row>
    <row r="8" spans="1:34" s="819" customFormat="1" ht="23.25" customHeight="1" x14ac:dyDescent="0.25">
      <c r="A8" s="823"/>
      <c r="B8" s="995" t="s">
        <v>7157</v>
      </c>
      <c r="C8" s="995"/>
      <c r="D8" s="995"/>
      <c r="E8" s="995"/>
      <c r="F8" s="995"/>
      <c r="G8" s="995"/>
      <c r="H8" s="995"/>
      <c r="I8" s="995"/>
      <c r="J8" s="995"/>
      <c r="K8" s="995"/>
      <c r="L8" s="995"/>
      <c r="M8" s="995"/>
      <c r="N8" s="995"/>
      <c r="O8" s="822"/>
      <c r="P8" s="995" t="s">
        <v>7158</v>
      </c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5"/>
      <c r="AB8" s="995"/>
      <c r="AC8" s="995"/>
      <c r="AD8" s="995"/>
      <c r="AE8" s="995"/>
      <c r="AF8" s="995"/>
      <c r="AG8" s="995"/>
      <c r="AH8" s="870"/>
    </row>
    <row r="9" spans="1:34" s="819" customFormat="1" ht="15" customHeight="1" x14ac:dyDescent="0.25">
      <c r="A9" s="824"/>
      <c r="B9" s="825"/>
      <c r="C9" s="826"/>
      <c r="D9" s="826"/>
      <c r="E9" s="826"/>
      <c r="F9" s="826"/>
      <c r="G9" s="826"/>
      <c r="H9" s="826"/>
      <c r="I9" s="826"/>
      <c r="J9" s="826"/>
      <c r="K9" s="826"/>
      <c r="L9" s="826"/>
      <c r="M9" s="826"/>
      <c r="N9" s="827"/>
      <c r="O9" s="822"/>
      <c r="P9" s="825"/>
      <c r="Q9" s="826"/>
      <c r="R9" s="826"/>
      <c r="S9" s="826"/>
      <c r="T9" s="826"/>
      <c r="U9" s="826"/>
      <c r="V9" s="826"/>
      <c r="W9" s="826"/>
      <c r="X9" s="826"/>
      <c r="Y9" s="826"/>
      <c r="Z9" s="826"/>
      <c r="AA9" s="826"/>
      <c r="AB9" s="826"/>
      <c r="AC9" s="826"/>
      <c r="AD9" s="826"/>
      <c r="AE9" s="826"/>
      <c r="AF9" s="826"/>
      <c r="AG9" s="827"/>
      <c r="AH9" s="870"/>
    </row>
    <row r="10" spans="1:34" s="819" customFormat="1" ht="15" customHeight="1" x14ac:dyDescent="0.25">
      <c r="A10" s="828"/>
      <c r="B10" s="829" t="s">
        <v>7159</v>
      </c>
      <c r="C10" s="830"/>
      <c r="D10" s="831"/>
      <c r="E10" s="831"/>
      <c r="F10" s="831"/>
      <c r="G10" s="821"/>
      <c r="H10" s="821" t="s">
        <v>7160</v>
      </c>
      <c r="I10" s="821"/>
      <c r="J10" s="831"/>
      <c r="K10" s="831"/>
      <c r="L10" s="831"/>
      <c r="M10" s="831"/>
      <c r="N10" s="832"/>
      <c r="O10" s="822"/>
      <c r="P10" s="833" t="s">
        <v>7161</v>
      </c>
      <c r="Q10" s="834"/>
      <c r="R10" s="834"/>
      <c r="S10" s="834"/>
      <c r="T10" s="834"/>
      <c r="U10" s="835"/>
      <c r="V10" s="835"/>
      <c r="W10" s="836"/>
      <c r="X10" s="836"/>
      <c r="Y10" s="836"/>
      <c r="Z10" s="836"/>
      <c r="AA10" s="835"/>
      <c r="AB10" s="835"/>
      <c r="AC10" s="835"/>
      <c r="AD10" s="835"/>
      <c r="AE10" s="835"/>
      <c r="AF10" s="835"/>
      <c r="AG10" s="837"/>
      <c r="AH10" s="870"/>
    </row>
    <row r="11" spans="1:34" s="819" customFormat="1" ht="9.9499999999999993" customHeight="1" x14ac:dyDescent="0.25">
      <c r="A11" s="824"/>
      <c r="B11" s="838"/>
      <c r="C11" s="821"/>
      <c r="D11" s="821"/>
      <c r="E11" s="821"/>
      <c r="F11" s="821"/>
      <c r="G11" s="821"/>
      <c r="H11" s="821"/>
      <c r="I11" s="821"/>
      <c r="J11" s="821"/>
      <c r="K11" s="821"/>
      <c r="L11" s="821"/>
      <c r="M11" s="821"/>
      <c r="N11" s="832"/>
      <c r="O11" s="822"/>
      <c r="P11" s="838"/>
      <c r="Q11" s="821"/>
      <c r="R11" s="821"/>
      <c r="S11" s="821"/>
      <c r="T11" s="821"/>
      <c r="U11" s="821"/>
      <c r="V11" s="821"/>
      <c r="W11" s="821"/>
      <c r="X11" s="821"/>
      <c r="Y11" s="821"/>
      <c r="Z11" s="821"/>
      <c r="AA11" s="821"/>
      <c r="AB11" s="821"/>
      <c r="AC11" s="821"/>
      <c r="AD11" s="821"/>
      <c r="AE11" s="821"/>
      <c r="AF11" s="821"/>
      <c r="AG11" s="832"/>
      <c r="AH11" s="870"/>
    </row>
    <row r="12" spans="1:34" s="819" customFormat="1" ht="15" customHeight="1" x14ac:dyDescent="0.25">
      <c r="A12" s="824"/>
      <c r="B12" s="838"/>
      <c r="C12" s="821"/>
      <c r="D12" s="821"/>
      <c r="E12" s="821"/>
      <c r="F12" s="821"/>
      <c r="G12" s="821"/>
      <c r="H12" s="821"/>
      <c r="I12" s="821"/>
      <c r="J12" s="821"/>
      <c r="K12" s="821"/>
      <c r="L12" s="821"/>
      <c r="M12" s="821"/>
      <c r="N12" s="832"/>
      <c r="O12" s="822"/>
      <c r="P12" s="996" t="s">
        <v>7162</v>
      </c>
      <c r="Q12" s="996"/>
      <c r="R12" s="996"/>
      <c r="S12" s="996"/>
      <c r="T12" s="996"/>
      <c r="U12" s="996"/>
      <c r="V12" s="821">
        <v>1</v>
      </c>
      <c r="W12" s="831"/>
      <c r="X12" s="821"/>
      <c r="Y12" s="821">
        <v>2</v>
      </c>
      <c r="Z12" s="831"/>
      <c r="AA12" s="821"/>
      <c r="AB12" s="821">
        <v>3</v>
      </c>
      <c r="AC12" s="831"/>
      <c r="AD12" s="821"/>
      <c r="AE12" s="821">
        <v>4</v>
      </c>
      <c r="AF12" s="831"/>
      <c r="AG12" s="832"/>
      <c r="AH12" s="870"/>
    </row>
    <row r="13" spans="1:34" s="819" customFormat="1" ht="9.9499999999999993" customHeight="1" x14ac:dyDescent="0.25">
      <c r="A13" s="824"/>
      <c r="B13" s="838"/>
      <c r="C13" s="821"/>
      <c r="D13" s="821"/>
      <c r="E13" s="821"/>
      <c r="F13" s="821"/>
      <c r="G13" s="821"/>
      <c r="H13" s="821"/>
      <c r="I13" s="821"/>
      <c r="J13" s="821"/>
      <c r="K13" s="821"/>
      <c r="L13" s="821"/>
      <c r="M13" s="821"/>
      <c r="N13" s="832"/>
      <c r="O13" s="822"/>
      <c r="P13" s="838"/>
      <c r="Q13" s="821"/>
      <c r="R13" s="821"/>
      <c r="S13" s="821"/>
      <c r="T13" s="821"/>
      <c r="U13" s="821"/>
      <c r="V13" s="821"/>
      <c r="W13" s="821"/>
      <c r="X13" s="821"/>
      <c r="Y13" s="821"/>
      <c r="Z13" s="821"/>
      <c r="AA13" s="821"/>
      <c r="AB13" s="821"/>
      <c r="AC13" s="821"/>
      <c r="AD13" s="821"/>
      <c r="AE13" s="821"/>
      <c r="AF13" s="821"/>
      <c r="AG13" s="832"/>
      <c r="AH13" s="870"/>
    </row>
    <row r="14" spans="1:34" s="819" customFormat="1" ht="15" customHeight="1" x14ac:dyDescent="0.25">
      <c r="A14" s="824"/>
      <c r="B14" s="838"/>
      <c r="C14" s="821"/>
      <c r="D14" s="821"/>
      <c r="E14" s="821"/>
      <c r="F14" s="821"/>
      <c r="G14" s="821"/>
      <c r="H14" s="821"/>
      <c r="I14" s="821"/>
      <c r="J14" s="821"/>
      <c r="K14" s="821"/>
      <c r="L14" s="821"/>
      <c r="M14" s="821"/>
      <c r="N14" s="832"/>
      <c r="O14" s="822"/>
      <c r="P14" s="996" t="s">
        <v>7163</v>
      </c>
      <c r="Q14" s="996"/>
      <c r="R14" s="996"/>
      <c r="S14" s="996"/>
      <c r="T14" s="996"/>
      <c r="U14" s="996"/>
      <c r="V14" s="821"/>
      <c r="W14" s="831"/>
      <c r="X14" s="821"/>
      <c r="Y14" s="821"/>
      <c r="Z14" s="997" t="s">
        <v>7164</v>
      </c>
      <c r="AA14" s="997"/>
      <c r="AB14" s="997"/>
      <c r="AC14" s="997"/>
      <c r="AD14" s="997"/>
      <c r="AE14" s="997"/>
      <c r="AF14" s="831"/>
      <c r="AG14" s="832"/>
      <c r="AH14" s="870"/>
    </row>
    <row r="15" spans="1:34" s="819" customFormat="1" ht="15" customHeight="1" x14ac:dyDescent="0.25">
      <c r="A15" s="824"/>
      <c r="B15" s="839"/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1"/>
      <c r="O15" s="822"/>
      <c r="P15" s="839"/>
      <c r="Q15" s="840"/>
      <c r="R15" s="840"/>
      <c r="S15" s="840"/>
      <c r="T15" s="840"/>
      <c r="U15" s="840"/>
      <c r="V15" s="840"/>
      <c r="W15" s="840"/>
      <c r="X15" s="840"/>
      <c r="Y15" s="840"/>
      <c r="Z15" s="840"/>
      <c r="AA15" s="840"/>
      <c r="AB15" s="840"/>
      <c r="AC15" s="840"/>
      <c r="AD15" s="840"/>
      <c r="AE15" s="840"/>
      <c r="AF15" s="840"/>
      <c r="AG15" s="841"/>
      <c r="AH15" s="870"/>
    </row>
    <row r="16" spans="1:34" s="819" customFormat="1" ht="7.5" customHeight="1" x14ac:dyDescent="0.25">
      <c r="A16" s="821"/>
      <c r="B16" s="989"/>
      <c r="C16" s="989"/>
      <c r="D16" s="989"/>
      <c r="E16" s="989"/>
      <c r="F16" s="989"/>
      <c r="G16" s="989"/>
      <c r="H16" s="989"/>
      <c r="I16" s="989"/>
      <c r="J16" s="989"/>
      <c r="K16" s="989"/>
      <c r="L16" s="989"/>
      <c r="M16" s="989"/>
      <c r="N16" s="989"/>
      <c r="O16" s="989"/>
      <c r="P16" s="989"/>
      <c r="Q16" s="989"/>
      <c r="R16" s="989"/>
      <c r="S16" s="989"/>
      <c r="T16" s="989"/>
      <c r="U16" s="989"/>
      <c r="V16" s="989"/>
      <c r="W16" s="989"/>
      <c r="X16" s="989"/>
      <c r="Y16" s="989"/>
      <c r="Z16" s="989"/>
      <c r="AA16" s="989"/>
      <c r="AB16" s="989"/>
      <c r="AC16" s="989"/>
      <c r="AD16" s="989"/>
      <c r="AE16" s="989"/>
      <c r="AF16" s="989"/>
      <c r="AG16" s="989"/>
      <c r="AH16" s="870"/>
    </row>
    <row r="17" spans="1:41" s="819" customFormat="1" ht="7.5" customHeight="1" x14ac:dyDescent="0.25">
      <c r="A17" s="821"/>
      <c r="B17" s="821"/>
      <c r="C17" s="821"/>
      <c r="D17" s="821"/>
      <c r="E17" s="821"/>
      <c r="F17" s="821"/>
      <c r="G17" s="821"/>
      <c r="H17" s="821"/>
      <c r="I17" s="821"/>
      <c r="J17" s="821"/>
      <c r="K17" s="821"/>
      <c r="L17" s="821"/>
      <c r="M17" s="821"/>
      <c r="N17" s="821"/>
      <c r="O17" s="821"/>
      <c r="P17" s="821"/>
      <c r="Q17" s="821"/>
      <c r="R17" s="821"/>
      <c r="S17" s="821"/>
      <c r="T17" s="821"/>
      <c r="U17" s="821"/>
      <c r="V17" s="821"/>
      <c r="W17" s="821"/>
      <c r="X17" s="821"/>
      <c r="Y17" s="821"/>
      <c r="Z17" s="821"/>
      <c r="AA17" s="821"/>
      <c r="AB17" s="821"/>
      <c r="AC17" s="821"/>
      <c r="AD17" s="821"/>
      <c r="AE17" s="821"/>
      <c r="AF17" s="821"/>
      <c r="AG17" s="821"/>
      <c r="AH17" s="870"/>
    </row>
    <row r="18" spans="1:41" s="819" customFormat="1" ht="7.5" customHeight="1" x14ac:dyDescent="0.25">
      <c r="A18" s="821"/>
      <c r="B18" s="821"/>
      <c r="C18" s="821"/>
      <c r="D18" s="821"/>
      <c r="E18" s="821"/>
      <c r="F18" s="821"/>
      <c r="G18" s="821"/>
      <c r="H18" s="821"/>
      <c r="I18" s="821"/>
      <c r="J18" s="821"/>
      <c r="K18" s="821"/>
      <c r="L18" s="821"/>
      <c r="M18" s="821"/>
      <c r="N18" s="821"/>
      <c r="O18" s="821"/>
      <c r="P18" s="821"/>
      <c r="Q18" s="821"/>
      <c r="R18" s="821"/>
      <c r="S18" s="821"/>
      <c r="T18" s="821"/>
      <c r="U18" s="821"/>
      <c r="V18" s="821"/>
      <c r="W18" s="821"/>
      <c r="X18" s="821"/>
      <c r="Y18" s="821"/>
      <c r="Z18" s="821"/>
      <c r="AA18" s="821"/>
      <c r="AB18" s="821"/>
      <c r="AC18" s="821"/>
      <c r="AD18" s="821"/>
      <c r="AE18" s="821"/>
      <c r="AF18" s="821"/>
      <c r="AG18" s="821"/>
      <c r="AH18" s="870"/>
    </row>
    <row r="19" spans="1:41" s="819" customFormat="1" ht="7.5" customHeight="1" x14ac:dyDescent="0.25">
      <c r="B19" s="840"/>
      <c r="C19" s="840"/>
      <c r="D19" s="840"/>
      <c r="E19" s="840"/>
      <c r="F19" s="840"/>
      <c r="G19" s="840"/>
      <c r="H19" s="840"/>
      <c r="I19" s="840"/>
      <c r="J19" s="840"/>
      <c r="K19" s="840"/>
      <c r="L19" s="840"/>
      <c r="M19" s="840"/>
      <c r="N19" s="840"/>
      <c r="O19" s="840"/>
      <c r="P19" s="840"/>
      <c r="Q19" s="840"/>
      <c r="R19" s="840"/>
      <c r="S19" s="840"/>
      <c r="T19" s="840"/>
      <c r="U19" s="840"/>
      <c r="V19" s="840"/>
      <c r="W19" s="840"/>
      <c r="X19" s="840"/>
      <c r="Y19" s="840"/>
      <c r="Z19" s="840"/>
      <c r="AA19" s="840"/>
      <c r="AB19" s="840"/>
      <c r="AC19" s="840"/>
      <c r="AD19" s="840"/>
      <c r="AE19" s="840"/>
      <c r="AF19" s="840"/>
      <c r="AG19" s="840"/>
      <c r="AH19" s="870"/>
    </row>
    <row r="20" spans="1:41" s="819" customFormat="1" ht="23.25" customHeight="1" x14ac:dyDescent="0.25">
      <c r="B20" s="990" t="s">
        <v>7165</v>
      </c>
      <c r="C20" s="990"/>
      <c r="D20" s="990"/>
      <c r="E20" s="990"/>
      <c r="F20" s="990"/>
      <c r="G20" s="990"/>
      <c r="H20" s="990"/>
      <c r="I20" s="990"/>
      <c r="J20" s="990"/>
      <c r="K20" s="990"/>
      <c r="L20" s="990"/>
      <c r="M20" s="990"/>
      <c r="N20" s="990"/>
      <c r="O20" s="990"/>
      <c r="P20" s="990"/>
      <c r="Q20" s="990"/>
      <c r="R20" s="990"/>
      <c r="S20" s="990"/>
      <c r="T20" s="990"/>
      <c r="U20" s="990"/>
      <c r="V20" s="990"/>
      <c r="W20" s="990"/>
      <c r="X20" s="990"/>
      <c r="Y20" s="990"/>
      <c r="Z20" s="990"/>
      <c r="AA20" s="990"/>
      <c r="AB20" s="990"/>
      <c r="AC20" s="990"/>
      <c r="AD20" s="990"/>
      <c r="AE20" s="990"/>
      <c r="AF20" s="990"/>
      <c r="AG20" s="990"/>
      <c r="AH20" s="870"/>
    </row>
    <row r="21" spans="1:41" s="819" customFormat="1" ht="15" customHeight="1" x14ac:dyDescent="0.25">
      <c r="B21" s="842"/>
      <c r="C21" s="843"/>
      <c r="D21" s="843"/>
      <c r="E21" s="843"/>
      <c r="F21" s="843"/>
      <c r="G21" s="843"/>
      <c r="H21" s="843"/>
      <c r="I21" s="843"/>
      <c r="J21" s="843"/>
      <c r="K21" s="843"/>
      <c r="L21" s="843"/>
      <c r="M21" s="843"/>
      <c r="N21" s="843"/>
      <c r="O21" s="843"/>
      <c r="P21" s="843"/>
      <c r="Q21" s="843"/>
      <c r="R21" s="843"/>
      <c r="S21" s="843"/>
      <c r="T21" s="843"/>
      <c r="U21" s="843"/>
      <c r="V21" s="843"/>
      <c r="W21" s="843"/>
      <c r="X21" s="843"/>
      <c r="Y21" s="843"/>
      <c r="Z21" s="843"/>
      <c r="AA21" s="843"/>
      <c r="AB21" s="843"/>
      <c r="AC21" s="843"/>
      <c r="AD21" s="843"/>
      <c r="AE21" s="843"/>
      <c r="AF21" s="843"/>
      <c r="AG21" s="844"/>
      <c r="AH21" s="870"/>
    </row>
    <row r="22" spans="1:41" s="819" customFormat="1" ht="15" customHeight="1" x14ac:dyDescent="0.25">
      <c r="B22" s="838"/>
      <c r="C22" s="821"/>
      <c r="D22" s="821"/>
      <c r="E22" s="821"/>
      <c r="F22" s="821"/>
      <c r="G22" s="821"/>
      <c r="H22" s="871"/>
      <c r="I22" s="821"/>
      <c r="J22" s="821"/>
      <c r="K22" s="821"/>
      <c r="L22" s="845" t="s">
        <v>7166</v>
      </c>
      <c r="M22" s="831"/>
      <c r="N22" s="821"/>
      <c r="O22" s="821"/>
      <c r="P22" s="845" t="s">
        <v>7167</v>
      </c>
      <c r="Q22" s="831"/>
      <c r="R22" s="830"/>
      <c r="S22" s="821"/>
      <c r="T22" s="821"/>
      <c r="U22" s="821"/>
      <c r="V22" s="821"/>
      <c r="W22" s="821"/>
      <c r="X22" s="821"/>
      <c r="Y22" s="821"/>
      <c r="Z22" s="821"/>
      <c r="AA22" s="821"/>
      <c r="AB22" s="821"/>
      <c r="AC22" s="821"/>
      <c r="AD22" s="821"/>
      <c r="AE22" s="821"/>
      <c r="AF22" s="821"/>
      <c r="AG22" s="832"/>
      <c r="AH22" s="870"/>
    </row>
    <row r="23" spans="1:41" s="819" customFormat="1" ht="15" customHeight="1" x14ac:dyDescent="0.25">
      <c r="B23" s="839"/>
      <c r="C23" s="840"/>
      <c r="D23" s="840"/>
      <c r="E23" s="840"/>
      <c r="F23" s="840"/>
      <c r="G23" s="840"/>
      <c r="H23" s="840"/>
      <c r="I23" s="840"/>
      <c r="J23" s="840"/>
      <c r="K23" s="840"/>
      <c r="L23" s="840"/>
      <c r="M23" s="840"/>
      <c r="N23" s="840"/>
      <c r="O23" s="840"/>
      <c r="P23" s="840"/>
      <c r="Q23" s="840"/>
      <c r="R23" s="840"/>
      <c r="S23" s="840"/>
      <c r="T23" s="840"/>
      <c r="U23" s="840"/>
      <c r="V23" s="840"/>
      <c r="W23" s="840"/>
      <c r="X23" s="840"/>
      <c r="Y23" s="840"/>
      <c r="Z23" s="840"/>
      <c r="AA23" s="840"/>
      <c r="AB23" s="840"/>
      <c r="AC23" s="840"/>
      <c r="AD23" s="840"/>
      <c r="AE23" s="840"/>
      <c r="AF23" s="840"/>
      <c r="AG23" s="841"/>
      <c r="AH23" s="870"/>
    </row>
    <row r="24" spans="1:41" s="819" customFormat="1" ht="7.5" customHeight="1" x14ac:dyDescent="0.25">
      <c r="B24" s="991"/>
      <c r="C24" s="991"/>
      <c r="D24" s="991"/>
      <c r="E24" s="991"/>
      <c r="F24" s="991"/>
      <c r="G24" s="991"/>
      <c r="H24" s="991"/>
      <c r="I24" s="991"/>
      <c r="J24" s="991"/>
      <c r="K24" s="991"/>
      <c r="L24" s="991"/>
      <c r="M24" s="991"/>
      <c r="N24" s="991"/>
      <c r="O24" s="991"/>
      <c r="P24" s="991"/>
      <c r="Q24" s="991"/>
      <c r="R24" s="991"/>
      <c r="S24" s="991"/>
      <c r="T24" s="991"/>
      <c r="U24" s="991"/>
      <c r="V24" s="991"/>
      <c r="W24" s="991"/>
      <c r="X24" s="991"/>
      <c r="Y24" s="991"/>
      <c r="Z24" s="991"/>
      <c r="AA24" s="991"/>
      <c r="AB24" s="991"/>
      <c r="AC24" s="991"/>
      <c r="AD24" s="991"/>
      <c r="AE24" s="991"/>
      <c r="AF24" s="991"/>
      <c r="AG24" s="991"/>
      <c r="AH24" s="870"/>
    </row>
    <row r="25" spans="1:41" s="819" customFormat="1" ht="7.5" customHeight="1" x14ac:dyDescent="0.25">
      <c r="A25" s="821"/>
      <c r="B25" s="989"/>
      <c r="C25" s="989"/>
      <c r="D25" s="989"/>
      <c r="E25" s="989"/>
      <c r="F25" s="989"/>
      <c r="G25" s="989"/>
      <c r="H25" s="989"/>
      <c r="I25" s="989"/>
      <c r="J25" s="989"/>
      <c r="K25" s="989"/>
      <c r="L25" s="989"/>
      <c r="M25" s="989"/>
      <c r="N25" s="989"/>
      <c r="O25" s="989"/>
      <c r="P25" s="989"/>
      <c r="Q25" s="989"/>
      <c r="R25" s="989"/>
      <c r="S25" s="989"/>
      <c r="T25" s="989"/>
      <c r="U25" s="989"/>
      <c r="V25" s="989"/>
      <c r="W25" s="989"/>
      <c r="X25" s="989"/>
      <c r="Y25" s="989"/>
      <c r="Z25" s="989"/>
      <c r="AA25" s="989"/>
      <c r="AB25" s="989"/>
      <c r="AC25" s="989"/>
      <c r="AD25" s="989"/>
      <c r="AE25" s="989"/>
      <c r="AF25" s="989"/>
      <c r="AG25" s="989"/>
      <c r="AH25" s="870"/>
    </row>
    <row r="26" spans="1:41" s="819" customFormat="1" ht="7.5" customHeight="1" x14ac:dyDescent="0.25">
      <c r="A26" s="821"/>
      <c r="B26" s="821"/>
      <c r="C26" s="821"/>
      <c r="D26" s="821"/>
      <c r="E26" s="821"/>
      <c r="F26" s="821"/>
      <c r="G26" s="821"/>
      <c r="H26" s="821"/>
      <c r="I26" s="821"/>
      <c r="J26" s="821"/>
      <c r="K26" s="821"/>
      <c r="L26" s="821"/>
      <c r="M26" s="821"/>
      <c r="N26" s="821"/>
      <c r="O26" s="821"/>
      <c r="P26" s="821"/>
      <c r="Q26" s="821"/>
      <c r="R26" s="821"/>
      <c r="S26" s="821"/>
      <c r="T26" s="821"/>
      <c r="U26" s="821"/>
      <c r="V26" s="821"/>
      <c r="W26" s="821"/>
      <c r="X26" s="821"/>
      <c r="Y26" s="821"/>
      <c r="Z26" s="821"/>
      <c r="AA26" s="821"/>
      <c r="AB26" s="821"/>
      <c r="AC26" s="821"/>
      <c r="AD26" s="821"/>
      <c r="AE26" s="821"/>
      <c r="AF26" s="821"/>
      <c r="AG26" s="821"/>
      <c r="AH26" s="870"/>
    </row>
    <row r="27" spans="1:41" s="819" customFormat="1" ht="7.5" customHeight="1" x14ac:dyDescent="0.25">
      <c r="A27" s="821"/>
      <c r="B27" s="821"/>
      <c r="C27" s="821"/>
      <c r="D27" s="821"/>
      <c r="E27" s="821"/>
      <c r="F27" s="821"/>
      <c r="G27" s="821"/>
      <c r="H27" s="821"/>
      <c r="I27" s="821"/>
      <c r="J27" s="821"/>
      <c r="K27" s="821"/>
      <c r="L27" s="821"/>
      <c r="M27" s="821"/>
      <c r="N27" s="821"/>
      <c r="O27" s="821"/>
      <c r="P27" s="821"/>
      <c r="Q27" s="821"/>
      <c r="R27" s="821"/>
      <c r="S27" s="821"/>
      <c r="T27" s="821"/>
      <c r="U27" s="821"/>
      <c r="V27" s="821"/>
      <c r="W27" s="821"/>
      <c r="X27" s="821"/>
      <c r="Y27" s="821"/>
      <c r="Z27" s="821"/>
      <c r="AA27" s="821"/>
      <c r="AB27" s="821"/>
      <c r="AC27" s="821"/>
      <c r="AD27" s="821"/>
      <c r="AE27" s="821"/>
      <c r="AF27" s="821"/>
      <c r="AG27" s="821"/>
      <c r="AH27" s="870"/>
    </row>
    <row r="28" spans="1:41" s="819" customFormat="1" ht="15" customHeight="1" x14ac:dyDescent="0.25">
      <c r="A28" s="822"/>
      <c r="B28" s="822"/>
      <c r="C28" s="822"/>
      <c r="D28" s="822"/>
      <c r="E28" s="822"/>
      <c r="F28" s="822"/>
      <c r="G28" s="992" t="s">
        <v>7405</v>
      </c>
      <c r="H28" s="992"/>
      <c r="I28" s="992"/>
      <c r="J28" s="992"/>
      <c r="K28" s="992"/>
      <c r="L28" s="992"/>
      <c r="M28" s="992"/>
      <c r="N28" s="992"/>
      <c r="O28" s="992"/>
      <c r="P28" s="992"/>
      <c r="Q28" s="992"/>
      <c r="R28" s="992"/>
      <c r="S28" s="992"/>
      <c r="T28" s="992"/>
      <c r="U28" s="992"/>
      <c r="V28" s="992"/>
      <c r="W28" s="992"/>
      <c r="X28" s="992"/>
      <c r="Y28" s="992"/>
      <c r="Z28" s="992"/>
      <c r="AA28" s="992"/>
      <c r="AB28" s="992"/>
      <c r="AC28" s="989" t="s">
        <v>7169</v>
      </c>
      <c r="AD28" s="989"/>
      <c r="AE28" s="989"/>
      <c r="AF28" s="989"/>
      <c r="AG28" s="989"/>
      <c r="AH28" s="870"/>
    </row>
    <row r="29" spans="1:41" s="819" customFormat="1" ht="7.5" customHeight="1" x14ac:dyDescent="0.25">
      <c r="A29" s="822"/>
      <c r="B29" s="822"/>
      <c r="C29" s="822"/>
      <c r="D29" s="822"/>
      <c r="E29" s="822"/>
      <c r="F29" s="822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  <c r="AB29" s="846"/>
      <c r="AC29" s="821"/>
      <c r="AD29" s="821"/>
      <c r="AE29" s="821"/>
      <c r="AF29" s="821"/>
      <c r="AG29" s="821"/>
      <c r="AH29" s="870"/>
    </row>
    <row r="30" spans="1:41" ht="35.1" customHeight="1" x14ac:dyDescent="0.25">
      <c r="A30" s="984" t="s">
        <v>7170</v>
      </c>
      <c r="B30" s="984" t="s">
        <v>7171</v>
      </c>
      <c r="C30" s="984"/>
      <c r="D30" s="984"/>
      <c r="E30" s="984"/>
      <c r="F30" s="984"/>
      <c r="G30" s="986" t="s">
        <v>84</v>
      </c>
      <c r="H30" s="986"/>
      <c r="I30" s="986"/>
      <c r="J30" s="986"/>
      <c r="K30" s="986"/>
      <c r="L30" s="986"/>
      <c r="M30" s="986"/>
      <c r="N30" s="986"/>
      <c r="O30" s="986"/>
      <c r="P30" s="986"/>
      <c r="Q30" s="986"/>
      <c r="R30" s="986"/>
      <c r="S30" s="986"/>
      <c r="T30" s="986"/>
      <c r="U30" s="986"/>
      <c r="V30" s="986"/>
      <c r="W30" s="986"/>
      <c r="X30" s="986"/>
      <c r="Y30" s="986"/>
      <c r="Z30" s="986"/>
      <c r="AA30" s="986"/>
      <c r="AB30" s="986"/>
      <c r="AC30" s="987" t="s">
        <v>7172</v>
      </c>
      <c r="AD30" s="987"/>
      <c r="AE30" s="987"/>
      <c r="AF30" s="987"/>
      <c r="AG30" s="987"/>
      <c r="AH30" s="988" t="s">
        <v>7173</v>
      </c>
    </row>
    <row r="31" spans="1:41" ht="20.100000000000001" customHeight="1" x14ac:dyDescent="0.25">
      <c r="A31" s="984"/>
      <c r="B31" s="984"/>
      <c r="C31" s="984"/>
      <c r="D31" s="984"/>
      <c r="E31" s="984"/>
      <c r="F31" s="984"/>
      <c r="G31" s="986"/>
      <c r="H31" s="986"/>
      <c r="I31" s="986"/>
      <c r="J31" s="986"/>
      <c r="K31" s="986"/>
      <c r="L31" s="986"/>
      <c r="M31" s="986"/>
      <c r="N31" s="986"/>
      <c r="O31" s="986"/>
      <c r="P31" s="986"/>
      <c r="Q31" s="986"/>
      <c r="R31" s="986"/>
      <c r="S31" s="986"/>
      <c r="T31" s="986"/>
      <c r="U31" s="986"/>
      <c r="V31" s="986"/>
      <c r="W31" s="986"/>
      <c r="X31" s="986"/>
      <c r="Y31" s="986"/>
      <c r="Z31" s="986"/>
      <c r="AA31" s="986"/>
      <c r="AB31" s="986"/>
      <c r="AC31" s="987"/>
      <c r="AD31" s="987"/>
      <c r="AE31" s="987"/>
      <c r="AF31" s="987"/>
      <c r="AG31" s="987"/>
      <c r="AH31" s="988"/>
    </row>
    <row r="32" spans="1:41" s="855" customFormat="1" ht="15.75" customHeight="1" x14ac:dyDescent="0.25">
      <c r="A32" s="872"/>
      <c r="B32" s="943" t="s">
        <v>7406</v>
      </c>
      <c r="C32" s="943"/>
      <c r="D32" s="943"/>
      <c r="E32" s="943"/>
      <c r="F32" s="943"/>
      <c r="G32" s="944" t="s">
        <v>6875</v>
      </c>
      <c r="H32" s="944"/>
      <c r="I32" s="944"/>
      <c r="J32" s="944"/>
      <c r="K32" s="944"/>
      <c r="L32" s="944"/>
      <c r="M32" s="944"/>
      <c r="N32" s="944"/>
      <c r="O32" s="944"/>
      <c r="P32" s="944"/>
      <c r="Q32" s="944"/>
      <c r="R32" s="944"/>
      <c r="S32" s="944"/>
      <c r="T32" s="944"/>
      <c r="U32" s="944"/>
      <c r="V32" s="944"/>
      <c r="W32" s="944"/>
      <c r="X32" s="944"/>
      <c r="Y32" s="944"/>
      <c r="Z32" s="944"/>
      <c r="AA32" s="944"/>
      <c r="AB32" s="944"/>
      <c r="AC32" s="954">
        <f ca="1">AC33+AC34+AC43+AC44+AC50+AC54+AC55</f>
        <v>128447184</v>
      </c>
      <c r="AD32" s="954"/>
      <c r="AE32" s="954"/>
      <c r="AF32" s="954"/>
      <c r="AG32" s="954"/>
      <c r="AH32" s="873" t="s">
        <v>7407</v>
      </c>
      <c r="AJ32" s="874">
        <f ca="1">AC32-AK32</f>
        <v>0</v>
      </c>
      <c r="AK32" s="816">
        <f>'NI-San_SP'!O792+'NI-Ric_SP'!O792</f>
        <v>128447184</v>
      </c>
      <c r="AL32" s="874">
        <f ca="1">AC32+AC56+AC89+AC93+AC150</f>
        <v>232309840</v>
      </c>
      <c r="AM32" s="875">
        <f>'NI-San_SP'!O790+'NI-Ric_SP'!O790</f>
        <v>232309840</v>
      </c>
      <c r="AN32" s="876">
        <f ca="1">AL32-AM32</f>
        <v>0</v>
      </c>
      <c r="AO32" s="855" t="s">
        <v>7408</v>
      </c>
    </row>
    <row r="33" spans="1:38" s="855" customFormat="1" ht="15.75" customHeight="1" x14ac:dyDescent="0.25">
      <c r="A33" s="860"/>
      <c r="B33" s="943" t="s">
        <v>1915</v>
      </c>
      <c r="C33" s="943"/>
      <c r="D33" s="943"/>
      <c r="E33" s="943"/>
      <c r="F33" s="943"/>
      <c r="G33" s="944" t="s">
        <v>7409</v>
      </c>
      <c r="H33" s="944"/>
      <c r="I33" s="944"/>
      <c r="J33" s="944"/>
      <c r="K33" s="944"/>
      <c r="L33" s="944"/>
      <c r="M33" s="944"/>
      <c r="N33" s="944"/>
      <c r="O33" s="944"/>
      <c r="P33" s="944"/>
      <c r="Q33" s="944"/>
      <c r="R33" s="944"/>
      <c r="S33" s="944"/>
      <c r="T33" s="944"/>
      <c r="U33" s="944"/>
      <c r="V33" s="944"/>
      <c r="W33" s="944"/>
      <c r="X33" s="944"/>
      <c r="Y33" s="944"/>
      <c r="Z33" s="944"/>
      <c r="AA33" s="944"/>
      <c r="AB33" s="944"/>
      <c r="AC33" s="968">
        <f ca="1">SUMIF(Codifica_SP!$I$2:$R$1445,B33,Codifica_SP!$R$2:$R$1445)</f>
        <v>27529020</v>
      </c>
      <c r="AD33" s="968"/>
      <c r="AE33" s="968"/>
      <c r="AF33" s="968"/>
      <c r="AG33" s="968"/>
      <c r="AH33" s="877" t="s">
        <v>7407</v>
      </c>
      <c r="AJ33" s="816"/>
      <c r="AK33" s="816"/>
      <c r="AL33" s="816"/>
    </row>
    <row r="34" spans="1:38" s="855" customFormat="1" ht="15.75" customHeight="1" x14ac:dyDescent="0.25">
      <c r="A34" s="860"/>
      <c r="B34" s="943" t="s">
        <v>7410</v>
      </c>
      <c r="C34" s="943"/>
      <c r="D34" s="943"/>
      <c r="E34" s="943"/>
      <c r="F34" s="943"/>
      <c r="G34" s="944" t="s">
        <v>7411</v>
      </c>
      <c r="H34" s="944"/>
      <c r="I34" s="944"/>
      <c r="J34" s="944"/>
      <c r="K34" s="944"/>
      <c r="L34" s="944"/>
      <c r="M34" s="944"/>
      <c r="N34" s="944"/>
      <c r="O34" s="944"/>
      <c r="P34" s="944"/>
      <c r="Q34" s="944"/>
      <c r="R34" s="944"/>
      <c r="S34" s="944"/>
      <c r="T34" s="944"/>
      <c r="U34" s="944"/>
      <c r="V34" s="944"/>
      <c r="W34" s="944"/>
      <c r="X34" s="944"/>
      <c r="Y34" s="944"/>
      <c r="Z34" s="944"/>
      <c r="AA34" s="944"/>
      <c r="AB34" s="944"/>
      <c r="AC34" s="954">
        <f ca="1">AC35+AC36+SUM(AC40:AC42)</f>
        <v>88220877</v>
      </c>
      <c r="AD34" s="954"/>
      <c r="AE34" s="954"/>
      <c r="AF34" s="954"/>
      <c r="AG34" s="954"/>
      <c r="AH34" s="860" t="s">
        <v>7175</v>
      </c>
      <c r="AJ34" s="816"/>
      <c r="AK34" s="816"/>
      <c r="AL34" s="816"/>
    </row>
    <row r="35" spans="1:38" s="855" customFormat="1" ht="15.75" customHeight="1" x14ac:dyDescent="0.25">
      <c r="A35" s="860"/>
      <c r="B35" s="951" t="s">
        <v>1924</v>
      </c>
      <c r="C35" s="951"/>
      <c r="D35" s="951"/>
      <c r="E35" s="951"/>
      <c r="F35" s="951"/>
      <c r="G35" s="952" t="s">
        <v>7412</v>
      </c>
      <c r="H35" s="952"/>
      <c r="I35" s="952"/>
      <c r="J35" s="952"/>
      <c r="K35" s="952"/>
      <c r="L35" s="952"/>
      <c r="M35" s="952"/>
      <c r="N35" s="952"/>
      <c r="O35" s="952"/>
      <c r="P35" s="952"/>
      <c r="Q35" s="952"/>
      <c r="R35" s="952"/>
      <c r="S35" s="952"/>
      <c r="T35" s="952"/>
      <c r="U35" s="952"/>
      <c r="V35" s="952"/>
      <c r="W35" s="952"/>
      <c r="X35" s="952"/>
      <c r="Y35" s="952"/>
      <c r="Z35" s="952"/>
      <c r="AA35" s="952"/>
      <c r="AB35" s="952"/>
      <c r="AC35" s="968">
        <f ca="1">SUMIF(Codifica_SP!$I$2:$R$1445,B35,Codifica_SP!$R$2:$R$1445)</f>
        <v>25372331</v>
      </c>
      <c r="AD35" s="968"/>
      <c r="AE35" s="968"/>
      <c r="AF35" s="968"/>
      <c r="AG35" s="968"/>
      <c r="AH35" s="860" t="s">
        <v>7175</v>
      </c>
      <c r="AJ35" s="816"/>
      <c r="AK35" s="816"/>
      <c r="AL35" s="816"/>
    </row>
    <row r="36" spans="1:38" s="855" customFormat="1" ht="15.75" customHeight="1" x14ac:dyDescent="0.25">
      <c r="A36" s="860"/>
      <c r="B36" s="951" t="s">
        <v>7413</v>
      </c>
      <c r="C36" s="951"/>
      <c r="D36" s="951"/>
      <c r="E36" s="951"/>
      <c r="F36" s="951"/>
      <c r="G36" s="952" t="s">
        <v>7414</v>
      </c>
      <c r="H36" s="952"/>
      <c r="I36" s="952"/>
      <c r="J36" s="952"/>
      <c r="K36" s="952"/>
      <c r="L36" s="952"/>
      <c r="M36" s="952"/>
      <c r="N36" s="952"/>
      <c r="O36" s="952"/>
      <c r="P36" s="952"/>
      <c r="Q36" s="952"/>
      <c r="R36" s="952"/>
      <c r="S36" s="952"/>
      <c r="T36" s="952"/>
      <c r="U36" s="952"/>
      <c r="V36" s="952"/>
      <c r="W36" s="952"/>
      <c r="X36" s="952"/>
      <c r="Y36" s="952"/>
      <c r="Z36" s="952"/>
      <c r="AA36" s="952"/>
      <c r="AB36" s="952"/>
      <c r="AC36" s="961">
        <f ca="1">SUM(AC37:AC39)</f>
        <v>13598000</v>
      </c>
      <c r="AD36" s="961"/>
      <c r="AE36" s="961"/>
      <c r="AF36" s="961"/>
      <c r="AG36" s="961"/>
      <c r="AH36" s="860" t="s">
        <v>7175</v>
      </c>
      <c r="AJ36" s="816"/>
      <c r="AK36" s="816"/>
      <c r="AL36" s="816"/>
    </row>
    <row r="37" spans="1:38" s="855" customFormat="1" ht="15.75" customHeight="1" x14ac:dyDescent="0.25">
      <c r="A37" s="860"/>
      <c r="B37" s="957" t="s">
        <v>1934</v>
      </c>
      <c r="C37" s="957"/>
      <c r="D37" s="957"/>
      <c r="E37" s="957"/>
      <c r="F37" s="957"/>
      <c r="G37" s="958" t="s">
        <v>7415</v>
      </c>
      <c r="H37" s="958"/>
      <c r="I37" s="958"/>
      <c r="J37" s="958"/>
      <c r="K37" s="958"/>
      <c r="L37" s="958"/>
      <c r="M37" s="958"/>
      <c r="N37" s="958"/>
      <c r="O37" s="958"/>
      <c r="P37" s="958"/>
      <c r="Q37" s="958"/>
      <c r="R37" s="958"/>
      <c r="S37" s="958"/>
      <c r="T37" s="958"/>
      <c r="U37" s="958"/>
      <c r="V37" s="958"/>
      <c r="W37" s="958"/>
      <c r="X37" s="958"/>
      <c r="Y37" s="958"/>
      <c r="Z37" s="958"/>
      <c r="AA37" s="958"/>
      <c r="AB37" s="958"/>
      <c r="AC37" s="942">
        <f ca="1">SUMIF(Codifica_SP!$J$2:$R$1445,B37,Codifica_SP!$R$2:$R$1445)</f>
        <v>0</v>
      </c>
      <c r="AD37" s="942"/>
      <c r="AE37" s="942"/>
      <c r="AF37" s="942"/>
      <c r="AG37" s="942"/>
      <c r="AH37" s="860" t="s">
        <v>7175</v>
      </c>
      <c r="AJ37" s="816"/>
      <c r="AK37" s="816"/>
      <c r="AL37" s="816"/>
    </row>
    <row r="38" spans="1:38" s="855" customFormat="1" ht="15.75" customHeight="1" x14ac:dyDescent="0.25">
      <c r="A38" s="860"/>
      <c r="B38" s="957" t="s">
        <v>1939</v>
      </c>
      <c r="C38" s="957"/>
      <c r="D38" s="957"/>
      <c r="E38" s="957"/>
      <c r="F38" s="957"/>
      <c r="G38" s="958" t="s">
        <v>7416</v>
      </c>
      <c r="H38" s="958"/>
      <c r="I38" s="958"/>
      <c r="J38" s="958"/>
      <c r="K38" s="958"/>
      <c r="L38" s="958"/>
      <c r="M38" s="958"/>
      <c r="N38" s="958"/>
      <c r="O38" s="958"/>
      <c r="P38" s="958"/>
      <c r="Q38" s="958"/>
      <c r="R38" s="958"/>
      <c r="S38" s="958"/>
      <c r="T38" s="958"/>
      <c r="U38" s="958"/>
      <c r="V38" s="958"/>
      <c r="W38" s="958"/>
      <c r="X38" s="958"/>
      <c r="Y38" s="958"/>
      <c r="Z38" s="958"/>
      <c r="AA38" s="958"/>
      <c r="AB38" s="958"/>
      <c r="AC38" s="942">
        <f ca="1">SUMIF(Codifica_SP!$J$2:$R$1445,B38,Codifica_SP!$R$2:$R$1445)</f>
        <v>0</v>
      </c>
      <c r="AD38" s="942"/>
      <c r="AE38" s="942"/>
      <c r="AF38" s="942"/>
      <c r="AG38" s="942"/>
      <c r="AH38" s="860" t="s">
        <v>7175</v>
      </c>
      <c r="AJ38" s="816"/>
      <c r="AK38" s="816"/>
      <c r="AL38" s="816"/>
    </row>
    <row r="39" spans="1:38" s="855" customFormat="1" ht="15.75" customHeight="1" x14ac:dyDescent="0.25">
      <c r="A39" s="860"/>
      <c r="B39" s="957" t="s">
        <v>1944</v>
      </c>
      <c r="C39" s="957"/>
      <c r="D39" s="957"/>
      <c r="E39" s="957"/>
      <c r="F39" s="957"/>
      <c r="G39" s="958" t="s">
        <v>7417</v>
      </c>
      <c r="H39" s="958"/>
      <c r="I39" s="958"/>
      <c r="J39" s="958"/>
      <c r="K39" s="958"/>
      <c r="L39" s="958"/>
      <c r="M39" s="958"/>
      <c r="N39" s="958"/>
      <c r="O39" s="958"/>
      <c r="P39" s="958"/>
      <c r="Q39" s="958"/>
      <c r="R39" s="958"/>
      <c r="S39" s="958"/>
      <c r="T39" s="958"/>
      <c r="U39" s="958"/>
      <c r="V39" s="958"/>
      <c r="W39" s="958"/>
      <c r="X39" s="958"/>
      <c r="Y39" s="958"/>
      <c r="Z39" s="958"/>
      <c r="AA39" s="958"/>
      <c r="AB39" s="958"/>
      <c r="AC39" s="942">
        <f ca="1">SUMIF(Codifica_SP!$J$2:$R$1445,B39,Codifica_SP!$R$2:$R$1445)</f>
        <v>13598000</v>
      </c>
      <c r="AD39" s="942"/>
      <c r="AE39" s="942"/>
      <c r="AF39" s="942"/>
      <c r="AG39" s="942"/>
      <c r="AH39" s="860" t="s">
        <v>7175</v>
      </c>
      <c r="AJ39" s="816"/>
      <c r="AK39" s="816"/>
      <c r="AL39" s="816"/>
    </row>
    <row r="40" spans="1:38" s="855" customFormat="1" ht="15.75" customHeight="1" x14ac:dyDescent="0.25">
      <c r="A40" s="860"/>
      <c r="B40" s="951" t="s">
        <v>1949</v>
      </c>
      <c r="C40" s="951"/>
      <c r="D40" s="951"/>
      <c r="E40" s="951"/>
      <c r="F40" s="951"/>
      <c r="G40" s="952" t="s">
        <v>7418</v>
      </c>
      <c r="H40" s="952"/>
      <c r="I40" s="952"/>
      <c r="J40" s="952"/>
      <c r="K40" s="952"/>
      <c r="L40" s="952"/>
      <c r="M40" s="952"/>
      <c r="N40" s="952"/>
      <c r="O40" s="952"/>
      <c r="P40" s="952"/>
      <c r="Q40" s="952"/>
      <c r="R40" s="952"/>
      <c r="S40" s="952"/>
      <c r="T40" s="952"/>
      <c r="U40" s="952"/>
      <c r="V40" s="952"/>
      <c r="W40" s="952"/>
      <c r="X40" s="952"/>
      <c r="Y40" s="952"/>
      <c r="Z40" s="952"/>
      <c r="AA40" s="952"/>
      <c r="AB40" s="952"/>
      <c r="AC40" s="942">
        <f ca="1">SUMIF(Codifica_SP!$J$2:$R$1445,B40,Codifica_SP!$R$2:$R$1445)</f>
        <v>47453477</v>
      </c>
      <c r="AD40" s="942"/>
      <c r="AE40" s="942"/>
      <c r="AF40" s="942"/>
      <c r="AG40" s="942"/>
      <c r="AH40" s="860" t="s">
        <v>7175</v>
      </c>
      <c r="AJ40" s="816"/>
      <c r="AK40" s="816"/>
      <c r="AL40" s="816"/>
    </row>
    <row r="41" spans="1:38" s="855" customFormat="1" ht="15.75" customHeight="1" x14ac:dyDescent="0.25">
      <c r="A41" s="860"/>
      <c r="B41" s="951" t="s">
        <v>1955</v>
      </c>
      <c r="C41" s="951"/>
      <c r="D41" s="951"/>
      <c r="E41" s="951"/>
      <c r="F41" s="951"/>
      <c r="G41" s="952" t="s">
        <v>7419</v>
      </c>
      <c r="H41" s="952"/>
      <c r="I41" s="952"/>
      <c r="J41" s="952"/>
      <c r="K41" s="952"/>
      <c r="L41" s="952"/>
      <c r="M41" s="952"/>
      <c r="N41" s="952"/>
      <c r="O41" s="952"/>
      <c r="P41" s="952"/>
      <c r="Q41" s="952"/>
      <c r="R41" s="952"/>
      <c r="S41" s="952"/>
      <c r="T41" s="952"/>
      <c r="U41" s="952"/>
      <c r="V41" s="952"/>
      <c r="W41" s="952"/>
      <c r="X41" s="952"/>
      <c r="Y41" s="952"/>
      <c r="Z41" s="952"/>
      <c r="AA41" s="952"/>
      <c r="AB41" s="952"/>
      <c r="AC41" s="942">
        <f ca="1">SUMIF(Codifica_SP!$J$2:$R$1445,B41,Codifica_SP!$R$2:$R$1445)</f>
        <v>0</v>
      </c>
      <c r="AD41" s="942"/>
      <c r="AE41" s="942"/>
      <c r="AF41" s="942"/>
      <c r="AG41" s="942"/>
      <c r="AH41" s="860" t="s">
        <v>7175</v>
      </c>
      <c r="AJ41" s="816"/>
      <c r="AK41" s="816"/>
      <c r="AL41" s="816"/>
    </row>
    <row r="42" spans="1:38" s="855" customFormat="1" ht="15.75" customHeight="1" x14ac:dyDescent="0.25">
      <c r="A42" s="860"/>
      <c r="B42" s="951" t="s">
        <v>1961</v>
      </c>
      <c r="C42" s="951"/>
      <c r="D42" s="951"/>
      <c r="E42" s="951"/>
      <c r="F42" s="951"/>
      <c r="G42" s="952" t="s">
        <v>7420</v>
      </c>
      <c r="H42" s="952"/>
      <c r="I42" s="952"/>
      <c r="J42" s="952"/>
      <c r="K42" s="952"/>
      <c r="L42" s="952"/>
      <c r="M42" s="952"/>
      <c r="N42" s="952"/>
      <c r="O42" s="952"/>
      <c r="P42" s="952"/>
      <c r="Q42" s="952"/>
      <c r="R42" s="952"/>
      <c r="S42" s="952"/>
      <c r="T42" s="952"/>
      <c r="U42" s="952"/>
      <c r="V42" s="952"/>
      <c r="W42" s="952"/>
      <c r="X42" s="952"/>
      <c r="Y42" s="952"/>
      <c r="Z42" s="952"/>
      <c r="AA42" s="952"/>
      <c r="AB42" s="952"/>
      <c r="AC42" s="942">
        <f ca="1">SUMIF(Codifica_SP!$J$2:$R$1445,B42,Codifica_SP!$R$2:$R$1445)</f>
        <v>1797069</v>
      </c>
      <c r="AD42" s="942"/>
      <c r="AE42" s="942"/>
      <c r="AF42" s="942"/>
      <c r="AG42" s="942"/>
      <c r="AH42" s="860" t="s">
        <v>7175</v>
      </c>
      <c r="AJ42" s="816"/>
      <c r="AK42" s="816"/>
      <c r="AL42" s="816"/>
    </row>
    <row r="43" spans="1:38" s="855" customFormat="1" ht="15.75" customHeight="1" x14ac:dyDescent="0.25">
      <c r="A43" s="860"/>
      <c r="B43" s="943" t="s">
        <v>1967</v>
      </c>
      <c r="C43" s="943"/>
      <c r="D43" s="943"/>
      <c r="E43" s="943"/>
      <c r="F43" s="943"/>
      <c r="G43" s="944" t="s">
        <v>7421</v>
      </c>
      <c r="H43" s="944"/>
      <c r="I43" s="944"/>
      <c r="J43" s="944"/>
      <c r="K43" s="944"/>
      <c r="L43" s="944"/>
      <c r="M43" s="944"/>
      <c r="N43" s="944"/>
      <c r="O43" s="944"/>
      <c r="P43" s="944"/>
      <c r="Q43" s="944"/>
      <c r="R43" s="944"/>
      <c r="S43" s="944"/>
      <c r="T43" s="944"/>
      <c r="U43" s="944"/>
      <c r="V43" s="944"/>
      <c r="W43" s="944"/>
      <c r="X43" s="944"/>
      <c r="Y43" s="944"/>
      <c r="Z43" s="944"/>
      <c r="AA43" s="944"/>
      <c r="AB43" s="944"/>
      <c r="AC43" s="942">
        <f ca="1">SUMIF(Codifica_SP!$J$2:$R$1445,B43,Codifica_SP!$R$2:$R$1445)</f>
        <v>11361912</v>
      </c>
      <c r="AD43" s="942"/>
      <c r="AE43" s="942"/>
      <c r="AF43" s="942"/>
      <c r="AG43" s="942"/>
      <c r="AH43" s="860" t="s">
        <v>7175</v>
      </c>
      <c r="AJ43" s="816"/>
      <c r="AK43" s="816"/>
      <c r="AL43" s="816"/>
    </row>
    <row r="44" spans="1:38" s="855" customFormat="1" ht="15.75" customHeight="1" x14ac:dyDescent="0.25">
      <c r="A44" s="851"/>
      <c r="B44" s="943" t="s">
        <v>7422</v>
      </c>
      <c r="C44" s="943"/>
      <c r="D44" s="943"/>
      <c r="E44" s="943"/>
      <c r="F44" s="943"/>
      <c r="G44" s="944" t="s">
        <v>7423</v>
      </c>
      <c r="H44" s="944"/>
      <c r="I44" s="944"/>
      <c r="J44" s="944"/>
      <c r="K44" s="944"/>
      <c r="L44" s="944"/>
      <c r="M44" s="944"/>
      <c r="N44" s="944"/>
      <c r="O44" s="944"/>
      <c r="P44" s="944"/>
      <c r="Q44" s="944"/>
      <c r="R44" s="944"/>
      <c r="S44" s="944"/>
      <c r="T44" s="944"/>
      <c r="U44" s="944"/>
      <c r="V44" s="944"/>
      <c r="W44" s="944"/>
      <c r="X44" s="944"/>
      <c r="Y44" s="944"/>
      <c r="Z44" s="944"/>
      <c r="AA44" s="944"/>
      <c r="AB44" s="944"/>
      <c r="AC44" s="961">
        <f ca="1">SUM(AC45:AC49)</f>
        <v>1335375</v>
      </c>
      <c r="AD44" s="961"/>
      <c r="AE44" s="961"/>
      <c r="AF44" s="961"/>
      <c r="AG44" s="961"/>
      <c r="AH44" s="860" t="s">
        <v>7175</v>
      </c>
      <c r="AJ44" s="816"/>
      <c r="AK44" s="816"/>
      <c r="AL44" s="816"/>
    </row>
    <row r="45" spans="1:38" s="855" customFormat="1" ht="15.75" customHeight="1" x14ac:dyDescent="0.25">
      <c r="A45" s="851"/>
      <c r="B45" s="951" t="s">
        <v>1978</v>
      </c>
      <c r="C45" s="951"/>
      <c r="D45" s="951"/>
      <c r="E45" s="951"/>
      <c r="F45" s="951"/>
      <c r="G45" s="952" t="s">
        <v>7424</v>
      </c>
      <c r="H45" s="952"/>
      <c r="I45" s="952"/>
      <c r="J45" s="952"/>
      <c r="K45" s="952"/>
      <c r="L45" s="952"/>
      <c r="M45" s="952"/>
      <c r="N45" s="952"/>
      <c r="O45" s="952"/>
      <c r="P45" s="952"/>
      <c r="Q45" s="952"/>
      <c r="R45" s="952"/>
      <c r="S45" s="952"/>
      <c r="T45" s="952"/>
      <c r="U45" s="952"/>
      <c r="V45" s="952"/>
      <c r="W45" s="952"/>
      <c r="X45" s="952"/>
      <c r="Y45" s="952"/>
      <c r="Z45" s="952"/>
      <c r="AA45" s="952"/>
      <c r="AB45" s="952"/>
      <c r="AC45" s="942">
        <f ca="1">SUMIF(Codifica_SP!$J$2:$R$1445,B45,Codifica_SP!$R$2:$R$1445)</f>
        <v>0</v>
      </c>
      <c r="AD45" s="942"/>
      <c r="AE45" s="942"/>
      <c r="AF45" s="942"/>
      <c r="AG45" s="942"/>
      <c r="AH45" s="860" t="s">
        <v>7175</v>
      </c>
      <c r="AJ45" s="816"/>
      <c r="AK45" s="816"/>
      <c r="AL45" s="816"/>
    </row>
    <row r="46" spans="1:38" s="855" customFormat="1" ht="15.75" customHeight="1" x14ac:dyDescent="0.25">
      <c r="A46" s="851"/>
      <c r="B46" s="951" t="s">
        <v>1982</v>
      </c>
      <c r="C46" s="951"/>
      <c r="D46" s="951"/>
      <c r="E46" s="951"/>
      <c r="F46" s="951"/>
      <c r="G46" s="952" t="s">
        <v>7425</v>
      </c>
      <c r="H46" s="952"/>
      <c r="I46" s="952"/>
      <c r="J46" s="952"/>
      <c r="K46" s="952"/>
      <c r="L46" s="952"/>
      <c r="M46" s="952"/>
      <c r="N46" s="952"/>
      <c r="O46" s="952"/>
      <c r="P46" s="952"/>
      <c r="Q46" s="952"/>
      <c r="R46" s="952"/>
      <c r="S46" s="952"/>
      <c r="T46" s="952"/>
      <c r="U46" s="952"/>
      <c r="V46" s="952"/>
      <c r="W46" s="952"/>
      <c r="X46" s="952"/>
      <c r="Y46" s="952"/>
      <c r="Z46" s="952"/>
      <c r="AA46" s="952"/>
      <c r="AB46" s="952"/>
      <c r="AC46" s="942">
        <f ca="1">SUMIF(Codifica_SP!$J$2:$R$1445,B46,Codifica_SP!$R$2:$R$1445)</f>
        <v>1333457</v>
      </c>
      <c r="AD46" s="942"/>
      <c r="AE46" s="942"/>
      <c r="AF46" s="942"/>
      <c r="AG46" s="942"/>
      <c r="AH46" s="860" t="s">
        <v>7175</v>
      </c>
      <c r="AJ46" s="816"/>
      <c r="AK46" s="816"/>
      <c r="AL46" s="816"/>
    </row>
    <row r="47" spans="1:38" s="855" customFormat="1" ht="15.75" customHeight="1" x14ac:dyDescent="0.25">
      <c r="A47" s="851"/>
      <c r="B47" s="951" t="s">
        <v>1986</v>
      </c>
      <c r="C47" s="951"/>
      <c r="D47" s="951"/>
      <c r="E47" s="951"/>
      <c r="F47" s="951"/>
      <c r="G47" s="952" t="s">
        <v>7426</v>
      </c>
      <c r="H47" s="952"/>
      <c r="I47" s="952"/>
      <c r="J47" s="952"/>
      <c r="K47" s="952"/>
      <c r="L47" s="952"/>
      <c r="M47" s="952"/>
      <c r="N47" s="952"/>
      <c r="O47" s="952"/>
      <c r="P47" s="952"/>
      <c r="Q47" s="952"/>
      <c r="R47" s="952"/>
      <c r="S47" s="952"/>
      <c r="T47" s="952"/>
      <c r="U47" s="952"/>
      <c r="V47" s="952"/>
      <c r="W47" s="952"/>
      <c r="X47" s="952"/>
      <c r="Y47" s="952"/>
      <c r="Z47" s="952"/>
      <c r="AA47" s="952"/>
      <c r="AB47" s="952"/>
      <c r="AC47" s="942">
        <f ca="1">SUMIF(Codifica_SP!$J$2:$R$1445,B47,Codifica_SP!$R$2:$R$1445)</f>
        <v>0</v>
      </c>
      <c r="AD47" s="942"/>
      <c r="AE47" s="942"/>
      <c r="AF47" s="942"/>
      <c r="AG47" s="942"/>
      <c r="AH47" s="860" t="s">
        <v>7175</v>
      </c>
      <c r="AJ47" s="816"/>
      <c r="AK47" s="816"/>
      <c r="AL47" s="816"/>
    </row>
    <row r="48" spans="1:38" s="855" customFormat="1" ht="15.75" customHeight="1" x14ac:dyDescent="0.25">
      <c r="A48" s="851"/>
      <c r="B48" s="951" t="s">
        <v>1990</v>
      </c>
      <c r="C48" s="951"/>
      <c r="D48" s="951"/>
      <c r="E48" s="951"/>
      <c r="F48" s="951"/>
      <c r="G48" s="952" t="s">
        <v>7427</v>
      </c>
      <c r="H48" s="952"/>
      <c r="I48" s="952"/>
      <c r="J48" s="952"/>
      <c r="K48" s="952"/>
      <c r="L48" s="952"/>
      <c r="M48" s="952"/>
      <c r="N48" s="952"/>
      <c r="O48" s="952"/>
      <c r="P48" s="952"/>
      <c r="Q48" s="952"/>
      <c r="R48" s="952"/>
      <c r="S48" s="952"/>
      <c r="T48" s="952"/>
      <c r="U48" s="952"/>
      <c r="V48" s="952"/>
      <c r="W48" s="952"/>
      <c r="X48" s="952"/>
      <c r="Y48" s="952"/>
      <c r="Z48" s="952"/>
      <c r="AA48" s="952"/>
      <c r="AB48" s="952"/>
      <c r="AC48" s="942">
        <f ca="1">SUMIF(Codifica_SP!$J$2:$R$1445,B48,Codifica_SP!$R$2:$R$1445)</f>
        <v>0</v>
      </c>
      <c r="AD48" s="942"/>
      <c r="AE48" s="942"/>
      <c r="AF48" s="942"/>
      <c r="AG48" s="942"/>
      <c r="AH48" s="860" t="s">
        <v>7175</v>
      </c>
      <c r="AJ48" s="816"/>
      <c r="AK48" s="816"/>
      <c r="AL48" s="816"/>
    </row>
    <row r="49" spans="1:38" s="855" customFormat="1" ht="15.75" customHeight="1" x14ac:dyDescent="0.25">
      <c r="A49" s="851"/>
      <c r="B49" s="951" t="s">
        <v>1994</v>
      </c>
      <c r="C49" s="951"/>
      <c r="D49" s="951"/>
      <c r="E49" s="951"/>
      <c r="F49" s="951"/>
      <c r="G49" s="952" t="s">
        <v>7428</v>
      </c>
      <c r="H49" s="952"/>
      <c r="I49" s="952"/>
      <c r="J49" s="952"/>
      <c r="K49" s="952"/>
      <c r="L49" s="952"/>
      <c r="M49" s="952"/>
      <c r="N49" s="952"/>
      <c r="O49" s="952"/>
      <c r="P49" s="952"/>
      <c r="Q49" s="952"/>
      <c r="R49" s="952"/>
      <c r="S49" s="952"/>
      <c r="T49" s="952"/>
      <c r="U49" s="952"/>
      <c r="V49" s="952"/>
      <c r="W49" s="952"/>
      <c r="X49" s="952"/>
      <c r="Y49" s="952"/>
      <c r="Z49" s="952"/>
      <c r="AA49" s="952"/>
      <c r="AB49" s="952"/>
      <c r="AC49" s="942">
        <f ca="1">SUMIF(Codifica_SP!$J$2:$R$1445,B49,Codifica_SP!$R$2:$R$1445)</f>
        <v>1918</v>
      </c>
      <c r="AD49" s="942"/>
      <c r="AE49" s="942"/>
      <c r="AF49" s="942"/>
      <c r="AG49" s="942"/>
      <c r="AH49" s="860" t="s">
        <v>7175</v>
      </c>
      <c r="AJ49" s="816"/>
      <c r="AK49" s="816"/>
      <c r="AL49" s="816"/>
    </row>
    <row r="50" spans="1:38" s="855" customFormat="1" ht="15.75" customHeight="1" x14ac:dyDescent="0.25">
      <c r="A50" s="860"/>
      <c r="B50" s="943" t="s">
        <v>7429</v>
      </c>
      <c r="C50" s="943"/>
      <c r="D50" s="943"/>
      <c r="E50" s="943"/>
      <c r="F50" s="943"/>
      <c r="G50" s="944" t="s">
        <v>7430</v>
      </c>
      <c r="H50" s="944"/>
      <c r="I50" s="944"/>
      <c r="J50" s="944"/>
      <c r="K50" s="944"/>
      <c r="L50" s="944"/>
      <c r="M50" s="944"/>
      <c r="N50" s="944"/>
      <c r="O50" s="944"/>
      <c r="P50" s="944"/>
      <c r="Q50" s="944"/>
      <c r="R50" s="944"/>
      <c r="S50" s="944"/>
      <c r="T50" s="944"/>
      <c r="U50" s="944"/>
      <c r="V50" s="944"/>
      <c r="W50" s="944"/>
      <c r="X50" s="944"/>
      <c r="Y50" s="944"/>
      <c r="Z50" s="944"/>
      <c r="AA50" s="944"/>
      <c r="AB50" s="944"/>
      <c r="AC50" s="954">
        <f ca="1">SUM(AC51:AC53)</f>
        <v>0</v>
      </c>
      <c r="AD50" s="954"/>
      <c r="AE50" s="954"/>
      <c r="AF50" s="954"/>
      <c r="AG50" s="954"/>
      <c r="AH50" s="860" t="s">
        <v>7175</v>
      </c>
      <c r="AJ50" s="816"/>
      <c r="AK50" s="816"/>
      <c r="AL50" s="816"/>
    </row>
    <row r="51" spans="1:38" s="855" customFormat="1" ht="15.75" customHeight="1" x14ac:dyDescent="0.25">
      <c r="A51" s="851"/>
      <c r="B51" s="951" t="s">
        <v>2003</v>
      </c>
      <c r="C51" s="951"/>
      <c r="D51" s="951"/>
      <c r="E51" s="951"/>
      <c r="F51" s="951"/>
      <c r="G51" s="952" t="s">
        <v>7431</v>
      </c>
      <c r="H51" s="952"/>
      <c r="I51" s="952"/>
      <c r="J51" s="952"/>
      <c r="K51" s="952"/>
      <c r="L51" s="952"/>
      <c r="M51" s="952"/>
      <c r="N51" s="952"/>
      <c r="O51" s="952"/>
      <c r="P51" s="952"/>
      <c r="Q51" s="952"/>
      <c r="R51" s="952"/>
      <c r="S51" s="952"/>
      <c r="T51" s="952"/>
      <c r="U51" s="952"/>
      <c r="V51" s="952"/>
      <c r="W51" s="952"/>
      <c r="X51" s="952"/>
      <c r="Y51" s="952"/>
      <c r="Z51" s="952"/>
      <c r="AA51" s="952"/>
      <c r="AB51" s="952"/>
      <c r="AC51" s="942">
        <f ca="1">SUMIF(Codifica_SP!$J$2:$R$1445,B51,Codifica_SP!$R$2:$R$1445)</f>
        <v>0</v>
      </c>
      <c r="AD51" s="942"/>
      <c r="AE51" s="942"/>
      <c r="AF51" s="942"/>
      <c r="AG51" s="942"/>
      <c r="AH51" s="860" t="s">
        <v>7175</v>
      </c>
      <c r="AJ51" s="816"/>
      <c r="AK51" s="816"/>
      <c r="AL51" s="816"/>
    </row>
    <row r="52" spans="1:38" s="855" customFormat="1" ht="15" customHeight="1" x14ac:dyDescent="0.25">
      <c r="A52" s="851"/>
      <c r="B52" s="1015" t="s">
        <v>2007</v>
      </c>
      <c r="C52" s="1015"/>
      <c r="D52" s="1015"/>
      <c r="E52" s="1015"/>
      <c r="F52" s="1015"/>
      <c r="G52" s="952" t="s">
        <v>7432</v>
      </c>
      <c r="H52" s="952"/>
      <c r="I52" s="952"/>
      <c r="J52" s="952"/>
      <c r="K52" s="952"/>
      <c r="L52" s="952"/>
      <c r="M52" s="952"/>
      <c r="N52" s="952"/>
      <c r="O52" s="952"/>
      <c r="P52" s="952"/>
      <c r="Q52" s="952"/>
      <c r="R52" s="952"/>
      <c r="S52" s="952"/>
      <c r="T52" s="952"/>
      <c r="U52" s="952"/>
      <c r="V52" s="952"/>
      <c r="W52" s="952"/>
      <c r="X52" s="952"/>
      <c r="Y52" s="952"/>
      <c r="Z52" s="952"/>
      <c r="AA52" s="952"/>
      <c r="AB52" s="952"/>
      <c r="AC52" s="942">
        <f ca="1">SUMIF(Codifica_SP!$J$2:$R$1445,B52,Codifica_SP!$R$2:$R$1445)</f>
        <v>0</v>
      </c>
      <c r="AD52" s="942"/>
      <c r="AE52" s="942"/>
      <c r="AF52" s="942"/>
      <c r="AG52" s="942"/>
      <c r="AH52" s="860" t="s">
        <v>7175</v>
      </c>
      <c r="AJ52" s="816"/>
      <c r="AK52" s="816"/>
      <c r="AL52" s="816"/>
    </row>
    <row r="53" spans="1:38" s="855" customFormat="1" ht="15.75" customHeight="1" x14ac:dyDescent="0.25">
      <c r="A53" s="851"/>
      <c r="B53" s="951" t="s">
        <v>2011</v>
      </c>
      <c r="C53" s="951"/>
      <c r="D53" s="951"/>
      <c r="E53" s="951"/>
      <c r="F53" s="951"/>
      <c r="G53" s="952" t="s">
        <v>7433</v>
      </c>
      <c r="H53" s="952"/>
      <c r="I53" s="952"/>
      <c r="J53" s="952"/>
      <c r="K53" s="952"/>
      <c r="L53" s="952"/>
      <c r="M53" s="952"/>
      <c r="N53" s="952"/>
      <c r="O53" s="952"/>
      <c r="P53" s="952"/>
      <c r="Q53" s="952"/>
      <c r="R53" s="952"/>
      <c r="S53" s="952"/>
      <c r="T53" s="952"/>
      <c r="U53" s="952"/>
      <c r="V53" s="952"/>
      <c r="W53" s="952"/>
      <c r="X53" s="952"/>
      <c r="Y53" s="952"/>
      <c r="Z53" s="952"/>
      <c r="AA53" s="952"/>
      <c r="AB53" s="952"/>
      <c r="AC53" s="942">
        <f ca="1">SUMIF(Codifica_SP!$J$2:$R$1445,B53,Codifica_SP!$R$2:$R$1445)</f>
        <v>0</v>
      </c>
      <c r="AD53" s="942"/>
      <c r="AE53" s="942"/>
      <c r="AF53" s="942"/>
      <c r="AG53" s="942"/>
      <c r="AH53" s="860" t="s">
        <v>7175</v>
      </c>
      <c r="AJ53" s="816"/>
      <c r="AK53" s="816"/>
      <c r="AL53" s="816"/>
    </row>
    <row r="54" spans="1:38" s="855" customFormat="1" ht="15.75" customHeight="1" x14ac:dyDescent="0.25">
      <c r="A54" s="851"/>
      <c r="B54" s="943" t="s">
        <v>2015</v>
      </c>
      <c r="C54" s="943"/>
      <c r="D54" s="943"/>
      <c r="E54" s="943"/>
      <c r="F54" s="943"/>
      <c r="G54" s="944" t="s">
        <v>7434</v>
      </c>
      <c r="H54" s="944"/>
      <c r="I54" s="944"/>
      <c r="J54" s="944"/>
      <c r="K54" s="944"/>
      <c r="L54" s="944"/>
      <c r="M54" s="944"/>
      <c r="N54" s="944"/>
      <c r="O54" s="944"/>
      <c r="P54" s="944"/>
      <c r="Q54" s="944"/>
      <c r="R54" s="944"/>
      <c r="S54" s="944"/>
      <c r="T54" s="944"/>
      <c r="U54" s="944"/>
      <c r="V54" s="944"/>
      <c r="W54" s="944"/>
      <c r="X54" s="944"/>
      <c r="Y54" s="944"/>
      <c r="Z54" s="944"/>
      <c r="AA54" s="944"/>
      <c r="AB54" s="944"/>
      <c r="AC54" s="942">
        <f ca="1">SUMIF(Codifica_SP!$J$2:$R$1445,B54,Codifica_SP!$R$2:$R$1445)</f>
        <v>0</v>
      </c>
      <c r="AD54" s="942"/>
      <c r="AE54" s="942"/>
      <c r="AF54" s="942"/>
      <c r="AG54" s="942"/>
      <c r="AH54" s="877" t="s">
        <v>7407</v>
      </c>
      <c r="AJ54" s="816"/>
      <c r="AK54" s="816"/>
      <c r="AL54" s="816"/>
    </row>
    <row r="55" spans="1:38" s="855" customFormat="1" ht="15.75" customHeight="1" x14ac:dyDescent="0.25">
      <c r="A55" s="857"/>
      <c r="B55" s="940" t="s">
        <v>2021</v>
      </c>
      <c r="C55" s="940"/>
      <c r="D55" s="940"/>
      <c r="E55" s="940"/>
      <c r="F55" s="940"/>
      <c r="G55" s="941" t="s">
        <v>7435</v>
      </c>
      <c r="H55" s="941"/>
      <c r="I55" s="941"/>
      <c r="J55" s="941"/>
      <c r="K55" s="941"/>
      <c r="L55" s="941"/>
      <c r="M55" s="941"/>
      <c r="N55" s="941"/>
      <c r="O55" s="941"/>
      <c r="P55" s="941"/>
      <c r="Q55" s="941"/>
      <c r="R55" s="941"/>
      <c r="S55" s="941"/>
      <c r="T55" s="941"/>
      <c r="U55" s="941"/>
      <c r="V55" s="941"/>
      <c r="W55" s="941"/>
      <c r="X55" s="941"/>
      <c r="Y55" s="941"/>
      <c r="Z55" s="941"/>
      <c r="AA55" s="941"/>
      <c r="AB55" s="941"/>
      <c r="AC55" s="942">
        <f ca="1">SUMIF(Codifica_SP!$J$2:$R$1445,B55,Codifica_SP!$R$2:$R$1445)</f>
        <v>0</v>
      </c>
      <c r="AD55" s="942"/>
      <c r="AE55" s="942"/>
      <c r="AF55" s="942"/>
      <c r="AG55" s="942"/>
      <c r="AH55" s="877" t="s">
        <v>7407</v>
      </c>
      <c r="AJ55" s="816"/>
      <c r="AK55" s="816"/>
      <c r="AL55" s="816"/>
    </row>
    <row r="56" spans="1:38" s="855" customFormat="1" ht="15.75" customHeight="1" x14ac:dyDescent="0.25">
      <c r="A56" s="856"/>
      <c r="B56" s="955" t="s">
        <v>7436</v>
      </c>
      <c r="C56" s="955"/>
      <c r="D56" s="955"/>
      <c r="E56" s="955"/>
      <c r="F56" s="955"/>
      <c r="G56" s="946" t="s">
        <v>2904</v>
      </c>
      <c r="H56" s="946"/>
      <c r="I56" s="946"/>
      <c r="J56" s="946"/>
      <c r="K56" s="946"/>
      <c r="L56" s="946"/>
      <c r="M56" s="946"/>
      <c r="N56" s="946"/>
      <c r="O56" s="946"/>
      <c r="P56" s="946"/>
      <c r="Q56" s="946"/>
      <c r="R56" s="946"/>
      <c r="S56" s="946"/>
      <c r="T56" s="946"/>
      <c r="U56" s="946"/>
      <c r="V56" s="946"/>
      <c r="W56" s="946"/>
      <c r="X56" s="946"/>
      <c r="Y56" s="946"/>
      <c r="Z56" s="946"/>
      <c r="AA56" s="946"/>
      <c r="AB56" s="946"/>
      <c r="AC56" s="956">
        <f ca="1">AC57+AC58+AC66+AC75+AC81</f>
        <v>13929770</v>
      </c>
      <c r="AD56" s="956"/>
      <c r="AE56" s="956"/>
      <c r="AF56" s="956"/>
      <c r="AG56" s="956"/>
      <c r="AH56" s="860" t="s">
        <v>7175</v>
      </c>
      <c r="AJ56" s="874">
        <f ca="1">AC56-AK56</f>
        <v>0</v>
      </c>
      <c r="AK56" s="816">
        <f>'NI-San_SP'!O821+'NI-Ric_SP'!O821</f>
        <v>13929770</v>
      </c>
      <c r="AL56" s="816"/>
    </row>
    <row r="57" spans="1:38" s="855" customFormat="1" ht="15.75" customHeight="1" x14ac:dyDescent="0.25">
      <c r="A57" s="851"/>
      <c r="B57" s="943" t="s">
        <v>2030</v>
      </c>
      <c r="C57" s="943"/>
      <c r="D57" s="943"/>
      <c r="E57" s="943"/>
      <c r="F57" s="943"/>
      <c r="G57" s="944" t="s">
        <v>7437</v>
      </c>
      <c r="H57" s="944"/>
      <c r="I57" s="944"/>
      <c r="J57" s="944"/>
      <c r="K57" s="944"/>
      <c r="L57" s="944"/>
      <c r="M57" s="944"/>
      <c r="N57" s="944"/>
      <c r="O57" s="944"/>
      <c r="P57" s="944"/>
      <c r="Q57" s="944"/>
      <c r="R57" s="944"/>
      <c r="S57" s="944"/>
      <c r="T57" s="944"/>
      <c r="U57" s="944"/>
      <c r="V57" s="944"/>
      <c r="W57" s="944"/>
      <c r="X57" s="944"/>
      <c r="Y57" s="944"/>
      <c r="Z57" s="944"/>
      <c r="AA57" s="944"/>
      <c r="AB57" s="944"/>
      <c r="AC57" s="968">
        <f ca="1">SUMIF(Codifica_SP!$I$2:$R$1445,B57,Codifica_SP!$R$2:$R$1445)</f>
        <v>0</v>
      </c>
      <c r="AD57" s="968"/>
      <c r="AE57" s="968"/>
      <c r="AF57" s="968"/>
      <c r="AG57" s="968"/>
      <c r="AH57" s="860" t="s">
        <v>7175</v>
      </c>
      <c r="AJ57" s="816"/>
      <c r="AK57" s="816"/>
      <c r="AL57" s="816"/>
    </row>
    <row r="58" spans="1:38" s="855" customFormat="1" ht="15.75" customHeight="1" x14ac:dyDescent="0.25">
      <c r="A58" s="851"/>
      <c r="B58" s="943" t="s">
        <v>7438</v>
      </c>
      <c r="C58" s="943"/>
      <c r="D58" s="943"/>
      <c r="E58" s="943"/>
      <c r="F58" s="943"/>
      <c r="G58" s="944" t="s">
        <v>7439</v>
      </c>
      <c r="H58" s="944"/>
      <c r="I58" s="944"/>
      <c r="J58" s="944"/>
      <c r="K58" s="944"/>
      <c r="L58" s="944"/>
      <c r="M58" s="944"/>
      <c r="N58" s="944"/>
      <c r="O58" s="944"/>
      <c r="P58" s="944"/>
      <c r="Q58" s="944"/>
      <c r="R58" s="944"/>
      <c r="S58" s="944"/>
      <c r="T58" s="944"/>
      <c r="U58" s="944"/>
      <c r="V58" s="944"/>
      <c r="W58" s="944"/>
      <c r="X58" s="944"/>
      <c r="Y58" s="944"/>
      <c r="Z58" s="944"/>
      <c r="AA58" s="944"/>
      <c r="AB58" s="944"/>
      <c r="AC58" s="954">
        <f ca="1">SUM(AC59:AC65)</f>
        <v>6227161</v>
      </c>
      <c r="AD58" s="954"/>
      <c r="AE58" s="954"/>
      <c r="AF58" s="954"/>
      <c r="AG58" s="954"/>
      <c r="AH58" s="860" t="s">
        <v>7175</v>
      </c>
      <c r="AJ58" s="816"/>
      <c r="AK58" s="816">
        <f>'NI-Ric_SP'!O829+'NI-San_SP'!O829</f>
        <v>6227161</v>
      </c>
      <c r="AL58" s="816"/>
    </row>
    <row r="59" spans="1:38" s="855" customFormat="1" ht="15.75" customHeight="1" x14ac:dyDescent="0.25">
      <c r="A59" s="851"/>
      <c r="B59" s="951" t="s">
        <v>2046</v>
      </c>
      <c r="C59" s="951"/>
      <c r="D59" s="951"/>
      <c r="E59" s="951"/>
      <c r="F59" s="951"/>
      <c r="G59" s="952" t="s">
        <v>7440</v>
      </c>
      <c r="H59" s="952"/>
      <c r="I59" s="952"/>
      <c r="J59" s="952"/>
      <c r="K59" s="952"/>
      <c r="L59" s="952"/>
      <c r="M59" s="952"/>
      <c r="N59" s="952"/>
      <c r="O59" s="952"/>
      <c r="P59" s="952"/>
      <c r="Q59" s="952"/>
      <c r="R59" s="952"/>
      <c r="S59" s="952"/>
      <c r="T59" s="952"/>
      <c r="U59" s="952"/>
      <c r="V59" s="952"/>
      <c r="W59" s="952"/>
      <c r="X59" s="952"/>
      <c r="Y59" s="952"/>
      <c r="Z59" s="952"/>
      <c r="AA59" s="952"/>
      <c r="AB59" s="952"/>
      <c r="AC59" s="942">
        <f ca="1">SUMIF(Codifica_SP!$J$2:$R$1445,B59,Codifica_SP!$R$2:$R$1445)</f>
        <v>6457</v>
      </c>
      <c r="AD59" s="942"/>
      <c r="AE59" s="942"/>
      <c r="AF59" s="942"/>
      <c r="AG59" s="942"/>
      <c r="AH59" s="860" t="s">
        <v>7175</v>
      </c>
      <c r="AJ59" s="816"/>
      <c r="AK59" s="816"/>
      <c r="AL59" s="816"/>
    </row>
    <row r="60" spans="1:38" s="855" customFormat="1" ht="15.75" customHeight="1" x14ac:dyDescent="0.25">
      <c r="A60" s="851"/>
      <c r="B60" s="951" t="s">
        <v>2051</v>
      </c>
      <c r="C60" s="951"/>
      <c r="D60" s="951"/>
      <c r="E60" s="951"/>
      <c r="F60" s="951"/>
      <c r="G60" s="952" t="s">
        <v>7441</v>
      </c>
      <c r="H60" s="952"/>
      <c r="I60" s="952"/>
      <c r="J60" s="952"/>
      <c r="K60" s="952"/>
      <c r="L60" s="952"/>
      <c r="M60" s="952"/>
      <c r="N60" s="952"/>
      <c r="O60" s="952"/>
      <c r="P60" s="952"/>
      <c r="Q60" s="952"/>
      <c r="R60" s="952"/>
      <c r="S60" s="952"/>
      <c r="T60" s="952"/>
      <c r="U60" s="952"/>
      <c r="V60" s="952"/>
      <c r="W60" s="952"/>
      <c r="X60" s="952"/>
      <c r="Y60" s="952"/>
      <c r="Z60" s="952"/>
      <c r="AA60" s="952"/>
      <c r="AB60" s="952"/>
      <c r="AC60" s="942">
        <f ca="1">SUMIF(Codifica_SP!$J$2:$R$1445,B60,Codifica_SP!$R$2:$R$1445)</f>
        <v>40507</v>
      </c>
      <c r="AD60" s="942"/>
      <c r="AE60" s="942"/>
      <c r="AF60" s="942"/>
      <c r="AG60" s="942"/>
      <c r="AH60" s="860" t="s">
        <v>7175</v>
      </c>
      <c r="AJ60" s="816"/>
      <c r="AK60" s="816"/>
      <c r="AL60" s="816"/>
    </row>
    <row r="61" spans="1:38" s="855" customFormat="1" ht="15.75" customHeight="1" x14ac:dyDescent="0.25">
      <c r="A61" s="851"/>
      <c r="B61" s="951" t="s">
        <v>2056</v>
      </c>
      <c r="C61" s="951"/>
      <c r="D61" s="951"/>
      <c r="E61" s="951"/>
      <c r="F61" s="951"/>
      <c r="G61" s="952" t="s">
        <v>7442</v>
      </c>
      <c r="H61" s="952"/>
      <c r="I61" s="952"/>
      <c r="J61" s="952"/>
      <c r="K61" s="952"/>
      <c r="L61" s="952"/>
      <c r="M61" s="952"/>
      <c r="N61" s="952"/>
      <c r="O61" s="952"/>
      <c r="P61" s="952"/>
      <c r="Q61" s="952"/>
      <c r="R61" s="952"/>
      <c r="S61" s="952"/>
      <c r="T61" s="952"/>
      <c r="U61" s="952"/>
      <c r="V61" s="952"/>
      <c r="W61" s="952"/>
      <c r="X61" s="952"/>
      <c r="Y61" s="952"/>
      <c r="Z61" s="952"/>
      <c r="AA61" s="952"/>
      <c r="AB61" s="952"/>
      <c r="AC61" s="942">
        <f ca="1">SUMIF(Codifica_SP!$J$2:$R$1445,B61,Codifica_SP!$R$2:$R$1445)</f>
        <v>0</v>
      </c>
      <c r="AD61" s="942"/>
      <c r="AE61" s="942"/>
      <c r="AF61" s="942"/>
      <c r="AG61" s="942"/>
      <c r="AH61" s="860" t="s">
        <v>7175</v>
      </c>
      <c r="AJ61" s="816"/>
      <c r="AK61" s="816"/>
      <c r="AL61" s="816"/>
    </row>
    <row r="62" spans="1:38" s="855" customFormat="1" ht="15.75" customHeight="1" x14ac:dyDescent="0.25">
      <c r="A62" s="851"/>
      <c r="B62" s="951" t="s">
        <v>2061</v>
      </c>
      <c r="C62" s="951"/>
      <c r="D62" s="951"/>
      <c r="E62" s="951"/>
      <c r="F62" s="951"/>
      <c r="G62" s="952" t="s">
        <v>7443</v>
      </c>
      <c r="H62" s="952"/>
      <c r="I62" s="952"/>
      <c r="J62" s="952"/>
      <c r="K62" s="952"/>
      <c r="L62" s="952"/>
      <c r="M62" s="952"/>
      <c r="N62" s="952"/>
      <c r="O62" s="952"/>
      <c r="P62" s="952"/>
      <c r="Q62" s="952"/>
      <c r="R62" s="952"/>
      <c r="S62" s="952"/>
      <c r="T62" s="952"/>
      <c r="U62" s="952"/>
      <c r="V62" s="952"/>
      <c r="W62" s="952"/>
      <c r="X62" s="952"/>
      <c r="Y62" s="952"/>
      <c r="Z62" s="952"/>
      <c r="AA62" s="952"/>
      <c r="AB62" s="952"/>
      <c r="AC62" s="942">
        <f ca="1">SUMIF(Codifica_SP!$J$2:$R$1445,B62,Codifica_SP!$R$2:$R$1445)</f>
        <v>6180197</v>
      </c>
      <c r="AD62" s="942"/>
      <c r="AE62" s="942"/>
      <c r="AF62" s="942"/>
      <c r="AG62" s="942"/>
      <c r="AH62" s="860" t="s">
        <v>7175</v>
      </c>
      <c r="AJ62" s="816"/>
      <c r="AK62" s="816"/>
      <c r="AL62" s="816"/>
    </row>
    <row r="63" spans="1:38" s="855" customFormat="1" ht="15.75" customHeight="1" x14ac:dyDescent="0.25">
      <c r="A63" s="851"/>
      <c r="B63" s="951" t="s">
        <v>2066</v>
      </c>
      <c r="C63" s="951"/>
      <c r="D63" s="951"/>
      <c r="E63" s="951"/>
      <c r="F63" s="951"/>
      <c r="G63" s="952" t="s">
        <v>7444</v>
      </c>
      <c r="H63" s="952"/>
      <c r="I63" s="952"/>
      <c r="J63" s="952"/>
      <c r="K63" s="952"/>
      <c r="L63" s="952"/>
      <c r="M63" s="952"/>
      <c r="N63" s="952"/>
      <c r="O63" s="952"/>
      <c r="P63" s="952"/>
      <c r="Q63" s="952"/>
      <c r="R63" s="952"/>
      <c r="S63" s="952"/>
      <c r="T63" s="952"/>
      <c r="U63" s="952"/>
      <c r="V63" s="952"/>
      <c r="W63" s="952"/>
      <c r="X63" s="952"/>
      <c r="Y63" s="952"/>
      <c r="Z63" s="952"/>
      <c r="AA63" s="952"/>
      <c r="AB63" s="952"/>
      <c r="AC63" s="942">
        <f ca="1">SUMIF(Codifica_SP!$J$2:$R$1445,B63,Codifica_SP!$R$2:$R$1445)</f>
        <v>0</v>
      </c>
      <c r="AD63" s="942"/>
      <c r="AE63" s="942"/>
      <c r="AF63" s="942"/>
      <c r="AG63" s="942"/>
      <c r="AH63" s="860" t="s">
        <v>7175</v>
      </c>
      <c r="AJ63" s="816"/>
      <c r="AK63" s="816"/>
      <c r="AL63" s="816"/>
    </row>
    <row r="64" spans="1:38" s="855" customFormat="1" ht="15.75" customHeight="1" x14ac:dyDescent="0.25">
      <c r="A64" s="851"/>
      <c r="B64" s="951" t="s">
        <v>2070</v>
      </c>
      <c r="C64" s="951"/>
      <c r="D64" s="951"/>
      <c r="E64" s="951"/>
      <c r="F64" s="951"/>
      <c r="G64" s="952" t="s">
        <v>7445</v>
      </c>
      <c r="H64" s="952"/>
      <c r="I64" s="952"/>
      <c r="J64" s="952"/>
      <c r="K64" s="952"/>
      <c r="L64" s="952"/>
      <c r="M64" s="952"/>
      <c r="N64" s="952"/>
      <c r="O64" s="952"/>
      <c r="P64" s="952"/>
      <c r="Q64" s="952"/>
      <c r="R64" s="952"/>
      <c r="S64" s="952"/>
      <c r="T64" s="952"/>
      <c r="U64" s="952"/>
      <c r="V64" s="952"/>
      <c r="W64" s="952"/>
      <c r="X64" s="952"/>
      <c r="Y64" s="952"/>
      <c r="Z64" s="952"/>
      <c r="AA64" s="952"/>
      <c r="AB64" s="952"/>
      <c r="AC64" s="942">
        <f ca="1">SUMIF(Codifica_SP!$J$2:$R$1445,B64,Codifica_SP!$R$2:$R$1445)</f>
        <v>0</v>
      </c>
      <c r="AD64" s="942"/>
      <c r="AE64" s="942"/>
      <c r="AF64" s="942"/>
      <c r="AG64" s="942"/>
      <c r="AH64" s="860" t="s">
        <v>7175</v>
      </c>
      <c r="AJ64" s="816"/>
      <c r="AK64" s="816"/>
      <c r="AL64" s="816"/>
    </row>
    <row r="65" spans="1:38" s="855" customFormat="1" ht="15.75" customHeight="1" x14ac:dyDescent="0.25">
      <c r="A65" s="851"/>
      <c r="B65" s="951" t="s">
        <v>2074</v>
      </c>
      <c r="C65" s="951"/>
      <c r="D65" s="951"/>
      <c r="E65" s="951"/>
      <c r="F65" s="951"/>
      <c r="G65" s="952" t="s">
        <v>7446</v>
      </c>
      <c r="H65" s="952"/>
      <c r="I65" s="952"/>
      <c r="J65" s="952"/>
      <c r="K65" s="952"/>
      <c r="L65" s="952"/>
      <c r="M65" s="952"/>
      <c r="N65" s="952"/>
      <c r="O65" s="952"/>
      <c r="P65" s="952"/>
      <c r="Q65" s="952"/>
      <c r="R65" s="952"/>
      <c r="S65" s="952"/>
      <c r="T65" s="952"/>
      <c r="U65" s="952"/>
      <c r="V65" s="952"/>
      <c r="W65" s="952"/>
      <c r="X65" s="952"/>
      <c r="Y65" s="952"/>
      <c r="Z65" s="952"/>
      <c r="AA65" s="952"/>
      <c r="AB65" s="952"/>
      <c r="AC65" s="968">
        <f ca="1">SUMIF(Codifica_SP!$I$2:$R$1445,B65,Codifica_SP!$R$2:$R$1445)</f>
        <v>0</v>
      </c>
      <c r="AD65" s="968"/>
      <c r="AE65" s="968"/>
      <c r="AF65" s="968"/>
      <c r="AG65" s="968"/>
      <c r="AH65" s="860" t="s">
        <v>7175</v>
      </c>
      <c r="AJ65" s="816"/>
      <c r="AK65" s="816"/>
      <c r="AL65" s="816"/>
    </row>
    <row r="66" spans="1:38" s="855" customFormat="1" ht="15.75" customHeight="1" x14ac:dyDescent="0.25">
      <c r="A66" s="851"/>
      <c r="B66" s="943" t="s">
        <v>7447</v>
      </c>
      <c r="C66" s="943"/>
      <c r="D66" s="943"/>
      <c r="E66" s="943"/>
      <c r="F66" s="943"/>
      <c r="G66" s="944" t="s">
        <v>7448</v>
      </c>
      <c r="H66" s="944"/>
      <c r="I66" s="944"/>
      <c r="J66" s="944"/>
      <c r="K66" s="944"/>
      <c r="L66" s="944"/>
      <c r="M66" s="944"/>
      <c r="N66" s="944"/>
      <c r="O66" s="944"/>
      <c r="P66" s="944"/>
      <c r="Q66" s="944"/>
      <c r="R66" s="944"/>
      <c r="S66" s="944"/>
      <c r="T66" s="944"/>
      <c r="U66" s="944"/>
      <c r="V66" s="944"/>
      <c r="W66" s="944"/>
      <c r="X66" s="944"/>
      <c r="Y66" s="944"/>
      <c r="Z66" s="944"/>
      <c r="AA66" s="944"/>
      <c r="AB66" s="944"/>
      <c r="AC66" s="954">
        <f ca="1">SUM(AC67:AC73)</f>
        <v>0</v>
      </c>
      <c r="AD66" s="954"/>
      <c r="AE66" s="954"/>
      <c r="AF66" s="954"/>
      <c r="AG66" s="954"/>
      <c r="AH66" s="860" t="s">
        <v>7175</v>
      </c>
      <c r="AJ66" s="816"/>
      <c r="AK66" s="816"/>
      <c r="AL66" s="816"/>
    </row>
    <row r="67" spans="1:38" s="855" customFormat="1" ht="15.75" customHeight="1" x14ac:dyDescent="0.25">
      <c r="A67" s="851"/>
      <c r="B67" s="951" t="s">
        <v>2083</v>
      </c>
      <c r="C67" s="951"/>
      <c r="D67" s="951"/>
      <c r="E67" s="951"/>
      <c r="F67" s="951"/>
      <c r="G67" s="952" t="s">
        <v>7449</v>
      </c>
      <c r="H67" s="952"/>
      <c r="I67" s="952"/>
      <c r="J67" s="952"/>
      <c r="K67" s="952"/>
      <c r="L67" s="952"/>
      <c r="M67" s="952"/>
      <c r="N67" s="952"/>
      <c r="O67" s="952"/>
      <c r="P67" s="952"/>
      <c r="Q67" s="952"/>
      <c r="R67" s="952"/>
      <c r="S67" s="952"/>
      <c r="T67" s="952"/>
      <c r="U67" s="952"/>
      <c r="V67" s="952"/>
      <c r="W67" s="952"/>
      <c r="X67" s="952"/>
      <c r="Y67" s="952"/>
      <c r="Z67" s="952"/>
      <c r="AA67" s="952"/>
      <c r="AB67" s="952"/>
      <c r="AC67" s="942">
        <f ca="1">SUMIF(Codifica_SP!$J$2:$R$1445,B67,Codifica_SP!$R$2:$R$1445)</f>
        <v>0</v>
      </c>
      <c r="AD67" s="942"/>
      <c r="AE67" s="942"/>
      <c r="AF67" s="942"/>
      <c r="AG67" s="942"/>
      <c r="AH67" s="860" t="s">
        <v>7175</v>
      </c>
      <c r="AJ67" s="816"/>
      <c r="AK67" s="816"/>
      <c r="AL67" s="816"/>
    </row>
    <row r="68" spans="1:38" s="855" customFormat="1" ht="15.75" customHeight="1" x14ac:dyDescent="0.25">
      <c r="A68" s="851"/>
      <c r="B68" s="951" t="s">
        <v>2088</v>
      </c>
      <c r="C68" s="951"/>
      <c r="D68" s="951"/>
      <c r="E68" s="951"/>
      <c r="F68" s="951"/>
      <c r="G68" s="952" t="s">
        <v>7450</v>
      </c>
      <c r="H68" s="952"/>
      <c r="I68" s="952"/>
      <c r="J68" s="952"/>
      <c r="K68" s="952"/>
      <c r="L68" s="952"/>
      <c r="M68" s="952"/>
      <c r="N68" s="952"/>
      <c r="O68" s="952"/>
      <c r="P68" s="952"/>
      <c r="Q68" s="952"/>
      <c r="R68" s="952"/>
      <c r="S68" s="952"/>
      <c r="T68" s="952"/>
      <c r="U68" s="952"/>
      <c r="V68" s="952"/>
      <c r="W68" s="952"/>
      <c r="X68" s="952"/>
      <c r="Y68" s="952"/>
      <c r="Z68" s="952"/>
      <c r="AA68" s="952"/>
      <c r="AB68" s="952"/>
      <c r="AC68" s="942">
        <f ca="1">SUMIF(Codifica_SP!$J$2:$R$1445,B68,Codifica_SP!$R$2:$R$1445)</f>
        <v>0</v>
      </c>
      <c r="AD68" s="942"/>
      <c r="AE68" s="942"/>
      <c r="AF68" s="942"/>
      <c r="AG68" s="942"/>
      <c r="AH68" s="860" t="s">
        <v>7175</v>
      </c>
      <c r="AJ68" s="816"/>
      <c r="AK68" s="816"/>
      <c r="AL68" s="816"/>
    </row>
    <row r="69" spans="1:38" s="855" customFormat="1" ht="15.75" customHeight="1" x14ac:dyDescent="0.25">
      <c r="A69" s="851"/>
      <c r="B69" s="951" t="s">
        <v>2093</v>
      </c>
      <c r="C69" s="951"/>
      <c r="D69" s="951"/>
      <c r="E69" s="951"/>
      <c r="F69" s="951"/>
      <c r="G69" s="952" t="s">
        <v>7451</v>
      </c>
      <c r="H69" s="952"/>
      <c r="I69" s="952"/>
      <c r="J69" s="952"/>
      <c r="K69" s="952"/>
      <c r="L69" s="952"/>
      <c r="M69" s="952"/>
      <c r="N69" s="952"/>
      <c r="O69" s="952"/>
      <c r="P69" s="952"/>
      <c r="Q69" s="952"/>
      <c r="R69" s="952"/>
      <c r="S69" s="952"/>
      <c r="T69" s="952"/>
      <c r="U69" s="952"/>
      <c r="V69" s="952"/>
      <c r="W69" s="952"/>
      <c r="X69" s="952"/>
      <c r="Y69" s="952"/>
      <c r="Z69" s="952"/>
      <c r="AA69" s="952"/>
      <c r="AB69" s="952"/>
      <c r="AC69" s="942">
        <f ca="1">SUMIF(Codifica_SP!$J$2:$R$1445,B69,Codifica_SP!$R$2:$R$1445)</f>
        <v>0</v>
      </c>
      <c r="AD69" s="942"/>
      <c r="AE69" s="942"/>
      <c r="AF69" s="942"/>
      <c r="AG69" s="942"/>
      <c r="AH69" s="860" t="s">
        <v>7175</v>
      </c>
      <c r="AJ69" s="816"/>
      <c r="AK69" s="816"/>
      <c r="AL69" s="816"/>
    </row>
    <row r="70" spans="1:38" s="855" customFormat="1" ht="15.75" customHeight="1" x14ac:dyDescent="0.25">
      <c r="A70" s="851"/>
      <c r="B70" s="951" t="s">
        <v>2098</v>
      </c>
      <c r="C70" s="951"/>
      <c r="D70" s="951"/>
      <c r="E70" s="951"/>
      <c r="F70" s="951"/>
      <c r="G70" s="952" t="s">
        <v>7452</v>
      </c>
      <c r="H70" s="952"/>
      <c r="I70" s="952"/>
      <c r="J70" s="952"/>
      <c r="K70" s="952"/>
      <c r="L70" s="952"/>
      <c r="M70" s="952"/>
      <c r="N70" s="952"/>
      <c r="O70" s="952"/>
      <c r="P70" s="952"/>
      <c r="Q70" s="952"/>
      <c r="R70" s="952"/>
      <c r="S70" s="952"/>
      <c r="T70" s="952"/>
      <c r="U70" s="952"/>
      <c r="V70" s="952"/>
      <c r="W70" s="952"/>
      <c r="X70" s="952"/>
      <c r="Y70" s="952"/>
      <c r="Z70" s="952"/>
      <c r="AA70" s="952"/>
      <c r="AB70" s="952"/>
      <c r="AC70" s="942">
        <f ca="1">SUMIF(Codifica_SP!$J$2:$R$1445,B70,Codifica_SP!$R$2:$R$1445)</f>
        <v>0</v>
      </c>
      <c r="AD70" s="942"/>
      <c r="AE70" s="942"/>
      <c r="AF70" s="942"/>
      <c r="AG70" s="942"/>
      <c r="AH70" s="860" t="s">
        <v>7175</v>
      </c>
      <c r="AJ70" s="816"/>
      <c r="AK70" s="816"/>
      <c r="AL70" s="816"/>
    </row>
    <row r="71" spans="1:38" s="855" customFormat="1" ht="15.75" customHeight="1" x14ac:dyDescent="0.25">
      <c r="A71" s="851"/>
      <c r="B71" s="951" t="s">
        <v>2103</v>
      </c>
      <c r="C71" s="951"/>
      <c r="D71" s="951"/>
      <c r="E71" s="951"/>
      <c r="F71" s="951"/>
      <c r="G71" s="952" t="s">
        <v>7453</v>
      </c>
      <c r="H71" s="952"/>
      <c r="I71" s="952"/>
      <c r="J71" s="952"/>
      <c r="K71" s="952"/>
      <c r="L71" s="952"/>
      <c r="M71" s="952"/>
      <c r="N71" s="952"/>
      <c r="O71" s="952"/>
      <c r="P71" s="952"/>
      <c r="Q71" s="952"/>
      <c r="R71" s="952"/>
      <c r="S71" s="952"/>
      <c r="T71" s="952"/>
      <c r="U71" s="952"/>
      <c r="V71" s="952"/>
      <c r="W71" s="952"/>
      <c r="X71" s="952"/>
      <c r="Y71" s="952"/>
      <c r="Z71" s="952"/>
      <c r="AA71" s="952"/>
      <c r="AB71" s="952"/>
      <c r="AC71" s="942">
        <f ca="1">SUMIF(Codifica_SP!$J$2:$R$1445,B71,Codifica_SP!$R$2:$R$1445)</f>
        <v>0</v>
      </c>
      <c r="AD71" s="942"/>
      <c r="AE71" s="942"/>
      <c r="AF71" s="942"/>
      <c r="AG71" s="942"/>
      <c r="AH71" s="860" t="s">
        <v>7175</v>
      </c>
      <c r="AJ71" s="816"/>
      <c r="AK71" s="816"/>
      <c r="AL71" s="816"/>
    </row>
    <row r="72" spans="1:38" s="855" customFormat="1" ht="15.75" customHeight="1" x14ac:dyDescent="0.25">
      <c r="A72" s="851"/>
      <c r="B72" s="951" t="s">
        <v>2108</v>
      </c>
      <c r="C72" s="951"/>
      <c r="D72" s="951"/>
      <c r="E72" s="951"/>
      <c r="F72" s="951"/>
      <c r="G72" s="952" t="s">
        <v>7454</v>
      </c>
      <c r="H72" s="952"/>
      <c r="I72" s="952"/>
      <c r="J72" s="952"/>
      <c r="K72" s="952"/>
      <c r="L72" s="952"/>
      <c r="M72" s="952"/>
      <c r="N72" s="952"/>
      <c r="O72" s="952"/>
      <c r="P72" s="952"/>
      <c r="Q72" s="952"/>
      <c r="R72" s="952"/>
      <c r="S72" s="952"/>
      <c r="T72" s="952"/>
      <c r="U72" s="952"/>
      <c r="V72" s="952"/>
      <c r="W72" s="952"/>
      <c r="X72" s="952"/>
      <c r="Y72" s="952"/>
      <c r="Z72" s="952"/>
      <c r="AA72" s="952"/>
      <c r="AB72" s="952"/>
      <c r="AC72" s="942">
        <f ca="1">SUMIF(Codifica_SP!$J$2:$R$1445,B72,Codifica_SP!$R$2:$R$1445)</f>
        <v>0</v>
      </c>
      <c r="AD72" s="942"/>
      <c r="AE72" s="942"/>
      <c r="AF72" s="942"/>
      <c r="AG72" s="942"/>
      <c r="AH72" s="860" t="s">
        <v>7175</v>
      </c>
      <c r="AJ72" s="816"/>
      <c r="AK72" s="816"/>
      <c r="AL72" s="816"/>
    </row>
    <row r="73" spans="1:38" s="855" customFormat="1" ht="15.75" customHeight="1" x14ac:dyDescent="0.25">
      <c r="A73" s="851"/>
      <c r="B73" s="951" t="s">
        <v>2113</v>
      </c>
      <c r="C73" s="951"/>
      <c r="D73" s="951"/>
      <c r="E73" s="951"/>
      <c r="F73" s="951"/>
      <c r="G73" s="952" t="s">
        <v>7455</v>
      </c>
      <c r="H73" s="952"/>
      <c r="I73" s="952"/>
      <c r="J73" s="952"/>
      <c r="K73" s="952"/>
      <c r="L73" s="952"/>
      <c r="M73" s="952"/>
      <c r="N73" s="952"/>
      <c r="O73" s="952"/>
      <c r="P73" s="952"/>
      <c r="Q73" s="952"/>
      <c r="R73" s="952"/>
      <c r="S73" s="952"/>
      <c r="T73" s="952"/>
      <c r="U73" s="952"/>
      <c r="V73" s="952"/>
      <c r="W73" s="952"/>
      <c r="X73" s="952"/>
      <c r="Y73" s="952"/>
      <c r="Z73" s="952"/>
      <c r="AA73" s="952"/>
      <c r="AB73" s="952"/>
      <c r="AC73" s="942">
        <f ca="1">SUMIF(Codifica_SP!$J$2:$R$1445,B73,Codifica_SP!$R$2:$R$1445)</f>
        <v>0</v>
      </c>
      <c r="AD73" s="942"/>
      <c r="AE73" s="942"/>
      <c r="AF73" s="942"/>
      <c r="AG73" s="942"/>
      <c r="AH73" s="860" t="s">
        <v>7175</v>
      </c>
      <c r="AJ73" s="816"/>
      <c r="AK73" s="816"/>
      <c r="AL73" s="816"/>
    </row>
    <row r="74" spans="1:38" s="855" customFormat="1" ht="30.75" customHeight="1" x14ac:dyDescent="0.25">
      <c r="A74" s="851"/>
      <c r="B74" s="1016" t="s">
        <v>2119</v>
      </c>
      <c r="C74" s="1016"/>
      <c r="D74" s="1016"/>
      <c r="E74" s="1016"/>
      <c r="F74" s="1016"/>
      <c r="G74" s="952" t="s">
        <v>7456</v>
      </c>
      <c r="H74" s="952"/>
      <c r="I74" s="952"/>
      <c r="J74" s="952"/>
      <c r="K74" s="952"/>
      <c r="L74" s="952"/>
      <c r="M74" s="952"/>
      <c r="N74" s="952"/>
      <c r="O74" s="952"/>
      <c r="P74" s="952"/>
      <c r="Q74" s="952"/>
      <c r="R74" s="952"/>
      <c r="S74" s="952"/>
      <c r="T74" s="952"/>
      <c r="U74" s="952"/>
      <c r="V74" s="952"/>
      <c r="W74" s="952"/>
      <c r="X74" s="952"/>
      <c r="Y74" s="952"/>
      <c r="Z74" s="952"/>
      <c r="AA74" s="952"/>
      <c r="AB74" s="952"/>
      <c r="AC74" s="942">
        <f ca="1">SUMIF(Codifica_SP!$J$2:$R$1445,B74,Codifica_SP!$R$2:$R$1445)</f>
        <v>0</v>
      </c>
      <c r="AD74" s="942"/>
      <c r="AE74" s="942"/>
      <c r="AF74" s="942"/>
      <c r="AG74" s="942"/>
      <c r="AH74" s="860" t="s">
        <v>7175</v>
      </c>
      <c r="AJ74" s="816"/>
      <c r="AK74" s="816"/>
      <c r="AL74" s="816"/>
    </row>
    <row r="75" spans="1:38" s="855" customFormat="1" ht="15.75" customHeight="1" x14ac:dyDescent="0.25">
      <c r="A75" s="851"/>
      <c r="B75" s="943" t="s">
        <v>7457</v>
      </c>
      <c r="C75" s="943"/>
      <c r="D75" s="943"/>
      <c r="E75" s="943"/>
      <c r="F75" s="943"/>
      <c r="G75" s="944" t="s">
        <v>7458</v>
      </c>
      <c r="H75" s="944"/>
      <c r="I75" s="944"/>
      <c r="J75" s="944"/>
      <c r="K75" s="944"/>
      <c r="L75" s="944"/>
      <c r="M75" s="944"/>
      <c r="N75" s="944"/>
      <c r="O75" s="944"/>
      <c r="P75" s="944"/>
      <c r="Q75" s="944"/>
      <c r="R75" s="944"/>
      <c r="S75" s="944"/>
      <c r="T75" s="944"/>
      <c r="U75" s="944"/>
      <c r="V75" s="944"/>
      <c r="W75" s="944"/>
      <c r="X75" s="944"/>
      <c r="Y75" s="944"/>
      <c r="Z75" s="944"/>
      <c r="AA75" s="944"/>
      <c r="AB75" s="944"/>
      <c r="AC75" s="954">
        <f ca="1">SUM(AC76:AC80)</f>
        <v>5205388</v>
      </c>
      <c r="AD75" s="954"/>
      <c r="AE75" s="954"/>
      <c r="AF75" s="954"/>
      <c r="AG75" s="954"/>
      <c r="AH75" s="860" t="s">
        <v>7175</v>
      </c>
      <c r="AJ75" s="816"/>
      <c r="AK75" s="816"/>
      <c r="AL75" s="816"/>
    </row>
    <row r="76" spans="1:38" s="855" customFormat="1" ht="15.75" customHeight="1" x14ac:dyDescent="0.25">
      <c r="A76" s="851"/>
      <c r="B76" s="1016" t="s">
        <v>2128</v>
      </c>
      <c r="C76" s="1016"/>
      <c r="D76" s="1016"/>
      <c r="E76" s="1016"/>
      <c r="F76" s="1016"/>
      <c r="G76" s="952" t="s">
        <v>7459</v>
      </c>
      <c r="H76" s="952"/>
      <c r="I76" s="952"/>
      <c r="J76" s="952"/>
      <c r="K76" s="952"/>
      <c r="L76" s="952"/>
      <c r="M76" s="952"/>
      <c r="N76" s="952"/>
      <c r="O76" s="952"/>
      <c r="P76" s="952"/>
      <c r="Q76" s="952"/>
      <c r="R76" s="952"/>
      <c r="S76" s="952"/>
      <c r="T76" s="952"/>
      <c r="U76" s="952"/>
      <c r="V76" s="952"/>
      <c r="W76" s="952"/>
      <c r="X76" s="952"/>
      <c r="Y76" s="952"/>
      <c r="Z76" s="952"/>
      <c r="AA76" s="952"/>
      <c r="AB76" s="952"/>
      <c r="AC76" s="942">
        <f ca="1">SUMIF(Codifica_SP!$J$2:$R$1445,B76,Codifica_SP!$R$2:$R$1445)</f>
        <v>2975516</v>
      </c>
      <c r="AD76" s="942"/>
      <c r="AE76" s="942"/>
      <c r="AF76" s="942"/>
      <c r="AG76" s="942"/>
      <c r="AH76" s="860" t="s">
        <v>7175</v>
      </c>
      <c r="AJ76" s="816"/>
      <c r="AK76" s="816"/>
      <c r="AL76" s="816"/>
    </row>
    <row r="77" spans="1:38" s="855" customFormat="1" ht="15.75" customHeight="1" x14ac:dyDescent="0.25">
      <c r="A77" s="851"/>
      <c r="B77" s="951" t="s">
        <v>2132</v>
      </c>
      <c r="C77" s="951"/>
      <c r="D77" s="951"/>
      <c r="E77" s="951"/>
      <c r="F77" s="951"/>
      <c r="G77" s="952" t="s">
        <v>7460</v>
      </c>
      <c r="H77" s="952"/>
      <c r="I77" s="952"/>
      <c r="J77" s="952"/>
      <c r="K77" s="952"/>
      <c r="L77" s="952"/>
      <c r="M77" s="952"/>
      <c r="N77" s="952"/>
      <c r="O77" s="952"/>
      <c r="P77" s="952"/>
      <c r="Q77" s="952"/>
      <c r="R77" s="952"/>
      <c r="S77" s="952"/>
      <c r="T77" s="952"/>
      <c r="U77" s="952"/>
      <c r="V77" s="952"/>
      <c r="W77" s="952"/>
      <c r="X77" s="952"/>
      <c r="Y77" s="952"/>
      <c r="Z77" s="952"/>
      <c r="AA77" s="952"/>
      <c r="AB77" s="952"/>
      <c r="AC77" s="942">
        <f ca="1">SUMIF(Codifica_SP!$J$2:$R$1445,B77,Codifica_SP!$R$2:$R$1445)</f>
        <v>94291</v>
      </c>
      <c r="AD77" s="942"/>
      <c r="AE77" s="942"/>
      <c r="AF77" s="942"/>
      <c r="AG77" s="942"/>
      <c r="AH77" s="860" t="s">
        <v>7175</v>
      </c>
      <c r="AJ77" s="816"/>
      <c r="AK77" s="816"/>
      <c r="AL77" s="816"/>
    </row>
    <row r="78" spans="1:38" s="855" customFormat="1" ht="15.75" customHeight="1" x14ac:dyDescent="0.25">
      <c r="A78" s="851"/>
      <c r="B78" s="951" t="s">
        <v>2149</v>
      </c>
      <c r="C78" s="951"/>
      <c r="D78" s="951"/>
      <c r="E78" s="951"/>
      <c r="F78" s="951"/>
      <c r="G78" s="952" t="s">
        <v>7461</v>
      </c>
      <c r="H78" s="952"/>
      <c r="I78" s="952"/>
      <c r="J78" s="952"/>
      <c r="K78" s="952"/>
      <c r="L78" s="952"/>
      <c r="M78" s="952"/>
      <c r="N78" s="952"/>
      <c r="O78" s="952"/>
      <c r="P78" s="952"/>
      <c r="Q78" s="952"/>
      <c r="R78" s="952"/>
      <c r="S78" s="952"/>
      <c r="T78" s="952"/>
      <c r="U78" s="952"/>
      <c r="V78" s="952"/>
      <c r="W78" s="952"/>
      <c r="X78" s="952"/>
      <c r="Y78" s="952"/>
      <c r="Z78" s="952"/>
      <c r="AA78" s="952"/>
      <c r="AB78" s="952"/>
      <c r="AC78" s="942">
        <f ca="1">SUMIF(Codifica_SP!$J$2:$R$1445,B78,Codifica_SP!$R$2:$R$1445)</f>
        <v>35608</v>
      </c>
      <c r="AD78" s="942"/>
      <c r="AE78" s="942"/>
      <c r="AF78" s="942"/>
      <c r="AG78" s="942"/>
      <c r="AH78" s="860" t="s">
        <v>7175</v>
      </c>
      <c r="AJ78" s="816"/>
      <c r="AK78" s="816"/>
      <c r="AL78" s="816"/>
    </row>
    <row r="79" spans="1:38" s="855" customFormat="1" ht="15.75" customHeight="1" x14ac:dyDescent="0.25">
      <c r="A79" s="851"/>
      <c r="B79" s="951" t="s">
        <v>2154</v>
      </c>
      <c r="C79" s="951"/>
      <c r="D79" s="951"/>
      <c r="E79" s="951"/>
      <c r="F79" s="951"/>
      <c r="G79" s="952" t="s">
        <v>7462</v>
      </c>
      <c r="H79" s="952"/>
      <c r="I79" s="952"/>
      <c r="J79" s="952"/>
      <c r="K79" s="952"/>
      <c r="L79" s="952"/>
      <c r="M79" s="952"/>
      <c r="N79" s="952"/>
      <c r="O79" s="952"/>
      <c r="P79" s="952"/>
      <c r="Q79" s="952"/>
      <c r="R79" s="952"/>
      <c r="S79" s="952"/>
      <c r="T79" s="952"/>
      <c r="U79" s="952"/>
      <c r="V79" s="952"/>
      <c r="W79" s="952"/>
      <c r="X79" s="952"/>
      <c r="Y79" s="952"/>
      <c r="Z79" s="952"/>
      <c r="AA79" s="952"/>
      <c r="AB79" s="952"/>
      <c r="AC79" s="942">
        <f ca="1">SUMIF(Codifica_SP!$J$2:$R$1445,B79,Codifica_SP!$R$2:$R$1445)</f>
        <v>0</v>
      </c>
      <c r="AD79" s="942"/>
      <c r="AE79" s="942"/>
      <c r="AF79" s="942"/>
      <c r="AG79" s="942"/>
      <c r="AH79" s="860" t="s">
        <v>7175</v>
      </c>
      <c r="AJ79" s="816"/>
      <c r="AK79" s="816"/>
      <c r="AL79" s="816"/>
    </row>
    <row r="80" spans="1:38" s="855" customFormat="1" ht="15.75" customHeight="1" x14ac:dyDescent="0.25">
      <c r="A80" s="851"/>
      <c r="B80" s="951" t="s">
        <v>2174</v>
      </c>
      <c r="C80" s="951"/>
      <c r="D80" s="951"/>
      <c r="E80" s="951"/>
      <c r="F80" s="951"/>
      <c r="G80" s="952" t="s">
        <v>7463</v>
      </c>
      <c r="H80" s="952"/>
      <c r="I80" s="952"/>
      <c r="J80" s="952"/>
      <c r="K80" s="952"/>
      <c r="L80" s="952"/>
      <c r="M80" s="952"/>
      <c r="N80" s="952"/>
      <c r="O80" s="952"/>
      <c r="P80" s="952"/>
      <c r="Q80" s="952"/>
      <c r="R80" s="952"/>
      <c r="S80" s="952"/>
      <c r="T80" s="952"/>
      <c r="U80" s="952"/>
      <c r="V80" s="952"/>
      <c r="W80" s="952"/>
      <c r="X80" s="952"/>
      <c r="Y80" s="952"/>
      <c r="Z80" s="952"/>
      <c r="AA80" s="952"/>
      <c r="AB80" s="952"/>
      <c r="AC80" s="942">
        <f ca="1">SUMIF(Codifica_SP!$J$2:$R$1445,B80,Codifica_SP!$R$2:$R$1445)</f>
        <v>2099973</v>
      </c>
      <c r="AD80" s="942"/>
      <c r="AE80" s="942"/>
      <c r="AF80" s="942"/>
      <c r="AG80" s="942"/>
      <c r="AH80" s="860" t="s">
        <v>7175</v>
      </c>
      <c r="AJ80" s="816"/>
      <c r="AK80" s="816"/>
      <c r="AL80" s="816"/>
    </row>
    <row r="81" spans="1:38" s="855" customFormat="1" ht="15.75" customHeight="1" x14ac:dyDescent="0.25">
      <c r="A81" s="851"/>
      <c r="B81" s="943" t="s">
        <v>7464</v>
      </c>
      <c r="C81" s="943"/>
      <c r="D81" s="943"/>
      <c r="E81" s="943"/>
      <c r="F81" s="943"/>
      <c r="G81" s="944" t="s">
        <v>7465</v>
      </c>
      <c r="H81" s="944"/>
      <c r="I81" s="944"/>
      <c r="J81" s="944"/>
      <c r="K81" s="944"/>
      <c r="L81" s="944"/>
      <c r="M81" s="944"/>
      <c r="N81" s="944"/>
      <c r="O81" s="944"/>
      <c r="P81" s="944"/>
      <c r="Q81" s="944"/>
      <c r="R81" s="944"/>
      <c r="S81" s="944"/>
      <c r="T81" s="944"/>
      <c r="U81" s="944"/>
      <c r="V81" s="944"/>
      <c r="W81" s="944"/>
      <c r="X81" s="944"/>
      <c r="Y81" s="944"/>
      <c r="Z81" s="944"/>
      <c r="AA81" s="944"/>
      <c r="AB81" s="944"/>
      <c r="AC81" s="954">
        <f ca="1">AC82+AC83+AC87+AC88</f>
        <v>2497221</v>
      </c>
      <c r="AD81" s="954"/>
      <c r="AE81" s="954"/>
      <c r="AF81" s="954"/>
      <c r="AG81" s="954"/>
      <c r="AH81" s="860" t="s">
        <v>7175</v>
      </c>
      <c r="AJ81" s="816"/>
      <c r="AK81" s="816"/>
      <c r="AL81" s="816"/>
    </row>
    <row r="82" spans="1:38" s="855" customFormat="1" ht="15.75" customHeight="1" x14ac:dyDescent="0.25">
      <c r="A82" s="851"/>
      <c r="B82" s="951" t="s">
        <v>2183</v>
      </c>
      <c r="C82" s="951"/>
      <c r="D82" s="951"/>
      <c r="E82" s="951"/>
      <c r="F82" s="951"/>
      <c r="G82" s="952" t="s">
        <v>7466</v>
      </c>
      <c r="H82" s="952"/>
      <c r="I82" s="952"/>
      <c r="J82" s="952"/>
      <c r="K82" s="952"/>
      <c r="L82" s="952"/>
      <c r="M82" s="952"/>
      <c r="N82" s="952"/>
      <c r="O82" s="952"/>
      <c r="P82" s="952"/>
      <c r="Q82" s="952"/>
      <c r="R82" s="952"/>
      <c r="S82" s="952"/>
      <c r="T82" s="952"/>
      <c r="U82" s="952"/>
      <c r="V82" s="952"/>
      <c r="W82" s="952"/>
      <c r="X82" s="952"/>
      <c r="Y82" s="952"/>
      <c r="Z82" s="952"/>
      <c r="AA82" s="952"/>
      <c r="AB82" s="952"/>
      <c r="AC82" s="942">
        <f ca="1">SUMIF(Codifica_SP!$J$2:$R$1445,B82,Codifica_SP!$R$2:$R$1445)</f>
        <v>0</v>
      </c>
      <c r="AD82" s="942"/>
      <c r="AE82" s="942"/>
      <c r="AF82" s="942"/>
      <c r="AG82" s="942"/>
      <c r="AH82" s="860" t="s">
        <v>7175</v>
      </c>
      <c r="AJ82" s="816"/>
      <c r="AK82" s="816"/>
      <c r="AL82" s="816"/>
    </row>
    <row r="83" spans="1:38" s="855" customFormat="1" ht="15.75" customHeight="1" x14ac:dyDescent="0.25">
      <c r="A83" s="851"/>
      <c r="B83" s="951" t="s">
        <v>7467</v>
      </c>
      <c r="C83" s="951"/>
      <c r="D83" s="951"/>
      <c r="E83" s="951"/>
      <c r="F83" s="951"/>
      <c r="G83" s="952" t="s">
        <v>7468</v>
      </c>
      <c r="H83" s="952"/>
      <c r="I83" s="952"/>
      <c r="J83" s="952"/>
      <c r="K83" s="952"/>
      <c r="L83" s="952"/>
      <c r="M83" s="952"/>
      <c r="N83" s="952"/>
      <c r="O83" s="952"/>
      <c r="P83" s="952"/>
      <c r="Q83" s="952"/>
      <c r="R83" s="952"/>
      <c r="S83" s="952"/>
      <c r="T83" s="952"/>
      <c r="U83" s="952"/>
      <c r="V83" s="952"/>
      <c r="W83" s="952"/>
      <c r="X83" s="952"/>
      <c r="Y83" s="952"/>
      <c r="Z83" s="952"/>
      <c r="AA83" s="952"/>
      <c r="AB83" s="952"/>
      <c r="AC83" s="961">
        <f ca="1">SUM(AC84:AC86)</f>
        <v>2015917</v>
      </c>
      <c r="AD83" s="961"/>
      <c r="AE83" s="961"/>
      <c r="AF83" s="961"/>
      <c r="AG83" s="961"/>
      <c r="AH83" s="860" t="s">
        <v>7175</v>
      </c>
      <c r="AJ83" s="816"/>
      <c r="AK83" s="816"/>
      <c r="AL83" s="816"/>
    </row>
    <row r="84" spans="1:38" s="855" customFormat="1" ht="15.75" customHeight="1" x14ac:dyDescent="0.25">
      <c r="A84" s="851"/>
      <c r="B84" s="957" t="s">
        <v>2198</v>
      </c>
      <c r="C84" s="957"/>
      <c r="D84" s="957"/>
      <c r="E84" s="957"/>
      <c r="F84" s="957"/>
      <c r="G84" s="958" t="s">
        <v>7469</v>
      </c>
      <c r="H84" s="958"/>
      <c r="I84" s="958"/>
      <c r="J84" s="958"/>
      <c r="K84" s="958"/>
      <c r="L84" s="958"/>
      <c r="M84" s="958"/>
      <c r="N84" s="958"/>
      <c r="O84" s="958"/>
      <c r="P84" s="958"/>
      <c r="Q84" s="958"/>
      <c r="R84" s="958"/>
      <c r="S84" s="958"/>
      <c r="T84" s="958"/>
      <c r="U84" s="958"/>
      <c r="V84" s="958"/>
      <c r="W84" s="958"/>
      <c r="X84" s="958"/>
      <c r="Y84" s="958"/>
      <c r="Z84" s="958"/>
      <c r="AA84" s="958"/>
      <c r="AB84" s="958"/>
      <c r="AC84" s="942">
        <f ca="1">SUMIF(Codifica_SP!$J$2:$R$1445,B84,Codifica_SP!$R$2:$R$1445)</f>
        <v>1905385</v>
      </c>
      <c r="AD84" s="942"/>
      <c r="AE84" s="942"/>
      <c r="AF84" s="942"/>
      <c r="AG84" s="942"/>
      <c r="AH84" s="860" t="s">
        <v>7175</v>
      </c>
      <c r="AJ84" s="816"/>
      <c r="AK84" s="816"/>
      <c r="AL84" s="816"/>
    </row>
    <row r="85" spans="1:38" s="855" customFormat="1" ht="15.75" customHeight="1" x14ac:dyDescent="0.25">
      <c r="A85" s="851"/>
      <c r="B85" s="957" t="s">
        <v>2208</v>
      </c>
      <c r="C85" s="957"/>
      <c r="D85" s="957"/>
      <c r="E85" s="957"/>
      <c r="F85" s="957"/>
      <c r="G85" s="958" t="s">
        <v>7470</v>
      </c>
      <c r="H85" s="958"/>
      <c r="I85" s="958"/>
      <c r="J85" s="958"/>
      <c r="K85" s="958"/>
      <c r="L85" s="958"/>
      <c r="M85" s="958"/>
      <c r="N85" s="958"/>
      <c r="O85" s="958"/>
      <c r="P85" s="958"/>
      <c r="Q85" s="958"/>
      <c r="R85" s="958"/>
      <c r="S85" s="958"/>
      <c r="T85" s="958"/>
      <c r="U85" s="958"/>
      <c r="V85" s="958"/>
      <c r="W85" s="958"/>
      <c r="X85" s="958"/>
      <c r="Y85" s="958"/>
      <c r="Z85" s="958"/>
      <c r="AA85" s="958"/>
      <c r="AB85" s="958"/>
      <c r="AC85" s="942">
        <f ca="1">SUMIF(Codifica_SP!$J$2:$R$1445,B85,Codifica_SP!$R$2:$R$1445)</f>
        <v>0</v>
      </c>
      <c r="AD85" s="942"/>
      <c r="AE85" s="942"/>
      <c r="AF85" s="942"/>
      <c r="AG85" s="942"/>
      <c r="AH85" s="860" t="s">
        <v>7175</v>
      </c>
      <c r="AJ85" s="816"/>
      <c r="AK85" s="816"/>
      <c r="AL85" s="816"/>
    </row>
    <row r="86" spans="1:38" s="855" customFormat="1" ht="15.75" customHeight="1" x14ac:dyDescent="0.25">
      <c r="A86" s="851"/>
      <c r="B86" s="957" t="s">
        <v>2212</v>
      </c>
      <c r="C86" s="957"/>
      <c r="D86" s="957"/>
      <c r="E86" s="957"/>
      <c r="F86" s="957"/>
      <c r="G86" s="958" t="s">
        <v>7471</v>
      </c>
      <c r="H86" s="958"/>
      <c r="I86" s="958"/>
      <c r="J86" s="958"/>
      <c r="K86" s="958"/>
      <c r="L86" s="958"/>
      <c r="M86" s="958"/>
      <c r="N86" s="958"/>
      <c r="O86" s="958"/>
      <c r="P86" s="958"/>
      <c r="Q86" s="958"/>
      <c r="R86" s="958"/>
      <c r="S86" s="958"/>
      <c r="T86" s="958"/>
      <c r="U86" s="958"/>
      <c r="V86" s="958"/>
      <c r="W86" s="958"/>
      <c r="X86" s="958"/>
      <c r="Y86" s="958"/>
      <c r="Z86" s="958"/>
      <c r="AA86" s="958"/>
      <c r="AB86" s="958"/>
      <c r="AC86" s="942">
        <f ca="1">SUMIF(Codifica_SP!$J$2:$R$1445,B86,Codifica_SP!$R$2:$R$1445)</f>
        <v>110532</v>
      </c>
      <c r="AD86" s="942"/>
      <c r="AE86" s="942"/>
      <c r="AF86" s="942"/>
      <c r="AG86" s="942"/>
      <c r="AH86" s="860" t="s">
        <v>7175</v>
      </c>
      <c r="AJ86" s="816"/>
      <c r="AK86" s="816"/>
      <c r="AL86" s="816"/>
    </row>
    <row r="87" spans="1:38" s="855" customFormat="1" ht="15.75" customHeight="1" x14ac:dyDescent="0.25">
      <c r="A87" s="857"/>
      <c r="B87" s="945" t="s">
        <v>2219</v>
      </c>
      <c r="C87" s="945"/>
      <c r="D87" s="945"/>
      <c r="E87" s="945"/>
      <c r="F87" s="945"/>
      <c r="G87" s="953" t="s">
        <v>7472</v>
      </c>
      <c r="H87" s="953"/>
      <c r="I87" s="953"/>
      <c r="J87" s="953"/>
      <c r="K87" s="953"/>
      <c r="L87" s="953"/>
      <c r="M87" s="953"/>
      <c r="N87" s="953"/>
      <c r="O87" s="953"/>
      <c r="P87" s="953"/>
      <c r="Q87" s="953"/>
      <c r="R87" s="953"/>
      <c r="S87" s="953"/>
      <c r="T87" s="953"/>
      <c r="U87" s="953"/>
      <c r="V87" s="953"/>
      <c r="W87" s="953"/>
      <c r="X87" s="953"/>
      <c r="Y87" s="953"/>
      <c r="Z87" s="953"/>
      <c r="AA87" s="953"/>
      <c r="AB87" s="953"/>
      <c r="AC87" s="942">
        <f ca="1">SUMIF(Codifica_SP!$J$2:$R$1445,B87,Codifica_SP!$R$2:$R$1445)</f>
        <v>35114</v>
      </c>
      <c r="AD87" s="942"/>
      <c r="AE87" s="942"/>
      <c r="AF87" s="942"/>
      <c r="AG87" s="942"/>
      <c r="AH87" s="860" t="s">
        <v>7175</v>
      </c>
      <c r="AJ87" s="816"/>
      <c r="AK87" s="816"/>
      <c r="AL87" s="816"/>
    </row>
    <row r="88" spans="1:38" s="855" customFormat="1" ht="15.75" customHeight="1" x14ac:dyDescent="0.25">
      <c r="A88" s="857"/>
      <c r="B88" s="945" t="s">
        <v>2227</v>
      </c>
      <c r="C88" s="945"/>
      <c r="D88" s="945"/>
      <c r="E88" s="945"/>
      <c r="F88" s="945"/>
      <c r="G88" s="953" t="s">
        <v>7473</v>
      </c>
      <c r="H88" s="953"/>
      <c r="I88" s="953"/>
      <c r="J88" s="953"/>
      <c r="K88" s="953"/>
      <c r="L88" s="953"/>
      <c r="M88" s="953"/>
      <c r="N88" s="953"/>
      <c r="O88" s="953"/>
      <c r="P88" s="953"/>
      <c r="Q88" s="953"/>
      <c r="R88" s="953"/>
      <c r="S88" s="953"/>
      <c r="T88" s="953"/>
      <c r="U88" s="953"/>
      <c r="V88" s="953"/>
      <c r="W88" s="953"/>
      <c r="X88" s="953"/>
      <c r="Y88" s="953"/>
      <c r="Z88" s="953"/>
      <c r="AA88" s="953"/>
      <c r="AB88" s="953"/>
      <c r="AC88" s="942">
        <f ca="1">SUMIF(Codifica_SP!$J$2:$R$1445,B88,Codifica_SP!$R$2:$R$1445)</f>
        <v>446190</v>
      </c>
      <c r="AD88" s="942"/>
      <c r="AE88" s="942"/>
      <c r="AF88" s="942"/>
      <c r="AG88" s="942"/>
      <c r="AH88" s="860" t="s">
        <v>7175</v>
      </c>
      <c r="AJ88" s="816"/>
      <c r="AK88" s="816"/>
      <c r="AL88" s="816"/>
    </row>
    <row r="89" spans="1:38" s="855" customFormat="1" ht="15.75" customHeight="1" x14ac:dyDescent="0.25">
      <c r="A89" s="856"/>
      <c r="B89" s="955" t="s">
        <v>7474</v>
      </c>
      <c r="C89" s="955"/>
      <c r="D89" s="955"/>
      <c r="E89" s="955"/>
      <c r="F89" s="955"/>
      <c r="G89" s="946" t="s">
        <v>2911</v>
      </c>
      <c r="H89" s="946"/>
      <c r="I89" s="946"/>
      <c r="J89" s="946"/>
      <c r="K89" s="946"/>
      <c r="L89" s="946"/>
      <c r="M89" s="946"/>
      <c r="N89" s="946"/>
      <c r="O89" s="946"/>
      <c r="P89" s="946"/>
      <c r="Q89" s="946"/>
      <c r="R89" s="946"/>
      <c r="S89" s="946"/>
      <c r="T89" s="946"/>
      <c r="U89" s="946"/>
      <c r="V89" s="946"/>
      <c r="W89" s="946"/>
      <c r="X89" s="946"/>
      <c r="Y89" s="946"/>
      <c r="Z89" s="946"/>
      <c r="AA89" s="946"/>
      <c r="AB89" s="946"/>
      <c r="AC89" s="956">
        <f ca="1">SUM(AC90:AC92)</f>
        <v>1012499</v>
      </c>
      <c r="AD89" s="956"/>
      <c r="AE89" s="956"/>
      <c r="AF89" s="956"/>
      <c r="AG89" s="956"/>
      <c r="AH89" s="860" t="s">
        <v>7175</v>
      </c>
      <c r="AJ89" s="874">
        <f ca="1">AC89-AK89</f>
        <v>0</v>
      </c>
      <c r="AK89" s="816">
        <f>'NI-San_SP'!O889+'NI-Ric_SP'!O889</f>
        <v>1012499</v>
      </c>
      <c r="AL89" s="816"/>
    </row>
    <row r="90" spans="1:38" s="855" customFormat="1" ht="15.75" customHeight="1" x14ac:dyDescent="0.25">
      <c r="A90" s="851"/>
      <c r="B90" s="943" t="s">
        <v>2234</v>
      </c>
      <c r="C90" s="943"/>
      <c r="D90" s="943"/>
      <c r="E90" s="943"/>
      <c r="F90" s="943"/>
      <c r="G90" s="944" t="s">
        <v>7475</v>
      </c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44"/>
      <c r="S90" s="944"/>
      <c r="T90" s="944"/>
      <c r="U90" s="944"/>
      <c r="V90" s="944"/>
      <c r="W90" s="944"/>
      <c r="X90" s="944"/>
      <c r="Y90" s="944"/>
      <c r="Z90" s="944"/>
      <c r="AA90" s="944"/>
      <c r="AB90" s="944"/>
      <c r="AC90" s="942">
        <f ca="1">SUMIF(Codifica_SP!$J$2:$R$1445,B90,Codifica_SP!$R$2:$R$1445)</f>
        <v>980137</v>
      </c>
      <c r="AD90" s="942"/>
      <c r="AE90" s="942"/>
      <c r="AF90" s="942"/>
      <c r="AG90" s="942"/>
      <c r="AH90" s="860" t="s">
        <v>7175</v>
      </c>
      <c r="AJ90" s="816"/>
      <c r="AK90" s="816"/>
      <c r="AL90" s="816"/>
    </row>
    <row r="91" spans="1:38" s="855" customFormat="1" ht="15.75" customHeight="1" x14ac:dyDescent="0.25">
      <c r="A91" s="857"/>
      <c r="B91" s="940" t="s">
        <v>2249</v>
      </c>
      <c r="C91" s="940"/>
      <c r="D91" s="940"/>
      <c r="E91" s="940"/>
      <c r="F91" s="940"/>
      <c r="G91" s="941" t="s">
        <v>7476</v>
      </c>
      <c r="H91" s="941"/>
      <c r="I91" s="941"/>
      <c r="J91" s="941"/>
      <c r="K91" s="941"/>
      <c r="L91" s="941"/>
      <c r="M91" s="941"/>
      <c r="N91" s="941"/>
      <c r="O91" s="941"/>
      <c r="P91" s="941"/>
      <c r="Q91" s="941"/>
      <c r="R91" s="941"/>
      <c r="S91" s="941"/>
      <c r="T91" s="941"/>
      <c r="U91" s="941"/>
      <c r="V91" s="941"/>
      <c r="W91" s="941"/>
      <c r="X91" s="941"/>
      <c r="Y91" s="941"/>
      <c r="Z91" s="941"/>
      <c r="AA91" s="941"/>
      <c r="AB91" s="941"/>
      <c r="AC91" s="942">
        <f ca="1">SUMIF(Codifica_SP!$J$2:$R$1445,B91,Codifica_SP!$R$2:$R$1445)</f>
        <v>32362</v>
      </c>
      <c r="AD91" s="942"/>
      <c r="AE91" s="942"/>
      <c r="AF91" s="942"/>
      <c r="AG91" s="942"/>
      <c r="AH91" s="860" t="s">
        <v>7175</v>
      </c>
      <c r="AJ91" s="816"/>
      <c r="AK91" s="816"/>
      <c r="AL91" s="816"/>
    </row>
    <row r="92" spans="1:38" s="855" customFormat="1" ht="15.75" customHeight="1" x14ac:dyDescent="0.25">
      <c r="A92" s="866"/>
      <c r="B92" s="940" t="s">
        <v>2255</v>
      </c>
      <c r="C92" s="940"/>
      <c r="D92" s="940"/>
      <c r="E92" s="940"/>
      <c r="F92" s="940"/>
      <c r="G92" s="941" t="s">
        <v>7477</v>
      </c>
      <c r="H92" s="941"/>
      <c r="I92" s="941"/>
      <c r="J92" s="941"/>
      <c r="K92" s="941"/>
      <c r="L92" s="941"/>
      <c r="M92" s="941"/>
      <c r="N92" s="941"/>
      <c r="O92" s="941"/>
      <c r="P92" s="941"/>
      <c r="Q92" s="941"/>
      <c r="R92" s="941"/>
      <c r="S92" s="941"/>
      <c r="T92" s="941"/>
      <c r="U92" s="941"/>
      <c r="V92" s="941"/>
      <c r="W92" s="941"/>
      <c r="X92" s="941"/>
      <c r="Y92" s="941"/>
      <c r="Z92" s="941"/>
      <c r="AA92" s="941"/>
      <c r="AB92" s="941"/>
      <c r="AC92" s="942">
        <f ca="1">SUMIF(Codifica_SP!$J$2:$R$1445,B92,Codifica_SP!$R$2:$R$1445)</f>
        <v>0</v>
      </c>
      <c r="AD92" s="942"/>
      <c r="AE92" s="942"/>
      <c r="AF92" s="942"/>
      <c r="AG92" s="942"/>
      <c r="AH92" s="860" t="s">
        <v>7175</v>
      </c>
      <c r="AJ92" s="816"/>
      <c r="AK92" s="816"/>
      <c r="AL92" s="816"/>
    </row>
    <row r="93" spans="1:38" s="855" customFormat="1" ht="15.75" customHeight="1" x14ac:dyDescent="0.25">
      <c r="A93" s="856"/>
      <c r="B93" s="955" t="s">
        <v>7478</v>
      </c>
      <c r="C93" s="955"/>
      <c r="D93" s="955"/>
      <c r="E93" s="955"/>
      <c r="F93" s="955"/>
      <c r="G93" s="946" t="s">
        <v>6915</v>
      </c>
      <c r="H93" s="946"/>
      <c r="I93" s="946"/>
      <c r="J93" s="946"/>
      <c r="K93" s="946"/>
      <c r="L93" s="946"/>
      <c r="M93" s="946"/>
      <c r="N93" s="946"/>
      <c r="O93" s="946"/>
      <c r="P93" s="946"/>
      <c r="Q93" s="946"/>
      <c r="R93" s="946"/>
      <c r="S93" s="946"/>
      <c r="T93" s="946"/>
      <c r="U93" s="946"/>
      <c r="V93" s="946"/>
      <c r="W93" s="946"/>
      <c r="X93" s="946"/>
      <c r="Y93" s="946"/>
      <c r="Z93" s="946"/>
      <c r="AA93" s="946"/>
      <c r="AB93" s="946"/>
      <c r="AC93" s="956">
        <f ca="1">AC94+AC95+AC101+AC112+AC113+AC131+AC135+AC142+AC143+AC144+AC145</f>
        <v>88880850</v>
      </c>
      <c r="AD93" s="956"/>
      <c r="AE93" s="956"/>
      <c r="AF93" s="956"/>
      <c r="AG93" s="956"/>
      <c r="AH93" s="860" t="s">
        <v>7175</v>
      </c>
      <c r="AJ93" s="874">
        <f ca="1">AK93-AC93</f>
        <v>0</v>
      </c>
      <c r="AK93" s="878">
        <f>'NI-San_SP'!O906+'NI-Ric_SP'!O906</f>
        <v>88880850</v>
      </c>
      <c r="AL93" s="816"/>
    </row>
    <row r="94" spans="1:38" s="855" customFormat="1" ht="15.75" customHeight="1" x14ac:dyDescent="0.25">
      <c r="A94" s="851"/>
      <c r="B94" s="943" t="s">
        <v>2262</v>
      </c>
      <c r="C94" s="943"/>
      <c r="D94" s="943"/>
      <c r="E94" s="943"/>
      <c r="F94" s="943"/>
      <c r="G94" s="944" t="s">
        <v>7479</v>
      </c>
      <c r="H94" s="944"/>
      <c r="I94" s="944"/>
      <c r="J94" s="944"/>
      <c r="K94" s="944"/>
      <c r="L94" s="944"/>
      <c r="M94" s="944"/>
      <c r="N94" s="944"/>
      <c r="O94" s="944"/>
      <c r="P94" s="944"/>
      <c r="Q94" s="944"/>
      <c r="R94" s="944"/>
      <c r="S94" s="944"/>
      <c r="T94" s="944"/>
      <c r="U94" s="944"/>
      <c r="V94" s="944"/>
      <c r="W94" s="944"/>
      <c r="X94" s="944"/>
      <c r="Y94" s="944"/>
      <c r="Z94" s="944"/>
      <c r="AA94" s="944"/>
      <c r="AB94" s="944"/>
      <c r="AC94" s="968">
        <f ca="1">SUMIF(Codifica_SP!$J$2:$R$1445,B94,Codifica_SP!$R$2:$R$1445)</f>
        <v>220693</v>
      </c>
      <c r="AD94" s="968"/>
      <c r="AE94" s="968"/>
      <c r="AF94" s="968"/>
      <c r="AG94" s="968"/>
      <c r="AH94" s="860" t="s">
        <v>7175</v>
      </c>
      <c r="AJ94" s="874">
        <f ca="1">AK94-AC94</f>
        <v>0</v>
      </c>
      <c r="AK94" s="878">
        <f>'NI-San_SP'!O910+'NI-Ric_SP'!O910</f>
        <v>220693</v>
      </c>
      <c r="AL94" s="816"/>
    </row>
    <row r="95" spans="1:38" s="855" customFormat="1" ht="15.75" customHeight="1" x14ac:dyDescent="0.25">
      <c r="A95" s="851"/>
      <c r="B95" s="943" t="s">
        <v>7480</v>
      </c>
      <c r="C95" s="943"/>
      <c r="D95" s="943"/>
      <c r="E95" s="943"/>
      <c r="F95" s="943"/>
      <c r="G95" s="944" t="s">
        <v>7481</v>
      </c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44"/>
      <c r="S95" s="944"/>
      <c r="T95" s="944"/>
      <c r="U95" s="944"/>
      <c r="V95" s="944"/>
      <c r="W95" s="944"/>
      <c r="X95" s="944"/>
      <c r="Y95" s="944"/>
      <c r="Z95" s="944"/>
      <c r="AA95" s="944"/>
      <c r="AB95" s="944"/>
      <c r="AC95" s="954">
        <f ca="1">SUM(AC96:AC100)</f>
        <v>1148</v>
      </c>
      <c r="AD95" s="954"/>
      <c r="AE95" s="954"/>
      <c r="AF95" s="954"/>
      <c r="AG95" s="954"/>
      <c r="AH95" s="860" t="s">
        <v>7175</v>
      </c>
      <c r="AJ95" s="816"/>
      <c r="AK95" s="878">
        <f>'NI-San_SP'!O913+'NI-Ric_SP'!O913</f>
        <v>1148</v>
      </c>
      <c r="AL95" s="816"/>
    </row>
    <row r="96" spans="1:38" s="855" customFormat="1" ht="15.75" customHeight="1" x14ac:dyDescent="0.25">
      <c r="A96" s="851" t="s">
        <v>7305</v>
      </c>
      <c r="B96" s="951" t="s">
        <v>2274</v>
      </c>
      <c r="C96" s="951"/>
      <c r="D96" s="951"/>
      <c r="E96" s="951"/>
      <c r="F96" s="951"/>
      <c r="G96" s="952" t="s">
        <v>7482</v>
      </c>
      <c r="H96" s="952"/>
      <c r="I96" s="952"/>
      <c r="J96" s="952"/>
      <c r="K96" s="952"/>
      <c r="L96" s="952"/>
      <c r="M96" s="952"/>
      <c r="N96" s="952"/>
      <c r="O96" s="952"/>
      <c r="P96" s="952"/>
      <c r="Q96" s="952"/>
      <c r="R96" s="952"/>
      <c r="S96" s="952"/>
      <c r="T96" s="952"/>
      <c r="U96" s="952"/>
      <c r="V96" s="952"/>
      <c r="W96" s="952"/>
      <c r="X96" s="952"/>
      <c r="Y96" s="952"/>
      <c r="Z96" s="952"/>
      <c r="AA96" s="952"/>
      <c r="AB96" s="952"/>
      <c r="AC96" s="942">
        <f ca="1">SUMIF(Codifica_SP!$J$2:$R$1445,B96,Codifica_SP!$R$2:$R$1445)</f>
        <v>0</v>
      </c>
      <c r="AD96" s="942"/>
      <c r="AE96" s="942"/>
      <c r="AF96" s="942"/>
      <c r="AG96" s="942"/>
      <c r="AH96" s="860" t="s">
        <v>7175</v>
      </c>
      <c r="AJ96" s="816"/>
      <c r="AK96" s="816"/>
      <c r="AL96" s="816"/>
    </row>
    <row r="97" spans="1:38" s="855" customFormat="1" ht="15.75" customHeight="1" x14ac:dyDescent="0.25">
      <c r="A97" s="851"/>
      <c r="B97" s="951" t="s">
        <v>2278</v>
      </c>
      <c r="C97" s="951"/>
      <c r="D97" s="951"/>
      <c r="E97" s="951"/>
      <c r="F97" s="951"/>
      <c r="G97" s="952" t="s">
        <v>7483</v>
      </c>
      <c r="H97" s="952"/>
      <c r="I97" s="952"/>
      <c r="J97" s="952"/>
      <c r="K97" s="952"/>
      <c r="L97" s="952"/>
      <c r="M97" s="952"/>
      <c r="N97" s="952"/>
      <c r="O97" s="952"/>
      <c r="P97" s="952"/>
      <c r="Q97" s="952"/>
      <c r="R97" s="952"/>
      <c r="S97" s="952"/>
      <c r="T97" s="952"/>
      <c r="U97" s="952"/>
      <c r="V97" s="952"/>
      <c r="W97" s="952"/>
      <c r="X97" s="952"/>
      <c r="Y97" s="952"/>
      <c r="Z97" s="952"/>
      <c r="AA97" s="952"/>
      <c r="AB97" s="952"/>
      <c r="AC97" s="942">
        <f ca="1">SUMIF(Codifica_SP!$J$2:$R$1445,B97,Codifica_SP!$R$2:$R$1445)</f>
        <v>0</v>
      </c>
      <c r="AD97" s="942"/>
      <c r="AE97" s="942"/>
      <c r="AF97" s="942"/>
      <c r="AG97" s="942"/>
      <c r="AH97" s="860" t="s">
        <v>7175</v>
      </c>
      <c r="AJ97" s="816"/>
      <c r="AK97" s="816"/>
      <c r="AL97" s="816"/>
    </row>
    <row r="98" spans="1:38" s="855" customFormat="1" ht="15.75" customHeight="1" x14ac:dyDescent="0.25">
      <c r="A98" s="851" t="s">
        <v>7301</v>
      </c>
      <c r="B98" s="951" t="s">
        <v>2282</v>
      </c>
      <c r="C98" s="951"/>
      <c r="D98" s="951"/>
      <c r="E98" s="951"/>
      <c r="F98" s="951"/>
      <c r="G98" s="952" t="s">
        <v>7484</v>
      </c>
      <c r="H98" s="952"/>
      <c r="I98" s="952"/>
      <c r="J98" s="952"/>
      <c r="K98" s="952"/>
      <c r="L98" s="952"/>
      <c r="M98" s="952"/>
      <c r="N98" s="952"/>
      <c r="O98" s="952"/>
      <c r="P98" s="952"/>
      <c r="Q98" s="952"/>
      <c r="R98" s="952"/>
      <c r="S98" s="952"/>
      <c r="T98" s="952"/>
      <c r="U98" s="952"/>
      <c r="V98" s="952"/>
      <c r="W98" s="952"/>
      <c r="X98" s="952"/>
      <c r="Y98" s="952"/>
      <c r="Z98" s="952"/>
      <c r="AA98" s="952"/>
      <c r="AB98" s="952"/>
      <c r="AC98" s="942">
        <f ca="1">SUMIF(Codifica_SP!$J$2:$R$1445,B98,Codifica_SP!$R$2:$R$1445)</f>
        <v>0</v>
      </c>
      <c r="AD98" s="942"/>
      <c r="AE98" s="942"/>
      <c r="AF98" s="942"/>
      <c r="AG98" s="942"/>
      <c r="AH98" s="860" t="s">
        <v>7175</v>
      </c>
      <c r="AJ98" s="816"/>
      <c r="AK98" s="816"/>
      <c r="AL98" s="816"/>
    </row>
    <row r="99" spans="1:38" s="855" customFormat="1" ht="15.75" customHeight="1" x14ac:dyDescent="0.25">
      <c r="A99" s="851" t="s">
        <v>7301</v>
      </c>
      <c r="B99" s="1022" t="s">
        <v>2286</v>
      </c>
      <c r="C99" s="1022"/>
      <c r="D99" s="1022"/>
      <c r="E99" s="1022"/>
      <c r="F99" s="1022"/>
      <c r="G99" s="1023" t="s">
        <v>7485</v>
      </c>
      <c r="H99" s="1023"/>
      <c r="I99" s="1023"/>
      <c r="J99" s="1023"/>
      <c r="K99" s="1023"/>
      <c r="L99" s="1023"/>
      <c r="M99" s="1023"/>
      <c r="N99" s="1023"/>
      <c r="O99" s="1023"/>
      <c r="P99" s="1023"/>
      <c r="Q99" s="1023"/>
      <c r="R99" s="1023"/>
      <c r="S99" s="1023"/>
      <c r="T99" s="1023"/>
      <c r="U99" s="1023"/>
      <c r="V99" s="1023"/>
      <c r="W99" s="1023"/>
      <c r="X99" s="1023"/>
      <c r="Y99" s="1023"/>
      <c r="Z99" s="1023"/>
      <c r="AA99" s="1023"/>
      <c r="AB99" s="1023"/>
      <c r="AC99" s="942">
        <f ca="1">SUMIF(Codifica_SP!$J$2:$R$1445,B99,Codifica_SP!$R$2:$R$1445)</f>
        <v>0</v>
      </c>
      <c r="AD99" s="942"/>
      <c r="AE99" s="942"/>
      <c r="AF99" s="942"/>
      <c r="AG99" s="942"/>
      <c r="AH99" s="860" t="s">
        <v>7175</v>
      </c>
      <c r="AJ99" s="816"/>
      <c r="AK99" s="816"/>
      <c r="AL99" s="816"/>
    </row>
    <row r="100" spans="1:38" s="855" customFormat="1" ht="15.75" customHeight="1" x14ac:dyDescent="0.25">
      <c r="A100" s="851" t="s">
        <v>7301</v>
      </c>
      <c r="B100" s="951" t="s">
        <v>2290</v>
      </c>
      <c r="C100" s="951"/>
      <c r="D100" s="951"/>
      <c r="E100" s="951"/>
      <c r="F100" s="951"/>
      <c r="G100" s="952" t="s">
        <v>7486</v>
      </c>
      <c r="H100" s="952"/>
      <c r="I100" s="952"/>
      <c r="J100" s="952"/>
      <c r="K100" s="952"/>
      <c r="L100" s="952"/>
      <c r="M100" s="952"/>
      <c r="N100" s="952"/>
      <c r="O100" s="952"/>
      <c r="P100" s="952"/>
      <c r="Q100" s="952"/>
      <c r="R100" s="952"/>
      <c r="S100" s="952"/>
      <c r="T100" s="952"/>
      <c r="U100" s="952"/>
      <c r="V100" s="952"/>
      <c r="W100" s="952"/>
      <c r="X100" s="952"/>
      <c r="Y100" s="952"/>
      <c r="Z100" s="952"/>
      <c r="AA100" s="952"/>
      <c r="AB100" s="952"/>
      <c r="AC100" s="942">
        <f ca="1">SUMIF(Codifica_SP!$J$2:$R$1445,B100,Codifica_SP!$R$2:$R$1445)</f>
        <v>1148</v>
      </c>
      <c r="AD100" s="942"/>
      <c r="AE100" s="942"/>
      <c r="AF100" s="942"/>
      <c r="AG100" s="942"/>
      <c r="AH100" s="860" t="s">
        <v>7175</v>
      </c>
      <c r="AJ100" s="816"/>
      <c r="AK100" s="878">
        <f>'NI-San_SP'!O918+'NI-Ric_SP'!O918</f>
        <v>0</v>
      </c>
      <c r="AL100" s="816"/>
    </row>
    <row r="101" spans="1:38" s="855" customFormat="1" ht="15.75" customHeight="1" x14ac:dyDescent="0.25">
      <c r="A101" s="851"/>
      <c r="B101" s="943" t="s">
        <v>7487</v>
      </c>
      <c r="C101" s="943"/>
      <c r="D101" s="943"/>
      <c r="E101" s="943"/>
      <c r="F101" s="943"/>
      <c r="G101" s="944" t="s">
        <v>7488</v>
      </c>
      <c r="H101" s="944"/>
      <c r="I101" s="944"/>
      <c r="J101" s="944"/>
      <c r="K101" s="944"/>
      <c r="L101" s="944"/>
      <c r="M101" s="944"/>
      <c r="N101" s="944"/>
      <c r="O101" s="944"/>
      <c r="P101" s="944"/>
      <c r="Q101" s="944"/>
      <c r="R101" s="944"/>
      <c r="S101" s="944"/>
      <c r="T101" s="944"/>
      <c r="U101" s="944"/>
      <c r="V101" s="944"/>
      <c r="W101" s="944"/>
      <c r="X101" s="944"/>
      <c r="Y101" s="944"/>
      <c r="Z101" s="944"/>
      <c r="AA101" s="944"/>
      <c r="AB101" s="944"/>
      <c r="AC101" s="954">
        <f ca="1">SUM(AC102:AC111)</f>
        <v>18076651</v>
      </c>
      <c r="AD101" s="954"/>
      <c r="AE101" s="954"/>
      <c r="AF101" s="954"/>
      <c r="AG101" s="954"/>
      <c r="AH101" s="860" t="s">
        <v>7175</v>
      </c>
      <c r="AJ101" s="816"/>
      <c r="AK101" s="878">
        <f>'NI-San_SP'!O923+'NI-Ric_SP'!O923</f>
        <v>18076651</v>
      </c>
      <c r="AL101" s="816"/>
    </row>
    <row r="102" spans="1:38" s="855" customFormat="1" ht="15.75" customHeight="1" x14ac:dyDescent="0.25">
      <c r="A102" s="851" t="s">
        <v>7324</v>
      </c>
      <c r="B102" s="951" t="s">
        <v>2299</v>
      </c>
      <c r="C102" s="951"/>
      <c r="D102" s="951"/>
      <c r="E102" s="951"/>
      <c r="F102" s="951"/>
      <c r="G102" s="952" t="s">
        <v>7489</v>
      </c>
      <c r="H102" s="952"/>
      <c r="I102" s="952"/>
      <c r="J102" s="952"/>
      <c r="K102" s="952"/>
      <c r="L102" s="952"/>
      <c r="M102" s="952"/>
      <c r="N102" s="952"/>
      <c r="O102" s="952"/>
      <c r="P102" s="952"/>
      <c r="Q102" s="952"/>
      <c r="R102" s="952"/>
      <c r="S102" s="952"/>
      <c r="T102" s="952"/>
      <c r="U102" s="952"/>
      <c r="V102" s="952"/>
      <c r="W102" s="952"/>
      <c r="X102" s="952"/>
      <c r="Y102" s="952"/>
      <c r="Z102" s="952"/>
      <c r="AA102" s="952"/>
      <c r="AB102" s="952"/>
      <c r="AC102" s="942">
        <f ca="1">SUMIF(Codifica_SP!$J$2:$R$1445,B102,Codifica_SP!$R$2:$R$1445)</f>
        <v>0</v>
      </c>
      <c r="AD102" s="942"/>
      <c r="AE102" s="942"/>
      <c r="AF102" s="942"/>
      <c r="AG102" s="942"/>
      <c r="AH102" s="860" t="s">
        <v>7175</v>
      </c>
      <c r="AJ102" s="816"/>
      <c r="AK102" s="816"/>
      <c r="AL102" s="816"/>
    </row>
    <row r="103" spans="1:38" s="855" customFormat="1" ht="15.75" customHeight="1" x14ac:dyDescent="0.25">
      <c r="A103" s="851"/>
      <c r="B103" s="951" t="s">
        <v>2303</v>
      </c>
      <c r="C103" s="951"/>
      <c r="D103" s="951"/>
      <c r="E103" s="951"/>
      <c r="F103" s="951"/>
      <c r="G103" s="952" t="s">
        <v>7490</v>
      </c>
      <c r="H103" s="952"/>
      <c r="I103" s="952"/>
      <c r="J103" s="952"/>
      <c r="K103" s="952"/>
      <c r="L103" s="952"/>
      <c r="M103" s="952"/>
      <c r="N103" s="952"/>
      <c r="O103" s="952"/>
      <c r="P103" s="952"/>
      <c r="Q103" s="952"/>
      <c r="R103" s="952"/>
      <c r="S103" s="952"/>
      <c r="T103" s="952"/>
      <c r="U103" s="952"/>
      <c r="V103" s="952"/>
      <c r="W103" s="952"/>
      <c r="X103" s="952"/>
      <c r="Y103" s="952"/>
      <c r="Z103" s="952"/>
      <c r="AA103" s="952"/>
      <c r="AB103" s="952"/>
      <c r="AC103" s="942">
        <f ca="1">SUMIF(Codifica_SP!$J$2:$R$1445,B103,Codifica_SP!$R$2:$R$1445)</f>
        <v>0</v>
      </c>
      <c r="AD103" s="942"/>
      <c r="AE103" s="942"/>
      <c r="AF103" s="942"/>
      <c r="AG103" s="942"/>
      <c r="AH103" s="860" t="s">
        <v>7175</v>
      </c>
      <c r="AJ103" s="816"/>
      <c r="AK103" s="816"/>
      <c r="AL103" s="816"/>
    </row>
    <row r="104" spans="1:38" s="855" customFormat="1" ht="15" customHeight="1" x14ac:dyDescent="0.25">
      <c r="A104" s="851" t="s">
        <v>7326</v>
      </c>
      <c r="B104" s="951" t="s">
        <v>2307</v>
      </c>
      <c r="C104" s="951"/>
      <c r="D104" s="951"/>
      <c r="E104" s="951"/>
      <c r="F104" s="951"/>
      <c r="G104" s="952" t="s">
        <v>7491</v>
      </c>
      <c r="H104" s="952"/>
      <c r="I104" s="952"/>
      <c r="J104" s="952"/>
      <c r="K104" s="952"/>
      <c r="L104" s="952"/>
      <c r="M104" s="952"/>
      <c r="N104" s="952"/>
      <c r="O104" s="952"/>
      <c r="P104" s="952"/>
      <c r="Q104" s="952"/>
      <c r="R104" s="952"/>
      <c r="S104" s="952"/>
      <c r="T104" s="952"/>
      <c r="U104" s="952"/>
      <c r="V104" s="952"/>
      <c r="W104" s="952"/>
      <c r="X104" s="952"/>
      <c r="Y104" s="952"/>
      <c r="Z104" s="952"/>
      <c r="AA104" s="952"/>
      <c r="AB104" s="952"/>
      <c r="AC104" s="942">
        <f ca="1">SUMIF(Codifica_SP!$J$2:$R$1445,B104,Codifica_SP!$R$2:$R$1445)</f>
        <v>0</v>
      </c>
      <c r="AD104" s="942"/>
      <c r="AE104" s="942"/>
      <c r="AF104" s="942"/>
      <c r="AG104" s="942"/>
      <c r="AH104" s="860" t="s">
        <v>7175</v>
      </c>
      <c r="AJ104" s="816"/>
      <c r="AK104" s="816"/>
      <c r="AL104" s="816"/>
    </row>
    <row r="105" spans="1:38" s="855" customFormat="1" ht="24.95" customHeight="1" x14ac:dyDescent="0.25">
      <c r="A105" s="851"/>
      <c r="B105" s="951" t="s">
        <v>2311</v>
      </c>
      <c r="C105" s="951"/>
      <c r="D105" s="951"/>
      <c r="E105" s="951"/>
      <c r="F105" s="951"/>
      <c r="G105" s="952" t="s">
        <v>7492</v>
      </c>
      <c r="H105" s="952"/>
      <c r="I105" s="952"/>
      <c r="J105" s="952"/>
      <c r="K105" s="952"/>
      <c r="L105" s="952"/>
      <c r="M105" s="952"/>
      <c r="N105" s="952"/>
      <c r="O105" s="952"/>
      <c r="P105" s="952"/>
      <c r="Q105" s="952"/>
      <c r="R105" s="952"/>
      <c r="S105" s="952"/>
      <c r="T105" s="952"/>
      <c r="U105" s="952"/>
      <c r="V105" s="952"/>
      <c r="W105" s="952"/>
      <c r="X105" s="952"/>
      <c r="Y105" s="952"/>
      <c r="Z105" s="952"/>
      <c r="AA105" s="952"/>
      <c r="AB105" s="952"/>
      <c r="AC105" s="942">
        <f ca="1">SUMIF(Codifica_SP!$J$2:$R$1445,B105,Codifica_SP!$R$2:$R$1445)</f>
        <v>0</v>
      </c>
      <c r="AD105" s="942"/>
      <c r="AE105" s="942"/>
      <c r="AF105" s="942"/>
      <c r="AG105" s="942"/>
      <c r="AH105" s="860" t="s">
        <v>7175</v>
      </c>
      <c r="AJ105" s="816"/>
      <c r="AK105" s="816"/>
      <c r="AL105" s="816"/>
    </row>
    <row r="106" spans="1:38" s="855" customFormat="1" ht="15" customHeight="1" x14ac:dyDescent="0.25">
      <c r="A106" s="851" t="s">
        <v>7305</v>
      </c>
      <c r="B106" s="951" t="s">
        <v>2315</v>
      </c>
      <c r="C106" s="951"/>
      <c r="D106" s="951"/>
      <c r="E106" s="951"/>
      <c r="F106" s="951"/>
      <c r="G106" s="952" t="s">
        <v>7493</v>
      </c>
      <c r="H106" s="952"/>
      <c r="I106" s="952"/>
      <c r="J106" s="952"/>
      <c r="K106" s="952"/>
      <c r="L106" s="952"/>
      <c r="M106" s="952"/>
      <c r="N106" s="952"/>
      <c r="O106" s="952"/>
      <c r="P106" s="952"/>
      <c r="Q106" s="952"/>
      <c r="R106" s="952"/>
      <c r="S106" s="952"/>
      <c r="T106" s="952"/>
      <c r="U106" s="952"/>
      <c r="V106" s="952"/>
      <c r="W106" s="952"/>
      <c r="X106" s="952"/>
      <c r="Y106" s="952"/>
      <c r="Z106" s="952"/>
      <c r="AA106" s="952"/>
      <c r="AB106" s="952"/>
      <c r="AC106" s="942">
        <f ca="1">SUMIF(Codifica_SP!$J$2:$R$1445,B106,Codifica_SP!$R$2:$R$1445)</f>
        <v>0</v>
      </c>
      <c r="AD106" s="942"/>
      <c r="AE106" s="942"/>
      <c r="AF106" s="942"/>
      <c r="AG106" s="942"/>
      <c r="AH106" s="860" t="s">
        <v>7175</v>
      </c>
      <c r="AJ106" s="816"/>
      <c r="AK106" s="816"/>
      <c r="AL106" s="816"/>
    </row>
    <row r="107" spans="1:38" s="855" customFormat="1" ht="15.75" customHeight="1" x14ac:dyDescent="0.25">
      <c r="A107" s="851" t="s">
        <v>7324</v>
      </c>
      <c r="B107" s="951" t="s">
        <v>2319</v>
      </c>
      <c r="C107" s="951"/>
      <c r="D107" s="951"/>
      <c r="E107" s="951"/>
      <c r="F107" s="951"/>
      <c r="G107" s="952" t="s">
        <v>7494</v>
      </c>
      <c r="H107" s="952"/>
      <c r="I107" s="952"/>
      <c r="J107" s="952"/>
      <c r="K107" s="952"/>
      <c r="L107" s="952"/>
      <c r="M107" s="952"/>
      <c r="N107" s="952"/>
      <c r="O107" s="952"/>
      <c r="P107" s="952"/>
      <c r="Q107" s="952"/>
      <c r="R107" s="952"/>
      <c r="S107" s="952"/>
      <c r="T107" s="952"/>
      <c r="U107" s="952"/>
      <c r="V107" s="952"/>
      <c r="W107" s="952"/>
      <c r="X107" s="952"/>
      <c r="Y107" s="952"/>
      <c r="Z107" s="952"/>
      <c r="AA107" s="952"/>
      <c r="AB107" s="952"/>
      <c r="AC107" s="942">
        <f ca="1">SUMIF(Codifica_SP!$J$2:$R$1445,B107,Codifica_SP!$R$2:$R$1445)</f>
        <v>18076651</v>
      </c>
      <c r="AD107" s="942"/>
      <c r="AE107" s="942"/>
      <c r="AF107" s="942"/>
      <c r="AG107" s="942"/>
      <c r="AH107" s="860" t="s">
        <v>7175</v>
      </c>
      <c r="AJ107" s="816"/>
      <c r="AK107" s="816"/>
      <c r="AL107" s="816"/>
    </row>
    <row r="108" spans="1:38" s="855" customFormat="1" ht="25.5" customHeight="1" x14ac:dyDescent="0.25">
      <c r="A108" s="851"/>
      <c r="B108" s="1016" t="s">
        <v>2323</v>
      </c>
      <c r="C108" s="1016"/>
      <c r="D108" s="1016"/>
      <c r="E108" s="1016"/>
      <c r="F108" s="1016"/>
      <c r="G108" s="1021" t="s">
        <v>7495</v>
      </c>
      <c r="H108" s="1021"/>
      <c r="I108" s="1021"/>
      <c r="J108" s="1021"/>
      <c r="K108" s="1021"/>
      <c r="L108" s="1021"/>
      <c r="M108" s="1021"/>
      <c r="N108" s="1021"/>
      <c r="O108" s="1021"/>
      <c r="P108" s="1021"/>
      <c r="Q108" s="1021"/>
      <c r="R108" s="1021"/>
      <c r="S108" s="1021"/>
      <c r="T108" s="1021"/>
      <c r="U108" s="1021"/>
      <c r="V108" s="1021"/>
      <c r="W108" s="1021"/>
      <c r="X108" s="1021"/>
      <c r="Y108" s="1021"/>
      <c r="Z108" s="1021"/>
      <c r="AA108" s="1021"/>
      <c r="AB108" s="1021"/>
      <c r="AC108" s="942">
        <f ca="1">SUMIF(Codifica_SP!$J$2:$R$1445,B108,Codifica_SP!$R$2:$R$1445)</f>
        <v>0</v>
      </c>
      <c r="AD108" s="942"/>
      <c r="AE108" s="942"/>
      <c r="AF108" s="942"/>
      <c r="AG108" s="942"/>
      <c r="AH108" s="860"/>
      <c r="AJ108" s="816"/>
      <c r="AK108" s="816"/>
      <c r="AL108" s="816"/>
    </row>
    <row r="109" spans="1:38" s="855" customFormat="1" ht="15.75" customHeight="1" x14ac:dyDescent="0.25">
      <c r="A109" s="851"/>
      <c r="B109" s="1009" t="s">
        <v>2327</v>
      </c>
      <c r="C109" s="1009"/>
      <c r="D109" s="1009"/>
      <c r="E109" s="1009"/>
      <c r="F109" s="1009"/>
      <c r="G109" s="1020" t="s">
        <v>7496</v>
      </c>
      <c r="H109" s="1020"/>
      <c r="I109" s="1020"/>
      <c r="J109" s="1020"/>
      <c r="K109" s="1020"/>
      <c r="L109" s="1020"/>
      <c r="M109" s="1020"/>
      <c r="N109" s="1020"/>
      <c r="O109" s="1020"/>
      <c r="P109" s="1020"/>
      <c r="Q109" s="1020"/>
      <c r="R109" s="1020"/>
      <c r="S109" s="1020"/>
      <c r="T109" s="1020"/>
      <c r="U109" s="1020"/>
      <c r="V109" s="1020"/>
      <c r="W109" s="1020"/>
      <c r="X109" s="1020"/>
      <c r="Y109" s="1020"/>
      <c r="Z109" s="1020"/>
      <c r="AA109" s="1020"/>
      <c r="AB109" s="1020"/>
      <c r="AC109" s="942">
        <f ca="1">SUMIF(Codifica_SP!$J$2:$R$1445,B109,Codifica_SP!$R$2:$R$1445)</f>
        <v>0</v>
      </c>
      <c r="AD109" s="942"/>
      <c r="AE109" s="942"/>
      <c r="AF109" s="942"/>
      <c r="AG109" s="942"/>
      <c r="AH109" s="860" t="s">
        <v>7175</v>
      </c>
      <c r="AJ109" s="816"/>
      <c r="AK109" s="816"/>
      <c r="AL109" s="816"/>
    </row>
    <row r="110" spans="1:38" s="855" customFormat="1" ht="15.75" customHeight="1" x14ac:dyDescent="0.25">
      <c r="A110" s="851"/>
      <c r="B110" s="951" t="s">
        <v>2331</v>
      </c>
      <c r="C110" s="951"/>
      <c r="D110" s="951"/>
      <c r="E110" s="951"/>
      <c r="F110" s="951"/>
      <c r="G110" s="952" t="s">
        <v>7497</v>
      </c>
      <c r="H110" s="952"/>
      <c r="I110" s="952"/>
      <c r="J110" s="952"/>
      <c r="K110" s="952"/>
      <c r="L110" s="952"/>
      <c r="M110" s="952"/>
      <c r="N110" s="952"/>
      <c r="O110" s="952"/>
      <c r="P110" s="952"/>
      <c r="Q110" s="952"/>
      <c r="R110" s="952"/>
      <c r="S110" s="952"/>
      <c r="T110" s="952"/>
      <c r="U110" s="952"/>
      <c r="V110" s="952"/>
      <c r="W110" s="952"/>
      <c r="X110" s="952"/>
      <c r="Y110" s="952"/>
      <c r="Z110" s="952"/>
      <c r="AA110" s="952"/>
      <c r="AB110" s="952"/>
      <c r="AC110" s="942">
        <f ca="1">SUMIF(Codifica_SP!$J$2:$R$1445,B110,Codifica_SP!$R$2:$R$1445)</f>
        <v>0</v>
      </c>
      <c r="AD110" s="942"/>
      <c r="AE110" s="942"/>
      <c r="AF110" s="942"/>
      <c r="AG110" s="942"/>
      <c r="AH110" s="860" t="s">
        <v>7175</v>
      </c>
      <c r="AJ110" s="816"/>
      <c r="AK110" s="816"/>
      <c r="AL110" s="816"/>
    </row>
    <row r="111" spans="1:38" s="855" customFormat="1" ht="15.75" customHeight="1" x14ac:dyDescent="0.25">
      <c r="A111" s="851"/>
      <c r="B111" s="1016" t="s">
        <v>2335</v>
      </c>
      <c r="C111" s="1016"/>
      <c r="D111" s="1016"/>
      <c r="E111" s="1016"/>
      <c r="F111" s="1016"/>
      <c r="G111" s="952" t="s">
        <v>7498</v>
      </c>
      <c r="H111" s="952"/>
      <c r="I111" s="952"/>
      <c r="J111" s="952"/>
      <c r="K111" s="952"/>
      <c r="L111" s="952"/>
      <c r="M111" s="952"/>
      <c r="N111" s="952"/>
      <c r="O111" s="952"/>
      <c r="P111" s="952"/>
      <c r="Q111" s="952"/>
      <c r="R111" s="952"/>
      <c r="S111" s="952"/>
      <c r="T111" s="952"/>
      <c r="U111" s="952"/>
      <c r="V111" s="952"/>
      <c r="W111" s="952"/>
      <c r="X111" s="952"/>
      <c r="Y111" s="952"/>
      <c r="Z111" s="952"/>
      <c r="AA111" s="952"/>
      <c r="AB111" s="952"/>
      <c r="AC111" s="942">
        <f ca="1">SUMIF(Codifica_SP!$J$2:$R$1445,B111,Codifica_SP!$R$2:$R$1445)</f>
        <v>0</v>
      </c>
      <c r="AD111" s="942"/>
      <c r="AE111" s="942"/>
      <c r="AF111" s="942"/>
      <c r="AG111" s="942"/>
      <c r="AH111" s="860" t="s">
        <v>7175</v>
      </c>
      <c r="AJ111" s="816"/>
      <c r="AK111" s="816"/>
      <c r="AL111" s="816"/>
    </row>
    <row r="112" spans="1:38" s="855" customFormat="1" ht="15.75" customHeight="1" x14ac:dyDescent="0.25">
      <c r="A112" s="851"/>
      <c r="B112" s="943" t="s">
        <v>2345</v>
      </c>
      <c r="C112" s="943"/>
      <c r="D112" s="943"/>
      <c r="E112" s="943"/>
      <c r="F112" s="943"/>
      <c r="G112" s="944" t="s">
        <v>7499</v>
      </c>
      <c r="H112" s="944"/>
      <c r="I112" s="944"/>
      <c r="J112" s="944"/>
      <c r="K112" s="944"/>
      <c r="L112" s="944"/>
      <c r="M112" s="944"/>
      <c r="N112" s="944"/>
      <c r="O112" s="944"/>
      <c r="P112" s="944"/>
      <c r="Q112" s="944"/>
      <c r="R112" s="944"/>
      <c r="S112" s="944"/>
      <c r="T112" s="944"/>
      <c r="U112" s="944"/>
      <c r="V112" s="944"/>
      <c r="W112" s="944"/>
      <c r="X112" s="944"/>
      <c r="Y112" s="944"/>
      <c r="Z112" s="944"/>
      <c r="AA112" s="944"/>
      <c r="AB112" s="944"/>
      <c r="AC112" s="942">
        <f ca="1">SUMIF(Codifica_SP!$J$2:$R$1445,B112,Codifica_SP!$R$2:$R$1445)</f>
        <v>15671</v>
      </c>
      <c r="AD112" s="942"/>
      <c r="AE112" s="942"/>
      <c r="AF112" s="942"/>
      <c r="AG112" s="942"/>
      <c r="AH112" s="860" t="s">
        <v>7175</v>
      </c>
      <c r="AJ112" s="816"/>
      <c r="AK112" s="816">
        <f>'NI-San_SP'!O942+'NI-Ric_SP'!O942</f>
        <v>15671</v>
      </c>
      <c r="AL112" s="816"/>
    </row>
    <row r="113" spans="1:38" s="855" customFormat="1" ht="15.75" customHeight="1" x14ac:dyDescent="0.25">
      <c r="A113" s="851"/>
      <c r="B113" s="943" t="s">
        <v>7500</v>
      </c>
      <c r="C113" s="943"/>
      <c r="D113" s="943"/>
      <c r="E113" s="943"/>
      <c r="F113" s="943"/>
      <c r="G113" s="944" t="s">
        <v>7501</v>
      </c>
      <c r="H113" s="944"/>
      <c r="I113" s="944"/>
      <c r="J113" s="944"/>
      <c r="K113" s="944"/>
      <c r="L113" s="944"/>
      <c r="M113" s="944"/>
      <c r="N113" s="944"/>
      <c r="O113" s="944"/>
      <c r="P113" s="944"/>
      <c r="Q113" s="944"/>
      <c r="R113" s="944"/>
      <c r="S113" s="944"/>
      <c r="T113" s="944"/>
      <c r="U113" s="944"/>
      <c r="V113" s="944"/>
      <c r="W113" s="944"/>
      <c r="X113" s="944"/>
      <c r="Y113" s="944"/>
      <c r="Z113" s="944"/>
      <c r="AA113" s="944"/>
      <c r="AB113" s="944"/>
      <c r="AC113" s="954">
        <f ca="1">AC114+AC124+AC125</f>
        <v>11209212</v>
      </c>
      <c r="AD113" s="954"/>
      <c r="AE113" s="954"/>
      <c r="AF113" s="954"/>
      <c r="AG113" s="954"/>
      <c r="AH113" s="860" t="s">
        <v>7175</v>
      </c>
      <c r="AJ113" s="816"/>
      <c r="AK113" s="816">
        <f>'NI-San_SP'!O944+'NI-Ric_SP'!O944</f>
        <v>11209212</v>
      </c>
      <c r="AL113" s="816"/>
    </row>
    <row r="114" spans="1:38" s="855" customFormat="1" ht="41.25" customHeight="1" x14ac:dyDescent="0.25">
      <c r="A114" s="851"/>
      <c r="B114" s="1018" t="s">
        <v>7502</v>
      </c>
      <c r="C114" s="1018"/>
      <c r="D114" s="1018"/>
      <c r="E114" s="1018"/>
      <c r="F114" s="1018"/>
      <c r="G114" s="1019" t="s">
        <v>7503</v>
      </c>
      <c r="H114" s="1019"/>
      <c r="I114" s="1019"/>
      <c r="J114" s="1019"/>
      <c r="K114" s="1019"/>
      <c r="L114" s="1019"/>
      <c r="M114" s="1019"/>
      <c r="N114" s="1019"/>
      <c r="O114" s="1019"/>
      <c r="P114" s="1019"/>
      <c r="Q114" s="1019"/>
      <c r="R114" s="1019"/>
      <c r="S114" s="1019"/>
      <c r="T114" s="1019"/>
      <c r="U114" s="1019"/>
      <c r="V114" s="1019"/>
      <c r="W114" s="1019"/>
      <c r="X114" s="1019"/>
      <c r="Y114" s="1019"/>
      <c r="Z114" s="1019"/>
      <c r="AA114" s="1019"/>
      <c r="AB114" s="1019"/>
      <c r="AC114" s="968">
        <f ca="1">SUM(AC115:AC123)</f>
        <v>11201709</v>
      </c>
      <c r="AD114" s="968"/>
      <c r="AE114" s="968"/>
      <c r="AF114" s="968"/>
      <c r="AG114" s="968"/>
      <c r="AH114" s="860" t="s">
        <v>7175</v>
      </c>
      <c r="AJ114" s="816"/>
      <c r="AK114" s="816"/>
      <c r="AL114" s="816"/>
    </row>
    <row r="115" spans="1:38" s="855" customFormat="1" ht="17.25" customHeight="1" x14ac:dyDescent="0.25">
      <c r="A115" s="851" t="s">
        <v>7324</v>
      </c>
      <c r="B115" s="962" t="s">
        <v>2359</v>
      </c>
      <c r="C115" s="962"/>
      <c r="D115" s="962"/>
      <c r="E115" s="962"/>
      <c r="F115" s="962"/>
      <c r="G115" s="963" t="s">
        <v>7504</v>
      </c>
      <c r="H115" s="963"/>
      <c r="I115" s="963"/>
      <c r="J115" s="963"/>
      <c r="K115" s="963"/>
      <c r="L115" s="963"/>
      <c r="M115" s="963"/>
      <c r="N115" s="963"/>
      <c r="O115" s="963"/>
      <c r="P115" s="963"/>
      <c r="Q115" s="963"/>
      <c r="R115" s="963"/>
      <c r="S115" s="963"/>
      <c r="T115" s="963"/>
      <c r="U115" s="963"/>
      <c r="V115" s="963"/>
      <c r="W115" s="963"/>
      <c r="X115" s="963"/>
      <c r="Y115" s="963"/>
      <c r="Z115" s="963"/>
      <c r="AA115" s="963"/>
      <c r="AB115" s="963"/>
      <c r="AC115" s="942">
        <f ca="1">SUMIF(Codifica_SP!$J$2:$R$1445,B115,Codifica_SP!$R$2:$R$1445)</f>
        <v>0</v>
      </c>
      <c r="AD115" s="942"/>
      <c r="AE115" s="942"/>
      <c r="AF115" s="942"/>
      <c r="AG115" s="942"/>
      <c r="AH115" s="860" t="s">
        <v>7175</v>
      </c>
      <c r="AJ115" s="816"/>
      <c r="AK115" s="816"/>
      <c r="AL115" s="816"/>
    </row>
    <row r="116" spans="1:38" s="855" customFormat="1" ht="30.75" customHeight="1" x14ac:dyDescent="0.25">
      <c r="A116" s="851" t="s">
        <v>7324</v>
      </c>
      <c r="B116" s="962" t="s">
        <v>2382</v>
      </c>
      <c r="C116" s="962"/>
      <c r="D116" s="962"/>
      <c r="E116" s="962"/>
      <c r="F116" s="962"/>
      <c r="G116" s="963" t="s">
        <v>7505</v>
      </c>
      <c r="H116" s="963"/>
      <c r="I116" s="963"/>
      <c r="J116" s="963"/>
      <c r="K116" s="963"/>
      <c r="L116" s="963"/>
      <c r="M116" s="963"/>
      <c r="N116" s="963"/>
      <c r="O116" s="963"/>
      <c r="P116" s="963"/>
      <c r="Q116" s="963"/>
      <c r="R116" s="963"/>
      <c r="S116" s="963"/>
      <c r="T116" s="963"/>
      <c r="U116" s="963"/>
      <c r="V116" s="963"/>
      <c r="W116" s="963"/>
      <c r="X116" s="963"/>
      <c r="Y116" s="963"/>
      <c r="Z116" s="963"/>
      <c r="AA116" s="963"/>
      <c r="AB116" s="963"/>
      <c r="AC116" s="942">
        <f ca="1">SUMIF(Codifica_SP!$J$2:$R$1445,B116,Codifica_SP!$R$2:$R$1445)</f>
        <v>0</v>
      </c>
      <c r="AD116" s="942"/>
      <c r="AE116" s="942"/>
      <c r="AF116" s="942"/>
      <c r="AG116" s="942"/>
      <c r="AH116" s="860" t="s">
        <v>7175</v>
      </c>
      <c r="AJ116" s="816"/>
      <c r="AK116" s="816"/>
      <c r="AL116" s="816"/>
    </row>
    <row r="117" spans="1:38" s="855" customFormat="1" ht="32.25" customHeight="1" x14ac:dyDescent="0.25">
      <c r="A117" s="851" t="s">
        <v>7324</v>
      </c>
      <c r="B117" s="962" t="s">
        <v>2387</v>
      </c>
      <c r="C117" s="962"/>
      <c r="D117" s="962"/>
      <c r="E117" s="962"/>
      <c r="F117" s="962"/>
      <c r="G117" s="963" t="s">
        <v>7506</v>
      </c>
      <c r="H117" s="963"/>
      <c r="I117" s="963"/>
      <c r="J117" s="963"/>
      <c r="K117" s="963"/>
      <c r="L117" s="963"/>
      <c r="M117" s="963"/>
      <c r="N117" s="963"/>
      <c r="O117" s="963"/>
      <c r="P117" s="963"/>
      <c r="Q117" s="963"/>
      <c r="R117" s="963"/>
      <c r="S117" s="963"/>
      <c r="T117" s="963"/>
      <c r="U117" s="963"/>
      <c r="V117" s="963"/>
      <c r="W117" s="963"/>
      <c r="X117" s="963"/>
      <c r="Y117" s="963"/>
      <c r="Z117" s="963"/>
      <c r="AA117" s="963"/>
      <c r="AB117" s="963"/>
      <c r="AC117" s="942">
        <f ca="1">SUMIF(Codifica_SP!$J$2:$R$1445,B117,Codifica_SP!$R$2:$R$1445)</f>
        <v>0</v>
      </c>
      <c r="AD117" s="942"/>
      <c r="AE117" s="942"/>
      <c r="AF117" s="942"/>
      <c r="AG117" s="942"/>
      <c r="AH117" s="860" t="s">
        <v>7175</v>
      </c>
      <c r="AJ117" s="816"/>
      <c r="AK117" s="816"/>
      <c r="AL117" s="816"/>
    </row>
    <row r="118" spans="1:38" s="855" customFormat="1" ht="17.25" customHeight="1" x14ac:dyDescent="0.25">
      <c r="A118" s="851" t="s">
        <v>7326</v>
      </c>
      <c r="B118" s="962" t="s">
        <v>2392</v>
      </c>
      <c r="C118" s="962"/>
      <c r="D118" s="962"/>
      <c r="E118" s="962"/>
      <c r="F118" s="962"/>
      <c r="G118" s="963" t="s">
        <v>7507</v>
      </c>
      <c r="H118" s="963"/>
      <c r="I118" s="963"/>
      <c r="J118" s="963"/>
      <c r="K118" s="963"/>
      <c r="L118" s="963"/>
      <c r="M118" s="963"/>
      <c r="N118" s="963"/>
      <c r="O118" s="963"/>
      <c r="P118" s="963"/>
      <c r="Q118" s="963"/>
      <c r="R118" s="963"/>
      <c r="S118" s="963"/>
      <c r="T118" s="963"/>
      <c r="U118" s="963"/>
      <c r="V118" s="963"/>
      <c r="W118" s="963"/>
      <c r="X118" s="963"/>
      <c r="Y118" s="963"/>
      <c r="Z118" s="963"/>
      <c r="AA118" s="963"/>
      <c r="AB118" s="963"/>
      <c r="AC118" s="942">
        <f ca="1">SUMIF(Codifica_SP!$J$2:$R$1445,B118,Codifica_SP!$R$2:$R$1445)</f>
        <v>4157082</v>
      </c>
      <c r="AD118" s="942"/>
      <c r="AE118" s="942"/>
      <c r="AF118" s="942"/>
      <c r="AG118" s="942"/>
      <c r="AH118" s="860" t="s">
        <v>7175</v>
      </c>
      <c r="AJ118" s="816"/>
      <c r="AK118" s="816"/>
      <c r="AL118" s="816"/>
    </row>
    <row r="119" spans="1:38" s="855" customFormat="1" ht="18" customHeight="1" x14ac:dyDescent="0.25">
      <c r="A119" s="851" t="s">
        <v>7324</v>
      </c>
      <c r="B119" s="962" t="s">
        <v>2406</v>
      </c>
      <c r="C119" s="962"/>
      <c r="D119" s="962"/>
      <c r="E119" s="962"/>
      <c r="F119" s="962"/>
      <c r="G119" s="963" t="s">
        <v>7508</v>
      </c>
      <c r="H119" s="963"/>
      <c r="I119" s="963"/>
      <c r="J119" s="963"/>
      <c r="K119" s="963"/>
      <c r="L119" s="963"/>
      <c r="M119" s="963"/>
      <c r="N119" s="963"/>
      <c r="O119" s="963"/>
      <c r="P119" s="963"/>
      <c r="Q119" s="963"/>
      <c r="R119" s="963"/>
      <c r="S119" s="963"/>
      <c r="T119" s="963"/>
      <c r="U119" s="963"/>
      <c r="V119" s="963"/>
      <c r="W119" s="963"/>
      <c r="X119" s="963"/>
      <c r="Y119" s="963"/>
      <c r="Z119" s="963"/>
      <c r="AA119" s="963"/>
      <c r="AB119" s="963"/>
      <c r="AC119" s="942">
        <f ca="1">SUMIF(Codifica_SP!$J$2:$R$1445,B119,Codifica_SP!$R$2:$R$1445)</f>
        <v>0</v>
      </c>
      <c r="AD119" s="942"/>
      <c r="AE119" s="942"/>
      <c r="AF119" s="942"/>
      <c r="AG119" s="942"/>
      <c r="AH119" s="860" t="s">
        <v>7175</v>
      </c>
      <c r="AJ119" s="816"/>
      <c r="AK119" s="816"/>
      <c r="AL119" s="816"/>
    </row>
    <row r="120" spans="1:38" s="855" customFormat="1" ht="18" customHeight="1" x14ac:dyDescent="0.25">
      <c r="A120" s="851" t="s">
        <v>7324</v>
      </c>
      <c r="B120" s="962" t="s">
        <v>2410</v>
      </c>
      <c r="C120" s="962"/>
      <c r="D120" s="962"/>
      <c r="E120" s="962"/>
      <c r="F120" s="962"/>
      <c r="G120" s="963" t="s">
        <v>7509</v>
      </c>
      <c r="H120" s="963"/>
      <c r="I120" s="963"/>
      <c r="J120" s="963"/>
      <c r="K120" s="963"/>
      <c r="L120" s="963"/>
      <c r="M120" s="963"/>
      <c r="N120" s="963"/>
      <c r="O120" s="963"/>
      <c r="P120" s="963"/>
      <c r="Q120" s="963"/>
      <c r="R120" s="963"/>
      <c r="S120" s="963"/>
      <c r="T120" s="963"/>
      <c r="U120" s="963"/>
      <c r="V120" s="963"/>
      <c r="W120" s="963"/>
      <c r="X120" s="963"/>
      <c r="Y120" s="963"/>
      <c r="Z120" s="963"/>
      <c r="AA120" s="963"/>
      <c r="AB120" s="963"/>
      <c r="AC120" s="942">
        <f ca="1">SUMIF(Codifica_SP!$J$2:$R$1445,B120,Codifica_SP!$R$2:$R$1445)</f>
        <v>7044627</v>
      </c>
      <c r="AD120" s="942"/>
      <c r="AE120" s="942"/>
      <c r="AF120" s="942"/>
      <c r="AG120" s="942"/>
      <c r="AH120" s="860" t="s">
        <v>7175</v>
      </c>
      <c r="AJ120" s="816"/>
      <c r="AK120" s="816"/>
      <c r="AL120" s="816"/>
    </row>
    <row r="121" spans="1:38" s="855" customFormat="1" ht="18" customHeight="1" x14ac:dyDescent="0.25">
      <c r="A121" s="851"/>
      <c r="B121" s="970" t="s">
        <v>2438</v>
      </c>
      <c r="C121" s="970"/>
      <c r="D121" s="970"/>
      <c r="E121" s="970"/>
      <c r="F121" s="970"/>
      <c r="G121" s="963" t="s">
        <v>7510</v>
      </c>
      <c r="H121" s="963"/>
      <c r="I121" s="963"/>
      <c r="J121" s="963"/>
      <c r="K121" s="963"/>
      <c r="L121" s="963"/>
      <c r="M121" s="963"/>
      <c r="N121" s="963"/>
      <c r="O121" s="963"/>
      <c r="P121" s="963"/>
      <c r="Q121" s="963"/>
      <c r="R121" s="963"/>
      <c r="S121" s="963"/>
      <c r="T121" s="963"/>
      <c r="U121" s="963"/>
      <c r="V121" s="963"/>
      <c r="W121" s="963"/>
      <c r="X121" s="963"/>
      <c r="Y121" s="963"/>
      <c r="Z121" s="963"/>
      <c r="AA121" s="963"/>
      <c r="AB121" s="963"/>
      <c r="AC121" s="942">
        <f ca="1">SUMIF(Codifica_SP!$J$2:$R$1445,B121,Codifica_SP!$R$2:$R$1445)</f>
        <v>0</v>
      </c>
      <c r="AD121" s="942"/>
      <c r="AE121" s="942"/>
      <c r="AF121" s="942"/>
      <c r="AG121" s="942"/>
      <c r="AH121" s="860" t="s">
        <v>7175</v>
      </c>
      <c r="AJ121" s="816"/>
      <c r="AK121" s="816"/>
      <c r="AL121" s="816"/>
    </row>
    <row r="122" spans="1:38" s="855" customFormat="1" ht="33.75" customHeight="1" x14ac:dyDescent="0.25">
      <c r="A122" s="851"/>
      <c r="B122" s="970" t="s">
        <v>2442</v>
      </c>
      <c r="C122" s="970"/>
      <c r="D122" s="970"/>
      <c r="E122" s="970"/>
      <c r="F122" s="970"/>
      <c r="G122" s="963" t="s">
        <v>7511</v>
      </c>
      <c r="H122" s="963"/>
      <c r="I122" s="963"/>
      <c r="J122" s="963"/>
      <c r="K122" s="963"/>
      <c r="L122" s="963"/>
      <c r="M122" s="963"/>
      <c r="N122" s="963"/>
      <c r="O122" s="963"/>
      <c r="P122" s="963"/>
      <c r="Q122" s="963"/>
      <c r="R122" s="963"/>
      <c r="S122" s="963"/>
      <c r="T122" s="963"/>
      <c r="U122" s="963"/>
      <c r="V122" s="963"/>
      <c r="W122" s="963"/>
      <c r="X122" s="963"/>
      <c r="Y122" s="963"/>
      <c r="Z122" s="963"/>
      <c r="AA122" s="963"/>
      <c r="AB122" s="963"/>
      <c r="AC122" s="942">
        <f ca="1">SUMIF(Codifica_SP!$J$2:$R$1445,B122,Codifica_SP!$R$2:$R$1445)</f>
        <v>0</v>
      </c>
      <c r="AD122" s="942"/>
      <c r="AE122" s="942"/>
      <c r="AF122" s="942"/>
      <c r="AG122" s="942"/>
      <c r="AH122" s="860" t="s">
        <v>7175</v>
      </c>
      <c r="AJ122" s="816"/>
      <c r="AK122" s="816"/>
      <c r="AL122" s="816"/>
    </row>
    <row r="123" spans="1:38" s="855" customFormat="1" ht="18" customHeight="1" x14ac:dyDescent="0.25">
      <c r="A123" s="851"/>
      <c r="B123" s="970" t="s">
        <v>2452</v>
      </c>
      <c r="C123" s="970"/>
      <c r="D123" s="970"/>
      <c r="E123" s="970"/>
      <c r="F123" s="970"/>
      <c r="G123" s="963" t="s">
        <v>7512</v>
      </c>
      <c r="H123" s="963"/>
      <c r="I123" s="963"/>
      <c r="J123" s="963"/>
      <c r="K123" s="963"/>
      <c r="L123" s="963"/>
      <c r="M123" s="963"/>
      <c r="N123" s="963"/>
      <c r="O123" s="963"/>
      <c r="P123" s="963"/>
      <c r="Q123" s="963"/>
      <c r="R123" s="963"/>
      <c r="S123" s="963"/>
      <c r="T123" s="963"/>
      <c r="U123" s="963"/>
      <c r="V123" s="963"/>
      <c r="W123" s="963"/>
      <c r="X123" s="963"/>
      <c r="Y123" s="963"/>
      <c r="Z123" s="963"/>
      <c r="AA123" s="963"/>
      <c r="AB123" s="963"/>
      <c r="AC123" s="942">
        <f ca="1">SUMIF(Codifica_SP!$J$2:$R$1445,B123,Codifica_SP!$R$2:$R$1445)</f>
        <v>0</v>
      </c>
      <c r="AD123" s="942"/>
      <c r="AE123" s="942"/>
      <c r="AF123" s="942"/>
      <c r="AG123" s="942"/>
      <c r="AH123" s="860" t="s">
        <v>7175</v>
      </c>
      <c r="AJ123" s="816"/>
      <c r="AK123" s="816"/>
      <c r="AL123" s="816"/>
    </row>
    <row r="124" spans="1:38" s="855" customFormat="1" ht="15" customHeight="1" x14ac:dyDescent="0.25">
      <c r="A124" s="851" t="s">
        <v>7301</v>
      </c>
      <c r="B124" s="951" t="s">
        <v>2456</v>
      </c>
      <c r="C124" s="951"/>
      <c r="D124" s="951"/>
      <c r="E124" s="951"/>
      <c r="F124" s="951"/>
      <c r="G124" s="952" t="s">
        <v>7513</v>
      </c>
      <c r="H124" s="952"/>
      <c r="I124" s="952"/>
      <c r="J124" s="952"/>
      <c r="K124" s="952"/>
      <c r="L124" s="952"/>
      <c r="M124" s="952"/>
      <c r="N124" s="952"/>
      <c r="O124" s="952"/>
      <c r="P124" s="952"/>
      <c r="Q124" s="952"/>
      <c r="R124" s="952"/>
      <c r="S124" s="952"/>
      <c r="T124" s="952"/>
      <c r="U124" s="952"/>
      <c r="V124" s="952"/>
      <c r="W124" s="952"/>
      <c r="X124" s="952"/>
      <c r="Y124" s="952"/>
      <c r="Z124" s="952"/>
      <c r="AA124" s="952"/>
      <c r="AB124" s="952"/>
      <c r="AC124" s="942">
        <f ca="1">SUMIF(Codifica_SP!$J$2:$R$1445,B124,Codifica_SP!$R$2:$R$1445)</f>
        <v>7503</v>
      </c>
      <c r="AD124" s="942"/>
      <c r="AE124" s="942"/>
      <c r="AF124" s="942"/>
      <c r="AG124" s="942"/>
      <c r="AH124" s="860" t="s">
        <v>7175</v>
      </c>
      <c r="AJ124" s="816"/>
      <c r="AK124" s="816"/>
      <c r="AL124" s="816"/>
    </row>
    <row r="125" spans="1:38" s="855" customFormat="1" ht="15" customHeight="1" x14ac:dyDescent="0.25">
      <c r="A125" s="860" t="s">
        <v>7326</v>
      </c>
      <c r="B125" s="951" t="s">
        <v>2467</v>
      </c>
      <c r="C125" s="951"/>
      <c r="D125" s="951"/>
      <c r="E125" s="951"/>
      <c r="F125" s="951"/>
      <c r="G125" s="952" t="s">
        <v>7514</v>
      </c>
      <c r="H125" s="952"/>
      <c r="I125" s="952"/>
      <c r="J125" s="952"/>
      <c r="K125" s="952"/>
      <c r="L125" s="952"/>
      <c r="M125" s="952"/>
      <c r="N125" s="952"/>
      <c r="O125" s="952"/>
      <c r="P125" s="952"/>
      <c r="Q125" s="952"/>
      <c r="R125" s="952"/>
      <c r="S125" s="952"/>
      <c r="T125" s="952"/>
      <c r="U125" s="952"/>
      <c r="V125" s="952"/>
      <c r="W125" s="952"/>
      <c r="X125" s="952"/>
      <c r="Y125" s="952"/>
      <c r="Z125" s="952"/>
      <c r="AA125" s="952"/>
      <c r="AB125" s="952"/>
      <c r="AC125" s="968">
        <f ca="1">SUM(AC126:AC130)</f>
        <v>0</v>
      </c>
      <c r="AD125" s="968"/>
      <c r="AE125" s="968"/>
      <c r="AF125" s="968"/>
      <c r="AG125" s="968"/>
      <c r="AH125" s="860" t="s">
        <v>7175</v>
      </c>
      <c r="AJ125" s="816"/>
      <c r="AK125" s="816"/>
      <c r="AL125" s="816"/>
    </row>
    <row r="126" spans="1:38" s="855" customFormat="1" ht="24.95" customHeight="1" x14ac:dyDescent="0.25">
      <c r="A126" s="860"/>
      <c r="B126" s="970" t="s">
        <v>2472</v>
      </c>
      <c r="C126" s="970"/>
      <c r="D126" s="970"/>
      <c r="E126" s="970"/>
      <c r="F126" s="970"/>
      <c r="G126" s="963" t="s">
        <v>7515</v>
      </c>
      <c r="H126" s="963"/>
      <c r="I126" s="963"/>
      <c r="J126" s="963"/>
      <c r="K126" s="963"/>
      <c r="L126" s="963"/>
      <c r="M126" s="963"/>
      <c r="N126" s="963"/>
      <c r="O126" s="963"/>
      <c r="P126" s="963"/>
      <c r="Q126" s="963"/>
      <c r="R126" s="963"/>
      <c r="S126" s="963"/>
      <c r="T126" s="963"/>
      <c r="U126" s="963"/>
      <c r="V126" s="963"/>
      <c r="W126" s="963"/>
      <c r="X126" s="963"/>
      <c r="Y126" s="963"/>
      <c r="Z126" s="963"/>
      <c r="AA126" s="963"/>
      <c r="AB126" s="963"/>
      <c r="AC126" s="942">
        <f ca="1">SUMIF(Codifica_SP!$J$2:$R$1445,B126,Codifica_SP!$R$2:$R$1445)</f>
        <v>0</v>
      </c>
      <c r="AD126" s="942"/>
      <c r="AE126" s="942"/>
      <c r="AF126" s="942"/>
      <c r="AG126" s="942"/>
      <c r="AH126" s="860" t="s">
        <v>7175</v>
      </c>
      <c r="AJ126" s="816"/>
      <c r="AK126" s="816"/>
      <c r="AL126" s="816"/>
    </row>
    <row r="127" spans="1:38" s="855" customFormat="1" ht="24.95" customHeight="1" x14ac:dyDescent="0.25">
      <c r="A127" s="860"/>
      <c r="B127" s="970" t="s">
        <v>2476</v>
      </c>
      <c r="C127" s="970"/>
      <c r="D127" s="970"/>
      <c r="E127" s="970"/>
      <c r="F127" s="970"/>
      <c r="G127" s="963" t="s">
        <v>7516</v>
      </c>
      <c r="H127" s="963"/>
      <c r="I127" s="963"/>
      <c r="J127" s="963"/>
      <c r="K127" s="963"/>
      <c r="L127" s="963"/>
      <c r="M127" s="963"/>
      <c r="N127" s="963"/>
      <c r="O127" s="963"/>
      <c r="P127" s="963"/>
      <c r="Q127" s="963"/>
      <c r="R127" s="963"/>
      <c r="S127" s="963"/>
      <c r="T127" s="963"/>
      <c r="U127" s="963"/>
      <c r="V127" s="963"/>
      <c r="W127" s="963"/>
      <c r="X127" s="963"/>
      <c r="Y127" s="963"/>
      <c r="Z127" s="963"/>
      <c r="AA127" s="963"/>
      <c r="AB127" s="963"/>
      <c r="AC127" s="942">
        <f ca="1">SUMIF(Codifica_SP!$J$2:$R$1445,B127,Codifica_SP!$R$2:$R$1445)</f>
        <v>0</v>
      </c>
      <c r="AD127" s="942"/>
      <c r="AE127" s="942"/>
      <c r="AF127" s="942"/>
      <c r="AG127" s="942"/>
      <c r="AH127" s="860" t="s">
        <v>7175</v>
      </c>
      <c r="AJ127" s="816"/>
      <c r="AK127" s="816"/>
      <c r="AL127" s="816"/>
    </row>
    <row r="128" spans="1:38" s="855" customFormat="1" ht="26.25" customHeight="1" x14ac:dyDescent="0.25">
      <c r="A128" s="860"/>
      <c r="B128" s="970" t="s">
        <v>2480</v>
      </c>
      <c r="C128" s="970"/>
      <c r="D128" s="970"/>
      <c r="E128" s="970"/>
      <c r="F128" s="970"/>
      <c r="G128" s="963" t="s">
        <v>7517</v>
      </c>
      <c r="H128" s="963"/>
      <c r="I128" s="963"/>
      <c r="J128" s="963"/>
      <c r="K128" s="963"/>
      <c r="L128" s="963"/>
      <c r="M128" s="963"/>
      <c r="N128" s="963"/>
      <c r="O128" s="963"/>
      <c r="P128" s="963"/>
      <c r="Q128" s="963"/>
      <c r="R128" s="963"/>
      <c r="S128" s="963"/>
      <c r="T128" s="963"/>
      <c r="U128" s="963"/>
      <c r="V128" s="963"/>
      <c r="W128" s="963"/>
      <c r="X128" s="963"/>
      <c r="Y128" s="963"/>
      <c r="Z128" s="963"/>
      <c r="AA128" s="963"/>
      <c r="AB128" s="963"/>
      <c r="AC128" s="942">
        <f ca="1">SUMIF(Codifica_SP!$J$2:$R$1445,B128,Codifica_SP!$R$2:$R$1445)</f>
        <v>0</v>
      </c>
      <c r="AD128" s="942"/>
      <c r="AE128" s="942"/>
      <c r="AF128" s="942"/>
      <c r="AG128" s="942"/>
      <c r="AH128" s="860" t="s">
        <v>7175</v>
      </c>
      <c r="AJ128" s="816"/>
      <c r="AK128" s="816"/>
      <c r="AL128" s="816"/>
    </row>
    <row r="129" spans="1:38" s="855" customFormat="1" ht="24.95" customHeight="1" x14ac:dyDescent="0.25">
      <c r="A129" s="860"/>
      <c r="B129" s="970" t="s">
        <v>2484</v>
      </c>
      <c r="C129" s="970"/>
      <c r="D129" s="970"/>
      <c r="E129" s="970"/>
      <c r="F129" s="970"/>
      <c r="G129" s="963" t="s">
        <v>7518</v>
      </c>
      <c r="H129" s="963"/>
      <c r="I129" s="963"/>
      <c r="J129" s="963"/>
      <c r="K129" s="963"/>
      <c r="L129" s="963"/>
      <c r="M129" s="963"/>
      <c r="N129" s="963"/>
      <c r="O129" s="963"/>
      <c r="P129" s="963"/>
      <c r="Q129" s="963"/>
      <c r="R129" s="963"/>
      <c r="S129" s="963"/>
      <c r="T129" s="963"/>
      <c r="U129" s="963"/>
      <c r="V129" s="963"/>
      <c r="W129" s="963"/>
      <c r="X129" s="963"/>
      <c r="Y129" s="963"/>
      <c r="Z129" s="963"/>
      <c r="AA129" s="963"/>
      <c r="AB129" s="963"/>
      <c r="AC129" s="942">
        <f ca="1">SUMIF(Codifica_SP!$J$2:$R$1445,B129,Codifica_SP!$R$2:$R$1445)</f>
        <v>0</v>
      </c>
      <c r="AD129" s="942"/>
      <c r="AE129" s="942"/>
      <c r="AF129" s="942"/>
      <c r="AG129" s="942"/>
      <c r="AH129" s="860" t="s">
        <v>7175</v>
      </c>
      <c r="AJ129" s="816"/>
      <c r="AK129" s="816"/>
      <c r="AL129" s="816"/>
    </row>
    <row r="130" spans="1:38" s="855" customFormat="1" ht="24.95" customHeight="1" x14ac:dyDescent="0.25">
      <c r="A130" s="860"/>
      <c r="B130" s="970" t="s">
        <v>2488</v>
      </c>
      <c r="C130" s="970"/>
      <c r="D130" s="970"/>
      <c r="E130" s="970"/>
      <c r="F130" s="970"/>
      <c r="G130" s="963" t="s">
        <v>7519</v>
      </c>
      <c r="H130" s="963"/>
      <c r="I130" s="963"/>
      <c r="J130" s="963"/>
      <c r="K130" s="963"/>
      <c r="L130" s="963"/>
      <c r="M130" s="963"/>
      <c r="N130" s="963"/>
      <c r="O130" s="963"/>
      <c r="P130" s="963"/>
      <c r="Q130" s="963"/>
      <c r="R130" s="963"/>
      <c r="S130" s="963"/>
      <c r="T130" s="963"/>
      <c r="U130" s="963"/>
      <c r="V130" s="963"/>
      <c r="W130" s="963"/>
      <c r="X130" s="963"/>
      <c r="Y130" s="963"/>
      <c r="Z130" s="963"/>
      <c r="AA130" s="963"/>
      <c r="AB130" s="963"/>
      <c r="AC130" s="942">
        <f ca="1">SUMIF(Codifica_SP!$J$2:$R$1445,B130,Codifica_SP!$R$2:$R$1445)</f>
        <v>0</v>
      </c>
      <c r="AD130" s="942"/>
      <c r="AE130" s="942"/>
      <c r="AF130" s="942"/>
      <c r="AG130" s="942"/>
      <c r="AH130" s="860" t="s">
        <v>7175</v>
      </c>
      <c r="AJ130" s="816"/>
      <c r="AK130" s="816"/>
      <c r="AL130" s="816"/>
    </row>
    <row r="131" spans="1:38" s="855" customFormat="1" ht="15.75" customHeight="1" x14ac:dyDescent="0.25">
      <c r="A131" s="851"/>
      <c r="B131" s="943" t="s">
        <v>7520</v>
      </c>
      <c r="C131" s="943"/>
      <c r="D131" s="943"/>
      <c r="E131" s="943"/>
      <c r="F131" s="943"/>
      <c r="G131" s="944" t="s">
        <v>7521</v>
      </c>
      <c r="H131" s="944"/>
      <c r="I131" s="944"/>
      <c r="J131" s="944"/>
      <c r="K131" s="944"/>
      <c r="L131" s="944"/>
      <c r="M131" s="944"/>
      <c r="N131" s="944"/>
      <c r="O131" s="944"/>
      <c r="P131" s="944"/>
      <c r="Q131" s="944"/>
      <c r="R131" s="944"/>
      <c r="S131" s="944"/>
      <c r="T131" s="944"/>
      <c r="U131" s="944"/>
      <c r="V131" s="944"/>
      <c r="W131" s="944"/>
      <c r="X131" s="944"/>
      <c r="Y131" s="944"/>
      <c r="Z131" s="944"/>
      <c r="AA131" s="944"/>
      <c r="AB131" s="944"/>
      <c r="AC131" s="954">
        <f ca="1">SUM(AC132:AC134)</f>
        <v>0</v>
      </c>
      <c r="AD131" s="954"/>
      <c r="AE131" s="954"/>
      <c r="AF131" s="954"/>
      <c r="AG131" s="954"/>
      <c r="AH131" s="860" t="s">
        <v>7175</v>
      </c>
      <c r="AJ131" s="816"/>
      <c r="AK131" s="816">
        <f>'NI-San_SP'!O986+'NI-Ric_SP'!O986</f>
        <v>0</v>
      </c>
      <c r="AL131" s="816"/>
    </row>
    <row r="132" spans="1:38" s="855" customFormat="1" ht="29.25" customHeight="1" x14ac:dyDescent="0.25">
      <c r="A132" s="851"/>
      <c r="B132" s="1018" t="s">
        <v>2497</v>
      </c>
      <c r="C132" s="1018"/>
      <c r="D132" s="1018"/>
      <c r="E132" s="1018"/>
      <c r="F132" s="1018"/>
      <c r="G132" s="1019" t="s">
        <v>7522</v>
      </c>
      <c r="H132" s="1019"/>
      <c r="I132" s="1019"/>
      <c r="J132" s="1019"/>
      <c r="K132" s="1019"/>
      <c r="L132" s="1019"/>
      <c r="M132" s="1019"/>
      <c r="N132" s="1019"/>
      <c r="O132" s="1019"/>
      <c r="P132" s="1019"/>
      <c r="Q132" s="1019"/>
      <c r="R132" s="1019"/>
      <c r="S132" s="1019"/>
      <c r="T132" s="1019"/>
      <c r="U132" s="1019"/>
      <c r="V132" s="1019"/>
      <c r="W132" s="1019"/>
      <c r="X132" s="1019"/>
      <c r="Y132" s="1019"/>
      <c r="Z132" s="1019"/>
      <c r="AA132" s="1019"/>
      <c r="AB132" s="1019"/>
      <c r="AC132" s="942">
        <f ca="1">SUMIF(Codifica_SP!$J$2:$R$1445,B132,Codifica_SP!$R$2:$R$1445)</f>
        <v>0</v>
      </c>
      <c r="AD132" s="942"/>
      <c r="AE132" s="942"/>
      <c r="AF132" s="942"/>
      <c r="AG132" s="942"/>
      <c r="AH132" s="860" t="s">
        <v>7175</v>
      </c>
      <c r="AJ132" s="816"/>
      <c r="AK132" s="816"/>
      <c r="AL132" s="816"/>
    </row>
    <row r="133" spans="1:38" s="855" customFormat="1" ht="15.75" customHeight="1" x14ac:dyDescent="0.25">
      <c r="A133" s="851"/>
      <c r="B133" s="1015" t="s">
        <v>2507</v>
      </c>
      <c r="C133" s="1015"/>
      <c r="D133" s="1015"/>
      <c r="E133" s="1015"/>
      <c r="F133" s="1015"/>
      <c r="G133" s="952" t="s">
        <v>7523</v>
      </c>
      <c r="H133" s="952"/>
      <c r="I133" s="952"/>
      <c r="J133" s="952"/>
      <c r="K133" s="952"/>
      <c r="L133" s="952"/>
      <c r="M133" s="952"/>
      <c r="N133" s="952"/>
      <c r="O133" s="952"/>
      <c r="P133" s="952"/>
      <c r="Q133" s="952"/>
      <c r="R133" s="952"/>
      <c r="S133" s="952"/>
      <c r="T133" s="952"/>
      <c r="U133" s="952"/>
      <c r="V133" s="952"/>
      <c r="W133" s="952"/>
      <c r="X133" s="952"/>
      <c r="Y133" s="952"/>
      <c r="Z133" s="952"/>
      <c r="AA133" s="952"/>
      <c r="AB133" s="952"/>
      <c r="AC133" s="942">
        <f ca="1">SUMIF(Codifica_SP!$J$2:$R$1445,B133,Codifica_SP!$R$2:$R$1445)</f>
        <v>0</v>
      </c>
      <c r="AD133" s="942"/>
      <c r="AE133" s="942"/>
      <c r="AF133" s="942"/>
      <c r="AG133" s="942"/>
      <c r="AH133" s="860" t="s">
        <v>7175</v>
      </c>
      <c r="AJ133" s="816"/>
      <c r="AK133" s="816"/>
      <c r="AL133" s="816"/>
    </row>
    <row r="134" spans="1:38" s="855" customFormat="1" ht="15.75" customHeight="1" x14ac:dyDescent="0.25">
      <c r="A134" s="851"/>
      <c r="B134" s="1015" t="s">
        <v>2511</v>
      </c>
      <c r="C134" s="1015"/>
      <c r="D134" s="1015"/>
      <c r="E134" s="1015"/>
      <c r="F134" s="1015"/>
      <c r="G134" s="952" t="s">
        <v>7524</v>
      </c>
      <c r="H134" s="952"/>
      <c r="I134" s="952"/>
      <c r="J134" s="952"/>
      <c r="K134" s="952"/>
      <c r="L134" s="952"/>
      <c r="M134" s="952"/>
      <c r="N134" s="952"/>
      <c r="O134" s="952"/>
      <c r="P134" s="952"/>
      <c r="Q134" s="952"/>
      <c r="R134" s="952"/>
      <c r="S134" s="952"/>
      <c r="T134" s="952"/>
      <c r="U134" s="952"/>
      <c r="V134" s="952"/>
      <c r="W134" s="952"/>
      <c r="X134" s="952"/>
      <c r="Y134" s="952"/>
      <c r="Z134" s="952"/>
      <c r="AA134" s="952"/>
      <c r="AB134" s="952"/>
      <c r="AC134" s="942">
        <f ca="1">SUMIF(Codifica_SP!$J$2:$R$1445,B134,Codifica_SP!$R$2:$R$1445)</f>
        <v>0</v>
      </c>
      <c r="AD134" s="942"/>
      <c r="AE134" s="942"/>
      <c r="AF134" s="942"/>
      <c r="AG134" s="942"/>
      <c r="AH134" s="860" t="s">
        <v>7175</v>
      </c>
      <c r="AJ134" s="816"/>
      <c r="AK134" s="816"/>
      <c r="AL134" s="816"/>
    </row>
    <row r="135" spans="1:38" s="855" customFormat="1" ht="15.75" customHeight="1" x14ac:dyDescent="0.25">
      <c r="A135" s="860"/>
      <c r="B135" s="955" t="s">
        <v>7525</v>
      </c>
      <c r="C135" s="955"/>
      <c r="D135" s="955"/>
      <c r="E135" s="955"/>
      <c r="F135" s="955"/>
      <c r="G135" s="946" t="s">
        <v>7526</v>
      </c>
      <c r="H135" s="946"/>
      <c r="I135" s="946"/>
      <c r="J135" s="946"/>
      <c r="K135" s="946"/>
      <c r="L135" s="946"/>
      <c r="M135" s="946"/>
      <c r="N135" s="946"/>
      <c r="O135" s="946"/>
      <c r="P135" s="946"/>
      <c r="Q135" s="946"/>
      <c r="R135" s="946"/>
      <c r="S135" s="946"/>
      <c r="T135" s="946"/>
      <c r="U135" s="946"/>
      <c r="V135" s="946"/>
      <c r="W135" s="946"/>
      <c r="X135" s="946"/>
      <c r="Y135" s="946"/>
      <c r="Z135" s="946"/>
      <c r="AA135" s="946"/>
      <c r="AB135" s="946"/>
      <c r="AC135" s="956">
        <f ca="1">SUM(AC136:AC139)</f>
        <v>31686580</v>
      </c>
      <c r="AD135" s="956"/>
      <c r="AE135" s="956"/>
      <c r="AF135" s="956"/>
      <c r="AG135" s="956"/>
      <c r="AH135" s="860" t="s">
        <v>7175</v>
      </c>
      <c r="AJ135" s="816"/>
      <c r="AK135" s="816">
        <f>'NI-San_SP'!O999+'NI-Ric_SP'!O999</f>
        <v>31686580</v>
      </c>
      <c r="AL135" s="816"/>
    </row>
    <row r="136" spans="1:38" s="855" customFormat="1" ht="25.5" customHeight="1" x14ac:dyDescent="0.25">
      <c r="A136" s="851"/>
      <c r="B136" s="1018" t="s">
        <v>2526</v>
      </c>
      <c r="C136" s="1018"/>
      <c r="D136" s="1018"/>
      <c r="E136" s="1018"/>
      <c r="F136" s="1018"/>
      <c r="G136" s="1019" t="s">
        <v>7527</v>
      </c>
      <c r="H136" s="1019"/>
      <c r="I136" s="1019"/>
      <c r="J136" s="1019"/>
      <c r="K136" s="1019"/>
      <c r="L136" s="1019"/>
      <c r="M136" s="1019"/>
      <c r="N136" s="1019"/>
      <c r="O136" s="1019"/>
      <c r="P136" s="1019"/>
      <c r="Q136" s="1019"/>
      <c r="R136" s="1019"/>
      <c r="S136" s="1019"/>
      <c r="T136" s="1019"/>
      <c r="U136" s="1019"/>
      <c r="V136" s="1019"/>
      <c r="W136" s="1019"/>
      <c r="X136" s="1019"/>
      <c r="Y136" s="1019"/>
      <c r="Z136" s="1019"/>
      <c r="AA136" s="1019"/>
      <c r="AB136" s="1019"/>
      <c r="AC136" s="942">
        <f ca="1">SUMIF(Codifica_SP!$J$2:$R$1445,B136,Codifica_SP!$R$2:$R$1445)</f>
        <v>0</v>
      </c>
      <c r="AD136" s="942"/>
      <c r="AE136" s="942"/>
      <c r="AF136" s="942"/>
      <c r="AG136" s="942"/>
      <c r="AH136" s="860" t="s">
        <v>7175</v>
      </c>
      <c r="AJ136" s="816"/>
      <c r="AK136" s="816"/>
      <c r="AL136" s="816"/>
    </row>
    <row r="137" spans="1:38" s="855" customFormat="1" ht="25.5" customHeight="1" x14ac:dyDescent="0.2">
      <c r="A137" s="851"/>
      <c r="B137" s="1016" t="s">
        <v>2530</v>
      </c>
      <c r="C137" s="1016"/>
      <c r="D137" s="1016"/>
      <c r="E137" s="1016"/>
      <c r="F137" s="1016"/>
      <c r="G137" s="1017" t="s">
        <v>7528</v>
      </c>
      <c r="H137" s="1017"/>
      <c r="I137" s="1017"/>
      <c r="J137" s="1017"/>
      <c r="K137" s="1017"/>
      <c r="L137" s="1017"/>
      <c r="M137" s="1017"/>
      <c r="N137" s="1017"/>
      <c r="O137" s="1017"/>
      <c r="P137" s="1017"/>
      <c r="Q137" s="1017"/>
      <c r="R137" s="1017"/>
      <c r="S137" s="1017"/>
      <c r="T137" s="1017"/>
      <c r="U137" s="1017"/>
      <c r="V137" s="1017"/>
      <c r="W137" s="1017"/>
      <c r="X137" s="1017"/>
      <c r="Y137" s="1017"/>
      <c r="Z137" s="1017"/>
      <c r="AA137" s="1017"/>
      <c r="AB137" s="1017"/>
      <c r="AC137" s="942">
        <f ca="1">SUMIF(Codifica_SP!$J$2:$R$1445,B137,Codifica_SP!$R$2:$R$1445)</f>
        <v>248027</v>
      </c>
      <c r="AD137" s="942"/>
      <c r="AE137" s="942"/>
      <c r="AF137" s="942"/>
      <c r="AG137" s="942"/>
      <c r="AH137" s="860"/>
      <c r="AJ137" s="816"/>
      <c r="AK137" s="816"/>
      <c r="AL137" s="816"/>
    </row>
    <row r="138" spans="1:38" s="855" customFormat="1" ht="25.5" customHeight="1" x14ac:dyDescent="0.25">
      <c r="A138" s="851"/>
      <c r="B138" s="1016" t="s">
        <v>2549</v>
      </c>
      <c r="C138" s="1016"/>
      <c r="D138" s="1016"/>
      <c r="E138" s="1016"/>
      <c r="F138" s="1016"/>
      <c r="G138" s="963" t="s">
        <v>7529</v>
      </c>
      <c r="H138" s="963"/>
      <c r="I138" s="963"/>
      <c r="J138" s="963"/>
      <c r="K138" s="963"/>
      <c r="L138" s="963"/>
      <c r="M138" s="963"/>
      <c r="N138" s="963"/>
      <c r="O138" s="963"/>
      <c r="P138" s="963"/>
      <c r="Q138" s="963"/>
      <c r="R138" s="963"/>
      <c r="S138" s="963"/>
      <c r="T138" s="963"/>
      <c r="U138" s="963"/>
      <c r="V138" s="963"/>
      <c r="W138" s="963"/>
      <c r="X138" s="963"/>
      <c r="Y138" s="963"/>
      <c r="Z138" s="963"/>
      <c r="AA138" s="963"/>
      <c r="AB138" s="963"/>
      <c r="AC138" s="942">
        <f ca="1">SUMIF(Codifica_SP!$J$2:$R$1445,B138,Codifica_SP!$R$2:$R$1445)</f>
        <v>-15705</v>
      </c>
      <c r="AD138" s="942"/>
      <c r="AE138" s="942"/>
      <c r="AF138" s="942"/>
      <c r="AG138" s="942"/>
      <c r="AH138" s="860"/>
      <c r="AJ138" s="816"/>
      <c r="AK138" s="816"/>
      <c r="AL138" s="816"/>
    </row>
    <row r="139" spans="1:38" s="855" customFormat="1" ht="15.75" customHeight="1" x14ac:dyDescent="0.25">
      <c r="A139" s="851"/>
      <c r="B139" s="1015" t="s">
        <v>2553</v>
      </c>
      <c r="C139" s="1015"/>
      <c r="D139" s="1015"/>
      <c r="E139" s="1015"/>
      <c r="F139" s="1015"/>
      <c r="G139" s="952" t="s">
        <v>7530</v>
      </c>
      <c r="H139" s="952"/>
      <c r="I139" s="952"/>
      <c r="J139" s="952"/>
      <c r="K139" s="952"/>
      <c r="L139" s="952"/>
      <c r="M139" s="952"/>
      <c r="N139" s="952"/>
      <c r="O139" s="952"/>
      <c r="P139" s="952"/>
      <c r="Q139" s="952"/>
      <c r="R139" s="952"/>
      <c r="S139" s="952"/>
      <c r="T139" s="952"/>
      <c r="U139" s="952"/>
      <c r="V139" s="952"/>
      <c r="W139" s="952"/>
      <c r="X139" s="952"/>
      <c r="Y139" s="952"/>
      <c r="Z139" s="952"/>
      <c r="AA139" s="952"/>
      <c r="AB139" s="952"/>
      <c r="AC139" s="956">
        <f ca="1">SUM(AC140:AC141)</f>
        <v>31454258</v>
      </c>
      <c r="AD139" s="956"/>
      <c r="AE139" s="956"/>
      <c r="AF139" s="956"/>
      <c r="AG139" s="956"/>
      <c r="AH139" s="860" t="s">
        <v>7175</v>
      </c>
      <c r="AJ139" s="816"/>
      <c r="AK139" s="816"/>
      <c r="AL139" s="816"/>
    </row>
    <row r="140" spans="1:38" s="855" customFormat="1" ht="15.75" customHeight="1" x14ac:dyDescent="0.25">
      <c r="A140" s="851"/>
      <c r="B140" s="1014" t="s">
        <v>2557</v>
      </c>
      <c r="C140" s="1014"/>
      <c r="D140" s="1014"/>
      <c r="E140" s="1014"/>
      <c r="F140" s="1014"/>
      <c r="G140" s="963" t="s">
        <v>7531</v>
      </c>
      <c r="H140" s="963"/>
      <c r="I140" s="963"/>
      <c r="J140" s="963"/>
      <c r="K140" s="963"/>
      <c r="L140" s="963"/>
      <c r="M140" s="963"/>
      <c r="N140" s="963"/>
      <c r="O140" s="963"/>
      <c r="P140" s="963"/>
      <c r="Q140" s="963"/>
      <c r="R140" s="963"/>
      <c r="S140" s="963"/>
      <c r="T140" s="963"/>
      <c r="U140" s="963"/>
      <c r="V140" s="963"/>
      <c r="W140" s="963"/>
      <c r="X140" s="963"/>
      <c r="Y140" s="963"/>
      <c r="Z140" s="963"/>
      <c r="AA140" s="963"/>
      <c r="AB140" s="963"/>
      <c r="AC140" s="942">
        <f ca="1">SUMIF(Codifica_SP!$J$2:$R$1445,B140,Codifica_SP!$R$2:$R$1445)</f>
        <v>32010036</v>
      </c>
      <c r="AD140" s="942"/>
      <c r="AE140" s="942"/>
      <c r="AF140" s="942"/>
      <c r="AG140" s="942"/>
      <c r="AH140" s="860" t="s">
        <v>7175</v>
      </c>
      <c r="AJ140" s="816"/>
      <c r="AK140" s="816"/>
      <c r="AL140" s="816"/>
    </row>
    <row r="141" spans="1:38" s="855" customFormat="1" ht="15.75" customHeight="1" x14ac:dyDescent="0.25">
      <c r="A141" s="851"/>
      <c r="B141" s="1014" t="s">
        <v>2564</v>
      </c>
      <c r="C141" s="1014"/>
      <c r="D141" s="1014"/>
      <c r="E141" s="1014"/>
      <c r="F141" s="1014"/>
      <c r="G141" s="963" t="s">
        <v>7532</v>
      </c>
      <c r="H141" s="963"/>
      <c r="I141" s="963"/>
      <c r="J141" s="963"/>
      <c r="K141" s="963"/>
      <c r="L141" s="963"/>
      <c r="M141" s="963"/>
      <c r="N141" s="963"/>
      <c r="O141" s="963"/>
      <c r="P141" s="963"/>
      <c r="Q141" s="963"/>
      <c r="R141" s="963"/>
      <c r="S141" s="963"/>
      <c r="T141" s="963"/>
      <c r="U141" s="963"/>
      <c r="V141" s="963"/>
      <c r="W141" s="963"/>
      <c r="X141" s="963"/>
      <c r="Y141" s="963"/>
      <c r="Z141" s="963"/>
      <c r="AA141" s="963"/>
      <c r="AB141" s="963"/>
      <c r="AC141" s="942">
        <f ca="1">SUMIF(Codifica_SP!$J$2:$R$1445,B141,Codifica_SP!$R$2:$R$1445)</f>
        <v>-555778</v>
      </c>
      <c r="AD141" s="942"/>
      <c r="AE141" s="942"/>
      <c r="AF141" s="942"/>
      <c r="AG141" s="942"/>
      <c r="AH141" s="860" t="s">
        <v>7175</v>
      </c>
      <c r="AJ141" s="816"/>
      <c r="AK141" s="816"/>
      <c r="AL141" s="816"/>
    </row>
    <row r="142" spans="1:38" s="855" customFormat="1" ht="15.75" customHeight="1" x14ac:dyDescent="0.25">
      <c r="A142" s="860"/>
      <c r="B142" s="943" t="s">
        <v>2568</v>
      </c>
      <c r="C142" s="943"/>
      <c r="D142" s="943"/>
      <c r="E142" s="943"/>
      <c r="F142" s="943"/>
      <c r="G142" s="944" t="s">
        <v>7533</v>
      </c>
      <c r="H142" s="944"/>
      <c r="I142" s="944"/>
      <c r="J142" s="944"/>
      <c r="K142" s="944"/>
      <c r="L142" s="944"/>
      <c r="M142" s="944"/>
      <c r="N142" s="944"/>
      <c r="O142" s="944"/>
      <c r="P142" s="944"/>
      <c r="Q142" s="944"/>
      <c r="R142" s="944"/>
      <c r="S142" s="944"/>
      <c r="T142" s="944"/>
      <c r="U142" s="944"/>
      <c r="V142" s="944"/>
      <c r="W142" s="944"/>
      <c r="X142" s="944"/>
      <c r="Y142" s="944"/>
      <c r="Z142" s="944"/>
      <c r="AA142" s="944"/>
      <c r="AB142" s="944"/>
      <c r="AC142" s="942">
        <f ca="1">SUMIF(Codifica_SP!$J$2:$R$1445,B142,Codifica_SP!$R$2:$R$1445)</f>
        <v>2058</v>
      </c>
      <c r="AD142" s="942"/>
      <c r="AE142" s="942"/>
      <c r="AF142" s="942"/>
      <c r="AG142" s="942"/>
      <c r="AH142" s="860" t="s">
        <v>7175</v>
      </c>
      <c r="AJ142" s="816"/>
      <c r="AK142" s="816">
        <f>'NI-San_SP'!O1018+'NI-Ric_SP'!O1018</f>
        <v>2058</v>
      </c>
      <c r="AL142" s="816"/>
    </row>
    <row r="143" spans="1:38" s="855" customFormat="1" ht="15.75" customHeight="1" x14ac:dyDescent="0.25">
      <c r="A143" s="860"/>
      <c r="B143" s="943" t="s">
        <v>2574</v>
      </c>
      <c r="C143" s="943"/>
      <c r="D143" s="943"/>
      <c r="E143" s="943"/>
      <c r="F143" s="943"/>
      <c r="G143" s="944" t="s">
        <v>7534</v>
      </c>
      <c r="H143" s="944"/>
      <c r="I143" s="944"/>
      <c r="J143" s="944"/>
      <c r="K143" s="944"/>
      <c r="L143" s="944"/>
      <c r="M143" s="944"/>
      <c r="N143" s="944"/>
      <c r="O143" s="944"/>
      <c r="P143" s="944"/>
      <c r="Q143" s="944"/>
      <c r="R143" s="944"/>
      <c r="S143" s="944"/>
      <c r="T143" s="944"/>
      <c r="U143" s="944"/>
      <c r="V143" s="944"/>
      <c r="W143" s="944"/>
      <c r="X143" s="944"/>
      <c r="Y143" s="944"/>
      <c r="Z143" s="944"/>
      <c r="AA143" s="944"/>
      <c r="AB143" s="944"/>
      <c r="AC143" s="942">
        <f ca="1">SUMIF(Codifica_SP!$J$2:$R$1445,B143,Codifica_SP!$R$2:$R$1445)</f>
        <v>5141148</v>
      </c>
      <c r="AD143" s="942"/>
      <c r="AE143" s="942"/>
      <c r="AF143" s="942"/>
      <c r="AG143" s="942"/>
      <c r="AH143" s="860" t="s">
        <v>7175</v>
      </c>
      <c r="AJ143" s="816"/>
      <c r="AK143" s="816">
        <f>'NI-San_SP'!O1022+'NI-Ric_SP'!O1022</f>
        <v>5141148</v>
      </c>
      <c r="AL143" s="816"/>
    </row>
    <row r="144" spans="1:38" s="855" customFormat="1" ht="15.75" customHeight="1" x14ac:dyDescent="0.25">
      <c r="A144" s="860"/>
      <c r="B144" s="943" t="s">
        <v>2580</v>
      </c>
      <c r="C144" s="943"/>
      <c r="D144" s="943"/>
      <c r="E144" s="943"/>
      <c r="F144" s="943"/>
      <c r="G144" s="944" t="s">
        <v>7535</v>
      </c>
      <c r="H144" s="944"/>
      <c r="I144" s="944"/>
      <c r="J144" s="944"/>
      <c r="K144" s="944"/>
      <c r="L144" s="944"/>
      <c r="M144" s="944"/>
      <c r="N144" s="944"/>
      <c r="O144" s="944"/>
      <c r="P144" s="944"/>
      <c r="Q144" s="944"/>
      <c r="R144" s="944"/>
      <c r="S144" s="944"/>
      <c r="T144" s="944"/>
      <c r="U144" s="944"/>
      <c r="V144" s="944"/>
      <c r="W144" s="944"/>
      <c r="X144" s="944"/>
      <c r="Y144" s="944"/>
      <c r="Z144" s="944"/>
      <c r="AA144" s="944"/>
      <c r="AB144" s="944"/>
      <c r="AC144" s="942">
        <f ca="1">SUMIF(Codifica_SP!$J$2:$R$1445,B144,Codifica_SP!$R$2:$R$1445)</f>
        <v>8853515</v>
      </c>
      <c r="AD144" s="942"/>
      <c r="AE144" s="942"/>
      <c r="AF144" s="942"/>
      <c r="AG144" s="942"/>
      <c r="AH144" s="860" t="s">
        <v>7175</v>
      </c>
      <c r="AJ144" s="874">
        <f ca="1">AK144-AC144</f>
        <v>0</v>
      </c>
      <c r="AK144" s="816">
        <f>'NI-San_SP'!O1026+'NI-Ric_SP'!O1026</f>
        <v>8853515</v>
      </c>
      <c r="AL144" s="816"/>
    </row>
    <row r="145" spans="1:38" s="855" customFormat="1" ht="15.75" customHeight="1" x14ac:dyDescent="0.25">
      <c r="A145" s="860"/>
      <c r="B145" s="943" t="s">
        <v>7536</v>
      </c>
      <c r="C145" s="943"/>
      <c r="D145" s="943"/>
      <c r="E145" s="943"/>
      <c r="F145" s="943"/>
      <c r="G145" s="944" t="s">
        <v>7537</v>
      </c>
      <c r="H145" s="944"/>
      <c r="I145" s="944"/>
      <c r="J145" s="944"/>
      <c r="K145" s="944"/>
      <c r="L145" s="944"/>
      <c r="M145" s="944"/>
      <c r="N145" s="944"/>
      <c r="O145" s="944"/>
      <c r="P145" s="944"/>
      <c r="Q145" s="944"/>
      <c r="R145" s="944"/>
      <c r="S145" s="944"/>
      <c r="T145" s="944"/>
      <c r="U145" s="944"/>
      <c r="V145" s="944"/>
      <c r="W145" s="944"/>
      <c r="X145" s="944"/>
      <c r="Y145" s="944"/>
      <c r="Z145" s="944"/>
      <c r="AA145" s="944"/>
      <c r="AB145" s="944"/>
      <c r="AC145" s="954">
        <f ca="1">SUM(AC146:AC149)</f>
        <v>13674174</v>
      </c>
      <c r="AD145" s="954"/>
      <c r="AE145" s="954"/>
      <c r="AF145" s="954"/>
      <c r="AG145" s="954"/>
      <c r="AH145" s="860" t="s">
        <v>7175</v>
      </c>
      <c r="AJ145" s="874">
        <f ca="1">AK145-AC145</f>
        <v>0</v>
      </c>
      <c r="AK145" s="816">
        <f>'NI-San_SP'!O1030+'NI-Ric_SP'!O1030</f>
        <v>13674174</v>
      </c>
      <c r="AL145" s="816"/>
    </row>
    <row r="146" spans="1:38" s="855" customFormat="1" ht="15.75" customHeight="1" x14ac:dyDescent="0.25">
      <c r="A146" s="860"/>
      <c r="B146" s="951" t="s">
        <v>2590</v>
      </c>
      <c r="C146" s="951"/>
      <c r="D146" s="951"/>
      <c r="E146" s="951"/>
      <c r="F146" s="951"/>
      <c r="G146" s="952" t="s">
        <v>7538</v>
      </c>
      <c r="H146" s="952"/>
      <c r="I146" s="952"/>
      <c r="J146" s="952"/>
      <c r="K146" s="952"/>
      <c r="L146" s="952"/>
      <c r="M146" s="952"/>
      <c r="N146" s="952"/>
      <c r="O146" s="952"/>
      <c r="P146" s="952"/>
      <c r="Q146" s="952"/>
      <c r="R146" s="952"/>
      <c r="S146" s="952"/>
      <c r="T146" s="952"/>
      <c r="U146" s="952"/>
      <c r="V146" s="952"/>
      <c r="W146" s="952"/>
      <c r="X146" s="952"/>
      <c r="Y146" s="952"/>
      <c r="Z146" s="952"/>
      <c r="AA146" s="952"/>
      <c r="AB146" s="952"/>
      <c r="AC146" s="942">
        <f ca="1">SUMIF(Codifica_SP!$J$2:$R$1445,B146,Codifica_SP!$R$2:$R$1445)</f>
        <v>0</v>
      </c>
      <c r="AD146" s="942"/>
      <c r="AE146" s="942"/>
      <c r="AF146" s="942"/>
      <c r="AG146" s="942"/>
      <c r="AH146" s="860" t="s">
        <v>7175</v>
      </c>
      <c r="AJ146" s="816"/>
      <c r="AK146" s="816">
        <f>'NI-San_SP'!O1034+'NI-Ric_SP'!O1034</f>
        <v>0</v>
      </c>
      <c r="AL146" s="816"/>
    </row>
    <row r="147" spans="1:38" s="855" customFormat="1" ht="15.75" customHeight="1" x14ac:dyDescent="0.25">
      <c r="A147" s="851"/>
      <c r="B147" s="951" t="s">
        <v>2595</v>
      </c>
      <c r="C147" s="951"/>
      <c r="D147" s="951"/>
      <c r="E147" s="951"/>
      <c r="F147" s="951"/>
      <c r="G147" s="952" t="s">
        <v>7539</v>
      </c>
      <c r="H147" s="952"/>
      <c r="I147" s="952"/>
      <c r="J147" s="952"/>
      <c r="K147" s="952"/>
      <c r="L147" s="952"/>
      <c r="M147" s="952"/>
      <c r="N147" s="952"/>
      <c r="O147" s="952"/>
      <c r="P147" s="952"/>
      <c r="Q147" s="952"/>
      <c r="R147" s="952"/>
      <c r="S147" s="952"/>
      <c r="T147" s="952"/>
      <c r="U147" s="952"/>
      <c r="V147" s="952"/>
      <c r="W147" s="952"/>
      <c r="X147" s="952"/>
      <c r="Y147" s="952"/>
      <c r="Z147" s="952"/>
      <c r="AA147" s="952"/>
      <c r="AB147" s="952"/>
      <c r="AC147" s="942">
        <f ca="1">SUMIF(Codifica_SP!$J$2:$R$1445,B147,Codifica_SP!$R$2:$R$1445)</f>
        <v>11708546</v>
      </c>
      <c r="AD147" s="942"/>
      <c r="AE147" s="942"/>
      <c r="AF147" s="942"/>
      <c r="AG147" s="942"/>
      <c r="AH147" s="860" t="s">
        <v>7175</v>
      </c>
      <c r="AJ147" s="816"/>
      <c r="AK147" s="816">
        <f>'NI-San_SP'!O1035+'NI-Ric_SP'!O1035</f>
        <v>11708546</v>
      </c>
      <c r="AL147" s="816"/>
    </row>
    <row r="148" spans="1:38" s="855" customFormat="1" ht="15.75" customHeight="1" x14ac:dyDescent="0.25">
      <c r="A148" s="851"/>
      <c r="B148" s="951" t="s">
        <v>2618</v>
      </c>
      <c r="C148" s="951"/>
      <c r="D148" s="951"/>
      <c r="E148" s="951"/>
      <c r="F148" s="951"/>
      <c r="G148" s="952" t="s">
        <v>7540</v>
      </c>
      <c r="H148" s="952"/>
      <c r="I148" s="952"/>
      <c r="J148" s="952"/>
      <c r="K148" s="952"/>
      <c r="L148" s="952"/>
      <c r="M148" s="952"/>
      <c r="N148" s="952"/>
      <c r="O148" s="952"/>
      <c r="P148" s="952"/>
      <c r="Q148" s="952"/>
      <c r="R148" s="952"/>
      <c r="S148" s="952"/>
      <c r="T148" s="952"/>
      <c r="U148" s="952"/>
      <c r="V148" s="952"/>
      <c r="W148" s="952"/>
      <c r="X148" s="952"/>
      <c r="Y148" s="952"/>
      <c r="Z148" s="952"/>
      <c r="AA148" s="952"/>
      <c r="AB148" s="952"/>
      <c r="AC148" s="942">
        <f ca="1">SUMIF(Codifica_SP!$J$2:$R$1445,B148,Codifica_SP!$R$2:$R$1445)</f>
        <v>0</v>
      </c>
      <c r="AD148" s="942"/>
      <c r="AE148" s="942"/>
      <c r="AF148" s="942"/>
      <c r="AG148" s="942"/>
      <c r="AH148" s="860" t="s">
        <v>7175</v>
      </c>
      <c r="AJ148" s="816"/>
      <c r="AK148" s="816">
        <f>'NI-San_SP'!O1042+'NI-Ric_SP'!O1042</f>
        <v>0</v>
      </c>
      <c r="AL148" s="816"/>
    </row>
    <row r="149" spans="1:38" s="855" customFormat="1" ht="15.75" customHeight="1" x14ac:dyDescent="0.25">
      <c r="A149" s="851"/>
      <c r="B149" s="945" t="s">
        <v>2626</v>
      </c>
      <c r="C149" s="945"/>
      <c r="D149" s="945"/>
      <c r="E149" s="945"/>
      <c r="F149" s="945"/>
      <c r="G149" s="953" t="s">
        <v>7541</v>
      </c>
      <c r="H149" s="953"/>
      <c r="I149" s="953"/>
      <c r="J149" s="953"/>
      <c r="K149" s="953"/>
      <c r="L149" s="953"/>
      <c r="M149" s="953"/>
      <c r="N149" s="953"/>
      <c r="O149" s="953"/>
      <c r="P149" s="953"/>
      <c r="Q149" s="953"/>
      <c r="R149" s="953"/>
      <c r="S149" s="953"/>
      <c r="T149" s="953"/>
      <c r="U149" s="953"/>
      <c r="V149" s="953"/>
      <c r="W149" s="953"/>
      <c r="X149" s="953"/>
      <c r="Y149" s="953"/>
      <c r="Z149" s="953"/>
      <c r="AA149" s="953"/>
      <c r="AB149" s="953"/>
      <c r="AC149" s="942">
        <f ca="1">SUMIF(Codifica_SP!$J$2:$R$1445,B149,Codifica_SP!$R$2:$R$1445)+IF(SP!J167&lt;0,-SP!J167,0)</f>
        <v>1965628</v>
      </c>
      <c r="AD149" s="942"/>
      <c r="AE149" s="942"/>
      <c r="AF149" s="942"/>
      <c r="AG149" s="942"/>
      <c r="AH149" s="860" t="s">
        <v>7175</v>
      </c>
      <c r="AJ149" s="874">
        <f ca="1">AK149-AC149</f>
        <v>0</v>
      </c>
      <c r="AK149" s="816">
        <f>'NI-San_SP'!O1043+'NI-Ric_SP'!O1043</f>
        <v>1965628</v>
      </c>
      <c r="AL149" s="816"/>
    </row>
    <row r="150" spans="1:38" s="855" customFormat="1" ht="15.75" customHeight="1" x14ac:dyDescent="0.25">
      <c r="A150" s="856"/>
      <c r="B150" s="955" t="s">
        <v>7542</v>
      </c>
      <c r="C150" s="955"/>
      <c r="D150" s="955"/>
      <c r="E150" s="955"/>
      <c r="F150" s="955"/>
      <c r="G150" s="946" t="s">
        <v>2942</v>
      </c>
      <c r="H150" s="946"/>
      <c r="I150" s="946"/>
      <c r="J150" s="946"/>
      <c r="K150" s="946"/>
      <c r="L150" s="946"/>
      <c r="M150" s="946"/>
      <c r="N150" s="946"/>
      <c r="O150" s="946"/>
      <c r="P150" s="946"/>
      <c r="Q150" s="946"/>
      <c r="R150" s="946"/>
      <c r="S150" s="946"/>
      <c r="T150" s="946"/>
      <c r="U150" s="946"/>
      <c r="V150" s="946"/>
      <c r="W150" s="946"/>
      <c r="X150" s="946"/>
      <c r="Y150" s="946"/>
      <c r="Z150" s="946"/>
      <c r="AA150" s="946"/>
      <c r="AB150" s="946"/>
      <c r="AC150" s="956">
        <f ca="1">AC151+AC154</f>
        <v>39537</v>
      </c>
      <c r="AD150" s="956"/>
      <c r="AE150" s="956"/>
      <c r="AF150" s="956"/>
      <c r="AG150" s="956"/>
      <c r="AH150" s="860" t="s">
        <v>7175</v>
      </c>
      <c r="AJ150" s="816"/>
      <c r="AK150" s="816">
        <f>'NI-San_SP'!O1053+'NI-Ric_SP'!O1053</f>
        <v>39537</v>
      </c>
      <c r="AL150" s="816"/>
    </row>
    <row r="151" spans="1:38" s="855" customFormat="1" ht="15.75" customHeight="1" x14ac:dyDescent="0.25">
      <c r="A151" s="851"/>
      <c r="B151" s="943" t="s">
        <v>7543</v>
      </c>
      <c r="C151" s="943"/>
      <c r="D151" s="943"/>
      <c r="E151" s="943"/>
      <c r="F151" s="943"/>
      <c r="G151" s="944" t="s">
        <v>7544</v>
      </c>
      <c r="H151" s="944"/>
      <c r="I151" s="944"/>
      <c r="J151" s="944"/>
      <c r="K151" s="944"/>
      <c r="L151" s="944"/>
      <c r="M151" s="944"/>
      <c r="N151" s="944"/>
      <c r="O151" s="944"/>
      <c r="P151" s="944"/>
      <c r="Q151" s="944"/>
      <c r="R151" s="944"/>
      <c r="S151" s="944"/>
      <c r="T151" s="944"/>
      <c r="U151" s="944"/>
      <c r="V151" s="944"/>
      <c r="W151" s="944"/>
      <c r="X151" s="944"/>
      <c r="Y151" s="944"/>
      <c r="Z151" s="944"/>
      <c r="AA151" s="944"/>
      <c r="AB151" s="944"/>
      <c r="AC151" s="954">
        <f ca="1">SUM(AC152:AC153)</f>
        <v>0</v>
      </c>
      <c r="AD151" s="954"/>
      <c r="AE151" s="954"/>
      <c r="AF151" s="954"/>
      <c r="AG151" s="954"/>
      <c r="AH151" s="860" t="s">
        <v>7175</v>
      </c>
      <c r="AJ151" s="816"/>
      <c r="AK151" s="816"/>
      <c r="AL151" s="816"/>
    </row>
    <row r="152" spans="1:38" s="855" customFormat="1" ht="15.75" customHeight="1" x14ac:dyDescent="0.25">
      <c r="A152" s="851"/>
      <c r="B152" s="951" t="s">
        <v>2656</v>
      </c>
      <c r="C152" s="951"/>
      <c r="D152" s="951"/>
      <c r="E152" s="951"/>
      <c r="F152" s="951"/>
      <c r="G152" s="952" t="s">
        <v>7545</v>
      </c>
      <c r="H152" s="952"/>
      <c r="I152" s="952"/>
      <c r="J152" s="952"/>
      <c r="K152" s="952"/>
      <c r="L152" s="952"/>
      <c r="M152" s="952"/>
      <c r="N152" s="952"/>
      <c r="O152" s="952"/>
      <c r="P152" s="952"/>
      <c r="Q152" s="952"/>
      <c r="R152" s="952"/>
      <c r="S152" s="952"/>
      <c r="T152" s="952"/>
      <c r="U152" s="952"/>
      <c r="V152" s="952"/>
      <c r="W152" s="952"/>
      <c r="X152" s="952"/>
      <c r="Y152" s="952"/>
      <c r="Z152" s="952"/>
      <c r="AA152" s="952"/>
      <c r="AB152" s="952"/>
      <c r="AC152" s="942">
        <f ca="1">SUMIF(Codifica_SP!$J$2:$R$1445,B152,Codifica_SP!$R$2:$R$1445)</f>
        <v>0</v>
      </c>
      <c r="AD152" s="942"/>
      <c r="AE152" s="942"/>
      <c r="AF152" s="942"/>
      <c r="AG152" s="942"/>
      <c r="AH152" s="860" t="s">
        <v>7175</v>
      </c>
      <c r="AJ152" s="816"/>
      <c r="AK152" s="816"/>
      <c r="AL152" s="816"/>
    </row>
    <row r="153" spans="1:38" s="855" customFormat="1" ht="15.75" customHeight="1" x14ac:dyDescent="0.25">
      <c r="A153" s="860" t="s">
        <v>7326</v>
      </c>
      <c r="B153" s="951" t="s">
        <v>2660</v>
      </c>
      <c r="C153" s="951"/>
      <c r="D153" s="951"/>
      <c r="E153" s="951"/>
      <c r="F153" s="951"/>
      <c r="G153" s="952" t="s">
        <v>7546</v>
      </c>
      <c r="H153" s="952"/>
      <c r="I153" s="952"/>
      <c r="J153" s="952"/>
      <c r="K153" s="952"/>
      <c r="L153" s="952"/>
      <c r="M153" s="952"/>
      <c r="N153" s="952"/>
      <c r="O153" s="952"/>
      <c r="P153" s="952"/>
      <c r="Q153" s="952"/>
      <c r="R153" s="952"/>
      <c r="S153" s="952"/>
      <c r="T153" s="952"/>
      <c r="U153" s="952"/>
      <c r="V153" s="952"/>
      <c r="W153" s="952"/>
      <c r="X153" s="952"/>
      <c r="Y153" s="952"/>
      <c r="Z153" s="952"/>
      <c r="AA153" s="952"/>
      <c r="AB153" s="952"/>
      <c r="AC153" s="942">
        <f ca="1">SUMIF(Codifica_SP!$J$2:$R$1445,B153,Codifica_SP!$R$2:$R$1445)</f>
        <v>0</v>
      </c>
      <c r="AD153" s="942"/>
      <c r="AE153" s="942"/>
      <c r="AF153" s="942"/>
      <c r="AG153" s="942"/>
      <c r="AH153" s="860" t="s">
        <v>7175</v>
      </c>
      <c r="AJ153" s="816"/>
      <c r="AK153" s="816"/>
      <c r="AL153" s="816"/>
    </row>
    <row r="154" spans="1:38" s="855" customFormat="1" ht="15.75" customHeight="1" x14ac:dyDescent="0.25">
      <c r="A154" s="851"/>
      <c r="B154" s="943" t="s">
        <v>7547</v>
      </c>
      <c r="C154" s="943"/>
      <c r="D154" s="943"/>
      <c r="E154" s="943"/>
      <c r="F154" s="943"/>
      <c r="G154" s="944" t="s">
        <v>7548</v>
      </c>
      <c r="H154" s="944"/>
      <c r="I154" s="944"/>
      <c r="J154" s="944"/>
      <c r="K154" s="944"/>
      <c r="L154" s="944"/>
      <c r="M154" s="944"/>
      <c r="N154" s="944"/>
      <c r="O154" s="944"/>
      <c r="P154" s="944"/>
      <c r="Q154" s="944"/>
      <c r="R154" s="944"/>
      <c r="S154" s="944"/>
      <c r="T154" s="944"/>
      <c r="U154" s="944"/>
      <c r="V154" s="944"/>
      <c r="W154" s="944"/>
      <c r="X154" s="944"/>
      <c r="Y154" s="944"/>
      <c r="Z154" s="944"/>
      <c r="AA154" s="944"/>
      <c r="AB154" s="944"/>
      <c r="AC154" s="954">
        <f ca="1">SUM(AC155:AC157)</f>
        <v>39537</v>
      </c>
      <c r="AD154" s="954"/>
      <c r="AE154" s="954"/>
      <c r="AF154" s="954"/>
      <c r="AG154" s="954"/>
      <c r="AH154" s="860" t="s">
        <v>7175</v>
      </c>
      <c r="AJ154" s="816"/>
      <c r="AK154" s="816"/>
      <c r="AL154" s="816"/>
    </row>
    <row r="155" spans="1:38" s="855" customFormat="1" ht="15.75" customHeight="1" x14ac:dyDescent="0.25">
      <c r="A155" s="851"/>
      <c r="B155" s="951" t="s">
        <v>2683</v>
      </c>
      <c r="C155" s="951"/>
      <c r="D155" s="951"/>
      <c r="E155" s="951"/>
      <c r="F155" s="951"/>
      <c r="G155" s="952" t="s">
        <v>7549</v>
      </c>
      <c r="H155" s="952"/>
      <c r="I155" s="952"/>
      <c r="J155" s="952"/>
      <c r="K155" s="952"/>
      <c r="L155" s="952"/>
      <c r="M155" s="952"/>
      <c r="N155" s="952"/>
      <c r="O155" s="952"/>
      <c r="P155" s="952"/>
      <c r="Q155" s="952"/>
      <c r="R155" s="952"/>
      <c r="S155" s="952"/>
      <c r="T155" s="952"/>
      <c r="U155" s="952"/>
      <c r="V155" s="952"/>
      <c r="W155" s="952"/>
      <c r="X155" s="952"/>
      <c r="Y155" s="952"/>
      <c r="Z155" s="952"/>
      <c r="AA155" s="952"/>
      <c r="AB155" s="952"/>
      <c r="AC155" s="942">
        <f ca="1">SUMIF(Codifica_SP!$J$2:$R$1445,B155,Codifica_SP!$R$2:$R$1445)</f>
        <v>39537</v>
      </c>
      <c r="AD155" s="942"/>
      <c r="AE155" s="942"/>
      <c r="AF155" s="942"/>
      <c r="AG155" s="942"/>
      <c r="AH155" s="860" t="s">
        <v>7175</v>
      </c>
      <c r="AJ155" s="816"/>
      <c r="AK155" s="816"/>
      <c r="AL155" s="816"/>
    </row>
    <row r="156" spans="1:38" s="855" customFormat="1" ht="15.75" customHeight="1" x14ac:dyDescent="0.25">
      <c r="A156" s="857" t="s">
        <v>7326</v>
      </c>
      <c r="B156" s="945" t="s">
        <v>2687</v>
      </c>
      <c r="C156" s="945"/>
      <c r="D156" s="945"/>
      <c r="E156" s="945"/>
      <c r="F156" s="945"/>
      <c r="G156" s="953" t="s">
        <v>7550</v>
      </c>
      <c r="H156" s="953"/>
      <c r="I156" s="953"/>
      <c r="J156" s="953"/>
      <c r="K156" s="953"/>
      <c r="L156" s="953"/>
      <c r="M156" s="953"/>
      <c r="N156" s="953"/>
      <c r="O156" s="953"/>
      <c r="P156" s="953"/>
      <c r="Q156" s="953"/>
      <c r="R156" s="953"/>
      <c r="S156" s="953"/>
      <c r="T156" s="953"/>
      <c r="U156" s="953"/>
      <c r="V156" s="953"/>
      <c r="W156" s="953"/>
      <c r="X156" s="953"/>
      <c r="Y156" s="953"/>
      <c r="Z156" s="953"/>
      <c r="AA156" s="953"/>
      <c r="AB156" s="953"/>
      <c r="AC156" s="942">
        <f ca="1">SUMIF(Codifica_SP!$J$2:$R$1445,B156,Codifica_SP!$R$2:$R$1445)</f>
        <v>0</v>
      </c>
      <c r="AD156" s="942"/>
      <c r="AE156" s="942"/>
      <c r="AF156" s="942"/>
      <c r="AG156" s="942"/>
      <c r="AH156" s="860" t="s">
        <v>7175</v>
      </c>
      <c r="AJ156" s="816"/>
      <c r="AK156" s="816"/>
      <c r="AL156" s="816"/>
    </row>
    <row r="157" spans="1:38" s="855" customFormat="1" ht="27.75" customHeight="1" x14ac:dyDescent="0.25">
      <c r="A157" s="851"/>
      <c r="B157" s="1010" t="s">
        <v>2691</v>
      </c>
      <c r="C157" s="1010"/>
      <c r="D157" s="1010"/>
      <c r="E157" s="1010"/>
      <c r="F157" s="1010"/>
      <c r="G157" s="1011" t="s">
        <v>7551</v>
      </c>
      <c r="H157" s="1011"/>
      <c r="I157" s="1011"/>
      <c r="J157" s="1011"/>
      <c r="K157" s="1011"/>
      <c r="L157" s="1011"/>
      <c r="M157" s="1011"/>
      <c r="N157" s="1011"/>
      <c r="O157" s="1011"/>
      <c r="P157" s="1011"/>
      <c r="Q157" s="1011"/>
      <c r="R157" s="1011"/>
      <c r="S157" s="1011"/>
      <c r="T157" s="1011"/>
      <c r="U157" s="1011"/>
      <c r="V157" s="1011"/>
      <c r="W157" s="1011"/>
      <c r="X157" s="1011"/>
      <c r="Y157" s="1011"/>
      <c r="Z157" s="1011"/>
      <c r="AA157" s="1011"/>
      <c r="AB157" s="1011"/>
      <c r="AC157" s="942">
        <f ca="1">SUMIF(Codifica_SP!$J$2:$R$1445,B157,Codifica_SP!$R$2:$R$1445)</f>
        <v>0</v>
      </c>
      <c r="AD157" s="942"/>
      <c r="AE157" s="942"/>
      <c r="AF157" s="942"/>
      <c r="AG157" s="942"/>
      <c r="AH157" s="860" t="s">
        <v>7175</v>
      </c>
      <c r="AJ157" s="816"/>
      <c r="AK157" s="816"/>
      <c r="AL157" s="816"/>
    </row>
    <row r="158" spans="1:38" s="855" customFormat="1" ht="21" customHeight="1" x14ac:dyDescent="0.25">
      <c r="A158" s="866"/>
      <c r="B158" s="1012" t="s">
        <v>7552</v>
      </c>
      <c r="C158" s="1012"/>
      <c r="D158" s="1012"/>
      <c r="E158" s="1012"/>
      <c r="F158" s="1012"/>
      <c r="G158" s="1013" t="s">
        <v>7553</v>
      </c>
      <c r="H158" s="1013"/>
      <c r="I158" s="1013"/>
      <c r="J158" s="1013"/>
      <c r="K158" s="1013"/>
      <c r="L158" s="1013"/>
      <c r="M158" s="1013"/>
      <c r="N158" s="1013"/>
      <c r="O158" s="1013"/>
      <c r="P158" s="1013"/>
      <c r="Q158" s="1013"/>
      <c r="R158" s="1013"/>
      <c r="S158" s="1013"/>
      <c r="T158" s="1013"/>
      <c r="U158" s="1013"/>
      <c r="V158" s="1013"/>
      <c r="W158" s="1013"/>
      <c r="X158" s="1013"/>
      <c r="Y158" s="1013"/>
      <c r="Z158" s="1013"/>
      <c r="AA158" s="1013"/>
      <c r="AB158" s="1013"/>
      <c r="AC158" s="947">
        <f ca="1">AC150+AC93+AC89+AC56+AC32</f>
        <v>232309840</v>
      </c>
      <c r="AD158" s="947"/>
      <c r="AE158" s="947"/>
      <c r="AF158" s="947"/>
      <c r="AG158" s="947"/>
      <c r="AH158" s="860"/>
      <c r="AJ158" s="816">
        <f>'NI-Ric_SP'!O790+'NI-San_SP'!O790</f>
        <v>232309840</v>
      </c>
      <c r="AK158" s="874">
        <f ca="1">AJ158-AC158</f>
        <v>0</v>
      </c>
      <c r="AL158" s="816"/>
    </row>
    <row r="159" spans="1:38" s="855" customFormat="1" ht="15.75" customHeight="1" x14ac:dyDescent="0.25">
      <c r="A159" s="867"/>
      <c r="B159" s="948" t="s">
        <v>7554</v>
      </c>
      <c r="C159" s="948"/>
      <c r="D159" s="948"/>
      <c r="E159" s="948"/>
      <c r="F159" s="948"/>
      <c r="G159" s="949" t="s">
        <v>7555</v>
      </c>
      <c r="H159" s="949"/>
      <c r="I159" s="949"/>
      <c r="J159" s="949"/>
      <c r="K159" s="949"/>
      <c r="L159" s="949"/>
      <c r="M159" s="949"/>
      <c r="N159" s="949"/>
      <c r="O159" s="949"/>
      <c r="P159" s="949"/>
      <c r="Q159" s="949"/>
      <c r="R159" s="949"/>
      <c r="S159" s="949"/>
      <c r="T159" s="949"/>
      <c r="U159" s="949"/>
      <c r="V159" s="949"/>
      <c r="W159" s="949"/>
      <c r="X159" s="949"/>
      <c r="Y159" s="949"/>
      <c r="Z159" s="949"/>
      <c r="AA159" s="949"/>
      <c r="AB159" s="949"/>
      <c r="AC159" s="950">
        <f ca="1">SUM(AC160:AC164)</f>
        <v>8399763</v>
      </c>
      <c r="AD159" s="950"/>
      <c r="AE159" s="950"/>
      <c r="AF159" s="950"/>
      <c r="AG159" s="950"/>
      <c r="AH159" s="860" t="s">
        <v>7175</v>
      </c>
      <c r="AJ159" s="816"/>
      <c r="AK159" s="816">
        <f>'NI-San_SP'!O1075+'NI-Ric_SP'!O1075</f>
        <v>8399763</v>
      </c>
      <c r="AL159" s="816"/>
    </row>
    <row r="160" spans="1:38" s="855" customFormat="1" ht="15.75" customHeight="1" x14ac:dyDescent="0.25">
      <c r="A160" s="851"/>
      <c r="B160" s="943" t="s">
        <v>2698</v>
      </c>
      <c r="C160" s="943"/>
      <c r="D160" s="943"/>
      <c r="E160" s="943"/>
      <c r="F160" s="943"/>
      <c r="G160" s="944" t="s">
        <v>7556</v>
      </c>
      <c r="H160" s="944"/>
      <c r="I160" s="944"/>
      <c r="J160" s="944"/>
      <c r="K160" s="944"/>
      <c r="L160" s="944"/>
      <c r="M160" s="944"/>
      <c r="N160" s="944"/>
      <c r="O160" s="944"/>
      <c r="P160" s="944"/>
      <c r="Q160" s="944"/>
      <c r="R160" s="944"/>
      <c r="S160" s="944"/>
      <c r="T160" s="944"/>
      <c r="U160" s="944"/>
      <c r="V160" s="944"/>
      <c r="W160" s="944"/>
      <c r="X160" s="944"/>
      <c r="Y160" s="944"/>
      <c r="Z160" s="944"/>
      <c r="AA160" s="944"/>
      <c r="AB160" s="944"/>
      <c r="AC160" s="942">
        <f ca="1">SUMIF(Codifica_SP!$J$2:$R$1445,B160,Codifica_SP!$R$2:$R$1445)</f>
        <v>0</v>
      </c>
      <c r="AD160" s="942"/>
      <c r="AE160" s="942"/>
      <c r="AF160" s="942"/>
      <c r="AG160" s="942"/>
      <c r="AH160" s="860" t="s">
        <v>7175</v>
      </c>
      <c r="AJ160" s="816"/>
      <c r="AL160" s="816"/>
    </row>
    <row r="161" spans="1:38" s="855" customFormat="1" ht="15.75" customHeight="1" x14ac:dyDescent="0.25">
      <c r="A161" s="851"/>
      <c r="B161" s="943" t="s">
        <v>2703</v>
      </c>
      <c r="C161" s="943"/>
      <c r="D161" s="943"/>
      <c r="E161" s="943"/>
      <c r="F161" s="943"/>
      <c r="G161" s="944" t="s">
        <v>7557</v>
      </c>
      <c r="H161" s="944"/>
      <c r="I161" s="944"/>
      <c r="J161" s="944"/>
      <c r="K161" s="944"/>
      <c r="L161" s="944"/>
      <c r="M161" s="944"/>
      <c r="N161" s="944"/>
      <c r="O161" s="944"/>
      <c r="P161" s="944"/>
      <c r="Q161" s="944"/>
      <c r="R161" s="944"/>
      <c r="S161" s="944"/>
      <c r="T161" s="944"/>
      <c r="U161" s="944"/>
      <c r="V161" s="944"/>
      <c r="W161" s="944"/>
      <c r="X161" s="944"/>
      <c r="Y161" s="944"/>
      <c r="Z161" s="944"/>
      <c r="AA161" s="944"/>
      <c r="AB161" s="944"/>
      <c r="AC161" s="942">
        <f ca="1">SUMIF(Codifica_SP!$J$2:$R$1445,B161,Codifica_SP!$R$2:$R$1445)</f>
        <v>0</v>
      </c>
      <c r="AD161" s="942"/>
      <c r="AE161" s="942"/>
      <c r="AF161" s="942"/>
      <c r="AG161" s="942"/>
      <c r="AH161" s="860" t="s">
        <v>7175</v>
      </c>
      <c r="AJ161" s="816"/>
      <c r="AK161" s="816"/>
      <c r="AL161" s="816"/>
    </row>
    <row r="162" spans="1:38" s="855" customFormat="1" ht="15.75" customHeight="1" x14ac:dyDescent="0.25">
      <c r="A162" s="851"/>
      <c r="B162" s="955" t="s">
        <v>2708</v>
      </c>
      <c r="C162" s="955"/>
      <c r="D162" s="955"/>
      <c r="E162" s="955"/>
      <c r="F162" s="955"/>
      <c r="G162" s="946" t="s">
        <v>7558</v>
      </c>
      <c r="H162" s="946"/>
      <c r="I162" s="946"/>
      <c r="J162" s="946"/>
      <c r="K162" s="946"/>
      <c r="L162" s="946"/>
      <c r="M162" s="946"/>
      <c r="N162" s="946"/>
      <c r="O162" s="946"/>
      <c r="P162" s="946"/>
      <c r="Q162" s="946"/>
      <c r="R162" s="946"/>
      <c r="S162" s="946"/>
      <c r="T162" s="946"/>
      <c r="U162" s="946"/>
      <c r="V162" s="946"/>
      <c r="W162" s="946"/>
      <c r="X162" s="946"/>
      <c r="Y162" s="946"/>
      <c r="Z162" s="946"/>
      <c r="AA162" s="946"/>
      <c r="AB162" s="946"/>
      <c r="AC162" s="942">
        <f ca="1">SUMIF(Codifica_SP!$J$2:$R$1445,B162,Codifica_SP!$R$2:$R$1445)</f>
        <v>7812</v>
      </c>
      <c r="AD162" s="942"/>
      <c r="AE162" s="942"/>
      <c r="AF162" s="942"/>
      <c r="AG162" s="942"/>
      <c r="AH162" s="860" t="s">
        <v>7175</v>
      </c>
      <c r="AJ162" s="816"/>
      <c r="AK162" s="816"/>
      <c r="AL162" s="816"/>
    </row>
    <row r="163" spans="1:38" s="855" customFormat="1" ht="15.75" customHeight="1" x14ac:dyDescent="0.25">
      <c r="A163" s="858"/>
      <c r="B163" s="1009" t="s">
        <v>2713</v>
      </c>
      <c r="C163" s="1009"/>
      <c r="D163" s="1009"/>
      <c r="E163" s="1009"/>
      <c r="F163" s="1009"/>
      <c r="G163" s="946" t="s">
        <v>7559</v>
      </c>
      <c r="H163" s="946"/>
      <c r="I163" s="946"/>
      <c r="J163" s="946"/>
      <c r="K163" s="946"/>
      <c r="L163" s="946"/>
      <c r="M163" s="946"/>
      <c r="N163" s="946"/>
      <c r="O163" s="946"/>
      <c r="P163" s="946"/>
      <c r="Q163" s="946"/>
      <c r="R163" s="946"/>
      <c r="S163" s="946"/>
      <c r="T163" s="946"/>
      <c r="U163" s="946"/>
      <c r="V163" s="946"/>
      <c r="W163" s="946"/>
      <c r="X163" s="946"/>
      <c r="Y163" s="946"/>
      <c r="Z163" s="946"/>
      <c r="AA163" s="946"/>
      <c r="AB163" s="946"/>
      <c r="AC163" s="942">
        <f ca="1">SUMIF(Codifica_SP!$J$2:$R$1445,B163,Codifica_SP!$R$2:$R$1445)</f>
        <v>0</v>
      </c>
      <c r="AD163" s="942"/>
      <c r="AE163" s="942"/>
      <c r="AF163" s="942"/>
      <c r="AG163" s="942"/>
      <c r="AH163" s="860" t="s">
        <v>7175</v>
      </c>
      <c r="AJ163" s="816"/>
      <c r="AK163" s="816"/>
      <c r="AL163" s="816"/>
    </row>
    <row r="164" spans="1:38" s="855" customFormat="1" ht="15.75" customHeight="1" x14ac:dyDescent="0.25">
      <c r="A164" s="857"/>
      <c r="B164" s="940" t="s">
        <v>2718</v>
      </c>
      <c r="C164" s="940"/>
      <c r="D164" s="940"/>
      <c r="E164" s="940"/>
      <c r="F164" s="940"/>
      <c r="G164" s="941" t="s">
        <v>7560</v>
      </c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2">
        <f ca="1">SUMIF(Codifica_SP!$J$2:$R$1445,B164,Codifica_SP!$R$2:$R$1445)</f>
        <v>8391951</v>
      </c>
      <c r="AD164" s="942"/>
      <c r="AE164" s="942"/>
      <c r="AF164" s="942"/>
      <c r="AG164" s="942"/>
      <c r="AH164" s="860" t="s">
        <v>7175</v>
      </c>
      <c r="AJ164" s="816"/>
      <c r="AK164" s="816"/>
      <c r="AL164" s="816"/>
    </row>
    <row r="165" spans="1:38" ht="9.9499999999999993" customHeight="1" x14ac:dyDescent="0.25">
      <c r="A165" s="879"/>
      <c r="B165" s="880"/>
      <c r="C165" s="880"/>
      <c r="D165" s="880"/>
      <c r="E165" s="880"/>
      <c r="F165" s="880"/>
      <c r="G165" s="881"/>
      <c r="H165" s="881"/>
      <c r="I165" s="881"/>
      <c r="J165" s="881"/>
      <c r="K165" s="881"/>
      <c r="L165" s="881"/>
      <c r="M165" s="881"/>
      <c r="N165" s="881"/>
      <c r="O165" s="881"/>
      <c r="P165" s="881"/>
      <c r="Q165" s="881"/>
      <c r="R165" s="881"/>
      <c r="S165" s="881"/>
      <c r="T165" s="881"/>
      <c r="U165" s="881"/>
      <c r="V165" s="881"/>
      <c r="W165" s="881"/>
      <c r="X165" s="881"/>
      <c r="Y165" s="881"/>
      <c r="Z165" s="881"/>
      <c r="AA165" s="881"/>
      <c r="AB165" s="881"/>
      <c r="AC165" s="882"/>
      <c r="AD165" s="883"/>
      <c r="AE165" s="883"/>
      <c r="AF165" s="883"/>
      <c r="AG165" s="881"/>
      <c r="AH165" s="884"/>
    </row>
    <row r="166" spans="1:38" ht="15.75" customHeight="1" x14ac:dyDescent="0.25">
      <c r="A166" s="879"/>
      <c r="B166" s="880"/>
      <c r="C166" s="880"/>
      <c r="D166" s="880"/>
      <c r="E166" s="880"/>
      <c r="F166" s="880"/>
      <c r="G166" s="881"/>
      <c r="H166" s="881"/>
      <c r="I166" s="881"/>
      <c r="J166" s="881"/>
      <c r="K166" s="881"/>
      <c r="L166" s="881"/>
      <c r="M166" s="881"/>
      <c r="N166" s="881"/>
      <c r="O166" s="881"/>
      <c r="P166" s="881"/>
      <c r="Q166" s="881"/>
      <c r="R166" s="881"/>
      <c r="S166" s="881"/>
      <c r="T166" s="881"/>
      <c r="U166" s="881"/>
      <c r="V166" s="881"/>
      <c r="W166" s="881"/>
      <c r="X166" s="881"/>
      <c r="Y166" s="881"/>
      <c r="Z166" s="881"/>
      <c r="AA166" s="881"/>
      <c r="AB166" s="881"/>
      <c r="AC166" s="882"/>
      <c r="AD166" s="883"/>
      <c r="AE166" s="883"/>
      <c r="AF166" s="883"/>
      <c r="AG166" s="881"/>
      <c r="AH166" s="884"/>
    </row>
    <row r="167" spans="1:38" ht="15.75" customHeight="1" x14ac:dyDescent="0.25">
      <c r="A167" s="885" t="s">
        <v>7561</v>
      </c>
      <c r="B167" s="880"/>
      <c r="C167" s="880"/>
      <c r="D167" s="880"/>
      <c r="E167" s="880"/>
      <c r="F167" s="880"/>
      <c r="G167" s="881"/>
      <c r="H167" s="881"/>
      <c r="I167" s="881"/>
      <c r="J167" s="881"/>
      <c r="K167" s="881"/>
      <c r="L167" s="881"/>
      <c r="M167" s="881"/>
      <c r="N167" s="881"/>
      <c r="O167" s="881"/>
      <c r="P167" s="881"/>
      <c r="Q167" s="881"/>
      <c r="R167" s="881"/>
      <c r="S167" s="881"/>
      <c r="T167" s="881"/>
      <c r="U167" s="881"/>
      <c r="V167" s="881"/>
      <c r="W167" s="881"/>
      <c r="X167" s="881"/>
      <c r="Y167" s="881"/>
      <c r="Z167" s="881"/>
      <c r="AA167" s="881"/>
      <c r="AB167" s="881"/>
      <c r="AC167" s="882"/>
      <c r="AD167" s="883"/>
      <c r="AE167" s="883"/>
      <c r="AF167" s="883"/>
      <c r="AG167" s="881"/>
      <c r="AH167" s="884"/>
    </row>
    <row r="168" spans="1:38" ht="3" customHeight="1" x14ac:dyDescent="0.25">
      <c r="A168" s="879"/>
      <c r="B168" s="880"/>
      <c r="C168" s="880"/>
      <c r="D168" s="880"/>
      <c r="E168" s="880"/>
      <c r="F168" s="880"/>
      <c r="G168" s="881"/>
      <c r="H168" s="881"/>
      <c r="I168" s="881"/>
      <c r="J168" s="881"/>
      <c r="K168" s="881"/>
      <c r="L168" s="881"/>
      <c r="M168" s="881"/>
      <c r="N168" s="881"/>
      <c r="O168" s="881"/>
      <c r="P168" s="881"/>
      <c r="Q168" s="881"/>
      <c r="R168" s="881"/>
      <c r="S168" s="881"/>
      <c r="T168" s="881"/>
      <c r="U168" s="881"/>
      <c r="V168" s="881"/>
      <c r="W168" s="881"/>
      <c r="X168" s="881"/>
      <c r="Y168" s="881"/>
      <c r="Z168" s="881"/>
      <c r="AA168" s="881"/>
      <c r="AB168" s="881"/>
      <c r="AC168" s="882"/>
      <c r="AD168" s="883"/>
      <c r="AE168" s="883"/>
      <c r="AF168" s="883"/>
      <c r="AG168" s="881"/>
      <c r="AH168" s="884"/>
    </row>
    <row r="169" spans="1:38" ht="26.25" customHeight="1" x14ac:dyDescent="0.25">
      <c r="A169" s="1005"/>
      <c r="B169" s="1005"/>
      <c r="C169" s="1005"/>
      <c r="D169" s="1005"/>
      <c r="E169" s="1005"/>
      <c r="F169" s="1006" t="s">
        <v>7562</v>
      </c>
      <c r="G169" s="1006"/>
      <c r="H169" s="1006"/>
      <c r="I169" s="1006"/>
      <c r="J169" s="1006"/>
      <c r="K169" s="1007" t="s">
        <v>7563</v>
      </c>
      <c r="L169" s="1007"/>
      <c r="M169" s="1007"/>
      <c r="N169" s="1007"/>
      <c r="O169" s="1007"/>
      <c r="P169" s="1008" t="s">
        <v>111</v>
      </c>
      <c r="Q169" s="1008"/>
      <c r="R169" s="1008"/>
      <c r="S169" s="1008"/>
      <c r="T169" s="1008"/>
      <c r="U169" s="1008"/>
      <c r="V169" s="881"/>
      <c r="W169" s="881"/>
      <c r="X169" s="881"/>
      <c r="Y169" s="881"/>
      <c r="Z169" s="881"/>
      <c r="AA169" s="881"/>
      <c r="AB169" s="881"/>
      <c r="AC169" s="882"/>
      <c r="AD169" s="883"/>
      <c r="AE169" s="883"/>
      <c r="AF169" s="883"/>
      <c r="AG169" s="881"/>
      <c r="AH169" s="884"/>
    </row>
    <row r="170" spans="1:38" ht="26.25" customHeight="1" x14ac:dyDescent="0.25">
      <c r="A170" s="999" t="s">
        <v>7564</v>
      </c>
      <c r="B170" s="999"/>
      <c r="C170" s="999"/>
      <c r="D170" s="999"/>
      <c r="E170" s="999"/>
      <c r="F170" s="1000"/>
      <c r="G170" s="1000"/>
      <c r="H170" s="1000"/>
      <c r="I170" s="1000"/>
      <c r="J170" s="1000"/>
      <c r="K170" s="1001">
        <f ca="1">SUMIF(Codifica_SP!$M$2:$R$1445,"PDA410",Codifica_SP!$R$2:$R$1445)</f>
        <v>42895792</v>
      </c>
      <c r="L170" s="1001"/>
      <c r="M170" s="1001"/>
      <c r="N170" s="1001"/>
      <c r="O170" s="1001"/>
      <c r="P170" s="1002">
        <f ca="1">SUM(F170:O170)</f>
        <v>42895792</v>
      </c>
      <c r="Q170" s="1002"/>
      <c r="R170" s="1002"/>
      <c r="S170" s="1002"/>
      <c r="T170" s="1002"/>
      <c r="U170" s="1002"/>
      <c r="V170" s="881"/>
      <c r="W170" s="881"/>
      <c r="X170" s="881"/>
      <c r="Y170" s="881"/>
      <c r="Z170" s="881"/>
      <c r="AA170" s="881"/>
      <c r="AB170" s="881"/>
      <c r="AC170" s="882"/>
      <c r="AD170" s="883"/>
      <c r="AE170" s="883"/>
      <c r="AF170" s="883"/>
      <c r="AG170" s="881"/>
      <c r="AH170" s="884"/>
    </row>
    <row r="171" spans="1:38" ht="26.25" customHeight="1" x14ac:dyDescent="0.25">
      <c r="A171" s="999" t="s">
        <v>7565</v>
      </c>
      <c r="B171" s="999"/>
      <c r="C171" s="999"/>
      <c r="D171" s="999"/>
      <c r="E171" s="999"/>
      <c r="F171" s="1000"/>
      <c r="G171" s="1000"/>
      <c r="H171" s="1000"/>
      <c r="I171" s="1000"/>
      <c r="J171" s="1000"/>
      <c r="K171" s="1001">
        <f ca="1">SUMIF(Codifica_SP!$M$2:$R$1445,"PDA430",Codifica_SP!$R$2:$R$1445)</f>
        <v>45746636</v>
      </c>
      <c r="L171" s="1001"/>
      <c r="M171" s="1001"/>
      <c r="N171" s="1001"/>
      <c r="O171" s="1001"/>
      <c r="P171" s="1002">
        <f ca="1">SUM(F171:O171)</f>
        <v>45746636</v>
      </c>
      <c r="Q171" s="1002"/>
      <c r="R171" s="1002"/>
      <c r="S171" s="1002"/>
      <c r="T171" s="1002"/>
      <c r="U171" s="1002"/>
      <c r="V171" s="881"/>
      <c r="W171" s="881"/>
      <c r="X171" s="881"/>
      <c r="Y171" s="881"/>
      <c r="Z171" s="881"/>
      <c r="AA171" s="881"/>
      <c r="AB171" s="881"/>
      <c r="AC171" s="882"/>
      <c r="AD171" s="883"/>
      <c r="AE171" s="883"/>
      <c r="AF171" s="883"/>
      <c r="AG171" s="881"/>
      <c r="AH171" s="884"/>
    </row>
    <row r="172" spans="1:38" ht="26.25" customHeight="1" x14ac:dyDescent="0.25">
      <c r="A172" s="1003" t="s">
        <v>7566</v>
      </c>
      <c r="B172" s="1003"/>
      <c r="C172" s="1003"/>
      <c r="D172" s="1003"/>
      <c r="E172" s="1003"/>
      <c r="F172" s="1004">
        <f>SUM(F170:J171)</f>
        <v>0</v>
      </c>
      <c r="G172" s="1004"/>
      <c r="H172" s="1004"/>
      <c r="I172" s="1004"/>
      <c r="J172" s="1004"/>
      <c r="K172" s="1004">
        <f ca="1">SUM(K170:O171)</f>
        <v>88642428</v>
      </c>
      <c r="L172" s="1004"/>
      <c r="M172" s="1004"/>
      <c r="N172" s="1004"/>
      <c r="O172" s="1004"/>
      <c r="P172" s="1002">
        <f ca="1">SUM(P170:P171)</f>
        <v>88642428</v>
      </c>
      <c r="Q172" s="1002"/>
      <c r="R172" s="1002"/>
      <c r="S172" s="1002"/>
      <c r="T172" s="1002"/>
      <c r="U172" s="1002"/>
      <c r="V172" s="886" t="s">
        <v>7567</v>
      </c>
      <c r="W172" s="881"/>
      <c r="X172" s="881"/>
      <c r="Y172" s="881"/>
      <c r="Z172" s="881"/>
      <c r="AA172" s="881"/>
      <c r="AB172" s="881"/>
      <c r="AC172" s="882"/>
      <c r="AD172" s="883"/>
      <c r="AE172" s="883"/>
      <c r="AF172" s="883"/>
      <c r="AG172" s="881"/>
      <c r="AH172" s="884"/>
    </row>
    <row r="173" spans="1:38" ht="15.75" customHeight="1" x14ac:dyDescent="0.25">
      <c r="A173" s="879"/>
      <c r="B173" s="880"/>
      <c r="C173" s="880"/>
      <c r="D173" s="880"/>
      <c r="E173" s="880"/>
      <c r="F173" s="880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881"/>
      <c r="AB173" s="881"/>
      <c r="AC173" s="882"/>
      <c r="AD173" s="883"/>
      <c r="AE173" s="883"/>
      <c r="AF173" s="883"/>
      <c r="AG173" s="881"/>
      <c r="AH173" s="884"/>
    </row>
    <row r="174" spans="1:38" ht="15.75" customHeight="1" x14ac:dyDescent="0.25">
      <c r="A174" s="887"/>
      <c r="B174" s="888"/>
      <c r="C174" s="889" t="s">
        <v>7568</v>
      </c>
      <c r="D174" s="888"/>
      <c r="E174" s="890"/>
      <c r="F174" s="880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881"/>
      <c r="AB174" s="881"/>
      <c r="AC174" s="882"/>
      <c r="AD174" s="883"/>
      <c r="AE174" s="883"/>
      <c r="AF174" s="883"/>
      <c r="AG174" s="881"/>
      <c r="AH174" s="884"/>
    </row>
    <row r="175" spans="1:38" ht="15.75" customHeight="1" x14ac:dyDescent="0.2">
      <c r="A175" s="887"/>
      <c r="B175" s="888"/>
      <c r="C175" s="889" t="s">
        <v>7569</v>
      </c>
      <c r="D175" s="891"/>
      <c r="E175" s="892"/>
      <c r="F175" s="828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881"/>
      <c r="AB175" s="881"/>
      <c r="AC175" s="881"/>
      <c r="AD175" s="868"/>
      <c r="AE175" s="868"/>
      <c r="AF175" s="868"/>
      <c r="AG175" s="881"/>
      <c r="AH175" s="884"/>
    </row>
    <row r="176" spans="1:38" ht="9.9499999999999993" customHeight="1" x14ac:dyDescent="0.25">
      <c r="A176" s="845"/>
      <c r="B176" s="828"/>
      <c r="C176" s="828"/>
      <c r="D176" s="828"/>
      <c r="E176" s="828"/>
      <c r="F176" s="828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881"/>
      <c r="AB176" s="881"/>
      <c r="AC176" s="881"/>
      <c r="AD176" s="868"/>
      <c r="AE176" s="868"/>
      <c r="AF176" s="868"/>
      <c r="AG176" s="881"/>
      <c r="AH176" s="884"/>
    </row>
    <row r="177" spans="1:34" s="819" customFormat="1" ht="15" customHeight="1" x14ac:dyDescent="0.25">
      <c r="A177" s="845"/>
      <c r="B177" s="998"/>
      <c r="C177" s="998"/>
      <c r="D177" s="998"/>
      <c r="E177" s="998"/>
      <c r="F177" s="998"/>
      <c r="G177" s="821"/>
      <c r="H177" s="821"/>
      <c r="I177" s="821"/>
      <c r="J177" s="821"/>
      <c r="K177" s="821"/>
      <c r="L177" s="821"/>
      <c r="M177" s="821"/>
      <c r="N177" s="821"/>
      <c r="O177" s="989"/>
      <c r="P177" s="989"/>
      <c r="Q177" s="989"/>
      <c r="R177" s="989"/>
      <c r="S177" s="989"/>
      <c r="T177" s="989"/>
      <c r="U177" s="989"/>
      <c r="V177" s="989"/>
      <c r="W177" s="989"/>
      <c r="X177" s="989"/>
      <c r="Y177" s="989"/>
      <c r="Z177" s="989"/>
      <c r="AA177" s="989"/>
      <c r="AB177" s="989"/>
      <c r="AC177" s="989"/>
      <c r="AD177" s="989"/>
      <c r="AE177" s="989"/>
      <c r="AF177" s="989"/>
      <c r="AG177" s="989"/>
      <c r="AH177" s="893"/>
    </row>
    <row r="178" spans="1:34" ht="15.75" customHeight="1" x14ac:dyDescent="0.25">
      <c r="A178" s="879"/>
      <c r="B178" s="880"/>
      <c r="C178" s="880"/>
      <c r="D178" s="880"/>
      <c r="E178" s="880"/>
      <c r="F178" s="880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881"/>
      <c r="AB178" s="881"/>
      <c r="AC178" s="881"/>
      <c r="AD178" s="868"/>
      <c r="AE178" s="868"/>
      <c r="AF178" s="868"/>
      <c r="AG178" s="881"/>
      <c r="AH178" s="884"/>
    </row>
    <row r="179" spans="1:34" ht="9.9499999999999993" customHeight="1" x14ac:dyDescent="0.25">
      <c r="A179" s="879"/>
      <c r="B179" s="880"/>
      <c r="C179" s="880"/>
      <c r="D179" s="880"/>
      <c r="E179" s="880"/>
      <c r="F179" s="880"/>
      <c r="G179" s="881"/>
      <c r="H179" s="881"/>
      <c r="I179" s="881"/>
      <c r="J179" s="881"/>
      <c r="K179" s="881"/>
      <c r="L179" s="881"/>
      <c r="M179" s="881"/>
      <c r="N179" s="881"/>
      <c r="O179" s="989"/>
      <c r="P179" s="989"/>
      <c r="Q179" s="989"/>
      <c r="R179" s="989"/>
      <c r="S179" s="989"/>
      <c r="T179" s="989"/>
      <c r="U179" s="989"/>
      <c r="V179" s="989"/>
      <c r="W179" s="989"/>
      <c r="X179" s="989"/>
      <c r="Y179" s="989"/>
      <c r="Z179" s="989"/>
      <c r="AA179" s="989"/>
      <c r="AB179" s="989"/>
      <c r="AC179" s="989"/>
      <c r="AD179" s="989"/>
      <c r="AE179" s="989"/>
      <c r="AF179" s="989"/>
      <c r="AG179" s="989"/>
      <c r="AH179" s="894"/>
    </row>
    <row r="180" spans="1:34" ht="9.9499999999999993" customHeight="1" x14ac:dyDescent="0.25">
      <c r="A180" s="879"/>
      <c r="B180" s="880"/>
      <c r="C180" s="880"/>
      <c r="D180" s="880"/>
      <c r="E180" s="880"/>
      <c r="F180" s="880"/>
      <c r="G180" s="881"/>
      <c r="H180" s="881"/>
      <c r="I180" s="881"/>
      <c r="J180" s="881"/>
      <c r="K180" s="881"/>
      <c r="L180" s="881"/>
      <c r="M180" s="881"/>
      <c r="N180" s="881"/>
      <c r="O180" s="821"/>
      <c r="P180" s="821"/>
      <c r="Q180" s="821"/>
      <c r="R180" s="821"/>
      <c r="S180" s="821"/>
      <c r="T180" s="821"/>
      <c r="U180" s="821"/>
      <c r="V180" s="821"/>
      <c r="W180" s="821"/>
      <c r="X180" s="821"/>
      <c r="Y180" s="821"/>
      <c r="Z180" s="821"/>
      <c r="AA180" s="821"/>
      <c r="AB180" s="821"/>
      <c r="AC180" s="821"/>
      <c r="AD180" s="821"/>
      <c r="AE180" s="821"/>
      <c r="AF180" s="821"/>
      <c r="AG180" s="881"/>
      <c r="AH180" s="884"/>
    </row>
    <row r="181" spans="1:34" ht="9.9499999999999993" customHeight="1" x14ac:dyDescent="0.25">
      <c r="A181" s="879"/>
      <c r="B181" s="880"/>
      <c r="C181" s="880"/>
      <c r="D181" s="880"/>
      <c r="E181" s="880"/>
      <c r="F181" s="880"/>
      <c r="G181" s="881"/>
      <c r="H181" s="881"/>
      <c r="I181" s="881"/>
      <c r="J181" s="881"/>
      <c r="K181" s="881"/>
      <c r="L181" s="881"/>
      <c r="M181" s="881"/>
      <c r="N181" s="881"/>
      <c r="O181" s="821"/>
      <c r="P181" s="821"/>
      <c r="Q181" s="821"/>
      <c r="R181" s="821"/>
      <c r="S181" s="821"/>
      <c r="T181" s="821"/>
      <c r="U181" s="821"/>
      <c r="V181" s="821"/>
      <c r="W181" s="821"/>
      <c r="X181" s="821"/>
      <c r="Y181" s="821"/>
      <c r="Z181" s="821"/>
      <c r="AA181" s="821"/>
      <c r="AB181" s="821"/>
      <c r="AC181" s="821"/>
      <c r="AD181" s="821"/>
      <c r="AE181" s="821"/>
      <c r="AF181" s="821"/>
      <c r="AG181" s="881"/>
      <c r="AH181" s="884"/>
    </row>
    <row r="182" spans="1:34" ht="15.75" customHeight="1" x14ac:dyDescent="0.25">
      <c r="A182" s="879"/>
      <c r="B182" s="880"/>
      <c r="C182" s="880"/>
      <c r="D182" s="880"/>
      <c r="E182" s="880"/>
      <c r="F182" s="880"/>
      <c r="G182" s="881"/>
      <c r="H182" s="881"/>
      <c r="I182" s="881"/>
      <c r="J182" s="881"/>
      <c r="K182" s="881"/>
      <c r="L182" s="881"/>
      <c r="M182" s="881"/>
      <c r="N182" s="881"/>
      <c r="O182" s="881"/>
      <c r="P182" s="821"/>
      <c r="Q182" s="821"/>
      <c r="R182" s="821"/>
      <c r="S182" s="821"/>
      <c r="T182" s="821"/>
      <c r="U182" s="821"/>
      <c r="V182" s="821"/>
      <c r="W182" s="821"/>
      <c r="X182" s="821"/>
      <c r="Y182" s="821"/>
      <c r="Z182" s="821"/>
      <c r="AA182" s="821"/>
      <c r="AB182" s="821"/>
      <c r="AC182" s="821"/>
      <c r="AD182" s="821"/>
      <c r="AE182" s="821"/>
      <c r="AF182" s="821"/>
      <c r="AG182" s="881"/>
      <c r="AH182" s="884"/>
    </row>
    <row r="183" spans="1:34" ht="15.75" customHeight="1" x14ac:dyDescent="0.25">
      <c r="B183" s="895"/>
      <c r="C183" s="895"/>
      <c r="D183" s="895"/>
      <c r="E183" s="895"/>
      <c r="F183" s="895"/>
      <c r="G183" s="824"/>
      <c r="H183" s="824"/>
      <c r="I183" s="824"/>
      <c r="J183" s="824"/>
      <c r="K183" s="824"/>
      <c r="L183" s="824"/>
      <c r="M183" s="824"/>
      <c r="N183" s="824"/>
      <c r="O183" s="989"/>
      <c r="P183" s="989"/>
      <c r="Q183" s="989"/>
      <c r="R183" s="989"/>
      <c r="S183" s="989"/>
      <c r="T183" s="989"/>
      <c r="U183" s="989"/>
      <c r="V183" s="989"/>
      <c r="W183" s="989"/>
      <c r="X183" s="989"/>
      <c r="Y183" s="989"/>
      <c r="Z183" s="989"/>
      <c r="AA183" s="989"/>
      <c r="AB183" s="989"/>
      <c r="AC183" s="989"/>
      <c r="AD183" s="989"/>
      <c r="AE183" s="989"/>
      <c r="AF183" s="989"/>
      <c r="AG183" s="989"/>
      <c r="AH183" s="894"/>
    </row>
    <row r="184" spans="1:34" ht="15.75" customHeight="1" x14ac:dyDescent="0.25">
      <c r="B184" s="895"/>
      <c r="C184" s="895"/>
      <c r="D184" s="895"/>
      <c r="E184" s="895"/>
      <c r="F184" s="895"/>
      <c r="G184" s="824"/>
      <c r="H184" s="824"/>
      <c r="I184" s="824"/>
      <c r="J184" s="824"/>
      <c r="K184" s="824"/>
      <c r="L184" s="824"/>
      <c r="M184" s="824"/>
      <c r="N184" s="824"/>
      <c r="O184" s="824"/>
      <c r="P184" s="824"/>
      <c r="Q184" s="824"/>
      <c r="R184" s="824"/>
      <c r="S184" s="824"/>
      <c r="T184" s="824"/>
      <c r="U184" s="824"/>
      <c r="V184" s="824"/>
      <c r="W184" s="824"/>
      <c r="X184" s="824"/>
      <c r="Y184" s="824"/>
      <c r="Z184" s="824"/>
      <c r="AA184" s="824"/>
      <c r="AB184" s="824"/>
      <c r="AC184" s="824"/>
      <c r="AD184" s="896"/>
      <c r="AE184" s="896"/>
      <c r="AF184" s="896"/>
      <c r="AG184" s="896"/>
      <c r="AH184" s="894"/>
    </row>
    <row r="185" spans="1:34" ht="15.75" customHeight="1" x14ac:dyDescent="0.25">
      <c r="B185" s="895"/>
      <c r="C185" s="895"/>
      <c r="D185" s="895"/>
      <c r="E185" s="895"/>
      <c r="F185" s="895"/>
      <c r="G185" s="824"/>
      <c r="H185" s="824"/>
      <c r="I185" s="824"/>
      <c r="J185" s="824"/>
      <c r="K185" s="824"/>
      <c r="L185" s="824"/>
      <c r="M185" s="824"/>
      <c r="N185" s="824"/>
      <c r="O185" s="989"/>
      <c r="P185" s="989"/>
      <c r="Q185" s="989"/>
      <c r="R185" s="989"/>
      <c r="S185" s="989"/>
      <c r="T185" s="989"/>
      <c r="U185" s="989"/>
      <c r="V185" s="989"/>
      <c r="W185" s="989"/>
      <c r="X185" s="989"/>
      <c r="Y185" s="989"/>
      <c r="Z185" s="989"/>
      <c r="AA185" s="989"/>
      <c r="AB185" s="989"/>
      <c r="AC185" s="989"/>
      <c r="AD185" s="989"/>
      <c r="AE185" s="989"/>
      <c r="AF185" s="989"/>
      <c r="AG185" s="989"/>
      <c r="AH185" s="894"/>
    </row>
    <row r="186" spans="1:34" ht="15.75" customHeight="1" x14ac:dyDescent="0.25">
      <c r="B186" s="895"/>
      <c r="C186" s="895"/>
      <c r="D186" s="895"/>
      <c r="E186" s="895"/>
      <c r="F186" s="895"/>
      <c r="G186" s="824"/>
      <c r="H186" s="824"/>
      <c r="I186" s="824"/>
      <c r="J186" s="824"/>
      <c r="K186" s="824"/>
      <c r="L186" s="824"/>
      <c r="M186" s="824"/>
      <c r="N186" s="824"/>
      <c r="O186" s="824"/>
      <c r="P186" s="824"/>
      <c r="Q186" s="824"/>
      <c r="R186" s="824"/>
      <c r="S186" s="824"/>
      <c r="T186" s="824"/>
      <c r="U186" s="824"/>
      <c r="V186" s="824"/>
      <c r="W186" s="824"/>
      <c r="X186" s="824"/>
      <c r="Y186" s="824"/>
      <c r="Z186" s="824"/>
      <c r="AA186" s="824"/>
      <c r="AB186" s="824"/>
      <c r="AC186" s="824"/>
      <c r="AD186" s="896"/>
      <c r="AE186" s="896"/>
      <c r="AF186" s="896"/>
      <c r="AG186" s="896"/>
    </row>
    <row r="187" spans="1:34" ht="15.75" customHeight="1" x14ac:dyDescent="0.25">
      <c r="AC187" s="824"/>
      <c r="AD187" s="868"/>
      <c r="AE187" s="868"/>
      <c r="AF187" s="868"/>
      <c r="AG187" s="868"/>
    </row>
    <row r="188" spans="1:34" ht="15.75" customHeight="1" x14ac:dyDescent="0.25">
      <c r="AC188" s="824"/>
      <c r="AD188" s="868"/>
      <c r="AE188" s="868"/>
      <c r="AF188" s="868"/>
      <c r="AG188" s="868"/>
    </row>
    <row r="189" spans="1:34" ht="15.75" customHeight="1" x14ac:dyDescent="0.25">
      <c r="AC189" s="824"/>
      <c r="AD189" s="868"/>
      <c r="AE189" s="868"/>
      <c r="AF189" s="868"/>
      <c r="AG189" s="868"/>
    </row>
    <row r="190" spans="1:34" ht="15.75" customHeight="1" x14ac:dyDescent="0.25">
      <c r="AC190" s="824"/>
      <c r="AD190" s="868"/>
      <c r="AE190" s="868"/>
      <c r="AF190" s="868"/>
      <c r="AG190" s="868"/>
    </row>
    <row r="191" spans="1:34" ht="15.75" customHeight="1" x14ac:dyDescent="0.25">
      <c r="AC191" s="824"/>
      <c r="AD191" s="868"/>
      <c r="AE191" s="868"/>
      <c r="AF191" s="868"/>
      <c r="AG191" s="868"/>
    </row>
    <row r="192" spans="1:34" ht="15.75" customHeight="1" x14ac:dyDescent="0.25">
      <c r="AC192" s="824"/>
      <c r="AD192" s="868"/>
      <c r="AE192" s="868"/>
      <c r="AF192" s="868"/>
      <c r="AG192" s="868"/>
    </row>
    <row r="193" spans="29:33" ht="15.75" customHeight="1" x14ac:dyDescent="0.25">
      <c r="AC193" s="824"/>
      <c r="AD193" s="868"/>
      <c r="AE193" s="868"/>
      <c r="AF193" s="868"/>
      <c r="AG193" s="868"/>
    </row>
    <row r="194" spans="29:33" ht="15.75" customHeight="1" x14ac:dyDescent="0.25">
      <c r="AC194" s="824"/>
      <c r="AD194" s="868"/>
      <c r="AE194" s="868"/>
      <c r="AF194" s="868"/>
      <c r="AG194" s="868"/>
    </row>
    <row r="195" spans="29:33" ht="15.75" customHeight="1" x14ac:dyDescent="0.25">
      <c r="AC195" s="824"/>
      <c r="AD195" s="868"/>
      <c r="AE195" s="868"/>
      <c r="AF195" s="868"/>
      <c r="AG195" s="868"/>
    </row>
    <row r="196" spans="29:33" ht="15.75" customHeight="1" x14ac:dyDescent="0.25">
      <c r="AC196" s="824"/>
      <c r="AD196" s="868"/>
      <c r="AE196" s="868"/>
      <c r="AF196" s="868"/>
      <c r="AG196" s="868"/>
    </row>
    <row r="197" spans="29:33" ht="15.75" customHeight="1" x14ac:dyDescent="0.25">
      <c r="AC197" s="824"/>
      <c r="AD197" s="868"/>
      <c r="AE197" s="868"/>
      <c r="AF197" s="868"/>
      <c r="AG197" s="868"/>
    </row>
    <row r="198" spans="29:33" ht="15.75" customHeight="1" x14ac:dyDescent="0.25">
      <c r="AC198" s="824"/>
      <c r="AD198" s="868"/>
      <c r="AE198" s="868"/>
      <c r="AF198" s="868"/>
      <c r="AG198" s="868"/>
    </row>
    <row r="199" spans="29:33" ht="15.75" customHeight="1" x14ac:dyDescent="0.25">
      <c r="AC199" s="824"/>
      <c r="AD199" s="868"/>
      <c r="AE199" s="868"/>
      <c r="AF199" s="868"/>
      <c r="AG199" s="868"/>
    </row>
    <row r="200" spans="29:33" ht="15.75" customHeight="1" x14ac:dyDescent="0.25">
      <c r="AC200" s="824"/>
      <c r="AD200" s="868"/>
      <c r="AE200" s="868"/>
      <c r="AF200" s="868"/>
      <c r="AG200" s="868"/>
    </row>
    <row r="201" spans="29:33" ht="15.75" customHeight="1" x14ac:dyDescent="0.25">
      <c r="AC201" s="824"/>
      <c r="AD201" s="868"/>
      <c r="AE201" s="868"/>
      <c r="AF201" s="868"/>
      <c r="AG201" s="868"/>
    </row>
    <row r="202" spans="29:33" ht="15.75" customHeight="1" x14ac:dyDescent="0.25">
      <c r="AC202" s="824"/>
      <c r="AD202" s="868"/>
      <c r="AE202" s="868"/>
      <c r="AF202" s="868"/>
      <c r="AG202" s="868"/>
    </row>
    <row r="203" spans="29:33" ht="15.75" customHeight="1" x14ac:dyDescent="0.25">
      <c r="AC203" s="824"/>
      <c r="AD203" s="868"/>
      <c r="AE203" s="868"/>
      <c r="AF203" s="868"/>
      <c r="AG203" s="868"/>
    </row>
    <row r="204" spans="29:33" ht="15.75" customHeight="1" x14ac:dyDescent="0.25">
      <c r="AC204" s="824"/>
      <c r="AD204" s="868"/>
      <c r="AE204" s="868"/>
      <c r="AF204" s="868"/>
      <c r="AG204" s="868"/>
    </row>
    <row r="205" spans="29:33" ht="15.75" customHeight="1" x14ac:dyDescent="0.25">
      <c r="AC205" s="824"/>
      <c r="AD205" s="868"/>
      <c r="AE205" s="868"/>
      <c r="AF205" s="868"/>
      <c r="AG205" s="868"/>
    </row>
    <row r="206" spans="29:33" ht="15.75" customHeight="1" x14ac:dyDescent="0.25">
      <c r="AC206" s="824"/>
      <c r="AD206" s="868"/>
      <c r="AE206" s="868"/>
      <c r="AF206" s="868"/>
      <c r="AG206" s="868"/>
    </row>
    <row r="207" spans="29:33" ht="15.75" customHeight="1" x14ac:dyDescent="0.25">
      <c r="AC207" s="824"/>
      <c r="AD207" s="868"/>
      <c r="AE207" s="868"/>
      <c r="AF207" s="868"/>
      <c r="AG207" s="868"/>
    </row>
    <row r="208" spans="29:33" ht="15.75" customHeight="1" x14ac:dyDescent="0.25">
      <c r="AC208" s="824"/>
      <c r="AD208" s="868"/>
      <c r="AE208" s="868"/>
      <c r="AF208" s="868"/>
      <c r="AG208" s="868"/>
    </row>
    <row r="209" spans="29:33" ht="15.75" customHeight="1" x14ac:dyDescent="0.25">
      <c r="AC209" s="824"/>
      <c r="AD209" s="868"/>
      <c r="AE209" s="868"/>
      <c r="AF209" s="868"/>
      <c r="AG209" s="868"/>
    </row>
    <row r="210" spans="29:33" ht="15.75" customHeight="1" x14ac:dyDescent="0.25">
      <c r="AC210" s="824"/>
      <c r="AD210" s="868"/>
      <c r="AE210" s="868"/>
      <c r="AF210" s="868"/>
      <c r="AG210" s="868"/>
    </row>
    <row r="211" spans="29:33" ht="15.75" customHeight="1" x14ac:dyDescent="0.25">
      <c r="AC211" s="824"/>
      <c r="AD211" s="868"/>
      <c r="AE211" s="868"/>
      <c r="AF211" s="868"/>
      <c r="AG211" s="868"/>
    </row>
    <row r="212" spans="29:33" ht="15.75" customHeight="1" x14ac:dyDescent="0.25">
      <c r="AC212" s="824"/>
      <c r="AD212" s="868"/>
      <c r="AE212" s="868"/>
      <c r="AF212" s="868"/>
      <c r="AG212" s="868"/>
    </row>
    <row r="213" spans="29:33" ht="15.75" customHeight="1" x14ac:dyDescent="0.25">
      <c r="AC213" s="824"/>
      <c r="AD213" s="868"/>
      <c r="AE213" s="868"/>
      <c r="AF213" s="868"/>
      <c r="AG213" s="868"/>
    </row>
    <row r="214" spans="29:33" ht="15.75" customHeight="1" x14ac:dyDescent="0.25">
      <c r="AC214" s="824"/>
      <c r="AD214" s="868"/>
      <c r="AE214" s="868"/>
      <c r="AF214" s="868"/>
      <c r="AG214" s="868"/>
    </row>
    <row r="215" spans="29:33" ht="15.75" customHeight="1" x14ac:dyDescent="0.25">
      <c r="AC215" s="824"/>
      <c r="AD215" s="868"/>
      <c r="AE215" s="868"/>
      <c r="AF215" s="868"/>
      <c r="AG215" s="868"/>
    </row>
    <row r="216" spans="29:33" ht="15.75" customHeight="1" x14ac:dyDescent="0.25">
      <c r="AC216" s="824"/>
      <c r="AD216" s="868"/>
      <c r="AE216" s="868"/>
      <c r="AF216" s="868"/>
      <c r="AG216" s="868"/>
    </row>
    <row r="217" spans="29:33" ht="15.75" customHeight="1" x14ac:dyDescent="0.25">
      <c r="AC217" s="824"/>
      <c r="AD217" s="868"/>
      <c r="AE217" s="868"/>
      <c r="AF217" s="868"/>
      <c r="AG217" s="868"/>
    </row>
    <row r="218" spans="29:33" ht="15.75" customHeight="1" x14ac:dyDescent="0.25">
      <c r="AC218" s="824"/>
      <c r="AD218" s="868"/>
      <c r="AE218" s="868"/>
      <c r="AF218" s="868"/>
      <c r="AG218" s="868"/>
    </row>
    <row r="219" spans="29:33" ht="15.75" customHeight="1" x14ac:dyDescent="0.25">
      <c r="AC219" s="824"/>
      <c r="AD219" s="868"/>
      <c r="AE219" s="868"/>
      <c r="AF219" s="868"/>
      <c r="AG219" s="868"/>
    </row>
    <row r="220" spans="29:33" ht="15.75" customHeight="1" x14ac:dyDescent="0.25">
      <c r="AC220" s="824"/>
      <c r="AD220" s="868"/>
      <c r="AE220" s="868"/>
      <c r="AF220" s="868"/>
      <c r="AG220" s="868"/>
    </row>
    <row r="221" spans="29:33" ht="15.75" customHeight="1" x14ac:dyDescent="0.25">
      <c r="AC221" s="824"/>
      <c r="AD221" s="868"/>
      <c r="AE221" s="868"/>
      <c r="AF221" s="868"/>
      <c r="AG221" s="868"/>
    </row>
    <row r="222" spans="29:33" ht="15.75" customHeight="1" x14ac:dyDescent="0.25">
      <c r="AC222" s="824"/>
      <c r="AD222" s="868"/>
      <c r="AE222" s="868"/>
      <c r="AF222" s="868"/>
      <c r="AG222" s="868"/>
    </row>
    <row r="223" spans="29:33" ht="15.75" customHeight="1" x14ac:dyDescent="0.25">
      <c r="AC223" s="824"/>
      <c r="AD223" s="868"/>
      <c r="AE223" s="868"/>
      <c r="AF223" s="868"/>
      <c r="AG223" s="868"/>
    </row>
    <row r="224" spans="29:33" ht="15.75" customHeight="1" x14ac:dyDescent="0.25">
      <c r="AC224" s="824"/>
      <c r="AD224" s="868"/>
      <c r="AE224" s="868"/>
      <c r="AF224" s="868"/>
      <c r="AG224" s="868"/>
    </row>
    <row r="225" spans="29:33" ht="15.75" customHeight="1" x14ac:dyDescent="0.25">
      <c r="AC225" s="824"/>
      <c r="AD225" s="868"/>
      <c r="AE225" s="868"/>
      <c r="AF225" s="868"/>
      <c r="AG225" s="868"/>
    </row>
    <row r="226" spans="29:33" ht="15.75" customHeight="1" x14ac:dyDescent="0.25">
      <c r="AC226" s="824"/>
      <c r="AD226" s="868"/>
      <c r="AE226" s="868"/>
      <c r="AF226" s="868"/>
      <c r="AG226" s="868"/>
    </row>
    <row r="227" spans="29:33" ht="15.75" customHeight="1" x14ac:dyDescent="0.25">
      <c r="AC227" s="824"/>
      <c r="AD227" s="868"/>
      <c r="AE227" s="868"/>
      <c r="AF227" s="868"/>
      <c r="AG227" s="868"/>
    </row>
    <row r="228" spans="29:33" ht="15.75" customHeight="1" x14ac:dyDescent="0.25">
      <c r="AC228" s="824"/>
      <c r="AD228" s="868"/>
      <c r="AE228" s="868"/>
      <c r="AF228" s="868"/>
      <c r="AG228" s="868"/>
    </row>
    <row r="229" spans="29:33" ht="15.75" customHeight="1" x14ac:dyDescent="0.25">
      <c r="AC229" s="824"/>
      <c r="AD229" s="868"/>
      <c r="AE229" s="868"/>
      <c r="AF229" s="868"/>
      <c r="AG229" s="868"/>
    </row>
    <row r="230" spans="29:33" ht="15.75" customHeight="1" x14ac:dyDescent="0.25">
      <c r="AC230" s="824"/>
      <c r="AD230" s="868"/>
      <c r="AE230" s="868"/>
      <c r="AF230" s="868"/>
      <c r="AG230" s="868"/>
    </row>
    <row r="231" spans="29:33" ht="15.75" customHeight="1" x14ac:dyDescent="0.25">
      <c r="AC231" s="824"/>
      <c r="AD231" s="868"/>
      <c r="AE231" s="868"/>
      <c r="AF231" s="868"/>
      <c r="AG231" s="868"/>
    </row>
    <row r="232" spans="29:33" ht="15.75" customHeight="1" x14ac:dyDescent="0.25">
      <c r="AC232" s="824"/>
      <c r="AD232" s="868"/>
      <c r="AE232" s="868"/>
      <c r="AF232" s="868"/>
      <c r="AG232" s="868"/>
    </row>
    <row r="233" spans="29:33" ht="15.75" customHeight="1" x14ac:dyDescent="0.25">
      <c r="AC233" s="824"/>
      <c r="AD233" s="868"/>
      <c r="AE233" s="868"/>
      <c r="AF233" s="868"/>
      <c r="AG233" s="868"/>
    </row>
    <row r="234" spans="29:33" ht="15.75" customHeight="1" x14ac:dyDescent="0.25">
      <c r="AC234" s="824"/>
      <c r="AD234" s="868"/>
      <c r="AE234" s="868"/>
      <c r="AF234" s="868"/>
      <c r="AG234" s="868"/>
    </row>
    <row r="235" spans="29:33" ht="15.75" customHeight="1" x14ac:dyDescent="0.25">
      <c r="AC235" s="824"/>
      <c r="AD235" s="868"/>
      <c r="AE235" s="868"/>
      <c r="AF235" s="868"/>
      <c r="AG235" s="868"/>
    </row>
    <row r="236" spans="29:33" ht="15.75" customHeight="1" x14ac:dyDescent="0.25">
      <c r="AC236" s="824"/>
      <c r="AD236" s="868"/>
      <c r="AE236" s="868"/>
      <c r="AF236" s="868"/>
      <c r="AG236" s="868"/>
    </row>
    <row r="237" spans="29:33" ht="15.75" customHeight="1" x14ac:dyDescent="0.25">
      <c r="AC237" s="824"/>
      <c r="AD237" s="868"/>
      <c r="AE237" s="868"/>
      <c r="AF237" s="868"/>
      <c r="AG237" s="868"/>
    </row>
    <row r="238" spans="29:33" ht="15.75" customHeight="1" x14ac:dyDescent="0.25">
      <c r="AC238" s="824"/>
      <c r="AD238" s="868"/>
      <c r="AE238" s="868"/>
      <c r="AF238" s="868"/>
      <c r="AG238" s="868"/>
    </row>
    <row r="239" spans="29:33" ht="15.75" customHeight="1" x14ac:dyDescent="0.25">
      <c r="AC239" s="824"/>
      <c r="AD239" s="868"/>
      <c r="AE239" s="868"/>
      <c r="AF239" s="868"/>
      <c r="AG239" s="868"/>
    </row>
    <row r="240" spans="29:33" ht="15.75" customHeight="1" x14ac:dyDescent="0.25">
      <c r="AC240" s="824"/>
      <c r="AD240" s="868"/>
      <c r="AE240" s="868"/>
      <c r="AF240" s="868"/>
      <c r="AG240" s="868"/>
    </row>
    <row r="241" spans="29:33" ht="15.75" customHeight="1" x14ac:dyDescent="0.25">
      <c r="AC241" s="824"/>
      <c r="AD241" s="868"/>
      <c r="AE241" s="868"/>
      <c r="AF241" s="868"/>
      <c r="AG241" s="868"/>
    </row>
    <row r="242" spans="29:33" ht="15.75" customHeight="1" x14ac:dyDescent="0.25">
      <c r="AC242" s="824"/>
      <c r="AD242" s="868"/>
      <c r="AE242" s="868"/>
      <c r="AF242" s="868"/>
      <c r="AG242" s="868"/>
    </row>
    <row r="243" spans="29:33" ht="15.75" customHeight="1" x14ac:dyDescent="0.25">
      <c r="AC243" s="824"/>
      <c r="AD243" s="868"/>
      <c r="AE243" s="868"/>
      <c r="AF243" s="868"/>
      <c r="AG243" s="868"/>
    </row>
    <row r="244" spans="29:33" ht="15.75" customHeight="1" x14ac:dyDescent="0.25">
      <c r="AC244" s="824"/>
      <c r="AD244" s="868"/>
      <c r="AE244" s="868"/>
      <c r="AF244" s="868"/>
      <c r="AG244" s="868"/>
    </row>
    <row r="245" spans="29:33" ht="15.75" customHeight="1" x14ac:dyDescent="0.25">
      <c r="AC245" s="824"/>
      <c r="AD245" s="868"/>
      <c r="AE245" s="868"/>
      <c r="AF245" s="868"/>
      <c r="AG245" s="868"/>
    </row>
    <row r="246" spans="29:33" ht="15.75" customHeight="1" x14ac:dyDescent="0.25">
      <c r="AC246" s="824"/>
      <c r="AD246" s="868"/>
      <c r="AE246" s="868"/>
      <c r="AF246" s="868"/>
      <c r="AG246" s="868"/>
    </row>
    <row r="247" spans="29:33" ht="15.75" customHeight="1" x14ac:dyDescent="0.25">
      <c r="AC247" s="824"/>
      <c r="AD247" s="868"/>
      <c r="AE247" s="868"/>
      <c r="AF247" s="868"/>
      <c r="AG247" s="868"/>
    </row>
    <row r="248" spans="29:33" ht="15.75" customHeight="1" x14ac:dyDescent="0.25">
      <c r="AC248" s="824"/>
      <c r="AD248" s="868"/>
      <c r="AE248" s="868"/>
      <c r="AF248" s="868"/>
      <c r="AG248" s="868"/>
    </row>
    <row r="249" spans="29:33" ht="15.75" customHeight="1" x14ac:dyDescent="0.25">
      <c r="AC249" s="824"/>
      <c r="AD249" s="868"/>
      <c r="AE249" s="868"/>
      <c r="AF249" s="868"/>
      <c r="AG249" s="868"/>
    </row>
    <row r="250" spans="29:33" ht="15.75" customHeight="1" x14ac:dyDescent="0.25">
      <c r="AC250" s="824"/>
      <c r="AD250" s="868"/>
      <c r="AE250" s="868"/>
      <c r="AF250" s="868"/>
      <c r="AG250" s="868"/>
    </row>
    <row r="251" spans="29:33" ht="15.75" customHeight="1" x14ac:dyDescent="0.25">
      <c r="AC251" s="824"/>
      <c r="AD251" s="868"/>
      <c r="AE251" s="868"/>
      <c r="AF251" s="868"/>
      <c r="AG251" s="868"/>
    </row>
    <row r="252" spans="29:33" ht="15.75" customHeight="1" x14ac:dyDescent="0.25">
      <c r="AC252" s="824"/>
      <c r="AD252" s="868"/>
      <c r="AE252" s="868"/>
      <c r="AF252" s="868"/>
      <c r="AG252" s="868"/>
    </row>
    <row r="253" spans="29:33" ht="15.75" customHeight="1" x14ac:dyDescent="0.25">
      <c r="AC253" s="824"/>
      <c r="AD253" s="868"/>
      <c r="AE253" s="868"/>
      <c r="AF253" s="868"/>
      <c r="AG253" s="868"/>
    </row>
    <row r="254" spans="29:33" ht="15.75" customHeight="1" x14ac:dyDescent="0.25">
      <c r="AC254" s="824"/>
      <c r="AD254" s="868"/>
      <c r="AE254" s="868"/>
      <c r="AF254" s="868"/>
      <c r="AG254" s="868"/>
    </row>
    <row r="255" spans="29:33" ht="15.75" customHeight="1" x14ac:dyDescent="0.25">
      <c r="AC255" s="824"/>
      <c r="AD255" s="868"/>
      <c r="AE255" s="868"/>
      <c r="AF255" s="868"/>
      <c r="AG255" s="868"/>
    </row>
    <row r="256" spans="29:33" ht="15.75" customHeight="1" x14ac:dyDescent="0.25">
      <c r="AC256" s="824"/>
      <c r="AD256" s="868"/>
      <c r="AE256" s="868"/>
      <c r="AF256" s="868"/>
      <c r="AG256" s="868"/>
    </row>
    <row r="257" spans="29:33" ht="15.75" customHeight="1" x14ac:dyDescent="0.25">
      <c r="AC257" s="824"/>
      <c r="AD257" s="868"/>
      <c r="AE257" s="868"/>
      <c r="AF257" s="868"/>
      <c r="AG257" s="868"/>
    </row>
    <row r="258" spans="29:33" ht="15.75" customHeight="1" x14ac:dyDescent="0.25">
      <c r="AC258" s="824"/>
      <c r="AD258" s="868"/>
      <c r="AE258" s="868"/>
      <c r="AF258" s="868"/>
      <c r="AG258" s="868"/>
    </row>
    <row r="259" spans="29:33" ht="15.75" customHeight="1" x14ac:dyDescent="0.25">
      <c r="AC259" s="824"/>
      <c r="AD259" s="868"/>
      <c r="AE259" s="868"/>
      <c r="AF259" s="868"/>
      <c r="AG259" s="868"/>
    </row>
    <row r="260" spans="29:33" ht="15.75" customHeight="1" x14ac:dyDescent="0.25">
      <c r="AC260" s="824"/>
      <c r="AD260" s="868"/>
      <c r="AE260" s="868"/>
      <c r="AF260" s="868"/>
      <c r="AG260" s="868"/>
    </row>
    <row r="261" spans="29:33" ht="15.75" customHeight="1" x14ac:dyDescent="0.25">
      <c r="AC261" s="824"/>
      <c r="AD261" s="868"/>
      <c r="AE261" s="868"/>
      <c r="AF261" s="868"/>
      <c r="AG261" s="868"/>
    </row>
    <row r="262" spans="29:33" ht="15.75" customHeight="1" x14ac:dyDescent="0.25">
      <c r="AC262" s="824"/>
      <c r="AD262" s="868"/>
      <c r="AE262" s="868"/>
      <c r="AF262" s="868"/>
      <c r="AG262" s="868"/>
    </row>
    <row r="263" spans="29:33" ht="15.75" customHeight="1" x14ac:dyDescent="0.25">
      <c r="AC263" s="824"/>
      <c r="AD263" s="868"/>
      <c r="AE263" s="868"/>
      <c r="AF263" s="868"/>
      <c r="AG263" s="868"/>
    </row>
    <row r="264" spans="29:33" ht="15.75" customHeight="1" x14ac:dyDescent="0.25">
      <c r="AC264" s="824"/>
      <c r="AD264" s="868"/>
      <c r="AE264" s="868"/>
      <c r="AF264" s="868"/>
      <c r="AG264" s="868"/>
    </row>
    <row r="265" spans="29:33" ht="15.75" customHeight="1" x14ac:dyDescent="0.25">
      <c r="AC265" s="824"/>
      <c r="AD265" s="868"/>
      <c r="AE265" s="868"/>
      <c r="AF265" s="868"/>
      <c r="AG265" s="868"/>
    </row>
    <row r="266" spans="29:33" ht="15.75" customHeight="1" x14ac:dyDescent="0.25">
      <c r="AC266" s="824"/>
      <c r="AD266" s="868"/>
      <c r="AE266" s="868"/>
      <c r="AF266" s="868"/>
      <c r="AG266" s="868"/>
    </row>
    <row r="267" spans="29:33" ht="15.75" customHeight="1" x14ac:dyDescent="0.25">
      <c r="AC267" s="824"/>
      <c r="AD267" s="868"/>
      <c r="AE267" s="868"/>
      <c r="AF267" s="868"/>
      <c r="AG267" s="868"/>
    </row>
    <row r="268" spans="29:33" ht="15.75" customHeight="1" x14ac:dyDescent="0.25">
      <c r="AC268" s="824"/>
      <c r="AD268" s="868"/>
      <c r="AE268" s="868"/>
      <c r="AF268" s="868"/>
      <c r="AG268" s="868"/>
    </row>
    <row r="269" spans="29:33" ht="15.75" customHeight="1" x14ac:dyDescent="0.25">
      <c r="AC269" s="824"/>
      <c r="AD269" s="868"/>
      <c r="AE269" s="868"/>
      <c r="AF269" s="868"/>
      <c r="AG269" s="868"/>
    </row>
    <row r="270" spans="29:33" ht="15.75" customHeight="1" x14ac:dyDescent="0.25">
      <c r="AC270" s="824"/>
      <c r="AD270" s="868"/>
      <c r="AE270" s="868"/>
      <c r="AF270" s="868"/>
      <c r="AG270" s="868"/>
    </row>
    <row r="271" spans="29:33" ht="15.75" customHeight="1" x14ac:dyDescent="0.25">
      <c r="AC271" s="824"/>
      <c r="AD271" s="868"/>
      <c r="AE271" s="868"/>
      <c r="AF271" s="868"/>
      <c r="AG271" s="868"/>
    </row>
    <row r="272" spans="29:33" ht="15.75" customHeight="1" x14ac:dyDescent="0.25">
      <c r="AC272" s="824"/>
      <c r="AD272" s="868"/>
      <c r="AE272" s="868"/>
      <c r="AF272" s="868"/>
      <c r="AG272" s="868"/>
    </row>
    <row r="273" spans="29:33" ht="15.75" customHeight="1" x14ac:dyDescent="0.25">
      <c r="AC273" s="824"/>
      <c r="AD273" s="868"/>
      <c r="AE273" s="868"/>
      <c r="AF273" s="868"/>
      <c r="AG273" s="868"/>
    </row>
    <row r="274" spans="29:33" ht="15.75" customHeight="1" x14ac:dyDescent="0.25">
      <c r="AC274" s="824"/>
      <c r="AD274" s="868"/>
      <c r="AE274" s="868"/>
      <c r="AF274" s="868"/>
      <c r="AG274" s="868"/>
    </row>
    <row r="275" spans="29:33" ht="15.75" customHeight="1" x14ac:dyDescent="0.25">
      <c r="AC275" s="824"/>
      <c r="AD275" s="868"/>
      <c r="AE275" s="868"/>
      <c r="AF275" s="868"/>
      <c r="AG275" s="868"/>
    </row>
    <row r="276" spans="29:33" ht="15.75" customHeight="1" x14ac:dyDescent="0.25">
      <c r="AC276" s="824"/>
      <c r="AD276" s="868"/>
      <c r="AE276" s="868"/>
      <c r="AF276" s="868"/>
      <c r="AG276" s="868"/>
    </row>
    <row r="277" spans="29:33" ht="15.75" customHeight="1" x14ac:dyDescent="0.25">
      <c r="AC277" s="824"/>
      <c r="AD277" s="868"/>
      <c r="AE277" s="868"/>
      <c r="AF277" s="868"/>
      <c r="AG277" s="868"/>
    </row>
    <row r="278" spans="29:33" ht="15.75" customHeight="1" x14ac:dyDescent="0.25">
      <c r="AC278" s="824"/>
      <c r="AD278" s="868"/>
      <c r="AE278" s="868"/>
      <c r="AF278" s="868"/>
      <c r="AG278" s="868"/>
    </row>
    <row r="279" spans="29:33" ht="15.75" customHeight="1" x14ac:dyDescent="0.25">
      <c r="AC279" s="824"/>
      <c r="AD279" s="868"/>
      <c r="AE279" s="868"/>
      <c r="AF279" s="868"/>
      <c r="AG279" s="868"/>
    </row>
    <row r="280" spans="29:33" ht="15.75" customHeight="1" x14ac:dyDescent="0.25">
      <c r="AC280" s="824"/>
      <c r="AD280" s="868"/>
      <c r="AE280" s="868"/>
      <c r="AF280" s="868"/>
      <c r="AG280" s="868"/>
    </row>
    <row r="281" spans="29:33" ht="15.75" customHeight="1" x14ac:dyDescent="0.25">
      <c r="AC281" s="824"/>
      <c r="AD281" s="868"/>
      <c r="AE281" s="868"/>
      <c r="AF281" s="868"/>
      <c r="AG281" s="868"/>
    </row>
    <row r="282" spans="29:33" ht="15.75" customHeight="1" x14ac:dyDescent="0.25">
      <c r="AC282" s="824"/>
      <c r="AD282" s="868"/>
      <c r="AE282" s="868"/>
      <c r="AF282" s="868"/>
      <c r="AG282" s="868"/>
    </row>
    <row r="283" spans="29:33" ht="15.75" customHeight="1" x14ac:dyDescent="0.25">
      <c r="AC283" s="824"/>
      <c r="AD283" s="868"/>
      <c r="AE283" s="868"/>
      <c r="AF283" s="868"/>
      <c r="AG283" s="868"/>
    </row>
    <row r="284" spans="29:33" ht="15.75" customHeight="1" x14ac:dyDescent="0.25">
      <c r="AC284" s="824"/>
      <c r="AD284" s="868"/>
      <c r="AE284" s="868"/>
      <c r="AF284" s="868"/>
      <c r="AG284" s="868"/>
    </row>
    <row r="285" spans="29:33" ht="15.75" customHeight="1" x14ac:dyDescent="0.25">
      <c r="AC285" s="824"/>
      <c r="AD285" s="868"/>
      <c r="AE285" s="868"/>
      <c r="AF285" s="868"/>
      <c r="AG285" s="868"/>
    </row>
    <row r="286" spans="29:33" ht="15.75" customHeight="1" x14ac:dyDescent="0.25">
      <c r="AC286" s="824"/>
      <c r="AD286" s="868"/>
      <c r="AE286" s="868"/>
      <c r="AF286" s="868"/>
      <c r="AG286" s="868"/>
    </row>
    <row r="287" spans="29:33" ht="15.75" customHeight="1" x14ac:dyDescent="0.25">
      <c r="AC287" s="824"/>
      <c r="AD287" s="868"/>
      <c r="AE287" s="868"/>
      <c r="AF287" s="868"/>
      <c r="AG287" s="868"/>
    </row>
    <row r="288" spans="29:33" ht="15.75" customHeight="1" x14ac:dyDescent="0.25">
      <c r="AC288" s="824"/>
      <c r="AD288" s="868"/>
      <c r="AE288" s="868"/>
      <c r="AF288" s="868"/>
      <c r="AG288" s="868"/>
    </row>
    <row r="289" spans="29:33" ht="15.75" customHeight="1" x14ac:dyDescent="0.25">
      <c r="AC289" s="824"/>
      <c r="AD289" s="868"/>
      <c r="AE289" s="868"/>
      <c r="AF289" s="868"/>
      <c r="AG289" s="868"/>
    </row>
    <row r="290" spans="29:33" ht="15.75" customHeight="1" x14ac:dyDescent="0.25">
      <c r="AC290" s="824"/>
      <c r="AD290" s="868"/>
      <c r="AE290" s="868"/>
      <c r="AF290" s="868"/>
      <c r="AG290" s="868"/>
    </row>
    <row r="291" spans="29:33" ht="15.75" customHeight="1" x14ac:dyDescent="0.25">
      <c r="AC291" s="824"/>
      <c r="AD291" s="868"/>
      <c r="AE291" s="868"/>
      <c r="AF291" s="868"/>
      <c r="AG291" s="868"/>
    </row>
    <row r="292" spans="29:33" ht="15.75" customHeight="1" x14ac:dyDescent="0.25">
      <c r="AC292" s="824"/>
      <c r="AD292" s="868"/>
      <c r="AE292" s="868"/>
      <c r="AF292" s="868"/>
      <c r="AG292" s="868"/>
    </row>
    <row r="293" spans="29:33" ht="15.75" customHeight="1" x14ac:dyDescent="0.25">
      <c r="AC293" s="824"/>
      <c r="AD293" s="868"/>
      <c r="AE293" s="868"/>
      <c r="AF293" s="868"/>
      <c r="AG293" s="868"/>
    </row>
    <row r="294" spans="29:33" ht="15.75" customHeight="1" x14ac:dyDescent="0.25">
      <c r="AC294" s="824"/>
      <c r="AD294" s="868"/>
      <c r="AE294" s="868"/>
      <c r="AF294" s="868"/>
      <c r="AG294" s="868"/>
    </row>
    <row r="295" spans="29:33" ht="15.75" customHeight="1" x14ac:dyDescent="0.25">
      <c r="AC295" s="824"/>
      <c r="AD295" s="868"/>
      <c r="AE295" s="868"/>
      <c r="AF295" s="868"/>
      <c r="AG295" s="868"/>
    </row>
    <row r="296" spans="29:33" ht="15.75" customHeight="1" x14ac:dyDescent="0.25">
      <c r="AC296" s="824"/>
      <c r="AD296" s="868"/>
      <c r="AE296" s="868"/>
      <c r="AF296" s="868"/>
      <c r="AG296" s="868"/>
    </row>
    <row r="297" spans="29:33" ht="15.75" customHeight="1" x14ac:dyDescent="0.25">
      <c r="AC297" s="824"/>
      <c r="AD297" s="868"/>
      <c r="AE297" s="868"/>
      <c r="AF297" s="868"/>
      <c r="AG297" s="868"/>
    </row>
    <row r="298" spans="29:33" ht="15.75" customHeight="1" x14ac:dyDescent="0.25">
      <c r="AC298" s="824"/>
      <c r="AD298" s="868"/>
      <c r="AE298" s="868"/>
      <c r="AF298" s="868"/>
      <c r="AG298" s="868"/>
    </row>
    <row r="299" spans="29:33" ht="15.75" customHeight="1" x14ac:dyDescent="0.25">
      <c r="AC299" s="824"/>
      <c r="AD299" s="868"/>
      <c r="AE299" s="868"/>
      <c r="AF299" s="868"/>
      <c r="AG299" s="868"/>
    </row>
    <row r="300" spans="29:33" ht="15.75" customHeight="1" x14ac:dyDescent="0.25">
      <c r="AC300" s="824"/>
      <c r="AD300" s="868"/>
      <c r="AE300" s="868"/>
      <c r="AF300" s="868"/>
      <c r="AG300" s="868"/>
    </row>
    <row r="301" spans="29:33" ht="15.75" customHeight="1" x14ac:dyDescent="0.25">
      <c r="AC301" s="824"/>
      <c r="AD301" s="868"/>
      <c r="AE301" s="868"/>
      <c r="AF301" s="868"/>
      <c r="AG301" s="868"/>
    </row>
    <row r="302" spans="29:33" ht="15.75" customHeight="1" x14ac:dyDescent="0.25">
      <c r="AC302" s="824"/>
      <c r="AD302" s="868"/>
      <c r="AE302" s="868"/>
      <c r="AF302" s="868"/>
      <c r="AG302" s="868"/>
    </row>
    <row r="303" spans="29:33" ht="15.75" customHeight="1" x14ac:dyDescent="0.25">
      <c r="AC303" s="824"/>
      <c r="AD303" s="868"/>
      <c r="AE303" s="868"/>
      <c r="AF303" s="868"/>
      <c r="AG303" s="868"/>
    </row>
    <row r="304" spans="29:33" ht="15.75" customHeight="1" x14ac:dyDescent="0.25">
      <c r="AC304" s="824"/>
      <c r="AD304" s="868"/>
      <c r="AE304" s="868"/>
      <c r="AF304" s="868"/>
      <c r="AG304" s="868"/>
    </row>
    <row r="305" spans="29:33" ht="15.75" customHeight="1" x14ac:dyDescent="0.25">
      <c r="AC305" s="824"/>
      <c r="AD305" s="868"/>
      <c r="AE305" s="868"/>
      <c r="AF305" s="868"/>
      <c r="AG305" s="868"/>
    </row>
    <row r="306" spans="29:33" ht="15.75" customHeight="1" x14ac:dyDescent="0.25">
      <c r="AC306" s="824"/>
      <c r="AD306" s="868"/>
      <c r="AE306" s="868"/>
      <c r="AF306" s="868"/>
      <c r="AG306" s="868"/>
    </row>
    <row r="307" spans="29:33" ht="15.75" customHeight="1" x14ac:dyDescent="0.25">
      <c r="AC307" s="824"/>
      <c r="AD307" s="868"/>
      <c r="AE307" s="868"/>
      <c r="AF307" s="868"/>
      <c r="AG307" s="868"/>
    </row>
    <row r="308" spans="29:33" ht="15.75" customHeight="1" x14ac:dyDescent="0.25">
      <c r="AC308" s="824"/>
      <c r="AD308" s="868"/>
      <c r="AE308" s="868"/>
      <c r="AF308" s="868"/>
      <c r="AG308" s="868"/>
    </row>
    <row r="309" spans="29:33" ht="15.75" customHeight="1" x14ac:dyDescent="0.25">
      <c r="AC309" s="824"/>
      <c r="AD309" s="868"/>
      <c r="AE309" s="868"/>
      <c r="AF309" s="868"/>
      <c r="AG309" s="868"/>
    </row>
    <row r="310" spans="29:33" ht="15.75" customHeight="1" x14ac:dyDescent="0.25">
      <c r="AC310" s="824"/>
      <c r="AD310" s="868"/>
      <c r="AE310" s="868"/>
      <c r="AF310" s="868"/>
      <c r="AG310" s="868"/>
    </row>
    <row r="311" spans="29:33" ht="15.75" customHeight="1" x14ac:dyDescent="0.25">
      <c r="AC311" s="824"/>
      <c r="AD311" s="868"/>
      <c r="AE311" s="868"/>
      <c r="AF311" s="868"/>
      <c r="AG311" s="868"/>
    </row>
    <row r="312" spans="29:33" ht="15.75" customHeight="1" x14ac:dyDescent="0.25">
      <c r="AC312" s="824"/>
      <c r="AD312" s="868"/>
      <c r="AE312" s="868"/>
      <c r="AF312" s="868"/>
      <c r="AG312" s="868"/>
    </row>
    <row r="313" spans="29:33" ht="15.75" customHeight="1" x14ac:dyDescent="0.25">
      <c r="AC313" s="824"/>
      <c r="AD313" s="868"/>
      <c r="AE313" s="868"/>
      <c r="AF313" s="868"/>
      <c r="AG313" s="868"/>
    </row>
    <row r="314" spans="29:33" ht="15.75" customHeight="1" x14ac:dyDescent="0.25">
      <c r="AC314" s="824"/>
      <c r="AD314" s="868"/>
      <c r="AE314" s="868"/>
      <c r="AF314" s="868"/>
      <c r="AG314" s="868"/>
    </row>
    <row r="315" spans="29:33" ht="15.75" customHeight="1" x14ac:dyDescent="0.25">
      <c r="AC315" s="824"/>
      <c r="AD315" s="868"/>
      <c r="AE315" s="868"/>
      <c r="AF315" s="868"/>
      <c r="AG315" s="868"/>
    </row>
    <row r="316" spans="29:33" ht="15.75" customHeight="1" x14ac:dyDescent="0.25">
      <c r="AC316" s="824"/>
      <c r="AD316" s="868"/>
      <c r="AE316" s="868"/>
      <c r="AF316" s="868"/>
      <c r="AG316" s="868"/>
    </row>
    <row r="317" spans="29:33" ht="15.75" customHeight="1" x14ac:dyDescent="0.25">
      <c r="AC317" s="824"/>
      <c r="AD317" s="868"/>
      <c r="AE317" s="868"/>
      <c r="AF317" s="868"/>
      <c r="AG317" s="868"/>
    </row>
    <row r="318" spans="29:33" ht="15.75" customHeight="1" x14ac:dyDescent="0.25">
      <c r="AC318" s="824"/>
      <c r="AD318" s="868"/>
      <c r="AE318" s="868"/>
      <c r="AF318" s="868"/>
      <c r="AG318" s="868"/>
    </row>
    <row r="319" spans="29:33" ht="15.75" customHeight="1" x14ac:dyDescent="0.25">
      <c r="AC319" s="824"/>
      <c r="AD319" s="868"/>
      <c r="AE319" s="868"/>
      <c r="AF319" s="868"/>
      <c r="AG319" s="868"/>
    </row>
    <row r="320" spans="29:33" ht="15.75" customHeight="1" x14ac:dyDescent="0.25">
      <c r="AC320" s="824"/>
      <c r="AD320" s="868"/>
      <c r="AE320" s="868"/>
      <c r="AF320" s="868"/>
      <c r="AG320" s="868"/>
    </row>
    <row r="321" spans="29:33" ht="15.75" customHeight="1" x14ac:dyDescent="0.25">
      <c r="AC321" s="824"/>
      <c r="AD321" s="868"/>
      <c r="AE321" s="868"/>
      <c r="AF321" s="868"/>
      <c r="AG321" s="868"/>
    </row>
    <row r="322" spans="29:33" ht="15.75" customHeight="1" x14ac:dyDescent="0.25">
      <c r="AC322" s="824"/>
      <c r="AD322" s="868"/>
      <c r="AE322" s="868"/>
      <c r="AF322" s="868"/>
      <c r="AG322" s="868"/>
    </row>
    <row r="323" spans="29:33" ht="15.75" customHeight="1" x14ac:dyDescent="0.25">
      <c r="AC323" s="824"/>
      <c r="AD323" s="868"/>
      <c r="AE323" s="868"/>
      <c r="AF323" s="868"/>
      <c r="AG323" s="868"/>
    </row>
    <row r="324" spans="29:33" ht="15.75" customHeight="1" x14ac:dyDescent="0.25">
      <c r="AC324" s="824"/>
      <c r="AD324" s="868"/>
      <c r="AE324" s="868"/>
      <c r="AF324" s="868"/>
      <c r="AG324" s="868"/>
    </row>
    <row r="325" spans="29:33" ht="15.75" customHeight="1" x14ac:dyDescent="0.25">
      <c r="AC325" s="824"/>
      <c r="AD325" s="868"/>
      <c r="AE325" s="868"/>
      <c r="AF325" s="868"/>
      <c r="AG325" s="868"/>
    </row>
    <row r="326" spans="29:33" ht="15.75" customHeight="1" x14ac:dyDescent="0.25">
      <c r="AC326" s="824"/>
      <c r="AD326" s="868"/>
      <c r="AE326" s="868"/>
      <c r="AF326" s="868"/>
      <c r="AG326" s="868"/>
    </row>
    <row r="327" spans="29:33" ht="15.75" customHeight="1" x14ac:dyDescent="0.25">
      <c r="AC327" s="824"/>
      <c r="AD327" s="868"/>
      <c r="AE327" s="868"/>
      <c r="AF327" s="868"/>
      <c r="AG327" s="868"/>
    </row>
    <row r="328" spans="29:33" ht="15.75" customHeight="1" x14ac:dyDescent="0.25">
      <c r="AC328" s="824"/>
      <c r="AD328" s="868"/>
      <c r="AE328" s="868"/>
      <c r="AF328" s="868"/>
      <c r="AG328" s="868"/>
    </row>
    <row r="329" spans="29:33" ht="15.75" customHeight="1" x14ac:dyDescent="0.25">
      <c r="AC329" s="824"/>
      <c r="AD329" s="868"/>
      <c r="AE329" s="868"/>
      <c r="AF329" s="868"/>
      <c r="AG329" s="868"/>
    </row>
    <row r="330" spans="29:33" ht="15.75" customHeight="1" x14ac:dyDescent="0.25">
      <c r="AC330" s="824"/>
      <c r="AD330" s="868"/>
      <c r="AE330" s="868"/>
      <c r="AF330" s="868"/>
      <c r="AG330" s="868"/>
    </row>
    <row r="331" spans="29:33" ht="15.75" customHeight="1" x14ac:dyDescent="0.25">
      <c r="AC331" s="824"/>
      <c r="AD331" s="868"/>
      <c r="AE331" s="868"/>
      <c r="AF331" s="868"/>
      <c r="AG331" s="868"/>
    </row>
    <row r="332" spans="29:33" ht="15.75" customHeight="1" x14ac:dyDescent="0.25">
      <c r="AC332" s="824"/>
      <c r="AD332" s="868"/>
      <c r="AE332" s="868"/>
      <c r="AF332" s="868"/>
      <c r="AG332" s="868"/>
    </row>
    <row r="333" spans="29:33" ht="15.75" customHeight="1" x14ac:dyDescent="0.25">
      <c r="AC333" s="824"/>
      <c r="AD333" s="830"/>
      <c r="AE333" s="830"/>
      <c r="AF333" s="830"/>
      <c r="AG333" s="830"/>
    </row>
    <row r="334" spans="29:33" ht="15.75" customHeight="1" x14ac:dyDescent="0.25">
      <c r="AC334" s="824"/>
      <c r="AD334" s="830"/>
      <c r="AE334" s="830"/>
      <c r="AF334" s="830"/>
      <c r="AG334" s="830"/>
    </row>
    <row r="335" spans="29:33" ht="15.75" customHeight="1" x14ac:dyDescent="0.25">
      <c r="AC335" s="824"/>
      <c r="AD335" s="830"/>
      <c r="AE335" s="830"/>
      <c r="AF335" s="830"/>
      <c r="AG335" s="830"/>
    </row>
    <row r="336" spans="29:33" ht="15.75" customHeight="1" x14ac:dyDescent="0.25">
      <c r="AC336" s="824"/>
      <c r="AD336" s="830"/>
      <c r="AE336" s="830"/>
      <c r="AF336" s="830"/>
      <c r="AG336" s="830"/>
    </row>
    <row r="337" spans="29:33" ht="15.75" customHeight="1" x14ac:dyDescent="0.25">
      <c r="AC337" s="824"/>
      <c r="AD337" s="830"/>
      <c r="AE337" s="830"/>
      <c r="AF337" s="830"/>
      <c r="AG337" s="830"/>
    </row>
    <row r="338" spans="29:33" ht="15.75" customHeight="1" x14ac:dyDescent="0.25">
      <c r="AC338" s="824"/>
      <c r="AD338" s="830"/>
      <c r="AE338" s="830"/>
      <c r="AF338" s="830"/>
      <c r="AG338" s="830"/>
    </row>
    <row r="339" spans="29:33" ht="15.75" customHeight="1" x14ac:dyDescent="0.25">
      <c r="AC339" s="824"/>
      <c r="AD339" s="830"/>
      <c r="AE339" s="830"/>
      <c r="AF339" s="830"/>
      <c r="AG339" s="830"/>
    </row>
    <row r="340" spans="29:33" ht="15.75" customHeight="1" x14ac:dyDescent="0.25">
      <c r="AC340" s="824"/>
      <c r="AD340" s="830"/>
      <c r="AE340" s="830"/>
      <c r="AF340" s="830"/>
      <c r="AG340" s="830"/>
    </row>
    <row r="341" spans="29:33" ht="15.75" customHeight="1" x14ac:dyDescent="0.25">
      <c r="AC341" s="824"/>
      <c r="AD341" s="830"/>
      <c r="AE341" s="830"/>
      <c r="AF341" s="830"/>
      <c r="AG341" s="830"/>
    </row>
    <row r="342" spans="29:33" ht="15.75" customHeight="1" x14ac:dyDescent="0.25">
      <c r="AC342" s="824"/>
      <c r="AD342" s="830"/>
      <c r="AE342" s="830"/>
      <c r="AF342" s="830"/>
      <c r="AG342" s="830"/>
    </row>
    <row r="343" spans="29:33" ht="15.75" customHeight="1" x14ac:dyDescent="0.25">
      <c r="AC343" s="824"/>
      <c r="AD343" s="830"/>
      <c r="AE343" s="830"/>
      <c r="AF343" s="830"/>
      <c r="AG343" s="830"/>
    </row>
    <row r="344" spans="29:33" ht="15.75" customHeight="1" x14ac:dyDescent="0.25">
      <c r="AC344" s="824"/>
      <c r="AD344" s="830"/>
      <c r="AE344" s="830"/>
      <c r="AF344" s="830"/>
      <c r="AG344" s="830"/>
    </row>
    <row r="345" spans="29:33" ht="15.75" customHeight="1" x14ac:dyDescent="0.25">
      <c r="AC345" s="824"/>
      <c r="AD345" s="830"/>
      <c r="AE345" s="830"/>
      <c r="AF345" s="830"/>
      <c r="AG345" s="830"/>
    </row>
    <row r="346" spans="29:33" ht="15.75" customHeight="1" x14ac:dyDescent="0.25">
      <c r="AC346" s="824"/>
      <c r="AD346" s="830"/>
      <c r="AE346" s="830"/>
      <c r="AF346" s="830"/>
      <c r="AG346" s="830"/>
    </row>
    <row r="347" spans="29:33" ht="15.75" customHeight="1" x14ac:dyDescent="0.25">
      <c r="AC347" s="824"/>
      <c r="AD347" s="830"/>
      <c r="AE347" s="830"/>
      <c r="AF347" s="830"/>
      <c r="AG347" s="830"/>
    </row>
    <row r="348" spans="29:33" ht="15.75" customHeight="1" x14ac:dyDescent="0.25">
      <c r="AC348" s="824"/>
      <c r="AD348" s="830"/>
      <c r="AE348" s="830"/>
      <c r="AF348" s="830"/>
      <c r="AG348" s="830"/>
    </row>
    <row r="349" spans="29:33" ht="15.75" customHeight="1" x14ac:dyDescent="0.25">
      <c r="AC349" s="824"/>
      <c r="AD349" s="830"/>
      <c r="AE349" s="830"/>
      <c r="AF349" s="830"/>
      <c r="AG349" s="830"/>
    </row>
    <row r="350" spans="29:33" ht="15.75" customHeight="1" x14ac:dyDescent="0.25">
      <c r="AC350" s="824"/>
      <c r="AD350" s="830"/>
      <c r="AE350" s="830"/>
      <c r="AF350" s="830"/>
      <c r="AG350" s="830"/>
    </row>
    <row r="351" spans="29:33" ht="15.75" customHeight="1" x14ac:dyDescent="0.25">
      <c r="AC351" s="824"/>
      <c r="AD351" s="830"/>
      <c r="AE351" s="830"/>
      <c r="AF351" s="830"/>
      <c r="AG351" s="830"/>
    </row>
    <row r="352" spans="29:33" ht="15.75" customHeight="1" x14ac:dyDescent="0.25">
      <c r="AC352" s="824"/>
      <c r="AD352" s="830"/>
      <c r="AE352" s="830"/>
      <c r="AF352" s="830"/>
      <c r="AG352" s="830"/>
    </row>
    <row r="353" spans="29:33" ht="15.75" customHeight="1" x14ac:dyDescent="0.25">
      <c r="AC353" s="824"/>
      <c r="AD353" s="830"/>
      <c r="AE353" s="830"/>
      <c r="AF353" s="830"/>
      <c r="AG353" s="830"/>
    </row>
    <row r="354" spans="29:33" ht="15.75" customHeight="1" x14ac:dyDescent="0.25">
      <c r="AC354" s="824"/>
      <c r="AD354" s="830"/>
      <c r="AE354" s="830"/>
      <c r="AF354" s="830"/>
      <c r="AG354" s="830"/>
    </row>
    <row r="355" spans="29:33" ht="15.75" customHeight="1" x14ac:dyDescent="0.25">
      <c r="AC355" s="824"/>
      <c r="AD355" s="830"/>
      <c r="AE355" s="830"/>
      <c r="AF355" s="830"/>
      <c r="AG355" s="830"/>
    </row>
    <row r="356" spans="29:33" ht="15.75" customHeight="1" x14ac:dyDescent="0.25">
      <c r="AC356" s="824"/>
      <c r="AD356" s="830"/>
      <c r="AE356" s="830"/>
      <c r="AF356" s="830"/>
      <c r="AG356" s="830"/>
    </row>
    <row r="357" spans="29:33" ht="15.75" customHeight="1" x14ac:dyDescent="0.25">
      <c r="AC357" s="824"/>
      <c r="AD357" s="830"/>
      <c r="AE357" s="830"/>
      <c r="AF357" s="830"/>
      <c r="AG357" s="830"/>
    </row>
    <row r="358" spans="29:33" ht="15.75" customHeight="1" x14ac:dyDescent="0.25">
      <c r="AC358" s="824"/>
      <c r="AD358" s="830"/>
      <c r="AE358" s="830"/>
      <c r="AF358" s="830"/>
      <c r="AG358" s="830"/>
    </row>
    <row r="359" spans="29:33" ht="15.75" customHeight="1" x14ac:dyDescent="0.25">
      <c r="AC359" s="824"/>
      <c r="AD359" s="830"/>
      <c r="AE359" s="830"/>
      <c r="AF359" s="830"/>
      <c r="AG359" s="830"/>
    </row>
    <row r="360" spans="29:33" ht="15.75" customHeight="1" x14ac:dyDescent="0.25">
      <c r="AC360" s="824"/>
      <c r="AD360" s="830"/>
      <c r="AE360" s="830"/>
      <c r="AF360" s="830"/>
      <c r="AG360" s="830"/>
    </row>
    <row r="361" spans="29:33" ht="15.75" customHeight="1" x14ac:dyDescent="0.25">
      <c r="AC361" s="824"/>
      <c r="AD361" s="830"/>
      <c r="AE361" s="830"/>
      <c r="AF361" s="830"/>
      <c r="AG361" s="830"/>
    </row>
    <row r="362" spans="29:33" ht="15.75" customHeight="1" x14ac:dyDescent="0.25">
      <c r="AC362" s="824"/>
      <c r="AD362" s="830"/>
      <c r="AE362" s="830"/>
      <c r="AF362" s="830"/>
      <c r="AG362" s="830"/>
    </row>
    <row r="363" spans="29:33" ht="15.75" customHeight="1" x14ac:dyDescent="0.25">
      <c r="AC363" s="824"/>
      <c r="AD363" s="830"/>
      <c r="AE363" s="830"/>
      <c r="AF363" s="830"/>
      <c r="AG363" s="830"/>
    </row>
    <row r="364" spans="29:33" ht="15.75" customHeight="1" x14ac:dyDescent="0.25">
      <c r="AC364" s="824"/>
      <c r="AD364" s="830"/>
      <c r="AE364" s="830"/>
      <c r="AF364" s="830"/>
      <c r="AG364" s="830"/>
    </row>
    <row r="365" spans="29:33" ht="15.75" customHeight="1" x14ac:dyDescent="0.25">
      <c r="AC365" s="824"/>
      <c r="AD365" s="830"/>
      <c r="AE365" s="830"/>
      <c r="AF365" s="830"/>
      <c r="AG365" s="830"/>
    </row>
    <row r="366" spans="29:33" ht="15.75" customHeight="1" x14ac:dyDescent="0.25">
      <c r="AC366" s="824"/>
      <c r="AD366" s="830"/>
      <c r="AE366" s="830"/>
      <c r="AF366" s="830"/>
      <c r="AG366" s="830"/>
    </row>
    <row r="367" spans="29:33" ht="15.75" customHeight="1" x14ac:dyDescent="0.25">
      <c r="AC367" s="824"/>
      <c r="AD367" s="830"/>
      <c r="AE367" s="830"/>
      <c r="AF367" s="830"/>
      <c r="AG367" s="830"/>
    </row>
    <row r="368" spans="29:33" ht="15.75" customHeight="1" x14ac:dyDescent="0.25">
      <c r="AC368" s="824"/>
      <c r="AD368" s="830"/>
      <c r="AE368" s="830"/>
      <c r="AF368" s="830"/>
      <c r="AG368" s="830"/>
    </row>
    <row r="369" spans="29:33" ht="15.75" customHeight="1" x14ac:dyDescent="0.25">
      <c r="AC369" s="824"/>
      <c r="AD369" s="830"/>
      <c r="AE369" s="830"/>
      <c r="AF369" s="830"/>
      <c r="AG369" s="830"/>
    </row>
    <row r="370" spans="29:33" ht="15.75" customHeight="1" x14ac:dyDescent="0.25">
      <c r="AC370" s="824"/>
      <c r="AD370" s="830"/>
      <c r="AE370" s="830"/>
      <c r="AF370" s="830"/>
      <c r="AG370" s="830"/>
    </row>
    <row r="371" spans="29:33" ht="15.75" customHeight="1" x14ac:dyDescent="0.25">
      <c r="AC371" s="824"/>
      <c r="AD371" s="830"/>
      <c r="AE371" s="830"/>
      <c r="AF371" s="830"/>
      <c r="AG371" s="830"/>
    </row>
    <row r="372" spans="29:33" ht="15.75" customHeight="1" x14ac:dyDescent="0.25">
      <c r="AC372" s="824"/>
      <c r="AD372" s="830"/>
      <c r="AE372" s="830"/>
      <c r="AF372" s="830"/>
      <c r="AG372" s="830"/>
    </row>
    <row r="373" spans="29:33" ht="15.75" customHeight="1" x14ac:dyDescent="0.25">
      <c r="AC373" s="824"/>
      <c r="AD373" s="830"/>
      <c r="AE373" s="830"/>
      <c r="AF373" s="830"/>
      <c r="AG373" s="830"/>
    </row>
    <row r="374" spans="29:33" ht="15.75" customHeight="1" x14ac:dyDescent="0.25">
      <c r="AC374" s="824"/>
      <c r="AD374" s="830"/>
      <c r="AE374" s="830"/>
      <c r="AF374" s="830"/>
      <c r="AG374" s="830"/>
    </row>
    <row r="375" spans="29:33" ht="15.75" customHeight="1" x14ac:dyDescent="0.25">
      <c r="AC375" s="824"/>
      <c r="AD375" s="830"/>
      <c r="AE375" s="830"/>
      <c r="AF375" s="830"/>
      <c r="AG375" s="830"/>
    </row>
    <row r="376" spans="29:33" ht="15.75" customHeight="1" x14ac:dyDescent="0.25">
      <c r="AC376" s="824"/>
      <c r="AD376" s="830"/>
      <c r="AE376" s="830"/>
      <c r="AF376" s="830"/>
      <c r="AG376" s="830"/>
    </row>
    <row r="377" spans="29:33" ht="15.75" customHeight="1" x14ac:dyDescent="0.25">
      <c r="AC377" s="824"/>
      <c r="AD377" s="830"/>
      <c r="AE377" s="830"/>
      <c r="AF377" s="830"/>
      <c r="AG377" s="830"/>
    </row>
    <row r="378" spans="29:33" ht="15.75" customHeight="1" x14ac:dyDescent="0.25">
      <c r="AD378" s="819"/>
      <c r="AE378" s="819"/>
      <c r="AF378" s="819"/>
      <c r="AG378" s="819"/>
    </row>
    <row r="379" spans="29:33" ht="15.75" customHeight="1" x14ac:dyDescent="0.25">
      <c r="AD379" s="819"/>
      <c r="AE379" s="819"/>
      <c r="AF379" s="819"/>
      <c r="AG379" s="819"/>
    </row>
    <row r="380" spans="29:33" ht="15.75" customHeight="1" x14ac:dyDescent="0.25">
      <c r="AD380" s="819"/>
      <c r="AE380" s="819"/>
      <c r="AF380" s="819"/>
      <c r="AG380" s="819"/>
    </row>
    <row r="381" spans="29:33" ht="15.75" customHeight="1" x14ac:dyDescent="0.25">
      <c r="AD381" s="819"/>
      <c r="AE381" s="819"/>
      <c r="AF381" s="819"/>
      <c r="AG381" s="819"/>
    </row>
    <row r="382" spans="29:33" ht="15.75" customHeight="1" x14ac:dyDescent="0.25">
      <c r="AD382" s="819"/>
      <c r="AE382" s="819"/>
      <c r="AF382" s="819"/>
      <c r="AG382" s="819"/>
    </row>
    <row r="383" spans="29:33" ht="15.75" customHeight="1" x14ac:dyDescent="0.25">
      <c r="AD383" s="819"/>
      <c r="AE383" s="819"/>
      <c r="AF383" s="819"/>
      <c r="AG383" s="819"/>
    </row>
    <row r="384" spans="29:33" ht="15.75" customHeight="1" x14ac:dyDescent="0.25">
      <c r="AD384" s="819"/>
      <c r="AE384" s="819"/>
      <c r="AF384" s="819"/>
      <c r="AG384" s="819"/>
    </row>
    <row r="385" spans="30:33" ht="15.75" customHeight="1" x14ac:dyDescent="0.25">
      <c r="AD385" s="819"/>
      <c r="AE385" s="819"/>
      <c r="AF385" s="819"/>
      <c r="AG385" s="819"/>
    </row>
    <row r="386" spans="30:33" ht="15.75" customHeight="1" x14ac:dyDescent="0.25">
      <c r="AD386" s="819"/>
      <c r="AE386" s="819"/>
      <c r="AF386" s="819"/>
      <c r="AG386" s="819"/>
    </row>
    <row r="387" spans="30:33" ht="15.75" customHeight="1" x14ac:dyDescent="0.25">
      <c r="AD387" s="819"/>
      <c r="AE387" s="819"/>
      <c r="AF387" s="819"/>
      <c r="AG387" s="819"/>
    </row>
    <row r="388" spans="30:33" ht="15.75" customHeight="1" x14ac:dyDescent="0.25">
      <c r="AD388" s="819"/>
      <c r="AE388" s="819"/>
      <c r="AF388" s="819"/>
      <c r="AG388" s="819"/>
    </row>
    <row r="389" spans="30:33" ht="15.75" customHeight="1" x14ac:dyDescent="0.25">
      <c r="AD389" s="819"/>
      <c r="AE389" s="819"/>
      <c r="AF389" s="819"/>
      <c r="AG389" s="819"/>
    </row>
    <row r="390" spans="30:33" ht="15.75" customHeight="1" x14ac:dyDescent="0.25">
      <c r="AD390" s="819"/>
      <c r="AE390" s="819"/>
      <c r="AF390" s="819"/>
      <c r="AG390" s="819"/>
    </row>
    <row r="391" spans="30:33" ht="15.75" customHeight="1" x14ac:dyDescent="0.25">
      <c r="AD391" s="819"/>
      <c r="AE391" s="819"/>
      <c r="AF391" s="819"/>
      <c r="AG391" s="819"/>
    </row>
    <row r="392" spans="30:33" ht="15.75" customHeight="1" x14ac:dyDescent="0.25">
      <c r="AD392" s="819"/>
      <c r="AE392" s="819"/>
      <c r="AF392" s="819"/>
      <c r="AG392" s="819"/>
    </row>
    <row r="393" spans="30:33" ht="15.75" customHeight="1" x14ac:dyDescent="0.25">
      <c r="AD393" s="819"/>
      <c r="AE393" s="819"/>
      <c r="AF393" s="819"/>
      <c r="AG393" s="819"/>
    </row>
    <row r="394" spans="30:33" ht="15.75" customHeight="1" x14ac:dyDescent="0.25">
      <c r="AD394" s="819"/>
      <c r="AE394" s="819"/>
      <c r="AF394" s="819"/>
      <c r="AG394" s="819"/>
    </row>
    <row r="395" spans="30:33" ht="15.75" customHeight="1" x14ac:dyDescent="0.25">
      <c r="AD395" s="819"/>
      <c r="AE395" s="819"/>
      <c r="AF395" s="819"/>
      <c r="AG395" s="819"/>
    </row>
    <row r="396" spans="30:33" ht="15.75" customHeight="1" x14ac:dyDescent="0.25">
      <c r="AD396" s="819"/>
      <c r="AE396" s="819"/>
      <c r="AF396" s="819"/>
      <c r="AG396" s="819"/>
    </row>
    <row r="397" spans="30:33" ht="15.75" customHeight="1" x14ac:dyDescent="0.25">
      <c r="AD397" s="819"/>
      <c r="AE397" s="819"/>
      <c r="AF397" s="819"/>
      <c r="AG397" s="819"/>
    </row>
    <row r="398" spans="30:33" ht="15.75" customHeight="1" x14ac:dyDescent="0.25">
      <c r="AD398" s="819"/>
      <c r="AE398" s="819"/>
      <c r="AF398" s="819"/>
      <c r="AG398" s="819"/>
    </row>
    <row r="399" spans="30:33" ht="15.75" customHeight="1" x14ac:dyDescent="0.25">
      <c r="AD399" s="819"/>
      <c r="AE399" s="819"/>
      <c r="AF399" s="819"/>
      <c r="AG399" s="819"/>
    </row>
    <row r="400" spans="30:33" ht="15.75" customHeight="1" x14ac:dyDescent="0.25">
      <c r="AD400" s="819"/>
      <c r="AE400" s="819"/>
      <c r="AF400" s="819"/>
      <c r="AG400" s="819"/>
    </row>
    <row r="401" spans="30:33" ht="15.75" customHeight="1" x14ac:dyDescent="0.25">
      <c r="AD401" s="819"/>
      <c r="AE401" s="819"/>
      <c r="AF401" s="819"/>
      <c r="AG401" s="819"/>
    </row>
    <row r="402" spans="30:33" ht="15.75" customHeight="1" x14ac:dyDescent="0.25">
      <c r="AD402" s="819"/>
      <c r="AE402" s="819"/>
      <c r="AF402" s="819"/>
      <c r="AG402" s="819"/>
    </row>
    <row r="403" spans="30:33" ht="15.75" customHeight="1" x14ac:dyDescent="0.25">
      <c r="AD403" s="819"/>
      <c r="AE403" s="819"/>
      <c r="AF403" s="819"/>
      <c r="AG403" s="819"/>
    </row>
    <row r="404" spans="30:33" ht="15.75" customHeight="1" x14ac:dyDescent="0.25">
      <c r="AD404" s="819"/>
      <c r="AE404" s="819"/>
      <c r="AF404" s="819"/>
      <c r="AG404" s="819"/>
    </row>
    <row r="405" spans="30:33" ht="15.75" customHeight="1" x14ac:dyDescent="0.25">
      <c r="AD405" s="819"/>
      <c r="AE405" s="819"/>
      <c r="AF405" s="819"/>
      <c r="AG405" s="819"/>
    </row>
    <row r="406" spans="30:33" ht="15.75" customHeight="1" x14ac:dyDescent="0.25">
      <c r="AD406" s="819"/>
      <c r="AE406" s="819"/>
      <c r="AF406" s="819"/>
      <c r="AG406" s="819"/>
    </row>
    <row r="407" spans="30:33" ht="15.75" customHeight="1" x14ac:dyDescent="0.25">
      <c r="AD407" s="819"/>
      <c r="AE407" s="819"/>
      <c r="AF407" s="819"/>
      <c r="AG407" s="819"/>
    </row>
    <row r="408" spans="30:33" ht="15.75" customHeight="1" x14ac:dyDescent="0.25">
      <c r="AD408" s="819"/>
      <c r="AE408" s="819"/>
      <c r="AF408" s="819"/>
      <c r="AG408" s="819"/>
    </row>
    <row r="409" spans="30:33" ht="15.75" customHeight="1" x14ac:dyDescent="0.25">
      <c r="AD409" s="819"/>
      <c r="AE409" s="819"/>
      <c r="AF409" s="819"/>
      <c r="AG409" s="819"/>
    </row>
    <row r="410" spans="30:33" ht="15.75" customHeight="1" x14ac:dyDescent="0.25">
      <c r="AD410" s="819"/>
      <c r="AE410" s="819"/>
      <c r="AF410" s="819"/>
      <c r="AG410" s="819"/>
    </row>
    <row r="411" spans="30:33" ht="15.75" customHeight="1" x14ac:dyDescent="0.25">
      <c r="AD411" s="819"/>
      <c r="AE411" s="819"/>
      <c r="AF411" s="819"/>
      <c r="AG411" s="819"/>
    </row>
    <row r="412" spans="30:33" ht="15.75" customHeight="1" x14ac:dyDescent="0.25">
      <c r="AD412" s="819"/>
      <c r="AE412" s="819"/>
      <c r="AF412" s="819"/>
      <c r="AG412" s="819"/>
    </row>
    <row r="413" spans="30:33" ht="15.75" customHeight="1" x14ac:dyDescent="0.25">
      <c r="AD413" s="819"/>
      <c r="AE413" s="819"/>
      <c r="AF413" s="819"/>
      <c r="AG413" s="819"/>
    </row>
    <row r="414" spans="30:33" ht="15.75" customHeight="1" x14ac:dyDescent="0.25">
      <c r="AD414" s="819"/>
      <c r="AE414" s="819"/>
      <c r="AF414" s="819"/>
      <c r="AG414" s="819"/>
    </row>
    <row r="415" spans="30:33" ht="15.75" customHeight="1" x14ac:dyDescent="0.25">
      <c r="AD415" s="819"/>
      <c r="AE415" s="819"/>
      <c r="AF415" s="819"/>
      <c r="AG415" s="819"/>
    </row>
    <row r="416" spans="30:33" ht="15.75" customHeight="1" x14ac:dyDescent="0.25">
      <c r="AD416" s="819"/>
      <c r="AE416" s="819"/>
      <c r="AF416" s="819"/>
      <c r="AG416" s="819"/>
    </row>
    <row r="417" spans="30:33" ht="15.75" customHeight="1" x14ac:dyDescent="0.25">
      <c r="AD417" s="819"/>
      <c r="AE417" s="819"/>
      <c r="AF417" s="819"/>
      <c r="AG417" s="819"/>
    </row>
    <row r="418" spans="30:33" ht="15.75" customHeight="1" x14ac:dyDescent="0.25">
      <c r="AD418" s="819"/>
      <c r="AE418" s="819"/>
      <c r="AF418" s="819"/>
      <c r="AG418" s="819"/>
    </row>
    <row r="419" spans="30:33" ht="15.75" customHeight="1" x14ac:dyDescent="0.25">
      <c r="AD419" s="819"/>
      <c r="AE419" s="819"/>
      <c r="AF419" s="819"/>
      <c r="AG419" s="819"/>
    </row>
    <row r="420" spans="30:33" ht="15.75" customHeight="1" x14ac:dyDescent="0.25">
      <c r="AD420" s="819"/>
      <c r="AE420" s="819"/>
      <c r="AF420" s="819"/>
      <c r="AG420" s="819"/>
    </row>
    <row r="421" spans="30:33" ht="15.75" customHeight="1" x14ac:dyDescent="0.25">
      <c r="AD421" s="819"/>
      <c r="AE421" s="819"/>
      <c r="AF421" s="819"/>
      <c r="AG421" s="819"/>
    </row>
    <row r="422" spans="30:33" ht="15.75" customHeight="1" x14ac:dyDescent="0.25">
      <c r="AD422" s="819"/>
      <c r="AE422" s="819"/>
      <c r="AF422" s="819"/>
      <c r="AG422" s="819"/>
    </row>
    <row r="423" spans="30:33" ht="15.75" customHeight="1" x14ac:dyDescent="0.25">
      <c r="AD423" s="819"/>
      <c r="AE423" s="819"/>
      <c r="AF423" s="819"/>
      <c r="AG423" s="819"/>
    </row>
    <row r="424" spans="30:33" ht="15.75" customHeight="1" x14ac:dyDescent="0.25">
      <c r="AD424" s="819"/>
      <c r="AE424" s="819"/>
      <c r="AF424" s="819"/>
      <c r="AG424" s="819"/>
    </row>
    <row r="425" spans="30:33" ht="15.75" customHeight="1" x14ac:dyDescent="0.25">
      <c r="AD425" s="819"/>
      <c r="AE425" s="819"/>
      <c r="AF425" s="819"/>
      <c r="AG425" s="819"/>
    </row>
    <row r="426" spans="30:33" ht="15.75" customHeight="1" x14ac:dyDescent="0.25">
      <c r="AD426" s="819"/>
      <c r="AE426" s="819"/>
      <c r="AF426" s="819"/>
      <c r="AG426" s="819"/>
    </row>
    <row r="427" spans="30:33" ht="15.75" customHeight="1" x14ac:dyDescent="0.25">
      <c r="AD427" s="819"/>
      <c r="AE427" s="819"/>
      <c r="AF427" s="819"/>
      <c r="AG427" s="819"/>
    </row>
    <row r="428" spans="30:33" ht="15.75" customHeight="1" x14ac:dyDescent="0.25">
      <c r="AD428" s="819"/>
      <c r="AE428" s="819"/>
      <c r="AF428" s="819"/>
      <c r="AG428" s="819"/>
    </row>
    <row r="429" spans="30:33" ht="15.75" customHeight="1" x14ac:dyDescent="0.25">
      <c r="AD429" s="819"/>
      <c r="AE429" s="819"/>
      <c r="AF429" s="819"/>
      <c r="AG429" s="819"/>
    </row>
    <row r="430" spans="30:33" ht="15.75" customHeight="1" x14ac:dyDescent="0.25">
      <c r="AD430" s="819"/>
      <c r="AE430" s="819"/>
      <c r="AF430" s="819"/>
      <c r="AG430" s="819"/>
    </row>
    <row r="431" spans="30:33" ht="15.75" customHeight="1" x14ac:dyDescent="0.25">
      <c r="AD431" s="819"/>
      <c r="AE431" s="819"/>
      <c r="AF431" s="819"/>
      <c r="AG431" s="819"/>
    </row>
    <row r="432" spans="30:33" ht="15.75" customHeight="1" x14ac:dyDescent="0.25">
      <c r="AD432" s="819"/>
      <c r="AE432" s="819"/>
      <c r="AF432" s="819"/>
      <c r="AG432" s="819"/>
    </row>
    <row r="433" spans="30:33" ht="15.75" customHeight="1" x14ac:dyDescent="0.25">
      <c r="AD433" s="819"/>
      <c r="AE433" s="819"/>
      <c r="AF433" s="819"/>
      <c r="AG433" s="819"/>
    </row>
    <row r="434" spans="30:33" ht="15.75" customHeight="1" x14ac:dyDescent="0.25">
      <c r="AD434" s="819"/>
      <c r="AE434" s="819"/>
      <c r="AF434" s="819"/>
      <c r="AG434" s="819"/>
    </row>
    <row r="435" spans="30:33" ht="15.75" customHeight="1" x14ac:dyDescent="0.25">
      <c r="AD435" s="819"/>
      <c r="AE435" s="819"/>
      <c r="AF435" s="819"/>
      <c r="AG435" s="819"/>
    </row>
    <row r="436" spans="30:33" ht="15.75" customHeight="1" x14ac:dyDescent="0.25">
      <c r="AD436" s="819"/>
      <c r="AE436" s="819"/>
      <c r="AF436" s="819"/>
      <c r="AG436" s="819"/>
    </row>
    <row r="437" spans="30:33" ht="15.75" customHeight="1" x14ac:dyDescent="0.25">
      <c r="AD437" s="819"/>
      <c r="AE437" s="819"/>
      <c r="AF437" s="819"/>
      <c r="AG437" s="819"/>
    </row>
    <row r="438" spans="30:33" ht="15.75" customHeight="1" x14ac:dyDescent="0.25">
      <c r="AD438" s="819"/>
      <c r="AE438" s="819"/>
      <c r="AF438" s="819"/>
      <c r="AG438" s="819"/>
    </row>
    <row r="439" spans="30:33" ht="15.75" customHeight="1" x14ac:dyDescent="0.25">
      <c r="AD439" s="819"/>
      <c r="AE439" s="819"/>
      <c r="AF439" s="819"/>
      <c r="AG439" s="819"/>
    </row>
    <row r="440" spans="30:33" ht="15.75" customHeight="1" x14ac:dyDescent="0.25">
      <c r="AD440" s="819"/>
      <c r="AE440" s="819"/>
      <c r="AF440" s="819"/>
      <c r="AG440" s="819"/>
    </row>
    <row r="441" spans="30:33" ht="15.75" customHeight="1" x14ac:dyDescent="0.25">
      <c r="AD441" s="819"/>
      <c r="AE441" s="819"/>
      <c r="AF441" s="819"/>
      <c r="AG441" s="819"/>
    </row>
    <row r="442" spans="30:33" ht="15.75" customHeight="1" x14ac:dyDescent="0.25">
      <c r="AD442" s="819"/>
      <c r="AE442" s="819"/>
      <c r="AF442" s="819"/>
      <c r="AG442" s="819"/>
    </row>
    <row r="443" spans="30:33" ht="15.75" customHeight="1" x14ac:dyDescent="0.25">
      <c r="AD443" s="819"/>
      <c r="AE443" s="819"/>
      <c r="AF443" s="819"/>
      <c r="AG443" s="819"/>
    </row>
    <row r="444" spans="30:33" ht="15.75" customHeight="1" x14ac:dyDescent="0.25">
      <c r="AD444" s="819"/>
      <c r="AE444" s="819"/>
      <c r="AF444" s="819"/>
      <c r="AG444" s="819"/>
    </row>
    <row r="445" spans="30:33" ht="15.75" customHeight="1" x14ac:dyDescent="0.25">
      <c r="AD445" s="819"/>
      <c r="AE445" s="819"/>
      <c r="AF445" s="819"/>
      <c r="AG445" s="819"/>
    </row>
    <row r="446" spans="30:33" ht="15.75" customHeight="1" x14ac:dyDescent="0.25">
      <c r="AD446" s="819"/>
      <c r="AE446" s="819"/>
      <c r="AF446" s="819"/>
      <c r="AG446" s="819"/>
    </row>
    <row r="447" spans="30:33" ht="15.75" customHeight="1" x14ac:dyDescent="0.25">
      <c r="AD447" s="819"/>
      <c r="AE447" s="819"/>
      <c r="AF447" s="819"/>
      <c r="AG447" s="819"/>
    </row>
    <row r="448" spans="30:33" ht="15.75" customHeight="1" x14ac:dyDescent="0.25">
      <c r="AD448" s="819"/>
      <c r="AE448" s="819"/>
      <c r="AF448" s="819"/>
      <c r="AG448" s="819"/>
    </row>
    <row r="449" spans="30:33" ht="15.75" customHeight="1" x14ac:dyDescent="0.25">
      <c r="AD449" s="819"/>
      <c r="AE449" s="819"/>
      <c r="AF449" s="819"/>
      <c r="AG449" s="819"/>
    </row>
    <row r="450" spans="30:33" ht="15.75" customHeight="1" x14ac:dyDescent="0.25">
      <c r="AD450" s="819"/>
      <c r="AE450" s="819"/>
      <c r="AF450" s="819"/>
      <c r="AG450" s="819"/>
    </row>
    <row r="451" spans="30:33" ht="15.75" customHeight="1" x14ac:dyDescent="0.25">
      <c r="AD451" s="819"/>
      <c r="AE451" s="819"/>
      <c r="AF451" s="819"/>
      <c r="AG451" s="819"/>
    </row>
    <row r="452" spans="30:33" ht="15.75" customHeight="1" x14ac:dyDescent="0.25">
      <c r="AD452" s="819"/>
      <c r="AE452" s="819"/>
      <c r="AF452" s="819"/>
      <c r="AG452" s="819"/>
    </row>
    <row r="453" spans="30:33" ht="15.75" customHeight="1" x14ac:dyDescent="0.25">
      <c r="AD453" s="819"/>
      <c r="AE453" s="819"/>
      <c r="AF453" s="819"/>
      <c r="AG453" s="819"/>
    </row>
    <row r="454" spans="30:33" ht="15.75" customHeight="1" x14ac:dyDescent="0.25">
      <c r="AD454" s="819"/>
      <c r="AE454" s="819"/>
      <c r="AF454" s="819"/>
      <c r="AG454" s="819"/>
    </row>
    <row r="455" spans="30:33" ht="15.75" customHeight="1" x14ac:dyDescent="0.25">
      <c r="AD455" s="819"/>
      <c r="AE455" s="819"/>
      <c r="AF455" s="819"/>
      <c r="AG455" s="819"/>
    </row>
    <row r="456" spans="30:33" ht="15.75" customHeight="1" x14ac:dyDescent="0.25">
      <c r="AD456" s="819"/>
      <c r="AE456" s="819"/>
      <c r="AF456" s="819"/>
      <c r="AG456" s="819"/>
    </row>
    <row r="457" spans="30:33" ht="15.75" customHeight="1" x14ac:dyDescent="0.25">
      <c r="AD457" s="819"/>
      <c r="AE457" s="819"/>
      <c r="AF457" s="819"/>
      <c r="AG457" s="819"/>
    </row>
    <row r="458" spans="30:33" ht="15.75" customHeight="1" x14ac:dyDescent="0.25">
      <c r="AD458" s="819"/>
      <c r="AE458" s="819"/>
      <c r="AF458" s="819"/>
      <c r="AG458" s="819"/>
    </row>
    <row r="459" spans="30:33" ht="15.75" customHeight="1" x14ac:dyDescent="0.25">
      <c r="AD459" s="819"/>
      <c r="AE459" s="819"/>
      <c r="AF459" s="819"/>
      <c r="AG459" s="819"/>
    </row>
    <row r="460" spans="30:33" ht="15.75" customHeight="1" x14ac:dyDescent="0.25">
      <c r="AD460" s="819"/>
      <c r="AE460" s="819"/>
      <c r="AF460" s="819"/>
      <c r="AG460" s="819"/>
    </row>
    <row r="461" spans="30:33" ht="15.75" customHeight="1" x14ac:dyDescent="0.25">
      <c r="AD461" s="819"/>
      <c r="AE461" s="819"/>
      <c r="AF461" s="819"/>
      <c r="AG461" s="819"/>
    </row>
    <row r="462" spans="30:33" ht="15.75" customHeight="1" x14ac:dyDescent="0.25">
      <c r="AD462" s="819"/>
      <c r="AE462" s="819"/>
      <c r="AF462" s="819"/>
      <c r="AG462" s="819"/>
    </row>
    <row r="463" spans="30:33" ht="15.75" customHeight="1" x14ac:dyDescent="0.25">
      <c r="AD463" s="819"/>
      <c r="AE463" s="819"/>
      <c r="AF463" s="819"/>
      <c r="AG463" s="819"/>
    </row>
    <row r="464" spans="30:33" ht="15.75" customHeight="1" x14ac:dyDescent="0.25">
      <c r="AD464" s="819"/>
      <c r="AE464" s="819"/>
      <c r="AF464" s="819"/>
      <c r="AG464" s="819"/>
    </row>
    <row r="465" spans="30:33" ht="15.75" customHeight="1" x14ac:dyDescent="0.25">
      <c r="AD465" s="819"/>
      <c r="AE465" s="819"/>
      <c r="AF465" s="819"/>
      <c r="AG465" s="819"/>
    </row>
    <row r="466" spans="30:33" ht="15.75" customHeight="1" x14ac:dyDescent="0.25">
      <c r="AD466" s="819"/>
      <c r="AE466" s="819"/>
      <c r="AF466" s="819"/>
      <c r="AG466" s="819"/>
    </row>
    <row r="467" spans="30:33" ht="15.75" customHeight="1" x14ac:dyDescent="0.25">
      <c r="AD467" s="819"/>
      <c r="AE467" s="819"/>
      <c r="AF467" s="819"/>
      <c r="AG467" s="819"/>
    </row>
    <row r="468" spans="30:33" ht="15.75" customHeight="1" x14ac:dyDescent="0.25">
      <c r="AD468" s="819"/>
      <c r="AE468" s="819"/>
      <c r="AF468" s="819"/>
      <c r="AG468" s="819"/>
    </row>
    <row r="469" spans="30:33" ht="15.75" customHeight="1" x14ac:dyDescent="0.25">
      <c r="AD469" s="819"/>
      <c r="AE469" s="819"/>
      <c r="AF469" s="819"/>
      <c r="AG469" s="819"/>
    </row>
    <row r="470" spans="30:33" ht="15.75" customHeight="1" x14ac:dyDescent="0.25">
      <c r="AD470" s="819"/>
      <c r="AE470" s="819"/>
      <c r="AF470" s="819"/>
      <c r="AG470" s="819"/>
    </row>
    <row r="471" spans="30:33" ht="15.75" customHeight="1" x14ac:dyDescent="0.25">
      <c r="AD471" s="819"/>
      <c r="AE471" s="819"/>
      <c r="AF471" s="819"/>
      <c r="AG471" s="819"/>
    </row>
    <row r="472" spans="30:33" ht="15.75" customHeight="1" x14ac:dyDescent="0.25">
      <c r="AD472" s="819"/>
      <c r="AE472" s="819"/>
      <c r="AF472" s="819"/>
      <c r="AG472" s="819"/>
    </row>
    <row r="473" spans="30:33" ht="15.75" customHeight="1" x14ac:dyDescent="0.25">
      <c r="AD473" s="819"/>
      <c r="AE473" s="819"/>
      <c r="AF473" s="819"/>
      <c r="AG473" s="819"/>
    </row>
    <row r="474" spans="30:33" ht="15.75" customHeight="1" x14ac:dyDescent="0.25">
      <c r="AD474" s="819"/>
      <c r="AE474" s="819"/>
      <c r="AF474" s="819"/>
      <c r="AG474" s="819"/>
    </row>
    <row r="475" spans="30:33" ht="15.75" customHeight="1" x14ac:dyDescent="0.25">
      <c r="AD475" s="819"/>
      <c r="AE475" s="819"/>
      <c r="AF475" s="819"/>
      <c r="AG475" s="819"/>
    </row>
    <row r="476" spans="30:33" ht="15.75" customHeight="1" x14ac:dyDescent="0.25">
      <c r="AD476" s="819"/>
      <c r="AE476" s="819"/>
      <c r="AF476" s="819"/>
      <c r="AG476" s="819"/>
    </row>
    <row r="477" spans="30:33" ht="15.75" customHeight="1" x14ac:dyDescent="0.25">
      <c r="AD477" s="819"/>
      <c r="AE477" s="819"/>
      <c r="AF477" s="819"/>
      <c r="AG477" s="819"/>
    </row>
    <row r="478" spans="30:33" ht="15.75" customHeight="1" x14ac:dyDescent="0.25">
      <c r="AD478" s="819"/>
      <c r="AE478" s="819"/>
      <c r="AF478" s="819"/>
      <c r="AG478" s="819"/>
    </row>
    <row r="479" spans="30:33" ht="15.75" customHeight="1" x14ac:dyDescent="0.25">
      <c r="AD479" s="819"/>
      <c r="AE479" s="819"/>
      <c r="AF479" s="819"/>
      <c r="AG479" s="819"/>
    </row>
    <row r="480" spans="30:33" ht="15.75" customHeight="1" x14ac:dyDescent="0.25">
      <c r="AD480" s="819"/>
      <c r="AE480" s="819"/>
      <c r="AF480" s="819"/>
      <c r="AG480" s="819"/>
    </row>
    <row r="481" spans="30:33" ht="15.75" customHeight="1" x14ac:dyDescent="0.25">
      <c r="AD481" s="819"/>
      <c r="AE481" s="819"/>
      <c r="AF481" s="819"/>
      <c r="AG481" s="819"/>
    </row>
    <row r="482" spans="30:33" ht="15.75" customHeight="1" x14ac:dyDescent="0.25">
      <c r="AD482" s="819"/>
      <c r="AE482" s="819"/>
      <c r="AF482" s="819"/>
      <c r="AG482" s="819"/>
    </row>
    <row r="483" spans="30:33" ht="15.75" customHeight="1" x14ac:dyDescent="0.25">
      <c r="AD483" s="819"/>
      <c r="AE483" s="819"/>
      <c r="AF483" s="819"/>
      <c r="AG483" s="819"/>
    </row>
    <row r="484" spans="30:33" ht="15.75" customHeight="1" x14ac:dyDescent="0.25">
      <c r="AD484" s="819"/>
      <c r="AE484" s="819"/>
      <c r="AF484" s="819"/>
      <c r="AG484" s="819"/>
    </row>
    <row r="485" spans="30:33" ht="15.75" customHeight="1" x14ac:dyDescent="0.25">
      <c r="AD485" s="819"/>
      <c r="AE485" s="819"/>
      <c r="AF485" s="819"/>
      <c r="AG485" s="819"/>
    </row>
    <row r="486" spans="30:33" ht="15.75" customHeight="1" x14ac:dyDescent="0.25">
      <c r="AD486" s="819"/>
      <c r="AE486" s="819"/>
      <c r="AF486" s="819"/>
      <c r="AG486" s="819"/>
    </row>
    <row r="487" spans="30:33" ht="15.75" customHeight="1" x14ac:dyDescent="0.25">
      <c r="AD487" s="819"/>
      <c r="AE487" s="819"/>
      <c r="AF487" s="819"/>
      <c r="AG487" s="819"/>
    </row>
    <row r="488" spans="30:33" ht="15.75" customHeight="1" x14ac:dyDescent="0.25">
      <c r="AD488" s="819"/>
      <c r="AE488" s="819"/>
      <c r="AF488" s="819"/>
      <c r="AG488" s="819"/>
    </row>
    <row r="489" spans="30:33" ht="15.75" customHeight="1" x14ac:dyDescent="0.25">
      <c r="AD489" s="819"/>
      <c r="AE489" s="819"/>
      <c r="AF489" s="819"/>
      <c r="AG489" s="819"/>
    </row>
    <row r="490" spans="30:33" ht="15.75" customHeight="1" x14ac:dyDescent="0.25">
      <c r="AD490" s="819"/>
      <c r="AE490" s="819"/>
      <c r="AF490" s="819"/>
      <c r="AG490" s="819"/>
    </row>
    <row r="491" spans="30:33" ht="15.75" customHeight="1" x14ac:dyDescent="0.25">
      <c r="AD491" s="819"/>
      <c r="AE491" s="819"/>
      <c r="AF491" s="819"/>
      <c r="AG491" s="819"/>
    </row>
    <row r="492" spans="30:33" ht="15.75" customHeight="1" x14ac:dyDescent="0.25">
      <c r="AD492" s="819"/>
      <c r="AE492" s="819"/>
      <c r="AF492" s="819"/>
      <c r="AG492" s="819"/>
    </row>
    <row r="493" spans="30:33" ht="15.75" customHeight="1" x14ac:dyDescent="0.25">
      <c r="AD493" s="819"/>
      <c r="AE493" s="819"/>
      <c r="AF493" s="819"/>
      <c r="AG493" s="819"/>
    </row>
    <row r="494" spans="30:33" ht="15.75" customHeight="1" x14ac:dyDescent="0.25">
      <c r="AD494" s="819"/>
      <c r="AE494" s="819"/>
      <c r="AF494" s="819"/>
      <c r="AG494" s="819"/>
    </row>
    <row r="495" spans="30:33" ht="15.75" customHeight="1" x14ac:dyDescent="0.25">
      <c r="AD495" s="819"/>
      <c r="AE495" s="819"/>
      <c r="AF495" s="819"/>
      <c r="AG495" s="819"/>
    </row>
    <row r="496" spans="30:33" ht="15.75" customHeight="1" x14ac:dyDescent="0.25">
      <c r="AD496" s="819"/>
      <c r="AE496" s="819"/>
      <c r="AF496" s="819"/>
      <c r="AG496" s="819"/>
    </row>
    <row r="497" spans="30:33" ht="15.75" customHeight="1" x14ac:dyDescent="0.25">
      <c r="AD497" s="819"/>
      <c r="AE497" s="819"/>
      <c r="AF497" s="819"/>
      <c r="AG497" s="819"/>
    </row>
    <row r="498" spans="30:33" ht="15.75" customHeight="1" x14ac:dyDescent="0.25">
      <c r="AD498" s="819"/>
      <c r="AE498" s="819"/>
      <c r="AF498" s="819"/>
      <c r="AG498" s="819"/>
    </row>
    <row r="499" spans="30:33" ht="15.75" customHeight="1" x14ac:dyDescent="0.25">
      <c r="AD499" s="819"/>
      <c r="AE499" s="819"/>
      <c r="AF499" s="819"/>
      <c r="AG499" s="819"/>
    </row>
    <row r="500" spans="30:33" ht="15.75" customHeight="1" x14ac:dyDescent="0.25">
      <c r="AD500" s="819"/>
      <c r="AE500" s="819"/>
      <c r="AF500" s="819"/>
      <c r="AG500" s="819"/>
    </row>
    <row r="501" spans="30:33" ht="15.75" customHeight="1" x14ac:dyDescent="0.25">
      <c r="AD501" s="819"/>
      <c r="AE501" s="819"/>
      <c r="AF501" s="819"/>
      <c r="AG501" s="819"/>
    </row>
    <row r="502" spans="30:33" ht="15.75" customHeight="1" x14ac:dyDescent="0.25">
      <c r="AD502" s="819"/>
      <c r="AE502" s="819"/>
      <c r="AF502" s="819"/>
      <c r="AG502" s="819"/>
    </row>
    <row r="503" spans="30:33" ht="15.75" customHeight="1" x14ac:dyDescent="0.25">
      <c r="AD503" s="819"/>
      <c r="AE503" s="819"/>
      <c r="AF503" s="819"/>
      <c r="AG503" s="819"/>
    </row>
    <row r="504" spans="30:33" ht="15.75" customHeight="1" x14ac:dyDescent="0.25">
      <c r="AD504" s="819"/>
      <c r="AE504" s="819"/>
      <c r="AF504" s="819"/>
      <c r="AG504" s="819"/>
    </row>
    <row r="505" spans="30:33" ht="15.75" customHeight="1" x14ac:dyDescent="0.25">
      <c r="AD505" s="819"/>
      <c r="AE505" s="819"/>
      <c r="AF505" s="819"/>
      <c r="AG505" s="819"/>
    </row>
    <row r="506" spans="30:33" ht="15.75" customHeight="1" x14ac:dyDescent="0.25">
      <c r="AD506" s="819"/>
      <c r="AE506" s="819"/>
      <c r="AF506" s="819"/>
      <c r="AG506" s="819"/>
    </row>
    <row r="507" spans="30:33" ht="15.75" customHeight="1" x14ac:dyDescent="0.25">
      <c r="AD507" s="819"/>
      <c r="AE507" s="819"/>
      <c r="AF507" s="819"/>
      <c r="AG507" s="819"/>
    </row>
    <row r="508" spans="30:33" ht="15.75" customHeight="1" x14ac:dyDescent="0.25">
      <c r="AD508" s="819"/>
      <c r="AE508" s="819"/>
      <c r="AF508" s="819"/>
      <c r="AG508" s="819"/>
    </row>
    <row r="509" spans="30:33" ht="15.75" customHeight="1" x14ac:dyDescent="0.25">
      <c r="AD509" s="819"/>
      <c r="AE509" s="819"/>
      <c r="AF509" s="819"/>
      <c r="AG509" s="819"/>
    </row>
    <row r="510" spans="30:33" ht="15.75" customHeight="1" x14ac:dyDescent="0.25">
      <c r="AD510" s="819"/>
      <c r="AE510" s="819"/>
      <c r="AF510" s="819"/>
      <c r="AG510" s="819"/>
    </row>
    <row r="511" spans="30:33" ht="15.75" customHeight="1" x14ac:dyDescent="0.25">
      <c r="AD511" s="819"/>
      <c r="AE511" s="819"/>
      <c r="AF511" s="819"/>
      <c r="AG511" s="819"/>
    </row>
    <row r="512" spans="30:33" ht="15.75" customHeight="1" x14ac:dyDescent="0.25">
      <c r="AD512" s="819"/>
      <c r="AE512" s="819"/>
      <c r="AF512" s="819"/>
      <c r="AG512" s="819"/>
    </row>
    <row r="513" spans="30:33" ht="15.75" customHeight="1" x14ac:dyDescent="0.25">
      <c r="AD513" s="819"/>
      <c r="AE513" s="819"/>
      <c r="AF513" s="819"/>
      <c r="AG513" s="819"/>
    </row>
    <row r="514" spans="30:33" ht="15.75" customHeight="1" x14ac:dyDescent="0.25">
      <c r="AD514" s="819"/>
      <c r="AE514" s="819"/>
      <c r="AF514" s="819"/>
      <c r="AG514" s="819"/>
    </row>
    <row r="515" spans="30:33" ht="15.75" customHeight="1" x14ac:dyDescent="0.25">
      <c r="AD515" s="819"/>
      <c r="AE515" s="819"/>
      <c r="AF515" s="819"/>
      <c r="AG515" s="819"/>
    </row>
    <row r="516" spans="30:33" ht="15.75" customHeight="1" x14ac:dyDescent="0.25">
      <c r="AD516" s="819"/>
      <c r="AE516" s="819"/>
      <c r="AF516" s="819"/>
      <c r="AG516" s="819"/>
    </row>
    <row r="517" spans="30:33" ht="15.75" customHeight="1" x14ac:dyDescent="0.25">
      <c r="AD517" s="819"/>
      <c r="AE517" s="819"/>
      <c r="AF517" s="819"/>
      <c r="AG517" s="819"/>
    </row>
    <row r="518" spans="30:33" ht="15.75" customHeight="1" x14ac:dyDescent="0.25">
      <c r="AD518" s="819"/>
      <c r="AE518" s="819"/>
      <c r="AF518" s="819"/>
      <c r="AG518" s="819"/>
    </row>
    <row r="519" spans="30:33" ht="15.75" customHeight="1" x14ac:dyDescent="0.25">
      <c r="AD519" s="819"/>
      <c r="AE519" s="819"/>
      <c r="AF519" s="819"/>
      <c r="AG519" s="819"/>
    </row>
    <row r="520" spans="30:33" ht="15.75" customHeight="1" x14ac:dyDescent="0.25">
      <c r="AD520" s="819"/>
      <c r="AE520" s="819"/>
      <c r="AF520" s="819"/>
      <c r="AG520" s="819"/>
    </row>
    <row r="521" spans="30:33" ht="15.75" customHeight="1" x14ac:dyDescent="0.25">
      <c r="AD521" s="819"/>
      <c r="AE521" s="819"/>
      <c r="AF521" s="819"/>
      <c r="AG521" s="819"/>
    </row>
    <row r="522" spans="30:33" ht="15.75" customHeight="1" x14ac:dyDescent="0.25">
      <c r="AD522" s="819"/>
      <c r="AE522" s="819"/>
      <c r="AF522" s="819"/>
      <c r="AG522" s="819"/>
    </row>
    <row r="523" spans="30:33" ht="15.75" customHeight="1" x14ac:dyDescent="0.25">
      <c r="AD523" s="819"/>
      <c r="AE523" s="819"/>
      <c r="AF523" s="819"/>
      <c r="AG523" s="819"/>
    </row>
    <row r="524" spans="30:33" ht="15.75" customHeight="1" x14ac:dyDescent="0.25">
      <c r="AD524" s="819"/>
      <c r="AE524" s="819"/>
      <c r="AF524" s="819"/>
      <c r="AG524" s="819"/>
    </row>
    <row r="525" spans="30:33" ht="15.75" customHeight="1" x14ac:dyDescent="0.25">
      <c r="AD525" s="819"/>
      <c r="AE525" s="819"/>
      <c r="AF525" s="819"/>
      <c r="AG525" s="819"/>
    </row>
    <row r="526" spans="30:33" ht="15.75" customHeight="1" x14ac:dyDescent="0.25">
      <c r="AD526" s="819"/>
      <c r="AE526" s="819"/>
      <c r="AF526" s="819"/>
      <c r="AG526" s="819"/>
    </row>
    <row r="527" spans="30:33" ht="15.75" customHeight="1" x14ac:dyDescent="0.25">
      <c r="AD527" s="819"/>
      <c r="AE527" s="819"/>
      <c r="AF527" s="819"/>
      <c r="AG527" s="819"/>
    </row>
    <row r="528" spans="30:33" ht="15.75" customHeight="1" x14ac:dyDescent="0.25">
      <c r="AD528" s="819"/>
      <c r="AE528" s="819"/>
      <c r="AF528" s="819"/>
      <c r="AG528" s="819"/>
    </row>
    <row r="529" spans="30:33" ht="15.75" customHeight="1" x14ac:dyDescent="0.25">
      <c r="AD529" s="819"/>
      <c r="AE529" s="819"/>
      <c r="AF529" s="819"/>
      <c r="AG529" s="819"/>
    </row>
    <row r="530" spans="30:33" ht="15.75" customHeight="1" x14ac:dyDescent="0.25">
      <c r="AD530" s="819"/>
      <c r="AE530" s="819"/>
      <c r="AF530" s="819"/>
      <c r="AG530" s="819"/>
    </row>
    <row r="531" spans="30:33" ht="15.75" customHeight="1" x14ac:dyDescent="0.25">
      <c r="AD531" s="819"/>
      <c r="AE531" s="819"/>
      <c r="AF531" s="819"/>
      <c r="AG531" s="819"/>
    </row>
    <row r="532" spans="30:33" ht="15.75" customHeight="1" x14ac:dyDescent="0.25">
      <c r="AD532" s="819"/>
      <c r="AE532" s="819"/>
      <c r="AF532" s="819"/>
      <c r="AG532" s="819"/>
    </row>
    <row r="533" spans="30:33" ht="15.75" customHeight="1" x14ac:dyDescent="0.25">
      <c r="AD533" s="819"/>
      <c r="AE533" s="819"/>
      <c r="AF533" s="819"/>
      <c r="AG533" s="819"/>
    </row>
    <row r="534" spans="30:33" ht="15.75" customHeight="1" x14ac:dyDescent="0.25">
      <c r="AD534" s="819"/>
      <c r="AE534" s="819"/>
      <c r="AF534" s="819"/>
      <c r="AG534" s="819"/>
    </row>
    <row r="535" spans="30:33" ht="15.75" customHeight="1" x14ac:dyDescent="0.25">
      <c r="AD535" s="819"/>
      <c r="AE535" s="819"/>
      <c r="AF535" s="819"/>
      <c r="AG535" s="819"/>
    </row>
    <row r="536" spans="30:33" ht="15.75" customHeight="1" x14ac:dyDescent="0.25"/>
    <row r="537" spans="30:33" ht="15.75" customHeight="1" x14ac:dyDescent="0.25"/>
    <row r="538" spans="30:33" ht="15.75" customHeight="1" x14ac:dyDescent="0.25"/>
    <row r="539" spans="30:33" ht="15.75" customHeight="1" x14ac:dyDescent="0.25"/>
    <row r="540" spans="30:33" ht="15.75" customHeight="1" x14ac:dyDescent="0.25"/>
    <row r="541" spans="30:33" ht="15.75" customHeight="1" x14ac:dyDescent="0.25"/>
    <row r="542" spans="30:33" ht="15.75" customHeight="1" x14ac:dyDescent="0.25"/>
    <row r="543" spans="30:33" ht="15.75" customHeight="1" x14ac:dyDescent="0.25"/>
    <row r="544" spans="30:33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</sheetData>
  <sheetProtection password="9E7F" sheet="1" objects="1" scenarios="1"/>
  <mergeCells count="438">
    <mergeCell ref="AD1:AG2"/>
    <mergeCell ref="B6:AG6"/>
    <mergeCell ref="B8:N8"/>
    <mergeCell ref="P8:AG8"/>
    <mergeCell ref="P12:U12"/>
    <mergeCell ref="P14:U14"/>
    <mergeCell ref="Z14:AE14"/>
    <mergeCell ref="B16:AG16"/>
    <mergeCell ref="B20:AG20"/>
    <mergeCell ref="B24:AG24"/>
    <mergeCell ref="B25:AG25"/>
    <mergeCell ref="G28:AB28"/>
    <mergeCell ref="AC28:AG28"/>
    <mergeCell ref="A30:A31"/>
    <mergeCell ref="B30:F31"/>
    <mergeCell ref="G30:AB31"/>
    <mergeCell ref="AC30:AG31"/>
    <mergeCell ref="AH30:AH31"/>
    <mergeCell ref="B32:F32"/>
    <mergeCell ref="G32:AB32"/>
    <mergeCell ref="AC32:AG32"/>
    <mergeCell ref="B33:F33"/>
    <mergeCell ref="G33:AB33"/>
    <mergeCell ref="AC33:AG33"/>
    <mergeCell ref="B34:F34"/>
    <mergeCell ref="G34:AB34"/>
    <mergeCell ref="AC34:AG34"/>
    <mergeCell ref="B35:F35"/>
    <mergeCell ref="G35:AB35"/>
    <mergeCell ref="AC35:AG35"/>
    <mergeCell ref="B36:F36"/>
    <mergeCell ref="G36:AB36"/>
    <mergeCell ref="AC36:AG36"/>
    <mergeCell ref="B37:F37"/>
    <mergeCell ref="G37:AB37"/>
    <mergeCell ref="AC37:AG37"/>
    <mergeCell ref="B38:F38"/>
    <mergeCell ref="G38:AB38"/>
    <mergeCell ref="AC38:AG38"/>
    <mergeCell ref="B39:F39"/>
    <mergeCell ref="G39:AB39"/>
    <mergeCell ref="AC39:AG39"/>
    <mergeCell ref="B40:F40"/>
    <mergeCell ref="G40:AB40"/>
    <mergeCell ref="AC40:AG40"/>
    <mergeCell ref="B41:F41"/>
    <mergeCell ref="G41:AB41"/>
    <mergeCell ref="AC41:AG41"/>
    <mergeCell ref="B42:F42"/>
    <mergeCell ref="G42:AB42"/>
    <mergeCell ref="AC42:AG42"/>
    <mergeCell ref="B43:F43"/>
    <mergeCell ref="G43:AB43"/>
    <mergeCell ref="AC43:AG43"/>
    <mergeCell ref="B44:F44"/>
    <mergeCell ref="G44:AB44"/>
    <mergeCell ref="AC44:AG44"/>
    <mergeCell ref="B45:F45"/>
    <mergeCell ref="G45:AB45"/>
    <mergeCell ref="AC45:AG45"/>
    <mergeCell ref="B46:F46"/>
    <mergeCell ref="G46:AB46"/>
    <mergeCell ref="AC46:AG46"/>
    <mergeCell ref="B47:F47"/>
    <mergeCell ref="G47:AB47"/>
    <mergeCell ref="AC47:AG47"/>
    <mergeCell ref="B48:F48"/>
    <mergeCell ref="G48:AB48"/>
    <mergeCell ref="AC48:AG48"/>
    <mergeCell ref="B49:F49"/>
    <mergeCell ref="G49:AB49"/>
    <mergeCell ref="AC49:AG49"/>
    <mergeCell ref="B50:F50"/>
    <mergeCell ref="G50:AB50"/>
    <mergeCell ref="AC50:AG50"/>
    <mergeCell ref="B51:F51"/>
    <mergeCell ref="G51:AB51"/>
    <mergeCell ref="AC51:AG51"/>
    <mergeCell ref="B52:F52"/>
    <mergeCell ref="G52:AB52"/>
    <mergeCell ref="AC52:AG52"/>
    <mergeCell ref="B53:F53"/>
    <mergeCell ref="G53:AB53"/>
    <mergeCell ref="AC53:AG53"/>
    <mergeCell ref="B54:F54"/>
    <mergeCell ref="G54:AB54"/>
    <mergeCell ref="AC54:AG54"/>
    <mergeCell ref="B55:F55"/>
    <mergeCell ref="G55:AB55"/>
    <mergeCell ref="AC55:AG55"/>
    <mergeCell ref="B56:F56"/>
    <mergeCell ref="G56:AB56"/>
    <mergeCell ref="AC56:AG56"/>
    <mergeCell ref="B57:F57"/>
    <mergeCell ref="G57:AB57"/>
    <mergeCell ref="AC57:AG57"/>
    <mergeCell ref="B58:F58"/>
    <mergeCell ref="G58:AB58"/>
    <mergeCell ref="AC58:AG58"/>
    <mergeCell ref="B59:F59"/>
    <mergeCell ref="G59:AB59"/>
    <mergeCell ref="AC59:AG59"/>
    <mergeCell ref="B60:F60"/>
    <mergeCell ref="G60:AB60"/>
    <mergeCell ref="AC60:AG60"/>
    <mergeCell ref="B61:F61"/>
    <mergeCell ref="G61:AB61"/>
    <mergeCell ref="AC61:AG61"/>
    <mergeCell ref="B62:F62"/>
    <mergeCell ref="G62:AB62"/>
    <mergeCell ref="AC62:AG62"/>
    <mergeCell ref="B63:F63"/>
    <mergeCell ref="G63:AB63"/>
    <mergeCell ref="AC63:AG63"/>
    <mergeCell ref="B64:F64"/>
    <mergeCell ref="G64:AB64"/>
    <mergeCell ref="AC64:AG64"/>
    <mergeCell ref="B65:F65"/>
    <mergeCell ref="G65:AB65"/>
    <mergeCell ref="AC65:AG65"/>
    <mergeCell ref="B66:F66"/>
    <mergeCell ref="G66:AB66"/>
    <mergeCell ref="AC66:AG66"/>
    <mergeCell ref="B67:F67"/>
    <mergeCell ref="G67:AB67"/>
    <mergeCell ref="AC67:AG67"/>
    <mergeCell ref="B68:F68"/>
    <mergeCell ref="G68:AB68"/>
    <mergeCell ref="AC68:AG68"/>
    <mergeCell ref="B69:F69"/>
    <mergeCell ref="G69:AB69"/>
    <mergeCell ref="AC69:AG69"/>
    <mergeCell ref="B70:F70"/>
    <mergeCell ref="G70:AB70"/>
    <mergeCell ref="AC70:AG70"/>
    <mergeCell ref="B71:F71"/>
    <mergeCell ref="G71:AB71"/>
    <mergeCell ref="AC71:AG71"/>
    <mergeCell ref="B72:F72"/>
    <mergeCell ref="G72:AB72"/>
    <mergeCell ref="AC72:AG72"/>
    <mergeCell ref="B73:F73"/>
    <mergeCell ref="G73:AB73"/>
    <mergeCell ref="AC73:AG73"/>
    <mergeCell ref="B74:F74"/>
    <mergeCell ref="G74:AB74"/>
    <mergeCell ref="AC74:AG74"/>
    <mergeCell ref="B75:F75"/>
    <mergeCell ref="G75:AB75"/>
    <mergeCell ref="AC75:AG75"/>
    <mergeCell ref="B76:F76"/>
    <mergeCell ref="G76:AB76"/>
    <mergeCell ref="AC76:AG76"/>
    <mergeCell ref="B77:F77"/>
    <mergeCell ref="G77:AB77"/>
    <mergeCell ref="AC77:AG77"/>
    <mergeCell ref="B78:F78"/>
    <mergeCell ref="G78:AB78"/>
    <mergeCell ref="AC78:AG78"/>
    <mergeCell ref="B79:F79"/>
    <mergeCell ref="G79:AB79"/>
    <mergeCell ref="AC79:AG79"/>
    <mergeCell ref="B80:F80"/>
    <mergeCell ref="G80:AB80"/>
    <mergeCell ref="AC80:AG80"/>
    <mergeCell ref="B81:F81"/>
    <mergeCell ref="G81:AB81"/>
    <mergeCell ref="AC81:AG81"/>
    <mergeCell ref="B82:F82"/>
    <mergeCell ref="G82:AB82"/>
    <mergeCell ref="AC82:AG82"/>
    <mergeCell ref="B83:F83"/>
    <mergeCell ref="G83:AB83"/>
    <mergeCell ref="AC83:AG83"/>
    <mergeCell ref="B84:F84"/>
    <mergeCell ref="G84:AB84"/>
    <mergeCell ref="AC84:AG84"/>
    <mergeCell ref="B85:F85"/>
    <mergeCell ref="G85:AB85"/>
    <mergeCell ref="AC85:AG85"/>
    <mergeCell ref="B86:F86"/>
    <mergeCell ref="G86:AB86"/>
    <mergeCell ref="AC86:AG86"/>
    <mergeCell ref="B87:F87"/>
    <mergeCell ref="G87:AB87"/>
    <mergeCell ref="AC87:AG87"/>
    <mergeCell ref="B88:F88"/>
    <mergeCell ref="G88:AB88"/>
    <mergeCell ref="AC88:AG88"/>
    <mergeCell ref="B89:F89"/>
    <mergeCell ref="G89:AB89"/>
    <mergeCell ref="AC89:AG89"/>
    <mergeCell ref="B90:F90"/>
    <mergeCell ref="G90:AB90"/>
    <mergeCell ref="AC90:AG90"/>
    <mergeCell ref="B91:F91"/>
    <mergeCell ref="G91:AB91"/>
    <mergeCell ref="AC91:AG91"/>
    <mergeCell ref="B92:F92"/>
    <mergeCell ref="G92:AB92"/>
    <mergeCell ref="AC92:AG92"/>
    <mergeCell ref="B93:F93"/>
    <mergeCell ref="G93:AB93"/>
    <mergeCell ref="AC93:AG93"/>
    <mergeCell ref="B94:F94"/>
    <mergeCell ref="G94:AB94"/>
    <mergeCell ref="AC94:AG94"/>
    <mergeCell ref="B95:F95"/>
    <mergeCell ref="G95:AB95"/>
    <mergeCell ref="AC95:AG95"/>
    <mergeCell ref="B96:F96"/>
    <mergeCell ref="G96:AB96"/>
    <mergeCell ref="AC96:AG96"/>
    <mergeCell ref="B97:F97"/>
    <mergeCell ref="G97:AB97"/>
    <mergeCell ref="AC97:AG97"/>
    <mergeCell ref="B98:F98"/>
    <mergeCell ref="G98:AB98"/>
    <mergeCell ref="AC98:AG98"/>
    <mergeCell ref="B99:F99"/>
    <mergeCell ref="G99:AB99"/>
    <mergeCell ref="AC99:AG99"/>
    <mergeCell ref="B100:F100"/>
    <mergeCell ref="G100:AB100"/>
    <mergeCell ref="AC100:AG100"/>
    <mergeCell ref="B101:F101"/>
    <mergeCell ref="G101:AB101"/>
    <mergeCell ref="AC101:AG101"/>
    <mergeCell ref="B102:F102"/>
    <mergeCell ref="G102:AB102"/>
    <mergeCell ref="AC102:AG102"/>
    <mergeCell ref="B103:F103"/>
    <mergeCell ref="G103:AB103"/>
    <mergeCell ref="AC103:AG103"/>
    <mergeCell ref="B104:F104"/>
    <mergeCell ref="G104:AB104"/>
    <mergeCell ref="AC104:AG104"/>
    <mergeCell ref="B105:F105"/>
    <mergeCell ref="G105:AB105"/>
    <mergeCell ref="AC105:AG105"/>
    <mergeCell ref="B106:F106"/>
    <mergeCell ref="G106:AB106"/>
    <mergeCell ref="AC106:AG106"/>
    <mergeCell ref="B107:F107"/>
    <mergeCell ref="G107:AB107"/>
    <mergeCell ref="AC107:AG107"/>
    <mergeCell ref="B108:F108"/>
    <mergeCell ref="G108:AB108"/>
    <mergeCell ref="AC108:AG108"/>
    <mergeCell ref="B109:F109"/>
    <mergeCell ref="G109:AB109"/>
    <mergeCell ref="AC109:AG109"/>
    <mergeCell ref="B110:F110"/>
    <mergeCell ref="G110:AB110"/>
    <mergeCell ref="AC110:AG110"/>
    <mergeCell ref="B111:F111"/>
    <mergeCell ref="G111:AB111"/>
    <mergeCell ref="AC111:AG111"/>
    <mergeCell ref="B112:F112"/>
    <mergeCell ref="G112:AB112"/>
    <mergeCell ref="AC112:AG112"/>
    <mergeCell ref="B113:F113"/>
    <mergeCell ref="G113:AB113"/>
    <mergeCell ref="AC113:AG113"/>
    <mergeCell ref="B114:F114"/>
    <mergeCell ref="G114:AB114"/>
    <mergeCell ref="AC114:AG114"/>
    <mergeCell ref="B115:F115"/>
    <mergeCell ref="G115:AB115"/>
    <mergeCell ref="AC115:AG115"/>
    <mergeCell ref="B116:F116"/>
    <mergeCell ref="G116:AB116"/>
    <mergeCell ref="AC116:AG116"/>
    <mergeCell ref="B117:F117"/>
    <mergeCell ref="G117:AB117"/>
    <mergeCell ref="AC117:AG117"/>
    <mergeCell ref="B118:F118"/>
    <mergeCell ref="G118:AB118"/>
    <mergeCell ref="AC118:AG118"/>
    <mergeCell ref="B119:F119"/>
    <mergeCell ref="G119:AB119"/>
    <mergeCell ref="AC119:AG119"/>
    <mergeCell ref="B120:F120"/>
    <mergeCell ref="G120:AB120"/>
    <mergeCell ref="AC120:AG120"/>
    <mergeCell ref="B121:F121"/>
    <mergeCell ref="G121:AB121"/>
    <mergeCell ref="AC121:AG121"/>
    <mergeCell ref="B122:F122"/>
    <mergeCell ref="G122:AB122"/>
    <mergeCell ref="AC122:AG122"/>
    <mergeCell ref="B123:F123"/>
    <mergeCell ref="G123:AB123"/>
    <mergeCell ref="AC123:AG123"/>
    <mergeCell ref="B124:F124"/>
    <mergeCell ref="G124:AB124"/>
    <mergeCell ref="AC124:AG124"/>
    <mergeCell ref="B125:F125"/>
    <mergeCell ref="G125:AB125"/>
    <mergeCell ref="AC125:AG125"/>
    <mergeCell ref="B126:F126"/>
    <mergeCell ref="G126:AB126"/>
    <mergeCell ref="AC126:AG126"/>
    <mergeCell ref="B127:F127"/>
    <mergeCell ref="G127:AB127"/>
    <mergeCell ref="AC127:AG127"/>
    <mergeCell ref="B128:F128"/>
    <mergeCell ref="G128:AB128"/>
    <mergeCell ref="AC128:AG128"/>
    <mergeCell ref="B129:F129"/>
    <mergeCell ref="G129:AB129"/>
    <mergeCell ref="AC129:AG129"/>
    <mergeCell ref="B130:F130"/>
    <mergeCell ref="G130:AB130"/>
    <mergeCell ref="AC130:AG130"/>
    <mergeCell ref="B131:F131"/>
    <mergeCell ref="G131:AB131"/>
    <mergeCell ref="AC131:AG131"/>
    <mergeCell ref="B132:F132"/>
    <mergeCell ref="G132:AB132"/>
    <mergeCell ref="AC132:AG132"/>
    <mergeCell ref="B133:F133"/>
    <mergeCell ref="G133:AB133"/>
    <mergeCell ref="AC133:AG133"/>
    <mergeCell ref="B134:F134"/>
    <mergeCell ref="G134:AB134"/>
    <mergeCell ref="AC134:AG134"/>
    <mergeCell ref="B135:F135"/>
    <mergeCell ref="G135:AB135"/>
    <mergeCell ref="AC135:AG135"/>
    <mergeCell ref="B136:F136"/>
    <mergeCell ref="G136:AB136"/>
    <mergeCell ref="AC136:AG136"/>
    <mergeCell ref="B137:F137"/>
    <mergeCell ref="G137:AB137"/>
    <mergeCell ref="AC137:AG137"/>
    <mergeCell ref="B138:F138"/>
    <mergeCell ref="G138:AB138"/>
    <mergeCell ref="AC138:AG138"/>
    <mergeCell ref="B139:F139"/>
    <mergeCell ref="G139:AB139"/>
    <mergeCell ref="AC139:AG139"/>
    <mergeCell ref="B140:F140"/>
    <mergeCell ref="G140:AB140"/>
    <mergeCell ref="AC140:AG140"/>
    <mergeCell ref="B141:F141"/>
    <mergeCell ref="G141:AB141"/>
    <mergeCell ref="AC141:AG141"/>
    <mergeCell ref="B142:F142"/>
    <mergeCell ref="G142:AB142"/>
    <mergeCell ref="AC142:AG142"/>
    <mergeCell ref="B143:F143"/>
    <mergeCell ref="G143:AB143"/>
    <mergeCell ref="AC143:AG143"/>
    <mergeCell ref="B144:F144"/>
    <mergeCell ref="G144:AB144"/>
    <mergeCell ref="AC144:AG144"/>
    <mergeCell ref="B145:F145"/>
    <mergeCell ref="G145:AB145"/>
    <mergeCell ref="AC145:AG145"/>
    <mergeCell ref="B146:F146"/>
    <mergeCell ref="G146:AB146"/>
    <mergeCell ref="AC146:AG146"/>
    <mergeCell ref="B147:F147"/>
    <mergeCell ref="G147:AB147"/>
    <mergeCell ref="AC147:AG147"/>
    <mergeCell ref="B148:F148"/>
    <mergeCell ref="G148:AB148"/>
    <mergeCell ref="AC148:AG148"/>
    <mergeCell ref="B149:F149"/>
    <mergeCell ref="G149:AB149"/>
    <mergeCell ref="AC149:AG149"/>
    <mergeCell ref="B150:F150"/>
    <mergeCell ref="G150:AB150"/>
    <mergeCell ref="AC150:AG150"/>
    <mergeCell ref="B151:F151"/>
    <mergeCell ref="G151:AB151"/>
    <mergeCell ref="AC151:AG151"/>
    <mergeCell ref="B152:F152"/>
    <mergeCell ref="G152:AB152"/>
    <mergeCell ref="AC152:AG152"/>
    <mergeCell ref="B153:F153"/>
    <mergeCell ref="G153:AB153"/>
    <mergeCell ref="AC153:AG153"/>
    <mergeCell ref="B154:F154"/>
    <mergeCell ref="G154:AB154"/>
    <mergeCell ref="AC154:AG154"/>
    <mergeCell ref="B155:F155"/>
    <mergeCell ref="G155:AB155"/>
    <mergeCell ref="AC155:AG155"/>
    <mergeCell ref="B156:F156"/>
    <mergeCell ref="G156:AB156"/>
    <mergeCell ref="AC156:AG156"/>
    <mergeCell ref="B157:F157"/>
    <mergeCell ref="G157:AB157"/>
    <mergeCell ref="AC157:AG157"/>
    <mergeCell ref="B158:F158"/>
    <mergeCell ref="G158:AB158"/>
    <mergeCell ref="AC158:AG158"/>
    <mergeCell ref="B159:F159"/>
    <mergeCell ref="G159:AB159"/>
    <mergeCell ref="AC159:AG159"/>
    <mergeCell ref="B160:F160"/>
    <mergeCell ref="G160:AB160"/>
    <mergeCell ref="AC160:AG160"/>
    <mergeCell ref="B161:F161"/>
    <mergeCell ref="G161:AB161"/>
    <mergeCell ref="AC161:AG161"/>
    <mergeCell ref="B162:F162"/>
    <mergeCell ref="G162:AB162"/>
    <mergeCell ref="AC162:AG162"/>
    <mergeCell ref="P170:U170"/>
    <mergeCell ref="B163:F163"/>
    <mergeCell ref="G163:AB163"/>
    <mergeCell ref="AC163:AG163"/>
    <mergeCell ref="B164:F164"/>
    <mergeCell ref="G164:AB164"/>
    <mergeCell ref="AC164:AG164"/>
    <mergeCell ref="F172:J172"/>
    <mergeCell ref="K172:O172"/>
    <mergeCell ref="P172:U172"/>
    <mergeCell ref="A169:E169"/>
    <mergeCell ref="F169:J169"/>
    <mergeCell ref="K169:O169"/>
    <mergeCell ref="P169:U169"/>
    <mergeCell ref="A170:E170"/>
    <mergeCell ref="F170:J170"/>
    <mergeCell ref="K170:O170"/>
    <mergeCell ref="B177:F177"/>
    <mergeCell ref="O177:AG177"/>
    <mergeCell ref="O179:AG179"/>
    <mergeCell ref="O183:AG183"/>
    <mergeCell ref="O185:AG185"/>
    <mergeCell ref="A171:E171"/>
    <mergeCell ref="F171:J171"/>
    <mergeCell ref="K171:O171"/>
    <mergeCell ref="P171:U171"/>
    <mergeCell ref="A172:E172"/>
  </mergeCells>
  <printOptions horizontalCentered="1"/>
  <pageMargins left="0.59027777777777779" right="0.59027777777777779" top="0.59027777777777779" bottom="0.59027777777777779" header="0.51180555555555551" footer="0.19652777777777777"/>
  <pageSetup paperSize="9" firstPageNumber="0" fitToHeight="0" orientation="portrait" horizontalDpi="300" verticalDpi="300"/>
  <headerFooter alignWithMargins="0">
    <oddFooter>&amp;C&amp;"Tahoma,Normale"&amp;10&amp;P /  &amp;N</oddFooter>
  </headerFooter>
  <rowBreaks count="2" manualBreakCount="2">
    <brk id="92" max="16383" man="1"/>
    <brk id="1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defaultRowHeight="12.75" x14ac:dyDescent="0.2"/>
  <cols>
    <col min="1" max="16384" width="9.140625" style="897"/>
  </cols>
  <sheetData>
    <row r="1" spans="1:1" x14ac:dyDescent="0.2">
      <c r="A1" s="898" t="s">
        <v>7570</v>
      </c>
    </row>
    <row r="2" spans="1:1" x14ac:dyDescent="0.2">
      <c r="A2" s="898" t="str">
        <f>UPPER(Info!$B$7)</f>
        <v>V1</v>
      </c>
    </row>
  </sheetData>
  <sheetProtection selectLockedCells="1" selectUnlockedCells="1"/>
  <pageMargins left="0.75" right="0.75" top="1" bottom="1" header="0.5" footer="0.5"/>
  <pageSetup paperSize="9" firstPageNumber="0" orientation="portrait" horizontalDpi="300" verticalDpi="30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2172"/>
  <sheetViews>
    <sheetView showGridLines="0" topLeftCell="E597" zoomScale="80" zoomScaleNormal="80" workbookViewId="0">
      <selection activeCell="M625" sqref="M625"/>
    </sheetView>
  </sheetViews>
  <sheetFormatPr defaultRowHeight="13.5" x14ac:dyDescent="0.25"/>
  <cols>
    <col min="1" max="2" width="2.7109375" style="30" customWidth="1"/>
    <col min="3" max="3" width="5.28515625" style="30" customWidth="1"/>
    <col min="4" max="4" width="26.140625" style="30" customWidth="1"/>
    <col min="5" max="5" width="35.7109375" style="30" customWidth="1"/>
    <col min="6" max="6" width="6.140625" style="30" customWidth="1"/>
    <col min="7" max="7" width="6.5703125" style="30" customWidth="1"/>
    <col min="8" max="8" width="8.140625" style="30" customWidth="1"/>
    <col min="9" max="9" width="10.28515625" style="30" customWidth="1"/>
    <col min="10" max="10" width="18.7109375" style="30" customWidth="1"/>
    <col min="11" max="11" width="10.5703125" style="30" customWidth="1"/>
    <col min="12" max="12" width="14.85546875" style="30" customWidth="1"/>
    <col min="13" max="14" width="10.140625" style="30" customWidth="1"/>
    <col min="15" max="15" width="20.140625" style="30" customWidth="1"/>
    <col min="16" max="16" width="120.7109375" style="31" customWidth="1"/>
    <col min="17" max="17" width="20.28515625" style="32" customWidth="1"/>
    <col min="18" max="18" width="17.5703125" style="32" customWidth="1"/>
    <col min="19" max="19" width="14.5703125" style="32" customWidth="1"/>
    <col min="20" max="20" width="14" style="32" customWidth="1"/>
    <col min="21" max="39" width="14.28515625" style="32" customWidth="1"/>
    <col min="40" max="50" width="14.28515625" style="30" customWidth="1"/>
    <col min="51" max="16384" width="9.140625" style="30"/>
  </cols>
  <sheetData>
    <row r="1" spans="1:40" x14ac:dyDescent="0.25">
      <c r="A1" s="33" t="s">
        <v>70</v>
      </c>
      <c r="B1" s="33" t="s">
        <v>71</v>
      </c>
      <c r="C1" s="33"/>
      <c r="D1" s="34" t="s">
        <v>72</v>
      </c>
      <c r="E1" s="34" t="s">
        <v>73</v>
      </c>
      <c r="F1" s="35" t="s">
        <v>74</v>
      </c>
      <c r="G1" s="35" t="s">
        <v>75</v>
      </c>
      <c r="H1" s="35" t="s">
        <v>76</v>
      </c>
      <c r="I1" s="35" t="s">
        <v>77</v>
      </c>
      <c r="J1" s="35" t="s">
        <v>78</v>
      </c>
      <c r="K1" s="35" t="s">
        <v>79</v>
      </c>
      <c r="L1" s="35" t="s">
        <v>80</v>
      </c>
      <c r="M1" s="35" t="s">
        <v>81</v>
      </c>
      <c r="N1" s="35" t="s">
        <v>82</v>
      </c>
      <c r="O1" s="35" t="s">
        <v>83</v>
      </c>
      <c r="P1" s="36" t="s">
        <v>84</v>
      </c>
      <c r="Q1" s="37" t="s">
        <v>85</v>
      </c>
      <c r="R1" s="37" t="s">
        <v>86</v>
      </c>
      <c r="S1" s="38" t="s">
        <v>87</v>
      </c>
      <c r="T1" s="38" t="s">
        <v>88</v>
      </c>
      <c r="U1" s="38" t="s">
        <v>89</v>
      </c>
      <c r="V1" s="38" t="s">
        <v>90</v>
      </c>
      <c r="W1" s="38" t="s">
        <v>91</v>
      </c>
      <c r="X1" s="38" t="s">
        <v>92</v>
      </c>
      <c r="Y1" s="38" t="s">
        <v>93</v>
      </c>
      <c r="Z1" s="38" t="s">
        <v>94</v>
      </c>
      <c r="AA1" s="38" t="s">
        <v>95</v>
      </c>
      <c r="AB1" s="38" t="s">
        <v>96</v>
      </c>
      <c r="AC1" s="38" t="s">
        <v>97</v>
      </c>
      <c r="AD1" s="38" t="s">
        <v>98</v>
      </c>
      <c r="AE1" s="38" t="s">
        <v>99</v>
      </c>
      <c r="AF1" s="38" t="s">
        <v>100</v>
      </c>
      <c r="AG1" s="38" t="s">
        <v>101</v>
      </c>
      <c r="AH1" s="38" t="s">
        <v>102</v>
      </c>
      <c r="AI1" s="38" t="s">
        <v>103</v>
      </c>
      <c r="AJ1" s="38" t="s">
        <v>104</v>
      </c>
      <c r="AK1" s="38" t="s">
        <v>105</v>
      </c>
      <c r="AL1" s="38" t="s">
        <v>106</v>
      </c>
      <c r="AM1" s="39" t="s">
        <v>107</v>
      </c>
      <c r="AN1" s="30" t="s">
        <v>108</v>
      </c>
    </row>
    <row r="2" spans="1:40" x14ac:dyDescent="0.25">
      <c r="C2" s="40"/>
      <c r="D2" s="41">
        <v>0</v>
      </c>
      <c r="E2" s="41" t="s">
        <v>109</v>
      </c>
      <c r="F2" s="42" t="s">
        <v>110</v>
      </c>
      <c r="G2" s="43"/>
      <c r="H2" s="44"/>
      <c r="I2" s="44"/>
      <c r="J2" s="44"/>
      <c r="K2" s="45" t="s">
        <v>111</v>
      </c>
      <c r="L2" s="44"/>
      <c r="M2" s="44"/>
      <c r="N2" s="44"/>
      <c r="O2" s="44"/>
      <c r="P2" s="46" t="s">
        <v>112</v>
      </c>
      <c r="Q2" s="47">
        <f>VLOOKUP(E2,'NI-San_SP'!$C:$AN,12,FALSE)</f>
        <v>213910168</v>
      </c>
      <c r="R2" s="47">
        <f>VLOOKUP(E2,'NI-San_SP'!$C:$AN,13,FALSE)</f>
        <v>232309840</v>
      </c>
      <c r="S2" s="47"/>
      <c r="T2" s="47"/>
      <c r="U2" s="47">
        <f>VLOOKUP($E2,'NI-San_SP'!$C:$AN,MID(U$1,1,2),FALSE)</f>
        <v>0</v>
      </c>
      <c r="V2" s="47">
        <f>VLOOKUP($E2,'NI-San_SP'!$C:$AN,MID(V$1,1,2),FALSE)</f>
        <v>0</v>
      </c>
      <c r="W2" s="47">
        <f>VLOOKUP($E2,'NI-San_SP'!$C:$AN,MID(W$1,1,2),FALSE)</f>
        <v>0</v>
      </c>
      <c r="X2" s="47" t="str">
        <f>VLOOKUP($E2,'NI-San_SP'!$C:$AN,MID(X$1,1,2),FALSE)</f>
        <v/>
      </c>
      <c r="Y2" s="47">
        <f>VLOOKUP($E2,'NI-San_SP'!$C:$AN,MID(Y$1,1,2),FALSE)</f>
        <v>0</v>
      </c>
      <c r="Z2" s="47">
        <f>VLOOKUP($E2,'NI-San_SP'!$C:$AN,MID(Z$1,1,2),FALSE)</f>
        <v>0</v>
      </c>
      <c r="AA2" s="47">
        <f>VLOOKUP($E2,'NI-San_SP'!$C:$AN,MID(AA$1,1,2),FALSE)</f>
        <v>0</v>
      </c>
      <c r="AB2" s="47">
        <f>VLOOKUP($E2,'NI-San_SP'!$C:$AN,MID(AB$1,1,2),FALSE)</f>
        <v>0</v>
      </c>
      <c r="AC2" s="47">
        <f>VLOOKUP($E2,'NI-San_SP'!$C:$AN,MID(AC$1,1,2),FALSE)</f>
        <v>0</v>
      </c>
      <c r="AD2" s="47">
        <f>VLOOKUP($E2,'NI-San_SP'!$C:$AN,MID(AD$1,1,2),FALSE)</f>
        <v>0</v>
      </c>
      <c r="AE2" s="47">
        <f>VLOOKUP($E2,'NI-San_SP'!$C:$AN,MID(AE$1,1,2),FALSE)</f>
        <v>0</v>
      </c>
      <c r="AF2" s="47">
        <f>VLOOKUP($E2,'NI-San_SP'!$C:$AN,MID(AF$1,1,2),FALSE)</f>
        <v>0</v>
      </c>
      <c r="AG2" s="47">
        <f>VLOOKUP($E2,'NI-San_SP'!$C:$AN,MID(AG$1,1,2),FALSE)</f>
        <v>0</v>
      </c>
      <c r="AH2" s="47">
        <f>VLOOKUP($E2,'NI-San_SP'!$C:$AN,MID(AH$1,1,2),FALSE)</f>
        <v>0</v>
      </c>
      <c r="AI2" s="47">
        <f>VLOOKUP($E2,'NI-San_SP'!$C:$AN,MID(AI$1,1,2),FALSE)</f>
        <v>0</v>
      </c>
      <c r="AJ2" s="47">
        <f>VLOOKUP($E2,'NI-San_SP'!$C:$AN,MID(AJ$1,1,2),FALSE)</f>
        <v>0</v>
      </c>
      <c r="AK2" s="47">
        <f>VLOOKUP($E2,'NI-San_SP'!$C:$AN,MID(AK$1,1,2),FALSE)</f>
        <v>0</v>
      </c>
      <c r="AL2" s="47">
        <f>VLOOKUP($E2,'NI-San_SP'!$C:$AN,MID(AL$1,1,2),FALSE)</f>
        <v>0</v>
      </c>
      <c r="AM2" s="48">
        <f>VLOOKUP($E2,'NI-San_SP'!$C:$AN,MID(AM$1,1,2),FALSE)</f>
        <v>0</v>
      </c>
      <c r="AN2" s="30">
        <f t="shared" ref="AN2:AN65" si="0">D2</f>
        <v>0</v>
      </c>
    </row>
    <row r="3" spans="1:40" x14ac:dyDescent="0.25">
      <c r="C3" s="40"/>
      <c r="D3" s="49" t="s">
        <v>113</v>
      </c>
      <c r="E3" s="49" t="s">
        <v>114</v>
      </c>
      <c r="F3" s="50" t="s">
        <v>110</v>
      </c>
      <c r="G3" s="51"/>
      <c r="H3" s="52"/>
      <c r="I3" s="52"/>
      <c r="J3" s="52"/>
      <c r="K3" s="53" t="s">
        <v>111</v>
      </c>
      <c r="L3" s="52"/>
      <c r="M3" s="52"/>
      <c r="N3" s="52"/>
      <c r="O3" s="52"/>
      <c r="P3" s="54" t="s">
        <v>115</v>
      </c>
      <c r="Q3" s="55">
        <f>VLOOKUP(E3,'NI-San_SP'!$C:$AN,12,FALSE)</f>
        <v>102579817</v>
      </c>
      <c r="R3" s="55">
        <f>VLOOKUP(E3,'NI-San_SP'!$C:$AN,13,FALSE)</f>
        <v>96964471</v>
      </c>
      <c r="S3" s="55"/>
      <c r="T3" s="55"/>
      <c r="U3" s="55">
        <f>VLOOKUP($E3,'NI-San_SP'!$C:$AN,MID(U$1,1,2),FALSE)</f>
        <v>0</v>
      </c>
      <c r="V3" s="55">
        <f>VLOOKUP($E3,'NI-San_SP'!$C:$AN,MID(V$1,1,2),FALSE)</f>
        <v>0</v>
      </c>
      <c r="W3" s="55">
        <f>VLOOKUP($E3,'NI-San_SP'!$C:$AN,MID(W$1,1,2),FALSE)</f>
        <v>0</v>
      </c>
      <c r="X3" s="55">
        <f>VLOOKUP($E3,'NI-San_SP'!$C:$AN,MID(X$1,1,2),FALSE)</f>
        <v>0</v>
      </c>
      <c r="Y3" s="55">
        <f>VLOOKUP($E3,'NI-San_SP'!$C:$AN,MID(Y$1,1,2),FALSE)</f>
        <v>0</v>
      </c>
      <c r="Z3" s="55">
        <f>VLOOKUP($E3,'NI-San_SP'!$C:$AN,MID(Z$1,1,2),FALSE)</f>
        <v>0</v>
      </c>
      <c r="AA3" s="55">
        <f>VLOOKUP($E3,'NI-San_SP'!$C:$AN,MID(AA$1,1,2),FALSE)</f>
        <v>0</v>
      </c>
      <c r="AB3" s="55">
        <f>VLOOKUP($E3,'NI-San_SP'!$C:$AN,MID(AB$1,1,2),FALSE)</f>
        <v>0</v>
      </c>
      <c r="AC3" s="55">
        <f>VLOOKUP($E3,'NI-San_SP'!$C:$AN,MID(AC$1,1,2),FALSE)</f>
        <v>0</v>
      </c>
      <c r="AD3" s="55">
        <f>VLOOKUP($E3,'NI-San_SP'!$C:$AN,MID(AD$1,1,2),FALSE)</f>
        <v>0</v>
      </c>
      <c r="AE3" s="55">
        <f>VLOOKUP($E3,'NI-San_SP'!$C:$AN,MID(AE$1,1,2),FALSE)</f>
        <v>0</v>
      </c>
      <c r="AF3" s="55">
        <f>VLOOKUP($E3,'NI-San_SP'!$C:$AN,MID(AF$1,1,2),FALSE)</f>
        <v>0</v>
      </c>
      <c r="AG3" s="55">
        <f>VLOOKUP($E3,'NI-San_SP'!$C:$AN,MID(AG$1,1,2),FALSE)</f>
        <v>0</v>
      </c>
      <c r="AH3" s="55">
        <f>VLOOKUP($E3,'NI-San_SP'!$C:$AN,MID(AH$1,1,2),FALSE)</f>
        <v>0</v>
      </c>
      <c r="AI3" s="55">
        <f>VLOOKUP($E3,'NI-San_SP'!$C:$AN,MID(AI$1,1,2),FALSE)</f>
        <v>0</v>
      </c>
      <c r="AJ3" s="55">
        <f>VLOOKUP($E3,'NI-San_SP'!$C:$AN,MID(AJ$1,1,2),FALSE)</f>
        <v>0</v>
      </c>
      <c r="AK3" s="55">
        <f>VLOOKUP($E3,'NI-San_SP'!$C:$AN,MID(AK$1,1,2),FALSE)</f>
        <v>0</v>
      </c>
      <c r="AL3" s="55">
        <f>VLOOKUP($E3,'NI-San_SP'!$C:$AN,MID(AL$1,1,2),FALSE)</f>
        <v>0</v>
      </c>
      <c r="AM3" s="56">
        <f>VLOOKUP($E3,'NI-San_SP'!$C:$AN,MID(AM$1,1,2),FALSE)</f>
        <v>0</v>
      </c>
      <c r="AN3" s="30" t="str">
        <f t="shared" si="0"/>
        <v>10000000000000</v>
      </c>
    </row>
    <row r="4" spans="1:40" x14ac:dyDescent="0.25">
      <c r="C4" s="40"/>
      <c r="D4" s="57" t="s">
        <v>116</v>
      </c>
      <c r="E4" s="57" t="s">
        <v>117</v>
      </c>
      <c r="F4" s="58" t="s">
        <v>110</v>
      </c>
      <c r="G4" s="52"/>
      <c r="H4" s="52"/>
      <c r="I4" s="52"/>
      <c r="J4" s="52"/>
      <c r="K4" s="59" t="s">
        <v>111</v>
      </c>
      <c r="L4" s="52"/>
      <c r="M4" s="52"/>
      <c r="N4" s="52"/>
      <c r="O4" s="52"/>
      <c r="P4" s="60" t="s">
        <v>118</v>
      </c>
      <c r="Q4" s="55">
        <f>VLOOKUP(E4,'NI-San_SP'!$C:$AN,12,FALSE)</f>
        <v>1505977</v>
      </c>
      <c r="R4" s="55">
        <f>VLOOKUP(E4,'NI-San_SP'!$C:$AN,13,FALSE)</f>
        <v>1902992</v>
      </c>
      <c r="S4" s="55"/>
      <c r="T4" s="55"/>
      <c r="U4" s="55">
        <f>VLOOKUP($E4,'NI-San_SP'!$C:$AN,MID(U$1,1,2),FALSE)</f>
        <v>0</v>
      </c>
      <c r="V4" s="55">
        <f>VLOOKUP($E4,'NI-San_SP'!$C:$AN,MID(V$1,1,2),FALSE)</f>
        <v>0</v>
      </c>
      <c r="W4" s="55">
        <f>VLOOKUP($E4,'NI-San_SP'!$C:$AN,MID(W$1,1,2),FALSE)</f>
        <v>0</v>
      </c>
      <c r="X4" s="55" t="str">
        <f>VLOOKUP($E4,'NI-San_SP'!$C:$AN,MID(X$1,1,2),FALSE)</f>
        <v/>
      </c>
      <c r="Y4" s="55">
        <f>VLOOKUP($E4,'NI-San_SP'!$C:$AN,MID(Y$1,1,2),FALSE)</f>
        <v>0</v>
      </c>
      <c r="Z4" s="55">
        <f>VLOOKUP($E4,'NI-San_SP'!$C:$AN,MID(Z$1,1,2),FALSE)</f>
        <v>0</v>
      </c>
      <c r="AA4" s="55">
        <f>VLOOKUP($E4,'NI-San_SP'!$C:$AN,MID(AA$1,1,2),FALSE)</f>
        <v>0</v>
      </c>
      <c r="AB4" s="55">
        <f>VLOOKUP($E4,'NI-San_SP'!$C:$AN,MID(AB$1,1,2),FALSE)</f>
        <v>-916867</v>
      </c>
      <c r="AC4" s="55">
        <f>VLOOKUP($E4,'NI-San_SP'!$C:$AN,MID(AC$1,1,2),FALSE)</f>
        <v>0</v>
      </c>
      <c r="AD4" s="55">
        <f>VLOOKUP($E4,'NI-San_SP'!$C:$AN,MID(AD$1,1,2),FALSE)</f>
        <v>0</v>
      </c>
      <c r="AE4" s="55">
        <f>VLOOKUP($E4,'NI-San_SP'!$C:$AN,MID(AE$1,1,2),FALSE)</f>
        <v>0</v>
      </c>
      <c r="AF4" s="55">
        <f>VLOOKUP($E4,'NI-San_SP'!$C:$AN,MID(AF$1,1,2),FALSE)</f>
        <v>0</v>
      </c>
      <c r="AG4" s="55">
        <f>VLOOKUP($E4,'NI-San_SP'!$C:$AN,MID(AG$1,1,2),FALSE)</f>
        <v>0</v>
      </c>
      <c r="AH4" s="55">
        <f>VLOOKUP($E4,'NI-San_SP'!$C:$AN,MID(AH$1,1,2),FALSE)</f>
        <v>0</v>
      </c>
      <c r="AI4" s="55" t="str">
        <f>VLOOKUP($E4,'NI-San_SP'!$C:$AN,MID(AI$1,1,2),FALSE)</f>
        <v>Quadratura Giroconti imm. immat. in corso concluse</v>
      </c>
      <c r="AJ4" s="55">
        <f>VLOOKUP($E4,'NI-San_SP'!$C:$AN,MID(AJ$1,1,2),FALSE)</f>
        <v>0</v>
      </c>
      <c r="AK4" s="55">
        <f>VLOOKUP($E4,'NI-San_SP'!$C:$AN,MID(AK$1,1,2),FALSE)</f>
        <v>0</v>
      </c>
      <c r="AL4" s="55">
        <f>VLOOKUP($E4,'NI-San_SP'!$C:$AN,MID(AL$1,1,2),FALSE)</f>
        <v>0</v>
      </c>
      <c r="AM4" s="56">
        <f>VLOOKUP($E4,'NI-San_SP'!$C:$AN,MID(AM$1,1,2),FALSE)</f>
        <v>0</v>
      </c>
      <c r="AN4" s="30" t="str">
        <f t="shared" si="0"/>
        <v>10100000000000</v>
      </c>
    </row>
    <row r="5" spans="1:40" x14ac:dyDescent="0.25">
      <c r="C5" s="40"/>
      <c r="D5" s="57" t="s">
        <v>119</v>
      </c>
      <c r="E5" s="57" t="s">
        <v>120</v>
      </c>
      <c r="F5" s="58" t="s">
        <v>110</v>
      </c>
      <c r="G5" s="52"/>
      <c r="H5" s="52"/>
      <c r="I5" s="52"/>
      <c r="J5" s="52"/>
      <c r="K5" s="59" t="s">
        <v>111</v>
      </c>
      <c r="L5" s="52"/>
      <c r="M5" s="52"/>
      <c r="N5" s="52"/>
      <c r="O5" s="61" t="s">
        <v>121</v>
      </c>
      <c r="P5" s="60" t="s">
        <v>122</v>
      </c>
      <c r="Q5" s="55">
        <f>VLOOKUP(E5,'NI-San_SP'!$C:$AN,12,FALSE)</f>
        <v>0</v>
      </c>
      <c r="R5" s="55">
        <f>VLOOKUP(E5,'NI-San_SP'!$C:$AN,13,FALSE)</f>
        <v>0</v>
      </c>
      <c r="S5" s="55"/>
      <c r="T5" s="55"/>
      <c r="U5" s="55">
        <f>VLOOKUP($E5,'NI-San_SP'!$C:$AN,MID(U$1,1,2),FALSE)</f>
        <v>0</v>
      </c>
      <c r="V5" s="55">
        <f>VLOOKUP($E5,'NI-San_SP'!$C:$AN,MID(V$1,1,2),FALSE)</f>
        <v>0</v>
      </c>
      <c r="W5" s="55">
        <f>VLOOKUP($E5,'NI-San_SP'!$C:$AN,MID(W$1,1,2),FALSE)</f>
        <v>0</v>
      </c>
      <c r="X5" s="55">
        <f>VLOOKUP($E5,'NI-San_SP'!$C:$AN,MID(X$1,1,2),FALSE)</f>
        <v>0</v>
      </c>
      <c r="Y5" s="55">
        <f>VLOOKUP($E5,'NI-San_SP'!$C:$AN,MID(Y$1,1,2),FALSE)</f>
        <v>0</v>
      </c>
      <c r="Z5" s="55">
        <f>VLOOKUP($E5,'NI-San_SP'!$C:$AN,MID(Z$1,1,2),FALSE)</f>
        <v>0</v>
      </c>
      <c r="AA5" s="55">
        <f>VLOOKUP($E5,'NI-San_SP'!$C:$AN,MID(AA$1,1,2),FALSE)</f>
        <v>0</v>
      </c>
      <c r="AB5" s="55">
        <f>VLOOKUP($E5,'NI-San_SP'!$C:$AN,MID(AB$1,1,2),FALSE)</f>
        <v>0</v>
      </c>
      <c r="AC5" s="55">
        <f>VLOOKUP($E5,'NI-San_SP'!$C:$AN,MID(AC$1,1,2),FALSE)</f>
        <v>0</v>
      </c>
      <c r="AD5" s="55">
        <f>VLOOKUP($E5,'NI-San_SP'!$C:$AN,MID(AD$1,1,2),FALSE)</f>
        <v>0</v>
      </c>
      <c r="AE5" s="55">
        <f>VLOOKUP($E5,'NI-San_SP'!$C:$AN,MID(AE$1,1,2),FALSE)</f>
        <v>0</v>
      </c>
      <c r="AF5" s="55">
        <f>VLOOKUP($E5,'NI-San_SP'!$C:$AN,MID(AF$1,1,2),FALSE)</f>
        <v>0</v>
      </c>
      <c r="AG5" s="55">
        <f>VLOOKUP($E5,'NI-San_SP'!$C:$AN,MID(AG$1,1,2),FALSE)</f>
        <v>0</v>
      </c>
      <c r="AH5" s="55">
        <f>VLOOKUP($E5,'NI-San_SP'!$C:$AN,MID(AH$1,1,2),FALSE)</f>
        <v>0</v>
      </c>
      <c r="AI5" s="55">
        <f>VLOOKUP($E5,'NI-San_SP'!$C:$AN,MID(AI$1,1,2),FALSE)</f>
        <v>0</v>
      </c>
      <c r="AJ5" s="55">
        <f>VLOOKUP($E5,'NI-San_SP'!$C:$AN,MID(AJ$1,1,2),FALSE)</f>
        <v>0</v>
      </c>
      <c r="AK5" s="55">
        <f>VLOOKUP($E5,'NI-San_SP'!$C:$AN,MID(AK$1,1,2),FALSE)</f>
        <v>0</v>
      </c>
      <c r="AL5" s="55">
        <f>VLOOKUP($E5,'NI-San_SP'!$C:$AN,MID(AL$1,1,2),FALSE)</f>
        <v>0</v>
      </c>
      <c r="AM5" s="56">
        <f>VLOOKUP($E5,'NI-San_SP'!$C:$AN,MID(AM$1,1,2),FALSE)</f>
        <v>0</v>
      </c>
      <c r="AN5" s="30" t="str">
        <f t="shared" si="0"/>
        <v>10101000000000</v>
      </c>
    </row>
    <row r="6" spans="1:40" x14ac:dyDescent="0.25">
      <c r="C6" s="40"/>
      <c r="D6" s="57" t="s">
        <v>123</v>
      </c>
      <c r="E6" s="57" t="s">
        <v>124</v>
      </c>
      <c r="F6" s="58" t="s">
        <v>110</v>
      </c>
      <c r="G6" s="52"/>
      <c r="H6" s="52"/>
      <c r="I6" s="52" t="s">
        <v>125</v>
      </c>
      <c r="J6" s="52" t="s">
        <v>125</v>
      </c>
      <c r="K6" s="59" t="s">
        <v>111</v>
      </c>
      <c r="L6" s="62" t="s">
        <v>126</v>
      </c>
      <c r="M6" s="52"/>
      <c r="N6" s="52"/>
      <c r="O6" s="52"/>
      <c r="P6" s="54" t="s">
        <v>127</v>
      </c>
      <c r="Q6" s="55">
        <f>VLOOKUP(E6,'NI-San_SP'!$C:$AN,12,FALSE)</f>
        <v>79200</v>
      </c>
      <c r="R6" s="55">
        <f>VLOOKUP(E6,'NI-San_SP'!$C:$AN,13,FALSE)</f>
        <v>79200</v>
      </c>
      <c r="S6" s="55"/>
      <c r="T6" s="55"/>
      <c r="U6" s="55">
        <f>VLOOKUP($E6,'NI-San_SP'!$C:$AN,MID(U$1,1,2),FALSE)</f>
        <v>0</v>
      </c>
      <c r="V6" s="55">
        <f>VLOOKUP($E6,'NI-San_SP'!$C:$AN,MID(V$1,1,2),FALSE)</f>
        <v>79200</v>
      </c>
      <c r="W6" s="55">
        <f>VLOOKUP($E6,'NI-San_SP'!$C:$AN,MID(W$1,1,2),FALSE)</f>
        <v>0</v>
      </c>
      <c r="X6" s="55">
        <f>VLOOKUP($E6,'NI-San_SP'!$C:$AN,MID(X$1,1,2),FALSE)</f>
        <v>0</v>
      </c>
      <c r="Y6" s="55">
        <f>VLOOKUP($E6,'NI-San_SP'!$C:$AN,MID(Y$1,1,2),FALSE)</f>
        <v>0</v>
      </c>
      <c r="Z6" s="55">
        <f>VLOOKUP($E6,'NI-San_SP'!$C:$AN,MID(Z$1,1,2),FALSE)</f>
        <v>0</v>
      </c>
      <c r="AA6" s="55">
        <f>VLOOKUP($E6,'NI-San_SP'!$C:$AN,MID(AA$1,1,2),FALSE)</f>
        <v>0</v>
      </c>
      <c r="AB6" s="55">
        <f>VLOOKUP($E6,'NI-San_SP'!$C:$AN,MID(AB$1,1,2),FALSE)</f>
        <v>0</v>
      </c>
      <c r="AC6" s="55">
        <f>VLOOKUP($E6,'NI-San_SP'!$C:$AN,MID(AC$1,1,2),FALSE)</f>
        <v>0</v>
      </c>
      <c r="AD6" s="55">
        <f>VLOOKUP($E6,'NI-San_SP'!$C:$AN,MID(AD$1,1,2),FALSE)</f>
        <v>0</v>
      </c>
      <c r="AE6" s="55">
        <f>VLOOKUP($E6,'NI-San_SP'!$C:$AN,MID(AE$1,1,2),FALSE)</f>
        <v>0</v>
      </c>
      <c r="AF6" s="55">
        <f>VLOOKUP($E6,'NI-San_SP'!$C:$AN,MID(AF$1,1,2),FALSE)</f>
        <v>0</v>
      </c>
      <c r="AG6" s="55">
        <f>VLOOKUP($E6,'NI-San_SP'!$C:$AN,MID(AG$1,1,2),FALSE)</f>
        <v>0</v>
      </c>
      <c r="AH6" s="55">
        <f>VLOOKUP($E6,'NI-San_SP'!$C:$AN,MID(AH$1,1,2),FALSE)</f>
        <v>0</v>
      </c>
      <c r="AI6" s="55">
        <f>VLOOKUP($E6,'NI-San_SP'!$C:$AN,MID(AI$1,1,2),FALSE)</f>
        <v>0</v>
      </c>
      <c r="AJ6" s="55">
        <f>VLOOKUP($E6,'NI-San_SP'!$C:$AN,MID(AJ$1,1,2),FALSE)</f>
        <v>0</v>
      </c>
      <c r="AK6" s="55">
        <f>VLOOKUP($E6,'NI-San_SP'!$C:$AN,MID(AK$1,1,2),FALSE)</f>
        <v>0</v>
      </c>
      <c r="AL6" s="55">
        <f>VLOOKUP($E6,'NI-San_SP'!$C:$AN,MID(AL$1,1,2),FALSE)</f>
        <v>0</v>
      </c>
      <c r="AM6" s="56">
        <f>VLOOKUP($E6,'NI-San_SP'!$C:$AN,MID(AM$1,1,2),FALSE)</f>
        <v>0</v>
      </c>
      <c r="AN6" s="30" t="str">
        <f t="shared" si="0"/>
        <v>10101010000000</v>
      </c>
    </row>
    <row r="7" spans="1:40" x14ac:dyDescent="0.25">
      <c r="C7" s="40"/>
      <c r="D7" s="57" t="s">
        <v>128</v>
      </c>
      <c r="E7" s="57" t="s">
        <v>129</v>
      </c>
      <c r="F7" s="58" t="s">
        <v>110</v>
      </c>
      <c r="G7" s="52"/>
      <c r="H7" s="52"/>
      <c r="I7" s="52"/>
      <c r="J7" s="52"/>
      <c r="K7" s="59" t="s">
        <v>79</v>
      </c>
      <c r="L7" s="52"/>
      <c r="M7" s="52"/>
      <c r="N7" s="52"/>
      <c r="O7" s="52"/>
      <c r="P7" s="63" t="s">
        <v>130</v>
      </c>
      <c r="Q7" s="55">
        <f>VLOOKUP(E7,'NI-San_SP'!$C:$AN,12,FALSE)</f>
        <v>79200</v>
      </c>
      <c r="R7" s="55">
        <f>VLOOKUP(E7,'NI-San_SP'!$C:$AN,13,FALSE)</f>
        <v>79200</v>
      </c>
      <c r="S7" s="55"/>
      <c r="T7" s="55"/>
      <c r="U7" s="55">
        <f>VLOOKUP($E7,'NI-San_SP'!$C:$AN,MID(U$1,1,2),FALSE)</f>
        <v>0</v>
      </c>
      <c r="V7" s="55">
        <f>VLOOKUP($E7,'NI-San_SP'!$C:$AN,MID(V$1,1,2),FALSE)</f>
        <v>79200</v>
      </c>
      <c r="W7" s="55">
        <f>VLOOKUP($E7,'NI-San_SP'!$C:$AN,MID(W$1,1,2),FALSE)</f>
        <v>0</v>
      </c>
      <c r="X7" s="55">
        <f>VLOOKUP($E7,'NI-San_SP'!$C:$AN,MID(X$1,1,2),FALSE)</f>
        <v>0</v>
      </c>
      <c r="Y7" s="55">
        <f>VLOOKUP($E7,'NI-San_SP'!$C:$AN,MID(Y$1,1,2),FALSE)</f>
        <v>0</v>
      </c>
      <c r="Z7" s="55">
        <f>VLOOKUP($E7,'NI-San_SP'!$C:$AN,MID(Z$1,1,2),FALSE)</f>
        <v>0</v>
      </c>
      <c r="AA7" s="55">
        <f>VLOOKUP($E7,'NI-San_SP'!$C:$AN,MID(AA$1,1,2),FALSE)</f>
        <v>0</v>
      </c>
      <c r="AB7" s="55">
        <f>VLOOKUP($E7,'NI-San_SP'!$C:$AN,MID(AB$1,1,2),FALSE)</f>
        <v>0</v>
      </c>
      <c r="AC7" s="55">
        <f>VLOOKUP($E7,'NI-San_SP'!$C:$AN,MID(AC$1,1,2),FALSE)</f>
        <v>0</v>
      </c>
      <c r="AD7" s="55">
        <f>VLOOKUP($E7,'NI-San_SP'!$C:$AN,MID(AD$1,1,2),FALSE)</f>
        <v>0</v>
      </c>
      <c r="AE7" s="55">
        <f>VLOOKUP($E7,'NI-San_SP'!$C:$AN,MID(AE$1,1,2),FALSE)</f>
        <v>0</v>
      </c>
      <c r="AF7" s="55">
        <f>VLOOKUP($E7,'NI-San_SP'!$C:$AN,MID(AF$1,1,2),FALSE)</f>
        <v>0</v>
      </c>
      <c r="AG7" s="55">
        <f>VLOOKUP($E7,'NI-San_SP'!$C:$AN,MID(AG$1,1,2),FALSE)</f>
        <v>0</v>
      </c>
      <c r="AH7" s="55">
        <f>VLOOKUP($E7,'NI-San_SP'!$C:$AN,MID(AH$1,1,2),FALSE)</f>
        <v>0</v>
      </c>
      <c r="AI7" s="55">
        <f>VLOOKUP($E7,'NI-San_SP'!$C:$AN,MID(AI$1,1,2),FALSE)</f>
        <v>0</v>
      </c>
      <c r="AJ7" s="55">
        <f>VLOOKUP($E7,'NI-San_SP'!$C:$AN,MID(AJ$1,1,2),FALSE)</f>
        <v>0</v>
      </c>
      <c r="AK7" s="55">
        <f>VLOOKUP($E7,'NI-San_SP'!$C:$AN,MID(AK$1,1,2),FALSE)</f>
        <v>0</v>
      </c>
      <c r="AL7" s="55">
        <f>VLOOKUP($E7,'NI-San_SP'!$C:$AN,MID(AL$1,1,2),FALSE)</f>
        <v>0</v>
      </c>
      <c r="AM7" s="56">
        <f>VLOOKUP($E7,'NI-San_SP'!$C:$AN,MID(AM$1,1,2),FALSE)</f>
        <v>0</v>
      </c>
      <c r="AN7" s="30" t="str">
        <f t="shared" si="0"/>
        <v>10101010010000</v>
      </c>
    </row>
    <row r="8" spans="1:40" x14ac:dyDescent="0.25">
      <c r="C8" s="40"/>
      <c r="D8" s="57" t="s">
        <v>131</v>
      </c>
      <c r="E8" s="57" t="s">
        <v>132</v>
      </c>
      <c r="F8" s="58" t="s">
        <v>110</v>
      </c>
      <c r="G8" s="52"/>
      <c r="H8" s="52"/>
      <c r="I8" s="52"/>
      <c r="J8" s="52"/>
      <c r="K8" s="59" t="s">
        <v>79</v>
      </c>
      <c r="L8" s="52"/>
      <c r="M8" s="52"/>
      <c r="N8" s="52"/>
      <c r="O8" s="52"/>
      <c r="P8" s="63" t="s">
        <v>133</v>
      </c>
      <c r="Q8" s="55">
        <f>VLOOKUP(E8,'NI-San_SP'!$C:$AN,12,FALSE)</f>
        <v>0</v>
      </c>
      <c r="R8" s="55">
        <f>VLOOKUP(E8,'NI-San_SP'!$C:$AN,13,FALSE)</f>
        <v>0</v>
      </c>
      <c r="S8" s="55"/>
      <c r="T8" s="55"/>
      <c r="U8" s="55">
        <f>VLOOKUP($E8,'NI-San_SP'!$C:$AN,MID(U$1,1,2),FALSE)</f>
        <v>0</v>
      </c>
      <c r="V8" s="55">
        <f>VLOOKUP($E8,'NI-San_SP'!$C:$AN,MID(V$1,1,2),FALSE)</f>
        <v>0</v>
      </c>
      <c r="W8" s="55">
        <f>VLOOKUP($E8,'NI-San_SP'!$C:$AN,MID(W$1,1,2),FALSE)</f>
        <v>0</v>
      </c>
      <c r="X8" s="55">
        <f>VLOOKUP($E8,'NI-San_SP'!$C:$AN,MID(X$1,1,2),FALSE)</f>
        <v>0</v>
      </c>
      <c r="Y8" s="55">
        <f>VLOOKUP($E8,'NI-San_SP'!$C:$AN,MID(Y$1,1,2),FALSE)</f>
        <v>0</v>
      </c>
      <c r="Z8" s="55">
        <f>VLOOKUP($E8,'NI-San_SP'!$C:$AN,MID(Z$1,1,2),FALSE)</f>
        <v>0</v>
      </c>
      <c r="AA8" s="55">
        <f>VLOOKUP($E8,'NI-San_SP'!$C:$AN,MID(AA$1,1,2),FALSE)</f>
        <v>0</v>
      </c>
      <c r="AB8" s="55">
        <f>VLOOKUP($E8,'NI-San_SP'!$C:$AN,MID(AB$1,1,2),FALSE)</f>
        <v>0</v>
      </c>
      <c r="AC8" s="55">
        <f>VLOOKUP($E8,'NI-San_SP'!$C:$AN,MID(AC$1,1,2),FALSE)</f>
        <v>0</v>
      </c>
      <c r="AD8" s="55">
        <f>VLOOKUP($E8,'NI-San_SP'!$C:$AN,MID(AD$1,1,2),FALSE)</f>
        <v>0</v>
      </c>
      <c r="AE8" s="55">
        <f>VLOOKUP($E8,'NI-San_SP'!$C:$AN,MID(AE$1,1,2),FALSE)</f>
        <v>0</v>
      </c>
      <c r="AF8" s="55">
        <f>VLOOKUP($E8,'NI-San_SP'!$C:$AN,MID(AF$1,1,2),FALSE)</f>
        <v>0</v>
      </c>
      <c r="AG8" s="55">
        <f>VLOOKUP($E8,'NI-San_SP'!$C:$AN,MID(AG$1,1,2),FALSE)</f>
        <v>0</v>
      </c>
      <c r="AH8" s="55">
        <f>VLOOKUP($E8,'NI-San_SP'!$C:$AN,MID(AH$1,1,2),FALSE)</f>
        <v>0</v>
      </c>
      <c r="AI8" s="55">
        <f>VLOOKUP($E8,'NI-San_SP'!$C:$AN,MID(AI$1,1,2),FALSE)</f>
        <v>0</v>
      </c>
      <c r="AJ8" s="55">
        <f>VLOOKUP($E8,'NI-San_SP'!$C:$AN,MID(AJ$1,1,2),FALSE)</f>
        <v>0</v>
      </c>
      <c r="AK8" s="55">
        <f>VLOOKUP($E8,'NI-San_SP'!$C:$AN,MID(AK$1,1,2),FALSE)</f>
        <v>0</v>
      </c>
      <c r="AL8" s="55">
        <f>VLOOKUP($E8,'NI-San_SP'!$C:$AN,MID(AL$1,1,2),FALSE)</f>
        <v>0</v>
      </c>
      <c r="AM8" s="56">
        <f>VLOOKUP($E8,'NI-San_SP'!$C:$AN,MID(AM$1,1,2),FALSE)</f>
        <v>0</v>
      </c>
      <c r="AN8" s="30" t="str">
        <f t="shared" si="0"/>
        <v>10101010020000</v>
      </c>
    </row>
    <row r="9" spans="1:40" x14ac:dyDescent="0.25">
      <c r="C9" s="40"/>
      <c r="D9" s="57" t="s">
        <v>134</v>
      </c>
      <c r="E9" s="57" t="s">
        <v>135</v>
      </c>
      <c r="F9" s="58" t="s">
        <v>110</v>
      </c>
      <c r="G9" s="52"/>
      <c r="H9" s="52"/>
      <c r="I9" s="52" t="s">
        <v>136</v>
      </c>
      <c r="J9" s="52" t="s">
        <v>136</v>
      </c>
      <c r="K9" s="59" t="s">
        <v>111</v>
      </c>
      <c r="L9" s="62" t="s">
        <v>137</v>
      </c>
      <c r="M9" s="52"/>
      <c r="N9" s="52"/>
      <c r="O9" s="52"/>
      <c r="P9" s="54" t="s">
        <v>138</v>
      </c>
      <c r="Q9" s="55">
        <f>VLOOKUP(E9,'NI-San_SP'!$C:$AN,12,FALSE)</f>
        <v>79200</v>
      </c>
      <c r="R9" s="55">
        <f>VLOOKUP(E9,'NI-San_SP'!$C:$AN,13,FALSE)</f>
        <v>79200</v>
      </c>
      <c r="S9" s="55"/>
      <c r="T9" s="55"/>
      <c r="U9" s="55">
        <f>VLOOKUP($E9,'NI-San_SP'!$C:$AN,MID(U$1,1,2),FALSE)</f>
        <v>0</v>
      </c>
      <c r="V9" s="55">
        <f>VLOOKUP($E9,'NI-San_SP'!$C:$AN,MID(V$1,1,2),FALSE)</f>
        <v>79200</v>
      </c>
      <c r="W9" s="55">
        <f>VLOOKUP($E9,'NI-San_SP'!$C:$AN,MID(W$1,1,2),FALSE)</f>
        <v>0</v>
      </c>
      <c r="X9" s="55">
        <f>VLOOKUP($E9,'NI-San_SP'!$C:$AN,MID(X$1,1,2),FALSE)</f>
        <v>0</v>
      </c>
      <c r="Y9" s="55">
        <f>VLOOKUP($E9,'NI-San_SP'!$C:$AN,MID(Y$1,1,2),FALSE)</f>
        <v>0</v>
      </c>
      <c r="Z9" s="55">
        <f>VLOOKUP($E9,'NI-San_SP'!$C:$AN,MID(Z$1,1,2),FALSE)</f>
        <v>0</v>
      </c>
      <c r="AA9" s="55">
        <f>VLOOKUP($E9,'NI-San_SP'!$C:$AN,MID(AA$1,1,2),FALSE)</f>
        <v>0</v>
      </c>
      <c r="AB9" s="55">
        <f>VLOOKUP($E9,'NI-San_SP'!$C:$AN,MID(AB$1,1,2),FALSE)</f>
        <v>0</v>
      </c>
      <c r="AC9" s="55">
        <f>VLOOKUP($E9,'NI-San_SP'!$C:$AN,MID(AC$1,1,2),FALSE)</f>
        <v>0</v>
      </c>
      <c r="AD9" s="55">
        <f>VLOOKUP($E9,'NI-San_SP'!$C:$AN,MID(AD$1,1,2),FALSE)</f>
        <v>0</v>
      </c>
      <c r="AE9" s="55">
        <f>VLOOKUP($E9,'NI-San_SP'!$C:$AN,MID(AE$1,1,2),FALSE)</f>
        <v>0</v>
      </c>
      <c r="AF9" s="55">
        <f>VLOOKUP($E9,'NI-San_SP'!$C:$AN,MID(AF$1,1,2),FALSE)</f>
        <v>0</v>
      </c>
      <c r="AG9" s="55">
        <f>VLOOKUP($E9,'NI-San_SP'!$C:$AN,MID(AG$1,1,2),FALSE)</f>
        <v>0</v>
      </c>
      <c r="AH9" s="55">
        <f>VLOOKUP($E9,'NI-San_SP'!$C:$AN,MID(AH$1,1,2),FALSE)</f>
        <v>0</v>
      </c>
      <c r="AI9" s="55">
        <f>VLOOKUP($E9,'NI-San_SP'!$C:$AN,MID(AI$1,1,2),FALSE)</f>
        <v>0</v>
      </c>
      <c r="AJ9" s="55">
        <f>VLOOKUP($E9,'NI-San_SP'!$C:$AN,MID(AJ$1,1,2),FALSE)</f>
        <v>0</v>
      </c>
      <c r="AK9" s="55">
        <f>VLOOKUP($E9,'NI-San_SP'!$C:$AN,MID(AK$1,1,2),FALSE)</f>
        <v>0</v>
      </c>
      <c r="AL9" s="55">
        <f>VLOOKUP($E9,'NI-San_SP'!$C:$AN,MID(AL$1,1,2),FALSE)</f>
        <v>0</v>
      </c>
      <c r="AM9" s="56">
        <f>VLOOKUP($E9,'NI-San_SP'!$C:$AN,MID(AM$1,1,2),FALSE)</f>
        <v>0</v>
      </c>
      <c r="AN9" s="30" t="str">
        <f t="shared" si="0"/>
        <v>10101020000000</v>
      </c>
    </row>
    <row r="10" spans="1:40" x14ac:dyDescent="0.25">
      <c r="C10" s="40"/>
      <c r="D10" s="57" t="s">
        <v>139</v>
      </c>
      <c r="E10" s="57" t="s">
        <v>140</v>
      </c>
      <c r="F10" s="58" t="s">
        <v>110</v>
      </c>
      <c r="G10" s="52"/>
      <c r="H10" s="52"/>
      <c r="I10" s="52"/>
      <c r="J10" s="52"/>
      <c r="K10" s="59" t="s">
        <v>79</v>
      </c>
      <c r="L10" s="52"/>
      <c r="M10" s="52"/>
      <c r="N10" s="52"/>
      <c r="O10" s="52"/>
      <c r="P10" s="63" t="s">
        <v>141</v>
      </c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6"/>
      <c r="AN10" s="30" t="str">
        <f t="shared" si="0"/>
        <v>10101020010000</v>
      </c>
    </row>
    <row r="11" spans="1:40" x14ac:dyDescent="0.25">
      <c r="C11" s="40"/>
      <c r="D11" s="57" t="s">
        <v>142</v>
      </c>
      <c r="E11" s="57" t="s">
        <v>143</v>
      </c>
      <c r="F11" s="58" t="s">
        <v>110</v>
      </c>
      <c r="G11" s="52"/>
      <c r="H11" s="52"/>
      <c r="I11" s="52"/>
      <c r="J11" s="52"/>
      <c r="K11" s="59" t="s">
        <v>79</v>
      </c>
      <c r="L11" s="52"/>
      <c r="M11" s="52"/>
      <c r="N11" s="52"/>
      <c r="O11" s="52"/>
      <c r="P11" s="63" t="s">
        <v>144</v>
      </c>
      <c r="Q11" s="55">
        <f>VLOOKUP(E11,'NI-San_SP'!$C:$AN,12,FALSE)</f>
        <v>0</v>
      </c>
      <c r="R11" s="55">
        <f>VLOOKUP(E11,'NI-San_SP'!$C:$AN,13,FALSE)</f>
        <v>0</v>
      </c>
      <c r="S11" s="55"/>
      <c r="T11" s="55"/>
      <c r="U11" s="55">
        <f>VLOOKUP($E11,'NI-San_SP'!$C:$AN,MID(U$1,1,2),FALSE)</f>
        <v>0</v>
      </c>
      <c r="V11" s="55">
        <f>VLOOKUP($E11,'NI-San_SP'!$C:$AN,MID(V$1,1,2),FALSE)</f>
        <v>0</v>
      </c>
      <c r="W11" s="55">
        <f>VLOOKUP($E11,'NI-San_SP'!$C:$AN,MID(W$1,1,2),FALSE)</f>
        <v>0</v>
      </c>
      <c r="X11" s="55">
        <f>VLOOKUP($E11,'NI-San_SP'!$C:$AN,MID(X$1,1,2),FALSE)</f>
        <v>0</v>
      </c>
      <c r="Y11" s="55">
        <f>VLOOKUP($E11,'NI-San_SP'!$C:$AN,MID(Y$1,1,2),FALSE)</f>
        <v>0</v>
      </c>
      <c r="Z11" s="55">
        <f>VLOOKUP($E11,'NI-San_SP'!$C:$AN,MID(Z$1,1,2),FALSE)</f>
        <v>0</v>
      </c>
      <c r="AA11" s="55">
        <f>VLOOKUP($E11,'NI-San_SP'!$C:$AN,MID(AA$1,1,2),FALSE)</f>
        <v>0</v>
      </c>
      <c r="AB11" s="55">
        <f>VLOOKUP($E11,'NI-San_SP'!$C:$AN,MID(AB$1,1,2),FALSE)</f>
        <v>0</v>
      </c>
      <c r="AC11" s="55">
        <f>VLOOKUP($E11,'NI-San_SP'!$C:$AN,MID(AC$1,1,2),FALSE)</f>
        <v>0</v>
      </c>
      <c r="AD11" s="55">
        <f>VLOOKUP($E11,'NI-San_SP'!$C:$AN,MID(AD$1,1,2),FALSE)</f>
        <v>0</v>
      </c>
      <c r="AE11" s="55">
        <f>VLOOKUP($E11,'NI-San_SP'!$C:$AN,MID(AE$1,1,2),FALSE)</f>
        <v>0</v>
      </c>
      <c r="AF11" s="55">
        <f>VLOOKUP($E11,'NI-San_SP'!$C:$AN,MID(AF$1,1,2),FALSE)</f>
        <v>0</v>
      </c>
      <c r="AG11" s="55">
        <f>VLOOKUP($E11,'NI-San_SP'!$C:$AN,MID(AG$1,1,2),FALSE)</f>
        <v>0</v>
      </c>
      <c r="AH11" s="55">
        <f>VLOOKUP($E11,'NI-San_SP'!$C:$AN,MID(AH$1,1,2),FALSE)</f>
        <v>0</v>
      </c>
      <c r="AI11" s="55">
        <f>VLOOKUP($E11,'NI-San_SP'!$C:$AN,MID(AI$1,1,2),FALSE)</f>
        <v>0</v>
      </c>
      <c r="AJ11" s="55">
        <f>VLOOKUP($E11,'NI-San_SP'!$C:$AN,MID(AJ$1,1,2),FALSE)</f>
        <v>0</v>
      </c>
      <c r="AK11" s="55">
        <f>VLOOKUP($E11,'NI-San_SP'!$C:$AN,MID(AK$1,1,2),FALSE)</f>
        <v>0</v>
      </c>
      <c r="AL11" s="55">
        <f>VLOOKUP($E11,'NI-San_SP'!$C:$AN,MID(AL$1,1,2),FALSE)</f>
        <v>0</v>
      </c>
      <c r="AM11" s="56">
        <f>VLOOKUP($E11,'NI-San_SP'!$C:$AN,MID(AM$1,1,2),FALSE)</f>
        <v>0</v>
      </c>
      <c r="AN11" s="30" t="str">
        <f t="shared" si="0"/>
        <v>10101020020000</v>
      </c>
    </row>
    <row r="12" spans="1:40" x14ac:dyDescent="0.25">
      <c r="C12" s="40"/>
      <c r="D12" s="57" t="s">
        <v>145</v>
      </c>
      <c r="E12" s="57" t="s">
        <v>146</v>
      </c>
      <c r="F12" s="58" t="s">
        <v>110</v>
      </c>
      <c r="G12" s="52"/>
      <c r="H12" s="52"/>
      <c r="I12" s="52"/>
      <c r="J12" s="52"/>
      <c r="K12" s="59" t="s">
        <v>111</v>
      </c>
      <c r="L12" s="52"/>
      <c r="M12" s="52"/>
      <c r="N12" s="52"/>
      <c r="O12" s="61" t="s">
        <v>147</v>
      </c>
      <c r="P12" s="60" t="s">
        <v>148</v>
      </c>
      <c r="Q12" s="55">
        <f>VLOOKUP(E12,'NI-San_SP'!$C:$AN,12,FALSE)</f>
        <v>0</v>
      </c>
      <c r="R12" s="55">
        <f>VLOOKUP(E12,'NI-San_SP'!$C:$AN,13,FALSE)</f>
        <v>0</v>
      </c>
      <c r="S12" s="55"/>
      <c r="T12" s="55"/>
      <c r="U12" s="55">
        <f>VLOOKUP($E12,'NI-San_SP'!$C:$AN,MID(U$1,1,2),FALSE)</f>
        <v>0</v>
      </c>
      <c r="V12" s="55">
        <f>VLOOKUP($E12,'NI-San_SP'!$C:$AN,MID(V$1,1,2),FALSE)</f>
        <v>0</v>
      </c>
      <c r="W12" s="55">
        <f>VLOOKUP($E12,'NI-San_SP'!$C:$AN,MID(W$1,1,2),FALSE)</f>
        <v>0</v>
      </c>
      <c r="X12" s="55">
        <f>VLOOKUP($E12,'NI-San_SP'!$C:$AN,MID(X$1,1,2),FALSE)</f>
        <v>0</v>
      </c>
      <c r="Y12" s="55">
        <f>VLOOKUP($E12,'NI-San_SP'!$C:$AN,MID(Y$1,1,2),FALSE)</f>
        <v>0</v>
      </c>
      <c r="Z12" s="55">
        <f>VLOOKUP($E12,'NI-San_SP'!$C:$AN,MID(Z$1,1,2),FALSE)</f>
        <v>0</v>
      </c>
      <c r="AA12" s="55">
        <f>VLOOKUP($E12,'NI-San_SP'!$C:$AN,MID(AA$1,1,2),FALSE)</f>
        <v>0</v>
      </c>
      <c r="AB12" s="55">
        <f>VLOOKUP($E12,'NI-San_SP'!$C:$AN,MID(AB$1,1,2),FALSE)</f>
        <v>0</v>
      </c>
      <c r="AC12" s="55">
        <f>VLOOKUP($E12,'NI-San_SP'!$C:$AN,MID(AC$1,1,2),FALSE)</f>
        <v>0</v>
      </c>
      <c r="AD12" s="55">
        <f>VLOOKUP($E12,'NI-San_SP'!$C:$AN,MID(AD$1,1,2),FALSE)</f>
        <v>0</v>
      </c>
      <c r="AE12" s="55">
        <f>VLOOKUP($E12,'NI-San_SP'!$C:$AN,MID(AE$1,1,2),FALSE)</f>
        <v>0</v>
      </c>
      <c r="AF12" s="55">
        <f>VLOOKUP($E12,'NI-San_SP'!$C:$AN,MID(AF$1,1,2),FALSE)</f>
        <v>0</v>
      </c>
      <c r="AG12" s="55">
        <f>VLOOKUP($E12,'NI-San_SP'!$C:$AN,MID(AG$1,1,2),FALSE)</f>
        <v>0</v>
      </c>
      <c r="AH12" s="55">
        <f>VLOOKUP($E12,'NI-San_SP'!$C:$AN,MID(AH$1,1,2),FALSE)</f>
        <v>0</v>
      </c>
      <c r="AI12" s="55">
        <f>VLOOKUP($E12,'NI-San_SP'!$C:$AN,MID(AI$1,1,2),FALSE)</f>
        <v>0</v>
      </c>
      <c r="AJ12" s="55">
        <f>VLOOKUP($E12,'NI-San_SP'!$C:$AN,MID(AJ$1,1,2),FALSE)</f>
        <v>0</v>
      </c>
      <c r="AK12" s="55">
        <f>VLOOKUP($E12,'NI-San_SP'!$C:$AN,MID(AK$1,1,2),FALSE)</f>
        <v>0</v>
      </c>
      <c r="AL12" s="55">
        <f>VLOOKUP($E12,'NI-San_SP'!$C:$AN,MID(AL$1,1,2),FALSE)</f>
        <v>0</v>
      </c>
      <c r="AM12" s="56">
        <f>VLOOKUP($E12,'NI-San_SP'!$C:$AN,MID(AM$1,1,2),FALSE)</f>
        <v>0</v>
      </c>
      <c r="AN12" s="30" t="str">
        <f t="shared" si="0"/>
        <v>10102000000000</v>
      </c>
    </row>
    <row r="13" spans="1:40" x14ac:dyDescent="0.25">
      <c r="C13" s="40"/>
      <c r="D13" s="57" t="s">
        <v>149</v>
      </c>
      <c r="E13" s="57" t="s">
        <v>150</v>
      </c>
      <c r="F13" s="58" t="s">
        <v>110</v>
      </c>
      <c r="G13" s="52"/>
      <c r="H13" s="52"/>
      <c r="I13" s="52" t="s">
        <v>151</v>
      </c>
      <c r="J13" s="52" t="s">
        <v>151</v>
      </c>
      <c r="K13" s="59" t="s">
        <v>111</v>
      </c>
      <c r="L13" s="62" t="s">
        <v>152</v>
      </c>
      <c r="M13" s="52"/>
      <c r="N13" s="52"/>
      <c r="O13" s="52"/>
      <c r="P13" s="54" t="s">
        <v>153</v>
      </c>
      <c r="Q13" s="55">
        <f>VLOOKUP(E13,'NI-San_SP'!$C:$AN,12,FALSE)</f>
        <v>0</v>
      </c>
      <c r="R13" s="55">
        <f>VLOOKUP(E13,'NI-San_SP'!$C:$AN,13,FALSE)</f>
        <v>0</v>
      </c>
      <c r="S13" s="55"/>
      <c r="T13" s="55"/>
      <c r="U13" s="55">
        <f>VLOOKUP($E13,'NI-San_SP'!$C:$AN,MID(U$1,1,2),FALSE)</f>
        <v>0</v>
      </c>
      <c r="V13" s="55">
        <f>VLOOKUP($E13,'NI-San_SP'!$C:$AN,MID(V$1,1,2),FALSE)</f>
        <v>0</v>
      </c>
      <c r="W13" s="55">
        <f>VLOOKUP($E13,'NI-San_SP'!$C:$AN,MID(W$1,1,2),FALSE)</f>
        <v>0</v>
      </c>
      <c r="X13" s="55">
        <f>VLOOKUP($E13,'NI-San_SP'!$C:$AN,MID(X$1,1,2),FALSE)</f>
        <v>0</v>
      </c>
      <c r="Y13" s="55">
        <f>VLOOKUP($E13,'NI-San_SP'!$C:$AN,MID(Y$1,1,2),FALSE)</f>
        <v>0</v>
      </c>
      <c r="Z13" s="55">
        <f>VLOOKUP($E13,'NI-San_SP'!$C:$AN,MID(Z$1,1,2),FALSE)</f>
        <v>0</v>
      </c>
      <c r="AA13" s="55">
        <f>VLOOKUP($E13,'NI-San_SP'!$C:$AN,MID(AA$1,1,2),FALSE)</f>
        <v>0</v>
      </c>
      <c r="AB13" s="55">
        <f>VLOOKUP($E13,'NI-San_SP'!$C:$AN,MID(AB$1,1,2),FALSE)</f>
        <v>0</v>
      </c>
      <c r="AC13" s="55">
        <f>VLOOKUP($E13,'NI-San_SP'!$C:$AN,MID(AC$1,1,2),FALSE)</f>
        <v>0</v>
      </c>
      <c r="AD13" s="55">
        <f>VLOOKUP($E13,'NI-San_SP'!$C:$AN,MID(AD$1,1,2),FALSE)</f>
        <v>0</v>
      </c>
      <c r="AE13" s="55">
        <f>VLOOKUP($E13,'NI-San_SP'!$C:$AN,MID(AE$1,1,2),FALSE)</f>
        <v>0</v>
      </c>
      <c r="AF13" s="55">
        <f>VLOOKUP($E13,'NI-San_SP'!$C:$AN,MID(AF$1,1,2),FALSE)</f>
        <v>0</v>
      </c>
      <c r="AG13" s="55">
        <f>VLOOKUP($E13,'NI-San_SP'!$C:$AN,MID(AG$1,1,2),FALSE)</f>
        <v>0</v>
      </c>
      <c r="AH13" s="55">
        <f>VLOOKUP($E13,'NI-San_SP'!$C:$AN,MID(AH$1,1,2),FALSE)</f>
        <v>0</v>
      </c>
      <c r="AI13" s="55">
        <f>VLOOKUP($E13,'NI-San_SP'!$C:$AN,MID(AI$1,1,2),FALSE)</f>
        <v>0</v>
      </c>
      <c r="AJ13" s="55">
        <f>VLOOKUP($E13,'NI-San_SP'!$C:$AN,MID(AJ$1,1,2),FALSE)</f>
        <v>0</v>
      </c>
      <c r="AK13" s="55">
        <f>VLOOKUP($E13,'NI-San_SP'!$C:$AN,MID(AK$1,1,2),FALSE)</f>
        <v>0</v>
      </c>
      <c r="AL13" s="55">
        <f>VLOOKUP($E13,'NI-San_SP'!$C:$AN,MID(AL$1,1,2),FALSE)</f>
        <v>0</v>
      </c>
      <c r="AM13" s="56">
        <f>VLOOKUP($E13,'NI-San_SP'!$C:$AN,MID(AM$1,1,2),FALSE)</f>
        <v>0</v>
      </c>
      <c r="AN13" s="30" t="str">
        <f t="shared" si="0"/>
        <v>10102010000000</v>
      </c>
    </row>
    <row r="14" spans="1:40" x14ac:dyDescent="0.25">
      <c r="C14" s="40"/>
      <c r="D14" s="57" t="s">
        <v>154</v>
      </c>
      <c r="E14" s="57" t="s">
        <v>155</v>
      </c>
      <c r="F14" s="58" t="s">
        <v>110</v>
      </c>
      <c r="G14" s="52"/>
      <c r="H14" s="52"/>
      <c r="I14" s="52"/>
      <c r="J14" s="52"/>
      <c r="K14" s="59" t="s">
        <v>79</v>
      </c>
      <c r="L14" s="52"/>
      <c r="M14" s="52"/>
      <c r="N14" s="52"/>
      <c r="O14" s="52"/>
      <c r="P14" s="63" t="s">
        <v>156</v>
      </c>
      <c r="Q14" s="55">
        <f>VLOOKUP(E14,'NI-San_SP'!$C:$AN,12,FALSE)</f>
        <v>0</v>
      </c>
      <c r="R14" s="55">
        <f>VLOOKUP(E14,'NI-San_SP'!$C:$AN,13,FALSE)</f>
        <v>0</v>
      </c>
      <c r="S14" s="55"/>
      <c r="T14" s="55"/>
      <c r="U14" s="55">
        <f>VLOOKUP($E14,'NI-San_SP'!$C:$AN,MID(U$1,1,2),FALSE)</f>
        <v>0</v>
      </c>
      <c r="V14" s="55">
        <f>VLOOKUP($E14,'NI-San_SP'!$C:$AN,MID(V$1,1,2),FALSE)</f>
        <v>0</v>
      </c>
      <c r="W14" s="55">
        <f>VLOOKUP($E14,'NI-San_SP'!$C:$AN,MID(W$1,1,2),FALSE)</f>
        <v>0</v>
      </c>
      <c r="X14" s="55">
        <f>VLOOKUP($E14,'NI-San_SP'!$C:$AN,MID(X$1,1,2),FALSE)</f>
        <v>0</v>
      </c>
      <c r="Y14" s="55">
        <f>VLOOKUP($E14,'NI-San_SP'!$C:$AN,MID(Y$1,1,2),FALSE)</f>
        <v>0</v>
      </c>
      <c r="Z14" s="55">
        <f>VLOOKUP($E14,'NI-San_SP'!$C:$AN,MID(Z$1,1,2),FALSE)</f>
        <v>0</v>
      </c>
      <c r="AA14" s="55">
        <f>VLOOKUP($E14,'NI-San_SP'!$C:$AN,MID(AA$1,1,2),FALSE)</f>
        <v>0</v>
      </c>
      <c r="AB14" s="55">
        <f>VLOOKUP($E14,'NI-San_SP'!$C:$AN,MID(AB$1,1,2),FALSE)</f>
        <v>0</v>
      </c>
      <c r="AC14" s="55">
        <f>VLOOKUP($E14,'NI-San_SP'!$C:$AN,MID(AC$1,1,2),FALSE)</f>
        <v>0</v>
      </c>
      <c r="AD14" s="55">
        <f>VLOOKUP($E14,'NI-San_SP'!$C:$AN,MID(AD$1,1,2),FALSE)</f>
        <v>0</v>
      </c>
      <c r="AE14" s="55">
        <f>VLOOKUP($E14,'NI-San_SP'!$C:$AN,MID(AE$1,1,2),FALSE)</f>
        <v>0</v>
      </c>
      <c r="AF14" s="55">
        <f>VLOOKUP($E14,'NI-San_SP'!$C:$AN,MID(AF$1,1,2),FALSE)</f>
        <v>0</v>
      </c>
      <c r="AG14" s="55">
        <f>VLOOKUP($E14,'NI-San_SP'!$C:$AN,MID(AG$1,1,2),FALSE)</f>
        <v>0</v>
      </c>
      <c r="AH14" s="55">
        <f>VLOOKUP($E14,'NI-San_SP'!$C:$AN,MID(AH$1,1,2),FALSE)</f>
        <v>0</v>
      </c>
      <c r="AI14" s="55">
        <f>VLOOKUP($E14,'NI-San_SP'!$C:$AN,MID(AI$1,1,2),FALSE)</f>
        <v>0</v>
      </c>
      <c r="AJ14" s="55">
        <f>VLOOKUP($E14,'NI-San_SP'!$C:$AN,MID(AJ$1,1,2),FALSE)</f>
        <v>0</v>
      </c>
      <c r="AK14" s="55">
        <f>VLOOKUP($E14,'NI-San_SP'!$C:$AN,MID(AK$1,1,2),FALSE)</f>
        <v>0</v>
      </c>
      <c r="AL14" s="55">
        <f>VLOOKUP($E14,'NI-San_SP'!$C:$AN,MID(AL$1,1,2),FALSE)</f>
        <v>0</v>
      </c>
      <c r="AM14" s="56">
        <f>VLOOKUP($E14,'NI-San_SP'!$C:$AN,MID(AM$1,1,2),FALSE)</f>
        <v>0</v>
      </c>
      <c r="AN14" s="30" t="str">
        <f t="shared" si="0"/>
        <v>10102010010000</v>
      </c>
    </row>
    <row r="15" spans="1:40" x14ac:dyDescent="0.25">
      <c r="C15" s="40"/>
      <c r="D15" s="57" t="s">
        <v>157</v>
      </c>
      <c r="E15" s="57" t="s">
        <v>158</v>
      </c>
      <c r="F15" s="58" t="s">
        <v>110</v>
      </c>
      <c r="G15" s="52"/>
      <c r="H15" s="52"/>
      <c r="I15" s="52"/>
      <c r="J15" s="52"/>
      <c r="K15" s="59" t="s">
        <v>79</v>
      </c>
      <c r="L15" s="52"/>
      <c r="M15" s="52"/>
      <c r="N15" s="52"/>
      <c r="O15" s="52"/>
      <c r="P15" s="63" t="s">
        <v>159</v>
      </c>
      <c r="Q15" s="55">
        <f>VLOOKUP(E15,'NI-San_SP'!$C:$AN,12,FALSE)</f>
        <v>0</v>
      </c>
      <c r="R15" s="55">
        <f>VLOOKUP(E15,'NI-San_SP'!$C:$AN,13,FALSE)</f>
        <v>0</v>
      </c>
      <c r="S15" s="55"/>
      <c r="T15" s="55"/>
      <c r="U15" s="55">
        <f>VLOOKUP($E15,'NI-San_SP'!$C:$AN,MID(U$1,1,2),FALSE)</f>
        <v>0</v>
      </c>
      <c r="V15" s="55">
        <f>VLOOKUP($E15,'NI-San_SP'!$C:$AN,MID(V$1,1,2),FALSE)</f>
        <v>0</v>
      </c>
      <c r="W15" s="55">
        <f>VLOOKUP($E15,'NI-San_SP'!$C:$AN,MID(W$1,1,2),FALSE)</f>
        <v>0</v>
      </c>
      <c r="X15" s="55">
        <f>VLOOKUP($E15,'NI-San_SP'!$C:$AN,MID(X$1,1,2),FALSE)</f>
        <v>0</v>
      </c>
      <c r="Y15" s="55">
        <f>VLOOKUP($E15,'NI-San_SP'!$C:$AN,MID(Y$1,1,2),FALSE)</f>
        <v>0</v>
      </c>
      <c r="Z15" s="55">
        <f>VLOOKUP($E15,'NI-San_SP'!$C:$AN,MID(Z$1,1,2),FALSE)</f>
        <v>0</v>
      </c>
      <c r="AA15" s="55">
        <f>VLOOKUP($E15,'NI-San_SP'!$C:$AN,MID(AA$1,1,2),FALSE)</f>
        <v>0</v>
      </c>
      <c r="AB15" s="55">
        <f>VLOOKUP($E15,'NI-San_SP'!$C:$AN,MID(AB$1,1,2),FALSE)</f>
        <v>0</v>
      </c>
      <c r="AC15" s="55">
        <f>VLOOKUP($E15,'NI-San_SP'!$C:$AN,MID(AC$1,1,2),FALSE)</f>
        <v>0</v>
      </c>
      <c r="AD15" s="55">
        <f>VLOOKUP($E15,'NI-San_SP'!$C:$AN,MID(AD$1,1,2),FALSE)</f>
        <v>0</v>
      </c>
      <c r="AE15" s="55">
        <f>VLOOKUP($E15,'NI-San_SP'!$C:$AN,MID(AE$1,1,2),FALSE)</f>
        <v>0</v>
      </c>
      <c r="AF15" s="55">
        <f>VLOOKUP($E15,'NI-San_SP'!$C:$AN,MID(AF$1,1,2),FALSE)</f>
        <v>0</v>
      </c>
      <c r="AG15" s="55">
        <f>VLOOKUP($E15,'NI-San_SP'!$C:$AN,MID(AG$1,1,2),FALSE)</f>
        <v>0</v>
      </c>
      <c r="AH15" s="55">
        <f>VLOOKUP($E15,'NI-San_SP'!$C:$AN,MID(AH$1,1,2),FALSE)</f>
        <v>0</v>
      </c>
      <c r="AI15" s="55">
        <f>VLOOKUP($E15,'NI-San_SP'!$C:$AN,MID(AI$1,1,2),FALSE)</f>
        <v>0</v>
      </c>
      <c r="AJ15" s="55">
        <f>VLOOKUP($E15,'NI-San_SP'!$C:$AN,MID(AJ$1,1,2),FALSE)</f>
        <v>0</v>
      </c>
      <c r="AK15" s="55">
        <f>VLOOKUP($E15,'NI-San_SP'!$C:$AN,MID(AK$1,1,2),FALSE)</f>
        <v>0</v>
      </c>
      <c r="AL15" s="55">
        <f>VLOOKUP($E15,'NI-San_SP'!$C:$AN,MID(AL$1,1,2),FALSE)</f>
        <v>0</v>
      </c>
      <c r="AM15" s="56">
        <f>VLOOKUP($E15,'NI-San_SP'!$C:$AN,MID(AM$1,1,2),FALSE)</f>
        <v>0</v>
      </c>
      <c r="AN15" s="30" t="str">
        <f t="shared" si="0"/>
        <v>10102010020000</v>
      </c>
    </row>
    <row r="16" spans="1:40" x14ac:dyDescent="0.25">
      <c r="C16" s="40"/>
      <c r="D16" s="57" t="s">
        <v>160</v>
      </c>
      <c r="E16" s="57" t="s">
        <v>161</v>
      </c>
      <c r="F16" s="58" t="s">
        <v>110</v>
      </c>
      <c r="G16" s="52"/>
      <c r="H16" s="52"/>
      <c r="I16" s="52" t="s">
        <v>162</v>
      </c>
      <c r="J16" s="52" t="s">
        <v>162</v>
      </c>
      <c r="K16" s="59" t="s">
        <v>111</v>
      </c>
      <c r="L16" s="62" t="s">
        <v>163</v>
      </c>
      <c r="M16" s="52"/>
      <c r="N16" s="52"/>
      <c r="O16" s="52"/>
      <c r="P16" s="54" t="s">
        <v>164</v>
      </c>
      <c r="Q16" s="55">
        <f>VLOOKUP(E16,'NI-San_SP'!$C:$AN,12,FALSE)</f>
        <v>0</v>
      </c>
      <c r="R16" s="55">
        <f>VLOOKUP(E16,'NI-San_SP'!$C:$AN,13,FALSE)</f>
        <v>0</v>
      </c>
      <c r="S16" s="55"/>
      <c r="T16" s="55"/>
      <c r="U16" s="55">
        <f>VLOOKUP($E16,'NI-San_SP'!$C:$AN,MID(U$1,1,2),FALSE)</f>
        <v>0</v>
      </c>
      <c r="V16" s="55">
        <f>VLOOKUP($E16,'NI-San_SP'!$C:$AN,MID(V$1,1,2),FALSE)</f>
        <v>0</v>
      </c>
      <c r="W16" s="55">
        <f>VLOOKUP($E16,'NI-San_SP'!$C:$AN,MID(W$1,1,2),FALSE)</f>
        <v>0</v>
      </c>
      <c r="X16" s="55">
        <f>VLOOKUP($E16,'NI-San_SP'!$C:$AN,MID(X$1,1,2),FALSE)</f>
        <v>0</v>
      </c>
      <c r="Y16" s="55">
        <f>VLOOKUP($E16,'NI-San_SP'!$C:$AN,MID(Y$1,1,2),FALSE)</f>
        <v>0</v>
      </c>
      <c r="Z16" s="55">
        <f>VLOOKUP($E16,'NI-San_SP'!$C:$AN,MID(Z$1,1,2),FALSE)</f>
        <v>0</v>
      </c>
      <c r="AA16" s="55">
        <f>VLOOKUP($E16,'NI-San_SP'!$C:$AN,MID(AA$1,1,2),FALSE)</f>
        <v>0</v>
      </c>
      <c r="AB16" s="55">
        <f>VLOOKUP($E16,'NI-San_SP'!$C:$AN,MID(AB$1,1,2),FALSE)</f>
        <v>0</v>
      </c>
      <c r="AC16" s="55">
        <f>VLOOKUP($E16,'NI-San_SP'!$C:$AN,MID(AC$1,1,2),FALSE)</f>
        <v>0</v>
      </c>
      <c r="AD16" s="55">
        <f>VLOOKUP($E16,'NI-San_SP'!$C:$AN,MID(AD$1,1,2),FALSE)</f>
        <v>0</v>
      </c>
      <c r="AE16" s="55">
        <f>VLOOKUP($E16,'NI-San_SP'!$C:$AN,MID(AE$1,1,2),FALSE)</f>
        <v>0</v>
      </c>
      <c r="AF16" s="55">
        <f>VLOOKUP($E16,'NI-San_SP'!$C:$AN,MID(AF$1,1,2),FALSE)</f>
        <v>0</v>
      </c>
      <c r="AG16" s="55">
        <f>VLOOKUP($E16,'NI-San_SP'!$C:$AN,MID(AG$1,1,2),FALSE)</f>
        <v>0</v>
      </c>
      <c r="AH16" s="55">
        <f>VLOOKUP($E16,'NI-San_SP'!$C:$AN,MID(AH$1,1,2),FALSE)</f>
        <v>0</v>
      </c>
      <c r="AI16" s="55">
        <f>VLOOKUP($E16,'NI-San_SP'!$C:$AN,MID(AI$1,1,2),FALSE)</f>
        <v>0</v>
      </c>
      <c r="AJ16" s="55">
        <f>VLOOKUP($E16,'NI-San_SP'!$C:$AN,MID(AJ$1,1,2),FALSE)</f>
        <v>0</v>
      </c>
      <c r="AK16" s="55">
        <f>VLOOKUP($E16,'NI-San_SP'!$C:$AN,MID(AK$1,1,2),FALSE)</f>
        <v>0</v>
      </c>
      <c r="AL16" s="55">
        <f>VLOOKUP($E16,'NI-San_SP'!$C:$AN,MID(AL$1,1,2),FALSE)</f>
        <v>0</v>
      </c>
      <c r="AM16" s="56">
        <f>VLOOKUP($E16,'NI-San_SP'!$C:$AN,MID(AM$1,1,2),FALSE)</f>
        <v>0</v>
      </c>
      <c r="AN16" s="30" t="str">
        <f t="shared" si="0"/>
        <v>10102020000000</v>
      </c>
    </row>
    <row r="17" spans="3:40" x14ac:dyDescent="0.25">
      <c r="C17" s="40"/>
      <c r="D17" s="57" t="s">
        <v>165</v>
      </c>
      <c r="E17" s="57" t="s">
        <v>166</v>
      </c>
      <c r="F17" s="58" t="s">
        <v>110</v>
      </c>
      <c r="G17" s="52"/>
      <c r="H17" s="52"/>
      <c r="I17" s="52"/>
      <c r="J17" s="52"/>
      <c r="K17" s="59" t="s">
        <v>79</v>
      </c>
      <c r="L17" s="52"/>
      <c r="M17" s="52"/>
      <c r="N17" s="52"/>
      <c r="O17" s="52"/>
      <c r="P17" s="63" t="s">
        <v>167</v>
      </c>
      <c r="Q17" s="55">
        <f>VLOOKUP(E17,'NI-San_SP'!$C:$AN,12,FALSE)</f>
        <v>0</v>
      </c>
      <c r="R17" s="55">
        <f>VLOOKUP(E17,'NI-San_SP'!$C:$AN,13,FALSE)</f>
        <v>0</v>
      </c>
      <c r="S17" s="55"/>
      <c r="T17" s="55"/>
      <c r="U17" s="55">
        <f>VLOOKUP($E17,'NI-San_SP'!$C:$AN,MID(U$1,1,2),FALSE)</f>
        <v>0</v>
      </c>
      <c r="V17" s="55">
        <f>VLOOKUP($E17,'NI-San_SP'!$C:$AN,MID(V$1,1,2),FALSE)</f>
        <v>0</v>
      </c>
      <c r="W17" s="55">
        <f>VLOOKUP($E17,'NI-San_SP'!$C:$AN,MID(W$1,1,2),FALSE)</f>
        <v>0</v>
      </c>
      <c r="X17" s="55">
        <f>VLOOKUP($E17,'NI-San_SP'!$C:$AN,MID(X$1,1,2),FALSE)</f>
        <v>0</v>
      </c>
      <c r="Y17" s="55">
        <f>VLOOKUP($E17,'NI-San_SP'!$C:$AN,MID(Y$1,1,2),FALSE)</f>
        <v>0</v>
      </c>
      <c r="Z17" s="55">
        <f>VLOOKUP($E17,'NI-San_SP'!$C:$AN,MID(Z$1,1,2),FALSE)</f>
        <v>0</v>
      </c>
      <c r="AA17" s="55">
        <f>VLOOKUP($E17,'NI-San_SP'!$C:$AN,MID(AA$1,1,2),FALSE)</f>
        <v>0</v>
      </c>
      <c r="AB17" s="55">
        <f>VLOOKUP($E17,'NI-San_SP'!$C:$AN,MID(AB$1,1,2),FALSE)</f>
        <v>0</v>
      </c>
      <c r="AC17" s="55">
        <f>VLOOKUP($E17,'NI-San_SP'!$C:$AN,MID(AC$1,1,2),FALSE)</f>
        <v>0</v>
      </c>
      <c r="AD17" s="55">
        <f>VLOOKUP($E17,'NI-San_SP'!$C:$AN,MID(AD$1,1,2),FALSE)</f>
        <v>0</v>
      </c>
      <c r="AE17" s="55">
        <f>VLOOKUP($E17,'NI-San_SP'!$C:$AN,MID(AE$1,1,2),FALSE)</f>
        <v>0</v>
      </c>
      <c r="AF17" s="55">
        <f>VLOOKUP($E17,'NI-San_SP'!$C:$AN,MID(AF$1,1,2),FALSE)</f>
        <v>0</v>
      </c>
      <c r="AG17" s="55">
        <f>VLOOKUP($E17,'NI-San_SP'!$C:$AN,MID(AG$1,1,2),FALSE)</f>
        <v>0</v>
      </c>
      <c r="AH17" s="55">
        <f>VLOOKUP($E17,'NI-San_SP'!$C:$AN,MID(AH$1,1,2),FALSE)</f>
        <v>0</v>
      </c>
      <c r="AI17" s="55">
        <f>VLOOKUP($E17,'NI-San_SP'!$C:$AN,MID(AI$1,1,2),FALSE)</f>
        <v>0</v>
      </c>
      <c r="AJ17" s="55">
        <f>VLOOKUP($E17,'NI-San_SP'!$C:$AN,MID(AJ$1,1,2),FALSE)</f>
        <v>0</v>
      </c>
      <c r="AK17" s="55">
        <f>VLOOKUP($E17,'NI-San_SP'!$C:$AN,MID(AK$1,1,2),FALSE)</f>
        <v>0</v>
      </c>
      <c r="AL17" s="55">
        <f>VLOOKUP($E17,'NI-San_SP'!$C:$AN,MID(AL$1,1,2),FALSE)</f>
        <v>0</v>
      </c>
      <c r="AM17" s="56">
        <f>VLOOKUP($E17,'NI-San_SP'!$C:$AN,MID(AM$1,1,2),FALSE)</f>
        <v>0</v>
      </c>
      <c r="AN17" s="30" t="str">
        <f t="shared" si="0"/>
        <v>10102020010000</v>
      </c>
    </row>
    <row r="18" spans="3:40" x14ac:dyDescent="0.25">
      <c r="C18" s="40"/>
      <c r="D18" s="57" t="s">
        <v>168</v>
      </c>
      <c r="E18" s="57" t="s">
        <v>169</v>
      </c>
      <c r="F18" s="58" t="s">
        <v>110</v>
      </c>
      <c r="G18" s="52"/>
      <c r="H18" s="52"/>
      <c r="I18" s="52"/>
      <c r="J18" s="52"/>
      <c r="K18" s="59" t="s">
        <v>79</v>
      </c>
      <c r="L18" s="52"/>
      <c r="M18" s="52"/>
      <c r="N18" s="52"/>
      <c r="O18" s="52"/>
      <c r="P18" s="63" t="s">
        <v>170</v>
      </c>
      <c r="Q18" s="55">
        <f>VLOOKUP(E18,'NI-San_SP'!$C:$AN,12,FALSE)</f>
        <v>0</v>
      </c>
      <c r="R18" s="55">
        <f>VLOOKUP(E18,'NI-San_SP'!$C:$AN,13,FALSE)</f>
        <v>0</v>
      </c>
      <c r="S18" s="55"/>
      <c r="T18" s="55"/>
      <c r="U18" s="55">
        <f>VLOOKUP($E18,'NI-San_SP'!$C:$AN,MID(U$1,1,2),FALSE)</f>
        <v>0</v>
      </c>
      <c r="V18" s="55">
        <f>VLOOKUP($E18,'NI-San_SP'!$C:$AN,MID(V$1,1,2),FALSE)</f>
        <v>0</v>
      </c>
      <c r="W18" s="55">
        <f>VLOOKUP($E18,'NI-San_SP'!$C:$AN,MID(W$1,1,2),FALSE)</f>
        <v>0</v>
      </c>
      <c r="X18" s="55">
        <f>VLOOKUP($E18,'NI-San_SP'!$C:$AN,MID(X$1,1,2),FALSE)</f>
        <v>0</v>
      </c>
      <c r="Y18" s="55">
        <f>VLOOKUP($E18,'NI-San_SP'!$C:$AN,MID(Y$1,1,2),FALSE)</f>
        <v>0</v>
      </c>
      <c r="Z18" s="55">
        <f>VLOOKUP($E18,'NI-San_SP'!$C:$AN,MID(Z$1,1,2),FALSE)</f>
        <v>0</v>
      </c>
      <c r="AA18" s="55">
        <f>VLOOKUP($E18,'NI-San_SP'!$C:$AN,MID(AA$1,1,2),FALSE)</f>
        <v>0</v>
      </c>
      <c r="AB18" s="55">
        <f>VLOOKUP($E18,'NI-San_SP'!$C:$AN,MID(AB$1,1,2),FALSE)</f>
        <v>0</v>
      </c>
      <c r="AC18" s="55">
        <f>VLOOKUP($E18,'NI-San_SP'!$C:$AN,MID(AC$1,1,2),FALSE)</f>
        <v>0</v>
      </c>
      <c r="AD18" s="55">
        <f>VLOOKUP($E18,'NI-San_SP'!$C:$AN,MID(AD$1,1,2),FALSE)</f>
        <v>0</v>
      </c>
      <c r="AE18" s="55">
        <f>VLOOKUP($E18,'NI-San_SP'!$C:$AN,MID(AE$1,1,2),FALSE)</f>
        <v>0</v>
      </c>
      <c r="AF18" s="55">
        <f>VLOOKUP($E18,'NI-San_SP'!$C:$AN,MID(AF$1,1,2),FALSE)</f>
        <v>0</v>
      </c>
      <c r="AG18" s="55">
        <f>VLOOKUP($E18,'NI-San_SP'!$C:$AN,MID(AG$1,1,2),FALSE)</f>
        <v>0</v>
      </c>
      <c r="AH18" s="55">
        <f>VLOOKUP($E18,'NI-San_SP'!$C:$AN,MID(AH$1,1,2),FALSE)</f>
        <v>0</v>
      </c>
      <c r="AI18" s="55">
        <f>VLOOKUP($E18,'NI-San_SP'!$C:$AN,MID(AI$1,1,2),FALSE)</f>
        <v>0</v>
      </c>
      <c r="AJ18" s="55">
        <f>VLOOKUP($E18,'NI-San_SP'!$C:$AN,MID(AJ$1,1,2),FALSE)</f>
        <v>0</v>
      </c>
      <c r="AK18" s="55">
        <f>VLOOKUP($E18,'NI-San_SP'!$C:$AN,MID(AK$1,1,2),FALSE)</f>
        <v>0</v>
      </c>
      <c r="AL18" s="55">
        <f>VLOOKUP($E18,'NI-San_SP'!$C:$AN,MID(AL$1,1,2),FALSE)</f>
        <v>0</v>
      </c>
      <c r="AM18" s="56">
        <f>VLOOKUP($E18,'NI-San_SP'!$C:$AN,MID(AM$1,1,2),FALSE)</f>
        <v>0</v>
      </c>
      <c r="AN18" s="30" t="str">
        <f t="shared" si="0"/>
        <v>10102020020000</v>
      </c>
    </row>
    <row r="19" spans="3:40" x14ac:dyDescent="0.25">
      <c r="C19" s="40"/>
      <c r="D19" s="57" t="s">
        <v>171</v>
      </c>
      <c r="E19" s="57" t="s">
        <v>172</v>
      </c>
      <c r="F19" s="58" t="s">
        <v>110</v>
      </c>
      <c r="G19" s="52"/>
      <c r="H19" s="52"/>
      <c r="I19" s="52"/>
      <c r="J19" s="52"/>
      <c r="K19" s="59" t="s">
        <v>111</v>
      </c>
      <c r="L19" s="52"/>
      <c r="M19" s="52"/>
      <c r="N19" s="52"/>
      <c r="O19" s="61" t="s">
        <v>173</v>
      </c>
      <c r="P19" s="60" t="s">
        <v>174</v>
      </c>
      <c r="Q19" s="55">
        <f>VLOOKUP(E19,'NI-San_SP'!$C:$AN,12,FALSE)</f>
        <v>1622</v>
      </c>
      <c r="R19" s="55">
        <f>VLOOKUP(E19,'NI-San_SP'!$C:$AN,13,FALSE)</f>
        <v>0</v>
      </c>
      <c r="S19" s="55"/>
      <c r="T19" s="55"/>
      <c r="U19" s="55">
        <f>VLOOKUP($E19,'NI-San_SP'!$C:$AN,MID(U$1,1,2),FALSE)</f>
        <v>0</v>
      </c>
      <c r="V19" s="55">
        <f>VLOOKUP($E19,'NI-San_SP'!$C:$AN,MID(V$1,1,2),FALSE)</f>
        <v>0</v>
      </c>
      <c r="W19" s="55">
        <f>VLOOKUP($E19,'NI-San_SP'!$C:$AN,MID(W$1,1,2),FALSE)</f>
        <v>0</v>
      </c>
      <c r="X19" s="55">
        <f>VLOOKUP($E19,'NI-San_SP'!$C:$AN,MID(X$1,1,2),FALSE)</f>
        <v>0</v>
      </c>
      <c r="Y19" s="55">
        <f>VLOOKUP($E19,'NI-San_SP'!$C:$AN,MID(Y$1,1,2),FALSE)</f>
        <v>0</v>
      </c>
      <c r="Z19" s="55">
        <f>VLOOKUP($E19,'NI-San_SP'!$C:$AN,MID(Z$1,1,2),FALSE)</f>
        <v>0</v>
      </c>
      <c r="AA19" s="55">
        <f>VLOOKUP($E19,'NI-San_SP'!$C:$AN,MID(AA$1,1,2),FALSE)</f>
        <v>0</v>
      </c>
      <c r="AB19" s="55">
        <f>VLOOKUP($E19,'NI-San_SP'!$C:$AN,MID(AB$1,1,2),FALSE)</f>
        <v>0</v>
      </c>
      <c r="AC19" s="55">
        <f>VLOOKUP($E19,'NI-San_SP'!$C:$AN,MID(AC$1,1,2),FALSE)</f>
        <v>0</v>
      </c>
      <c r="AD19" s="55">
        <f>VLOOKUP($E19,'NI-San_SP'!$C:$AN,MID(AD$1,1,2),FALSE)</f>
        <v>0</v>
      </c>
      <c r="AE19" s="55">
        <f>VLOOKUP($E19,'NI-San_SP'!$C:$AN,MID(AE$1,1,2),FALSE)</f>
        <v>0</v>
      </c>
      <c r="AF19" s="55">
        <f>VLOOKUP($E19,'NI-San_SP'!$C:$AN,MID(AF$1,1,2),FALSE)</f>
        <v>0</v>
      </c>
      <c r="AG19" s="55">
        <f>VLOOKUP($E19,'NI-San_SP'!$C:$AN,MID(AG$1,1,2),FALSE)</f>
        <v>0</v>
      </c>
      <c r="AH19" s="55">
        <f>VLOOKUP($E19,'NI-San_SP'!$C:$AN,MID(AH$1,1,2),FALSE)</f>
        <v>0</v>
      </c>
      <c r="AI19" s="55">
        <f>VLOOKUP($E19,'NI-San_SP'!$C:$AN,MID(AI$1,1,2),FALSE)</f>
        <v>0</v>
      </c>
      <c r="AJ19" s="55">
        <f>VLOOKUP($E19,'NI-San_SP'!$C:$AN,MID(AJ$1,1,2),FALSE)</f>
        <v>0</v>
      </c>
      <c r="AK19" s="55">
        <f>VLOOKUP($E19,'NI-San_SP'!$C:$AN,MID(AK$1,1,2),FALSE)</f>
        <v>0</v>
      </c>
      <c r="AL19" s="55">
        <f>VLOOKUP($E19,'NI-San_SP'!$C:$AN,MID(AL$1,1,2),FALSE)</f>
        <v>0</v>
      </c>
      <c r="AM19" s="56">
        <f>VLOOKUP($E19,'NI-San_SP'!$C:$AN,MID(AM$1,1,2),FALSE)</f>
        <v>0</v>
      </c>
      <c r="AN19" s="30" t="str">
        <f t="shared" si="0"/>
        <v>10103000000000</v>
      </c>
    </row>
    <row r="20" spans="3:40" ht="27" x14ac:dyDescent="0.25">
      <c r="C20" s="40"/>
      <c r="D20" s="57" t="s">
        <v>175</v>
      </c>
      <c r="E20" s="57" t="s">
        <v>176</v>
      </c>
      <c r="F20" s="58" t="s">
        <v>110</v>
      </c>
      <c r="G20" s="52"/>
      <c r="H20" s="52"/>
      <c r="I20" s="52" t="s">
        <v>177</v>
      </c>
      <c r="J20" s="52" t="s">
        <v>177</v>
      </c>
      <c r="K20" s="59" t="s">
        <v>111</v>
      </c>
      <c r="L20" s="62" t="s">
        <v>178</v>
      </c>
      <c r="M20" s="52"/>
      <c r="N20" s="52"/>
      <c r="O20" s="52"/>
      <c r="P20" s="54" t="s">
        <v>179</v>
      </c>
      <c r="Q20" s="55">
        <f>VLOOKUP(E20,'NI-San_SP'!$C:$AN,12,FALSE)</f>
        <v>5790214</v>
      </c>
      <c r="R20" s="55">
        <f>VLOOKUP(E20,'NI-San_SP'!$C:$AN,13,FALSE)</f>
        <v>5790214</v>
      </c>
      <c r="S20" s="55"/>
      <c r="T20" s="55"/>
      <c r="U20" s="55">
        <f>VLOOKUP($E20,'NI-San_SP'!$C:$AN,MID(U$1,1,2),FALSE)</f>
        <v>0</v>
      </c>
      <c r="V20" s="55">
        <f>VLOOKUP($E20,'NI-San_SP'!$C:$AN,MID(V$1,1,2),FALSE)</f>
        <v>5790214</v>
      </c>
      <c r="W20" s="55">
        <f>VLOOKUP($E20,'NI-San_SP'!$C:$AN,MID(W$1,1,2),FALSE)</f>
        <v>0</v>
      </c>
      <c r="X20" s="55">
        <f>VLOOKUP($E20,'NI-San_SP'!$C:$AN,MID(X$1,1,2),FALSE)</f>
        <v>0</v>
      </c>
      <c r="Y20" s="55">
        <f>VLOOKUP($E20,'NI-San_SP'!$C:$AN,MID(Y$1,1,2),FALSE)</f>
        <v>0</v>
      </c>
      <c r="Z20" s="55">
        <f>VLOOKUP($E20,'NI-San_SP'!$C:$AN,MID(Z$1,1,2),FALSE)</f>
        <v>0</v>
      </c>
      <c r="AA20" s="55">
        <f>VLOOKUP($E20,'NI-San_SP'!$C:$AN,MID(AA$1,1,2),FALSE)</f>
        <v>0</v>
      </c>
      <c r="AB20" s="55">
        <f>VLOOKUP($E20,'NI-San_SP'!$C:$AN,MID(AB$1,1,2),FALSE)</f>
        <v>0</v>
      </c>
      <c r="AC20" s="55">
        <f>VLOOKUP($E20,'NI-San_SP'!$C:$AN,MID(AC$1,1,2),FALSE)</f>
        <v>0</v>
      </c>
      <c r="AD20" s="55">
        <f>VLOOKUP($E20,'NI-San_SP'!$C:$AN,MID(AD$1,1,2),FALSE)</f>
        <v>0</v>
      </c>
      <c r="AE20" s="55">
        <f>VLOOKUP($E20,'NI-San_SP'!$C:$AN,MID(AE$1,1,2),FALSE)</f>
        <v>0</v>
      </c>
      <c r="AF20" s="55">
        <f>VLOOKUP($E20,'NI-San_SP'!$C:$AN,MID(AF$1,1,2),FALSE)</f>
        <v>0</v>
      </c>
      <c r="AG20" s="55">
        <f>VLOOKUP($E20,'NI-San_SP'!$C:$AN,MID(AG$1,1,2),FALSE)</f>
        <v>0</v>
      </c>
      <c r="AH20" s="55">
        <f>VLOOKUP($E20,'NI-San_SP'!$C:$AN,MID(AH$1,1,2),FALSE)</f>
        <v>0</v>
      </c>
      <c r="AI20" s="55">
        <f>VLOOKUP($E20,'NI-San_SP'!$C:$AN,MID(AI$1,1,2),FALSE)</f>
        <v>0</v>
      </c>
      <c r="AJ20" s="55">
        <f>VLOOKUP($E20,'NI-San_SP'!$C:$AN,MID(AJ$1,1,2),FALSE)</f>
        <v>0</v>
      </c>
      <c r="AK20" s="55">
        <f>VLOOKUP($E20,'NI-San_SP'!$C:$AN,MID(AK$1,1,2),FALSE)</f>
        <v>0</v>
      </c>
      <c r="AL20" s="55">
        <f>VLOOKUP($E20,'NI-San_SP'!$C:$AN,MID(AL$1,1,2),FALSE)</f>
        <v>0</v>
      </c>
      <c r="AM20" s="56">
        <f>VLOOKUP($E20,'NI-San_SP'!$C:$AN,MID(AM$1,1,2),FALSE)</f>
        <v>0</v>
      </c>
      <c r="AN20" s="30" t="str">
        <f t="shared" si="0"/>
        <v>10103010000000</v>
      </c>
    </row>
    <row r="21" spans="3:40" x14ac:dyDescent="0.25">
      <c r="C21" s="40"/>
      <c r="D21" s="57" t="s">
        <v>180</v>
      </c>
      <c r="E21" s="57" t="s">
        <v>181</v>
      </c>
      <c r="F21" s="58" t="s">
        <v>110</v>
      </c>
      <c r="G21" s="52"/>
      <c r="H21" s="52"/>
      <c r="I21" s="52"/>
      <c r="J21" s="52"/>
      <c r="K21" s="59" t="s">
        <v>79</v>
      </c>
      <c r="L21" s="52"/>
      <c r="M21" s="52"/>
      <c r="N21" s="52"/>
      <c r="O21" s="52"/>
      <c r="P21" s="63" t="s">
        <v>182</v>
      </c>
      <c r="Q21" s="55">
        <f>VLOOKUP(E21,'NI-San_SP'!$C:$AN,12,FALSE)</f>
        <v>0</v>
      </c>
      <c r="R21" s="55">
        <f>VLOOKUP(E21,'NI-San_SP'!$C:$AN,13,FALSE)</f>
        <v>0</v>
      </c>
      <c r="S21" s="55"/>
      <c r="T21" s="55"/>
      <c r="U21" s="55">
        <f>VLOOKUP($E21,'NI-San_SP'!$C:$AN,MID(U$1,1,2),FALSE)</f>
        <v>0</v>
      </c>
      <c r="V21" s="55">
        <f>VLOOKUP($E21,'NI-San_SP'!$C:$AN,MID(V$1,1,2),FALSE)</f>
        <v>0</v>
      </c>
      <c r="W21" s="55">
        <f>VLOOKUP($E21,'NI-San_SP'!$C:$AN,MID(W$1,1,2),FALSE)</f>
        <v>0</v>
      </c>
      <c r="X21" s="55">
        <f>VLOOKUP($E21,'NI-San_SP'!$C:$AN,MID(X$1,1,2),FALSE)</f>
        <v>0</v>
      </c>
      <c r="Y21" s="55">
        <f>VLOOKUP($E21,'NI-San_SP'!$C:$AN,MID(Y$1,1,2),FALSE)</f>
        <v>0</v>
      </c>
      <c r="Z21" s="55">
        <f>VLOOKUP($E21,'NI-San_SP'!$C:$AN,MID(Z$1,1,2),FALSE)</f>
        <v>0</v>
      </c>
      <c r="AA21" s="55">
        <f>VLOOKUP($E21,'NI-San_SP'!$C:$AN,MID(AA$1,1,2),FALSE)</f>
        <v>0</v>
      </c>
      <c r="AB21" s="55">
        <f>VLOOKUP($E21,'NI-San_SP'!$C:$AN,MID(AB$1,1,2),FALSE)</f>
        <v>0</v>
      </c>
      <c r="AC21" s="55">
        <f>VLOOKUP($E21,'NI-San_SP'!$C:$AN,MID(AC$1,1,2),FALSE)</f>
        <v>0</v>
      </c>
      <c r="AD21" s="55">
        <f>VLOOKUP($E21,'NI-San_SP'!$C:$AN,MID(AD$1,1,2),FALSE)</f>
        <v>0</v>
      </c>
      <c r="AE21" s="55">
        <f>VLOOKUP($E21,'NI-San_SP'!$C:$AN,MID(AE$1,1,2),FALSE)</f>
        <v>0</v>
      </c>
      <c r="AF21" s="55">
        <f>VLOOKUP($E21,'NI-San_SP'!$C:$AN,MID(AF$1,1,2),FALSE)</f>
        <v>0</v>
      </c>
      <c r="AG21" s="55">
        <f>VLOOKUP($E21,'NI-San_SP'!$C:$AN,MID(AG$1,1,2),FALSE)</f>
        <v>0</v>
      </c>
      <c r="AH21" s="55">
        <f>VLOOKUP($E21,'NI-San_SP'!$C:$AN,MID(AH$1,1,2),FALSE)</f>
        <v>0</v>
      </c>
      <c r="AI21" s="55">
        <f>VLOOKUP($E21,'NI-San_SP'!$C:$AN,MID(AI$1,1,2),FALSE)</f>
        <v>0</v>
      </c>
      <c r="AJ21" s="55">
        <f>VLOOKUP($E21,'NI-San_SP'!$C:$AN,MID(AJ$1,1,2),FALSE)</f>
        <v>0</v>
      </c>
      <c r="AK21" s="55">
        <f>VLOOKUP($E21,'NI-San_SP'!$C:$AN,MID(AK$1,1,2),FALSE)</f>
        <v>0</v>
      </c>
      <c r="AL21" s="55">
        <f>VLOOKUP($E21,'NI-San_SP'!$C:$AN,MID(AL$1,1,2),FALSE)</f>
        <v>0</v>
      </c>
      <c r="AM21" s="56">
        <f>VLOOKUP($E21,'NI-San_SP'!$C:$AN,MID(AM$1,1,2),FALSE)</f>
        <v>0</v>
      </c>
      <c r="AN21" s="30" t="str">
        <f t="shared" si="0"/>
        <v>10103010010010</v>
      </c>
    </row>
    <row r="22" spans="3:40" x14ac:dyDescent="0.25">
      <c r="C22" s="40"/>
      <c r="D22" s="57" t="s">
        <v>183</v>
      </c>
      <c r="E22" s="57" t="s">
        <v>184</v>
      </c>
      <c r="F22" s="58" t="s">
        <v>110</v>
      </c>
      <c r="G22" s="52"/>
      <c r="H22" s="52"/>
      <c r="I22" s="52"/>
      <c r="J22" s="52"/>
      <c r="K22" s="59" t="s">
        <v>79</v>
      </c>
      <c r="L22" s="52"/>
      <c r="M22" s="52"/>
      <c r="N22" s="52"/>
      <c r="O22" s="52"/>
      <c r="P22" s="63" t="s">
        <v>185</v>
      </c>
      <c r="Q22" s="55">
        <f>VLOOKUP(E22,'NI-San_SP'!$C:$AN,12,FALSE)</f>
        <v>0</v>
      </c>
      <c r="R22" s="55">
        <f>VLOOKUP(E22,'NI-San_SP'!$C:$AN,13,FALSE)</f>
        <v>0</v>
      </c>
      <c r="S22" s="55"/>
      <c r="T22" s="55"/>
      <c r="U22" s="55">
        <f>VLOOKUP($E22,'NI-San_SP'!$C:$AN,MID(U$1,1,2),FALSE)</f>
        <v>0</v>
      </c>
      <c r="V22" s="55">
        <f>VLOOKUP($E22,'NI-San_SP'!$C:$AN,MID(V$1,1,2),FALSE)</f>
        <v>0</v>
      </c>
      <c r="W22" s="55">
        <f>VLOOKUP($E22,'NI-San_SP'!$C:$AN,MID(W$1,1,2),FALSE)</f>
        <v>0</v>
      </c>
      <c r="X22" s="55">
        <f>VLOOKUP($E22,'NI-San_SP'!$C:$AN,MID(X$1,1,2),FALSE)</f>
        <v>0</v>
      </c>
      <c r="Y22" s="55">
        <f>VLOOKUP($E22,'NI-San_SP'!$C:$AN,MID(Y$1,1,2),FALSE)</f>
        <v>0</v>
      </c>
      <c r="Z22" s="55">
        <f>VLOOKUP($E22,'NI-San_SP'!$C:$AN,MID(Z$1,1,2),FALSE)</f>
        <v>0</v>
      </c>
      <c r="AA22" s="55">
        <f>VLOOKUP($E22,'NI-San_SP'!$C:$AN,MID(AA$1,1,2),FALSE)</f>
        <v>0</v>
      </c>
      <c r="AB22" s="55">
        <f>VLOOKUP($E22,'NI-San_SP'!$C:$AN,MID(AB$1,1,2),FALSE)</f>
        <v>0</v>
      </c>
      <c r="AC22" s="55">
        <f>VLOOKUP($E22,'NI-San_SP'!$C:$AN,MID(AC$1,1,2),FALSE)</f>
        <v>0</v>
      </c>
      <c r="AD22" s="55">
        <f>VLOOKUP($E22,'NI-San_SP'!$C:$AN,MID(AD$1,1,2),FALSE)</f>
        <v>0</v>
      </c>
      <c r="AE22" s="55">
        <f>VLOOKUP($E22,'NI-San_SP'!$C:$AN,MID(AE$1,1,2),FALSE)</f>
        <v>0</v>
      </c>
      <c r="AF22" s="55">
        <f>VLOOKUP($E22,'NI-San_SP'!$C:$AN,MID(AF$1,1,2),FALSE)</f>
        <v>0</v>
      </c>
      <c r="AG22" s="55">
        <f>VLOOKUP($E22,'NI-San_SP'!$C:$AN,MID(AG$1,1,2),FALSE)</f>
        <v>0</v>
      </c>
      <c r="AH22" s="55">
        <f>VLOOKUP($E22,'NI-San_SP'!$C:$AN,MID(AH$1,1,2),FALSE)</f>
        <v>0</v>
      </c>
      <c r="AI22" s="55">
        <f>VLOOKUP($E22,'NI-San_SP'!$C:$AN,MID(AI$1,1,2),FALSE)</f>
        <v>0</v>
      </c>
      <c r="AJ22" s="55">
        <f>VLOOKUP($E22,'NI-San_SP'!$C:$AN,MID(AJ$1,1,2),FALSE)</f>
        <v>0</v>
      </c>
      <c r="AK22" s="55">
        <f>VLOOKUP($E22,'NI-San_SP'!$C:$AN,MID(AK$1,1,2),FALSE)</f>
        <v>0</v>
      </c>
      <c r="AL22" s="55">
        <f>VLOOKUP($E22,'NI-San_SP'!$C:$AN,MID(AL$1,1,2),FALSE)</f>
        <v>0</v>
      </c>
      <c r="AM22" s="56">
        <f>VLOOKUP($E22,'NI-San_SP'!$C:$AN,MID(AM$1,1,2),FALSE)</f>
        <v>0</v>
      </c>
      <c r="AN22" s="30" t="str">
        <f t="shared" si="0"/>
        <v>10103010010020</v>
      </c>
    </row>
    <row r="23" spans="3:40" x14ac:dyDescent="0.25">
      <c r="C23" s="40"/>
      <c r="D23" s="57" t="s">
        <v>186</v>
      </c>
      <c r="E23" s="57" t="s">
        <v>187</v>
      </c>
      <c r="F23" s="58" t="s">
        <v>110</v>
      </c>
      <c r="G23" s="52"/>
      <c r="H23" s="52"/>
      <c r="I23" s="52"/>
      <c r="J23" s="52"/>
      <c r="K23" s="59" t="s">
        <v>79</v>
      </c>
      <c r="L23" s="52"/>
      <c r="M23" s="52"/>
      <c r="N23" s="52"/>
      <c r="O23" s="52"/>
      <c r="P23" s="64" t="s">
        <v>188</v>
      </c>
      <c r="Q23" s="55">
        <f>VLOOKUP(E23,'NI-San_SP'!$C:$AN,12,FALSE)</f>
        <v>5113477</v>
      </c>
      <c r="R23" s="55">
        <f>VLOOKUP(E23,'NI-San_SP'!$C:$AN,13,FALSE)</f>
        <v>5113477</v>
      </c>
      <c r="S23" s="55"/>
      <c r="T23" s="55"/>
      <c r="U23" s="55">
        <f>VLOOKUP($E23,'NI-San_SP'!$C:$AN,MID(U$1,1,2),FALSE)</f>
        <v>0</v>
      </c>
      <c r="V23" s="55">
        <f>VLOOKUP($E23,'NI-San_SP'!$C:$AN,MID(V$1,1,2),FALSE)</f>
        <v>5113477</v>
      </c>
      <c r="W23" s="55">
        <f>VLOOKUP($E23,'NI-San_SP'!$C:$AN,MID(W$1,1,2),FALSE)</f>
        <v>0</v>
      </c>
      <c r="X23" s="55">
        <f>VLOOKUP($E23,'NI-San_SP'!$C:$AN,MID(X$1,1,2),FALSE)</f>
        <v>0</v>
      </c>
      <c r="Y23" s="55">
        <f>VLOOKUP($E23,'NI-San_SP'!$C:$AN,MID(Y$1,1,2),FALSE)</f>
        <v>0</v>
      </c>
      <c r="Z23" s="55">
        <f>VLOOKUP($E23,'NI-San_SP'!$C:$AN,MID(Z$1,1,2),FALSE)</f>
        <v>0</v>
      </c>
      <c r="AA23" s="55">
        <f>VLOOKUP($E23,'NI-San_SP'!$C:$AN,MID(AA$1,1,2),FALSE)</f>
        <v>0</v>
      </c>
      <c r="AB23" s="55">
        <f>VLOOKUP($E23,'NI-San_SP'!$C:$AN,MID(AB$1,1,2),FALSE)</f>
        <v>0</v>
      </c>
      <c r="AC23" s="55">
        <f>VLOOKUP($E23,'NI-San_SP'!$C:$AN,MID(AC$1,1,2),FALSE)</f>
        <v>0</v>
      </c>
      <c r="AD23" s="55">
        <f>VLOOKUP($E23,'NI-San_SP'!$C:$AN,MID(AD$1,1,2),FALSE)</f>
        <v>0</v>
      </c>
      <c r="AE23" s="55">
        <f>VLOOKUP($E23,'NI-San_SP'!$C:$AN,MID(AE$1,1,2),FALSE)</f>
        <v>0</v>
      </c>
      <c r="AF23" s="55">
        <f>VLOOKUP($E23,'NI-San_SP'!$C:$AN,MID(AF$1,1,2),FALSE)</f>
        <v>0</v>
      </c>
      <c r="AG23" s="55">
        <f>VLOOKUP($E23,'NI-San_SP'!$C:$AN,MID(AG$1,1,2),FALSE)</f>
        <v>0</v>
      </c>
      <c r="AH23" s="55">
        <f>VLOOKUP($E23,'NI-San_SP'!$C:$AN,MID(AH$1,1,2),FALSE)</f>
        <v>0</v>
      </c>
      <c r="AI23" s="55">
        <f>VLOOKUP($E23,'NI-San_SP'!$C:$AN,MID(AI$1,1,2),FALSE)</f>
        <v>0</v>
      </c>
      <c r="AJ23" s="55">
        <f>VLOOKUP($E23,'NI-San_SP'!$C:$AN,MID(AJ$1,1,2),FALSE)</f>
        <v>0</v>
      </c>
      <c r="AK23" s="55">
        <f>VLOOKUP($E23,'NI-San_SP'!$C:$AN,MID(AK$1,1,2),FALSE)</f>
        <v>0</v>
      </c>
      <c r="AL23" s="55">
        <f>VLOOKUP($E23,'NI-San_SP'!$C:$AN,MID(AL$1,1,2),FALSE)</f>
        <v>0</v>
      </c>
      <c r="AM23" s="56">
        <f>VLOOKUP($E23,'NI-San_SP'!$C:$AN,MID(AM$1,1,2),FALSE)</f>
        <v>0</v>
      </c>
      <c r="AN23" s="30" t="str">
        <f t="shared" si="0"/>
        <v>10103010020010</v>
      </c>
    </row>
    <row r="24" spans="3:40" x14ac:dyDescent="0.25">
      <c r="C24" s="40"/>
      <c r="D24" s="57" t="s">
        <v>189</v>
      </c>
      <c r="E24" s="57" t="s">
        <v>190</v>
      </c>
      <c r="F24" s="58" t="s">
        <v>110</v>
      </c>
      <c r="G24" s="52"/>
      <c r="H24" s="52"/>
      <c r="I24" s="52"/>
      <c r="J24" s="52"/>
      <c r="K24" s="59" t="s">
        <v>79</v>
      </c>
      <c r="L24" s="52"/>
      <c r="M24" s="52"/>
      <c r="N24" s="52"/>
      <c r="O24" s="52"/>
      <c r="P24" s="64" t="s">
        <v>191</v>
      </c>
      <c r="Q24" s="55">
        <f>VLOOKUP(E24,'NI-San_SP'!$C:$AN,12,FALSE)</f>
        <v>676737</v>
      </c>
      <c r="R24" s="55">
        <f>VLOOKUP(E24,'NI-San_SP'!$C:$AN,13,FALSE)</f>
        <v>676737</v>
      </c>
      <c r="S24" s="55"/>
      <c r="T24" s="55"/>
      <c r="U24" s="55">
        <f>VLOOKUP($E24,'NI-San_SP'!$C:$AN,MID(U$1,1,2),FALSE)</f>
        <v>0</v>
      </c>
      <c r="V24" s="55">
        <f>VLOOKUP($E24,'NI-San_SP'!$C:$AN,MID(V$1,1,2),FALSE)</f>
        <v>676737</v>
      </c>
      <c r="W24" s="55">
        <f>VLOOKUP($E24,'NI-San_SP'!$C:$AN,MID(W$1,1,2),FALSE)</f>
        <v>0</v>
      </c>
      <c r="X24" s="55">
        <f>VLOOKUP($E24,'NI-San_SP'!$C:$AN,MID(X$1,1,2),FALSE)</f>
        <v>0</v>
      </c>
      <c r="Y24" s="55">
        <f>VLOOKUP($E24,'NI-San_SP'!$C:$AN,MID(Y$1,1,2),FALSE)</f>
        <v>0</v>
      </c>
      <c r="Z24" s="55">
        <f>VLOOKUP($E24,'NI-San_SP'!$C:$AN,MID(Z$1,1,2),FALSE)</f>
        <v>0</v>
      </c>
      <c r="AA24" s="55">
        <f>VLOOKUP($E24,'NI-San_SP'!$C:$AN,MID(AA$1,1,2),FALSE)</f>
        <v>0</v>
      </c>
      <c r="AB24" s="55">
        <f>VLOOKUP($E24,'NI-San_SP'!$C:$AN,MID(AB$1,1,2),FALSE)</f>
        <v>0</v>
      </c>
      <c r="AC24" s="55">
        <f>VLOOKUP($E24,'NI-San_SP'!$C:$AN,MID(AC$1,1,2),FALSE)</f>
        <v>0</v>
      </c>
      <c r="AD24" s="55">
        <f>VLOOKUP($E24,'NI-San_SP'!$C:$AN,MID(AD$1,1,2),FALSE)</f>
        <v>0</v>
      </c>
      <c r="AE24" s="55">
        <f>VLOOKUP($E24,'NI-San_SP'!$C:$AN,MID(AE$1,1,2),FALSE)</f>
        <v>0</v>
      </c>
      <c r="AF24" s="55">
        <f>VLOOKUP($E24,'NI-San_SP'!$C:$AN,MID(AF$1,1,2),FALSE)</f>
        <v>0</v>
      </c>
      <c r="AG24" s="55">
        <f>VLOOKUP($E24,'NI-San_SP'!$C:$AN,MID(AG$1,1,2),FALSE)</f>
        <v>0</v>
      </c>
      <c r="AH24" s="55">
        <f>VLOOKUP($E24,'NI-San_SP'!$C:$AN,MID(AH$1,1,2),FALSE)</f>
        <v>0</v>
      </c>
      <c r="AI24" s="55">
        <f>VLOOKUP($E24,'NI-San_SP'!$C:$AN,MID(AI$1,1,2),FALSE)</f>
        <v>0</v>
      </c>
      <c r="AJ24" s="55">
        <f>VLOOKUP($E24,'NI-San_SP'!$C:$AN,MID(AJ$1,1,2),FALSE)</f>
        <v>0</v>
      </c>
      <c r="AK24" s="55">
        <f>VLOOKUP($E24,'NI-San_SP'!$C:$AN,MID(AK$1,1,2),FALSE)</f>
        <v>0</v>
      </c>
      <c r="AL24" s="55">
        <f>VLOOKUP($E24,'NI-San_SP'!$C:$AN,MID(AL$1,1,2),FALSE)</f>
        <v>0</v>
      </c>
      <c r="AM24" s="56">
        <f>VLOOKUP($E24,'NI-San_SP'!$C:$AN,MID(AM$1,1,2),FALSE)</f>
        <v>0</v>
      </c>
      <c r="AN24" s="30" t="str">
        <f t="shared" si="0"/>
        <v>10103010020020</v>
      </c>
    </row>
    <row r="25" spans="3:40" ht="27" x14ac:dyDescent="0.25">
      <c r="C25" s="40"/>
      <c r="D25" s="57" t="s">
        <v>192</v>
      </c>
      <c r="E25" s="57" t="s">
        <v>193</v>
      </c>
      <c r="F25" s="58" t="s">
        <v>110</v>
      </c>
      <c r="G25" s="52"/>
      <c r="H25" s="52"/>
      <c r="I25" s="52" t="s">
        <v>194</v>
      </c>
      <c r="J25" s="52" t="s">
        <v>194</v>
      </c>
      <c r="K25" s="59" t="s">
        <v>111</v>
      </c>
      <c r="L25" s="62" t="s">
        <v>195</v>
      </c>
      <c r="M25" s="52"/>
      <c r="N25" s="52"/>
      <c r="O25" s="52"/>
      <c r="P25" s="54" t="s">
        <v>196</v>
      </c>
      <c r="Q25" s="55">
        <f>VLOOKUP(E25,'NI-San_SP'!$C:$AN,12,FALSE)</f>
        <v>5788592</v>
      </c>
      <c r="R25" s="55">
        <f>VLOOKUP(E25,'NI-San_SP'!$C:$AN,13,FALSE)</f>
        <v>5790214</v>
      </c>
      <c r="S25" s="55"/>
      <c r="T25" s="55"/>
      <c r="U25" s="55">
        <f>VLOOKUP($E25,'NI-San_SP'!$C:$AN,MID(U$1,1,2),FALSE)</f>
        <v>0</v>
      </c>
      <c r="V25" s="55">
        <f>VLOOKUP($E25,'NI-San_SP'!$C:$AN,MID(V$1,1,2),FALSE)</f>
        <v>5788592</v>
      </c>
      <c r="W25" s="55">
        <f>VLOOKUP($E25,'NI-San_SP'!$C:$AN,MID(W$1,1,2),FALSE)</f>
        <v>0</v>
      </c>
      <c r="X25" s="55">
        <f>VLOOKUP($E25,'NI-San_SP'!$C:$AN,MID(X$1,1,2),FALSE)</f>
        <v>0</v>
      </c>
      <c r="Y25" s="55">
        <f>VLOOKUP($E25,'NI-San_SP'!$C:$AN,MID(Y$1,1,2),FALSE)</f>
        <v>0</v>
      </c>
      <c r="Z25" s="55">
        <f>VLOOKUP($E25,'NI-San_SP'!$C:$AN,MID(Z$1,1,2),FALSE)</f>
        <v>0</v>
      </c>
      <c r="AA25" s="55">
        <f>VLOOKUP($E25,'NI-San_SP'!$C:$AN,MID(AA$1,1,2),FALSE)</f>
        <v>0</v>
      </c>
      <c r="AB25" s="55">
        <f>VLOOKUP($E25,'NI-San_SP'!$C:$AN,MID(AB$1,1,2),FALSE)</f>
        <v>0</v>
      </c>
      <c r="AC25" s="55">
        <f>VLOOKUP($E25,'NI-San_SP'!$C:$AN,MID(AC$1,1,2),FALSE)</f>
        <v>0</v>
      </c>
      <c r="AD25" s="55">
        <f>VLOOKUP($E25,'NI-San_SP'!$C:$AN,MID(AD$1,1,2),FALSE)</f>
        <v>1622</v>
      </c>
      <c r="AE25" s="55">
        <f>VLOOKUP($E25,'NI-San_SP'!$C:$AN,MID(AE$1,1,2),FALSE)</f>
        <v>0</v>
      </c>
      <c r="AF25" s="55">
        <f>VLOOKUP($E25,'NI-San_SP'!$C:$AN,MID(AF$1,1,2),FALSE)</f>
        <v>0</v>
      </c>
      <c r="AG25" s="55">
        <f>VLOOKUP($E25,'NI-San_SP'!$C:$AN,MID(AG$1,1,2),FALSE)</f>
        <v>0</v>
      </c>
      <c r="AH25" s="55">
        <f>VLOOKUP($E25,'NI-San_SP'!$C:$AN,MID(AH$1,1,2),FALSE)</f>
        <v>0</v>
      </c>
      <c r="AI25" s="55">
        <f>VLOOKUP($E25,'NI-San_SP'!$C:$AN,MID(AI$1,1,2),FALSE)</f>
        <v>0</v>
      </c>
      <c r="AJ25" s="55">
        <f>VLOOKUP($E25,'NI-San_SP'!$C:$AN,MID(AJ$1,1,2),FALSE)</f>
        <v>0</v>
      </c>
      <c r="AK25" s="55">
        <f>VLOOKUP($E25,'NI-San_SP'!$C:$AN,MID(AK$1,1,2),FALSE)</f>
        <v>0</v>
      </c>
      <c r="AL25" s="55">
        <f>VLOOKUP($E25,'NI-San_SP'!$C:$AN,MID(AL$1,1,2),FALSE)</f>
        <v>0</v>
      </c>
      <c r="AM25" s="56">
        <f>VLOOKUP($E25,'NI-San_SP'!$C:$AN,MID(AM$1,1,2),FALSE)</f>
        <v>0</v>
      </c>
      <c r="AN25" s="30" t="str">
        <f t="shared" si="0"/>
        <v>10103020000000</v>
      </c>
    </row>
    <row r="26" spans="3:40" x14ac:dyDescent="0.25">
      <c r="C26" s="40"/>
      <c r="D26" s="57" t="s">
        <v>197</v>
      </c>
      <c r="E26" s="57" t="s">
        <v>198</v>
      </c>
      <c r="F26" s="58" t="s">
        <v>110</v>
      </c>
      <c r="G26" s="52"/>
      <c r="H26" s="52"/>
      <c r="I26" s="52"/>
      <c r="J26" s="52"/>
      <c r="K26" s="59" t="s">
        <v>79</v>
      </c>
      <c r="L26" s="52"/>
      <c r="M26" s="52"/>
      <c r="N26" s="52"/>
      <c r="O26" s="52"/>
      <c r="P26" s="63" t="s">
        <v>199</v>
      </c>
      <c r="Q26" s="55">
        <f>VLOOKUP(E26,'NI-San_SP'!$C:$AN,12,FALSE)</f>
        <v>0</v>
      </c>
      <c r="R26" s="55">
        <f>VLOOKUP(E26,'NI-San_SP'!$C:$AN,13,FALSE)</f>
        <v>0</v>
      </c>
      <c r="S26" s="55"/>
      <c r="T26" s="55"/>
      <c r="U26" s="55">
        <f>VLOOKUP($E26,'NI-San_SP'!$C:$AN,MID(U$1,1,2),FALSE)</f>
        <v>0</v>
      </c>
      <c r="V26" s="55">
        <f>VLOOKUP($E26,'NI-San_SP'!$C:$AN,MID(V$1,1,2),FALSE)</f>
        <v>0</v>
      </c>
      <c r="W26" s="55">
        <f>VLOOKUP($E26,'NI-San_SP'!$C:$AN,MID(W$1,1,2),FALSE)</f>
        <v>0</v>
      </c>
      <c r="X26" s="55">
        <f>VLOOKUP($E26,'NI-San_SP'!$C:$AN,MID(X$1,1,2),FALSE)</f>
        <v>0</v>
      </c>
      <c r="Y26" s="55">
        <f>VLOOKUP($E26,'NI-San_SP'!$C:$AN,MID(Y$1,1,2),FALSE)</f>
        <v>0</v>
      </c>
      <c r="Z26" s="55">
        <f>VLOOKUP($E26,'NI-San_SP'!$C:$AN,MID(Z$1,1,2),FALSE)</f>
        <v>0</v>
      </c>
      <c r="AA26" s="55">
        <f>VLOOKUP($E26,'NI-San_SP'!$C:$AN,MID(AA$1,1,2),FALSE)</f>
        <v>0</v>
      </c>
      <c r="AB26" s="55">
        <f>VLOOKUP($E26,'NI-San_SP'!$C:$AN,MID(AB$1,1,2),FALSE)</f>
        <v>0</v>
      </c>
      <c r="AC26" s="55">
        <f>VLOOKUP($E26,'NI-San_SP'!$C:$AN,MID(AC$1,1,2),FALSE)</f>
        <v>0</v>
      </c>
      <c r="AD26" s="55">
        <f>VLOOKUP($E26,'NI-San_SP'!$C:$AN,MID(AD$1,1,2),FALSE)</f>
        <v>0</v>
      </c>
      <c r="AE26" s="55">
        <f>VLOOKUP($E26,'NI-San_SP'!$C:$AN,MID(AE$1,1,2),FALSE)</f>
        <v>0</v>
      </c>
      <c r="AF26" s="55">
        <f>VLOOKUP($E26,'NI-San_SP'!$C:$AN,MID(AF$1,1,2),FALSE)</f>
        <v>0</v>
      </c>
      <c r="AG26" s="55">
        <f>VLOOKUP($E26,'NI-San_SP'!$C:$AN,MID(AG$1,1,2),FALSE)</f>
        <v>0</v>
      </c>
      <c r="AH26" s="55">
        <f>VLOOKUP($E26,'NI-San_SP'!$C:$AN,MID(AH$1,1,2),FALSE)</f>
        <v>0</v>
      </c>
      <c r="AI26" s="55">
        <f>VLOOKUP($E26,'NI-San_SP'!$C:$AN,MID(AI$1,1,2),FALSE)</f>
        <v>0</v>
      </c>
      <c r="AJ26" s="55">
        <f>VLOOKUP($E26,'NI-San_SP'!$C:$AN,MID(AJ$1,1,2),FALSE)</f>
        <v>0</v>
      </c>
      <c r="AK26" s="55">
        <f>VLOOKUP($E26,'NI-San_SP'!$C:$AN,MID(AK$1,1,2),FALSE)</f>
        <v>0</v>
      </c>
      <c r="AL26" s="55">
        <f>VLOOKUP($E26,'NI-San_SP'!$C:$AN,MID(AL$1,1,2),FALSE)</f>
        <v>0</v>
      </c>
      <c r="AM26" s="56">
        <f>VLOOKUP($E26,'NI-San_SP'!$C:$AN,MID(AM$1,1,2),FALSE)</f>
        <v>0</v>
      </c>
      <c r="AN26" s="30" t="str">
        <f t="shared" si="0"/>
        <v>10103020010010</v>
      </c>
    </row>
    <row r="27" spans="3:40" x14ac:dyDescent="0.25">
      <c r="C27" s="40"/>
      <c r="D27" s="57" t="s">
        <v>200</v>
      </c>
      <c r="E27" s="57" t="s">
        <v>201</v>
      </c>
      <c r="F27" s="58" t="s">
        <v>110</v>
      </c>
      <c r="G27" s="52"/>
      <c r="H27" s="52"/>
      <c r="I27" s="52"/>
      <c r="J27" s="52"/>
      <c r="K27" s="59" t="s">
        <v>79</v>
      </c>
      <c r="L27" s="52"/>
      <c r="M27" s="52"/>
      <c r="N27" s="52"/>
      <c r="O27" s="52"/>
      <c r="P27" s="63" t="s">
        <v>202</v>
      </c>
      <c r="Q27" s="55">
        <f>VLOOKUP(E27,'NI-San_SP'!$C:$AN,12,FALSE)</f>
        <v>0</v>
      </c>
      <c r="R27" s="55">
        <f>VLOOKUP(E27,'NI-San_SP'!$C:$AN,13,FALSE)</f>
        <v>0</v>
      </c>
      <c r="S27" s="55"/>
      <c r="T27" s="55"/>
      <c r="U27" s="55">
        <f>VLOOKUP($E27,'NI-San_SP'!$C:$AN,MID(U$1,1,2),FALSE)</f>
        <v>0</v>
      </c>
      <c r="V27" s="55">
        <f>VLOOKUP($E27,'NI-San_SP'!$C:$AN,MID(V$1,1,2),FALSE)</f>
        <v>0</v>
      </c>
      <c r="W27" s="55">
        <f>VLOOKUP($E27,'NI-San_SP'!$C:$AN,MID(W$1,1,2),FALSE)</f>
        <v>0</v>
      </c>
      <c r="X27" s="55">
        <f>VLOOKUP($E27,'NI-San_SP'!$C:$AN,MID(X$1,1,2),FALSE)</f>
        <v>0</v>
      </c>
      <c r="Y27" s="55">
        <f>VLOOKUP($E27,'NI-San_SP'!$C:$AN,MID(Y$1,1,2),FALSE)</f>
        <v>0</v>
      </c>
      <c r="Z27" s="55">
        <f>VLOOKUP($E27,'NI-San_SP'!$C:$AN,MID(Z$1,1,2),FALSE)</f>
        <v>0</v>
      </c>
      <c r="AA27" s="55">
        <f>VLOOKUP($E27,'NI-San_SP'!$C:$AN,MID(AA$1,1,2),FALSE)</f>
        <v>0</v>
      </c>
      <c r="AB27" s="55">
        <f>VLOOKUP($E27,'NI-San_SP'!$C:$AN,MID(AB$1,1,2),FALSE)</f>
        <v>0</v>
      </c>
      <c r="AC27" s="55">
        <f>VLOOKUP($E27,'NI-San_SP'!$C:$AN,MID(AC$1,1,2),FALSE)</f>
        <v>0</v>
      </c>
      <c r="AD27" s="55">
        <f>VLOOKUP($E27,'NI-San_SP'!$C:$AN,MID(AD$1,1,2),FALSE)</f>
        <v>0</v>
      </c>
      <c r="AE27" s="55">
        <f>VLOOKUP($E27,'NI-San_SP'!$C:$AN,MID(AE$1,1,2),FALSE)</f>
        <v>0</v>
      </c>
      <c r="AF27" s="55">
        <f>VLOOKUP($E27,'NI-San_SP'!$C:$AN,MID(AF$1,1,2),FALSE)</f>
        <v>0</v>
      </c>
      <c r="AG27" s="55">
        <f>VLOOKUP($E27,'NI-San_SP'!$C:$AN,MID(AG$1,1,2),FALSE)</f>
        <v>0</v>
      </c>
      <c r="AH27" s="55">
        <f>VLOOKUP($E27,'NI-San_SP'!$C:$AN,MID(AH$1,1,2),FALSE)</f>
        <v>0</v>
      </c>
      <c r="AI27" s="55">
        <f>VLOOKUP($E27,'NI-San_SP'!$C:$AN,MID(AI$1,1,2),FALSE)</f>
        <v>0</v>
      </c>
      <c r="AJ27" s="55">
        <f>VLOOKUP($E27,'NI-San_SP'!$C:$AN,MID(AJ$1,1,2),FALSE)</f>
        <v>0</v>
      </c>
      <c r="AK27" s="55">
        <f>VLOOKUP($E27,'NI-San_SP'!$C:$AN,MID(AK$1,1,2),FALSE)</f>
        <v>0</v>
      </c>
      <c r="AL27" s="55">
        <f>VLOOKUP($E27,'NI-San_SP'!$C:$AN,MID(AL$1,1,2),FALSE)</f>
        <v>0</v>
      </c>
      <c r="AM27" s="56">
        <f>VLOOKUP($E27,'NI-San_SP'!$C:$AN,MID(AM$1,1,2),FALSE)</f>
        <v>0</v>
      </c>
      <c r="AN27" s="30" t="str">
        <f t="shared" si="0"/>
        <v>10103020010020</v>
      </c>
    </row>
    <row r="28" spans="3:40" x14ac:dyDescent="0.25">
      <c r="C28" s="40"/>
      <c r="D28" s="57" t="s">
        <v>203</v>
      </c>
      <c r="E28" s="57" t="s">
        <v>204</v>
      </c>
      <c r="F28" s="58" t="s">
        <v>110</v>
      </c>
      <c r="G28" s="52"/>
      <c r="H28" s="52"/>
      <c r="I28" s="52"/>
      <c r="J28" s="52"/>
      <c r="K28" s="59" t="s">
        <v>79</v>
      </c>
      <c r="L28" s="52"/>
      <c r="M28" s="52"/>
      <c r="N28" s="52"/>
      <c r="O28" s="52"/>
      <c r="P28" s="64" t="s">
        <v>205</v>
      </c>
      <c r="Q28" s="55">
        <f>VLOOKUP(E28,'NI-San_SP'!$C:$AN,12,FALSE)</f>
        <v>5111855</v>
      </c>
      <c r="R28" s="55">
        <f>VLOOKUP(E28,'NI-San_SP'!$C:$AN,13,FALSE)</f>
        <v>5113477</v>
      </c>
      <c r="S28" s="55"/>
      <c r="T28" s="55"/>
      <c r="U28" s="55">
        <f>VLOOKUP($E28,'NI-San_SP'!$C:$AN,MID(U$1,1,2),FALSE)</f>
        <v>0</v>
      </c>
      <c r="V28" s="55">
        <f>VLOOKUP($E28,'NI-San_SP'!$C:$AN,MID(V$1,1,2),FALSE)</f>
        <v>5111855</v>
      </c>
      <c r="W28" s="55">
        <f>VLOOKUP($E28,'NI-San_SP'!$C:$AN,MID(W$1,1,2),FALSE)</f>
        <v>0</v>
      </c>
      <c r="X28" s="55">
        <f>VLOOKUP($E28,'NI-San_SP'!$C:$AN,MID(X$1,1,2),FALSE)</f>
        <v>0</v>
      </c>
      <c r="Y28" s="55">
        <f>VLOOKUP($E28,'NI-San_SP'!$C:$AN,MID(Y$1,1,2),FALSE)</f>
        <v>0</v>
      </c>
      <c r="Z28" s="55">
        <f>VLOOKUP($E28,'NI-San_SP'!$C:$AN,MID(Z$1,1,2),FALSE)</f>
        <v>0</v>
      </c>
      <c r="AA28" s="55">
        <f>VLOOKUP($E28,'NI-San_SP'!$C:$AN,MID(AA$1,1,2),FALSE)</f>
        <v>0</v>
      </c>
      <c r="AB28" s="55">
        <f>VLOOKUP($E28,'NI-San_SP'!$C:$AN,MID(AB$1,1,2),FALSE)</f>
        <v>0</v>
      </c>
      <c r="AC28" s="55">
        <f>VLOOKUP($E28,'NI-San_SP'!$C:$AN,MID(AC$1,1,2),FALSE)</f>
        <v>0</v>
      </c>
      <c r="AD28" s="55">
        <f>VLOOKUP($E28,'NI-San_SP'!$C:$AN,MID(AD$1,1,2),FALSE)</f>
        <v>1622</v>
      </c>
      <c r="AE28" s="55">
        <f>VLOOKUP($E28,'NI-San_SP'!$C:$AN,MID(AE$1,1,2),FALSE)</f>
        <v>0</v>
      </c>
      <c r="AF28" s="55">
        <f>VLOOKUP($E28,'NI-San_SP'!$C:$AN,MID(AF$1,1,2),FALSE)</f>
        <v>0</v>
      </c>
      <c r="AG28" s="55">
        <f>VLOOKUP($E28,'NI-San_SP'!$C:$AN,MID(AG$1,1,2),FALSE)</f>
        <v>0</v>
      </c>
      <c r="AH28" s="55">
        <f>VLOOKUP($E28,'NI-San_SP'!$C:$AN,MID(AH$1,1,2),FALSE)</f>
        <v>0</v>
      </c>
      <c r="AI28" s="55">
        <f>VLOOKUP($E28,'NI-San_SP'!$C:$AN,MID(AI$1,1,2),FALSE)</f>
        <v>0</v>
      </c>
      <c r="AJ28" s="55">
        <f>VLOOKUP($E28,'NI-San_SP'!$C:$AN,MID(AJ$1,1,2),FALSE)</f>
        <v>0</v>
      </c>
      <c r="AK28" s="55">
        <f>VLOOKUP($E28,'NI-San_SP'!$C:$AN,MID(AK$1,1,2),FALSE)</f>
        <v>0</v>
      </c>
      <c r="AL28" s="55">
        <f>VLOOKUP($E28,'NI-San_SP'!$C:$AN,MID(AL$1,1,2),FALSE)</f>
        <v>0</v>
      </c>
      <c r="AM28" s="56">
        <f>VLOOKUP($E28,'NI-San_SP'!$C:$AN,MID(AM$1,1,2),FALSE)</f>
        <v>0</v>
      </c>
      <c r="AN28" s="30" t="str">
        <f t="shared" si="0"/>
        <v>10103020020010</v>
      </c>
    </row>
    <row r="29" spans="3:40" x14ac:dyDescent="0.25">
      <c r="C29" s="40"/>
      <c r="D29" s="57" t="s">
        <v>206</v>
      </c>
      <c r="E29" s="57" t="s">
        <v>207</v>
      </c>
      <c r="F29" s="58" t="s">
        <v>110</v>
      </c>
      <c r="G29" s="52"/>
      <c r="H29" s="52"/>
      <c r="I29" s="52"/>
      <c r="J29" s="52"/>
      <c r="K29" s="59" t="s">
        <v>79</v>
      </c>
      <c r="L29" s="52"/>
      <c r="M29" s="52"/>
      <c r="N29" s="52"/>
      <c r="O29" s="52"/>
      <c r="P29" s="64" t="s">
        <v>208</v>
      </c>
      <c r="Q29" s="55">
        <f>VLOOKUP(E29,'NI-San_SP'!$C:$AN,12,FALSE)</f>
        <v>676737</v>
      </c>
      <c r="R29" s="55">
        <f>VLOOKUP(E29,'NI-San_SP'!$C:$AN,13,FALSE)</f>
        <v>676737</v>
      </c>
      <c r="S29" s="55"/>
      <c r="T29" s="55"/>
      <c r="U29" s="55">
        <f>VLOOKUP($E29,'NI-San_SP'!$C:$AN,MID(U$1,1,2),FALSE)</f>
        <v>0</v>
      </c>
      <c r="V29" s="55">
        <f>VLOOKUP($E29,'NI-San_SP'!$C:$AN,MID(V$1,1,2),FALSE)</f>
        <v>676737</v>
      </c>
      <c r="W29" s="55">
        <f>VLOOKUP($E29,'NI-San_SP'!$C:$AN,MID(W$1,1,2),FALSE)</f>
        <v>0</v>
      </c>
      <c r="X29" s="55">
        <f>VLOOKUP($E29,'NI-San_SP'!$C:$AN,MID(X$1,1,2),FALSE)</f>
        <v>0</v>
      </c>
      <c r="Y29" s="55">
        <f>VLOOKUP($E29,'NI-San_SP'!$C:$AN,MID(Y$1,1,2),FALSE)</f>
        <v>0</v>
      </c>
      <c r="Z29" s="55">
        <f>VLOOKUP($E29,'NI-San_SP'!$C:$AN,MID(Z$1,1,2),FALSE)</f>
        <v>0</v>
      </c>
      <c r="AA29" s="55">
        <f>VLOOKUP($E29,'NI-San_SP'!$C:$AN,MID(AA$1,1,2),FALSE)</f>
        <v>0</v>
      </c>
      <c r="AB29" s="55">
        <f>VLOOKUP($E29,'NI-San_SP'!$C:$AN,MID(AB$1,1,2),FALSE)</f>
        <v>0</v>
      </c>
      <c r="AC29" s="55">
        <f>VLOOKUP($E29,'NI-San_SP'!$C:$AN,MID(AC$1,1,2),FALSE)</f>
        <v>0</v>
      </c>
      <c r="AD29" s="55">
        <f>VLOOKUP($E29,'NI-San_SP'!$C:$AN,MID(AD$1,1,2),FALSE)</f>
        <v>0</v>
      </c>
      <c r="AE29" s="55">
        <f>VLOOKUP($E29,'NI-San_SP'!$C:$AN,MID(AE$1,1,2),FALSE)</f>
        <v>0</v>
      </c>
      <c r="AF29" s="55">
        <f>VLOOKUP($E29,'NI-San_SP'!$C:$AN,MID(AF$1,1,2),FALSE)</f>
        <v>0</v>
      </c>
      <c r="AG29" s="55">
        <f>VLOOKUP($E29,'NI-San_SP'!$C:$AN,MID(AG$1,1,2),FALSE)</f>
        <v>0</v>
      </c>
      <c r="AH29" s="55">
        <f>VLOOKUP($E29,'NI-San_SP'!$C:$AN,MID(AH$1,1,2),FALSE)</f>
        <v>0</v>
      </c>
      <c r="AI29" s="55">
        <f>VLOOKUP($E29,'NI-San_SP'!$C:$AN,MID(AI$1,1,2),FALSE)</f>
        <v>0</v>
      </c>
      <c r="AJ29" s="55">
        <f>VLOOKUP($E29,'NI-San_SP'!$C:$AN,MID(AJ$1,1,2),FALSE)</f>
        <v>0</v>
      </c>
      <c r="AK29" s="55">
        <f>VLOOKUP($E29,'NI-San_SP'!$C:$AN,MID(AK$1,1,2),FALSE)</f>
        <v>0</v>
      </c>
      <c r="AL29" s="55">
        <f>VLOOKUP($E29,'NI-San_SP'!$C:$AN,MID(AL$1,1,2),FALSE)</f>
        <v>0</v>
      </c>
      <c r="AM29" s="56">
        <f>VLOOKUP($E29,'NI-San_SP'!$C:$AN,MID(AM$1,1,2),FALSE)</f>
        <v>0</v>
      </c>
      <c r="AN29" s="30" t="str">
        <f t="shared" si="0"/>
        <v>10103020020020</v>
      </c>
    </row>
    <row r="30" spans="3:40" x14ac:dyDescent="0.25">
      <c r="C30" s="40"/>
      <c r="D30" s="57" t="s">
        <v>209</v>
      </c>
      <c r="E30" s="57" t="s">
        <v>210</v>
      </c>
      <c r="F30" s="58" t="s">
        <v>110</v>
      </c>
      <c r="G30" s="52"/>
      <c r="H30" s="52"/>
      <c r="I30" s="52" t="s">
        <v>211</v>
      </c>
      <c r="J30" s="52" t="s">
        <v>211</v>
      </c>
      <c r="K30" s="59" t="s">
        <v>111</v>
      </c>
      <c r="L30" s="62" t="s">
        <v>178</v>
      </c>
      <c r="M30" s="52"/>
      <c r="N30" s="52"/>
      <c r="O30" s="52"/>
      <c r="P30" s="54" t="s">
        <v>212</v>
      </c>
      <c r="Q30" s="55">
        <f>VLOOKUP(E30,'NI-San_SP'!$C:$AN,12,FALSE)</f>
        <v>0</v>
      </c>
      <c r="R30" s="55">
        <f>VLOOKUP(E30,'NI-San_SP'!$C:$AN,13,FALSE)</f>
        <v>0</v>
      </c>
      <c r="S30" s="55"/>
      <c r="T30" s="55"/>
      <c r="U30" s="55">
        <f>VLOOKUP($E30,'NI-San_SP'!$C:$AN,MID(U$1,1,2),FALSE)</f>
        <v>0</v>
      </c>
      <c r="V30" s="55">
        <f>VLOOKUP($E30,'NI-San_SP'!$C:$AN,MID(V$1,1,2),FALSE)</f>
        <v>0</v>
      </c>
      <c r="W30" s="55">
        <f>VLOOKUP($E30,'NI-San_SP'!$C:$AN,MID(W$1,1,2),FALSE)</f>
        <v>0</v>
      </c>
      <c r="X30" s="55">
        <f>VLOOKUP($E30,'NI-San_SP'!$C:$AN,MID(X$1,1,2),FALSE)</f>
        <v>0</v>
      </c>
      <c r="Y30" s="55">
        <f>VLOOKUP($E30,'NI-San_SP'!$C:$AN,MID(Y$1,1,2),FALSE)</f>
        <v>0</v>
      </c>
      <c r="Z30" s="55">
        <f>VLOOKUP($E30,'NI-San_SP'!$C:$AN,MID(Z$1,1,2),FALSE)</f>
        <v>0</v>
      </c>
      <c r="AA30" s="55">
        <f>VLOOKUP($E30,'NI-San_SP'!$C:$AN,MID(AA$1,1,2),FALSE)</f>
        <v>0</v>
      </c>
      <c r="AB30" s="55">
        <f>VLOOKUP($E30,'NI-San_SP'!$C:$AN,MID(AB$1,1,2),FALSE)</f>
        <v>0</v>
      </c>
      <c r="AC30" s="55">
        <f>VLOOKUP($E30,'NI-San_SP'!$C:$AN,MID(AC$1,1,2),FALSE)</f>
        <v>0</v>
      </c>
      <c r="AD30" s="55">
        <f>VLOOKUP($E30,'NI-San_SP'!$C:$AN,MID(AD$1,1,2),FALSE)</f>
        <v>0</v>
      </c>
      <c r="AE30" s="55">
        <f>VLOOKUP($E30,'NI-San_SP'!$C:$AN,MID(AE$1,1,2),FALSE)</f>
        <v>0</v>
      </c>
      <c r="AF30" s="55">
        <f>VLOOKUP($E30,'NI-San_SP'!$C:$AN,MID(AF$1,1,2),FALSE)</f>
        <v>0</v>
      </c>
      <c r="AG30" s="55">
        <f>VLOOKUP($E30,'NI-San_SP'!$C:$AN,MID(AG$1,1,2),FALSE)</f>
        <v>0</v>
      </c>
      <c r="AH30" s="55">
        <f>VLOOKUP($E30,'NI-San_SP'!$C:$AN,MID(AH$1,1,2),FALSE)</f>
        <v>0</v>
      </c>
      <c r="AI30" s="55">
        <f>VLOOKUP($E30,'NI-San_SP'!$C:$AN,MID(AI$1,1,2),FALSE)</f>
        <v>0</v>
      </c>
      <c r="AJ30" s="55">
        <f>VLOOKUP($E30,'NI-San_SP'!$C:$AN,MID(AJ$1,1,2),FALSE)</f>
        <v>0</v>
      </c>
      <c r="AK30" s="55">
        <f>VLOOKUP($E30,'NI-San_SP'!$C:$AN,MID(AK$1,1,2),FALSE)</f>
        <v>0</v>
      </c>
      <c r="AL30" s="55">
        <f>VLOOKUP($E30,'NI-San_SP'!$C:$AN,MID(AL$1,1,2),FALSE)</f>
        <v>0</v>
      </c>
      <c r="AM30" s="56">
        <f>VLOOKUP($E30,'NI-San_SP'!$C:$AN,MID(AM$1,1,2),FALSE)</f>
        <v>0</v>
      </c>
      <c r="AN30" s="30" t="str">
        <f t="shared" si="0"/>
        <v>10103030000000</v>
      </c>
    </row>
    <row r="31" spans="3:40" x14ac:dyDescent="0.25">
      <c r="C31" s="40"/>
      <c r="D31" s="57" t="s">
        <v>213</v>
      </c>
      <c r="E31" s="57" t="s">
        <v>214</v>
      </c>
      <c r="F31" s="58" t="s">
        <v>110</v>
      </c>
      <c r="G31" s="52"/>
      <c r="H31" s="52"/>
      <c r="I31" s="52"/>
      <c r="J31" s="52"/>
      <c r="K31" s="59" t="s">
        <v>79</v>
      </c>
      <c r="L31" s="52"/>
      <c r="M31" s="52"/>
      <c r="N31" s="52"/>
      <c r="O31" s="52"/>
      <c r="P31" s="63" t="s">
        <v>215</v>
      </c>
      <c r="Q31" s="55">
        <f>VLOOKUP(E31,'NI-San_SP'!$C:$AN,12,FALSE)</f>
        <v>0</v>
      </c>
      <c r="R31" s="55">
        <f>VLOOKUP(E31,'NI-San_SP'!$C:$AN,13,FALSE)</f>
        <v>0</v>
      </c>
      <c r="S31" s="55"/>
      <c r="T31" s="55"/>
      <c r="U31" s="55">
        <f>VLOOKUP($E31,'NI-San_SP'!$C:$AN,MID(U$1,1,2),FALSE)</f>
        <v>0</v>
      </c>
      <c r="V31" s="55">
        <f>VLOOKUP($E31,'NI-San_SP'!$C:$AN,MID(V$1,1,2),FALSE)</f>
        <v>0</v>
      </c>
      <c r="W31" s="55">
        <f>VLOOKUP($E31,'NI-San_SP'!$C:$AN,MID(W$1,1,2),FALSE)</f>
        <v>0</v>
      </c>
      <c r="X31" s="55">
        <f>VLOOKUP($E31,'NI-San_SP'!$C:$AN,MID(X$1,1,2),FALSE)</f>
        <v>0</v>
      </c>
      <c r="Y31" s="55">
        <f>VLOOKUP($E31,'NI-San_SP'!$C:$AN,MID(Y$1,1,2),FALSE)</f>
        <v>0</v>
      </c>
      <c r="Z31" s="55">
        <f>VLOOKUP($E31,'NI-San_SP'!$C:$AN,MID(Z$1,1,2),FALSE)</f>
        <v>0</v>
      </c>
      <c r="AA31" s="55">
        <f>VLOOKUP($E31,'NI-San_SP'!$C:$AN,MID(AA$1,1,2),FALSE)</f>
        <v>0</v>
      </c>
      <c r="AB31" s="55">
        <f>VLOOKUP($E31,'NI-San_SP'!$C:$AN,MID(AB$1,1,2),FALSE)</f>
        <v>0</v>
      </c>
      <c r="AC31" s="55">
        <f>VLOOKUP($E31,'NI-San_SP'!$C:$AN,MID(AC$1,1,2),FALSE)</f>
        <v>0</v>
      </c>
      <c r="AD31" s="55">
        <f>VLOOKUP($E31,'NI-San_SP'!$C:$AN,MID(AD$1,1,2),FALSE)</f>
        <v>0</v>
      </c>
      <c r="AE31" s="55">
        <f>VLOOKUP($E31,'NI-San_SP'!$C:$AN,MID(AE$1,1,2),FALSE)</f>
        <v>0</v>
      </c>
      <c r="AF31" s="55">
        <f>VLOOKUP($E31,'NI-San_SP'!$C:$AN,MID(AF$1,1,2),FALSE)</f>
        <v>0</v>
      </c>
      <c r="AG31" s="55">
        <f>VLOOKUP($E31,'NI-San_SP'!$C:$AN,MID(AG$1,1,2),FALSE)</f>
        <v>0</v>
      </c>
      <c r="AH31" s="55">
        <f>VLOOKUP($E31,'NI-San_SP'!$C:$AN,MID(AH$1,1,2),FALSE)</f>
        <v>0</v>
      </c>
      <c r="AI31" s="55">
        <f>VLOOKUP($E31,'NI-San_SP'!$C:$AN,MID(AI$1,1,2),FALSE)</f>
        <v>0</v>
      </c>
      <c r="AJ31" s="55">
        <f>VLOOKUP($E31,'NI-San_SP'!$C:$AN,MID(AJ$1,1,2),FALSE)</f>
        <v>0</v>
      </c>
      <c r="AK31" s="55">
        <f>VLOOKUP($E31,'NI-San_SP'!$C:$AN,MID(AK$1,1,2),FALSE)</f>
        <v>0</v>
      </c>
      <c r="AL31" s="55">
        <f>VLOOKUP($E31,'NI-San_SP'!$C:$AN,MID(AL$1,1,2),FALSE)</f>
        <v>0</v>
      </c>
      <c r="AM31" s="56">
        <f>VLOOKUP($E31,'NI-San_SP'!$C:$AN,MID(AM$1,1,2),FALSE)</f>
        <v>0</v>
      </c>
      <c r="AN31" s="30" t="str">
        <f t="shared" si="0"/>
        <v>10103030010010</v>
      </c>
    </row>
    <row r="32" spans="3:40" x14ac:dyDescent="0.25">
      <c r="C32" s="40"/>
      <c r="D32" s="57" t="s">
        <v>216</v>
      </c>
      <c r="E32" s="57" t="s">
        <v>217</v>
      </c>
      <c r="F32" s="58" t="s">
        <v>110</v>
      </c>
      <c r="G32" s="52"/>
      <c r="H32" s="52"/>
      <c r="I32" s="52"/>
      <c r="J32" s="52"/>
      <c r="K32" s="59" t="s">
        <v>79</v>
      </c>
      <c r="L32" s="52"/>
      <c r="M32" s="52"/>
      <c r="N32" s="52"/>
      <c r="O32" s="52"/>
      <c r="P32" s="63" t="s">
        <v>218</v>
      </c>
      <c r="Q32" s="55">
        <f>VLOOKUP(E32,'NI-San_SP'!$C:$AN,12,FALSE)</f>
        <v>0</v>
      </c>
      <c r="R32" s="55">
        <f>VLOOKUP(E32,'NI-San_SP'!$C:$AN,13,FALSE)</f>
        <v>0</v>
      </c>
      <c r="S32" s="55"/>
      <c r="T32" s="55"/>
      <c r="U32" s="55">
        <f>VLOOKUP($E32,'NI-San_SP'!$C:$AN,MID(U$1,1,2),FALSE)</f>
        <v>0</v>
      </c>
      <c r="V32" s="55">
        <f>VLOOKUP($E32,'NI-San_SP'!$C:$AN,MID(V$1,1,2),FALSE)</f>
        <v>0</v>
      </c>
      <c r="W32" s="55">
        <f>VLOOKUP($E32,'NI-San_SP'!$C:$AN,MID(W$1,1,2),FALSE)</f>
        <v>0</v>
      </c>
      <c r="X32" s="55">
        <f>VLOOKUP($E32,'NI-San_SP'!$C:$AN,MID(X$1,1,2),FALSE)</f>
        <v>0</v>
      </c>
      <c r="Y32" s="55">
        <f>VLOOKUP($E32,'NI-San_SP'!$C:$AN,MID(Y$1,1,2),FALSE)</f>
        <v>0</v>
      </c>
      <c r="Z32" s="55">
        <f>VLOOKUP($E32,'NI-San_SP'!$C:$AN,MID(Z$1,1,2),FALSE)</f>
        <v>0</v>
      </c>
      <c r="AA32" s="55">
        <f>VLOOKUP($E32,'NI-San_SP'!$C:$AN,MID(AA$1,1,2),FALSE)</f>
        <v>0</v>
      </c>
      <c r="AB32" s="55">
        <f>VLOOKUP($E32,'NI-San_SP'!$C:$AN,MID(AB$1,1,2),FALSE)</f>
        <v>0</v>
      </c>
      <c r="AC32" s="55">
        <f>VLOOKUP($E32,'NI-San_SP'!$C:$AN,MID(AC$1,1,2),FALSE)</f>
        <v>0</v>
      </c>
      <c r="AD32" s="55">
        <f>VLOOKUP($E32,'NI-San_SP'!$C:$AN,MID(AD$1,1,2),FALSE)</f>
        <v>0</v>
      </c>
      <c r="AE32" s="55">
        <f>VLOOKUP($E32,'NI-San_SP'!$C:$AN,MID(AE$1,1,2),FALSE)</f>
        <v>0</v>
      </c>
      <c r="AF32" s="55">
        <f>VLOOKUP($E32,'NI-San_SP'!$C:$AN,MID(AF$1,1,2),FALSE)</f>
        <v>0</v>
      </c>
      <c r="AG32" s="55">
        <f>VLOOKUP($E32,'NI-San_SP'!$C:$AN,MID(AG$1,1,2),FALSE)</f>
        <v>0</v>
      </c>
      <c r="AH32" s="55">
        <f>VLOOKUP($E32,'NI-San_SP'!$C:$AN,MID(AH$1,1,2),FALSE)</f>
        <v>0</v>
      </c>
      <c r="AI32" s="55">
        <f>VLOOKUP($E32,'NI-San_SP'!$C:$AN,MID(AI$1,1,2),FALSE)</f>
        <v>0</v>
      </c>
      <c r="AJ32" s="55">
        <f>VLOOKUP($E32,'NI-San_SP'!$C:$AN,MID(AJ$1,1,2),FALSE)</f>
        <v>0</v>
      </c>
      <c r="AK32" s="55">
        <f>VLOOKUP($E32,'NI-San_SP'!$C:$AN,MID(AK$1,1,2),FALSE)</f>
        <v>0</v>
      </c>
      <c r="AL32" s="55">
        <f>VLOOKUP($E32,'NI-San_SP'!$C:$AN,MID(AL$1,1,2),FALSE)</f>
        <v>0</v>
      </c>
      <c r="AM32" s="56">
        <f>VLOOKUP($E32,'NI-San_SP'!$C:$AN,MID(AM$1,1,2),FALSE)</f>
        <v>0</v>
      </c>
      <c r="AN32" s="30" t="str">
        <f t="shared" si="0"/>
        <v>10103030010020</v>
      </c>
    </row>
    <row r="33" spans="3:40" x14ac:dyDescent="0.25">
      <c r="C33" s="40"/>
      <c r="D33" s="57" t="s">
        <v>219</v>
      </c>
      <c r="E33" s="57" t="s">
        <v>220</v>
      </c>
      <c r="F33" s="58" t="s">
        <v>110</v>
      </c>
      <c r="G33" s="52"/>
      <c r="H33" s="52"/>
      <c r="I33" s="52"/>
      <c r="J33" s="52"/>
      <c r="K33" s="59" t="s">
        <v>79</v>
      </c>
      <c r="L33" s="52"/>
      <c r="M33" s="52"/>
      <c r="N33" s="52"/>
      <c r="O33" s="52"/>
      <c r="P33" s="64" t="s">
        <v>221</v>
      </c>
      <c r="Q33" s="55">
        <f>VLOOKUP(E33,'NI-San_SP'!$C:$AN,12,FALSE)</f>
        <v>0</v>
      </c>
      <c r="R33" s="55">
        <f>VLOOKUP(E33,'NI-San_SP'!$C:$AN,13,FALSE)</f>
        <v>0</v>
      </c>
      <c r="S33" s="55"/>
      <c r="T33" s="55"/>
      <c r="U33" s="55">
        <f>VLOOKUP($E33,'NI-San_SP'!$C:$AN,MID(U$1,1,2),FALSE)</f>
        <v>0</v>
      </c>
      <c r="V33" s="55">
        <f>VLOOKUP($E33,'NI-San_SP'!$C:$AN,MID(V$1,1,2),FALSE)</f>
        <v>0</v>
      </c>
      <c r="W33" s="55">
        <f>VLOOKUP($E33,'NI-San_SP'!$C:$AN,MID(W$1,1,2),FALSE)</f>
        <v>0</v>
      </c>
      <c r="X33" s="55">
        <f>VLOOKUP($E33,'NI-San_SP'!$C:$AN,MID(X$1,1,2),FALSE)</f>
        <v>0</v>
      </c>
      <c r="Y33" s="55">
        <f>VLOOKUP($E33,'NI-San_SP'!$C:$AN,MID(Y$1,1,2),FALSE)</f>
        <v>0</v>
      </c>
      <c r="Z33" s="55">
        <f>VLOOKUP($E33,'NI-San_SP'!$C:$AN,MID(Z$1,1,2),FALSE)</f>
        <v>0</v>
      </c>
      <c r="AA33" s="55">
        <f>VLOOKUP($E33,'NI-San_SP'!$C:$AN,MID(AA$1,1,2),FALSE)</f>
        <v>0</v>
      </c>
      <c r="AB33" s="55">
        <f>VLOOKUP($E33,'NI-San_SP'!$C:$AN,MID(AB$1,1,2),FALSE)</f>
        <v>0</v>
      </c>
      <c r="AC33" s="55">
        <f>VLOOKUP($E33,'NI-San_SP'!$C:$AN,MID(AC$1,1,2),FALSE)</f>
        <v>0</v>
      </c>
      <c r="AD33" s="55">
        <f>VLOOKUP($E33,'NI-San_SP'!$C:$AN,MID(AD$1,1,2),FALSE)</f>
        <v>0</v>
      </c>
      <c r="AE33" s="55">
        <f>VLOOKUP($E33,'NI-San_SP'!$C:$AN,MID(AE$1,1,2),FALSE)</f>
        <v>0</v>
      </c>
      <c r="AF33" s="55">
        <f>VLOOKUP($E33,'NI-San_SP'!$C:$AN,MID(AF$1,1,2),FALSE)</f>
        <v>0</v>
      </c>
      <c r="AG33" s="55">
        <f>VLOOKUP($E33,'NI-San_SP'!$C:$AN,MID(AG$1,1,2),FALSE)</f>
        <v>0</v>
      </c>
      <c r="AH33" s="55">
        <f>VLOOKUP($E33,'NI-San_SP'!$C:$AN,MID(AH$1,1,2),FALSE)</f>
        <v>0</v>
      </c>
      <c r="AI33" s="55">
        <f>VLOOKUP($E33,'NI-San_SP'!$C:$AN,MID(AI$1,1,2),FALSE)</f>
        <v>0</v>
      </c>
      <c r="AJ33" s="55">
        <f>VLOOKUP($E33,'NI-San_SP'!$C:$AN,MID(AJ$1,1,2),FALSE)</f>
        <v>0</v>
      </c>
      <c r="AK33" s="55">
        <f>VLOOKUP($E33,'NI-San_SP'!$C:$AN,MID(AK$1,1,2),FALSE)</f>
        <v>0</v>
      </c>
      <c r="AL33" s="55">
        <f>VLOOKUP($E33,'NI-San_SP'!$C:$AN,MID(AL$1,1,2),FALSE)</f>
        <v>0</v>
      </c>
      <c r="AM33" s="56">
        <f>VLOOKUP($E33,'NI-San_SP'!$C:$AN,MID(AM$1,1,2),FALSE)</f>
        <v>0</v>
      </c>
      <c r="AN33" s="30" t="str">
        <f t="shared" si="0"/>
        <v>10103030020010</v>
      </c>
    </row>
    <row r="34" spans="3:40" x14ac:dyDescent="0.25">
      <c r="C34" s="40"/>
      <c r="D34" s="57" t="s">
        <v>222</v>
      </c>
      <c r="E34" s="57" t="s">
        <v>223</v>
      </c>
      <c r="F34" s="58" t="s">
        <v>110</v>
      </c>
      <c r="G34" s="52"/>
      <c r="H34" s="52"/>
      <c r="I34" s="52"/>
      <c r="J34" s="52"/>
      <c r="K34" s="59" t="s">
        <v>79</v>
      </c>
      <c r="L34" s="52"/>
      <c r="M34" s="52"/>
      <c r="N34" s="52"/>
      <c r="O34" s="52"/>
      <c r="P34" s="64" t="s">
        <v>224</v>
      </c>
      <c r="Q34" s="55">
        <f>VLOOKUP(E34,'NI-San_SP'!$C:$AN,12,FALSE)</f>
        <v>0</v>
      </c>
      <c r="R34" s="55">
        <f>VLOOKUP(E34,'NI-San_SP'!$C:$AN,13,FALSE)</f>
        <v>0</v>
      </c>
      <c r="S34" s="55"/>
      <c r="T34" s="55"/>
      <c r="U34" s="55">
        <f>VLOOKUP($E34,'NI-San_SP'!$C:$AN,MID(U$1,1,2),FALSE)</f>
        <v>0</v>
      </c>
      <c r="V34" s="55">
        <f>VLOOKUP($E34,'NI-San_SP'!$C:$AN,MID(V$1,1,2),FALSE)</f>
        <v>0</v>
      </c>
      <c r="W34" s="55">
        <f>VLOOKUP($E34,'NI-San_SP'!$C:$AN,MID(W$1,1,2),FALSE)</f>
        <v>0</v>
      </c>
      <c r="X34" s="55">
        <f>VLOOKUP($E34,'NI-San_SP'!$C:$AN,MID(X$1,1,2),FALSE)</f>
        <v>0</v>
      </c>
      <c r="Y34" s="55">
        <f>VLOOKUP($E34,'NI-San_SP'!$C:$AN,MID(Y$1,1,2),FALSE)</f>
        <v>0</v>
      </c>
      <c r="Z34" s="55">
        <f>VLOOKUP($E34,'NI-San_SP'!$C:$AN,MID(Z$1,1,2),FALSE)</f>
        <v>0</v>
      </c>
      <c r="AA34" s="55">
        <f>VLOOKUP($E34,'NI-San_SP'!$C:$AN,MID(AA$1,1,2),FALSE)</f>
        <v>0</v>
      </c>
      <c r="AB34" s="55">
        <f>VLOOKUP($E34,'NI-San_SP'!$C:$AN,MID(AB$1,1,2),FALSE)</f>
        <v>0</v>
      </c>
      <c r="AC34" s="55">
        <f>VLOOKUP($E34,'NI-San_SP'!$C:$AN,MID(AC$1,1,2),FALSE)</f>
        <v>0</v>
      </c>
      <c r="AD34" s="55">
        <f>VLOOKUP($E34,'NI-San_SP'!$C:$AN,MID(AD$1,1,2),FALSE)</f>
        <v>0</v>
      </c>
      <c r="AE34" s="55">
        <f>VLOOKUP($E34,'NI-San_SP'!$C:$AN,MID(AE$1,1,2),FALSE)</f>
        <v>0</v>
      </c>
      <c r="AF34" s="55">
        <f>VLOOKUP($E34,'NI-San_SP'!$C:$AN,MID(AF$1,1,2),FALSE)</f>
        <v>0</v>
      </c>
      <c r="AG34" s="55">
        <f>VLOOKUP($E34,'NI-San_SP'!$C:$AN,MID(AG$1,1,2),FALSE)</f>
        <v>0</v>
      </c>
      <c r="AH34" s="55">
        <f>VLOOKUP($E34,'NI-San_SP'!$C:$AN,MID(AH$1,1,2),FALSE)</f>
        <v>0</v>
      </c>
      <c r="AI34" s="55">
        <f>VLOOKUP($E34,'NI-San_SP'!$C:$AN,MID(AI$1,1,2),FALSE)</f>
        <v>0</v>
      </c>
      <c r="AJ34" s="55">
        <f>VLOOKUP($E34,'NI-San_SP'!$C:$AN,MID(AJ$1,1,2),FALSE)</f>
        <v>0</v>
      </c>
      <c r="AK34" s="55">
        <f>VLOOKUP($E34,'NI-San_SP'!$C:$AN,MID(AK$1,1,2),FALSE)</f>
        <v>0</v>
      </c>
      <c r="AL34" s="55">
        <f>VLOOKUP($E34,'NI-San_SP'!$C:$AN,MID(AL$1,1,2),FALSE)</f>
        <v>0</v>
      </c>
      <c r="AM34" s="56">
        <f>VLOOKUP($E34,'NI-San_SP'!$C:$AN,MID(AM$1,1,2),FALSE)</f>
        <v>0</v>
      </c>
      <c r="AN34" s="30" t="str">
        <f t="shared" si="0"/>
        <v>10103030020020</v>
      </c>
    </row>
    <row r="35" spans="3:40" ht="27" x14ac:dyDescent="0.25">
      <c r="C35" s="40"/>
      <c r="D35" s="57" t="s">
        <v>225</v>
      </c>
      <c r="E35" s="57" t="s">
        <v>226</v>
      </c>
      <c r="F35" s="58" t="s">
        <v>110</v>
      </c>
      <c r="G35" s="52"/>
      <c r="H35" s="52"/>
      <c r="I35" s="52" t="s">
        <v>227</v>
      </c>
      <c r="J35" s="52" t="s">
        <v>227</v>
      </c>
      <c r="K35" s="59" t="s">
        <v>111</v>
      </c>
      <c r="L35" s="62" t="s">
        <v>195</v>
      </c>
      <c r="M35" s="52"/>
      <c r="N35" s="52"/>
      <c r="O35" s="52"/>
      <c r="P35" s="54" t="s">
        <v>228</v>
      </c>
      <c r="Q35" s="55">
        <f>VLOOKUP(E35,'NI-San_SP'!$C:$AN,12,FALSE)</f>
        <v>0</v>
      </c>
      <c r="R35" s="55">
        <f>VLOOKUP(E35,'NI-San_SP'!$C:$AN,13,FALSE)</f>
        <v>0</v>
      </c>
      <c r="S35" s="55"/>
      <c r="T35" s="55"/>
      <c r="U35" s="55">
        <f>VLOOKUP($E35,'NI-San_SP'!$C:$AN,MID(U$1,1,2),FALSE)</f>
        <v>0</v>
      </c>
      <c r="V35" s="55">
        <f>VLOOKUP($E35,'NI-San_SP'!$C:$AN,MID(V$1,1,2),FALSE)</f>
        <v>0</v>
      </c>
      <c r="W35" s="55">
        <f>VLOOKUP($E35,'NI-San_SP'!$C:$AN,MID(W$1,1,2),FALSE)</f>
        <v>0</v>
      </c>
      <c r="X35" s="55">
        <f>VLOOKUP($E35,'NI-San_SP'!$C:$AN,MID(X$1,1,2),FALSE)</f>
        <v>0</v>
      </c>
      <c r="Y35" s="55">
        <f>VLOOKUP($E35,'NI-San_SP'!$C:$AN,MID(Y$1,1,2),FALSE)</f>
        <v>0</v>
      </c>
      <c r="Z35" s="55">
        <f>VLOOKUP($E35,'NI-San_SP'!$C:$AN,MID(Z$1,1,2),FALSE)</f>
        <v>0</v>
      </c>
      <c r="AA35" s="55">
        <f>VLOOKUP($E35,'NI-San_SP'!$C:$AN,MID(AA$1,1,2),FALSE)</f>
        <v>0</v>
      </c>
      <c r="AB35" s="55">
        <f>VLOOKUP($E35,'NI-San_SP'!$C:$AN,MID(AB$1,1,2),FALSE)</f>
        <v>0</v>
      </c>
      <c r="AC35" s="55">
        <f>VLOOKUP($E35,'NI-San_SP'!$C:$AN,MID(AC$1,1,2),FALSE)</f>
        <v>0</v>
      </c>
      <c r="AD35" s="55">
        <f>VLOOKUP($E35,'NI-San_SP'!$C:$AN,MID(AD$1,1,2),FALSE)</f>
        <v>0</v>
      </c>
      <c r="AE35" s="55">
        <f>VLOOKUP($E35,'NI-San_SP'!$C:$AN,MID(AE$1,1,2),FALSE)</f>
        <v>0</v>
      </c>
      <c r="AF35" s="55">
        <f>VLOOKUP($E35,'NI-San_SP'!$C:$AN,MID(AF$1,1,2),FALSE)</f>
        <v>0</v>
      </c>
      <c r="AG35" s="55">
        <f>VLOOKUP($E35,'NI-San_SP'!$C:$AN,MID(AG$1,1,2),FALSE)</f>
        <v>0</v>
      </c>
      <c r="AH35" s="55">
        <f>VLOOKUP($E35,'NI-San_SP'!$C:$AN,MID(AH$1,1,2),FALSE)</f>
        <v>0</v>
      </c>
      <c r="AI35" s="55">
        <f>VLOOKUP($E35,'NI-San_SP'!$C:$AN,MID(AI$1,1,2),FALSE)</f>
        <v>0</v>
      </c>
      <c r="AJ35" s="55">
        <f>VLOOKUP($E35,'NI-San_SP'!$C:$AN,MID(AJ$1,1,2),FALSE)</f>
        <v>0</v>
      </c>
      <c r="AK35" s="55">
        <f>VLOOKUP($E35,'NI-San_SP'!$C:$AN,MID(AK$1,1,2),FALSE)</f>
        <v>0</v>
      </c>
      <c r="AL35" s="55">
        <f>VLOOKUP($E35,'NI-San_SP'!$C:$AN,MID(AL$1,1,2),FALSE)</f>
        <v>0</v>
      </c>
      <c r="AM35" s="56">
        <f>VLOOKUP($E35,'NI-San_SP'!$C:$AN,MID(AM$1,1,2),FALSE)</f>
        <v>0</v>
      </c>
      <c r="AN35" s="30" t="str">
        <f t="shared" si="0"/>
        <v>10103040000000</v>
      </c>
    </row>
    <row r="36" spans="3:40" x14ac:dyDescent="0.25">
      <c r="C36" s="40"/>
      <c r="D36" s="57" t="s">
        <v>229</v>
      </c>
      <c r="E36" s="57" t="s">
        <v>230</v>
      </c>
      <c r="F36" s="58" t="s">
        <v>110</v>
      </c>
      <c r="G36" s="52"/>
      <c r="H36" s="52"/>
      <c r="I36" s="52"/>
      <c r="J36" s="52"/>
      <c r="K36" s="59" t="s">
        <v>79</v>
      </c>
      <c r="L36" s="52"/>
      <c r="M36" s="52"/>
      <c r="N36" s="52"/>
      <c r="O36" s="52"/>
      <c r="P36" s="63" t="s">
        <v>231</v>
      </c>
      <c r="Q36" s="55">
        <f>VLOOKUP(E36,'NI-San_SP'!$C:$AN,12,FALSE)</f>
        <v>0</v>
      </c>
      <c r="R36" s="55">
        <f>VLOOKUP(E36,'NI-San_SP'!$C:$AN,13,FALSE)</f>
        <v>0</v>
      </c>
      <c r="S36" s="55"/>
      <c r="T36" s="55"/>
      <c r="U36" s="55">
        <f>VLOOKUP($E36,'NI-San_SP'!$C:$AN,MID(U$1,1,2),FALSE)</f>
        <v>0</v>
      </c>
      <c r="V36" s="55">
        <f>VLOOKUP($E36,'NI-San_SP'!$C:$AN,MID(V$1,1,2),FALSE)</f>
        <v>0</v>
      </c>
      <c r="W36" s="55">
        <f>VLOOKUP($E36,'NI-San_SP'!$C:$AN,MID(W$1,1,2),FALSE)</f>
        <v>0</v>
      </c>
      <c r="X36" s="55">
        <f>VLOOKUP($E36,'NI-San_SP'!$C:$AN,MID(X$1,1,2),FALSE)</f>
        <v>0</v>
      </c>
      <c r="Y36" s="55">
        <f>VLOOKUP($E36,'NI-San_SP'!$C:$AN,MID(Y$1,1,2),FALSE)</f>
        <v>0</v>
      </c>
      <c r="Z36" s="55">
        <f>VLOOKUP($E36,'NI-San_SP'!$C:$AN,MID(Z$1,1,2),FALSE)</f>
        <v>0</v>
      </c>
      <c r="AA36" s="55">
        <f>VLOOKUP($E36,'NI-San_SP'!$C:$AN,MID(AA$1,1,2),FALSE)</f>
        <v>0</v>
      </c>
      <c r="AB36" s="55">
        <f>VLOOKUP($E36,'NI-San_SP'!$C:$AN,MID(AB$1,1,2),FALSE)</f>
        <v>0</v>
      </c>
      <c r="AC36" s="55">
        <f>VLOOKUP($E36,'NI-San_SP'!$C:$AN,MID(AC$1,1,2),FALSE)</f>
        <v>0</v>
      </c>
      <c r="AD36" s="55">
        <f>VLOOKUP($E36,'NI-San_SP'!$C:$AN,MID(AD$1,1,2),FALSE)</f>
        <v>0</v>
      </c>
      <c r="AE36" s="55">
        <f>VLOOKUP($E36,'NI-San_SP'!$C:$AN,MID(AE$1,1,2),FALSE)</f>
        <v>0</v>
      </c>
      <c r="AF36" s="55">
        <f>VLOOKUP($E36,'NI-San_SP'!$C:$AN,MID(AF$1,1,2),FALSE)</f>
        <v>0</v>
      </c>
      <c r="AG36" s="55">
        <f>VLOOKUP($E36,'NI-San_SP'!$C:$AN,MID(AG$1,1,2),FALSE)</f>
        <v>0</v>
      </c>
      <c r="AH36" s="55">
        <f>VLOOKUP($E36,'NI-San_SP'!$C:$AN,MID(AH$1,1,2),FALSE)</f>
        <v>0</v>
      </c>
      <c r="AI36" s="55">
        <f>VLOOKUP($E36,'NI-San_SP'!$C:$AN,MID(AI$1,1,2),FALSE)</f>
        <v>0</v>
      </c>
      <c r="AJ36" s="55">
        <f>VLOOKUP($E36,'NI-San_SP'!$C:$AN,MID(AJ$1,1,2),FALSE)</f>
        <v>0</v>
      </c>
      <c r="AK36" s="55">
        <f>VLOOKUP($E36,'NI-San_SP'!$C:$AN,MID(AK$1,1,2),FALSE)</f>
        <v>0</v>
      </c>
      <c r="AL36" s="55">
        <f>VLOOKUP($E36,'NI-San_SP'!$C:$AN,MID(AL$1,1,2),FALSE)</f>
        <v>0</v>
      </c>
      <c r="AM36" s="56">
        <f>VLOOKUP($E36,'NI-San_SP'!$C:$AN,MID(AM$1,1,2),FALSE)</f>
        <v>0</v>
      </c>
      <c r="AN36" s="30" t="str">
        <f t="shared" si="0"/>
        <v>10103040010010</v>
      </c>
    </row>
    <row r="37" spans="3:40" x14ac:dyDescent="0.25">
      <c r="C37" s="40"/>
      <c r="D37" s="57" t="s">
        <v>232</v>
      </c>
      <c r="E37" s="57" t="s">
        <v>233</v>
      </c>
      <c r="F37" s="58" t="s">
        <v>110</v>
      </c>
      <c r="G37" s="52"/>
      <c r="H37" s="52"/>
      <c r="I37" s="52"/>
      <c r="J37" s="52"/>
      <c r="K37" s="59" t="s">
        <v>79</v>
      </c>
      <c r="L37" s="52"/>
      <c r="M37" s="52"/>
      <c r="N37" s="52"/>
      <c r="O37" s="52"/>
      <c r="P37" s="63" t="s">
        <v>234</v>
      </c>
      <c r="Q37" s="55">
        <f>VLOOKUP(E37,'NI-San_SP'!$C:$AN,12,FALSE)</f>
        <v>0</v>
      </c>
      <c r="R37" s="55">
        <f>VLOOKUP(E37,'NI-San_SP'!$C:$AN,13,FALSE)</f>
        <v>0</v>
      </c>
      <c r="S37" s="55"/>
      <c r="T37" s="55"/>
      <c r="U37" s="55">
        <f>VLOOKUP($E37,'NI-San_SP'!$C:$AN,MID(U$1,1,2),FALSE)</f>
        <v>0</v>
      </c>
      <c r="V37" s="55">
        <f>VLOOKUP($E37,'NI-San_SP'!$C:$AN,MID(V$1,1,2),FALSE)</f>
        <v>0</v>
      </c>
      <c r="W37" s="55">
        <f>VLOOKUP($E37,'NI-San_SP'!$C:$AN,MID(W$1,1,2),FALSE)</f>
        <v>0</v>
      </c>
      <c r="X37" s="55">
        <f>VLOOKUP($E37,'NI-San_SP'!$C:$AN,MID(X$1,1,2),FALSE)</f>
        <v>0</v>
      </c>
      <c r="Y37" s="55">
        <f>VLOOKUP($E37,'NI-San_SP'!$C:$AN,MID(Y$1,1,2),FALSE)</f>
        <v>0</v>
      </c>
      <c r="Z37" s="55">
        <f>VLOOKUP($E37,'NI-San_SP'!$C:$AN,MID(Z$1,1,2),FALSE)</f>
        <v>0</v>
      </c>
      <c r="AA37" s="55">
        <f>VLOOKUP($E37,'NI-San_SP'!$C:$AN,MID(AA$1,1,2),FALSE)</f>
        <v>0</v>
      </c>
      <c r="AB37" s="55">
        <f>VLOOKUP($E37,'NI-San_SP'!$C:$AN,MID(AB$1,1,2),FALSE)</f>
        <v>0</v>
      </c>
      <c r="AC37" s="55">
        <f>VLOOKUP($E37,'NI-San_SP'!$C:$AN,MID(AC$1,1,2),FALSE)</f>
        <v>0</v>
      </c>
      <c r="AD37" s="55">
        <f>VLOOKUP($E37,'NI-San_SP'!$C:$AN,MID(AD$1,1,2),FALSE)</f>
        <v>0</v>
      </c>
      <c r="AE37" s="55">
        <f>VLOOKUP($E37,'NI-San_SP'!$C:$AN,MID(AE$1,1,2),FALSE)</f>
        <v>0</v>
      </c>
      <c r="AF37" s="55">
        <f>VLOOKUP($E37,'NI-San_SP'!$C:$AN,MID(AF$1,1,2),FALSE)</f>
        <v>0</v>
      </c>
      <c r="AG37" s="55">
        <f>VLOOKUP($E37,'NI-San_SP'!$C:$AN,MID(AG$1,1,2),FALSE)</f>
        <v>0</v>
      </c>
      <c r="AH37" s="55">
        <f>VLOOKUP($E37,'NI-San_SP'!$C:$AN,MID(AH$1,1,2),FALSE)</f>
        <v>0</v>
      </c>
      <c r="AI37" s="55">
        <f>VLOOKUP($E37,'NI-San_SP'!$C:$AN,MID(AI$1,1,2),FALSE)</f>
        <v>0</v>
      </c>
      <c r="AJ37" s="55">
        <f>VLOOKUP($E37,'NI-San_SP'!$C:$AN,MID(AJ$1,1,2),FALSE)</f>
        <v>0</v>
      </c>
      <c r="AK37" s="55">
        <f>VLOOKUP($E37,'NI-San_SP'!$C:$AN,MID(AK$1,1,2),FALSE)</f>
        <v>0</v>
      </c>
      <c r="AL37" s="55">
        <f>VLOOKUP($E37,'NI-San_SP'!$C:$AN,MID(AL$1,1,2),FALSE)</f>
        <v>0</v>
      </c>
      <c r="AM37" s="56">
        <f>VLOOKUP($E37,'NI-San_SP'!$C:$AN,MID(AM$1,1,2),FALSE)</f>
        <v>0</v>
      </c>
      <c r="AN37" s="30" t="str">
        <f t="shared" si="0"/>
        <v>10103040010020</v>
      </c>
    </row>
    <row r="38" spans="3:40" x14ac:dyDescent="0.25">
      <c r="C38" s="40"/>
      <c r="D38" s="57" t="s">
        <v>235</v>
      </c>
      <c r="E38" s="57" t="s">
        <v>236</v>
      </c>
      <c r="F38" s="58" t="s">
        <v>110</v>
      </c>
      <c r="G38" s="52"/>
      <c r="H38" s="52"/>
      <c r="I38" s="52"/>
      <c r="J38" s="52"/>
      <c r="K38" s="59" t="s">
        <v>79</v>
      </c>
      <c r="L38" s="52"/>
      <c r="M38" s="52"/>
      <c r="N38" s="52"/>
      <c r="O38" s="52"/>
      <c r="P38" s="64" t="s">
        <v>237</v>
      </c>
      <c r="Q38" s="55">
        <f>VLOOKUP(E38,'NI-San_SP'!$C:$AN,12,FALSE)</f>
        <v>0</v>
      </c>
      <c r="R38" s="55">
        <f>VLOOKUP(E38,'NI-San_SP'!$C:$AN,13,FALSE)</f>
        <v>0</v>
      </c>
      <c r="S38" s="55"/>
      <c r="T38" s="55"/>
      <c r="U38" s="55">
        <f>VLOOKUP($E38,'NI-San_SP'!$C:$AN,MID(U$1,1,2),FALSE)</f>
        <v>0</v>
      </c>
      <c r="V38" s="55">
        <f>VLOOKUP($E38,'NI-San_SP'!$C:$AN,MID(V$1,1,2),FALSE)</f>
        <v>0</v>
      </c>
      <c r="W38" s="55">
        <f>VLOOKUP($E38,'NI-San_SP'!$C:$AN,MID(W$1,1,2),FALSE)</f>
        <v>0</v>
      </c>
      <c r="X38" s="55">
        <f>VLOOKUP($E38,'NI-San_SP'!$C:$AN,MID(X$1,1,2),FALSE)</f>
        <v>0</v>
      </c>
      <c r="Y38" s="55">
        <f>VLOOKUP($E38,'NI-San_SP'!$C:$AN,MID(Y$1,1,2),FALSE)</f>
        <v>0</v>
      </c>
      <c r="Z38" s="55">
        <f>VLOOKUP($E38,'NI-San_SP'!$C:$AN,MID(Z$1,1,2),FALSE)</f>
        <v>0</v>
      </c>
      <c r="AA38" s="55">
        <f>VLOOKUP($E38,'NI-San_SP'!$C:$AN,MID(AA$1,1,2),FALSE)</f>
        <v>0</v>
      </c>
      <c r="AB38" s="55">
        <f>VLOOKUP($E38,'NI-San_SP'!$C:$AN,MID(AB$1,1,2),FALSE)</f>
        <v>0</v>
      </c>
      <c r="AC38" s="55">
        <f>VLOOKUP($E38,'NI-San_SP'!$C:$AN,MID(AC$1,1,2),FALSE)</f>
        <v>0</v>
      </c>
      <c r="AD38" s="55">
        <f>VLOOKUP($E38,'NI-San_SP'!$C:$AN,MID(AD$1,1,2),FALSE)</f>
        <v>0</v>
      </c>
      <c r="AE38" s="55">
        <f>VLOOKUP($E38,'NI-San_SP'!$C:$AN,MID(AE$1,1,2),FALSE)</f>
        <v>0</v>
      </c>
      <c r="AF38" s="55">
        <f>VLOOKUP($E38,'NI-San_SP'!$C:$AN,MID(AF$1,1,2),FALSE)</f>
        <v>0</v>
      </c>
      <c r="AG38" s="55">
        <f>VLOOKUP($E38,'NI-San_SP'!$C:$AN,MID(AG$1,1,2),FALSE)</f>
        <v>0</v>
      </c>
      <c r="AH38" s="55">
        <f>VLOOKUP($E38,'NI-San_SP'!$C:$AN,MID(AH$1,1,2),FALSE)</f>
        <v>0</v>
      </c>
      <c r="AI38" s="55">
        <f>VLOOKUP($E38,'NI-San_SP'!$C:$AN,MID(AI$1,1,2),FALSE)</f>
        <v>0</v>
      </c>
      <c r="AJ38" s="55">
        <f>VLOOKUP($E38,'NI-San_SP'!$C:$AN,MID(AJ$1,1,2),FALSE)</f>
        <v>0</v>
      </c>
      <c r="AK38" s="55">
        <f>VLOOKUP($E38,'NI-San_SP'!$C:$AN,MID(AK$1,1,2),FALSE)</f>
        <v>0</v>
      </c>
      <c r="AL38" s="55">
        <f>VLOOKUP($E38,'NI-San_SP'!$C:$AN,MID(AL$1,1,2),FALSE)</f>
        <v>0</v>
      </c>
      <c r="AM38" s="56">
        <f>VLOOKUP($E38,'NI-San_SP'!$C:$AN,MID(AM$1,1,2),FALSE)</f>
        <v>0</v>
      </c>
      <c r="AN38" s="30" t="str">
        <f t="shared" si="0"/>
        <v>10103040020010</v>
      </c>
    </row>
    <row r="39" spans="3:40" x14ac:dyDescent="0.25">
      <c r="C39" s="40"/>
      <c r="D39" s="57" t="s">
        <v>238</v>
      </c>
      <c r="E39" s="57" t="s">
        <v>239</v>
      </c>
      <c r="F39" s="58" t="s">
        <v>110</v>
      </c>
      <c r="G39" s="52"/>
      <c r="H39" s="52"/>
      <c r="I39" s="52"/>
      <c r="J39" s="52"/>
      <c r="K39" s="59" t="s">
        <v>79</v>
      </c>
      <c r="L39" s="52"/>
      <c r="M39" s="52"/>
      <c r="N39" s="52"/>
      <c r="O39" s="52"/>
      <c r="P39" s="64" t="s">
        <v>240</v>
      </c>
      <c r="Q39" s="55">
        <f>VLOOKUP(E39,'NI-San_SP'!$C:$AN,12,FALSE)</f>
        <v>0</v>
      </c>
      <c r="R39" s="55">
        <f>VLOOKUP(E39,'NI-San_SP'!$C:$AN,13,FALSE)</f>
        <v>0</v>
      </c>
      <c r="S39" s="55"/>
      <c r="T39" s="55"/>
      <c r="U39" s="55">
        <f>VLOOKUP($E39,'NI-San_SP'!$C:$AN,MID(U$1,1,2),FALSE)</f>
        <v>0</v>
      </c>
      <c r="V39" s="55">
        <f>VLOOKUP($E39,'NI-San_SP'!$C:$AN,MID(V$1,1,2),FALSE)</f>
        <v>0</v>
      </c>
      <c r="W39" s="55">
        <f>VLOOKUP($E39,'NI-San_SP'!$C:$AN,MID(W$1,1,2),FALSE)</f>
        <v>0</v>
      </c>
      <c r="X39" s="55">
        <f>VLOOKUP($E39,'NI-San_SP'!$C:$AN,MID(X$1,1,2),FALSE)</f>
        <v>0</v>
      </c>
      <c r="Y39" s="55">
        <f>VLOOKUP($E39,'NI-San_SP'!$C:$AN,MID(Y$1,1,2),FALSE)</f>
        <v>0</v>
      </c>
      <c r="Z39" s="55">
        <f>VLOOKUP($E39,'NI-San_SP'!$C:$AN,MID(Z$1,1,2),FALSE)</f>
        <v>0</v>
      </c>
      <c r="AA39" s="55">
        <f>VLOOKUP($E39,'NI-San_SP'!$C:$AN,MID(AA$1,1,2),FALSE)</f>
        <v>0</v>
      </c>
      <c r="AB39" s="55">
        <f>VLOOKUP($E39,'NI-San_SP'!$C:$AN,MID(AB$1,1,2),FALSE)</f>
        <v>0</v>
      </c>
      <c r="AC39" s="55">
        <f>VLOOKUP($E39,'NI-San_SP'!$C:$AN,MID(AC$1,1,2),FALSE)</f>
        <v>0</v>
      </c>
      <c r="AD39" s="55">
        <f>VLOOKUP($E39,'NI-San_SP'!$C:$AN,MID(AD$1,1,2),FALSE)</f>
        <v>0</v>
      </c>
      <c r="AE39" s="55">
        <f>VLOOKUP($E39,'NI-San_SP'!$C:$AN,MID(AE$1,1,2),FALSE)</f>
        <v>0</v>
      </c>
      <c r="AF39" s="55">
        <f>VLOOKUP($E39,'NI-San_SP'!$C:$AN,MID(AF$1,1,2),FALSE)</f>
        <v>0</v>
      </c>
      <c r="AG39" s="55">
        <f>VLOOKUP($E39,'NI-San_SP'!$C:$AN,MID(AG$1,1,2),FALSE)</f>
        <v>0</v>
      </c>
      <c r="AH39" s="55">
        <f>VLOOKUP($E39,'NI-San_SP'!$C:$AN,MID(AH$1,1,2),FALSE)</f>
        <v>0</v>
      </c>
      <c r="AI39" s="55">
        <f>VLOOKUP($E39,'NI-San_SP'!$C:$AN,MID(AI$1,1,2),FALSE)</f>
        <v>0</v>
      </c>
      <c r="AJ39" s="55">
        <f>VLOOKUP($E39,'NI-San_SP'!$C:$AN,MID(AJ$1,1,2),FALSE)</f>
        <v>0</v>
      </c>
      <c r="AK39" s="55">
        <f>VLOOKUP($E39,'NI-San_SP'!$C:$AN,MID(AK$1,1,2),FALSE)</f>
        <v>0</v>
      </c>
      <c r="AL39" s="55">
        <f>VLOOKUP($E39,'NI-San_SP'!$C:$AN,MID(AL$1,1,2),FALSE)</f>
        <v>0</v>
      </c>
      <c r="AM39" s="56">
        <f>VLOOKUP($E39,'NI-San_SP'!$C:$AN,MID(AM$1,1,2),FALSE)</f>
        <v>0</v>
      </c>
      <c r="AN39" s="30" t="str">
        <f t="shared" si="0"/>
        <v>10103040020020</v>
      </c>
    </row>
    <row r="40" spans="3:40" x14ac:dyDescent="0.25">
      <c r="C40" s="40"/>
      <c r="D40" s="57" t="s">
        <v>241</v>
      </c>
      <c r="E40" s="57" t="s">
        <v>242</v>
      </c>
      <c r="F40" s="58" t="s">
        <v>110</v>
      </c>
      <c r="G40" s="52"/>
      <c r="H40" s="52"/>
      <c r="I40" s="52" t="s">
        <v>243</v>
      </c>
      <c r="J40" s="52"/>
      <c r="K40" s="59" t="s">
        <v>111</v>
      </c>
      <c r="L40" s="62" t="s">
        <v>244</v>
      </c>
      <c r="M40" s="52"/>
      <c r="N40" s="52"/>
      <c r="O40" s="61" t="s">
        <v>245</v>
      </c>
      <c r="P40" s="60" t="s">
        <v>246</v>
      </c>
      <c r="Q40" s="55">
        <f>VLOOKUP(E40,'NI-San_SP'!$C:$AN,12,FALSE)</f>
        <v>1247582</v>
      </c>
      <c r="R40" s="55">
        <f>VLOOKUP(E40,'NI-San_SP'!$C:$AN,13,FALSE)</f>
        <v>541999</v>
      </c>
      <c r="S40" s="55"/>
      <c r="T40" s="55"/>
      <c r="U40" s="55">
        <f>VLOOKUP($E40,'NI-San_SP'!$C:$AN,MID(U$1,1,2),FALSE)</f>
        <v>0</v>
      </c>
      <c r="V40" s="55">
        <f>VLOOKUP($E40,'NI-San_SP'!$C:$AN,MID(V$1,1,2),FALSE)</f>
        <v>1247582</v>
      </c>
      <c r="W40" s="55">
        <f>VLOOKUP($E40,'NI-San_SP'!$C:$AN,MID(W$1,1,2),FALSE)</f>
        <v>0</v>
      </c>
      <c r="X40" s="55">
        <f>VLOOKUP($E40,'NI-San_SP'!$C:$AN,MID(X$1,1,2),FALSE)</f>
        <v>0</v>
      </c>
      <c r="Y40" s="55">
        <f>VLOOKUP($E40,'NI-San_SP'!$C:$AN,MID(Y$1,1,2),FALSE)</f>
        <v>0</v>
      </c>
      <c r="Z40" s="55">
        <f>VLOOKUP($E40,'NI-San_SP'!$C:$AN,MID(Z$1,1,2),FALSE)</f>
        <v>0</v>
      </c>
      <c r="AA40" s="55">
        <f>VLOOKUP($E40,'NI-San_SP'!$C:$AN,MID(AA$1,1,2),FALSE)</f>
        <v>0</v>
      </c>
      <c r="AB40" s="55">
        <f>VLOOKUP($E40,'NI-San_SP'!$C:$AN,MID(AB$1,1,2),FALSE)</f>
        <v>-916867</v>
      </c>
      <c r="AC40" s="55">
        <f>VLOOKUP($E40,'NI-San_SP'!$C:$AN,MID(AC$1,1,2),FALSE)</f>
        <v>0</v>
      </c>
      <c r="AD40" s="55">
        <f>VLOOKUP($E40,'NI-San_SP'!$C:$AN,MID(AD$1,1,2),FALSE)</f>
        <v>0</v>
      </c>
      <c r="AE40" s="55">
        <f>VLOOKUP($E40,'NI-San_SP'!$C:$AN,MID(AE$1,1,2),FALSE)</f>
        <v>0</v>
      </c>
      <c r="AF40" s="55">
        <f>VLOOKUP($E40,'NI-San_SP'!$C:$AN,MID(AF$1,1,2),FALSE)</f>
        <v>211284</v>
      </c>
      <c r="AG40" s="55">
        <f>VLOOKUP($E40,'NI-San_SP'!$C:$AN,MID(AG$1,1,2),FALSE)</f>
        <v>0</v>
      </c>
      <c r="AH40" s="55">
        <f>VLOOKUP($E40,'NI-San_SP'!$C:$AN,MID(AH$1,1,2),FALSE)</f>
        <v>0</v>
      </c>
      <c r="AI40" s="55">
        <f>VLOOKUP($E40,'NI-San_SP'!$C:$AN,MID(AI$1,1,2),FALSE)</f>
        <v>0</v>
      </c>
      <c r="AJ40" s="55">
        <f>VLOOKUP($E40,'NI-San_SP'!$C:$AN,MID(AJ$1,1,2),FALSE)</f>
        <v>0</v>
      </c>
      <c r="AK40" s="55">
        <f>VLOOKUP($E40,'NI-San_SP'!$C:$AN,MID(AK$1,1,2),FALSE)</f>
        <v>0</v>
      </c>
      <c r="AL40" s="55">
        <f>VLOOKUP($E40,'NI-San_SP'!$C:$AN,MID(AL$1,1,2),FALSE)</f>
        <v>0</v>
      </c>
      <c r="AM40" s="56">
        <f>VLOOKUP($E40,'NI-San_SP'!$C:$AN,MID(AM$1,1,2),FALSE)</f>
        <v>0</v>
      </c>
      <c r="AN40" s="30" t="str">
        <f t="shared" si="0"/>
        <v>10104000000000</v>
      </c>
    </row>
    <row r="41" spans="3:40" x14ac:dyDescent="0.25">
      <c r="C41" s="40"/>
      <c r="D41" s="57" t="s">
        <v>247</v>
      </c>
      <c r="E41" s="57" t="s">
        <v>248</v>
      </c>
      <c r="F41" s="58" t="s">
        <v>110</v>
      </c>
      <c r="G41" s="52"/>
      <c r="H41" s="52"/>
      <c r="I41" s="52"/>
      <c r="J41" s="52" t="s">
        <v>243</v>
      </c>
      <c r="K41" s="59" t="s">
        <v>79</v>
      </c>
      <c r="L41" s="52"/>
      <c r="M41" s="52"/>
      <c r="N41" s="52"/>
      <c r="O41" s="52"/>
      <c r="P41" s="63" t="s">
        <v>249</v>
      </c>
      <c r="Q41" s="55">
        <f>VLOOKUP(E41,'NI-San_SP'!$C:$AN,12,FALSE)</f>
        <v>1247582</v>
      </c>
      <c r="R41" s="55">
        <f>VLOOKUP(E41,'NI-San_SP'!$C:$AN,13,FALSE)</f>
        <v>541999</v>
      </c>
      <c r="S41" s="55"/>
      <c r="T41" s="55"/>
      <c r="U41" s="55">
        <f>VLOOKUP($E41,'NI-San_SP'!$C:$AN,MID(U$1,1,2),FALSE)</f>
        <v>0</v>
      </c>
      <c r="V41" s="55">
        <f>VLOOKUP($E41,'NI-San_SP'!$C:$AN,MID(V$1,1,2),FALSE)</f>
        <v>1247582</v>
      </c>
      <c r="W41" s="55">
        <f>VLOOKUP($E41,'NI-San_SP'!$C:$AN,MID(W$1,1,2),FALSE)</f>
        <v>0</v>
      </c>
      <c r="X41" s="55">
        <f>VLOOKUP($E41,'NI-San_SP'!$C:$AN,MID(X$1,1,2),FALSE)</f>
        <v>0</v>
      </c>
      <c r="Y41" s="55">
        <f>VLOOKUP($E41,'NI-San_SP'!$C:$AN,MID(Y$1,1,2),FALSE)</f>
        <v>0</v>
      </c>
      <c r="Z41" s="55">
        <f>VLOOKUP($E41,'NI-San_SP'!$C:$AN,MID(Z$1,1,2),FALSE)</f>
        <v>0</v>
      </c>
      <c r="AA41" s="55">
        <f>VLOOKUP($E41,'NI-San_SP'!$C:$AN,MID(AA$1,1,2),FALSE)</f>
        <v>0</v>
      </c>
      <c r="AB41" s="55">
        <f>VLOOKUP($E41,'NI-San_SP'!$C:$AN,MID(AB$1,1,2),FALSE)</f>
        <v>-916867</v>
      </c>
      <c r="AC41" s="55">
        <f>VLOOKUP($E41,'NI-San_SP'!$C:$AN,MID(AC$1,1,2),FALSE)</f>
        <v>0</v>
      </c>
      <c r="AD41" s="55">
        <f>VLOOKUP($E41,'NI-San_SP'!$C:$AN,MID(AD$1,1,2),FALSE)</f>
        <v>0</v>
      </c>
      <c r="AE41" s="55">
        <f>VLOOKUP($E41,'NI-San_SP'!$C:$AN,MID(AE$1,1,2),FALSE)</f>
        <v>0</v>
      </c>
      <c r="AF41" s="55">
        <f>VLOOKUP($E41,'NI-San_SP'!$C:$AN,MID(AF$1,1,2),FALSE)</f>
        <v>211284</v>
      </c>
      <c r="AG41" s="55">
        <f>VLOOKUP($E41,'NI-San_SP'!$C:$AN,MID(AG$1,1,2),FALSE)</f>
        <v>0</v>
      </c>
      <c r="AH41" s="55">
        <f>VLOOKUP($E41,'NI-San_SP'!$C:$AN,MID(AH$1,1,2),FALSE)</f>
        <v>0</v>
      </c>
      <c r="AI41" s="55">
        <f>VLOOKUP($E41,'NI-San_SP'!$C:$AN,MID(AI$1,1,2),FALSE)</f>
        <v>0</v>
      </c>
      <c r="AJ41" s="55">
        <f>VLOOKUP($E41,'NI-San_SP'!$C:$AN,MID(AJ$1,1,2),FALSE)</f>
        <v>0</v>
      </c>
      <c r="AK41" s="55">
        <f>VLOOKUP($E41,'NI-San_SP'!$C:$AN,MID(AK$1,1,2),FALSE)</f>
        <v>0</v>
      </c>
      <c r="AL41" s="55">
        <f>VLOOKUP($E41,'NI-San_SP'!$C:$AN,MID(AL$1,1,2),FALSE)</f>
        <v>0</v>
      </c>
      <c r="AM41" s="56">
        <f>VLOOKUP($E41,'NI-San_SP'!$C:$AN,MID(AM$1,1,2),FALSE)</f>
        <v>0</v>
      </c>
      <c r="AN41" s="30" t="str">
        <f t="shared" si="0"/>
        <v>10104010000000</v>
      </c>
    </row>
    <row r="42" spans="3:40" x14ac:dyDescent="0.25">
      <c r="C42" s="40"/>
      <c r="D42" s="57" t="s">
        <v>250</v>
      </c>
      <c r="E42" s="57" t="s">
        <v>251</v>
      </c>
      <c r="F42" s="58" t="s">
        <v>110</v>
      </c>
      <c r="G42" s="52"/>
      <c r="H42" s="52"/>
      <c r="I42" s="52"/>
      <c r="J42" s="52" t="s">
        <v>243</v>
      </c>
      <c r="K42" s="59" t="s">
        <v>79</v>
      </c>
      <c r="L42" s="52"/>
      <c r="M42" s="52"/>
      <c r="N42" s="52"/>
      <c r="O42" s="52"/>
      <c r="P42" s="63" t="s">
        <v>252</v>
      </c>
      <c r="Q42" s="55">
        <f>VLOOKUP(E42,'NI-San_SP'!$C:$AN,12,FALSE)</f>
        <v>0</v>
      </c>
      <c r="R42" s="55">
        <f>VLOOKUP(E42,'NI-San_SP'!$C:$AN,13,FALSE)</f>
        <v>0</v>
      </c>
      <c r="S42" s="55"/>
      <c r="T42" s="55"/>
      <c r="U42" s="55">
        <f>VLOOKUP($E42,'NI-San_SP'!$C:$AN,MID(U$1,1,2),FALSE)</f>
        <v>0</v>
      </c>
      <c r="V42" s="55">
        <f>VLOOKUP($E42,'NI-San_SP'!$C:$AN,MID(V$1,1,2),FALSE)</f>
        <v>0</v>
      </c>
      <c r="W42" s="55">
        <f>VLOOKUP($E42,'NI-San_SP'!$C:$AN,MID(W$1,1,2),FALSE)</f>
        <v>0</v>
      </c>
      <c r="X42" s="55">
        <f>VLOOKUP($E42,'NI-San_SP'!$C:$AN,MID(X$1,1,2),FALSE)</f>
        <v>0</v>
      </c>
      <c r="Y42" s="55">
        <f>VLOOKUP($E42,'NI-San_SP'!$C:$AN,MID(Y$1,1,2),FALSE)</f>
        <v>0</v>
      </c>
      <c r="Z42" s="55">
        <f>VLOOKUP($E42,'NI-San_SP'!$C:$AN,MID(Z$1,1,2),FALSE)</f>
        <v>0</v>
      </c>
      <c r="AA42" s="55">
        <f>VLOOKUP($E42,'NI-San_SP'!$C:$AN,MID(AA$1,1,2),FALSE)</f>
        <v>0</v>
      </c>
      <c r="AB42" s="55">
        <f>VLOOKUP($E42,'NI-San_SP'!$C:$AN,MID(AB$1,1,2),FALSE)</f>
        <v>0</v>
      </c>
      <c r="AC42" s="55">
        <f>VLOOKUP($E42,'NI-San_SP'!$C:$AN,MID(AC$1,1,2),FALSE)</f>
        <v>0</v>
      </c>
      <c r="AD42" s="55">
        <f>VLOOKUP($E42,'NI-San_SP'!$C:$AN,MID(AD$1,1,2),FALSE)</f>
        <v>0</v>
      </c>
      <c r="AE42" s="55">
        <f>VLOOKUP($E42,'NI-San_SP'!$C:$AN,MID(AE$1,1,2),FALSE)</f>
        <v>0</v>
      </c>
      <c r="AF42" s="55">
        <f>VLOOKUP($E42,'NI-San_SP'!$C:$AN,MID(AF$1,1,2),FALSE)</f>
        <v>0</v>
      </c>
      <c r="AG42" s="55">
        <f>VLOOKUP($E42,'NI-San_SP'!$C:$AN,MID(AG$1,1,2),FALSE)</f>
        <v>0</v>
      </c>
      <c r="AH42" s="55">
        <f>VLOOKUP($E42,'NI-San_SP'!$C:$AN,MID(AH$1,1,2),FALSE)</f>
        <v>0</v>
      </c>
      <c r="AI42" s="55">
        <f>VLOOKUP($E42,'NI-San_SP'!$C:$AN,MID(AI$1,1,2),FALSE)</f>
        <v>0</v>
      </c>
      <c r="AJ42" s="55">
        <f>VLOOKUP($E42,'NI-San_SP'!$C:$AN,MID(AJ$1,1,2),FALSE)</f>
        <v>0</v>
      </c>
      <c r="AK42" s="55">
        <f>VLOOKUP($E42,'NI-San_SP'!$C:$AN,MID(AK$1,1,2),FALSE)</f>
        <v>0</v>
      </c>
      <c r="AL42" s="55">
        <f>VLOOKUP($E42,'NI-San_SP'!$C:$AN,MID(AL$1,1,2),FALSE)</f>
        <v>0</v>
      </c>
      <c r="AM42" s="56">
        <f>VLOOKUP($E42,'NI-San_SP'!$C:$AN,MID(AM$1,1,2),FALSE)</f>
        <v>0</v>
      </c>
      <c r="AN42" s="30" t="str">
        <f t="shared" si="0"/>
        <v>10104020000000</v>
      </c>
    </row>
    <row r="43" spans="3:40" x14ac:dyDescent="0.25">
      <c r="C43" s="40"/>
      <c r="D43" s="57" t="s">
        <v>253</v>
      </c>
      <c r="E43" s="57" t="s">
        <v>254</v>
      </c>
      <c r="F43" s="58" t="s">
        <v>110</v>
      </c>
      <c r="G43" s="52"/>
      <c r="H43" s="52"/>
      <c r="I43" s="52"/>
      <c r="J43" s="52"/>
      <c r="K43" s="59" t="s">
        <v>111</v>
      </c>
      <c r="L43" s="62"/>
      <c r="M43" s="52"/>
      <c r="N43" s="52"/>
      <c r="O43" s="61" t="s">
        <v>255</v>
      </c>
      <c r="P43" s="60" t="s">
        <v>256</v>
      </c>
      <c r="Q43" s="55">
        <f>VLOOKUP(E43,'NI-San_SP'!$C:$AN,12,FALSE)</f>
        <v>256773</v>
      </c>
      <c r="R43" s="55">
        <f>VLOOKUP(E43,'NI-San_SP'!$C:$AN,13,FALSE)</f>
        <v>1360993</v>
      </c>
      <c r="S43" s="55"/>
      <c r="T43" s="55"/>
      <c r="U43" s="55">
        <f>VLOOKUP($E43,'NI-San_SP'!$C:$AN,MID(U$1,1,2),FALSE)</f>
        <v>0</v>
      </c>
      <c r="V43" s="55">
        <f>VLOOKUP($E43,'NI-San_SP'!$C:$AN,MID(V$1,1,2),FALSE)</f>
        <v>256773</v>
      </c>
      <c r="W43" s="55">
        <f>VLOOKUP($E43,'NI-San_SP'!$C:$AN,MID(W$1,1,2),FALSE)</f>
        <v>0</v>
      </c>
      <c r="X43" s="55">
        <f>VLOOKUP($E43,'NI-San_SP'!$C:$AN,MID(X$1,1,2),FALSE)</f>
        <v>0</v>
      </c>
      <c r="Y43" s="55">
        <f>VLOOKUP($E43,'NI-San_SP'!$C:$AN,MID(Y$1,1,2),FALSE)</f>
        <v>0</v>
      </c>
      <c r="Z43" s="55">
        <f>VLOOKUP($E43,'NI-San_SP'!$C:$AN,MID(Z$1,1,2),FALSE)</f>
        <v>0</v>
      </c>
      <c r="AA43" s="55">
        <f>VLOOKUP($E43,'NI-San_SP'!$C:$AN,MID(AA$1,1,2),FALSE)</f>
        <v>0</v>
      </c>
      <c r="AB43" s="55">
        <f>VLOOKUP($E43,'NI-San_SP'!$C:$AN,MID(AB$1,1,2),FALSE)</f>
        <v>0</v>
      </c>
      <c r="AC43" s="55">
        <f>VLOOKUP($E43,'NI-San_SP'!$C:$AN,MID(AC$1,1,2),FALSE)</f>
        <v>0</v>
      </c>
      <c r="AD43" s="55">
        <f>VLOOKUP($E43,'NI-San_SP'!$C:$AN,MID(AD$1,1,2),FALSE)</f>
        <v>-168240</v>
      </c>
      <c r="AE43" s="55">
        <f>VLOOKUP($E43,'NI-San_SP'!$C:$AN,MID(AE$1,1,2),FALSE)</f>
        <v>0</v>
      </c>
      <c r="AF43" s="55">
        <f>VLOOKUP($E43,'NI-San_SP'!$C:$AN,MID(AF$1,1,2),FALSE)</f>
        <v>0</v>
      </c>
      <c r="AG43" s="55">
        <f>VLOOKUP($E43,'NI-San_SP'!$C:$AN,MID(AG$1,1,2),FALSE)</f>
        <v>1272460</v>
      </c>
      <c r="AH43" s="55">
        <f>VLOOKUP($E43,'NI-San_SP'!$C:$AN,MID(AH$1,1,2),FALSE)</f>
        <v>0</v>
      </c>
      <c r="AI43" s="55">
        <f>VLOOKUP($E43,'NI-San_SP'!$C:$AN,MID(AI$1,1,2),FALSE)</f>
        <v>0</v>
      </c>
      <c r="AJ43" s="55">
        <f>VLOOKUP($E43,'NI-San_SP'!$C:$AN,MID(AJ$1,1,2),FALSE)</f>
        <v>0</v>
      </c>
      <c r="AK43" s="55">
        <f>VLOOKUP($E43,'NI-San_SP'!$C:$AN,MID(AK$1,1,2),FALSE)</f>
        <v>0</v>
      </c>
      <c r="AL43" s="55">
        <f>VLOOKUP($E43,'NI-San_SP'!$C:$AN,MID(AL$1,1,2),FALSE)</f>
        <v>0</v>
      </c>
      <c r="AM43" s="56">
        <f>VLOOKUP($E43,'NI-San_SP'!$C:$AN,MID(AM$1,1,2),FALSE)</f>
        <v>0</v>
      </c>
      <c r="AN43" s="30" t="str">
        <f t="shared" si="0"/>
        <v>10105000000000</v>
      </c>
    </row>
    <row r="44" spans="3:40" x14ac:dyDescent="0.25">
      <c r="C44" s="40"/>
      <c r="D44" s="57" t="s">
        <v>257</v>
      </c>
      <c r="E44" s="57" t="s">
        <v>258</v>
      </c>
      <c r="F44" s="58" t="s">
        <v>110</v>
      </c>
      <c r="G44" s="52"/>
      <c r="H44" s="52"/>
      <c r="I44" s="52" t="s">
        <v>259</v>
      </c>
      <c r="J44" s="52" t="s">
        <v>259</v>
      </c>
      <c r="K44" s="59" t="s">
        <v>111</v>
      </c>
      <c r="L44" s="62" t="s">
        <v>260</v>
      </c>
      <c r="M44" s="52"/>
      <c r="N44" s="52"/>
      <c r="O44" s="52"/>
      <c r="P44" s="54" t="s">
        <v>261</v>
      </c>
      <c r="Q44" s="55">
        <f>VLOOKUP(E44,'NI-San_SP'!$C:$AN,12,FALSE)</f>
        <v>8880683</v>
      </c>
      <c r="R44" s="55">
        <f>VLOOKUP(E44,'NI-San_SP'!$C:$AN,13,FALSE)</f>
        <v>10153143</v>
      </c>
      <c r="S44" s="55"/>
      <c r="T44" s="55"/>
      <c r="U44" s="55">
        <f>VLOOKUP($E44,'NI-San_SP'!$C:$AN,MID(U$1,1,2),FALSE)</f>
        <v>0</v>
      </c>
      <c r="V44" s="55">
        <f>VLOOKUP($E44,'NI-San_SP'!$C:$AN,MID(V$1,1,2),FALSE)</f>
        <v>8880683</v>
      </c>
      <c r="W44" s="55">
        <f>VLOOKUP($E44,'NI-San_SP'!$C:$AN,MID(W$1,1,2),FALSE)</f>
        <v>0</v>
      </c>
      <c r="X44" s="55">
        <f>VLOOKUP($E44,'NI-San_SP'!$C:$AN,MID(X$1,1,2),FALSE)</f>
        <v>0</v>
      </c>
      <c r="Y44" s="55">
        <f>VLOOKUP($E44,'NI-San_SP'!$C:$AN,MID(Y$1,1,2),FALSE)</f>
        <v>0</v>
      </c>
      <c r="Z44" s="55">
        <f>VLOOKUP($E44,'NI-San_SP'!$C:$AN,MID(Z$1,1,2),FALSE)</f>
        <v>0</v>
      </c>
      <c r="AA44" s="55">
        <f>VLOOKUP($E44,'NI-San_SP'!$C:$AN,MID(AA$1,1,2),FALSE)</f>
        <v>0</v>
      </c>
      <c r="AB44" s="55">
        <f>VLOOKUP($E44,'NI-San_SP'!$C:$AN,MID(AB$1,1,2),FALSE)</f>
        <v>0</v>
      </c>
      <c r="AC44" s="55">
        <f>VLOOKUP($E44,'NI-San_SP'!$C:$AN,MID(AC$1,1,2),FALSE)</f>
        <v>0</v>
      </c>
      <c r="AD44" s="55">
        <f>VLOOKUP($E44,'NI-San_SP'!$C:$AN,MID(AD$1,1,2),FALSE)</f>
        <v>0</v>
      </c>
      <c r="AE44" s="55">
        <f>VLOOKUP($E44,'NI-San_SP'!$C:$AN,MID(AE$1,1,2),FALSE)</f>
        <v>0</v>
      </c>
      <c r="AF44" s="55">
        <f>VLOOKUP($E44,'NI-San_SP'!$C:$AN,MID(AF$1,1,2),FALSE)</f>
        <v>0</v>
      </c>
      <c r="AG44" s="55">
        <f>VLOOKUP($E44,'NI-San_SP'!$C:$AN,MID(AG$1,1,2),FALSE)</f>
        <v>1272460</v>
      </c>
      <c r="AH44" s="55">
        <f>VLOOKUP($E44,'NI-San_SP'!$C:$AN,MID(AH$1,1,2),FALSE)</f>
        <v>0</v>
      </c>
      <c r="AI44" s="55">
        <f>VLOOKUP($E44,'NI-San_SP'!$C:$AN,MID(AI$1,1,2),FALSE)</f>
        <v>0</v>
      </c>
      <c r="AJ44" s="55">
        <f>VLOOKUP($E44,'NI-San_SP'!$C:$AN,MID(AJ$1,1,2),FALSE)</f>
        <v>0</v>
      </c>
      <c r="AK44" s="55">
        <f>VLOOKUP($E44,'NI-San_SP'!$C:$AN,MID(AK$1,1,2),FALSE)</f>
        <v>0</v>
      </c>
      <c r="AL44" s="55">
        <f>VLOOKUP($E44,'NI-San_SP'!$C:$AN,MID(AL$1,1,2),FALSE)</f>
        <v>0</v>
      </c>
      <c r="AM44" s="56">
        <f>VLOOKUP($E44,'NI-San_SP'!$C:$AN,MID(AM$1,1,2),FALSE)</f>
        <v>0</v>
      </c>
      <c r="AN44" s="30" t="str">
        <f t="shared" si="0"/>
        <v>10105010000000</v>
      </c>
    </row>
    <row r="45" spans="3:40" x14ac:dyDescent="0.25">
      <c r="C45" s="40"/>
      <c r="D45" s="57" t="s">
        <v>262</v>
      </c>
      <c r="E45" s="57" t="s">
        <v>263</v>
      </c>
      <c r="F45" s="58" t="s">
        <v>110</v>
      </c>
      <c r="G45" s="52"/>
      <c r="H45" s="52"/>
      <c r="I45" s="52"/>
      <c r="J45" s="52"/>
      <c r="K45" s="59" t="s">
        <v>79</v>
      </c>
      <c r="L45" s="52"/>
      <c r="M45" s="52"/>
      <c r="N45" s="52"/>
      <c r="O45" s="52"/>
      <c r="P45" s="63" t="s">
        <v>264</v>
      </c>
      <c r="Q45" s="55">
        <f>VLOOKUP(E45,'NI-San_SP'!$C:$AN,12,FALSE)</f>
        <v>0</v>
      </c>
      <c r="R45" s="55">
        <f>VLOOKUP(E45,'NI-San_SP'!$C:$AN,13,FALSE)</f>
        <v>0</v>
      </c>
      <c r="S45" s="55"/>
      <c r="T45" s="55"/>
      <c r="U45" s="55">
        <f>VLOOKUP($E45,'NI-San_SP'!$C:$AN,MID(U$1,1,2),FALSE)</f>
        <v>0</v>
      </c>
      <c r="V45" s="55">
        <f>VLOOKUP($E45,'NI-San_SP'!$C:$AN,MID(V$1,1,2),FALSE)</f>
        <v>0</v>
      </c>
      <c r="W45" s="55">
        <f>VLOOKUP($E45,'NI-San_SP'!$C:$AN,MID(W$1,1,2),FALSE)</f>
        <v>0</v>
      </c>
      <c r="X45" s="55">
        <f>VLOOKUP($E45,'NI-San_SP'!$C:$AN,MID(X$1,1,2),FALSE)</f>
        <v>0</v>
      </c>
      <c r="Y45" s="55">
        <f>VLOOKUP($E45,'NI-San_SP'!$C:$AN,MID(Y$1,1,2),FALSE)</f>
        <v>0</v>
      </c>
      <c r="Z45" s="55">
        <f>VLOOKUP($E45,'NI-San_SP'!$C:$AN,MID(Z$1,1,2),FALSE)</f>
        <v>0</v>
      </c>
      <c r="AA45" s="55">
        <f>VLOOKUP($E45,'NI-San_SP'!$C:$AN,MID(AA$1,1,2),FALSE)</f>
        <v>0</v>
      </c>
      <c r="AB45" s="55">
        <f>VLOOKUP($E45,'NI-San_SP'!$C:$AN,MID(AB$1,1,2),FALSE)</f>
        <v>0</v>
      </c>
      <c r="AC45" s="55">
        <f>VLOOKUP($E45,'NI-San_SP'!$C:$AN,MID(AC$1,1,2),FALSE)</f>
        <v>0</v>
      </c>
      <c r="AD45" s="55">
        <f>VLOOKUP($E45,'NI-San_SP'!$C:$AN,MID(AD$1,1,2),FALSE)</f>
        <v>0</v>
      </c>
      <c r="AE45" s="55">
        <f>VLOOKUP($E45,'NI-San_SP'!$C:$AN,MID(AE$1,1,2),FALSE)</f>
        <v>0</v>
      </c>
      <c r="AF45" s="55">
        <f>VLOOKUP($E45,'NI-San_SP'!$C:$AN,MID(AF$1,1,2),FALSE)</f>
        <v>0</v>
      </c>
      <c r="AG45" s="55">
        <f>VLOOKUP($E45,'NI-San_SP'!$C:$AN,MID(AG$1,1,2),FALSE)</f>
        <v>0</v>
      </c>
      <c r="AH45" s="55">
        <f>VLOOKUP($E45,'NI-San_SP'!$C:$AN,MID(AH$1,1,2),FALSE)</f>
        <v>0</v>
      </c>
      <c r="AI45" s="55">
        <f>VLOOKUP($E45,'NI-San_SP'!$C:$AN,MID(AI$1,1,2),FALSE)</f>
        <v>0</v>
      </c>
      <c r="AJ45" s="55">
        <f>VLOOKUP($E45,'NI-San_SP'!$C:$AN,MID(AJ$1,1,2),FALSE)</f>
        <v>0</v>
      </c>
      <c r="AK45" s="55">
        <f>VLOOKUP($E45,'NI-San_SP'!$C:$AN,MID(AK$1,1,2),FALSE)</f>
        <v>0</v>
      </c>
      <c r="AL45" s="55">
        <f>VLOOKUP($E45,'NI-San_SP'!$C:$AN,MID(AL$1,1,2),FALSE)</f>
        <v>0</v>
      </c>
      <c r="AM45" s="56">
        <f>VLOOKUP($E45,'NI-San_SP'!$C:$AN,MID(AM$1,1,2),FALSE)</f>
        <v>0</v>
      </c>
      <c r="AN45" s="30" t="str">
        <f t="shared" si="0"/>
        <v>10105010010010</v>
      </c>
    </row>
    <row r="46" spans="3:40" x14ac:dyDescent="0.25">
      <c r="C46" s="40"/>
      <c r="D46" s="57" t="s">
        <v>265</v>
      </c>
      <c r="E46" s="57" t="s">
        <v>266</v>
      </c>
      <c r="F46" s="58" t="s">
        <v>110</v>
      </c>
      <c r="G46" s="52"/>
      <c r="H46" s="52"/>
      <c r="I46" s="52"/>
      <c r="J46" s="52"/>
      <c r="K46" s="59" t="s">
        <v>79</v>
      </c>
      <c r="L46" s="52"/>
      <c r="M46" s="52"/>
      <c r="N46" s="52"/>
      <c r="O46" s="52"/>
      <c r="P46" s="63" t="s">
        <v>267</v>
      </c>
      <c r="Q46" s="55">
        <f>VLOOKUP(E46,'NI-San_SP'!$C:$AN,12,FALSE)</f>
        <v>0</v>
      </c>
      <c r="R46" s="55">
        <f>VLOOKUP(E46,'NI-San_SP'!$C:$AN,13,FALSE)</f>
        <v>0</v>
      </c>
      <c r="S46" s="55"/>
      <c r="T46" s="55"/>
      <c r="U46" s="55">
        <f>VLOOKUP($E46,'NI-San_SP'!$C:$AN,MID(U$1,1,2),FALSE)</f>
        <v>0</v>
      </c>
      <c r="V46" s="55">
        <f>VLOOKUP($E46,'NI-San_SP'!$C:$AN,MID(V$1,1,2),FALSE)</f>
        <v>0</v>
      </c>
      <c r="W46" s="55">
        <f>VLOOKUP($E46,'NI-San_SP'!$C:$AN,MID(W$1,1,2),FALSE)</f>
        <v>0</v>
      </c>
      <c r="X46" s="55">
        <f>VLOOKUP($E46,'NI-San_SP'!$C:$AN,MID(X$1,1,2),FALSE)</f>
        <v>0</v>
      </c>
      <c r="Y46" s="55">
        <f>VLOOKUP($E46,'NI-San_SP'!$C:$AN,MID(Y$1,1,2),FALSE)</f>
        <v>0</v>
      </c>
      <c r="Z46" s="55">
        <f>VLOOKUP($E46,'NI-San_SP'!$C:$AN,MID(Z$1,1,2),FALSE)</f>
        <v>0</v>
      </c>
      <c r="AA46" s="55">
        <f>VLOOKUP($E46,'NI-San_SP'!$C:$AN,MID(AA$1,1,2),FALSE)</f>
        <v>0</v>
      </c>
      <c r="AB46" s="55">
        <f>VLOOKUP($E46,'NI-San_SP'!$C:$AN,MID(AB$1,1,2),FALSE)</f>
        <v>0</v>
      </c>
      <c r="AC46" s="55">
        <f>VLOOKUP($E46,'NI-San_SP'!$C:$AN,MID(AC$1,1,2),FALSE)</f>
        <v>0</v>
      </c>
      <c r="AD46" s="55">
        <f>VLOOKUP($E46,'NI-San_SP'!$C:$AN,MID(AD$1,1,2),FALSE)</f>
        <v>0</v>
      </c>
      <c r="AE46" s="55">
        <f>VLOOKUP($E46,'NI-San_SP'!$C:$AN,MID(AE$1,1,2),FALSE)</f>
        <v>0</v>
      </c>
      <c r="AF46" s="55">
        <f>VLOOKUP($E46,'NI-San_SP'!$C:$AN,MID(AF$1,1,2),FALSE)</f>
        <v>0</v>
      </c>
      <c r="AG46" s="55">
        <f>VLOOKUP($E46,'NI-San_SP'!$C:$AN,MID(AG$1,1,2),FALSE)</f>
        <v>0</v>
      </c>
      <c r="AH46" s="55">
        <f>VLOOKUP($E46,'NI-San_SP'!$C:$AN,MID(AH$1,1,2),FALSE)</f>
        <v>0</v>
      </c>
      <c r="AI46" s="55">
        <f>VLOOKUP($E46,'NI-San_SP'!$C:$AN,MID(AI$1,1,2),FALSE)</f>
        <v>0</v>
      </c>
      <c r="AJ46" s="55">
        <f>VLOOKUP($E46,'NI-San_SP'!$C:$AN,MID(AJ$1,1,2),FALSE)</f>
        <v>0</v>
      </c>
      <c r="AK46" s="55">
        <f>VLOOKUP($E46,'NI-San_SP'!$C:$AN,MID(AK$1,1,2),FALSE)</f>
        <v>0</v>
      </c>
      <c r="AL46" s="55">
        <f>VLOOKUP($E46,'NI-San_SP'!$C:$AN,MID(AL$1,1,2),FALSE)</f>
        <v>0</v>
      </c>
      <c r="AM46" s="56">
        <f>VLOOKUP($E46,'NI-San_SP'!$C:$AN,MID(AM$1,1,2),FALSE)</f>
        <v>0</v>
      </c>
      <c r="AN46" s="30" t="str">
        <f t="shared" si="0"/>
        <v>10105010010020</v>
      </c>
    </row>
    <row r="47" spans="3:40" x14ac:dyDescent="0.25">
      <c r="C47" s="40"/>
      <c r="D47" s="57" t="s">
        <v>268</v>
      </c>
      <c r="E47" s="57" t="s">
        <v>269</v>
      </c>
      <c r="F47" s="58" t="s">
        <v>110</v>
      </c>
      <c r="G47" s="52"/>
      <c r="H47" s="52"/>
      <c r="I47" s="52"/>
      <c r="J47" s="52"/>
      <c r="K47" s="59" t="s">
        <v>79</v>
      </c>
      <c r="L47" s="52"/>
      <c r="M47" s="52"/>
      <c r="N47" s="52"/>
      <c r="O47" s="52"/>
      <c r="P47" s="63" t="s">
        <v>270</v>
      </c>
      <c r="Q47" s="55">
        <f>VLOOKUP(E47,'NI-San_SP'!$C:$AN,12,FALSE)</f>
        <v>6481811</v>
      </c>
      <c r="R47" s="55">
        <f>VLOOKUP(E47,'NI-San_SP'!$C:$AN,13,FALSE)</f>
        <v>7754271</v>
      </c>
      <c r="S47" s="55"/>
      <c r="T47" s="55"/>
      <c r="U47" s="55">
        <f>VLOOKUP($E47,'NI-San_SP'!$C:$AN,MID(U$1,1,2),FALSE)</f>
        <v>0</v>
      </c>
      <c r="V47" s="55">
        <f>VLOOKUP($E47,'NI-San_SP'!$C:$AN,MID(V$1,1,2),FALSE)</f>
        <v>6481811</v>
      </c>
      <c r="W47" s="55">
        <f>VLOOKUP($E47,'NI-San_SP'!$C:$AN,MID(W$1,1,2),FALSE)</f>
        <v>0</v>
      </c>
      <c r="X47" s="55">
        <f>VLOOKUP($E47,'NI-San_SP'!$C:$AN,MID(X$1,1,2),FALSE)</f>
        <v>0</v>
      </c>
      <c r="Y47" s="55">
        <f>VLOOKUP($E47,'NI-San_SP'!$C:$AN,MID(Y$1,1,2),FALSE)</f>
        <v>0</v>
      </c>
      <c r="Z47" s="55">
        <f>VLOOKUP($E47,'NI-San_SP'!$C:$AN,MID(Z$1,1,2),FALSE)</f>
        <v>0</v>
      </c>
      <c r="AA47" s="55">
        <f>VLOOKUP($E47,'NI-San_SP'!$C:$AN,MID(AA$1,1,2),FALSE)</f>
        <v>0</v>
      </c>
      <c r="AB47" s="55">
        <f>VLOOKUP($E47,'NI-San_SP'!$C:$AN,MID(AB$1,1,2),FALSE)</f>
        <v>0</v>
      </c>
      <c r="AC47" s="55">
        <f>VLOOKUP($E47,'NI-San_SP'!$C:$AN,MID(AC$1,1,2),FALSE)</f>
        <v>0</v>
      </c>
      <c r="AD47" s="55">
        <f>VLOOKUP($E47,'NI-San_SP'!$C:$AN,MID(AD$1,1,2),FALSE)</f>
        <v>0</v>
      </c>
      <c r="AE47" s="55">
        <f>VLOOKUP($E47,'NI-San_SP'!$C:$AN,MID(AE$1,1,2),FALSE)</f>
        <v>0</v>
      </c>
      <c r="AF47" s="55">
        <f>VLOOKUP($E47,'NI-San_SP'!$C:$AN,MID(AF$1,1,2),FALSE)</f>
        <v>0</v>
      </c>
      <c r="AG47" s="55">
        <f>VLOOKUP($E47,'NI-San_SP'!$C:$AN,MID(AG$1,1,2),FALSE)</f>
        <v>1272460</v>
      </c>
      <c r="AH47" s="55">
        <f>VLOOKUP($E47,'NI-San_SP'!$C:$AN,MID(AH$1,1,2),FALSE)</f>
        <v>0</v>
      </c>
      <c r="AI47" s="55">
        <f>VLOOKUP($E47,'NI-San_SP'!$C:$AN,MID(AI$1,1,2),FALSE)</f>
        <v>0</v>
      </c>
      <c r="AJ47" s="55">
        <f>VLOOKUP($E47,'NI-San_SP'!$C:$AN,MID(AJ$1,1,2),FALSE)</f>
        <v>0</v>
      </c>
      <c r="AK47" s="55">
        <f>VLOOKUP($E47,'NI-San_SP'!$C:$AN,MID(AK$1,1,2),FALSE)</f>
        <v>0</v>
      </c>
      <c r="AL47" s="55">
        <f>VLOOKUP($E47,'NI-San_SP'!$C:$AN,MID(AL$1,1,2),FALSE)</f>
        <v>0</v>
      </c>
      <c r="AM47" s="56">
        <f>VLOOKUP($E47,'NI-San_SP'!$C:$AN,MID(AM$1,1,2),FALSE)</f>
        <v>0</v>
      </c>
      <c r="AN47" s="30" t="str">
        <f t="shared" si="0"/>
        <v>10105010020010</v>
      </c>
    </row>
    <row r="48" spans="3:40" x14ac:dyDescent="0.25">
      <c r="C48" s="40"/>
      <c r="D48" s="57" t="s">
        <v>271</v>
      </c>
      <c r="E48" s="57" t="s">
        <v>272</v>
      </c>
      <c r="F48" s="58" t="s">
        <v>110</v>
      </c>
      <c r="G48" s="52"/>
      <c r="H48" s="52"/>
      <c r="I48" s="52"/>
      <c r="J48" s="52"/>
      <c r="K48" s="59" t="s">
        <v>79</v>
      </c>
      <c r="L48" s="52"/>
      <c r="M48" s="52"/>
      <c r="N48" s="52"/>
      <c r="O48" s="52"/>
      <c r="P48" s="63" t="s">
        <v>273</v>
      </c>
      <c r="Q48" s="55">
        <f>VLOOKUP(E48,'NI-San_SP'!$C:$AN,12,FALSE)</f>
        <v>2398872</v>
      </c>
      <c r="R48" s="55">
        <f>VLOOKUP(E48,'NI-San_SP'!$C:$AN,13,FALSE)</f>
        <v>2398872</v>
      </c>
      <c r="S48" s="55"/>
      <c r="T48" s="55"/>
      <c r="U48" s="55">
        <f>VLOOKUP($E48,'NI-San_SP'!$C:$AN,MID(U$1,1,2),FALSE)</f>
        <v>0</v>
      </c>
      <c r="V48" s="55">
        <f>VLOOKUP($E48,'NI-San_SP'!$C:$AN,MID(V$1,1,2),FALSE)</f>
        <v>2398872</v>
      </c>
      <c r="W48" s="55">
        <f>VLOOKUP($E48,'NI-San_SP'!$C:$AN,MID(W$1,1,2),FALSE)</f>
        <v>0</v>
      </c>
      <c r="X48" s="55">
        <f>VLOOKUP($E48,'NI-San_SP'!$C:$AN,MID(X$1,1,2),FALSE)</f>
        <v>0</v>
      </c>
      <c r="Y48" s="55">
        <f>VLOOKUP($E48,'NI-San_SP'!$C:$AN,MID(Y$1,1,2),FALSE)</f>
        <v>0</v>
      </c>
      <c r="Z48" s="55">
        <f>VLOOKUP($E48,'NI-San_SP'!$C:$AN,MID(Z$1,1,2),FALSE)</f>
        <v>0</v>
      </c>
      <c r="AA48" s="55">
        <f>VLOOKUP($E48,'NI-San_SP'!$C:$AN,MID(AA$1,1,2),FALSE)</f>
        <v>0</v>
      </c>
      <c r="AB48" s="55">
        <f>VLOOKUP($E48,'NI-San_SP'!$C:$AN,MID(AB$1,1,2),FALSE)</f>
        <v>0</v>
      </c>
      <c r="AC48" s="55">
        <f>VLOOKUP($E48,'NI-San_SP'!$C:$AN,MID(AC$1,1,2),FALSE)</f>
        <v>0</v>
      </c>
      <c r="AD48" s="55">
        <f>VLOOKUP($E48,'NI-San_SP'!$C:$AN,MID(AD$1,1,2),FALSE)</f>
        <v>0</v>
      </c>
      <c r="AE48" s="55">
        <f>VLOOKUP($E48,'NI-San_SP'!$C:$AN,MID(AE$1,1,2),FALSE)</f>
        <v>0</v>
      </c>
      <c r="AF48" s="55">
        <f>VLOOKUP($E48,'NI-San_SP'!$C:$AN,MID(AF$1,1,2),FALSE)</f>
        <v>0</v>
      </c>
      <c r="AG48" s="55">
        <f>VLOOKUP($E48,'NI-San_SP'!$C:$AN,MID(AG$1,1,2),FALSE)</f>
        <v>0</v>
      </c>
      <c r="AH48" s="55">
        <f>VLOOKUP($E48,'NI-San_SP'!$C:$AN,MID(AH$1,1,2),FALSE)</f>
        <v>0</v>
      </c>
      <c r="AI48" s="55">
        <f>VLOOKUP($E48,'NI-San_SP'!$C:$AN,MID(AI$1,1,2),FALSE)</f>
        <v>0</v>
      </c>
      <c r="AJ48" s="55">
        <f>VLOOKUP($E48,'NI-San_SP'!$C:$AN,MID(AJ$1,1,2),FALSE)</f>
        <v>0</v>
      </c>
      <c r="AK48" s="55">
        <f>VLOOKUP($E48,'NI-San_SP'!$C:$AN,MID(AK$1,1,2),FALSE)</f>
        <v>0</v>
      </c>
      <c r="AL48" s="55">
        <f>VLOOKUP($E48,'NI-San_SP'!$C:$AN,MID(AL$1,1,2),FALSE)</f>
        <v>0</v>
      </c>
      <c r="AM48" s="56">
        <f>VLOOKUP($E48,'NI-San_SP'!$C:$AN,MID(AM$1,1,2),FALSE)</f>
        <v>0</v>
      </c>
      <c r="AN48" s="30" t="str">
        <f t="shared" si="0"/>
        <v>10105010020020</v>
      </c>
    </row>
    <row r="49" spans="3:40" x14ac:dyDescent="0.25">
      <c r="C49" s="40"/>
      <c r="D49" s="57" t="s">
        <v>274</v>
      </c>
      <c r="E49" s="57" t="s">
        <v>275</v>
      </c>
      <c r="F49" s="58" t="s">
        <v>110</v>
      </c>
      <c r="G49" s="52"/>
      <c r="H49" s="52"/>
      <c r="I49" s="52"/>
      <c r="J49" s="52"/>
      <c r="K49" s="59" t="s">
        <v>79</v>
      </c>
      <c r="L49" s="52"/>
      <c r="M49" s="52"/>
      <c r="N49" s="52"/>
      <c r="O49" s="52"/>
      <c r="P49" s="63" t="s">
        <v>276</v>
      </c>
      <c r="Q49" s="55">
        <f>VLOOKUP(E49,'NI-San_SP'!$C:$AN,12,FALSE)</f>
        <v>0</v>
      </c>
      <c r="R49" s="55">
        <f>VLOOKUP(E49,'NI-San_SP'!$C:$AN,13,FALSE)</f>
        <v>0</v>
      </c>
      <c r="S49" s="55"/>
      <c r="T49" s="55"/>
      <c r="U49" s="55">
        <f>VLOOKUP($E49,'NI-San_SP'!$C:$AN,MID(U$1,1,2),FALSE)</f>
        <v>0</v>
      </c>
      <c r="V49" s="55">
        <f>VLOOKUP($E49,'NI-San_SP'!$C:$AN,MID(V$1,1,2),FALSE)</f>
        <v>0</v>
      </c>
      <c r="W49" s="55">
        <f>VLOOKUP($E49,'NI-San_SP'!$C:$AN,MID(W$1,1,2),FALSE)</f>
        <v>0</v>
      </c>
      <c r="X49" s="55">
        <f>VLOOKUP($E49,'NI-San_SP'!$C:$AN,MID(X$1,1,2),FALSE)</f>
        <v>0</v>
      </c>
      <c r="Y49" s="55">
        <f>VLOOKUP($E49,'NI-San_SP'!$C:$AN,MID(Y$1,1,2),FALSE)</f>
        <v>0</v>
      </c>
      <c r="Z49" s="55">
        <f>VLOOKUP($E49,'NI-San_SP'!$C:$AN,MID(Z$1,1,2),FALSE)</f>
        <v>0</v>
      </c>
      <c r="AA49" s="55">
        <f>VLOOKUP($E49,'NI-San_SP'!$C:$AN,MID(AA$1,1,2),FALSE)</f>
        <v>0</v>
      </c>
      <c r="AB49" s="55">
        <f>VLOOKUP($E49,'NI-San_SP'!$C:$AN,MID(AB$1,1,2),FALSE)</f>
        <v>0</v>
      </c>
      <c r="AC49" s="55">
        <f>VLOOKUP($E49,'NI-San_SP'!$C:$AN,MID(AC$1,1,2),FALSE)</f>
        <v>0</v>
      </c>
      <c r="AD49" s="55">
        <f>VLOOKUP($E49,'NI-San_SP'!$C:$AN,MID(AD$1,1,2),FALSE)</f>
        <v>0</v>
      </c>
      <c r="AE49" s="55">
        <f>VLOOKUP($E49,'NI-San_SP'!$C:$AN,MID(AE$1,1,2),FALSE)</f>
        <v>0</v>
      </c>
      <c r="AF49" s="55">
        <f>VLOOKUP($E49,'NI-San_SP'!$C:$AN,MID(AF$1,1,2),FALSE)</f>
        <v>0</v>
      </c>
      <c r="AG49" s="55">
        <f>VLOOKUP($E49,'NI-San_SP'!$C:$AN,MID(AG$1,1,2),FALSE)</f>
        <v>0</v>
      </c>
      <c r="AH49" s="55">
        <f>VLOOKUP($E49,'NI-San_SP'!$C:$AN,MID(AH$1,1,2),FALSE)</f>
        <v>0</v>
      </c>
      <c r="AI49" s="55">
        <f>VLOOKUP($E49,'NI-San_SP'!$C:$AN,MID(AI$1,1,2),FALSE)</f>
        <v>0</v>
      </c>
      <c r="AJ49" s="55">
        <f>VLOOKUP($E49,'NI-San_SP'!$C:$AN,MID(AJ$1,1,2),FALSE)</f>
        <v>0</v>
      </c>
      <c r="AK49" s="55">
        <f>VLOOKUP($E49,'NI-San_SP'!$C:$AN,MID(AK$1,1,2),FALSE)</f>
        <v>0</v>
      </c>
      <c r="AL49" s="55">
        <f>VLOOKUP($E49,'NI-San_SP'!$C:$AN,MID(AL$1,1,2),FALSE)</f>
        <v>0</v>
      </c>
      <c r="AM49" s="56">
        <f>VLOOKUP($E49,'NI-San_SP'!$C:$AN,MID(AM$1,1,2),FALSE)</f>
        <v>0</v>
      </c>
      <c r="AN49" s="30" t="str">
        <f t="shared" si="0"/>
        <v>10105010030010</v>
      </c>
    </row>
    <row r="50" spans="3:40" x14ac:dyDescent="0.25">
      <c r="C50" s="40"/>
      <c r="D50" s="57" t="s">
        <v>277</v>
      </c>
      <c r="E50" s="57" t="s">
        <v>278</v>
      </c>
      <c r="F50" s="58" t="s">
        <v>110</v>
      </c>
      <c r="G50" s="52"/>
      <c r="H50" s="52"/>
      <c r="I50" s="52"/>
      <c r="J50" s="52"/>
      <c r="K50" s="59" t="s">
        <v>79</v>
      </c>
      <c r="L50" s="52"/>
      <c r="M50" s="52"/>
      <c r="N50" s="52"/>
      <c r="O50" s="52"/>
      <c r="P50" s="63" t="s">
        <v>279</v>
      </c>
      <c r="Q50" s="55">
        <f>VLOOKUP(E50,'NI-San_SP'!$C:$AN,12,FALSE)</f>
        <v>0</v>
      </c>
      <c r="R50" s="55">
        <f>VLOOKUP(E50,'NI-San_SP'!$C:$AN,13,FALSE)</f>
        <v>0</v>
      </c>
      <c r="S50" s="55"/>
      <c r="T50" s="55"/>
      <c r="U50" s="55">
        <f>VLOOKUP($E50,'NI-San_SP'!$C:$AN,MID(U$1,1,2),FALSE)</f>
        <v>0</v>
      </c>
      <c r="V50" s="55">
        <f>VLOOKUP($E50,'NI-San_SP'!$C:$AN,MID(V$1,1,2),FALSE)</f>
        <v>0</v>
      </c>
      <c r="W50" s="55">
        <f>VLOOKUP($E50,'NI-San_SP'!$C:$AN,MID(W$1,1,2),FALSE)</f>
        <v>0</v>
      </c>
      <c r="X50" s="55">
        <f>VLOOKUP($E50,'NI-San_SP'!$C:$AN,MID(X$1,1,2),FALSE)</f>
        <v>0</v>
      </c>
      <c r="Y50" s="55">
        <f>VLOOKUP($E50,'NI-San_SP'!$C:$AN,MID(Y$1,1,2),FALSE)</f>
        <v>0</v>
      </c>
      <c r="Z50" s="55">
        <f>VLOOKUP($E50,'NI-San_SP'!$C:$AN,MID(Z$1,1,2),FALSE)</f>
        <v>0</v>
      </c>
      <c r="AA50" s="55">
        <f>VLOOKUP($E50,'NI-San_SP'!$C:$AN,MID(AA$1,1,2),FALSE)</f>
        <v>0</v>
      </c>
      <c r="AB50" s="55">
        <f>VLOOKUP($E50,'NI-San_SP'!$C:$AN,MID(AB$1,1,2),FALSE)</f>
        <v>0</v>
      </c>
      <c r="AC50" s="55">
        <f>VLOOKUP($E50,'NI-San_SP'!$C:$AN,MID(AC$1,1,2),FALSE)</f>
        <v>0</v>
      </c>
      <c r="AD50" s="55">
        <f>VLOOKUP($E50,'NI-San_SP'!$C:$AN,MID(AD$1,1,2),FALSE)</f>
        <v>0</v>
      </c>
      <c r="AE50" s="55">
        <f>VLOOKUP($E50,'NI-San_SP'!$C:$AN,MID(AE$1,1,2),FALSE)</f>
        <v>0</v>
      </c>
      <c r="AF50" s="55">
        <f>VLOOKUP($E50,'NI-San_SP'!$C:$AN,MID(AF$1,1,2),FALSE)</f>
        <v>0</v>
      </c>
      <c r="AG50" s="55">
        <f>VLOOKUP($E50,'NI-San_SP'!$C:$AN,MID(AG$1,1,2),FALSE)</f>
        <v>0</v>
      </c>
      <c r="AH50" s="55">
        <f>VLOOKUP($E50,'NI-San_SP'!$C:$AN,MID(AH$1,1,2),FALSE)</f>
        <v>0</v>
      </c>
      <c r="AI50" s="55">
        <f>VLOOKUP($E50,'NI-San_SP'!$C:$AN,MID(AI$1,1,2),FALSE)</f>
        <v>0</v>
      </c>
      <c r="AJ50" s="55">
        <f>VLOOKUP($E50,'NI-San_SP'!$C:$AN,MID(AJ$1,1,2),FALSE)</f>
        <v>0</v>
      </c>
      <c r="AK50" s="55">
        <f>VLOOKUP($E50,'NI-San_SP'!$C:$AN,MID(AK$1,1,2),FALSE)</f>
        <v>0</v>
      </c>
      <c r="AL50" s="55">
        <f>VLOOKUP($E50,'NI-San_SP'!$C:$AN,MID(AL$1,1,2),FALSE)</f>
        <v>0</v>
      </c>
      <c r="AM50" s="56">
        <f>VLOOKUP($E50,'NI-San_SP'!$C:$AN,MID(AM$1,1,2),FALSE)</f>
        <v>0</v>
      </c>
      <c r="AN50" s="30" t="str">
        <f t="shared" si="0"/>
        <v>10105010030020</v>
      </c>
    </row>
    <row r="51" spans="3:40" x14ac:dyDescent="0.25">
      <c r="C51" s="40"/>
      <c r="D51" s="57" t="s">
        <v>280</v>
      </c>
      <c r="E51" s="57" t="s">
        <v>281</v>
      </c>
      <c r="F51" s="58" t="s">
        <v>110</v>
      </c>
      <c r="G51" s="52"/>
      <c r="H51" s="52"/>
      <c r="I51" s="52"/>
      <c r="J51" s="52"/>
      <c r="K51" s="59" t="s">
        <v>79</v>
      </c>
      <c r="L51" s="52"/>
      <c r="M51" s="52"/>
      <c r="N51" s="52"/>
      <c r="O51" s="52"/>
      <c r="P51" s="63" t="s">
        <v>282</v>
      </c>
      <c r="Q51" s="55">
        <f>VLOOKUP(E51,'NI-San_SP'!$C:$AN,12,FALSE)</f>
        <v>0</v>
      </c>
      <c r="R51" s="55">
        <f>VLOOKUP(E51,'NI-San_SP'!$C:$AN,13,FALSE)</f>
        <v>0</v>
      </c>
      <c r="S51" s="55"/>
      <c r="T51" s="55"/>
      <c r="U51" s="55">
        <f>VLOOKUP($E51,'NI-San_SP'!$C:$AN,MID(U$1,1,2),FALSE)</f>
        <v>0</v>
      </c>
      <c r="V51" s="55">
        <f>VLOOKUP($E51,'NI-San_SP'!$C:$AN,MID(V$1,1,2),FALSE)</f>
        <v>0</v>
      </c>
      <c r="W51" s="55">
        <f>VLOOKUP($E51,'NI-San_SP'!$C:$AN,MID(W$1,1,2),FALSE)</f>
        <v>0</v>
      </c>
      <c r="X51" s="55">
        <f>VLOOKUP($E51,'NI-San_SP'!$C:$AN,MID(X$1,1,2),FALSE)</f>
        <v>0</v>
      </c>
      <c r="Y51" s="55">
        <f>VLOOKUP($E51,'NI-San_SP'!$C:$AN,MID(Y$1,1,2),FALSE)</f>
        <v>0</v>
      </c>
      <c r="Z51" s="55">
        <f>VLOOKUP($E51,'NI-San_SP'!$C:$AN,MID(Z$1,1,2),FALSE)</f>
        <v>0</v>
      </c>
      <c r="AA51" s="55">
        <f>VLOOKUP($E51,'NI-San_SP'!$C:$AN,MID(AA$1,1,2),FALSE)</f>
        <v>0</v>
      </c>
      <c r="AB51" s="55">
        <f>VLOOKUP($E51,'NI-San_SP'!$C:$AN,MID(AB$1,1,2),FALSE)</f>
        <v>0</v>
      </c>
      <c r="AC51" s="55">
        <f>VLOOKUP($E51,'NI-San_SP'!$C:$AN,MID(AC$1,1,2),FALSE)</f>
        <v>0</v>
      </c>
      <c r="AD51" s="55">
        <f>VLOOKUP($E51,'NI-San_SP'!$C:$AN,MID(AD$1,1,2),FALSE)</f>
        <v>0</v>
      </c>
      <c r="AE51" s="55">
        <f>VLOOKUP($E51,'NI-San_SP'!$C:$AN,MID(AE$1,1,2),FALSE)</f>
        <v>0</v>
      </c>
      <c r="AF51" s="55">
        <f>VLOOKUP($E51,'NI-San_SP'!$C:$AN,MID(AF$1,1,2),FALSE)</f>
        <v>0</v>
      </c>
      <c r="AG51" s="55">
        <f>VLOOKUP($E51,'NI-San_SP'!$C:$AN,MID(AG$1,1,2),FALSE)</f>
        <v>0</v>
      </c>
      <c r="AH51" s="55">
        <f>VLOOKUP($E51,'NI-San_SP'!$C:$AN,MID(AH$1,1,2),FALSE)</f>
        <v>0</v>
      </c>
      <c r="AI51" s="55">
        <f>VLOOKUP($E51,'NI-San_SP'!$C:$AN,MID(AI$1,1,2),FALSE)</f>
        <v>0</v>
      </c>
      <c r="AJ51" s="55">
        <f>VLOOKUP($E51,'NI-San_SP'!$C:$AN,MID(AJ$1,1,2),FALSE)</f>
        <v>0</v>
      </c>
      <c r="AK51" s="55">
        <f>VLOOKUP($E51,'NI-San_SP'!$C:$AN,MID(AK$1,1,2),FALSE)</f>
        <v>0</v>
      </c>
      <c r="AL51" s="55">
        <f>VLOOKUP($E51,'NI-San_SP'!$C:$AN,MID(AL$1,1,2),FALSE)</f>
        <v>0</v>
      </c>
      <c r="AM51" s="56">
        <f>VLOOKUP($E51,'NI-San_SP'!$C:$AN,MID(AM$1,1,2),FALSE)</f>
        <v>0</v>
      </c>
      <c r="AN51" s="30" t="str">
        <f t="shared" si="0"/>
        <v>10105010040010</v>
      </c>
    </row>
    <row r="52" spans="3:40" x14ac:dyDescent="0.25">
      <c r="C52" s="40"/>
      <c r="D52" s="57" t="s">
        <v>283</v>
      </c>
      <c r="E52" s="57" t="s">
        <v>284</v>
      </c>
      <c r="F52" s="58" t="s">
        <v>110</v>
      </c>
      <c r="G52" s="52"/>
      <c r="H52" s="52"/>
      <c r="I52" s="52"/>
      <c r="J52" s="52"/>
      <c r="K52" s="59" t="s">
        <v>79</v>
      </c>
      <c r="L52" s="52"/>
      <c r="M52" s="52"/>
      <c r="N52" s="52"/>
      <c r="O52" s="52"/>
      <c r="P52" s="63" t="s">
        <v>285</v>
      </c>
      <c r="Q52" s="55">
        <f>VLOOKUP(E52,'NI-San_SP'!$C:$AN,12,FALSE)</f>
        <v>0</v>
      </c>
      <c r="R52" s="55">
        <f>VLOOKUP(E52,'NI-San_SP'!$C:$AN,13,FALSE)</f>
        <v>0</v>
      </c>
      <c r="S52" s="55"/>
      <c r="T52" s="55"/>
      <c r="U52" s="55">
        <f>VLOOKUP($E52,'NI-San_SP'!$C:$AN,MID(U$1,1,2),FALSE)</f>
        <v>0</v>
      </c>
      <c r="V52" s="55">
        <f>VLOOKUP($E52,'NI-San_SP'!$C:$AN,MID(V$1,1,2),FALSE)</f>
        <v>0</v>
      </c>
      <c r="W52" s="55">
        <f>VLOOKUP($E52,'NI-San_SP'!$C:$AN,MID(W$1,1,2),FALSE)</f>
        <v>0</v>
      </c>
      <c r="X52" s="55">
        <f>VLOOKUP($E52,'NI-San_SP'!$C:$AN,MID(X$1,1,2),FALSE)</f>
        <v>0</v>
      </c>
      <c r="Y52" s="55">
        <f>VLOOKUP($E52,'NI-San_SP'!$C:$AN,MID(Y$1,1,2),FALSE)</f>
        <v>0</v>
      </c>
      <c r="Z52" s="55">
        <f>VLOOKUP($E52,'NI-San_SP'!$C:$AN,MID(Z$1,1,2),FALSE)</f>
        <v>0</v>
      </c>
      <c r="AA52" s="55">
        <f>VLOOKUP($E52,'NI-San_SP'!$C:$AN,MID(AA$1,1,2),FALSE)</f>
        <v>0</v>
      </c>
      <c r="AB52" s="55">
        <f>VLOOKUP($E52,'NI-San_SP'!$C:$AN,MID(AB$1,1,2),FALSE)</f>
        <v>0</v>
      </c>
      <c r="AC52" s="55">
        <f>VLOOKUP($E52,'NI-San_SP'!$C:$AN,MID(AC$1,1,2),FALSE)</f>
        <v>0</v>
      </c>
      <c r="AD52" s="55">
        <f>VLOOKUP($E52,'NI-San_SP'!$C:$AN,MID(AD$1,1,2),FALSE)</f>
        <v>0</v>
      </c>
      <c r="AE52" s="55">
        <f>VLOOKUP($E52,'NI-San_SP'!$C:$AN,MID(AE$1,1,2),FALSE)</f>
        <v>0</v>
      </c>
      <c r="AF52" s="55">
        <f>VLOOKUP($E52,'NI-San_SP'!$C:$AN,MID(AF$1,1,2),FALSE)</f>
        <v>0</v>
      </c>
      <c r="AG52" s="55">
        <f>VLOOKUP($E52,'NI-San_SP'!$C:$AN,MID(AG$1,1,2),FALSE)</f>
        <v>0</v>
      </c>
      <c r="AH52" s="55">
        <f>VLOOKUP($E52,'NI-San_SP'!$C:$AN,MID(AH$1,1,2),FALSE)</f>
        <v>0</v>
      </c>
      <c r="AI52" s="55">
        <f>VLOOKUP($E52,'NI-San_SP'!$C:$AN,MID(AI$1,1,2),FALSE)</f>
        <v>0</v>
      </c>
      <c r="AJ52" s="55">
        <f>VLOOKUP($E52,'NI-San_SP'!$C:$AN,MID(AJ$1,1,2),FALSE)</f>
        <v>0</v>
      </c>
      <c r="AK52" s="55">
        <f>VLOOKUP($E52,'NI-San_SP'!$C:$AN,MID(AK$1,1,2),FALSE)</f>
        <v>0</v>
      </c>
      <c r="AL52" s="55">
        <f>VLOOKUP($E52,'NI-San_SP'!$C:$AN,MID(AL$1,1,2),FALSE)</f>
        <v>0</v>
      </c>
      <c r="AM52" s="56">
        <f>VLOOKUP($E52,'NI-San_SP'!$C:$AN,MID(AM$1,1,2),FALSE)</f>
        <v>0</v>
      </c>
      <c r="AN52" s="30" t="str">
        <f t="shared" si="0"/>
        <v>10105010040020</v>
      </c>
    </row>
    <row r="53" spans="3:40" x14ac:dyDescent="0.25">
      <c r="C53" s="40"/>
      <c r="D53" s="57" t="s">
        <v>286</v>
      </c>
      <c r="E53" s="57" t="s">
        <v>287</v>
      </c>
      <c r="F53" s="58" t="s">
        <v>110</v>
      </c>
      <c r="G53" s="52"/>
      <c r="H53" s="52"/>
      <c r="I53" s="52" t="s">
        <v>288</v>
      </c>
      <c r="J53" s="52" t="s">
        <v>288</v>
      </c>
      <c r="K53" s="59" t="s">
        <v>111</v>
      </c>
      <c r="L53" s="62" t="s">
        <v>289</v>
      </c>
      <c r="M53" s="52"/>
      <c r="N53" s="52"/>
      <c r="O53" s="52"/>
      <c r="P53" s="54" t="s">
        <v>290</v>
      </c>
      <c r="Q53" s="55">
        <f>VLOOKUP(E53,'NI-San_SP'!$C:$AN,12,FALSE)</f>
        <v>8623910</v>
      </c>
      <c r="R53" s="55">
        <f>VLOOKUP(E53,'NI-San_SP'!$C:$AN,13,FALSE)</f>
        <v>8792150</v>
      </c>
      <c r="S53" s="55"/>
      <c r="T53" s="55"/>
      <c r="U53" s="55">
        <f>VLOOKUP($E53,'NI-San_SP'!$C:$AN,MID(U$1,1,2),FALSE)</f>
        <v>0</v>
      </c>
      <c r="V53" s="55">
        <f>VLOOKUP($E53,'NI-San_SP'!$C:$AN,MID(V$1,1,2),FALSE)</f>
        <v>8623910</v>
      </c>
      <c r="W53" s="55">
        <f>VLOOKUP($E53,'NI-San_SP'!$C:$AN,MID(W$1,1,2),FALSE)</f>
        <v>0</v>
      </c>
      <c r="X53" s="55">
        <f>VLOOKUP($E53,'NI-San_SP'!$C:$AN,MID(X$1,1,2),FALSE)</f>
        <v>0</v>
      </c>
      <c r="Y53" s="55">
        <f>VLOOKUP($E53,'NI-San_SP'!$C:$AN,MID(Y$1,1,2),FALSE)</f>
        <v>0</v>
      </c>
      <c r="Z53" s="55">
        <f>VLOOKUP($E53,'NI-San_SP'!$C:$AN,MID(Z$1,1,2),FALSE)</f>
        <v>0</v>
      </c>
      <c r="AA53" s="55">
        <f>VLOOKUP($E53,'NI-San_SP'!$C:$AN,MID(AA$1,1,2),FALSE)</f>
        <v>0</v>
      </c>
      <c r="AB53" s="55">
        <f>VLOOKUP($E53,'NI-San_SP'!$C:$AN,MID(AB$1,1,2),FALSE)</f>
        <v>0</v>
      </c>
      <c r="AC53" s="55">
        <f>VLOOKUP($E53,'NI-San_SP'!$C:$AN,MID(AC$1,1,2),FALSE)</f>
        <v>0</v>
      </c>
      <c r="AD53" s="55">
        <f>VLOOKUP($E53,'NI-San_SP'!$C:$AN,MID(AD$1,1,2),FALSE)</f>
        <v>168240</v>
      </c>
      <c r="AE53" s="55">
        <f>VLOOKUP($E53,'NI-San_SP'!$C:$AN,MID(AE$1,1,2),FALSE)</f>
        <v>0</v>
      </c>
      <c r="AF53" s="55">
        <f>VLOOKUP($E53,'NI-San_SP'!$C:$AN,MID(AF$1,1,2),FALSE)</f>
        <v>0</v>
      </c>
      <c r="AG53" s="55">
        <f>VLOOKUP($E53,'NI-San_SP'!$C:$AN,MID(AG$1,1,2),FALSE)</f>
        <v>0</v>
      </c>
      <c r="AH53" s="55">
        <f>VLOOKUP($E53,'NI-San_SP'!$C:$AN,MID(AH$1,1,2),FALSE)</f>
        <v>0</v>
      </c>
      <c r="AI53" s="55">
        <f>VLOOKUP($E53,'NI-San_SP'!$C:$AN,MID(AI$1,1,2),FALSE)</f>
        <v>0</v>
      </c>
      <c r="AJ53" s="55">
        <f>VLOOKUP($E53,'NI-San_SP'!$C:$AN,MID(AJ$1,1,2),FALSE)</f>
        <v>0</v>
      </c>
      <c r="AK53" s="55">
        <f>VLOOKUP($E53,'NI-San_SP'!$C:$AN,MID(AK$1,1,2),FALSE)</f>
        <v>0</v>
      </c>
      <c r="AL53" s="55">
        <f>VLOOKUP($E53,'NI-San_SP'!$C:$AN,MID(AL$1,1,2),FALSE)</f>
        <v>0</v>
      </c>
      <c r="AM53" s="56">
        <f>VLOOKUP($E53,'NI-San_SP'!$C:$AN,MID(AM$1,1,2),FALSE)</f>
        <v>0</v>
      </c>
      <c r="AN53" s="30" t="str">
        <f t="shared" si="0"/>
        <v>10105020000000</v>
      </c>
    </row>
    <row r="54" spans="3:40" x14ac:dyDescent="0.25">
      <c r="C54" s="40"/>
      <c r="D54" s="57" t="s">
        <v>291</v>
      </c>
      <c r="E54" s="57" t="s">
        <v>292</v>
      </c>
      <c r="F54" s="58" t="s">
        <v>110</v>
      </c>
      <c r="G54" s="52"/>
      <c r="H54" s="52"/>
      <c r="I54" s="52"/>
      <c r="J54" s="52"/>
      <c r="K54" s="59" t="s">
        <v>79</v>
      </c>
      <c r="L54" s="52"/>
      <c r="M54" s="52"/>
      <c r="N54" s="52"/>
      <c r="O54" s="52"/>
      <c r="P54" s="63" t="s">
        <v>293</v>
      </c>
      <c r="Q54" s="55">
        <f>VLOOKUP(E54,'NI-San_SP'!$C:$AN,12,FALSE)</f>
        <v>0</v>
      </c>
      <c r="R54" s="55">
        <f>VLOOKUP(E54,'NI-San_SP'!$C:$AN,13,FALSE)</f>
        <v>0</v>
      </c>
      <c r="S54" s="55"/>
      <c r="T54" s="55"/>
      <c r="U54" s="55">
        <f>VLOOKUP($E54,'NI-San_SP'!$C:$AN,MID(U$1,1,2),FALSE)</f>
        <v>0</v>
      </c>
      <c r="V54" s="55">
        <f>VLOOKUP($E54,'NI-San_SP'!$C:$AN,MID(V$1,1,2),FALSE)</f>
        <v>0</v>
      </c>
      <c r="W54" s="55">
        <f>VLOOKUP($E54,'NI-San_SP'!$C:$AN,MID(W$1,1,2),FALSE)</f>
        <v>0</v>
      </c>
      <c r="X54" s="55">
        <f>VLOOKUP($E54,'NI-San_SP'!$C:$AN,MID(X$1,1,2),FALSE)</f>
        <v>0</v>
      </c>
      <c r="Y54" s="55">
        <f>VLOOKUP($E54,'NI-San_SP'!$C:$AN,MID(Y$1,1,2),FALSE)</f>
        <v>0</v>
      </c>
      <c r="Z54" s="55">
        <f>VLOOKUP($E54,'NI-San_SP'!$C:$AN,MID(Z$1,1,2),FALSE)</f>
        <v>0</v>
      </c>
      <c r="AA54" s="55">
        <f>VLOOKUP($E54,'NI-San_SP'!$C:$AN,MID(AA$1,1,2),FALSE)</f>
        <v>0</v>
      </c>
      <c r="AB54" s="55">
        <f>VLOOKUP($E54,'NI-San_SP'!$C:$AN,MID(AB$1,1,2),FALSE)</f>
        <v>0</v>
      </c>
      <c r="AC54" s="55">
        <f>VLOOKUP($E54,'NI-San_SP'!$C:$AN,MID(AC$1,1,2),FALSE)</f>
        <v>0</v>
      </c>
      <c r="AD54" s="55">
        <f>VLOOKUP($E54,'NI-San_SP'!$C:$AN,MID(AD$1,1,2),FALSE)</f>
        <v>0</v>
      </c>
      <c r="AE54" s="55">
        <f>VLOOKUP($E54,'NI-San_SP'!$C:$AN,MID(AE$1,1,2),FALSE)</f>
        <v>0</v>
      </c>
      <c r="AF54" s="55">
        <f>VLOOKUP($E54,'NI-San_SP'!$C:$AN,MID(AF$1,1,2),FALSE)</f>
        <v>0</v>
      </c>
      <c r="AG54" s="55">
        <f>VLOOKUP($E54,'NI-San_SP'!$C:$AN,MID(AG$1,1,2),FALSE)</f>
        <v>0</v>
      </c>
      <c r="AH54" s="55">
        <f>VLOOKUP($E54,'NI-San_SP'!$C:$AN,MID(AH$1,1,2),FALSE)</f>
        <v>0</v>
      </c>
      <c r="AI54" s="55">
        <f>VLOOKUP($E54,'NI-San_SP'!$C:$AN,MID(AI$1,1,2),FALSE)</f>
        <v>0</v>
      </c>
      <c r="AJ54" s="55">
        <f>VLOOKUP($E54,'NI-San_SP'!$C:$AN,MID(AJ$1,1,2),FALSE)</f>
        <v>0</v>
      </c>
      <c r="AK54" s="55">
        <f>VLOOKUP($E54,'NI-San_SP'!$C:$AN,MID(AK$1,1,2),FALSE)</f>
        <v>0</v>
      </c>
      <c r="AL54" s="55">
        <f>VLOOKUP($E54,'NI-San_SP'!$C:$AN,MID(AL$1,1,2),FALSE)</f>
        <v>0</v>
      </c>
      <c r="AM54" s="56">
        <f>VLOOKUP($E54,'NI-San_SP'!$C:$AN,MID(AM$1,1,2),FALSE)</f>
        <v>0</v>
      </c>
      <c r="AN54" s="30" t="str">
        <f t="shared" si="0"/>
        <v>10105020010010</v>
      </c>
    </row>
    <row r="55" spans="3:40" x14ac:dyDescent="0.25">
      <c r="C55" s="40"/>
      <c r="D55" s="57" t="s">
        <v>294</v>
      </c>
      <c r="E55" s="57" t="s">
        <v>295</v>
      </c>
      <c r="F55" s="58" t="s">
        <v>110</v>
      </c>
      <c r="G55" s="52"/>
      <c r="H55" s="52"/>
      <c r="I55" s="52"/>
      <c r="J55" s="52"/>
      <c r="K55" s="59" t="s">
        <v>79</v>
      </c>
      <c r="L55" s="52"/>
      <c r="M55" s="52"/>
      <c r="N55" s="52"/>
      <c r="O55" s="52"/>
      <c r="P55" s="63" t="s">
        <v>296</v>
      </c>
      <c r="Q55" s="55">
        <f>VLOOKUP(E55,'NI-San_SP'!$C:$AN,12,FALSE)</f>
        <v>0</v>
      </c>
      <c r="R55" s="55">
        <f>VLOOKUP(E55,'NI-San_SP'!$C:$AN,13,FALSE)</f>
        <v>0</v>
      </c>
      <c r="S55" s="55"/>
      <c r="T55" s="55"/>
      <c r="U55" s="55">
        <f>VLOOKUP($E55,'NI-San_SP'!$C:$AN,MID(U$1,1,2),FALSE)</f>
        <v>0</v>
      </c>
      <c r="V55" s="55">
        <f>VLOOKUP($E55,'NI-San_SP'!$C:$AN,MID(V$1,1,2),FALSE)</f>
        <v>0</v>
      </c>
      <c r="W55" s="55">
        <f>VLOOKUP($E55,'NI-San_SP'!$C:$AN,MID(W$1,1,2),FALSE)</f>
        <v>0</v>
      </c>
      <c r="X55" s="55">
        <f>VLOOKUP($E55,'NI-San_SP'!$C:$AN,MID(X$1,1,2),FALSE)</f>
        <v>0</v>
      </c>
      <c r="Y55" s="55">
        <f>VLOOKUP($E55,'NI-San_SP'!$C:$AN,MID(Y$1,1,2),FALSE)</f>
        <v>0</v>
      </c>
      <c r="Z55" s="55">
        <f>VLOOKUP($E55,'NI-San_SP'!$C:$AN,MID(Z$1,1,2),FALSE)</f>
        <v>0</v>
      </c>
      <c r="AA55" s="55">
        <f>VLOOKUP($E55,'NI-San_SP'!$C:$AN,MID(AA$1,1,2),FALSE)</f>
        <v>0</v>
      </c>
      <c r="AB55" s="55">
        <f>VLOOKUP($E55,'NI-San_SP'!$C:$AN,MID(AB$1,1,2),FALSE)</f>
        <v>0</v>
      </c>
      <c r="AC55" s="55">
        <f>VLOOKUP($E55,'NI-San_SP'!$C:$AN,MID(AC$1,1,2),FALSE)</f>
        <v>0</v>
      </c>
      <c r="AD55" s="55">
        <f>VLOOKUP($E55,'NI-San_SP'!$C:$AN,MID(AD$1,1,2),FALSE)</f>
        <v>0</v>
      </c>
      <c r="AE55" s="55">
        <f>VLOOKUP($E55,'NI-San_SP'!$C:$AN,MID(AE$1,1,2),FALSE)</f>
        <v>0</v>
      </c>
      <c r="AF55" s="55">
        <f>VLOOKUP($E55,'NI-San_SP'!$C:$AN,MID(AF$1,1,2),FALSE)</f>
        <v>0</v>
      </c>
      <c r="AG55" s="55">
        <f>VLOOKUP($E55,'NI-San_SP'!$C:$AN,MID(AG$1,1,2),FALSE)</f>
        <v>0</v>
      </c>
      <c r="AH55" s="55">
        <f>VLOOKUP($E55,'NI-San_SP'!$C:$AN,MID(AH$1,1,2),FALSE)</f>
        <v>0</v>
      </c>
      <c r="AI55" s="55">
        <f>VLOOKUP($E55,'NI-San_SP'!$C:$AN,MID(AI$1,1,2),FALSE)</f>
        <v>0</v>
      </c>
      <c r="AJ55" s="55">
        <f>VLOOKUP($E55,'NI-San_SP'!$C:$AN,MID(AJ$1,1,2),FALSE)</f>
        <v>0</v>
      </c>
      <c r="AK55" s="55">
        <f>VLOOKUP($E55,'NI-San_SP'!$C:$AN,MID(AK$1,1,2),FALSE)</f>
        <v>0</v>
      </c>
      <c r="AL55" s="55">
        <f>VLOOKUP($E55,'NI-San_SP'!$C:$AN,MID(AL$1,1,2),FALSE)</f>
        <v>0</v>
      </c>
      <c r="AM55" s="56">
        <f>VLOOKUP($E55,'NI-San_SP'!$C:$AN,MID(AM$1,1,2),FALSE)</f>
        <v>0</v>
      </c>
      <c r="AN55" s="30" t="str">
        <f t="shared" si="0"/>
        <v>10105020010020</v>
      </c>
    </row>
    <row r="56" spans="3:40" x14ac:dyDescent="0.25">
      <c r="C56" s="40"/>
      <c r="D56" s="57" t="s">
        <v>297</v>
      </c>
      <c r="E56" s="57" t="s">
        <v>298</v>
      </c>
      <c r="F56" s="58" t="s">
        <v>110</v>
      </c>
      <c r="G56" s="52"/>
      <c r="H56" s="52"/>
      <c r="I56" s="52"/>
      <c r="J56" s="52"/>
      <c r="K56" s="59" t="s">
        <v>79</v>
      </c>
      <c r="L56" s="52"/>
      <c r="M56" s="52"/>
      <c r="N56" s="52"/>
      <c r="O56" s="52"/>
      <c r="P56" s="63" t="s">
        <v>299</v>
      </c>
      <c r="Q56" s="55">
        <f>VLOOKUP(E56,'NI-San_SP'!$C:$AN,12,FALSE)</f>
        <v>6376663</v>
      </c>
      <c r="R56" s="55">
        <f>VLOOKUP(E56,'NI-San_SP'!$C:$AN,13,FALSE)</f>
        <v>6535935</v>
      </c>
      <c r="S56" s="55"/>
      <c r="T56" s="55"/>
      <c r="U56" s="55">
        <f>VLOOKUP($E56,'NI-San_SP'!$C:$AN,MID(U$1,1,2),FALSE)</f>
        <v>0</v>
      </c>
      <c r="V56" s="55">
        <f>VLOOKUP($E56,'NI-San_SP'!$C:$AN,MID(V$1,1,2),FALSE)</f>
        <v>6376663</v>
      </c>
      <c r="W56" s="55">
        <f>VLOOKUP($E56,'NI-San_SP'!$C:$AN,MID(W$1,1,2),FALSE)</f>
        <v>0</v>
      </c>
      <c r="X56" s="55">
        <f>VLOOKUP($E56,'NI-San_SP'!$C:$AN,MID(X$1,1,2),FALSE)</f>
        <v>0</v>
      </c>
      <c r="Y56" s="55">
        <f>VLOOKUP($E56,'NI-San_SP'!$C:$AN,MID(Y$1,1,2),FALSE)</f>
        <v>0</v>
      </c>
      <c r="Z56" s="55">
        <f>VLOOKUP($E56,'NI-San_SP'!$C:$AN,MID(Z$1,1,2),FALSE)</f>
        <v>0</v>
      </c>
      <c r="AA56" s="55">
        <f>VLOOKUP($E56,'NI-San_SP'!$C:$AN,MID(AA$1,1,2),FALSE)</f>
        <v>0</v>
      </c>
      <c r="AB56" s="55">
        <f>VLOOKUP($E56,'NI-San_SP'!$C:$AN,MID(AB$1,1,2),FALSE)</f>
        <v>0</v>
      </c>
      <c r="AC56" s="55">
        <f>VLOOKUP($E56,'NI-San_SP'!$C:$AN,MID(AC$1,1,2),FALSE)</f>
        <v>0</v>
      </c>
      <c r="AD56" s="55">
        <f>VLOOKUP($E56,'NI-San_SP'!$C:$AN,MID(AD$1,1,2),FALSE)</f>
        <v>159272</v>
      </c>
      <c r="AE56" s="55">
        <f>VLOOKUP($E56,'NI-San_SP'!$C:$AN,MID(AE$1,1,2),FALSE)</f>
        <v>0</v>
      </c>
      <c r="AF56" s="55">
        <f>VLOOKUP($E56,'NI-San_SP'!$C:$AN,MID(AF$1,1,2),FALSE)</f>
        <v>0</v>
      </c>
      <c r="AG56" s="55">
        <f>VLOOKUP($E56,'NI-San_SP'!$C:$AN,MID(AG$1,1,2),FALSE)</f>
        <v>0</v>
      </c>
      <c r="AH56" s="55">
        <f>VLOOKUP($E56,'NI-San_SP'!$C:$AN,MID(AH$1,1,2),FALSE)</f>
        <v>0</v>
      </c>
      <c r="AI56" s="55">
        <f>VLOOKUP($E56,'NI-San_SP'!$C:$AN,MID(AI$1,1,2),FALSE)</f>
        <v>0</v>
      </c>
      <c r="AJ56" s="55">
        <f>VLOOKUP($E56,'NI-San_SP'!$C:$AN,MID(AJ$1,1,2),FALSE)</f>
        <v>0</v>
      </c>
      <c r="AK56" s="55">
        <f>VLOOKUP($E56,'NI-San_SP'!$C:$AN,MID(AK$1,1,2),FALSE)</f>
        <v>0</v>
      </c>
      <c r="AL56" s="55">
        <f>VLOOKUP($E56,'NI-San_SP'!$C:$AN,MID(AL$1,1,2),FALSE)</f>
        <v>0</v>
      </c>
      <c r="AM56" s="56">
        <f>VLOOKUP($E56,'NI-San_SP'!$C:$AN,MID(AM$1,1,2),FALSE)</f>
        <v>0</v>
      </c>
      <c r="AN56" s="30" t="str">
        <f t="shared" si="0"/>
        <v>10105020020010</v>
      </c>
    </row>
    <row r="57" spans="3:40" x14ac:dyDescent="0.25">
      <c r="C57" s="40"/>
      <c r="D57" s="57" t="s">
        <v>300</v>
      </c>
      <c r="E57" s="57" t="s">
        <v>301</v>
      </c>
      <c r="F57" s="58" t="s">
        <v>110</v>
      </c>
      <c r="G57" s="52"/>
      <c r="H57" s="52"/>
      <c r="I57" s="52"/>
      <c r="J57" s="52"/>
      <c r="K57" s="59" t="s">
        <v>79</v>
      </c>
      <c r="L57" s="52"/>
      <c r="M57" s="52"/>
      <c r="N57" s="52"/>
      <c r="O57" s="52"/>
      <c r="P57" s="63" t="s">
        <v>302</v>
      </c>
      <c r="Q57" s="55">
        <f>VLOOKUP(E57,'NI-San_SP'!$C:$AN,12,FALSE)</f>
        <v>2247247</v>
      </c>
      <c r="R57" s="55">
        <f>VLOOKUP(E57,'NI-San_SP'!$C:$AN,13,FALSE)</f>
        <v>2256215</v>
      </c>
      <c r="S57" s="55"/>
      <c r="T57" s="55"/>
      <c r="U57" s="55">
        <f>VLOOKUP($E57,'NI-San_SP'!$C:$AN,MID(U$1,1,2),FALSE)</f>
        <v>0</v>
      </c>
      <c r="V57" s="55">
        <f>VLOOKUP($E57,'NI-San_SP'!$C:$AN,MID(V$1,1,2),FALSE)</f>
        <v>2247247</v>
      </c>
      <c r="W57" s="55">
        <f>VLOOKUP($E57,'NI-San_SP'!$C:$AN,MID(W$1,1,2),FALSE)</f>
        <v>0</v>
      </c>
      <c r="X57" s="55">
        <f>VLOOKUP($E57,'NI-San_SP'!$C:$AN,MID(X$1,1,2),FALSE)</f>
        <v>0</v>
      </c>
      <c r="Y57" s="55">
        <f>VLOOKUP($E57,'NI-San_SP'!$C:$AN,MID(Y$1,1,2),FALSE)</f>
        <v>0</v>
      </c>
      <c r="Z57" s="55">
        <f>VLOOKUP($E57,'NI-San_SP'!$C:$AN,MID(Z$1,1,2),FALSE)</f>
        <v>0</v>
      </c>
      <c r="AA57" s="55">
        <f>VLOOKUP($E57,'NI-San_SP'!$C:$AN,MID(AA$1,1,2),FALSE)</f>
        <v>0</v>
      </c>
      <c r="AB57" s="55">
        <f>VLOOKUP($E57,'NI-San_SP'!$C:$AN,MID(AB$1,1,2),FALSE)</f>
        <v>0</v>
      </c>
      <c r="AC57" s="55">
        <f>VLOOKUP($E57,'NI-San_SP'!$C:$AN,MID(AC$1,1,2),FALSE)</f>
        <v>0</v>
      </c>
      <c r="AD57" s="55">
        <f>VLOOKUP($E57,'NI-San_SP'!$C:$AN,MID(AD$1,1,2),FALSE)</f>
        <v>8968</v>
      </c>
      <c r="AE57" s="55">
        <f>VLOOKUP($E57,'NI-San_SP'!$C:$AN,MID(AE$1,1,2),FALSE)</f>
        <v>0</v>
      </c>
      <c r="AF57" s="55">
        <f>VLOOKUP($E57,'NI-San_SP'!$C:$AN,MID(AF$1,1,2),FALSE)</f>
        <v>0</v>
      </c>
      <c r="AG57" s="55">
        <f>VLOOKUP($E57,'NI-San_SP'!$C:$AN,MID(AG$1,1,2),FALSE)</f>
        <v>0</v>
      </c>
      <c r="AH57" s="55">
        <f>VLOOKUP($E57,'NI-San_SP'!$C:$AN,MID(AH$1,1,2),FALSE)</f>
        <v>0</v>
      </c>
      <c r="AI57" s="55">
        <f>VLOOKUP($E57,'NI-San_SP'!$C:$AN,MID(AI$1,1,2),FALSE)</f>
        <v>0</v>
      </c>
      <c r="AJ57" s="55">
        <f>VLOOKUP($E57,'NI-San_SP'!$C:$AN,MID(AJ$1,1,2),FALSE)</f>
        <v>0</v>
      </c>
      <c r="AK57" s="55">
        <f>VLOOKUP($E57,'NI-San_SP'!$C:$AN,MID(AK$1,1,2),FALSE)</f>
        <v>0</v>
      </c>
      <c r="AL57" s="55">
        <f>VLOOKUP($E57,'NI-San_SP'!$C:$AN,MID(AL$1,1,2),FALSE)</f>
        <v>0</v>
      </c>
      <c r="AM57" s="56">
        <f>VLOOKUP($E57,'NI-San_SP'!$C:$AN,MID(AM$1,1,2),FALSE)</f>
        <v>0</v>
      </c>
      <c r="AN57" s="30" t="str">
        <f t="shared" si="0"/>
        <v>10105020020020</v>
      </c>
    </row>
    <row r="58" spans="3:40" x14ac:dyDescent="0.25">
      <c r="C58" s="40"/>
      <c r="D58" s="57" t="s">
        <v>303</v>
      </c>
      <c r="E58" s="57" t="s">
        <v>304</v>
      </c>
      <c r="F58" s="58" t="s">
        <v>110</v>
      </c>
      <c r="G58" s="52"/>
      <c r="H58" s="52"/>
      <c r="I58" s="52"/>
      <c r="J58" s="52"/>
      <c r="K58" s="59" t="s">
        <v>79</v>
      </c>
      <c r="L58" s="52"/>
      <c r="M58" s="52"/>
      <c r="N58" s="52"/>
      <c r="O58" s="52"/>
      <c r="P58" s="63" t="s">
        <v>305</v>
      </c>
      <c r="Q58" s="55">
        <f>VLOOKUP(E58,'NI-San_SP'!$C:$AN,12,FALSE)</f>
        <v>0</v>
      </c>
      <c r="R58" s="55">
        <f>VLOOKUP(E58,'NI-San_SP'!$C:$AN,13,FALSE)</f>
        <v>0</v>
      </c>
      <c r="S58" s="55"/>
      <c r="T58" s="55"/>
      <c r="U58" s="55">
        <f>VLOOKUP($E58,'NI-San_SP'!$C:$AN,MID(U$1,1,2),FALSE)</f>
        <v>0</v>
      </c>
      <c r="V58" s="55">
        <f>VLOOKUP($E58,'NI-San_SP'!$C:$AN,MID(V$1,1,2),FALSE)</f>
        <v>0</v>
      </c>
      <c r="W58" s="55">
        <f>VLOOKUP($E58,'NI-San_SP'!$C:$AN,MID(W$1,1,2),FALSE)</f>
        <v>0</v>
      </c>
      <c r="X58" s="55">
        <f>VLOOKUP($E58,'NI-San_SP'!$C:$AN,MID(X$1,1,2),FALSE)</f>
        <v>0</v>
      </c>
      <c r="Y58" s="55">
        <f>VLOOKUP($E58,'NI-San_SP'!$C:$AN,MID(Y$1,1,2),FALSE)</f>
        <v>0</v>
      </c>
      <c r="Z58" s="55">
        <f>VLOOKUP($E58,'NI-San_SP'!$C:$AN,MID(Z$1,1,2),FALSE)</f>
        <v>0</v>
      </c>
      <c r="AA58" s="55">
        <f>VLOOKUP($E58,'NI-San_SP'!$C:$AN,MID(AA$1,1,2),FALSE)</f>
        <v>0</v>
      </c>
      <c r="AB58" s="55">
        <f>VLOOKUP($E58,'NI-San_SP'!$C:$AN,MID(AB$1,1,2),FALSE)</f>
        <v>0</v>
      </c>
      <c r="AC58" s="55">
        <f>VLOOKUP($E58,'NI-San_SP'!$C:$AN,MID(AC$1,1,2),FALSE)</f>
        <v>0</v>
      </c>
      <c r="AD58" s="55">
        <f>VLOOKUP($E58,'NI-San_SP'!$C:$AN,MID(AD$1,1,2),FALSE)</f>
        <v>0</v>
      </c>
      <c r="AE58" s="55">
        <f>VLOOKUP($E58,'NI-San_SP'!$C:$AN,MID(AE$1,1,2),FALSE)</f>
        <v>0</v>
      </c>
      <c r="AF58" s="55">
        <f>VLOOKUP($E58,'NI-San_SP'!$C:$AN,MID(AF$1,1,2),FALSE)</f>
        <v>0</v>
      </c>
      <c r="AG58" s="55">
        <f>VLOOKUP($E58,'NI-San_SP'!$C:$AN,MID(AG$1,1,2),FALSE)</f>
        <v>0</v>
      </c>
      <c r="AH58" s="55">
        <f>VLOOKUP($E58,'NI-San_SP'!$C:$AN,MID(AH$1,1,2),FALSE)</f>
        <v>0</v>
      </c>
      <c r="AI58" s="55">
        <f>VLOOKUP($E58,'NI-San_SP'!$C:$AN,MID(AI$1,1,2),FALSE)</f>
        <v>0</v>
      </c>
      <c r="AJ58" s="55">
        <f>VLOOKUP($E58,'NI-San_SP'!$C:$AN,MID(AJ$1,1,2),FALSE)</f>
        <v>0</v>
      </c>
      <c r="AK58" s="55">
        <f>VLOOKUP($E58,'NI-San_SP'!$C:$AN,MID(AK$1,1,2),FALSE)</f>
        <v>0</v>
      </c>
      <c r="AL58" s="55">
        <f>VLOOKUP($E58,'NI-San_SP'!$C:$AN,MID(AL$1,1,2),FALSE)</f>
        <v>0</v>
      </c>
      <c r="AM58" s="56">
        <f>VLOOKUP($E58,'NI-San_SP'!$C:$AN,MID(AM$1,1,2),FALSE)</f>
        <v>0</v>
      </c>
      <c r="AN58" s="30" t="str">
        <f t="shared" si="0"/>
        <v>10105020030010</v>
      </c>
    </row>
    <row r="59" spans="3:40" x14ac:dyDescent="0.25">
      <c r="C59" s="40"/>
      <c r="D59" s="57" t="s">
        <v>306</v>
      </c>
      <c r="E59" s="57" t="s">
        <v>307</v>
      </c>
      <c r="F59" s="58" t="s">
        <v>110</v>
      </c>
      <c r="G59" s="52"/>
      <c r="H59" s="52"/>
      <c r="I59" s="52"/>
      <c r="J59" s="52"/>
      <c r="K59" s="59" t="s">
        <v>79</v>
      </c>
      <c r="L59" s="52"/>
      <c r="M59" s="52"/>
      <c r="N59" s="52"/>
      <c r="O59" s="52"/>
      <c r="P59" s="63" t="s">
        <v>308</v>
      </c>
      <c r="Q59" s="55">
        <f>VLOOKUP(E59,'NI-San_SP'!$C:$AN,12,FALSE)</f>
        <v>0</v>
      </c>
      <c r="R59" s="55">
        <f>VLOOKUP(E59,'NI-San_SP'!$C:$AN,13,FALSE)</f>
        <v>0</v>
      </c>
      <c r="S59" s="55"/>
      <c r="T59" s="55"/>
      <c r="U59" s="55">
        <f>VLOOKUP($E59,'NI-San_SP'!$C:$AN,MID(U$1,1,2),FALSE)</f>
        <v>0</v>
      </c>
      <c r="V59" s="55">
        <f>VLOOKUP($E59,'NI-San_SP'!$C:$AN,MID(V$1,1,2),FALSE)</f>
        <v>0</v>
      </c>
      <c r="W59" s="55">
        <f>VLOOKUP($E59,'NI-San_SP'!$C:$AN,MID(W$1,1,2),FALSE)</f>
        <v>0</v>
      </c>
      <c r="X59" s="55">
        <f>VLOOKUP($E59,'NI-San_SP'!$C:$AN,MID(X$1,1,2),FALSE)</f>
        <v>0</v>
      </c>
      <c r="Y59" s="55">
        <f>VLOOKUP($E59,'NI-San_SP'!$C:$AN,MID(Y$1,1,2),FALSE)</f>
        <v>0</v>
      </c>
      <c r="Z59" s="55">
        <f>VLOOKUP($E59,'NI-San_SP'!$C:$AN,MID(Z$1,1,2),FALSE)</f>
        <v>0</v>
      </c>
      <c r="AA59" s="55">
        <f>VLOOKUP($E59,'NI-San_SP'!$C:$AN,MID(AA$1,1,2),FALSE)</f>
        <v>0</v>
      </c>
      <c r="AB59" s="55">
        <f>VLOOKUP($E59,'NI-San_SP'!$C:$AN,MID(AB$1,1,2),FALSE)</f>
        <v>0</v>
      </c>
      <c r="AC59" s="55">
        <f>VLOOKUP($E59,'NI-San_SP'!$C:$AN,MID(AC$1,1,2),FALSE)</f>
        <v>0</v>
      </c>
      <c r="AD59" s="55">
        <f>VLOOKUP($E59,'NI-San_SP'!$C:$AN,MID(AD$1,1,2),FALSE)</f>
        <v>0</v>
      </c>
      <c r="AE59" s="55">
        <f>VLOOKUP($E59,'NI-San_SP'!$C:$AN,MID(AE$1,1,2),FALSE)</f>
        <v>0</v>
      </c>
      <c r="AF59" s="55">
        <f>VLOOKUP($E59,'NI-San_SP'!$C:$AN,MID(AF$1,1,2),FALSE)</f>
        <v>0</v>
      </c>
      <c r="AG59" s="55">
        <f>VLOOKUP($E59,'NI-San_SP'!$C:$AN,MID(AG$1,1,2),FALSE)</f>
        <v>0</v>
      </c>
      <c r="AH59" s="55">
        <f>VLOOKUP($E59,'NI-San_SP'!$C:$AN,MID(AH$1,1,2),FALSE)</f>
        <v>0</v>
      </c>
      <c r="AI59" s="55">
        <f>VLOOKUP($E59,'NI-San_SP'!$C:$AN,MID(AI$1,1,2),FALSE)</f>
        <v>0</v>
      </c>
      <c r="AJ59" s="55">
        <f>VLOOKUP($E59,'NI-San_SP'!$C:$AN,MID(AJ$1,1,2),FALSE)</f>
        <v>0</v>
      </c>
      <c r="AK59" s="55">
        <f>VLOOKUP($E59,'NI-San_SP'!$C:$AN,MID(AK$1,1,2),FALSE)</f>
        <v>0</v>
      </c>
      <c r="AL59" s="55">
        <f>VLOOKUP($E59,'NI-San_SP'!$C:$AN,MID(AL$1,1,2),FALSE)</f>
        <v>0</v>
      </c>
      <c r="AM59" s="56">
        <f>VLOOKUP($E59,'NI-San_SP'!$C:$AN,MID(AM$1,1,2),FALSE)</f>
        <v>0</v>
      </c>
      <c r="AN59" s="30" t="str">
        <f t="shared" si="0"/>
        <v>10105020030020</v>
      </c>
    </row>
    <row r="60" spans="3:40" x14ac:dyDescent="0.25">
      <c r="C60" s="40"/>
      <c r="D60" s="57" t="s">
        <v>309</v>
      </c>
      <c r="E60" s="57" t="s">
        <v>310</v>
      </c>
      <c r="F60" s="58" t="s">
        <v>110</v>
      </c>
      <c r="G60" s="52"/>
      <c r="H60" s="52"/>
      <c r="I60" s="52" t="s">
        <v>311</v>
      </c>
      <c r="J60" s="52" t="s">
        <v>311</v>
      </c>
      <c r="K60" s="59" t="s">
        <v>111</v>
      </c>
      <c r="L60" s="62" t="s">
        <v>260</v>
      </c>
      <c r="M60" s="52"/>
      <c r="N60" s="52"/>
      <c r="O60" s="52"/>
      <c r="P60" s="54" t="s">
        <v>312</v>
      </c>
      <c r="Q60" s="55">
        <f>VLOOKUP(E60,'NI-San_SP'!$C:$AN,12,FALSE)</f>
        <v>0</v>
      </c>
      <c r="R60" s="55">
        <f>VLOOKUP(E60,'NI-San_SP'!$C:$AN,13,FALSE)</f>
        <v>0</v>
      </c>
      <c r="S60" s="55"/>
      <c r="T60" s="55"/>
      <c r="U60" s="55">
        <f>VLOOKUP($E60,'NI-San_SP'!$C:$AN,MID(U$1,1,2),FALSE)</f>
        <v>0</v>
      </c>
      <c r="V60" s="55">
        <f>VLOOKUP($E60,'NI-San_SP'!$C:$AN,MID(V$1,1,2),FALSE)</f>
        <v>0</v>
      </c>
      <c r="W60" s="55">
        <f>VLOOKUP($E60,'NI-San_SP'!$C:$AN,MID(W$1,1,2),FALSE)</f>
        <v>0</v>
      </c>
      <c r="X60" s="55">
        <f>VLOOKUP($E60,'NI-San_SP'!$C:$AN,MID(X$1,1,2),FALSE)</f>
        <v>0</v>
      </c>
      <c r="Y60" s="55">
        <f>VLOOKUP($E60,'NI-San_SP'!$C:$AN,MID(Y$1,1,2),FALSE)</f>
        <v>0</v>
      </c>
      <c r="Z60" s="55">
        <f>VLOOKUP($E60,'NI-San_SP'!$C:$AN,MID(Z$1,1,2),FALSE)</f>
        <v>0</v>
      </c>
      <c r="AA60" s="55">
        <f>VLOOKUP($E60,'NI-San_SP'!$C:$AN,MID(AA$1,1,2),FALSE)</f>
        <v>0</v>
      </c>
      <c r="AB60" s="55">
        <f>VLOOKUP($E60,'NI-San_SP'!$C:$AN,MID(AB$1,1,2),FALSE)</f>
        <v>0</v>
      </c>
      <c r="AC60" s="55">
        <f>VLOOKUP($E60,'NI-San_SP'!$C:$AN,MID(AC$1,1,2),FALSE)</f>
        <v>0</v>
      </c>
      <c r="AD60" s="55">
        <f>VLOOKUP($E60,'NI-San_SP'!$C:$AN,MID(AD$1,1,2),FALSE)</f>
        <v>0</v>
      </c>
      <c r="AE60" s="55">
        <f>VLOOKUP($E60,'NI-San_SP'!$C:$AN,MID(AE$1,1,2),FALSE)</f>
        <v>0</v>
      </c>
      <c r="AF60" s="55">
        <f>VLOOKUP($E60,'NI-San_SP'!$C:$AN,MID(AF$1,1,2),FALSE)</f>
        <v>0</v>
      </c>
      <c r="AG60" s="55">
        <f>VLOOKUP($E60,'NI-San_SP'!$C:$AN,MID(AG$1,1,2),FALSE)</f>
        <v>0</v>
      </c>
      <c r="AH60" s="55">
        <f>VLOOKUP($E60,'NI-San_SP'!$C:$AN,MID(AH$1,1,2),FALSE)</f>
        <v>0</v>
      </c>
      <c r="AI60" s="55">
        <f>VLOOKUP($E60,'NI-San_SP'!$C:$AN,MID(AI$1,1,2),FALSE)</f>
        <v>0</v>
      </c>
      <c r="AJ60" s="55">
        <f>VLOOKUP($E60,'NI-San_SP'!$C:$AN,MID(AJ$1,1,2),FALSE)</f>
        <v>0</v>
      </c>
      <c r="AK60" s="55">
        <f>VLOOKUP($E60,'NI-San_SP'!$C:$AN,MID(AK$1,1,2),FALSE)</f>
        <v>0</v>
      </c>
      <c r="AL60" s="55">
        <f>VLOOKUP($E60,'NI-San_SP'!$C:$AN,MID(AL$1,1,2),FALSE)</f>
        <v>0</v>
      </c>
      <c r="AM60" s="56">
        <f>VLOOKUP($E60,'NI-San_SP'!$C:$AN,MID(AM$1,1,2),FALSE)</f>
        <v>0</v>
      </c>
      <c r="AN60" s="30" t="str">
        <f t="shared" si="0"/>
        <v>10105030000000</v>
      </c>
    </row>
    <row r="61" spans="3:40" x14ac:dyDescent="0.25">
      <c r="C61" s="40"/>
      <c r="D61" s="57" t="s">
        <v>313</v>
      </c>
      <c r="E61" s="57" t="s">
        <v>314</v>
      </c>
      <c r="F61" s="58" t="s">
        <v>110</v>
      </c>
      <c r="G61" s="52"/>
      <c r="H61" s="52"/>
      <c r="I61" s="52"/>
      <c r="J61" s="52"/>
      <c r="K61" s="59" t="s">
        <v>79</v>
      </c>
      <c r="L61" s="52"/>
      <c r="M61" s="52"/>
      <c r="N61" s="52"/>
      <c r="O61" s="52"/>
      <c r="P61" s="63" t="s">
        <v>315</v>
      </c>
      <c r="Q61" s="55">
        <f>VLOOKUP(E61,'NI-San_SP'!$C:$AN,12,FALSE)</f>
        <v>0</v>
      </c>
      <c r="R61" s="55">
        <f>VLOOKUP(E61,'NI-San_SP'!$C:$AN,13,FALSE)</f>
        <v>0</v>
      </c>
      <c r="S61" s="55"/>
      <c r="T61" s="55"/>
      <c r="U61" s="55">
        <f>VLOOKUP($E61,'NI-San_SP'!$C:$AN,MID(U$1,1,2),FALSE)</f>
        <v>0</v>
      </c>
      <c r="V61" s="55">
        <f>VLOOKUP($E61,'NI-San_SP'!$C:$AN,MID(V$1,1,2),FALSE)</f>
        <v>0</v>
      </c>
      <c r="W61" s="55">
        <f>VLOOKUP($E61,'NI-San_SP'!$C:$AN,MID(W$1,1,2),FALSE)</f>
        <v>0</v>
      </c>
      <c r="X61" s="55">
        <f>VLOOKUP($E61,'NI-San_SP'!$C:$AN,MID(X$1,1,2),FALSE)</f>
        <v>0</v>
      </c>
      <c r="Y61" s="55">
        <f>VLOOKUP($E61,'NI-San_SP'!$C:$AN,MID(Y$1,1,2),FALSE)</f>
        <v>0</v>
      </c>
      <c r="Z61" s="55">
        <f>VLOOKUP($E61,'NI-San_SP'!$C:$AN,MID(Z$1,1,2),FALSE)</f>
        <v>0</v>
      </c>
      <c r="AA61" s="55">
        <f>VLOOKUP($E61,'NI-San_SP'!$C:$AN,MID(AA$1,1,2),FALSE)</f>
        <v>0</v>
      </c>
      <c r="AB61" s="55">
        <f>VLOOKUP($E61,'NI-San_SP'!$C:$AN,MID(AB$1,1,2),FALSE)</f>
        <v>0</v>
      </c>
      <c r="AC61" s="55">
        <f>VLOOKUP($E61,'NI-San_SP'!$C:$AN,MID(AC$1,1,2),FALSE)</f>
        <v>0</v>
      </c>
      <c r="AD61" s="55">
        <f>VLOOKUP($E61,'NI-San_SP'!$C:$AN,MID(AD$1,1,2),FALSE)</f>
        <v>0</v>
      </c>
      <c r="AE61" s="55">
        <f>VLOOKUP($E61,'NI-San_SP'!$C:$AN,MID(AE$1,1,2),FALSE)</f>
        <v>0</v>
      </c>
      <c r="AF61" s="55">
        <f>VLOOKUP($E61,'NI-San_SP'!$C:$AN,MID(AF$1,1,2),FALSE)</f>
        <v>0</v>
      </c>
      <c r="AG61" s="55">
        <f>VLOOKUP($E61,'NI-San_SP'!$C:$AN,MID(AG$1,1,2),FALSE)</f>
        <v>0</v>
      </c>
      <c r="AH61" s="55">
        <f>VLOOKUP($E61,'NI-San_SP'!$C:$AN,MID(AH$1,1,2),FALSE)</f>
        <v>0</v>
      </c>
      <c r="AI61" s="55">
        <f>VLOOKUP($E61,'NI-San_SP'!$C:$AN,MID(AI$1,1,2),FALSE)</f>
        <v>0</v>
      </c>
      <c r="AJ61" s="55">
        <f>VLOOKUP($E61,'NI-San_SP'!$C:$AN,MID(AJ$1,1,2),FALSE)</f>
        <v>0</v>
      </c>
      <c r="AK61" s="55">
        <f>VLOOKUP($E61,'NI-San_SP'!$C:$AN,MID(AK$1,1,2),FALSE)</f>
        <v>0</v>
      </c>
      <c r="AL61" s="55">
        <f>VLOOKUP($E61,'NI-San_SP'!$C:$AN,MID(AL$1,1,2),FALSE)</f>
        <v>0</v>
      </c>
      <c r="AM61" s="56">
        <f>VLOOKUP($E61,'NI-San_SP'!$C:$AN,MID(AM$1,1,2),FALSE)</f>
        <v>0</v>
      </c>
      <c r="AN61" s="30" t="str">
        <f t="shared" si="0"/>
        <v>10105030010000</v>
      </c>
    </row>
    <row r="62" spans="3:40" x14ac:dyDescent="0.25">
      <c r="C62" s="40"/>
      <c r="D62" s="57" t="s">
        <v>316</v>
      </c>
      <c r="E62" s="57" t="s">
        <v>317</v>
      </c>
      <c r="F62" s="58" t="s">
        <v>110</v>
      </c>
      <c r="G62" s="52"/>
      <c r="H62" s="52"/>
      <c r="I62" s="52"/>
      <c r="J62" s="52"/>
      <c r="K62" s="59" t="s">
        <v>79</v>
      </c>
      <c r="L62" s="52"/>
      <c r="M62" s="52"/>
      <c r="N62" s="52"/>
      <c r="O62" s="52"/>
      <c r="P62" s="63" t="s">
        <v>318</v>
      </c>
      <c r="Q62" s="55">
        <f>VLOOKUP(E62,'NI-San_SP'!$C:$AN,12,FALSE)</f>
        <v>0</v>
      </c>
      <c r="R62" s="55">
        <f>VLOOKUP(E62,'NI-San_SP'!$C:$AN,13,FALSE)</f>
        <v>0</v>
      </c>
      <c r="S62" s="55"/>
      <c r="T62" s="55"/>
      <c r="U62" s="55">
        <f>VLOOKUP($E62,'NI-San_SP'!$C:$AN,MID(U$1,1,2),FALSE)</f>
        <v>0</v>
      </c>
      <c r="V62" s="55">
        <f>VLOOKUP($E62,'NI-San_SP'!$C:$AN,MID(V$1,1,2),FALSE)</f>
        <v>0</v>
      </c>
      <c r="W62" s="55">
        <f>VLOOKUP($E62,'NI-San_SP'!$C:$AN,MID(W$1,1,2),FALSE)</f>
        <v>0</v>
      </c>
      <c r="X62" s="55">
        <f>VLOOKUP($E62,'NI-San_SP'!$C:$AN,MID(X$1,1,2),FALSE)</f>
        <v>0</v>
      </c>
      <c r="Y62" s="55">
        <f>VLOOKUP($E62,'NI-San_SP'!$C:$AN,MID(Y$1,1,2),FALSE)</f>
        <v>0</v>
      </c>
      <c r="Z62" s="55">
        <f>VLOOKUP($E62,'NI-San_SP'!$C:$AN,MID(Z$1,1,2),FALSE)</f>
        <v>0</v>
      </c>
      <c r="AA62" s="55">
        <f>VLOOKUP($E62,'NI-San_SP'!$C:$AN,MID(AA$1,1,2),FALSE)</f>
        <v>0</v>
      </c>
      <c r="AB62" s="55">
        <f>VLOOKUP($E62,'NI-San_SP'!$C:$AN,MID(AB$1,1,2),FALSE)</f>
        <v>0</v>
      </c>
      <c r="AC62" s="55">
        <f>VLOOKUP($E62,'NI-San_SP'!$C:$AN,MID(AC$1,1,2),FALSE)</f>
        <v>0</v>
      </c>
      <c r="AD62" s="55">
        <f>VLOOKUP($E62,'NI-San_SP'!$C:$AN,MID(AD$1,1,2),FALSE)</f>
        <v>0</v>
      </c>
      <c r="AE62" s="55">
        <f>VLOOKUP($E62,'NI-San_SP'!$C:$AN,MID(AE$1,1,2),FALSE)</f>
        <v>0</v>
      </c>
      <c r="AF62" s="55">
        <f>VLOOKUP($E62,'NI-San_SP'!$C:$AN,MID(AF$1,1,2),FALSE)</f>
        <v>0</v>
      </c>
      <c r="AG62" s="55">
        <f>VLOOKUP($E62,'NI-San_SP'!$C:$AN,MID(AG$1,1,2),FALSE)</f>
        <v>0</v>
      </c>
      <c r="AH62" s="55">
        <f>VLOOKUP($E62,'NI-San_SP'!$C:$AN,MID(AH$1,1,2),FALSE)</f>
        <v>0</v>
      </c>
      <c r="AI62" s="55">
        <f>VLOOKUP($E62,'NI-San_SP'!$C:$AN,MID(AI$1,1,2),FALSE)</f>
        <v>0</v>
      </c>
      <c r="AJ62" s="55">
        <f>VLOOKUP($E62,'NI-San_SP'!$C:$AN,MID(AJ$1,1,2),FALSE)</f>
        <v>0</v>
      </c>
      <c r="AK62" s="55">
        <f>VLOOKUP($E62,'NI-San_SP'!$C:$AN,MID(AK$1,1,2),FALSE)</f>
        <v>0</v>
      </c>
      <c r="AL62" s="55">
        <f>VLOOKUP($E62,'NI-San_SP'!$C:$AN,MID(AL$1,1,2),FALSE)</f>
        <v>0</v>
      </c>
      <c r="AM62" s="56">
        <f>VLOOKUP($E62,'NI-San_SP'!$C:$AN,MID(AM$1,1,2),FALSE)</f>
        <v>0</v>
      </c>
      <c r="AN62" s="30" t="str">
        <f t="shared" si="0"/>
        <v>10105030020000</v>
      </c>
    </row>
    <row r="63" spans="3:40" x14ac:dyDescent="0.25">
      <c r="C63" s="40"/>
      <c r="D63" s="57" t="s">
        <v>319</v>
      </c>
      <c r="E63" s="57" t="s">
        <v>320</v>
      </c>
      <c r="F63" s="58" t="s">
        <v>110</v>
      </c>
      <c r="G63" s="52"/>
      <c r="H63" s="52"/>
      <c r="I63" s="52" t="s">
        <v>321</v>
      </c>
      <c r="J63" s="52" t="s">
        <v>321</v>
      </c>
      <c r="K63" s="59" t="s">
        <v>111</v>
      </c>
      <c r="L63" s="62" t="s">
        <v>289</v>
      </c>
      <c r="M63" s="52"/>
      <c r="N63" s="52"/>
      <c r="O63" s="52"/>
      <c r="P63" s="54" t="s">
        <v>322</v>
      </c>
      <c r="Q63" s="55">
        <f>VLOOKUP(E63,'NI-San_SP'!$C:$AN,12,FALSE)</f>
        <v>0</v>
      </c>
      <c r="R63" s="55">
        <f>VLOOKUP(E63,'NI-San_SP'!$C:$AN,13,FALSE)</f>
        <v>0</v>
      </c>
      <c r="S63" s="55"/>
      <c r="T63" s="55"/>
      <c r="U63" s="55">
        <f>VLOOKUP($E63,'NI-San_SP'!$C:$AN,MID(U$1,1,2),FALSE)</f>
        <v>0</v>
      </c>
      <c r="V63" s="55">
        <f>VLOOKUP($E63,'NI-San_SP'!$C:$AN,MID(V$1,1,2),FALSE)</f>
        <v>0</v>
      </c>
      <c r="W63" s="55">
        <f>VLOOKUP($E63,'NI-San_SP'!$C:$AN,MID(W$1,1,2),FALSE)</f>
        <v>0</v>
      </c>
      <c r="X63" s="55">
        <f>VLOOKUP($E63,'NI-San_SP'!$C:$AN,MID(X$1,1,2),FALSE)</f>
        <v>0</v>
      </c>
      <c r="Y63" s="55">
        <f>VLOOKUP($E63,'NI-San_SP'!$C:$AN,MID(Y$1,1,2),FALSE)</f>
        <v>0</v>
      </c>
      <c r="Z63" s="55">
        <f>VLOOKUP($E63,'NI-San_SP'!$C:$AN,MID(Z$1,1,2),FALSE)</f>
        <v>0</v>
      </c>
      <c r="AA63" s="55">
        <f>VLOOKUP($E63,'NI-San_SP'!$C:$AN,MID(AA$1,1,2),FALSE)</f>
        <v>0</v>
      </c>
      <c r="AB63" s="55">
        <f>VLOOKUP($E63,'NI-San_SP'!$C:$AN,MID(AB$1,1,2),FALSE)</f>
        <v>0</v>
      </c>
      <c r="AC63" s="55">
        <f>VLOOKUP($E63,'NI-San_SP'!$C:$AN,MID(AC$1,1,2),FALSE)</f>
        <v>0</v>
      </c>
      <c r="AD63" s="55">
        <f>VLOOKUP($E63,'NI-San_SP'!$C:$AN,MID(AD$1,1,2),FALSE)</f>
        <v>0</v>
      </c>
      <c r="AE63" s="55">
        <f>VLOOKUP($E63,'NI-San_SP'!$C:$AN,MID(AE$1,1,2),FALSE)</f>
        <v>0</v>
      </c>
      <c r="AF63" s="55">
        <f>VLOOKUP($E63,'NI-San_SP'!$C:$AN,MID(AF$1,1,2),FALSE)</f>
        <v>0</v>
      </c>
      <c r="AG63" s="55">
        <f>VLOOKUP($E63,'NI-San_SP'!$C:$AN,MID(AG$1,1,2),FALSE)</f>
        <v>0</v>
      </c>
      <c r="AH63" s="55">
        <f>VLOOKUP($E63,'NI-San_SP'!$C:$AN,MID(AH$1,1,2),FALSE)</f>
        <v>0</v>
      </c>
      <c r="AI63" s="55">
        <f>VLOOKUP($E63,'NI-San_SP'!$C:$AN,MID(AI$1,1,2),FALSE)</f>
        <v>0</v>
      </c>
      <c r="AJ63" s="55">
        <f>VLOOKUP($E63,'NI-San_SP'!$C:$AN,MID(AJ$1,1,2),FALSE)</f>
        <v>0</v>
      </c>
      <c r="AK63" s="55">
        <f>VLOOKUP($E63,'NI-San_SP'!$C:$AN,MID(AK$1,1,2),FALSE)</f>
        <v>0</v>
      </c>
      <c r="AL63" s="55">
        <f>VLOOKUP($E63,'NI-San_SP'!$C:$AN,MID(AL$1,1,2),FALSE)</f>
        <v>0</v>
      </c>
      <c r="AM63" s="56">
        <f>VLOOKUP($E63,'NI-San_SP'!$C:$AN,MID(AM$1,1,2),FALSE)</f>
        <v>0</v>
      </c>
      <c r="AN63" s="30" t="str">
        <f t="shared" si="0"/>
        <v>10105040000000</v>
      </c>
    </row>
    <row r="64" spans="3:40" x14ac:dyDescent="0.25">
      <c r="C64" s="40"/>
      <c r="D64" s="57" t="s">
        <v>323</v>
      </c>
      <c r="E64" s="57" t="s">
        <v>324</v>
      </c>
      <c r="F64" s="58" t="s">
        <v>110</v>
      </c>
      <c r="G64" s="52"/>
      <c r="H64" s="52"/>
      <c r="I64" s="52"/>
      <c r="J64" s="52"/>
      <c r="K64" s="59" t="s">
        <v>79</v>
      </c>
      <c r="L64" s="52"/>
      <c r="M64" s="52"/>
      <c r="N64" s="52"/>
      <c r="O64" s="52"/>
      <c r="P64" s="63" t="s">
        <v>325</v>
      </c>
      <c r="Q64" s="55">
        <f>VLOOKUP(E64,'NI-San_SP'!$C:$AN,12,FALSE)</f>
        <v>0</v>
      </c>
      <c r="R64" s="55">
        <f>VLOOKUP(E64,'NI-San_SP'!$C:$AN,13,FALSE)</f>
        <v>0</v>
      </c>
      <c r="S64" s="55"/>
      <c r="T64" s="55"/>
      <c r="U64" s="55">
        <f>VLOOKUP($E64,'NI-San_SP'!$C:$AN,MID(U$1,1,2),FALSE)</f>
        <v>0</v>
      </c>
      <c r="V64" s="55">
        <f>VLOOKUP($E64,'NI-San_SP'!$C:$AN,MID(V$1,1,2),FALSE)</f>
        <v>0</v>
      </c>
      <c r="W64" s="55">
        <f>VLOOKUP($E64,'NI-San_SP'!$C:$AN,MID(W$1,1,2),FALSE)</f>
        <v>0</v>
      </c>
      <c r="X64" s="55">
        <f>VLOOKUP($E64,'NI-San_SP'!$C:$AN,MID(X$1,1,2),FALSE)</f>
        <v>0</v>
      </c>
      <c r="Y64" s="55">
        <f>VLOOKUP($E64,'NI-San_SP'!$C:$AN,MID(Y$1,1,2),FALSE)</f>
        <v>0</v>
      </c>
      <c r="Z64" s="55">
        <f>VLOOKUP($E64,'NI-San_SP'!$C:$AN,MID(Z$1,1,2),FALSE)</f>
        <v>0</v>
      </c>
      <c r="AA64" s="55">
        <f>VLOOKUP($E64,'NI-San_SP'!$C:$AN,MID(AA$1,1,2),FALSE)</f>
        <v>0</v>
      </c>
      <c r="AB64" s="55">
        <f>VLOOKUP($E64,'NI-San_SP'!$C:$AN,MID(AB$1,1,2),FALSE)</f>
        <v>0</v>
      </c>
      <c r="AC64" s="55">
        <f>VLOOKUP($E64,'NI-San_SP'!$C:$AN,MID(AC$1,1,2),FALSE)</f>
        <v>0</v>
      </c>
      <c r="AD64" s="55">
        <f>VLOOKUP($E64,'NI-San_SP'!$C:$AN,MID(AD$1,1,2),FALSE)</f>
        <v>0</v>
      </c>
      <c r="AE64" s="55">
        <f>VLOOKUP($E64,'NI-San_SP'!$C:$AN,MID(AE$1,1,2),FALSE)</f>
        <v>0</v>
      </c>
      <c r="AF64" s="55">
        <f>VLOOKUP($E64,'NI-San_SP'!$C:$AN,MID(AF$1,1,2),FALSE)</f>
        <v>0</v>
      </c>
      <c r="AG64" s="55">
        <f>VLOOKUP($E64,'NI-San_SP'!$C:$AN,MID(AG$1,1,2),FALSE)</f>
        <v>0</v>
      </c>
      <c r="AH64" s="55">
        <f>VLOOKUP($E64,'NI-San_SP'!$C:$AN,MID(AH$1,1,2),FALSE)</f>
        <v>0</v>
      </c>
      <c r="AI64" s="55">
        <f>VLOOKUP($E64,'NI-San_SP'!$C:$AN,MID(AI$1,1,2),FALSE)</f>
        <v>0</v>
      </c>
      <c r="AJ64" s="55">
        <f>VLOOKUP($E64,'NI-San_SP'!$C:$AN,MID(AJ$1,1,2),FALSE)</f>
        <v>0</v>
      </c>
      <c r="AK64" s="55">
        <f>VLOOKUP($E64,'NI-San_SP'!$C:$AN,MID(AK$1,1,2),FALSE)</f>
        <v>0</v>
      </c>
      <c r="AL64" s="55">
        <f>VLOOKUP($E64,'NI-San_SP'!$C:$AN,MID(AL$1,1,2),FALSE)</f>
        <v>0</v>
      </c>
      <c r="AM64" s="56">
        <f>VLOOKUP($E64,'NI-San_SP'!$C:$AN,MID(AM$1,1,2),FALSE)</f>
        <v>0</v>
      </c>
      <c r="AN64" s="30" t="str">
        <f t="shared" si="0"/>
        <v>10105040010000</v>
      </c>
    </row>
    <row r="65" spans="3:40" x14ac:dyDescent="0.25">
      <c r="C65" s="40"/>
      <c r="D65" s="57" t="s">
        <v>326</v>
      </c>
      <c r="E65" s="57" t="s">
        <v>327</v>
      </c>
      <c r="F65" s="58" t="s">
        <v>110</v>
      </c>
      <c r="G65" s="52"/>
      <c r="H65" s="52"/>
      <c r="I65" s="52"/>
      <c r="J65" s="52"/>
      <c r="K65" s="59" t="s">
        <v>79</v>
      </c>
      <c r="L65" s="52"/>
      <c r="M65" s="52"/>
      <c r="N65" s="52"/>
      <c r="O65" s="52"/>
      <c r="P65" s="63" t="s">
        <v>328</v>
      </c>
      <c r="Q65" s="55">
        <f>VLOOKUP(E65,'NI-San_SP'!$C:$AN,12,FALSE)</f>
        <v>0</v>
      </c>
      <c r="R65" s="55">
        <f>VLOOKUP(E65,'NI-San_SP'!$C:$AN,13,FALSE)</f>
        <v>0</v>
      </c>
      <c r="S65" s="55"/>
      <c r="T65" s="55"/>
      <c r="U65" s="55">
        <f>VLOOKUP($E65,'NI-San_SP'!$C:$AN,MID(U$1,1,2),FALSE)</f>
        <v>0</v>
      </c>
      <c r="V65" s="55">
        <f>VLOOKUP($E65,'NI-San_SP'!$C:$AN,MID(V$1,1,2),FALSE)</f>
        <v>0</v>
      </c>
      <c r="W65" s="55">
        <f>VLOOKUP($E65,'NI-San_SP'!$C:$AN,MID(W$1,1,2),FALSE)</f>
        <v>0</v>
      </c>
      <c r="X65" s="55">
        <f>VLOOKUP($E65,'NI-San_SP'!$C:$AN,MID(X$1,1,2),FALSE)</f>
        <v>0</v>
      </c>
      <c r="Y65" s="55">
        <f>VLOOKUP($E65,'NI-San_SP'!$C:$AN,MID(Y$1,1,2),FALSE)</f>
        <v>0</v>
      </c>
      <c r="Z65" s="55">
        <f>VLOOKUP($E65,'NI-San_SP'!$C:$AN,MID(Z$1,1,2),FALSE)</f>
        <v>0</v>
      </c>
      <c r="AA65" s="55">
        <f>VLOOKUP($E65,'NI-San_SP'!$C:$AN,MID(AA$1,1,2),FALSE)</f>
        <v>0</v>
      </c>
      <c r="AB65" s="55">
        <f>VLOOKUP($E65,'NI-San_SP'!$C:$AN,MID(AB$1,1,2),FALSE)</f>
        <v>0</v>
      </c>
      <c r="AC65" s="55">
        <f>VLOOKUP($E65,'NI-San_SP'!$C:$AN,MID(AC$1,1,2),FALSE)</f>
        <v>0</v>
      </c>
      <c r="AD65" s="55">
        <f>VLOOKUP($E65,'NI-San_SP'!$C:$AN,MID(AD$1,1,2),FALSE)</f>
        <v>0</v>
      </c>
      <c r="AE65" s="55">
        <f>VLOOKUP($E65,'NI-San_SP'!$C:$AN,MID(AE$1,1,2),FALSE)</f>
        <v>0</v>
      </c>
      <c r="AF65" s="55">
        <f>VLOOKUP($E65,'NI-San_SP'!$C:$AN,MID(AF$1,1,2),FALSE)</f>
        <v>0</v>
      </c>
      <c r="AG65" s="55">
        <f>VLOOKUP($E65,'NI-San_SP'!$C:$AN,MID(AG$1,1,2),FALSE)</f>
        <v>0</v>
      </c>
      <c r="AH65" s="55">
        <f>VLOOKUP($E65,'NI-San_SP'!$C:$AN,MID(AH$1,1,2),FALSE)</f>
        <v>0</v>
      </c>
      <c r="AI65" s="55">
        <f>VLOOKUP($E65,'NI-San_SP'!$C:$AN,MID(AI$1,1,2),FALSE)</f>
        <v>0</v>
      </c>
      <c r="AJ65" s="55">
        <f>VLOOKUP($E65,'NI-San_SP'!$C:$AN,MID(AJ$1,1,2),FALSE)</f>
        <v>0</v>
      </c>
      <c r="AK65" s="55">
        <f>VLOOKUP($E65,'NI-San_SP'!$C:$AN,MID(AK$1,1,2),FALSE)</f>
        <v>0</v>
      </c>
      <c r="AL65" s="55">
        <f>VLOOKUP($E65,'NI-San_SP'!$C:$AN,MID(AL$1,1,2),FALSE)</f>
        <v>0</v>
      </c>
      <c r="AM65" s="56">
        <f>VLOOKUP($E65,'NI-San_SP'!$C:$AN,MID(AM$1,1,2),FALSE)</f>
        <v>0</v>
      </c>
      <c r="AN65" s="30" t="str">
        <f t="shared" si="0"/>
        <v>10105040020000</v>
      </c>
    </row>
    <row r="66" spans="3:40" x14ac:dyDescent="0.25">
      <c r="C66" s="40"/>
      <c r="D66" s="57" t="s">
        <v>329</v>
      </c>
      <c r="E66" s="57" t="s">
        <v>330</v>
      </c>
      <c r="F66" s="58" t="s">
        <v>110</v>
      </c>
      <c r="G66" s="52"/>
      <c r="H66" s="52"/>
      <c r="I66" s="52" t="s">
        <v>331</v>
      </c>
      <c r="J66" s="52" t="s">
        <v>331</v>
      </c>
      <c r="K66" s="59" t="s">
        <v>111</v>
      </c>
      <c r="L66" s="62" t="s">
        <v>260</v>
      </c>
      <c r="M66" s="52"/>
      <c r="N66" s="52"/>
      <c r="O66" s="52"/>
      <c r="P66" s="54" t="s">
        <v>332</v>
      </c>
      <c r="Q66" s="55">
        <f>VLOOKUP(E66,'NI-San_SP'!$C:$AN,12,FALSE)</f>
        <v>0</v>
      </c>
      <c r="R66" s="55">
        <f>VLOOKUP(E66,'NI-San_SP'!$C:$AN,13,FALSE)</f>
        <v>0</v>
      </c>
      <c r="S66" s="55"/>
      <c r="T66" s="55"/>
      <c r="U66" s="55">
        <f>VLOOKUP($E66,'NI-San_SP'!$C:$AN,MID(U$1,1,2),FALSE)</f>
        <v>0</v>
      </c>
      <c r="V66" s="55">
        <f>VLOOKUP($E66,'NI-San_SP'!$C:$AN,MID(V$1,1,2),FALSE)</f>
        <v>0</v>
      </c>
      <c r="W66" s="55">
        <f>VLOOKUP($E66,'NI-San_SP'!$C:$AN,MID(W$1,1,2),FALSE)</f>
        <v>0</v>
      </c>
      <c r="X66" s="55">
        <f>VLOOKUP($E66,'NI-San_SP'!$C:$AN,MID(X$1,1,2),FALSE)</f>
        <v>0</v>
      </c>
      <c r="Y66" s="55">
        <f>VLOOKUP($E66,'NI-San_SP'!$C:$AN,MID(Y$1,1,2),FALSE)</f>
        <v>0</v>
      </c>
      <c r="Z66" s="55">
        <f>VLOOKUP($E66,'NI-San_SP'!$C:$AN,MID(Z$1,1,2),FALSE)</f>
        <v>0</v>
      </c>
      <c r="AA66" s="55">
        <f>VLOOKUP($E66,'NI-San_SP'!$C:$AN,MID(AA$1,1,2),FALSE)</f>
        <v>0</v>
      </c>
      <c r="AB66" s="55">
        <f>VLOOKUP($E66,'NI-San_SP'!$C:$AN,MID(AB$1,1,2),FALSE)</f>
        <v>0</v>
      </c>
      <c r="AC66" s="55">
        <f>VLOOKUP($E66,'NI-San_SP'!$C:$AN,MID(AC$1,1,2),FALSE)</f>
        <v>0</v>
      </c>
      <c r="AD66" s="55">
        <f>VLOOKUP($E66,'NI-San_SP'!$C:$AN,MID(AD$1,1,2),FALSE)</f>
        <v>0</v>
      </c>
      <c r="AE66" s="55">
        <f>VLOOKUP($E66,'NI-San_SP'!$C:$AN,MID(AE$1,1,2),FALSE)</f>
        <v>0</v>
      </c>
      <c r="AF66" s="55">
        <f>VLOOKUP($E66,'NI-San_SP'!$C:$AN,MID(AF$1,1,2),FALSE)</f>
        <v>0</v>
      </c>
      <c r="AG66" s="55">
        <f>VLOOKUP($E66,'NI-San_SP'!$C:$AN,MID(AG$1,1,2),FALSE)</f>
        <v>0</v>
      </c>
      <c r="AH66" s="55">
        <f>VLOOKUP($E66,'NI-San_SP'!$C:$AN,MID(AH$1,1,2),FALSE)</f>
        <v>0</v>
      </c>
      <c r="AI66" s="55">
        <f>VLOOKUP($E66,'NI-San_SP'!$C:$AN,MID(AI$1,1,2),FALSE)</f>
        <v>0</v>
      </c>
      <c r="AJ66" s="55">
        <f>VLOOKUP($E66,'NI-San_SP'!$C:$AN,MID(AJ$1,1,2),FALSE)</f>
        <v>0</v>
      </c>
      <c r="AK66" s="55">
        <f>VLOOKUP($E66,'NI-San_SP'!$C:$AN,MID(AK$1,1,2),FALSE)</f>
        <v>0</v>
      </c>
      <c r="AL66" s="55">
        <f>VLOOKUP($E66,'NI-San_SP'!$C:$AN,MID(AL$1,1,2),FALSE)</f>
        <v>0</v>
      </c>
      <c r="AM66" s="56">
        <f>VLOOKUP($E66,'NI-San_SP'!$C:$AN,MID(AM$1,1,2),FALSE)</f>
        <v>0</v>
      </c>
      <c r="AN66" s="30" t="str">
        <f t="shared" ref="AN66:AN129" si="1">D66</f>
        <v>10105050000000</v>
      </c>
    </row>
    <row r="67" spans="3:40" x14ac:dyDescent="0.25">
      <c r="C67" s="40"/>
      <c r="D67" s="57" t="s">
        <v>333</v>
      </c>
      <c r="E67" s="57" t="s">
        <v>334</v>
      </c>
      <c r="F67" s="58" t="s">
        <v>110</v>
      </c>
      <c r="G67" s="52"/>
      <c r="H67" s="52"/>
      <c r="I67" s="52"/>
      <c r="J67" s="52"/>
      <c r="K67" s="59" t="s">
        <v>79</v>
      </c>
      <c r="L67" s="52"/>
      <c r="M67" s="52"/>
      <c r="N67" s="52"/>
      <c r="O67" s="52"/>
      <c r="P67" s="63" t="s">
        <v>335</v>
      </c>
      <c r="Q67" s="55">
        <f>VLOOKUP(E67,'NI-San_SP'!$C:$AN,12,FALSE)</f>
        <v>0</v>
      </c>
      <c r="R67" s="55">
        <f>VLOOKUP(E67,'NI-San_SP'!$C:$AN,13,FALSE)</f>
        <v>0</v>
      </c>
      <c r="S67" s="55"/>
      <c r="T67" s="55"/>
      <c r="U67" s="55">
        <f>VLOOKUP($E67,'NI-San_SP'!$C:$AN,MID(U$1,1,2),FALSE)</f>
        <v>0</v>
      </c>
      <c r="V67" s="55">
        <f>VLOOKUP($E67,'NI-San_SP'!$C:$AN,MID(V$1,1,2),FALSE)</f>
        <v>0</v>
      </c>
      <c r="W67" s="55">
        <f>VLOOKUP($E67,'NI-San_SP'!$C:$AN,MID(W$1,1,2),FALSE)</f>
        <v>0</v>
      </c>
      <c r="X67" s="55">
        <f>VLOOKUP($E67,'NI-San_SP'!$C:$AN,MID(X$1,1,2),FALSE)</f>
        <v>0</v>
      </c>
      <c r="Y67" s="55">
        <f>VLOOKUP($E67,'NI-San_SP'!$C:$AN,MID(Y$1,1,2),FALSE)</f>
        <v>0</v>
      </c>
      <c r="Z67" s="55">
        <f>VLOOKUP($E67,'NI-San_SP'!$C:$AN,MID(Z$1,1,2),FALSE)</f>
        <v>0</v>
      </c>
      <c r="AA67" s="55">
        <f>VLOOKUP($E67,'NI-San_SP'!$C:$AN,MID(AA$1,1,2),FALSE)</f>
        <v>0</v>
      </c>
      <c r="AB67" s="55">
        <f>VLOOKUP($E67,'NI-San_SP'!$C:$AN,MID(AB$1,1,2),FALSE)</f>
        <v>0</v>
      </c>
      <c r="AC67" s="55">
        <f>VLOOKUP($E67,'NI-San_SP'!$C:$AN,MID(AC$1,1,2),FALSE)</f>
        <v>0</v>
      </c>
      <c r="AD67" s="55">
        <f>VLOOKUP($E67,'NI-San_SP'!$C:$AN,MID(AD$1,1,2),FALSE)</f>
        <v>0</v>
      </c>
      <c r="AE67" s="55">
        <f>VLOOKUP($E67,'NI-San_SP'!$C:$AN,MID(AE$1,1,2),FALSE)</f>
        <v>0</v>
      </c>
      <c r="AF67" s="55">
        <f>VLOOKUP($E67,'NI-San_SP'!$C:$AN,MID(AF$1,1,2),FALSE)</f>
        <v>0</v>
      </c>
      <c r="AG67" s="55">
        <f>VLOOKUP($E67,'NI-San_SP'!$C:$AN,MID(AG$1,1,2),FALSE)</f>
        <v>0</v>
      </c>
      <c r="AH67" s="55">
        <f>VLOOKUP($E67,'NI-San_SP'!$C:$AN,MID(AH$1,1,2),FALSE)</f>
        <v>0</v>
      </c>
      <c r="AI67" s="55">
        <f>VLOOKUP($E67,'NI-San_SP'!$C:$AN,MID(AI$1,1,2),FALSE)</f>
        <v>0</v>
      </c>
      <c r="AJ67" s="55">
        <f>VLOOKUP($E67,'NI-San_SP'!$C:$AN,MID(AJ$1,1,2),FALSE)</f>
        <v>0</v>
      </c>
      <c r="AK67" s="55">
        <f>VLOOKUP($E67,'NI-San_SP'!$C:$AN,MID(AK$1,1,2),FALSE)</f>
        <v>0</v>
      </c>
      <c r="AL67" s="55">
        <f>VLOOKUP($E67,'NI-San_SP'!$C:$AN,MID(AL$1,1,2),FALSE)</f>
        <v>0</v>
      </c>
      <c r="AM67" s="56">
        <f>VLOOKUP($E67,'NI-San_SP'!$C:$AN,MID(AM$1,1,2),FALSE)</f>
        <v>0</v>
      </c>
      <c r="AN67" s="30" t="str">
        <f t="shared" si="1"/>
        <v>10105050010000</v>
      </c>
    </row>
    <row r="68" spans="3:40" x14ac:dyDescent="0.25">
      <c r="C68" s="40"/>
      <c r="D68" s="57" t="s">
        <v>336</v>
      </c>
      <c r="E68" s="57" t="s">
        <v>337</v>
      </c>
      <c r="F68" s="58" t="s">
        <v>110</v>
      </c>
      <c r="G68" s="52"/>
      <c r="H68" s="52"/>
      <c r="I68" s="52"/>
      <c r="J68" s="52"/>
      <c r="K68" s="59" t="s">
        <v>79</v>
      </c>
      <c r="L68" s="52"/>
      <c r="M68" s="52"/>
      <c r="N68" s="52"/>
      <c r="O68" s="52"/>
      <c r="P68" s="63" t="s">
        <v>338</v>
      </c>
      <c r="Q68" s="55">
        <f>VLOOKUP(E68,'NI-San_SP'!$C:$AN,12,FALSE)</f>
        <v>0</v>
      </c>
      <c r="R68" s="55">
        <f>VLOOKUP(E68,'NI-San_SP'!$C:$AN,13,FALSE)</f>
        <v>0</v>
      </c>
      <c r="S68" s="55"/>
      <c r="T68" s="55"/>
      <c r="U68" s="55">
        <f>VLOOKUP($E68,'NI-San_SP'!$C:$AN,MID(U$1,1,2),FALSE)</f>
        <v>0</v>
      </c>
      <c r="V68" s="55">
        <f>VLOOKUP($E68,'NI-San_SP'!$C:$AN,MID(V$1,1,2),FALSE)</f>
        <v>0</v>
      </c>
      <c r="W68" s="55">
        <f>VLOOKUP($E68,'NI-San_SP'!$C:$AN,MID(W$1,1,2),FALSE)</f>
        <v>0</v>
      </c>
      <c r="X68" s="55">
        <f>VLOOKUP($E68,'NI-San_SP'!$C:$AN,MID(X$1,1,2),FALSE)</f>
        <v>0</v>
      </c>
      <c r="Y68" s="55">
        <f>VLOOKUP($E68,'NI-San_SP'!$C:$AN,MID(Y$1,1,2),FALSE)</f>
        <v>0</v>
      </c>
      <c r="Z68" s="55">
        <f>VLOOKUP($E68,'NI-San_SP'!$C:$AN,MID(Z$1,1,2),FALSE)</f>
        <v>0</v>
      </c>
      <c r="AA68" s="55">
        <f>VLOOKUP($E68,'NI-San_SP'!$C:$AN,MID(AA$1,1,2),FALSE)</f>
        <v>0</v>
      </c>
      <c r="AB68" s="55">
        <f>VLOOKUP($E68,'NI-San_SP'!$C:$AN,MID(AB$1,1,2),FALSE)</f>
        <v>0</v>
      </c>
      <c r="AC68" s="55">
        <f>VLOOKUP($E68,'NI-San_SP'!$C:$AN,MID(AC$1,1,2),FALSE)</f>
        <v>0</v>
      </c>
      <c r="AD68" s="55">
        <f>VLOOKUP($E68,'NI-San_SP'!$C:$AN,MID(AD$1,1,2),FALSE)</f>
        <v>0</v>
      </c>
      <c r="AE68" s="55">
        <f>VLOOKUP($E68,'NI-San_SP'!$C:$AN,MID(AE$1,1,2),FALSE)</f>
        <v>0</v>
      </c>
      <c r="AF68" s="55">
        <f>VLOOKUP($E68,'NI-San_SP'!$C:$AN,MID(AF$1,1,2),FALSE)</f>
        <v>0</v>
      </c>
      <c r="AG68" s="55">
        <f>VLOOKUP($E68,'NI-San_SP'!$C:$AN,MID(AG$1,1,2),FALSE)</f>
        <v>0</v>
      </c>
      <c r="AH68" s="55">
        <f>VLOOKUP($E68,'NI-San_SP'!$C:$AN,MID(AH$1,1,2),FALSE)</f>
        <v>0</v>
      </c>
      <c r="AI68" s="55">
        <f>VLOOKUP($E68,'NI-San_SP'!$C:$AN,MID(AI$1,1,2),FALSE)</f>
        <v>0</v>
      </c>
      <c r="AJ68" s="55">
        <f>VLOOKUP($E68,'NI-San_SP'!$C:$AN,MID(AJ$1,1,2),FALSE)</f>
        <v>0</v>
      </c>
      <c r="AK68" s="55">
        <f>VLOOKUP($E68,'NI-San_SP'!$C:$AN,MID(AK$1,1,2),FALSE)</f>
        <v>0</v>
      </c>
      <c r="AL68" s="55">
        <f>VLOOKUP($E68,'NI-San_SP'!$C:$AN,MID(AL$1,1,2),FALSE)</f>
        <v>0</v>
      </c>
      <c r="AM68" s="56">
        <f>VLOOKUP($E68,'NI-San_SP'!$C:$AN,MID(AM$1,1,2),FALSE)</f>
        <v>0</v>
      </c>
      <c r="AN68" s="30" t="str">
        <f t="shared" si="1"/>
        <v>10105050020000</v>
      </c>
    </row>
    <row r="69" spans="3:40" x14ac:dyDescent="0.25">
      <c r="C69" s="40"/>
      <c r="D69" s="57" t="s">
        <v>339</v>
      </c>
      <c r="E69" s="57" t="s">
        <v>340</v>
      </c>
      <c r="F69" s="58" t="s">
        <v>110</v>
      </c>
      <c r="G69" s="52"/>
      <c r="H69" s="52"/>
      <c r="I69" s="52" t="s">
        <v>341</v>
      </c>
      <c r="J69" s="52" t="s">
        <v>341</v>
      </c>
      <c r="K69" s="59" t="s">
        <v>111</v>
      </c>
      <c r="L69" s="62" t="s">
        <v>289</v>
      </c>
      <c r="M69" s="52"/>
      <c r="N69" s="52"/>
      <c r="O69" s="52"/>
      <c r="P69" s="54" t="s">
        <v>342</v>
      </c>
      <c r="Q69" s="55">
        <f>VLOOKUP(E69,'NI-San_SP'!$C:$AN,12,FALSE)</f>
        <v>0</v>
      </c>
      <c r="R69" s="55">
        <f>VLOOKUP(E69,'NI-San_SP'!$C:$AN,13,FALSE)</f>
        <v>0</v>
      </c>
      <c r="S69" s="55"/>
      <c r="T69" s="55"/>
      <c r="U69" s="55">
        <f>VLOOKUP($E69,'NI-San_SP'!$C:$AN,MID(U$1,1,2),FALSE)</f>
        <v>0</v>
      </c>
      <c r="V69" s="55">
        <f>VLOOKUP($E69,'NI-San_SP'!$C:$AN,MID(V$1,1,2),FALSE)</f>
        <v>0</v>
      </c>
      <c r="W69" s="55">
        <f>VLOOKUP($E69,'NI-San_SP'!$C:$AN,MID(W$1,1,2),FALSE)</f>
        <v>0</v>
      </c>
      <c r="X69" s="55">
        <f>VLOOKUP($E69,'NI-San_SP'!$C:$AN,MID(X$1,1,2),FALSE)</f>
        <v>0</v>
      </c>
      <c r="Y69" s="55">
        <f>VLOOKUP($E69,'NI-San_SP'!$C:$AN,MID(Y$1,1,2),FALSE)</f>
        <v>0</v>
      </c>
      <c r="Z69" s="55">
        <f>VLOOKUP($E69,'NI-San_SP'!$C:$AN,MID(Z$1,1,2),FALSE)</f>
        <v>0</v>
      </c>
      <c r="AA69" s="55">
        <f>VLOOKUP($E69,'NI-San_SP'!$C:$AN,MID(AA$1,1,2),FALSE)</f>
        <v>0</v>
      </c>
      <c r="AB69" s="55">
        <f>VLOOKUP($E69,'NI-San_SP'!$C:$AN,MID(AB$1,1,2),FALSE)</f>
        <v>0</v>
      </c>
      <c r="AC69" s="55">
        <f>VLOOKUP($E69,'NI-San_SP'!$C:$AN,MID(AC$1,1,2),FALSE)</f>
        <v>0</v>
      </c>
      <c r="AD69" s="55">
        <f>VLOOKUP($E69,'NI-San_SP'!$C:$AN,MID(AD$1,1,2),FALSE)</f>
        <v>0</v>
      </c>
      <c r="AE69" s="55">
        <f>VLOOKUP($E69,'NI-San_SP'!$C:$AN,MID(AE$1,1,2),FALSE)</f>
        <v>0</v>
      </c>
      <c r="AF69" s="55">
        <f>VLOOKUP($E69,'NI-San_SP'!$C:$AN,MID(AF$1,1,2),FALSE)</f>
        <v>0</v>
      </c>
      <c r="AG69" s="55">
        <f>VLOOKUP($E69,'NI-San_SP'!$C:$AN,MID(AG$1,1,2),FALSE)</f>
        <v>0</v>
      </c>
      <c r="AH69" s="55">
        <f>VLOOKUP($E69,'NI-San_SP'!$C:$AN,MID(AH$1,1,2),FALSE)</f>
        <v>0</v>
      </c>
      <c r="AI69" s="55">
        <f>VLOOKUP($E69,'NI-San_SP'!$C:$AN,MID(AI$1,1,2),FALSE)</f>
        <v>0</v>
      </c>
      <c r="AJ69" s="55">
        <f>VLOOKUP($E69,'NI-San_SP'!$C:$AN,MID(AJ$1,1,2),FALSE)</f>
        <v>0</v>
      </c>
      <c r="AK69" s="55">
        <f>VLOOKUP($E69,'NI-San_SP'!$C:$AN,MID(AK$1,1,2),FALSE)</f>
        <v>0</v>
      </c>
      <c r="AL69" s="55">
        <f>VLOOKUP($E69,'NI-San_SP'!$C:$AN,MID(AL$1,1,2),FALSE)</f>
        <v>0</v>
      </c>
      <c r="AM69" s="56">
        <f>VLOOKUP($E69,'NI-San_SP'!$C:$AN,MID(AM$1,1,2),FALSE)</f>
        <v>0</v>
      </c>
      <c r="AN69" s="30" t="str">
        <f t="shared" si="1"/>
        <v>10105060000000</v>
      </c>
    </row>
    <row r="70" spans="3:40" x14ac:dyDescent="0.25">
      <c r="C70" s="40"/>
      <c r="D70" s="57" t="s">
        <v>343</v>
      </c>
      <c r="E70" s="57" t="s">
        <v>344</v>
      </c>
      <c r="F70" s="58" t="s">
        <v>110</v>
      </c>
      <c r="G70" s="52"/>
      <c r="H70" s="52"/>
      <c r="I70" s="52"/>
      <c r="J70" s="52"/>
      <c r="K70" s="59" t="s">
        <v>79</v>
      </c>
      <c r="L70" s="52"/>
      <c r="M70" s="52"/>
      <c r="N70" s="52"/>
      <c r="O70" s="52"/>
      <c r="P70" s="63" t="s">
        <v>345</v>
      </c>
      <c r="Q70" s="55">
        <f>VLOOKUP(E70,'NI-San_SP'!$C:$AN,12,FALSE)</f>
        <v>0</v>
      </c>
      <c r="R70" s="55">
        <f>VLOOKUP(E70,'NI-San_SP'!$C:$AN,13,FALSE)</f>
        <v>0</v>
      </c>
      <c r="S70" s="55"/>
      <c r="T70" s="55"/>
      <c r="U70" s="55">
        <f>VLOOKUP($E70,'NI-San_SP'!$C:$AN,MID(U$1,1,2),FALSE)</f>
        <v>0</v>
      </c>
      <c r="V70" s="55">
        <f>VLOOKUP($E70,'NI-San_SP'!$C:$AN,MID(V$1,1,2),FALSE)</f>
        <v>0</v>
      </c>
      <c r="W70" s="55">
        <f>VLOOKUP($E70,'NI-San_SP'!$C:$AN,MID(W$1,1,2),FALSE)</f>
        <v>0</v>
      </c>
      <c r="X70" s="55">
        <f>VLOOKUP($E70,'NI-San_SP'!$C:$AN,MID(X$1,1,2),FALSE)</f>
        <v>0</v>
      </c>
      <c r="Y70" s="55">
        <f>VLOOKUP($E70,'NI-San_SP'!$C:$AN,MID(Y$1,1,2),FALSE)</f>
        <v>0</v>
      </c>
      <c r="Z70" s="55">
        <f>VLOOKUP($E70,'NI-San_SP'!$C:$AN,MID(Z$1,1,2),FALSE)</f>
        <v>0</v>
      </c>
      <c r="AA70" s="55">
        <f>VLOOKUP($E70,'NI-San_SP'!$C:$AN,MID(AA$1,1,2),FALSE)</f>
        <v>0</v>
      </c>
      <c r="AB70" s="55">
        <f>VLOOKUP($E70,'NI-San_SP'!$C:$AN,MID(AB$1,1,2),FALSE)</f>
        <v>0</v>
      </c>
      <c r="AC70" s="55">
        <f>VLOOKUP($E70,'NI-San_SP'!$C:$AN,MID(AC$1,1,2),FALSE)</f>
        <v>0</v>
      </c>
      <c r="AD70" s="55">
        <f>VLOOKUP($E70,'NI-San_SP'!$C:$AN,MID(AD$1,1,2),FALSE)</f>
        <v>0</v>
      </c>
      <c r="AE70" s="55">
        <f>VLOOKUP($E70,'NI-San_SP'!$C:$AN,MID(AE$1,1,2),FALSE)</f>
        <v>0</v>
      </c>
      <c r="AF70" s="55">
        <f>VLOOKUP($E70,'NI-San_SP'!$C:$AN,MID(AF$1,1,2),FALSE)</f>
        <v>0</v>
      </c>
      <c r="AG70" s="55">
        <f>VLOOKUP($E70,'NI-San_SP'!$C:$AN,MID(AG$1,1,2),FALSE)</f>
        <v>0</v>
      </c>
      <c r="AH70" s="55">
        <f>VLOOKUP($E70,'NI-San_SP'!$C:$AN,MID(AH$1,1,2),FALSE)</f>
        <v>0</v>
      </c>
      <c r="AI70" s="55">
        <f>VLOOKUP($E70,'NI-San_SP'!$C:$AN,MID(AI$1,1,2),FALSE)</f>
        <v>0</v>
      </c>
      <c r="AJ70" s="55">
        <f>VLOOKUP($E70,'NI-San_SP'!$C:$AN,MID(AJ$1,1,2),FALSE)</f>
        <v>0</v>
      </c>
      <c r="AK70" s="55">
        <f>VLOOKUP($E70,'NI-San_SP'!$C:$AN,MID(AK$1,1,2),FALSE)</f>
        <v>0</v>
      </c>
      <c r="AL70" s="55">
        <f>VLOOKUP($E70,'NI-San_SP'!$C:$AN,MID(AL$1,1,2),FALSE)</f>
        <v>0</v>
      </c>
      <c r="AM70" s="56">
        <f>VLOOKUP($E70,'NI-San_SP'!$C:$AN,MID(AM$1,1,2),FALSE)</f>
        <v>0</v>
      </c>
      <c r="AN70" s="30" t="str">
        <f t="shared" si="1"/>
        <v>10105060010000</v>
      </c>
    </row>
    <row r="71" spans="3:40" x14ac:dyDescent="0.25">
      <c r="C71" s="40"/>
      <c r="D71" s="57" t="s">
        <v>346</v>
      </c>
      <c r="E71" s="57" t="s">
        <v>347</v>
      </c>
      <c r="F71" s="58" t="s">
        <v>110</v>
      </c>
      <c r="G71" s="52"/>
      <c r="H71" s="52"/>
      <c r="I71" s="52"/>
      <c r="J71" s="52"/>
      <c r="K71" s="59" t="s">
        <v>79</v>
      </c>
      <c r="L71" s="52"/>
      <c r="M71" s="52"/>
      <c r="N71" s="52"/>
      <c r="O71" s="52"/>
      <c r="P71" s="63" t="s">
        <v>348</v>
      </c>
      <c r="Q71" s="55">
        <f>VLOOKUP(E71,'NI-San_SP'!$C:$AN,12,FALSE)</f>
        <v>0</v>
      </c>
      <c r="R71" s="55">
        <f>VLOOKUP(E71,'NI-San_SP'!$C:$AN,13,FALSE)</f>
        <v>0</v>
      </c>
      <c r="S71" s="55"/>
      <c r="T71" s="55"/>
      <c r="U71" s="55">
        <f>VLOOKUP($E71,'NI-San_SP'!$C:$AN,MID(U$1,1,2),FALSE)</f>
        <v>0</v>
      </c>
      <c r="V71" s="55">
        <f>VLOOKUP($E71,'NI-San_SP'!$C:$AN,MID(V$1,1,2),FALSE)</f>
        <v>0</v>
      </c>
      <c r="W71" s="55">
        <f>VLOOKUP($E71,'NI-San_SP'!$C:$AN,MID(W$1,1,2),FALSE)</f>
        <v>0</v>
      </c>
      <c r="X71" s="55">
        <f>VLOOKUP($E71,'NI-San_SP'!$C:$AN,MID(X$1,1,2),FALSE)</f>
        <v>0</v>
      </c>
      <c r="Y71" s="55">
        <f>VLOOKUP($E71,'NI-San_SP'!$C:$AN,MID(Y$1,1,2),FALSE)</f>
        <v>0</v>
      </c>
      <c r="Z71" s="55">
        <f>VLOOKUP($E71,'NI-San_SP'!$C:$AN,MID(Z$1,1,2),FALSE)</f>
        <v>0</v>
      </c>
      <c r="AA71" s="55">
        <f>VLOOKUP($E71,'NI-San_SP'!$C:$AN,MID(AA$1,1,2),FALSE)</f>
        <v>0</v>
      </c>
      <c r="AB71" s="55">
        <f>VLOOKUP($E71,'NI-San_SP'!$C:$AN,MID(AB$1,1,2),FALSE)</f>
        <v>0</v>
      </c>
      <c r="AC71" s="55">
        <f>VLOOKUP($E71,'NI-San_SP'!$C:$AN,MID(AC$1,1,2),FALSE)</f>
        <v>0</v>
      </c>
      <c r="AD71" s="55">
        <f>VLOOKUP($E71,'NI-San_SP'!$C:$AN,MID(AD$1,1,2),FALSE)</f>
        <v>0</v>
      </c>
      <c r="AE71" s="55">
        <f>VLOOKUP($E71,'NI-San_SP'!$C:$AN,MID(AE$1,1,2),FALSE)</f>
        <v>0</v>
      </c>
      <c r="AF71" s="55">
        <f>VLOOKUP($E71,'NI-San_SP'!$C:$AN,MID(AF$1,1,2),FALSE)</f>
        <v>0</v>
      </c>
      <c r="AG71" s="55">
        <f>VLOOKUP($E71,'NI-San_SP'!$C:$AN,MID(AG$1,1,2),FALSE)</f>
        <v>0</v>
      </c>
      <c r="AH71" s="55">
        <f>VLOOKUP($E71,'NI-San_SP'!$C:$AN,MID(AH$1,1,2),FALSE)</f>
        <v>0</v>
      </c>
      <c r="AI71" s="55">
        <f>VLOOKUP($E71,'NI-San_SP'!$C:$AN,MID(AI$1,1,2),FALSE)</f>
        <v>0</v>
      </c>
      <c r="AJ71" s="55">
        <f>VLOOKUP($E71,'NI-San_SP'!$C:$AN,MID(AJ$1,1,2),FALSE)</f>
        <v>0</v>
      </c>
      <c r="AK71" s="55">
        <f>VLOOKUP($E71,'NI-San_SP'!$C:$AN,MID(AK$1,1,2),FALSE)</f>
        <v>0</v>
      </c>
      <c r="AL71" s="55">
        <f>VLOOKUP($E71,'NI-San_SP'!$C:$AN,MID(AL$1,1,2),FALSE)</f>
        <v>0</v>
      </c>
      <c r="AM71" s="56">
        <f>VLOOKUP($E71,'NI-San_SP'!$C:$AN,MID(AM$1,1,2),FALSE)</f>
        <v>0</v>
      </c>
      <c r="AN71" s="30" t="str">
        <f t="shared" si="1"/>
        <v>10105060020000</v>
      </c>
    </row>
    <row r="72" spans="3:40" x14ac:dyDescent="0.25">
      <c r="C72" s="40"/>
      <c r="D72" s="57" t="s">
        <v>349</v>
      </c>
      <c r="E72" s="57" t="s">
        <v>350</v>
      </c>
      <c r="F72" s="58" t="s">
        <v>110</v>
      </c>
      <c r="G72" s="52"/>
      <c r="H72" s="52"/>
      <c r="I72" s="52" t="s">
        <v>351</v>
      </c>
      <c r="J72" s="52" t="s">
        <v>351</v>
      </c>
      <c r="K72" s="59" t="s">
        <v>111</v>
      </c>
      <c r="L72" s="62" t="s">
        <v>260</v>
      </c>
      <c r="M72" s="52"/>
      <c r="N72" s="52"/>
      <c r="O72" s="52"/>
      <c r="P72" s="54" t="s">
        <v>352</v>
      </c>
      <c r="Q72" s="55">
        <f>VLOOKUP(E72,'NI-San_SP'!$C:$AN,12,FALSE)</f>
        <v>1650</v>
      </c>
      <c r="R72" s="55">
        <f>VLOOKUP(E72,'NI-San_SP'!$C:$AN,13,FALSE)</f>
        <v>1650</v>
      </c>
      <c r="S72" s="55"/>
      <c r="T72" s="55"/>
      <c r="U72" s="55">
        <f>VLOOKUP($E72,'NI-San_SP'!$C:$AN,MID(U$1,1,2),FALSE)</f>
        <v>0</v>
      </c>
      <c r="V72" s="55">
        <f>VLOOKUP($E72,'NI-San_SP'!$C:$AN,MID(V$1,1,2),FALSE)</f>
        <v>1650</v>
      </c>
      <c r="W72" s="55">
        <f>VLOOKUP($E72,'NI-San_SP'!$C:$AN,MID(W$1,1,2),FALSE)</f>
        <v>0</v>
      </c>
      <c r="X72" s="55">
        <f>VLOOKUP($E72,'NI-San_SP'!$C:$AN,MID(X$1,1,2),FALSE)</f>
        <v>0</v>
      </c>
      <c r="Y72" s="55">
        <f>VLOOKUP($E72,'NI-San_SP'!$C:$AN,MID(Y$1,1,2),FALSE)</f>
        <v>0</v>
      </c>
      <c r="Z72" s="55">
        <f>VLOOKUP($E72,'NI-San_SP'!$C:$AN,MID(Z$1,1,2),FALSE)</f>
        <v>0</v>
      </c>
      <c r="AA72" s="55">
        <f>VLOOKUP($E72,'NI-San_SP'!$C:$AN,MID(AA$1,1,2),FALSE)</f>
        <v>0</v>
      </c>
      <c r="AB72" s="55">
        <f>VLOOKUP($E72,'NI-San_SP'!$C:$AN,MID(AB$1,1,2),FALSE)</f>
        <v>0</v>
      </c>
      <c r="AC72" s="55">
        <f>VLOOKUP($E72,'NI-San_SP'!$C:$AN,MID(AC$1,1,2),FALSE)</f>
        <v>0</v>
      </c>
      <c r="AD72" s="55">
        <f>VLOOKUP($E72,'NI-San_SP'!$C:$AN,MID(AD$1,1,2),FALSE)</f>
        <v>0</v>
      </c>
      <c r="AE72" s="55">
        <f>VLOOKUP($E72,'NI-San_SP'!$C:$AN,MID(AE$1,1,2),FALSE)</f>
        <v>0</v>
      </c>
      <c r="AF72" s="55">
        <f>VLOOKUP($E72,'NI-San_SP'!$C:$AN,MID(AF$1,1,2),FALSE)</f>
        <v>0</v>
      </c>
      <c r="AG72" s="55">
        <f>VLOOKUP($E72,'NI-San_SP'!$C:$AN,MID(AG$1,1,2),FALSE)</f>
        <v>0</v>
      </c>
      <c r="AH72" s="55">
        <f>VLOOKUP($E72,'NI-San_SP'!$C:$AN,MID(AH$1,1,2),FALSE)</f>
        <v>0</v>
      </c>
      <c r="AI72" s="55">
        <f>VLOOKUP($E72,'NI-San_SP'!$C:$AN,MID(AI$1,1,2),FALSE)</f>
        <v>0</v>
      </c>
      <c r="AJ72" s="55">
        <f>VLOOKUP($E72,'NI-San_SP'!$C:$AN,MID(AJ$1,1,2),FALSE)</f>
        <v>0</v>
      </c>
      <c r="AK72" s="55">
        <f>VLOOKUP($E72,'NI-San_SP'!$C:$AN,MID(AK$1,1,2),FALSE)</f>
        <v>0</v>
      </c>
      <c r="AL72" s="55">
        <f>VLOOKUP($E72,'NI-San_SP'!$C:$AN,MID(AL$1,1,2),FALSE)</f>
        <v>0</v>
      </c>
      <c r="AM72" s="56">
        <f>VLOOKUP($E72,'NI-San_SP'!$C:$AN,MID(AM$1,1,2),FALSE)</f>
        <v>0</v>
      </c>
      <c r="AN72" s="30" t="str">
        <f t="shared" si="1"/>
        <v>10105070000000</v>
      </c>
    </row>
    <row r="73" spans="3:40" x14ac:dyDescent="0.25">
      <c r="C73" s="40"/>
      <c r="D73" s="57" t="s">
        <v>353</v>
      </c>
      <c r="E73" s="57" t="s">
        <v>354</v>
      </c>
      <c r="F73" s="58" t="s">
        <v>110</v>
      </c>
      <c r="G73" s="52"/>
      <c r="H73" s="52"/>
      <c r="I73" s="52"/>
      <c r="J73" s="52"/>
      <c r="K73" s="59" t="s">
        <v>79</v>
      </c>
      <c r="L73" s="52"/>
      <c r="M73" s="52"/>
      <c r="N73" s="52"/>
      <c r="O73" s="52"/>
      <c r="P73" s="63" t="s">
        <v>355</v>
      </c>
      <c r="Q73" s="55">
        <f>VLOOKUP(E73,'NI-San_SP'!$C:$AN,12,FALSE)</f>
        <v>1650</v>
      </c>
      <c r="R73" s="55">
        <f>VLOOKUP(E73,'NI-San_SP'!$C:$AN,13,FALSE)</f>
        <v>1650</v>
      </c>
      <c r="S73" s="55"/>
      <c r="T73" s="55"/>
      <c r="U73" s="55">
        <f>VLOOKUP($E73,'NI-San_SP'!$C:$AN,MID(U$1,1,2),FALSE)</f>
        <v>0</v>
      </c>
      <c r="V73" s="55">
        <f>VLOOKUP($E73,'NI-San_SP'!$C:$AN,MID(V$1,1,2),FALSE)</f>
        <v>1650</v>
      </c>
      <c r="W73" s="55">
        <f>VLOOKUP($E73,'NI-San_SP'!$C:$AN,MID(W$1,1,2),FALSE)</f>
        <v>0</v>
      </c>
      <c r="X73" s="55">
        <f>VLOOKUP($E73,'NI-San_SP'!$C:$AN,MID(X$1,1,2),FALSE)</f>
        <v>0</v>
      </c>
      <c r="Y73" s="55">
        <f>VLOOKUP($E73,'NI-San_SP'!$C:$AN,MID(Y$1,1,2),FALSE)</f>
        <v>0</v>
      </c>
      <c r="Z73" s="55">
        <f>VLOOKUP($E73,'NI-San_SP'!$C:$AN,MID(Z$1,1,2),FALSE)</f>
        <v>0</v>
      </c>
      <c r="AA73" s="55">
        <f>VLOOKUP($E73,'NI-San_SP'!$C:$AN,MID(AA$1,1,2),FALSE)</f>
        <v>0</v>
      </c>
      <c r="AB73" s="55">
        <f>VLOOKUP($E73,'NI-San_SP'!$C:$AN,MID(AB$1,1,2),FALSE)</f>
        <v>0</v>
      </c>
      <c r="AC73" s="55">
        <f>VLOOKUP($E73,'NI-San_SP'!$C:$AN,MID(AC$1,1,2),FALSE)</f>
        <v>0</v>
      </c>
      <c r="AD73" s="55">
        <f>VLOOKUP($E73,'NI-San_SP'!$C:$AN,MID(AD$1,1,2),FALSE)</f>
        <v>0</v>
      </c>
      <c r="AE73" s="55">
        <f>VLOOKUP($E73,'NI-San_SP'!$C:$AN,MID(AE$1,1,2),FALSE)</f>
        <v>0</v>
      </c>
      <c r="AF73" s="55">
        <f>VLOOKUP($E73,'NI-San_SP'!$C:$AN,MID(AF$1,1,2),FALSE)</f>
        <v>0</v>
      </c>
      <c r="AG73" s="55">
        <f>VLOOKUP($E73,'NI-San_SP'!$C:$AN,MID(AG$1,1,2),FALSE)</f>
        <v>0</v>
      </c>
      <c r="AH73" s="55">
        <f>VLOOKUP($E73,'NI-San_SP'!$C:$AN,MID(AH$1,1,2),FALSE)</f>
        <v>0</v>
      </c>
      <c r="AI73" s="55">
        <f>VLOOKUP($E73,'NI-San_SP'!$C:$AN,MID(AI$1,1,2),FALSE)</f>
        <v>0</v>
      </c>
      <c r="AJ73" s="55">
        <f>VLOOKUP($E73,'NI-San_SP'!$C:$AN,MID(AJ$1,1,2),FALSE)</f>
        <v>0</v>
      </c>
      <c r="AK73" s="55">
        <f>VLOOKUP($E73,'NI-San_SP'!$C:$AN,MID(AK$1,1,2),FALSE)</f>
        <v>0</v>
      </c>
      <c r="AL73" s="55">
        <f>VLOOKUP($E73,'NI-San_SP'!$C:$AN,MID(AL$1,1,2),FALSE)</f>
        <v>0</v>
      </c>
      <c r="AM73" s="56">
        <f>VLOOKUP($E73,'NI-San_SP'!$C:$AN,MID(AM$1,1,2),FALSE)</f>
        <v>0</v>
      </c>
      <c r="AN73" s="30" t="str">
        <f t="shared" si="1"/>
        <v>10105070010010</v>
      </c>
    </row>
    <row r="74" spans="3:40" x14ac:dyDescent="0.25">
      <c r="C74" s="40"/>
      <c r="D74" s="57" t="s">
        <v>356</v>
      </c>
      <c r="E74" s="57" t="s">
        <v>357</v>
      </c>
      <c r="F74" s="58" t="s">
        <v>110</v>
      </c>
      <c r="G74" s="52"/>
      <c r="H74" s="52"/>
      <c r="I74" s="52"/>
      <c r="J74" s="52"/>
      <c r="K74" s="59" t="s">
        <v>79</v>
      </c>
      <c r="L74" s="52"/>
      <c r="M74" s="52"/>
      <c r="N74" s="52"/>
      <c r="O74" s="52"/>
      <c r="P74" s="63" t="s">
        <v>358</v>
      </c>
      <c r="Q74" s="55">
        <f>VLOOKUP(E74,'NI-San_SP'!$C:$AN,12,FALSE)</f>
        <v>0</v>
      </c>
      <c r="R74" s="55">
        <f>VLOOKUP(E74,'NI-San_SP'!$C:$AN,13,FALSE)</f>
        <v>0</v>
      </c>
      <c r="S74" s="55"/>
      <c r="T74" s="55"/>
      <c r="U74" s="55">
        <f>VLOOKUP($E74,'NI-San_SP'!$C:$AN,MID(U$1,1,2),FALSE)</f>
        <v>0</v>
      </c>
      <c r="V74" s="55">
        <f>VLOOKUP($E74,'NI-San_SP'!$C:$AN,MID(V$1,1,2),FALSE)</f>
        <v>0</v>
      </c>
      <c r="W74" s="55">
        <f>VLOOKUP($E74,'NI-San_SP'!$C:$AN,MID(W$1,1,2),FALSE)</f>
        <v>0</v>
      </c>
      <c r="X74" s="55">
        <f>VLOOKUP($E74,'NI-San_SP'!$C:$AN,MID(X$1,1,2),FALSE)</f>
        <v>0</v>
      </c>
      <c r="Y74" s="55">
        <f>VLOOKUP($E74,'NI-San_SP'!$C:$AN,MID(Y$1,1,2),FALSE)</f>
        <v>0</v>
      </c>
      <c r="Z74" s="55">
        <f>VLOOKUP($E74,'NI-San_SP'!$C:$AN,MID(Z$1,1,2),FALSE)</f>
        <v>0</v>
      </c>
      <c r="AA74" s="55">
        <f>VLOOKUP($E74,'NI-San_SP'!$C:$AN,MID(AA$1,1,2),FALSE)</f>
        <v>0</v>
      </c>
      <c r="AB74" s="55">
        <f>VLOOKUP($E74,'NI-San_SP'!$C:$AN,MID(AB$1,1,2),FALSE)</f>
        <v>0</v>
      </c>
      <c r="AC74" s="55">
        <f>VLOOKUP($E74,'NI-San_SP'!$C:$AN,MID(AC$1,1,2),FALSE)</f>
        <v>0</v>
      </c>
      <c r="AD74" s="55">
        <f>VLOOKUP($E74,'NI-San_SP'!$C:$AN,MID(AD$1,1,2),FALSE)</f>
        <v>0</v>
      </c>
      <c r="AE74" s="55">
        <f>VLOOKUP($E74,'NI-San_SP'!$C:$AN,MID(AE$1,1,2),FALSE)</f>
        <v>0</v>
      </c>
      <c r="AF74" s="55">
        <f>VLOOKUP($E74,'NI-San_SP'!$C:$AN,MID(AF$1,1,2),FALSE)</f>
        <v>0</v>
      </c>
      <c r="AG74" s="55">
        <f>VLOOKUP($E74,'NI-San_SP'!$C:$AN,MID(AG$1,1,2),FALSE)</f>
        <v>0</v>
      </c>
      <c r="AH74" s="55">
        <f>VLOOKUP($E74,'NI-San_SP'!$C:$AN,MID(AH$1,1,2),FALSE)</f>
        <v>0</v>
      </c>
      <c r="AI74" s="55">
        <f>VLOOKUP($E74,'NI-San_SP'!$C:$AN,MID(AI$1,1,2),FALSE)</f>
        <v>0</v>
      </c>
      <c r="AJ74" s="55">
        <f>VLOOKUP($E74,'NI-San_SP'!$C:$AN,MID(AJ$1,1,2),FALSE)</f>
        <v>0</v>
      </c>
      <c r="AK74" s="55">
        <f>VLOOKUP($E74,'NI-San_SP'!$C:$AN,MID(AK$1,1,2),FALSE)</f>
        <v>0</v>
      </c>
      <c r="AL74" s="55">
        <f>VLOOKUP($E74,'NI-San_SP'!$C:$AN,MID(AL$1,1,2),FALSE)</f>
        <v>0</v>
      </c>
      <c r="AM74" s="56">
        <f>VLOOKUP($E74,'NI-San_SP'!$C:$AN,MID(AM$1,1,2),FALSE)</f>
        <v>0</v>
      </c>
      <c r="AN74" s="30" t="str">
        <f t="shared" si="1"/>
        <v>10105070010020</v>
      </c>
    </row>
    <row r="75" spans="3:40" x14ac:dyDescent="0.25">
      <c r="C75" s="40"/>
      <c r="D75" s="57" t="s">
        <v>359</v>
      </c>
      <c r="E75" s="57" t="s">
        <v>360</v>
      </c>
      <c r="F75" s="58" t="s">
        <v>110</v>
      </c>
      <c r="G75" s="52"/>
      <c r="H75" s="52"/>
      <c r="I75" s="52"/>
      <c r="J75" s="52"/>
      <c r="K75" s="59" t="s">
        <v>79</v>
      </c>
      <c r="L75" s="52"/>
      <c r="M75" s="52"/>
      <c r="N75" s="52"/>
      <c r="O75" s="52"/>
      <c r="P75" s="63" t="s">
        <v>361</v>
      </c>
      <c r="Q75" s="55">
        <f>VLOOKUP(E75,'NI-San_SP'!$C:$AN,12,FALSE)</f>
        <v>0</v>
      </c>
      <c r="R75" s="55">
        <f>VLOOKUP(E75,'NI-San_SP'!$C:$AN,13,FALSE)</f>
        <v>0</v>
      </c>
      <c r="S75" s="55"/>
      <c r="T75" s="55"/>
      <c r="U75" s="55">
        <f>VLOOKUP($E75,'NI-San_SP'!$C:$AN,MID(U$1,1,2),FALSE)</f>
        <v>0</v>
      </c>
      <c r="V75" s="55">
        <f>VLOOKUP($E75,'NI-San_SP'!$C:$AN,MID(V$1,1,2),FALSE)</f>
        <v>0</v>
      </c>
      <c r="W75" s="55">
        <f>VLOOKUP($E75,'NI-San_SP'!$C:$AN,MID(W$1,1,2),FALSE)</f>
        <v>0</v>
      </c>
      <c r="X75" s="55">
        <f>VLOOKUP($E75,'NI-San_SP'!$C:$AN,MID(X$1,1,2),FALSE)</f>
        <v>0</v>
      </c>
      <c r="Y75" s="55">
        <f>VLOOKUP($E75,'NI-San_SP'!$C:$AN,MID(Y$1,1,2),FALSE)</f>
        <v>0</v>
      </c>
      <c r="Z75" s="55">
        <f>VLOOKUP($E75,'NI-San_SP'!$C:$AN,MID(Z$1,1,2),FALSE)</f>
        <v>0</v>
      </c>
      <c r="AA75" s="55">
        <f>VLOOKUP($E75,'NI-San_SP'!$C:$AN,MID(AA$1,1,2),FALSE)</f>
        <v>0</v>
      </c>
      <c r="AB75" s="55">
        <f>VLOOKUP($E75,'NI-San_SP'!$C:$AN,MID(AB$1,1,2),FALSE)</f>
        <v>0</v>
      </c>
      <c r="AC75" s="55">
        <f>VLOOKUP($E75,'NI-San_SP'!$C:$AN,MID(AC$1,1,2),FALSE)</f>
        <v>0</v>
      </c>
      <c r="AD75" s="55">
        <f>VLOOKUP($E75,'NI-San_SP'!$C:$AN,MID(AD$1,1,2),FALSE)</f>
        <v>0</v>
      </c>
      <c r="AE75" s="55">
        <f>VLOOKUP($E75,'NI-San_SP'!$C:$AN,MID(AE$1,1,2),FALSE)</f>
        <v>0</v>
      </c>
      <c r="AF75" s="55">
        <f>VLOOKUP($E75,'NI-San_SP'!$C:$AN,MID(AF$1,1,2),FALSE)</f>
        <v>0</v>
      </c>
      <c r="AG75" s="55">
        <f>VLOOKUP($E75,'NI-San_SP'!$C:$AN,MID(AG$1,1,2),FALSE)</f>
        <v>0</v>
      </c>
      <c r="AH75" s="55">
        <f>VLOOKUP($E75,'NI-San_SP'!$C:$AN,MID(AH$1,1,2),FALSE)</f>
        <v>0</v>
      </c>
      <c r="AI75" s="55">
        <f>VLOOKUP($E75,'NI-San_SP'!$C:$AN,MID(AI$1,1,2),FALSE)</f>
        <v>0</v>
      </c>
      <c r="AJ75" s="55">
        <f>VLOOKUP($E75,'NI-San_SP'!$C:$AN,MID(AJ$1,1,2),FALSE)</f>
        <v>0</v>
      </c>
      <c r="AK75" s="55">
        <f>VLOOKUP($E75,'NI-San_SP'!$C:$AN,MID(AK$1,1,2),FALSE)</f>
        <v>0</v>
      </c>
      <c r="AL75" s="55">
        <f>VLOOKUP($E75,'NI-San_SP'!$C:$AN,MID(AL$1,1,2),FALSE)</f>
        <v>0</v>
      </c>
      <c r="AM75" s="56">
        <f>VLOOKUP($E75,'NI-San_SP'!$C:$AN,MID(AM$1,1,2),FALSE)</f>
        <v>0</v>
      </c>
      <c r="AN75" s="30" t="str">
        <f t="shared" si="1"/>
        <v>10105070020010</v>
      </c>
    </row>
    <row r="76" spans="3:40" x14ac:dyDescent="0.25">
      <c r="C76" s="40"/>
      <c r="D76" s="57" t="s">
        <v>362</v>
      </c>
      <c r="E76" s="57" t="s">
        <v>363</v>
      </c>
      <c r="F76" s="58" t="s">
        <v>110</v>
      </c>
      <c r="G76" s="52"/>
      <c r="H76" s="52"/>
      <c r="I76" s="52"/>
      <c r="J76" s="52"/>
      <c r="K76" s="59" t="s">
        <v>79</v>
      </c>
      <c r="L76" s="52"/>
      <c r="M76" s="52"/>
      <c r="N76" s="52"/>
      <c r="O76" s="52"/>
      <c r="P76" s="63" t="s">
        <v>364</v>
      </c>
      <c r="Q76" s="55">
        <f>VLOOKUP(E76,'NI-San_SP'!$C:$AN,12,FALSE)</f>
        <v>0</v>
      </c>
      <c r="R76" s="55">
        <f>VLOOKUP(E76,'NI-San_SP'!$C:$AN,13,FALSE)</f>
        <v>0</v>
      </c>
      <c r="S76" s="55"/>
      <c r="T76" s="55"/>
      <c r="U76" s="55">
        <f>VLOOKUP($E76,'NI-San_SP'!$C:$AN,MID(U$1,1,2),FALSE)</f>
        <v>0</v>
      </c>
      <c r="V76" s="55">
        <f>VLOOKUP($E76,'NI-San_SP'!$C:$AN,MID(V$1,1,2),FALSE)</f>
        <v>0</v>
      </c>
      <c r="W76" s="55">
        <f>VLOOKUP($E76,'NI-San_SP'!$C:$AN,MID(W$1,1,2),FALSE)</f>
        <v>0</v>
      </c>
      <c r="X76" s="55">
        <f>VLOOKUP($E76,'NI-San_SP'!$C:$AN,MID(X$1,1,2),FALSE)</f>
        <v>0</v>
      </c>
      <c r="Y76" s="55">
        <f>VLOOKUP($E76,'NI-San_SP'!$C:$AN,MID(Y$1,1,2),FALSE)</f>
        <v>0</v>
      </c>
      <c r="Z76" s="55">
        <f>VLOOKUP($E76,'NI-San_SP'!$C:$AN,MID(Z$1,1,2),FALSE)</f>
        <v>0</v>
      </c>
      <c r="AA76" s="55">
        <f>VLOOKUP($E76,'NI-San_SP'!$C:$AN,MID(AA$1,1,2),FALSE)</f>
        <v>0</v>
      </c>
      <c r="AB76" s="55">
        <f>VLOOKUP($E76,'NI-San_SP'!$C:$AN,MID(AB$1,1,2),FALSE)</f>
        <v>0</v>
      </c>
      <c r="AC76" s="55">
        <f>VLOOKUP($E76,'NI-San_SP'!$C:$AN,MID(AC$1,1,2),FALSE)</f>
        <v>0</v>
      </c>
      <c r="AD76" s="55">
        <f>VLOOKUP($E76,'NI-San_SP'!$C:$AN,MID(AD$1,1,2),FALSE)</f>
        <v>0</v>
      </c>
      <c r="AE76" s="55">
        <f>VLOOKUP($E76,'NI-San_SP'!$C:$AN,MID(AE$1,1,2),FALSE)</f>
        <v>0</v>
      </c>
      <c r="AF76" s="55">
        <f>VLOOKUP($E76,'NI-San_SP'!$C:$AN,MID(AF$1,1,2),FALSE)</f>
        <v>0</v>
      </c>
      <c r="AG76" s="55">
        <f>VLOOKUP($E76,'NI-San_SP'!$C:$AN,MID(AG$1,1,2),FALSE)</f>
        <v>0</v>
      </c>
      <c r="AH76" s="55">
        <f>VLOOKUP($E76,'NI-San_SP'!$C:$AN,MID(AH$1,1,2),FALSE)</f>
        <v>0</v>
      </c>
      <c r="AI76" s="55">
        <f>VLOOKUP($E76,'NI-San_SP'!$C:$AN,MID(AI$1,1,2),FALSE)</f>
        <v>0</v>
      </c>
      <c r="AJ76" s="55">
        <f>VLOOKUP($E76,'NI-San_SP'!$C:$AN,MID(AJ$1,1,2),FALSE)</f>
        <v>0</v>
      </c>
      <c r="AK76" s="55">
        <f>VLOOKUP($E76,'NI-San_SP'!$C:$AN,MID(AK$1,1,2),FALSE)</f>
        <v>0</v>
      </c>
      <c r="AL76" s="55">
        <f>VLOOKUP($E76,'NI-San_SP'!$C:$AN,MID(AL$1,1,2),FALSE)</f>
        <v>0</v>
      </c>
      <c r="AM76" s="56">
        <f>VLOOKUP($E76,'NI-San_SP'!$C:$AN,MID(AM$1,1,2),FALSE)</f>
        <v>0</v>
      </c>
      <c r="AN76" s="30" t="str">
        <f t="shared" si="1"/>
        <v>10105070020020</v>
      </c>
    </row>
    <row r="77" spans="3:40" x14ac:dyDescent="0.25">
      <c r="C77" s="40"/>
      <c r="D77" s="57" t="s">
        <v>365</v>
      </c>
      <c r="E77" s="57" t="s">
        <v>366</v>
      </c>
      <c r="F77" s="58" t="s">
        <v>110</v>
      </c>
      <c r="G77" s="52"/>
      <c r="H77" s="52"/>
      <c r="I77" s="52" t="s">
        <v>367</v>
      </c>
      <c r="J77" s="52" t="s">
        <v>367</v>
      </c>
      <c r="K77" s="59" t="s">
        <v>111</v>
      </c>
      <c r="L77" s="62" t="s">
        <v>289</v>
      </c>
      <c r="M77" s="52"/>
      <c r="N77" s="52"/>
      <c r="O77" s="52"/>
      <c r="P77" s="54" t="s">
        <v>368</v>
      </c>
      <c r="Q77" s="55">
        <f>VLOOKUP(E77,'NI-San_SP'!$C:$AN,12,FALSE)</f>
        <v>1650</v>
      </c>
      <c r="R77" s="55">
        <f>VLOOKUP(E77,'NI-San_SP'!$C:$AN,13,FALSE)</f>
        <v>1650</v>
      </c>
      <c r="S77" s="55"/>
      <c r="T77" s="55"/>
      <c r="U77" s="55">
        <f>VLOOKUP($E77,'NI-San_SP'!$C:$AN,MID(U$1,1,2),FALSE)</f>
        <v>0</v>
      </c>
      <c r="V77" s="55">
        <f>VLOOKUP($E77,'NI-San_SP'!$C:$AN,MID(V$1,1,2),FALSE)</f>
        <v>1650</v>
      </c>
      <c r="W77" s="55">
        <f>VLOOKUP($E77,'NI-San_SP'!$C:$AN,MID(W$1,1,2),FALSE)</f>
        <v>0</v>
      </c>
      <c r="X77" s="55">
        <f>VLOOKUP($E77,'NI-San_SP'!$C:$AN,MID(X$1,1,2),FALSE)</f>
        <v>0</v>
      </c>
      <c r="Y77" s="55">
        <f>VLOOKUP($E77,'NI-San_SP'!$C:$AN,MID(Y$1,1,2),FALSE)</f>
        <v>0</v>
      </c>
      <c r="Z77" s="55">
        <f>VLOOKUP($E77,'NI-San_SP'!$C:$AN,MID(Z$1,1,2),FALSE)</f>
        <v>0</v>
      </c>
      <c r="AA77" s="55">
        <f>VLOOKUP($E77,'NI-San_SP'!$C:$AN,MID(AA$1,1,2),FALSE)</f>
        <v>0</v>
      </c>
      <c r="AB77" s="55">
        <f>VLOOKUP($E77,'NI-San_SP'!$C:$AN,MID(AB$1,1,2),FALSE)</f>
        <v>0</v>
      </c>
      <c r="AC77" s="55">
        <f>VLOOKUP($E77,'NI-San_SP'!$C:$AN,MID(AC$1,1,2),FALSE)</f>
        <v>0</v>
      </c>
      <c r="AD77" s="55">
        <f>VLOOKUP($E77,'NI-San_SP'!$C:$AN,MID(AD$1,1,2),FALSE)</f>
        <v>0</v>
      </c>
      <c r="AE77" s="55">
        <f>VLOOKUP($E77,'NI-San_SP'!$C:$AN,MID(AE$1,1,2),FALSE)</f>
        <v>0</v>
      </c>
      <c r="AF77" s="55">
        <f>VLOOKUP($E77,'NI-San_SP'!$C:$AN,MID(AF$1,1,2),FALSE)</f>
        <v>0</v>
      </c>
      <c r="AG77" s="55">
        <f>VLOOKUP($E77,'NI-San_SP'!$C:$AN,MID(AG$1,1,2),FALSE)</f>
        <v>0</v>
      </c>
      <c r="AH77" s="55">
        <f>VLOOKUP($E77,'NI-San_SP'!$C:$AN,MID(AH$1,1,2),FALSE)</f>
        <v>0</v>
      </c>
      <c r="AI77" s="55">
        <f>VLOOKUP($E77,'NI-San_SP'!$C:$AN,MID(AI$1,1,2),FALSE)</f>
        <v>0</v>
      </c>
      <c r="AJ77" s="55">
        <f>VLOOKUP($E77,'NI-San_SP'!$C:$AN,MID(AJ$1,1,2),FALSE)</f>
        <v>0</v>
      </c>
      <c r="AK77" s="55">
        <f>VLOOKUP($E77,'NI-San_SP'!$C:$AN,MID(AK$1,1,2),FALSE)</f>
        <v>0</v>
      </c>
      <c r="AL77" s="55">
        <f>VLOOKUP($E77,'NI-San_SP'!$C:$AN,MID(AL$1,1,2),FALSE)</f>
        <v>0</v>
      </c>
      <c r="AM77" s="56">
        <f>VLOOKUP($E77,'NI-San_SP'!$C:$AN,MID(AM$1,1,2),FALSE)</f>
        <v>0</v>
      </c>
      <c r="AN77" s="30" t="str">
        <f t="shared" si="1"/>
        <v>10105080000000</v>
      </c>
    </row>
    <row r="78" spans="3:40" x14ac:dyDescent="0.25">
      <c r="C78" s="40"/>
      <c r="D78" s="57" t="s">
        <v>369</v>
      </c>
      <c r="E78" s="57" t="s">
        <v>370</v>
      </c>
      <c r="F78" s="58" t="s">
        <v>110</v>
      </c>
      <c r="G78" s="52"/>
      <c r="H78" s="52"/>
      <c r="I78" s="52"/>
      <c r="J78" s="52"/>
      <c r="K78" s="59" t="s">
        <v>79</v>
      </c>
      <c r="L78" s="52"/>
      <c r="M78" s="52"/>
      <c r="N78" s="52"/>
      <c r="O78" s="52"/>
      <c r="P78" s="63" t="s">
        <v>371</v>
      </c>
      <c r="Q78" s="55">
        <f>VLOOKUP(E78,'NI-San_SP'!$C:$AN,12,FALSE)</f>
        <v>1650</v>
      </c>
      <c r="R78" s="55">
        <f>VLOOKUP(E78,'NI-San_SP'!$C:$AN,13,FALSE)</f>
        <v>1650</v>
      </c>
      <c r="S78" s="55"/>
      <c r="T78" s="55"/>
      <c r="U78" s="55">
        <f>VLOOKUP($E78,'NI-San_SP'!$C:$AN,MID(U$1,1,2),FALSE)</f>
        <v>0</v>
      </c>
      <c r="V78" s="55">
        <f>VLOOKUP($E78,'NI-San_SP'!$C:$AN,MID(V$1,1,2),FALSE)</f>
        <v>1650</v>
      </c>
      <c r="W78" s="55">
        <f>VLOOKUP($E78,'NI-San_SP'!$C:$AN,MID(W$1,1,2),FALSE)</f>
        <v>0</v>
      </c>
      <c r="X78" s="55">
        <f>VLOOKUP($E78,'NI-San_SP'!$C:$AN,MID(X$1,1,2),FALSE)</f>
        <v>0</v>
      </c>
      <c r="Y78" s="55">
        <f>VLOOKUP($E78,'NI-San_SP'!$C:$AN,MID(Y$1,1,2),FALSE)</f>
        <v>0</v>
      </c>
      <c r="Z78" s="55">
        <f>VLOOKUP($E78,'NI-San_SP'!$C:$AN,MID(Z$1,1,2),FALSE)</f>
        <v>0</v>
      </c>
      <c r="AA78" s="55">
        <f>VLOOKUP($E78,'NI-San_SP'!$C:$AN,MID(AA$1,1,2),FALSE)</f>
        <v>0</v>
      </c>
      <c r="AB78" s="55">
        <f>VLOOKUP($E78,'NI-San_SP'!$C:$AN,MID(AB$1,1,2),FALSE)</f>
        <v>0</v>
      </c>
      <c r="AC78" s="55">
        <f>VLOOKUP($E78,'NI-San_SP'!$C:$AN,MID(AC$1,1,2),FALSE)</f>
        <v>0</v>
      </c>
      <c r="AD78" s="55">
        <f>VLOOKUP($E78,'NI-San_SP'!$C:$AN,MID(AD$1,1,2),FALSE)</f>
        <v>0</v>
      </c>
      <c r="AE78" s="55">
        <f>VLOOKUP($E78,'NI-San_SP'!$C:$AN,MID(AE$1,1,2),FALSE)</f>
        <v>0</v>
      </c>
      <c r="AF78" s="55">
        <f>VLOOKUP($E78,'NI-San_SP'!$C:$AN,MID(AF$1,1,2),FALSE)</f>
        <v>0</v>
      </c>
      <c r="AG78" s="55">
        <f>VLOOKUP($E78,'NI-San_SP'!$C:$AN,MID(AG$1,1,2),FALSE)</f>
        <v>0</v>
      </c>
      <c r="AH78" s="55">
        <f>VLOOKUP($E78,'NI-San_SP'!$C:$AN,MID(AH$1,1,2),FALSE)</f>
        <v>0</v>
      </c>
      <c r="AI78" s="55">
        <f>VLOOKUP($E78,'NI-San_SP'!$C:$AN,MID(AI$1,1,2),FALSE)</f>
        <v>0</v>
      </c>
      <c r="AJ78" s="55">
        <f>VLOOKUP($E78,'NI-San_SP'!$C:$AN,MID(AJ$1,1,2),FALSE)</f>
        <v>0</v>
      </c>
      <c r="AK78" s="55">
        <f>VLOOKUP($E78,'NI-San_SP'!$C:$AN,MID(AK$1,1,2),FALSE)</f>
        <v>0</v>
      </c>
      <c r="AL78" s="55">
        <f>VLOOKUP($E78,'NI-San_SP'!$C:$AN,MID(AL$1,1,2),FALSE)</f>
        <v>0</v>
      </c>
      <c r="AM78" s="56">
        <f>VLOOKUP($E78,'NI-San_SP'!$C:$AN,MID(AM$1,1,2),FALSE)</f>
        <v>0</v>
      </c>
      <c r="AN78" s="30" t="str">
        <f t="shared" si="1"/>
        <v>10105080010010</v>
      </c>
    </row>
    <row r="79" spans="3:40" x14ac:dyDescent="0.25">
      <c r="C79" s="40"/>
      <c r="D79" s="57" t="s">
        <v>372</v>
      </c>
      <c r="E79" s="57" t="s">
        <v>373</v>
      </c>
      <c r="F79" s="58" t="s">
        <v>110</v>
      </c>
      <c r="G79" s="52"/>
      <c r="H79" s="52"/>
      <c r="I79" s="52"/>
      <c r="J79" s="52"/>
      <c r="K79" s="59" t="s">
        <v>79</v>
      </c>
      <c r="L79" s="52"/>
      <c r="M79" s="52"/>
      <c r="N79" s="52"/>
      <c r="O79" s="52"/>
      <c r="P79" s="63" t="s">
        <v>374</v>
      </c>
      <c r="Q79" s="55">
        <f>VLOOKUP(E79,'NI-San_SP'!$C:$AN,12,FALSE)</f>
        <v>0</v>
      </c>
      <c r="R79" s="55">
        <f>VLOOKUP(E79,'NI-San_SP'!$C:$AN,13,FALSE)</f>
        <v>0</v>
      </c>
      <c r="S79" s="55"/>
      <c r="T79" s="55"/>
      <c r="U79" s="55">
        <f>VLOOKUP($E79,'NI-San_SP'!$C:$AN,MID(U$1,1,2),FALSE)</f>
        <v>0</v>
      </c>
      <c r="V79" s="55">
        <f>VLOOKUP($E79,'NI-San_SP'!$C:$AN,MID(V$1,1,2),FALSE)</f>
        <v>0</v>
      </c>
      <c r="W79" s="55">
        <f>VLOOKUP($E79,'NI-San_SP'!$C:$AN,MID(W$1,1,2),FALSE)</f>
        <v>0</v>
      </c>
      <c r="X79" s="55">
        <f>VLOOKUP($E79,'NI-San_SP'!$C:$AN,MID(X$1,1,2),FALSE)</f>
        <v>0</v>
      </c>
      <c r="Y79" s="55">
        <f>VLOOKUP($E79,'NI-San_SP'!$C:$AN,MID(Y$1,1,2),FALSE)</f>
        <v>0</v>
      </c>
      <c r="Z79" s="55">
        <f>VLOOKUP($E79,'NI-San_SP'!$C:$AN,MID(Z$1,1,2),FALSE)</f>
        <v>0</v>
      </c>
      <c r="AA79" s="55">
        <f>VLOOKUP($E79,'NI-San_SP'!$C:$AN,MID(AA$1,1,2),FALSE)</f>
        <v>0</v>
      </c>
      <c r="AB79" s="55">
        <f>VLOOKUP($E79,'NI-San_SP'!$C:$AN,MID(AB$1,1,2),FALSE)</f>
        <v>0</v>
      </c>
      <c r="AC79" s="55">
        <f>VLOOKUP($E79,'NI-San_SP'!$C:$AN,MID(AC$1,1,2),FALSE)</f>
        <v>0</v>
      </c>
      <c r="AD79" s="55">
        <f>VLOOKUP($E79,'NI-San_SP'!$C:$AN,MID(AD$1,1,2),FALSE)</f>
        <v>0</v>
      </c>
      <c r="AE79" s="55">
        <f>VLOOKUP($E79,'NI-San_SP'!$C:$AN,MID(AE$1,1,2),FALSE)</f>
        <v>0</v>
      </c>
      <c r="AF79" s="55">
        <f>VLOOKUP($E79,'NI-San_SP'!$C:$AN,MID(AF$1,1,2),FALSE)</f>
        <v>0</v>
      </c>
      <c r="AG79" s="55">
        <f>VLOOKUP($E79,'NI-San_SP'!$C:$AN,MID(AG$1,1,2),FALSE)</f>
        <v>0</v>
      </c>
      <c r="AH79" s="55">
        <f>VLOOKUP($E79,'NI-San_SP'!$C:$AN,MID(AH$1,1,2),FALSE)</f>
        <v>0</v>
      </c>
      <c r="AI79" s="55">
        <f>VLOOKUP($E79,'NI-San_SP'!$C:$AN,MID(AI$1,1,2),FALSE)</f>
        <v>0</v>
      </c>
      <c r="AJ79" s="55">
        <f>VLOOKUP($E79,'NI-San_SP'!$C:$AN,MID(AJ$1,1,2),FALSE)</f>
        <v>0</v>
      </c>
      <c r="AK79" s="55">
        <f>VLOOKUP($E79,'NI-San_SP'!$C:$AN,MID(AK$1,1,2),FALSE)</f>
        <v>0</v>
      </c>
      <c r="AL79" s="55">
        <f>VLOOKUP($E79,'NI-San_SP'!$C:$AN,MID(AL$1,1,2),FALSE)</f>
        <v>0</v>
      </c>
      <c r="AM79" s="56">
        <f>VLOOKUP($E79,'NI-San_SP'!$C:$AN,MID(AM$1,1,2),FALSE)</f>
        <v>0</v>
      </c>
      <c r="AN79" s="30" t="str">
        <f t="shared" si="1"/>
        <v>10105080010020</v>
      </c>
    </row>
    <row r="80" spans="3:40" x14ac:dyDescent="0.25">
      <c r="C80" s="40"/>
      <c r="D80" s="57" t="s">
        <v>375</v>
      </c>
      <c r="E80" s="57" t="s">
        <v>376</v>
      </c>
      <c r="F80" s="58" t="s">
        <v>110</v>
      </c>
      <c r="G80" s="52"/>
      <c r="H80" s="52"/>
      <c r="I80" s="52"/>
      <c r="J80" s="52"/>
      <c r="K80" s="59" t="s">
        <v>79</v>
      </c>
      <c r="L80" s="52"/>
      <c r="M80" s="52"/>
      <c r="N80" s="52"/>
      <c r="O80" s="52"/>
      <c r="P80" s="63" t="s">
        <v>377</v>
      </c>
      <c r="Q80" s="55">
        <f>VLOOKUP(E80,'NI-San_SP'!$C:$AN,12,FALSE)</f>
        <v>0</v>
      </c>
      <c r="R80" s="55">
        <f>VLOOKUP(E80,'NI-San_SP'!$C:$AN,13,FALSE)</f>
        <v>0</v>
      </c>
      <c r="S80" s="55"/>
      <c r="T80" s="55"/>
      <c r="U80" s="55">
        <f>VLOOKUP($E80,'NI-San_SP'!$C:$AN,MID(U$1,1,2),FALSE)</f>
        <v>0</v>
      </c>
      <c r="V80" s="55">
        <f>VLOOKUP($E80,'NI-San_SP'!$C:$AN,MID(V$1,1,2),FALSE)</f>
        <v>0</v>
      </c>
      <c r="W80" s="55">
        <f>VLOOKUP($E80,'NI-San_SP'!$C:$AN,MID(W$1,1,2),FALSE)</f>
        <v>0</v>
      </c>
      <c r="X80" s="55">
        <f>VLOOKUP($E80,'NI-San_SP'!$C:$AN,MID(X$1,1,2),FALSE)</f>
        <v>0</v>
      </c>
      <c r="Y80" s="55">
        <f>VLOOKUP($E80,'NI-San_SP'!$C:$AN,MID(Y$1,1,2),FALSE)</f>
        <v>0</v>
      </c>
      <c r="Z80" s="55">
        <f>VLOOKUP($E80,'NI-San_SP'!$C:$AN,MID(Z$1,1,2),FALSE)</f>
        <v>0</v>
      </c>
      <c r="AA80" s="55">
        <f>VLOOKUP($E80,'NI-San_SP'!$C:$AN,MID(AA$1,1,2),FALSE)</f>
        <v>0</v>
      </c>
      <c r="AB80" s="55">
        <f>VLOOKUP($E80,'NI-San_SP'!$C:$AN,MID(AB$1,1,2),FALSE)</f>
        <v>0</v>
      </c>
      <c r="AC80" s="55">
        <f>VLOOKUP($E80,'NI-San_SP'!$C:$AN,MID(AC$1,1,2),FALSE)</f>
        <v>0</v>
      </c>
      <c r="AD80" s="55">
        <f>VLOOKUP($E80,'NI-San_SP'!$C:$AN,MID(AD$1,1,2),FALSE)</f>
        <v>0</v>
      </c>
      <c r="AE80" s="55">
        <f>VLOOKUP($E80,'NI-San_SP'!$C:$AN,MID(AE$1,1,2),FALSE)</f>
        <v>0</v>
      </c>
      <c r="AF80" s="55">
        <f>VLOOKUP($E80,'NI-San_SP'!$C:$AN,MID(AF$1,1,2),FALSE)</f>
        <v>0</v>
      </c>
      <c r="AG80" s="55">
        <f>VLOOKUP($E80,'NI-San_SP'!$C:$AN,MID(AG$1,1,2),FALSE)</f>
        <v>0</v>
      </c>
      <c r="AH80" s="55">
        <f>VLOOKUP($E80,'NI-San_SP'!$C:$AN,MID(AH$1,1,2),FALSE)</f>
        <v>0</v>
      </c>
      <c r="AI80" s="55">
        <f>VLOOKUP($E80,'NI-San_SP'!$C:$AN,MID(AI$1,1,2),FALSE)</f>
        <v>0</v>
      </c>
      <c r="AJ80" s="55">
        <f>VLOOKUP($E80,'NI-San_SP'!$C:$AN,MID(AJ$1,1,2),FALSE)</f>
        <v>0</v>
      </c>
      <c r="AK80" s="55">
        <f>VLOOKUP($E80,'NI-San_SP'!$C:$AN,MID(AK$1,1,2),FALSE)</f>
        <v>0</v>
      </c>
      <c r="AL80" s="55">
        <f>VLOOKUP($E80,'NI-San_SP'!$C:$AN,MID(AL$1,1,2),FALSE)</f>
        <v>0</v>
      </c>
      <c r="AM80" s="56">
        <f>VLOOKUP($E80,'NI-San_SP'!$C:$AN,MID(AM$1,1,2),FALSE)</f>
        <v>0</v>
      </c>
      <c r="AN80" s="30" t="str">
        <f t="shared" si="1"/>
        <v>10105080020010</v>
      </c>
    </row>
    <row r="81" spans="3:40" x14ac:dyDescent="0.25">
      <c r="C81" s="40"/>
      <c r="D81" s="57" t="s">
        <v>378</v>
      </c>
      <c r="E81" s="57" t="s">
        <v>379</v>
      </c>
      <c r="F81" s="58" t="s">
        <v>110</v>
      </c>
      <c r="G81" s="52"/>
      <c r="H81" s="52"/>
      <c r="I81" s="52"/>
      <c r="J81" s="52"/>
      <c r="K81" s="59" t="s">
        <v>79</v>
      </c>
      <c r="L81" s="52"/>
      <c r="M81" s="52"/>
      <c r="N81" s="52"/>
      <c r="O81" s="52"/>
      <c r="P81" s="63" t="s">
        <v>380</v>
      </c>
      <c r="Q81" s="55">
        <f>VLOOKUP(E81,'NI-San_SP'!$C:$AN,12,FALSE)</f>
        <v>0</v>
      </c>
      <c r="R81" s="55">
        <f>VLOOKUP(E81,'NI-San_SP'!$C:$AN,13,FALSE)</f>
        <v>0</v>
      </c>
      <c r="S81" s="55"/>
      <c r="T81" s="55"/>
      <c r="U81" s="55">
        <f>VLOOKUP($E81,'NI-San_SP'!$C:$AN,MID(U$1,1,2),FALSE)</f>
        <v>0</v>
      </c>
      <c r="V81" s="55">
        <f>VLOOKUP($E81,'NI-San_SP'!$C:$AN,MID(V$1,1,2),FALSE)</f>
        <v>0</v>
      </c>
      <c r="W81" s="55">
        <f>VLOOKUP($E81,'NI-San_SP'!$C:$AN,MID(W$1,1,2),FALSE)</f>
        <v>0</v>
      </c>
      <c r="X81" s="55">
        <f>VLOOKUP($E81,'NI-San_SP'!$C:$AN,MID(X$1,1,2),FALSE)</f>
        <v>0</v>
      </c>
      <c r="Y81" s="55">
        <f>VLOOKUP($E81,'NI-San_SP'!$C:$AN,MID(Y$1,1,2),FALSE)</f>
        <v>0</v>
      </c>
      <c r="Z81" s="55">
        <f>VLOOKUP($E81,'NI-San_SP'!$C:$AN,MID(Z$1,1,2),FALSE)</f>
        <v>0</v>
      </c>
      <c r="AA81" s="55">
        <f>VLOOKUP($E81,'NI-San_SP'!$C:$AN,MID(AA$1,1,2),FALSE)</f>
        <v>0</v>
      </c>
      <c r="AB81" s="55">
        <f>VLOOKUP($E81,'NI-San_SP'!$C:$AN,MID(AB$1,1,2),FALSE)</f>
        <v>0</v>
      </c>
      <c r="AC81" s="55">
        <f>VLOOKUP($E81,'NI-San_SP'!$C:$AN,MID(AC$1,1,2),FALSE)</f>
        <v>0</v>
      </c>
      <c r="AD81" s="55">
        <f>VLOOKUP($E81,'NI-San_SP'!$C:$AN,MID(AD$1,1,2),FALSE)</f>
        <v>0</v>
      </c>
      <c r="AE81" s="55">
        <f>VLOOKUP($E81,'NI-San_SP'!$C:$AN,MID(AE$1,1,2),FALSE)</f>
        <v>0</v>
      </c>
      <c r="AF81" s="55">
        <f>VLOOKUP($E81,'NI-San_SP'!$C:$AN,MID(AF$1,1,2),FALSE)</f>
        <v>0</v>
      </c>
      <c r="AG81" s="55">
        <f>VLOOKUP($E81,'NI-San_SP'!$C:$AN,MID(AG$1,1,2),FALSE)</f>
        <v>0</v>
      </c>
      <c r="AH81" s="55">
        <f>VLOOKUP($E81,'NI-San_SP'!$C:$AN,MID(AH$1,1,2),FALSE)</f>
        <v>0</v>
      </c>
      <c r="AI81" s="55">
        <f>VLOOKUP($E81,'NI-San_SP'!$C:$AN,MID(AI$1,1,2),FALSE)</f>
        <v>0</v>
      </c>
      <c r="AJ81" s="55">
        <f>VLOOKUP($E81,'NI-San_SP'!$C:$AN,MID(AJ$1,1,2),FALSE)</f>
        <v>0</v>
      </c>
      <c r="AK81" s="55">
        <f>VLOOKUP($E81,'NI-San_SP'!$C:$AN,MID(AK$1,1,2),FALSE)</f>
        <v>0</v>
      </c>
      <c r="AL81" s="55">
        <f>VLOOKUP($E81,'NI-San_SP'!$C:$AN,MID(AL$1,1,2),FALSE)</f>
        <v>0</v>
      </c>
      <c r="AM81" s="56">
        <f>VLOOKUP($E81,'NI-San_SP'!$C:$AN,MID(AM$1,1,2),FALSE)</f>
        <v>0</v>
      </c>
      <c r="AN81" s="30" t="str">
        <f t="shared" si="1"/>
        <v>10105080020020</v>
      </c>
    </row>
    <row r="82" spans="3:40" x14ac:dyDescent="0.25">
      <c r="C82" s="40"/>
      <c r="D82" s="57" t="s">
        <v>381</v>
      </c>
      <c r="E82" s="57" t="s">
        <v>382</v>
      </c>
      <c r="F82" s="58" t="s">
        <v>110</v>
      </c>
      <c r="G82" s="52"/>
      <c r="H82" s="52"/>
      <c r="I82" s="52"/>
      <c r="J82" s="52"/>
      <c r="K82" s="59" t="s">
        <v>111</v>
      </c>
      <c r="L82" s="52"/>
      <c r="M82" s="52"/>
      <c r="N82" s="52"/>
      <c r="O82" s="52"/>
      <c r="P82" s="60" t="s">
        <v>383</v>
      </c>
      <c r="Q82" s="55">
        <f>VLOOKUP(E82,'NI-San_SP'!$C:$AN,12,FALSE)</f>
        <v>0</v>
      </c>
      <c r="R82" s="55">
        <f>VLOOKUP(E82,'NI-San_SP'!$C:$AN,13,FALSE)</f>
        <v>0</v>
      </c>
      <c r="S82" s="55"/>
      <c r="T82" s="55"/>
      <c r="U82" s="55">
        <f>VLOOKUP($E82,'NI-San_SP'!$C:$AN,MID(U$1,1,2),FALSE)</f>
        <v>0</v>
      </c>
      <c r="V82" s="55">
        <f>VLOOKUP($E82,'NI-San_SP'!$C:$AN,MID(V$1,1,2),FALSE)</f>
        <v>0</v>
      </c>
      <c r="W82" s="55">
        <f>VLOOKUP($E82,'NI-San_SP'!$C:$AN,MID(W$1,1,2),FALSE)</f>
        <v>0</v>
      </c>
      <c r="X82" s="55">
        <f>VLOOKUP($E82,'NI-San_SP'!$C:$AN,MID(X$1,1,2),FALSE)</f>
        <v>0</v>
      </c>
      <c r="Y82" s="55">
        <f>VLOOKUP($E82,'NI-San_SP'!$C:$AN,MID(Y$1,1,2),FALSE)</f>
        <v>0</v>
      </c>
      <c r="Z82" s="55">
        <f>VLOOKUP($E82,'NI-San_SP'!$C:$AN,MID(Z$1,1,2),FALSE)</f>
        <v>0</v>
      </c>
      <c r="AA82" s="55">
        <f>VLOOKUP($E82,'NI-San_SP'!$C:$AN,MID(AA$1,1,2),FALSE)</f>
        <v>0</v>
      </c>
      <c r="AB82" s="55">
        <f>VLOOKUP($E82,'NI-San_SP'!$C:$AN,MID(AB$1,1,2),FALSE)</f>
        <v>0</v>
      </c>
      <c r="AC82" s="55">
        <f>VLOOKUP($E82,'NI-San_SP'!$C:$AN,MID(AC$1,1,2),FALSE)</f>
        <v>0</v>
      </c>
      <c r="AD82" s="55">
        <f>VLOOKUP($E82,'NI-San_SP'!$C:$AN,MID(AD$1,1,2),FALSE)</f>
        <v>0</v>
      </c>
      <c r="AE82" s="55">
        <f>VLOOKUP($E82,'NI-San_SP'!$C:$AN,MID(AE$1,1,2),FALSE)</f>
        <v>0</v>
      </c>
      <c r="AF82" s="55">
        <f>VLOOKUP($E82,'NI-San_SP'!$C:$AN,MID(AF$1,1,2),FALSE)</f>
        <v>0</v>
      </c>
      <c r="AG82" s="55">
        <f>VLOOKUP($E82,'NI-San_SP'!$C:$AN,MID(AG$1,1,2),FALSE)</f>
        <v>0</v>
      </c>
      <c r="AH82" s="55">
        <f>VLOOKUP($E82,'NI-San_SP'!$C:$AN,MID(AH$1,1,2),FALSE)</f>
        <v>0</v>
      </c>
      <c r="AI82" s="55">
        <f>VLOOKUP($E82,'NI-San_SP'!$C:$AN,MID(AI$1,1,2),FALSE)</f>
        <v>0</v>
      </c>
      <c r="AJ82" s="55">
        <f>VLOOKUP($E82,'NI-San_SP'!$C:$AN,MID(AJ$1,1,2),FALSE)</f>
        <v>0</v>
      </c>
      <c r="AK82" s="55">
        <f>VLOOKUP($E82,'NI-San_SP'!$C:$AN,MID(AK$1,1,2),FALSE)</f>
        <v>0</v>
      </c>
      <c r="AL82" s="55">
        <f>VLOOKUP($E82,'NI-San_SP'!$C:$AN,MID(AL$1,1,2),FALSE)</f>
        <v>0</v>
      </c>
      <c r="AM82" s="56">
        <f>VLOOKUP($E82,'NI-San_SP'!$C:$AN,MID(AM$1,1,2),FALSE)</f>
        <v>0</v>
      </c>
      <c r="AN82" s="30" t="str">
        <f t="shared" si="1"/>
        <v>10106000000000</v>
      </c>
    </row>
    <row r="83" spans="3:40" x14ac:dyDescent="0.25">
      <c r="C83" s="40"/>
      <c r="D83" s="57" t="s">
        <v>384</v>
      </c>
      <c r="E83" s="57" t="s">
        <v>385</v>
      </c>
      <c r="F83" s="58" t="s">
        <v>110</v>
      </c>
      <c r="G83" s="52"/>
      <c r="H83" s="52"/>
      <c r="I83" s="52" t="s">
        <v>386</v>
      </c>
      <c r="J83" s="52" t="s">
        <v>386</v>
      </c>
      <c r="K83" s="59" t="s">
        <v>111</v>
      </c>
      <c r="L83" s="62" t="s">
        <v>387</v>
      </c>
      <c r="M83" s="52"/>
      <c r="N83" s="52"/>
      <c r="O83" s="61" t="s">
        <v>121</v>
      </c>
      <c r="P83" s="60" t="s">
        <v>388</v>
      </c>
      <c r="Q83" s="55">
        <f>VLOOKUP(E83,'NI-San_SP'!$C:$AN,12,FALSE)</f>
        <v>0</v>
      </c>
      <c r="R83" s="55">
        <f>VLOOKUP(E83,'NI-San_SP'!$C:$AN,13,FALSE)</f>
        <v>0</v>
      </c>
      <c r="S83" s="55"/>
      <c r="T83" s="55"/>
      <c r="U83" s="55">
        <f>VLOOKUP($E83,'NI-San_SP'!$C:$AN,MID(U$1,1,2),FALSE)</f>
        <v>0</v>
      </c>
      <c r="V83" s="55">
        <f>VLOOKUP($E83,'NI-San_SP'!$C:$AN,MID(V$1,1,2),FALSE)</f>
        <v>0</v>
      </c>
      <c r="W83" s="55">
        <f>VLOOKUP($E83,'NI-San_SP'!$C:$AN,MID(W$1,1,2),FALSE)</f>
        <v>0</v>
      </c>
      <c r="X83" s="55">
        <f>VLOOKUP($E83,'NI-San_SP'!$C:$AN,MID(X$1,1,2),FALSE)</f>
        <v>0</v>
      </c>
      <c r="Y83" s="55">
        <f>VLOOKUP($E83,'NI-San_SP'!$C:$AN,MID(Y$1,1,2),FALSE)</f>
        <v>0</v>
      </c>
      <c r="Z83" s="55">
        <f>VLOOKUP($E83,'NI-San_SP'!$C:$AN,MID(Z$1,1,2),FALSE)</f>
        <v>0</v>
      </c>
      <c r="AA83" s="55">
        <f>VLOOKUP($E83,'NI-San_SP'!$C:$AN,MID(AA$1,1,2),FALSE)</f>
        <v>0</v>
      </c>
      <c r="AB83" s="55">
        <f>VLOOKUP($E83,'NI-San_SP'!$C:$AN,MID(AB$1,1,2),FALSE)</f>
        <v>0</v>
      </c>
      <c r="AC83" s="55">
        <f>VLOOKUP($E83,'NI-San_SP'!$C:$AN,MID(AC$1,1,2),FALSE)</f>
        <v>0</v>
      </c>
      <c r="AD83" s="55">
        <f>VLOOKUP($E83,'NI-San_SP'!$C:$AN,MID(AD$1,1,2),FALSE)</f>
        <v>0</v>
      </c>
      <c r="AE83" s="55">
        <f>VLOOKUP($E83,'NI-San_SP'!$C:$AN,MID(AE$1,1,2),FALSE)</f>
        <v>0</v>
      </c>
      <c r="AF83" s="55">
        <f>VLOOKUP($E83,'NI-San_SP'!$C:$AN,MID(AF$1,1,2),FALSE)</f>
        <v>0</v>
      </c>
      <c r="AG83" s="55">
        <f>VLOOKUP($E83,'NI-San_SP'!$C:$AN,MID(AG$1,1,2),FALSE)</f>
        <v>0</v>
      </c>
      <c r="AH83" s="55">
        <f>VLOOKUP($E83,'NI-San_SP'!$C:$AN,MID(AH$1,1,2),FALSE)</f>
        <v>0</v>
      </c>
      <c r="AI83" s="55">
        <f>VLOOKUP($E83,'NI-San_SP'!$C:$AN,MID(AI$1,1,2),FALSE)</f>
        <v>0</v>
      </c>
      <c r="AJ83" s="55">
        <f>VLOOKUP($E83,'NI-San_SP'!$C:$AN,MID(AJ$1,1,2),FALSE)</f>
        <v>0</v>
      </c>
      <c r="AK83" s="55">
        <f>VLOOKUP($E83,'NI-San_SP'!$C:$AN,MID(AK$1,1,2),FALSE)</f>
        <v>0</v>
      </c>
      <c r="AL83" s="55">
        <f>VLOOKUP($E83,'NI-San_SP'!$C:$AN,MID(AL$1,1,2),FALSE)</f>
        <v>0</v>
      </c>
      <c r="AM83" s="56">
        <f>VLOOKUP($E83,'NI-San_SP'!$C:$AN,MID(AM$1,1,2),FALSE)</f>
        <v>0</v>
      </c>
      <c r="AN83" s="30" t="str">
        <f t="shared" si="1"/>
        <v>10106010000000</v>
      </c>
    </row>
    <row r="84" spans="3:40" x14ac:dyDescent="0.25">
      <c r="C84" s="40"/>
      <c r="D84" s="57" t="s">
        <v>389</v>
      </c>
      <c r="E84" s="57" t="s">
        <v>390</v>
      </c>
      <c r="F84" s="58" t="s">
        <v>110</v>
      </c>
      <c r="G84" s="52"/>
      <c r="H84" s="52"/>
      <c r="I84" s="52"/>
      <c r="J84" s="52"/>
      <c r="K84" s="59" t="s">
        <v>79</v>
      </c>
      <c r="L84" s="52"/>
      <c r="M84" s="52"/>
      <c r="N84" s="52"/>
      <c r="O84" s="52"/>
      <c r="P84" s="63" t="s">
        <v>391</v>
      </c>
      <c r="Q84" s="55">
        <f>VLOOKUP(E84,'NI-San_SP'!$C:$AN,12,FALSE)</f>
        <v>0</v>
      </c>
      <c r="R84" s="55">
        <f>VLOOKUP(E84,'NI-San_SP'!$C:$AN,13,FALSE)</f>
        <v>0</v>
      </c>
      <c r="S84" s="55"/>
      <c r="T84" s="55"/>
      <c r="U84" s="55">
        <f>VLOOKUP($E84,'NI-San_SP'!$C:$AN,MID(U$1,1,2),FALSE)</f>
        <v>0</v>
      </c>
      <c r="V84" s="55">
        <f>VLOOKUP($E84,'NI-San_SP'!$C:$AN,MID(V$1,1,2),FALSE)</f>
        <v>0</v>
      </c>
      <c r="W84" s="55">
        <f>VLOOKUP($E84,'NI-San_SP'!$C:$AN,MID(W$1,1,2),FALSE)</f>
        <v>0</v>
      </c>
      <c r="X84" s="55">
        <f>VLOOKUP($E84,'NI-San_SP'!$C:$AN,MID(X$1,1,2),FALSE)</f>
        <v>0</v>
      </c>
      <c r="Y84" s="55">
        <f>VLOOKUP($E84,'NI-San_SP'!$C:$AN,MID(Y$1,1,2),FALSE)</f>
        <v>0</v>
      </c>
      <c r="Z84" s="55">
        <f>VLOOKUP($E84,'NI-San_SP'!$C:$AN,MID(Z$1,1,2),FALSE)</f>
        <v>0</v>
      </c>
      <c r="AA84" s="55">
        <f>VLOOKUP($E84,'NI-San_SP'!$C:$AN,MID(AA$1,1,2),FALSE)</f>
        <v>0</v>
      </c>
      <c r="AB84" s="55">
        <f>VLOOKUP($E84,'NI-San_SP'!$C:$AN,MID(AB$1,1,2),FALSE)</f>
        <v>0</v>
      </c>
      <c r="AC84" s="55">
        <f>VLOOKUP($E84,'NI-San_SP'!$C:$AN,MID(AC$1,1,2),FALSE)</f>
        <v>0</v>
      </c>
      <c r="AD84" s="55">
        <f>VLOOKUP($E84,'NI-San_SP'!$C:$AN,MID(AD$1,1,2),FALSE)</f>
        <v>0</v>
      </c>
      <c r="AE84" s="55">
        <f>VLOOKUP($E84,'NI-San_SP'!$C:$AN,MID(AE$1,1,2),FALSE)</f>
        <v>0</v>
      </c>
      <c r="AF84" s="55">
        <f>VLOOKUP($E84,'NI-San_SP'!$C:$AN,MID(AF$1,1,2),FALSE)</f>
        <v>0</v>
      </c>
      <c r="AG84" s="55">
        <f>VLOOKUP($E84,'NI-San_SP'!$C:$AN,MID(AG$1,1,2),FALSE)</f>
        <v>0</v>
      </c>
      <c r="AH84" s="55">
        <f>VLOOKUP($E84,'NI-San_SP'!$C:$AN,MID(AH$1,1,2),FALSE)</f>
        <v>0</v>
      </c>
      <c r="AI84" s="55">
        <f>VLOOKUP($E84,'NI-San_SP'!$C:$AN,MID(AI$1,1,2),FALSE)</f>
        <v>0</v>
      </c>
      <c r="AJ84" s="55">
        <f>VLOOKUP($E84,'NI-San_SP'!$C:$AN,MID(AJ$1,1,2),FALSE)</f>
        <v>0</v>
      </c>
      <c r="AK84" s="55">
        <f>VLOOKUP($E84,'NI-San_SP'!$C:$AN,MID(AK$1,1,2),FALSE)</f>
        <v>0</v>
      </c>
      <c r="AL84" s="55">
        <f>VLOOKUP($E84,'NI-San_SP'!$C:$AN,MID(AL$1,1,2),FALSE)</f>
        <v>0</v>
      </c>
      <c r="AM84" s="56">
        <f>VLOOKUP($E84,'NI-San_SP'!$C:$AN,MID(AM$1,1,2),FALSE)</f>
        <v>0</v>
      </c>
      <c r="AN84" s="30" t="str">
        <f t="shared" si="1"/>
        <v>10106010010000</v>
      </c>
    </row>
    <row r="85" spans="3:40" x14ac:dyDescent="0.25">
      <c r="C85" s="40"/>
      <c r="D85" s="57" t="s">
        <v>392</v>
      </c>
      <c r="E85" s="57" t="s">
        <v>393</v>
      </c>
      <c r="F85" s="58" t="s">
        <v>110</v>
      </c>
      <c r="G85" s="52"/>
      <c r="H85" s="52"/>
      <c r="I85" s="52"/>
      <c r="J85" s="52"/>
      <c r="K85" s="59" t="s">
        <v>79</v>
      </c>
      <c r="L85" s="52"/>
      <c r="M85" s="52"/>
      <c r="N85" s="52"/>
      <c r="O85" s="52"/>
      <c r="P85" s="63" t="s">
        <v>394</v>
      </c>
      <c r="Q85" s="55">
        <f>VLOOKUP(E85,'NI-San_SP'!$C:$AN,12,FALSE)</f>
        <v>0</v>
      </c>
      <c r="R85" s="55">
        <f>VLOOKUP(E85,'NI-San_SP'!$C:$AN,13,FALSE)</f>
        <v>0</v>
      </c>
      <c r="S85" s="55"/>
      <c r="T85" s="55"/>
      <c r="U85" s="55">
        <f>VLOOKUP($E85,'NI-San_SP'!$C:$AN,MID(U$1,1,2),FALSE)</f>
        <v>0</v>
      </c>
      <c r="V85" s="55">
        <f>VLOOKUP($E85,'NI-San_SP'!$C:$AN,MID(V$1,1,2),FALSE)</f>
        <v>0</v>
      </c>
      <c r="W85" s="55">
        <f>VLOOKUP($E85,'NI-San_SP'!$C:$AN,MID(W$1,1,2),FALSE)</f>
        <v>0</v>
      </c>
      <c r="X85" s="55">
        <f>VLOOKUP($E85,'NI-San_SP'!$C:$AN,MID(X$1,1,2),FALSE)</f>
        <v>0</v>
      </c>
      <c r="Y85" s="55">
        <f>VLOOKUP($E85,'NI-San_SP'!$C:$AN,MID(Y$1,1,2),FALSE)</f>
        <v>0</v>
      </c>
      <c r="Z85" s="55">
        <f>VLOOKUP($E85,'NI-San_SP'!$C:$AN,MID(Z$1,1,2),FALSE)</f>
        <v>0</v>
      </c>
      <c r="AA85" s="55">
        <f>VLOOKUP($E85,'NI-San_SP'!$C:$AN,MID(AA$1,1,2),FALSE)</f>
        <v>0</v>
      </c>
      <c r="AB85" s="55">
        <f>VLOOKUP($E85,'NI-San_SP'!$C:$AN,MID(AB$1,1,2),FALSE)</f>
        <v>0</v>
      </c>
      <c r="AC85" s="55">
        <f>VLOOKUP($E85,'NI-San_SP'!$C:$AN,MID(AC$1,1,2),FALSE)</f>
        <v>0</v>
      </c>
      <c r="AD85" s="55">
        <f>VLOOKUP($E85,'NI-San_SP'!$C:$AN,MID(AD$1,1,2),FALSE)</f>
        <v>0</v>
      </c>
      <c r="AE85" s="55">
        <f>VLOOKUP($E85,'NI-San_SP'!$C:$AN,MID(AE$1,1,2),FALSE)</f>
        <v>0</v>
      </c>
      <c r="AF85" s="55">
        <f>VLOOKUP($E85,'NI-San_SP'!$C:$AN,MID(AF$1,1,2),FALSE)</f>
        <v>0</v>
      </c>
      <c r="AG85" s="55">
        <f>VLOOKUP($E85,'NI-San_SP'!$C:$AN,MID(AG$1,1,2),FALSE)</f>
        <v>0</v>
      </c>
      <c r="AH85" s="55">
        <f>VLOOKUP($E85,'NI-San_SP'!$C:$AN,MID(AH$1,1,2),FALSE)</f>
        <v>0</v>
      </c>
      <c r="AI85" s="55">
        <f>VLOOKUP($E85,'NI-San_SP'!$C:$AN,MID(AI$1,1,2),FALSE)</f>
        <v>0</v>
      </c>
      <c r="AJ85" s="55">
        <f>VLOOKUP($E85,'NI-San_SP'!$C:$AN,MID(AJ$1,1,2),FALSE)</f>
        <v>0</v>
      </c>
      <c r="AK85" s="55">
        <f>VLOOKUP($E85,'NI-San_SP'!$C:$AN,MID(AK$1,1,2),FALSE)</f>
        <v>0</v>
      </c>
      <c r="AL85" s="55">
        <f>VLOOKUP($E85,'NI-San_SP'!$C:$AN,MID(AL$1,1,2),FALSE)</f>
        <v>0</v>
      </c>
      <c r="AM85" s="56">
        <f>VLOOKUP($E85,'NI-San_SP'!$C:$AN,MID(AM$1,1,2),FALSE)</f>
        <v>0</v>
      </c>
      <c r="AN85" s="30" t="str">
        <f t="shared" si="1"/>
        <v>10106010020000</v>
      </c>
    </row>
    <row r="86" spans="3:40" x14ac:dyDescent="0.25">
      <c r="C86" s="40"/>
      <c r="D86" s="57" t="s">
        <v>395</v>
      </c>
      <c r="E86" s="57" t="s">
        <v>396</v>
      </c>
      <c r="F86" s="58" t="s">
        <v>110</v>
      </c>
      <c r="G86" s="52"/>
      <c r="H86" s="52"/>
      <c r="I86" s="52" t="s">
        <v>397</v>
      </c>
      <c r="J86" s="52" t="s">
        <v>397</v>
      </c>
      <c r="K86" s="59" t="s">
        <v>111</v>
      </c>
      <c r="L86" s="62" t="s">
        <v>398</v>
      </c>
      <c r="M86" s="52"/>
      <c r="N86" s="52"/>
      <c r="O86" s="61" t="s">
        <v>147</v>
      </c>
      <c r="P86" s="60" t="s">
        <v>399</v>
      </c>
      <c r="Q86" s="55">
        <f>VLOOKUP(E86,'NI-San_SP'!$C:$AN,12,FALSE)</f>
        <v>0</v>
      </c>
      <c r="R86" s="55">
        <f>VLOOKUP(E86,'NI-San_SP'!$C:$AN,13,FALSE)</f>
        <v>0</v>
      </c>
      <c r="S86" s="55"/>
      <c r="T86" s="55"/>
      <c r="U86" s="55">
        <f>VLOOKUP($E86,'NI-San_SP'!$C:$AN,MID(U$1,1,2),FALSE)</f>
        <v>0</v>
      </c>
      <c r="V86" s="55">
        <f>VLOOKUP($E86,'NI-San_SP'!$C:$AN,MID(V$1,1,2),FALSE)</f>
        <v>0</v>
      </c>
      <c r="W86" s="55">
        <f>VLOOKUP($E86,'NI-San_SP'!$C:$AN,MID(W$1,1,2),FALSE)</f>
        <v>0</v>
      </c>
      <c r="X86" s="55">
        <f>VLOOKUP($E86,'NI-San_SP'!$C:$AN,MID(X$1,1,2),FALSE)</f>
        <v>0</v>
      </c>
      <c r="Y86" s="55">
        <f>VLOOKUP($E86,'NI-San_SP'!$C:$AN,MID(Y$1,1,2),FALSE)</f>
        <v>0</v>
      </c>
      <c r="Z86" s="55">
        <f>VLOOKUP($E86,'NI-San_SP'!$C:$AN,MID(Z$1,1,2),FALSE)</f>
        <v>0</v>
      </c>
      <c r="AA86" s="55">
        <f>VLOOKUP($E86,'NI-San_SP'!$C:$AN,MID(AA$1,1,2),FALSE)</f>
        <v>0</v>
      </c>
      <c r="AB86" s="55">
        <f>VLOOKUP($E86,'NI-San_SP'!$C:$AN,MID(AB$1,1,2),FALSE)</f>
        <v>0</v>
      </c>
      <c r="AC86" s="55">
        <f>VLOOKUP($E86,'NI-San_SP'!$C:$AN,MID(AC$1,1,2),FALSE)</f>
        <v>0</v>
      </c>
      <c r="AD86" s="55">
        <f>VLOOKUP($E86,'NI-San_SP'!$C:$AN,MID(AD$1,1,2),FALSE)</f>
        <v>0</v>
      </c>
      <c r="AE86" s="55">
        <f>VLOOKUP($E86,'NI-San_SP'!$C:$AN,MID(AE$1,1,2),FALSE)</f>
        <v>0</v>
      </c>
      <c r="AF86" s="55">
        <f>VLOOKUP($E86,'NI-San_SP'!$C:$AN,MID(AF$1,1,2),FALSE)</f>
        <v>0</v>
      </c>
      <c r="AG86" s="55">
        <f>VLOOKUP($E86,'NI-San_SP'!$C:$AN,MID(AG$1,1,2),FALSE)</f>
        <v>0</v>
      </c>
      <c r="AH86" s="55">
        <f>VLOOKUP($E86,'NI-San_SP'!$C:$AN,MID(AH$1,1,2),FALSE)</f>
        <v>0</v>
      </c>
      <c r="AI86" s="55">
        <f>VLOOKUP($E86,'NI-San_SP'!$C:$AN,MID(AI$1,1,2),FALSE)</f>
        <v>0</v>
      </c>
      <c r="AJ86" s="55">
        <f>VLOOKUP($E86,'NI-San_SP'!$C:$AN,MID(AJ$1,1,2),FALSE)</f>
        <v>0</v>
      </c>
      <c r="AK86" s="55">
        <f>VLOOKUP($E86,'NI-San_SP'!$C:$AN,MID(AK$1,1,2),FALSE)</f>
        <v>0</v>
      </c>
      <c r="AL86" s="55">
        <f>VLOOKUP($E86,'NI-San_SP'!$C:$AN,MID(AL$1,1,2),FALSE)</f>
        <v>0</v>
      </c>
      <c r="AM86" s="56">
        <f>VLOOKUP($E86,'NI-San_SP'!$C:$AN,MID(AM$1,1,2),FALSE)</f>
        <v>0</v>
      </c>
      <c r="AN86" s="30" t="str">
        <f t="shared" si="1"/>
        <v>10106020000000</v>
      </c>
    </row>
    <row r="87" spans="3:40" x14ac:dyDescent="0.25">
      <c r="C87" s="40"/>
      <c r="D87" s="57" t="s">
        <v>400</v>
      </c>
      <c r="E87" s="57" t="s">
        <v>401</v>
      </c>
      <c r="F87" s="58" t="s">
        <v>110</v>
      </c>
      <c r="G87" s="52"/>
      <c r="H87" s="52"/>
      <c r="I87" s="52"/>
      <c r="J87" s="52"/>
      <c r="K87" s="59" t="s">
        <v>79</v>
      </c>
      <c r="L87" s="52"/>
      <c r="M87" s="52"/>
      <c r="N87" s="52"/>
      <c r="O87" s="52"/>
      <c r="P87" s="63" t="s">
        <v>402</v>
      </c>
      <c r="Q87" s="55">
        <f>VLOOKUP(E87,'NI-San_SP'!$C:$AN,12,FALSE)</f>
        <v>0</v>
      </c>
      <c r="R87" s="55">
        <f>VLOOKUP(E87,'NI-San_SP'!$C:$AN,13,FALSE)</f>
        <v>0</v>
      </c>
      <c r="S87" s="55"/>
      <c r="T87" s="55"/>
      <c r="U87" s="55">
        <f>VLOOKUP($E87,'NI-San_SP'!$C:$AN,MID(U$1,1,2),FALSE)</f>
        <v>0</v>
      </c>
      <c r="V87" s="55">
        <f>VLOOKUP($E87,'NI-San_SP'!$C:$AN,MID(V$1,1,2),FALSE)</f>
        <v>0</v>
      </c>
      <c r="W87" s="55">
        <f>VLOOKUP($E87,'NI-San_SP'!$C:$AN,MID(W$1,1,2),FALSE)</f>
        <v>0</v>
      </c>
      <c r="X87" s="55">
        <f>VLOOKUP($E87,'NI-San_SP'!$C:$AN,MID(X$1,1,2),FALSE)</f>
        <v>0</v>
      </c>
      <c r="Y87" s="55">
        <f>VLOOKUP($E87,'NI-San_SP'!$C:$AN,MID(Y$1,1,2),FALSE)</f>
        <v>0</v>
      </c>
      <c r="Z87" s="55">
        <f>VLOOKUP($E87,'NI-San_SP'!$C:$AN,MID(Z$1,1,2),FALSE)</f>
        <v>0</v>
      </c>
      <c r="AA87" s="55">
        <f>VLOOKUP($E87,'NI-San_SP'!$C:$AN,MID(AA$1,1,2),FALSE)</f>
        <v>0</v>
      </c>
      <c r="AB87" s="55">
        <f>VLOOKUP($E87,'NI-San_SP'!$C:$AN,MID(AB$1,1,2),FALSE)</f>
        <v>0</v>
      </c>
      <c r="AC87" s="55">
        <f>VLOOKUP($E87,'NI-San_SP'!$C:$AN,MID(AC$1,1,2),FALSE)</f>
        <v>0</v>
      </c>
      <c r="AD87" s="55">
        <f>VLOOKUP($E87,'NI-San_SP'!$C:$AN,MID(AD$1,1,2),FALSE)</f>
        <v>0</v>
      </c>
      <c r="AE87" s="55">
        <f>VLOOKUP($E87,'NI-San_SP'!$C:$AN,MID(AE$1,1,2),FALSE)</f>
        <v>0</v>
      </c>
      <c r="AF87" s="55">
        <f>VLOOKUP($E87,'NI-San_SP'!$C:$AN,MID(AF$1,1,2),FALSE)</f>
        <v>0</v>
      </c>
      <c r="AG87" s="55">
        <f>VLOOKUP($E87,'NI-San_SP'!$C:$AN,MID(AG$1,1,2),FALSE)</f>
        <v>0</v>
      </c>
      <c r="AH87" s="55">
        <f>VLOOKUP($E87,'NI-San_SP'!$C:$AN,MID(AH$1,1,2),FALSE)</f>
        <v>0</v>
      </c>
      <c r="AI87" s="55">
        <f>VLOOKUP($E87,'NI-San_SP'!$C:$AN,MID(AI$1,1,2),FALSE)</f>
        <v>0</v>
      </c>
      <c r="AJ87" s="55">
        <f>VLOOKUP($E87,'NI-San_SP'!$C:$AN,MID(AJ$1,1,2),FALSE)</f>
        <v>0</v>
      </c>
      <c r="AK87" s="55">
        <f>VLOOKUP($E87,'NI-San_SP'!$C:$AN,MID(AK$1,1,2),FALSE)</f>
        <v>0</v>
      </c>
      <c r="AL87" s="55">
        <f>VLOOKUP($E87,'NI-San_SP'!$C:$AN,MID(AL$1,1,2),FALSE)</f>
        <v>0</v>
      </c>
      <c r="AM87" s="56">
        <f>VLOOKUP($E87,'NI-San_SP'!$C:$AN,MID(AM$1,1,2),FALSE)</f>
        <v>0</v>
      </c>
      <c r="AN87" s="30" t="str">
        <f t="shared" si="1"/>
        <v>10106020010000</v>
      </c>
    </row>
    <row r="88" spans="3:40" x14ac:dyDescent="0.25">
      <c r="C88" s="40"/>
      <c r="D88" s="57" t="s">
        <v>403</v>
      </c>
      <c r="E88" s="57" t="s">
        <v>404</v>
      </c>
      <c r="F88" s="58" t="s">
        <v>110</v>
      </c>
      <c r="G88" s="52"/>
      <c r="H88" s="52"/>
      <c r="I88" s="52"/>
      <c r="J88" s="52"/>
      <c r="K88" s="59" t="s">
        <v>79</v>
      </c>
      <c r="L88" s="52"/>
      <c r="M88" s="52"/>
      <c r="N88" s="52"/>
      <c r="O88" s="52"/>
      <c r="P88" s="63" t="s">
        <v>405</v>
      </c>
      <c r="Q88" s="55">
        <f>VLOOKUP(E88,'NI-San_SP'!$C:$AN,12,FALSE)</f>
        <v>0</v>
      </c>
      <c r="R88" s="55">
        <f>VLOOKUP(E88,'NI-San_SP'!$C:$AN,13,FALSE)</f>
        <v>0</v>
      </c>
      <c r="S88" s="55"/>
      <c r="T88" s="55"/>
      <c r="U88" s="55">
        <f>VLOOKUP($E88,'NI-San_SP'!$C:$AN,MID(U$1,1,2),FALSE)</f>
        <v>0</v>
      </c>
      <c r="V88" s="55">
        <f>VLOOKUP($E88,'NI-San_SP'!$C:$AN,MID(V$1,1,2),FALSE)</f>
        <v>0</v>
      </c>
      <c r="W88" s="55">
        <f>VLOOKUP($E88,'NI-San_SP'!$C:$AN,MID(W$1,1,2),FALSE)</f>
        <v>0</v>
      </c>
      <c r="X88" s="55">
        <f>VLOOKUP($E88,'NI-San_SP'!$C:$AN,MID(X$1,1,2),FALSE)</f>
        <v>0</v>
      </c>
      <c r="Y88" s="55">
        <f>VLOOKUP($E88,'NI-San_SP'!$C:$AN,MID(Y$1,1,2),FALSE)</f>
        <v>0</v>
      </c>
      <c r="Z88" s="55">
        <f>VLOOKUP($E88,'NI-San_SP'!$C:$AN,MID(Z$1,1,2),FALSE)</f>
        <v>0</v>
      </c>
      <c r="AA88" s="55">
        <f>VLOOKUP($E88,'NI-San_SP'!$C:$AN,MID(AA$1,1,2),FALSE)</f>
        <v>0</v>
      </c>
      <c r="AB88" s="55">
        <f>VLOOKUP($E88,'NI-San_SP'!$C:$AN,MID(AB$1,1,2),FALSE)</f>
        <v>0</v>
      </c>
      <c r="AC88" s="55">
        <f>VLOOKUP($E88,'NI-San_SP'!$C:$AN,MID(AC$1,1,2),FALSE)</f>
        <v>0</v>
      </c>
      <c r="AD88" s="55">
        <f>VLOOKUP($E88,'NI-San_SP'!$C:$AN,MID(AD$1,1,2),FALSE)</f>
        <v>0</v>
      </c>
      <c r="AE88" s="55">
        <f>VLOOKUP($E88,'NI-San_SP'!$C:$AN,MID(AE$1,1,2),FALSE)</f>
        <v>0</v>
      </c>
      <c r="AF88" s="55">
        <f>VLOOKUP($E88,'NI-San_SP'!$C:$AN,MID(AF$1,1,2),FALSE)</f>
        <v>0</v>
      </c>
      <c r="AG88" s="55">
        <f>VLOOKUP($E88,'NI-San_SP'!$C:$AN,MID(AG$1,1,2),FALSE)</f>
        <v>0</v>
      </c>
      <c r="AH88" s="55">
        <f>VLOOKUP($E88,'NI-San_SP'!$C:$AN,MID(AH$1,1,2),FALSE)</f>
        <v>0</v>
      </c>
      <c r="AI88" s="55">
        <f>VLOOKUP($E88,'NI-San_SP'!$C:$AN,MID(AI$1,1,2),FALSE)</f>
        <v>0</v>
      </c>
      <c r="AJ88" s="55">
        <f>VLOOKUP($E88,'NI-San_SP'!$C:$AN,MID(AJ$1,1,2),FALSE)</f>
        <v>0</v>
      </c>
      <c r="AK88" s="55">
        <f>VLOOKUP($E88,'NI-San_SP'!$C:$AN,MID(AK$1,1,2),FALSE)</f>
        <v>0</v>
      </c>
      <c r="AL88" s="55">
        <f>VLOOKUP($E88,'NI-San_SP'!$C:$AN,MID(AL$1,1,2),FALSE)</f>
        <v>0</v>
      </c>
      <c r="AM88" s="56">
        <f>VLOOKUP($E88,'NI-San_SP'!$C:$AN,MID(AM$1,1,2),FALSE)</f>
        <v>0</v>
      </c>
      <c r="AN88" s="30" t="str">
        <f t="shared" si="1"/>
        <v>10106020020000</v>
      </c>
    </row>
    <row r="89" spans="3:40" x14ac:dyDescent="0.25">
      <c r="C89" s="40"/>
      <c r="D89" s="57" t="s">
        <v>406</v>
      </c>
      <c r="E89" s="57" t="s">
        <v>407</v>
      </c>
      <c r="F89" s="58" t="s">
        <v>110</v>
      </c>
      <c r="G89" s="52"/>
      <c r="H89" s="52"/>
      <c r="I89" s="52" t="s">
        <v>408</v>
      </c>
      <c r="J89" s="52" t="s">
        <v>408</v>
      </c>
      <c r="K89" s="59" t="s">
        <v>111</v>
      </c>
      <c r="L89" s="62" t="s">
        <v>409</v>
      </c>
      <c r="M89" s="52"/>
      <c r="N89" s="52"/>
      <c r="O89" s="61" t="s">
        <v>173</v>
      </c>
      <c r="P89" s="60" t="s">
        <v>410</v>
      </c>
      <c r="Q89" s="55">
        <f>VLOOKUP(E89,'NI-San_SP'!$C:$AN,12,FALSE)</f>
        <v>0</v>
      </c>
      <c r="R89" s="55">
        <f>VLOOKUP(E89,'NI-San_SP'!$C:$AN,13,FALSE)</f>
        <v>0</v>
      </c>
      <c r="S89" s="55"/>
      <c r="T89" s="55"/>
      <c r="U89" s="55">
        <f>VLOOKUP($E89,'NI-San_SP'!$C:$AN,MID(U$1,1,2),FALSE)</f>
        <v>0</v>
      </c>
      <c r="V89" s="55">
        <f>VLOOKUP($E89,'NI-San_SP'!$C:$AN,MID(V$1,1,2),FALSE)</f>
        <v>0</v>
      </c>
      <c r="W89" s="55">
        <f>VLOOKUP($E89,'NI-San_SP'!$C:$AN,MID(W$1,1,2),FALSE)</f>
        <v>0</v>
      </c>
      <c r="X89" s="55">
        <f>VLOOKUP($E89,'NI-San_SP'!$C:$AN,MID(X$1,1,2),FALSE)</f>
        <v>0</v>
      </c>
      <c r="Y89" s="55">
        <f>VLOOKUP($E89,'NI-San_SP'!$C:$AN,MID(Y$1,1,2),FALSE)</f>
        <v>0</v>
      </c>
      <c r="Z89" s="55">
        <f>VLOOKUP($E89,'NI-San_SP'!$C:$AN,MID(Z$1,1,2),FALSE)</f>
        <v>0</v>
      </c>
      <c r="AA89" s="55">
        <f>VLOOKUP($E89,'NI-San_SP'!$C:$AN,MID(AA$1,1,2),FALSE)</f>
        <v>0</v>
      </c>
      <c r="AB89" s="55">
        <f>VLOOKUP($E89,'NI-San_SP'!$C:$AN,MID(AB$1,1,2),FALSE)</f>
        <v>0</v>
      </c>
      <c r="AC89" s="55">
        <f>VLOOKUP($E89,'NI-San_SP'!$C:$AN,MID(AC$1,1,2),FALSE)</f>
        <v>0</v>
      </c>
      <c r="AD89" s="55">
        <f>VLOOKUP($E89,'NI-San_SP'!$C:$AN,MID(AD$1,1,2),FALSE)</f>
        <v>0</v>
      </c>
      <c r="AE89" s="55">
        <f>VLOOKUP($E89,'NI-San_SP'!$C:$AN,MID(AE$1,1,2),FALSE)</f>
        <v>0</v>
      </c>
      <c r="AF89" s="55">
        <f>VLOOKUP($E89,'NI-San_SP'!$C:$AN,MID(AF$1,1,2),FALSE)</f>
        <v>0</v>
      </c>
      <c r="AG89" s="55">
        <f>VLOOKUP($E89,'NI-San_SP'!$C:$AN,MID(AG$1,1,2),FALSE)</f>
        <v>0</v>
      </c>
      <c r="AH89" s="55">
        <f>VLOOKUP($E89,'NI-San_SP'!$C:$AN,MID(AH$1,1,2),FALSE)</f>
        <v>0</v>
      </c>
      <c r="AI89" s="55">
        <f>VLOOKUP($E89,'NI-San_SP'!$C:$AN,MID(AI$1,1,2),FALSE)</f>
        <v>0</v>
      </c>
      <c r="AJ89" s="55">
        <f>VLOOKUP($E89,'NI-San_SP'!$C:$AN,MID(AJ$1,1,2),FALSE)</f>
        <v>0</v>
      </c>
      <c r="AK89" s="55">
        <f>VLOOKUP($E89,'NI-San_SP'!$C:$AN,MID(AK$1,1,2),FALSE)</f>
        <v>0</v>
      </c>
      <c r="AL89" s="55">
        <f>VLOOKUP($E89,'NI-San_SP'!$C:$AN,MID(AL$1,1,2),FALSE)</f>
        <v>0</v>
      </c>
      <c r="AM89" s="56">
        <f>VLOOKUP($E89,'NI-San_SP'!$C:$AN,MID(AM$1,1,2),FALSE)</f>
        <v>0</v>
      </c>
      <c r="AN89" s="30" t="str">
        <f t="shared" si="1"/>
        <v>10106030000000</v>
      </c>
    </row>
    <row r="90" spans="3:40" x14ac:dyDescent="0.25">
      <c r="C90" s="40"/>
      <c r="D90" s="57" t="s">
        <v>411</v>
      </c>
      <c r="E90" s="57" t="s">
        <v>412</v>
      </c>
      <c r="F90" s="58" t="s">
        <v>110</v>
      </c>
      <c r="G90" s="52"/>
      <c r="H90" s="52"/>
      <c r="I90" s="52"/>
      <c r="J90" s="52"/>
      <c r="K90" s="59" t="s">
        <v>79</v>
      </c>
      <c r="L90" s="52"/>
      <c r="M90" s="52"/>
      <c r="N90" s="52"/>
      <c r="O90" s="52"/>
      <c r="P90" s="63" t="s">
        <v>413</v>
      </c>
      <c r="Q90" s="55">
        <f>VLOOKUP(E90,'NI-San_SP'!$C:$AN,12,FALSE)</f>
        <v>0</v>
      </c>
      <c r="R90" s="55">
        <f>VLOOKUP(E90,'NI-San_SP'!$C:$AN,13,FALSE)</f>
        <v>0</v>
      </c>
      <c r="S90" s="55"/>
      <c r="T90" s="55"/>
      <c r="U90" s="55">
        <f>VLOOKUP($E90,'NI-San_SP'!$C:$AN,MID(U$1,1,2),FALSE)</f>
        <v>0</v>
      </c>
      <c r="V90" s="55">
        <f>VLOOKUP($E90,'NI-San_SP'!$C:$AN,MID(V$1,1,2),FALSE)</f>
        <v>0</v>
      </c>
      <c r="W90" s="55">
        <f>VLOOKUP($E90,'NI-San_SP'!$C:$AN,MID(W$1,1,2),FALSE)</f>
        <v>0</v>
      </c>
      <c r="X90" s="55">
        <f>VLOOKUP($E90,'NI-San_SP'!$C:$AN,MID(X$1,1,2),FALSE)</f>
        <v>0</v>
      </c>
      <c r="Y90" s="55">
        <f>VLOOKUP($E90,'NI-San_SP'!$C:$AN,MID(Y$1,1,2),FALSE)</f>
        <v>0</v>
      </c>
      <c r="Z90" s="55">
        <f>VLOOKUP($E90,'NI-San_SP'!$C:$AN,MID(Z$1,1,2),FALSE)</f>
        <v>0</v>
      </c>
      <c r="AA90" s="55">
        <f>VLOOKUP($E90,'NI-San_SP'!$C:$AN,MID(AA$1,1,2),FALSE)</f>
        <v>0</v>
      </c>
      <c r="AB90" s="55">
        <f>VLOOKUP($E90,'NI-San_SP'!$C:$AN,MID(AB$1,1,2),FALSE)</f>
        <v>0</v>
      </c>
      <c r="AC90" s="55">
        <f>VLOOKUP($E90,'NI-San_SP'!$C:$AN,MID(AC$1,1,2),FALSE)</f>
        <v>0</v>
      </c>
      <c r="AD90" s="55">
        <f>VLOOKUP($E90,'NI-San_SP'!$C:$AN,MID(AD$1,1,2),FALSE)</f>
        <v>0</v>
      </c>
      <c r="AE90" s="55">
        <f>VLOOKUP($E90,'NI-San_SP'!$C:$AN,MID(AE$1,1,2),FALSE)</f>
        <v>0</v>
      </c>
      <c r="AF90" s="55">
        <f>VLOOKUP($E90,'NI-San_SP'!$C:$AN,MID(AF$1,1,2),FALSE)</f>
        <v>0</v>
      </c>
      <c r="AG90" s="55">
        <f>VLOOKUP($E90,'NI-San_SP'!$C:$AN,MID(AG$1,1,2),FALSE)</f>
        <v>0</v>
      </c>
      <c r="AH90" s="55">
        <f>VLOOKUP($E90,'NI-San_SP'!$C:$AN,MID(AH$1,1,2),FALSE)</f>
        <v>0</v>
      </c>
      <c r="AI90" s="55">
        <f>VLOOKUP($E90,'NI-San_SP'!$C:$AN,MID(AI$1,1,2),FALSE)</f>
        <v>0</v>
      </c>
      <c r="AJ90" s="55">
        <f>VLOOKUP($E90,'NI-San_SP'!$C:$AN,MID(AJ$1,1,2),FALSE)</f>
        <v>0</v>
      </c>
      <c r="AK90" s="55">
        <f>VLOOKUP($E90,'NI-San_SP'!$C:$AN,MID(AK$1,1,2),FALSE)</f>
        <v>0</v>
      </c>
      <c r="AL90" s="55">
        <f>VLOOKUP($E90,'NI-San_SP'!$C:$AN,MID(AL$1,1,2),FALSE)</f>
        <v>0</v>
      </c>
      <c r="AM90" s="56">
        <f>VLOOKUP($E90,'NI-San_SP'!$C:$AN,MID(AM$1,1,2),FALSE)</f>
        <v>0</v>
      </c>
      <c r="AN90" s="30" t="str">
        <f t="shared" si="1"/>
        <v>10106030010000</v>
      </c>
    </row>
    <row r="91" spans="3:40" x14ac:dyDescent="0.25">
      <c r="C91" s="40"/>
      <c r="D91" s="57" t="s">
        <v>414</v>
      </c>
      <c r="E91" s="57" t="s">
        <v>415</v>
      </c>
      <c r="F91" s="58" t="s">
        <v>110</v>
      </c>
      <c r="G91" s="52"/>
      <c r="H91" s="52"/>
      <c r="I91" s="52"/>
      <c r="J91" s="52"/>
      <c r="K91" s="59" t="s">
        <v>79</v>
      </c>
      <c r="L91" s="52"/>
      <c r="M91" s="52"/>
      <c r="N91" s="52"/>
      <c r="O91" s="52"/>
      <c r="P91" s="63" t="s">
        <v>416</v>
      </c>
      <c r="Q91" s="55">
        <f>VLOOKUP(E91,'NI-San_SP'!$C:$AN,12,FALSE)</f>
        <v>0</v>
      </c>
      <c r="R91" s="55">
        <f>VLOOKUP(E91,'NI-San_SP'!$C:$AN,13,FALSE)</f>
        <v>0</v>
      </c>
      <c r="S91" s="55"/>
      <c r="T91" s="55"/>
      <c r="U91" s="55">
        <f>VLOOKUP($E91,'NI-San_SP'!$C:$AN,MID(U$1,1,2),FALSE)</f>
        <v>0</v>
      </c>
      <c r="V91" s="55">
        <f>VLOOKUP($E91,'NI-San_SP'!$C:$AN,MID(V$1,1,2),FALSE)</f>
        <v>0</v>
      </c>
      <c r="W91" s="55">
        <f>VLOOKUP($E91,'NI-San_SP'!$C:$AN,MID(W$1,1,2),FALSE)</f>
        <v>0</v>
      </c>
      <c r="X91" s="55">
        <f>VLOOKUP($E91,'NI-San_SP'!$C:$AN,MID(X$1,1,2),FALSE)</f>
        <v>0</v>
      </c>
      <c r="Y91" s="55">
        <f>VLOOKUP($E91,'NI-San_SP'!$C:$AN,MID(Y$1,1,2),FALSE)</f>
        <v>0</v>
      </c>
      <c r="Z91" s="55">
        <f>VLOOKUP($E91,'NI-San_SP'!$C:$AN,MID(Z$1,1,2),FALSE)</f>
        <v>0</v>
      </c>
      <c r="AA91" s="55">
        <f>VLOOKUP($E91,'NI-San_SP'!$C:$AN,MID(AA$1,1,2),FALSE)</f>
        <v>0</v>
      </c>
      <c r="AB91" s="55">
        <f>VLOOKUP($E91,'NI-San_SP'!$C:$AN,MID(AB$1,1,2),FALSE)</f>
        <v>0</v>
      </c>
      <c r="AC91" s="55">
        <f>VLOOKUP($E91,'NI-San_SP'!$C:$AN,MID(AC$1,1,2),FALSE)</f>
        <v>0</v>
      </c>
      <c r="AD91" s="55">
        <f>VLOOKUP($E91,'NI-San_SP'!$C:$AN,MID(AD$1,1,2),FALSE)</f>
        <v>0</v>
      </c>
      <c r="AE91" s="55">
        <f>VLOOKUP($E91,'NI-San_SP'!$C:$AN,MID(AE$1,1,2),FALSE)</f>
        <v>0</v>
      </c>
      <c r="AF91" s="55">
        <f>VLOOKUP($E91,'NI-San_SP'!$C:$AN,MID(AF$1,1,2),FALSE)</f>
        <v>0</v>
      </c>
      <c r="AG91" s="55">
        <f>VLOOKUP($E91,'NI-San_SP'!$C:$AN,MID(AG$1,1,2),FALSE)</f>
        <v>0</v>
      </c>
      <c r="AH91" s="55">
        <f>VLOOKUP($E91,'NI-San_SP'!$C:$AN,MID(AH$1,1,2),FALSE)</f>
        <v>0</v>
      </c>
      <c r="AI91" s="55">
        <f>VLOOKUP($E91,'NI-San_SP'!$C:$AN,MID(AI$1,1,2),FALSE)</f>
        <v>0</v>
      </c>
      <c r="AJ91" s="55">
        <f>VLOOKUP($E91,'NI-San_SP'!$C:$AN,MID(AJ$1,1,2),FALSE)</f>
        <v>0</v>
      </c>
      <c r="AK91" s="55">
        <f>VLOOKUP($E91,'NI-San_SP'!$C:$AN,MID(AK$1,1,2),FALSE)</f>
        <v>0</v>
      </c>
      <c r="AL91" s="55">
        <f>VLOOKUP($E91,'NI-San_SP'!$C:$AN,MID(AL$1,1,2),FALSE)</f>
        <v>0</v>
      </c>
      <c r="AM91" s="56">
        <f>VLOOKUP($E91,'NI-San_SP'!$C:$AN,MID(AM$1,1,2),FALSE)</f>
        <v>0</v>
      </c>
      <c r="AN91" s="30" t="str">
        <f t="shared" si="1"/>
        <v>10106030020000</v>
      </c>
    </row>
    <row r="92" spans="3:40" x14ac:dyDescent="0.25">
      <c r="C92" s="40"/>
      <c r="D92" s="57" t="s">
        <v>417</v>
      </c>
      <c r="E92" s="57" t="s">
        <v>418</v>
      </c>
      <c r="F92" s="58" t="s">
        <v>110</v>
      </c>
      <c r="G92" s="52"/>
      <c r="H92" s="52"/>
      <c r="I92" s="52" t="s">
        <v>419</v>
      </c>
      <c r="J92" s="52" t="s">
        <v>419</v>
      </c>
      <c r="K92" s="59" t="s">
        <v>111</v>
      </c>
      <c r="L92" s="62" t="s">
        <v>420</v>
      </c>
      <c r="M92" s="52"/>
      <c r="N92" s="52"/>
      <c r="O92" s="61" t="s">
        <v>255</v>
      </c>
      <c r="P92" s="60" t="s">
        <v>421</v>
      </c>
      <c r="Q92" s="55">
        <f>VLOOKUP(E92,'NI-San_SP'!$C:$AN,12,FALSE)</f>
        <v>0</v>
      </c>
      <c r="R92" s="55">
        <f>VLOOKUP(E92,'NI-San_SP'!$C:$AN,13,FALSE)</f>
        <v>0</v>
      </c>
      <c r="S92" s="55"/>
      <c r="T92" s="55"/>
      <c r="U92" s="55">
        <f>VLOOKUP($E92,'NI-San_SP'!$C:$AN,MID(U$1,1,2),FALSE)</f>
        <v>0</v>
      </c>
      <c r="V92" s="55">
        <f>VLOOKUP($E92,'NI-San_SP'!$C:$AN,MID(V$1,1,2),FALSE)</f>
        <v>0</v>
      </c>
      <c r="W92" s="55">
        <f>VLOOKUP($E92,'NI-San_SP'!$C:$AN,MID(W$1,1,2),FALSE)</f>
        <v>0</v>
      </c>
      <c r="X92" s="55">
        <f>VLOOKUP($E92,'NI-San_SP'!$C:$AN,MID(X$1,1,2),FALSE)</f>
        <v>0</v>
      </c>
      <c r="Y92" s="55">
        <f>VLOOKUP($E92,'NI-San_SP'!$C:$AN,MID(Y$1,1,2),FALSE)</f>
        <v>0</v>
      </c>
      <c r="Z92" s="55">
        <f>VLOOKUP($E92,'NI-San_SP'!$C:$AN,MID(Z$1,1,2),FALSE)</f>
        <v>0</v>
      </c>
      <c r="AA92" s="55">
        <f>VLOOKUP($E92,'NI-San_SP'!$C:$AN,MID(AA$1,1,2),FALSE)</f>
        <v>0</v>
      </c>
      <c r="AB92" s="55">
        <f>VLOOKUP($E92,'NI-San_SP'!$C:$AN,MID(AB$1,1,2),FALSE)</f>
        <v>0</v>
      </c>
      <c r="AC92" s="55">
        <f>VLOOKUP($E92,'NI-San_SP'!$C:$AN,MID(AC$1,1,2),FALSE)</f>
        <v>0</v>
      </c>
      <c r="AD92" s="55">
        <f>VLOOKUP($E92,'NI-San_SP'!$C:$AN,MID(AD$1,1,2),FALSE)</f>
        <v>0</v>
      </c>
      <c r="AE92" s="55">
        <f>VLOOKUP($E92,'NI-San_SP'!$C:$AN,MID(AE$1,1,2),FALSE)</f>
        <v>0</v>
      </c>
      <c r="AF92" s="55">
        <f>VLOOKUP($E92,'NI-San_SP'!$C:$AN,MID(AF$1,1,2),FALSE)</f>
        <v>0</v>
      </c>
      <c r="AG92" s="55">
        <f>VLOOKUP($E92,'NI-San_SP'!$C:$AN,MID(AG$1,1,2),FALSE)</f>
        <v>0</v>
      </c>
      <c r="AH92" s="55">
        <f>VLOOKUP($E92,'NI-San_SP'!$C:$AN,MID(AH$1,1,2),FALSE)</f>
        <v>0</v>
      </c>
      <c r="AI92" s="55">
        <f>VLOOKUP($E92,'NI-San_SP'!$C:$AN,MID(AI$1,1,2),FALSE)</f>
        <v>0</v>
      </c>
      <c r="AJ92" s="55">
        <f>VLOOKUP($E92,'NI-San_SP'!$C:$AN,MID(AJ$1,1,2),FALSE)</f>
        <v>0</v>
      </c>
      <c r="AK92" s="55">
        <f>VLOOKUP($E92,'NI-San_SP'!$C:$AN,MID(AK$1,1,2),FALSE)</f>
        <v>0</v>
      </c>
      <c r="AL92" s="55">
        <f>VLOOKUP($E92,'NI-San_SP'!$C:$AN,MID(AL$1,1,2),FALSE)</f>
        <v>0</v>
      </c>
      <c r="AM92" s="56">
        <f>VLOOKUP($E92,'NI-San_SP'!$C:$AN,MID(AM$1,1,2),FALSE)</f>
        <v>0</v>
      </c>
      <c r="AN92" s="30" t="str">
        <f t="shared" si="1"/>
        <v>10106040000000</v>
      </c>
    </row>
    <row r="93" spans="3:40" x14ac:dyDescent="0.25">
      <c r="C93" s="40"/>
      <c r="D93" s="57" t="s">
        <v>422</v>
      </c>
      <c r="E93" s="57" t="s">
        <v>423</v>
      </c>
      <c r="F93" s="58" t="s">
        <v>110</v>
      </c>
      <c r="G93" s="52"/>
      <c r="H93" s="52"/>
      <c r="I93" s="52"/>
      <c r="J93" s="52"/>
      <c r="K93" s="59" t="s">
        <v>79</v>
      </c>
      <c r="L93" s="52"/>
      <c r="M93" s="52"/>
      <c r="N93" s="52"/>
      <c r="O93" s="52"/>
      <c r="P93" s="63" t="s">
        <v>424</v>
      </c>
      <c r="Q93" s="55">
        <f>VLOOKUP(E93,'NI-San_SP'!$C:$AN,12,FALSE)</f>
        <v>0</v>
      </c>
      <c r="R93" s="55">
        <f>VLOOKUP(E93,'NI-San_SP'!$C:$AN,13,FALSE)</f>
        <v>0</v>
      </c>
      <c r="S93" s="55"/>
      <c r="T93" s="55"/>
      <c r="U93" s="55">
        <f>VLOOKUP($E93,'NI-San_SP'!$C:$AN,MID(U$1,1,2),FALSE)</f>
        <v>0</v>
      </c>
      <c r="V93" s="55">
        <f>VLOOKUP($E93,'NI-San_SP'!$C:$AN,MID(V$1,1,2),FALSE)</f>
        <v>0</v>
      </c>
      <c r="W93" s="55">
        <f>VLOOKUP($E93,'NI-San_SP'!$C:$AN,MID(W$1,1,2),FALSE)</f>
        <v>0</v>
      </c>
      <c r="X93" s="55">
        <f>VLOOKUP($E93,'NI-San_SP'!$C:$AN,MID(X$1,1,2),FALSE)</f>
        <v>0</v>
      </c>
      <c r="Y93" s="55">
        <f>VLOOKUP($E93,'NI-San_SP'!$C:$AN,MID(Y$1,1,2),FALSE)</f>
        <v>0</v>
      </c>
      <c r="Z93" s="55">
        <f>VLOOKUP($E93,'NI-San_SP'!$C:$AN,MID(Z$1,1,2),FALSE)</f>
        <v>0</v>
      </c>
      <c r="AA93" s="55">
        <f>VLOOKUP($E93,'NI-San_SP'!$C:$AN,MID(AA$1,1,2),FALSE)</f>
        <v>0</v>
      </c>
      <c r="AB93" s="55">
        <f>VLOOKUP($E93,'NI-San_SP'!$C:$AN,MID(AB$1,1,2),FALSE)</f>
        <v>0</v>
      </c>
      <c r="AC93" s="55">
        <f>VLOOKUP($E93,'NI-San_SP'!$C:$AN,MID(AC$1,1,2),FALSE)</f>
        <v>0</v>
      </c>
      <c r="AD93" s="55">
        <f>VLOOKUP($E93,'NI-San_SP'!$C:$AN,MID(AD$1,1,2),FALSE)</f>
        <v>0</v>
      </c>
      <c r="AE93" s="55">
        <f>VLOOKUP($E93,'NI-San_SP'!$C:$AN,MID(AE$1,1,2),FALSE)</f>
        <v>0</v>
      </c>
      <c r="AF93" s="55">
        <f>VLOOKUP($E93,'NI-San_SP'!$C:$AN,MID(AF$1,1,2),FALSE)</f>
        <v>0</v>
      </c>
      <c r="AG93" s="55">
        <f>VLOOKUP($E93,'NI-San_SP'!$C:$AN,MID(AG$1,1,2),FALSE)</f>
        <v>0</v>
      </c>
      <c r="AH93" s="55">
        <f>VLOOKUP($E93,'NI-San_SP'!$C:$AN,MID(AH$1,1,2),FALSE)</f>
        <v>0</v>
      </c>
      <c r="AI93" s="55">
        <f>VLOOKUP($E93,'NI-San_SP'!$C:$AN,MID(AI$1,1,2),FALSE)</f>
        <v>0</v>
      </c>
      <c r="AJ93" s="55">
        <f>VLOOKUP($E93,'NI-San_SP'!$C:$AN,MID(AJ$1,1,2),FALSE)</f>
        <v>0</v>
      </c>
      <c r="AK93" s="55">
        <f>VLOOKUP($E93,'NI-San_SP'!$C:$AN,MID(AK$1,1,2),FALSE)</f>
        <v>0</v>
      </c>
      <c r="AL93" s="55">
        <f>VLOOKUP($E93,'NI-San_SP'!$C:$AN,MID(AL$1,1,2),FALSE)</f>
        <v>0</v>
      </c>
      <c r="AM93" s="56">
        <f>VLOOKUP($E93,'NI-San_SP'!$C:$AN,MID(AM$1,1,2),FALSE)</f>
        <v>0</v>
      </c>
      <c r="AN93" s="30" t="str">
        <f t="shared" si="1"/>
        <v>10106040010000</v>
      </c>
    </row>
    <row r="94" spans="3:40" x14ac:dyDescent="0.25">
      <c r="C94" s="40"/>
      <c r="D94" s="57" t="s">
        <v>425</v>
      </c>
      <c r="E94" s="57" t="s">
        <v>426</v>
      </c>
      <c r="F94" s="58" t="s">
        <v>110</v>
      </c>
      <c r="G94" s="52"/>
      <c r="H94" s="52"/>
      <c r="I94" s="52"/>
      <c r="J94" s="52"/>
      <c r="K94" s="59" t="s">
        <v>79</v>
      </c>
      <c r="L94" s="52"/>
      <c r="M94" s="52"/>
      <c r="N94" s="52"/>
      <c r="O94" s="52"/>
      <c r="P94" s="63" t="s">
        <v>427</v>
      </c>
      <c r="Q94" s="55">
        <f>VLOOKUP(E94,'NI-San_SP'!$C:$AN,12,FALSE)</f>
        <v>0</v>
      </c>
      <c r="R94" s="55">
        <f>VLOOKUP(E94,'NI-San_SP'!$C:$AN,13,FALSE)</f>
        <v>0</v>
      </c>
      <c r="S94" s="55"/>
      <c r="T94" s="55"/>
      <c r="U94" s="55">
        <f>VLOOKUP($E94,'NI-San_SP'!$C:$AN,MID(U$1,1,2),FALSE)</f>
        <v>0</v>
      </c>
      <c r="V94" s="55">
        <f>VLOOKUP($E94,'NI-San_SP'!$C:$AN,MID(V$1,1,2),FALSE)</f>
        <v>0</v>
      </c>
      <c r="W94" s="55">
        <f>VLOOKUP($E94,'NI-San_SP'!$C:$AN,MID(W$1,1,2),FALSE)</f>
        <v>0</v>
      </c>
      <c r="X94" s="55">
        <f>VLOOKUP($E94,'NI-San_SP'!$C:$AN,MID(X$1,1,2),FALSE)</f>
        <v>0</v>
      </c>
      <c r="Y94" s="55">
        <f>VLOOKUP($E94,'NI-San_SP'!$C:$AN,MID(Y$1,1,2),FALSE)</f>
        <v>0</v>
      </c>
      <c r="Z94" s="55">
        <f>VLOOKUP($E94,'NI-San_SP'!$C:$AN,MID(Z$1,1,2),FALSE)</f>
        <v>0</v>
      </c>
      <c r="AA94" s="55">
        <f>VLOOKUP($E94,'NI-San_SP'!$C:$AN,MID(AA$1,1,2),FALSE)</f>
        <v>0</v>
      </c>
      <c r="AB94" s="55">
        <f>VLOOKUP($E94,'NI-San_SP'!$C:$AN,MID(AB$1,1,2),FALSE)</f>
        <v>0</v>
      </c>
      <c r="AC94" s="55">
        <f>VLOOKUP($E94,'NI-San_SP'!$C:$AN,MID(AC$1,1,2),FALSE)</f>
        <v>0</v>
      </c>
      <c r="AD94" s="55">
        <f>VLOOKUP($E94,'NI-San_SP'!$C:$AN,MID(AD$1,1,2),FALSE)</f>
        <v>0</v>
      </c>
      <c r="AE94" s="55">
        <f>VLOOKUP($E94,'NI-San_SP'!$C:$AN,MID(AE$1,1,2),FALSE)</f>
        <v>0</v>
      </c>
      <c r="AF94" s="55">
        <f>VLOOKUP($E94,'NI-San_SP'!$C:$AN,MID(AF$1,1,2),FALSE)</f>
        <v>0</v>
      </c>
      <c r="AG94" s="55">
        <f>VLOOKUP($E94,'NI-San_SP'!$C:$AN,MID(AG$1,1,2),FALSE)</f>
        <v>0</v>
      </c>
      <c r="AH94" s="55">
        <f>VLOOKUP($E94,'NI-San_SP'!$C:$AN,MID(AH$1,1,2),FALSE)</f>
        <v>0</v>
      </c>
      <c r="AI94" s="55">
        <f>VLOOKUP($E94,'NI-San_SP'!$C:$AN,MID(AI$1,1,2),FALSE)</f>
        <v>0</v>
      </c>
      <c r="AJ94" s="55">
        <f>VLOOKUP($E94,'NI-San_SP'!$C:$AN,MID(AJ$1,1,2),FALSE)</f>
        <v>0</v>
      </c>
      <c r="AK94" s="55">
        <f>VLOOKUP($E94,'NI-San_SP'!$C:$AN,MID(AK$1,1,2),FALSE)</f>
        <v>0</v>
      </c>
      <c r="AL94" s="55">
        <f>VLOOKUP($E94,'NI-San_SP'!$C:$AN,MID(AL$1,1,2),FALSE)</f>
        <v>0</v>
      </c>
      <c r="AM94" s="56">
        <f>VLOOKUP($E94,'NI-San_SP'!$C:$AN,MID(AM$1,1,2),FALSE)</f>
        <v>0</v>
      </c>
      <c r="AN94" s="30" t="str">
        <f t="shared" si="1"/>
        <v>10106040020000</v>
      </c>
    </row>
    <row r="95" spans="3:40" x14ac:dyDescent="0.25">
      <c r="C95" s="40"/>
      <c r="D95" s="57" t="s">
        <v>428</v>
      </c>
      <c r="E95" s="57" t="s">
        <v>429</v>
      </c>
      <c r="F95" s="58" t="s">
        <v>110</v>
      </c>
      <c r="G95" s="52"/>
      <c r="H95" s="52"/>
      <c r="I95" s="52"/>
      <c r="J95" s="52"/>
      <c r="K95" s="59" t="s">
        <v>111</v>
      </c>
      <c r="L95" s="52"/>
      <c r="M95" s="52"/>
      <c r="N95" s="52"/>
      <c r="O95" s="52"/>
      <c r="P95" s="60" t="s">
        <v>430</v>
      </c>
      <c r="Q95" s="55">
        <f>VLOOKUP(E95,'NI-San_SP'!$C:$AN,12,FALSE)</f>
        <v>101073840</v>
      </c>
      <c r="R95" s="55">
        <f>VLOOKUP(E95,'NI-San_SP'!$C:$AN,13,FALSE)</f>
        <v>95061479</v>
      </c>
      <c r="S95" s="55"/>
      <c r="T95" s="55"/>
      <c r="U95" s="55">
        <f>VLOOKUP($E95,'NI-San_SP'!$C:$AN,MID(U$1,1,2),FALSE)</f>
        <v>0</v>
      </c>
      <c r="V95" s="55">
        <f>VLOOKUP($E95,'NI-San_SP'!$C:$AN,MID(V$1,1,2),FALSE)</f>
        <v>0</v>
      </c>
      <c r="W95" s="55">
        <f>VLOOKUP($E95,'NI-San_SP'!$C:$AN,MID(W$1,1,2),FALSE)</f>
        <v>0</v>
      </c>
      <c r="X95" s="55" t="str">
        <f>VLOOKUP($E95,'NI-San_SP'!$C:$AN,MID(X$1,1,2),FALSE)</f>
        <v/>
      </c>
      <c r="Y95" s="55">
        <f>VLOOKUP($E95,'NI-San_SP'!$C:$AN,MID(Y$1,1,2),FALSE)</f>
        <v>0</v>
      </c>
      <c r="Z95" s="55">
        <f>VLOOKUP($E95,'NI-San_SP'!$C:$AN,MID(Z$1,1,2),FALSE)</f>
        <v>0</v>
      </c>
      <c r="AA95" s="55">
        <f>VLOOKUP($E95,'NI-San_SP'!$C:$AN,MID(AA$1,1,2),FALSE)</f>
        <v>0</v>
      </c>
      <c r="AB95" s="55">
        <f>VLOOKUP($E95,'NI-San_SP'!$C:$AN,MID(AB$1,1,2),FALSE)</f>
        <v>-696000</v>
      </c>
      <c r="AC95" s="55">
        <f>VLOOKUP($E95,'NI-San_SP'!$C:$AN,MID(AC$1,1,2),FALSE)</f>
        <v>0</v>
      </c>
      <c r="AD95" s="55">
        <f>VLOOKUP($E95,'NI-San_SP'!$C:$AN,MID(AD$1,1,2),FALSE)</f>
        <v>0</v>
      </c>
      <c r="AE95" s="55">
        <f>VLOOKUP($E95,'NI-San_SP'!$C:$AN,MID(AE$1,1,2),FALSE)</f>
        <v>0</v>
      </c>
      <c r="AF95" s="55">
        <f>VLOOKUP($E95,'NI-San_SP'!$C:$AN,MID(AF$1,1,2),FALSE)</f>
        <v>0</v>
      </c>
      <c r="AG95" s="55">
        <f>VLOOKUP($E95,'NI-San_SP'!$C:$AN,MID(AG$1,1,2),FALSE)</f>
        <v>0</v>
      </c>
      <c r="AH95" s="55">
        <f>VLOOKUP($E95,'NI-San_SP'!$C:$AN,MID(AH$1,1,2),FALSE)</f>
        <v>0</v>
      </c>
      <c r="AI95" s="55" t="str">
        <f>VLOOKUP($E95,'NI-San_SP'!$C:$AN,MID(AI$1,1,2),FALSE)</f>
        <v>Quadratura Giroconti imm. mat. in corso concluse</v>
      </c>
      <c r="AJ95" s="55">
        <f>VLOOKUP($E95,'NI-San_SP'!$C:$AN,MID(AJ$1,1,2),FALSE)</f>
        <v>0</v>
      </c>
      <c r="AK95" s="55">
        <f>VLOOKUP($E95,'NI-San_SP'!$C:$AN,MID(AK$1,1,2),FALSE)</f>
        <v>0</v>
      </c>
      <c r="AL95" s="55">
        <f>VLOOKUP($E95,'NI-San_SP'!$C:$AN,MID(AL$1,1,2),FALSE)</f>
        <v>0</v>
      </c>
      <c r="AM95" s="56">
        <f>VLOOKUP($E95,'NI-San_SP'!$C:$AN,MID(AM$1,1,2),FALSE)</f>
        <v>0</v>
      </c>
      <c r="AN95" s="30" t="str">
        <f t="shared" si="1"/>
        <v>10200000000000</v>
      </c>
    </row>
    <row r="96" spans="3:40" x14ac:dyDescent="0.25">
      <c r="C96" s="40"/>
      <c r="D96" s="57" t="s">
        <v>431</v>
      </c>
      <c r="E96" s="57" t="s">
        <v>432</v>
      </c>
      <c r="F96" s="58" t="s">
        <v>110</v>
      </c>
      <c r="G96" s="52"/>
      <c r="H96" s="52"/>
      <c r="I96" s="52"/>
      <c r="J96" s="52"/>
      <c r="K96" s="59" t="s">
        <v>111</v>
      </c>
      <c r="L96" s="62" t="s">
        <v>433</v>
      </c>
      <c r="M96" s="52"/>
      <c r="N96" s="52"/>
      <c r="O96" s="52"/>
      <c r="P96" s="60" t="s">
        <v>434</v>
      </c>
      <c r="Q96" s="55">
        <f>VLOOKUP(E96,'NI-San_SP'!$C:$AN,12,FALSE)</f>
        <v>1164620</v>
      </c>
      <c r="R96" s="55">
        <f>VLOOKUP(E96,'NI-San_SP'!$C:$AN,13,FALSE)</f>
        <v>1164620</v>
      </c>
      <c r="S96" s="55"/>
      <c r="T96" s="55"/>
      <c r="U96" s="55">
        <f>VLOOKUP($E96,'NI-San_SP'!$C:$AN,MID(U$1,1,2),FALSE)</f>
        <v>0</v>
      </c>
      <c r="V96" s="55">
        <f>VLOOKUP($E96,'NI-San_SP'!$C:$AN,MID(V$1,1,2),FALSE)</f>
        <v>1164620</v>
      </c>
      <c r="W96" s="55">
        <f>VLOOKUP($E96,'NI-San_SP'!$C:$AN,MID(W$1,1,2),FALSE)</f>
        <v>0</v>
      </c>
      <c r="X96" s="55">
        <f>VLOOKUP($E96,'NI-San_SP'!$C:$AN,MID(X$1,1,2),FALSE)</f>
        <v>0</v>
      </c>
      <c r="Y96" s="55">
        <f>VLOOKUP($E96,'NI-San_SP'!$C:$AN,MID(Y$1,1,2),FALSE)</f>
        <v>0</v>
      </c>
      <c r="Z96" s="55">
        <f>VLOOKUP($E96,'NI-San_SP'!$C:$AN,MID(Z$1,1,2),FALSE)</f>
        <v>0</v>
      </c>
      <c r="AA96" s="55">
        <f>VLOOKUP($E96,'NI-San_SP'!$C:$AN,MID(AA$1,1,2),FALSE)</f>
        <v>0</v>
      </c>
      <c r="AB96" s="55">
        <f>VLOOKUP($E96,'NI-San_SP'!$C:$AN,MID(AB$1,1,2),FALSE)</f>
        <v>0</v>
      </c>
      <c r="AC96" s="55">
        <f>VLOOKUP($E96,'NI-San_SP'!$C:$AN,MID(AC$1,1,2),FALSE)</f>
        <v>0</v>
      </c>
      <c r="AD96" s="55">
        <f>VLOOKUP($E96,'NI-San_SP'!$C:$AN,MID(AD$1,1,2),FALSE)</f>
        <v>0</v>
      </c>
      <c r="AE96" s="55">
        <f>VLOOKUP($E96,'NI-San_SP'!$C:$AN,MID(AE$1,1,2),FALSE)</f>
        <v>0</v>
      </c>
      <c r="AF96" s="55">
        <f>VLOOKUP($E96,'NI-San_SP'!$C:$AN,MID(AF$1,1,2),FALSE)</f>
        <v>0</v>
      </c>
      <c r="AG96" s="55">
        <f>VLOOKUP($E96,'NI-San_SP'!$C:$AN,MID(AG$1,1,2),FALSE)</f>
        <v>0</v>
      </c>
      <c r="AH96" s="55">
        <f>VLOOKUP($E96,'NI-San_SP'!$C:$AN,MID(AH$1,1,2),FALSE)</f>
        <v>0</v>
      </c>
      <c r="AI96" s="55">
        <f>VLOOKUP($E96,'NI-San_SP'!$C:$AN,MID(AI$1,1,2),FALSE)</f>
        <v>0</v>
      </c>
      <c r="AJ96" s="55">
        <f>VLOOKUP($E96,'NI-San_SP'!$C:$AN,MID(AJ$1,1,2),FALSE)</f>
        <v>0</v>
      </c>
      <c r="AK96" s="55">
        <f>VLOOKUP($E96,'NI-San_SP'!$C:$AN,MID(AK$1,1,2),FALSE)</f>
        <v>0</v>
      </c>
      <c r="AL96" s="55">
        <f>VLOOKUP($E96,'NI-San_SP'!$C:$AN,MID(AL$1,1,2),FALSE)</f>
        <v>0</v>
      </c>
      <c r="AM96" s="56">
        <f>VLOOKUP($E96,'NI-San_SP'!$C:$AN,MID(AM$1,1,2),FALSE)</f>
        <v>0</v>
      </c>
      <c r="AN96" s="30" t="str">
        <f t="shared" si="1"/>
        <v>10201000000000</v>
      </c>
    </row>
    <row r="97" spans="3:40" x14ac:dyDescent="0.25">
      <c r="C97" s="40"/>
      <c r="D97" s="57" t="s">
        <v>435</v>
      </c>
      <c r="E97" s="57" t="s">
        <v>436</v>
      </c>
      <c r="F97" s="58" t="s">
        <v>110</v>
      </c>
      <c r="G97" s="52"/>
      <c r="H97" s="52"/>
      <c r="I97" s="52" t="s">
        <v>437</v>
      </c>
      <c r="J97" s="52" t="s">
        <v>437</v>
      </c>
      <c r="K97" s="59" t="s">
        <v>111</v>
      </c>
      <c r="L97" s="52"/>
      <c r="M97" s="52"/>
      <c r="N97" s="52"/>
      <c r="O97" s="61" t="s">
        <v>438</v>
      </c>
      <c r="P97" s="60" t="s">
        <v>439</v>
      </c>
      <c r="Q97" s="55">
        <f>VLOOKUP(E97,'NI-San_SP'!$C:$AN,12,FALSE)</f>
        <v>1164620</v>
      </c>
      <c r="R97" s="55">
        <f>VLOOKUP(E97,'NI-San_SP'!$C:$AN,13,FALSE)</f>
        <v>1164620</v>
      </c>
      <c r="S97" s="55"/>
      <c r="T97" s="55"/>
      <c r="U97" s="55">
        <f>VLOOKUP($E97,'NI-San_SP'!$C:$AN,MID(U$1,1,2),FALSE)</f>
        <v>0</v>
      </c>
      <c r="V97" s="55">
        <f>VLOOKUP($E97,'NI-San_SP'!$C:$AN,MID(V$1,1,2),FALSE)</f>
        <v>1164620</v>
      </c>
      <c r="W97" s="55">
        <f>VLOOKUP($E97,'NI-San_SP'!$C:$AN,MID(W$1,1,2),FALSE)</f>
        <v>0</v>
      </c>
      <c r="X97" s="55">
        <f>VLOOKUP($E97,'NI-San_SP'!$C:$AN,MID(X$1,1,2),FALSE)</f>
        <v>0</v>
      </c>
      <c r="Y97" s="55">
        <f>VLOOKUP($E97,'NI-San_SP'!$C:$AN,MID(Y$1,1,2),FALSE)</f>
        <v>0</v>
      </c>
      <c r="Z97" s="55">
        <f>VLOOKUP($E97,'NI-San_SP'!$C:$AN,MID(Z$1,1,2),FALSE)</f>
        <v>0</v>
      </c>
      <c r="AA97" s="55">
        <f>VLOOKUP($E97,'NI-San_SP'!$C:$AN,MID(AA$1,1,2),FALSE)</f>
        <v>0</v>
      </c>
      <c r="AB97" s="55">
        <f>VLOOKUP($E97,'NI-San_SP'!$C:$AN,MID(AB$1,1,2),FALSE)</f>
        <v>0</v>
      </c>
      <c r="AC97" s="55">
        <f>VLOOKUP($E97,'NI-San_SP'!$C:$AN,MID(AC$1,1,2),FALSE)</f>
        <v>0</v>
      </c>
      <c r="AD97" s="55">
        <f>VLOOKUP($E97,'NI-San_SP'!$C:$AN,MID(AD$1,1,2),FALSE)</f>
        <v>0</v>
      </c>
      <c r="AE97" s="55">
        <f>VLOOKUP($E97,'NI-San_SP'!$C:$AN,MID(AE$1,1,2),FALSE)</f>
        <v>0</v>
      </c>
      <c r="AF97" s="55">
        <f>VLOOKUP($E97,'NI-San_SP'!$C:$AN,MID(AF$1,1,2),FALSE)</f>
        <v>0</v>
      </c>
      <c r="AG97" s="55">
        <f>VLOOKUP($E97,'NI-San_SP'!$C:$AN,MID(AG$1,1,2),FALSE)</f>
        <v>0</v>
      </c>
      <c r="AH97" s="55">
        <f>VLOOKUP($E97,'NI-San_SP'!$C:$AN,MID(AH$1,1,2),FALSE)</f>
        <v>0</v>
      </c>
      <c r="AI97" s="55">
        <f>VLOOKUP($E97,'NI-San_SP'!$C:$AN,MID(AI$1,1,2),FALSE)</f>
        <v>0</v>
      </c>
      <c r="AJ97" s="55">
        <f>VLOOKUP($E97,'NI-San_SP'!$C:$AN,MID(AJ$1,1,2),FALSE)</f>
        <v>0</v>
      </c>
      <c r="AK97" s="55">
        <f>VLOOKUP($E97,'NI-San_SP'!$C:$AN,MID(AK$1,1,2),FALSE)</f>
        <v>0</v>
      </c>
      <c r="AL97" s="55">
        <f>VLOOKUP($E97,'NI-San_SP'!$C:$AN,MID(AL$1,1,2),FALSE)</f>
        <v>0</v>
      </c>
      <c r="AM97" s="56">
        <f>VLOOKUP($E97,'NI-San_SP'!$C:$AN,MID(AM$1,1,2),FALSE)</f>
        <v>0</v>
      </c>
      <c r="AN97" s="30" t="str">
        <f t="shared" si="1"/>
        <v>10201010000000</v>
      </c>
    </row>
    <row r="98" spans="3:40" x14ac:dyDescent="0.25">
      <c r="C98" s="40"/>
      <c r="D98" s="57" t="s">
        <v>440</v>
      </c>
      <c r="E98" s="57" t="s">
        <v>441</v>
      </c>
      <c r="F98" s="58" t="s">
        <v>110</v>
      </c>
      <c r="G98" s="52"/>
      <c r="H98" s="52"/>
      <c r="I98" s="52"/>
      <c r="J98" s="52"/>
      <c r="K98" s="59" t="s">
        <v>79</v>
      </c>
      <c r="L98" s="52"/>
      <c r="M98" s="52"/>
      <c r="N98" s="52"/>
      <c r="O98" s="52"/>
      <c r="P98" s="63" t="s">
        <v>442</v>
      </c>
      <c r="Q98" s="55">
        <f>VLOOKUP(E98,'NI-San_SP'!$C:$AN,12,FALSE)</f>
        <v>34000</v>
      </c>
      <c r="R98" s="55">
        <f>VLOOKUP(E98,'NI-San_SP'!$C:$AN,13,FALSE)</f>
        <v>34000</v>
      </c>
      <c r="S98" s="55"/>
      <c r="T98" s="55"/>
      <c r="U98" s="55">
        <f>VLOOKUP($E98,'NI-San_SP'!$C:$AN,MID(U$1,1,2),FALSE)</f>
        <v>0</v>
      </c>
      <c r="V98" s="55">
        <f>VLOOKUP($E98,'NI-San_SP'!$C:$AN,MID(V$1,1,2),FALSE)</f>
        <v>34000</v>
      </c>
      <c r="W98" s="55">
        <f>VLOOKUP($E98,'NI-San_SP'!$C:$AN,MID(W$1,1,2),FALSE)</f>
        <v>0</v>
      </c>
      <c r="X98" s="55">
        <f>VLOOKUP($E98,'NI-San_SP'!$C:$AN,MID(X$1,1,2),FALSE)</f>
        <v>0</v>
      </c>
      <c r="Y98" s="55">
        <f>VLOOKUP($E98,'NI-San_SP'!$C:$AN,MID(Y$1,1,2),FALSE)</f>
        <v>0</v>
      </c>
      <c r="Z98" s="55">
        <f>VLOOKUP($E98,'NI-San_SP'!$C:$AN,MID(Z$1,1,2),FALSE)</f>
        <v>0</v>
      </c>
      <c r="AA98" s="55">
        <f>VLOOKUP($E98,'NI-San_SP'!$C:$AN,MID(AA$1,1,2),FALSE)</f>
        <v>0</v>
      </c>
      <c r="AB98" s="55">
        <f>VLOOKUP($E98,'NI-San_SP'!$C:$AN,MID(AB$1,1,2),FALSE)</f>
        <v>0</v>
      </c>
      <c r="AC98" s="55">
        <f>VLOOKUP($E98,'NI-San_SP'!$C:$AN,MID(AC$1,1,2),FALSE)</f>
        <v>0</v>
      </c>
      <c r="AD98" s="55">
        <f>VLOOKUP($E98,'NI-San_SP'!$C:$AN,MID(AD$1,1,2),FALSE)</f>
        <v>0</v>
      </c>
      <c r="AE98" s="55">
        <f>VLOOKUP($E98,'NI-San_SP'!$C:$AN,MID(AE$1,1,2),FALSE)</f>
        <v>0</v>
      </c>
      <c r="AF98" s="55">
        <f>VLOOKUP($E98,'NI-San_SP'!$C:$AN,MID(AF$1,1,2),FALSE)</f>
        <v>0</v>
      </c>
      <c r="AG98" s="55">
        <f>VLOOKUP($E98,'NI-San_SP'!$C:$AN,MID(AG$1,1,2),FALSE)</f>
        <v>0</v>
      </c>
      <c r="AH98" s="55">
        <f>VLOOKUP($E98,'NI-San_SP'!$C:$AN,MID(AH$1,1,2),FALSE)</f>
        <v>0</v>
      </c>
      <c r="AI98" s="55">
        <f>VLOOKUP($E98,'NI-San_SP'!$C:$AN,MID(AI$1,1,2),FALSE)</f>
        <v>0</v>
      </c>
      <c r="AJ98" s="55">
        <f>VLOOKUP($E98,'NI-San_SP'!$C:$AN,MID(AJ$1,1,2),FALSE)</f>
        <v>0</v>
      </c>
      <c r="AK98" s="55">
        <f>VLOOKUP($E98,'NI-San_SP'!$C:$AN,MID(AK$1,1,2),FALSE)</f>
        <v>0</v>
      </c>
      <c r="AL98" s="55">
        <f>VLOOKUP($E98,'NI-San_SP'!$C:$AN,MID(AL$1,1,2),FALSE)</f>
        <v>0</v>
      </c>
      <c r="AM98" s="56">
        <f>VLOOKUP($E98,'NI-San_SP'!$C:$AN,MID(AM$1,1,2),FALSE)</f>
        <v>0</v>
      </c>
      <c r="AN98" s="30" t="str">
        <f t="shared" si="1"/>
        <v>10201010010010</v>
      </c>
    </row>
    <row r="99" spans="3:40" x14ac:dyDescent="0.25">
      <c r="C99" s="40"/>
      <c r="D99" s="57" t="s">
        <v>443</v>
      </c>
      <c r="E99" s="57" t="s">
        <v>444</v>
      </c>
      <c r="F99" s="58" t="s">
        <v>110</v>
      </c>
      <c r="G99" s="52"/>
      <c r="H99" s="52"/>
      <c r="I99" s="52"/>
      <c r="J99" s="52"/>
      <c r="K99" s="59" t="s">
        <v>79</v>
      </c>
      <c r="L99" s="52"/>
      <c r="M99" s="52"/>
      <c r="N99" s="52"/>
      <c r="O99" s="52"/>
      <c r="P99" s="63" t="s">
        <v>445</v>
      </c>
      <c r="Q99" s="55">
        <f>VLOOKUP(E99,'NI-San_SP'!$C:$AN,12,FALSE)</f>
        <v>1130620</v>
      </c>
      <c r="R99" s="55">
        <f>VLOOKUP(E99,'NI-San_SP'!$C:$AN,13,FALSE)</f>
        <v>1130620</v>
      </c>
      <c r="S99" s="55"/>
      <c r="T99" s="55"/>
      <c r="U99" s="55">
        <f>VLOOKUP($E99,'NI-San_SP'!$C:$AN,MID(U$1,1,2),FALSE)</f>
        <v>0</v>
      </c>
      <c r="V99" s="55">
        <f>VLOOKUP($E99,'NI-San_SP'!$C:$AN,MID(V$1,1,2),FALSE)</f>
        <v>1130620</v>
      </c>
      <c r="W99" s="55">
        <f>VLOOKUP($E99,'NI-San_SP'!$C:$AN,MID(W$1,1,2),FALSE)</f>
        <v>0</v>
      </c>
      <c r="X99" s="55">
        <f>VLOOKUP($E99,'NI-San_SP'!$C:$AN,MID(X$1,1,2),FALSE)</f>
        <v>0</v>
      </c>
      <c r="Y99" s="55">
        <f>VLOOKUP($E99,'NI-San_SP'!$C:$AN,MID(Y$1,1,2),FALSE)</f>
        <v>0</v>
      </c>
      <c r="Z99" s="55">
        <f>VLOOKUP($E99,'NI-San_SP'!$C:$AN,MID(Z$1,1,2),FALSE)</f>
        <v>0</v>
      </c>
      <c r="AA99" s="55">
        <f>VLOOKUP($E99,'NI-San_SP'!$C:$AN,MID(AA$1,1,2),FALSE)</f>
        <v>0</v>
      </c>
      <c r="AB99" s="55">
        <f>VLOOKUP($E99,'NI-San_SP'!$C:$AN,MID(AB$1,1,2),FALSE)</f>
        <v>0</v>
      </c>
      <c r="AC99" s="55">
        <f>VLOOKUP($E99,'NI-San_SP'!$C:$AN,MID(AC$1,1,2),FALSE)</f>
        <v>0</v>
      </c>
      <c r="AD99" s="55">
        <f>VLOOKUP($E99,'NI-San_SP'!$C:$AN,MID(AD$1,1,2),FALSE)</f>
        <v>0</v>
      </c>
      <c r="AE99" s="55">
        <f>VLOOKUP($E99,'NI-San_SP'!$C:$AN,MID(AE$1,1,2),FALSE)</f>
        <v>0</v>
      </c>
      <c r="AF99" s="55">
        <f>VLOOKUP($E99,'NI-San_SP'!$C:$AN,MID(AF$1,1,2),FALSE)</f>
        <v>0</v>
      </c>
      <c r="AG99" s="55">
        <f>VLOOKUP($E99,'NI-San_SP'!$C:$AN,MID(AG$1,1,2),FALSE)</f>
        <v>0</v>
      </c>
      <c r="AH99" s="55">
        <f>VLOOKUP($E99,'NI-San_SP'!$C:$AN,MID(AH$1,1,2),FALSE)</f>
        <v>0</v>
      </c>
      <c r="AI99" s="55">
        <f>VLOOKUP($E99,'NI-San_SP'!$C:$AN,MID(AI$1,1,2),FALSE)</f>
        <v>0</v>
      </c>
      <c r="AJ99" s="55">
        <f>VLOOKUP($E99,'NI-San_SP'!$C:$AN,MID(AJ$1,1,2),FALSE)</f>
        <v>0</v>
      </c>
      <c r="AK99" s="55">
        <f>VLOOKUP($E99,'NI-San_SP'!$C:$AN,MID(AK$1,1,2),FALSE)</f>
        <v>0</v>
      </c>
      <c r="AL99" s="55">
        <f>VLOOKUP($E99,'NI-San_SP'!$C:$AN,MID(AL$1,1,2),FALSE)</f>
        <v>0</v>
      </c>
      <c r="AM99" s="56">
        <f>VLOOKUP($E99,'NI-San_SP'!$C:$AN,MID(AM$1,1,2),FALSE)</f>
        <v>0</v>
      </c>
      <c r="AN99" s="30" t="str">
        <f t="shared" si="1"/>
        <v>10201010010020</v>
      </c>
    </row>
    <row r="100" spans="3:40" x14ac:dyDescent="0.25">
      <c r="C100" s="40"/>
      <c r="D100" s="57" t="s">
        <v>446</v>
      </c>
      <c r="E100" s="57" t="s">
        <v>447</v>
      </c>
      <c r="F100" s="58" t="s">
        <v>110</v>
      </c>
      <c r="G100" s="52"/>
      <c r="H100" s="52"/>
      <c r="I100" s="52"/>
      <c r="J100" s="52"/>
      <c r="K100" s="59" t="s">
        <v>79</v>
      </c>
      <c r="L100" s="52"/>
      <c r="M100" s="52"/>
      <c r="N100" s="52"/>
      <c r="O100" s="52"/>
      <c r="P100" s="63" t="s">
        <v>448</v>
      </c>
      <c r="Q100" s="55">
        <f>VLOOKUP(E100,'NI-San_SP'!$C:$AN,12,FALSE)</f>
        <v>0</v>
      </c>
      <c r="R100" s="55">
        <f>VLOOKUP(E100,'NI-San_SP'!$C:$AN,13,FALSE)</f>
        <v>0</v>
      </c>
      <c r="S100" s="55"/>
      <c r="T100" s="55"/>
      <c r="U100" s="55">
        <f>VLOOKUP($E100,'NI-San_SP'!$C:$AN,MID(U$1,1,2),FALSE)</f>
        <v>0</v>
      </c>
      <c r="V100" s="55">
        <f>VLOOKUP($E100,'NI-San_SP'!$C:$AN,MID(V$1,1,2),FALSE)</f>
        <v>0</v>
      </c>
      <c r="W100" s="55">
        <f>VLOOKUP($E100,'NI-San_SP'!$C:$AN,MID(W$1,1,2),FALSE)</f>
        <v>0</v>
      </c>
      <c r="X100" s="55">
        <f>VLOOKUP($E100,'NI-San_SP'!$C:$AN,MID(X$1,1,2),FALSE)</f>
        <v>0</v>
      </c>
      <c r="Y100" s="55">
        <f>VLOOKUP($E100,'NI-San_SP'!$C:$AN,MID(Y$1,1,2),FALSE)</f>
        <v>0</v>
      </c>
      <c r="Z100" s="55">
        <f>VLOOKUP($E100,'NI-San_SP'!$C:$AN,MID(Z$1,1,2),FALSE)</f>
        <v>0</v>
      </c>
      <c r="AA100" s="55">
        <f>VLOOKUP($E100,'NI-San_SP'!$C:$AN,MID(AA$1,1,2),FALSE)</f>
        <v>0</v>
      </c>
      <c r="AB100" s="55">
        <f>VLOOKUP($E100,'NI-San_SP'!$C:$AN,MID(AB$1,1,2),FALSE)</f>
        <v>0</v>
      </c>
      <c r="AC100" s="55">
        <f>VLOOKUP($E100,'NI-San_SP'!$C:$AN,MID(AC$1,1,2),FALSE)</f>
        <v>0</v>
      </c>
      <c r="AD100" s="55">
        <f>VLOOKUP($E100,'NI-San_SP'!$C:$AN,MID(AD$1,1,2),FALSE)</f>
        <v>0</v>
      </c>
      <c r="AE100" s="55">
        <f>VLOOKUP($E100,'NI-San_SP'!$C:$AN,MID(AE$1,1,2),FALSE)</f>
        <v>0</v>
      </c>
      <c r="AF100" s="55">
        <f>VLOOKUP($E100,'NI-San_SP'!$C:$AN,MID(AF$1,1,2),FALSE)</f>
        <v>0</v>
      </c>
      <c r="AG100" s="55">
        <f>VLOOKUP($E100,'NI-San_SP'!$C:$AN,MID(AG$1,1,2),FALSE)</f>
        <v>0</v>
      </c>
      <c r="AH100" s="55">
        <f>VLOOKUP($E100,'NI-San_SP'!$C:$AN,MID(AH$1,1,2),FALSE)</f>
        <v>0</v>
      </c>
      <c r="AI100" s="55">
        <f>VLOOKUP($E100,'NI-San_SP'!$C:$AN,MID(AI$1,1,2),FALSE)</f>
        <v>0</v>
      </c>
      <c r="AJ100" s="55">
        <f>VLOOKUP($E100,'NI-San_SP'!$C:$AN,MID(AJ$1,1,2),FALSE)</f>
        <v>0</v>
      </c>
      <c r="AK100" s="55">
        <f>VLOOKUP($E100,'NI-San_SP'!$C:$AN,MID(AK$1,1,2),FALSE)</f>
        <v>0</v>
      </c>
      <c r="AL100" s="55">
        <f>VLOOKUP($E100,'NI-San_SP'!$C:$AN,MID(AL$1,1,2),FALSE)</f>
        <v>0</v>
      </c>
      <c r="AM100" s="56">
        <f>VLOOKUP($E100,'NI-San_SP'!$C:$AN,MID(AM$1,1,2),FALSE)</f>
        <v>0</v>
      </c>
      <c r="AN100" s="30" t="str">
        <f t="shared" si="1"/>
        <v>10201010020010</v>
      </c>
    </row>
    <row r="101" spans="3:40" x14ac:dyDescent="0.25">
      <c r="C101" s="40"/>
      <c r="D101" s="57" t="s">
        <v>449</v>
      </c>
      <c r="E101" s="57" t="s">
        <v>450</v>
      </c>
      <c r="F101" s="58" t="s">
        <v>110</v>
      </c>
      <c r="G101" s="52"/>
      <c r="H101" s="52"/>
      <c r="I101" s="52"/>
      <c r="J101" s="52"/>
      <c r="K101" s="59" t="s">
        <v>79</v>
      </c>
      <c r="L101" s="52"/>
      <c r="M101" s="52"/>
      <c r="N101" s="52"/>
      <c r="O101" s="52"/>
      <c r="P101" s="63" t="s">
        <v>451</v>
      </c>
      <c r="Q101" s="55">
        <f>VLOOKUP(E101,'NI-San_SP'!$C:$AN,12,FALSE)</f>
        <v>0</v>
      </c>
      <c r="R101" s="55">
        <f>VLOOKUP(E101,'NI-San_SP'!$C:$AN,13,FALSE)</f>
        <v>0</v>
      </c>
      <c r="S101" s="55"/>
      <c r="T101" s="55"/>
      <c r="U101" s="55">
        <f>VLOOKUP($E101,'NI-San_SP'!$C:$AN,MID(U$1,1,2),FALSE)</f>
        <v>0</v>
      </c>
      <c r="V101" s="55">
        <f>VLOOKUP($E101,'NI-San_SP'!$C:$AN,MID(V$1,1,2),FALSE)</f>
        <v>0</v>
      </c>
      <c r="W101" s="55">
        <f>VLOOKUP($E101,'NI-San_SP'!$C:$AN,MID(W$1,1,2),FALSE)</f>
        <v>0</v>
      </c>
      <c r="X101" s="55">
        <f>VLOOKUP($E101,'NI-San_SP'!$C:$AN,MID(X$1,1,2),FALSE)</f>
        <v>0</v>
      </c>
      <c r="Y101" s="55">
        <f>VLOOKUP($E101,'NI-San_SP'!$C:$AN,MID(Y$1,1,2),FALSE)</f>
        <v>0</v>
      </c>
      <c r="Z101" s="55">
        <f>VLOOKUP($E101,'NI-San_SP'!$C:$AN,MID(Z$1,1,2),FALSE)</f>
        <v>0</v>
      </c>
      <c r="AA101" s="55">
        <f>VLOOKUP($E101,'NI-San_SP'!$C:$AN,MID(AA$1,1,2),FALSE)</f>
        <v>0</v>
      </c>
      <c r="AB101" s="55">
        <f>VLOOKUP($E101,'NI-San_SP'!$C:$AN,MID(AB$1,1,2),FALSE)</f>
        <v>0</v>
      </c>
      <c r="AC101" s="55">
        <f>VLOOKUP($E101,'NI-San_SP'!$C:$AN,MID(AC$1,1,2),FALSE)</f>
        <v>0</v>
      </c>
      <c r="AD101" s="55">
        <f>VLOOKUP($E101,'NI-San_SP'!$C:$AN,MID(AD$1,1,2),FALSE)</f>
        <v>0</v>
      </c>
      <c r="AE101" s="55">
        <f>VLOOKUP($E101,'NI-San_SP'!$C:$AN,MID(AE$1,1,2),FALSE)</f>
        <v>0</v>
      </c>
      <c r="AF101" s="55">
        <f>VLOOKUP($E101,'NI-San_SP'!$C:$AN,MID(AF$1,1,2),FALSE)</f>
        <v>0</v>
      </c>
      <c r="AG101" s="55">
        <f>VLOOKUP($E101,'NI-San_SP'!$C:$AN,MID(AG$1,1,2),FALSE)</f>
        <v>0</v>
      </c>
      <c r="AH101" s="55">
        <f>VLOOKUP($E101,'NI-San_SP'!$C:$AN,MID(AH$1,1,2),FALSE)</f>
        <v>0</v>
      </c>
      <c r="AI101" s="55">
        <f>VLOOKUP($E101,'NI-San_SP'!$C:$AN,MID(AI$1,1,2),FALSE)</f>
        <v>0</v>
      </c>
      <c r="AJ101" s="55">
        <f>VLOOKUP($E101,'NI-San_SP'!$C:$AN,MID(AJ$1,1,2),FALSE)</f>
        <v>0</v>
      </c>
      <c r="AK101" s="55">
        <f>VLOOKUP($E101,'NI-San_SP'!$C:$AN,MID(AK$1,1,2),FALSE)</f>
        <v>0</v>
      </c>
      <c r="AL101" s="55">
        <f>VLOOKUP($E101,'NI-San_SP'!$C:$AN,MID(AL$1,1,2),FALSE)</f>
        <v>0</v>
      </c>
      <c r="AM101" s="56">
        <f>VLOOKUP($E101,'NI-San_SP'!$C:$AN,MID(AM$1,1,2),FALSE)</f>
        <v>0</v>
      </c>
      <c r="AN101" s="30" t="str">
        <f t="shared" si="1"/>
        <v>10201010020020</v>
      </c>
    </row>
    <row r="102" spans="3:40" x14ac:dyDescent="0.25">
      <c r="C102" s="40"/>
      <c r="D102" s="57" t="s">
        <v>452</v>
      </c>
      <c r="E102" s="57" t="s">
        <v>453</v>
      </c>
      <c r="F102" s="58" t="s">
        <v>110</v>
      </c>
      <c r="G102" s="52"/>
      <c r="H102" s="52"/>
      <c r="I102" s="52"/>
      <c r="J102" s="52"/>
      <c r="K102" s="59" t="s">
        <v>79</v>
      </c>
      <c r="L102" s="52"/>
      <c r="M102" s="52"/>
      <c r="N102" s="52"/>
      <c r="O102" s="52"/>
      <c r="P102" s="63" t="s">
        <v>454</v>
      </c>
      <c r="Q102" s="55">
        <f>VLOOKUP(E102,'NI-San_SP'!$C:$AN,12,FALSE)</f>
        <v>0</v>
      </c>
      <c r="R102" s="55">
        <f>VLOOKUP(E102,'NI-San_SP'!$C:$AN,13,FALSE)</f>
        <v>0</v>
      </c>
      <c r="S102" s="55"/>
      <c r="T102" s="55"/>
      <c r="U102" s="55">
        <f>VLOOKUP($E102,'NI-San_SP'!$C:$AN,MID(U$1,1,2),FALSE)</f>
        <v>0</v>
      </c>
      <c r="V102" s="55">
        <f>VLOOKUP($E102,'NI-San_SP'!$C:$AN,MID(V$1,1,2),FALSE)</f>
        <v>0</v>
      </c>
      <c r="W102" s="55">
        <f>VLOOKUP($E102,'NI-San_SP'!$C:$AN,MID(W$1,1,2),FALSE)</f>
        <v>0</v>
      </c>
      <c r="X102" s="55">
        <f>VLOOKUP($E102,'NI-San_SP'!$C:$AN,MID(X$1,1,2),FALSE)</f>
        <v>0</v>
      </c>
      <c r="Y102" s="55">
        <f>VLOOKUP($E102,'NI-San_SP'!$C:$AN,MID(Y$1,1,2),FALSE)</f>
        <v>0</v>
      </c>
      <c r="Z102" s="55">
        <f>VLOOKUP($E102,'NI-San_SP'!$C:$AN,MID(Z$1,1,2),FALSE)</f>
        <v>0</v>
      </c>
      <c r="AA102" s="55">
        <f>VLOOKUP($E102,'NI-San_SP'!$C:$AN,MID(AA$1,1,2),FALSE)</f>
        <v>0</v>
      </c>
      <c r="AB102" s="55">
        <f>VLOOKUP($E102,'NI-San_SP'!$C:$AN,MID(AB$1,1,2),FALSE)</f>
        <v>0</v>
      </c>
      <c r="AC102" s="55">
        <f>VLOOKUP($E102,'NI-San_SP'!$C:$AN,MID(AC$1,1,2),FALSE)</f>
        <v>0</v>
      </c>
      <c r="AD102" s="55">
        <f>VLOOKUP($E102,'NI-San_SP'!$C:$AN,MID(AD$1,1,2),FALSE)</f>
        <v>0</v>
      </c>
      <c r="AE102" s="55">
        <f>VLOOKUP($E102,'NI-San_SP'!$C:$AN,MID(AE$1,1,2),FALSE)</f>
        <v>0</v>
      </c>
      <c r="AF102" s="55">
        <f>VLOOKUP($E102,'NI-San_SP'!$C:$AN,MID(AF$1,1,2),FALSE)</f>
        <v>0</v>
      </c>
      <c r="AG102" s="55">
        <f>VLOOKUP($E102,'NI-San_SP'!$C:$AN,MID(AG$1,1,2),FALSE)</f>
        <v>0</v>
      </c>
      <c r="AH102" s="55">
        <f>VLOOKUP($E102,'NI-San_SP'!$C:$AN,MID(AH$1,1,2),FALSE)</f>
        <v>0</v>
      </c>
      <c r="AI102" s="55">
        <f>VLOOKUP($E102,'NI-San_SP'!$C:$AN,MID(AI$1,1,2),FALSE)</f>
        <v>0</v>
      </c>
      <c r="AJ102" s="55">
        <f>VLOOKUP($E102,'NI-San_SP'!$C:$AN,MID(AJ$1,1,2),FALSE)</f>
        <v>0</v>
      </c>
      <c r="AK102" s="55">
        <f>VLOOKUP($E102,'NI-San_SP'!$C:$AN,MID(AK$1,1,2),FALSE)</f>
        <v>0</v>
      </c>
      <c r="AL102" s="55">
        <f>VLOOKUP($E102,'NI-San_SP'!$C:$AN,MID(AL$1,1,2),FALSE)</f>
        <v>0</v>
      </c>
      <c r="AM102" s="56">
        <f>VLOOKUP($E102,'NI-San_SP'!$C:$AN,MID(AM$1,1,2),FALSE)</f>
        <v>0</v>
      </c>
      <c r="AN102" s="30" t="str">
        <f t="shared" si="1"/>
        <v>10201010030010</v>
      </c>
    </row>
    <row r="103" spans="3:40" x14ac:dyDescent="0.25">
      <c r="C103" s="40"/>
      <c r="D103" s="57" t="s">
        <v>455</v>
      </c>
      <c r="E103" s="57" t="s">
        <v>456</v>
      </c>
      <c r="F103" s="58" t="s">
        <v>110</v>
      </c>
      <c r="G103" s="52"/>
      <c r="H103" s="52"/>
      <c r="I103" s="52"/>
      <c r="J103" s="52"/>
      <c r="K103" s="59" t="s">
        <v>79</v>
      </c>
      <c r="L103" s="52"/>
      <c r="M103" s="52"/>
      <c r="N103" s="52"/>
      <c r="O103" s="52"/>
      <c r="P103" s="63" t="s">
        <v>457</v>
      </c>
      <c r="Q103" s="55">
        <f>VLOOKUP(E103,'NI-San_SP'!$C:$AN,12,FALSE)</f>
        <v>0</v>
      </c>
      <c r="R103" s="55">
        <f>VLOOKUP(E103,'NI-San_SP'!$C:$AN,13,FALSE)</f>
        <v>0</v>
      </c>
      <c r="S103" s="55"/>
      <c r="T103" s="55"/>
      <c r="U103" s="55">
        <f>VLOOKUP($E103,'NI-San_SP'!$C:$AN,MID(U$1,1,2),FALSE)</f>
        <v>0</v>
      </c>
      <c r="V103" s="55">
        <f>VLOOKUP($E103,'NI-San_SP'!$C:$AN,MID(V$1,1,2),FALSE)</f>
        <v>0</v>
      </c>
      <c r="W103" s="55">
        <f>VLOOKUP($E103,'NI-San_SP'!$C:$AN,MID(W$1,1,2),FALSE)</f>
        <v>0</v>
      </c>
      <c r="X103" s="55">
        <f>VLOOKUP($E103,'NI-San_SP'!$C:$AN,MID(X$1,1,2),FALSE)</f>
        <v>0</v>
      </c>
      <c r="Y103" s="55">
        <f>VLOOKUP($E103,'NI-San_SP'!$C:$AN,MID(Y$1,1,2),FALSE)</f>
        <v>0</v>
      </c>
      <c r="Z103" s="55">
        <f>VLOOKUP($E103,'NI-San_SP'!$C:$AN,MID(Z$1,1,2),FALSE)</f>
        <v>0</v>
      </c>
      <c r="AA103" s="55">
        <f>VLOOKUP($E103,'NI-San_SP'!$C:$AN,MID(AA$1,1,2),FALSE)</f>
        <v>0</v>
      </c>
      <c r="AB103" s="55">
        <f>VLOOKUP($E103,'NI-San_SP'!$C:$AN,MID(AB$1,1,2),FALSE)</f>
        <v>0</v>
      </c>
      <c r="AC103" s="55">
        <f>VLOOKUP($E103,'NI-San_SP'!$C:$AN,MID(AC$1,1,2),FALSE)</f>
        <v>0</v>
      </c>
      <c r="AD103" s="55">
        <f>VLOOKUP($E103,'NI-San_SP'!$C:$AN,MID(AD$1,1,2),FALSE)</f>
        <v>0</v>
      </c>
      <c r="AE103" s="55">
        <f>VLOOKUP($E103,'NI-San_SP'!$C:$AN,MID(AE$1,1,2),FALSE)</f>
        <v>0</v>
      </c>
      <c r="AF103" s="55">
        <f>VLOOKUP($E103,'NI-San_SP'!$C:$AN,MID(AF$1,1,2),FALSE)</f>
        <v>0</v>
      </c>
      <c r="AG103" s="55">
        <f>VLOOKUP($E103,'NI-San_SP'!$C:$AN,MID(AG$1,1,2),FALSE)</f>
        <v>0</v>
      </c>
      <c r="AH103" s="55">
        <f>VLOOKUP($E103,'NI-San_SP'!$C:$AN,MID(AH$1,1,2),FALSE)</f>
        <v>0</v>
      </c>
      <c r="AI103" s="55">
        <f>VLOOKUP($E103,'NI-San_SP'!$C:$AN,MID(AI$1,1,2),FALSE)</f>
        <v>0</v>
      </c>
      <c r="AJ103" s="55">
        <f>VLOOKUP($E103,'NI-San_SP'!$C:$AN,MID(AJ$1,1,2),FALSE)</f>
        <v>0</v>
      </c>
      <c r="AK103" s="55">
        <f>VLOOKUP($E103,'NI-San_SP'!$C:$AN,MID(AK$1,1,2),FALSE)</f>
        <v>0</v>
      </c>
      <c r="AL103" s="55">
        <f>VLOOKUP($E103,'NI-San_SP'!$C:$AN,MID(AL$1,1,2),FALSE)</f>
        <v>0</v>
      </c>
      <c r="AM103" s="56">
        <f>VLOOKUP($E103,'NI-San_SP'!$C:$AN,MID(AM$1,1,2),FALSE)</f>
        <v>0</v>
      </c>
      <c r="AN103" s="30" t="str">
        <f t="shared" si="1"/>
        <v>10201010030020</v>
      </c>
    </row>
    <row r="104" spans="3:40" x14ac:dyDescent="0.25">
      <c r="C104" s="40"/>
      <c r="D104" s="57" t="s">
        <v>458</v>
      </c>
      <c r="E104" s="57" t="s">
        <v>459</v>
      </c>
      <c r="F104" s="58" t="s">
        <v>110</v>
      </c>
      <c r="G104" s="52"/>
      <c r="H104" s="52"/>
      <c r="I104" s="52" t="s">
        <v>460</v>
      </c>
      <c r="J104" s="52" t="s">
        <v>460</v>
      </c>
      <c r="K104" s="59" t="s">
        <v>111</v>
      </c>
      <c r="L104" s="52"/>
      <c r="M104" s="52"/>
      <c r="N104" s="52"/>
      <c r="O104" s="61" t="s">
        <v>461</v>
      </c>
      <c r="P104" s="60" t="s">
        <v>462</v>
      </c>
      <c r="Q104" s="55">
        <f>VLOOKUP(E104,'NI-San_SP'!$C:$AN,12,FALSE)</f>
        <v>0</v>
      </c>
      <c r="R104" s="55">
        <f>VLOOKUP(E104,'NI-San_SP'!$C:$AN,13,FALSE)</f>
        <v>0</v>
      </c>
      <c r="S104" s="55"/>
      <c r="T104" s="55"/>
      <c r="U104" s="55">
        <f>VLOOKUP($E104,'NI-San_SP'!$C:$AN,MID(U$1,1,2),FALSE)</f>
        <v>0</v>
      </c>
      <c r="V104" s="55">
        <f>VLOOKUP($E104,'NI-San_SP'!$C:$AN,MID(V$1,1,2),FALSE)</f>
        <v>0</v>
      </c>
      <c r="W104" s="55">
        <f>VLOOKUP($E104,'NI-San_SP'!$C:$AN,MID(W$1,1,2),FALSE)</f>
        <v>0</v>
      </c>
      <c r="X104" s="55">
        <f>VLOOKUP($E104,'NI-San_SP'!$C:$AN,MID(X$1,1,2),FALSE)</f>
        <v>0</v>
      </c>
      <c r="Y104" s="55">
        <f>VLOOKUP($E104,'NI-San_SP'!$C:$AN,MID(Y$1,1,2),FALSE)</f>
        <v>0</v>
      </c>
      <c r="Z104" s="55">
        <f>VLOOKUP($E104,'NI-San_SP'!$C:$AN,MID(Z$1,1,2),FALSE)</f>
        <v>0</v>
      </c>
      <c r="AA104" s="55">
        <f>VLOOKUP($E104,'NI-San_SP'!$C:$AN,MID(AA$1,1,2),FALSE)</f>
        <v>0</v>
      </c>
      <c r="AB104" s="55">
        <f>VLOOKUP($E104,'NI-San_SP'!$C:$AN,MID(AB$1,1,2),FALSE)</f>
        <v>0</v>
      </c>
      <c r="AC104" s="55">
        <f>VLOOKUP($E104,'NI-San_SP'!$C:$AN,MID(AC$1,1,2),FALSE)</f>
        <v>0</v>
      </c>
      <c r="AD104" s="55">
        <f>VLOOKUP($E104,'NI-San_SP'!$C:$AN,MID(AD$1,1,2),FALSE)</f>
        <v>0</v>
      </c>
      <c r="AE104" s="55">
        <f>VLOOKUP($E104,'NI-San_SP'!$C:$AN,MID(AE$1,1,2),FALSE)</f>
        <v>0</v>
      </c>
      <c r="AF104" s="55">
        <f>VLOOKUP($E104,'NI-San_SP'!$C:$AN,MID(AF$1,1,2),FALSE)</f>
        <v>0</v>
      </c>
      <c r="AG104" s="55">
        <f>VLOOKUP($E104,'NI-San_SP'!$C:$AN,MID(AG$1,1,2),FALSE)</f>
        <v>0</v>
      </c>
      <c r="AH104" s="55">
        <f>VLOOKUP($E104,'NI-San_SP'!$C:$AN,MID(AH$1,1,2),FALSE)</f>
        <v>0</v>
      </c>
      <c r="AI104" s="55">
        <f>VLOOKUP($E104,'NI-San_SP'!$C:$AN,MID(AI$1,1,2),FALSE)</f>
        <v>0</v>
      </c>
      <c r="AJ104" s="55">
        <f>VLOOKUP($E104,'NI-San_SP'!$C:$AN,MID(AJ$1,1,2),FALSE)</f>
        <v>0</v>
      </c>
      <c r="AK104" s="55">
        <f>VLOOKUP($E104,'NI-San_SP'!$C:$AN,MID(AK$1,1,2),FALSE)</f>
        <v>0</v>
      </c>
      <c r="AL104" s="55">
        <f>VLOOKUP($E104,'NI-San_SP'!$C:$AN,MID(AL$1,1,2),FALSE)</f>
        <v>0</v>
      </c>
      <c r="AM104" s="56">
        <f>VLOOKUP($E104,'NI-San_SP'!$C:$AN,MID(AM$1,1,2),FALSE)</f>
        <v>0</v>
      </c>
      <c r="AN104" s="30" t="str">
        <f t="shared" si="1"/>
        <v>10201020000000</v>
      </c>
    </row>
    <row r="105" spans="3:40" x14ac:dyDescent="0.25">
      <c r="C105" s="40"/>
      <c r="D105" s="57" t="s">
        <v>463</v>
      </c>
      <c r="E105" s="57" t="s">
        <v>464</v>
      </c>
      <c r="F105" s="58" t="s">
        <v>110</v>
      </c>
      <c r="G105" s="52"/>
      <c r="H105" s="52"/>
      <c r="I105" s="52"/>
      <c r="J105" s="52"/>
      <c r="K105" s="59" t="s">
        <v>79</v>
      </c>
      <c r="L105" s="52"/>
      <c r="M105" s="52"/>
      <c r="N105" s="52"/>
      <c r="O105" s="52"/>
      <c r="P105" s="63" t="s">
        <v>465</v>
      </c>
      <c r="Q105" s="55">
        <f>VLOOKUP(E105,'NI-San_SP'!$C:$AN,12,FALSE)</f>
        <v>0</v>
      </c>
      <c r="R105" s="55">
        <f>VLOOKUP(E105,'NI-San_SP'!$C:$AN,13,FALSE)</f>
        <v>0</v>
      </c>
      <c r="S105" s="55"/>
      <c r="T105" s="55"/>
      <c r="U105" s="55">
        <f>VLOOKUP($E105,'NI-San_SP'!$C:$AN,MID(U$1,1,2),FALSE)</f>
        <v>0</v>
      </c>
      <c r="V105" s="55">
        <f>VLOOKUP($E105,'NI-San_SP'!$C:$AN,MID(V$1,1,2),FALSE)</f>
        <v>0</v>
      </c>
      <c r="W105" s="55">
        <f>VLOOKUP($E105,'NI-San_SP'!$C:$AN,MID(W$1,1,2),FALSE)</f>
        <v>0</v>
      </c>
      <c r="X105" s="55">
        <f>VLOOKUP($E105,'NI-San_SP'!$C:$AN,MID(X$1,1,2),FALSE)</f>
        <v>0</v>
      </c>
      <c r="Y105" s="55">
        <f>VLOOKUP($E105,'NI-San_SP'!$C:$AN,MID(Y$1,1,2),FALSE)</f>
        <v>0</v>
      </c>
      <c r="Z105" s="55">
        <f>VLOOKUP($E105,'NI-San_SP'!$C:$AN,MID(Z$1,1,2),FALSE)</f>
        <v>0</v>
      </c>
      <c r="AA105" s="55">
        <f>VLOOKUP($E105,'NI-San_SP'!$C:$AN,MID(AA$1,1,2),FALSE)</f>
        <v>0</v>
      </c>
      <c r="AB105" s="55">
        <f>VLOOKUP($E105,'NI-San_SP'!$C:$AN,MID(AB$1,1,2),FALSE)</f>
        <v>0</v>
      </c>
      <c r="AC105" s="55">
        <f>VLOOKUP($E105,'NI-San_SP'!$C:$AN,MID(AC$1,1,2),FALSE)</f>
        <v>0</v>
      </c>
      <c r="AD105" s="55">
        <f>VLOOKUP($E105,'NI-San_SP'!$C:$AN,MID(AD$1,1,2),FALSE)</f>
        <v>0</v>
      </c>
      <c r="AE105" s="55">
        <f>VLOOKUP($E105,'NI-San_SP'!$C:$AN,MID(AE$1,1,2),FALSE)</f>
        <v>0</v>
      </c>
      <c r="AF105" s="55">
        <f>VLOOKUP($E105,'NI-San_SP'!$C:$AN,MID(AF$1,1,2),FALSE)</f>
        <v>0</v>
      </c>
      <c r="AG105" s="55">
        <f>VLOOKUP($E105,'NI-San_SP'!$C:$AN,MID(AG$1,1,2),FALSE)</f>
        <v>0</v>
      </c>
      <c r="AH105" s="55">
        <f>VLOOKUP($E105,'NI-San_SP'!$C:$AN,MID(AH$1,1,2),FALSE)</f>
        <v>0</v>
      </c>
      <c r="AI105" s="55">
        <f>VLOOKUP($E105,'NI-San_SP'!$C:$AN,MID(AI$1,1,2),FALSE)</f>
        <v>0</v>
      </c>
      <c r="AJ105" s="55">
        <f>VLOOKUP($E105,'NI-San_SP'!$C:$AN,MID(AJ$1,1,2),FALSE)</f>
        <v>0</v>
      </c>
      <c r="AK105" s="55">
        <f>VLOOKUP($E105,'NI-San_SP'!$C:$AN,MID(AK$1,1,2),FALSE)</f>
        <v>0</v>
      </c>
      <c r="AL105" s="55">
        <f>VLOOKUP($E105,'NI-San_SP'!$C:$AN,MID(AL$1,1,2),FALSE)</f>
        <v>0</v>
      </c>
      <c r="AM105" s="56">
        <f>VLOOKUP($E105,'NI-San_SP'!$C:$AN,MID(AM$1,1,2),FALSE)</f>
        <v>0</v>
      </c>
      <c r="AN105" s="30" t="str">
        <f t="shared" si="1"/>
        <v>10201020010010</v>
      </c>
    </row>
    <row r="106" spans="3:40" x14ac:dyDescent="0.25">
      <c r="C106" s="40"/>
      <c r="D106" s="57" t="s">
        <v>466</v>
      </c>
      <c r="E106" s="57" t="s">
        <v>467</v>
      </c>
      <c r="F106" s="58" t="s">
        <v>110</v>
      </c>
      <c r="G106" s="52"/>
      <c r="H106" s="52"/>
      <c r="I106" s="52"/>
      <c r="J106" s="52"/>
      <c r="K106" s="59" t="s">
        <v>79</v>
      </c>
      <c r="L106" s="52"/>
      <c r="M106" s="52"/>
      <c r="N106" s="52"/>
      <c r="O106" s="52"/>
      <c r="P106" s="63" t="s">
        <v>468</v>
      </c>
      <c r="Q106" s="55">
        <f>VLOOKUP(E106,'NI-San_SP'!$C:$AN,12,FALSE)</f>
        <v>0</v>
      </c>
      <c r="R106" s="55">
        <f>VLOOKUP(E106,'NI-San_SP'!$C:$AN,13,FALSE)</f>
        <v>0</v>
      </c>
      <c r="S106" s="55"/>
      <c r="T106" s="55"/>
      <c r="U106" s="55">
        <f>VLOOKUP($E106,'NI-San_SP'!$C:$AN,MID(U$1,1,2),FALSE)</f>
        <v>0</v>
      </c>
      <c r="V106" s="55">
        <f>VLOOKUP($E106,'NI-San_SP'!$C:$AN,MID(V$1,1,2),FALSE)</f>
        <v>0</v>
      </c>
      <c r="W106" s="55">
        <f>VLOOKUP($E106,'NI-San_SP'!$C:$AN,MID(W$1,1,2),FALSE)</f>
        <v>0</v>
      </c>
      <c r="X106" s="55">
        <f>VLOOKUP($E106,'NI-San_SP'!$C:$AN,MID(X$1,1,2),FALSE)</f>
        <v>0</v>
      </c>
      <c r="Y106" s="55">
        <f>VLOOKUP($E106,'NI-San_SP'!$C:$AN,MID(Y$1,1,2),FALSE)</f>
        <v>0</v>
      </c>
      <c r="Z106" s="55">
        <f>VLOOKUP($E106,'NI-San_SP'!$C:$AN,MID(Z$1,1,2),FALSE)</f>
        <v>0</v>
      </c>
      <c r="AA106" s="55">
        <f>VLOOKUP($E106,'NI-San_SP'!$C:$AN,MID(AA$1,1,2),FALSE)</f>
        <v>0</v>
      </c>
      <c r="AB106" s="55">
        <f>VLOOKUP($E106,'NI-San_SP'!$C:$AN,MID(AB$1,1,2),FALSE)</f>
        <v>0</v>
      </c>
      <c r="AC106" s="55">
        <f>VLOOKUP($E106,'NI-San_SP'!$C:$AN,MID(AC$1,1,2),FALSE)</f>
        <v>0</v>
      </c>
      <c r="AD106" s="55">
        <f>VLOOKUP($E106,'NI-San_SP'!$C:$AN,MID(AD$1,1,2),FALSE)</f>
        <v>0</v>
      </c>
      <c r="AE106" s="55">
        <f>VLOOKUP($E106,'NI-San_SP'!$C:$AN,MID(AE$1,1,2),FALSE)</f>
        <v>0</v>
      </c>
      <c r="AF106" s="55">
        <f>VLOOKUP($E106,'NI-San_SP'!$C:$AN,MID(AF$1,1,2),FALSE)</f>
        <v>0</v>
      </c>
      <c r="AG106" s="55">
        <f>VLOOKUP($E106,'NI-San_SP'!$C:$AN,MID(AG$1,1,2),FALSE)</f>
        <v>0</v>
      </c>
      <c r="AH106" s="55">
        <f>VLOOKUP($E106,'NI-San_SP'!$C:$AN,MID(AH$1,1,2),FALSE)</f>
        <v>0</v>
      </c>
      <c r="AI106" s="55">
        <f>VLOOKUP($E106,'NI-San_SP'!$C:$AN,MID(AI$1,1,2),FALSE)</f>
        <v>0</v>
      </c>
      <c r="AJ106" s="55">
        <f>VLOOKUP($E106,'NI-San_SP'!$C:$AN,MID(AJ$1,1,2),FALSE)</f>
        <v>0</v>
      </c>
      <c r="AK106" s="55">
        <f>VLOOKUP($E106,'NI-San_SP'!$C:$AN,MID(AK$1,1,2),FALSE)</f>
        <v>0</v>
      </c>
      <c r="AL106" s="55">
        <f>VLOOKUP($E106,'NI-San_SP'!$C:$AN,MID(AL$1,1,2),FALSE)</f>
        <v>0</v>
      </c>
      <c r="AM106" s="56">
        <f>VLOOKUP($E106,'NI-San_SP'!$C:$AN,MID(AM$1,1,2),FALSE)</f>
        <v>0</v>
      </c>
      <c r="AN106" s="30" t="str">
        <f t="shared" si="1"/>
        <v>10201020010020</v>
      </c>
    </row>
    <row r="107" spans="3:40" x14ac:dyDescent="0.25">
      <c r="C107" s="40"/>
      <c r="D107" s="57" t="s">
        <v>469</v>
      </c>
      <c r="E107" s="57" t="s">
        <v>470</v>
      </c>
      <c r="F107" s="58" t="s">
        <v>110</v>
      </c>
      <c r="G107" s="52"/>
      <c r="H107" s="52"/>
      <c r="I107" s="52"/>
      <c r="J107" s="52"/>
      <c r="K107" s="59" t="s">
        <v>79</v>
      </c>
      <c r="L107" s="52"/>
      <c r="M107" s="52"/>
      <c r="N107" s="52"/>
      <c r="O107" s="52"/>
      <c r="P107" s="63" t="s">
        <v>471</v>
      </c>
      <c r="Q107" s="55">
        <f>VLOOKUP(E107,'NI-San_SP'!$C:$AN,12,FALSE)</f>
        <v>0</v>
      </c>
      <c r="R107" s="55">
        <f>VLOOKUP(E107,'NI-San_SP'!$C:$AN,13,FALSE)</f>
        <v>0</v>
      </c>
      <c r="S107" s="55"/>
      <c r="T107" s="55"/>
      <c r="U107" s="55">
        <f>VLOOKUP($E107,'NI-San_SP'!$C:$AN,MID(U$1,1,2),FALSE)</f>
        <v>0</v>
      </c>
      <c r="V107" s="55">
        <f>VLOOKUP($E107,'NI-San_SP'!$C:$AN,MID(V$1,1,2),FALSE)</f>
        <v>0</v>
      </c>
      <c r="W107" s="55">
        <f>VLOOKUP($E107,'NI-San_SP'!$C:$AN,MID(W$1,1,2),FALSE)</f>
        <v>0</v>
      </c>
      <c r="X107" s="55">
        <f>VLOOKUP($E107,'NI-San_SP'!$C:$AN,MID(X$1,1,2),FALSE)</f>
        <v>0</v>
      </c>
      <c r="Y107" s="55">
        <f>VLOOKUP($E107,'NI-San_SP'!$C:$AN,MID(Y$1,1,2),FALSE)</f>
        <v>0</v>
      </c>
      <c r="Z107" s="55">
        <f>VLOOKUP($E107,'NI-San_SP'!$C:$AN,MID(Z$1,1,2),FALSE)</f>
        <v>0</v>
      </c>
      <c r="AA107" s="55">
        <f>VLOOKUP($E107,'NI-San_SP'!$C:$AN,MID(AA$1,1,2),FALSE)</f>
        <v>0</v>
      </c>
      <c r="AB107" s="55">
        <f>VLOOKUP($E107,'NI-San_SP'!$C:$AN,MID(AB$1,1,2),FALSE)</f>
        <v>0</v>
      </c>
      <c r="AC107" s="55">
        <f>VLOOKUP($E107,'NI-San_SP'!$C:$AN,MID(AC$1,1,2),FALSE)</f>
        <v>0</v>
      </c>
      <c r="AD107" s="55">
        <f>VLOOKUP($E107,'NI-San_SP'!$C:$AN,MID(AD$1,1,2),FALSE)</f>
        <v>0</v>
      </c>
      <c r="AE107" s="55">
        <f>VLOOKUP($E107,'NI-San_SP'!$C:$AN,MID(AE$1,1,2),FALSE)</f>
        <v>0</v>
      </c>
      <c r="AF107" s="55">
        <f>VLOOKUP($E107,'NI-San_SP'!$C:$AN,MID(AF$1,1,2),FALSE)</f>
        <v>0</v>
      </c>
      <c r="AG107" s="55">
        <f>VLOOKUP($E107,'NI-San_SP'!$C:$AN,MID(AG$1,1,2),FALSE)</f>
        <v>0</v>
      </c>
      <c r="AH107" s="55">
        <f>VLOOKUP($E107,'NI-San_SP'!$C:$AN,MID(AH$1,1,2),FALSE)</f>
        <v>0</v>
      </c>
      <c r="AI107" s="55">
        <f>VLOOKUP($E107,'NI-San_SP'!$C:$AN,MID(AI$1,1,2),FALSE)</f>
        <v>0</v>
      </c>
      <c r="AJ107" s="55">
        <f>VLOOKUP($E107,'NI-San_SP'!$C:$AN,MID(AJ$1,1,2),FALSE)</f>
        <v>0</v>
      </c>
      <c r="AK107" s="55">
        <f>VLOOKUP($E107,'NI-San_SP'!$C:$AN,MID(AK$1,1,2),FALSE)</f>
        <v>0</v>
      </c>
      <c r="AL107" s="55">
        <f>VLOOKUP($E107,'NI-San_SP'!$C:$AN,MID(AL$1,1,2),FALSE)</f>
        <v>0</v>
      </c>
      <c r="AM107" s="56">
        <f>VLOOKUP($E107,'NI-San_SP'!$C:$AN,MID(AM$1,1,2),FALSE)</f>
        <v>0</v>
      </c>
      <c r="AN107" s="30" t="str">
        <f t="shared" si="1"/>
        <v>10201020020010</v>
      </c>
    </row>
    <row r="108" spans="3:40" x14ac:dyDescent="0.25">
      <c r="C108" s="40"/>
      <c r="D108" s="57" t="s">
        <v>472</v>
      </c>
      <c r="E108" s="57" t="s">
        <v>473</v>
      </c>
      <c r="F108" s="58" t="s">
        <v>110</v>
      </c>
      <c r="G108" s="52"/>
      <c r="H108" s="52"/>
      <c r="I108" s="52"/>
      <c r="J108" s="52"/>
      <c r="K108" s="59" t="s">
        <v>79</v>
      </c>
      <c r="L108" s="52"/>
      <c r="M108" s="52"/>
      <c r="N108" s="52"/>
      <c r="O108" s="52"/>
      <c r="P108" s="63" t="s">
        <v>474</v>
      </c>
      <c r="Q108" s="55">
        <f>VLOOKUP(E108,'NI-San_SP'!$C:$AN,12,FALSE)</f>
        <v>0</v>
      </c>
      <c r="R108" s="55">
        <f>VLOOKUP(E108,'NI-San_SP'!$C:$AN,13,FALSE)</f>
        <v>0</v>
      </c>
      <c r="S108" s="55"/>
      <c r="T108" s="55"/>
      <c r="U108" s="55">
        <f>VLOOKUP($E108,'NI-San_SP'!$C:$AN,MID(U$1,1,2),FALSE)</f>
        <v>0</v>
      </c>
      <c r="V108" s="55">
        <f>VLOOKUP($E108,'NI-San_SP'!$C:$AN,MID(V$1,1,2),FALSE)</f>
        <v>0</v>
      </c>
      <c r="W108" s="55">
        <f>VLOOKUP($E108,'NI-San_SP'!$C:$AN,MID(W$1,1,2),FALSE)</f>
        <v>0</v>
      </c>
      <c r="X108" s="55">
        <f>VLOOKUP($E108,'NI-San_SP'!$C:$AN,MID(X$1,1,2),FALSE)</f>
        <v>0</v>
      </c>
      <c r="Y108" s="55">
        <f>VLOOKUP($E108,'NI-San_SP'!$C:$AN,MID(Y$1,1,2),FALSE)</f>
        <v>0</v>
      </c>
      <c r="Z108" s="55">
        <f>VLOOKUP($E108,'NI-San_SP'!$C:$AN,MID(Z$1,1,2),FALSE)</f>
        <v>0</v>
      </c>
      <c r="AA108" s="55">
        <f>VLOOKUP($E108,'NI-San_SP'!$C:$AN,MID(AA$1,1,2),FALSE)</f>
        <v>0</v>
      </c>
      <c r="AB108" s="55">
        <f>VLOOKUP($E108,'NI-San_SP'!$C:$AN,MID(AB$1,1,2),FALSE)</f>
        <v>0</v>
      </c>
      <c r="AC108" s="55">
        <f>VLOOKUP($E108,'NI-San_SP'!$C:$AN,MID(AC$1,1,2),FALSE)</f>
        <v>0</v>
      </c>
      <c r="AD108" s="55">
        <f>VLOOKUP($E108,'NI-San_SP'!$C:$AN,MID(AD$1,1,2),FALSE)</f>
        <v>0</v>
      </c>
      <c r="AE108" s="55">
        <f>VLOOKUP($E108,'NI-San_SP'!$C:$AN,MID(AE$1,1,2),FALSE)</f>
        <v>0</v>
      </c>
      <c r="AF108" s="55">
        <f>VLOOKUP($E108,'NI-San_SP'!$C:$AN,MID(AF$1,1,2),FALSE)</f>
        <v>0</v>
      </c>
      <c r="AG108" s="55">
        <f>VLOOKUP($E108,'NI-San_SP'!$C:$AN,MID(AG$1,1,2),FALSE)</f>
        <v>0</v>
      </c>
      <c r="AH108" s="55">
        <f>VLOOKUP($E108,'NI-San_SP'!$C:$AN,MID(AH$1,1,2),FALSE)</f>
        <v>0</v>
      </c>
      <c r="AI108" s="55">
        <f>VLOOKUP($E108,'NI-San_SP'!$C:$AN,MID(AI$1,1,2),FALSE)</f>
        <v>0</v>
      </c>
      <c r="AJ108" s="55">
        <f>VLOOKUP($E108,'NI-San_SP'!$C:$AN,MID(AJ$1,1,2),FALSE)</f>
        <v>0</v>
      </c>
      <c r="AK108" s="55">
        <f>VLOOKUP($E108,'NI-San_SP'!$C:$AN,MID(AK$1,1,2),FALSE)</f>
        <v>0</v>
      </c>
      <c r="AL108" s="55">
        <f>VLOOKUP($E108,'NI-San_SP'!$C:$AN,MID(AL$1,1,2),FALSE)</f>
        <v>0</v>
      </c>
      <c r="AM108" s="56">
        <f>VLOOKUP($E108,'NI-San_SP'!$C:$AN,MID(AM$1,1,2),FALSE)</f>
        <v>0</v>
      </c>
      <c r="AN108" s="30" t="str">
        <f t="shared" si="1"/>
        <v>10201020020020</v>
      </c>
    </row>
    <row r="109" spans="3:40" x14ac:dyDescent="0.25">
      <c r="C109" s="40"/>
      <c r="D109" s="57" t="s">
        <v>475</v>
      </c>
      <c r="E109" s="57" t="s">
        <v>476</v>
      </c>
      <c r="F109" s="58" t="s">
        <v>110</v>
      </c>
      <c r="G109" s="52"/>
      <c r="H109" s="52"/>
      <c r="I109" s="52"/>
      <c r="J109" s="52"/>
      <c r="K109" s="59" t="s">
        <v>79</v>
      </c>
      <c r="L109" s="52"/>
      <c r="M109" s="52"/>
      <c r="N109" s="52"/>
      <c r="O109" s="52"/>
      <c r="P109" s="63" t="s">
        <v>477</v>
      </c>
      <c r="Q109" s="55">
        <f>VLOOKUP(E109,'NI-San_SP'!$C:$AN,12,FALSE)</f>
        <v>0</v>
      </c>
      <c r="R109" s="55">
        <f>VLOOKUP(E109,'NI-San_SP'!$C:$AN,13,FALSE)</f>
        <v>0</v>
      </c>
      <c r="S109" s="55"/>
      <c r="T109" s="55"/>
      <c r="U109" s="55">
        <f>VLOOKUP($E109,'NI-San_SP'!$C:$AN,MID(U$1,1,2),FALSE)</f>
        <v>0</v>
      </c>
      <c r="V109" s="55">
        <f>VLOOKUP($E109,'NI-San_SP'!$C:$AN,MID(V$1,1,2),FALSE)</f>
        <v>0</v>
      </c>
      <c r="W109" s="55">
        <f>VLOOKUP($E109,'NI-San_SP'!$C:$AN,MID(W$1,1,2),FALSE)</f>
        <v>0</v>
      </c>
      <c r="X109" s="55">
        <f>VLOOKUP($E109,'NI-San_SP'!$C:$AN,MID(X$1,1,2),FALSE)</f>
        <v>0</v>
      </c>
      <c r="Y109" s="55">
        <f>VLOOKUP($E109,'NI-San_SP'!$C:$AN,MID(Y$1,1,2),FALSE)</f>
        <v>0</v>
      </c>
      <c r="Z109" s="55">
        <f>VLOOKUP($E109,'NI-San_SP'!$C:$AN,MID(Z$1,1,2),FALSE)</f>
        <v>0</v>
      </c>
      <c r="AA109" s="55">
        <f>VLOOKUP($E109,'NI-San_SP'!$C:$AN,MID(AA$1,1,2),FALSE)</f>
        <v>0</v>
      </c>
      <c r="AB109" s="55">
        <f>VLOOKUP($E109,'NI-San_SP'!$C:$AN,MID(AB$1,1,2),FALSE)</f>
        <v>0</v>
      </c>
      <c r="AC109" s="55">
        <f>VLOOKUP($E109,'NI-San_SP'!$C:$AN,MID(AC$1,1,2),FALSE)</f>
        <v>0</v>
      </c>
      <c r="AD109" s="55">
        <f>VLOOKUP($E109,'NI-San_SP'!$C:$AN,MID(AD$1,1,2),FALSE)</f>
        <v>0</v>
      </c>
      <c r="AE109" s="55">
        <f>VLOOKUP($E109,'NI-San_SP'!$C:$AN,MID(AE$1,1,2),FALSE)</f>
        <v>0</v>
      </c>
      <c r="AF109" s="55">
        <f>VLOOKUP($E109,'NI-San_SP'!$C:$AN,MID(AF$1,1,2),FALSE)</f>
        <v>0</v>
      </c>
      <c r="AG109" s="55">
        <f>VLOOKUP($E109,'NI-San_SP'!$C:$AN,MID(AG$1,1,2),FALSE)</f>
        <v>0</v>
      </c>
      <c r="AH109" s="55">
        <f>VLOOKUP($E109,'NI-San_SP'!$C:$AN,MID(AH$1,1,2),FALSE)</f>
        <v>0</v>
      </c>
      <c r="AI109" s="55">
        <f>VLOOKUP($E109,'NI-San_SP'!$C:$AN,MID(AI$1,1,2),FALSE)</f>
        <v>0</v>
      </c>
      <c r="AJ109" s="55">
        <f>VLOOKUP($E109,'NI-San_SP'!$C:$AN,MID(AJ$1,1,2),FALSE)</f>
        <v>0</v>
      </c>
      <c r="AK109" s="55">
        <f>VLOOKUP($E109,'NI-San_SP'!$C:$AN,MID(AK$1,1,2),FALSE)</f>
        <v>0</v>
      </c>
      <c r="AL109" s="55">
        <f>VLOOKUP($E109,'NI-San_SP'!$C:$AN,MID(AL$1,1,2),FALSE)</f>
        <v>0</v>
      </c>
      <c r="AM109" s="56">
        <f>VLOOKUP($E109,'NI-San_SP'!$C:$AN,MID(AM$1,1,2),FALSE)</f>
        <v>0</v>
      </c>
      <c r="AN109" s="30" t="str">
        <f t="shared" si="1"/>
        <v>10201020030010</v>
      </c>
    </row>
    <row r="110" spans="3:40" x14ac:dyDescent="0.25">
      <c r="C110" s="40"/>
      <c r="D110" s="57" t="s">
        <v>478</v>
      </c>
      <c r="E110" s="57" t="s">
        <v>479</v>
      </c>
      <c r="F110" s="58" t="s">
        <v>110</v>
      </c>
      <c r="G110" s="52"/>
      <c r="H110" s="52"/>
      <c r="I110" s="52"/>
      <c r="J110" s="52"/>
      <c r="K110" s="59" t="s">
        <v>79</v>
      </c>
      <c r="L110" s="52"/>
      <c r="M110" s="52"/>
      <c r="N110" s="52"/>
      <c r="O110" s="52"/>
      <c r="P110" s="63" t="s">
        <v>480</v>
      </c>
      <c r="Q110" s="55">
        <f>VLOOKUP(E110,'NI-San_SP'!$C:$AN,12,FALSE)</f>
        <v>0</v>
      </c>
      <c r="R110" s="55">
        <f>VLOOKUP(E110,'NI-San_SP'!$C:$AN,13,FALSE)</f>
        <v>0</v>
      </c>
      <c r="S110" s="55"/>
      <c r="T110" s="55"/>
      <c r="U110" s="55">
        <f>VLOOKUP($E110,'NI-San_SP'!$C:$AN,MID(U$1,1,2),FALSE)</f>
        <v>0</v>
      </c>
      <c r="V110" s="55">
        <f>VLOOKUP($E110,'NI-San_SP'!$C:$AN,MID(V$1,1,2),FALSE)</f>
        <v>0</v>
      </c>
      <c r="W110" s="55">
        <f>VLOOKUP($E110,'NI-San_SP'!$C:$AN,MID(W$1,1,2),FALSE)</f>
        <v>0</v>
      </c>
      <c r="X110" s="55">
        <f>VLOOKUP($E110,'NI-San_SP'!$C:$AN,MID(X$1,1,2),FALSE)</f>
        <v>0</v>
      </c>
      <c r="Y110" s="55">
        <f>VLOOKUP($E110,'NI-San_SP'!$C:$AN,MID(Y$1,1,2),FALSE)</f>
        <v>0</v>
      </c>
      <c r="Z110" s="55">
        <f>VLOOKUP($E110,'NI-San_SP'!$C:$AN,MID(Z$1,1,2),FALSE)</f>
        <v>0</v>
      </c>
      <c r="AA110" s="55">
        <f>VLOOKUP($E110,'NI-San_SP'!$C:$AN,MID(AA$1,1,2),FALSE)</f>
        <v>0</v>
      </c>
      <c r="AB110" s="55">
        <f>VLOOKUP($E110,'NI-San_SP'!$C:$AN,MID(AB$1,1,2),FALSE)</f>
        <v>0</v>
      </c>
      <c r="AC110" s="55">
        <f>VLOOKUP($E110,'NI-San_SP'!$C:$AN,MID(AC$1,1,2),FALSE)</f>
        <v>0</v>
      </c>
      <c r="AD110" s="55">
        <f>VLOOKUP($E110,'NI-San_SP'!$C:$AN,MID(AD$1,1,2),FALSE)</f>
        <v>0</v>
      </c>
      <c r="AE110" s="55">
        <f>VLOOKUP($E110,'NI-San_SP'!$C:$AN,MID(AE$1,1,2),FALSE)</f>
        <v>0</v>
      </c>
      <c r="AF110" s="55">
        <f>VLOOKUP($E110,'NI-San_SP'!$C:$AN,MID(AF$1,1,2),FALSE)</f>
        <v>0</v>
      </c>
      <c r="AG110" s="55">
        <f>VLOOKUP($E110,'NI-San_SP'!$C:$AN,MID(AG$1,1,2),FALSE)</f>
        <v>0</v>
      </c>
      <c r="AH110" s="55">
        <f>VLOOKUP($E110,'NI-San_SP'!$C:$AN,MID(AH$1,1,2),FALSE)</f>
        <v>0</v>
      </c>
      <c r="AI110" s="55">
        <f>VLOOKUP($E110,'NI-San_SP'!$C:$AN,MID(AI$1,1,2),FALSE)</f>
        <v>0</v>
      </c>
      <c r="AJ110" s="55">
        <f>VLOOKUP($E110,'NI-San_SP'!$C:$AN,MID(AJ$1,1,2),FALSE)</f>
        <v>0</v>
      </c>
      <c r="AK110" s="55">
        <f>VLOOKUP($E110,'NI-San_SP'!$C:$AN,MID(AK$1,1,2),FALSE)</f>
        <v>0</v>
      </c>
      <c r="AL110" s="55">
        <f>VLOOKUP($E110,'NI-San_SP'!$C:$AN,MID(AL$1,1,2),FALSE)</f>
        <v>0</v>
      </c>
      <c r="AM110" s="56">
        <f>VLOOKUP($E110,'NI-San_SP'!$C:$AN,MID(AM$1,1,2),FALSE)</f>
        <v>0</v>
      </c>
      <c r="AN110" s="30" t="str">
        <f t="shared" si="1"/>
        <v>10201020030020</v>
      </c>
    </row>
    <row r="111" spans="3:40" x14ac:dyDescent="0.25">
      <c r="C111" s="40"/>
      <c r="D111" s="57" t="s">
        <v>481</v>
      </c>
      <c r="E111" s="57" t="s">
        <v>482</v>
      </c>
      <c r="F111" s="58" t="s">
        <v>110</v>
      </c>
      <c r="G111" s="52"/>
      <c r="H111" s="52"/>
      <c r="I111" s="52"/>
      <c r="J111" s="52"/>
      <c r="K111" s="59" t="s">
        <v>111</v>
      </c>
      <c r="L111" s="52"/>
      <c r="M111" s="52"/>
      <c r="N111" s="52"/>
      <c r="O111" s="52"/>
      <c r="P111" s="60" t="s">
        <v>483</v>
      </c>
      <c r="Q111" s="55">
        <f>VLOOKUP(E111,'NI-San_SP'!$C:$AN,12,FALSE)</f>
        <v>83203349</v>
      </c>
      <c r="R111" s="55">
        <f>VLOOKUP(E111,'NI-San_SP'!$C:$AN,13,FALSE)</f>
        <v>78358402</v>
      </c>
      <c r="S111" s="55"/>
      <c r="T111" s="55"/>
      <c r="U111" s="55">
        <f>VLOOKUP($E111,'NI-San_SP'!$C:$AN,MID(U$1,1,2),FALSE)</f>
        <v>0</v>
      </c>
      <c r="V111" s="55">
        <f>VLOOKUP($E111,'NI-San_SP'!$C:$AN,MID(V$1,1,2),FALSE)</f>
        <v>0</v>
      </c>
      <c r="W111" s="55">
        <f>VLOOKUP($E111,'NI-San_SP'!$C:$AN,MID(W$1,1,2),FALSE)</f>
        <v>0</v>
      </c>
      <c r="X111" s="55">
        <f>VLOOKUP($E111,'NI-San_SP'!$C:$AN,MID(X$1,1,2),FALSE)</f>
        <v>0</v>
      </c>
      <c r="Y111" s="55">
        <f>VLOOKUP($E111,'NI-San_SP'!$C:$AN,MID(Y$1,1,2),FALSE)</f>
        <v>0</v>
      </c>
      <c r="Z111" s="55">
        <f>VLOOKUP($E111,'NI-San_SP'!$C:$AN,MID(Z$1,1,2),FALSE)</f>
        <v>0</v>
      </c>
      <c r="AA111" s="55">
        <f>VLOOKUP($E111,'NI-San_SP'!$C:$AN,MID(AA$1,1,2),FALSE)</f>
        <v>0</v>
      </c>
      <c r="AB111" s="55">
        <f>VLOOKUP($E111,'NI-San_SP'!$C:$AN,MID(AB$1,1,2),FALSE)</f>
        <v>0</v>
      </c>
      <c r="AC111" s="55">
        <f>VLOOKUP($E111,'NI-San_SP'!$C:$AN,MID(AC$1,1,2),FALSE)</f>
        <v>0</v>
      </c>
      <c r="AD111" s="55">
        <f>VLOOKUP($E111,'NI-San_SP'!$C:$AN,MID(AD$1,1,2),FALSE)</f>
        <v>0</v>
      </c>
      <c r="AE111" s="55">
        <f>VLOOKUP($E111,'NI-San_SP'!$C:$AN,MID(AE$1,1,2),FALSE)</f>
        <v>0</v>
      </c>
      <c r="AF111" s="55">
        <f>VLOOKUP($E111,'NI-San_SP'!$C:$AN,MID(AF$1,1,2),FALSE)</f>
        <v>0</v>
      </c>
      <c r="AG111" s="55">
        <f>VLOOKUP($E111,'NI-San_SP'!$C:$AN,MID(AG$1,1,2),FALSE)</f>
        <v>0</v>
      </c>
      <c r="AH111" s="55">
        <f>VLOOKUP($E111,'NI-San_SP'!$C:$AN,MID(AH$1,1,2),FALSE)</f>
        <v>0</v>
      </c>
      <c r="AI111" s="55">
        <f>VLOOKUP($E111,'NI-San_SP'!$C:$AN,MID(AI$1,1,2),FALSE)</f>
        <v>0</v>
      </c>
      <c r="AJ111" s="55">
        <f>VLOOKUP($E111,'NI-San_SP'!$C:$AN,MID(AJ$1,1,2),FALSE)</f>
        <v>0</v>
      </c>
      <c r="AK111" s="55">
        <f>VLOOKUP($E111,'NI-San_SP'!$C:$AN,MID(AK$1,1,2),FALSE)</f>
        <v>0</v>
      </c>
      <c r="AL111" s="55">
        <f>VLOOKUP($E111,'NI-San_SP'!$C:$AN,MID(AL$1,1,2),FALSE)</f>
        <v>0</v>
      </c>
      <c r="AM111" s="56">
        <f>VLOOKUP($E111,'NI-San_SP'!$C:$AN,MID(AM$1,1,2),FALSE)</f>
        <v>0</v>
      </c>
      <c r="AN111" s="30" t="str">
        <f t="shared" si="1"/>
        <v>10202000000000</v>
      </c>
    </row>
    <row r="112" spans="3:40" x14ac:dyDescent="0.25">
      <c r="C112" s="40"/>
      <c r="D112" s="57" t="s">
        <v>484</v>
      </c>
      <c r="E112" s="57" t="s">
        <v>485</v>
      </c>
      <c r="F112" s="58" t="s">
        <v>110</v>
      </c>
      <c r="G112" s="52"/>
      <c r="H112" s="52"/>
      <c r="I112" s="52"/>
      <c r="J112" s="52"/>
      <c r="K112" s="59" t="s">
        <v>111</v>
      </c>
      <c r="L112" s="52"/>
      <c r="M112" s="52"/>
      <c r="N112" s="52"/>
      <c r="O112" s="61" t="s">
        <v>486</v>
      </c>
      <c r="P112" s="54" t="s">
        <v>487</v>
      </c>
      <c r="Q112" s="55">
        <f>VLOOKUP(E112,'NI-San_SP'!$C:$AN,12,FALSE)</f>
        <v>6819078</v>
      </c>
      <c r="R112" s="55">
        <f>VLOOKUP(E112,'NI-San_SP'!$C:$AN,13,FALSE)</f>
        <v>7044578</v>
      </c>
      <c r="S112" s="55"/>
      <c r="T112" s="55"/>
      <c r="U112" s="55">
        <f>VLOOKUP($E112,'NI-San_SP'!$C:$AN,MID(U$1,1,2),FALSE)</f>
        <v>0</v>
      </c>
      <c r="V112" s="55">
        <f>VLOOKUP($E112,'NI-San_SP'!$C:$AN,MID(V$1,1,2),FALSE)</f>
        <v>0</v>
      </c>
      <c r="W112" s="55">
        <f>VLOOKUP($E112,'NI-San_SP'!$C:$AN,MID(W$1,1,2),FALSE)</f>
        <v>0</v>
      </c>
      <c r="X112" s="55">
        <f>VLOOKUP($E112,'NI-San_SP'!$C:$AN,MID(X$1,1,2),FALSE)</f>
        <v>0</v>
      </c>
      <c r="Y112" s="55">
        <f>VLOOKUP($E112,'NI-San_SP'!$C:$AN,MID(Y$1,1,2),FALSE)</f>
        <v>0</v>
      </c>
      <c r="Z112" s="55">
        <f>VLOOKUP($E112,'NI-San_SP'!$C:$AN,MID(Z$1,1,2),FALSE)</f>
        <v>0</v>
      </c>
      <c r="AA112" s="55">
        <f>VLOOKUP($E112,'NI-San_SP'!$C:$AN,MID(AA$1,1,2),FALSE)</f>
        <v>0</v>
      </c>
      <c r="AB112" s="55">
        <f>VLOOKUP($E112,'NI-San_SP'!$C:$AN,MID(AB$1,1,2),FALSE)</f>
        <v>0</v>
      </c>
      <c r="AC112" s="55">
        <f>VLOOKUP($E112,'NI-San_SP'!$C:$AN,MID(AC$1,1,2),FALSE)</f>
        <v>0</v>
      </c>
      <c r="AD112" s="55">
        <f>VLOOKUP($E112,'NI-San_SP'!$C:$AN,MID(AD$1,1,2),FALSE)</f>
        <v>0</v>
      </c>
      <c r="AE112" s="55">
        <f>VLOOKUP($E112,'NI-San_SP'!$C:$AN,MID(AE$1,1,2),FALSE)</f>
        <v>0</v>
      </c>
      <c r="AF112" s="55">
        <f>VLOOKUP($E112,'NI-San_SP'!$C:$AN,MID(AF$1,1,2),FALSE)</f>
        <v>0</v>
      </c>
      <c r="AG112" s="55">
        <f>VLOOKUP($E112,'NI-San_SP'!$C:$AN,MID(AG$1,1,2),FALSE)</f>
        <v>0</v>
      </c>
      <c r="AH112" s="55">
        <f>VLOOKUP($E112,'NI-San_SP'!$C:$AN,MID(AH$1,1,2),FALSE)</f>
        <v>0</v>
      </c>
      <c r="AI112" s="55">
        <f>VLOOKUP($E112,'NI-San_SP'!$C:$AN,MID(AI$1,1,2),FALSE)</f>
        <v>0</v>
      </c>
      <c r="AJ112" s="55">
        <f>VLOOKUP($E112,'NI-San_SP'!$C:$AN,MID(AJ$1,1,2),FALSE)</f>
        <v>0</v>
      </c>
      <c r="AK112" s="55">
        <f>VLOOKUP($E112,'NI-San_SP'!$C:$AN,MID(AK$1,1,2),FALSE)</f>
        <v>0</v>
      </c>
      <c r="AL112" s="55">
        <f>VLOOKUP($E112,'NI-San_SP'!$C:$AN,MID(AL$1,1,2),FALSE)</f>
        <v>0</v>
      </c>
      <c r="AM112" s="56">
        <f>VLOOKUP($E112,'NI-San_SP'!$C:$AN,MID(AM$1,1,2),FALSE)</f>
        <v>0</v>
      </c>
      <c r="AN112" s="30" t="str">
        <f t="shared" si="1"/>
        <v>10202010000000</v>
      </c>
    </row>
    <row r="113" spans="3:40" x14ac:dyDescent="0.25">
      <c r="C113" s="40"/>
      <c r="D113" s="57" t="s">
        <v>488</v>
      </c>
      <c r="E113" s="57" t="s">
        <v>489</v>
      </c>
      <c r="F113" s="58" t="s">
        <v>110</v>
      </c>
      <c r="G113" s="52"/>
      <c r="H113" s="52"/>
      <c r="I113" s="52" t="s">
        <v>490</v>
      </c>
      <c r="J113" s="52" t="s">
        <v>490</v>
      </c>
      <c r="K113" s="59" t="s">
        <v>111</v>
      </c>
      <c r="L113" s="62" t="s">
        <v>491</v>
      </c>
      <c r="M113" s="52"/>
      <c r="N113" s="52"/>
      <c r="O113" s="65"/>
      <c r="P113" s="54" t="s">
        <v>492</v>
      </c>
      <c r="Q113" s="55">
        <f>VLOOKUP(E113,'NI-San_SP'!$C:$AN,12,FALSE)</f>
        <v>6819078</v>
      </c>
      <c r="R113" s="55">
        <f>VLOOKUP(E113,'NI-San_SP'!$C:$AN,13,FALSE)</f>
        <v>7044578</v>
      </c>
      <c r="S113" s="55"/>
      <c r="T113" s="55"/>
      <c r="U113" s="55">
        <f>VLOOKUP($E113,'NI-San_SP'!$C:$AN,MID(U$1,1,2),FALSE)</f>
        <v>0</v>
      </c>
      <c r="V113" s="55">
        <f>VLOOKUP($E113,'NI-San_SP'!$C:$AN,MID(V$1,1,2),FALSE)</f>
        <v>6819078</v>
      </c>
      <c r="W113" s="55">
        <f>VLOOKUP($E113,'NI-San_SP'!$C:$AN,MID(W$1,1,2),FALSE)</f>
        <v>0</v>
      </c>
      <c r="X113" s="55">
        <f>VLOOKUP($E113,'NI-San_SP'!$C:$AN,MID(X$1,1,2),FALSE)</f>
        <v>0</v>
      </c>
      <c r="Y113" s="55">
        <f>VLOOKUP($E113,'NI-San_SP'!$C:$AN,MID(Y$1,1,2),FALSE)</f>
        <v>0</v>
      </c>
      <c r="Z113" s="55">
        <f>VLOOKUP($E113,'NI-San_SP'!$C:$AN,MID(Z$1,1,2),FALSE)</f>
        <v>0</v>
      </c>
      <c r="AA113" s="55">
        <f>VLOOKUP($E113,'NI-San_SP'!$C:$AN,MID(AA$1,1,2),FALSE)</f>
        <v>0</v>
      </c>
      <c r="AB113" s="55">
        <f>VLOOKUP($E113,'NI-San_SP'!$C:$AN,MID(AB$1,1,2),FALSE)</f>
        <v>0</v>
      </c>
      <c r="AC113" s="55">
        <f>VLOOKUP($E113,'NI-San_SP'!$C:$AN,MID(AC$1,1,2),FALSE)</f>
        <v>0</v>
      </c>
      <c r="AD113" s="55">
        <f>VLOOKUP($E113,'NI-San_SP'!$C:$AN,MID(AD$1,1,2),FALSE)</f>
        <v>0</v>
      </c>
      <c r="AE113" s="55">
        <f>VLOOKUP($E113,'NI-San_SP'!$C:$AN,MID(AE$1,1,2),FALSE)</f>
        <v>0</v>
      </c>
      <c r="AF113" s="55">
        <f>VLOOKUP($E113,'NI-San_SP'!$C:$AN,MID(AF$1,1,2),FALSE)</f>
        <v>225500</v>
      </c>
      <c r="AG113" s="55">
        <f>VLOOKUP($E113,'NI-San_SP'!$C:$AN,MID(AG$1,1,2),FALSE)</f>
        <v>0</v>
      </c>
      <c r="AH113" s="55">
        <f>VLOOKUP($E113,'NI-San_SP'!$C:$AN,MID(AH$1,1,2),FALSE)</f>
        <v>0</v>
      </c>
      <c r="AI113" s="55">
        <f>VLOOKUP($E113,'NI-San_SP'!$C:$AN,MID(AI$1,1,2),FALSE)</f>
        <v>0</v>
      </c>
      <c r="AJ113" s="55">
        <f>VLOOKUP($E113,'NI-San_SP'!$C:$AN,MID(AJ$1,1,2),FALSE)</f>
        <v>0</v>
      </c>
      <c r="AK113" s="55">
        <f>VLOOKUP($E113,'NI-San_SP'!$C:$AN,MID(AK$1,1,2),FALSE)</f>
        <v>0</v>
      </c>
      <c r="AL113" s="55">
        <f>VLOOKUP($E113,'NI-San_SP'!$C:$AN,MID(AL$1,1,2),FALSE)</f>
        <v>0</v>
      </c>
      <c r="AM113" s="56">
        <f>VLOOKUP($E113,'NI-San_SP'!$C:$AN,MID(AM$1,1,2),FALSE)</f>
        <v>0</v>
      </c>
      <c r="AN113" s="30" t="str">
        <f t="shared" si="1"/>
        <v>10202010010000</v>
      </c>
    </row>
    <row r="114" spans="3:40" x14ac:dyDescent="0.25">
      <c r="C114" s="40"/>
      <c r="D114" s="57" t="s">
        <v>493</v>
      </c>
      <c r="E114" s="57" t="s">
        <v>494</v>
      </c>
      <c r="F114" s="58" t="s">
        <v>110</v>
      </c>
      <c r="G114" s="52"/>
      <c r="H114" s="52"/>
      <c r="I114" s="52"/>
      <c r="J114" s="52"/>
      <c r="K114" s="59" t="s">
        <v>79</v>
      </c>
      <c r="L114" s="52"/>
      <c r="M114" s="52"/>
      <c r="N114" s="52"/>
      <c r="O114" s="52"/>
      <c r="P114" s="63" t="s">
        <v>495</v>
      </c>
      <c r="Q114" s="55">
        <f>VLOOKUP(E114,'NI-San_SP'!$C:$AN,12,FALSE)</f>
        <v>933000</v>
      </c>
      <c r="R114" s="55">
        <f>VLOOKUP(E114,'NI-San_SP'!$C:$AN,13,FALSE)</f>
        <v>933000</v>
      </c>
      <c r="S114" s="55"/>
      <c r="T114" s="55"/>
      <c r="U114" s="55">
        <f>VLOOKUP($E114,'NI-San_SP'!$C:$AN,MID(U$1,1,2),FALSE)</f>
        <v>0</v>
      </c>
      <c r="V114" s="55">
        <f>VLOOKUP($E114,'NI-San_SP'!$C:$AN,MID(V$1,1,2),FALSE)</f>
        <v>933000</v>
      </c>
      <c r="W114" s="55">
        <f>VLOOKUP($E114,'NI-San_SP'!$C:$AN,MID(W$1,1,2),FALSE)</f>
        <v>0</v>
      </c>
      <c r="X114" s="55">
        <f>VLOOKUP($E114,'NI-San_SP'!$C:$AN,MID(X$1,1,2),FALSE)</f>
        <v>0</v>
      </c>
      <c r="Y114" s="55">
        <f>VLOOKUP($E114,'NI-San_SP'!$C:$AN,MID(Y$1,1,2),FALSE)</f>
        <v>0</v>
      </c>
      <c r="Z114" s="55">
        <f>VLOOKUP($E114,'NI-San_SP'!$C:$AN,MID(Z$1,1,2),FALSE)</f>
        <v>0</v>
      </c>
      <c r="AA114" s="55">
        <f>VLOOKUP($E114,'NI-San_SP'!$C:$AN,MID(AA$1,1,2),FALSE)</f>
        <v>0</v>
      </c>
      <c r="AB114" s="55">
        <f>VLOOKUP($E114,'NI-San_SP'!$C:$AN,MID(AB$1,1,2),FALSE)</f>
        <v>0</v>
      </c>
      <c r="AC114" s="55">
        <f>VLOOKUP($E114,'NI-San_SP'!$C:$AN,MID(AC$1,1,2),FALSE)</f>
        <v>0</v>
      </c>
      <c r="AD114" s="55">
        <f>VLOOKUP($E114,'NI-San_SP'!$C:$AN,MID(AD$1,1,2),FALSE)</f>
        <v>0</v>
      </c>
      <c r="AE114" s="55">
        <f>VLOOKUP($E114,'NI-San_SP'!$C:$AN,MID(AE$1,1,2),FALSE)</f>
        <v>0</v>
      </c>
      <c r="AF114" s="55">
        <f>VLOOKUP($E114,'NI-San_SP'!$C:$AN,MID(AF$1,1,2),FALSE)</f>
        <v>0</v>
      </c>
      <c r="AG114" s="55">
        <f>VLOOKUP($E114,'NI-San_SP'!$C:$AN,MID(AG$1,1,2),FALSE)</f>
        <v>0</v>
      </c>
      <c r="AH114" s="55">
        <f>VLOOKUP($E114,'NI-San_SP'!$C:$AN,MID(AH$1,1,2),FALSE)</f>
        <v>0</v>
      </c>
      <c r="AI114" s="55">
        <f>VLOOKUP($E114,'NI-San_SP'!$C:$AN,MID(AI$1,1,2),FALSE)</f>
        <v>0</v>
      </c>
      <c r="AJ114" s="55">
        <f>VLOOKUP($E114,'NI-San_SP'!$C:$AN,MID(AJ$1,1,2),FALSE)</f>
        <v>0</v>
      </c>
      <c r="AK114" s="55">
        <f>VLOOKUP($E114,'NI-San_SP'!$C:$AN,MID(AK$1,1,2),FALSE)</f>
        <v>0</v>
      </c>
      <c r="AL114" s="55">
        <f>VLOOKUP($E114,'NI-San_SP'!$C:$AN,MID(AL$1,1,2),FALSE)</f>
        <v>0</v>
      </c>
      <c r="AM114" s="56">
        <f>VLOOKUP($E114,'NI-San_SP'!$C:$AN,MID(AM$1,1,2),FALSE)</f>
        <v>0</v>
      </c>
      <c r="AN114" s="30" t="str">
        <f t="shared" si="1"/>
        <v>10202010010010</v>
      </c>
    </row>
    <row r="115" spans="3:40" x14ac:dyDescent="0.25">
      <c r="C115" s="40"/>
      <c r="D115" s="57" t="s">
        <v>496</v>
      </c>
      <c r="E115" s="57" t="s">
        <v>497</v>
      </c>
      <c r="F115" s="58" t="s">
        <v>110</v>
      </c>
      <c r="G115" s="52"/>
      <c r="H115" s="52"/>
      <c r="I115" s="52"/>
      <c r="J115" s="52"/>
      <c r="K115" s="59" t="s">
        <v>79</v>
      </c>
      <c r="L115" s="52"/>
      <c r="M115" s="52"/>
      <c r="N115" s="52"/>
      <c r="O115" s="52"/>
      <c r="P115" s="63" t="s">
        <v>498</v>
      </c>
      <c r="Q115" s="55">
        <f>VLOOKUP(E115,'NI-San_SP'!$C:$AN,12,FALSE)</f>
        <v>5886078</v>
      </c>
      <c r="R115" s="55">
        <f>VLOOKUP(E115,'NI-San_SP'!$C:$AN,13,FALSE)</f>
        <v>6111578</v>
      </c>
      <c r="S115" s="55"/>
      <c r="T115" s="55"/>
      <c r="U115" s="55">
        <f>VLOOKUP($E115,'NI-San_SP'!$C:$AN,MID(U$1,1,2),FALSE)</f>
        <v>0</v>
      </c>
      <c r="V115" s="55">
        <f>VLOOKUP($E115,'NI-San_SP'!$C:$AN,MID(V$1,1,2),FALSE)</f>
        <v>5886078</v>
      </c>
      <c r="W115" s="55">
        <f>VLOOKUP($E115,'NI-San_SP'!$C:$AN,MID(W$1,1,2),FALSE)</f>
        <v>0</v>
      </c>
      <c r="X115" s="55">
        <f>VLOOKUP($E115,'NI-San_SP'!$C:$AN,MID(X$1,1,2),FALSE)</f>
        <v>0</v>
      </c>
      <c r="Y115" s="55">
        <f>VLOOKUP($E115,'NI-San_SP'!$C:$AN,MID(Y$1,1,2),FALSE)</f>
        <v>0</v>
      </c>
      <c r="Z115" s="55">
        <f>VLOOKUP($E115,'NI-San_SP'!$C:$AN,MID(Z$1,1,2),FALSE)</f>
        <v>0</v>
      </c>
      <c r="AA115" s="55">
        <f>VLOOKUP($E115,'NI-San_SP'!$C:$AN,MID(AA$1,1,2),FALSE)</f>
        <v>0</v>
      </c>
      <c r="AB115" s="55">
        <f>VLOOKUP($E115,'NI-San_SP'!$C:$AN,MID(AB$1,1,2),FALSE)</f>
        <v>0</v>
      </c>
      <c r="AC115" s="55">
        <f>VLOOKUP($E115,'NI-San_SP'!$C:$AN,MID(AC$1,1,2),FALSE)</f>
        <v>0</v>
      </c>
      <c r="AD115" s="55">
        <f>VLOOKUP($E115,'NI-San_SP'!$C:$AN,MID(AD$1,1,2),FALSE)</f>
        <v>0</v>
      </c>
      <c r="AE115" s="55">
        <f>VLOOKUP($E115,'NI-San_SP'!$C:$AN,MID(AE$1,1,2),FALSE)</f>
        <v>0</v>
      </c>
      <c r="AF115" s="55">
        <f>VLOOKUP($E115,'NI-San_SP'!$C:$AN,MID(AF$1,1,2),FALSE)</f>
        <v>225500</v>
      </c>
      <c r="AG115" s="55">
        <f>VLOOKUP($E115,'NI-San_SP'!$C:$AN,MID(AG$1,1,2),FALSE)</f>
        <v>0</v>
      </c>
      <c r="AH115" s="55">
        <f>VLOOKUP($E115,'NI-San_SP'!$C:$AN,MID(AH$1,1,2),FALSE)</f>
        <v>0</v>
      </c>
      <c r="AI115" s="55">
        <f>VLOOKUP($E115,'NI-San_SP'!$C:$AN,MID(AI$1,1,2),FALSE)</f>
        <v>0</v>
      </c>
      <c r="AJ115" s="55">
        <f>VLOOKUP($E115,'NI-San_SP'!$C:$AN,MID(AJ$1,1,2),FALSE)</f>
        <v>0</v>
      </c>
      <c r="AK115" s="55">
        <f>VLOOKUP($E115,'NI-San_SP'!$C:$AN,MID(AK$1,1,2),FALSE)</f>
        <v>0</v>
      </c>
      <c r="AL115" s="55">
        <f>VLOOKUP($E115,'NI-San_SP'!$C:$AN,MID(AL$1,1,2),FALSE)</f>
        <v>0</v>
      </c>
      <c r="AM115" s="56">
        <f>VLOOKUP($E115,'NI-San_SP'!$C:$AN,MID(AM$1,1,2),FALSE)</f>
        <v>0</v>
      </c>
      <c r="AN115" s="30" t="str">
        <f t="shared" si="1"/>
        <v>10202010010020</v>
      </c>
    </row>
    <row r="116" spans="3:40" x14ac:dyDescent="0.25">
      <c r="C116" s="40"/>
      <c r="D116" s="57" t="s">
        <v>499</v>
      </c>
      <c r="E116" s="57" t="s">
        <v>500</v>
      </c>
      <c r="F116" s="58" t="s">
        <v>110</v>
      </c>
      <c r="G116" s="52"/>
      <c r="H116" s="52"/>
      <c r="I116" s="52"/>
      <c r="J116" s="52"/>
      <c r="K116" s="59" t="s">
        <v>79</v>
      </c>
      <c r="L116" s="52"/>
      <c r="M116" s="52"/>
      <c r="N116" s="52"/>
      <c r="O116" s="52"/>
      <c r="P116" s="63" t="s">
        <v>501</v>
      </c>
      <c r="Q116" s="55">
        <f>VLOOKUP(E116,'NI-San_SP'!$C:$AN,12,FALSE)</f>
        <v>0</v>
      </c>
      <c r="R116" s="55">
        <f>VLOOKUP(E116,'NI-San_SP'!$C:$AN,13,FALSE)</f>
        <v>0</v>
      </c>
      <c r="S116" s="55"/>
      <c r="T116" s="55"/>
      <c r="U116" s="55">
        <f>VLOOKUP($E116,'NI-San_SP'!$C:$AN,MID(U$1,1,2),FALSE)</f>
        <v>0</v>
      </c>
      <c r="V116" s="55">
        <f>VLOOKUP($E116,'NI-San_SP'!$C:$AN,MID(V$1,1,2),FALSE)</f>
        <v>0</v>
      </c>
      <c r="W116" s="55">
        <f>VLOOKUP($E116,'NI-San_SP'!$C:$AN,MID(W$1,1,2),FALSE)</f>
        <v>0</v>
      </c>
      <c r="X116" s="55">
        <f>VLOOKUP($E116,'NI-San_SP'!$C:$AN,MID(X$1,1,2),FALSE)</f>
        <v>0</v>
      </c>
      <c r="Y116" s="55">
        <f>VLOOKUP($E116,'NI-San_SP'!$C:$AN,MID(Y$1,1,2),FALSE)</f>
        <v>0</v>
      </c>
      <c r="Z116" s="55">
        <f>VLOOKUP($E116,'NI-San_SP'!$C:$AN,MID(Z$1,1,2),FALSE)</f>
        <v>0</v>
      </c>
      <c r="AA116" s="55">
        <f>VLOOKUP($E116,'NI-San_SP'!$C:$AN,MID(AA$1,1,2),FALSE)</f>
        <v>0</v>
      </c>
      <c r="AB116" s="55">
        <f>VLOOKUP($E116,'NI-San_SP'!$C:$AN,MID(AB$1,1,2),FALSE)</f>
        <v>0</v>
      </c>
      <c r="AC116" s="55">
        <f>VLOOKUP($E116,'NI-San_SP'!$C:$AN,MID(AC$1,1,2),FALSE)</f>
        <v>0</v>
      </c>
      <c r="AD116" s="55">
        <f>VLOOKUP($E116,'NI-San_SP'!$C:$AN,MID(AD$1,1,2),FALSE)</f>
        <v>0</v>
      </c>
      <c r="AE116" s="55">
        <f>VLOOKUP($E116,'NI-San_SP'!$C:$AN,MID(AE$1,1,2),FALSE)</f>
        <v>0</v>
      </c>
      <c r="AF116" s="55">
        <f>VLOOKUP($E116,'NI-San_SP'!$C:$AN,MID(AF$1,1,2),FALSE)</f>
        <v>0</v>
      </c>
      <c r="AG116" s="55">
        <f>VLOOKUP($E116,'NI-San_SP'!$C:$AN,MID(AG$1,1,2),FALSE)</f>
        <v>0</v>
      </c>
      <c r="AH116" s="55">
        <f>VLOOKUP($E116,'NI-San_SP'!$C:$AN,MID(AH$1,1,2),FALSE)</f>
        <v>0</v>
      </c>
      <c r="AI116" s="55">
        <f>VLOOKUP($E116,'NI-San_SP'!$C:$AN,MID(AI$1,1,2),FALSE)</f>
        <v>0</v>
      </c>
      <c r="AJ116" s="55">
        <f>VLOOKUP($E116,'NI-San_SP'!$C:$AN,MID(AJ$1,1,2),FALSE)</f>
        <v>0</v>
      </c>
      <c r="AK116" s="55">
        <f>VLOOKUP($E116,'NI-San_SP'!$C:$AN,MID(AK$1,1,2),FALSE)</f>
        <v>0</v>
      </c>
      <c r="AL116" s="55">
        <f>VLOOKUP($E116,'NI-San_SP'!$C:$AN,MID(AL$1,1,2),FALSE)</f>
        <v>0</v>
      </c>
      <c r="AM116" s="56">
        <f>VLOOKUP($E116,'NI-San_SP'!$C:$AN,MID(AM$1,1,2),FALSE)</f>
        <v>0</v>
      </c>
      <c r="AN116" s="30" t="str">
        <f t="shared" si="1"/>
        <v>10202010010030</v>
      </c>
    </row>
    <row r="117" spans="3:40" x14ac:dyDescent="0.25">
      <c r="C117" s="40"/>
      <c r="D117" s="57" t="s">
        <v>502</v>
      </c>
      <c r="E117" s="57" t="s">
        <v>503</v>
      </c>
      <c r="F117" s="58" t="s">
        <v>110</v>
      </c>
      <c r="G117" s="52"/>
      <c r="H117" s="52"/>
      <c r="I117" s="52"/>
      <c r="J117" s="52"/>
      <c r="K117" s="59" t="s">
        <v>79</v>
      </c>
      <c r="L117" s="52"/>
      <c r="M117" s="52"/>
      <c r="N117" s="52"/>
      <c r="O117" s="52"/>
      <c r="P117" s="63" t="s">
        <v>504</v>
      </c>
      <c r="Q117" s="55">
        <f>VLOOKUP(E117,'NI-San_SP'!$C:$AN,12,FALSE)</f>
        <v>0</v>
      </c>
      <c r="R117" s="55">
        <f>VLOOKUP(E117,'NI-San_SP'!$C:$AN,13,FALSE)</f>
        <v>0</v>
      </c>
      <c r="S117" s="55"/>
      <c r="T117" s="55"/>
      <c r="U117" s="55">
        <f>VLOOKUP($E117,'NI-San_SP'!$C:$AN,MID(U$1,1,2),FALSE)</f>
        <v>0</v>
      </c>
      <c r="V117" s="55">
        <f>VLOOKUP($E117,'NI-San_SP'!$C:$AN,MID(V$1,1,2),FALSE)</f>
        <v>0</v>
      </c>
      <c r="W117" s="55">
        <f>VLOOKUP($E117,'NI-San_SP'!$C:$AN,MID(W$1,1,2),FALSE)</f>
        <v>0</v>
      </c>
      <c r="X117" s="55">
        <f>VLOOKUP($E117,'NI-San_SP'!$C:$AN,MID(X$1,1,2),FALSE)</f>
        <v>0</v>
      </c>
      <c r="Y117" s="55">
        <f>VLOOKUP($E117,'NI-San_SP'!$C:$AN,MID(Y$1,1,2),FALSE)</f>
        <v>0</v>
      </c>
      <c r="Z117" s="55">
        <f>VLOOKUP($E117,'NI-San_SP'!$C:$AN,MID(Z$1,1,2),FALSE)</f>
        <v>0</v>
      </c>
      <c r="AA117" s="55">
        <f>VLOOKUP($E117,'NI-San_SP'!$C:$AN,MID(AA$1,1,2),FALSE)</f>
        <v>0</v>
      </c>
      <c r="AB117" s="55">
        <f>VLOOKUP($E117,'NI-San_SP'!$C:$AN,MID(AB$1,1,2),FALSE)</f>
        <v>0</v>
      </c>
      <c r="AC117" s="55">
        <f>VLOOKUP($E117,'NI-San_SP'!$C:$AN,MID(AC$1,1,2),FALSE)</f>
        <v>0</v>
      </c>
      <c r="AD117" s="55">
        <f>VLOOKUP($E117,'NI-San_SP'!$C:$AN,MID(AD$1,1,2),FALSE)</f>
        <v>0</v>
      </c>
      <c r="AE117" s="55">
        <f>VLOOKUP($E117,'NI-San_SP'!$C:$AN,MID(AE$1,1,2),FALSE)</f>
        <v>0</v>
      </c>
      <c r="AF117" s="55">
        <f>VLOOKUP($E117,'NI-San_SP'!$C:$AN,MID(AF$1,1,2),FALSE)</f>
        <v>0</v>
      </c>
      <c r="AG117" s="55">
        <f>VLOOKUP($E117,'NI-San_SP'!$C:$AN,MID(AG$1,1,2),FALSE)</f>
        <v>0</v>
      </c>
      <c r="AH117" s="55">
        <f>VLOOKUP($E117,'NI-San_SP'!$C:$AN,MID(AH$1,1,2),FALSE)</f>
        <v>0</v>
      </c>
      <c r="AI117" s="55">
        <f>VLOOKUP($E117,'NI-San_SP'!$C:$AN,MID(AI$1,1,2),FALSE)</f>
        <v>0</v>
      </c>
      <c r="AJ117" s="55">
        <f>VLOOKUP($E117,'NI-San_SP'!$C:$AN,MID(AJ$1,1,2),FALSE)</f>
        <v>0</v>
      </c>
      <c r="AK117" s="55">
        <f>VLOOKUP($E117,'NI-San_SP'!$C:$AN,MID(AK$1,1,2),FALSE)</f>
        <v>0</v>
      </c>
      <c r="AL117" s="55">
        <f>VLOOKUP($E117,'NI-San_SP'!$C:$AN,MID(AL$1,1,2),FALSE)</f>
        <v>0</v>
      </c>
      <c r="AM117" s="56">
        <f>VLOOKUP($E117,'NI-San_SP'!$C:$AN,MID(AM$1,1,2),FALSE)</f>
        <v>0</v>
      </c>
      <c r="AN117" s="30" t="str">
        <f t="shared" si="1"/>
        <v>10202010010040</v>
      </c>
    </row>
    <row r="118" spans="3:40" x14ac:dyDescent="0.25">
      <c r="C118" s="40"/>
      <c r="D118" s="57" t="s">
        <v>505</v>
      </c>
      <c r="E118" s="57" t="s">
        <v>506</v>
      </c>
      <c r="F118" s="58" t="s">
        <v>110</v>
      </c>
      <c r="G118" s="52"/>
      <c r="H118" s="52"/>
      <c r="I118" s="52" t="s">
        <v>507</v>
      </c>
      <c r="J118" s="52" t="s">
        <v>507</v>
      </c>
      <c r="K118" s="59" t="s">
        <v>111</v>
      </c>
      <c r="L118" s="62" t="s">
        <v>508</v>
      </c>
      <c r="M118" s="52"/>
      <c r="N118" s="52"/>
      <c r="O118" s="52"/>
      <c r="P118" s="54" t="s">
        <v>509</v>
      </c>
      <c r="Q118" s="55">
        <f>VLOOKUP(E118,'NI-San_SP'!$C:$AN,12,FALSE)</f>
        <v>0</v>
      </c>
      <c r="R118" s="55">
        <f>VLOOKUP(E118,'NI-San_SP'!$C:$AN,13,FALSE)</f>
        <v>0</v>
      </c>
      <c r="S118" s="55"/>
      <c r="T118" s="55"/>
      <c r="U118" s="55">
        <f>VLOOKUP($E118,'NI-San_SP'!$C:$AN,MID(U$1,1,2),FALSE)</f>
        <v>0</v>
      </c>
      <c r="V118" s="55">
        <f>VLOOKUP($E118,'NI-San_SP'!$C:$AN,MID(V$1,1,2),FALSE)</f>
        <v>0</v>
      </c>
      <c r="W118" s="55">
        <f>VLOOKUP($E118,'NI-San_SP'!$C:$AN,MID(W$1,1,2),FALSE)</f>
        <v>0</v>
      </c>
      <c r="X118" s="55">
        <f>VLOOKUP($E118,'NI-San_SP'!$C:$AN,MID(X$1,1,2),FALSE)</f>
        <v>0</v>
      </c>
      <c r="Y118" s="55">
        <f>VLOOKUP($E118,'NI-San_SP'!$C:$AN,MID(Y$1,1,2),FALSE)</f>
        <v>0</v>
      </c>
      <c r="Z118" s="55">
        <f>VLOOKUP($E118,'NI-San_SP'!$C:$AN,MID(Z$1,1,2),FALSE)</f>
        <v>0</v>
      </c>
      <c r="AA118" s="55">
        <f>VLOOKUP($E118,'NI-San_SP'!$C:$AN,MID(AA$1,1,2),FALSE)</f>
        <v>0</v>
      </c>
      <c r="AB118" s="55">
        <f>VLOOKUP($E118,'NI-San_SP'!$C:$AN,MID(AB$1,1,2),FALSE)</f>
        <v>0</v>
      </c>
      <c r="AC118" s="55">
        <f>VLOOKUP($E118,'NI-San_SP'!$C:$AN,MID(AC$1,1,2),FALSE)</f>
        <v>0</v>
      </c>
      <c r="AD118" s="55">
        <f>VLOOKUP($E118,'NI-San_SP'!$C:$AN,MID(AD$1,1,2),FALSE)</f>
        <v>0</v>
      </c>
      <c r="AE118" s="55">
        <f>VLOOKUP($E118,'NI-San_SP'!$C:$AN,MID(AE$1,1,2),FALSE)</f>
        <v>0</v>
      </c>
      <c r="AF118" s="55">
        <f>VLOOKUP($E118,'NI-San_SP'!$C:$AN,MID(AF$1,1,2),FALSE)</f>
        <v>0</v>
      </c>
      <c r="AG118" s="55">
        <f>VLOOKUP($E118,'NI-San_SP'!$C:$AN,MID(AG$1,1,2),FALSE)</f>
        <v>0</v>
      </c>
      <c r="AH118" s="55">
        <f>VLOOKUP($E118,'NI-San_SP'!$C:$AN,MID(AH$1,1,2),FALSE)</f>
        <v>0</v>
      </c>
      <c r="AI118" s="55">
        <f>VLOOKUP($E118,'NI-San_SP'!$C:$AN,MID(AI$1,1,2),FALSE)</f>
        <v>0</v>
      </c>
      <c r="AJ118" s="55">
        <f>VLOOKUP($E118,'NI-San_SP'!$C:$AN,MID(AJ$1,1,2),FALSE)</f>
        <v>0</v>
      </c>
      <c r="AK118" s="55">
        <f>VLOOKUP($E118,'NI-San_SP'!$C:$AN,MID(AK$1,1,2),FALSE)</f>
        <v>0</v>
      </c>
      <c r="AL118" s="55">
        <f>VLOOKUP($E118,'NI-San_SP'!$C:$AN,MID(AL$1,1,2),FALSE)</f>
        <v>0</v>
      </c>
      <c r="AM118" s="56">
        <f>VLOOKUP($E118,'NI-San_SP'!$C:$AN,MID(AM$1,1,2),FALSE)</f>
        <v>0</v>
      </c>
      <c r="AN118" s="30" t="str">
        <f t="shared" si="1"/>
        <v>10202010020000</v>
      </c>
    </row>
    <row r="119" spans="3:40" x14ac:dyDescent="0.25">
      <c r="C119" s="40"/>
      <c r="D119" s="57" t="s">
        <v>510</v>
      </c>
      <c r="E119" s="57" t="s">
        <v>511</v>
      </c>
      <c r="F119" s="58" t="s">
        <v>110</v>
      </c>
      <c r="G119" s="52"/>
      <c r="H119" s="52"/>
      <c r="I119" s="52"/>
      <c r="J119" s="52"/>
      <c r="K119" s="59" t="s">
        <v>79</v>
      </c>
      <c r="L119" s="52"/>
      <c r="M119" s="52"/>
      <c r="N119" s="52"/>
      <c r="O119" s="52"/>
      <c r="P119" s="63" t="s">
        <v>512</v>
      </c>
      <c r="Q119" s="55">
        <f>VLOOKUP(E119,'NI-San_SP'!$C:$AN,12,FALSE)</f>
        <v>0</v>
      </c>
      <c r="R119" s="55">
        <f>VLOOKUP(E119,'NI-San_SP'!$C:$AN,13,FALSE)</f>
        <v>0</v>
      </c>
      <c r="S119" s="55"/>
      <c r="T119" s="55"/>
      <c r="U119" s="55">
        <f>VLOOKUP($E119,'NI-San_SP'!$C:$AN,MID(U$1,1,2),FALSE)</f>
        <v>0</v>
      </c>
      <c r="V119" s="55">
        <f>VLOOKUP($E119,'NI-San_SP'!$C:$AN,MID(V$1,1,2),FALSE)</f>
        <v>0</v>
      </c>
      <c r="W119" s="55">
        <f>VLOOKUP($E119,'NI-San_SP'!$C:$AN,MID(W$1,1,2),FALSE)</f>
        <v>0</v>
      </c>
      <c r="X119" s="55">
        <f>VLOOKUP($E119,'NI-San_SP'!$C:$AN,MID(X$1,1,2),FALSE)</f>
        <v>0</v>
      </c>
      <c r="Y119" s="55">
        <f>VLOOKUP($E119,'NI-San_SP'!$C:$AN,MID(Y$1,1,2),FALSE)</f>
        <v>0</v>
      </c>
      <c r="Z119" s="55">
        <f>VLOOKUP($E119,'NI-San_SP'!$C:$AN,MID(Z$1,1,2),FALSE)</f>
        <v>0</v>
      </c>
      <c r="AA119" s="55">
        <f>VLOOKUP($E119,'NI-San_SP'!$C:$AN,MID(AA$1,1,2),FALSE)</f>
        <v>0</v>
      </c>
      <c r="AB119" s="55">
        <f>VLOOKUP($E119,'NI-San_SP'!$C:$AN,MID(AB$1,1,2),FALSE)</f>
        <v>0</v>
      </c>
      <c r="AC119" s="55">
        <f>VLOOKUP($E119,'NI-San_SP'!$C:$AN,MID(AC$1,1,2),FALSE)</f>
        <v>0</v>
      </c>
      <c r="AD119" s="55">
        <f>VLOOKUP($E119,'NI-San_SP'!$C:$AN,MID(AD$1,1,2),FALSE)</f>
        <v>0</v>
      </c>
      <c r="AE119" s="55">
        <f>VLOOKUP($E119,'NI-San_SP'!$C:$AN,MID(AE$1,1,2),FALSE)</f>
        <v>0</v>
      </c>
      <c r="AF119" s="55">
        <f>VLOOKUP($E119,'NI-San_SP'!$C:$AN,MID(AF$1,1,2),FALSE)</f>
        <v>0</v>
      </c>
      <c r="AG119" s="55">
        <f>VLOOKUP($E119,'NI-San_SP'!$C:$AN,MID(AG$1,1,2),FALSE)</f>
        <v>0</v>
      </c>
      <c r="AH119" s="55">
        <f>VLOOKUP($E119,'NI-San_SP'!$C:$AN,MID(AH$1,1,2),FALSE)</f>
        <v>0</v>
      </c>
      <c r="AI119" s="55">
        <f>VLOOKUP($E119,'NI-San_SP'!$C:$AN,MID(AI$1,1,2),FALSE)</f>
        <v>0</v>
      </c>
      <c r="AJ119" s="55">
        <f>VLOOKUP($E119,'NI-San_SP'!$C:$AN,MID(AJ$1,1,2),FALSE)</f>
        <v>0</v>
      </c>
      <c r="AK119" s="55">
        <f>VLOOKUP($E119,'NI-San_SP'!$C:$AN,MID(AK$1,1,2),FALSE)</f>
        <v>0</v>
      </c>
      <c r="AL119" s="55">
        <f>VLOOKUP($E119,'NI-San_SP'!$C:$AN,MID(AL$1,1,2),FALSE)</f>
        <v>0</v>
      </c>
      <c r="AM119" s="56">
        <f>VLOOKUP($E119,'NI-San_SP'!$C:$AN,MID(AM$1,1,2),FALSE)</f>
        <v>0</v>
      </c>
      <c r="AN119" s="30" t="str">
        <f t="shared" si="1"/>
        <v>10202010020010</v>
      </c>
    </row>
    <row r="120" spans="3:40" x14ac:dyDescent="0.25">
      <c r="C120" s="40"/>
      <c r="D120" s="57" t="s">
        <v>513</v>
      </c>
      <c r="E120" s="57" t="s">
        <v>514</v>
      </c>
      <c r="F120" s="58" t="s">
        <v>110</v>
      </c>
      <c r="G120" s="52"/>
      <c r="H120" s="52"/>
      <c r="I120" s="52"/>
      <c r="J120" s="52"/>
      <c r="K120" s="59" t="s">
        <v>79</v>
      </c>
      <c r="L120" s="52"/>
      <c r="M120" s="52"/>
      <c r="N120" s="52"/>
      <c r="O120" s="52"/>
      <c r="P120" s="63" t="s">
        <v>515</v>
      </c>
      <c r="Q120" s="55">
        <f>VLOOKUP(E120,'NI-San_SP'!$C:$AN,12,FALSE)</f>
        <v>0</v>
      </c>
      <c r="R120" s="55">
        <f>VLOOKUP(E120,'NI-San_SP'!$C:$AN,13,FALSE)</f>
        <v>0</v>
      </c>
      <c r="S120" s="55"/>
      <c r="T120" s="55"/>
      <c r="U120" s="55">
        <f>VLOOKUP($E120,'NI-San_SP'!$C:$AN,MID(U$1,1,2),FALSE)</f>
        <v>0</v>
      </c>
      <c r="V120" s="55">
        <f>VLOOKUP($E120,'NI-San_SP'!$C:$AN,MID(V$1,1,2),FALSE)</f>
        <v>0</v>
      </c>
      <c r="W120" s="55">
        <f>VLOOKUP($E120,'NI-San_SP'!$C:$AN,MID(W$1,1,2),FALSE)</f>
        <v>0</v>
      </c>
      <c r="X120" s="55">
        <f>VLOOKUP($E120,'NI-San_SP'!$C:$AN,MID(X$1,1,2),FALSE)</f>
        <v>0</v>
      </c>
      <c r="Y120" s="55">
        <f>VLOOKUP($E120,'NI-San_SP'!$C:$AN,MID(Y$1,1,2),FALSE)</f>
        <v>0</v>
      </c>
      <c r="Z120" s="55">
        <f>VLOOKUP($E120,'NI-San_SP'!$C:$AN,MID(Z$1,1,2),FALSE)</f>
        <v>0</v>
      </c>
      <c r="AA120" s="55">
        <f>VLOOKUP($E120,'NI-San_SP'!$C:$AN,MID(AA$1,1,2),FALSE)</f>
        <v>0</v>
      </c>
      <c r="AB120" s="55">
        <f>VLOOKUP($E120,'NI-San_SP'!$C:$AN,MID(AB$1,1,2),FALSE)</f>
        <v>0</v>
      </c>
      <c r="AC120" s="55">
        <f>VLOOKUP($E120,'NI-San_SP'!$C:$AN,MID(AC$1,1,2),FALSE)</f>
        <v>0</v>
      </c>
      <c r="AD120" s="55">
        <f>VLOOKUP($E120,'NI-San_SP'!$C:$AN,MID(AD$1,1,2),FALSE)</f>
        <v>0</v>
      </c>
      <c r="AE120" s="55">
        <f>VLOOKUP($E120,'NI-San_SP'!$C:$AN,MID(AE$1,1,2),FALSE)</f>
        <v>0</v>
      </c>
      <c r="AF120" s="55">
        <f>VLOOKUP($E120,'NI-San_SP'!$C:$AN,MID(AF$1,1,2),FALSE)</f>
        <v>0</v>
      </c>
      <c r="AG120" s="55">
        <f>VLOOKUP($E120,'NI-San_SP'!$C:$AN,MID(AG$1,1,2),FALSE)</f>
        <v>0</v>
      </c>
      <c r="AH120" s="55">
        <f>VLOOKUP($E120,'NI-San_SP'!$C:$AN,MID(AH$1,1,2),FALSE)</f>
        <v>0</v>
      </c>
      <c r="AI120" s="55">
        <f>VLOOKUP($E120,'NI-San_SP'!$C:$AN,MID(AI$1,1,2),FALSE)</f>
        <v>0</v>
      </c>
      <c r="AJ120" s="55">
        <f>VLOOKUP($E120,'NI-San_SP'!$C:$AN,MID(AJ$1,1,2),FALSE)</f>
        <v>0</v>
      </c>
      <c r="AK120" s="55">
        <f>VLOOKUP($E120,'NI-San_SP'!$C:$AN,MID(AK$1,1,2),FALSE)</f>
        <v>0</v>
      </c>
      <c r="AL120" s="55">
        <f>VLOOKUP($E120,'NI-San_SP'!$C:$AN,MID(AL$1,1,2),FALSE)</f>
        <v>0</v>
      </c>
      <c r="AM120" s="56">
        <f>VLOOKUP($E120,'NI-San_SP'!$C:$AN,MID(AM$1,1,2),FALSE)</f>
        <v>0</v>
      </c>
      <c r="AN120" s="30" t="str">
        <f t="shared" si="1"/>
        <v>10202010020020</v>
      </c>
    </row>
    <row r="121" spans="3:40" x14ac:dyDescent="0.25">
      <c r="C121" s="40"/>
      <c r="D121" s="57" t="s">
        <v>516</v>
      </c>
      <c r="E121" s="57" t="s">
        <v>517</v>
      </c>
      <c r="F121" s="58" t="s">
        <v>110</v>
      </c>
      <c r="G121" s="52"/>
      <c r="H121" s="52"/>
      <c r="I121" s="52"/>
      <c r="J121" s="52"/>
      <c r="K121" s="59" t="s">
        <v>79</v>
      </c>
      <c r="L121" s="52"/>
      <c r="M121" s="52"/>
      <c r="N121" s="52"/>
      <c r="O121" s="52"/>
      <c r="P121" s="63" t="s">
        <v>518</v>
      </c>
      <c r="Q121" s="55">
        <f>VLOOKUP(E121,'NI-San_SP'!$C:$AN,12,FALSE)</f>
        <v>0</v>
      </c>
      <c r="R121" s="55">
        <f>VLOOKUP(E121,'NI-San_SP'!$C:$AN,13,FALSE)</f>
        <v>0</v>
      </c>
      <c r="S121" s="55"/>
      <c r="T121" s="55"/>
      <c r="U121" s="55">
        <f>VLOOKUP($E121,'NI-San_SP'!$C:$AN,MID(U$1,1,2),FALSE)</f>
        <v>0</v>
      </c>
      <c r="V121" s="55">
        <f>VLOOKUP($E121,'NI-San_SP'!$C:$AN,MID(V$1,1,2),FALSE)</f>
        <v>0</v>
      </c>
      <c r="W121" s="55">
        <f>VLOOKUP($E121,'NI-San_SP'!$C:$AN,MID(W$1,1,2),FALSE)</f>
        <v>0</v>
      </c>
      <c r="X121" s="55">
        <f>VLOOKUP($E121,'NI-San_SP'!$C:$AN,MID(X$1,1,2),FALSE)</f>
        <v>0</v>
      </c>
      <c r="Y121" s="55">
        <f>VLOOKUP($E121,'NI-San_SP'!$C:$AN,MID(Y$1,1,2),FALSE)</f>
        <v>0</v>
      </c>
      <c r="Z121" s="55">
        <f>VLOOKUP($E121,'NI-San_SP'!$C:$AN,MID(Z$1,1,2),FALSE)</f>
        <v>0</v>
      </c>
      <c r="AA121" s="55">
        <f>VLOOKUP($E121,'NI-San_SP'!$C:$AN,MID(AA$1,1,2),FALSE)</f>
        <v>0</v>
      </c>
      <c r="AB121" s="55">
        <f>VLOOKUP($E121,'NI-San_SP'!$C:$AN,MID(AB$1,1,2),FALSE)</f>
        <v>0</v>
      </c>
      <c r="AC121" s="55">
        <f>VLOOKUP($E121,'NI-San_SP'!$C:$AN,MID(AC$1,1,2),FALSE)</f>
        <v>0</v>
      </c>
      <c r="AD121" s="55">
        <f>VLOOKUP($E121,'NI-San_SP'!$C:$AN,MID(AD$1,1,2),FALSE)</f>
        <v>0</v>
      </c>
      <c r="AE121" s="55">
        <f>VLOOKUP($E121,'NI-San_SP'!$C:$AN,MID(AE$1,1,2),FALSE)</f>
        <v>0</v>
      </c>
      <c r="AF121" s="55">
        <f>VLOOKUP($E121,'NI-San_SP'!$C:$AN,MID(AF$1,1,2),FALSE)</f>
        <v>0</v>
      </c>
      <c r="AG121" s="55">
        <f>VLOOKUP($E121,'NI-San_SP'!$C:$AN,MID(AG$1,1,2),FALSE)</f>
        <v>0</v>
      </c>
      <c r="AH121" s="55">
        <f>VLOOKUP($E121,'NI-San_SP'!$C:$AN,MID(AH$1,1,2),FALSE)</f>
        <v>0</v>
      </c>
      <c r="AI121" s="55">
        <f>VLOOKUP($E121,'NI-San_SP'!$C:$AN,MID(AI$1,1,2),FALSE)</f>
        <v>0</v>
      </c>
      <c r="AJ121" s="55">
        <f>VLOOKUP($E121,'NI-San_SP'!$C:$AN,MID(AJ$1,1,2),FALSE)</f>
        <v>0</v>
      </c>
      <c r="AK121" s="55">
        <f>VLOOKUP($E121,'NI-San_SP'!$C:$AN,MID(AK$1,1,2),FALSE)</f>
        <v>0</v>
      </c>
      <c r="AL121" s="55">
        <f>VLOOKUP($E121,'NI-San_SP'!$C:$AN,MID(AL$1,1,2),FALSE)</f>
        <v>0</v>
      </c>
      <c r="AM121" s="56">
        <f>VLOOKUP($E121,'NI-San_SP'!$C:$AN,MID(AM$1,1,2),FALSE)</f>
        <v>0</v>
      </c>
      <c r="AN121" s="30" t="str">
        <f t="shared" si="1"/>
        <v>10202010020030</v>
      </c>
    </row>
    <row r="122" spans="3:40" x14ac:dyDescent="0.25">
      <c r="C122" s="40"/>
      <c r="D122" s="57" t="s">
        <v>519</v>
      </c>
      <c r="E122" s="57" t="s">
        <v>520</v>
      </c>
      <c r="F122" s="58" t="s">
        <v>110</v>
      </c>
      <c r="G122" s="52"/>
      <c r="H122" s="52"/>
      <c r="I122" s="52"/>
      <c r="J122" s="52"/>
      <c r="K122" s="59" t="s">
        <v>79</v>
      </c>
      <c r="L122" s="52"/>
      <c r="M122" s="52"/>
      <c r="N122" s="52"/>
      <c r="O122" s="52"/>
      <c r="P122" s="63" t="s">
        <v>521</v>
      </c>
      <c r="Q122" s="55">
        <f>VLOOKUP(E122,'NI-San_SP'!$C:$AN,12,FALSE)</f>
        <v>0</v>
      </c>
      <c r="R122" s="55">
        <f>VLOOKUP(E122,'NI-San_SP'!$C:$AN,13,FALSE)</f>
        <v>0</v>
      </c>
      <c r="S122" s="55"/>
      <c r="T122" s="55"/>
      <c r="U122" s="55">
        <f>VLOOKUP($E122,'NI-San_SP'!$C:$AN,MID(U$1,1,2),FALSE)</f>
        <v>0</v>
      </c>
      <c r="V122" s="55">
        <f>VLOOKUP($E122,'NI-San_SP'!$C:$AN,MID(V$1,1,2),FALSE)</f>
        <v>0</v>
      </c>
      <c r="W122" s="55">
        <f>VLOOKUP($E122,'NI-San_SP'!$C:$AN,MID(W$1,1,2),FALSE)</f>
        <v>0</v>
      </c>
      <c r="X122" s="55">
        <f>VLOOKUP($E122,'NI-San_SP'!$C:$AN,MID(X$1,1,2),FALSE)</f>
        <v>0</v>
      </c>
      <c r="Y122" s="55">
        <f>VLOOKUP($E122,'NI-San_SP'!$C:$AN,MID(Y$1,1,2),FALSE)</f>
        <v>0</v>
      </c>
      <c r="Z122" s="55">
        <f>VLOOKUP($E122,'NI-San_SP'!$C:$AN,MID(Z$1,1,2),FALSE)</f>
        <v>0</v>
      </c>
      <c r="AA122" s="55">
        <f>VLOOKUP($E122,'NI-San_SP'!$C:$AN,MID(AA$1,1,2),FALSE)</f>
        <v>0</v>
      </c>
      <c r="AB122" s="55">
        <f>VLOOKUP($E122,'NI-San_SP'!$C:$AN,MID(AB$1,1,2),FALSE)</f>
        <v>0</v>
      </c>
      <c r="AC122" s="55">
        <f>VLOOKUP($E122,'NI-San_SP'!$C:$AN,MID(AC$1,1,2),FALSE)</f>
        <v>0</v>
      </c>
      <c r="AD122" s="55">
        <f>VLOOKUP($E122,'NI-San_SP'!$C:$AN,MID(AD$1,1,2),FALSE)</f>
        <v>0</v>
      </c>
      <c r="AE122" s="55">
        <f>VLOOKUP($E122,'NI-San_SP'!$C:$AN,MID(AE$1,1,2),FALSE)</f>
        <v>0</v>
      </c>
      <c r="AF122" s="55">
        <f>VLOOKUP($E122,'NI-San_SP'!$C:$AN,MID(AF$1,1,2),FALSE)</f>
        <v>0</v>
      </c>
      <c r="AG122" s="55">
        <f>VLOOKUP($E122,'NI-San_SP'!$C:$AN,MID(AG$1,1,2),FALSE)</f>
        <v>0</v>
      </c>
      <c r="AH122" s="55">
        <f>VLOOKUP($E122,'NI-San_SP'!$C:$AN,MID(AH$1,1,2),FALSE)</f>
        <v>0</v>
      </c>
      <c r="AI122" s="55">
        <f>VLOOKUP($E122,'NI-San_SP'!$C:$AN,MID(AI$1,1,2),FALSE)</f>
        <v>0</v>
      </c>
      <c r="AJ122" s="55">
        <f>VLOOKUP($E122,'NI-San_SP'!$C:$AN,MID(AJ$1,1,2),FALSE)</f>
        <v>0</v>
      </c>
      <c r="AK122" s="55">
        <f>VLOOKUP($E122,'NI-San_SP'!$C:$AN,MID(AK$1,1,2),FALSE)</f>
        <v>0</v>
      </c>
      <c r="AL122" s="55">
        <f>VLOOKUP($E122,'NI-San_SP'!$C:$AN,MID(AL$1,1,2),FALSE)</f>
        <v>0</v>
      </c>
      <c r="AM122" s="56">
        <f>VLOOKUP($E122,'NI-San_SP'!$C:$AN,MID(AM$1,1,2),FALSE)</f>
        <v>0</v>
      </c>
      <c r="AN122" s="30" t="str">
        <f t="shared" si="1"/>
        <v>10202010020040</v>
      </c>
    </row>
    <row r="123" spans="3:40" x14ac:dyDescent="0.25">
      <c r="C123" s="40"/>
      <c r="D123" s="57" t="s">
        <v>522</v>
      </c>
      <c r="E123" s="57" t="s">
        <v>523</v>
      </c>
      <c r="F123" s="58" t="s">
        <v>110</v>
      </c>
      <c r="G123" s="52"/>
      <c r="H123" s="52"/>
      <c r="I123" s="52"/>
      <c r="J123" s="52"/>
      <c r="K123" s="59" t="s">
        <v>111</v>
      </c>
      <c r="L123" s="52"/>
      <c r="M123" s="52"/>
      <c r="N123" s="52"/>
      <c r="O123" s="61" t="s">
        <v>524</v>
      </c>
      <c r="P123" s="54" t="s">
        <v>525</v>
      </c>
      <c r="Q123" s="55">
        <f>VLOOKUP(E123,'NI-San_SP'!$C:$AN,12,FALSE)</f>
        <v>76384271</v>
      </c>
      <c r="R123" s="55">
        <f>VLOOKUP(E123,'NI-San_SP'!$C:$AN,13,FALSE)</f>
        <v>71313824</v>
      </c>
      <c r="S123" s="55"/>
      <c r="T123" s="55"/>
      <c r="U123" s="55">
        <f>VLOOKUP($E123,'NI-San_SP'!$C:$AN,MID(U$1,1,2),FALSE)</f>
        <v>0</v>
      </c>
      <c r="V123" s="55">
        <f>VLOOKUP($E123,'NI-San_SP'!$C:$AN,MID(V$1,1,2),FALSE)</f>
        <v>0</v>
      </c>
      <c r="W123" s="55">
        <f>VLOOKUP($E123,'NI-San_SP'!$C:$AN,MID(W$1,1,2),FALSE)</f>
        <v>0</v>
      </c>
      <c r="X123" s="55">
        <f>VLOOKUP($E123,'NI-San_SP'!$C:$AN,MID(X$1,1,2),FALSE)</f>
        <v>0</v>
      </c>
      <c r="Y123" s="55">
        <f>VLOOKUP($E123,'NI-San_SP'!$C:$AN,MID(Y$1,1,2),FALSE)</f>
        <v>0</v>
      </c>
      <c r="Z123" s="55">
        <f>VLOOKUP($E123,'NI-San_SP'!$C:$AN,MID(Z$1,1,2),FALSE)</f>
        <v>0</v>
      </c>
      <c r="AA123" s="55">
        <f>VLOOKUP($E123,'NI-San_SP'!$C:$AN,MID(AA$1,1,2),FALSE)</f>
        <v>0</v>
      </c>
      <c r="AB123" s="55">
        <f>VLOOKUP($E123,'NI-San_SP'!$C:$AN,MID(AB$1,1,2),FALSE)</f>
        <v>0</v>
      </c>
      <c r="AC123" s="55">
        <f>VLOOKUP($E123,'NI-San_SP'!$C:$AN,MID(AC$1,1,2),FALSE)</f>
        <v>0</v>
      </c>
      <c r="AD123" s="55">
        <f>VLOOKUP($E123,'NI-San_SP'!$C:$AN,MID(AD$1,1,2),FALSE)</f>
        <v>0</v>
      </c>
      <c r="AE123" s="55">
        <f>VLOOKUP($E123,'NI-San_SP'!$C:$AN,MID(AE$1,1,2),FALSE)</f>
        <v>0</v>
      </c>
      <c r="AF123" s="55">
        <f>VLOOKUP($E123,'NI-San_SP'!$C:$AN,MID(AF$1,1,2),FALSE)</f>
        <v>0</v>
      </c>
      <c r="AG123" s="55">
        <f>VLOOKUP($E123,'NI-San_SP'!$C:$AN,MID(AG$1,1,2),FALSE)</f>
        <v>0</v>
      </c>
      <c r="AH123" s="55">
        <f>VLOOKUP($E123,'NI-San_SP'!$C:$AN,MID(AH$1,1,2),FALSE)</f>
        <v>0</v>
      </c>
      <c r="AI123" s="55">
        <f>VLOOKUP($E123,'NI-San_SP'!$C:$AN,MID(AI$1,1,2),FALSE)</f>
        <v>0</v>
      </c>
      <c r="AJ123" s="55">
        <f>VLOOKUP($E123,'NI-San_SP'!$C:$AN,MID(AJ$1,1,2),FALSE)</f>
        <v>0</v>
      </c>
      <c r="AK123" s="55">
        <f>VLOOKUP($E123,'NI-San_SP'!$C:$AN,MID(AK$1,1,2),FALSE)</f>
        <v>0</v>
      </c>
      <c r="AL123" s="55">
        <f>VLOOKUP($E123,'NI-San_SP'!$C:$AN,MID(AL$1,1,2),FALSE)</f>
        <v>0</v>
      </c>
      <c r="AM123" s="56">
        <f>VLOOKUP($E123,'NI-San_SP'!$C:$AN,MID(AM$1,1,2),FALSE)</f>
        <v>0</v>
      </c>
      <c r="AN123" s="30" t="str">
        <f t="shared" si="1"/>
        <v>10202020000000</v>
      </c>
    </row>
    <row r="124" spans="3:40" x14ac:dyDescent="0.25">
      <c r="C124" s="40"/>
      <c r="D124" s="57" t="s">
        <v>526</v>
      </c>
      <c r="E124" s="57" t="s">
        <v>527</v>
      </c>
      <c r="F124" s="58" t="s">
        <v>110</v>
      </c>
      <c r="G124" s="52"/>
      <c r="H124" s="52"/>
      <c r="I124" s="52" t="s">
        <v>528</v>
      </c>
      <c r="J124" s="52" t="s">
        <v>528</v>
      </c>
      <c r="K124" s="59" t="s">
        <v>111</v>
      </c>
      <c r="L124" s="62" t="s">
        <v>491</v>
      </c>
      <c r="M124" s="52"/>
      <c r="N124" s="52"/>
      <c r="O124" s="52"/>
      <c r="P124" s="54" t="s">
        <v>529</v>
      </c>
      <c r="Q124" s="55">
        <f>VLOOKUP(E124,'NI-San_SP'!$C:$AN,12,FALSE)</f>
        <v>159915632</v>
      </c>
      <c r="R124" s="55">
        <f>VLOOKUP(E124,'NI-San_SP'!$C:$AN,13,FALSE)</f>
        <v>160851591</v>
      </c>
      <c r="S124" s="55"/>
      <c r="T124" s="55"/>
      <c r="U124" s="55">
        <f>VLOOKUP($E124,'NI-San_SP'!$C:$AN,MID(U$1,1,2),FALSE)</f>
        <v>0</v>
      </c>
      <c r="V124" s="55">
        <f>VLOOKUP($E124,'NI-San_SP'!$C:$AN,MID(V$1,1,2),FALSE)</f>
        <v>159915632</v>
      </c>
      <c r="W124" s="55">
        <f>VLOOKUP($E124,'NI-San_SP'!$C:$AN,MID(W$1,1,2),FALSE)</f>
        <v>0</v>
      </c>
      <c r="X124" s="55">
        <f>VLOOKUP($E124,'NI-San_SP'!$C:$AN,MID(X$1,1,2),FALSE)</f>
        <v>0</v>
      </c>
      <c r="Y124" s="55">
        <f>VLOOKUP($E124,'NI-San_SP'!$C:$AN,MID(Y$1,1,2),FALSE)</f>
        <v>0</v>
      </c>
      <c r="Z124" s="55">
        <f>VLOOKUP($E124,'NI-San_SP'!$C:$AN,MID(Z$1,1,2),FALSE)</f>
        <v>0</v>
      </c>
      <c r="AA124" s="55">
        <f>VLOOKUP($E124,'NI-San_SP'!$C:$AN,MID(AA$1,1,2),FALSE)</f>
        <v>0</v>
      </c>
      <c r="AB124" s="55">
        <f>VLOOKUP($E124,'NI-San_SP'!$C:$AN,MID(AB$1,1,2),FALSE)</f>
        <v>0</v>
      </c>
      <c r="AC124" s="55">
        <f>VLOOKUP($E124,'NI-San_SP'!$C:$AN,MID(AC$1,1,2),FALSE)</f>
        <v>0</v>
      </c>
      <c r="AD124" s="55">
        <f>VLOOKUP($E124,'NI-San_SP'!$C:$AN,MID(AD$1,1,2),FALSE)</f>
        <v>0</v>
      </c>
      <c r="AE124" s="55">
        <f>VLOOKUP($E124,'NI-San_SP'!$C:$AN,MID(AE$1,1,2),FALSE)</f>
        <v>0</v>
      </c>
      <c r="AF124" s="55">
        <f>VLOOKUP($E124,'NI-San_SP'!$C:$AN,MID(AF$1,1,2),FALSE)</f>
        <v>4087</v>
      </c>
      <c r="AG124" s="55">
        <f>VLOOKUP($E124,'NI-San_SP'!$C:$AN,MID(AG$1,1,2),FALSE)</f>
        <v>0</v>
      </c>
      <c r="AH124" s="55">
        <f>VLOOKUP($E124,'NI-San_SP'!$C:$AN,MID(AH$1,1,2),FALSE)</f>
        <v>931872</v>
      </c>
      <c r="AI124" s="55">
        <f>VLOOKUP($E124,'NI-San_SP'!$C:$AN,MID(AI$1,1,2),FALSE)</f>
        <v>0</v>
      </c>
      <c r="AJ124" s="55">
        <f>VLOOKUP($E124,'NI-San_SP'!$C:$AN,MID(AJ$1,1,2),FALSE)</f>
        <v>0</v>
      </c>
      <c r="AK124" s="55">
        <f>VLOOKUP($E124,'NI-San_SP'!$C:$AN,MID(AK$1,1,2),FALSE)</f>
        <v>0</v>
      </c>
      <c r="AL124" s="55">
        <f>VLOOKUP($E124,'NI-San_SP'!$C:$AN,MID(AL$1,1,2),FALSE)</f>
        <v>0</v>
      </c>
      <c r="AM124" s="56">
        <f>VLOOKUP($E124,'NI-San_SP'!$C:$AN,MID(AM$1,1,2),FALSE)</f>
        <v>0</v>
      </c>
      <c r="AN124" s="30" t="str">
        <f t="shared" si="1"/>
        <v>10202020010000</v>
      </c>
    </row>
    <row r="125" spans="3:40" x14ac:dyDescent="0.25">
      <c r="C125" s="40"/>
      <c r="D125" s="57" t="s">
        <v>530</v>
      </c>
      <c r="E125" s="57" t="s">
        <v>531</v>
      </c>
      <c r="F125" s="58" t="s">
        <v>110</v>
      </c>
      <c r="G125" s="52"/>
      <c r="H125" s="52"/>
      <c r="I125" s="52"/>
      <c r="J125" s="52"/>
      <c r="K125" s="59" t="s">
        <v>79</v>
      </c>
      <c r="L125" s="52"/>
      <c r="M125" s="52"/>
      <c r="N125" s="52"/>
      <c r="O125" s="52"/>
      <c r="P125" s="63" t="s">
        <v>532</v>
      </c>
      <c r="Q125" s="55">
        <f>VLOOKUP(E125,'NI-San_SP'!$C:$AN,12,FALSE)</f>
        <v>45034152</v>
      </c>
      <c r="R125" s="55">
        <f>VLOOKUP(E125,'NI-San_SP'!$C:$AN,13,FALSE)</f>
        <v>45034152</v>
      </c>
      <c r="S125" s="55"/>
      <c r="T125" s="55"/>
      <c r="U125" s="55">
        <f>VLOOKUP($E125,'NI-San_SP'!$C:$AN,MID(U$1,1,2),FALSE)</f>
        <v>0</v>
      </c>
      <c r="V125" s="55">
        <f>VLOOKUP($E125,'NI-San_SP'!$C:$AN,MID(V$1,1,2),FALSE)</f>
        <v>45034152</v>
      </c>
      <c r="W125" s="55">
        <f>VLOOKUP($E125,'NI-San_SP'!$C:$AN,MID(W$1,1,2),FALSE)</f>
        <v>0</v>
      </c>
      <c r="X125" s="55">
        <f>VLOOKUP($E125,'NI-San_SP'!$C:$AN,MID(X$1,1,2),FALSE)</f>
        <v>0</v>
      </c>
      <c r="Y125" s="55">
        <f>VLOOKUP($E125,'NI-San_SP'!$C:$AN,MID(Y$1,1,2),FALSE)</f>
        <v>0</v>
      </c>
      <c r="Z125" s="55">
        <f>VLOOKUP($E125,'NI-San_SP'!$C:$AN,MID(Z$1,1,2),FALSE)</f>
        <v>0</v>
      </c>
      <c r="AA125" s="55">
        <f>VLOOKUP($E125,'NI-San_SP'!$C:$AN,MID(AA$1,1,2),FALSE)</f>
        <v>0</v>
      </c>
      <c r="AB125" s="55">
        <f>VLOOKUP($E125,'NI-San_SP'!$C:$AN,MID(AB$1,1,2),FALSE)</f>
        <v>0</v>
      </c>
      <c r="AC125" s="55">
        <f>VLOOKUP($E125,'NI-San_SP'!$C:$AN,MID(AC$1,1,2),FALSE)</f>
        <v>0</v>
      </c>
      <c r="AD125" s="55">
        <f>VLOOKUP($E125,'NI-San_SP'!$C:$AN,MID(AD$1,1,2),FALSE)</f>
        <v>0</v>
      </c>
      <c r="AE125" s="55">
        <f>VLOOKUP($E125,'NI-San_SP'!$C:$AN,MID(AE$1,1,2),FALSE)</f>
        <v>0</v>
      </c>
      <c r="AF125" s="55">
        <f>VLOOKUP($E125,'NI-San_SP'!$C:$AN,MID(AF$1,1,2),FALSE)</f>
        <v>0</v>
      </c>
      <c r="AG125" s="55">
        <f>VLOOKUP($E125,'NI-San_SP'!$C:$AN,MID(AG$1,1,2),FALSE)</f>
        <v>0</v>
      </c>
      <c r="AH125" s="55">
        <f>VLOOKUP($E125,'NI-San_SP'!$C:$AN,MID(AH$1,1,2),FALSE)</f>
        <v>0</v>
      </c>
      <c r="AI125" s="55">
        <f>VLOOKUP($E125,'NI-San_SP'!$C:$AN,MID(AI$1,1,2),FALSE)</f>
        <v>0</v>
      </c>
      <c r="AJ125" s="55">
        <f>VLOOKUP($E125,'NI-San_SP'!$C:$AN,MID(AJ$1,1,2),FALSE)</f>
        <v>0</v>
      </c>
      <c r="AK125" s="55">
        <f>VLOOKUP($E125,'NI-San_SP'!$C:$AN,MID(AK$1,1,2),FALSE)</f>
        <v>0</v>
      </c>
      <c r="AL125" s="55">
        <f>VLOOKUP($E125,'NI-San_SP'!$C:$AN,MID(AL$1,1,2),FALSE)</f>
        <v>0</v>
      </c>
      <c r="AM125" s="56">
        <f>VLOOKUP($E125,'NI-San_SP'!$C:$AN,MID(AM$1,1,2),FALSE)</f>
        <v>0</v>
      </c>
      <c r="AN125" s="30" t="str">
        <f t="shared" si="1"/>
        <v>10202020010010</v>
      </c>
    </row>
    <row r="126" spans="3:40" x14ac:dyDescent="0.25">
      <c r="C126" s="40"/>
      <c r="D126" s="57" t="s">
        <v>533</v>
      </c>
      <c r="E126" s="57" t="s">
        <v>534</v>
      </c>
      <c r="F126" s="58" t="s">
        <v>110</v>
      </c>
      <c r="G126" s="52"/>
      <c r="H126" s="52"/>
      <c r="I126" s="52"/>
      <c r="J126" s="52"/>
      <c r="K126" s="59" t="s">
        <v>79</v>
      </c>
      <c r="L126" s="52"/>
      <c r="M126" s="52"/>
      <c r="N126" s="52"/>
      <c r="O126" s="52"/>
      <c r="P126" s="63" t="s">
        <v>535</v>
      </c>
      <c r="Q126" s="55">
        <f>VLOOKUP(E126,'NI-San_SP'!$C:$AN,12,FALSE)</f>
        <v>114831536</v>
      </c>
      <c r="R126" s="55">
        <f>VLOOKUP(E126,'NI-San_SP'!$C:$AN,13,FALSE)</f>
        <v>115763408</v>
      </c>
      <c r="S126" s="55"/>
      <c r="T126" s="55"/>
      <c r="U126" s="55">
        <f>VLOOKUP($E126,'NI-San_SP'!$C:$AN,MID(U$1,1,2),FALSE)</f>
        <v>0</v>
      </c>
      <c r="V126" s="55">
        <f>VLOOKUP($E126,'NI-San_SP'!$C:$AN,MID(V$1,1,2),FALSE)</f>
        <v>114831536</v>
      </c>
      <c r="W126" s="55">
        <f>VLOOKUP($E126,'NI-San_SP'!$C:$AN,MID(W$1,1,2),FALSE)</f>
        <v>0</v>
      </c>
      <c r="X126" s="55">
        <f>VLOOKUP($E126,'NI-San_SP'!$C:$AN,MID(X$1,1,2),FALSE)</f>
        <v>0</v>
      </c>
      <c r="Y126" s="55">
        <f>VLOOKUP($E126,'NI-San_SP'!$C:$AN,MID(Y$1,1,2),FALSE)</f>
        <v>0</v>
      </c>
      <c r="Z126" s="55">
        <f>VLOOKUP($E126,'NI-San_SP'!$C:$AN,MID(Z$1,1,2),FALSE)</f>
        <v>0</v>
      </c>
      <c r="AA126" s="55">
        <f>VLOOKUP($E126,'NI-San_SP'!$C:$AN,MID(AA$1,1,2),FALSE)</f>
        <v>0</v>
      </c>
      <c r="AB126" s="55">
        <f>VLOOKUP($E126,'NI-San_SP'!$C:$AN,MID(AB$1,1,2),FALSE)</f>
        <v>0</v>
      </c>
      <c r="AC126" s="55">
        <f>VLOOKUP($E126,'NI-San_SP'!$C:$AN,MID(AC$1,1,2),FALSE)</f>
        <v>0</v>
      </c>
      <c r="AD126" s="55">
        <f>VLOOKUP($E126,'NI-San_SP'!$C:$AN,MID(AD$1,1,2),FALSE)</f>
        <v>0</v>
      </c>
      <c r="AE126" s="55">
        <f>VLOOKUP($E126,'NI-San_SP'!$C:$AN,MID(AE$1,1,2),FALSE)</f>
        <v>0</v>
      </c>
      <c r="AF126" s="55">
        <f>VLOOKUP($E126,'NI-San_SP'!$C:$AN,MID(AF$1,1,2),FALSE)</f>
        <v>0</v>
      </c>
      <c r="AG126" s="55">
        <f>VLOOKUP($E126,'NI-San_SP'!$C:$AN,MID(AG$1,1,2),FALSE)</f>
        <v>0</v>
      </c>
      <c r="AH126" s="55">
        <f>VLOOKUP($E126,'NI-San_SP'!$C:$AN,MID(AH$1,1,2),FALSE)</f>
        <v>931872</v>
      </c>
      <c r="AI126" s="55">
        <f>VLOOKUP($E126,'NI-San_SP'!$C:$AN,MID(AI$1,1,2),FALSE)</f>
        <v>0</v>
      </c>
      <c r="AJ126" s="55">
        <f>VLOOKUP($E126,'NI-San_SP'!$C:$AN,MID(AJ$1,1,2),FALSE)</f>
        <v>0</v>
      </c>
      <c r="AK126" s="55">
        <f>VLOOKUP($E126,'NI-San_SP'!$C:$AN,MID(AK$1,1,2),FALSE)</f>
        <v>0</v>
      </c>
      <c r="AL126" s="55">
        <f>VLOOKUP($E126,'NI-San_SP'!$C:$AN,MID(AL$1,1,2),FALSE)</f>
        <v>0</v>
      </c>
      <c r="AM126" s="56">
        <f>VLOOKUP($E126,'NI-San_SP'!$C:$AN,MID(AM$1,1,2),FALSE)</f>
        <v>0</v>
      </c>
      <c r="AN126" s="30" t="str">
        <f t="shared" si="1"/>
        <v>10202020010020</v>
      </c>
    </row>
    <row r="127" spans="3:40" x14ac:dyDescent="0.25">
      <c r="C127" s="40"/>
      <c r="D127" s="57" t="s">
        <v>536</v>
      </c>
      <c r="E127" s="57" t="s">
        <v>537</v>
      </c>
      <c r="F127" s="58" t="s">
        <v>110</v>
      </c>
      <c r="G127" s="52"/>
      <c r="H127" s="52"/>
      <c r="I127" s="52"/>
      <c r="J127" s="52"/>
      <c r="K127" s="59" t="s">
        <v>79</v>
      </c>
      <c r="L127" s="52"/>
      <c r="M127" s="52"/>
      <c r="N127" s="52"/>
      <c r="O127" s="52"/>
      <c r="P127" s="63" t="s">
        <v>538</v>
      </c>
      <c r="Q127" s="55">
        <f>VLOOKUP(E127,'NI-San_SP'!$C:$AN,12,FALSE)</f>
        <v>42406</v>
      </c>
      <c r="R127" s="55">
        <f>VLOOKUP(E127,'NI-San_SP'!$C:$AN,13,FALSE)</f>
        <v>42406</v>
      </c>
      <c r="S127" s="55"/>
      <c r="T127" s="55"/>
      <c r="U127" s="55">
        <f>VLOOKUP($E127,'NI-San_SP'!$C:$AN,MID(U$1,1,2),FALSE)</f>
        <v>0</v>
      </c>
      <c r="V127" s="55">
        <f>VLOOKUP($E127,'NI-San_SP'!$C:$AN,MID(V$1,1,2),FALSE)</f>
        <v>42406</v>
      </c>
      <c r="W127" s="55">
        <f>VLOOKUP($E127,'NI-San_SP'!$C:$AN,MID(W$1,1,2),FALSE)</f>
        <v>0</v>
      </c>
      <c r="X127" s="55">
        <f>VLOOKUP($E127,'NI-San_SP'!$C:$AN,MID(X$1,1,2),FALSE)</f>
        <v>0</v>
      </c>
      <c r="Y127" s="55">
        <f>VLOOKUP($E127,'NI-San_SP'!$C:$AN,MID(Y$1,1,2),FALSE)</f>
        <v>0</v>
      </c>
      <c r="Z127" s="55">
        <f>VLOOKUP($E127,'NI-San_SP'!$C:$AN,MID(Z$1,1,2),FALSE)</f>
        <v>0</v>
      </c>
      <c r="AA127" s="55">
        <f>VLOOKUP($E127,'NI-San_SP'!$C:$AN,MID(AA$1,1,2),FALSE)</f>
        <v>0</v>
      </c>
      <c r="AB127" s="55">
        <f>VLOOKUP($E127,'NI-San_SP'!$C:$AN,MID(AB$1,1,2),FALSE)</f>
        <v>0</v>
      </c>
      <c r="AC127" s="55">
        <f>VLOOKUP($E127,'NI-San_SP'!$C:$AN,MID(AC$1,1,2),FALSE)</f>
        <v>0</v>
      </c>
      <c r="AD127" s="55">
        <f>VLOOKUP($E127,'NI-San_SP'!$C:$AN,MID(AD$1,1,2),FALSE)</f>
        <v>0</v>
      </c>
      <c r="AE127" s="55">
        <f>VLOOKUP($E127,'NI-San_SP'!$C:$AN,MID(AE$1,1,2),FALSE)</f>
        <v>0</v>
      </c>
      <c r="AF127" s="55">
        <f>VLOOKUP($E127,'NI-San_SP'!$C:$AN,MID(AF$1,1,2),FALSE)</f>
        <v>0</v>
      </c>
      <c r="AG127" s="55">
        <f>VLOOKUP($E127,'NI-San_SP'!$C:$AN,MID(AG$1,1,2),FALSE)</f>
        <v>0</v>
      </c>
      <c r="AH127" s="55">
        <f>VLOOKUP($E127,'NI-San_SP'!$C:$AN,MID(AH$1,1,2),FALSE)</f>
        <v>0</v>
      </c>
      <c r="AI127" s="55">
        <f>VLOOKUP($E127,'NI-San_SP'!$C:$AN,MID(AI$1,1,2),FALSE)</f>
        <v>0</v>
      </c>
      <c r="AJ127" s="55">
        <f>VLOOKUP($E127,'NI-San_SP'!$C:$AN,MID(AJ$1,1,2),FALSE)</f>
        <v>0</v>
      </c>
      <c r="AK127" s="55">
        <f>VLOOKUP($E127,'NI-San_SP'!$C:$AN,MID(AK$1,1,2),FALSE)</f>
        <v>0</v>
      </c>
      <c r="AL127" s="55">
        <f>VLOOKUP($E127,'NI-San_SP'!$C:$AN,MID(AL$1,1,2),FALSE)</f>
        <v>0</v>
      </c>
      <c r="AM127" s="56">
        <f>VLOOKUP($E127,'NI-San_SP'!$C:$AN,MID(AM$1,1,2),FALSE)</f>
        <v>0</v>
      </c>
      <c r="AN127" s="30" t="str">
        <f t="shared" si="1"/>
        <v>10202020010030</v>
      </c>
    </row>
    <row r="128" spans="3:40" x14ac:dyDescent="0.25">
      <c r="C128" s="40"/>
      <c r="D128" s="57" t="s">
        <v>539</v>
      </c>
      <c r="E128" s="57" t="s">
        <v>540</v>
      </c>
      <c r="F128" s="58" t="s">
        <v>110</v>
      </c>
      <c r="G128" s="52"/>
      <c r="H128" s="52"/>
      <c r="I128" s="52"/>
      <c r="J128" s="52"/>
      <c r="K128" s="59" t="s">
        <v>79</v>
      </c>
      <c r="L128" s="52"/>
      <c r="M128" s="52"/>
      <c r="N128" s="52"/>
      <c r="O128" s="52"/>
      <c r="P128" s="63" t="s">
        <v>541</v>
      </c>
      <c r="Q128" s="55">
        <f>VLOOKUP(E128,'NI-San_SP'!$C:$AN,12,FALSE)</f>
        <v>7538</v>
      </c>
      <c r="R128" s="55">
        <f>VLOOKUP(E128,'NI-San_SP'!$C:$AN,13,FALSE)</f>
        <v>11625</v>
      </c>
      <c r="S128" s="55"/>
      <c r="T128" s="55"/>
      <c r="U128" s="55">
        <f>VLOOKUP($E128,'NI-San_SP'!$C:$AN,MID(U$1,1,2),FALSE)</f>
        <v>0</v>
      </c>
      <c r="V128" s="55">
        <f>VLOOKUP($E128,'NI-San_SP'!$C:$AN,MID(V$1,1,2),FALSE)</f>
        <v>7538</v>
      </c>
      <c r="W128" s="55">
        <f>VLOOKUP($E128,'NI-San_SP'!$C:$AN,MID(W$1,1,2),FALSE)</f>
        <v>0</v>
      </c>
      <c r="X128" s="55">
        <f>VLOOKUP($E128,'NI-San_SP'!$C:$AN,MID(X$1,1,2),FALSE)</f>
        <v>0</v>
      </c>
      <c r="Y128" s="55">
        <f>VLOOKUP($E128,'NI-San_SP'!$C:$AN,MID(Y$1,1,2),FALSE)</f>
        <v>0</v>
      </c>
      <c r="Z128" s="55">
        <f>VLOOKUP($E128,'NI-San_SP'!$C:$AN,MID(Z$1,1,2),FALSE)</f>
        <v>0</v>
      </c>
      <c r="AA128" s="55">
        <f>VLOOKUP($E128,'NI-San_SP'!$C:$AN,MID(AA$1,1,2),FALSE)</f>
        <v>0</v>
      </c>
      <c r="AB128" s="55">
        <f>VLOOKUP($E128,'NI-San_SP'!$C:$AN,MID(AB$1,1,2),FALSE)</f>
        <v>0</v>
      </c>
      <c r="AC128" s="55">
        <f>VLOOKUP($E128,'NI-San_SP'!$C:$AN,MID(AC$1,1,2),FALSE)</f>
        <v>0</v>
      </c>
      <c r="AD128" s="55">
        <f>VLOOKUP($E128,'NI-San_SP'!$C:$AN,MID(AD$1,1,2),FALSE)</f>
        <v>0</v>
      </c>
      <c r="AE128" s="55">
        <f>VLOOKUP($E128,'NI-San_SP'!$C:$AN,MID(AE$1,1,2),FALSE)</f>
        <v>0</v>
      </c>
      <c r="AF128" s="55">
        <f>VLOOKUP($E128,'NI-San_SP'!$C:$AN,MID(AF$1,1,2),FALSE)</f>
        <v>4087</v>
      </c>
      <c r="AG128" s="55">
        <f>VLOOKUP($E128,'NI-San_SP'!$C:$AN,MID(AG$1,1,2),FALSE)</f>
        <v>0</v>
      </c>
      <c r="AH128" s="55">
        <f>VLOOKUP($E128,'NI-San_SP'!$C:$AN,MID(AH$1,1,2),FALSE)</f>
        <v>0</v>
      </c>
      <c r="AI128" s="55">
        <f>VLOOKUP($E128,'NI-San_SP'!$C:$AN,MID(AI$1,1,2),FALSE)</f>
        <v>0</v>
      </c>
      <c r="AJ128" s="55">
        <f>VLOOKUP($E128,'NI-San_SP'!$C:$AN,MID(AJ$1,1,2),FALSE)</f>
        <v>0</v>
      </c>
      <c r="AK128" s="55">
        <f>VLOOKUP($E128,'NI-San_SP'!$C:$AN,MID(AK$1,1,2),FALSE)</f>
        <v>0</v>
      </c>
      <c r="AL128" s="55">
        <f>VLOOKUP($E128,'NI-San_SP'!$C:$AN,MID(AL$1,1,2),FALSE)</f>
        <v>0</v>
      </c>
      <c r="AM128" s="56">
        <f>VLOOKUP($E128,'NI-San_SP'!$C:$AN,MID(AM$1,1,2),FALSE)</f>
        <v>0</v>
      </c>
      <c r="AN128" s="30" t="str">
        <f t="shared" si="1"/>
        <v>10202020010040</v>
      </c>
    </row>
    <row r="129" spans="3:40" x14ac:dyDescent="0.25">
      <c r="C129" s="40"/>
      <c r="D129" s="57" t="s">
        <v>542</v>
      </c>
      <c r="E129" s="57" t="s">
        <v>543</v>
      </c>
      <c r="F129" s="58" t="s">
        <v>110</v>
      </c>
      <c r="G129" s="52"/>
      <c r="H129" s="52"/>
      <c r="I129" s="52" t="s">
        <v>544</v>
      </c>
      <c r="J129" s="52" t="s">
        <v>544</v>
      </c>
      <c r="K129" s="59" t="s">
        <v>111</v>
      </c>
      <c r="L129" s="62" t="s">
        <v>508</v>
      </c>
      <c r="M129" s="52"/>
      <c r="N129" s="52"/>
      <c r="O129" s="52"/>
      <c r="P129" s="54" t="s">
        <v>545</v>
      </c>
      <c r="Q129" s="55">
        <f>VLOOKUP(E129,'NI-San_SP'!$C:$AN,12,FALSE)</f>
        <v>83531361</v>
      </c>
      <c r="R129" s="55">
        <f>VLOOKUP(E129,'NI-San_SP'!$C:$AN,13,FALSE)</f>
        <v>89537767</v>
      </c>
      <c r="S129" s="55"/>
      <c r="T129" s="55"/>
      <c r="U129" s="55">
        <f>VLOOKUP($E129,'NI-San_SP'!$C:$AN,MID(U$1,1,2),FALSE)</f>
        <v>0</v>
      </c>
      <c r="V129" s="55">
        <f>VLOOKUP($E129,'NI-San_SP'!$C:$AN,MID(V$1,1,2),FALSE)</f>
        <v>83531361</v>
      </c>
      <c r="W129" s="55">
        <f>VLOOKUP($E129,'NI-San_SP'!$C:$AN,MID(W$1,1,2),FALSE)</f>
        <v>0</v>
      </c>
      <c r="X129" s="55">
        <f>VLOOKUP($E129,'NI-San_SP'!$C:$AN,MID(X$1,1,2),FALSE)</f>
        <v>0</v>
      </c>
      <c r="Y129" s="55">
        <f>VLOOKUP($E129,'NI-San_SP'!$C:$AN,MID(Y$1,1,2),FALSE)</f>
        <v>0</v>
      </c>
      <c r="Z129" s="55">
        <f>VLOOKUP($E129,'NI-San_SP'!$C:$AN,MID(Z$1,1,2),FALSE)</f>
        <v>0</v>
      </c>
      <c r="AA129" s="55">
        <f>VLOOKUP($E129,'NI-San_SP'!$C:$AN,MID(AA$1,1,2),FALSE)</f>
        <v>0</v>
      </c>
      <c r="AB129" s="55">
        <f>VLOOKUP($E129,'NI-San_SP'!$C:$AN,MID(AB$1,1,2),FALSE)</f>
        <v>0</v>
      </c>
      <c r="AC129" s="55">
        <f>VLOOKUP($E129,'NI-San_SP'!$C:$AN,MID(AC$1,1,2),FALSE)</f>
        <v>0</v>
      </c>
      <c r="AD129" s="55">
        <f>VLOOKUP($E129,'NI-San_SP'!$C:$AN,MID(AD$1,1,2),FALSE)</f>
        <v>6006406</v>
      </c>
      <c r="AE129" s="55">
        <f>VLOOKUP($E129,'NI-San_SP'!$C:$AN,MID(AE$1,1,2),FALSE)</f>
        <v>0</v>
      </c>
      <c r="AF129" s="55">
        <f>VLOOKUP($E129,'NI-San_SP'!$C:$AN,MID(AF$1,1,2),FALSE)</f>
        <v>0</v>
      </c>
      <c r="AG129" s="55">
        <f>VLOOKUP($E129,'NI-San_SP'!$C:$AN,MID(AG$1,1,2),FALSE)</f>
        <v>0</v>
      </c>
      <c r="AH129" s="55">
        <f>VLOOKUP($E129,'NI-San_SP'!$C:$AN,MID(AH$1,1,2),FALSE)</f>
        <v>0</v>
      </c>
      <c r="AI129" s="55">
        <f>VLOOKUP($E129,'NI-San_SP'!$C:$AN,MID(AI$1,1,2),FALSE)</f>
        <v>0</v>
      </c>
      <c r="AJ129" s="55">
        <f>VLOOKUP($E129,'NI-San_SP'!$C:$AN,MID(AJ$1,1,2),FALSE)</f>
        <v>0</v>
      </c>
      <c r="AK129" s="55">
        <f>VLOOKUP($E129,'NI-San_SP'!$C:$AN,MID(AK$1,1,2),FALSE)</f>
        <v>0</v>
      </c>
      <c r="AL129" s="55">
        <f>VLOOKUP($E129,'NI-San_SP'!$C:$AN,MID(AL$1,1,2),FALSE)</f>
        <v>0</v>
      </c>
      <c r="AM129" s="56">
        <f>VLOOKUP($E129,'NI-San_SP'!$C:$AN,MID(AM$1,1,2),FALSE)</f>
        <v>0</v>
      </c>
      <c r="AN129" s="30" t="str">
        <f t="shared" si="1"/>
        <v>10202020020000</v>
      </c>
    </row>
    <row r="130" spans="3:40" x14ac:dyDescent="0.25">
      <c r="C130" s="40"/>
      <c r="D130" s="57" t="s">
        <v>546</v>
      </c>
      <c r="E130" s="57" t="s">
        <v>547</v>
      </c>
      <c r="F130" s="58" t="s">
        <v>110</v>
      </c>
      <c r="G130" s="52"/>
      <c r="H130" s="52"/>
      <c r="I130" s="52"/>
      <c r="J130" s="52"/>
      <c r="K130" s="59" t="s">
        <v>79</v>
      </c>
      <c r="L130" s="52"/>
      <c r="M130" s="52"/>
      <c r="N130" s="52"/>
      <c r="O130" s="52"/>
      <c r="P130" s="63" t="s">
        <v>548</v>
      </c>
      <c r="Q130" s="55">
        <f>VLOOKUP(E130,'NI-San_SP'!$C:$AN,12,FALSE)</f>
        <v>18880695</v>
      </c>
      <c r="R130" s="55">
        <f>VLOOKUP(E130,'NI-San_SP'!$C:$AN,13,FALSE)</f>
        <v>20781405</v>
      </c>
      <c r="S130" s="55"/>
      <c r="T130" s="55"/>
      <c r="U130" s="55">
        <f>VLOOKUP($E130,'NI-San_SP'!$C:$AN,MID(U$1,1,2),FALSE)</f>
        <v>0</v>
      </c>
      <c r="V130" s="55">
        <f>VLOOKUP($E130,'NI-San_SP'!$C:$AN,MID(V$1,1,2),FALSE)</f>
        <v>18880695</v>
      </c>
      <c r="W130" s="55">
        <f>VLOOKUP($E130,'NI-San_SP'!$C:$AN,MID(W$1,1,2),FALSE)</f>
        <v>0</v>
      </c>
      <c r="X130" s="55">
        <f>VLOOKUP($E130,'NI-San_SP'!$C:$AN,MID(X$1,1,2),FALSE)</f>
        <v>0</v>
      </c>
      <c r="Y130" s="55">
        <f>VLOOKUP($E130,'NI-San_SP'!$C:$AN,MID(Y$1,1,2),FALSE)</f>
        <v>0</v>
      </c>
      <c r="Z130" s="55">
        <f>VLOOKUP($E130,'NI-San_SP'!$C:$AN,MID(Z$1,1,2),FALSE)</f>
        <v>0</v>
      </c>
      <c r="AA130" s="55">
        <f>VLOOKUP($E130,'NI-San_SP'!$C:$AN,MID(AA$1,1,2),FALSE)</f>
        <v>0</v>
      </c>
      <c r="AB130" s="55">
        <f>VLOOKUP($E130,'NI-San_SP'!$C:$AN,MID(AB$1,1,2),FALSE)</f>
        <v>0</v>
      </c>
      <c r="AC130" s="55">
        <f>VLOOKUP($E130,'NI-San_SP'!$C:$AN,MID(AC$1,1,2),FALSE)</f>
        <v>0</v>
      </c>
      <c r="AD130" s="55">
        <f>VLOOKUP($E130,'NI-San_SP'!$C:$AN,MID(AD$1,1,2),FALSE)</f>
        <v>1900710</v>
      </c>
      <c r="AE130" s="55">
        <f>VLOOKUP($E130,'NI-San_SP'!$C:$AN,MID(AE$1,1,2),FALSE)</f>
        <v>0</v>
      </c>
      <c r="AF130" s="55">
        <f>VLOOKUP($E130,'NI-San_SP'!$C:$AN,MID(AF$1,1,2),FALSE)</f>
        <v>0</v>
      </c>
      <c r="AG130" s="55">
        <f>VLOOKUP($E130,'NI-San_SP'!$C:$AN,MID(AG$1,1,2),FALSE)</f>
        <v>0</v>
      </c>
      <c r="AH130" s="55">
        <f>VLOOKUP($E130,'NI-San_SP'!$C:$AN,MID(AH$1,1,2),FALSE)</f>
        <v>0</v>
      </c>
      <c r="AI130" s="55">
        <f>VLOOKUP($E130,'NI-San_SP'!$C:$AN,MID(AI$1,1,2),FALSE)</f>
        <v>0</v>
      </c>
      <c r="AJ130" s="55">
        <f>VLOOKUP($E130,'NI-San_SP'!$C:$AN,MID(AJ$1,1,2),FALSE)</f>
        <v>0</v>
      </c>
      <c r="AK130" s="55">
        <f>VLOOKUP($E130,'NI-San_SP'!$C:$AN,MID(AK$1,1,2),FALSE)</f>
        <v>0</v>
      </c>
      <c r="AL130" s="55">
        <f>VLOOKUP($E130,'NI-San_SP'!$C:$AN,MID(AL$1,1,2),FALSE)</f>
        <v>0</v>
      </c>
      <c r="AM130" s="56">
        <f>VLOOKUP($E130,'NI-San_SP'!$C:$AN,MID(AM$1,1,2),FALSE)</f>
        <v>0</v>
      </c>
      <c r="AN130" s="30" t="str">
        <f t="shared" ref="AN130:AN193" si="2">D130</f>
        <v>10202020020010</v>
      </c>
    </row>
    <row r="131" spans="3:40" x14ac:dyDescent="0.25">
      <c r="C131" s="40"/>
      <c r="D131" s="57" t="s">
        <v>549</v>
      </c>
      <c r="E131" s="57" t="s">
        <v>550</v>
      </c>
      <c r="F131" s="58" t="s">
        <v>110</v>
      </c>
      <c r="G131" s="52"/>
      <c r="H131" s="52"/>
      <c r="I131" s="52"/>
      <c r="J131" s="52"/>
      <c r="K131" s="59" t="s">
        <v>79</v>
      </c>
      <c r="L131" s="52"/>
      <c r="M131" s="52"/>
      <c r="N131" s="52"/>
      <c r="O131" s="52"/>
      <c r="P131" s="63" t="s">
        <v>551</v>
      </c>
      <c r="Q131" s="55">
        <f>VLOOKUP(E131,'NI-San_SP'!$C:$AN,12,FALSE)</f>
        <v>64606002</v>
      </c>
      <c r="R131" s="55">
        <f>VLOOKUP(E131,'NI-San_SP'!$C:$AN,13,FALSE)</f>
        <v>68709977</v>
      </c>
      <c r="S131" s="55"/>
      <c r="T131" s="55"/>
      <c r="U131" s="55">
        <f>VLOOKUP($E131,'NI-San_SP'!$C:$AN,MID(U$1,1,2),FALSE)</f>
        <v>0</v>
      </c>
      <c r="V131" s="55">
        <f>VLOOKUP($E131,'NI-San_SP'!$C:$AN,MID(V$1,1,2),FALSE)</f>
        <v>64606002</v>
      </c>
      <c r="W131" s="55">
        <f>VLOOKUP($E131,'NI-San_SP'!$C:$AN,MID(W$1,1,2),FALSE)</f>
        <v>0</v>
      </c>
      <c r="X131" s="55">
        <f>VLOOKUP($E131,'NI-San_SP'!$C:$AN,MID(X$1,1,2),FALSE)</f>
        <v>0</v>
      </c>
      <c r="Y131" s="55">
        <f>VLOOKUP($E131,'NI-San_SP'!$C:$AN,MID(Y$1,1,2),FALSE)</f>
        <v>0</v>
      </c>
      <c r="Z131" s="55">
        <f>VLOOKUP($E131,'NI-San_SP'!$C:$AN,MID(Z$1,1,2),FALSE)</f>
        <v>0</v>
      </c>
      <c r="AA131" s="55">
        <f>VLOOKUP($E131,'NI-San_SP'!$C:$AN,MID(AA$1,1,2),FALSE)</f>
        <v>0</v>
      </c>
      <c r="AB131" s="55">
        <f>VLOOKUP($E131,'NI-San_SP'!$C:$AN,MID(AB$1,1,2),FALSE)</f>
        <v>0</v>
      </c>
      <c r="AC131" s="55">
        <f>VLOOKUP($E131,'NI-San_SP'!$C:$AN,MID(AC$1,1,2),FALSE)</f>
        <v>0</v>
      </c>
      <c r="AD131" s="55">
        <f>VLOOKUP($E131,'NI-San_SP'!$C:$AN,MID(AD$1,1,2),FALSE)</f>
        <v>4103975</v>
      </c>
      <c r="AE131" s="55">
        <f>VLOOKUP($E131,'NI-San_SP'!$C:$AN,MID(AE$1,1,2),FALSE)</f>
        <v>0</v>
      </c>
      <c r="AF131" s="55">
        <f>VLOOKUP($E131,'NI-San_SP'!$C:$AN,MID(AF$1,1,2),FALSE)</f>
        <v>0</v>
      </c>
      <c r="AG131" s="55">
        <f>VLOOKUP($E131,'NI-San_SP'!$C:$AN,MID(AG$1,1,2),FALSE)</f>
        <v>0</v>
      </c>
      <c r="AH131" s="55">
        <f>VLOOKUP($E131,'NI-San_SP'!$C:$AN,MID(AH$1,1,2),FALSE)</f>
        <v>0</v>
      </c>
      <c r="AI131" s="55">
        <f>VLOOKUP($E131,'NI-San_SP'!$C:$AN,MID(AI$1,1,2),FALSE)</f>
        <v>0</v>
      </c>
      <c r="AJ131" s="55">
        <f>VLOOKUP($E131,'NI-San_SP'!$C:$AN,MID(AJ$1,1,2),FALSE)</f>
        <v>0</v>
      </c>
      <c r="AK131" s="55">
        <f>VLOOKUP($E131,'NI-San_SP'!$C:$AN,MID(AK$1,1,2),FALSE)</f>
        <v>0</v>
      </c>
      <c r="AL131" s="55">
        <f>VLOOKUP($E131,'NI-San_SP'!$C:$AN,MID(AL$1,1,2),FALSE)</f>
        <v>0</v>
      </c>
      <c r="AM131" s="56">
        <f>VLOOKUP($E131,'NI-San_SP'!$C:$AN,MID(AM$1,1,2),FALSE)</f>
        <v>0</v>
      </c>
      <c r="AN131" s="30" t="str">
        <f t="shared" si="2"/>
        <v>10202020020020</v>
      </c>
    </row>
    <row r="132" spans="3:40" x14ac:dyDescent="0.25">
      <c r="C132" s="40"/>
      <c r="D132" s="57" t="s">
        <v>552</v>
      </c>
      <c r="E132" s="57" t="s">
        <v>553</v>
      </c>
      <c r="F132" s="58" t="s">
        <v>110</v>
      </c>
      <c r="G132" s="52"/>
      <c r="H132" s="52"/>
      <c r="I132" s="52"/>
      <c r="J132" s="52"/>
      <c r="K132" s="59" t="s">
        <v>79</v>
      </c>
      <c r="L132" s="52"/>
      <c r="M132" s="52"/>
      <c r="N132" s="52"/>
      <c r="O132" s="52"/>
      <c r="P132" s="63" t="s">
        <v>554</v>
      </c>
      <c r="Q132" s="55">
        <f>VLOOKUP(E132,'NI-San_SP'!$C:$AN,12,FALSE)</f>
        <v>39638</v>
      </c>
      <c r="R132" s="55">
        <f>VLOOKUP(E132,'NI-San_SP'!$C:$AN,13,FALSE)</f>
        <v>40469</v>
      </c>
      <c r="S132" s="55"/>
      <c r="T132" s="55"/>
      <c r="U132" s="55">
        <f>VLOOKUP($E132,'NI-San_SP'!$C:$AN,MID(U$1,1,2),FALSE)</f>
        <v>0</v>
      </c>
      <c r="V132" s="55">
        <f>VLOOKUP($E132,'NI-San_SP'!$C:$AN,MID(V$1,1,2),FALSE)</f>
        <v>39638</v>
      </c>
      <c r="W132" s="55">
        <f>VLOOKUP($E132,'NI-San_SP'!$C:$AN,MID(W$1,1,2),FALSE)</f>
        <v>0</v>
      </c>
      <c r="X132" s="55">
        <f>VLOOKUP($E132,'NI-San_SP'!$C:$AN,MID(X$1,1,2),FALSE)</f>
        <v>0</v>
      </c>
      <c r="Y132" s="55">
        <f>VLOOKUP($E132,'NI-San_SP'!$C:$AN,MID(Y$1,1,2),FALSE)</f>
        <v>0</v>
      </c>
      <c r="Z132" s="55">
        <f>VLOOKUP($E132,'NI-San_SP'!$C:$AN,MID(Z$1,1,2),FALSE)</f>
        <v>0</v>
      </c>
      <c r="AA132" s="55">
        <f>VLOOKUP($E132,'NI-San_SP'!$C:$AN,MID(AA$1,1,2),FALSE)</f>
        <v>0</v>
      </c>
      <c r="AB132" s="55">
        <f>VLOOKUP($E132,'NI-San_SP'!$C:$AN,MID(AB$1,1,2),FALSE)</f>
        <v>0</v>
      </c>
      <c r="AC132" s="55">
        <f>VLOOKUP($E132,'NI-San_SP'!$C:$AN,MID(AC$1,1,2),FALSE)</f>
        <v>0</v>
      </c>
      <c r="AD132" s="55">
        <f>VLOOKUP($E132,'NI-San_SP'!$C:$AN,MID(AD$1,1,2),FALSE)</f>
        <v>831</v>
      </c>
      <c r="AE132" s="55">
        <f>VLOOKUP($E132,'NI-San_SP'!$C:$AN,MID(AE$1,1,2),FALSE)</f>
        <v>0</v>
      </c>
      <c r="AF132" s="55">
        <f>VLOOKUP($E132,'NI-San_SP'!$C:$AN,MID(AF$1,1,2),FALSE)</f>
        <v>0</v>
      </c>
      <c r="AG132" s="55">
        <f>VLOOKUP($E132,'NI-San_SP'!$C:$AN,MID(AG$1,1,2),FALSE)</f>
        <v>0</v>
      </c>
      <c r="AH132" s="55">
        <f>VLOOKUP($E132,'NI-San_SP'!$C:$AN,MID(AH$1,1,2),FALSE)</f>
        <v>0</v>
      </c>
      <c r="AI132" s="55">
        <f>VLOOKUP($E132,'NI-San_SP'!$C:$AN,MID(AI$1,1,2),FALSE)</f>
        <v>0</v>
      </c>
      <c r="AJ132" s="55">
        <f>VLOOKUP($E132,'NI-San_SP'!$C:$AN,MID(AJ$1,1,2),FALSE)</f>
        <v>0</v>
      </c>
      <c r="AK132" s="55">
        <f>VLOOKUP($E132,'NI-San_SP'!$C:$AN,MID(AK$1,1,2),FALSE)</f>
        <v>0</v>
      </c>
      <c r="AL132" s="55">
        <f>VLOOKUP($E132,'NI-San_SP'!$C:$AN,MID(AL$1,1,2),FALSE)</f>
        <v>0</v>
      </c>
      <c r="AM132" s="56">
        <f>VLOOKUP($E132,'NI-San_SP'!$C:$AN,MID(AM$1,1,2),FALSE)</f>
        <v>0</v>
      </c>
      <c r="AN132" s="30" t="str">
        <f t="shared" si="2"/>
        <v>10202020020030</v>
      </c>
    </row>
    <row r="133" spans="3:40" x14ac:dyDescent="0.25">
      <c r="C133" s="40"/>
      <c r="D133" s="57" t="s">
        <v>555</v>
      </c>
      <c r="E133" s="57" t="s">
        <v>556</v>
      </c>
      <c r="F133" s="58" t="s">
        <v>110</v>
      </c>
      <c r="G133" s="52"/>
      <c r="H133" s="52"/>
      <c r="I133" s="52"/>
      <c r="J133" s="52"/>
      <c r="K133" s="59" t="s">
        <v>79</v>
      </c>
      <c r="L133" s="52"/>
      <c r="M133" s="52"/>
      <c r="N133" s="52"/>
      <c r="O133" s="52"/>
      <c r="P133" s="63" t="s">
        <v>557</v>
      </c>
      <c r="Q133" s="55">
        <f>VLOOKUP(E133,'NI-San_SP'!$C:$AN,12,FALSE)</f>
        <v>5026</v>
      </c>
      <c r="R133" s="55">
        <f>VLOOKUP(E133,'NI-San_SP'!$C:$AN,13,FALSE)</f>
        <v>5916</v>
      </c>
      <c r="S133" s="55"/>
      <c r="T133" s="55"/>
      <c r="U133" s="55">
        <f>VLOOKUP($E133,'NI-San_SP'!$C:$AN,MID(U$1,1,2),FALSE)</f>
        <v>0</v>
      </c>
      <c r="V133" s="55">
        <f>VLOOKUP($E133,'NI-San_SP'!$C:$AN,MID(V$1,1,2),FALSE)</f>
        <v>5026</v>
      </c>
      <c r="W133" s="55">
        <f>VLOOKUP($E133,'NI-San_SP'!$C:$AN,MID(W$1,1,2),FALSE)</f>
        <v>0</v>
      </c>
      <c r="X133" s="55">
        <f>VLOOKUP($E133,'NI-San_SP'!$C:$AN,MID(X$1,1,2),FALSE)</f>
        <v>0</v>
      </c>
      <c r="Y133" s="55">
        <f>VLOOKUP($E133,'NI-San_SP'!$C:$AN,MID(Y$1,1,2),FALSE)</f>
        <v>0</v>
      </c>
      <c r="Z133" s="55">
        <f>VLOOKUP($E133,'NI-San_SP'!$C:$AN,MID(Z$1,1,2),FALSE)</f>
        <v>0</v>
      </c>
      <c r="AA133" s="55">
        <f>VLOOKUP($E133,'NI-San_SP'!$C:$AN,MID(AA$1,1,2),FALSE)</f>
        <v>0</v>
      </c>
      <c r="AB133" s="55">
        <f>VLOOKUP($E133,'NI-San_SP'!$C:$AN,MID(AB$1,1,2),FALSE)</f>
        <v>0</v>
      </c>
      <c r="AC133" s="55">
        <f>VLOOKUP($E133,'NI-San_SP'!$C:$AN,MID(AC$1,1,2),FALSE)</f>
        <v>0</v>
      </c>
      <c r="AD133" s="55">
        <f>VLOOKUP($E133,'NI-San_SP'!$C:$AN,MID(AD$1,1,2),FALSE)</f>
        <v>890</v>
      </c>
      <c r="AE133" s="55">
        <f>VLOOKUP($E133,'NI-San_SP'!$C:$AN,MID(AE$1,1,2),FALSE)</f>
        <v>0</v>
      </c>
      <c r="AF133" s="55">
        <f>VLOOKUP($E133,'NI-San_SP'!$C:$AN,MID(AF$1,1,2),FALSE)</f>
        <v>0</v>
      </c>
      <c r="AG133" s="55">
        <f>VLOOKUP($E133,'NI-San_SP'!$C:$AN,MID(AG$1,1,2),FALSE)</f>
        <v>0</v>
      </c>
      <c r="AH133" s="55">
        <f>VLOOKUP($E133,'NI-San_SP'!$C:$AN,MID(AH$1,1,2),FALSE)</f>
        <v>0</v>
      </c>
      <c r="AI133" s="55">
        <f>VLOOKUP($E133,'NI-San_SP'!$C:$AN,MID(AI$1,1,2),FALSE)</f>
        <v>0</v>
      </c>
      <c r="AJ133" s="55">
        <f>VLOOKUP($E133,'NI-San_SP'!$C:$AN,MID(AJ$1,1,2),FALSE)</f>
        <v>0</v>
      </c>
      <c r="AK133" s="55">
        <f>VLOOKUP($E133,'NI-San_SP'!$C:$AN,MID(AK$1,1,2),FALSE)</f>
        <v>0</v>
      </c>
      <c r="AL133" s="55">
        <f>VLOOKUP($E133,'NI-San_SP'!$C:$AN,MID(AL$1,1,2),FALSE)</f>
        <v>0</v>
      </c>
      <c r="AM133" s="56">
        <f>VLOOKUP($E133,'NI-San_SP'!$C:$AN,MID(AM$1,1,2),FALSE)</f>
        <v>0</v>
      </c>
      <c r="AN133" s="30" t="str">
        <f t="shared" si="2"/>
        <v>10202020020040</v>
      </c>
    </row>
    <row r="134" spans="3:40" x14ac:dyDescent="0.25">
      <c r="C134" s="40"/>
      <c r="D134" s="57" t="s">
        <v>558</v>
      </c>
      <c r="E134" s="57" t="s">
        <v>559</v>
      </c>
      <c r="F134" s="58" t="s">
        <v>110</v>
      </c>
      <c r="G134" s="52"/>
      <c r="H134" s="52"/>
      <c r="I134" s="52"/>
      <c r="J134" s="52"/>
      <c r="K134" s="59" t="s">
        <v>111</v>
      </c>
      <c r="L134" s="52"/>
      <c r="M134" s="52"/>
      <c r="N134" s="52"/>
      <c r="O134" s="61" t="s">
        <v>560</v>
      </c>
      <c r="P134" s="60" t="s">
        <v>561</v>
      </c>
      <c r="Q134" s="55">
        <f>VLOOKUP(E134,'NI-San_SP'!$C:$AN,12,FALSE)</f>
        <v>9616340</v>
      </c>
      <c r="R134" s="55">
        <f>VLOOKUP(E134,'NI-San_SP'!$C:$AN,13,FALSE)</f>
        <v>7839531</v>
      </c>
      <c r="S134" s="55"/>
      <c r="T134" s="55"/>
      <c r="U134" s="55">
        <f>VLOOKUP($E134,'NI-San_SP'!$C:$AN,MID(U$1,1,2),FALSE)</f>
        <v>0</v>
      </c>
      <c r="V134" s="55">
        <f>VLOOKUP($E134,'NI-San_SP'!$C:$AN,MID(V$1,1,2),FALSE)</f>
        <v>0</v>
      </c>
      <c r="W134" s="55">
        <f>VLOOKUP($E134,'NI-San_SP'!$C:$AN,MID(W$1,1,2),FALSE)</f>
        <v>0</v>
      </c>
      <c r="X134" s="55">
        <f>VLOOKUP($E134,'NI-San_SP'!$C:$AN,MID(X$1,1,2),FALSE)</f>
        <v>0</v>
      </c>
      <c r="Y134" s="55">
        <f>VLOOKUP($E134,'NI-San_SP'!$C:$AN,MID(Y$1,1,2),FALSE)</f>
        <v>0</v>
      </c>
      <c r="Z134" s="55">
        <f>VLOOKUP($E134,'NI-San_SP'!$C:$AN,MID(Z$1,1,2),FALSE)</f>
        <v>0</v>
      </c>
      <c r="AA134" s="55">
        <f>VLOOKUP($E134,'NI-San_SP'!$C:$AN,MID(AA$1,1,2),FALSE)</f>
        <v>0</v>
      </c>
      <c r="AB134" s="55">
        <f>VLOOKUP($E134,'NI-San_SP'!$C:$AN,MID(AB$1,1,2),FALSE)</f>
        <v>0</v>
      </c>
      <c r="AC134" s="55">
        <f>VLOOKUP($E134,'NI-San_SP'!$C:$AN,MID(AC$1,1,2),FALSE)</f>
        <v>0</v>
      </c>
      <c r="AD134" s="55">
        <f>VLOOKUP($E134,'NI-San_SP'!$C:$AN,MID(AD$1,1,2),FALSE)</f>
        <v>0</v>
      </c>
      <c r="AE134" s="55">
        <f>VLOOKUP($E134,'NI-San_SP'!$C:$AN,MID(AE$1,1,2),FALSE)</f>
        <v>0</v>
      </c>
      <c r="AF134" s="55">
        <f>VLOOKUP($E134,'NI-San_SP'!$C:$AN,MID(AF$1,1,2),FALSE)</f>
        <v>0</v>
      </c>
      <c r="AG134" s="55">
        <f>VLOOKUP($E134,'NI-San_SP'!$C:$AN,MID(AG$1,1,2),FALSE)</f>
        <v>0</v>
      </c>
      <c r="AH134" s="55">
        <f>VLOOKUP($E134,'NI-San_SP'!$C:$AN,MID(AH$1,1,2),FALSE)</f>
        <v>0</v>
      </c>
      <c r="AI134" s="55">
        <f>VLOOKUP($E134,'NI-San_SP'!$C:$AN,MID(AI$1,1,2),FALSE)</f>
        <v>0</v>
      </c>
      <c r="AJ134" s="55">
        <f>VLOOKUP($E134,'NI-San_SP'!$C:$AN,MID(AJ$1,1,2),FALSE)</f>
        <v>0</v>
      </c>
      <c r="AK134" s="55">
        <f>VLOOKUP($E134,'NI-San_SP'!$C:$AN,MID(AK$1,1,2),FALSE)</f>
        <v>0</v>
      </c>
      <c r="AL134" s="55">
        <f>VLOOKUP($E134,'NI-San_SP'!$C:$AN,MID(AL$1,1,2),FALSE)</f>
        <v>0</v>
      </c>
      <c r="AM134" s="56">
        <f>VLOOKUP($E134,'NI-San_SP'!$C:$AN,MID(AM$1,1,2),FALSE)</f>
        <v>0</v>
      </c>
      <c r="AN134" s="30" t="str">
        <f t="shared" si="2"/>
        <v>10203000000000</v>
      </c>
    </row>
    <row r="135" spans="3:40" x14ac:dyDescent="0.25">
      <c r="C135" s="40"/>
      <c r="D135" s="57" t="s">
        <v>562</v>
      </c>
      <c r="E135" s="57" t="s">
        <v>563</v>
      </c>
      <c r="F135" s="58" t="s">
        <v>110</v>
      </c>
      <c r="G135" s="52"/>
      <c r="H135" s="52"/>
      <c r="I135" s="52" t="s">
        <v>564</v>
      </c>
      <c r="J135" s="52" t="s">
        <v>564</v>
      </c>
      <c r="K135" s="59" t="s">
        <v>111</v>
      </c>
      <c r="L135" s="62" t="s">
        <v>565</v>
      </c>
      <c r="M135" s="52"/>
      <c r="N135" s="52"/>
      <c r="O135" s="52"/>
      <c r="P135" s="54" t="s">
        <v>566</v>
      </c>
      <c r="Q135" s="55">
        <f>VLOOKUP(E135,'NI-San_SP'!$C:$AN,12,FALSE)</f>
        <v>55131929</v>
      </c>
      <c r="R135" s="55">
        <f>VLOOKUP(E135,'NI-San_SP'!$C:$AN,13,FALSE)</f>
        <v>56057963</v>
      </c>
      <c r="S135" s="55"/>
      <c r="T135" s="55"/>
      <c r="U135" s="55">
        <f>VLOOKUP($E135,'NI-San_SP'!$C:$AN,MID(U$1,1,2),FALSE)</f>
        <v>0</v>
      </c>
      <c r="V135" s="55">
        <f>VLOOKUP($E135,'NI-San_SP'!$C:$AN,MID(V$1,1,2),FALSE)</f>
        <v>55131929</v>
      </c>
      <c r="W135" s="55">
        <f>VLOOKUP($E135,'NI-San_SP'!$C:$AN,MID(W$1,1,2),FALSE)</f>
        <v>0</v>
      </c>
      <c r="X135" s="55">
        <f>VLOOKUP($E135,'NI-San_SP'!$C:$AN,MID(X$1,1,2),FALSE)</f>
        <v>0</v>
      </c>
      <c r="Y135" s="55">
        <f>VLOOKUP($E135,'NI-San_SP'!$C:$AN,MID(Y$1,1,2),FALSE)</f>
        <v>0</v>
      </c>
      <c r="Z135" s="55">
        <f>VLOOKUP($E135,'NI-San_SP'!$C:$AN,MID(Z$1,1,2),FALSE)</f>
        <v>0</v>
      </c>
      <c r="AA135" s="55">
        <f>VLOOKUP($E135,'NI-San_SP'!$C:$AN,MID(AA$1,1,2),FALSE)</f>
        <v>0</v>
      </c>
      <c r="AB135" s="55">
        <f>VLOOKUP($E135,'NI-San_SP'!$C:$AN,MID(AB$1,1,2),FALSE)</f>
        <v>0</v>
      </c>
      <c r="AC135" s="55">
        <f>VLOOKUP($E135,'NI-San_SP'!$C:$AN,MID(AC$1,1,2),FALSE)</f>
        <v>0</v>
      </c>
      <c r="AD135" s="55">
        <f>VLOOKUP($E135,'NI-San_SP'!$C:$AN,MID(AD$1,1,2),FALSE)</f>
        <v>0</v>
      </c>
      <c r="AE135" s="55">
        <f>VLOOKUP($E135,'NI-San_SP'!$C:$AN,MID(AE$1,1,2),FALSE)</f>
        <v>0</v>
      </c>
      <c r="AF135" s="55">
        <f>VLOOKUP($E135,'NI-San_SP'!$C:$AN,MID(AF$1,1,2),FALSE)</f>
        <v>0</v>
      </c>
      <c r="AG135" s="55">
        <f>VLOOKUP($E135,'NI-San_SP'!$C:$AN,MID(AG$1,1,2),FALSE)</f>
        <v>1198284</v>
      </c>
      <c r="AH135" s="55">
        <f>VLOOKUP($E135,'NI-San_SP'!$C:$AN,MID(AH$1,1,2),FALSE)</f>
        <v>0</v>
      </c>
      <c r="AI135" s="55">
        <f>VLOOKUP($E135,'NI-San_SP'!$C:$AN,MID(AI$1,1,2),FALSE)</f>
        <v>272250</v>
      </c>
      <c r="AJ135" s="55">
        <f>VLOOKUP($E135,'NI-San_SP'!$C:$AN,MID(AJ$1,1,2),FALSE)</f>
        <v>0</v>
      </c>
      <c r="AK135" s="55">
        <f>VLOOKUP($E135,'NI-San_SP'!$C:$AN,MID(AK$1,1,2),FALSE)</f>
        <v>0</v>
      </c>
      <c r="AL135" s="55">
        <f>VLOOKUP($E135,'NI-San_SP'!$C:$AN,MID(AL$1,1,2),FALSE)</f>
        <v>0</v>
      </c>
      <c r="AM135" s="56">
        <f>VLOOKUP($E135,'NI-San_SP'!$C:$AN,MID(AM$1,1,2),FALSE)</f>
        <v>0</v>
      </c>
      <c r="AN135" s="30" t="str">
        <f t="shared" si="2"/>
        <v>10203010000000</v>
      </c>
    </row>
    <row r="136" spans="3:40" x14ac:dyDescent="0.25">
      <c r="C136" s="40"/>
      <c r="D136" s="57" t="s">
        <v>567</v>
      </c>
      <c r="E136" s="57" t="s">
        <v>568</v>
      </c>
      <c r="F136" s="58" t="s">
        <v>110</v>
      </c>
      <c r="G136" s="52"/>
      <c r="H136" s="52"/>
      <c r="I136" s="52"/>
      <c r="J136" s="52"/>
      <c r="K136" s="59" t="s">
        <v>79</v>
      </c>
      <c r="L136" s="52"/>
      <c r="M136" s="52"/>
      <c r="N136" s="52"/>
      <c r="O136" s="52"/>
      <c r="P136" s="63" t="s">
        <v>569</v>
      </c>
      <c r="Q136" s="55">
        <f>VLOOKUP(E136,'NI-San_SP'!$C:$AN,12,FALSE)</f>
        <v>2474536</v>
      </c>
      <c r="R136" s="55">
        <f>VLOOKUP(E136,'NI-San_SP'!$C:$AN,13,FALSE)</f>
        <v>2474536</v>
      </c>
      <c r="S136" s="55"/>
      <c r="T136" s="55"/>
      <c r="U136" s="55">
        <f>VLOOKUP($E136,'NI-San_SP'!$C:$AN,MID(U$1,1,2),FALSE)</f>
        <v>0</v>
      </c>
      <c r="V136" s="55">
        <f>VLOOKUP($E136,'NI-San_SP'!$C:$AN,MID(V$1,1,2),FALSE)</f>
        <v>2474536</v>
      </c>
      <c r="W136" s="55">
        <f>VLOOKUP($E136,'NI-San_SP'!$C:$AN,MID(W$1,1,2),FALSE)</f>
        <v>0</v>
      </c>
      <c r="X136" s="55">
        <f>VLOOKUP($E136,'NI-San_SP'!$C:$AN,MID(X$1,1,2),FALSE)</f>
        <v>0</v>
      </c>
      <c r="Y136" s="55">
        <f>VLOOKUP($E136,'NI-San_SP'!$C:$AN,MID(Y$1,1,2),FALSE)</f>
        <v>0</v>
      </c>
      <c r="Z136" s="55">
        <f>VLOOKUP($E136,'NI-San_SP'!$C:$AN,MID(Z$1,1,2),FALSE)</f>
        <v>0</v>
      </c>
      <c r="AA136" s="55">
        <f>VLOOKUP($E136,'NI-San_SP'!$C:$AN,MID(AA$1,1,2),FALSE)</f>
        <v>0</v>
      </c>
      <c r="AB136" s="55">
        <f>VLOOKUP($E136,'NI-San_SP'!$C:$AN,MID(AB$1,1,2),FALSE)</f>
        <v>0</v>
      </c>
      <c r="AC136" s="55">
        <f>VLOOKUP($E136,'NI-San_SP'!$C:$AN,MID(AC$1,1,2),FALSE)</f>
        <v>0</v>
      </c>
      <c r="AD136" s="55">
        <f>VLOOKUP($E136,'NI-San_SP'!$C:$AN,MID(AD$1,1,2),FALSE)</f>
        <v>0</v>
      </c>
      <c r="AE136" s="55">
        <f>VLOOKUP($E136,'NI-San_SP'!$C:$AN,MID(AE$1,1,2),FALSE)</f>
        <v>0</v>
      </c>
      <c r="AF136" s="55">
        <f>VLOOKUP($E136,'NI-San_SP'!$C:$AN,MID(AF$1,1,2),FALSE)</f>
        <v>0</v>
      </c>
      <c r="AG136" s="55">
        <f>VLOOKUP($E136,'NI-San_SP'!$C:$AN,MID(AG$1,1,2),FALSE)</f>
        <v>0</v>
      </c>
      <c r="AH136" s="55">
        <f>VLOOKUP($E136,'NI-San_SP'!$C:$AN,MID(AH$1,1,2),FALSE)</f>
        <v>0</v>
      </c>
      <c r="AI136" s="55">
        <f>VLOOKUP($E136,'NI-San_SP'!$C:$AN,MID(AI$1,1,2),FALSE)</f>
        <v>0</v>
      </c>
      <c r="AJ136" s="55">
        <f>VLOOKUP($E136,'NI-San_SP'!$C:$AN,MID(AJ$1,1,2),FALSE)</f>
        <v>0</v>
      </c>
      <c r="AK136" s="55">
        <f>VLOOKUP($E136,'NI-San_SP'!$C:$AN,MID(AK$1,1,2),FALSE)</f>
        <v>0</v>
      </c>
      <c r="AL136" s="55">
        <f>VLOOKUP($E136,'NI-San_SP'!$C:$AN,MID(AL$1,1,2),FALSE)</f>
        <v>0</v>
      </c>
      <c r="AM136" s="56">
        <f>VLOOKUP($E136,'NI-San_SP'!$C:$AN,MID(AM$1,1,2),FALSE)</f>
        <v>0</v>
      </c>
      <c r="AN136" s="30" t="str">
        <f t="shared" si="2"/>
        <v>10203010010010</v>
      </c>
    </row>
    <row r="137" spans="3:40" x14ac:dyDescent="0.25">
      <c r="C137" s="40"/>
      <c r="D137" s="57" t="s">
        <v>570</v>
      </c>
      <c r="E137" s="57" t="s">
        <v>571</v>
      </c>
      <c r="F137" s="58" t="s">
        <v>110</v>
      </c>
      <c r="G137" s="52"/>
      <c r="H137" s="52"/>
      <c r="I137" s="52"/>
      <c r="J137" s="52"/>
      <c r="K137" s="59" t="s">
        <v>79</v>
      </c>
      <c r="L137" s="52"/>
      <c r="M137" s="52"/>
      <c r="N137" s="52"/>
      <c r="O137" s="52"/>
      <c r="P137" s="63" t="s">
        <v>572</v>
      </c>
      <c r="Q137" s="55">
        <f>VLOOKUP(E137,'NI-San_SP'!$C:$AN,12,FALSE)</f>
        <v>18659336</v>
      </c>
      <c r="R137" s="55">
        <f>VLOOKUP(E137,'NI-San_SP'!$C:$AN,13,FALSE)</f>
        <v>18654338</v>
      </c>
      <c r="S137" s="55"/>
      <c r="T137" s="55"/>
      <c r="U137" s="55">
        <f>VLOOKUP($E137,'NI-San_SP'!$C:$AN,MID(U$1,1,2),FALSE)</f>
        <v>0</v>
      </c>
      <c r="V137" s="55">
        <f>VLOOKUP($E137,'NI-San_SP'!$C:$AN,MID(V$1,1,2),FALSE)</f>
        <v>18659336</v>
      </c>
      <c r="W137" s="55">
        <f>VLOOKUP($E137,'NI-San_SP'!$C:$AN,MID(W$1,1,2),FALSE)</f>
        <v>0</v>
      </c>
      <c r="X137" s="55">
        <f>VLOOKUP($E137,'NI-San_SP'!$C:$AN,MID(X$1,1,2),FALSE)</f>
        <v>0</v>
      </c>
      <c r="Y137" s="55">
        <f>VLOOKUP($E137,'NI-San_SP'!$C:$AN,MID(Y$1,1,2),FALSE)</f>
        <v>0</v>
      </c>
      <c r="Z137" s="55">
        <f>VLOOKUP($E137,'NI-San_SP'!$C:$AN,MID(Z$1,1,2),FALSE)</f>
        <v>0</v>
      </c>
      <c r="AA137" s="55">
        <f>VLOOKUP($E137,'NI-San_SP'!$C:$AN,MID(AA$1,1,2),FALSE)</f>
        <v>0</v>
      </c>
      <c r="AB137" s="55">
        <f>VLOOKUP($E137,'NI-San_SP'!$C:$AN,MID(AB$1,1,2),FALSE)</f>
        <v>0</v>
      </c>
      <c r="AC137" s="55">
        <f>VLOOKUP($E137,'NI-San_SP'!$C:$AN,MID(AC$1,1,2),FALSE)</f>
        <v>0</v>
      </c>
      <c r="AD137" s="55">
        <f>VLOOKUP($E137,'NI-San_SP'!$C:$AN,MID(AD$1,1,2),FALSE)</f>
        <v>0</v>
      </c>
      <c r="AE137" s="55">
        <f>VLOOKUP($E137,'NI-San_SP'!$C:$AN,MID(AE$1,1,2),FALSE)</f>
        <v>0</v>
      </c>
      <c r="AF137" s="55">
        <f>VLOOKUP($E137,'NI-San_SP'!$C:$AN,MID(AF$1,1,2),FALSE)</f>
        <v>0</v>
      </c>
      <c r="AG137" s="55">
        <f>VLOOKUP($E137,'NI-San_SP'!$C:$AN,MID(AG$1,1,2),FALSE)</f>
        <v>267252</v>
      </c>
      <c r="AH137" s="55">
        <f>VLOOKUP($E137,'NI-San_SP'!$C:$AN,MID(AH$1,1,2),FALSE)</f>
        <v>0</v>
      </c>
      <c r="AI137" s="55">
        <f>VLOOKUP($E137,'NI-San_SP'!$C:$AN,MID(AI$1,1,2),FALSE)</f>
        <v>272250</v>
      </c>
      <c r="AJ137" s="55">
        <f>VLOOKUP($E137,'NI-San_SP'!$C:$AN,MID(AJ$1,1,2),FALSE)</f>
        <v>0</v>
      </c>
      <c r="AK137" s="55">
        <f>VLOOKUP($E137,'NI-San_SP'!$C:$AN,MID(AK$1,1,2),FALSE)</f>
        <v>0</v>
      </c>
      <c r="AL137" s="55">
        <f>VLOOKUP($E137,'NI-San_SP'!$C:$AN,MID(AL$1,1,2),FALSE)</f>
        <v>0</v>
      </c>
      <c r="AM137" s="56">
        <f>VLOOKUP($E137,'NI-San_SP'!$C:$AN,MID(AM$1,1,2),FALSE)</f>
        <v>0</v>
      </c>
      <c r="AN137" s="30" t="str">
        <f t="shared" si="2"/>
        <v>10203010010020</v>
      </c>
    </row>
    <row r="138" spans="3:40" x14ac:dyDescent="0.25">
      <c r="C138" s="40"/>
      <c r="D138" s="57" t="s">
        <v>573</v>
      </c>
      <c r="E138" s="57" t="s">
        <v>574</v>
      </c>
      <c r="F138" s="58" t="s">
        <v>110</v>
      </c>
      <c r="G138" s="52"/>
      <c r="H138" s="52"/>
      <c r="I138" s="52"/>
      <c r="J138" s="52"/>
      <c r="K138" s="59" t="s">
        <v>79</v>
      </c>
      <c r="L138" s="52"/>
      <c r="M138" s="52"/>
      <c r="N138" s="52"/>
      <c r="O138" s="52"/>
      <c r="P138" s="63" t="s">
        <v>575</v>
      </c>
      <c r="Q138" s="55">
        <f>VLOOKUP(E138,'NI-San_SP'!$C:$AN,12,FALSE)</f>
        <v>10101311</v>
      </c>
      <c r="R138" s="55">
        <f>VLOOKUP(E138,'NI-San_SP'!$C:$AN,13,FALSE)</f>
        <v>10101311</v>
      </c>
      <c r="S138" s="55"/>
      <c r="T138" s="55"/>
      <c r="U138" s="55">
        <f>VLOOKUP($E138,'NI-San_SP'!$C:$AN,MID(U$1,1,2),FALSE)</f>
        <v>0</v>
      </c>
      <c r="V138" s="55">
        <f>VLOOKUP($E138,'NI-San_SP'!$C:$AN,MID(V$1,1,2),FALSE)</f>
        <v>10101311</v>
      </c>
      <c r="W138" s="55">
        <f>VLOOKUP($E138,'NI-San_SP'!$C:$AN,MID(W$1,1,2),FALSE)</f>
        <v>0</v>
      </c>
      <c r="X138" s="55">
        <f>VLOOKUP($E138,'NI-San_SP'!$C:$AN,MID(X$1,1,2),FALSE)</f>
        <v>0</v>
      </c>
      <c r="Y138" s="55">
        <f>VLOOKUP($E138,'NI-San_SP'!$C:$AN,MID(Y$1,1,2),FALSE)</f>
        <v>0</v>
      </c>
      <c r="Z138" s="55">
        <f>VLOOKUP($E138,'NI-San_SP'!$C:$AN,MID(Z$1,1,2),FALSE)</f>
        <v>0</v>
      </c>
      <c r="AA138" s="55">
        <f>VLOOKUP($E138,'NI-San_SP'!$C:$AN,MID(AA$1,1,2),FALSE)</f>
        <v>0</v>
      </c>
      <c r="AB138" s="55">
        <f>VLOOKUP($E138,'NI-San_SP'!$C:$AN,MID(AB$1,1,2),FALSE)</f>
        <v>0</v>
      </c>
      <c r="AC138" s="55">
        <f>VLOOKUP($E138,'NI-San_SP'!$C:$AN,MID(AC$1,1,2),FALSE)</f>
        <v>0</v>
      </c>
      <c r="AD138" s="55">
        <f>VLOOKUP($E138,'NI-San_SP'!$C:$AN,MID(AD$1,1,2),FALSE)</f>
        <v>0</v>
      </c>
      <c r="AE138" s="55">
        <f>VLOOKUP($E138,'NI-San_SP'!$C:$AN,MID(AE$1,1,2),FALSE)</f>
        <v>0</v>
      </c>
      <c r="AF138" s="55">
        <f>VLOOKUP($E138,'NI-San_SP'!$C:$AN,MID(AF$1,1,2),FALSE)</f>
        <v>0</v>
      </c>
      <c r="AG138" s="55">
        <f>VLOOKUP($E138,'NI-San_SP'!$C:$AN,MID(AG$1,1,2),FALSE)</f>
        <v>0</v>
      </c>
      <c r="AH138" s="55">
        <f>VLOOKUP($E138,'NI-San_SP'!$C:$AN,MID(AH$1,1,2),FALSE)</f>
        <v>0</v>
      </c>
      <c r="AI138" s="55">
        <f>VLOOKUP($E138,'NI-San_SP'!$C:$AN,MID(AI$1,1,2),FALSE)</f>
        <v>0</v>
      </c>
      <c r="AJ138" s="55">
        <f>VLOOKUP($E138,'NI-San_SP'!$C:$AN,MID(AJ$1,1,2),FALSE)</f>
        <v>0</v>
      </c>
      <c r="AK138" s="55">
        <f>VLOOKUP($E138,'NI-San_SP'!$C:$AN,MID(AK$1,1,2),FALSE)</f>
        <v>0</v>
      </c>
      <c r="AL138" s="55">
        <f>VLOOKUP($E138,'NI-San_SP'!$C:$AN,MID(AL$1,1,2),FALSE)</f>
        <v>0</v>
      </c>
      <c r="AM138" s="56">
        <f>VLOOKUP($E138,'NI-San_SP'!$C:$AN,MID(AM$1,1,2),FALSE)</f>
        <v>0</v>
      </c>
      <c r="AN138" s="30" t="str">
        <f t="shared" si="2"/>
        <v>10203010020010</v>
      </c>
    </row>
    <row r="139" spans="3:40" x14ac:dyDescent="0.25">
      <c r="C139" s="40"/>
      <c r="D139" s="57" t="s">
        <v>576</v>
      </c>
      <c r="E139" s="57" t="s">
        <v>577</v>
      </c>
      <c r="F139" s="58" t="s">
        <v>110</v>
      </c>
      <c r="G139" s="52"/>
      <c r="H139" s="52"/>
      <c r="I139" s="52"/>
      <c r="J139" s="52"/>
      <c r="K139" s="59" t="s">
        <v>79</v>
      </c>
      <c r="L139" s="52"/>
      <c r="M139" s="52"/>
      <c r="N139" s="52"/>
      <c r="O139" s="52"/>
      <c r="P139" s="63" t="s">
        <v>578</v>
      </c>
      <c r="Q139" s="55">
        <f>VLOOKUP(E139,'NI-San_SP'!$C:$AN,12,FALSE)</f>
        <v>7600499</v>
      </c>
      <c r="R139" s="55">
        <f>VLOOKUP(E139,'NI-San_SP'!$C:$AN,13,FALSE)</f>
        <v>8479915</v>
      </c>
      <c r="S139" s="55"/>
      <c r="T139" s="55"/>
      <c r="U139" s="55">
        <f>VLOOKUP($E139,'NI-San_SP'!$C:$AN,MID(U$1,1,2),FALSE)</f>
        <v>0</v>
      </c>
      <c r="V139" s="55">
        <f>VLOOKUP($E139,'NI-San_SP'!$C:$AN,MID(V$1,1,2),FALSE)</f>
        <v>7600499</v>
      </c>
      <c r="W139" s="55">
        <f>VLOOKUP($E139,'NI-San_SP'!$C:$AN,MID(W$1,1,2),FALSE)</f>
        <v>0</v>
      </c>
      <c r="X139" s="55">
        <f>VLOOKUP($E139,'NI-San_SP'!$C:$AN,MID(X$1,1,2),FALSE)</f>
        <v>0</v>
      </c>
      <c r="Y139" s="55">
        <f>VLOOKUP($E139,'NI-San_SP'!$C:$AN,MID(Y$1,1,2),FALSE)</f>
        <v>0</v>
      </c>
      <c r="Z139" s="55">
        <f>VLOOKUP($E139,'NI-San_SP'!$C:$AN,MID(Z$1,1,2),FALSE)</f>
        <v>0</v>
      </c>
      <c r="AA139" s="55">
        <f>VLOOKUP($E139,'NI-San_SP'!$C:$AN,MID(AA$1,1,2),FALSE)</f>
        <v>0</v>
      </c>
      <c r="AB139" s="55">
        <f>VLOOKUP($E139,'NI-San_SP'!$C:$AN,MID(AB$1,1,2),FALSE)</f>
        <v>0</v>
      </c>
      <c r="AC139" s="55">
        <f>VLOOKUP($E139,'NI-San_SP'!$C:$AN,MID(AC$1,1,2),FALSE)</f>
        <v>0</v>
      </c>
      <c r="AD139" s="55">
        <f>VLOOKUP($E139,'NI-San_SP'!$C:$AN,MID(AD$1,1,2),FALSE)</f>
        <v>0</v>
      </c>
      <c r="AE139" s="55">
        <f>VLOOKUP($E139,'NI-San_SP'!$C:$AN,MID(AE$1,1,2),FALSE)</f>
        <v>0</v>
      </c>
      <c r="AF139" s="55">
        <f>VLOOKUP($E139,'NI-San_SP'!$C:$AN,MID(AF$1,1,2),FALSE)</f>
        <v>0</v>
      </c>
      <c r="AG139" s="55">
        <f>VLOOKUP($E139,'NI-San_SP'!$C:$AN,MID(AG$1,1,2),FALSE)</f>
        <v>879416</v>
      </c>
      <c r="AH139" s="55">
        <f>VLOOKUP($E139,'NI-San_SP'!$C:$AN,MID(AH$1,1,2),FALSE)</f>
        <v>0</v>
      </c>
      <c r="AI139" s="55">
        <f>VLOOKUP($E139,'NI-San_SP'!$C:$AN,MID(AI$1,1,2),FALSE)</f>
        <v>0</v>
      </c>
      <c r="AJ139" s="55">
        <f>VLOOKUP($E139,'NI-San_SP'!$C:$AN,MID(AJ$1,1,2),FALSE)</f>
        <v>0</v>
      </c>
      <c r="AK139" s="55">
        <f>VLOOKUP($E139,'NI-San_SP'!$C:$AN,MID(AK$1,1,2),FALSE)</f>
        <v>0</v>
      </c>
      <c r="AL139" s="55">
        <f>VLOOKUP($E139,'NI-San_SP'!$C:$AN,MID(AL$1,1,2),FALSE)</f>
        <v>0</v>
      </c>
      <c r="AM139" s="56">
        <f>VLOOKUP($E139,'NI-San_SP'!$C:$AN,MID(AM$1,1,2),FALSE)</f>
        <v>0</v>
      </c>
      <c r="AN139" s="30" t="str">
        <f t="shared" si="2"/>
        <v>10203010020020</v>
      </c>
    </row>
    <row r="140" spans="3:40" x14ac:dyDescent="0.25">
      <c r="C140" s="40"/>
      <c r="D140" s="57" t="s">
        <v>579</v>
      </c>
      <c r="E140" s="57" t="s">
        <v>580</v>
      </c>
      <c r="F140" s="58" t="s">
        <v>110</v>
      </c>
      <c r="G140" s="52"/>
      <c r="H140" s="52"/>
      <c r="I140" s="52"/>
      <c r="J140" s="52"/>
      <c r="K140" s="59" t="s">
        <v>79</v>
      </c>
      <c r="L140" s="52"/>
      <c r="M140" s="52"/>
      <c r="N140" s="52"/>
      <c r="O140" s="52"/>
      <c r="P140" s="63" t="s">
        <v>581</v>
      </c>
      <c r="Q140" s="55">
        <f>VLOOKUP(E140,'NI-San_SP'!$C:$AN,12,FALSE)</f>
        <v>501864</v>
      </c>
      <c r="R140" s="55">
        <f>VLOOKUP(E140,'NI-San_SP'!$C:$AN,13,FALSE)</f>
        <v>501864</v>
      </c>
      <c r="S140" s="55"/>
      <c r="T140" s="55"/>
      <c r="U140" s="55">
        <f>VLOOKUP($E140,'NI-San_SP'!$C:$AN,MID(U$1,1,2),FALSE)</f>
        <v>0</v>
      </c>
      <c r="V140" s="55">
        <f>VLOOKUP($E140,'NI-San_SP'!$C:$AN,MID(V$1,1,2),FALSE)</f>
        <v>501864</v>
      </c>
      <c r="W140" s="55">
        <f>VLOOKUP($E140,'NI-San_SP'!$C:$AN,MID(W$1,1,2),FALSE)</f>
        <v>0</v>
      </c>
      <c r="X140" s="55">
        <f>VLOOKUP($E140,'NI-San_SP'!$C:$AN,MID(X$1,1,2),FALSE)</f>
        <v>0</v>
      </c>
      <c r="Y140" s="55">
        <f>VLOOKUP($E140,'NI-San_SP'!$C:$AN,MID(Y$1,1,2),FALSE)</f>
        <v>0</v>
      </c>
      <c r="Z140" s="55">
        <f>VLOOKUP($E140,'NI-San_SP'!$C:$AN,MID(Z$1,1,2),FALSE)</f>
        <v>0</v>
      </c>
      <c r="AA140" s="55">
        <f>VLOOKUP($E140,'NI-San_SP'!$C:$AN,MID(AA$1,1,2),FALSE)</f>
        <v>0</v>
      </c>
      <c r="AB140" s="55">
        <f>VLOOKUP($E140,'NI-San_SP'!$C:$AN,MID(AB$1,1,2),FALSE)</f>
        <v>0</v>
      </c>
      <c r="AC140" s="55">
        <f>VLOOKUP($E140,'NI-San_SP'!$C:$AN,MID(AC$1,1,2),FALSE)</f>
        <v>0</v>
      </c>
      <c r="AD140" s="55">
        <f>VLOOKUP($E140,'NI-San_SP'!$C:$AN,MID(AD$1,1,2),FALSE)</f>
        <v>0</v>
      </c>
      <c r="AE140" s="55">
        <f>VLOOKUP($E140,'NI-San_SP'!$C:$AN,MID(AE$1,1,2),FALSE)</f>
        <v>0</v>
      </c>
      <c r="AF140" s="55">
        <f>VLOOKUP($E140,'NI-San_SP'!$C:$AN,MID(AF$1,1,2),FALSE)</f>
        <v>0</v>
      </c>
      <c r="AG140" s="55">
        <f>VLOOKUP($E140,'NI-San_SP'!$C:$AN,MID(AG$1,1,2),FALSE)</f>
        <v>0</v>
      </c>
      <c r="AH140" s="55">
        <f>VLOOKUP($E140,'NI-San_SP'!$C:$AN,MID(AH$1,1,2),FALSE)</f>
        <v>0</v>
      </c>
      <c r="AI140" s="55">
        <f>VLOOKUP($E140,'NI-San_SP'!$C:$AN,MID(AI$1,1,2),FALSE)</f>
        <v>0</v>
      </c>
      <c r="AJ140" s="55">
        <f>VLOOKUP($E140,'NI-San_SP'!$C:$AN,MID(AJ$1,1,2),FALSE)</f>
        <v>0</v>
      </c>
      <c r="AK140" s="55">
        <f>VLOOKUP($E140,'NI-San_SP'!$C:$AN,MID(AK$1,1,2),FALSE)</f>
        <v>0</v>
      </c>
      <c r="AL140" s="55">
        <f>VLOOKUP($E140,'NI-San_SP'!$C:$AN,MID(AL$1,1,2),FALSE)</f>
        <v>0</v>
      </c>
      <c r="AM140" s="56">
        <f>VLOOKUP($E140,'NI-San_SP'!$C:$AN,MID(AM$1,1,2),FALSE)</f>
        <v>0</v>
      </c>
      <c r="AN140" s="30" t="str">
        <f t="shared" si="2"/>
        <v>10203010030010</v>
      </c>
    </row>
    <row r="141" spans="3:40" x14ac:dyDescent="0.25">
      <c r="C141" s="40"/>
      <c r="D141" s="57" t="s">
        <v>582</v>
      </c>
      <c r="E141" s="57" t="s">
        <v>583</v>
      </c>
      <c r="F141" s="58" t="s">
        <v>110</v>
      </c>
      <c r="G141" s="52"/>
      <c r="H141" s="52"/>
      <c r="I141" s="52"/>
      <c r="J141" s="52"/>
      <c r="K141" s="59" t="s">
        <v>79</v>
      </c>
      <c r="L141" s="52"/>
      <c r="M141" s="52"/>
      <c r="N141" s="52"/>
      <c r="O141" s="52"/>
      <c r="P141" s="63" t="s">
        <v>584</v>
      </c>
      <c r="Q141" s="55">
        <f>VLOOKUP(E141,'NI-San_SP'!$C:$AN,12,FALSE)</f>
        <v>64143</v>
      </c>
      <c r="R141" s="55">
        <f>VLOOKUP(E141,'NI-San_SP'!$C:$AN,13,FALSE)</f>
        <v>112333</v>
      </c>
      <c r="S141" s="55"/>
      <c r="T141" s="55"/>
      <c r="U141" s="55">
        <f>VLOOKUP($E141,'NI-San_SP'!$C:$AN,MID(U$1,1,2),FALSE)</f>
        <v>0</v>
      </c>
      <c r="V141" s="55">
        <f>VLOOKUP($E141,'NI-San_SP'!$C:$AN,MID(V$1,1,2),FALSE)</f>
        <v>64143</v>
      </c>
      <c r="W141" s="55">
        <f>VLOOKUP($E141,'NI-San_SP'!$C:$AN,MID(W$1,1,2),FALSE)</f>
        <v>0</v>
      </c>
      <c r="X141" s="55">
        <f>VLOOKUP($E141,'NI-San_SP'!$C:$AN,MID(X$1,1,2),FALSE)</f>
        <v>0</v>
      </c>
      <c r="Y141" s="55">
        <f>VLOOKUP($E141,'NI-San_SP'!$C:$AN,MID(Y$1,1,2),FALSE)</f>
        <v>0</v>
      </c>
      <c r="Z141" s="55">
        <f>VLOOKUP($E141,'NI-San_SP'!$C:$AN,MID(Z$1,1,2),FALSE)</f>
        <v>0</v>
      </c>
      <c r="AA141" s="55">
        <f>VLOOKUP($E141,'NI-San_SP'!$C:$AN,MID(AA$1,1,2),FALSE)</f>
        <v>0</v>
      </c>
      <c r="AB141" s="55">
        <f>VLOOKUP($E141,'NI-San_SP'!$C:$AN,MID(AB$1,1,2),FALSE)</f>
        <v>0</v>
      </c>
      <c r="AC141" s="55">
        <f>VLOOKUP($E141,'NI-San_SP'!$C:$AN,MID(AC$1,1,2),FALSE)</f>
        <v>0</v>
      </c>
      <c r="AD141" s="55">
        <f>VLOOKUP($E141,'NI-San_SP'!$C:$AN,MID(AD$1,1,2),FALSE)</f>
        <v>0</v>
      </c>
      <c r="AE141" s="55">
        <f>VLOOKUP($E141,'NI-San_SP'!$C:$AN,MID(AE$1,1,2),FALSE)</f>
        <v>0</v>
      </c>
      <c r="AF141" s="55">
        <f>VLOOKUP($E141,'NI-San_SP'!$C:$AN,MID(AF$1,1,2),FALSE)</f>
        <v>0</v>
      </c>
      <c r="AG141" s="55">
        <f>VLOOKUP($E141,'NI-San_SP'!$C:$AN,MID(AG$1,1,2),FALSE)</f>
        <v>48190</v>
      </c>
      <c r="AH141" s="55">
        <f>VLOOKUP($E141,'NI-San_SP'!$C:$AN,MID(AH$1,1,2),FALSE)</f>
        <v>0</v>
      </c>
      <c r="AI141" s="55">
        <f>VLOOKUP($E141,'NI-San_SP'!$C:$AN,MID(AI$1,1,2),FALSE)</f>
        <v>0</v>
      </c>
      <c r="AJ141" s="55">
        <f>VLOOKUP($E141,'NI-San_SP'!$C:$AN,MID(AJ$1,1,2),FALSE)</f>
        <v>0</v>
      </c>
      <c r="AK141" s="55">
        <f>VLOOKUP($E141,'NI-San_SP'!$C:$AN,MID(AK$1,1,2),FALSE)</f>
        <v>0</v>
      </c>
      <c r="AL141" s="55">
        <f>VLOOKUP($E141,'NI-San_SP'!$C:$AN,MID(AL$1,1,2),FALSE)</f>
        <v>0</v>
      </c>
      <c r="AM141" s="56">
        <f>VLOOKUP($E141,'NI-San_SP'!$C:$AN,MID(AM$1,1,2),FALSE)</f>
        <v>0</v>
      </c>
      <c r="AN141" s="30" t="str">
        <f t="shared" si="2"/>
        <v>10203010030020</v>
      </c>
    </row>
    <row r="142" spans="3:40" x14ac:dyDescent="0.25">
      <c r="C142" s="40"/>
      <c r="D142" s="57" t="s">
        <v>585</v>
      </c>
      <c r="E142" s="57" t="s">
        <v>586</v>
      </c>
      <c r="F142" s="58" t="s">
        <v>110</v>
      </c>
      <c r="G142" s="52"/>
      <c r="H142" s="52"/>
      <c r="I142" s="52"/>
      <c r="J142" s="52"/>
      <c r="K142" s="59" t="s">
        <v>79</v>
      </c>
      <c r="L142" s="52"/>
      <c r="M142" s="52"/>
      <c r="N142" s="52"/>
      <c r="O142" s="52"/>
      <c r="P142" s="63" t="s">
        <v>587</v>
      </c>
      <c r="Q142" s="55">
        <f>VLOOKUP(E142,'NI-San_SP'!$C:$AN,12,FALSE)</f>
        <v>667936</v>
      </c>
      <c r="R142" s="55">
        <f>VLOOKUP(E142,'NI-San_SP'!$C:$AN,13,FALSE)</f>
        <v>667936</v>
      </c>
      <c r="S142" s="55"/>
      <c r="T142" s="55"/>
      <c r="U142" s="55">
        <f>VLOOKUP($E142,'NI-San_SP'!$C:$AN,MID(U$1,1,2),FALSE)</f>
        <v>0</v>
      </c>
      <c r="V142" s="55">
        <f>VLOOKUP($E142,'NI-San_SP'!$C:$AN,MID(V$1,1,2),FALSE)</f>
        <v>667936</v>
      </c>
      <c r="W142" s="55">
        <f>VLOOKUP($E142,'NI-San_SP'!$C:$AN,MID(W$1,1,2),FALSE)</f>
        <v>0</v>
      </c>
      <c r="X142" s="55">
        <f>VLOOKUP($E142,'NI-San_SP'!$C:$AN,MID(X$1,1,2),FALSE)</f>
        <v>0</v>
      </c>
      <c r="Y142" s="55">
        <f>VLOOKUP($E142,'NI-San_SP'!$C:$AN,MID(Y$1,1,2),FALSE)</f>
        <v>0</v>
      </c>
      <c r="Z142" s="55">
        <f>VLOOKUP($E142,'NI-San_SP'!$C:$AN,MID(Z$1,1,2),FALSE)</f>
        <v>0</v>
      </c>
      <c r="AA142" s="55">
        <f>VLOOKUP($E142,'NI-San_SP'!$C:$AN,MID(AA$1,1,2),FALSE)</f>
        <v>0</v>
      </c>
      <c r="AB142" s="55">
        <f>VLOOKUP($E142,'NI-San_SP'!$C:$AN,MID(AB$1,1,2),FALSE)</f>
        <v>0</v>
      </c>
      <c r="AC142" s="55">
        <f>VLOOKUP($E142,'NI-San_SP'!$C:$AN,MID(AC$1,1,2),FALSE)</f>
        <v>0</v>
      </c>
      <c r="AD142" s="55">
        <f>VLOOKUP($E142,'NI-San_SP'!$C:$AN,MID(AD$1,1,2),FALSE)</f>
        <v>0</v>
      </c>
      <c r="AE142" s="55">
        <f>VLOOKUP($E142,'NI-San_SP'!$C:$AN,MID(AE$1,1,2),FALSE)</f>
        <v>0</v>
      </c>
      <c r="AF142" s="55">
        <f>VLOOKUP($E142,'NI-San_SP'!$C:$AN,MID(AF$1,1,2),FALSE)</f>
        <v>0</v>
      </c>
      <c r="AG142" s="55">
        <f>VLOOKUP($E142,'NI-San_SP'!$C:$AN,MID(AG$1,1,2),FALSE)</f>
        <v>0</v>
      </c>
      <c r="AH142" s="55">
        <f>VLOOKUP($E142,'NI-San_SP'!$C:$AN,MID(AH$1,1,2),FALSE)</f>
        <v>0</v>
      </c>
      <c r="AI142" s="55">
        <f>VLOOKUP($E142,'NI-San_SP'!$C:$AN,MID(AI$1,1,2),FALSE)</f>
        <v>0</v>
      </c>
      <c r="AJ142" s="55">
        <f>VLOOKUP($E142,'NI-San_SP'!$C:$AN,MID(AJ$1,1,2),FALSE)</f>
        <v>0</v>
      </c>
      <c r="AK142" s="55">
        <f>VLOOKUP($E142,'NI-San_SP'!$C:$AN,MID(AK$1,1,2),FALSE)</f>
        <v>0</v>
      </c>
      <c r="AL142" s="55">
        <f>VLOOKUP($E142,'NI-San_SP'!$C:$AN,MID(AL$1,1,2),FALSE)</f>
        <v>0</v>
      </c>
      <c r="AM142" s="56">
        <f>VLOOKUP($E142,'NI-San_SP'!$C:$AN,MID(AM$1,1,2),FALSE)</f>
        <v>0</v>
      </c>
      <c r="AN142" s="30" t="str">
        <f t="shared" si="2"/>
        <v>10203010040010</v>
      </c>
    </row>
    <row r="143" spans="3:40" x14ac:dyDescent="0.25">
      <c r="C143" s="40"/>
      <c r="D143" s="57" t="s">
        <v>588</v>
      </c>
      <c r="E143" s="57" t="s">
        <v>589</v>
      </c>
      <c r="F143" s="58" t="s">
        <v>110</v>
      </c>
      <c r="G143" s="52"/>
      <c r="H143" s="52"/>
      <c r="I143" s="52"/>
      <c r="J143" s="52"/>
      <c r="K143" s="59" t="s">
        <v>79</v>
      </c>
      <c r="L143" s="52"/>
      <c r="M143" s="52"/>
      <c r="N143" s="52"/>
      <c r="O143" s="52"/>
      <c r="P143" s="63" t="s">
        <v>590</v>
      </c>
      <c r="Q143" s="55">
        <f>VLOOKUP(E143,'NI-San_SP'!$C:$AN,12,FALSE)</f>
        <v>448563</v>
      </c>
      <c r="R143" s="55">
        <f>VLOOKUP(E143,'NI-San_SP'!$C:$AN,13,FALSE)</f>
        <v>451989</v>
      </c>
      <c r="S143" s="55"/>
      <c r="T143" s="55"/>
      <c r="U143" s="55">
        <f>VLOOKUP($E143,'NI-San_SP'!$C:$AN,MID(U$1,1,2),FALSE)</f>
        <v>0</v>
      </c>
      <c r="V143" s="55">
        <f>VLOOKUP($E143,'NI-San_SP'!$C:$AN,MID(V$1,1,2),FALSE)</f>
        <v>448563</v>
      </c>
      <c r="W143" s="55">
        <f>VLOOKUP($E143,'NI-San_SP'!$C:$AN,MID(W$1,1,2),FALSE)</f>
        <v>0</v>
      </c>
      <c r="X143" s="55">
        <f>VLOOKUP($E143,'NI-San_SP'!$C:$AN,MID(X$1,1,2),FALSE)</f>
        <v>0</v>
      </c>
      <c r="Y143" s="55">
        <f>VLOOKUP($E143,'NI-San_SP'!$C:$AN,MID(Y$1,1,2),FALSE)</f>
        <v>0</v>
      </c>
      <c r="Z143" s="55">
        <f>VLOOKUP($E143,'NI-San_SP'!$C:$AN,MID(Z$1,1,2),FALSE)</f>
        <v>0</v>
      </c>
      <c r="AA143" s="55">
        <f>VLOOKUP($E143,'NI-San_SP'!$C:$AN,MID(AA$1,1,2),FALSE)</f>
        <v>0</v>
      </c>
      <c r="AB143" s="55">
        <f>VLOOKUP($E143,'NI-San_SP'!$C:$AN,MID(AB$1,1,2),FALSE)</f>
        <v>0</v>
      </c>
      <c r="AC143" s="55">
        <f>VLOOKUP($E143,'NI-San_SP'!$C:$AN,MID(AC$1,1,2),FALSE)</f>
        <v>0</v>
      </c>
      <c r="AD143" s="55">
        <f>VLOOKUP($E143,'NI-San_SP'!$C:$AN,MID(AD$1,1,2),FALSE)</f>
        <v>0</v>
      </c>
      <c r="AE143" s="55">
        <f>VLOOKUP($E143,'NI-San_SP'!$C:$AN,MID(AE$1,1,2),FALSE)</f>
        <v>0</v>
      </c>
      <c r="AF143" s="55">
        <f>VLOOKUP($E143,'NI-San_SP'!$C:$AN,MID(AF$1,1,2),FALSE)</f>
        <v>0</v>
      </c>
      <c r="AG143" s="55">
        <f>VLOOKUP($E143,'NI-San_SP'!$C:$AN,MID(AG$1,1,2),FALSE)</f>
        <v>3426</v>
      </c>
      <c r="AH143" s="55">
        <f>VLOOKUP($E143,'NI-San_SP'!$C:$AN,MID(AH$1,1,2),FALSE)</f>
        <v>0</v>
      </c>
      <c r="AI143" s="55">
        <f>VLOOKUP($E143,'NI-San_SP'!$C:$AN,MID(AI$1,1,2),FALSE)</f>
        <v>0</v>
      </c>
      <c r="AJ143" s="55">
        <f>VLOOKUP($E143,'NI-San_SP'!$C:$AN,MID(AJ$1,1,2),FALSE)</f>
        <v>0</v>
      </c>
      <c r="AK143" s="55">
        <f>VLOOKUP($E143,'NI-San_SP'!$C:$AN,MID(AK$1,1,2),FALSE)</f>
        <v>0</v>
      </c>
      <c r="AL143" s="55">
        <f>VLOOKUP($E143,'NI-San_SP'!$C:$AN,MID(AL$1,1,2),FALSE)</f>
        <v>0</v>
      </c>
      <c r="AM143" s="56">
        <f>VLOOKUP($E143,'NI-San_SP'!$C:$AN,MID(AM$1,1,2),FALSE)</f>
        <v>0</v>
      </c>
      <c r="AN143" s="30" t="str">
        <f t="shared" si="2"/>
        <v>10203010040020</v>
      </c>
    </row>
    <row r="144" spans="3:40" x14ac:dyDescent="0.25">
      <c r="C144" s="40"/>
      <c r="D144" s="57" t="s">
        <v>591</v>
      </c>
      <c r="E144" s="57" t="s">
        <v>592</v>
      </c>
      <c r="F144" s="58" t="s">
        <v>110</v>
      </c>
      <c r="G144" s="52"/>
      <c r="H144" s="52"/>
      <c r="I144" s="52"/>
      <c r="J144" s="52"/>
      <c r="K144" s="59" t="s">
        <v>79</v>
      </c>
      <c r="L144" s="52"/>
      <c r="M144" s="52"/>
      <c r="N144" s="52"/>
      <c r="O144" s="52"/>
      <c r="P144" s="63" t="s">
        <v>593</v>
      </c>
      <c r="Q144" s="55">
        <f>VLOOKUP(E144,'NI-San_SP'!$C:$AN,12,FALSE)</f>
        <v>1150356</v>
      </c>
      <c r="R144" s="55">
        <f>VLOOKUP(E144,'NI-San_SP'!$C:$AN,13,FALSE)</f>
        <v>1150356</v>
      </c>
      <c r="S144" s="55"/>
      <c r="T144" s="55"/>
      <c r="U144" s="55">
        <f>VLOOKUP($E144,'NI-San_SP'!$C:$AN,MID(U$1,1,2),FALSE)</f>
        <v>0</v>
      </c>
      <c r="V144" s="55">
        <f>VLOOKUP($E144,'NI-San_SP'!$C:$AN,MID(V$1,1,2),FALSE)</f>
        <v>1150356</v>
      </c>
      <c r="W144" s="55">
        <f>VLOOKUP($E144,'NI-San_SP'!$C:$AN,MID(W$1,1,2),FALSE)</f>
        <v>0</v>
      </c>
      <c r="X144" s="55">
        <f>VLOOKUP($E144,'NI-San_SP'!$C:$AN,MID(X$1,1,2),FALSE)</f>
        <v>0</v>
      </c>
      <c r="Y144" s="55">
        <f>VLOOKUP($E144,'NI-San_SP'!$C:$AN,MID(Y$1,1,2),FALSE)</f>
        <v>0</v>
      </c>
      <c r="Z144" s="55">
        <f>VLOOKUP($E144,'NI-San_SP'!$C:$AN,MID(Z$1,1,2),FALSE)</f>
        <v>0</v>
      </c>
      <c r="AA144" s="55">
        <f>VLOOKUP($E144,'NI-San_SP'!$C:$AN,MID(AA$1,1,2),FALSE)</f>
        <v>0</v>
      </c>
      <c r="AB144" s="55">
        <f>VLOOKUP($E144,'NI-San_SP'!$C:$AN,MID(AB$1,1,2),FALSE)</f>
        <v>0</v>
      </c>
      <c r="AC144" s="55">
        <f>VLOOKUP($E144,'NI-San_SP'!$C:$AN,MID(AC$1,1,2),FALSE)</f>
        <v>0</v>
      </c>
      <c r="AD144" s="55">
        <f>VLOOKUP($E144,'NI-San_SP'!$C:$AN,MID(AD$1,1,2),FALSE)</f>
        <v>0</v>
      </c>
      <c r="AE144" s="55">
        <f>VLOOKUP($E144,'NI-San_SP'!$C:$AN,MID(AE$1,1,2),FALSE)</f>
        <v>0</v>
      </c>
      <c r="AF144" s="55">
        <f>VLOOKUP($E144,'NI-San_SP'!$C:$AN,MID(AF$1,1,2),FALSE)</f>
        <v>0</v>
      </c>
      <c r="AG144" s="55">
        <f>VLOOKUP($E144,'NI-San_SP'!$C:$AN,MID(AG$1,1,2),FALSE)</f>
        <v>0</v>
      </c>
      <c r="AH144" s="55">
        <f>VLOOKUP($E144,'NI-San_SP'!$C:$AN,MID(AH$1,1,2),FALSE)</f>
        <v>0</v>
      </c>
      <c r="AI144" s="55">
        <f>VLOOKUP($E144,'NI-San_SP'!$C:$AN,MID(AI$1,1,2),FALSE)</f>
        <v>0</v>
      </c>
      <c r="AJ144" s="55">
        <f>VLOOKUP($E144,'NI-San_SP'!$C:$AN,MID(AJ$1,1,2),FALSE)</f>
        <v>0</v>
      </c>
      <c r="AK144" s="55">
        <f>VLOOKUP($E144,'NI-San_SP'!$C:$AN,MID(AK$1,1,2),FALSE)</f>
        <v>0</v>
      </c>
      <c r="AL144" s="55">
        <f>VLOOKUP($E144,'NI-San_SP'!$C:$AN,MID(AL$1,1,2),FALSE)</f>
        <v>0</v>
      </c>
      <c r="AM144" s="56">
        <f>VLOOKUP($E144,'NI-San_SP'!$C:$AN,MID(AM$1,1,2),FALSE)</f>
        <v>0</v>
      </c>
      <c r="AN144" s="30" t="str">
        <f t="shared" si="2"/>
        <v>10203010050010</v>
      </c>
    </row>
    <row r="145" spans="3:40" x14ac:dyDescent="0.25">
      <c r="C145" s="40"/>
      <c r="D145" s="57" t="s">
        <v>594</v>
      </c>
      <c r="E145" s="57" t="s">
        <v>595</v>
      </c>
      <c r="F145" s="58" t="s">
        <v>110</v>
      </c>
      <c r="G145" s="52"/>
      <c r="H145" s="52"/>
      <c r="I145" s="52"/>
      <c r="J145" s="52"/>
      <c r="K145" s="59" t="s">
        <v>79</v>
      </c>
      <c r="L145" s="52"/>
      <c r="M145" s="52"/>
      <c r="N145" s="52"/>
      <c r="O145" s="52"/>
      <c r="P145" s="63" t="s">
        <v>596</v>
      </c>
      <c r="Q145" s="55">
        <f>VLOOKUP(E145,'NI-San_SP'!$C:$AN,12,FALSE)</f>
        <v>5284050</v>
      </c>
      <c r="R145" s="55">
        <f>VLOOKUP(E145,'NI-San_SP'!$C:$AN,13,FALSE)</f>
        <v>5284050</v>
      </c>
      <c r="S145" s="55"/>
      <c r="T145" s="55"/>
      <c r="U145" s="55">
        <f>VLOOKUP($E145,'NI-San_SP'!$C:$AN,MID(U$1,1,2),FALSE)</f>
        <v>0</v>
      </c>
      <c r="V145" s="55">
        <f>VLOOKUP($E145,'NI-San_SP'!$C:$AN,MID(V$1,1,2),FALSE)</f>
        <v>5284050</v>
      </c>
      <c r="W145" s="55">
        <f>VLOOKUP($E145,'NI-San_SP'!$C:$AN,MID(W$1,1,2),FALSE)</f>
        <v>0</v>
      </c>
      <c r="X145" s="55">
        <f>VLOOKUP($E145,'NI-San_SP'!$C:$AN,MID(X$1,1,2),FALSE)</f>
        <v>0</v>
      </c>
      <c r="Y145" s="55">
        <f>VLOOKUP($E145,'NI-San_SP'!$C:$AN,MID(Y$1,1,2),FALSE)</f>
        <v>0</v>
      </c>
      <c r="Z145" s="55">
        <f>VLOOKUP($E145,'NI-San_SP'!$C:$AN,MID(Z$1,1,2),FALSE)</f>
        <v>0</v>
      </c>
      <c r="AA145" s="55">
        <f>VLOOKUP($E145,'NI-San_SP'!$C:$AN,MID(AA$1,1,2),FALSE)</f>
        <v>0</v>
      </c>
      <c r="AB145" s="55">
        <f>VLOOKUP($E145,'NI-San_SP'!$C:$AN,MID(AB$1,1,2),FALSE)</f>
        <v>0</v>
      </c>
      <c r="AC145" s="55">
        <f>VLOOKUP($E145,'NI-San_SP'!$C:$AN,MID(AC$1,1,2),FALSE)</f>
        <v>0</v>
      </c>
      <c r="AD145" s="55">
        <f>VLOOKUP($E145,'NI-San_SP'!$C:$AN,MID(AD$1,1,2),FALSE)</f>
        <v>0</v>
      </c>
      <c r="AE145" s="55">
        <f>VLOOKUP($E145,'NI-San_SP'!$C:$AN,MID(AE$1,1,2),FALSE)</f>
        <v>0</v>
      </c>
      <c r="AF145" s="55">
        <f>VLOOKUP($E145,'NI-San_SP'!$C:$AN,MID(AF$1,1,2),FALSE)</f>
        <v>0</v>
      </c>
      <c r="AG145" s="55">
        <f>VLOOKUP($E145,'NI-San_SP'!$C:$AN,MID(AG$1,1,2),FALSE)</f>
        <v>0</v>
      </c>
      <c r="AH145" s="55">
        <f>VLOOKUP($E145,'NI-San_SP'!$C:$AN,MID(AH$1,1,2),FALSE)</f>
        <v>0</v>
      </c>
      <c r="AI145" s="55">
        <f>VLOOKUP($E145,'NI-San_SP'!$C:$AN,MID(AI$1,1,2),FALSE)</f>
        <v>0</v>
      </c>
      <c r="AJ145" s="55">
        <f>VLOOKUP($E145,'NI-San_SP'!$C:$AN,MID(AJ$1,1,2),FALSE)</f>
        <v>0</v>
      </c>
      <c r="AK145" s="55">
        <f>VLOOKUP($E145,'NI-San_SP'!$C:$AN,MID(AK$1,1,2),FALSE)</f>
        <v>0</v>
      </c>
      <c r="AL145" s="55">
        <f>VLOOKUP($E145,'NI-San_SP'!$C:$AN,MID(AL$1,1,2),FALSE)</f>
        <v>0</v>
      </c>
      <c r="AM145" s="56">
        <f>VLOOKUP($E145,'NI-San_SP'!$C:$AN,MID(AM$1,1,2),FALSE)</f>
        <v>0</v>
      </c>
      <c r="AN145" s="30" t="str">
        <f t="shared" si="2"/>
        <v>10203010050020</v>
      </c>
    </row>
    <row r="146" spans="3:40" x14ac:dyDescent="0.25">
      <c r="C146" s="40"/>
      <c r="D146" s="57" t="s">
        <v>597</v>
      </c>
      <c r="E146" s="57" t="s">
        <v>598</v>
      </c>
      <c r="F146" s="58" t="s">
        <v>110</v>
      </c>
      <c r="G146" s="52"/>
      <c r="H146" s="52"/>
      <c r="I146" s="52"/>
      <c r="J146" s="52"/>
      <c r="K146" s="59" t="s">
        <v>79</v>
      </c>
      <c r="L146" s="52"/>
      <c r="M146" s="52"/>
      <c r="N146" s="52"/>
      <c r="O146" s="52"/>
      <c r="P146" s="63" t="s">
        <v>599</v>
      </c>
      <c r="Q146" s="55">
        <f>VLOOKUP(E146,'NI-San_SP'!$C:$AN,12,FALSE)</f>
        <v>743073</v>
      </c>
      <c r="R146" s="55">
        <f>VLOOKUP(E146,'NI-San_SP'!$C:$AN,13,FALSE)</f>
        <v>743073</v>
      </c>
      <c r="S146" s="55"/>
      <c r="T146" s="55"/>
      <c r="U146" s="55">
        <f>VLOOKUP($E146,'NI-San_SP'!$C:$AN,MID(U$1,1,2),FALSE)</f>
        <v>0</v>
      </c>
      <c r="V146" s="55">
        <f>VLOOKUP($E146,'NI-San_SP'!$C:$AN,MID(V$1,1,2),FALSE)</f>
        <v>743073</v>
      </c>
      <c r="W146" s="55">
        <f>VLOOKUP($E146,'NI-San_SP'!$C:$AN,MID(W$1,1,2),FALSE)</f>
        <v>0</v>
      </c>
      <c r="X146" s="55">
        <f>VLOOKUP($E146,'NI-San_SP'!$C:$AN,MID(X$1,1,2),FALSE)</f>
        <v>0</v>
      </c>
      <c r="Y146" s="55">
        <f>VLOOKUP($E146,'NI-San_SP'!$C:$AN,MID(Y$1,1,2),FALSE)</f>
        <v>0</v>
      </c>
      <c r="Z146" s="55">
        <f>VLOOKUP($E146,'NI-San_SP'!$C:$AN,MID(Z$1,1,2),FALSE)</f>
        <v>0</v>
      </c>
      <c r="AA146" s="55">
        <f>VLOOKUP($E146,'NI-San_SP'!$C:$AN,MID(AA$1,1,2),FALSE)</f>
        <v>0</v>
      </c>
      <c r="AB146" s="55">
        <f>VLOOKUP($E146,'NI-San_SP'!$C:$AN,MID(AB$1,1,2),FALSE)</f>
        <v>0</v>
      </c>
      <c r="AC146" s="55">
        <f>VLOOKUP($E146,'NI-San_SP'!$C:$AN,MID(AC$1,1,2),FALSE)</f>
        <v>0</v>
      </c>
      <c r="AD146" s="55">
        <f>VLOOKUP($E146,'NI-San_SP'!$C:$AN,MID(AD$1,1,2),FALSE)</f>
        <v>0</v>
      </c>
      <c r="AE146" s="55">
        <f>VLOOKUP($E146,'NI-San_SP'!$C:$AN,MID(AE$1,1,2),FALSE)</f>
        <v>0</v>
      </c>
      <c r="AF146" s="55">
        <f>VLOOKUP($E146,'NI-San_SP'!$C:$AN,MID(AF$1,1,2),FALSE)</f>
        <v>0</v>
      </c>
      <c r="AG146" s="55">
        <f>VLOOKUP($E146,'NI-San_SP'!$C:$AN,MID(AG$1,1,2),FALSE)</f>
        <v>0</v>
      </c>
      <c r="AH146" s="55">
        <f>VLOOKUP($E146,'NI-San_SP'!$C:$AN,MID(AH$1,1,2),FALSE)</f>
        <v>0</v>
      </c>
      <c r="AI146" s="55">
        <f>VLOOKUP($E146,'NI-San_SP'!$C:$AN,MID(AI$1,1,2),FALSE)</f>
        <v>0</v>
      </c>
      <c r="AJ146" s="55">
        <f>VLOOKUP($E146,'NI-San_SP'!$C:$AN,MID(AJ$1,1,2),FALSE)</f>
        <v>0</v>
      </c>
      <c r="AK146" s="55">
        <f>VLOOKUP($E146,'NI-San_SP'!$C:$AN,MID(AK$1,1,2),FALSE)</f>
        <v>0</v>
      </c>
      <c r="AL146" s="55">
        <f>VLOOKUP($E146,'NI-San_SP'!$C:$AN,MID(AL$1,1,2),FALSE)</f>
        <v>0</v>
      </c>
      <c r="AM146" s="56">
        <f>VLOOKUP($E146,'NI-San_SP'!$C:$AN,MID(AM$1,1,2),FALSE)</f>
        <v>0</v>
      </c>
      <c r="AN146" s="30" t="str">
        <f t="shared" si="2"/>
        <v>10203010060010</v>
      </c>
    </row>
    <row r="147" spans="3:40" x14ac:dyDescent="0.25">
      <c r="C147" s="40"/>
      <c r="D147" s="57" t="s">
        <v>600</v>
      </c>
      <c r="E147" s="57" t="s">
        <v>601</v>
      </c>
      <c r="F147" s="58" t="s">
        <v>110</v>
      </c>
      <c r="G147" s="52"/>
      <c r="H147" s="52"/>
      <c r="I147" s="52"/>
      <c r="J147" s="52"/>
      <c r="K147" s="59" t="s">
        <v>79</v>
      </c>
      <c r="L147" s="52"/>
      <c r="M147" s="52"/>
      <c r="N147" s="52"/>
      <c r="O147" s="52"/>
      <c r="P147" s="63" t="s">
        <v>602</v>
      </c>
      <c r="Q147" s="55">
        <f>VLOOKUP(E147,'NI-San_SP'!$C:$AN,12,FALSE)</f>
        <v>25561</v>
      </c>
      <c r="R147" s="55">
        <f>VLOOKUP(E147,'NI-San_SP'!$C:$AN,13,FALSE)</f>
        <v>25561</v>
      </c>
      <c r="S147" s="55"/>
      <c r="T147" s="55"/>
      <c r="U147" s="55">
        <f>VLOOKUP($E147,'NI-San_SP'!$C:$AN,MID(U$1,1,2),FALSE)</f>
        <v>0</v>
      </c>
      <c r="V147" s="55">
        <f>VLOOKUP($E147,'NI-San_SP'!$C:$AN,MID(V$1,1,2),FALSE)</f>
        <v>25561</v>
      </c>
      <c r="W147" s="55">
        <f>VLOOKUP($E147,'NI-San_SP'!$C:$AN,MID(W$1,1,2),FALSE)</f>
        <v>0</v>
      </c>
      <c r="X147" s="55">
        <f>VLOOKUP($E147,'NI-San_SP'!$C:$AN,MID(X$1,1,2),FALSE)</f>
        <v>0</v>
      </c>
      <c r="Y147" s="55">
        <f>VLOOKUP($E147,'NI-San_SP'!$C:$AN,MID(Y$1,1,2),FALSE)</f>
        <v>0</v>
      </c>
      <c r="Z147" s="55">
        <f>VLOOKUP($E147,'NI-San_SP'!$C:$AN,MID(Z$1,1,2),FALSE)</f>
        <v>0</v>
      </c>
      <c r="AA147" s="55">
        <f>VLOOKUP($E147,'NI-San_SP'!$C:$AN,MID(AA$1,1,2),FALSE)</f>
        <v>0</v>
      </c>
      <c r="AB147" s="55">
        <f>VLOOKUP($E147,'NI-San_SP'!$C:$AN,MID(AB$1,1,2),FALSE)</f>
        <v>0</v>
      </c>
      <c r="AC147" s="55">
        <f>VLOOKUP($E147,'NI-San_SP'!$C:$AN,MID(AC$1,1,2),FALSE)</f>
        <v>0</v>
      </c>
      <c r="AD147" s="55">
        <f>VLOOKUP($E147,'NI-San_SP'!$C:$AN,MID(AD$1,1,2),FALSE)</f>
        <v>0</v>
      </c>
      <c r="AE147" s="55">
        <f>VLOOKUP($E147,'NI-San_SP'!$C:$AN,MID(AE$1,1,2),FALSE)</f>
        <v>0</v>
      </c>
      <c r="AF147" s="55">
        <f>VLOOKUP($E147,'NI-San_SP'!$C:$AN,MID(AF$1,1,2),FALSE)</f>
        <v>0</v>
      </c>
      <c r="AG147" s="55">
        <f>VLOOKUP($E147,'NI-San_SP'!$C:$AN,MID(AG$1,1,2),FALSE)</f>
        <v>0</v>
      </c>
      <c r="AH147" s="55">
        <f>VLOOKUP($E147,'NI-San_SP'!$C:$AN,MID(AH$1,1,2),FALSE)</f>
        <v>0</v>
      </c>
      <c r="AI147" s="55">
        <f>VLOOKUP($E147,'NI-San_SP'!$C:$AN,MID(AI$1,1,2),FALSE)</f>
        <v>0</v>
      </c>
      <c r="AJ147" s="55">
        <f>VLOOKUP($E147,'NI-San_SP'!$C:$AN,MID(AJ$1,1,2),FALSE)</f>
        <v>0</v>
      </c>
      <c r="AK147" s="55">
        <f>VLOOKUP($E147,'NI-San_SP'!$C:$AN,MID(AK$1,1,2),FALSE)</f>
        <v>0</v>
      </c>
      <c r="AL147" s="55">
        <f>VLOOKUP($E147,'NI-San_SP'!$C:$AN,MID(AL$1,1,2),FALSE)</f>
        <v>0</v>
      </c>
      <c r="AM147" s="56">
        <f>VLOOKUP($E147,'NI-San_SP'!$C:$AN,MID(AM$1,1,2),FALSE)</f>
        <v>0</v>
      </c>
      <c r="AN147" s="30" t="str">
        <f t="shared" si="2"/>
        <v>10203010060020</v>
      </c>
    </row>
    <row r="148" spans="3:40" x14ac:dyDescent="0.25">
      <c r="C148" s="40"/>
      <c r="D148" s="57" t="s">
        <v>603</v>
      </c>
      <c r="E148" s="57" t="s">
        <v>604</v>
      </c>
      <c r="F148" s="58" t="s">
        <v>110</v>
      </c>
      <c r="G148" s="52"/>
      <c r="H148" s="52"/>
      <c r="I148" s="52"/>
      <c r="J148" s="52"/>
      <c r="K148" s="59" t="s">
        <v>79</v>
      </c>
      <c r="L148" s="52"/>
      <c r="M148" s="52"/>
      <c r="N148" s="52"/>
      <c r="O148" s="52"/>
      <c r="P148" s="63" t="s">
        <v>605</v>
      </c>
      <c r="Q148" s="55">
        <f>VLOOKUP(E148,'NI-San_SP'!$C:$AN,12,FALSE)</f>
        <v>5999678</v>
      </c>
      <c r="R148" s="55">
        <f>VLOOKUP(E148,'NI-San_SP'!$C:$AN,13,FALSE)</f>
        <v>5999678</v>
      </c>
      <c r="S148" s="55"/>
      <c r="T148" s="55"/>
      <c r="U148" s="55">
        <f>VLOOKUP($E148,'NI-San_SP'!$C:$AN,MID(U$1,1,2),FALSE)</f>
        <v>0</v>
      </c>
      <c r="V148" s="55">
        <f>VLOOKUP($E148,'NI-San_SP'!$C:$AN,MID(V$1,1,2),FALSE)</f>
        <v>5999678</v>
      </c>
      <c r="W148" s="55">
        <f>VLOOKUP($E148,'NI-San_SP'!$C:$AN,MID(W$1,1,2),FALSE)</f>
        <v>0</v>
      </c>
      <c r="X148" s="55">
        <f>VLOOKUP($E148,'NI-San_SP'!$C:$AN,MID(X$1,1,2),FALSE)</f>
        <v>0</v>
      </c>
      <c r="Y148" s="55">
        <f>VLOOKUP($E148,'NI-San_SP'!$C:$AN,MID(Y$1,1,2),FALSE)</f>
        <v>0</v>
      </c>
      <c r="Z148" s="55">
        <f>VLOOKUP($E148,'NI-San_SP'!$C:$AN,MID(Z$1,1,2),FALSE)</f>
        <v>0</v>
      </c>
      <c r="AA148" s="55">
        <f>VLOOKUP($E148,'NI-San_SP'!$C:$AN,MID(AA$1,1,2),FALSE)</f>
        <v>0</v>
      </c>
      <c r="AB148" s="55">
        <f>VLOOKUP($E148,'NI-San_SP'!$C:$AN,MID(AB$1,1,2),FALSE)</f>
        <v>0</v>
      </c>
      <c r="AC148" s="55">
        <f>VLOOKUP($E148,'NI-San_SP'!$C:$AN,MID(AC$1,1,2),FALSE)</f>
        <v>0</v>
      </c>
      <c r="AD148" s="55">
        <f>VLOOKUP($E148,'NI-San_SP'!$C:$AN,MID(AD$1,1,2),FALSE)</f>
        <v>0</v>
      </c>
      <c r="AE148" s="55">
        <f>VLOOKUP($E148,'NI-San_SP'!$C:$AN,MID(AE$1,1,2),FALSE)</f>
        <v>0</v>
      </c>
      <c r="AF148" s="55">
        <f>VLOOKUP($E148,'NI-San_SP'!$C:$AN,MID(AF$1,1,2),FALSE)</f>
        <v>0</v>
      </c>
      <c r="AG148" s="55">
        <f>VLOOKUP($E148,'NI-San_SP'!$C:$AN,MID(AG$1,1,2),FALSE)</f>
        <v>0</v>
      </c>
      <c r="AH148" s="55">
        <f>VLOOKUP($E148,'NI-San_SP'!$C:$AN,MID(AH$1,1,2),FALSE)</f>
        <v>0</v>
      </c>
      <c r="AI148" s="55">
        <f>VLOOKUP($E148,'NI-San_SP'!$C:$AN,MID(AI$1,1,2),FALSE)</f>
        <v>0</v>
      </c>
      <c r="AJ148" s="55">
        <f>VLOOKUP($E148,'NI-San_SP'!$C:$AN,MID(AJ$1,1,2),FALSE)</f>
        <v>0</v>
      </c>
      <c r="AK148" s="55">
        <f>VLOOKUP($E148,'NI-San_SP'!$C:$AN,MID(AK$1,1,2),FALSE)</f>
        <v>0</v>
      </c>
      <c r="AL148" s="55">
        <f>VLOOKUP($E148,'NI-San_SP'!$C:$AN,MID(AL$1,1,2),FALSE)</f>
        <v>0</v>
      </c>
      <c r="AM148" s="56">
        <f>VLOOKUP($E148,'NI-San_SP'!$C:$AN,MID(AM$1,1,2),FALSE)</f>
        <v>0</v>
      </c>
      <c r="AN148" s="30" t="str">
        <f t="shared" si="2"/>
        <v>10203010070010</v>
      </c>
    </row>
    <row r="149" spans="3:40" x14ac:dyDescent="0.25">
      <c r="C149" s="40"/>
      <c r="D149" s="57" t="s">
        <v>606</v>
      </c>
      <c r="E149" s="57" t="s">
        <v>607</v>
      </c>
      <c r="F149" s="58" t="s">
        <v>110</v>
      </c>
      <c r="G149" s="52"/>
      <c r="H149" s="52"/>
      <c r="I149" s="52"/>
      <c r="J149" s="52"/>
      <c r="K149" s="59" t="s">
        <v>79</v>
      </c>
      <c r="L149" s="52"/>
      <c r="M149" s="52"/>
      <c r="N149" s="52"/>
      <c r="O149" s="52"/>
      <c r="P149" s="63" t="s">
        <v>608</v>
      </c>
      <c r="Q149" s="55">
        <f>VLOOKUP(E149,'NI-San_SP'!$C:$AN,12,FALSE)</f>
        <v>1411023</v>
      </c>
      <c r="R149" s="55">
        <f>VLOOKUP(E149,'NI-San_SP'!$C:$AN,13,FALSE)</f>
        <v>1411023</v>
      </c>
      <c r="S149" s="55"/>
      <c r="T149" s="55"/>
      <c r="U149" s="55">
        <f>VLOOKUP($E149,'NI-San_SP'!$C:$AN,MID(U$1,1,2),FALSE)</f>
        <v>0</v>
      </c>
      <c r="V149" s="55">
        <f>VLOOKUP($E149,'NI-San_SP'!$C:$AN,MID(V$1,1,2),FALSE)</f>
        <v>1411023</v>
      </c>
      <c r="W149" s="55">
        <f>VLOOKUP($E149,'NI-San_SP'!$C:$AN,MID(W$1,1,2),FALSE)</f>
        <v>0</v>
      </c>
      <c r="X149" s="55">
        <f>VLOOKUP($E149,'NI-San_SP'!$C:$AN,MID(X$1,1,2),FALSE)</f>
        <v>0</v>
      </c>
      <c r="Y149" s="55">
        <f>VLOOKUP($E149,'NI-San_SP'!$C:$AN,MID(Y$1,1,2),FALSE)</f>
        <v>0</v>
      </c>
      <c r="Z149" s="55">
        <f>VLOOKUP($E149,'NI-San_SP'!$C:$AN,MID(Z$1,1,2),FALSE)</f>
        <v>0</v>
      </c>
      <c r="AA149" s="55">
        <f>VLOOKUP($E149,'NI-San_SP'!$C:$AN,MID(AA$1,1,2),FALSE)</f>
        <v>0</v>
      </c>
      <c r="AB149" s="55">
        <f>VLOOKUP($E149,'NI-San_SP'!$C:$AN,MID(AB$1,1,2),FALSE)</f>
        <v>0</v>
      </c>
      <c r="AC149" s="55">
        <f>VLOOKUP($E149,'NI-San_SP'!$C:$AN,MID(AC$1,1,2),FALSE)</f>
        <v>0</v>
      </c>
      <c r="AD149" s="55">
        <f>VLOOKUP($E149,'NI-San_SP'!$C:$AN,MID(AD$1,1,2),FALSE)</f>
        <v>0</v>
      </c>
      <c r="AE149" s="55">
        <f>VLOOKUP($E149,'NI-San_SP'!$C:$AN,MID(AE$1,1,2),FALSE)</f>
        <v>0</v>
      </c>
      <c r="AF149" s="55">
        <f>VLOOKUP($E149,'NI-San_SP'!$C:$AN,MID(AF$1,1,2),FALSE)</f>
        <v>0</v>
      </c>
      <c r="AG149" s="55">
        <f>VLOOKUP($E149,'NI-San_SP'!$C:$AN,MID(AG$1,1,2),FALSE)</f>
        <v>0</v>
      </c>
      <c r="AH149" s="55">
        <f>VLOOKUP($E149,'NI-San_SP'!$C:$AN,MID(AH$1,1,2),FALSE)</f>
        <v>0</v>
      </c>
      <c r="AI149" s="55">
        <f>VLOOKUP($E149,'NI-San_SP'!$C:$AN,MID(AI$1,1,2),FALSE)</f>
        <v>0</v>
      </c>
      <c r="AJ149" s="55">
        <f>VLOOKUP($E149,'NI-San_SP'!$C:$AN,MID(AJ$1,1,2),FALSE)</f>
        <v>0</v>
      </c>
      <c r="AK149" s="55">
        <f>VLOOKUP($E149,'NI-San_SP'!$C:$AN,MID(AK$1,1,2),FALSE)</f>
        <v>0</v>
      </c>
      <c r="AL149" s="55">
        <f>VLOOKUP($E149,'NI-San_SP'!$C:$AN,MID(AL$1,1,2),FALSE)</f>
        <v>0</v>
      </c>
      <c r="AM149" s="56">
        <f>VLOOKUP($E149,'NI-San_SP'!$C:$AN,MID(AM$1,1,2),FALSE)</f>
        <v>0</v>
      </c>
      <c r="AN149" s="30" t="str">
        <f t="shared" si="2"/>
        <v>10203010070020</v>
      </c>
    </row>
    <row r="150" spans="3:40" x14ac:dyDescent="0.25">
      <c r="C150" s="40"/>
      <c r="D150" s="57" t="s">
        <v>609</v>
      </c>
      <c r="E150" s="57" t="s">
        <v>610</v>
      </c>
      <c r="F150" s="58" t="s">
        <v>110</v>
      </c>
      <c r="G150" s="52"/>
      <c r="H150" s="52"/>
      <c r="I150" s="52" t="s">
        <v>611</v>
      </c>
      <c r="J150" s="52" t="s">
        <v>611</v>
      </c>
      <c r="K150" s="59" t="s">
        <v>111</v>
      </c>
      <c r="L150" s="62" t="s">
        <v>612</v>
      </c>
      <c r="M150" s="52"/>
      <c r="N150" s="52"/>
      <c r="O150" s="52"/>
      <c r="P150" s="54" t="s">
        <v>613</v>
      </c>
      <c r="Q150" s="55">
        <f>VLOOKUP(E150,'NI-San_SP'!$C:$AN,12,FALSE)</f>
        <v>45515589</v>
      </c>
      <c r="R150" s="55">
        <f>VLOOKUP(E150,'NI-San_SP'!$C:$AN,13,FALSE)</f>
        <v>48218432</v>
      </c>
      <c r="S150" s="55"/>
      <c r="T150" s="55"/>
      <c r="U150" s="55">
        <f>VLOOKUP($E150,'NI-San_SP'!$C:$AN,MID(U$1,1,2),FALSE)</f>
        <v>0</v>
      </c>
      <c r="V150" s="55">
        <f>VLOOKUP($E150,'NI-San_SP'!$C:$AN,MID(V$1,1,2),FALSE)</f>
        <v>45515589</v>
      </c>
      <c r="W150" s="55">
        <f>VLOOKUP($E150,'NI-San_SP'!$C:$AN,MID(W$1,1,2),FALSE)</f>
        <v>0</v>
      </c>
      <c r="X150" s="55">
        <f>VLOOKUP($E150,'NI-San_SP'!$C:$AN,MID(X$1,1,2),FALSE)</f>
        <v>0</v>
      </c>
      <c r="Y150" s="55">
        <f>VLOOKUP($E150,'NI-San_SP'!$C:$AN,MID(Y$1,1,2),FALSE)</f>
        <v>0</v>
      </c>
      <c r="Z150" s="55">
        <f>VLOOKUP($E150,'NI-San_SP'!$C:$AN,MID(Z$1,1,2),FALSE)</f>
        <v>0</v>
      </c>
      <c r="AA150" s="55">
        <f>VLOOKUP($E150,'NI-San_SP'!$C:$AN,MID(AA$1,1,2),FALSE)</f>
        <v>0</v>
      </c>
      <c r="AB150" s="55">
        <f>VLOOKUP($E150,'NI-San_SP'!$C:$AN,MID(AB$1,1,2),FALSE)</f>
        <v>0</v>
      </c>
      <c r="AC150" s="55">
        <f>VLOOKUP($E150,'NI-San_SP'!$C:$AN,MID(AC$1,1,2),FALSE)</f>
        <v>252403</v>
      </c>
      <c r="AD150" s="55">
        <f>VLOOKUP($E150,'NI-San_SP'!$C:$AN,MID(AD$1,1,2),FALSE)</f>
        <v>2955246</v>
      </c>
      <c r="AE150" s="55">
        <f>VLOOKUP($E150,'NI-San_SP'!$C:$AN,MID(AE$1,1,2),FALSE)</f>
        <v>0</v>
      </c>
      <c r="AF150" s="55">
        <f>VLOOKUP($E150,'NI-San_SP'!$C:$AN,MID(AF$1,1,2),FALSE)</f>
        <v>0</v>
      </c>
      <c r="AG150" s="55">
        <f>VLOOKUP($E150,'NI-San_SP'!$C:$AN,MID(AG$1,1,2),FALSE)</f>
        <v>0</v>
      </c>
      <c r="AH150" s="55">
        <f>VLOOKUP($E150,'NI-San_SP'!$C:$AN,MID(AH$1,1,2),FALSE)</f>
        <v>0</v>
      </c>
      <c r="AI150" s="55">
        <f>VLOOKUP($E150,'NI-San_SP'!$C:$AN,MID(AI$1,1,2),FALSE)</f>
        <v>0</v>
      </c>
      <c r="AJ150" s="55">
        <f>VLOOKUP($E150,'NI-San_SP'!$C:$AN,MID(AJ$1,1,2),FALSE)</f>
        <v>0</v>
      </c>
      <c r="AK150" s="55">
        <f>VLOOKUP($E150,'NI-San_SP'!$C:$AN,MID(AK$1,1,2),FALSE)</f>
        <v>0</v>
      </c>
      <c r="AL150" s="55">
        <f>VLOOKUP($E150,'NI-San_SP'!$C:$AN,MID(AL$1,1,2),FALSE)</f>
        <v>0</v>
      </c>
      <c r="AM150" s="56">
        <f>VLOOKUP($E150,'NI-San_SP'!$C:$AN,MID(AM$1,1,2),FALSE)</f>
        <v>0</v>
      </c>
      <c r="AN150" s="30" t="str">
        <f t="shared" si="2"/>
        <v>10203020000000</v>
      </c>
    </row>
    <row r="151" spans="3:40" x14ac:dyDescent="0.25">
      <c r="C151" s="40"/>
      <c r="D151" s="57" t="s">
        <v>614</v>
      </c>
      <c r="E151" s="57" t="s">
        <v>615</v>
      </c>
      <c r="F151" s="58" t="s">
        <v>110</v>
      </c>
      <c r="G151" s="52"/>
      <c r="H151" s="52"/>
      <c r="I151" s="52"/>
      <c r="J151" s="52"/>
      <c r="K151" s="59" t="s">
        <v>79</v>
      </c>
      <c r="L151" s="52"/>
      <c r="M151" s="52"/>
      <c r="N151" s="52"/>
      <c r="O151" s="52"/>
      <c r="P151" s="63" t="s">
        <v>616</v>
      </c>
      <c r="Q151" s="55">
        <f>VLOOKUP(E151,'NI-San_SP'!$C:$AN,12,FALSE)</f>
        <v>1811019</v>
      </c>
      <c r="R151" s="55">
        <f>VLOOKUP(E151,'NI-San_SP'!$C:$AN,13,FALSE)</f>
        <v>1780373</v>
      </c>
      <c r="S151" s="55"/>
      <c r="T151" s="55"/>
      <c r="U151" s="55">
        <f>VLOOKUP($E151,'NI-San_SP'!$C:$AN,MID(U$1,1,2),FALSE)</f>
        <v>0</v>
      </c>
      <c r="V151" s="55">
        <f>VLOOKUP($E151,'NI-San_SP'!$C:$AN,MID(V$1,1,2),FALSE)</f>
        <v>1811019</v>
      </c>
      <c r="W151" s="55">
        <f>VLOOKUP($E151,'NI-San_SP'!$C:$AN,MID(W$1,1,2),FALSE)</f>
        <v>0</v>
      </c>
      <c r="X151" s="55">
        <f>VLOOKUP($E151,'NI-San_SP'!$C:$AN,MID(X$1,1,2),FALSE)</f>
        <v>0</v>
      </c>
      <c r="Y151" s="55">
        <f>VLOOKUP($E151,'NI-San_SP'!$C:$AN,MID(Y$1,1,2),FALSE)</f>
        <v>0</v>
      </c>
      <c r="Z151" s="55">
        <f>VLOOKUP($E151,'NI-San_SP'!$C:$AN,MID(Z$1,1,2),FALSE)</f>
        <v>0</v>
      </c>
      <c r="AA151" s="55">
        <f>VLOOKUP($E151,'NI-San_SP'!$C:$AN,MID(AA$1,1,2),FALSE)</f>
        <v>0</v>
      </c>
      <c r="AB151" s="55">
        <f>VLOOKUP($E151,'NI-San_SP'!$C:$AN,MID(AB$1,1,2),FALSE)</f>
        <v>0</v>
      </c>
      <c r="AC151" s="55">
        <f>VLOOKUP($E151,'NI-San_SP'!$C:$AN,MID(AC$1,1,2),FALSE)</f>
        <v>252403</v>
      </c>
      <c r="AD151" s="55">
        <f>VLOOKUP($E151,'NI-San_SP'!$C:$AN,MID(AD$1,1,2),FALSE)</f>
        <v>221757</v>
      </c>
      <c r="AE151" s="55">
        <f>VLOOKUP($E151,'NI-San_SP'!$C:$AN,MID(AE$1,1,2),FALSE)</f>
        <v>0</v>
      </c>
      <c r="AF151" s="55">
        <f>VLOOKUP($E151,'NI-San_SP'!$C:$AN,MID(AF$1,1,2),FALSE)</f>
        <v>0</v>
      </c>
      <c r="AG151" s="55">
        <f>VLOOKUP($E151,'NI-San_SP'!$C:$AN,MID(AG$1,1,2),FALSE)</f>
        <v>0</v>
      </c>
      <c r="AH151" s="55">
        <f>VLOOKUP($E151,'NI-San_SP'!$C:$AN,MID(AH$1,1,2),FALSE)</f>
        <v>0</v>
      </c>
      <c r="AI151" s="55">
        <f>VLOOKUP($E151,'NI-San_SP'!$C:$AN,MID(AI$1,1,2),FALSE)</f>
        <v>0</v>
      </c>
      <c r="AJ151" s="55">
        <f>VLOOKUP($E151,'NI-San_SP'!$C:$AN,MID(AJ$1,1,2),FALSE)</f>
        <v>0</v>
      </c>
      <c r="AK151" s="55">
        <f>VLOOKUP($E151,'NI-San_SP'!$C:$AN,MID(AK$1,1,2),FALSE)</f>
        <v>0</v>
      </c>
      <c r="AL151" s="55">
        <f>VLOOKUP($E151,'NI-San_SP'!$C:$AN,MID(AL$1,1,2),FALSE)</f>
        <v>0</v>
      </c>
      <c r="AM151" s="56">
        <f>VLOOKUP($E151,'NI-San_SP'!$C:$AN,MID(AM$1,1,2),FALSE)</f>
        <v>0</v>
      </c>
      <c r="AN151" s="30" t="str">
        <f t="shared" si="2"/>
        <v>10203020010010</v>
      </c>
    </row>
    <row r="152" spans="3:40" x14ac:dyDescent="0.25">
      <c r="C152" s="40"/>
      <c r="D152" s="57" t="s">
        <v>617</v>
      </c>
      <c r="E152" s="57" t="s">
        <v>618</v>
      </c>
      <c r="F152" s="58" t="s">
        <v>110</v>
      </c>
      <c r="G152" s="52"/>
      <c r="H152" s="52"/>
      <c r="I152" s="52"/>
      <c r="J152" s="52"/>
      <c r="K152" s="59" t="s">
        <v>79</v>
      </c>
      <c r="L152" s="52"/>
      <c r="M152" s="52"/>
      <c r="N152" s="52"/>
      <c r="O152" s="52"/>
      <c r="P152" s="63" t="s">
        <v>619</v>
      </c>
      <c r="Q152" s="55">
        <f>VLOOKUP(E152,'NI-San_SP'!$C:$AN,12,FALSE)</f>
        <v>14726759</v>
      </c>
      <c r="R152" s="55">
        <f>VLOOKUP(E152,'NI-San_SP'!$C:$AN,13,FALSE)</f>
        <v>16172836</v>
      </c>
      <c r="S152" s="55"/>
      <c r="T152" s="55"/>
      <c r="U152" s="55">
        <f>VLOOKUP($E152,'NI-San_SP'!$C:$AN,MID(U$1,1,2),FALSE)</f>
        <v>0</v>
      </c>
      <c r="V152" s="55">
        <f>VLOOKUP($E152,'NI-San_SP'!$C:$AN,MID(V$1,1,2),FALSE)</f>
        <v>14726759</v>
      </c>
      <c r="W152" s="55">
        <f>VLOOKUP($E152,'NI-San_SP'!$C:$AN,MID(W$1,1,2),FALSE)</f>
        <v>0</v>
      </c>
      <c r="X152" s="55">
        <f>VLOOKUP($E152,'NI-San_SP'!$C:$AN,MID(X$1,1,2),FALSE)</f>
        <v>0</v>
      </c>
      <c r="Y152" s="55">
        <f>VLOOKUP($E152,'NI-San_SP'!$C:$AN,MID(Y$1,1,2),FALSE)</f>
        <v>0</v>
      </c>
      <c r="Z152" s="55">
        <f>VLOOKUP($E152,'NI-San_SP'!$C:$AN,MID(Z$1,1,2),FALSE)</f>
        <v>0</v>
      </c>
      <c r="AA152" s="55">
        <f>VLOOKUP($E152,'NI-San_SP'!$C:$AN,MID(AA$1,1,2),FALSE)</f>
        <v>0</v>
      </c>
      <c r="AB152" s="55">
        <f>VLOOKUP($E152,'NI-San_SP'!$C:$AN,MID(AB$1,1,2),FALSE)</f>
        <v>0</v>
      </c>
      <c r="AC152" s="55">
        <f>VLOOKUP($E152,'NI-San_SP'!$C:$AN,MID(AC$1,1,2),FALSE)</f>
        <v>0</v>
      </c>
      <c r="AD152" s="55">
        <f>VLOOKUP($E152,'NI-San_SP'!$C:$AN,MID(AD$1,1,2),FALSE)</f>
        <v>1446077</v>
      </c>
      <c r="AE152" s="55">
        <f>VLOOKUP($E152,'NI-San_SP'!$C:$AN,MID(AE$1,1,2),FALSE)</f>
        <v>0</v>
      </c>
      <c r="AF152" s="55">
        <f>VLOOKUP($E152,'NI-San_SP'!$C:$AN,MID(AF$1,1,2),FALSE)</f>
        <v>0</v>
      </c>
      <c r="AG152" s="55">
        <f>VLOOKUP($E152,'NI-San_SP'!$C:$AN,MID(AG$1,1,2),FALSE)</f>
        <v>0</v>
      </c>
      <c r="AH152" s="55">
        <f>VLOOKUP($E152,'NI-San_SP'!$C:$AN,MID(AH$1,1,2),FALSE)</f>
        <v>0</v>
      </c>
      <c r="AI152" s="55">
        <f>VLOOKUP($E152,'NI-San_SP'!$C:$AN,MID(AI$1,1,2),FALSE)</f>
        <v>0</v>
      </c>
      <c r="AJ152" s="55">
        <f>VLOOKUP($E152,'NI-San_SP'!$C:$AN,MID(AJ$1,1,2),FALSE)</f>
        <v>0</v>
      </c>
      <c r="AK152" s="55">
        <f>VLOOKUP($E152,'NI-San_SP'!$C:$AN,MID(AK$1,1,2),FALSE)</f>
        <v>0</v>
      </c>
      <c r="AL152" s="55">
        <f>VLOOKUP($E152,'NI-San_SP'!$C:$AN,MID(AL$1,1,2),FALSE)</f>
        <v>0</v>
      </c>
      <c r="AM152" s="56">
        <f>VLOOKUP($E152,'NI-San_SP'!$C:$AN,MID(AM$1,1,2),FALSE)</f>
        <v>0</v>
      </c>
      <c r="AN152" s="30" t="str">
        <f t="shared" si="2"/>
        <v>10203020010020</v>
      </c>
    </row>
    <row r="153" spans="3:40" x14ac:dyDescent="0.25">
      <c r="C153" s="40"/>
      <c r="D153" s="57" t="s">
        <v>620</v>
      </c>
      <c r="E153" s="57" t="s">
        <v>621</v>
      </c>
      <c r="F153" s="58" t="s">
        <v>110</v>
      </c>
      <c r="G153" s="52"/>
      <c r="H153" s="52"/>
      <c r="I153" s="52"/>
      <c r="J153" s="52"/>
      <c r="K153" s="59" t="s">
        <v>79</v>
      </c>
      <c r="L153" s="52"/>
      <c r="M153" s="52"/>
      <c r="N153" s="52"/>
      <c r="O153" s="52"/>
      <c r="P153" s="63" t="s">
        <v>622</v>
      </c>
      <c r="Q153" s="55">
        <f>VLOOKUP(E153,'NI-San_SP'!$C:$AN,12,FALSE)</f>
        <v>9410392</v>
      </c>
      <c r="R153" s="55">
        <f>VLOOKUP(E153,'NI-San_SP'!$C:$AN,13,FALSE)</f>
        <v>9646828</v>
      </c>
      <c r="S153" s="55"/>
      <c r="T153" s="55"/>
      <c r="U153" s="55">
        <f>VLOOKUP($E153,'NI-San_SP'!$C:$AN,MID(U$1,1,2),FALSE)</f>
        <v>0</v>
      </c>
      <c r="V153" s="55">
        <f>VLOOKUP($E153,'NI-San_SP'!$C:$AN,MID(V$1,1,2),FALSE)</f>
        <v>9410392</v>
      </c>
      <c r="W153" s="55">
        <f>VLOOKUP($E153,'NI-San_SP'!$C:$AN,MID(W$1,1,2),FALSE)</f>
        <v>0</v>
      </c>
      <c r="X153" s="55">
        <f>VLOOKUP($E153,'NI-San_SP'!$C:$AN,MID(X$1,1,2),FALSE)</f>
        <v>0</v>
      </c>
      <c r="Y153" s="55">
        <f>VLOOKUP($E153,'NI-San_SP'!$C:$AN,MID(Y$1,1,2),FALSE)</f>
        <v>0</v>
      </c>
      <c r="Z153" s="55">
        <f>VLOOKUP($E153,'NI-San_SP'!$C:$AN,MID(Z$1,1,2),FALSE)</f>
        <v>0</v>
      </c>
      <c r="AA153" s="55">
        <f>VLOOKUP($E153,'NI-San_SP'!$C:$AN,MID(AA$1,1,2),FALSE)</f>
        <v>0</v>
      </c>
      <c r="AB153" s="55">
        <f>VLOOKUP($E153,'NI-San_SP'!$C:$AN,MID(AB$1,1,2),FALSE)</f>
        <v>0</v>
      </c>
      <c r="AC153" s="55">
        <f>VLOOKUP($E153,'NI-San_SP'!$C:$AN,MID(AC$1,1,2),FALSE)</f>
        <v>0</v>
      </c>
      <c r="AD153" s="55">
        <f>VLOOKUP($E153,'NI-San_SP'!$C:$AN,MID(AD$1,1,2),FALSE)</f>
        <v>236436</v>
      </c>
      <c r="AE153" s="55">
        <f>VLOOKUP($E153,'NI-San_SP'!$C:$AN,MID(AE$1,1,2),FALSE)</f>
        <v>0</v>
      </c>
      <c r="AF153" s="55">
        <f>VLOOKUP($E153,'NI-San_SP'!$C:$AN,MID(AF$1,1,2),FALSE)</f>
        <v>0</v>
      </c>
      <c r="AG153" s="55">
        <f>VLOOKUP($E153,'NI-San_SP'!$C:$AN,MID(AG$1,1,2),FALSE)</f>
        <v>0</v>
      </c>
      <c r="AH153" s="55">
        <f>VLOOKUP($E153,'NI-San_SP'!$C:$AN,MID(AH$1,1,2),FALSE)</f>
        <v>0</v>
      </c>
      <c r="AI153" s="55">
        <f>VLOOKUP($E153,'NI-San_SP'!$C:$AN,MID(AI$1,1,2),FALSE)</f>
        <v>0</v>
      </c>
      <c r="AJ153" s="55">
        <f>VLOOKUP($E153,'NI-San_SP'!$C:$AN,MID(AJ$1,1,2),FALSE)</f>
        <v>0</v>
      </c>
      <c r="AK153" s="55">
        <f>VLOOKUP($E153,'NI-San_SP'!$C:$AN,MID(AK$1,1,2),FALSE)</f>
        <v>0</v>
      </c>
      <c r="AL153" s="55">
        <f>VLOOKUP($E153,'NI-San_SP'!$C:$AN,MID(AL$1,1,2),FALSE)</f>
        <v>0</v>
      </c>
      <c r="AM153" s="56">
        <f>VLOOKUP($E153,'NI-San_SP'!$C:$AN,MID(AM$1,1,2),FALSE)</f>
        <v>0</v>
      </c>
      <c r="AN153" s="30" t="str">
        <f t="shared" si="2"/>
        <v>10203020020010</v>
      </c>
    </row>
    <row r="154" spans="3:40" x14ac:dyDescent="0.25">
      <c r="C154" s="40"/>
      <c r="D154" s="57" t="s">
        <v>623</v>
      </c>
      <c r="E154" s="57" t="s">
        <v>624</v>
      </c>
      <c r="F154" s="58" t="s">
        <v>110</v>
      </c>
      <c r="G154" s="52"/>
      <c r="H154" s="52"/>
      <c r="I154" s="52"/>
      <c r="J154" s="52"/>
      <c r="K154" s="59" t="s">
        <v>79</v>
      </c>
      <c r="L154" s="52"/>
      <c r="M154" s="52"/>
      <c r="N154" s="52"/>
      <c r="O154" s="52"/>
      <c r="P154" s="63" t="s">
        <v>625</v>
      </c>
      <c r="Q154" s="55">
        <f>VLOOKUP(E154,'NI-San_SP'!$C:$AN,12,FALSE)</f>
        <v>6231609</v>
      </c>
      <c r="R154" s="55">
        <f>VLOOKUP(E154,'NI-San_SP'!$C:$AN,13,FALSE)</f>
        <v>6604249</v>
      </c>
      <c r="S154" s="55"/>
      <c r="T154" s="55"/>
      <c r="U154" s="55">
        <f>VLOOKUP($E154,'NI-San_SP'!$C:$AN,MID(U$1,1,2),FALSE)</f>
        <v>0</v>
      </c>
      <c r="V154" s="55">
        <f>VLOOKUP($E154,'NI-San_SP'!$C:$AN,MID(V$1,1,2),FALSE)</f>
        <v>6231609</v>
      </c>
      <c r="W154" s="55">
        <f>VLOOKUP($E154,'NI-San_SP'!$C:$AN,MID(W$1,1,2),FALSE)</f>
        <v>0</v>
      </c>
      <c r="X154" s="55">
        <f>VLOOKUP($E154,'NI-San_SP'!$C:$AN,MID(X$1,1,2),FALSE)</f>
        <v>0</v>
      </c>
      <c r="Y154" s="55">
        <f>VLOOKUP($E154,'NI-San_SP'!$C:$AN,MID(Y$1,1,2),FALSE)</f>
        <v>0</v>
      </c>
      <c r="Z154" s="55">
        <f>VLOOKUP($E154,'NI-San_SP'!$C:$AN,MID(Z$1,1,2),FALSE)</f>
        <v>0</v>
      </c>
      <c r="AA154" s="55">
        <f>VLOOKUP($E154,'NI-San_SP'!$C:$AN,MID(AA$1,1,2),FALSE)</f>
        <v>0</v>
      </c>
      <c r="AB154" s="55">
        <f>VLOOKUP($E154,'NI-San_SP'!$C:$AN,MID(AB$1,1,2),FALSE)</f>
        <v>0</v>
      </c>
      <c r="AC154" s="55">
        <f>VLOOKUP($E154,'NI-San_SP'!$C:$AN,MID(AC$1,1,2),FALSE)</f>
        <v>0</v>
      </c>
      <c r="AD154" s="55">
        <f>VLOOKUP($E154,'NI-San_SP'!$C:$AN,MID(AD$1,1,2),FALSE)</f>
        <v>372640</v>
      </c>
      <c r="AE154" s="55">
        <f>VLOOKUP($E154,'NI-San_SP'!$C:$AN,MID(AE$1,1,2),FALSE)</f>
        <v>0</v>
      </c>
      <c r="AF154" s="55">
        <f>VLOOKUP($E154,'NI-San_SP'!$C:$AN,MID(AF$1,1,2),FALSE)</f>
        <v>0</v>
      </c>
      <c r="AG154" s="55">
        <f>VLOOKUP($E154,'NI-San_SP'!$C:$AN,MID(AG$1,1,2),FALSE)</f>
        <v>0</v>
      </c>
      <c r="AH154" s="55">
        <f>VLOOKUP($E154,'NI-San_SP'!$C:$AN,MID(AH$1,1,2),FALSE)</f>
        <v>0</v>
      </c>
      <c r="AI154" s="55">
        <f>VLOOKUP($E154,'NI-San_SP'!$C:$AN,MID(AI$1,1,2),FALSE)</f>
        <v>0</v>
      </c>
      <c r="AJ154" s="55">
        <f>VLOOKUP($E154,'NI-San_SP'!$C:$AN,MID(AJ$1,1,2),FALSE)</f>
        <v>0</v>
      </c>
      <c r="AK154" s="55">
        <f>VLOOKUP($E154,'NI-San_SP'!$C:$AN,MID(AK$1,1,2),FALSE)</f>
        <v>0</v>
      </c>
      <c r="AL154" s="55">
        <f>VLOOKUP($E154,'NI-San_SP'!$C:$AN,MID(AL$1,1,2),FALSE)</f>
        <v>0</v>
      </c>
      <c r="AM154" s="56">
        <f>VLOOKUP($E154,'NI-San_SP'!$C:$AN,MID(AM$1,1,2),FALSE)</f>
        <v>0</v>
      </c>
      <c r="AN154" s="30" t="str">
        <f t="shared" si="2"/>
        <v>10203020020020</v>
      </c>
    </row>
    <row r="155" spans="3:40" x14ac:dyDescent="0.25">
      <c r="C155" s="40"/>
      <c r="D155" s="57" t="s">
        <v>626</v>
      </c>
      <c r="E155" s="57" t="s">
        <v>627</v>
      </c>
      <c r="F155" s="58" t="s">
        <v>110</v>
      </c>
      <c r="G155" s="52"/>
      <c r="H155" s="52"/>
      <c r="I155" s="52"/>
      <c r="J155" s="52"/>
      <c r="K155" s="59" t="s">
        <v>79</v>
      </c>
      <c r="L155" s="52"/>
      <c r="M155" s="52"/>
      <c r="N155" s="52"/>
      <c r="O155" s="52"/>
      <c r="P155" s="63" t="s">
        <v>628</v>
      </c>
      <c r="Q155" s="55">
        <f>VLOOKUP(E155,'NI-San_SP'!$C:$AN,12,FALSE)</f>
        <v>496938</v>
      </c>
      <c r="R155" s="55">
        <f>VLOOKUP(E155,'NI-San_SP'!$C:$AN,13,FALSE)</f>
        <v>501035</v>
      </c>
      <c r="S155" s="55"/>
      <c r="T155" s="55"/>
      <c r="U155" s="55">
        <f>VLOOKUP($E155,'NI-San_SP'!$C:$AN,MID(U$1,1,2),FALSE)</f>
        <v>0</v>
      </c>
      <c r="V155" s="55">
        <f>VLOOKUP($E155,'NI-San_SP'!$C:$AN,MID(V$1,1,2),FALSE)</f>
        <v>496938</v>
      </c>
      <c r="W155" s="55">
        <f>VLOOKUP($E155,'NI-San_SP'!$C:$AN,MID(W$1,1,2),FALSE)</f>
        <v>0</v>
      </c>
      <c r="X155" s="55">
        <f>VLOOKUP($E155,'NI-San_SP'!$C:$AN,MID(X$1,1,2),FALSE)</f>
        <v>0</v>
      </c>
      <c r="Y155" s="55">
        <f>VLOOKUP($E155,'NI-San_SP'!$C:$AN,MID(Y$1,1,2),FALSE)</f>
        <v>0</v>
      </c>
      <c r="Z155" s="55">
        <f>VLOOKUP($E155,'NI-San_SP'!$C:$AN,MID(Z$1,1,2),FALSE)</f>
        <v>0</v>
      </c>
      <c r="AA155" s="55">
        <f>VLOOKUP($E155,'NI-San_SP'!$C:$AN,MID(AA$1,1,2),FALSE)</f>
        <v>0</v>
      </c>
      <c r="AB155" s="55">
        <f>VLOOKUP($E155,'NI-San_SP'!$C:$AN,MID(AB$1,1,2),FALSE)</f>
        <v>0</v>
      </c>
      <c r="AC155" s="55">
        <f>VLOOKUP($E155,'NI-San_SP'!$C:$AN,MID(AC$1,1,2),FALSE)</f>
        <v>0</v>
      </c>
      <c r="AD155" s="55">
        <f>VLOOKUP($E155,'NI-San_SP'!$C:$AN,MID(AD$1,1,2),FALSE)</f>
        <v>4097</v>
      </c>
      <c r="AE155" s="55">
        <f>VLOOKUP($E155,'NI-San_SP'!$C:$AN,MID(AE$1,1,2),FALSE)</f>
        <v>0</v>
      </c>
      <c r="AF155" s="55">
        <f>VLOOKUP($E155,'NI-San_SP'!$C:$AN,MID(AF$1,1,2),FALSE)</f>
        <v>0</v>
      </c>
      <c r="AG155" s="55">
        <f>VLOOKUP($E155,'NI-San_SP'!$C:$AN,MID(AG$1,1,2),FALSE)</f>
        <v>0</v>
      </c>
      <c r="AH155" s="55">
        <f>VLOOKUP($E155,'NI-San_SP'!$C:$AN,MID(AH$1,1,2),FALSE)</f>
        <v>0</v>
      </c>
      <c r="AI155" s="55">
        <f>VLOOKUP($E155,'NI-San_SP'!$C:$AN,MID(AI$1,1,2),FALSE)</f>
        <v>0</v>
      </c>
      <c r="AJ155" s="55">
        <f>VLOOKUP($E155,'NI-San_SP'!$C:$AN,MID(AJ$1,1,2),FALSE)</f>
        <v>0</v>
      </c>
      <c r="AK155" s="55">
        <f>VLOOKUP($E155,'NI-San_SP'!$C:$AN,MID(AK$1,1,2),FALSE)</f>
        <v>0</v>
      </c>
      <c r="AL155" s="55">
        <f>VLOOKUP($E155,'NI-San_SP'!$C:$AN,MID(AL$1,1,2),FALSE)</f>
        <v>0</v>
      </c>
      <c r="AM155" s="56">
        <f>VLOOKUP($E155,'NI-San_SP'!$C:$AN,MID(AM$1,1,2),FALSE)</f>
        <v>0</v>
      </c>
      <c r="AN155" s="30" t="str">
        <f t="shared" si="2"/>
        <v>10203020030010</v>
      </c>
    </row>
    <row r="156" spans="3:40" x14ac:dyDescent="0.25">
      <c r="C156" s="40"/>
      <c r="D156" s="57" t="s">
        <v>629</v>
      </c>
      <c r="E156" s="57" t="s">
        <v>630</v>
      </c>
      <c r="F156" s="58" t="s">
        <v>110</v>
      </c>
      <c r="G156" s="52"/>
      <c r="H156" s="52"/>
      <c r="I156" s="52"/>
      <c r="J156" s="52"/>
      <c r="K156" s="59" t="s">
        <v>79</v>
      </c>
      <c r="L156" s="52"/>
      <c r="M156" s="52"/>
      <c r="N156" s="52"/>
      <c r="O156" s="52"/>
      <c r="P156" s="63" t="s">
        <v>631</v>
      </c>
      <c r="Q156" s="55">
        <f>VLOOKUP(E156,'NI-San_SP'!$C:$AN,12,FALSE)</f>
        <v>41026</v>
      </c>
      <c r="R156" s="55">
        <f>VLOOKUP(E156,'NI-San_SP'!$C:$AN,13,FALSE)</f>
        <v>50161</v>
      </c>
      <c r="S156" s="55"/>
      <c r="T156" s="55"/>
      <c r="U156" s="55">
        <f>VLOOKUP($E156,'NI-San_SP'!$C:$AN,MID(U$1,1,2),FALSE)</f>
        <v>0</v>
      </c>
      <c r="V156" s="55">
        <f>VLOOKUP($E156,'NI-San_SP'!$C:$AN,MID(V$1,1,2),FALSE)</f>
        <v>41026</v>
      </c>
      <c r="W156" s="55">
        <f>VLOOKUP($E156,'NI-San_SP'!$C:$AN,MID(W$1,1,2),FALSE)</f>
        <v>0</v>
      </c>
      <c r="X156" s="55">
        <f>VLOOKUP($E156,'NI-San_SP'!$C:$AN,MID(X$1,1,2),FALSE)</f>
        <v>0</v>
      </c>
      <c r="Y156" s="55">
        <f>VLOOKUP($E156,'NI-San_SP'!$C:$AN,MID(Y$1,1,2),FALSE)</f>
        <v>0</v>
      </c>
      <c r="Z156" s="55">
        <f>VLOOKUP($E156,'NI-San_SP'!$C:$AN,MID(Z$1,1,2),FALSE)</f>
        <v>0</v>
      </c>
      <c r="AA156" s="55">
        <f>VLOOKUP($E156,'NI-San_SP'!$C:$AN,MID(AA$1,1,2),FALSE)</f>
        <v>0</v>
      </c>
      <c r="AB156" s="55">
        <f>VLOOKUP($E156,'NI-San_SP'!$C:$AN,MID(AB$1,1,2),FALSE)</f>
        <v>0</v>
      </c>
      <c r="AC156" s="55">
        <f>VLOOKUP($E156,'NI-San_SP'!$C:$AN,MID(AC$1,1,2),FALSE)</f>
        <v>0</v>
      </c>
      <c r="AD156" s="55">
        <f>VLOOKUP($E156,'NI-San_SP'!$C:$AN,MID(AD$1,1,2),FALSE)</f>
        <v>9135</v>
      </c>
      <c r="AE156" s="55">
        <f>VLOOKUP($E156,'NI-San_SP'!$C:$AN,MID(AE$1,1,2),FALSE)</f>
        <v>0</v>
      </c>
      <c r="AF156" s="55">
        <f>VLOOKUP($E156,'NI-San_SP'!$C:$AN,MID(AF$1,1,2),FALSE)</f>
        <v>0</v>
      </c>
      <c r="AG156" s="55">
        <f>VLOOKUP($E156,'NI-San_SP'!$C:$AN,MID(AG$1,1,2),FALSE)</f>
        <v>0</v>
      </c>
      <c r="AH156" s="55">
        <f>VLOOKUP($E156,'NI-San_SP'!$C:$AN,MID(AH$1,1,2),FALSE)</f>
        <v>0</v>
      </c>
      <c r="AI156" s="55">
        <f>VLOOKUP($E156,'NI-San_SP'!$C:$AN,MID(AI$1,1,2),FALSE)</f>
        <v>0</v>
      </c>
      <c r="AJ156" s="55">
        <f>VLOOKUP($E156,'NI-San_SP'!$C:$AN,MID(AJ$1,1,2),FALSE)</f>
        <v>0</v>
      </c>
      <c r="AK156" s="55">
        <f>VLOOKUP($E156,'NI-San_SP'!$C:$AN,MID(AK$1,1,2),FALSE)</f>
        <v>0</v>
      </c>
      <c r="AL156" s="55">
        <f>VLOOKUP($E156,'NI-San_SP'!$C:$AN,MID(AL$1,1,2),FALSE)</f>
        <v>0</v>
      </c>
      <c r="AM156" s="56">
        <f>VLOOKUP($E156,'NI-San_SP'!$C:$AN,MID(AM$1,1,2),FALSE)</f>
        <v>0</v>
      </c>
      <c r="AN156" s="30" t="str">
        <f t="shared" si="2"/>
        <v>10203020030020</v>
      </c>
    </row>
    <row r="157" spans="3:40" x14ac:dyDescent="0.25">
      <c r="C157" s="40"/>
      <c r="D157" s="57" t="s">
        <v>632</v>
      </c>
      <c r="E157" s="57" t="s">
        <v>633</v>
      </c>
      <c r="F157" s="58" t="s">
        <v>110</v>
      </c>
      <c r="G157" s="52"/>
      <c r="H157" s="52"/>
      <c r="I157" s="52"/>
      <c r="J157" s="52"/>
      <c r="K157" s="59" t="s">
        <v>79</v>
      </c>
      <c r="L157" s="52"/>
      <c r="M157" s="52"/>
      <c r="N157" s="52"/>
      <c r="O157" s="52"/>
      <c r="P157" s="63" t="s">
        <v>634</v>
      </c>
      <c r="Q157" s="55">
        <f>VLOOKUP(E157,'NI-San_SP'!$C:$AN,12,FALSE)</f>
        <v>667438</v>
      </c>
      <c r="R157" s="55">
        <f>VLOOKUP(E157,'NI-San_SP'!$C:$AN,13,FALSE)</f>
        <v>667840</v>
      </c>
      <c r="S157" s="55"/>
      <c r="T157" s="55"/>
      <c r="U157" s="55">
        <f>VLOOKUP($E157,'NI-San_SP'!$C:$AN,MID(U$1,1,2),FALSE)</f>
        <v>0</v>
      </c>
      <c r="V157" s="55">
        <f>VLOOKUP($E157,'NI-San_SP'!$C:$AN,MID(V$1,1,2),FALSE)</f>
        <v>667438</v>
      </c>
      <c r="W157" s="55">
        <f>VLOOKUP($E157,'NI-San_SP'!$C:$AN,MID(W$1,1,2),FALSE)</f>
        <v>0</v>
      </c>
      <c r="X157" s="55">
        <f>VLOOKUP($E157,'NI-San_SP'!$C:$AN,MID(X$1,1,2),FALSE)</f>
        <v>0</v>
      </c>
      <c r="Y157" s="55">
        <f>VLOOKUP($E157,'NI-San_SP'!$C:$AN,MID(Y$1,1,2),FALSE)</f>
        <v>0</v>
      </c>
      <c r="Z157" s="55">
        <f>VLOOKUP($E157,'NI-San_SP'!$C:$AN,MID(Z$1,1,2),FALSE)</f>
        <v>0</v>
      </c>
      <c r="AA157" s="55">
        <f>VLOOKUP($E157,'NI-San_SP'!$C:$AN,MID(AA$1,1,2),FALSE)</f>
        <v>0</v>
      </c>
      <c r="AB157" s="55">
        <f>VLOOKUP($E157,'NI-San_SP'!$C:$AN,MID(AB$1,1,2),FALSE)</f>
        <v>0</v>
      </c>
      <c r="AC157" s="55">
        <f>VLOOKUP($E157,'NI-San_SP'!$C:$AN,MID(AC$1,1,2),FALSE)</f>
        <v>0</v>
      </c>
      <c r="AD157" s="55">
        <f>VLOOKUP($E157,'NI-San_SP'!$C:$AN,MID(AD$1,1,2),FALSE)</f>
        <v>402</v>
      </c>
      <c r="AE157" s="55">
        <f>VLOOKUP($E157,'NI-San_SP'!$C:$AN,MID(AE$1,1,2),FALSE)</f>
        <v>0</v>
      </c>
      <c r="AF157" s="55">
        <f>VLOOKUP($E157,'NI-San_SP'!$C:$AN,MID(AF$1,1,2),FALSE)</f>
        <v>0</v>
      </c>
      <c r="AG157" s="55">
        <f>VLOOKUP($E157,'NI-San_SP'!$C:$AN,MID(AG$1,1,2),FALSE)</f>
        <v>0</v>
      </c>
      <c r="AH157" s="55">
        <f>VLOOKUP($E157,'NI-San_SP'!$C:$AN,MID(AH$1,1,2),FALSE)</f>
        <v>0</v>
      </c>
      <c r="AI157" s="55">
        <f>VLOOKUP($E157,'NI-San_SP'!$C:$AN,MID(AI$1,1,2),FALSE)</f>
        <v>0</v>
      </c>
      <c r="AJ157" s="55">
        <f>VLOOKUP($E157,'NI-San_SP'!$C:$AN,MID(AJ$1,1,2),FALSE)</f>
        <v>0</v>
      </c>
      <c r="AK157" s="55">
        <f>VLOOKUP($E157,'NI-San_SP'!$C:$AN,MID(AK$1,1,2),FALSE)</f>
        <v>0</v>
      </c>
      <c r="AL157" s="55">
        <f>VLOOKUP($E157,'NI-San_SP'!$C:$AN,MID(AL$1,1,2),FALSE)</f>
        <v>0</v>
      </c>
      <c r="AM157" s="56">
        <f>VLOOKUP($E157,'NI-San_SP'!$C:$AN,MID(AM$1,1,2),FALSE)</f>
        <v>0</v>
      </c>
      <c r="AN157" s="30" t="str">
        <f t="shared" si="2"/>
        <v>10203020040010</v>
      </c>
    </row>
    <row r="158" spans="3:40" x14ac:dyDescent="0.25">
      <c r="C158" s="40"/>
      <c r="D158" s="57" t="s">
        <v>635</v>
      </c>
      <c r="E158" s="57" t="s">
        <v>636</v>
      </c>
      <c r="F158" s="58" t="s">
        <v>110</v>
      </c>
      <c r="G158" s="52"/>
      <c r="H158" s="52"/>
      <c r="I158" s="52"/>
      <c r="J158" s="52"/>
      <c r="K158" s="59" t="s">
        <v>79</v>
      </c>
      <c r="L158" s="52"/>
      <c r="M158" s="52"/>
      <c r="N158" s="52"/>
      <c r="O158" s="52"/>
      <c r="P158" s="63" t="s">
        <v>637</v>
      </c>
      <c r="Q158" s="55">
        <f>VLOOKUP(E158,'NI-San_SP'!$C:$AN,12,FALSE)</f>
        <v>126115</v>
      </c>
      <c r="R158" s="55">
        <f>VLOOKUP(E158,'NI-San_SP'!$C:$AN,13,FALSE)</f>
        <v>170383</v>
      </c>
      <c r="S158" s="55"/>
      <c r="T158" s="55"/>
      <c r="U158" s="55">
        <f>VLOOKUP($E158,'NI-San_SP'!$C:$AN,MID(U$1,1,2),FALSE)</f>
        <v>0</v>
      </c>
      <c r="V158" s="55">
        <f>VLOOKUP($E158,'NI-San_SP'!$C:$AN,MID(V$1,1,2),FALSE)</f>
        <v>126115</v>
      </c>
      <c r="W158" s="55">
        <f>VLOOKUP($E158,'NI-San_SP'!$C:$AN,MID(W$1,1,2),FALSE)</f>
        <v>0</v>
      </c>
      <c r="X158" s="55">
        <f>VLOOKUP($E158,'NI-San_SP'!$C:$AN,MID(X$1,1,2),FALSE)</f>
        <v>0</v>
      </c>
      <c r="Y158" s="55">
        <f>VLOOKUP($E158,'NI-San_SP'!$C:$AN,MID(Y$1,1,2),FALSE)</f>
        <v>0</v>
      </c>
      <c r="Z158" s="55">
        <f>VLOOKUP($E158,'NI-San_SP'!$C:$AN,MID(Z$1,1,2),FALSE)</f>
        <v>0</v>
      </c>
      <c r="AA158" s="55">
        <f>VLOOKUP($E158,'NI-San_SP'!$C:$AN,MID(AA$1,1,2),FALSE)</f>
        <v>0</v>
      </c>
      <c r="AB158" s="55">
        <f>VLOOKUP($E158,'NI-San_SP'!$C:$AN,MID(AB$1,1,2),FALSE)</f>
        <v>0</v>
      </c>
      <c r="AC158" s="55">
        <f>VLOOKUP($E158,'NI-San_SP'!$C:$AN,MID(AC$1,1,2),FALSE)</f>
        <v>0</v>
      </c>
      <c r="AD158" s="55">
        <f>VLOOKUP($E158,'NI-San_SP'!$C:$AN,MID(AD$1,1,2),FALSE)</f>
        <v>44268</v>
      </c>
      <c r="AE158" s="55">
        <f>VLOOKUP($E158,'NI-San_SP'!$C:$AN,MID(AE$1,1,2),FALSE)</f>
        <v>0</v>
      </c>
      <c r="AF158" s="55">
        <f>VLOOKUP($E158,'NI-San_SP'!$C:$AN,MID(AF$1,1,2),FALSE)</f>
        <v>0</v>
      </c>
      <c r="AG158" s="55">
        <f>VLOOKUP($E158,'NI-San_SP'!$C:$AN,MID(AG$1,1,2),FALSE)</f>
        <v>0</v>
      </c>
      <c r="AH158" s="55">
        <f>VLOOKUP($E158,'NI-San_SP'!$C:$AN,MID(AH$1,1,2),FALSE)</f>
        <v>0</v>
      </c>
      <c r="AI158" s="55">
        <f>VLOOKUP($E158,'NI-San_SP'!$C:$AN,MID(AI$1,1,2),FALSE)</f>
        <v>0</v>
      </c>
      <c r="AJ158" s="55">
        <f>VLOOKUP($E158,'NI-San_SP'!$C:$AN,MID(AJ$1,1,2),FALSE)</f>
        <v>0</v>
      </c>
      <c r="AK158" s="55">
        <f>VLOOKUP($E158,'NI-San_SP'!$C:$AN,MID(AK$1,1,2),FALSE)</f>
        <v>0</v>
      </c>
      <c r="AL158" s="55">
        <f>VLOOKUP($E158,'NI-San_SP'!$C:$AN,MID(AL$1,1,2),FALSE)</f>
        <v>0</v>
      </c>
      <c r="AM158" s="56">
        <f>VLOOKUP($E158,'NI-San_SP'!$C:$AN,MID(AM$1,1,2),FALSE)</f>
        <v>0</v>
      </c>
      <c r="AN158" s="30" t="str">
        <f t="shared" si="2"/>
        <v>10203020040020</v>
      </c>
    </row>
    <row r="159" spans="3:40" x14ac:dyDescent="0.25">
      <c r="C159" s="40"/>
      <c r="D159" s="57" t="s">
        <v>638</v>
      </c>
      <c r="E159" s="57" t="s">
        <v>639</v>
      </c>
      <c r="F159" s="58" t="s">
        <v>110</v>
      </c>
      <c r="G159" s="52"/>
      <c r="H159" s="52"/>
      <c r="I159" s="52"/>
      <c r="J159" s="52"/>
      <c r="K159" s="59" t="s">
        <v>79</v>
      </c>
      <c r="L159" s="52"/>
      <c r="M159" s="52"/>
      <c r="N159" s="52"/>
      <c r="O159" s="52"/>
      <c r="P159" s="63" t="s">
        <v>640</v>
      </c>
      <c r="Q159" s="55">
        <f>VLOOKUP(E159,'NI-San_SP'!$C:$AN,12,FALSE)</f>
        <v>1125180</v>
      </c>
      <c r="R159" s="55">
        <f>VLOOKUP(E159,'NI-San_SP'!$C:$AN,13,FALSE)</f>
        <v>1139446</v>
      </c>
      <c r="S159" s="55"/>
      <c r="T159" s="55"/>
      <c r="U159" s="55">
        <f>VLOOKUP($E159,'NI-San_SP'!$C:$AN,MID(U$1,1,2),FALSE)</f>
        <v>0</v>
      </c>
      <c r="V159" s="55">
        <f>VLOOKUP($E159,'NI-San_SP'!$C:$AN,MID(V$1,1,2),FALSE)</f>
        <v>1125180</v>
      </c>
      <c r="W159" s="55">
        <f>VLOOKUP($E159,'NI-San_SP'!$C:$AN,MID(W$1,1,2),FALSE)</f>
        <v>0</v>
      </c>
      <c r="X159" s="55">
        <f>VLOOKUP($E159,'NI-San_SP'!$C:$AN,MID(X$1,1,2),FALSE)</f>
        <v>0</v>
      </c>
      <c r="Y159" s="55">
        <f>VLOOKUP($E159,'NI-San_SP'!$C:$AN,MID(Y$1,1,2),FALSE)</f>
        <v>0</v>
      </c>
      <c r="Z159" s="55">
        <f>VLOOKUP($E159,'NI-San_SP'!$C:$AN,MID(Z$1,1,2),FALSE)</f>
        <v>0</v>
      </c>
      <c r="AA159" s="55">
        <f>VLOOKUP($E159,'NI-San_SP'!$C:$AN,MID(AA$1,1,2),FALSE)</f>
        <v>0</v>
      </c>
      <c r="AB159" s="55">
        <f>VLOOKUP($E159,'NI-San_SP'!$C:$AN,MID(AB$1,1,2),FALSE)</f>
        <v>0</v>
      </c>
      <c r="AC159" s="55">
        <f>VLOOKUP($E159,'NI-San_SP'!$C:$AN,MID(AC$1,1,2),FALSE)</f>
        <v>0</v>
      </c>
      <c r="AD159" s="55">
        <f>VLOOKUP($E159,'NI-San_SP'!$C:$AN,MID(AD$1,1,2),FALSE)</f>
        <v>14266</v>
      </c>
      <c r="AE159" s="55">
        <f>VLOOKUP($E159,'NI-San_SP'!$C:$AN,MID(AE$1,1,2),FALSE)</f>
        <v>0</v>
      </c>
      <c r="AF159" s="55">
        <f>VLOOKUP($E159,'NI-San_SP'!$C:$AN,MID(AF$1,1,2),FALSE)</f>
        <v>0</v>
      </c>
      <c r="AG159" s="55">
        <f>VLOOKUP($E159,'NI-San_SP'!$C:$AN,MID(AG$1,1,2),FALSE)</f>
        <v>0</v>
      </c>
      <c r="AH159" s="55">
        <f>VLOOKUP($E159,'NI-San_SP'!$C:$AN,MID(AH$1,1,2),FALSE)</f>
        <v>0</v>
      </c>
      <c r="AI159" s="55">
        <f>VLOOKUP($E159,'NI-San_SP'!$C:$AN,MID(AI$1,1,2),FALSE)</f>
        <v>0</v>
      </c>
      <c r="AJ159" s="55">
        <f>VLOOKUP($E159,'NI-San_SP'!$C:$AN,MID(AJ$1,1,2),FALSE)</f>
        <v>0</v>
      </c>
      <c r="AK159" s="55">
        <f>VLOOKUP($E159,'NI-San_SP'!$C:$AN,MID(AK$1,1,2),FALSE)</f>
        <v>0</v>
      </c>
      <c r="AL159" s="55">
        <f>VLOOKUP($E159,'NI-San_SP'!$C:$AN,MID(AL$1,1,2),FALSE)</f>
        <v>0</v>
      </c>
      <c r="AM159" s="56">
        <f>VLOOKUP($E159,'NI-San_SP'!$C:$AN,MID(AM$1,1,2),FALSE)</f>
        <v>0</v>
      </c>
      <c r="AN159" s="30" t="str">
        <f t="shared" si="2"/>
        <v>10203020050010</v>
      </c>
    </row>
    <row r="160" spans="3:40" x14ac:dyDescent="0.25">
      <c r="C160" s="40"/>
      <c r="D160" s="57" t="s">
        <v>641</v>
      </c>
      <c r="E160" s="57" t="s">
        <v>642</v>
      </c>
      <c r="F160" s="58" t="s">
        <v>110</v>
      </c>
      <c r="G160" s="52"/>
      <c r="H160" s="52"/>
      <c r="I160" s="52"/>
      <c r="J160" s="52"/>
      <c r="K160" s="59" t="s">
        <v>79</v>
      </c>
      <c r="L160" s="52"/>
      <c r="M160" s="52"/>
      <c r="N160" s="52"/>
      <c r="O160" s="52"/>
      <c r="P160" s="63" t="s">
        <v>643</v>
      </c>
      <c r="Q160" s="55">
        <f>VLOOKUP(E160,'NI-San_SP'!$C:$AN,12,FALSE)</f>
        <v>3528624</v>
      </c>
      <c r="R160" s="55">
        <f>VLOOKUP(E160,'NI-San_SP'!$C:$AN,13,FALSE)</f>
        <v>3866339</v>
      </c>
      <c r="S160" s="55"/>
      <c r="T160" s="55"/>
      <c r="U160" s="55">
        <f>VLOOKUP($E160,'NI-San_SP'!$C:$AN,MID(U$1,1,2),FALSE)</f>
        <v>0</v>
      </c>
      <c r="V160" s="55">
        <f>VLOOKUP($E160,'NI-San_SP'!$C:$AN,MID(V$1,1,2),FALSE)</f>
        <v>3528624</v>
      </c>
      <c r="W160" s="55">
        <f>VLOOKUP($E160,'NI-San_SP'!$C:$AN,MID(W$1,1,2),FALSE)</f>
        <v>0</v>
      </c>
      <c r="X160" s="55">
        <f>VLOOKUP($E160,'NI-San_SP'!$C:$AN,MID(X$1,1,2),FALSE)</f>
        <v>0</v>
      </c>
      <c r="Y160" s="55">
        <f>VLOOKUP($E160,'NI-San_SP'!$C:$AN,MID(Y$1,1,2),FALSE)</f>
        <v>0</v>
      </c>
      <c r="Z160" s="55">
        <f>VLOOKUP($E160,'NI-San_SP'!$C:$AN,MID(Z$1,1,2),FALSE)</f>
        <v>0</v>
      </c>
      <c r="AA160" s="55">
        <f>VLOOKUP($E160,'NI-San_SP'!$C:$AN,MID(AA$1,1,2),FALSE)</f>
        <v>0</v>
      </c>
      <c r="AB160" s="55">
        <f>VLOOKUP($E160,'NI-San_SP'!$C:$AN,MID(AB$1,1,2),FALSE)</f>
        <v>0</v>
      </c>
      <c r="AC160" s="55">
        <f>VLOOKUP($E160,'NI-San_SP'!$C:$AN,MID(AC$1,1,2),FALSE)</f>
        <v>0</v>
      </c>
      <c r="AD160" s="55">
        <f>VLOOKUP($E160,'NI-San_SP'!$C:$AN,MID(AD$1,1,2),FALSE)</f>
        <v>337715</v>
      </c>
      <c r="AE160" s="55">
        <f>VLOOKUP($E160,'NI-San_SP'!$C:$AN,MID(AE$1,1,2),FALSE)</f>
        <v>0</v>
      </c>
      <c r="AF160" s="55">
        <f>VLOOKUP($E160,'NI-San_SP'!$C:$AN,MID(AF$1,1,2),FALSE)</f>
        <v>0</v>
      </c>
      <c r="AG160" s="55">
        <f>VLOOKUP($E160,'NI-San_SP'!$C:$AN,MID(AG$1,1,2),FALSE)</f>
        <v>0</v>
      </c>
      <c r="AH160" s="55">
        <f>VLOOKUP($E160,'NI-San_SP'!$C:$AN,MID(AH$1,1,2),FALSE)</f>
        <v>0</v>
      </c>
      <c r="AI160" s="55">
        <f>VLOOKUP($E160,'NI-San_SP'!$C:$AN,MID(AI$1,1,2),FALSE)</f>
        <v>0</v>
      </c>
      <c r="AJ160" s="55">
        <f>VLOOKUP($E160,'NI-San_SP'!$C:$AN,MID(AJ$1,1,2),FALSE)</f>
        <v>0</v>
      </c>
      <c r="AK160" s="55">
        <f>VLOOKUP($E160,'NI-San_SP'!$C:$AN,MID(AK$1,1,2),FALSE)</f>
        <v>0</v>
      </c>
      <c r="AL160" s="55">
        <f>VLOOKUP($E160,'NI-San_SP'!$C:$AN,MID(AL$1,1,2),FALSE)</f>
        <v>0</v>
      </c>
      <c r="AM160" s="56">
        <f>VLOOKUP($E160,'NI-San_SP'!$C:$AN,MID(AM$1,1,2),FALSE)</f>
        <v>0</v>
      </c>
      <c r="AN160" s="30" t="str">
        <f t="shared" si="2"/>
        <v>10203020050020</v>
      </c>
    </row>
    <row r="161" spans="3:40" x14ac:dyDescent="0.25">
      <c r="C161" s="40"/>
      <c r="D161" s="57" t="s">
        <v>644</v>
      </c>
      <c r="E161" s="57" t="s">
        <v>645</v>
      </c>
      <c r="F161" s="58" t="s">
        <v>110</v>
      </c>
      <c r="G161" s="52"/>
      <c r="H161" s="52"/>
      <c r="I161" s="52"/>
      <c r="J161" s="52"/>
      <c r="K161" s="59" t="s">
        <v>79</v>
      </c>
      <c r="L161" s="52"/>
      <c r="M161" s="52"/>
      <c r="N161" s="52"/>
      <c r="O161" s="52"/>
      <c r="P161" s="63" t="s">
        <v>646</v>
      </c>
      <c r="Q161" s="55">
        <f>VLOOKUP(E161,'NI-San_SP'!$C:$AN,12,FALSE)</f>
        <v>743073</v>
      </c>
      <c r="R161" s="55">
        <f>VLOOKUP(E161,'NI-San_SP'!$C:$AN,13,FALSE)</f>
        <v>743073</v>
      </c>
      <c r="S161" s="55"/>
      <c r="T161" s="55"/>
      <c r="U161" s="55">
        <f>VLOOKUP($E161,'NI-San_SP'!$C:$AN,MID(U$1,1,2),FALSE)</f>
        <v>0</v>
      </c>
      <c r="V161" s="55">
        <f>VLOOKUP($E161,'NI-San_SP'!$C:$AN,MID(V$1,1,2),FALSE)</f>
        <v>743073</v>
      </c>
      <c r="W161" s="55">
        <f>VLOOKUP($E161,'NI-San_SP'!$C:$AN,MID(W$1,1,2),FALSE)</f>
        <v>0</v>
      </c>
      <c r="X161" s="55">
        <f>VLOOKUP($E161,'NI-San_SP'!$C:$AN,MID(X$1,1,2),FALSE)</f>
        <v>0</v>
      </c>
      <c r="Y161" s="55">
        <f>VLOOKUP($E161,'NI-San_SP'!$C:$AN,MID(Y$1,1,2),FALSE)</f>
        <v>0</v>
      </c>
      <c r="Z161" s="55">
        <f>VLOOKUP($E161,'NI-San_SP'!$C:$AN,MID(Z$1,1,2),FALSE)</f>
        <v>0</v>
      </c>
      <c r="AA161" s="55">
        <f>VLOOKUP($E161,'NI-San_SP'!$C:$AN,MID(AA$1,1,2),FALSE)</f>
        <v>0</v>
      </c>
      <c r="AB161" s="55">
        <f>VLOOKUP($E161,'NI-San_SP'!$C:$AN,MID(AB$1,1,2),FALSE)</f>
        <v>0</v>
      </c>
      <c r="AC161" s="55">
        <f>VLOOKUP($E161,'NI-San_SP'!$C:$AN,MID(AC$1,1,2),FALSE)</f>
        <v>0</v>
      </c>
      <c r="AD161" s="55">
        <f>VLOOKUP($E161,'NI-San_SP'!$C:$AN,MID(AD$1,1,2),FALSE)</f>
        <v>0</v>
      </c>
      <c r="AE161" s="55">
        <f>VLOOKUP($E161,'NI-San_SP'!$C:$AN,MID(AE$1,1,2),FALSE)</f>
        <v>0</v>
      </c>
      <c r="AF161" s="55">
        <f>VLOOKUP($E161,'NI-San_SP'!$C:$AN,MID(AF$1,1,2),FALSE)</f>
        <v>0</v>
      </c>
      <c r="AG161" s="55">
        <f>VLOOKUP($E161,'NI-San_SP'!$C:$AN,MID(AG$1,1,2),FALSE)</f>
        <v>0</v>
      </c>
      <c r="AH161" s="55">
        <f>VLOOKUP($E161,'NI-San_SP'!$C:$AN,MID(AH$1,1,2),FALSE)</f>
        <v>0</v>
      </c>
      <c r="AI161" s="55">
        <f>VLOOKUP($E161,'NI-San_SP'!$C:$AN,MID(AI$1,1,2),FALSE)</f>
        <v>0</v>
      </c>
      <c r="AJ161" s="55">
        <f>VLOOKUP($E161,'NI-San_SP'!$C:$AN,MID(AJ$1,1,2),FALSE)</f>
        <v>0</v>
      </c>
      <c r="AK161" s="55">
        <f>VLOOKUP($E161,'NI-San_SP'!$C:$AN,MID(AK$1,1,2),FALSE)</f>
        <v>0</v>
      </c>
      <c r="AL161" s="55">
        <f>VLOOKUP($E161,'NI-San_SP'!$C:$AN,MID(AL$1,1,2),FALSE)</f>
        <v>0</v>
      </c>
      <c r="AM161" s="56">
        <f>VLOOKUP($E161,'NI-San_SP'!$C:$AN,MID(AM$1,1,2),FALSE)</f>
        <v>0</v>
      </c>
      <c r="AN161" s="30" t="str">
        <f t="shared" si="2"/>
        <v>10203020060010</v>
      </c>
    </row>
    <row r="162" spans="3:40" x14ac:dyDescent="0.25">
      <c r="C162" s="40"/>
      <c r="D162" s="57" t="s">
        <v>647</v>
      </c>
      <c r="E162" s="57" t="s">
        <v>648</v>
      </c>
      <c r="F162" s="58" t="s">
        <v>110</v>
      </c>
      <c r="G162" s="52"/>
      <c r="H162" s="52"/>
      <c r="I162" s="52"/>
      <c r="J162" s="52"/>
      <c r="K162" s="59" t="s">
        <v>79</v>
      </c>
      <c r="L162" s="52"/>
      <c r="M162" s="52"/>
      <c r="N162" s="52"/>
      <c r="O162" s="52"/>
      <c r="P162" s="63" t="s">
        <v>649</v>
      </c>
      <c r="Q162" s="55">
        <f>VLOOKUP(E162,'NI-San_SP'!$C:$AN,12,FALSE)</f>
        <v>20080</v>
      </c>
      <c r="R162" s="55">
        <f>VLOOKUP(E162,'NI-San_SP'!$C:$AN,13,FALSE)</f>
        <v>23086</v>
      </c>
      <c r="S162" s="55"/>
      <c r="T162" s="55"/>
      <c r="U162" s="55">
        <f>VLOOKUP($E162,'NI-San_SP'!$C:$AN,MID(U$1,1,2),FALSE)</f>
        <v>0</v>
      </c>
      <c r="V162" s="55">
        <f>VLOOKUP($E162,'NI-San_SP'!$C:$AN,MID(V$1,1,2),FALSE)</f>
        <v>20080</v>
      </c>
      <c r="W162" s="55">
        <f>VLOOKUP($E162,'NI-San_SP'!$C:$AN,MID(W$1,1,2),FALSE)</f>
        <v>0</v>
      </c>
      <c r="X162" s="55">
        <f>VLOOKUP($E162,'NI-San_SP'!$C:$AN,MID(X$1,1,2),FALSE)</f>
        <v>0</v>
      </c>
      <c r="Y162" s="55">
        <f>VLOOKUP($E162,'NI-San_SP'!$C:$AN,MID(Y$1,1,2),FALSE)</f>
        <v>0</v>
      </c>
      <c r="Z162" s="55">
        <f>VLOOKUP($E162,'NI-San_SP'!$C:$AN,MID(Z$1,1,2),FALSE)</f>
        <v>0</v>
      </c>
      <c r="AA162" s="55">
        <f>VLOOKUP($E162,'NI-San_SP'!$C:$AN,MID(AA$1,1,2),FALSE)</f>
        <v>0</v>
      </c>
      <c r="AB162" s="55">
        <f>VLOOKUP($E162,'NI-San_SP'!$C:$AN,MID(AB$1,1,2),FALSE)</f>
        <v>0</v>
      </c>
      <c r="AC162" s="55">
        <f>VLOOKUP($E162,'NI-San_SP'!$C:$AN,MID(AC$1,1,2),FALSE)</f>
        <v>0</v>
      </c>
      <c r="AD162" s="55">
        <f>VLOOKUP($E162,'NI-San_SP'!$C:$AN,MID(AD$1,1,2),FALSE)</f>
        <v>3006</v>
      </c>
      <c r="AE162" s="55">
        <f>VLOOKUP($E162,'NI-San_SP'!$C:$AN,MID(AE$1,1,2),FALSE)</f>
        <v>0</v>
      </c>
      <c r="AF162" s="55">
        <f>VLOOKUP($E162,'NI-San_SP'!$C:$AN,MID(AF$1,1,2),FALSE)</f>
        <v>0</v>
      </c>
      <c r="AG162" s="55">
        <f>VLOOKUP($E162,'NI-San_SP'!$C:$AN,MID(AG$1,1,2),FALSE)</f>
        <v>0</v>
      </c>
      <c r="AH162" s="55">
        <f>VLOOKUP($E162,'NI-San_SP'!$C:$AN,MID(AH$1,1,2),FALSE)</f>
        <v>0</v>
      </c>
      <c r="AI162" s="55">
        <f>VLOOKUP($E162,'NI-San_SP'!$C:$AN,MID(AI$1,1,2),FALSE)</f>
        <v>0</v>
      </c>
      <c r="AJ162" s="55">
        <f>VLOOKUP($E162,'NI-San_SP'!$C:$AN,MID(AJ$1,1,2),FALSE)</f>
        <v>0</v>
      </c>
      <c r="AK162" s="55">
        <f>VLOOKUP($E162,'NI-San_SP'!$C:$AN,MID(AK$1,1,2),FALSE)</f>
        <v>0</v>
      </c>
      <c r="AL162" s="55">
        <f>VLOOKUP($E162,'NI-San_SP'!$C:$AN,MID(AL$1,1,2),FALSE)</f>
        <v>0</v>
      </c>
      <c r="AM162" s="56">
        <f>VLOOKUP($E162,'NI-San_SP'!$C:$AN,MID(AM$1,1,2),FALSE)</f>
        <v>0</v>
      </c>
      <c r="AN162" s="30" t="str">
        <f t="shared" si="2"/>
        <v>10203020060020</v>
      </c>
    </row>
    <row r="163" spans="3:40" x14ac:dyDescent="0.25">
      <c r="C163" s="40"/>
      <c r="D163" s="57" t="s">
        <v>650</v>
      </c>
      <c r="E163" s="57" t="s">
        <v>651</v>
      </c>
      <c r="F163" s="58" t="s">
        <v>110</v>
      </c>
      <c r="G163" s="52"/>
      <c r="H163" s="52"/>
      <c r="I163" s="52"/>
      <c r="J163" s="52"/>
      <c r="K163" s="59" t="s">
        <v>79</v>
      </c>
      <c r="L163" s="52"/>
      <c r="M163" s="52"/>
      <c r="N163" s="52"/>
      <c r="O163" s="52"/>
      <c r="P163" s="63" t="s">
        <v>652</v>
      </c>
      <c r="Q163" s="55">
        <f>VLOOKUP(E163,'NI-San_SP'!$C:$AN,12,FALSE)</f>
        <v>5395184</v>
      </c>
      <c r="R163" s="55">
        <f>VLOOKUP(E163,'NI-San_SP'!$C:$AN,13,FALSE)</f>
        <v>5621796</v>
      </c>
      <c r="S163" s="55"/>
      <c r="T163" s="55"/>
      <c r="U163" s="55">
        <f>VLOOKUP($E163,'NI-San_SP'!$C:$AN,MID(U$1,1,2),FALSE)</f>
        <v>0</v>
      </c>
      <c r="V163" s="55">
        <f>VLOOKUP($E163,'NI-San_SP'!$C:$AN,MID(V$1,1,2),FALSE)</f>
        <v>5395184</v>
      </c>
      <c r="W163" s="55">
        <f>VLOOKUP($E163,'NI-San_SP'!$C:$AN,MID(W$1,1,2),FALSE)</f>
        <v>0</v>
      </c>
      <c r="X163" s="55">
        <f>VLOOKUP($E163,'NI-San_SP'!$C:$AN,MID(X$1,1,2),FALSE)</f>
        <v>0</v>
      </c>
      <c r="Y163" s="55">
        <f>VLOOKUP($E163,'NI-San_SP'!$C:$AN,MID(Y$1,1,2),FALSE)</f>
        <v>0</v>
      </c>
      <c r="Z163" s="55">
        <f>VLOOKUP($E163,'NI-San_SP'!$C:$AN,MID(Z$1,1,2),FALSE)</f>
        <v>0</v>
      </c>
      <c r="AA163" s="55">
        <f>VLOOKUP($E163,'NI-San_SP'!$C:$AN,MID(AA$1,1,2),FALSE)</f>
        <v>0</v>
      </c>
      <c r="AB163" s="55">
        <f>VLOOKUP($E163,'NI-San_SP'!$C:$AN,MID(AB$1,1,2),FALSE)</f>
        <v>0</v>
      </c>
      <c r="AC163" s="55">
        <f>VLOOKUP($E163,'NI-San_SP'!$C:$AN,MID(AC$1,1,2),FALSE)</f>
        <v>0</v>
      </c>
      <c r="AD163" s="55">
        <f>VLOOKUP($E163,'NI-San_SP'!$C:$AN,MID(AD$1,1,2),FALSE)</f>
        <v>226612</v>
      </c>
      <c r="AE163" s="55">
        <f>VLOOKUP($E163,'NI-San_SP'!$C:$AN,MID(AE$1,1,2),FALSE)</f>
        <v>0</v>
      </c>
      <c r="AF163" s="55">
        <f>VLOOKUP($E163,'NI-San_SP'!$C:$AN,MID(AF$1,1,2),FALSE)</f>
        <v>0</v>
      </c>
      <c r="AG163" s="55">
        <f>VLOOKUP($E163,'NI-San_SP'!$C:$AN,MID(AG$1,1,2),FALSE)</f>
        <v>0</v>
      </c>
      <c r="AH163" s="55">
        <f>VLOOKUP($E163,'NI-San_SP'!$C:$AN,MID(AH$1,1,2),FALSE)</f>
        <v>0</v>
      </c>
      <c r="AI163" s="55">
        <f>VLOOKUP($E163,'NI-San_SP'!$C:$AN,MID(AI$1,1,2),FALSE)</f>
        <v>0</v>
      </c>
      <c r="AJ163" s="55">
        <f>VLOOKUP($E163,'NI-San_SP'!$C:$AN,MID(AJ$1,1,2),FALSE)</f>
        <v>0</v>
      </c>
      <c r="AK163" s="55">
        <f>VLOOKUP($E163,'NI-San_SP'!$C:$AN,MID(AK$1,1,2),FALSE)</f>
        <v>0</v>
      </c>
      <c r="AL163" s="55">
        <f>VLOOKUP($E163,'NI-San_SP'!$C:$AN,MID(AL$1,1,2),FALSE)</f>
        <v>0</v>
      </c>
      <c r="AM163" s="56">
        <f>VLOOKUP($E163,'NI-San_SP'!$C:$AN,MID(AM$1,1,2),FALSE)</f>
        <v>0</v>
      </c>
      <c r="AN163" s="30" t="str">
        <f t="shared" si="2"/>
        <v>10203020070010</v>
      </c>
    </row>
    <row r="164" spans="3:40" x14ac:dyDescent="0.25">
      <c r="C164" s="40"/>
      <c r="D164" s="57" t="s">
        <v>653</v>
      </c>
      <c r="E164" s="57" t="s">
        <v>654</v>
      </c>
      <c r="F164" s="58" t="s">
        <v>110</v>
      </c>
      <c r="G164" s="52"/>
      <c r="H164" s="52"/>
      <c r="I164" s="52"/>
      <c r="J164" s="52"/>
      <c r="K164" s="59" t="s">
        <v>79</v>
      </c>
      <c r="L164" s="52"/>
      <c r="M164" s="52"/>
      <c r="N164" s="52"/>
      <c r="O164" s="52"/>
      <c r="P164" s="63" t="s">
        <v>655</v>
      </c>
      <c r="Q164" s="55">
        <f>VLOOKUP(E164,'NI-San_SP'!$C:$AN,12,FALSE)</f>
        <v>1192152</v>
      </c>
      <c r="R164" s="55">
        <f>VLOOKUP(E164,'NI-San_SP'!$C:$AN,13,FALSE)</f>
        <v>1230987</v>
      </c>
      <c r="S164" s="55"/>
      <c r="T164" s="55"/>
      <c r="U164" s="55">
        <f>VLOOKUP($E164,'NI-San_SP'!$C:$AN,MID(U$1,1,2),FALSE)</f>
        <v>0</v>
      </c>
      <c r="V164" s="55">
        <f>VLOOKUP($E164,'NI-San_SP'!$C:$AN,MID(V$1,1,2),FALSE)</f>
        <v>1192152</v>
      </c>
      <c r="W164" s="55">
        <f>VLOOKUP($E164,'NI-San_SP'!$C:$AN,MID(W$1,1,2),FALSE)</f>
        <v>0</v>
      </c>
      <c r="X164" s="55">
        <f>VLOOKUP($E164,'NI-San_SP'!$C:$AN,MID(X$1,1,2),FALSE)</f>
        <v>0</v>
      </c>
      <c r="Y164" s="55">
        <f>VLOOKUP($E164,'NI-San_SP'!$C:$AN,MID(Y$1,1,2),FALSE)</f>
        <v>0</v>
      </c>
      <c r="Z164" s="55">
        <f>VLOOKUP($E164,'NI-San_SP'!$C:$AN,MID(Z$1,1,2),FALSE)</f>
        <v>0</v>
      </c>
      <c r="AA164" s="55">
        <f>VLOOKUP($E164,'NI-San_SP'!$C:$AN,MID(AA$1,1,2),FALSE)</f>
        <v>0</v>
      </c>
      <c r="AB164" s="55">
        <f>VLOOKUP($E164,'NI-San_SP'!$C:$AN,MID(AB$1,1,2),FALSE)</f>
        <v>0</v>
      </c>
      <c r="AC164" s="55">
        <f>VLOOKUP($E164,'NI-San_SP'!$C:$AN,MID(AC$1,1,2),FALSE)</f>
        <v>0</v>
      </c>
      <c r="AD164" s="55">
        <f>VLOOKUP($E164,'NI-San_SP'!$C:$AN,MID(AD$1,1,2),FALSE)</f>
        <v>38835</v>
      </c>
      <c r="AE164" s="55">
        <f>VLOOKUP($E164,'NI-San_SP'!$C:$AN,MID(AE$1,1,2),FALSE)</f>
        <v>0</v>
      </c>
      <c r="AF164" s="55">
        <f>VLOOKUP($E164,'NI-San_SP'!$C:$AN,MID(AF$1,1,2),FALSE)</f>
        <v>0</v>
      </c>
      <c r="AG164" s="55">
        <f>VLOOKUP($E164,'NI-San_SP'!$C:$AN,MID(AG$1,1,2),FALSE)</f>
        <v>0</v>
      </c>
      <c r="AH164" s="55">
        <f>VLOOKUP($E164,'NI-San_SP'!$C:$AN,MID(AH$1,1,2),FALSE)</f>
        <v>0</v>
      </c>
      <c r="AI164" s="55">
        <f>VLOOKUP($E164,'NI-San_SP'!$C:$AN,MID(AI$1,1,2),FALSE)</f>
        <v>0</v>
      </c>
      <c r="AJ164" s="55">
        <f>VLOOKUP($E164,'NI-San_SP'!$C:$AN,MID(AJ$1,1,2),FALSE)</f>
        <v>0</v>
      </c>
      <c r="AK164" s="55">
        <f>VLOOKUP($E164,'NI-San_SP'!$C:$AN,MID(AK$1,1,2),FALSE)</f>
        <v>0</v>
      </c>
      <c r="AL164" s="55">
        <f>VLOOKUP($E164,'NI-San_SP'!$C:$AN,MID(AL$1,1,2),FALSE)</f>
        <v>0</v>
      </c>
      <c r="AM164" s="56">
        <f>VLOOKUP($E164,'NI-San_SP'!$C:$AN,MID(AM$1,1,2),FALSE)</f>
        <v>0</v>
      </c>
      <c r="AN164" s="30" t="str">
        <f t="shared" si="2"/>
        <v>10203020070020</v>
      </c>
    </row>
    <row r="165" spans="3:40" x14ac:dyDescent="0.25">
      <c r="C165" s="40"/>
      <c r="D165" s="57" t="s">
        <v>656</v>
      </c>
      <c r="E165" s="57" t="s">
        <v>657</v>
      </c>
      <c r="F165" s="58" t="s">
        <v>110</v>
      </c>
      <c r="G165" s="52"/>
      <c r="H165" s="52"/>
      <c r="I165" s="52"/>
      <c r="J165" s="52"/>
      <c r="K165" s="59" t="s">
        <v>111</v>
      </c>
      <c r="L165" s="52"/>
      <c r="M165" s="52"/>
      <c r="N165" s="52"/>
      <c r="O165" s="61" t="s">
        <v>658</v>
      </c>
      <c r="P165" s="60" t="s">
        <v>659</v>
      </c>
      <c r="Q165" s="55">
        <f>VLOOKUP(E165,'NI-San_SP'!$C:$AN,12,FALSE)</f>
        <v>4334548</v>
      </c>
      <c r="R165" s="55">
        <f>VLOOKUP(E165,'NI-San_SP'!$C:$AN,13,FALSE)</f>
        <v>5374645</v>
      </c>
      <c r="S165" s="55"/>
      <c r="T165" s="55"/>
      <c r="U165" s="55">
        <f>VLOOKUP($E165,'NI-San_SP'!$C:$AN,MID(U$1,1,2),FALSE)</f>
        <v>0</v>
      </c>
      <c r="V165" s="55">
        <f>VLOOKUP($E165,'NI-San_SP'!$C:$AN,MID(V$1,1,2),FALSE)</f>
        <v>0</v>
      </c>
      <c r="W165" s="55">
        <f>VLOOKUP($E165,'NI-San_SP'!$C:$AN,MID(W$1,1,2),FALSE)</f>
        <v>0</v>
      </c>
      <c r="X165" s="55">
        <f>VLOOKUP($E165,'NI-San_SP'!$C:$AN,MID(X$1,1,2),FALSE)</f>
        <v>0</v>
      </c>
      <c r="Y165" s="55">
        <f>VLOOKUP($E165,'NI-San_SP'!$C:$AN,MID(Y$1,1,2),FALSE)</f>
        <v>0</v>
      </c>
      <c r="Z165" s="55">
        <f>VLOOKUP($E165,'NI-San_SP'!$C:$AN,MID(Z$1,1,2),FALSE)</f>
        <v>0</v>
      </c>
      <c r="AA165" s="55">
        <f>VLOOKUP($E165,'NI-San_SP'!$C:$AN,MID(AA$1,1,2),FALSE)</f>
        <v>0</v>
      </c>
      <c r="AB165" s="55">
        <f>VLOOKUP($E165,'NI-San_SP'!$C:$AN,MID(AB$1,1,2),FALSE)</f>
        <v>0</v>
      </c>
      <c r="AC165" s="55">
        <f>VLOOKUP($E165,'NI-San_SP'!$C:$AN,MID(AC$1,1,2),FALSE)</f>
        <v>0</v>
      </c>
      <c r="AD165" s="55">
        <f>VLOOKUP($E165,'NI-San_SP'!$C:$AN,MID(AD$1,1,2),FALSE)</f>
        <v>0</v>
      </c>
      <c r="AE165" s="55">
        <f>VLOOKUP($E165,'NI-San_SP'!$C:$AN,MID(AE$1,1,2),FALSE)</f>
        <v>0</v>
      </c>
      <c r="AF165" s="55">
        <f>VLOOKUP($E165,'NI-San_SP'!$C:$AN,MID(AF$1,1,2),FALSE)</f>
        <v>0</v>
      </c>
      <c r="AG165" s="55">
        <f>VLOOKUP($E165,'NI-San_SP'!$C:$AN,MID(AG$1,1,2),FALSE)</f>
        <v>0</v>
      </c>
      <c r="AH165" s="55">
        <f>VLOOKUP($E165,'NI-San_SP'!$C:$AN,MID(AH$1,1,2),FALSE)</f>
        <v>0</v>
      </c>
      <c r="AI165" s="55">
        <f>VLOOKUP($E165,'NI-San_SP'!$C:$AN,MID(AI$1,1,2),FALSE)</f>
        <v>0</v>
      </c>
      <c r="AJ165" s="55">
        <f>VLOOKUP($E165,'NI-San_SP'!$C:$AN,MID(AJ$1,1,2),FALSE)</f>
        <v>0</v>
      </c>
      <c r="AK165" s="55">
        <f>VLOOKUP($E165,'NI-San_SP'!$C:$AN,MID(AK$1,1,2),FALSE)</f>
        <v>0</v>
      </c>
      <c r="AL165" s="55">
        <f>VLOOKUP($E165,'NI-San_SP'!$C:$AN,MID(AL$1,1,2),FALSE)</f>
        <v>0</v>
      </c>
      <c r="AM165" s="56">
        <f>VLOOKUP($E165,'NI-San_SP'!$C:$AN,MID(AM$1,1,2),FALSE)</f>
        <v>0</v>
      </c>
      <c r="AN165" s="30" t="str">
        <f t="shared" si="2"/>
        <v>10204000000000</v>
      </c>
    </row>
    <row r="166" spans="3:40" x14ac:dyDescent="0.25">
      <c r="C166" s="40"/>
      <c r="D166" s="57" t="s">
        <v>660</v>
      </c>
      <c r="E166" s="57" t="s">
        <v>661</v>
      </c>
      <c r="F166" s="58" t="s">
        <v>110</v>
      </c>
      <c r="G166" s="52"/>
      <c r="H166" s="52"/>
      <c r="I166" s="52" t="s">
        <v>662</v>
      </c>
      <c r="J166" s="52" t="s">
        <v>662</v>
      </c>
      <c r="K166" s="59" t="s">
        <v>111</v>
      </c>
      <c r="L166" s="62" t="s">
        <v>663</v>
      </c>
      <c r="M166" s="52"/>
      <c r="N166" s="52"/>
      <c r="O166" s="52"/>
      <c r="P166" s="54" t="s">
        <v>664</v>
      </c>
      <c r="Q166" s="55">
        <f>VLOOKUP(E166,'NI-San_SP'!$C:$AN,12,FALSE)</f>
        <v>67255470</v>
      </c>
      <c r="R166" s="55">
        <f>VLOOKUP(E166,'NI-San_SP'!$C:$AN,13,FALSE)</f>
        <v>69161530</v>
      </c>
      <c r="S166" s="55"/>
      <c r="T166" s="55"/>
      <c r="U166" s="55">
        <f>VLOOKUP($E166,'NI-San_SP'!$C:$AN,MID(U$1,1,2),FALSE)</f>
        <v>0</v>
      </c>
      <c r="V166" s="55">
        <f>VLOOKUP($E166,'NI-San_SP'!$C:$AN,MID(V$1,1,2),FALSE)</f>
        <v>67255470</v>
      </c>
      <c r="W166" s="55">
        <f>VLOOKUP($E166,'NI-San_SP'!$C:$AN,MID(W$1,1,2),FALSE)</f>
        <v>0</v>
      </c>
      <c r="X166" s="55">
        <f>VLOOKUP($E166,'NI-San_SP'!$C:$AN,MID(X$1,1,2),FALSE)</f>
        <v>0</v>
      </c>
      <c r="Y166" s="55">
        <f>VLOOKUP($E166,'NI-San_SP'!$C:$AN,MID(Y$1,1,2),FALSE)</f>
        <v>0</v>
      </c>
      <c r="Z166" s="55">
        <f>VLOOKUP($E166,'NI-San_SP'!$C:$AN,MID(Z$1,1,2),FALSE)</f>
        <v>0</v>
      </c>
      <c r="AA166" s="55">
        <f>VLOOKUP($E166,'NI-San_SP'!$C:$AN,MID(AA$1,1,2),FALSE)</f>
        <v>0</v>
      </c>
      <c r="AB166" s="55">
        <f>VLOOKUP($E166,'NI-San_SP'!$C:$AN,MID(AB$1,1,2),FALSE)</f>
        <v>0</v>
      </c>
      <c r="AC166" s="55">
        <f>VLOOKUP($E166,'NI-San_SP'!$C:$AN,MID(AC$1,1,2),FALSE)</f>
        <v>0</v>
      </c>
      <c r="AD166" s="55">
        <f>VLOOKUP($E166,'NI-San_SP'!$C:$AN,MID(AD$1,1,2),FALSE)</f>
        <v>0</v>
      </c>
      <c r="AE166" s="55">
        <f>VLOOKUP($E166,'NI-San_SP'!$C:$AN,MID(AE$1,1,2),FALSE)</f>
        <v>0</v>
      </c>
      <c r="AF166" s="55">
        <f>VLOOKUP($E166,'NI-San_SP'!$C:$AN,MID(AF$1,1,2),FALSE)</f>
        <v>2044660</v>
      </c>
      <c r="AG166" s="55">
        <f>VLOOKUP($E166,'NI-San_SP'!$C:$AN,MID(AG$1,1,2),FALSE)</f>
        <v>0</v>
      </c>
      <c r="AH166" s="55">
        <f>VLOOKUP($E166,'NI-San_SP'!$C:$AN,MID(AH$1,1,2),FALSE)</f>
        <v>758906</v>
      </c>
      <c r="AI166" s="55">
        <f>VLOOKUP($E166,'NI-San_SP'!$C:$AN,MID(AI$1,1,2),FALSE)</f>
        <v>897506</v>
      </c>
      <c r="AJ166" s="55">
        <f>VLOOKUP($E166,'NI-San_SP'!$C:$AN,MID(AJ$1,1,2),FALSE)</f>
        <v>0</v>
      </c>
      <c r="AK166" s="55">
        <f>VLOOKUP($E166,'NI-San_SP'!$C:$AN,MID(AK$1,1,2),FALSE)</f>
        <v>0</v>
      </c>
      <c r="AL166" s="55">
        <f>VLOOKUP($E166,'NI-San_SP'!$C:$AN,MID(AL$1,1,2),FALSE)</f>
        <v>0</v>
      </c>
      <c r="AM166" s="56">
        <f>VLOOKUP($E166,'NI-San_SP'!$C:$AN,MID(AM$1,1,2),FALSE)</f>
        <v>0</v>
      </c>
      <c r="AN166" s="30" t="str">
        <f t="shared" si="2"/>
        <v>10204010000000</v>
      </c>
    </row>
    <row r="167" spans="3:40" x14ac:dyDescent="0.25">
      <c r="C167" s="40"/>
      <c r="D167" s="57" t="s">
        <v>665</v>
      </c>
      <c r="E167" s="57" t="s">
        <v>666</v>
      </c>
      <c r="F167" s="58" t="s">
        <v>110</v>
      </c>
      <c r="G167" s="52"/>
      <c r="H167" s="52"/>
      <c r="I167" s="52"/>
      <c r="J167" s="52"/>
      <c r="K167" s="59" t="s">
        <v>79</v>
      </c>
      <c r="L167" s="52"/>
      <c r="M167" s="52"/>
      <c r="N167" s="52"/>
      <c r="O167" s="52"/>
      <c r="P167" s="66" t="s">
        <v>667</v>
      </c>
      <c r="Q167" s="55">
        <f>VLOOKUP(E167,'NI-San_SP'!$C:$AN,12,FALSE)</f>
        <v>33377126</v>
      </c>
      <c r="R167" s="55">
        <f>VLOOKUP(E167,'NI-San_SP'!$C:$AN,13,FALSE)</f>
        <v>33186215</v>
      </c>
      <c r="S167" s="55"/>
      <c r="T167" s="55"/>
      <c r="U167" s="55">
        <f>VLOOKUP($E167,'NI-San_SP'!$C:$AN,MID(U$1,1,2),FALSE)</f>
        <v>0</v>
      </c>
      <c r="V167" s="55">
        <f>VLOOKUP($E167,'NI-San_SP'!$C:$AN,MID(V$1,1,2),FALSE)</f>
        <v>33377126</v>
      </c>
      <c r="W167" s="55">
        <f>VLOOKUP($E167,'NI-San_SP'!$C:$AN,MID(W$1,1,2),FALSE)</f>
        <v>0</v>
      </c>
      <c r="X167" s="55">
        <f>VLOOKUP($E167,'NI-San_SP'!$C:$AN,MID(X$1,1,2),FALSE)</f>
        <v>0</v>
      </c>
      <c r="Y167" s="55">
        <f>VLOOKUP($E167,'NI-San_SP'!$C:$AN,MID(Y$1,1,2),FALSE)</f>
        <v>0</v>
      </c>
      <c r="Z167" s="55">
        <f>VLOOKUP($E167,'NI-San_SP'!$C:$AN,MID(Z$1,1,2),FALSE)</f>
        <v>0</v>
      </c>
      <c r="AA167" s="55">
        <f>VLOOKUP($E167,'NI-San_SP'!$C:$AN,MID(AA$1,1,2),FALSE)</f>
        <v>0</v>
      </c>
      <c r="AB167" s="55">
        <f>VLOOKUP($E167,'NI-San_SP'!$C:$AN,MID(AB$1,1,2),FALSE)</f>
        <v>0</v>
      </c>
      <c r="AC167" s="55">
        <f>VLOOKUP($E167,'NI-San_SP'!$C:$AN,MID(AC$1,1,2),FALSE)</f>
        <v>0</v>
      </c>
      <c r="AD167" s="55">
        <f>VLOOKUP($E167,'NI-San_SP'!$C:$AN,MID(AD$1,1,2),FALSE)</f>
        <v>0</v>
      </c>
      <c r="AE167" s="55">
        <f>VLOOKUP($E167,'NI-San_SP'!$C:$AN,MID(AE$1,1,2),FALSE)</f>
        <v>0</v>
      </c>
      <c r="AF167" s="55">
        <f>VLOOKUP($E167,'NI-San_SP'!$C:$AN,MID(AF$1,1,2),FALSE)</f>
        <v>0</v>
      </c>
      <c r="AG167" s="55">
        <f>VLOOKUP($E167,'NI-San_SP'!$C:$AN,MID(AG$1,1,2),FALSE)</f>
        <v>0</v>
      </c>
      <c r="AH167" s="55">
        <f>VLOOKUP($E167,'NI-San_SP'!$C:$AN,MID(AH$1,1,2),FALSE)</f>
        <v>0</v>
      </c>
      <c r="AI167" s="55">
        <f>VLOOKUP($E167,'NI-San_SP'!$C:$AN,MID(AI$1,1,2),FALSE)</f>
        <v>190911</v>
      </c>
      <c r="AJ167" s="55">
        <f>VLOOKUP($E167,'NI-San_SP'!$C:$AN,MID(AJ$1,1,2),FALSE)</f>
        <v>0</v>
      </c>
      <c r="AK167" s="55">
        <f>VLOOKUP($E167,'NI-San_SP'!$C:$AN,MID(AK$1,1,2),FALSE)</f>
        <v>0</v>
      </c>
      <c r="AL167" s="55">
        <f>VLOOKUP($E167,'NI-San_SP'!$C:$AN,MID(AL$1,1,2),FALSE)</f>
        <v>0</v>
      </c>
      <c r="AM167" s="56">
        <f>VLOOKUP($E167,'NI-San_SP'!$C:$AN,MID(AM$1,1,2),FALSE)</f>
        <v>0</v>
      </c>
      <c r="AN167" s="30" t="str">
        <f t="shared" si="2"/>
        <v>10204010010010</v>
      </c>
    </row>
    <row r="168" spans="3:40" x14ac:dyDescent="0.25">
      <c r="C168" s="40"/>
      <c r="D168" s="57" t="s">
        <v>668</v>
      </c>
      <c r="E168" s="57" t="s">
        <v>669</v>
      </c>
      <c r="F168" s="58" t="s">
        <v>110</v>
      </c>
      <c r="G168" s="52"/>
      <c r="H168" s="52"/>
      <c r="I168" s="52"/>
      <c r="J168" s="52"/>
      <c r="K168" s="59" t="s">
        <v>79</v>
      </c>
      <c r="L168" s="52"/>
      <c r="M168" s="52"/>
      <c r="N168" s="52"/>
      <c r="O168" s="52"/>
      <c r="P168" s="66" t="s">
        <v>670</v>
      </c>
      <c r="Q168" s="55">
        <f>VLOOKUP(E168,'NI-San_SP'!$C:$AN,12,FALSE)</f>
        <v>24461079</v>
      </c>
      <c r="R168" s="55">
        <f>VLOOKUP(E168,'NI-San_SP'!$C:$AN,13,FALSE)</f>
        <v>26558050</v>
      </c>
      <c r="S168" s="55"/>
      <c r="T168" s="55"/>
      <c r="U168" s="55">
        <f>VLOOKUP($E168,'NI-San_SP'!$C:$AN,MID(U$1,1,2),FALSE)</f>
        <v>0</v>
      </c>
      <c r="V168" s="55">
        <f>VLOOKUP($E168,'NI-San_SP'!$C:$AN,MID(V$1,1,2),FALSE)</f>
        <v>24461079</v>
      </c>
      <c r="W168" s="55">
        <f>VLOOKUP($E168,'NI-San_SP'!$C:$AN,MID(W$1,1,2),FALSE)</f>
        <v>0</v>
      </c>
      <c r="X168" s="55">
        <f>VLOOKUP($E168,'NI-San_SP'!$C:$AN,MID(X$1,1,2),FALSE)</f>
        <v>0</v>
      </c>
      <c r="Y168" s="55">
        <f>VLOOKUP($E168,'NI-San_SP'!$C:$AN,MID(Y$1,1,2),FALSE)</f>
        <v>0</v>
      </c>
      <c r="Z168" s="55">
        <f>VLOOKUP($E168,'NI-San_SP'!$C:$AN,MID(Z$1,1,2),FALSE)</f>
        <v>0</v>
      </c>
      <c r="AA168" s="55">
        <f>VLOOKUP($E168,'NI-San_SP'!$C:$AN,MID(AA$1,1,2),FALSE)</f>
        <v>0</v>
      </c>
      <c r="AB168" s="55">
        <f>VLOOKUP($E168,'NI-San_SP'!$C:$AN,MID(AB$1,1,2),FALSE)</f>
        <v>0</v>
      </c>
      <c r="AC168" s="55">
        <f>VLOOKUP($E168,'NI-San_SP'!$C:$AN,MID(AC$1,1,2),FALSE)</f>
        <v>0</v>
      </c>
      <c r="AD168" s="55">
        <f>VLOOKUP($E168,'NI-San_SP'!$C:$AN,MID(AD$1,1,2),FALSE)</f>
        <v>0</v>
      </c>
      <c r="AE168" s="55">
        <f>VLOOKUP($E168,'NI-San_SP'!$C:$AN,MID(AE$1,1,2),FALSE)</f>
        <v>0</v>
      </c>
      <c r="AF168" s="55">
        <f>VLOOKUP($E168,'NI-San_SP'!$C:$AN,MID(AF$1,1,2),FALSE)</f>
        <v>2044660</v>
      </c>
      <c r="AG168" s="55">
        <f>VLOOKUP($E168,'NI-San_SP'!$C:$AN,MID(AG$1,1,2),FALSE)</f>
        <v>0</v>
      </c>
      <c r="AH168" s="55">
        <f>VLOOKUP($E168,'NI-San_SP'!$C:$AN,MID(AH$1,1,2),FALSE)</f>
        <v>758906</v>
      </c>
      <c r="AI168" s="55">
        <f>VLOOKUP($E168,'NI-San_SP'!$C:$AN,MID(AI$1,1,2),FALSE)</f>
        <v>706595</v>
      </c>
      <c r="AJ168" s="55">
        <f>VLOOKUP($E168,'NI-San_SP'!$C:$AN,MID(AJ$1,1,2),FALSE)</f>
        <v>0</v>
      </c>
      <c r="AK168" s="55">
        <f>VLOOKUP($E168,'NI-San_SP'!$C:$AN,MID(AK$1,1,2),FALSE)</f>
        <v>0</v>
      </c>
      <c r="AL168" s="55">
        <f>VLOOKUP($E168,'NI-San_SP'!$C:$AN,MID(AL$1,1,2),FALSE)</f>
        <v>0</v>
      </c>
      <c r="AM168" s="56">
        <f>VLOOKUP($E168,'NI-San_SP'!$C:$AN,MID(AM$1,1,2),FALSE)</f>
        <v>0</v>
      </c>
      <c r="AN168" s="30" t="str">
        <f t="shared" si="2"/>
        <v>10204010010020</v>
      </c>
    </row>
    <row r="169" spans="3:40" x14ac:dyDescent="0.25">
      <c r="C169" s="40"/>
      <c r="D169" s="57" t="s">
        <v>671</v>
      </c>
      <c r="E169" s="57" t="s">
        <v>672</v>
      </c>
      <c r="F169" s="58" t="s">
        <v>110</v>
      </c>
      <c r="G169" s="52"/>
      <c r="H169" s="52"/>
      <c r="I169" s="52"/>
      <c r="J169" s="52"/>
      <c r="K169" s="59" t="s">
        <v>79</v>
      </c>
      <c r="L169" s="52"/>
      <c r="M169" s="52"/>
      <c r="N169" s="52"/>
      <c r="O169" s="52"/>
      <c r="P169" s="66" t="s">
        <v>673</v>
      </c>
      <c r="Q169" s="55">
        <f>VLOOKUP(E169,'NI-San_SP'!$C:$AN,12,FALSE)</f>
        <v>2674889</v>
      </c>
      <c r="R169" s="55">
        <f>VLOOKUP(E169,'NI-San_SP'!$C:$AN,13,FALSE)</f>
        <v>2674889</v>
      </c>
      <c r="S169" s="55"/>
      <c r="T169" s="55"/>
      <c r="U169" s="55">
        <f>VLOOKUP($E169,'NI-San_SP'!$C:$AN,MID(U$1,1,2),FALSE)</f>
        <v>0</v>
      </c>
      <c r="V169" s="55">
        <f>VLOOKUP($E169,'NI-San_SP'!$C:$AN,MID(V$1,1,2),FALSE)</f>
        <v>2674889</v>
      </c>
      <c r="W169" s="55">
        <f>VLOOKUP($E169,'NI-San_SP'!$C:$AN,MID(W$1,1,2),FALSE)</f>
        <v>0</v>
      </c>
      <c r="X169" s="55">
        <f>VLOOKUP($E169,'NI-San_SP'!$C:$AN,MID(X$1,1,2),FALSE)</f>
        <v>0</v>
      </c>
      <c r="Y169" s="55">
        <f>VLOOKUP($E169,'NI-San_SP'!$C:$AN,MID(Y$1,1,2),FALSE)</f>
        <v>0</v>
      </c>
      <c r="Z169" s="55">
        <f>VLOOKUP($E169,'NI-San_SP'!$C:$AN,MID(Z$1,1,2),FALSE)</f>
        <v>0</v>
      </c>
      <c r="AA169" s="55">
        <f>VLOOKUP($E169,'NI-San_SP'!$C:$AN,MID(AA$1,1,2),FALSE)</f>
        <v>0</v>
      </c>
      <c r="AB169" s="55">
        <f>VLOOKUP($E169,'NI-San_SP'!$C:$AN,MID(AB$1,1,2),FALSE)</f>
        <v>0</v>
      </c>
      <c r="AC169" s="55">
        <f>VLOOKUP($E169,'NI-San_SP'!$C:$AN,MID(AC$1,1,2),FALSE)</f>
        <v>0</v>
      </c>
      <c r="AD169" s="55">
        <f>VLOOKUP($E169,'NI-San_SP'!$C:$AN,MID(AD$1,1,2),FALSE)</f>
        <v>0</v>
      </c>
      <c r="AE169" s="55">
        <f>VLOOKUP($E169,'NI-San_SP'!$C:$AN,MID(AE$1,1,2),FALSE)</f>
        <v>0</v>
      </c>
      <c r="AF169" s="55">
        <f>VLOOKUP($E169,'NI-San_SP'!$C:$AN,MID(AF$1,1,2),FALSE)</f>
        <v>0</v>
      </c>
      <c r="AG169" s="55">
        <f>VLOOKUP($E169,'NI-San_SP'!$C:$AN,MID(AG$1,1,2),FALSE)</f>
        <v>0</v>
      </c>
      <c r="AH169" s="55">
        <f>VLOOKUP($E169,'NI-San_SP'!$C:$AN,MID(AH$1,1,2),FALSE)</f>
        <v>0</v>
      </c>
      <c r="AI169" s="55">
        <f>VLOOKUP($E169,'NI-San_SP'!$C:$AN,MID(AI$1,1,2),FALSE)</f>
        <v>0</v>
      </c>
      <c r="AJ169" s="55">
        <f>VLOOKUP($E169,'NI-San_SP'!$C:$AN,MID(AJ$1,1,2),FALSE)</f>
        <v>0</v>
      </c>
      <c r="AK169" s="55">
        <f>VLOOKUP($E169,'NI-San_SP'!$C:$AN,MID(AK$1,1,2),FALSE)</f>
        <v>0</v>
      </c>
      <c r="AL169" s="55">
        <f>VLOOKUP($E169,'NI-San_SP'!$C:$AN,MID(AL$1,1,2),FALSE)</f>
        <v>0</v>
      </c>
      <c r="AM169" s="56">
        <f>VLOOKUP($E169,'NI-San_SP'!$C:$AN,MID(AM$1,1,2),FALSE)</f>
        <v>0</v>
      </c>
      <c r="AN169" s="30" t="str">
        <f t="shared" si="2"/>
        <v>10204010020010</v>
      </c>
    </row>
    <row r="170" spans="3:40" x14ac:dyDescent="0.25">
      <c r="C170" s="40"/>
      <c r="D170" s="57" t="s">
        <v>674</v>
      </c>
      <c r="E170" s="57" t="s">
        <v>675</v>
      </c>
      <c r="F170" s="58" t="s">
        <v>110</v>
      </c>
      <c r="G170" s="52"/>
      <c r="H170" s="52"/>
      <c r="I170" s="52"/>
      <c r="J170" s="52"/>
      <c r="K170" s="59" t="s">
        <v>79</v>
      </c>
      <c r="L170" s="52"/>
      <c r="M170" s="52"/>
      <c r="N170" s="52"/>
      <c r="O170" s="52"/>
      <c r="P170" s="66" t="s">
        <v>676</v>
      </c>
      <c r="Q170" s="55">
        <f>VLOOKUP(E170,'NI-San_SP'!$C:$AN,12,FALSE)</f>
        <v>6742376</v>
      </c>
      <c r="R170" s="55">
        <f>VLOOKUP(E170,'NI-San_SP'!$C:$AN,13,FALSE)</f>
        <v>6742376</v>
      </c>
      <c r="S170" s="55"/>
      <c r="T170" s="55"/>
      <c r="U170" s="55">
        <f>VLOOKUP($E170,'NI-San_SP'!$C:$AN,MID(U$1,1,2),FALSE)</f>
        <v>0</v>
      </c>
      <c r="V170" s="55">
        <f>VLOOKUP($E170,'NI-San_SP'!$C:$AN,MID(V$1,1,2),FALSE)</f>
        <v>6742376</v>
      </c>
      <c r="W170" s="55">
        <f>VLOOKUP($E170,'NI-San_SP'!$C:$AN,MID(W$1,1,2),FALSE)</f>
        <v>0</v>
      </c>
      <c r="X170" s="55">
        <f>VLOOKUP($E170,'NI-San_SP'!$C:$AN,MID(X$1,1,2),FALSE)</f>
        <v>0</v>
      </c>
      <c r="Y170" s="55">
        <f>VLOOKUP($E170,'NI-San_SP'!$C:$AN,MID(Y$1,1,2),FALSE)</f>
        <v>0</v>
      </c>
      <c r="Z170" s="55">
        <f>VLOOKUP($E170,'NI-San_SP'!$C:$AN,MID(Z$1,1,2),FALSE)</f>
        <v>0</v>
      </c>
      <c r="AA170" s="55">
        <f>VLOOKUP($E170,'NI-San_SP'!$C:$AN,MID(AA$1,1,2),FALSE)</f>
        <v>0</v>
      </c>
      <c r="AB170" s="55">
        <f>VLOOKUP($E170,'NI-San_SP'!$C:$AN,MID(AB$1,1,2),FALSE)</f>
        <v>0</v>
      </c>
      <c r="AC170" s="55">
        <f>VLOOKUP($E170,'NI-San_SP'!$C:$AN,MID(AC$1,1,2),FALSE)</f>
        <v>0</v>
      </c>
      <c r="AD170" s="55">
        <f>VLOOKUP($E170,'NI-San_SP'!$C:$AN,MID(AD$1,1,2),FALSE)</f>
        <v>0</v>
      </c>
      <c r="AE170" s="55">
        <f>VLOOKUP($E170,'NI-San_SP'!$C:$AN,MID(AE$1,1,2),FALSE)</f>
        <v>0</v>
      </c>
      <c r="AF170" s="55">
        <f>VLOOKUP($E170,'NI-San_SP'!$C:$AN,MID(AF$1,1,2),FALSE)</f>
        <v>0</v>
      </c>
      <c r="AG170" s="55">
        <f>VLOOKUP($E170,'NI-San_SP'!$C:$AN,MID(AG$1,1,2),FALSE)</f>
        <v>0</v>
      </c>
      <c r="AH170" s="55">
        <f>VLOOKUP($E170,'NI-San_SP'!$C:$AN,MID(AH$1,1,2),FALSE)</f>
        <v>0</v>
      </c>
      <c r="AI170" s="55">
        <f>VLOOKUP($E170,'NI-San_SP'!$C:$AN,MID(AI$1,1,2),FALSE)</f>
        <v>0</v>
      </c>
      <c r="AJ170" s="55">
        <f>VLOOKUP($E170,'NI-San_SP'!$C:$AN,MID(AJ$1,1,2),FALSE)</f>
        <v>0</v>
      </c>
      <c r="AK170" s="55">
        <f>VLOOKUP($E170,'NI-San_SP'!$C:$AN,MID(AK$1,1,2),FALSE)</f>
        <v>0</v>
      </c>
      <c r="AL170" s="55">
        <f>VLOOKUP($E170,'NI-San_SP'!$C:$AN,MID(AL$1,1,2),FALSE)</f>
        <v>0</v>
      </c>
      <c r="AM170" s="56">
        <f>VLOOKUP($E170,'NI-San_SP'!$C:$AN,MID(AM$1,1,2),FALSE)</f>
        <v>0</v>
      </c>
      <c r="AN170" s="30" t="str">
        <f t="shared" si="2"/>
        <v>10204010020020</v>
      </c>
    </row>
    <row r="171" spans="3:40" x14ac:dyDescent="0.25">
      <c r="C171" s="40"/>
      <c r="D171" s="57" t="s">
        <v>677</v>
      </c>
      <c r="E171" s="57" t="s">
        <v>678</v>
      </c>
      <c r="F171" s="58" t="s">
        <v>110</v>
      </c>
      <c r="G171" s="52"/>
      <c r="H171" s="52"/>
      <c r="I171" s="52"/>
      <c r="J171" s="52"/>
      <c r="K171" s="59" t="s">
        <v>79</v>
      </c>
      <c r="L171" s="52"/>
      <c r="M171" s="52"/>
      <c r="N171" s="52"/>
      <c r="O171" s="52"/>
      <c r="P171" s="63" t="s">
        <v>679</v>
      </c>
      <c r="Q171" s="55">
        <f>VLOOKUP(E171,'NI-San_SP'!$C:$AN,12,FALSE)</f>
        <v>0</v>
      </c>
      <c r="R171" s="55">
        <f>VLOOKUP(E171,'NI-San_SP'!$C:$AN,13,FALSE)</f>
        <v>0</v>
      </c>
      <c r="S171" s="55"/>
      <c r="T171" s="55"/>
      <c r="U171" s="55">
        <f>VLOOKUP($E171,'NI-San_SP'!$C:$AN,MID(U$1,1,2),FALSE)</f>
        <v>0</v>
      </c>
      <c r="V171" s="55">
        <f>VLOOKUP($E171,'NI-San_SP'!$C:$AN,MID(V$1,1,2),FALSE)</f>
        <v>0</v>
      </c>
      <c r="W171" s="55">
        <f>VLOOKUP($E171,'NI-San_SP'!$C:$AN,MID(W$1,1,2),FALSE)</f>
        <v>0</v>
      </c>
      <c r="X171" s="55">
        <f>VLOOKUP($E171,'NI-San_SP'!$C:$AN,MID(X$1,1,2),FALSE)</f>
        <v>0</v>
      </c>
      <c r="Y171" s="55">
        <f>VLOOKUP($E171,'NI-San_SP'!$C:$AN,MID(Y$1,1,2),FALSE)</f>
        <v>0</v>
      </c>
      <c r="Z171" s="55">
        <f>VLOOKUP($E171,'NI-San_SP'!$C:$AN,MID(Z$1,1,2),FALSE)</f>
        <v>0</v>
      </c>
      <c r="AA171" s="55">
        <f>VLOOKUP($E171,'NI-San_SP'!$C:$AN,MID(AA$1,1,2),FALSE)</f>
        <v>0</v>
      </c>
      <c r="AB171" s="55">
        <f>VLOOKUP($E171,'NI-San_SP'!$C:$AN,MID(AB$1,1,2),FALSE)</f>
        <v>0</v>
      </c>
      <c r="AC171" s="55">
        <f>VLOOKUP($E171,'NI-San_SP'!$C:$AN,MID(AC$1,1,2),FALSE)</f>
        <v>0</v>
      </c>
      <c r="AD171" s="55">
        <f>VLOOKUP($E171,'NI-San_SP'!$C:$AN,MID(AD$1,1,2),FALSE)</f>
        <v>0</v>
      </c>
      <c r="AE171" s="55">
        <f>VLOOKUP($E171,'NI-San_SP'!$C:$AN,MID(AE$1,1,2),FALSE)</f>
        <v>0</v>
      </c>
      <c r="AF171" s="55">
        <f>VLOOKUP($E171,'NI-San_SP'!$C:$AN,MID(AF$1,1,2),FALSE)</f>
        <v>0</v>
      </c>
      <c r="AG171" s="55">
        <f>VLOOKUP($E171,'NI-San_SP'!$C:$AN,MID(AG$1,1,2),FALSE)</f>
        <v>0</v>
      </c>
      <c r="AH171" s="55">
        <f>VLOOKUP($E171,'NI-San_SP'!$C:$AN,MID(AH$1,1,2),FALSE)</f>
        <v>0</v>
      </c>
      <c r="AI171" s="55">
        <f>VLOOKUP($E171,'NI-San_SP'!$C:$AN,MID(AI$1,1,2),FALSE)</f>
        <v>0</v>
      </c>
      <c r="AJ171" s="55">
        <f>VLOOKUP($E171,'NI-San_SP'!$C:$AN,MID(AJ$1,1,2),FALSE)</f>
        <v>0</v>
      </c>
      <c r="AK171" s="55">
        <f>VLOOKUP($E171,'NI-San_SP'!$C:$AN,MID(AK$1,1,2),FALSE)</f>
        <v>0</v>
      </c>
      <c r="AL171" s="55">
        <f>VLOOKUP($E171,'NI-San_SP'!$C:$AN,MID(AL$1,1,2),FALSE)</f>
        <v>0</v>
      </c>
      <c r="AM171" s="56">
        <f>VLOOKUP($E171,'NI-San_SP'!$C:$AN,MID(AM$1,1,2),FALSE)</f>
        <v>0</v>
      </c>
      <c r="AN171" s="30" t="str">
        <f t="shared" si="2"/>
        <v>10204010030010</v>
      </c>
    </row>
    <row r="172" spans="3:40" x14ac:dyDescent="0.25">
      <c r="C172" s="40"/>
      <c r="D172" s="57" t="s">
        <v>680</v>
      </c>
      <c r="E172" s="57" t="s">
        <v>681</v>
      </c>
      <c r="F172" s="58" t="s">
        <v>110</v>
      </c>
      <c r="G172" s="52"/>
      <c r="H172" s="52"/>
      <c r="I172" s="52"/>
      <c r="J172" s="52"/>
      <c r="K172" s="59" t="s">
        <v>79</v>
      </c>
      <c r="L172" s="52"/>
      <c r="M172" s="52"/>
      <c r="N172" s="52"/>
      <c r="O172" s="52"/>
      <c r="P172" s="63" t="s">
        <v>682</v>
      </c>
      <c r="Q172" s="55">
        <f>VLOOKUP(E172,'NI-San_SP'!$C:$AN,12,FALSE)</f>
        <v>0</v>
      </c>
      <c r="R172" s="55">
        <f>VLOOKUP(E172,'NI-San_SP'!$C:$AN,13,FALSE)</f>
        <v>0</v>
      </c>
      <c r="S172" s="55"/>
      <c r="T172" s="55"/>
      <c r="U172" s="55">
        <f>VLOOKUP($E172,'NI-San_SP'!$C:$AN,MID(U$1,1,2),FALSE)</f>
        <v>0</v>
      </c>
      <c r="V172" s="55">
        <f>VLOOKUP($E172,'NI-San_SP'!$C:$AN,MID(V$1,1,2),FALSE)</f>
        <v>0</v>
      </c>
      <c r="W172" s="55">
        <f>VLOOKUP($E172,'NI-San_SP'!$C:$AN,MID(W$1,1,2),FALSE)</f>
        <v>0</v>
      </c>
      <c r="X172" s="55">
        <f>VLOOKUP($E172,'NI-San_SP'!$C:$AN,MID(X$1,1,2),FALSE)</f>
        <v>0</v>
      </c>
      <c r="Y172" s="55">
        <f>VLOOKUP($E172,'NI-San_SP'!$C:$AN,MID(Y$1,1,2),FALSE)</f>
        <v>0</v>
      </c>
      <c r="Z172" s="55">
        <f>VLOOKUP($E172,'NI-San_SP'!$C:$AN,MID(Z$1,1,2),FALSE)</f>
        <v>0</v>
      </c>
      <c r="AA172" s="55">
        <f>VLOOKUP($E172,'NI-San_SP'!$C:$AN,MID(AA$1,1,2),FALSE)</f>
        <v>0</v>
      </c>
      <c r="AB172" s="55">
        <f>VLOOKUP($E172,'NI-San_SP'!$C:$AN,MID(AB$1,1,2),FALSE)</f>
        <v>0</v>
      </c>
      <c r="AC172" s="55">
        <f>VLOOKUP($E172,'NI-San_SP'!$C:$AN,MID(AC$1,1,2),FALSE)</f>
        <v>0</v>
      </c>
      <c r="AD172" s="55">
        <f>VLOOKUP($E172,'NI-San_SP'!$C:$AN,MID(AD$1,1,2),FALSE)</f>
        <v>0</v>
      </c>
      <c r="AE172" s="55">
        <f>VLOOKUP($E172,'NI-San_SP'!$C:$AN,MID(AE$1,1,2),FALSE)</f>
        <v>0</v>
      </c>
      <c r="AF172" s="55">
        <f>VLOOKUP($E172,'NI-San_SP'!$C:$AN,MID(AF$1,1,2),FALSE)</f>
        <v>0</v>
      </c>
      <c r="AG172" s="55">
        <f>VLOOKUP($E172,'NI-San_SP'!$C:$AN,MID(AG$1,1,2),FALSE)</f>
        <v>0</v>
      </c>
      <c r="AH172" s="55">
        <f>VLOOKUP($E172,'NI-San_SP'!$C:$AN,MID(AH$1,1,2),FALSE)</f>
        <v>0</v>
      </c>
      <c r="AI172" s="55">
        <f>VLOOKUP($E172,'NI-San_SP'!$C:$AN,MID(AI$1,1,2),FALSE)</f>
        <v>0</v>
      </c>
      <c r="AJ172" s="55">
        <f>VLOOKUP($E172,'NI-San_SP'!$C:$AN,MID(AJ$1,1,2),FALSE)</f>
        <v>0</v>
      </c>
      <c r="AK172" s="55">
        <f>VLOOKUP($E172,'NI-San_SP'!$C:$AN,MID(AK$1,1,2),FALSE)</f>
        <v>0</v>
      </c>
      <c r="AL172" s="55">
        <f>VLOOKUP($E172,'NI-San_SP'!$C:$AN,MID(AL$1,1,2),FALSE)</f>
        <v>0</v>
      </c>
      <c r="AM172" s="56">
        <f>VLOOKUP($E172,'NI-San_SP'!$C:$AN,MID(AM$1,1,2),FALSE)</f>
        <v>0</v>
      </c>
      <c r="AN172" s="30" t="str">
        <f t="shared" si="2"/>
        <v>10204010030020</v>
      </c>
    </row>
    <row r="173" spans="3:40" x14ac:dyDescent="0.25">
      <c r="C173" s="40"/>
      <c r="D173" s="57" t="s">
        <v>683</v>
      </c>
      <c r="E173" s="57" t="s">
        <v>684</v>
      </c>
      <c r="F173" s="58" t="s">
        <v>110</v>
      </c>
      <c r="G173" s="52"/>
      <c r="H173" s="52"/>
      <c r="I173" s="52" t="s">
        <v>685</v>
      </c>
      <c r="J173" s="52" t="s">
        <v>685</v>
      </c>
      <c r="K173" s="59" t="s">
        <v>111</v>
      </c>
      <c r="L173" s="62" t="s">
        <v>686</v>
      </c>
      <c r="M173" s="52"/>
      <c r="N173" s="52"/>
      <c r="O173" s="52"/>
      <c r="P173" s="54" t="s">
        <v>687</v>
      </c>
      <c r="Q173" s="55">
        <f>VLOOKUP(E173,'NI-San_SP'!$C:$AN,12,FALSE)</f>
        <v>62920922</v>
      </c>
      <c r="R173" s="55">
        <f>VLOOKUP(E173,'NI-San_SP'!$C:$AN,13,FALSE)</f>
        <v>63786885</v>
      </c>
      <c r="S173" s="55"/>
      <c r="T173" s="55"/>
      <c r="U173" s="55">
        <f>VLOOKUP($E173,'NI-San_SP'!$C:$AN,MID(U$1,1,2),FALSE)</f>
        <v>0</v>
      </c>
      <c r="V173" s="55">
        <f>VLOOKUP($E173,'NI-San_SP'!$C:$AN,MID(V$1,1,2),FALSE)</f>
        <v>62920922</v>
      </c>
      <c r="W173" s="55">
        <f>VLOOKUP($E173,'NI-San_SP'!$C:$AN,MID(W$1,1,2),FALSE)</f>
        <v>0</v>
      </c>
      <c r="X173" s="55">
        <f>VLOOKUP($E173,'NI-San_SP'!$C:$AN,MID(X$1,1,2),FALSE)</f>
        <v>0</v>
      </c>
      <c r="Y173" s="55">
        <f>VLOOKUP($E173,'NI-San_SP'!$C:$AN,MID(Y$1,1,2),FALSE)</f>
        <v>0</v>
      </c>
      <c r="Z173" s="55">
        <f>VLOOKUP($E173,'NI-San_SP'!$C:$AN,MID(Z$1,1,2),FALSE)</f>
        <v>0</v>
      </c>
      <c r="AA173" s="55">
        <f>VLOOKUP($E173,'NI-San_SP'!$C:$AN,MID(AA$1,1,2),FALSE)</f>
        <v>0</v>
      </c>
      <c r="AB173" s="55">
        <f>VLOOKUP($E173,'NI-San_SP'!$C:$AN,MID(AB$1,1,2),FALSE)</f>
        <v>0</v>
      </c>
      <c r="AC173" s="55">
        <f>VLOOKUP($E173,'NI-San_SP'!$C:$AN,MID(AC$1,1,2),FALSE)</f>
        <v>897377</v>
      </c>
      <c r="AD173" s="55">
        <f>VLOOKUP($E173,'NI-San_SP'!$C:$AN,MID(AD$1,1,2),FALSE)</f>
        <v>1763340</v>
      </c>
      <c r="AE173" s="55">
        <f>VLOOKUP($E173,'NI-San_SP'!$C:$AN,MID(AE$1,1,2),FALSE)</f>
        <v>0</v>
      </c>
      <c r="AF173" s="55">
        <f>VLOOKUP($E173,'NI-San_SP'!$C:$AN,MID(AF$1,1,2),FALSE)</f>
        <v>0</v>
      </c>
      <c r="AG173" s="55">
        <f>VLOOKUP($E173,'NI-San_SP'!$C:$AN,MID(AG$1,1,2),FALSE)</f>
        <v>0</v>
      </c>
      <c r="AH173" s="55">
        <f>VLOOKUP($E173,'NI-San_SP'!$C:$AN,MID(AH$1,1,2),FALSE)</f>
        <v>0</v>
      </c>
      <c r="AI173" s="55">
        <f>VLOOKUP($E173,'NI-San_SP'!$C:$AN,MID(AI$1,1,2),FALSE)</f>
        <v>0</v>
      </c>
      <c r="AJ173" s="55">
        <f>VLOOKUP($E173,'NI-San_SP'!$C:$AN,MID(AJ$1,1,2),FALSE)</f>
        <v>0</v>
      </c>
      <c r="AK173" s="55">
        <f>VLOOKUP($E173,'NI-San_SP'!$C:$AN,MID(AK$1,1,2),FALSE)</f>
        <v>0</v>
      </c>
      <c r="AL173" s="55">
        <f>VLOOKUP($E173,'NI-San_SP'!$C:$AN,MID(AL$1,1,2),FALSE)</f>
        <v>0</v>
      </c>
      <c r="AM173" s="56">
        <f>VLOOKUP($E173,'NI-San_SP'!$C:$AN,MID(AM$1,1,2),FALSE)</f>
        <v>0</v>
      </c>
      <c r="AN173" s="30" t="str">
        <f t="shared" si="2"/>
        <v>10204020000000</v>
      </c>
    </row>
    <row r="174" spans="3:40" x14ac:dyDescent="0.25">
      <c r="C174" s="40"/>
      <c r="D174" s="57" t="s">
        <v>688</v>
      </c>
      <c r="E174" s="57" t="s">
        <v>689</v>
      </c>
      <c r="F174" s="58" t="s">
        <v>110</v>
      </c>
      <c r="G174" s="52"/>
      <c r="H174" s="52"/>
      <c r="I174" s="52"/>
      <c r="J174" s="52"/>
      <c r="K174" s="59" t="s">
        <v>79</v>
      </c>
      <c r="L174" s="52"/>
      <c r="M174" s="52"/>
      <c r="N174" s="52"/>
      <c r="O174" s="52"/>
      <c r="P174" s="66" t="s">
        <v>690</v>
      </c>
      <c r="Q174" s="55">
        <f>VLOOKUP(E174,'NI-San_SP'!$C:$AN,12,FALSE)</f>
        <v>33346816</v>
      </c>
      <c r="R174" s="55">
        <f>VLOOKUP(E174,'NI-San_SP'!$C:$AN,13,FALSE)</f>
        <v>33174855</v>
      </c>
      <c r="S174" s="55"/>
      <c r="T174" s="55"/>
      <c r="U174" s="55">
        <f>VLOOKUP($E174,'NI-San_SP'!$C:$AN,MID(U$1,1,2),FALSE)</f>
        <v>0</v>
      </c>
      <c r="V174" s="55">
        <f>VLOOKUP($E174,'NI-San_SP'!$C:$AN,MID(V$1,1,2),FALSE)</f>
        <v>33346816</v>
      </c>
      <c r="W174" s="55">
        <f>VLOOKUP($E174,'NI-San_SP'!$C:$AN,MID(W$1,1,2),FALSE)</f>
        <v>0</v>
      </c>
      <c r="X174" s="55">
        <f>VLOOKUP($E174,'NI-San_SP'!$C:$AN,MID(X$1,1,2),FALSE)</f>
        <v>0</v>
      </c>
      <c r="Y174" s="55">
        <f>VLOOKUP($E174,'NI-San_SP'!$C:$AN,MID(Y$1,1,2),FALSE)</f>
        <v>0</v>
      </c>
      <c r="Z174" s="55">
        <f>VLOOKUP($E174,'NI-San_SP'!$C:$AN,MID(Z$1,1,2),FALSE)</f>
        <v>0</v>
      </c>
      <c r="AA174" s="55">
        <f>VLOOKUP($E174,'NI-San_SP'!$C:$AN,MID(AA$1,1,2),FALSE)</f>
        <v>0</v>
      </c>
      <c r="AB174" s="55">
        <f>VLOOKUP($E174,'NI-San_SP'!$C:$AN,MID(AB$1,1,2),FALSE)</f>
        <v>0</v>
      </c>
      <c r="AC174" s="55">
        <f>VLOOKUP($E174,'NI-San_SP'!$C:$AN,MID(AC$1,1,2),FALSE)</f>
        <v>190909</v>
      </c>
      <c r="AD174" s="55">
        <f>VLOOKUP($E174,'NI-San_SP'!$C:$AN,MID(AD$1,1,2),FALSE)</f>
        <v>18948</v>
      </c>
      <c r="AE174" s="55">
        <f>VLOOKUP($E174,'NI-San_SP'!$C:$AN,MID(AE$1,1,2),FALSE)</f>
        <v>0</v>
      </c>
      <c r="AF174" s="55">
        <f>VLOOKUP($E174,'NI-San_SP'!$C:$AN,MID(AF$1,1,2),FALSE)</f>
        <v>0</v>
      </c>
      <c r="AG174" s="55">
        <f>VLOOKUP($E174,'NI-San_SP'!$C:$AN,MID(AG$1,1,2),FALSE)</f>
        <v>0</v>
      </c>
      <c r="AH174" s="55">
        <f>VLOOKUP($E174,'NI-San_SP'!$C:$AN,MID(AH$1,1,2),FALSE)</f>
        <v>0</v>
      </c>
      <c r="AI174" s="55">
        <f>VLOOKUP($E174,'NI-San_SP'!$C:$AN,MID(AI$1,1,2),FALSE)</f>
        <v>0</v>
      </c>
      <c r="AJ174" s="55">
        <f>VLOOKUP($E174,'NI-San_SP'!$C:$AN,MID(AJ$1,1,2),FALSE)</f>
        <v>0</v>
      </c>
      <c r="AK174" s="55">
        <f>VLOOKUP($E174,'NI-San_SP'!$C:$AN,MID(AK$1,1,2),FALSE)</f>
        <v>0</v>
      </c>
      <c r="AL174" s="55">
        <f>VLOOKUP($E174,'NI-San_SP'!$C:$AN,MID(AL$1,1,2),FALSE)</f>
        <v>0</v>
      </c>
      <c r="AM174" s="56">
        <f>VLOOKUP($E174,'NI-San_SP'!$C:$AN,MID(AM$1,1,2),FALSE)</f>
        <v>0</v>
      </c>
      <c r="AN174" s="30" t="str">
        <f t="shared" si="2"/>
        <v>10204020010010</v>
      </c>
    </row>
    <row r="175" spans="3:40" x14ac:dyDescent="0.25">
      <c r="C175" s="40"/>
      <c r="D175" s="57" t="s">
        <v>691</v>
      </c>
      <c r="E175" s="57" t="s">
        <v>692</v>
      </c>
      <c r="F175" s="58" t="s">
        <v>110</v>
      </c>
      <c r="G175" s="52"/>
      <c r="H175" s="52"/>
      <c r="I175" s="52"/>
      <c r="J175" s="52"/>
      <c r="K175" s="59" t="s">
        <v>79</v>
      </c>
      <c r="L175" s="52"/>
      <c r="M175" s="52"/>
      <c r="N175" s="52"/>
      <c r="O175" s="52"/>
      <c r="P175" s="66" t="s">
        <v>693</v>
      </c>
      <c r="Q175" s="55">
        <f>VLOOKUP(E175,'NI-San_SP'!$C:$AN,12,FALSE)</f>
        <v>22401589</v>
      </c>
      <c r="R175" s="55">
        <f>VLOOKUP(E175,'NI-San_SP'!$C:$AN,13,FALSE)</f>
        <v>22644072</v>
      </c>
      <c r="S175" s="55"/>
      <c r="T175" s="55"/>
      <c r="U175" s="55">
        <f>VLOOKUP($E175,'NI-San_SP'!$C:$AN,MID(U$1,1,2),FALSE)</f>
        <v>0</v>
      </c>
      <c r="V175" s="55">
        <f>VLOOKUP($E175,'NI-San_SP'!$C:$AN,MID(V$1,1,2),FALSE)</f>
        <v>22401589</v>
      </c>
      <c r="W175" s="55">
        <f>VLOOKUP($E175,'NI-San_SP'!$C:$AN,MID(W$1,1,2),FALSE)</f>
        <v>0</v>
      </c>
      <c r="X175" s="55">
        <f>VLOOKUP($E175,'NI-San_SP'!$C:$AN,MID(X$1,1,2),FALSE)</f>
        <v>0</v>
      </c>
      <c r="Y175" s="55">
        <f>VLOOKUP($E175,'NI-San_SP'!$C:$AN,MID(Y$1,1,2),FALSE)</f>
        <v>0</v>
      </c>
      <c r="Z175" s="55">
        <f>VLOOKUP($E175,'NI-San_SP'!$C:$AN,MID(Z$1,1,2),FALSE)</f>
        <v>0</v>
      </c>
      <c r="AA175" s="55">
        <f>VLOOKUP($E175,'NI-San_SP'!$C:$AN,MID(AA$1,1,2),FALSE)</f>
        <v>0</v>
      </c>
      <c r="AB175" s="55">
        <f>VLOOKUP($E175,'NI-San_SP'!$C:$AN,MID(AB$1,1,2),FALSE)</f>
        <v>0</v>
      </c>
      <c r="AC175" s="55">
        <f>VLOOKUP($E175,'NI-San_SP'!$C:$AN,MID(AC$1,1,2),FALSE)</f>
        <v>706468</v>
      </c>
      <c r="AD175" s="55">
        <f>VLOOKUP($E175,'NI-San_SP'!$C:$AN,MID(AD$1,1,2),FALSE)</f>
        <v>948951</v>
      </c>
      <c r="AE175" s="55">
        <f>VLOOKUP($E175,'NI-San_SP'!$C:$AN,MID(AE$1,1,2),FALSE)</f>
        <v>0</v>
      </c>
      <c r="AF175" s="55">
        <f>VLOOKUP($E175,'NI-San_SP'!$C:$AN,MID(AF$1,1,2),FALSE)</f>
        <v>0</v>
      </c>
      <c r="AG175" s="55">
        <f>VLOOKUP($E175,'NI-San_SP'!$C:$AN,MID(AG$1,1,2),FALSE)</f>
        <v>0</v>
      </c>
      <c r="AH175" s="55">
        <f>VLOOKUP($E175,'NI-San_SP'!$C:$AN,MID(AH$1,1,2),FALSE)</f>
        <v>0</v>
      </c>
      <c r="AI175" s="55">
        <f>VLOOKUP($E175,'NI-San_SP'!$C:$AN,MID(AI$1,1,2),FALSE)</f>
        <v>0</v>
      </c>
      <c r="AJ175" s="55">
        <f>VLOOKUP($E175,'NI-San_SP'!$C:$AN,MID(AJ$1,1,2),FALSE)</f>
        <v>0</v>
      </c>
      <c r="AK175" s="55">
        <f>VLOOKUP($E175,'NI-San_SP'!$C:$AN,MID(AK$1,1,2),FALSE)</f>
        <v>0</v>
      </c>
      <c r="AL175" s="55">
        <f>VLOOKUP($E175,'NI-San_SP'!$C:$AN,MID(AL$1,1,2),FALSE)</f>
        <v>0</v>
      </c>
      <c r="AM175" s="56">
        <f>VLOOKUP($E175,'NI-San_SP'!$C:$AN,MID(AM$1,1,2),FALSE)</f>
        <v>0</v>
      </c>
      <c r="AN175" s="30" t="str">
        <f t="shared" si="2"/>
        <v>10204020010020</v>
      </c>
    </row>
    <row r="176" spans="3:40" x14ac:dyDescent="0.25">
      <c r="C176" s="40"/>
      <c r="D176" s="57" t="s">
        <v>694</v>
      </c>
      <c r="E176" s="57" t="s">
        <v>695</v>
      </c>
      <c r="F176" s="58" t="s">
        <v>110</v>
      </c>
      <c r="G176" s="52"/>
      <c r="H176" s="52"/>
      <c r="I176" s="52"/>
      <c r="J176" s="52"/>
      <c r="K176" s="59" t="s">
        <v>79</v>
      </c>
      <c r="L176" s="52"/>
      <c r="M176" s="52"/>
      <c r="N176" s="52"/>
      <c r="O176" s="52"/>
      <c r="P176" s="66" t="s">
        <v>696</v>
      </c>
      <c r="Q176" s="55">
        <f>VLOOKUP(E176,'NI-San_SP'!$C:$AN,12,FALSE)</f>
        <v>2674889</v>
      </c>
      <c r="R176" s="55">
        <f>VLOOKUP(E176,'NI-San_SP'!$C:$AN,13,FALSE)</f>
        <v>2674889</v>
      </c>
      <c r="S176" s="55"/>
      <c r="T176" s="55"/>
      <c r="U176" s="55">
        <f>VLOOKUP($E176,'NI-San_SP'!$C:$AN,MID(U$1,1,2),FALSE)</f>
        <v>0</v>
      </c>
      <c r="V176" s="55">
        <f>VLOOKUP($E176,'NI-San_SP'!$C:$AN,MID(V$1,1,2),FALSE)</f>
        <v>2674889</v>
      </c>
      <c r="W176" s="55">
        <f>VLOOKUP($E176,'NI-San_SP'!$C:$AN,MID(W$1,1,2),FALSE)</f>
        <v>0</v>
      </c>
      <c r="X176" s="55">
        <f>VLOOKUP($E176,'NI-San_SP'!$C:$AN,MID(X$1,1,2),FALSE)</f>
        <v>0</v>
      </c>
      <c r="Y176" s="55">
        <f>VLOOKUP($E176,'NI-San_SP'!$C:$AN,MID(Y$1,1,2),FALSE)</f>
        <v>0</v>
      </c>
      <c r="Z176" s="55">
        <f>VLOOKUP($E176,'NI-San_SP'!$C:$AN,MID(Z$1,1,2),FALSE)</f>
        <v>0</v>
      </c>
      <c r="AA176" s="55">
        <f>VLOOKUP($E176,'NI-San_SP'!$C:$AN,MID(AA$1,1,2),FALSE)</f>
        <v>0</v>
      </c>
      <c r="AB176" s="55">
        <f>VLOOKUP($E176,'NI-San_SP'!$C:$AN,MID(AB$1,1,2),FALSE)</f>
        <v>0</v>
      </c>
      <c r="AC176" s="55">
        <f>VLOOKUP($E176,'NI-San_SP'!$C:$AN,MID(AC$1,1,2),FALSE)</f>
        <v>0</v>
      </c>
      <c r="AD176" s="55">
        <f>VLOOKUP($E176,'NI-San_SP'!$C:$AN,MID(AD$1,1,2),FALSE)</f>
        <v>0</v>
      </c>
      <c r="AE176" s="55">
        <f>VLOOKUP($E176,'NI-San_SP'!$C:$AN,MID(AE$1,1,2),FALSE)</f>
        <v>0</v>
      </c>
      <c r="AF176" s="55">
        <f>VLOOKUP($E176,'NI-San_SP'!$C:$AN,MID(AF$1,1,2),FALSE)</f>
        <v>0</v>
      </c>
      <c r="AG176" s="55">
        <f>VLOOKUP($E176,'NI-San_SP'!$C:$AN,MID(AG$1,1,2),FALSE)</f>
        <v>0</v>
      </c>
      <c r="AH176" s="55">
        <f>VLOOKUP($E176,'NI-San_SP'!$C:$AN,MID(AH$1,1,2),FALSE)</f>
        <v>0</v>
      </c>
      <c r="AI176" s="55">
        <f>VLOOKUP($E176,'NI-San_SP'!$C:$AN,MID(AI$1,1,2),FALSE)</f>
        <v>0</v>
      </c>
      <c r="AJ176" s="55">
        <f>VLOOKUP($E176,'NI-San_SP'!$C:$AN,MID(AJ$1,1,2),FALSE)</f>
        <v>0</v>
      </c>
      <c r="AK176" s="55">
        <f>VLOOKUP($E176,'NI-San_SP'!$C:$AN,MID(AK$1,1,2),FALSE)</f>
        <v>0</v>
      </c>
      <c r="AL176" s="55">
        <f>VLOOKUP($E176,'NI-San_SP'!$C:$AN,MID(AL$1,1,2),FALSE)</f>
        <v>0</v>
      </c>
      <c r="AM176" s="56">
        <f>VLOOKUP($E176,'NI-San_SP'!$C:$AN,MID(AM$1,1,2),FALSE)</f>
        <v>0</v>
      </c>
      <c r="AN176" s="30" t="str">
        <f t="shared" si="2"/>
        <v>10204020020010</v>
      </c>
    </row>
    <row r="177" spans="3:40" x14ac:dyDescent="0.25">
      <c r="C177" s="40"/>
      <c r="D177" s="57" t="s">
        <v>697</v>
      </c>
      <c r="E177" s="57" t="s">
        <v>698</v>
      </c>
      <c r="F177" s="58" t="s">
        <v>110</v>
      </c>
      <c r="G177" s="52"/>
      <c r="H177" s="52"/>
      <c r="I177" s="52"/>
      <c r="J177" s="52"/>
      <c r="K177" s="59" t="s">
        <v>79</v>
      </c>
      <c r="L177" s="52"/>
      <c r="M177" s="52"/>
      <c r="N177" s="52"/>
      <c r="O177" s="52"/>
      <c r="P177" s="66" t="s">
        <v>699</v>
      </c>
      <c r="Q177" s="55">
        <f>VLOOKUP(E177,'NI-San_SP'!$C:$AN,12,FALSE)</f>
        <v>4497628</v>
      </c>
      <c r="R177" s="55">
        <f>VLOOKUP(E177,'NI-San_SP'!$C:$AN,13,FALSE)</f>
        <v>5293069</v>
      </c>
      <c r="S177" s="55"/>
      <c r="T177" s="55"/>
      <c r="U177" s="55">
        <f>VLOOKUP($E177,'NI-San_SP'!$C:$AN,MID(U$1,1,2),FALSE)</f>
        <v>0</v>
      </c>
      <c r="V177" s="55">
        <f>VLOOKUP($E177,'NI-San_SP'!$C:$AN,MID(V$1,1,2),FALSE)</f>
        <v>4497628</v>
      </c>
      <c r="W177" s="55">
        <f>VLOOKUP($E177,'NI-San_SP'!$C:$AN,MID(W$1,1,2),FALSE)</f>
        <v>0</v>
      </c>
      <c r="X177" s="55">
        <f>VLOOKUP($E177,'NI-San_SP'!$C:$AN,MID(X$1,1,2),FALSE)</f>
        <v>0</v>
      </c>
      <c r="Y177" s="55">
        <f>VLOOKUP($E177,'NI-San_SP'!$C:$AN,MID(Y$1,1,2),FALSE)</f>
        <v>0</v>
      </c>
      <c r="Z177" s="55">
        <f>VLOOKUP($E177,'NI-San_SP'!$C:$AN,MID(Z$1,1,2),FALSE)</f>
        <v>0</v>
      </c>
      <c r="AA177" s="55">
        <f>VLOOKUP($E177,'NI-San_SP'!$C:$AN,MID(AA$1,1,2),FALSE)</f>
        <v>0</v>
      </c>
      <c r="AB177" s="55">
        <f>VLOOKUP($E177,'NI-San_SP'!$C:$AN,MID(AB$1,1,2),FALSE)</f>
        <v>0</v>
      </c>
      <c r="AC177" s="55">
        <f>VLOOKUP($E177,'NI-San_SP'!$C:$AN,MID(AC$1,1,2),FALSE)</f>
        <v>0</v>
      </c>
      <c r="AD177" s="55">
        <f>VLOOKUP($E177,'NI-San_SP'!$C:$AN,MID(AD$1,1,2),FALSE)</f>
        <v>795441</v>
      </c>
      <c r="AE177" s="55">
        <f>VLOOKUP($E177,'NI-San_SP'!$C:$AN,MID(AE$1,1,2),FALSE)</f>
        <v>0</v>
      </c>
      <c r="AF177" s="55">
        <f>VLOOKUP($E177,'NI-San_SP'!$C:$AN,MID(AF$1,1,2),FALSE)</f>
        <v>0</v>
      </c>
      <c r="AG177" s="55">
        <f>VLOOKUP($E177,'NI-San_SP'!$C:$AN,MID(AG$1,1,2),FALSE)</f>
        <v>0</v>
      </c>
      <c r="AH177" s="55">
        <f>VLOOKUP($E177,'NI-San_SP'!$C:$AN,MID(AH$1,1,2),FALSE)</f>
        <v>0</v>
      </c>
      <c r="AI177" s="55">
        <f>VLOOKUP($E177,'NI-San_SP'!$C:$AN,MID(AI$1,1,2),FALSE)</f>
        <v>0</v>
      </c>
      <c r="AJ177" s="55">
        <f>VLOOKUP($E177,'NI-San_SP'!$C:$AN,MID(AJ$1,1,2),FALSE)</f>
        <v>0</v>
      </c>
      <c r="AK177" s="55">
        <f>VLOOKUP($E177,'NI-San_SP'!$C:$AN,MID(AK$1,1,2),FALSE)</f>
        <v>0</v>
      </c>
      <c r="AL177" s="55">
        <f>VLOOKUP($E177,'NI-San_SP'!$C:$AN,MID(AL$1,1,2),FALSE)</f>
        <v>0</v>
      </c>
      <c r="AM177" s="56">
        <f>VLOOKUP($E177,'NI-San_SP'!$C:$AN,MID(AM$1,1,2),FALSE)</f>
        <v>0</v>
      </c>
      <c r="AN177" s="30" t="str">
        <f t="shared" si="2"/>
        <v>10204020020020</v>
      </c>
    </row>
    <row r="178" spans="3:40" x14ac:dyDescent="0.25">
      <c r="C178" s="40"/>
      <c r="D178" s="57" t="s">
        <v>700</v>
      </c>
      <c r="E178" s="57" t="s">
        <v>701</v>
      </c>
      <c r="F178" s="58" t="s">
        <v>110</v>
      </c>
      <c r="G178" s="52"/>
      <c r="H178" s="52"/>
      <c r="I178" s="52"/>
      <c r="J178" s="52"/>
      <c r="K178" s="59" t="s">
        <v>79</v>
      </c>
      <c r="L178" s="52"/>
      <c r="M178" s="52"/>
      <c r="N178" s="52"/>
      <c r="O178" s="52"/>
      <c r="P178" s="63" t="s">
        <v>702</v>
      </c>
      <c r="Q178" s="55">
        <f>VLOOKUP(E178,'NI-San_SP'!$C:$AN,12,FALSE)</f>
        <v>0</v>
      </c>
      <c r="R178" s="55">
        <f>VLOOKUP(E178,'NI-San_SP'!$C:$AN,13,FALSE)</f>
        <v>0</v>
      </c>
      <c r="S178" s="55"/>
      <c r="T178" s="55"/>
      <c r="U178" s="55">
        <f>VLOOKUP($E178,'NI-San_SP'!$C:$AN,MID(U$1,1,2),FALSE)</f>
        <v>0</v>
      </c>
      <c r="V178" s="55">
        <f>VLOOKUP($E178,'NI-San_SP'!$C:$AN,MID(V$1,1,2),FALSE)</f>
        <v>0</v>
      </c>
      <c r="W178" s="55">
        <f>VLOOKUP($E178,'NI-San_SP'!$C:$AN,MID(W$1,1,2),FALSE)</f>
        <v>0</v>
      </c>
      <c r="X178" s="55">
        <f>VLOOKUP($E178,'NI-San_SP'!$C:$AN,MID(X$1,1,2),FALSE)</f>
        <v>0</v>
      </c>
      <c r="Y178" s="55">
        <f>VLOOKUP($E178,'NI-San_SP'!$C:$AN,MID(Y$1,1,2),FALSE)</f>
        <v>0</v>
      </c>
      <c r="Z178" s="55">
        <f>VLOOKUP($E178,'NI-San_SP'!$C:$AN,MID(Z$1,1,2),FALSE)</f>
        <v>0</v>
      </c>
      <c r="AA178" s="55">
        <f>VLOOKUP($E178,'NI-San_SP'!$C:$AN,MID(AA$1,1,2),FALSE)</f>
        <v>0</v>
      </c>
      <c r="AB178" s="55">
        <f>VLOOKUP($E178,'NI-San_SP'!$C:$AN,MID(AB$1,1,2),FALSE)</f>
        <v>0</v>
      </c>
      <c r="AC178" s="55">
        <f>VLOOKUP($E178,'NI-San_SP'!$C:$AN,MID(AC$1,1,2),FALSE)</f>
        <v>0</v>
      </c>
      <c r="AD178" s="55">
        <f>VLOOKUP($E178,'NI-San_SP'!$C:$AN,MID(AD$1,1,2),FALSE)</f>
        <v>0</v>
      </c>
      <c r="AE178" s="55">
        <f>VLOOKUP($E178,'NI-San_SP'!$C:$AN,MID(AE$1,1,2),FALSE)</f>
        <v>0</v>
      </c>
      <c r="AF178" s="55">
        <f>VLOOKUP($E178,'NI-San_SP'!$C:$AN,MID(AF$1,1,2),FALSE)</f>
        <v>0</v>
      </c>
      <c r="AG178" s="55">
        <f>VLOOKUP($E178,'NI-San_SP'!$C:$AN,MID(AG$1,1,2),FALSE)</f>
        <v>0</v>
      </c>
      <c r="AH178" s="55">
        <f>VLOOKUP($E178,'NI-San_SP'!$C:$AN,MID(AH$1,1,2),FALSE)</f>
        <v>0</v>
      </c>
      <c r="AI178" s="55">
        <f>VLOOKUP($E178,'NI-San_SP'!$C:$AN,MID(AI$1,1,2),FALSE)</f>
        <v>0</v>
      </c>
      <c r="AJ178" s="55">
        <f>VLOOKUP($E178,'NI-San_SP'!$C:$AN,MID(AJ$1,1,2),FALSE)</f>
        <v>0</v>
      </c>
      <c r="AK178" s="55">
        <f>VLOOKUP($E178,'NI-San_SP'!$C:$AN,MID(AK$1,1,2),FALSE)</f>
        <v>0</v>
      </c>
      <c r="AL178" s="55">
        <f>VLOOKUP($E178,'NI-San_SP'!$C:$AN,MID(AL$1,1,2),FALSE)</f>
        <v>0</v>
      </c>
      <c r="AM178" s="56">
        <f>VLOOKUP($E178,'NI-San_SP'!$C:$AN,MID(AM$1,1,2),FALSE)</f>
        <v>0</v>
      </c>
      <c r="AN178" s="30" t="str">
        <f t="shared" si="2"/>
        <v>10204020030010</v>
      </c>
    </row>
    <row r="179" spans="3:40" x14ac:dyDescent="0.25">
      <c r="C179" s="40"/>
      <c r="D179" s="57" t="s">
        <v>703</v>
      </c>
      <c r="E179" s="57" t="s">
        <v>704</v>
      </c>
      <c r="F179" s="58" t="s">
        <v>110</v>
      </c>
      <c r="G179" s="52"/>
      <c r="H179" s="52"/>
      <c r="I179" s="52"/>
      <c r="J179" s="52"/>
      <c r="K179" s="59" t="s">
        <v>79</v>
      </c>
      <c r="L179" s="52"/>
      <c r="M179" s="52"/>
      <c r="N179" s="52"/>
      <c r="O179" s="52"/>
      <c r="P179" s="63" t="s">
        <v>705</v>
      </c>
      <c r="Q179" s="55">
        <f>VLOOKUP(E179,'NI-San_SP'!$C:$AN,12,FALSE)</f>
        <v>0</v>
      </c>
      <c r="R179" s="55">
        <f>VLOOKUP(E179,'NI-San_SP'!$C:$AN,13,FALSE)</f>
        <v>0</v>
      </c>
      <c r="S179" s="55"/>
      <c r="T179" s="55"/>
      <c r="U179" s="55">
        <f>VLOOKUP($E179,'NI-San_SP'!$C:$AN,MID(U$1,1,2),FALSE)</f>
        <v>0</v>
      </c>
      <c r="V179" s="55">
        <f>VLOOKUP($E179,'NI-San_SP'!$C:$AN,MID(V$1,1,2),FALSE)</f>
        <v>0</v>
      </c>
      <c r="W179" s="55">
        <f>VLOOKUP($E179,'NI-San_SP'!$C:$AN,MID(W$1,1,2),FALSE)</f>
        <v>0</v>
      </c>
      <c r="X179" s="55">
        <f>VLOOKUP($E179,'NI-San_SP'!$C:$AN,MID(X$1,1,2),FALSE)</f>
        <v>0</v>
      </c>
      <c r="Y179" s="55">
        <f>VLOOKUP($E179,'NI-San_SP'!$C:$AN,MID(Y$1,1,2),FALSE)</f>
        <v>0</v>
      </c>
      <c r="Z179" s="55">
        <f>VLOOKUP($E179,'NI-San_SP'!$C:$AN,MID(Z$1,1,2),FALSE)</f>
        <v>0</v>
      </c>
      <c r="AA179" s="55">
        <f>VLOOKUP($E179,'NI-San_SP'!$C:$AN,MID(AA$1,1,2),FALSE)</f>
        <v>0</v>
      </c>
      <c r="AB179" s="55">
        <f>VLOOKUP($E179,'NI-San_SP'!$C:$AN,MID(AB$1,1,2),FALSE)</f>
        <v>0</v>
      </c>
      <c r="AC179" s="55">
        <f>VLOOKUP($E179,'NI-San_SP'!$C:$AN,MID(AC$1,1,2),FALSE)</f>
        <v>0</v>
      </c>
      <c r="AD179" s="55">
        <f>VLOOKUP($E179,'NI-San_SP'!$C:$AN,MID(AD$1,1,2),FALSE)</f>
        <v>0</v>
      </c>
      <c r="AE179" s="55">
        <f>VLOOKUP($E179,'NI-San_SP'!$C:$AN,MID(AE$1,1,2),FALSE)</f>
        <v>0</v>
      </c>
      <c r="AF179" s="55">
        <f>VLOOKUP($E179,'NI-San_SP'!$C:$AN,MID(AF$1,1,2),FALSE)</f>
        <v>0</v>
      </c>
      <c r="AG179" s="55">
        <f>VLOOKUP($E179,'NI-San_SP'!$C:$AN,MID(AG$1,1,2),FALSE)</f>
        <v>0</v>
      </c>
      <c r="AH179" s="55">
        <f>VLOOKUP($E179,'NI-San_SP'!$C:$AN,MID(AH$1,1,2),FALSE)</f>
        <v>0</v>
      </c>
      <c r="AI179" s="55">
        <f>VLOOKUP($E179,'NI-San_SP'!$C:$AN,MID(AI$1,1,2),FALSE)</f>
        <v>0</v>
      </c>
      <c r="AJ179" s="55">
        <f>VLOOKUP($E179,'NI-San_SP'!$C:$AN,MID(AJ$1,1,2),FALSE)</f>
        <v>0</v>
      </c>
      <c r="AK179" s="55">
        <f>VLOOKUP($E179,'NI-San_SP'!$C:$AN,MID(AK$1,1,2),FALSE)</f>
        <v>0</v>
      </c>
      <c r="AL179" s="55">
        <f>VLOOKUP($E179,'NI-San_SP'!$C:$AN,MID(AL$1,1,2),FALSE)</f>
        <v>0</v>
      </c>
      <c r="AM179" s="56">
        <f>VLOOKUP($E179,'NI-San_SP'!$C:$AN,MID(AM$1,1,2),FALSE)</f>
        <v>0</v>
      </c>
      <c r="AN179" s="30" t="str">
        <f t="shared" si="2"/>
        <v>10204020030020</v>
      </c>
    </row>
    <row r="180" spans="3:40" x14ac:dyDescent="0.25">
      <c r="C180" s="40"/>
      <c r="D180" s="57" t="s">
        <v>706</v>
      </c>
      <c r="E180" s="57" t="s">
        <v>707</v>
      </c>
      <c r="F180" s="58" t="s">
        <v>110</v>
      </c>
      <c r="G180" s="52"/>
      <c r="H180" s="52"/>
      <c r="I180" s="52"/>
      <c r="J180" s="52"/>
      <c r="K180" s="59" t="s">
        <v>111</v>
      </c>
      <c r="L180" s="52"/>
      <c r="M180" s="52"/>
      <c r="N180" s="52"/>
      <c r="O180" s="61" t="s">
        <v>708</v>
      </c>
      <c r="P180" s="60" t="s">
        <v>709</v>
      </c>
      <c r="Q180" s="55">
        <f>VLOOKUP(E180,'NI-San_SP'!$C:$AN,12,FALSE)</f>
        <v>493037</v>
      </c>
      <c r="R180" s="55">
        <f>VLOOKUP(E180,'NI-San_SP'!$C:$AN,13,FALSE)</f>
        <v>391047</v>
      </c>
      <c r="S180" s="55"/>
      <c r="T180" s="55"/>
      <c r="U180" s="55">
        <f>VLOOKUP($E180,'NI-San_SP'!$C:$AN,MID(U$1,1,2),FALSE)</f>
        <v>0</v>
      </c>
      <c r="V180" s="55">
        <f>VLOOKUP($E180,'NI-San_SP'!$C:$AN,MID(V$1,1,2),FALSE)</f>
        <v>0</v>
      </c>
      <c r="W180" s="55">
        <f>VLOOKUP($E180,'NI-San_SP'!$C:$AN,MID(W$1,1,2),FALSE)</f>
        <v>0</v>
      </c>
      <c r="X180" s="55">
        <f>VLOOKUP($E180,'NI-San_SP'!$C:$AN,MID(X$1,1,2),FALSE)</f>
        <v>0</v>
      </c>
      <c r="Y180" s="55">
        <f>VLOOKUP($E180,'NI-San_SP'!$C:$AN,MID(Y$1,1,2),FALSE)</f>
        <v>0</v>
      </c>
      <c r="Z180" s="55">
        <f>VLOOKUP($E180,'NI-San_SP'!$C:$AN,MID(Z$1,1,2),FALSE)</f>
        <v>0</v>
      </c>
      <c r="AA180" s="55">
        <f>VLOOKUP($E180,'NI-San_SP'!$C:$AN,MID(AA$1,1,2),FALSE)</f>
        <v>0</v>
      </c>
      <c r="AB180" s="55">
        <f>VLOOKUP($E180,'NI-San_SP'!$C:$AN,MID(AB$1,1,2),FALSE)</f>
        <v>0</v>
      </c>
      <c r="AC180" s="55">
        <f>VLOOKUP($E180,'NI-San_SP'!$C:$AN,MID(AC$1,1,2),FALSE)</f>
        <v>0</v>
      </c>
      <c r="AD180" s="55">
        <f>VLOOKUP($E180,'NI-San_SP'!$C:$AN,MID(AD$1,1,2),FALSE)</f>
        <v>0</v>
      </c>
      <c r="AE180" s="55">
        <f>VLOOKUP($E180,'NI-San_SP'!$C:$AN,MID(AE$1,1,2),FALSE)</f>
        <v>0</v>
      </c>
      <c r="AF180" s="55">
        <f>VLOOKUP($E180,'NI-San_SP'!$C:$AN,MID(AF$1,1,2),FALSE)</f>
        <v>0</v>
      </c>
      <c r="AG180" s="55">
        <f>VLOOKUP($E180,'NI-San_SP'!$C:$AN,MID(AG$1,1,2),FALSE)</f>
        <v>0</v>
      </c>
      <c r="AH180" s="55">
        <f>VLOOKUP($E180,'NI-San_SP'!$C:$AN,MID(AH$1,1,2),FALSE)</f>
        <v>0</v>
      </c>
      <c r="AI180" s="55">
        <f>VLOOKUP($E180,'NI-San_SP'!$C:$AN,MID(AI$1,1,2),FALSE)</f>
        <v>0</v>
      </c>
      <c r="AJ180" s="55">
        <f>VLOOKUP($E180,'NI-San_SP'!$C:$AN,MID(AJ$1,1,2),FALSE)</f>
        <v>0</v>
      </c>
      <c r="AK180" s="55">
        <f>VLOOKUP($E180,'NI-San_SP'!$C:$AN,MID(AK$1,1,2),FALSE)</f>
        <v>0</v>
      </c>
      <c r="AL180" s="55">
        <f>VLOOKUP($E180,'NI-San_SP'!$C:$AN,MID(AL$1,1,2),FALSE)</f>
        <v>0</v>
      </c>
      <c r="AM180" s="56">
        <f>VLOOKUP($E180,'NI-San_SP'!$C:$AN,MID(AM$1,1,2),FALSE)</f>
        <v>0</v>
      </c>
      <c r="AN180" s="30" t="str">
        <f t="shared" si="2"/>
        <v>10205000000000</v>
      </c>
    </row>
    <row r="181" spans="3:40" x14ac:dyDescent="0.25">
      <c r="C181" s="40"/>
      <c r="D181" s="57" t="s">
        <v>710</v>
      </c>
      <c r="E181" s="57" t="s">
        <v>711</v>
      </c>
      <c r="F181" s="58" t="s">
        <v>110</v>
      </c>
      <c r="G181" s="52"/>
      <c r="H181" s="52"/>
      <c r="I181" s="52" t="s">
        <v>712</v>
      </c>
      <c r="J181" s="52" t="s">
        <v>712</v>
      </c>
      <c r="K181" s="59" t="s">
        <v>111</v>
      </c>
      <c r="L181" s="62" t="s">
        <v>713</v>
      </c>
      <c r="M181" s="52"/>
      <c r="N181" s="52"/>
      <c r="O181" s="52"/>
      <c r="P181" s="54" t="s">
        <v>714</v>
      </c>
      <c r="Q181" s="55">
        <f>VLOOKUP(E181,'NI-San_SP'!$C:$AN,12,FALSE)</f>
        <v>7528290</v>
      </c>
      <c r="R181" s="55">
        <f>VLOOKUP(E181,'NI-San_SP'!$C:$AN,13,FALSE)</f>
        <v>7555687</v>
      </c>
      <c r="S181" s="55"/>
      <c r="T181" s="55"/>
      <c r="U181" s="55">
        <f>VLOOKUP($E181,'NI-San_SP'!$C:$AN,MID(U$1,1,2),FALSE)</f>
        <v>0</v>
      </c>
      <c r="V181" s="55">
        <f>VLOOKUP($E181,'NI-San_SP'!$C:$AN,MID(V$1,1,2),FALSE)</f>
        <v>7528290</v>
      </c>
      <c r="W181" s="55">
        <f>VLOOKUP($E181,'NI-San_SP'!$C:$AN,MID(W$1,1,2),FALSE)</f>
        <v>0</v>
      </c>
      <c r="X181" s="55">
        <f>VLOOKUP($E181,'NI-San_SP'!$C:$AN,MID(X$1,1,2),FALSE)</f>
        <v>0</v>
      </c>
      <c r="Y181" s="55">
        <f>VLOOKUP($E181,'NI-San_SP'!$C:$AN,MID(Y$1,1,2),FALSE)</f>
        <v>0</v>
      </c>
      <c r="Z181" s="55">
        <f>VLOOKUP($E181,'NI-San_SP'!$C:$AN,MID(Z$1,1,2),FALSE)</f>
        <v>0</v>
      </c>
      <c r="AA181" s="55">
        <f>VLOOKUP($E181,'NI-San_SP'!$C:$AN,MID(AA$1,1,2),FALSE)</f>
        <v>0</v>
      </c>
      <c r="AB181" s="55">
        <f>VLOOKUP($E181,'NI-San_SP'!$C:$AN,MID(AB$1,1,2),FALSE)</f>
        <v>0</v>
      </c>
      <c r="AC181" s="55">
        <f>VLOOKUP($E181,'NI-San_SP'!$C:$AN,MID(AC$1,1,2),FALSE)</f>
        <v>0</v>
      </c>
      <c r="AD181" s="55">
        <f>VLOOKUP($E181,'NI-San_SP'!$C:$AN,MID(AD$1,1,2),FALSE)</f>
        <v>0</v>
      </c>
      <c r="AE181" s="55">
        <f>VLOOKUP($E181,'NI-San_SP'!$C:$AN,MID(AE$1,1,2),FALSE)</f>
        <v>0</v>
      </c>
      <c r="AF181" s="55">
        <f>VLOOKUP($E181,'NI-San_SP'!$C:$AN,MID(AF$1,1,2),FALSE)</f>
        <v>47429</v>
      </c>
      <c r="AG181" s="55">
        <f>VLOOKUP($E181,'NI-San_SP'!$C:$AN,MID(AG$1,1,2),FALSE)</f>
        <v>0</v>
      </c>
      <c r="AH181" s="55">
        <f>VLOOKUP($E181,'NI-San_SP'!$C:$AN,MID(AH$1,1,2),FALSE)</f>
        <v>0</v>
      </c>
      <c r="AI181" s="55">
        <f>VLOOKUP($E181,'NI-San_SP'!$C:$AN,MID(AI$1,1,2),FALSE)</f>
        <v>20032</v>
      </c>
      <c r="AJ181" s="55">
        <f>VLOOKUP($E181,'NI-San_SP'!$C:$AN,MID(AJ$1,1,2),FALSE)</f>
        <v>0</v>
      </c>
      <c r="AK181" s="55">
        <f>VLOOKUP($E181,'NI-San_SP'!$C:$AN,MID(AK$1,1,2),FALSE)</f>
        <v>0</v>
      </c>
      <c r="AL181" s="55">
        <f>VLOOKUP($E181,'NI-San_SP'!$C:$AN,MID(AL$1,1,2),FALSE)</f>
        <v>0</v>
      </c>
      <c r="AM181" s="56">
        <f>VLOOKUP($E181,'NI-San_SP'!$C:$AN,MID(AM$1,1,2),FALSE)</f>
        <v>0</v>
      </c>
      <c r="AN181" s="30" t="str">
        <f t="shared" si="2"/>
        <v>10205010000000</v>
      </c>
    </row>
    <row r="182" spans="3:40" x14ac:dyDescent="0.25">
      <c r="C182" s="40"/>
      <c r="D182" s="57" t="s">
        <v>715</v>
      </c>
      <c r="E182" s="57" t="s">
        <v>716</v>
      </c>
      <c r="F182" s="58" t="s">
        <v>110</v>
      </c>
      <c r="G182" s="52"/>
      <c r="H182" s="52"/>
      <c r="I182" s="52"/>
      <c r="J182" s="52"/>
      <c r="K182" s="59" t="s">
        <v>79</v>
      </c>
      <c r="L182" s="52"/>
      <c r="M182" s="52"/>
      <c r="N182" s="52"/>
      <c r="O182" s="52"/>
      <c r="P182" s="63" t="s">
        <v>717</v>
      </c>
      <c r="Q182" s="55">
        <f>VLOOKUP(E182,'NI-San_SP'!$C:$AN,12,FALSE)</f>
        <v>921601</v>
      </c>
      <c r="R182" s="55">
        <f>VLOOKUP(E182,'NI-San_SP'!$C:$AN,13,FALSE)</f>
        <v>920670</v>
      </c>
      <c r="S182" s="55"/>
      <c r="T182" s="55"/>
      <c r="U182" s="55">
        <f>VLOOKUP($E182,'NI-San_SP'!$C:$AN,MID(U$1,1,2),FALSE)</f>
        <v>0</v>
      </c>
      <c r="V182" s="55">
        <f>VLOOKUP($E182,'NI-San_SP'!$C:$AN,MID(V$1,1,2),FALSE)</f>
        <v>921601</v>
      </c>
      <c r="W182" s="55">
        <f>VLOOKUP($E182,'NI-San_SP'!$C:$AN,MID(W$1,1,2),FALSE)</f>
        <v>0</v>
      </c>
      <c r="X182" s="55">
        <f>VLOOKUP($E182,'NI-San_SP'!$C:$AN,MID(X$1,1,2),FALSE)</f>
        <v>0</v>
      </c>
      <c r="Y182" s="55">
        <f>VLOOKUP($E182,'NI-San_SP'!$C:$AN,MID(Y$1,1,2),FALSE)</f>
        <v>0</v>
      </c>
      <c r="Z182" s="55">
        <f>VLOOKUP($E182,'NI-San_SP'!$C:$AN,MID(Z$1,1,2),FALSE)</f>
        <v>0</v>
      </c>
      <c r="AA182" s="55">
        <f>VLOOKUP($E182,'NI-San_SP'!$C:$AN,MID(AA$1,1,2),FALSE)</f>
        <v>0</v>
      </c>
      <c r="AB182" s="55">
        <f>VLOOKUP($E182,'NI-San_SP'!$C:$AN,MID(AB$1,1,2),FALSE)</f>
        <v>0</v>
      </c>
      <c r="AC182" s="55">
        <f>VLOOKUP($E182,'NI-San_SP'!$C:$AN,MID(AC$1,1,2),FALSE)</f>
        <v>0</v>
      </c>
      <c r="AD182" s="55">
        <f>VLOOKUP($E182,'NI-San_SP'!$C:$AN,MID(AD$1,1,2),FALSE)</f>
        <v>0</v>
      </c>
      <c r="AE182" s="55">
        <f>VLOOKUP($E182,'NI-San_SP'!$C:$AN,MID(AE$1,1,2),FALSE)</f>
        <v>0</v>
      </c>
      <c r="AF182" s="55">
        <f>VLOOKUP($E182,'NI-San_SP'!$C:$AN,MID(AF$1,1,2),FALSE)</f>
        <v>0</v>
      </c>
      <c r="AG182" s="55">
        <f>VLOOKUP($E182,'NI-San_SP'!$C:$AN,MID(AG$1,1,2),FALSE)</f>
        <v>0</v>
      </c>
      <c r="AH182" s="55">
        <f>VLOOKUP($E182,'NI-San_SP'!$C:$AN,MID(AH$1,1,2),FALSE)</f>
        <v>0</v>
      </c>
      <c r="AI182" s="55">
        <f>VLOOKUP($E182,'NI-San_SP'!$C:$AN,MID(AI$1,1,2),FALSE)</f>
        <v>931</v>
      </c>
      <c r="AJ182" s="55">
        <f>VLOOKUP($E182,'NI-San_SP'!$C:$AN,MID(AJ$1,1,2),FALSE)</f>
        <v>0</v>
      </c>
      <c r="AK182" s="55">
        <f>VLOOKUP($E182,'NI-San_SP'!$C:$AN,MID(AK$1,1,2),FALSE)</f>
        <v>0</v>
      </c>
      <c r="AL182" s="55">
        <f>VLOOKUP($E182,'NI-San_SP'!$C:$AN,MID(AL$1,1,2),FALSE)</f>
        <v>0</v>
      </c>
      <c r="AM182" s="56">
        <f>VLOOKUP($E182,'NI-San_SP'!$C:$AN,MID(AM$1,1,2),FALSE)</f>
        <v>0</v>
      </c>
      <c r="AN182" s="30" t="str">
        <f t="shared" si="2"/>
        <v>10205010010010</v>
      </c>
    </row>
    <row r="183" spans="3:40" x14ac:dyDescent="0.25">
      <c r="C183" s="40"/>
      <c r="D183" s="57" t="s">
        <v>718</v>
      </c>
      <c r="E183" s="57" t="s">
        <v>719</v>
      </c>
      <c r="F183" s="58" t="s">
        <v>110</v>
      </c>
      <c r="G183" s="52"/>
      <c r="H183" s="52"/>
      <c r="I183" s="52"/>
      <c r="J183" s="52"/>
      <c r="K183" s="59" t="s">
        <v>79</v>
      </c>
      <c r="L183" s="52"/>
      <c r="M183" s="52"/>
      <c r="N183" s="52"/>
      <c r="O183" s="52"/>
      <c r="P183" s="63" t="s">
        <v>720</v>
      </c>
      <c r="Q183" s="55">
        <f>VLOOKUP(E183,'NI-San_SP'!$C:$AN,12,FALSE)</f>
        <v>943726</v>
      </c>
      <c r="R183" s="55">
        <f>VLOOKUP(E183,'NI-San_SP'!$C:$AN,13,FALSE)</f>
        <v>945389</v>
      </c>
      <c r="S183" s="55"/>
      <c r="T183" s="55"/>
      <c r="U183" s="55">
        <f>VLOOKUP($E183,'NI-San_SP'!$C:$AN,MID(U$1,1,2),FALSE)</f>
        <v>0</v>
      </c>
      <c r="V183" s="55">
        <f>VLOOKUP($E183,'NI-San_SP'!$C:$AN,MID(V$1,1,2),FALSE)</f>
        <v>943726</v>
      </c>
      <c r="W183" s="55">
        <f>VLOOKUP($E183,'NI-San_SP'!$C:$AN,MID(W$1,1,2),FALSE)</f>
        <v>0</v>
      </c>
      <c r="X183" s="55">
        <f>VLOOKUP($E183,'NI-San_SP'!$C:$AN,MID(X$1,1,2),FALSE)</f>
        <v>0</v>
      </c>
      <c r="Y183" s="55">
        <f>VLOOKUP($E183,'NI-San_SP'!$C:$AN,MID(Y$1,1,2),FALSE)</f>
        <v>0</v>
      </c>
      <c r="Z183" s="55">
        <f>VLOOKUP($E183,'NI-San_SP'!$C:$AN,MID(Z$1,1,2),FALSE)</f>
        <v>0</v>
      </c>
      <c r="AA183" s="55">
        <f>VLOOKUP($E183,'NI-San_SP'!$C:$AN,MID(AA$1,1,2),FALSE)</f>
        <v>0</v>
      </c>
      <c r="AB183" s="55">
        <f>VLOOKUP($E183,'NI-San_SP'!$C:$AN,MID(AB$1,1,2),FALSE)</f>
        <v>0</v>
      </c>
      <c r="AC183" s="55">
        <f>VLOOKUP($E183,'NI-San_SP'!$C:$AN,MID(AC$1,1,2),FALSE)</f>
        <v>0</v>
      </c>
      <c r="AD183" s="55">
        <f>VLOOKUP($E183,'NI-San_SP'!$C:$AN,MID(AD$1,1,2),FALSE)</f>
        <v>0</v>
      </c>
      <c r="AE183" s="55">
        <f>VLOOKUP($E183,'NI-San_SP'!$C:$AN,MID(AE$1,1,2),FALSE)</f>
        <v>0</v>
      </c>
      <c r="AF183" s="55">
        <f>VLOOKUP($E183,'NI-San_SP'!$C:$AN,MID(AF$1,1,2),FALSE)</f>
        <v>5975</v>
      </c>
      <c r="AG183" s="55">
        <f>VLOOKUP($E183,'NI-San_SP'!$C:$AN,MID(AG$1,1,2),FALSE)</f>
        <v>0</v>
      </c>
      <c r="AH183" s="55">
        <f>VLOOKUP($E183,'NI-San_SP'!$C:$AN,MID(AH$1,1,2),FALSE)</f>
        <v>0</v>
      </c>
      <c r="AI183" s="55">
        <f>VLOOKUP($E183,'NI-San_SP'!$C:$AN,MID(AI$1,1,2),FALSE)</f>
        <v>4312</v>
      </c>
      <c r="AJ183" s="55">
        <f>VLOOKUP($E183,'NI-San_SP'!$C:$AN,MID(AJ$1,1,2),FALSE)</f>
        <v>0</v>
      </c>
      <c r="AK183" s="55">
        <f>VLOOKUP($E183,'NI-San_SP'!$C:$AN,MID(AK$1,1,2),FALSE)</f>
        <v>0</v>
      </c>
      <c r="AL183" s="55">
        <f>VLOOKUP($E183,'NI-San_SP'!$C:$AN,MID(AL$1,1,2),FALSE)</f>
        <v>0</v>
      </c>
      <c r="AM183" s="56">
        <f>VLOOKUP($E183,'NI-San_SP'!$C:$AN,MID(AM$1,1,2),FALSE)</f>
        <v>0</v>
      </c>
      <c r="AN183" s="30" t="str">
        <f t="shared" si="2"/>
        <v>10205010010020</v>
      </c>
    </row>
    <row r="184" spans="3:40" x14ac:dyDescent="0.25">
      <c r="C184" s="40"/>
      <c r="D184" s="57" t="s">
        <v>721</v>
      </c>
      <c r="E184" s="57" t="s">
        <v>722</v>
      </c>
      <c r="F184" s="58" t="s">
        <v>110</v>
      </c>
      <c r="G184" s="52"/>
      <c r="H184" s="52"/>
      <c r="I184" s="52"/>
      <c r="J184" s="52"/>
      <c r="K184" s="59" t="s">
        <v>79</v>
      </c>
      <c r="L184" s="52"/>
      <c r="M184" s="52"/>
      <c r="N184" s="52"/>
      <c r="O184" s="52"/>
      <c r="P184" s="63" t="s">
        <v>723</v>
      </c>
      <c r="Q184" s="55">
        <f>VLOOKUP(E184,'NI-San_SP'!$C:$AN,12,FALSE)</f>
        <v>0</v>
      </c>
      <c r="R184" s="55">
        <f>VLOOKUP(E184,'NI-San_SP'!$C:$AN,13,FALSE)</f>
        <v>0</v>
      </c>
      <c r="S184" s="55"/>
      <c r="T184" s="55"/>
      <c r="U184" s="55">
        <f>VLOOKUP($E184,'NI-San_SP'!$C:$AN,MID(U$1,1,2),FALSE)</f>
        <v>0</v>
      </c>
      <c r="V184" s="55">
        <f>VLOOKUP($E184,'NI-San_SP'!$C:$AN,MID(V$1,1,2),FALSE)</f>
        <v>0</v>
      </c>
      <c r="W184" s="55">
        <f>VLOOKUP($E184,'NI-San_SP'!$C:$AN,MID(W$1,1,2),FALSE)</f>
        <v>0</v>
      </c>
      <c r="X184" s="55">
        <f>VLOOKUP($E184,'NI-San_SP'!$C:$AN,MID(X$1,1,2),FALSE)</f>
        <v>0</v>
      </c>
      <c r="Y184" s="55">
        <f>VLOOKUP($E184,'NI-San_SP'!$C:$AN,MID(Y$1,1,2),FALSE)</f>
        <v>0</v>
      </c>
      <c r="Z184" s="55">
        <f>VLOOKUP($E184,'NI-San_SP'!$C:$AN,MID(Z$1,1,2),FALSE)</f>
        <v>0</v>
      </c>
      <c r="AA184" s="55">
        <f>VLOOKUP($E184,'NI-San_SP'!$C:$AN,MID(AA$1,1,2),FALSE)</f>
        <v>0</v>
      </c>
      <c r="AB184" s="55">
        <f>VLOOKUP($E184,'NI-San_SP'!$C:$AN,MID(AB$1,1,2),FALSE)</f>
        <v>0</v>
      </c>
      <c r="AC184" s="55">
        <f>VLOOKUP($E184,'NI-San_SP'!$C:$AN,MID(AC$1,1,2),FALSE)</f>
        <v>0</v>
      </c>
      <c r="AD184" s="55">
        <f>VLOOKUP($E184,'NI-San_SP'!$C:$AN,MID(AD$1,1,2),FALSE)</f>
        <v>0</v>
      </c>
      <c r="AE184" s="55">
        <f>VLOOKUP($E184,'NI-San_SP'!$C:$AN,MID(AE$1,1,2),FALSE)</f>
        <v>0</v>
      </c>
      <c r="AF184" s="55">
        <f>VLOOKUP($E184,'NI-San_SP'!$C:$AN,MID(AF$1,1,2),FALSE)</f>
        <v>0</v>
      </c>
      <c r="AG184" s="55">
        <f>VLOOKUP($E184,'NI-San_SP'!$C:$AN,MID(AG$1,1,2),FALSE)</f>
        <v>0</v>
      </c>
      <c r="AH184" s="55">
        <f>VLOOKUP($E184,'NI-San_SP'!$C:$AN,MID(AH$1,1,2),FALSE)</f>
        <v>0</v>
      </c>
      <c r="AI184" s="55">
        <f>VLOOKUP($E184,'NI-San_SP'!$C:$AN,MID(AI$1,1,2),FALSE)</f>
        <v>0</v>
      </c>
      <c r="AJ184" s="55">
        <f>VLOOKUP($E184,'NI-San_SP'!$C:$AN,MID(AJ$1,1,2),FALSE)</f>
        <v>0</v>
      </c>
      <c r="AK184" s="55">
        <f>VLOOKUP($E184,'NI-San_SP'!$C:$AN,MID(AK$1,1,2),FALSE)</f>
        <v>0</v>
      </c>
      <c r="AL184" s="55">
        <f>VLOOKUP($E184,'NI-San_SP'!$C:$AN,MID(AL$1,1,2),FALSE)</f>
        <v>0</v>
      </c>
      <c r="AM184" s="56">
        <f>VLOOKUP($E184,'NI-San_SP'!$C:$AN,MID(AM$1,1,2),FALSE)</f>
        <v>0</v>
      </c>
      <c r="AN184" s="30" t="str">
        <f t="shared" si="2"/>
        <v>10205010020010</v>
      </c>
    </row>
    <row r="185" spans="3:40" x14ac:dyDescent="0.25">
      <c r="C185" s="40"/>
      <c r="D185" s="57" t="s">
        <v>724</v>
      </c>
      <c r="E185" s="57" t="s">
        <v>725</v>
      </c>
      <c r="F185" s="58" t="s">
        <v>110</v>
      </c>
      <c r="G185" s="52"/>
      <c r="H185" s="52"/>
      <c r="I185" s="52"/>
      <c r="J185" s="52"/>
      <c r="K185" s="59" t="s">
        <v>79</v>
      </c>
      <c r="L185" s="52"/>
      <c r="M185" s="52"/>
      <c r="N185" s="52"/>
      <c r="O185" s="52"/>
      <c r="P185" s="63" t="s">
        <v>726</v>
      </c>
      <c r="Q185" s="55">
        <f>VLOOKUP(E185,'NI-San_SP'!$C:$AN,12,FALSE)</f>
        <v>0</v>
      </c>
      <c r="R185" s="55">
        <f>VLOOKUP(E185,'NI-San_SP'!$C:$AN,13,FALSE)</f>
        <v>0</v>
      </c>
      <c r="S185" s="55"/>
      <c r="T185" s="55"/>
      <c r="U185" s="55">
        <f>VLOOKUP($E185,'NI-San_SP'!$C:$AN,MID(U$1,1,2),FALSE)</f>
        <v>0</v>
      </c>
      <c r="V185" s="55">
        <f>VLOOKUP($E185,'NI-San_SP'!$C:$AN,MID(V$1,1,2),FALSE)</f>
        <v>0</v>
      </c>
      <c r="W185" s="55">
        <f>VLOOKUP($E185,'NI-San_SP'!$C:$AN,MID(W$1,1,2),FALSE)</f>
        <v>0</v>
      </c>
      <c r="X185" s="55">
        <f>VLOOKUP($E185,'NI-San_SP'!$C:$AN,MID(X$1,1,2),FALSE)</f>
        <v>0</v>
      </c>
      <c r="Y185" s="55">
        <f>VLOOKUP($E185,'NI-San_SP'!$C:$AN,MID(Y$1,1,2),FALSE)</f>
        <v>0</v>
      </c>
      <c r="Z185" s="55">
        <f>VLOOKUP($E185,'NI-San_SP'!$C:$AN,MID(Z$1,1,2),FALSE)</f>
        <v>0</v>
      </c>
      <c r="AA185" s="55">
        <f>VLOOKUP($E185,'NI-San_SP'!$C:$AN,MID(AA$1,1,2),FALSE)</f>
        <v>0</v>
      </c>
      <c r="AB185" s="55">
        <f>VLOOKUP($E185,'NI-San_SP'!$C:$AN,MID(AB$1,1,2),FALSE)</f>
        <v>0</v>
      </c>
      <c r="AC185" s="55">
        <f>VLOOKUP($E185,'NI-San_SP'!$C:$AN,MID(AC$1,1,2),FALSE)</f>
        <v>0</v>
      </c>
      <c r="AD185" s="55">
        <f>VLOOKUP($E185,'NI-San_SP'!$C:$AN,MID(AD$1,1,2),FALSE)</f>
        <v>0</v>
      </c>
      <c r="AE185" s="55">
        <f>VLOOKUP($E185,'NI-San_SP'!$C:$AN,MID(AE$1,1,2),FALSE)</f>
        <v>0</v>
      </c>
      <c r="AF185" s="55">
        <f>VLOOKUP($E185,'NI-San_SP'!$C:$AN,MID(AF$1,1,2),FALSE)</f>
        <v>0</v>
      </c>
      <c r="AG185" s="55">
        <f>VLOOKUP($E185,'NI-San_SP'!$C:$AN,MID(AG$1,1,2),FALSE)</f>
        <v>0</v>
      </c>
      <c r="AH185" s="55">
        <f>VLOOKUP($E185,'NI-San_SP'!$C:$AN,MID(AH$1,1,2),FALSE)</f>
        <v>0</v>
      </c>
      <c r="AI185" s="55">
        <f>VLOOKUP($E185,'NI-San_SP'!$C:$AN,MID(AI$1,1,2),FALSE)</f>
        <v>0</v>
      </c>
      <c r="AJ185" s="55">
        <f>VLOOKUP($E185,'NI-San_SP'!$C:$AN,MID(AJ$1,1,2),FALSE)</f>
        <v>0</v>
      </c>
      <c r="AK185" s="55">
        <f>VLOOKUP($E185,'NI-San_SP'!$C:$AN,MID(AK$1,1,2),FALSE)</f>
        <v>0</v>
      </c>
      <c r="AL185" s="55">
        <f>VLOOKUP($E185,'NI-San_SP'!$C:$AN,MID(AL$1,1,2),FALSE)</f>
        <v>0</v>
      </c>
      <c r="AM185" s="56">
        <f>VLOOKUP($E185,'NI-San_SP'!$C:$AN,MID(AM$1,1,2),FALSE)</f>
        <v>0</v>
      </c>
      <c r="AN185" s="30" t="str">
        <f t="shared" si="2"/>
        <v>10205010020020</v>
      </c>
    </row>
    <row r="186" spans="3:40" x14ac:dyDescent="0.25">
      <c r="C186" s="40"/>
      <c r="D186" s="57" t="s">
        <v>727</v>
      </c>
      <c r="E186" s="57" t="s">
        <v>728</v>
      </c>
      <c r="F186" s="58" t="s">
        <v>110</v>
      </c>
      <c r="G186" s="52"/>
      <c r="H186" s="52"/>
      <c r="I186" s="52"/>
      <c r="J186" s="52"/>
      <c r="K186" s="59" t="s">
        <v>79</v>
      </c>
      <c r="L186" s="52"/>
      <c r="M186" s="52"/>
      <c r="N186" s="52"/>
      <c r="O186" s="52"/>
      <c r="P186" s="63" t="s">
        <v>729</v>
      </c>
      <c r="Q186" s="55">
        <f>VLOOKUP(E186,'NI-San_SP'!$C:$AN,12,FALSE)</f>
        <v>3720010</v>
      </c>
      <c r="R186" s="55">
        <f>VLOOKUP(E186,'NI-San_SP'!$C:$AN,13,FALSE)</f>
        <v>3709426</v>
      </c>
      <c r="S186" s="55"/>
      <c r="T186" s="55"/>
      <c r="U186" s="55">
        <f>VLOOKUP($E186,'NI-San_SP'!$C:$AN,MID(U$1,1,2),FALSE)</f>
        <v>0</v>
      </c>
      <c r="V186" s="55">
        <f>VLOOKUP($E186,'NI-San_SP'!$C:$AN,MID(V$1,1,2),FALSE)</f>
        <v>3720010</v>
      </c>
      <c r="W186" s="55">
        <f>VLOOKUP($E186,'NI-San_SP'!$C:$AN,MID(W$1,1,2),FALSE)</f>
        <v>0</v>
      </c>
      <c r="X186" s="55">
        <f>VLOOKUP($E186,'NI-San_SP'!$C:$AN,MID(X$1,1,2),FALSE)</f>
        <v>0</v>
      </c>
      <c r="Y186" s="55">
        <f>VLOOKUP($E186,'NI-San_SP'!$C:$AN,MID(Y$1,1,2),FALSE)</f>
        <v>0</v>
      </c>
      <c r="Z186" s="55">
        <f>VLOOKUP($E186,'NI-San_SP'!$C:$AN,MID(Z$1,1,2),FALSE)</f>
        <v>0</v>
      </c>
      <c r="AA186" s="55">
        <f>VLOOKUP($E186,'NI-San_SP'!$C:$AN,MID(AA$1,1,2),FALSE)</f>
        <v>0</v>
      </c>
      <c r="AB186" s="55">
        <f>VLOOKUP($E186,'NI-San_SP'!$C:$AN,MID(AB$1,1,2),FALSE)</f>
        <v>0</v>
      </c>
      <c r="AC186" s="55">
        <f>VLOOKUP($E186,'NI-San_SP'!$C:$AN,MID(AC$1,1,2),FALSE)</f>
        <v>0</v>
      </c>
      <c r="AD186" s="55">
        <f>VLOOKUP($E186,'NI-San_SP'!$C:$AN,MID(AD$1,1,2),FALSE)</f>
        <v>0</v>
      </c>
      <c r="AE186" s="55">
        <f>VLOOKUP($E186,'NI-San_SP'!$C:$AN,MID(AE$1,1,2),FALSE)</f>
        <v>0</v>
      </c>
      <c r="AF186" s="55">
        <f>VLOOKUP($E186,'NI-San_SP'!$C:$AN,MID(AF$1,1,2),FALSE)</f>
        <v>0</v>
      </c>
      <c r="AG186" s="55">
        <f>VLOOKUP($E186,'NI-San_SP'!$C:$AN,MID(AG$1,1,2),FALSE)</f>
        <v>0</v>
      </c>
      <c r="AH186" s="55">
        <f>VLOOKUP($E186,'NI-San_SP'!$C:$AN,MID(AH$1,1,2),FALSE)</f>
        <v>0</v>
      </c>
      <c r="AI186" s="55">
        <f>VLOOKUP($E186,'NI-San_SP'!$C:$AN,MID(AI$1,1,2),FALSE)</f>
        <v>10584</v>
      </c>
      <c r="AJ186" s="55">
        <f>VLOOKUP($E186,'NI-San_SP'!$C:$AN,MID(AJ$1,1,2),FALSE)</f>
        <v>0</v>
      </c>
      <c r="AK186" s="55">
        <f>VLOOKUP($E186,'NI-San_SP'!$C:$AN,MID(AK$1,1,2),FALSE)</f>
        <v>0</v>
      </c>
      <c r="AL186" s="55">
        <f>VLOOKUP($E186,'NI-San_SP'!$C:$AN,MID(AL$1,1,2),FALSE)</f>
        <v>0</v>
      </c>
      <c r="AM186" s="56">
        <f>VLOOKUP($E186,'NI-San_SP'!$C:$AN,MID(AM$1,1,2),FALSE)</f>
        <v>0</v>
      </c>
      <c r="AN186" s="30" t="str">
        <f t="shared" si="2"/>
        <v>10205010030010</v>
      </c>
    </row>
    <row r="187" spans="3:40" x14ac:dyDescent="0.25">
      <c r="C187" s="40"/>
      <c r="D187" s="57" t="s">
        <v>730</v>
      </c>
      <c r="E187" s="57" t="s">
        <v>731</v>
      </c>
      <c r="F187" s="58" t="s">
        <v>110</v>
      </c>
      <c r="G187" s="52"/>
      <c r="H187" s="52"/>
      <c r="I187" s="52"/>
      <c r="J187" s="52"/>
      <c r="K187" s="59" t="s">
        <v>79</v>
      </c>
      <c r="L187" s="52"/>
      <c r="M187" s="52"/>
      <c r="N187" s="52"/>
      <c r="O187" s="52"/>
      <c r="P187" s="63" t="s">
        <v>732</v>
      </c>
      <c r="Q187" s="55">
        <f>VLOOKUP(E187,'NI-San_SP'!$C:$AN,12,FALSE)</f>
        <v>1942953</v>
      </c>
      <c r="R187" s="55">
        <f>VLOOKUP(E187,'NI-San_SP'!$C:$AN,13,FALSE)</f>
        <v>1980202</v>
      </c>
      <c r="S187" s="55"/>
      <c r="T187" s="55"/>
      <c r="U187" s="55">
        <f>VLOOKUP($E187,'NI-San_SP'!$C:$AN,MID(U$1,1,2),FALSE)</f>
        <v>0</v>
      </c>
      <c r="V187" s="55">
        <f>VLOOKUP($E187,'NI-San_SP'!$C:$AN,MID(V$1,1,2),FALSE)</f>
        <v>1942953</v>
      </c>
      <c r="W187" s="55">
        <f>VLOOKUP($E187,'NI-San_SP'!$C:$AN,MID(W$1,1,2),FALSE)</f>
        <v>0</v>
      </c>
      <c r="X187" s="55">
        <f>VLOOKUP($E187,'NI-San_SP'!$C:$AN,MID(X$1,1,2),FALSE)</f>
        <v>0</v>
      </c>
      <c r="Y187" s="55">
        <f>VLOOKUP($E187,'NI-San_SP'!$C:$AN,MID(Y$1,1,2),FALSE)</f>
        <v>0</v>
      </c>
      <c r="Z187" s="55">
        <f>VLOOKUP($E187,'NI-San_SP'!$C:$AN,MID(Z$1,1,2),FALSE)</f>
        <v>0</v>
      </c>
      <c r="AA187" s="55">
        <f>VLOOKUP($E187,'NI-San_SP'!$C:$AN,MID(AA$1,1,2),FALSE)</f>
        <v>0</v>
      </c>
      <c r="AB187" s="55">
        <f>VLOOKUP($E187,'NI-San_SP'!$C:$AN,MID(AB$1,1,2),FALSE)</f>
        <v>0</v>
      </c>
      <c r="AC187" s="55">
        <f>VLOOKUP($E187,'NI-San_SP'!$C:$AN,MID(AC$1,1,2),FALSE)</f>
        <v>0</v>
      </c>
      <c r="AD187" s="55">
        <f>VLOOKUP($E187,'NI-San_SP'!$C:$AN,MID(AD$1,1,2),FALSE)</f>
        <v>0</v>
      </c>
      <c r="AE187" s="55">
        <f>VLOOKUP($E187,'NI-San_SP'!$C:$AN,MID(AE$1,1,2),FALSE)</f>
        <v>0</v>
      </c>
      <c r="AF187" s="55">
        <f>VLOOKUP($E187,'NI-San_SP'!$C:$AN,MID(AF$1,1,2),FALSE)</f>
        <v>41454</v>
      </c>
      <c r="AG187" s="55">
        <f>VLOOKUP($E187,'NI-San_SP'!$C:$AN,MID(AG$1,1,2),FALSE)</f>
        <v>0</v>
      </c>
      <c r="AH187" s="55">
        <f>VLOOKUP($E187,'NI-San_SP'!$C:$AN,MID(AH$1,1,2),FALSE)</f>
        <v>0</v>
      </c>
      <c r="AI187" s="55">
        <f>VLOOKUP($E187,'NI-San_SP'!$C:$AN,MID(AI$1,1,2),FALSE)</f>
        <v>4205</v>
      </c>
      <c r="AJ187" s="55">
        <f>VLOOKUP($E187,'NI-San_SP'!$C:$AN,MID(AJ$1,1,2),FALSE)</f>
        <v>0</v>
      </c>
      <c r="AK187" s="55">
        <f>VLOOKUP($E187,'NI-San_SP'!$C:$AN,MID(AK$1,1,2),FALSE)</f>
        <v>0</v>
      </c>
      <c r="AL187" s="55">
        <f>VLOOKUP($E187,'NI-San_SP'!$C:$AN,MID(AL$1,1,2),FALSE)</f>
        <v>0</v>
      </c>
      <c r="AM187" s="56">
        <f>VLOOKUP($E187,'NI-San_SP'!$C:$AN,MID(AM$1,1,2),FALSE)</f>
        <v>0</v>
      </c>
      <c r="AN187" s="30" t="str">
        <f t="shared" si="2"/>
        <v>10205010030020</v>
      </c>
    </row>
    <row r="188" spans="3:40" x14ac:dyDescent="0.25">
      <c r="C188" s="40"/>
      <c r="D188" s="57" t="s">
        <v>733</v>
      </c>
      <c r="E188" s="57" t="s">
        <v>734</v>
      </c>
      <c r="F188" s="58" t="s">
        <v>110</v>
      </c>
      <c r="G188" s="52"/>
      <c r="H188" s="52"/>
      <c r="I188" s="52"/>
      <c r="J188" s="52"/>
      <c r="K188" s="59" t="s">
        <v>79</v>
      </c>
      <c r="L188" s="52"/>
      <c r="M188" s="52"/>
      <c r="N188" s="52"/>
      <c r="O188" s="52"/>
      <c r="P188" s="63" t="s">
        <v>735</v>
      </c>
      <c r="Q188" s="55">
        <f>VLOOKUP(E188,'NI-San_SP'!$C:$AN,12,FALSE)</f>
        <v>0</v>
      </c>
      <c r="R188" s="55">
        <f>VLOOKUP(E188,'NI-San_SP'!$C:$AN,13,FALSE)</f>
        <v>0</v>
      </c>
      <c r="S188" s="55"/>
      <c r="T188" s="55"/>
      <c r="U188" s="55">
        <f>VLOOKUP($E188,'NI-San_SP'!$C:$AN,MID(U$1,1,2),FALSE)</f>
        <v>0</v>
      </c>
      <c r="V188" s="55">
        <f>VLOOKUP($E188,'NI-San_SP'!$C:$AN,MID(V$1,1,2),FALSE)</f>
        <v>0</v>
      </c>
      <c r="W188" s="55">
        <f>VLOOKUP($E188,'NI-San_SP'!$C:$AN,MID(W$1,1,2),FALSE)</f>
        <v>0</v>
      </c>
      <c r="X188" s="55">
        <f>VLOOKUP($E188,'NI-San_SP'!$C:$AN,MID(X$1,1,2),FALSE)</f>
        <v>0</v>
      </c>
      <c r="Y188" s="55">
        <f>VLOOKUP($E188,'NI-San_SP'!$C:$AN,MID(Y$1,1,2),FALSE)</f>
        <v>0</v>
      </c>
      <c r="Z188" s="55">
        <f>VLOOKUP($E188,'NI-San_SP'!$C:$AN,MID(Z$1,1,2),FALSE)</f>
        <v>0</v>
      </c>
      <c r="AA188" s="55">
        <f>VLOOKUP($E188,'NI-San_SP'!$C:$AN,MID(AA$1,1,2),FALSE)</f>
        <v>0</v>
      </c>
      <c r="AB188" s="55">
        <f>VLOOKUP($E188,'NI-San_SP'!$C:$AN,MID(AB$1,1,2),FALSE)</f>
        <v>0</v>
      </c>
      <c r="AC188" s="55">
        <f>VLOOKUP($E188,'NI-San_SP'!$C:$AN,MID(AC$1,1,2),FALSE)</f>
        <v>0</v>
      </c>
      <c r="AD188" s="55">
        <f>VLOOKUP($E188,'NI-San_SP'!$C:$AN,MID(AD$1,1,2),FALSE)</f>
        <v>0</v>
      </c>
      <c r="AE188" s="55">
        <f>VLOOKUP($E188,'NI-San_SP'!$C:$AN,MID(AE$1,1,2),FALSE)</f>
        <v>0</v>
      </c>
      <c r="AF188" s="55">
        <f>VLOOKUP($E188,'NI-San_SP'!$C:$AN,MID(AF$1,1,2),FALSE)</f>
        <v>0</v>
      </c>
      <c r="AG188" s="55">
        <f>VLOOKUP($E188,'NI-San_SP'!$C:$AN,MID(AG$1,1,2),FALSE)</f>
        <v>0</v>
      </c>
      <c r="AH188" s="55">
        <f>VLOOKUP($E188,'NI-San_SP'!$C:$AN,MID(AH$1,1,2),FALSE)</f>
        <v>0</v>
      </c>
      <c r="AI188" s="55">
        <f>VLOOKUP($E188,'NI-San_SP'!$C:$AN,MID(AI$1,1,2),FALSE)</f>
        <v>0</v>
      </c>
      <c r="AJ188" s="55">
        <f>VLOOKUP($E188,'NI-San_SP'!$C:$AN,MID(AJ$1,1,2),FALSE)</f>
        <v>0</v>
      </c>
      <c r="AK188" s="55">
        <f>VLOOKUP($E188,'NI-San_SP'!$C:$AN,MID(AK$1,1,2),FALSE)</f>
        <v>0</v>
      </c>
      <c r="AL188" s="55">
        <f>VLOOKUP($E188,'NI-San_SP'!$C:$AN,MID(AL$1,1,2),FALSE)</f>
        <v>0</v>
      </c>
      <c r="AM188" s="56">
        <f>VLOOKUP($E188,'NI-San_SP'!$C:$AN,MID(AM$1,1,2),FALSE)</f>
        <v>0</v>
      </c>
      <c r="AN188" s="30" t="str">
        <f t="shared" si="2"/>
        <v>10205010040010</v>
      </c>
    </row>
    <row r="189" spans="3:40" x14ac:dyDescent="0.25">
      <c r="C189" s="40"/>
      <c r="D189" s="57" t="s">
        <v>736</v>
      </c>
      <c r="E189" s="57" t="s">
        <v>737</v>
      </c>
      <c r="F189" s="58" t="s">
        <v>110</v>
      </c>
      <c r="G189" s="52"/>
      <c r="H189" s="52"/>
      <c r="I189" s="52"/>
      <c r="J189" s="52"/>
      <c r="K189" s="59" t="s">
        <v>79</v>
      </c>
      <c r="L189" s="52"/>
      <c r="M189" s="52"/>
      <c r="N189" s="52"/>
      <c r="O189" s="52"/>
      <c r="P189" s="63" t="s">
        <v>738</v>
      </c>
      <c r="Q189" s="55">
        <f>VLOOKUP(E189,'NI-San_SP'!$C:$AN,12,FALSE)</f>
        <v>0</v>
      </c>
      <c r="R189" s="55">
        <f>VLOOKUP(E189,'NI-San_SP'!$C:$AN,13,FALSE)</f>
        <v>0</v>
      </c>
      <c r="S189" s="55"/>
      <c r="T189" s="55"/>
      <c r="U189" s="55">
        <f>VLOOKUP($E189,'NI-San_SP'!$C:$AN,MID(U$1,1,2),FALSE)</f>
        <v>0</v>
      </c>
      <c r="V189" s="55">
        <f>VLOOKUP($E189,'NI-San_SP'!$C:$AN,MID(V$1,1,2),FALSE)</f>
        <v>0</v>
      </c>
      <c r="W189" s="55">
        <f>VLOOKUP($E189,'NI-San_SP'!$C:$AN,MID(W$1,1,2),FALSE)</f>
        <v>0</v>
      </c>
      <c r="X189" s="55">
        <f>VLOOKUP($E189,'NI-San_SP'!$C:$AN,MID(X$1,1,2),FALSE)</f>
        <v>0</v>
      </c>
      <c r="Y189" s="55">
        <f>VLOOKUP($E189,'NI-San_SP'!$C:$AN,MID(Y$1,1,2),FALSE)</f>
        <v>0</v>
      </c>
      <c r="Z189" s="55">
        <f>VLOOKUP($E189,'NI-San_SP'!$C:$AN,MID(Z$1,1,2),FALSE)</f>
        <v>0</v>
      </c>
      <c r="AA189" s="55">
        <f>VLOOKUP($E189,'NI-San_SP'!$C:$AN,MID(AA$1,1,2),FALSE)</f>
        <v>0</v>
      </c>
      <c r="AB189" s="55">
        <f>VLOOKUP($E189,'NI-San_SP'!$C:$AN,MID(AB$1,1,2),FALSE)</f>
        <v>0</v>
      </c>
      <c r="AC189" s="55">
        <f>VLOOKUP($E189,'NI-San_SP'!$C:$AN,MID(AC$1,1,2),FALSE)</f>
        <v>0</v>
      </c>
      <c r="AD189" s="55">
        <f>VLOOKUP($E189,'NI-San_SP'!$C:$AN,MID(AD$1,1,2),FALSE)</f>
        <v>0</v>
      </c>
      <c r="AE189" s="55">
        <f>VLOOKUP($E189,'NI-San_SP'!$C:$AN,MID(AE$1,1,2),FALSE)</f>
        <v>0</v>
      </c>
      <c r="AF189" s="55">
        <f>VLOOKUP($E189,'NI-San_SP'!$C:$AN,MID(AF$1,1,2),FALSE)</f>
        <v>0</v>
      </c>
      <c r="AG189" s="55">
        <f>VLOOKUP($E189,'NI-San_SP'!$C:$AN,MID(AG$1,1,2),FALSE)</f>
        <v>0</v>
      </c>
      <c r="AH189" s="55">
        <f>VLOOKUP($E189,'NI-San_SP'!$C:$AN,MID(AH$1,1,2),FALSE)</f>
        <v>0</v>
      </c>
      <c r="AI189" s="55">
        <f>VLOOKUP($E189,'NI-San_SP'!$C:$AN,MID(AI$1,1,2),FALSE)</f>
        <v>0</v>
      </c>
      <c r="AJ189" s="55">
        <f>VLOOKUP($E189,'NI-San_SP'!$C:$AN,MID(AJ$1,1,2),FALSE)</f>
        <v>0</v>
      </c>
      <c r="AK189" s="55">
        <f>VLOOKUP($E189,'NI-San_SP'!$C:$AN,MID(AK$1,1,2),FALSE)</f>
        <v>0</v>
      </c>
      <c r="AL189" s="55">
        <f>VLOOKUP($E189,'NI-San_SP'!$C:$AN,MID(AL$1,1,2),FALSE)</f>
        <v>0</v>
      </c>
      <c r="AM189" s="56">
        <f>VLOOKUP($E189,'NI-San_SP'!$C:$AN,MID(AM$1,1,2),FALSE)</f>
        <v>0</v>
      </c>
      <c r="AN189" s="30" t="str">
        <f t="shared" si="2"/>
        <v>10205010040020</v>
      </c>
    </row>
    <row r="190" spans="3:40" x14ac:dyDescent="0.25">
      <c r="C190" s="40"/>
      <c r="D190" s="57" t="s">
        <v>739</v>
      </c>
      <c r="E190" s="57" t="s">
        <v>740</v>
      </c>
      <c r="F190" s="58" t="s">
        <v>110</v>
      </c>
      <c r="G190" s="52"/>
      <c r="H190" s="52"/>
      <c r="I190" s="52" t="s">
        <v>741</v>
      </c>
      <c r="J190" s="52" t="s">
        <v>741</v>
      </c>
      <c r="K190" s="59" t="s">
        <v>111</v>
      </c>
      <c r="L190" s="62" t="s">
        <v>742</v>
      </c>
      <c r="M190" s="52"/>
      <c r="N190" s="52"/>
      <c r="O190" s="52"/>
      <c r="P190" s="54" t="s">
        <v>743</v>
      </c>
      <c r="Q190" s="55">
        <f>VLOOKUP(E190,'NI-San_SP'!$C:$AN,12,FALSE)</f>
        <v>7035253</v>
      </c>
      <c r="R190" s="55">
        <f>VLOOKUP(E190,'NI-San_SP'!$C:$AN,13,FALSE)</f>
        <v>7164640</v>
      </c>
      <c r="S190" s="55"/>
      <c r="T190" s="55"/>
      <c r="U190" s="55">
        <f>VLOOKUP($E190,'NI-San_SP'!$C:$AN,MID(U$1,1,2),FALSE)</f>
        <v>0</v>
      </c>
      <c r="V190" s="55">
        <f>VLOOKUP($E190,'NI-San_SP'!$C:$AN,MID(V$1,1,2),FALSE)</f>
        <v>7035253</v>
      </c>
      <c r="W190" s="55">
        <f>VLOOKUP($E190,'NI-San_SP'!$C:$AN,MID(W$1,1,2),FALSE)</f>
        <v>0</v>
      </c>
      <c r="X190" s="55">
        <f>VLOOKUP($E190,'NI-San_SP'!$C:$AN,MID(X$1,1,2),FALSE)</f>
        <v>0</v>
      </c>
      <c r="Y190" s="55">
        <f>VLOOKUP($E190,'NI-San_SP'!$C:$AN,MID(Y$1,1,2),FALSE)</f>
        <v>0</v>
      </c>
      <c r="Z190" s="55">
        <f>VLOOKUP($E190,'NI-San_SP'!$C:$AN,MID(Z$1,1,2),FALSE)</f>
        <v>0</v>
      </c>
      <c r="AA190" s="55">
        <f>VLOOKUP($E190,'NI-San_SP'!$C:$AN,MID(AA$1,1,2),FALSE)</f>
        <v>0</v>
      </c>
      <c r="AB190" s="55">
        <f>VLOOKUP($E190,'NI-San_SP'!$C:$AN,MID(AB$1,1,2),FALSE)</f>
        <v>0</v>
      </c>
      <c r="AC190" s="55">
        <f>VLOOKUP($E190,'NI-San_SP'!$C:$AN,MID(AC$1,1,2),FALSE)</f>
        <v>19942</v>
      </c>
      <c r="AD190" s="55">
        <f>VLOOKUP($E190,'NI-San_SP'!$C:$AN,MID(AD$1,1,2),FALSE)</f>
        <v>149329</v>
      </c>
      <c r="AE190" s="55">
        <f>VLOOKUP($E190,'NI-San_SP'!$C:$AN,MID(AE$1,1,2),FALSE)</f>
        <v>0</v>
      </c>
      <c r="AF190" s="55">
        <f>VLOOKUP($E190,'NI-San_SP'!$C:$AN,MID(AF$1,1,2),FALSE)</f>
        <v>0</v>
      </c>
      <c r="AG190" s="55">
        <f>VLOOKUP($E190,'NI-San_SP'!$C:$AN,MID(AG$1,1,2),FALSE)</f>
        <v>0</v>
      </c>
      <c r="AH190" s="55">
        <f>VLOOKUP($E190,'NI-San_SP'!$C:$AN,MID(AH$1,1,2),FALSE)</f>
        <v>0</v>
      </c>
      <c r="AI190" s="55">
        <f>VLOOKUP($E190,'NI-San_SP'!$C:$AN,MID(AI$1,1,2),FALSE)</f>
        <v>0</v>
      </c>
      <c r="AJ190" s="55">
        <f>VLOOKUP($E190,'NI-San_SP'!$C:$AN,MID(AJ$1,1,2),FALSE)</f>
        <v>0</v>
      </c>
      <c r="AK190" s="55">
        <f>VLOOKUP($E190,'NI-San_SP'!$C:$AN,MID(AK$1,1,2),FALSE)</f>
        <v>0</v>
      </c>
      <c r="AL190" s="55">
        <f>VLOOKUP($E190,'NI-San_SP'!$C:$AN,MID(AL$1,1,2),FALSE)</f>
        <v>0</v>
      </c>
      <c r="AM190" s="56">
        <f>VLOOKUP($E190,'NI-San_SP'!$C:$AN,MID(AM$1,1,2),FALSE)</f>
        <v>0</v>
      </c>
      <c r="AN190" s="30" t="str">
        <f t="shared" si="2"/>
        <v>10205020000000</v>
      </c>
    </row>
    <row r="191" spans="3:40" x14ac:dyDescent="0.25">
      <c r="C191" s="40"/>
      <c r="D191" s="57" t="s">
        <v>744</v>
      </c>
      <c r="E191" s="57" t="s">
        <v>745</v>
      </c>
      <c r="F191" s="58" t="s">
        <v>110</v>
      </c>
      <c r="G191" s="52"/>
      <c r="H191" s="52"/>
      <c r="I191" s="52"/>
      <c r="J191" s="52"/>
      <c r="K191" s="59" t="s">
        <v>79</v>
      </c>
      <c r="L191" s="52"/>
      <c r="M191" s="52"/>
      <c r="N191" s="52"/>
      <c r="O191" s="52"/>
      <c r="P191" s="63" t="s">
        <v>746</v>
      </c>
      <c r="Q191" s="55">
        <f>VLOOKUP(E191,'NI-San_SP'!$C:$AN,12,FALSE)</f>
        <v>920308</v>
      </c>
      <c r="R191" s="55">
        <f>VLOOKUP(E191,'NI-San_SP'!$C:$AN,13,FALSE)</f>
        <v>920534</v>
      </c>
      <c r="S191" s="55"/>
      <c r="T191" s="55"/>
      <c r="U191" s="55">
        <f>VLOOKUP($E191,'NI-San_SP'!$C:$AN,MID(U$1,1,2),FALSE)</f>
        <v>0</v>
      </c>
      <c r="V191" s="55">
        <f>VLOOKUP($E191,'NI-San_SP'!$C:$AN,MID(V$1,1,2),FALSE)</f>
        <v>920308</v>
      </c>
      <c r="W191" s="55">
        <f>VLOOKUP($E191,'NI-San_SP'!$C:$AN,MID(W$1,1,2),FALSE)</f>
        <v>0</v>
      </c>
      <c r="X191" s="55">
        <f>VLOOKUP($E191,'NI-San_SP'!$C:$AN,MID(X$1,1,2),FALSE)</f>
        <v>0</v>
      </c>
      <c r="Y191" s="55">
        <f>VLOOKUP($E191,'NI-San_SP'!$C:$AN,MID(Y$1,1,2),FALSE)</f>
        <v>0</v>
      </c>
      <c r="Z191" s="55">
        <f>VLOOKUP($E191,'NI-San_SP'!$C:$AN,MID(Z$1,1,2),FALSE)</f>
        <v>0</v>
      </c>
      <c r="AA191" s="55">
        <f>VLOOKUP($E191,'NI-San_SP'!$C:$AN,MID(AA$1,1,2),FALSE)</f>
        <v>0</v>
      </c>
      <c r="AB191" s="55">
        <f>VLOOKUP($E191,'NI-San_SP'!$C:$AN,MID(AB$1,1,2),FALSE)</f>
        <v>0</v>
      </c>
      <c r="AC191" s="55">
        <f>VLOOKUP($E191,'NI-San_SP'!$C:$AN,MID(AC$1,1,2),FALSE)</f>
        <v>931</v>
      </c>
      <c r="AD191" s="55">
        <f>VLOOKUP($E191,'NI-San_SP'!$C:$AN,MID(AD$1,1,2),FALSE)</f>
        <v>1157</v>
      </c>
      <c r="AE191" s="55">
        <f>VLOOKUP($E191,'NI-San_SP'!$C:$AN,MID(AE$1,1,2),FALSE)</f>
        <v>0</v>
      </c>
      <c r="AF191" s="55">
        <f>VLOOKUP($E191,'NI-San_SP'!$C:$AN,MID(AF$1,1,2),FALSE)</f>
        <v>0</v>
      </c>
      <c r="AG191" s="55">
        <f>VLOOKUP($E191,'NI-San_SP'!$C:$AN,MID(AG$1,1,2),FALSE)</f>
        <v>0</v>
      </c>
      <c r="AH191" s="55">
        <f>VLOOKUP($E191,'NI-San_SP'!$C:$AN,MID(AH$1,1,2),FALSE)</f>
        <v>0</v>
      </c>
      <c r="AI191" s="55">
        <f>VLOOKUP($E191,'NI-San_SP'!$C:$AN,MID(AI$1,1,2),FALSE)</f>
        <v>0</v>
      </c>
      <c r="AJ191" s="55">
        <f>VLOOKUP($E191,'NI-San_SP'!$C:$AN,MID(AJ$1,1,2),FALSE)</f>
        <v>0</v>
      </c>
      <c r="AK191" s="55">
        <f>VLOOKUP($E191,'NI-San_SP'!$C:$AN,MID(AK$1,1,2),FALSE)</f>
        <v>0</v>
      </c>
      <c r="AL191" s="55">
        <f>VLOOKUP($E191,'NI-San_SP'!$C:$AN,MID(AL$1,1,2),FALSE)</f>
        <v>0</v>
      </c>
      <c r="AM191" s="56">
        <f>VLOOKUP($E191,'NI-San_SP'!$C:$AN,MID(AM$1,1,2),FALSE)</f>
        <v>0</v>
      </c>
      <c r="AN191" s="30" t="str">
        <f t="shared" si="2"/>
        <v>10205020010010</v>
      </c>
    </row>
    <row r="192" spans="3:40" x14ac:dyDescent="0.25">
      <c r="C192" s="40"/>
      <c r="D192" s="57" t="s">
        <v>747</v>
      </c>
      <c r="E192" s="57" t="s">
        <v>748</v>
      </c>
      <c r="F192" s="58" t="s">
        <v>110</v>
      </c>
      <c r="G192" s="52"/>
      <c r="H192" s="52"/>
      <c r="I192" s="52"/>
      <c r="J192" s="52"/>
      <c r="K192" s="59" t="s">
        <v>79</v>
      </c>
      <c r="L192" s="52"/>
      <c r="M192" s="52"/>
      <c r="N192" s="52"/>
      <c r="O192" s="52"/>
      <c r="P192" s="63" t="s">
        <v>749</v>
      </c>
      <c r="Q192" s="55">
        <f>VLOOKUP(E192,'NI-San_SP'!$C:$AN,12,FALSE)</f>
        <v>893265</v>
      </c>
      <c r="R192" s="55">
        <f>VLOOKUP(E192,'NI-San_SP'!$C:$AN,13,FALSE)</f>
        <v>900313</v>
      </c>
      <c r="S192" s="55"/>
      <c r="T192" s="55"/>
      <c r="U192" s="55">
        <f>VLOOKUP($E192,'NI-San_SP'!$C:$AN,MID(U$1,1,2),FALSE)</f>
        <v>0</v>
      </c>
      <c r="V192" s="55">
        <f>VLOOKUP($E192,'NI-San_SP'!$C:$AN,MID(V$1,1,2),FALSE)</f>
        <v>893265</v>
      </c>
      <c r="W192" s="55">
        <f>VLOOKUP($E192,'NI-San_SP'!$C:$AN,MID(W$1,1,2),FALSE)</f>
        <v>0</v>
      </c>
      <c r="X192" s="55">
        <f>VLOOKUP($E192,'NI-San_SP'!$C:$AN,MID(X$1,1,2),FALSE)</f>
        <v>0</v>
      </c>
      <c r="Y192" s="55">
        <f>VLOOKUP($E192,'NI-San_SP'!$C:$AN,MID(Y$1,1,2),FALSE)</f>
        <v>0</v>
      </c>
      <c r="Z192" s="55">
        <f>VLOOKUP($E192,'NI-San_SP'!$C:$AN,MID(Z$1,1,2),FALSE)</f>
        <v>0</v>
      </c>
      <c r="AA192" s="55">
        <f>VLOOKUP($E192,'NI-San_SP'!$C:$AN,MID(AA$1,1,2),FALSE)</f>
        <v>0</v>
      </c>
      <c r="AB192" s="55">
        <f>VLOOKUP($E192,'NI-San_SP'!$C:$AN,MID(AB$1,1,2),FALSE)</f>
        <v>0</v>
      </c>
      <c r="AC192" s="55">
        <f>VLOOKUP($E192,'NI-San_SP'!$C:$AN,MID(AC$1,1,2),FALSE)</f>
        <v>4305</v>
      </c>
      <c r="AD192" s="55">
        <f>VLOOKUP($E192,'NI-San_SP'!$C:$AN,MID(AD$1,1,2),FALSE)</f>
        <v>11353</v>
      </c>
      <c r="AE192" s="55">
        <f>VLOOKUP($E192,'NI-San_SP'!$C:$AN,MID(AE$1,1,2),FALSE)</f>
        <v>0</v>
      </c>
      <c r="AF192" s="55">
        <f>VLOOKUP($E192,'NI-San_SP'!$C:$AN,MID(AF$1,1,2),FALSE)</f>
        <v>0</v>
      </c>
      <c r="AG192" s="55">
        <f>VLOOKUP($E192,'NI-San_SP'!$C:$AN,MID(AG$1,1,2),FALSE)</f>
        <v>0</v>
      </c>
      <c r="AH192" s="55">
        <f>VLOOKUP($E192,'NI-San_SP'!$C:$AN,MID(AH$1,1,2),FALSE)</f>
        <v>0</v>
      </c>
      <c r="AI192" s="55">
        <f>VLOOKUP($E192,'NI-San_SP'!$C:$AN,MID(AI$1,1,2),FALSE)</f>
        <v>0</v>
      </c>
      <c r="AJ192" s="55">
        <f>VLOOKUP($E192,'NI-San_SP'!$C:$AN,MID(AJ$1,1,2),FALSE)</f>
        <v>0</v>
      </c>
      <c r="AK192" s="55">
        <f>VLOOKUP($E192,'NI-San_SP'!$C:$AN,MID(AK$1,1,2),FALSE)</f>
        <v>0</v>
      </c>
      <c r="AL192" s="55">
        <f>VLOOKUP($E192,'NI-San_SP'!$C:$AN,MID(AL$1,1,2),FALSE)</f>
        <v>0</v>
      </c>
      <c r="AM192" s="56">
        <f>VLOOKUP($E192,'NI-San_SP'!$C:$AN,MID(AM$1,1,2),FALSE)</f>
        <v>0</v>
      </c>
      <c r="AN192" s="30" t="str">
        <f t="shared" si="2"/>
        <v>10205020010020</v>
      </c>
    </row>
    <row r="193" spans="3:40" x14ac:dyDescent="0.25">
      <c r="C193" s="40"/>
      <c r="D193" s="57" t="s">
        <v>750</v>
      </c>
      <c r="E193" s="57" t="s">
        <v>751</v>
      </c>
      <c r="F193" s="58" t="s">
        <v>110</v>
      </c>
      <c r="G193" s="52"/>
      <c r="H193" s="52"/>
      <c r="I193" s="52"/>
      <c r="J193" s="52"/>
      <c r="K193" s="59" t="s">
        <v>79</v>
      </c>
      <c r="L193" s="52"/>
      <c r="M193" s="52"/>
      <c r="N193" s="52"/>
      <c r="O193" s="52"/>
      <c r="P193" s="63" t="s">
        <v>752</v>
      </c>
      <c r="Q193" s="55">
        <f>VLOOKUP(E193,'NI-San_SP'!$C:$AN,12,FALSE)</f>
        <v>0</v>
      </c>
      <c r="R193" s="55">
        <f>VLOOKUP(E193,'NI-San_SP'!$C:$AN,13,FALSE)</f>
        <v>0</v>
      </c>
      <c r="S193" s="55"/>
      <c r="T193" s="55"/>
      <c r="U193" s="55">
        <f>VLOOKUP($E193,'NI-San_SP'!$C:$AN,MID(U$1,1,2),FALSE)</f>
        <v>0</v>
      </c>
      <c r="V193" s="55">
        <f>VLOOKUP($E193,'NI-San_SP'!$C:$AN,MID(V$1,1,2),FALSE)</f>
        <v>0</v>
      </c>
      <c r="W193" s="55">
        <f>VLOOKUP($E193,'NI-San_SP'!$C:$AN,MID(W$1,1,2),FALSE)</f>
        <v>0</v>
      </c>
      <c r="X193" s="55">
        <f>VLOOKUP($E193,'NI-San_SP'!$C:$AN,MID(X$1,1,2),FALSE)</f>
        <v>0</v>
      </c>
      <c r="Y193" s="55">
        <f>VLOOKUP($E193,'NI-San_SP'!$C:$AN,MID(Y$1,1,2),FALSE)</f>
        <v>0</v>
      </c>
      <c r="Z193" s="55">
        <f>VLOOKUP($E193,'NI-San_SP'!$C:$AN,MID(Z$1,1,2),FALSE)</f>
        <v>0</v>
      </c>
      <c r="AA193" s="55">
        <f>VLOOKUP($E193,'NI-San_SP'!$C:$AN,MID(AA$1,1,2),FALSE)</f>
        <v>0</v>
      </c>
      <c r="AB193" s="55">
        <f>VLOOKUP($E193,'NI-San_SP'!$C:$AN,MID(AB$1,1,2),FALSE)</f>
        <v>0</v>
      </c>
      <c r="AC193" s="55">
        <f>VLOOKUP($E193,'NI-San_SP'!$C:$AN,MID(AC$1,1,2),FALSE)</f>
        <v>0</v>
      </c>
      <c r="AD193" s="55">
        <f>VLOOKUP($E193,'NI-San_SP'!$C:$AN,MID(AD$1,1,2),FALSE)</f>
        <v>0</v>
      </c>
      <c r="AE193" s="55">
        <f>VLOOKUP($E193,'NI-San_SP'!$C:$AN,MID(AE$1,1,2),FALSE)</f>
        <v>0</v>
      </c>
      <c r="AF193" s="55">
        <f>VLOOKUP($E193,'NI-San_SP'!$C:$AN,MID(AF$1,1,2),FALSE)</f>
        <v>0</v>
      </c>
      <c r="AG193" s="55">
        <f>VLOOKUP($E193,'NI-San_SP'!$C:$AN,MID(AG$1,1,2),FALSE)</f>
        <v>0</v>
      </c>
      <c r="AH193" s="55">
        <f>VLOOKUP($E193,'NI-San_SP'!$C:$AN,MID(AH$1,1,2),FALSE)</f>
        <v>0</v>
      </c>
      <c r="AI193" s="55">
        <f>VLOOKUP($E193,'NI-San_SP'!$C:$AN,MID(AI$1,1,2),FALSE)</f>
        <v>0</v>
      </c>
      <c r="AJ193" s="55">
        <f>VLOOKUP($E193,'NI-San_SP'!$C:$AN,MID(AJ$1,1,2),FALSE)</f>
        <v>0</v>
      </c>
      <c r="AK193" s="55">
        <f>VLOOKUP($E193,'NI-San_SP'!$C:$AN,MID(AK$1,1,2),FALSE)</f>
        <v>0</v>
      </c>
      <c r="AL193" s="55">
        <f>VLOOKUP($E193,'NI-San_SP'!$C:$AN,MID(AL$1,1,2),FALSE)</f>
        <v>0</v>
      </c>
      <c r="AM193" s="56">
        <f>VLOOKUP($E193,'NI-San_SP'!$C:$AN,MID(AM$1,1,2),FALSE)</f>
        <v>0</v>
      </c>
      <c r="AN193" s="30" t="str">
        <f t="shared" si="2"/>
        <v>10205020020010</v>
      </c>
    </row>
    <row r="194" spans="3:40" x14ac:dyDescent="0.25">
      <c r="C194" s="40"/>
      <c r="D194" s="57" t="s">
        <v>753</v>
      </c>
      <c r="E194" s="57" t="s">
        <v>754</v>
      </c>
      <c r="F194" s="58" t="s">
        <v>110</v>
      </c>
      <c r="G194" s="52"/>
      <c r="H194" s="52"/>
      <c r="I194" s="52"/>
      <c r="J194" s="52"/>
      <c r="K194" s="59" t="s">
        <v>79</v>
      </c>
      <c r="L194" s="52"/>
      <c r="M194" s="52"/>
      <c r="N194" s="52"/>
      <c r="O194" s="52"/>
      <c r="P194" s="63" t="s">
        <v>755</v>
      </c>
      <c r="Q194" s="55">
        <f>VLOOKUP(E194,'NI-San_SP'!$C:$AN,12,FALSE)</f>
        <v>0</v>
      </c>
      <c r="R194" s="55">
        <f>VLOOKUP(E194,'NI-San_SP'!$C:$AN,13,FALSE)</f>
        <v>0</v>
      </c>
      <c r="S194" s="55"/>
      <c r="T194" s="55"/>
      <c r="U194" s="55">
        <f>VLOOKUP($E194,'NI-San_SP'!$C:$AN,MID(U$1,1,2),FALSE)</f>
        <v>0</v>
      </c>
      <c r="V194" s="55">
        <f>VLOOKUP($E194,'NI-San_SP'!$C:$AN,MID(V$1,1,2),FALSE)</f>
        <v>0</v>
      </c>
      <c r="W194" s="55">
        <f>VLOOKUP($E194,'NI-San_SP'!$C:$AN,MID(W$1,1,2),FALSE)</f>
        <v>0</v>
      </c>
      <c r="X194" s="55">
        <f>VLOOKUP($E194,'NI-San_SP'!$C:$AN,MID(X$1,1,2),FALSE)</f>
        <v>0</v>
      </c>
      <c r="Y194" s="55">
        <f>VLOOKUP($E194,'NI-San_SP'!$C:$AN,MID(Y$1,1,2),FALSE)</f>
        <v>0</v>
      </c>
      <c r="Z194" s="55">
        <f>VLOOKUP($E194,'NI-San_SP'!$C:$AN,MID(Z$1,1,2),FALSE)</f>
        <v>0</v>
      </c>
      <c r="AA194" s="55">
        <f>VLOOKUP($E194,'NI-San_SP'!$C:$AN,MID(AA$1,1,2),FALSE)</f>
        <v>0</v>
      </c>
      <c r="AB194" s="55">
        <f>VLOOKUP($E194,'NI-San_SP'!$C:$AN,MID(AB$1,1,2),FALSE)</f>
        <v>0</v>
      </c>
      <c r="AC194" s="55">
        <f>VLOOKUP($E194,'NI-San_SP'!$C:$AN,MID(AC$1,1,2),FALSE)</f>
        <v>0</v>
      </c>
      <c r="AD194" s="55">
        <f>VLOOKUP($E194,'NI-San_SP'!$C:$AN,MID(AD$1,1,2),FALSE)</f>
        <v>0</v>
      </c>
      <c r="AE194" s="55">
        <f>VLOOKUP($E194,'NI-San_SP'!$C:$AN,MID(AE$1,1,2),FALSE)</f>
        <v>0</v>
      </c>
      <c r="AF194" s="55">
        <f>VLOOKUP($E194,'NI-San_SP'!$C:$AN,MID(AF$1,1,2),FALSE)</f>
        <v>0</v>
      </c>
      <c r="AG194" s="55">
        <f>VLOOKUP($E194,'NI-San_SP'!$C:$AN,MID(AG$1,1,2),FALSE)</f>
        <v>0</v>
      </c>
      <c r="AH194" s="55">
        <f>VLOOKUP($E194,'NI-San_SP'!$C:$AN,MID(AH$1,1,2),FALSE)</f>
        <v>0</v>
      </c>
      <c r="AI194" s="55">
        <f>VLOOKUP($E194,'NI-San_SP'!$C:$AN,MID(AI$1,1,2),FALSE)</f>
        <v>0</v>
      </c>
      <c r="AJ194" s="55">
        <f>VLOOKUP($E194,'NI-San_SP'!$C:$AN,MID(AJ$1,1,2),FALSE)</f>
        <v>0</v>
      </c>
      <c r="AK194" s="55">
        <f>VLOOKUP($E194,'NI-San_SP'!$C:$AN,MID(AK$1,1,2),FALSE)</f>
        <v>0</v>
      </c>
      <c r="AL194" s="55">
        <f>VLOOKUP($E194,'NI-San_SP'!$C:$AN,MID(AL$1,1,2),FALSE)</f>
        <v>0</v>
      </c>
      <c r="AM194" s="56">
        <f>VLOOKUP($E194,'NI-San_SP'!$C:$AN,MID(AM$1,1,2),FALSE)</f>
        <v>0</v>
      </c>
      <c r="AN194" s="30" t="str">
        <f t="shared" ref="AN194:AN257" si="3">D194</f>
        <v>10205020020020</v>
      </c>
    </row>
    <row r="195" spans="3:40" x14ac:dyDescent="0.25">
      <c r="C195" s="40"/>
      <c r="D195" s="57" t="s">
        <v>756</v>
      </c>
      <c r="E195" s="57" t="s">
        <v>757</v>
      </c>
      <c r="F195" s="58" t="s">
        <v>110</v>
      </c>
      <c r="G195" s="52"/>
      <c r="H195" s="52"/>
      <c r="I195" s="52"/>
      <c r="J195" s="52"/>
      <c r="K195" s="59" t="s">
        <v>79</v>
      </c>
      <c r="L195" s="52"/>
      <c r="M195" s="52"/>
      <c r="N195" s="52"/>
      <c r="O195" s="52"/>
      <c r="P195" s="63" t="s">
        <v>758</v>
      </c>
      <c r="Q195" s="55">
        <f>VLOOKUP(E195,'NI-San_SP'!$C:$AN,12,FALSE)</f>
        <v>3506404</v>
      </c>
      <c r="R195" s="55">
        <f>VLOOKUP(E195,'NI-San_SP'!$C:$AN,13,FALSE)</f>
        <v>3579017</v>
      </c>
      <c r="S195" s="55"/>
      <c r="T195" s="55"/>
      <c r="U195" s="55">
        <f>VLOOKUP($E195,'NI-San_SP'!$C:$AN,MID(U$1,1,2),FALSE)</f>
        <v>0</v>
      </c>
      <c r="V195" s="55">
        <f>VLOOKUP($E195,'NI-San_SP'!$C:$AN,MID(V$1,1,2),FALSE)</f>
        <v>3506404</v>
      </c>
      <c r="W195" s="55">
        <f>VLOOKUP($E195,'NI-San_SP'!$C:$AN,MID(W$1,1,2),FALSE)</f>
        <v>0</v>
      </c>
      <c r="X195" s="55">
        <f>VLOOKUP($E195,'NI-San_SP'!$C:$AN,MID(X$1,1,2),FALSE)</f>
        <v>0</v>
      </c>
      <c r="Y195" s="55">
        <f>VLOOKUP($E195,'NI-San_SP'!$C:$AN,MID(Y$1,1,2),FALSE)</f>
        <v>0</v>
      </c>
      <c r="Z195" s="55">
        <f>VLOOKUP($E195,'NI-San_SP'!$C:$AN,MID(Z$1,1,2),FALSE)</f>
        <v>0</v>
      </c>
      <c r="AA195" s="55">
        <f>VLOOKUP($E195,'NI-San_SP'!$C:$AN,MID(AA$1,1,2),FALSE)</f>
        <v>0</v>
      </c>
      <c r="AB195" s="55">
        <f>VLOOKUP($E195,'NI-San_SP'!$C:$AN,MID(AB$1,1,2),FALSE)</f>
        <v>0</v>
      </c>
      <c r="AC195" s="55">
        <f>VLOOKUP($E195,'NI-San_SP'!$C:$AN,MID(AC$1,1,2),FALSE)</f>
        <v>10584</v>
      </c>
      <c r="AD195" s="55">
        <f>VLOOKUP($E195,'NI-San_SP'!$C:$AN,MID(AD$1,1,2),FALSE)</f>
        <v>83197</v>
      </c>
      <c r="AE195" s="55">
        <f>VLOOKUP($E195,'NI-San_SP'!$C:$AN,MID(AE$1,1,2),FALSE)</f>
        <v>0</v>
      </c>
      <c r="AF195" s="55">
        <f>VLOOKUP($E195,'NI-San_SP'!$C:$AN,MID(AF$1,1,2),FALSE)</f>
        <v>0</v>
      </c>
      <c r="AG195" s="55">
        <f>VLOOKUP($E195,'NI-San_SP'!$C:$AN,MID(AG$1,1,2),FALSE)</f>
        <v>0</v>
      </c>
      <c r="AH195" s="55">
        <f>VLOOKUP($E195,'NI-San_SP'!$C:$AN,MID(AH$1,1,2),FALSE)</f>
        <v>0</v>
      </c>
      <c r="AI195" s="55">
        <f>VLOOKUP($E195,'NI-San_SP'!$C:$AN,MID(AI$1,1,2),FALSE)</f>
        <v>0</v>
      </c>
      <c r="AJ195" s="55">
        <f>VLOOKUP($E195,'NI-San_SP'!$C:$AN,MID(AJ$1,1,2),FALSE)</f>
        <v>0</v>
      </c>
      <c r="AK195" s="55">
        <f>VLOOKUP($E195,'NI-San_SP'!$C:$AN,MID(AK$1,1,2),FALSE)</f>
        <v>0</v>
      </c>
      <c r="AL195" s="55">
        <f>VLOOKUP($E195,'NI-San_SP'!$C:$AN,MID(AL$1,1,2),FALSE)</f>
        <v>0</v>
      </c>
      <c r="AM195" s="56">
        <f>VLOOKUP($E195,'NI-San_SP'!$C:$AN,MID(AM$1,1,2),FALSE)</f>
        <v>0</v>
      </c>
      <c r="AN195" s="30" t="str">
        <f t="shared" si="3"/>
        <v>10205020030010</v>
      </c>
    </row>
    <row r="196" spans="3:40" x14ac:dyDescent="0.25">
      <c r="C196" s="40"/>
      <c r="D196" s="57" t="s">
        <v>759</v>
      </c>
      <c r="E196" s="57" t="s">
        <v>760</v>
      </c>
      <c r="F196" s="58" t="s">
        <v>110</v>
      </c>
      <c r="G196" s="52"/>
      <c r="H196" s="52"/>
      <c r="I196" s="52"/>
      <c r="J196" s="52"/>
      <c r="K196" s="59" t="s">
        <v>79</v>
      </c>
      <c r="L196" s="52"/>
      <c r="M196" s="52"/>
      <c r="N196" s="52"/>
      <c r="O196" s="52"/>
      <c r="P196" s="63" t="s">
        <v>761</v>
      </c>
      <c r="Q196" s="55">
        <f>VLOOKUP(E196,'NI-San_SP'!$C:$AN,12,FALSE)</f>
        <v>1715276</v>
      </c>
      <c r="R196" s="55">
        <f>VLOOKUP(E196,'NI-San_SP'!$C:$AN,13,FALSE)</f>
        <v>1764776</v>
      </c>
      <c r="S196" s="55"/>
      <c r="T196" s="55"/>
      <c r="U196" s="55">
        <f>VLOOKUP($E196,'NI-San_SP'!$C:$AN,MID(U$1,1,2),FALSE)</f>
        <v>0</v>
      </c>
      <c r="V196" s="55">
        <f>VLOOKUP($E196,'NI-San_SP'!$C:$AN,MID(V$1,1,2),FALSE)</f>
        <v>1715276</v>
      </c>
      <c r="W196" s="55">
        <f>VLOOKUP($E196,'NI-San_SP'!$C:$AN,MID(W$1,1,2),FALSE)</f>
        <v>0</v>
      </c>
      <c r="X196" s="55">
        <f>VLOOKUP($E196,'NI-San_SP'!$C:$AN,MID(X$1,1,2),FALSE)</f>
        <v>0</v>
      </c>
      <c r="Y196" s="55">
        <f>VLOOKUP($E196,'NI-San_SP'!$C:$AN,MID(Y$1,1,2),FALSE)</f>
        <v>0</v>
      </c>
      <c r="Z196" s="55">
        <f>VLOOKUP($E196,'NI-San_SP'!$C:$AN,MID(Z$1,1,2),FALSE)</f>
        <v>0</v>
      </c>
      <c r="AA196" s="55">
        <f>VLOOKUP($E196,'NI-San_SP'!$C:$AN,MID(AA$1,1,2),FALSE)</f>
        <v>0</v>
      </c>
      <c r="AB196" s="55">
        <f>VLOOKUP($E196,'NI-San_SP'!$C:$AN,MID(AB$1,1,2),FALSE)</f>
        <v>0</v>
      </c>
      <c r="AC196" s="55">
        <f>VLOOKUP($E196,'NI-San_SP'!$C:$AN,MID(AC$1,1,2),FALSE)</f>
        <v>4122</v>
      </c>
      <c r="AD196" s="55">
        <f>VLOOKUP($E196,'NI-San_SP'!$C:$AN,MID(AD$1,1,2),FALSE)</f>
        <v>53622</v>
      </c>
      <c r="AE196" s="55">
        <f>VLOOKUP($E196,'NI-San_SP'!$C:$AN,MID(AE$1,1,2),FALSE)</f>
        <v>0</v>
      </c>
      <c r="AF196" s="55">
        <f>VLOOKUP($E196,'NI-San_SP'!$C:$AN,MID(AF$1,1,2),FALSE)</f>
        <v>0</v>
      </c>
      <c r="AG196" s="55">
        <f>VLOOKUP($E196,'NI-San_SP'!$C:$AN,MID(AG$1,1,2),FALSE)</f>
        <v>0</v>
      </c>
      <c r="AH196" s="55">
        <f>VLOOKUP($E196,'NI-San_SP'!$C:$AN,MID(AH$1,1,2),FALSE)</f>
        <v>0</v>
      </c>
      <c r="AI196" s="55">
        <f>VLOOKUP($E196,'NI-San_SP'!$C:$AN,MID(AI$1,1,2),FALSE)</f>
        <v>0</v>
      </c>
      <c r="AJ196" s="55">
        <f>VLOOKUP($E196,'NI-San_SP'!$C:$AN,MID(AJ$1,1,2),FALSE)</f>
        <v>0</v>
      </c>
      <c r="AK196" s="55">
        <f>VLOOKUP($E196,'NI-San_SP'!$C:$AN,MID(AK$1,1,2),FALSE)</f>
        <v>0</v>
      </c>
      <c r="AL196" s="55">
        <f>VLOOKUP($E196,'NI-San_SP'!$C:$AN,MID(AL$1,1,2),FALSE)</f>
        <v>0</v>
      </c>
      <c r="AM196" s="56">
        <f>VLOOKUP($E196,'NI-San_SP'!$C:$AN,MID(AM$1,1,2),FALSE)</f>
        <v>0</v>
      </c>
      <c r="AN196" s="30" t="str">
        <f t="shared" si="3"/>
        <v>10205020030020</v>
      </c>
    </row>
    <row r="197" spans="3:40" x14ac:dyDescent="0.25">
      <c r="C197" s="40"/>
      <c r="D197" s="57" t="s">
        <v>762</v>
      </c>
      <c r="E197" s="57" t="s">
        <v>763</v>
      </c>
      <c r="F197" s="58" t="s">
        <v>110</v>
      </c>
      <c r="G197" s="52"/>
      <c r="H197" s="52"/>
      <c r="I197" s="52"/>
      <c r="J197" s="52"/>
      <c r="K197" s="59" t="s">
        <v>79</v>
      </c>
      <c r="L197" s="52"/>
      <c r="M197" s="52"/>
      <c r="N197" s="52"/>
      <c r="O197" s="52"/>
      <c r="P197" s="63" t="s">
        <v>764</v>
      </c>
      <c r="Q197" s="55">
        <f>VLOOKUP(E197,'NI-San_SP'!$C:$AN,12,FALSE)</f>
        <v>0</v>
      </c>
      <c r="R197" s="55">
        <f>VLOOKUP(E197,'NI-San_SP'!$C:$AN,13,FALSE)</f>
        <v>0</v>
      </c>
      <c r="S197" s="55"/>
      <c r="T197" s="55"/>
      <c r="U197" s="55">
        <f>VLOOKUP($E197,'NI-San_SP'!$C:$AN,MID(U$1,1,2),FALSE)</f>
        <v>0</v>
      </c>
      <c r="V197" s="55">
        <f>VLOOKUP($E197,'NI-San_SP'!$C:$AN,MID(V$1,1,2),FALSE)</f>
        <v>0</v>
      </c>
      <c r="W197" s="55">
        <f>VLOOKUP($E197,'NI-San_SP'!$C:$AN,MID(W$1,1,2),FALSE)</f>
        <v>0</v>
      </c>
      <c r="X197" s="55">
        <f>VLOOKUP($E197,'NI-San_SP'!$C:$AN,MID(X$1,1,2),FALSE)</f>
        <v>0</v>
      </c>
      <c r="Y197" s="55">
        <f>VLOOKUP($E197,'NI-San_SP'!$C:$AN,MID(Y$1,1,2),FALSE)</f>
        <v>0</v>
      </c>
      <c r="Z197" s="55">
        <f>VLOOKUP($E197,'NI-San_SP'!$C:$AN,MID(Z$1,1,2),FALSE)</f>
        <v>0</v>
      </c>
      <c r="AA197" s="55">
        <f>VLOOKUP($E197,'NI-San_SP'!$C:$AN,MID(AA$1,1,2),FALSE)</f>
        <v>0</v>
      </c>
      <c r="AB197" s="55">
        <f>VLOOKUP($E197,'NI-San_SP'!$C:$AN,MID(AB$1,1,2),FALSE)</f>
        <v>0</v>
      </c>
      <c r="AC197" s="55">
        <f>VLOOKUP($E197,'NI-San_SP'!$C:$AN,MID(AC$1,1,2),FALSE)</f>
        <v>0</v>
      </c>
      <c r="AD197" s="55">
        <f>VLOOKUP($E197,'NI-San_SP'!$C:$AN,MID(AD$1,1,2),FALSE)</f>
        <v>0</v>
      </c>
      <c r="AE197" s="55">
        <f>VLOOKUP($E197,'NI-San_SP'!$C:$AN,MID(AE$1,1,2),FALSE)</f>
        <v>0</v>
      </c>
      <c r="AF197" s="55">
        <f>VLOOKUP($E197,'NI-San_SP'!$C:$AN,MID(AF$1,1,2),FALSE)</f>
        <v>0</v>
      </c>
      <c r="AG197" s="55">
        <f>VLOOKUP($E197,'NI-San_SP'!$C:$AN,MID(AG$1,1,2),FALSE)</f>
        <v>0</v>
      </c>
      <c r="AH197" s="55">
        <f>VLOOKUP($E197,'NI-San_SP'!$C:$AN,MID(AH$1,1,2),FALSE)</f>
        <v>0</v>
      </c>
      <c r="AI197" s="55">
        <f>VLOOKUP($E197,'NI-San_SP'!$C:$AN,MID(AI$1,1,2),FALSE)</f>
        <v>0</v>
      </c>
      <c r="AJ197" s="55">
        <f>VLOOKUP($E197,'NI-San_SP'!$C:$AN,MID(AJ$1,1,2),FALSE)</f>
        <v>0</v>
      </c>
      <c r="AK197" s="55">
        <f>VLOOKUP($E197,'NI-San_SP'!$C:$AN,MID(AK$1,1,2),FALSE)</f>
        <v>0</v>
      </c>
      <c r="AL197" s="55">
        <f>VLOOKUP($E197,'NI-San_SP'!$C:$AN,MID(AL$1,1,2),FALSE)</f>
        <v>0</v>
      </c>
      <c r="AM197" s="56">
        <f>VLOOKUP($E197,'NI-San_SP'!$C:$AN,MID(AM$1,1,2),FALSE)</f>
        <v>0</v>
      </c>
      <c r="AN197" s="30" t="str">
        <f t="shared" si="3"/>
        <v>10205020040010</v>
      </c>
    </row>
    <row r="198" spans="3:40" x14ac:dyDescent="0.25">
      <c r="C198" s="40"/>
      <c r="D198" s="57" t="s">
        <v>765</v>
      </c>
      <c r="E198" s="57" t="s">
        <v>766</v>
      </c>
      <c r="F198" s="58" t="s">
        <v>110</v>
      </c>
      <c r="G198" s="52"/>
      <c r="H198" s="52"/>
      <c r="I198" s="52"/>
      <c r="J198" s="52"/>
      <c r="K198" s="59" t="s">
        <v>79</v>
      </c>
      <c r="L198" s="52"/>
      <c r="M198" s="52"/>
      <c r="N198" s="52"/>
      <c r="O198" s="52"/>
      <c r="P198" s="63" t="s">
        <v>767</v>
      </c>
      <c r="Q198" s="55">
        <f>VLOOKUP(E198,'NI-San_SP'!$C:$AN,12,FALSE)</f>
        <v>0</v>
      </c>
      <c r="R198" s="55">
        <f>VLOOKUP(E198,'NI-San_SP'!$C:$AN,13,FALSE)</f>
        <v>0</v>
      </c>
      <c r="S198" s="55"/>
      <c r="T198" s="55"/>
      <c r="U198" s="55">
        <f>VLOOKUP($E198,'NI-San_SP'!$C:$AN,MID(U$1,1,2),FALSE)</f>
        <v>0</v>
      </c>
      <c r="V198" s="55">
        <f>VLOOKUP($E198,'NI-San_SP'!$C:$AN,MID(V$1,1,2),FALSE)</f>
        <v>0</v>
      </c>
      <c r="W198" s="55">
        <f>VLOOKUP($E198,'NI-San_SP'!$C:$AN,MID(W$1,1,2),FALSE)</f>
        <v>0</v>
      </c>
      <c r="X198" s="55">
        <f>VLOOKUP($E198,'NI-San_SP'!$C:$AN,MID(X$1,1,2),FALSE)</f>
        <v>0</v>
      </c>
      <c r="Y198" s="55">
        <f>VLOOKUP($E198,'NI-San_SP'!$C:$AN,MID(Y$1,1,2),FALSE)</f>
        <v>0</v>
      </c>
      <c r="Z198" s="55">
        <f>VLOOKUP($E198,'NI-San_SP'!$C:$AN,MID(Z$1,1,2),FALSE)</f>
        <v>0</v>
      </c>
      <c r="AA198" s="55">
        <f>VLOOKUP($E198,'NI-San_SP'!$C:$AN,MID(AA$1,1,2),FALSE)</f>
        <v>0</v>
      </c>
      <c r="AB198" s="55">
        <f>VLOOKUP($E198,'NI-San_SP'!$C:$AN,MID(AB$1,1,2),FALSE)</f>
        <v>0</v>
      </c>
      <c r="AC198" s="55">
        <f>VLOOKUP($E198,'NI-San_SP'!$C:$AN,MID(AC$1,1,2),FALSE)</f>
        <v>0</v>
      </c>
      <c r="AD198" s="55">
        <f>VLOOKUP($E198,'NI-San_SP'!$C:$AN,MID(AD$1,1,2),FALSE)</f>
        <v>0</v>
      </c>
      <c r="AE198" s="55">
        <f>VLOOKUP($E198,'NI-San_SP'!$C:$AN,MID(AE$1,1,2),FALSE)</f>
        <v>0</v>
      </c>
      <c r="AF198" s="55">
        <f>VLOOKUP($E198,'NI-San_SP'!$C:$AN,MID(AF$1,1,2),FALSE)</f>
        <v>0</v>
      </c>
      <c r="AG198" s="55">
        <f>VLOOKUP($E198,'NI-San_SP'!$C:$AN,MID(AG$1,1,2),FALSE)</f>
        <v>0</v>
      </c>
      <c r="AH198" s="55">
        <f>VLOOKUP($E198,'NI-San_SP'!$C:$AN,MID(AH$1,1,2),FALSE)</f>
        <v>0</v>
      </c>
      <c r="AI198" s="55">
        <f>VLOOKUP($E198,'NI-San_SP'!$C:$AN,MID(AI$1,1,2),FALSE)</f>
        <v>0</v>
      </c>
      <c r="AJ198" s="55">
        <f>VLOOKUP($E198,'NI-San_SP'!$C:$AN,MID(AJ$1,1,2),FALSE)</f>
        <v>0</v>
      </c>
      <c r="AK198" s="55">
        <f>VLOOKUP($E198,'NI-San_SP'!$C:$AN,MID(AK$1,1,2),FALSE)</f>
        <v>0</v>
      </c>
      <c r="AL198" s="55">
        <f>VLOOKUP($E198,'NI-San_SP'!$C:$AN,MID(AL$1,1,2),FALSE)</f>
        <v>0</v>
      </c>
      <c r="AM198" s="56">
        <f>VLOOKUP($E198,'NI-San_SP'!$C:$AN,MID(AM$1,1,2),FALSE)</f>
        <v>0</v>
      </c>
      <c r="AN198" s="30" t="str">
        <f t="shared" si="3"/>
        <v>10205020040020</v>
      </c>
    </row>
    <row r="199" spans="3:40" x14ac:dyDescent="0.25">
      <c r="C199" s="40"/>
      <c r="D199" s="57" t="s">
        <v>768</v>
      </c>
      <c r="E199" s="57" t="s">
        <v>769</v>
      </c>
      <c r="F199" s="58" t="s">
        <v>110</v>
      </c>
      <c r="G199" s="52"/>
      <c r="H199" s="52"/>
      <c r="I199" s="52"/>
      <c r="J199" s="52"/>
      <c r="K199" s="59" t="s">
        <v>111</v>
      </c>
      <c r="L199" s="52"/>
      <c r="M199" s="52"/>
      <c r="N199" s="52"/>
      <c r="O199" s="61" t="s">
        <v>770</v>
      </c>
      <c r="P199" s="60" t="s">
        <v>771</v>
      </c>
      <c r="Q199" s="55">
        <f>VLOOKUP(E199,'NI-San_SP'!$C:$AN,12,FALSE)</f>
        <v>0</v>
      </c>
      <c r="R199" s="55">
        <f>VLOOKUP(E199,'NI-San_SP'!$C:$AN,13,FALSE)</f>
        <v>0</v>
      </c>
      <c r="S199" s="55"/>
      <c r="T199" s="55"/>
      <c r="U199" s="55">
        <f>VLOOKUP($E199,'NI-San_SP'!$C:$AN,MID(U$1,1,2),FALSE)</f>
        <v>0</v>
      </c>
      <c r="V199" s="55">
        <f>VLOOKUP($E199,'NI-San_SP'!$C:$AN,MID(V$1,1,2),FALSE)</f>
        <v>0</v>
      </c>
      <c r="W199" s="55">
        <f>VLOOKUP($E199,'NI-San_SP'!$C:$AN,MID(W$1,1,2),FALSE)</f>
        <v>0</v>
      </c>
      <c r="X199" s="55">
        <f>VLOOKUP($E199,'NI-San_SP'!$C:$AN,MID(X$1,1,2),FALSE)</f>
        <v>0</v>
      </c>
      <c r="Y199" s="55">
        <f>VLOOKUP($E199,'NI-San_SP'!$C:$AN,MID(Y$1,1,2),FALSE)</f>
        <v>0</v>
      </c>
      <c r="Z199" s="55">
        <f>VLOOKUP($E199,'NI-San_SP'!$C:$AN,MID(Z$1,1,2),FALSE)</f>
        <v>0</v>
      </c>
      <c r="AA199" s="55">
        <f>VLOOKUP($E199,'NI-San_SP'!$C:$AN,MID(AA$1,1,2),FALSE)</f>
        <v>0</v>
      </c>
      <c r="AB199" s="55">
        <f>VLOOKUP($E199,'NI-San_SP'!$C:$AN,MID(AB$1,1,2),FALSE)</f>
        <v>0</v>
      </c>
      <c r="AC199" s="55">
        <f>VLOOKUP($E199,'NI-San_SP'!$C:$AN,MID(AC$1,1,2),FALSE)</f>
        <v>0</v>
      </c>
      <c r="AD199" s="55">
        <f>VLOOKUP($E199,'NI-San_SP'!$C:$AN,MID(AD$1,1,2),FALSE)</f>
        <v>0</v>
      </c>
      <c r="AE199" s="55">
        <f>VLOOKUP($E199,'NI-San_SP'!$C:$AN,MID(AE$1,1,2),FALSE)</f>
        <v>0</v>
      </c>
      <c r="AF199" s="55">
        <f>VLOOKUP($E199,'NI-San_SP'!$C:$AN,MID(AF$1,1,2),FALSE)</f>
        <v>0</v>
      </c>
      <c r="AG199" s="55">
        <f>VLOOKUP($E199,'NI-San_SP'!$C:$AN,MID(AG$1,1,2),FALSE)</f>
        <v>0</v>
      </c>
      <c r="AH199" s="55">
        <f>VLOOKUP($E199,'NI-San_SP'!$C:$AN,MID(AH$1,1,2),FALSE)</f>
        <v>0</v>
      </c>
      <c r="AI199" s="55">
        <f>VLOOKUP($E199,'NI-San_SP'!$C:$AN,MID(AI$1,1,2),FALSE)</f>
        <v>0</v>
      </c>
      <c r="AJ199" s="55">
        <f>VLOOKUP($E199,'NI-San_SP'!$C:$AN,MID(AJ$1,1,2),FALSE)</f>
        <v>0</v>
      </c>
      <c r="AK199" s="55">
        <f>VLOOKUP($E199,'NI-San_SP'!$C:$AN,MID(AK$1,1,2),FALSE)</f>
        <v>0</v>
      </c>
      <c r="AL199" s="55">
        <f>VLOOKUP($E199,'NI-San_SP'!$C:$AN,MID(AL$1,1,2),FALSE)</f>
        <v>0</v>
      </c>
      <c r="AM199" s="56">
        <f>VLOOKUP($E199,'NI-San_SP'!$C:$AN,MID(AM$1,1,2),FALSE)</f>
        <v>0</v>
      </c>
      <c r="AN199" s="30" t="str">
        <f t="shared" si="3"/>
        <v>10206000000000</v>
      </c>
    </row>
    <row r="200" spans="3:40" x14ac:dyDescent="0.25">
      <c r="C200" s="40"/>
      <c r="D200" s="57" t="s">
        <v>772</v>
      </c>
      <c r="E200" s="57" t="s">
        <v>773</v>
      </c>
      <c r="F200" s="58" t="s">
        <v>110</v>
      </c>
      <c r="G200" s="52"/>
      <c r="H200" s="52"/>
      <c r="I200" s="52" t="s">
        <v>774</v>
      </c>
      <c r="J200" s="52" t="s">
        <v>774</v>
      </c>
      <c r="K200" s="59" t="s">
        <v>111</v>
      </c>
      <c r="L200" s="62" t="s">
        <v>775</v>
      </c>
      <c r="M200" s="52"/>
      <c r="N200" s="52"/>
      <c r="O200" s="52"/>
      <c r="P200" s="54" t="s">
        <v>776</v>
      </c>
      <c r="Q200" s="55">
        <f>VLOOKUP(E200,'NI-San_SP'!$C:$AN,12,FALSE)</f>
        <v>930515</v>
      </c>
      <c r="R200" s="55">
        <f>VLOOKUP(E200,'NI-San_SP'!$C:$AN,13,FALSE)</f>
        <v>930515</v>
      </c>
      <c r="S200" s="55"/>
      <c r="T200" s="55"/>
      <c r="U200" s="55">
        <f>VLOOKUP($E200,'NI-San_SP'!$C:$AN,MID(U$1,1,2),FALSE)</f>
        <v>0</v>
      </c>
      <c r="V200" s="55">
        <f>VLOOKUP($E200,'NI-San_SP'!$C:$AN,MID(V$1,1,2),FALSE)</f>
        <v>930515</v>
      </c>
      <c r="W200" s="55">
        <f>VLOOKUP($E200,'NI-San_SP'!$C:$AN,MID(W$1,1,2),FALSE)</f>
        <v>0</v>
      </c>
      <c r="X200" s="55">
        <f>VLOOKUP($E200,'NI-San_SP'!$C:$AN,MID(X$1,1,2),FALSE)</f>
        <v>0</v>
      </c>
      <c r="Y200" s="55">
        <f>VLOOKUP($E200,'NI-San_SP'!$C:$AN,MID(Y$1,1,2),FALSE)</f>
        <v>0</v>
      </c>
      <c r="Z200" s="55">
        <f>VLOOKUP($E200,'NI-San_SP'!$C:$AN,MID(Z$1,1,2),FALSE)</f>
        <v>0</v>
      </c>
      <c r="AA200" s="55">
        <f>VLOOKUP($E200,'NI-San_SP'!$C:$AN,MID(AA$1,1,2),FALSE)</f>
        <v>0</v>
      </c>
      <c r="AB200" s="55">
        <f>VLOOKUP($E200,'NI-San_SP'!$C:$AN,MID(AB$1,1,2),FALSE)</f>
        <v>0</v>
      </c>
      <c r="AC200" s="55">
        <f>VLOOKUP($E200,'NI-San_SP'!$C:$AN,MID(AC$1,1,2),FALSE)</f>
        <v>0</v>
      </c>
      <c r="AD200" s="55">
        <f>VLOOKUP($E200,'NI-San_SP'!$C:$AN,MID(AD$1,1,2),FALSE)</f>
        <v>0</v>
      </c>
      <c r="AE200" s="55">
        <f>VLOOKUP($E200,'NI-San_SP'!$C:$AN,MID(AE$1,1,2),FALSE)</f>
        <v>0</v>
      </c>
      <c r="AF200" s="55">
        <f>VLOOKUP($E200,'NI-San_SP'!$C:$AN,MID(AF$1,1,2),FALSE)</f>
        <v>0</v>
      </c>
      <c r="AG200" s="55">
        <f>VLOOKUP($E200,'NI-San_SP'!$C:$AN,MID(AG$1,1,2),FALSE)</f>
        <v>0</v>
      </c>
      <c r="AH200" s="55">
        <f>VLOOKUP($E200,'NI-San_SP'!$C:$AN,MID(AH$1,1,2),FALSE)</f>
        <v>0</v>
      </c>
      <c r="AI200" s="55">
        <f>VLOOKUP($E200,'NI-San_SP'!$C:$AN,MID(AI$1,1,2),FALSE)</f>
        <v>0</v>
      </c>
      <c r="AJ200" s="55">
        <f>VLOOKUP($E200,'NI-San_SP'!$C:$AN,MID(AJ$1,1,2),FALSE)</f>
        <v>0</v>
      </c>
      <c r="AK200" s="55">
        <f>VLOOKUP($E200,'NI-San_SP'!$C:$AN,MID(AK$1,1,2),FALSE)</f>
        <v>0</v>
      </c>
      <c r="AL200" s="55">
        <f>VLOOKUP($E200,'NI-San_SP'!$C:$AN,MID(AL$1,1,2),FALSE)</f>
        <v>0</v>
      </c>
      <c r="AM200" s="56">
        <f>VLOOKUP($E200,'NI-San_SP'!$C:$AN,MID(AM$1,1,2),FALSE)</f>
        <v>0</v>
      </c>
      <c r="AN200" s="30" t="str">
        <f t="shared" si="3"/>
        <v>10206010000000</v>
      </c>
    </row>
    <row r="201" spans="3:40" x14ac:dyDescent="0.25">
      <c r="C201" s="40"/>
      <c r="D201" s="57" t="s">
        <v>777</v>
      </c>
      <c r="E201" s="57" t="s">
        <v>778</v>
      </c>
      <c r="F201" s="58" t="s">
        <v>110</v>
      </c>
      <c r="G201" s="52"/>
      <c r="H201" s="52"/>
      <c r="I201" s="52"/>
      <c r="J201" s="52"/>
      <c r="K201" s="59" t="s">
        <v>79</v>
      </c>
      <c r="L201" s="52"/>
      <c r="M201" s="52"/>
      <c r="N201" s="52"/>
      <c r="O201" s="52"/>
      <c r="P201" s="63" t="s">
        <v>779</v>
      </c>
      <c r="Q201" s="55">
        <f>VLOOKUP(E201,'NI-San_SP'!$C:$AN,12,FALSE)</f>
        <v>383068</v>
      </c>
      <c r="R201" s="55">
        <f>VLOOKUP(E201,'NI-San_SP'!$C:$AN,13,FALSE)</f>
        <v>383068</v>
      </c>
      <c r="S201" s="55"/>
      <c r="T201" s="55"/>
      <c r="U201" s="55">
        <f>VLOOKUP($E201,'NI-San_SP'!$C:$AN,MID(U$1,1,2),FALSE)</f>
        <v>0</v>
      </c>
      <c r="V201" s="55">
        <f>VLOOKUP($E201,'NI-San_SP'!$C:$AN,MID(V$1,1,2),FALSE)</f>
        <v>383068</v>
      </c>
      <c r="W201" s="55">
        <f>VLOOKUP($E201,'NI-San_SP'!$C:$AN,MID(W$1,1,2),FALSE)</f>
        <v>0</v>
      </c>
      <c r="X201" s="55">
        <f>VLOOKUP($E201,'NI-San_SP'!$C:$AN,MID(X$1,1,2),FALSE)</f>
        <v>0</v>
      </c>
      <c r="Y201" s="55">
        <f>VLOOKUP($E201,'NI-San_SP'!$C:$AN,MID(Y$1,1,2),FALSE)</f>
        <v>0</v>
      </c>
      <c r="Z201" s="55">
        <f>VLOOKUP($E201,'NI-San_SP'!$C:$AN,MID(Z$1,1,2),FALSE)</f>
        <v>0</v>
      </c>
      <c r="AA201" s="55">
        <f>VLOOKUP($E201,'NI-San_SP'!$C:$AN,MID(AA$1,1,2),FALSE)</f>
        <v>0</v>
      </c>
      <c r="AB201" s="55">
        <f>VLOOKUP($E201,'NI-San_SP'!$C:$AN,MID(AB$1,1,2),FALSE)</f>
        <v>0</v>
      </c>
      <c r="AC201" s="55">
        <f>VLOOKUP($E201,'NI-San_SP'!$C:$AN,MID(AC$1,1,2),FALSE)</f>
        <v>0</v>
      </c>
      <c r="AD201" s="55">
        <f>VLOOKUP($E201,'NI-San_SP'!$C:$AN,MID(AD$1,1,2),FALSE)</f>
        <v>0</v>
      </c>
      <c r="AE201" s="55">
        <f>VLOOKUP($E201,'NI-San_SP'!$C:$AN,MID(AE$1,1,2),FALSE)</f>
        <v>0</v>
      </c>
      <c r="AF201" s="55">
        <f>VLOOKUP($E201,'NI-San_SP'!$C:$AN,MID(AF$1,1,2),FALSE)</f>
        <v>0</v>
      </c>
      <c r="AG201" s="55">
        <f>VLOOKUP($E201,'NI-San_SP'!$C:$AN,MID(AG$1,1,2),FALSE)</f>
        <v>0</v>
      </c>
      <c r="AH201" s="55">
        <f>VLOOKUP($E201,'NI-San_SP'!$C:$AN,MID(AH$1,1,2),FALSE)</f>
        <v>0</v>
      </c>
      <c r="AI201" s="55">
        <f>VLOOKUP($E201,'NI-San_SP'!$C:$AN,MID(AI$1,1,2),FALSE)</f>
        <v>0</v>
      </c>
      <c r="AJ201" s="55">
        <f>VLOOKUP($E201,'NI-San_SP'!$C:$AN,MID(AJ$1,1,2),FALSE)</f>
        <v>0</v>
      </c>
      <c r="AK201" s="55">
        <f>VLOOKUP($E201,'NI-San_SP'!$C:$AN,MID(AK$1,1,2),FALSE)</f>
        <v>0</v>
      </c>
      <c r="AL201" s="55">
        <f>VLOOKUP($E201,'NI-San_SP'!$C:$AN,MID(AL$1,1,2),FALSE)</f>
        <v>0</v>
      </c>
      <c r="AM201" s="56">
        <f>VLOOKUP($E201,'NI-San_SP'!$C:$AN,MID(AM$1,1,2),FALSE)</f>
        <v>0</v>
      </c>
      <c r="AN201" s="30" t="str">
        <f t="shared" si="3"/>
        <v>10206010010010</v>
      </c>
    </row>
    <row r="202" spans="3:40" x14ac:dyDescent="0.25">
      <c r="C202" s="40"/>
      <c r="D202" s="57" t="s">
        <v>780</v>
      </c>
      <c r="E202" s="57" t="s">
        <v>781</v>
      </c>
      <c r="F202" s="58" t="s">
        <v>110</v>
      </c>
      <c r="G202" s="52"/>
      <c r="H202" s="52"/>
      <c r="I202" s="52"/>
      <c r="J202" s="52"/>
      <c r="K202" s="59" t="s">
        <v>79</v>
      </c>
      <c r="L202" s="52"/>
      <c r="M202" s="52"/>
      <c r="N202" s="52"/>
      <c r="O202" s="52"/>
      <c r="P202" s="63" t="s">
        <v>782</v>
      </c>
      <c r="Q202" s="55">
        <f>VLOOKUP(E202,'NI-San_SP'!$C:$AN,12,FALSE)</f>
        <v>41775</v>
      </c>
      <c r="R202" s="55">
        <f>VLOOKUP(E202,'NI-San_SP'!$C:$AN,13,FALSE)</f>
        <v>41775</v>
      </c>
      <c r="S202" s="55"/>
      <c r="T202" s="55"/>
      <c r="U202" s="55">
        <f>VLOOKUP($E202,'NI-San_SP'!$C:$AN,MID(U$1,1,2),FALSE)</f>
        <v>0</v>
      </c>
      <c r="V202" s="55">
        <f>VLOOKUP($E202,'NI-San_SP'!$C:$AN,MID(V$1,1,2),FALSE)</f>
        <v>41775</v>
      </c>
      <c r="W202" s="55">
        <f>VLOOKUP($E202,'NI-San_SP'!$C:$AN,MID(W$1,1,2),FALSE)</f>
        <v>0</v>
      </c>
      <c r="X202" s="55">
        <f>VLOOKUP($E202,'NI-San_SP'!$C:$AN,MID(X$1,1,2),FALSE)</f>
        <v>0</v>
      </c>
      <c r="Y202" s="55">
        <f>VLOOKUP($E202,'NI-San_SP'!$C:$AN,MID(Y$1,1,2),FALSE)</f>
        <v>0</v>
      </c>
      <c r="Z202" s="55">
        <f>VLOOKUP($E202,'NI-San_SP'!$C:$AN,MID(Z$1,1,2),FALSE)</f>
        <v>0</v>
      </c>
      <c r="AA202" s="55">
        <f>VLOOKUP($E202,'NI-San_SP'!$C:$AN,MID(AA$1,1,2),FALSE)</f>
        <v>0</v>
      </c>
      <c r="AB202" s="55">
        <f>VLOOKUP($E202,'NI-San_SP'!$C:$AN,MID(AB$1,1,2),FALSE)</f>
        <v>0</v>
      </c>
      <c r="AC202" s="55">
        <f>VLOOKUP($E202,'NI-San_SP'!$C:$AN,MID(AC$1,1,2),FALSE)</f>
        <v>0</v>
      </c>
      <c r="AD202" s="55">
        <f>VLOOKUP($E202,'NI-San_SP'!$C:$AN,MID(AD$1,1,2),FALSE)</f>
        <v>0</v>
      </c>
      <c r="AE202" s="55">
        <f>VLOOKUP($E202,'NI-San_SP'!$C:$AN,MID(AE$1,1,2),FALSE)</f>
        <v>0</v>
      </c>
      <c r="AF202" s="55">
        <f>VLOOKUP($E202,'NI-San_SP'!$C:$AN,MID(AF$1,1,2),FALSE)</f>
        <v>0</v>
      </c>
      <c r="AG202" s="55">
        <f>VLOOKUP($E202,'NI-San_SP'!$C:$AN,MID(AG$1,1,2),FALSE)</f>
        <v>0</v>
      </c>
      <c r="AH202" s="55">
        <f>VLOOKUP($E202,'NI-San_SP'!$C:$AN,MID(AH$1,1,2),FALSE)</f>
        <v>0</v>
      </c>
      <c r="AI202" s="55">
        <f>VLOOKUP($E202,'NI-San_SP'!$C:$AN,MID(AI$1,1,2),FALSE)</f>
        <v>0</v>
      </c>
      <c r="AJ202" s="55">
        <f>VLOOKUP($E202,'NI-San_SP'!$C:$AN,MID(AJ$1,1,2),FALSE)</f>
        <v>0</v>
      </c>
      <c r="AK202" s="55">
        <f>VLOOKUP($E202,'NI-San_SP'!$C:$AN,MID(AK$1,1,2),FALSE)</f>
        <v>0</v>
      </c>
      <c r="AL202" s="55">
        <f>VLOOKUP($E202,'NI-San_SP'!$C:$AN,MID(AL$1,1,2),FALSE)</f>
        <v>0</v>
      </c>
      <c r="AM202" s="56">
        <f>VLOOKUP($E202,'NI-San_SP'!$C:$AN,MID(AM$1,1,2),FALSE)</f>
        <v>0</v>
      </c>
      <c r="AN202" s="30" t="str">
        <f t="shared" si="3"/>
        <v>10206010010020</v>
      </c>
    </row>
    <row r="203" spans="3:40" x14ac:dyDescent="0.25">
      <c r="C203" s="40"/>
      <c r="D203" s="57" t="s">
        <v>783</v>
      </c>
      <c r="E203" s="57" t="s">
        <v>784</v>
      </c>
      <c r="F203" s="58" t="s">
        <v>110</v>
      </c>
      <c r="G203" s="52"/>
      <c r="H203" s="52"/>
      <c r="I203" s="52"/>
      <c r="J203" s="52"/>
      <c r="K203" s="59" t="s">
        <v>79</v>
      </c>
      <c r="L203" s="52"/>
      <c r="M203" s="52"/>
      <c r="N203" s="52"/>
      <c r="O203" s="52"/>
      <c r="P203" s="63" t="s">
        <v>785</v>
      </c>
      <c r="Q203" s="55">
        <f>VLOOKUP(E203,'NI-San_SP'!$C:$AN,12,FALSE)</f>
        <v>211253</v>
      </c>
      <c r="R203" s="55">
        <f>VLOOKUP(E203,'NI-San_SP'!$C:$AN,13,FALSE)</f>
        <v>211253</v>
      </c>
      <c r="S203" s="55"/>
      <c r="T203" s="55"/>
      <c r="U203" s="55">
        <f>VLOOKUP($E203,'NI-San_SP'!$C:$AN,MID(U$1,1,2),FALSE)</f>
        <v>0</v>
      </c>
      <c r="V203" s="55">
        <f>VLOOKUP($E203,'NI-San_SP'!$C:$AN,MID(V$1,1,2),FALSE)</f>
        <v>211253</v>
      </c>
      <c r="W203" s="55">
        <f>VLOOKUP($E203,'NI-San_SP'!$C:$AN,MID(W$1,1,2),FALSE)</f>
        <v>0</v>
      </c>
      <c r="X203" s="55">
        <f>VLOOKUP($E203,'NI-San_SP'!$C:$AN,MID(X$1,1,2),FALSE)</f>
        <v>0</v>
      </c>
      <c r="Y203" s="55">
        <f>VLOOKUP($E203,'NI-San_SP'!$C:$AN,MID(Y$1,1,2),FALSE)</f>
        <v>0</v>
      </c>
      <c r="Z203" s="55">
        <f>VLOOKUP($E203,'NI-San_SP'!$C:$AN,MID(Z$1,1,2),FALSE)</f>
        <v>0</v>
      </c>
      <c r="AA203" s="55">
        <f>VLOOKUP($E203,'NI-San_SP'!$C:$AN,MID(AA$1,1,2),FALSE)</f>
        <v>0</v>
      </c>
      <c r="AB203" s="55">
        <f>VLOOKUP($E203,'NI-San_SP'!$C:$AN,MID(AB$1,1,2),FALSE)</f>
        <v>0</v>
      </c>
      <c r="AC203" s="55">
        <f>VLOOKUP($E203,'NI-San_SP'!$C:$AN,MID(AC$1,1,2),FALSE)</f>
        <v>0</v>
      </c>
      <c r="AD203" s="55">
        <f>VLOOKUP($E203,'NI-San_SP'!$C:$AN,MID(AD$1,1,2),FALSE)</f>
        <v>0</v>
      </c>
      <c r="AE203" s="55">
        <f>VLOOKUP($E203,'NI-San_SP'!$C:$AN,MID(AE$1,1,2),FALSE)</f>
        <v>0</v>
      </c>
      <c r="AF203" s="55">
        <f>VLOOKUP($E203,'NI-San_SP'!$C:$AN,MID(AF$1,1,2),FALSE)</f>
        <v>0</v>
      </c>
      <c r="AG203" s="55">
        <f>VLOOKUP($E203,'NI-San_SP'!$C:$AN,MID(AG$1,1,2),FALSE)</f>
        <v>0</v>
      </c>
      <c r="AH203" s="55">
        <f>VLOOKUP($E203,'NI-San_SP'!$C:$AN,MID(AH$1,1,2),FALSE)</f>
        <v>0</v>
      </c>
      <c r="AI203" s="55">
        <f>VLOOKUP($E203,'NI-San_SP'!$C:$AN,MID(AI$1,1,2),FALSE)</f>
        <v>0</v>
      </c>
      <c r="AJ203" s="55">
        <f>VLOOKUP($E203,'NI-San_SP'!$C:$AN,MID(AJ$1,1,2),FALSE)</f>
        <v>0</v>
      </c>
      <c r="AK203" s="55">
        <f>VLOOKUP($E203,'NI-San_SP'!$C:$AN,MID(AK$1,1,2),FALSE)</f>
        <v>0</v>
      </c>
      <c r="AL203" s="55">
        <f>VLOOKUP($E203,'NI-San_SP'!$C:$AN,MID(AL$1,1,2),FALSE)</f>
        <v>0</v>
      </c>
      <c r="AM203" s="56">
        <f>VLOOKUP($E203,'NI-San_SP'!$C:$AN,MID(AM$1,1,2),FALSE)</f>
        <v>0</v>
      </c>
      <c r="AN203" s="30" t="str">
        <f t="shared" si="3"/>
        <v>10206010020010</v>
      </c>
    </row>
    <row r="204" spans="3:40" x14ac:dyDescent="0.25">
      <c r="C204" s="40"/>
      <c r="D204" s="57" t="s">
        <v>786</v>
      </c>
      <c r="E204" s="57" t="s">
        <v>787</v>
      </c>
      <c r="F204" s="58" t="s">
        <v>110</v>
      </c>
      <c r="G204" s="52"/>
      <c r="H204" s="52"/>
      <c r="I204" s="52"/>
      <c r="J204" s="52"/>
      <c r="K204" s="59" t="s">
        <v>79</v>
      </c>
      <c r="L204" s="52"/>
      <c r="M204" s="52"/>
      <c r="N204" s="52"/>
      <c r="O204" s="52"/>
      <c r="P204" s="63" t="s">
        <v>788</v>
      </c>
      <c r="Q204" s="55">
        <f>VLOOKUP(E204,'NI-San_SP'!$C:$AN,12,FALSE)</f>
        <v>155704</v>
      </c>
      <c r="R204" s="55">
        <f>VLOOKUP(E204,'NI-San_SP'!$C:$AN,13,FALSE)</f>
        <v>155704</v>
      </c>
      <c r="S204" s="55"/>
      <c r="T204" s="55"/>
      <c r="U204" s="55">
        <f>VLOOKUP($E204,'NI-San_SP'!$C:$AN,MID(U$1,1,2),FALSE)</f>
        <v>0</v>
      </c>
      <c r="V204" s="55">
        <f>VLOOKUP($E204,'NI-San_SP'!$C:$AN,MID(V$1,1,2),FALSE)</f>
        <v>155704</v>
      </c>
      <c r="W204" s="55">
        <f>VLOOKUP($E204,'NI-San_SP'!$C:$AN,MID(W$1,1,2),FALSE)</f>
        <v>0</v>
      </c>
      <c r="X204" s="55">
        <f>VLOOKUP($E204,'NI-San_SP'!$C:$AN,MID(X$1,1,2),FALSE)</f>
        <v>0</v>
      </c>
      <c r="Y204" s="55">
        <f>VLOOKUP($E204,'NI-San_SP'!$C:$AN,MID(Y$1,1,2),FALSE)</f>
        <v>0</v>
      </c>
      <c r="Z204" s="55">
        <f>VLOOKUP($E204,'NI-San_SP'!$C:$AN,MID(Z$1,1,2),FALSE)</f>
        <v>0</v>
      </c>
      <c r="AA204" s="55">
        <f>VLOOKUP($E204,'NI-San_SP'!$C:$AN,MID(AA$1,1,2),FALSE)</f>
        <v>0</v>
      </c>
      <c r="AB204" s="55">
        <f>VLOOKUP($E204,'NI-San_SP'!$C:$AN,MID(AB$1,1,2),FALSE)</f>
        <v>0</v>
      </c>
      <c r="AC204" s="55">
        <f>VLOOKUP($E204,'NI-San_SP'!$C:$AN,MID(AC$1,1,2),FALSE)</f>
        <v>0</v>
      </c>
      <c r="AD204" s="55">
        <f>VLOOKUP($E204,'NI-San_SP'!$C:$AN,MID(AD$1,1,2),FALSE)</f>
        <v>0</v>
      </c>
      <c r="AE204" s="55">
        <f>VLOOKUP($E204,'NI-San_SP'!$C:$AN,MID(AE$1,1,2),FALSE)</f>
        <v>0</v>
      </c>
      <c r="AF204" s="55">
        <f>VLOOKUP($E204,'NI-San_SP'!$C:$AN,MID(AF$1,1,2),FALSE)</f>
        <v>0</v>
      </c>
      <c r="AG204" s="55">
        <f>VLOOKUP($E204,'NI-San_SP'!$C:$AN,MID(AG$1,1,2),FALSE)</f>
        <v>0</v>
      </c>
      <c r="AH204" s="55">
        <f>VLOOKUP($E204,'NI-San_SP'!$C:$AN,MID(AH$1,1,2),FALSE)</f>
        <v>0</v>
      </c>
      <c r="AI204" s="55">
        <f>VLOOKUP($E204,'NI-San_SP'!$C:$AN,MID(AI$1,1,2),FALSE)</f>
        <v>0</v>
      </c>
      <c r="AJ204" s="55">
        <f>VLOOKUP($E204,'NI-San_SP'!$C:$AN,MID(AJ$1,1,2),FALSE)</f>
        <v>0</v>
      </c>
      <c r="AK204" s="55">
        <f>VLOOKUP($E204,'NI-San_SP'!$C:$AN,MID(AK$1,1,2),FALSE)</f>
        <v>0</v>
      </c>
      <c r="AL204" s="55">
        <f>VLOOKUP($E204,'NI-San_SP'!$C:$AN,MID(AL$1,1,2),FALSE)</f>
        <v>0</v>
      </c>
      <c r="AM204" s="56">
        <f>VLOOKUP($E204,'NI-San_SP'!$C:$AN,MID(AM$1,1,2),FALSE)</f>
        <v>0</v>
      </c>
      <c r="AN204" s="30" t="str">
        <f t="shared" si="3"/>
        <v>10206010020020</v>
      </c>
    </row>
    <row r="205" spans="3:40" x14ac:dyDescent="0.25">
      <c r="C205" s="40"/>
      <c r="D205" s="57" t="s">
        <v>789</v>
      </c>
      <c r="E205" s="57" t="s">
        <v>790</v>
      </c>
      <c r="F205" s="58" t="s">
        <v>110</v>
      </c>
      <c r="G205" s="52"/>
      <c r="H205" s="52"/>
      <c r="I205" s="52"/>
      <c r="J205" s="52"/>
      <c r="K205" s="59" t="s">
        <v>79</v>
      </c>
      <c r="L205" s="52"/>
      <c r="M205" s="52"/>
      <c r="N205" s="52"/>
      <c r="O205" s="52"/>
      <c r="P205" s="63" t="s">
        <v>791</v>
      </c>
      <c r="Q205" s="55">
        <f>VLOOKUP(E205,'NI-San_SP'!$C:$AN,12,FALSE)</f>
        <v>0</v>
      </c>
      <c r="R205" s="55">
        <f>VLOOKUP(E205,'NI-San_SP'!$C:$AN,13,FALSE)</f>
        <v>0</v>
      </c>
      <c r="S205" s="55"/>
      <c r="T205" s="55"/>
      <c r="U205" s="55">
        <f>VLOOKUP($E205,'NI-San_SP'!$C:$AN,MID(U$1,1,2),FALSE)</f>
        <v>0</v>
      </c>
      <c r="V205" s="55">
        <f>VLOOKUP($E205,'NI-San_SP'!$C:$AN,MID(V$1,1,2),FALSE)</f>
        <v>0</v>
      </c>
      <c r="W205" s="55">
        <f>VLOOKUP($E205,'NI-San_SP'!$C:$AN,MID(W$1,1,2),FALSE)</f>
        <v>0</v>
      </c>
      <c r="X205" s="55">
        <f>VLOOKUP($E205,'NI-San_SP'!$C:$AN,MID(X$1,1,2),FALSE)</f>
        <v>0</v>
      </c>
      <c r="Y205" s="55">
        <f>VLOOKUP($E205,'NI-San_SP'!$C:$AN,MID(Y$1,1,2),FALSE)</f>
        <v>0</v>
      </c>
      <c r="Z205" s="55">
        <f>VLOOKUP($E205,'NI-San_SP'!$C:$AN,MID(Z$1,1,2),FALSE)</f>
        <v>0</v>
      </c>
      <c r="AA205" s="55">
        <f>VLOOKUP($E205,'NI-San_SP'!$C:$AN,MID(AA$1,1,2),FALSE)</f>
        <v>0</v>
      </c>
      <c r="AB205" s="55">
        <f>VLOOKUP($E205,'NI-San_SP'!$C:$AN,MID(AB$1,1,2),FALSE)</f>
        <v>0</v>
      </c>
      <c r="AC205" s="55">
        <f>VLOOKUP($E205,'NI-San_SP'!$C:$AN,MID(AC$1,1,2),FALSE)</f>
        <v>0</v>
      </c>
      <c r="AD205" s="55">
        <f>VLOOKUP($E205,'NI-San_SP'!$C:$AN,MID(AD$1,1,2),FALSE)</f>
        <v>0</v>
      </c>
      <c r="AE205" s="55">
        <f>VLOOKUP($E205,'NI-San_SP'!$C:$AN,MID(AE$1,1,2),FALSE)</f>
        <v>0</v>
      </c>
      <c r="AF205" s="55">
        <f>VLOOKUP($E205,'NI-San_SP'!$C:$AN,MID(AF$1,1,2),FALSE)</f>
        <v>0</v>
      </c>
      <c r="AG205" s="55">
        <f>VLOOKUP($E205,'NI-San_SP'!$C:$AN,MID(AG$1,1,2),FALSE)</f>
        <v>0</v>
      </c>
      <c r="AH205" s="55">
        <f>VLOOKUP($E205,'NI-San_SP'!$C:$AN,MID(AH$1,1,2),FALSE)</f>
        <v>0</v>
      </c>
      <c r="AI205" s="55">
        <f>VLOOKUP($E205,'NI-San_SP'!$C:$AN,MID(AI$1,1,2),FALSE)</f>
        <v>0</v>
      </c>
      <c r="AJ205" s="55">
        <f>VLOOKUP($E205,'NI-San_SP'!$C:$AN,MID(AJ$1,1,2),FALSE)</f>
        <v>0</v>
      </c>
      <c r="AK205" s="55">
        <f>VLOOKUP($E205,'NI-San_SP'!$C:$AN,MID(AK$1,1,2),FALSE)</f>
        <v>0</v>
      </c>
      <c r="AL205" s="55">
        <f>VLOOKUP($E205,'NI-San_SP'!$C:$AN,MID(AL$1,1,2),FALSE)</f>
        <v>0</v>
      </c>
      <c r="AM205" s="56">
        <f>VLOOKUP($E205,'NI-San_SP'!$C:$AN,MID(AM$1,1,2),FALSE)</f>
        <v>0</v>
      </c>
      <c r="AN205" s="30" t="str">
        <f t="shared" si="3"/>
        <v>10206010030010</v>
      </c>
    </row>
    <row r="206" spans="3:40" x14ac:dyDescent="0.25">
      <c r="C206" s="40"/>
      <c r="D206" s="57" t="s">
        <v>792</v>
      </c>
      <c r="E206" s="57" t="s">
        <v>793</v>
      </c>
      <c r="F206" s="58" t="s">
        <v>110</v>
      </c>
      <c r="G206" s="52"/>
      <c r="H206" s="52"/>
      <c r="I206" s="52"/>
      <c r="J206" s="52"/>
      <c r="K206" s="59" t="s">
        <v>79</v>
      </c>
      <c r="L206" s="52"/>
      <c r="M206" s="52"/>
      <c r="N206" s="52"/>
      <c r="O206" s="52"/>
      <c r="P206" s="63" t="s">
        <v>794</v>
      </c>
      <c r="Q206" s="55">
        <f>VLOOKUP(E206,'NI-San_SP'!$C:$AN,12,FALSE)</f>
        <v>0</v>
      </c>
      <c r="R206" s="55">
        <f>VLOOKUP(E206,'NI-San_SP'!$C:$AN,13,FALSE)</f>
        <v>0</v>
      </c>
      <c r="S206" s="55"/>
      <c r="T206" s="55"/>
      <c r="U206" s="55">
        <f>VLOOKUP($E206,'NI-San_SP'!$C:$AN,MID(U$1,1,2),FALSE)</f>
        <v>0</v>
      </c>
      <c r="V206" s="55">
        <f>VLOOKUP($E206,'NI-San_SP'!$C:$AN,MID(V$1,1,2),FALSE)</f>
        <v>0</v>
      </c>
      <c r="W206" s="55">
        <f>VLOOKUP($E206,'NI-San_SP'!$C:$AN,MID(W$1,1,2),FALSE)</f>
        <v>0</v>
      </c>
      <c r="X206" s="55">
        <f>VLOOKUP($E206,'NI-San_SP'!$C:$AN,MID(X$1,1,2),FALSE)</f>
        <v>0</v>
      </c>
      <c r="Y206" s="55">
        <f>VLOOKUP($E206,'NI-San_SP'!$C:$AN,MID(Y$1,1,2),FALSE)</f>
        <v>0</v>
      </c>
      <c r="Z206" s="55">
        <f>VLOOKUP($E206,'NI-San_SP'!$C:$AN,MID(Z$1,1,2),FALSE)</f>
        <v>0</v>
      </c>
      <c r="AA206" s="55">
        <f>VLOOKUP($E206,'NI-San_SP'!$C:$AN,MID(AA$1,1,2),FALSE)</f>
        <v>0</v>
      </c>
      <c r="AB206" s="55">
        <f>VLOOKUP($E206,'NI-San_SP'!$C:$AN,MID(AB$1,1,2),FALSE)</f>
        <v>0</v>
      </c>
      <c r="AC206" s="55">
        <f>VLOOKUP($E206,'NI-San_SP'!$C:$AN,MID(AC$1,1,2),FALSE)</f>
        <v>0</v>
      </c>
      <c r="AD206" s="55">
        <f>VLOOKUP($E206,'NI-San_SP'!$C:$AN,MID(AD$1,1,2),FALSE)</f>
        <v>0</v>
      </c>
      <c r="AE206" s="55">
        <f>VLOOKUP($E206,'NI-San_SP'!$C:$AN,MID(AE$1,1,2),FALSE)</f>
        <v>0</v>
      </c>
      <c r="AF206" s="55">
        <f>VLOOKUP($E206,'NI-San_SP'!$C:$AN,MID(AF$1,1,2),FALSE)</f>
        <v>0</v>
      </c>
      <c r="AG206" s="55">
        <f>VLOOKUP($E206,'NI-San_SP'!$C:$AN,MID(AG$1,1,2),FALSE)</f>
        <v>0</v>
      </c>
      <c r="AH206" s="55">
        <f>VLOOKUP($E206,'NI-San_SP'!$C:$AN,MID(AH$1,1,2),FALSE)</f>
        <v>0</v>
      </c>
      <c r="AI206" s="55">
        <f>VLOOKUP($E206,'NI-San_SP'!$C:$AN,MID(AI$1,1,2),FALSE)</f>
        <v>0</v>
      </c>
      <c r="AJ206" s="55">
        <f>VLOOKUP($E206,'NI-San_SP'!$C:$AN,MID(AJ$1,1,2),FALSE)</f>
        <v>0</v>
      </c>
      <c r="AK206" s="55">
        <f>VLOOKUP($E206,'NI-San_SP'!$C:$AN,MID(AK$1,1,2),FALSE)</f>
        <v>0</v>
      </c>
      <c r="AL206" s="55">
        <f>VLOOKUP($E206,'NI-San_SP'!$C:$AN,MID(AL$1,1,2),FALSE)</f>
        <v>0</v>
      </c>
      <c r="AM206" s="56">
        <f>VLOOKUP($E206,'NI-San_SP'!$C:$AN,MID(AM$1,1,2),FALSE)</f>
        <v>0</v>
      </c>
      <c r="AN206" s="30" t="str">
        <f t="shared" si="3"/>
        <v>10206010030020</v>
      </c>
    </row>
    <row r="207" spans="3:40" x14ac:dyDescent="0.25">
      <c r="C207" s="40"/>
      <c r="D207" s="57" t="s">
        <v>795</v>
      </c>
      <c r="E207" s="57" t="s">
        <v>796</v>
      </c>
      <c r="F207" s="58" t="s">
        <v>110</v>
      </c>
      <c r="G207" s="52"/>
      <c r="H207" s="52"/>
      <c r="I207" s="52"/>
      <c r="J207" s="52"/>
      <c r="K207" s="59" t="s">
        <v>79</v>
      </c>
      <c r="L207" s="52"/>
      <c r="M207" s="52"/>
      <c r="N207" s="52"/>
      <c r="O207" s="52"/>
      <c r="P207" s="63" t="s">
        <v>797</v>
      </c>
      <c r="Q207" s="55">
        <f>VLOOKUP(E207,'NI-San_SP'!$C:$AN,12,FALSE)</f>
        <v>40594</v>
      </c>
      <c r="R207" s="55">
        <f>VLOOKUP(E207,'NI-San_SP'!$C:$AN,13,FALSE)</f>
        <v>40594</v>
      </c>
      <c r="S207" s="55"/>
      <c r="T207" s="55"/>
      <c r="U207" s="55">
        <f>VLOOKUP($E207,'NI-San_SP'!$C:$AN,MID(U$1,1,2),FALSE)</f>
        <v>0</v>
      </c>
      <c r="V207" s="55">
        <f>VLOOKUP($E207,'NI-San_SP'!$C:$AN,MID(V$1,1,2),FALSE)</f>
        <v>40594</v>
      </c>
      <c r="W207" s="55">
        <f>VLOOKUP($E207,'NI-San_SP'!$C:$AN,MID(W$1,1,2),FALSE)</f>
        <v>0</v>
      </c>
      <c r="X207" s="55">
        <f>VLOOKUP($E207,'NI-San_SP'!$C:$AN,MID(X$1,1,2),FALSE)</f>
        <v>0</v>
      </c>
      <c r="Y207" s="55">
        <f>VLOOKUP($E207,'NI-San_SP'!$C:$AN,MID(Y$1,1,2),FALSE)</f>
        <v>0</v>
      </c>
      <c r="Z207" s="55">
        <f>VLOOKUP($E207,'NI-San_SP'!$C:$AN,MID(Z$1,1,2),FALSE)</f>
        <v>0</v>
      </c>
      <c r="AA207" s="55">
        <f>VLOOKUP($E207,'NI-San_SP'!$C:$AN,MID(AA$1,1,2),FALSE)</f>
        <v>0</v>
      </c>
      <c r="AB207" s="55">
        <f>VLOOKUP($E207,'NI-San_SP'!$C:$AN,MID(AB$1,1,2),FALSE)</f>
        <v>0</v>
      </c>
      <c r="AC207" s="55">
        <f>VLOOKUP($E207,'NI-San_SP'!$C:$AN,MID(AC$1,1,2),FALSE)</f>
        <v>0</v>
      </c>
      <c r="AD207" s="55">
        <f>VLOOKUP($E207,'NI-San_SP'!$C:$AN,MID(AD$1,1,2),FALSE)</f>
        <v>0</v>
      </c>
      <c r="AE207" s="55">
        <f>VLOOKUP($E207,'NI-San_SP'!$C:$AN,MID(AE$1,1,2),FALSE)</f>
        <v>0</v>
      </c>
      <c r="AF207" s="55">
        <f>VLOOKUP($E207,'NI-San_SP'!$C:$AN,MID(AF$1,1,2),FALSE)</f>
        <v>0</v>
      </c>
      <c r="AG207" s="55">
        <f>VLOOKUP($E207,'NI-San_SP'!$C:$AN,MID(AG$1,1,2),FALSE)</f>
        <v>0</v>
      </c>
      <c r="AH207" s="55">
        <f>VLOOKUP($E207,'NI-San_SP'!$C:$AN,MID(AH$1,1,2),FALSE)</f>
        <v>0</v>
      </c>
      <c r="AI207" s="55">
        <f>VLOOKUP($E207,'NI-San_SP'!$C:$AN,MID(AI$1,1,2),FALSE)</f>
        <v>0</v>
      </c>
      <c r="AJ207" s="55">
        <f>VLOOKUP($E207,'NI-San_SP'!$C:$AN,MID(AJ$1,1,2),FALSE)</f>
        <v>0</v>
      </c>
      <c r="AK207" s="55">
        <f>VLOOKUP($E207,'NI-San_SP'!$C:$AN,MID(AK$1,1,2),FALSE)</f>
        <v>0</v>
      </c>
      <c r="AL207" s="55">
        <f>VLOOKUP($E207,'NI-San_SP'!$C:$AN,MID(AL$1,1,2),FALSE)</f>
        <v>0</v>
      </c>
      <c r="AM207" s="56">
        <f>VLOOKUP($E207,'NI-San_SP'!$C:$AN,MID(AM$1,1,2),FALSE)</f>
        <v>0</v>
      </c>
      <c r="AN207" s="30" t="str">
        <f t="shared" si="3"/>
        <v>10206010040010</v>
      </c>
    </row>
    <row r="208" spans="3:40" x14ac:dyDescent="0.25">
      <c r="C208" s="40"/>
      <c r="D208" s="57" t="s">
        <v>798</v>
      </c>
      <c r="E208" s="57" t="s">
        <v>799</v>
      </c>
      <c r="F208" s="58" t="s">
        <v>110</v>
      </c>
      <c r="G208" s="52"/>
      <c r="H208" s="52"/>
      <c r="I208" s="52"/>
      <c r="J208" s="52"/>
      <c r="K208" s="59" t="s">
        <v>79</v>
      </c>
      <c r="L208" s="52"/>
      <c r="M208" s="52"/>
      <c r="N208" s="52"/>
      <c r="O208" s="52"/>
      <c r="P208" s="63" t="s">
        <v>800</v>
      </c>
      <c r="Q208" s="55">
        <f>VLOOKUP(E208,'NI-San_SP'!$C:$AN,12,FALSE)</f>
        <v>98121</v>
      </c>
      <c r="R208" s="55">
        <f>VLOOKUP(E208,'NI-San_SP'!$C:$AN,13,FALSE)</f>
        <v>98121</v>
      </c>
      <c r="S208" s="55"/>
      <c r="T208" s="55"/>
      <c r="U208" s="55">
        <f>VLOOKUP($E208,'NI-San_SP'!$C:$AN,MID(U$1,1,2),FALSE)</f>
        <v>0</v>
      </c>
      <c r="V208" s="55">
        <f>VLOOKUP($E208,'NI-San_SP'!$C:$AN,MID(V$1,1,2),FALSE)</f>
        <v>98121</v>
      </c>
      <c r="W208" s="55">
        <f>VLOOKUP($E208,'NI-San_SP'!$C:$AN,MID(W$1,1,2),FALSE)</f>
        <v>0</v>
      </c>
      <c r="X208" s="55">
        <f>VLOOKUP($E208,'NI-San_SP'!$C:$AN,MID(X$1,1,2),FALSE)</f>
        <v>0</v>
      </c>
      <c r="Y208" s="55">
        <f>VLOOKUP($E208,'NI-San_SP'!$C:$AN,MID(Y$1,1,2),FALSE)</f>
        <v>0</v>
      </c>
      <c r="Z208" s="55">
        <f>VLOOKUP($E208,'NI-San_SP'!$C:$AN,MID(Z$1,1,2),FALSE)</f>
        <v>0</v>
      </c>
      <c r="AA208" s="55">
        <f>VLOOKUP($E208,'NI-San_SP'!$C:$AN,MID(AA$1,1,2),FALSE)</f>
        <v>0</v>
      </c>
      <c r="AB208" s="55">
        <f>VLOOKUP($E208,'NI-San_SP'!$C:$AN,MID(AB$1,1,2),FALSE)</f>
        <v>0</v>
      </c>
      <c r="AC208" s="55">
        <f>VLOOKUP($E208,'NI-San_SP'!$C:$AN,MID(AC$1,1,2),FALSE)</f>
        <v>0</v>
      </c>
      <c r="AD208" s="55">
        <f>VLOOKUP($E208,'NI-San_SP'!$C:$AN,MID(AD$1,1,2),FALSE)</f>
        <v>0</v>
      </c>
      <c r="AE208" s="55">
        <f>VLOOKUP($E208,'NI-San_SP'!$C:$AN,MID(AE$1,1,2),FALSE)</f>
        <v>0</v>
      </c>
      <c r="AF208" s="55">
        <f>VLOOKUP($E208,'NI-San_SP'!$C:$AN,MID(AF$1,1,2),FALSE)</f>
        <v>0</v>
      </c>
      <c r="AG208" s="55">
        <f>VLOOKUP($E208,'NI-San_SP'!$C:$AN,MID(AG$1,1,2),FALSE)</f>
        <v>0</v>
      </c>
      <c r="AH208" s="55">
        <f>VLOOKUP($E208,'NI-San_SP'!$C:$AN,MID(AH$1,1,2),FALSE)</f>
        <v>0</v>
      </c>
      <c r="AI208" s="55">
        <f>VLOOKUP($E208,'NI-San_SP'!$C:$AN,MID(AI$1,1,2),FALSE)</f>
        <v>0</v>
      </c>
      <c r="AJ208" s="55">
        <f>VLOOKUP($E208,'NI-San_SP'!$C:$AN,MID(AJ$1,1,2),FALSE)</f>
        <v>0</v>
      </c>
      <c r="AK208" s="55">
        <f>VLOOKUP($E208,'NI-San_SP'!$C:$AN,MID(AK$1,1,2),FALSE)</f>
        <v>0</v>
      </c>
      <c r="AL208" s="55">
        <f>VLOOKUP($E208,'NI-San_SP'!$C:$AN,MID(AL$1,1,2),FALSE)</f>
        <v>0</v>
      </c>
      <c r="AM208" s="56">
        <f>VLOOKUP($E208,'NI-San_SP'!$C:$AN,MID(AM$1,1,2),FALSE)</f>
        <v>0</v>
      </c>
      <c r="AN208" s="30" t="str">
        <f t="shared" si="3"/>
        <v>10206010040020</v>
      </c>
    </row>
    <row r="209" spans="3:40" x14ac:dyDescent="0.25">
      <c r="C209" s="40"/>
      <c r="D209" s="57" t="s">
        <v>801</v>
      </c>
      <c r="E209" s="57" t="s">
        <v>802</v>
      </c>
      <c r="F209" s="58" t="s">
        <v>110</v>
      </c>
      <c r="G209" s="52"/>
      <c r="H209" s="52"/>
      <c r="I209" s="52"/>
      <c r="J209" s="52"/>
      <c r="K209" s="59" t="s">
        <v>79</v>
      </c>
      <c r="L209" s="52"/>
      <c r="M209" s="52"/>
      <c r="N209" s="52"/>
      <c r="O209" s="52"/>
      <c r="P209" s="63" t="s">
        <v>803</v>
      </c>
      <c r="Q209" s="55">
        <f>VLOOKUP(E209,'NI-San_SP'!$C:$AN,12,FALSE)</f>
        <v>0</v>
      </c>
      <c r="R209" s="55">
        <f>VLOOKUP(E209,'NI-San_SP'!$C:$AN,13,FALSE)</f>
        <v>0</v>
      </c>
      <c r="S209" s="55"/>
      <c r="T209" s="55"/>
      <c r="U209" s="55">
        <f>VLOOKUP($E209,'NI-San_SP'!$C:$AN,MID(U$1,1,2),FALSE)</f>
        <v>0</v>
      </c>
      <c r="V209" s="55">
        <f>VLOOKUP($E209,'NI-San_SP'!$C:$AN,MID(V$1,1,2),FALSE)</f>
        <v>0</v>
      </c>
      <c r="W209" s="55">
        <f>VLOOKUP($E209,'NI-San_SP'!$C:$AN,MID(W$1,1,2),FALSE)</f>
        <v>0</v>
      </c>
      <c r="X209" s="55">
        <f>VLOOKUP($E209,'NI-San_SP'!$C:$AN,MID(X$1,1,2),FALSE)</f>
        <v>0</v>
      </c>
      <c r="Y209" s="55">
        <f>VLOOKUP($E209,'NI-San_SP'!$C:$AN,MID(Y$1,1,2),FALSE)</f>
        <v>0</v>
      </c>
      <c r="Z209" s="55">
        <f>VLOOKUP($E209,'NI-San_SP'!$C:$AN,MID(Z$1,1,2),FALSE)</f>
        <v>0</v>
      </c>
      <c r="AA209" s="55">
        <f>VLOOKUP($E209,'NI-San_SP'!$C:$AN,MID(AA$1,1,2),FALSE)</f>
        <v>0</v>
      </c>
      <c r="AB209" s="55">
        <f>VLOOKUP($E209,'NI-San_SP'!$C:$AN,MID(AB$1,1,2),FALSE)</f>
        <v>0</v>
      </c>
      <c r="AC209" s="55">
        <f>VLOOKUP($E209,'NI-San_SP'!$C:$AN,MID(AC$1,1,2),FALSE)</f>
        <v>0</v>
      </c>
      <c r="AD209" s="55">
        <f>VLOOKUP($E209,'NI-San_SP'!$C:$AN,MID(AD$1,1,2),FALSE)</f>
        <v>0</v>
      </c>
      <c r="AE209" s="55">
        <f>VLOOKUP($E209,'NI-San_SP'!$C:$AN,MID(AE$1,1,2),FALSE)</f>
        <v>0</v>
      </c>
      <c r="AF209" s="55">
        <f>VLOOKUP($E209,'NI-San_SP'!$C:$AN,MID(AF$1,1,2),FALSE)</f>
        <v>0</v>
      </c>
      <c r="AG209" s="55">
        <f>VLOOKUP($E209,'NI-San_SP'!$C:$AN,MID(AG$1,1,2),FALSE)</f>
        <v>0</v>
      </c>
      <c r="AH209" s="55">
        <f>VLOOKUP($E209,'NI-San_SP'!$C:$AN,MID(AH$1,1,2),FALSE)</f>
        <v>0</v>
      </c>
      <c r="AI209" s="55">
        <f>VLOOKUP($E209,'NI-San_SP'!$C:$AN,MID(AI$1,1,2),FALSE)</f>
        <v>0</v>
      </c>
      <c r="AJ209" s="55">
        <f>VLOOKUP($E209,'NI-San_SP'!$C:$AN,MID(AJ$1,1,2),FALSE)</f>
        <v>0</v>
      </c>
      <c r="AK209" s="55">
        <f>VLOOKUP($E209,'NI-San_SP'!$C:$AN,MID(AK$1,1,2),FALSE)</f>
        <v>0</v>
      </c>
      <c r="AL209" s="55">
        <f>VLOOKUP($E209,'NI-San_SP'!$C:$AN,MID(AL$1,1,2),FALSE)</f>
        <v>0</v>
      </c>
      <c r="AM209" s="56">
        <f>VLOOKUP($E209,'NI-San_SP'!$C:$AN,MID(AM$1,1,2),FALSE)</f>
        <v>0</v>
      </c>
      <c r="AN209" s="30" t="str">
        <f t="shared" si="3"/>
        <v>10206010050010</v>
      </c>
    </row>
    <row r="210" spans="3:40" x14ac:dyDescent="0.25">
      <c r="C210" s="40"/>
      <c r="D210" s="57" t="s">
        <v>804</v>
      </c>
      <c r="E210" s="57" t="s">
        <v>805</v>
      </c>
      <c r="F210" s="58" t="s">
        <v>110</v>
      </c>
      <c r="G210" s="52"/>
      <c r="H210" s="52"/>
      <c r="I210" s="52"/>
      <c r="J210" s="52"/>
      <c r="K210" s="59" t="s">
        <v>79</v>
      </c>
      <c r="L210" s="52"/>
      <c r="M210" s="52"/>
      <c r="N210" s="52"/>
      <c r="O210" s="52"/>
      <c r="P210" s="63" t="s">
        <v>806</v>
      </c>
      <c r="Q210" s="55">
        <f>VLOOKUP(E210,'NI-San_SP'!$C:$AN,12,FALSE)</f>
        <v>0</v>
      </c>
      <c r="R210" s="55">
        <f>VLOOKUP(E210,'NI-San_SP'!$C:$AN,13,FALSE)</f>
        <v>0</v>
      </c>
      <c r="S210" s="55"/>
      <c r="T210" s="55"/>
      <c r="U210" s="55">
        <f>VLOOKUP($E210,'NI-San_SP'!$C:$AN,MID(U$1,1,2),FALSE)</f>
        <v>0</v>
      </c>
      <c r="V210" s="55">
        <f>VLOOKUP($E210,'NI-San_SP'!$C:$AN,MID(V$1,1,2),FALSE)</f>
        <v>0</v>
      </c>
      <c r="W210" s="55">
        <f>VLOOKUP($E210,'NI-San_SP'!$C:$AN,MID(W$1,1,2),FALSE)</f>
        <v>0</v>
      </c>
      <c r="X210" s="55">
        <f>VLOOKUP($E210,'NI-San_SP'!$C:$AN,MID(X$1,1,2),FALSE)</f>
        <v>0</v>
      </c>
      <c r="Y210" s="55">
        <f>VLOOKUP($E210,'NI-San_SP'!$C:$AN,MID(Y$1,1,2),FALSE)</f>
        <v>0</v>
      </c>
      <c r="Z210" s="55">
        <f>VLOOKUP($E210,'NI-San_SP'!$C:$AN,MID(Z$1,1,2),FALSE)</f>
        <v>0</v>
      </c>
      <c r="AA210" s="55">
        <f>VLOOKUP($E210,'NI-San_SP'!$C:$AN,MID(AA$1,1,2),FALSE)</f>
        <v>0</v>
      </c>
      <c r="AB210" s="55">
        <f>VLOOKUP($E210,'NI-San_SP'!$C:$AN,MID(AB$1,1,2),FALSE)</f>
        <v>0</v>
      </c>
      <c r="AC210" s="55">
        <f>VLOOKUP($E210,'NI-San_SP'!$C:$AN,MID(AC$1,1,2),FALSE)</f>
        <v>0</v>
      </c>
      <c r="AD210" s="55">
        <f>VLOOKUP($E210,'NI-San_SP'!$C:$AN,MID(AD$1,1,2),FALSE)</f>
        <v>0</v>
      </c>
      <c r="AE210" s="55">
        <f>VLOOKUP($E210,'NI-San_SP'!$C:$AN,MID(AE$1,1,2),FALSE)</f>
        <v>0</v>
      </c>
      <c r="AF210" s="55">
        <f>VLOOKUP($E210,'NI-San_SP'!$C:$AN,MID(AF$1,1,2),FALSE)</f>
        <v>0</v>
      </c>
      <c r="AG210" s="55">
        <f>VLOOKUP($E210,'NI-San_SP'!$C:$AN,MID(AG$1,1,2),FALSE)</f>
        <v>0</v>
      </c>
      <c r="AH210" s="55">
        <f>VLOOKUP($E210,'NI-San_SP'!$C:$AN,MID(AH$1,1,2),FALSE)</f>
        <v>0</v>
      </c>
      <c r="AI210" s="55">
        <f>VLOOKUP($E210,'NI-San_SP'!$C:$AN,MID(AI$1,1,2),FALSE)</f>
        <v>0</v>
      </c>
      <c r="AJ210" s="55">
        <f>VLOOKUP($E210,'NI-San_SP'!$C:$AN,MID(AJ$1,1,2),FALSE)</f>
        <v>0</v>
      </c>
      <c r="AK210" s="55">
        <f>VLOOKUP($E210,'NI-San_SP'!$C:$AN,MID(AK$1,1,2),FALSE)</f>
        <v>0</v>
      </c>
      <c r="AL210" s="55">
        <f>VLOOKUP($E210,'NI-San_SP'!$C:$AN,MID(AL$1,1,2),FALSE)</f>
        <v>0</v>
      </c>
      <c r="AM210" s="56">
        <f>VLOOKUP($E210,'NI-San_SP'!$C:$AN,MID(AM$1,1,2),FALSE)</f>
        <v>0</v>
      </c>
      <c r="AN210" s="30" t="str">
        <f t="shared" si="3"/>
        <v>10206010050020</v>
      </c>
    </row>
    <row r="211" spans="3:40" x14ac:dyDescent="0.25">
      <c r="C211" s="40"/>
      <c r="D211" s="57" t="s">
        <v>807</v>
      </c>
      <c r="E211" s="57" t="s">
        <v>808</v>
      </c>
      <c r="F211" s="58" t="s">
        <v>110</v>
      </c>
      <c r="G211" s="52"/>
      <c r="H211" s="52"/>
      <c r="I211" s="52" t="s">
        <v>809</v>
      </c>
      <c r="J211" s="52" t="s">
        <v>809</v>
      </c>
      <c r="K211" s="59" t="s">
        <v>111</v>
      </c>
      <c r="L211" s="62" t="s">
        <v>810</v>
      </c>
      <c r="M211" s="52"/>
      <c r="N211" s="52"/>
      <c r="O211" s="52"/>
      <c r="P211" s="54" t="s">
        <v>811</v>
      </c>
      <c r="Q211" s="55">
        <f>VLOOKUP(E211,'NI-San_SP'!$C:$AN,12,FALSE)</f>
        <v>930515</v>
      </c>
      <c r="R211" s="55">
        <f>VLOOKUP(E211,'NI-San_SP'!$C:$AN,13,FALSE)</f>
        <v>930515</v>
      </c>
      <c r="S211" s="55"/>
      <c r="T211" s="55"/>
      <c r="U211" s="55">
        <f>VLOOKUP($E211,'NI-San_SP'!$C:$AN,MID(U$1,1,2),FALSE)</f>
        <v>0</v>
      </c>
      <c r="V211" s="55">
        <f>VLOOKUP($E211,'NI-San_SP'!$C:$AN,MID(V$1,1,2),FALSE)</f>
        <v>930515</v>
      </c>
      <c r="W211" s="55">
        <f>VLOOKUP($E211,'NI-San_SP'!$C:$AN,MID(W$1,1,2),FALSE)</f>
        <v>0</v>
      </c>
      <c r="X211" s="55">
        <f>VLOOKUP($E211,'NI-San_SP'!$C:$AN,MID(X$1,1,2),FALSE)</f>
        <v>0</v>
      </c>
      <c r="Y211" s="55">
        <f>VLOOKUP($E211,'NI-San_SP'!$C:$AN,MID(Y$1,1,2),FALSE)</f>
        <v>0</v>
      </c>
      <c r="Z211" s="55">
        <f>VLOOKUP($E211,'NI-San_SP'!$C:$AN,MID(Z$1,1,2),FALSE)</f>
        <v>0</v>
      </c>
      <c r="AA211" s="55">
        <f>VLOOKUP($E211,'NI-San_SP'!$C:$AN,MID(AA$1,1,2),FALSE)</f>
        <v>0</v>
      </c>
      <c r="AB211" s="55">
        <f>VLOOKUP($E211,'NI-San_SP'!$C:$AN,MID(AB$1,1,2),FALSE)</f>
        <v>0</v>
      </c>
      <c r="AC211" s="55">
        <f>VLOOKUP($E211,'NI-San_SP'!$C:$AN,MID(AC$1,1,2),FALSE)</f>
        <v>0</v>
      </c>
      <c r="AD211" s="55">
        <f>VLOOKUP($E211,'NI-San_SP'!$C:$AN,MID(AD$1,1,2),FALSE)</f>
        <v>0</v>
      </c>
      <c r="AE211" s="55">
        <f>VLOOKUP($E211,'NI-San_SP'!$C:$AN,MID(AE$1,1,2),FALSE)</f>
        <v>0</v>
      </c>
      <c r="AF211" s="55">
        <f>VLOOKUP($E211,'NI-San_SP'!$C:$AN,MID(AF$1,1,2),FALSE)</f>
        <v>0</v>
      </c>
      <c r="AG211" s="55">
        <f>VLOOKUP($E211,'NI-San_SP'!$C:$AN,MID(AG$1,1,2),FALSE)</f>
        <v>0</v>
      </c>
      <c r="AH211" s="55">
        <f>VLOOKUP($E211,'NI-San_SP'!$C:$AN,MID(AH$1,1,2),FALSE)</f>
        <v>0</v>
      </c>
      <c r="AI211" s="55">
        <f>VLOOKUP($E211,'NI-San_SP'!$C:$AN,MID(AI$1,1,2),FALSE)</f>
        <v>0</v>
      </c>
      <c r="AJ211" s="55">
        <f>VLOOKUP($E211,'NI-San_SP'!$C:$AN,MID(AJ$1,1,2),FALSE)</f>
        <v>0</v>
      </c>
      <c r="AK211" s="55">
        <f>VLOOKUP($E211,'NI-San_SP'!$C:$AN,MID(AK$1,1,2),FALSE)</f>
        <v>0</v>
      </c>
      <c r="AL211" s="55">
        <f>VLOOKUP($E211,'NI-San_SP'!$C:$AN,MID(AL$1,1,2),FALSE)</f>
        <v>0</v>
      </c>
      <c r="AM211" s="56">
        <f>VLOOKUP($E211,'NI-San_SP'!$C:$AN,MID(AM$1,1,2),FALSE)</f>
        <v>0</v>
      </c>
      <c r="AN211" s="30" t="str">
        <f t="shared" si="3"/>
        <v>10206020000000</v>
      </c>
    </row>
    <row r="212" spans="3:40" x14ac:dyDescent="0.25">
      <c r="C212" s="40"/>
      <c r="D212" s="57" t="s">
        <v>812</v>
      </c>
      <c r="E212" s="57" t="s">
        <v>813</v>
      </c>
      <c r="F212" s="58" t="s">
        <v>110</v>
      </c>
      <c r="G212" s="52"/>
      <c r="H212" s="52"/>
      <c r="I212" s="52"/>
      <c r="J212" s="52"/>
      <c r="K212" s="59" t="s">
        <v>79</v>
      </c>
      <c r="L212" s="52"/>
      <c r="M212" s="52"/>
      <c r="N212" s="52"/>
      <c r="O212" s="52"/>
      <c r="P212" s="63" t="s">
        <v>814</v>
      </c>
      <c r="Q212" s="55">
        <f>VLOOKUP(E212,'NI-San_SP'!$C:$AN,12,FALSE)</f>
        <v>383068</v>
      </c>
      <c r="R212" s="55">
        <f>VLOOKUP(E212,'NI-San_SP'!$C:$AN,13,FALSE)</f>
        <v>383068</v>
      </c>
      <c r="S212" s="55"/>
      <c r="T212" s="55"/>
      <c r="U212" s="55">
        <f>VLOOKUP($E212,'NI-San_SP'!$C:$AN,MID(U$1,1,2),FALSE)</f>
        <v>0</v>
      </c>
      <c r="V212" s="55">
        <f>VLOOKUP($E212,'NI-San_SP'!$C:$AN,MID(V$1,1,2),FALSE)</f>
        <v>383068</v>
      </c>
      <c r="W212" s="55">
        <f>VLOOKUP($E212,'NI-San_SP'!$C:$AN,MID(W$1,1,2),FALSE)</f>
        <v>0</v>
      </c>
      <c r="X212" s="55">
        <f>VLOOKUP($E212,'NI-San_SP'!$C:$AN,MID(X$1,1,2),FALSE)</f>
        <v>0</v>
      </c>
      <c r="Y212" s="55">
        <f>VLOOKUP($E212,'NI-San_SP'!$C:$AN,MID(Y$1,1,2),FALSE)</f>
        <v>0</v>
      </c>
      <c r="Z212" s="55">
        <f>VLOOKUP($E212,'NI-San_SP'!$C:$AN,MID(Z$1,1,2),FALSE)</f>
        <v>0</v>
      </c>
      <c r="AA212" s="55">
        <f>VLOOKUP($E212,'NI-San_SP'!$C:$AN,MID(AA$1,1,2),FALSE)</f>
        <v>0</v>
      </c>
      <c r="AB212" s="55">
        <f>VLOOKUP($E212,'NI-San_SP'!$C:$AN,MID(AB$1,1,2),FALSE)</f>
        <v>0</v>
      </c>
      <c r="AC212" s="55">
        <f>VLOOKUP($E212,'NI-San_SP'!$C:$AN,MID(AC$1,1,2),FALSE)</f>
        <v>0</v>
      </c>
      <c r="AD212" s="55">
        <f>VLOOKUP($E212,'NI-San_SP'!$C:$AN,MID(AD$1,1,2),FALSE)</f>
        <v>0</v>
      </c>
      <c r="AE212" s="55">
        <f>VLOOKUP($E212,'NI-San_SP'!$C:$AN,MID(AE$1,1,2),FALSE)</f>
        <v>0</v>
      </c>
      <c r="AF212" s="55">
        <f>VLOOKUP($E212,'NI-San_SP'!$C:$AN,MID(AF$1,1,2),FALSE)</f>
        <v>0</v>
      </c>
      <c r="AG212" s="55">
        <f>VLOOKUP($E212,'NI-San_SP'!$C:$AN,MID(AG$1,1,2),FALSE)</f>
        <v>0</v>
      </c>
      <c r="AH212" s="55">
        <f>VLOOKUP($E212,'NI-San_SP'!$C:$AN,MID(AH$1,1,2),FALSE)</f>
        <v>0</v>
      </c>
      <c r="AI212" s="55">
        <f>VLOOKUP($E212,'NI-San_SP'!$C:$AN,MID(AI$1,1,2),FALSE)</f>
        <v>0</v>
      </c>
      <c r="AJ212" s="55">
        <f>VLOOKUP($E212,'NI-San_SP'!$C:$AN,MID(AJ$1,1,2),FALSE)</f>
        <v>0</v>
      </c>
      <c r="AK212" s="55">
        <f>VLOOKUP($E212,'NI-San_SP'!$C:$AN,MID(AK$1,1,2),FALSE)</f>
        <v>0</v>
      </c>
      <c r="AL212" s="55">
        <f>VLOOKUP($E212,'NI-San_SP'!$C:$AN,MID(AL$1,1,2),FALSE)</f>
        <v>0</v>
      </c>
      <c r="AM212" s="56">
        <f>VLOOKUP($E212,'NI-San_SP'!$C:$AN,MID(AM$1,1,2),FALSE)</f>
        <v>0</v>
      </c>
      <c r="AN212" s="30" t="str">
        <f t="shared" si="3"/>
        <v>10206020010010</v>
      </c>
    </row>
    <row r="213" spans="3:40" x14ac:dyDescent="0.25">
      <c r="C213" s="40"/>
      <c r="D213" s="57" t="s">
        <v>815</v>
      </c>
      <c r="E213" s="57" t="s">
        <v>816</v>
      </c>
      <c r="F213" s="58" t="s">
        <v>110</v>
      </c>
      <c r="G213" s="52"/>
      <c r="H213" s="52"/>
      <c r="I213" s="52"/>
      <c r="J213" s="52"/>
      <c r="K213" s="59" t="s">
        <v>79</v>
      </c>
      <c r="L213" s="52"/>
      <c r="M213" s="52"/>
      <c r="N213" s="52"/>
      <c r="O213" s="52"/>
      <c r="P213" s="63" t="s">
        <v>817</v>
      </c>
      <c r="Q213" s="55">
        <f>VLOOKUP(E213,'NI-San_SP'!$C:$AN,12,FALSE)</f>
        <v>41775</v>
      </c>
      <c r="R213" s="55">
        <f>VLOOKUP(E213,'NI-San_SP'!$C:$AN,13,FALSE)</f>
        <v>41775</v>
      </c>
      <c r="S213" s="55"/>
      <c r="T213" s="55"/>
      <c r="U213" s="55">
        <f>VLOOKUP($E213,'NI-San_SP'!$C:$AN,MID(U$1,1,2),FALSE)</f>
        <v>0</v>
      </c>
      <c r="V213" s="55">
        <f>VLOOKUP($E213,'NI-San_SP'!$C:$AN,MID(V$1,1,2),FALSE)</f>
        <v>41775</v>
      </c>
      <c r="W213" s="55">
        <f>VLOOKUP($E213,'NI-San_SP'!$C:$AN,MID(W$1,1,2),FALSE)</f>
        <v>0</v>
      </c>
      <c r="X213" s="55">
        <f>VLOOKUP($E213,'NI-San_SP'!$C:$AN,MID(X$1,1,2),FALSE)</f>
        <v>0</v>
      </c>
      <c r="Y213" s="55">
        <f>VLOOKUP($E213,'NI-San_SP'!$C:$AN,MID(Y$1,1,2),FALSE)</f>
        <v>0</v>
      </c>
      <c r="Z213" s="55">
        <f>VLOOKUP($E213,'NI-San_SP'!$C:$AN,MID(Z$1,1,2),FALSE)</f>
        <v>0</v>
      </c>
      <c r="AA213" s="55">
        <f>VLOOKUP($E213,'NI-San_SP'!$C:$AN,MID(AA$1,1,2),FALSE)</f>
        <v>0</v>
      </c>
      <c r="AB213" s="55">
        <f>VLOOKUP($E213,'NI-San_SP'!$C:$AN,MID(AB$1,1,2),FALSE)</f>
        <v>0</v>
      </c>
      <c r="AC213" s="55">
        <f>VLOOKUP($E213,'NI-San_SP'!$C:$AN,MID(AC$1,1,2),FALSE)</f>
        <v>0</v>
      </c>
      <c r="AD213" s="55">
        <f>VLOOKUP($E213,'NI-San_SP'!$C:$AN,MID(AD$1,1,2),FALSE)</f>
        <v>0</v>
      </c>
      <c r="AE213" s="55">
        <f>VLOOKUP($E213,'NI-San_SP'!$C:$AN,MID(AE$1,1,2),FALSE)</f>
        <v>0</v>
      </c>
      <c r="AF213" s="55">
        <f>VLOOKUP($E213,'NI-San_SP'!$C:$AN,MID(AF$1,1,2),FALSE)</f>
        <v>0</v>
      </c>
      <c r="AG213" s="55">
        <f>VLOOKUP($E213,'NI-San_SP'!$C:$AN,MID(AG$1,1,2),FALSE)</f>
        <v>0</v>
      </c>
      <c r="AH213" s="55">
        <f>VLOOKUP($E213,'NI-San_SP'!$C:$AN,MID(AH$1,1,2),FALSE)</f>
        <v>0</v>
      </c>
      <c r="AI213" s="55">
        <f>VLOOKUP($E213,'NI-San_SP'!$C:$AN,MID(AI$1,1,2),FALSE)</f>
        <v>0</v>
      </c>
      <c r="AJ213" s="55">
        <f>VLOOKUP($E213,'NI-San_SP'!$C:$AN,MID(AJ$1,1,2),FALSE)</f>
        <v>0</v>
      </c>
      <c r="AK213" s="55">
        <f>VLOOKUP($E213,'NI-San_SP'!$C:$AN,MID(AK$1,1,2),FALSE)</f>
        <v>0</v>
      </c>
      <c r="AL213" s="55">
        <f>VLOOKUP($E213,'NI-San_SP'!$C:$AN,MID(AL$1,1,2),FALSE)</f>
        <v>0</v>
      </c>
      <c r="AM213" s="56">
        <f>VLOOKUP($E213,'NI-San_SP'!$C:$AN,MID(AM$1,1,2),FALSE)</f>
        <v>0</v>
      </c>
      <c r="AN213" s="30" t="str">
        <f t="shared" si="3"/>
        <v>10206020010020</v>
      </c>
    </row>
    <row r="214" spans="3:40" x14ac:dyDescent="0.25">
      <c r="C214" s="40"/>
      <c r="D214" s="57" t="s">
        <v>818</v>
      </c>
      <c r="E214" s="57" t="s">
        <v>819</v>
      </c>
      <c r="F214" s="58" t="s">
        <v>110</v>
      </c>
      <c r="G214" s="52"/>
      <c r="H214" s="52"/>
      <c r="I214" s="52"/>
      <c r="J214" s="52"/>
      <c r="K214" s="59" t="s">
        <v>79</v>
      </c>
      <c r="L214" s="52"/>
      <c r="M214" s="52"/>
      <c r="N214" s="52"/>
      <c r="O214" s="52"/>
      <c r="P214" s="63" t="s">
        <v>820</v>
      </c>
      <c r="Q214" s="55">
        <f>VLOOKUP(E214,'NI-San_SP'!$C:$AN,12,FALSE)</f>
        <v>232253</v>
      </c>
      <c r="R214" s="55">
        <f>VLOOKUP(E214,'NI-San_SP'!$C:$AN,13,FALSE)</f>
        <v>232253</v>
      </c>
      <c r="S214" s="55"/>
      <c r="T214" s="55"/>
      <c r="U214" s="55">
        <f>VLOOKUP($E214,'NI-San_SP'!$C:$AN,MID(U$1,1,2),FALSE)</f>
        <v>0</v>
      </c>
      <c r="V214" s="55">
        <f>VLOOKUP($E214,'NI-San_SP'!$C:$AN,MID(V$1,1,2),FALSE)</f>
        <v>232253</v>
      </c>
      <c r="W214" s="55">
        <f>VLOOKUP($E214,'NI-San_SP'!$C:$AN,MID(W$1,1,2),FALSE)</f>
        <v>0</v>
      </c>
      <c r="X214" s="55">
        <f>VLOOKUP($E214,'NI-San_SP'!$C:$AN,MID(X$1,1,2),FALSE)</f>
        <v>0</v>
      </c>
      <c r="Y214" s="55">
        <f>VLOOKUP($E214,'NI-San_SP'!$C:$AN,MID(Y$1,1,2),FALSE)</f>
        <v>0</v>
      </c>
      <c r="Z214" s="55">
        <f>VLOOKUP($E214,'NI-San_SP'!$C:$AN,MID(Z$1,1,2),FALSE)</f>
        <v>0</v>
      </c>
      <c r="AA214" s="55">
        <f>VLOOKUP($E214,'NI-San_SP'!$C:$AN,MID(AA$1,1,2),FALSE)</f>
        <v>0</v>
      </c>
      <c r="AB214" s="55">
        <f>VLOOKUP($E214,'NI-San_SP'!$C:$AN,MID(AB$1,1,2),FALSE)</f>
        <v>0</v>
      </c>
      <c r="AC214" s="55">
        <f>VLOOKUP($E214,'NI-San_SP'!$C:$AN,MID(AC$1,1,2),FALSE)</f>
        <v>0</v>
      </c>
      <c r="AD214" s="55">
        <f>VLOOKUP($E214,'NI-San_SP'!$C:$AN,MID(AD$1,1,2),FALSE)</f>
        <v>0</v>
      </c>
      <c r="AE214" s="55">
        <f>VLOOKUP($E214,'NI-San_SP'!$C:$AN,MID(AE$1,1,2),FALSE)</f>
        <v>0</v>
      </c>
      <c r="AF214" s="55">
        <f>VLOOKUP($E214,'NI-San_SP'!$C:$AN,MID(AF$1,1,2),FALSE)</f>
        <v>0</v>
      </c>
      <c r="AG214" s="55">
        <f>VLOOKUP($E214,'NI-San_SP'!$C:$AN,MID(AG$1,1,2),FALSE)</f>
        <v>0</v>
      </c>
      <c r="AH214" s="55">
        <f>VLOOKUP($E214,'NI-San_SP'!$C:$AN,MID(AH$1,1,2),FALSE)</f>
        <v>0</v>
      </c>
      <c r="AI214" s="55">
        <f>VLOOKUP($E214,'NI-San_SP'!$C:$AN,MID(AI$1,1,2),FALSE)</f>
        <v>0</v>
      </c>
      <c r="AJ214" s="55">
        <f>VLOOKUP($E214,'NI-San_SP'!$C:$AN,MID(AJ$1,1,2),FALSE)</f>
        <v>0</v>
      </c>
      <c r="AK214" s="55">
        <f>VLOOKUP($E214,'NI-San_SP'!$C:$AN,MID(AK$1,1,2),FALSE)</f>
        <v>0</v>
      </c>
      <c r="AL214" s="55">
        <f>VLOOKUP($E214,'NI-San_SP'!$C:$AN,MID(AL$1,1,2),FALSE)</f>
        <v>0</v>
      </c>
      <c r="AM214" s="56">
        <f>VLOOKUP($E214,'NI-San_SP'!$C:$AN,MID(AM$1,1,2),FALSE)</f>
        <v>0</v>
      </c>
      <c r="AN214" s="30" t="str">
        <f t="shared" si="3"/>
        <v>10206020020010</v>
      </c>
    </row>
    <row r="215" spans="3:40" x14ac:dyDescent="0.25">
      <c r="C215" s="40"/>
      <c r="D215" s="57" t="s">
        <v>821</v>
      </c>
      <c r="E215" s="57" t="s">
        <v>822</v>
      </c>
      <c r="F215" s="58" t="s">
        <v>110</v>
      </c>
      <c r="G215" s="52"/>
      <c r="H215" s="52"/>
      <c r="I215" s="52"/>
      <c r="J215" s="52"/>
      <c r="K215" s="59" t="s">
        <v>79</v>
      </c>
      <c r="L215" s="52"/>
      <c r="M215" s="52"/>
      <c r="N215" s="52"/>
      <c r="O215" s="52"/>
      <c r="P215" s="63" t="s">
        <v>823</v>
      </c>
      <c r="Q215" s="55">
        <f>VLOOKUP(E215,'NI-San_SP'!$C:$AN,12,FALSE)</f>
        <v>134704</v>
      </c>
      <c r="R215" s="55">
        <f>VLOOKUP(E215,'NI-San_SP'!$C:$AN,13,FALSE)</f>
        <v>134704</v>
      </c>
      <c r="S215" s="55"/>
      <c r="T215" s="55"/>
      <c r="U215" s="55">
        <f>VLOOKUP($E215,'NI-San_SP'!$C:$AN,MID(U$1,1,2),FALSE)</f>
        <v>0</v>
      </c>
      <c r="V215" s="55">
        <f>VLOOKUP($E215,'NI-San_SP'!$C:$AN,MID(V$1,1,2),FALSE)</f>
        <v>134704</v>
      </c>
      <c r="W215" s="55">
        <f>VLOOKUP($E215,'NI-San_SP'!$C:$AN,MID(W$1,1,2),FALSE)</f>
        <v>0</v>
      </c>
      <c r="X215" s="55">
        <f>VLOOKUP($E215,'NI-San_SP'!$C:$AN,MID(X$1,1,2),FALSE)</f>
        <v>0</v>
      </c>
      <c r="Y215" s="55">
        <f>VLOOKUP($E215,'NI-San_SP'!$C:$AN,MID(Y$1,1,2),FALSE)</f>
        <v>0</v>
      </c>
      <c r="Z215" s="55">
        <f>VLOOKUP($E215,'NI-San_SP'!$C:$AN,MID(Z$1,1,2),FALSE)</f>
        <v>0</v>
      </c>
      <c r="AA215" s="55">
        <f>VLOOKUP($E215,'NI-San_SP'!$C:$AN,MID(AA$1,1,2),FALSE)</f>
        <v>0</v>
      </c>
      <c r="AB215" s="55">
        <f>VLOOKUP($E215,'NI-San_SP'!$C:$AN,MID(AB$1,1,2),FALSE)</f>
        <v>0</v>
      </c>
      <c r="AC215" s="55">
        <f>VLOOKUP($E215,'NI-San_SP'!$C:$AN,MID(AC$1,1,2),FALSE)</f>
        <v>0</v>
      </c>
      <c r="AD215" s="55">
        <f>VLOOKUP($E215,'NI-San_SP'!$C:$AN,MID(AD$1,1,2),FALSE)</f>
        <v>0</v>
      </c>
      <c r="AE215" s="55">
        <f>VLOOKUP($E215,'NI-San_SP'!$C:$AN,MID(AE$1,1,2),FALSE)</f>
        <v>0</v>
      </c>
      <c r="AF215" s="55">
        <f>VLOOKUP($E215,'NI-San_SP'!$C:$AN,MID(AF$1,1,2),FALSE)</f>
        <v>0</v>
      </c>
      <c r="AG215" s="55">
        <f>VLOOKUP($E215,'NI-San_SP'!$C:$AN,MID(AG$1,1,2),FALSE)</f>
        <v>0</v>
      </c>
      <c r="AH215" s="55">
        <f>VLOOKUP($E215,'NI-San_SP'!$C:$AN,MID(AH$1,1,2),FALSE)</f>
        <v>0</v>
      </c>
      <c r="AI215" s="55">
        <f>VLOOKUP($E215,'NI-San_SP'!$C:$AN,MID(AI$1,1,2),FALSE)</f>
        <v>0</v>
      </c>
      <c r="AJ215" s="55">
        <f>VLOOKUP($E215,'NI-San_SP'!$C:$AN,MID(AJ$1,1,2),FALSE)</f>
        <v>0</v>
      </c>
      <c r="AK215" s="55">
        <f>VLOOKUP($E215,'NI-San_SP'!$C:$AN,MID(AK$1,1,2),FALSE)</f>
        <v>0</v>
      </c>
      <c r="AL215" s="55">
        <f>VLOOKUP($E215,'NI-San_SP'!$C:$AN,MID(AL$1,1,2),FALSE)</f>
        <v>0</v>
      </c>
      <c r="AM215" s="56">
        <f>VLOOKUP($E215,'NI-San_SP'!$C:$AN,MID(AM$1,1,2),FALSE)</f>
        <v>0</v>
      </c>
      <c r="AN215" s="30" t="str">
        <f t="shared" si="3"/>
        <v>10206020020020</v>
      </c>
    </row>
    <row r="216" spans="3:40" x14ac:dyDescent="0.25">
      <c r="C216" s="40"/>
      <c r="D216" s="57" t="s">
        <v>824</v>
      </c>
      <c r="E216" s="57" t="s">
        <v>825</v>
      </c>
      <c r="F216" s="58" t="s">
        <v>110</v>
      </c>
      <c r="G216" s="52"/>
      <c r="H216" s="52"/>
      <c r="I216" s="52"/>
      <c r="J216" s="52"/>
      <c r="K216" s="59" t="s">
        <v>79</v>
      </c>
      <c r="L216" s="52"/>
      <c r="M216" s="52"/>
      <c r="N216" s="52"/>
      <c r="O216" s="52"/>
      <c r="P216" s="63" t="s">
        <v>826</v>
      </c>
      <c r="Q216" s="55">
        <f>VLOOKUP(E216,'NI-San_SP'!$C:$AN,12,FALSE)</f>
        <v>0</v>
      </c>
      <c r="R216" s="55">
        <f>VLOOKUP(E216,'NI-San_SP'!$C:$AN,13,FALSE)</f>
        <v>0</v>
      </c>
      <c r="S216" s="55"/>
      <c r="T216" s="55"/>
      <c r="U216" s="55">
        <f>VLOOKUP($E216,'NI-San_SP'!$C:$AN,MID(U$1,1,2),FALSE)</f>
        <v>0</v>
      </c>
      <c r="V216" s="55">
        <f>VLOOKUP($E216,'NI-San_SP'!$C:$AN,MID(V$1,1,2),FALSE)</f>
        <v>0</v>
      </c>
      <c r="W216" s="55">
        <f>VLOOKUP($E216,'NI-San_SP'!$C:$AN,MID(W$1,1,2),FALSE)</f>
        <v>0</v>
      </c>
      <c r="X216" s="55">
        <f>VLOOKUP($E216,'NI-San_SP'!$C:$AN,MID(X$1,1,2),FALSE)</f>
        <v>0</v>
      </c>
      <c r="Y216" s="55">
        <f>VLOOKUP($E216,'NI-San_SP'!$C:$AN,MID(Y$1,1,2),FALSE)</f>
        <v>0</v>
      </c>
      <c r="Z216" s="55">
        <f>VLOOKUP($E216,'NI-San_SP'!$C:$AN,MID(Z$1,1,2),FALSE)</f>
        <v>0</v>
      </c>
      <c r="AA216" s="55">
        <f>VLOOKUP($E216,'NI-San_SP'!$C:$AN,MID(AA$1,1,2),FALSE)</f>
        <v>0</v>
      </c>
      <c r="AB216" s="55">
        <f>VLOOKUP($E216,'NI-San_SP'!$C:$AN,MID(AB$1,1,2),FALSE)</f>
        <v>0</v>
      </c>
      <c r="AC216" s="55">
        <f>VLOOKUP($E216,'NI-San_SP'!$C:$AN,MID(AC$1,1,2),FALSE)</f>
        <v>0</v>
      </c>
      <c r="AD216" s="55">
        <f>VLOOKUP($E216,'NI-San_SP'!$C:$AN,MID(AD$1,1,2),FALSE)</f>
        <v>0</v>
      </c>
      <c r="AE216" s="55">
        <f>VLOOKUP($E216,'NI-San_SP'!$C:$AN,MID(AE$1,1,2),FALSE)</f>
        <v>0</v>
      </c>
      <c r="AF216" s="55">
        <f>VLOOKUP($E216,'NI-San_SP'!$C:$AN,MID(AF$1,1,2),FALSE)</f>
        <v>0</v>
      </c>
      <c r="AG216" s="55">
        <f>VLOOKUP($E216,'NI-San_SP'!$C:$AN,MID(AG$1,1,2),FALSE)</f>
        <v>0</v>
      </c>
      <c r="AH216" s="55">
        <f>VLOOKUP($E216,'NI-San_SP'!$C:$AN,MID(AH$1,1,2),FALSE)</f>
        <v>0</v>
      </c>
      <c r="AI216" s="55">
        <f>VLOOKUP($E216,'NI-San_SP'!$C:$AN,MID(AI$1,1,2),FALSE)</f>
        <v>0</v>
      </c>
      <c r="AJ216" s="55">
        <f>VLOOKUP($E216,'NI-San_SP'!$C:$AN,MID(AJ$1,1,2),FALSE)</f>
        <v>0</v>
      </c>
      <c r="AK216" s="55">
        <f>VLOOKUP($E216,'NI-San_SP'!$C:$AN,MID(AK$1,1,2),FALSE)</f>
        <v>0</v>
      </c>
      <c r="AL216" s="55">
        <f>VLOOKUP($E216,'NI-San_SP'!$C:$AN,MID(AL$1,1,2),FALSE)</f>
        <v>0</v>
      </c>
      <c r="AM216" s="56">
        <f>VLOOKUP($E216,'NI-San_SP'!$C:$AN,MID(AM$1,1,2),FALSE)</f>
        <v>0</v>
      </c>
      <c r="AN216" s="30" t="str">
        <f t="shared" si="3"/>
        <v>10206020030010</v>
      </c>
    </row>
    <row r="217" spans="3:40" x14ac:dyDescent="0.25">
      <c r="C217" s="40"/>
      <c r="D217" s="57" t="s">
        <v>827</v>
      </c>
      <c r="E217" s="57" t="s">
        <v>828</v>
      </c>
      <c r="F217" s="58" t="s">
        <v>110</v>
      </c>
      <c r="G217" s="52"/>
      <c r="H217" s="52"/>
      <c r="I217" s="52"/>
      <c r="J217" s="52"/>
      <c r="K217" s="59" t="s">
        <v>79</v>
      </c>
      <c r="L217" s="52"/>
      <c r="M217" s="52"/>
      <c r="N217" s="52"/>
      <c r="O217" s="52"/>
      <c r="P217" s="63" t="s">
        <v>829</v>
      </c>
      <c r="Q217" s="55">
        <f>VLOOKUP(E217,'NI-San_SP'!$C:$AN,12,FALSE)</f>
        <v>0</v>
      </c>
      <c r="R217" s="55">
        <f>VLOOKUP(E217,'NI-San_SP'!$C:$AN,13,FALSE)</f>
        <v>0</v>
      </c>
      <c r="S217" s="55"/>
      <c r="T217" s="55"/>
      <c r="U217" s="55">
        <f>VLOOKUP($E217,'NI-San_SP'!$C:$AN,MID(U$1,1,2),FALSE)</f>
        <v>0</v>
      </c>
      <c r="V217" s="55">
        <f>VLOOKUP($E217,'NI-San_SP'!$C:$AN,MID(V$1,1,2),FALSE)</f>
        <v>0</v>
      </c>
      <c r="W217" s="55">
        <f>VLOOKUP($E217,'NI-San_SP'!$C:$AN,MID(W$1,1,2),FALSE)</f>
        <v>0</v>
      </c>
      <c r="X217" s="55">
        <f>VLOOKUP($E217,'NI-San_SP'!$C:$AN,MID(X$1,1,2),FALSE)</f>
        <v>0</v>
      </c>
      <c r="Y217" s="55">
        <f>VLOOKUP($E217,'NI-San_SP'!$C:$AN,MID(Y$1,1,2),FALSE)</f>
        <v>0</v>
      </c>
      <c r="Z217" s="55">
        <f>VLOOKUP($E217,'NI-San_SP'!$C:$AN,MID(Z$1,1,2),FALSE)</f>
        <v>0</v>
      </c>
      <c r="AA217" s="55">
        <f>VLOOKUP($E217,'NI-San_SP'!$C:$AN,MID(AA$1,1,2),FALSE)</f>
        <v>0</v>
      </c>
      <c r="AB217" s="55">
        <f>VLOOKUP($E217,'NI-San_SP'!$C:$AN,MID(AB$1,1,2),FALSE)</f>
        <v>0</v>
      </c>
      <c r="AC217" s="55">
        <f>VLOOKUP($E217,'NI-San_SP'!$C:$AN,MID(AC$1,1,2),FALSE)</f>
        <v>0</v>
      </c>
      <c r="AD217" s="55">
        <f>VLOOKUP($E217,'NI-San_SP'!$C:$AN,MID(AD$1,1,2),FALSE)</f>
        <v>0</v>
      </c>
      <c r="AE217" s="55">
        <f>VLOOKUP($E217,'NI-San_SP'!$C:$AN,MID(AE$1,1,2),FALSE)</f>
        <v>0</v>
      </c>
      <c r="AF217" s="55">
        <f>VLOOKUP($E217,'NI-San_SP'!$C:$AN,MID(AF$1,1,2),FALSE)</f>
        <v>0</v>
      </c>
      <c r="AG217" s="55">
        <f>VLOOKUP($E217,'NI-San_SP'!$C:$AN,MID(AG$1,1,2),FALSE)</f>
        <v>0</v>
      </c>
      <c r="AH217" s="55">
        <f>VLOOKUP($E217,'NI-San_SP'!$C:$AN,MID(AH$1,1,2),FALSE)</f>
        <v>0</v>
      </c>
      <c r="AI217" s="55">
        <f>VLOOKUP($E217,'NI-San_SP'!$C:$AN,MID(AI$1,1,2),FALSE)</f>
        <v>0</v>
      </c>
      <c r="AJ217" s="55">
        <f>VLOOKUP($E217,'NI-San_SP'!$C:$AN,MID(AJ$1,1,2),FALSE)</f>
        <v>0</v>
      </c>
      <c r="AK217" s="55">
        <f>VLOOKUP($E217,'NI-San_SP'!$C:$AN,MID(AK$1,1,2),FALSE)</f>
        <v>0</v>
      </c>
      <c r="AL217" s="55">
        <f>VLOOKUP($E217,'NI-San_SP'!$C:$AN,MID(AL$1,1,2),FALSE)</f>
        <v>0</v>
      </c>
      <c r="AM217" s="56">
        <f>VLOOKUP($E217,'NI-San_SP'!$C:$AN,MID(AM$1,1,2),FALSE)</f>
        <v>0</v>
      </c>
      <c r="AN217" s="30" t="str">
        <f t="shared" si="3"/>
        <v>10206020030020</v>
      </c>
    </row>
    <row r="218" spans="3:40" x14ac:dyDescent="0.25">
      <c r="C218" s="40"/>
      <c r="D218" s="57" t="s">
        <v>830</v>
      </c>
      <c r="E218" s="57" t="s">
        <v>831</v>
      </c>
      <c r="F218" s="58" t="s">
        <v>110</v>
      </c>
      <c r="G218" s="52"/>
      <c r="H218" s="52"/>
      <c r="I218" s="52"/>
      <c r="J218" s="52"/>
      <c r="K218" s="59" t="s">
        <v>79</v>
      </c>
      <c r="L218" s="52"/>
      <c r="M218" s="52"/>
      <c r="N218" s="52"/>
      <c r="O218" s="52"/>
      <c r="P218" s="63" t="s">
        <v>832</v>
      </c>
      <c r="Q218" s="55">
        <f>VLOOKUP(E218,'NI-San_SP'!$C:$AN,12,FALSE)</f>
        <v>40594</v>
      </c>
      <c r="R218" s="55">
        <f>VLOOKUP(E218,'NI-San_SP'!$C:$AN,13,FALSE)</f>
        <v>40594</v>
      </c>
      <c r="S218" s="55"/>
      <c r="T218" s="55"/>
      <c r="U218" s="55">
        <f>VLOOKUP($E218,'NI-San_SP'!$C:$AN,MID(U$1,1,2),FALSE)</f>
        <v>0</v>
      </c>
      <c r="V218" s="55">
        <f>VLOOKUP($E218,'NI-San_SP'!$C:$AN,MID(V$1,1,2),FALSE)</f>
        <v>40594</v>
      </c>
      <c r="W218" s="55">
        <f>VLOOKUP($E218,'NI-San_SP'!$C:$AN,MID(W$1,1,2),FALSE)</f>
        <v>0</v>
      </c>
      <c r="X218" s="55">
        <f>VLOOKUP($E218,'NI-San_SP'!$C:$AN,MID(X$1,1,2),FALSE)</f>
        <v>0</v>
      </c>
      <c r="Y218" s="55">
        <f>VLOOKUP($E218,'NI-San_SP'!$C:$AN,MID(Y$1,1,2),FALSE)</f>
        <v>0</v>
      </c>
      <c r="Z218" s="55">
        <f>VLOOKUP($E218,'NI-San_SP'!$C:$AN,MID(Z$1,1,2),FALSE)</f>
        <v>0</v>
      </c>
      <c r="AA218" s="55">
        <f>VLOOKUP($E218,'NI-San_SP'!$C:$AN,MID(AA$1,1,2),FALSE)</f>
        <v>0</v>
      </c>
      <c r="AB218" s="55">
        <f>VLOOKUP($E218,'NI-San_SP'!$C:$AN,MID(AB$1,1,2),FALSE)</f>
        <v>0</v>
      </c>
      <c r="AC218" s="55">
        <f>VLOOKUP($E218,'NI-San_SP'!$C:$AN,MID(AC$1,1,2),FALSE)</f>
        <v>0</v>
      </c>
      <c r="AD218" s="55">
        <f>VLOOKUP($E218,'NI-San_SP'!$C:$AN,MID(AD$1,1,2),FALSE)</f>
        <v>0</v>
      </c>
      <c r="AE218" s="55">
        <f>VLOOKUP($E218,'NI-San_SP'!$C:$AN,MID(AE$1,1,2),FALSE)</f>
        <v>0</v>
      </c>
      <c r="AF218" s="55">
        <f>VLOOKUP($E218,'NI-San_SP'!$C:$AN,MID(AF$1,1,2),FALSE)</f>
        <v>0</v>
      </c>
      <c r="AG218" s="55">
        <f>VLOOKUP($E218,'NI-San_SP'!$C:$AN,MID(AG$1,1,2),FALSE)</f>
        <v>0</v>
      </c>
      <c r="AH218" s="55">
        <f>VLOOKUP($E218,'NI-San_SP'!$C:$AN,MID(AH$1,1,2),FALSE)</f>
        <v>0</v>
      </c>
      <c r="AI218" s="55">
        <f>VLOOKUP($E218,'NI-San_SP'!$C:$AN,MID(AI$1,1,2),FALSE)</f>
        <v>0</v>
      </c>
      <c r="AJ218" s="55">
        <f>VLOOKUP($E218,'NI-San_SP'!$C:$AN,MID(AJ$1,1,2),FALSE)</f>
        <v>0</v>
      </c>
      <c r="AK218" s="55">
        <f>VLOOKUP($E218,'NI-San_SP'!$C:$AN,MID(AK$1,1,2),FALSE)</f>
        <v>0</v>
      </c>
      <c r="AL218" s="55">
        <f>VLOOKUP($E218,'NI-San_SP'!$C:$AN,MID(AL$1,1,2),FALSE)</f>
        <v>0</v>
      </c>
      <c r="AM218" s="56">
        <f>VLOOKUP($E218,'NI-San_SP'!$C:$AN,MID(AM$1,1,2),FALSE)</f>
        <v>0</v>
      </c>
      <c r="AN218" s="30" t="str">
        <f t="shared" si="3"/>
        <v>10206020040010</v>
      </c>
    </row>
    <row r="219" spans="3:40" x14ac:dyDescent="0.25">
      <c r="C219" s="40"/>
      <c r="D219" s="57" t="s">
        <v>833</v>
      </c>
      <c r="E219" s="57" t="s">
        <v>834</v>
      </c>
      <c r="F219" s="58" t="s">
        <v>110</v>
      </c>
      <c r="G219" s="52"/>
      <c r="H219" s="52"/>
      <c r="I219" s="52"/>
      <c r="J219" s="52"/>
      <c r="K219" s="59" t="s">
        <v>79</v>
      </c>
      <c r="L219" s="52"/>
      <c r="M219" s="52"/>
      <c r="N219" s="52"/>
      <c r="O219" s="52"/>
      <c r="P219" s="63" t="s">
        <v>835</v>
      </c>
      <c r="Q219" s="55">
        <f>VLOOKUP(E219,'NI-San_SP'!$C:$AN,12,FALSE)</f>
        <v>98121</v>
      </c>
      <c r="R219" s="55">
        <f>VLOOKUP(E219,'NI-San_SP'!$C:$AN,13,FALSE)</f>
        <v>98121</v>
      </c>
      <c r="S219" s="55"/>
      <c r="T219" s="55"/>
      <c r="U219" s="55">
        <f>VLOOKUP($E219,'NI-San_SP'!$C:$AN,MID(U$1,1,2),FALSE)</f>
        <v>0</v>
      </c>
      <c r="V219" s="55">
        <f>VLOOKUP($E219,'NI-San_SP'!$C:$AN,MID(V$1,1,2),FALSE)</f>
        <v>98121</v>
      </c>
      <c r="W219" s="55">
        <f>VLOOKUP($E219,'NI-San_SP'!$C:$AN,MID(W$1,1,2),FALSE)</f>
        <v>0</v>
      </c>
      <c r="X219" s="55">
        <f>VLOOKUP($E219,'NI-San_SP'!$C:$AN,MID(X$1,1,2),FALSE)</f>
        <v>0</v>
      </c>
      <c r="Y219" s="55">
        <f>VLOOKUP($E219,'NI-San_SP'!$C:$AN,MID(Y$1,1,2),FALSE)</f>
        <v>0</v>
      </c>
      <c r="Z219" s="55">
        <f>VLOOKUP($E219,'NI-San_SP'!$C:$AN,MID(Z$1,1,2),FALSE)</f>
        <v>0</v>
      </c>
      <c r="AA219" s="55">
        <f>VLOOKUP($E219,'NI-San_SP'!$C:$AN,MID(AA$1,1,2),FALSE)</f>
        <v>0</v>
      </c>
      <c r="AB219" s="55">
        <f>VLOOKUP($E219,'NI-San_SP'!$C:$AN,MID(AB$1,1,2),FALSE)</f>
        <v>0</v>
      </c>
      <c r="AC219" s="55">
        <f>VLOOKUP($E219,'NI-San_SP'!$C:$AN,MID(AC$1,1,2),FALSE)</f>
        <v>0</v>
      </c>
      <c r="AD219" s="55">
        <f>VLOOKUP($E219,'NI-San_SP'!$C:$AN,MID(AD$1,1,2),FALSE)</f>
        <v>0</v>
      </c>
      <c r="AE219" s="55">
        <f>VLOOKUP($E219,'NI-San_SP'!$C:$AN,MID(AE$1,1,2),FALSE)</f>
        <v>0</v>
      </c>
      <c r="AF219" s="55">
        <f>VLOOKUP($E219,'NI-San_SP'!$C:$AN,MID(AF$1,1,2),FALSE)</f>
        <v>0</v>
      </c>
      <c r="AG219" s="55">
        <f>VLOOKUP($E219,'NI-San_SP'!$C:$AN,MID(AG$1,1,2),FALSE)</f>
        <v>0</v>
      </c>
      <c r="AH219" s="55">
        <f>VLOOKUP($E219,'NI-San_SP'!$C:$AN,MID(AH$1,1,2),FALSE)</f>
        <v>0</v>
      </c>
      <c r="AI219" s="55">
        <f>VLOOKUP($E219,'NI-San_SP'!$C:$AN,MID(AI$1,1,2),FALSE)</f>
        <v>0</v>
      </c>
      <c r="AJ219" s="55">
        <f>VLOOKUP($E219,'NI-San_SP'!$C:$AN,MID(AJ$1,1,2),FALSE)</f>
        <v>0</v>
      </c>
      <c r="AK219" s="55">
        <f>VLOOKUP($E219,'NI-San_SP'!$C:$AN,MID(AK$1,1,2),FALSE)</f>
        <v>0</v>
      </c>
      <c r="AL219" s="55">
        <f>VLOOKUP($E219,'NI-San_SP'!$C:$AN,MID(AL$1,1,2),FALSE)</f>
        <v>0</v>
      </c>
      <c r="AM219" s="56">
        <f>VLOOKUP($E219,'NI-San_SP'!$C:$AN,MID(AM$1,1,2),FALSE)</f>
        <v>0</v>
      </c>
      <c r="AN219" s="30" t="str">
        <f t="shared" si="3"/>
        <v>10206020040020</v>
      </c>
    </row>
    <row r="220" spans="3:40" x14ac:dyDescent="0.25">
      <c r="C220" s="40"/>
      <c r="D220" s="57" t="s">
        <v>836</v>
      </c>
      <c r="E220" s="57" t="s">
        <v>837</v>
      </c>
      <c r="F220" s="58" t="s">
        <v>110</v>
      </c>
      <c r="G220" s="52"/>
      <c r="H220" s="52"/>
      <c r="I220" s="52"/>
      <c r="J220" s="52"/>
      <c r="K220" s="59" t="s">
        <v>79</v>
      </c>
      <c r="L220" s="52"/>
      <c r="M220" s="52"/>
      <c r="N220" s="52"/>
      <c r="O220" s="52"/>
      <c r="P220" s="63" t="s">
        <v>838</v>
      </c>
      <c r="Q220" s="55">
        <f>VLOOKUP(E220,'NI-San_SP'!$C:$AN,12,FALSE)</f>
        <v>0</v>
      </c>
      <c r="R220" s="55">
        <f>VLOOKUP(E220,'NI-San_SP'!$C:$AN,13,FALSE)</f>
        <v>0</v>
      </c>
      <c r="S220" s="55"/>
      <c r="T220" s="55"/>
      <c r="U220" s="55">
        <f>VLOOKUP($E220,'NI-San_SP'!$C:$AN,MID(U$1,1,2),FALSE)</f>
        <v>0</v>
      </c>
      <c r="V220" s="55">
        <f>VLOOKUP($E220,'NI-San_SP'!$C:$AN,MID(V$1,1,2),FALSE)</f>
        <v>0</v>
      </c>
      <c r="W220" s="55">
        <f>VLOOKUP($E220,'NI-San_SP'!$C:$AN,MID(W$1,1,2),FALSE)</f>
        <v>0</v>
      </c>
      <c r="X220" s="55">
        <f>VLOOKUP($E220,'NI-San_SP'!$C:$AN,MID(X$1,1,2),FALSE)</f>
        <v>0</v>
      </c>
      <c r="Y220" s="55">
        <f>VLOOKUP($E220,'NI-San_SP'!$C:$AN,MID(Y$1,1,2),FALSE)</f>
        <v>0</v>
      </c>
      <c r="Z220" s="55">
        <f>VLOOKUP($E220,'NI-San_SP'!$C:$AN,MID(Z$1,1,2),FALSE)</f>
        <v>0</v>
      </c>
      <c r="AA220" s="55">
        <f>VLOOKUP($E220,'NI-San_SP'!$C:$AN,MID(AA$1,1,2),FALSE)</f>
        <v>0</v>
      </c>
      <c r="AB220" s="55">
        <f>VLOOKUP($E220,'NI-San_SP'!$C:$AN,MID(AB$1,1,2),FALSE)</f>
        <v>0</v>
      </c>
      <c r="AC220" s="55">
        <f>VLOOKUP($E220,'NI-San_SP'!$C:$AN,MID(AC$1,1,2),FALSE)</f>
        <v>0</v>
      </c>
      <c r="AD220" s="55">
        <f>VLOOKUP($E220,'NI-San_SP'!$C:$AN,MID(AD$1,1,2),FALSE)</f>
        <v>0</v>
      </c>
      <c r="AE220" s="55">
        <f>VLOOKUP($E220,'NI-San_SP'!$C:$AN,MID(AE$1,1,2),FALSE)</f>
        <v>0</v>
      </c>
      <c r="AF220" s="55">
        <f>VLOOKUP($E220,'NI-San_SP'!$C:$AN,MID(AF$1,1,2),FALSE)</f>
        <v>0</v>
      </c>
      <c r="AG220" s="55">
        <f>VLOOKUP($E220,'NI-San_SP'!$C:$AN,MID(AG$1,1,2),FALSE)</f>
        <v>0</v>
      </c>
      <c r="AH220" s="55">
        <f>VLOOKUP($E220,'NI-San_SP'!$C:$AN,MID(AH$1,1,2),FALSE)</f>
        <v>0</v>
      </c>
      <c r="AI220" s="55">
        <f>VLOOKUP($E220,'NI-San_SP'!$C:$AN,MID(AI$1,1,2),FALSE)</f>
        <v>0</v>
      </c>
      <c r="AJ220" s="55">
        <f>VLOOKUP($E220,'NI-San_SP'!$C:$AN,MID(AJ$1,1,2),FALSE)</f>
        <v>0</v>
      </c>
      <c r="AK220" s="55">
        <f>VLOOKUP($E220,'NI-San_SP'!$C:$AN,MID(AK$1,1,2),FALSE)</f>
        <v>0</v>
      </c>
      <c r="AL220" s="55">
        <f>VLOOKUP($E220,'NI-San_SP'!$C:$AN,MID(AL$1,1,2),FALSE)</f>
        <v>0</v>
      </c>
      <c r="AM220" s="56">
        <f>VLOOKUP($E220,'NI-San_SP'!$C:$AN,MID(AM$1,1,2),FALSE)</f>
        <v>0</v>
      </c>
      <c r="AN220" s="30" t="str">
        <f t="shared" si="3"/>
        <v>10206020050010</v>
      </c>
    </row>
    <row r="221" spans="3:40" x14ac:dyDescent="0.25">
      <c r="C221" s="40"/>
      <c r="D221" s="57" t="s">
        <v>839</v>
      </c>
      <c r="E221" s="57" t="s">
        <v>840</v>
      </c>
      <c r="F221" s="58" t="s">
        <v>110</v>
      </c>
      <c r="G221" s="52"/>
      <c r="H221" s="52"/>
      <c r="I221" s="52"/>
      <c r="J221" s="52"/>
      <c r="K221" s="59" t="s">
        <v>79</v>
      </c>
      <c r="L221" s="52"/>
      <c r="M221" s="52"/>
      <c r="N221" s="52"/>
      <c r="O221" s="52"/>
      <c r="P221" s="63" t="s">
        <v>841</v>
      </c>
      <c r="Q221" s="55">
        <f>VLOOKUP(E221,'NI-San_SP'!$C:$AN,12,FALSE)</f>
        <v>0</v>
      </c>
      <c r="R221" s="55">
        <f>VLOOKUP(E221,'NI-San_SP'!$C:$AN,13,FALSE)</f>
        <v>0</v>
      </c>
      <c r="S221" s="55"/>
      <c r="T221" s="55"/>
      <c r="U221" s="55">
        <f>VLOOKUP($E221,'NI-San_SP'!$C:$AN,MID(U$1,1,2),FALSE)</f>
        <v>0</v>
      </c>
      <c r="V221" s="55">
        <f>VLOOKUP($E221,'NI-San_SP'!$C:$AN,MID(V$1,1,2),FALSE)</f>
        <v>0</v>
      </c>
      <c r="W221" s="55">
        <f>VLOOKUP($E221,'NI-San_SP'!$C:$AN,MID(W$1,1,2),FALSE)</f>
        <v>0</v>
      </c>
      <c r="X221" s="55">
        <f>VLOOKUP($E221,'NI-San_SP'!$C:$AN,MID(X$1,1,2),FALSE)</f>
        <v>0</v>
      </c>
      <c r="Y221" s="55">
        <f>VLOOKUP($E221,'NI-San_SP'!$C:$AN,MID(Y$1,1,2),FALSE)</f>
        <v>0</v>
      </c>
      <c r="Z221" s="55">
        <f>VLOOKUP($E221,'NI-San_SP'!$C:$AN,MID(Z$1,1,2),FALSE)</f>
        <v>0</v>
      </c>
      <c r="AA221" s="55">
        <f>VLOOKUP($E221,'NI-San_SP'!$C:$AN,MID(AA$1,1,2),FALSE)</f>
        <v>0</v>
      </c>
      <c r="AB221" s="55">
        <f>VLOOKUP($E221,'NI-San_SP'!$C:$AN,MID(AB$1,1,2),FALSE)</f>
        <v>0</v>
      </c>
      <c r="AC221" s="55">
        <f>VLOOKUP($E221,'NI-San_SP'!$C:$AN,MID(AC$1,1,2),FALSE)</f>
        <v>0</v>
      </c>
      <c r="AD221" s="55">
        <f>VLOOKUP($E221,'NI-San_SP'!$C:$AN,MID(AD$1,1,2),FALSE)</f>
        <v>0</v>
      </c>
      <c r="AE221" s="55">
        <f>VLOOKUP($E221,'NI-San_SP'!$C:$AN,MID(AE$1,1,2),FALSE)</f>
        <v>0</v>
      </c>
      <c r="AF221" s="55">
        <f>VLOOKUP($E221,'NI-San_SP'!$C:$AN,MID(AF$1,1,2),FALSE)</f>
        <v>0</v>
      </c>
      <c r="AG221" s="55">
        <f>VLOOKUP($E221,'NI-San_SP'!$C:$AN,MID(AG$1,1,2),FALSE)</f>
        <v>0</v>
      </c>
      <c r="AH221" s="55">
        <f>VLOOKUP($E221,'NI-San_SP'!$C:$AN,MID(AH$1,1,2),FALSE)</f>
        <v>0</v>
      </c>
      <c r="AI221" s="55">
        <f>VLOOKUP($E221,'NI-San_SP'!$C:$AN,MID(AI$1,1,2),FALSE)</f>
        <v>0</v>
      </c>
      <c r="AJ221" s="55">
        <f>VLOOKUP($E221,'NI-San_SP'!$C:$AN,MID(AJ$1,1,2),FALSE)</f>
        <v>0</v>
      </c>
      <c r="AK221" s="55">
        <f>VLOOKUP($E221,'NI-San_SP'!$C:$AN,MID(AK$1,1,2),FALSE)</f>
        <v>0</v>
      </c>
      <c r="AL221" s="55">
        <f>VLOOKUP($E221,'NI-San_SP'!$C:$AN,MID(AL$1,1,2),FALSE)</f>
        <v>0</v>
      </c>
      <c r="AM221" s="56">
        <f>VLOOKUP($E221,'NI-San_SP'!$C:$AN,MID(AM$1,1,2),FALSE)</f>
        <v>0</v>
      </c>
      <c r="AN221" s="30" t="str">
        <f t="shared" si="3"/>
        <v>10206020050020</v>
      </c>
    </row>
    <row r="222" spans="3:40" x14ac:dyDescent="0.25">
      <c r="C222" s="40"/>
      <c r="D222" s="57" t="s">
        <v>842</v>
      </c>
      <c r="E222" s="57" t="s">
        <v>843</v>
      </c>
      <c r="F222" s="58" t="s">
        <v>110</v>
      </c>
      <c r="G222" s="52"/>
      <c r="H222" s="52"/>
      <c r="I222" s="52" t="s">
        <v>844</v>
      </c>
      <c r="J222" s="52" t="s">
        <v>844</v>
      </c>
      <c r="K222" s="59" t="s">
        <v>111</v>
      </c>
      <c r="L222" s="52"/>
      <c r="M222" s="52"/>
      <c r="N222" s="52"/>
      <c r="O222" s="61" t="s">
        <v>845</v>
      </c>
      <c r="P222" s="60" t="s">
        <v>846</v>
      </c>
      <c r="Q222" s="55">
        <f>VLOOKUP(E222,'NI-San_SP'!$C:$AN,12,FALSE)</f>
        <v>24416</v>
      </c>
      <c r="R222" s="55">
        <f>VLOOKUP(E222,'NI-San_SP'!$C:$AN,13,FALSE)</f>
        <v>113139</v>
      </c>
      <c r="S222" s="55"/>
      <c r="T222" s="55"/>
      <c r="U222" s="55">
        <f>VLOOKUP($E222,'NI-San_SP'!$C:$AN,MID(U$1,1,2),FALSE)</f>
        <v>0</v>
      </c>
      <c r="V222" s="55">
        <f>VLOOKUP($E222,'NI-San_SP'!$C:$AN,MID(V$1,1,2),FALSE)</f>
        <v>0</v>
      </c>
      <c r="W222" s="55">
        <f>VLOOKUP($E222,'NI-San_SP'!$C:$AN,MID(W$1,1,2),FALSE)</f>
        <v>0</v>
      </c>
      <c r="X222" s="55">
        <f>VLOOKUP($E222,'NI-San_SP'!$C:$AN,MID(X$1,1,2),FALSE)</f>
        <v>0</v>
      </c>
      <c r="Y222" s="55">
        <f>VLOOKUP($E222,'NI-San_SP'!$C:$AN,MID(Y$1,1,2),FALSE)</f>
        <v>0</v>
      </c>
      <c r="Z222" s="55">
        <f>VLOOKUP($E222,'NI-San_SP'!$C:$AN,MID(Z$1,1,2),FALSE)</f>
        <v>0</v>
      </c>
      <c r="AA222" s="55">
        <f>VLOOKUP($E222,'NI-San_SP'!$C:$AN,MID(AA$1,1,2),FALSE)</f>
        <v>0</v>
      </c>
      <c r="AB222" s="55">
        <f>VLOOKUP($E222,'NI-San_SP'!$C:$AN,MID(AB$1,1,2),FALSE)</f>
        <v>0</v>
      </c>
      <c r="AC222" s="55">
        <f>VLOOKUP($E222,'NI-San_SP'!$C:$AN,MID(AC$1,1,2),FALSE)</f>
        <v>0</v>
      </c>
      <c r="AD222" s="55">
        <f>VLOOKUP($E222,'NI-San_SP'!$C:$AN,MID(AD$1,1,2),FALSE)</f>
        <v>0</v>
      </c>
      <c r="AE222" s="55">
        <f>VLOOKUP($E222,'NI-San_SP'!$C:$AN,MID(AE$1,1,2),FALSE)</f>
        <v>0</v>
      </c>
      <c r="AF222" s="55">
        <f>VLOOKUP($E222,'NI-San_SP'!$C:$AN,MID(AF$1,1,2),FALSE)</f>
        <v>0</v>
      </c>
      <c r="AG222" s="55">
        <f>VLOOKUP($E222,'NI-San_SP'!$C:$AN,MID(AG$1,1,2),FALSE)</f>
        <v>0</v>
      </c>
      <c r="AH222" s="55">
        <f>VLOOKUP($E222,'NI-San_SP'!$C:$AN,MID(AH$1,1,2),FALSE)</f>
        <v>0</v>
      </c>
      <c r="AI222" s="55">
        <f>VLOOKUP($E222,'NI-San_SP'!$C:$AN,MID(AI$1,1,2),FALSE)</f>
        <v>0</v>
      </c>
      <c r="AJ222" s="55">
        <f>VLOOKUP($E222,'NI-San_SP'!$C:$AN,MID(AJ$1,1,2),FALSE)</f>
        <v>0</v>
      </c>
      <c r="AK222" s="55">
        <f>VLOOKUP($E222,'NI-San_SP'!$C:$AN,MID(AK$1,1,2),FALSE)</f>
        <v>0</v>
      </c>
      <c r="AL222" s="55">
        <f>VLOOKUP($E222,'NI-San_SP'!$C:$AN,MID(AL$1,1,2),FALSE)</f>
        <v>0</v>
      </c>
      <c r="AM222" s="56">
        <f>VLOOKUP($E222,'NI-San_SP'!$C:$AN,MID(AM$1,1,2),FALSE)</f>
        <v>0</v>
      </c>
      <c r="AN222" s="30" t="str">
        <f t="shared" si="3"/>
        <v>10207000000000</v>
      </c>
    </row>
    <row r="223" spans="3:40" x14ac:dyDescent="0.25">
      <c r="C223" s="40"/>
      <c r="D223" s="57" t="s">
        <v>847</v>
      </c>
      <c r="E223" s="57" t="s">
        <v>848</v>
      </c>
      <c r="F223" s="58" t="s">
        <v>110</v>
      </c>
      <c r="G223" s="52"/>
      <c r="H223" s="52"/>
      <c r="I223" s="52"/>
      <c r="J223" s="52"/>
      <c r="K223" s="59" t="s">
        <v>111</v>
      </c>
      <c r="L223" s="62" t="s">
        <v>849</v>
      </c>
      <c r="M223" s="52"/>
      <c r="N223" s="52"/>
      <c r="O223" s="52"/>
      <c r="P223" s="54" t="s">
        <v>850</v>
      </c>
      <c r="Q223" s="55">
        <f>VLOOKUP(E223,'NI-San_SP'!$C:$AN,12,FALSE)</f>
        <v>24416</v>
      </c>
      <c r="R223" s="55">
        <f>VLOOKUP(E223,'NI-San_SP'!$C:$AN,13,FALSE)</f>
        <v>113139</v>
      </c>
      <c r="S223" s="55"/>
      <c r="T223" s="55"/>
      <c r="U223" s="55">
        <f>VLOOKUP($E223,'NI-San_SP'!$C:$AN,MID(U$1,1,2),FALSE)</f>
        <v>0</v>
      </c>
      <c r="V223" s="55">
        <f>VLOOKUP($E223,'NI-San_SP'!$C:$AN,MID(V$1,1,2),FALSE)</f>
        <v>24416</v>
      </c>
      <c r="W223" s="55">
        <f>VLOOKUP($E223,'NI-San_SP'!$C:$AN,MID(W$1,1,2),FALSE)</f>
        <v>0</v>
      </c>
      <c r="X223" s="55">
        <f>VLOOKUP($E223,'NI-San_SP'!$C:$AN,MID(X$1,1,2),FALSE)</f>
        <v>0</v>
      </c>
      <c r="Y223" s="55">
        <f>VLOOKUP($E223,'NI-San_SP'!$C:$AN,MID(Y$1,1,2),FALSE)</f>
        <v>0</v>
      </c>
      <c r="Z223" s="55">
        <f>VLOOKUP($E223,'NI-San_SP'!$C:$AN,MID(Z$1,1,2),FALSE)</f>
        <v>0</v>
      </c>
      <c r="AA223" s="55">
        <f>VLOOKUP($E223,'NI-San_SP'!$C:$AN,MID(AA$1,1,2),FALSE)</f>
        <v>0</v>
      </c>
      <c r="AB223" s="55">
        <f>VLOOKUP($E223,'NI-San_SP'!$C:$AN,MID(AB$1,1,2),FALSE)</f>
        <v>0</v>
      </c>
      <c r="AC223" s="55">
        <f>VLOOKUP($E223,'NI-San_SP'!$C:$AN,MID(AC$1,1,2),FALSE)</f>
        <v>0</v>
      </c>
      <c r="AD223" s="55">
        <f>VLOOKUP($E223,'NI-San_SP'!$C:$AN,MID(AD$1,1,2),FALSE)</f>
        <v>0</v>
      </c>
      <c r="AE223" s="55">
        <f>VLOOKUP($E223,'NI-San_SP'!$C:$AN,MID(AE$1,1,2),FALSE)</f>
        <v>0</v>
      </c>
      <c r="AF223" s="55">
        <f>VLOOKUP($E223,'NI-San_SP'!$C:$AN,MID(AF$1,1,2),FALSE)</f>
        <v>88723</v>
      </c>
      <c r="AG223" s="55">
        <f>VLOOKUP($E223,'NI-San_SP'!$C:$AN,MID(AG$1,1,2),FALSE)</f>
        <v>0</v>
      </c>
      <c r="AH223" s="55">
        <f>VLOOKUP($E223,'NI-San_SP'!$C:$AN,MID(AH$1,1,2),FALSE)</f>
        <v>0</v>
      </c>
      <c r="AI223" s="55">
        <f>VLOOKUP($E223,'NI-San_SP'!$C:$AN,MID(AI$1,1,2),FALSE)</f>
        <v>0</v>
      </c>
      <c r="AJ223" s="55">
        <f>VLOOKUP($E223,'NI-San_SP'!$C:$AN,MID(AJ$1,1,2),FALSE)</f>
        <v>0</v>
      </c>
      <c r="AK223" s="55">
        <f>VLOOKUP($E223,'NI-San_SP'!$C:$AN,MID(AK$1,1,2),FALSE)</f>
        <v>0</v>
      </c>
      <c r="AL223" s="55">
        <f>VLOOKUP($E223,'NI-San_SP'!$C:$AN,MID(AL$1,1,2),FALSE)</f>
        <v>0</v>
      </c>
      <c r="AM223" s="56">
        <f>VLOOKUP($E223,'NI-San_SP'!$C:$AN,MID(AM$1,1,2),FALSE)</f>
        <v>0</v>
      </c>
      <c r="AN223" s="30" t="str">
        <f t="shared" si="3"/>
        <v>10207010000000</v>
      </c>
    </row>
    <row r="224" spans="3:40" x14ac:dyDescent="0.25">
      <c r="C224" s="40"/>
      <c r="D224" s="57" t="s">
        <v>851</v>
      </c>
      <c r="E224" s="57" t="s">
        <v>852</v>
      </c>
      <c r="F224" s="58" t="s">
        <v>110</v>
      </c>
      <c r="G224" s="52"/>
      <c r="H224" s="52"/>
      <c r="I224" s="52"/>
      <c r="J224" s="52"/>
      <c r="K224" s="59" t="s">
        <v>79</v>
      </c>
      <c r="L224" s="52"/>
      <c r="M224" s="52"/>
      <c r="N224" s="52"/>
      <c r="O224" s="52"/>
      <c r="P224" s="63" t="s">
        <v>853</v>
      </c>
      <c r="Q224" s="55">
        <f>VLOOKUP(E224,'NI-San_SP'!$C:$AN,12,FALSE)</f>
        <v>24416</v>
      </c>
      <c r="R224" s="55">
        <f>VLOOKUP(E224,'NI-San_SP'!$C:$AN,13,FALSE)</f>
        <v>113139</v>
      </c>
      <c r="S224" s="55"/>
      <c r="T224" s="55"/>
      <c r="U224" s="55">
        <f>VLOOKUP($E224,'NI-San_SP'!$C:$AN,MID(U$1,1,2),FALSE)</f>
        <v>0</v>
      </c>
      <c r="V224" s="55">
        <f>VLOOKUP($E224,'NI-San_SP'!$C:$AN,MID(V$1,1,2),FALSE)</f>
        <v>24416</v>
      </c>
      <c r="W224" s="55">
        <f>VLOOKUP($E224,'NI-San_SP'!$C:$AN,MID(W$1,1,2),FALSE)</f>
        <v>0</v>
      </c>
      <c r="X224" s="55">
        <f>VLOOKUP($E224,'NI-San_SP'!$C:$AN,MID(X$1,1,2),FALSE)</f>
        <v>0</v>
      </c>
      <c r="Y224" s="55">
        <f>VLOOKUP($E224,'NI-San_SP'!$C:$AN,MID(Y$1,1,2),FALSE)</f>
        <v>0</v>
      </c>
      <c r="Z224" s="55">
        <f>VLOOKUP($E224,'NI-San_SP'!$C:$AN,MID(Z$1,1,2),FALSE)</f>
        <v>0</v>
      </c>
      <c r="AA224" s="55">
        <f>VLOOKUP($E224,'NI-San_SP'!$C:$AN,MID(AA$1,1,2),FALSE)</f>
        <v>0</v>
      </c>
      <c r="AB224" s="55">
        <f>VLOOKUP($E224,'NI-San_SP'!$C:$AN,MID(AB$1,1,2),FALSE)</f>
        <v>0</v>
      </c>
      <c r="AC224" s="55">
        <f>VLOOKUP($E224,'NI-San_SP'!$C:$AN,MID(AC$1,1,2),FALSE)</f>
        <v>0</v>
      </c>
      <c r="AD224" s="55">
        <f>VLOOKUP($E224,'NI-San_SP'!$C:$AN,MID(AD$1,1,2),FALSE)</f>
        <v>0</v>
      </c>
      <c r="AE224" s="55">
        <f>VLOOKUP($E224,'NI-San_SP'!$C:$AN,MID(AE$1,1,2),FALSE)</f>
        <v>0</v>
      </c>
      <c r="AF224" s="55">
        <f>VLOOKUP($E224,'NI-San_SP'!$C:$AN,MID(AF$1,1,2),FALSE)</f>
        <v>88723</v>
      </c>
      <c r="AG224" s="55">
        <f>VLOOKUP($E224,'NI-San_SP'!$C:$AN,MID(AG$1,1,2),FALSE)</f>
        <v>0</v>
      </c>
      <c r="AH224" s="55">
        <f>VLOOKUP($E224,'NI-San_SP'!$C:$AN,MID(AH$1,1,2),FALSE)</f>
        <v>0</v>
      </c>
      <c r="AI224" s="55">
        <f>VLOOKUP($E224,'NI-San_SP'!$C:$AN,MID(AI$1,1,2),FALSE)</f>
        <v>0</v>
      </c>
      <c r="AJ224" s="55">
        <f>VLOOKUP($E224,'NI-San_SP'!$C:$AN,MID(AJ$1,1,2),FALSE)</f>
        <v>0</v>
      </c>
      <c r="AK224" s="55">
        <f>VLOOKUP($E224,'NI-San_SP'!$C:$AN,MID(AK$1,1,2),FALSE)</f>
        <v>0</v>
      </c>
      <c r="AL224" s="55">
        <f>VLOOKUP($E224,'NI-San_SP'!$C:$AN,MID(AL$1,1,2),FALSE)</f>
        <v>0</v>
      </c>
      <c r="AM224" s="56">
        <f>VLOOKUP($E224,'NI-San_SP'!$C:$AN,MID(AM$1,1,2),FALSE)</f>
        <v>0</v>
      </c>
      <c r="AN224" s="30" t="str">
        <f t="shared" si="3"/>
        <v>10207010010000</v>
      </c>
    </row>
    <row r="225" spans="3:40" x14ac:dyDescent="0.25">
      <c r="C225" s="40"/>
      <c r="D225" s="57" t="s">
        <v>854</v>
      </c>
      <c r="E225" s="57" t="s">
        <v>855</v>
      </c>
      <c r="F225" s="58" t="s">
        <v>110</v>
      </c>
      <c r="G225" s="52"/>
      <c r="H225" s="52"/>
      <c r="I225" s="52"/>
      <c r="J225" s="52"/>
      <c r="K225" s="59" t="s">
        <v>111</v>
      </c>
      <c r="L225" s="52"/>
      <c r="M225" s="52"/>
      <c r="N225" s="52"/>
      <c r="O225" s="61" t="s">
        <v>856</v>
      </c>
      <c r="P225" s="60" t="s">
        <v>857</v>
      </c>
      <c r="Q225" s="55">
        <f>VLOOKUP(E225,'NI-San_SP'!$C:$AN,12,FALSE)</f>
        <v>610241</v>
      </c>
      <c r="R225" s="55">
        <f>VLOOKUP(E225,'NI-San_SP'!$C:$AN,13,FALSE)</f>
        <v>607953</v>
      </c>
      <c r="S225" s="55"/>
      <c r="T225" s="55"/>
      <c r="U225" s="55">
        <f>VLOOKUP($E225,'NI-San_SP'!$C:$AN,MID(U$1,1,2),FALSE)</f>
        <v>0</v>
      </c>
      <c r="V225" s="55">
        <f>VLOOKUP($E225,'NI-San_SP'!$C:$AN,MID(V$1,1,2),FALSE)</f>
        <v>0</v>
      </c>
      <c r="W225" s="55">
        <f>VLOOKUP($E225,'NI-San_SP'!$C:$AN,MID(W$1,1,2),FALSE)</f>
        <v>0</v>
      </c>
      <c r="X225" s="55">
        <f>VLOOKUP($E225,'NI-San_SP'!$C:$AN,MID(X$1,1,2),FALSE)</f>
        <v>0</v>
      </c>
      <c r="Y225" s="55">
        <f>VLOOKUP($E225,'NI-San_SP'!$C:$AN,MID(Y$1,1,2),FALSE)</f>
        <v>0</v>
      </c>
      <c r="Z225" s="55">
        <f>VLOOKUP($E225,'NI-San_SP'!$C:$AN,MID(Z$1,1,2),FALSE)</f>
        <v>0</v>
      </c>
      <c r="AA225" s="55">
        <f>VLOOKUP($E225,'NI-San_SP'!$C:$AN,MID(AA$1,1,2),FALSE)</f>
        <v>0</v>
      </c>
      <c r="AB225" s="55">
        <f>VLOOKUP($E225,'NI-San_SP'!$C:$AN,MID(AB$1,1,2),FALSE)</f>
        <v>0</v>
      </c>
      <c r="AC225" s="55">
        <f>VLOOKUP($E225,'NI-San_SP'!$C:$AN,MID(AC$1,1,2),FALSE)</f>
        <v>0</v>
      </c>
      <c r="AD225" s="55">
        <f>VLOOKUP($E225,'NI-San_SP'!$C:$AN,MID(AD$1,1,2),FALSE)</f>
        <v>0</v>
      </c>
      <c r="AE225" s="55">
        <f>VLOOKUP($E225,'NI-San_SP'!$C:$AN,MID(AE$1,1,2),FALSE)</f>
        <v>0</v>
      </c>
      <c r="AF225" s="55">
        <f>VLOOKUP($E225,'NI-San_SP'!$C:$AN,MID(AF$1,1,2),FALSE)</f>
        <v>0</v>
      </c>
      <c r="AG225" s="55">
        <f>VLOOKUP($E225,'NI-San_SP'!$C:$AN,MID(AG$1,1,2),FALSE)</f>
        <v>0</v>
      </c>
      <c r="AH225" s="55">
        <f>VLOOKUP($E225,'NI-San_SP'!$C:$AN,MID(AH$1,1,2),FALSE)</f>
        <v>0</v>
      </c>
      <c r="AI225" s="55">
        <f>VLOOKUP($E225,'NI-San_SP'!$C:$AN,MID(AI$1,1,2),FALSE)</f>
        <v>0</v>
      </c>
      <c r="AJ225" s="55">
        <f>VLOOKUP($E225,'NI-San_SP'!$C:$AN,MID(AJ$1,1,2),FALSE)</f>
        <v>0</v>
      </c>
      <c r="AK225" s="55">
        <f>VLOOKUP($E225,'NI-San_SP'!$C:$AN,MID(AK$1,1,2),FALSE)</f>
        <v>0</v>
      </c>
      <c r="AL225" s="55">
        <f>VLOOKUP($E225,'NI-San_SP'!$C:$AN,MID(AL$1,1,2),FALSE)</f>
        <v>0</v>
      </c>
      <c r="AM225" s="56">
        <f>VLOOKUP($E225,'NI-San_SP'!$C:$AN,MID(AM$1,1,2),FALSE)</f>
        <v>0</v>
      </c>
      <c r="AN225" s="30" t="str">
        <f t="shared" si="3"/>
        <v>10208000000000</v>
      </c>
    </row>
    <row r="226" spans="3:40" x14ac:dyDescent="0.25">
      <c r="C226" s="40"/>
      <c r="D226" s="57" t="s">
        <v>858</v>
      </c>
      <c r="E226" s="57" t="s">
        <v>859</v>
      </c>
      <c r="F226" s="58" t="s">
        <v>110</v>
      </c>
      <c r="G226" s="52"/>
      <c r="H226" s="52"/>
      <c r="I226" s="52" t="s">
        <v>860</v>
      </c>
      <c r="J226" s="52" t="s">
        <v>860</v>
      </c>
      <c r="K226" s="59" t="s">
        <v>111</v>
      </c>
      <c r="L226" s="62" t="s">
        <v>861</v>
      </c>
      <c r="M226" s="52"/>
      <c r="N226" s="52"/>
      <c r="O226" s="52"/>
      <c r="P226" s="54" t="s">
        <v>862</v>
      </c>
      <c r="Q226" s="55">
        <f>VLOOKUP(E226,'NI-San_SP'!$C:$AN,12,FALSE)</f>
        <v>9248959</v>
      </c>
      <c r="R226" s="55">
        <f>VLOOKUP(E226,'NI-San_SP'!$C:$AN,13,FALSE)</f>
        <v>9220312</v>
      </c>
      <c r="S226" s="55"/>
      <c r="T226" s="55"/>
      <c r="U226" s="55">
        <f>VLOOKUP($E226,'NI-San_SP'!$C:$AN,MID(U$1,1,2),FALSE)</f>
        <v>0</v>
      </c>
      <c r="V226" s="55">
        <f>VLOOKUP($E226,'NI-San_SP'!$C:$AN,MID(V$1,1,2),FALSE)</f>
        <v>9248959</v>
      </c>
      <c r="W226" s="55">
        <f>VLOOKUP($E226,'NI-San_SP'!$C:$AN,MID(W$1,1,2),FALSE)</f>
        <v>0</v>
      </c>
      <c r="X226" s="55">
        <f>VLOOKUP($E226,'NI-San_SP'!$C:$AN,MID(X$1,1,2),FALSE)</f>
        <v>0</v>
      </c>
      <c r="Y226" s="55">
        <f>VLOOKUP($E226,'NI-San_SP'!$C:$AN,MID(Y$1,1,2),FALSE)</f>
        <v>0</v>
      </c>
      <c r="Z226" s="55">
        <f>VLOOKUP($E226,'NI-San_SP'!$C:$AN,MID(Z$1,1,2),FALSE)</f>
        <v>0</v>
      </c>
      <c r="AA226" s="55">
        <f>VLOOKUP($E226,'NI-San_SP'!$C:$AN,MID(AA$1,1,2),FALSE)</f>
        <v>0</v>
      </c>
      <c r="AB226" s="55">
        <f>VLOOKUP($E226,'NI-San_SP'!$C:$AN,MID(AB$1,1,2),FALSE)</f>
        <v>0</v>
      </c>
      <c r="AC226" s="55">
        <f>VLOOKUP($E226,'NI-San_SP'!$C:$AN,MID(AC$1,1,2),FALSE)</f>
        <v>0</v>
      </c>
      <c r="AD226" s="55">
        <f>VLOOKUP($E226,'NI-San_SP'!$C:$AN,MID(AD$1,1,2),FALSE)</f>
        <v>0</v>
      </c>
      <c r="AE226" s="55">
        <f>VLOOKUP($E226,'NI-San_SP'!$C:$AN,MID(AE$1,1,2),FALSE)</f>
        <v>0</v>
      </c>
      <c r="AF226" s="55">
        <f>VLOOKUP($E226,'NI-San_SP'!$C:$AN,MID(AF$1,1,2),FALSE)</f>
        <v>21265</v>
      </c>
      <c r="AG226" s="55">
        <f>VLOOKUP($E226,'NI-San_SP'!$C:$AN,MID(AG$1,1,2),FALSE)</f>
        <v>0</v>
      </c>
      <c r="AH226" s="55">
        <f>VLOOKUP($E226,'NI-San_SP'!$C:$AN,MID(AH$1,1,2),FALSE)</f>
        <v>0</v>
      </c>
      <c r="AI226" s="55">
        <f>VLOOKUP($E226,'NI-San_SP'!$C:$AN,MID(AI$1,1,2),FALSE)</f>
        <v>49912</v>
      </c>
      <c r="AJ226" s="55">
        <f>VLOOKUP($E226,'NI-San_SP'!$C:$AN,MID(AJ$1,1,2),FALSE)</f>
        <v>0</v>
      </c>
      <c r="AK226" s="55">
        <f>VLOOKUP($E226,'NI-San_SP'!$C:$AN,MID(AK$1,1,2),FALSE)</f>
        <v>0</v>
      </c>
      <c r="AL226" s="55">
        <f>VLOOKUP($E226,'NI-San_SP'!$C:$AN,MID(AL$1,1,2),FALSE)</f>
        <v>0</v>
      </c>
      <c r="AM226" s="56">
        <f>VLOOKUP($E226,'NI-San_SP'!$C:$AN,MID(AM$1,1,2),FALSE)</f>
        <v>0</v>
      </c>
      <c r="AN226" s="30" t="str">
        <f t="shared" si="3"/>
        <v>10208010000000</v>
      </c>
    </row>
    <row r="227" spans="3:40" x14ac:dyDescent="0.25">
      <c r="C227" s="40"/>
      <c r="D227" s="57" t="s">
        <v>863</v>
      </c>
      <c r="E227" s="57" t="s">
        <v>864</v>
      </c>
      <c r="F227" s="58" t="s">
        <v>110</v>
      </c>
      <c r="G227" s="52"/>
      <c r="H227" s="52"/>
      <c r="I227" s="52"/>
      <c r="J227" s="52"/>
      <c r="K227" s="59" t="s">
        <v>79</v>
      </c>
      <c r="L227" s="52"/>
      <c r="M227" s="52"/>
      <c r="N227" s="52"/>
      <c r="O227" s="52"/>
      <c r="P227" s="64" t="s">
        <v>865</v>
      </c>
      <c r="Q227" s="55">
        <f>VLOOKUP(E227,'NI-San_SP'!$C:$AN,12,FALSE)</f>
        <v>3718073</v>
      </c>
      <c r="R227" s="55">
        <f>VLOOKUP(E227,'NI-San_SP'!$C:$AN,13,FALSE)</f>
        <v>3687217</v>
      </c>
      <c r="S227" s="55"/>
      <c r="T227" s="55"/>
      <c r="U227" s="55">
        <f>VLOOKUP($E227,'NI-San_SP'!$C:$AN,MID(U$1,1,2),FALSE)</f>
        <v>0</v>
      </c>
      <c r="V227" s="55">
        <f>VLOOKUP($E227,'NI-San_SP'!$C:$AN,MID(V$1,1,2),FALSE)</f>
        <v>3718073</v>
      </c>
      <c r="W227" s="55">
        <f>VLOOKUP($E227,'NI-San_SP'!$C:$AN,MID(W$1,1,2),FALSE)</f>
        <v>0</v>
      </c>
      <c r="X227" s="55">
        <f>VLOOKUP($E227,'NI-San_SP'!$C:$AN,MID(X$1,1,2),FALSE)</f>
        <v>0</v>
      </c>
      <c r="Y227" s="55">
        <f>VLOOKUP($E227,'NI-San_SP'!$C:$AN,MID(Y$1,1,2),FALSE)</f>
        <v>0</v>
      </c>
      <c r="Z227" s="55">
        <f>VLOOKUP($E227,'NI-San_SP'!$C:$AN,MID(Z$1,1,2),FALSE)</f>
        <v>0</v>
      </c>
      <c r="AA227" s="55">
        <f>VLOOKUP($E227,'NI-San_SP'!$C:$AN,MID(AA$1,1,2),FALSE)</f>
        <v>0</v>
      </c>
      <c r="AB227" s="55">
        <f>VLOOKUP($E227,'NI-San_SP'!$C:$AN,MID(AB$1,1,2),FALSE)</f>
        <v>0</v>
      </c>
      <c r="AC227" s="55">
        <f>VLOOKUP($E227,'NI-San_SP'!$C:$AN,MID(AC$1,1,2),FALSE)</f>
        <v>0</v>
      </c>
      <c r="AD227" s="55">
        <f>VLOOKUP($E227,'NI-San_SP'!$C:$AN,MID(AD$1,1,2),FALSE)</f>
        <v>0</v>
      </c>
      <c r="AE227" s="55">
        <f>VLOOKUP($E227,'NI-San_SP'!$C:$AN,MID(AE$1,1,2),FALSE)</f>
        <v>0</v>
      </c>
      <c r="AF227" s="55">
        <f>VLOOKUP($E227,'NI-San_SP'!$C:$AN,MID(AF$1,1,2),FALSE)</f>
        <v>0</v>
      </c>
      <c r="AG227" s="55">
        <f>VLOOKUP($E227,'NI-San_SP'!$C:$AN,MID(AG$1,1,2),FALSE)</f>
        <v>0</v>
      </c>
      <c r="AH227" s="55">
        <f>VLOOKUP($E227,'NI-San_SP'!$C:$AN,MID(AH$1,1,2),FALSE)</f>
        <v>0</v>
      </c>
      <c r="AI227" s="55">
        <f>VLOOKUP($E227,'NI-San_SP'!$C:$AN,MID(AI$1,1,2),FALSE)</f>
        <v>30856</v>
      </c>
      <c r="AJ227" s="55">
        <f>VLOOKUP($E227,'NI-San_SP'!$C:$AN,MID(AJ$1,1,2),FALSE)</f>
        <v>0</v>
      </c>
      <c r="AK227" s="55">
        <f>VLOOKUP($E227,'NI-San_SP'!$C:$AN,MID(AK$1,1,2),FALSE)</f>
        <v>0</v>
      </c>
      <c r="AL227" s="55">
        <f>VLOOKUP($E227,'NI-San_SP'!$C:$AN,MID(AL$1,1,2),FALSE)</f>
        <v>0</v>
      </c>
      <c r="AM227" s="56">
        <f>VLOOKUP($E227,'NI-San_SP'!$C:$AN,MID(AM$1,1,2),FALSE)</f>
        <v>0</v>
      </c>
      <c r="AN227" s="30" t="str">
        <f t="shared" si="3"/>
        <v>10208010010010</v>
      </c>
    </row>
    <row r="228" spans="3:40" x14ac:dyDescent="0.25">
      <c r="C228" s="40"/>
      <c r="D228" s="57" t="s">
        <v>866</v>
      </c>
      <c r="E228" s="57" t="s">
        <v>867</v>
      </c>
      <c r="F228" s="58" t="s">
        <v>110</v>
      </c>
      <c r="G228" s="52"/>
      <c r="H228" s="52"/>
      <c r="I228" s="52"/>
      <c r="J228" s="52"/>
      <c r="K228" s="59" t="s">
        <v>79</v>
      </c>
      <c r="L228" s="52"/>
      <c r="M228" s="52"/>
      <c r="N228" s="52"/>
      <c r="O228" s="52"/>
      <c r="P228" s="64" t="s">
        <v>868</v>
      </c>
      <c r="Q228" s="55">
        <f>VLOOKUP(E228,'NI-San_SP'!$C:$AN,12,FALSE)</f>
        <v>1960350</v>
      </c>
      <c r="R228" s="55">
        <f>VLOOKUP(E228,'NI-San_SP'!$C:$AN,13,FALSE)</f>
        <v>1958642</v>
      </c>
      <c r="S228" s="55"/>
      <c r="T228" s="55"/>
      <c r="U228" s="55">
        <f>VLOOKUP($E228,'NI-San_SP'!$C:$AN,MID(U$1,1,2),FALSE)</f>
        <v>0</v>
      </c>
      <c r="V228" s="55">
        <f>VLOOKUP($E228,'NI-San_SP'!$C:$AN,MID(V$1,1,2),FALSE)</f>
        <v>1960350</v>
      </c>
      <c r="W228" s="55">
        <f>VLOOKUP($E228,'NI-San_SP'!$C:$AN,MID(W$1,1,2),FALSE)</f>
        <v>0</v>
      </c>
      <c r="X228" s="55">
        <f>VLOOKUP($E228,'NI-San_SP'!$C:$AN,MID(X$1,1,2),FALSE)</f>
        <v>0</v>
      </c>
      <c r="Y228" s="55">
        <f>VLOOKUP($E228,'NI-San_SP'!$C:$AN,MID(Y$1,1,2),FALSE)</f>
        <v>0</v>
      </c>
      <c r="Z228" s="55">
        <f>VLOOKUP($E228,'NI-San_SP'!$C:$AN,MID(Z$1,1,2),FALSE)</f>
        <v>0</v>
      </c>
      <c r="AA228" s="55">
        <f>VLOOKUP($E228,'NI-San_SP'!$C:$AN,MID(AA$1,1,2),FALSE)</f>
        <v>0</v>
      </c>
      <c r="AB228" s="55">
        <f>VLOOKUP($E228,'NI-San_SP'!$C:$AN,MID(AB$1,1,2),FALSE)</f>
        <v>0</v>
      </c>
      <c r="AC228" s="55">
        <f>VLOOKUP($E228,'NI-San_SP'!$C:$AN,MID(AC$1,1,2),FALSE)</f>
        <v>0</v>
      </c>
      <c r="AD228" s="55">
        <f>VLOOKUP($E228,'NI-San_SP'!$C:$AN,MID(AD$1,1,2),FALSE)</f>
        <v>0</v>
      </c>
      <c r="AE228" s="55">
        <f>VLOOKUP($E228,'NI-San_SP'!$C:$AN,MID(AE$1,1,2),FALSE)</f>
        <v>0</v>
      </c>
      <c r="AF228" s="55">
        <f>VLOOKUP($E228,'NI-San_SP'!$C:$AN,MID(AF$1,1,2),FALSE)</f>
        <v>3500</v>
      </c>
      <c r="AG228" s="55">
        <f>VLOOKUP($E228,'NI-San_SP'!$C:$AN,MID(AG$1,1,2),FALSE)</f>
        <v>0</v>
      </c>
      <c r="AH228" s="55">
        <f>VLOOKUP($E228,'NI-San_SP'!$C:$AN,MID(AH$1,1,2),FALSE)</f>
        <v>0</v>
      </c>
      <c r="AI228" s="55">
        <f>VLOOKUP($E228,'NI-San_SP'!$C:$AN,MID(AI$1,1,2),FALSE)</f>
        <v>5208</v>
      </c>
      <c r="AJ228" s="55">
        <f>VLOOKUP($E228,'NI-San_SP'!$C:$AN,MID(AJ$1,1,2),FALSE)</f>
        <v>0</v>
      </c>
      <c r="AK228" s="55">
        <f>VLOOKUP($E228,'NI-San_SP'!$C:$AN,MID(AK$1,1,2),FALSE)</f>
        <v>0</v>
      </c>
      <c r="AL228" s="55">
        <f>VLOOKUP($E228,'NI-San_SP'!$C:$AN,MID(AL$1,1,2),FALSE)</f>
        <v>0</v>
      </c>
      <c r="AM228" s="56">
        <f>VLOOKUP($E228,'NI-San_SP'!$C:$AN,MID(AM$1,1,2),FALSE)</f>
        <v>0</v>
      </c>
      <c r="AN228" s="30" t="str">
        <f t="shared" si="3"/>
        <v>10208010010020</v>
      </c>
    </row>
    <row r="229" spans="3:40" x14ac:dyDescent="0.25">
      <c r="C229" s="40"/>
      <c r="D229" s="57" t="s">
        <v>869</v>
      </c>
      <c r="E229" s="57" t="s">
        <v>870</v>
      </c>
      <c r="F229" s="58" t="s">
        <v>110</v>
      </c>
      <c r="G229" s="52"/>
      <c r="H229" s="52"/>
      <c r="I229" s="52"/>
      <c r="J229" s="52"/>
      <c r="K229" s="59" t="s">
        <v>79</v>
      </c>
      <c r="L229" s="52"/>
      <c r="M229" s="52"/>
      <c r="N229" s="52"/>
      <c r="O229" s="52"/>
      <c r="P229" s="66" t="s">
        <v>871</v>
      </c>
      <c r="Q229" s="55">
        <f>VLOOKUP(E229,'NI-San_SP'!$C:$AN,12,FALSE)</f>
        <v>154100</v>
      </c>
      <c r="R229" s="55">
        <f>VLOOKUP(E229,'NI-San_SP'!$C:$AN,13,FALSE)</f>
        <v>148828</v>
      </c>
      <c r="S229" s="55"/>
      <c r="T229" s="55"/>
      <c r="U229" s="55">
        <f>VLOOKUP($E229,'NI-San_SP'!$C:$AN,MID(U$1,1,2),FALSE)</f>
        <v>0</v>
      </c>
      <c r="V229" s="55">
        <f>VLOOKUP($E229,'NI-San_SP'!$C:$AN,MID(V$1,1,2),FALSE)</f>
        <v>154100</v>
      </c>
      <c r="W229" s="55">
        <f>VLOOKUP($E229,'NI-San_SP'!$C:$AN,MID(W$1,1,2),FALSE)</f>
        <v>0</v>
      </c>
      <c r="X229" s="55">
        <f>VLOOKUP($E229,'NI-San_SP'!$C:$AN,MID(X$1,1,2),FALSE)</f>
        <v>0</v>
      </c>
      <c r="Y229" s="55">
        <f>VLOOKUP($E229,'NI-San_SP'!$C:$AN,MID(Y$1,1,2),FALSE)</f>
        <v>0</v>
      </c>
      <c r="Z229" s="55">
        <f>VLOOKUP($E229,'NI-San_SP'!$C:$AN,MID(Z$1,1,2),FALSE)</f>
        <v>0</v>
      </c>
      <c r="AA229" s="55">
        <f>VLOOKUP($E229,'NI-San_SP'!$C:$AN,MID(AA$1,1,2),FALSE)</f>
        <v>0</v>
      </c>
      <c r="AB229" s="55">
        <f>VLOOKUP($E229,'NI-San_SP'!$C:$AN,MID(AB$1,1,2),FALSE)</f>
        <v>0</v>
      </c>
      <c r="AC229" s="55">
        <f>VLOOKUP($E229,'NI-San_SP'!$C:$AN,MID(AC$1,1,2),FALSE)</f>
        <v>0</v>
      </c>
      <c r="AD229" s="55">
        <f>VLOOKUP($E229,'NI-San_SP'!$C:$AN,MID(AD$1,1,2),FALSE)</f>
        <v>0</v>
      </c>
      <c r="AE229" s="55">
        <f>VLOOKUP($E229,'NI-San_SP'!$C:$AN,MID(AE$1,1,2),FALSE)</f>
        <v>0</v>
      </c>
      <c r="AF229" s="55">
        <f>VLOOKUP($E229,'NI-San_SP'!$C:$AN,MID(AF$1,1,2),FALSE)</f>
        <v>0</v>
      </c>
      <c r="AG229" s="55">
        <f>VLOOKUP($E229,'NI-San_SP'!$C:$AN,MID(AG$1,1,2),FALSE)</f>
        <v>0</v>
      </c>
      <c r="AH229" s="55">
        <f>VLOOKUP($E229,'NI-San_SP'!$C:$AN,MID(AH$1,1,2),FALSE)</f>
        <v>0</v>
      </c>
      <c r="AI229" s="55">
        <f>VLOOKUP($E229,'NI-San_SP'!$C:$AN,MID(AI$1,1,2),FALSE)</f>
        <v>5272</v>
      </c>
      <c r="AJ229" s="55">
        <f>VLOOKUP($E229,'NI-San_SP'!$C:$AN,MID(AJ$1,1,2),FALSE)</f>
        <v>0</v>
      </c>
      <c r="AK229" s="55">
        <f>VLOOKUP($E229,'NI-San_SP'!$C:$AN,MID(AK$1,1,2),FALSE)</f>
        <v>0</v>
      </c>
      <c r="AL229" s="55">
        <f>VLOOKUP($E229,'NI-San_SP'!$C:$AN,MID(AL$1,1,2),FALSE)</f>
        <v>0</v>
      </c>
      <c r="AM229" s="56">
        <f>VLOOKUP($E229,'NI-San_SP'!$C:$AN,MID(AM$1,1,2),FALSE)</f>
        <v>0</v>
      </c>
      <c r="AN229" s="30" t="str">
        <f t="shared" si="3"/>
        <v>10208010020010</v>
      </c>
    </row>
    <row r="230" spans="3:40" x14ac:dyDescent="0.25">
      <c r="C230" s="40"/>
      <c r="D230" s="57" t="s">
        <v>872</v>
      </c>
      <c r="E230" s="57" t="s">
        <v>873</v>
      </c>
      <c r="F230" s="58" t="s">
        <v>110</v>
      </c>
      <c r="G230" s="52"/>
      <c r="H230" s="52"/>
      <c r="I230" s="52"/>
      <c r="J230" s="52"/>
      <c r="K230" s="59" t="s">
        <v>79</v>
      </c>
      <c r="L230" s="52"/>
      <c r="M230" s="52"/>
      <c r="N230" s="52"/>
      <c r="O230" s="52"/>
      <c r="P230" s="66" t="s">
        <v>874</v>
      </c>
      <c r="Q230" s="55">
        <f>VLOOKUP(E230,'NI-San_SP'!$C:$AN,12,FALSE)</f>
        <v>155341</v>
      </c>
      <c r="R230" s="55">
        <f>VLOOKUP(E230,'NI-San_SP'!$C:$AN,13,FALSE)</f>
        <v>154168</v>
      </c>
      <c r="S230" s="55"/>
      <c r="T230" s="55"/>
      <c r="U230" s="55">
        <f>VLOOKUP($E230,'NI-San_SP'!$C:$AN,MID(U$1,1,2),FALSE)</f>
        <v>0</v>
      </c>
      <c r="V230" s="55">
        <f>VLOOKUP($E230,'NI-San_SP'!$C:$AN,MID(V$1,1,2),FALSE)</f>
        <v>155341</v>
      </c>
      <c r="W230" s="55">
        <f>VLOOKUP($E230,'NI-San_SP'!$C:$AN,MID(W$1,1,2),FALSE)</f>
        <v>0</v>
      </c>
      <c r="X230" s="55">
        <f>VLOOKUP($E230,'NI-San_SP'!$C:$AN,MID(X$1,1,2),FALSE)</f>
        <v>0</v>
      </c>
      <c r="Y230" s="55">
        <f>VLOOKUP($E230,'NI-San_SP'!$C:$AN,MID(Y$1,1,2),FALSE)</f>
        <v>0</v>
      </c>
      <c r="Z230" s="55">
        <f>VLOOKUP($E230,'NI-San_SP'!$C:$AN,MID(Z$1,1,2),FALSE)</f>
        <v>0</v>
      </c>
      <c r="AA230" s="55">
        <f>VLOOKUP($E230,'NI-San_SP'!$C:$AN,MID(AA$1,1,2),FALSE)</f>
        <v>0</v>
      </c>
      <c r="AB230" s="55">
        <f>VLOOKUP($E230,'NI-San_SP'!$C:$AN,MID(AB$1,1,2),FALSE)</f>
        <v>0</v>
      </c>
      <c r="AC230" s="55">
        <f>VLOOKUP($E230,'NI-San_SP'!$C:$AN,MID(AC$1,1,2),FALSE)</f>
        <v>0</v>
      </c>
      <c r="AD230" s="55">
        <f>VLOOKUP($E230,'NI-San_SP'!$C:$AN,MID(AD$1,1,2),FALSE)</f>
        <v>0</v>
      </c>
      <c r="AE230" s="55">
        <f>VLOOKUP($E230,'NI-San_SP'!$C:$AN,MID(AE$1,1,2),FALSE)</f>
        <v>0</v>
      </c>
      <c r="AF230" s="55">
        <f>VLOOKUP($E230,'NI-San_SP'!$C:$AN,MID(AF$1,1,2),FALSE)</f>
        <v>150</v>
      </c>
      <c r="AG230" s="55">
        <f>VLOOKUP($E230,'NI-San_SP'!$C:$AN,MID(AG$1,1,2),FALSE)</f>
        <v>0</v>
      </c>
      <c r="AH230" s="55">
        <f>VLOOKUP($E230,'NI-San_SP'!$C:$AN,MID(AH$1,1,2),FALSE)</f>
        <v>0</v>
      </c>
      <c r="AI230" s="55">
        <f>VLOOKUP($E230,'NI-San_SP'!$C:$AN,MID(AI$1,1,2),FALSE)</f>
        <v>1323</v>
      </c>
      <c r="AJ230" s="55">
        <f>VLOOKUP($E230,'NI-San_SP'!$C:$AN,MID(AJ$1,1,2),FALSE)</f>
        <v>0</v>
      </c>
      <c r="AK230" s="55">
        <f>VLOOKUP($E230,'NI-San_SP'!$C:$AN,MID(AK$1,1,2),FALSE)</f>
        <v>0</v>
      </c>
      <c r="AL230" s="55">
        <f>VLOOKUP($E230,'NI-San_SP'!$C:$AN,MID(AL$1,1,2),FALSE)</f>
        <v>0</v>
      </c>
      <c r="AM230" s="56">
        <f>VLOOKUP($E230,'NI-San_SP'!$C:$AN,MID(AM$1,1,2),FALSE)</f>
        <v>0</v>
      </c>
      <c r="AN230" s="30" t="str">
        <f t="shared" si="3"/>
        <v>10208010020020</v>
      </c>
    </row>
    <row r="231" spans="3:40" x14ac:dyDescent="0.25">
      <c r="C231" s="40"/>
      <c r="D231" s="57" t="s">
        <v>875</v>
      </c>
      <c r="E231" s="57" t="s">
        <v>876</v>
      </c>
      <c r="F231" s="58" t="s">
        <v>110</v>
      </c>
      <c r="G231" s="52"/>
      <c r="H231" s="52"/>
      <c r="I231" s="52"/>
      <c r="J231" s="52"/>
      <c r="K231" s="59" t="s">
        <v>79</v>
      </c>
      <c r="L231" s="52"/>
      <c r="M231" s="52"/>
      <c r="N231" s="52"/>
      <c r="O231" s="52"/>
      <c r="P231" s="66" t="s">
        <v>877</v>
      </c>
      <c r="Q231" s="55">
        <f>VLOOKUP(E231,'NI-San_SP'!$C:$AN,12,FALSE)</f>
        <v>0</v>
      </c>
      <c r="R231" s="55">
        <f>VLOOKUP(E231,'NI-San_SP'!$C:$AN,13,FALSE)</f>
        <v>0</v>
      </c>
      <c r="S231" s="55"/>
      <c r="T231" s="55"/>
      <c r="U231" s="55">
        <f>VLOOKUP($E231,'NI-San_SP'!$C:$AN,MID(U$1,1,2),FALSE)</f>
        <v>0</v>
      </c>
      <c r="V231" s="55">
        <f>VLOOKUP($E231,'NI-San_SP'!$C:$AN,MID(V$1,1,2),FALSE)</f>
        <v>0</v>
      </c>
      <c r="W231" s="55">
        <f>VLOOKUP($E231,'NI-San_SP'!$C:$AN,MID(W$1,1,2),FALSE)</f>
        <v>0</v>
      </c>
      <c r="X231" s="55">
        <f>VLOOKUP($E231,'NI-San_SP'!$C:$AN,MID(X$1,1,2),FALSE)</f>
        <v>0</v>
      </c>
      <c r="Y231" s="55">
        <f>VLOOKUP($E231,'NI-San_SP'!$C:$AN,MID(Y$1,1,2),FALSE)</f>
        <v>0</v>
      </c>
      <c r="Z231" s="55">
        <f>VLOOKUP($E231,'NI-San_SP'!$C:$AN,MID(Z$1,1,2),FALSE)</f>
        <v>0</v>
      </c>
      <c r="AA231" s="55">
        <f>VLOOKUP($E231,'NI-San_SP'!$C:$AN,MID(AA$1,1,2),FALSE)</f>
        <v>0</v>
      </c>
      <c r="AB231" s="55">
        <f>VLOOKUP($E231,'NI-San_SP'!$C:$AN,MID(AB$1,1,2),FALSE)</f>
        <v>0</v>
      </c>
      <c r="AC231" s="55">
        <f>VLOOKUP($E231,'NI-San_SP'!$C:$AN,MID(AC$1,1,2),FALSE)</f>
        <v>0</v>
      </c>
      <c r="AD231" s="55">
        <f>VLOOKUP($E231,'NI-San_SP'!$C:$AN,MID(AD$1,1,2),FALSE)</f>
        <v>0</v>
      </c>
      <c r="AE231" s="55">
        <f>VLOOKUP($E231,'NI-San_SP'!$C:$AN,MID(AE$1,1,2),FALSE)</f>
        <v>0</v>
      </c>
      <c r="AF231" s="55">
        <f>VLOOKUP($E231,'NI-San_SP'!$C:$AN,MID(AF$1,1,2),FALSE)</f>
        <v>0</v>
      </c>
      <c r="AG231" s="55">
        <f>VLOOKUP($E231,'NI-San_SP'!$C:$AN,MID(AG$1,1,2),FALSE)</f>
        <v>0</v>
      </c>
      <c r="AH231" s="55">
        <f>VLOOKUP($E231,'NI-San_SP'!$C:$AN,MID(AH$1,1,2),FALSE)</f>
        <v>0</v>
      </c>
      <c r="AI231" s="55">
        <f>VLOOKUP($E231,'NI-San_SP'!$C:$AN,MID(AI$1,1,2),FALSE)</f>
        <v>0</v>
      </c>
      <c r="AJ231" s="55">
        <f>VLOOKUP($E231,'NI-San_SP'!$C:$AN,MID(AJ$1,1,2),FALSE)</f>
        <v>0</v>
      </c>
      <c r="AK231" s="55">
        <f>VLOOKUP($E231,'NI-San_SP'!$C:$AN,MID(AK$1,1,2),FALSE)</f>
        <v>0</v>
      </c>
      <c r="AL231" s="55">
        <f>VLOOKUP($E231,'NI-San_SP'!$C:$AN,MID(AL$1,1,2),FALSE)</f>
        <v>0</v>
      </c>
      <c r="AM231" s="56">
        <f>VLOOKUP($E231,'NI-San_SP'!$C:$AN,MID(AM$1,1,2),FALSE)</f>
        <v>0</v>
      </c>
      <c r="AN231" s="30" t="str">
        <f t="shared" si="3"/>
        <v>10208010030010</v>
      </c>
    </row>
    <row r="232" spans="3:40" x14ac:dyDescent="0.25">
      <c r="C232" s="40"/>
      <c r="D232" s="57" t="s">
        <v>878</v>
      </c>
      <c r="E232" s="57" t="s">
        <v>879</v>
      </c>
      <c r="F232" s="58" t="s">
        <v>110</v>
      </c>
      <c r="G232" s="52"/>
      <c r="H232" s="52"/>
      <c r="I232" s="52"/>
      <c r="J232" s="52"/>
      <c r="K232" s="59" t="s">
        <v>79</v>
      </c>
      <c r="L232" s="52"/>
      <c r="M232" s="52"/>
      <c r="N232" s="52"/>
      <c r="O232" s="52"/>
      <c r="P232" s="66" t="s">
        <v>880</v>
      </c>
      <c r="Q232" s="55">
        <f>VLOOKUP(E232,'NI-San_SP'!$C:$AN,12,FALSE)</f>
        <v>0</v>
      </c>
      <c r="R232" s="55">
        <f>VLOOKUP(E232,'NI-San_SP'!$C:$AN,13,FALSE)</f>
        <v>0</v>
      </c>
      <c r="S232" s="55"/>
      <c r="T232" s="55"/>
      <c r="U232" s="55">
        <f>VLOOKUP($E232,'NI-San_SP'!$C:$AN,MID(U$1,1,2),FALSE)</f>
        <v>0</v>
      </c>
      <c r="V232" s="55">
        <f>VLOOKUP($E232,'NI-San_SP'!$C:$AN,MID(V$1,1,2),FALSE)</f>
        <v>0</v>
      </c>
      <c r="W232" s="55">
        <f>VLOOKUP($E232,'NI-San_SP'!$C:$AN,MID(W$1,1,2),FALSE)</f>
        <v>0</v>
      </c>
      <c r="X232" s="55">
        <f>VLOOKUP($E232,'NI-San_SP'!$C:$AN,MID(X$1,1,2),FALSE)</f>
        <v>0</v>
      </c>
      <c r="Y232" s="55">
        <f>VLOOKUP($E232,'NI-San_SP'!$C:$AN,MID(Y$1,1,2),FALSE)</f>
        <v>0</v>
      </c>
      <c r="Z232" s="55">
        <f>VLOOKUP($E232,'NI-San_SP'!$C:$AN,MID(Z$1,1,2),FALSE)</f>
        <v>0</v>
      </c>
      <c r="AA232" s="55">
        <f>VLOOKUP($E232,'NI-San_SP'!$C:$AN,MID(AA$1,1,2),FALSE)</f>
        <v>0</v>
      </c>
      <c r="AB232" s="55">
        <f>VLOOKUP($E232,'NI-San_SP'!$C:$AN,MID(AB$1,1,2),FALSE)</f>
        <v>0</v>
      </c>
      <c r="AC232" s="55">
        <f>VLOOKUP($E232,'NI-San_SP'!$C:$AN,MID(AC$1,1,2),FALSE)</f>
        <v>0</v>
      </c>
      <c r="AD232" s="55">
        <f>VLOOKUP($E232,'NI-San_SP'!$C:$AN,MID(AD$1,1,2),FALSE)</f>
        <v>0</v>
      </c>
      <c r="AE232" s="55">
        <f>VLOOKUP($E232,'NI-San_SP'!$C:$AN,MID(AE$1,1,2),FALSE)</f>
        <v>0</v>
      </c>
      <c r="AF232" s="55">
        <f>VLOOKUP($E232,'NI-San_SP'!$C:$AN,MID(AF$1,1,2),FALSE)</f>
        <v>0</v>
      </c>
      <c r="AG232" s="55">
        <f>VLOOKUP($E232,'NI-San_SP'!$C:$AN,MID(AG$1,1,2),FALSE)</f>
        <v>0</v>
      </c>
      <c r="AH232" s="55">
        <f>VLOOKUP($E232,'NI-San_SP'!$C:$AN,MID(AH$1,1,2),FALSE)</f>
        <v>0</v>
      </c>
      <c r="AI232" s="55">
        <f>VLOOKUP($E232,'NI-San_SP'!$C:$AN,MID(AI$1,1,2),FALSE)</f>
        <v>0</v>
      </c>
      <c r="AJ232" s="55">
        <f>VLOOKUP($E232,'NI-San_SP'!$C:$AN,MID(AJ$1,1,2),FALSE)</f>
        <v>0</v>
      </c>
      <c r="AK232" s="55">
        <f>VLOOKUP($E232,'NI-San_SP'!$C:$AN,MID(AK$1,1,2),FALSE)</f>
        <v>0</v>
      </c>
      <c r="AL232" s="55">
        <f>VLOOKUP($E232,'NI-San_SP'!$C:$AN,MID(AL$1,1,2),FALSE)</f>
        <v>0</v>
      </c>
      <c r="AM232" s="56">
        <f>VLOOKUP($E232,'NI-San_SP'!$C:$AN,MID(AM$1,1,2),FALSE)</f>
        <v>0</v>
      </c>
      <c r="AN232" s="30" t="str">
        <f t="shared" si="3"/>
        <v>10208010030020</v>
      </c>
    </row>
    <row r="233" spans="3:40" x14ac:dyDescent="0.25">
      <c r="C233" s="40"/>
      <c r="D233" s="57" t="s">
        <v>881</v>
      </c>
      <c r="E233" s="57" t="s">
        <v>882</v>
      </c>
      <c r="F233" s="58" t="s">
        <v>110</v>
      </c>
      <c r="G233" s="52"/>
      <c r="H233" s="52"/>
      <c r="I233" s="52"/>
      <c r="J233" s="52"/>
      <c r="K233" s="59" t="s">
        <v>79</v>
      </c>
      <c r="L233" s="52"/>
      <c r="M233" s="52"/>
      <c r="N233" s="52"/>
      <c r="O233" s="52"/>
      <c r="P233" s="64" t="s">
        <v>883</v>
      </c>
      <c r="Q233" s="55">
        <f>VLOOKUP(E233,'NI-San_SP'!$C:$AN,12,FALSE)</f>
        <v>0</v>
      </c>
      <c r="R233" s="55">
        <f>VLOOKUP(E233,'NI-San_SP'!$C:$AN,13,FALSE)</f>
        <v>0</v>
      </c>
      <c r="S233" s="55"/>
      <c r="T233" s="55"/>
      <c r="U233" s="55">
        <f>VLOOKUP($E233,'NI-San_SP'!$C:$AN,MID(U$1,1,2),FALSE)</f>
        <v>0</v>
      </c>
      <c r="V233" s="55">
        <f>VLOOKUP($E233,'NI-San_SP'!$C:$AN,MID(V$1,1,2),FALSE)</f>
        <v>0</v>
      </c>
      <c r="W233" s="55">
        <f>VLOOKUP($E233,'NI-San_SP'!$C:$AN,MID(W$1,1,2),FALSE)</f>
        <v>0</v>
      </c>
      <c r="X233" s="55">
        <f>VLOOKUP($E233,'NI-San_SP'!$C:$AN,MID(X$1,1,2),FALSE)</f>
        <v>0</v>
      </c>
      <c r="Y233" s="55">
        <f>VLOOKUP($E233,'NI-San_SP'!$C:$AN,MID(Y$1,1,2),FALSE)</f>
        <v>0</v>
      </c>
      <c r="Z233" s="55">
        <f>VLOOKUP($E233,'NI-San_SP'!$C:$AN,MID(Z$1,1,2),FALSE)</f>
        <v>0</v>
      </c>
      <c r="AA233" s="55">
        <f>VLOOKUP($E233,'NI-San_SP'!$C:$AN,MID(AA$1,1,2),FALSE)</f>
        <v>0</v>
      </c>
      <c r="AB233" s="55">
        <f>VLOOKUP($E233,'NI-San_SP'!$C:$AN,MID(AB$1,1,2),FALSE)</f>
        <v>0</v>
      </c>
      <c r="AC233" s="55">
        <f>VLOOKUP($E233,'NI-San_SP'!$C:$AN,MID(AC$1,1,2),FALSE)</f>
        <v>0</v>
      </c>
      <c r="AD233" s="55">
        <f>VLOOKUP($E233,'NI-San_SP'!$C:$AN,MID(AD$1,1,2),FALSE)</f>
        <v>0</v>
      </c>
      <c r="AE233" s="55">
        <f>VLOOKUP($E233,'NI-San_SP'!$C:$AN,MID(AE$1,1,2),FALSE)</f>
        <v>0</v>
      </c>
      <c r="AF233" s="55">
        <f>VLOOKUP($E233,'NI-San_SP'!$C:$AN,MID(AF$1,1,2),FALSE)</f>
        <v>0</v>
      </c>
      <c r="AG233" s="55">
        <f>VLOOKUP($E233,'NI-San_SP'!$C:$AN,MID(AG$1,1,2),FALSE)</f>
        <v>0</v>
      </c>
      <c r="AH233" s="55">
        <f>VLOOKUP($E233,'NI-San_SP'!$C:$AN,MID(AH$1,1,2),FALSE)</f>
        <v>0</v>
      </c>
      <c r="AI233" s="55">
        <f>VLOOKUP($E233,'NI-San_SP'!$C:$AN,MID(AI$1,1,2),FALSE)</f>
        <v>0</v>
      </c>
      <c r="AJ233" s="55">
        <f>VLOOKUP($E233,'NI-San_SP'!$C:$AN,MID(AJ$1,1,2),FALSE)</f>
        <v>0</v>
      </c>
      <c r="AK233" s="55">
        <f>VLOOKUP($E233,'NI-San_SP'!$C:$AN,MID(AK$1,1,2),FALSE)</f>
        <v>0</v>
      </c>
      <c r="AL233" s="55">
        <f>VLOOKUP($E233,'NI-San_SP'!$C:$AN,MID(AL$1,1,2),FALSE)</f>
        <v>0</v>
      </c>
      <c r="AM233" s="56">
        <f>VLOOKUP($E233,'NI-San_SP'!$C:$AN,MID(AM$1,1,2),FALSE)</f>
        <v>0</v>
      </c>
      <c r="AN233" s="30" t="str">
        <f t="shared" si="3"/>
        <v>10208010040010</v>
      </c>
    </row>
    <row r="234" spans="3:40" x14ac:dyDescent="0.25">
      <c r="C234" s="40"/>
      <c r="D234" s="57" t="s">
        <v>884</v>
      </c>
      <c r="E234" s="57" t="s">
        <v>885</v>
      </c>
      <c r="F234" s="58" t="s">
        <v>110</v>
      </c>
      <c r="G234" s="52"/>
      <c r="H234" s="52"/>
      <c r="I234" s="52"/>
      <c r="J234" s="52"/>
      <c r="K234" s="59" t="s">
        <v>79</v>
      </c>
      <c r="L234" s="52"/>
      <c r="M234" s="52"/>
      <c r="N234" s="52"/>
      <c r="O234" s="52"/>
      <c r="P234" s="64" t="s">
        <v>886</v>
      </c>
      <c r="Q234" s="55">
        <f>VLOOKUP(E234,'NI-San_SP'!$C:$AN,12,FALSE)</f>
        <v>0</v>
      </c>
      <c r="R234" s="55">
        <f>VLOOKUP(E234,'NI-San_SP'!$C:$AN,13,FALSE)</f>
        <v>0</v>
      </c>
      <c r="S234" s="55"/>
      <c r="T234" s="55"/>
      <c r="U234" s="55">
        <f>VLOOKUP($E234,'NI-San_SP'!$C:$AN,MID(U$1,1,2),FALSE)</f>
        <v>0</v>
      </c>
      <c r="V234" s="55">
        <f>VLOOKUP($E234,'NI-San_SP'!$C:$AN,MID(V$1,1,2),FALSE)</f>
        <v>0</v>
      </c>
      <c r="W234" s="55">
        <f>VLOOKUP($E234,'NI-San_SP'!$C:$AN,MID(W$1,1,2),FALSE)</f>
        <v>0</v>
      </c>
      <c r="X234" s="55">
        <f>VLOOKUP($E234,'NI-San_SP'!$C:$AN,MID(X$1,1,2),FALSE)</f>
        <v>0</v>
      </c>
      <c r="Y234" s="55">
        <f>VLOOKUP($E234,'NI-San_SP'!$C:$AN,MID(Y$1,1,2),FALSE)</f>
        <v>0</v>
      </c>
      <c r="Z234" s="55">
        <f>VLOOKUP($E234,'NI-San_SP'!$C:$AN,MID(Z$1,1,2),FALSE)</f>
        <v>0</v>
      </c>
      <c r="AA234" s="55">
        <f>VLOOKUP($E234,'NI-San_SP'!$C:$AN,MID(AA$1,1,2),FALSE)</f>
        <v>0</v>
      </c>
      <c r="AB234" s="55">
        <f>VLOOKUP($E234,'NI-San_SP'!$C:$AN,MID(AB$1,1,2),FALSE)</f>
        <v>0</v>
      </c>
      <c r="AC234" s="55">
        <f>VLOOKUP($E234,'NI-San_SP'!$C:$AN,MID(AC$1,1,2),FALSE)</f>
        <v>0</v>
      </c>
      <c r="AD234" s="55">
        <f>VLOOKUP($E234,'NI-San_SP'!$C:$AN,MID(AD$1,1,2),FALSE)</f>
        <v>0</v>
      </c>
      <c r="AE234" s="55">
        <f>VLOOKUP($E234,'NI-San_SP'!$C:$AN,MID(AE$1,1,2),FALSE)</f>
        <v>0</v>
      </c>
      <c r="AF234" s="55">
        <f>VLOOKUP($E234,'NI-San_SP'!$C:$AN,MID(AF$1,1,2),FALSE)</f>
        <v>0</v>
      </c>
      <c r="AG234" s="55">
        <f>VLOOKUP($E234,'NI-San_SP'!$C:$AN,MID(AG$1,1,2),FALSE)</f>
        <v>0</v>
      </c>
      <c r="AH234" s="55">
        <f>VLOOKUP($E234,'NI-San_SP'!$C:$AN,MID(AH$1,1,2),FALSE)</f>
        <v>0</v>
      </c>
      <c r="AI234" s="55">
        <f>VLOOKUP($E234,'NI-San_SP'!$C:$AN,MID(AI$1,1,2),FALSE)</f>
        <v>0</v>
      </c>
      <c r="AJ234" s="55">
        <f>VLOOKUP($E234,'NI-San_SP'!$C:$AN,MID(AJ$1,1,2),FALSE)</f>
        <v>0</v>
      </c>
      <c r="AK234" s="55">
        <f>VLOOKUP($E234,'NI-San_SP'!$C:$AN,MID(AK$1,1,2),FALSE)</f>
        <v>0</v>
      </c>
      <c r="AL234" s="55">
        <f>VLOOKUP($E234,'NI-San_SP'!$C:$AN,MID(AL$1,1,2),FALSE)</f>
        <v>0</v>
      </c>
      <c r="AM234" s="56">
        <f>VLOOKUP($E234,'NI-San_SP'!$C:$AN,MID(AM$1,1,2),FALSE)</f>
        <v>0</v>
      </c>
      <c r="AN234" s="30" t="str">
        <f t="shared" si="3"/>
        <v>10208010040020</v>
      </c>
    </row>
    <row r="235" spans="3:40" x14ac:dyDescent="0.25">
      <c r="C235" s="40"/>
      <c r="D235" s="57" t="s">
        <v>887</v>
      </c>
      <c r="E235" s="57" t="s">
        <v>888</v>
      </c>
      <c r="F235" s="58" t="s">
        <v>110</v>
      </c>
      <c r="G235" s="52"/>
      <c r="H235" s="52"/>
      <c r="I235" s="52"/>
      <c r="J235" s="52"/>
      <c r="K235" s="59" t="s">
        <v>79</v>
      </c>
      <c r="L235" s="52"/>
      <c r="M235" s="52"/>
      <c r="N235" s="52"/>
      <c r="O235" s="52"/>
      <c r="P235" s="64" t="s">
        <v>889</v>
      </c>
      <c r="Q235" s="55">
        <f>VLOOKUP(E235,'NI-San_SP'!$C:$AN,12,FALSE)</f>
        <v>143489</v>
      </c>
      <c r="R235" s="55">
        <f>VLOOKUP(E235,'NI-San_SP'!$C:$AN,13,FALSE)</f>
        <v>143489</v>
      </c>
      <c r="S235" s="55"/>
      <c r="T235" s="55"/>
      <c r="U235" s="55">
        <f>VLOOKUP($E235,'NI-San_SP'!$C:$AN,MID(U$1,1,2),FALSE)</f>
        <v>0</v>
      </c>
      <c r="V235" s="55">
        <f>VLOOKUP($E235,'NI-San_SP'!$C:$AN,MID(V$1,1,2),FALSE)</f>
        <v>143489</v>
      </c>
      <c r="W235" s="55">
        <f>VLOOKUP($E235,'NI-San_SP'!$C:$AN,MID(W$1,1,2),FALSE)</f>
        <v>0</v>
      </c>
      <c r="X235" s="55">
        <f>VLOOKUP($E235,'NI-San_SP'!$C:$AN,MID(X$1,1,2),FALSE)</f>
        <v>0</v>
      </c>
      <c r="Y235" s="55">
        <f>VLOOKUP($E235,'NI-San_SP'!$C:$AN,MID(Y$1,1,2),FALSE)</f>
        <v>0</v>
      </c>
      <c r="Z235" s="55">
        <f>VLOOKUP($E235,'NI-San_SP'!$C:$AN,MID(Z$1,1,2),FALSE)</f>
        <v>0</v>
      </c>
      <c r="AA235" s="55">
        <f>VLOOKUP($E235,'NI-San_SP'!$C:$AN,MID(AA$1,1,2),FALSE)</f>
        <v>0</v>
      </c>
      <c r="AB235" s="55">
        <f>VLOOKUP($E235,'NI-San_SP'!$C:$AN,MID(AB$1,1,2),FALSE)</f>
        <v>0</v>
      </c>
      <c r="AC235" s="55">
        <f>VLOOKUP($E235,'NI-San_SP'!$C:$AN,MID(AC$1,1,2),FALSE)</f>
        <v>0</v>
      </c>
      <c r="AD235" s="55">
        <f>VLOOKUP($E235,'NI-San_SP'!$C:$AN,MID(AD$1,1,2),FALSE)</f>
        <v>0</v>
      </c>
      <c r="AE235" s="55">
        <f>VLOOKUP($E235,'NI-San_SP'!$C:$AN,MID(AE$1,1,2),FALSE)</f>
        <v>0</v>
      </c>
      <c r="AF235" s="55">
        <f>VLOOKUP($E235,'NI-San_SP'!$C:$AN,MID(AF$1,1,2),FALSE)</f>
        <v>0</v>
      </c>
      <c r="AG235" s="55">
        <f>VLOOKUP($E235,'NI-San_SP'!$C:$AN,MID(AG$1,1,2),FALSE)</f>
        <v>0</v>
      </c>
      <c r="AH235" s="55">
        <f>VLOOKUP($E235,'NI-San_SP'!$C:$AN,MID(AH$1,1,2),FALSE)</f>
        <v>0</v>
      </c>
      <c r="AI235" s="55">
        <f>VLOOKUP($E235,'NI-San_SP'!$C:$AN,MID(AI$1,1,2),FALSE)</f>
        <v>0</v>
      </c>
      <c r="AJ235" s="55">
        <f>VLOOKUP($E235,'NI-San_SP'!$C:$AN,MID(AJ$1,1,2),FALSE)</f>
        <v>0</v>
      </c>
      <c r="AK235" s="55">
        <f>VLOOKUP($E235,'NI-San_SP'!$C:$AN,MID(AK$1,1,2),FALSE)</f>
        <v>0</v>
      </c>
      <c r="AL235" s="55">
        <f>VLOOKUP($E235,'NI-San_SP'!$C:$AN,MID(AL$1,1,2),FALSE)</f>
        <v>0</v>
      </c>
      <c r="AM235" s="56">
        <f>VLOOKUP($E235,'NI-San_SP'!$C:$AN,MID(AM$1,1,2),FALSE)</f>
        <v>0</v>
      </c>
      <c r="AN235" s="30" t="str">
        <f t="shared" si="3"/>
        <v>10208010050010</v>
      </c>
    </row>
    <row r="236" spans="3:40" x14ac:dyDescent="0.25">
      <c r="C236" s="40"/>
      <c r="D236" s="57" t="s">
        <v>890</v>
      </c>
      <c r="E236" s="57" t="s">
        <v>891</v>
      </c>
      <c r="F236" s="58" t="s">
        <v>110</v>
      </c>
      <c r="G236" s="52"/>
      <c r="H236" s="52"/>
      <c r="I236" s="52"/>
      <c r="J236" s="52"/>
      <c r="K236" s="59" t="s">
        <v>79</v>
      </c>
      <c r="L236" s="52"/>
      <c r="M236" s="52"/>
      <c r="N236" s="52"/>
      <c r="O236" s="52"/>
      <c r="P236" s="64" t="s">
        <v>892</v>
      </c>
      <c r="Q236" s="55">
        <f>VLOOKUP(E236,'NI-San_SP'!$C:$AN,12,FALSE)</f>
        <v>16103</v>
      </c>
      <c r="R236" s="55">
        <f>VLOOKUP(E236,'NI-San_SP'!$C:$AN,13,FALSE)</f>
        <v>16103</v>
      </c>
      <c r="S236" s="55"/>
      <c r="T236" s="55"/>
      <c r="U236" s="55">
        <f>VLOOKUP($E236,'NI-San_SP'!$C:$AN,MID(U$1,1,2),FALSE)</f>
        <v>0</v>
      </c>
      <c r="V236" s="55">
        <f>VLOOKUP($E236,'NI-San_SP'!$C:$AN,MID(V$1,1,2),FALSE)</f>
        <v>16103</v>
      </c>
      <c r="W236" s="55">
        <f>VLOOKUP($E236,'NI-San_SP'!$C:$AN,MID(W$1,1,2),FALSE)</f>
        <v>0</v>
      </c>
      <c r="X236" s="55">
        <f>VLOOKUP($E236,'NI-San_SP'!$C:$AN,MID(X$1,1,2),FALSE)</f>
        <v>0</v>
      </c>
      <c r="Y236" s="55">
        <f>VLOOKUP($E236,'NI-San_SP'!$C:$AN,MID(Y$1,1,2),FALSE)</f>
        <v>0</v>
      </c>
      <c r="Z236" s="55">
        <f>VLOOKUP($E236,'NI-San_SP'!$C:$AN,MID(Z$1,1,2),FALSE)</f>
        <v>0</v>
      </c>
      <c r="AA236" s="55">
        <f>VLOOKUP($E236,'NI-San_SP'!$C:$AN,MID(AA$1,1,2),FALSE)</f>
        <v>0</v>
      </c>
      <c r="AB236" s="55">
        <f>VLOOKUP($E236,'NI-San_SP'!$C:$AN,MID(AB$1,1,2),FALSE)</f>
        <v>0</v>
      </c>
      <c r="AC236" s="55">
        <f>VLOOKUP($E236,'NI-San_SP'!$C:$AN,MID(AC$1,1,2),FALSE)</f>
        <v>0</v>
      </c>
      <c r="AD236" s="55">
        <f>VLOOKUP($E236,'NI-San_SP'!$C:$AN,MID(AD$1,1,2),FALSE)</f>
        <v>0</v>
      </c>
      <c r="AE236" s="55">
        <f>VLOOKUP($E236,'NI-San_SP'!$C:$AN,MID(AE$1,1,2),FALSE)</f>
        <v>0</v>
      </c>
      <c r="AF236" s="55">
        <f>VLOOKUP($E236,'NI-San_SP'!$C:$AN,MID(AF$1,1,2),FALSE)</f>
        <v>0</v>
      </c>
      <c r="AG236" s="55">
        <f>VLOOKUP($E236,'NI-San_SP'!$C:$AN,MID(AG$1,1,2),FALSE)</f>
        <v>0</v>
      </c>
      <c r="AH236" s="55">
        <f>VLOOKUP($E236,'NI-San_SP'!$C:$AN,MID(AH$1,1,2),FALSE)</f>
        <v>0</v>
      </c>
      <c r="AI236" s="55">
        <f>VLOOKUP($E236,'NI-San_SP'!$C:$AN,MID(AI$1,1,2),FALSE)</f>
        <v>0</v>
      </c>
      <c r="AJ236" s="55">
        <f>VLOOKUP($E236,'NI-San_SP'!$C:$AN,MID(AJ$1,1,2),FALSE)</f>
        <v>0</v>
      </c>
      <c r="AK236" s="55">
        <f>VLOOKUP($E236,'NI-San_SP'!$C:$AN,MID(AK$1,1,2),FALSE)</f>
        <v>0</v>
      </c>
      <c r="AL236" s="55">
        <f>VLOOKUP($E236,'NI-San_SP'!$C:$AN,MID(AL$1,1,2),FALSE)</f>
        <v>0</v>
      </c>
      <c r="AM236" s="56">
        <f>VLOOKUP($E236,'NI-San_SP'!$C:$AN,MID(AM$1,1,2),FALSE)</f>
        <v>0</v>
      </c>
      <c r="AN236" s="30" t="str">
        <f t="shared" si="3"/>
        <v>10208010050020</v>
      </c>
    </row>
    <row r="237" spans="3:40" x14ac:dyDescent="0.25">
      <c r="C237" s="40"/>
      <c r="D237" s="57" t="s">
        <v>893</v>
      </c>
      <c r="E237" s="57" t="s">
        <v>894</v>
      </c>
      <c r="F237" s="58" t="s">
        <v>110</v>
      </c>
      <c r="G237" s="52"/>
      <c r="H237" s="52"/>
      <c r="I237" s="52"/>
      <c r="J237" s="52"/>
      <c r="K237" s="59" t="s">
        <v>79</v>
      </c>
      <c r="L237" s="52"/>
      <c r="M237" s="52"/>
      <c r="N237" s="52"/>
      <c r="O237" s="52"/>
      <c r="P237" s="63" t="s">
        <v>895</v>
      </c>
      <c r="Q237" s="55">
        <f>VLOOKUP(E237,'NI-San_SP'!$C:$AN,12,FALSE)</f>
        <v>1529613</v>
      </c>
      <c r="R237" s="55">
        <f>VLOOKUP(E237,'NI-San_SP'!$C:$AN,13,FALSE)</f>
        <v>1523350</v>
      </c>
      <c r="S237" s="55"/>
      <c r="T237" s="55"/>
      <c r="U237" s="55">
        <f>VLOOKUP($E237,'NI-San_SP'!$C:$AN,MID(U$1,1,2),FALSE)</f>
        <v>0</v>
      </c>
      <c r="V237" s="55">
        <f>VLOOKUP($E237,'NI-San_SP'!$C:$AN,MID(V$1,1,2),FALSE)</f>
        <v>1529613</v>
      </c>
      <c r="W237" s="55">
        <f>VLOOKUP($E237,'NI-San_SP'!$C:$AN,MID(W$1,1,2),FALSE)</f>
        <v>0</v>
      </c>
      <c r="X237" s="55">
        <f>VLOOKUP($E237,'NI-San_SP'!$C:$AN,MID(X$1,1,2),FALSE)</f>
        <v>0</v>
      </c>
      <c r="Y237" s="55">
        <f>VLOOKUP($E237,'NI-San_SP'!$C:$AN,MID(Y$1,1,2),FALSE)</f>
        <v>0</v>
      </c>
      <c r="Z237" s="55">
        <f>VLOOKUP($E237,'NI-San_SP'!$C:$AN,MID(Z$1,1,2),FALSE)</f>
        <v>0</v>
      </c>
      <c r="AA237" s="55">
        <f>VLOOKUP($E237,'NI-San_SP'!$C:$AN,MID(AA$1,1,2),FALSE)</f>
        <v>0</v>
      </c>
      <c r="AB237" s="55">
        <f>VLOOKUP($E237,'NI-San_SP'!$C:$AN,MID(AB$1,1,2),FALSE)</f>
        <v>0</v>
      </c>
      <c r="AC237" s="55">
        <f>VLOOKUP($E237,'NI-San_SP'!$C:$AN,MID(AC$1,1,2),FALSE)</f>
        <v>0</v>
      </c>
      <c r="AD237" s="55">
        <f>VLOOKUP($E237,'NI-San_SP'!$C:$AN,MID(AD$1,1,2),FALSE)</f>
        <v>0</v>
      </c>
      <c r="AE237" s="55">
        <f>VLOOKUP($E237,'NI-San_SP'!$C:$AN,MID(AE$1,1,2),FALSE)</f>
        <v>0</v>
      </c>
      <c r="AF237" s="55">
        <f>VLOOKUP($E237,'NI-San_SP'!$C:$AN,MID(AF$1,1,2),FALSE)</f>
        <v>0</v>
      </c>
      <c r="AG237" s="55">
        <f>VLOOKUP($E237,'NI-San_SP'!$C:$AN,MID(AG$1,1,2),FALSE)</f>
        <v>0</v>
      </c>
      <c r="AH237" s="55">
        <f>VLOOKUP($E237,'NI-San_SP'!$C:$AN,MID(AH$1,1,2),FALSE)</f>
        <v>0</v>
      </c>
      <c r="AI237" s="55">
        <f>VLOOKUP($E237,'NI-San_SP'!$C:$AN,MID(AI$1,1,2),FALSE)</f>
        <v>6263</v>
      </c>
      <c r="AJ237" s="55">
        <f>VLOOKUP($E237,'NI-San_SP'!$C:$AN,MID(AJ$1,1,2),FALSE)</f>
        <v>0</v>
      </c>
      <c r="AK237" s="55">
        <f>VLOOKUP($E237,'NI-San_SP'!$C:$AN,MID(AK$1,1,2),FALSE)</f>
        <v>0</v>
      </c>
      <c r="AL237" s="55">
        <f>VLOOKUP($E237,'NI-San_SP'!$C:$AN,MID(AL$1,1,2),FALSE)</f>
        <v>0</v>
      </c>
      <c r="AM237" s="56">
        <f>VLOOKUP($E237,'NI-San_SP'!$C:$AN,MID(AM$1,1,2),FALSE)</f>
        <v>0</v>
      </c>
      <c r="AN237" s="30" t="str">
        <f t="shared" si="3"/>
        <v>10208010060010</v>
      </c>
    </row>
    <row r="238" spans="3:40" x14ac:dyDescent="0.25">
      <c r="C238" s="40"/>
      <c r="D238" s="57" t="s">
        <v>896</v>
      </c>
      <c r="E238" s="57" t="s">
        <v>897</v>
      </c>
      <c r="F238" s="58" t="s">
        <v>110</v>
      </c>
      <c r="G238" s="52"/>
      <c r="H238" s="52"/>
      <c r="I238" s="52"/>
      <c r="J238" s="52"/>
      <c r="K238" s="59" t="s">
        <v>79</v>
      </c>
      <c r="L238" s="52"/>
      <c r="M238" s="52"/>
      <c r="N238" s="52"/>
      <c r="O238" s="52"/>
      <c r="P238" s="63" t="s">
        <v>898</v>
      </c>
      <c r="Q238" s="55">
        <f>VLOOKUP(E238,'NI-San_SP'!$C:$AN,12,FALSE)</f>
        <v>1571890</v>
      </c>
      <c r="R238" s="55">
        <f>VLOOKUP(E238,'NI-San_SP'!$C:$AN,13,FALSE)</f>
        <v>1588515</v>
      </c>
      <c r="S238" s="55"/>
      <c r="T238" s="55"/>
      <c r="U238" s="55">
        <f>VLOOKUP($E238,'NI-San_SP'!$C:$AN,MID(U$1,1,2),FALSE)</f>
        <v>0</v>
      </c>
      <c r="V238" s="55">
        <f>VLOOKUP($E238,'NI-San_SP'!$C:$AN,MID(V$1,1,2),FALSE)</f>
        <v>1571890</v>
      </c>
      <c r="W238" s="55">
        <f>VLOOKUP($E238,'NI-San_SP'!$C:$AN,MID(W$1,1,2),FALSE)</f>
        <v>0</v>
      </c>
      <c r="X238" s="55">
        <f>VLOOKUP($E238,'NI-San_SP'!$C:$AN,MID(X$1,1,2),FALSE)</f>
        <v>0</v>
      </c>
      <c r="Y238" s="55">
        <f>VLOOKUP($E238,'NI-San_SP'!$C:$AN,MID(Y$1,1,2),FALSE)</f>
        <v>0</v>
      </c>
      <c r="Z238" s="55">
        <f>VLOOKUP($E238,'NI-San_SP'!$C:$AN,MID(Z$1,1,2),FALSE)</f>
        <v>0</v>
      </c>
      <c r="AA238" s="55">
        <f>VLOOKUP($E238,'NI-San_SP'!$C:$AN,MID(AA$1,1,2),FALSE)</f>
        <v>0</v>
      </c>
      <c r="AB238" s="55">
        <f>VLOOKUP($E238,'NI-San_SP'!$C:$AN,MID(AB$1,1,2),FALSE)</f>
        <v>0</v>
      </c>
      <c r="AC238" s="55">
        <f>VLOOKUP($E238,'NI-San_SP'!$C:$AN,MID(AC$1,1,2),FALSE)</f>
        <v>0</v>
      </c>
      <c r="AD238" s="55">
        <f>VLOOKUP($E238,'NI-San_SP'!$C:$AN,MID(AD$1,1,2),FALSE)</f>
        <v>0</v>
      </c>
      <c r="AE238" s="55">
        <f>VLOOKUP($E238,'NI-San_SP'!$C:$AN,MID(AE$1,1,2),FALSE)</f>
        <v>0</v>
      </c>
      <c r="AF238" s="55">
        <f>VLOOKUP($E238,'NI-San_SP'!$C:$AN,MID(AF$1,1,2),FALSE)</f>
        <v>17615</v>
      </c>
      <c r="AG238" s="55">
        <f>VLOOKUP($E238,'NI-San_SP'!$C:$AN,MID(AG$1,1,2),FALSE)</f>
        <v>0</v>
      </c>
      <c r="AH238" s="55">
        <f>VLOOKUP($E238,'NI-San_SP'!$C:$AN,MID(AH$1,1,2),FALSE)</f>
        <v>0</v>
      </c>
      <c r="AI238" s="55">
        <f>VLOOKUP($E238,'NI-San_SP'!$C:$AN,MID(AI$1,1,2),FALSE)</f>
        <v>990</v>
      </c>
      <c r="AJ238" s="55">
        <f>VLOOKUP($E238,'NI-San_SP'!$C:$AN,MID(AJ$1,1,2),FALSE)</f>
        <v>0</v>
      </c>
      <c r="AK238" s="55">
        <f>VLOOKUP($E238,'NI-San_SP'!$C:$AN,MID(AK$1,1,2),FALSE)</f>
        <v>0</v>
      </c>
      <c r="AL238" s="55">
        <f>VLOOKUP($E238,'NI-San_SP'!$C:$AN,MID(AL$1,1,2),FALSE)</f>
        <v>0</v>
      </c>
      <c r="AM238" s="56">
        <f>VLOOKUP($E238,'NI-San_SP'!$C:$AN,MID(AM$1,1,2),FALSE)</f>
        <v>0</v>
      </c>
      <c r="AN238" s="30" t="str">
        <f t="shared" si="3"/>
        <v>10208010060020</v>
      </c>
    </row>
    <row r="239" spans="3:40" x14ac:dyDescent="0.25">
      <c r="C239" s="40"/>
      <c r="D239" s="57" t="s">
        <v>899</v>
      </c>
      <c r="E239" s="57" t="s">
        <v>900</v>
      </c>
      <c r="F239" s="58" t="s">
        <v>110</v>
      </c>
      <c r="G239" s="52"/>
      <c r="H239" s="52"/>
      <c r="I239" s="52" t="s">
        <v>901</v>
      </c>
      <c r="J239" s="52" t="s">
        <v>901</v>
      </c>
      <c r="K239" s="59" t="s">
        <v>111</v>
      </c>
      <c r="L239" s="62" t="s">
        <v>902</v>
      </c>
      <c r="M239" s="52"/>
      <c r="N239" s="52"/>
      <c r="O239" s="52"/>
      <c r="P239" s="54" t="s">
        <v>903</v>
      </c>
      <c r="Q239" s="55">
        <f>VLOOKUP(E239,'NI-San_SP'!$C:$AN,12,FALSE)</f>
        <v>8638718</v>
      </c>
      <c r="R239" s="55">
        <f>VLOOKUP(E239,'NI-San_SP'!$C:$AN,13,FALSE)</f>
        <v>8612359</v>
      </c>
      <c r="S239" s="55"/>
      <c r="T239" s="55"/>
      <c r="U239" s="55">
        <f>VLOOKUP($E239,'NI-San_SP'!$C:$AN,MID(U$1,1,2),FALSE)</f>
        <v>0</v>
      </c>
      <c r="V239" s="55">
        <f>VLOOKUP($E239,'NI-San_SP'!$C:$AN,MID(V$1,1,2),FALSE)</f>
        <v>8638718</v>
      </c>
      <c r="W239" s="55">
        <f>VLOOKUP($E239,'NI-San_SP'!$C:$AN,MID(W$1,1,2),FALSE)</f>
        <v>0</v>
      </c>
      <c r="X239" s="55">
        <f>VLOOKUP($E239,'NI-San_SP'!$C:$AN,MID(X$1,1,2),FALSE)</f>
        <v>0</v>
      </c>
      <c r="Y239" s="55">
        <f>VLOOKUP($E239,'NI-San_SP'!$C:$AN,MID(Y$1,1,2),FALSE)</f>
        <v>0</v>
      </c>
      <c r="Z239" s="55">
        <f>VLOOKUP($E239,'NI-San_SP'!$C:$AN,MID(Z$1,1,2),FALSE)</f>
        <v>0</v>
      </c>
      <c r="AA239" s="55">
        <f>VLOOKUP($E239,'NI-San_SP'!$C:$AN,MID(AA$1,1,2),FALSE)</f>
        <v>0</v>
      </c>
      <c r="AB239" s="55">
        <f>VLOOKUP($E239,'NI-San_SP'!$C:$AN,MID(AB$1,1,2),FALSE)</f>
        <v>0</v>
      </c>
      <c r="AC239" s="55">
        <f>VLOOKUP($E239,'NI-San_SP'!$C:$AN,MID(AC$1,1,2),FALSE)</f>
        <v>49817</v>
      </c>
      <c r="AD239" s="55">
        <f>VLOOKUP($E239,'NI-San_SP'!$C:$AN,MID(AD$1,1,2),FALSE)</f>
        <v>23458</v>
      </c>
      <c r="AE239" s="55">
        <f>VLOOKUP($E239,'NI-San_SP'!$C:$AN,MID(AE$1,1,2),FALSE)</f>
        <v>0</v>
      </c>
      <c r="AF239" s="55">
        <f>VLOOKUP($E239,'NI-San_SP'!$C:$AN,MID(AF$1,1,2),FALSE)</f>
        <v>0</v>
      </c>
      <c r="AG239" s="55">
        <f>VLOOKUP($E239,'NI-San_SP'!$C:$AN,MID(AG$1,1,2),FALSE)</f>
        <v>0</v>
      </c>
      <c r="AH239" s="55">
        <f>VLOOKUP($E239,'NI-San_SP'!$C:$AN,MID(AH$1,1,2),FALSE)</f>
        <v>0</v>
      </c>
      <c r="AI239" s="55">
        <f>VLOOKUP($E239,'NI-San_SP'!$C:$AN,MID(AI$1,1,2),FALSE)</f>
        <v>0</v>
      </c>
      <c r="AJ239" s="55">
        <f>VLOOKUP($E239,'NI-San_SP'!$C:$AN,MID(AJ$1,1,2),FALSE)</f>
        <v>0</v>
      </c>
      <c r="AK239" s="55">
        <f>VLOOKUP($E239,'NI-San_SP'!$C:$AN,MID(AK$1,1,2),FALSE)</f>
        <v>0</v>
      </c>
      <c r="AL239" s="55">
        <f>VLOOKUP($E239,'NI-San_SP'!$C:$AN,MID(AL$1,1,2),FALSE)</f>
        <v>0</v>
      </c>
      <c r="AM239" s="56">
        <f>VLOOKUP($E239,'NI-San_SP'!$C:$AN,MID(AM$1,1,2),FALSE)</f>
        <v>0</v>
      </c>
      <c r="AN239" s="30" t="str">
        <f t="shared" si="3"/>
        <v>10208020000000</v>
      </c>
    </row>
    <row r="240" spans="3:40" x14ac:dyDescent="0.25">
      <c r="C240" s="40"/>
      <c r="D240" s="57" t="s">
        <v>904</v>
      </c>
      <c r="E240" s="57" t="s">
        <v>905</v>
      </c>
      <c r="F240" s="58" t="s">
        <v>110</v>
      </c>
      <c r="G240" s="52"/>
      <c r="H240" s="52"/>
      <c r="I240" s="52"/>
      <c r="J240" s="52"/>
      <c r="K240" s="59" t="s">
        <v>79</v>
      </c>
      <c r="L240" s="52"/>
      <c r="M240" s="52"/>
      <c r="N240" s="52"/>
      <c r="O240" s="52"/>
      <c r="P240" s="64" t="s">
        <v>906</v>
      </c>
      <c r="Q240" s="55">
        <f>VLOOKUP(E240,'NI-San_SP'!$C:$AN,12,FALSE)</f>
        <v>3717696</v>
      </c>
      <c r="R240" s="55">
        <f>VLOOKUP(E240,'NI-San_SP'!$C:$AN,13,FALSE)</f>
        <v>3687216</v>
      </c>
      <c r="S240" s="55"/>
      <c r="T240" s="55"/>
      <c r="U240" s="55">
        <f>VLOOKUP($E240,'NI-San_SP'!$C:$AN,MID(U$1,1,2),FALSE)</f>
        <v>0</v>
      </c>
      <c r="V240" s="55">
        <f>VLOOKUP($E240,'NI-San_SP'!$C:$AN,MID(V$1,1,2),FALSE)</f>
        <v>3717696</v>
      </c>
      <c r="W240" s="55">
        <f>VLOOKUP($E240,'NI-San_SP'!$C:$AN,MID(W$1,1,2),FALSE)</f>
        <v>0</v>
      </c>
      <c r="X240" s="55">
        <f>VLOOKUP($E240,'NI-San_SP'!$C:$AN,MID(X$1,1,2),FALSE)</f>
        <v>0</v>
      </c>
      <c r="Y240" s="55">
        <f>VLOOKUP($E240,'NI-San_SP'!$C:$AN,MID(Y$1,1,2),FALSE)</f>
        <v>0</v>
      </c>
      <c r="Z240" s="55">
        <f>VLOOKUP($E240,'NI-San_SP'!$C:$AN,MID(Z$1,1,2),FALSE)</f>
        <v>0</v>
      </c>
      <c r="AA240" s="55">
        <f>VLOOKUP($E240,'NI-San_SP'!$C:$AN,MID(AA$1,1,2),FALSE)</f>
        <v>0</v>
      </c>
      <c r="AB240" s="55">
        <f>VLOOKUP($E240,'NI-San_SP'!$C:$AN,MID(AB$1,1,2),FALSE)</f>
        <v>0</v>
      </c>
      <c r="AC240" s="55">
        <f>VLOOKUP($E240,'NI-San_SP'!$C:$AN,MID(AC$1,1,2),FALSE)</f>
        <v>30761</v>
      </c>
      <c r="AD240" s="55">
        <f>VLOOKUP($E240,'NI-San_SP'!$C:$AN,MID(AD$1,1,2),FALSE)</f>
        <v>281</v>
      </c>
      <c r="AE240" s="55">
        <f>VLOOKUP($E240,'NI-San_SP'!$C:$AN,MID(AE$1,1,2),FALSE)</f>
        <v>0</v>
      </c>
      <c r="AF240" s="55">
        <f>VLOOKUP($E240,'NI-San_SP'!$C:$AN,MID(AF$1,1,2),FALSE)</f>
        <v>0</v>
      </c>
      <c r="AG240" s="55">
        <f>VLOOKUP($E240,'NI-San_SP'!$C:$AN,MID(AG$1,1,2),FALSE)</f>
        <v>0</v>
      </c>
      <c r="AH240" s="55">
        <f>VLOOKUP($E240,'NI-San_SP'!$C:$AN,MID(AH$1,1,2),FALSE)</f>
        <v>0</v>
      </c>
      <c r="AI240" s="55">
        <f>VLOOKUP($E240,'NI-San_SP'!$C:$AN,MID(AI$1,1,2),FALSE)</f>
        <v>0</v>
      </c>
      <c r="AJ240" s="55">
        <f>VLOOKUP($E240,'NI-San_SP'!$C:$AN,MID(AJ$1,1,2),FALSE)</f>
        <v>0</v>
      </c>
      <c r="AK240" s="55">
        <f>VLOOKUP($E240,'NI-San_SP'!$C:$AN,MID(AK$1,1,2),FALSE)</f>
        <v>0</v>
      </c>
      <c r="AL240" s="55">
        <f>VLOOKUP($E240,'NI-San_SP'!$C:$AN,MID(AL$1,1,2),FALSE)</f>
        <v>0</v>
      </c>
      <c r="AM240" s="56">
        <f>VLOOKUP($E240,'NI-San_SP'!$C:$AN,MID(AM$1,1,2),FALSE)</f>
        <v>0</v>
      </c>
      <c r="AN240" s="30" t="str">
        <f t="shared" si="3"/>
        <v>10208020010010</v>
      </c>
    </row>
    <row r="241" spans="3:40" x14ac:dyDescent="0.25">
      <c r="C241" s="40"/>
      <c r="D241" s="57" t="s">
        <v>907</v>
      </c>
      <c r="E241" s="57" t="s">
        <v>908</v>
      </c>
      <c r="F241" s="58" t="s">
        <v>110</v>
      </c>
      <c r="G241" s="52"/>
      <c r="H241" s="52"/>
      <c r="I241" s="52"/>
      <c r="J241" s="52"/>
      <c r="K241" s="59" t="s">
        <v>79</v>
      </c>
      <c r="L241" s="52"/>
      <c r="M241" s="52"/>
      <c r="N241" s="52"/>
      <c r="O241" s="52"/>
      <c r="P241" s="64" t="s">
        <v>909</v>
      </c>
      <c r="Q241" s="55">
        <f>VLOOKUP(E241,'NI-San_SP'!$C:$AN,12,FALSE)</f>
        <v>1934341</v>
      </c>
      <c r="R241" s="55">
        <f>VLOOKUP(E241,'NI-San_SP'!$C:$AN,13,FALSE)</f>
        <v>1939084</v>
      </c>
      <c r="S241" s="55"/>
      <c r="T241" s="55"/>
      <c r="U241" s="55">
        <f>VLOOKUP($E241,'NI-San_SP'!$C:$AN,MID(U$1,1,2),FALSE)</f>
        <v>0</v>
      </c>
      <c r="V241" s="55">
        <f>VLOOKUP($E241,'NI-San_SP'!$C:$AN,MID(V$1,1,2),FALSE)</f>
        <v>1934341</v>
      </c>
      <c r="W241" s="55">
        <f>VLOOKUP($E241,'NI-San_SP'!$C:$AN,MID(W$1,1,2),FALSE)</f>
        <v>0</v>
      </c>
      <c r="X241" s="55">
        <f>VLOOKUP($E241,'NI-San_SP'!$C:$AN,MID(X$1,1,2),FALSE)</f>
        <v>0</v>
      </c>
      <c r="Y241" s="55">
        <f>VLOOKUP($E241,'NI-San_SP'!$C:$AN,MID(Y$1,1,2),FALSE)</f>
        <v>0</v>
      </c>
      <c r="Z241" s="55">
        <f>VLOOKUP($E241,'NI-San_SP'!$C:$AN,MID(Z$1,1,2),FALSE)</f>
        <v>0</v>
      </c>
      <c r="AA241" s="55">
        <f>VLOOKUP($E241,'NI-San_SP'!$C:$AN,MID(AA$1,1,2),FALSE)</f>
        <v>0</v>
      </c>
      <c r="AB241" s="55">
        <f>VLOOKUP($E241,'NI-San_SP'!$C:$AN,MID(AB$1,1,2),FALSE)</f>
        <v>0</v>
      </c>
      <c r="AC241" s="55">
        <f>VLOOKUP($E241,'NI-San_SP'!$C:$AN,MID(AC$1,1,2),FALSE)</f>
        <v>5208</v>
      </c>
      <c r="AD241" s="55">
        <f>VLOOKUP($E241,'NI-San_SP'!$C:$AN,MID(AD$1,1,2),FALSE)</f>
        <v>9951</v>
      </c>
      <c r="AE241" s="55">
        <f>VLOOKUP($E241,'NI-San_SP'!$C:$AN,MID(AE$1,1,2),FALSE)</f>
        <v>0</v>
      </c>
      <c r="AF241" s="55">
        <f>VLOOKUP($E241,'NI-San_SP'!$C:$AN,MID(AF$1,1,2),FALSE)</f>
        <v>0</v>
      </c>
      <c r="AG241" s="55">
        <f>VLOOKUP($E241,'NI-San_SP'!$C:$AN,MID(AG$1,1,2),FALSE)</f>
        <v>0</v>
      </c>
      <c r="AH241" s="55">
        <f>VLOOKUP($E241,'NI-San_SP'!$C:$AN,MID(AH$1,1,2),FALSE)</f>
        <v>0</v>
      </c>
      <c r="AI241" s="55">
        <f>VLOOKUP($E241,'NI-San_SP'!$C:$AN,MID(AI$1,1,2),FALSE)</f>
        <v>0</v>
      </c>
      <c r="AJ241" s="55">
        <f>VLOOKUP($E241,'NI-San_SP'!$C:$AN,MID(AJ$1,1,2),FALSE)</f>
        <v>0</v>
      </c>
      <c r="AK241" s="55">
        <f>VLOOKUP($E241,'NI-San_SP'!$C:$AN,MID(AK$1,1,2),FALSE)</f>
        <v>0</v>
      </c>
      <c r="AL241" s="55">
        <f>VLOOKUP($E241,'NI-San_SP'!$C:$AN,MID(AL$1,1,2),FALSE)</f>
        <v>0</v>
      </c>
      <c r="AM241" s="56">
        <f>VLOOKUP($E241,'NI-San_SP'!$C:$AN,MID(AM$1,1,2),FALSE)</f>
        <v>0</v>
      </c>
      <c r="AN241" s="30" t="str">
        <f t="shared" si="3"/>
        <v>10208020010020</v>
      </c>
    </row>
    <row r="242" spans="3:40" x14ac:dyDescent="0.25">
      <c r="C242" s="40"/>
      <c r="D242" s="57" t="s">
        <v>910</v>
      </c>
      <c r="E242" s="57" t="s">
        <v>911</v>
      </c>
      <c r="F242" s="58" t="s">
        <v>110</v>
      </c>
      <c r="G242" s="52"/>
      <c r="H242" s="52"/>
      <c r="I242" s="52"/>
      <c r="J242" s="52"/>
      <c r="K242" s="59" t="s">
        <v>79</v>
      </c>
      <c r="L242" s="52"/>
      <c r="M242" s="52"/>
      <c r="N242" s="52"/>
      <c r="O242" s="52"/>
      <c r="P242" s="66" t="s">
        <v>912</v>
      </c>
      <c r="Q242" s="55">
        <f>VLOOKUP(E242,'NI-San_SP'!$C:$AN,12,FALSE)</f>
        <v>154100</v>
      </c>
      <c r="R242" s="55">
        <f>VLOOKUP(E242,'NI-San_SP'!$C:$AN,13,FALSE)</f>
        <v>148828</v>
      </c>
      <c r="S242" s="55"/>
      <c r="T242" s="55"/>
      <c r="U242" s="55">
        <f>VLOOKUP($E242,'NI-San_SP'!$C:$AN,MID(U$1,1,2),FALSE)</f>
        <v>0</v>
      </c>
      <c r="V242" s="55">
        <f>VLOOKUP($E242,'NI-San_SP'!$C:$AN,MID(V$1,1,2),FALSE)</f>
        <v>154100</v>
      </c>
      <c r="W242" s="55">
        <f>VLOOKUP($E242,'NI-San_SP'!$C:$AN,MID(W$1,1,2),FALSE)</f>
        <v>0</v>
      </c>
      <c r="X242" s="55">
        <f>VLOOKUP($E242,'NI-San_SP'!$C:$AN,MID(X$1,1,2),FALSE)</f>
        <v>0</v>
      </c>
      <c r="Y242" s="55">
        <f>VLOOKUP($E242,'NI-San_SP'!$C:$AN,MID(Y$1,1,2),FALSE)</f>
        <v>0</v>
      </c>
      <c r="Z242" s="55">
        <f>VLOOKUP($E242,'NI-San_SP'!$C:$AN,MID(Z$1,1,2),FALSE)</f>
        <v>0</v>
      </c>
      <c r="AA242" s="55">
        <f>VLOOKUP($E242,'NI-San_SP'!$C:$AN,MID(AA$1,1,2),FALSE)</f>
        <v>0</v>
      </c>
      <c r="AB242" s="55">
        <f>VLOOKUP($E242,'NI-San_SP'!$C:$AN,MID(AB$1,1,2),FALSE)</f>
        <v>0</v>
      </c>
      <c r="AC242" s="55">
        <f>VLOOKUP($E242,'NI-San_SP'!$C:$AN,MID(AC$1,1,2),FALSE)</f>
        <v>5272</v>
      </c>
      <c r="AD242" s="55">
        <f>VLOOKUP($E242,'NI-San_SP'!$C:$AN,MID(AD$1,1,2),FALSE)</f>
        <v>0</v>
      </c>
      <c r="AE242" s="55">
        <f>VLOOKUP($E242,'NI-San_SP'!$C:$AN,MID(AE$1,1,2),FALSE)</f>
        <v>0</v>
      </c>
      <c r="AF242" s="55">
        <f>VLOOKUP($E242,'NI-San_SP'!$C:$AN,MID(AF$1,1,2),FALSE)</f>
        <v>0</v>
      </c>
      <c r="AG242" s="55">
        <f>VLOOKUP($E242,'NI-San_SP'!$C:$AN,MID(AG$1,1,2),FALSE)</f>
        <v>0</v>
      </c>
      <c r="AH242" s="55">
        <f>VLOOKUP($E242,'NI-San_SP'!$C:$AN,MID(AH$1,1,2),FALSE)</f>
        <v>0</v>
      </c>
      <c r="AI242" s="55">
        <f>VLOOKUP($E242,'NI-San_SP'!$C:$AN,MID(AI$1,1,2),FALSE)</f>
        <v>0</v>
      </c>
      <c r="AJ242" s="55">
        <f>VLOOKUP($E242,'NI-San_SP'!$C:$AN,MID(AJ$1,1,2),FALSE)</f>
        <v>0</v>
      </c>
      <c r="AK242" s="55">
        <f>VLOOKUP($E242,'NI-San_SP'!$C:$AN,MID(AK$1,1,2),FALSE)</f>
        <v>0</v>
      </c>
      <c r="AL242" s="55">
        <f>VLOOKUP($E242,'NI-San_SP'!$C:$AN,MID(AL$1,1,2),FALSE)</f>
        <v>0</v>
      </c>
      <c r="AM242" s="56">
        <f>VLOOKUP($E242,'NI-San_SP'!$C:$AN,MID(AM$1,1,2),FALSE)</f>
        <v>0</v>
      </c>
      <c r="AN242" s="30" t="str">
        <f t="shared" si="3"/>
        <v>10208020020010</v>
      </c>
    </row>
    <row r="243" spans="3:40" x14ac:dyDescent="0.25">
      <c r="C243" s="40"/>
      <c r="D243" s="57" t="s">
        <v>913</v>
      </c>
      <c r="E243" s="57" t="s">
        <v>914</v>
      </c>
      <c r="F243" s="58" t="s">
        <v>110</v>
      </c>
      <c r="G243" s="52"/>
      <c r="H243" s="52"/>
      <c r="I243" s="52"/>
      <c r="J243" s="52"/>
      <c r="K243" s="59" t="s">
        <v>79</v>
      </c>
      <c r="L243" s="52"/>
      <c r="M243" s="52"/>
      <c r="N243" s="52"/>
      <c r="O243" s="52"/>
      <c r="P243" s="66" t="s">
        <v>915</v>
      </c>
      <c r="Q243" s="55">
        <f>VLOOKUP(E243,'NI-San_SP'!$C:$AN,12,FALSE)</f>
        <v>154848</v>
      </c>
      <c r="R243" s="55">
        <f>VLOOKUP(E243,'NI-San_SP'!$C:$AN,13,FALSE)</f>
        <v>153683</v>
      </c>
      <c r="S243" s="55"/>
      <c r="T243" s="55"/>
      <c r="U243" s="55">
        <f>VLOOKUP($E243,'NI-San_SP'!$C:$AN,MID(U$1,1,2),FALSE)</f>
        <v>0</v>
      </c>
      <c r="V243" s="55">
        <f>VLOOKUP($E243,'NI-San_SP'!$C:$AN,MID(V$1,1,2),FALSE)</f>
        <v>154848</v>
      </c>
      <c r="W243" s="55">
        <f>VLOOKUP($E243,'NI-San_SP'!$C:$AN,MID(W$1,1,2),FALSE)</f>
        <v>0</v>
      </c>
      <c r="X243" s="55">
        <f>VLOOKUP($E243,'NI-San_SP'!$C:$AN,MID(X$1,1,2),FALSE)</f>
        <v>0</v>
      </c>
      <c r="Y243" s="55">
        <f>VLOOKUP($E243,'NI-San_SP'!$C:$AN,MID(Y$1,1,2),FALSE)</f>
        <v>0</v>
      </c>
      <c r="Z243" s="55">
        <f>VLOOKUP($E243,'NI-San_SP'!$C:$AN,MID(Z$1,1,2),FALSE)</f>
        <v>0</v>
      </c>
      <c r="AA243" s="55">
        <f>VLOOKUP($E243,'NI-San_SP'!$C:$AN,MID(AA$1,1,2),FALSE)</f>
        <v>0</v>
      </c>
      <c r="AB243" s="55">
        <f>VLOOKUP($E243,'NI-San_SP'!$C:$AN,MID(AB$1,1,2),FALSE)</f>
        <v>0</v>
      </c>
      <c r="AC243" s="55">
        <f>VLOOKUP($E243,'NI-San_SP'!$C:$AN,MID(AC$1,1,2),FALSE)</f>
        <v>1323</v>
      </c>
      <c r="AD243" s="55">
        <f>VLOOKUP($E243,'NI-San_SP'!$C:$AN,MID(AD$1,1,2),FALSE)</f>
        <v>158</v>
      </c>
      <c r="AE243" s="55">
        <f>VLOOKUP($E243,'NI-San_SP'!$C:$AN,MID(AE$1,1,2),FALSE)</f>
        <v>0</v>
      </c>
      <c r="AF243" s="55">
        <f>VLOOKUP($E243,'NI-San_SP'!$C:$AN,MID(AF$1,1,2),FALSE)</f>
        <v>0</v>
      </c>
      <c r="AG243" s="55">
        <f>VLOOKUP($E243,'NI-San_SP'!$C:$AN,MID(AG$1,1,2),FALSE)</f>
        <v>0</v>
      </c>
      <c r="AH243" s="55">
        <f>VLOOKUP($E243,'NI-San_SP'!$C:$AN,MID(AH$1,1,2),FALSE)</f>
        <v>0</v>
      </c>
      <c r="AI243" s="55">
        <f>VLOOKUP($E243,'NI-San_SP'!$C:$AN,MID(AI$1,1,2),FALSE)</f>
        <v>0</v>
      </c>
      <c r="AJ243" s="55">
        <f>VLOOKUP($E243,'NI-San_SP'!$C:$AN,MID(AJ$1,1,2),FALSE)</f>
        <v>0</v>
      </c>
      <c r="AK243" s="55">
        <f>VLOOKUP($E243,'NI-San_SP'!$C:$AN,MID(AK$1,1,2),FALSE)</f>
        <v>0</v>
      </c>
      <c r="AL243" s="55">
        <f>VLOOKUP($E243,'NI-San_SP'!$C:$AN,MID(AL$1,1,2),FALSE)</f>
        <v>0</v>
      </c>
      <c r="AM243" s="56">
        <f>VLOOKUP($E243,'NI-San_SP'!$C:$AN,MID(AM$1,1,2),FALSE)</f>
        <v>0</v>
      </c>
      <c r="AN243" s="30" t="str">
        <f t="shared" si="3"/>
        <v>10208020020020</v>
      </c>
    </row>
    <row r="244" spans="3:40" x14ac:dyDescent="0.25">
      <c r="C244" s="40"/>
      <c r="D244" s="57" t="s">
        <v>916</v>
      </c>
      <c r="E244" s="57" t="s">
        <v>917</v>
      </c>
      <c r="F244" s="58" t="s">
        <v>110</v>
      </c>
      <c r="G244" s="52"/>
      <c r="H244" s="52"/>
      <c r="I244" s="52"/>
      <c r="J244" s="52"/>
      <c r="K244" s="59" t="s">
        <v>79</v>
      </c>
      <c r="L244" s="52"/>
      <c r="M244" s="52"/>
      <c r="N244" s="52"/>
      <c r="O244" s="52"/>
      <c r="P244" s="66" t="s">
        <v>918</v>
      </c>
      <c r="Q244" s="55">
        <f>VLOOKUP(E244,'NI-San_SP'!$C:$AN,12,FALSE)</f>
        <v>0</v>
      </c>
      <c r="R244" s="55">
        <f>VLOOKUP(E244,'NI-San_SP'!$C:$AN,13,FALSE)</f>
        <v>0</v>
      </c>
      <c r="S244" s="55"/>
      <c r="T244" s="55"/>
      <c r="U244" s="55">
        <f>VLOOKUP($E244,'NI-San_SP'!$C:$AN,MID(U$1,1,2),FALSE)</f>
        <v>0</v>
      </c>
      <c r="V244" s="55">
        <f>VLOOKUP($E244,'NI-San_SP'!$C:$AN,MID(V$1,1,2),FALSE)</f>
        <v>0</v>
      </c>
      <c r="W244" s="55">
        <f>VLOOKUP($E244,'NI-San_SP'!$C:$AN,MID(W$1,1,2),FALSE)</f>
        <v>0</v>
      </c>
      <c r="X244" s="55">
        <f>VLOOKUP($E244,'NI-San_SP'!$C:$AN,MID(X$1,1,2),FALSE)</f>
        <v>0</v>
      </c>
      <c r="Y244" s="55">
        <f>VLOOKUP($E244,'NI-San_SP'!$C:$AN,MID(Y$1,1,2),FALSE)</f>
        <v>0</v>
      </c>
      <c r="Z244" s="55">
        <f>VLOOKUP($E244,'NI-San_SP'!$C:$AN,MID(Z$1,1,2),FALSE)</f>
        <v>0</v>
      </c>
      <c r="AA244" s="55">
        <f>VLOOKUP($E244,'NI-San_SP'!$C:$AN,MID(AA$1,1,2),FALSE)</f>
        <v>0</v>
      </c>
      <c r="AB244" s="55">
        <f>VLOOKUP($E244,'NI-San_SP'!$C:$AN,MID(AB$1,1,2),FALSE)</f>
        <v>0</v>
      </c>
      <c r="AC244" s="55">
        <f>VLOOKUP($E244,'NI-San_SP'!$C:$AN,MID(AC$1,1,2),FALSE)</f>
        <v>0</v>
      </c>
      <c r="AD244" s="55">
        <f>VLOOKUP($E244,'NI-San_SP'!$C:$AN,MID(AD$1,1,2),FALSE)</f>
        <v>0</v>
      </c>
      <c r="AE244" s="55">
        <f>VLOOKUP($E244,'NI-San_SP'!$C:$AN,MID(AE$1,1,2),FALSE)</f>
        <v>0</v>
      </c>
      <c r="AF244" s="55">
        <f>VLOOKUP($E244,'NI-San_SP'!$C:$AN,MID(AF$1,1,2),FALSE)</f>
        <v>0</v>
      </c>
      <c r="AG244" s="55">
        <f>VLOOKUP($E244,'NI-San_SP'!$C:$AN,MID(AG$1,1,2),FALSE)</f>
        <v>0</v>
      </c>
      <c r="AH244" s="55">
        <f>VLOOKUP($E244,'NI-San_SP'!$C:$AN,MID(AH$1,1,2),FALSE)</f>
        <v>0</v>
      </c>
      <c r="AI244" s="55">
        <f>VLOOKUP($E244,'NI-San_SP'!$C:$AN,MID(AI$1,1,2),FALSE)</f>
        <v>0</v>
      </c>
      <c r="AJ244" s="55">
        <f>VLOOKUP($E244,'NI-San_SP'!$C:$AN,MID(AJ$1,1,2),FALSE)</f>
        <v>0</v>
      </c>
      <c r="AK244" s="55">
        <f>VLOOKUP($E244,'NI-San_SP'!$C:$AN,MID(AK$1,1,2),FALSE)</f>
        <v>0</v>
      </c>
      <c r="AL244" s="55">
        <f>VLOOKUP($E244,'NI-San_SP'!$C:$AN,MID(AL$1,1,2),FALSE)</f>
        <v>0</v>
      </c>
      <c r="AM244" s="56">
        <f>VLOOKUP($E244,'NI-San_SP'!$C:$AN,MID(AM$1,1,2),FALSE)</f>
        <v>0</v>
      </c>
      <c r="AN244" s="30" t="str">
        <f t="shared" si="3"/>
        <v>10208020030010</v>
      </c>
    </row>
    <row r="245" spans="3:40" x14ac:dyDescent="0.25">
      <c r="C245" s="40"/>
      <c r="D245" s="57" t="s">
        <v>919</v>
      </c>
      <c r="E245" s="57" t="s">
        <v>920</v>
      </c>
      <c r="F245" s="58" t="s">
        <v>110</v>
      </c>
      <c r="G245" s="52"/>
      <c r="H245" s="52"/>
      <c r="I245" s="52"/>
      <c r="J245" s="52"/>
      <c r="K245" s="59" t="s">
        <v>79</v>
      </c>
      <c r="L245" s="52"/>
      <c r="M245" s="52"/>
      <c r="N245" s="52"/>
      <c r="O245" s="52"/>
      <c r="P245" s="66" t="s">
        <v>921</v>
      </c>
      <c r="Q245" s="55">
        <f>VLOOKUP(E245,'NI-San_SP'!$C:$AN,12,FALSE)</f>
        <v>0</v>
      </c>
      <c r="R245" s="55">
        <f>VLOOKUP(E245,'NI-San_SP'!$C:$AN,13,FALSE)</f>
        <v>0</v>
      </c>
      <c r="S245" s="55"/>
      <c r="T245" s="55"/>
      <c r="U245" s="55">
        <f>VLOOKUP($E245,'NI-San_SP'!$C:$AN,MID(U$1,1,2),FALSE)</f>
        <v>0</v>
      </c>
      <c r="V245" s="55">
        <f>VLOOKUP($E245,'NI-San_SP'!$C:$AN,MID(V$1,1,2),FALSE)</f>
        <v>0</v>
      </c>
      <c r="W245" s="55">
        <f>VLOOKUP($E245,'NI-San_SP'!$C:$AN,MID(W$1,1,2),FALSE)</f>
        <v>0</v>
      </c>
      <c r="X245" s="55">
        <f>VLOOKUP($E245,'NI-San_SP'!$C:$AN,MID(X$1,1,2),FALSE)</f>
        <v>0</v>
      </c>
      <c r="Y245" s="55">
        <f>VLOOKUP($E245,'NI-San_SP'!$C:$AN,MID(Y$1,1,2),FALSE)</f>
        <v>0</v>
      </c>
      <c r="Z245" s="55">
        <f>VLOOKUP($E245,'NI-San_SP'!$C:$AN,MID(Z$1,1,2),FALSE)</f>
        <v>0</v>
      </c>
      <c r="AA245" s="55">
        <f>VLOOKUP($E245,'NI-San_SP'!$C:$AN,MID(AA$1,1,2),FALSE)</f>
        <v>0</v>
      </c>
      <c r="AB245" s="55">
        <f>VLOOKUP($E245,'NI-San_SP'!$C:$AN,MID(AB$1,1,2),FALSE)</f>
        <v>0</v>
      </c>
      <c r="AC245" s="55">
        <f>VLOOKUP($E245,'NI-San_SP'!$C:$AN,MID(AC$1,1,2),FALSE)</f>
        <v>0</v>
      </c>
      <c r="AD245" s="55">
        <f>VLOOKUP($E245,'NI-San_SP'!$C:$AN,MID(AD$1,1,2),FALSE)</f>
        <v>0</v>
      </c>
      <c r="AE245" s="55">
        <f>VLOOKUP($E245,'NI-San_SP'!$C:$AN,MID(AE$1,1,2),FALSE)</f>
        <v>0</v>
      </c>
      <c r="AF245" s="55">
        <f>VLOOKUP($E245,'NI-San_SP'!$C:$AN,MID(AF$1,1,2),FALSE)</f>
        <v>0</v>
      </c>
      <c r="AG245" s="55">
        <f>VLOOKUP($E245,'NI-San_SP'!$C:$AN,MID(AG$1,1,2),FALSE)</f>
        <v>0</v>
      </c>
      <c r="AH245" s="55">
        <f>VLOOKUP($E245,'NI-San_SP'!$C:$AN,MID(AH$1,1,2),FALSE)</f>
        <v>0</v>
      </c>
      <c r="AI245" s="55">
        <f>VLOOKUP($E245,'NI-San_SP'!$C:$AN,MID(AI$1,1,2),FALSE)</f>
        <v>0</v>
      </c>
      <c r="AJ245" s="55">
        <f>VLOOKUP($E245,'NI-San_SP'!$C:$AN,MID(AJ$1,1,2),FALSE)</f>
        <v>0</v>
      </c>
      <c r="AK245" s="55">
        <f>VLOOKUP($E245,'NI-San_SP'!$C:$AN,MID(AK$1,1,2),FALSE)</f>
        <v>0</v>
      </c>
      <c r="AL245" s="55">
        <f>VLOOKUP($E245,'NI-San_SP'!$C:$AN,MID(AL$1,1,2),FALSE)</f>
        <v>0</v>
      </c>
      <c r="AM245" s="56">
        <f>VLOOKUP($E245,'NI-San_SP'!$C:$AN,MID(AM$1,1,2),FALSE)</f>
        <v>0</v>
      </c>
      <c r="AN245" s="30" t="str">
        <f t="shared" si="3"/>
        <v>10208020030020</v>
      </c>
    </row>
    <row r="246" spans="3:40" x14ac:dyDescent="0.25">
      <c r="C246" s="40"/>
      <c r="D246" s="57" t="s">
        <v>922</v>
      </c>
      <c r="E246" s="57" t="s">
        <v>923</v>
      </c>
      <c r="F246" s="58" t="s">
        <v>110</v>
      </c>
      <c r="G246" s="52"/>
      <c r="H246" s="52"/>
      <c r="I246" s="52"/>
      <c r="J246" s="52"/>
      <c r="K246" s="59" t="s">
        <v>79</v>
      </c>
      <c r="L246" s="52"/>
      <c r="M246" s="52"/>
      <c r="N246" s="52"/>
      <c r="O246" s="52"/>
      <c r="P246" s="64" t="s">
        <v>924</v>
      </c>
      <c r="Q246" s="55">
        <f>VLOOKUP(E246,'NI-San_SP'!$C:$AN,12,FALSE)</f>
        <v>0</v>
      </c>
      <c r="R246" s="55">
        <f>VLOOKUP(E246,'NI-San_SP'!$C:$AN,13,FALSE)</f>
        <v>0</v>
      </c>
      <c r="S246" s="55"/>
      <c r="T246" s="55"/>
      <c r="U246" s="55">
        <f>VLOOKUP($E246,'NI-San_SP'!$C:$AN,MID(U$1,1,2),FALSE)</f>
        <v>0</v>
      </c>
      <c r="V246" s="55">
        <f>VLOOKUP($E246,'NI-San_SP'!$C:$AN,MID(V$1,1,2),FALSE)</f>
        <v>0</v>
      </c>
      <c r="W246" s="55">
        <f>VLOOKUP($E246,'NI-San_SP'!$C:$AN,MID(W$1,1,2),FALSE)</f>
        <v>0</v>
      </c>
      <c r="X246" s="55">
        <f>VLOOKUP($E246,'NI-San_SP'!$C:$AN,MID(X$1,1,2),FALSE)</f>
        <v>0</v>
      </c>
      <c r="Y246" s="55">
        <f>VLOOKUP($E246,'NI-San_SP'!$C:$AN,MID(Y$1,1,2),FALSE)</f>
        <v>0</v>
      </c>
      <c r="Z246" s="55">
        <f>VLOOKUP($E246,'NI-San_SP'!$C:$AN,MID(Z$1,1,2),FALSE)</f>
        <v>0</v>
      </c>
      <c r="AA246" s="55">
        <f>VLOOKUP($E246,'NI-San_SP'!$C:$AN,MID(AA$1,1,2),FALSE)</f>
        <v>0</v>
      </c>
      <c r="AB246" s="55">
        <f>VLOOKUP($E246,'NI-San_SP'!$C:$AN,MID(AB$1,1,2),FALSE)</f>
        <v>0</v>
      </c>
      <c r="AC246" s="55">
        <f>VLOOKUP($E246,'NI-San_SP'!$C:$AN,MID(AC$1,1,2),FALSE)</f>
        <v>0</v>
      </c>
      <c r="AD246" s="55">
        <f>VLOOKUP($E246,'NI-San_SP'!$C:$AN,MID(AD$1,1,2),FALSE)</f>
        <v>0</v>
      </c>
      <c r="AE246" s="55">
        <f>VLOOKUP($E246,'NI-San_SP'!$C:$AN,MID(AE$1,1,2),FALSE)</f>
        <v>0</v>
      </c>
      <c r="AF246" s="55">
        <f>VLOOKUP($E246,'NI-San_SP'!$C:$AN,MID(AF$1,1,2),FALSE)</f>
        <v>0</v>
      </c>
      <c r="AG246" s="55">
        <f>VLOOKUP($E246,'NI-San_SP'!$C:$AN,MID(AG$1,1,2),FALSE)</f>
        <v>0</v>
      </c>
      <c r="AH246" s="55">
        <f>VLOOKUP($E246,'NI-San_SP'!$C:$AN,MID(AH$1,1,2),FALSE)</f>
        <v>0</v>
      </c>
      <c r="AI246" s="55">
        <f>VLOOKUP($E246,'NI-San_SP'!$C:$AN,MID(AI$1,1,2),FALSE)</f>
        <v>0</v>
      </c>
      <c r="AJ246" s="55">
        <f>VLOOKUP($E246,'NI-San_SP'!$C:$AN,MID(AJ$1,1,2),FALSE)</f>
        <v>0</v>
      </c>
      <c r="AK246" s="55">
        <f>VLOOKUP($E246,'NI-San_SP'!$C:$AN,MID(AK$1,1,2),FALSE)</f>
        <v>0</v>
      </c>
      <c r="AL246" s="55">
        <f>VLOOKUP($E246,'NI-San_SP'!$C:$AN,MID(AL$1,1,2),FALSE)</f>
        <v>0</v>
      </c>
      <c r="AM246" s="56">
        <f>VLOOKUP($E246,'NI-San_SP'!$C:$AN,MID(AM$1,1,2),FALSE)</f>
        <v>0</v>
      </c>
      <c r="AN246" s="30" t="str">
        <f t="shared" si="3"/>
        <v>10208020040010</v>
      </c>
    </row>
    <row r="247" spans="3:40" x14ac:dyDescent="0.25">
      <c r="C247" s="40"/>
      <c r="D247" s="57" t="s">
        <v>925</v>
      </c>
      <c r="E247" s="57" t="s">
        <v>926</v>
      </c>
      <c r="F247" s="58" t="s">
        <v>110</v>
      </c>
      <c r="G247" s="52"/>
      <c r="H247" s="52"/>
      <c r="I247" s="52"/>
      <c r="J247" s="52"/>
      <c r="K247" s="59" t="s">
        <v>79</v>
      </c>
      <c r="L247" s="52"/>
      <c r="M247" s="52"/>
      <c r="N247" s="52"/>
      <c r="O247" s="52"/>
      <c r="P247" s="64" t="s">
        <v>927</v>
      </c>
      <c r="Q247" s="55">
        <f>VLOOKUP(E247,'NI-San_SP'!$C:$AN,12,FALSE)</f>
        <v>0</v>
      </c>
      <c r="R247" s="55">
        <f>VLOOKUP(E247,'NI-San_SP'!$C:$AN,13,FALSE)</f>
        <v>0</v>
      </c>
      <c r="S247" s="55"/>
      <c r="T247" s="55"/>
      <c r="U247" s="55">
        <f>VLOOKUP($E247,'NI-San_SP'!$C:$AN,MID(U$1,1,2),FALSE)</f>
        <v>0</v>
      </c>
      <c r="V247" s="55">
        <f>VLOOKUP($E247,'NI-San_SP'!$C:$AN,MID(V$1,1,2),FALSE)</f>
        <v>0</v>
      </c>
      <c r="W247" s="55">
        <f>VLOOKUP($E247,'NI-San_SP'!$C:$AN,MID(W$1,1,2),FALSE)</f>
        <v>0</v>
      </c>
      <c r="X247" s="55">
        <f>VLOOKUP($E247,'NI-San_SP'!$C:$AN,MID(X$1,1,2),FALSE)</f>
        <v>0</v>
      </c>
      <c r="Y247" s="55">
        <f>VLOOKUP($E247,'NI-San_SP'!$C:$AN,MID(Y$1,1,2),FALSE)</f>
        <v>0</v>
      </c>
      <c r="Z247" s="55">
        <f>VLOOKUP($E247,'NI-San_SP'!$C:$AN,MID(Z$1,1,2),FALSE)</f>
        <v>0</v>
      </c>
      <c r="AA247" s="55">
        <f>VLOOKUP($E247,'NI-San_SP'!$C:$AN,MID(AA$1,1,2),FALSE)</f>
        <v>0</v>
      </c>
      <c r="AB247" s="55">
        <f>VLOOKUP($E247,'NI-San_SP'!$C:$AN,MID(AB$1,1,2),FALSE)</f>
        <v>0</v>
      </c>
      <c r="AC247" s="55">
        <f>VLOOKUP($E247,'NI-San_SP'!$C:$AN,MID(AC$1,1,2),FALSE)</f>
        <v>0</v>
      </c>
      <c r="AD247" s="55">
        <f>VLOOKUP($E247,'NI-San_SP'!$C:$AN,MID(AD$1,1,2),FALSE)</f>
        <v>0</v>
      </c>
      <c r="AE247" s="55">
        <f>VLOOKUP($E247,'NI-San_SP'!$C:$AN,MID(AE$1,1,2),FALSE)</f>
        <v>0</v>
      </c>
      <c r="AF247" s="55">
        <f>VLOOKUP($E247,'NI-San_SP'!$C:$AN,MID(AF$1,1,2),FALSE)</f>
        <v>0</v>
      </c>
      <c r="AG247" s="55">
        <f>VLOOKUP($E247,'NI-San_SP'!$C:$AN,MID(AG$1,1,2),FALSE)</f>
        <v>0</v>
      </c>
      <c r="AH247" s="55">
        <f>VLOOKUP($E247,'NI-San_SP'!$C:$AN,MID(AH$1,1,2),FALSE)</f>
        <v>0</v>
      </c>
      <c r="AI247" s="55">
        <f>VLOOKUP($E247,'NI-San_SP'!$C:$AN,MID(AI$1,1,2),FALSE)</f>
        <v>0</v>
      </c>
      <c r="AJ247" s="55">
        <f>VLOOKUP($E247,'NI-San_SP'!$C:$AN,MID(AJ$1,1,2),FALSE)</f>
        <v>0</v>
      </c>
      <c r="AK247" s="55">
        <f>VLOOKUP($E247,'NI-San_SP'!$C:$AN,MID(AK$1,1,2),FALSE)</f>
        <v>0</v>
      </c>
      <c r="AL247" s="55">
        <f>VLOOKUP($E247,'NI-San_SP'!$C:$AN,MID(AL$1,1,2),FALSE)</f>
        <v>0</v>
      </c>
      <c r="AM247" s="56">
        <f>VLOOKUP($E247,'NI-San_SP'!$C:$AN,MID(AM$1,1,2),FALSE)</f>
        <v>0</v>
      </c>
      <c r="AN247" s="30" t="str">
        <f t="shared" si="3"/>
        <v>10208020040020</v>
      </c>
    </row>
    <row r="248" spans="3:40" x14ac:dyDescent="0.25">
      <c r="C248" s="40"/>
      <c r="D248" s="57" t="s">
        <v>928</v>
      </c>
      <c r="E248" s="57" t="s">
        <v>929</v>
      </c>
      <c r="F248" s="58" t="s">
        <v>110</v>
      </c>
      <c r="G248" s="52"/>
      <c r="H248" s="52"/>
      <c r="I248" s="52"/>
      <c r="J248" s="52"/>
      <c r="K248" s="59" t="s">
        <v>79</v>
      </c>
      <c r="L248" s="52"/>
      <c r="M248" s="52"/>
      <c r="N248" s="52"/>
      <c r="O248" s="52"/>
      <c r="P248" s="64" t="s">
        <v>930</v>
      </c>
      <c r="Q248" s="55">
        <f>VLOOKUP(E248,'NI-San_SP'!$C:$AN,12,FALSE)</f>
        <v>143489</v>
      </c>
      <c r="R248" s="55">
        <f>VLOOKUP(E248,'NI-San_SP'!$C:$AN,13,FALSE)</f>
        <v>143489</v>
      </c>
      <c r="S248" s="55"/>
      <c r="T248" s="55"/>
      <c r="U248" s="55">
        <f>VLOOKUP($E248,'NI-San_SP'!$C:$AN,MID(U$1,1,2),FALSE)</f>
        <v>0</v>
      </c>
      <c r="V248" s="55">
        <f>VLOOKUP($E248,'NI-San_SP'!$C:$AN,MID(V$1,1,2),FALSE)</f>
        <v>143489</v>
      </c>
      <c r="W248" s="55">
        <f>VLOOKUP($E248,'NI-San_SP'!$C:$AN,MID(W$1,1,2),FALSE)</f>
        <v>0</v>
      </c>
      <c r="X248" s="55">
        <f>VLOOKUP($E248,'NI-San_SP'!$C:$AN,MID(X$1,1,2),FALSE)</f>
        <v>0</v>
      </c>
      <c r="Y248" s="55">
        <f>VLOOKUP($E248,'NI-San_SP'!$C:$AN,MID(Y$1,1,2),FALSE)</f>
        <v>0</v>
      </c>
      <c r="Z248" s="55">
        <f>VLOOKUP($E248,'NI-San_SP'!$C:$AN,MID(Z$1,1,2),FALSE)</f>
        <v>0</v>
      </c>
      <c r="AA248" s="55">
        <f>VLOOKUP($E248,'NI-San_SP'!$C:$AN,MID(AA$1,1,2),FALSE)</f>
        <v>0</v>
      </c>
      <c r="AB248" s="55">
        <f>VLOOKUP($E248,'NI-San_SP'!$C:$AN,MID(AB$1,1,2),FALSE)</f>
        <v>0</v>
      </c>
      <c r="AC248" s="55">
        <f>VLOOKUP($E248,'NI-San_SP'!$C:$AN,MID(AC$1,1,2),FALSE)</f>
        <v>0</v>
      </c>
      <c r="AD248" s="55">
        <f>VLOOKUP($E248,'NI-San_SP'!$C:$AN,MID(AD$1,1,2),FALSE)</f>
        <v>0</v>
      </c>
      <c r="AE248" s="55">
        <f>VLOOKUP($E248,'NI-San_SP'!$C:$AN,MID(AE$1,1,2),FALSE)</f>
        <v>0</v>
      </c>
      <c r="AF248" s="55">
        <f>VLOOKUP($E248,'NI-San_SP'!$C:$AN,MID(AF$1,1,2),FALSE)</f>
        <v>0</v>
      </c>
      <c r="AG248" s="55">
        <f>VLOOKUP($E248,'NI-San_SP'!$C:$AN,MID(AG$1,1,2),FALSE)</f>
        <v>0</v>
      </c>
      <c r="AH248" s="55">
        <f>VLOOKUP($E248,'NI-San_SP'!$C:$AN,MID(AH$1,1,2),FALSE)</f>
        <v>0</v>
      </c>
      <c r="AI248" s="55">
        <f>VLOOKUP($E248,'NI-San_SP'!$C:$AN,MID(AI$1,1,2),FALSE)</f>
        <v>0</v>
      </c>
      <c r="AJ248" s="55">
        <f>VLOOKUP($E248,'NI-San_SP'!$C:$AN,MID(AJ$1,1,2),FALSE)</f>
        <v>0</v>
      </c>
      <c r="AK248" s="55">
        <f>VLOOKUP($E248,'NI-San_SP'!$C:$AN,MID(AK$1,1,2),FALSE)</f>
        <v>0</v>
      </c>
      <c r="AL248" s="55">
        <f>VLOOKUP($E248,'NI-San_SP'!$C:$AN,MID(AL$1,1,2),FALSE)</f>
        <v>0</v>
      </c>
      <c r="AM248" s="56">
        <f>VLOOKUP($E248,'NI-San_SP'!$C:$AN,MID(AM$1,1,2),FALSE)</f>
        <v>0</v>
      </c>
      <c r="AN248" s="30" t="str">
        <f t="shared" si="3"/>
        <v>10208020050010</v>
      </c>
    </row>
    <row r="249" spans="3:40" x14ac:dyDescent="0.25">
      <c r="C249" s="40"/>
      <c r="D249" s="57" t="s">
        <v>931</v>
      </c>
      <c r="E249" s="57" t="s">
        <v>932</v>
      </c>
      <c r="F249" s="58" t="s">
        <v>110</v>
      </c>
      <c r="G249" s="52"/>
      <c r="H249" s="52"/>
      <c r="I249" s="52"/>
      <c r="J249" s="52"/>
      <c r="K249" s="59" t="s">
        <v>79</v>
      </c>
      <c r="L249" s="52"/>
      <c r="M249" s="52"/>
      <c r="N249" s="52"/>
      <c r="O249" s="52"/>
      <c r="P249" s="64" t="s">
        <v>933</v>
      </c>
      <c r="Q249" s="55">
        <f>VLOOKUP(E249,'NI-San_SP'!$C:$AN,12,FALSE)</f>
        <v>16103</v>
      </c>
      <c r="R249" s="55">
        <f>VLOOKUP(E249,'NI-San_SP'!$C:$AN,13,FALSE)</f>
        <v>16103</v>
      </c>
      <c r="S249" s="55"/>
      <c r="T249" s="55"/>
      <c r="U249" s="55">
        <f>VLOOKUP($E249,'NI-San_SP'!$C:$AN,MID(U$1,1,2),FALSE)</f>
        <v>0</v>
      </c>
      <c r="V249" s="55">
        <f>VLOOKUP($E249,'NI-San_SP'!$C:$AN,MID(V$1,1,2),FALSE)</f>
        <v>16103</v>
      </c>
      <c r="W249" s="55">
        <f>VLOOKUP($E249,'NI-San_SP'!$C:$AN,MID(W$1,1,2),FALSE)</f>
        <v>0</v>
      </c>
      <c r="X249" s="55">
        <f>VLOOKUP($E249,'NI-San_SP'!$C:$AN,MID(X$1,1,2),FALSE)</f>
        <v>0</v>
      </c>
      <c r="Y249" s="55">
        <f>VLOOKUP($E249,'NI-San_SP'!$C:$AN,MID(Y$1,1,2),FALSE)</f>
        <v>0</v>
      </c>
      <c r="Z249" s="55">
        <f>VLOOKUP($E249,'NI-San_SP'!$C:$AN,MID(Z$1,1,2),FALSE)</f>
        <v>0</v>
      </c>
      <c r="AA249" s="55">
        <f>VLOOKUP($E249,'NI-San_SP'!$C:$AN,MID(AA$1,1,2),FALSE)</f>
        <v>0</v>
      </c>
      <c r="AB249" s="55">
        <f>VLOOKUP($E249,'NI-San_SP'!$C:$AN,MID(AB$1,1,2),FALSE)</f>
        <v>0</v>
      </c>
      <c r="AC249" s="55">
        <f>VLOOKUP($E249,'NI-San_SP'!$C:$AN,MID(AC$1,1,2),FALSE)</f>
        <v>0</v>
      </c>
      <c r="AD249" s="55">
        <f>VLOOKUP($E249,'NI-San_SP'!$C:$AN,MID(AD$1,1,2),FALSE)</f>
        <v>0</v>
      </c>
      <c r="AE249" s="55">
        <f>VLOOKUP($E249,'NI-San_SP'!$C:$AN,MID(AE$1,1,2),FALSE)</f>
        <v>0</v>
      </c>
      <c r="AF249" s="55">
        <f>VLOOKUP($E249,'NI-San_SP'!$C:$AN,MID(AF$1,1,2),FALSE)</f>
        <v>0</v>
      </c>
      <c r="AG249" s="55">
        <f>VLOOKUP($E249,'NI-San_SP'!$C:$AN,MID(AG$1,1,2),FALSE)</f>
        <v>0</v>
      </c>
      <c r="AH249" s="55">
        <f>VLOOKUP($E249,'NI-San_SP'!$C:$AN,MID(AH$1,1,2),FALSE)</f>
        <v>0</v>
      </c>
      <c r="AI249" s="55">
        <f>VLOOKUP($E249,'NI-San_SP'!$C:$AN,MID(AI$1,1,2),FALSE)</f>
        <v>0</v>
      </c>
      <c r="AJ249" s="55">
        <f>VLOOKUP($E249,'NI-San_SP'!$C:$AN,MID(AJ$1,1,2),FALSE)</f>
        <v>0</v>
      </c>
      <c r="AK249" s="55">
        <f>VLOOKUP($E249,'NI-San_SP'!$C:$AN,MID(AK$1,1,2),FALSE)</f>
        <v>0</v>
      </c>
      <c r="AL249" s="55">
        <f>VLOOKUP($E249,'NI-San_SP'!$C:$AN,MID(AL$1,1,2),FALSE)</f>
        <v>0</v>
      </c>
      <c r="AM249" s="56">
        <f>VLOOKUP($E249,'NI-San_SP'!$C:$AN,MID(AM$1,1,2),FALSE)</f>
        <v>0</v>
      </c>
      <c r="AN249" s="30" t="str">
        <f t="shared" si="3"/>
        <v>10208020050020</v>
      </c>
    </row>
    <row r="250" spans="3:40" x14ac:dyDescent="0.25">
      <c r="C250" s="40"/>
      <c r="D250" s="57" t="s">
        <v>934</v>
      </c>
      <c r="E250" s="57" t="s">
        <v>935</v>
      </c>
      <c r="F250" s="58" t="s">
        <v>110</v>
      </c>
      <c r="G250" s="52"/>
      <c r="H250" s="52"/>
      <c r="I250" s="52"/>
      <c r="J250" s="52"/>
      <c r="K250" s="59" t="s">
        <v>79</v>
      </c>
      <c r="L250" s="52"/>
      <c r="M250" s="52"/>
      <c r="N250" s="52"/>
      <c r="O250" s="52"/>
      <c r="P250" s="63" t="s">
        <v>936</v>
      </c>
      <c r="Q250" s="55">
        <f>VLOOKUP(E250,'NI-San_SP'!$C:$AN,12,FALSE)</f>
        <v>1529088</v>
      </c>
      <c r="R250" s="55">
        <f>VLOOKUP(E250,'NI-San_SP'!$C:$AN,13,FALSE)</f>
        <v>1523105</v>
      </c>
      <c r="S250" s="55"/>
      <c r="T250" s="55"/>
      <c r="U250" s="55">
        <f>VLOOKUP($E250,'NI-San_SP'!$C:$AN,MID(U$1,1,2),FALSE)</f>
        <v>0</v>
      </c>
      <c r="V250" s="55">
        <f>VLOOKUP($E250,'NI-San_SP'!$C:$AN,MID(V$1,1,2),FALSE)</f>
        <v>1529088</v>
      </c>
      <c r="W250" s="55">
        <f>VLOOKUP($E250,'NI-San_SP'!$C:$AN,MID(W$1,1,2),FALSE)</f>
        <v>0</v>
      </c>
      <c r="X250" s="55">
        <f>VLOOKUP($E250,'NI-San_SP'!$C:$AN,MID(X$1,1,2),FALSE)</f>
        <v>0</v>
      </c>
      <c r="Y250" s="55">
        <f>VLOOKUP($E250,'NI-San_SP'!$C:$AN,MID(Y$1,1,2),FALSE)</f>
        <v>0</v>
      </c>
      <c r="Z250" s="55">
        <f>VLOOKUP($E250,'NI-San_SP'!$C:$AN,MID(Z$1,1,2),FALSE)</f>
        <v>0</v>
      </c>
      <c r="AA250" s="55">
        <f>VLOOKUP($E250,'NI-San_SP'!$C:$AN,MID(AA$1,1,2),FALSE)</f>
        <v>0</v>
      </c>
      <c r="AB250" s="55">
        <f>VLOOKUP($E250,'NI-San_SP'!$C:$AN,MID(AB$1,1,2),FALSE)</f>
        <v>0</v>
      </c>
      <c r="AC250" s="55">
        <f>VLOOKUP($E250,'NI-San_SP'!$C:$AN,MID(AC$1,1,2),FALSE)</f>
        <v>6263</v>
      </c>
      <c r="AD250" s="55">
        <f>VLOOKUP($E250,'NI-San_SP'!$C:$AN,MID(AD$1,1,2),FALSE)</f>
        <v>280</v>
      </c>
      <c r="AE250" s="55">
        <f>VLOOKUP($E250,'NI-San_SP'!$C:$AN,MID(AE$1,1,2),FALSE)</f>
        <v>0</v>
      </c>
      <c r="AF250" s="55">
        <f>VLOOKUP($E250,'NI-San_SP'!$C:$AN,MID(AF$1,1,2),FALSE)</f>
        <v>0</v>
      </c>
      <c r="AG250" s="55">
        <f>VLOOKUP($E250,'NI-San_SP'!$C:$AN,MID(AG$1,1,2),FALSE)</f>
        <v>0</v>
      </c>
      <c r="AH250" s="55">
        <f>VLOOKUP($E250,'NI-San_SP'!$C:$AN,MID(AH$1,1,2),FALSE)</f>
        <v>0</v>
      </c>
      <c r="AI250" s="55">
        <f>VLOOKUP($E250,'NI-San_SP'!$C:$AN,MID(AI$1,1,2),FALSE)</f>
        <v>0</v>
      </c>
      <c r="AJ250" s="55">
        <f>VLOOKUP($E250,'NI-San_SP'!$C:$AN,MID(AJ$1,1,2),FALSE)</f>
        <v>0</v>
      </c>
      <c r="AK250" s="55">
        <f>VLOOKUP($E250,'NI-San_SP'!$C:$AN,MID(AK$1,1,2),FALSE)</f>
        <v>0</v>
      </c>
      <c r="AL250" s="55">
        <f>VLOOKUP($E250,'NI-San_SP'!$C:$AN,MID(AL$1,1,2),FALSE)</f>
        <v>0</v>
      </c>
      <c r="AM250" s="56">
        <f>VLOOKUP($E250,'NI-San_SP'!$C:$AN,MID(AM$1,1,2),FALSE)</f>
        <v>0</v>
      </c>
      <c r="AN250" s="30" t="str">
        <f t="shared" si="3"/>
        <v>10208020060010</v>
      </c>
    </row>
    <row r="251" spans="3:40" x14ac:dyDescent="0.25">
      <c r="C251" s="40"/>
      <c r="D251" s="57" t="s">
        <v>937</v>
      </c>
      <c r="E251" s="57" t="s">
        <v>938</v>
      </c>
      <c r="F251" s="58" t="s">
        <v>110</v>
      </c>
      <c r="G251" s="52"/>
      <c r="H251" s="52"/>
      <c r="I251" s="52"/>
      <c r="J251" s="52"/>
      <c r="K251" s="59" t="s">
        <v>79</v>
      </c>
      <c r="L251" s="52"/>
      <c r="M251" s="52"/>
      <c r="N251" s="52"/>
      <c r="O251" s="52"/>
      <c r="P251" s="63" t="s">
        <v>939</v>
      </c>
      <c r="Q251" s="55">
        <f>VLOOKUP(E251,'NI-San_SP'!$C:$AN,12,FALSE)</f>
        <v>989053</v>
      </c>
      <c r="R251" s="55">
        <f>VLOOKUP(E251,'NI-San_SP'!$C:$AN,13,FALSE)</f>
        <v>1000851</v>
      </c>
      <c r="S251" s="55"/>
      <c r="T251" s="55"/>
      <c r="U251" s="55">
        <f>VLOOKUP($E251,'NI-San_SP'!$C:$AN,MID(U$1,1,2),FALSE)</f>
        <v>0</v>
      </c>
      <c r="V251" s="55">
        <f>VLOOKUP($E251,'NI-San_SP'!$C:$AN,MID(V$1,1,2),FALSE)</f>
        <v>989053</v>
      </c>
      <c r="W251" s="55">
        <f>VLOOKUP($E251,'NI-San_SP'!$C:$AN,MID(W$1,1,2),FALSE)</f>
        <v>0</v>
      </c>
      <c r="X251" s="55">
        <f>VLOOKUP($E251,'NI-San_SP'!$C:$AN,MID(X$1,1,2),FALSE)</f>
        <v>0</v>
      </c>
      <c r="Y251" s="55">
        <f>VLOOKUP($E251,'NI-San_SP'!$C:$AN,MID(Y$1,1,2),FALSE)</f>
        <v>0</v>
      </c>
      <c r="Z251" s="55">
        <f>VLOOKUP($E251,'NI-San_SP'!$C:$AN,MID(Z$1,1,2),FALSE)</f>
        <v>0</v>
      </c>
      <c r="AA251" s="55">
        <f>VLOOKUP($E251,'NI-San_SP'!$C:$AN,MID(AA$1,1,2),FALSE)</f>
        <v>0</v>
      </c>
      <c r="AB251" s="55">
        <f>VLOOKUP($E251,'NI-San_SP'!$C:$AN,MID(AB$1,1,2),FALSE)</f>
        <v>0</v>
      </c>
      <c r="AC251" s="55">
        <f>VLOOKUP($E251,'NI-San_SP'!$C:$AN,MID(AC$1,1,2),FALSE)</f>
        <v>990</v>
      </c>
      <c r="AD251" s="55">
        <f>VLOOKUP($E251,'NI-San_SP'!$C:$AN,MID(AD$1,1,2),FALSE)</f>
        <v>12788</v>
      </c>
      <c r="AE251" s="55">
        <f>VLOOKUP($E251,'NI-San_SP'!$C:$AN,MID(AE$1,1,2),FALSE)</f>
        <v>0</v>
      </c>
      <c r="AF251" s="55">
        <f>VLOOKUP($E251,'NI-San_SP'!$C:$AN,MID(AF$1,1,2),FALSE)</f>
        <v>0</v>
      </c>
      <c r="AG251" s="55">
        <f>VLOOKUP($E251,'NI-San_SP'!$C:$AN,MID(AG$1,1,2),FALSE)</f>
        <v>0</v>
      </c>
      <c r="AH251" s="55">
        <f>VLOOKUP($E251,'NI-San_SP'!$C:$AN,MID(AH$1,1,2),FALSE)</f>
        <v>0</v>
      </c>
      <c r="AI251" s="55">
        <f>VLOOKUP($E251,'NI-San_SP'!$C:$AN,MID(AI$1,1,2),FALSE)</f>
        <v>0</v>
      </c>
      <c r="AJ251" s="55">
        <f>VLOOKUP($E251,'NI-San_SP'!$C:$AN,MID(AJ$1,1,2),FALSE)</f>
        <v>0</v>
      </c>
      <c r="AK251" s="55">
        <f>VLOOKUP($E251,'NI-San_SP'!$C:$AN,MID(AK$1,1,2),FALSE)</f>
        <v>0</v>
      </c>
      <c r="AL251" s="55">
        <f>VLOOKUP($E251,'NI-San_SP'!$C:$AN,MID(AL$1,1,2),FALSE)</f>
        <v>0</v>
      </c>
      <c r="AM251" s="56">
        <f>VLOOKUP($E251,'NI-San_SP'!$C:$AN,MID(AM$1,1,2),FALSE)</f>
        <v>0</v>
      </c>
      <c r="AN251" s="30" t="str">
        <f t="shared" si="3"/>
        <v>10208020060020</v>
      </c>
    </row>
    <row r="252" spans="3:40" x14ac:dyDescent="0.25">
      <c r="C252" s="40"/>
      <c r="D252" s="57" t="s">
        <v>940</v>
      </c>
      <c r="E252" s="57" t="s">
        <v>941</v>
      </c>
      <c r="F252" s="58" t="s">
        <v>110</v>
      </c>
      <c r="G252" s="52"/>
      <c r="H252" s="52"/>
      <c r="I252" s="52" t="s">
        <v>942</v>
      </c>
      <c r="J252" s="52" t="s">
        <v>942</v>
      </c>
      <c r="K252" s="59" t="s">
        <v>111</v>
      </c>
      <c r="L252" s="62" t="s">
        <v>943</v>
      </c>
      <c r="M252" s="52"/>
      <c r="N252" s="52"/>
      <c r="O252" s="61" t="s">
        <v>944</v>
      </c>
      <c r="P252" s="60" t="s">
        <v>945</v>
      </c>
      <c r="Q252" s="55">
        <f>VLOOKUP(E252,'NI-San_SP'!$C:$AN,12,FALSE)</f>
        <v>1627289</v>
      </c>
      <c r="R252" s="55">
        <f>VLOOKUP(E252,'NI-San_SP'!$C:$AN,13,FALSE)</f>
        <v>1212142</v>
      </c>
      <c r="S252" s="55"/>
      <c r="T252" s="55"/>
      <c r="U252" s="55">
        <f>VLOOKUP($E252,'NI-San_SP'!$C:$AN,MID(U$1,1,2),FALSE)</f>
        <v>0</v>
      </c>
      <c r="V252" s="55">
        <f>VLOOKUP($E252,'NI-San_SP'!$C:$AN,MID(V$1,1,2),FALSE)</f>
        <v>1627289</v>
      </c>
      <c r="W252" s="55">
        <f>VLOOKUP($E252,'NI-San_SP'!$C:$AN,MID(W$1,1,2),FALSE)</f>
        <v>0</v>
      </c>
      <c r="X252" s="55">
        <f>VLOOKUP($E252,'NI-San_SP'!$C:$AN,MID(X$1,1,2),FALSE)</f>
        <v>0</v>
      </c>
      <c r="Y252" s="55">
        <f>VLOOKUP($E252,'NI-San_SP'!$C:$AN,MID(Y$1,1,2),FALSE)</f>
        <v>0</v>
      </c>
      <c r="Z252" s="55">
        <f>VLOOKUP($E252,'NI-San_SP'!$C:$AN,MID(Z$1,1,2),FALSE)</f>
        <v>0</v>
      </c>
      <c r="AA252" s="55">
        <f>VLOOKUP($E252,'NI-San_SP'!$C:$AN,MID(AA$1,1,2),FALSE)</f>
        <v>0</v>
      </c>
      <c r="AB252" s="55">
        <f>VLOOKUP($E252,'NI-San_SP'!$C:$AN,MID(AB$1,1,2),FALSE)</f>
        <v>-696000</v>
      </c>
      <c r="AC252" s="55">
        <f>VLOOKUP($E252,'NI-San_SP'!$C:$AN,MID(AC$1,1,2),FALSE)</f>
        <v>0</v>
      </c>
      <c r="AD252" s="55">
        <f>VLOOKUP($E252,'NI-San_SP'!$C:$AN,MID(AD$1,1,2),FALSE)</f>
        <v>0</v>
      </c>
      <c r="AE252" s="55">
        <f>VLOOKUP($E252,'NI-San_SP'!$C:$AN,MID(AE$1,1,2),FALSE)</f>
        <v>0</v>
      </c>
      <c r="AF252" s="55">
        <f>VLOOKUP($E252,'NI-San_SP'!$C:$AN,MID(AF$1,1,2),FALSE)</f>
        <v>1971631</v>
      </c>
      <c r="AG252" s="55">
        <f>VLOOKUP($E252,'NI-San_SP'!$C:$AN,MID(AG$1,1,2),FALSE)</f>
        <v>0</v>
      </c>
      <c r="AH252" s="55">
        <f>VLOOKUP($E252,'NI-San_SP'!$C:$AN,MID(AH$1,1,2),FALSE)</f>
        <v>0</v>
      </c>
      <c r="AI252" s="55">
        <f>VLOOKUP($E252,'NI-San_SP'!$C:$AN,MID(AI$1,1,2),FALSE)</f>
        <v>1690778</v>
      </c>
      <c r="AJ252" s="55">
        <f>VLOOKUP($E252,'NI-San_SP'!$C:$AN,MID(AJ$1,1,2),FALSE)</f>
        <v>0</v>
      </c>
      <c r="AK252" s="55">
        <f>VLOOKUP($E252,'NI-San_SP'!$C:$AN,MID(AK$1,1,2),FALSE)</f>
        <v>0</v>
      </c>
      <c r="AL252" s="55">
        <f>VLOOKUP($E252,'NI-San_SP'!$C:$AN,MID(AL$1,1,2),FALSE)</f>
        <v>0</v>
      </c>
      <c r="AM252" s="56">
        <f>VLOOKUP($E252,'NI-San_SP'!$C:$AN,MID(AM$1,1,2),FALSE)</f>
        <v>0</v>
      </c>
      <c r="AN252" s="30" t="str">
        <f t="shared" si="3"/>
        <v>10209000000000</v>
      </c>
    </row>
    <row r="253" spans="3:40" x14ac:dyDescent="0.25">
      <c r="C253" s="40"/>
      <c r="D253" s="57" t="s">
        <v>946</v>
      </c>
      <c r="E253" s="57" t="s">
        <v>947</v>
      </c>
      <c r="F253" s="58" t="s">
        <v>110</v>
      </c>
      <c r="G253" s="52"/>
      <c r="H253" s="52"/>
      <c r="I253" s="52"/>
      <c r="J253" s="52"/>
      <c r="K253" s="59" t="s">
        <v>79</v>
      </c>
      <c r="L253" s="52"/>
      <c r="M253" s="52"/>
      <c r="N253" s="52"/>
      <c r="O253" s="52"/>
      <c r="P253" s="64" t="s">
        <v>948</v>
      </c>
      <c r="Q253" s="55">
        <f>VLOOKUP(E253,'NI-San_SP'!$C:$AN,12,FALSE)</f>
        <v>1627289</v>
      </c>
      <c r="R253" s="55">
        <f>VLOOKUP(E253,'NI-San_SP'!$C:$AN,13,FALSE)</f>
        <v>1212142</v>
      </c>
      <c r="S253" s="55"/>
      <c r="T253" s="55"/>
      <c r="U253" s="55">
        <f>VLOOKUP($E253,'NI-San_SP'!$C:$AN,MID(U$1,1,2),FALSE)</f>
        <v>0</v>
      </c>
      <c r="V253" s="55">
        <f>VLOOKUP($E253,'NI-San_SP'!$C:$AN,MID(V$1,1,2),FALSE)</f>
        <v>1627289</v>
      </c>
      <c r="W253" s="55">
        <f>VLOOKUP($E253,'NI-San_SP'!$C:$AN,MID(W$1,1,2),FALSE)</f>
        <v>0</v>
      </c>
      <c r="X253" s="55">
        <f>VLOOKUP($E253,'NI-San_SP'!$C:$AN,MID(X$1,1,2),FALSE)</f>
        <v>0</v>
      </c>
      <c r="Y253" s="55">
        <f>VLOOKUP($E253,'NI-San_SP'!$C:$AN,MID(Y$1,1,2),FALSE)</f>
        <v>0</v>
      </c>
      <c r="Z253" s="55">
        <f>VLOOKUP($E253,'NI-San_SP'!$C:$AN,MID(Z$1,1,2),FALSE)</f>
        <v>0</v>
      </c>
      <c r="AA253" s="55">
        <f>VLOOKUP($E253,'NI-San_SP'!$C:$AN,MID(AA$1,1,2),FALSE)</f>
        <v>0</v>
      </c>
      <c r="AB253" s="55">
        <f>VLOOKUP($E253,'NI-San_SP'!$C:$AN,MID(AB$1,1,2),FALSE)</f>
        <v>-696000</v>
      </c>
      <c r="AC253" s="55">
        <f>VLOOKUP($E253,'NI-San_SP'!$C:$AN,MID(AC$1,1,2),FALSE)</f>
        <v>0</v>
      </c>
      <c r="AD253" s="55">
        <f>VLOOKUP($E253,'NI-San_SP'!$C:$AN,MID(AD$1,1,2),FALSE)</f>
        <v>0</v>
      </c>
      <c r="AE253" s="55">
        <f>VLOOKUP($E253,'NI-San_SP'!$C:$AN,MID(AE$1,1,2),FALSE)</f>
        <v>0</v>
      </c>
      <c r="AF253" s="55">
        <f>VLOOKUP($E253,'NI-San_SP'!$C:$AN,MID(AF$1,1,2),FALSE)</f>
        <v>1971631</v>
      </c>
      <c r="AG253" s="55">
        <f>VLOOKUP($E253,'NI-San_SP'!$C:$AN,MID(AG$1,1,2),FALSE)</f>
        <v>0</v>
      </c>
      <c r="AH253" s="55">
        <f>VLOOKUP($E253,'NI-San_SP'!$C:$AN,MID(AH$1,1,2),FALSE)</f>
        <v>0</v>
      </c>
      <c r="AI253" s="55">
        <f>VLOOKUP($E253,'NI-San_SP'!$C:$AN,MID(AI$1,1,2),FALSE)</f>
        <v>1690778</v>
      </c>
      <c r="AJ253" s="55">
        <f>VLOOKUP($E253,'NI-San_SP'!$C:$AN,MID(AJ$1,1,2),FALSE)</f>
        <v>0</v>
      </c>
      <c r="AK253" s="55">
        <f>VLOOKUP($E253,'NI-San_SP'!$C:$AN,MID(AK$1,1,2),FALSE)</f>
        <v>0</v>
      </c>
      <c r="AL253" s="55">
        <f>VLOOKUP($E253,'NI-San_SP'!$C:$AN,MID(AL$1,1,2),FALSE)</f>
        <v>0</v>
      </c>
      <c r="AM253" s="56">
        <f>VLOOKUP($E253,'NI-San_SP'!$C:$AN,MID(AM$1,1,2),FALSE)</f>
        <v>0</v>
      </c>
      <c r="AN253" s="30" t="str">
        <f t="shared" si="3"/>
        <v>10209010000000</v>
      </c>
    </row>
    <row r="254" spans="3:40" x14ac:dyDescent="0.25">
      <c r="C254" s="40"/>
      <c r="D254" s="57" t="s">
        <v>949</v>
      </c>
      <c r="E254" s="57" t="s">
        <v>950</v>
      </c>
      <c r="F254" s="58" t="s">
        <v>110</v>
      </c>
      <c r="G254" s="52"/>
      <c r="H254" s="52"/>
      <c r="I254" s="52"/>
      <c r="J254" s="52"/>
      <c r="K254" s="59" t="s">
        <v>79</v>
      </c>
      <c r="L254" s="52"/>
      <c r="M254" s="52"/>
      <c r="N254" s="52"/>
      <c r="O254" s="52"/>
      <c r="P254" s="64" t="s">
        <v>951</v>
      </c>
      <c r="Q254" s="55">
        <f>VLOOKUP(E254,'NI-San_SP'!$C:$AN,12,FALSE)</f>
        <v>0</v>
      </c>
      <c r="R254" s="55">
        <f>VLOOKUP(E254,'NI-San_SP'!$C:$AN,13,FALSE)</f>
        <v>0</v>
      </c>
      <c r="S254" s="55"/>
      <c r="T254" s="55"/>
      <c r="U254" s="55">
        <f>VLOOKUP($E254,'NI-San_SP'!$C:$AN,MID(U$1,1,2),FALSE)</f>
        <v>0</v>
      </c>
      <c r="V254" s="55">
        <f>VLOOKUP($E254,'NI-San_SP'!$C:$AN,MID(V$1,1,2),FALSE)</f>
        <v>0</v>
      </c>
      <c r="W254" s="55">
        <f>VLOOKUP($E254,'NI-San_SP'!$C:$AN,MID(W$1,1,2),FALSE)</f>
        <v>0</v>
      </c>
      <c r="X254" s="55">
        <f>VLOOKUP($E254,'NI-San_SP'!$C:$AN,MID(X$1,1,2),FALSE)</f>
        <v>0</v>
      </c>
      <c r="Y254" s="55">
        <f>VLOOKUP($E254,'NI-San_SP'!$C:$AN,MID(Y$1,1,2),FALSE)</f>
        <v>0</v>
      </c>
      <c r="Z254" s="55">
        <f>VLOOKUP($E254,'NI-San_SP'!$C:$AN,MID(Z$1,1,2),FALSE)</f>
        <v>0</v>
      </c>
      <c r="AA254" s="55">
        <f>VLOOKUP($E254,'NI-San_SP'!$C:$AN,MID(AA$1,1,2),FALSE)</f>
        <v>0</v>
      </c>
      <c r="AB254" s="55">
        <f>VLOOKUP($E254,'NI-San_SP'!$C:$AN,MID(AB$1,1,2),FALSE)</f>
        <v>0</v>
      </c>
      <c r="AC254" s="55">
        <f>VLOOKUP($E254,'NI-San_SP'!$C:$AN,MID(AC$1,1,2),FALSE)</f>
        <v>0</v>
      </c>
      <c r="AD254" s="55">
        <f>VLOOKUP($E254,'NI-San_SP'!$C:$AN,MID(AD$1,1,2),FALSE)</f>
        <v>0</v>
      </c>
      <c r="AE254" s="55">
        <f>VLOOKUP($E254,'NI-San_SP'!$C:$AN,MID(AE$1,1,2),FALSE)</f>
        <v>0</v>
      </c>
      <c r="AF254" s="55">
        <f>VLOOKUP($E254,'NI-San_SP'!$C:$AN,MID(AF$1,1,2),FALSE)</f>
        <v>0</v>
      </c>
      <c r="AG254" s="55">
        <f>VLOOKUP($E254,'NI-San_SP'!$C:$AN,MID(AG$1,1,2),FALSE)</f>
        <v>0</v>
      </c>
      <c r="AH254" s="55">
        <f>VLOOKUP($E254,'NI-San_SP'!$C:$AN,MID(AH$1,1,2),FALSE)</f>
        <v>0</v>
      </c>
      <c r="AI254" s="55">
        <f>VLOOKUP($E254,'NI-San_SP'!$C:$AN,MID(AI$1,1,2),FALSE)</f>
        <v>0</v>
      </c>
      <c r="AJ254" s="55">
        <f>VLOOKUP($E254,'NI-San_SP'!$C:$AN,MID(AJ$1,1,2),FALSE)</f>
        <v>0</v>
      </c>
      <c r="AK254" s="55">
        <f>VLOOKUP($E254,'NI-San_SP'!$C:$AN,MID(AK$1,1,2),FALSE)</f>
        <v>0</v>
      </c>
      <c r="AL254" s="55">
        <f>VLOOKUP($E254,'NI-San_SP'!$C:$AN,MID(AL$1,1,2),FALSE)</f>
        <v>0</v>
      </c>
      <c r="AM254" s="56">
        <f>VLOOKUP($E254,'NI-San_SP'!$C:$AN,MID(AM$1,1,2),FALSE)</f>
        <v>0</v>
      </c>
      <c r="AN254" s="30" t="str">
        <f t="shared" si="3"/>
        <v>10209020000000</v>
      </c>
    </row>
    <row r="255" spans="3:40" x14ac:dyDescent="0.25">
      <c r="C255" s="40"/>
      <c r="D255" s="57" t="s">
        <v>952</v>
      </c>
      <c r="E255" s="57" t="s">
        <v>953</v>
      </c>
      <c r="F255" s="58" t="s">
        <v>110</v>
      </c>
      <c r="G255" s="52"/>
      <c r="H255" s="52"/>
      <c r="I255" s="52"/>
      <c r="J255" s="52"/>
      <c r="K255" s="59" t="s">
        <v>79</v>
      </c>
      <c r="L255" s="52"/>
      <c r="M255" s="52"/>
      <c r="N255" s="52"/>
      <c r="O255" s="52"/>
      <c r="P255" s="63" t="s">
        <v>954</v>
      </c>
      <c r="Q255" s="55">
        <f>VLOOKUP(E255,'NI-San_SP'!$C:$AN,12,FALSE)</f>
        <v>0</v>
      </c>
      <c r="R255" s="55">
        <f>VLOOKUP(E255,'NI-San_SP'!$C:$AN,13,FALSE)</f>
        <v>0</v>
      </c>
      <c r="S255" s="55"/>
      <c r="T255" s="55"/>
      <c r="U255" s="55">
        <f>VLOOKUP($E255,'NI-San_SP'!$C:$AN,MID(U$1,1,2),FALSE)</f>
        <v>0</v>
      </c>
      <c r="V255" s="55">
        <f>VLOOKUP($E255,'NI-San_SP'!$C:$AN,MID(V$1,1,2),FALSE)</f>
        <v>0</v>
      </c>
      <c r="W255" s="55">
        <f>VLOOKUP($E255,'NI-San_SP'!$C:$AN,MID(W$1,1,2),FALSE)</f>
        <v>0</v>
      </c>
      <c r="X255" s="55">
        <f>VLOOKUP($E255,'NI-San_SP'!$C:$AN,MID(X$1,1,2),FALSE)</f>
        <v>0</v>
      </c>
      <c r="Y255" s="55">
        <f>VLOOKUP($E255,'NI-San_SP'!$C:$AN,MID(Y$1,1,2),FALSE)</f>
        <v>0</v>
      </c>
      <c r="Z255" s="55">
        <f>VLOOKUP($E255,'NI-San_SP'!$C:$AN,MID(Z$1,1,2),FALSE)</f>
        <v>0</v>
      </c>
      <c r="AA255" s="55">
        <f>VLOOKUP($E255,'NI-San_SP'!$C:$AN,MID(AA$1,1,2),FALSE)</f>
        <v>0</v>
      </c>
      <c r="AB255" s="55">
        <f>VLOOKUP($E255,'NI-San_SP'!$C:$AN,MID(AB$1,1,2),FALSE)</f>
        <v>0</v>
      </c>
      <c r="AC255" s="55">
        <f>VLOOKUP($E255,'NI-San_SP'!$C:$AN,MID(AC$1,1,2),FALSE)</f>
        <v>0</v>
      </c>
      <c r="AD255" s="55">
        <f>VLOOKUP($E255,'NI-San_SP'!$C:$AN,MID(AD$1,1,2),FALSE)</f>
        <v>0</v>
      </c>
      <c r="AE255" s="55">
        <f>VLOOKUP($E255,'NI-San_SP'!$C:$AN,MID(AE$1,1,2),FALSE)</f>
        <v>0</v>
      </c>
      <c r="AF255" s="55">
        <f>VLOOKUP($E255,'NI-San_SP'!$C:$AN,MID(AF$1,1,2),FALSE)</f>
        <v>0</v>
      </c>
      <c r="AG255" s="55">
        <f>VLOOKUP($E255,'NI-San_SP'!$C:$AN,MID(AG$1,1,2),FALSE)</f>
        <v>0</v>
      </c>
      <c r="AH255" s="55">
        <f>VLOOKUP($E255,'NI-San_SP'!$C:$AN,MID(AH$1,1,2),FALSE)</f>
        <v>0</v>
      </c>
      <c r="AI255" s="55">
        <f>VLOOKUP($E255,'NI-San_SP'!$C:$AN,MID(AI$1,1,2),FALSE)</f>
        <v>0</v>
      </c>
      <c r="AJ255" s="55">
        <f>VLOOKUP($E255,'NI-San_SP'!$C:$AN,MID(AJ$1,1,2),FALSE)</f>
        <v>0</v>
      </c>
      <c r="AK255" s="55">
        <f>VLOOKUP($E255,'NI-San_SP'!$C:$AN,MID(AK$1,1,2),FALSE)</f>
        <v>0</v>
      </c>
      <c r="AL255" s="55">
        <f>VLOOKUP($E255,'NI-San_SP'!$C:$AN,MID(AL$1,1,2),FALSE)</f>
        <v>0</v>
      </c>
      <c r="AM255" s="56">
        <f>VLOOKUP($E255,'NI-San_SP'!$C:$AN,MID(AM$1,1,2),FALSE)</f>
        <v>0</v>
      </c>
      <c r="AN255" s="30" t="str">
        <f t="shared" si="3"/>
        <v>10209030000000</v>
      </c>
    </row>
    <row r="256" spans="3:40" x14ac:dyDescent="0.25">
      <c r="C256" s="40"/>
      <c r="D256" s="57" t="s">
        <v>955</v>
      </c>
      <c r="E256" s="57" t="s">
        <v>956</v>
      </c>
      <c r="F256" s="58" t="s">
        <v>110</v>
      </c>
      <c r="G256" s="52"/>
      <c r="H256" s="52"/>
      <c r="I256" s="52"/>
      <c r="J256" s="52"/>
      <c r="K256" s="59" t="s">
        <v>111</v>
      </c>
      <c r="L256" s="52"/>
      <c r="M256" s="52"/>
      <c r="N256" s="52"/>
      <c r="O256" s="52"/>
      <c r="P256" s="60" t="s">
        <v>957</v>
      </c>
      <c r="Q256" s="55">
        <f>VLOOKUP(E256,'NI-San_SP'!$C:$AN,12,FALSE)</f>
        <v>0</v>
      </c>
      <c r="R256" s="55">
        <f>VLOOKUP(E256,'NI-San_SP'!$C:$AN,13,FALSE)</f>
        <v>0</v>
      </c>
      <c r="S256" s="55"/>
      <c r="T256" s="55"/>
      <c r="U256" s="55">
        <f>VLOOKUP($E256,'NI-San_SP'!$C:$AN,MID(U$1,1,2),FALSE)</f>
        <v>0</v>
      </c>
      <c r="V256" s="55">
        <f>VLOOKUP($E256,'NI-San_SP'!$C:$AN,MID(V$1,1,2),FALSE)</f>
        <v>0</v>
      </c>
      <c r="W256" s="55">
        <f>VLOOKUP($E256,'NI-San_SP'!$C:$AN,MID(W$1,1,2),FALSE)</f>
        <v>0</v>
      </c>
      <c r="X256" s="55">
        <f>VLOOKUP($E256,'NI-San_SP'!$C:$AN,MID(X$1,1,2),FALSE)</f>
        <v>0</v>
      </c>
      <c r="Y256" s="55">
        <f>VLOOKUP($E256,'NI-San_SP'!$C:$AN,MID(Y$1,1,2),FALSE)</f>
        <v>0</v>
      </c>
      <c r="Z256" s="55">
        <f>VLOOKUP($E256,'NI-San_SP'!$C:$AN,MID(Z$1,1,2),FALSE)</f>
        <v>0</v>
      </c>
      <c r="AA256" s="55">
        <f>VLOOKUP($E256,'NI-San_SP'!$C:$AN,MID(AA$1,1,2),FALSE)</f>
        <v>0</v>
      </c>
      <c r="AB256" s="55">
        <f>VLOOKUP($E256,'NI-San_SP'!$C:$AN,MID(AB$1,1,2),FALSE)</f>
        <v>0</v>
      </c>
      <c r="AC256" s="55">
        <f>VLOOKUP($E256,'NI-San_SP'!$C:$AN,MID(AC$1,1,2),FALSE)</f>
        <v>0</v>
      </c>
      <c r="AD256" s="55">
        <f>VLOOKUP($E256,'NI-San_SP'!$C:$AN,MID(AD$1,1,2),FALSE)</f>
        <v>0</v>
      </c>
      <c r="AE256" s="55">
        <f>VLOOKUP($E256,'NI-San_SP'!$C:$AN,MID(AE$1,1,2),FALSE)</f>
        <v>0</v>
      </c>
      <c r="AF256" s="55">
        <f>VLOOKUP($E256,'NI-San_SP'!$C:$AN,MID(AF$1,1,2),FALSE)</f>
        <v>0</v>
      </c>
      <c r="AG256" s="55">
        <f>VLOOKUP($E256,'NI-San_SP'!$C:$AN,MID(AG$1,1,2),FALSE)</f>
        <v>0</v>
      </c>
      <c r="AH256" s="55">
        <f>VLOOKUP($E256,'NI-San_SP'!$C:$AN,MID(AH$1,1,2),FALSE)</f>
        <v>0</v>
      </c>
      <c r="AI256" s="55">
        <f>VLOOKUP($E256,'NI-San_SP'!$C:$AN,MID(AI$1,1,2),FALSE)</f>
        <v>0</v>
      </c>
      <c r="AJ256" s="55">
        <f>VLOOKUP($E256,'NI-San_SP'!$C:$AN,MID(AJ$1,1,2),FALSE)</f>
        <v>0</v>
      </c>
      <c r="AK256" s="55">
        <f>VLOOKUP($E256,'NI-San_SP'!$C:$AN,MID(AK$1,1,2),FALSE)</f>
        <v>0</v>
      </c>
      <c r="AL256" s="55">
        <f>VLOOKUP($E256,'NI-San_SP'!$C:$AN,MID(AL$1,1,2),FALSE)</f>
        <v>0</v>
      </c>
      <c r="AM256" s="56">
        <f>VLOOKUP($E256,'NI-San_SP'!$C:$AN,MID(AM$1,1,2),FALSE)</f>
        <v>0</v>
      </c>
      <c r="AN256" s="30" t="str">
        <f t="shared" si="3"/>
        <v>10210000000000</v>
      </c>
    </row>
    <row r="257" spans="3:40" x14ac:dyDescent="0.25">
      <c r="C257" s="40"/>
      <c r="D257" s="57" t="s">
        <v>958</v>
      </c>
      <c r="E257" s="57" t="s">
        <v>959</v>
      </c>
      <c r="F257" s="58" t="s">
        <v>110</v>
      </c>
      <c r="G257" s="52"/>
      <c r="H257" s="52"/>
      <c r="I257" s="52" t="s">
        <v>960</v>
      </c>
      <c r="J257" s="52" t="s">
        <v>960</v>
      </c>
      <c r="K257" s="59" t="s">
        <v>111</v>
      </c>
      <c r="L257" s="62" t="s">
        <v>961</v>
      </c>
      <c r="M257" s="52"/>
      <c r="N257" s="52"/>
      <c r="O257" s="52"/>
      <c r="P257" s="60" t="s">
        <v>962</v>
      </c>
      <c r="Q257" s="55">
        <f>VLOOKUP(E257,'NI-San_SP'!$C:$AN,12,FALSE)</f>
        <v>0</v>
      </c>
      <c r="R257" s="55">
        <f>VLOOKUP(E257,'NI-San_SP'!$C:$AN,13,FALSE)</f>
        <v>0</v>
      </c>
      <c r="S257" s="55"/>
      <c r="T257" s="55"/>
      <c r="U257" s="55">
        <f>VLOOKUP($E257,'NI-San_SP'!$C:$AN,MID(U$1,1,2),FALSE)</f>
        <v>0</v>
      </c>
      <c r="V257" s="55">
        <f>VLOOKUP($E257,'NI-San_SP'!$C:$AN,MID(V$1,1,2),FALSE)</f>
        <v>0</v>
      </c>
      <c r="W257" s="55">
        <f>VLOOKUP($E257,'NI-San_SP'!$C:$AN,MID(W$1,1,2),FALSE)</f>
        <v>0</v>
      </c>
      <c r="X257" s="55">
        <f>VLOOKUP($E257,'NI-San_SP'!$C:$AN,MID(X$1,1,2),FALSE)</f>
        <v>0</v>
      </c>
      <c r="Y257" s="55">
        <f>VLOOKUP($E257,'NI-San_SP'!$C:$AN,MID(Y$1,1,2),FALSE)</f>
        <v>0</v>
      </c>
      <c r="Z257" s="55">
        <f>VLOOKUP($E257,'NI-San_SP'!$C:$AN,MID(Z$1,1,2),FALSE)</f>
        <v>0</v>
      </c>
      <c r="AA257" s="55">
        <f>VLOOKUP($E257,'NI-San_SP'!$C:$AN,MID(AA$1,1,2),FALSE)</f>
        <v>0</v>
      </c>
      <c r="AB257" s="55">
        <f>VLOOKUP($E257,'NI-San_SP'!$C:$AN,MID(AB$1,1,2),FALSE)</f>
        <v>0</v>
      </c>
      <c r="AC257" s="55">
        <f>VLOOKUP($E257,'NI-San_SP'!$C:$AN,MID(AC$1,1,2),FALSE)</f>
        <v>0</v>
      </c>
      <c r="AD257" s="55">
        <f>VLOOKUP($E257,'NI-San_SP'!$C:$AN,MID(AD$1,1,2),FALSE)</f>
        <v>0</v>
      </c>
      <c r="AE257" s="55">
        <f>VLOOKUP($E257,'NI-San_SP'!$C:$AN,MID(AE$1,1,2),FALSE)</f>
        <v>0</v>
      </c>
      <c r="AF257" s="55">
        <f>VLOOKUP($E257,'NI-San_SP'!$C:$AN,MID(AF$1,1,2),FALSE)</f>
        <v>0</v>
      </c>
      <c r="AG257" s="55">
        <f>VLOOKUP($E257,'NI-San_SP'!$C:$AN,MID(AG$1,1,2),FALSE)</f>
        <v>0</v>
      </c>
      <c r="AH257" s="55">
        <f>VLOOKUP($E257,'NI-San_SP'!$C:$AN,MID(AH$1,1,2),FALSE)</f>
        <v>0</v>
      </c>
      <c r="AI257" s="55">
        <f>VLOOKUP($E257,'NI-San_SP'!$C:$AN,MID(AI$1,1,2),FALSE)</f>
        <v>0</v>
      </c>
      <c r="AJ257" s="55">
        <f>VLOOKUP($E257,'NI-San_SP'!$C:$AN,MID(AJ$1,1,2),FALSE)</f>
        <v>0</v>
      </c>
      <c r="AK257" s="55">
        <f>VLOOKUP($E257,'NI-San_SP'!$C:$AN,MID(AK$1,1,2),FALSE)</f>
        <v>0</v>
      </c>
      <c r="AL257" s="55">
        <f>VLOOKUP($E257,'NI-San_SP'!$C:$AN,MID(AL$1,1,2),FALSE)</f>
        <v>0</v>
      </c>
      <c r="AM257" s="56">
        <f>VLOOKUP($E257,'NI-San_SP'!$C:$AN,MID(AM$1,1,2),FALSE)</f>
        <v>0</v>
      </c>
      <c r="AN257" s="30" t="str">
        <f t="shared" si="3"/>
        <v>10210010000000</v>
      </c>
    </row>
    <row r="258" spans="3:40" x14ac:dyDescent="0.25">
      <c r="C258" s="40"/>
      <c r="D258" s="57" t="s">
        <v>963</v>
      </c>
      <c r="E258" s="57" t="s">
        <v>964</v>
      </c>
      <c r="F258" s="58" t="s">
        <v>110</v>
      </c>
      <c r="G258" s="52"/>
      <c r="H258" s="52"/>
      <c r="I258" s="52"/>
      <c r="J258" s="52"/>
      <c r="K258" s="59" t="s">
        <v>79</v>
      </c>
      <c r="L258" s="52"/>
      <c r="M258" s="52"/>
      <c r="N258" s="52"/>
      <c r="O258" s="61" t="s">
        <v>438</v>
      </c>
      <c r="P258" s="63" t="s">
        <v>965</v>
      </c>
      <c r="Q258" s="55">
        <f>VLOOKUP(E258,'NI-San_SP'!$C:$AN,12,FALSE)</f>
        <v>0</v>
      </c>
      <c r="R258" s="55">
        <f>VLOOKUP(E258,'NI-San_SP'!$C:$AN,13,FALSE)</f>
        <v>0</v>
      </c>
      <c r="S258" s="55"/>
      <c r="T258" s="55"/>
      <c r="U258" s="55">
        <f>VLOOKUP($E258,'NI-San_SP'!$C:$AN,MID(U$1,1,2),FALSE)</f>
        <v>0</v>
      </c>
      <c r="V258" s="55">
        <f>VLOOKUP($E258,'NI-San_SP'!$C:$AN,MID(V$1,1,2),FALSE)</f>
        <v>0</v>
      </c>
      <c r="W258" s="55">
        <f>VLOOKUP($E258,'NI-San_SP'!$C:$AN,MID(W$1,1,2),FALSE)</f>
        <v>0</v>
      </c>
      <c r="X258" s="55">
        <f>VLOOKUP($E258,'NI-San_SP'!$C:$AN,MID(X$1,1,2),FALSE)</f>
        <v>0</v>
      </c>
      <c r="Y258" s="55">
        <f>VLOOKUP($E258,'NI-San_SP'!$C:$AN,MID(Y$1,1,2),FALSE)</f>
        <v>0</v>
      </c>
      <c r="Z258" s="55">
        <f>VLOOKUP($E258,'NI-San_SP'!$C:$AN,MID(Z$1,1,2),FALSE)</f>
        <v>0</v>
      </c>
      <c r="AA258" s="55">
        <f>VLOOKUP($E258,'NI-San_SP'!$C:$AN,MID(AA$1,1,2),FALSE)</f>
        <v>0</v>
      </c>
      <c r="AB258" s="55">
        <f>VLOOKUP($E258,'NI-San_SP'!$C:$AN,MID(AB$1,1,2),FALSE)</f>
        <v>0</v>
      </c>
      <c r="AC258" s="55">
        <f>VLOOKUP($E258,'NI-San_SP'!$C:$AN,MID(AC$1,1,2),FALSE)</f>
        <v>0</v>
      </c>
      <c r="AD258" s="55">
        <f>VLOOKUP($E258,'NI-San_SP'!$C:$AN,MID(AD$1,1,2),FALSE)</f>
        <v>0</v>
      </c>
      <c r="AE258" s="55">
        <f>VLOOKUP($E258,'NI-San_SP'!$C:$AN,MID(AE$1,1,2),FALSE)</f>
        <v>0</v>
      </c>
      <c r="AF258" s="55">
        <f>VLOOKUP($E258,'NI-San_SP'!$C:$AN,MID(AF$1,1,2),FALSE)</f>
        <v>0</v>
      </c>
      <c r="AG258" s="55">
        <f>VLOOKUP($E258,'NI-San_SP'!$C:$AN,MID(AG$1,1,2),FALSE)</f>
        <v>0</v>
      </c>
      <c r="AH258" s="55">
        <f>VLOOKUP($E258,'NI-San_SP'!$C:$AN,MID(AH$1,1,2),FALSE)</f>
        <v>0</v>
      </c>
      <c r="AI258" s="55">
        <f>VLOOKUP($E258,'NI-San_SP'!$C:$AN,MID(AI$1,1,2),FALSE)</f>
        <v>0</v>
      </c>
      <c r="AJ258" s="55">
        <f>VLOOKUP($E258,'NI-San_SP'!$C:$AN,MID(AJ$1,1,2),FALSE)</f>
        <v>0</v>
      </c>
      <c r="AK258" s="55">
        <f>VLOOKUP($E258,'NI-San_SP'!$C:$AN,MID(AK$1,1,2),FALSE)</f>
        <v>0</v>
      </c>
      <c r="AL258" s="55">
        <f>VLOOKUP($E258,'NI-San_SP'!$C:$AN,MID(AL$1,1,2),FALSE)</f>
        <v>0</v>
      </c>
      <c r="AM258" s="56">
        <f>VLOOKUP($E258,'NI-San_SP'!$C:$AN,MID(AM$1,1,2),FALSE)</f>
        <v>0</v>
      </c>
      <c r="AN258" s="30" t="str">
        <f t="shared" ref="AN258:AN321" si="4">D258</f>
        <v>10210010010010</v>
      </c>
    </row>
    <row r="259" spans="3:40" x14ac:dyDescent="0.25">
      <c r="C259" s="40"/>
      <c r="D259" s="57" t="s">
        <v>966</v>
      </c>
      <c r="E259" s="57" t="s">
        <v>967</v>
      </c>
      <c r="F259" s="58" t="s">
        <v>110</v>
      </c>
      <c r="G259" s="52"/>
      <c r="H259" s="52"/>
      <c r="I259" s="52"/>
      <c r="J259" s="52"/>
      <c r="K259" s="59" t="s">
        <v>79</v>
      </c>
      <c r="L259" s="52"/>
      <c r="M259" s="52"/>
      <c r="N259" s="52"/>
      <c r="O259" s="61" t="s">
        <v>438</v>
      </c>
      <c r="P259" s="63" t="s">
        <v>968</v>
      </c>
      <c r="Q259" s="55">
        <f>VLOOKUP(E259,'NI-San_SP'!$C:$AN,12,FALSE)</f>
        <v>0</v>
      </c>
      <c r="R259" s="55">
        <f>VLOOKUP(E259,'NI-San_SP'!$C:$AN,13,FALSE)</f>
        <v>0</v>
      </c>
      <c r="S259" s="55"/>
      <c r="T259" s="55"/>
      <c r="U259" s="55">
        <f>VLOOKUP($E259,'NI-San_SP'!$C:$AN,MID(U$1,1,2),FALSE)</f>
        <v>0</v>
      </c>
      <c r="V259" s="55">
        <f>VLOOKUP($E259,'NI-San_SP'!$C:$AN,MID(V$1,1,2),FALSE)</f>
        <v>0</v>
      </c>
      <c r="W259" s="55">
        <f>VLOOKUP($E259,'NI-San_SP'!$C:$AN,MID(W$1,1,2),FALSE)</f>
        <v>0</v>
      </c>
      <c r="X259" s="55">
        <f>VLOOKUP($E259,'NI-San_SP'!$C:$AN,MID(X$1,1,2),FALSE)</f>
        <v>0</v>
      </c>
      <c r="Y259" s="55">
        <f>VLOOKUP($E259,'NI-San_SP'!$C:$AN,MID(Y$1,1,2),FALSE)</f>
        <v>0</v>
      </c>
      <c r="Z259" s="55">
        <f>VLOOKUP($E259,'NI-San_SP'!$C:$AN,MID(Z$1,1,2),FALSE)</f>
        <v>0</v>
      </c>
      <c r="AA259" s="55">
        <f>VLOOKUP($E259,'NI-San_SP'!$C:$AN,MID(AA$1,1,2),FALSE)</f>
        <v>0</v>
      </c>
      <c r="AB259" s="55">
        <f>VLOOKUP($E259,'NI-San_SP'!$C:$AN,MID(AB$1,1,2),FALSE)</f>
        <v>0</v>
      </c>
      <c r="AC259" s="55">
        <f>VLOOKUP($E259,'NI-San_SP'!$C:$AN,MID(AC$1,1,2),FALSE)</f>
        <v>0</v>
      </c>
      <c r="AD259" s="55">
        <f>VLOOKUP($E259,'NI-San_SP'!$C:$AN,MID(AD$1,1,2),FALSE)</f>
        <v>0</v>
      </c>
      <c r="AE259" s="55">
        <f>VLOOKUP($E259,'NI-San_SP'!$C:$AN,MID(AE$1,1,2),FALSE)</f>
        <v>0</v>
      </c>
      <c r="AF259" s="55">
        <f>VLOOKUP($E259,'NI-San_SP'!$C:$AN,MID(AF$1,1,2),FALSE)</f>
        <v>0</v>
      </c>
      <c r="AG259" s="55">
        <f>VLOOKUP($E259,'NI-San_SP'!$C:$AN,MID(AG$1,1,2),FALSE)</f>
        <v>0</v>
      </c>
      <c r="AH259" s="55">
        <f>VLOOKUP($E259,'NI-San_SP'!$C:$AN,MID(AH$1,1,2),FALSE)</f>
        <v>0</v>
      </c>
      <c r="AI259" s="55">
        <f>VLOOKUP($E259,'NI-San_SP'!$C:$AN,MID(AI$1,1,2),FALSE)</f>
        <v>0</v>
      </c>
      <c r="AJ259" s="55">
        <f>VLOOKUP($E259,'NI-San_SP'!$C:$AN,MID(AJ$1,1,2),FALSE)</f>
        <v>0</v>
      </c>
      <c r="AK259" s="55">
        <f>VLOOKUP($E259,'NI-San_SP'!$C:$AN,MID(AK$1,1,2),FALSE)</f>
        <v>0</v>
      </c>
      <c r="AL259" s="55">
        <f>VLOOKUP($E259,'NI-San_SP'!$C:$AN,MID(AL$1,1,2),FALSE)</f>
        <v>0</v>
      </c>
      <c r="AM259" s="56">
        <f>VLOOKUP($E259,'NI-San_SP'!$C:$AN,MID(AM$1,1,2),FALSE)</f>
        <v>0</v>
      </c>
      <c r="AN259" s="30" t="str">
        <f t="shared" si="4"/>
        <v>10210010010020</v>
      </c>
    </row>
    <row r="260" spans="3:40" x14ac:dyDescent="0.25">
      <c r="C260" s="40"/>
      <c r="D260" s="57" t="s">
        <v>969</v>
      </c>
      <c r="E260" s="57" t="s">
        <v>970</v>
      </c>
      <c r="F260" s="58" t="s">
        <v>110</v>
      </c>
      <c r="G260" s="52"/>
      <c r="H260" s="52"/>
      <c r="I260" s="52"/>
      <c r="J260" s="52"/>
      <c r="K260" s="59" t="s">
        <v>79</v>
      </c>
      <c r="L260" s="52"/>
      <c r="M260" s="52"/>
      <c r="N260" s="52"/>
      <c r="O260" s="61" t="s">
        <v>461</v>
      </c>
      <c r="P260" s="63" t="s">
        <v>971</v>
      </c>
      <c r="Q260" s="55">
        <f>VLOOKUP(E260,'NI-San_SP'!$C:$AN,12,FALSE)</f>
        <v>0</v>
      </c>
      <c r="R260" s="55">
        <f>VLOOKUP(E260,'NI-San_SP'!$C:$AN,13,FALSE)</f>
        <v>0</v>
      </c>
      <c r="S260" s="55"/>
      <c r="T260" s="55"/>
      <c r="U260" s="55">
        <f>VLOOKUP($E260,'NI-San_SP'!$C:$AN,MID(U$1,1,2),FALSE)</f>
        <v>0</v>
      </c>
      <c r="V260" s="55">
        <f>VLOOKUP($E260,'NI-San_SP'!$C:$AN,MID(V$1,1,2),FALSE)</f>
        <v>0</v>
      </c>
      <c r="W260" s="55">
        <f>VLOOKUP($E260,'NI-San_SP'!$C:$AN,MID(W$1,1,2),FALSE)</f>
        <v>0</v>
      </c>
      <c r="X260" s="55">
        <f>VLOOKUP($E260,'NI-San_SP'!$C:$AN,MID(X$1,1,2),FALSE)</f>
        <v>0</v>
      </c>
      <c r="Y260" s="55">
        <f>VLOOKUP($E260,'NI-San_SP'!$C:$AN,MID(Y$1,1,2),FALSE)</f>
        <v>0</v>
      </c>
      <c r="Z260" s="55">
        <f>VLOOKUP($E260,'NI-San_SP'!$C:$AN,MID(Z$1,1,2),FALSE)</f>
        <v>0</v>
      </c>
      <c r="AA260" s="55">
        <f>VLOOKUP($E260,'NI-San_SP'!$C:$AN,MID(AA$1,1,2),FALSE)</f>
        <v>0</v>
      </c>
      <c r="AB260" s="55">
        <f>VLOOKUP($E260,'NI-San_SP'!$C:$AN,MID(AB$1,1,2),FALSE)</f>
        <v>0</v>
      </c>
      <c r="AC260" s="55">
        <f>VLOOKUP($E260,'NI-San_SP'!$C:$AN,MID(AC$1,1,2),FALSE)</f>
        <v>0</v>
      </c>
      <c r="AD260" s="55">
        <f>VLOOKUP($E260,'NI-San_SP'!$C:$AN,MID(AD$1,1,2),FALSE)</f>
        <v>0</v>
      </c>
      <c r="AE260" s="55">
        <f>VLOOKUP($E260,'NI-San_SP'!$C:$AN,MID(AE$1,1,2),FALSE)</f>
        <v>0</v>
      </c>
      <c r="AF260" s="55">
        <f>VLOOKUP($E260,'NI-San_SP'!$C:$AN,MID(AF$1,1,2),FALSE)</f>
        <v>0</v>
      </c>
      <c r="AG260" s="55">
        <f>VLOOKUP($E260,'NI-San_SP'!$C:$AN,MID(AG$1,1,2),FALSE)</f>
        <v>0</v>
      </c>
      <c r="AH260" s="55">
        <f>VLOOKUP($E260,'NI-San_SP'!$C:$AN,MID(AH$1,1,2),FALSE)</f>
        <v>0</v>
      </c>
      <c r="AI260" s="55">
        <f>VLOOKUP($E260,'NI-San_SP'!$C:$AN,MID(AI$1,1,2),FALSE)</f>
        <v>0</v>
      </c>
      <c r="AJ260" s="55">
        <f>VLOOKUP($E260,'NI-San_SP'!$C:$AN,MID(AJ$1,1,2),FALSE)</f>
        <v>0</v>
      </c>
      <c r="AK260" s="55">
        <f>VLOOKUP($E260,'NI-San_SP'!$C:$AN,MID(AK$1,1,2),FALSE)</f>
        <v>0</v>
      </c>
      <c r="AL260" s="55">
        <f>VLOOKUP($E260,'NI-San_SP'!$C:$AN,MID(AL$1,1,2),FALSE)</f>
        <v>0</v>
      </c>
      <c r="AM260" s="56">
        <f>VLOOKUP($E260,'NI-San_SP'!$C:$AN,MID(AM$1,1,2),FALSE)</f>
        <v>0</v>
      </c>
      <c r="AN260" s="30" t="str">
        <f t="shared" si="4"/>
        <v>10210010020010</v>
      </c>
    </row>
    <row r="261" spans="3:40" x14ac:dyDescent="0.25">
      <c r="C261" s="40"/>
      <c r="D261" s="57" t="s">
        <v>972</v>
      </c>
      <c r="E261" s="57" t="s">
        <v>973</v>
      </c>
      <c r="F261" s="58" t="s">
        <v>110</v>
      </c>
      <c r="G261" s="52"/>
      <c r="H261" s="52"/>
      <c r="I261" s="52"/>
      <c r="J261" s="52"/>
      <c r="K261" s="59" t="s">
        <v>79</v>
      </c>
      <c r="L261" s="52"/>
      <c r="M261" s="52"/>
      <c r="N261" s="52"/>
      <c r="O261" s="61" t="s">
        <v>461</v>
      </c>
      <c r="P261" s="63" t="s">
        <v>974</v>
      </c>
      <c r="Q261" s="55">
        <f>VLOOKUP(E261,'NI-San_SP'!$C:$AN,12,FALSE)</f>
        <v>0</v>
      </c>
      <c r="R261" s="55">
        <f>VLOOKUP(E261,'NI-San_SP'!$C:$AN,13,FALSE)</f>
        <v>0</v>
      </c>
      <c r="S261" s="55"/>
      <c r="T261" s="55"/>
      <c r="U261" s="55">
        <f>VLOOKUP($E261,'NI-San_SP'!$C:$AN,MID(U$1,1,2),FALSE)</f>
        <v>0</v>
      </c>
      <c r="V261" s="55">
        <f>VLOOKUP($E261,'NI-San_SP'!$C:$AN,MID(V$1,1,2),FALSE)</f>
        <v>0</v>
      </c>
      <c r="W261" s="55">
        <f>VLOOKUP($E261,'NI-San_SP'!$C:$AN,MID(W$1,1,2),FALSE)</f>
        <v>0</v>
      </c>
      <c r="X261" s="55">
        <f>VLOOKUP($E261,'NI-San_SP'!$C:$AN,MID(X$1,1,2),FALSE)</f>
        <v>0</v>
      </c>
      <c r="Y261" s="55">
        <f>VLOOKUP($E261,'NI-San_SP'!$C:$AN,MID(Y$1,1,2),FALSE)</f>
        <v>0</v>
      </c>
      <c r="Z261" s="55">
        <f>VLOOKUP($E261,'NI-San_SP'!$C:$AN,MID(Z$1,1,2),FALSE)</f>
        <v>0</v>
      </c>
      <c r="AA261" s="55">
        <f>VLOOKUP($E261,'NI-San_SP'!$C:$AN,MID(AA$1,1,2),FALSE)</f>
        <v>0</v>
      </c>
      <c r="AB261" s="55">
        <f>VLOOKUP($E261,'NI-San_SP'!$C:$AN,MID(AB$1,1,2),FALSE)</f>
        <v>0</v>
      </c>
      <c r="AC261" s="55">
        <f>VLOOKUP($E261,'NI-San_SP'!$C:$AN,MID(AC$1,1,2),FALSE)</f>
        <v>0</v>
      </c>
      <c r="AD261" s="55">
        <f>VLOOKUP($E261,'NI-San_SP'!$C:$AN,MID(AD$1,1,2),FALSE)</f>
        <v>0</v>
      </c>
      <c r="AE261" s="55">
        <f>VLOOKUP($E261,'NI-San_SP'!$C:$AN,MID(AE$1,1,2),FALSE)</f>
        <v>0</v>
      </c>
      <c r="AF261" s="55">
        <f>VLOOKUP($E261,'NI-San_SP'!$C:$AN,MID(AF$1,1,2),FALSE)</f>
        <v>0</v>
      </c>
      <c r="AG261" s="55">
        <f>VLOOKUP($E261,'NI-San_SP'!$C:$AN,MID(AG$1,1,2),FALSE)</f>
        <v>0</v>
      </c>
      <c r="AH261" s="55">
        <f>VLOOKUP($E261,'NI-San_SP'!$C:$AN,MID(AH$1,1,2),FALSE)</f>
        <v>0</v>
      </c>
      <c r="AI261" s="55">
        <f>VLOOKUP($E261,'NI-San_SP'!$C:$AN,MID(AI$1,1,2),FALSE)</f>
        <v>0</v>
      </c>
      <c r="AJ261" s="55">
        <f>VLOOKUP($E261,'NI-San_SP'!$C:$AN,MID(AJ$1,1,2),FALSE)</f>
        <v>0</v>
      </c>
      <c r="AK261" s="55">
        <f>VLOOKUP($E261,'NI-San_SP'!$C:$AN,MID(AK$1,1,2),FALSE)</f>
        <v>0</v>
      </c>
      <c r="AL261" s="55">
        <f>VLOOKUP($E261,'NI-San_SP'!$C:$AN,MID(AL$1,1,2),FALSE)</f>
        <v>0</v>
      </c>
      <c r="AM261" s="56">
        <f>VLOOKUP($E261,'NI-San_SP'!$C:$AN,MID(AM$1,1,2),FALSE)</f>
        <v>0</v>
      </c>
      <c r="AN261" s="30" t="str">
        <f t="shared" si="4"/>
        <v>10210010020020</v>
      </c>
    </row>
    <row r="262" spans="3:40" x14ac:dyDescent="0.25">
      <c r="C262" s="40"/>
      <c r="D262" s="57" t="s">
        <v>975</v>
      </c>
      <c r="E262" s="57" t="s">
        <v>976</v>
      </c>
      <c r="F262" s="58" t="s">
        <v>110</v>
      </c>
      <c r="G262" s="52"/>
      <c r="H262" s="52"/>
      <c r="I262" s="52" t="s">
        <v>977</v>
      </c>
      <c r="J262" s="52" t="s">
        <v>977</v>
      </c>
      <c r="K262" s="59" t="s">
        <v>111</v>
      </c>
      <c r="L262" s="62" t="s">
        <v>978</v>
      </c>
      <c r="M262" s="52"/>
      <c r="N262" s="52"/>
      <c r="O262" s="52"/>
      <c r="P262" s="60" t="s">
        <v>979</v>
      </c>
      <c r="Q262" s="55">
        <f>VLOOKUP(E262,'NI-San_SP'!$C:$AN,12,FALSE)</f>
        <v>0</v>
      </c>
      <c r="R262" s="55">
        <f>VLOOKUP(E262,'NI-San_SP'!$C:$AN,13,FALSE)</f>
        <v>0</v>
      </c>
      <c r="S262" s="55"/>
      <c r="T262" s="55"/>
      <c r="U262" s="55">
        <f>VLOOKUP($E262,'NI-San_SP'!$C:$AN,MID(U$1,1,2),FALSE)</f>
        <v>0</v>
      </c>
      <c r="V262" s="55">
        <f>VLOOKUP($E262,'NI-San_SP'!$C:$AN,MID(V$1,1,2),FALSE)</f>
        <v>0</v>
      </c>
      <c r="W262" s="55">
        <f>VLOOKUP($E262,'NI-San_SP'!$C:$AN,MID(W$1,1,2),FALSE)</f>
        <v>0</v>
      </c>
      <c r="X262" s="55">
        <f>VLOOKUP($E262,'NI-San_SP'!$C:$AN,MID(X$1,1,2),FALSE)</f>
        <v>0</v>
      </c>
      <c r="Y262" s="55">
        <f>VLOOKUP($E262,'NI-San_SP'!$C:$AN,MID(Y$1,1,2),FALSE)</f>
        <v>0</v>
      </c>
      <c r="Z262" s="55">
        <f>VLOOKUP($E262,'NI-San_SP'!$C:$AN,MID(Z$1,1,2),FALSE)</f>
        <v>0</v>
      </c>
      <c r="AA262" s="55">
        <f>VLOOKUP($E262,'NI-San_SP'!$C:$AN,MID(AA$1,1,2),FALSE)</f>
        <v>0</v>
      </c>
      <c r="AB262" s="55">
        <f>VLOOKUP($E262,'NI-San_SP'!$C:$AN,MID(AB$1,1,2),FALSE)</f>
        <v>0</v>
      </c>
      <c r="AC262" s="55">
        <f>VLOOKUP($E262,'NI-San_SP'!$C:$AN,MID(AC$1,1,2),FALSE)</f>
        <v>0</v>
      </c>
      <c r="AD262" s="55">
        <f>VLOOKUP($E262,'NI-San_SP'!$C:$AN,MID(AD$1,1,2),FALSE)</f>
        <v>0</v>
      </c>
      <c r="AE262" s="55">
        <f>VLOOKUP($E262,'NI-San_SP'!$C:$AN,MID(AE$1,1,2),FALSE)</f>
        <v>0</v>
      </c>
      <c r="AF262" s="55">
        <f>VLOOKUP($E262,'NI-San_SP'!$C:$AN,MID(AF$1,1,2),FALSE)</f>
        <v>0</v>
      </c>
      <c r="AG262" s="55">
        <f>VLOOKUP($E262,'NI-San_SP'!$C:$AN,MID(AG$1,1,2),FALSE)</f>
        <v>0</v>
      </c>
      <c r="AH262" s="55">
        <f>VLOOKUP($E262,'NI-San_SP'!$C:$AN,MID(AH$1,1,2),FALSE)</f>
        <v>0</v>
      </c>
      <c r="AI262" s="55">
        <f>VLOOKUP($E262,'NI-San_SP'!$C:$AN,MID(AI$1,1,2),FALSE)</f>
        <v>0</v>
      </c>
      <c r="AJ262" s="55">
        <f>VLOOKUP($E262,'NI-San_SP'!$C:$AN,MID(AJ$1,1,2),FALSE)</f>
        <v>0</v>
      </c>
      <c r="AK262" s="55">
        <f>VLOOKUP($E262,'NI-San_SP'!$C:$AN,MID(AK$1,1,2),FALSE)</f>
        <v>0</v>
      </c>
      <c r="AL262" s="55">
        <f>VLOOKUP($E262,'NI-San_SP'!$C:$AN,MID(AL$1,1,2),FALSE)</f>
        <v>0</v>
      </c>
      <c r="AM262" s="56">
        <f>VLOOKUP($E262,'NI-San_SP'!$C:$AN,MID(AM$1,1,2),FALSE)</f>
        <v>0</v>
      </c>
      <c r="AN262" s="30" t="str">
        <f t="shared" si="4"/>
        <v>10210020000000</v>
      </c>
    </row>
    <row r="263" spans="3:40" x14ac:dyDescent="0.25">
      <c r="C263" s="40"/>
      <c r="D263" s="57" t="s">
        <v>980</v>
      </c>
      <c r="E263" s="57" t="s">
        <v>981</v>
      </c>
      <c r="F263" s="58" t="s">
        <v>110</v>
      </c>
      <c r="G263" s="52"/>
      <c r="H263" s="52"/>
      <c r="I263" s="52"/>
      <c r="J263" s="52"/>
      <c r="K263" s="59" t="s">
        <v>79</v>
      </c>
      <c r="L263" s="52"/>
      <c r="M263" s="52"/>
      <c r="N263" s="52"/>
      <c r="O263" s="61" t="s">
        <v>486</v>
      </c>
      <c r="P263" s="63" t="s">
        <v>982</v>
      </c>
      <c r="Q263" s="55">
        <f>VLOOKUP(E263,'NI-San_SP'!$C:$AN,12,FALSE)</f>
        <v>0</v>
      </c>
      <c r="R263" s="55">
        <f>VLOOKUP(E263,'NI-San_SP'!$C:$AN,13,FALSE)</f>
        <v>0</v>
      </c>
      <c r="S263" s="55"/>
      <c r="T263" s="55"/>
      <c r="U263" s="55">
        <f>VLOOKUP($E263,'NI-San_SP'!$C:$AN,MID(U$1,1,2),FALSE)</f>
        <v>0</v>
      </c>
      <c r="V263" s="55">
        <f>VLOOKUP($E263,'NI-San_SP'!$C:$AN,MID(V$1,1,2),FALSE)</f>
        <v>0</v>
      </c>
      <c r="W263" s="55">
        <f>VLOOKUP($E263,'NI-San_SP'!$C:$AN,MID(W$1,1,2),FALSE)</f>
        <v>0</v>
      </c>
      <c r="X263" s="55">
        <f>VLOOKUP($E263,'NI-San_SP'!$C:$AN,MID(X$1,1,2),FALSE)</f>
        <v>0</v>
      </c>
      <c r="Y263" s="55">
        <f>VLOOKUP($E263,'NI-San_SP'!$C:$AN,MID(Y$1,1,2),FALSE)</f>
        <v>0</v>
      </c>
      <c r="Z263" s="55">
        <f>VLOOKUP($E263,'NI-San_SP'!$C:$AN,MID(Z$1,1,2),FALSE)</f>
        <v>0</v>
      </c>
      <c r="AA263" s="55">
        <f>VLOOKUP($E263,'NI-San_SP'!$C:$AN,MID(AA$1,1,2),FALSE)</f>
        <v>0</v>
      </c>
      <c r="AB263" s="55">
        <f>VLOOKUP($E263,'NI-San_SP'!$C:$AN,MID(AB$1,1,2),FALSE)</f>
        <v>0</v>
      </c>
      <c r="AC263" s="55">
        <f>VLOOKUP($E263,'NI-San_SP'!$C:$AN,MID(AC$1,1,2),FALSE)</f>
        <v>0</v>
      </c>
      <c r="AD263" s="55">
        <f>VLOOKUP($E263,'NI-San_SP'!$C:$AN,MID(AD$1,1,2),FALSE)</f>
        <v>0</v>
      </c>
      <c r="AE263" s="55">
        <f>VLOOKUP($E263,'NI-San_SP'!$C:$AN,MID(AE$1,1,2),FALSE)</f>
        <v>0</v>
      </c>
      <c r="AF263" s="55">
        <f>VLOOKUP($E263,'NI-San_SP'!$C:$AN,MID(AF$1,1,2),FALSE)</f>
        <v>0</v>
      </c>
      <c r="AG263" s="55">
        <f>VLOOKUP($E263,'NI-San_SP'!$C:$AN,MID(AG$1,1,2),FALSE)</f>
        <v>0</v>
      </c>
      <c r="AH263" s="55">
        <f>VLOOKUP($E263,'NI-San_SP'!$C:$AN,MID(AH$1,1,2),FALSE)</f>
        <v>0</v>
      </c>
      <c r="AI263" s="55">
        <f>VLOOKUP($E263,'NI-San_SP'!$C:$AN,MID(AI$1,1,2),FALSE)</f>
        <v>0</v>
      </c>
      <c r="AJ263" s="55">
        <f>VLOOKUP($E263,'NI-San_SP'!$C:$AN,MID(AJ$1,1,2),FALSE)</f>
        <v>0</v>
      </c>
      <c r="AK263" s="55">
        <f>VLOOKUP($E263,'NI-San_SP'!$C:$AN,MID(AK$1,1,2),FALSE)</f>
        <v>0</v>
      </c>
      <c r="AL263" s="55">
        <f>VLOOKUP($E263,'NI-San_SP'!$C:$AN,MID(AL$1,1,2),FALSE)</f>
        <v>0</v>
      </c>
      <c r="AM263" s="56">
        <f>VLOOKUP($E263,'NI-San_SP'!$C:$AN,MID(AM$1,1,2),FALSE)</f>
        <v>0</v>
      </c>
      <c r="AN263" s="30" t="str">
        <f t="shared" si="4"/>
        <v>10210020010010</v>
      </c>
    </row>
    <row r="264" spans="3:40" x14ac:dyDescent="0.25">
      <c r="C264" s="40"/>
      <c r="D264" s="57" t="s">
        <v>983</v>
      </c>
      <c r="E264" s="57" t="s">
        <v>984</v>
      </c>
      <c r="F264" s="58" t="s">
        <v>110</v>
      </c>
      <c r="G264" s="52"/>
      <c r="H264" s="52"/>
      <c r="I264" s="52"/>
      <c r="J264" s="52"/>
      <c r="K264" s="59" t="s">
        <v>79</v>
      </c>
      <c r="L264" s="52"/>
      <c r="M264" s="52"/>
      <c r="N264" s="52"/>
      <c r="O264" s="61" t="s">
        <v>486</v>
      </c>
      <c r="P264" s="63" t="s">
        <v>985</v>
      </c>
      <c r="Q264" s="55">
        <f>VLOOKUP(E264,'NI-San_SP'!$C:$AN,12,FALSE)</f>
        <v>0</v>
      </c>
      <c r="R264" s="55">
        <f>VLOOKUP(E264,'NI-San_SP'!$C:$AN,13,FALSE)</f>
        <v>0</v>
      </c>
      <c r="S264" s="55"/>
      <c r="T264" s="55"/>
      <c r="U264" s="55">
        <f>VLOOKUP($E264,'NI-San_SP'!$C:$AN,MID(U$1,1,2),FALSE)</f>
        <v>0</v>
      </c>
      <c r="V264" s="55">
        <f>VLOOKUP($E264,'NI-San_SP'!$C:$AN,MID(V$1,1,2),FALSE)</f>
        <v>0</v>
      </c>
      <c r="W264" s="55">
        <f>VLOOKUP($E264,'NI-San_SP'!$C:$AN,MID(W$1,1,2),FALSE)</f>
        <v>0</v>
      </c>
      <c r="X264" s="55">
        <f>VLOOKUP($E264,'NI-San_SP'!$C:$AN,MID(X$1,1,2),FALSE)</f>
        <v>0</v>
      </c>
      <c r="Y264" s="55">
        <f>VLOOKUP($E264,'NI-San_SP'!$C:$AN,MID(Y$1,1,2),FALSE)</f>
        <v>0</v>
      </c>
      <c r="Z264" s="55">
        <f>VLOOKUP($E264,'NI-San_SP'!$C:$AN,MID(Z$1,1,2),FALSE)</f>
        <v>0</v>
      </c>
      <c r="AA264" s="55">
        <f>VLOOKUP($E264,'NI-San_SP'!$C:$AN,MID(AA$1,1,2),FALSE)</f>
        <v>0</v>
      </c>
      <c r="AB264" s="55">
        <f>VLOOKUP($E264,'NI-San_SP'!$C:$AN,MID(AB$1,1,2),FALSE)</f>
        <v>0</v>
      </c>
      <c r="AC264" s="55">
        <f>VLOOKUP($E264,'NI-San_SP'!$C:$AN,MID(AC$1,1,2),FALSE)</f>
        <v>0</v>
      </c>
      <c r="AD264" s="55">
        <f>VLOOKUP($E264,'NI-San_SP'!$C:$AN,MID(AD$1,1,2),FALSE)</f>
        <v>0</v>
      </c>
      <c r="AE264" s="55">
        <f>VLOOKUP($E264,'NI-San_SP'!$C:$AN,MID(AE$1,1,2),FALSE)</f>
        <v>0</v>
      </c>
      <c r="AF264" s="55">
        <f>VLOOKUP($E264,'NI-San_SP'!$C:$AN,MID(AF$1,1,2),FALSE)</f>
        <v>0</v>
      </c>
      <c r="AG264" s="55">
        <f>VLOOKUP($E264,'NI-San_SP'!$C:$AN,MID(AG$1,1,2),FALSE)</f>
        <v>0</v>
      </c>
      <c r="AH264" s="55">
        <f>VLOOKUP($E264,'NI-San_SP'!$C:$AN,MID(AH$1,1,2),FALSE)</f>
        <v>0</v>
      </c>
      <c r="AI264" s="55">
        <f>VLOOKUP($E264,'NI-San_SP'!$C:$AN,MID(AI$1,1,2),FALSE)</f>
        <v>0</v>
      </c>
      <c r="AJ264" s="55">
        <f>VLOOKUP($E264,'NI-San_SP'!$C:$AN,MID(AJ$1,1,2),FALSE)</f>
        <v>0</v>
      </c>
      <c r="AK264" s="55">
        <f>VLOOKUP($E264,'NI-San_SP'!$C:$AN,MID(AK$1,1,2),FALSE)</f>
        <v>0</v>
      </c>
      <c r="AL264" s="55">
        <f>VLOOKUP($E264,'NI-San_SP'!$C:$AN,MID(AL$1,1,2),FALSE)</f>
        <v>0</v>
      </c>
      <c r="AM264" s="56">
        <f>VLOOKUP($E264,'NI-San_SP'!$C:$AN,MID(AM$1,1,2),FALSE)</f>
        <v>0</v>
      </c>
      <c r="AN264" s="30" t="str">
        <f t="shared" si="4"/>
        <v>10210020010020</v>
      </c>
    </row>
    <row r="265" spans="3:40" x14ac:dyDescent="0.25">
      <c r="C265" s="40"/>
      <c r="D265" s="57" t="s">
        <v>986</v>
      </c>
      <c r="E265" s="57" t="s">
        <v>987</v>
      </c>
      <c r="F265" s="58" t="s">
        <v>110</v>
      </c>
      <c r="G265" s="52"/>
      <c r="H265" s="52"/>
      <c r="I265" s="52"/>
      <c r="J265" s="52"/>
      <c r="K265" s="59" t="s">
        <v>79</v>
      </c>
      <c r="L265" s="52"/>
      <c r="M265" s="52"/>
      <c r="N265" s="52"/>
      <c r="O265" s="61" t="s">
        <v>524</v>
      </c>
      <c r="P265" s="63" t="s">
        <v>988</v>
      </c>
      <c r="Q265" s="55">
        <f>VLOOKUP(E265,'NI-San_SP'!$C:$AN,12,FALSE)</f>
        <v>0</v>
      </c>
      <c r="R265" s="55">
        <f>VLOOKUP(E265,'NI-San_SP'!$C:$AN,13,FALSE)</f>
        <v>0</v>
      </c>
      <c r="S265" s="55"/>
      <c r="T265" s="55"/>
      <c r="U265" s="55">
        <f>VLOOKUP($E265,'NI-San_SP'!$C:$AN,MID(U$1,1,2),FALSE)</f>
        <v>0</v>
      </c>
      <c r="V265" s="55">
        <f>VLOOKUP($E265,'NI-San_SP'!$C:$AN,MID(V$1,1,2),FALSE)</f>
        <v>0</v>
      </c>
      <c r="W265" s="55">
        <f>VLOOKUP($E265,'NI-San_SP'!$C:$AN,MID(W$1,1,2),FALSE)</f>
        <v>0</v>
      </c>
      <c r="X265" s="55">
        <f>VLOOKUP($E265,'NI-San_SP'!$C:$AN,MID(X$1,1,2),FALSE)</f>
        <v>0</v>
      </c>
      <c r="Y265" s="55">
        <f>VLOOKUP($E265,'NI-San_SP'!$C:$AN,MID(Y$1,1,2),FALSE)</f>
        <v>0</v>
      </c>
      <c r="Z265" s="55">
        <f>VLOOKUP($E265,'NI-San_SP'!$C:$AN,MID(Z$1,1,2),FALSE)</f>
        <v>0</v>
      </c>
      <c r="AA265" s="55">
        <f>VLOOKUP($E265,'NI-San_SP'!$C:$AN,MID(AA$1,1,2),FALSE)</f>
        <v>0</v>
      </c>
      <c r="AB265" s="55">
        <f>VLOOKUP($E265,'NI-San_SP'!$C:$AN,MID(AB$1,1,2),FALSE)</f>
        <v>0</v>
      </c>
      <c r="AC265" s="55">
        <f>VLOOKUP($E265,'NI-San_SP'!$C:$AN,MID(AC$1,1,2),FALSE)</f>
        <v>0</v>
      </c>
      <c r="AD265" s="55">
        <f>VLOOKUP($E265,'NI-San_SP'!$C:$AN,MID(AD$1,1,2),FALSE)</f>
        <v>0</v>
      </c>
      <c r="AE265" s="55">
        <f>VLOOKUP($E265,'NI-San_SP'!$C:$AN,MID(AE$1,1,2),FALSE)</f>
        <v>0</v>
      </c>
      <c r="AF265" s="55">
        <f>VLOOKUP($E265,'NI-San_SP'!$C:$AN,MID(AF$1,1,2),FALSE)</f>
        <v>0</v>
      </c>
      <c r="AG265" s="55">
        <f>VLOOKUP($E265,'NI-San_SP'!$C:$AN,MID(AG$1,1,2),FALSE)</f>
        <v>0</v>
      </c>
      <c r="AH265" s="55">
        <f>VLOOKUP($E265,'NI-San_SP'!$C:$AN,MID(AH$1,1,2),FALSE)</f>
        <v>0</v>
      </c>
      <c r="AI265" s="55">
        <f>VLOOKUP($E265,'NI-San_SP'!$C:$AN,MID(AI$1,1,2),FALSE)</f>
        <v>0</v>
      </c>
      <c r="AJ265" s="55">
        <f>VLOOKUP($E265,'NI-San_SP'!$C:$AN,MID(AJ$1,1,2),FALSE)</f>
        <v>0</v>
      </c>
      <c r="AK265" s="55">
        <f>VLOOKUP($E265,'NI-San_SP'!$C:$AN,MID(AK$1,1,2),FALSE)</f>
        <v>0</v>
      </c>
      <c r="AL265" s="55">
        <f>VLOOKUP($E265,'NI-San_SP'!$C:$AN,MID(AL$1,1,2),FALSE)</f>
        <v>0</v>
      </c>
      <c r="AM265" s="56">
        <f>VLOOKUP($E265,'NI-San_SP'!$C:$AN,MID(AM$1,1,2),FALSE)</f>
        <v>0</v>
      </c>
      <c r="AN265" s="30" t="str">
        <f t="shared" si="4"/>
        <v>10210020020010</v>
      </c>
    </row>
    <row r="266" spans="3:40" x14ac:dyDescent="0.25">
      <c r="C266" s="40"/>
      <c r="D266" s="57" t="s">
        <v>989</v>
      </c>
      <c r="E266" s="57" t="s">
        <v>990</v>
      </c>
      <c r="F266" s="58" t="s">
        <v>110</v>
      </c>
      <c r="G266" s="52"/>
      <c r="H266" s="52"/>
      <c r="I266" s="52"/>
      <c r="J266" s="52"/>
      <c r="K266" s="59" t="s">
        <v>79</v>
      </c>
      <c r="L266" s="52"/>
      <c r="M266" s="52"/>
      <c r="N266" s="52"/>
      <c r="O266" s="61" t="s">
        <v>524</v>
      </c>
      <c r="P266" s="63" t="s">
        <v>991</v>
      </c>
      <c r="Q266" s="55">
        <f>VLOOKUP(E266,'NI-San_SP'!$C:$AN,12,FALSE)</f>
        <v>0</v>
      </c>
      <c r="R266" s="55">
        <f>VLOOKUP(E266,'NI-San_SP'!$C:$AN,13,FALSE)</f>
        <v>0</v>
      </c>
      <c r="S266" s="55"/>
      <c r="T266" s="55"/>
      <c r="U266" s="55">
        <f>VLOOKUP($E266,'NI-San_SP'!$C:$AN,MID(U$1,1,2),FALSE)</f>
        <v>0</v>
      </c>
      <c r="V266" s="55">
        <f>VLOOKUP($E266,'NI-San_SP'!$C:$AN,MID(V$1,1,2),FALSE)</f>
        <v>0</v>
      </c>
      <c r="W266" s="55">
        <f>VLOOKUP($E266,'NI-San_SP'!$C:$AN,MID(W$1,1,2),FALSE)</f>
        <v>0</v>
      </c>
      <c r="X266" s="55">
        <f>VLOOKUP($E266,'NI-San_SP'!$C:$AN,MID(X$1,1,2),FALSE)</f>
        <v>0</v>
      </c>
      <c r="Y266" s="55">
        <f>VLOOKUP($E266,'NI-San_SP'!$C:$AN,MID(Y$1,1,2),FALSE)</f>
        <v>0</v>
      </c>
      <c r="Z266" s="55">
        <f>VLOOKUP($E266,'NI-San_SP'!$C:$AN,MID(Z$1,1,2),FALSE)</f>
        <v>0</v>
      </c>
      <c r="AA266" s="55">
        <f>VLOOKUP($E266,'NI-San_SP'!$C:$AN,MID(AA$1,1,2),FALSE)</f>
        <v>0</v>
      </c>
      <c r="AB266" s="55">
        <f>VLOOKUP($E266,'NI-San_SP'!$C:$AN,MID(AB$1,1,2),FALSE)</f>
        <v>0</v>
      </c>
      <c r="AC266" s="55">
        <f>VLOOKUP($E266,'NI-San_SP'!$C:$AN,MID(AC$1,1,2),FALSE)</f>
        <v>0</v>
      </c>
      <c r="AD266" s="55">
        <f>VLOOKUP($E266,'NI-San_SP'!$C:$AN,MID(AD$1,1,2),FALSE)</f>
        <v>0</v>
      </c>
      <c r="AE266" s="55">
        <f>VLOOKUP($E266,'NI-San_SP'!$C:$AN,MID(AE$1,1,2),FALSE)</f>
        <v>0</v>
      </c>
      <c r="AF266" s="55">
        <f>VLOOKUP($E266,'NI-San_SP'!$C:$AN,MID(AF$1,1,2),FALSE)</f>
        <v>0</v>
      </c>
      <c r="AG266" s="55">
        <f>VLOOKUP($E266,'NI-San_SP'!$C:$AN,MID(AG$1,1,2),FALSE)</f>
        <v>0</v>
      </c>
      <c r="AH266" s="55">
        <f>VLOOKUP($E266,'NI-San_SP'!$C:$AN,MID(AH$1,1,2),FALSE)</f>
        <v>0</v>
      </c>
      <c r="AI266" s="55">
        <f>VLOOKUP($E266,'NI-San_SP'!$C:$AN,MID(AI$1,1,2),FALSE)</f>
        <v>0</v>
      </c>
      <c r="AJ266" s="55">
        <f>VLOOKUP($E266,'NI-San_SP'!$C:$AN,MID(AJ$1,1,2),FALSE)</f>
        <v>0</v>
      </c>
      <c r="AK266" s="55">
        <f>VLOOKUP($E266,'NI-San_SP'!$C:$AN,MID(AK$1,1,2),FALSE)</f>
        <v>0</v>
      </c>
      <c r="AL266" s="55">
        <f>VLOOKUP($E266,'NI-San_SP'!$C:$AN,MID(AL$1,1,2),FALSE)</f>
        <v>0</v>
      </c>
      <c r="AM266" s="56">
        <f>VLOOKUP($E266,'NI-San_SP'!$C:$AN,MID(AM$1,1,2),FALSE)</f>
        <v>0</v>
      </c>
      <c r="AN266" s="30" t="str">
        <f t="shared" si="4"/>
        <v>10210020020020</v>
      </c>
    </row>
    <row r="267" spans="3:40" x14ac:dyDescent="0.25">
      <c r="C267" s="40"/>
      <c r="D267" s="57" t="s">
        <v>992</v>
      </c>
      <c r="E267" s="57" t="s">
        <v>993</v>
      </c>
      <c r="F267" s="58" t="s">
        <v>110</v>
      </c>
      <c r="G267" s="52"/>
      <c r="H267" s="52"/>
      <c r="I267" s="52" t="s">
        <v>994</v>
      </c>
      <c r="J267" s="52" t="s">
        <v>994</v>
      </c>
      <c r="K267" s="59" t="s">
        <v>111</v>
      </c>
      <c r="L267" s="62" t="s">
        <v>995</v>
      </c>
      <c r="M267" s="52"/>
      <c r="N267" s="52"/>
      <c r="O267" s="61" t="s">
        <v>560</v>
      </c>
      <c r="P267" s="60" t="s">
        <v>996</v>
      </c>
      <c r="Q267" s="55">
        <f>VLOOKUP(E267,'NI-San_SP'!$C:$AN,12,FALSE)</f>
        <v>0</v>
      </c>
      <c r="R267" s="55">
        <f>VLOOKUP(E267,'NI-San_SP'!$C:$AN,13,FALSE)</f>
        <v>0</v>
      </c>
      <c r="S267" s="55"/>
      <c r="T267" s="55"/>
      <c r="U267" s="55">
        <f>VLOOKUP($E267,'NI-San_SP'!$C:$AN,MID(U$1,1,2),FALSE)</f>
        <v>0</v>
      </c>
      <c r="V267" s="55">
        <f>VLOOKUP($E267,'NI-San_SP'!$C:$AN,MID(V$1,1,2),FALSE)</f>
        <v>0</v>
      </c>
      <c r="W267" s="55">
        <f>VLOOKUP($E267,'NI-San_SP'!$C:$AN,MID(W$1,1,2),FALSE)</f>
        <v>0</v>
      </c>
      <c r="X267" s="55">
        <f>VLOOKUP($E267,'NI-San_SP'!$C:$AN,MID(X$1,1,2),FALSE)</f>
        <v>0</v>
      </c>
      <c r="Y267" s="55">
        <f>VLOOKUP($E267,'NI-San_SP'!$C:$AN,MID(Y$1,1,2),FALSE)</f>
        <v>0</v>
      </c>
      <c r="Z267" s="55">
        <f>VLOOKUP($E267,'NI-San_SP'!$C:$AN,MID(Z$1,1,2),FALSE)</f>
        <v>0</v>
      </c>
      <c r="AA267" s="55">
        <f>VLOOKUP($E267,'NI-San_SP'!$C:$AN,MID(AA$1,1,2),FALSE)</f>
        <v>0</v>
      </c>
      <c r="AB267" s="55">
        <f>VLOOKUP($E267,'NI-San_SP'!$C:$AN,MID(AB$1,1,2),FALSE)</f>
        <v>0</v>
      </c>
      <c r="AC267" s="55">
        <f>VLOOKUP($E267,'NI-San_SP'!$C:$AN,MID(AC$1,1,2),FALSE)</f>
        <v>0</v>
      </c>
      <c r="AD267" s="55">
        <f>VLOOKUP($E267,'NI-San_SP'!$C:$AN,MID(AD$1,1,2),FALSE)</f>
        <v>0</v>
      </c>
      <c r="AE267" s="55">
        <f>VLOOKUP($E267,'NI-San_SP'!$C:$AN,MID(AE$1,1,2),FALSE)</f>
        <v>0</v>
      </c>
      <c r="AF267" s="55">
        <f>VLOOKUP($E267,'NI-San_SP'!$C:$AN,MID(AF$1,1,2),FALSE)</f>
        <v>0</v>
      </c>
      <c r="AG267" s="55">
        <f>VLOOKUP($E267,'NI-San_SP'!$C:$AN,MID(AG$1,1,2),FALSE)</f>
        <v>0</v>
      </c>
      <c r="AH267" s="55">
        <f>VLOOKUP($E267,'NI-San_SP'!$C:$AN,MID(AH$1,1,2),FALSE)</f>
        <v>0</v>
      </c>
      <c r="AI267" s="55">
        <f>VLOOKUP($E267,'NI-San_SP'!$C:$AN,MID(AI$1,1,2),FALSE)</f>
        <v>0</v>
      </c>
      <c r="AJ267" s="55">
        <f>VLOOKUP($E267,'NI-San_SP'!$C:$AN,MID(AJ$1,1,2),FALSE)</f>
        <v>0</v>
      </c>
      <c r="AK267" s="55">
        <f>VLOOKUP($E267,'NI-San_SP'!$C:$AN,MID(AK$1,1,2),FALSE)</f>
        <v>0</v>
      </c>
      <c r="AL267" s="55">
        <f>VLOOKUP($E267,'NI-San_SP'!$C:$AN,MID(AL$1,1,2),FALSE)</f>
        <v>0</v>
      </c>
      <c r="AM267" s="56">
        <f>VLOOKUP($E267,'NI-San_SP'!$C:$AN,MID(AM$1,1,2),FALSE)</f>
        <v>0</v>
      </c>
      <c r="AN267" s="30" t="str">
        <f t="shared" si="4"/>
        <v>10210030000000</v>
      </c>
    </row>
    <row r="268" spans="3:40" x14ac:dyDescent="0.25">
      <c r="C268" s="40"/>
      <c r="D268" s="57" t="s">
        <v>997</v>
      </c>
      <c r="E268" s="57" t="s">
        <v>998</v>
      </c>
      <c r="F268" s="58" t="s">
        <v>110</v>
      </c>
      <c r="G268" s="52"/>
      <c r="H268" s="52"/>
      <c r="I268" s="52"/>
      <c r="J268" s="52"/>
      <c r="K268" s="59" t="s">
        <v>79</v>
      </c>
      <c r="L268" s="52"/>
      <c r="M268" s="52"/>
      <c r="N268" s="52"/>
      <c r="O268" s="52"/>
      <c r="P268" s="63" t="s">
        <v>999</v>
      </c>
      <c r="Q268" s="55">
        <f>VLOOKUP(E268,'NI-San_SP'!$C:$AN,12,FALSE)</f>
        <v>0</v>
      </c>
      <c r="R268" s="55">
        <f>VLOOKUP(E268,'NI-San_SP'!$C:$AN,13,FALSE)</f>
        <v>0</v>
      </c>
      <c r="S268" s="55"/>
      <c r="T268" s="55"/>
      <c r="U268" s="55">
        <f>VLOOKUP($E268,'NI-San_SP'!$C:$AN,MID(U$1,1,2),FALSE)</f>
        <v>0</v>
      </c>
      <c r="V268" s="55">
        <f>VLOOKUP($E268,'NI-San_SP'!$C:$AN,MID(V$1,1,2),FALSE)</f>
        <v>0</v>
      </c>
      <c r="W268" s="55">
        <f>VLOOKUP($E268,'NI-San_SP'!$C:$AN,MID(W$1,1,2),FALSE)</f>
        <v>0</v>
      </c>
      <c r="X268" s="55">
        <f>VLOOKUP($E268,'NI-San_SP'!$C:$AN,MID(X$1,1,2),FALSE)</f>
        <v>0</v>
      </c>
      <c r="Y268" s="55">
        <f>VLOOKUP($E268,'NI-San_SP'!$C:$AN,MID(Y$1,1,2),FALSE)</f>
        <v>0</v>
      </c>
      <c r="Z268" s="55">
        <f>VLOOKUP($E268,'NI-San_SP'!$C:$AN,MID(Z$1,1,2),FALSE)</f>
        <v>0</v>
      </c>
      <c r="AA268" s="55">
        <f>VLOOKUP($E268,'NI-San_SP'!$C:$AN,MID(AA$1,1,2),FALSE)</f>
        <v>0</v>
      </c>
      <c r="AB268" s="55">
        <f>VLOOKUP($E268,'NI-San_SP'!$C:$AN,MID(AB$1,1,2),FALSE)</f>
        <v>0</v>
      </c>
      <c r="AC268" s="55">
        <f>VLOOKUP($E268,'NI-San_SP'!$C:$AN,MID(AC$1,1,2),FALSE)</f>
        <v>0</v>
      </c>
      <c r="AD268" s="55">
        <f>VLOOKUP($E268,'NI-San_SP'!$C:$AN,MID(AD$1,1,2),FALSE)</f>
        <v>0</v>
      </c>
      <c r="AE268" s="55">
        <f>VLOOKUP($E268,'NI-San_SP'!$C:$AN,MID(AE$1,1,2),FALSE)</f>
        <v>0</v>
      </c>
      <c r="AF268" s="55">
        <f>VLOOKUP($E268,'NI-San_SP'!$C:$AN,MID(AF$1,1,2),FALSE)</f>
        <v>0</v>
      </c>
      <c r="AG268" s="55">
        <f>VLOOKUP($E268,'NI-San_SP'!$C:$AN,MID(AG$1,1,2),FALSE)</f>
        <v>0</v>
      </c>
      <c r="AH268" s="55">
        <f>VLOOKUP($E268,'NI-San_SP'!$C:$AN,MID(AH$1,1,2),FALSE)</f>
        <v>0</v>
      </c>
      <c r="AI268" s="55">
        <f>VLOOKUP($E268,'NI-San_SP'!$C:$AN,MID(AI$1,1,2),FALSE)</f>
        <v>0</v>
      </c>
      <c r="AJ268" s="55">
        <f>VLOOKUP($E268,'NI-San_SP'!$C:$AN,MID(AJ$1,1,2),FALSE)</f>
        <v>0</v>
      </c>
      <c r="AK268" s="55">
        <f>VLOOKUP($E268,'NI-San_SP'!$C:$AN,MID(AK$1,1,2),FALSE)</f>
        <v>0</v>
      </c>
      <c r="AL268" s="55">
        <f>VLOOKUP($E268,'NI-San_SP'!$C:$AN,MID(AL$1,1,2),FALSE)</f>
        <v>0</v>
      </c>
      <c r="AM268" s="56">
        <f>VLOOKUP($E268,'NI-San_SP'!$C:$AN,MID(AM$1,1,2),FALSE)</f>
        <v>0</v>
      </c>
      <c r="AN268" s="30" t="str">
        <f t="shared" si="4"/>
        <v>10210030010000</v>
      </c>
    </row>
    <row r="269" spans="3:40" x14ac:dyDescent="0.25">
      <c r="C269" s="40"/>
      <c r="D269" s="57" t="s">
        <v>1000</v>
      </c>
      <c r="E269" s="57" t="s">
        <v>1001</v>
      </c>
      <c r="F269" s="58" t="s">
        <v>110</v>
      </c>
      <c r="G269" s="52"/>
      <c r="H269" s="52"/>
      <c r="I269" s="52"/>
      <c r="J269" s="52"/>
      <c r="K269" s="59" t="s">
        <v>79</v>
      </c>
      <c r="L269" s="52"/>
      <c r="M269" s="52"/>
      <c r="N269" s="52"/>
      <c r="O269" s="52"/>
      <c r="P269" s="63" t="s">
        <v>1002</v>
      </c>
      <c r="Q269" s="55">
        <f>VLOOKUP(E269,'NI-San_SP'!$C:$AN,12,FALSE)</f>
        <v>0</v>
      </c>
      <c r="R269" s="55">
        <f>VLOOKUP(E269,'NI-San_SP'!$C:$AN,13,FALSE)</f>
        <v>0</v>
      </c>
      <c r="S269" s="55"/>
      <c r="T269" s="55"/>
      <c r="U269" s="55">
        <f>VLOOKUP($E269,'NI-San_SP'!$C:$AN,MID(U$1,1,2),FALSE)</f>
        <v>0</v>
      </c>
      <c r="V269" s="55">
        <f>VLOOKUP($E269,'NI-San_SP'!$C:$AN,MID(V$1,1,2),FALSE)</f>
        <v>0</v>
      </c>
      <c r="W269" s="55">
        <f>VLOOKUP($E269,'NI-San_SP'!$C:$AN,MID(W$1,1,2),FALSE)</f>
        <v>0</v>
      </c>
      <c r="X269" s="55">
        <f>VLOOKUP($E269,'NI-San_SP'!$C:$AN,MID(X$1,1,2),FALSE)</f>
        <v>0</v>
      </c>
      <c r="Y269" s="55">
        <f>VLOOKUP($E269,'NI-San_SP'!$C:$AN,MID(Y$1,1,2),FALSE)</f>
        <v>0</v>
      </c>
      <c r="Z269" s="55">
        <f>VLOOKUP($E269,'NI-San_SP'!$C:$AN,MID(Z$1,1,2),FALSE)</f>
        <v>0</v>
      </c>
      <c r="AA269" s="55">
        <f>VLOOKUP($E269,'NI-San_SP'!$C:$AN,MID(AA$1,1,2),FALSE)</f>
        <v>0</v>
      </c>
      <c r="AB269" s="55">
        <f>VLOOKUP($E269,'NI-San_SP'!$C:$AN,MID(AB$1,1,2),FALSE)</f>
        <v>0</v>
      </c>
      <c r="AC269" s="55">
        <f>VLOOKUP($E269,'NI-San_SP'!$C:$AN,MID(AC$1,1,2),FALSE)</f>
        <v>0</v>
      </c>
      <c r="AD269" s="55">
        <f>VLOOKUP($E269,'NI-San_SP'!$C:$AN,MID(AD$1,1,2),FALSE)</f>
        <v>0</v>
      </c>
      <c r="AE269" s="55">
        <f>VLOOKUP($E269,'NI-San_SP'!$C:$AN,MID(AE$1,1,2),FALSE)</f>
        <v>0</v>
      </c>
      <c r="AF269" s="55">
        <f>VLOOKUP($E269,'NI-San_SP'!$C:$AN,MID(AF$1,1,2),FALSE)</f>
        <v>0</v>
      </c>
      <c r="AG269" s="55">
        <f>VLOOKUP($E269,'NI-San_SP'!$C:$AN,MID(AG$1,1,2),FALSE)</f>
        <v>0</v>
      </c>
      <c r="AH269" s="55">
        <f>VLOOKUP($E269,'NI-San_SP'!$C:$AN,MID(AH$1,1,2),FALSE)</f>
        <v>0</v>
      </c>
      <c r="AI269" s="55">
        <f>VLOOKUP($E269,'NI-San_SP'!$C:$AN,MID(AI$1,1,2),FALSE)</f>
        <v>0</v>
      </c>
      <c r="AJ269" s="55">
        <f>VLOOKUP($E269,'NI-San_SP'!$C:$AN,MID(AJ$1,1,2),FALSE)</f>
        <v>0</v>
      </c>
      <c r="AK269" s="55">
        <f>VLOOKUP($E269,'NI-San_SP'!$C:$AN,MID(AK$1,1,2),FALSE)</f>
        <v>0</v>
      </c>
      <c r="AL269" s="55">
        <f>VLOOKUP($E269,'NI-San_SP'!$C:$AN,MID(AL$1,1,2),FALSE)</f>
        <v>0</v>
      </c>
      <c r="AM269" s="56">
        <f>VLOOKUP($E269,'NI-San_SP'!$C:$AN,MID(AM$1,1,2),FALSE)</f>
        <v>0</v>
      </c>
      <c r="AN269" s="30" t="str">
        <f t="shared" si="4"/>
        <v>10210030020000</v>
      </c>
    </row>
    <row r="270" spans="3:40" x14ac:dyDescent="0.25">
      <c r="C270" s="40"/>
      <c r="D270" s="57" t="s">
        <v>1003</v>
      </c>
      <c r="E270" s="57" t="s">
        <v>1004</v>
      </c>
      <c r="F270" s="58" t="s">
        <v>110</v>
      </c>
      <c r="G270" s="52"/>
      <c r="H270" s="52"/>
      <c r="I270" s="52" t="s">
        <v>1005</v>
      </c>
      <c r="J270" s="52" t="s">
        <v>1005</v>
      </c>
      <c r="K270" s="59" t="s">
        <v>111</v>
      </c>
      <c r="L270" s="62" t="s">
        <v>1006</v>
      </c>
      <c r="M270" s="52"/>
      <c r="N270" s="52"/>
      <c r="O270" s="61" t="s">
        <v>658</v>
      </c>
      <c r="P270" s="60" t="s">
        <v>1007</v>
      </c>
      <c r="Q270" s="55">
        <f>VLOOKUP(E270,'NI-San_SP'!$C:$AN,12,FALSE)</f>
        <v>0</v>
      </c>
      <c r="R270" s="55">
        <f>VLOOKUP(E270,'NI-San_SP'!$C:$AN,13,FALSE)</f>
        <v>0</v>
      </c>
      <c r="S270" s="55"/>
      <c r="T270" s="55"/>
      <c r="U270" s="55">
        <f>VLOOKUP($E270,'NI-San_SP'!$C:$AN,MID(U$1,1,2),FALSE)</f>
        <v>0</v>
      </c>
      <c r="V270" s="55">
        <f>VLOOKUP($E270,'NI-San_SP'!$C:$AN,MID(V$1,1,2),FALSE)</f>
        <v>0</v>
      </c>
      <c r="W270" s="55">
        <f>VLOOKUP($E270,'NI-San_SP'!$C:$AN,MID(W$1,1,2),FALSE)</f>
        <v>0</v>
      </c>
      <c r="X270" s="55">
        <f>VLOOKUP($E270,'NI-San_SP'!$C:$AN,MID(X$1,1,2),FALSE)</f>
        <v>0</v>
      </c>
      <c r="Y270" s="55">
        <f>VLOOKUP($E270,'NI-San_SP'!$C:$AN,MID(Y$1,1,2),FALSE)</f>
        <v>0</v>
      </c>
      <c r="Z270" s="55">
        <f>VLOOKUP($E270,'NI-San_SP'!$C:$AN,MID(Z$1,1,2),FALSE)</f>
        <v>0</v>
      </c>
      <c r="AA270" s="55">
        <f>VLOOKUP($E270,'NI-San_SP'!$C:$AN,MID(AA$1,1,2),FALSE)</f>
        <v>0</v>
      </c>
      <c r="AB270" s="55">
        <f>VLOOKUP($E270,'NI-San_SP'!$C:$AN,MID(AB$1,1,2),FALSE)</f>
        <v>0</v>
      </c>
      <c r="AC270" s="55">
        <f>VLOOKUP($E270,'NI-San_SP'!$C:$AN,MID(AC$1,1,2),FALSE)</f>
        <v>0</v>
      </c>
      <c r="AD270" s="55">
        <f>VLOOKUP($E270,'NI-San_SP'!$C:$AN,MID(AD$1,1,2),FALSE)</f>
        <v>0</v>
      </c>
      <c r="AE270" s="55">
        <f>VLOOKUP($E270,'NI-San_SP'!$C:$AN,MID(AE$1,1,2),FALSE)</f>
        <v>0</v>
      </c>
      <c r="AF270" s="55">
        <f>VLOOKUP($E270,'NI-San_SP'!$C:$AN,MID(AF$1,1,2),FALSE)</f>
        <v>0</v>
      </c>
      <c r="AG270" s="55">
        <f>VLOOKUP($E270,'NI-San_SP'!$C:$AN,MID(AG$1,1,2),FALSE)</f>
        <v>0</v>
      </c>
      <c r="AH270" s="55">
        <f>VLOOKUP($E270,'NI-San_SP'!$C:$AN,MID(AH$1,1,2),FALSE)</f>
        <v>0</v>
      </c>
      <c r="AI270" s="55">
        <f>VLOOKUP($E270,'NI-San_SP'!$C:$AN,MID(AI$1,1,2),FALSE)</f>
        <v>0</v>
      </c>
      <c r="AJ270" s="55">
        <f>VLOOKUP($E270,'NI-San_SP'!$C:$AN,MID(AJ$1,1,2),FALSE)</f>
        <v>0</v>
      </c>
      <c r="AK270" s="55">
        <f>VLOOKUP($E270,'NI-San_SP'!$C:$AN,MID(AK$1,1,2),FALSE)</f>
        <v>0</v>
      </c>
      <c r="AL270" s="55">
        <f>VLOOKUP($E270,'NI-San_SP'!$C:$AN,MID(AL$1,1,2),FALSE)</f>
        <v>0</v>
      </c>
      <c r="AM270" s="56">
        <f>VLOOKUP($E270,'NI-San_SP'!$C:$AN,MID(AM$1,1,2),FALSE)</f>
        <v>0</v>
      </c>
      <c r="AN270" s="30" t="str">
        <f t="shared" si="4"/>
        <v>10210040000000</v>
      </c>
    </row>
    <row r="271" spans="3:40" x14ac:dyDescent="0.25">
      <c r="C271" s="40"/>
      <c r="D271" s="57" t="s">
        <v>1008</v>
      </c>
      <c r="E271" s="57" t="s">
        <v>1009</v>
      </c>
      <c r="F271" s="58" t="s">
        <v>110</v>
      </c>
      <c r="G271" s="52"/>
      <c r="H271" s="52"/>
      <c r="I271" s="52"/>
      <c r="J271" s="52"/>
      <c r="K271" s="59" t="s">
        <v>79</v>
      </c>
      <c r="L271" s="52"/>
      <c r="M271" s="52"/>
      <c r="N271" s="52"/>
      <c r="O271" s="52"/>
      <c r="P271" s="63" t="s">
        <v>1010</v>
      </c>
      <c r="Q271" s="55">
        <f>VLOOKUP(E271,'NI-San_SP'!$C:$AN,12,FALSE)</f>
        <v>0</v>
      </c>
      <c r="R271" s="55">
        <f>VLOOKUP(E271,'NI-San_SP'!$C:$AN,13,FALSE)</f>
        <v>0</v>
      </c>
      <c r="S271" s="55"/>
      <c r="T271" s="55"/>
      <c r="U271" s="55">
        <f>VLOOKUP($E271,'NI-San_SP'!$C:$AN,MID(U$1,1,2),FALSE)</f>
        <v>0</v>
      </c>
      <c r="V271" s="55">
        <f>VLOOKUP($E271,'NI-San_SP'!$C:$AN,MID(V$1,1,2),FALSE)</f>
        <v>0</v>
      </c>
      <c r="W271" s="55">
        <f>VLOOKUP($E271,'NI-San_SP'!$C:$AN,MID(W$1,1,2),FALSE)</f>
        <v>0</v>
      </c>
      <c r="X271" s="55">
        <f>VLOOKUP($E271,'NI-San_SP'!$C:$AN,MID(X$1,1,2),FALSE)</f>
        <v>0</v>
      </c>
      <c r="Y271" s="55">
        <f>VLOOKUP($E271,'NI-San_SP'!$C:$AN,MID(Y$1,1,2),FALSE)</f>
        <v>0</v>
      </c>
      <c r="Z271" s="55">
        <f>VLOOKUP($E271,'NI-San_SP'!$C:$AN,MID(Z$1,1,2),FALSE)</f>
        <v>0</v>
      </c>
      <c r="AA271" s="55">
        <f>VLOOKUP($E271,'NI-San_SP'!$C:$AN,MID(AA$1,1,2),FALSE)</f>
        <v>0</v>
      </c>
      <c r="AB271" s="55">
        <f>VLOOKUP($E271,'NI-San_SP'!$C:$AN,MID(AB$1,1,2),FALSE)</f>
        <v>0</v>
      </c>
      <c r="AC271" s="55">
        <f>VLOOKUP($E271,'NI-San_SP'!$C:$AN,MID(AC$1,1,2),FALSE)</f>
        <v>0</v>
      </c>
      <c r="AD271" s="55">
        <f>VLOOKUP($E271,'NI-San_SP'!$C:$AN,MID(AD$1,1,2),FALSE)</f>
        <v>0</v>
      </c>
      <c r="AE271" s="55">
        <f>VLOOKUP($E271,'NI-San_SP'!$C:$AN,MID(AE$1,1,2),FALSE)</f>
        <v>0</v>
      </c>
      <c r="AF271" s="55">
        <f>VLOOKUP($E271,'NI-San_SP'!$C:$AN,MID(AF$1,1,2),FALSE)</f>
        <v>0</v>
      </c>
      <c r="AG271" s="55">
        <f>VLOOKUP($E271,'NI-San_SP'!$C:$AN,MID(AG$1,1,2),FALSE)</f>
        <v>0</v>
      </c>
      <c r="AH271" s="55">
        <f>VLOOKUP($E271,'NI-San_SP'!$C:$AN,MID(AH$1,1,2),FALSE)</f>
        <v>0</v>
      </c>
      <c r="AI271" s="55">
        <f>VLOOKUP($E271,'NI-San_SP'!$C:$AN,MID(AI$1,1,2),FALSE)</f>
        <v>0</v>
      </c>
      <c r="AJ271" s="55">
        <f>VLOOKUP($E271,'NI-San_SP'!$C:$AN,MID(AJ$1,1,2),FALSE)</f>
        <v>0</v>
      </c>
      <c r="AK271" s="55">
        <f>VLOOKUP($E271,'NI-San_SP'!$C:$AN,MID(AK$1,1,2),FALSE)</f>
        <v>0</v>
      </c>
      <c r="AL271" s="55">
        <f>VLOOKUP($E271,'NI-San_SP'!$C:$AN,MID(AL$1,1,2),FALSE)</f>
        <v>0</v>
      </c>
      <c r="AM271" s="56">
        <f>VLOOKUP($E271,'NI-San_SP'!$C:$AN,MID(AM$1,1,2),FALSE)</f>
        <v>0</v>
      </c>
      <c r="AN271" s="30" t="str">
        <f t="shared" si="4"/>
        <v>10210040010010</v>
      </c>
    </row>
    <row r="272" spans="3:40" x14ac:dyDescent="0.25">
      <c r="C272" s="40"/>
      <c r="D272" s="57" t="s">
        <v>1011</v>
      </c>
      <c r="E272" s="57" t="s">
        <v>1012</v>
      </c>
      <c r="F272" s="58" t="s">
        <v>110</v>
      </c>
      <c r="G272" s="52"/>
      <c r="H272" s="52"/>
      <c r="I272" s="52"/>
      <c r="J272" s="52"/>
      <c r="K272" s="59" t="s">
        <v>79</v>
      </c>
      <c r="L272" s="52"/>
      <c r="M272" s="52"/>
      <c r="N272" s="52"/>
      <c r="O272" s="52"/>
      <c r="P272" s="63" t="s">
        <v>1013</v>
      </c>
      <c r="Q272" s="55">
        <f>VLOOKUP(E272,'NI-San_SP'!$C:$AN,12,FALSE)</f>
        <v>0</v>
      </c>
      <c r="R272" s="55">
        <f>VLOOKUP(E272,'NI-San_SP'!$C:$AN,13,FALSE)</f>
        <v>0</v>
      </c>
      <c r="S272" s="55"/>
      <c r="T272" s="55"/>
      <c r="U272" s="55">
        <f>VLOOKUP($E272,'NI-San_SP'!$C:$AN,MID(U$1,1,2),FALSE)</f>
        <v>0</v>
      </c>
      <c r="V272" s="55">
        <f>VLOOKUP($E272,'NI-San_SP'!$C:$AN,MID(V$1,1,2),FALSE)</f>
        <v>0</v>
      </c>
      <c r="W272" s="55">
        <f>VLOOKUP($E272,'NI-San_SP'!$C:$AN,MID(W$1,1,2),FALSE)</f>
        <v>0</v>
      </c>
      <c r="X272" s="55">
        <f>VLOOKUP($E272,'NI-San_SP'!$C:$AN,MID(X$1,1,2),FALSE)</f>
        <v>0</v>
      </c>
      <c r="Y272" s="55">
        <f>VLOOKUP($E272,'NI-San_SP'!$C:$AN,MID(Y$1,1,2),FALSE)</f>
        <v>0</v>
      </c>
      <c r="Z272" s="55">
        <f>VLOOKUP($E272,'NI-San_SP'!$C:$AN,MID(Z$1,1,2),FALSE)</f>
        <v>0</v>
      </c>
      <c r="AA272" s="55">
        <f>VLOOKUP($E272,'NI-San_SP'!$C:$AN,MID(AA$1,1,2),FALSE)</f>
        <v>0</v>
      </c>
      <c r="AB272" s="55">
        <f>VLOOKUP($E272,'NI-San_SP'!$C:$AN,MID(AB$1,1,2),FALSE)</f>
        <v>0</v>
      </c>
      <c r="AC272" s="55">
        <f>VLOOKUP($E272,'NI-San_SP'!$C:$AN,MID(AC$1,1,2),FALSE)</f>
        <v>0</v>
      </c>
      <c r="AD272" s="55">
        <f>VLOOKUP($E272,'NI-San_SP'!$C:$AN,MID(AD$1,1,2),FALSE)</f>
        <v>0</v>
      </c>
      <c r="AE272" s="55">
        <f>VLOOKUP($E272,'NI-San_SP'!$C:$AN,MID(AE$1,1,2),FALSE)</f>
        <v>0</v>
      </c>
      <c r="AF272" s="55">
        <f>VLOOKUP($E272,'NI-San_SP'!$C:$AN,MID(AF$1,1,2),FALSE)</f>
        <v>0</v>
      </c>
      <c r="AG272" s="55">
        <f>VLOOKUP($E272,'NI-San_SP'!$C:$AN,MID(AG$1,1,2),FALSE)</f>
        <v>0</v>
      </c>
      <c r="AH272" s="55">
        <f>VLOOKUP($E272,'NI-San_SP'!$C:$AN,MID(AH$1,1,2),FALSE)</f>
        <v>0</v>
      </c>
      <c r="AI272" s="55">
        <f>VLOOKUP($E272,'NI-San_SP'!$C:$AN,MID(AI$1,1,2),FALSE)</f>
        <v>0</v>
      </c>
      <c r="AJ272" s="55">
        <f>VLOOKUP($E272,'NI-San_SP'!$C:$AN,MID(AJ$1,1,2),FALSE)</f>
        <v>0</v>
      </c>
      <c r="AK272" s="55">
        <f>VLOOKUP($E272,'NI-San_SP'!$C:$AN,MID(AK$1,1,2),FALSE)</f>
        <v>0</v>
      </c>
      <c r="AL272" s="55">
        <f>VLOOKUP($E272,'NI-San_SP'!$C:$AN,MID(AL$1,1,2),FALSE)</f>
        <v>0</v>
      </c>
      <c r="AM272" s="56">
        <f>VLOOKUP($E272,'NI-San_SP'!$C:$AN,MID(AM$1,1,2),FALSE)</f>
        <v>0</v>
      </c>
      <c r="AN272" s="30" t="str">
        <f t="shared" si="4"/>
        <v>10210040010020</v>
      </c>
    </row>
    <row r="273" spans="3:40" x14ac:dyDescent="0.25">
      <c r="C273" s="40"/>
      <c r="D273" s="57" t="s">
        <v>1014</v>
      </c>
      <c r="E273" s="57" t="s">
        <v>1015</v>
      </c>
      <c r="F273" s="58" t="s">
        <v>110</v>
      </c>
      <c r="G273" s="52"/>
      <c r="H273" s="52"/>
      <c r="I273" s="52"/>
      <c r="J273" s="52"/>
      <c r="K273" s="59" t="s">
        <v>79</v>
      </c>
      <c r="L273" s="52"/>
      <c r="M273" s="52"/>
      <c r="N273" s="52"/>
      <c r="O273" s="52"/>
      <c r="P273" s="63" t="s">
        <v>1016</v>
      </c>
      <c r="Q273" s="55">
        <f>VLOOKUP(E273,'NI-San_SP'!$C:$AN,12,FALSE)</f>
        <v>0</v>
      </c>
      <c r="R273" s="55">
        <f>VLOOKUP(E273,'NI-San_SP'!$C:$AN,13,FALSE)</f>
        <v>0</v>
      </c>
      <c r="S273" s="55"/>
      <c r="T273" s="55"/>
      <c r="U273" s="55">
        <f>VLOOKUP($E273,'NI-San_SP'!$C:$AN,MID(U$1,1,2),FALSE)</f>
        <v>0</v>
      </c>
      <c r="V273" s="55">
        <f>VLOOKUP($E273,'NI-San_SP'!$C:$AN,MID(V$1,1,2),FALSE)</f>
        <v>0</v>
      </c>
      <c r="W273" s="55">
        <f>VLOOKUP($E273,'NI-San_SP'!$C:$AN,MID(W$1,1,2),FALSE)</f>
        <v>0</v>
      </c>
      <c r="X273" s="55">
        <f>VLOOKUP($E273,'NI-San_SP'!$C:$AN,MID(X$1,1,2),FALSE)</f>
        <v>0</v>
      </c>
      <c r="Y273" s="55">
        <f>VLOOKUP($E273,'NI-San_SP'!$C:$AN,MID(Y$1,1,2),FALSE)</f>
        <v>0</v>
      </c>
      <c r="Z273" s="55">
        <f>VLOOKUP($E273,'NI-San_SP'!$C:$AN,MID(Z$1,1,2),FALSE)</f>
        <v>0</v>
      </c>
      <c r="AA273" s="55">
        <f>VLOOKUP($E273,'NI-San_SP'!$C:$AN,MID(AA$1,1,2),FALSE)</f>
        <v>0</v>
      </c>
      <c r="AB273" s="55">
        <f>VLOOKUP($E273,'NI-San_SP'!$C:$AN,MID(AB$1,1,2),FALSE)</f>
        <v>0</v>
      </c>
      <c r="AC273" s="55">
        <f>VLOOKUP($E273,'NI-San_SP'!$C:$AN,MID(AC$1,1,2),FALSE)</f>
        <v>0</v>
      </c>
      <c r="AD273" s="55">
        <f>VLOOKUP($E273,'NI-San_SP'!$C:$AN,MID(AD$1,1,2),FALSE)</f>
        <v>0</v>
      </c>
      <c r="AE273" s="55">
        <f>VLOOKUP($E273,'NI-San_SP'!$C:$AN,MID(AE$1,1,2),FALSE)</f>
        <v>0</v>
      </c>
      <c r="AF273" s="55">
        <f>VLOOKUP($E273,'NI-San_SP'!$C:$AN,MID(AF$1,1,2),FALSE)</f>
        <v>0</v>
      </c>
      <c r="AG273" s="55">
        <f>VLOOKUP($E273,'NI-San_SP'!$C:$AN,MID(AG$1,1,2),FALSE)</f>
        <v>0</v>
      </c>
      <c r="AH273" s="55">
        <f>VLOOKUP($E273,'NI-San_SP'!$C:$AN,MID(AH$1,1,2),FALSE)</f>
        <v>0</v>
      </c>
      <c r="AI273" s="55">
        <f>VLOOKUP($E273,'NI-San_SP'!$C:$AN,MID(AI$1,1,2),FALSE)</f>
        <v>0</v>
      </c>
      <c r="AJ273" s="55">
        <f>VLOOKUP($E273,'NI-San_SP'!$C:$AN,MID(AJ$1,1,2),FALSE)</f>
        <v>0</v>
      </c>
      <c r="AK273" s="55">
        <f>VLOOKUP($E273,'NI-San_SP'!$C:$AN,MID(AK$1,1,2),FALSE)</f>
        <v>0</v>
      </c>
      <c r="AL273" s="55">
        <f>VLOOKUP($E273,'NI-San_SP'!$C:$AN,MID(AL$1,1,2),FALSE)</f>
        <v>0</v>
      </c>
      <c r="AM273" s="56">
        <f>VLOOKUP($E273,'NI-San_SP'!$C:$AN,MID(AM$1,1,2),FALSE)</f>
        <v>0</v>
      </c>
      <c r="AN273" s="30" t="str">
        <f t="shared" si="4"/>
        <v>10210040020010</v>
      </c>
    </row>
    <row r="274" spans="3:40" x14ac:dyDescent="0.25">
      <c r="C274" s="40"/>
      <c r="D274" s="57" t="s">
        <v>1017</v>
      </c>
      <c r="E274" s="57" t="s">
        <v>1018</v>
      </c>
      <c r="F274" s="58" t="s">
        <v>110</v>
      </c>
      <c r="G274" s="52"/>
      <c r="H274" s="52"/>
      <c r="I274" s="52"/>
      <c r="J274" s="52"/>
      <c r="K274" s="59" t="s">
        <v>79</v>
      </c>
      <c r="L274" s="52"/>
      <c r="M274" s="52"/>
      <c r="N274" s="52"/>
      <c r="O274" s="52"/>
      <c r="P274" s="63" t="s">
        <v>1019</v>
      </c>
      <c r="Q274" s="55">
        <f>VLOOKUP(E274,'NI-San_SP'!$C:$AN,12,FALSE)</f>
        <v>0</v>
      </c>
      <c r="R274" s="55">
        <f>VLOOKUP(E274,'NI-San_SP'!$C:$AN,13,FALSE)</f>
        <v>0</v>
      </c>
      <c r="S274" s="55"/>
      <c r="T274" s="55"/>
      <c r="U274" s="55">
        <f>VLOOKUP($E274,'NI-San_SP'!$C:$AN,MID(U$1,1,2),FALSE)</f>
        <v>0</v>
      </c>
      <c r="V274" s="55">
        <f>VLOOKUP($E274,'NI-San_SP'!$C:$AN,MID(V$1,1,2),FALSE)</f>
        <v>0</v>
      </c>
      <c r="W274" s="55">
        <f>VLOOKUP($E274,'NI-San_SP'!$C:$AN,MID(W$1,1,2),FALSE)</f>
        <v>0</v>
      </c>
      <c r="X274" s="55">
        <f>VLOOKUP($E274,'NI-San_SP'!$C:$AN,MID(X$1,1,2),FALSE)</f>
        <v>0</v>
      </c>
      <c r="Y274" s="55">
        <f>VLOOKUP($E274,'NI-San_SP'!$C:$AN,MID(Y$1,1,2),FALSE)</f>
        <v>0</v>
      </c>
      <c r="Z274" s="55">
        <f>VLOOKUP($E274,'NI-San_SP'!$C:$AN,MID(Z$1,1,2),FALSE)</f>
        <v>0</v>
      </c>
      <c r="AA274" s="55">
        <f>VLOOKUP($E274,'NI-San_SP'!$C:$AN,MID(AA$1,1,2),FALSE)</f>
        <v>0</v>
      </c>
      <c r="AB274" s="55">
        <f>VLOOKUP($E274,'NI-San_SP'!$C:$AN,MID(AB$1,1,2),FALSE)</f>
        <v>0</v>
      </c>
      <c r="AC274" s="55">
        <f>VLOOKUP($E274,'NI-San_SP'!$C:$AN,MID(AC$1,1,2),FALSE)</f>
        <v>0</v>
      </c>
      <c r="AD274" s="55">
        <f>VLOOKUP($E274,'NI-San_SP'!$C:$AN,MID(AD$1,1,2),FALSE)</f>
        <v>0</v>
      </c>
      <c r="AE274" s="55">
        <f>VLOOKUP($E274,'NI-San_SP'!$C:$AN,MID(AE$1,1,2),FALSE)</f>
        <v>0</v>
      </c>
      <c r="AF274" s="55">
        <f>VLOOKUP($E274,'NI-San_SP'!$C:$AN,MID(AF$1,1,2),FALSE)</f>
        <v>0</v>
      </c>
      <c r="AG274" s="55">
        <f>VLOOKUP($E274,'NI-San_SP'!$C:$AN,MID(AG$1,1,2),FALSE)</f>
        <v>0</v>
      </c>
      <c r="AH274" s="55">
        <f>VLOOKUP($E274,'NI-San_SP'!$C:$AN,MID(AH$1,1,2),FALSE)</f>
        <v>0</v>
      </c>
      <c r="AI274" s="55">
        <f>VLOOKUP($E274,'NI-San_SP'!$C:$AN,MID(AI$1,1,2),FALSE)</f>
        <v>0</v>
      </c>
      <c r="AJ274" s="55">
        <f>VLOOKUP($E274,'NI-San_SP'!$C:$AN,MID(AJ$1,1,2),FALSE)</f>
        <v>0</v>
      </c>
      <c r="AK274" s="55">
        <f>VLOOKUP($E274,'NI-San_SP'!$C:$AN,MID(AK$1,1,2),FALSE)</f>
        <v>0</v>
      </c>
      <c r="AL274" s="55">
        <f>VLOOKUP($E274,'NI-San_SP'!$C:$AN,MID(AL$1,1,2),FALSE)</f>
        <v>0</v>
      </c>
      <c r="AM274" s="56">
        <f>VLOOKUP($E274,'NI-San_SP'!$C:$AN,MID(AM$1,1,2),FALSE)</f>
        <v>0</v>
      </c>
      <c r="AN274" s="30" t="str">
        <f t="shared" si="4"/>
        <v>10210040020020</v>
      </c>
    </row>
    <row r="275" spans="3:40" x14ac:dyDescent="0.25">
      <c r="C275" s="40"/>
      <c r="D275" s="57" t="s">
        <v>1020</v>
      </c>
      <c r="E275" s="57" t="s">
        <v>1021</v>
      </c>
      <c r="F275" s="58" t="s">
        <v>110</v>
      </c>
      <c r="G275" s="52"/>
      <c r="H275" s="52"/>
      <c r="I275" s="52" t="s">
        <v>1022</v>
      </c>
      <c r="J275" s="52" t="s">
        <v>1022</v>
      </c>
      <c r="K275" s="59" t="s">
        <v>111</v>
      </c>
      <c r="L275" s="62" t="s">
        <v>1023</v>
      </c>
      <c r="M275" s="52"/>
      <c r="N275" s="52"/>
      <c r="O275" s="61" t="s">
        <v>708</v>
      </c>
      <c r="P275" s="60" t="s">
        <v>1024</v>
      </c>
      <c r="Q275" s="55">
        <f>VLOOKUP(E275,'NI-San_SP'!$C:$AN,12,FALSE)</f>
        <v>0</v>
      </c>
      <c r="R275" s="55">
        <f>VLOOKUP(E275,'NI-San_SP'!$C:$AN,13,FALSE)</f>
        <v>0</v>
      </c>
      <c r="S275" s="55"/>
      <c r="T275" s="55"/>
      <c r="U275" s="55">
        <f>VLOOKUP($E275,'NI-San_SP'!$C:$AN,MID(U$1,1,2),FALSE)</f>
        <v>0</v>
      </c>
      <c r="V275" s="55">
        <f>VLOOKUP($E275,'NI-San_SP'!$C:$AN,MID(V$1,1,2),FALSE)</f>
        <v>0</v>
      </c>
      <c r="W275" s="55">
        <f>VLOOKUP($E275,'NI-San_SP'!$C:$AN,MID(W$1,1,2),FALSE)</f>
        <v>0</v>
      </c>
      <c r="X275" s="55">
        <f>VLOOKUP($E275,'NI-San_SP'!$C:$AN,MID(X$1,1,2),FALSE)</f>
        <v>0</v>
      </c>
      <c r="Y275" s="55">
        <f>VLOOKUP($E275,'NI-San_SP'!$C:$AN,MID(Y$1,1,2),FALSE)</f>
        <v>0</v>
      </c>
      <c r="Z275" s="55">
        <f>VLOOKUP($E275,'NI-San_SP'!$C:$AN,MID(Z$1,1,2),FALSE)</f>
        <v>0</v>
      </c>
      <c r="AA275" s="55">
        <f>VLOOKUP($E275,'NI-San_SP'!$C:$AN,MID(AA$1,1,2),FALSE)</f>
        <v>0</v>
      </c>
      <c r="AB275" s="55">
        <f>VLOOKUP($E275,'NI-San_SP'!$C:$AN,MID(AB$1,1,2),FALSE)</f>
        <v>0</v>
      </c>
      <c r="AC275" s="55">
        <f>VLOOKUP($E275,'NI-San_SP'!$C:$AN,MID(AC$1,1,2),FALSE)</f>
        <v>0</v>
      </c>
      <c r="AD275" s="55">
        <f>VLOOKUP($E275,'NI-San_SP'!$C:$AN,MID(AD$1,1,2),FALSE)</f>
        <v>0</v>
      </c>
      <c r="AE275" s="55">
        <f>VLOOKUP($E275,'NI-San_SP'!$C:$AN,MID(AE$1,1,2),FALSE)</f>
        <v>0</v>
      </c>
      <c r="AF275" s="55">
        <f>VLOOKUP($E275,'NI-San_SP'!$C:$AN,MID(AF$1,1,2),FALSE)</f>
        <v>0</v>
      </c>
      <c r="AG275" s="55">
        <f>VLOOKUP($E275,'NI-San_SP'!$C:$AN,MID(AG$1,1,2),FALSE)</f>
        <v>0</v>
      </c>
      <c r="AH275" s="55">
        <f>VLOOKUP($E275,'NI-San_SP'!$C:$AN,MID(AH$1,1,2),FALSE)</f>
        <v>0</v>
      </c>
      <c r="AI275" s="55">
        <f>VLOOKUP($E275,'NI-San_SP'!$C:$AN,MID(AI$1,1,2),FALSE)</f>
        <v>0</v>
      </c>
      <c r="AJ275" s="55">
        <f>VLOOKUP($E275,'NI-San_SP'!$C:$AN,MID(AJ$1,1,2),FALSE)</f>
        <v>0</v>
      </c>
      <c r="AK275" s="55">
        <f>VLOOKUP($E275,'NI-San_SP'!$C:$AN,MID(AK$1,1,2),FALSE)</f>
        <v>0</v>
      </c>
      <c r="AL275" s="55">
        <f>VLOOKUP($E275,'NI-San_SP'!$C:$AN,MID(AL$1,1,2),FALSE)</f>
        <v>0</v>
      </c>
      <c r="AM275" s="56">
        <f>VLOOKUP($E275,'NI-San_SP'!$C:$AN,MID(AM$1,1,2),FALSE)</f>
        <v>0</v>
      </c>
      <c r="AN275" s="30" t="str">
        <f t="shared" si="4"/>
        <v>10210050000000</v>
      </c>
    </row>
    <row r="276" spans="3:40" x14ac:dyDescent="0.25">
      <c r="C276" s="40"/>
      <c r="D276" s="57" t="s">
        <v>1025</v>
      </c>
      <c r="E276" s="57" t="s">
        <v>1026</v>
      </c>
      <c r="F276" s="58" t="s">
        <v>110</v>
      </c>
      <c r="G276" s="52"/>
      <c r="H276" s="52"/>
      <c r="I276" s="52"/>
      <c r="J276" s="52"/>
      <c r="K276" s="59" t="s">
        <v>79</v>
      </c>
      <c r="L276" s="52"/>
      <c r="M276" s="52"/>
      <c r="N276" s="52"/>
      <c r="O276" s="52"/>
      <c r="P276" s="63" t="s">
        <v>1027</v>
      </c>
      <c r="Q276" s="55">
        <f>VLOOKUP(E276,'NI-San_SP'!$C:$AN,12,FALSE)</f>
        <v>0</v>
      </c>
      <c r="R276" s="55">
        <f>VLOOKUP(E276,'NI-San_SP'!$C:$AN,13,FALSE)</f>
        <v>0</v>
      </c>
      <c r="S276" s="55"/>
      <c r="T276" s="55"/>
      <c r="U276" s="55">
        <f>VLOOKUP($E276,'NI-San_SP'!$C:$AN,MID(U$1,1,2),FALSE)</f>
        <v>0</v>
      </c>
      <c r="V276" s="55">
        <f>VLOOKUP($E276,'NI-San_SP'!$C:$AN,MID(V$1,1,2),FALSE)</f>
        <v>0</v>
      </c>
      <c r="W276" s="55">
        <f>VLOOKUP($E276,'NI-San_SP'!$C:$AN,MID(W$1,1,2),FALSE)</f>
        <v>0</v>
      </c>
      <c r="X276" s="55">
        <f>VLOOKUP($E276,'NI-San_SP'!$C:$AN,MID(X$1,1,2),FALSE)</f>
        <v>0</v>
      </c>
      <c r="Y276" s="55">
        <f>VLOOKUP($E276,'NI-San_SP'!$C:$AN,MID(Y$1,1,2),FALSE)</f>
        <v>0</v>
      </c>
      <c r="Z276" s="55">
        <f>VLOOKUP($E276,'NI-San_SP'!$C:$AN,MID(Z$1,1,2),FALSE)</f>
        <v>0</v>
      </c>
      <c r="AA276" s="55">
        <f>VLOOKUP($E276,'NI-San_SP'!$C:$AN,MID(AA$1,1,2),FALSE)</f>
        <v>0</v>
      </c>
      <c r="AB276" s="55">
        <f>VLOOKUP($E276,'NI-San_SP'!$C:$AN,MID(AB$1,1,2),FALSE)</f>
        <v>0</v>
      </c>
      <c r="AC276" s="55">
        <f>VLOOKUP($E276,'NI-San_SP'!$C:$AN,MID(AC$1,1,2),FALSE)</f>
        <v>0</v>
      </c>
      <c r="AD276" s="55">
        <f>VLOOKUP($E276,'NI-San_SP'!$C:$AN,MID(AD$1,1,2),FALSE)</f>
        <v>0</v>
      </c>
      <c r="AE276" s="55">
        <f>VLOOKUP($E276,'NI-San_SP'!$C:$AN,MID(AE$1,1,2),FALSE)</f>
        <v>0</v>
      </c>
      <c r="AF276" s="55">
        <f>VLOOKUP($E276,'NI-San_SP'!$C:$AN,MID(AF$1,1,2),FALSE)</f>
        <v>0</v>
      </c>
      <c r="AG276" s="55">
        <f>VLOOKUP($E276,'NI-San_SP'!$C:$AN,MID(AG$1,1,2),FALSE)</f>
        <v>0</v>
      </c>
      <c r="AH276" s="55">
        <f>VLOOKUP($E276,'NI-San_SP'!$C:$AN,MID(AH$1,1,2),FALSE)</f>
        <v>0</v>
      </c>
      <c r="AI276" s="55">
        <f>VLOOKUP($E276,'NI-San_SP'!$C:$AN,MID(AI$1,1,2),FALSE)</f>
        <v>0</v>
      </c>
      <c r="AJ276" s="55">
        <f>VLOOKUP($E276,'NI-San_SP'!$C:$AN,MID(AJ$1,1,2),FALSE)</f>
        <v>0</v>
      </c>
      <c r="AK276" s="55">
        <f>VLOOKUP($E276,'NI-San_SP'!$C:$AN,MID(AK$1,1,2),FALSE)</f>
        <v>0</v>
      </c>
      <c r="AL276" s="55">
        <f>VLOOKUP($E276,'NI-San_SP'!$C:$AN,MID(AL$1,1,2),FALSE)</f>
        <v>0</v>
      </c>
      <c r="AM276" s="56">
        <f>VLOOKUP($E276,'NI-San_SP'!$C:$AN,MID(AM$1,1,2),FALSE)</f>
        <v>0</v>
      </c>
      <c r="AN276" s="30" t="str">
        <f t="shared" si="4"/>
        <v>10210050010000</v>
      </c>
    </row>
    <row r="277" spans="3:40" x14ac:dyDescent="0.25">
      <c r="C277" s="40"/>
      <c r="D277" s="57" t="s">
        <v>1028</v>
      </c>
      <c r="E277" s="57" t="s">
        <v>1029</v>
      </c>
      <c r="F277" s="58" t="s">
        <v>110</v>
      </c>
      <c r="G277" s="52"/>
      <c r="H277" s="52"/>
      <c r="I277" s="52"/>
      <c r="J277" s="52"/>
      <c r="K277" s="59" t="s">
        <v>79</v>
      </c>
      <c r="L277" s="52"/>
      <c r="M277" s="52"/>
      <c r="N277" s="52"/>
      <c r="O277" s="52"/>
      <c r="P277" s="63" t="s">
        <v>1030</v>
      </c>
      <c r="Q277" s="55">
        <f>VLOOKUP(E277,'NI-San_SP'!$C:$AN,12,FALSE)</f>
        <v>0</v>
      </c>
      <c r="R277" s="55">
        <f>VLOOKUP(E277,'NI-San_SP'!$C:$AN,13,FALSE)</f>
        <v>0</v>
      </c>
      <c r="S277" s="55"/>
      <c r="T277" s="55"/>
      <c r="U277" s="55">
        <f>VLOOKUP($E277,'NI-San_SP'!$C:$AN,MID(U$1,1,2),FALSE)</f>
        <v>0</v>
      </c>
      <c r="V277" s="55">
        <f>VLOOKUP($E277,'NI-San_SP'!$C:$AN,MID(V$1,1,2),FALSE)</f>
        <v>0</v>
      </c>
      <c r="W277" s="55">
        <f>VLOOKUP($E277,'NI-San_SP'!$C:$AN,MID(W$1,1,2),FALSE)</f>
        <v>0</v>
      </c>
      <c r="X277" s="55">
        <f>VLOOKUP($E277,'NI-San_SP'!$C:$AN,MID(X$1,1,2),FALSE)</f>
        <v>0</v>
      </c>
      <c r="Y277" s="55">
        <f>VLOOKUP($E277,'NI-San_SP'!$C:$AN,MID(Y$1,1,2),FALSE)</f>
        <v>0</v>
      </c>
      <c r="Z277" s="55">
        <f>VLOOKUP($E277,'NI-San_SP'!$C:$AN,MID(Z$1,1,2),FALSE)</f>
        <v>0</v>
      </c>
      <c r="AA277" s="55">
        <f>VLOOKUP($E277,'NI-San_SP'!$C:$AN,MID(AA$1,1,2),FALSE)</f>
        <v>0</v>
      </c>
      <c r="AB277" s="55">
        <f>VLOOKUP($E277,'NI-San_SP'!$C:$AN,MID(AB$1,1,2),FALSE)</f>
        <v>0</v>
      </c>
      <c r="AC277" s="55">
        <f>VLOOKUP($E277,'NI-San_SP'!$C:$AN,MID(AC$1,1,2),FALSE)</f>
        <v>0</v>
      </c>
      <c r="AD277" s="55">
        <f>VLOOKUP($E277,'NI-San_SP'!$C:$AN,MID(AD$1,1,2),FALSE)</f>
        <v>0</v>
      </c>
      <c r="AE277" s="55">
        <f>VLOOKUP($E277,'NI-San_SP'!$C:$AN,MID(AE$1,1,2),FALSE)</f>
        <v>0</v>
      </c>
      <c r="AF277" s="55">
        <f>VLOOKUP($E277,'NI-San_SP'!$C:$AN,MID(AF$1,1,2),FALSE)</f>
        <v>0</v>
      </c>
      <c r="AG277" s="55">
        <f>VLOOKUP($E277,'NI-San_SP'!$C:$AN,MID(AG$1,1,2),FALSE)</f>
        <v>0</v>
      </c>
      <c r="AH277" s="55">
        <f>VLOOKUP($E277,'NI-San_SP'!$C:$AN,MID(AH$1,1,2),FALSE)</f>
        <v>0</v>
      </c>
      <c r="AI277" s="55">
        <f>VLOOKUP($E277,'NI-San_SP'!$C:$AN,MID(AI$1,1,2),FALSE)</f>
        <v>0</v>
      </c>
      <c r="AJ277" s="55">
        <f>VLOOKUP($E277,'NI-San_SP'!$C:$AN,MID(AJ$1,1,2),FALSE)</f>
        <v>0</v>
      </c>
      <c r="AK277" s="55">
        <f>VLOOKUP($E277,'NI-San_SP'!$C:$AN,MID(AK$1,1,2),FALSE)</f>
        <v>0</v>
      </c>
      <c r="AL277" s="55">
        <f>VLOOKUP($E277,'NI-San_SP'!$C:$AN,MID(AL$1,1,2),FALSE)</f>
        <v>0</v>
      </c>
      <c r="AM277" s="56">
        <f>VLOOKUP($E277,'NI-San_SP'!$C:$AN,MID(AM$1,1,2),FALSE)</f>
        <v>0</v>
      </c>
      <c r="AN277" s="30" t="str">
        <f t="shared" si="4"/>
        <v>10210050020000</v>
      </c>
    </row>
    <row r="278" spans="3:40" x14ac:dyDescent="0.25">
      <c r="C278" s="40"/>
      <c r="D278" s="57" t="s">
        <v>1031</v>
      </c>
      <c r="E278" s="57" t="s">
        <v>1032</v>
      </c>
      <c r="F278" s="58" t="s">
        <v>110</v>
      </c>
      <c r="G278" s="52"/>
      <c r="H278" s="52"/>
      <c r="I278" s="52" t="s">
        <v>1033</v>
      </c>
      <c r="J278" s="52" t="s">
        <v>1033</v>
      </c>
      <c r="K278" s="59" t="s">
        <v>111</v>
      </c>
      <c r="L278" s="62" t="s">
        <v>1034</v>
      </c>
      <c r="M278" s="52"/>
      <c r="N278" s="52"/>
      <c r="O278" s="61" t="s">
        <v>770</v>
      </c>
      <c r="P278" s="60" t="s">
        <v>1035</v>
      </c>
      <c r="Q278" s="55">
        <f>VLOOKUP(E278,'NI-San_SP'!$C:$AN,12,FALSE)</f>
        <v>0</v>
      </c>
      <c r="R278" s="55">
        <f>VLOOKUP(E278,'NI-San_SP'!$C:$AN,13,FALSE)</f>
        <v>0</v>
      </c>
      <c r="S278" s="55"/>
      <c r="T278" s="55"/>
      <c r="U278" s="55">
        <f>VLOOKUP($E278,'NI-San_SP'!$C:$AN,MID(U$1,1,2),FALSE)</f>
        <v>0</v>
      </c>
      <c r="V278" s="55">
        <f>VLOOKUP($E278,'NI-San_SP'!$C:$AN,MID(V$1,1,2),FALSE)</f>
        <v>0</v>
      </c>
      <c r="W278" s="55">
        <f>VLOOKUP($E278,'NI-San_SP'!$C:$AN,MID(W$1,1,2),FALSE)</f>
        <v>0</v>
      </c>
      <c r="X278" s="55">
        <f>VLOOKUP($E278,'NI-San_SP'!$C:$AN,MID(X$1,1,2),FALSE)</f>
        <v>0</v>
      </c>
      <c r="Y278" s="55">
        <f>VLOOKUP($E278,'NI-San_SP'!$C:$AN,MID(Y$1,1,2),FALSE)</f>
        <v>0</v>
      </c>
      <c r="Z278" s="55">
        <f>VLOOKUP($E278,'NI-San_SP'!$C:$AN,MID(Z$1,1,2),FALSE)</f>
        <v>0</v>
      </c>
      <c r="AA278" s="55">
        <f>VLOOKUP($E278,'NI-San_SP'!$C:$AN,MID(AA$1,1,2),FALSE)</f>
        <v>0</v>
      </c>
      <c r="AB278" s="55">
        <f>VLOOKUP($E278,'NI-San_SP'!$C:$AN,MID(AB$1,1,2),FALSE)</f>
        <v>0</v>
      </c>
      <c r="AC278" s="55">
        <f>VLOOKUP($E278,'NI-San_SP'!$C:$AN,MID(AC$1,1,2),FALSE)</f>
        <v>0</v>
      </c>
      <c r="AD278" s="55">
        <f>VLOOKUP($E278,'NI-San_SP'!$C:$AN,MID(AD$1,1,2),FALSE)</f>
        <v>0</v>
      </c>
      <c r="AE278" s="55">
        <f>VLOOKUP($E278,'NI-San_SP'!$C:$AN,MID(AE$1,1,2),FALSE)</f>
        <v>0</v>
      </c>
      <c r="AF278" s="55">
        <f>VLOOKUP($E278,'NI-San_SP'!$C:$AN,MID(AF$1,1,2),FALSE)</f>
        <v>0</v>
      </c>
      <c r="AG278" s="55">
        <f>VLOOKUP($E278,'NI-San_SP'!$C:$AN,MID(AG$1,1,2),FALSE)</f>
        <v>0</v>
      </c>
      <c r="AH278" s="55">
        <f>VLOOKUP($E278,'NI-San_SP'!$C:$AN,MID(AH$1,1,2),FALSE)</f>
        <v>0</v>
      </c>
      <c r="AI278" s="55">
        <f>VLOOKUP($E278,'NI-San_SP'!$C:$AN,MID(AI$1,1,2),FALSE)</f>
        <v>0</v>
      </c>
      <c r="AJ278" s="55">
        <f>VLOOKUP($E278,'NI-San_SP'!$C:$AN,MID(AJ$1,1,2),FALSE)</f>
        <v>0</v>
      </c>
      <c r="AK278" s="55">
        <f>VLOOKUP($E278,'NI-San_SP'!$C:$AN,MID(AK$1,1,2),FALSE)</f>
        <v>0</v>
      </c>
      <c r="AL278" s="55">
        <f>VLOOKUP($E278,'NI-San_SP'!$C:$AN,MID(AL$1,1,2),FALSE)</f>
        <v>0</v>
      </c>
      <c r="AM278" s="56">
        <f>VLOOKUP($E278,'NI-San_SP'!$C:$AN,MID(AM$1,1,2),FALSE)</f>
        <v>0</v>
      </c>
      <c r="AN278" s="30" t="str">
        <f t="shared" si="4"/>
        <v>10210060000000</v>
      </c>
    </row>
    <row r="279" spans="3:40" x14ac:dyDescent="0.25">
      <c r="C279" s="40"/>
      <c r="D279" s="57" t="s">
        <v>1036</v>
      </c>
      <c r="E279" s="57" t="s">
        <v>1037</v>
      </c>
      <c r="F279" s="58" t="s">
        <v>110</v>
      </c>
      <c r="G279" s="52"/>
      <c r="H279" s="52"/>
      <c r="I279" s="52"/>
      <c r="J279" s="52"/>
      <c r="K279" s="59" t="s">
        <v>79</v>
      </c>
      <c r="L279" s="52"/>
      <c r="M279" s="52"/>
      <c r="N279" s="52"/>
      <c r="O279" s="52"/>
      <c r="P279" s="63" t="s">
        <v>1038</v>
      </c>
      <c r="Q279" s="55">
        <f>VLOOKUP(E279,'NI-San_SP'!$C:$AN,12,FALSE)</f>
        <v>0</v>
      </c>
      <c r="R279" s="55">
        <f>VLOOKUP(E279,'NI-San_SP'!$C:$AN,13,FALSE)</f>
        <v>0</v>
      </c>
      <c r="S279" s="55"/>
      <c r="T279" s="55"/>
      <c r="U279" s="55">
        <f>VLOOKUP($E279,'NI-San_SP'!$C:$AN,MID(U$1,1,2),FALSE)</f>
        <v>0</v>
      </c>
      <c r="V279" s="55">
        <f>VLOOKUP($E279,'NI-San_SP'!$C:$AN,MID(V$1,1,2),FALSE)</f>
        <v>0</v>
      </c>
      <c r="W279" s="55">
        <f>VLOOKUP($E279,'NI-San_SP'!$C:$AN,MID(W$1,1,2),FALSE)</f>
        <v>0</v>
      </c>
      <c r="X279" s="55">
        <f>VLOOKUP($E279,'NI-San_SP'!$C:$AN,MID(X$1,1,2),FALSE)</f>
        <v>0</v>
      </c>
      <c r="Y279" s="55">
        <f>VLOOKUP($E279,'NI-San_SP'!$C:$AN,MID(Y$1,1,2),FALSE)</f>
        <v>0</v>
      </c>
      <c r="Z279" s="55">
        <f>VLOOKUP($E279,'NI-San_SP'!$C:$AN,MID(Z$1,1,2),FALSE)</f>
        <v>0</v>
      </c>
      <c r="AA279" s="55">
        <f>VLOOKUP($E279,'NI-San_SP'!$C:$AN,MID(AA$1,1,2),FALSE)</f>
        <v>0</v>
      </c>
      <c r="AB279" s="55">
        <f>VLOOKUP($E279,'NI-San_SP'!$C:$AN,MID(AB$1,1,2),FALSE)</f>
        <v>0</v>
      </c>
      <c r="AC279" s="55">
        <f>VLOOKUP($E279,'NI-San_SP'!$C:$AN,MID(AC$1,1,2),FALSE)</f>
        <v>0</v>
      </c>
      <c r="AD279" s="55">
        <f>VLOOKUP($E279,'NI-San_SP'!$C:$AN,MID(AD$1,1,2),FALSE)</f>
        <v>0</v>
      </c>
      <c r="AE279" s="55">
        <f>VLOOKUP($E279,'NI-San_SP'!$C:$AN,MID(AE$1,1,2),FALSE)</f>
        <v>0</v>
      </c>
      <c r="AF279" s="55">
        <f>VLOOKUP($E279,'NI-San_SP'!$C:$AN,MID(AF$1,1,2),FALSE)</f>
        <v>0</v>
      </c>
      <c r="AG279" s="55">
        <f>VLOOKUP($E279,'NI-San_SP'!$C:$AN,MID(AG$1,1,2),FALSE)</f>
        <v>0</v>
      </c>
      <c r="AH279" s="55">
        <f>VLOOKUP($E279,'NI-San_SP'!$C:$AN,MID(AH$1,1,2),FALSE)</f>
        <v>0</v>
      </c>
      <c r="AI279" s="55">
        <f>VLOOKUP($E279,'NI-San_SP'!$C:$AN,MID(AI$1,1,2),FALSE)</f>
        <v>0</v>
      </c>
      <c r="AJ279" s="55">
        <f>VLOOKUP($E279,'NI-San_SP'!$C:$AN,MID(AJ$1,1,2),FALSE)</f>
        <v>0</v>
      </c>
      <c r="AK279" s="55">
        <f>VLOOKUP($E279,'NI-San_SP'!$C:$AN,MID(AK$1,1,2),FALSE)</f>
        <v>0</v>
      </c>
      <c r="AL279" s="55">
        <f>VLOOKUP($E279,'NI-San_SP'!$C:$AN,MID(AL$1,1,2),FALSE)</f>
        <v>0</v>
      </c>
      <c r="AM279" s="56">
        <f>VLOOKUP($E279,'NI-San_SP'!$C:$AN,MID(AM$1,1,2),FALSE)</f>
        <v>0</v>
      </c>
      <c r="AN279" s="30" t="str">
        <f t="shared" si="4"/>
        <v>10210060010000</v>
      </c>
    </row>
    <row r="280" spans="3:40" x14ac:dyDescent="0.25">
      <c r="C280" s="40"/>
      <c r="D280" s="57" t="s">
        <v>1039</v>
      </c>
      <c r="E280" s="57" t="s">
        <v>1040</v>
      </c>
      <c r="F280" s="58" t="s">
        <v>110</v>
      </c>
      <c r="G280" s="52"/>
      <c r="H280" s="52"/>
      <c r="I280" s="52"/>
      <c r="J280" s="52"/>
      <c r="K280" s="59" t="s">
        <v>79</v>
      </c>
      <c r="L280" s="52"/>
      <c r="M280" s="52"/>
      <c r="N280" s="52"/>
      <c r="O280" s="52"/>
      <c r="P280" s="63" t="s">
        <v>1041</v>
      </c>
      <c r="Q280" s="55">
        <f>VLOOKUP(E280,'NI-San_SP'!$C:$AN,12,FALSE)</f>
        <v>0</v>
      </c>
      <c r="R280" s="55">
        <f>VLOOKUP(E280,'NI-San_SP'!$C:$AN,13,FALSE)</f>
        <v>0</v>
      </c>
      <c r="S280" s="55"/>
      <c r="T280" s="55"/>
      <c r="U280" s="55">
        <f>VLOOKUP($E280,'NI-San_SP'!$C:$AN,MID(U$1,1,2),FALSE)</f>
        <v>0</v>
      </c>
      <c r="V280" s="55">
        <f>VLOOKUP($E280,'NI-San_SP'!$C:$AN,MID(V$1,1,2),FALSE)</f>
        <v>0</v>
      </c>
      <c r="W280" s="55">
        <f>VLOOKUP($E280,'NI-San_SP'!$C:$AN,MID(W$1,1,2),FALSE)</f>
        <v>0</v>
      </c>
      <c r="X280" s="55">
        <f>VLOOKUP($E280,'NI-San_SP'!$C:$AN,MID(X$1,1,2),FALSE)</f>
        <v>0</v>
      </c>
      <c r="Y280" s="55">
        <f>VLOOKUP($E280,'NI-San_SP'!$C:$AN,MID(Y$1,1,2),FALSE)</f>
        <v>0</v>
      </c>
      <c r="Z280" s="55">
        <f>VLOOKUP($E280,'NI-San_SP'!$C:$AN,MID(Z$1,1,2),FALSE)</f>
        <v>0</v>
      </c>
      <c r="AA280" s="55">
        <f>VLOOKUP($E280,'NI-San_SP'!$C:$AN,MID(AA$1,1,2),FALSE)</f>
        <v>0</v>
      </c>
      <c r="AB280" s="55">
        <f>VLOOKUP($E280,'NI-San_SP'!$C:$AN,MID(AB$1,1,2),FALSE)</f>
        <v>0</v>
      </c>
      <c r="AC280" s="55">
        <f>VLOOKUP($E280,'NI-San_SP'!$C:$AN,MID(AC$1,1,2),FALSE)</f>
        <v>0</v>
      </c>
      <c r="AD280" s="55">
        <f>VLOOKUP($E280,'NI-San_SP'!$C:$AN,MID(AD$1,1,2),FALSE)</f>
        <v>0</v>
      </c>
      <c r="AE280" s="55">
        <f>VLOOKUP($E280,'NI-San_SP'!$C:$AN,MID(AE$1,1,2),FALSE)</f>
        <v>0</v>
      </c>
      <c r="AF280" s="55">
        <f>VLOOKUP($E280,'NI-San_SP'!$C:$AN,MID(AF$1,1,2),FALSE)</f>
        <v>0</v>
      </c>
      <c r="AG280" s="55">
        <f>VLOOKUP($E280,'NI-San_SP'!$C:$AN,MID(AG$1,1,2),FALSE)</f>
        <v>0</v>
      </c>
      <c r="AH280" s="55">
        <f>VLOOKUP($E280,'NI-San_SP'!$C:$AN,MID(AH$1,1,2),FALSE)</f>
        <v>0</v>
      </c>
      <c r="AI280" s="55">
        <f>VLOOKUP($E280,'NI-San_SP'!$C:$AN,MID(AI$1,1,2),FALSE)</f>
        <v>0</v>
      </c>
      <c r="AJ280" s="55">
        <f>VLOOKUP($E280,'NI-San_SP'!$C:$AN,MID(AJ$1,1,2),FALSE)</f>
        <v>0</v>
      </c>
      <c r="AK280" s="55">
        <f>VLOOKUP($E280,'NI-San_SP'!$C:$AN,MID(AK$1,1,2),FALSE)</f>
        <v>0</v>
      </c>
      <c r="AL280" s="55">
        <f>VLOOKUP($E280,'NI-San_SP'!$C:$AN,MID(AL$1,1,2),FALSE)</f>
        <v>0</v>
      </c>
      <c r="AM280" s="56">
        <f>VLOOKUP($E280,'NI-San_SP'!$C:$AN,MID(AM$1,1,2),FALSE)</f>
        <v>0</v>
      </c>
      <c r="AN280" s="30" t="str">
        <f t="shared" si="4"/>
        <v>10210060020000</v>
      </c>
    </row>
    <row r="281" spans="3:40" x14ac:dyDescent="0.25">
      <c r="C281" s="40"/>
      <c r="D281" s="57" t="s">
        <v>1042</v>
      </c>
      <c r="E281" s="57" t="s">
        <v>1043</v>
      </c>
      <c r="F281" s="58" t="s">
        <v>110</v>
      </c>
      <c r="G281" s="52"/>
      <c r="H281" s="52"/>
      <c r="I281" s="52" t="s">
        <v>1044</v>
      </c>
      <c r="J281" s="52" t="s">
        <v>1044</v>
      </c>
      <c r="K281" s="59" t="s">
        <v>111</v>
      </c>
      <c r="L281" s="62" t="s">
        <v>1045</v>
      </c>
      <c r="M281" s="52"/>
      <c r="N281" s="52"/>
      <c r="O281" s="61" t="s">
        <v>845</v>
      </c>
      <c r="P281" s="60" t="s">
        <v>1046</v>
      </c>
      <c r="Q281" s="55">
        <f>VLOOKUP(E281,'NI-San_SP'!$C:$AN,12,FALSE)</f>
        <v>0</v>
      </c>
      <c r="R281" s="55">
        <f>VLOOKUP(E281,'NI-San_SP'!$C:$AN,13,FALSE)</f>
        <v>0</v>
      </c>
      <c r="S281" s="55"/>
      <c r="T281" s="55"/>
      <c r="U281" s="55">
        <f>VLOOKUP($E281,'NI-San_SP'!$C:$AN,MID(U$1,1,2),FALSE)</f>
        <v>0</v>
      </c>
      <c r="V281" s="55">
        <f>VLOOKUP($E281,'NI-San_SP'!$C:$AN,MID(V$1,1,2),FALSE)</f>
        <v>0</v>
      </c>
      <c r="W281" s="55">
        <f>VLOOKUP($E281,'NI-San_SP'!$C:$AN,MID(W$1,1,2),FALSE)</f>
        <v>0</v>
      </c>
      <c r="X281" s="55">
        <f>VLOOKUP($E281,'NI-San_SP'!$C:$AN,MID(X$1,1,2),FALSE)</f>
        <v>0</v>
      </c>
      <c r="Y281" s="55">
        <f>VLOOKUP($E281,'NI-San_SP'!$C:$AN,MID(Y$1,1,2),FALSE)</f>
        <v>0</v>
      </c>
      <c r="Z281" s="55">
        <f>VLOOKUP($E281,'NI-San_SP'!$C:$AN,MID(Z$1,1,2),FALSE)</f>
        <v>0</v>
      </c>
      <c r="AA281" s="55">
        <f>VLOOKUP($E281,'NI-San_SP'!$C:$AN,MID(AA$1,1,2),FALSE)</f>
        <v>0</v>
      </c>
      <c r="AB281" s="55">
        <f>VLOOKUP($E281,'NI-San_SP'!$C:$AN,MID(AB$1,1,2),FALSE)</f>
        <v>0</v>
      </c>
      <c r="AC281" s="55">
        <f>VLOOKUP($E281,'NI-San_SP'!$C:$AN,MID(AC$1,1,2),FALSE)</f>
        <v>0</v>
      </c>
      <c r="AD281" s="55">
        <f>VLOOKUP($E281,'NI-San_SP'!$C:$AN,MID(AD$1,1,2),FALSE)</f>
        <v>0</v>
      </c>
      <c r="AE281" s="55">
        <f>VLOOKUP($E281,'NI-San_SP'!$C:$AN,MID(AE$1,1,2),FALSE)</f>
        <v>0</v>
      </c>
      <c r="AF281" s="55">
        <f>VLOOKUP($E281,'NI-San_SP'!$C:$AN,MID(AF$1,1,2),FALSE)</f>
        <v>0</v>
      </c>
      <c r="AG281" s="55">
        <f>VLOOKUP($E281,'NI-San_SP'!$C:$AN,MID(AG$1,1,2),FALSE)</f>
        <v>0</v>
      </c>
      <c r="AH281" s="55">
        <f>VLOOKUP($E281,'NI-San_SP'!$C:$AN,MID(AH$1,1,2),FALSE)</f>
        <v>0</v>
      </c>
      <c r="AI281" s="55">
        <f>VLOOKUP($E281,'NI-San_SP'!$C:$AN,MID(AI$1,1,2),FALSE)</f>
        <v>0</v>
      </c>
      <c r="AJ281" s="55">
        <f>VLOOKUP($E281,'NI-San_SP'!$C:$AN,MID(AJ$1,1,2),FALSE)</f>
        <v>0</v>
      </c>
      <c r="AK281" s="55">
        <f>VLOOKUP($E281,'NI-San_SP'!$C:$AN,MID(AK$1,1,2),FALSE)</f>
        <v>0</v>
      </c>
      <c r="AL281" s="55">
        <f>VLOOKUP($E281,'NI-San_SP'!$C:$AN,MID(AL$1,1,2),FALSE)</f>
        <v>0</v>
      </c>
      <c r="AM281" s="56">
        <f>VLOOKUP($E281,'NI-San_SP'!$C:$AN,MID(AM$1,1,2),FALSE)</f>
        <v>0</v>
      </c>
      <c r="AN281" s="30" t="str">
        <f t="shared" si="4"/>
        <v>10210070000000</v>
      </c>
    </row>
    <row r="282" spans="3:40" x14ac:dyDescent="0.25">
      <c r="C282" s="40"/>
      <c r="D282" s="57" t="s">
        <v>1047</v>
      </c>
      <c r="E282" s="57" t="s">
        <v>1048</v>
      </c>
      <c r="F282" s="58" t="s">
        <v>110</v>
      </c>
      <c r="G282" s="52"/>
      <c r="H282" s="52"/>
      <c r="I282" s="52"/>
      <c r="J282" s="52"/>
      <c r="K282" s="59" t="s">
        <v>79</v>
      </c>
      <c r="L282" s="52"/>
      <c r="M282" s="52"/>
      <c r="N282" s="52"/>
      <c r="O282" s="52"/>
      <c r="P282" s="63" t="s">
        <v>1049</v>
      </c>
      <c r="Q282" s="55">
        <f>VLOOKUP(E282,'NI-San_SP'!$C:$AN,12,FALSE)</f>
        <v>0</v>
      </c>
      <c r="R282" s="55">
        <f>VLOOKUP(E282,'NI-San_SP'!$C:$AN,13,FALSE)</f>
        <v>0</v>
      </c>
      <c r="S282" s="55"/>
      <c r="T282" s="55"/>
      <c r="U282" s="55">
        <f>VLOOKUP($E282,'NI-San_SP'!$C:$AN,MID(U$1,1,2),FALSE)</f>
        <v>0</v>
      </c>
      <c r="V282" s="55">
        <f>VLOOKUP($E282,'NI-San_SP'!$C:$AN,MID(V$1,1,2),FALSE)</f>
        <v>0</v>
      </c>
      <c r="W282" s="55">
        <f>VLOOKUP($E282,'NI-San_SP'!$C:$AN,MID(W$1,1,2),FALSE)</f>
        <v>0</v>
      </c>
      <c r="X282" s="55">
        <f>VLOOKUP($E282,'NI-San_SP'!$C:$AN,MID(X$1,1,2),FALSE)</f>
        <v>0</v>
      </c>
      <c r="Y282" s="55">
        <f>VLOOKUP($E282,'NI-San_SP'!$C:$AN,MID(Y$1,1,2),FALSE)</f>
        <v>0</v>
      </c>
      <c r="Z282" s="55">
        <f>VLOOKUP($E282,'NI-San_SP'!$C:$AN,MID(Z$1,1,2),FALSE)</f>
        <v>0</v>
      </c>
      <c r="AA282" s="55">
        <f>VLOOKUP($E282,'NI-San_SP'!$C:$AN,MID(AA$1,1,2),FALSE)</f>
        <v>0</v>
      </c>
      <c r="AB282" s="55">
        <f>VLOOKUP($E282,'NI-San_SP'!$C:$AN,MID(AB$1,1,2),FALSE)</f>
        <v>0</v>
      </c>
      <c r="AC282" s="55">
        <f>VLOOKUP($E282,'NI-San_SP'!$C:$AN,MID(AC$1,1,2),FALSE)</f>
        <v>0</v>
      </c>
      <c r="AD282" s="55">
        <f>VLOOKUP($E282,'NI-San_SP'!$C:$AN,MID(AD$1,1,2),FALSE)</f>
        <v>0</v>
      </c>
      <c r="AE282" s="55">
        <f>VLOOKUP($E282,'NI-San_SP'!$C:$AN,MID(AE$1,1,2),FALSE)</f>
        <v>0</v>
      </c>
      <c r="AF282" s="55">
        <f>VLOOKUP($E282,'NI-San_SP'!$C:$AN,MID(AF$1,1,2),FALSE)</f>
        <v>0</v>
      </c>
      <c r="AG282" s="55">
        <f>VLOOKUP($E282,'NI-San_SP'!$C:$AN,MID(AG$1,1,2),FALSE)</f>
        <v>0</v>
      </c>
      <c r="AH282" s="55">
        <f>VLOOKUP($E282,'NI-San_SP'!$C:$AN,MID(AH$1,1,2),FALSE)</f>
        <v>0</v>
      </c>
      <c r="AI282" s="55">
        <f>VLOOKUP($E282,'NI-San_SP'!$C:$AN,MID(AI$1,1,2),FALSE)</f>
        <v>0</v>
      </c>
      <c r="AJ282" s="55">
        <f>VLOOKUP($E282,'NI-San_SP'!$C:$AN,MID(AJ$1,1,2),FALSE)</f>
        <v>0</v>
      </c>
      <c r="AK282" s="55">
        <f>VLOOKUP($E282,'NI-San_SP'!$C:$AN,MID(AK$1,1,2),FALSE)</f>
        <v>0</v>
      </c>
      <c r="AL282" s="55">
        <f>VLOOKUP($E282,'NI-San_SP'!$C:$AN,MID(AL$1,1,2),FALSE)</f>
        <v>0</v>
      </c>
      <c r="AM282" s="56">
        <f>VLOOKUP($E282,'NI-San_SP'!$C:$AN,MID(AM$1,1,2),FALSE)</f>
        <v>0</v>
      </c>
      <c r="AN282" s="30" t="str">
        <f t="shared" si="4"/>
        <v>10210070010000</v>
      </c>
    </row>
    <row r="283" spans="3:40" x14ac:dyDescent="0.25">
      <c r="C283" s="40"/>
      <c r="D283" s="57" t="s">
        <v>1050</v>
      </c>
      <c r="E283" s="57" t="s">
        <v>1051</v>
      </c>
      <c r="F283" s="58" t="s">
        <v>110</v>
      </c>
      <c r="G283" s="52"/>
      <c r="H283" s="52"/>
      <c r="I283" s="52" t="s">
        <v>1052</v>
      </c>
      <c r="J283" s="52" t="s">
        <v>1052</v>
      </c>
      <c r="K283" s="59" t="s">
        <v>111</v>
      </c>
      <c r="L283" s="62" t="s">
        <v>1053</v>
      </c>
      <c r="M283" s="52"/>
      <c r="N283" s="52"/>
      <c r="O283" s="61" t="s">
        <v>856</v>
      </c>
      <c r="P283" s="60" t="s">
        <v>1054</v>
      </c>
      <c r="Q283" s="55">
        <f>VLOOKUP(E283,'NI-San_SP'!$C:$AN,12,FALSE)</f>
        <v>0</v>
      </c>
      <c r="R283" s="55">
        <f>VLOOKUP(E283,'NI-San_SP'!$C:$AN,13,FALSE)</f>
        <v>0</v>
      </c>
      <c r="S283" s="55"/>
      <c r="T283" s="55"/>
      <c r="U283" s="55">
        <f>VLOOKUP($E283,'NI-San_SP'!$C:$AN,MID(U$1,1,2),FALSE)</f>
        <v>0</v>
      </c>
      <c r="V283" s="55">
        <f>VLOOKUP($E283,'NI-San_SP'!$C:$AN,MID(V$1,1,2),FALSE)</f>
        <v>0</v>
      </c>
      <c r="W283" s="55">
        <f>VLOOKUP($E283,'NI-San_SP'!$C:$AN,MID(W$1,1,2),FALSE)</f>
        <v>0</v>
      </c>
      <c r="X283" s="55">
        <f>VLOOKUP($E283,'NI-San_SP'!$C:$AN,MID(X$1,1,2),FALSE)</f>
        <v>0</v>
      </c>
      <c r="Y283" s="55">
        <f>VLOOKUP($E283,'NI-San_SP'!$C:$AN,MID(Y$1,1,2),FALSE)</f>
        <v>0</v>
      </c>
      <c r="Z283" s="55">
        <f>VLOOKUP($E283,'NI-San_SP'!$C:$AN,MID(Z$1,1,2),FALSE)</f>
        <v>0</v>
      </c>
      <c r="AA283" s="55">
        <f>VLOOKUP($E283,'NI-San_SP'!$C:$AN,MID(AA$1,1,2),FALSE)</f>
        <v>0</v>
      </c>
      <c r="AB283" s="55">
        <f>VLOOKUP($E283,'NI-San_SP'!$C:$AN,MID(AB$1,1,2),FALSE)</f>
        <v>0</v>
      </c>
      <c r="AC283" s="55">
        <f>VLOOKUP($E283,'NI-San_SP'!$C:$AN,MID(AC$1,1,2),FALSE)</f>
        <v>0</v>
      </c>
      <c r="AD283" s="55">
        <f>VLOOKUP($E283,'NI-San_SP'!$C:$AN,MID(AD$1,1,2),FALSE)</f>
        <v>0</v>
      </c>
      <c r="AE283" s="55">
        <f>VLOOKUP($E283,'NI-San_SP'!$C:$AN,MID(AE$1,1,2),FALSE)</f>
        <v>0</v>
      </c>
      <c r="AF283" s="55">
        <f>VLOOKUP($E283,'NI-San_SP'!$C:$AN,MID(AF$1,1,2),FALSE)</f>
        <v>0</v>
      </c>
      <c r="AG283" s="55">
        <f>VLOOKUP($E283,'NI-San_SP'!$C:$AN,MID(AG$1,1,2),FALSE)</f>
        <v>0</v>
      </c>
      <c r="AH283" s="55">
        <f>VLOOKUP($E283,'NI-San_SP'!$C:$AN,MID(AH$1,1,2),FALSE)</f>
        <v>0</v>
      </c>
      <c r="AI283" s="55">
        <f>VLOOKUP($E283,'NI-San_SP'!$C:$AN,MID(AI$1,1,2),FALSE)</f>
        <v>0</v>
      </c>
      <c r="AJ283" s="55">
        <f>VLOOKUP($E283,'NI-San_SP'!$C:$AN,MID(AJ$1,1,2),FALSE)</f>
        <v>0</v>
      </c>
      <c r="AK283" s="55">
        <f>VLOOKUP($E283,'NI-San_SP'!$C:$AN,MID(AK$1,1,2),FALSE)</f>
        <v>0</v>
      </c>
      <c r="AL283" s="55">
        <f>VLOOKUP($E283,'NI-San_SP'!$C:$AN,MID(AL$1,1,2),FALSE)</f>
        <v>0</v>
      </c>
      <c r="AM283" s="56">
        <f>VLOOKUP($E283,'NI-San_SP'!$C:$AN,MID(AM$1,1,2),FALSE)</f>
        <v>0</v>
      </c>
      <c r="AN283" s="30" t="str">
        <f t="shared" si="4"/>
        <v>10210080000000</v>
      </c>
    </row>
    <row r="284" spans="3:40" x14ac:dyDescent="0.25">
      <c r="C284" s="40"/>
      <c r="D284" s="57" t="s">
        <v>1055</v>
      </c>
      <c r="E284" s="57" t="s">
        <v>1056</v>
      </c>
      <c r="F284" s="58" t="s">
        <v>110</v>
      </c>
      <c r="G284" s="52"/>
      <c r="H284" s="52"/>
      <c r="I284" s="52"/>
      <c r="J284" s="52"/>
      <c r="K284" s="59" t="s">
        <v>79</v>
      </c>
      <c r="L284" s="52"/>
      <c r="M284" s="52"/>
      <c r="N284" s="52"/>
      <c r="O284" s="52"/>
      <c r="P284" s="63" t="s">
        <v>1057</v>
      </c>
      <c r="Q284" s="55">
        <f>VLOOKUP(E284,'NI-San_SP'!$C:$AN,12,FALSE)</f>
        <v>0</v>
      </c>
      <c r="R284" s="55">
        <f>VLOOKUP(E284,'NI-San_SP'!$C:$AN,13,FALSE)</f>
        <v>0</v>
      </c>
      <c r="S284" s="55"/>
      <c r="T284" s="55"/>
      <c r="U284" s="55">
        <f>VLOOKUP($E284,'NI-San_SP'!$C:$AN,MID(U$1,1,2),FALSE)</f>
        <v>0</v>
      </c>
      <c r="V284" s="55">
        <f>VLOOKUP($E284,'NI-San_SP'!$C:$AN,MID(V$1,1,2),FALSE)</f>
        <v>0</v>
      </c>
      <c r="W284" s="55">
        <f>VLOOKUP($E284,'NI-San_SP'!$C:$AN,MID(W$1,1,2),FALSE)</f>
        <v>0</v>
      </c>
      <c r="X284" s="55">
        <f>VLOOKUP($E284,'NI-San_SP'!$C:$AN,MID(X$1,1,2),FALSE)</f>
        <v>0</v>
      </c>
      <c r="Y284" s="55">
        <f>VLOOKUP($E284,'NI-San_SP'!$C:$AN,MID(Y$1,1,2),FALSE)</f>
        <v>0</v>
      </c>
      <c r="Z284" s="55">
        <f>VLOOKUP($E284,'NI-San_SP'!$C:$AN,MID(Z$1,1,2),FALSE)</f>
        <v>0</v>
      </c>
      <c r="AA284" s="55">
        <f>VLOOKUP($E284,'NI-San_SP'!$C:$AN,MID(AA$1,1,2),FALSE)</f>
        <v>0</v>
      </c>
      <c r="AB284" s="55">
        <f>VLOOKUP($E284,'NI-San_SP'!$C:$AN,MID(AB$1,1,2),FALSE)</f>
        <v>0</v>
      </c>
      <c r="AC284" s="55">
        <f>VLOOKUP($E284,'NI-San_SP'!$C:$AN,MID(AC$1,1,2),FALSE)</f>
        <v>0</v>
      </c>
      <c r="AD284" s="55">
        <f>VLOOKUP($E284,'NI-San_SP'!$C:$AN,MID(AD$1,1,2),FALSE)</f>
        <v>0</v>
      </c>
      <c r="AE284" s="55">
        <f>VLOOKUP($E284,'NI-San_SP'!$C:$AN,MID(AE$1,1,2),FALSE)</f>
        <v>0</v>
      </c>
      <c r="AF284" s="55">
        <f>VLOOKUP($E284,'NI-San_SP'!$C:$AN,MID(AF$1,1,2),FALSE)</f>
        <v>0</v>
      </c>
      <c r="AG284" s="55">
        <f>VLOOKUP($E284,'NI-San_SP'!$C:$AN,MID(AG$1,1,2),FALSE)</f>
        <v>0</v>
      </c>
      <c r="AH284" s="55">
        <f>VLOOKUP($E284,'NI-San_SP'!$C:$AN,MID(AH$1,1,2),FALSE)</f>
        <v>0</v>
      </c>
      <c r="AI284" s="55">
        <f>VLOOKUP($E284,'NI-San_SP'!$C:$AN,MID(AI$1,1,2),FALSE)</f>
        <v>0</v>
      </c>
      <c r="AJ284" s="55">
        <f>VLOOKUP($E284,'NI-San_SP'!$C:$AN,MID(AJ$1,1,2),FALSE)</f>
        <v>0</v>
      </c>
      <c r="AK284" s="55">
        <f>VLOOKUP($E284,'NI-San_SP'!$C:$AN,MID(AK$1,1,2),FALSE)</f>
        <v>0</v>
      </c>
      <c r="AL284" s="55">
        <f>VLOOKUP($E284,'NI-San_SP'!$C:$AN,MID(AL$1,1,2),FALSE)</f>
        <v>0</v>
      </c>
      <c r="AM284" s="56">
        <f>VLOOKUP($E284,'NI-San_SP'!$C:$AN,MID(AM$1,1,2),FALSE)</f>
        <v>0</v>
      </c>
      <c r="AN284" s="30" t="str">
        <f t="shared" si="4"/>
        <v>10210080010000</v>
      </c>
    </row>
    <row r="285" spans="3:40" x14ac:dyDescent="0.25">
      <c r="C285" s="40"/>
      <c r="D285" s="57" t="s">
        <v>1058</v>
      </c>
      <c r="E285" s="57" t="s">
        <v>1059</v>
      </c>
      <c r="F285" s="58" t="s">
        <v>110</v>
      </c>
      <c r="G285" s="52"/>
      <c r="H285" s="52"/>
      <c r="I285" s="52"/>
      <c r="J285" s="52"/>
      <c r="K285" s="59" t="s">
        <v>79</v>
      </c>
      <c r="L285" s="52"/>
      <c r="M285" s="52"/>
      <c r="N285" s="52"/>
      <c r="O285" s="52"/>
      <c r="P285" s="63" t="s">
        <v>1060</v>
      </c>
      <c r="Q285" s="55">
        <f>VLOOKUP(E285,'NI-San_SP'!$C:$AN,12,FALSE)</f>
        <v>0</v>
      </c>
      <c r="R285" s="55">
        <f>VLOOKUP(E285,'NI-San_SP'!$C:$AN,13,FALSE)</f>
        <v>0</v>
      </c>
      <c r="S285" s="55"/>
      <c r="T285" s="55"/>
      <c r="U285" s="55">
        <f>VLOOKUP($E285,'NI-San_SP'!$C:$AN,MID(U$1,1,2),FALSE)</f>
        <v>0</v>
      </c>
      <c r="V285" s="55">
        <f>VLOOKUP($E285,'NI-San_SP'!$C:$AN,MID(V$1,1,2),FALSE)</f>
        <v>0</v>
      </c>
      <c r="W285" s="55">
        <f>VLOOKUP($E285,'NI-San_SP'!$C:$AN,MID(W$1,1,2),FALSE)</f>
        <v>0</v>
      </c>
      <c r="X285" s="55">
        <f>VLOOKUP($E285,'NI-San_SP'!$C:$AN,MID(X$1,1,2),FALSE)</f>
        <v>0</v>
      </c>
      <c r="Y285" s="55">
        <f>VLOOKUP($E285,'NI-San_SP'!$C:$AN,MID(Y$1,1,2),FALSE)</f>
        <v>0</v>
      </c>
      <c r="Z285" s="55">
        <f>VLOOKUP($E285,'NI-San_SP'!$C:$AN,MID(Z$1,1,2),FALSE)</f>
        <v>0</v>
      </c>
      <c r="AA285" s="55">
        <f>VLOOKUP($E285,'NI-San_SP'!$C:$AN,MID(AA$1,1,2),FALSE)</f>
        <v>0</v>
      </c>
      <c r="AB285" s="55">
        <f>VLOOKUP($E285,'NI-San_SP'!$C:$AN,MID(AB$1,1,2),FALSE)</f>
        <v>0</v>
      </c>
      <c r="AC285" s="55">
        <f>VLOOKUP($E285,'NI-San_SP'!$C:$AN,MID(AC$1,1,2),FALSE)</f>
        <v>0</v>
      </c>
      <c r="AD285" s="55">
        <f>VLOOKUP($E285,'NI-San_SP'!$C:$AN,MID(AD$1,1,2),FALSE)</f>
        <v>0</v>
      </c>
      <c r="AE285" s="55">
        <f>VLOOKUP($E285,'NI-San_SP'!$C:$AN,MID(AE$1,1,2),FALSE)</f>
        <v>0</v>
      </c>
      <c r="AF285" s="55">
        <f>VLOOKUP($E285,'NI-San_SP'!$C:$AN,MID(AF$1,1,2),FALSE)</f>
        <v>0</v>
      </c>
      <c r="AG285" s="55">
        <f>VLOOKUP($E285,'NI-San_SP'!$C:$AN,MID(AG$1,1,2),FALSE)</f>
        <v>0</v>
      </c>
      <c r="AH285" s="55">
        <f>VLOOKUP($E285,'NI-San_SP'!$C:$AN,MID(AH$1,1,2),FALSE)</f>
        <v>0</v>
      </c>
      <c r="AI285" s="55">
        <f>VLOOKUP($E285,'NI-San_SP'!$C:$AN,MID(AI$1,1,2),FALSE)</f>
        <v>0</v>
      </c>
      <c r="AJ285" s="55">
        <f>VLOOKUP($E285,'NI-San_SP'!$C:$AN,MID(AJ$1,1,2),FALSE)</f>
        <v>0</v>
      </c>
      <c r="AK285" s="55">
        <f>VLOOKUP($E285,'NI-San_SP'!$C:$AN,MID(AK$1,1,2),FALSE)</f>
        <v>0</v>
      </c>
      <c r="AL285" s="55">
        <f>VLOOKUP($E285,'NI-San_SP'!$C:$AN,MID(AL$1,1,2),FALSE)</f>
        <v>0</v>
      </c>
      <c r="AM285" s="56">
        <f>VLOOKUP($E285,'NI-San_SP'!$C:$AN,MID(AM$1,1,2),FALSE)</f>
        <v>0</v>
      </c>
      <c r="AN285" s="30" t="str">
        <f t="shared" si="4"/>
        <v>10210080020000</v>
      </c>
    </row>
    <row r="286" spans="3:40" x14ac:dyDescent="0.25">
      <c r="C286" s="40"/>
      <c r="D286" s="57" t="s">
        <v>1061</v>
      </c>
      <c r="E286" s="57" t="s">
        <v>1062</v>
      </c>
      <c r="F286" s="58" t="s">
        <v>110</v>
      </c>
      <c r="G286" s="52"/>
      <c r="H286" s="52"/>
      <c r="I286" s="52"/>
      <c r="J286" s="52"/>
      <c r="K286" s="59" t="s">
        <v>111</v>
      </c>
      <c r="L286" s="52"/>
      <c r="M286" s="52"/>
      <c r="N286" s="52"/>
      <c r="O286" s="52"/>
      <c r="P286" s="60" t="s">
        <v>1063</v>
      </c>
      <c r="Q286" s="55">
        <f>VLOOKUP(E286,'NI-San_SP'!$C:$AN,12,FALSE)</f>
        <v>0</v>
      </c>
      <c r="R286" s="55">
        <f>VLOOKUP(E286,'NI-San_SP'!$C:$AN,13,FALSE)</f>
        <v>0</v>
      </c>
      <c r="S286" s="55"/>
      <c r="T286" s="55"/>
      <c r="U286" s="55">
        <f>VLOOKUP($E286,'NI-San_SP'!$C:$AN,MID(U$1,1,2),FALSE)</f>
        <v>0</v>
      </c>
      <c r="V286" s="55">
        <f>VLOOKUP($E286,'NI-San_SP'!$C:$AN,MID(V$1,1,2),FALSE)</f>
        <v>0</v>
      </c>
      <c r="W286" s="55">
        <f>VLOOKUP($E286,'NI-San_SP'!$C:$AN,MID(W$1,1,2),FALSE)</f>
        <v>0</v>
      </c>
      <c r="X286" s="55">
        <f>VLOOKUP($E286,'NI-San_SP'!$C:$AN,MID(X$1,1,2),FALSE)</f>
        <v>0</v>
      </c>
      <c r="Y286" s="55">
        <f>VLOOKUP($E286,'NI-San_SP'!$C:$AN,MID(Y$1,1,2),FALSE)</f>
        <v>0</v>
      </c>
      <c r="Z286" s="55">
        <f>VLOOKUP($E286,'NI-San_SP'!$C:$AN,MID(Z$1,1,2),FALSE)</f>
        <v>0</v>
      </c>
      <c r="AA286" s="55">
        <f>VLOOKUP($E286,'NI-San_SP'!$C:$AN,MID(AA$1,1,2),FALSE)</f>
        <v>0</v>
      </c>
      <c r="AB286" s="55">
        <f>VLOOKUP($E286,'NI-San_SP'!$C:$AN,MID(AB$1,1,2),FALSE)</f>
        <v>0</v>
      </c>
      <c r="AC286" s="55">
        <f>VLOOKUP($E286,'NI-San_SP'!$C:$AN,MID(AC$1,1,2),FALSE)</f>
        <v>0</v>
      </c>
      <c r="AD286" s="55">
        <f>VLOOKUP($E286,'NI-San_SP'!$C:$AN,MID(AD$1,1,2),FALSE)</f>
        <v>0</v>
      </c>
      <c r="AE286" s="55">
        <f>VLOOKUP($E286,'NI-San_SP'!$C:$AN,MID(AE$1,1,2),FALSE)</f>
        <v>0</v>
      </c>
      <c r="AF286" s="55">
        <f>VLOOKUP($E286,'NI-San_SP'!$C:$AN,MID(AF$1,1,2),FALSE)</f>
        <v>0</v>
      </c>
      <c r="AG286" s="55">
        <f>VLOOKUP($E286,'NI-San_SP'!$C:$AN,MID(AG$1,1,2),FALSE)</f>
        <v>0</v>
      </c>
      <c r="AH286" s="55">
        <f>VLOOKUP($E286,'NI-San_SP'!$C:$AN,MID(AH$1,1,2),FALSE)</f>
        <v>0</v>
      </c>
      <c r="AI286" s="55">
        <f>VLOOKUP($E286,'NI-San_SP'!$C:$AN,MID(AI$1,1,2),FALSE)</f>
        <v>0</v>
      </c>
      <c r="AJ286" s="55">
        <f>VLOOKUP($E286,'NI-San_SP'!$C:$AN,MID(AJ$1,1,2),FALSE)</f>
        <v>0</v>
      </c>
      <c r="AK286" s="55">
        <f>VLOOKUP($E286,'NI-San_SP'!$C:$AN,MID(AK$1,1,2),FALSE)</f>
        <v>0</v>
      </c>
      <c r="AL286" s="55">
        <f>VLOOKUP($E286,'NI-San_SP'!$C:$AN,MID(AL$1,1,2),FALSE)</f>
        <v>0</v>
      </c>
      <c r="AM286" s="56">
        <f>VLOOKUP($E286,'NI-San_SP'!$C:$AN,MID(AM$1,1,2),FALSE)</f>
        <v>0</v>
      </c>
      <c r="AN286" s="30" t="str">
        <f t="shared" si="4"/>
        <v>10300000000000</v>
      </c>
    </row>
    <row r="287" spans="3:40" x14ac:dyDescent="0.25">
      <c r="C287" s="40"/>
      <c r="D287" s="57" t="s">
        <v>1064</v>
      </c>
      <c r="E287" s="57" t="s">
        <v>1065</v>
      </c>
      <c r="F287" s="58" t="s">
        <v>110</v>
      </c>
      <c r="G287" s="52"/>
      <c r="H287" s="52"/>
      <c r="I287" s="52"/>
      <c r="J287" s="52"/>
      <c r="K287" s="59" t="s">
        <v>111</v>
      </c>
      <c r="L287" s="62" t="s">
        <v>1066</v>
      </c>
      <c r="M287" s="52"/>
      <c r="N287" s="52"/>
      <c r="O287" s="52"/>
      <c r="P287" s="54" t="s">
        <v>1067</v>
      </c>
      <c r="Q287" s="55">
        <f>VLOOKUP(E287,'NI-San_SP'!$C:$AN,12,FALSE)</f>
        <v>0</v>
      </c>
      <c r="R287" s="55">
        <f>VLOOKUP(E287,'NI-San_SP'!$C:$AN,13,FALSE)</f>
        <v>0</v>
      </c>
      <c r="S287" s="55">
        <f>VLOOKUP(E287,'NI-San_SP'!$C:$AN,31,FALSE)</f>
        <v>0</v>
      </c>
      <c r="T287" s="55">
        <f>VLOOKUP(E287,'NI-San_SP'!$C:$AN,32,FALSE)+VLOOKUP(E287,'NI-San_SP'!$C:$AN,33,FALSE)</f>
        <v>0</v>
      </c>
      <c r="U287" s="55">
        <f>VLOOKUP($E287,'NI-San_SP'!$C:$AN,MID(U$1,1,2),FALSE)</f>
        <v>0</v>
      </c>
      <c r="V287" s="55">
        <f>VLOOKUP($E287,'NI-San_SP'!$C:$AN,MID(V$1,1,2),FALSE)</f>
        <v>0</v>
      </c>
      <c r="W287" s="55">
        <f>VLOOKUP($E287,'NI-San_SP'!$C:$AN,MID(W$1,1,2),FALSE)</f>
        <v>0</v>
      </c>
      <c r="X287" s="55">
        <f>VLOOKUP($E287,'NI-San_SP'!$C:$AN,MID(X$1,1,2),FALSE)</f>
        <v>0</v>
      </c>
      <c r="Y287" s="55">
        <f>VLOOKUP($E287,'NI-San_SP'!$C:$AN,MID(Y$1,1,2),FALSE)</f>
        <v>0</v>
      </c>
      <c r="Z287" s="55">
        <f>VLOOKUP($E287,'NI-San_SP'!$C:$AN,MID(Z$1,1,2),FALSE)</f>
        <v>0</v>
      </c>
      <c r="AA287" s="55">
        <f>VLOOKUP($E287,'NI-San_SP'!$C:$AN,MID(AA$1,1,2),FALSE)</f>
        <v>0</v>
      </c>
      <c r="AB287" s="55">
        <f>VLOOKUP($E287,'NI-San_SP'!$C:$AN,MID(AB$1,1,2),FALSE)</f>
        <v>0</v>
      </c>
      <c r="AC287" s="55">
        <f>VLOOKUP($E287,'NI-San_SP'!$C:$AN,MID(AC$1,1,2),FALSE)</f>
        <v>0</v>
      </c>
      <c r="AD287" s="55">
        <f>VLOOKUP($E287,'NI-San_SP'!$C:$AN,MID(AD$1,1,2),FALSE)</f>
        <v>0</v>
      </c>
      <c r="AE287" s="55">
        <f>VLOOKUP($E287,'NI-San_SP'!$C:$AN,MID(AE$1,1,2),FALSE)</f>
        <v>0</v>
      </c>
      <c r="AF287" s="55">
        <f>VLOOKUP($E287,'NI-San_SP'!$C:$AN,MID(AF$1,1,2),FALSE)</f>
        <v>0</v>
      </c>
      <c r="AG287" s="55">
        <f>VLOOKUP($E287,'NI-San_SP'!$C:$AN,MID(AG$1,1,2),FALSE)</f>
        <v>0</v>
      </c>
      <c r="AH287" s="55">
        <f>VLOOKUP($E287,'NI-San_SP'!$C:$AN,MID(AH$1,1,2),FALSE)</f>
        <v>0</v>
      </c>
      <c r="AI287" s="55">
        <f>VLOOKUP($E287,'NI-San_SP'!$C:$AN,MID(AI$1,1,2),FALSE)</f>
        <v>0</v>
      </c>
      <c r="AJ287" s="55">
        <f>VLOOKUP($E287,'NI-San_SP'!$C:$AN,MID(AJ$1,1,2),FALSE)</f>
        <v>0</v>
      </c>
      <c r="AK287" s="55">
        <f>VLOOKUP($E287,'NI-San_SP'!$C:$AN,MID(AK$1,1,2),FALSE)</f>
        <v>0</v>
      </c>
      <c r="AL287" s="55">
        <f>VLOOKUP($E287,'NI-San_SP'!$C:$AN,MID(AL$1,1,2),FALSE)</f>
        <v>0</v>
      </c>
      <c r="AM287" s="56">
        <f>VLOOKUP($E287,'NI-San_SP'!$C:$AN,MID(AM$1,1,2),FALSE)</f>
        <v>0</v>
      </c>
      <c r="AN287" s="30" t="str">
        <f t="shared" si="4"/>
        <v>10301000000000</v>
      </c>
    </row>
    <row r="288" spans="3:40" x14ac:dyDescent="0.25">
      <c r="C288" s="40"/>
      <c r="D288" s="57" t="s">
        <v>1068</v>
      </c>
      <c r="E288" s="57" t="s">
        <v>1069</v>
      </c>
      <c r="F288" s="58" t="s">
        <v>110</v>
      </c>
      <c r="G288" s="52"/>
      <c r="H288" s="52"/>
      <c r="I288" s="52" t="s">
        <v>1070</v>
      </c>
      <c r="J288" s="52" t="s">
        <v>1070</v>
      </c>
      <c r="K288" s="59" t="s">
        <v>79</v>
      </c>
      <c r="L288" s="52"/>
      <c r="M288" s="52"/>
      <c r="N288" s="52"/>
      <c r="O288" s="61" t="s">
        <v>1071</v>
      </c>
      <c r="P288" s="64" t="s">
        <v>1072</v>
      </c>
      <c r="Q288" s="55">
        <f>VLOOKUP(E288,'NI-San_SP'!$C:$AN,12,FALSE)</f>
        <v>0</v>
      </c>
      <c r="R288" s="55">
        <f>VLOOKUP(E288,'NI-San_SP'!$C:$AN,13,FALSE)</f>
        <v>0</v>
      </c>
      <c r="S288" s="55">
        <f>VLOOKUP(E288,'NI-San_SP'!$C:$AN,31,FALSE)</f>
        <v>0</v>
      </c>
      <c r="T288" s="55">
        <f>VLOOKUP(E288,'NI-San_SP'!$C:$AN,32,FALSE)+VLOOKUP(E288,'NI-San_SP'!$C:$AN,33,FALSE)</f>
        <v>0</v>
      </c>
      <c r="U288" s="55">
        <f>VLOOKUP($E288,'NI-San_SP'!$C:$AN,MID(U$1,1,2),FALSE)</f>
        <v>0</v>
      </c>
      <c r="V288" s="55">
        <f>VLOOKUP($E288,'NI-San_SP'!$C:$AN,MID(V$1,1,2),FALSE)</f>
        <v>0</v>
      </c>
      <c r="W288" s="55">
        <f>VLOOKUP($E288,'NI-San_SP'!$C:$AN,MID(W$1,1,2),FALSE)</f>
        <v>0</v>
      </c>
      <c r="X288" s="55">
        <f>VLOOKUP($E288,'NI-San_SP'!$C:$AN,MID(X$1,1,2),FALSE)</f>
        <v>0</v>
      </c>
      <c r="Y288" s="55">
        <f>VLOOKUP($E288,'NI-San_SP'!$C:$AN,MID(Y$1,1,2),FALSE)</f>
        <v>0</v>
      </c>
      <c r="Z288" s="55">
        <f>VLOOKUP($E288,'NI-San_SP'!$C:$AN,MID(Z$1,1,2),FALSE)</f>
        <v>0</v>
      </c>
      <c r="AA288" s="55">
        <f>VLOOKUP($E288,'NI-San_SP'!$C:$AN,MID(AA$1,1,2),FALSE)</f>
        <v>0</v>
      </c>
      <c r="AB288" s="55">
        <f>VLOOKUP($E288,'NI-San_SP'!$C:$AN,MID(AB$1,1,2),FALSE)</f>
        <v>0</v>
      </c>
      <c r="AC288" s="55">
        <f>VLOOKUP($E288,'NI-San_SP'!$C:$AN,MID(AC$1,1,2),FALSE)</f>
        <v>0</v>
      </c>
      <c r="AD288" s="55">
        <f>VLOOKUP($E288,'NI-San_SP'!$C:$AN,MID(AD$1,1,2),FALSE)</f>
        <v>0</v>
      </c>
      <c r="AE288" s="55">
        <f>VLOOKUP($E288,'NI-San_SP'!$C:$AN,MID(AE$1,1,2),FALSE)</f>
        <v>0</v>
      </c>
      <c r="AF288" s="55">
        <f>VLOOKUP($E288,'NI-San_SP'!$C:$AN,MID(AF$1,1,2),FALSE)</f>
        <v>0</v>
      </c>
      <c r="AG288" s="55">
        <f>VLOOKUP($E288,'NI-San_SP'!$C:$AN,MID(AG$1,1,2),FALSE)</f>
        <v>0</v>
      </c>
      <c r="AH288" s="55">
        <f>VLOOKUP($E288,'NI-San_SP'!$C:$AN,MID(AH$1,1,2),FALSE)</f>
        <v>0</v>
      </c>
      <c r="AI288" s="55">
        <f>VLOOKUP($E288,'NI-San_SP'!$C:$AN,MID(AI$1,1,2),FALSE)</f>
        <v>0</v>
      </c>
      <c r="AJ288" s="55">
        <f>VLOOKUP($E288,'NI-San_SP'!$C:$AN,MID(AJ$1,1,2),FALSE)</f>
        <v>0</v>
      </c>
      <c r="AK288" s="55">
        <f>VLOOKUP($E288,'NI-San_SP'!$C:$AN,MID(AK$1,1,2),FALSE)</f>
        <v>0</v>
      </c>
      <c r="AL288" s="55">
        <f>VLOOKUP($E288,'NI-San_SP'!$C:$AN,MID(AL$1,1,2),FALSE)</f>
        <v>0</v>
      </c>
      <c r="AM288" s="56">
        <f>VLOOKUP($E288,'NI-San_SP'!$C:$AN,MID(AM$1,1,2),FALSE)</f>
        <v>0</v>
      </c>
      <c r="AN288" s="30" t="str">
        <f t="shared" si="4"/>
        <v>10301010000000</v>
      </c>
    </row>
    <row r="289" spans="3:40" x14ac:dyDescent="0.25">
      <c r="C289" s="40"/>
      <c r="D289" s="57" t="s">
        <v>1073</v>
      </c>
      <c r="E289" s="57" t="s">
        <v>1074</v>
      </c>
      <c r="F289" s="58" t="s">
        <v>110</v>
      </c>
      <c r="G289" s="52"/>
      <c r="H289" s="52"/>
      <c r="I289" s="52" t="s">
        <v>1075</v>
      </c>
      <c r="J289" s="52" t="s">
        <v>1075</v>
      </c>
      <c r="K289" s="59" t="s">
        <v>79</v>
      </c>
      <c r="L289" s="52"/>
      <c r="M289" s="52"/>
      <c r="N289" s="52"/>
      <c r="O289" s="61" t="s">
        <v>1076</v>
      </c>
      <c r="P289" s="64" t="s">
        <v>1077</v>
      </c>
      <c r="Q289" s="55">
        <f>VLOOKUP(E289,'NI-San_SP'!$C:$AN,12,FALSE)</f>
        <v>0</v>
      </c>
      <c r="R289" s="55">
        <f>VLOOKUP(E289,'NI-San_SP'!$C:$AN,13,FALSE)</f>
        <v>0</v>
      </c>
      <c r="S289" s="55">
        <f>VLOOKUP(E289,'NI-San_SP'!$C:$AN,31,FALSE)</f>
        <v>0</v>
      </c>
      <c r="T289" s="55">
        <f>VLOOKUP(E289,'NI-San_SP'!$C:$AN,32,FALSE)+VLOOKUP(E289,'NI-San_SP'!$C:$AN,33,FALSE)</f>
        <v>0</v>
      </c>
      <c r="U289" s="55">
        <f>VLOOKUP($E289,'NI-San_SP'!$C:$AN,MID(U$1,1,2),FALSE)</f>
        <v>0</v>
      </c>
      <c r="V289" s="55">
        <f>VLOOKUP($E289,'NI-San_SP'!$C:$AN,MID(V$1,1,2),FALSE)</f>
        <v>0</v>
      </c>
      <c r="W289" s="55">
        <f>VLOOKUP($E289,'NI-San_SP'!$C:$AN,MID(W$1,1,2),FALSE)</f>
        <v>0</v>
      </c>
      <c r="X289" s="55">
        <f>VLOOKUP($E289,'NI-San_SP'!$C:$AN,MID(X$1,1,2),FALSE)</f>
        <v>0</v>
      </c>
      <c r="Y289" s="55">
        <f>VLOOKUP($E289,'NI-San_SP'!$C:$AN,MID(Y$1,1,2),FALSE)</f>
        <v>0</v>
      </c>
      <c r="Z289" s="55">
        <f>VLOOKUP($E289,'NI-San_SP'!$C:$AN,MID(Z$1,1,2),FALSE)</f>
        <v>0</v>
      </c>
      <c r="AA289" s="55">
        <f>VLOOKUP($E289,'NI-San_SP'!$C:$AN,MID(AA$1,1,2),FALSE)</f>
        <v>0</v>
      </c>
      <c r="AB289" s="55">
        <f>VLOOKUP($E289,'NI-San_SP'!$C:$AN,MID(AB$1,1,2),FALSE)</f>
        <v>0</v>
      </c>
      <c r="AC289" s="55">
        <f>VLOOKUP($E289,'NI-San_SP'!$C:$AN,MID(AC$1,1,2),FALSE)</f>
        <v>0</v>
      </c>
      <c r="AD289" s="55">
        <f>VLOOKUP($E289,'NI-San_SP'!$C:$AN,MID(AD$1,1,2),FALSE)</f>
        <v>0</v>
      </c>
      <c r="AE289" s="55">
        <f>VLOOKUP($E289,'NI-San_SP'!$C:$AN,MID(AE$1,1,2),FALSE)</f>
        <v>0</v>
      </c>
      <c r="AF289" s="55">
        <f>VLOOKUP($E289,'NI-San_SP'!$C:$AN,MID(AF$1,1,2),FALSE)</f>
        <v>0</v>
      </c>
      <c r="AG289" s="55">
        <f>VLOOKUP($E289,'NI-San_SP'!$C:$AN,MID(AG$1,1,2),FALSE)</f>
        <v>0</v>
      </c>
      <c r="AH289" s="55">
        <f>VLOOKUP($E289,'NI-San_SP'!$C:$AN,MID(AH$1,1,2),FALSE)</f>
        <v>0</v>
      </c>
      <c r="AI289" s="55">
        <f>VLOOKUP($E289,'NI-San_SP'!$C:$AN,MID(AI$1,1,2),FALSE)</f>
        <v>0</v>
      </c>
      <c r="AJ289" s="55">
        <f>VLOOKUP($E289,'NI-San_SP'!$C:$AN,MID(AJ$1,1,2),FALSE)</f>
        <v>0</v>
      </c>
      <c r="AK289" s="55">
        <f>VLOOKUP($E289,'NI-San_SP'!$C:$AN,MID(AK$1,1,2),FALSE)</f>
        <v>0</v>
      </c>
      <c r="AL289" s="55">
        <f>VLOOKUP($E289,'NI-San_SP'!$C:$AN,MID(AL$1,1,2),FALSE)</f>
        <v>0</v>
      </c>
      <c r="AM289" s="56">
        <f>VLOOKUP($E289,'NI-San_SP'!$C:$AN,MID(AM$1,1,2),FALSE)</f>
        <v>0</v>
      </c>
      <c r="AN289" s="30" t="str">
        <f t="shared" si="4"/>
        <v>10301020000000</v>
      </c>
    </row>
    <row r="290" spans="3:40" x14ac:dyDescent="0.25">
      <c r="C290" s="40"/>
      <c r="D290" s="57" t="s">
        <v>1078</v>
      </c>
      <c r="E290" s="57" t="s">
        <v>1079</v>
      </c>
      <c r="F290" s="58" t="s">
        <v>110</v>
      </c>
      <c r="G290" s="52"/>
      <c r="H290" s="52"/>
      <c r="I290" s="52" t="s">
        <v>1080</v>
      </c>
      <c r="J290" s="52" t="s">
        <v>1080</v>
      </c>
      <c r="K290" s="59" t="s">
        <v>79</v>
      </c>
      <c r="L290" s="52"/>
      <c r="M290" s="52"/>
      <c r="N290" s="52"/>
      <c r="O290" s="61" t="s">
        <v>1081</v>
      </c>
      <c r="P290" s="64" t="s">
        <v>1082</v>
      </c>
      <c r="Q290" s="55">
        <f>VLOOKUP(E290,'NI-San_SP'!$C:$AN,12,FALSE)</f>
        <v>0</v>
      </c>
      <c r="R290" s="55">
        <f>VLOOKUP(E290,'NI-San_SP'!$C:$AN,13,FALSE)</f>
        <v>0</v>
      </c>
      <c r="S290" s="55">
        <f>VLOOKUP(E290,'NI-San_SP'!$C:$AN,31,FALSE)</f>
        <v>0</v>
      </c>
      <c r="T290" s="55">
        <f>VLOOKUP(E290,'NI-San_SP'!$C:$AN,32,FALSE)+VLOOKUP(E290,'NI-San_SP'!$C:$AN,33,FALSE)</f>
        <v>0</v>
      </c>
      <c r="U290" s="55">
        <f>VLOOKUP($E290,'NI-San_SP'!$C:$AN,MID(U$1,1,2),FALSE)</f>
        <v>0</v>
      </c>
      <c r="V290" s="55">
        <f>VLOOKUP($E290,'NI-San_SP'!$C:$AN,MID(V$1,1,2),FALSE)</f>
        <v>0</v>
      </c>
      <c r="W290" s="55">
        <f>VLOOKUP($E290,'NI-San_SP'!$C:$AN,MID(W$1,1,2),FALSE)</f>
        <v>0</v>
      </c>
      <c r="X290" s="55">
        <f>VLOOKUP($E290,'NI-San_SP'!$C:$AN,MID(X$1,1,2),FALSE)</f>
        <v>0</v>
      </c>
      <c r="Y290" s="55">
        <f>VLOOKUP($E290,'NI-San_SP'!$C:$AN,MID(Y$1,1,2),FALSE)</f>
        <v>0</v>
      </c>
      <c r="Z290" s="55">
        <f>VLOOKUP($E290,'NI-San_SP'!$C:$AN,MID(Z$1,1,2),FALSE)</f>
        <v>0</v>
      </c>
      <c r="AA290" s="55">
        <f>VLOOKUP($E290,'NI-San_SP'!$C:$AN,MID(AA$1,1,2),FALSE)</f>
        <v>0</v>
      </c>
      <c r="AB290" s="55">
        <f>VLOOKUP($E290,'NI-San_SP'!$C:$AN,MID(AB$1,1,2),FALSE)</f>
        <v>0</v>
      </c>
      <c r="AC290" s="55">
        <f>VLOOKUP($E290,'NI-San_SP'!$C:$AN,MID(AC$1,1,2),FALSE)</f>
        <v>0</v>
      </c>
      <c r="AD290" s="55">
        <f>VLOOKUP($E290,'NI-San_SP'!$C:$AN,MID(AD$1,1,2),FALSE)</f>
        <v>0</v>
      </c>
      <c r="AE290" s="55">
        <f>VLOOKUP($E290,'NI-San_SP'!$C:$AN,MID(AE$1,1,2),FALSE)</f>
        <v>0</v>
      </c>
      <c r="AF290" s="55">
        <f>VLOOKUP($E290,'NI-San_SP'!$C:$AN,MID(AF$1,1,2),FALSE)</f>
        <v>0</v>
      </c>
      <c r="AG290" s="55">
        <f>VLOOKUP($E290,'NI-San_SP'!$C:$AN,MID(AG$1,1,2),FALSE)</f>
        <v>0</v>
      </c>
      <c r="AH290" s="55">
        <f>VLOOKUP($E290,'NI-San_SP'!$C:$AN,MID(AH$1,1,2),FALSE)</f>
        <v>0</v>
      </c>
      <c r="AI290" s="55">
        <f>VLOOKUP($E290,'NI-San_SP'!$C:$AN,MID(AI$1,1,2),FALSE)</f>
        <v>0</v>
      </c>
      <c r="AJ290" s="55">
        <f>VLOOKUP($E290,'NI-San_SP'!$C:$AN,MID(AJ$1,1,2),FALSE)</f>
        <v>0</v>
      </c>
      <c r="AK290" s="55">
        <f>VLOOKUP($E290,'NI-San_SP'!$C:$AN,MID(AK$1,1,2),FALSE)</f>
        <v>0</v>
      </c>
      <c r="AL290" s="55">
        <f>VLOOKUP($E290,'NI-San_SP'!$C:$AN,MID(AL$1,1,2),FALSE)</f>
        <v>0</v>
      </c>
      <c r="AM290" s="56">
        <f>VLOOKUP($E290,'NI-San_SP'!$C:$AN,MID(AM$1,1,2),FALSE)</f>
        <v>0</v>
      </c>
      <c r="AN290" s="30" t="str">
        <f t="shared" si="4"/>
        <v>10301030000000</v>
      </c>
    </row>
    <row r="291" spans="3:40" x14ac:dyDescent="0.25">
      <c r="C291" s="40"/>
      <c r="D291" s="57" t="s">
        <v>1083</v>
      </c>
      <c r="E291" s="57" t="s">
        <v>1084</v>
      </c>
      <c r="F291" s="58" t="s">
        <v>110</v>
      </c>
      <c r="G291" s="52"/>
      <c r="H291" s="52"/>
      <c r="I291" s="52" t="s">
        <v>1085</v>
      </c>
      <c r="J291" s="52" t="s">
        <v>1085</v>
      </c>
      <c r="K291" s="59" t="s">
        <v>79</v>
      </c>
      <c r="L291" s="52"/>
      <c r="M291" s="52"/>
      <c r="N291" s="52"/>
      <c r="O291" s="61" t="s">
        <v>1086</v>
      </c>
      <c r="P291" s="64" t="s">
        <v>1087</v>
      </c>
      <c r="Q291" s="55">
        <f>VLOOKUP(E291,'NI-San_SP'!$C:$AN,12,FALSE)</f>
        <v>0</v>
      </c>
      <c r="R291" s="55">
        <f>VLOOKUP(E291,'NI-San_SP'!$C:$AN,13,FALSE)</f>
        <v>0</v>
      </c>
      <c r="S291" s="55">
        <f>VLOOKUP(E291,'NI-San_SP'!$C:$AN,31,FALSE)</f>
        <v>0</v>
      </c>
      <c r="T291" s="55">
        <f>VLOOKUP(E291,'NI-San_SP'!$C:$AN,32,FALSE)+VLOOKUP(E291,'NI-San_SP'!$C:$AN,33,FALSE)</f>
        <v>0</v>
      </c>
      <c r="U291" s="55">
        <f>VLOOKUP($E291,'NI-San_SP'!$C:$AN,MID(U$1,1,2),FALSE)</f>
        <v>0</v>
      </c>
      <c r="V291" s="55">
        <f>VLOOKUP($E291,'NI-San_SP'!$C:$AN,MID(V$1,1,2),FALSE)</f>
        <v>0</v>
      </c>
      <c r="W291" s="55">
        <f>VLOOKUP($E291,'NI-San_SP'!$C:$AN,MID(W$1,1,2),FALSE)</f>
        <v>0</v>
      </c>
      <c r="X291" s="55">
        <f>VLOOKUP($E291,'NI-San_SP'!$C:$AN,MID(X$1,1,2),FALSE)</f>
        <v>0</v>
      </c>
      <c r="Y291" s="55">
        <f>VLOOKUP($E291,'NI-San_SP'!$C:$AN,MID(Y$1,1,2),FALSE)</f>
        <v>0</v>
      </c>
      <c r="Z291" s="55">
        <f>VLOOKUP($E291,'NI-San_SP'!$C:$AN,MID(Z$1,1,2),FALSE)</f>
        <v>0</v>
      </c>
      <c r="AA291" s="55">
        <f>VLOOKUP($E291,'NI-San_SP'!$C:$AN,MID(AA$1,1,2),FALSE)</f>
        <v>0</v>
      </c>
      <c r="AB291" s="55">
        <f>VLOOKUP($E291,'NI-San_SP'!$C:$AN,MID(AB$1,1,2),FALSE)</f>
        <v>0</v>
      </c>
      <c r="AC291" s="55">
        <f>VLOOKUP($E291,'NI-San_SP'!$C:$AN,MID(AC$1,1,2),FALSE)</f>
        <v>0</v>
      </c>
      <c r="AD291" s="55">
        <f>VLOOKUP($E291,'NI-San_SP'!$C:$AN,MID(AD$1,1,2),FALSE)</f>
        <v>0</v>
      </c>
      <c r="AE291" s="55">
        <f>VLOOKUP($E291,'NI-San_SP'!$C:$AN,MID(AE$1,1,2),FALSE)</f>
        <v>0</v>
      </c>
      <c r="AF291" s="55">
        <f>VLOOKUP($E291,'NI-San_SP'!$C:$AN,MID(AF$1,1,2),FALSE)</f>
        <v>0</v>
      </c>
      <c r="AG291" s="55">
        <f>VLOOKUP($E291,'NI-San_SP'!$C:$AN,MID(AG$1,1,2),FALSE)</f>
        <v>0</v>
      </c>
      <c r="AH291" s="55">
        <f>VLOOKUP($E291,'NI-San_SP'!$C:$AN,MID(AH$1,1,2),FALSE)</f>
        <v>0</v>
      </c>
      <c r="AI291" s="55">
        <f>VLOOKUP($E291,'NI-San_SP'!$C:$AN,MID(AI$1,1,2),FALSE)</f>
        <v>0</v>
      </c>
      <c r="AJ291" s="55">
        <f>VLOOKUP($E291,'NI-San_SP'!$C:$AN,MID(AJ$1,1,2),FALSE)</f>
        <v>0</v>
      </c>
      <c r="AK291" s="55">
        <f>VLOOKUP($E291,'NI-San_SP'!$C:$AN,MID(AK$1,1,2),FALSE)</f>
        <v>0</v>
      </c>
      <c r="AL291" s="55">
        <f>VLOOKUP($E291,'NI-San_SP'!$C:$AN,MID(AL$1,1,2),FALSE)</f>
        <v>0</v>
      </c>
      <c r="AM291" s="56">
        <f>VLOOKUP($E291,'NI-San_SP'!$C:$AN,MID(AM$1,1,2),FALSE)</f>
        <v>0</v>
      </c>
      <c r="AN291" s="30" t="str">
        <f t="shared" si="4"/>
        <v>10301040000000</v>
      </c>
    </row>
    <row r="292" spans="3:40" x14ac:dyDescent="0.25">
      <c r="C292" s="40"/>
      <c r="D292" s="57" t="s">
        <v>1088</v>
      </c>
      <c r="E292" s="57" t="s">
        <v>1089</v>
      </c>
      <c r="F292" s="58" t="s">
        <v>110</v>
      </c>
      <c r="G292" s="52"/>
      <c r="H292" s="52"/>
      <c r="I292" s="52"/>
      <c r="J292" s="52"/>
      <c r="K292" s="59" t="s">
        <v>111</v>
      </c>
      <c r="L292" s="62" t="s">
        <v>1090</v>
      </c>
      <c r="M292" s="52"/>
      <c r="N292" s="52"/>
      <c r="O292" s="52"/>
      <c r="P292" s="54" t="s">
        <v>1091</v>
      </c>
      <c r="Q292" s="55">
        <f>VLOOKUP(E292,'NI-San_SP'!$C:$AN,12,FALSE)</f>
        <v>0</v>
      </c>
      <c r="R292" s="55">
        <f>VLOOKUP(E292,'NI-San_SP'!$C:$AN,13,FALSE)</f>
        <v>0</v>
      </c>
      <c r="S292" s="55"/>
      <c r="T292" s="55"/>
      <c r="U292" s="55">
        <f>VLOOKUP($E292,'NI-San_SP'!$C:$AN,MID(U$1,1,2),FALSE)</f>
        <v>0</v>
      </c>
      <c r="V292" s="55">
        <f>VLOOKUP($E292,'NI-San_SP'!$C:$AN,MID(V$1,1,2),FALSE)</f>
        <v>0</v>
      </c>
      <c r="W292" s="55">
        <f>VLOOKUP($E292,'NI-San_SP'!$C:$AN,MID(W$1,1,2),FALSE)</f>
        <v>0</v>
      </c>
      <c r="X292" s="55">
        <f>VLOOKUP($E292,'NI-San_SP'!$C:$AN,MID(X$1,1,2),FALSE)</f>
        <v>0</v>
      </c>
      <c r="Y292" s="55">
        <f>VLOOKUP($E292,'NI-San_SP'!$C:$AN,MID(Y$1,1,2),FALSE)</f>
        <v>0</v>
      </c>
      <c r="Z292" s="55">
        <f>VLOOKUP($E292,'NI-San_SP'!$C:$AN,MID(Z$1,1,2),FALSE)</f>
        <v>0</v>
      </c>
      <c r="AA292" s="55">
        <f>VLOOKUP($E292,'NI-San_SP'!$C:$AN,MID(AA$1,1,2),FALSE)</f>
        <v>0</v>
      </c>
      <c r="AB292" s="55">
        <f>VLOOKUP($E292,'NI-San_SP'!$C:$AN,MID(AB$1,1,2),FALSE)</f>
        <v>0</v>
      </c>
      <c r="AC292" s="55">
        <f>VLOOKUP($E292,'NI-San_SP'!$C:$AN,MID(AC$1,1,2),FALSE)</f>
        <v>0</v>
      </c>
      <c r="AD292" s="55">
        <f>VLOOKUP($E292,'NI-San_SP'!$C:$AN,MID(AD$1,1,2),FALSE)</f>
        <v>0</v>
      </c>
      <c r="AE292" s="55">
        <f>VLOOKUP($E292,'NI-San_SP'!$C:$AN,MID(AE$1,1,2),FALSE)</f>
        <v>0</v>
      </c>
      <c r="AF292" s="55">
        <f>VLOOKUP($E292,'NI-San_SP'!$C:$AN,MID(AF$1,1,2),FALSE)</f>
        <v>0</v>
      </c>
      <c r="AG292" s="55">
        <f>VLOOKUP($E292,'NI-San_SP'!$C:$AN,MID(AG$1,1,2),FALSE)</f>
        <v>0</v>
      </c>
      <c r="AH292" s="55">
        <f>VLOOKUP($E292,'NI-San_SP'!$C:$AN,MID(AH$1,1,2),FALSE)</f>
        <v>0</v>
      </c>
      <c r="AI292" s="55">
        <f>VLOOKUP($E292,'NI-San_SP'!$C:$AN,MID(AI$1,1,2),FALSE)</f>
        <v>0</v>
      </c>
      <c r="AJ292" s="55">
        <f>VLOOKUP($E292,'NI-San_SP'!$C:$AN,MID(AJ$1,1,2),FALSE)</f>
        <v>0</v>
      </c>
      <c r="AK292" s="55">
        <f>VLOOKUP($E292,'NI-San_SP'!$C:$AN,MID(AK$1,1,2),FALSE)</f>
        <v>0</v>
      </c>
      <c r="AL292" s="55">
        <f>VLOOKUP($E292,'NI-San_SP'!$C:$AN,MID(AL$1,1,2),FALSE)</f>
        <v>0</v>
      </c>
      <c r="AM292" s="56">
        <f>VLOOKUP($E292,'NI-San_SP'!$C:$AN,MID(AM$1,1,2),FALSE)</f>
        <v>0</v>
      </c>
      <c r="AN292" s="30" t="str">
        <f t="shared" si="4"/>
        <v>10302000000000</v>
      </c>
    </row>
    <row r="293" spans="3:40" x14ac:dyDescent="0.25">
      <c r="C293" s="40"/>
      <c r="D293" s="57" t="s">
        <v>1092</v>
      </c>
      <c r="E293" s="57" t="s">
        <v>1093</v>
      </c>
      <c r="F293" s="58" t="s">
        <v>110</v>
      </c>
      <c r="G293" s="52"/>
      <c r="H293" s="52"/>
      <c r="I293" s="52" t="s">
        <v>1094</v>
      </c>
      <c r="J293" s="52" t="s">
        <v>1094</v>
      </c>
      <c r="K293" s="59" t="s">
        <v>111</v>
      </c>
      <c r="L293" s="52"/>
      <c r="M293" s="52"/>
      <c r="N293" s="52"/>
      <c r="O293" s="61" t="s">
        <v>1095</v>
      </c>
      <c r="P293" s="54" t="s">
        <v>1096</v>
      </c>
      <c r="Q293" s="55">
        <f>VLOOKUP(E293,'NI-San_SP'!$C:$AN,12,FALSE)</f>
        <v>0</v>
      </c>
      <c r="R293" s="55">
        <f>VLOOKUP(E293,'NI-San_SP'!$C:$AN,13,FALSE)</f>
        <v>0</v>
      </c>
      <c r="S293" s="55"/>
      <c r="T293" s="55"/>
      <c r="U293" s="55">
        <f>VLOOKUP($E293,'NI-San_SP'!$C:$AN,MID(U$1,1,2),FALSE)</f>
        <v>0</v>
      </c>
      <c r="V293" s="55">
        <f>VLOOKUP($E293,'NI-San_SP'!$C:$AN,MID(V$1,1,2),FALSE)</f>
        <v>0</v>
      </c>
      <c r="W293" s="55">
        <f>VLOOKUP($E293,'NI-San_SP'!$C:$AN,MID(W$1,1,2),FALSE)</f>
        <v>0</v>
      </c>
      <c r="X293" s="55">
        <f>VLOOKUP($E293,'NI-San_SP'!$C:$AN,MID(X$1,1,2),FALSE)</f>
        <v>0</v>
      </c>
      <c r="Y293" s="55">
        <f>VLOOKUP($E293,'NI-San_SP'!$C:$AN,MID(Y$1,1,2),FALSE)</f>
        <v>0</v>
      </c>
      <c r="Z293" s="55">
        <f>VLOOKUP($E293,'NI-San_SP'!$C:$AN,MID(Z$1,1,2),FALSE)</f>
        <v>0</v>
      </c>
      <c r="AA293" s="55">
        <f>VLOOKUP($E293,'NI-San_SP'!$C:$AN,MID(AA$1,1,2),FALSE)</f>
        <v>0</v>
      </c>
      <c r="AB293" s="55">
        <f>VLOOKUP($E293,'NI-San_SP'!$C:$AN,MID(AB$1,1,2),FALSE)</f>
        <v>0</v>
      </c>
      <c r="AC293" s="55">
        <f>VLOOKUP($E293,'NI-San_SP'!$C:$AN,MID(AC$1,1,2),FALSE)</f>
        <v>0</v>
      </c>
      <c r="AD293" s="55">
        <f>VLOOKUP($E293,'NI-San_SP'!$C:$AN,MID(AD$1,1,2),FALSE)</f>
        <v>0</v>
      </c>
      <c r="AE293" s="55">
        <f>VLOOKUP($E293,'NI-San_SP'!$C:$AN,MID(AE$1,1,2),FALSE)</f>
        <v>0</v>
      </c>
      <c r="AF293" s="55">
        <f>VLOOKUP($E293,'NI-San_SP'!$C:$AN,MID(AF$1,1,2),FALSE)</f>
        <v>0</v>
      </c>
      <c r="AG293" s="55">
        <f>VLOOKUP($E293,'NI-San_SP'!$C:$AN,MID(AG$1,1,2),FALSE)</f>
        <v>0</v>
      </c>
      <c r="AH293" s="55">
        <f>VLOOKUP($E293,'NI-San_SP'!$C:$AN,MID(AH$1,1,2),FALSE)</f>
        <v>0</v>
      </c>
      <c r="AI293" s="55">
        <f>VLOOKUP($E293,'NI-San_SP'!$C:$AN,MID(AI$1,1,2),FALSE)</f>
        <v>0</v>
      </c>
      <c r="AJ293" s="55">
        <f>VLOOKUP($E293,'NI-San_SP'!$C:$AN,MID(AJ$1,1,2),FALSE)</f>
        <v>0</v>
      </c>
      <c r="AK293" s="55">
        <f>VLOOKUP($E293,'NI-San_SP'!$C:$AN,MID(AK$1,1,2),FALSE)</f>
        <v>0</v>
      </c>
      <c r="AL293" s="55">
        <f>VLOOKUP($E293,'NI-San_SP'!$C:$AN,MID(AL$1,1,2),FALSE)</f>
        <v>0</v>
      </c>
      <c r="AM293" s="56">
        <f>VLOOKUP($E293,'NI-San_SP'!$C:$AN,MID(AM$1,1,2),FALSE)</f>
        <v>0</v>
      </c>
      <c r="AN293" s="30" t="str">
        <f t="shared" si="4"/>
        <v>10302010000000</v>
      </c>
    </row>
    <row r="294" spans="3:40" x14ac:dyDescent="0.25">
      <c r="C294" s="40"/>
      <c r="D294" s="57" t="s">
        <v>1097</v>
      </c>
      <c r="E294" s="57" t="s">
        <v>1098</v>
      </c>
      <c r="F294" s="58" t="s">
        <v>110</v>
      </c>
      <c r="G294" s="52"/>
      <c r="H294" s="52"/>
      <c r="I294" s="52"/>
      <c r="J294" s="52"/>
      <c r="K294" s="59" t="s">
        <v>79</v>
      </c>
      <c r="L294" s="52"/>
      <c r="M294" s="52"/>
      <c r="N294" s="52"/>
      <c r="O294" s="61"/>
      <c r="P294" s="63" t="s">
        <v>1099</v>
      </c>
      <c r="Q294" s="55">
        <f>VLOOKUP(E294,'NI-San_SP'!$C:$AN,12,FALSE)</f>
        <v>0</v>
      </c>
      <c r="R294" s="55">
        <f>VLOOKUP(E294,'NI-San_SP'!$C:$AN,13,FALSE)</f>
        <v>0</v>
      </c>
      <c r="S294" s="55"/>
      <c r="T294" s="55"/>
      <c r="U294" s="55">
        <f>VLOOKUP($E294,'NI-San_SP'!$C:$AN,MID(U$1,1,2),FALSE)</f>
        <v>0</v>
      </c>
      <c r="V294" s="55">
        <f>VLOOKUP($E294,'NI-San_SP'!$C:$AN,MID(V$1,1,2),FALSE)</f>
        <v>0</v>
      </c>
      <c r="W294" s="55">
        <f>VLOOKUP($E294,'NI-San_SP'!$C:$AN,MID(W$1,1,2),FALSE)</f>
        <v>0</v>
      </c>
      <c r="X294" s="55">
        <f>VLOOKUP($E294,'NI-San_SP'!$C:$AN,MID(X$1,1,2),FALSE)</f>
        <v>0</v>
      </c>
      <c r="Y294" s="55">
        <f>VLOOKUP($E294,'NI-San_SP'!$C:$AN,MID(Y$1,1,2),FALSE)</f>
        <v>0</v>
      </c>
      <c r="Z294" s="55">
        <f>VLOOKUP($E294,'NI-San_SP'!$C:$AN,MID(Z$1,1,2),FALSE)</f>
        <v>0</v>
      </c>
      <c r="AA294" s="55">
        <f>VLOOKUP($E294,'NI-San_SP'!$C:$AN,MID(AA$1,1,2),FALSE)</f>
        <v>0</v>
      </c>
      <c r="AB294" s="55">
        <f>VLOOKUP($E294,'NI-San_SP'!$C:$AN,MID(AB$1,1,2),FALSE)</f>
        <v>0</v>
      </c>
      <c r="AC294" s="55">
        <f>VLOOKUP($E294,'NI-San_SP'!$C:$AN,MID(AC$1,1,2),FALSE)</f>
        <v>0</v>
      </c>
      <c r="AD294" s="55">
        <f>VLOOKUP($E294,'NI-San_SP'!$C:$AN,MID(AD$1,1,2),FALSE)</f>
        <v>0</v>
      </c>
      <c r="AE294" s="55">
        <f>VLOOKUP($E294,'NI-San_SP'!$C:$AN,MID(AE$1,1,2),FALSE)</f>
        <v>0</v>
      </c>
      <c r="AF294" s="55">
        <f>VLOOKUP($E294,'NI-San_SP'!$C:$AN,MID(AF$1,1,2),FALSE)</f>
        <v>0</v>
      </c>
      <c r="AG294" s="55">
        <f>VLOOKUP($E294,'NI-San_SP'!$C:$AN,MID(AG$1,1,2),FALSE)</f>
        <v>0</v>
      </c>
      <c r="AH294" s="55">
        <f>VLOOKUP($E294,'NI-San_SP'!$C:$AN,MID(AH$1,1,2),FALSE)</f>
        <v>0</v>
      </c>
      <c r="AI294" s="55" t="str">
        <f>VLOOKUP($E294,'NI-San_SP'!$C:$AN,MID(AI$1,1,2),FALSE)</f>
        <v>OK</v>
      </c>
      <c r="AJ294" s="55">
        <f>VLOOKUP($E294,'NI-San_SP'!$C:$AN,MID(AJ$1,1,2),FALSE)</f>
        <v>0</v>
      </c>
      <c r="AK294" s="55">
        <f>VLOOKUP($E294,'NI-San_SP'!$C:$AN,MID(AK$1,1,2),FALSE)</f>
        <v>0</v>
      </c>
      <c r="AL294" s="55">
        <f>VLOOKUP($E294,'NI-San_SP'!$C:$AN,MID(AL$1,1,2),FALSE)</f>
        <v>0</v>
      </c>
      <c r="AM294" s="56">
        <f>VLOOKUP($E294,'NI-San_SP'!$C:$AN,MID(AM$1,1,2),FALSE)</f>
        <v>0</v>
      </c>
      <c r="AN294" s="30" t="str">
        <f t="shared" si="4"/>
        <v>10302010010000</v>
      </c>
    </row>
    <row r="295" spans="3:40" x14ac:dyDescent="0.25">
      <c r="C295" s="40"/>
      <c r="D295" s="57" t="s">
        <v>1100</v>
      </c>
      <c r="E295" s="57" t="s">
        <v>1101</v>
      </c>
      <c r="F295" s="58" t="s">
        <v>110</v>
      </c>
      <c r="G295" s="52"/>
      <c r="H295" s="52"/>
      <c r="I295" s="52"/>
      <c r="J295" s="52"/>
      <c r="K295" s="59" t="s">
        <v>79</v>
      </c>
      <c r="L295" s="52"/>
      <c r="M295" s="52"/>
      <c r="N295" s="52"/>
      <c r="O295" s="61"/>
      <c r="P295" s="63" t="s">
        <v>1102</v>
      </c>
      <c r="Q295" s="55">
        <f>VLOOKUP(E295,'NI-San_SP'!$C:$AN,12,FALSE)</f>
        <v>0</v>
      </c>
      <c r="R295" s="55">
        <f>VLOOKUP(E295,'NI-San_SP'!$C:$AN,13,FALSE)</f>
        <v>0</v>
      </c>
      <c r="S295" s="55"/>
      <c r="T295" s="55"/>
      <c r="U295" s="55">
        <f>VLOOKUP($E295,'NI-San_SP'!$C:$AN,MID(U$1,1,2),FALSE)</f>
        <v>0</v>
      </c>
      <c r="V295" s="55">
        <f>VLOOKUP($E295,'NI-San_SP'!$C:$AN,MID(V$1,1,2),FALSE)</f>
        <v>0</v>
      </c>
      <c r="W295" s="55">
        <f>VLOOKUP($E295,'NI-San_SP'!$C:$AN,MID(W$1,1,2),FALSE)</f>
        <v>0</v>
      </c>
      <c r="X295" s="55">
        <f>VLOOKUP($E295,'NI-San_SP'!$C:$AN,MID(X$1,1,2),FALSE)</f>
        <v>0</v>
      </c>
      <c r="Y295" s="55">
        <f>VLOOKUP($E295,'NI-San_SP'!$C:$AN,MID(Y$1,1,2),FALSE)</f>
        <v>0</v>
      </c>
      <c r="Z295" s="55">
        <f>VLOOKUP($E295,'NI-San_SP'!$C:$AN,MID(Z$1,1,2),FALSE)</f>
        <v>0</v>
      </c>
      <c r="AA295" s="55">
        <f>VLOOKUP($E295,'NI-San_SP'!$C:$AN,MID(AA$1,1,2),FALSE)</f>
        <v>0</v>
      </c>
      <c r="AB295" s="55">
        <f>VLOOKUP($E295,'NI-San_SP'!$C:$AN,MID(AB$1,1,2),FALSE)</f>
        <v>0</v>
      </c>
      <c r="AC295" s="55">
        <f>VLOOKUP($E295,'NI-San_SP'!$C:$AN,MID(AC$1,1,2),FALSE)</f>
        <v>0</v>
      </c>
      <c r="AD295" s="55">
        <f>VLOOKUP($E295,'NI-San_SP'!$C:$AN,MID(AD$1,1,2),FALSE)</f>
        <v>0</v>
      </c>
      <c r="AE295" s="55">
        <f>VLOOKUP($E295,'NI-San_SP'!$C:$AN,MID(AE$1,1,2),FALSE)</f>
        <v>0</v>
      </c>
      <c r="AF295" s="55">
        <f>VLOOKUP($E295,'NI-San_SP'!$C:$AN,MID(AF$1,1,2),FALSE)</f>
        <v>0</v>
      </c>
      <c r="AG295" s="55">
        <f>VLOOKUP($E295,'NI-San_SP'!$C:$AN,MID(AG$1,1,2),FALSE)</f>
        <v>0</v>
      </c>
      <c r="AH295" s="55">
        <f>VLOOKUP($E295,'NI-San_SP'!$C:$AN,MID(AH$1,1,2),FALSE)</f>
        <v>0</v>
      </c>
      <c r="AI295" s="55" t="str">
        <f>VLOOKUP($E295,'NI-San_SP'!$C:$AN,MID(AI$1,1,2),FALSE)</f>
        <v>OK</v>
      </c>
      <c r="AJ295" s="55">
        <f>VLOOKUP($E295,'NI-San_SP'!$C:$AN,MID(AJ$1,1,2),FALSE)</f>
        <v>0</v>
      </c>
      <c r="AK295" s="55">
        <f>VLOOKUP($E295,'NI-San_SP'!$C:$AN,MID(AK$1,1,2),FALSE)</f>
        <v>0</v>
      </c>
      <c r="AL295" s="55">
        <f>VLOOKUP($E295,'NI-San_SP'!$C:$AN,MID(AL$1,1,2),FALSE)</f>
        <v>0</v>
      </c>
      <c r="AM295" s="56">
        <f>VLOOKUP($E295,'NI-San_SP'!$C:$AN,MID(AM$1,1,2),FALSE)</f>
        <v>0</v>
      </c>
      <c r="AN295" s="30" t="str">
        <f t="shared" si="4"/>
        <v>10302010020000</v>
      </c>
    </row>
    <row r="296" spans="3:40" x14ac:dyDescent="0.25">
      <c r="C296" s="40"/>
      <c r="D296" s="57" t="s">
        <v>1103</v>
      </c>
      <c r="E296" s="57" t="s">
        <v>1104</v>
      </c>
      <c r="F296" s="58" t="s">
        <v>110</v>
      </c>
      <c r="G296" s="52"/>
      <c r="H296" s="52"/>
      <c r="I296" s="52"/>
      <c r="J296" s="52"/>
      <c r="K296" s="59" t="s">
        <v>79</v>
      </c>
      <c r="L296" s="52"/>
      <c r="M296" s="52"/>
      <c r="N296" s="52"/>
      <c r="O296" s="52"/>
      <c r="P296" s="63" t="s">
        <v>1105</v>
      </c>
      <c r="Q296" s="55">
        <f>VLOOKUP(E296,'NI-San_SP'!$C:$AN,12,FALSE)</f>
        <v>0</v>
      </c>
      <c r="R296" s="55">
        <f>VLOOKUP(E296,'NI-San_SP'!$C:$AN,13,FALSE)</f>
        <v>0</v>
      </c>
      <c r="S296" s="55"/>
      <c r="T296" s="55"/>
      <c r="U296" s="55">
        <f>VLOOKUP($E296,'NI-San_SP'!$C:$AN,MID(U$1,1,2),FALSE)</f>
        <v>0</v>
      </c>
      <c r="V296" s="55">
        <f>VLOOKUP($E296,'NI-San_SP'!$C:$AN,MID(V$1,1,2),FALSE)</f>
        <v>0</v>
      </c>
      <c r="W296" s="55">
        <f>VLOOKUP($E296,'NI-San_SP'!$C:$AN,MID(W$1,1,2),FALSE)</f>
        <v>0</v>
      </c>
      <c r="X296" s="55">
        <f>VLOOKUP($E296,'NI-San_SP'!$C:$AN,MID(X$1,1,2),FALSE)</f>
        <v>0</v>
      </c>
      <c r="Y296" s="55">
        <f>VLOOKUP($E296,'NI-San_SP'!$C:$AN,MID(Y$1,1,2),FALSE)</f>
        <v>0</v>
      </c>
      <c r="Z296" s="55">
        <f>VLOOKUP($E296,'NI-San_SP'!$C:$AN,MID(Z$1,1,2),FALSE)</f>
        <v>0</v>
      </c>
      <c r="AA296" s="55">
        <f>VLOOKUP($E296,'NI-San_SP'!$C:$AN,MID(AA$1,1,2),FALSE)</f>
        <v>0</v>
      </c>
      <c r="AB296" s="55">
        <f>VLOOKUP($E296,'NI-San_SP'!$C:$AN,MID(AB$1,1,2),FALSE)</f>
        <v>0</v>
      </c>
      <c r="AC296" s="55">
        <f>VLOOKUP($E296,'NI-San_SP'!$C:$AN,MID(AC$1,1,2),FALSE)</f>
        <v>0</v>
      </c>
      <c r="AD296" s="55">
        <f>VLOOKUP($E296,'NI-San_SP'!$C:$AN,MID(AD$1,1,2),FALSE)</f>
        <v>0</v>
      </c>
      <c r="AE296" s="55">
        <f>VLOOKUP($E296,'NI-San_SP'!$C:$AN,MID(AE$1,1,2),FALSE)</f>
        <v>0</v>
      </c>
      <c r="AF296" s="55">
        <f>VLOOKUP($E296,'NI-San_SP'!$C:$AN,MID(AF$1,1,2),FALSE)</f>
        <v>0</v>
      </c>
      <c r="AG296" s="55">
        <f>VLOOKUP($E296,'NI-San_SP'!$C:$AN,MID(AG$1,1,2),FALSE)</f>
        <v>0</v>
      </c>
      <c r="AH296" s="55">
        <f>VLOOKUP($E296,'NI-San_SP'!$C:$AN,MID(AH$1,1,2),FALSE)</f>
        <v>0</v>
      </c>
      <c r="AI296" s="55" t="str">
        <f>VLOOKUP($E296,'NI-San_SP'!$C:$AN,MID(AI$1,1,2),FALSE)</f>
        <v>OK</v>
      </c>
      <c r="AJ296" s="55">
        <f>VLOOKUP($E296,'NI-San_SP'!$C:$AN,MID(AJ$1,1,2),FALSE)</f>
        <v>0</v>
      </c>
      <c r="AK296" s="55">
        <f>VLOOKUP($E296,'NI-San_SP'!$C:$AN,MID(AK$1,1,2),FALSE)</f>
        <v>0</v>
      </c>
      <c r="AL296" s="55">
        <f>VLOOKUP($E296,'NI-San_SP'!$C:$AN,MID(AL$1,1,2),FALSE)</f>
        <v>0</v>
      </c>
      <c r="AM296" s="56">
        <f>VLOOKUP($E296,'NI-San_SP'!$C:$AN,MID(AM$1,1,2),FALSE)</f>
        <v>0</v>
      </c>
      <c r="AN296" s="30" t="str">
        <f t="shared" si="4"/>
        <v>10302010030000</v>
      </c>
    </row>
    <row r="297" spans="3:40" x14ac:dyDescent="0.25">
      <c r="C297" s="40"/>
      <c r="D297" s="57" t="s">
        <v>1106</v>
      </c>
      <c r="E297" s="57" t="s">
        <v>1107</v>
      </c>
      <c r="F297" s="58" t="s">
        <v>110</v>
      </c>
      <c r="G297" s="52"/>
      <c r="H297" s="52"/>
      <c r="I297" s="52"/>
      <c r="J297" s="52"/>
      <c r="K297" s="59" t="s">
        <v>111</v>
      </c>
      <c r="L297" s="52"/>
      <c r="M297" s="52"/>
      <c r="N297" s="52"/>
      <c r="O297" s="61" t="s">
        <v>1108</v>
      </c>
      <c r="P297" s="54" t="s">
        <v>1109</v>
      </c>
      <c r="Q297" s="55">
        <f>VLOOKUP(E297,'NI-San_SP'!$C:$AN,12,FALSE)</f>
        <v>0</v>
      </c>
      <c r="R297" s="55">
        <f>VLOOKUP(E297,'NI-San_SP'!$C:$AN,13,FALSE)</f>
        <v>0</v>
      </c>
      <c r="S297" s="55"/>
      <c r="T297" s="55"/>
      <c r="U297" s="55">
        <f>VLOOKUP($E297,'NI-San_SP'!$C:$AN,MID(U$1,1,2),FALSE)</f>
        <v>0</v>
      </c>
      <c r="V297" s="55">
        <f>VLOOKUP($E297,'NI-San_SP'!$C:$AN,MID(V$1,1,2),FALSE)</f>
        <v>0</v>
      </c>
      <c r="W297" s="55">
        <f>VLOOKUP($E297,'NI-San_SP'!$C:$AN,MID(W$1,1,2),FALSE)</f>
        <v>0</v>
      </c>
      <c r="X297" s="55">
        <f>VLOOKUP($E297,'NI-San_SP'!$C:$AN,MID(X$1,1,2),FALSE)</f>
        <v>0</v>
      </c>
      <c r="Y297" s="55">
        <f>VLOOKUP($E297,'NI-San_SP'!$C:$AN,MID(Y$1,1,2),FALSE)</f>
        <v>0</v>
      </c>
      <c r="Z297" s="55">
        <f>VLOOKUP($E297,'NI-San_SP'!$C:$AN,MID(Z$1,1,2),FALSE)</f>
        <v>0</v>
      </c>
      <c r="AA297" s="55">
        <f>VLOOKUP($E297,'NI-San_SP'!$C:$AN,MID(AA$1,1,2),FALSE)</f>
        <v>0</v>
      </c>
      <c r="AB297" s="55">
        <f>VLOOKUP($E297,'NI-San_SP'!$C:$AN,MID(AB$1,1,2),FALSE)</f>
        <v>0</v>
      </c>
      <c r="AC297" s="55">
        <f>VLOOKUP($E297,'NI-San_SP'!$C:$AN,MID(AC$1,1,2),FALSE)</f>
        <v>0</v>
      </c>
      <c r="AD297" s="55">
        <f>VLOOKUP($E297,'NI-San_SP'!$C:$AN,MID(AD$1,1,2),FALSE)</f>
        <v>0</v>
      </c>
      <c r="AE297" s="55">
        <f>VLOOKUP($E297,'NI-San_SP'!$C:$AN,MID(AE$1,1,2),FALSE)</f>
        <v>0</v>
      </c>
      <c r="AF297" s="55">
        <f>VLOOKUP($E297,'NI-San_SP'!$C:$AN,MID(AF$1,1,2),FALSE)</f>
        <v>0</v>
      </c>
      <c r="AG297" s="55">
        <f>VLOOKUP($E297,'NI-San_SP'!$C:$AN,MID(AG$1,1,2),FALSE)</f>
        <v>0</v>
      </c>
      <c r="AH297" s="55">
        <f>VLOOKUP($E297,'NI-San_SP'!$C:$AN,MID(AH$1,1,2),FALSE)</f>
        <v>0</v>
      </c>
      <c r="AI297" s="55">
        <f>VLOOKUP($E297,'NI-San_SP'!$C:$AN,MID(AI$1,1,2),FALSE)</f>
        <v>0</v>
      </c>
      <c r="AJ297" s="55">
        <f>VLOOKUP($E297,'NI-San_SP'!$C:$AN,MID(AJ$1,1,2),FALSE)</f>
        <v>0</v>
      </c>
      <c r="AK297" s="55">
        <f>VLOOKUP($E297,'NI-San_SP'!$C:$AN,MID(AK$1,1,2),FALSE)</f>
        <v>0</v>
      </c>
      <c r="AL297" s="55">
        <f>VLOOKUP($E297,'NI-San_SP'!$C:$AN,MID(AL$1,1,2),FALSE)</f>
        <v>0</v>
      </c>
      <c r="AM297" s="56">
        <f>VLOOKUP($E297,'NI-San_SP'!$C:$AN,MID(AM$1,1,2),FALSE)</f>
        <v>0</v>
      </c>
      <c r="AN297" s="30" t="str">
        <f t="shared" si="4"/>
        <v>10302020000000</v>
      </c>
    </row>
    <row r="298" spans="3:40" x14ac:dyDescent="0.25">
      <c r="C298" s="40"/>
      <c r="D298" s="57" t="s">
        <v>1110</v>
      </c>
      <c r="E298" s="57" t="s">
        <v>1111</v>
      </c>
      <c r="F298" s="58" t="s">
        <v>110</v>
      </c>
      <c r="G298" s="52"/>
      <c r="H298" s="52"/>
      <c r="I298" s="52" t="s">
        <v>1112</v>
      </c>
      <c r="J298" s="52" t="s">
        <v>1112</v>
      </c>
      <c r="K298" s="59" t="s">
        <v>79</v>
      </c>
      <c r="L298" s="52"/>
      <c r="M298" s="52"/>
      <c r="N298" s="52"/>
      <c r="O298" s="52"/>
      <c r="P298" s="63" t="s">
        <v>1113</v>
      </c>
      <c r="Q298" s="55">
        <f>VLOOKUP(E298,'NI-San_SP'!$C:$AN,12,FALSE)</f>
        <v>0</v>
      </c>
      <c r="R298" s="55">
        <f>VLOOKUP(E298,'NI-San_SP'!$C:$AN,13,FALSE)</f>
        <v>0</v>
      </c>
      <c r="S298" s="55"/>
      <c r="T298" s="55"/>
      <c r="U298" s="55">
        <f>VLOOKUP($E298,'NI-San_SP'!$C:$AN,MID(U$1,1,2),FALSE)</f>
        <v>0</v>
      </c>
      <c r="V298" s="55">
        <f>VLOOKUP($E298,'NI-San_SP'!$C:$AN,MID(V$1,1,2),FALSE)</f>
        <v>0</v>
      </c>
      <c r="W298" s="55">
        <f>VLOOKUP($E298,'NI-San_SP'!$C:$AN,MID(W$1,1,2),FALSE)</f>
        <v>0</v>
      </c>
      <c r="X298" s="55">
        <f>VLOOKUP($E298,'NI-San_SP'!$C:$AN,MID(X$1,1,2),FALSE)</f>
        <v>0</v>
      </c>
      <c r="Y298" s="55">
        <f>VLOOKUP($E298,'NI-San_SP'!$C:$AN,MID(Y$1,1,2),FALSE)</f>
        <v>0</v>
      </c>
      <c r="Z298" s="55">
        <f>VLOOKUP($E298,'NI-San_SP'!$C:$AN,MID(Z$1,1,2),FALSE)</f>
        <v>0</v>
      </c>
      <c r="AA298" s="55">
        <f>VLOOKUP($E298,'NI-San_SP'!$C:$AN,MID(AA$1,1,2),FALSE)</f>
        <v>0</v>
      </c>
      <c r="AB298" s="55">
        <f>VLOOKUP($E298,'NI-San_SP'!$C:$AN,MID(AB$1,1,2),FALSE)</f>
        <v>0</v>
      </c>
      <c r="AC298" s="55">
        <f>VLOOKUP($E298,'NI-San_SP'!$C:$AN,MID(AC$1,1,2),FALSE)</f>
        <v>0</v>
      </c>
      <c r="AD298" s="55">
        <f>VLOOKUP($E298,'NI-San_SP'!$C:$AN,MID(AD$1,1,2),FALSE)</f>
        <v>0</v>
      </c>
      <c r="AE298" s="55">
        <f>VLOOKUP($E298,'NI-San_SP'!$C:$AN,MID(AE$1,1,2),FALSE)</f>
        <v>0</v>
      </c>
      <c r="AF298" s="55">
        <f>VLOOKUP($E298,'NI-San_SP'!$C:$AN,MID(AF$1,1,2),FALSE)</f>
        <v>0</v>
      </c>
      <c r="AG298" s="55">
        <f>VLOOKUP($E298,'NI-San_SP'!$C:$AN,MID(AG$1,1,2),FALSE)</f>
        <v>0</v>
      </c>
      <c r="AH298" s="55">
        <f>VLOOKUP($E298,'NI-San_SP'!$C:$AN,MID(AH$1,1,2),FALSE)</f>
        <v>0</v>
      </c>
      <c r="AI298" s="55">
        <f>VLOOKUP($E298,'NI-San_SP'!$C:$AN,MID(AI$1,1,2),FALSE)</f>
        <v>0</v>
      </c>
      <c r="AJ298" s="55">
        <f>VLOOKUP($E298,'NI-San_SP'!$C:$AN,MID(AJ$1,1,2),FALSE)</f>
        <v>0</v>
      </c>
      <c r="AK298" s="55">
        <f>VLOOKUP($E298,'NI-San_SP'!$C:$AN,MID(AK$1,1,2),FALSE)</f>
        <v>0</v>
      </c>
      <c r="AL298" s="55">
        <f>VLOOKUP($E298,'NI-San_SP'!$C:$AN,MID(AL$1,1,2),FALSE)</f>
        <v>0</v>
      </c>
      <c r="AM298" s="56">
        <f>VLOOKUP($E298,'NI-San_SP'!$C:$AN,MID(AM$1,1,2),FALSE)</f>
        <v>0</v>
      </c>
      <c r="AN298" s="30" t="str">
        <f t="shared" si="4"/>
        <v>10302020010000</v>
      </c>
    </row>
    <row r="299" spans="3:40" x14ac:dyDescent="0.25">
      <c r="C299" s="40"/>
      <c r="D299" s="57" t="s">
        <v>1114</v>
      </c>
      <c r="E299" s="57" t="s">
        <v>1115</v>
      </c>
      <c r="F299" s="58" t="s">
        <v>110</v>
      </c>
      <c r="G299" s="52"/>
      <c r="H299" s="52"/>
      <c r="I299" s="52" t="s">
        <v>1116</v>
      </c>
      <c r="J299" s="52" t="s">
        <v>1116</v>
      </c>
      <c r="K299" s="59" t="s">
        <v>79</v>
      </c>
      <c r="L299" s="52"/>
      <c r="M299" s="52"/>
      <c r="N299" s="52"/>
      <c r="O299" s="52"/>
      <c r="P299" s="63" t="s">
        <v>1117</v>
      </c>
      <c r="Q299" s="55">
        <f>VLOOKUP(E299,'NI-San_SP'!$C:$AN,12,FALSE)</f>
        <v>0</v>
      </c>
      <c r="R299" s="55">
        <f>VLOOKUP(E299,'NI-San_SP'!$C:$AN,13,FALSE)</f>
        <v>0</v>
      </c>
      <c r="S299" s="55"/>
      <c r="T299" s="55"/>
      <c r="U299" s="55">
        <f>VLOOKUP($E299,'NI-San_SP'!$C:$AN,MID(U$1,1,2),FALSE)</f>
        <v>0</v>
      </c>
      <c r="V299" s="55">
        <f>VLOOKUP($E299,'NI-San_SP'!$C:$AN,MID(V$1,1,2),FALSE)</f>
        <v>0</v>
      </c>
      <c r="W299" s="55">
        <f>VLOOKUP($E299,'NI-San_SP'!$C:$AN,MID(W$1,1,2),FALSE)</f>
        <v>0</v>
      </c>
      <c r="X299" s="55">
        <f>VLOOKUP($E299,'NI-San_SP'!$C:$AN,MID(X$1,1,2),FALSE)</f>
        <v>0</v>
      </c>
      <c r="Y299" s="55">
        <f>VLOOKUP($E299,'NI-San_SP'!$C:$AN,MID(Y$1,1,2),FALSE)</f>
        <v>0</v>
      </c>
      <c r="Z299" s="55">
        <f>VLOOKUP($E299,'NI-San_SP'!$C:$AN,MID(Z$1,1,2),FALSE)</f>
        <v>0</v>
      </c>
      <c r="AA299" s="55">
        <f>VLOOKUP($E299,'NI-San_SP'!$C:$AN,MID(AA$1,1,2),FALSE)</f>
        <v>0</v>
      </c>
      <c r="AB299" s="55">
        <f>VLOOKUP($E299,'NI-San_SP'!$C:$AN,MID(AB$1,1,2),FALSE)</f>
        <v>0</v>
      </c>
      <c r="AC299" s="55">
        <f>VLOOKUP($E299,'NI-San_SP'!$C:$AN,MID(AC$1,1,2),FALSE)</f>
        <v>0</v>
      </c>
      <c r="AD299" s="55">
        <f>VLOOKUP($E299,'NI-San_SP'!$C:$AN,MID(AD$1,1,2),FALSE)</f>
        <v>0</v>
      </c>
      <c r="AE299" s="55">
        <f>VLOOKUP($E299,'NI-San_SP'!$C:$AN,MID(AE$1,1,2),FALSE)</f>
        <v>0</v>
      </c>
      <c r="AF299" s="55">
        <f>VLOOKUP($E299,'NI-San_SP'!$C:$AN,MID(AF$1,1,2),FALSE)</f>
        <v>0</v>
      </c>
      <c r="AG299" s="55">
        <f>VLOOKUP($E299,'NI-San_SP'!$C:$AN,MID(AG$1,1,2),FALSE)</f>
        <v>0</v>
      </c>
      <c r="AH299" s="55">
        <f>VLOOKUP($E299,'NI-San_SP'!$C:$AN,MID(AH$1,1,2),FALSE)</f>
        <v>0</v>
      </c>
      <c r="AI299" s="55">
        <f>VLOOKUP($E299,'NI-San_SP'!$C:$AN,MID(AI$1,1,2),FALSE)</f>
        <v>0</v>
      </c>
      <c r="AJ299" s="55">
        <f>VLOOKUP($E299,'NI-San_SP'!$C:$AN,MID(AJ$1,1,2),FALSE)</f>
        <v>0</v>
      </c>
      <c r="AK299" s="55">
        <f>VLOOKUP($E299,'NI-San_SP'!$C:$AN,MID(AK$1,1,2),FALSE)</f>
        <v>0</v>
      </c>
      <c r="AL299" s="55">
        <f>VLOOKUP($E299,'NI-San_SP'!$C:$AN,MID(AL$1,1,2),FALSE)</f>
        <v>0</v>
      </c>
      <c r="AM299" s="56">
        <f>VLOOKUP($E299,'NI-San_SP'!$C:$AN,MID(AM$1,1,2),FALSE)</f>
        <v>0</v>
      </c>
      <c r="AN299" s="30" t="str">
        <f t="shared" si="4"/>
        <v>10302020020000</v>
      </c>
    </row>
    <row r="300" spans="3:40" x14ac:dyDescent="0.25">
      <c r="C300" s="40"/>
      <c r="D300" s="57" t="s">
        <v>1118</v>
      </c>
      <c r="E300" s="57" t="s">
        <v>1119</v>
      </c>
      <c r="F300" s="58" t="s">
        <v>110</v>
      </c>
      <c r="G300" s="52"/>
      <c r="H300" s="52"/>
      <c r="I300" s="52" t="s">
        <v>1120</v>
      </c>
      <c r="J300" s="52" t="s">
        <v>1120</v>
      </c>
      <c r="K300" s="59" t="s">
        <v>79</v>
      </c>
      <c r="L300" s="52"/>
      <c r="M300" s="52"/>
      <c r="N300" s="52"/>
      <c r="O300" s="52"/>
      <c r="P300" s="63" t="s">
        <v>1121</v>
      </c>
      <c r="Q300" s="55">
        <f>VLOOKUP(E300,'NI-San_SP'!$C:$AN,12,FALSE)</f>
        <v>0</v>
      </c>
      <c r="R300" s="55">
        <f>VLOOKUP(E300,'NI-San_SP'!$C:$AN,13,FALSE)</f>
        <v>0</v>
      </c>
      <c r="S300" s="55"/>
      <c r="T300" s="55"/>
      <c r="U300" s="55">
        <f>VLOOKUP($E300,'NI-San_SP'!$C:$AN,MID(U$1,1,2),FALSE)</f>
        <v>0</v>
      </c>
      <c r="V300" s="55">
        <f>VLOOKUP($E300,'NI-San_SP'!$C:$AN,MID(V$1,1,2),FALSE)</f>
        <v>0</v>
      </c>
      <c r="W300" s="55">
        <f>VLOOKUP($E300,'NI-San_SP'!$C:$AN,MID(W$1,1,2),FALSE)</f>
        <v>0</v>
      </c>
      <c r="X300" s="55">
        <f>VLOOKUP($E300,'NI-San_SP'!$C:$AN,MID(X$1,1,2),FALSE)</f>
        <v>0</v>
      </c>
      <c r="Y300" s="55">
        <f>VLOOKUP($E300,'NI-San_SP'!$C:$AN,MID(Y$1,1,2),FALSE)</f>
        <v>0</v>
      </c>
      <c r="Z300" s="55">
        <f>VLOOKUP($E300,'NI-San_SP'!$C:$AN,MID(Z$1,1,2),FALSE)</f>
        <v>0</v>
      </c>
      <c r="AA300" s="55">
        <f>VLOOKUP($E300,'NI-San_SP'!$C:$AN,MID(AA$1,1,2),FALSE)</f>
        <v>0</v>
      </c>
      <c r="AB300" s="55">
        <f>VLOOKUP($E300,'NI-San_SP'!$C:$AN,MID(AB$1,1,2),FALSE)</f>
        <v>0</v>
      </c>
      <c r="AC300" s="55">
        <f>VLOOKUP($E300,'NI-San_SP'!$C:$AN,MID(AC$1,1,2),FALSE)</f>
        <v>0</v>
      </c>
      <c r="AD300" s="55">
        <f>VLOOKUP($E300,'NI-San_SP'!$C:$AN,MID(AD$1,1,2),FALSE)</f>
        <v>0</v>
      </c>
      <c r="AE300" s="55">
        <f>VLOOKUP($E300,'NI-San_SP'!$C:$AN,MID(AE$1,1,2),FALSE)</f>
        <v>0</v>
      </c>
      <c r="AF300" s="55">
        <f>VLOOKUP($E300,'NI-San_SP'!$C:$AN,MID(AF$1,1,2),FALSE)</f>
        <v>0</v>
      </c>
      <c r="AG300" s="55">
        <f>VLOOKUP($E300,'NI-San_SP'!$C:$AN,MID(AG$1,1,2),FALSE)</f>
        <v>0</v>
      </c>
      <c r="AH300" s="55">
        <f>VLOOKUP($E300,'NI-San_SP'!$C:$AN,MID(AH$1,1,2),FALSE)</f>
        <v>0</v>
      </c>
      <c r="AI300" s="55">
        <f>VLOOKUP($E300,'NI-San_SP'!$C:$AN,MID(AI$1,1,2),FALSE)</f>
        <v>0</v>
      </c>
      <c r="AJ300" s="55">
        <f>VLOOKUP($E300,'NI-San_SP'!$C:$AN,MID(AJ$1,1,2),FALSE)</f>
        <v>0</v>
      </c>
      <c r="AK300" s="55">
        <f>VLOOKUP($E300,'NI-San_SP'!$C:$AN,MID(AK$1,1,2),FALSE)</f>
        <v>0</v>
      </c>
      <c r="AL300" s="55">
        <f>VLOOKUP($E300,'NI-San_SP'!$C:$AN,MID(AL$1,1,2),FALSE)</f>
        <v>0</v>
      </c>
      <c r="AM300" s="56">
        <f>VLOOKUP($E300,'NI-San_SP'!$C:$AN,MID(AM$1,1,2),FALSE)</f>
        <v>0</v>
      </c>
      <c r="AN300" s="30" t="str">
        <f t="shared" si="4"/>
        <v>10302020030000</v>
      </c>
    </row>
    <row r="301" spans="3:40" x14ac:dyDescent="0.25">
      <c r="C301" s="40"/>
      <c r="D301" s="57" t="s">
        <v>1122</v>
      </c>
      <c r="E301" s="57" t="s">
        <v>1123</v>
      </c>
      <c r="F301" s="58" t="s">
        <v>110</v>
      </c>
      <c r="G301" s="52"/>
      <c r="H301" s="52"/>
      <c r="I301" s="52" t="s">
        <v>1124</v>
      </c>
      <c r="J301" s="52" t="s">
        <v>1124</v>
      </c>
      <c r="K301" s="59" t="s">
        <v>79</v>
      </c>
      <c r="L301" s="52"/>
      <c r="M301" s="52"/>
      <c r="N301" s="52"/>
      <c r="O301" s="52"/>
      <c r="P301" s="63" t="s">
        <v>1125</v>
      </c>
      <c r="Q301" s="55">
        <f>VLOOKUP(E301,'NI-San_SP'!$C:$AN,12,FALSE)</f>
        <v>0</v>
      </c>
      <c r="R301" s="55">
        <f>VLOOKUP(E301,'NI-San_SP'!$C:$AN,13,FALSE)</f>
        <v>0</v>
      </c>
      <c r="S301" s="55"/>
      <c r="T301" s="55"/>
      <c r="U301" s="55">
        <f>VLOOKUP($E301,'NI-San_SP'!$C:$AN,MID(U$1,1,2),FALSE)</f>
        <v>0</v>
      </c>
      <c r="V301" s="55">
        <f>VLOOKUP($E301,'NI-San_SP'!$C:$AN,MID(V$1,1,2),FALSE)</f>
        <v>0</v>
      </c>
      <c r="W301" s="55">
        <f>VLOOKUP($E301,'NI-San_SP'!$C:$AN,MID(W$1,1,2),FALSE)</f>
        <v>0</v>
      </c>
      <c r="X301" s="55">
        <f>VLOOKUP($E301,'NI-San_SP'!$C:$AN,MID(X$1,1,2),FALSE)</f>
        <v>0</v>
      </c>
      <c r="Y301" s="55">
        <f>VLOOKUP($E301,'NI-San_SP'!$C:$AN,MID(Y$1,1,2),FALSE)</f>
        <v>0</v>
      </c>
      <c r="Z301" s="55">
        <f>VLOOKUP($E301,'NI-San_SP'!$C:$AN,MID(Z$1,1,2),FALSE)</f>
        <v>0</v>
      </c>
      <c r="AA301" s="55">
        <f>VLOOKUP($E301,'NI-San_SP'!$C:$AN,MID(AA$1,1,2),FALSE)</f>
        <v>0</v>
      </c>
      <c r="AB301" s="55">
        <f>VLOOKUP($E301,'NI-San_SP'!$C:$AN,MID(AB$1,1,2),FALSE)</f>
        <v>0</v>
      </c>
      <c r="AC301" s="55">
        <f>VLOOKUP($E301,'NI-San_SP'!$C:$AN,MID(AC$1,1,2),FALSE)</f>
        <v>0</v>
      </c>
      <c r="AD301" s="55">
        <f>VLOOKUP($E301,'NI-San_SP'!$C:$AN,MID(AD$1,1,2),FALSE)</f>
        <v>0</v>
      </c>
      <c r="AE301" s="55">
        <f>VLOOKUP($E301,'NI-San_SP'!$C:$AN,MID(AE$1,1,2),FALSE)</f>
        <v>0</v>
      </c>
      <c r="AF301" s="55">
        <f>VLOOKUP($E301,'NI-San_SP'!$C:$AN,MID(AF$1,1,2),FALSE)</f>
        <v>0</v>
      </c>
      <c r="AG301" s="55">
        <f>VLOOKUP($E301,'NI-San_SP'!$C:$AN,MID(AG$1,1,2),FALSE)</f>
        <v>0</v>
      </c>
      <c r="AH301" s="55">
        <f>VLOOKUP($E301,'NI-San_SP'!$C:$AN,MID(AH$1,1,2),FALSE)</f>
        <v>0</v>
      </c>
      <c r="AI301" s="55">
        <f>VLOOKUP($E301,'NI-San_SP'!$C:$AN,MID(AI$1,1,2),FALSE)</f>
        <v>0</v>
      </c>
      <c r="AJ301" s="55">
        <f>VLOOKUP($E301,'NI-San_SP'!$C:$AN,MID(AJ$1,1,2),FALSE)</f>
        <v>0</v>
      </c>
      <c r="AK301" s="55">
        <f>VLOOKUP($E301,'NI-San_SP'!$C:$AN,MID(AK$1,1,2),FALSE)</f>
        <v>0</v>
      </c>
      <c r="AL301" s="55">
        <f>VLOOKUP($E301,'NI-San_SP'!$C:$AN,MID(AL$1,1,2),FALSE)</f>
        <v>0</v>
      </c>
      <c r="AM301" s="56">
        <f>VLOOKUP($E301,'NI-San_SP'!$C:$AN,MID(AM$1,1,2),FALSE)</f>
        <v>0</v>
      </c>
      <c r="AN301" s="30" t="str">
        <f t="shared" si="4"/>
        <v>10302020040000</v>
      </c>
    </row>
    <row r="302" spans="3:40" x14ac:dyDescent="0.25">
      <c r="C302" s="40"/>
      <c r="D302" s="49" t="s">
        <v>1126</v>
      </c>
      <c r="E302" s="49" t="s">
        <v>1127</v>
      </c>
      <c r="F302" s="50" t="s">
        <v>110</v>
      </c>
      <c r="G302" s="51"/>
      <c r="H302" s="52"/>
      <c r="I302" s="52"/>
      <c r="J302" s="52"/>
      <c r="K302" s="53" t="s">
        <v>111</v>
      </c>
      <c r="L302" s="52"/>
      <c r="M302" s="52"/>
      <c r="N302" s="52"/>
      <c r="O302" s="52"/>
      <c r="P302" s="54" t="s">
        <v>1128</v>
      </c>
      <c r="Q302" s="55">
        <f>VLOOKUP(E302,'NI-San_SP'!$C:$AN,12,FALSE)</f>
        <v>111296606</v>
      </c>
      <c r="R302" s="55">
        <f>VLOOKUP(E302,'NI-San_SP'!$C:$AN,13,FALSE)</f>
        <v>135336879</v>
      </c>
      <c r="S302" s="55"/>
      <c r="T302" s="55"/>
      <c r="U302" s="55">
        <f>VLOOKUP($E302,'NI-San_SP'!$C:$AN,MID(U$1,1,2),FALSE)</f>
        <v>0</v>
      </c>
      <c r="V302" s="55">
        <f>VLOOKUP($E302,'NI-San_SP'!$C:$AN,MID(V$1,1,2),FALSE)</f>
        <v>0</v>
      </c>
      <c r="W302" s="55">
        <f>VLOOKUP($E302,'NI-San_SP'!$C:$AN,MID(W$1,1,2),FALSE)</f>
        <v>0</v>
      </c>
      <c r="X302" s="55">
        <f>VLOOKUP($E302,'NI-San_SP'!$C:$AN,MID(X$1,1,2),FALSE)</f>
        <v>0</v>
      </c>
      <c r="Y302" s="55">
        <f>VLOOKUP($E302,'NI-San_SP'!$C:$AN,MID(Y$1,1,2),FALSE)</f>
        <v>0</v>
      </c>
      <c r="Z302" s="55">
        <f>VLOOKUP($E302,'NI-San_SP'!$C:$AN,MID(Z$1,1,2),FALSE)</f>
        <v>0</v>
      </c>
      <c r="AA302" s="55">
        <f>VLOOKUP($E302,'NI-San_SP'!$C:$AN,MID(AA$1,1,2),FALSE)</f>
        <v>0</v>
      </c>
      <c r="AB302" s="55">
        <f>VLOOKUP($E302,'NI-San_SP'!$C:$AN,MID(AB$1,1,2),FALSE)</f>
        <v>0</v>
      </c>
      <c r="AC302" s="55">
        <f>VLOOKUP($E302,'NI-San_SP'!$C:$AN,MID(AC$1,1,2),FALSE)</f>
        <v>0</v>
      </c>
      <c r="AD302" s="55">
        <f>VLOOKUP($E302,'NI-San_SP'!$C:$AN,MID(AD$1,1,2),FALSE)</f>
        <v>0</v>
      </c>
      <c r="AE302" s="55">
        <f>VLOOKUP($E302,'NI-San_SP'!$C:$AN,MID(AE$1,1,2),FALSE)</f>
        <v>0</v>
      </c>
      <c r="AF302" s="55">
        <f>VLOOKUP($E302,'NI-San_SP'!$C:$AN,MID(AF$1,1,2),FALSE)</f>
        <v>0</v>
      </c>
      <c r="AG302" s="55">
        <f>VLOOKUP($E302,'NI-San_SP'!$C:$AN,MID(AG$1,1,2),FALSE)</f>
        <v>0</v>
      </c>
      <c r="AH302" s="55">
        <f>VLOOKUP($E302,'NI-San_SP'!$C:$AN,MID(AH$1,1,2),FALSE)</f>
        <v>0</v>
      </c>
      <c r="AI302" s="55">
        <f>VLOOKUP($E302,'NI-San_SP'!$C:$AN,MID(AI$1,1,2),FALSE)</f>
        <v>0</v>
      </c>
      <c r="AJ302" s="55">
        <f>VLOOKUP($E302,'NI-San_SP'!$C:$AN,MID(AJ$1,1,2),FALSE)</f>
        <v>0</v>
      </c>
      <c r="AK302" s="55">
        <f>VLOOKUP($E302,'NI-San_SP'!$C:$AN,MID(AK$1,1,2),FALSE)</f>
        <v>0</v>
      </c>
      <c r="AL302" s="55">
        <f>VLOOKUP($E302,'NI-San_SP'!$C:$AN,MID(AL$1,1,2),FALSE)</f>
        <v>0</v>
      </c>
      <c r="AM302" s="56">
        <f>VLOOKUP($E302,'NI-San_SP'!$C:$AN,MID(AM$1,1,2),FALSE)</f>
        <v>0</v>
      </c>
      <c r="AN302" s="30" t="str">
        <f t="shared" si="4"/>
        <v>20000000000000</v>
      </c>
    </row>
    <row r="303" spans="3:40" x14ac:dyDescent="0.25">
      <c r="C303" s="40"/>
      <c r="D303" s="57" t="s">
        <v>1129</v>
      </c>
      <c r="E303" s="57" t="s">
        <v>1130</v>
      </c>
      <c r="F303" s="58" t="s">
        <v>110</v>
      </c>
      <c r="G303" s="52"/>
      <c r="H303" s="52"/>
      <c r="I303" s="52"/>
      <c r="J303" s="52"/>
      <c r="K303" s="59" t="s">
        <v>111</v>
      </c>
      <c r="L303" s="52"/>
      <c r="M303" s="52"/>
      <c r="N303" s="52"/>
      <c r="O303" s="52"/>
      <c r="P303" s="60" t="s">
        <v>1131</v>
      </c>
      <c r="Q303" s="55">
        <f>VLOOKUP(E303,'NI-San_SP'!$C:$AN,12,FALSE)</f>
        <v>11430307</v>
      </c>
      <c r="R303" s="55">
        <f>VLOOKUP(E303,'NI-San_SP'!$C:$AN,13,FALSE)</f>
        <v>15048961</v>
      </c>
      <c r="S303" s="55"/>
      <c r="T303" s="55"/>
      <c r="U303" s="55">
        <f>VLOOKUP($E303,'NI-San_SP'!$C:$AN,MID(U$1,1,2),FALSE)</f>
        <v>0</v>
      </c>
      <c r="V303" s="55">
        <f>VLOOKUP($E303,'NI-San_SP'!$C:$AN,MID(V$1,1,2),FALSE)</f>
        <v>0</v>
      </c>
      <c r="W303" s="55">
        <f>VLOOKUP($E303,'NI-San_SP'!$C:$AN,MID(W$1,1,2),FALSE)</f>
        <v>0</v>
      </c>
      <c r="X303" s="55">
        <f>VLOOKUP($E303,'NI-San_SP'!$C:$AN,MID(X$1,1,2),FALSE)</f>
        <v>0</v>
      </c>
      <c r="Y303" s="55">
        <f>VLOOKUP($E303,'NI-San_SP'!$C:$AN,MID(Y$1,1,2),FALSE)</f>
        <v>0</v>
      </c>
      <c r="Z303" s="55">
        <f>VLOOKUP($E303,'NI-San_SP'!$C:$AN,MID(Z$1,1,2),FALSE)</f>
        <v>0</v>
      </c>
      <c r="AA303" s="55">
        <f>VLOOKUP($E303,'NI-San_SP'!$C:$AN,MID(AA$1,1,2),FALSE)</f>
        <v>0</v>
      </c>
      <c r="AB303" s="55">
        <f>VLOOKUP($E303,'NI-San_SP'!$C:$AN,MID(AB$1,1,2),FALSE)</f>
        <v>0</v>
      </c>
      <c r="AC303" s="55">
        <f>VLOOKUP($E303,'NI-San_SP'!$C:$AN,MID(AC$1,1,2),FALSE)</f>
        <v>0</v>
      </c>
      <c r="AD303" s="55">
        <f>VLOOKUP($E303,'NI-San_SP'!$C:$AN,MID(AD$1,1,2),FALSE)</f>
        <v>0</v>
      </c>
      <c r="AE303" s="55">
        <f>VLOOKUP($E303,'NI-San_SP'!$C:$AN,MID(AE$1,1,2),FALSE)</f>
        <v>0</v>
      </c>
      <c r="AF303" s="55">
        <f>VLOOKUP($E303,'NI-San_SP'!$C:$AN,MID(AF$1,1,2),FALSE)</f>
        <v>0</v>
      </c>
      <c r="AG303" s="55">
        <f>VLOOKUP($E303,'NI-San_SP'!$C:$AN,MID(AG$1,1,2),FALSE)</f>
        <v>0</v>
      </c>
      <c r="AH303" s="55">
        <f>VLOOKUP($E303,'NI-San_SP'!$C:$AN,MID(AH$1,1,2),FALSE)</f>
        <v>0</v>
      </c>
      <c r="AI303" s="55">
        <f>VLOOKUP($E303,'NI-San_SP'!$C:$AN,MID(AI$1,1,2),FALSE)</f>
        <v>0</v>
      </c>
      <c r="AJ303" s="55">
        <f>VLOOKUP($E303,'NI-San_SP'!$C:$AN,MID(AJ$1,1,2),FALSE)</f>
        <v>0</v>
      </c>
      <c r="AK303" s="55">
        <f>VLOOKUP($E303,'NI-San_SP'!$C:$AN,MID(AK$1,1,2),FALSE)</f>
        <v>0</v>
      </c>
      <c r="AL303" s="55">
        <f>VLOOKUP($E303,'NI-San_SP'!$C:$AN,MID(AL$1,1,2),FALSE)</f>
        <v>0</v>
      </c>
      <c r="AM303" s="56">
        <f>VLOOKUP($E303,'NI-San_SP'!$C:$AN,MID(AM$1,1,2),FALSE)</f>
        <v>0</v>
      </c>
      <c r="AN303" s="30" t="str">
        <f t="shared" si="4"/>
        <v>20100000000000</v>
      </c>
    </row>
    <row r="304" spans="3:40" x14ac:dyDescent="0.25">
      <c r="C304" s="40"/>
      <c r="D304" s="57" t="s">
        <v>1132</v>
      </c>
      <c r="E304" s="57" t="s">
        <v>1133</v>
      </c>
      <c r="F304" s="58" t="s">
        <v>110</v>
      </c>
      <c r="G304" s="52"/>
      <c r="H304" s="52"/>
      <c r="I304" s="52"/>
      <c r="J304" s="52"/>
      <c r="K304" s="59" t="s">
        <v>111</v>
      </c>
      <c r="L304" s="62" t="s">
        <v>1134</v>
      </c>
      <c r="M304" s="52"/>
      <c r="N304" s="52"/>
      <c r="O304" s="52"/>
      <c r="P304" s="54" t="s">
        <v>1135</v>
      </c>
      <c r="Q304" s="55">
        <f>VLOOKUP(E304,'NI-San_SP'!$C:$AN,12,FALSE)</f>
        <v>11277052</v>
      </c>
      <c r="R304" s="55">
        <f>VLOOKUP(E304,'NI-San_SP'!$C:$AN,13,FALSE)</f>
        <v>14894110</v>
      </c>
      <c r="S304" s="55"/>
      <c r="T304" s="55"/>
      <c r="U304" s="55">
        <f>VLOOKUP($E304,'NI-San_SP'!$C:$AN,MID(U$1,1,2),FALSE)</f>
        <v>0</v>
      </c>
      <c r="V304" s="55">
        <f>VLOOKUP($E304,'NI-San_SP'!$C:$AN,MID(V$1,1,2),FALSE)</f>
        <v>11277052</v>
      </c>
      <c r="W304" s="55">
        <f>VLOOKUP($E304,'NI-San_SP'!$C:$AN,MID(W$1,1,2),FALSE)</f>
        <v>0</v>
      </c>
      <c r="X304" s="55">
        <f>VLOOKUP($E304,'NI-San_SP'!$C:$AN,MID(X$1,1,2),FALSE)</f>
        <v>0</v>
      </c>
      <c r="Y304" s="55">
        <f>VLOOKUP($E304,'NI-San_SP'!$C:$AN,MID(Y$1,1,2),FALSE)</f>
        <v>69466724</v>
      </c>
      <c r="Z304" s="55">
        <f>VLOOKUP($E304,'NI-San_SP'!$C:$AN,MID(Z$1,1,2),FALSE)</f>
        <v>0</v>
      </c>
      <c r="AA304" s="55">
        <f>VLOOKUP($E304,'NI-San_SP'!$C:$AN,MID(AA$1,1,2),FALSE)</f>
        <v>0</v>
      </c>
      <c r="AB304" s="55">
        <f>VLOOKUP($E304,'NI-San_SP'!$C:$AN,MID(AB$1,1,2),FALSE)</f>
        <v>0</v>
      </c>
      <c r="AC304" s="55">
        <f>VLOOKUP($E304,'NI-San_SP'!$C:$AN,MID(AC$1,1,2),FALSE)</f>
        <v>65849666</v>
      </c>
      <c r="AD304" s="55">
        <f>VLOOKUP($E304,'NI-San_SP'!$C:$AN,MID(AD$1,1,2),FALSE)</f>
        <v>14894110</v>
      </c>
      <c r="AE304" s="55">
        <f>VLOOKUP($E304,'NI-San_SP'!$C:$AN,MID(AE$1,1,2),FALSE)</f>
        <v>0</v>
      </c>
      <c r="AF304" s="55">
        <f>VLOOKUP($E304,'NI-San_SP'!$C:$AN,MID(AF$1,1,2),FALSE)</f>
        <v>5913496</v>
      </c>
      <c r="AG304" s="55">
        <f>VLOOKUP($E304,'NI-San_SP'!$C:$AN,MID(AG$1,1,2),FALSE)</f>
        <v>0</v>
      </c>
      <c r="AH304" s="55">
        <f>VLOOKUP($E304,'NI-San_SP'!$C:$AN,MID(AH$1,1,2),FALSE)</f>
        <v>0</v>
      </c>
      <c r="AI304" s="55">
        <f>VLOOKUP($E304,'NI-San_SP'!$C:$AN,MID(AI$1,1,2),FALSE)</f>
        <v>0</v>
      </c>
      <c r="AJ304" s="55">
        <f>VLOOKUP($E304,'NI-San_SP'!$C:$AN,MID(AJ$1,1,2),FALSE)</f>
        <v>0</v>
      </c>
      <c r="AK304" s="55">
        <f>VLOOKUP($E304,'NI-San_SP'!$C:$AN,MID(AK$1,1,2),FALSE)</f>
        <v>0</v>
      </c>
      <c r="AL304" s="55">
        <f>VLOOKUP($E304,'NI-San_SP'!$C:$AN,MID(AL$1,1,2),FALSE)</f>
        <v>0</v>
      </c>
      <c r="AM304" s="56">
        <f>VLOOKUP($E304,'NI-San_SP'!$C:$AN,MID(AM$1,1,2),FALSE)</f>
        <v>0</v>
      </c>
      <c r="AN304" s="30" t="str">
        <f t="shared" si="4"/>
        <v>20101000000000</v>
      </c>
    </row>
    <row r="305" spans="3:40" x14ac:dyDescent="0.25">
      <c r="C305" s="40"/>
      <c r="D305" s="67" t="s">
        <v>1136</v>
      </c>
      <c r="E305" s="67" t="s">
        <v>1137</v>
      </c>
      <c r="F305" s="68" t="s">
        <v>110</v>
      </c>
      <c r="G305" s="69"/>
      <c r="H305" s="52"/>
      <c r="I305" s="52"/>
      <c r="J305" s="52"/>
      <c r="K305" s="69" t="s">
        <v>111</v>
      </c>
      <c r="L305" s="52"/>
      <c r="M305" s="52"/>
      <c r="N305" s="52"/>
      <c r="O305" s="61"/>
      <c r="P305" s="70" t="s">
        <v>1138</v>
      </c>
      <c r="Q305" s="55">
        <f>VLOOKUP(E305,'NI-San_SP'!$C:$AN,12,FALSE)</f>
        <v>0</v>
      </c>
      <c r="R305" s="55">
        <f>VLOOKUP(E305,'NI-San_SP'!$C:$AN,13,FALSE)</f>
        <v>0</v>
      </c>
      <c r="S305" s="55"/>
      <c r="T305" s="55"/>
      <c r="U305" s="55">
        <f>VLOOKUP($E305,'NI-San_SP'!$C:$AN,MID(U$1,1,2),FALSE)</f>
        <v>0</v>
      </c>
      <c r="V305" s="55">
        <f>VLOOKUP($E305,'NI-San_SP'!$C:$AN,MID(V$1,1,2),FALSE)</f>
        <v>0</v>
      </c>
      <c r="W305" s="55">
        <f>VLOOKUP($E305,'NI-San_SP'!$C:$AN,MID(W$1,1,2),FALSE)</f>
        <v>0</v>
      </c>
      <c r="X305" s="55">
        <f>VLOOKUP($E305,'NI-San_SP'!$C:$AN,MID(X$1,1,2),FALSE)</f>
        <v>0</v>
      </c>
      <c r="Y305" s="55">
        <f>VLOOKUP($E305,'NI-San_SP'!$C:$AN,MID(Y$1,1,2),FALSE)</f>
        <v>0</v>
      </c>
      <c r="Z305" s="55">
        <f>VLOOKUP($E305,'NI-San_SP'!$C:$AN,MID(Z$1,1,2),FALSE)</f>
        <v>0</v>
      </c>
      <c r="AA305" s="55">
        <f>VLOOKUP($E305,'NI-San_SP'!$C:$AN,MID(AA$1,1,2),FALSE)</f>
        <v>0</v>
      </c>
      <c r="AB305" s="55">
        <f>VLOOKUP($E305,'NI-San_SP'!$C:$AN,MID(AB$1,1,2),FALSE)</f>
        <v>0</v>
      </c>
      <c r="AC305" s="55">
        <f>VLOOKUP($E305,'NI-San_SP'!$C:$AN,MID(AC$1,1,2),FALSE)</f>
        <v>0</v>
      </c>
      <c r="AD305" s="55">
        <f>VLOOKUP($E305,'NI-San_SP'!$C:$AN,MID(AD$1,1,2),FALSE)</f>
        <v>0</v>
      </c>
      <c r="AE305" s="55">
        <f>VLOOKUP($E305,'NI-San_SP'!$C:$AN,MID(AE$1,1,2),FALSE)</f>
        <v>0</v>
      </c>
      <c r="AF305" s="55">
        <f>VLOOKUP($E305,'NI-San_SP'!$C:$AN,MID(AF$1,1,2),FALSE)</f>
        <v>0</v>
      </c>
      <c r="AG305" s="55">
        <f>VLOOKUP($E305,'NI-San_SP'!$C:$AN,MID(AG$1,1,2),FALSE)</f>
        <v>0</v>
      </c>
      <c r="AH305" s="55">
        <f>VLOOKUP($E305,'NI-San_SP'!$C:$AN,MID(AH$1,1,2),FALSE)</f>
        <v>0</v>
      </c>
      <c r="AI305" s="55">
        <f>VLOOKUP($E305,'NI-San_SP'!$C:$AN,MID(AI$1,1,2),FALSE)</f>
        <v>0</v>
      </c>
      <c r="AJ305" s="55">
        <f>VLOOKUP($E305,'NI-San_SP'!$C:$AN,MID(AJ$1,1,2),FALSE)</f>
        <v>0</v>
      </c>
      <c r="AK305" s="55">
        <f>VLOOKUP($E305,'NI-San_SP'!$C:$AN,MID(AK$1,1,2),FALSE)</f>
        <v>0</v>
      </c>
      <c r="AL305" s="55">
        <f>VLOOKUP($E305,'NI-San_SP'!$C:$AN,MID(AL$1,1,2),FALSE)</f>
        <v>0</v>
      </c>
      <c r="AM305" s="56">
        <f>VLOOKUP($E305,'NI-San_SP'!$C:$AN,MID(AM$1,1,2),FALSE)</f>
        <v>0</v>
      </c>
      <c r="AN305" s="30" t="str">
        <f t="shared" si="4"/>
        <v>20101010000000</v>
      </c>
    </row>
    <row r="306" spans="3:40" x14ac:dyDescent="0.25">
      <c r="C306" s="40"/>
      <c r="D306" s="67" t="s">
        <v>1139</v>
      </c>
      <c r="E306" s="67" t="s">
        <v>1140</v>
      </c>
      <c r="F306" s="68" t="s">
        <v>110</v>
      </c>
      <c r="G306" s="69"/>
      <c r="H306" s="52"/>
      <c r="I306" s="52"/>
      <c r="J306" s="52"/>
      <c r="K306" s="69" t="s">
        <v>111</v>
      </c>
      <c r="L306" s="52"/>
      <c r="M306" s="52"/>
      <c r="N306" s="52"/>
      <c r="O306" s="61"/>
      <c r="P306" s="70" t="s">
        <v>1141</v>
      </c>
      <c r="Q306" s="55">
        <f>VLOOKUP(E306,'NI-San_SP'!$C:$AN,12,FALSE)</f>
        <v>0</v>
      </c>
      <c r="R306" s="55">
        <f>VLOOKUP(E306,'NI-San_SP'!$C:$AN,13,FALSE)</f>
        <v>0</v>
      </c>
      <c r="S306" s="55"/>
      <c r="T306" s="55"/>
      <c r="U306" s="55">
        <f>VLOOKUP($E306,'NI-San_SP'!$C:$AN,MID(U$1,1,2),FALSE)</f>
        <v>0</v>
      </c>
      <c r="V306" s="55">
        <f>VLOOKUP($E306,'NI-San_SP'!$C:$AN,MID(V$1,1,2),FALSE)</f>
        <v>0</v>
      </c>
      <c r="W306" s="55">
        <f>VLOOKUP($E306,'NI-San_SP'!$C:$AN,MID(W$1,1,2),FALSE)</f>
        <v>0</v>
      </c>
      <c r="X306" s="55">
        <f>VLOOKUP($E306,'NI-San_SP'!$C:$AN,MID(X$1,1,2),FALSE)</f>
        <v>0</v>
      </c>
      <c r="Y306" s="55">
        <f>VLOOKUP($E306,'NI-San_SP'!$C:$AN,MID(Y$1,1,2),FALSE)</f>
        <v>0</v>
      </c>
      <c r="Z306" s="55">
        <f>VLOOKUP($E306,'NI-San_SP'!$C:$AN,MID(Z$1,1,2),FALSE)</f>
        <v>0</v>
      </c>
      <c r="AA306" s="55">
        <f>VLOOKUP($E306,'NI-San_SP'!$C:$AN,MID(AA$1,1,2),FALSE)</f>
        <v>0</v>
      </c>
      <c r="AB306" s="55">
        <f>VLOOKUP($E306,'NI-San_SP'!$C:$AN,MID(AB$1,1,2),FALSE)</f>
        <v>0</v>
      </c>
      <c r="AC306" s="55">
        <f>VLOOKUP($E306,'NI-San_SP'!$C:$AN,MID(AC$1,1,2),FALSE)</f>
        <v>0</v>
      </c>
      <c r="AD306" s="55">
        <f>VLOOKUP($E306,'NI-San_SP'!$C:$AN,MID(AD$1,1,2),FALSE)</f>
        <v>0</v>
      </c>
      <c r="AE306" s="55">
        <f>VLOOKUP($E306,'NI-San_SP'!$C:$AN,MID(AE$1,1,2),FALSE)</f>
        <v>0</v>
      </c>
      <c r="AF306" s="55">
        <f>VLOOKUP($E306,'NI-San_SP'!$C:$AN,MID(AF$1,1,2),FALSE)</f>
        <v>0</v>
      </c>
      <c r="AG306" s="55">
        <f>VLOOKUP($E306,'NI-San_SP'!$C:$AN,MID(AG$1,1,2),FALSE)</f>
        <v>0</v>
      </c>
      <c r="AH306" s="55">
        <f>VLOOKUP($E306,'NI-San_SP'!$C:$AN,MID(AH$1,1,2),FALSE)</f>
        <v>0</v>
      </c>
      <c r="AI306" s="55">
        <f>VLOOKUP($E306,'NI-San_SP'!$C:$AN,MID(AI$1,1,2),FALSE)</f>
        <v>0</v>
      </c>
      <c r="AJ306" s="55">
        <f>VLOOKUP($E306,'NI-San_SP'!$C:$AN,MID(AJ$1,1,2),FALSE)</f>
        <v>0</v>
      </c>
      <c r="AK306" s="55">
        <f>VLOOKUP($E306,'NI-San_SP'!$C:$AN,MID(AK$1,1,2),FALSE)</f>
        <v>0</v>
      </c>
      <c r="AL306" s="55">
        <f>VLOOKUP($E306,'NI-San_SP'!$C:$AN,MID(AL$1,1,2),FALSE)</f>
        <v>0</v>
      </c>
      <c r="AM306" s="56">
        <f>VLOOKUP($E306,'NI-San_SP'!$C:$AN,MID(AM$1,1,2),FALSE)</f>
        <v>0</v>
      </c>
      <c r="AN306" s="30" t="str">
        <f t="shared" si="4"/>
        <v>20101010010000</v>
      </c>
    </row>
    <row r="307" spans="3:40" x14ac:dyDescent="0.25">
      <c r="C307" s="40"/>
      <c r="D307" s="67" t="s">
        <v>1142</v>
      </c>
      <c r="E307" s="67" t="s">
        <v>1143</v>
      </c>
      <c r="F307" s="68" t="s">
        <v>110</v>
      </c>
      <c r="G307" s="69"/>
      <c r="H307" s="52"/>
      <c r="I307" s="52" t="s">
        <v>1144</v>
      </c>
      <c r="J307" s="52" t="s">
        <v>1144</v>
      </c>
      <c r="K307" s="69" t="s">
        <v>79</v>
      </c>
      <c r="L307" s="52"/>
      <c r="M307" s="52"/>
      <c r="N307" s="52"/>
      <c r="O307" s="61" t="s">
        <v>1145</v>
      </c>
      <c r="P307" s="70" t="s">
        <v>1146</v>
      </c>
      <c r="Q307" s="55">
        <f>VLOOKUP(E307,'NI-San_SP'!$C:$AN,12,FALSE)</f>
        <v>3842423</v>
      </c>
      <c r="R307" s="55">
        <f>VLOOKUP(E307,'NI-San_SP'!$C:$AN,13,FALSE)</f>
        <v>5774021</v>
      </c>
      <c r="S307" s="55"/>
      <c r="T307" s="55"/>
      <c r="U307" s="55">
        <f>VLOOKUP($E307,'NI-San_SP'!$C:$AN,MID(U$1,1,2),FALSE)</f>
        <v>0</v>
      </c>
      <c r="V307" s="55">
        <f>VLOOKUP($E307,'NI-San_SP'!$C:$AN,MID(V$1,1,2),FALSE)</f>
        <v>3842423</v>
      </c>
      <c r="W307" s="55">
        <f>VLOOKUP($E307,'NI-San_SP'!$C:$AN,MID(W$1,1,2),FALSE)</f>
        <v>0</v>
      </c>
      <c r="X307" s="55">
        <f>VLOOKUP($E307,'NI-San_SP'!$C:$AN,MID(X$1,1,2),FALSE)</f>
        <v>0</v>
      </c>
      <c r="Y307" s="55">
        <f>VLOOKUP($E307,'NI-San_SP'!$C:$AN,MID(Y$1,1,2),FALSE)</f>
        <v>31869478</v>
      </c>
      <c r="Z307" s="55">
        <f>VLOOKUP($E307,'NI-San_SP'!$C:$AN,MID(Z$1,1,2),FALSE)</f>
        <v>0</v>
      </c>
      <c r="AA307" s="55">
        <f>VLOOKUP($E307,'NI-San_SP'!$C:$AN,MID(AA$1,1,2),FALSE)</f>
        <v>0</v>
      </c>
      <c r="AB307" s="55">
        <f>VLOOKUP($E307,'NI-San_SP'!$C:$AN,MID(AB$1,1,2),FALSE)</f>
        <v>0</v>
      </c>
      <c r="AC307" s="55">
        <f>VLOOKUP($E307,'NI-San_SP'!$C:$AN,MID(AC$1,1,2),FALSE)</f>
        <v>29937880</v>
      </c>
      <c r="AD307" s="55">
        <f>VLOOKUP($E307,'NI-San_SP'!$C:$AN,MID(AD$1,1,2),FALSE)</f>
        <v>5774021</v>
      </c>
      <c r="AE307" s="55">
        <f>VLOOKUP($E307,'NI-San_SP'!$C:$AN,MID(AE$1,1,2),FALSE)</f>
        <v>0</v>
      </c>
      <c r="AF307" s="55">
        <f>VLOOKUP($E307,'NI-San_SP'!$C:$AN,MID(AF$1,1,2),FALSE)</f>
        <v>0</v>
      </c>
      <c r="AG307" s="55">
        <f>VLOOKUP($E307,'NI-San_SP'!$C:$AN,MID(AG$1,1,2),FALSE)</f>
        <v>0</v>
      </c>
      <c r="AH307" s="55">
        <f>VLOOKUP($E307,'NI-San_SP'!$C:$AN,MID(AH$1,1,2),FALSE)</f>
        <v>0</v>
      </c>
      <c r="AI307" s="55">
        <f>VLOOKUP($E307,'NI-San_SP'!$C:$AN,MID(AI$1,1,2),FALSE)</f>
        <v>0</v>
      </c>
      <c r="AJ307" s="55">
        <f>VLOOKUP($E307,'NI-San_SP'!$C:$AN,MID(AJ$1,1,2),FALSE)</f>
        <v>0</v>
      </c>
      <c r="AK307" s="55">
        <f>VLOOKUP($E307,'NI-San_SP'!$C:$AN,MID(AK$1,1,2),FALSE)</f>
        <v>0</v>
      </c>
      <c r="AL307" s="55">
        <f>VLOOKUP($E307,'NI-San_SP'!$C:$AN,MID(AL$1,1,2),FALSE)</f>
        <v>0</v>
      </c>
      <c r="AM307" s="56">
        <f>VLOOKUP($E307,'NI-San_SP'!$C:$AN,MID(AM$1,1,2),FALSE)</f>
        <v>0</v>
      </c>
      <c r="AN307" s="30" t="str">
        <f t="shared" si="4"/>
        <v>20101010010010</v>
      </c>
    </row>
    <row r="308" spans="3:40" x14ac:dyDescent="0.25">
      <c r="C308" s="40"/>
      <c r="D308" s="67" t="s">
        <v>1147</v>
      </c>
      <c r="E308" s="67" t="s">
        <v>1148</v>
      </c>
      <c r="F308" s="68" t="s">
        <v>110</v>
      </c>
      <c r="G308" s="69"/>
      <c r="H308" s="52"/>
      <c r="I308" s="52" t="s">
        <v>1144</v>
      </c>
      <c r="J308" s="52" t="s">
        <v>1144</v>
      </c>
      <c r="K308" s="69" t="s">
        <v>79</v>
      </c>
      <c r="L308" s="52"/>
      <c r="M308" s="52"/>
      <c r="N308" s="52"/>
      <c r="O308" s="61" t="s">
        <v>1145</v>
      </c>
      <c r="P308" s="70" t="s">
        <v>1149</v>
      </c>
      <c r="Q308" s="55">
        <f>VLOOKUP(E308,'NI-San_SP'!$C:$AN,12,FALSE)</f>
        <v>273057</v>
      </c>
      <c r="R308" s="55">
        <f>VLOOKUP(E308,'NI-San_SP'!$C:$AN,13,FALSE)</f>
        <v>54317</v>
      </c>
      <c r="S308" s="55"/>
      <c r="T308" s="55"/>
      <c r="U308" s="55">
        <f>VLOOKUP($E308,'NI-San_SP'!$C:$AN,MID(U$1,1,2),FALSE)</f>
        <v>0</v>
      </c>
      <c r="V308" s="55">
        <f>VLOOKUP($E308,'NI-San_SP'!$C:$AN,MID(V$1,1,2),FALSE)</f>
        <v>273057</v>
      </c>
      <c r="W308" s="55">
        <f>VLOOKUP($E308,'NI-San_SP'!$C:$AN,MID(W$1,1,2),FALSE)</f>
        <v>0</v>
      </c>
      <c r="X308" s="55">
        <f>VLOOKUP($E308,'NI-San_SP'!$C:$AN,MID(X$1,1,2),FALSE)</f>
        <v>0</v>
      </c>
      <c r="Y308" s="55">
        <f>VLOOKUP($E308,'NI-San_SP'!$C:$AN,MID(Y$1,1,2),FALSE)</f>
        <v>280896</v>
      </c>
      <c r="Z308" s="55">
        <f>VLOOKUP($E308,'NI-San_SP'!$C:$AN,MID(Z$1,1,2),FALSE)</f>
        <v>0</v>
      </c>
      <c r="AA308" s="55">
        <f>VLOOKUP($E308,'NI-San_SP'!$C:$AN,MID(AA$1,1,2),FALSE)</f>
        <v>0</v>
      </c>
      <c r="AB308" s="55">
        <f>VLOOKUP($E308,'NI-San_SP'!$C:$AN,MID(AB$1,1,2),FALSE)</f>
        <v>0</v>
      </c>
      <c r="AC308" s="55">
        <f>VLOOKUP($E308,'NI-San_SP'!$C:$AN,MID(AC$1,1,2),FALSE)</f>
        <v>499636</v>
      </c>
      <c r="AD308" s="55">
        <f>VLOOKUP($E308,'NI-San_SP'!$C:$AN,MID(AD$1,1,2),FALSE)</f>
        <v>54317</v>
      </c>
      <c r="AE308" s="55">
        <f>VLOOKUP($E308,'NI-San_SP'!$C:$AN,MID(AE$1,1,2),FALSE)</f>
        <v>0</v>
      </c>
      <c r="AF308" s="55">
        <f>VLOOKUP($E308,'NI-San_SP'!$C:$AN,MID(AF$1,1,2),FALSE)</f>
        <v>0</v>
      </c>
      <c r="AG308" s="55">
        <f>VLOOKUP($E308,'NI-San_SP'!$C:$AN,MID(AG$1,1,2),FALSE)</f>
        <v>0</v>
      </c>
      <c r="AH308" s="55">
        <f>VLOOKUP($E308,'NI-San_SP'!$C:$AN,MID(AH$1,1,2),FALSE)</f>
        <v>0</v>
      </c>
      <c r="AI308" s="55">
        <f>VLOOKUP($E308,'NI-San_SP'!$C:$AN,MID(AI$1,1,2),FALSE)</f>
        <v>0</v>
      </c>
      <c r="AJ308" s="55">
        <f>VLOOKUP($E308,'NI-San_SP'!$C:$AN,MID(AJ$1,1,2),FALSE)</f>
        <v>0</v>
      </c>
      <c r="AK308" s="55">
        <f>VLOOKUP($E308,'NI-San_SP'!$C:$AN,MID(AK$1,1,2),FALSE)</f>
        <v>0</v>
      </c>
      <c r="AL308" s="55">
        <f>VLOOKUP($E308,'NI-San_SP'!$C:$AN,MID(AL$1,1,2),FALSE)</f>
        <v>0</v>
      </c>
      <c r="AM308" s="56">
        <f>VLOOKUP($E308,'NI-San_SP'!$C:$AN,MID(AM$1,1,2),FALSE)</f>
        <v>0</v>
      </c>
      <c r="AN308" s="30" t="str">
        <f t="shared" si="4"/>
        <v>20101010010020</v>
      </c>
    </row>
    <row r="309" spans="3:40" x14ac:dyDescent="0.25">
      <c r="C309" s="40"/>
      <c r="D309" s="67" t="s">
        <v>1150</v>
      </c>
      <c r="E309" s="67" t="s">
        <v>1151</v>
      </c>
      <c r="F309" s="68" t="s">
        <v>110</v>
      </c>
      <c r="G309" s="69"/>
      <c r="H309" s="52"/>
      <c r="I309" s="52" t="s">
        <v>1144</v>
      </c>
      <c r="J309" s="52" t="s">
        <v>1144</v>
      </c>
      <c r="K309" s="69" t="s">
        <v>79</v>
      </c>
      <c r="L309" s="52"/>
      <c r="M309" s="52"/>
      <c r="N309" s="52"/>
      <c r="O309" s="61" t="s">
        <v>1145</v>
      </c>
      <c r="P309" s="70" t="s">
        <v>1152</v>
      </c>
      <c r="Q309" s="55">
        <f>VLOOKUP(E309,'NI-San_SP'!$C:$AN,12,FALSE)</f>
        <v>1309863</v>
      </c>
      <c r="R309" s="55">
        <f>VLOOKUP(E309,'NI-San_SP'!$C:$AN,13,FALSE)</f>
        <v>1795974</v>
      </c>
      <c r="S309" s="55"/>
      <c r="T309" s="55"/>
      <c r="U309" s="55">
        <f>VLOOKUP($E309,'NI-San_SP'!$C:$AN,MID(U$1,1,2),FALSE)</f>
        <v>0</v>
      </c>
      <c r="V309" s="55">
        <f>VLOOKUP($E309,'NI-San_SP'!$C:$AN,MID(V$1,1,2),FALSE)</f>
        <v>1309863</v>
      </c>
      <c r="W309" s="55">
        <f>VLOOKUP($E309,'NI-San_SP'!$C:$AN,MID(W$1,1,2),FALSE)</f>
        <v>0</v>
      </c>
      <c r="X309" s="55">
        <f>VLOOKUP($E309,'NI-San_SP'!$C:$AN,MID(X$1,1,2),FALSE)</f>
        <v>0</v>
      </c>
      <c r="Y309" s="55">
        <f>VLOOKUP($E309,'NI-San_SP'!$C:$AN,MID(Y$1,1,2),FALSE)</f>
        <v>4371576</v>
      </c>
      <c r="Z309" s="55">
        <f>VLOOKUP($E309,'NI-San_SP'!$C:$AN,MID(Z$1,1,2),FALSE)</f>
        <v>0</v>
      </c>
      <c r="AA309" s="55">
        <f>VLOOKUP($E309,'NI-San_SP'!$C:$AN,MID(AA$1,1,2),FALSE)</f>
        <v>0</v>
      </c>
      <c r="AB309" s="55">
        <f>VLOOKUP($E309,'NI-San_SP'!$C:$AN,MID(AB$1,1,2),FALSE)</f>
        <v>0</v>
      </c>
      <c r="AC309" s="55">
        <f>VLOOKUP($E309,'NI-San_SP'!$C:$AN,MID(AC$1,1,2),FALSE)</f>
        <v>3885465</v>
      </c>
      <c r="AD309" s="55">
        <f>VLOOKUP($E309,'NI-San_SP'!$C:$AN,MID(AD$1,1,2),FALSE)</f>
        <v>1795974</v>
      </c>
      <c r="AE309" s="55">
        <f>VLOOKUP($E309,'NI-San_SP'!$C:$AN,MID(AE$1,1,2),FALSE)</f>
        <v>0</v>
      </c>
      <c r="AF309" s="55">
        <f>VLOOKUP($E309,'NI-San_SP'!$C:$AN,MID(AF$1,1,2),FALSE)</f>
        <v>1795976</v>
      </c>
      <c r="AG309" s="55">
        <f>VLOOKUP($E309,'NI-San_SP'!$C:$AN,MID(AG$1,1,2),FALSE)</f>
        <v>0</v>
      </c>
      <c r="AH309" s="55">
        <f>VLOOKUP($E309,'NI-San_SP'!$C:$AN,MID(AH$1,1,2),FALSE)</f>
        <v>0</v>
      </c>
      <c r="AI309" s="55">
        <f>VLOOKUP($E309,'NI-San_SP'!$C:$AN,MID(AI$1,1,2),FALSE)</f>
        <v>0</v>
      </c>
      <c r="AJ309" s="55">
        <f>VLOOKUP($E309,'NI-San_SP'!$C:$AN,MID(AJ$1,1,2),FALSE)</f>
        <v>0</v>
      </c>
      <c r="AK309" s="55">
        <f>VLOOKUP($E309,'NI-San_SP'!$C:$AN,MID(AK$1,1,2),FALSE)</f>
        <v>0</v>
      </c>
      <c r="AL309" s="55">
        <f>VLOOKUP($E309,'NI-San_SP'!$C:$AN,MID(AL$1,1,2),FALSE)</f>
        <v>0</v>
      </c>
      <c r="AM309" s="56">
        <f>VLOOKUP($E309,'NI-San_SP'!$C:$AN,MID(AM$1,1,2),FALSE)</f>
        <v>0</v>
      </c>
      <c r="AN309" s="30" t="str">
        <f t="shared" si="4"/>
        <v>20101010010030</v>
      </c>
    </row>
    <row r="310" spans="3:40" x14ac:dyDescent="0.25">
      <c r="C310" s="40"/>
      <c r="D310" s="67" t="s">
        <v>1153</v>
      </c>
      <c r="E310" s="67" t="s">
        <v>1154</v>
      </c>
      <c r="F310" s="68" t="s">
        <v>110</v>
      </c>
      <c r="G310" s="69"/>
      <c r="H310" s="52"/>
      <c r="I310" s="52" t="s">
        <v>1144</v>
      </c>
      <c r="J310" s="52" t="s">
        <v>1144</v>
      </c>
      <c r="K310" s="69" t="s">
        <v>79</v>
      </c>
      <c r="L310" s="52"/>
      <c r="M310" s="52"/>
      <c r="N310" s="52"/>
      <c r="O310" s="61" t="s">
        <v>1145</v>
      </c>
      <c r="P310" s="70" t="s">
        <v>1155</v>
      </c>
      <c r="Q310" s="55">
        <f>VLOOKUP(E310,'NI-San_SP'!$C:$AN,12,FALSE)</f>
        <v>73869</v>
      </c>
      <c r="R310" s="55">
        <f>VLOOKUP(E310,'NI-San_SP'!$C:$AN,13,FALSE)</f>
        <v>103089</v>
      </c>
      <c r="S310" s="55"/>
      <c r="T310" s="55"/>
      <c r="U310" s="55">
        <f>VLOOKUP($E310,'NI-San_SP'!$C:$AN,MID(U$1,1,2),FALSE)</f>
        <v>0</v>
      </c>
      <c r="V310" s="55">
        <f>VLOOKUP($E310,'NI-San_SP'!$C:$AN,MID(V$1,1,2),FALSE)</f>
        <v>73869</v>
      </c>
      <c r="W310" s="55">
        <f>VLOOKUP($E310,'NI-San_SP'!$C:$AN,MID(W$1,1,2),FALSE)</f>
        <v>0</v>
      </c>
      <c r="X310" s="55">
        <f>VLOOKUP($E310,'NI-San_SP'!$C:$AN,MID(X$1,1,2),FALSE)</f>
        <v>0</v>
      </c>
      <c r="Y310" s="55">
        <f>VLOOKUP($E310,'NI-San_SP'!$C:$AN,MID(Y$1,1,2),FALSE)</f>
        <v>4508530</v>
      </c>
      <c r="Z310" s="55">
        <f>VLOOKUP($E310,'NI-San_SP'!$C:$AN,MID(Z$1,1,2),FALSE)</f>
        <v>0</v>
      </c>
      <c r="AA310" s="55">
        <f>VLOOKUP($E310,'NI-San_SP'!$C:$AN,MID(AA$1,1,2),FALSE)</f>
        <v>0</v>
      </c>
      <c r="AB310" s="55">
        <f>VLOOKUP($E310,'NI-San_SP'!$C:$AN,MID(AB$1,1,2),FALSE)</f>
        <v>0</v>
      </c>
      <c r="AC310" s="55">
        <f>VLOOKUP($E310,'NI-San_SP'!$C:$AN,MID(AC$1,1,2),FALSE)</f>
        <v>4479310</v>
      </c>
      <c r="AD310" s="55">
        <f>VLOOKUP($E310,'NI-San_SP'!$C:$AN,MID(AD$1,1,2),FALSE)</f>
        <v>103089</v>
      </c>
      <c r="AE310" s="55">
        <f>VLOOKUP($E310,'NI-San_SP'!$C:$AN,MID(AE$1,1,2),FALSE)</f>
        <v>0</v>
      </c>
      <c r="AF310" s="55">
        <f>VLOOKUP($E310,'NI-San_SP'!$C:$AN,MID(AF$1,1,2),FALSE)</f>
        <v>5629</v>
      </c>
      <c r="AG310" s="55">
        <f>VLOOKUP($E310,'NI-San_SP'!$C:$AN,MID(AG$1,1,2),FALSE)</f>
        <v>0</v>
      </c>
      <c r="AH310" s="55">
        <f>VLOOKUP($E310,'NI-San_SP'!$C:$AN,MID(AH$1,1,2),FALSE)</f>
        <v>0</v>
      </c>
      <c r="AI310" s="55">
        <f>VLOOKUP($E310,'NI-San_SP'!$C:$AN,MID(AI$1,1,2),FALSE)</f>
        <v>0</v>
      </c>
      <c r="AJ310" s="55">
        <f>VLOOKUP($E310,'NI-San_SP'!$C:$AN,MID(AJ$1,1,2),FALSE)</f>
        <v>0</v>
      </c>
      <c r="AK310" s="55">
        <f>VLOOKUP($E310,'NI-San_SP'!$C:$AN,MID(AK$1,1,2),FALSE)</f>
        <v>0</v>
      </c>
      <c r="AL310" s="55">
        <f>VLOOKUP($E310,'NI-San_SP'!$C:$AN,MID(AL$1,1,2),FALSE)</f>
        <v>0</v>
      </c>
      <c r="AM310" s="56">
        <f>VLOOKUP($E310,'NI-San_SP'!$C:$AN,MID(AM$1,1,2),FALSE)</f>
        <v>0</v>
      </c>
      <c r="AN310" s="30" t="str">
        <f t="shared" si="4"/>
        <v>20101010010040</v>
      </c>
    </row>
    <row r="311" spans="3:40" x14ac:dyDescent="0.25">
      <c r="C311" s="40"/>
      <c r="D311" s="67" t="s">
        <v>1156</v>
      </c>
      <c r="E311" s="67" t="s">
        <v>1157</v>
      </c>
      <c r="F311" s="68" t="s">
        <v>110</v>
      </c>
      <c r="G311" s="69"/>
      <c r="H311" s="52"/>
      <c r="I311" s="52" t="s">
        <v>1144</v>
      </c>
      <c r="J311" s="52" t="s">
        <v>1144</v>
      </c>
      <c r="K311" s="69" t="s">
        <v>79</v>
      </c>
      <c r="L311" s="52"/>
      <c r="M311" s="52"/>
      <c r="N311" s="52"/>
      <c r="O311" s="61" t="s">
        <v>1145</v>
      </c>
      <c r="P311" s="70" t="s">
        <v>1158</v>
      </c>
      <c r="Q311" s="55">
        <f>VLOOKUP(E311,'NI-San_SP'!$C:$AN,12,FALSE)</f>
        <v>0</v>
      </c>
      <c r="R311" s="55">
        <f>VLOOKUP(E311,'NI-San_SP'!$C:$AN,13,FALSE)</f>
        <v>0</v>
      </c>
      <c r="S311" s="55"/>
      <c r="T311" s="55"/>
      <c r="U311" s="55">
        <f>VLOOKUP($E311,'NI-San_SP'!$C:$AN,MID(U$1,1,2),FALSE)</f>
        <v>0</v>
      </c>
      <c r="V311" s="55">
        <f>VLOOKUP($E311,'NI-San_SP'!$C:$AN,MID(V$1,1,2),FALSE)</f>
        <v>0</v>
      </c>
      <c r="W311" s="55">
        <f>VLOOKUP($E311,'NI-San_SP'!$C:$AN,MID(W$1,1,2),FALSE)</f>
        <v>0</v>
      </c>
      <c r="X311" s="55">
        <f>VLOOKUP($E311,'NI-San_SP'!$C:$AN,MID(X$1,1,2),FALSE)</f>
        <v>0</v>
      </c>
      <c r="Y311" s="55">
        <f>VLOOKUP($E311,'NI-San_SP'!$C:$AN,MID(Y$1,1,2),FALSE)</f>
        <v>27377</v>
      </c>
      <c r="Z311" s="55">
        <f>VLOOKUP($E311,'NI-San_SP'!$C:$AN,MID(Z$1,1,2),FALSE)</f>
        <v>0</v>
      </c>
      <c r="AA311" s="55">
        <f>VLOOKUP($E311,'NI-San_SP'!$C:$AN,MID(AA$1,1,2),FALSE)</f>
        <v>0</v>
      </c>
      <c r="AB311" s="55">
        <f>VLOOKUP($E311,'NI-San_SP'!$C:$AN,MID(AB$1,1,2),FALSE)</f>
        <v>0</v>
      </c>
      <c r="AC311" s="55">
        <f>VLOOKUP($E311,'NI-San_SP'!$C:$AN,MID(AC$1,1,2),FALSE)</f>
        <v>27377</v>
      </c>
      <c r="AD311" s="55">
        <f>VLOOKUP($E311,'NI-San_SP'!$C:$AN,MID(AD$1,1,2),FALSE)</f>
        <v>0</v>
      </c>
      <c r="AE311" s="55">
        <f>VLOOKUP($E311,'NI-San_SP'!$C:$AN,MID(AE$1,1,2),FALSE)</f>
        <v>0</v>
      </c>
      <c r="AF311" s="55">
        <f>VLOOKUP($E311,'NI-San_SP'!$C:$AN,MID(AF$1,1,2),FALSE)</f>
        <v>0</v>
      </c>
      <c r="AG311" s="55">
        <f>VLOOKUP($E311,'NI-San_SP'!$C:$AN,MID(AG$1,1,2),FALSE)</f>
        <v>0</v>
      </c>
      <c r="AH311" s="55">
        <f>VLOOKUP($E311,'NI-San_SP'!$C:$AN,MID(AH$1,1,2),FALSE)</f>
        <v>0</v>
      </c>
      <c r="AI311" s="55">
        <f>VLOOKUP($E311,'NI-San_SP'!$C:$AN,MID(AI$1,1,2),FALSE)</f>
        <v>0</v>
      </c>
      <c r="AJ311" s="55">
        <f>VLOOKUP($E311,'NI-San_SP'!$C:$AN,MID(AJ$1,1,2),FALSE)</f>
        <v>0</v>
      </c>
      <c r="AK311" s="55">
        <f>VLOOKUP($E311,'NI-San_SP'!$C:$AN,MID(AK$1,1,2),FALSE)</f>
        <v>0</v>
      </c>
      <c r="AL311" s="55">
        <f>VLOOKUP($E311,'NI-San_SP'!$C:$AN,MID(AL$1,1,2),FALSE)</f>
        <v>0</v>
      </c>
      <c r="AM311" s="56">
        <f>VLOOKUP($E311,'NI-San_SP'!$C:$AN,MID(AM$1,1,2),FALSE)</f>
        <v>0</v>
      </c>
      <c r="AN311" s="30" t="str">
        <f t="shared" si="4"/>
        <v>20101010010050</v>
      </c>
    </row>
    <row r="312" spans="3:40" x14ac:dyDescent="0.25">
      <c r="C312" s="40"/>
      <c r="D312" s="67" t="s">
        <v>1159</v>
      </c>
      <c r="E312" s="67" t="s">
        <v>1160</v>
      </c>
      <c r="F312" s="68" t="s">
        <v>110</v>
      </c>
      <c r="G312" s="69"/>
      <c r="H312" s="52"/>
      <c r="I312" s="52" t="s">
        <v>1144</v>
      </c>
      <c r="J312" s="52" t="s">
        <v>1144</v>
      </c>
      <c r="K312" s="69" t="s">
        <v>79</v>
      </c>
      <c r="L312" s="52"/>
      <c r="M312" s="52"/>
      <c r="N312" s="52"/>
      <c r="O312" s="61" t="s">
        <v>1145</v>
      </c>
      <c r="P312" s="70" t="s">
        <v>1161</v>
      </c>
      <c r="Q312" s="55">
        <f>VLOOKUP(E312,'NI-San_SP'!$C:$AN,12,FALSE)</f>
        <v>0</v>
      </c>
      <c r="R312" s="55">
        <f>VLOOKUP(E312,'NI-San_SP'!$C:$AN,13,FALSE)</f>
        <v>0</v>
      </c>
      <c r="S312" s="55"/>
      <c r="T312" s="55"/>
      <c r="U312" s="55">
        <f>VLOOKUP($E312,'NI-San_SP'!$C:$AN,MID(U$1,1,2),FALSE)</f>
        <v>0</v>
      </c>
      <c r="V312" s="55">
        <f>VLOOKUP($E312,'NI-San_SP'!$C:$AN,MID(V$1,1,2),FALSE)</f>
        <v>0</v>
      </c>
      <c r="W312" s="55">
        <f>VLOOKUP($E312,'NI-San_SP'!$C:$AN,MID(W$1,1,2),FALSE)</f>
        <v>0</v>
      </c>
      <c r="X312" s="55">
        <f>VLOOKUP($E312,'NI-San_SP'!$C:$AN,MID(X$1,1,2),FALSE)</f>
        <v>0</v>
      </c>
      <c r="Y312" s="55">
        <f>VLOOKUP($E312,'NI-San_SP'!$C:$AN,MID(Y$1,1,2),FALSE)</f>
        <v>0</v>
      </c>
      <c r="Z312" s="55">
        <f>VLOOKUP($E312,'NI-San_SP'!$C:$AN,MID(Z$1,1,2),FALSE)</f>
        <v>0</v>
      </c>
      <c r="AA312" s="55">
        <f>VLOOKUP($E312,'NI-San_SP'!$C:$AN,MID(AA$1,1,2),FALSE)</f>
        <v>0</v>
      </c>
      <c r="AB312" s="55">
        <f>VLOOKUP($E312,'NI-San_SP'!$C:$AN,MID(AB$1,1,2),FALSE)</f>
        <v>0</v>
      </c>
      <c r="AC312" s="55">
        <f>VLOOKUP($E312,'NI-San_SP'!$C:$AN,MID(AC$1,1,2),FALSE)</f>
        <v>0</v>
      </c>
      <c r="AD312" s="55">
        <f>VLOOKUP($E312,'NI-San_SP'!$C:$AN,MID(AD$1,1,2),FALSE)</f>
        <v>0</v>
      </c>
      <c r="AE312" s="55">
        <f>VLOOKUP($E312,'NI-San_SP'!$C:$AN,MID(AE$1,1,2),FALSE)</f>
        <v>0</v>
      </c>
      <c r="AF312" s="55">
        <f>VLOOKUP($E312,'NI-San_SP'!$C:$AN,MID(AF$1,1,2),FALSE)</f>
        <v>0</v>
      </c>
      <c r="AG312" s="55">
        <f>VLOOKUP($E312,'NI-San_SP'!$C:$AN,MID(AG$1,1,2),FALSE)</f>
        <v>0</v>
      </c>
      <c r="AH312" s="55">
        <f>VLOOKUP($E312,'NI-San_SP'!$C:$AN,MID(AH$1,1,2),FALSE)</f>
        <v>0</v>
      </c>
      <c r="AI312" s="55">
        <f>VLOOKUP($E312,'NI-San_SP'!$C:$AN,MID(AI$1,1,2),FALSE)</f>
        <v>0</v>
      </c>
      <c r="AJ312" s="55">
        <f>VLOOKUP($E312,'NI-San_SP'!$C:$AN,MID(AJ$1,1,2),FALSE)</f>
        <v>0</v>
      </c>
      <c r="AK312" s="55">
        <f>VLOOKUP($E312,'NI-San_SP'!$C:$AN,MID(AK$1,1,2),FALSE)</f>
        <v>0</v>
      </c>
      <c r="AL312" s="55">
        <f>VLOOKUP($E312,'NI-San_SP'!$C:$AN,MID(AL$1,1,2),FALSE)</f>
        <v>0</v>
      </c>
      <c r="AM312" s="56">
        <f>VLOOKUP($E312,'NI-San_SP'!$C:$AN,MID(AM$1,1,2),FALSE)</f>
        <v>0</v>
      </c>
      <c r="AN312" s="30" t="str">
        <f t="shared" si="4"/>
        <v>20101010010060</v>
      </c>
    </row>
    <row r="313" spans="3:40" x14ac:dyDescent="0.25">
      <c r="C313" s="40"/>
      <c r="D313" s="67" t="s">
        <v>1162</v>
      </c>
      <c r="E313" s="67" t="s">
        <v>1163</v>
      </c>
      <c r="F313" s="68" t="s">
        <v>110</v>
      </c>
      <c r="G313" s="69"/>
      <c r="H313" s="52"/>
      <c r="I313" s="52" t="s">
        <v>1144</v>
      </c>
      <c r="J313" s="52" t="s">
        <v>1144</v>
      </c>
      <c r="K313" s="69" t="s">
        <v>79</v>
      </c>
      <c r="L313" s="52"/>
      <c r="M313" s="52"/>
      <c r="N313" s="52"/>
      <c r="O313" s="61" t="s">
        <v>1145</v>
      </c>
      <c r="P313" s="70" t="s">
        <v>1164</v>
      </c>
      <c r="Q313" s="55">
        <f>VLOOKUP(E313,'NI-San_SP'!$C:$AN,12,FALSE)</f>
        <v>0</v>
      </c>
      <c r="R313" s="55">
        <f>VLOOKUP(E313,'NI-San_SP'!$C:$AN,13,FALSE)</f>
        <v>0</v>
      </c>
      <c r="S313" s="55"/>
      <c r="T313" s="55"/>
      <c r="U313" s="55">
        <f>VLOOKUP($E313,'NI-San_SP'!$C:$AN,MID(U$1,1,2),FALSE)</f>
        <v>0</v>
      </c>
      <c r="V313" s="55">
        <f>VLOOKUP($E313,'NI-San_SP'!$C:$AN,MID(V$1,1,2),FALSE)</f>
        <v>0</v>
      </c>
      <c r="W313" s="55">
        <f>VLOOKUP($E313,'NI-San_SP'!$C:$AN,MID(W$1,1,2),FALSE)</f>
        <v>0</v>
      </c>
      <c r="X313" s="55">
        <f>VLOOKUP($E313,'NI-San_SP'!$C:$AN,MID(X$1,1,2),FALSE)</f>
        <v>0</v>
      </c>
      <c r="Y313" s="55">
        <f>VLOOKUP($E313,'NI-San_SP'!$C:$AN,MID(Y$1,1,2),FALSE)</f>
        <v>0</v>
      </c>
      <c r="Z313" s="55">
        <f>VLOOKUP($E313,'NI-San_SP'!$C:$AN,MID(Z$1,1,2),FALSE)</f>
        <v>0</v>
      </c>
      <c r="AA313" s="55">
        <f>VLOOKUP($E313,'NI-San_SP'!$C:$AN,MID(AA$1,1,2),FALSE)</f>
        <v>0</v>
      </c>
      <c r="AB313" s="55">
        <f>VLOOKUP($E313,'NI-San_SP'!$C:$AN,MID(AB$1,1,2),FALSE)</f>
        <v>0</v>
      </c>
      <c r="AC313" s="55">
        <f>VLOOKUP($E313,'NI-San_SP'!$C:$AN,MID(AC$1,1,2),FALSE)</f>
        <v>0</v>
      </c>
      <c r="AD313" s="55">
        <f>VLOOKUP($E313,'NI-San_SP'!$C:$AN,MID(AD$1,1,2),FALSE)</f>
        <v>0</v>
      </c>
      <c r="AE313" s="55">
        <f>VLOOKUP($E313,'NI-San_SP'!$C:$AN,MID(AE$1,1,2),FALSE)</f>
        <v>0</v>
      </c>
      <c r="AF313" s="55">
        <f>VLOOKUP($E313,'NI-San_SP'!$C:$AN,MID(AF$1,1,2),FALSE)</f>
        <v>0</v>
      </c>
      <c r="AG313" s="55">
        <f>VLOOKUP($E313,'NI-San_SP'!$C:$AN,MID(AG$1,1,2),FALSE)</f>
        <v>0</v>
      </c>
      <c r="AH313" s="55">
        <f>VLOOKUP($E313,'NI-San_SP'!$C:$AN,MID(AH$1,1,2),FALSE)</f>
        <v>0</v>
      </c>
      <c r="AI313" s="55">
        <f>VLOOKUP($E313,'NI-San_SP'!$C:$AN,MID(AI$1,1,2),FALSE)</f>
        <v>0</v>
      </c>
      <c r="AJ313" s="55">
        <f>VLOOKUP($E313,'NI-San_SP'!$C:$AN,MID(AJ$1,1,2),FALSE)</f>
        <v>0</v>
      </c>
      <c r="AK313" s="55">
        <f>VLOOKUP($E313,'NI-San_SP'!$C:$AN,MID(AK$1,1,2),FALSE)</f>
        <v>0</v>
      </c>
      <c r="AL313" s="55">
        <f>VLOOKUP($E313,'NI-San_SP'!$C:$AN,MID(AL$1,1,2),FALSE)</f>
        <v>0</v>
      </c>
      <c r="AM313" s="56">
        <f>VLOOKUP($E313,'NI-San_SP'!$C:$AN,MID(AM$1,1,2),FALSE)</f>
        <v>0</v>
      </c>
      <c r="AN313" s="30" t="str">
        <f t="shared" si="4"/>
        <v>20101010010070</v>
      </c>
    </row>
    <row r="314" spans="3:40" x14ac:dyDescent="0.25">
      <c r="C314" s="40"/>
      <c r="D314" s="67" t="s">
        <v>1165</v>
      </c>
      <c r="E314" s="67" t="s">
        <v>1166</v>
      </c>
      <c r="F314" s="68" t="s">
        <v>110</v>
      </c>
      <c r="G314" s="69"/>
      <c r="H314" s="52"/>
      <c r="I314" s="52" t="s">
        <v>1144</v>
      </c>
      <c r="J314" s="52" t="s">
        <v>1144</v>
      </c>
      <c r="K314" s="69" t="s">
        <v>79</v>
      </c>
      <c r="L314" s="52"/>
      <c r="M314" s="52"/>
      <c r="N314" s="52"/>
      <c r="O314" s="61" t="s">
        <v>1145</v>
      </c>
      <c r="P314" s="70" t="s">
        <v>1167</v>
      </c>
      <c r="Q314" s="55">
        <f>VLOOKUP(E314,'NI-San_SP'!$C:$AN,12,FALSE)</f>
        <v>3942</v>
      </c>
      <c r="R314" s="55">
        <f>VLOOKUP(E314,'NI-San_SP'!$C:$AN,13,FALSE)</f>
        <v>3984</v>
      </c>
      <c r="S314" s="55"/>
      <c r="T314" s="55"/>
      <c r="U314" s="55">
        <f>VLOOKUP($E314,'NI-San_SP'!$C:$AN,MID(U$1,1,2),FALSE)</f>
        <v>0</v>
      </c>
      <c r="V314" s="55">
        <f>VLOOKUP($E314,'NI-San_SP'!$C:$AN,MID(V$1,1,2),FALSE)</f>
        <v>3942</v>
      </c>
      <c r="W314" s="55">
        <f>VLOOKUP($E314,'NI-San_SP'!$C:$AN,MID(W$1,1,2),FALSE)</f>
        <v>0</v>
      </c>
      <c r="X314" s="55">
        <f>VLOOKUP($E314,'NI-San_SP'!$C:$AN,MID(X$1,1,2),FALSE)</f>
        <v>0</v>
      </c>
      <c r="Y314" s="55">
        <f>VLOOKUP($E314,'NI-San_SP'!$C:$AN,MID(Y$1,1,2),FALSE)</f>
        <v>492182</v>
      </c>
      <c r="Z314" s="55">
        <f>VLOOKUP($E314,'NI-San_SP'!$C:$AN,MID(Z$1,1,2),FALSE)</f>
        <v>0</v>
      </c>
      <c r="AA314" s="55">
        <f>VLOOKUP($E314,'NI-San_SP'!$C:$AN,MID(AA$1,1,2),FALSE)</f>
        <v>0</v>
      </c>
      <c r="AB314" s="55">
        <f>VLOOKUP($E314,'NI-San_SP'!$C:$AN,MID(AB$1,1,2),FALSE)</f>
        <v>0</v>
      </c>
      <c r="AC314" s="55">
        <f>VLOOKUP($E314,'NI-San_SP'!$C:$AN,MID(AC$1,1,2),FALSE)</f>
        <v>492140</v>
      </c>
      <c r="AD314" s="55">
        <f>VLOOKUP($E314,'NI-San_SP'!$C:$AN,MID(AD$1,1,2),FALSE)</f>
        <v>3984</v>
      </c>
      <c r="AE314" s="55">
        <f>VLOOKUP($E314,'NI-San_SP'!$C:$AN,MID(AE$1,1,2),FALSE)</f>
        <v>0</v>
      </c>
      <c r="AF314" s="55">
        <f>VLOOKUP($E314,'NI-San_SP'!$C:$AN,MID(AF$1,1,2),FALSE)</f>
        <v>1087</v>
      </c>
      <c r="AG314" s="55">
        <f>VLOOKUP($E314,'NI-San_SP'!$C:$AN,MID(AG$1,1,2),FALSE)</f>
        <v>0</v>
      </c>
      <c r="AH314" s="55">
        <f>VLOOKUP($E314,'NI-San_SP'!$C:$AN,MID(AH$1,1,2),FALSE)</f>
        <v>0</v>
      </c>
      <c r="AI314" s="55">
        <f>VLOOKUP($E314,'NI-San_SP'!$C:$AN,MID(AI$1,1,2),FALSE)</f>
        <v>0</v>
      </c>
      <c r="AJ314" s="55">
        <f>VLOOKUP($E314,'NI-San_SP'!$C:$AN,MID(AJ$1,1,2),FALSE)</f>
        <v>0</v>
      </c>
      <c r="AK314" s="55">
        <f>VLOOKUP($E314,'NI-San_SP'!$C:$AN,MID(AK$1,1,2),FALSE)</f>
        <v>0</v>
      </c>
      <c r="AL314" s="55">
        <f>VLOOKUP($E314,'NI-San_SP'!$C:$AN,MID(AL$1,1,2),FALSE)</f>
        <v>0</v>
      </c>
      <c r="AM314" s="56">
        <f>VLOOKUP($E314,'NI-San_SP'!$C:$AN,MID(AM$1,1,2),FALSE)</f>
        <v>0</v>
      </c>
      <c r="AN314" s="30" t="str">
        <f t="shared" si="4"/>
        <v>20101010010080</v>
      </c>
    </row>
    <row r="315" spans="3:40" x14ac:dyDescent="0.25">
      <c r="C315" s="40"/>
      <c r="D315" s="67" t="s">
        <v>1168</v>
      </c>
      <c r="E315" s="67" t="s">
        <v>1169</v>
      </c>
      <c r="F315" s="68" t="s">
        <v>110</v>
      </c>
      <c r="G315" s="69"/>
      <c r="H315" s="52"/>
      <c r="I315" s="52" t="s">
        <v>1144</v>
      </c>
      <c r="J315" s="52" t="s">
        <v>1144</v>
      </c>
      <c r="K315" s="69" t="s">
        <v>79</v>
      </c>
      <c r="L315" s="52"/>
      <c r="M315" s="52"/>
      <c r="N315" s="52"/>
      <c r="O315" s="61" t="s">
        <v>1145</v>
      </c>
      <c r="P315" s="70" t="s">
        <v>1170</v>
      </c>
      <c r="Q315" s="55">
        <f>VLOOKUP(E315,'NI-San_SP'!$C:$AN,12,FALSE)</f>
        <v>0</v>
      </c>
      <c r="R315" s="55">
        <f>VLOOKUP(E315,'NI-San_SP'!$C:$AN,13,FALSE)</f>
        <v>0</v>
      </c>
      <c r="S315" s="55"/>
      <c r="T315" s="55"/>
      <c r="U315" s="55">
        <f>VLOOKUP($E315,'NI-San_SP'!$C:$AN,MID(U$1,1,2),FALSE)</f>
        <v>0</v>
      </c>
      <c r="V315" s="55">
        <f>VLOOKUP($E315,'NI-San_SP'!$C:$AN,MID(V$1,1,2),FALSE)</f>
        <v>0</v>
      </c>
      <c r="W315" s="55">
        <f>VLOOKUP($E315,'NI-San_SP'!$C:$AN,MID(W$1,1,2),FALSE)</f>
        <v>0</v>
      </c>
      <c r="X315" s="55">
        <f>VLOOKUP($E315,'NI-San_SP'!$C:$AN,MID(X$1,1,2),FALSE)</f>
        <v>0</v>
      </c>
      <c r="Y315" s="55">
        <f>VLOOKUP($E315,'NI-San_SP'!$C:$AN,MID(Y$1,1,2),FALSE)</f>
        <v>410103</v>
      </c>
      <c r="Z315" s="55">
        <f>VLOOKUP($E315,'NI-San_SP'!$C:$AN,MID(Z$1,1,2),FALSE)</f>
        <v>0</v>
      </c>
      <c r="AA315" s="55">
        <f>VLOOKUP($E315,'NI-San_SP'!$C:$AN,MID(AA$1,1,2),FALSE)</f>
        <v>0</v>
      </c>
      <c r="AB315" s="55">
        <f>VLOOKUP($E315,'NI-San_SP'!$C:$AN,MID(AB$1,1,2),FALSE)</f>
        <v>0</v>
      </c>
      <c r="AC315" s="55">
        <f>VLOOKUP($E315,'NI-San_SP'!$C:$AN,MID(AC$1,1,2),FALSE)</f>
        <v>410103</v>
      </c>
      <c r="AD315" s="55">
        <f>VLOOKUP($E315,'NI-San_SP'!$C:$AN,MID(AD$1,1,2),FALSE)</f>
        <v>0</v>
      </c>
      <c r="AE315" s="55">
        <f>VLOOKUP($E315,'NI-San_SP'!$C:$AN,MID(AE$1,1,2),FALSE)</f>
        <v>0</v>
      </c>
      <c r="AF315" s="55">
        <f>VLOOKUP($E315,'NI-San_SP'!$C:$AN,MID(AF$1,1,2),FALSE)</f>
        <v>0</v>
      </c>
      <c r="AG315" s="55">
        <f>VLOOKUP($E315,'NI-San_SP'!$C:$AN,MID(AG$1,1,2),FALSE)</f>
        <v>0</v>
      </c>
      <c r="AH315" s="55">
        <f>VLOOKUP($E315,'NI-San_SP'!$C:$AN,MID(AH$1,1,2),FALSE)</f>
        <v>0</v>
      </c>
      <c r="AI315" s="55">
        <f>VLOOKUP($E315,'NI-San_SP'!$C:$AN,MID(AI$1,1,2),FALSE)</f>
        <v>0</v>
      </c>
      <c r="AJ315" s="55">
        <f>VLOOKUP($E315,'NI-San_SP'!$C:$AN,MID(AJ$1,1,2),FALSE)</f>
        <v>0</v>
      </c>
      <c r="AK315" s="55">
        <f>VLOOKUP($E315,'NI-San_SP'!$C:$AN,MID(AK$1,1,2),FALSE)</f>
        <v>0</v>
      </c>
      <c r="AL315" s="55">
        <f>VLOOKUP($E315,'NI-San_SP'!$C:$AN,MID(AL$1,1,2),FALSE)</f>
        <v>0</v>
      </c>
      <c r="AM315" s="56">
        <f>VLOOKUP($E315,'NI-San_SP'!$C:$AN,MID(AM$1,1,2),FALSE)</f>
        <v>0</v>
      </c>
      <c r="AN315" s="30" t="str">
        <f t="shared" si="4"/>
        <v>20101010010090</v>
      </c>
    </row>
    <row r="316" spans="3:40" x14ac:dyDescent="0.25">
      <c r="C316" s="40"/>
      <c r="D316" s="67" t="s">
        <v>1171</v>
      </c>
      <c r="E316" s="67" t="s">
        <v>1172</v>
      </c>
      <c r="F316" s="68" t="s">
        <v>110</v>
      </c>
      <c r="G316" s="69"/>
      <c r="H316" s="52"/>
      <c r="I316" s="52" t="s">
        <v>1144</v>
      </c>
      <c r="J316" s="52" t="s">
        <v>1144</v>
      </c>
      <c r="K316" s="69" t="s">
        <v>79</v>
      </c>
      <c r="L316" s="52"/>
      <c r="M316" s="52"/>
      <c r="N316" s="52"/>
      <c r="O316" s="61" t="s">
        <v>1145</v>
      </c>
      <c r="P316" s="70" t="s">
        <v>1173</v>
      </c>
      <c r="Q316" s="55">
        <f>VLOOKUP(E316,'NI-San_SP'!$C:$AN,12,FALSE)</f>
        <v>0</v>
      </c>
      <c r="R316" s="55">
        <f>VLOOKUP(E316,'NI-San_SP'!$C:$AN,13,FALSE)</f>
        <v>0</v>
      </c>
      <c r="S316" s="55"/>
      <c r="T316" s="55"/>
      <c r="U316" s="55">
        <f>VLOOKUP($E316,'NI-San_SP'!$C:$AN,MID(U$1,1,2),FALSE)</f>
        <v>0</v>
      </c>
      <c r="V316" s="55">
        <f>VLOOKUP($E316,'NI-San_SP'!$C:$AN,MID(V$1,1,2),FALSE)</f>
        <v>0</v>
      </c>
      <c r="W316" s="55">
        <f>VLOOKUP($E316,'NI-San_SP'!$C:$AN,MID(W$1,1,2),FALSE)</f>
        <v>0</v>
      </c>
      <c r="X316" s="55">
        <f>VLOOKUP($E316,'NI-San_SP'!$C:$AN,MID(X$1,1,2),FALSE)</f>
        <v>0</v>
      </c>
      <c r="Y316" s="55">
        <f>VLOOKUP($E316,'NI-San_SP'!$C:$AN,MID(Y$1,1,2),FALSE)</f>
        <v>0</v>
      </c>
      <c r="Z316" s="55">
        <f>VLOOKUP($E316,'NI-San_SP'!$C:$AN,MID(Z$1,1,2),FALSE)</f>
        <v>0</v>
      </c>
      <c r="AA316" s="55">
        <f>VLOOKUP($E316,'NI-San_SP'!$C:$AN,MID(AA$1,1,2),FALSE)</f>
        <v>0</v>
      </c>
      <c r="AB316" s="55">
        <f>VLOOKUP($E316,'NI-San_SP'!$C:$AN,MID(AB$1,1,2),FALSE)</f>
        <v>0</v>
      </c>
      <c r="AC316" s="55">
        <f>VLOOKUP($E316,'NI-San_SP'!$C:$AN,MID(AC$1,1,2),FALSE)</f>
        <v>0</v>
      </c>
      <c r="AD316" s="55">
        <f>VLOOKUP($E316,'NI-San_SP'!$C:$AN,MID(AD$1,1,2),FALSE)</f>
        <v>0</v>
      </c>
      <c r="AE316" s="55">
        <f>VLOOKUP($E316,'NI-San_SP'!$C:$AN,MID(AE$1,1,2),FALSE)</f>
        <v>0</v>
      </c>
      <c r="AF316" s="55">
        <f>VLOOKUP($E316,'NI-San_SP'!$C:$AN,MID(AF$1,1,2),FALSE)</f>
        <v>0</v>
      </c>
      <c r="AG316" s="55">
        <f>VLOOKUP($E316,'NI-San_SP'!$C:$AN,MID(AG$1,1,2),FALSE)</f>
        <v>0</v>
      </c>
      <c r="AH316" s="55">
        <f>VLOOKUP($E316,'NI-San_SP'!$C:$AN,MID(AH$1,1,2),FALSE)</f>
        <v>0</v>
      </c>
      <c r="AI316" s="55">
        <f>VLOOKUP($E316,'NI-San_SP'!$C:$AN,MID(AI$1,1,2),FALSE)</f>
        <v>0</v>
      </c>
      <c r="AJ316" s="55">
        <f>VLOOKUP($E316,'NI-San_SP'!$C:$AN,MID(AJ$1,1,2),FALSE)</f>
        <v>0</v>
      </c>
      <c r="AK316" s="55">
        <f>VLOOKUP($E316,'NI-San_SP'!$C:$AN,MID(AK$1,1,2),FALSE)</f>
        <v>0</v>
      </c>
      <c r="AL316" s="55">
        <f>VLOOKUP($E316,'NI-San_SP'!$C:$AN,MID(AL$1,1,2),FALSE)</f>
        <v>0</v>
      </c>
      <c r="AM316" s="56">
        <f>VLOOKUP($E316,'NI-San_SP'!$C:$AN,MID(AM$1,1,2),FALSE)</f>
        <v>0</v>
      </c>
      <c r="AN316" s="30" t="str">
        <f t="shared" si="4"/>
        <v>20101010010100</v>
      </c>
    </row>
    <row r="317" spans="3:40" x14ac:dyDescent="0.25">
      <c r="C317" s="40"/>
      <c r="D317" s="67" t="s">
        <v>1174</v>
      </c>
      <c r="E317" s="67" t="s">
        <v>1175</v>
      </c>
      <c r="F317" s="68" t="s">
        <v>110</v>
      </c>
      <c r="G317" s="69"/>
      <c r="H317" s="52"/>
      <c r="I317" s="52" t="s">
        <v>1144</v>
      </c>
      <c r="J317" s="52" t="s">
        <v>1144</v>
      </c>
      <c r="K317" s="69" t="s">
        <v>79</v>
      </c>
      <c r="L317" s="52"/>
      <c r="M317" s="52"/>
      <c r="N317" s="52"/>
      <c r="O317" s="61" t="s">
        <v>1145</v>
      </c>
      <c r="P317" s="70" t="s">
        <v>1176</v>
      </c>
      <c r="Q317" s="55">
        <f>VLOOKUP(E317,'NI-San_SP'!$C:$AN,12,FALSE)</f>
        <v>0</v>
      </c>
      <c r="R317" s="55">
        <f>VLOOKUP(E317,'NI-San_SP'!$C:$AN,13,FALSE)</f>
        <v>0</v>
      </c>
      <c r="S317" s="55"/>
      <c r="T317" s="55"/>
      <c r="U317" s="55">
        <f>VLOOKUP($E317,'NI-San_SP'!$C:$AN,MID(U$1,1,2),FALSE)</f>
        <v>0</v>
      </c>
      <c r="V317" s="55">
        <f>VLOOKUP($E317,'NI-San_SP'!$C:$AN,MID(V$1,1,2),FALSE)</f>
        <v>0</v>
      </c>
      <c r="W317" s="55">
        <f>VLOOKUP($E317,'NI-San_SP'!$C:$AN,MID(W$1,1,2),FALSE)</f>
        <v>0</v>
      </c>
      <c r="X317" s="55">
        <f>VLOOKUP($E317,'NI-San_SP'!$C:$AN,MID(X$1,1,2),FALSE)</f>
        <v>0</v>
      </c>
      <c r="Y317" s="55">
        <f>VLOOKUP($E317,'NI-San_SP'!$C:$AN,MID(Y$1,1,2),FALSE)</f>
        <v>0</v>
      </c>
      <c r="Z317" s="55">
        <f>VLOOKUP($E317,'NI-San_SP'!$C:$AN,MID(Z$1,1,2),FALSE)</f>
        <v>0</v>
      </c>
      <c r="AA317" s="55">
        <f>VLOOKUP($E317,'NI-San_SP'!$C:$AN,MID(AA$1,1,2),FALSE)</f>
        <v>0</v>
      </c>
      <c r="AB317" s="55">
        <f>VLOOKUP($E317,'NI-San_SP'!$C:$AN,MID(AB$1,1,2),FALSE)</f>
        <v>0</v>
      </c>
      <c r="AC317" s="55">
        <f>VLOOKUP($E317,'NI-San_SP'!$C:$AN,MID(AC$1,1,2),FALSE)</f>
        <v>0</v>
      </c>
      <c r="AD317" s="55">
        <f>VLOOKUP($E317,'NI-San_SP'!$C:$AN,MID(AD$1,1,2),FALSE)</f>
        <v>0</v>
      </c>
      <c r="AE317" s="55">
        <f>VLOOKUP($E317,'NI-San_SP'!$C:$AN,MID(AE$1,1,2),FALSE)</f>
        <v>0</v>
      </c>
      <c r="AF317" s="55">
        <f>VLOOKUP($E317,'NI-San_SP'!$C:$AN,MID(AF$1,1,2),FALSE)</f>
        <v>0</v>
      </c>
      <c r="AG317" s="55">
        <f>VLOOKUP($E317,'NI-San_SP'!$C:$AN,MID(AG$1,1,2),FALSE)</f>
        <v>0</v>
      </c>
      <c r="AH317" s="55">
        <f>VLOOKUP($E317,'NI-San_SP'!$C:$AN,MID(AH$1,1,2),FALSE)</f>
        <v>0</v>
      </c>
      <c r="AI317" s="55">
        <f>VLOOKUP($E317,'NI-San_SP'!$C:$AN,MID(AI$1,1,2),FALSE)</f>
        <v>0</v>
      </c>
      <c r="AJ317" s="55">
        <f>VLOOKUP($E317,'NI-San_SP'!$C:$AN,MID(AJ$1,1,2),FALSE)</f>
        <v>0</v>
      </c>
      <c r="AK317" s="55">
        <f>VLOOKUP($E317,'NI-San_SP'!$C:$AN,MID(AK$1,1,2),FALSE)</f>
        <v>0</v>
      </c>
      <c r="AL317" s="55">
        <f>VLOOKUP($E317,'NI-San_SP'!$C:$AN,MID(AL$1,1,2),FALSE)</f>
        <v>0</v>
      </c>
      <c r="AM317" s="56">
        <f>VLOOKUP($E317,'NI-San_SP'!$C:$AN,MID(AM$1,1,2),FALSE)</f>
        <v>0</v>
      </c>
      <c r="AN317" s="30" t="str">
        <f t="shared" si="4"/>
        <v>20101010010110</v>
      </c>
    </row>
    <row r="318" spans="3:40" x14ac:dyDescent="0.25">
      <c r="C318" s="40"/>
      <c r="D318" s="67" t="s">
        <v>1177</v>
      </c>
      <c r="E318" s="67" t="s">
        <v>1178</v>
      </c>
      <c r="F318" s="68" t="s">
        <v>110</v>
      </c>
      <c r="G318" s="69"/>
      <c r="H318" s="52"/>
      <c r="I318" s="52" t="s">
        <v>1144</v>
      </c>
      <c r="J318" s="52" t="s">
        <v>1144</v>
      </c>
      <c r="K318" s="69" t="s">
        <v>79</v>
      </c>
      <c r="L318" s="52"/>
      <c r="M318" s="52"/>
      <c r="N318" s="52"/>
      <c r="O318" s="61" t="s">
        <v>1145</v>
      </c>
      <c r="P318" s="71" t="s">
        <v>1179</v>
      </c>
      <c r="Q318" s="55">
        <f>VLOOKUP(E318,'NI-San_SP'!$C:$AN,12,FALSE)</f>
        <v>58055</v>
      </c>
      <c r="R318" s="55">
        <f>VLOOKUP(E318,'NI-San_SP'!$C:$AN,13,FALSE)</f>
        <v>38814</v>
      </c>
      <c r="S318" s="55"/>
      <c r="T318" s="55"/>
      <c r="U318" s="55">
        <f>VLOOKUP($E318,'NI-San_SP'!$C:$AN,MID(U$1,1,2),FALSE)</f>
        <v>0</v>
      </c>
      <c r="V318" s="55">
        <f>VLOOKUP($E318,'NI-San_SP'!$C:$AN,MID(V$1,1,2),FALSE)</f>
        <v>58055</v>
      </c>
      <c r="W318" s="55">
        <f>VLOOKUP($E318,'NI-San_SP'!$C:$AN,MID(W$1,1,2),FALSE)</f>
        <v>0</v>
      </c>
      <c r="X318" s="55">
        <f>VLOOKUP($E318,'NI-San_SP'!$C:$AN,MID(X$1,1,2),FALSE)</f>
        <v>0</v>
      </c>
      <c r="Y318" s="55">
        <f>VLOOKUP($E318,'NI-San_SP'!$C:$AN,MID(Y$1,1,2),FALSE)</f>
        <v>69766</v>
      </c>
      <c r="Z318" s="55">
        <f>VLOOKUP($E318,'NI-San_SP'!$C:$AN,MID(Z$1,1,2),FALSE)</f>
        <v>0</v>
      </c>
      <c r="AA318" s="55">
        <f>VLOOKUP($E318,'NI-San_SP'!$C:$AN,MID(AA$1,1,2),FALSE)</f>
        <v>0</v>
      </c>
      <c r="AB318" s="55">
        <f>VLOOKUP($E318,'NI-San_SP'!$C:$AN,MID(AB$1,1,2),FALSE)</f>
        <v>0</v>
      </c>
      <c r="AC318" s="55">
        <f>VLOOKUP($E318,'NI-San_SP'!$C:$AN,MID(AC$1,1,2),FALSE)</f>
        <v>89007</v>
      </c>
      <c r="AD318" s="55">
        <f>VLOOKUP($E318,'NI-San_SP'!$C:$AN,MID(AD$1,1,2),FALSE)</f>
        <v>38814</v>
      </c>
      <c r="AE318" s="55">
        <f>VLOOKUP($E318,'NI-San_SP'!$C:$AN,MID(AE$1,1,2),FALSE)</f>
        <v>0</v>
      </c>
      <c r="AF318" s="55">
        <f>VLOOKUP($E318,'NI-San_SP'!$C:$AN,MID(AF$1,1,2),FALSE)</f>
        <v>12389</v>
      </c>
      <c r="AG318" s="55">
        <f>VLOOKUP($E318,'NI-San_SP'!$C:$AN,MID(AG$1,1,2),FALSE)</f>
        <v>0</v>
      </c>
      <c r="AH318" s="55">
        <f>VLOOKUP($E318,'NI-San_SP'!$C:$AN,MID(AH$1,1,2),FALSE)</f>
        <v>0</v>
      </c>
      <c r="AI318" s="55">
        <f>VLOOKUP($E318,'NI-San_SP'!$C:$AN,MID(AI$1,1,2),FALSE)</f>
        <v>0</v>
      </c>
      <c r="AJ318" s="55">
        <f>VLOOKUP($E318,'NI-San_SP'!$C:$AN,MID(AJ$1,1,2),FALSE)</f>
        <v>0</v>
      </c>
      <c r="AK318" s="55">
        <f>VLOOKUP($E318,'NI-San_SP'!$C:$AN,MID(AK$1,1,2),FALSE)</f>
        <v>0</v>
      </c>
      <c r="AL318" s="55">
        <f>VLOOKUP($E318,'NI-San_SP'!$C:$AN,MID(AL$1,1,2),FALSE)</f>
        <v>0</v>
      </c>
      <c r="AM318" s="56">
        <f>VLOOKUP($E318,'NI-San_SP'!$C:$AN,MID(AM$1,1,2),FALSE)</f>
        <v>0</v>
      </c>
      <c r="AN318" s="30" t="str">
        <f t="shared" si="4"/>
        <v>20101010010120</v>
      </c>
    </row>
    <row r="319" spans="3:40" x14ac:dyDescent="0.25">
      <c r="C319" s="40"/>
      <c r="D319" s="67" t="s">
        <v>1180</v>
      </c>
      <c r="E319" s="67" t="s">
        <v>1181</v>
      </c>
      <c r="F319" s="68" t="s">
        <v>110</v>
      </c>
      <c r="G319" s="69"/>
      <c r="H319" s="52"/>
      <c r="I319" s="52" t="s">
        <v>1144</v>
      </c>
      <c r="J319" s="52" t="s">
        <v>1144</v>
      </c>
      <c r="K319" s="69" t="s">
        <v>79</v>
      </c>
      <c r="L319" s="52"/>
      <c r="M319" s="52"/>
      <c r="N319" s="52"/>
      <c r="O319" s="61" t="s">
        <v>1145</v>
      </c>
      <c r="P319" s="71" t="s">
        <v>1182</v>
      </c>
      <c r="Q319" s="55">
        <f>VLOOKUP(E319,'NI-San_SP'!$C:$AN,12,FALSE)</f>
        <v>42989</v>
      </c>
      <c r="R319" s="55">
        <f>VLOOKUP(E319,'NI-San_SP'!$C:$AN,13,FALSE)</f>
        <v>52924</v>
      </c>
      <c r="S319" s="55"/>
      <c r="T319" s="55"/>
      <c r="U319" s="55">
        <f>VLOOKUP($E319,'NI-San_SP'!$C:$AN,MID(U$1,1,2),FALSE)</f>
        <v>0</v>
      </c>
      <c r="V319" s="55">
        <f>VLOOKUP($E319,'NI-San_SP'!$C:$AN,MID(V$1,1,2),FALSE)</f>
        <v>42989</v>
      </c>
      <c r="W319" s="55">
        <f>VLOOKUP($E319,'NI-San_SP'!$C:$AN,MID(W$1,1,2),FALSE)</f>
        <v>0</v>
      </c>
      <c r="X319" s="55">
        <f>VLOOKUP($E319,'NI-San_SP'!$C:$AN,MID(X$1,1,2),FALSE)</f>
        <v>0</v>
      </c>
      <c r="Y319" s="55">
        <f>VLOOKUP($E319,'NI-San_SP'!$C:$AN,MID(Y$1,1,2),FALSE)</f>
        <v>422194</v>
      </c>
      <c r="Z319" s="55">
        <f>VLOOKUP($E319,'NI-San_SP'!$C:$AN,MID(Z$1,1,2),FALSE)</f>
        <v>0</v>
      </c>
      <c r="AA319" s="55">
        <f>VLOOKUP($E319,'NI-San_SP'!$C:$AN,MID(AA$1,1,2),FALSE)</f>
        <v>0</v>
      </c>
      <c r="AB319" s="55">
        <f>VLOOKUP($E319,'NI-San_SP'!$C:$AN,MID(AB$1,1,2),FALSE)</f>
        <v>0</v>
      </c>
      <c r="AC319" s="55">
        <f>VLOOKUP($E319,'NI-San_SP'!$C:$AN,MID(AC$1,1,2),FALSE)</f>
        <v>412259</v>
      </c>
      <c r="AD319" s="55">
        <f>VLOOKUP($E319,'NI-San_SP'!$C:$AN,MID(AD$1,1,2),FALSE)</f>
        <v>52924</v>
      </c>
      <c r="AE319" s="55">
        <f>VLOOKUP($E319,'NI-San_SP'!$C:$AN,MID(AE$1,1,2),FALSE)</f>
        <v>0</v>
      </c>
      <c r="AF319" s="55">
        <f>VLOOKUP($E319,'NI-San_SP'!$C:$AN,MID(AF$1,1,2),FALSE)</f>
        <v>26910</v>
      </c>
      <c r="AG319" s="55">
        <f>VLOOKUP($E319,'NI-San_SP'!$C:$AN,MID(AG$1,1,2),FALSE)</f>
        <v>0</v>
      </c>
      <c r="AH319" s="55">
        <f>VLOOKUP($E319,'NI-San_SP'!$C:$AN,MID(AH$1,1,2),FALSE)</f>
        <v>0</v>
      </c>
      <c r="AI319" s="55">
        <f>VLOOKUP($E319,'NI-San_SP'!$C:$AN,MID(AI$1,1,2),FALSE)</f>
        <v>0</v>
      </c>
      <c r="AJ319" s="55">
        <f>VLOOKUP($E319,'NI-San_SP'!$C:$AN,MID(AJ$1,1,2),FALSE)</f>
        <v>0</v>
      </c>
      <c r="AK319" s="55">
        <f>VLOOKUP($E319,'NI-San_SP'!$C:$AN,MID(AK$1,1,2),FALSE)</f>
        <v>0</v>
      </c>
      <c r="AL319" s="55">
        <f>VLOOKUP($E319,'NI-San_SP'!$C:$AN,MID(AL$1,1,2),FALSE)</f>
        <v>0</v>
      </c>
      <c r="AM319" s="56">
        <f>VLOOKUP($E319,'NI-San_SP'!$C:$AN,MID(AM$1,1,2),FALSE)</f>
        <v>0</v>
      </c>
      <c r="AN319" s="30" t="str">
        <f t="shared" si="4"/>
        <v>20101010010130</v>
      </c>
    </row>
    <row r="320" spans="3:40" x14ac:dyDescent="0.25">
      <c r="C320" s="40"/>
      <c r="D320" s="67" t="s">
        <v>1183</v>
      </c>
      <c r="E320" s="67" t="s">
        <v>1184</v>
      </c>
      <c r="F320" s="68" t="s">
        <v>110</v>
      </c>
      <c r="G320" s="69"/>
      <c r="H320" s="52"/>
      <c r="I320" s="52" t="s">
        <v>1144</v>
      </c>
      <c r="J320" s="52" t="s">
        <v>1144</v>
      </c>
      <c r="K320" s="69" t="s">
        <v>79</v>
      </c>
      <c r="L320" s="52"/>
      <c r="M320" s="52"/>
      <c r="N320" s="52"/>
      <c r="O320" s="61" t="s">
        <v>1145</v>
      </c>
      <c r="P320" s="71" t="s">
        <v>1185</v>
      </c>
      <c r="Q320" s="55">
        <f>VLOOKUP(E320,'NI-San_SP'!$C:$AN,12,FALSE)</f>
        <v>909</v>
      </c>
      <c r="R320" s="55">
        <f>VLOOKUP(E320,'NI-San_SP'!$C:$AN,13,FALSE)</f>
        <v>1025</v>
      </c>
      <c r="S320" s="55"/>
      <c r="T320" s="55"/>
      <c r="U320" s="55">
        <f>VLOOKUP($E320,'NI-San_SP'!$C:$AN,MID(U$1,1,2),FALSE)</f>
        <v>0</v>
      </c>
      <c r="V320" s="55">
        <f>VLOOKUP($E320,'NI-San_SP'!$C:$AN,MID(V$1,1,2),FALSE)</f>
        <v>909</v>
      </c>
      <c r="W320" s="55">
        <f>VLOOKUP($E320,'NI-San_SP'!$C:$AN,MID(W$1,1,2),FALSE)</f>
        <v>0</v>
      </c>
      <c r="X320" s="55">
        <f>VLOOKUP($E320,'NI-San_SP'!$C:$AN,MID(X$1,1,2),FALSE)</f>
        <v>0</v>
      </c>
      <c r="Y320" s="55">
        <f>VLOOKUP($E320,'NI-San_SP'!$C:$AN,MID(Y$1,1,2),FALSE)</f>
        <v>23137</v>
      </c>
      <c r="Z320" s="55">
        <f>VLOOKUP($E320,'NI-San_SP'!$C:$AN,MID(Z$1,1,2),FALSE)</f>
        <v>0</v>
      </c>
      <c r="AA320" s="55">
        <f>VLOOKUP($E320,'NI-San_SP'!$C:$AN,MID(AA$1,1,2),FALSE)</f>
        <v>0</v>
      </c>
      <c r="AB320" s="55">
        <f>VLOOKUP($E320,'NI-San_SP'!$C:$AN,MID(AB$1,1,2),FALSE)</f>
        <v>0</v>
      </c>
      <c r="AC320" s="55">
        <f>VLOOKUP($E320,'NI-San_SP'!$C:$AN,MID(AC$1,1,2),FALSE)</f>
        <v>23021</v>
      </c>
      <c r="AD320" s="55">
        <f>VLOOKUP($E320,'NI-San_SP'!$C:$AN,MID(AD$1,1,2),FALSE)</f>
        <v>1025</v>
      </c>
      <c r="AE320" s="55">
        <f>VLOOKUP($E320,'NI-San_SP'!$C:$AN,MID(AE$1,1,2),FALSE)</f>
        <v>0</v>
      </c>
      <c r="AF320" s="55">
        <f>VLOOKUP($E320,'NI-San_SP'!$C:$AN,MID(AF$1,1,2),FALSE)</f>
        <v>1025</v>
      </c>
      <c r="AG320" s="55">
        <f>VLOOKUP($E320,'NI-San_SP'!$C:$AN,MID(AG$1,1,2),FALSE)</f>
        <v>0</v>
      </c>
      <c r="AH320" s="55">
        <f>VLOOKUP($E320,'NI-San_SP'!$C:$AN,MID(AH$1,1,2),FALSE)</f>
        <v>0</v>
      </c>
      <c r="AI320" s="55">
        <f>VLOOKUP($E320,'NI-San_SP'!$C:$AN,MID(AI$1,1,2),FALSE)</f>
        <v>0</v>
      </c>
      <c r="AJ320" s="55">
        <f>VLOOKUP($E320,'NI-San_SP'!$C:$AN,MID(AJ$1,1,2),FALSE)</f>
        <v>0</v>
      </c>
      <c r="AK320" s="55">
        <f>VLOOKUP($E320,'NI-San_SP'!$C:$AN,MID(AK$1,1,2),FALSE)</f>
        <v>0</v>
      </c>
      <c r="AL320" s="55">
        <f>VLOOKUP($E320,'NI-San_SP'!$C:$AN,MID(AL$1,1,2),FALSE)</f>
        <v>0</v>
      </c>
      <c r="AM320" s="56">
        <f>VLOOKUP($E320,'NI-San_SP'!$C:$AN,MID(AM$1,1,2),FALSE)</f>
        <v>0</v>
      </c>
      <c r="AN320" s="30" t="str">
        <f t="shared" si="4"/>
        <v>20101010010140</v>
      </c>
    </row>
    <row r="321" spans="3:40" x14ac:dyDescent="0.25">
      <c r="C321" s="40"/>
      <c r="D321" s="67" t="s">
        <v>1186</v>
      </c>
      <c r="E321" s="67" t="s">
        <v>1187</v>
      </c>
      <c r="F321" s="68" t="s">
        <v>110</v>
      </c>
      <c r="G321" s="69"/>
      <c r="H321" s="52"/>
      <c r="I321" s="52" t="s">
        <v>1144</v>
      </c>
      <c r="J321" s="52" t="s">
        <v>1144</v>
      </c>
      <c r="K321" s="69" t="s">
        <v>79</v>
      </c>
      <c r="L321" s="52"/>
      <c r="M321" s="52"/>
      <c r="N321" s="52"/>
      <c r="O321" s="61" t="s">
        <v>1145</v>
      </c>
      <c r="P321" s="70" t="s">
        <v>1188</v>
      </c>
      <c r="Q321" s="55">
        <f>VLOOKUP(E321,'NI-San_SP'!$C:$AN,12,FALSE)</f>
        <v>105462</v>
      </c>
      <c r="R321" s="55">
        <f>VLOOKUP(E321,'NI-San_SP'!$C:$AN,13,FALSE)</f>
        <v>101610</v>
      </c>
      <c r="S321" s="55"/>
      <c r="T321" s="55"/>
      <c r="U321" s="55">
        <f>VLOOKUP($E321,'NI-San_SP'!$C:$AN,MID(U$1,1,2),FALSE)</f>
        <v>0</v>
      </c>
      <c r="V321" s="55">
        <f>VLOOKUP($E321,'NI-San_SP'!$C:$AN,MID(V$1,1,2),FALSE)</f>
        <v>105462</v>
      </c>
      <c r="W321" s="55">
        <f>VLOOKUP($E321,'NI-San_SP'!$C:$AN,MID(W$1,1,2),FALSE)</f>
        <v>0</v>
      </c>
      <c r="X321" s="55">
        <f>VLOOKUP($E321,'NI-San_SP'!$C:$AN,MID(X$1,1,2),FALSE)</f>
        <v>0</v>
      </c>
      <c r="Y321" s="55">
        <f>VLOOKUP($E321,'NI-San_SP'!$C:$AN,MID(Y$1,1,2),FALSE)</f>
        <v>347963</v>
      </c>
      <c r="Z321" s="55">
        <f>VLOOKUP($E321,'NI-San_SP'!$C:$AN,MID(Z$1,1,2),FALSE)</f>
        <v>0</v>
      </c>
      <c r="AA321" s="55">
        <f>VLOOKUP($E321,'NI-San_SP'!$C:$AN,MID(AA$1,1,2),FALSE)</f>
        <v>0</v>
      </c>
      <c r="AB321" s="55">
        <f>VLOOKUP($E321,'NI-San_SP'!$C:$AN,MID(AB$1,1,2),FALSE)</f>
        <v>0</v>
      </c>
      <c r="AC321" s="55">
        <f>VLOOKUP($E321,'NI-San_SP'!$C:$AN,MID(AC$1,1,2),FALSE)</f>
        <v>351815</v>
      </c>
      <c r="AD321" s="55">
        <f>VLOOKUP($E321,'NI-San_SP'!$C:$AN,MID(AD$1,1,2),FALSE)</f>
        <v>101610</v>
      </c>
      <c r="AE321" s="55">
        <f>VLOOKUP($E321,'NI-San_SP'!$C:$AN,MID(AE$1,1,2),FALSE)</f>
        <v>0</v>
      </c>
      <c r="AF321" s="55">
        <f>VLOOKUP($E321,'NI-San_SP'!$C:$AN,MID(AF$1,1,2),FALSE)</f>
        <v>20688</v>
      </c>
      <c r="AG321" s="55">
        <f>VLOOKUP($E321,'NI-San_SP'!$C:$AN,MID(AG$1,1,2),FALSE)</f>
        <v>0</v>
      </c>
      <c r="AH321" s="55">
        <f>VLOOKUP($E321,'NI-San_SP'!$C:$AN,MID(AH$1,1,2),FALSE)</f>
        <v>0</v>
      </c>
      <c r="AI321" s="55">
        <f>VLOOKUP($E321,'NI-San_SP'!$C:$AN,MID(AI$1,1,2),FALSE)</f>
        <v>0</v>
      </c>
      <c r="AJ321" s="55">
        <f>VLOOKUP($E321,'NI-San_SP'!$C:$AN,MID(AJ$1,1,2),FALSE)</f>
        <v>0</v>
      </c>
      <c r="AK321" s="55">
        <f>VLOOKUP($E321,'NI-San_SP'!$C:$AN,MID(AK$1,1,2),FALSE)</f>
        <v>0</v>
      </c>
      <c r="AL321" s="55">
        <f>VLOOKUP($E321,'NI-San_SP'!$C:$AN,MID(AL$1,1,2),FALSE)</f>
        <v>0</v>
      </c>
      <c r="AM321" s="56">
        <f>VLOOKUP($E321,'NI-San_SP'!$C:$AN,MID(AM$1,1,2),FALSE)</f>
        <v>0</v>
      </c>
      <c r="AN321" s="30" t="str">
        <f t="shared" si="4"/>
        <v>20101010010150</v>
      </c>
    </row>
    <row r="322" spans="3:40" x14ac:dyDescent="0.25">
      <c r="C322" s="40"/>
      <c r="D322" s="67" t="s">
        <v>1189</v>
      </c>
      <c r="E322" s="67" t="s">
        <v>1190</v>
      </c>
      <c r="F322" s="68" t="s">
        <v>110</v>
      </c>
      <c r="G322" s="69"/>
      <c r="H322" s="52"/>
      <c r="I322" s="52" t="s">
        <v>1144</v>
      </c>
      <c r="J322" s="52" t="s">
        <v>1144</v>
      </c>
      <c r="K322" s="69" t="s">
        <v>79</v>
      </c>
      <c r="L322" s="52"/>
      <c r="M322" s="52"/>
      <c r="N322" s="52"/>
      <c r="O322" s="61" t="s">
        <v>1145</v>
      </c>
      <c r="P322" s="70" t="s">
        <v>1191</v>
      </c>
      <c r="Q322" s="55">
        <f>VLOOKUP(E322,'NI-San_SP'!$C:$AN,12,FALSE)</f>
        <v>1810929</v>
      </c>
      <c r="R322" s="55">
        <f>VLOOKUP(E322,'NI-San_SP'!$C:$AN,13,FALSE)</f>
        <v>1810929</v>
      </c>
      <c r="S322" s="55"/>
      <c r="T322" s="55"/>
      <c r="U322" s="55">
        <f>VLOOKUP($E322,'NI-San_SP'!$C:$AN,MID(U$1,1,2),FALSE)</f>
        <v>0</v>
      </c>
      <c r="V322" s="55">
        <f>VLOOKUP($E322,'NI-San_SP'!$C:$AN,MID(V$1,1,2),FALSE)</f>
        <v>1810929</v>
      </c>
      <c r="W322" s="55">
        <f>VLOOKUP($E322,'NI-San_SP'!$C:$AN,MID(W$1,1,2),FALSE)</f>
        <v>0</v>
      </c>
      <c r="X322" s="55">
        <f>VLOOKUP($E322,'NI-San_SP'!$C:$AN,MID(X$1,1,2),FALSE)</f>
        <v>0</v>
      </c>
      <c r="Y322" s="55">
        <f>VLOOKUP($E322,'NI-San_SP'!$C:$AN,MID(Y$1,1,2),FALSE)</f>
        <v>0</v>
      </c>
      <c r="Z322" s="55">
        <f>VLOOKUP($E322,'NI-San_SP'!$C:$AN,MID(Z$1,1,2),FALSE)</f>
        <v>0</v>
      </c>
      <c r="AA322" s="55">
        <f>VLOOKUP($E322,'NI-San_SP'!$C:$AN,MID(AA$1,1,2),FALSE)</f>
        <v>0</v>
      </c>
      <c r="AB322" s="55">
        <f>VLOOKUP($E322,'NI-San_SP'!$C:$AN,MID(AB$1,1,2),FALSE)</f>
        <v>0</v>
      </c>
      <c r="AC322" s="55">
        <f>VLOOKUP($E322,'NI-San_SP'!$C:$AN,MID(AC$1,1,2),FALSE)</f>
        <v>0</v>
      </c>
      <c r="AD322" s="55">
        <f>VLOOKUP($E322,'NI-San_SP'!$C:$AN,MID(AD$1,1,2),FALSE)</f>
        <v>1810929</v>
      </c>
      <c r="AE322" s="55">
        <f>VLOOKUP($E322,'NI-San_SP'!$C:$AN,MID(AE$1,1,2),FALSE)</f>
        <v>0</v>
      </c>
      <c r="AF322" s="55">
        <f>VLOOKUP($E322,'NI-San_SP'!$C:$AN,MID(AF$1,1,2),FALSE)</f>
        <v>0</v>
      </c>
      <c r="AG322" s="55">
        <f>VLOOKUP($E322,'NI-San_SP'!$C:$AN,MID(AG$1,1,2),FALSE)</f>
        <v>0</v>
      </c>
      <c r="AH322" s="55">
        <f>VLOOKUP($E322,'NI-San_SP'!$C:$AN,MID(AH$1,1,2),FALSE)</f>
        <v>0</v>
      </c>
      <c r="AI322" s="55">
        <f>VLOOKUP($E322,'NI-San_SP'!$C:$AN,MID(AI$1,1,2),FALSE)</f>
        <v>0</v>
      </c>
      <c r="AJ322" s="55">
        <f>VLOOKUP($E322,'NI-San_SP'!$C:$AN,MID(AJ$1,1,2),FALSE)</f>
        <v>0</v>
      </c>
      <c r="AK322" s="55">
        <f>VLOOKUP($E322,'NI-San_SP'!$C:$AN,MID(AK$1,1,2),FALSE)</f>
        <v>0</v>
      </c>
      <c r="AL322" s="55">
        <f>VLOOKUP($E322,'NI-San_SP'!$C:$AN,MID(AL$1,1,2),FALSE)</f>
        <v>0</v>
      </c>
      <c r="AM322" s="56">
        <f>VLOOKUP($E322,'NI-San_SP'!$C:$AN,MID(AM$1,1,2),FALSE)</f>
        <v>0</v>
      </c>
      <c r="AN322" s="30" t="str">
        <f t="shared" ref="AN322:AN385" si="5">D322</f>
        <v>20101010010160</v>
      </c>
    </row>
    <row r="323" spans="3:40" x14ac:dyDescent="0.25">
      <c r="C323" s="40"/>
      <c r="D323" s="67" t="s">
        <v>1192</v>
      </c>
      <c r="E323" s="67" t="s">
        <v>1193</v>
      </c>
      <c r="F323" s="68" t="s">
        <v>110</v>
      </c>
      <c r="G323" s="69"/>
      <c r="H323" s="52"/>
      <c r="I323" s="52" t="s">
        <v>1144</v>
      </c>
      <c r="J323" s="52" t="s">
        <v>1144</v>
      </c>
      <c r="K323" s="69" t="s">
        <v>79</v>
      </c>
      <c r="L323" s="52"/>
      <c r="M323" s="52"/>
      <c r="N323" s="52"/>
      <c r="O323" s="61" t="s">
        <v>1145</v>
      </c>
      <c r="P323" s="70" t="s">
        <v>1194</v>
      </c>
      <c r="Q323" s="55">
        <f>VLOOKUP(E323,'NI-San_SP'!$C:$AN,12,FALSE)</f>
        <v>81855</v>
      </c>
      <c r="R323" s="55">
        <f>VLOOKUP(E323,'NI-San_SP'!$C:$AN,13,FALSE)</f>
        <v>200899</v>
      </c>
      <c r="S323" s="55"/>
      <c r="T323" s="55"/>
      <c r="U323" s="55">
        <f>VLOOKUP($E323,'NI-San_SP'!$C:$AN,MID(U$1,1,2),FALSE)</f>
        <v>0</v>
      </c>
      <c r="V323" s="55">
        <f>VLOOKUP($E323,'NI-San_SP'!$C:$AN,MID(V$1,1,2),FALSE)</f>
        <v>81855</v>
      </c>
      <c r="W323" s="55">
        <f>VLOOKUP($E323,'NI-San_SP'!$C:$AN,MID(W$1,1,2),FALSE)</f>
        <v>0</v>
      </c>
      <c r="X323" s="55">
        <f>VLOOKUP($E323,'NI-San_SP'!$C:$AN,MID(X$1,1,2),FALSE)</f>
        <v>0</v>
      </c>
      <c r="Y323" s="55">
        <f>VLOOKUP($E323,'NI-San_SP'!$C:$AN,MID(Y$1,1,2),FALSE)</f>
        <v>954363</v>
      </c>
      <c r="Z323" s="55">
        <f>VLOOKUP($E323,'NI-San_SP'!$C:$AN,MID(Z$1,1,2),FALSE)</f>
        <v>0</v>
      </c>
      <c r="AA323" s="55">
        <f>VLOOKUP($E323,'NI-San_SP'!$C:$AN,MID(AA$1,1,2),FALSE)</f>
        <v>0</v>
      </c>
      <c r="AB323" s="55">
        <f>VLOOKUP($E323,'NI-San_SP'!$C:$AN,MID(AB$1,1,2),FALSE)</f>
        <v>0</v>
      </c>
      <c r="AC323" s="55">
        <f>VLOOKUP($E323,'NI-San_SP'!$C:$AN,MID(AC$1,1,2),FALSE)</f>
        <v>835319</v>
      </c>
      <c r="AD323" s="55">
        <f>VLOOKUP($E323,'NI-San_SP'!$C:$AN,MID(AD$1,1,2),FALSE)</f>
        <v>200899</v>
      </c>
      <c r="AE323" s="55">
        <f>VLOOKUP($E323,'NI-San_SP'!$C:$AN,MID(AE$1,1,2),FALSE)</f>
        <v>0</v>
      </c>
      <c r="AF323" s="55">
        <f>VLOOKUP($E323,'NI-San_SP'!$C:$AN,MID(AF$1,1,2),FALSE)</f>
        <v>0</v>
      </c>
      <c r="AG323" s="55">
        <f>VLOOKUP($E323,'NI-San_SP'!$C:$AN,MID(AG$1,1,2),FALSE)</f>
        <v>0</v>
      </c>
      <c r="AH323" s="55">
        <f>VLOOKUP($E323,'NI-San_SP'!$C:$AN,MID(AH$1,1,2),FALSE)</f>
        <v>0</v>
      </c>
      <c r="AI323" s="55">
        <f>VLOOKUP($E323,'NI-San_SP'!$C:$AN,MID(AI$1,1,2),FALSE)</f>
        <v>0</v>
      </c>
      <c r="AJ323" s="55">
        <f>VLOOKUP($E323,'NI-San_SP'!$C:$AN,MID(AJ$1,1,2),FALSE)</f>
        <v>0</v>
      </c>
      <c r="AK323" s="55">
        <f>VLOOKUP($E323,'NI-San_SP'!$C:$AN,MID(AK$1,1,2),FALSE)</f>
        <v>0</v>
      </c>
      <c r="AL323" s="55">
        <f>VLOOKUP($E323,'NI-San_SP'!$C:$AN,MID(AL$1,1,2),FALSE)</f>
        <v>0</v>
      </c>
      <c r="AM323" s="56">
        <f>VLOOKUP($E323,'NI-San_SP'!$C:$AN,MID(AM$1,1,2),FALSE)</f>
        <v>0</v>
      </c>
      <c r="AN323" s="30" t="str">
        <f t="shared" si="5"/>
        <v>20101010010170</v>
      </c>
    </row>
    <row r="324" spans="3:40" ht="27" x14ac:dyDescent="0.25">
      <c r="C324" s="40"/>
      <c r="D324" s="67" t="s">
        <v>1195</v>
      </c>
      <c r="E324" s="67" t="s">
        <v>1196</v>
      </c>
      <c r="F324" s="68" t="s">
        <v>110</v>
      </c>
      <c r="G324" s="69"/>
      <c r="H324" s="52"/>
      <c r="I324" s="52" t="s">
        <v>1144</v>
      </c>
      <c r="J324" s="52" t="s">
        <v>1144</v>
      </c>
      <c r="K324" s="69" t="s">
        <v>79</v>
      </c>
      <c r="L324" s="52"/>
      <c r="M324" s="52"/>
      <c r="N324" s="52"/>
      <c r="O324" s="61" t="s">
        <v>1145</v>
      </c>
      <c r="P324" s="70" t="s">
        <v>1197</v>
      </c>
      <c r="Q324" s="55">
        <f>VLOOKUP(E324,'NI-San_SP'!$C:$AN,12,FALSE)</f>
        <v>0</v>
      </c>
      <c r="R324" s="55">
        <f>VLOOKUP(E324,'NI-San_SP'!$C:$AN,13,FALSE)</f>
        <v>0</v>
      </c>
      <c r="S324" s="55"/>
      <c r="T324" s="55"/>
      <c r="U324" s="55">
        <f>VLOOKUP($E324,'NI-San_SP'!$C:$AN,MID(U$1,1,2),FALSE)</f>
        <v>0</v>
      </c>
      <c r="V324" s="55">
        <f>VLOOKUP($E324,'NI-San_SP'!$C:$AN,MID(V$1,1,2),FALSE)</f>
        <v>0</v>
      </c>
      <c r="W324" s="55">
        <f>VLOOKUP($E324,'NI-San_SP'!$C:$AN,MID(W$1,1,2),FALSE)</f>
        <v>0</v>
      </c>
      <c r="X324" s="55">
        <f>VLOOKUP($E324,'NI-San_SP'!$C:$AN,MID(X$1,1,2),FALSE)</f>
        <v>0</v>
      </c>
      <c r="Y324" s="55">
        <f>VLOOKUP($E324,'NI-San_SP'!$C:$AN,MID(Y$1,1,2),FALSE)</f>
        <v>0</v>
      </c>
      <c r="Z324" s="55">
        <f>VLOOKUP($E324,'NI-San_SP'!$C:$AN,MID(Z$1,1,2),FALSE)</f>
        <v>0</v>
      </c>
      <c r="AA324" s="55">
        <f>VLOOKUP($E324,'NI-San_SP'!$C:$AN,MID(AA$1,1,2),FALSE)</f>
        <v>0</v>
      </c>
      <c r="AB324" s="55">
        <f>VLOOKUP($E324,'NI-San_SP'!$C:$AN,MID(AB$1,1,2),FALSE)</f>
        <v>0</v>
      </c>
      <c r="AC324" s="55">
        <f>VLOOKUP($E324,'NI-San_SP'!$C:$AN,MID(AC$1,1,2),FALSE)</f>
        <v>0</v>
      </c>
      <c r="AD324" s="55">
        <f>VLOOKUP($E324,'NI-San_SP'!$C:$AN,MID(AD$1,1,2),FALSE)</f>
        <v>0</v>
      </c>
      <c r="AE324" s="55">
        <f>VLOOKUP($E324,'NI-San_SP'!$C:$AN,MID(AE$1,1,2),FALSE)</f>
        <v>0</v>
      </c>
      <c r="AF324" s="55">
        <f>VLOOKUP($E324,'NI-San_SP'!$C:$AN,MID(AF$1,1,2),FALSE)</f>
        <v>0</v>
      </c>
      <c r="AG324" s="55">
        <f>VLOOKUP($E324,'NI-San_SP'!$C:$AN,MID(AG$1,1,2),FALSE)</f>
        <v>0</v>
      </c>
      <c r="AH324" s="55">
        <f>VLOOKUP($E324,'NI-San_SP'!$C:$AN,MID(AH$1,1,2),FALSE)</f>
        <v>0</v>
      </c>
      <c r="AI324" s="55">
        <f>VLOOKUP($E324,'NI-San_SP'!$C:$AN,MID(AI$1,1,2),FALSE)</f>
        <v>0</v>
      </c>
      <c r="AJ324" s="55">
        <f>VLOOKUP($E324,'NI-San_SP'!$C:$AN,MID(AJ$1,1,2),FALSE)</f>
        <v>0</v>
      </c>
      <c r="AK324" s="55">
        <f>VLOOKUP($E324,'NI-San_SP'!$C:$AN,MID(AK$1,1,2),FALSE)</f>
        <v>0</v>
      </c>
      <c r="AL324" s="55">
        <f>VLOOKUP($E324,'NI-San_SP'!$C:$AN,MID(AL$1,1,2),FALSE)</f>
        <v>0</v>
      </c>
      <c r="AM324" s="56">
        <f>VLOOKUP($E324,'NI-San_SP'!$C:$AN,MID(AM$1,1,2),FALSE)</f>
        <v>0</v>
      </c>
      <c r="AN324" s="30" t="str">
        <f t="shared" si="5"/>
        <v>20101010010180</v>
      </c>
    </row>
    <row r="325" spans="3:40" ht="27" x14ac:dyDescent="0.25">
      <c r="C325" s="40"/>
      <c r="D325" s="67" t="s">
        <v>1198</v>
      </c>
      <c r="E325" s="67" t="s">
        <v>1199</v>
      </c>
      <c r="F325" s="68" t="s">
        <v>110</v>
      </c>
      <c r="G325" s="69"/>
      <c r="H325" s="52"/>
      <c r="I325" s="52" t="s">
        <v>1144</v>
      </c>
      <c r="J325" s="52" t="s">
        <v>1144</v>
      </c>
      <c r="K325" s="69" t="s">
        <v>79</v>
      </c>
      <c r="L325" s="52"/>
      <c r="M325" s="52"/>
      <c r="N325" s="52"/>
      <c r="O325" s="61" t="s">
        <v>1145</v>
      </c>
      <c r="P325" s="70" t="s">
        <v>1200</v>
      </c>
      <c r="Q325" s="55">
        <f>VLOOKUP(E325,'NI-San_SP'!$C:$AN,12,FALSE)</f>
        <v>0</v>
      </c>
      <c r="R325" s="55">
        <f>VLOOKUP(E325,'NI-San_SP'!$C:$AN,13,FALSE)</f>
        <v>0</v>
      </c>
      <c r="S325" s="55"/>
      <c r="T325" s="55"/>
      <c r="U325" s="55">
        <f>VLOOKUP($E325,'NI-San_SP'!$C:$AN,MID(U$1,1,2),FALSE)</f>
        <v>0</v>
      </c>
      <c r="V325" s="55">
        <f>VLOOKUP($E325,'NI-San_SP'!$C:$AN,MID(V$1,1,2),FALSE)</f>
        <v>0</v>
      </c>
      <c r="W325" s="55">
        <f>VLOOKUP($E325,'NI-San_SP'!$C:$AN,MID(W$1,1,2),FALSE)</f>
        <v>0</v>
      </c>
      <c r="X325" s="55">
        <f>VLOOKUP($E325,'NI-San_SP'!$C:$AN,MID(X$1,1,2),FALSE)</f>
        <v>0</v>
      </c>
      <c r="Y325" s="55">
        <f>VLOOKUP($E325,'NI-San_SP'!$C:$AN,MID(Y$1,1,2),FALSE)</f>
        <v>0</v>
      </c>
      <c r="Z325" s="55">
        <f>VLOOKUP($E325,'NI-San_SP'!$C:$AN,MID(Z$1,1,2),FALSE)</f>
        <v>0</v>
      </c>
      <c r="AA325" s="55">
        <f>VLOOKUP($E325,'NI-San_SP'!$C:$AN,MID(AA$1,1,2),FALSE)</f>
        <v>0</v>
      </c>
      <c r="AB325" s="55">
        <f>VLOOKUP($E325,'NI-San_SP'!$C:$AN,MID(AB$1,1,2),FALSE)</f>
        <v>0</v>
      </c>
      <c r="AC325" s="55">
        <f>VLOOKUP($E325,'NI-San_SP'!$C:$AN,MID(AC$1,1,2),FALSE)</f>
        <v>0</v>
      </c>
      <c r="AD325" s="55">
        <f>VLOOKUP($E325,'NI-San_SP'!$C:$AN,MID(AD$1,1,2),FALSE)</f>
        <v>0</v>
      </c>
      <c r="AE325" s="55">
        <f>VLOOKUP($E325,'NI-San_SP'!$C:$AN,MID(AE$1,1,2),FALSE)</f>
        <v>0</v>
      </c>
      <c r="AF325" s="55">
        <f>VLOOKUP($E325,'NI-San_SP'!$C:$AN,MID(AF$1,1,2),FALSE)</f>
        <v>0</v>
      </c>
      <c r="AG325" s="55">
        <f>VLOOKUP($E325,'NI-San_SP'!$C:$AN,MID(AG$1,1,2),FALSE)</f>
        <v>0</v>
      </c>
      <c r="AH325" s="55">
        <f>VLOOKUP($E325,'NI-San_SP'!$C:$AN,MID(AH$1,1,2),FALSE)</f>
        <v>0</v>
      </c>
      <c r="AI325" s="55">
        <f>VLOOKUP($E325,'NI-San_SP'!$C:$AN,MID(AI$1,1,2),FALSE)</f>
        <v>0</v>
      </c>
      <c r="AJ325" s="55">
        <f>VLOOKUP($E325,'NI-San_SP'!$C:$AN,MID(AJ$1,1,2),FALSE)</f>
        <v>0</v>
      </c>
      <c r="AK325" s="55">
        <f>VLOOKUP($E325,'NI-San_SP'!$C:$AN,MID(AK$1,1,2),FALSE)</f>
        <v>0</v>
      </c>
      <c r="AL325" s="55">
        <f>VLOOKUP($E325,'NI-San_SP'!$C:$AN,MID(AL$1,1,2),FALSE)</f>
        <v>0</v>
      </c>
      <c r="AM325" s="56">
        <f>VLOOKUP($E325,'NI-San_SP'!$C:$AN,MID(AM$1,1,2),FALSE)</f>
        <v>0</v>
      </c>
      <c r="AN325" s="30" t="str">
        <f t="shared" si="5"/>
        <v>20101010010190</v>
      </c>
    </row>
    <row r="326" spans="3:40" ht="27" x14ac:dyDescent="0.25">
      <c r="C326" s="40"/>
      <c r="D326" s="67" t="s">
        <v>1201</v>
      </c>
      <c r="E326" s="67" t="s">
        <v>1202</v>
      </c>
      <c r="F326" s="68" t="s">
        <v>110</v>
      </c>
      <c r="G326" s="69"/>
      <c r="H326" s="52"/>
      <c r="I326" s="52" t="s">
        <v>1144</v>
      </c>
      <c r="J326" s="52" t="s">
        <v>1144</v>
      </c>
      <c r="K326" s="69" t="s">
        <v>79</v>
      </c>
      <c r="L326" s="52"/>
      <c r="M326" s="52"/>
      <c r="N326" s="52"/>
      <c r="O326" s="61" t="s">
        <v>1145</v>
      </c>
      <c r="P326" s="70" t="s">
        <v>1203</v>
      </c>
      <c r="Q326" s="55">
        <f>VLOOKUP(E326,'NI-San_SP'!$C:$AN,12,FALSE)</f>
        <v>0</v>
      </c>
      <c r="R326" s="55">
        <f>VLOOKUP(E326,'NI-San_SP'!$C:$AN,13,FALSE)</f>
        <v>0</v>
      </c>
      <c r="S326" s="55"/>
      <c r="T326" s="55"/>
      <c r="U326" s="55">
        <f>VLOOKUP($E326,'NI-San_SP'!$C:$AN,MID(U$1,1,2),FALSE)</f>
        <v>0</v>
      </c>
      <c r="V326" s="55">
        <f>VLOOKUP($E326,'NI-San_SP'!$C:$AN,MID(V$1,1,2),FALSE)</f>
        <v>0</v>
      </c>
      <c r="W326" s="55">
        <f>VLOOKUP($E326,'NI-San_SP'!$C:$AN,MID(W$1,1,2),FALSE)</f>
        <v>0</v>
      </c>
      <c r="X326" s="55">
        <f>VLOOKUP($E326,'NI-San_SP'!$C:$AN,MID(X$1,1,2),FALSE)</f>
        <v>0</v>
      </c>
      <c r="Y326" s="55">
        <f>VLOOKUP($E326,'NI-San_SP'!$C:$AN,MID(Y$1,1,2),FALSE)</f>
        <v>0</v>
      </c>
      <c r="Z326" s="55">
        <f>VLOOKUP($E326,'NI-San_SP'!$C:$AN,MID(Z$1,1,2),FALSE)</f>
        <v>0</v>
      </c>
      <c r="AA326" s="55">
        <f>VLOOKUP($E326,'NI-San_SP'!$C:$AN,MID(AA$1,1,2),FALSE)</f>
        <v>0</v>
      </c>
      <c r="AB326" s="55">
        <f>VLOOKUP($E326,'NI-San_SP'!$C:$AN,MID(AB$1,1,2),FALSE)</f>
        <v>0</v>
      </c>
      <c r="AC326" s="55">
        <f>VLOOKUP($E326,'NI-San_SP'!$C:$AN,MID(AC$1,1,2),FALSE)</f>
        <v>0</v>
      </c>
      <c r="AD326" s="55">
        <f>VLOOKUP($E326,'NI-San_SP'!$C:$AN,MID(AD$1,1,2),FALSE)</f>
        <v>0</v>
      </c>
      <c r="AE326" s="55">
        <f>VLOOKUP($E326,'NI-San_SP'!$C:$AN,MID(AE$1,1,2),FALSE)</f>
        <v>0</v>
      </c>
      <c r="AF326" s="55">
        <f>VLOOKUP($E326,'NI-San_SP'!$C:$AN,MID(AF$1,1,2),FALSE)</f>
        <v>0</v>
      </c>
      <c r="AG326" s="55">
        <f>VLOOKUP($E326,'NI-San_SP'!$C:$AN,MID(AG$1,1,2),FALSE)</f>
        <v>0</v>
      </c>
      <c r="AH326" s="55">
        <f>VLOOKUP($E326,'NI-San_SP'!$C:$AN,MID(AH$1,1,2),FALSE)</f>
        <v>0</v>
      </c>
      <c r="AI326" s="55">
        <f>VLOOKUP($E326,'NI-San_SP'!$C:$AN,MID(AI$1,1,2),FALSE)</f>
        <v>0</v>
      </c>
      <c r="AJ326" s="55">
        <f>VLOOKUP($E326,'NI-San_SP'!$C:$AN,MID(AJ$1,1,2),FALSE)</f>
        <v>0</v>
      </c>
      <c r="AK326" s="55">
        <f>VLOOKUP($E326,'NI-San_SP'!$C:$AN,MID(AK$1,1,2),FALSE)</f>
        <v>0</v>
      </c>
      <c r="AL326" s="55">
        <f>VLOOKUP($E326,'NI-San_SP'!$C:$AN,MID(AL$1,1,2),FALSE)</f>
        <v>0</v>
      </c>
      <c r="AM326" s="56">
        <f>VLOOKUP($E326,'NI-San_SP'!$C:$AN,MID(AM$1,1,2),FALSE)</f>
        <v>0</v>
      </c>
      <c r="AN326" s="30" t="str">
        <f t="shared" si="5"/>
        <v>20101010010200</v>
      </c>
    </row>
    <row r="327" spans="3:40" x14ac:dyDescent="0.25">
      <c r="C327" s="40"/>
      <c r="D327" s="67" t="s">
        <v>1204</v>
      </c>
      <c r="E327" s="67" t="s">
        <v>1205</v>
      </c>
      <c r="F327" s="68" t="s">
        <v>110</v>
      </c>
      <c r="G327" s="69"/>
      <c r="H327" s="52"/>
      <c r="I327" s="52" t="s">
        <v>1144</v>
      </c>
      <c r="J327" s="52" t="s">
        <v>1144</v>
      </c>
      <c r="K327" s="69" t="s">
        <v>79</v>
      </c>
      <c r="L327" s="52"/>
      <c r="M327" s="52"/>
      <c r="N327" s="52"/>
      <c r="O327" s="61" t="s">
        <v>1145</v>
      </c>
      <c r="P327" s="72" t="s">
        <v>1206</v>
      </c>
      <c r="Q327" s="55">
        <f>VLOOKUP(E327,'NI-San_SP'!$C:$AN,12,FALSE)</f>
        <v>0</v>
      </c>
      <c r="R327" s="55">
        <f>VLOOKUP(E327,'NI-San_SP'!$C:$AN,13,FALSE)</f>
        <v>0</v>
      </c>
      <c r="S327" s="55"/>
      <c r="T327" s="55"/>
      <c r="U327" s="55">
        <f>VLOOKUP($E327,'NI-San_SP'!$C:$AN,MID(U$1,1,2),FALSE)</f>
        <v>0</v>
      </c>
      <c r="V327" s="55">
        <f>VLOOKUP($E327,'NI-San_SP'!$C:$AN,MID(V$1,1,2),FALSE)</f>
        <v>0</v>
      </c>
      <c r="W327" s="55">
        <f>VLOOKUP($E327,'NI-San_SP'!$C:$AN,MID(W$1,1,2),FALSE)</f>
        <v>0</v>
      </c>
      <c r="X327" s="55">
        <f>VLOOKUP($E327,'NI-San_SP'!$C:$AN,MID(X$1,1,2),FALSE)</f>
        <v>0</v>
      </c>
      <c r="Y327" s="55">
        <f>VLOOKUP($E327,'NI-San_SP'!$C:$AN,MID(Y$1,1,2),FALSE)</f>
        <v>0</v>
      </c>
      <c r="Z327" s="55">
        <f>VLOOKUP($E327,'NI-San_SP'!$C:$AN,MID(Z$1,1,2),FALSE)</f>
        <v>0</v>
      </c>
      <c r="AA327" s="55">
        <f>VLOOKUP($E327,'NI-San_SP'!$C:$AN,MID(AA$1,1,2),FALSE)</f>
        <v>0</v>
      </c>
      <c r="AB327" s="55">
        <f>VLOOKUP($E327,'NI-San_SP'!$C:$AN,MID(AB$1,1,2),FALSE)</f>
        <v>0</v>
      </c>
      <c r="AC327" s="55">
        <f>VLOOKUP($E327,'NI-San_SP'!$C:$AN,MID(AC$1,1,2),FALSE)</f>
        <v>0</v>
      </c>
      <c r="AD327" s="55">
        <f>VLOOKUP($E327,'NI-San_SP'!$C:$AN,MID(AD$1,1,2),FALSE)</f>
        <v>0</v>
      </c>
      <c r="AE327" s="55">
        <f>VLOOKUP($E327,'NI-San_SP'!$C:$AN,MID(AE$1,1,2),FALSE)</f>
        <v>0</v>
      </c>
      <c r="AF327" s="55">
        <f>VLOOKUP($E327,'NI-San_SP'!$C:$AN,MID(AF$1,1,2),FALSE)</f>
        <v>0</v>
      </c>
      <c r="AG327" s="55">
        <f>VLOOKUP($E327,'NI-San_SP'!$C:$AN,MID(AG$1,1,2),FALSE)</f>
        <v>0</v>
      </c>
      <c r="AH327" s="55">
        <f>VLOOKUP($E327,'NI-San_SP'!$C:$AN,MID(AH$1,1,2),FALSE)</f>
        <v>0</v>
      </c>
      <c r="AI327" s="55">
        <f>VLOOKUP($E327,'NI-San_SP'!$C:$AN,MID(AI$1,1,2),FALSE)</f>
        <v>0</v>
      </c>
      <c r="AJ327" s="55">
        <f>VLOOKUP($E327,'NI-San_SP'!$C:$AN,MID(AJ$1,1,2),FALSE)</f>
        <v>0</v>
      </c>
      <c r="AK327" s="55">
        <f>VLOOKUP($E327,'NI-San_SP'!$C:$AN,MID(AK$1,1,2),FALSE)</f>
        <v>0</v>
      </c>
      <c r="AL327" s="55">
        <f>VLOOKUP($E327,'NI-San_SP'!$C:$AN,MID(AL$1,1,2),FALSE)</f>
        <v>0</v>
      </c>
      <c r="AM327" s="56">
        <f>VLOOKUP($E327,'NI-San_SP'!$C:$AN,MID(AM$1,1,2),FALSE)</f>
        <v>0</v>
      </c>
      <c r="AN327" s="30" t="str">
        <f t="shared" si="5"/>
        <v>20101010010210</v>
      </c>
    </row>
    <row r="328" spans="3:40" x14ac:dyDescent="0.25">
      <c r="C328" s="40"/>
      <c r="D328" s="67" t="s">
        <v>1207</v>
      </c>
      <c r="E328" s="67" t="s">
        <v>1208</v>
      </c>
      <c r="F328" s="68" t="s">
        <v>110</v>
      </c>
      <c r="G328" s="69"/>
      <c r="H328" s="52"/>
      <c r="I328" s="52" t="s">
        <v>1144</v>
      </c>
      <c r="J328" s="52" t="s">
        <v>1144</v>
      </c>
      <c r="K328" s="69" t="s">
        <v>79</v>
      </c>
      <c r="L328" s="52"/>
      <c r="M328" s="52"/>
      <c r="N328" s="52"/>
      <c r="O328" s="61" t="s">
        <v>1145</v>
      </c>
      <c r="P328" s="71" t="s">
        <v>1209</v>
      </c>
      <c r="Q328" s="55">
        <f>VLOOKUP(E328,'NI-San_SP'!$C:$AN,12,FALSE)</f>
        <v>0</v>
      </c>
      <c r="R328" s="55">
        <f>VLOOKUP(E328,'NI-San_SP'!$C:$AN,13,FALSE)</f>
        <v>0</v>
      </c>
      <c r="S328" s="55"/>
      <c r="T328" s="55"/>
      <c r="U328" s="55">
        <f>VLOOKUP($E328,'NI-San_SP'!$C:$AN,MID(U$1,1,2),FALSE)</f>
        <v>0</v>
      </c>
      <c r="V328" s="55">
        <f>VLOOKUP($E328,'NI-San_SP'!$C:$AN,MID(V$1,1,2),FALSE)</f>
        <v>0</v>
      </c>
      <c r="W328" s="55">
        <f>VLOOKUP($E328,'NI-San_SP'!$C:$AN,MID(W$1,1,2),FALSE)</f>
        <v>0</v>
      </c>
      <c r="X328" s="55">
        <f>VLOOKUP($E328,'NI-San_SP'!$C:$AN,MID(X$1,1,2),FALSE)</f>
        <v>0</v>
      </c>
      <c r="Y328" s="55">
        <f>VLOOKUP($E328,'NI-San_SP'!$C:$AN,MID(Y$1,1,2),FALSE)</f>
        <v>0</v>
      </c>
      <c r="Z328" s="55">
        <f>VLOOKUP($E328,'NI-San_SP'!$C:$AN,MID(Z$1,1,2),FALSE)</f>
        <v>0</v>
      </c>
      <c r="AA328" s="55">
        <f>VLOOKUP($E328,'NI-San_SP'!$C:$AN,MID(AA$1,1,2),FALSE)</f>
        <v>0</v>
      </c>
      <c r="AB328" s="55">
        <f>VLOOKUP($E328,'NI-San_SP'!$C:$AN,MID(AB$1,1,2),FALSE)</f>
        <v>0</v>
      </c>
      <c r="AC328" s="55">
        <f>VLOOKUP($E328,'NI-San_SP'!$C:$AN,MID(AC$1,1,2),FALSE)</f>
        <v>0</v>
      </c>
      <c r="AD328" s="55">
        <f>VLOOKUP($E328,'NI-San_SP'!$C:$AN,MID(AD$1,1,2),FALSE)</f>
        <v>0</v>
      </c>
      <c r="AE328" s="55">
        <f>VLOOKUP($E328,'NI-San_SP'!$C:$AN,MID(AE$1,1,2),FALSE)</f>
        <v>0</v>
      </c>
      <c r="AF328" s="55">
        <f>VLOOKUP($E328,'NI-San_SP'!$C:$AN,MID(AF$1,1,2),FALSE)</f>
        <v>0</v>
      </c>
      <c r="AG328" s="55">
        <f>VLOOKUP($E328,'NI-San_SP'!$C:$AN,MID(AG$1,1,2),FALSE)</f>
        <v>0</v>
      </c>
      <c r="AH328" s="55">
        <f>VLOOKUP($E328,'NI-San_SP'!$C:$AN,MID(AH$1,1,2),FALSE)</f>
        <v>0</v>
      </c>
      <c r="AI328" s="55">
        <f>VLOOKUP($E328,'NI-San_SP'!$C:$AN,MID(AI$1,1,2),FALSE)</f>
        <v>0</v>
      </c>
      <c r="AJ328" s="55">
        <f>VLOOKUP($E328,'NI-San_SP'!$C:$AN,MID(AJ$1,1,2),FALSE)</f>
        <v>0</v>
      </c>
      <c r="AK328" s="55">
        <f>VLOOKUP($E328,'NI-San_SP'!$C:$AN,MID(AK$1,1,2),FALSE)</f>
        <v>0</v>
      </c>
      <c r="AL328" s="55">
        <f>VLOOKUP($E328,'NI-San_SP'!$C:$AN,MID(AL$1,1,2),FALSE)</f>
        <v>0</v>
      </c>
      <c r="AM328" s="56">
        <f>VLOOKUP($E328,'NI-San_SP'!$C:$AN,MID(AM$1,1,2),FALSE)</f>
        <v>0</v>
      </c>
      <c r="AN328" s="30" t="str">
        <f t="shared" si="5"/>
        <v>20101010010220</v>
      </c>
    </row>
    <row r="329" spans="3:40" x14ac:dyDescent="0.25">
      <c r="C329" s="40"/>
      <c r="D329" s="67" t="s">
        <v>1210</v>
      </c>
      <c r="E329" s="67" t="s">
        <v>1211</v>
      </c>
      <c r="F329" s="68" t="s">
        <v>110</v>
      </c>
      <c r="G329" s="69"/>
      <c r="H329" s="52"/>
      <c r="I329" s="52" t="s">
        <v>1212</v>
      </c>
      <c r="J329" s="52" t="s">
        <v>1212</v>
      </c>
      <c r="K329" s="69" t="s">
        <v>79</v>
      </c>
      <c r="L329" s="52"/>
      <c r="M329" s="52"/>
      <c r="N329" s="52"/>
      <c r="O329" s="61" t="s">
        <v>1145</v>
      </c>
      <c r="P329" s="70" t="s">
        <v>1213</v>
      </c>
      <c r="Q329" s="55">
        <f>VLOOKUP(E329,'NI-San_SP'!$C:$AN,12,FALSE)</f>
        <v>4952</v>
      </c>
      <c r="R329" s="55">
        <f>VLOOKUP(E329,'NI-San_SP'!$C:$AN,13,FALSE)</f>
        <v>14870</v>
      </c>
      <c r="S329" s="55"/>
      <c r="T329" s="55"/>
      <c r="U329" s="55">
        <f>VLOOKUP($E329,'NI-San_SP'!$C:$AN,MID(U$1,1,2),FALSE)</f>
        <v>0</v>
      </c>
      <c r="V329" s="55">
        <f>VLOOKUP($E329,'NI-San_SP'!$C:$AN,MID(V$1,1,2),FALSE)</f>
        <v>4952</v>
      </c>
      <c r="W329" s="55">
        <f>VLOOKUP($E329,'NI-San_SP'!$C:$AN,MID(W$1,1,2),FALSE)</f>
        <v>0</v>
      </c>
      <c r="X329" s="55">
        <f>VLOOKUP($E329,'NI-San_SP'!$C:$AN,MID(X$1,1,2),FALSE)</f>
        <v>0</v>
      </c>
      <c r="Y329" s="55">
        <f>VLOOKUP($E329,'NI-San_SP'!$C:$AN,MID(Y$1,1,2),FALSE)</f>
        <v>180915</v>
      </c>
      <c r="Z329" s="55">
        <f>VLOOKUP($E329,'NI-San_SP'!$C:$AN,MID(Z$1,1,2),FALSE)</f>
        <v>0</v>
      </c>
      <c r="AA329" s="55">
        <f>VLOOKUP($E329,'NI-San_SP'!$C:$AN,MID(AA$1,1,2),FALSE)</f>
        <v>0</v>
      </c>
      <c r="AB329" s="55">
        <f>VLOOKUP($E329,'NI-San_SP'!$C:$AN,MID(AB$1,1,2),FALSE)</f>
        <v>0</v>
      </c>
      <c r="AC329" s="55">
        <f>VLOOKUP($E329,'NI-San_SP'!$C:$AN,MID(AC$1,1,2),FALSE)</f>
        <v>170997</v>
      </c>
      <c r="AD329" s="55">
        <f>VLOOKUP($E329,'NI-San_SP'!$C:$AN,MID(AD$1,1,2),FALSE)</f>
        <v>14870</v>
      </c>
      <c r="AE329" s="55">
        <f>VLOOKUP($E329,'NI-San_SP'!$C:$AN,MID(AE$1,1,2),FALSE)</f>
        <v>0</v>
      </c>
      <c r="AF329" s="55">
        <f>VLOOKUP($E329,'NI-San_SP'!$C:$AN,MID(AF$1,1,2),FALSE)</f>
        <v>8593</v>
      </c>
      <c r="AG329" s="55">
        <f>VLOOKUP($E329,'NI-San_SP'!$C:$AN,MID(AG$1,1,2),FALSE)</f>
        <v>0</v>
      </c>
      <c r="AH329" s="55">
        <f>VLOOKUP($E329,'NI-San_SP'!$C:$AN,MID(AH$1,1,2),FALSE)</f>
        <v>0</v>
      </c>
      <c r="AI329" s="55">
        <f>VLOOKUP($E329,'NI-San_SP'!$C:$AN,MID(AI$1,1,2),FALSE)</f>
        <v>0</v>
      </c>
      <c r="AJ329" s="55">
        <f>VLOOKUP($E329,'NI-San_SP'!$C:$AN,MID(AJ$1,1,2),FALSE)</f>
        <v>0</v>
      </c>
      <c r="AK329" s="55">
        <f>VLOOKUP($E329,'NI-San_SP'!$C:$AN,MID(AK$1,1,2),FALSE)</f>
        <v>0</v>
      </c>
      <c r="AL329" s="55">
        <f>VLOOKUP($E329,'NI-San_SP'!$C:$AN,MID(AL$1,1,2),FALSE)</f>
        <v>0</v>
      </c>
      <c r="AM329" s="56">
        <f>VLOOKUP($E329,'NI-San_SP'!$C:$AN,MID(AM$1,1,2),FALSE)</f>
        <v>0</v>
      </c>
      <c r="AN329" s="30" t="str">
        <f t="shared" si="5"/>
        <v>20101010040010</v>
      </c>
    </row>
    <row r="330" spans="3:40" x14ac:dyDescent="0.25">
      <c r="C330" s="40"/>
      <c r="D330" s="67" t="s">
        <v>1214</v>
      </c>
      <c r="E330" s="67" t="s">
        <v>1215</v>
      </c>
      <c r="F330" s="68" t="s">
        <v>110</v>
      </c>
      <c r="G330" s="69"/>
      <c r="H330" s="52"/>
      <c r="I330" s="52" t="s">
        <v>1216</v>
      </c>
      <c r="J330" s="52" t="s">
        <v>1216</v>
      </c>
      <c r="K330" s="69" t="s">
        <v>79</v>
      </c>
      <c r="L330" s="52"/>
      <c r="M330" s="52"/>
      <c r="N330" s="52"/>
      <c r="O330" s="61" t="s">
        <v>1145</v>
      </c>
      <c r="P330" s="70" t="s">
        <v>1217</v>
      </c>
      <c r="Q330" s="55">
        <f>VLOOKUP(E330,'NI-San_SP'!$C:$AN,12,FALSE)</f>
        <v>1134848</v>
      </c>
      <c r="R330" s="55">
        <f>VLOOKUP(E330,'NI-San_SP'!$C:$AN,13,FALSE)</f>
        <v>1380896</v>
      </c>
      <c r="S330" s="55"/>
      <c r="T330" s="55"/>
      <c r="U330" s="55">
        <f>VLOOKUP($E330,'NI-San_SP'!$C:$AN,MID(U$1,1,2),FALSE)</f>
        <v>0</v>
      </c>
      <c r="V330" s="55">
        <f>VLOOKUP($E330,'NI-San_SP'!$C:$AN,MID(V$1,1,2),FALSE)</f>
        <v>1134848</v>
      </c>
      <c r="W330" s="55">
        <f>VLOOKUP($E330,'NI-San_SP'!$C:$AN,MID(W$1,1,2),FALSE)</f>
        <v>0</v>
      </c>
      <c r="X330" s="55">
        <f>VLOOKUP($E330,'NI-San_SP'!$C:$AN,MID(X$1,1,2),FALSE)</f>
        <v>0</v>
      </c>
      <c r="Y330" s="55">
        <f>VLOOKUP($E330,'NI-San_SP'!$C:$AN,MID(Y$1,1,2),FALSE)</f>
        <v>5488301</v>
      </c>
      <c r="Z330" s="55">
        <f>VLOOKUP($E330,'NI-San_SP'!$C:$AN,MID(Z$1,1,2),FALSE)</f>
        <v>0</v>
      </c>
      <c r="AA330" s="55">
        <f>VLOOKUP($E330,'NI-San_SP'!$C:$AN,MID(AA$1,1,2),FALSE)</f>
        <v>0</v>
      </c>
      <c r="AB330" s="55">
        <f>VLOOKUP($E330,'NI-San_SP'!$C:$AN,MID(AB$1,1,2),FALSE)</f>
        <v>0</v>
      </c>
      <c r="AC330" s="55">
        <f>VLOOKUP($E330,'NI-San_SP'!$C:$AN,MID(AC$1,1,2),FALSE)</f>
        <v>5242253</v>
      </c>
      <c r="AD330" s="55">
        <f>VLOOKUP($E330,'NI-San_SP'!$C:$AN,MID(AD$1,1,2),FALSE)</f>
        <v>1380896</v>
      </c>
      <c r="AE330" s="55">
        <f>VLOOKUP($E330,'NI-San_SP'!$C:$AN,MID(AE$1,1,2),FALSE)</f>
        <v>0</v>
      </c>
      <c r="AF330" s="55">
        <f>VLOOKUP($E330,'NI-San_SP'!$C:$AN,MID(AF$1,1,2),FALSE)</f>
        <v>1327770</v>
      </c>
      <c r="AG330" s="55">
        <f>VLOOKUP($E330,'NI-San_SP'!$C:$AN,MID(AG$1,1,2),FALSE)</f>
        <v>0</v>
      </c>
      <c r="AH330" s="55">
        <f>VLOOKUP($E330,'NI-San_SP'!$C:$AN,MID(AH$1,1,2),FALSE)</f>
        <v>0</v>
      </c>
      <c r="AI330" s="55">
        <f>VLOOKUP($E330,'NI-San_SP'!$C:$AN,MID(AI$1,1,2),FALSE)</f>
        <v>0</v>
      </c>
      <c r="AJ330" s="55">
        <f>VLOOKUP($E330,'NI-San_SP'!$C:$AN,MID(AJ$1,1,2),FALSE)</f>
        <v>0</v>
      </c>
      <c r="AK330" s="55">
        <f>VLOOKUP($E330,'NI-San_SP'!$C:$AN,MID(AK$1,1,2),FALSE)</f>
        <v>0</v>
      </c>
      <c r="AL330" s="55">
        <f>VLOOKUP($E330,'NI-San_SP'!$C:$AN,MID(AL$1,1,2),FALSE)</f>
        <v>0</v>
      </c>
      <c r="AM330" s="56">
        <f>VLOOKUP($E330,'NI-San_SP'!$C:$AN,MID(AM$1,1,2),FALSE)</f>
        <v>0</v>
      </c>
      <c r="AN330" s="30" t="str">
        <f t="shared" si="5"/>
        <v>20101010030010</v>
      </c>
    </row>
    <row r="331" spans="3:40" ht="27" x14ac:dyDescent="0.25">
      <c r="C331" s="40"/>
      <c r="D331" s="67" t="s">
        <v>1218</v>
      </c>
      <c r="E331" s="67" t="s">
        <v>1219</v>
      </c>
      <c r="F331" s="68" t="s">
        <v>110</v>
      </c>
      <c r="G331" s="69"/>
      <c r="H331" s="52"/>
      <c r="I331" s="52" t="s">
        <v>1216</v>
      </c>
      <c r="J331" s="52" t="s">
        <v>1216</v>
      </c>
      <c r="K331" s="69" t="s">
        <v>79</v>
      </c>
      <c r="L331" s="52"/>
      <c r="M331" s="52"/>
      <c r="N331" s="52"/>
      <c r="O331" s="61" t="s">
        <v>1145</v>
      </c>
      <c r="P331" s="70" t="s">
        <v>1220</v>
      </c>
      <c r="Q331" s="55">
        <f>VLOOKUP(E331,'NI-San_SP'!$C:$AN,12,FALSE)</f>
        <v>118111</v>
      </c>
      <c r="R331" s="55">
        <f>VLOOKUP(E331,'NI-San_SP'!$C:$AN,13,FALSE)</f>
        <v>166214</v>
      </c>
      <c r="S331" s="55"/>
      <c r="T331" s="55"/>
      <c r="U331" s="55">
        <f>VLOOKUP($E331,'NI-San_SP'!$C:$AN,MID(U$1,1,2),FALSE)</f>
        <v>0</v>
      </c>
      <c r="V331" s="55">
        <f>VLOOKUP($E331,'NI-San_SP'!$C:$AN,MID(V$1,1,2),FALSE)</f>
        <v>118111</v>
      </c>
      <c r="W331" s="55">
        <f>VLOOKUP($E331,'NI-San_SP'!$C:$AN,MID(W$1,1,2),FALSE)</f>
        <v>0</v>
      </c>
      <c r="X331" s="55">
        <f>VLOOKUP($E331,'NI-San_SP'!$C:$AN,MID(X$1,1,2),FALSE)</f>
        <v>0</v>
      </c>
      <c r="Y331" s="55">
        <f>VLOOKUP($E331,'NI-San_SP'!$C:$AN,MID(Y$1,1,2),FALSE)</f>
        <v>529197</v>
      </c>
      <c r="Z331" s="55">
        <f>VLOOKUP($E331,'NI-San_SP'!$C:$AN,MID(Z$1,1,2),FALSE)</f>
        <v>0</v>
      </c>
      <c r="AA331" s="55">
        <f>VLOOKUP($E331,'NI-San_SP'!$C:$AN,MID(AA$1,1,2),FALSE)</f>
        <v>0</v>
      </c>
      <c r="AB331" s="55">
        <f>VLOOKUP($E331,'NI-San_SP'!$C:$AN,MID(AB$1,1,2),FALSE)</f>
        <v>0</v>
      </c>
      <c r="AC331" s="55">
        <f>VLOOKUP($E331,'NI-San_SP'!$C:$AN,MID(AC$1,1,2),FALSE)</f>
        <v>481094</v>
      </c>
      <c r="AD331" s="55">
        <f>VLOOKUP($E331,'NI-San_SP'!$C:$AN,MID(AD$1,1,2),FALSE)</f>
        <v>166214</v>
      </c>
      <c r="AE331" s="55">
        <f>VLOOKUP($E331,'NI-San_SP'!$C:$AN,MID(AE$1,1,2),FALSE)</f>
        <v>0</v>
      </c>
      <c r="AF331" s="55">
        <f>VLOOKUP($E331,'NI-San_SP'!$C:$AN,MID(AF$1,1,2),FALSE)</f>
        <v>157076</v>
      </c>
      <c r="AG331" s="55">
        <f>VLOOKUP($E331,'NI-San_SP'!$C:$AN,MID(AG$1,1,2),FALSE)</f>
        <v>0</v>
      </c>
      <c r="AH331" s="55">
        <f>VLOOKUP($E331,'NI-San_SP'!$C:$AN,MID(AH$1,1,2),FALSE)</f>
        <v>0</v>
      </c>
      <c r="AI331" s="55">
        <f>VLOOKUP($E331,'NI-San_SP'!$C:$AN,MID(AI$1,1,2),FALSE)</f>
        <v>0</v>
      </c>
      <c r="AJ331" s="55">
        <f>VLOOKUP($E331,'NI-San_SP'!$C:$AN,MID(AJ$1,1,2),FALSE)</f>
        <v>0</v>
      </c>
      <c r="AK331" s="55">
        <f>VLOOKUP($E331,'NI-San_SP'!$C:$AN,MID(AK$1,1,2),FALSE)</f>
        <v>0</v>
      </c>
      <c r="AL331" s="55">
        <f>VLOOKUP($E331,'NI-San_SP'!$C:$AN,MID(AL$1,1,2),FALSE)</f>
        <v>0</v>
      </c>
      <c r="AM331" s="56">
        <f>VLOOKUP($E331,'NI-San_SP'!$C:$AN,MID(AM$1,1,2),FALSE)</f>
        <v>0</v>
      </c>
      <c r="AN331" s="30" t="str">
        <f t="shared" si="5"/>
        <v>20101010030020</v>
      </c>
    </row>
    <row r="332" spans="3:40" x14ac:dyDescent="0.25">
      <c r="C332" s="40"/>
      <c r="D332" s="67" t="s">
        <v>1221</v>
      </c>
      <c r="E332" s="67" t="s">
        <v>1222</v>
      </c>
      <c r="F332" s="68" t="s">
        <v>110</v>
      </c>
      <c r="G332" s="69"/>
      <c r="H332" s="52"/>
      <c r="I332" s="52" t="s">
        <v>1223</v>
      </c>
      <c r="J332" s="52" t="s">
        <v>1223</v>
      </c>
      <c r="K332" s="69" t="s">
        <v>79</v>
      </c>
      <c r="L332" s="52"/>
      <c r="M332" s="52"/>
      <c r="N332" s="52"/>
      <c r="O332" s="61" t="s">
        <v>1145</v>
      </c>
      <c r="P332" s="71" t="s">
        <v>1224</v>
      </c>
      <c r="Q332" s="55">
        <f>VLOOKUP(E332,'NI-San_SP'!$C:$AN,12,FALSE)</f>
        <v>100592</v>
      </c>
      <c r="R332" s="55">
        <f>VLOOKUP(E332,'NI-San_SP'!$C:$AN,13,FALSE)</f>
        <v>443546</v>
      </c>
      <c r="S332" s="55"/>
      <c r="T332" s="55"/>
      <c r="U332" s="55">
        <f>VLOOKUP($E332,'NI-San_SP'!$C:$AN,MID(U$1,1,2),FALSE)</f>
        <v>0</v>
      </c>
      <c r="V332" s="55">
        <f>VLOOKUP($E332,'NI-San_SP'!$C:$AN,MID(V$1,1,2),FALSE)</f>
        <v>100592</v>
      </c>
      <c r="W332" s="55">
        <f>VLOOKUP($E332,'NI-San_SP'!$C:$AN,MID(W$1,1,2),FALSE)</f>
        <v>0</v>
      </c>
      <c r="X332" s="55">
        <f>VLOOKUP($E332,'NI-San_SP'!$C:$AN,MID(X$1,1,2),FALSE)</f>
        <v>0</v>
      </c>
      <c r="Y332" s="55">
        <f>VLOOKUP($E332,'NI-San_SP'!$C:$AN,MID(Y$1,1,2),FALSE)</f>
        <v>1494435</v>
      </c>
      <c r="Z332" s="55">
        <f>VLOOKUP($E332,'NI-San_SP'!$C:$AN,MID(Z$1,1,2),FALSE)</f>
        <v>0</v>
      </c>
      <c r="AA332" s="55">
        <f>VLOOKUP($E332,'NI-San_SP'!$C:$AN,MID(AA$1,1,2),FALSE)</f>
        <v>0</v>
      </c>
      <c r="AB332" s="55">
        <f>VLOOKUP($E332,'NI-San_SP'!$C:$AN,MID(AB$1,1,2),FALSE)</f>
        <v>0</v>
      </c>
      <c r="AC332" s="55">
        <f>VLOOKUP($E332,'NI-San_SP'!$C:$AN,MID(AC$1,1,2),FALSE)</f>
        <v>1151481</v>
      </c>
      <c r="AD332" s="55">
        <f>VLOOKUP($E332,'NI-San_SP'!$C:$AN,MID(AD$1,1,2),FALSE)</f>
        <v>443546</v>
      </c>
      <c r="AE332" s="55">
        <f>VLOOKUP($E332,'NI-San_SP'!$C:$AN,MID(AE$1,1,2),FALSE)</f>
        <v>0</v>
      </c>
      <c r="AF332" s="55">
        <f>VLOOKUP($E332,'NI-San_SP'!$C:$AN,MID(AF$1,1,2),FALSE)</f>
        <v>423128</v>
      </c>
      <c r="AG332" s="55">
        <f>VLOOKUP($E332,'NI-San_SP'!$C:$AN,MID(AG$1,1,2),FALSE)</f>
        <v>0</v>
      </c>
      <c r="AH332" s="55">
        <f>VLOOKUP($E332,'NI-San_SP'!$C:$AN,MID(AH$1,1,2),FALSE)</f>
        <v>0</v>
      </c>
      <c r="AI332" s="55">
        <f>VLOOKUP($E332,'NI-San_SP'!$C:$AN,MID(AI$1,1,2),FALSE)</f>
        <v>0</v>
      </c>
      <c r="AJ332" s="55">
        <f>VLOOKUP($E332,'NI-San_SP'!$C:$AN,MID(AJ$1,1,2),FALSE)</f>
        <v>0</v>
      </c>
      <c r="AK332" s="55">
        <f>VLOOKUP($E332,'NI-San_SP'!$C:$AN,MID(AK$1,1,2),FALSE)</f>
        <v>0</v>
      </c>
      <c r="AL332" s="55">
        <f>VLOOKUP($E332,'NI-San_SP'!$C:$AN,MID(AL$1,1,2),FALSE)</f>
        <v>0</v>
      </c>
      <c r="AM332" s="56">
        <f>VLOOKUP($E332,'NI-San_SP'!$C:$AN,MID(AM$1,1,2),FALSE)</f>
        <v>0</v>
      </c>
      <c r="AN332" s="30" t="str">
        <f t="shared" si="5"/>
        <v>20101010060010</v>
      </c>
    </row>
    <row r="333" spans="3:40" ht="27" x14ac:dyDescent="0.25">
      <c r="C333" s="40"/>
      <c r="D333" s="67" t="s">
        <v>1225</v>
      </c>
      <c r="E333" s="67" t="s">
        <v>1226</v>
      </c>
      <c r="F333" s="68" t="s">
        <v>110</v>
      </c>
      <c r="G333" s="69"/>
      <c r="H333" s="52"/>
      <c r="I333" s="52" t="s">
        <v>1216</v>
      </c>
      <c r="J333" s="52" t="s">
        <v>1216</v>
      </c>
      <c r="K333" s="69" t="s">
        <v>79</v>
      </c>
      <c r="L333" s="52"/>
      <c r="M333" s="52"/>
      <c r="N333" s="52"/>
      <c r="O333" s="61" t="s">
        <v>1145</v>
      </c>
      <c r="P333" s="70" t="s">
        <v>1227</v>
      </c>
      <c r="Q333" s="55">
        <f>VLOOKUP(E333,'NI-San_SP'!$C:$AN,12,FALSE)</f>
        <v>1680968</v>
      </c>
      <c r="R333" s="55">
        <f>VLOOKUP(E333,'NI-San_SP'!$C:$AN,13,FALSE)</f>
        <v>2070428</v>
      </c>
      <c r="S333" s="55"/>
      <c r="T333" s="55"/>
      <c r="U333" s="55">
        <f>VLOOKUP($E333,'NI-San_SP'!$C:$AN,MID(U$1,1,2),FALSE)</f>
        <v>0</v>
      </c>
      <c r="V333" s="55">
        <f>VLOOKUP($E333,'NI-San_SP'!$C:$AN,MID(V$1,1,2),FALSE)</f>
        <v>1680968</v>
      </c>
      <c r="W333" s="55">
        <f>VLOOKUP($E333,'NI-San_SP'!$C:$AN,MID(W$1,1,2),FALSE)</f>
        <v>0</v>
      </c>
      <c r="X333" s="55">
        <f>VLOOKUP($E333,'NI-San_SP'!$C:$AN,MID(X$1,1,2),FALSE)</f>
        <v>0</v>
      </c>
      <c r="Y333" s="55">
        <f>VLOOKUP($E333,'NI-San_SP'!$C:$AN,MID(Y$1,1,2),FALSE)</f>
        <v>6344917</v>
      </c>
      <c r="Z333" s="55">
        <f>VLOOKUP($E333,'NI-San_SP'!$C:$AN,MID(Z$1,1,2),FALSE)</f>
        <v>0</v>
      </c>
      <c r="AA333" s="55">
        <f>VLOOKUP($E333,'NI-San_SP'!$C:$AN,MID(AA$1,1,2),FALSE)</f>
        <v>0</v>
      </c>
      <c r="AB333" s="55">
        <f>VLOOKUP($E333,'NI-San_SP'!$C:$AN,MID(AB$1,1,2),FALSE)</f>
        <v>0</v>
      </c>
      <c r="AC333" s="55">
        <f>VLOOKUP($E333,'NI-San_SP'!$C:$AN,MID(AC$1,1,2),FALSE)</f>
        <v>5955457</v>
      </c>
      <c r="AD333" s="55">
        <f>VLOOKUP($E333,'NI-San_SP'!$C:$AN,MID(AD$1,1,2),FALSE)</f>
        <v>2070428</v>
      </c>
      <c r="AE333" s="55">
        <f>VLOOKUP($E333,'NI-San_SP'!$C:$AN,MID(AE$1,1,2),FALSE)</f>
        <v>0</v>
      </c>
      <c r="AF333" s="55">
        <f>VLOOKUP($E333,'NI-San_SP'!$C:$AN,MID(AF$1,1,2),FALSE)</f>
        <v>1376347</v>
      </c>
      <c r="AG333" s="55">
        <f>VLOOKUP($E333,'NI-San_SP'!$C:$AN,MID(AG$1,1,2),FALSE)</f>
        <v>0</v>
      </c>
      <c r="AH333" s="55">
        <f>VLOOKUP($E333,'NI-San_SP'!$C:$AN,MID(AH$1,1,2),FALSE)</f>
        <v>0</v>
      </c>
      <c r="AI333" s="55">
        <f>VLOOKUP($E333,'NI-San_SP'!$C:$AN,MID(AI$1,1,2),FALSE)</f>
        <v>0</v>
      </c>
      <c r="AJ333" s="55">
        <f>VLOOKUP($E333,'NI-San_SP'!$C:$AN,MID(AJ$1,1,2),FALSE)</f>
        <v>0</v>
      </c>
      <c r="AK333" s="55">
        <f>VLOOKUP($E333,'NI-San_SP'!$C:$AN,MID(AK$1,1,2),FALSE)</f>
        <v>0</v>
      </c>
      <c r="AL333" s="55">
        <f>VLOOKUP($E333,'NI-San_SP'!$C:$AN,MID(AL$1,1,2),FALSE)</f>
        <v>0</v>
      </c>
      <c r="AM333" s="56">
        <f>VLOOKUP($E333,'NI-San_SP'!$C:$AN,MID(AM$1,1,2),FALSE)</f>
        <v>0</v>
      </c>
      <c r="AN333" s="30" t="str">
        <f t="shared" si="5"/>
        <v>20101010030030</v>
      </c>
    </row>
    <row r="334" spans="3:40" x14ac:dyDescent="0.25">
      <c r="C334" s="40"/>
      <c r="D334" s="67" t="s">
        <v>1228</v>
      </c>
      <c r="E334" s="67" t="s">
        <v>1229</v>
      </c>
      <c r="F334" s="68" t="s">
        <v>110</v>
      </c>
      <c r="G334" s="69"/>
      <c r="H334" s="52"/>
      <c r="I334" s="52" t="s">
        <v>1216</v>
      </c>
      <c r="J334" s="52" t="s">
        <v>1216</v>
      </c>
      <c r="K334" s="69" t="s">
        <v>79</v>
      </c>
      <c r="L334" s="52"/>
      <c r="M334" s="52"/>
      <c r="N334" s="52"/>
      <c r="O334" s="61" t="s">
        <v>1145</v>
      </c>
      <c r="P334" s="71" t="s">
        <v>1230</v>
      </c>
      <c r="Q334" s="55">
        <f>VLOOKUP(E334,'NI-San_SP'!$C:$AN,12,FALSE)</f>
        <v>162323</v>
      </c>
      <c r="R334" s="55">
        <f>VLOOKUP(E334,'NI-San_SP'!$C:$AN,13,FALSE)</f>
        <v>229753</v>
      </c>
      <c r="S334" s="55"/>
      <c r="T334" s="55"/>
      <c r="U334" s="55">
        <f>VLOOKUP($E334,'NI-San_SP'!$C:$AN,MID(U$1,1,2),FALSE)</f>
        <v>0</v>
      </c>
      <c r="V334" s="55">
        <f>VLOOKUP($E334,'NI-San_SP'!$C:$AN,MID(V$1,1,2),FALSE)</f>
        <v>162323</v>
      </c>
      <c r="W334" s="55">
        <f>VLOOKUP($E334,'NI-San_SP'!$C:$AN,MID(W$1,1,2),FALSE)</f>
        <v>0</v>
      </c>
      <c r="X334" s="55">
        <f>VLOOKUP($E334,'NI-San_SP'!$C:$AN,MID(X$1,1,2),FALSE)</f>
        <v>0</v>
      </c>
      <c r="Y334" s="55">
        <f>VLOOKUP($E334,'NI-San_SP'!$C:$AN,MID(Y$1,1,2),FALSE)</f>
        <v>1414720</v>
      </c>
      <c r="Z334" s="55">
        <f>VLOOKUP($E334,'NI-San_SP'!$C:$AN,MID(Z$1,1,2),FALSE)</f>
        <v>0</v>
      </c>
      <c r="AA334" s="55">
        <f>VLOOKUP($E334,'NI-San_SP'!$C:$AN,MID(AA$1,1,2),FALSE)</f>
        <v>0</v>
      </c>
      <c r="AB334" s="55">
        <f>VLOOKUP($E334,'NI-San_SP'!$C:$AN,MID(AB$1,1,2),FALSE)</f>
        <v>0</v>
      </c>
      <c r="AC334" s="55">
        <f>VLOOKUP($E334,'NI-San_SP'!$C:$AN,MID(AC$1,1,2),FALSE)</f>
        <v>1347290</v>
      </c>
      <c r="AD334" s="55">
        <f>VLOOKUP($E334,'NI-San_SP'!$C:$AN,MID(AD$1,1,2),FALSE)</f>
        <v>229753</v>
      </c>
      <c r="AE334" s="55">
        <f>VLOOKUP($E334,'NI-San_SP'!$C:$AN,MID(AE$1,1,2),FALSE)</f>
        <v>0</v>
      </c>
      <c r="AF334" s="55">
        <f>VLOOKUP($E334,'NI-San_SP'!$C:$AN,MID(AF$1,1,2),FALSE)</f>
        <v>192965</v>
      </c>
      <c r="AG334" s="55">
        <f>VLOOKUP($E334,'NI-San_SP'!$C:$AN,MID(AG$1,1,2),FALSE)</f>
        <v>0</v>
      </c>
      <c r="AH334" s="55">
        <f>VLOOKUP($E334,'NI-San_SP'!$C:$AN,MID(AH$1,1,2),FALSE)</f>
        <v>0</v>
      </c>
      <c r="AI334" s="55">
        <f>VLOOKUP($E334,'NI-San_SP'!$C:$AN,MID(AI$1,1,2),FALSE)</f>
        <v>0</v>
      </c>
      <c r="AJ334" s="55">
        <f>VLOOKUP($E334,'NI-San_SP'!$C:$AN,MID(AJ$1,1,2),FALSE)</f>
        <v>0</v>
      </c>
      <c r="AK334" s="55">
        <f>VLOOKUP($E334,'NI-San_SP'!$C:$AN,MID(AK$1,1,2),FALSE)</f>
        <v>0</v>
      </c>
      <c r="AL334" s="55">
        <f>VLOOKUP($E334,'NI-San_SP'!$C:$AN,MID(AL$1,1,2),FALSE)</f>
        <v>0</v>
      </c>
      <c r="AM334" s="56">
        <f>VLOOKUP($E334,'NI-San_SP'!$C:$AN,MID(AM$1,1,2),FALSE)</f>
        <v>0</v>
      </c>
      <c r="AN334" s="30" t="str">
        <f t="shared" si="5"/>
        <v>20101010030040</v>
      </c>
    </row>
    <row r="335" spans="3:40" x14ac:dyDescent="0.25">
      <c r="C335" s="40"/>
      <c r="D335" s="67" t="s">
        <v>1231</v>
      </c>
      <c r="E335" s="67" t="s">
        <v>1232</v>
      </c>
      <c r="F335" s="68" t="s">
        <v>110</v>
      </c>
      <c r="G335" s="69"/>
      <c r="H335" s="52"/>
      <c r="I335" s="52" t="s">
        <v>1216</v>
      </c>
      <c r="J335" s="52" t="s">
        <v>1216</v>
      </c>
      <c r="K335" s="69" t="s">
        <v>79</v>
      </c>
      <c r="L335" s="52"/>
      <c r="M335" s="52"/>
      <c r="N335" s="52"/>
      <c r="O335" s="61" t="s">
        <v>1145</v>
      </c>
      <c r="P335" s="71" t="s">
        <v>1233</v>
      </c>
      <c r="Q335" s="55">
        <f>VLOOKUP(E335,'NI-San_SP'!$C:$AN,12,FALSE)</f>
        <v>18875</v>
      </c>
      <c r="R335" s="55">
        <f>VLOOKUP(E335,'NI-San_SP'!$C:$AN,13,FALSE)</f>
        <v>13311</v>
      </c>
      <c r="S335" s="55"/>
      <c r="T335" s="55"/>
      <c r="U335" s="55">
        <f>VLOOKUP($E335,'NI-San_SP'!$C:$AN,MID(U$1,1,2),FALSE)</f>
        <v>0</v>
      </c>
      <c r="V335" s="55">
        <f>VLOOKUP($E335,'NI-San_SP'!$C:$AN,MID(V$1,1,2),FALSE)</f>
        <v>18875</v>
      </c>
      <c r="W335" s="55">
        <f>VLOOKUP($E335,'NI-San_SP'!$C:$AN,MID(W$1,1,2),FALSE)</f>
        <v>0</v>
      </c>
      <c r="X335" s="55">
        <f>VLOOKUP($E335,'NI-San_SP'!$C:$AN,MID(X$1,1,2),FALSE)</f>
        <v>0</v>
      </c>
      <c r="Y335" s="55">
        <f>VLOOKUP($E335,'NI-San_SP'!$C:$AN,MID(Y$1,1,2),FALSE)</f>
        <v>644708</v>
      </c>
      <c r="Z335" s="55">
        <f>VLOOKUP($E335,'NI-San_SP'!$C:$AN,MID(Z$1,1,2),FALSE)</f>
        <v>0</v>
      </c>
      <c r="AA335" s="55">
        <f>VLOOKUP($E335,'NI-San_SP'!$C:$AN,MID(AA$1,1,2),FALSE)</f>
        <v>0</v>
      </c>
      <c r="AB335" s="55">
        <f>VLOOKUP($E335,'NI-San_SP'!$C:$AN,MID(AB$1,1,2),FALSE)</f>
        <v>0</v>
      </c>
      <c r="AC335" s="55">
        <f>VLOOKUP($E335,'NI-San_SP'!$C:$AN,MID(AC$1,1,2),FALSE)</f>
        <v>650272</v>
      </c>
      <c r="AD335" s="55">
        <f>VLOOKUP($E335,'NI-San_SP'!$C:$AN,MID(AD$1,1,2),FALSE)</f>
        <v>13311</v>
      </c>
      <c r="AE335" s="55">
        <f>VLOOKUP($E335,'NI-San_SP'!$C:$AN,MID(AE$1,1,2),FALSE)</f>
        <v>0</v>
      </c>
      <c r="AF335" s="55">
        <f>VLOOKUP($E335,'NI-San_SP'!$C:$AN,MID(AF$1,1,2),FALSE)</f>
        <v>6716</v>
      </c>
      <c r="AG335" s="55">
        <f>VLOOKUP($E335,'NI-San_SP'!$C:$AN,MID(AG$1,1,2),FALSE)</f>
        <v>0</v>
      </c>
      <c r="AH335" s="55">
        <f>VLOOKUP($E335,'NI-San_SP'!$C:$AN,MID(AH$1,1,2),FALSE)</f>
        <v>0</v>
      </c>
      <c r="AI335" s="55">
        <f>VLOOKUP($E335,'NI-San_SP'!$C:$AN,MID(AI$1,1,2),FALSE)</f>
        <v>0</v>
      </c>
      <c r="AJ335" s="55">
        <f>VLOOKUP($E335,'NI-San_SP'!$C:$AN,MID(AJ$1,1,2),FALSE)</f>
        <v>0</v>
      </c>
      <c r="AK335" s="55">
        <f>VLOOKUP($E335,'NI-San_SP'!$C:$AN,MID(AK$1,1,2),FALSE)</f>
        <v>0</v>
      </c>
      <c r="AL335" s="55">
        <f>VLOOKUP($E335,'NI-San_SP'!$C:$AN,MID(AL$1,1,2),FALSE)</f>
        <v>0</v>
      </c>
      <c r="AM335" s="56">
        <f>VLOOKUP($E335,'NI-San_SP'!$C:$AN,MID(AM$1,1,2),FALSE)</f>
        <v>0</v>
      </c>
      <c r="AN335" s="30" t="str">
        <f t="shared" si="5"/>
        <v>20101010030050</v>
      </c>
    </row>
    <row r="336" spans="3:40" x14ac:dyDescent="0.25">
      <c r="C336" s="40"/>
      <c r="D336" s="67" t="s">
        <v>1234</v>
      </c>
      <c r="E336" s="67" t="s">
        <v>1235</v>
      </c>
      <c r="F336" s="68" t="s">
        <v>110</v>
      </c>
      <c r="G336" s="69"/>
      <c r="H336" s="52"/>
      <c r="I336" s="52" t="s">
        <v>1216</v>
      </c>
      <c r="J336" s="52" t="s">
        <v>1216</v>
      </c>
      <c r="K336" s="69" t="s">
        <v>79</v>
      </c>
      <c r="L336" s="52"/>
      <c r="M336" s="52"/>
      <c r="N336" s="52"/>
      <c r="O336" s="61" t="s">
        <v>1145</v>
      </c>
      <c r="P336" s="71" t="s">
        <v>1236</v>
      </c>
      <c r="Q336" s="55">
        <f>VLOOKUP(E336,'NI-San_SP'!$C:$AN,12,FALSE)</f>
        <v>21000</v>
      </c>
      <c r="R336" s="55">
        <f>VLOOKUP(E336,'NI-San_SP'!$C:$AN,13,FALSE)</f>
        <v>12816</v>
      </c>
      <c r="S336" s="55"/>
      <c r="T336" s="55"/>
      <c r="U336" s="55">
        <f>VLOOKUP($E336,'NI-San_SP'!$C:$AN,MID(U$1,1,2),FALSE)</f>
        <v>0</v>
      </c>
      <c r="V336" s="55">
        <f>VLOOKUP($E336,'NI-San_SP'!$C:$AN,MID(V$1,1,2),FALSE)</f>
        <v>21000</v>
      </c>
      <c r="W336" s="55">
        <f>VLOOKUP($E336,'NI-San_SP'!$C:$AN,MID(W$1,1,2),FALSE)</f>
        <v>0</v>
      </c>
      <c r="X336" s="55">
        <f>VLOOKUP($E336,'NI-San_SP'!$C:$AN,MID(X$1,1,2),FALSE)</f>
        <v>0</v>
      </c>
      <c r="Y336" s="55">
        <f>VLOOKUP($E336,'NI-San_SP'!$C:$AN,MID(Y$1,1,2),FALSE)</f>
        <v>114004</v>
      </c>
      <c r="Z336" s="55">
        <f>VLOOKUP($E336,'NI-San_SP'!$C:$AN,MID(Z$1,1,2),FALSE)</f>
        <v>0</v>
      </c>
      <c r="AA336" s="55">
        <f>VLOOKUP($E336,'NI-San_SP'!$C:$AN,MID(AA$1,1,2),FALSE)</f>
        <v>0</v>
      </c>
      <c r="AB336" s="55">
        <f>VLOOKUP($E336,'NI-San_SP'!$C:$AN,MID(AB$1,1,2),FALSE)</f>
        <v>0</v>
      </c>
      <c r="AC336" s="55">
        <f>VLOOKUP($E336,'NI-San_SP'!$C:$AN,MID(AC$1,1,2),FALSE)</f>
        <v>122188</v>
      </c>
      <c r="AD336" s="55">
        <f>VLOOKUP($E336,'NI-San_SP'!$C:$AN,MID(AD$1,1,2),FALSE)</f>
        <v>12816</v>
      </c>
      <c r="AE336" s="55">
        <f>VLOOKUP($E336,'NI-San_SP'!$C:$AN,MID(AE$1,1,2),FALSE)</f>
        <v>0</v>
      </c>
      <c r="AF336" s="55">
        <f>VLOOKUP($E336,'NI-San_SP'!$C:$AN,MID(AF$1,1,2),FALSE)</f>
        <v>15868</v>
      </c>
      <c r="AG336" s="55">
        <f>VLOOKUP($E336,'NI-San_SP'!$C:$AN,MID(AG$1,1,2),FALSE)</f>
        <v>0</v>
      </c>
      <c r="AH336" s="55">
        <f>VLOOKUP($E336,'NI-San_SP'!$C:$AN,MID(AH$1,1,2),FALSE)</f>
        <v>0</v>
      </c>
      <c r="AI336" s="55">
        <f>VLOOKUP($E336,'NI-San_SP'!$C:$AN,MID(AI$1,1,2),FALSE)</f>
        <v>0</v>
      </c>
      <c r="AJ336" s="55">
        <f>VLOOKUP($E336,'NI-San_SP'!$C:$AN,MID(AJ$1,1,2),FALSE)</f>
        <v>0</v>
      </c>
      <c r="AK336" s="55">
        <f>VLOOKUP($E336,'NI-San_SP'!$C:$AN,MID(AK$1,1,2),FALSE)</f>
        <v>0</v>
      </c>
      <c r="AL336" s="55">
        <f>VLOOKUP($E336,'NI-San_SP'!$C:$AN,MID(AL$1,1,2),FALSE)</f>
        <v>0</v>
      </c>
      <c r="AM336" s="56">
        <f>VLOOKUP($E336,'NI-San_SP'!$C:$AN,MID(AM$1,1,2),FALSE)</f>
        <v>0</v>
      </c>
      <c r="AN336" s="30" t="str">
        <f t="shared" si="5"/>
        <v>20101010030060</v>
      </c>
    </row>
    <row r="337" spans="3:40" x14ac:dyDescent="0.25">
      <c r="C337" s="40"/>
      <c r="D337" s="67" t="s">
        <v>1237</v>
      </c>
      <c r="E337" s="67" t="s">
        <v>1238</v>
      </c>
      <c r="F337" s="68" t="s">
        <v>110</v>
      </c>
      <c r="G337" s="69"/>
      <c r="H337" s="52"/>
      <c r="I337" s="52" t="s">
        <v>1239</v>
      </c>
      <c r="J337" s="52" t="s">
        <v>1239</v>
      </c>
      <c r="K337" s="69" t="s">
        <v>79</v>
      </c>
      <c r="L337" s="52"/>
      <c r="M337" s="52"/>
      <c r="N337" s="52"/>
      <c r="O337" s="61" t="s">
        <v>1145</v>
      </c>
      <c r="P337" s="70" t="s">
        <v>1240</v>
      </c>
      <c r="Q337" s="55">
        <f>VLOOKUP(E337,'NI-San_SP'!$C:$AN,12,FALSE)</f>
        <v>0</v>
      </c>
      <c r="R337" s="55">
        <f>VLOOKUP(E337,'NI-San_SP'!$C:$AN,13,FALSE)</f>
        <v>0</v>
      </c>
      <c r="S337" s="55"/>
      <c r="T337" s="55"/>
      <c r="U337" s="55">
        <f>VLOOKUP($E337,'NI-San_SP'!$C:$AN,MID(U$1,1,2),FALSE)</f>
        <v>0</v>
      </c>
      <c r="V337" s="55">
        <f>VLOOKUP($E337,'NI-San_SP'!$C:$AN,MID(V$1,1,2),FALSE)</f>
        <v>0</v>
      </c>
      <c r="W337" s="55">
        <f>VLOOKUP($E337,'NI-San_SP'!$C:$AN,MID(W$1,1,2),FALSE)</f>
        <v>0</v>
      </c>
      <c r="X337" s="55">
        <f>VLOOKUP($E337,'NI-San_SP'!$C:$AN,MID(X$1,1,2),FALSE)</f>
        <v>0</v>
      </c>
      <c r="Y337" s="55">
        <f>VLOOKUP($E337,'NI-San_SP'!$C:$AN,MID(Y$1,1,2),FALSE)</f>
        <v>0</v>
      </c>
      <c r="Z337" s="55">
        <f>VLOOKUP($E337,'NI-San_SP'!$C:$AN,MID(Z$1,1,2),FALSE)</f>
        <v>0</v>
      </c>
      <c r="AA337" s="55">
        <f>VLOOKUP($E337,'NI-San_SP'!$C:$AN,MID(AA$1,1,2),FALSE)</f>
        <v>0</v>
      </c>
      <c r="AB337" s="55">
        <f>VLOOKUP($E337,'NI-San_SP'!$C:$AN,MID(AB$1,1,2),FALSE)</f>
        <v>0</v>
      </c>
      <c r="AC337" s="55">
        <f>VLOOKUP($E337,'NI-San_SP'!$C:$AN,MID(AC$1,1,2),FALSE)</f>
        <v>0</v>
      </c>
      <c r="AD337" s="55">
        <f>VLOOKUP($E337,'NI-San_SP'!$C:$AN,MID(AD$1,1,2),FALSE)</f>
        <v>0</v>
      </c>
      <c r="AE337" s="55">
        <f>VLOOKUP($E337,'NI-San_SP'!$C:$AN,MID(AE$1,1,2),FALSE)</f>
        <v>0</v>
      </c>
      <c r="AF337" s="55">
        <f>VLOOKUP($E337,'NI-San_SP'!$C:$AN,MID(AF$1,1,2),FALSE)</f>
        <v>0</v>
      </c>
      <c r="AG337" s="55">
        <f>VLOOKUP($E337,'NI-San_SP'!$C:$AN,MID(AG$1,1,2),FALSE)</f>
        <v>0</v>
      </c>
      <c r="AH337" s="55">
        <f>VLOOKUP($E337,'NI-San_SP'!$C:$AN,MID(AH$1,1,2),FALSE)</f>
        <v>0</v>
      </c>
      <c r="AI337" s="55">
        <f>VLOOKUP($E337,'NI-San_SP'!$C:$AN,MID(AI$1,1,2),FALSE)</f>
        <v>0</v>
      </c>
      <c r="AJ337" s="55">
        <f>VLOOKUP($E337,'NI-San_SP'!$C:$AN,MID(AJ$1,1,2),FALSE)</f>
        <v>0</v>
      </c>
      <c r="AK337" s="55">
        <f>VLOOKUP($E337,'NI-San_SP'!$C:$AN,MID(AK$1,1,2),FALSE)</f>
        <v>0</v>
      </c>
      <c r="AL337" s="55">
        <f>VLOOKUP($E337,'NI-San_SP'!$C:$AN,MID(AL$1,1,2),FALSE)</f>
        <v>0</v>
      </c>
      <c r="AM337" s="56">
        <f>VLOOKUP($E337,'NI-San_SP'!$C:$AN,MID(AM$1,1,2),FALSE)</f>
        <v>0</v>
      </c>
      <c r="AN337" s="30" t="str">
        <f t="shared" si="5"/>
        <v>20101010070020</v>
      </c>
    </row>
    <row r="338" spans="3:40" x14ac:dyDescent="0.25">
      <c r="C338" s="40"/>
      <c r="D338" s="67" t="s">
        <v>1241</v>
      </c>
      <c r="E338" s="67" t="s">
        <v>1242</v>
      </c>
      <c r="F338" s="68" t="s">
        <v>110</v>
      </c>
      <c r="G338" s="69"/>
      <c r="H338" s="52"/>
      <c r="I338" s="52" t="s">
        <v>1216</v>
      </c>
      <c r="J338" s="52" t="s">
        <v>1216</v>
      </c>
      <c r="K338" s="69" t="s">
        <v>79</v>
      </c>
      <c r="L338" s="52"/>
      <c r="M338" s="52"/>
      <c r="N338" s="52"/>
      <c r="O338" s="61" t="s">
        <v>1145</v>
      </c>
      <c r="P338" s="70" t="s">
        <v>1243</v>
      </c>
      <c r="Q338" s="55">
        <f>VLOOKUP(E338,'NI-San_SP'!$C:$AN,12,FALSE)</f>
        <v>0</v>
      </c>
      <c r="R338" s="55">
        <f>VLOOKUP(E338,'NI-San_SP'!$C:$AN,13,FALSE)</f>
        <v>0</v>
      </c>
      <c r="S338" s="55"/>
      <c r="T338" s="55"/>
      <c r="U338" s="55">
        <f>VLOOKUP($E338,'NI-San_SP'!$C:$AN,MID(U$1,1,2),FALSE)</f>
        <v>0</v>
      </c>
      <c r="V338" s="55">
        <f>VLOOKUP($E338,'NI-San_SP'!$C:$AN,MID(V$1,1,2),FALSE)</f>
        <v>0</v>
      </c>
      <c r="W338" s="55">
        <f>VLOOKUP($E338,'NI-San_SP'!$C:$AN,MID(W$1,1,2),FALSE)</f>
        <v>0</v>
      </c>
      <c r="X338" s="55">
        <f>VLOOKUP($E338,'NI-San_SP'!$C:$AN,MID(X$1,1,2),FALSE)</f>
        <v>0</v>
      </c>
      <c r="Y338" s="55">
        <f>VLOOKUP($E338,'NI-San_SP'!$C:$AN,MID(Y$1,1,2),FALSE)</f>
        <v>0</v>
      </c>
      <c r="Z338" s="55">
        <f>VLOOKUP($E338,'NI-San_SP'!$C:$AN,MID(Z$1,1,2),FALSE)</f>
        <v>0</v>
      </c>
      <c r="AA338" s="55">
        <f>VLOOKUP($E338,'NI-San_SP'!$C:$AN,MID(AA$1,1,2),FALSE)</f>
        <v>0</v>
      </c>
      <c r="AB338" s="55">
        <f>VLOOKUP($E338,'NI-San_SP'!$C:$AN,MID(AB$1,1,2),FALSE)</f>
        <v>0</v>
      </c>
      <c r="AC338" s="55">
        <f>VLOOKUP($E338,'NI-San_SP'!$C:$AN,MID(AC$1,1,2),FALSE)</f>
        <v>0</v>
      </c>
      <c r="AD338" s="55">
        <f>VLOOKUP($E338,'NI-San_SP'!$C:$AN,MID(AD$1,1,2),FALSE)</f>
        <v>0</v>
      </c>
      <c r="AE338" s="55">
        <f>VLOOKUP($E338,'NI-San_SP'!$C:$AN,MID(AE$1,1,2),FALSE)</f>
        <v>0</v>
      </c>
      <c r="AF338" s="55">
        <f>VLOOKUP($E338,'NI-San_SP'!$C:$AN,MID(AF$1,1,2),FALSE)</f>
        <v>0</v>
      </c>
      <c r="AG338" s="55">
        <f>VLOOKUP($E338,'NI-San_SP'!$C:$AN,MID(AG$1,1,2),FALSE)</f>
        <v>0</v>
      </c>
      <c r="AH338" s="55">
        <f>VLOOKUP($E338,'NI-San_SP'!$C:$AN,MID(AH$1,1,2),FALSE)</f>
        <v>0</v>
      </c>
      <c r="AI338" s="55">
        <f>VLOOKUP($E338,'NI-San_SP'!$C:$AN,MID(AI$1,1,2),FALSE)</f>
        <v>0</v>
      </c>
      <c r="AJ338" s="55">
        <f>VLOOKUP($E338,'NI-San_SP'!$C:$AN,MID(AJ$1,1,2),FALSE)</f>
        <v>0</v>
      </c>
      <c r="AK338" s="55">
        <f>VLOOKUP($E338,'NI-San_SP'!$C:$AN,MID(AK$1,1,2),FALSE)</f>
        <v>0</v>
      </c>
      <c r="AL338" s="55">
        <f>VLOOKUP($E338,'NI-San_SP'!$C:$AN,MID(AL$1,1,2),FALSE)</f>
        <v>0</v>
      </c>
      <c r="AM338" s="56">
        <f>VLOOKUP($E338,'NI-San_SP'!$C:$AN,MID(AM$1,1,2),FALSE)</f>
        <v>0</v>
      </c>
      <c r="AN338" s="30" t="str">
        <f t="shared" si="5"/>
        <v>20101010030070</v>
      </c>
    </row>
    <row r="339" spans="3:40" x14ac:dyDescent="0.25">
      <c r="C339" s="40"/>
      <c r="D339" s="67" t="s">
        <v>1244</v>
      </c>
      <c r="E339" s="67" t="s">
        <v>1245</v>
      </c>
      <c r="F339" s="68" t="s">
        <v>110</v>
      </c>
      <c r="G339" s="69"/>
      <c r="H339" s="52"/>
      <c r="I339" s="52" t="s">
        <v>1216</v>
      </c>
      <c r="J339" s="52" t="s">
        <v>1216</v>
      </c>
      <c r="K339" s="69" t="s">
        <v>79</v>
      </c>
      <c r="L339" s="52"/>
      <c r="M339" s="52"/>
      <c r="N339" s="52"/>
      <c r="O339" s="61" t="s">
        <v>1145</v>
      </c>
      <c r="P339" s="70" t="s">
        <v>1246</v>
      </c>
      <c r="Q339" s="55">
        <f>VLOOKUP(E339,'NI-San_SP'!$C:$AN,12,FALSE)</f>
        <v>0</v>
      </c>
      <c r="R339" s="55">
        <f>VLOOKUP(E339,'NI-San_SP'!$C:$AN,13,FALSE)</f>
        <v>0</v>
      </c>
      <c r="S339" s="55"/>
      <c r="T339" s="55"/>
      <c r="U339" s="55">
        <f>VLOOKUP($E339,'NI-San_SP'!$C:$AN,MID(U$1,1,2),FALSE)</f>
        <v>0</v>
      </c>
      <c r="V339" s="55">
        <f>VLOOKUP($E339,'NI-San_SP'!$C:$AN,MID(V$1,1,2),FALSE)</f>
        <v>0</v>
      </c>
      <c r="W339" s="55">
        <f>VLOOKUP($E339,'NI-San_SP'!$C:$AN,MID(W$1,1,2),FALSE)</f>
        <v>0</v>
      </c>
      <c r="X339" s="55">
        <f>VLOOKUP($E339,'NI-San_SP'!$C:$AN,MID(X$1,1,2),FALSE)</f>
        <v>0</v>
      </c>
      <c r="Y339" s="55">
        <f>VLOOKUP($E339,'NI-San_SP'!$C:$AN,MID(Y$1,1,2),FALSE)</f>
        <v>0</v>
      </c>
      <c r="Z339" s="55">
        <f>VLOOKUP($E339,'NI-San_SP'!$C:$AN,MID(Z$1,1,2),FALSE)</f>
        <v>0</v>
      </c>
      <c r="AA339" s="55">
        <f>VLOOKUP($E339,'NI-San_SP'!$C:$AN,MID(AA$1,1,2),FALSE)</f>
        <v>0</v>
      </c>
      <c r="AB339" s="55">
        <f>VLOOKUP($E339,'NI-San_SP'!$C:$AN,MID(AB$1,1,2),FALSE)</f>
        <v>0</v>
      </c>
      <c r="AC339" s="55">
        <f>VLOOKUP($E339,'NI-San_SP'!$C:$AN,MID(AC$1,1,2),FALSE)</f>
        <v>0</v>
      </c>
      <c r="AD339" s="55">
        <f>VLOOKUP($E339,'NI-San_SP'!$C:$AN,MID(AD$1,1,2),FALSE)</f>
        <v>0</v>
      </c>
      <c r="AE339" s="55">
        <f>VLOOKUP($E339,'NI-San_SP'!$C:$AN,MID(AE$1,1,2),FALSE)</f>
        <v>0</v>
      </c>
      <c r="AF339" s="55">
        <f>VLOOKUP($E339,'NI-San_SP'!$C:$AN,MID(AF$1,1,2),FALSE)</f>
        <v>0</v>
      </c>
      <c r="AG339" s="55">
        <f>VLOOKUP($E339,'NI-San_SP'!$C:$AN,MID(AG$1,1,2),FALSE)</f>
        <v>0</v>
      </c>
      <c r="AH339" s="55">
        <f>VLOOKUP($E339,'NI-San_SP'!$C:$AN,MID(AH$1,1,2),FALSE)</f>
        <v>0</v>
      </c>
      <c r="AI339" s="55">
        <f>VLOOKUP($E339,'NI-San_SP'!$C:$AN,MID(AI$1,1,2),FALSE)</f>
        <v>0</v>
      </c>
      <c r="AJ339" s="55">
        <f>VLOOKUP($E339,'NI-San_SP'!$C:$AN,MID(AJ$1,1,2),FALSE)</f>
        <v>0</v>
      </c>
      <c r="AK339" s="55">
        <f>VLOOKUP($E339,'NI-San_SP'!$C:$AN,MID(AK$1,1,2),FALSE)</f>
        <v>0</v>
      </c>
      <c r="AL339" s="55">
        <f>VLOOKUP($E339,'NI-San_SP'!$C:$AN,MID(AL$1,1,2),FALSE)</f>
        <v>0</v>
      </c>
      <c r="AM339" s="56">
        <f>VLOOKUP($E339,'NI-San_SP'!$C:$AN,MID(AM$1,1,2),FALSE)</f>
        <v>0</v>
      </c>
      <c r="AN339" s="30" t="str">
        <f t="shared" si="5"/>
        <v>20101010030080</v>
      </c>
    </row>
    <row r="340" spans="3:40" ht="27" x14ac:dyDescent="0.25">
      <c r="C340" s="40"/>
      <c r="D340" s="67" t="s">
        <v>1247</v>
      </c>
      <c r="E340" s="67" t="s">
        <v>1248</v>
      </c>
      <c r="F340" s="68" t="s">
        <v>110</v>
      </c>
      <c r="G340" s="69"/>
      <c r="H340" s="52"/>
      <c r="I340" s="52" t="s">
        <v>1216</v>
      </c>
      <c r="J340" s="52" t="s">
        <v>1216</v>
      </c>
      <c r="K340" s="69" t="s">
        <v>79</v>
      </c>
      <c r="L340" s="52"/>
      <c r="M340" s="52"/>
      <c r="N340" s="52"/>
      <c r="O340" s="61" t="s">
        <v>1145</v>
      </c>
      <c r="P340" s="70" t="s">
        <v>1249</v>
      </c>
      <c r="Q340" s="55">
        <f>VLOOKUP(E340,'NI-San_SP'!$C:$AN,12,FALSE)</f>
        <v>0</v>
      </c>
      <c r="R340" s="55">
        <f>VLOOKUP(E340,'NI-San_SP'!$C:$AN,13,FALSE)</f>
        <v>0</v>
      </c>
      <c r="S340" s="55"/>
      <c r="T340" s="55"/>
      <c r="U340" s="55">
        <f>VLOOKUP($E340,'NI-San_SP'!$C:$AN,MID(U$1,1,2),FALSE)</f>
        <v>0</v>
      </c>
      <c r="V340" s="55">
        <f>VLOOKUP($E340,'NI-San_SP'!$C:$AN,MID(V$1,1,2),FALSE)</f>
        <v>0</v>
      </c>
      <c r="W340" s="55">
        <f>VLOOKUP($E340,'NI-San_SP'!$C:$AN,MID(W$1,1,2),FALSE)</f>
        <v>0</v>
      </c>
      <c r="X340" s="55">
        <f>VLOOKUP($E340,'NI-San_SP'!$C:$AN,MID(X$1,1,2),FALSE)</f>
        <v>0</v>
      </c>
      <c r="Y340" s="55">
        <f>VLOOKUP($E340,'NI-San_SP'!$C:$AN,MID(Y$1,1,2),FALSE)</f>
        <v>730141</v>
      </c>
      <c r="Z340" s="55">
        <f>VLOOKUP($E340,'NI-San_SP'!$C:$AN,MID(Z$1,1,2),FALSE)</f>
        <v>0</v>
      </c>
      <c r="AA340" s="55">
        <f>VLOOKUP($E340,'NI-San_SP'!$C:$AN,MID(AA$1,1,2),FALSE)</f>
        <v>0</v>
      </c>
      <c r="AB340" s="55">
        <f>VLOOKUP($E340,'NI-San_SP'!$C:$AN,MID(AB$1,1,2),FALSE)</f>
        <v>0</v>
      </c>
      <c r="AC340" s="55">
        <f>VLOOKUP($E340,'NI-San_SP'!$C:$AN,MID(AC$1,1,2),FALSE)</f>
        <v>730141</v>
      </c>
      <c r="AD340" s="55">
        <f>VLOOKUP($E340,'NI-San_SP'!$C:$AN,MID(AD$1,1,2),FALSE)</f>
        <v>0</v>
      </c>
      <c r="AE340" s="55">
        <f>VLOOKUP($E340,'NI-San_SP'!$C:$AN,MID(AE$1,1,2),FALSE)</f>
        <v>0</v>
      </c>
      <c r="AF340" s="55">
        <f>VLOOKUP($E340,'NI-San_SP'!$C:$AN,MID(AF$1,1,2),FALSE)</f>
        <v>0</v>
      </c>
      <c r="AG340" s="55">
        <f>VLOOKUP($E340,'NI-San_SP'!$C:$AN,MID(AG$1,1,2),FALSE)</f>
        <v>0</v>
      </c>
      <c r="AH340" s="55">
        <f>VLOOKUP($E340,'NI-San_SP'!$C:$AN,MID(AH$1,1,2),FALSE)</f>
        <v>0</v>
      </c>
      <c r="AI340" s="55">
        <f>VLOOKUP($E340,'NI-San_SP'!$C:$AN,MID(AI$1,1,2),FALSE)</f>
        <v>0</v>
      </c>
      <c r="AJ340" s="55">
        <f>VLOOKUP($E340,'NI-San_SP'!$C:$AN,MID(AJ$1,1,2),FALSE)</f>
        <v>0</v>
      </c>
      <c r="AK340" s="55">
        <f>VLOOKUP($E340,'NI-San_SP'!$C:$AN,MID(AK$1,1,2),FALSE)</f>
        <v>0</v>
      </c>
      <c r="AL340" s="55">
        <f>VLOOKUP($E340,'NI-San_SP'!$C:$AN,MID(AL$1,1,2),FALSE)</f>
        <v>0</v>
      </c>
      <c r="AM340" s="56">
        <f>VLOOKUP($E340,'NI-San_SP'!$C:$AN,MID(AM$1,1,2),FALSE)</f>
        <v>0</v>
      </c>
      <c r="AN340" s="30" t="str">
        <f t="shared" si="5"/>
        <v>20101010030090</v>
      </c>
    </row>
    <row r="341" spans="3:40" x14ac:dyDescent="0.25">
      <c r="C341" s="40"/>
      <c r="D341" s="67" t="s">
        <v>1250</v>
      </c>
      <c r="E341" s="67" t="s">
        <v>1251</v>
      </c>
      <c r="F341" s="68" t="s">
        <v>110</v>
      </c>
      <c r="G341" s="69"/>
      <c r="H341" s="52"/>
      <c r="I341" s="52" t="s">
        <v>1216</v>
      </c>
      <c r="J341" s="52" t="s">
        <v>1216</v>
      </c>
      <c r="K341" s="69" t="s">
        <v>79</v>
      </c>
      <c r="L341" s="52"/>
      <c r="M341" s="52"/>
      <c r="N341" s="52"/>
      <c r="O341" s="61" t="s">
        <v>1145</v>
      </c>
      <c r="P341" s="71" t="s">
        <v>1252</v>
      </c>
      <c r="Q341" s="55">
        <f>VLOOKUP(E341,'NI-San_SP'!$C:$AN,12,FALSE)</f>
        <v>7666</v>
      </c>
      <c r="R341" s="55">
        <f>VLOOKUP(E341,'NI-San_SP'!$C:$AN,13,FALSE)</f>
        <v>4414</v>
      </c>
      <c r="S341" s="55"/>
      <c r="T341" s="55"/>
      <c r="U341" s="55">
        <f>VLOOKUP($E341,'NI-San_SP'!$C:$AN,MID(U$1,1,2),FALSE)</f>
        <v>0</v>
      </c>
      <c r="V341" s="55">
        <f>VLOOKUP($E341,'NI-San_SP'!$C:$AN,MID(V$1,1,2),FALSE)</f>
        <v>7666</v>
      </c>
      <c r="W341" s="55">
        <f>VLOOKUP($E341,'NI-San_SP'!$C:$AN,MID(W$1,1,2),FALSE)</f>
        <v>0</v>
      </c>
      <c r="X341" s="55">
        <f>VLOOKUP($E341,'NI-San_SP'!$C:$AN,MID(X$1,1,2),FALSE)</f>
        <v>0</v>
      </c>
      <c r="Y341" s="55">
        <f>VLOOKUP($E341,'NI-San_SP'!$C:$AN,MID(Y$1,1,2),FALSE)</f>
        <v>2328103</v>
      </c>
      <c r="Z341" s="55">
        <f>VLOOKUP($E341,'NI-San_SP'!$C:$AN,MID(Z$1,1,2),FALSE)</f>
        <v>0</v>
      </c>
      <c r="AA341" s="55">
        <f>VLOOKUP($E341,'NI-San_SP'!$C:$AN,MID(AA$1,1,2),FALSE)</f>
        <v>0</v>
      </c>
      <c r="AB341" s="55">
        <f>VLOOKUP($E341,'NI-San_SP'!$C:$AN,MID(AB$1,1,2),FALSE)</f>
        <v>0</v>
      </c>
      <c r="AC341" s="55">
        <f>VLOOKUP($E341,'NI-San_SP'!$C:$AN,MID(AC$1,1,2),FALSE)</f>
        <v>2331355</v>
      </c>
      <c r="AD341" s="55">
        <f>VLOOKUP($E341,'NI-San_SP'!$C:$AN,MID(AD$1,1,2),FALSE)</f>
        <v>4414</v>
      </c>
      <c r="AE341" s="55">
        <f>VLOOKUP($E341,'NI-San_SP'!$C:$AN,MID(AE$1,1,2),FALSE)</f>
        <v>0</v>
      </c>
      <c r="AF341" s="55">
        <f>VLOOKUP($E341,'NI-San_SP'!$C:$AN,MID(AF$1,1,2),FALSE)</f>
        <v>4414</v>
      </c>
      <c r="AG341" s="55">
        <f>VLOOKUP($E341,'NI-San_SP'!$C:$AN,MID(AG$1,1,2),FALSE)</f>
        <v>0</v>
      </c>
      <c r="AH341" s="55">
        <f>VLOOKUP($E341,'NI-San_SP'!$C:$AN,MID(AH$1,1,2),FALSE)</f>
        <v>0</v>
      </c>
      <c r="AI341" s="55">
        <f>VLOOKUP($E341,'NI-San_SP'!$C:$AN,MID(AI$1,1,2),FALSE)</f>
        <v>0</v>
      </c>
      <c r="AJ341" s="55">
        <f>VLOOKUP($E341,'NI-San_SP'!$C:$AN,MID(AJ$1,1,2),FALSE)</f>
        <v>0</v>
      </c>
      <c r="AK341" s="55">
        <f>VLOOKUP($E341,'NI-San_SP'!$C:$AN,MID(AK$1,1,2),FALSE)</f>
        <v>0</v>
      </c>
      <c r="AL341" s="55">
        <f>VLOOKUP($E341,'NI-San_SP'!$C:$AN,MID(AL$1,1,2),FALSE)</f>
        <v>0</v>
      </c>
      <c r="AM341" s="56">
        <f>VLOOKUP($E341,'NI-San_SP'!$C:$AN,MID(AM$1,1,2),FALSE)</f>
        <v>0</v>
      </c>
      <c r="AN341" s="30" t="str">
        <f t="shared" si="5"/>
        <v>20101010030100</v>
      </c>
    </row>
    <row r="342" spans="3:40" x14ac:dyDescent="0.25">
      <c r="C342" s="40"/>
      <c r="D342" s="67" t="s">
        <v>1253</v>
      </c>
      <c r="E342" s="67" t="s">
        <v>1254</v>
      </c>
      <c r="F342" s="68" t="s">
        <v>110</v>
      </c>
      <c r="G342" s="69"/>
      <c r="H342" s="52"/>
      <c r="I342" s="52" t="s">
        <v>1216</v>
      </c>
      <c r="J342" s="52" t="s">
        <v>1216</v>
      </c>
      <c r="K342" s="69" t="s">
        <v>79</v>
      </c>
      <c r="L342" s="52"/>
      <c r="M342" s="52"/>
      <c r="N342" s="52"/>
      <c r="O342" s="61" t="s">
        <v>1145</v>
      </c>
      <c r="P342" s="70" t="s">
        <v>1255</v>
      </c>
      <c r="Q342" s="55">
        <f>VLOOKUP(E342,'NI-San_SP'!$C:$AN,12,FALSE)</f>
        <v>29798</v>
      </c>
      <c r="R342" s="55">
        <f>VLOOKUP(E342,'NI-San_SP'!$C:$AN,13,FALSE)</f>
        <v>86674</v>
      </c>
      <c r="S342" s="55"/>
      <c r="T342" s="55"/>
      <c r="U342" s="55">
        <f>VLOOKUP($E342,'NI-San_SP'!$C:$AN,MID(U$1,1,2),FALSE)</f>
        <v>0</v>
      </c>
      <c r="V342" s="55">
        <f>VLOOKUP($E342,'NI-San_SP'!$C:$AN,MID(V$1,1,2),FALSE)</f>
        <v>29798</v>
      </c>
      <c r="W342" s="55">
        <f>VLOOKUP($E342,'NI-San_SP'!$C:$AN,MID(W$1,1,2),FALSE)</f>
        <v>0</v>
      </c>
      <c r="X342" s="55">
        <f>VLOOKUP($E342,'NI-San_SP'!$C:$AN,MID(X$1,1,2),FALSE)</f>
        <v>0</v>
      </c>
      <c r="Y342" s="55">
        <f>VLOOKUP($E342,'NI-San_SP'!$C:$AN,MID(Y$1,1,2),FALSE)</f>
        <v>396945</v>
      </c>
      <c r="Z342" s="55">
        <f>VLOOKUP($E342,'NI-San_SP'!$C:$AN,MID(Z$1,1,2),FALSE)</f>
        <v>0</v>
      </c>
      <c r="AA342" s="55">
        <f>VLOOKUP($E342,'NI-San_SP'!$C:$AN,MID(AA$1,1,2),FALSE)</f>
        <v>0</v>
      </c>
      <c r="AB342" s="55">
        <f>VLOOKUP($E342,'NI-San_SP'!$C:$AN,MID(AB$1,1,2),FALSE)</f>
        <v>0</v>
      </c>
      <c r="AC342" s="55">
        <f>VLOOKUP($E342,'NI-San_SP'!$C:$AN,MID(AC$1,1,2),FALSE)</f>
        <v>340069</v>
      </c>
      <c r="AD342" s="55">
        <f>VLOOKUP($E342,'NI-San_SP'!$C:$AN,MID(AD$1,1,2),FALSE)</f>
        <v>86674</v>
      </c>
      <c r="AE342" s="55">
        <f>VLOOKUP($E342,'NI-San_SP'!$C:$AN,MID(AE$1,1,2),FALSE)</f>
        <v>0</v>
      </c>
      <c r="AF342" s="55">
        <f>VLOOKUP($E342,'NI-San_SP'!$C:$AN,MID(AF$1,1,2),FALSE)</f>
        <v>86674</v>
      </c>
      <c r="AG342" s="55">
        <f>VLOOKUP($E342,'NI-San_SP'!$C:$AN,MID(AG$1,1,2),FALSE)</f>
        <v>0</v>
      </c>
      <c r="AH342" s="55">
        <f>VLOOKUP($E342,'NI-San_SP'!$C:$AN,MID(AH$1,1,2),FALSE)</f>
        <v>0</v>
      </c>
      <c r="AI342" s="55">
        <f>VLOOKUP($E342,'NI-San_SP'!$C:$AN,MID(AI$1,1,2),FALSE)</f>
        <v>0</v>
      </c>
      <c r="AJ342" s="55">
        <f>VLOOKUP($E342,'NI-San_SP'!$C:$AN,MID(AJ$1,1,2),FALSE)</f>
        <v>0</v>
      </c>
      <c r="AK342" s="55">
        <f>VLOOKUP($E342,'NI-San_SP'!$C:$AN,MID(AK$1,1,2),FALSE)</f>
        <v>0</v>
      </c>
      <c r="AL342" s="55">
        <f>VLOOKUP($E342,'NI-San_SP'!$C:$AN,MID(AL$1,1,2),FALSE)</f>
        <v>0</v>
      </c>
      <c r="AM342" s="56">
        <f>VLOOKUP($E342,'NI-San_SP'!$C:$AN,MID(AM$1,1,2),FALSE)</f>
        <v>0</v>
      </c>
      <c r="AN342" s="30" t="str">
        <f t="shared" si="5"/>
        <v>20101010030110</v>
      </c>
    </row>
    <row r="343" spans="3:40" x14ac:dyDescent="0.25">
      <c r="C343" s="40"/>
      <c r="D343" s="67" t="s">
        <v>1256</v>
      </c>
      <c r="E343" s="67" t="s">
        <v>1257</v>
      </c>
      <c r="F343" s="68" t="s">
        <v>110</v>
      </c>
      <c r="G343" s="69"/>
      <c r="H343" s="52"/>
      <c r="I343" s="52" t="s">
        <v>1258</v>
      </c>
      <c r="J343" s="52" t="s">
        <v>1258</v>
      </c>
      <c r="K343" s="69" t="s">
        <v>79</v>
      </c>
      <c r="L343" s="52"/>
      <c r="M343" s="52"/>
      <c r="N343" s="52"/>
      <c r="O343" s="61" t="s">
        <v>1145</v>
      </c>
      <c r="P343" s="73" t="s">
        <v>1259</v>
      </c>
      <c r="Q343" s="55">
        <f>VLOOKUP(E343,'NI-San_SP'!$C:$AN,12,FALSE)</f>
        <v>0</v>
      </c>
      <c r="R343" s="55">
        <f>VLOOKUP(E343,'NI-San_SP'!$C:$AN,13,FALSE)</f>
        <v>0</v>
      </c>
      <c r="S343" s="55"/>
      <c r="T343" s="55"/>
      <c r="U343" s="55">
        <f>VLOOKUP($E343,'NI-San_SP'!$C:$AN,MID(U$1,1,2),FALSE)</f>
        <v>0</v>
      </c>
      <c r="V343" s="55">
        <f>VLOOKUP($E343,'NI-San_SP'!$C:$AN,MID(V$1,1,2),FALSE)</f>
        <v>0</v>
      </c>
      <c r="W343" s="55">
        <f>VLOOKUP($E343,'NI-San_SP'!$C:$AN,MID(W$1,1,2),FALSE)</f>
        <v>0</v>
      </c>
      <c r="X343" s="55">
        <f>VLOOKUP($E343,'NI-San_SP'!$C:$AN,MID(X$1,1,2),FALSE)</f>
        <v>0</v>
      </c>
      <c r="Y343" s="55">
        <f>VLOOKUP($E343,'NI-San_SP'!$C:$AN,MID(Y$1,1,2),FALSE)</f>
        <v>0</v>
      </c>
      <c r="Z343" s="55">
        <f>VLOOKUP($E343,'NI-San_SP'!$C:$AN,MID(Z$1,1,2),FALSE)</f>
        <v>0</v>
      </c>
      <c r="AA343" s="55">
        <f>VLOOKUP($E343,'NI-San_SP'!$C:$AN,MID(AA$1,1,2),FALSE)</f>
        <v>0</v>
      </c>
      <c r="AB343" s="55">
        <f>VLOOKUP($E343,'NI-San_SP'!$C:$AN,MID(AB$1,1,2),FALSE)</f>
        <v>0</v>
      </c>
      <c r="AC343" s="55">
        <f>VLOOKUP($E343,'NI-San_SP'!$C:$AN,MID(AC$1,1,2),FALSE)</f>
        <v>0</v>
      </c>
      <c r="AD343" s="55">
        <f>VLOOKUP($E343,'NI-San_SP'!$C:$AN,MID(AD$1,1,2),FALSE)</f>
        <v>0</v>
      </c>
      <c r="AE343" s="55">
        <f>VLOOKUP($E343,'NI-San_SP'!$C:$AN,MID(AE$1,1,2),FALSE)</f>
        <v>0</v>
      </c>
      <c r="AF343" s="55">
        <f>VLOOKUP($E343,'NI-San_SP'!$C:$AN,MID(AF$1,1,2),FALSE)</f>
        <v>0</v>
      </c>
      <c r="AG343" s="55">
        <f>VLOOKUP($E343,'NI-San_SP'!$C:$AN,MID(AG$1,1,2),FALSE)</f>
        <v>0</v>
      </c>
      <c r="AH343" s="55">
        <f>VLOOKUP($E343,'NI-San_SP'!$C:$AN,MID(AH$1,1,2),FALSE)</f>
        <v>0</v>
      </c>
      <c r="AI343" s="55">
        <f>VLOOKUP($E343,'NI-San_SP'!$C:$AN,MID(AI$1,1,2),FALSE)</f>
        <v>0</v>
      </c>
      <c r="AJ343" s="55">
        <f>VLOOKUP($E343,'NI-San_SP'!$C:$AN,MID(AJ$1,1,2),FALSE)</f>
        <v>0</v>
      </c>
      <c r="AK343" s="55">
        <f>VLOOKUP($E343,'NI-San_SP'!$C:$AN,MID(AK$1,1,2),FALSE)</f>
        <v>0</v>
      </c>
      <c r="AL343" s="55">
        <f>VLOOKUP($E343,'NI-San_SP'!$C:$AN,MID(AL$1,1,2),FALSE)</f>
        <v>0</v>
      </c>
      <c r="AM343" s="56">
        <f>VLOOKUP($E343,'NI-San_SP'!$C:$AN,MID(AM$1,1,2),FALSE)</f>
        <v>0</v>
      </c>
      <c r="AN343" s="30" t="str">
        <f t="shared" si="5"/>
        <v>20101010050010</v>
      </c>
    </row>
    <row r="344" spans="3:40" x14ac:dyDescent="0.25">
      <c r="C344" s="40"/>
      <c r="D344" s="67" t="s">
        <v>1260</v>
      </c>
      <c r="E344" s="67" t="s">
        <v>1261</v>
      </c>
      <c r="F344" s="68" t="s">
        <v>110</v>
      </c>
      <c r="G344" s="69"/>
      <c r="H344" s="52"/>
      <c r="I344" s="52" t="s">
        <v>1258</v>
      </c>
      <c r="J344" s="52" t="s">
        <v>1258</v>
      </c>
      <c r="K344" s="69" t="s">
        <v>79</v>
      </c>
      <c r="L344" s="52"/>
      <c r="M344" s="52"/>
      <c r="N344" s="52"/>
      <c r="O344" s="61" t="s">
        <v>1145</v>
      </c>
      <c r="P344" s="73" t="s">
        <v>1262</v>
      </c>
      <c r="Q344" s="55">
        <f>VLOOKUP(E344,'NI-San_SP'!$C:$AN,12,FALSE)</f>
        <v>320054</v>
      </c>
      <c r="R344" s="55">
        <f>VLOOKUP(E344,'NI-San_SP'!$C:$AN,13,FALSE)</f>
        <v>400582</v>
      </c>
      <c r="S344" s="55"/>
      <c r="T344" s="55"/>
      <c r="U344" s="55">
        <f>VLOOKUP($E344,'NI-San_SP'!$C:$AN,MID(U$1,1,2),FALSE)</f>
        <v>0</v>
      </c>
      <c r="V344" s="55">
        <f>VLOOKUP($E344,'NI-San_SP'!$C:$AN,MID(V$1,1,2),FALSE)</f>
        <v>320054</v>
      </c>
      <c r="W344" s="55">
        <f>VLOOKUP($E344,'NI-San_SP'!$C:$AN,MID(W$1,1,2),FALSE)</f>
        <v>0</v>
      </c>
      <c r="X344" s="55">
        <f>VLOOKUP($E344,'NI-San_SP'!$C:$AN,MID(X$1,1,2),FALSE)</f>
        <v>0</v>
      </c>
      <c r="Y344" s="55">
        <f>VLOOKUP($E344,'NI-San_SP'!$C:$AN,MID(Y$1,1,2),FALSE)</f>
        <v>1522323</v>
      </c>
      <c r="Z344" s="55">
        <f>VLOOKUP($E344,'NI-San_SP'!$C:$AN,MID(Z$1,1,2),FALSE)</f>
        <v>0</v>
      </c>
      <c r="AA344" s="55">
        <f>VLOOKUP($E344,'NI-San_SP'!$C:$AN,MID(AA$1,1,2),FALSE)</f>
        <v>0</v>
      </c>
      <c r="AB344" s="55">
        <f>VLOOKUP($E344,'NI-San_SP'!$C:$AN,MID(AB$1,1,2),FALSE)</f>
        <v>0</v>
      </c>
      <c r="AC344" s="55">
        <f>VLOOKUP($E344,'NI-San_SP'!$C:$AN,MID(AC$1,1,2),FALSE)</f>
        <v>1441795</v>
      </c>
      <c r="AD344" s="55">
        <f>VLOOKUP($E344,'NI-San_SP'!$C:$AN,MID(AD$1,1,2),FALSE)</f>
        <v>400582</v>
      </c>
      <c r="AE344" s="55">
        <f>VLOOKUP($E344,'NI-San_SP'!$C:$AN,MID(AE$1,1,2),FALSE)</f>
        <v>0</v>
      </c>
      <c r="AF344" s="55">
        <f>VLOOKUP($E344,'NI-San_SP'!$C:$AN,MID(AF$1,1,2),FALSE)</f>
        <v>399554</v>
      </c>
      <c r="AG344" s="55">
        <f>VLOOKUP($E344,'NI-San_SP'!$C:$AN,MID(AG$1,1,2),FALSE)</f>
        <v>0</v>
      </c>
      <c r="AH344" s="55">
        <f>VLOOKUP($E344,'NI-San_SP'!$C:$AN,MID(AH$1,1,2),FALSE)</f>
        <v>0</v>
      </c>
      <c r="AI344" s="55">
        <f>VLOOKUP($E344,'NI-San_SP'!$C:$AN,MID(AI$1,1,2),FALSE)</f>
        <v>0</v>
      </c>
      <c r="AJ344" s="55">
        <f>VLOOKUP($E344,'NI-San_SP'!$C:$AN,MID(AJ$1,1,2),FALSE)</f>
        <v>0</v>
      </c>
      <c r="AK344" s="55">
        <f>VLOOKUP($E344,'NI-San_SP'!$C:$AN,MID(AK$1,1,2),FALSE)</f>
        <v>0</v>
      </c>
      <c r="AL344" s="55">
        <f>VLOOKUP($E344,'NI-San_SP'!$C:$AN,MID(AL$1,1,2),FALSE)</f>
        <v>0</v>
      </c>
      <c r="AM344" s="56">
        <f>VLOOKUP($E344,'NI-San_SP'!$C:$AN,MID(AM$1,1,2),FALSE)</f>
        <v>0</v>
      </c>
      <c r="AN344" s="30" t="str">
        <f t="shared" si="5"/>
        <v>20101010050020</v>
      </c>
    </row>
    <row r="345" spans="3:40" x14ac:dyDescent="0.25">
      <c r="C345" s="40"/>
      <c r="D345" s="67" t="s">
        <v>1263</v>
      </c>
      <c r="E345" s="67" t="s">
        <v>1264</v>
      </c>
      <c r="F345" s="68" t="s">
        <v>110</v>
      </c>
      <c r="G345" s="69"/>
      <c r="H345" s="52"/>
      <c r="I345" s="52" t="s">
        <v>1239</v>
      </c>
      <c r="J345" s="52" t="s">
        <v>1239</v>
      </c>
      <c r="K345" s="69" t="s">
        <v>79</v>
      </c>
      <c r="L345" s="52"/>
      <c r="M345" s="52"/>
      <c r="N345" s="52"/>
      <c r="O345" s="61" t="s">
        <v>1145</v>
      </c>
      <c r="P345" s="74" t="s">
        <v>1265</v>
      </c>
      <c r="Q345" s="55">
        <f>VLOOKUP(E345,'NI-San_SP'!$C:$AN,12,FALSE)</f>
        <v>0</v>
      </c>
      <c r="R345" s="55">
        <f>VLOOKUP(E345,'NI-San_SP'!$C:$AN,13,FALSE)</f>
        <v>0</v>
      </c>
      <c r="S345" s="55"/>
      <c r="T345" s="55"/>
      <c r="U345" s="55">
        <f>VLOOKUP($E345,'NI-San_SP'!$C:$AN,MID(U$1,1,2),FALSE)</f>
        <v>0</v>
      </c>
      <c r="V345" s="55">
        <f>VLOOKUP($E345,'NI-San_SP'!$C:$AN,MID(V$1,1,2),FALSE)</f>
        <v>0</v>
      </c>
      <c r="W345" s="55">
        <f>VLOOKUP($E345,'NI-San_SP'!$C:$AN,MID(W$1,1,2),FALSE)</f>
        <v>0</v>
      </c>
      <c r="X345" s="55">
        <f>VLOOKUP($E345,'NI-San_SP'!$C:$AN,MID(X$1,1,2),FALSE)</f>
        <v>0</v>
      </c>
      <c r="Y345" s="55">
        <f>VLOOKUP($E345,'NI-San_SP'!$C:$AN,MID(Y$1,1,2),FALSE)</f>
        <v>0</v>
      </c>
      <c r="Z345" s="55">
        <f>VLOOKUP($E345,'NI-San_SP'!$C:$AN,MID(Z$1,1,2),FALSE)</f>
        <v>0</v>
      </c>
      <c r="AA345" s="55">
        <f>VLOOKUP($E345,'NI-San_SP'!$C:$AN,MID(AA$1,1,2),FALSE)</f>
        <v>0</v>
      </c>
      <c r="AB345" s="55">
        <f>VLOOKUP($E345,'NI-San_SP'!$C:$AN,MID(AB$1,1,2),FALSE)</f>
        <v>0</v>
      </c>
      <c r="AC345" s="55">
        <f>VLOOKUP($E345,'NI-San_SP'!$C:$AN,MID(AC$1,1,2),FALSE)</f>
        <v>0</v>
      </c>
      <c r="AD345" s="55">
        <f>VLOOKUP($E345,'NI-San_SP'!$C:$AN,MID(AD$1,1,2),FALSE)</f>
        <v>0</v>
      </c>
      <c r="AE345" s="55">
        <f>VLOOKUP($E345,'NI-San_SP'!$C:$AN,MID(AE$1,1,2),FALSE)</f>
        <v>0</v>
      </c>
      <c r="AF345" s="55">
        <f>VLOOKUP($E345,'NI-San_SP'!$C:$AN,MID(AF$1,1,2),FALSE)</f>
        <v>0</v>
      </c>
      <c r="AG345" s="55">
        <f>VLOOKUP($E345,'NI-San_SP'!$C:$AN,MID(AG$1,1,2),FALSE)</f>
        <v>0</v>
      </c>
      <c r="AH345" s="55">
        <f>VLOOKUP($E345,'NI-San_SP'!$C:$AN,MID(AH$1,1,2),FALSE)</f>
        <v>0</v>
      </c>
      <c r="AI345" s="55">
        <f>VLOOKUP($E345,'NI-San_SP'!$C:$AN,MID(AI$1,1,2),FALSE)</f>
        <v>0</v>
      </c>
      <c r="AJ345" s="55">
        <f>VLOOKUP($E345,'NI-San_SP'!$C:$AN,MID(AJ$1,1,2),FALSE)</f>
        <v>0</v>
      </c>
      <c r="AK345" s="55">
        <f>VLOOKUP($E345,'NI-San_SP'!$C:$AN,MID(AK$1,1,2),FALSE)</f>
        <v>0</v>
      </c>
      <c r="AL345" s="55">
        <f>VLOOKUP($E345,'NI-San_SP'!$C:$AN,MID(AL$1,1,2),FALSE)</f>
        <v>0</v>
      </c>
      <c r="AM345" s="56">
        <f>VLOOKUP($E345,'NI-San_SP'!$C:$AN,MID(AM$1,1,2),FALSE)</f>
        <v>0</v>
      </c>
      <c r="AN345" s="30" t="str">
        <f t="shared" si="5"/>
        <v>20101010070010</v>
      </c>
    </row>
    <row r="346" spans="3:40" x14ac:dyDescent="0.25">
      <c r="C346" s="40"/>
      <c r="D346" s="67" t="s">
        <v>1266</v>
      </c>
      <c r="E346" s="67" t="s">
        <v>1267</v>
      </c>
      <c r="F346" s="68" t="s">
        <v>110</v>
      </c>
      <c r="G346" s="69"/>
      <c r="H346" s="52"/>
      <c r="I346" s="52" t="s">
        <v>1268</v>
      </c>
      <c r="J346" s="52" t="s">
        <v>1268</v>
      </c>
      <c r="K346" s="69" t="s">
        <v>79</v>
      </c>
      <c r="L346" s="52"/>
      <c r="M346" s="52"/>
      <c r="N346" s="52"/>
      <c r="O346" s="61" t="s">
        <v>1145</v>
      </c>
      <c r="P346" s="74" t="s">
        <v>1269</v>
      </c>
      <c r="Q346" s="55">
        <f>VLOOKUP(E346,'NI-San_SP'!$C:$AN,12,FALSE)</f>
        <v>0</v>
      </c>
      <c r="R346" s="55">
        <f>VLOOKUP(E346,'NI-San_SP'!$C:$AN,13,FALSE)</f>
        <v>0</v>
      </c>
      <c r="S346" s="55"/>
      <c r="T346" s="55"/>
      <c r="U346" s="55">
        <f>VLOOKUP($E346,'NI-San_SP'!$C:$AN,MID(U$1,1,2),FALSE)</f>
        <v>0</v>
      </c>
      <c r="V346" s="55">
        <f>VLOOKUP($E346,'NI-San_SP'!$C:$AN,MID(V$1,1,2),FALSE)</f>
        <v>0</v>
      </c>
      <c r="W346" s="55">
        <f>VLOOKUP($E346,'NI-San_SP'!$C:$AN,MID(W$1,1,2),FALSE)</f>
        <v>0</v>
      </c>
      <c r="X346" s="55">
        <f>VLOOKUP($E346,'NI-San_SP'!$C:$AN,MID(X$1,1,2),FALSE)</f>
        <v>0</v>
      </c>
      <c r="Y346" s="55">
        <f>VLOOKUP($E346,'NI-San_SP'!$C:$AN,MID(Y$1,1,2),FALSE)</f>
        <v>0</v>
      </c>
      <c r="Z346" s="55">
        <f>VLOOKUP($E346,'NI-San_SP'!$C:$AN,MID(Z$1,1,2),FALSE)</f>
        <v>0</v>
      </c>
      <c r="AA346" s="55">
        <f>VLOOKUP($E346,'NI-San_SP'!$C:$AN,MID(AA$1,1,2),FALSE)</f>
        <v>0</v>
      </c>
      <c r="AB346" s="55">
        <f>VLOOKUP($E346,'NI-San_SP'!$C:$AN,MID(AB$1,1,2),FALSE)</f>
        <v>0</v>
      </c>
      <c r="AC346" s="55">
        <f>VLOOKUP($E346,'NI-San_SP'!$C:$AN,MID(AC$1,1,2),FALSE)</f>
        <v>0</v>
      </c>
      <c r="AD346" s="55">
        <f>VLOOKUP($E346,'NI-San_SP'!$C:$AN,MID(AD$1,1,2),FALSE)</f>
        <v>0</v>
      </c>
      <c r="AE346" s="55">
        <f>VLOOKUP($E346,'NI-San_SP'!$C:$AN,MID(AE$1,1,2),FALSE)</f>
        <v>0</v>
      </c>
      <c r="AF346" s="55">
        <f>VLOOKUP($E346,'NI-San_SP'!$C:$AN,MID(AF$1,1,2),FALSE)</f>
        <v>0</v>
      </c>
      <c r="AG346" s="55">
        <f>VLOOKUP($E346,'NI-San_SP'!$C:$AN,MID(AG$1,1,2),FALSE)</f>
        <v>0</v>
      </c>
      <c r="AH346" s="55">
        <f>VLOOKUP($E346,'NI-San_SP'!$C:$AN,MID(AH$1,1,2),FALSE)</f>
        <v>0</v>
      </c>
      <c r="AI346" s="55">
        <f>VLOOKUP($E346,'NI-San_SP'!$C:$AN,MID(AI$1,1,2),FALSE)</f>
        <v>0</v>
      </c>
      <c r="AJ346" s="55">
        <f>VLOOKUP($E346,'NI-San_SP'!$C:$AN,MID(AJ$1,1,2),FALSE)</f>
        <v>0</v>
      </c>
      <c r="AK346" s="55">
        <f>VLOOKUP($E346,'NI-San_SP'!$C:$AN,MID(AK$1,1,2),FALSE)</f>
        <v>0</v>
      </c>
      <c r="AL346" s="55">
        <f>VLOOKUP($E346,'NI-San_SP'!$C:$AN,MID(AL$1,1,2),FALSE)</f>
        <v>0</v>
      </c>
      <c r="AM346" s="56">
        <f>VLOOKUP($E346,'NI-San_SP'!$C:$AN,MID(AM$1,1,2),FALSE)</f>
        <v>0</v>
      </c>
      <c r="AN346" s="30" t="str">
        <f t="shared" si="5"/>
        <v>20101010020010</v>
      </c>
    </row>
    <row r="347" spans="3:40" x14ac:dyDescent="0.25">
      <c r="C347" s="40"/>
      <c r="D347" s="67" t="s">
        <v>1270</v>
      </c>
      <c r="E347" s="67" t="s">
        <v>1271</v>
      </c>
      <c r="F347" s="68" t="s">
        <v>110</v>
      </c>
      <c r="G347" s="69"/>
      <c r="H347" s="52"/>
      <c r="I347" s="52" t="s">
        <v>1268</v>
      </c>
      <c r="J347" s="52" t="s">
        <v>1268</v>
      </c>
      <c r="K347" s="69" t="s">
        <v>79</v>
      </c>
      <c r="L347" s="52"/>
      <c r="M347" s="52"/>
      <c r="N347" s="52"/>
      <c r="O347" s="61" t="s">
        <v>1145</v>
      </c>
      <c r="P347" s="71" t="s">
        <v>1272</v>
      </c>
      <c r="Q347" s="55">
        <f>VLOOKUP(E347,'NI-San_SP'!$C:$AN,12,FALSE)</f>
        <v>0</v>
      </c>
      <c r="R347" s="55">
        <f>VLOOKUP(E347,'NI-San_SP'!$C:$AN,13,FALSE)</f>
        <v>0</v>
      </c>
      <c r="S347" s="55"/>
      <c r="T347" s="55"/>
      <c r="U347" s="55">
        <f>VLOOKUP($E347,'NI-San_SP'!$C:$AN,MID(U$1,1,2),FALSE)</f>
        <v>0</v>
      </c>
      <c r="V347" s="55">
        <f>VLOOKUP($E347,'NI-San_SP'!$C:$AN,MID(V$1,1,2),FALSE)</f>
        <v>0</v>
      </c>
      <c r="W347" s="55">
        <f>VLOOKUP($E347,'NI-San_SP'!$C:$AN,MID(W$1,1,2),FALSE)</f>
        <v>0</v>
      </c>
      <c r="X347" s="55">
        <f>VLOOKUP($E347,'NI-San_SP'!$C:$AN,MID(X$1,1,2),FALSE)</f>
        <v>0</v>
      </c>
      <c r="Y347" s="55">
        <f>VLOOKUP($E347,'NI-San_SP'!$C:$AN,MID(Y$1,1,2),FALSE)</f>
        <v>0</v>
      </c>
      <c r="Z347" s="55">
        <f>VLOOKUP($E347,'NI-San_SP'!$C:$AN,MID(Z$1,1,2),FALSE)</f>
        <v>0</v>
      </c>
      <c r="AA347" s="55">
        <f>VLOOKUP($E347,'NI-San_SP'!$C:$AN,MID(AA$1,1,2),FALSE)</f>
        <v>0</v>
      </c>
      <c r="AB347" s="55">
        <f>VLOOKUP($E347,'NI-San_SP'!$C:$AN,MID(AB$1,1,2),FALSE)</f>
        <v>0</v>
      </c>
      <c r="AC347" s="55">
        <f>VLOOKUP($E347,'NI-San_SP'!$C:$AN,MID(AC$1,1,2),FALSE)</f>
        <v>0</v>
      </c>
      <c r="AD347" s="55">
        <f>VLOOKUP($E347,'NI-San_SP'!$C:$AN,MID(AD$1,1,2),FALSE)</f>
        <v>0</v>
      </c>
      <c r="AE347" s="55">
        <f>VLOOKUP($E347,'NI-San_SP'!$C:$AN,MID(AE$1,1,2),FALSE)</f>
        <v>0</v>
      </c>
      <c r="AF347" s="55">
        <f>VLOOKUP($E347,'NI-San_SP'!$C:$AN,MID(AF$1,1,2),FALSE)</f>
        <v>0</v>
      </c>
      <c r="AG347" s="55">
        <f>VLOOKUP($E347,'NI-San_SP'!$C:$AN,MID(AG$1,1,2),FALSE)</f>
        <v>0</v>
      </c>
      <c r="AH347" s="55">
        <f>VLOOKUP($E347,'NI-San_SP'!$C:$AN,MID(AH$1,1,2),FALSE)</f>
        <v>0</v>
      </c>
      <c r="AI347" s="55">
        <f>VLOOKUP($E347,'NI-San_SP'!$C:$AN,MID(AI$1,1,2),FALSE)</f>
        <v>0</v>
      </c>
      <c r="AJ347" s="55">
        <f>VLOOKUP($E347,'NI-San_SP'!$C:$AN,MID(AJ$1,1,2),FALSE)</f>
        <v>0</v>
      </c>
      <c r="AK347" s="55">
        <f>VLOOKUP($E347,'NI-San_SP'!$C:$AN,MID(AK$1,1,2),FALSE)</f>
        <v>0</v>
      </c>
      <c r="AL347" s="55">
        <f>VLOOKUP($E347,'NI-San_SP'!$C:$AN,MID(AL$1,1,2),FALSE)</f>
        <v>0</v>
      </c>
      <c r="AM347" s="56">
        <f>VLOOKUP($E347,'NI-San_SP'!$C:$AN,MID(AM$1,1,2),FALSE)</f>
        <v>0</v>
      </c>
      <c r="AN347" s="30" t="str">
        <f t="shared" si="5"/>
        <v>20101010020020</v>
      </c>
    </row>
    <row r="348" spans="3:40" x14ac:dyDescent="0.25">
      <c r="C348" s="40"/>
      <c r="D348" s="67" t="s">
        <v>1273</v>
      </c>
      <c r="E348" s="67" t="s">
        <v>1274</v>
      </c>
      <c r="F348" s="68" t="s">
        <v>110</v>
      </c>
      <c r="G348" s="69"/>
      <c r="H348" s="52"/>
      <c r="I348" s="52" t="s">
        <v>1268</v>
      </c>
      <c r="J348" s="52" t="s">
        <v>1268</v>
      </c>
      <c r="K348" s="69" t="s">
        <v>79</v>
      </c>
      <c r="L348" s="52"/>
      <c r="M348" s="52"/>
      <c r="N348" s="52"/>
      <c r="O348" s="61" t="s">
        <v>1145</v>
      </c>
      <c r="P348" s="74" t="s">
        <v>1275</v>
      </c>
      <c r="Q348" s="55">
        <f>VLOOKUP(E348,'NI-San_SP'!$C:$AN,12,FALSE)</f>
        <v>0</v>
      </c>
      <c r="R348" s="55">
        <f>VLOOKUP(E348,'NI-San_SP'!$C:$AN,13,FALSE)</f>
        <v>0</v>
      </c>
      <c r="S348" s="55"/>
      <c r="T348" s="55"/>
      <c r="U348" s="55">
        <f>VLOOKUP($E348,'NI-San_SP'!$C:$AN,MID(U$1,1,2),FALSE)</f>
        <v>0</v>
      </c>
      <c r="V348" s="55">
        <f>VLOOKUP($E348,'NI-San_SP'!$C:$AN,MID(V$1,1,2),FALSE)</f>
        <v>0</v>
      </c>
      <c r="W348" s="55">
        <f>VLOOKUP($E348,'NI-San_SP'!$C:$AN,MID(W$1,1,2),FALSE)</f>
        <v>0</v>
      </c>
      <c r="X348" s="55">
        <f>VLOOKUP($E348,'NI-San_SP'!$C:$AN,MID(X$1,1,2),FALSE)</f>
        <v>0</v>
      </c>
      <c r="Y348" s="55">
        <f>VLOOKUP($E348,'NI-San_SP'!$C:$AN,MID(Y$1,1,2),FALSE)</f>
        <v>4099185</v>
      </c>
      <c r="Z348" s="55">
        <f>VLOOKUP($E348,'NI-San_SP'!$C:$AN,MID(Z$1,1,2),FALSE)</f>
        <v>0</v>
      </c>
      <c r="AA348" s="55">
        <f>VLOOKUP($E348,'NI-San_SP'!$C:$AN,MID(AA$1,1,2),FALSE)</f>
        <v>0</v>
      </c>
      <c r="AB348" s="55">
        <f>VLOOKUP($E348,'NI-San_SP'!$C:$AN,MID(AB$1,1,2),FALSE)</f>
        <v>0</v>
      </c>
      <c r="AC348" s="55">
        <f>VLOOKUP($E348,'NI-San_SP'!$C:$AN,MID(AC$1,1,2),FALSE)</f>
        <v>4099185</v>
      </c>
      <c r="AD348" s="55">
        <f>VLOOKUP($E348,'NI-San_SP'!$C:$AN,MID(AD$1,1,2),FALSE)</f>
        <v>0</v>
      </c>
      <c r="AE348" s="55">
        <f>VLOOKUP($E348,'NI-San_SP'!$C:$AN,MID(AE$1,1,2),FALSE)</f>
        <v>0</v>
      </c>
      <c r="AF348" s="55">
        <f>VLOOKUP($E348,'NI-San_SP'!$C:$AN,MID(AF$1,1,2),FALSE)</f>
        <v>0</v>
      </c>
      <c r="AG348" s="55">
        <f>VLOOKUP($E348,'NI-San_SP'!$C:$AN,MID(AG$1,1,2),FALSE)</f>
        <v>0</v>
      </c>
      <c r="AH348" s="55">
        <f>VLOOKUP($E348,'NI-San_SP'!$C:$AN,MID(AH$1,1,2),FALSE)</f>
        <v>0</v>
      </c>
      <c r="AI348" s="55">
        <f>VLOOKUP($E348,'NI-San_SP'!$C:$AN,MID(AI$1,1,2),FALSE)</f>
        <v>0</v>
      </c>
      <c r="AJ348" s="55">
        <f>VLOOKUP($E348,'NI-San_SP'!$C:$AN,MID(AJ$1,1,2),FALSE)</f>
        <v>0</v>
      </c>
      <c r="AK348" s="55">
        <f>VLOOKUP($E348,'NI-San_SP'!$C:$AN,MID(AK$1,1,2),FALSE)</f>
        <v>0</v>
      </c>
      <c r="AL348" s="55">
        <f>VLOOKUP($E348,'NI-San_SP'!$C:$AN,MID(AL$1,1,2),FALSE)</f>
        <v>0</v>
      </c>
      <c r="AM348" s="56">
        <f>VLOOKUP($E348,'NI-San_SP'!$C:$AN,MID(AM$1,1,2),FALSE)</f>
        <v>0</v>
      </c>
      <c r="AN348" s="30" t="str">
        <f t="shared" si="5"/>
        <v>20101010020030</v>
      </c>
    </row>
    <row r="349" spans="3:40" x14ac:dyDescent="0.25">
      <c r="C349" s="40"/>
      <c r="D349" s="67" t="s">
        <v>1276</v>
      </c>
      <c r="E349" s="67" t="s">
        <v>1277</v>
      </c>
      <c r="F349" s="68" t="s">
        <v>110</v>
      </c>
      <c r="G349" s="69"/>
      <c r="H349" s="52"/>
      <c r="I349" s="52" t="s">
        <v>1278</v>
      </c>
      <c r="J349" s="52" t="s">
        <v>1278</v>
      </c>
      <c r="K349" s="69" t="s">
        <v>79</v>
      </c>
      <c r="L349" s="52"/>
      <c r="M349" s="52"/>
      <c r="N349" s="52"/>
      <c r="O349" s="61" t="s">
        <v>1145</v>
      </c>
      <c r="P349" s="70" t="s">
        <v>1279</v>
      </c>
      <c r="Q349" s="55">
        <f>VLOOKUP(E349,'NI-San_SP'!$C:$AN,12,FALSE)</f>
        <v>74512</v>
      </c>
      <c r="R349" s="55">
        <f>VLOOKUP(E349,'NI-San_SP'!$C:$AN,13,FALSE)</f>
        <v>133020</v>
      </c>
      <c r="S349" s="55"/>
      <c r="T349" s="55"/>
      <c r="U349" s="55">
        <f>VLOOKUP($E349,'NI-San_SP'!$C:$AN,MID(U$1,1,2),FALSE)</f>
        <v>0</v>
      </c>
      <c r="V349" s="55">
        <f>VLOOKUP($E349,'NI-San_SP'!$C:$AN,MID(V$1,1,2),FALSE)</f>
        <v>74512</v>
      </c>
      <c r="W349" s="55">
        <f>VLOOKUP($E349,'NI-San_SP'!$C:$AN,MID(W$1,1,2),FALSE)</f>
        <v>0</v>
      </c>
      <c r="X349" s="55">
        <f>VLOOKUP($E349,'NI-San_SP'!$C:$AN,MID(X$1,1,2),FALSE)</f>
        <v>0</v>
      </c>
      <c r="Y349" s="55">
        <f>VLOOKUP($E349,'NI-San_SP'!$C:$AN,MID(Y$1,1,2),FALSE)</f>
        <v>401265</v>
      </c>
      <c r="Z349" s="55">
        <f>VLOOKUP($E349,'NI-San_SP'!$C:$AN,MID(Z$1,1,2),FALSE)</f>
        <v>0</v>
      </c>
      <c r="AA349" s="55">
        <f>VLOOKUP($E349,'NI-San_SP'!$C:$AN,MID(AA$1,1,2),FALSE)</f>
        <v>0</v>
      </c>
      <c r="AB349" s="55">
        <f>VLOOKUP($E349,'NI-San_SP'!$C:$AN,MID(AB$1,1,2),FALSE)</f>
        <v>0</v>
      </c>
      <c r="AC349" s="55">
        <f>VLOOKUP($E349,'NI-San_SP'!$C:$AN,MID(AC$1,1,2),FALSE)</f>
        <v>342757</v>
      </c>
      <c r="AD349" s="55">
        <f>VLOOKUP($E349,'NI-San_SP'!$C:$AN,MID(AD$1,1,2),FALSE)</f>
        <v>133020</v>
      </c>
      <c r="AE349" s="55">
        <f>VLOOKUP($E349,'NI-San_SP'!$C:$AN,MID(AE$1,1,2),FALSE)</f>
        <v>0</v>
      </c>
      <c r="AF349" s="55">
        <f>VLOOKUP($E349,'NI-San_SP'!$C:$AN,MID(AF$1,1,2),FALSE)</f>
        <v>50687</v>
      </c>
      <c r="AG349" s="55">
        <f>VLOOKUP($E349,'NI-San_SP'!$C:$AN,MID(AG$1,1,2),FALSE)</f>
        <v>0</v>
      </c>
      <c r="AH349" s="55">
        <f>VLOOKUP($E349,'NI-San_SP'!$C:$AN,MID(AH$1,1,2),FALSE)</f>
        <v>0</v>
      </c>
      <c r="AI349" s="55">
        <f>VLOOKUP($E349,'NI-San_SP'!$C:$AN,MID(AI$1,1,2),FALSE)</f>
        <v>0</v>
      </c>
      <c r="AJ349" s="55">
        <f>VLOOKUP($E349,'NI-San_SP'!$C:$AN,MID(AJ$1,1,2),FALSE)</f>
        <v>0</v>
      </c>
      <c r="AK349" s="55">
        <f>VLOOKUP($E349,'NI-San_SP'!$C:$AN,MID(AK$1,1,2),FALSE)</f>
        <v>0</v>
      </c>
      <c r="AL349" s="55">
        <f>VLOOKUP($E349,'NI-San_SP'!$C:$AN,MID(AL$1,1,2),FALSE)</f>
        <v>0</v>
      </c>
      <c r="AM349" s="56">
        <f>VLOOKUP($E349,'NI-San_SP'!$C:$AN,MID(AM$1,1,2),FALSE)</f>
        <v>0</v>
      </c>
      <c r="AN349" s="30" t="str">
        <f t="shared" si="5"/>
        <v>20101010080010</v>
      </c>
    </row>
    <row r="350" spans="3:40" ht="27" x14ac:dyDescent="0.25">
      <c r="C350" s="40"/>
      <c r="D350" s="67" t="s">
        <v>1280</v>
      </c>
      <c r="E350" s="67" t="s">
        <v>1281</v>
      </c>
      <c r="F350" s="68" t="s">
        <v>110</v>
      </c>
      <c r="G350" s="69"/>
      <c r="H350" s="52"/>
      <c r="I350" s="52" t="s">
        <v>1278</v>
      </c>
      <c r="J350" s="52" t="s">
        <v>1278</v>
      </c>
      <c r="K350" s="69" t="s">
        <v>79</v>
      </c>
      <c r="L350" s="52"/>
      <c r="M350" s="52"/>
      <c r="N350" s="52"/>
      <c r="O350" s="61" t="s">
        <v>1145</v>
      </c>
      <c r="P350" s="70" t="s">
        <v>1282</v>
      </c>
      <c r="Q350" s="55">
        <f>VLOOKUP(E350,'NI-San_SP'!$C:$AN,12,FALSE)</f>
        <v>0</v>
      </c>
      <c r="R350" s="55">
        <f>VLOOKUP(E350,'NI-San_SP'!$C:$AN,13,FALSE)</f>
        <v>0</v>
      </c>
      <c r="S350" s="55"/>
      <c r="T350" s="55"/>
      <c r="U350" s="55">
        <f>VLOOKUP($E350,'NI-San_SP'!$C:$AN,MID(U$1,1,2),FALSE)</f>
        <v>0</v>
      </c>
      <c r="V350" s="55">
        <f>VLOOKUP($E350,'NI-San_SP'!$C:$AN,MID(V$1,1,2),FALSE)</f>
        <v>0</v>
      </c>
      <c r="W350" s="55">
        <f>VLOOKUP($E350,'NI-San_SP'!$C:$AN,MID(W$1,1,2),FALSE)</f>
        <v>0</v>
      </c>
      <c r="X350" s="55">
        <f>VLOOKUP($E350,'NI-San_SP'!$C:$AN,MID(X$1,1,2),FALSE)</f>
        <v>0</v>
      </c>
      <c r="Y350" s="55">
        <f>VLOOKUP($E350,'NI-San_SP'!$C:$AN,MID(Y$1,1,2),FALSE)</f>
        <v>0</v>
      </c>
      <c r="Z350" s="55">
        <f>VLOOKUP($E350,'NI-San_SP'!$C:$AN,MID(Z$1,1,2),FALSE)</f>
        <v>0</v>
      </c>
      <c r="AA350" s="55">
        <f>VLOOKUP($E350,'NI-San_SP'!$C:$AN,MID(AA$1,1,2),FALSE)</f>
        <v>0</v>
      </c>
      <c r="AB350" s="55">
        <f>VLOOKUP($E350,'NI-San_SP'!$C:$AN,MID(AB$1,1,2),FALSE)</f>
        <v>0</v>
      </c>
      <c r="AC350" s="55">
        <f>VLOOKUP($E350,'NI-San_SP'!$C:$AN,MID(AC$1,1,2),FALSE)</f>
        <v>0</v>
      </c>
      <c r="AD350" s="55">
        <f>VLOOKUP($E350,'NI-San_SP'!$C:$AN,MID(AD$1,1,2),FALSE)</f>
        <v>0</v>
      </c>
      <c r="AE350" s="55">
        <f>VLOOKUP($E350,'NI-San_SP'!$C:$AN,MID(AE$1,1,2),FALSE)</f>
        <v>0</v>
      </c>
      <c r="AF350" s="55">
        <f>VLOOKUP($E350,'NI-San_SP'!$C:$AN,MID(AF$1,1,2),FALSE)</f>
        <v>0</v>
      </c>
      <c r="AG350" s="55">
        <f>VLOOKUP($E350,'NI-San_SP'!$C:$AN,MID(AG$1,1,2),FALSE)</f>
        <v>0</v>
      </c>
      <c r="AH350" s="55">
        <f>VLOOKUP($E350,'NI-San_SP'!$C:$AN,MID(AH$1,1,2),FALSE)</f>
        <v>0</v>
      </c>
      <c r="AI350" s="55">
        <f>VLOOKUP($E350,'NI-San_SP'!$C:$AN,MID(AI$1,1,2),FALSE)</f>
        <v>0</v>
      </c>
      <c r="AJ350" s="55">
        <f>VLOOKUP($E350,'NI-San_SP'!$C:$AN,MID(AJ$1,1,2),FALSE)</f>
        <v>0</v>
      </c>
      <c r="AK350" s="55">
        <f>VLOOKUP($E350,'NI-San_SP'!$C:$AN,MID(AK$1,1,2),FALSE)</f>
        <v>0</v>
      </c>
      <c r="AL350" s="55">
        <f>VLOOKUP($E350,'NI-San_SP'!$C:$AN,MID(AL$1,1,2),FALSE)</f>
        <v>0</v>
      </c>
      <c r="AM350" s="56">
        <f>VLOOKUP($E350,'NI-San_SP'!$C:$AN,MID(AM$1,1,2),FALSE)</f>
        <v>0</v>
      </c>
      <c r="AN350" s="30" t="str">
        <f t="shared" si="5"/>
        <v>20101010080020</v>
      </c>
    </row>
    <row r="351" spans="3:40" x14ac:dyDescent="0.25">
      <c r="C351" s="40"/>
      <c r="D351" s="57" t="s">
        <v>1283</v>
      </c>
      <c r="E351" s="57" t="s">
        <v>1284</v>
      </c>
      <c r="F351" s="58" t="s">
        <v>110</v>
      </c>
      <c r="G351" s="52"/>
      <c r="H351" s="52"/>
      <c r="I351" s="52" t="s">
        <v>1285</v>
      </c>
      <c r="J351" s="52" t="s">
        <v>1285</v>
      </c>
      <c r="K351" s="59" t="s">
        <v>79</v>
      </c>
      <c r="L351" s="62" t="s">
        <v>1286</v>
      </c>
      <c r="M351" s="52"/>
      <c r="N351" s="52"/>
      <c r="O351" s="61" t="s">
        <v>1287</v>
      </c>
      <c r="P351" s="60" t="s">
        <v>1288</v>
      </c>
      <c r="Q351" s="55">
        <f>VLOOKUP(E351,'NI-San_SP'!$C:$AN,12,FALSE)</f>
        <v>0</v>
      </c>
      <c r="R351" s="55">
        <f>VLOOKUP(E351,'NI-San_SP'!$C:$AN,13,FALSE)</f>
        <v>0</v>
      </c>
      <c r="S351" s="55"/>
      <c r="T351" s="55"/>
      <c r="U351" s="55">
        <f>VLOOKUP($E351,'NI-San_SP'!$C:$AN,MID(U$1,1,2),FALSE)</f>
        <v>0</v>
      </c>
      <c r="V351" s="55">
        <f>VLOOKUP($E351,'NI-San_SP'!$C:$AN,MID(V$1,1,2),FALSE)</f>
        <v>0</v>
      </c>
      <c r="W351" s="55">
        <f>VLOOKUP($E351,'NI-San_SP'!$C:$AN,MID(W$1,1,2),FALSE)</f>
        <v>0</v>
      </c>
      <c r="X351" s="55">
        <f>VLOOKUP($E351,'NI-San_SP'!$C:$AN,MID(X$1,1,2),FALSE)</f>
        <v>0</v>
      </c>
      <c r="Y351" s="55">
        <f>VLOOKUP($E351,'NI-San_SP'!$C:$AN,MID(Y$1,1,2),FALSE)</f>
        <v>0</v>
      </c>
      <c r="Z351" s="55">
        <f>VLOOKUP($E351,'NI-San_SP'!$C:$AN,MID(Z$1,1,2),FALSE)</f>
        <v>0</v>
      </c>
      <c r="AA351" s="55">
        <f>VLOOKUP($E351,'NI-San_SP'!$C:$AN,MID(AA$1,1,2),FALSE)</f>
        <v>0</v>
      </c>
      <c r="AB351" s="55">
        <f>VLOOKUP($E351,'NI-San_SP'!$C:$AN,MID(AB$1,1,2),FALSE)</f>
        <v>0</v>
      </c>
      <c r="AC351" s="55">
        <f>VLOOKUP($E351,'NI-San_SP'!$C:$AN,MID(AC$1,1,2),FALSE)</f>
        <v>0</v>
      </c>
      <c r="AD351" s="55">
        <f>VLOOKUP($E351,'NI-San_SP'!$C:$AN,MID(AD$1,1,2),FALSE)</f>
        <v>0</v>
      </c>
      <c r="AE351" s="55">
        <f>VLOOKUP($E351,'NI-San_SP'!$C:$AN,MID(AE$1,1,2),FALSE)</f>
        <v>0</v>
      </c>
      <c r="AF351" s="55">
        <f>VLOOKUP($E351,'NI-San_SP'!$C:$AN,MID(AF$1,1,2),FALSE)</f>
        <v>0</v>
      </c>
      <c r="AG351" s="55">
        <f>VLOOKUP($E351,'NI-San_SP'!$C:$AN,MID(AG$1,1,2),FALSE)</f>
        <v>0</v>
      </c>
      <c r="AH351" s="55">
        <f>VLOOKUP($E351,'NI-San_SP'!$C:$AN,MID(AH$1,1,2),FALSE)</f>
        <v>0</v>
      </c>
      <c r="AI351" s="55">
        <f>VLOOKUP($E351,'NI-San_SP'!$C:$AN,MID(AI$1,1,2),FALSE)</f>
        <v>0</v>
      </c>
      <c r="AJ351" s="55">
        <f>VLOOKUP($E351,'NI-San_SP'!$C:$AN,MID(AJ$1,1,2),FALSE)</f>
        <v>0</v>
      </c>
      <c r="AK351" s="55">
        <f>VLOOKUP($E351,'NI-San_SP'!$C:$AN,MID(AK$1,1,2),FALSE)</f>
        <v>0</v>
      </c>
      <c r="AL351" s="55">
        <f>VLOOKUP($E351,'NI-San_SP'!$C:$AN,MID(AL$1,1,2),FALSE)</f>
        <v>0</v>
      </c>
      <c r="AM351" s="56">
        <f>VLOOKUP($E351,'NI-San_SP'!$C:$AN,MID(AM$1,1,2),FALSE)</f>
        <v>0</v>
      </c>
      <c r="AN351" s="30" t="str">
        <f t="shared" si="5"/>
        <v>20101010090000</v>
      </c>
    </row>
    <row r="352" spans="3:40" x14ac:dyDescent="0.25">
      <c r="C352" s="40"/>
      <c r="D352" s="57" t="s">
        <v>1289</v>
      </c>
      <c r="E352" s="57" t="s">
        <v>1290</v>
      </c>
      <c r="F352" s="58" t="s">
        <v>110</v>
      </c>
      <c r="G352" s="52"/>
      <c r="H352" s="52"/>
      <c r="I352" s="52"/>
      <c r="J352" s="52"/>
      <c r="K352" s="59" t="s">
        <v>111</v>
      </c>
      <c r="L352" s="62" t="s">
        <v>1291</v>
      </c>
      <c r="M352" s="52"/>
      <c r="N352" s="52"/>
      <c r="O352" s="52"/>
      <c r="P352" s="54" t="s">
        <v>1292</v>
      </c>
      <c r="Q352" s="55">
        <f>VLOOKUP(E352,'NI-San_SP'!$C:$AN,12,FALSE)</f>
        <v>153255</v>
      </c>
      <c r="R352" s="55">
        <f>VLOOKUP(E352,'NI-San_SP'!$C:$AN,13,FALSE)</f>
        <v>154851</v>
      </c>
      <c r="S352" s="55"/>
      <c r="T352" s="55"/>
      <c r="U352" s="55">
        <f>VLOOKUP($E352,'NI-San_SP'!$C:$AN,MID(U$1,1,2),FALSE)</f>
        <v>0</v>
      </c>
      <c r="V352" s="55">
        <f>VLOOKUP($E352,'NI-San_SP'!$C:$AN,MID(V$1,1,2),FALSE)</f>
        <v>153255</v>
      </c>
      <c r="W352" s="55">
        <f>VLOOKUP($E352,'NI-San_SP'!$C:$AN,MID(W$1,1,2),FALSE)</f>
        <v>0</v>
      </c>
      <c r="X352" s="55">
        <f>VLOOKUP($E352,'NI-San_SP'!$C:$AN,MID(X$1,1,2),FALSE)</f>
        <v>0</v>
      </c>
      <c r="Y352" s="55">
        <f>VLOOKUP($E352,'NI-San_SP'!$C:$AN,MID(Y$1,1,2),FALSE)</f>
        <v>764565</v>
      </c>
      <c r="Z352" s="55">
        <f>VLOOKUP($E352,'NI-San_SP'!$C:$AN,MID(Z$1,1,2),FALSE)</f>
        <v>0</v>
      </c>
      <c r="AA352" s="55">
        <f>VLOOKUP($E352,'NI-San_SP'!$C:$AN,MID(AA$1,1,2),FALSE)</f>
        <v>0</v>
      </c>
      <c r="AB352" s="55">
        <f>VLOOKUP($E352,'NI-San_SP'!$C:$AN,MID(AB$1,1,2),FALSE)</f>
        <v>0</v>
      </c>
      <c r="AC352" s="55">
        <f>VLOOKUP($E352,'NI-San_SP'!$C:$AN,MID(AC$1,1,2),FALSE)</f>
        <v>762969</v>
      </c>
      <c r="AD352" s="55">
        <f>VLOOKUP($E352,'NI-San_SP'!$C:$AN,MID(AD$1,1,2),FALSE)</f>
        <v>154851</v>
      </c>
      <c r="AE352" s="55">
        <f>VLOOKUP($E352,'NI-San_SP'!$C:$AN,MID(AE$1,1,2),FALSE)</f>
        <v>0</v>
      </c>
      <c r="AF352" s="55">
        <f>VLOOKUP($E352,'NI-San_SP'!$C:$AN,MID(AF$1,1,2),FALSE)</f>
        <v>77981</v>
      </c>
      <c r="AG352" s="55">
        <f>VLOOKUP($E352,'NI-San_SP'!$C:$AN,MID(AG$1,1,2),FALSE)</f>
        <v>0</v>
      </c>
      <c r="AH352" s="55">
        <f>VLOOKUP($E352,'NI-San_SP'!$C:$AN,MID(AH$1,1,2),FALSE)</f>
        <v>0</v>
      </c>
      <c r="AI352" s="55">
        <f>VLOOKUP($E352,'NI-San_SP'!$C:$AN,MID(AI$1,1,2),FALSE)</f>
        <v>0</v>
      </c>
      <c r="AJ352" s="55">
        <f>VLOOKUP($E352,'NI-San_SP'!$C:$AN,MID(AJ$1,1,2),FALSE)</f>
        <v>0</v>
      </c>
      <c r="AK352" s="55">
        <f>VLOOKUP($E352,'NI-San_SP'!$C:$AN,MID(AK$1,1,2),FALSE)</f>
        <v>0</v>
      </c>
      <c r="AL352" s="55">
        <f>VLOOKUP($E352,'NI-San_SP'!$C:$AN,MID(AL$1,1,2),FALSE)</f>
        <v>0</v>
      </c>
      <c r="AM352" s="56">
        <f>VLOOKUP($E352,'NI-San_SP'!$C:$AN,MID(AM$1,1,2),FALSE)</f>
        <v>0</v>
      </c>
      <c r="AN352" s="30" t="str">
        <f t="shared" si="5"/>
        <v>20102000000000</v>
      </c>
    </row>
    <row r="353" spans="3:40" x14ac:dyDescent="0.25">
      <c r="C353" s="40"/>
      <c r="D353" s="57" t="s">
        <v>1293</v>
      </c>
      <c r="E353" s="57" t="s">
        <v>1294</v>
      </c>
      <c r="F353" s="58" t="s">
        <v>110</v>
      </c>
      <c r="G353" s="52"/>
      <c r="H353" s="52"/>
      <c r="I353" s="52" t="s">
        <v>1295</v>
      </c>
      <c r="J353" s="52" t="s">
        <v>1295</v>
      </c>
      <c r="K353" s="59" t="s">
        <v>79</v>
      </c>
      <c r="L353" s="52"/>
      <c r="M353" s="52"/>
      <c r="N353" s="52"/>
      <c r="O353" s="61" t="s">
        <v>1296</v>
      </c>
      <c r="P353" s="63" t="s">
        <v>1297</v>
      </c>
      <c r="Q353" s="55">
        <f>VLOOKUP(E353,'NI-San_SP'!$C:$AN,12,FALSE)</f>
        <v>7675</v>
      </c>
      <c r="R353" s="55">
        <f>VLOOKUP(E353,'NI-San_SP'!$C:$AN,13,FALSE)</f>
        <v>2826</v>
      </c>
      <c r="S353" s="55"/>
      <c r="T353" s="55"/>
      <c r="U353" s="55">
        <f>VLOOKUP($E353,'NI-San_SP'!$C:$AN,MID(U$1,1,2),FALSE)</f>
        <v>0</v>
      </c>
      <c r="V353" s="55">
        <f>VLOOKUP($E353,'NI-San_SP'!$C:$AN,MID(V$1,1,2),FALSE)</f>
        <v>7675</v>
      </c>
      <c r="W353" s="55">
        <f>VLOOKUP($E353,'NI-San_SP'!$C:$AN,MID(W$1,1,2),FALSE)</f>
        <v>0</v>
      </c>
      <c r="X353" s="55">
        <f>VLOOKUP($E353,'NI-San_SP'!$C:$AN,MID(X$1,1,2),FALSE)</f>
        <v>0</v>
      </c>
      <c r="Y353" s="55">
        <f>VLOOKUP($E353,'NI-San_SP'!$C:$AN,MID(Y$1,1,2),FALSE)</f>
        <v>10198</v>
      </c>
      <c r="Z353" s="55">
        <f>VLOOKUP($E353,'NI-San_SP'!$C:$AN,MID(Z$1,1,2),FALSE)</f>
        <v>0</v>
      </c>
      <c r="AA353" s="55">
        <f>VLOOKUP($E353,'NI-San_SP'!$C:$AN,MID(AA$1,1,2),FALSE)</f>
        <v>0</v>
      </c>
      <c r="AB353" s="55">
        <f>VLOOKUP($E353,'NI-San_SP'!$C:$AN,MID(AB$1,1,2),FALSE)</f>
        <v>0</v>
      </c>
      <c r="AC353" s="55">
        <f>VLOOKUP($E353,'NI-San_SP'!$C:$AN,MID(AC$1,1,2),FALSE)</f>
        <v>15047</v>
      </c>
      <c r="AD353" s="55">
        <f>VLOOKUP($E353,'NI-San_SP'!$C:$AN,MID(AD$1,1,2),FALSE)</f>
        <v>2826</v>
      </c>
      <c r="AE353" s="55">
        <f>VLOOKUP($E353,'NI-San_SP'!$C:$AN,MID(AE$1,1,2),FALSE)</f>
        <v>0</v>
      </c>
      <c r="AF353" s="55">
        <f>VLOOKUP($E353,'NI-San_SP'!$C:$AN,MID(AF$1,1,2),FALSE)</f>
        <v>2364</v>
      </c>
      <c r="AG353" s="55">
        <f>VLOOKUP($E353,'NI-San_SP'!$C:$AN,MID(AG$1,1,2),FALSE)</f>
        <v>0</v>
      </c>
      <c r="AH353" s="55">
        <f>VLOOKUP($E353,'NI-San_SP'!$C:$AN,MID(AH$1,1,2),FALSE)</f>
        <v>0</v>
      </c>
      <c r="AI353" s="55">
        <f>VLOOKUP($E353,'NI-San_SP'!$C:$AN,MID(AI$1,1,2),FALSE)</f>
        <v>0</v>
      </c>
      <c r="AJ353" s="55">
        <f>VLOOKUP($E353,'NI-San_SP'!$C:$AN,MID(AJ$1,1,2),FALSE)</f>
        <v>0</v>
      </c>
      <c r="AK353" s="55">
        <f>VLOOKUP($E353,'NI-San_SP'!$C:$AN,MID(AK$1,1,2),FALSE)</f>
        <v>0</v>
      </c>
      <c r="AL353" s="55">
        <f>VLOOKUP($E353,'NI-San_SP'!$C:$AN,MID(AL$1,1,2),FALSE)</f>
        <v>0</v>
      </c>
      <c r="AM353" s="56">
        <f>VLOOKUP($E353,'NI-San_SP'!$C:$AN,MID(AM$1,1,2),FALSE)</f>
        <v>0</v>
      </c>
      <c r="AN353" s="30" t="str">
        <f t="shared" si="5"/>
        <v>20102010000000</v>
      </c>
    </row>
    <row r="354" spans="3:40" x14ac:dyDescent="0.25">
      <c r="C354" s="40"/>
      <c r="D354" s="57" t="s">
        <v>1298</v>
      </c>
      <c r="E354" s="57" t="s">
        <v>1299</v>
      </c>
      <c r="F354" s="58" t="s">
        <v>110</v>
      </c>
      <c r="G354" s="52"/>
      <c r="H354" s="52"/>
      <c r="I354" s="52" t="s">
        <v>1300</v>
      </c>
      <c r="J354" s="52" t="s">
        <v>1300</v>
      </c>
      <c r="K354" s="59" t="s">
        <v>79</v>
      </c>
      <c r="L354" s="52"/>
      <c r="M354" s="52"/>
      <c r="N354" s="52"/>
      <c r="O354" s="61" t="s">
        <v>1296</v>
      </c>
      <c r="P354" s="64" t="s">
        <v>1301</v>
      </c>
      <c r="Q354" s="55">
        <f>VLOOKUP(E354,'NI-San_SP'!$C:$AN,12,FALSE)</f>
        <v>38219</v>
      </c>
      <c r="R354" s="55">
        <f>VLOOKUP(E354,'NI-San_SP'!$C:$AN,13,FALSE)</f>
        <v>48984</v>
      </c>
      <c r="S354" s="55"/>
      <c r="T354" s="55"/>
      <c r="U354" s="55">
        <f>VLOOKUP($E354,'NI-San_SP'!$C:$AN,MID(U$1,1,2),FALSE)</f>
        <v>0</v>
      </c>
      <c r="V354" s="55">
        <f>VLOOKUP($E354,'NI-San_SP'!$C:$AN,MID(V$1,1,2),FALSE)</f>
        <v>38219</v>
      </c>
      <c r="W354" s="55">
        <f>VLOOKUP($E354,'NI-San_SP'!$C:$AN,MID(W$1,1,2),FALSE)</f>
        <v>0</v>
      </c>
      <c r="X354" s="55">
        <f>VLOOKUP($E354,'NI-San_SP'!$C:$AN,MID(X$1,1,2),FALSE)</f>
        <v>0</v>
      </c>
      <c r="Y354" s="55">
        <f>VLOOKUP($E354,'NI-San_SP'!$C:$AN,MID(Y$1,1,2),FALSE)</f>
        <v>126151</v>
      </c>
      <c r="Z354" s="55">
        <f>VLOOKUP($E354,'NI-San_SP'!$C:$AN,MID(Z$1,1,2),FALSE)</f>
        <v>0</v>
      </c>
      <c r="AA354" s="55">
        <f>VLOOKUP($E354,'NI-San_SP'!$C:$AN,MID(AA$1,1,2),FALSE)</f>
        <v>0</v>
      </c>
      <c r="AB354" s="55">
        <f>VLOOKUP($E354,'NI-San_SP'!$C:$AN,MID(AB$1,1,2),FALSE)</f>
        <v>0</v>
      </c>
      <c r="AC354" s="55">
        <f>VLOOKUP($E354,'NI-San_SP'!$C:$AN,MID(AC$1,1,2),FALSE)</f>
        <v>115386</v>
      </c>
      <c r="AD354" s="55">
        <f>VLOOKUP($E354,'NI-San_SP'!$C:$AN,MID(AD$1,1,2),FALSE)</f>
        <v>48984</v>
      </c>
      <c r="AE354" s="55">
        <f>VLOOKUP($E354,'NI-San_SP'!$C:$AN,MID(AE$1,1,2),FALSE)</f>
        <v>0</v>
      </c>
      <c r="AF354" s="55">
        <f>VLOOKUP($E354,'NI-San_SP'!$C:$AN,MID(AF$1,1,2),FALSE)</f>
        <v>16745</v>
      </c>
      <c r="AG354" s="55">
        <f>VLOOKUP($E354,'NI-San_SP'!$C:$AN,MID(AG$1,1,2),FALSE)</f>
        <v>0</v>
      </c>
      <c r="AH354" s="55">
        <f>VLOOKUP($E354,'NI-San_SP'!$C:$AN,MID(AH$1,1,2),FALSE)</f>
        <v>0</v>
      </c>
      <c r="AI354" s="55">
        <f>VLOOKUP($E354,'NI-San_SP'!$C:$AN,MID(AI$1,1,2),FALSE)</f>
        <v>0</v>
      </c>
      <c r="AJ354" s="55">
        <f>VLOOKUP($E354,'NI-San_SP'!$C:$AN,MID(AJ$1,1,2),FALSE)</f>
        <v>0</v>
      </c>
      <c r="AK354" s="55">
        <f>VLOOKUP($E354,'NI-San_SP'!$C:$AN,MID(AK$1,1,2),FALSE)</f>
        <v>0</v>
      </c>
      <c r="AL354" s="55">
        <f>VLOOKUP($E354,'NI-San_SP'!$C:$AN,MID(AL$1,1,2),FALSE)</f>
        <v>0</v>
      </c>
      <c r="AM354" s="56">
        <f>VLOOKUP($E354,'NI-San_SP'!$C:$AN,MID(AM$1,1,2),FALSE)</f>
        <v>0</v>
      </c>
      <c r="AN354" s="30" t="str">
        <f t="shared" si="5"/>
        <v>20102020000000</v>
      </c>
    </row>
    <row r="355" spans="3:40" x14ac:dyDescent="0.25">
      <c r="C355" s="40"/>
      <c r="D355" s="57" t="s">
        <v>1302</v>
      </c>
      <c r="E355" s="57" t="s">
        <v>1303</v>
      </c>
      <c r="F355" s="58" t="s">
        <v>110</v>
      </c>
      <c r="G355" s="52"/>
      <c r="H355" s="52"/>
      <c r="I355" s="52" t="s">
        <v>1304</v>
      </c>
      <c r="J355" s="52" t="s">
        <v>1304</v>
      </c>
      <c r="K355" s="59" t="s">
        <v>79</v>
      </c>
      <c r="L355" s="52"/>
      <c r="M355" s="52"/>
      <c r="N355" s="52"/>
      <c r="O355" s="61" t="s">
        <v>1296</v>
      </c>
      <c r="P355" s="64" t="s">
        <v>1305</v>
      </c>
      <c r="Q355" s="55">
        <f>VLOOKUP(E355,'NI-San_SP'!$C:$AN,12,FALSE)</f>
        <v>0</v>
      </c>
      <c r="R355" s="55">
        <f>VLOOKUP(E355,'NI-San_SP'!$C:$AN,13,FALSE)</f>
        <v>0</v>
      </c>
      <c r="S355" s="55"/>
      <c r="T355" s="55"/>
      <c r="U355" s="55">
        <f>VLOOKUP($E355,'NI-San_SP'!$C:$AN,MID(U$1,1,2),FALSE)</f>
        <v>0</v>
      </c>
      <c r="V355" s="55">
        <f>VLOOKUP($E355,'NI-San_SP'!$C:$AN,MID(V$1,1,2),FALSE)</f>
        <v>0</v>
      </c>
      <c r="W355" s="55">
        <f>VLOOKUP($E355,'NI-San_SP'!$C:$AN,MID(W$1,1,2),FALSE)</f>
        <v>0</v>
      </c>
      <c r="X355" s="55">
        <f>VLOOKUP($E355,'NI-San_SP'!$C:$AN,MID(X$1,1,2),FALSE)</f>
        <v>0</v>
      </c>
      <c r="Y355" s="55">
        <f>VLOOKUP($E355,'NI-San_SP'!$C:$AN,MID(Y$1,1,2),FALSE)</f>
        <v>0</v>
      </c>
      <c r="Z355" s="55">
        <f>VLOOKUP($E355,'NI-San_SP'!$C:$AN,MID(Z$1,1,2),FALSE)</f>
        <v>0</v>
      </c>
      <c r="AA355" s="55">
        <f>VLOOKUP($E355,'NI-San_SP'!$C:$AN,MID(AA$1,1,2),FALSE)</f>
        <v>0</v>
      </c>
      <c r="AB355" s="55">
        <f>VLOOKUP($E355,'NI-San_SP'!$C:$AN,MID(AB$1,1,2),FALSE)</f>
        <v>0</v>
      </c>
      <c r="AC355" s="55">
        <f>VLOOKUP($E355,'NI-San_SP'!$C:$AN,MID(AC$1,1,2),FALSE)</f>
        <v>0</v>
      </c>
      <c r="AD355" s="55">
        <f>VLOOKUP($E355,'NI-San_SP'!$C:$AN,MID(AD$1,1,2),FALSE)</f>
        <v>0</v>
      </c>
      <c r="AE355" s="55">
        <f>VLOOKUP($E355,'NI-San_SP'!$C:$AN,MID(AE$1,1,2),FALSE)</f>
        <v>0</v>
      </c>
      <c r="AF355" s="55">
        <f>VLOOKUP($E355,'NI-San_SP'!$C:$AN,MID(AF$1,1,2),FALSE)</f>
        <v>0</v>
      </c>
      <c r="AG355" s="55">
        <f>VLOOKUP($E355,'NI-San_SP'!$C:$AN,MID(AG$1,1,2),FALSE)</f>
        <v>0</v>
      </c>
      <c r="AH355" s="55">
        <f>VLOOKUP($E355,'NI-San_SP'!$C:$AN,MID(AH$1,1,2),FALSE)</f>
        <v>0</v>
      </c>
      <c r="AI355" s="55">
        <f>VLOOKUP($E355,'NI-San_SP'!$C:$AN,MID(AI$1,1,2),FALSE)</f>
        <v>0</v>
      </c>
      <c r="AJ355" s="55">
        <f>VLOOKUP($E355,'NI-San_SP'!$C:$AN,MID(AJ$1,1,2),FALSE)</f>
        <v>0</v>
      </c>
      <c r="AK355" s="55">
        <f>VLOOKUP($E355,'NI-San_SP'!$C:$AN,MID(AK$1,1,2),FALSE)</f>
        <v>0</v>
      </c>
      <c r="AL355" s="55">
        <f>VLOOKUP($E355,'NI-San_SP'!$C:$AN,MID(AL$1,1,2),FALSE)</f>
        <v>0</v>
      </c>
      <c r="AM355" s="56">
        <f>VLOOKUP($E355,'NI-San_SP'!$C:$AN,MID(AM$1,1,2),FALSE)</f>
        <v>0</v>
      </c>
      <c r="AN355" s="30" t="str">
        <f t="shared" si="5"/>
        <v>20102030010000</v>
      </c>
    </row>
    <row r="356" spans="3:40" x14ac:dyDescent="0.25">
      <c r="C356" s="40"/>
      <c r="D356" s="57" t="s">
        <v>1306</v>
      </c>
      <c r="E356" s="57" t="s">
        <v>1307</v>
      </c>
      <c r="F356" s="58" t="s">
        <v>110</v>
      </c>
      <c r="G356" s="52"/>
      <c r="H356" s="52"/>
      <c r="I356" s="52" t="s">
        <v>1304</v>
      </c>
      <c r="J356" s="52" t="s">
        <v>1304</v>
      </c>
      <c r="K356" s="59" t="s">
        <v>79</v>
      </c>
      <c r="L356" s="52"/>
      <c r="M356" s="52"/>
      <c r="N356" s="52"/>
      <c r="O356" s="61" t="s">
        <v>1296</v>
      </c>
      <c r="P356" s="64" t="s">
        <v>1308</v>
      </c>
      <c r="Q356" s="55">
        <f>VLOOKUP(E356,'NI-San_SP'!$C:$AN,12,FALSE)</f>
        <v>0</v>
      </c>
      <c r="R356" s="55">
        <f>VLOOKUP(E356,'NI-San_SP'!$C:$AN,13,FALSE)</f>
        <v>0</v>
      </c>
      <c r="S356" s="55"/>
      <c r="T356" s="55"/>
      <c r="U356" s="55">
        <f>VLOOKUP($E356,'NI-San_SP'!$C:$AN,MID(U$1,1,2),FALSE)</f>
        <v>0</v>
      </c>
      <c r="V356" s="55">
        <f>VLOOKUP($E356,'NI-San_SP'!$C:$AN,MID(V$1,1,2),FALSE)</f>
        <v>0</v>
      </c>
      <c r="W356" s="55">
        <f>VLOOKUP($E356,'NI-San_SP'!$C:$AN,MID(W$1,1,2),FALSE)</f>
        <v>0</v>
      </c>
      <c r="X356" s="55">
        <f>VLOOKUP($E356,'NI-San_SP'!$C:$AN,MID(X$1,1,2),FALSE)</f>
        <v>0</v>
      </c>
      <c r="Y356" s="55">
        <f>VLOOKUP($E356,'NI-San_SP'!$C:$AN,MID(Y$1,1,2),FALSE)</f>
        <v>0</v>
      </c>
      <c r="Z356" s="55">
        <f>VLOOKUP($E356,'NI-San_SP'!$C:$AN,MID(Z$1,1,2),FALSE)</f>
        <v>0</v>
      </c>
      <c r="AA356" s="55">
        <f>VLOOKUP($E356,'NI-San_SP'!$C:$AN,MID(AA$1,1,2),FALSE)</f>
        <v>0</v>
      </c>
      <c r="AB356" s="55">
        <f>VLOOKUP($E356,'NI-San_SP'!$C:$AN,MID(AB$1,1,2),FALSE)</f>
        <v>0</v>
      </c>
      <c r="AC356" s="55">
        <f>VLOOKUP($E356,'NI-San_SP'!$C:$AN,MID(AC$1,1,2),FALSE)</f>
        <v>0</v>
      </c>
      <c r="AD356" s="55">
        <f>VLOOKUP($E356,'NI-San_SP'!$C:$AN,MID(AD$1,1,2),FALSE)</f>
        <v>0</v>
      </c>
      <c r="AE356" s="55">
        <f>VLOOKUP($E356,'NI-San_SP'!$C:$AN,MID(AE$1,1,2),FALSE)</f>
        <v>0</v>
      </c>
      <c r="AF356" s="55">
        <f>VLOOKUP($E356,'NI-San_SP'!$C:$AN,MID(AF$1,1,2),FALSE)</f>
        <v>0</v>
      </c>
      <c r="AG356" s="55">
        <f>VLOOKUP($E356,'NI-San_SP'!$C:$AN,MID(AG$1,1,2),FALSE)</f>
        <v>0</v>
      </c>
      <c r="AH356" s="55">
        <f>VLOOKUP($E356,'NI-San_SP'!$C:$AN,MID(AH$1,1,2),FALSE)</f>
        <v>0</v>
      </c>
      <c r="AI356" s="55">
        <f>VLOOKUP($E356,'NI-San_SP'!$C:$AN,MID(AI$1,1,2),FALSE)</f>
        <v>0</v>
      </c>
      <c r="AJ356" s="55">
        <f>VLOOKUP($E356,'NI-San_SP'!$C:$AN,MID(AJ$1,1,2),FALSE)</f>
        <v>0</v>
      </c>
      <c r="AK356" s="55">
        <f>VLOOKUP($E356,'NI-San_SP'!$C:$AN,MID(AK$1,1,2),FALSE)</f>
        <v>0</v>
      </c>
      <c r="AL356" s="55">
        <f>VLOOKUP($E356,'NI-San_SP'!$C:$AN,MID(AL$1,1,2),FALSE)</f>
        <v>0</v>
      </c>
      <c r="AM356" s="56">
        <f>VLOOKUP($E356,'NI-San_SP'!$C:$AN,MID(AM$1,1,2),FALSE)</f>
        <v>0</v>
      </c>
      <c r="AN356" s="30" t="str">
        <f t="shared" si="5"/>
        <v>20102030020000</v>
      </c>
    </row>
    <row r="357" spans="3:40" x14ac:dyDescent="0.25">
      <c r="C357" s="40"/>
      <c r="D357" s="57" t="s">
        <v>1309</v>
      </c>
      <c r="E357" s="57" t="s">
        <v>1310</v>
      </c>
      <c r="F357" s="58" t="s">
        <v>110</v>
      </c>
      <c r="G357" s="52"/>
      <c r="H357" s="52"/>
      <c r="I357" s="52" t="s">
        <v>1311</v>
      </c>
      <c r="J357" s="52" t="s">
        <v>1311</v>
      </c>
      <c r="K357" s="59" t="s">
        <v>79</v>
      </c>
      <c r="L357" s="52"/>
      <c r="M357" s="52"/>
      <c r="N357" s="52"/>
      <c r="O357" s="61" t="s">
        <v>1296</v>
      </c>
      <c r="P357" s="64" t="s">
        <v>1312</v>
      </c>
      <c r="Q357" s="55">
        <f>VLOOKUP(E357,'NI-San_SP'!$C:$AN,12,FALSE)</f>
        <v>60472</v>
      </c>
      <c r="R357" s="55">
        <f>VLOOKUP(E357,'NI-San_SP'!$C:$AN,13,FALSE)</f>
        <v>61030</v>
      </c>
      <c r="S357" s="55"/>
      <c r="T357" s="55"/>
      <c r="U357" s="55">
        <f>VLOOKUP($E357,'NI-San_SP'!$C:$AN,MID(U$1,1,2),FALSE)</f>
        <v>0</v>
      </c>
      <c r="V357" s="55">
        <f>VLOOKUP($E357,'NI-San_SP'!$C:$AN,MID(V$1,1,2),FALSE)</f>
        <v>60472</v>
      </c>
      <c r="W357" s="55">
        <f>VLOOKUP($E357,'NI-San_SP'!$C:$AN,MID(W$1,1,2),FALSE)</f>
        <v>0</v>
      </c>
      <c r="X357" s="55">
        <f>VLOOKUP($E357,'NI-San_SP'!$C:$AN,MID(X$1,1,2),FALSE)</f>
        <v>0</v>
      </c>
      <c r="Y357" s="55">
        <f>VLOOKUP($E357,'NI-San_SP'!$C:$AN,MID(Y$1,1,2),FALSE)</f>
        <v>142298</v>
      </c>
      <c r="Z357" s="55">
        <f>VLOOKUP($E357,'NI-San_SP'!$C:$AN,MID(Z$1,1,2),FALSE)</f>
        <v>0</v>
      </c>
      <c r="AA357" s="55">
        <f>VLOOKUP($E357,'NI-San_SP'!$C:$AN,MID(AA$1,1,2),FALSE)</f>
        <v>0</v>
      </c>
      <c r="AB357" s="55">
        <f>VLOOKUP($E357,'NI-San_SP'!$C:$AN,MID(AB$1,1,2),FALSE)</f>
        <v>0</v>
      </c>
      <c r="AC357" s="55">
        <f>VLOOKUP($E357,'NI-San_SP'!$C:$AN,MID(AC$1,1,2),FALSE)</f>
        <v>141740</v>
      </c>
      <c r="AD357" s="55">
        <f>VLOOKUP($E357,'NI-San_SP'!$C:$AN,MID(AD$1,1,2),FALSE)</f>
        <v>61030</v>
      </c>
      <c r="AE357" s="55">
        <f>VLOOKUP($E357,'NI-San_SP'!$C:$AN,MID(AE$1,1,2),FALSE)</f>
        <v>0</v>
      </c>
      <c r="AF357" s="55">
        <f>VLOOKUP($E357,'NI-San_SP'!$C:$AN,MID(AF$1,1,2),FALSE)</f>
        <v>27428</v>
      </c>
      <c r="AG357" s="55">
        <f>VLOOKUP($E357,'NI-San_SP'!$C:$AN,MID(AG$1,1,2),FALSE)</f>
        <v>0</v>
      </c>
      <c r="AH357" s="55">
        <f>VLOOKUP($E357,'NI-San_SP'!$C:$AN,MID(AH$1,1,2),FALSE)</f>
        <v>0</v>
      </c>
      <c r="AI357" s="55">
        <f>VLOOKUP($E357,'NI-San_SP'!$C:$AN,MID(AI$1,1,2),FALSE)</f>
        <v>0</v>
      </c>
      <c r="AJ357" s="55">
        <f>VLOOKUP($E357,'NI-San_SP'!$C:$AN,MID(AJ$1,1,2),FALSE)</f>
        <v>0</v>
      </c>
      <c r="AK357" s="55">
        <f>VLOOKUP($E357,'NI-San_SP'!$C:$AN,MID(AK$1,1,2),FALSE)</f>
        <v>0</v>
      </c>
      <c r="AL357" s="55">
        <f>VLOOKUP($E357,'NI-San_SP'!$C:$AN,MID(AL$1,1,2),FALSE)</f>
        <v>0</v>
      </c>
      <c r="AM357" s="56">
        <f>VLOOKUP($E357,'NI-San_SP'!$C:$AN,MID(AM$1,1,2),FALSE)</f>
        <v>0</v>
      </c>
      <c r="AN357" s="30" t="str">
        <f t="shared" si="5"/>
        <v>20102040010000</v>
      </c>
    </row>
    <row r="358" spans="3:40" x14ac:dyDescent="0.25">
      <c r="C358" s="40"/>
      <c r="D358" s="57" t="s">
        <v>1313</v>
      </c>
      <c r="E358" s="57" t="s">
        <v>1314</v>
      </c>
      <c r="F358" s="58" t="s">
        <v>110</v>
      </c>
      <c r="G358" s="52"/>
      <c r="H358" s="52"/>
      <c r="I358" s="52" t="s">
        <v>1311</v>
      </c>
      <c r="J358" s="52" t="s">
        <v>1311</v>
      </c>
      <c r="K358" s="59" t="s">
        <v>79</v>
      </c>
      <c r="L358" s="52"/>
      <c r="M358" s="52"/>
      <c r="N358" s="52"/>
      <c r="O358" s="61" t="s">
        <v>1296</v>
      </c>
      <c r="P358" s="64" t="s">
        <v>1315</v>
      </c>
      <c r="Q358" s="55">
        <f>VLOOKUP(E358,'NI-San_SP'!$C:$AN,12,FALSE)</f>
        <v>27535</v>
      </c>
      <c r="R358" s="55">
        <f>VLOOKUP(E358,'NI-San_SP'!$C:$AN,13,FALSE)</f>
        <v>17650</v>
      </c>
      <c r="S358" s="55"/>
      <c r="T358" s="55"/>
      <c r="U358" s="55">
        <f>VLOOKUP($E358,'NI-San_SP'!$C:$AN,MID(U$1,1,2),FALSE)</f>
        <v>0</v>
      </c>
      <c r="V358" s="55">
        <f>VLOOKUP($E358,'NI-San_SP'!$C:$AN,MID(V$1,1,2),FALSE)</f>
        <v>27535</v>
      </c>
      <c r="W358" s="55">
        <f>VLOOKUP($E358,'NI-San_SP'!$C:$AN,MID(W$1,1,2),FALSE)</f>
        <v>0</v>
      </c>
      <c r="X358" s="55">
        <f>VLOOKUP($E358,'NI-San_SP'!$C:$AN,MID(X$1,1,2),FALSE)</f>
        <v>0</v>
      </c>
      <c r="Y358" s="55">
        <f>VLOOKUP($E358,'NI-San_SP'!$C:$AN,MID(Y$1,1,2),FALSE)</f>
        <v>31247</v>
      </c>
      <c r="Z358" s="55">
        <f>VLOOKUP($E358,'NI-San_SP'!$C:$AN,MID(Z$1,1,2),FALSE)</f>
        <v>0</v>
      </c>
      <c r="AA358" s="55">
        <f>VLOOKUP($E358,'NI-San_SP'!$C:$AN,MID(AA$1,1,2),FALSE)</f>
        <v>0</v>
      </c>
      <c r="AB358" s="55">
        <f>VLOOKUP($E358,'NI-San_SP'!$C:$AN,MID(AB$1,1,2),FALSE)</f>
        <v>0</v>
      </c>
      <c r="AC358" s="55">
        <f>VLOOKUP($E358,'NI-San_SP'!$C:$AN,MID(AC$1,1,2),FALSE)</f>
        <v>41132</v>
      </c>
      <c r="AD358" s="55">
        <f>VLOOKUP($E358,'NI-San_SP'!$C:$AN,MID(AD$1,1,2),FALSE)</f>
        <v>17650</v>
      </c>
      <c r="AE358" s="55">
        <f>VLOOKUP($E358,'NI-San_SP'!$C:$AN,MID(AE$1,1,2),FALSE)</f>
        <v>0</v>
      </c>
      <c r="AF358" s="55">
        <f>VLOOKUP($E358,'NI-San_SP'!$C:$AN,MID(AF$1,1,2),FALSE)</f>
        <v>12774</v>
      </c>
      <c r="AG358" s="55">
        <f>VLOOKUP($E358,'NI-San_SP'!$C:$AN,MID(AG$1,1,2),FALSE)</f>
        <v>0</v>
      </c>
      <c r="AH358" s="55">
        <f>VLOOKUP($E358,'NI-San_SP'!$C:$AN,MID(AH$1,1,2),FALSE)</f>
        <v>0</v>
      </c>
      <c r="AI358" s="55">
        <f>VLOOKUP($E358,'NI-San_SP'!$C:$AN,MID(AI$1,1,2),FALSE)</f>
        <v>0</v>
      </c>
      <c r="AJ358" s="55">
        <f>VLOOKUP($E358,'NI-San_SP'!$C:$AN,MID(AJ$1,1,2),FALSE)</f>
        <v>0</v>
      </c>
      <c r="AK358" s="55">
        <f>VLOOKUP($E358,'NI-San_SP'!$C:$AN,MID(AK$1,1,2),FALSE)</f>
        <v>0</v>
      </c>
      <c r="AL358" s="55">
        <f>VLOOKUP($E358,'NI-San_SP'!$C:$AN,MID(AL$1,1,2),FALSE)</f>
        <v>0</v>
      </c>
      <c r="AM358" s="56">
        <f>VLOOKUP($E358,'NI-San_SP'!$C:$AN,MID(AM$1,1,2),FALSE)</f>
        <v>0</v>
      </c>
      <c r="AN358" s="30" t="str">
        <f t="shared" si="5"/>
        <v>20102040020000</v>
      </c>
    </row>
    <row r="359" spans="3:40" x14ac:dyDescent="0.25">
      <c r="C359" s="40"/>
      <c r="D359" s="57" t="s">
        <v>1316</v>
      </c>
      <c r="E359" s="57" t="s">
        <v>1317</v>
      </c>
      <c r="F359" s="58" t="s">
        <v>110</v>
      </c>
      <c r="G359" s="52"/>
      <c r="H359" s="52"/>
      <c r="I359" s="52" t="s">
        <v>1318</v>
      </c>
      <c r="J359" s="52" t="s">
        <v>1318</v>
      </c>
      <c r="K359" s="59" t="s">
        <v>79</v>
      </c>
      <c r="L359" s="52"/>
      <c r="M359" s="52"/>
      <c r="N359" s="52"/>
      <c r="O359" s="61" t="s">
        <v>1296</v>
      </c>
      <c r="P359" s="63" t="s">
        <v>1319</v>
      </c>
      <c r="Q359" s="55">
        <f>VLOOKUP(E359,'NI-San_SP'!$C:$AN,12,FALSE)</f>
        <v>0</v>
      </c>
      <c r="R359" s="55">
        <f>VLOOKUP(E359,'NI-San_SP'!$C:$AN,13,FALSE)</f>
        <v>0</v>
      </c>
      <c r="S359" s="55"/>
      <c r="T359" s="55"/>
      <c r="U359" s="55">
        <f>VLOOKUP($E359,'NI-San_SP'!$C:$AN,MID(U$1,1,2),FALSE)</f>
        <v>0</v>
      </c>
      <c r="V359" s="55">
        <f>VLOOKUP($E359,'NI-San_SP'!$C:$AN,MID(V$1,1,2),FALSE)</f>
        <v>0</v>
      </c>
      <c r="W359" s="55">
        <f>VLOOKUP($E359,'NI-San_SP'!$C:$AN,MID(W$1,1,2),FALSE)</f>
        <v>0</v>
      </c>
      <c r="X359" s="55">
        <f>VLOOKUP($E359,'NI-San_SP'!$C:$AN,MID(X$1,1,2),FALSE)</f>
        <v>0</v>
      </c>
      <c r="Y359" s="55">
        <f>VLOOKUP($E359,'NI-San_SP'!$C:$AN,MID(Y$1,1,2),FALSE)</f>
        <v>0</v>
      </c>
      <c r="Z359" s="55">
        <f>VLOOKUP($E359,'NI-San_SP'!$C:$AN,MID(Z$1,1,2),FALSE)</f>
        <v>0</v>
      </c>
      <c r="AA359" s="55">
        <f>VLOOKUP($E359,'NI-San_SP'!$C:$AN,MID(AA$1,1,2),FALSE)</f>
        <v>0</v>
      </c>
      <c r="AB359" s="55">
        <f>VLOOKUP($E359,'NI-San_SP'!$C:$AN,MID(AB$1,1,2),FALSE)</f>
        <v>0</v>
      </c>
      <c r="AC359" s="55">
        <f>VLOOKUP($E359,'NI-San_SP'!$C:$AN,MID(AC$1,1,2),FALSE)</f>
        <v>0</v>
      </c>
      <c r="AD359" s="55">
        <f>VLOOKUP($E359,'NI-San_SP'!$C:$AN,MID(AD$1,1,2),FALSE)</f>
        <v>0</v>
      </c>
      <c r="AE359" s="55">
        <f>VLOOKUP($E359,'NI-San_SP'!$C:$AN,MID(AE$1,1,2),FALSE)</f>
        <v>0</v>
      </c>
      <c r="AF359" s="55">
        <f>VLOOKUP($E359,'NI-San_SP'!$C:$AN,MID(AF$1,1,2),FALSE)</f>
        <v>0</v>
      </c>
      <c r="AG359" s="55">
        <f>VLOOKUP($E359,'NI-San_SP'!$C:$AN,MID(AG$1,1,2),FALSE)</f>
        <v>0</v>
      </c>
      <c r="AH359" s="55">
        <f>VLOOKUP($E359,'NI-San_SP'!$C:$AN,MID(AH$1,1,2),FALSE)</f>
        <v>0</v>
      </c>
      <c r="AI359" s="55">
        <f>VLOOKUP($E359,'NI-San_SP'!$C:$AN,MID(AI$1,1,2),FALSE)</f>
        <v>0</v>
      </c>
      <c r="AJ359" s="55">
        <f>VLOOKUP($E359,'NI-San_SP'!$C:$AN,MID(AJ$1,1,2),FALSE)</f>
        <v>0</v>
      </c>
      <c r="AK359" s="55">
        <f>VLOOKUP($E359,'NI-San_SP'!$C:$AN,MID(AK$1,1,2),FALSE)</f>
        <v>0</v>
      </c>
      <c r="AL359" s="55">
        <f>VLOOKUP($E359,'NI-San_SP'!$C:$AN,MID(AL$1,1,2),FALSE)</f>
        <v>0</v>
      </c>
      <c r="AM359" s="56">
        <f>VLOOKUP($E359,'NI-San_SP'!$C:$AN,MID(AM$1,1,2),FALSE)</f>
        <v>0</v>
      </c>
      <c r="AN359" s="30" t="str">
        <f t="shared" si="5"/>
        <v>20102050010000</v>
      </c>
    </row>
    <row r="360" spans="3:40" x14ac:dyDescent="0.25">
      <c r="C360" s="40"/>
      <c r="D360" s="57" t="s">
        <v>1320</v>
      </c>
      <c r="E360" s="57" t="s">
        <v>1321</v>
      </c>
      <c r="F360" s="58" t="s">
        <v>110</v>
      </c>
      <c r="G360" s="52"/>
      <c r="H360" s="52"/>
      <c r="I360" s="52" t="s">
        <v>1318</v>
      </c>
      <c r="J360" s="52" t="s">
        <v>1318</v>
      </c>
      <c r="K360" s="59" t="s">
        <v>79</v>
      </c>
      <c r="L360" s="52"/>
      <c r="M360" s="52"/>
      <c r="N360" s="52"/>
      <c r="O360" s="61" t="s">
        <v>1296</v>
      </c>
      <c r="P360" s="63" t="s">
        <v>1322</v>
      </c>
      <c r="Q360" s="55">
        <f>VLOOKUP(E360,'NI-San_SP'!$C:$AN,12,FALSE)</f>
        <v>7053</v>
      </c>
      <c r="R360" s="55">
        <f>VLOOKUP(E360,'NI-San_SP'!$C:$AN,13,FALSE)</f>
        <v>883</v>
      </c>
      <c r="S360" s="55"/>
      <c r="T360" s="55"/>
      <c r="U360" s="55">
        <f>VLOOKUP($E360,'NI-San_SP'!$C:$AN,MID(U$1,1,2),FALSE)</f>
        <v>0</v>
      </c>
      <c r="V360" s="55">
        <f>VLOOKUP($E360,'NI-San_SP'!$C:$AN,MID(V$1,1,2),FALSE)</f>
        <v>7053</v>
      </c>
      <c r="W360" s="55">
        <f>VLOOKUP($E360,'NI-San_SP'!$C:$AN,MID(W$1,1,2),FALSE)</f>
        <v>0</v>
      </c>
      <c r="X360" s="55">
        <f>VLOOKUP($E360,'NI-San_SP'!$C:$AN,MID(X$1,1,2),FALSE)</f>
        <v>0</v>
      </c>
      <c r="Y360" s="55">
        <f>VLOOKUP($E360,'NI-San_SP'!$C:$AN,MID(Y$1,1,2),FALSE)</f>
        <v>72217</v>
      </c>
      <c r="Z360" s="55">
        <f>VLOOKUP($E360,'NI-San_SP'!$C:$AN,MID(Z$1,1,2),FALSE)</f>
        <v>0</v>
      </c>
      <c r="AA360" s="55">
        <f>VLOOKUP($E360,'NI-San_SP'!$C:$AN,MID(AA$1,1,2),FALSE)</f>
        <v>0</v>
      </c>
      <c r="AB360" s="55">
        <f>VLOOKUP($E360,'NI-San_SP'!$C:$AN,MID(AB$1,1,2),FALSE)</f>
        <v>0</v>
      </c>
      <c r="AC360" s="55">
        <f>VLOOKUP($E360,'NI-San_SP'!$C:$AN,MID(AC$1,1,2),FALSE)</f>
        <v>78387</v>
      </c>
      <c r="AD360" s="55">
        <f>VLOOKUP($E360,'NI-San_SP'!$C:$AN,MID(AD$1,1,2),FALSE)</f>
        <v>883</v>
      </c>
      <c r="AE360" s="55">
        <f>VLOOKUP($E360,'NI-San_SP'!$C:$AN,MID(AE$1,1,2),FALSE)</f>
        <v>0</v>
      </c>
      <c r="AF360" s="55">
        <f>VLOOKUP($E360,'NI-San_SP'!$C:$AN,MID(AF$1,1,2),FALSE)</f>
        <v>434</v>
      </c>
      <c r="AG360" s="55">
        <f>VLOOKUP($E360,'NI-San_SP'!$C:$AN,MID(AG$1,1,2),FALSE)</f>
        <v>0</v>
      </c>
      <c r="AH360" s="55">
        <f>VLOOKUP($E360,'NI-San_SP'!$C:$AN,MID(AH$1,1,2),FALSE)</f>
        <v>0</v>
      </c>
      <c r="AI360" s="55">
        <f>VLOOKUP($E360,'NI-San_SP'!$C:$AN,MID(AI$1,1,2),FALSE)</f>
        <v>0</v>
      </c>
      <c r="AJ360" s="55">
        <f>VLOOKUP($E360,'NI-San_SP'!$C:$AN,MID(AJ$1,1,2),FALSE)</f>
        <v>0</v>
      </c>
      <c r="AK360" s="55">
        <f>VLOOKUP($E360,'NI-San_SP'!$C:$AN,MID(AK$1,1,2),FALSE)</f>
        <v>0</v>
      </c>
      <c r="AL360" s="55">
        <f>VLOOKUP($E360,'NI-San_SP'!$C:$AN,MID(AL$1,1,2),FALSE)</f>
        <v>0</v>
      </c>
      <c r="AM360" s="56">
        <f>VLOOKUP($E360,'NI-San_SP'!$C:$AN,MID(AM$1,1,2),FALSE)</f>
        <v>0</v>
      </c>
      <c r="AN360" s="30" t="str">
        <f t="shared" si="5"/>
        <v>20102050020000</v>
      </c>
    </row>
    <row r="361" spans="3:40" x14ac:dyDescent="0.25">
      <c r="C361" s="40"/>
      <c r="D361" s="57" t="s">
        <v>1323</v>
      </c>
      <c r="E361" s="57" t="s">
        <v>1324</v>
      </c>
      <c r="F361" s="58" t="s">
        <v>110</v>
      </c>
      <c r="G361" s="52"/>
      <c r="H361" s="52"/>
      <c r="I361" s="52" t="s">
        <v>1318</v>
      </c>
      <c r="J361" s="52" t="s">
        <v>1318</v>
      </c>
      <c r="K361" s="59" t="s">
        <v>79</v>
      </c>
      <c r="L361" s="52"/>
      <c r="M361" s="52"/>
      <c r="N361" s="52"/>
      <c r="O361" s="61" t="s">
        <v>1296</v>
      </c>
      <c r="P361" s="63" t="s">
        <v>1325</v>
      </c>
      <c r="Q361" s="55">
        <f>VLOOKUP(E361,'NI-San_SP'!$C:$AN,12,FALSE)</f>
        <v>0</v>
      </c>
      <c r="R361" s="55">
        <f>VLOOKUP(E361,'NI-San_SP'!$C:$AN,13,FALSE)</f>
        <v>0</v>
      </c>
      <c r="S361" s="55"/>
      <c r="T361" s="55"/>
      <c r="U361" s="55">
        <f>VLOOKUP($E361,'NI-San_SP'!$C:$AN,MID(U$1,1,2),FALSE)</f>
        <v>0</v>
      </c>
      <c r="V361" s="55">
        <f>VLOOKUP($E361,'NI-San_SP'!$C:$AN,MID(V$1,1,2),FALSE)</f>
        <v>0</v>
      </c>
      <c r="W361" s="55">
        <f>VLOOKUP($E361,'NI-San_SP'!$C:$AN,MID(W$1,1,2),FALSE)</f>
        <v>0</v>
      </c>
      <c r="X361" s="55">
        <f>VLOOKUP($E361,'NI-San_SP'!$C:$AN,MID(X$1,1,2),FALSE)</f>
        <v>0</v>
      </c>
      <c r="Y361" s="55">
        <f>VLOOKUP($E361,'NI-San_SP'!$C:$AN,MID(Y$1,1,2),FALSE)</f>
        <v>16791</v>
      </c>
      <c r="Z361" s="55">
        <f>VLOOKUP($E361,'NI-San_SP'!$C:$AN,MID(Z$1,1,2),FALSE)</f>
        <v>0</v>
      </c>
      <c r="AA361" s="55">
        <f>VLOOKUP($E361,'NI-San_SP'!$C:$AN,MID(AA$1,1,2),FALSE)</f>
        <v>0</v>
      </c>
      <c r="AB361" s="55">
        <f>VLOOKUP($E361,'NI-San_SP'!$C:$AN,MID(AB$1,1,2),FALSE)</f>
        <v>0</v>
      </c>
      <c r="AC361" s="55">
        <f>VLOOKUP($E361,'NI-San_SP'!$C:$AN,MID(AC$1,1,2),FALSE)</f>
        <v>16791</v>
      </c>
      <c r="AD361" s="55">
        <f>VLOOKUP($E361,'NI-San_SP'!$C:$AN,MID(AD$1,1,2),FALSE)</f>
        <v>0</v>
      </c>
      <c r="AE361" s="55">
        <f>VLOOKUP($E361,'NI-San_SP'!$C:$AN,MID(AE$1,1,2),FALSE)</f>
        <v>0</v>
      </c>
      <c r="AF361" s="55">
        <f>VLOOKUP($E361,'NI-San_SP'!$C:$AN,MID(AF$1,1,2),FALSE)</f>
        <v>0</v>
      </c>
      <c r="AG361" s="55">
        <f>VLOOKUP($E361,'NI-San_SP'!$C:$AN,MID(AG$1,1,2),FALSE)</f>
        <v>0</v>
      </c>
      <c r="AH361" s="55">
        <f>VLOOKUP($E361,'NI-San_SP'!$C:$AN,MID(AH$1,1,2),FALSE)</f>
        <v>0</v>
      </c>
      <c r="AI361" s="55">
        <f>VLOOKUP($E361,'NI-San_SP'!$C:$AN,MID(AI$1,1,2),FALSE)</f>
        <v>0</v>
      </c>
      <c r="AJ361" s="55">
        <f>VLOOKUP($E361,'NI-San_SP'!$C:$AN,MID(AJ$1,1,2),FALSE)</f>
        <v>0</v>
      </c>
      <c r="AK361" s="55">
        <f>VLOOKUP($E361,'NI-San_SP'!$C:$AN,MID(AK$1,1,2),FALSE)</f>
        <v>0</v>
      </c>
      <c r="AL361" s="55">
        <f>VLOOKUP($E361,'NI-San_SP'!$C:$AN,MID(AL$1,1,2),FALSE)</f>
        <v>0</v>
      </c>
      <c r="AM361" s="56">
        <f>VLOOKUP($E361,'NI-San_SP'!$C:$AN,MID(AM$1,1,2),FALSE)</f>
        <v>0</v>
      </c>
      <c r="AN361" s="30" t="str">
        <f t="shared" si="5"/>
        <v>20102050030000</v>
      </c>
    </row>
    <row r="362" spans="3:40" x14ac:dyDescent="0.25">
      <c r="C362" s="40"/>
      <c r="D362" s="57" t="s">
        <v>1326</v>
      </c>
      <c r="E362" s="57" t="s">
        <v>1327</v>
      </c>
      <c r="F362" s="58" t="s">
        <v>110</v>
      </c>
      <c r="G362" s="52"/>
      <c r="H362" s="52"/>
      <c r="I362" s="52" t="s">
        <v>1318</v>
      </c>
      <c r="J362" s="52" t="s">
        <v>1318</v>
      </c>
      <c r="K362" s="59" t="s">
        <v>79</v>
      </c>
      <c r="L362" s="52"/>
      <c r="M362" s="52"/>
      <c r="N362" s="52"/>
      <c r="O362" s="61" t="s">
        <v>1296</v>
      </c>
      <c r="P362" s="63" t="s">
        <v>1328</v>
      </c>
      <c r="Q362" s="55">
        <f>VLOOKUP(E362,'NI-San_SP'!$C:$AN,12,FALSE)</f>
        <v>10422</v>
      </c>
      <c r="R362" s="55">
        <f>VLOOKUP(E362,'NI-San_SP'!$C:$AN,13,FALSE)</f>
        <v>21569</v>
      </c>
      <c r="S362" s="55"/>
      <c r="T362" s="55"/>
      <c r="U362" s="55">
        <f>VLOOKUP($E362,'NI-San_SP'!$C:$AN,MID(U$1,1,2),FALSE)</f>
        <v>0</v>
      </c>
      <c r="V362" s="55">
        <f>VLOOKUP($E362,'NI-San_SP'!$C:$AN,MID(V$1,1,2),FALSE)</f>
        <v>10422</v>
      </c>
      <c r="W362" s="55">
        <f>VLOOKUP($E362,'NI-San_SP'!$C:$AN,MID(W$1,1,2),FALSE)</f>
        <v>0</v>
      </c>
      <c r="X362" s="55">
        <f>VLOOKUP($E362,'NI-San_SP'!$C:$AN,MID(X$1,1,2),FALSE)</f>
        <v>0</v>
      </c>
      <c r="Y362" s="55">
        <f>VLOOKUP($E362,'NI-San_SP'!$C:$AN,MID(Y$1,1,2),FALSE)</f>
        <v>292880</v>
      </c>
      <c r="Z362" s="55">
        <f>VLOOKUP($E362,'NI-San_SP'!$C:$AN,MID(Z$1,1,2),FALSE)</f>
        <v>0</v>
      </c>
      <c r="AA362" s="55">
        <f>VLOOKUP($E362,'NI-San_SP'!$C:$AN,MID(AA$1,1,2),FALSE)</f>
        <v>0</v>
      </c>
      <c r="AB362" s="55">
        <f>VLOOKUP($E362,'NI-San_SP'!$C:$AN,MID(AB$1,1,2),FALSE)</f>
        <v>0</v>
      </c>
      <c r="AC362" s="55">
        <f>VLOOKUP($E362,'NI-San_SP'!$C:$AN,MID(AC$1,1,2),FALSE)</f>
        <v>281733</v>
      </c>
      <c r="AD362" s="55">
        <f>VLOOKUP($E362,'NI-San_SP'!$C:$AN,MID(AD$1,1,2),FALSE)</f>
        <v>21569</v>
      </c>
      <c r="AE362" s="55">
        <f>VLOOKUP($E362,'NI-San_SP'!$C:$AN,MID(AE$1,1,2),FALSE)</f>
        <v>0</v>
      </c>
      <c r="AF362" s="55">
        <f>VLOOKUP($E362,'NI-San_SP'!$C:$AN,MID(AF$1,1,2),FALSE)</f>
        <v>17594</v>
      </c>
      <c r="AG362" s="55">
        <f>VLOOKUP($E362,'NI-San_SP'!$C:$AN,MID(AG$1,1,2),FALSE)</f>
        <v>0</v>
      </c>
      <c r="AH362" s="55">
        <f>VLOOKUP($E362,'NI-San_SP'!$C:$AN,MID(AH$1,1,2),FALSE)</f>
        <v>0</v>
      </c>
      <c r="AI362" s="55">
        <f>VLOOKUP($E362,'NI-San_SP'!$C:$AN,MID(AI$1,1,2),FALSE)</f>
        <v>0</v>
      </c>
      <c r="AJ362" s="55">
        <f>VLOOKUP($E362,'NI-San_SP'!$C:$AN,MID(AJ$1,1,2),FALSE)</f>
        <v>0</v>
      </c>
      <c r="AK362" s="55">
        <f>VLOOKUP($E362,'NI-San_SP'!$C:$AN,MID(AK$1,1,2),FALSE)</f>
        <v>0</v>
      </c>
      <c r="AL362" s="55">
        <f>VLOOKUP($E362,'NI-San_SP'!$C:$AN,MID(AL$1,1,2),FALSE)</f>
        <v>0</v>
      </c>
      <c r="AM362" s="56">
        <f>VLOOKUP($E362,'NI-San_SP'!$C:$AN,MID(AM$1,1,2),FALSE)</f>
        <v>0</v>
      </c>
      <c r="AN362" s="30" t="str">
        <f t="shared" si="5"/>
        <v>20102050040000</v>
      </c>
    </row>
    <row r="363" spans="3:40" x14ac:dyDescent="0.25">
      <c r="C363" s="40"/>
      <c r="D363" s="57" t="s">
        <v>1329</v>
      </c>
      <c r="E363" s="57" t="s">
        <v>1330</v>
      </c>
      <c r="F363" s="58" t="s">
        <v>110</v>
      </c>
      <c r="G363" s="52"/>
      <c r="H363" s="52"/>
      <c r="I363" s="52" t="s">
        <v>1318</v>
      </c>
      <c r="J363" s="52" t="s">
        <v>1318</v>
      </c>
      <c r="K363" s="59" t="s">
        <v>79</v>
      </c>
      <c r="L363" s="52"/>
      <c r="M363" s="52"/>
      <c r="N363" s="52"/>
      <c r="O363" s="61" t="s">
        <v>1296</v>
      </c>
      <c r="P363" s="63" t="s">
        <v>1331</v>
      </c>
      <c r="Q363" s="55">
        <f>VLOOKUP(E363,'NI-San_SP'!$C:$AN,12,FALSE)</f>
        <v>0</v>
      </c>
      <c r="R363" s="55">
        <f>VLOOKUP(E363,'NI-San_SP'!$C:$AN,13,FALSE)</f>
        <v>0</v>
      </c>
      <c r="S363" s="55"/>
      <c r="T363" s="55"/>
      <c r="U363" s="55">
        <f>VLOOKUP($E363,'NI-San_SP'!$C:$AN,MID(U$1,1,2),FALSE)</f>
        <v>0</v>
      </c>
      <c r="V363" s="55">
        <f>VLOOKUP($E363,'NI-San_SP'!$C:$AN,MID(V$1,1,2),FALSE)</f>
        <v>0</v>
      </c>
      <c r="W363" s="55">
        <f>VLOOKUP($E363,'NI-San_SP'!$C:$AN,MID(W$1,1,2),FALSE)</f>
        <v>0</v>
      </c>
      <c r="X363" s="55">
        <f>VLOOKUP($E363,'NI-San_SP'!$C:$AN,MID(X$1,1,2),FALSE)</f>
        <v>0</v>
      </c>
      <c r="Y363" s="55">
        <f>VLOOKUP($E363,'NI-San_SP'!$C:$AN,MID(Y$1,1,2),FALSE)</f>
        <v>0</v>
      </c>
      <c r="Z363" s="55">
        <f>VLOOKUP($E363,'NI-San_SP'!$C:$AN,MID(Z$1,1,2),FALSE)</f>
        <v>0</v>
      </c>
      <c r="AA363" s="55">
        <f>VLOOKUP($E363,'NI-San_SP'!$C:$AN,MID(AA$1,1,2),FALSE)</f>
        <v>0</v>
      </c>
      <c r="AB363" s="55">
        <f>VLOOKUP($E363,'NI-San_SP'!$C:$AN,MID(AB$1,1,2),FALSE)</f>
        <v>0</v>
      </c>
      <c r="AC363" s="55">
        <f>VLOOKUP($E363,'NI-San_SP'!$C:$AN,MID(AC$1,1,2),FALSE)</f>
        <v>0</v>
      </c>
      <c r="AD363" s="55">
        <f>VLOOKUP($E363,'NI-San_SP'!$C:$AN,MID(AD$1,1,2),FALSE)</f>
        <v>0</v>
      </c>
      <c r="AE363" s="55">
        <f>VLOOKUP($E363,'NI-San_SP'!$C:$AN,MID(AE$1,1,2),FALSE)</f>
        <v>0</v>
      </c>
      <c r="AF363" s="55">
        <f>VLOOKUP($E363,'NI-San_SP'!$C:$AN,MID(AF$1,1,2),FALSE)</f>
        <v>0</v>
      </c>
      <c r="AG363" s="55">
        <f>VLOOKUP($E363,'NI-San_SP'!$C:$AN,MID(AG$1,1,2),FALSE)</f>
        <v>0</v>
      </c>
      <c r="AH363" s="55">
        <f>VLOOKUP($E363,'NI-San_SP'!$C:$AN,MID(AH$1,1,2),FALSE)</f>
        <v>0</v>
      </c>
      <c r="AI363" s="55">
        <f>VLOOKUP($E363,'NI-San_SP'!$C:$AN,MID(AI$1,1,2),FALSE)</f>
        <v>0</v>
      </c>
      <c r="AJ363" s="55">
        <f>VLOOKUP($E363,'NI-San_SP'!$C:$AN,MID(AJ$1,1,2),FALSE)</f>
        <v>0</v>
      </c>
      <c r="AK363" s="55">
        <f>VLOOKUP($E363,'NI-San_SP'!$C:$AN,MID(AK$1,1,2),FALSE)</f>
        <v>0</v>
      </c>
      <c r="AL363" s="55">
        <f>VLOOKUP($E363,'NI-San_SP'!$C:$AN,MID(AL$1,1,2),FALSE)</f>
        <v>0</v>
      </c>
      <c r="AM363" s="56">
        <f>VLOOKUP($E363,'NI-San_SP'!$C:$AN,MID(AM$1,1,2),FALSE)</f>
        <v>0</v>
      </c>
      <c r="AN363" s="30" t="str">
        <f t="shared" si="5"/>
        <v>20102050050000</v>
      </c>
    </row>
    <row r="364" spans="3:40" x14ac:dyDescent="0.25">
      <c r="C364" s="40"/>
      <c r="D364" s="57" t="s">
        <v>1332</v>
      </c>
      <c r="E364" s="57" t="s">
        <v>1333</v>
      </c>
      <c r="F364" s="58" t="s">
        <v>110</v>
      </c>
      <c r="G364" s="52"/>
      <c r="H364" s="52"/>
      <c r="I364" s="52" t="s">
        <v>1318</v>
      </c>
      <c r="J364" s="52" t="s">
        <v>1318</v>
      </c>
      <c r="K364" s="59" t="s">
        <v>79</v>
      </c>
      <c r="L364" s="52"/>
      <c r="M364" s="52"/>
      <c r="N364" s="52"/>
      <c r="O364" s="61" t="s">
        <v>1296</v>
      </c>
      <c r="P364" s="63" t="s">
        <v>1334</v>
      </c>
      <c r="Q364" s="55">
        <f>VLOOKUP(E364,'NI-San_SP'!$C:$AN,12,FALSE)</f>
        <v>0</v>
      </c>
      <c r="R364" s="55">
        <f>VLOOKUP(E364,'NI-San_SP'!$C:$AN,13,FALSE)</f>
        <v>0</v>
      </c>
      <c r="S364" s="55"/>
      <c r="T364" s="55"/>
      <c r="U364" s="55">
        <f>VLOOKUP($E364,'NI-San_SP'!$C:$AN,MID(U$1,1,2),FALSE)</f>
        <v>0</v>
      </c>
      <c r="V364" s="55">
        <f>VLOOKUP($E364,'NI-San_SP'!$C:$AN,MID(V$1,1,2),FALSE)</f>
        <v>0</v>
      </c>
      <c r="W364" s="55">
        <f>VLOOKUP($E364,'NI-San_SP'!$C:$AN,MID(W$1,1,2),FALSE)</f>
        <v>0</v>
      </c>
      <c r="X364" s="55">
        <f>VLOOKUP($E364,'NI-San_SP'!$C:$AN,MID(X$1,1,2),FALSE)</f>
        <v>0</v>
      </c>
      <c r="Y364" s="55">
        <f>VLOOKUP($E364,'NI-San_SP'!$C:$AN,MID(Y$1,1,2),FALSE)</f>
        <v>41171</v>
      </c>
      <c r="Z364" s="55">
        <f>VLOOKUP($E364,'NI-San_SP'!$C:$AN,MID(Z$1,1,2),FALSE)</f>
        <v>0</v>
      </c>
      <c r="AA364" s="55">
        <f>VLOOKUP($E364,'NI-San_SP'!$C:$AN,MID(AA$1,1,2),FALSE)</f>
        <v>0</v>
      </c>
      <c r="AB364" s="55">
        <f>VLOOKUP($E364,'NI-San_SP'!$C:$AN,MID(AB$1,1,2),FALSE)</f>
        <v>0</v>
      </c>
      <c r="AC364" s="55">
        <f>VLOOKUP($E364,'NI-San_SP'!$C:$AN,MID(AC$1,1,2),FALSE)</f>
        <v>41171</v>
      </c>
      <c r="AD364" s="55">
        <f>VLOOKUP($E364,'NI-San_SP'!$C:$AN,MID(AD$1,1,2),FALSE)</f>
        <v>0</v>
      </c>
      <c r="AE364" s="55">
        <f>VLOOKUP($E364,'NI-San_SP'!$C:$AN,MID(AE$1,1,2),FALSE)</f>
        <v>0</v>
      </c>
      <c r="AF364" s="55">
        <f>VLOOKUP($E364,'NI-San_SP'!$C:$AN,MID(AF$1,1,2),FALSE)</f>
        <v>0</v>
      </c>
      <c r="AG364" s="55">
        <f>VLOOKUP($E364,'NI-San_SP'!$C:$AN,MID(AG$1,1,2),FALSE)</f>
        <v>0</v>
      </c>
      <c r="AH364" s="55">
        <f>VLOOKUP($E364,'NI-San_SP'!$C:$AN,MID(AH$1,1,2),FALSE)</f>
        <v>0</v>
      </c>
      <c r="AI364" s="55">
        <f>VLOOKUP($E364,'NI-San_SP'!$C:$AN,MID(AI$1,1,2),FALSE)</f>
        <v>0</v>
      </c>
      <c r="AJ364" s="55">
        <f>VLOOKUP($E364,'NI-San_SP'!$C:$AN,MID(AJ$1,1,2),FALSE)</f>
        <v>0</v>
      </c>
      <c r="AK364" s="55">
        <f>VLOOKUP($E364,'NI-San_SP'!$C:$AN,MID(AK$1,1,2),FALSE)</f>
        <v>0</v>
      </c>
      <c r="AL364" s="55">
        <f>VLOOKUP($E364,'NI-San_SP'!$C:$AN,MID(AL$1,1,2),FALSE)</f>
        <v>0</v>
      </c>
      <c r="AM364" s="56">
        <f>VLOOKUP($E364,'NI-San_SP'!$C:$AN,MID(AM$1,1,2),FALSE)</f>
        <v>0</v>
      </c>
      <c r="AN364" s="30" t="str">
        <f t="shared" si="5"/>
        <v>20102050060000</v>
      </c>
    </row>
    <row r="365" spans="3:40" x14ac:dyDescent="0.25">
      <c r="C365" s="40"/>
      <c r="D365" s="57" t="s">
        <v>1335</v>
      </c>
      <c r="E365" s="57" t="s">
        <v>1336</v>
      </c>
      <c r="F365" s="58" t="s">
        <v>110</v>
      </c>
      <c r="G365" s="52"/>
      <c r="H365" s="52"/>
      <c r="I365" s="52" t="s">
        <v>1337</v>
      </c>
      <c r="J365" s="52" t="s">
        <v>1337</v>
      </c>
      <c r="K365" s="59" t="s">
        <v>79</v>
      </c>
      <c r="L365" s="52"/>
      <c r="M365" s="52"/>
      <c r="N365" s="52"/>
      <c r="O365" s="61" t="s">
        <v>1296</v>
      </c>
      <c r="P365" s="63" t="s">
        <v>1338</v>
      </c>
      <c r="Q365" s="55">
        <f>VLOOKUP(E365,'NI-San_SP'!$C:$AN,12,FALSE)</f>
        <v>1879</v>
      </c>
      <c r="R365" s="55">
        <f>VLOOKUP(E365,'NI-San_SP'!$C:$AN,13,FALSE)</f>
        <v>1909</v>
      </c>
      <c r="S365" s="55"/>
      <c r="T365" s="55"/>
      <c r="U365" s="55">
        <f>VLOOKUP($E365,'NI-San_SP'!$C:$AN,MID(U$1,1,2),FALSE)</f>
        <v>0</v>
      </c>
      <c r="V365" s="55">
        <f>VLOOKUP($E365,'NI-San_SP'!$C:$AN,MID(V$1,1,2),FALSE)</f>
        <v>1879</v>
      </c>
      <c r="W365" s="55">
        <f>VLOOKUP($E365,'NI-San_SP'!$C:$AN,MID(W$1,1,2),FALSE)</f>
        <v>0</v>
      </c>
      <c r="X365" s="55">
        <f>VLOOKUP($E365,'NI-San_SP'!$C:$AN,MID(X$1,1,2),FALSE)</f>
        <v>0</v>
      </c>
      <c r="Y365" s="55">
        <f>VLOOKUP($E365,'NI-San_SP'!$C:$AN,MID(Y$1,1,2),FALSE)</f>
        <v>31612</v>
      </c>
      <c r="Z365" s="55">
        <f>VLOOKUP($E365,'NI-San_SP'!$C:$AN,MID(Z$1,1,2),FALSE)</f>
        <v>0</v>
      </c>
      <c r="AA365" s="55">
        <f>VLOOKUP($E365,'NI-San_SP'!$C:$AN,MID(AA$1,1,2),FALSE)</f>
        <v>0</v>
      </c>
      <c r="AB365" s="55">
        <f>VLOOKUP($E365,'NI-San_SP'!$C:$AN,MID(AB$1,1,2),FALSE)</f>
        <v>0</v>
      </c>
      <c r="AC365" s="55">
        <f>VLOOKUP($E365,'NI-San_SP'!$C:$AN,MID(AC$1,1,2),FALSE)</f>
        <v>31582</v>
      </c>
      <c r="AD365" s="55">
        <f>VLOOKUP($E365,'NI-San_SP'!$C:$AN,MID(AD$1,1,2),FALSE)</f>
        <v>1909</v>
      </c>
      <c r="AE365" s="55">
        <f>VLOOKUP($E365,'NI-San_SP'!$C:$AN,MID(AE$1,1,2),FALSE)</f>
        <v>0</v>
      </c>
      <c r="AF365" s="55">
        <f>VLOOKUP($E365,'NI-San_SP'!$C:$AN,MID(AF$1,1,2),FALSE)</f>
        <v>642</v>
      </c>
      <c r="AG365" s="55">
        <f>VLOOKUP($E365,'NI-San_SP'!$C:$AN,MID(AG$1,1,2),FALSE)</f>
        <v>0</v>
      </c>
      <c r="AH365" s="55">
        <f>VLOOKUP($E365,'NI-San_SP'!$C:$AN,MID(AH$1,1,2),FALSE)</f>
        <v>0</v>
      </c>
      <c r="AI365" s="55">
        <f>VLOOKUP($E365,'NI-San_SP'!$C:$AN,MID(AI$1,1,2),FALSE)</f>
        <v>0</v>
      </c>
      <c r="AJ365" s="55">
        <f>VLOOKUP($E365,'NI-San_SP'!$C:$AN,MID(AJ$1,1,2),FALSE)</f>
        <v>0</v>
      </c>
      <c r="AK365" s="55">
        <f>VLOOKUP($E365,'NI-San_SP'!$C:$AN,MID(AK$1,1,2),FALSE)</f>
        <v>0</v>
      </c>
      <c r="AL365" s="55">
        <f>VLOOKUP($E365,'NI-San_SP'!$C:$AN,MID(AL$1,1,2),FALSE)</f>
        <v>0</v>
      </c>
      <c r="AM365" s="56">
        <f>VLOOKUP($E365,'NI-San_SP'!$C:$AN,MID(AM$1,1,2),FALSE)</f>
        <v>0</v>
      </c>
      <c r="AN365" s="30" t="str">
        <f t="shared" si="5"/>
        <v>20102060010000</v>
      </c>
    </row>
    <row r="366" spans="3:40" x14ac:dyDescent="0.25">
      <c r="C366" s="40"/>
      <c r="D366" s="57" t="s">
        <v>1339</v>
      </c>
      <c r="E366" s="57" t="s">
        <v>1340</v>
      </c>
      <c r="F366" s="58" t="s">
        <v>110</v>
      </c>
      <c r="G366" s="52"/>
      <c r="H366" s="52"/>
      <c r="I366" s="52" t="s">
        <v>1337</v>
      </c>
      <c r="J366" s="52" t="s">
        <v>1337</v>
      </c>
      <c r="K366" s="59" t="s">
        <v>79</v>
      </c>
      <c r="L366" s="52"/>
      <c r="M366" s="52"/>
      <c r="N366" s="52"/>
      <c r="O366" s="61" t="s">
        <v>1296</v>
      </c>
      <c r="P366" s="63" t="s">
        <v>1341</v>
      </c>
      <c r="Q366" s="55">
        <f>VLOOKUP(E366,'NI-San_SP'!$C:$AN,12,FALSE)</f>
        <v>0</v>
      </c>
      <c r="R366" s="55">
        <f>VLOOKUP(E366,'NI-San_SP'!$C:$AN,13,FALSE)</f>
        <v>0</v>
      </c>
      <c r="S366" s="55"/>
      <c r="T366" s="55"/>
      <c r="U366" s="55">
        <f>VLOOKUP($E366,'NI-San_SP'!$C:$AN,MID(U$1,1,2),FALSE)</f>
        <v>0</v>
      </c>
      <c r="V366" s="55">
        <f>VLOOKUP($E366,'NI-San_SP'!$C:$AN,MID(V$1,1,2),FALSE)</f>
        <v>0</v>
      </c>
      <c r="W366" s="55">
        <f>VLOOKUP($E366,'NI-San_SP'!$C:$AN,MID(W$1,1,2),FALSE)</f>
        <v>0</v>
      </c>
      <c r="X366" s="55">
        <f>VLOOKUP($E366,'NI-San_SP'!$C:$AN,MID(X$1,1,2),FALSE)</f>
        <v>0</v>
      </c>
      <c r="Y366" s="55">
        <f>VLOOKUP($E366,'NI-San_SP'!$C:$AN,MID(Y$1,1,2),FALSE)</f>
        <v>0</v>
      </c>
      <c r="Z366" s="55">
        <f>VLOOKUP($E366,'NI-San_SP'!$C:$AN,MID(Z$1,1,2),FALSE)</f>
        <v>0</v>
      </c>
      <c r="AA366" s="55">
        <f>VLOOKUP($E366,'NI-San_SP'!$C:$AN,MID(AA$1,1,2),FALSE)</f>
        <v>0</v>
      </c>
      <c r="AB366" s="55">
        <f>VLOOKUP($E366,'NI-San_SP'!$C:$AN,MID(AB$1,1,2),FALSE)</f>
        <v>0</v>
      </c>
      <c r="AC366" s="55">
        <f>VLOOKUP($E366,'NI-San_SP'!$C:$AN,MID(AC$1,1,2),FALSE)</f>
        <v>0</v>
      </c>
      <c r="AD366" s="55">
        <f>VLOOKUP($E366,'NI-San_SP'!$C:$AN,MID(AD$1,1,2),FALSE)</f>
        <v>0</v>
      </c>
      <c r="AE366" s="55">
        <f>VLOOKUP($E366,'NI-San_SP'!$C:$AN,MID(AE$1,1,2),FALSE)</f>
        <v>0</v>
      </c>
      <c r="AF366" s="55">
        <f>VLOOKUP($E366,'NI-San_SP'!$C:$AN,MID(AF$1,1,2),FALSE)</f>
        <v>0</v>
      </c>
      <c r="AG366" s="55">
        <f>VLOOKUP($E366,'NI-San_SP'!$C:$AN,MID(AG$1,1,2),FALSE)</f>
        <v>0</v>
      </c>
      <c r="AH366" s="55">
        <f>VLOOKUP($E366,'NI-San_SP'!$C:$AN,MID(AH$1,1,2),FALSE)</f>
        <v>0</v>
      </c>
      <c r="AI366" s="55">
        <f>VLOOKUP($E366,'NI-San_SP'!$C:$AN,MID(AI$1,1,2),FALSE)</f>
        <v>0</v>
      </c>
      <c r="AJ366" s="55">
        <f>VLOOKUP($E366,'NI-San_SP'!$C:$AN,MID(AJ$1,1,2),FALSE)</f>
        <v>0</v>
      </c>
      <c r="AK366" s="55">
        <f>VLOOKUP($E366,'NI-San_SP'!$C:$AN,MID(AK$1,1,2),FALSE)</f>
        <v>0</v>
      </c>
      <c r="AL366" s="55">
        <f>VLOOKUP($E366,'NI-San_SP'!$C:$AN,MID(AL$1,1,2),FALSE)</f>
        <v>0</v>
      </c>
      <c r="AM366" s="56">
        <f>VLOOKUP($E366,'NI-San_SP'!$C:$AN,MID(AM$1,1,2),FALSE)</f>
        <v>0</v>
      </c>
      <c r="AN366" s="30" t="str">
        <f t="shared" si="5"/>
        <v>20102060020000</v>
      </c>
    </row>
    <row r="367" spans="3:40" x14ac:dyDescent="0.25">
      <c r="C367" s="40"/>
      <c r="D367" s="57" t="s">
        <v>1342</v>
      </c>
      <c r="E367" s="57" t="s">
        <v>1343</v>
      </c>
      <c r="F367" s="58" t="s">
        <v>110</v>
      </c>
      <c r="G367" s="52"/>
      <c r="H367" s="52"/>
      <c r="I367" s="52" t="s">
        <v>1344</v>
      </c>
      <c r="J367" s="52" t="s">
        <v>1344</v>
      </c>
      <c r="K367" s="59" t="s">
        <v>79</v>
      </c>
      <c r="L367" s="62" t="s">
        <v>1345</v>
      </c>
      <c r="M367" s="52"/>
      <c r="N367" s="52"/>
      <c r="O367" s="61" t="s">
        <v>1346</v>
      </c>
      <c r="P367" s="60" t="s">
        <v>1347</v>
      </c>
      <c r="Q367" s="55">
        <f>VLOOKUP(E367,'NI-San_SP'!$C:$AN,12,FALSE)</f>
        <v>0</v>
      </c>
      <c r="R367" s="55">
        <f>VLOOKUP(E367,'NI-San_SP'!$C:$AN,13,FALSE)</f>
        <v>0</v>
      </c>
      <c r="S367" s="55"/>
      <c r="T367" s="55"/>
      <c r="U367" s="55">
        <f>VLOOKUP($E367,'NI-San_SP'!$C:$AN,MID(U$1,1,2),FALSE)</f>
        <v>0</v>
      </c>
      <c r="V367" s="55">
        <f>VLOOKUP($E367,'NI-San_SP'!$C:$AN,MID(V$1,1,2),FALSE)</f>
        <v>0</v>
      </c>
      <c r="W367" s="55">
        <f>VLOOKUP($E367,'NI-San_SP'!$C:$AN,MID(W$1,1,2),FALSE)</f>
        <v>0</v>
      </c>
      <c r="X367" s="55">
        <f>VLOOKUP($E367,'NI-San_SP'!$C:$AN,MID(X$1,1,2),FALSE)</f>
        <v>0</v>
      </c>
      <c r="Y367" s="55">
        <f>VLOOKUP($E367,'NI-San_SP'!$C:$AN,MID(Y$1,1,2),FALSE)</f>
        <v>0</v>
      </c>
      <c r="Z367" s="55">
        <f>VLOOKUP($E367,'NI-San_SP'!$C:$AN,MID(Z$1,1,2),FALSE)</f>
        <v>0</v>
      </c>
      <c r="AA367" s="55">
        <f>VLOOKUP($E367,'NI-San_SP'!$C:$AN,MID(AA$1,1,2),FALSE)</f>
        <v>0</v>
      </c>
      <c r="AB367" s="55">
        <f>VLOOKUP($E367,'NI-San_SP'!$C:$AN,MID(AB$1,1,2),FALSE)</f>
        <v>0</v>
      </c>
      <c r="AC367" s="55">
        <f>VLOOKUP($E367,'NI-San_SP'!$C:$AN,MID(AC$1,1,2),FALSE)</f>
        <v>0</v>
      </c>
      <c r="AD367" s="55">
        <f>VLOOKUP($E367,'NI-San_SP'!$C:$AN,MID(AD$1,1,2),FALSE)</f>
        <v>0</v>
      </c>
      <c r="AE367" s="55">
        <f>VLOOKUP($E367,'NI-San_SP'!$C:$AN,MID(AE$1,1,2),FALSE)</f>
        <v>0</v>
      </c>
      <c r="AF367" s="55">
        <f>VLOOKUP($E367,'NI-San_SP'!$C:$AN,MID(AF$1,1,2),FALSE)</f>
        <v>0</v>
      </c>
      <c r="AG367" s="55">
        <f>VLOOKUP($E367,'NI-San_SP'!$C:$AN,MID(AG$1,1,2),FALSE)</f>
        <v>0</v>
      </c>
      <c r="AH367" s="55">
        <f>VLOOKUP($E367,'NI-San_SP'!$C:$AN,MID(AH$1,1,2),FALSE)</f>
        <v>0</v>
      </c>
      <c r="AI367" s="55">
        <f>VLOOKUP($E367,'NI-San_SP'!$C:$AN,MID(AI$1,1,2),FALSE)</f>
        <v>0</v>
      </c>
      <c r="AJ367" s="55">
        <f>VLOOKUP($E367,'NI-San_SP'!$C:$AN,MID(AJ$1,1,2),FALSE)</f>
        <v>0</v>
      </c>
      <c r="AK367" s="55">
        <f>VLOOKUP($E367,'NI-San_SP'!$C:$AN,MID(AK$1,1,2),FALSE)</f>
        <v>0</v>
      </c>
      <c r="AL367" s="55">
        <f>VLOOKUP($E367,'NI-San_SP'!$C:$AN,MID(AL$1,1,2),FALSE)</f>
        <v>0</v>
      </c>
      <c r="AM367" s="56">
        <f>VLOOKUP($E367,'NI-San_SP'!$C:$AN,MID(AM$1,1,2),FALSE)</f>
        <v>0</v>
      </c>
      <c r="AN367" s="30" t="str">
        <f t="shared" si="5"/>
        <v>20102070000000</v>
      </c>
    </row>
    <row r="368" spans="3:40" x14ac:dyDescent="0.25">
      <c r="C368" s="40"/>
      <c r="D368" s="57" t="s">
        <v>1348</v>
      </c>
      <c r="E368" s="57" t="s">
        <v>1349</v>
      </c>
      <c r="F368" s="58" t="s">
        <v>110</v>
      </c>
      <c r="G368" s="52"/>
      <c r="H368" s="52"/>
      <c r="I368" s="52"/>
      <c r="J368" s="52"/>
      <c r="K368" s="59" t="s">
        <v>111</v>
      </c>
      <c r="L368" s="52"/>
      <c r="M368" s="52"/>
      <c r="N368" s="52"/>
      <c r="O368" s="52"/>
      <c r="P368" s="60" t="s">
        <v>1350</v>
      </c>
      <c r="Q368" s="55">
        <f>VLOOKUP(E368,'NI-San_SP'!$C:$AN,12,FALSE)</f>
        <v>77775738</v>
      </c>
      <c r="R368" s="55">
        <f>VLOOKUP(E368,'NI-San_SP'!$C:$AN,13,FALSE)</f>
        <v>104377979</v>
      </c>
      <c r="S368" s="55">
        <f>VLOOKUP(E368,'NI-San_SP'!$C:$AN,31,FALSE)</f>
        <v>0</v>
      </c>
      <c r="T368" s="55">
        <f>VLOOKUP(E368,'NI-San_SP'!$C:$AN,32,FALSE)+VLOOKUP(E368,'NI-San_SP'!$C:$AN,33,FALSE)</f>
        <v>0</v>
      </c>
      <c r="U368" s="55">
        <f>VLOOKUP($E368,'NI-San_SP'!$C:$AN,MID(U$1,1,2),FALSE)</f>
        <v>0</v>
      </c>
      <c r="V368" s="55">
        <f>VLOOKUP($E368,'NI-San_SP'!$C:$AN,MID(V$1,1,2),FALSE)</f>
        <v>0</v>
      </c>
      <c r="W368" s="55">
        <f>VLOOKUP($E368,'NI-San_SP'!$C:$AN,MID(W$1,1,2),FALSE)</f>
        <v>0</v>
      </c>
      <c r="X368" s="55">
        <f>VLOOKUP($E368,'NI-San_SP'!$C:$AN,MID(X$1,1,2),FALSE)</f>
        <v>0</v>
      </c>
      <c r="Y368" s="55">
        <f>VLOOKUP($E368,'NI-San_SP'!$C:$AN,MID(Y$1,1,2),FALSE)</f>
        <v>0</v>
      </c>
      <c r="Z368" s="55">
        <f>VLOOKUP($E368,'NI-San_SP'!$C:$AN,MID(Z$1,1,2),FALSE)</f>
        <v>0</v>
      </c>
      <c r="AA368" s="55">
        <f>VLOOKUP($E368,'NI-San_SP'!$C:$AN,MID(AA$1,1,2),FALSE)</f>
        <v>0</v>
      </c>
      <c r="AB368" s="55">
        <f>VLOOKUP($E368,'NI-San_SP'!$C:$AN,MID(AB$1,1,2),FALSE)</f>
        <v>0</v>
      </c>
      <c r="AC368" s="55">
        <f>VLOOKUP($E368,'NI-San_SP'!$C:$AN,MID(AC$1,1,2),FALSE)</f>
        <v>0</v>
      </c>
      <c r="AD368" s="55">
        <f>VLOOKUP($E368,'NI-San_SP'!$C:$AN,MID(AD$1,1,2),FALSE)</f>
        <v>0</v>
      </c>
      <c r="AE368" s="55">
        <f>VLOOKUP($E368,'NI-San_SP'!$C:$AN,MID(AE$1,1,2),FALSE)</f>
        <v>0</v>
      </c>
      <c r="AF368" s="55">
        <f>VLOOKUP($E368,'NI-San_SP'!$C:$AN,MID(AF$1,1,2),FALSE)</f>
        <v>0</v>
      </c>
      <c r="AG368" s="55">
        <f>VLOOKUP($E368,'NI-San_SP'!$C:$AN,MID(AG$1,1,2),FALSE)</f>
        <v>0</v>
      </c>
      <c r="AH368" s="55">
        <f>VLOOKUP($E368,'NI-San_SP'!$C:$AN,MID(AH$1,1,2),FALSE)</f>
        <v>0</v>
      </c>
      <c r="AI368" s="55">
        <f>VLOOKUP($E368,'NI-San_SP'!$C:$AN,MID(AI$1,1,2),FALSE)</f>
        <v>0</v>
      </c>
      <c r="AJ368" s="55">
        <f>VLOOKUP($E368,'NI-San_SP'!$C:$AN,MID(AJ$1,1,2),FALSE)</f>
        <v>0</v>
      </c>
      <c r="AK368" s="55">
        <f>VLOOKUP($E368,'NI-San_SP'!$C:$AN,MID(AK$1,1,2),FALSE)</f>
        <v>0</v>
      </c>
      <c r="AL368" s="55">
        <f>VLOOKUP($E368,'NI-San_SP'!$C:$AN,MID(AL$1,1,2),FALSE)</f>
        <v>0</v>
      </c>
      <c r="AM368" s="56">
        <f>VLOOKUP($E368,'NI-San_SP'!$C:$AN,MID(AM$1,1,2),FALSE)</f>
        <v>0</v>
      </c>
      <c r="AN368" s="30" t="str">
        <f t="shared" si="5"/>
        <v>20200000000000</v>
      </c>
    </row>
    <row r="369" spans="1:40" x14ac:dyDescent="0.25">
      <c r="C369" s="40"/>
      <c r="D369" s="57" t="s">
        <v>1351</v>
      </c>
      <c r="E369" s="57" t="s">
        <v>1352</v>
      </c>
      <c r="F369" s="58" t="s">
        <v>110</v>
      </c>
      <c r="G369" s="52"/>
      <c r="H369" s="52"/>
      <c r="I369" s="65"/>
      <c r="J369" s="52"/>
      <c r="K369" s="59" t="s">
        <v>111</v>
      </c>
      <c r="L369" s="52"/>
      <c r="M369" s="52"/>
      <c r="N369" s="52"/>
      <c r="O369" s="52"/>
      <c r="P369" s="54" t="s">
        <v>1353</v>
      </c>
      <c r="Q369" s="55">
        <f>VLOOKUP(E369,'NI-San_SP'!$C:$AN,12,FALSE)</f>
        <v>328223</v>
      </c>
      <c r="R369" s="55">
        <f>VLOOKUP(E369,'NI-San_SP'!$C:$AN,13,FALSE)</f>
        <v>13930888</v>
      </c>
      <c r="S369" s="55">
        <f>VLOOKUP(E369,'NI-San_SP'!$C:$AN,31,FALSE)</f>
        <v>0</v>
      </c>
      <c r="T369" s="55">
        <f>VLOOKUP(E369,'NI-San_SP'!$C:$AN,32,FALSE)+VLOOKUP(E369,'NI-San_SP'!$C:$AN,33,FALSE)</f>
        <v>1902</v>
      </c>
      <c r="U369" s="55">
        <f>VLOOKUP($E369,'NI-San_SP'!$C:$AN,MID(U$1,1,2),FALSE)</f>
        <v>0</v>
      </c>
      <c r="V369" s="55">
        <f>VLOOKUP($E369,'NI-San_SP'!$C:$AN,MID(V$1,1,2),FALSE)</f>
        <v>328223</v>
      </c>
      <c r="W369" s="55">
        <f>VLOOKUP($E369,'NI-San_SP'!$C:$AN,MID(W$1,1,2),FALSE)</f>
        <v>0</v>
      </c>
      <c r="X369" s="55">
        <f>VLOOKUP($E369,'NI-San_SP'!$C:$AN,MID(X$1,1,2),FALSE)</f>
        <v>0</v>
      </c>
      <c r="Y369" s="55">
        <f>VLOOKUP($E369,'NI-San_SP'!$C:$AN,MID(Y$1,1,2),FALSE)</f>
        <v>13612612</v>
      </c>
      <c r="Z369" s="55">
        <f>VLOOKUP($E369,'NI-San_SP'!$C:$AN,MID(Z$1,1,2),FALSE)</f>
        <v>240</v>
      </c>
      <c r="AA369" s="55">
        <f>VLOOKUP($E369,'NI-San_SP'!$C:$AN,MID(AA$1,1,2),FALSE)</f>
        <v>0</v>
      </c>
      <c r="AB369" s="55">
        <f>VLOOKUP($E369,'NI-San_SP'!$C:$AN,MID(AB$1,1,2),FALSE)</f>
        <v>9707</v>
      </c>
      <c r="AC369" s="55">
        <f>VLOOKUP($E369,'NI-San_SP'!$C:$AN,MID(AC$1,1,2),FALSE)</f>
        <v>13930888</v>
      </c>
      <c r="AD369" s="55">
        <f>VLOOKUP($E369,'NI-San_SP'!$C:$AN,MID(AD$1,1,2),FALSE)</f>
        <v>0</v>
      </c>
      <c r="AE369" s="55">
        <f>VLOOKUP($E369,'NI-San_SP'!$C:$AN,MID(AE$1,1,2),FALSE)</f>
        <v>0</v>
      </c>
      <c r="AF369" s="55">
        <f>VLOOKUP($E369,'NI-San_SP'!$C:$AN,MID(AF$1,1,2),FALSE)</f>
        <v>0</v>
      </c>
      <c r="AG369" s="55">
        <f>VLOOKUP($E369,'NI-San_SP'!$C:$AN,MID(AG$1,1,2),FALSE)</f>
        <v>0</v>
      </c>
      <c r="AH369" s="55">
        <f>VLOOKUP($E369,'NI-San_SP'!$C:$AN,MID(AH$1,1,2),FALSE)</f>
        <v>0</v>
      </c>
      <c r="AI369" s="55">
        <f>VLOOKUP($E369,'NI-San_SP'!$C:$AN,MID(AI$1,1,2),FALSE)</f>
        <v>0</v>
      </c>
      <c r="AJ369" s="55">
        <f>VLOOKUP($E369,'NI-San_SP'!$C:$AN,MID(AJ$1,1,2),FALSE)</f>
        <v>326081</v>
      </c>
      <c r="AK369" s="55">
        <f>VLOOKUP($E369,'NI-San_SP'!$C:$AN,MID(AK$1,1,2),FALSE)</f>
        <v>0</v>
      </c>
      <c r="AL369" s="55">
        <f>VLOOKUP($E369,'NI-San_SP'!$C:$AN,MID(AL$1,1,2),FALSE)</f>
        <v>1268</v>
      </c>
      <c r="AM369" s="56">
        <f>VLOOKUP($E369,'NI-San_SP'!$C:$AN,MID(AM$1,1,2),FALSE)</f>
        <v>634</v>
      </c>
      <c r="AN369" s="30" t="str">
        <f t="shared" si="5"/>
        <v>20201000000000</v>
      </c>
    </row>
    <row r="370" spans="1:40" x14ac:dyDescent="0.25">
      <c r="C370" s="40"/>
      <c r="D370" s="57" t="s">
        <v>1354</v>
      </c>
      <c r="E370" s="57" t="s">
        <v>1355</v>
      </c>
      <c r="F370" s="58" t="s">
        <v>110</v>
      </c>
      <c r="G370" s="52"/>
      <c r="H370" s="52"/>
      <c r="I370" s="52" t="s">
        <v>1356</v>
      </c>
      <c r="J370" s="52" t="s">
        <v>1357</v>
      </c>
      <c r="K370" s="59" t="s">
        <v>1358</v>
      </c>
      <c r="L370" s="62" t="s">
        <v>1359</v>
      </c>
      <c r="M370" s="52"/>
      <c r="N370" s="52"/>
      <c r="O370" s="61" t="s">
        <v>1360</v>
      </c>
      <c r="P370" s="63" t="s">
        <v>1361</v>
      </c>
      <c r="Q370" s="55">
        <f>VLOOKUP(E370,'NI-San_SP'!$C:$AN,12,FALSE)</f>
        <v>0</v>
      </c>
      <c r="R370" s="55">
        <f>VLOOKUP(E370,'NI-San_SP'!$C:$AN,13,FALSE)</f>
        <v>0</v>
      </c>
      <c r="S370" s="55">
        <f>VLOOKUP(E370,'NI-San_SP'!$C:$AN,31,FALSE)</f>
        <v>0</v>
      </c>
      <c r="T370" s="55">
        <f>VLOOKUP(E370,'NI-San_SP'!$C:$AN,32,FALSE)+VLOOKUP(E370,'NI-San_SP'!$C:$AN,33,FALSE)</f>
        <v>0</v>
      </c>
      <c r="U370" s="55">
        <f>VLOOKUP($E370,'NI-San_SP'!$C:$AN,MID(U$1,1,2),FALSE)</f>
        <v>0</v>
      </c>
      <c r="V370" s="55">
        <f>VLOOKUP($E370,'NI-San_SP'!$C:$AN,MID(V$1,1,2),FALSE)</f>
        <v>0</v>
      </c>
      <c r="W370" s="55">
        <f>VLOOKUP($E370,'NI-San_SP'!$C:$AN,MID(W$1,1,2),FALSE)</f>
        <v>0</v>
      </c>
      <c r="X370" s="55">
        <f>VLOOKUP($E370,'NI-San_SP'!$C:$AN,MID(X$1,1,2),FALSE)</f>
        <v>0</v>
      </c>
      <c r="Y370" s="55">
        <f>VLOOKUP($E370,'NI-San_SP'!$C:$AN,MID(Y$1,1,2),FALSE)</f>
        <v>0</v>
      </c>
      <c r="Z370" s="55">
        <f>VLOOKUP($E370,'NI-San_SP'!$C:$AN,MID(Z$1,1,2),FALSE)</f>
        <v>0</v>
      </c>
      <c r="AA370" s="55">
        <f>VLOOKUP($E370,'NI-San_SP'!$C:$AN,MID(AA$1,1,2),FALSE)</f>
        <v>0</v>
      </c>
      <c r="AB370" s="55">
        <f>VLOOKUP($E370,'NI-San_SP'!$C:$AN,MID(AB$1,1,2),FALSE)</f>
        <v>0</v>
      </c>
      <c r="AC370" s="55">
        <f>VLOOKUP($E370,'NI-San_SP'!$C:$AN,MID(AC$1,1,2),FALSE)</f>
        <v>0</v>
      </c>
      <c r="AD370" s="55">
        <f>VLOOKUP($E370,'NI-San_SP'!$C:$AN,MID(AD$1,1,2),FALSE)</f>
        <v>0</v>
      </c>
      <c r="AE370" s="55">
        <f>VLOOKUP($E370,'NI-San_SP'!$C:$AN,MID(AE$1,1,2),FALSE)</f>
        <v>0</v>
      </c>
      <c r="AF370" s="55">
        <f>VLOOKUP($E370,'NI-San_SP'!$C:$AN,MID(AF$1,1,2),FALSE)</f>
        <v>0</v>
      </c>
      <c r="AG370" s="55">
        <f>VLOOKUP($E370,'NI-San_SP'!$C:$AN,MID(AG$1,1,2),FALSE)</f>
        <v>0</v>
      </c>
      <c r="AH370" s="55">
        <f>VLOOKUP($E370,'NI-San_SP'!$C:$AN,MID(AH$1,1,2),FALSE)</f>
        <v>0</v>
      </c>
      <c r="AI370" s="55">
        <f>VLOOKUP($E370,'NI-San_SP'!$C:$AN,MID(AI$1,1,2),FALSE)</f>
        <v>0</v>
      </c>
      <c r="AJ370" s="55">
        <f>VLOOKUP($E370,'NI-San_SP'!$C:$AN,MID(AJ$1,1,2),FALSE)</f>
        <v>0</v>
      </c>
      <c r="AK370" s="55">
        <f>VLOOKUP($E370,'NI-San_SP'!$C:$AN,MID(AK$1,1,2),FALSE)</f>
        <v>0</v>
      </c>
      <c r="AL370" s="55">
        <f>VLOOKUP($E370,'NI-San_SP'!$C:$AN,MID(AL$1,1,2),FALSE)</f>
        <v>0</v>
      </c>
      <c r="AM370" s="56">
        <f>VLOOKUP($E370,'NI-San_SP'!$C:$AN,MID(AM$1,1,2),FALSE)</f>
        <v>0</v>
      </c>
      <c r="AN370" s="30" t="str">
        <f t="shared" si="5"/>
        <v>20201010000000</v>
      </c>
    </row>
    <row r="371" spans="1:40" x14ac:dyDescent="0.25">
      <c r="C371" s="40"/>
      <c r="D371" s="57" t="s">
        <v>1362</v>
      </c>
      <c r="E371" s="57" t="s">
        <v>1363</v>
      </c>
      <c r="F371" s="58" t="s">
        <v>110</v>
      </c>
      <c r="G371" s="52"/>
      <c r="H371" s="75" t="s">
        <v>1364</v>
      </c>
      <c r="I371" s="52" t="s">
        <v>1365</v>
      </c>
      <c r="J371" s="52" t="s">
        <v>1365</v>
      </c>
      <c r="K371" s="59" t="s">
        <v>1358</v>
      </c>
      <c r="L371" s="62" t="s">
        <v>1359</v>
      </c>
      <c r="M371" s="52"/>
      <c r="N371" s="52"/>
      <c r="O371" s="61" t="s">
        <v>1360</v>
      </c>
      <c r="P371" s="76" t="s">
        <v>1366</v>
      </c>
      <c r="Q371" s="55">
        <f>VLOOKUP(E371,'NI-San_SP'!$C:$AN,12,FALSE)</f>
        <v>0</v>
      </c>
      <c r="R371" s="55">
        <f>VLOOKUP(E371,'NI-San_SP'!$C:$AN,13,FALSE)</f>
        <v>0</v>
      </c>
      <c r="S371" s="55">
        <f>VLOOKUP(E371,'NI-San_SP'!$C:$AN,31,FALSE)</f>
        <v>0</v>
      </c>
      <c r="T371" s="55">
        <f>VLOOKUP(E371,'NI-San_SP'!$C:$AN,32,FALSE)+VLOOKUP(E371,'NI-San_SP'!$C:$AN,33,FALSE)</f>
        <v>0</v>
      </c>
      <c r="U371" s="55">
        <f>VLOOKUP($E371,'NI-San_SP'!$C:$AN,MID(U$1,1,2),FALSE)</f>
        <v>0</v>
      </c>
      <c r="V371" s="55">
        <f>VLOOKUP($E371,'NI-San_SP'!$C:$AN,MID(V$1,1,2),FALSE)</f>
        <v>0</v>
      </c>
      <c r="W371" s="55">
        <f>VLOOKUP($E371,'NI-San_SP'!$C:$AN,MID(W$1,1,2),FALSE)</f>
        <v>0</v>
      </c>
      <c r="X371" s="55">
        <f>VLOOKUP($E371,'NI-San_SP'!$C:$AN,MID(X$1,1,2),FALSE)</f>
        <v>0</v>
      </c>
      <c r="Y371" s="55">
        <f>VLOOKUP($E371,'NI-San_SP'!$C:$AN,MID(Y$1,1,2),FALSE)</f>
        <v>0</v>
      </c>
      <c r="Z371" s="55">
        <f>VLOOKUP($E371,'NI-San_SP'!$C:$AN,MID(Z$1,1,2),FALSE)</f>
        <v>0</v>
      </c>
      <c r="AA371" s="55">
        <f>VLOOKUP($E371,'NI-San_SP'!$C:$AN,MID(AA$1,1,2),FALSE)</f>
        <v>0</v>
      </c>
      <c r="AB371" s="55">
        <f>VLOOKUP($E371,'NI-San_SP'!$C:$AN,MID(AB$1,1,2),FALSE)</f>
        <v>0</v>
      </c>
      <c r="AC371" s="55">
        <f>VLOOKUP($E371,'NI-San_SP'!$C:$AN,MID(AC$1,1,2),FALSE)</f>
        <v>0</v>
      </c>
      <c r="AD371" s="55">
        <f>VLOOKUP($E371,'NI-San_SP'!$C:$AN,MID(AD$1,1,2),FALSE)</f>
        <v>0</v>
      </c>
      <c r="AE371" s="55">
        <f>VLOOKUP($E371,'NI-San_SP'!$C:$AN,MID(AE$1,1,2),FALSE)</f>
        <v>0</v>
      </c>
      <c r="AF371" s="55">
        <f>VLOOKUP($E371,'NI-San_SP'!$C:$AN,MID(AF$1,1,2),FALSE)</f>
        <v>0</v>
      </c>
      <c r="AG371" s="55">
        <f>VLOOKUP($E371,'NI-San_SP'!$C:$AN,MID(AG$1,1,2),FALSE)</f>
        <v>0</v>
      </c>
      <c r="AH371" s="55">
        <f>VLOOKUP($E371,'NI-San_SP'!$C:$AN,MID(AH$1,1,2),FALSE)</f>
        <v>0</v>
      </c>
      <c r="AI371" s="55">
        <f>VLOOKUP($E371,'NI-San_SP'!$C:$AN,MID(AI$1,1,2),FALSE)</f>
        <v>0</v>
      </c>
      <c r="AJ371" s="55">
        <f>VLOOKUP($E371,'NI-San_SP'!$C:$AN,MID(AJ$1,1,2),FALSE)</f>
        <v>0</v>
      </c>
      <c r="AK371" s="55">
        <f>VLOOKUP($E371,'NI-San_SP'!$C:$AN,MID(AK$1,1,2),FALSE)</f>
        <v>0</v>
      </c>
      <c r="AL371" s="55">
        <f>VLOOKUP($E371,'NI-San_SP'!$C:$AN,MID(AL$1,1,2),FALSE)</f>
        <v>0</v>
      </c>
      <c r="AM371" s="56">
        <f>VLOOKUP($E371,'NI-San_SP'!$C:$AN,MID(AM$1,1,2),FALSE)</f>
        <v>0</v>
      </c>
      <c r="AN371" s="30" t="str">
        <f t="shared" si="5"/>
        <v>20201020000000</v>
      </c>
    </row>
    <row r="372" spans="1:40" x14ac:dyDescent="0.25">
      <c r="C372" s="40"/>
      <c r="D372" s="57" t="s">
        <v>1367</v>
      </c>
      <c r="E372" s="57" t="s">
        <v>1368</v>
      </c>
      <c r="F372" s="58" t="s">
        <v>110</v>
      </c>
      <c r="G372" s="52"/>
      <c r="H372" s="52"/>
      <c r="I372" s="65"/>
      <c r="J372" s="65"/>
      <c r="K372" s="59" t="s">
        <v>111</v>
      </c>
      <c r="L372" s="62" t="s">
        <v>1359</v>
      </c>
      <c r="M372" s="52"/>
      <c r="N372" s="52"/>
      <c r="O372" s="52"/>
      <c r="P372" s="76" t="s">
        <v>1369</v>
      </c>
      <c r="Q372" s="55">
        <f>VLOOKUP(E372,'NI-San_SP'!$C:$AN,12,FALSE)</f>
        <v>0</v>
      </c>
      <c r="R372" s="55">
        <f>VLOOKUP(E372,'NI-San_SP'!$C:$AN,13,FALSE)</f>
        <v>0</v>
      </c>
      <c r="S372" s="55">
        <f>VLOOKUP(E372,'NI-San_SP'!$C:$AN,31,FALSE)</f>
        <v>0</v>
      </c>
      <c r="T372" s="55">
        <f>VLOOKUP(E372,'NI-San_SP'!$C:$AN,32,FALSE)+VLOOKUP(E372,'NI-San_SP'!$C:$AN,33,FALSE)</f>
        <v>0</v>
      </c>
      <c r="U372" s="55">
        <f>VLOOKUP($E372,'NI-San_SP'!$C:$AN,MID(U$1,1,2),FALSE)</f>
        <v>0</v>
      </c>
      <c r="V372" s="55">
        <f>VLOOKUP($E372,'NI-San_SP'!$C:$AN,MID(V$1,1,2),FALSE)</f>
        <v>0</v>
      </c>
      <c r="W372" s="55">
        <f>VLOOKUP($E372,'NI-San_SP'!$C:$AN,MID(W$1,1,2),FALSE)</f>
        <v>0</v>
      </c>
      <c r="X372" s="55">
        <f>VLOOKUP($E372,'NI-San_SP'!$C:$AN,MID(X$1,1,2),FALSE)</f>
        <v>0</v>
      </c>
      <c r="Y372" s="55">
        <f>VLOOKUP($E372,'NI-San_SP'!$C:$AN,MID(Y$1,1,2),FALSE)</f>
        <v>0</v>
      </c>
      <c r="Z372" s="55">
        <f>VLOOKUP($E372,'NI-San_SP'!$C:$AN,MID(Z$1,1,2),FALSE)</f>
        <v>0</v>
      </c>
      <c r="AA372" s="55">
        <f>VLOOKUP($E372,'NI-San_SP'!$C:$AN,MID(AA$1,1,2),FALSE)</f>
        <v>0</v>
      </c>
      <c r="AB372" s="55">
        <f>VLOOKUP($E372,'NI-San_SP'!$C:$AN,MID(AB$1,1,2),FALSE)</f>
        <v>0</v>
      </c>
      <c r="AC372" s="55">
        <f>VLOOKUP($E372,'NI-San_SP'!$C:$AN,MID(AC$1,1,2),FALSE)</f>
        <v>0</v>
      </c>
      <c r="AD372" s="55">
        <f>VLOOKUP($E372,'NI-San_SP'!$C:$AN,MID(AD$1,1,2),FALSE)</f>
        <v>0</v>
      </c>
      <c r="AE372" s="55">
        <f>VLOOKUP($E372,'NI-San_SP'!$C:$AN,MID(AE$1,1,2),FALSE)</f>
        <v>0</v>
      </c>
      <c r="AF372" s="55">
        <f>VLOOKUP($E372,'NI-San_SP'!$C:$AN,MID(AF$1,1,2),FALSE)</f>
        <v>0</v>
      </c>
      <c r="AG372" s="55">
        <f>VLOOKUP($E372,'NI-San_SP'!$C:$AN,MID(AG$1,1,2),FALSE)</f>
        <v>0</v>
      </c>
      <c r="AH372" s="55">
        <f>VLOOKUP($E372,'NI-San_SP'!$C:$AN,MID(AH$1,1,2),FALSE)</f>
        <v>0</v>
      </c>
      <c r="AI372" s="55">
        <f>VLOOKUP($E372,'NI-San_SP'!$C:$AN,MID(AI$1,1,2),FALSE)</f>
        <v>0</v>
      </c>
      <c r="AJ372" s="55">
        <f>VLOOKUP($E372,'NI-San_SP'!$C:$AN,MID(AJ$1,1,2),FALSE)</f>
        <v>0</v>
      </c>
      <c r="AK372" s="55">
        <f>VLOOKUP($E372,'NI-San_SP'!$C:$AN,MID(AK$1,1,2),FALSE)</f>
        <v>0</v>
      </c>
      <c r="AL372" s="55">
        <f>VLOOKUP($E372,'NI-San_SP'!$C:$AN,MID(AL$1,1,2),FALSE)</f>
        <v>0</v>
      </c>
      <c r="AM372" s="56">
        <f>VLOOKUP($E372,'NI-San_SP'!$C:$AN,MID(AM$1,1,2),FALSE)</f>
        <v>0</v>
      </c>
      <c r="AN372" s="30" t="str">
        <f t="shared" si="5"/>
        <v>20201030000000</v>
      </c>
    </row>
    <row r="373" spans="1:40" x14ac:dyDescent="0.25">
      <c r="C373" s="40"/>
      <c r="D373" s="57" t="s">
        <v>1370</v>
      </c>
      <c r="E373" s="57" t="s">
        <v>1371</v>
      </c>
      <c r="F373" s="58" t="s">
        <v>110</v>
      </c>
      <c r="G373" s="52"/>
      <c r="H373" s="52"/>
      <c r="I373" s="52" t="s">
        <v>1372</v>
      </c>
      <c r="J373" s="52" t="s">
        <v>1372</v>
      </c>
      <c r="K373" s="59" t="s">
        <v>79</v>
      </c>
      <c r="L373" s="52"/>
      <c r="M373" s="52"/>
      <c r="N373" s="52"/>
      <c r="O373" s="61" t="s">
        <v>1373</v>
      </c>
      <c r="P373" s="76" t="s">
        <v>1374</v>
      </c>
      <c r="Q373" s="55">
        <f>VLOOKUP(E373,'NI-San_SP'!$C:$AN,12,FALSE)</f>
        <v>0</v>
      </c>
      <c r="R373" s="55">
        <f>VLOOKUP(E373,'NI-San_SP'!$C:$AN,13,FALSE)</f>
        <v>0</v>
      </c>
      <c r="S373" s="55">
        <f>VLOOKUP(E373,'NI-San_SP'!$C:$AN,31,FALSE)</f>
        <v>0</v>
      </c>
      <c r="T373" s="55">
        <f>VLOOKUP(E373,'NI-San_SP'!$C:$AN,32,FALSE)+VLOOKUP(E373,'NI-San_SP'!$C:$AN,33,FALSE)</f>
        <v>0</v>
      </c>
      <c r="U373" s="55">
        <f>VLOOKUP($E373,'NI-San_SP'!$C:$AN,MID(U$1,1,2),FALSE)</f>
        <v>0</v>
      </c>
      <c r="V373" s="55">
        <f>VLOOKUP($E373,'NI-San_SP'!$C:$AN,MID(V$1,1,2),FALSE)</f>
        <v>0</v>
      </c>
      <c r="W373" s="55">
        <f>VLOOKUP($E373,'NI-San_SP'!$C:$AN,MID(W$1,1,2),FALSE)</f>
        <v>0</v>
      </c>
      <c r="X373" s="55">
        <f>VLOOKUP($E373,'NI-San_SP'!$C:$AN,MID(X$1,1,2),FALSE)</f>
        <v>0</v>
      </c>
      <c r="Y373" s="55">
        <f>VLOOKUP($E373,'NI-San_SP'!$C:$AN,MID(Y$1,1,2),FALSE)</f>
        <v>0</v>
      </c>
      <c r="Z373" s="55">
        <f>VLOOKUP($E373,'NI-San_SP'!$C:$AN,MID(Z$1,1,2),FALSE)</f>
        <v>0</v>
      </c>
      <c r="AA373" s="55">
        <f>VLOOKUP($E373,'NI-San_SP'!$C:$AN,MID(AA$1,1,2),FALSE)</f>
        <v>0</v>
      </c>
      <c r="AB373" s="55">
        <f>VLOOKUP($E373,'NI-San_SP'!$C:$AN,MID(AB$1,1,2),FALSE)</f>
        <v>0</v>
      </c>
      <c r="AC373" s="55">
        <f>VLOOKUP($E373,'NI-San_SP'!$C:$AN,MID(AC$1,1,2),FALSE)</f>
        <v>0</v>
      </c>
      <c r="AD373" s="55">
        <f>VLOOKUP($E373,'NI-San_SP'!$C:$AN,MID(AD$1,1,2),FALSE)</f>
        <v>0</v>
      </c>
      <c r="AE373" s="55">
        <f>VLOOKUP($E373,'NI-San_SP'!$C:$AN,MID(AE$1,1,2),FALSE)</f>
        <v>0</v>
      </c>
      <c r="AF373" s="55">
        <f>VLOOKUP($E373,'NI-San_SP'!$C:$AN,MID(AF$1,1,2),FALSE)</f>
        <v>0</v>
      </c>
      <c r="AG373" s="55">
        <f>VLOOKUP($E373,'NI-San_SP'!$C:$AN,MID(AG$1,1,2),FALSE)</f>
        <v>0</v>
      </c>
      <c r="AH373" s="55">
        <f>VLOOKUP($E373,'NI-San_SP'!$C:$AN,MID(AH$1,1,2),FALSE)</f>
        <v>0</v>
      </c>
      <c r="AI373" s="55">
        <f>VLOOKUP($E373,'NI-San_SP'!$C:$AN,MID(AI$1,1,2),FALSE)</f>
        <v>0</v>
      </c>
      <c r="AJ373" s="55">
        <f>VLOOKUP($E373,'NI-San_SP'!$C:$AN,MID(AJ$1,1,2),FALSE)</f>
        <v>0</v>
      </c>
      <c r="AK373" s="55">
        <f>VLOOKUP($E373,'NI-San_SP'!$C:$AN,MID(AK$1,1,2),FALSE)</f>
        <v>0</v>
      </c>
      <c r="AL373" s="55">
        <f>VLOOKUP($E373,'NI-San_SP'!$C:$AN,MID(AL$1,1,2),FALSE)</f>
        <v>0</v>
      </c>
      <c r="AM373" s="56">
        <f>VLOOKUP($E373,'NI-San_SP'!$C:$AN,MID(AM$1,1,2),FALSE)</f>
        <v>0</v>
      </c>
      <c r="AN373" s="30" t="str">
        <f t="shared" si="5"/>
        <v>20201030010000</v>
      </c>
    </row>
    <row r="374" spans="1:40" x14ac:dyDescent="0.25">
      <c r="C374" s="40"/>
      <c r="D374" s="57" t="s">
        <v>1375</v>
      </c>
      <c r="E374" s="57" t="s">
        <v>1376</v>
      </c>
      <c r="F374" s="58" t="s">
        <v>110</v>
      </c>
      <c r="G374" s="52"/>
      <c r="H374" s="52"/>
      <c r="I374" s="52" t="s">
        <v>1372</v>
      </c>
      <c r="J374" s="52" t="s">
        <v>1372</v>
      </c>
      <c r="K374" s="59" t="s">
        <v>79</v>
      </c>
      <c r="L374" s="52"/>
      <c r="M374" s="52"/>
      <c r="N374" s="52"/>
      <c r="O374" s="61" t="s">
        <v>1373</v>
      </c>
      <c r="P374" s="76" t="s">
        <v>1377</v>
      </c>
      <c r="Q374" s="55">
        <f>VLOOKUP(E374,'NI-San_SP'!$C:$AN,12,FALSE)</f>
        <v>0</v>
      </c>
      <c r="R374" s="55">
        <f>VLOOKUP(E374,'NI-San_SP'!$C:$AN,13,FALSE)</f>
        <v>0</v>
      </c>
      <c r="S374" s="55">
        <f>VLOOKUP(E374,'NI-San_SP'!$C:$AN,31,FALSE)</f>
        <v>0</v>
      </c>
      <c r="T374" s="55">
        <f>VLOOKUP(E374,'NI-San_SP'!$C:$AN,32,FALSE)+VLOOKUP(E374,'NI-San_SP'!$C:$AN,33,FALSE)</f>
        <v>0</v>
      </c>
      <c r="U374" s="55">
        <f>VLOOKUP($E374,'NI-San_SP'!$C:$AN,MID(U$1,1,2),FALSE)</f>
        <v>0</v>
      </c>
      <c r="V374" s="55">
        <f>VLOOKUP($E374,'NI-San_SP'!$C:$AN,MID(V$1,1,2),FALSE)</f>
        <v>0</v>
      </c>
      <c r="W374" s="55">
        <f>VLOOKUP($E374,'NI-San_SP'!$C:$AN,MID(W$1,1,2),FALSE)</f>
        <v>0</v>
      </c>
      <c r="X374" s="55">
        <f>VLOOKUP($E374,'NI-San_SP'!$C:$AN,MID(X$1,1,2),FALSE)</f>
        <v>0</v>
      </c>
      <c r="Y374" s="55">
        <f>VLOOKUP($E374,'NI-San_SP'!$C:$AN,MID(Y$1,1,2),FALSE)</f>
        <v>0</v>
      </c>
      <c r="Z374" s="55">
        <f>VLOOKUP($E374,'NI-San_SP'!$C:$AN,MID(Z$1,1,2),FALSE)</f>
        <v>0</v>
      </c>
      <c r="AA374" s="55">
        <f>VLOOKUP($E374,'NI-San_SP'!$C:$AN,MID(AA$1,1,2),FALSE)</f>
        <v>0</v>
      </c>
      <c r="AB374" s="55">
        <f>VLOOKUP($E374,'NI-San_SP'!$C:$AN,MID(AB$1,1,2),FALSE)</f>
        <v>0</v>
      </c>
      <c r="AC374" s="55">
        <f>VLOOKUP($E374,'NI-San_SP'!$C:$AN,MID(AC$1,1,2),FALSE)</f>
        <v>0</v>
      </c>
      <c r="AD374" s="55">
        <f>VLOOKUP($E374,'NI-San_SP'!$C:$AN,MID(AD$1,1,2),FALSE)</f>
        <v>0</v>
      </c>
      <c r="AE374" s="55">
        <f>VLOOKUP($E374,'NI-San_SP'!$C:$AN,MID(AE$1,1,2),FALSE)</f>
        <v>0</v>
      </c>
      <c r="AF374" s="55">
        <f>VLOOKUP($E374,'NI-San_SP'!$C:$AN,MID(AF$1,1,2),FALSE)</f>
        <v>0</v>
      </c>
      <c r="AG374" s="55">
        <f>VLOOKUP($E374,'NI-San_SP'!$C:$AN,MID(AG$1,1,2),FALSE)</f>
        <v>0</v>
      </c>
      <c r="AH374" s="55">
        <f>VLOOKUP($E374,'NI-San_SP'!$C:$AN,MID(AH$1,1,2),FALSE)</f>
        <v>0</v>
      </c>
      <c r="AI374" s="55">
        <f>VLOOKUP($E374,'NI-San_SP'!$C:$AN,MID(AI$1,1,2),FALSE)</f>
        <v>0</v>
      </c>
      <c r="AJ374" s="55">
        <f>VLOOKUP($E374,'NI-San_SP'!$C:$AN,MID(AJ$1,1,2),FALSE)</f>
        <v>0</v>
      </c>
      <c r="AK374" s="55">
        <f>VLOOKUP($E374,'NI-San_SP'!$C:$AN,MID(AK$1,1,2),FALSE)</f>
        <v>0</v>
      </c>
      <c r="AL374" s="55">
        <f>VLOOKUP($E374,'NI-San_SP'!$C:$AN,MID(AL$1,1,2),FALSE)</f>
        <v>0</v>
      </c>
      <c r="AM374" s="56">
        <f>VLOOKUP($E374,'NI-San_SP'!$C:$AN,MID(AM$1,1,2),FALSE)</f>
        <v>0</v>
      </c>
      <c r="AN374" s="30" t="str">
        <f t="shared" si="5"/>
        <v>20201030020000</v>
      </c>
    </row>
    <row r="375" spans="1:40" x14ac:dyDescent="0.25">
      <c r="C375" s="40"/>
      <c r="D375" s="57" t="s">
        <v>1378</v>
      </c>
      <c r="E375" s="57" t="s">
        <v>1379</v>
      </c>
      <c r="F375" s="58" t="s">
        <v>110</v>
      </c>
      <c r="G375" s="52"/>
      <c r="H375" s="75" t="s">
        <v>1364</v>
      </c>
      <c r="I375" s="52" t="s">
        <v>1380</v>
      </c>
      <c r="J375" s="52" t="s">
        <v>1380</v>
      </c>
      <c r="K375" s="59" t="s">
        <v>1358</v>
      </c>
      <c r="L375" s="62" t="s">
        <v>1359</v>
      </c>
      <c r="M375" s="52"/>
      <c r="N375" s="52"/>
      <c r="O375" s="61" t="s">
        <v>1373</v>
      </c>
      <c r="P375" s="76" t="s">
        <v>1381</v>
      </c>
      <c r="Q375" s="55">
        <f>VLOOKUP(E375,'NI-San_SP'!$C:$AN,12,FALSE)</f>
        <v>0</v>
      </c>
      <c r="R375" s="55">
        <f>VLOOKUP(E375,'NI-San_SP'!$C:$AN,13,FALSE)</f>
        <v>0</v>
      </c>
      <c r="S375" s="55">
        <f>VLOOKUP(E375,'NI-San_SP'!$C:$AN,31,FALSE)</f>
        <v>0</v>
      </c>
      <c r="T375" s="55">
        <f>VLOOKUP(E375,'NI-San_SP'!$C:$AN,32,FALSE)+VLOOKUP(E375,'NI-San_SP'!$C:$AN,33,FALSE)</f>
        <v>0</v>
      </c>
      <c r="U375" s="55">
        <f>VLOOKUP($E375,'NI-San_SP'!$C:$AN,MID(U$1,1,2),FALSE)</f>
        <v>0</v>
      </c>
      <c r="V375" s="55">
        <f>VLOOKUP($E375,'NI-San_SP'!$C:$AN,MID(V$1,1,2),FALSE)</f>
        <v>0</v>
      </c>
      <c r="W375" s="55">
        <f>VLOOKUP($E375,'NI-San_SP'!$C:$AN,MID(W$1,1,2),FALSE)</f>
        <v>0</v>
      </c>
      <c r="X375" s="55">
        <f>VLOOKUP($E375,'NI-San_SP'!$C:$AN,MID(X$1,1,2),FALSE)</f>
        <v>0</v>
      </c>
      <c r="Y375" s="55">
        <f>VLOOKUP($E375,'NI-San_SP'!$C:$AN,MID(Y$1,1,2),FALSE)</f>
        <v>0</v>
      </c>
      <c r="Z375" s="55">
        <f>VLOOKUP($E375,'NI-San_SP'!$C:$AN,MID(Z$1,1,2),FALSE)</f>
        <v>0</v>
      </c>
      <c r="AA375" s="55">
        <f>VLOOKUP($E375,'NI-San_SP'!$C:$AN,MID(AA$1,1,2),FALSE)</f>
        <v>0</v>
      </c>
      <c r="AB375" s="55">
        <f>VLOOKUP($E375,'NI-San_SP'!$C:$AN,MID(AB$1,1,2),FALSE)</f>
        <v>0</v>
      </c>
      <c r="AC375" s="55">
        <f>VLOOKUP($E375,'NI-San_SP'!$C:$AN,MID(AC$1,1,2),FALSE)</f>
        <v>0</v>
      </c>
      <c r="AD375" s="55">
        <f>VLOOKUP($E375,'NI-San_SP'!$C:$AN,MID(AD$1,1,2),FALSE)</f>
        <v>0</v>
      </c>
      <c r="AE375" s="55">
        <f>VLOOKUP($E375,'NI-San_SP'!$C:$AN,MID(AE$1,1,2),FALSE)</f>
        <v>0</v>
      </c>
      <c r="AF375" s="55">
        <f>VLOOKUP($E375,'NI-San_SP'!$C:$AN,MID(AF$1,1,2),FALSE)</f>
        <v>0</v>
      </c>
      <c r="AG375" s="55">
        <f>VLOOKUP($E375,'NI-San_SP'!$C:$AN,MID(AG$1,1,2),FALSE)</f>
        <v>0</v>
      </c>
      <c r="AH375" s="55">
        <f>VLOOKUP($E375,'NI-San_SP'!$C:$AN,MID(AH$1,1,2),FALSE)</f>
        <v>0</v>
      </c>
      <c r="AI375" s="55">
        <f>VLOOKUP($E375,'NI-San_SP'!$C:$AN,MID(AI$1,1,2),FALSE)</f>
        <v>0</v>
      </c>
      <c r="AJ375" s="55">
        <f>VLOOKUP($E375,'NI-San_SP'!$C:$AN,MID(AJ$1,1,2),FALSE)</f>
        <v>0</v>
      </c>
      <c r="AK375" s="55">
        <f>VLOOKUP($E375,'NI-San_SP'!$C:$AN,MID(AK$1,1,2),FALSE)</f>
        <v>0</v>
      </c>
      <c r="AL375" s="55">
        <f>VLOOKUP($E375,'NI-San_SP'!$C:$AN,MID(AL$1,1,2),FALSE)</f>
        <v>0</v>
      </c>
      <c r="AM375" s="56">
        <f>VLOOKUP($E375,'NI-San_SP'!$C:$AN,MID(AM$1,1,2),FALSE)</f>
        <v>0</v>
      </c>
      <c r="AN375" s="30" t="str">
        <f t="shared" si="5"/>
        <v>20201040000000</v>
      </c>
    </row>
    <row r="376" spans="1:40" x14ac:dyDescent="0.25">
      <c r="C376" s="40"/>
      <c r="D376" s="57" t="s">
        <v>1382</v>
      </c>
      <c r="E376" s="57" t="s">
        <v>1383</v>
      </c>
      <c r="F376" s="58" t="s">
        <v>110</v>
      </c>
      <c r="G376" s="52"/>
      <c r="H376" s="75" t="s">
        <v>1364</v>
      </c>
      <c r="I376" s="52" t="s">
        <v>1384</v>
      </c>
      <c r="J376" s="52" t="s">
        <v>1384</v>
      </c>
      <c r="K376" s="59" t="s">
        <v>1358</v>
      </c>
      <c r="L376" s="62" t="s">
        <v>1359</v>
      </c>
      <c r="M376" s="52"/>
      <c r="N376" s="52"/>
      <c r="O376" s="61" t="s">
        <v>1360</v>
      </c>
      <c r="P376" s="76" t="s">
        <v>1385</v>
      </c>
      <c r="Q376" s="55">
        <f>VLOOKUP(E376,'NI-San_SP'!$C:$AN,12,FALSE)</f>
        <v>0</v>
      </c>
      <c r="R376" s="55">
        <f>VLOOKUP(E376,'NI-San_SP'!$C:$AN,13,FALSE)</f>
        <v>0</v>
      </c>
      <c r="S376" s="55">
        <f>VLOOKUP(E376,'NI-San_SP'!$C:$AN,31,FALSE)</f>
        <v>0</v>
      </c>
      <c r="T376" s="55">
        <f>VLOOKUP(E376,'NI-San_SP'!$C:$AN,32,FALSE)+VLOOKUP(E376,'NI-San_SP'!$C:$AN,33,FALSE)</f>
        <v>0</v>
      </c>
      <c r="U376" s="55">
        <f>VLOOKUP($E376,'NI-San_SP'!$C:$AN,MID(U$1,1,2),FALSE)</f>
        <v>0</v>
      </c>
      <c r="V376" s="55">
        <f>VLOOKUP($E376,'NI-San_SP'!$C:$AN,MID(V$1,1,2),FALSE)</f>
        <v>0</v>
      </c>
      <c r="W376" s="55">
        <f>VLOOKUP($E376,'NI-San_SP'!$C:$AN,MID(W$1,1,2),FALSE)</f>
        <v>0</v>
      </c>
      <c r="X376" s="55">
        <f>VLOOKUP($E376,'NI-San_SP'!$C:$AN,MID(X$1,1,2),FALSE)</f>
        <v>0</v>
      </c>
      <c r="Y376" s="55">
        <f>VLOOKUP($E376,'NI-San_SP'!$C:$AN,MID(Y$1,1,2),FALSE)</f>
        <v>0</v>
      </c>
      <c r="Z376" s="55">
        <f>VLOOKUP($E376,'NI-San_SP'!$C:$AN,MID(Z$1,1,2),FALSE)</f>
        <v>0</v>
      </c>
      <c r="AA376" s="55">
        <f>VLOOKUP($E376,'NI-San_SP'!$C:$AN,MID(AA$1,1,2),FALSE)</f>
        <v>0</v>
      </c>
      <c r="AB376" s="55">
        <f>VLOOKUP($E376,'NI-San_SP'!$C:$AN,MID(AB$1,1,2),FALSE)</f>
        <v>0</v>
      </c>
      <c r="AC376" s="55">
        <f>VLOOKUP($E376,'NI-San_SP'!$C:$AN,MID(AC$1,1,2),FALSE)</f>
        <v>0</v>
      </c>
      <c r="AD376" s="55">
        <f>VLOOKUP($E376,'NI-San_SP'!$C:$AN,MID(AD$1,1,2),FALSE)</f>
        <v>0</v>
      </c>
      <c r="AE376" s="55">
        <f>VLOOKUP($E376,'NI-San_SP'!$C:$AN,MID(AE$1,1,2),FALSE)</f>
        <v>0</v>
      </c>
      <c r="AF376" s="55">
        <f>VLOOKUP($E376,'NI-San_SP'!$C:$AN,MID(AF$1,1,2),FALSE)</f>
        <v>0</v>
      </c>
      <c r="AG376" s="55">
        <f>VLOOKUP($E376,'NI-San_SP'!$C:$AN,MID(AG$1,1,2),FALSE)</f>
        <v>0</v>
      </c>
      <c r="AH376" s="55">
        <f>VLOOKUP($E376,'NI-San_SP'!$C:$AN,MID(AH$1,1,2),FALSE)</f>
        <v>0</v>
      </c>
      <c r="AI376" s="55">
        <f>VLOOKUP($E376,'NI-San_SP'!$C:$AN,MID(AI$1,1,2),FALSE)</f>
        <v>0</v>
      </c>
      <c r="AJ376" s="55">
        <f>VLOOKUP($E376,'NI-San_SP'!$C:$AN,MID(AJ$1,1,2),FALSE)</f>
        <v>0</v>
      </c>
      <c r="AK376" s="55">
        <f>VLOOKUP($E376,'NI-San_SP'!$C:$AN,MID(AK$1,1,2),FALSE)</f>
        <v>0</v>
      </c>
      <c r="AL376" s="55">
        <f>VLOOKUP($E376,'NI-San_SP'!$C:$AN,MID(AL$1,1,2),FALSE)</f>
        <v>0</v>
      </c>
      <c r="AM376" s="56">
        <f>VLOOKUP($E376,'NI-San_SP'!$C:$AN,MID(AM$1,1,2),FALSE)</f>
        <v>0</v>
      </c>
      <c r="AN376" s="30" t="str">
        <f t="shared" si="5"/>
        <v>20201050000000</v>
      </c>
    </row>
    <row r="377" spans="1:40" x14ac:dyDescent="0.25">
      <c r="C377" s="40"/>
      <c r="D377" s="57" t="s">
        <v>1386</v>
      </c>
      <c r="E377" s="57" t="s">
        <v>1387</v>
      </c>
      <c r="F377" s="58" t="s">
        <v>110</v>
      </c>
      <c r="G377" s="52"/>
      <c r="H377" s="75" t="s">
        <v>1364</v>
      </c>
      <c r="I377" s="52" t="s">
        <v>1388</v>
      </c>
      <c r="J377" s="52" t="s">
        <v>1388</v>
      </c>
      <c r="K377" s="59" t="s">
        <v>1358</v>
      </c>
      <c r="L377" s="62" t="s">
        <v>1359</v>
      </c>
      <c r="M377" s="52"/>
      <c r="N377" s="52"/>
      <c r="O377" s="61" t="s">
        <v>1360</v>
      </c>
      <c r="P377" s="76" t="s">
        <v>1389</v>
      </c>
      <c r="Q377" s="55">
        <f>VLOOKUP(E377,'NI-San_SP'!$C:$AN,12,FALSE)</f>
        <v>0</v>
      </c>
      <c r="R377" s="55">
        <f>VLOOKUP(E377,'NI-San_SP'!$C:$AN,13,FALSE)</f>
        <v>0</v>
      </c>
      <c r="S377" s="55">
        <f>VLOOKUP(E377,'NI-San_SP'!$C:$AN,31,FALSE)</f>
        <v>0</v>
      </c>
      <c r="T377" s="55">
        <f>VLOOKUP(E377,'NI-San_SP'!$C:$AN,32,FALSE)+VLOOKUP(E377,'NI-San_SP'!$C:$AN,33,FALSE)</f>
        <v>0</v>
      </c>
      <c r="U377" s="55">
        <f>VLOOKUP($E377,'NI-San_SP'!$C:$AN,MID(U$1,1,2),FALSE)</f>
        <v>0</v>
      </c>
      <c r="V377" s="55">
        <f>VLOOKUP($E377,'NI-San_SP'!$C:$AN,MID(V$1,1,2),FALSE)</f>
        <v>0</v>
      </c>
      <c r="W377" s="55">
        <f>VLOOKUP($E377,'NI-San_SP'!$C:$AN,MID(W$1,1,2),FALSE)</f>
        <v>0</v>
      </c>
      <c r="X377" s="55">
        <f>VLOOKUP($E377,'NI-San_SP'!$C:$AN,MID(X$1,1,2),FALSE)</f>
        <v>0</v>
      </c>
      <c r="Y377" s="55">
        <f>VLOOKUP($E377,'NI-San_SP'!$C:$AN,MID(Y$1,1,2),FALSE)</f>
        <v>0</v>
      </c>
      <c r="Z377" s="55">
        <f>VLOOKUP($E377,'NI-San_SP'!$C:$AN,MID(Z$1,1,2),FALSE)</f>
        <v>0</v>
      </c>
      <c r="AA377" s="55">
        <f>VLOOKUP($E377,'NI-San_SP'!$C:$AN,MID(AA$1,1,2),FALSE)</f>
        <v>0</v>
      </c>
      <c r="AB377" s="55">
        <f>VLOOKUP($E377,'NI-San_SP'!$C:$AN,MID(AB$1,1,2),FALSE)</f>
        <v>0</v>
      </c>
      <c r="AC377" s="55">
        <f>VLOOKUP($E377,'NI-San_SP'!$C:$AN,MID(AC$1,1,2),FALSE)</f>
        <v>0</v>
      </c>
      <c r="AD377" s="55">
        <f>VLOOKUP($E377,'NI-San_SP'!$C:$AN,MID(AD$1,1,2),FALSE)</f>
        <v>0</v>
      </c>
      <c r="AE377" s="55">
        <f>VLOOKUP($E377,'NI-San_SP'!$C:$AN,MID(AE$1,1,2),FALSE)</f>
        <v>0</v>
      </c>
      <c r="AF377" s="55">
        <f>VLOOKUP($E377,'NI-San_SP'!$C:$AN,MID(AF$1,1,2),FALSE)</f>
        <v>0</v>
      </c>
      <c r="AG377" s="55">
        <f>VLOOKUP($E377,'NI-San_SP'!$C:$AN,MID(AG$1,1,2),FALSE)</f>
        <v>0</v>
      </c>
      <c r="AH377" s="55">
        <f>VLOOKUP($E377,'NI-San_SP'!$C:$AN,MID(AH$1,1,2),FALSE)</f>
        <v>0</v>
      </c>
      <c r="AI377" s="55">
        <f>VLOOKUP($E377,'NI-San_SP'!$C:$AN,MID(AI$1,1,2),FALSE)</f>
        <v>0</v>
      </c>
      <c r="AJ377" s="55">
        <f>VLOOKUP($E377,'NI-San_SP'!$C:$AN,MID(AJ$1,1,2),FALSE)</f>
        <v>0</v>
      </c>
      <c r="AK377" s="55">
        <f>VLOOKUP($E377,'NI-San_SP'!$C:$AN,MID(AK$1,1,2),FALSE)</f>
        <v>0</v>
      </c>
      <c r="AL377" s="55">
        <f>VLOOKUP($E377,'NI-San_SP'!$C:$AN,MID(AL$1,1,2),FALSE)</f>
        <v>0</v>
      </c>
      <c r="AM377" s="56">
        <f>VLOOKUP($E377,'NI-San_SP'!$C:$AN,MID(AM$1,1,2),FALSE)</f>
        <v>0</v>
      </c>
      <c r="AN377" s="30" t="str">
        <f t="shared" si="5"/>
        <v>20201060000000</v>
      </c>
    </row>
    <row r="378" spans="1:40" x14ac:dyDescent="0.25">
      <c r="C378" s="40"/>
      <c r="D378" s="57" t="s">
        <v>1390</v>
      </c>
      <c r="E378" s="57" t="s">
        <v>1391</v>
      </c>
      <c r="F378" s="58" t="s">
        <v>110</v>
      </c>
      <c r="G378" s="52"/>
      <c r="H378" s="52"/>
      <c r="I378" s="52" t="s">
        <v>1392</v>
      </c>
      <c r="J378" s="52" t="s">
        <v>1392</v>
      </c>
      <c r="K378" s="59" t="s">
        <v>79</v>
      </c>
      <c r="L378" s="62" t="s">
        <v>1359</v>
      </c>
      <c r="M378" s="52"/>
      <c r="N378" s="52"/>
      <c r="O378" s="61" t="s">
        <v>1360</v>
      </c>
      <c r="P378" s="76" t="s">
        <v>1393</v>
      </c>
      <c r="Q378" s="55">
        <f>VLOOKUP(E378,'NI-San_SP'!$C:$AN,12,FALSE)</f>
        <v>328223</v>
      </c>
      <c r="R378" s="55">
        <f>VLOOKUP(E378,'NI-San_SP'!$C:$AN,13,FALSE)</f>
        <v>332888</v>
      </c>
      <c r="S378" s="55">
        <f>VLOOKUP(E378,'NI-San_SP'!$C:$AN,31,FALSE)</f>
        <v>0</v>
      </c>
      <c r="T378" s="55">
        <f>VLOOKUP(E378,'NI-San_SP'!$C:$AN,32,FALSE)+VLOOKUP(E378,'NI-San_SP'!$C:$AN,33,FALSE)</f>
        <v>1902</v>
      </c>
      <c r="U378" s="55">
        <f>VLOOKUP($E378,'NI-San_SP'!$C:$AN,MID(U$1,1,2),FALSE)</f>
        <v>0</v>
      </c>
      <c r="V378" s="55">
        <f>VLOOKUP($E378,'NI-San_SP'!$C:$AN,MID(V$1,1,2),FALSE)</f>
        <v>328223</v>
      </c>
      <c r="W378" s="55">
        <f>VLOOKUP($E378,'NI-San_SP'!$C:$AN,MID(W$1,1,2),FALSE)</f>
        <v>0</v>
      </c>
      <c r="X378" s="55">
        <f>VLOOKUP($E378,'NI-San_SP'!$C:$AN,MID(X$1,1,2),FALSE)</f>
        <v>0</v>
      </c>
      <c r="Y378" s="55">
        <f>VLOOKUP($E378,'NI-San_SP'!$C:$AN,MID(Y$1,1,2),FALSE)</f>
        <v>14612</v>
      </c>
      <c r="Z378" s="55">
        <f>VLOOKUP($E378,'NI-San_SP'!$C:$AN,MID(Z$1,1,2),FALSE)</f>
        <v>240</v>
      </c>
      <c r="AA378" s="55">
        <f>VLOOKUP($E378,'NI-San_SP'!$C:$AN,MID(AA$1,1,2),FALSE)</f>
        <v>0</v>
      </c>
      <c r="AB378" s="55">
        <f>VLOOKUP($E378,'NI-San_SP'!$C:$AN,MID(AB$1,1,2),FALSE)</f>
        <v>9707</v>
      </c>
      <c r="AC378" s="55">
        <f>VLOOKUP($E378,'NI-San_SP'!$C:$AN,MID(AC$1,1,2),FALSE)</f>
        <v>332888</v>
      </c>
      <c r="AD378" s="55">
        <f>VLOOKUP($E378,'NI-San_SP'!$C:$AN,MID(AD$1,1,2),FALSE)</f>
        <v>0</v>
      </c>
      <c r="AE378" s="55">
        <f>VLOOKUP($E378,'NI-San_SP'!$C:$AN,MID(AE$1,1,2),FALSE)</f>
        <v>0</v>
      </c>
      <c r="AF378" s="55">
        <f>VLOOKUP($E378,'NI-San_SP'!$C:$AN,MID(AF$1,1,2),FALSE)</f>
        <v>0</v>
      </c>
      <c r="AG378" s="55">
        <f>VLOOKUP($E378,'NI-San_SP'!$C:$AN,MID(AG$1,1,2),FALSE)</f>
        <v>0</v>
      </c>
      <c r="AH378" s="55">
        <f>VLOOKUP($E378,'NI-San_SP'!$C:$AN,MID(AH$1,1,2),FALSE)</f>
        <v>0</v>
      </c>
      <c r="AI378" s="55">
        <f>VLOOKUP($E378,'NI-San_SP'!$C:$AN,MID(AI$1,1,2),FALSE)</f>
        <v>0</v>
      </c>
      <c r="AJ378" s="55">
        <f>VLOOKUP($E378,'NI-San_SP'!$C:$AN,MID(AJ$1,1,2),FALSE)</f>
        <v>326081</v>
      </c>
      <c r="AK378" s="55">
        <f>VLOOKUP($E378,'NI-San_SP'!$C:$AN,MID(AK$1,1,2),FALSE)</f>
        <v>0</v>
      </c>
      <c r="AL378" s="55">
        <f>VLOOKUP($E378,'NI-San_SP'!$C:$AN,MID(AL$1,1,2),FALSE)</f>
        <v>1268</v>
      </c>
      <c r="AM378" s="56">
        <f>VLOOKUP($E378,'NI-San_SP'!$C:$AN,MID(AM$1,1,2),FALSE)</f>
        <v>634</v>
      </c>
      <c r="AN378" s="30" t="str">
        <f t="shared" si="5"/>
        <v>20201070000000</v>
      </c>
    </row>
    <row r="379" spans="1:40" x14ac:dyDescent="0.25">
      <c r="A379" s="30" t="s">
        <v>1394</v>
      </c>
      <c r="C379" s="40"/>
      <c r="D379" s="77" t="s">
        <v>1395</v>
      </c>
      <c r="E379" s="77" t="s">
        <v>1396</v>
      </c>
      <c r="F379" s="58" t="s">
        <v>110</v>
      </c>
      <c r="H379" s="52"/>
      <c r="I379" s="52"/>
      <c r="J379" s="52" t="s">
        <v>1397</v>
      </c>
      <c r="K379" s="59" t="s">
        <v>79</v>
      </c>
      <c r="L379" s="62" t="s">
        <v>1359</v>
      </c>
      <c r="M379" s="52"/>
      <c r="N379" s="52"/>
      <c r="O379" s="61" t="s">
        <v>1360</v>
      </c>
      <c r="P379" s="76" t="s">
        <v>1398</v>
      </c>
      <c r="Q379" s="55">
        <f>VLOOKUP(E379,'NI-San_SP'!$C:$AN,12,FALSE)</f>
        <v>0</v>
      </c>
      <c r="R379" s="55">
        <f>VLOOKUP(E379,'NI-San_SP'!$C:$AN,13,FALSE)</f>
        <v>0</v>
      </c>
      <c r="S379" s="55">
        <f>VLOOKUP(E379,'NI-San_SP'!$C:$AN,31,FALSE)</f>
        <v>0</v>
      </c>
      <c r="T379" s="55">
        <f>VLOOKUP(E379,'NI-San_SP'!$C:$AN,32,FALSE)+VLOOKUP(E379,'NI-San_SP'!$C:$AN,33,FALSE)</f>
        <v>0</v>
      </c>
      <c r="U379" s="55">
        <f>VLOOKUP($E379,'NI-San_SP'!$C:$AN,MID(U$1,1,2),FALSE)</f>
        <v>0</v>
      </c>
      <c r="V379" s="55">
        <f>VLOOKUP($E379,'NI-San_SP'!$C:$AN,MID(V$1,1,2),FALSE)</f>
        <v>0</v>
      </c>
      <c r="W379" s="55">
        <f>VLOOKUP($E379,'NI-San_SP'!$C:$AN,MID(W$1,1,2),FALSE)</f>
        <v>0</v>
      </c>
      <c r="X379" s="55">
        <f>VLOOKUP($E379,'NI-San_SP'!$C:$AN,MID(X$1,1,2),FALSE)</f>
        <v>0</v>
      </c>
      <c r="Y379" s="55">
        <f>VLOOKUP($E379,'NI-San_SP'!$C:$AN,MID(Y$1,1,2),FALSE)</f>
        <v>0</v>
      </c>
      <c r="Z379" s="55">
        <f>VLOOKUP($E379,'NI-San_SP'!$C:$AN,MID(Z$1,1,2),FALSE)</f>
        <v>0</v>
      </c>
      <c r="AA379" s="55">
        <f>VLOOKUP($E379,'NI-San_SP'!$C:$AN,MID(AA$1,1,2),FALSE)</f>
        <v>0</v>
      </c>
      <c r="AB379" s="55">
        <f>VLOOKUP($E379,'NI-San_SP'!$C:$AN,MID(AB$1,1,2),FALSE)</f>
        <v>0</v>
      </c>
      <c r="AC379" s="55">
        <f>VLOOKUP($E379,'NI-San_SP'!$C:$AN,MID(AC$1,1,2),FALSE)</f>
        <v>0</v>
      </c>
      <c r="AD379" s="55">
        <f>VLOOKUP($E379,'NI-San_SP'!$C:$AN,MID(AD$1,1,2),FALSE)</f>
        <v>0</v>
      </c>
      <c r="AE379" s="55">
        <f>VLOOKUP($E379,'NI-San_SP'!$C:$AN,MID(AE$1,1,2),FALSE)</f>
        <v>0</v>
      </c>
      <c r="AF379" s="55">
        <f>VLOOKUP($E379,'NI-San_SP'!$C:$AN,MID(AF$1,1,2),FALSE)</f>
        <v>0</v>
      </c>
      <c r="AG379" s="55">
        <f>VLOOKUP($E379,'NI-San_SP'!$C:$AN,MID(AG$1,1,2),FALSE)</f>
        <v>0</v>
      </c>
      <c r="AH379" s="55">
        <f>VLOOKUP($E379,'NI-San_SP'!$C:$AN,MID(AH$1,1,2),FALSE)</f>
        <v>0</v>
      </c>
      <c r="AI379" s="55">
        <f>VLOOKUP($E379,'NI-San_SP'!$C:$AN,MID(AI$1,1,2),FALSE)</f>
        <v>0</v>
      </c>
      <c r="AJ379" s="55">
        <f>VLOOKUP($E379,'NI-San_SP'!$C:$AN,MID(AJ$1,1,2),FALSE)</f>
        <v>0</v>
      </c>
      <c r="AK379" s="55">
        <f>VLOOKUP($E379,'NI-San_SP'!$C:$AN,MID(AK$1,1,2),FALSE)</f>
        <v>0</v>
      </c>
      <c r="AL379" s="55">
        <f>VLOOKUP($E379,'NI-San_SP'!$C:$AN,MID(AL$1,1,2),FALSE)</f>
        <v>0</v>
      </c>
      <c r="AM379" s="56">
        <f>VLOOKUP($E379,'NI-San_SP'!$C:$AN,MID(AM$1,1,2),FALSE)</f>
        <v>0</v>
      </c>
      <c r="AN379" s="30" t="str">
        <f t="shared" si="5"/>
        <v>20201080000000</v>
      </c>
    </row>
    <row r="380" spans="1:40" x14ac:dyDescent="0.25">
      <c r="C380" s="40"/>
      <c r="D380" s="57" t="s">
        <v>1399</v>
      </c>
      <c r="E380" s="57" t="s">
        <v>1400</v>
      </c>
      <c r="F380" s="58" t="s">
        <v>110</v>
      </c>
      <c r="G380" s="52"/>
      <c r="H380" s="52"/>
      <c r="I380" s="52" t="s">
        <v>1401</v>
      </c>
      <c r="J380" s="52" t="s">
        <v>1401</v>
      </c>
      <c r="K380" s="59" t="s">
        <v>79</v>
      </c>
      <c r="L380" s="62" t="s">
        <v>1402</v>
      </c>
      <c r="M380" s="52"/>
      <c r="N380" s="52"/>
      <c r="O380" s="61" t="s">
        <v>1403</v>
      </c>
      <c r="P380" s="76" t="s">
        <v>1404</v>
      </c>
      <c r="Q380" s="55">
        <f>VLOOKUP(E380,'NI-San_SP'!$C:$AN,12,FALSE)</f>
        <v>0</v>
      </c>
      <c r="R380" s="55">
        <f>VLOOKUP(E380,'NI-San_SP'!$C:$AN,13,FALSE)</f>
        <v>13598000</v>
      </c>
      <c r="S380" s="55">
        <f>VLOOKUP(E380,'NI-San_SP'!$C:$AN,31,FALSE)</f>
        <v>0</v>
      </c>
      <c r="T380" s="55">
        <f>VLOOKUP(E380,'NI-San_SP'!$C:$AN,32,FALSE)+VLOOKUP(E380,'NI-San_SP'!$C:$AN,33,FALSE)</f>
        <v>0</v>
      </c>
      <c r="U380" s="55">
        <f>VLOOKUP($E380,'NI-San_SP'!$C:$AN,MID(U$1,1,2),FALSE)</f>
        <v>0</v>
      </c>
      <c r="V380" s="55">
        <f>VLOOKUP($E380,'NI-San_SP'!$C:$AN,MID(V$1,1,2),FALSE)</f>
        <v>0</v>
      </c>
      <c r="W380" s="55">
        <f>VLOOKUP($E380,'NI-San_SP'!$C:$AN,MID(W$1,1,2),FALSE)</f>
        <v>0</v>
      </c>
      <c r="X380" s="55">
        <f>VLOOKUP($E380,'NI-San_SP'!$C:$AN,MID(X$1,1,2),FALSE)</f>
        <v>0</v>
      </c>
      <c r="Y380" s="55">
        <f>VLOOKUP($E380,'NI-San_SP'!$C:$AN,MID(Y$1,1,2),FALSE)</f>
        <v>13598000</v>
      </c>
      <c r="Z380" s="55">
        <f>VLOOKUP($E380,'NI-San_SP'!$C:$AN,MID(Z$1,1,2),FALSE)</f>
        <v>0</v>
      </c>
      <c r="AA380" s="55">
        <f>VLOOKUP($E380,'NI-San_SP'!$C:$AN,MID(AA$1,1,2),FALSE)</f>
        <v>0</v>
      </c>
      <c r="AB380" s="55">
        <f>VLOOKUP($E380,'NI-San_SP'!$C:$AN,MID(AB$1,1,2),FALSE)</f>
        <v>0</v>
      </c>
      <c r="AC380" s="55">
        <f>VLOOKUP($E380,'NI-San_SP'!$C:$AN,MID(AC$1,1,2),FALSE)</f>
        <v>13598000</v>
      </c>
      <c r="AD380" s="55">
        <f>VLOOKUP($E380,'NI-San_SP'!$C:$AN,MID(AD$1,1,2),FALSE)</f>
        <v>0</v>
      </c>
      <c r="AE380" s="55">
        <f>VLOOKUP($E380,'NI-San_SP'!$C:$AN,MID(AE$1,1,2),FALSE)</f>
        <v>0</v>
      </c>
      <c r="AF380" s="55">
        <f>VLOOKUP($E380,'NI-San_SP'!$C:$AN,MID(AF$1,1,2),FALSE)</f>
        <v>0</v>
      </c>
      <c r="AG380" s="55">
        <f>VLOOKUP($E380,'NI-San_SP'!$C:$AN,MID(AG$1,1,2),FALSE)</f>
        <v>0</v>
      </c>
      <c r="AH380" s="55">
        <f>VLOOKUP($E380,'NI-San_SP'!$C:$AN,MID(AH$1,1,2),FALSE)</f>
        <v>0</v>
      </c>
      <c r="AI380" s="55">
        <f>VLOOKUP($E380,'NI-San_SP'!$C:$AN,MID(AI$1,1,2),FALSE)</f>
        <v>0</v>
      </c>
      <c r="AJ380" s="55">
        <f>VLOOKUP($E380,'NI-San_SP'!$C:$AN,MID(AJ$1,1,2),FALSE)</f>
        <v>0</v>
      </c>
      <c r="AK380" s="55">
        <f>VLOOKUP($E380,'NI-San_SP'!$C:$AN,MID(AK$1,1,2),FALSE)</f>
        <v>0</v>
      </c>
      <c r="AL380" s="55">
        <f>VLOOKUP($E380,'NI-San_SP'!$C:$AN,MID(AL$1,1,2),FALSE)</f>
        <v>0</v>
      </c>
      <c r="AM380" s="56">
        <f>VLOOKUP($E380,'NI-San_SP'!$C:$AN,MID(AM$1,1,2),FALSE)</f>
        <v>0</v>
      </c>
      <c r="AN380" s="30" t="str">
        <f t="shared" si="5"/>
        <v>20201090000000</v>
      </c>
    </row>
    <row r="381" spans="1:40" x14ac:dyDescent="0.25">
      <c r="C381" s="40"/>
      <c r="D381" s="57" t="s">
        <v>1405</v>
      </c>
      <c r="E381" s="57" t="s">
        <v>1406</v>
      </c>
      <c r="F381" s="58" t="s">
        <v>110</v>
      </c>
      <c r="G381" s="52"/>
      <c r="H381" s="52"/>
      <c r="I381" s="52"/>
      <c r="J381" s="52"/>
      <c r="K381" s="59" t="s">
        <v>111</v>
      </c>
      <c r="L381" s="62"/>
      <c r="M381" s="52"/>
      <c r="N381" s="52"/>
      <c r="O381" s="52"/>
      <c r="P381" s="76" t="s">
        <v>1407</v>
      </c>
      <c r="Q381" s="55">
        <f>VLOOKUP(E381,'NI-San_SP'!$C:$AN,12,FALSE)</f>
        <v>0</v>
      </c>
      <c r="R381" s="55">
        <f>VLOOKUP(E381,'NI-San_SP'!$C:$AN,13,FALSE)</f>
        <v>0</v>
      </c>
      <c r="S381" s="55">
        <f>VLOOKUP(E381,'NI-San_SP'!$C:$AN,31,FALSE)</f>
        <v>0</v>
      </c>
      <c r="T381" s="55">
        <f>VLOOKUP(E381,'NI-San_SP'!$C:$AN,32,FALSE)+VLOOKUP(E381,'NI-San_SP'!$C:$AN,33,FALSE)</f>
        <v>0</v>
      </c>
      <c r="U381" s="55">
        <f>VLOOKUP($E381,'NI-San_SP'!$C:$AN,MID(U$1,1,2),FALSE)</f>
        <v>0</v>
      </c>
      <c r="V381" s="55">
        <f>VLOOKUP($E381,'NI-San_SP'!$C:$AN,MID(V$1,1,2),FALSE)</f>
        <v>0</v>
      </c>
      <c r="W381" s="55">
        <f>VLOOKUP($E381,'NI-San_SP'!$C:$AN,MID(W$1,1,2),FALSE)</f>
        <v>0</v>
      </c>
      <c r="X381" s="55">
        <f>VLOOKUP($E381,'NI-San_SP'!$C:$AN,MID(X$1,1,2),FALSE)</f>
        <v>0</v>
      </c>
      <c r="Y381" s="55">
        <f>VLOOKUP($E381,'NI-San_SP'!$C:$AN,MID(Y$1,1,2),FALSE)</f>
        <v>0</v>
      </c>
      <c r="Z381" s="55">
        <f>VLOOKUP($E381,'NI-San_SP'!$C:$AN,MID(Z$1,1,2),FALSE)</f>
        <v>0</v>
      </c>
      <c r="AA381" s="55">
        <f>VLOOKUP($E381,'NI-San_SP'!$C:$AN,MID(AA$1,1,2),FALSE)</f>
        <v>0</v>
      </c>
      <c r="AB381" s="55">
        <f>VLOOKUP($E381,'NI-San_SP'!$C:$AN,MID(AB$1,1,2),FALSE)</f>
        <v>0</v>
      </c>
      <c r="AC381" s="55">
        <f>VLOOKUP($E381,'NI-San_SP'!$C:$AN,MID(AC$1,1,2),FALSE)</f>
        <v>0</v>
      </c>
      <c r="AD381" s="55">
        <f>VLOOKUP($E381,'NI-San_SP'!$C:$AN,MID(AD$1,1,2),FALSE)</f>
        <v>0</v>
      </c>
      <c r="AE381" s="55">
        <f>VLOOKUP($E381,'NI-San_SP'!$C:$AN,MID(AE$1,1,2),FALSE)</f>
        <v>0</v>
      </c>
      <c r="AF381" s="55">
        <f>VLOOKUP($E381,'NI-San_SP'!$C:$AN,MID(AF$1,1,2),FALSE)</f>
        <v>0</v>
      </c>
      <c r="AG381" s="55">
        <f>VLOOKUP($E381,'NI-San_SP'!$C:$AN,MID(AG$1,1,2),FALSE)</f>
        <v>0</v>
      </c>
      <c r="AH381" s="55">
        <f>VLOOKUP($E381,'NI-San_SP'!$C:$AN,MID(AH$1,1,2),FALSE)</f>
        <v>0</v>
      </c>
      <c r="AI381" s="55">
        <f>VLOOKUP($E381,'NI-San_SP'!$C:$AN,MID(AI$1,1,2),FALSE)</f>
        <v>0</v>
      </c>
      <c r="AJ381" s="55">
        <f>VLOOKUP($E381,'NI-San_SP'!$C:$AN,MID(AJ$1,1,2),FALSE)</f>
        <v>0</v>
      </c>
      <c r="AK381" s="55">
        <f>VLOOKUP($E381,'NI-San_SP'!$C:$AN,MID(AK$1,1,2),FALSE)</f>
        <v>0</v>
      </c>
      <c r="AL381" s="55">
        <f>VLOOKUP($E381,'NI-San_SP'!$C:$AN,MID(AL$1,1,2),FALSE)</f>
        <v>0</v>
      </c>
      <c r="AM381" s="56">
        <f>VLOOKUP($E381,'NI-San_SP'!$C:$AN,MID(AM$1,1,2),FALSE)</f>
        <v>0</v>
      </c>
      <c r="AN381" s="30" t="str">
        <f t="shared" si="5"/>
        <v>20201100000000</v>
      </c>
    </row>
    <row r="382" spans="1:40" x14ac:dyDescent="0.25">
      <c r="C382" s="40"/>
      <c r="D382" s="57" t="s">
        <v>1408</v>
      </c>
      <c r="E382" s="57" t="s">
        <v>1409</v>
      </c>
      <c r="F382" s="58" t="s">
        <v>110</v>
      </c>
      <c r="G382" s="52"/>
      <c r="H382" s="52"/>
      <c r="I382" s="52" t="s">
        <v>1410</v>
      </c>
      <c r="J382" s="52" t="s">
        <v>1410</v>
      </c>
      <c r="K382" s="59" t="s">
        <v>79</v>
      </c>
      <c r="L382" s="62" t="s">
        <v>1359</v>
      </c>
      <c r="M382" s="52"/>
      <c r="N382" s="52"/>
      <c r="O382" s="61" t="s">
        <v>1411</v>
      </c>
      <c r="P382" s="76" t="s">
        <v>1412</v>
      </c>
      <c r="Q382" s="55">
        <f>VLOOKUP(E382,'NI-San_SP'!$C:$AN,12,FALSE)</f>
        <v>0</v>
      </c>
      <c r="R382" s="55">
        <f>VLOOKUP(E382,'NI-San_SP'!$C:$AN,13,FALSE)</f>
        <v>0</v>
      </c>
      <c r="S382" s="55">
        <f>VLOOKUP(E382,'NI-San_SP'!$C:$AN,31,FALSE)</f>
        <v>0</v>
      </c>
      <c r="T382" s="55">
        <f>VLOOKUP(E382,'NI-San_SP'!$C:$AN,32,FALSE)+VLOOKUP(E382,'NI-San_SP'!$C:$AN,33,FALSE)</f>
        <v>0</v>
      </c>
      <c r="U382" s="55">
        <f>VLOOKUP($E382,'NI-San_SP'!$C:$AN,MID(U$1,1,2),FALSE)</f>
        <v>0</v>
      </c>
      <c r="V382" s="55">
        <f>VLOOKUP($E382,'NI-San_SP'!$C:$AN,MID(V$1,1,2),FALSE)</f>
        <v>0</v>
      </c>
      <c r="W382" s="55">
        <f>VLOOKUP($E382,'NI-San_SP'!$C:$AN,MID(W$1,1,2),FALSE)</f>
        <v>0</v>
      </c>
      <c r="X382" s="55">
        <f>VLOOKUP($E382,'NI-San_SP'!$C:$AN,MID(X$1,1,2),FALSE)</f>
        <v>0</v>
      </c>
      <c r="Y382" s="55">
        <f>VLOOKUP($E382,'NI-San_SP'!$C:$AN,MID(Y$1,1,2),FALSE)</f>
        <v>0</v>
      </c>
      <c r="Z382" s="55">
        <f>VLOOKUP($E382,'NI-San_SP'!$C:$AN,MID(Z$1,1,2),FALSE)</f>
        <v>0</v>
      </c>
      <c r="AA382" s="55">
        <f>VLOOKUP($E382,'NI-San_SP'!$C:$AN,MID(AA$1,1,2),FALSE)</f>
        <v>0</v>
      </c>
      <c r="AB382" s="55">
        <f>VLOOKUP($E382,'NI-San_SP'!$C:$AN,MID(AB$1,1,2),FALSE)</f>
        <v>0</v>
      </c>
      <c r="AC382" s="55">
        <f>VLOOKUP($E382,'NI-San_SP'!$C:$AN,MID(AC$1,1,2),FALSE)</f>
        <v>0</v>
      </c>
      <c r="AD382" s="55">
        <f>VLOOKUP($E382,'NI-San_SP'!$C:$AN,MID(AD$1,1,2),FALSE)</f>
        <v>0</v>
      </c>
      <c r="AE382" s="55">
        <f>VLOOKUP($E382,'NI-San_SP'!$C:$AN,MID(AE$1,1,2),FALSE)</f>
        <v>0</v>
      </c>
      <c r="AF382" s="55">
        <f>VLOOKUP($E382,'NI-San_SP'!$C:$AN,MID(AF$1,1,2),FALSE)</f>
        <v>0</v>
      </c>
      <c r="AG382" s="55">
        <f>VLOOKUP($E382,'NI-San_SP'!$C:$AN,MID(AG$1,1,2),FALSE)</f>
        <v>0</v>
      </c>
      <c r="AH382" s="55">
        <f>VLOOKUP($E382,'NI-San_SP'!$C:$AN,MID(AH$1,1,2),FALSE)</f>
        <v>0</v>
      </c>
      <c r="AI382" s="55">
        <f>VLOOKUP($E382,'NI-San_SP'!$C:$AN,MID(AI$1,1,2),FALSE)</f>
        <v>0</v>
      </c>
      <c r="AJ382" s="55">
        <f>VLOOKUP($E382,'NI-San_SP'!$C:$AN,MID(AJ$1,1,2),FALSE)</f>
        <v>0</v>
      </c>
      <c r="AK382" s="55">
        <f>VLOOKUP($E382,'NI-San_SP'!$C:$AN,MID(AK$1,1,2),FALSE)</f>
        <v>0</v>
      </c>
      <c r="AL382" s="55">
        <f>VLOOKUP($E382,'NI-San_SP'!$C:$AN,MID(AL$1,1,2),FALSE)</f>
        <v>0</v>
      </c>
      <c r="AM382" s="56">
        <f>VLOOKUP($E382,'NI-San_SP'!$C:$AN,MID(AM$1,1,2),FALSE)</f>
        <v>0</v>
      </c>
      <c r="AN382" s="30" t="str">
        <f t="shared" si="5"/>
        <v>20201100010000</v>
      </c>
    </row>
    <row r="383" spans="1:40" x14ac:dyDescent="0.25">
      <c r="C383" s="40"/>
      <c r="D383" s="57" t="s">
        <v>1413</v>
      </c>
      <c r="E383" s="57" t="s">
        <v>1414</v>
      </c>
      <c r="F383" s="58" t="s">
        <v>110</v>
      </c>
      <c r="G383" s="52"/>
      <c r="H383" s="52"/>
      <c r="I383" s="52" t="s">
        <v>1415</v>
      </c>
      <c r="J383" s="52" t="s">
        <v>1415</v>
      </c>
      <c r="K383" s="59" t="s">
        <v>79</v>
      </c>
      <c r="L383" s="62" t="s">
        <v>1416</v>
      </c>
      <c r="M383" s="52"/>
      <c r="N383" s="52"/>
      <c r="O383" s="61" t="s">
        <v>1417</v>
      </c>
      <c r="P383" s="76" t="s">
        <v>1418</v>
      </c>
      <c r="Q383" s="55">
        <f>VLOOKUP(E383,'NI-San_SP'!$C:$AN,12,FALSE)</f>
        <v>0</v>
      </c>
      <c r="R383" s="55">
        <f>VLOOKUP(E383,'NI-San_SP'!$C:$AN,13,FALSE)</f>
        <v>0</v>
      </c>
      <c r="S383" s="55">
        <f>VLOOKUP(E383,'NI-San_SP'!$C:$AN,31,FALSE)</f>
        <v>0</v>
      </c>
      <c r="T383" s="55">
        <f>VLOOKUP(E383,'NI-San_SP'!$C:$AN,32,FALSE)+VLOOKUP(E383,'NI-San_SP'!$C:$AN,33,FALSE)</f>
        <v>0</v>
      </c>
      <c r="U383" s="55">
        <f>VLOOKUP($E383,'NI-San_SP'!$C:$AN,MID(U$1,1,2),FALSE)</f>
        <v>0</v>
      </c>
      <c r="V383" s="55">
        <f>VLOOKUP($E383,'NI-San_SP'!$C:$AN,MID(V$1,1,2),FALSE)</f>
        <v>0</v>
      </c>
      <c r="W383" s="55">
        <f>VLOOKUP($E383,'NI-San_SP'!$C:$AN,MID(W$1,1,2),FALSE)</f>
        <v>0</v>
      </c>
      <c r="X383" s="55">
        <f>VLOOKUP($E383,'NI-San_SP'!$C:$AN,MID(X$1,1,2),FALSE)</f>
        <v>0</v>
      </c>
      <c r="Y383" s="55">
        <f>VLOOKUP($E383,'NI-San_SP'!$C:$AN,MID(Y$1,1,2),FALSE)</f>
        <v>0</v>
      </c>
      <c r="Z383" s="55">
        <f>VLOOKUP($E383,'NI-San_SP'!$C:$AN,MID(Z$1,1,2),FALSE)</f>
        <v>0</v>
      </c>
      <c r="AA383" s="55">
        <f>VLOOKUP($E383,'NI-San_SP'!$C:$AN,MID(AA$1,1,2),FALSE)</f>
        <v>0</v>
      </c>
      <c r="AB383" s="55">
        <f>VLOOKUP($E383,'NI-San_SP'!$C:$AN,MID(AB$1,1,2),FALSE)</f>
        <v>0</v>
      </c>
      <c r="AC383" s="55">
        <f>VLOOKUP($E383,'NI-San_SP'!$C:$AN,MID(AC$1,1,2),FALSE)</f>
        <v>0</v>
      </c>
      <c r="AD383" s="55">
        <f>VLOOKUP($E383,'NI-San_SP'!$C:$AN,MID(AD$1,1,2),FALSE)</f>
        <v>0</v>
      </c>
      <c r="AE383" s="55">
        <f>VLOOKUP($E383,'NI-San_SP'!$C:$AN,MID(AE$1,1,2),FALSE)</f>
        <v>0</v>
      </c>
      <c r="AF383" s="55">
        <f>VLOOKUP($E383,'NI-San_SP'!$C:$AN,MID(AF$1,1,2),FALSE)</f>
        <v>0</v>
      </c>
      <c r="AG383" s="55">
        <f>VLOOKUP($E383,'NI-San_SP'!$C:$AN,MID(AG$1,1,2),FALSE)</f>
        <v>0</v>
      </c>
      <c r="AH383" s="55">
        <f>VLOOKUP($E383,'NI-San_SP'!$C:$AN,MID(AH$1,1,2),FALSE)</f>
        <v>0</v>
      </c>
      <c r="AI383" s="55">
        <f>VLOOKUP($E383,'NI-San_SP'!$C:$AN,MID(AI$1,1,2),FALSE)</f>
        <v>0</v>
      </c>
      <c r="AJ383" s="55">
        <f>VLOOKUP($E383,'NI-San_SP'!$C:$AN,MID(AJ$1,1,2),FALSE)</f>
        <v>0</v>
      </c>
      <c r="AK383" s="55">
        <f>VLOOKUP($E383,'NI-San_SP'!$C:$AN,MID(AK$1,1,2),FALSE)</f>
        <v>0</v>
      </c>
      <c r="AL383" s="55">
        <f>VLOOKUP($E383,'NI-San_SP'!$C:$AN,MID(AL$1,1,2),FALSE)</f>
        <v>0</v>
      </c>
      <c r="AM383" s="56">
        <f>VLOOKUP($E383,'NI-San_SP'!$C:$AN,MID(AM$1,1,2),FALSE)</f>
        <v>0</v>
      </c>
      <c r="AN383" s="30" t="str">
        <f t="shared" si="5"/>
        <v>20201100020000</v>
      </c>
    </row>
    <row r="384" spans="1:40" x14ac:dyDescent="0.25">
      <c r="C384" s="40"/>
      <c r="D384" s="57" t="s">
        <v>1419</v>
      </c>
      <c r="E384" s="57" t="s">
        <v>1420</v>
      </c>
      <c r="F384" s="58" t="s">
        <v>110</v>
      </c>
      <c r="G384" s="52"/>
      <c r="H384" s="52"/>
      <c r="I384" s="52" t="s">
        <v>1421</v>
      </c>
      <c r="J384" s="52" t="s">
        <v>1421</v>
      </c>
      <c r="K384" s="59" t="s">
        <v>79</v>
      </c>
      <c r="L384" s="62" t="s">
        <v>1359</v>
      </c>
      <c r="M384" s="52"/>
      <c r="N384" s="52"/>
      <c r="O384" s="61" t="s">
        <v>1422</v>
      </c>
      <c r="P384" s="76" t="s">
        <v>1423</v>
      </c>
      <c r="Q384" s="55">
        <f>VLOOKUP(E384,'NI-San_SP'!$C:$AN,12,FALSE)</f>
        <v>0</v>
      </c>
      <c r="R384" s="55">
        <f>VLOOKUP(E384,'NI-San_SP'!$C:$AN,13,FALSE)</f>
        <v>0</v>
      </c>
      <c r="S384" s="55">
        <f>VLOOKUP(E384,'NI-San_SP'!$C:$AN,31,FALSE)</f>
        <v>0</v>
      </c>
      <c r="T384" s="55">
        <f>VLOOKUP(E384,'NI-San_SP'!$C:$AN,32,FALSE)+VLOOKUP(E384,'NI-San_SP'!$C:$AN,33,FALSE)</f>
        <v>0</v>
      </c>
      <c r="U384" s="55">
        <f>VLOOKUP($E384,'NI-San_SP'!$C:$AN,MID(U$1,1,2),FALSE)</f>
        <v>0</v>
      </c>
      <c r="V384" s="55">
        <f>VLOOKUP($E384,'NI-San_SP'!$C:$AN,MID(V$1,1,2),FALSE)</f>
        <v>0</v>
      </c>
      <c r="W384" s="55">
        <f>VLOOKUP($E384,'NI-San_SP'!$C:$AN,MID(W$1,1,2),FALSE)</f>
        <v>0</v>
      </c>
      <c r="X384" s="55">
        <f>VLOOKUP($E384,'NI-San_SP'!$C:$AN,MID(X$1,1,2),FALSE)</f>
        <v>0</v>
      </c>
      <c r="Y384" s="55">
        <f>VLOOKUP($E384,'NI-San_SP'!$C:$AN,MID(Y$1,1,2),FALSE)</f>
        <v>0</v>
      </c>
      <c r="Z384" s="55">
        <f>VLOOKUP($E384,'NI-San_SP'!$C:$AN,MID(Z$1,1,2),FALSE)</f>
        <v>0</v>
      </c>
      <c r="AA384" s="55">
        <f>VLOOKUP($E384,'NI-San_SP'!$C:$AN,MID(AA$1,1,2),FALSE)</f>
        <v>0</v>
      </c>
      <c r="AB384" s="55">
        <f>VLOOKUP($E384,'NI-San_SP'!$C:$AN,MID(AB$1,1,2),FALSE)</f>
        <v>0</v>
      </c>
      <c r="AC384" s="55">
        <f>VLOOKUP($E384,'NI-San_SP'!$C:$AN,MID(AC$1,1,2),FALSE)</f>
        <v>0</v>
      </c>
      <c r="AD384" s="55">
        <f>VLOOKUP($E384,'NI-San_SP'!$C:$AN,MID(AD$1,1,2),FALSE)</f>
        <v>0</v>
      </c>
      <c r="AE384" s="55">
        <f>VLOOKUP($E384,'NI-San_SP'!$C:$AN,MID(AE$1,1,2),FALSE)</f>
        <v>0</v>
      </c>
      <c r="AF384" s="55">
        <f>VLOOKUP($E384,'NI-San_SP'!$C:$AN,MID(AF$1,1,2),FALSE)</f>
        <v>0</v>
      </c>
      <c r="AG384" s="55">
        <f>VLOOKUP($E384,'NI-San_SP'!$C:$AN,MID(AG$1,1,2),FALSE)</f>
        <v>0</v>
      </c>
      <c r="AH384" s="55">
        <f>VLOOKUP($E384,'NI-San_SP'!$C:$AN,MID(AH$1,1,2),FALSE)</f>
        <v>0</v>
      </c>
      <c r="AI384" s="55">
        <f>VLOOKUP($E384,'NI-San_SP'!$C:$AN,MID(AI$1,1,2),FALSE)</f>
        <v>0</v>
      </c>
      <c r="AJ384" s="55">
        <f>VLOOKUP($E384,'NI-San_SP'!$C:$AN,MID(AJ$1,1,2),FALSE)</f>
        <v>0</v>
      </c>
      <c r="AK384" s="55">
        <f>VLOOKUP($E384,'NI-San_SP'!$C:$AN,MID(AK$1,1,2),FALSE)</f>
        <v>0</v>
      </c>
      <c r="AL384" s="55">
        <f>VLOOKUP($E384,'NI-San_SP'!$C:$AN,MID(AL$1,1,2),FALSE)</f>
        <v>0</v>
      </c>
      <c r="AM384" s="56">
        <f>VLOOKUP($E384,'NI-San_SP'!$C:$AN,MID(AM$1,1,2),FALSE)</f>
        <v>0</v>
      </c>
      <c r="AN384" s="30" t="str">
        <f t="shared" si="5"/>
        <v>20201100030000</v>
      </c>
    </row>
    <row r="385" spans="3:40" x14ac:dyDescent="0.25">
      <c r="C385" s="40"/>
      <c r="D385" s="57" t="s">
        <v>1424</v>
      </c>
      <c r="E385" s="57" t="s">
        <v>1425</v>
      </c>
      <c r="F385" s="58" t="s">
        <v>110</v>
      </c>
      <c r="G385" s="52"/>
      <c r="H385" s="52"/>
      <c r="I385" s="52" t="s">
        <v>1426</v>
      </c>
      <c r="J385" s="52" t="s">
        <v>1426</v>
      </c>
      <c r="K385" s="59" t="s">
        <v>79</v>
      </c>
      <c r="L385" s="62" t="s">
        <v>1402</v>
      </c>
      <c r="M385" s="52"/>
      <c r="N385" s="52"/>
      <c r="O385" s="61" t="s">
        <v>1427</v>
      </c>
      <c r="P385" s="76" t="s">
        <v>1428</v>
      </c>
      <c r="Q385" s="55">
        <f>VLOOKUP(E385,'NI-San_SP'!$C:$AN,12,FALSE)</f>
        <v>0</v>
      </c>
      <c r="R385" s="55">
        <f>VLOOKUP(E385,'NI-San_SP'!$C:$AN,13,FALSE)</f>
        <v>0</v>
      </c>
      <c r="S385" s="55">
        <f>VLOOKUP(E385,'NI-San_SP'!$C:$AN,31,FALSE)</f>
        <v>0</v>
      </c>
      <c r="T385" s="55">
        <f>VLOOKUP(E385,'NI-San_SP'!$C:$AN,32,FALSE)+VLOOKUP(E385,'NI-San_SP'!$C:$AN,33,FALSE)</f>
        <v>0</v>
      </c>
      <c r="U385" s="55">
        <f>VLOOKUP($E385,'NI-San_SP'!$C:$AN,MID(U$1,1,2),FALSE)</f>
        <v>0</v>
      </c>
      <c r="V385" s="55">
        <f>VLOOKUP($E385,'NI-San_SP'!$C:$AN,MID(V$1,1,2),FALSE)</f>
        <v>0</v>
      </c>
      <c r="W385" s="55">
        <f>VLOOKUP($E385,'NI-San_SP'!$C:$AN,MID(W$1,1,2),FALSE)</f>
        <v>0</v>
      </c>
      <c r="X385" s="55">
        <f>VLOOKUP($E385,'NI-San_SP'!$C:$AN,MID(X$1,1,2),FALSE)</f>
        <v>0</v>
      </c>
      <c r="Y385" s="55">
        <f>VLOOKUP($E385,'NI-San_SP'!$C:$AN,MID(Y$1,1,2),FALSE)</f>
        <v>0</v>
      </c>
      <c r="Z385" s="55">
        <f>VLOOKUP($E385,'NI-San_SP'!$C:$AN,MID(Z$1,1,2),FALSE)</f>
        <v>0</v>
      </c>
      <c r="AA385" s="55">
        <f>VLOOKUP($E385,'NI-San_SP'!$C:$AN,MID(AA$1,1,2),FALSE)</f>
        <v>0</v>
      </c>
      <c r="AB385" s="55">
        <f>VLOOKUP($E385,'NI-San_SP'!$C:$AN,MID(AB$1,1,2),FALSE)</f>
        <v>0</v>
      </c>
      <c r="AC385" s="55">
        <f>VLOOKUP($E385,'NI-San_SP'!$C:$AN,MID(AC$1,1,2),FALSE)</f>
        <v>0</v>
      </c>
      <c r="AD385" s="55">
        <f>VLOOKUP($E385,'NI-San_SP'!$C:$AN,MID(AD$1,1,2),FALSE)</f>
        <v>0</v>
      </c>
      <c r="AE385" s="55">
        <f>VLOOKUP($E385,'NI-San_SP'!$C:$AN,MID(AE$1,1,2),FALSE)</f>
        <v>0</v>
      </c>
      <c r="AF385" s="55">
        <f>VLOOKUP($E385,'NI-San_SP'!$C:$AN,MID(AF$1,1,2),FALSE)</f>
        <v>0</v>
      </c>
      <c r="AG385" s="55">
        <f>VLOOKUP($E385,'NI-San_SP'!$C:$AN,MID(AG$1,1,2),FALSE)</f>
        <v>0</v>
      </c>
      <c r="AH385" s="55">
        <f>VLOOKUP($E385,'NI-San_SP'!$C:$AN,MID(AH$1,1,2),FALSE)</f>
        <v>0</v>
      </c>
      <c r="AI385" s="55">
        <f>VLOOKUP($E385,'NI-San_SP'!$C:$AN,MID(AI$1,1,2),FALSE)</f>
        <v>0</v>
      </c>
      <c r="AJ385" s="55">
        <f>VLOOKUP($E385,'NI-San_SP'!$C:$AN,MID(AJ$1,1,2),FALSE)</f>
        <v>0</v>
      </c>
      <c r="AK385" s="55">
        <f>VLOOKUP($E385,'NI-San_SP'!$C:$AN,MID(AK$1,1,2),FALSE)</f>
        <v>0</v>
      </c>
      <c r="AL385" s="55">
        <f>VLOOKUP($E385,'NI-San_SP'!$C:$AN,MID(AL$1,1,2),FALSE)</f>
        <v>0</v>
      </c>
      <c r="AM385" s="56">
        <f>VLOOKUP($E385,'NI-San_SP'!$C:$AN,MID(AM$1,1,2),FALSE)</f>
        <v>0</v>
      </c>
      <c r="AN385" s="30" t="str">
        <f t="shared" si="5"/>
        <v>20201100040000</v>
      </c>
    </row>
    <row r="386" spans="3:40" x14ac:dyDescent="0.25">
      <c r="C386" s="40"/>
      <c r="D386" s="57" t="s">
        <v>1429</v>
      </c>
      <c r="E386" s="57" t="s">
        <v>1430</v>
      </c>
      <c r="F386" s="58" t="s">
        <v>110</v>
      </c>
      <c r="G386" s="52"/>
      <c r="H386" s="52"/>
      <c r="I386" s="52" t="s">
        <v>1431</v>
      </c>
      <c r="J386" s="52" t="s">
        <v>1431</v>
      </c>
      <c r="K386" s="59" t="s">
        <v>79</v>
      </c>
      <c r="L386" s="62" t="s">
        <v>1359</v>
      </c>
      <c r="M386" s="52"/>
      <c r="N386" s="52"/>
      <c r="O386" s="61" t="s">
        <v>1432</v>
      </c>
      <c r="P386" s="76" t="s">
        <v>1433</v>
      </c>
      <c r="Q386" s="55">
        <f>VLOOKUP(E386,'NI-San_SP'!$C:$AN,12,FALSE)</f>
        <v>0</v>
      </c>
      <c r="R386" s="55">
        <f>VLOOKUP(E386,'NI-San_SP'!$C:$AN,13,FALSE)</f>
        <v>0</v>
      </c>
      <c r="S386" s="55">
        <f>VLOOKUP(E386,'NI-San_SP'!$C:$AN,31,FALSE)</f>
        <v>0</v>
      </c>
      <c r="T386" s="55">
        <f>VLOOKUP(E386,'NI-San_SP'!$C:$AN,32,FALSE)+VLOOKUP(E386,'NI-San_SP'!$C:$AN,33,FALSE)</f>
        <v>0</v>
      </c>
      <c r="U386" s="55">
        <f>VLOOKUP($E386,'NI-San_SP'!$C:$AN,MID(U$1,1,2),FALSE)</f>
        <v>0</v>
      </c>
      <c r="V386" s="55">
        <f>VLOOKUP($E386,'NI-San_SP'!$C:$AN,MID(V$1,1,2),FALSE)</f>
        <v>0</v>
      </c>
      <c r="W386" s="55">
        <f>VLOOKUP($E386,'NI-San_SP'!$C:$AN,MID(W$1,1,2),FALSE)</f>
        <v>0</v>
      </c>
      <c r="X386" s="55">
        <f>VLOOKUP($E386,'NI-San_SP'!$C:$AN,MID(X$1,1,2),FALSE)</f>
        <v>0</v>
      </c>
      <c r="Y386" s="55">
        <f>VLOOKUP($E386,'NI-San_SP'!$C:$AN,MID(Y$1,1,2),FALSE)</f>
        <v>0</v>
      </c>
      <c r="Z386" s="55">
        <f>VLOOKUP($E386,'NI-San_SP'!$C:$AN,MID(Z$1,1,2),FALSE)</f>
        <v>0</v>
      </c>
      <c r="AA386" s="55">
        <f>VLOOKUP($E386,'NI-San_SP'!$C:$AN,MID(AA$1,1,2),FALSE)</f>
        <v>0</v>
      </c>
      <c r="AB386" s="55">
        <f>VLOOKUP($E386,'NI-San_SP'!$C:$AN,MID(AB$1,1,2),FALSE)</f>
        <v>0</v>
      </c>
      <c r="AC386" s="55">
        <f>VLOOKUP($E386,'NI-San_SP'!$C:$AN,MID(AC$1,1,2),FALSE)</f>
        <v>0</v>
      </c>
      <c r="AD386" s="55">
        <f>VLOOKUP($E386,'NI-San_SP'!$C:$AN,MID(AD$1,1,2),FALSE)</f>
        <v>0</v>
      </c>
      <c r="AE386" s="55">
        <f>VLOOKUP($E386,'NI-San_SP'!$C:$AN,MID(AE$1,1,2),FALSE)</f>
        <v>0</v>
      </c>
      <c r="AF386" s="55">
        <f>VLOOKUP($E386,'NI-San_SP'!$C:$AN,MID(AF$1,1,2),FALSE)</f>
        <v>0</v>
      </c>
      <c r="AG386" s="55">
        <f>VLOOKUP($E386,'NI-San_SP'!$C:$AN,MID(AG$1,1,2),FALSE)</f>
        <v>0</v>
      </c>
      <c r="AH386" s="55">
        <f>VLOOKUP($E386,'NI-San_SP'!$C:$AN,MID(AH$1,1,2),FALSE)</f>
        <v>0</v>
      </c>
      <c r="AI386" s="55">
        <f>VLOOKUP($E386,'NI-San_SP'!$C:$AN,MID(AI$1,1,2),FALSE)</f>
        <v>0</v>
      </c>
      <c r="AJ386" s="55">
        <f>VLOOKUP($E386,'NI-San_SP'!$C:$AN,MID(AJ$1,1,2),FALSE)</f>
        <v>0</v>
      </c>
      <c r="AK386" s="55">
        <f>VLOOKUP($E386,'NI-San_SP'!$C:$AN,MID(AK$1,1,2),FALSE)</f>
        <v>0</v>
      </c>
      <c r="AL386" s="55">
        <f>VLOOKUP($E386,'NI-San_SP'!$C:$AN,MID(AL$1,1,2),FALSE)</f>
        <v>0</v>
      </c>
      <c r="AM386" s="56">
        <f>VLOOKUP($E386,'NI-San_SP'!$C:$AN,MID(AM$1,1,2),FALSE)</f>
        <v>0</v>
      </c>
      <c r="AN386" s="30" t="str">
        <f t="shared" ref="AN386:AN449" si="6">D386</f>
        <v>20201110000000</v>
      </c>
    </row>
    <row r="387" spans="3:40" x14ac:dyDescent="0.25">
      <c r="C387" s="40"/>
      <c r="D387" s="57" t="s">
        <v>1434</v>
      </c>
      <c r="E387" s="57" t="s">
        <v>1435</v>
      </c>
      <c r="F387" s="58" t="s">
        <v>110</v>
      </c>
      <c r="G387" s="52"/>
      <c r="H387" s="52"/>
      <c r="I387" s="52"/>
      <c r="J387" s="52"/>
      <c r="K387" s="59" t="s">
        <v>111</v>
      </c>
      <c r="L387" s="52"/>
      <c r="M387" s="52"/>
      <c r="N387" s="52"/>
      <c r="O387" s="52"/>
      <c r="P387" s="76" t="s">
        <v>1436</v>
      </c>
      <c r="Q387" s="55">
        <f>VLOOKUP(E387,'NI-San_SP'!$C:$AN,12,FALSE)</f>
        <v>56089659</v>
      </c>
      <c r="R387" s="55">
        <f>VLOOKUP(E387,'NI-San_SP'!$C:$AN,13,FALSE)</f>
        <v>74239770</v>
      </c>
      <c r="S387" s="55">
        <f>VLOOKUP(E387,'NI-San_SP'!$C:$AN,31,FALSE)</f>
        <v>3026827</v>
      </c>
      <c r="T387" s="55">
        <f>VLOOKUP(E387,'NI-San_SP'!$C:$AN,32,FALSE)+VLOOKUP(E387,'NI-San_SP'!$C:$AN,33,FALSE)</f>
        <v>29090468</v>
      </c>
      <c r="U387" s="55">
        <f>VLOOKUP($E387,'NI-San_SP'!$C:$AN,MID(U$1,1,2),FALSE)</f>
        <v>0</v>
      </c>
      <c r="V387" s="55">
        <f>VLOOKUP($E387,'NI-San_SP'!$C:$AN,MID(V$1,1,2),FALSE)</f>
        <v>56089659</v>
      </c>
      <c r="W387" s="55">
        <f>VLOOKUP($E387,'NI-San_SP'!$C:$AN,MID(W$1,1,2),FALSE)</f>
        <v>0</v>
      </c>
      <c r="X387" s="55">
        <f>VLOOKUP($E387,'NI-San_SP'!$C:$AN,MID(X$1,1,2),FALSE)</f>
        <v>0</v>
      </c>
      <c r="Y387" s="55">
        <f>VLOOKUP($E387,'NI-San_SP'!$C:$AN,MID(Y$1,1,2),FALSE)</f>
        <v>89250013</v>
      </c>
      <c r="Z387" s="55">
        <f>VLOOKUP($E387,'NI-San_SP'!$C:$AN,MID(Z$1,1,2),FALSE)</f>
        <v>11856478</v>
      </c>
      <c r="AA387" s="55">
        <f>VLOOKUP($E387,'NI-San_SP'!$C:$AN,MID(AA$1,1,2),FALSE)</f>
        <v>0</v>
      </c>
      <c r="AB387" s="55">
        <f>VLOOKUP($E387,'NI-San_SP'!$C:$AN,MID(AB$1,1,2),FALSE)</f>
        <v>59243424</v>
      </c>
      <c r="AC387" s="55">
        <f>VLOOKUP($E387,'NI-San_SP'!$C:$AN,MID(AC$1,1,2),FALSE)</f>
        <v>74239770</v>
      </c>
      <c r="AD387" s="55">
        <f>VLOOKUP($E387,'NI-San_SP'!$C:$AN,MID(AD$1,1,2),FALSE)</f>
        <v>0</v>
      </c>
      <c r="AE387" s="55">
        <f>VLOOKUP($E387,'NI-San_SP'!$C:$AN,MID(AE$1,1,2),FALSE)</f>
        <v>0</v>
      </c>
      <c r="AF387" s="55">
        <f>VLOOKUP($E387,'NI-San_SP'!$C:$AN,MID(AF$1,1,2),FALSE)</f>
        <v>0</v>
      </c>
      <c r="AG387" s="55">
        <f>VLOOKUP($E387,'NI-San_SP'!$C:$AN,MID(AG$1,1,2),FALSE)</f>
        <v>0</v>
      </c>
      <c r="AH387" s="55">
        <f>VLOOKUP($E387,'NI-San_SP'!$C:$AN,MID(AH$1,1,2),FALSE)</f>
        <v>0</v>
      </c>
      <c r="AI387" s="55">
        <f>VLOOKUP($E387,'NI-San_SP'!$C:$AN,MID(AI$1,1,2),FALSE)</f>
        <v>0</v>
      </c>
      <c r="AJ387" s="55">
        <f>VLOOKUP($E387,'NI-San_SP'!$C:$AN,MID(AJ$1,1,2),FALSE)</f>
        <v>12115886</v>
      </c>
      <c r="AK387" s="55">
        <f>VLOOKUP($E387,'NI-San_SP'!$C:$AN,MID(AK$1,1,2),FALSE)</f>
        <v>3026827</v>
      </c>
      <c r="AL387" s="55">
        <f>VLOOKUP($E387,'NI-San_SP'!$C:$AN,MID(AL$1,1,2),FALSE)</f>
        <v>17381066</v>
      </c>
      <c r="AM387" s="56">
        <f>VLOOKUP($E387,'NI-San_SP'!$C:$AN,MID(AM$1,1,2),FALSE)</f>
        <v>11709402</v>
      </c>
      <c r="AN387" s="30" t="str">
        <f t="shared" si="6"/>
        <v>20202000000000</v>
      </c>
    </row>
    <row r="388" spans="3:40" x14ac:dyDescent="0.25">
      <c r="C388" s="40"/>
      <c r="D388" s="57" t="s">
        <v>1437</v>
      </c>
      <c r="E388" s="57" t="s">
        <v>1438</v>
      </c>
      <c r="F388" s="58" t="s">
        <v>110</v>
      </c>
      <c r="G388" s="52" t="s">
        <v>1439</v>
      </c>
      <c r="H388" s="52"/>
      <c r="I388" s="52"/>
      <c r="J388" s="52"/>
      <c r="K388" s="59" t="s">
        <v>79</v>
      </c>
      <c r="L388" s="52"/>
      <c r="M388" s="52"/>
      <c r="N388" s="52"/>
      <c r="O388" s="52"/>
      <c r="P388" s="76" t="s">
        <v>1440</v>
      </c>
      <c r="Q388" s="55">
        <f>VLOOKUP(E388,'NI-San_SP'!$C:$AN,12,FALSE)</f>
        <v>26822800</v>
      </c>
      <c r="R388" s="55">
        <f>VLOOKUP(E388,'NI-San_SP'!$C:$AN,13,FALSE)</f>
        <v>44597343</v>
      </c>
      <c r="S388" s="55">
        <f>VLOOKUP(E388,'NI-San_SP'!$C:$AN,31,FALSE)</f>
        <v>936607</v>
      </c>
      <c r="T388" s="55">
        <f>VLOOKUP(E388,'NI-San_SP'!$C:$AN,32,FALSE)+VLOOKUP(E388,'NI-San_SP'!$C:$AN,33,FALSE)</f>
        <v>10630402</v>
      </c>
      <c r="U388" s="55">
        <f>VLOOKUP($E388,'NI-San_SP'!$C:$AN,MID(U$1,1,2),FALSE)</f>
        <v>0</v>
      </c>
      <c r="V388" s="55">
        <f>VLOOKUP($E388,'NI-San_SP'!$C:$AN,MID(V$1,1,2),FALSE)</f>
        <v>26822800</v>
      </c>
      <c r="W388" s="55">
        <f>VLOOKUP($E388,'NI-San_SP'!$C:$AN,MID(W$1,1,2),FALSE)</f>
        <v>0</v>
      </c>
      <c r="X388" s="55">
        <f>VLOOKUP($E388,'NI-San_SP'!$C:$AN,MID(X$1,1,2),FALSE)</f>
        <v>0</v>
      </c>
      <c r="Y388" s="55">
        <f>VLOOKUP($E388,'NI-San_SP'!$C:$AN,MID(Y$1,1,2),FALSE)</f>
        <v>84250013</v>
      </c>
      <c r="Z388" s="55">
        <f>VLOOKUP($E388,'NI-San_SP'!$C:$AN,MID(Z$1,1,2),FALSE)</f>
        <v>9732046</v>
      </c>
      <c r="AA388" s="55">
        <f>VLOOKUP($E388,'NI-San_SP'!$C:$AN,MID(AA$1,1,2),FALSE)</f>
        <v>0</v>
      </c>
      <c r="AB388" s="55">
        <f>VLOOKUP($E388,'NI-San_SP'!$C:$AN,MID(AB$1,1,2),FALSE)</f>
        <v>56743424</v>
      </c>
      <c r="AC388" s="55">
        <f>VLOOKUP($E388,'NI-San_SP'!$C:$AN,MID(AC$1,1,2),FALSE)</f>
        <v>44597343</v>
      </c>
      <c r="AD388" s="55">
        <f>VLOOKUP($E388,'NI-San_SP'!$C:$AN,MID(AD$1,1,2),FALSE)</f>
        <v>0</v>
      </c>
      <c r="AE388" s="55">
        <f>VLOOKUP($E388,'NI-San_SP'!$C:$AN,MID(AE$1,1,2),FALSE)</f>
        <v>0</v>
      </c>
      <c r="AF388" s="55">
        <f>VLOOKUP($E388,'NI-San_SP'!$C:$AN,MID(AF$1,1,2),FALSE)</f>
        <v>0</v>
      </c>
      <c r="AG388" s="55">
        <f>VLOOKUP($E388,'NI-San_SP'!$C:$AN,MID(AG$1,1,2),FALSE)</f>
        <v>0</v>
      </c>
      <c r="AH388" s="55">
        <f>VLOOKUP($E388,'NI-San_SP'!$C:$AN,MID(AH$1,1,2),FALSE)</f>
        <v>0</v>
      </c>
      <c r="AI388" s="55">
        <f>VLOOKUP($E388,'NI-San_SP'!$C:$AN,MID(AI$1,1,2),FALSE)</f>
        <v>0</v>
      </c>
      <c r="AJ388" s="55">
        <f>VLOOKUP($E388,'NI-San_SP'!$C:$AN,MID(AJ$1,1,2),FALSE)</f>
        <v>5523745</v>
      </c>
      <c r="AK388" s="55">
        <f>VLOOKUP($E388,'NI-San_SP'!$C:$AN,MID(AK$1,1,2),FALSE)</f>
        <v>936607</v>
      </c>
      <c r="AL388" s="55">
        <f>VLOOKUP($E388,'NI-San_SP'!$C:$AN,MID(AL$1,1,2),FALSE)</f>
        <v>4385000</v>
      </c>
      <c r="AM388" s="56">
        <f>VLOOKUP($E388,'NI-San_SP'!$C:$AN,MID(AM$1,1,2),FALSE)</f>
        <v>6245402</v>
      </c>
      <c r="AN388" s="30" t="str">
        <f t="shared" si="6"/>
        <v>20202005000000</v>
      </c>
    </row>
    <row r="389" spans="3:40" x14ac:dyDescent="0.25">
      <c r="C389" s="40"/>
      <c r="D389" s="57" t="s">
        <v>1437</v>
      </c>
      <c r="E389" s="57" t="s">
        <v>1441</v>
      </c>
      <c r="F389" s="58" t="s">
        <v>110</v>
      </c>
      <c r="G389" s="52" t="s">
        <v>1439</v>
      </c>
      <c r="H389" s="52"/>
      <c r="I389" s="52" t="s">
        <v>1442</v>
      </c>
      <c r="J389" s="52"/>
      <c r="K389" s="59" t="s">
        <v>1358</v>
      </c>
      <c r="L389" s="62" t="s">
        <v>1443</v>
      </c>
      <c r="M389" s="52"/>
      <c r="N389" s="52"/>
      <c r="O389" s="61" t="s">
        <v>1444</v>
      </c>
      <c r="P389" s="76" t="s">
        <v>1445</v>
      </c>
      <c r="Q389" s="55">
        <f>VLOOKUP(E389,'NI-San_SP'!$C:$AN,12,FALSE)</f>
        <v>0</v>
      </c>
      <c r="R389" s="55">
        <f>VLOOKUP(E389,'NI-San_SP'!$C:$AN,13,FALSE)</f>
        <v>0</v>
      </c>
      <c r="S389" s="55">
        <f>VLOOKUP(E389,'NI-San_SP'!$C:$AN,31,FALSE)</f>
        <v>0</v>
      </c>
      <c r="T389" s="55">
        <f>VLOOKUP(E389,'NI-San_SP'!$C:$AN,32,FALSE)+VLOOKUP(E389,'NI-San_SP'!$C:$AN,33,FALSE)</f>
        <v>0</v>
      </c>
      <c r="U389" s="55">
        <f>VLOOKUP($E389,'NI-San_SP'!$C:$AN,MID(U$1,1,2),FALSE)</f>
        <v>0</v>
      </c>
      <c r="V389" s="55">
        <f>VLOOKUP($E389,'NI-San_SP'!$C:$AN,MID(V$1,1,2),FALSE)</f>
        <v>0</v>
      </c>
      <c r="W389" s="55">
        <f>VLOOKUP($E389,'NI-San_SP'!$C:$AN,MID(W$1,1,2),FALSE)</f>
        <v>0</v>
      </c>
      <c r="X389" s="55">
        <f>VLOOKUP($E389,'NI-San_SP'!$C:$AN,MID(X$1,1,2),FALSE)</f>
        <v>0</v>
      </c>
      <c r="Y389" s="55">
        <f>VLOOKUP($E389,'NI-San_SP'!$C:$AN,MID(Y$1,1,2),FALSE)</f>
        <v>0</v>
      </c>
      <c r="Z389" s="55">
        <f>VLOOKUP($E389,'NI-San_SP'!$C:$AN,MID(Z$1,1,2),FALSE)</f>
        <v>0</v>
      </c>
      <c r="AA389" s="55">
        <f>VLOOKUP($E389,'NI-San_SP'!$C:$AN,MID(AA$1,1,2),FALSE)</f>
        <v>0</v>
      </c>
      <c r="AB389" s="55">
        <f>VLOOKUP($E389,'NI-San_SP'!$C:$AN,MID(AB$1,1,2),FALSE)</f>
        <v>0</v>
      </c>
      <c r="AC389" s="55">
        <f>VLOOKUP($E389,'NI-San_SP'!$C:$AN,MID(AC$1,1,2),FALSE)</f>
        <v>0</v>
      </c>
      <c r="AD389" s="55">
        <f>VLOOKUP($E389,'NI-San_SP'!$C:$AN,MID(AD$1,1,2),FALSE)</f>
        <v>0</v>
      </c>
      <c r="AE389" s="55">
        <f>VLOOKUP($E389,'NI-San_SP'!$C:$AN,MID(AE$1,1,2),FALSE)</f>
        <v>0</v>
      </c>
      <c r="AF389" s="55">
        <f>VLOOKUP($E389,'NI-San_SP'!$C:$AN,MID(AF$1,1,2),FALSE)</f>
        <v>0</v>
      </c>
      <c r="AG389" s="55">
        <f>VLOOKUP($E389,'NI-San_SP'!$C:$AN,MID(AG$1,1,2),FALSE)</f>
        <v>0</v>
      </c>
      <c r="AH389" s="55">
        <f>VLOOKUP($E389,'NI-San_SP'!$C:$AN,MID(AH$1,1,2),FALSE)</f>
        <v>0</v>
      </c>
      <c r="AI389" s="55">
        <f>VLOOKUP($E389,'NI-San_SP'!$C:$AN,MID(AI$1,1,2),FALSE)</f>
        <v>0</v>
      </c>
      <c r="AJ389" s="55">
        <f>VLOOKUP($E389,'NI-San_SP'!$C:$AN,MID(AJ$1,1,2),FALSE)</f>
        <v>0</v>
      </c>
      <c r="AK389" s="55">
        <f>VLOOKUP($E389,'NI-San_SP'!$C:$AN,MID(AK$1,1,2),FALSE)</f>
        <v>0</v>
      </c>
      <c r="AL389" s="55">
        <f>VLOOKUP($E389,'NI-San_SP'!$C:$AN,MID(AL$1,1,2),FALSE)</f>
        <v>0</v>
      </c>
      <c r="AM389" s="56">
        <f>VLOOKUP($E389,'NI-San_SP'!$C:$AN,MID(AM$1,1,2),FALSE)</f>
        <v>0</v>
      </c>
      <c r="AN389" s="30" t="str">
        <f t="shared" si="6"/>
        <v>20202005000000</v>
      </c>
    </row>
    <row r="390" spans="3:40" x14ac:dyDescent="0.25">
      <c r="C390" s="40"/>
      <c r="D390" s="57" t="s">
        <v>1437</v>
      </c>
      <c r="E390" s="57" t="s">
        <v>1446</v>
      </c>
      <c r="F390" s="58" t="s">
        <v>110</v>
      </c>
      <c r="G390" s="52" t="s">
        <v>1439</v>
      </c>
      <c r="H390" s="52"/>
      <c r="I390" s="52" t="s">
        <v>1447</v>
      </c>
      <c r="J390" s="52" t="s">
        <v>1448</v>
      </c>
      <c r="K390" s="59" t="s">
        <v>1358</v>
      </c>
      <c r="L390" s="62" t="s">
        <v>1443</v>
      </c>
      <c r="M390" s="52"/>
      <c r="N390" s="52"/>
      <c r="O390" s="61" t="s">
        <v>1444</v>
      </c>
      <c r="P390" s="76" t="s">
        <v>1449</v>
      </c>
      <c r="Q390" s="55">
        <f>VLOOKUP(E390,'NI-San_SP'!$C:$AN,12,FALSE)</f>
        <v>0</v>
      </c>
      <c r="R390" s="55">
        <f>VLOOKUP(E390,'NI-San_SP'!$C:$AN,13,FALSE)</f>
        <v>0</v>
      </c>
      <c r="S390" s="55">
        <f>VLOOKUP(E390,'NI-San_SP'!$C:$AN,31,FALSE)</f>
        <v>0</v>
      </c>
      <c r="T390" s="55">
        <f>VLOOKUP(E390,'NI-San_SP'!$C:$AN,32,FALSE)+VLOOKUP(E390,'NI-San_SP'!$C:$AN,33,FALSE)</f>
        <v>0</v>
      </c>
      <c r="U390" s="55">
        <f>VLOOKUP($E390,'NI-San_SP'!$C:$AN,MID(U$1,1,2),FALSE)</f>
        <v>0</v>
      </c>
      <c r="V390" s="55">
        <f>VLOOKUP($E390,'NI-San_SP'!$C:$AN,MID(V$1,1,2),FALSE)</f>
        <v>0</v>
      </c>
      <c r="W390" s="55">
        <f>VLOOKUP($E390,'NI-San_SP'!$C:$AN,MID(W$1,1,2),FALSE)</f>
        <v>0</v>
      </c>
      <c r="X390" s="55">
        <f>VLOOKUP($E390,'NI-San_SP'!$C:$AN,MID(X$1,1,2),FALSE)</f>
        <v>0</v>
      </c>
      <c r="Y390" s="55">
        <f>VLOOKUP($E390,'NI-San_SP'!$C:$AN,MID(Y$1,1,2),FALSE)</f>
        <v>0</v>
      </c>
      <c r="Z390" s="55">
        <f>VLOOKUP($E390,'NI-San_SP'!$C:$AN,MID(Z$1,1,2),FALSE)</f>
        <v>0</v>
      </c>
      <c r="AA390" s="55">
        <f>VLOOKUP($E390,'NI-San_SP'!$C:$AN,MID(AA$1,1,2),FALSE)</f>
        <v>0</v>
      </c>
      <c r="AB390" s="55">
        <f>VLOOKUP($E390,'NI-San_SP'!$C:$AN,MID(AB$1,1,2),FALSE)</f>
        <v>0</v>
      </c>
      <c r="AC390" s="55">
        <f>VLOOKUP($E390,'NI-San_SP'!$C:$AN,MID(AC$1,1,2),FALSE)</f>
        <v>0</v>
      </c>
      <c r="AD390" s="55">
        <f>VLOOKUP($E390,'NI-San_SP'!$C:$AN,MID(AD$1,1,2),FALSE)</f>
        <v>0</v>
      </c>
      <c r="AE390" s="55">
        <f>VLOOKUP($E390,'NI-San_SP'!$C:$AN,MID(AE$1,1,2),FALSE)</f>
        <v>0</v>
      </c>
      <c r="AF390" s="55">
        <f>VLOOKUP($E390,'NI-San_SP'!$C:$AN,MID(AF$1,1,2),FALSE)</f>
        <v>0</v>
      </c>
      <c r="AG390" s="55">
        <f>VLOOKUP($E390,'NI-San_SP'!$C:$AN,MID(AG$1,1,2),FALSE)</f>
        <v>0</v>
      </c>
      <c r="AH390" s="55">
        <f>VLOOKUP($E390,'NI-San_SP'!$C:$AN,MID(AH$1,1,2),FALSE)</f>
        <v>0</v>
      </c>
      <c r="AI390" s="55">
        <f>VLOOKUP($E390,'NI-San_SP'!$C:$AN,MID(AI$1,1,2),FALSE)</f>
        <v>0</v>
      </c>
      <c r="AJ390" s="55">
        <f>VLOOKUP($E390,'NI-San_SP'!$C:$AN,MID(AJ$1,1,2),FALSE)</f>
        <v>0</v>
      </c>
      <c r="AK390" s="55">
        <f>VLOOKUP($E390,'NI-San_SP'!$C:$AN,MID(AK$1,1,2),FALSE)</f>
        <v>0</v>
      </c>
      <c r="AL390" s="55">
        <f>VLOOKUP($E390,'NI-San_SP'!$C:$AN,MID(AL$1,1,2),FALSE)</f>
        <v>0</v>
      </c>
      <c r="AM390" s="56">
        <f>VLOOKUP($E390,'NI-San_SP'!$C:$AN,MID(AM$1,1,2),FALSE)</f>
        <v>0</v>
      </c>
      <c r="AN390" s="30" t="str">
        <f t="shared" si="6"/>
        <v>20202005000000</v>
      </c>
    </row>
    <row r="391" spans="3:40" x14ac:dyDescent="0.25">
      <c r="C391" s="40"/>
      <c r="D391" s="57" t="s">
        <v>1450</v>
      </c>
      <c r="E391" s="57" t="s">
        <v>1451</v>
      </c>
      <c r="F391" s="58" t="s">
        <v>110</v>
      </c>
      <c r="G391" s="52" t="s">
        <v>1439</v>
      </c>
      <c r="H391" s="52"/>
      <c r="I391" s="52" t="s">
        <v>1448</v>
      </c>
      <c r="J391" s="52" t="s">
        <v>1448</v>
      </c>
      <c r="K391" s="59" t="s">
        <v>111</v>
      </c>
      <c r="L391" s="52"/>
      <c r="M391" s="52"/>
      <c r="N391" s="52"/>
      <c r="O391" s="52"/>
      <c r="P391" s="76" t="s">
        <v>1452</v>
      </c>
      <c r="Q391" s="55">
        <f>VLOOKUP(E391,'NI-San_SP'!$C:$AN,12,FALSE)</f>
        <v>11488510</v>
      </c>
      <c r="R391" s="55">
        <f>VLOOKUP(E391,'NI-San_SP'!$C:$AN,13,FALSE)</f>
        <v>36727183</v>
      </c>
      <c r="S391" s="55">
        <f>VLOOKUP(E391,'NI-San_SP'!$C:$AN,31,FALSE)</f>
        <v>893000</v>
      </c>
      <c r="T391" s="55">
        <f>VLOOKUP(E391,'NI-San_SP'!$C:$AN,32,FALSE)+VLOOKUP(E391,'NI-San_SP'!$C:$AN,33,FALSE)</f>
        <v>8640844</v>
      </c>
      <c r="U391" s="55">
        <f>VLOOKUP($E391,'NI-San_SP'!$C:$AN,MID(U$1,1,2),FALSE)</f>
        <v>0</v>
      </c>
      <c r="V391" s="55">
        <f>VLOOKUP($E391,'NI-San_SP'!$C:$AN,MID(V$1,1,2),FALSE)</f>
        <v>11488510</v>
      </c>
      <c r="W391" s="55">
        <f>VLOOKUP($E391,'NI-San_SP'!$C:$AN,MID(W$1,1,2),FALSE)</f>
        <v>0</v>
      </c>
      <c r="X391" s="55">
        <f>VLOOKUP($E391,'NI-San_SP'!$C:$AN,MID(X$1,1,2),FALSE)</f>
        <v>0</v>
      </c>
      <c r="Y391" s="55">
        <f>VLOOKUP($E391,'NI-San_SP'!$C:$AN,MID(Y$1,1,2),FALSE)</f>
        <v>63539046</v>
      </c>
      <c r="Z391" s="55">
        <f>VLOOKUP($E391,'NI-San_SP'!$C:$AN,MID(Z$1,1,2),FALSE)</f>
        <v>1760666</v>
      </c>
      <c r="AA391" s="55">
        <f>VLOOKUP($E391,'NI-San_SP'!$C:$AN,MID(AA$1,1,2),FALSE)</f>
        <v>0</v>
      </c>
      <c r="AB391" s="55">
        <f>VLOOKUP($E391,'NI-San_SP'!$C:$AN,MID(AB$1,1,2),FALSE)</f>
        <v>36539707</v>
      </c>
      <c r="AC391" s="55">
        <f>VLOOKUP($E391,'NI-San_SP'!$C:$AN,MID(AC$1,1,2),FALSE)</f>
        <v>36727183</v>
      </c>
      <c r="AD391" s="55">
        <f>VLOOKUP($E391,'NI-San_SP'!$C:$AN,MID(AD$1,1,2),FALSE)</f>
        <v>0</v>
      </c>
      <c r="AE391" s="55">
        <f>VLOOKUP($E391,'NI-San_SP'!$C:$AN,MID(AE$1,1,2),FALSE)</f>
        <v>0</v>
      </c>
      <c r="AF391" s="55">
        <f>VLOOKUP($E391,'NI-San_SP'!$C:$AN,MID(AF$1,1,2),FALSE)</f>
        <v>0</v>
      </c>
      <c r="AG391" s="55">
        <f>VLOOKUP($E391,'NI-San_SP'!$C:$AN,MID(AG$1,1,2),FALSE)</f>
        <v>0</v>
      </c>
      <c r="AH391" s="55">
        <f>VLOOKUP($E391,'NI-San_SP'!$C:$AN,MID(AH$1,1,2),FALSE)</f>
        <v>0</v>
      </c>
      <c r="AI391" s="55">
        <f>VLOOKUP($E391,'NI-San_SP'!$C:$AN,MID(AI$1,1,2),FALSE)</f>
        <v>0</v>
      </c>
      <c r="AJ391" s="55">
        <f>VLOOKUP($E391,'NI-San_SP'!$C:$AN,MID(AJ$1,1,2),FALSE)</f>
        <v>194000</v>
      </c>
      <c r="AK391" s="55">
        <f>VLOOKUP($E391,'NI-San_SP'!$C:$AN,MID(AK$1,1,2),FALSE)</f>
        <v>893000</v>
      </c>
      <c r="AL391" s="55">
        <f>VLOOKUP($E391,'NI-San_SP'!$C:$AN,MID(AL$1,1,2),FALSE)</f>
        <v>2634000</v>
      </c>
      <c r="AM391" s="56">
        <f>VLOOKUP($E391,'NI-San_SP'!$C:$AN,MID(AM$1,1,2),FALSE)</f>
        <v>6006844</v>
      </c>
      <c r="AN391" s="30" t="str">
        <f t="shared" si="6"/>
        <v>20202010010000</v>
      </c>
    </row>
    <row r="392" spans="3:40" x14ac:dyDescent="0.25">
      <c r="C392" s="40"/>
      <c r="D392" s="57" t="s">
        <v>1453</v>
      </c>
      <c r="E392" s="57" t="s">
        <v>1454</v>
      </c>
      <c r="F392" s="58" t="s">
        <v>110</v>
      </c>
      <c r="G392" s="52" t="s">
        <v>1439</v>
      </c>
      <c r="H392" s="52"/>
      <c r="I392" s="52"/>
      <c r="J392" s="52"/>
      <c r="K392" s="59" t="s">
        <v>79</v>
      </c>
      <c r="L392" s="62" t="s">
        <v>1455</v>
      </c>
      <c r="M392" s="52"/>
      <c r="N392" s="52"/>
      <c r="O392" s="61" t="s">
        <v>1444</v>
      </c>
      <c r="P392" s="76" t="s">
        <v>1456</v>
      </c>
      <c r="Q392" s="55">
        <f>VLOOKUP(E392,'NI-San_SP'!$C:$AN,12,FALSE)</f>
        <v>0</v>
      </c>
      <c r="R392" s="55">
        <f>VLOOKUP(E392,'NI-San_SP'!$C:$AN,13,FALSE)</f>
        <v>0</v>
      </c>
      <c r="S392" s="55">
        <f>VLOOKUP(E392,'NI-San_SP'!$C:$AN,31,FALSE)</f>
        <v>0</v>
      </c>
      <c r="T392" s="55">
        <f>VLOOKUP(E392,'NI-San_SP'!$C:$AN,32,FALSE)+VLOOKUP(E392,'NI-San_SP'!$C:$AN,33,FALSE)</f>
        <v>0</v>
      </c>
      <c r="U392" s="55">
        <f>VLOOKUP($E392,'NI-San_SP'!$C:$AN,MID(U$1,1,2),FALSE)</f>
        <v>0</v>
      </c>
      <c r="V392" s="55">
        <f>VLOOKUP($E392,'NI-San_SP'!$C:$AN,MID(V$1,1,2),FALSE)</f>
        <v>0</v>
      </c>
      <c r="W392" s="55">
        <f>VLOOKUP($E392,'NI-San_SP'!$C:$AN,MID(W$1,1,2),FALSE)</f>
        <v>0</v>
      </c>
      <c r="X392" s="55">
        <f>VLOOKUP($E392,'NI-San_SP'!$C:$AN,MID(X$1,1,2),FALSE)</f>
        <v>0</v>
      </c>
      <c r="Y392" s="55">
        <f>VLOOKUP($E392,'NI-San_SP'!$C:$AN,MID(Y$1,1,2),FALSE)</f>
        <v>0</v>
      </c>
      <c r="Z392" s="55">
        <f>VLOOKUP($E392,'NI-San_SP'!$C:$AN,MID(Z$1,1,2),FALSE)</f>
        <v>0</v>
      </c>
      <c r="AA392" s="55">
        <f>VLOOKUP($E392,'NI-San_SP'!$C:$AN,MID(AA$1,1,2),FALSE)</f>
        <v>0</v>
      </c>
      <c r="AB392" s="55">
        <f>VLOOKUP($E392,'NI-San_SP'!$C:$AN,MID(AB$1,1,2),FALSE)</f>
        <v>0</v>
      </c>
      <c r="AC392" s="55">
        <f>VLOOKUP($E392,'NI-San_SP'!$C:$AN,MID(AC$1,1,2),FALSE)</f>
        <v>0</v>
      </c>
      <c r="AD392" s="55">
        <f>VLOOKUP($E392,'NI-San_SP'!$C:$AN,MID(AD$1,1,2),FALSE)</f>
        <v>0</v>
      </c>
      <c r="AE392" s="55">
        <f>VLOOKUP($E392,'NI-San_SP'!$C:$AN,MID(AE$1,1,2),FALSE)</f>
        <v>0</v>
      </c>
      <c r="AF392" s="55">
        <f>VLOOKUP($E392,'NI-San_SP'!$C:$AN,MID(AF$1,1,2),FALSE)</f>
        <v>0</v>
      </c>
      <c r="AG392" s="55">
        <f>VLOOKUP($E392,'NI-San_SP'!$C:$AN,MID(AG$1,1,2),FALSE)</f>
        <v>0</v>
      </c>
      <c r="AH392" s="55">
        <f>VLOOKUP($E392,'NI-San_SP'!$C:$AN,MID(AH$1,1,2),FALSE)</f>
        <v>0</v>
      </c>
      <c r="AI392" s="55">
        <f>VLOOKUP($E392,'NI-San_SP'!$C:$AN,MID(AI$1,1,2),FALSE)</f>
        <v>0</v>
      </c>
      <c r="AJ392" s="55">
        <f>VLOOKUP($E392,'NI-San_SP'!$C:$AN,MID(AJ$1,1,2),FALSE)</f>
        <v>0</v>
      </c>
      <c r="AK392" s="55">
        <f>VLOOKUP($E392,'NI-San_SP'!$C:$AN,MID(AK$1,1,2),FALSE)</f>
        <v>0</v>
      </c>
      <c r="AL392" s="55">
        <f>VLOOKUP($E392,'NI-San_SP'!$C:$AN,MID(AL$1,1,2),FALSE)</f>
        <v>0</v>
      </c>
      <c r="AM392" s="56">
        <f>VLOOKUP($E392,'NI-San_SP'!$C:$AN,MID(AM$1,1,2),FALSE)</f>
        <v>0</v>
      </c>
      <c r="AN392" s="30" t="str">
        <f t="shared" si="6"/>
        <v>20202010010010</v>
      </c>
    </row>
    <row r="393" spans="3:40" x14ac:dyDescent="0.25">
      <c r="C393" s="40"/>
      <c r="D393" s="57" t="s">
        <v>1457</v>
      </c>
      <c r="E393" s="57" t="s">
        <v>1458</v>
      </c>
      <c r="F393" s="58" t="s">
        <v>110</v>
      </c>
      <c r="G393" s="52" t="s">
        <v>1439</v>
      </c>
      <c r="H393" s="52"/>
      <c r="I393" s="52"/>
      <c r="J393" s="52"/>
      <c r="K393" s="59" t="s">
        <v>79</v>
      </c>
      <c r="L393" s="62" t="s">
        <v>1455</v>
      </c>
      <c r="M393" s="52"/>
      <c r="N393" s="52"/>
      <c r="O393" s="61" t="s">
        <v>1444</v>
      </c>
      <c r="P393" s="76" t="s">
        <v>1459</v>
      </c>
      <c r="Q393" s="55">
        <f>VLOOKUP(E393,'NI-San_SP'!$C:$AN,12,FALSE)</f>
        <v>0</v>
      </c>
      <c r="R393" s="55">
        <f>VLOOKUP(E393,'NI-San_SP'!$C:$AN,13,FALSE)</f>
        <v>0</v>
      </c>
      <c r="S393" s="55">
        <f>VLOOKUP(E393,'NI-San_SP'!$C:$AN,31,FALSE)</f>
        <v>0</v>
      </c>
      <c r="T393" s="55">
        <f>VLOOKUP(E393,'NI-San_SP'!$C:$AN,32,FALSE)+VLOOKUP(E393,'NI-San_SP'!$C:$AN,33,FALSE)</f>
        <v>0</v>
      </c>
      <c r="U393" s="55">
        <f>VLOOKUP($E393,'NI-San_SP'!$C:$AN,MID(U$1,1,2),FALSE)</f>
        <v>0</v>
      </c>
      <c r="V393" s="55">
        <f>VLOOKUP($E393,'NI-San_SP'!$C:$AN,MID(V$1,1,2),FALSE)</f>
        <v>0</v>
      </c>
      <c r="W393" s="55">
        <f>VLOOKUP($E393,'NI-San_SP'!$C:$AN,MID(W$1,1,2),FALSE)</f>
        <v>0</v>
      </c>
      <c r="X393" s="55">
        <f>VLOOKUP($E393,'NI-San_SP'!$C:$AN,MID(X$1,1,2),FALSE)</f>
        <v>0</v>
      </c>
      <c r="Y393" s="55">
        <f>VLOOKUP($E393,'NI-San_SP'!$C:$AN,MID(Y$1,1,2),FALSE)</f>
        <v>0</v>
      </c>
      <c r="Z393" s="55">
        <f>VLOOKUP($E393,'NI-San_SP'!$C:$AN,MID(Z$1,1,2),FALSE)</f>
        <v>0</v>
      </c>
      <c r="AA393" s="55">
        <f>VLOOKUP($E393,'NI-San_SP'!$C:$AN,MID(AA$1,1,2),FALSE)</f>
        <v>0</v>
      </c>
      <c r="AB393" s="55">
        <f>VLOOKUP($E393,'NI-San_SP'!$C:$AN,MID(AB$1,1,2),FALSE)</f>
        <v>0</v>
      </c>
      <c r="AC393" s="55">
        <f>VLOOKUP($E393,'NI-San_SP'!$C:$AN,MID(AC$1,1,2),FALSE)</f>
        <v>0</v>
      </c>
      <c r="AD393" s="55">
        <f>VLOOKUP($E393,'NI-San_SP'!$C:$AN,MID(AD$1,1,2),FALSE)</f>
        <v>0</v>
      </c>
      <c r="AE393" s="55">
        <f>VLOOKUP($E393,'NI-San_SP'!$C:$AN,MID(AE$1,1,2),FALSE)</f>
        <v>0</v>
      </c>
      <c r="AF393" s="55">
        <f>VLOOKUP($E393,'NI-San_SP'!$C:$AN,MID(AF$1,1,2),FALSE)</f>
        <v>0</v>
      </c>
      <c r="AG393" s="55">
        <f>VLOOKUP($E393,'NI-San_SP'!$C:$AN,MID(AG$1,1,2),FALSE)</f>
        <v>0</v>
      </c>
      <c r="AH393" s="55">
        <f>VLOOKUP($E393,'NI-San_SP'!$C:$AN,MID(AH$1,1,2),FALSE)</f>
        <v>0</v>
      </c>
      <c r="AI393" s="55">
        <f>VLOOKUP($E393,'NI-San_SP'!$C:$AN,MID(AI$1,1,2),FALSE)</f>
        <v>0</v>
      </c>
      <c r="AJ393" s="55">
        <f>VLOOKUP($E393,'NI-San_SP'!$C:$AN,MID(AJ$1,1,2),FALSE)</f>
        <v>0</v>
      </c>
      <c r="AK393" s="55">
        <f>VLOOKUP($E393,'NI-San_SP'!$C:$AN,MID(AK$1,1,2),FALSE)</f>
        <v>0</v>
      </c>
      <c r="AL393" s="55">
        <f>VLOOKUP($E393,'NI-San_SP'!$C:$AN,MID(AL$1,1,2),FALSE)</f>
        <v>0</v>
      </c>
      <c r="AM393" s="56">
        <f>VLOOKUP($E393,'NI-San_SP'!$C:$AN,MID(AM$1,1,2),FALSE)</f>
        <v>0</v>
      </c>
      <c r="AN393" s="30" t="str">
        <f t="shared" si="6"/>
        <v>20202010010020</v>
      </c>
    </row>
    <row r="394" spans="3:40" x14ac:dyDescent="0.25">
      <c r="C394" s="40"/>
      <c r="D394" s="57" t="s">
        <v>1460</v>
      </c>
      <c r="E394" s="57" t="s">
        <v>1461</v>
      </c>
      <c r="F394" s="58" t="s">
        <v>110</v>
      </c>
      <c r="G394" s="52" t="s">
        <v>1439</v>
      </c>
      <c r="H394" s="52"/>
      <c r="I394" s="52"/>
      <c r="J394" s="52"/>
      <c r="K394" s="59" t="s">
        <v>79</v>
      </c>
      <c r="L394" s="62" t="s">
        <v>1455</v>
      </c>
      <c r="M394" s="52"/>
      <c r="N394" s="52"/>
      <c r="O394" s="61" t="s">
        <v>1444</v>
      </c>
      <c r="P394" s="76" t="s">
        <v>1462</v>
      </c>
      <c r="Q394" s="55">
        <f>VLOOKUP(E394,'NI-San_SP'!$C:$AN,12,FALSE)</f>
        <v>0</v>
      </c>
      <c r="R394" s="55">
        <f>VLOOKUP(E394,'NI-San_SP'!$C:$AN,13,FALSE)</f>
        <v>0</v>
      </c>
      <c r="S394" s="55">
        <f>VLOOKUP(E394,'NI-San_SP'!$C:$AN,31,FALSE)</f>
        <v>0</v>
      </c>
      <c r="T394" s="55">
        <f>VLOOKUP(E394,'NI-San_SP'!$C:$AN,32,FALSE)+VLOOKUP(E394,'NI-San_SP'!$C:$AN,33,FALSE)</f>
        <v>0</v>
      </c>
      <c r="U394" s="55">
        <f>VLOOKUP($E394,'NI-San_SP'!$C:$AN,MID(U$1,1,2),FALSE)</f>
        <v>0</v>
      </c>
      <c r="V394" s="55">
        <f>VLOOKUP($E394,'NI-San_SP'!$C:$AN,MID(V$1,1,2),FALSE)</f>
        <v>0</v>
      </c>
      <c r="W394" s="55">
        <f>VLOOKUP($E394,'NI-San_SP'!$C:$AN,MID(W$1,1,2),FALSE)</f>
        <v>0</v>
      </c>
      <c r="X394" s="55">
        <f>VLOOKUP($E394,'NI-San_SP'!$C:$AN,MID(X$1,1,2),FALSE)</f>
        <v>0</v>
      </c>
      <c r="Y394" s="55">
        <f>VLOOKUP($E394,'NI-San_SP'!$C:$AN,MID(Y$1,1,2),FALSE)</f>
        <v>15675885</v>
      </c>
      <c r="Z394" s="55">
        <f>VLOOKUP($E394,'NI-San_SP'!$C:$AN,MID(Z$1,1,2),FALSE)</f>
        <v>0</v>
      </c>
      <c r="AA394" s="55">
        <f>VLOOKUP($E394,'NI-San_SP'!$C:$AN,MID(AA$1,1,2),FALSE)</f>
        <v>0</v>
      </c>
      <c r="AB394" s="55">
        <f>VLOOKUP($E394,'NI-San_SP'!$C:$AN,MID(AB$1,1,2),FALSE)</f>
        <v>15675885</v>
      </c>
      <c r="AC394" s="55">
        <f>VLOOKUP($E394,'NI-San_SP'!$C:$AN,MID(AC$1,1,2),FALSE)</f>
        <v>0</v>
      </c>
      <c r="AD394" s="55">
        <f>VLOOKUP($E394,'NI-San_SP'!$C:$AN,MID(AD$1,1,2),FALSE)</f>
        <v>0</v>
      </c>
      <c r="AE394" s="55">
        <f>VLOOKUP($E394,'NI-San_SP'!$C:$AN,MID(AE$1,1,2),FALSE)</f>
        <v>0</v>
      </c>
      <c r="AF394" s="55">
        <f>VLOOKUP($E394,'NI-San_SP'!$C:$AN,MID(AF$1,1,2),FALSE)</f>
        <v>0</v>
      </c>
      <c r="AG394" s="55">
        <f>VLOOKUP($E394,'NI-San_SP'!$C:$AN,MID(AG$1,1,2),FALSE)</f>
        <v>0</v>
      </c>
      <c r="AH394" s="55">
        <f>VLOOKUP($E394,'NI-San_SP'!$C:$AN,MID(AH$1,1,2),FALSE)</f>
        <v>0</v>
      </c>
      <c r="AI394" s="55">
        <f>VLOOKUP($E394,'NI-San_SP'!$C:$AN,MID(AI$1,1,2),FALSE)</f>
        <v>0</v>
      </c>
      <c r="AJ394" s="55">
        <f>VLOOKUP($E394,'NI-San_SP'!$C:$AN,MID(AJ$1,1,2),FALSE)</f>
        <v>0</v>
      </c>
      <c r="AK394" s="55">
        <f>VLOOKUP($E394,'NI-San_SP'!$C:$AN,MID(AK$1,1,2),FALSE)</f>
        <v>0</v>
      </c>
      <c r="AL394" s="55">
        <f>VLOOKUP($E394,'NI-San_SP'!$C:$AN,MID(AL$1,1,2),FALSE)</f>
        <v>0</v>
      </c>
      <c r="AM394" s="56">
        <f>VLOOKUP($E394,'NI-San_SP'!$C:$AN,MID(AM$1,1,2),FALSE)</f>
        <v>0</v>
      </c>
      <c r="AN394" s="30" t="str">
        <f t="shared" si="6"/>
        <v>20202010010030</v>
      </c>
    </row>
    <row r="395" spans="3:40" x14ac:dyDescent="0.25">
      <c r="C395" s="40"/>
      <c r="D395" s="57" t="s">
        <v>1463</v>
      </c>
      <c r="E395" s="57" t="s">
        <v>1464</v>
      </c>
      <c r="F395" s="58" t="s">
        <v>110</v>
      </c>
      <c r="G395" s="52" t="s">
        <v>1439</v>
      </c>
      <c r="H395" s="52"/>
      <c r="I395" s="52"/>
      <c r="J395" s="52"/>
      <c r="K395" s="59" t="s">
        <v>79</v>
      </c>
      <c r="L395" s="62" t="s">
        <v>1455</v>
      </c>
      <c r="M395" s="52"/>
      <c r="N395" s="52"/>
      <c r="O395" s="61" t="s">
        <v>1444</v>
      </c>
      <c r="P395" s="76" t="s">
        <v>1465</v>
      </c>
      <c r="Q395" s="55">
        <f>VLOOKUP(E395,'NI-San_SP'!$C:$AN,12,FALSE)</f>
        <v>10332910</v>
      </c>
      <c r="R395" s="55">
        <f>VLOOKUP(E395,'NI-San_SP'!$C:$AN,13,FALSE)</f>
        <v>29430790</v>
      </c>
      <c r="S395" s="55">
        <f>VLOOKUP(E395,'NI-San_SP'!$C:$AN,31,FALSE)</f>
        <v>0</v>
      </c>
      <c r="T395" s="55">
        <f>VLOOKUP(E395,'NI-San_SP'!$C:$AN,32,FALSE)+VLOOKUP(E395,'NI-San_SP'!$C:$AN,33,FALSE)</f>
        <v>8619844</v>
      </c>
      <c r="U395" s="55">
        <f>VLOOKUP($E395,'NI-San_SP'!$C:$AN,MID(U$1,1,2),FALSE)</f>
        <v>0</v>
      </c>
      <c r="V395" s="55">
        <f>VLOOKUP($E395,'NI-San_SP'!$C:$AN,MID(V$1,1,2),FALSE)</f>
        <v>10332910</v>
      </c>
      <c r="W395" s="55">
        <f>VLOOKUP($E395,'NI-San_SP'!$C:$AN,MID(W$1,1,2),FALSE)</f>
        <v>0</v>
      </c>
      <c r="X395" s="55">
        <f>VLOOKUP($E395,'NI-San_SP'!$C:$AN,MID(X$1,1,2),FALSE)</f>
        <v>0</v>
      </c>
      <c r="Y395" s="55">
        <f>VLOOKUP($E395,'NI-San_SP'!$C:$AN,MID(Y$1,1,2),FALSE)</f>
        <v>35859930</v>
      </c>
      <c r="Z395" s="55">
        <f>VLOOKUP($E395,'NI-San_SP'!$C:$AN,MID(Z$1,1,2),FALSE)</f>
        <v>1713066</v>
      </c>
      <c r="AA395" s="55">
        <f>VLOOKUP($E395,'NI-San_SP'!$C:$AN,MID(AA$1,1,2),FALSE)</f>
        <v>0</v>
      </c>
      <c r="AB395" s="55">
        <f>VLOOKUP($E395,'NI-San_SP'!$C:$AN,MID(AB$1,1,2),FALSE)</f>
        <v>15048984</v>
      </c>
      <c r="AC395" s="55">
        <f>VLOOKUP($E395,'NI-San_SP'!$C:$AN,MID(AC$1,1,2),FALSE)</f>
        <v>29430790</v>
      </c>
      <c r="AD395" s="55">
        <f>VLOOKUP($E395,'NI-San_SP'!$C:$AN,MID(AD$1,1,2),FALSE)</f>
        <v>0</v>
      </c>
      <c r="AE395" s="55">
        <f>VLOOKUP($E395,'NI-San_SP'!$C:$AN,MID(AE$1,1,2),FALSE)</f>
        <v>0</v>
      </c>
      <c r="AF395" s="55">
        <f>VLOOKUP($E395,'NI-San_SP'!$C:$AN,MID(AF$1,1,2),FALSE)</f>
        <v>0</v>
      </c>
      <c r="AG395" s="55">
        <f>VLOOKUP($E395,'NI-San_SP'!$C:$AN,MID(AG$1,1,2),FALSE)</f>
        <v>0</v>
      </c>
      <c r="AH395" s="55">
        <f>VLOOKUP($E395,'NI-San_SP'!$C:$AN,MID(AH$1,1,2),FALSE)</f>
        <v>0</v>
      </c>
      <c r="AI395" s="55">
        <f>VLOOKUP($E395,'NI-San_SP'!$C:$AN,MID(AI$1,1,2),FALSE)</f>
        <v>0</v>
      </c>
      <c r="AJ395" s="55">
        <f>VLOOKUP($E395,'NI-San_SP'!$C:$AN,MID(AJ$1,1,2),FALSE)</f>
        <v>0</v>
      </c>
      <c r="AK395" s="55">
        <f>VLOOKUP($E395,'NI-San_SP'!$C:$AN,MID(AK$1,1,2),FALSE)</f>
        <v>0</v>
      </c>
      <c r="AL395" s="55">
        <f>VLOOKUP($E395,'NI-San_SP'!$C:$AN,MID(AL$1,1,2),FALSE)</f>
        <v>2634000</v>
      </c>
      <c r="AM395" s="56">
        <f>VLOOKUP($E395,'NI-San_SP'!$C:$AN,MID(AM$1,1,2),FALSE)</f>
        <v>5985844</v>
      </c>
      <c r="AN395" s="30" t="str">
        <f t="shared" si="6"/>
        <v>20202010010040</v>
      </c>
    </row>
    <row r="396" spans="3:40" x14ac:dyDescent="0.25">
      <c r="C396" s="40"/>
      <c r="D396" s="57" t="s">
        <v>1466</v>
      </c>
      <c r="E396" s="57" t="s">
        <v>1467</v>
      </c>
      <c r="F396" s="58" t="s">
        <v>110</v>
      </c>
      <c r="G396" s="52" t="s">
        <v>1439</v>
      </c>
      <c r="H396" s="52"/>
      <c r="I396" s="52"/>
      <c r="J396" s="52"/>
      <c r="K396" s="59" t="s">
        <v>79</v>
      </c>
      <c r="L396" s="62" t="s">
        <v>1455</v>
      </c>
      <c r="M396" s="52"/>
      <c r="N396" s="52"/>
      <c r="O396" s="61" t="s">
        <v>1444</v>
      </c>
      <c r="P396" s="76" t="s">
        <v>1468</v>
      </c>
      <c r="Q396" s="55">
        <f>VLOOKUP(E396,'NI-San_SP'!$C:$AN,12,FALSE)</f>
        <v>1119067</v>
      </c>
      <c r="R396" s="55">
        <f>VLOOKUP(E396,'NI-San_SP'!$C:$AN,13,FALSE)</f>
        <v>1262229</v>
      </c>
      <c r="S396" s="55">
        <f>VLOOKUP(E396,'NI-San_SP'!$C:$AN,31,FALSE)</f>
        <v>893000</v>
      </c>
      <c r="T396" s="55">
        <f>VLOOKUP(E396,'NI-San_SP'!$C:$AN,32,FALSE)+VLOOKUP(E396,'NI-San_SP'!$C:$AN,33,FALSE)</f>
        <v>21000</v>
      </c>
      <c r="U396" s="55">
        <f>VLOOKUP($E396,'NI-San_SP'!$C:$AN,MID(U$1,1,2),FALSE)</f>
        <v>0</v>
      </c>
      <c r="V396" s="55">
        <f>VLOOKUP($E396,'NI-San_SP'!$C:$AN,MID(V$1,1,2),FALSE)</f>
        <v>1119067</v>
      </c>
      <c r="W396" s="55">
        <f>VLOOKUP($E396,'NI-San_SP'!$C:$AN,MID(W$1,1,2),FALSE)</f>
        <v>0</v>
      </c>
      <c r="X396" s="55">
        <f>VLOOKUP($E396,'NI-San_SP'!$C:$AN,MID(X$1,1,2),FALSE)</f>
        <v>0</v>
      </c>
      <c r="Y396" s="55">
        <f>VLOOKUP($E396,'NI-San_SP'!$C:$AN,MID(Y$1,1,2),FALSE)</f>
        <v>1119524</v>
      </c>
      <c r="Z396" s="55">
        <f>VLOOKUP($E396,'NI-San_SP'!$C:$AN,MID(Z$1,1,2),FALSE)</f>
        <v>32067</v>
      </c>
      <c r="AA396" s="55">
        <f>VLOOKUP($E396,'NI-San_SP'!$C:$AN,MID(AA$1,1,2),FALSE)</f>
        <v>0</v>
      </c>
      <c r="AB396" s="55">
        <f>VLOOKUP($E396,'NI-San_SP'!$C:$AN,MID(AB$1,1,2),FALSE)</f>
        <v>944295</v>
      </c>
      <c r="AC396" s="55">
        <f>VLOOKUP($E396,'NI-San_SP'!$C:$AN,MID(AC$1,1,2),FALSE)</f>
        <v>1262229</v>
      </c>
      <c r="AD396" s="55">
        <f>VLOOKUP($E396,'NI-San_SP'!$C:$AN,MID(AD$1,1,2),FALSE)</f>
        <v>0</v>
      </c>
      <c r="AE396" s="55">
        <f>VLOOKUP($E396,'NI-San_SP'!$C:$AN,MID(AE$1,1,2),FALSE)</f>
        <v>0</v>
      </c>
      <c r="AF396" s="55">
        <f>VLOOKUP($E396,'NI-San_SP'!$C:$AN,MID(AF$1,1,2),FALSE)</f>
        <v>0</v>
      </c>
      <c r="AG396" s="55">
        <f>VLOOKUP($E396,'NI-San_SP'!$C:$AN,MID(AG$1,1,2),FALSE)</f>
        <v>0</v>
      </c>
      <c r="AH396" s="55">
        <f>VLOOKUP($E396,'NI-San_SP'!$C:$AN,MID(AH$1,1,2),FALSE)</f>
        <v>0</v>
      </c>
      <c r="AI396" s="55">
        <f>VLOOKUP($E396,'NI-San_SP'!$C:$AN,MID(AI$1,1,2),FALSE)</f>
        <v>0</v>
      </c>
      <c r="AJ396" s="55">
        <f>VLOOKUP($E396,'NI-San_SP'!$C:$AN,MID(AJ$1,1,2),FALSE)</f>
        <v>194000</v>
      </c>
      <c r="AK396" s="55">
        <f>VLOOKUP($E396,'NI-San_SP'!$C:$AN,MID(AK$1,1,2),FALSE)</f>
        <v>893000</v>
      </c>
      <c r="AL396" s="55">
        <f>VLOOKUP($E396,'NI-San_SP'!$C:$AN,MID(AL$1,1,2),FALSE)</f>
        <v>0</v>
      </c>
      <c r="AM396" s="56">
        <f>VLOOKUP($E396,'NI-San_SP'!$C:$AN,MID(AM$1,1,2),FALSE)</f>
        <v>21000</v>
      </c>
      <c r="AN396" s="30" t="str">
        <f t="shared" si="6"/>
        <v>20202010010050</v>
      </c>
    </row>
    <row r="397" spans="3:40" x14ac:dyDescent="0.25">
      <c r="C397" s="40"/>
      <c r="D397" s="57" t="s">
        <v>1469</v>
      </c>
      <c r="E397" s="57" t="s">
        <v>1470</v>
      </c>
      <c r="F397" s="58" t="s">
        <v>110</v>
      </c>
      <c r="G397" s="52" t="s">
        <v>1439</v>
      </c>
      <c r="H397" s="52"/>
      <c r="I397" s="52"/>
      <c r="J397" s="52"/>
      <c r="K397" s="59" t="s">
        <v>79</v>
      </c>
      <c r="L397" s="62" t="s">
        <v>1471</v>
      </c>
      <c r="M397" s="52"/>
      <c r="N397" s="52"/>
      <c r="O397" s="61" t="s">
        <v>1444</v>
      </c>
      <c r="P397" s="76" t="s">
        <v>1472</v>
      </c>
      <c r="Q397" s="55">
        <f>VLOOKUP(E397,'NI-San_SP'!$C:$AN,12,FALSE)</f>
        <v>36533</v>
      </c>
      <c r="R397" s="55">
        <f>VLOOKUP(E397,'NI-San_SP'!$C:$AN,13,FALSE)</f>
        <v>35124</v>
      </c>
      <c r="S397" s="55">
        <f>VLOOKUP(E397,'NI-San_SP'!$C:$AN,31,FALSE)</f>
        <v>0</v>
      </c>
      <c r="T397" s="55">
        <f>VLOOKUP(E397,'NI-San_SP'!$C:$AN,32,FALSE)+VLOOKUP(E397,'NI-San_SP'!$C:$AN,33,FALSE)</f>
        <v>0</v>
      </c>
      <c r="U397" s="55">
        <f>VLOOKUP($E397,'NI-San_SP'!$C:$AN,MID(U$1,1,2),FALSE)</f>
        <v>0</v>
      </c>
      <c r="V397" s="55">
        <f>VLOOKUP($E397,'NI-San_SP'!$C:$AN,MID(V$1,1,2),FALSE)</f>
        <v>36533</v>
      </c>
      <c r="W397" s="55">
        <f>VLOOKUP($E397,'NI-San_SP'!$C:$AN,MID(W$1,1,2),FALSE)</f>
        <v>0</v>
      </c>
      <c r="X397" s="55">
        <f>VLOOKUP($E397,'NI-San_SP'!$C:$AN,MID(X$1,1,2),FALSE)</f>
        <v>0</v>
      </c>
      <c r="Y397" s="55">
        <f>VLOOKUP($E397,'NI-San_SP'!$C:$AN,MID(Y$1,1,2),FALSE)</f>
        <v>1276224</v>
      </c>
      <c r="Z397" s="55">
        <f>VLOOKUP($E397,'NI-San_SP'!$C:$AN,MID(Z$1,1,2),FALSE)</f>
        <v>15533</v>
      </c>
      <c r="AA397" s="55">
        <f>VLOOKUP($E397,'NI-San_SP'!$C:$AN,MID(AA$1,1,2),FALSE)</f>
        <v>0</v>
      </c>
      <c r="AB397" s="55">
        <f>VLOOKUP($E397,'NI-San_SP'!$C:$AN,MID(AB$1,1,2),FALSE)</f>
        <v>1262100</v>
      </c>
      <c r="AC397" s="55">
        <f>VLOOKUP($E397,'NI-San_SP'!$C:$AN,MID(AC$1,1,2),FALSE)</f>
        <v>35124</v>
      </c>
      <c r="AD397" s="55">
        <f>VLOOKUP($E397,'NI-San_SP'!$C:$AN,MID(AD$1,1,2),FALSE)</f>
        <v>0</v>
      </c>
      <c r="AE397" s="55">
        <f>VLOOKUP($E397,'NI-San_SP'!$C:$AN,MID(AE$1,1,2),FALSE)</f>
        <v>0</v>
      </c>
      <c r="AF397" s="55">
        <f>VLOOKUP($E397,'NI-San_SP'!$C:$AN,MID(AF$1,1,2),FALSE)</f>
        <v>0</v>
      </c>
      <c r="AG397" s="55">
        <f>VLOOKUP($E397,'NI-San_SP'!$C:$AN,MID(AG$1,1,2),FALSE)</f>
        <v>0</v>
      </c>
      <c r="AH397" s="55">
        <f>VLOOKUP($E397,'NI-San_SP'!$C:$AN,MID(AH$1,1,2),FALSE)</f>
        <v>0</v>
      </c>
      <c r="AI397" s="55">
        <f>VLOOKUP($E397,'NI-San_SP'!$C:$AN,MID(AI$1,1,2),FALSE)</f>
        <v>0</v>
      </c>
      <c r="AJ397" s="55">
        <f>VLOOKUP($E397,'NI-San_SP'!$C:$AN,MID(AJ$1,1,2),FALSE)</f>
        <v>0</v>
      </c>
      <c r="AK397" s="55">
        <f>VLOOKUP($E397,'NI-San_SP'!$C:$AN,MID(AK$1,1,2),FALSE)</f>
        <v>0</v>
      </c>
      <c r="AL397" s="55">
        <f>VLOOKUP($E397,'NI-San_SP'!$C:$AN,MID(AL$1,1,2),FALSE)</f>
        <v>0</v>
      </c>
      <c r="AM397" s="56">
        <f>VLOOKUP($E397,'NI-San_SP'!$C:$AN,MID(AM$1,1,2),FALSE)</f>
        <v>0</v>
      </c>
      <c r="AN397" s="30" t="str">
        <f t="shared" si="6"/>
        <v>20202010010060</v>
      </c>
    </row>
    <row r="398" spans="3:40" x14ac:dyDescent="0.25">
      <c r="C398" s="40"/>
      <c r="D398" s="57" t="s">
        <v>1473</v>
      </c>
      <c r="E398" s="57" t="s">
        <v>1474</v>
      </c>
      <c r="F398" s="58" t="s">
        <v>110</v>
      </c>
      <c r="G398" s="52" t="s">
        <v>1439</v>
      </c>
      <c r="H398" s="52"/>
      <c r="I398" s="52"/>
      <c r="J398" s="52"/>
      <c r="K398" s="59" t="s">
        <v>79</v>
      </c>
      <c r="L398" s="62" t="s">
        <v>1471</v>
      </c>
      <c r="M398" s="52"/>
      <c r="N398" s="52"/>
      <c r="O398" s="61" t="s">
        <v>1444</v>
      </c>
      <c r="P398" s="76" t="s">
        <v>1475</v>
      </c>
      <c r="Q398" s="55">
        <f>VLOOKUP(E398,'NI-San_SP'!$C:$AN,12,FALSE)</f>
        <v>0</v>
      </c>
      <c r="R398" s="55">
        <f>VLOOKUP(E398,'NI-San_SP'!$C:$AN,13,FALSE)</f>
        <v>5999040</v>
      </c>
      <c r="S398" s="55">
        <f>VLOOKUP(E398,'NI-San_SP'!$C:$AN,31,FALSE)</f>
        <v>0</v>
      </c>
      <c r="T398" s="55">
        <f>VLOOKUP(E398,'NI-San_SP'!$C:$AN,32,FALSE)+VLOOKUP(E398,'NI-San_SP'!$C:$AN,33,FALSE)</f>
        <v>0</v>
      </c>
      <c r="U398" s="55">
        <f>VLOOKUP($E398,'NI-San_SP'!$C:$AN,MID(U$1,1,2),FALSE)</f>
        <v>0</v>
      </c>
      <c r="V398" s="55">
        <f>VLOOKUP($E398,'NI-San_SP'!$C:$AN,MID(V$1,1,2),FALSE)</f>
        <v>0</v>
      </c>
      <c r="W398" s="55">
        <f>VLOOKUP($E398,'NI-San_SP'!$C:$AN,MID(W$1,1,2),FALSE)</f>
        <v>0</v>
      </c>
      <c r="X398" s="55">
        <f>VLOOKUP($E398,'NI-San_SP'!$C:$AN,MID(X$1,1,2),FALSE)</f>
        <v>0</v>
      </c>
      <c r="Y398" s="55">
        <f>VLOOKUP($E398,'NI-San_SP'!$C:$AN,MID(Y$1,1,2),FALSE)</f>
        <v>9607483</v>
      </c>
      <c r="Z398" s="55">
        <f>VLOOKUP($E398,'NI-San_SP'!$C:$AN,MID(Z$1,1,2),FALSE)</f>
        <v>0</v>
      </c>
      <c r="AA398" s="55">
        <f>VLOOKUP($E398,'NI-San_SP'!$C:$AN,MID(AA$1,1,2),FALSE)</f>
        <v>0</v>
      </c>
      <c r="AB398" s="55">
        <f>VLOOKUP($E398,'NI-San_SP'!$C:$AN,MID(AB$1,1,2),FALSE)</f>
        <v>3608443</v>
      </c>
      <c r="AC398" s="55">
        <f>VLOOKUP($E398,'NI-San_SP'!$C:$AN,MID(AC$1,1,2),FALSE)</f>
        <v>5999040</v>
      </c>
      <c r="AD398" s="55">
        <f>VLOOKUP($E398,'NI-San_SP'!$C:$AN,MID(AD$1,1,2),FALSE)</f>
        <v>0</v>
      </c>
      <c r="AE398" s="55">
        <f>VLOOKUP($E398,'NI-San_SP'!$C:$AN,MID(AE$1,1,2),FALSE)</f>
        <v>0</v>
      </c>
      <c r="AF398" s="55">
        <f>VLOOKUP($E398,'NI-San_SP'!$C:$AN,MID(AF$1,1,2),FALSE)</f>
        <v>0</v>
      </c>
      <c r="AG398" s="55">
        <f>VLOOKUP($E398,'NI-San_SP'!$C:$AN,MID(AG$1,1,2),FALSE)</f>
        <v>0</v>
      </c>
      <c r="AH398" s="55">
        <f>VLOOKUP($E398,'NI-San_SP'!$C:$AN,MID(AH$1,1,2),FALSE)</f>
        <v>0</v>
      </c>
      <c r="AI398" s="55">
        <f>VLOOKUP($E398,'NI-San_SP'!$C:$AN,MID(AI$1,1,2),FALSE)</f>
        <v>0</v>
      </c>
      <c r="AJ398" s="55">
        <f>VLOOKUP($E398,'NI-San_SP'!$C:$AN,MID(AJ$1,1,2),FALSE)</f>
        <v>0</v>
      </c>
      <c r="AK398" s="55">
        <f>VLOOKUP($E398,'NI-San_SP'!$C:$AN,MID(AK$1,1,2),FALSE)</f>
        <v>0</v>
      </c>
      <c r="AL398" s="55">
        <f>VLOOKUP($E398,'NI-San_SP'!$C:$AN,MID(AL$1,1,2),FALSE)</f>
        <v>0</v>
      </c>
      <c r="AM398" s="56">
        <f>VLOOKUP($E398,'NI-San_SP'!$C:$AN,MID(AM$1,1,2),FALSE)</f>
        <v>0</v>
      </c>
      <c r="AN398" s="30" t="str">
        <f t="shared" si="6"/>
        <v>20202010010070</v>
      </c>
    </row>
    <row r="399" spans="3:40" x14ac:dyDescent="0.25">
      <c r="C399" s="40"/>
      <c r="D399" s="57" t="s">
        <v>1476</v>
      </c>
      <c r="E399" s="57" t="s">
        <v>1477</v>
      </c>
      <c r="F399" s="58" t="s">
        <v>110</v>
      </c>
      <c r="G399" s="52" t="s">
        <v>1478</v>
      </c>
      <c r="H399" s="52"/>
      <c r="I399" s="52" t="s">
        <v>1479</v>
      </c>
      <c r="J399" s="52" t="s">
        <v>1479</v>
      </c>
      <c r="K399" s="59" t="s">
        <v>79</v>
      </c>
      <c r="L399" s="62" t="s">
        <v>1455</v>
      </c>
      <c r="M399" s="52"/>
      <c r="N399" s="52"/>
      <c r="O399" s="61" t="s">
        <v>1444</v>
      </c>
      <c r="P399" s="76" t="s">
        <v>1480</v>
      </c>
      <c r="Q399" s="55">
        <f>VLOOKUP(E399,'NI-San_SP'!$C:$AN,12,FALSE)</f>
        <v>0</v>
      </c>
      <c r="R399" s="55">
        <f>VLOOKUP(E399,'NI-San_SP'!$C:$AN,13,FALSE)</f>
        <v>0</v>
      </c>
      <c r="S399" s="55">
        <f>VLOOKUP(E399,'NI-San_SP'!$C:$AN,31,FALSE)</f>
        <v>0</v>
      </c>
      <c r="T399" s="55">
        <f>VLOOKUP(E399,'NI-San_SP'!$C:$AN,32,FALSE)+VLOOKUP(E399,'NI-San_SP'!$C:$AN,33,FALSE)</f>
        <v>0</v>
      </c>
      <c r="U399" s="55">
        <f>VLOOKUP($E399,'NI-San_SP'!$C:$AN,MID(U$1,1,2),FALSE)</f>
        <v>0</v>
      </c>
      <c r="V399" s="55">
        <f>VLOOKUP($E399,'NI-San_SP'!$C:$AN,MID(V$1,1,2),FALSE)</f>
        <v>0</v>
      </c>
      <c r="W399" s="55">
        <f>VLOOKUP($E399,'NI-San_SP'!$C:$AN,MID(W$1,1,2),FALSE)</f>
        <v>0</v>
      </c>
      <c r="X399" s="55">
        <f>VLOOKUP($E399,'NI-San_SP'!$C:$AN,MID(X$1,1,2),FALSE)</f>
        <v>0</v>
      </c>
      <c r="Y399" s="55">
        <f>VLOOKUP($E399,'NI-San_SP'!$C:$AN,MID(Y$1,1,2),FALSE)</f>
        <v>0</v>
      </c>
      <c r="Z399" s="55">
        <f>VLOOKUP($E399,'NI-San_SP'!$C:$AN,MID(Z$1,1,2),FALSE)</f>
        <v>0</v>
      </c>
      <c r="AA399" s="55">
        <f>VLOOKUP($E399,'NI-San_SP'!$C:$AN,MID(AA$1,1,2),FALSE)</f>
        <v>0</v>
      </c>
      <c r="AB399" s="55">
        <f>VLOOKUP($E399,'NI-San_SP'!$C:$AN,MID(AB$1,1,2),FALSE)</f>
        <v>0</v>
      </c>
      <c r="AC399" s="55">
        <f>VLOOKUP($E399,'NI-San_SP'!$C:$AN,MID(AC$1,1,2),FALSE)</f>
        <v>0</v>
      </c>
      <c r="AD399" s="55">
        <f>VLOOKUP($E399,'NI-San_SP'!$C:$AN,MID(AD$1,1,2),FALSE)</f>
        <v>0</v>
      </c>
      <c r="AE399" s="55">
        <f>VLOOKUP($E399,'NI-San_SP'!$C:$AN,MID(AE$1,1,2),FALSE)</f>
        <v>0</v>
      </c>
      <c r="AF399" s="55">
        <f>VLOOKUP($E399,'NI-San_SP'!$C:$AN,MID(AF$1,1,2),FALSE)</f>
        <v>0</v>
      </c>
      <c r="AG399" s="55">
        <f>VLOOKUP($E399,'NI-San_SP'!$C:$AN,MID(AG$1,1,2),FALSE)</f>
        <v>0</v>
      </c>
      <c r="AH399" s="55">
        <f>VLOOKUP($E399,'NI-San_SP'!$C:$AN,MID(AH$1,1,2),FALSE)</f>
        <v>0</v>
      </c>
      <c r="AI399" s="55">
        <f>VLOOKUP($E399,'NI-San_SP'!$C:$AN,MID(AI$1,1,2),FALSE)</f>
        <v>0</v>
      </c>
      <c r="AJ399" s="55">
        <f>VLOOKUP($E399,'NI-San_SP'!$C:$AN,MID(AJ$1,1,2),FALSE)</f>
        <v>0</v>
      </c>
      <c r="AK399" s="55">
        <f>VLOOKUP($E399,'NI-San_SP'!$C:$AN,MID(AK$1,1,2),FALSE)</f>
        <v>0</v>
      </c>
      <c r="AL399" s="55">
        <f>VLOOKUP($E399,'NI-San_SP'!$C:$AN,MID(AL$1,1,2),FALSE)</f>
        <v>0</v>
      </c>
      <c r="AM399" s="56">
        <f>VLOOKUP($E399,'NI-San_SP'!$C:$AN,MID(AM$1,1,2),FALSE)</f>
        <v>0</v>
      </c>
      <c r="AN399" s="30" t="str">
        <f t="shared" si="6"/>
        <v>20202010020000</v>
      </c>
    </row>
    <row r="400" spans="3:40" x14ac:dyDescent="0.25">
      <c r="C400" s="40"/>
      <c r="D400" s="57" t="s">
        <v>1481</v>
      </c>
      <c r="E400" s="57" t="s">
        <v>1482</v>
      </c>
      <c r="F400" s="58" t="s">
        <v>110</v>
      </c>
      <c r="G400" s="52" t="s">
        <v>1478</v>
      </c>
      <c r="H400" s="52"/>
      <c r="I400" s="52" t="s">
        <v>1483</v>
      </c>
      <c r="J400" s="52" t="s">
        <v>1483</v>
      </c>
      <c r="K400" s="59" t="s">
        <v>111</v>
      </c>
      <c r="L400" s="62" t="s">
        <v>1455</v>
      </c>
      <c r="M400" s="52"/>
      <c r="N400" s="52"/>
      <c r="O400" s="52"/>
      <c r="P400" s="76" t="s">
        <v>1484</v>
      </c>
      <c r="Q400" s="55">
        <f>VLOOKUP(E400,'NI-San_SP'!$C:$AN,12,FALSE)</f>
        <v>0</v>
      </c>
      <c r="R400" s="55">
        <f>VLOOKUP(E400,'NI-San_SP'!$C:$AN,13,FALSE)</f>
        <v>0</v>
      </c>
      <c r="S400" s="55">
        <f>VLOOKUP(E400,'NI-San_SP'!$C:$AN,31,FALSE)</f>
        <v>0</v>
      </c>
      <c r="T400" s="55">
        <f>VLOOKUP(E400,'NI-San_SP'!$C:$AN,32,FALSE)+VLOOKUP(E400,'NI-San_SP'!$C:$AN,33,FALSE)</f>
        <v>0</v>
      </c>
      <c r="U400" s="55">
        <f>VLOOKUP($E400,'NI-San_SP'!$C:$AN,MID(U$1,1,2),FALSE)</f>
        <v>0</v>
      </c>
      <c r="V400" s="55">
        <f>VLOOKUP($E400,'NI-San_SP'!$C:$AN,MID(V$1,1,2),FALSE)</f>
        <v>0</v>
      </c>
      <c r="W400" s="55">
        <f>VLOOKUP($E400,'NI-San_SP'!$C:$AN,MID(W$1,1,2),FALSE)</f>
        <v>0</v>
      </c>
      <c r="X400" s="55">
        <f>VLOOKUP($E400,'NI-San_SP'!$C:$AN,MID(X$1,1,2),FALSE)</f>
        <v>0</v>
      </c>
      <c r="Y400" s="55">
        <f>VLOOKUP($E400,'NI-San_SP'!$C:$AN,MID(Y$1,1,2),FALSE)</f>
        <v>0</v>
      </c>
      <c r="Z400" s="55">
        <f>VLOOKUP($E400,'NI-San_SP'!$C:$AN,MID(Z$1,1,2),FALSE)</f>
        <v>0</v>
      </c>
      <c r="AA400" s="55">
        <f>VLOOKUP($E400,'NI-San_SP'!$C:$AN,MID(AA$1,1,2),FALSE)</f>
        <v>0</v>
      </c>
      <c r="AB400" s="55">
        <f>VLOOKUP($E400,'NI-San_SP'!$C:$AN,MID(AB$1,1,2),FALSE)</f>
        <v>0</v>
      </c>
      <c r="AC400" s="55">
        <f>VLOOKUP($E400,'NI-San_SP'!$C:$AN,MID(AC$1,1,2),FALSE)</f>
        <v>0</v>
      </c>
      <c r="AD400" s="55">
        <f>VLOOKUP($E400,'NI-San_SP'!$C:$AN,MID(AD$1,1,2),FALSE)</f>
        <v>0</v>
      </c>
      <c r="AE400" s="55">
        <f>VLOOKUP($E400,'NI-San_SP'!$C:$AN,MID(AE$1,1,2),FALSE)</f>
        <v>0</v>
      </c>
      <c r="AF400" s="55">
        <f>VLOOKUP($E400,'NI-San_SP'!$C:$AN,MID(AF$1,1,2),FALSE)</f>
        <v>0</v>
      </c>
      <c r="AG400" s="55">
        <f>VLOOKUP($E400,'NI-San_SP'!$C:$AN,MID(AG$1,1,2),FALSE)</f>
        <v>0</v>
      </c>
      <c r="AH400" s="55">
        <f>VLOOKUP($E400,'NI-San_SP'!$C:$AN,MID(AH$1,1,2),FALSE)</f>
        <v>0</v>
      </c>
      <c r="AI400" s="55">
        <f>VLOOKUP($E400,'NI-San_SP'!$C:$AN,MID(AI$1,1,2),FALSE)</f>
        <v>0</v>
      </c>
      <c r="AJ400" s="55">
        <f>VLOOKUP($E400,'NI-San_SP'!$C:$AN,MID(AJ$1,1,2),FALSE)</f>
        <v>0</v>
      </c>
      <c r="AK400" s="55">
        <f>VLOOKUP($E400,'NI-San_SP'!$C:$AN,MID(AK$1,1,2),FALSE)</f>
        <v>0</v>
      </c>
      <c r="AL400" s="55">
        <f>VLOOKUP($E400,'NI-San_SP'!$C:$AN,MID(AL$1,1,2),FALSE)</f>
        <v>0</v>
      </c>
      <c r="AM400" s="56">
        <f>VLOOKUP($E400,'NI-San_SP'!$C:$AN,MID(AM$1,1,2),FALSE)</f>
        <v>0</v>
      </c>
      <c r="AN400" s="30" t="str">
        <f t="shared" si="6"/>
        <v>20202010030000</v>
      </c>
    </row>
    <row r="401" spans="1:40" ht="27" x14ac:dyDescent="0.25">
      <c r="C401" s="40"/>
      <c r="D401" s="57" t="s">
        <v>1485</v>
      </c>
      <c r="E401" s="57" t="s">
        <v>1486</v>
      </c>
      <c r="F401" s="58" t="s">
        <v>110</v>
      </c>
      <c r="G401" s="52" t="s">
        <v>1478</v>
      </c>
      <c r="H401" s="52"/>
      <c r="I401" s="52"/>
      <c r="J401" s="52"/>
      <c r="K401" s="59" t="s">
        <v>79</v>
      </c>
      <c r="L401" s="52"/>
      <c r="M401" s="52"/>
      <c r="N401" s="52"/>
      <c r="O401" s="61" t="s">
        <v>1444</v>
      </c>
      <c r="P401" s="76" t="s">
        <v>1487</v>
      </c>
      <c r="Q401" s="55">
        <f>VLOOKUP(E401,'NI-San_SP'!$C:$AN,12,FALSE)</f>
        <v>0</v>
      </c>
      <c r="R401" s="55">
        <f>VLOOKUP(E401,'NI-San_SP'!$C:$AN,13,FALSE)</f>
        <v>0</v>
      </c>
      <c r="S401" s="55">
        <f>VLOOKUP(E401,'NI-San_SP'!$C:$AN,31,FALSE)</f>
        <v>0</v>
      </c>
      <c r="T401" s="55">
        <f>VLOOKUP(E401,'NI-San_SP'!$C:$AN,32,FALSE)+VLOOKUP(E401,'NI-San_SP'!$C:$AN,33,FALSE)</f>
        <v>0</v>
      </c>
      <c r="U401" s="55">
        <f>VLOOKUP($E401,'NI-San_SP'!$C:$AN,MID(U$1,1,2),FALSE)</f>
        <v>0</v>
      </c>
      <c r="V401" s="55">
        <f>VLOOKUP($E401,'NI-San_SP'!$C:$AN,MID(V$1,1,2),FALSE)</f>
        <v>0</v>
      </c>
      <c r="W401" s="55">
        <f>VLOOKUP($E401,'NI-San_SP'!$C:$AN,MID(W$1,1,2),FALSE)</f>
        <v>0</v>
      </c>
      <c r="X401" s="55">
        <f>VLOOKUP($E401,'NI-San_SP'!$C:$AN,MID(X$1,1,2),FALSE)</f>
        <v>0</v>
      </c>
      <c r="Y401" s="55">
        <f>VLOOKUP($E401,'NI-San_SP'!$C:$AN,MID(Y$1,1,2),FALSE)</f>
        <v>0</v>
      </c>
      <c r="Z401" s="55">
        <f>VLOOKUP($E401,'NI-San_SP'!$C:$AN,MID(Z$1,1,2),FALSE)</f>
        <v>0</v>
      </c>
      <c r="AA401" s="55">
        <f>VLOOKUP($E401,'NI-San_SP'!$C:$AN,MID(AA$1,1,2),FALSE)</f>
        <v>0</v>
      </c>
      <c r="AB401" s="55">
        <f>VLOOKUP($E401,'NI-San_SP'!$C:$AN,MID(AB$1,1,2),FALSE)</f>
        <v>0</v>
      </c>
      <c r="AC401" s="55">
        <f>VLOOKUP($E401,'NI-San_SP'!$C:$AN,MID(AC$1,1,2),FALSE)</f>
        <v>0</v>
      </c>
      <c r="AD401" s="55">
        <f>VLOOKUP($E401,'NI-San_SP'!$C:$AN,MID(AD$1,1,2),FALSE)</f>
        <v>0</v>
      </c>
      <c r="AE401" s="55">
        <f>VLOOKUP($E401,'NI-San_SP'!$C:$AN,MID(AE$1,1,2),FALSE)</f>
        <v>0</v>
      </c>
      <c r="AF401" s="55">
        <f>VLOOKUP($E401,'NI-San_SP'!$C:$AN,MID(AF$1,1,2),FALSE)</f>
        <v>0</v>
      </c>
      <c r="AG401" s="55">
        <f>VLOOKUP($E401,'NI-San_SP'!$C:$AN,MID(AG$1,1,2),FALSE)</f>
        <v>0</v>
      </c>
      <c r="AH401" s="55">
        <f>VLOOKUP($E401,'NI-San_SP'!$C:$AN,MID(AH$1,1,2),FALSE)</f>
        <v>0</v>
      </c>
      <c r="AI401" s="55">
        <f>VLOOKUP($E401,'NI-San_SP'!$C:$AN,MID(AI$1,1,2),FALSE)</f>
        <v>0</v>
      </c>
      <c r="AJ401" s="55">
        <f>VLOOKUP($E401,'NI-San_SP'!$C:$AN,MID(AJ$1,1,2),FALSE)</f>
        <v>0</v>
      </c>
      <c r="AK401" s="55">
        <f>VLOOKUP($E401,'NI-San_SP'!$C:$AN,MID(AK$1,1,2),FALSE)</f>
        <v>0</v>
      </c>
      <c r="AL401" s="55">
        <f>VLOOKUP($E401,'NI-San_SP'!$C:$AN,MID(AL$1,1,2),FALSE)</f>
        <v>0</v>
      </c>
      <c r="AM401" s="56">
        <f>VLOOKUP($E401,'NI-San_SP'!$C:$AN,MID(AM$1,1,2),FALSE)</f>
        <v>0</v>
      </c>
      <c r="AN401" s="30" t="str">
        <f t="shared" si="6"/>
        <v>20202010030010</v>
      </c>
    </row>
    <row r="402" spans="1:40" ht="27" x14ac:dyDescent="0.25">
      <c r="C402" s="40"/>
      <c r="D402" s="57" t="s">
        <v>1488</v>
      </c>
      <c r="E402" s="57" t="s">
        <v>1489</v>
      </c>
      <c r="F402" s="58" t="s">
        <v>110</v>
      </c>
      <c r="G402" s="52" t="s">
        <v>1478</v>
      </c>
      <c r="H402" s="52"/>
      <c r="I402" s="52"/>
      <c r="J402" s="52"/>
      <c r="K402" s="59" t="s">
        <v>79</v>
      </c>
      <c r="L402" s="52"/>
      <c r="M402" s="52"/>
      <c r="N402" s="52"/>
      <c r="O402" s="61" t="s">
        <v>1444</v>
      </c>
      <c r="P402" s="76" t="s">
        <v>1490</v>
      </c>
      <c r="Q402" s="55">
        <f>VLOOKUP(E402,'NI-San_SP'!$C:$AN,12,FALSE)</f>
        <v>0</v>
      </c>
      <c r="R402" s="55">
        <f>VLOOKUP(E402,'NI-San_SP'!$C:$AN,13,FALSE)</f>
        <v>0</v>
      </c>
      <c r="S402" s="55">
        <f>VLOOKUP(E402,'NI-San_SP'!$C:$AN,31,FALSE)</f>
        <v>0</v>
      </c>
      <c r="T402" s="55">
        <f>VLOOKUP(E402,'NI-San_SP'!$C:$AN,32,FALSE)+VLOOKUP(E402,'NI-San_SP'!$C:$AN,33,FALSE)</f>
        <v>0</v>
      </c>
      <c r="U402" s="55">
        <f>VLOOKUP($E402,'NI-San_SP'!$C:$AN,MID(U$1,1,2),FALSE)</f>
        <v>0</v>
      </c>
      <c r="V402" s="55">
        <f>VLOOKUP($E402,'NI-San_SP'!$C:$AN,MID(V$1,1,2),FALSE)</f>
        <v>0</v>
      </c>
      <c r="W402" s="55">
        <f>VLOOKUP($E402,'NI-San_SP'!$C:$AN,MID(W$1,1,2),FALSE)</f>
        <v>0</v>
      </c>
      <c r="X402" s="55">
        <f>VLOOKUP($E402,'NI-San_SP'!$C:$AN,MID(X$1,1,2),FALSE)</f>
        <v>0</v>
      </c>
      <c r="Y402" s="55">
        <f>VLOOKUP($E402,'NI-San_SP'!$C:$AN,MID(Y$1,1,2),FALSE)</f>
        <v>0</v>
      </c>
      <c r="Z402" s="55">
        <f>VLOOKUP($E402,'NI-San_SP'!$C:$AN,MID(Z$1,1,2),FALSE)</f>
        <v>0</v>
      </c>
      <c r="AA402" s="55">
        <f>VLOOKUP($E402,'NI-San_SP'!$C:$AN,MID(AA$1,1,2),FALSE)</f>
        <v>0</v>
      </c>
      <c r="AB402" s="55">
        <f>VLOOKUP($E402,'NI-San_SP'!$C:$AN,MID(AB$1,1,2),FALSE)</f>
        <v>0</v>
      </c>
      <c r="AC402" s="55">
        <f>VLOOKUP($E402,'NI-San_SP'!$C:$AN,MID(AC$1,1,2),FALSE)</f>
        <v>0</v>
      </c>
      <c r="AD402" s="55">
        <f>VLOOKUP($E402,'NI-San_SP'!$C:$AN,MID(AD$1,1,2),FALSE)</f>
        <v>0</v>
      </c>
      <c r="AE402" s="55">
        <f>VLOOKUP($E402,'NI-San_SP'!$C:$AN,MID(AE$1,1,2),FALSE)</f>
        <v>0</v>
      </c>
      <c r="AF402" s="55">
        <f>VLOOKUP($E402,'NI-San_SP'!$C:$AN,MID(AF$1,1,2),FALSE)</f>
        <v>0</v>
      </c>
      <c r="AG402" s="55">
        <f>VLOOKUP($E402,'NI-San_SP'!$C:$AN,MID(AG$1,1,2),FALSE)</f>
        <v>0</v>
      </c>
      <c r="AH402" s="55">
        <f>VLOOKUP($E402,'NI-San_SP'!$C:$AN,MID(AH$1,1,2),FALSE)</f>
        <v>0</v>
      </c>
      <c r="AI402" s="55">
        <f>VLOOKUP($E402,'NI-San_SP'!$C:$AN,MID(AI$1,1,2),FALSE)</f>
        <v>0</v>
      </c>
      <c r="AJ402" s="55">
        <f>VLOOKUP($E402,'NI-San_SP'!$C:$AN,MID(AJ$1,1,2),FALSE)</f>
        <v>0</v>
      </c>
      <c r="AK402" s="55">
        <f>VLOOKUP($E402,'NI-San_SP'!$C:$AN,MID(AK$1,1,2),FALSE)</f>
        <v>0</v>
      </c>
      <c r="AL402" s="55">
        <f>VLOOKUP($E402,'NI-San_SP'!$C:$AN,MID(AL$1,1,2),FALSE)</f>
        <v>0</v>
      </c>
      <c r="AM402" s="56">
        <f>VLOOKUP($E402,'NI-San_SP'!$C:$AN,MID(AM$1,1,2),FALSE)</f>
        <v>0</v>
      </c>
      <c r="AN402" s="30" t="str">
        <f t="shared" si="6"/>
        <v>20202010030020</v>
      </c>
    </row>
    <row r="403" spans="1:40" x14ac:dyDescent="0.25">
      <c r="C403" s="40"/>
      <c r="D403" s="57" t="s">
        <v>1491</v>
      </c>
      <c r="E403" s="57" t="s">
        <v>1492</v>
      </c>
      <c r="F403" s="58" t="s">
        <v>110</v>
      </c>
      <c r="G403" s="52" t="s">
        <v>1478</v>
      </c>
      <c r="H403" s="52"/>
      <c r="I403" s="52"/>
      <c r="J403" s="52"/>
      <c r="K403" s="59" t="s">
        <v>79</v>
      </c>
      <c r="L403" s="52"/>
      <c r="M403" s="52"/>
      <c r="N403" s="52"/>
      <c r="O403" s="61" t="s">
        <v>1444</v>
      </c>
      <c r="P403" s="76" t="s">
        <v>1493</v>
      </c>
      <c r="Q403" s="55">
        <f>VLOOKUP(E403,'NI-San_SP'!$C:$AN,12,FALSE)</f>
        <v>0</v>
      </c>
      <c r="R403" s="55">
        <f>VLOOKUP(E403,'NI-San_SP'!$C:$AN,13,FALSE)</f>
        <v>0</v>
      </c>
      <c r="S403" s="55">
        <f>VLOOKUP(E403,'NI-San_SP'!$C:$AN,31,FALSE)</f>
        <v>0</v>
      </c>
      <c r="T403" s="55">
        <f>VLOOKUP(E403,'NI-San_SP'!$C:$AN,32,FALSE)+VLOOKUP(E403,'NI-San_SP'!$C:$AN,33,FALSE)</f>
        <v>0</v>
      </c>
      <c r="U403" s="55">
        <f>VLOOKUP($E403,'NI-San_SP'!$C:$AN,MID(U$1,1,2),FALSE)</f>
        <v>0</v>
      </c>
      <c r="V403" s="55">
        <f>VLOOKUP($E403,'NI-San_SP'!$C:$AN,MID(V$1,1,2),FALSE)</f>
        <v>0</v>
      </c>
      <c r="W403" s="55">
        <f>VLOOKUP($E403,'NI-San_SP'!$C:$AN,MID(W$1,1,2),FALSE)</f>
        <v>0</v>
      </c>
      <c r="X403" s="55">
        <f>VLOOKUP($E403,'NI-San_SP'!$C:$AN,MID(X$1,1,2),FALSE)</f>
        <v>0</v>
      </c>
      <c r="Y403" s="55">
        <f>VLOOKUP($E403,'NI-San_SP'!$C:$AN,MID(Y$1,1,2),FALSE)</f>
        <v>0</v>
      </c>
      <c r="Z403" s="55">
        <f>VLOOKUP($E403,'NI-San_SP'!$C:$AN,MID(Z$1,1,2),FALSE)</f>
        <v>0</v>
      </c>
      <c r="AA403" s="55">
        <f>VLOOKUP($E403,'NI-San_SP'!$C:$AN,MID(AA$1,1,2),FALSE)</f>
        <v>0</v>
      </c>
      <c r="AB403" s="55">
        <f>VLOOKUP($E403,'NI-San_SP'!$C:$AN,MID(AB$1,1,2),FALSE)</f>
        <v>0</v>
      </c>
      <c r="AC403" s="55">
        <f>VLOOKUP($E403,'NI-San_SP'!$C:$AN,MID(AC$1,1,2),FALSE)</f>
        <v>0</v>
      </c>
      <c r="AD403" s="55">
        <f>VLOOKUP($E403,'NI-San_SP'!$C:$AN,MID(AD$1,1,2),FALSE)</f>
        <v>0</v>
      </c>
      <c r="AE403" s="55">
        <f>VLOOKUP($E403,'NI-San_SP'!$C:$AN,MID(AE$1,1,2),FALSE)</f>
        <v>0</v>
      </c>
      <c r="AF403" s="55">
        <f>VLOOKUP($E403,'NI-San_SP'!$C:$AN,MID(AF$1,1,2),FALSE)</f>
        <v>0</v>
      </c>
      <c r="AG403" s="55">
        <f>VLOOKUP($E403,'NI-San_SP'!$C:$AN,MID(AG$1,1,2),FALSE)</f>
        <v>0</v>
      </c>
      <c r="AH403" s="55">
        <f>VLOOKUP($E403,'NI-San_SP'!$C:$AN,MID(AH$1,1,2),FALSE)</f>
        <v>0</v>
      </c>
      <c r="AI403" s="55">
        <f>VLOOKUP($E403,'NI-San_SP'!$C:$AN,MID(AI$1,1,2),FALSE)</f>
        <v>0</v>
      </c>
      <c r="AJ403" s="55">
        <f>VLOOKUP($E403,'NI-San_SP'!$C:$AN,MID(AJ$1,1,2),FALSE)</f>
        <v>0</v>
      </c>
      <c r="AK403" s="55">
        <f>VLOOKUP($E403,'NI-San_SP'!$C:$AN,MID(AK$1,1,2),FALSE)</f>
        <v>0</v>
      </c>
      <c r="AL403" s="55">
        <f>VLOOKUP($E403,'NI-San_SP'!$C:$AN,MID(AL$1,1,2),FALSE)</f>
        <v>0</v>
      </c>
      <c r="AM403" s="56">
        <f>VLOOKUP($E403,'NI-San_SP'!$C:$AN,MID(AM$1,1,2),FALSE)</f>
        <v>0</v>
      </c>
      <c r="AN403" s="30" t="str">
        <f t="shared" si="6"/>
        <v>20202010030030</v>
      </c>
    </row>
    <row r="404" spans="1:40" x14ac:dyDescent="0.25">
      <c r="C404" s="40"/>
      <c r="D404" s="57" t="s">
        <v>1494</v>
      </c>
      <c r="E404" s="57" t="s">
        <v>1495</v>
      </c>
      <c r="F404" s="58" t="s">
        <v>110</v>
      </c>
      <c r="G404" s="52" t="s">
        <v>1439</v>
      </c>
      <c r="H404" s="52"/>
      <c r="I404" s="52" t="s">
        <v>1496</v>
      </c>
      <c r="J404" s="52" t="s">
        <v>1496</v>
      </c>
      <c r="K404" s="59" t="s">
        <v>79</v>
      </c>
      <c r="L404" s="62" t="s">
        <v>1455</v>
      </c>
      <c r="M404" s="52"/>
      <c r="N404" s="52"/>
      <c r="O404" s="61" t="s">
        <v>1444</v>
      </c>
      <c r="P404" s="76" t="s">
        <v>1497</v>
      </c>
      <c r="Q404" s="55">
        <f>VLOOKUP(E404,'NI-San_SP'!$C:$AN,12,FALSE)</f>
        <v>0</v>
      </c>
      <c r="R404" s="55">
        <f>VLOOKUP(E404,'NI-San_SP'!$C:$AN,13,FALSE)</f>
        <v>0</v>
      </c>
      <c r="S404" s="55">
        <f>VLOOKUP(E404,'NI-San_SP'!$C:$AN,31,FALSE)</f>
        <v>0</v>
      </c>
      <c r="T404" s="55">
        <f>VLOOKUP(E404,'NI-San_SP'!$C:$AN,32,FALSE)+VLOOKUP(E404,'NI-San_SP'!$C:$AN,33,FALSE)</f>
        <v>0</v>
      </c>
      <c r="U404" s="55">
        <f>VLOOKUP($E404,'NI-San_SP'!$C:$AN,MID(U$1,1,2),FALSE)</f>
        <v>0</v>
      </c>
      <c r="V404" s="55">
        <f>VLOOKUP($E404,'NI-San_SP'!$C:$AN,MID(V$1,1,2),FALSE)</f>
        <v>0</v>
      </c>
      <c r="W404" s="55">
        <f>VLOOKUP($E404,'NI-San_SP'!$C:$AN,MID(W$1,1,2),FALSE)</f>
        <v>0</v>
      </c>
      <c r="X404" s="55">
        <f>VLOOKUP($E404,'NI-San_SP'!$C:$AN,MID(X$1,1,2),FALSE)</f>
        <v>0</v>
      </c>
      <c r="Y404" s="55">
        <f>VLOOKUP($E404,'NI-San_SP'!$C:$AN,MID(Y$1,1,2),FALSE)</f>
        <v>0</v>
      </c>
      <c r="Z404" s="55">
        <f>VLOOKUP($E404,'NI-San_SP'!$C:$AN,MID(Z$1,1,2),FALSE)</f>
        <v>0</v>
      </c>
      <c r="AA404" s="55">
        <f>VLOOKUP($E404,'NI-San_SP'!$C:$AN,MID(AA$1,1,2),FALSE)</f>
        <v>0</v>
      </c>
      <c r="AB404" s="55">
        <f>VLOOKUP($E404,'NI-San_SP'!$C:$AN,MID(AB$1,1,2),FALSE)</f>
        <v>0</v>
      </c>
      <c r="AC404" s="55">
        <f>VLOOKUP($E404,'NI-San_SP'!$C:$AN,MID(AC$1,1,2),FALSE)</f>
        <v>0</v>
      </c>
      <c r="AD404" s="55">
        <f>VLOOKUP($E404,'NI-San_SP'!$C:$AN,MID(AD$1,1,2),FALSE)</f>
        <v>0</v>
      </c>
      <c r="AE404" s="55">
        <f>VLOOKUP($E404,'NI-San_SP'!$C:$AN,MID(AE$1,1,2),FALSE)</f>
        <v>0</v>
      </c>
      <c r="AF404" s="55">
        <f>VLOOKUP($E404,'NI-San_SP'!$C:$AN,MID(AF$1,1,2),FALSE)</f>
        <v>0</v>
      </c>
      <c r="AG404" s="55">
        <f>VLOOKUP($E404,'NI-San_SP'!$C:$AN,MID(AG$1,1,2),FALSE)</f>
        <v>0</v>
      </c>
      <c r="AH404" s="55">
        <f>VLOOKUP($E404,'NI-San_SP'!$C:$AN,MID(AH$1,1,2),FALSE)</f>
        <v>0</v>
      </c>
      <c r="AI404" s="55">
        <f>VLOOKUP($E404,'NI-San_SP'!$C:$AN,MID(AI$1,1,2),FALSE)</f>
        <v>0</v>
      </c>
      <c r="AJ404" s="55">
        <f>VLOOKUP($E404,'NI-San_SP'!$C:$AN,MID(AJ$1,1,2),FALSE)</f>
        <v>0</v>
      </c>
      <c r="AK404" s="55">
        <f>VLOOKUP($E404,'NI-San_SP'!$C:$AN,MID(AK$1,1,2),FALSE)</f>
        <v>0</v>
      </c>
      <c r="AL404" s="55">
        <f>VLOOKUP($E404,'NI-San_SP'!$C:$AN,MID(AL$1,1,2),FALSE)</f>
        <v>0</v>
      </c>
      <c r="AM404" s="56">
        <f>VLOOKUP($E404,'NI-San_SP'!$C:$AN,MID(AM$1,1,2),FALSE)</f>
        <v>0</v>
      </c>
      <c r="AN404" s="30" t="str">
        <f t="shared" si="6"/>
        <v>20202010040000</v>
      </c>
    </row>
    <row r="405" spans="1:40" ht="27" x14ac:dyDescent="0.25">
      <c r="C405" s="40"/>
      <c r="D405" s="57" t="s">
        <v>1498</v>
      </c>
      <c r="E405" s="57" t="s">
        <v>1499</v>
      </c>
      <c r="F405" s="58" t="s">
        <v>110</v>
      </c>
      <c r="G405" s="52" t="s">
        <v>1439</v>
      </c>
      <c r="H405" s="52"/>
      <c r="I405" s="52" t="s">
        <v>1500</v>
      </c>
      <c r="J405" s="52" t="s">
        <v>1500</v>
      </c>
      <c r="K405" s="59" t="s">
        <v>79</v>
      </c>
      <c r="L405" s="62" t="s">
        <v>1455</v>
      </c>
      <c r="M405" s="52"/>
      <c r="N405" s="52"/>
      <c r="O405" s="61" t="s">
        <v>1501</v>
      </c>
      <c r="P405" s="76" t="s">
        <v>1502</v>
      </c>
      <c r="Q405" s="55">
        <f>VLOOKUP(E405,'NI-San_SP'!$C:$AN,12,FALSE)</f>
        <v>0</v>
      </c>
      <c r="R405" s="55">
        <f>VLOOKUP(E405,'NI-San_SP'!$C:$AN,13,FALSE)</f>
        <v>0</v>
      </c>
      <c r="S405" s="55">
        <f>VLOOKUP(E405,'NI-San_SP'!$C:$AN,31,FALSE)</f>
        <v>0</v>
      </c>
      <c r="T405" s="55">
        <f>VLOOKUP(E405,'NI-San_SP'!$C:$AN,32,FALSE)+VLOOKUP(E405,'NI-San_SP'!$C:$AN,33,FALSE)</f>
        <v>0</v>
      </c>
      <c r="U405" s="55">
        <f>VLOOKUP($E405,'NI-San_SP'!$C:$AN,MID(U$1,1,2),FALSE)</f>
        <v>0</v>
      </c>
      <c r="V405" s="55">
        <f>VLOOKUP($E405,'NI-San_SP'!$C:$AN,MID(V$1,1,2),FALSE)</f>
        <v>0</v>
      </c>
      <c r="W405" s="55">
        <f>VLOOKUP($E405,'NI-San_SP'!$C:$AN,MID(W$1,1,2),FALSE)</f>
        <v>0</v>
      </c>
      <c r="X405" s="55">
        <f>VLOOKUP($E405,'NI-San_SP'!$C:$AN,MID(X$1,1,2),FALSE)</f>
        <v>0</v>
      </c>
      <c r="Y405" s="55">
        <f>VLOOKUP($E405,'NI-San_SP'!$C:$AN,MID(Y$1,1,2),FALSE)</f>
        <v>0</v>
      </c>
      <c r="Z405" s="55">
        <f>VLOOKUP($E405,'NI-San_SP'!$C:$AN,MID(Z$1,1,2),FALSE)</f>
        <v>0</v>
      </c>
      <c r="AA405" s="55">
        <f>VLOOKUP($E405,'NI-San_SP'!$C:$AN,MID(AA$1,1,2),FALSE)</f>
        <v>0</v>
      </c>
      <c r="AB405" s="55">
        <f>VLOOKUP($E405,'NI-San_SP'!$C:$AN,MID(AB$1,1,2),FALSE)</f>
        <v>0</v>
      </c>
      <c r="AC405" s="55">
        <f>VLOOKUP($E405,'NI-San_SP'!$C:$AN,MID(AC$1,1,2),FALSE)</f>
        <v>0</v>
      </c>
      <c r="AD405" s="55">
        <f>VLOOKUP($E405,'NI-San_SP'!$C:$AN,MID(AD$1,1,2),FALSE)</f>
        <v>0</v>
      </c>
      <c r="AE405" s="55">
        <f>VLOOKUP($E405,'NI-San_SP'!$C:$AN,MID(AE$1,1,2),FALSE)</f>
        <v>0</v>
      </c>
      <c r="AF405" s="55">
        <f>VLOOKUP($E405,'NI-San_SP'!$C:$AN,MID(AF$1,1,2),FALSE)</f>
        <v>0</v>
      </c>
      <c r="AG405" s="55">
        <f>VLOOKUP($E405,'NI-San_SP'!$C:$AN,MID(AG$1,1,2),FALSE)</f>
        <v>0</v>
      </c>
      <c r="AH405" s="55">
        <f>VLOOKUP($E405,'NI-San_SP'!$C:$AN,MID(AH$1,1,2),FALSE)</f>
        <v>0</v>
      </c>
      <c r="AI405" s="55">
        <f>VLOOKUP($E405,'NI-San_SP'!$C:$AN,MID(AI$1,1,2),FALSE)</f>
        <v>0</v>
      </c>
      <c r="AJ405" s="55">
        <f>VLOOKUP($E405,'NI-San_SP'!$C:$AN,MID(AJ$1,1,2),FALSE)</f>
        <v>0</v>
      </c>
      <c r="AK405" s="55">
        <f>VLOOKUP($E405,'NI-San_SP'!$C:$AN,MID(AK$1,1,2),FALSE)</f>
        <v>0</v>
      </c>
      <c r="AL405" s="55">
        <f>VLOOKUP($E405,'NI-San_SP'!$C:$AN,MID(AL$1,1,2),FALSE)</f>
        <v>0</v>
      </c>
      <c r="AM405" s="56">
        <f>VLOOKUP($E405,'NI-San_SP'!$C:$AN,MID(AM$1,1,2),FALSE)</f>
        <v>0</v>
      </c>
      <c r="AN405" s="30" t="str">
        <f t="shared" si="6"/>
        <v>20202010050000</v>
      </c>
    </row>
    <row r="406" spans="1:40" ht="27" x14ac:dyDescent="0.25">
      <c r="C406" s="40"/>
      <c r="D406" s="57" t="s">
        <v>1503</v>
      </c>
      <c r="E406" s="57" t="s">
        <v>1504</v>
      </c>
      <c r="F406" s="58" t="s">
        <v>110</v>
      </c>
      <c r="G406" s="52" t="s">
        <v>1439</v>
      </c>
      <c r="H406" s="52"/>
      <c r="I406" s="52" t="s">
        <v>1505</v>
      </c>
      <c r="J406" s="52" t="s">
        <v>1505</v>
      </c>
      <c r="K406" s="59" t="s">
        <v>79</v>
      </c>
      <c r="L406" s="62" t="s">
        <v>1455</v>
      </c>
      <c r="M406" s="52"/>
      <c r="N406" s="52"/>
      <c r="O406" s="61" t="s">
        <v>1506</v>
      </c>
      <c r="P406" s="76" t="s">
        <v>1507</v>
      </c>
      <c r="Q406" s="55">
        <f>VLOOKUP(E406,'NI-San_SP'!$C:$AN,12,FALSE)</f>
        <v>0</v>
      </c>
      <c r="R406" s="55">
        <f>VLOOKUP(E406,'NI-San_SP'!$C:$AN,13,FALSE)</f>
        <v>0</v>
      </c>
      <c r="S406" s="55">
        <f>VLOOKUP(E406,'NI-San_SP'!$C:$AN,31,FALSE)</f>
        <v>0</v>
      </c>
      <c r="T406" s="55">
        <f>VLOOKUP(E406,'NI-San_SP'!$C:$AN,32,FALSE)+VLOOKUP(E406,'NI-San_SP'!$C:$AN,33,FALSE)</f>
        <v>0</v>
      </c>
      <c r="U406" s="55">
        <f>VLOOKUP($E406,'NI-San_SP'!$C:$AN,MID(U$1,1,2),FALSE)</f>
        <v>0</v>
      </c>
      <c r="V406" s="55">
        <f>VLOOKUP($E406,'NI-San_SP'!$C:$AN,MID(V$1,1,2),FALSE)</f>
        <v>0</v>
      </c>
      <c r="W406" s="55">
        <f>VLOOKUP($E406,'NI-San_SP'!$C:$AN,MID(W$1,1,2),FALSE)</f>
        <v>0</v>
      </c>
      <c r="X406" s="55">
        <f>VLOOKUP($E406,'NI-San_SP'!$C:$AN,MID(X$1,1,2),FALSE)</f>
        <v>0</v>
      </c>
      <c r="Y406" s="55">
        <f>VLOOKUP($E406,'NI-San_SP'!$C:$AN,MID(Y$1,1,2),FALSE)</f>
        <v>0</v>
      </c>
      <c r="Z406" s="55">
        <f>VLOOKUP($E406,'NI-San_SP'!$C:$AN,MID(Z$1,1,2),FALSE)</f>
        <v>0</v>
      </c>
      <c r="AA406" s="55">
        <f>VLOOKUP($E406,'NI-San_SP'!$C:$AN,MID(AA$1,1,2),FALSE)</f>
        <v>0</v>
      </c>
      <c r="AB406" s="55">
        <f>VLOOKUP($E406,'NI-San_SP'!$C:$AN,MID(AB$1,1,2),FALSE)</f>
        <v>0</v>
      </c>
      <c r="AC406" s="55">
        <f>VLOOKUP($E406,'NI-San_SP'!$C:$AN,MID(AC$1,1,2),FALSE)</f>
        <v>0</v>
      </c>
      <c r="AD406" s="55">
        <f>VLOOKUP($E406,'NI-San_SP'!$C:$AN,MID(AD$1,1,2),FALSE)</f>
        <v>0</v>
      </c>
      <c r="AE406" s="55">
        <f>VLOOKUP($E406,'NI-San_SP'!$C:$AN,MID(AE$1,1,2),FALSE)</f>
        <v>0</v>
      </c>
      <c r="AF406" s="55">
        <f>VLOOKUP($E406,'NI-San_SP'!$C:$AN,MID(AF$1,1,2),FALSE)</f>
        <v>0</v>
      </c>
      <c r="AG406" s="55">
        <f>VLOOKUP($E406,'NI-San_SP'!$C:$AN,MID(AG$1,1,2),FALSE)</f>
        <v>0</v>
      </c>
      <c r="AH406" s="55">
        <f>VLOOKUP($E406,'NI-San_SP'!$C:$AN,MID(AH$1,1,2),FALSE)</f>
        <v>0</v>
      </c>
      <c r="AI406" s="55">
        <f>VLOOKUP($E406,'NI-San_SP'!$C:$AN,MID(AI$1,1,2),FALSE)</f>
        <v>0</v>
      </c>
      <c r="AJ406" s="55">
        <f>VLOOKUP($E406,'NI-San_SP'!$C:$AN,MID(AJ$1,1,2),FALSE)</f>
        <v>0</v>
      </c>
      <c r="AK406" s="55">
        <f>VLOOKUP($E406,'NI-San_SP'!$C:$AN,MID(AK$1,1,2),FALSE)</f>
        <v>0</v>
      </c>
      <c r="AL406" s="55">
        <f>VLOOKUP($E406,'NI-San_SP'!$C:$AN,MID(AL$1,1,2),FALSE)</f>
        <v>0</v>
      </c>
      <c r="AM406" s="56">
        <f>VLOOKUP($E406,'NI-San_SP'!$C:$AN,MID(AM$1,1,2),FALSE)</f>
        <v>0</v>
      </c>
      <c r="AN406" s="30" t="str">
        <f t="shared" si="6"/>
        <v>20202010060000</v>
      </c>
    </row>
    <row r="407" spans="1:40" x14ac:dyDescent="0.25">
      <c r="C407" s="40"/>
      <c r="D407" s="57" t="s">
        <v>1508</v>
      </c>
      <c r="E407" s="57" t="s">
        <v>1509</v>
      </c>
      <c r="F407" s="58" t="s">
        <v>110</v>
      </c>
      <c r="G407" s="52" t="s">
        <v>1439</v>
      </c>
      <c r="H407" s="52"/>
      <c r="I407" s="52" t="s">
        <v>1510</v>
      </c>
      <c r="J407" s="52" t="s">
        <v>1510</v>
      </c>
      <c r="K407" s="59" t="s">
        <v>79</v>
      </c>
      <c r="L407" s="62" t="s">
        <v>1455</v>
      </c>
      <c r="M407" s="52"/>
      <c r="N407" s="52"/>
      <c r="O407" s="61" t="s">
        <v>1511</v>
      </c>
      <c r="P407" s="76" t="s">
        <v>1512</v>
      </c>
      <c r="Q407" s="55">
        <f>VLOOKUP(E407,'NI-San_SP'!$C:$AN,12,FALSE)</f>
        <v>15334290</v>
      </c>
      <c r="R407" s="55">
        <f>VLOOKUP(E407,'NI-San_SP'!$C:$AN,13,FALSE)</f>
        <v>7870160</v>
      </c>
      <c r="S407" s="55">
        <f>VLOOKUP(E407,'NI-San_SP'!$C:$AN,31,FALSE)</f>
        <v>43607</v>
      </c>
      <c r="T407" s="55">
        <f>VLOOKUP(E407,'NI-San_SP'!$C:$AN,32,FALSE)+VLOOKUP(E407,'NI-San_SP'!$C:$AN,33,FALSE)</f>
        <v>1989558</v>
      </c>
      <c r="U407" s="55">
        <f>VLOOKUP($E407,'NI-San_SP'!$C:$AN,MID(U$1,1,2),FALSE)</f>
        <v>0</v>
      </c>
      <c r="V407" s="55">
        <f>VLOOKUP($E407,'NI-San_SP'!$C:$AN,MID(V$1,1,2),FALSE)</f>
        <v>15334290</v>
      </c>
      <c r="W407" s="55">
        <f>VLOOKUP($E407,'NI-San_SP'!$C:$AN,MID(W$1,1,2),FALSE)</f>
        <v>0</v>
      </c>
      <c r="X407" s="55">
        <f>VLOOKUP($E407,'NI-San_SP'!$C:$AN,MID(X$1,1,2),FALSE)</f>
        <v>0</v>
      </c>
      <c r="Y407" s="55">
        <f>VLOOKUP($E407,'NI-San_SP'!$C:$AN,MID(Y$1,1,2),FALSE)</f>
        <v>20710967</v>
      </c>
      <c r="Z407" s="55">
        <f>VLOOKUP($E407,'NI-San_SP'!$C:$AN,MID(Z$1,1,2),FALSE)</f>
        <v>7971380</v>
      </c>
      <c r="AA407" s="55">
        <f>VLOOKUP($E407,'NI-San_SP'!$C:$AN,MID(AA$1,1,2),FALSE)</f>
        <v>0</v>
      </c>
      <c r="AB407" s="55">
        <f>VLOOKUP($E407,'NI-San_SP'!$C:$AN,MID(AB$1,1,2),FALSE)</f>
        <v>20203717</v>
      </c>
      <c r="AC407" s="55">
        <f>VLOOKUP($E407,'NI-San_SP'!$C:$AN,MID(AC$1,1,2),FALSE)</f>
        <v>7870160</v>
      </c>
      <c r="AD407" s="55">
        <f>VLOOKUP($E407,'NI-San_SP'!$C:$AN,MID(AD$1,1,2),FALSE)</f>
        <v>0</v>
      </c>
      <c r="AE407" s="55">
        <f>VLOOKUP($E407,'NI-San_SP'!$C:$AN,MID(AE$1,1,2),FALSE)</f>
        <v>0</v>
      </c>
      <c r="AF407" s="55">
        <f>VLOOKUP($E407,'NI-San_SP'!$C:$AN,MID(AF$1,1,2),FALSE)</f>
        <v>0</v>
      </c>
      <c r="AG407" s="55">
        <f>VLOOKUP($E407,'NI-San_SP'!$C:$AN,MID(AG$1,1,2),FALSE)</f>
        <v>0</v>
      </c>
      <c r="AH407" s="55">
        <f>VLOOKUP($E407,'NI-San_SP'!$C:$AN,MID(AH$1,1,2),FALSE)</f>
        <v>0</v>
      </c>
      <c r="AI407" s="55">
        <f>VLOOKUP($E407,'NI-San_SP'!$C:$AN,MID(AI$1,1,2),FALSE)</f>
        <v>0</v>
      </c>
      <c r="AJ407" s="55">
        <f>VLOOKUP($E407,'NI-San_SP'!$C:$AN,MID(AJ$1,1,2),FALSE)</f>
        <v>5329745</v>
      </c>
      <c r="AK407" s="55">
        <f>VLOOKUP($E407,'NI-San_SP'!$C:$AN,MID(AK$1,1,2),FALSE)</f>
        <v>43607</v>
      </c>
      <c r="AL407" s="55">
        <f>VLOOKUP($E407,'NI-San_SP'!$C:$AN,MID(AL$1,1,2),FALSE)</f>
        <v>1751000</v>
      </c>
      <c r="AM407" s="56">
        <f>VLOOKUP($E407,'NI-San_SP'!$C:$AN,MID(AM$1,1,2),FALSE)</f>
        <v>238558</v>
      </c>
      <c r="AN407" s="30" t="str">
        <f t="shared" si="6"/>
        <v>20202010070000</v>
      </c>
    </row>
    <row r="408" spans="1:40" x14ac:dyDescent="0.25">
      <c r="A408" s="30" t="s">
        <v>1394</v>
      </c>
      <c r="C408" s="40"/>
      <c r="D408" s="78" t="s">
        <v>1513</v>
      </c>
      <c r="E408" s="78" t="s">
        <v>1514</v>
      </c>
      <c r="F408" s="58" t="s">
        <v>110</v>
      </c>
      <c r="H408" s="52"/>
      <c r="I408" s="52"/>
      <c r="J408" s="52" t="s">
        <v>1515</v>
      </c>
      <c r="K408" s="59" t="s">
        <v>79</v>
      </c>
      <c r="L408" s="62" t="s">
        <v>1455</v>
      </c>
      <c r="M408" s="52"/>
      <c r="N408" s="52"/>
      <c r="O408" s="61" t="s">
        <v>1516</v>
      </c>
      <c r="P408" s="79" t="s">
        <v>1517</v>
      </c>
      <c r="Q408" s="55">
        <f>VLOOKUP(E408,'NI-San_SP'!$C:$AN,12,FALSE)</f>
        <v>0</v>
      </c>
      <c r="R408" s="55">
        <f>VLOOKUP(E408,'NI-San_SP'!$C:$AN,13,FALSE)</f>
        <v>0</v>
      </c>
      <c r="S408" s="55">
        <f>VLOOKUP(E408,'NI-San_SP'!$C:$AN,31,FALSE)</f>
        <v>0</v>
      </c>
      <c r="T408" s="55">
        <f>VLOOKUP(E408,'NI-San_SP'!$C:$AN,32,FALSE)+VLOOKUP(E408,'NI-San_SP'!$C:$AN,33,FALSE)</f>
        <v>0</v>
      </c>
      <c r="U408" s="55">
        <f>VLOOKUP($E408,'NI-San_SP'!$C:$AN,MID(U$1,1,2),FALSE)</f>
        <v>0</v>
      </c>
      <c r="V408" s="55">
        <f>VLOOKUP($E408,'NI-San_SP'!$C:$AN,MID(V$1,1,2),FALSE)</f>
        <v>0</v>
      </c>
      <c r="W408" s="55">
        <f>VLOOKUP($E408,'NI-San_SP'!$C:$AN,MID(W$1,1,2),FALSE)</f>
        <v>0</v>
      </c>
      <c r="X408" s="55">
        <f>VLOOKUP($E408,'NI-San_SP'!$C:$AN,MID(X$1,1,2),FALSE)</f>
        <v>0</v>
      </c>
      <c r="Y408" s="55">
        <f>VLOOKUP($E408,'NI-San_SP'!$C:$AN,MID(Y$1,1,2),FALSE)</f>
        <v>0</v>
      </c>
      <c r="Z408" s="55">
        <f>VLOOKUP($E408,'NI-San_SP'!$C:$AN,MID(Z$1,1,2),FALSE)</f>
        <v>0</v>
      </c>
      <c r="AA408" s="55">
        <f>VLOOKUP($E408,'NI-San_SP'!$C:$AN,MID(AA$1,1,2),FALSE)</f>
        <v>0</v>
      </c>
      <c r="AB408" s="55">
        <f>VLOOKUP($E408,'NI-San_SP'!$C:$AN,MID(AB$1,1,2),FALSE)</f>
        <v>0</v>
      </c>
      <c r="AC408" s="55">
        <f>VLOOKUP($E408,'NI-San_SP'!$C:$AN,MID(AC$1,1,2),FALSE)</f>
        <v>0</v>
      </c>
      <c r="AD408" s="55">
        <f>VLOOKUP($E408,'NI-San_SP'!$C:$AN,MID(AD$1,1,2),FALSE)</f>
        <v>0</v>
      </c>
      <c r="AE408" s="55">
        <f>VLOOKUP($E408,'NI-San_SP'!$C:$AN,MID(AE$1,1,2),FALSE)</f>
        <v>0</v>
      </c>
      <c r="AF408" s="55">
        <f>VLOOKUP($E408,'NI-San_SP'!$C:$AN,MID(AF$1,1,2),FALSE)</f>
        <v>0</v>
      </c>
      <c r="AG408" s="55">
        <f>VLOOKUP($E408,'NI-San_SP'!$C:$AN,MID(AG$1,1,2),FALSE)</f>
        <v>0</v>
      </c>
      <c r="AH408" s="55">
        <f>VLOOKUP($E408,'NI-San_SP'!$C:$AN,MID(AH$1,1,2),FALSE)</f>
        <v>0</v>
      </c>
      <c r="AI408" s="55">
        <f>VLOOKUP($E408,'NI-San_SP'!$C:$AN,MID(AI$1,1,2),FALSE)</f>
        <v>0</v>
      </c>
      <c r="AJ408" s="55">
        <f>VLOOKUP($E408,'NI-San_SP'!$C:$AN,MID(AJ$1,1,2),FALSE)</f>
        <v>0</v>
      </c>
      <c r="AK408" s="55">
        <f>VLOOKUP($E408,'NI-San_SP'!$C:$AN,MID(AK$1,1,2),FALSE)</f>
        <v>0</v>
      </c>
      <c r="AL408" s="55">
        <f>VLOOKUP($E408,'NI-San_SP'!$C:$AN,MID(AL$1,1,2),FALSE)</f>
        <v>0</v>
      </c>
      <c r="AM408" s="56">
        <f>VLOOKUP($E408,'NI-San_SP'!$C:$AN,MID(AM$1,1,2),FALSE)</f>
        <v>0</v>
      </c>
      <c r="AN408" s="30" t="str">
        <f t="shared" si="6"/>
        <v>20202010080000</v>
      </c>
    </row>
    <row r="409" spans="1:40" x14ac:dyDescent="0.25">
      <c r="C409" s="40"/>
      <c r="D409" s="57" t="s">
        <v>1518</v>
      </c>
      <c r="E409" s="57" t="s">
        <v>1519</v>
      </c>
      <c r="F409" s="58" t="s">
        <v>110</v>
      </c>
      <c r="G409" s="52" t="s">
        <v>1439</v>
      </c>
      <c r="H409" s="52"/>
      <c r="I409" s="52" t="s">
        <v>1520</v>
      </c>
      <c r="J409" s="52" t="s">
        <v>1520</v>
      </c>
      <c r="K409" s="59" t="s">
        <v>79</v>
      </c>
      <c r="L409" s="62" t="s">
        <v>1455</v>
      </c>
      <c r="M409" s="52"/>
      <c r="N409" s="52"/>
      <c r="O409" s="61" t="s">
        <v>1521</v>
      </c>
      <c r="P409" s="76" t="s">
        <v>1522</v>
      </c>
      <c r="Q409" s="55">
        <f>VLOOKUP(E409,'NI-San_SP'!$C:$AN,12,FALSE)</f>
        <v>0</v>
      </c>
      <c r="R409" s="55">
        <f>VLOOKUP(E409,'NI-San_SP'!$C:$AN,13,FALSE)</f>
        <v>0</v>
      </c>
      <c r="S409" s="55">
        <f>VLOOKUP(E409,'NI-San_SP'!$C:$AN,31,FALSE)</f>
        <v>0</v>
      </c>
      <c r="T409" s="55">
        <f>VLOOKUP(E409,'NI-San_SP'!$C:$AN,32,FALSE)+VLOOKUP(E409,'NI-San_SP'!$C:$AN,33,FALSE)</f>
        <v>0</v>
      </c>
      <c r="U409" s="55">
        <f>VLOOKUP($E409,'NI-San_SP'!$C:$AN,MID(U$1,1,2),FALSE)</f>
        <v>0</v>
      </c>
      <c r="V409" s="55">
        <f>VLOOKUP($E409,'NI-San_SP'!$C:$AN,MID(V$1,1,2),FALSE)</f>
        <v>0</v>
      </c>
      <c r="W409" s="55">
        <f>VLOOKUP($E409,'NI-San_SP'!$C:$AN,MID(W$1,1,2),FALSE)</f>
        <v>0</v>
      </c>
      <c r="X409" s="55">
        <f>VLOOKUP($E409,'NI-San_SP'!$C:$AN,MID(X$1,1,2),FALSE)</f>
        <v>0</v>
      </c>
      <c r="Y409" s="55">
        <f>VLOOKUP($E409,'NI-San_SP'!$C:$AN,MID(Y$1,1,2),FALSE)</f>
        <v>0</v>
      </c>
      <c r="Z409" s="55">
        <f>VLOOKUP($E409,'NI-San_SP'!$C:$AN,MID(Z$1,1,2),FALSE)</f>
        <v>0</v>
      </c>
      <c r="AA409" s="55">
        <f>VLOOKUP($E409,'NI-San_SP'!$C:$AN,MID(AA$1,1,2),FALSE)</f>
        <v>0</v>
      </c>
      <c r="AB409" s="55">
        <f>VLOOKUP($E409,'NI-San_SP'!$C:$AN,MID(AB$1,1,2),FALSE)</f>
        <v>0</v>
      </c>
      <c r="AC409" s="55">
        <f>VLOOKUP($E409,'NI-San_SP'!$C:$AN,MID(AC$1,1,2),FALSE)</f>
        <v>0</v>
      </c>
      <c r="AD409" s="55">
        <f>VLOOKUP($E409,'NI-San_SP'!$C:$AN,MID(AD$1,1,2),FALSE)</f>
        <v>0</v>
      </c>
      <c r="AE409" s="55">
        <f>VLOOKUP($E409,'NI-San_SP'!$C:$AN,MID(AE$1,1,2),FALSE)</f>
        <v>0</v>
      </c>
      <c r="AF409" s="55">
        <f>VLOOKUP($E409,'NI-San_SP'!$C:$AN,MID(AF$1,1,2),FALSE)</f>
        <v>0</v>
      </c>
      <c r="AG409" s="55">
        <f>VLOOKUP($E409,'NI-San_SP'!$C:$AN,MID(AG$1,1,2),FALSE)</f>
        <v>0</v>
      </c>
      <c r="AH409" s="55">
        <f>VLOOKUP($E409,'NI-San_SP'!$C:$AN,MID(AH$1,1,2),FALSE)</f>
        <v>0</v>
      </c>
      <c r="AI409" s="55">
        <f>VLOOKUP($E409,'NI-San_SP'!$C:$AN,MID(AI$1,1,2),FALSE)</f>
        <v>0</v>
      </c>
      <c r="AJ409" s="55">
        <f>VLOOKUP($E409,'NI-San_SP'!$C:$AN,MID(AJ$1,1,2),FALSE)</f>
        <v>0</v>
      </c>
      <c r="AK409" s="55">
        <f>VLOOKUP($E409,'NI-San_SP'!$C:$AN,MID(AK$1,1,2),FALSE)</f>
        <v>0</v>
      </c>
      <c r="AL409" s="55">
        <f>VLOOKUP($E409,'NI-San_SP'!$C:$AN,MID(AL$1,1,2),FALSE)</f>
        <v>0</v>
      </c>
      <c r="AM409" s="56">
        <f>VLOOKUP($E409,'NI-San_SP'!$C:$AN,MID(AM$1,1,2),FALSE)</f>
        <v>0</v>
      </c>
      <c r="AN409" s="30" t="str">
        <f t="shared" si="6"/>
        <v>20202010090000</v>
      </c>
    </row>
    <row r="410" spans="1:40" x14ac:dyDescent="0.25">
      <c r="A410" s="30" t="s">
        <v>1394</v>
      </c>
      <c r="C410" s="40"/>
      <c r="D410" s="78" t="s">
        <v>1523</v>
      </c>
      <c r="E410" s="78" t="s">
        <v>1524</v>
      </c>
      <c r="F410" s="58" t="s">
        <v>110</v>
      </c>
      <c r="H410" s="52"/>
      <c r="I410" s="52"/>
      <c r="J410" s="52" t="s">
        <v>1525</v>
      </c>
      <c r="K410" s="59" t="s">
        <v>79</v>
      </c>
      <c r="L410" s="62" t="s">
        <v>1455</v>
      </c>
      <c r="M410" s="52"/>
      <c r="N410" s="52"/>
      <c r="O410" s="61" t="s">
        <v>1526</v>
      </c>
      <c r="P410" s="80" t="s">
        <v>1527</v>
      </c>
      <c r="Q410" s="55">
        <f>VLOOKUP(E410,'NI-San_SP'!$C:$AN,12,FALSE)</f>
        <v>0</v>
      </c>
      <c r="R410" s="55">
        <f>VLOOKUP(E410,'NI-San_SP'!$C:$AN,13,FALSE)</f>
        <v>0</v>
      </c>
      <c r="S410" s="55">
        <f>VLOOKUP(E410,'NI-San_SP'!$C:$AN,31,FALSE)</f>
        <v>0</v>
      </c>
      <c r="T410" s="55">
        <f>VLOOKUP(E410,'NI-San_SP'!$C:$AN,32,FALSE)+VLOOKUP(E410,'NI-San_SP'!$C:$AN,33,FALSE)</f>
        <v>0</v>
      </c>
      <c r="U410" s="55">
        <f>VLOOKUP($E410,'NI-San_SP'!$C:$AN,MID(U$1,1,2),FALSE)</f>
        <v>0</v>
      </c>
      <c r="V410" s="55">
        <f>VLOOKUP($E410,'NI-San_SP'!$C:$AN,MID(V$1,1,2),FALSE)</f>
        <v>0</v>
      </c>
      <c r="W410" s="55">
        <f>VLOOKUP($E410,'NI-San_SP'!$C:$AN,MID(W$1,1,2),FALSE)</f>
        <v>0</v>
      </c>
      <c r="X410" s="55">
        <f>VLOOKUP($E410,'NI-San_SP'!$C:$AN,MID(X$1,1,2),FALSE)</f>
        <v>0</v>
      </c>
      <c r="Y410" s="55">
        <f>VLOOKUP($E410,'NI-San_SP'!$C:$AN,MID(Y$1,1,2),FALSE)</f>
        <v>0</v>
      </c>
      <c r="Z410" s="55">
        <f>VLOOKUP($E410,'NI-San_SP'!$C:$AN,MID(Z$1,1,2),FALSE)</f>
        <v>0</v>
      </c>
      <c r="AA410" s="55">
        <f>VLOOKUP($E410,'NI-San_SP'!$C:$AN,MID(AA$1,1,2),FALSE)</f>
        <v>0</v>
      </c>
      <c r="AB410" s="55">
        <f>VLOOKUP($E410,'NI-San_SP'!$C:$AN,MID(AB$1,1,2),FALSE)</f>
        <v>0</v>
      </c>
      <c r="AC410" s="55">
        <f>VLOOKUP($E410,'NI-San_SP'!$C:$AN,MID(AC$1,1,2),FALSE)</f>
        <v>0</v>
      </c>
      <c r="AD410" s="55">
        <f>VLOOKUP($E410,'NI-San_SP'!$C:$AN,MID(AD$1,1,2),FALSE)</f>
        <v>0</v>
      </c>
      <c r="AE410" s="55">
        <f>VLOOKUP($E410,'NI-San_SP'!$C:$AN,MID(AE$1,1,2),FALSE)</f>
        <v>0</v>
      </c>
      <c r="AF410" s="55">
        <f>VLOOKUP($E410,'NI-San_SP'!$C:$AN,MID(AF$1,1,2),FALSE)</f>
        <v>0</v>
      </c>
      <c r="AG410" s="55">
        <f>VLOOKUP($E410,'NI-San_SP'!$C:$AN,MID(AG$1,1,2),FALSE)</f>
        <v>0</v>
      </c>
      <c r="AH410" s="55">
        <f>VLOOKUP($E410,'NI-San_SP'!$C:$AN,MID(AH$1,1,2),FALSE)</f>
        <v>0</v>
      </c>
      <c r="AI410" s="55">
        <f>VLOOKUP($E410,'NI-San_SP'!$C:$AN,MID(AI$1,1,2),FALSE)</f>
        <v>0</v>
      </c>
      <c r="AJ410" s="55">
        <f>VLOOKUP($E410,'NI-San_SP'!$C:$AN,MID(AJ$1,1,2),FALSE)</f>
        <v>0</v>
      </c>
      <c r="AK410" s="55">
        <f>VLOOKUP($E410,'NI-San_SP'!$C:$AN,MID(AK$1,1,2),FALSE)</f>
        <v>0</v>
      </c>
      <c r="AL410" s="55">
        <f>VLOOKUP($E410,'NI-San_SP'!$C:$AN,MID(AL$1,1,2),FALSE)</f>
        <v>0</v>
      </c>
      <c r="AM410" s="56">
        <f>VLOOKUP($E410,'NI-San_SP'!$C:$AN,MID(AM$1,1,2),FALSE)</f>
        <v>0</v>
      </c>
      <c r="AN410" s="30" t="str">
        <f t="shared" si="6"/>
        <v>20202010100000</v>
      </c>
    </row>
    <row r="411" spans="1:40" x14ac:dyDescent="0.25">
      <c r="C411" s="40"/>
      <c r="D411" s="57" t="s">
        <v>1528</v>
      </c>
      <c r="E411" s="57" t="s">
        <v>1529</v>
      </c>
      <c r="F411" s="58" t="s">
        <v>110</v>
      </c>
      <c r="G411" s="52" t="s">
        <v>1439</v>
      </c>
      <c r="H411" s="52"/>
      <c r="I411" s="52"/>
      <c r="J411" s="52"/>
      <c r="K411" s="59" t="s">
        <v>111</v>
      </c>
      <c r="L411" s="52"/>
      <c r="M411" s="52"/>
      <c r="N411" s="52"/>
      <c r="O411" s="52"/>
      <c r="P411" s="76" t="s">
        <v>1530</v>
      </c>
      <c r="Q411" s="55">
        <f>VLOOKUP(E411,'NI-San_SP'!$C:$AN,12,FALSE)</f>
        <v>29266859</v>
      </c>
      <c r="R411" s="55">
        <f>VLOOKUP(E411,'NI-San_SP'!$C:$AN,13,FALSE)</f>
        <v>29642427</v>
      </c>
      <c r="S411" s="55">
        <f>VLOOKUP(E411,'NI-San_SP'!$C:$AN,31,FALSE)</f>
        <v>2090220</v>
      </c>
      <c r="T411" s="55">
        <f>VLOOKUP(E411,'NI-San_SP'!$C:$AN,32,FALSE)+VLOOKUP(E411,'NI-San_SP'!$C:$AN,33,FALSE)</f>
        <v>18460066</v>
      </c>
      <c r="U411" s="55">
        <f>VLOOKUP($E411,'NI-San_SP'!$C:$AN,MID(U$1,1,2),FALSE)</f>
        <v>0</v>
      </c>
      <c r="V411" s="55">
        <f>VLOOKUP($E411,'NI-San_SP'!$C:$AN,MID(V$1,1,2),FALSE)</f>
        <v>29266859</v>
      </c>
      <c r="W411" s="55">
        <f>VLOOKUP($E411,'NI-San_SP'!$C:$AN,MID(W$1,1,2),FALSE)</f>
        <v>0</v>
      </c>
      <c r="X411" s="55">
        <f>VLOOKUP($E411,'NI-San_SP'!$C:$AN,MID(X$1,1,2),FALSE)</f>
        <v>0</v>
      </c>
      <c r="Y411" s="55">
        <f>VLOOKUP($E411,'NI-San_SP'!$C:$AN,MID(Y$1,1,2),FALSE)</f>
        <v>5000000</v>
      </c>
      <c r="Z411" s="55">
        <f>VLOOKUP($E411,'NI-San_SP'!$C:$AN,MID(Z$1,1,2),FALSE)</f>
        <v>2124432</v>
      </c>
      <c r="AA411" s="55">
        <f>VLOOKUP($E411,'NI-San_SP'!$C:$AN,MID(AA$1,1,2),FALSE)</f>
        <v>0</v>
      </c>
      <c r="AB411" s="55">
        <f>VLOOKUP($E411,'NI-San_SP'!$C:$AN,MID(AB$1,1,2),FALSE)</f>
        <v>2500000</v>
      </c>
      <c r="AC411" s="55">
        <f>VLOOKUP($E411,'NI-San_SP'!$C:$AN,MID(AC$1,1,2),FALSE)</f>
        <v>29642427</v>
      </c>
      <c r="AD411" s="55">
        <f>VLOOKUP($E411,'NI-San_SP'!$C:$AN,MID(AD$1,1,2),FALSE)</f>
        <v>0</v>
      </c>
      <c r="AE411" s="55">
        <f>VLOOKUP($E411,'NI-San_SP'!$C:$AN,MID(AE$1,1,2),FALSE)</f>
        <v>0</v>
      </c>
      <c r="AF411" s="55">
        <f>VLOOKUP($E411,'NI-San_SP'!$C:$AN,MID(AF$1,1,2),FALSE)</f>
        <v>0</v>
      </c>
      <c r="AG411" s="55">
        <f>VLOOKUP($E411,'NI-San_SP'!$C:$AN,MID(AG$1,1,2),FALSE)</f>
        <v>0</v>
      </c>
      <c r="AH411" s="55">
        <f>VLOOKUP($E411,'NI-San_SP'!$C:$AN,MID(AH$1,1,2),FALSE)</f>
        <v>0</v>
      </c>
      <c r="AI411" s="55">
        <f>VLOOKUP($E411,'NI-San_SP'!$C:$AN,MID(AI$1,1,2),FALSE)</f>
        <v>0</v>
      </c>
      <c r="AJ411" s="55">
        <f>VLOOKUP($E411,'NI-San_SP'!$C:$AN,MID(AJ$1,1,2),FALSE)</f>
        <v>6592141</v>
      </c>
      <c r="AK411" s="55">
        <f>VLOOKUP($E411,'NI-San_SP'!$C:$AN,MID(AK$1,1,2),FALSE)</f>
        <v>2090220</v>
      </c>
      <c r="AL411" s="55">
        <f>VLOOKUP($E411,'NI-San_SP'!$C:$AN,MID(AL$1,1,2),FALSE)</f>
        <v>12996066</v>
      </c>
      <c r="AM411" s="56">
        <f>VLOOKUP($E411,'NI-San_SP'!$C:$AN,MID(AM$1,1,2),FALSE)</f>
        <v>5464000</v>
      </c>
      <c r="AN411" s="30" t="str">
        <f t="shared" si="6"/>
        <v>20202020000000</v>
      </c>
    </row>
    <row r="412" spans="1:40" x14ac:dyDescent="0.25">
      <c r="C412" s="40"/>
      <c r="D412" s="57" t="s">
        <v>1531</v>
      </c>
      <c r="E412" s="57" t="s">
        <v>1532</v>
      </c>
      <c r="F412" s="58" t="s">
        <v>110</v>
      </c>
      <c r="G412" s="52" t="s">
        <v>1439</v>
      </c>
      <c r="H412" s="52"/>
      <c r="I412" s="52" t="s">
        <v>1533</v>
      </c>
      <c r="J412" s="52" t="s">
        <v>1533</v>
      </c>
      <c r="K412" s="59" t="s">
        <v>79</v>
      </c>
      <c r="L412" s="81" t="s">
        <v>1534</v>
      </c>
      <c r="M412" s="52"/>
      <c r="N412" s="52"/>
      <c r="O412" s="61" t="s">
        <v>1535</v>
      </c>
      <c r="P412" s="76" t="s">
        <v>1536</v>
      </c>
      <c r="Q412" s="55">
        <f>VLOOKUP(E412,'NI-San_SP'!$C:$AN,12,FALSE)</f>
        <v>29266859</v>
      </c>
      <c r="R412" s="55">
        <f>VLOOKUP(E412,'NI-San_SP'!$C:$AN,13,FALSE)</f>
        <v>29642427</v>
      </c>
      <c r="S412" s="55">
        <f>VLOOKUP(E412,'NI-San_SP'!$C:$AN,31,FALSE)</f>
        <v>2090220</v>
      </c>
      <c r="T412" s="55">
        <f>VLOOKUP(E412,'NI-San_SP'!$C:$AN,32,FALSE)+VLOOKUP(E412,'NI-San_SP'!$C:$AN,33,FALSE)</f>
        <v>18460066</v>
      </c>
      <c r="U412" s="55">
        <f>VLOOKUP($E412,'NI-San_SP'!$C:$AN,MID(U$1,1,2),FALSE)</f>
        <v>0</v>
      </c>
      <c r="V412" s="55">
        <f>VLOOKUP($E412,'NI-San_SP'!$C:$AN,MID(V$1,1,2),FALSE)</f>
        <v>29266859</v>
      </c>
      <c r="W412" s="55">
        <f>VLOOKUP($E412,'NI-San_SP'!$C:$AN,MID(W$1,1,2),FALSE)</f>
        <v>0</v>
      </c>
      <c r="X412" s="55">
        <f>VLOOKUP($E412,'NI-San_SP'!$C:$AN,MID(X$1,1,2),FALSE)</f>
        <v>0</v>
      </c>
      <c r="Y412" s="55">
        <f>VLOOKUP($E412,'NI-San_SP'!$C:$AN,MID(Y$1,1,2),FALSE)</f>
        <v>5000000</v>
      </c>
      <c r="Z412" s="55">
        <f>VLOOKUP($E412,'NI-San_SP'!$C:$AN,MID(Z$1,1,2),FALSE)</f>
        <v>2124432</v>
      </c>
      <c r="AA412" s="55">
        <f>VLOOKUP($E412,'NI-San_SP'!$C:$AN,MID(AA$1,1,2),FALSE)</f>
        <v>0</v>
      </c>
      <c r="AB412" s="55">
        <f>VLOOKUP($E412,'NI-San_SP'!$C:$AN,MID(AB$1,1,2),FALSE)</f>
        <v>2500000</v>
      </c>
      <c r="AC412" s="55">
        <f>VLOOKUP($E412,'NI-San_SP'!$C:$AN,MID(AC$1,1,2),FALSE)</f>
        <v>29642427</v>
      </c>
      <c r="AD412" s="55">
        <f>VLOOKUP($E412,'NI-San_SP'!$C:$AN,MID(AD$1,1,2),FALSE)</f>
        <v>0</v>
      </c>
      <c r="AE412" s="55">
        <f>VLOOKUP($E412,'NI-San_SP'!$C:$AN,MID(AE$1,1,2),FALSE)</f>
        <v>0</v>
      </c>
      <c r="AF412" s="55">
        <f>VLOOKUP($E412,'NI-San_SP'!$C:$AN,MID(AF$1,1,2),FALSE)</f>
        <v>0</v>
      </c>
      <c r="AG412" s="55">
        <f>VLOOKUP($E412,'NI-San_SP'!$C:$AN,MID(AG$1,1,2),FALSE)</f>
        <v>0</v>
      </c>
      <c r="AH412" s="55">
        <f>VLOOKUP($E412,'NI-San_SP'!$C:$AN,MID(AH$1,1,2),FALSE)</f>
        <v>0</v>
      </c>
      <c r="AI412" s="55">
        <f>VLOOKUP($E412,'NI-San_SP'!$C:$AN,MID(AI$1,1,2),FALSE)</f>
        <v>0</v>
      </c>
      <c r="AJ412" s="55">
        <f>VLOOKUP($E412,'NI-San_SP'!$C:$AN,MID(AJ$1,1,2),FALSE)</f>
        <v>6592141</v>
      </c>
      <c r="AK412" s="55">
        <f>VLOOKUP($E412,'NI-San_SP'!$C:$AN,MID(AK$1,1,2),FALSE)</f>
        <v>2090220</v>
      </c>
      <c r="AL412" s="55">
        <f>VLOOKUP($E412,'NI-San_SP'!$C:$AN,MID(AL$1,1,2),FALSE)</f>
        <v>12996066</v>
      </c>
      <c r="AM412" s="56">
        <f>VLOOKUP($E412,'NI-San_SP'!$C:$AN,MID(AM$1,1,2),FALSE)</f>
        <v>5464000</v>
      </c>
      <c r="AN412" s="30" t="str">
        <f t="shared" si="6"/>
        <v>20202020010000</v>
      </c>
    </row>
    <row r="413" spans="1:40" x14ac:dyDescent="0.25">
      <c r="C413" s="40"/>
      <c r="D413" s="57" t="s">
        <v>1537</v>
      </c>
      <c r="E413" s="57" t="s">
        <v>1538</v>
      </c>
      <c r="F413" s="58" t="s">
        <v>110</v>
      </c>
      <c r="G413" s="52" t="s">
        <v>1439</v>
      </c>
      <c r="H413" s="52"/>
      <c r="I413" s="52" t="s">
        <v>1539</v>
      </c>
      <c r="J413" s="52" t="s">
        <v>1539</v>
      </c>
      <c r="K413" s="59" t="s">
        <v>79</v>
      </c>
      <c r="L413" s="81" t="s">
        <v>1540</v>
      </c>
      <c r="M413" s="52"/>
      <c r="N413" s="52"/>
      <c r="O413" s="61" t="s">
        <v>1541</v>
      </c>
      <c r="P413" s="76" t="s">
        <v>1542</v>
      </c>
      <c r="Q413" s="55">
        <f>VLOOKUP(E413,'NI-San_SP'!$C:$AN,12,FALSE)</f>
        <v>0</v>
      </c>
      <c r="R413" s="55">
        <f>VLOOKUP(E413,'NI-San_SP'!$C:$AN,13,FALSE)</f>
        <v>0</v>
      </c>
      <c r="S413" s="55">
        <f>VLOOKUP(E413,'NI-San_SP'!$C:$AN,31,FALSE)</f>
        <v>0</v>
      </c>
      <c r="T413" s="55">
        <f>VLOOKUP(E413,'NI-San_SP'!$C:$AN,32,FALSE)+VLOOKUP(E413,'NI-San_SP'!$C:$AN,33,FALSE)</f>
        <v>0</v>
      </c>
      <c r="U413" s="55">
        <f>VLOOKUP($E413,'NI-San_SP'!$C:$AN,MID(U$1,1,2),FALSE)</f>
        <v>0</v>
      </c>
      <c r="V413" s="55">
        <f>VLOOKUP($E413,'NI-San_SP'!$C:$AN,MID(V$1,1,2),FALSE)</f>
        <v>0</v>
      </c>
      <c r="W413" s="55">
        <f>VLOOKUP($E413,'NI-San_SP'!$C:$AN,MID(W$1,1,2),FALSE)</f>
        <v>0</v>
      </c>
      <c r="X413" s="55">
        <f>VLOOKUP($E413,'NI-San_SP'!$C:$AN,MID(X$1,1,2),FALSE)</f>
        <v>0</v>
      </c>
      <c r="Y413" s="55">
        <f>VLOOKUP($E413,'NI-San_SP'!$C:$AN,MID(Y$1,1,2),FALSE)</f>
        <v>0</v>
      </c>
      <c r="Z413" s="55">
        <f>VLOOKUP($E413,'NI-San_SP'!$C:$AN,MID(Z$1,1,2),FALSE)</f>
        <v>0</v>
      </c>
      <c r="AA413" s="55">
        <f>VLOOKUP($E413,'NI-San_SP'!$C:$AN,MID(AA$1,1,2),FALSE)</f>
        <v>0</v>
      </c>
      <c r="AB413" s="55">
        <f>VLOOKUP($E413,'NI-San_SP'!$C:$AN,MID(AB$1,1,2),FALSE)</f>
        <v>0</v>
      </c>
      <c r="AC413" s="55">
        <f>VLOOKUP($E413,'NI-San_SP'!$C:$AN,MID(AC$1,1,2),FALSE)</f>
        <v>0</v>
      </c>
      <c r="AD413" s="55">
        <f>VLOOKUP($E413,'NI-San_SP'!$C:$AN,MID(AD$1,1,2),FALSE)</f>
        <v>0</v>
      </c>
      <c r="AE413" s="55">
        <f>VLOOKUP($E413,'NI-San_SP'!$C:$AN,MID(AE$1,1,2),FALSE)</f>
        <v>0</v>
      </c>
      <c r="AF413" s="55">
        <f>VLOOKUP($E413,'NI-San_SP'!$C:$AN,MID(AF$1,1,2),FALSE)</f>
        <v>0</v>
      </c>
      <c r="AG413" s="55">
        <f>VLOOKUP($E413,'NI-San_SP'!$C:$AN,MID(AG$1,1,2),FALSE)</f>
        <v>0</v>
      </c>
      <c r="AH413" s="55">
        <f>VLOOKUP($E413,'NI-San_SP'!$C:$AN,MID(AH$1,1,2),FALSE)</f>
        <v>0</v>
      </c>
      <c r="AI413" s="55">
        <f>VLOOKUP($E413,'NI-San_SP'!$C:$AN,MID(AI$1,1,2),FALSE)</f>
        <v>0</v>
      </c>
      <c r="AJ413" s="55">
        <f>VLOOKUP($E413,'NI-San_SP'!$C:$AN,MID(AJ$1,1,2),FALSE)</f>
        <v>0</v>
      </c>
      <c r="AK413" s="55">
        <f>VLOOKUP($E413,'NI-San_SP'!$C:$AN,MID(AK$1,1,2),FALSE)</f>
        <v>0</v>
      </c>
      <c r="AL413" s="55">
        <f>VLOOKUP($E413,'NI-San_SP'!$C:$AN,MID(AL$1,1,2),FALSE)</f>
        <v>0</v>
      </c>
      <c r="AM413" s="56">
        <f>VLOOKUP($E413,'NI-San_SP'!$C:$AN,MID(AM$1,1,2),FALSE)</f>
        <v>0</v>
      </c>
      <c r="AN413" s="30" t="str">
        <f t="shared" si="6"/>
        <v>20202020020000</v>
      </c>
    </row>
    <row r="414" spans="1:40" x14ac:dyDescent="0.25">
      <c r="C414" s="40"/>
      <c r="D414" s="57" t="s">
        <v>1543</v>
      </c>
      <c r="E414" s="57" t="s">
        <v>1544</v>
      </c>
      <c r="F414" s="58" t="s">
        <v>110</v>
      </c>
      <c r="G414" s="52" t="s">
        <v>1439</v>
      </c>
      <c r="H414" s="52"/>
      <c r="I414" s="52" t="s">
        <v>1545</v>
      </c>
      <c r="J414" s="52" t="s">
        <v>1545</v>
      </c>
      <c r="K414" s="59" t="s">
        <v>79</v>
      </c>
      <c r="L414" s="81" t="s">
        <v>1546</v>
      </c>
      <c r="M414" s="52"/>
      <c r="N414" s="52"/>
      <c r="O414" s="61" t="s">
        <v>1547</v>
      </c>
      <c r="P414" s="76" t="s">
        <v>1548</v>
      </c>
      <c r="Q414" s="55">
        <f>VLOOKUP(E414,'NI-San_SP'!$C:$AN,12,FALSE)</f>
        <v>0</v>
      </c>
      <c r="R414" s="55">
        <f>VLOOKUP(E414,'NI-San_SP'!$C:$AN,13,FALSE)</f>
        <v>0</v>
      </c>
      <c r="S414" s="55">
        <f>VLOOKUP(E414,'NI-San_SP'!$C:$AN,31,FALSE)</f>
        <v>0</v>
      </c>
      <c r="T414" s="55">
        <f>VLOOKUP(E414,'NI-San_SP'!$C:$AN,32,FALSE)+VLOOKUP(E414,'NI-San_SP'!$C:$AN,33,FALSE)</f>
        <v>0</v>
      </c>
      <c r="U414" s="55">
        <f>VLOOKUP($E414,'NI-San_SP'!$C:$AN,MID(U$1,1,2),FALSE)</f>
        <v>0</v>
      </c>
      <c r="V414" s="55">
        <f>VLOOKUP($E414,'NI-San_SP'!$C:$AN,MID(V$1,1,2),FALSE)</f>
        <v>0</v>
      </c>
      <c r="W414" s="55">
        <f>VLOOKUP($E414,'NI-San_SP'!$C:$AN,MID(W$1,1,2),FALSE)</f>
        <v>0</v>
      </c>
      <c r="X414" s="55">
        <f>VLOOKUP($E414,'NI-San_SP'!$C:$AN,MID(X$1,1,2),FALSE)</f>
        <v>0</v>
      </c>
      <c r="Y414" s="55">
        <f>VLOOKUP($E414,'NI-San_SP'!$C:$AN,MID(Y$1,1,2),FALSE)</f>
        <v>0</v>
      </c>
      <c r="Z414" s="55">
        <f>VLOOKUP($E414,'NI-San_SP'!$C:$AN,MID(Z$1,1,2),FALSE)</f>
        <v>0</v>
      </c>
      <c r="AA414" s="55">
        <f>VLOOKUP($E414,'NI-San_SP'!$C:$AN,MID(AA$1,1,2),FALSE)</f>
        <v>0</v>
      </c>
      <c r="AB414" s="55">
        <f>VLOOKUP($E414,'NI-San_SP'!$C:$AN,MID(AB$1,1,2),FALSE)</f>
        <v>0</v>
      </c>
      <c r="AC414" s="55">
        <f>VLOOKUP($E414,'NI-San_SP'!$C:$AN,MID(AC$1,1,2),FALSE)</f>
        <v>0</v>
      </c>
      <c r="AD414" s="55">
        <f>VLOOKUP($E414,'NI-San_SP'!$C:$AN,MID(AD$1,1,2),FALSE)</f>
        <v>0</v>
      </c>
      <c r="AE414" s="55">
        <f>VLOOKUP($E414,'NI-San_SP'!$C:$AN,MID(AE$1,1,2),FALSE)</f>
        <v>0</v>
      </c>
      <c r="AF414" s="55">
        <f>VLOOKUP($E414,'NI-San_SP'!$C:$AN,MID(AF$1,1,2),FALSE)</f>
        <v>0</v>
      </c>
      <c r="AG414" s="55">
        <f>VLOOKUP($E414,'NI-San_SP'!$C:$AN,MID(AG$1,1,2),FALSE)</f>
        <v>0</v>
      </c>
      <c r="AH414" s="55">
        <f>VLOOKUP($E414,'NI-San_SP'!$C:$AN,MID(AH$1,1,2),FALSE)</f>
        <v>0</v>
      </c>
      <c r="AI414" s="55">
        <f>VLOOKUP($E414,'NI-San_SP'!$C:$AN,MID(AI$1,1,2),FALSE)</f>
        <v>0</v>
      </c>
      <c r="AJ414" s="55">
        <f>VLOOKUP($E414,'NI-San_SP'!$C:$AN,MID(AJ$1,1,2),FALSE)</f>
        <v>0</v>
      </c>
      <c r="AK414" s="55">
        <f>VLOOKUP($E414,'NI-San_SP'!$C:$AN,MID(AK$1,1,2),FALSE)</f>
        <v>0</v>
      </c>
      <c r="AL414" s="55">
        <f>VLOOKUP($E414,'NI-San_SP'!$C:$AN,MID(AL$1,1,2),FALSE)</f>
        <v>0</v>
      </c>
      <c r="AM414" s="56">
        <f>VLOOKUP($E414,'NI-San_SP'!$C:$AN,MID(AM$1,1,2),FALSE)</f>
        <v>0</v>
      </c>
      <c r="AN414" s="30" t="str">
        <f t="shared" si="6"/>
        <v>20202020030000</v>
      </c>
    </row>
    <row r="415" spans="1:40" s="83" customFormat="1" ht="27" x14ac:dyDescent="0.25">
      <c r="A415" s="30" t="s">
        <v>1394</v>
      </c>
      <c r="B415" s="30"/>
      <c r="C415" s="40"/>
      <c r="D415" s="78" t="s">
        <v>1549</v>
      </c>
      <c r="E415" s="78" t="s">
        <v>1550</v>
      </c>
      <c r="F415" s="82" t="s">
        <v>110</v>
      </c>
      <c r="G415" s="82"/>
      <c r="H415" s="82"/>
      <c r="J415" s="52" t="s">
        <v>1551</v>
      </c>
      <c r="K415" s="59" t="s">
        <v>79</v>
      </c>
      <c r="L415" s="81" t="s">
        <v>1546</v>
      </c>
      <c r="M415" s="82"/>
      <c r="N415" s="82"/>
      <c r="O415" s="61" t="s">
        <v>1552</v>
      </c>
      <c r="P415" s="76" t="s">
        <v>1553</v>
      </c>
      <c r="Q415" s="55">
        <f>VLOOKUP(E415,'NI-San_SP'!$C:$AN,12,FALSE)</f>
        <v>0</v>
      </c>
      <c r="R415" s="55">
        <f>VLOOKUP(E415,'NI-San_SP'!$C:$AN,13,FALSE)</f>
        <v>0</v>
      </c>
      <c r="S415" s="55">
        <f>VLOOKUP(E415,'NI-San_SP'!$C:$AN,31,FALSE)</f>
        <v>0</v>
      </c>
      <c r="T415" s="55">
        <f>VLOOKUP(E415,'NI-San_SP'!$C:$AN,32,FALSE)+VLOOKUP(E415,'NI-San_SP'!$C:$AN,33,FALSE)</f>
        <v>0</v>
      </c>
      <c r="U415" s="55">
        <f>VLOOKUP($E415,'NI-San_SP'!$C:$AN,MID(U$1,1,2),FALSE)</f>
        <v>0</v>
      </c>
      <c r="V415" s="55">
        <f>VLOOKUP($E415,'NI-San_SP'!$C:$AN,MID(V$1,1,2),FALSE)</f>
        <v>0</v>
      </c>
      <c r="W415" s="55">
        <f>VLOOKUP($E415,'NI-San_SP'!$C:$AN,MID(W$1,1,2),FALSE)</f>
        <v>0</v>
      </c>
      <c r="X415" s="55">
        <f>VLOOKUP($E415,'NI-San_SP'!$C:$AN,MID(X$1,1,2),FALSE)</f>
        <v>0</v>
      </c>
      <c r="Y415" s="55">
        <f>VLOOKUP($E415,'NI-San_SP'!$C:$AN,MID(Y$1,1,2),FALSE)</f>
        <v>0</v>
      </c>
      <c r="Z415" s="55">
        <f>VLOOKUP($E415,'NI-San_SP'!$C:$AN,MID(Z$1,1,2),FALSE)</f>
        <v>0</v>
      </c>
      <c r="AA415" s="55">
        <f>VLOOKUP($E415,'NI-San_SP'!$C:$AN,MID(AA$1,1,2),FALSE)</f>
        <v>0</v>
      </c>
      <c r="AB415" s="55">
        <f>VLOOKUP($E415,'NI-San_SP'!$C:$AN,MID(AB$1,1,2),FALSE)</f>
        <v>0</v>
      </c>
      <c r="AC415" s="55">
        <f>VLOOKUP($E415,'NI-San_SP'!$C:$AN,MID(AC$1,1,2),FALSE)</f>
        <v>0</v>
      </c>
      <c r="AD415" s="55">
        <f>VLOOKUP($E415,'NI-San_SP'!$C:$AN,MID(AD$1,1,2),FALSE)</f>
        <v>0</v>
      </c>
      <c r="AE415" s="55">
        <f>VLOOKUP($E415,'NI-San_SP'!$C:$AN,MID(AE$1,1,2),FALSE)</f>
        <v>0</v>
      </c>
      <c r="AF415" s="55">
        <f>VLOOKUP($E415,'NI-San_SP'!$C:$AN,MID(AF$1,1,2),FALSE)</f>
        <v>0</v>
      </c>
      <c r="AG415" s="55">
        <f>VLOOKUP($E415,'NI-San_SP'!$C:$AN,MID(AG$1,1,2),FALSE)</f>
        <v>0</v>
      </c>
      <c r="AH415" s="55">
        <f>VLOOKUP($E415,'NI-San_SP'!$C:$AN,MID(AH$1,1,2),FALSE)</f>
        <v>0</v>
      </c>
      <c r="AI415" s="55">
        <f>VLOOKUP($E415,'NI-San_SP'!$C:$AN,MID(AI$1,1,2),FALSE)</f>
        <v>0</v>
      </c>
      <c r="AJ415" s="55">
        <f>VLOOKUP($E415,'NI-San_SP'!$C:$AN,MID(AJ$1,1,2),FALSE)</f>
        <v>0</v>
      </c>
      <c r="AK415" s="55">
        <f>VLOOKUP($E415,'NI-San_SP'!$C:$AN,MID(AK$1,1,2),FALSE)</f>
        <v>0</v>
      </c>
      <c r="AL415" s="55">
        <f>VLOOKUP($E415,'NI-San_SP'!$C:$AN,MID(AL$1,1,2),FALSE)</f>
        <v>0</v>
      </c>
      <c r="AM415" s="56">
        <f>VLOOKUP($E415,'NI-San_SP'!$C:$AN,MID(AM$1,1,2),FALSE)</f>
        <v>0</v>
      </c>
      <c r="AN415" s="30" t="str">
        <f t="shared" si="6"/>
        <v>20202020040000</v>
      </c>
    </row>
    <row r="416" spans="1:40" x14ac:dyDescent="0.25">
      <c r="C416" s="40"/>
      <c r="D416" s="57" t="s">
        <v>1554</v>
      </c>
      <c r="E416" s="57" t="s">
        <v>1555</v>
      </c>
      <c r="F416" s="58" t="s">
        <v>110</v>
      </c>
      <c r="G416" s="52" t="s">
        <v>1439</v>
      </c>
      <c r="H416" s="52"/>
      <c r="I416" s="52" t="s">
        <v>1556</v>
      </c>
      <c r="J416" s="52" t="s">
        <v>1556</v>
      </c>
      <c r="K416" s="59" t="s">
        <v>79</v>
      </c>
      <c r="L416" s="81" t="s">
        <v>1557</v>
      </c>
      <c r="M416" s="52"/>
      <c r="N416" s="52"/>
      <c r="O416" s="61" t="s">
        <v>1547</v>
      </c>
      <c r="P416" s="76" t="s">
        <v>1558</v>
      </c>
      <c r="Q416" s="55">
        <f>VLOOKUP(E416,'NI-San_SP'!$C:$AN,12,FALSE)</f>
        <v>0</v>
      </c>
      <c r="R416" s="55">
        <f>VLOOKUP(E416,'NI-San_SP'!$C:$AN,13,FALSE)</f>
        <v>0</v>
      </c>
      <c r="S416" s="55">
        <f>VLOOKUP(E416,'NI-San_SP'!$C:$AN,31,FALSE)</f>
        <v>0</v>
      </c>
      <c r="T416" s="55">
        <f>VLOOKUP(E416,'NI-San_SP'!$C:$AN,32,FALSE)+VLOOKUP(E416,'NI-San_SP'!$C:$AN,33,FALSE)</f>
        <v>0</v>
      </c>
      <c r="U416" s="55">
        <f>VLOOKUP($E416,'NI-San_SP'!$C:$AN,MID(U$1,1,2),FALSE)</f>
        <v>0</v>
      </c>
      <c r="V416" s="55">
        <f>VLOOKUP($E416,'NI-San_SP'!$C:$AN,MID(V$1,1,2),FALSE)</f>
        <v>0</v>
      </c>
      <c r="W416" s="55">
        <f>VLOOKUP($E416,'NI-San_SP'!$C:$AN,MID(W$1,1,2),FALSE)</f>
        <v>0</v>
      </c>
      <c r="X416" s="55">
        <f>VLOOKUP($E416,'NI-San_SP'!$C:$AN,MID(X$1,1,2),FALSE)</f>
        <v>0</v>
      </c>
      <c r="Y416" s="55">
        <f>VLOOKUP($E416,'NI-San_SP'!$C:$AN,MID(Y$1,1,2),FALSE)</f>
        <v>0</v>
      </c>
      <c r="Z416" s="55">
        <f>VLOOKUP($E416,'NI-San_SP'!$C:$AN,MID(Z$1,1,2),FALSE)</f>
        <v>0</v>
      </c>
      <c r="AA416" s="55">
        <f>VLOOKUP($E416,'NI-San_SP'!$C:$AN,MID(AA$1,1,2),FALSE)</f>
        <v>0</v>
      </c>
      <c r="AB416" s="55">
        <f>VLOOKUP($E416,'NI-San_SP'!$C:$AN,MID(AB$1,1,2),FALSE)</f>
        <v>0</v>
      </c>
      <c r="AC416" s="55">
        <f>VLOOKUP($E416,'NI-San_SP'!$C:$AN,MID(AC$1,1,2),FALSE)</f>
        <v>0</v>
      </c>
      <c r="AD416" s="55">
        <f>VLOOKUP($E416,'NI-San_SP'!$C:$AN,MID(AD$1,1,2),FALSE)</f>
        <v>0</v>
      </c>
      <c r="AE416" s="55">
        <f>VLOOKUP($E416,'NI-San_SP'!$C:$AN,MID(AE$1,1,2),FALSE)</f>
        <v>0</v>
      </c>
      <c r="AF416" s="55">
        <f>VLOOKUP($E416,'NI-San_SP'!$C:$AN,MID(AF$1,1,2),FALSE)</f>
        <v>0</v>
      </c>
      <c r="AG416" s="55">
        <f>VLOOKUP($E416,'NI-San_SP'!$C:$AN,MID(AG$1,1,2),FALSE)</f>
        <v>0</v>
      </c>
      <c r="AH416" s="55">
        <f>VLOOKUP($E416,'NI-San_SP'!$C:$AN,MID(AH$1,1,2),FALSE)</f>
        <v>0</v>
      </c>
      <c r="AI416" s="55">
        <f>VLOOKUP($E416,'NI-San_SP'!$C:$AN,MID(AI$1,1,2),FALSE)</f>
        <v>0</v>
      </c>
      <c r="AJ416" s="55">
        <f>VLOOKUP($E416,'NI-San_SP'!$C:$AN,MID(AJ$1,1,2),FALSE)</f>
        <v>0</v>
      </c>
      <c r="AK416" s="55">
        <f>VLOOKUP($E416,'NI-San_SP'!$C:$AN,MID(AK$1,1,2),FALSE)</f>
        <v>0</v>
      </c>
      <c r="AL416" s="55">
        <f>VLOOKUP($E416,'NI-San_SP'!$C:$AN,MID(AL$1,1,2),FALSE)</f>
        <v>0</v>
      </c>
      <c r="AM416" s="56">
        <f>VLOOKUP($E416,'NI-San_SP'!$C:$AN,MID(AM$1,1,2),FALSE)</f>
        <v>0</v>
      </c>
      <c r="AN416" s="30" t="str">
        <f t="shared" si="6"/>
        <v>20202020050000</v>
      </c>
    </row>
    <row r="417" spans="1:40" ht="27" x14ac:dyDescent="0.25">
      <c r="C417" s="40"/>
      <c r="D417" s="57" t="s">
        <v>1559</v>
      </c>
      <c r="E417" s="57" t="s">
        <v>1560</v>
      </c>
      <c r="F417" s="58" t="s">
        <v>110</v>
      </c>
      <c r="G417" s="52" t="s">
        <v>1439</v>
      </c>
      <c r="H417" s="52"/>
      <c r="I417" s="52" t="s">
        <v>1561</v>
      </c>
      <c r="J417" s="52" t="s">
        <v>1561</v>
      </c>
      <c r="K417" s="59" t="s">
        <v>79</v>
      </c>
      <c r="L417" s="81" t="s">
        <v>1534</v>
      </c>
      <c r="M417" s="52"/>
      <c r="N417" s="52"/>
      <c r="O417" s="61" t="s">
        <v>1552</v>
      </c>
      <c r="P417" s="76" t="s">
        <v>1562</v>
      </c>
      <c r="Q417" s="55">
        <f>VLOOKUP(E417,'NI-San_SP'!$C:$AN,12,FALSE)</f>
        <v>0</v>
      </c>
      <c r="R417" s="55">
        <f>VLOOKUP(E417,'NI-San_SP'!$C:$AN,13,FALSE)</f>
        <v>0</v>
      </c>
      <c r="S417" s="55">
        <f>VLOOKUP(E417,'NI-San_SP'!$C:$AN,31,FALSE)</f>
        <v>0</v>
      </c>
      <c r="T417" s="55">
        <f>VLOOKUP(E417,'NI-San_SP'!$C:$AN,32,FALSE)+VLOOKUP(E417,'NI-San_SP'!$C:$AN,33,FALSE)</f>
        <v>0</v>
      </c>
      <c r="U417" s="55">
        <f>VLOOKUP($E417,'NI-San_SP'!$C:$AN,MID(U$1,1,2),FALSE)</f>
        <v>0</v>
      </c>
      <c r="V417" s="55">
        <f>VLOOKUP($E417,'NI-San_SP'!$C:$AN,MID(V$1,1,2),FALSE)</f>
        <v>0</v>
      </c>
      <c r="W417" s="55">
        <f>VLOOKUP($E417,'NI-San_SP'!$C:$AN,MID(W$1,1,2),FALSE)</f>
        <v>0</v>
      </c>
      <c r="X417" s="55">
        <f>VLOOKUP($E417,'NI-San_SP'!$C:$AN,MID(X$1,1,2),FALSE)</f>
        <v>0</v>
      </c>
      <c r="Y417" s="55">
        <f>VLOOKUP($E417,'NI-San_SP'!$C:$AN,MID(Y$1,1,2),FALSE)</f>
        <v>0</v>
      </c>
      <c r="Z417" s="55">
        <f>VLOOKUP($E417,'NI-San_SP'!$C:$AN,MID(Z$1,1,2),FALSE)</f>
        <v>0</v>
      </c>
      <c r="AA417" s="55">
        <f>VLOOKUP($E417,'NI-San_SP'!$C:$AN,MID(AA$1,1,2),FALSE)</f>
        <v>0</v>
      </c>
      <c r="AB417" s="55">
        <f>VLOOKUP($E417,'NI-San_SP'!$C:$AN,MID(AB$1,1,2),FALSE)</f>
        <v>0</v>
      </c>
      <c r="AC417" s="55">
        <f>VLOOKUP($E417,'NI-San_SP'!$C:$AN,MID(AC$1,1,2),FALSE)</f>
        <v>0</v>
      </c>
      <c r="AD417" s="55">
        <f>VLOOKUP($E417,'NI-San_SP'!$C:$AN,MID(AD$1,1,2),FALSE)</f>
        <v>0</v>
      </c>
      <c r="AE417" s="55">
        <f>VLOOKUP($E417,'NI-San_SP'!$C:$AN,MID(AE$1,1,2),FALSE)</f>
        <v>0</v>
      </c>
      <c r="AF417" s="55">
        <f>VLOOKUP($E417,'NI-San_SP'!$C:$AN,MID(AF$1,1,2),FALSE)</f>
        <v>0</v>
      </c>
      <c r="AG417" s="55">
        <f>VLOOKUP($E417,'NI-San_SP'!$C:$AN,MID(AG$1,1,2),FALSE)</f>
        <v>0</v>
      </c>
      <c r="AH417" s="55">
        <f>VLOOKUP($E417,'NI-San_SP'!$C:$AN,MID(AH$1,1,2),FALSE)</f>
        <v>0</v>
      </c>
      <c r="AI417" s="55">
        <f>VLOOKUP($E417,'NI-San_SP'!$C:$AN,MID(AI$1,1,2),FALSE)</f>
        <v>0</v>
      </c>
      <c r="AJ417" s="55">
        <f>VLOOKUP($E417,'NI-San_SP'!$C:$AN,MID(AJ$1,1,2),FALSE)</f>
        <v>0</v>
      </c>
      <c r="AK417" s="55">
        <f>VLOOKUP($E417,'NI-San_SP'!$C:$AN,MID(AK$1,1,2),FALSE)</f>
        <v>0</v>
      </c>
      <c r="AL417" s="55">
        <f>VLOOKUP($E417,'NI-San_SP'!$C:$AN,MID(AL$1,1,2),FALSE)</f>
        <v>0</v>
      </c>
      <c r="AM417" s="56">
        <f>VLOOKUP($E417,'NI-San_SP'!$C:$AN,MID(AM$1,1,2),FALSE)</f>
        <v>0</v>
      </c>
      <c r="AN417" s="30" t="str">
        <f t="shared" si="6"/>
        <v>20202020060000</v>
      </c>
    </row>
    <row r="418" spans="1:40" s="85" customFormat="1" x14ac:dyDescent="0.25">
      <c r="A418" s="30" t="s">
        <v>1394</v>
      </c>
      <c r="B418" s="30"/>
      <c r="C418" s="40"/>
      <c r="D418" s="78" t="s">
        <v>1563</v>
      </c>
      <c r="E418" s="78" t="s">
        <v>1564</v>
      </c>
      <c r="F418" s="58" t="s">
        <v>110</v>
      </c>
      <c r="G418" s="52"/>
      <c r="H418" s="84"/>
      <c r="I418" s="84"/>
      <c r="J418" s="52" t="s">
        <v>1565</v>
      </c>
      <c r="K418" s="59" t="s">
        <v>79</v>
      </c>
      <c r="L418" s="81" t="s">
        <v>1534</v>
      </c>
      <c r="M418" s="84"/>
      <c r="N418" s="84"/>
      <c r="O418" s="61" t="s">
        <v>1566</v>
      </c>
      <c r="P418" s="76" t="s">
        <v>1567</v>
      </c>
      <c r="Q418" s="55">
        <f>VLOOKUP(E418,'NI-San_SP'!$C:$AN,12,FALSE)</f>
        <v>0</v>
      </c>
      <c r="R418" s="55">
        <f>VLOOKUP(E418,'NI-San_SP'!$C:$AN,13,FALSE)</f>
        <v>0</v>
      </c>
      <c r="S418" s="55">
        <f>VLOOKUP(E418,'NI-San_SP'!$C:$AN,31,FALSE)</f>
        <v>0</v>
      </c>
      <c r="T418" s="55">
        <f>VLOOKUP(E418,'NI-San_SP'!$C:$AN,32,FALSE)+VLOOKUP(E418,'NI-San_SP'!$C:$AN,33,FALSE)</f>
        <v>0</v>
      </c>
      <c r="U418" s="55">
        <f>VLOOKUP($E418,'NI-San_SP'!$C:$AN,MID(U$1,1,2),FALSE)</f>
        <v>0</v>
      </c>
      <c r="V418" s="55">
        <f>VLOOKUP($E418,'NI-San_SP'!$C:$AN,MID(V$1,1,2),FALSE)</f>
        <v>0</v>
      </c>
      <c r="W418" s="55">
        <f>VLOOKUP($E418,'NI-San_SP'!$C:$AN,MID(W$1,1,2),FALSE)</f>
        <v>0</v>
      </c>
      <c r="X418" s="55">
        <f>VLOOKUP($E418,'NI-San_SP'!$C:$AN,MID(X$1,1,2),FALSE)</f>
        <v>0</v>
      </c>
      <c r="Y418" s="55">
        <f>VLOOKUP($E418,'NI-San_SP'!$C:$AN,MID(Y$1,1,2),FALSE)</f>
        <v>0</v>
      </c>
      <c r="Z418" s="55">
        <f>VLOOKUP($E418,'NI-San_SP'!$C:$AN,MID(Z$1,1,2),FALSE)</f>
        <v>0</v>
      </c>
      <c r="AA418" s="55">
        <f>VLOOKUP($E418,'NI-San_SP'!$C:$AN,MID(AA$1,1,2),FALSE)</f>
        <v>0</v>
      </c>
      <c r="AB418" s="55">
        <f>VLOOKUP($E418,'NI-San_SP'!$C:$AN,MID(AB$1,1,2),FALSE)</f>
        <v>0</v>
      </c>
      <c r="AC418" s="55">
        <f>VLOOKUP($E418,'NI-San_SP'!$C:$AN,MID(AC$1,1,2),FALSE)</f>
        <v>0</v>
      </c>
      <c r="AD418" s="55">
        <f>VLOOKUP($E418,'NI-San_SP'!$C:$AN,MID(AD$1,1,2),FALSE)</f>
        <v>0</v>
      </c>
      <c r="AE418" s="55">
        <f>VLOOKUP($E418,'NI-San_SP'!$C:$AN,MID(AE$1,1,2),FALSE)</f>
        <v>0</v>
      </c>
      <c r="AF418" s="55">
        <f>VLOOKUP($E418,'NI-San_SP'!$C:$AN,MID(AF$1,1,2),FALSE)</f>
        <v>0</v>
      </c>
      <c r="AG418" s="55">
        <f>VLOOKUP($E418,'NI-San_SP'!$C:$AN,MID(AG$1,1,2),FALSE)</f>
        <v>0</v>
      </c>
      <c r="AH418" s="55">
        <f>VLOOKUP($E418,'NI-San_SP'!$C:$AN,MID(AH$1,1,2),FALSE)</f>
        <v>0</v>
      </c>
      <c r="AI418" s="55">
        <f>VLOOKUP($E418,'NI-San_SP'!$C:$AN,MID(AI$1,1,2),FALSE)</f>
        <v>0</v>
      </c>
      <c r="AJ418" s="55">
        <f>VLOOKUP($E418,'NI-San_SP'!$C:$AN,MID(AJ$1,1,2),FALSE)</f>
        <v>0</v>
      </c>
      <c r="AK418" s="55">
        <f>VLOOKUP($E418,'NI-San_SP'!$C:$AN,MID(AK$1,1,2),FALSE)</f>
        <v>0</v>
      </c>
      <c r="AL418" s="55">
        <f>VLOOKUP($E418,'NI-San_SP'!$C:$AN,MID(AL$1,1,2),FALSE)</f>
        <v>0</v>
      </c>
      <c r="AM418" s="56">
        <f>VLOOKUP($E418,'NI-San_SP'!$C:$AN,MID(AM$1,1,2),FALSE)</f>
        <v>0</v>
      </c>
      <c r="AN418" s="30" t="str">
        <f t="shared" si="6"/>
        <v>20202030000000</v>
      </c>
    </row>
    <row r="419" spans="1:40" s="85" customFormat="1" x14ac:dyDescent="0.25">
      <c r="A419" s="30" t="s">
        <v>1394</v>
      </c>
      <c r="B419" s="30"/>
      <c r="C419" s="40"/>
      <c r="D419" s="78" t="s">
        <v>1568</v>
      </c>
      <c r="E419" s="78" t="s">
        <v>1569</v>
      </c>
      <c r="F419" s="58" t="s">
        <v>110</v>
      </c>
      <c r="G419" s="52"/>
      <c r="H419" s="84"/>
      <c r="I419" s="84"/>
      <c r="J419" s="52" t="s">
        <v>1570</v>
      </c>
      <c r="K419" s="59" t="s">
        <v>79</v>
      </c>
      <c r="L419" s="81" t="s">
        <v>1534</v>
      </c>
      <c r="M419" s="84"/>
      <c r="N419" s="84"/>
      <c r="O419" s="61" t="s">
        <v>1566</v>
      </c>
      <c r="P419" s="76" t="s">
        <v>1571</v>
      </c>
      <c r="Q419" s="55">
        <f>VLOOKUP(E419,'NI-San_SP'!$C:$AN,12,FALSE)</f>
        <v>0</v>
      </c>
      <c r="R419" s="55">
        <f>VLOOKUP(E419,'NI-San_SP'!$C:$AN,13,FALSE)</f>
        <v>0</v>
      </c>
      <c r="S419" s="55">
        <f>VLOOKUP(E419,'NI-San_SP'!$C:$AN,31,FALSE)</f>
        <v>0</v>
      </c>
      <c r="T419" s="55">
        <f>VLOOKUP(E419,'NI-San_SP'!$C:$AN,32,FALSE)+VLOOKUP(E419,'NI-San_SP'!$C:$AN,33,FALSE)</f>
        <v>0</v>
      </c>
      <c r="U419" s="55">
        <f>VLOOKUP($E419,'NI-San_SP'!$C:$AN,MID(U$1,1,2),FALSE)</f>
        <v>0</v>
      </c>
      <c r="V419" s="55">
        <f>VLOOKUP($E419,'NI-San_SP'!$C:$AN,MID(V$1,1,2),FALSE)</f>
        <v>0</v>
      </c>
      <c r="W419" s="55">
        <f>VLOOKUP($E419,'NI-San_SP'!$C:$AN,MID(W$1,1,2),FALSE)</f>
        <v>0</v>
      </c>
      <c r="X419" s="55">
        <f>VLOOKUP($E419,'NI-San_SP'!$C:$AN,MID(X$1,1,2),FALSE)</f>
        <v>0</v>
      </c>
      <c r="Y419" s="55">
        <f>VLOOKUP($E419,'NI-San_SP'!$C:$AN,MID(Y$1,1,2),FALSE)</f>
        <v>0</v>
      </c>
      <c r="Z419" s="55">
        <f>VLOOKUP($E419,'NI-San_SP'!$C:$AN,MID(Z$1,1,2),FALSE)</f>
        <v>0</v>
      </c>
      <c r="AA419" s="55">
        <f>VLOOKUP($E419,'NI-San_SP'!$C:$AN,MID(AA$1,1,2),FALSE)</f>
        <v>0</v>
      </c>
      <c r="AB419" s="55">
        <f>VLOOKUP($E419,'NI-San_SP'!$C:$AN,MID(AB$1,1,2),FALSE)</f>
        <v>0</v>
      </c>
      <c r="AC419" s="55">
        <f>VLOOKUP($E419,'NI-San_SP'!$C:$AN,MID(AC$1,1,2),FALSE)</f>
        <v>0</v>
      </c>
      <c r="AD419" s="55">
        <f>VLOOKUP($E419,'NI-San_SP'!$C:$AN,MID(AD$1,1,2),FALSE)</f>
        <v>0</v>
      </c>
      <c r="AE419" s="55">
        <f>VLOOKUP($E419,'NI-San_SP'!$C:$AN,MID(AE$1,1,2),FALSE)</f>
        <v>0</v>
      </c>
      <c r="AF419" s="55">
        <f>VLOOKUP($E419,'NI-San_SP'!$C:$AN,MID(AF$1,1,2),FALSE)</f>
        <v>0</v>
      </c>
      <c r="AG419" s="55">
        <f>VLOOKUP($E419,'NI-San_SP'!$C:$AN,MID(AG$1,1,2),FALSE)</f>
        <v>0</v>
      </c>
      <c r="AH419" s="55">
        <f>VLOOKUP($E419,'NI-San_SP'!$C:$AN,MID(AH$1,1,2),FALSE)</f>
        <v>0</v>
      </c>
      <c r="AI419" s="55">
        <f>VLOOKUP($E419,'NI-San_SP'!$C:$AN,MID(AI$1,1,2),FALSE)</f>
        <v>0</v>
      </c>
      <c r="AJ419" s="55">
        <f>VLOOKUP($E419,'NI-San_SP'!$C:$AN,MID(AJ$1,1,2),FALSE)</f>
        <v>0</v>
      </c>
      <c r="AK419" s="55">
        <f>VLOOKUP($E419,'NI-San_SP'!$C:$AN,MID(AK$1,1,2),FALSE)</f>
        <v>0</v>
      </c>
      <c r="AL419" s="55">
        <f>VLOOKUP($E419,'NI-San_SP'!$C:$AN,MID(AL$1,1,2),FALSE)</f>
        <v>0</v>
      </c>
      <c r="AM419" s="56">
        <f>VLOOKUP($E419,'NI-San_SP'!$C:$AN,MID(AM$1,1,2),FALSE)</f>
        <v>0</v>
      </c>
      <c r="AN419" s="30" t="str">
        <f t="shared" si="6"/>
        <v>20202040000000</v>
      </c>
    </row>
    <row r="420" spans="1:40" x14ac:dyDescent="0.25">
      <c r="C420" s="40"/>
      <c r="D420" s="57" t="s">
        <v>1572</v>
      </c>
      <c r="E420" s="57" t="s">
        <v>1573</v>
      </c>
      <c r="F420" s="58" t="s">
        <v>110</v>
      </c>
      <c r="G420" s="52"/>
      <c r="H420" s="52"/>
      <c r="I420" s="52" t="s">
        <v>1574</v>
      </c>
      <c r="J420" s="52" t="s">
        <v>1574</v>
      </c>
      <c r="K420" s="59" t="s">
        <v>79</v>
      </c>
      <c r="L420" s="81" t="s">
        <v>1575</v>
      </c>
      <c r="M420" s="52"/>
      <c r="N420" s="52"/>
      <c r="O420" s="61" t="s">
        <v>1576</v>
      </c>
      <c r="P420" s="76" t="s">
        <v>1577</v>
      </c>
      <c r="Q420" s="55">
        <f>VLOOKUP(E420,'NI-San_SP'!$C:$AN,12,FALSE)</f>
        <v>5546</v>
      </c>
      <c r="R420" s="55">
        <f>VLOOKUP(E420,'NI-San_SP'!$C:$AN,13,FALSE)</f>
        <v>22120</v>
      </c>
      <c r="S420" s="55">
        <f>VLOOKUP(E420,'NI-San_SP'!$C:$AN,31,FALSE)</f>
        <v>0</v>
      </c>
      <c r="T420" s="55">
        <f>VLOOKUP(E420,'NI-San_SP'!$C:$AN,32,FALSE)+VLOOKUP(E420,'NI-San_SP'!$C:$AN,33,FALSE)</f>
        <v>0</v>
      </c>
      <c r="U420" s="55">
        <f>VLOOKUP($E420,'NI-San_SP'!$C:$AN,MID(U$1,1,2),FALSE)</f>
        <v>0</v>
      </c>
      <c r="V420" s="55">
        <f>VLOOKUP($E420,'NI-San_SP'!$C:$AN,MID(V$1,1,2),FALSE)</f>
        <v>5546</v>
      </c>
      <c r="W420" s="55">
        <f>VLOOKUP($E420,'NI-San_SP'!$C:$AN,MID(W$1,1,2),FALSE)</f>
        <v>0</v>
      </c>
      <c r="X420" s="55">
        <f>VLOOKUP($E420,'NI-San_SP'!$C:$AN,MID(X$1,1,2),FALSE)</f>
        <v>0</v>
      </c>
      <c r="Y420" s="55">
        <f>VLOOKUP($E420,'NI-San_SP'!$C:$AN,MID(Y$1,1,2),FALSE)</f>
        <v>66526</v>
      </c>
      <c r="Z420" s="55">
        <f>VLOOKUP($E420,'NI-San_SP'!$C:$AN,MID(Z$1,1,2),FALSE)</f>
        <v>5546</v>
      </c>
      <c r="AA420" s="55">
        <f>VLOOKUP($E420,'NI-San_SP'!$C:$AN,MID(AA$1,1,2),FALSE)</f>
        <v>0</v>
      </c>
      <c r="AB420" s="55">
        <f>VLOOKUP($E420,'NI-San_SP'!$C:$AN,MID(AB$1,1,2),FALSE)</f>
        <v>44406</v>
      </c>
      <c r="AC420" s="55">
        <f>VLOOKUP($E420,'NI-San_SP'!$C:$AN,MID(AC$1,1,2),FALSE)</f>
        <v>22120</v>
      </c>
      <c r="AD420" s="55">
        <f>VLOOKUP($E420,'NI-San_SP'!$C:$AN,MID(AD$1,1,2),FALSE)</f>
        <v>2452</v>
      </c>
      <c r="AE420" s="55">
        <f>VLOOKUP($E420,'NI-San_SP'!$C:$AN,MID(AE$1,1,2),FALSE)</f>
        <v>0</v>
      </c>
      <c r="AF420" s="55">
        <f>VLOOKUP($E420,'NI-San_SP'!$C:$AN,MID(AF$1,1,2),FALSE)</f>
        <v>0</v>
      </c>
      <c r="AG420" s="55">
        <f>VLOOKUP($E420,'NI-San_SP'!$C:$AN,MID(AG$1,1,2),FALSE)</f>
        <v>0</v>
      </c>
      <c r="AH420" s="55">
        <f>VLOOKUP($E420,'NI-San_SP'!$C:$AN,MID(AH$1,1,2),FALSE)</f>
        <v>0</v>
      </c>
      <c r="AI420" s="55">
        <f>VLOOKUP($E420,'NI-San_SP'!$C:$AN,MID(AI$1,1,2),FALSE)</f>
        <v>0</v>
      </c>
      <c r="AJ420" s="55">
        <f>VLOOKUP($E420,'NI-San_SP'!$C:$AN,MID(AJ$1,1,2),FALSE)</f>
        <v>0</v>
      </c>
      <c r="AK420" s="55">
        <f>VLOOKUP($E420,'NI-San_SP'!$C:$AN,MID(AK$1,1,2),FALSE)</f>
        <v>0</v>
      </c>
      <c r="AL420" s="55">
        <f>VLOOKUP($E420,'NI-San_SP'!$C:$AN,MID(AL$1,1,2),FALSE)</f>
        <v>0</v>
      </c>
      <c r="AM420" s="56">
        <f>VLOOKUP($E420,'NI-San_SP'!$C:$AN,MID(AM$1,1,2),FALSE)</f>
        <v>0</v>
      </c>
      <c r="AN420" s="30" t="str">
        <f t="shared" si="6"/>
        <v>20203000000000</v>
      </c>
    </row>
    <row r="421" spans="1:40" x14ac:dyDescent="0.25">
      <c r="C421" s="40"/>
      <c r="D421" s="57" t="s">
        <v>1578</v>
      </c>
      <c r="E421" s="57" t="s">
        <v>1579</v>
      </c>
      <c r="F421" s="58" t="s">
        <v>110</v>
      </c>
      <c r="G421" s="52"/>
      <c r="H421" s="52"/>
      <c r="I421" s="52"/>
      <c r="J421" s="52"/>
      <c r="K421" s="59" t="s">
        <v>111</v>
      </c>
      <c r="L421" s="81" t="s">
        <v>1580</v>
      </c>
      <c r="M421" s="52"/>
      <c r="N421" s="52"/>
      <c r="O421" s="52"/>
      <c r="P421" s="76" t="s">
        <v>1581</v>
      </c>
      <c r="Q421" s="55">
        <f>VLOOKUP(E421,'NI-San_SP'!$C:$AN,12,FALSE)</f>
        <v>18276645</v>
      </c>
      <c r="R421" s="55">
        <f>VLOOKUP(E421,'NI-San_SP'!$C:$AN,13,FALSE)</f>
        <v>12947177</v>
      </c>
      <c r="S421" s="55">
        <f>VLOOKUP(E421,'NI-San_SP'!$C:$AN,31,FALSE)</f>
        <v>0</v>
      </c>
      <c r="T421" s="55">
        <f>VLOOKUP(E421,'NI-San_SP'!$C:$AN,32,FALSE)+VLOOKUP(E421,'NI-San_SP'!$C:$AN,33,FALSE)</f>
        <v>196855</v>
      </c>
      <c r="U421" s="55">
        <f>VLOOKUP($E421,'NI-San_SP'!$C:$AN,MID(U$1,1,2),FALSE)</f>
        <v>0</v>
      </c>
      <c r="V421" s="55">
        <f>VLOOKUP($E421,'NI-San_SP'!$C:$AN,MID(V$1,1,2),FALSE)</f>
        <v>18276645</v>
      </c>
      <c r="W421" s="55">
        <f>VLOOKUP($E421,'NI-San_SP'!$C:$AN,MID(W$1,1,2),FALSE)</f>
        <v>0</v>
      </c>
      <c r="X421" s="55">
        <f>VLOOKUP($E421,'NI-San_SP'!$C:$AN,MID(X$1,1,2),FALSE)</f>
        <v>0</v>
      </c>
      <c r="Y421" s="55">
        <f>VLOOKUP($E421,'NI-San_SP'!$C:$AN,MID(Y$1,1,2),FALSE)</f>
        <v>230318123</v>
      </c>
      <c r="Z421" s="55">
        <f>VLOOKUP($E421,'NI-San_SP'!$C:$AN,MID(Z$1,1,2),FALSE)</f>
        <v>17336335</v>
      </c>
      <c r="AA421" s="55">
        <f>VLOOKUP($E421,'NI-San_SP'!$C:$AN,MID(AA$1,1,2),FALSE)</f>
        <v>0</v>
      </c>
      <c r="AB421" s="55">
        <f>VLOOKUP($E421,'NI-San_SP'!$C:$AN,MID(AB$1,1,2),FALSE)</f>
        <v>218311256</v>
      </c>
      <c r="AC421" s="55">
        <f>VLOOKUP($E421,'NI-San_SP'!$C:$AN,MID(AC$1,1,2),FALSE)</f>
        <v>12947177</v>
      </c>
      <c r="AD421" s="55">
        <f>VLOOKUP($E421,'NI-San_SP'!$C:$AN,MID(AD$1,1,2),FALSE)</f>
        <v>8727903</v>
      </c>
      <c r="AE421" s="55">
        <f>VLOOKUP($E421,'NI-San_SP'!$C:$AN,MID(AE$1,1,2),FALSE)</f>
        <v>0</v>
      </c>
      <c r="AF421" s="55">
        <f>VLOOKUP($E421,'NI-San_SP'!$C:$AN,MID(AF$1,1,2),FALSE)</f>
        <v>0</v>
      </c>
      <c r="AG421" s="55">
        <f>VLOOKUP($E421,'NI-San_SP'!$C:$AN,MID(AG$1,1,2),FALSE)</f>
        <v>0</v>
      </c>
      <c r="AH421" s="55">
        <f>VLOOKUP($E421,'NI-San_SP'!$C:$AN,MID(AH$1,1,2),FALSE)</f>
        <v>0</v>
      </c>
      <c r="AI421" s="55">
        <f>VLOOKUP($E421,'NI-San_SP'!$C:$AN,MID(AI$1,1,2),FALSE)</f>
        <v>0</v>
      </c>
      <c r="AJ421" s="55">
        <f>VLOOKUP($E421,'NI-San_SP'!$C:$AN,MID(AJ$1,1,2),FALSE)</f>
        <v>743459</v>
      </c>
      <c r="AK421" s="55">
        <f>VLOOKUP($E421,'NI-San_SP'!$C:$AN,MID(AK$1,1,2),FALSE)</f>
        <v>0</v>
      </c>
      <c r="AL421" s="55">
        <f>VLOOKUP($E421,'NI-San_SP'!$C:$AN,MID(AL$1,1,2),FALSE)</f>
        <v>18819</v>
      </c>
      <c r="AM421" s="56">
        <f>VLOOKUP($E421,'NI-San_SP'!$C:$AN,MID(AM$1,1,2),FALSE)</f>
        <v>178036</v>
      </c>
      <c r="AN421" s="30" t="str">
        <f t="shared" si="6"/>
        <v>20204000000000</v>
      </c>
    </row>
    <row r="422" spans="1:40" x14ac:dyDescent="0.25">
      <c r="C422" s="40"/>
      <c r="D422" s="57" t="s">
        <v>1582</v>
      </c>
      <c r="E422" s="57" t="s">
        <v>1583</v>
      </c>
      <c r="F422" s="58" t="s">
        <v>110</v>
      </c>
      <c r="G422" s="52" t="s">
        <v>1478</v>
      </c>
      <c r="H422" s="52"/>
      <c r="I422" s="52"/>
      <c r="J422" s="52"/>
      <c r="K422" s="59" t="s">
        <v>111</v>
      </c>
      <c r="L422" s="52"/>
      <c r="M422" s="52"/>
      <c r="N422" s="52"/>
      <c r="O422" s="52"/>
      <c r="P422" s="76" t="s">
        <v>1584</v>
      </c>
      <c r="Q422" s="55">
        <f>VLOOKUP(E422,'NI-San_SP'!$C:$AN,12,FALSE)</f>
        <v>18170863</v>
      </c>
      <c r="R422" s="55">
        <f>VLOOKUP(E422,'NI-San_SP'!$C:$AN,13,FALSE)</f>
        <v>11890177</v>
      </c>
      <c r="S422" s="55">
        <f>VLOOKUP(E422,'NI-San_SP'!$C:$AN,31,FALSE)</f>
        <v>0</v>
      </c>
      <c r="T422" s="55">
        <f>VLOOKUP(E422,'NI-San_SP'!$C:$AN,32,FALSE)+VLOOKUP(E422,'NI-San_SP'!$C:$AN,33,FALSE)</f>
        <v>184100</v>
      </c>
      <c r="U422" s="55">
        <f>VLOOKUP($E422,'NI-San_SP'!$C:$AN,MID(U$1,1,2),FALSE)</f>
        <v>0</v>
      </c>
      <c r="V422" s="55">
        <f>VLOOKUP($E422,'NI-San_SP'!$C:$AN,MID(V$1,1,2),FALSE)</f>
        <v>18170863</v>
      </c>
      <c r="W422" s="55">
        <f>VLOOKUP($E422,'NI-San_SP'!$C:$AN,MID(W$1,1,2),FALSE)</f>
        <v>0</v>
      </c>
      <c r="X422" s="55">
        <f>VLOOKUP($E422,'NI-San_SP'!$C:$AN,MID(X$1,1,2),FALSE)</f>
        <v>-12429</v>
      </c>
      <c r="Y422" s="55">
        <f>VLOOKUP($E422,'NI-San_SP'!$C:$AN,MID(Y$1,1,2),FALSE)</f>
        <v>229255138</v>
      </c>
      <c r="Z422" s="55">
        <f>VLOOKUP($E422,'NI-San_SP'!$C:$AN,MID(Z$1,1,2),FALSE)</f>
        <v>17297687</v>
      </c>
      <c r="AA422" s="55">
        <f>VLOOKUP($E422,'NI-San_SP'!$C:$AN,MID(AA$1,1,2),FALSE)</f>
        <v>0</v>
      </c>
      <c r="AB422" s="55">
        <f>VLOOKUP($E422,'NI-San_SP'!$C:$AN,MID(AB$1,1,2),FALSE)</f>
        <v>218225708</v>
      </c>
      <c r="AC422" s="55">
        <f>VLOOKUP($E422,'NI-San_SP'!$C:$AN,MID(AC$1,1,2),FALSE)</f>
        <v>11890177</v>
      </c>
      <c r="AD422" s="55">
        <f>VLOOKUP($E422,'NI-San_SP'!$C:$AN,MID(AD$1,1,2),FALSE)</f>
        <v>8631794</v>
      </c>
      <c r="AE422" s="55">
        <f>VLOOKUP($E422,'NI-San_SP'!$C:$AN,MID(AE$1,1,2),FALSE)</f>
        <v>0</v>
      </c>
      <c r="AF422" s="55">
        <f>VLOOKUP($E422,'NI-San_SP'!$C:$AN,MID(AF$1,1,2),FALSE)</f>
        <v>0</v>
      </c>
      <c r="AG422" s="55">
        <f>VLOOKUP($E422,'NI-San_SP'!$C:$AN,MID(AG$1,1,2),FALSE)</f>
        <v>0</v>
      </c>
      <c r="AH422" s="55">
        <f>VLOOKUP($E422,'NI-San_SP'!$C:$AN,MID(AH$1,1,2),FALSE)</f>
        <v>0</v>
      </c>
      <c r="AI422" s="55">
        <f>VLOOKUP($E422,'NI-San_SP'!$C:$AN,MID(AI$1,1,2),FALSE)</f>
        <v>0</v>
      </c>
      <c r="AJ422" s="55">
        <f>VLOOKUP($E422,'NI-San_SP'!$C:$AN,MID(AJ$1,1,2),FALSE)</f>
        <v>689078</v>
      </c>
      <c r="AK422" s="55">
        <f>VLOOKUP($E422,'NI-San_SP'!$C:$AN,MID(AK$1,1,2),FALSE)</f>
        <v>0</v>
      </c>
      <c r="AL422" s="55">
        <f>VLOOKUP($E422,'NI-San_SP'!$C:$AN,MID(AL$1,1,2),FALSE)</f>
        <v>8937</v>
      </c>
      <c r="AM422" s="56">
        <f>VLOOKUP($E422,'NI-San_SP'!$C:$AN,MID(AM$1,1,2),FALSE)</f>
        <v>175163</v>
      </c>
      <c r="AN422" s="30" t="str">
        <f t="shared" si="6"/>
        <v>20204010000000</v>
      </c>
    </row>
    <row r="423" spans="1:40" x14ac:dyDescent="0.25">
      <c r="C423" s="40"/>
      <c r="D423" s="57" t="s">
        <v>1585</v>
      </c>
      <c r="E423" s="57" t="s">
        <v>1586</v>
      </c>
      <c r="F423" s="58" t="s">
        <v>110</v>
      </c>
      <c r="G423" s="52" t="s">
        <v>1478</v>
      </c>
      <c r="H423" s="52"/>
      <c r="I423" s="52" t="s">
        <v>1587</v>
      </c>
      <c r="J423" s="52" t="s">
        <v>1587</v>
      </c>
      <c r="K423" s="59" t="s">
        <v>111</v>
      </c>
      <c r="L423" s="52"/>
      <c r="M423" s="52"/>
      <c r="N423" s="52"/>
      <c r="O423" s="52"/>
      <c r="P423" s="76" t="s">
        <v>1588</v>
      </c>
      <c r="Q423" s="55">
        <f>VLOOKUP(E423,'NI-San_SP'!$C:$AN,12,FALSE)</f>
        <v>0</v>
      </c>
      <c r="R423" s="55">
        <f>VLOOKUP(E423,'NI-San_SP'!$C:$AN,13,FALSE)</f>
        <v>0</v>
      </c>
      <c r="S423" s="55">
        <f>VLOOKUP(E423,'NI-San_SP'!$C:$AN,31,FALSE)</f>
        <v>0</v>
      </c>
      <c r="T423" s="55">
        <f>VLOOKUP(E423,'NI-San_SP'!$C:$AN,32,FALSE)+VLOOKUP(E423,'NI-San_SP'!$C:$AN,33,FALSE)</f>
        <v>0</v>
      </c>
      <c r="U423" s="55">
        <f>VLOOKUP($E423,'NI-San_SP'!$C:$AN,MID(U$1,1,2),FALSE)</f>
        <v>0</v>
      </c>
      <c r="V423" s="55">
        <f>VLOOKUP($E423,'NI-San_SP'!$C:$AN,MID(V$1,1,2),FALSE)</f>
        <v>0</v>
      </c>
      <c r="W423" s="55">
        <f>VLOOKUP($E423,'NI-San_SP'!$C:$AN,MID(W$1,1,2),FALSE)</f>
        <v>0</v>
      </c>
      <c r="X423" s="55">
        <f>VLOOKUP($E423,'NI-San_SP'!$C:$AN,MID(X$1,1,2),FALSE)</f>
        <v>0</v>
      </c>
      <c r="Y423" s="55">
        <f>VLOOKUP($E423,'NI-San_SP'!$C:$AN,MID(Y$1,1,2),FALSE)</f>
        <v>0</v>
      </c>
      <c r="Z423" s="55">
        <f>VLOOKUP($E423,'NI-San_SP'!$C:$AN,MID(Z$1,1,2),FALSE)</f>
        <v>0</v>
      </c>
      <c r="AA423" s="55">
        <f>VLOOKUP($E423,'NI-San_SP'!$C:$AN,MID(AA$1,1,2),FALSE)</f>
        <v>0</v>
      </c>
      <c r="AB423" s="55">
        <f>VLOOKUP($E423,'NI-San_SP'!$C:$AN,MID(AB$1,1,2),FALSE)</f>
        <v>0</v>
      </c>
      <c r="AC423" s="55">
        <f>VLOOKUP($E423,'NI-San_SP'!$C:$AN,MID(AC$1,1,2),FALSE)</f>
        <v>0</v>
      </c>
      <c r="AD423" s="55">
        <f>VLOOKUP($E423,'NI-San_SP'!$C:$AN,MID(AD$1,1,2),FALSE)</f>
        <v>0</v>
      </c>
      <c r="AE423" s="55">
        <f>VLOOKUP($E423,'NI-San_SP'!$C:$AN,MID(AE$1,1,2),FALSE)</f>
        <v>0</v>
      </c>
      <c r="AF423" s="55">
        <f>VLOOKUP($E423,'NI-San_SP'!$C:$AN,MID(AF$1,1,2),FALSE)</f>
        <v>0</v>
      </c>
      <c r="AG423" s="55">
        <f>VLOOKUP($E423,'NI-San_SP'!$C:$AN,MID(AG$1,1,2),FALSE)</f>
        <v>0</v>
      </c>
      <c r="AH423" s="55">
        <f>VLOOKUP($E423,'NI-San_SP'!$C:$AN,MID(AH$1,1,2),FALSE)</f>
        <v>0</v>
      </c>
      <c r="AI423" s="55">
        <f>VLOOKUP($E423,'NI-San_SP'!$C:$AN,MID(AI$1,1,2),FALSE)</f>
        <v>0</v>
      </c>
      <c r="AJ423" s="55">
        <f>VLOOKUP($E423,'NI-San_SP'!$C:$AN,MID(AJ$1,1,2),FALSE)</f>
        <v>0</v>
      </c>
      <c r="AK423" s="55">
        <f>VLOOKUP($E423,'NI-San_SP'!$C:$AN,MID(AK$1,1,2),FALSE)</f>
        <v>0</v>
      </c>
      <c r="AL423" s="55">
        <f>VLOOKUP($E423,'NI-San_SP'!$C:$AN,MID(AL$1,1,2),FALSE)</f>
        <v>0</v>
      </c>
      <c r="AM423" s="56">
        <f>VLOOKUP($E423,'NI-San_SP'!$C:$AN,MID(AM$1,1,2),FALSE)</f>
        <v>0</v>
      </c>
      <c r="AN423" s="30" t="str">
        <f t="shared" si="6"/>
        <v>20204010010000</v>
      </c>
    </row>
    <row r="424" spans="1:40" x14ac:dyDescent="0.25">
      <c r="C424" s="40"/>
      <c r="D424" s="57" t="s">
        <v>1589</v>
      </c>
      <c r="E424" s="57" t="s">
        <v>1590</v>
      </c>
      <c r="F424" s="58" t="s">
        <v>110</v>
      </c>
      <c r="G424" s="52" t="s">
        <v>1478</v>
      </c>
      <c r="H424" s="52"/>
      <c r="I424" s="52"/>
      <c r="J424" s="52"/>
      <c r="K424" s="59" t="s">
        <v>79</v>
      </c>
      <c r="L424" s="52"/>
      <c r="M424" s="52"/>
      <c r="N424" s="52"/>
      <c r="O424" s="61" t="s">
        <v>1591</v>
      </c>
      <c r="P424" s="76" t="s">
        <v>1592</v>
      </c>
      <c r="Q424" s="55">
        <f>VLOOKUP(E424,'NI-San_SP'!$C:$AN,12,FALSE)</f>
        <v>0</v>
      </c>
      <c r="R424" s="55">
        <f>VLOOKUP(E424,'NI-San_SP'!$C:$AN,13,FALSE)</f>
        <v>0</v>
      </c>
      <c r="S424" s="55">
        <f>VLOOKUP(E424,'NI-San_SP'!$C:$AN,31,FALSE)</f>
        <v>0</v>
      </c>
      <c r="T424" s="55">
        <f>VLOOKUP(E424,'NI-San_SP'!$C:$AN,32,FALSE)+VLOOKUP(E424,'NI-San_SP'!$C:$AN,33,FALSE)</f>
        <v>0</v>
      </c>
      <c r="U424" s="55">
        <f>VLOOKUP($E424,'NI-San_SP'!$C:$AN,MID(U$1,1,2),FALSE)</f>
        <v>0</v>
      </c>
      <c r="V424" s="55">
        <f>VLOOKUP($E424,'NI-San_SP'!$C:$AN,MID(V$1,1,2),FALSE)</f>
        <v>0</v>
      </c>
      <c r="W424" s="55">
        <f>VLOOKUP($E424,'NI-San_SP'!$C:$AN,MID(W$1,1,2),FALSE)</f>
        <v>0</v>
      </c>
      <c r="X424" s="55">
        <f>VLOOKUP($E424,'NI-San_SP'!$C:$AN,MID(X$1,1,2),FALSE)</f>
        <v>0</v>
      </c>
      <c r="Y424" s="55">
        <f>VLOOKUP($E424,'NI-San_SP'!$C:$AN,MID(Y$1,1,2),FALSE)</f>
        <v>0</v>
      </c>
      <c r="Z424" s="55">
        <f>VLOOKUP($E424,'NI-San_SP'!$C:$AN,MID(Z$1,1,2),FALSE)</f>
        <v>0</v>
      </c>
      <c r="AA424" s="55">
        <f>VLOOKUP($E424,'NI-San_SP'!$C:$AN,MID(AA$1,1,2),FALSE)</f>
        <v>0</v>
      </c>
      <c r="AB424" s="55">
        <f>VLOOKUP($E424,'NI-San_SP'!$C:$AN,MID(AB$1,1,2),FALSE)</f>
        <v>0</v>
      </c>
      <c r="AC424" s="55">
        <f>VLOOKUP($E424,'NI-San_SP'!$C:$AN,MID(AC$1,1,2),FALSE)</f>
        <v>0</v>
      </c>
      <c r="AD424" s="55">
        <f>VLOOKUP($E424,'NI-San_SP'!$C:$AN,MID(AD$1,1,2),FALSE)</f>
        <v>0</v>
      </c>
      <c r="AE424" s="55">
        <f>VLOOKUP($E424,'NI-San_SP'!$C:$AN,MID(AE$1,1,2),FALSE)</f>
        <v>0</v>
      </c>
      <c r="AF424" s="55">
        <f>VLOOKUP($E424,'NI-San_SP'!$C:$AN,MID(AF$1,1,2),FALSE)</f>
        <v>0</v>
      </c>
      <c r="AG424" s="55">
        <f>VLOOKUP($E424,'NI-San_SP'!$C:$AN,MID(AG$1,1,2),FALSE)</f>
        <v>0</v>
      </c>
      <c r="AH424" s="55">
        <f>VLOOKUP($E424,'NI-San_SP'!$C:$AN,MID(AH$1,1,2),FALSE)</f>
        <v>0</v>
      </c>
      <c r="AI424" s="55">
        <f>VLOOKUP($E424,'NI-San_SP'!$C:$AN,MID(AI$1,1,2),FALSE)</f>
        <v>0</v>
      </c>
      <c r="AJ424" s="55">
        <f>VLOOKUP($E424,'NI-San_SP'!$C:$AN,MID(AJ$1,1,2),FALSE)</f>
        <v>0</v>
      </c>
      <c r="AK424" s="55">
        <f>VLOOKUP($E424,'NI-San_SP'!$C:$AN,MID(AK$1,1,2),FALSE)</f>
        <v>0</v>
      </c>
      <c r="AL424" s="55">
        <f>VLOOKUP($E424,'NI-San_SP'!$C:$AN,MID(AL$1,1,2),FALSE)</f>
        <v>0</v>
      </c>
      <c r="AM424" s="56">
        <f>VLOOKUP($E424,'NI-San_SP'!$C:$AN,MID(AM$1,1,2),FALSE)</f>
        <v>0</v>
      </c>
      <c r="AN424" s="30" t="str">
        <f t="shared" si="6"/>
        <v>20204010010010</v>
      </c>
    </row>
    <row r="425" spans="1:40" x14ac:dyDescent="0.25">
      <c r="C425" s="40"/>
      <c r="D425" s="57" t="s">
        <v>1593</v>
      </c>
      <c r="E425" s="57" t="s">
        <v>1594</v>
      </c>
      <c r="F425" s="58" t="s">
        <v>110</v>
      </c>
      <c r="G425" s="52" t="s">
        <v>1478</v>
      </c>
      <c r="H425" s="52"/>
      <c r="I425" s="52"/>
      <c r="J425" s="52"/>
      <c r="K425" s="59" t="s">
        <v>79</v>
      </c>
      <c r="L425" s="52"/>
      <c r="M425" s="52"/>
      <c r="N425" s="52"/>
      <c r="O425" s="61" t="s">
        <v>1591</v>
      </c>
      <c r="P425" s="76" t="s">
        <v>1595</v>
      </c>
      <c r="Q425" s="55">
        <f>VLOOKUP(E425,'NI-San_SP'!$C:$AN,12,FALSE)</f>
        <v>0</v>
      </c>
      <c r="R425" s="55">
        <f>VLOOKUP(E425,'NI-San_SP'!$C:$AN,13,FALSE)</f>
        <v>0</v>
      </c>
      <c r="S425" s="55">
        <f>VLOOKUP(E425,'NI-San_SP'!$C:$AN,31,FALSE)</f>
        <v>0</v>
      </c>
      <c r="T425" s="55">
        <f>VLOOKUP(E425,'NI-San_SP'!$C:$AN,32,FALSE)+VLOOKUP(E425,'NI-San_SP'!$C:$AN,33,FALSE)</f>
        <v>0</v>
      </c>
      <c r="U425" s="55">
        <f>VLOOKUP($E425,'NI-San_SP'!$C:$AN,MID(U$1,1,2),FALSE)</f>
        <v>0</v>
      </c>
      <c r="V425" s="55">
        <f>VLOOKUP($E425,'NI-San_SP'!$C:$AN,MID(V$1,1,2),FALSE)</f>
        <v>0</v>
      </c>
      <c r="W425" s="55">
        <f>VLOOKUP($E425,'NI-San_SP'!$C:$AN,MID(W$1,1,2),FALSE)</f>
        <v>0</v>
      </c>
      <c r="X425" s="55">
        <f>VLOOKUP($E425,'NI-San_SP'!$C:$AN,MID(X$1,1,2),FALSE)</f>
        <v>0</v>
      </c>
      <c r="Y425" s="55">
        <f>VLOOKUP($E425,'NI-San_SP'!$C:$AN,MID(Y$1,1,2),FALSE)</f>
        <v>0</v>
      </c>
      <c r="Z425" s="55">
        <f>VLOOKUP($E425,'NI-San_SP'!$C:$AN,MID(Z$1,1,2),FALSE)</f>
        <v>0</v>
      </c>
      <c r="AA425" s="55">
        <f>VLOOKUP($E425,'NI-San_SP'!$C:$AN,MID(AA$1,1,2),FALSE)</f>
        <v>0</v>
      </c>
      <c r="AB425" s="55">
        <f>VLOOKUP($E425,'NI-San_SP'!$C:$AN,MID(AB$1,1,2),FALSE)</f>
        <v>0</v>
      </c>
      <c r="AC425" s="55">
        <f>VLOOKUP($E425,'NI-San_SP'!$C:$AN,MID(AC$1,1,2),FALSE)</f>
        <v>0</v>
      </c>
      <c r="AD425" s="55">
        <f>VLOOKUP($E425,'NI-San_SP'!$C:$AN,MID(AD$1,1,2),FALSE)</f>
        <v>0</v>
      </c>
      <c r="AE425" s="55">
        <f>VLOOKUP($E425,'NI-San_SP'!$C:$AN,MID(AE$1,1,2),FALSE)</f>
        <v>0</v>
      </c>
      <c r="AF425" s="55">
        <f>VLOOKUP($E425,'NI-San_SP'!$C:$AN,MID(AF$1,1,2),FALSE)</f>
        <v>0</v>
      </c>
      <c r="AG425" s="55">
        <f>VLOOKUP($E425,'NI-San_SP'!$C:$AN,MID(AG$1,1,2),FALSE)</f>
        <v>0</v>
      </c>
      <c r="AH425" s="55">
        <f>VLOOKUP($E425,'NI-San_SP'!$C:$AN,MID(AH$1,1,2),FALSE)</f>
        <v>0</v>
      </c>
      <c r="AI425" s="55">
        <f>VLOOKUP($E425,'NI-San_SP'!$C:$AN,MID(AI$1,1,2),FALSE)</f>
        <v>0</v>
      </c>
      <c r="AJ425" s="55">
        <f>VLOOKUP($E425,'NI-San_SP'!$C:$AN,MID(AJ$1,1,2),FALSE)</f>
        <v>0</v>
      </c>
      <c r="AK425" s="55">
        <f>VLOOKUP($E425,'NI-San_SP'!$C:$AN,MID(AK$1,1,2),FALSE)</f>
        <v>0</v>
      </c>
      <c r="AL425" s="55">
        <f>VLOOKUP($E425,'NI-San_SP'!$C:$AN,MID(AL$1,1,2),FALSE)</f>
        <v>0</v>
      </c>
      <c r="AM425" s="56">
        <f>VLOOKUP($E425,'NI-San_SP'!$C:$AN,MID(AM$1,1,2),FALSE)</f>
        <v>0</v>
      </c>
      <c r="AN425" s="30" t="str">
        <f t="shared" si="6"/>
        <v>20204010010020</v>
      </c>
    </row>
    <row r="426" spans="1:40" x14ac:dyDescent="0.25">
      <c r="C426" s="40"/>
      <c r="D426" s="57" t="s">
        <v>1596</v>
      </c>
      <c r="E426" s="57" t="s">
        <v>1597</v>
      </c>
      <c r="F426" s="58" t="s">
        <v>110</v>
      </c>
      <c r="G426" s="52" t="s">
        <v>1478</v>
      </c>
      <c r="H426" s="52"/>
      <c r="I426" s="52" t="s">
        <v>1598</v>
      </c>
      <c r="J426" s="52" t="s">
        <v>1598</v>
      </c>
      <c r="K426" s="59" t="s">
        <v>111</v>
      </c>
      <c r="L426" s="52"/>
      <c r="M426" s="52"/>
      <c r="N426" s="52"/>
      <c r="O426" s="52"/>
      <c r="P426" s="76" t="s">
        <v>1599</v>
      </c>
      <c r="Q426" s="55">
        <f>VLOOKUP(E426,'NI-San_SP'!$C:$AN,12,FALSE)</f>
        <v>0</v>
      </c>
      <c r="R426" s="55">
        <f>VLOOKUP(E426,'NI-San_SP'!$C:$AN,13,FALSE)</f>
        <v>0</v>
      </c>
      <c r="S426" s="55">
        <f>VLOOKUP(E426,'NI-San_SP'!$C:$AN,31,FALSE)</f>
        <v>0</v>
      </c>
      <c r="T426" s="55">
        <f>VLOOKUP(E426,'NI-San_SP'!$C:$AN,32,FALSE)+VLOOKUP(E426,'NI-San_SP'!$C:$AN,33,FALSE)</f>
        <v>0</v>
      </c>
      <c r="U426" s="55">
        <f>VLOOKUP($E426,'NI-San_SP'!$C:$AN,MID(U$1,1,2),FALSE)</f>
        <v>0</v>
      </c>
      <c r="V426" s="55">
        <f>VLOOKUP($E426,'NI-San_SP'!$C:$AN,MID(V$1,1,2),FALSE)</f>
        <v>0</v>
      </c>
      <c r="W426" s="55">
        <f>VLOOKUP($E426,'NI-San_SP'!$C:$AN,MID(W$1,1,2),FALSE)</f>
        <v>0</v>
      </c>
      <c r="X426" s="55">
        <f>VLOOKUP($E426,'NI-San_SP'!$C:$AN,MID(X$1,1,2),FALSE)</f>
        <v>0</v>
      </c>
      <c r="Y426" s="55">
        <f>VLOOKUP($E426,'NI-San_SP'!$C:$AN,MID(Y$1,1,2),FALSE)</f>
        <v>0</v>
      </c>
      <c r="Z426" s="55">
        <f>VLOOKUP($E426,'NI-San_SP'!$C:$AN,MID(Z$1,1,2),FALSE)</f>
        <v>0</v>
      </c>
      <c r="AA426" s="55">
        <f>VLOOKUP($E426,'NI-San_SP'!$C:$AN,MID(AA$1,1,2),FALSE)</f>
        <v>0</v>
      </c>
      <c r="AB426" s="55">
        <f>VLOOKUP($E426,'NI-San_SP'!$C:$AN,MID(AB$1,1,2),FALSE)</f>
        <v>0</v>
      </c>
      <c r="AC426" s="55">
        <f>VLOOKUP($E426,'NI-San_SP'!$C:$AN,MID(AC$1,1,2),FALSE)</f>
        <v>0</v>
      </c>
      <c r="AD426" s="55">
        <f>VLOOKUP($E426,'NI-San_SP'!$C:$AN,MID(AD$1,1,2),FALSE)</f>
        <v>0</v>
      </c>
      <c r="AE426" s="55">
        <f>VLOOKUP($E426,'NI-San_SP'!$C:$AN,MID(AE$1,1,2),FALSE)</f>
        <v>0</v>
      </c>
      <c r="AF426" s="55">
        <f>VLOOKUP($E426,'NI-San_SP'!$C:$AN,MID(AF$1,1,2),FALSE)</f>
        <v>0</v>
      </c>
      <c r="AG426" s="55">
        <f>VLOOKUP($E426,'NI-San_SP'!$C:$AN,MID(AG$1,1,2),FALSE)</f>
        <v>0</v>
      </c>
      <c r="AH426" s="55">
        <f>VLOOKUP($E426,'NI-San_SP'!$C:$AN,MID(AH$1,1,2),FALSE)</f>
        <v>0</v>
      </c>
      <c r="AI426" s="55">
        <f>VLOOKUP($E426,'NI-San_SP'!$C:$AN,MID(AI$1,1,2),FALSE)</f>
        <v>0</v>
      </c>
      <c r="AJ426" s="55">
        <f>VLOOKUP($E426,'NI-San_SP'!$C:$AN,MID(AJ$1,1,2),FALSE)</f>
        <v>0</v>
      </c>
      <c r="AK426" s="55">
        <f>VLOOKUP($E426,'NI-San_SP'!$C:$AN,MID(AK$1,1,2),FALSE)</f>
        <v>0</v>
      </c>
      <c r="AL426" s="55">
        <f>VLOOKUP($E426,'NI-San_SP'!$C:$AN,MID(AL$1,1,2),FALSE)</f>
        <v>0</v>
      </c>
      <c r="AM426" s="56">
        <f>VLOOKUP($E426,'NI-San_SP'!$C:$AN,MID(AM$1,1,2),FALSE)</f>
        <v>0</v>
      </c>
      <c r="AN426" s="30" t="str">
        <f t="shared" si="6"/>
        <v>20204010020000</v>
      </c>
    </row>
    <row r="427" spans="1:40" x14ac:dyDescent="0.25">
      <c r="C427" s="40"/>
      <c r="D427" s="57" t="s">
        <v>1600</v>
      </c>
      <c r="E427" s="57" t="s">
        <v>1601</v>
      </c>
      <c r="F427" s="58" t="s">
        <v>110</v>
      </c>
      <c r="G427" s="52" t="s">
        <v>1478</v>
      </c>
      <c r="H427" s="52"/>
      <c r="I427" s="52"/>
      <c r="J427" s="52"/>
      <c r="K427" s="59" t="s">
        <v>79</v>
      </c>
      <c r="L427" s="52"/>
      <c r="M427" s="52"/>
      <c r="N427" s="52"/>
      <c r="O427" s="61" t="s">
        <v>1591</v>
      </c>
      <c r="P427" s="76" t="s">
        <v>1602</v>
      </c>
      <c r="Q427" s="55">
        <f>VLOOKUP(E427,'NI-San_SP'!$C:$AN,12,FALSE)</f>
        <v>0</v>
      </c>
      <c r="R427" s="55">
        <f>VLOOKUP(E427,'NI-San_SP'!$C:$AN,13,FALSE)</f>
        <v>0</v>
      </c>
      <c r="S427" s="55">
        <f>VLOOKUP(E427,'NI-San_SP'!$C:$AN,31,FALSE)</f>
        <v>0</v>
      </c>
      <c r="T427" s="55">
        <f>VLOOKUP(E427,'NI-San_SP'!$C:$AN,32,FALSE)+VLOOKUP(E427,'NI-San_SP'!$C:$AN,33,FALSE)</f>
        <v>0</v>
      </c>
      <c r="U427" s="55">
        <f>VLOOKUP($E427,'NI-San_SP'!$C:$AN,MID(U$1,1,2),FALSE)</f>
        <v>0</v>
      </c>
      <c r="V427" s="55">
        <f>VLOOKUP($E427,'NI-San_SP'!$C:$AN,MID(V$1,1,2),FALSE)</f>
        <v>0</v>
      </c>
      <c r="W427" s="55">
        <f>VLOOKUP($E427,'NI-San_SP'!$C:$AN,MID(W$1,1,2),FALSE)</f>
        <v>0</v>
      </c>
      <c r="X427" s="55">
        <f>VLOOKUP($E427,'NI-San_SP'!$C:$AN,MID(X$1,1,2),FALSE)</f>
        <v>0</v>
      </c>
      <c r="Y427" s="55">
        <f>VLOOKUP($E427,'NI-San_SP'!$C:$AN,MID(Y$1,1,2),FALSE)</f>
        <v>0</v>
      </c>
      <c r="Z427" s="55">
        <f>VLOOKUP($E427,'NI-San_SP'!$C:$AN,MID(Z$1,1,2),FALSE)</f>
        <v>0</v>
      </c>
      <c r="AA427" s="55">
        <f>VLOOKUP($E427,'NI-San_SP'!$C:$AN,MID(AA$1,1,2),FALSE)</f>
        <v>0</v>
      </c>
      <c r="AB427" s="55">
        <f>VLOOKUP($E427,'NI-San_SP'!$C:$AN,MID(AB$1,1,2),FALSE)</f>
        <v>0</v>
      </c>
      <c r="AC427" s="55">
        <f>VLOOKUP($E427,'NI-San_SP'!$C:$AN,MID(AC$1,1,2),FALSE)</f>
        <v>0</v>
      </c>
      <c r="AD427" s="55">
        <f>VLOOKUP($E427,'NI-San_SP'!$C:$AN,MID(AD$1,1,2),FALSE)</f>
        <v>0</v>
      </c>
      <c r="AE427" s="55">
        <f>VLOOKUP($E427,'NI-San_SP'!$C:$AN,MID(AE$1,1,2),FALSE)</f>
        <v>0</v>
      </c>
      <c r="AF427" s="55">
        <f>VLOOKUP($E427,'NI-San_SP'!$C:$AN,MID(AF$1,1,2),FALSE)</f>
        <v>0</v>
      </c>
      <c r="AG427" s="55">
        <f>VLOOKUP($E427,'NI-San_SP'!$C:$AN,MID(AG$1,1,2),FALSE)</f>
        <v>0</v>
      </c>
      <c r="AH427" s="55">
        <f>VLOOKUP($E427,'NI-San_SP'!$C:$AN,MID(AH$1,1,2),FALSE)</f>
        <v>0</v>
      </c>
      <c r="AI427" s="55">
        <f>VLOOKUP($E427,'NI-San_SP'!$C:$AN,MID(AI$1,1,2),FALSE)</f>
        <v>0</v>
      </c>
      <c r="AJ427" s="55">
        <f>VLOOKUP($E427,'NI-San_SP'!$C:$AN,MID(AJ$1,1,2),FALSE)</f>
        <v>0</v>
      </c>
      <c r="AK427" s="55">
        <f>VLOOKUP($E427,'NI-San_SP'!$C:$AN,MID(AK$1,1,2),FALSE)</f>
        <v>0</v>
      </c>
      <c r="AL427" s="55">
        <f>VLOOKUP($E427,'NI-San_SP'!$C:$AN,MID(AL$1,1,2),FALSE)</f>
        <v>0</v>
      </c>
      <c r="AM427" s="56">
        <f>VLOOKUP($E427,'NI-San_SP'!$C:$AN,MID(AM$1,1,2),FALSE)</f>
        <v>0</v>
      </c>
      <c r="AN427" s="30" t="str">
        <f t="shared" si="6"/>
        <v>20204010020010</v>
      </c>
    </row>
    <row r="428" spans="1:40" x14ac:dyDescent="0.25">
      <c r="C428" s="40"/>
      <c r="D428" s="57" t="s">
        <v>1603</v>
      </c>
      <c r="E428" s="57" t="s">
        <v>1604</v>
      </c>
      <c r="F428" s="58" t="s">
        <v>110</v>
      </c>
      <c r="G428" s="52" t="s">
        <v>1478</v>
      </c>
      <c r="H428" s="52"/>
      <c r="I428" s="52"/>
      <c r="J428" s="52"/>
      <c r="K428" s="59" t="s">
        <v>79</v>
      </c>
      <c r="L428" s="52"/>
      <c r="M428" s="52"/>
      <c r="N428" s="52"/>
      <c r="O428" s="61" t="s">
        <v>1591</v>
      </c>
      <c r="P428" s="76" t="s">
        <v>1605</v>
      </c>
      <c r="Q428" s="55">
        <f>VLOOKUP(E428,'NI-San_SP'!$C:$AN,12,FALSE)</f>
        <v>0</v>
      </c>
      <c r="R428" s="55">
        <f>VLOOKUP(E428,'NI-San_SP'!$C:$AN,13,FALSE)</f>
        <v>0</v>
      </c>
      <c r="S428" s="55">
        <f>VLOOKUP(E428,'NI-San_SP'!$C:$AN,31,FALSE)</f>
        <v>0</v>
      </c>
      <c r="T428" s="55">
        <f>VLOOKUP(E428,'NI-San_SP'!$C:$AN,32,FALSE)+VLOOKUP(E428,'NI-San_SP'!$C:$AN,33,FALSE)</f>
        <v>0</v>
      </c>
      <c r="U428" s="55">
        <f>VLOOKUP($E428,'NI-San_SP'!$C:$AN,MID(U$1,1,2),FALSE)</f>
        <v>0</v>
      </c>
      <c r="V428" s="55">
        <f>VLOOKUP($E428,'NI-San_SP'!$C:$AN,MID(V$1,1,2),FALSE)</f>
        <v>0</v>
      </c>
      <c r="W428" s="55">
        <f>VLOOKUP($E428,'NI-San_SP'!$C:$AN,MID(W$1,1,2),FALSE)</f>
        <v>0</v>
      </c>
      <c r="X428" s="55">
        <f>VLOOKUP($E428,'NI-San_SP'!$C:$AN,MID(X$1,1,2),FALSE)</f>
        <v>0</v>
      </c>
      <c r="Y428" s="55">
        <f>VLOOKUP($E428,'NI-San_SP'!$C:$AN,MID(Y$1,1,2),FALSE)</f>
        <v>0</v>
      </c>
      <c r="Z428" s="55">
        <f>VLOOKUP($E428,'NI-San_SP'!$C:$AN,MID(Z$1,1,2),FALSE)</f>
        <v>0</v>
      </c>
      <c r="AA428" s="55">
        <f>VLOOKUP($E428,'NI-San_SP'!$C:$AN,MID(AA$1,1,2),FALSE)</f>
        <v>0</v>
      </c>
      <c r="AB428" s="55">
        <f>VLOOKUP($E428,'NI-San_SP'!$C:$AN,MID(AB$1,1,2),FALSE)</f>
        <v>0</v>
      </c>
      <c r="AC428" s="55">
        <f>VLOOKUP($E428,'NI-San_SP'!$C:$AN,MID(AC$1,1,2),FALSE)</f>
        <v>0</v>
      </c>
      <c r="AD428" s="55">
        <f>VLOOKUP($E428,'NI-San_SP'!$C:$AN,MID(AD$1,1,2),FALSE)</f>
        <v>0</v>
      </c>
      <c r="AE428" s="55">
        <f>VLOOKUP($E428,'NI-San_SP'!$C:$AN,MID(AE$1,1,2),FALSE)</f>
        <v>0</v>
      </c>
      <c r="AF428" s="55">
        <f>VLOOKUP($E428,'NI-San_SP'!$C:$AN,MID(AF$1,1,2),FALSE)</f>
        <v>0</v>
      </c>
      <c r="AG428" s="55">
        <f>VLOOKUP($E428,'NI-San_SP'!$C:$AN,MID(AG$1,1,2),FALSE)</f>
        <v>0</v>
      </c>
      <c r="AH428" s="55">
        <f>VLOOKUP($E428,'NI-San_SP'!$C:$AN,MID(AH$1,1,2),FALSE)</f>
        <v>0</v>
      </c>
      <c r="AI428" s="55">
        <f>VLOOKUP($E428,'NI-San_SP'!$C:$AN,MID(AI$1,1,2),FALSE)</f>
        <v>0</v>
      </c>
      <c r="AJ428" s="55">
        <f>VLOOKUP($E428,'NI-San_SP'!$C:$AN,MID(AJ$1,1,2),FALSE)</f>
        <v>0</v>
      </c>
      <c r="AK428" s="55">
        <f>VLOOKUP($E428,'NI-San_SP'!$C:$AN,MID(AK$1,1,2),FALSE)</f>
        <v>0</v>
      </c>
      <c r="AL428" s="55">
        <f>VLOOKUP($E428,'NI-San_SP'!$C:$AN,MID(AL$1,1,2),FALSE)</f>
        <v>0</v>
      </c>
      <c r="AM428" s="56">
        <f>VLOOKUP($E428,'NI-San_SP'!$C:$AN,MID(AM$1,1,2),FALSE)</f>
        <v>0</v>
      </c>
      <c r="AN428" s="30" t="str">
        <f t="shared" si="6"/>
        <v>20204010020020</v>
      </c>
    </row>
    <row r="429" spans="1:40" x14ac:dyDescent="0.25">
      <c r="C429" s="40"/>
      <c r="D429" s="57" t="s">
        <v>1606</v>
      </c>
      <c r="E429" s="57" t="s">
        <v>1607</v>
      </c>
      <c r="F429" s="58" t="s">
        <v>110</v>
      </c>
      <c r="G429" s="52" t="s">
        <v>1608</v>
      </c>
      <c r="H429" s="52"/>
      <c r="I429" s="52" t="s">
        <v>1609</v>
      </c>
      <c r="J429" s="52" t="s">
        <v>1609</v>
      </c>
      <c r="K429" s="59" t="s">
        <v>111</v>
      </c>
      <c r="L429" s="52"/>
      <c r="M429" s="52"/>
      <c r="N429" s="52"/>
      <c r="O429" s="52"/>
      <c r="P429" s="76" t="s">
        <v>1610</v>
      </c>
      <c r="Q429" s="55">
        <f>VLOOKUP(E429,'NI-San_SP'!$C:$AN,12,FALSE)</f>
        <v>18170863</v>
      </c>
      <c r="R429" s="55">
        <f>VLOOKUP(E429,'NI-San_SP'!$C:$AN,13,FALSE)</f>
        <v>11890177</v>
      </c>
      <c r="S429" s="55">
        <f>VLOOKUP(E429,'NI-San_SP'!$C:$AN,31,FALSE)</f>
        <v>0</v>
      </c>
      <c r="T429" s="55">
        <f>VLOOKUP(E429,'NI-San_SP'!$C:$AN,32,FALSE)+VLOOKUP(E429,'NI-San_SP'!$C:$AN,33,FALSE)</f>
        <v>184100</v>
      </c>
      <c r="U429" s="55">
        <f>VLOOKUP($E429,'NI-San_SP'!$C:$AN,MID(U$1,1,2),FALSE)</f>
        <v>0</v>
      </c>
      <c r="V429" s="55">
        <f>VLOOKUP($E429,'NI-San_SP'!$C:$AN,MID(V$1,1,2),FALSE)</f>
        <v>18170863</v>
      </c>
      <c r="W429" s="55">
        <f>VLOOKUP($E429,'NI-San_SP'!$C:$AN,MID(W$1,1,2),FALSE)</f>
        <v>0</v>
      </c>
      <c r="X429" s="55">
        <f>VLOOKUP($E429,'NI-San_SP'!$C:$AN,MID(X$1,1,2),FALSE)</f>
        <v>-12429</v>
      </c>
      <c r="Y429" s="55">
        <f>VLOOKUP($E429,'NI-San_SP'!$C:$AN,MID(Y$1,1,2),FALSE)</f>
        <v>229255138</v>
      </c>
      <c r="Z429" s="55">
        <f>VLOOKUP($E429,'NI-San_SP'!$C:$AN,MID(Z$1,1,2),FALSE)</f>
        <v>17297687</v>
      </c>
      <c r="AA429" s="55">
        <f>VLOOKUP($E429,'NI-San_SP'!$C:$AN,MID(AA$1,1,2),FALSE)</f>
        <v>0</v>
      </c>
      <c r="AB429" s="55">
        <f>VLOOKUP($E429,'NI-San_SP'!$C:$AN,MID(AB$1,1,2),FALSE)</f>
        <v>218225708</v>
      </c>
      <c r="AC429" s="55">
        <f>VLOOKUP($E429,'NI-San_SP'!$C:$AN,MID(AC$1,1,2),FALSE)</f>
        <v>11890177</v>
      </c>
      <c r="AD429" s="55">
        <f>VLOOKUP($E429,'NI-San_SP'!$C:$AN,MID(AD$1,1,2),FALSE)</f>
        <v>8631794</v>
      </c>
      <c r="AE429" s="55">
        <f>VLOOKUP($E429,'NI-San_SP'!$C:$AN,MID(AE$1,1,2),FALSE)</f>
        <v>0</v>
      </c>
      <c r="AF429" s="55">
        <f>VLOOKUP($E429,'NI-San_SP'!$C:$AN,MID(AF$1,1,2),FALSE)</f>
        <v>0</v>
      </c>
      <c r="AG429" s="55">
        <f>VLOOKUP($E429,'NI-San_SP'!$C:$AN,MID(AG$1,1,2),FALSE)</f>
        <v>0</v>
      </c>
      <c r="AH429" s="55">
        <f>VLOOKUP($E429,'NI-San_SP'!$C:$AN,MID(AH$1,1,2),FALSE)</f>
        <v>0</v>
      </c>
      <c r="AI429" s="55">
        <f>VLOOKUP($E429,'NI-San_SP'!$C:$AN,MID(AI$1,1,2),FALSE)</f>
        <v>0</v>
      </c>
      <c r="AJ429" s="55">
        <f>VLOOKUP($E429,'NI-San_SP'!$C:$AN,MID(AJ$1,1,2),FALSE)</f>
        <v>689078</v>
      </c>
      <c r="AK429" s="55">
        <f>VLOOKUP($E429,'NI-San_SP'!$C:$AN,MID(AK$1,1,2),FALSE)</f>
        <v>0</v>
      </c>
      <c r="AL429" s="55">
        <f>VLOOKUP($E429,'NI-San_SP'!$C:$AN,MID(AL$1,1,2),FALSE)</f>
        <v>8937</v>
      </c>
      <c r="AM429" s="56">
        <f>VLOOKUP($E429,'NI-San_SP'!$C:$AN,MID(AM$1,1,2),FALSE)</f>
        <v>175163</v>
      </c>
      <c r="AN429" s="30" t="str">
        <f t="shared" si="6"/>
        <v>20204010030000</v>
      </c>
    </row>
    <row r="430" spans="1:40" x14ac:dyDescent="0.25">
      <c r="C430" s="40"/>
      <c r="D430" s="57" t="s">
        <v>1611</v>
      </c>
      <c r="E430" s="57" t="s">
        <v>1612</v>
      </c>
      <c r="F430" s="58" t="s">
        <v>110</v>
      </c>
      <c r="G430" s="52" t="s">
        <v>1608</v>
      </c>
      <c r="H430" s="52"/>
      <c r="I430" s="52"/>
      <c r="J430" s="52"/>
      <c r="K430" s="59" t="s">
        <v>79</v>
      </c>
      <c r="L430" s="52"/>
      <c r="M430" s="52"/>
      <c r="N430" s="52"/>
      <c r="O430" s="61" t="s">
        <v>1591</v>
      </c>
      <c r="P430" s="76" t="s">
        <v>1613</v>
      </c>
      <c r="Q430" s="55">
        <f>VLOOKUP(E430,'NI-San_SP'!$C:$AN,12,FALSE)</f>
        <v>0</v>
      </c>
      <c r="R430" s="55">
        <f>VLOOKUP(E430,'NI-San_SP'!$C:$AN,13,FALSE)</f>
        <v>0</v>
      </c>
      <c r="S430" s="55">
        <f>VLOOKUP(E430,'NI-San_SP'!$C:$AN,31,FALSE)</f>
        <v>0</v>
      </c>
      <c r="T430" s="55">
        <f>VLOOKUP(E430,'NI-San_SP'!$C:$AN,32,FALSE)+VLOOKUP(E430,'NI-San_SP'!$C:$AN,33,FALSE)</f>
        <v>0</v>
      </c>
      <c r="U430" s="55">
        <f>VLOOKUP($E430,'NI-San_SP'!$C:$AN,MID(U$1,1,2),FALSE)</f>
        <v>0</v>
      </c>
      <c r="V430" s="55">
        <f>VLOOKUP($E430,'NI-San_SP'!$C:$AN,MID(V$1,1,2),FALSE)</f>
        <v>0</v>
      </c>
      <c r="W430" s="55">
        <f>VLOOKUP($E430,'NI-San_SP'!$C:$AN,MID(W$1,1,2),FALSE)</f>
        <v>0</v>
      </c>
      <c r="X430" s="55">
        <f>VLOOKUP($E430,'NI-San_SP'!$C:$AN,MID(X$1,1,2),FALSE)</f>
        <v>0</v>
      </c>
      <c r="Y430" s="55">
        <f>VLOOKUP($E430,'NI-San_SP'!$C:$AN,MID(Y$1,1,2),FALSE)</f>
        <v>0</v>
      </c>
      <c r="Z430" s="55">
        <f>VLOOKUP($E430,'NI-San_SP'!$C:$AN,MID(Z$1,1,2),FALSE)</f>
        <v>0</v>
      </c>
      <c r="AA430" s="55">
        <f>VLOOKUP($E430,'NI-San_SP'!$C:$AN,MID(AA$1,1,2),FALSE)</f>
        <v>0</v>
      </c>
      <c r="AB430" s="55">
        <f>VLOOKUP($E430,'NI-San_SP'!$C:$AN,MID(AB$1,1,2),FALSE)</f>
        <v>0</v>
      </c>
      <c r="AC430" s="55">
        <f>VLOOKUP($E430,'NI-San_SP'!$C:$AN,MID(AC$1,1,2),FALSE)</f>
        <v>0</v>
      </c>
      <c r="AD430" s="55">
        <f>VLOOKUP($E430,'NI-San_SP'!$C:$AN,MID(AD$1,1,2),FALSE)</f>
        <v>0</v>
      </c>
      <c r="AE430" s="55">
        <f>VLOOKUP($E430,'NI-San_SP'!$C:$AN,MID(AE$1,1,2),FALSE)</f>
        <v>0</v>
      </c>
      <c r="AF430" s="55">
        <f>VLOOKUP($E430,'NI-San_SP'!$C:$AN,MID(AF$1,1,2),FALSE)</f>
        <v>0</v>
      </c>
      <c r="AG430" s="55">
        <f>VLOOKUP($E430,'NI-San_SP'!$C:$AN,MID(AG$1,1,2),FALSE)</f>
        <v>0</v>
      </c>
      <c r="AH430" s="55">
        <f>VLOOKUP($E430,'NI-San_SP'!$C:$AN,MID(AH$1,1,2),FALSE)</f>
        <v>0</v>
      </c>
      <c r="AI430" s="55">
        <f>VLOOKUP($E430,'NI-San_SP'!$C:$AN,MID(AI$1,1,2),FALSE)</f>
        <v>0</v>
      </c>
      <c r="AJ430" s="55">
        <f>VLOOKUP($E430,'NI-San_SP'!$C:$AN,MID(AJ$1,1,2),FALSE)</f>
        <v>0</v>
      </c>
      <c r="AK430" s="55">
        <f>VLOOKUP($E430,'NI-San_SP'!$C:$AN,MID(AK$1,1,2),FALSE)</f>
        <v>0</v>
      </c>
      <c r="AL430" s="55">
        <f>VLOOKUP($E430,'NI-San_SP'!$C:$AN,MID(AL$1,1,2),FALSE)</f>
        <v>0</v>
      </c>
      <c r="AM430" s="56">
        <f>VLOOKUP($E430,'NI-San_SP'!$C:$AN,MID(AM$1,1,2),FALSE)</f>
        <v>0</v>
      </c>
      <c r="AN430" s="30" t="str">
        <f t="shared" si="6"/>
        <v>20204010030010</v>
      </c>
    </row>
    <row r="431" spans="1:40" x14ac:dyDescent="0.25">
      <c r="C431" s="40"/>
      <c r="D431" s="57" t="s">
        <v>1614</v>
      </c>
      <c r="E431" s="57" t="s">
        <v>1615</v>
      </c>
      <c r="F431" s="58" t="s">
        <v>110</v>
      </c>
      <c r="G431" s="52" t="s">
        <v>1608</v>
      </c>
      <c r="H431" s="52"/>
      <c r="I431" s="52"/>
      <c r="J431" s="52"/>
      <c r="K431" s="59" t="s">
        <v>79</v>
      </c>
      <c r="L431" s="52"/>
      <c r="M431" s="52"/>
      <c r="N431" s="52"/>
      <c r="O431" s="61" t="s">
        <v>1591</v>
      </c>
      <c r="P431" s="76" t="s">
        <v>1616</v>
      </c>
      <c r="Q431" s="55">
        <f>VLOOKUP(E431,'NI-San_SP'!$C:$AN,12,FALSE)</f>
        <v>13676102</v>
      </c>
      <c r="R431" s="55">
        <f>VLOOKUP(E431,'NI-San_SP'!$C:$AN,13,FALSE)</f>
        <v>8863133</v>
      </c>
      <c r="S431" s="55">
        <f>VLOOKUP(E431,'NI-San_SP'!$C:$AN,31,FALSE)</f>
        <v>0</v>
      </c>
      <c r="T431" s="55">
        <f>VLOOKUP(E431,'NI-San_SP'!$C:$AN,32,FALSE)+VLOOKUP(E431,'NI-San_SP'!$C:$AN,33,FALSE)</f>
        <v>21419</v>
      </c>
      <c r="U431" s="55">
        <f>VLOOKUP($E431,'NI-San_SP'!$C:$AN,MID(U$1,1,2),FALSE)</f>
        <v>0</v>
      </c>
      <c r="V431" s="55">
        <f>VLOOKUP($E431,'NI-San_SP'!$C:$AN,MID(V$1,1,2),FALSE)</f>
        <v>13676102</v>
      </c>
      <c r="W431" s="55">
        <f>VLOOKUP($E431,'NI-San_SP'!$C:$AN,MID(W$1,1,2),FALSE)</f>
        <v>0</v>
      </c>
      <c r="X431" s="55">
        <f>VLOOKUP($E431,'NI-San_SP'!$C:$AN,MID(X$1,1,2),FALSE)</f>
        <v>-5488</v>
      </c>
      <c r="Y431" s="55">
        <f>VLOOKUP($E431,'NI-San_SP'!$C:$AN,MID(Y$1,1,2),FALSE)</f>
        <v>221234630</v>
      </c>
      <c r="Z431" s="55">
        <f>VLOOKUP($E431,'NI-San_SP'!$C:$AN,MID(Z$1,1,2),FALSE)</f>
        <v>12965607</v>
      </c>
      <c r="AA431" s="55">
        <f>VLOOKUP($E431,'NI-San_SP'!$C:$AN,MID(AA$1,1,2),FALSE)</f>
        <v>0</v>
      </c>
      <c r="AB431" s="55">
        <f>VLOOKUP($E431,'NI-San_SP'!$C:$AN,MID(AB$1,1,2),FALSE)</f>
        <v>213076504</v>
      </c>
      <c r="AC431" s="55">
        <f>VLOOKUP($E431,'NI-San_SP'!$C:$AN,MID(AC$1,1,2),FALSE)</f>
        <v>8863133</v>
      </c>
      <c r="AD431" s="55">
        <f>VLOOKUP($E431,'NI-San_SP'!$C:$AN,MID(AD$1,1,2),FALSE)</f>
        <v>6781487</v>
      </c>
      <c r="AE431" s="55">
        <f>VLOOKUP($E431,'NI-San_SP'!$C:$AN,MID(AE$1,1,2),FALSE)</f>
        <v>0</v>
      </c>
      <c r="AF431" s="55">
        <f>VLOOKUP($E431,'NI-San_SP'!$C:$AN,MID(AF$1,1,2),FALSE)</f>
        <v>0</v>
      </c>
      <c r="AG431" s="55">
        <f>VLOOKUP($E431,'NI-San_SP'!$C:$AN,MID(AG$1,1,2),FALSE)</f>
        <v>0</v>
      </c>
      <c r="AH431" s="55">
        <f>VLOOKUP($E431,'NI-San_SP'!$C:$AN,MID(AH$1,1,2),FALSE)</f>
        <v>0</v>
      </c>
      <c r="AI431" s="55">
        <f>VLOOKUP($E431,'NI-San_SP'!$C:$AN,MID(AI$1,1,2),FALSE)</f>
        <v>0</v>
      </c>
      <c r="AJ431" s="55">
        <f>VLOOKUP($E431,'NI-San_SP'!$C:$AN,MID(AJ$1,1,2),FALSE)</f>
        <v>689078</v>
      </c>
      <c r="AK431" s="55">
        <f>VLOOKUP($E431,'NI-San_SP'!$C:$AN,MID(AK$1,1,2),FALSE)</f>
        <v>0</v>
      </c>
      <c r="AL431" s="55">
        <f>VLOOKUP($E431,'NI-San_SP'!$C:$AN,MID(AL$1,1,2),FALSE)</f>
        <v>6146</v>
      </c>
      <c r="AM431" s="56">
        <f>VLOOKUP($E431,'NI-San_SP'!$C:$AN,MID(AM$1,1,2),FALSE)</f>
        <v>15273</v>
      </c>
      <c r="AN431" s="30" t="str">
        <f t="shared" si="6"/>
        <v>20204010030020</v>
      </c>
    </row>
    <row r="432" spans="1:40" x14ac:dyDescent="0.25">
      <c r="C432" s="40"/>
      <c r="D432" s="57" t="s">
        <v>1617</v>
      </c>
      <c r="E432" s="57" t="s">
        <v>1618</v>
      </c>
      <c r="F432" s="58" t="s">
        <v>110</v>
      </c>
      <c r="G432" s="52" t="s">
        <v>1608</v>
      </c>
      <c r="H432" s="52"/>
      <c r="I432" s="52"/>
      <c r="J432" s="52"/>
      <c r="K432" s="59" t="s">
        <v>79</v>
      </c>
      <c r="L432" s="52"/>
      <c r="M432" s="52"/>
      <c r="N432" s="52"/>
      <c r="O432" s="61" t="s">
        <v>1591</v>
      </c>
      <c r="P432" s="76" t="s">
        <v>1619</v>
      </c>
      <c r="Q432" s="55">
        <f>VLOOKUP(E432,'NI-San_SP'!$C:$AN,12,FALSE)</f>
        <v>0</v>
      </c>
      <c r="R432" s="55">
        <f>VLOOKUP(E432,'NI-San_SP'!$C:$AN,13,FALSE)</f>
        <v>0</v>
      </c>
      <c r="S432" s="55">
        <f>VLOOKUP(E432,'NI-San_SP'!$C:$AN,31,FALSE)</f>
        <v>0</v>
      </c>
      <c r="T432" s="55">
        <f>VLOOKUP(E432,'NI-San_SP'!$C:$AN,32,FALSE)+VLOOKUP(E432,'NI-San_SP'!$C:$AN,33,FALSE)</f>
        <v>0</v>
      </c>
      <c r="U432" s="55">
        <f>VLOOKUP($E432,'NI-San_SP'!$C:$AN,MID(U$1,1,2),FALSE)</f>
        <v>0</v>
      </c>
      <c r="V432" s="55">
        <f>VLOOKUP($E432,'NI-San_SP'!$C:$AN,MID(V$1,1,2),FALSE)</f>
        <v>0</v>
      </c>
      <c r="W432" s="55">
        <f>VLOOKUP($E432,'NI-San_SP'!$C:$AN,MID(W$1,1,2),FALSE)</f>
        <v>0</v>
      </c>
      <c r="X432" s="55">
        <f>VLOOKUP($E432,'NI-San_SP'!$C:$AN,MID(X$1,1,2),FALSE)</f>
        <v>0</v>
      </c>
      <c r="Y432" s="55">
        <f>VLOOKUP($E432,'NI-San_SP'!$C:$AN,MID(Y$1,1,2),FALSE)</f>
        <v>0</v>
      </c>
      <c r="Z432" s="55">
        <f>VLOOKUP($E432,'NI-San_SP'!$C:$AN,MID(Z$1,1,2),FALSE)</f>
        <v>0</v>
      </c>
      <c r="AA432" s="55">
        <f>VLOOKUP($E432,'NI-San_SP'!$C:$AN,MID(AA$1,1,2),FALSE)</f>
        <v>0</v>
      </c>
      <c r="AB432" s="55">
        <f>VLOOKUP($E432,'NI-San_SP'!$C:$AN,MID(AB$1,1,2),FALSE)</f>
        <v>0</v>
      </c>
      <c r="AC432" s="55">
        <f>VLOOKUP($E432,'NI-San_SP'!$C:$AN,MID(AC$1,1,2),FALSE)</f>
        <v>0</v>
      </c>
      <c r="AD432" s="55">
        <f>VLOOKUP($E432,'NI-San_SP'!$C:$AN,MID(AD$1,1,2),FALSE)</f>
        <v>0</v>
      </c>
      <c r="AE432" s="55">
        <f>VLOOKUP($E432,'NI-San_SP'!$C:$AN,MID(AE$1,1,2),FALSE)</f>
        <v>0</v>
      </c>
      <c r="AF432" s="55">
        <f>VLOOKUP($E432,'NI-San_SP'!$C:$AN,MID(AF$1,1,2),FALSE)</f>
        <v>0</v>
      </c>
      <c r="AG432" s="55">
        <f>VLOOKUP($E432,'NI-San_SP'!$C:$AN,MID(AG$1,1,2),FALSE)</f>
        <v>0</v>
      </c>
      <c r="AH432" s="55">
        <f>VLOOKUP($E432,'NI-San_SP'!$C:$AN,MID(AH$1,1,2),FALSE)</f>
        <v>0</v>
      </c>
      <c r="AI432" s="55">
        <f>VLOOKUP($E432,'NI-San_SP'!$C:$AN,MID(AI$1,1,2),FALSE)</f>
        <v>0</v>
      </c>
      <c r="AJ432" s="55">
        <f>VLOOKUP($E432,'NI-San_SP'!$C:$AN,MID(AJ$1,1,2),FALSE)</f>
        <v>0</v>
      </c>
      <c r="AK432" s="55">
        <f>VLOOKUP($E432,'NI-San_SP'!$C:$AN,MID(AK$1,1,2),FALSE)</f>
        <v>0</v>
      </c>
      <c r="AL432" s="55">
        <f>VLOOKUP($E432,'NI-San_SP'!$C:$AN,MID(AL$1,1,2),FALSE)</f>
        <v>0</v>
      </c>
      <c r="AM432" s="56">
        <f>VLOOKUP($E432,'NI-San_SP'!$C:$AN,MID(AM$1,1,2),FALSE)</f>
        <v>0</v>
      </c>
      <c r="AN432" s="30" t="str">
        <f t="shared" si="6"/>
        <v>20204010030030</v>
      </c>
    </row>
    <row r="433" spans="1:40" x14ac:dyDescent="0.25">
      <c r="C433" s="40"/>
      <c r="D433" s="57" t="s">
        <v>1620</v>
      </c>
      <c r="E433" s="57" t="s">
        <v>1621</v>
      </c>
      <c r="F433" s="58" t="s">
        <v>110</v>
      </c>
      <c r="G433" s="52" t="s">
        <v>1608</v>
      </c>
      <c r="H433" s="52"/>
      <c r="I433" s="52"/>
      <c r="J433" s="52"/>
      <c r="K433" s="59" t="s">
        <v>79</v>
      </c>
      <c r="L433" s="52"/>
      <c r="M433" s="52"/>
      <c r="N433" s="52"/>
      <c r="O433" s="61" t="s">
        <v>1591</v>
      </c>
      <c r="P433" s="76" t="s">
        <v>1622</v>
      </c>
      <c r="Q433" s="55">
        <f>VLOOKUP(E433,'NI-San_SP'!$C:$AN,12,FALSE)</f>
        <v>3624273</v>
      </c>
      <c r="R433" s="55">
        <f>VLOOKUP(E433,'NI-San_SP'!$C:$AN,13,FALSE)</f>
        <v>2178793</v>
      </c>
      <c r="S433" s="55">
        <f>VLOOKUP(E433,'NI-San_SP'!$C:$AN,31,FALSE)</f>
        <v>0</v>
      </c>
      <c r="T433" s="55">
        <f>VLOOKUP(E433,'NI-San_SP'!$C:$AN,32,FALSE)+VLOOKUP(E433,'NI-San_SP'!$C:$AN,33,FALSE)</f>
        <v>162681</v>
      </c>
      <c r="U433" s="55">
        <f>VLOOKUP($E433,'NI-San_SP'!$C:$AN,MID(U$1,1,2),FALSE)</f>
        <v>0</v>
      </c>
      <c r="V433" s="55">
        <f>VLOOKUP($E433,'NI-San_SP'!$C:$AN,MID(V$1,1,2),FALSE)</f>
        <v>3624273</v>
      </c>
      <c r="W433" s="55">
        <f>VLOOKUP($E433,'NI-San_SP'!$C:$AN,MID(W$1,1,2),FALSE)</f>
        <v>0</v>
      </c>
      <c r="X433" s="55">
        <f>VLOOKUP($E433,'NI-San_SP'!$C:$AN,MID(X$1,1,2),FALSE)</f>
        <v>-5752</v>
      </c>
      <c r="Y433" s="55">
        <f>VLOOKUP($E433,'NI-San_SP'!$C:$AN,MID(Y$1,1,2),FALSE)</f>
        <v>5581587</v>
      </c>
      <c r="Z433" s="55">
        <f>VLOOKUP($E433,'NI-San_SP'!$C:$AN,MID(Z$1,1,2),FALSE)</f>
        <v>3461592</v>
      </c>
      <c r="AA433" s="55">
        <f>VLOOKUP($E433,'NI-San_SP'!$C:$AN,MID(AA$1,1,2),FALSE)</f>
        <v>0</v>
      </c>
      <c r="AB433" s="55">
        <f>VLOOKUP($E433,'NI-San_SP'!$C:$AN,MID(AB$1,1,2),FALSE)</f>
        <v>3559723</v>
      </c>
      <c r="AC433" s="55">
        <f>VLOOKUP($E433,'NI-San_SP'!$C:$AN,MID(AC$1,1,2),FALSE)</f>
        <v>2178793</v>
      </c>
      <c r="AD433" s="55">
        <f>VLOOKUP($E433,'NI-San_SP'!$C:$AN,MID(AD$1,1,2),FALSE)</f>
        <v>1507286</v>
      </c>
      <c r="AE433" s="55">
        <f>VLOOKUP($E433,'NI-San_SP'!$C:$AN,MID(AE$1,1,2),FALSE)</f>
        <v>0</v>
      </c>
      <c r="AF433" s="55">
        <f>VLOOKUP($E433,'NI-San_SP'!$C:$AN,MID(AF$1,1,2),FALSE)</f>
        <v>0</v>
      </c>
      <c r="AG433" s="55">
        <f>VLOOKUP($E433,'NI-San_SP'!$C:$AN,MID(AG$1,1,2),FALSE)</f>
        <v>0</v>
      </c>
      <c r="AH433" s="55">
        <f>VLOOKUP($E433,'NI-San_SP'!$C:$AN,MID(AH$1,1,2),FALSE)</f>
        <v>0</v>
      </c>
      <c r="AI433" s="55">
        <f>VLOOKUP($E433,'NI-San_SP'!$C:$AN,MID(AI$1,1,2),FALSE)</f>
        <v>0</v>
      </c>
      <c r="AJ433" s="55">
        <f>VLOOKUP($E433,'NI-San_SP'!$C:$AN,MID(AJ$1,1,2),FALSE)</f>
        <v>0</v>
      </c>
      <c r="AK433" s="55">
        <f>VLOOKUP($E433,'NI-San_SP'!$C:$AN,MID(AK$1,1,2),FALSE)</f>
        <v>0</v>
      </c>
      <c r="AL433" s="55">
        <f>VLOOKUP($E433,'NI-San_SP'!$C:$AN,MID(AL$1,1,2),FALSE)</f>
        <v>2791</v>
      </c>
      <c r="AM433" s="56">
        <f>VLOOKUP($E433,'NI-San_SP'!$C:$AN,MID(AM$1,1,2),FALSE)</f>
        <v>159890</v>
      </c>
      <c r="AN433" s="30" t="str">
        <f t="shared" si="6"/>
        <v>20204010030040</v>
      </c>
    </row>
    <row r="434" spans="1:40" x14ac:dyDescent="0.25">
      <c r="C434" s="40"/>
      <c r="D434" s="57" t="s">
        <v>1623</v>
      </c>
      <c r="E434" s="57" t="s">
        <v>1624</v>
      </c>
      <c r="F434" s="58" t="s">
        <v>110</v>
      </c>
      <c r="G434" s="52" t="s">
        <v>1608</v>
      </c>
      <c r="H434" s="52"/>
      <c r="I434" s="52"/>
      <c r="J434" s="52"/>
      <c r="K434" s="59" t="s">
        <v>79</v>
      </c>
      <c r="L434" s="52"/>
      <c r="M434" s="52"/>
      <c r="N434" s="52"/>
      <c r="O434" s="61" t="s">
        <v>1591</v>
      </c>
      <c r="P434" s="76" t="s">
        <v>1625</v>
      </c>
      <c r="Q434" s="55">
        <f>VLOOKUP(E434,'NI-San_SP'!$C:$AN,12,FALSE)</f>
        <v>870488</v>
      </c>
      <c r="R434" s="55">
        <f>VLOOKUP(E434,'NI-San_SP'!$C:$AN,13,FALSE)</f>
        <v>848251</v>
      </c>
      <c r="S434" s="55">
        <f>VLOOKUP(E434,'NI-San_SP'!$C:$AN,31,FALSE)</f>
        <v>0</v>
      </c>
      <c r="T434" s="55">
        <f>VLOOKUP(E434,'NI-San_SP'!$C:$AN,32,FALSE)+VLOOKUP(E434,'NI-San_SP'!$C:$AN,33,FALSE)</f>
        <v>0</v>
      </c>
      <c r="U434" s="55">
        <f>VLOOKUP($E434,'NI-San_SP'!$C:$AN,MID(U$1,1,2),FALSE)</f>
        <v>0</v>
      </c>
      <c r="V434" s="55">
        <f>VLOOKUP($E434,'NI-San_SP'!$C:$AN,MID(V$1,1,2),FALSE)</f>
        <v>870488</v>
      </c>
      <c r="W434" s="55">
        <f>VLOOKUP($E434,'NI-San_SP'!$C:$AN,MID(W$1,1,2),FALSE)</f>
        <v>0</v>
      </c>
      <c r="X434" s="55">
        <f>VLOOKUP($E434,'NI-San_SP'!$C:$AN,MID(X$1,1,2),FALSE)</f>
        <v>-1189</v>
      </c>
      <c r="Y434" s="55">
        <f>VLOOKUP($E434,'NI-San_SP'!$C:$AN,MID(Y$1,1,2),FALSE)</f>
        <v>2438921</v>
      </c>
      <c r="Z434" s="55">
        <f>VLOOKUP($E434,'NI-San_SP'!$C:$AN,MID(Z$1,1,2),FALSE)</f>
        <v>870488</v>
      </c>
      <c r="AA434" s="55">
        <f>VLOOKUP($E434,'NI-San_SP'!$C:$AN,MID(AA$1,1,2),FALSE)</f>
        <v>0</v>
      </c>
      <c r="AB434" s="55">
        <f>VLOOKUP($E434,'NI-San_SP'!$C:$AN,MID(AB$1,1,2),FALSE)</f>
        <v>1589481</v>
      </c>
      <c r="AC434" s="55">
        <f>VLOOKUP($E434,'NI-San_SP'!$C:$AN,MID(AC$1,1,2),FALSE)</f>
        <v>848251</v>
      </c>
      <c r="AD434" s="55">
        <f>VLOOKUP($E434,'NI-San_SP'!$C:$AN,MID(AD$1,1,2),FALSE)</f>
        <v>343021</v>
      </c>
      <c r="AE434" s="55">
        <f>VLOOKUP($E434,'NI-San_SP'!$C:$AN,MID(AE$1,1,2),FALSE)</f>
        <v>0</v>
      </c>
      <c r="AF434" s="55">
        <f>VLOOKUP($E434,'NI-San_SP'!$C:$AN,MID(AF$1,1,2),FALSE)</f>
        <v>0</v>
      </c>
      <c r="AG434" s="55">
        <f>VLOOKUP($E434,'NI-San_SP'!$C:$AN,MID(AG$1,1,2),FALSE)</f>
        <v>0</v>
      </c>
      <c r="AH434" s="55">
        <f>VLOOKUP($E434,'NI-San_SP'!$C:$AN,MID(AH$1,1,2),FALSE)</f>
        <v>0</v>
      </c>
      <c r="AI434" s="55">
        <f>VLOOKUP($E434,'NI-San_SP'!$C:$AN,MID(AI$1,1,2),FALSE)</f>
        <v>0</v>
      </c>
      <c r="AJ434" s="55">
        <f>VLOOKUP($E434,'NI-San_SP'!$C:$AN,MID(AJ$1,1,2),FALSE)</f>
        <v>0</v>
      </c>
      <c r="AK434" s="55">
        <f>VLOOKUP($E434,'NI-San_SP'!$C:$AN,MID(AK$1,1,2),FALSE)</f>
        <v>0</v>
      </c>
      <c r="AL434" s="55">
        <f>VLOOKUP($E434,'NI-San_SP'!$C:$AN,MID(AL$1,1,2),FALSE)</f>
        <v>0</v>
      </c>
      <c r="AM434" s="56">
        <f>VLOOKUP($E434,'NI-San_SP'!$C:$AN,MID(AM$1,1,2),FALSE)</f>
        <v>0</v>
      </c>
      <c r="AN434" s="30" t="str">
        <f t="shared" si="6"/>
        <v>20204010030050</v>
      </c>
    </row>
    <row r="435" spans="1:40" x14ac:dyDescent="0.25">
      <c r="C435" s="40"/>
      <c r="D435" s="57" t="s">
        <v>1626</v>
      </c>
      <c r="E435" s="57" t="s">
        <v>1627</v>
      </c>
      <c r="F435" s="58" t="s">
        <v>110</v>
      </c>
      <c r="G435" s="52" t="s">
        <v>1608</v>
      </c>
      <c r="H435" s="52"/>
      <c r="I435" s="86" t="s">
        <v>1609</v>
      </c>
      <c r="J435" s="52" t="s">
        <v>1609</v>
      </c>
      <c r="K435" s="59" t="s">
        <v>79</v>
      </c>
      <c r="L435" s="52"/>
      <c r="M435" s="52"/>
      <c r="N435" s="52"/>
      <c r="O435" s="61" t="s">
        <v>1628</v>
      </c>
      <c r="P435" s="76" t="s">
        <v>1629</v>
      </c>
      <c r="Q435" s="55">
        <f>VLOOKUP(E435,'NI-San_SP'!$C:$AN,12,FALSE)</f>
        <v>0</v>
      </c>
      <c r="R435" s="55">
        <f>VLOOKUP(E435,'NI-San_SP'!$C:$AN,13,FALSE)</f>
        <v>0</v>
      </c>
      <c r="S435" s="55">
        <f>VLOOKUP(E435,'NI-San_SP'!$C:$AN,31,FALSE)</f>
        <v>0</v>
      </c>
      <c r="T435" s="55">
        <f>VLOOKUP(E435,'NI-San_SP'!$C:$AN,32,FALSE)+VLOOKUP(E435,'NI-San_SP'!$C:$AN,33,FALSE)</f>
        <v>0</v>
      </c>
      <c r="U435" s="55">
        <f>VLOOKUP($E435,'NI-San_SP'!$C:$AN,MID(U$1,1,2),FALSE)</f>
        <v>0</v>
      </c>
      <c r="V435" s="55">
        <f>VLOOKUP($E435,'NI-San_SP'!$C:$AN,MID(V$1,1,2),FALSE)</f>
        <v>0</v>
      </c>
      <c r="W435" s="55">
        <f>VLOOKUP($E435,'NI-San_SP'!$C:$AN,MID(W$1,1,2),FALSE)</f>
        <v>0</v>
      </c>
      <c r="X435" s="55">
        <f>VLOOKUP($E435,'NI-San_SP'!$C:$AN,MID(X$1,1,2),FALSE)</f>
        <v>0</v>
      </c>
      <c r="Y435" s="55">
        <f>VLOOKUP($E435,'NI-San_SP'!$C:$AN,MID(Y$1,1,2),FALSE)</f>
        <v>0</v>
      </c>
      <c r="Z435" s="55">
        <f>VLOOKUP($E435,'NI-San_SP'!$C:$AN,MID(Z$1,1,2),FALSE)</f>
        <v>0</v>
      </c>
      <c r="AA435" s="55">
        <f>VLOOKUP($E435,'NI-San_SP'!$C:$AN,MID(AA$1,1,2),FALSE)</f>
        <v>0</v>
      </c>
      <c r="AB435" s="55">
        <f>VLOOKUP($E435,'NI-San_SP'!$C:$AN,MID(AB$1,1,2),FALSE)</f>
        <v>0</v>
      </c>
      <c r="AC435" s="55">
        <f>VLOOKUP($E435,'NI-San_SP'!$C:$AN,MID(AC$1,1,2),FALSE)</f>
        <v>0</v>
      </c>
      <c r="AD435" s="55">
        <f>VLOOKUP($E435,'NI-San_SP'!$C:$AN,MID(AD$1,1,2),FALSE)</f>
        <v>0</v>
      </c>
      <c r="AE435" s="55">
        <f>VLOOKUP($E435,'NI-San_SP'!$C:$AN,MID(AE$1,1,2),FALSE)</f>
        <v>0</v>
      </c>
      <c r="AF435" s="55">
        <f>VLOOKUP($E435,'NI-San_SP'!$C:$AN,MID(AF$1,1,2),FALSE)</f>
        <v>0</v>
      </c>
      <c r="AG435" s="55">
        <f>VLOOKUP($E435,'NI-San_SP'!$C:$AN,MID(AG$1,1,2),FALSE)</f>
        <v>0</v>
      </c>
      <c r="AH435" s="55">
        <f>VLOOKUP($E435,'NI-San_SP'!$C:$AN,MID(AH$1,1,2),FALSE)</f>
        <v>0</v>
      </c>
      <c r="AI435" s="55">
        <f>VLOOKUP($E435,'NI-San_SP'!$C:$AN,MID(AI$1,1,2),FALSE)</f>
        <v>0</v>
      </c>
      <c r="AJ435" s="55">
        <f>VLOOKUP($E435,'NI-San_SP'!$C:$AN,MID(AJ$1,1,2),FALSE)</f>
        <v>0</v>
      </c>
      <c r="AK435" s="55">
        <f>VLOOKUP($E435,'NI-San_SP'!$C:$AN,MID(AK$1,1,2),FALSE)</f>
        <v>0</v>
      </c>
      <c r="AL435" s="55">
        <f>VLOOKUP($E435,'NI-San_SP'!$C:$AN,MID(AL$1,1,2),FALSE)</f>
        <v>0</v>
      </c>
      <c r="AM435" s="56">
        <f>VLOOKUP($E435,'NI-San_SP'!$C:$AN,MID(AM$1,1,2),FALSE)</f>
        <v>0</v>
      </c>
      <c r="AN435" s="30" t="str">
        <f t="shared" si="6"/>
        <v>20204010030060</v>
      </c>
    </row>
    <row r="436" spans="1:40" x14ac:dyDescent="0.25">
      <c r="C436" s="40"/>
      <c r="D436" s="57" t="s">
        <v>1630</v>
      </c>
      <c r="E436" s="57" t="s">
        <v>1631</v>
      </c>
      <c r="F436" s="58" t="s">
        <v>110</v>
      </c>
      <c r="G436" s="52" t="s">
        <v>1608</v>
      </c>
      <c r="H436" s="52"/>
      <c r="I436" s="86" t="s">
        <v>1609</v>
      </c>
      <c r="J436" s="52" t="s">
        <v>1609</v>
      </c>
      <c r="K436" s="59" t="s">
        <v>79</v>
      </c>
      <c r="L436" s="52"/>
      <c r="M436" s="52"/>
      <c r="N436" s="52"/>
      <c r="O436" s="61" t="s">
        <v>1632</v>
      </c>
      <c r="P436" s="76" t="s">
        <v>1633</v>
      </c>
      <c r="Q436" s="55">
        <f>VLOOKUP(E436,'NI-San_SP'!$C:$AN,12,FALSE)</f>
        <v>0</v>
      </c>
      <c r="R436" s="55">
        <f>VLOOKUP(E436,'NI-San_SP'!$C:$AN,13,FALSE)</f>
        <v>0</v>
      </c>
      <c r="S436" s="55">
        <f>VLOOKUP(E436,'NI-San_SP'!$C:$AN,31,FALSE)</f>
        <v>0</v>
      </c>
      <c r="T436" s="55">
        <f>VLOOKUP(E436,'NI-San_SP'!$C:$AN,32,FALSE)+VLOOKUP(E436,'NI-San_SP'!$C:$AN,33,FALSE)</f>
        <v>0</v>
      </c>
      <c r="U436" s="55">
        <f>VLOOKUP($E436,'NI-San_SP'!$C:$AN,MID(U$1,1,2),FALSE)</f>
        <v>0</v>
      </c>
      <c r="V436" s="55">
        <f>VLOOKUP($E436,'NI-San_SP'!$C:$AN,MID(V$1,1,2),FALSE)</f>
        <v>0</v>
      </c>
      <c r="W436" s="55">
        <f>VLOOKUP($E436,'NI-San_SP'!$C:$AN,MID(W$1,1,2),FALSE)</f>
        <v>0</v>
      </c>
      <c r="X436" s="55">
        <f>VLOOKUP($E436,'NI-San_SP'!$C:$AN,MID(X$1,1,2),FALSE)</f>
        <v>0</v>
      </c>
      <c r="Y436" s="55">
        <f>VLOOKUP($E436,'NI-San_SP'!$C:$AN,MID(Y$1,1,2),FALSE)</f>
        <v>0</v>
      </c>
      <c r="Z436" s="55">
        <f>VLOOKUP($E436,'NI-San_SP'!$C:$AN,MID(Z$1,1,2),FALSE)</f>
        <v>0</v>
      </c>
      <c r="AA436" s="55">
        <f>VLOOKUP($E436,'NI-San_SP'!$C:$AN,MID(AA$1,1,2),FALSE)</f>
        <v>0</v>
      </c>
      <c r="AB436" s="55">
        <f>VLOOKUP($E436,'NI-San_SP'!$C:$AN,MID(AB$1,1,2),FALSE)</f>
        <v>0</v>
      </c>
      <c r="AC436" s="55">
        <f>VLOOKUP($E436,'NI-San_SP'!$C:$AN,MID(AC$1,1,2),FALSE)</f>
        <v>0</v>
      </c>
      <c r="AD436" s="55">
        <f>VLOOKUP($E436,'NI-San_SP'!$C:$AN,MID(AD$1,1,2),FALSE)</f>
        <v>0</v>
      </c>
      <c r="AE436" s="55">
        <f>VLOOKUP($E436,'NI-San_SP'!$C:$AN,MID(AE$1,1,2),FALSE)</f>
        <v>0</v>
      </c>
      <c r="AF436" s="55">
        <f>VLOOKUP($E436,'NI-San_SP'!$C:$AN,MID(AF$1,1,2),FALSE)</f>
        <v>0</v>
      </c>
      <c r="AG436" s="55">
        <f>VLOOKUP($E436,'NI-San_SP'!$C:$AN,MID(AG$1,1,2),FALSE)</f>
        <v>0</v>
      </c>
      <c r="AH436" s="55">
        <f>VLOOKUP($E436,'NI-San_SP'!$C:$AN,MID(AH$1,1,2),FALSE)</f>
        <v>0</v>
      </c>
      <c r="AI436" s="55">
        <f>VLOOKUP($E436,'NI-San_SP'!$C:$AN,MID(AI$1,1,2),FALSE)</f>
        <v>0</v>
      </c>
      <c r="AJ436" s="55">
        <f>VLOOKUP($E436,'NI-San_SP'!$C:$AN,MID(AJ$1,1,2),FALSE)</f>
        <v>0</v>
      </c>
      <c r="AK436" s="55">
        <f>VLOOKUP($E436,'NI-San_SP'!$C:$AN,MID(AK$1,1,2),FALSE)</f>
        <v>0</v>
      </c>
      <c r="AL436" s="55">
        <f>VLOOKUP($E436,'NI-San_SP'!$C:$AN,MID(AL$1,1,2),FALSE)</f>
        <v>0</v>
      </c>
      <c r="AM436" s="56">
        <f>VLOOKUP($E436,'NI-San_SP'!$C:$AN,MID(AM$1,1,2),FALSE)</f>
        <v>0</v>
      </c>
      <c r="AN436" s="30" t="str">
        <f t="shared" si="6"/>
        <v>20204010030070</v>
      </c>
    </row>
    <row r="437" spans="1:40" x14ac:dyDescent="0.25">
      <c r="C437" s="40"/>
      <c r="D437" s="57" t="s">
        <v>1634</v>
      </c>
      <c r="E437" s="57" t="s">
        <v>1635</v>
      </c>
      <c r="F437" s="58" t="s">
        <v>110</v>
      </c>
      <c r="G437" s="52"/>
      <c r="H437" s="52"/>
      <c r="I437" s="52" t="s">
        <v>1636</v>
      </c>
      <c r="J437" s="52" t="s">
        <v>1636</v>
      </c>
      <c r="K437" s="59" t="s">
        <v>1358</v>
      </c>
      <c r="L437" s="52"/>
      <c r="M437" s="52"/>
      <c r="N437" s="52"/>
      <c r="O437" s="61" t="s">
        <v>1591</v>
      </c>
      <c r="P437" s="76" t="s">
        <v>1637</v>
      </c>
      <c r="Q437" s="55">
        <f>VLOOKUP(E437,'NI-San_SP'!$C:$AN,12,FALSE)</f>
        <v>0</v>
      </c>
      <c r="R437" s="55">
        <f>VLOOKUP(E437,'NI-San_SP'!$C:$AN,13,FALSE)</f>
        <v>0</v>
      </c>
      <c r="S437" s="55">
        <f>VLOOKUP(E437,'NI-San_SP'!$C:$AN,31,FALSE)</f>
        <v>0</v>
      </c>
      <c r="T437" s="55">
        <f>VLOOKUP(E437,'NI-San_SP'!$C:$AN,32,FALSE)+VLOOKUP(E437,'NI-San_SP'!$C:$AN,33,FALSE)</f>
        <v>0</v>
      </c>
      <c r="U437" s="55">
        <f>VLOOKUP($E437,'NI-San_SP'!$C:$AN,MID(U$1,1,2),FALSE)</f>
        <v>0</v>
      </c>
      <c r="V437" s="55">
        <f>VLOOKUP($E437,'NI-San_SP'!$C:$AN,MID(V$1,1,2),FALSE)</f>
        <v>0</v>
      </c>
      <c r="W437" s="55">
        <f>VLOOKUP($E437,'NI-San_SP'!$C:$AN,MID(W$1,1,2),FALSE)</f>
        <v>0</v>
      </c>
      <c r="X437" s="55">
        <f>VLOOKUP($E437,'NI-San_SP'!$C:$AN,MID(X$1,1,2),FALSE)</f>
        <v>0</v>
      </c>
      <c r="Y437" s="55">
        <f>VLOOKUP($E437,'NI-San_SP'!$C:$AN,MID(Y$1,1,2),FALSE)</f>
        <v>0</v>
      </c>
      <c r="Z437" s="55">
        <f>VLOOKUP($E437,'NI-San_SP'!$C:$AN,MID(Z$1,1,2),FALSE)</f>
        <v>0</v>
      </c>
      <c r="AA437" s="55">
        <f>VLOOKUP($E437,'NI-San_SP'!$C:$AN,MID(AA$1,1,2),FALSE)</f>
        <v>0</v>
      </c>
      <c r="AB437" s="55">
        <f>VLOOKUP($E437,'NI-San_SP'!$C:$AN,MID(AB$1,1,2),FALSE)</f>
        <v>0</v>
      </c>
      <c r="AC437" s="55">
        <f>VLOOKUP($E437,'NI-San_SP'!$C:$AN,MID(AC$1,1,2),FALSE)</f>
        <v>0</v>
      </c>
      <c r="AD437" s="55">
        <f>VLOOKUP($E437,'NI-San_SP'!$C:$AN,MID(AD$1,1,2),FALSE)</f>
        <v>0</v>
      </c>
      <c r="AE437" s="55">
        <f>VLOOKUP($E437,'NI-San_SP'!$C:$AN,MID(AE$1,1,2),FALSE)</f>
        <v>0</v>
      </c>
      <c r="AF437" s="55">
        <f>VLOOKUP($E437,'NI-San_SP'!$C:$AN,MID(AF$1,1,2),FALSE)</f>
        <v>0</v>
      </c>
      <c r="AG437" s="55">
        <f>VLOOKUP($E437,'NI-San_SP'!$C:$AN,MID(AG$1,1,2),FALSE)</f>
        <v>0</v>
      </c>
      <c r="AH437" s="55">
        <f>VLOOKUP($E437,'NI-San_SP'!$C:$AN,MID(AH$1,1,2),FALSE)</f>
        <v>0</v>
      </c>
      <c r="AI437" s="55">
        <f>VLOOKUP($E437,'NI-San_SP'!$C:$AN,MID(AI$1,1,2),FALSE)</f>
        <v>0</v>
      </c>
      <c r="AJ437" s="55">
        <f>VLOOKUP($E437,'NI-San_SP'!$C:$AN,MID(AJ$1,1,2),FALSE)</f>
        <v>0</v>
      </c>
      <c r="AK437" s="55">
        <f>VLOOKUP($E437,'NI-San_SP'!$C:$AN,MID(AK$1,1,2),FALSE)</f>
        <v>0</v>
      </c>
      <c r="AL437" s="55">
        <f>VLOOKUP($E437,'NI-San_SP'!$C:$AN,MID(AL$1,1,2),FALSE)</f>
        <v>0</v>
      </c>
      <c r="AM437" s="56">
        <f>VLOOKUP($E437,'NI-San_SP'!$C:$AN,MID(AM$1,1,2),FALSE)</f>
        <v>0</v>
      </c>
      <c r="AN437" s="30" t="str">
        <f t="shared" si="6"/>
        <v>20204020000000</v>
      </c>
    </row>
    <row r="438" spans="1:40" ht="27" x14ac:dyDescent="0.25">
      <c r="A438" s="30" t="s">
        <v>1394</v>
      </c>
      <c r="C438" s="40"/>
      <c r="D438" s="87" t="s">
        <v>1638</v>
      </c>
      <c r="E438" s="87" t="s">
        <v>1639</v>
      </c>
      <c r="F438" s="58" t="s">
        <v>110</v>
      </c>
      <c r="G438" s="52"/>
      <c r="H438" s="52"/>
      <c r="I438" s="52"/>
      <c r="J438" s="52" t="s">
        <v>1640</v>
      </c>
      <c r="K438" s="59" t="s">
        <v>1358</v>
      </c>
      <c r="L438" s="52"/>
      <c r="M438" s="52"/>
      <c r="N438" s="52"/>
      <c r="O438" s="61" t="s">
        <v>1641</v>
      </c>
      <c r="P438" s="76" t="s">
        <v>1642</v>
      </c>
      <c r="Q438" s="55">
        <f>VLOOKUP(E438,'NI-San_SP'!$C:$AN,12,FALSE)</f>
        <v>0</v>
      </c>
      <c r="R438" s="55">
        <f>VLOOKUP(E438,'NI-San_SP'!$C:$AN,13,FALSE)</f>
        <v>0</v>
      </c>
      <c r="S438" s="55">
        <f>VLOOKUP(E438,'NI-San_SP'!$C:$AN,31,FALSE)</f>
        <v>0</v>
      </c>
      <c r="T438" s="55">
        <f>VLOOKUP(E438,'NI-San_SP'!$C:$AN,32,FALSE)+VLOOKUP(E438,'NI-San_SP'!$C:$AN,33,FALSE)</f>
        <v>0</v>
      </c>
      <c r="U438" s="55">
        <f>VLOOKUP($E438,'NI-San_SP'!$C:$AN,MID(U$1,1,2),FALSE)</f>
        <v>0</v>
      </c>
      <c r="V438" s="55">
        <f>VLOOKUP($E438,'NI-San_SP'!$C:$AN,MID(V$1,1,2),FALSE)</f>
        <v>0</v>
      </c>
      <c r="W438" s="55">
        <f>VLOOKUP($E438,'NI-San_SP'!$C:$AN,MID(W$1,1,2),FALSE)</f>
        <v>0</v>
      </c>
      <c r="X438" s="55">
        <f>VLOOKUP($E438,'NI-San_SP'!$C:$AN,MID(X$1,1,2),FALSE)</f>
        <v>0</v>
      </c>
      <c r="Y438" s="55">
        <f>VLOOKUP($E438,'NI-San_SP'!$C:$AN,MID(Y$1,1,2),FALSE)</f>
        <v>0</v>
      </c>
      <c r="Z438" s="55">
        <f>VLOOKUP($E438,'NI-San_SP'!$C:$AN,MID(Z$1,1,2),FALSE)</f>
        <v>0</v>
      </c>
      <c r="AA438" s="55">
        <f>VLOOKUP($E438,'NI-San_SP'!$C:$AN,MID(AA$1,1,2),FALSE)</f>
        <v>0</v>
      </c>
      <c r="AB438" s="55">
        <f>VLOOKUP($E438,'NI-San_SP'!$C:$AN,MID(AB$1,1,2),FALSE)</f>
        <v>0</v>
      </c>
      <c r="AC438" s="55">
        <f>VLOOKUP($E438,'NI-San_SP'!$C:$AN,MID(AC$1,1,2),FALSE)</f>
        <v>0</v>
      </c>
      <c r="AD438" s="55">
        <f>VLOOKUP($E438,'NI-San_SP'!$C:$AN,MID(AD$1,1,2),FALSE)</f>
        <v>0</v>
      </c>
      <c r="AE438" s="55">
        <f>VLOOKUP($E438,'NI-San_SP'!$C:$AN,MID(AE$1,1,2),FALSE)</f>
        <v>0</v>
      </c>
      <c r="AF438" s="55">
        <f>VLOOKUP($E438,'NI-San_SP'!$C:$AN,MID(AF$1,1,2),FALSE)</f>
        <v>0</v>
      </c>
      <c r="AG438" s="55">
        <f>VLOOKUP($E438,'NI-San_SP'!$C:$AN,MID(AG$1,1,2),FALSE)</f>
        <v>0</v>
      </c>
      <c r="AH438" s="55">
        <f>VLOOKUP($E438,'NI-San_SP'!$C:$AN,MID(AH$1,1,2),FALSE)</f>
        <v>0</v>
      </c>
      <c r="AI438" s="55">
        <f>VLOOKUP($E438,'NI-San_SP'!$C:$AN,MID(AI$1,1,2),FALSE)</f>
        <v>0</v>
      </c>
      <c r="AJ438" s="55">
        <f>VLOOKUP($E438,'NI-San_SP'!$C:$AN,MID(AJ$1,1,2),FALSE)</f>
        <v>0</v>
      </c>
      <c r="AK438" s="55">
        <f>VLOOKUP($E438,'NI-San_SP'!$C:$AN,MID(AK$1,1,2),FALSE)</f>
        <v>0</v>
      </c>
      <c r="AL438" s="55">
        <f>VLOOKUP($E438,'NI-San_SP'!$C:$AN,MID(AL$1,1,2),FALSE)</f>
        <v>0</v>
      </c>
      <c r="AM438" s="56">
        <f>VLOOKUP($E438,'NI-San_SP'!$C:$AN,MID(AM$1,1,2),FALSE)</f>
        <v>0</v>
      </c>
      <c r="AN438" s="30" t="str">
        <f t="shared" si="6"/>
        <v>20204030000000</v>
      </c>
    </row>
    <row r="439" spans="1:40" x14ac:dyDescent="0.25">
      <c r="C439" s="40"/>
      <c r="D439" s="57" t="s">
        <v>1643</v>
      </c>
      <c r="E439" s="57" t="s">
        <v>1644</v>
      </c>
      <c r="F439" s="58" t="s">
        <v>110</v>
      </c>
      <c r="G439" s="52" t="s">
        <v>1478</v>
      </c>
      <c r="H439" s="52"/>
      <c r="I439" s="52" t="s">
        <v>1645</v>
      </c>
      <c r="J439" s="52" t="s">
        <v>1645</v>
      </c>
      <c r="K439" s="59" t="s">
        <v>79</v>
      </c>
      <c r="L439" s="52"/>
      <c r="M439" s="52"/>
      <c r="N439" s="52"/>
      <c r="O439" s="61" t="s">
        <v>1646</v>
      </c>
      <c r="P439" s="76" t="s">
        <v>1647</v>
      </c>
      <c r="Q439" s="55">
        <f>VLOOKUP(E439,'NI-San_SP'!$C:$AN,12,FALSE)</f>
        <v>105782</v>
      </c>
      <c r="R439" s="55">
        <f>VLOOKUP(E439,'NI-San_SP'!$C:$AN,13,FALSE)</f>
        <v>1057000</v>
      </c>
      <c r="S439" s="55">
        <f>VLOOKUP(E439,'NI-San_SP'!$C:$AN,31,FALSE)</f>
        <v>0</v>
      </c>
      <c r="T439" s="55">
        <f>VLOOKUP(E439,'NI-San_SP'!$C:$AN,32,FALSE)+VLOOKUP(E439,'NI-San_SP'!$C:$AN,33,FALSE)</f>
        <v>12755</v>
      </c>
      <c r="U439" s="55">
        <f>VLOOKUP($E439,'NI-San_SP'!$C:$AN,MID(U$1,1,2),FALSE)</f>
        <v>0</v>
      </c>
      <c r="V439" s="55">
        <f>VLOOKUP($E439,'NI-San_SP'!$C:$AN,MID(V$1,1,2),FALSE)</f>
        <v>105782</v>
      </c>
      <c r="W439" s="55">
        <f>VLOOKUP($E439,'NI-San_SP'!$C:$AN,MID(W$1,1,2),FALSE)</f>
        <v>0</v>
      </c>
      <c r="X439" s="55">
        <f>VLOOKUP($E439,'NI-San_SP'!$C:$AN,MID(X$1,1,2),FALSE)</f>
        <v>12429</v>
      </c>
      <c r="Y439" s="55">
        <f>VLOOKUP($E439,'NI-San_SP'!$C:$AN,MID(Y$1,1,2),FALSE)</f>
        <v>1062985</v>
      </c>
      <c r="Z439" s="55">
        <f>VLOOKUP($E439,'NI-San_SP'!$C:$AN,MID(Z$1,1,2),FALSE)</f>
        <v>38648</v>
      </c>
      <c r="AA439" s="55">
        <f>VLOOKUP($E439,'NI-San_SP'!$C:$AN,MID(AA$1,1,2),FALSE)</f>
        <v>0</v>
      </c>
      <c r="AB439" s="55">
        <f>VLOOKUP($E439,'NI-San_SP'!$C:$AN,MID(AB$1,1,2),FALSE)</f>
        <v>85548</v>
      </c>
      <c r="AC439" s="55">
        <f>VLOOKUP($E439,'NI-San_SP'!$C:$AN,MID(AC$1,1,2),FALSE)</f>
        <v>1057000</v>
      </c>
      <c r="AD439" s="55">
        <f>VLOOKUP($E439,'NI-San_SP'!$C:$AN,MID(AD$1,1,2),FALSE)</f>
        <v>96109</v>
      </c>
      <c r="AE439" s="55">
        <f>VLOOKUP($E439,'NI-San_SP'!$C:$AN,MID(AE$1,1,2),FALSE)</f>
        <v>0</v>
      </c>
      <c r="AF439" s="55">
        <f>VLOOKUP($E439,'NI-San_SP'!$C:$AN,MID(AF$1,1,2),FALSE)</f>
        <v>0</v>
      </c>
      <c r="AG439" s="55">
        <f>VLOOKUP($E439,'NI-San_SP'!$C:$AN,MID(AG$1,1,2),FALSE)</f>
        <v>0</v>
      </c>
      <c r="AH439" s="55">
        <f>VLOOKUP($E439,'NI-San_SP'!$C:$AN,MID(AH$1,1,2),FALSE)</f>
        <v>0</v>
      </c>
      <c r="AI439" s="55">
        <f>VLOOKUP($E439,'NI-San_SP'!$C:$AN,MID(AI$1,1,2),FALSE)</f>
        <v>0</v>
      </c>
      <c r="AJ439" s="55">
        <f>VLOOKUP($E439,'NI-San_SP'!$C:$AN,MID(AJ$1,1,2),FALSE)</f>
        <v>54381</v>
      </c>
      <c r="AK439" s="55">
        <f>VLOOKUP($E439,'NI-San_SP'!$C:$AN,MID(AK$1,1,2),FALSE)</f>
        <v>0</v>
      </c>
      <c r="AL439" s="55">
        <f>VLOOKUP($E439,'NI-San_SP'!$C:$AN,MID(AL$1,1,2),FALSE)</f>
        <v>9882</v>
      </c>
      <c r="AM439" s="56">
        <f>VLOOKUP($E439,'NI-San_SP'!$C:$AN,MID(AM$1,1,2),FALSE)</f>
        <v>2873</v>
      </c>
      <c r="AN439" s="30" t="str">
        <f t="shared" si="6"/>
        <v>20204040000000</v>
      </c>
    </row>
    <row r="440" spans="1:40" ht="27" x14ac:dyDescent="0.25">
      <c r="A440" s="30" t="s">
        <v>1394</v>
      </c>
      <c r="C440" s="40"/>
      <c r="D440" s="87" t="s">
        <v>1648</v>
      </c>
      <c r="E440" s="87" t="s">
        <v>1649</v>
      </c>
      <c r="F440" s="58" t="s">
        <v>110</v>
      </c>
      <c r="G440" s="52"/>
      <c r="H440" s="52"/>
      <c r="I440" s="52"/>
      <c r="J440" s="52" t="s">
        <v>1650</v>
      </c>
      <c r="K440" s="59" t="s">
        <v>79</v>
      </c>
      <c r="L440" s="88"/>
      <c r="M440" s="52"/>
      <c r="N440" s="52"/>
      <c r="O440" s="61" t="s">
        <v>1646</v>
      </c>
      <c r="P440" s="76" t="s">
        <v>1651</v>
      </c>
      <c r="Q440" s="55">
        <f>VLOOKUP(E440,'NI-San_SP'!$C:$AN,12,FALSE)</f>
        <v>0</v>
      </c>
      <c r="R440" s="55">
        <f>VLOOKUP(E440,'NI-San_SP'!$C:$AN,13,FALSE)</f>
        <v>0</v>
      </c>
      <c r="S440" s="55">
        <f>VLOOKUP(E440,'NI-San_SP'!$C:$AN,31,FALSE)</f>
        <v>0</v>
      </c>
      <c r="T440" s="55">
        <f>VLOOKUP(E440,'NI-San_SP'!$C:$AN,32,FALSE)+VLOOKUP(E440,'NI-San_SP'!$C:$AN,33,FALSE)</f>
        <v>0</v>
      </c>
      <c r="U440" s="55">
        <f>VLOOKUP($E440,'NI-San_SP'!$C:$AN,MID(U$1,1,2),FALSE)</f>
        <v>0</v>
      </c>
      <c r="V440" s="55">
        <f>VLOOKUP($E440,'NI-San_SP'!$C:$AN,MID(V$1,1,2),FALSE)</f>
        <v>0</v>
      </c>
      <c r="W440" s="55">
        <f>VLOOKUP($E440,'NI-San_SP'!$C:$AN,MID(W$1,1,2),FALSE)</f>
        <v>0</v>
      </c>
      <c r="X440" s="55">
        <f>VLOOKUP($E440,'NI-San_SP'!$C:$AN,MID(X$1,1,2),FALSE)</f>
        <v>0</v>
      </c>
      <c r="Y440" s="55">
        <f>VLOOKUP($E440,'NI-San_SP'!$C:$AN,MID(Y$1,1,2),FALSE)</f>
        <v>0</v>
      </c>
      <c r="Z440" s="55">
        <f>VLOOKUP($E440,'NI-San_SP'!$C:$AN,MID(Z$1,1,2),FALSE)</f>
        <v>0</v>
      </c>
      <c r="AA440" s="55">
        <f>VLOOKUP($E440,'NI-San_SP'!$C:$AN,MID(AA$1,1,2),FALSE)</f>
        <v>0</v>
      </c>
      <c r="AB440" s="55">
        <f>VLOOKUP($E440,'NI-San_SP'!$C:$AN,MID(AB$1,1,2),FALSE)</f>
        <v>0</v>
      </c>
      <c r="AC440" s="55">
        <f>VLOOKUP($E440,'NI-San_SP'!$C:$AN,MID(AC$1,1,2),FALSE)</f>
        <v>0</v>
      </c>
      <c r="AD440" s="55">
        <f>VLOOKUP($E440,'NI-San_SP'!$C:$AN,MID(AD$1,1,2),FALSE)</f>
        <v>0</v>
      </c>
      <c r="AE440" s="55">
        <f>VLOOKUP($E440,'NI-San_SP'!$C:$AN,MID(AE$1,1,2),FALSE)</f>
        <v>0</v>
      </c>
      <c r="AF440" s="55">
        <f>VLOOKUP($E440,'NI-San_SP'!$C:$AN,MID(AF$1,1,2),FALSE)</f>
        <v>0</v>
      </c>
      <c r="AG440" s="55">
        <f>VLOOKUP($E440,'NI-San_SP'!$C:$AN,MID(AG$1,1,2),FALSE)</f>
        <v>0</v>
      </c>
      <c r="AH440" s="55">
        <f>VLOOKUP($E440,'NI-San_SP'!$C:$AN,MID(AH$1,1,2),FALSE)</f>
        <v>0</v>
      </c>
      <c r="AI440" s="55">
        <f>VLOOKUP($E440,'NI-San_SP'!$C:$AN,MID(AI$1,1,2),FALSE)</f>
        <v>0</v>
      </c>
      <c r="AJ440" s="55">
        <f>VLOOKUP($E440,'NI-San_SP'!$C:$AN,MID(AJ$1,1,2),FALSE)</f>
        <v>0</v>
      </c>
      <c r="AK440" s="55">
        <f>VLOOKUP($E440,'NI-San_SP'!$C:$AN,MID(AK$1,1,2),FALSE)</f>
        <v>0</v>
      </c>
      <c r="AL440" s="55">
        <f>VLOOKUP($E440,'NI-San_SP'!$C:$AN,MID(AL$1,1,2),FALSE)</f>
        <v>0</v>
      </c>
      <c r="AM440" s="56">
        <f>VLOOKUP($E440,'NI-San_SP'!$C:$AN,MID(AM$1,1,2),FALSE)</f>
        <v>0</v>
      </c>
      <c r="AN440" s="30" t="str">
        <f t="shared" si="6"/>
        <v>20204050010000</v>
      </c>
    </row>
    <row r="441" spans="1:40" ht="27" x14ac:dyDescent="0.25">
      <c r="A441" s="30" t="s">
        <v>1394</v>
      </c>
      <c r="C441" s="40"/>
      <c r="D441" s="87" t="s">
        <v>1652</v>
      </c>
      <c r="E441" s="87" t="s">
        <v>1653</v>
      </c>
      <c r="F441" s="58" t="s">
        <v>110</v>
      </c>
      <c r="G441" s="52"/>
      <c r="H441" s="52"/>
      <c r="I441" s="52"/>
      <c r="J441" s="52" t="s">
        <v>1650</v>
      </c>
      <c r="K441" s="59" t="s">
        <v>79</v>
      </c>
      <c r="L441" s="88"/>
      <c r="M441" s="52"/>
      <c r="N441" s="52"/>
      <c r="O441" s="61" t="s">
        <v>1646</v>
      </c>
      <c r="P441" s="76" t="s">
        <v>1654</v>
      </c>
      <c r="Q441" s="55">
        <f>VLOOKUP(E441,'NI-San_SP'!$C:$AN,12,FALSE)</f>
        <v>0</v>
      </c>
      <c r="R441" s="55">
        <f>VLOOKUP(E441,'NI-San_SP'!$C:$AN,13,FALSE)</f>
        <v>0</v>
      </c>
      <c r="S441" s="55">
        <f>VLOOKUP(E441,'NI-San_SP'!$C:$AN,31,FALSE)</f>
        <v>0</v>
      </c>
      <c r="T441" s="55">
        <f>VLOOKUP(E441,'NI-San_SP'!$C:$AN,32,FALSE)+VLOOKUP(E441,'NI-San_SP'!$C:$AN,33,FALSE)</f>
        <v>0</v>
      </c>
      <c r="U441" s="55">
        <f>VLOOKUP($E441,'NI-San_SP'!$C:$AN,MID(U$1,1,2),FALSE)</f>
        <v>0</v>
      </c>
      <c r="V441" s="55">
        <f>VLOOKUP($E441,'NI-San_SP'!$C:$AN,MID(V$1,1,2),FALSE)</f>
        <v>0</v>
      </c>
      <c r="W441" s="55">
        <f>VLOOKUP($E441,'NI-San_SP'!$C:$AN,MID(W$1,1,2),FALSE)</f>
        <v>0</v>
      </c>
      <c r="X441" s="55">
        <f>VLOOKUP($E441,'NI-San_SP'!$C:$AN,MID(X$1,1,2),FALSE)</f>
        <v>0</v>
      </c>
      <c r="Y441" s="55">
        <f>VLOOKUP($E441,'NI-San_SP'!$C:$AN,MID(Y$1,1,2),FALSE)</f>
        <v>0</v>
      </c>
      <c r="Z441" s="55">
        <f>VLOOKUP($E441,'NI-San_SP'!$C:$AN,MID(Z$1,1,2),FALSE)</f>
        <v>0</v>
      </c>
      <c r="AA441" s="55">
        <f>VLOOKUP($E441,'NI-San_SP'!$C:$AN,MID(AA$1,1,2),FALSE)</f>
        <v>0</v>
      </c>
      <c r="AB441" s="55">
        <f>VLOOKUP($E441,'NI-San_SP'!$C:$AN,MID(AB$1,1,2),FALSE)</f>
        <v>0</v>
      </c>
      <c r="AC441" s="55">
        <f>VLOOKUP($E441,'NI-San_SP'!$C:$AN,MID(AC$1,1,2),FALSE)</f>
        <v>0</v>
      </c>
      <c r="AD441" s="55">
        <f>VLOOKUP($E441,'NI-San_SP'!$C:$AN,MID(AD$1,1,2),FALSE)</f>
        <v>0</v>
      </c>
      <c r="AE441" s="55">
        <f>VLOOKUP($E441,'NI-San_SP'!$C:$AN,MID(AE$1,1,2),FALSE)</f>
        <v>0</v>
      </c>
      <c r="AF441" s="55">
        <f>VLOOKUP($E441,'NI-San_SP'!$C:$AN,MID(AF$1,1,2),FALSE)</f>
        <v>0</v>
      </c>
      <c r="AG441" s="55">
        <f>VLOOKUP($E441,'NI-San_SP'!$C:$AN,MID(AG$1,1,2),FALSE)</f>
        <v>0</v>
      </c>
      <c r="AH441" s="55">
        <f>VLOOKUP($E441,'NI-San_SP'!$C:$AN,MID(AH$1,1,2),FALSE)</f>
        <v>0</v>
      </c>
      <c r="AI441" s="55">
        <f>VLOOKUP($E441,'NI-San_SP'!$C:$AN,MID(AI$1,1,2),FALSE)</f>
        <v>0</v>
      </c>
      <c r="AJ441" s="55">
        <f>VLOOKUP($E441,'NI-San_SP'!$C:$AN,MID(AJ$1,1,2),FALSE)</f>
        <v>0</v>
      </c>
      <c r="AK441" s="55">
        <f>VLOOKUP($E441,'NI-San_SP'!$C:$AN,MID(AK$1,1,2),FALSE)</f>
        <v>0</v>
      </c>
      <c r="AL441" s="55">
        <f>VLOOKUP($E441,'NI-San_SP'!$C:$AN,MID(AL$1,1,2),FALSE)</f>
        <v>0</v>
      </c>
      <c r="AM441" s="56">
        <f>VLOOKUP($E441,'NI-San_SP'!$C:$AN,MID(AM$1,1,2),FALSE)</f>
        <v>0</v>
      </c>
      <c r="AN441" s="30" t="str">
        <f t="shared" si="6"/>
        <v>20204050020000</v>
      </c>
    </row>
    <row r="442" spans="1:40" ht="27" x14ac:dyDescent="0.25">
      <c r="A442" s="30" t="s">
        <v>1394</v>
      </c>
      <c r="C442" s="40"/>
      <c r="D442" s="87" t="s">
        <v>1655</v>
      </c>
      <c r="E442" s="87" t="s">
        <v>1656</v>
      </c>
      <c r="F442" s="58" t="s">
        <v>110</v>
      </c>
      <c r="G442" s="52"/>
      <c r="H442" s="52"/>
      <c r="I442" s="52"/>
      <c r="J442" s="52" t="s">
        <v>1650</v>
      </c>
      <c r="K442" s="59" t="s">
        <v>79</v>
      </c>
      <c r="L442" s="88"/>
      <c r="M442" s="52"/>
      <c r="N442" s="52"/>
      <c r="O442" s="61" t="s">
        <v>1646</v>
      </c>
      <c r="P442" s="76" t="s">
        <v>1657</v>
      </c>
      <c r="Q442" s="55">
        <f>VLOOKUP(E442,'NI-San_SP'!$C:$AN,12,FALSE)</f>
        <v>0</v>
      </c>
      <c r="R442" s="55">
        <f>VLOOKUP(E442,'NI-San_SP'!$C:$AN,13,FALSE)</f>
        <v>0</v>
      </c>
      <c r="S442" s="55">
        <f>VLOOKUP(E442,'NI-San_SP'!$C:$AN,31,FALSE)</f>
        <v>0</v>
      </c>
      <c r="T442" s="55">
        <f>VLOOKUP(E442,'NI-San_SP'!$C:$AN,32,FALSE)+VLOOKUP(E442,'NI-San_SP'!$C:$AN,33,FALSE)</f>
        <v>0</v>
      </c>
      <c r="U442" s="55">
        <f>VLOOKUP($E442,'NI-San_SP'!$C:$AN,MID(U$1,1,2),FALSE)</f>
        <v>0</v>
      </c>
      <c r="V442" s="55">
        <f>VLOOKUP($E442,'NI-San_SP'!$C:$AN,MID(V$1,1,2),FALSE)</f>
        <v>0</v>
      </c>
      <c r="W442" s="55">
        <f>VLOOKUP($E442,'NI-San_SP'!$C:$AN,MID(W$1,1,2),FALSE)</f>
        <v>0</v>
      </c>
      <c r="X442" s="55">
        <f>VLOOKUP($E442,'NI-San_SP'!$C:$AN,MID(X$1,1,2),FALSE)</f>
        <v>0</v>
      </c>
      <c r="Y442" s="55">
        <f>VLOOKUP($E442,'NI-San_SP'!$C:$AN,MID(Y$1,1,2),FALSE)</f>
        <v>0</v>
      </c>
      <c r="Z442" s="55">
        <f>VLOOKUP($E442,'NI-San_SP'!$C:$AN,MID(Z$1,1,2),FALSE)</f>
        <v>0</v>
      </c>
      <c r="AA442" s="55">
        <f>VLOOKUP($E442,'NI-San_SP'!$C:$AN,MID(AA$1,1,2),FALSE)</f>
        <v>0</v>
      </c>
      <c r="AB442" s="55">
        <f>VLOOKUP($E442,'NI-San_SP'!$C:$AN,MID(AB$1,1,2),FALSE)</f>
        <v>0</v>
      </c>
      <c r="AC442" s="55">
        <f>VLOOKUP($E442,'NI-San_SP'!$C:$AN,MID(AC$1,1,2),FALSE)</f>
        <v>0</v>
      </c>
      <c r="AD442" s="55">
        <f>VLOOKUP($E442,'NI-San_SP'!$C:$AN,MID(AD$1,1,2),FALSE)</f>
        <v>0</v>
      </c>
      <c r="AE442" s="55">
        <f>VLOOKUP($E442,'NI-San_SP'!$C:$AN,MID(AE$1,1,2),FALSE)</f>
        <v>0</v>
      </c>
      <c r="AF442" s="55">
        <f>VLOOKUP($E442,'NI-San_SP'!$C:$AN,MID(AF$1,1,2),FALSE)</f>
        <v>0</v>
      </c>
      <c r="AG442" s="55">
        <f>VLOOKUP($E442,'NI-San_SP'!$C:$AN,MID(AG$1,1,2),FALSE)</f>
        <v>0</v>
      </c>
      <c r="AH442" s="55">
        <f>VLOOKUP($E442,'NI-San_SP'!$C:$AN,MID(AH$1,1,2),FALSE)</f>
        <v>0</v>
      </c>
      <c r="AI442" s="55">
        <f>VLOOKUP($E442,'NI-San_SP'!$C:$AN,MID(AI$1,1,2),FALSE)</f>
        <v>0</v>
      </c>
      <c r="AJ442" s="55">
        <f>VLOOKUP($E442,'NI-San_SP'!$C:$AN,MID(AJ$1,1,2),FALSE)</f>
        <v>0</v>
      </c>
      <c r="AK442" s="55">
        <f>VLOOKUP($E442,'NI-San_SP'!$C:$AN,MID(AK$1,1,2),FALSE)</f>
        <v>0</v>
      </c>
      <c r="AL442" s="55">
        <f>VLOOKUP($E442,'NI-San_SP'!$C:$AN,MID(AL$1,1,2),FALSE)</f>
        <v>0</v>
      </c>
      <c r="AM442" s="56">
        <f>VLOOKUP($E442,'NI-San_SP'!$C:$AN,MID(AM$1,1,2),FALSE)</f>
        <v>0</v>
      </c>
      <c r="AN442" s="30" t="str">
        <f t="shared" si="6"/>
        <v>20204050030000</v>
      </c>
    </row>
    <row r="443" spans="1:40" x14ac:dyDescent="0.25">
      <c r="C443" s="40"/>
      <c r="D443" s="57" t="s">
        <v>1658</v>
      </c>
      <c r="E443" s="57" t="s">
        <v>1659</v>
      </c>
      <c r="F443" s="58" t="s">
        <v>110</v>
      </c>
      <c r="G443" s="52"/>
      <c r="H443" s="52"/>
      <c r="I443" s="52"/>
      <c r="J443" s="79"/>
      <c r="K443" s="59" t="s">
        <v>111</v>
      </c>
      <c r="L443" s="62" t="s">
        <v>1660</v>
      </c>
      <c r="M443" s="52"/>
      <c r="N443" s="52"/>
      <c r="O443" s="61" t="s">
        <v>1661</v>
      </c>
      <c r="P443" s="76" t="s">
        <v>1662</v>
      </c>
      <c r="Q443" s="55">
        <f>VLOOKUP(E443,'NI-San_SP'!$C:$AN,12,FALSE)</f>
        <v>0</v>
      </c>
      <c r="R443" s="55">
        <f>VLOOKUP(E443,'NI-San_SP'!$C:$AN,13,FALSE)</f>
        <v>0</v>
      </c>
      <c r="S443" s="55">
        <f>VLOOKUP(E443,'NI-San_SP'!$C:$AN,31,FALSE)</f>
        <v>0</v>
      </c>
      <c r="T443" s="55">
        <f>VLOOKUP(E443,'NI-San_SP'!$C:$AN,32,FALSE)+VLOOKUP(E443,'NI-San_SP'!$C:$AN,33,FALSE)</f>
        <v>0</v>
      </c>
      <c r="U443" s="55">
        <f>VLOOKUP($E443,'NI-San_SP'!$C:$AN,MID(U$1,1,2),FALSE)</f>
        <v>0</v>
      </c>
      <c r="V443" s="55">
        <f>VLOOKUP($E443,'NI-San_SP'!$C:$AN,MID(V$1,1,2),FALSE)</f>
        <v>0</v>
      </c>
      <c r="W443" s="55">
        <f>VLOOKUP($E443,'NI-San_SP'!$C:$AN,MID(W$1,1,2),FALSE)</f>
        <v>0</v>
      </c>
      <c r="X443" s="55">
        <f>VLOOKUP($E443,'NI-San_SP'!$C:$AN,MID(X$1,1,2),FALSE)</f>
        <v>0</v>
      </c>
      <c r="Y443" s="55">
        <f>VLOOKUP($E443,'NI-San_SP'!$C:$AN,MID(Y$1,1,2),FALSE)</f>
        <v>0</v>
      </c>
      <c r="Z443" s="55">
        <f>VLOOKUP($E443,'NI-San_SP'!$C:$AN,MID(Z$1,1,2),FALSE)</f>
        <v>0</v>
      </c>
      <c r="AA443" s="55">
        <f>VLOOKUP($E443,'NI-San_SP'!$C:$AN,MID(AA$1,1,2),FALSE)</f>
        <v>0</v>
      </c>
      <c r="AB443" s="55">
        <f>VLOOKUP($E443,'NI-San_SP'!$C:$AN,MID(AB$1,1,2),FALSE)</f>
        <v>0</v>
      </c>
      <c r="AC443" s="55">
        <f>VLOOKUP($E443,'NI-San_SP'!$C:$AN,MID(AC$1,1,2),FALSE)</f>
        <v>0</v>
      </c>
      <c r="AD443" s="55">
        <f>VLOOKUP($E443,'NI-San_SP'!$C:$AN,MID(AD$1,1,2),FALSE)</f>
        <v>0</v>
      </c>
      <c r="AE443" s="55">
        <f>VLOOKUP($E443,'NI-San_SP'!$C:$AN,MID(AE$1,1,2),FALSE)</f>
        <v>0</v>
      </c>
      <c r="AF443" s="55">
        <f>VLOOKUP($E443,'NI-San_SP'!$C:$AN,MID(AF$1,1,2),FALSE)</f>
        <v>0</v>
      </c>
      <c r="AG443" s="55">
        <f>VLOOKUP($E443,'NI-San_SP'!$C:$AN,MID(AG$1,1,2),FALSE)</f>
        <v>0</v>
      </c>
      <c r="AH443" s="55">
        <f>VLOOKUP($E443,'NI-San_SP'!$C:$AN,MID(AH$1,1,2),FALSE)</f>
        <v>0</v>
      </c>
      <c r="AI443" s="55">
        <f>VLOOKUP($E443,'NI-San_SP'!$C:$AN,MID(AI$1,1,2),FALSE)</f>
        <v>0</v>
      </c>
      <c r="AJ443" s="55">
        <f>VLOOKUP($E443,'NI-San_SP'!$C:$AN,MID(AJ$1,1,2),FALSE)</f>
        <v>0</v>
      </c>
      <c r="AK443" s="55">
        <f>VLOOKUP($E443,'NI-San_SP'!$C:$AN,MID(AK$1,1,2),FALSE)</f>
        <v>0</v>
      </c>
      <c r="AL443" s="55">
        <f>VLOOKUP($E443,'NI-San_SP'!$C:$AN,MID(AL$1,1,2),FALSE)</f>
        <v>0</v>
      </c>
      <c r="AM443" s="56">
        <f>VLOOKUP($E443,'NI-San_SP'!$C:$AN,MID(AM$1,1,2),FALSE)</f>
        <v>0</v>
      </c>
      <c r="AN443" s="30" t="str">
        <f t="shared" si="6"/>
        <v>20205000000000</v>
      </c>
    </row>
    <row r="444" spans="1:40" x14ac:dyDescent="0.25">
      <c r="C444" s="40"/>
      <c r="D444" s="57" t="s">
        <v>1663</v>
      </c>
      <c r="E444" s="57" t="s">
        <v>1664</v>
      </c>
      <c r="F444" s="58" t="s">
        <v>110</v>
      </c>
      <c r="G444" s="52"/>
      <c r="H444" s="52"/>
      <c r="I444" s="52" t="s">
        <v>1665</v>
      </c>
      <c r="J444" s="52" t="s">
        <v>1665</v>
      </c>
      <c r="K444" s="59" t="s">
        <v>111</v>
      </c>
      <c r="L444" s="52"/>
      <c r="M444" s="52"/>
      <c r="N444" s="52"/>
      <c r="O444" s="52"/>
      <c r="P444" s="76" t="s">
        <v>1666</v>
      </c>
      <c r="Q444" s="55">
        <f>VLOOKUP(E444,'NI-San_SP'!$C:$AN,12,FALSE)</f>
        <v>0</v>
      </c>
      <c r="R444" s="55">
        <f>VLOOKUP(E444,'NI-San_SP'!$C:$AN,13,FALSE)</f>
        <v>0</v>
      </c>
      <c r="S444" s="55">
        <f>VLOOKUP(E444,'NI-San_SP'!$C:$AN,31,FALSE)</f>
        <v>0</v>
      </c>
      <c r="T444" s="55">
        <f>VLOOKUP(E444,'NI-San_SP'!$C:$AN,32,FALSE)+VLOOKUP(E444,'NI-San_SP'!$C:$AN,33,FALSE)</f>
        <v>0</v>
      </c>
      <c r="U444" s="55">
        <f>VLOOKUP($E444,'NI-San_SP'!$C:$AN,MID(U$1,1,2),FALSE)</f>
        <v>0</v>
      </c>
      <c r="V444" s="55">
        <f>VLOOKUP($E444,'NI-San_SP'!$C:$AN,MID(V$1,1,2),FALSE)</f>
        <v>0</v>
      </c>
      <c r="W444" s="55">
        <f>VLOOKUP($E444,'NI-San_SP'!$C:$AN,MID(W$1,1,2),FALSE)</f>
        <v>0</v>
      </c>
      <c r="X444" s="55">
        <f>VLOOKUP($E444,'NI-San_SP'!$C:$AN,MID(X$1,1,2),FALSE)</f>
        <v>0</v>
      </c>
      <c r="Y444" s="55">
        <f>VLOOKUP($E444,'NI-San_SP'!$C:$AN,MID(Y$1,1,2),FALSE)</f>
        <v>0</v>
      </c>
      <c r="Z444" s="55">
        <f>VLOOKUP($E444,'NI-San_SP'!$C:$AN,MID(Z$1,1,2),FALSE)</f>
        <v>0</v>
      </c>
      <c r="AA444" s="55">
        <f>VLOOKUP($E444,'NI-San_SP'!$C:$AN,MID(AA$1,1,2),FALSE)</f>
        <v>0</v>
      </c>
      <c r="AB444" s="55">
        <f>VLOOKUP($E444,'NI-San_SP'!$C:$AN,MID(AB$1,1,2),FALSE)</f>
        <v>0</v>
      </c>
      <c r="AC444" s="55">
        <f>VLOOKUP($E444,'NI-San_SP'!$C:$AN,MID(AC$1,1,2),FALSE)</f>
        <v>0</v>
      </c>
      <c r="AD444" s="55">
        <f>VLOOKUP($E444,'NI-San_SP'!$C:$AN,MID(AD$1,1,2),FALSE)</f>
        <v>0</v>
      </c>
      <c r="AE444" s="55">
        <f>VLOOKUP($E444,'NI-San_SP'!$C:$AN,MID(AE$1,1,2),FALSE)</f>
        <v>0</v>
      </c>
      <c r="AF444" s="55">
        <f>VLOOKUP($E444,'NI-San_SP'!$C:$AN,MID(AF$1,1,2),FALSE)</f>
        <v>0</v>
      </c>
      <c r="AG444" s="55">
        <f>VLOOKUP($E444,'NI-San_SP'!$C:$AN,MID(AG$1,1,2),FALSE)</f>
        <v>0</v>
      </c>
      <c r="AH444" s="55">
        <f>VLOOKUP($E444,'NI-San_SP'!$C:$AN,MID(AH$1,1,2),FALSE)</f>
        <v>0</v>
      </c>
      <c r="AI444" s="55">
        <f>VLOOKUP($E444,'NI-San_SP'!$C:$AN,MID(AI$1,1,2),FALSE)</f>
        <v>0</v>
      </c>
      <c r="AJ444" s="55">
        <f>VLOOKUP($E444,'NI-San_SP'!$C:$AN,MID(AJ$1,1,2),FALSE)</f>
        <v>0</v>
      </c>
      <c r="AK444" s="55">
        <f>VLOOKUP($E444,'NI-San_SP'!$C:$AN,MID(AK$1,1,2),FALSE)</f>
        <v>0</v>
      </c>
      <c r="AL444" s="55">
        <f>VLOOKUP($E444,'NI-San_SP'!$C:$AN,MID(AL$1,1,2),FALSE)</f>
        <v>0</v>
      </c>
      <c r="AM444" s="56">
        <f>VLOOKUP($E444,'NI-San_SP'!$C:$AN,MID(AM$1,1,2),FALSE)</f>
        <v>0</v>
      </c>
      <c r="AN444" s="30" t="str">
        <f t="shared" si="6"/>
        <v>20205010000000</v>
      </c>
    </row>
    <row r="445" spans="1:40" x14ac:dyDescent="0.25">
      <c r="C445" s="40"/>
      <c r="D445" s="57" t="s">
        <v>1667</v>
      </c>
      <c r="E445" s="57" t="s">
        <v>1668</v>
      </c>
      <c r="F445" s="58" t="s">
        <v>110</v>
      </c>
      <c r="G445" s="52"/>
      <c r="H445" s="52"/>
      <c r="I445" s="52"/>
      <c r="J445" s="52"/>
      <c r="K445" s="59" t="s">
        <v>79</v>
      </c>
      <c r="L445" s="52"/>
      <c r="M445" s="52"/>
      <c r="N445" s="52"/>
      <c r="O445" s="52"/>
      <c r="P445" s="76" t="s">
        <v>1669</v>
      </c>
      <c r="Q445" s="55">
        <f>VLOOKUP(E445,'NI-San_SP'!$C:$AN,12,FALSE)</f>
        <v>0</v>
      </c>
      <c r="R445" s="55">
        <f>VLOOKUP(E445,'NI-San_SP'!$C:$AN,13,FALSE)</f>
        <v>0</v>
      </c>
      <c r="S445" s="55">
        <f>VLOOKUP(E445,'NI-San_SP'!$C:$AN,31,FALSE)</f>
        <v>0</v>
      </c>
      <c r="T445" s="55">
        <f>VLOOKUP(E445,'NI-San_SP'!$C:$AN,32,FALSE)+VLOOKUP(E445,'NI-San_SP'!$C:$AN,33,FALSE)</f>
        <v>0</v>
      </c>
      <c r="U445" s="55">
        <f>VLOOKUP($E445,'NI-San_SP'!$C:$AN,MID(U$1,1,2),FALSE)</f>
        <v>0</v>
      </c>
      <c r="V445" s="55">
        <f>VLOOKUP($E445,'NI-San_SP'!$C:$AN,MID(V$1,1,2),FALSE)</f>
        <v>0</v>
      </c>
      <c r="W445" s="55">
        <f>VLOOKUP($E445,'NI-San_SP'!$C:$AN,MID(W$1,1,2),FALSE)</f>
        <v>0</v>
      </c>
      <c r="X445" s="55">
        <f>VLOOKUP($E445,'NI-San_SP'!$C:$AN,MID(X$1,1,2),FALSE)</f>
        <v>0</v>
      </c>
      <c r="Y445" s="55">
        <f>VLOOKUP($E445,'NI-San_SP'!$C:$AN,MID(Y$1,1,2),FALSE)</f>
        <v>0</v>
      </c>
      <c r="Z445" s="55">
        <f>VLOOKUP($E445,'NI-San_SP'!$C:$AN,MID(Z$1,1,2),FALSE)</f>
        <v>0</v>
      </c>
      <c r="AA445" s="55">
        <f>VLOOKUP($E445,'NI-San_SP'!$C:$AN,MID(AA$1,1,2),FALSE)</f>
        <v>0</v>
      </c>
      <c r="AB445" s="55">
        <f>VLOOKUP($E445,'NI-San_SP'!$C:$AN,MID(AB$1,1,2),FALSE)</f>
        <v>0</v>
      </c>
      <c r="AC445" s="55">
        <f>VLOOKUP($E445,'NI-San_SP'!$C:$AN,MID(AC$1,1,2),FALSE)</f>
        <v>0</v>
      </c>
      <c r="AD445" s="55">
        <f>VLOOKUP($E445,'NI-San_SP'!$C:$AN,MID(AD$1,1,2),FALSE)</f>
        <v>0</v>
      </c>
      <c r="AE445" s="55">
        <f>VLOOKUP($E445,'NI-San_SP'!$C:$AN,MID(AE$1,1,2),FALSE)</f>
        <v>0</v>
      </c>
      <c r="AF445" s="55">
        <f>VLOOKUP($E445,'NI-San_SP'!$C:$AN,MID(AF$1,1,2),FALSE)</f>
        <v>0</v>
      </c>
      <c r="AG445" s="55">
        <f>VLOOKUP($E445,'NI-San_SP'!$C:$AN,MID(AG$1,1,2),FALSE)</f>
        <v>0</v>
      </c>
      <c r="AH445" s="55">
        <f>VLOOKUP($E445,'NI-San_SP'!$C:$AN,MID(AH$1,1,2),FALSE)</f>
        <v>0</v>
      </c>
      <c r="AI445" s="55">
        <f>VLOOKUP($E445,'NI-San_SP'!$C:$AN,MID(AI$1,1,2),FALSE)</f>
        <v>0</v>
      </c>
      <c r="AJ445" s="55">
        <f>VLOOKUP($E445,'NI-San_SP'!$C:$AN,MID(AJ$1,1,2),FALSE)</f>
        <v>0</v>
      </c>
      <c r="AK445" s="55">
        <f>VLOOKUP($E445,'NI-San_SP'!$C:$AN,MID(AK$1,1,2),FALSE)</f>
        <v>0</v>
      </c>
      <c r="AL445" s="55">
        <f>VLOOKUP($E445,'NI-San_SP'!$C:$AN,MID(AL$1,1,2),FALSE)</f>
        <v>0</v>
      </c>
      <c r="AM445" s="56">
        <f>VLOOKUP($E445,'NI-San_SP'!$C:$AN,MID(AM$1,1,2),FALSE)</f>
        <v>0</v>
      </c>
      <c r="AN445" s="30" t="str">
        <f t="shared" si="6"/>
        <v>20205010010000</v>
      </c>
    </row>
    <row r="446" spans="1:40" x14ac:dyDescent="0.25">
      <c r="C446" s="40"/>
      <c r="D446" s="57" t="s">
        <v>1670</v>
      </c>
      <c r="E446" s="57" t="s">
        <v>1671</v>
      </c>
      <c r="F446" s="58" t="s">
        <v>110</v>
      </c>
      <c r="G446" s="52"/>
      <c r="H446" s="52"/>
      <c r="I446" s="52"/>
      <c r="J446" s="52"/>
      <c r="K446" s="59" t="s">
        <v>79</v>
      </c>
      <c r="L446" s="52"/>
      <c r="M446" s="52"/>
      <c r="N446" s="52"/>
      <c r="O446" s="52"/>
      <c r="P446" s="76" t="s">
        <v>1672</v>
      </c>
      <c r="Q446" s="55">
        <f>VLOOKUP(E446,'NI-San_SP'!$C:$AN,12,FALSE)</f>
        <v>0</v>
      </c>
      <c r="R446" s="55">
        <f>VLOOKUP(E446,'NI-San_SP'!$C:$AN,13,FALSE)</f>
        <v>0</v>
      </c>
      <c r="S446" s="55">
        <f>VLOOKUP(E446,'NI-San_SP'!$C:$AN,31,FALSE)</f>
        <v>0</v>
      </c>
      <c r="T446" s="55">
        <f>VLOOKUP(E446,'NI-San_SP'!$C:$AN,32,FALSE)+VLOOKUP(E446,'NI-San_SP'!$C:$AN,33,FALSE)</f>
        <v>0</v>
      </c>
      <c r="U446" s="55">
        <f>VLOOKUP($E446,'NI-San_SP'!$C:$AN,MID(U$1,1,2),FALSE)</f>
        <v>0</v>
      </c>
      <c r="V446" s="55">
        <f>VLOOKUP($E446,'NI-San_SP'!$C:$AN,MID(V$1,1,2),FALSE)</f>
        <v>0</v>
      </c>
      <c r="W446" s="55">
        <f>VLOOKUP($E446,'NI-San_SP'!$C:$AN,MID(W$1,1,2),FALSE)</f>
        <v>0</v>
      </c>
      <c r="X446" s="55">
        <f>VLOOKUP($E446,'NI-San_SP'!$C:$AN,MID(X$1,1,2),FALSE)</f>
        <v>0</v>
      </c>
      <c r="Y446" s="55">
        <f>VLOOKUP($E446,'NI-San_SP'!$C:$AN,MID(Y$1,1,2),FALSE)</f>
        <v>0</v>
      </c>
      <c r="Z446" s="55">
        <f>VLOOKUP($E446,'NI-San_SP'!$C:$AN,MID(Z$1,1,2),FALSE)</f>
        <v>0</v>
      </c>
      <c r="AA446" s="55">
        <f>VLOOKUP($E446,'NI-San_SP'!$C:$AN,MID(AA$1,1,2),FALSE)</f>
        <v>0</v>
      </c>
      <c r="AB446" s="55">
        <f>VLOOKUP($E446,'NI-San_SP'!$C:$AN,MID(AB$1,1,2),FALSE)</f>
        <v>0</v>
      </c>
      <c r="AC446" s="55">
        <f>VLOOKUP($E446,'NI-San_SP'!$C:$AN,MID(AC$1,1,2),FALSE)</f>
        <v>0</v>
      </c>
      <c r="AD446" s="55">
        <f>VLOOKUP($E446,'NI-San_SP'!$C:$AN,MID(AD$1,1,2),FALSE)</f>
        <v>0</v>
      </c>
      <c r="AE446" s="55">
        <f>VLOOKUP($E446,'NI-San_SP'!$C:$AN,MID(AE$1,1,2),FALSE)</f>
        <v>0</v>
      </c>
      <c r="AF446" s="55">
        <f>VLOOKUP($E446,'NI-San_SP'!$C:$AN,MID(AF$1,1,2),FALSE)</f>
        <v>0</v>
      </c>
      <c r="AG446" s="55">
        <f>VLOOKUP($E446,'NI-San_SP'!$C:$AN,MID(AG$1,1,2),FALSE)</f>
        <v>0</v>
      </c>
      <c r="AH446" s="55">
        <f>VLOOKUP($E446,'NI-San_SP'!$C:$AN,MID(AH$1,1,2),FALSE)</f>
        <v>0</v>
      </c>
      <c r="AI446" s="55">
        <f>VLOOKUP($E446,'NI-San_SP'!$C:$AN,MID(AI$1,1,2),FALSE)</f>
        <v>0</v>
      </c>
      <c r="AJ446" s="55">
        <f>VLOOKUP($E446,'NI-San_SP'!$C:$AN,MID(AJ$1,1,2),FALSE)</f>
        <v>0</v>
      </c>
      <c r="AK446" s="55">
        <f>VLOOKUP($E446,'NI-San_SP'!$C:$AN,MID(AK$1,1,2),FALSE)</f>
        <v>0</v>
      </c>
      <c r="AL446" s="55">
        <f>VLOOKUP($E446,'NI-San_SP'!$C:$AN,MID(AL$1,1,2),FALSE)</f>
        <v>0</v>
      </c>
      <c r="AM446" s="56">
        <f>VLOOKUP($E446,'NI-San_SP'!$C:$AN,MID(AM$1,1,2),FALSE)</f>
        <v>0</v>
      </c>
      <c r="AN446" s="30" t="str">
        <f t="shared" si="6"/>
        <v>20205010020000</v>
      </c>
    </row>
    <row r="447" spans="1:40" x14ac:dyDescent="0.25">
      <c r="C447" s="40"/>
      <c r="D447" s="57" t="s">
        <v>1673</v>
      </c>
      <c r="E447" s="57" t="s">
        <v>1674</v>
      </c>
      <c r="F447" s="58" t="s">
        <v>110</v>
      </c>
      <c r="G447" s="52"/>
      <c r="H447" s="52"/>
      <c r="I447" s="65" t="s">
        <v>1675</v>
      </c>
      <c r="J447" s="52" t="s">
        <v>1675</v>
      </c>
      <c r="K447" s="59" t="s">
        <v>79</v>
      </c>
      <c r="L447" s="52"/>
      <c r="M447" s="52"/>
      <c r="N447" s="52"/>
      <c r="O447" s="52"/>
      <c r="P447" s="76" t="s">
        <v>1676</v>
      </c>
      <c r="Q447" s="55">
        <f>VLOOKUP(E447,'NI-San_SP'!$C:$AN,12,FALSE)</f>
        <v>0</v>
      </c>
      <c r="R447" s="55">
        <f>VLOOKUP(E447,'NI-San_SP'!$C:$AN,13,FALSE)</f>
        <v>0</v>
      </c>
      <c r="S447" s="55">
        <f>VLOOKUP(E447,'NI-San_SP'!$C:$AN,31,FALSE)</f>
        <v>0</v>
      </c>
      <c r="T447" s="55">
        <f>VLOOKUP(E447,'NI-San_SP'!$C:$AN,32,FALSE)+VLOOKUP(E447,'NI-San_SP'!$C:$AN,33,FALSE)</f>
        <v>0</v>
      </c>
      <c r="U447" s="55">
        <f>VLOOKUP($E447,'NI-San_SP'!$C:$AN,MID(U$1,1,2),FALSE)</f>
        <v>0</v>
      </c>
      <c r="V447" s="55">
        <f>VLOOKUP($E447,'NI-San_SP'!$C:$AN,MID(V$1,1,2),FALSE)</f>
        <v>0</v>
      </c>
      <c r="W447" s="55">
        <f>VLOOKUP($E447,'NI-San_SP'!$C:$AN,MID(W$1,1,2),FALSE)</f>
        <v>0</v>
      </c>
      <c r="X447" s="55">
        <f>VLOOKUP($E447,'NI-San_SP'!$C:$AN,MID(X$1,1,2),FALSE)</f>
        <v>0</v>
      </c>
      <c r="Y447" s="55">
        <f>VLOOKUP($E447,'NI-San_SP'!$C:$AN,MID(Y$1,1,2),FALSE)</f>
        <v>0</v>
      </c>
      <c r="Z447" s="55">
        <f>VLOOKUP($E447,'NI-San_SP'!$C:$AN,MID(Z$1,1,2),FALSE)</f>
        <v>0</v>
      </c>
      <c r="AA447" s="55">
        <f>VLOOKUP($E447,'NI-San_SP'!$C:$AN,MID(AA$1,1,2),FALSE)</f>
        <v>0</v>
      </c>
      <c r="AB447" s="55">
        <f>VLOOKUP($E447,'NI-San_SP'!$C:$AN,MID(AB$1,1,2),FALSE)</f>
        <v>0</v>
      </c>
      <c r="AC447" s="55">
        <f>VLOOKUP($E447,'NI-San_SP'!$C:$AN,MID(AC$1,1,2),FALSE)</f>
        <v>0</v>
      </c>
      <c r="AD447" s="55">
        <f>VLOOKUP($E447,'NI-San_SP'!$C:$AN,MID(AD$1,1,2),FALSE)</f>
        <v>0</v>
      </c>
      <c r="AE447" s="55">
        <f>VLOOKUP($E447,'NI-San_SP'!$C:$AN,MID(AE$1,1,2),FALSE)</f>
        <v>0</v>
      </c>
      <c r="AF447" s="55">
        <f>VLOOKUP($E447,'NI-San_SP'!$C:$AN,MID(AF$1,1,2),FALSE)</f>
        <v>0</v>
      </c>
      <c r="AG447" s="55">
        <f>VLOOKUP($E447,'NI-San_SP'!$C:$AN,MID(AG$1,1,2),FALSE)</f>
        <v>0</v>
      </c>
      <c r="AH447" s="55">
        <f>VLOOKUP($E447,'NI-San_SP'!$C:$AN,MID(AH$1,1,2),FALSE)</f>
        <v>0</v>
      </c>
      <c r="AI447" s="55">
        <f>VLOOKUP($E447,'NI-San_SP'!$C:$AN,MID(AI$1,1,2),FALSE)</f>
        <v>0</v>
      </c>
      <c r="AJ447" s="55">
        <f>VLOOKUP($E447,'NI-San_SP'!$C:$AN,MID(AJ$1,1,2),FALSE)</f>
        <v>0</v>
      </c>
      <c r="AK447" s="55">
        <f>VLOOKUP($E447,'NI-San_SP'!$C:$AN,MID(AK$1,1,2),FALSE)</f>
        <v>0</v>
      </c>
      <c r="AL447" s="55">
        <f>VLOOKUP($E447,'NI-San_SP'!$C:$AN,MID(AL$1,1,2),FALSE)</f>
        <v>0</v>
      </c>
      <c r="AM447" s="56">
        <f>VLOOKUP($E447,'NI-San_SP'!$C:$AN,MID(AM$1,1,2),FALSE)</f>
        <v>0</v>
      </c>
      <c r="AN447" s="30" t="str">
        <f t="shared" si="6"/>
        <v>20205020000000</v>
      </c>
    </row>
    <row r="448" spans="1:40" x14ac:dyDescent="0.25">
      <c r="C448" s="40"/>
      <c r="D448" s="57" t="s">
        <v>1677</v>
      </c>
      <c r="E448" s="57" t="s">
        <v>1678</v>
      </c>
      <c r="F448" s="58" t="s">
        <v>110</v>
      </c>
      <c r="G448" s="52"/>
      <c r="H448" s="52"/>
      <c r="I448" s="52" t="s">
        <v>1679</v>
      </c>
      <c r="J448" s="52" t="s">
        <v>1679</v>
      </c>
      <c r="K448" s="59" t="s">
        <v>79</v>
      </c>
      <c r="L448" s="52"/>
      <c r="M448" s="52"/>
      <c r="N448" s="52"/>
      <c r="O448" s="52"/>
      <c r="P448" s="76" t="s">
        <v>1680</v>
      </c>
      <c r="Q448" s="55">
        <f>VLOOKUP(E448,'NI-San_SP'!$C:$AN,12,FALSE)</f>
        <v>0</v>
      </c>
      <c r="R448" s="55">
        <f>VLOOKUP(E448,'NI-San_SP'!$C:$AN,13,FALSE)</f>
        <v>0</v>
      </c>
      <c r="S448" s="55">
        <f>VLOOKUP(E448,'NI-San_SP'!$C:$AN,31,FALSE)</f>
        <v>0</v>
      </c>
      <c r="T448" s="55">
        <f>VLOOKUP(E448,'NI-San_SP'!$C:$AN,32,FALSE)+VLOOKUP(E448,'NI-San_SP'!$C:$AN,33,FALSE)</f>
        <v>0</v>
      </c>
      <c r="U448" s="55">
        <f>VLOOKUP($E448,'NI-San_SP'!$C:$AN,MID(U$1,1,2),FALSE)</f>
        <v>0</v>
      </c>
      <c r="V448" s="55">
        <f>VLOOKUP($E448,'NI-San_SP'!$C:$AN,MID(V$1,1,2),FALSE)</f>
        <v>0</v>
      </c>
      <c r="W448" s="55">
        <f>VLOOKUP($E448,'NI-San_SP'!$C:$AN,MID(W$1,1,2),FALSE)</f>
        <v>0</v>
      </c>
      <c r="X448" s="55">
        <f>VLOOKUP($E448,'NI-San_SP'!$C:$AN,MID(X$1,1,2),FALSE)</f>
        <v>0</v>
      </c>
      <c r="Y448" s="55">
        <f>VLOOKUP($E448,'NI-San_SP'!$C:$AN,MID(Y$1,1,2),FALSE)</f>
        <v>0</v>
      </c>
      <c r="Z448" s="55">
        <f>VLOOKUP($E448,'NI-San_SP'!$C:$AN,MID(Z$1,1,2),FALSE)</f>
        <v>0</v>
      </c>
      <c r="AA448" s="55">
        <f>VLOOKUP($E448,'NI-San_SP'!$C:$AN,MID(AA$1,1,2),FALSE)</f>
        <v>0</v>
      </c>
      <c r="AB448" s="55">
        <f>VLOOKUP($E448,'NI-San_SP'!$C:$AN,MID(AB$1,1,2),FALSE)</f>
        <v>0</v>
      </c>
      <c r="AC448" s="55">
        <f>VLOOKUP($E448,'NI-San_SP'!$C:$AN,MID(AC$1,1,2),FALSE)</f>
        <v>0</v>
      </c>
      <c r="AD448" s="55">
        <f>VLOOKUP($E448,'NI-San_SP'!$C:$AN,MID(AD$1,1,2),FALSE)</f>
        <v>0</v>
      </c>
      <c r="AE448" s="55">
        <f>VLOOKUP($E448,'NI-San_SP'!$C:$AN,MID(AE$1,1,2),FALSE)</f>
        <v>0</v>
      </c>
      <c r="AF448" s="55">
        <f>VLOOKUP($E448,'NI-San_SP'!$C:$AN,MID(AF$1,1,2),FALSE)</f>
        <v>0</v>
      </c>
      <c r="AG448" s="55">
        <f>VLOOKUP($E448,'NI-San_SP'!$C:$AN,MID(AG$1,1,2),FALSE)</f>
        <v>0</v>
      </c>
      <c r="AH448" s="55">
        <f>VLOOKUP($E448,'NI-San_SP'!$C:$AN,MID(AH$1,1,2),FALSE)</f>
        <v>0</v>
      </c>
      <c r="AI448" s="55">
        <f>VLOOKUP($E448,'NI-San_SP'!$C:$AN,MID(AI$1,1,2),FALSE)</f>
        <v>0</v>
      </c>
      <c r="AJ448" s="55">
        <f>VLOOKUP($E448,'NI-San_SP'!$C:$AN,MID(AJ$1,1,2),FALSE)</f>
        <v>0</v>
      </c>
      <c r="AK448" s="55">
        <f>VLOOKUP($E448,'NI-San_SP'!$C:$AN,MID(AK$1,1,2),FALSE)</f>
        <v>0</v>
      </c>
      <c r="AL448" s="55">
        <f>VLOOKUP($E448,'NI-San_SP'!$C:$AN,MID(AL$1,1,2),FALSE)</f>
        <v>0</v>
      </c>
      <c r="AM448" s="56">
        <f>VLOOKUP($E448,'NI-San_SP'!$C:$AN,MID(AM$1,1,2),FALSE)</f>
        <v>0</v>
      </c>
      <c r="AN448" s="30" t="str">
        <f t="shared" si="6"/>
        <v>20205030000000</v>
      </c>
    </row>
    <row r="449" spans="3:40" x14ac:dyDescent="0.25">
      <c r="C449" s="40"/>
      <c r="D449" s="57" t="s">
        <v>1681</v>
      </c>
      <c r="E449" s="57" t="s">
        <v>1682</v>
      </c>
      <c r="F449" s="58" t="s">
        <v>110</v>
      </c>
      <c r="G449" s="52"/>
      <c r="H449" s="52"/>
      <c r="I449" s="52" t="s">
        <v>1683</v>
      </c>
      <c r="J449" s="52" t="s">
        <v>1683</v>
      </c>
      <c r="K449" s="59" t="s">
        <v>79</v>
      </c>
      <c r="L449" s="62" t="s">
        <v>1684</v>
      </c>
      <c r="M449" s="52"/>
      <c r="N449" s="52"/>
      <c r="O449" s="61" t="s">
        <v>1685</v>
      </c>
      <c r="P449" s="76" t="s">
        <v>1686</v>
      </c>
      <c r="Q449" s="55">
        <f>VLOOKUP(E449,'NI-San_SP'!$C:$AN,12,FALSE)</f>
        <v>0</v>
      </c>
      <c r="R449" s="55">
        <f>VLOOKUP(E449,'NI-San_SP'!$C:$AN,13,FALSE)</f>
        <v>1087</v>
      </c>
      <c r="S449" s="55">
        <f>VLOOKUP(E449,'NI-San_SP'!$C:$AN,31,FALSE)</f>
        <v>0</v>
      </c>
      <c r="T449" s="55">
        <f>VLOOKUP(E449,'NI-San_SP'!$C:$AN,32,FALSE)+VLOOKUP(E449,'NI-San_SP'!$C:$AN,33,FALSE)</f>
        <v>0</v>
      </c>
      <c r="U449" s="55">
        <f>VLOOKUP($E449,'NI-San_SP'!$C:$AN,MID(U$1,1,2),FALSE)</f>
        <v>0</v>
      </c>
      <c r="V449" s="55">
        <f>VLOOKUP($E449,'NI-San_SP'!$C:$AN,MID(V$1,1,2),FALSE)</f>
        <v>0</v>
      </c>
      <c r="W449" s="55">
        <f>VLOOKUP($E449,'NI-San_SP'!$C:$AN,MID(W$1,1,2),FALSE)</f>
        <v>0</v>
      </c>
      <c r="X449" s="55">
        <f>VLOOKUP($E449,'NI-San_SP'!$C:$AN,MID(X$1,1,2),FALSE)</f>
        <v>0</v>
      </c>
      <c r="Y449" s="55">
        <f>VLOOKUP($E449,'NI-San_SP'!$C:$AN,MID(Y$1,1,2),FALSE)</f>
        <v>220911</v>
      </c>
      <c r="Z449" s="55">
        <f>VLOOKUP($E449,'NI-San_SP'!$C:$AN,MID(Z$1,1,2),FALSE)</f>
        <v>0</v>
      </c>
      <c r="AA449" s="55">
        <f>VLOOKUP($E449,'NI-San_SP'!$C:$AN,MID(AA$1,1,2),FALSE)</f>
        <v>0</v>
      </c>
      <c r="AB449" s="55">
        <f>VLOOKUP($E449,'NI-San_SP'!$C:$AN,MID(AB$1,1,2),FALSE)</f>
        <v>219824</v>
      </c>
      <c r="AC449" s="55">
        <f>VLOOKUP($E449,'NI-San_SP'!$C:$AN,MID(AC$1,1,2),FALSE)</f>
        <v>1087</v>
      </c>
      <c r="AD449" s="55">
        <f>VLOOKUP($E449,'NI-San_SP'!$C:$AN,MID(AD$1,1,2),FALSE)</f>
        <v>0</v>
      </c>
      <c r="AE449" s="55">
        <f>VLOOKUP($E449,'NI-San_SP'!$C:$AN,MID(AE$1,1,2),FALSE)</f>
        <v>0</v>
      </c>
      <c r="AF449" s="55">
        <f>VLOOKUP($E449,'NI-San_SP'!$C:$AN,MID(AF$1,1,2),FALSE)</f>
        <v>0</v>
      </c>
      <c r="AG449" s="55">
        <f>VLOOKUP($E449,'NI-San_SP'!$C:$AN,MID(AG$1,1,2),FALSE)</f>
        <v>0</v>
      </c>
      <c r="AH449" s="55">
        <f>VLOOKUP($E449,'NI-San_SP'!$C:$AN,MID(AH$1,1,2),FALSE)</f>
        <v>0</v>
      </c>
      <c r="AI449" s="55">
        <f>VLOOKUP($E449,'NI-San_SP'!$C:$AN,MID(AI$1,1,2),FALSE)</f>
        <v>0</v>
      </c>
      <c r="AJ449" s="55">
        <f>VLOOKUP($E449,'NI-San_SP'!$C:$AN,MID(AJ$1,1,2),FALSE)</f>
        <v>0</v>
      </c>
      <c r="AK449" s="55">
        <f>VLOOKUP($E449,'NI-San_SP'!$C:$AN,MID(AK$1,1,2),FALSE)</f>
        <v>0</v>
      </c>
      <c r="AL449" s="55">
        <f>VLOOKUP($E449,'NI-San_SP'!$C:$AN,MID(AL$1,1,2),FALSE)</f>
        <v>0</v>
      </c>
      <c r="AM449" s="56">
        <f>VLOOKUP($E449,'NI-San_SP'!$C:$AN,MID(AM$1,1,2),FALSE)</f>
        <v>0</v>
      </c>
      <c r="AN449" s="30" t="str">
        <f t="shared" si="6"/>
        <v>20206000000000</v>
      </c>
    </row>
    <row r="450" spans="3:40" x14ac:dyDescent="0.25">
      <c r="C450" s="40"/>
      <c r="D450" s="57" t="s">
        <v>1687</v>
      </c>
      <c r="E450" s="57" t="s">
        <v>1688</v>
      </c>
      <c r="F450" s="58" t="s">
        <v>110</v>
      </c>
      <c r="G450" s="52"/>
      <c r="H450" s="52"/>
      <c r="I450" s="65"/>
      <c r="J450" s="52"/>
      <c r="K450" s="59" t="s">
        <v>111</v>
      </c>
      <c r="L450" s="62" t="s">
        <v>1689</v>
      </c>
      <c r="M450" s="52"/>
      <c r="N450" s="52"/>
      <c r="O450" s="61"/>
      <c r="P450" s="76" t="s">
        <v>1690</v>
      </c>
      <c r="Q450" s="55">
        <f>VLOOKUP(E450,'NI-San_SP'!$C:$AN,12,FALSE)</f>
        <v>3075665</v>
      </c>
      <c r="R450" s="55">
        <f>VLOOKUP(E450,'NI-San_SP'!$C:$AN,13,FALSE)</f>
        <v>3236937</v>
      </c>
      <c r="S450" s="55">
        <f>VLOOKUP(E450,'NI-San_SP'!$C:$AN,31,FALSE)</f>
        <v>29031</v>
      </c>
      <c r="T450" s="55">
        <f>VLOOKUP(E450,'NI-San_SP'!$C:$AN,32,FALSE)+VLOOKUP(E450,'NI-San_SP'!$C:$AN,33,FALSE)</f>
        <v>443442</v>
      </c>
      <c r="U450" s="55">
        <f>VLOOKUP($E450,'NI-San_SP'!$C:$AN,MID(U$1,1,2),FALSE)</f>
        <v>0</v>
      </c>
      <c r="V450" s="55">
        <f>VLOOKUP($E450,'NI-San_SP'!$C:$AN,MID(V$1,1,2),FALSE)</f>
        <v>3143156</v>
      </c>
      <c r="W450" s="55">
        <f>VLOOKUP($E450,'NI-San_SP'!$C:$AN,MID(W$1,1,2),FALSE)</f>
        <v>0</v>
      </c>
      <c r="X450" s="55">
        <f>VLOOKUP($E450,'NI-San_SP'!$C:$AN,MID(X$1,1,2),FALSE)</f>
        <v>0</v>
      </c>
      <c r="Y450" s="55">
        <f>VLOOKUP($E450,'NI-San_SP'!$C:$AN,MID(Y$1,1,2),FALSE)</f>
        <v>11822531</v>
      </c>
      <c r="Z450" s="55">
        <f>VLOOKUP($E450,'NI-San_SP'!$C:$AN,MID(Z$1,1,2),FALSE)</f>
        <v>2333966</v>
      </c>
      <c r="AA450" s="55">
        <f>VLOOKUP($E450,'NI-San_SP'!$C:$AN,MID(AA$1,1,2),FALSE)</f>
        <v>0</v>
      </c>
      <c r="AB450" s="55">
        <f>VLOOKUP($E450,'NI-San_SP'!$C:$AN,MID(AB$1,1,2),FALSE)</f>
        <v>9282260</v>
      </c>
      <c r="AC450" s="55">
        <f>VLOOKUP($E450,'NI-San_SP'!$C:$AN,MID(AC$1,1,2),FALSE)</f>
        <v>3349461</v>
      </c>
      <c r="AD450" s="55">
        <f>VLOOKUP($E450,'NI-San_SP'!$C:$AN,MID(AD$1,1,2),FALSE)</f>
        <v>652187</v>
      </c>
      <c r="AE450" s="55">
        <f>VLOOKUP($E450,'NI-San_SP'!$C:$AN,MID(AE$1,1,2),FALSE)</f>
        <v>67491</v>
      </c>
      <c r="AF450" s="55">
        <f>VLOOKUP($E450,'NI-San_SP'!$C:$AN,MID(AF$1,1,2),FALSE)</f>
        <v>0</v>
      </c>
      <c r="AG450" s="55">
        <f>VLOOKUP($E450,'NI-San_SP'!$C:$AN,MID(AG$1,1,2),FALSE)</f>
        <v>6967</v>
      </c>
      <c r="AH450" s="55">
        <f>VLOOKUP($E450,'NI-San_SP'!$C:$AN,MID(AH$1,1,2),FALSE)</f>
        <v>52000</v>
      </c>
      <c r="AI450" s="55">
        <f>VLOOKUP($E450,'NI-San_SP'!$C:$AN,MID(AI$1,1,2),FALSE)</f>
        <v>112524</v>
      </c>
      <c r="AJ450" s="55">
        <f>VLOOKUP($E450,'NI-San_SP'!$C:$AN,MID(AJ$1,1,2),FALSE)</f>
        <v>99003</v>
      </c>
      <c r="AK450" s="55">
        <f>VLOOKUP($E450,'NI-San_SP'!$C:$AN,MID(AK$1,1,2),FALSE)</f>
        <v>29031</v>
      </c>
      <c r="AL450" s="55">
        <f>VLOOKUP($E450,'NI-San_SP'!$C:$AN,MID(AL$1,1,2),FALSE)</f>
        <v>52538</v>
      </c>
      <c r="AM450" s="56">
        <f>VLOOKUP($E450,'NI-San_SP'!$C:$AN,MID(AM$1,1,2),FALSE)</f>
        <v>390904</v>
      </c>
      <c r="AN450" s="30" t="str">
        <f t="shared" ref="AN450:AN513" si="7">D450</f>
        <v>20207000000000</v>
      </c>
    </row>
    <row r="451" spans="3:40" x14ac:dyDescent="0.25">
      <c r="C451" s="40"/>
      <c r="D451" s="57" t="s">
        <v>1691</v>
      </c>
      <c r="E451" s="57" t="s">
        <v>1692</v>
      </c>
      <c r="F451" s="58" t="s">
        <v>110</v>
      </c>
      <c r="G451" s="52"/>
      <c r="H451" s="52"/>
      <c r="I451" s="52"/>
      <c r="J451" s="52"/>
      <c r="K451" s="59" t="s">
        <v>111</v>
      </c>
      <c r="L451" s="52"/>
      <c r="M451" s="52"/>
      <c r="N451" s="52"/>
      <c r="O451" s="61"/>
      <c r="P451" s="76" t="s">
        <v>1693</v>
      </c>
      <c r="Q451" s="55">
        <f>VLOOKUP(E451,'NI-San_SP'!$C:$AN,12,FALSE)</f>
        <v>2137308</v>
      </c>
      <c r="R451" s="55">
        <f>VLOOKUP(E451,'NI-San_SP'!$C:$AN,13,FALSE)</f>
        <v>2554509</v>
      </c>
      <c r="S451" s="55">
        <f>VLOOKUP(E451,'NI-San_SP'!$C:$AN,31,FALSE)</f>
        <v>0</v>
      </c>
      <c r="T451" s="55">
        <f>VLOOKUP(E451,'NI-San_SP'!$C:$AN,32,FALSE)+VLOOKUP(E451,'NI-San_SP'!$C:$AN,33,FALSE)</f>
        <v>0</v>
      </c>
      <c r="U451" s="55">
        <f>VLOOKUP($E451,'NI-San_SP'!$C:$AN,MID(U$1,1,2),FALSE)</f>
        <v>0</v>
      </c>
      <c r="V451" s="55">
        <f>VLOOKUP($E451,'NI-San_SP'!$C:$AN,MID(V$1,1,2),FALSE)</f>
        <v>0</v>
      </c>
      <c r="W451" s="55">
        <f>VLOOKUP($E451,'NI-San_SP'!$C:$AN,MID(W$1,1,2),FALSE)</f>
        <v>0</v>
      </c>
      <c r="X451" s="55">
        <f>VLOOKUP($E451,'NI-San_SP'!$C:$AN,MID(X$1,1,2),FALSE)</f>
        <v>0</v>
      </c>
      <c r="Y451" s="55">
        <f>VLOOKUP($E451,'NI-San_SP'!$C:$AN,MID(Y$1,1,2),FALSE)</f>
        <v>0</v>
      </c>
      <c r="Z451" s="55">
        <f>VLOOKUP($E451,'NI-San_SP'!$C:$AN,MID(Z$1,1,2),FALSE)</f>
        <v>0</v>
      </c>
      <c r="AA451" s="55">
        <f>VLOOKUP($E451,'NI-San_SP'!$C:$AN,MID(AA$1,1,2),FALSE)</f>
        <v>0</v>
      </c>
      <c r="AB451" s="55">
        <f>VLOOKUP($E451,'NI-San_SP'!$C:$AN,MID(AB$1,1,2),FALSE)</f>
        <v>0</v>
      </c>
      <c r="AC451" s="55">
        <f>VLOOKUP($E451,'NI-San_SP'!$C:$AN,MID(AC$1,1,2),FALSE)</f>
        <v>0</v>
      </c>
      <c r="AD451" s="55">
        <f>VLOOKUP($E451,'NI-San_SP'!$C:$AN,MID(AD$1,1,2),FALSE)</f>
        <v>0</v>
      </c>
      <c r="AE451" s="55">
        <f>VLOOKUP($E451,'NI-San_SP'!$C:$AN,MID(AE$1,1,2),FALSE)</f>
        <v>0</v>
      </c>
      <c r="AF451" s="55">
        <f>VLOOKUP($E451,'NI-San_SP'!$C:$AN,MID(AF$1,1,2),FALSE)</f>
        <v>0</v>
      </c>
      <c r="AG451" s="55">
        <f>VLOOKUP($E451,'NI-San_SP'!$C:$AN,MID(AG$1,1,2),FALSE)</f>
        <v>0</v>
      </c>
      <c r="AH451" s="55">
        <f>VLOOKUP($E451,'NI-San_SP'!$C:$AN,MID(AH$1,1,2),FALSE)</f>
        <v>0</v>
      </c>
      <c r="AI451" s="55">
        <f>VLOOKUP($E451,'NI-San_SP'!$C:$AN,MID(AI$1,1,2),FALSE)</f>
        <v>0</v>
      </c>
      <c r="AJ451" s="55">
        <f>VLOOKUP($E451,'NI-San_SP'!$C:$AN,MID(AJ$1,1,2),FALSE)</f>
        <v>0</v>
      </c>
      <c r="AK451" s="55">
        <f>VLOOKUP($E451,'NI-San_SP'!$C:$AN,MID(AK$1,1,2),FALSE)</f>
        <v>0</v>
      </c>
      <c r="AL451" s="55">
        <f>VLOOKUP($E451,'NI-San_SP'!$C:$AN,MID(AL$1,1,2),FALSE)</f>
        <v>0</v>
      </c>
      <c r="AM451" s="56">
        <f>VLOOKUP($E451,'NI-San_SP'!$C:$AN,MID(AM$1,1,2),FALSE)</f>
        <v>0</v>
      </c>
      <c r="AN451" s="30" t="str">
        <f t="shared" si="7"/>
        <v>20207010000000</v>
      </c>
    </row>
    <row r="452" spans="3:40" x14ac:dyDescent="0.25">
      <c r="C452" s="40"/>
      <c r="D452" s="57" t="s">
        <v>1694</v>
      </c>
      <c r="E452" s="57" t="s">
        <v>1695</v>
      </c>
      <c r="F452" s="58" t="s">
        <v>110</v>
      </c>
      <c r="G452" s="52"/>
      <c r="H452" s="52"/>
      <c r="I452" s="52" t="s">
        <v>1696</v>
      </c>
      <c r="J452" s="52" t="s">
        <v>1696</v>
      </c>
      <c r="K452" s="59" t="s">
        <v>79</v>
      </c>
      <c r="L452" s="52"/>
      <c r="M452" s="52"/>
      <c r="N452" s="52"/>
      <c r="O452" s="61" t="s">
        <v>1697</v>
      </c>
      <c r="P452" s="76" t="s">
        <v>1698</v>
      </c>
      <c r="Q452" s="55">
        <f>VLOOKUP(E452,'NI-San_SP'!$C:$AN,12,FALSE)</f>
        <v>1236070</v>
      </c>
      <c r="R452" s="55">
        <f>VLOOKUP(E452,'NI-San_SP'!$C:$AN,13,FALSE)</f>
        <v>2406565</v>
      </c>
      <c r="S452" s="55">
        <f>VLOOKUP(E452,'NI-San_SP'!$C:$AN,31,FALSE)</f>
        <v>29031</v>
      </c>
      <c r="T452" s="55">
        <f>VLOOKUP(E452,'NI-San_SP'!$C:$AN,32,FALSE)+VLOOKUP(E452,'NI-San_SP'!$C:$AN,33,FALSE)</f>
        <v>389606</v>
      </c>
      <c r="U452" s="55">
        <f>VLOOKUP($E452,'NI-San_SP'!$C:$AN,MID(U$1,1,2),FALSE)</f>
        <v>0</v>
      </c>
      <c r="V452" s="55">
        <f>VLOOKUP($E452,'NI-San_SP'!$C:$AN,MID(V$1,1,2),FALSE)</f>
        <v>1303561</v>
      </c>
      <c r="W452" s="55">
        <f>VLOOKUP($E452,'NI-San_SP'!$C:$AN,MID(W$1,1,2),FALSE)</f>
        <v>0</v>
      </c>
      <c r="X452" s="55">
        <f>VLOOKUP($E452,'NI-San_SP'!$C:$AN,MID(X$1,1,2),FALSE)</f>
        <v>0</v>
      </c>
      <c r="Y452" s="55">
        <f>VLOOKUP($E452,'NI-San_SP'!$C:$AN,MID(Y$1,1,2),FALSE)</f>
        <v>8336124</v>
      </c>
      <c r="Z452" s="55">
        <f>VLOOKUP($E452,'NI-San_SP'!$C:$AN,MID(Z$1,1,2),FALSE)</f>
        <v>718430</v>
      </c>
      <c r="AA452" s="55">
        <f>VLOOKUP($E452,'NI-San_SP'!$C:$AN,MID(AA$1,1,2),FALSE)</f>
        <v>0</v>
      </c>
      <c r="AB452" s="55">
        <f>VLOOKUP($E452,'NI-San_SP'!$C:$AN,MID(AB$1,1,2),FALSE)</f>
        <v>6402166</v>
      </c>
      <c r="AC452" s="55">
        <f>VLOOKUP($E452,'NI-San_SP'!$C:$AN,MID(AC$1,1,2),FALSE)</f>
        <v>2519089</v>
      </c>
      <c r="AD452" s="55">
        <f>VLOOKUP($E452,'NI-San_SP'!$C:$AN,MID(AD$1,1,2),FALSE)</f>
        <v>631039</v>
      </c>
      <c r="AE452" s="55">
        <f>VLOOKUP($E452,'NI-San_SP'!$C:$AN,MID(AE$1,1,2),FALSE)</f>
        <v>67491</v>
      </c>
      <c r="AF452" s="55">
        <f>VLOOKUP($E452,'NI-San_SP'!$C:$AN,MID(AF$1,1,2),FALSE)</f>
        <v>0</v>
      </c>
      <c r="AG452" s="55">
        <f>VLOOKUP($E452,'NI-San_SP'!$C:$AN,MID(AG$1,1,2),FALSE)</f>
        <v>6967</v>
      </c>
      <c r="AH452" s="55">
        <f>VLOOKUP($E452,'NI-San_SP'!$C:$AN,MID(AH$1,1,2),FALSE)</f>
        <v>52000</v>
      </c>
      <c r="AI452" s="55">
        <f>VLOOKUP($E452,'NI-San_SP'!$C:$AN,MID(AI$1,1,2),FALSE)</f>
        <v>112524</v>
      </c>
      <c r="AJ452" s="55">
        <f>VLOOKUP($E452,'NI-San_SP'!$C:$AN,MID(AJ$1,1,2),FALSE)</f>
        <v>99003</v>
      </c>
      <c r="AK452" s="55">
        <f>VLOOKUP($E452,'NI-San_SP'!$C:$AN,MID(AK$1,1,2),FALSE)</f>
        <v>29031</v>
      </c>
      <c r="AL452" s="55">
        <f>VLOOKUP($E452,'NI-San_SP'!$C:$AN,MID(AL$1,1,2),FALSE)</f>
        <v>52538</v>
      </c>
      <c r="AM452" s="56">
        <f>VLOOKUP($E452,'NI-San_SP'!$C:$AN,MID(AM$1,1,2),FALSE)</f>
        <v>337068</v>
      </c>
      <c r="AN452" s="30" t="str">
        <f t="shared" si="7"/>
        <v>20207010010000</v>
      </c>
    </row>
    <row r="453" spans="3:40" x14ac:dyDescent="0.25">
      <c r="C453" s="40"/>
      <c r="D453" s="57" t="s">
        <v>1437</v>
      </c>
      <c r="E453" s="57" t="s">
        <v>1699</v>
      </c>
      <c r="F453" s="58" t="s">
        <v>110</v>
      </c>
      <c r="G453" s="52"/>
      <c r="H453" s="52"/>
      <c r="I453" s="52" t="s">
        <v>1696</v>
      </c>
      <c r="J453" s="52" t="s">
        <v>1696</v>
      </c>
      <c r="K453" s="59" t="s">
        <v>79</v>
      </c>
      <c r="L453" s="52"/>
      <c r="M453" s="52"/>
      <c r="N453" s="52"/>
      <c r="O453" s="61" t="s">
        <v>1697</v>
      </c>
      <c r="P453" s="76" t="s">
        <v>1700</v>
      </c>
      <c r="Q453" s="55">
        <f>VLOOKUP(E453,'NI-San_SP'!$C:$AN,12,FALSE)</f>
        <v>901238</v>
      </c>
      <c r="R453" s="55">
        <f>VLOOKUP(E453,'NI-San_SP'!$C:$AN,13,FALSE)</f>
        <v>147944</v>
      </c>
      <c r="S453" s="55">
        <f>VLOOKUP(E453,'NI-San_SP'!$C:$AN,31,FALSE)</f>
        <v>0</v>
      </c>
      <c r="T453" s="55">
        <f>VLOOKUP(E453,'NI-San_SP'!$C:$AN,32,FALSE)+VLOOKUP(E453,'NI-San_SP'!$C:$AN,33,FALSE)</f>
        <v>0</v>
      </c>
      <c r="U453" s="55">
        <f>VLOOKUP($E453,'NI-San_SP'!$C:$AN,MID(U$1,1,2),FALSE)</f>
        <v>0</v>
      </c>
      <c r="V453" s="55">
        <f>VLOOKUP($E453,'NI-San_SP'!$C:$AN,MID(V$1,1,2),FALSE)</f>
        <v>901238</v>
      </c>
      <c r="W453" s="55">
        <f>VLOOKUP($E453,'NI-San_SP'!$C:$AN,MID(W$1,1,2),FALSE)</f>
        <v>0</v>
      </c>
      <c r="X453" s="55">
        <f>VLOOKUP($E453,'NI-San_SP'!$C:$AN,MID(X$1,1,2),FALSE)</f>
        <v>0</v>
      </c>
      <c r="Y453" s="55">
        <f>VLOOKUP($E453,'NI-San_SP'!$C:$AN,MID(Y$1,1,2),FALSE)</f>
        <v>147944</v>
      </c>
      <c r="Z453" s="55">
        <f>VLOOKUP($E453,'NI-San_SP'!$C:$AN,MID(Z$1,1,2),FALSE)</f>
        <v>901238</v>
      </c>
      <c r="AA453" s="55">
        <f>VLOOKUP($E453,'NI-San_SP'!$C:$AN,MID(AA$1,1,2),FALSE)</f>
        <v>0</v>
      </c>
      <c r="AB453" s="55">
        <f>VLOOKUP($E453,'NI-San_SP'!$C:$AN,MID(AB$1,1,2),FALSE)</f>
        <v>0</v>
      </c>
      <c r="AC453" s="55">
        <f>VLOOKUP($E453,'NI-San_SP'!$C:$AN,MID(AC$1,1,2),FALSE)</f>
        <v>147944</v>
      </c>
      <c r="AD453" s="55">
        <f>VLOOKUP($E453,'NI-San_SP'!$C:$AN,MID(AD$1,1,2),FALSE)</f>
        <v>0</v>
      </c>
      <c r="AE453" s="55">
        <f>VLOOKUP($E453,'NI-San_SP'!$C:$AN,MID(AE$1,1,2),FALSE)</f>
        <v>0</v>
      </c>
      <c r="AF453" s="55">
        <f>VLOOKUP($E453,'NI-San_SP'!$C:$AN,MID(AF$1,1,2),FALSE)</f>
        <v>0</v>
      </c>
      <c r="AG453" s="55">
        <f>VLOOKUP($E453,'NI-San_SP'!$C:$AN,MID(AG$1,1,2),FALSE)</f>
        <v>0</v>
      </c>
      <c r="AH453" s="55">
        <f>VLOOKUP($E453,'NI-San_SP'!$C:$AN,MID(AH$1,1,2),FALSE)</f>
        <v>0</v>
      </c>
      <c r="AI453" s="55">
        <f>VLOOKUP($E453,'NI-San_SP'!$C:$AN,MID(AI$1,1,2),FALSE)</f>
        <v>0</v>
      </c>
      <c r="AJ453" s="55">
        <f>VLOOKUP($E453,'NI-San_SP'!$C:$AN,MID(AJ$1,1,2),FALSE)</f>
        <v>0</v>
      </c>
      <c r="AK453" s="55">
        <f>VLOOKUP($E453,'NI-San_SP'!$C:$AN,MID(AK$1,1,2),FALSE)</f>
        <v>0</v>
      </c>
      <c r="AL453" s="55">
        <f>VLOOKUP($E453,'NI-San_SP'!$C:$AN,MID(AL$1,1,2),FALSE)</f>
        <v>0</v>
      </c>
      <c r="AM453" s="56">
        <f>VLOOKUP($E453,'NI-San_SP'!$C:$AN,MID(AM$1,1,2),FALSE)</f>
        <v>0</v>
      </c>
      <c r="AN453" s="30" t="str">
        <f t="shared" si="7"/>
        <v>20202005000000</v>
      </c>
    </row>
    <row r="454" spans="3:40" x14ac:dyDescent="0.25">
      <c r="C454" s="40"/>
      <c r="D454" s="57" t="s">
        <v>1701</v>
      </c>
      <c r="E454" s="57" t="s">
        <v>1702</v>
      </c>
      <c r="F454" s="58" t="s">
        <v>110</v>
      </c>
      <c r="G454" s="52"/>
      <c r="H454" s="52"/>
      <c r="I454" s="52" t="s">
        <v>1703</v>
      </c>
      <c r="J454" s="52" t="s">
        <v>1703</v>
      </c>
      <c r="K454" s="59" t="s">
        <v>79</v>
      </c>
      <c r="L454" s="52"/>
      <c r="M454" s="52"/>
      <c r="N454" s="52"/>
      <c r="O454" s="61" t="s">
        <v>1697</v>
      </c>
      <c r="P454" s="76" t="s">
        <v>1704</v>
      </c>
      <c r="Q454" s="55">
        <f>VLOOKUP(E454,'NI-San_SP'!$C:$AN,12,FALSE)</f>
        <v>0</v>
      </c>
      <c r="R454" s="55">
        <f>VLOOKUP(E454,'NI-San_SP'!$C:$AN,13,FALSE)</f>
        <v>0</v>
      </c>
      <c r="S454" s="55">
        <f>VLOOKUP(E454,'NI-San_SP'!$C:$AN,31,FALSE)</f>
        <v>0</v>
      </c>
      <c r="T454" s="55">
        <f>VLOOKUP(E454,'NI-San_SP'!$C:$AN,32,FALSE)+VLOOKUP(E454,'NI-San_SP'!$C:$AN,33,FALSE)</f>
        <v>0</v>
      </c>
      <c r="U454" s="55">
        <f>VLOOKUP($E454,'NI-San_SP'!$C:$AN,MID(U$1,1,2),FALSE)</f>
        <v>0</v>
      </c>
      <c r="V454" s="55">
        <f>VLOOKUP($E454,'NI-San_SP'!$C:$AN,MID(V$1,1,2),FALSE)</f>
        <v>0</v>
      </c>
      <c r="W454" s="55">
        <f>VLOOKUP($E454,'NI-San_SP'!$C:$AN,MID(W$1,1,2),FALSE)</f>
        <v>0</v>
      </c>
      <c r="X454" s="55">
        <f>VLOOKUP($E454,'NI-San_SP'!$C:$AN,MID(X$1,1,2),FALSE)</f>
        <v>0</v>
      </c>
      <c r="Y454" s="55">
        <f>VLOOKUP($E454,'NI-San_SP'!$C:$AN,MID(Y$1,1,2),FALSE)</f>
        <v>0</v>
      </c>
      <c r="Z454" s="55">
        <f>VLOOKUP($E454,'NI-San_SP'!$C:$AN,MID(Z$1,1,2),FALSE)</f>
        <v>0</v>
      </c>
      <c r="AA454" s="55">
        <f>VLOOKUP($E454,'NI-San_SP'!$C:$AN,MID(AA$1,1,2),FALSE)</f>
        <v>0</v>
      </c>
      <c r="AB454" s="55">
        <f>VLOOKUP($E454,'NI-San_SP'!$C:$AN,MID(AB$1,1,2),FALSE)</f>
        <v>0</v>
      </c>
      <c r="AC454" s="55">
        <f>VLOOKUP($E454,'NI-San_SP'!$C:$AN,MID(AC$1,1,2),FALSE)</f>
        <v>0</v>
      </c>
      <c r="AD454" s="55">
        <f>VLOOKUP($E454,'NI-San_SP'!$C:$AN,MID(AD$1,1,2),FALSE)</f>
        <v>0</v>
      </c>
      <c r="AE454" s="55">
        <f>VLOOKUP($E454,'NI-San_SP'!$C:$AN,MID(AE$1,1,2),FALSE)</f>
        <v>0</v>
      </c>
      <c r="AF454" s="55">
        <f>VLOOKUP($E454,'NI-San_SP'!$C:$AN,MID(AF$1,1,2),FALSE)</f>
        <v>0</v>
      </c>
      <c r="AG454" s="55">
        <f>VLOOKUP($E454,'NI-San_SP'!$C:$AN,MID(AG$1,1,2),FALSE)</f>
        <v>0</v>
      </c>
      <c r="AH454" s="55">
        <f>VLOOKUP($E454,'NI-San_SP'!$C:$AN,MID(AH$1,1,2),FALSE)</f>
        <v>0</v>
      </c>
      <c r="AI454" s="55">
        <f>VLOOKUP($E454,'NI-San_SP'!$C:$AN,MID(AI$1,1,2),FALSE)</f>
        <v>0</v>
      </c>
      <c r="AJ454" s="55">
        <f>VLOOKUP($E454,'NI-San_SP'!$C:$AN,MID(AJ$1,1,2),FALSE)</f>
        <v>0</v>
      </c>
      <c r="AK454" s="55">
        <f>VLOOKUP($E454,'NI-San_SP'!$C:$AN,MID(AK$1,1,2),FALSE)</f>
        <v>0</v>
      </c>
      <c r="AL454" s="55">
        <f>VLOOKUP($E454,'NI-San_SP'!$C:$AN,MID(AL$1,1,2),FALSE)</f>
        <v>0</v>
      </c>
      <c r="AM454" s="56">
        <f>VLOOKUP($E454,'NI-San_SP'!$C:$AN,MID(AM$1,1,2),FALSE)</f>
        <v>0</v>
      </c>
      <c r="AN454" s="30" t="str">
        <f t="shared" si="7"/>
        <v>20207020000000</v>
      </c>
    </row>
    <row r="455" spans="3:40" x14ac:dyDescent="0.25">
      <c r="C455" s="40"/>
      <c r="D455" s="57" t="s">
        <v>1705</v>
      </c>
      <c r="E455" s="57" t="s">
        <v>1706</v>
      </c>
      <c r="F455" s="58" t="s">
        <v>110</v>
      </c>
      <c r="G455" s="52"/>
      <c r="H455" s="52"/>
      <c r="I455" s="52" t="s">
        <v>1707</v>
      </c>
      <c r="J455" s="52" t="s">
        <v>1707</v>
      </c>
      <c r="K455" s="59" t="s">
        <v>79</v>
      </c>
      <c r="L455" s="52"/>
      <c r="M455" s="52"/>
      <c r="N455" s="52"/>
      <c r="O455" s="61" t="s">
        <v>1697</v>
      </c>
      <c r="P455" s="76" t="s">
        <v>1708</v>
      </c>
      <c r="Q455" s="55">
        <f>VLOOKUP(E455,'NI-San_SP'!$C:$AN,12,FALSE)</f>
        <v>110146</v>
      </c>
      <c r="R455" s="55">
        <f>VLOOKUP(E455,'NI-San_SP'!$C:$AN,13,FALSE)</f>
        <v>147943</v>
      </c>
      <c r="S455" s="55">
        <f>VLOOKUP(E455,'NI-San_SP'!$C:$AN,31,FALSE)</f>
        <v>0</v>
      </c>
      <c r="T455" s="55">
        <f>VLOOKUP(E455,'NI-San_SP'!$C:$AN,32,FALSE)+VLOOKUP(E455,'NI-San_SP'!$C:$AN,33,FALSE)</f>
        <v>53836</v>
      </c>
      <c r="U455" s="55">
        <f>VLOOKUP($E455,'NI-San_SP'!$C:$AN,MID(U$1,1,2),FALSE)</f>
        <v>0</v>
      </c>
      <c r="V455" s="55">
        <f>VLOOKUP($E455,'NI-San_SP'!$C:$AN,MID(V$1,1,2),FALSE)</f>
        <v>110146</v>
      </c>
      <c r="W455" s="55">
        <f>VLOOKUP($E455,'NI-San_SP'!$C:$AN,MID(W$1,1,2),FALSE)</f>
        <v>0</v>
      </c>
      <c r="X455" s="55">
        <f>VLOOKUP($E455,'NI-San_SP'!$C:$AN,MID(X$1,1,2),FALSE)</f>
        <v>0</v>
      </c>
      <c r="Y455" s="55">
        <f>VLOOKUP($E455,'NI-San_SP'!$C:$AN,MID(Y$1,1,2),FALSE)</f>
        <v>175820</v>
      </c>
      <c r="Z455" s="55">
        <f>VLOOKUP($E455,'NI-San_SP'!$C:$AN,MID(Z$1,1,2),FALSE)</f>
        <v>56310</v>
      </c>
      <c r="AA455" s="55">
        <f>VLOOKUP($E455,'NI-San_SP'!$C:$AN,MID(AA$1,1,2),FALSE)</f>
        <v>0</v>
      </c>
      <c r="AB455" s="55">
        <f>VLOOKUP($E455,'NI-San_SP'!$C:$AN,MID(AB$1,1,2),FALSE)</f>
        <v>81713</v>
      </c>
      <c r="AC455" s="55">
        <f>VLOOKUP($E455,'NI-San_SP'!$C:$AN,MID(AC$1,1,2),FALSE)</f>
        <v>147943</v>
      </c>
      <c r="AD455" s="55">
        <f>VLOOKUP($E455,'NI-San_SP'!$C:$AN,MID(AD$1,1,2),FALSE)</f>
        <v>21148</v>
      </c>
      <c r="AE455" s="55">
        <f>VLOOKUP($E455,'NI-San_SP'!$C:$AN,MID(AE$1,1,2),FALSE)</f>
        <v>0</v>
      </c>
      <c r="AF455" s="55">
        <f>VLOOKUP($E455,'NI-San_SP'!$C:$AN,MID(AF$1,1,2),FALSE)</f>
        <v>0</v>
      </c>
      <c r="AG455" s="55">
        <f>VLOOKUP($E455,'NI-San_SP'!$C:$AN,MID(AG$1,1,2),FALSE)</f>
        <v>0</v>
      </c>
      <c r="AH455" s="55">
        <f>VLOOKUP($E455,'NI-San_SP'!$C:$AN,MID(AH$1,1,2),FALSE)</f>
        <v>0</v>
      </c>
      <c r="AI455" s="55">
        <f>VLOOKUP($E455,'NI-San_SP'!$C:$AN,MID(AI$1,1,2),FALSE)</f>
        <v>0</v>
      </c>
      <c r="AJ455" s="55">
        <f>VLOOKUP($E455,'NI-San_SP'!$C:$AN,MID(AJ$1,1,2),FALSE)</f>
        <v>0</v>
      </c>
      <c r="AK455" s="55">
        <f>VLOOKUP($E455,'NI-San_SP'!$C:$AN,MID(AK$1,1,2),FALSE)</f>
        <v>0</v>
      </c>
      <c r="AL455" s="55">
        <f>VLOOKUP($E455,'NI-San_SP'!$C:$AN,MID(AL$1,1,2),FALSE)</f>
        <v>0</v>
      </c>
      <c r="AM455" s="56">
        <f>VLOOKUP($E455,'NI-San_SP'!$C:$AN,MID(AM$1,1,2),FALSE)</f>
        <v>53836</v>
      </c>
      <c r="AN455" s="30" t="str">
        <f t="shared" si="7"/>
        <v>20207030000000</v>
      </c>
    </row>
    <row r="456" spans="3:40" x14ac:dyDescent="0.25">
      <c r="C456" s="40"/>
      <c r="D456" s="57" t="s">
        <v>1709</v>
      </c>
      <c r="E456" s="57" t="s">
        <v>1710</v>
      </c>
      <c r="F456" s="58" t="s">
        <v>110</v>
      </c>
      <c r="G456" s="52"/>
      <c r="H456" s="52"/>
      <c r="I456" s="52" t="s">
        <v>1711</v>
      </c>
      <c r="J456" s="52" t="s">
        <v>1711</v>
      </c>
      <c r="K456" s="59" t="s">
        <v>79</v>
      </c>
      <c r="L456" s="52"/>
      <c r="M456" s="52"/>
      <c r="N456" s="52"/>
      <c r="O456" s="61" t="s">
        <v>1697</v>
      </c>
      <c r="P456" s="76" t="s">
        <v>1712</v>
      </c>
      <c r="Q456" s="55">
        <f>VLOOKUP(E456,'NI-San_SP'!$C:$AN,12,FALSE)</f>
        <v>0</v>
      </c>
      <c r="R456" s="55">
        <f>VLOOKUP(E456,'NI-San_SP'!$C:$AN,13,FALSE)</f>
        <v>0</v>
      </c>
      <c r="S456" s="55">
        <f>VLOOKUP(E456,'NI-San_SP'!$C:$AN,31,FALSE)</f>
        <v>0</v>
      </c>
      <c r="T456" s="55">
        <f>VLOOKUP(E456,'NI-San_SP'!$C:$AN,32,FALSE)+VLOOKUP(E456,'NI-San_SP'!$C:$AN,33,FALSE)</f>
        <v>0</v>
      </c>
      <c r="U456" s="55">
        <f>VLOOKUP($E456,'NI-San_SP'!$C:$AN,MID(U$1,1,2),FALSE)</f>
        <v>0</v>
      </c>
      <c r="V456" s="55">
        <f>VLOOKUP($E456,'NI-San_SP'!$C:$AN,MID(V$1,1,2),FALSE)</f>
        <v>0</v>
      </c>
      <c r="W456" s="55">
        <f>VLOOKUP($E456,'NI-San_SP'!$C:$AN,MID(W$1,1,2),FALSE)</f>
        <v>0</v>
      </c>
      <c r="X456" s="55">
        <f>VLOOKUP($E456,'NI-San_SP'!$C:$AN,MID(X$1,1,2),FALSE)</f>
        <v>0</v>
      </c>
      <c r="Y456" s="55">
        <f>VLOOKUP($E456,'NI-San_SP'!$C:$AN,MID(Y$1,1,2),FALSE)</f>
        <v>0</v>
      </c>
      <c r="Z456" s="55">
        <f>VLOOKUP($E456,'NI-San_SP'!$C:$AN,MID(Z$1,1,2),FALSE)</f>
        <v>0</v>
      </c>
      <c r="AA456" s="55">
        <f>VLOOKUP($E456,'NI-San_SP'!$C:$AN,MID(AA$1,1,2),FALSE)</f>
        <v>0</v>
      </c>
      <c r="AB456" s="55">
        <f>VLOOKUP($E456,'NI-San_SP'!$C:$AN,MID(AB$1,1,2),FALSE)</f>
        <v>0</v>
      </c>
      <c r="AC456" s="55">
        <f>VLOOKUP($E456,'NI-San_SP'!$C:$AN,MID(AC$1,1,2),FALSE)</f>
        <v>0</v>
      </c>
      <c r="AD456" s="55">
        <f>VLOOKUP($E456,'NI-San_SP'!$C:$AN,MID(AD$1,1,2),FALSE)</f>
        <v>0</v>
      </c>
      <c r="AE456" s="55">
        <f>VLOOKUP($E456,'NI-San_SP'!$C:$AN,MID(AE$1,1,2),FALSE)</f>
        <v>0</v>
      </c>
      <c r="AF456" s="55">
        <f>VLOOKUP($E456,'NI-San_SP'!$C:$AN,MID(AF$1,1,2),FALSE)</f>
        <v>0</v>
      </c>
      <c r="AG456" s="55">
        <f>VLOOKUP($E456,'NI-San_SP'!$C:$AN,MID(AG$1,1,2),FALSE)</f>
        <v>0</v>
      </c>
      <c r="AH456" s="55">
        <f>VLOOKUP($E456,'NI-San_SP'!$C:$AN,MID(AH$1,1,2),FALSE)</f>
        <v>0</v>
      </c>
      <c r="AI456" s="55">
        <f>VLOOKUP($E456,'NI-San_SP'!$C:$AN,MID(AI$1,1,2),FALSE)</f>
        <v>0</v>
      </c>
      <c r="AJ456" s="55">
        <f>VLOOKUP($E456,'NI-San_SP'!$C:$AN,MID(AJ$1,1,2),FALSE)</f>
        <v>0</v>
      </c>
      <c r="AK456" s="55">
        <f>VLOOKUP($E456,'NI-San_SP'!$C:$AN,MID(AK$1,1,2),FALSE)</f>
        <v>0</v>
      </c>
      <c r="AL456" s="55">
        <f>VLOOKUP($E456,'NI-San_SP'!$C:$AN,MID(AL$1,1,2),FALSE)</f>
        <v>0</v>
      </c>
      <c r="AM456" s="56">
        <f>VLOOKUP($E456,'NI-San_SP'!$C:$AN,MID(AM$1,1,2),FALSE)</f>
        <v>0</v>
      </c>
      <c r="AN456" s="30" t="str">
        <f t="shared" si="7"/>
        <v>20207040000000</v>
      </c>
    </row>
    <row r="457" spans="3:40" x14ac:dyDescent="0.25">
      <c r="C457" s="40"/>
      <c r="D457" s="57" t="s">
        <v>1713</v>
      </c>
      <c r="E457" s="57" t="s">
        <v>1714</v>
      </c>
      <c r="F457" s="58" t="s">
        <v>110</v>
      </c>
      <c r="G457" s="52"/>
      <c r="H457" s="52"/>
      <c r="I457" s="52"/>
      <c r="J457" s="79"/>
      <c r="K457" s="59" t="s">
        <v>111</v>
      </c>
      <c r="L457" s="52"/>
      <c r="M457" s="52"/>
      <c r="N457" s="52"/>
      <c r="O457" s="52"/>
      <c r="P457" s="76" t="s">
        <v>1715</v>
      </c>
      <c r="Q457" s="55">
        <f>VLOOKUP(E457,'NI-San_SP'!$C:$AN,12,FALSE)</f>
        <v>828211</v>
      </c>
      <c r="R457" s="55">
        <f>VLOOKUP(E457,'NI-San_SP'!$C:$AN,13,FALSE)</f>
        <v>534485</v>
      </c>
      <c r="S457" s="55">
        <f>VLOOKUP(E457,'NI-San_SP'!$C:$AN,31,FALSE)</f>
        <v>0</v>
      </c>
      <c r="T457" s="55">
        <f>VLOOKUP(E457,'NI-San_SP'!$C:$AN,32,FALSE)+VLOOKUP(E457,'NI-San_SP'!$C:$AN,33,FALSE)</f>
        <v>0</v>
      </c>
      <c r="U457" s="55">
        <f>VLOOKUP($E457,'NI-San_SP'!$C:$AN,MID(U$1,1,2),FALSE)</f>
        <v>0</v>
      </c>
      <c r="V457" s="55">
        <f>VLOOKUP($E457,'NI-San_SP'!$C:$AN,MID(V$1,1,2),FALSE)</f>
        <v>828211</v>
      </c>
      <c r="W457" s="55">
        <f>VLOOKUP($E457,'NI-San_SP'!$C:$AN,MID(W$1,1,2),FALSE)</f>
        <v>0</v>
      </c>
      <c r="X457" s="55">
        <f>VLOOKUP($E457,'NI-San_SP'!$C:$AN,MID(X$1,1,2),FALSE)</f>
        <v>0</v>
      </c>
      <c r="Y457" s="55">
        <f>VLOOKUP($E457,'NI-San_SP'!$C:$AN,MID(Y$1,1,2),FALSE)</f>
        <v>3162643</v>
      </c>
      <c r="Z457" s="55">
        <f>VLOOKUP($E457,'NI-San_SP'!$C:$AN,MID(Z$1,1,2),FALSE)</f>
        <v>657988</v>
      </c>
      <c r="AA457" s="55">
        <f>VLOOKUP($E457,'NI-San_SP'!$C:$AN,MID(AA$1,1,2),FALSE)</f>
        <v>0</v>
      </c>
      <c r="AB457" s="55">
        <f>VLOOKUP($E457,'NI-San_SP'!$C:$AN,MID(AB$1,1,2),FALSE)</f>
        <v>2798381</v>
      </c>
      <c r="AC457" s="55">
        <f>VLOOKUP($E457,'NI-San_SP'!$C:$AN,MID(AC$1,1,2),FALSE)</f>
        <v>534485</v>
      </c>
      <c r="AD457" s="55">
        <f>VLOOKUP($E457,'NI-San_SP'!$C:$AN,MID(AD$1,1,2),FALSE)</f>
        <v>0</v>
      </c>
      <c r="AE457" s="55">
        <f>VLOOKUP($E457,'NI-San_SP'!$C:$AN,MID(AE$1,1,2),FALSE)</f>
        <v>0</v>
      </c>
      <c r="AF457" s="55">
        <f>VLOOKUP($E457,'NI-San_SP'!$C:$AN,MID(AF$1,1,2),FALSE)</f>
        <v>0</v>
      </c>
      <c r="AG457" s="55">
        <f>VLOOKUP($E457,'NI-San_SP'!$C:$AN,MID(AG$1,1,2),FALSE)</f>
        <v>0</v>
      </c>
      <c r="AH457" s="55">
        <f>VLOOKUP($E457,'NI-San_SP'!$C:$AN,MID(AH$1,1,2),FALSE)</f>
        <v>0</v>
      </c>
      <c r="AI457" s="55">
        <f>VLOOKUP($E457,'NI-San_SP'!$C:$AN,MID(AI$1,1,2),FALSE)</f>
        <v>0</v>
      </c>
      <c r="AJ457" s="55">
        <f>VLOOKUP($E457,'NI-San_SP'!$C:$AN,MID(AJ$1,1,2),FALSE)</f>
        <v>0</v>
      </c>
      <c r="AK457" s="55">
        <f>VLOOKUP($E457,'NI-San_SP'!$C:$AN,MID(AK$1,1,2),FALSE)</f>
        <v>0</v>
      </c>
      <c r="AL457" s="55">
        <f>VLOOKUP($E457,'NI-San_SP'!$C:$AN,MID(AL$1,1,2),FALSE)</f>
        <v>0</v>
      </c>
      <c r="AM457" s="56">
        <f>VLOOKUP($E457,'NI-San_SP'!$C:$AN,MID(AM$1,1,2),FALSE)</f>
        <v>0</v>
      </c>
      <c r="AN457" s="30" t="str">
        <f t="shared" si="7"/>
        <v>20207050000000</v>
      </c>
    </row>
    <row r="458" spans="3:40" x14ac:dyDescent="0.25">
      <c r="C458" s="40"/>
      <c r="D458" s="57" t="s">
        <v>1716</v>
      </c>
      <c r="E458" s="57" t="s">
        <v>1717</v>
      </c>
      <c r="F458" s="58" t="s">
        <v>110</v>
      </c>
      <c r="G458" s="52"/>
      <c r="H458" s="52"/>
      <c r="I458" s="52" t="s">
        <v>1718</v>
      </c>
      <c r="J458" s="52"/>
      <c r="K458" s="59" t="s">
        <v>111</v>
      </c>
      <c r="L458" s="52"/>
      <c r="M458" s="52"/>
      <c r="N458" s="52"/>
      <c r="O458" s="61" t="s">
        <v>1697</v>
      </c>
      <c r="P458" s="60" t="s">
        <v>1719</v>
      </c>
      <c r="Q458" s="55">
        <f>VLOOKUP(E458,'NI-San_SP'!$C:$AN,12,FALSE)</f>
        <v>828211</v>
      </c>
      <c r="R458" s="55">
        <f>VLOOKUP(E458,'NI-San_SP'!$C:$AN,13,FALSE)</f>
        <v>534485</v>
      </c>
      <c r="S458" s="55">
        <f>VLOOKUP(E458,'NI-San_SP'!$C:$AN,31,FALSE)</f>
        <v>0</v>
      </c>
      <c r="T458" s="55">
        <f>VLOOKUP(E458,'NI-San_SP'!$C:$AN,32,FALSE)+VLOOKUP(E458,'NI-San_SP'!$C:$AN,33,FALSE)</f>
        <v>0</v>
      </c>
      <c r="U458" s="55">
        <f>VLOOKUP($E458,'NI-San_SP'!$C:$AN,MID(U$1,1,2),FALSE)</f>
        <v>0</v>
      </c>
      <c r="V458" s="55">
        <f>VLOOKUP($E458,'NI-San_SP'!$C:$AN,MID(V$1,1,2),FALSE)</f>
        <v>828211</v>
      </c>
      <c r="W458" s="55">
        <f>VLOOKUP($E458,'NI-San_SP'!$C:$AN,MID(W$1,1,2),FALSE)</f>
        <v>0</v>
      </c>
      <c r="X458" s="55">
        <f>VLOOKUP($E458,'NI-San_SP'!$C:$AN,MID(X$1,1,2),FALSE)</f>
        <v>0</v>
      </c>
      <c r="Y458" s="55">
        <f>VLOOKUP($E458,'NI-San_SP'!$C:$AN,MID(Y$1,1,2),FALSE)</f>
        <v>3162643</v>
      </c>
      <c r="Z458" s="55">
        <f>VLOOKUP($E458,'NI-San_SP'!$C:$AN,MID(Z$1,1,2),FALSE)</f>
        <v>657988</v>
      </c>
      <c r="AA458" s="55">
        <f>VLOOKUP($E458,'NI-San_SP'!$C:$AN,MID(AA$1,1,2),FALSE)</f>
        <v>0</v>
      </c>
      <c r="AB458" s="55">
        <f>VLOOKUP($E458,'NI-San_SP'!$C:$AN,MID(AB$1,1,2),FALSE)</f>
        <v>2798381</v>
      </c>
      <c r="AC458" s="55">
        <f>VLOOKUP($E458,'NI-San_SP'!$C:$AN,MID(AC$1,1,2),FALSE)</f>
        <v>534485</v>
      </c>
      <c r="AD458" s="55">
        <f>VLOOKUP($E458,'NI-San_SP'!$C:$AN,MID(AD$1,1,2),FALSE)</f>
        <v>0</v>
      </c>
      <c r="AE458" s="55">
        <f>VLOOKUP($E458,'NI-San_SP'!$C:$AN,MID(AE$1,1,2),FALSE)</f>
        <v>0</v>
      </c>
      <c r="AF458" s="55">
        <f>VLOOKUP($E458,'NI-San_SP'!$C:$AN,MID(AF$1,1,2),FALSE)</f>
        <v>0</v>
      </c>
      <c r="AG458" s="55">
        <f>VLOOKUP($E458,'NI-San_SP'!$C:$AN,MID(AG$1,1,2),FALSE)</f>
        <v>0</v>
      </c>
      <c r="AH458" s="55">
        <f>VLOOKUP($E458,'NI-San_SP'!$C:$AN,MID(AH$1,1,2),FALSE)</f>
        <v>0</v>
      </c>
      <c r="AI458" s="55">
        <f>VLOOKUP($E458,'NI-San_SP'!$C:$AN,MID(AI$1,1,2),FALSE)</f>
        <v>0</v>
      </c>
      <c r="AJ458" s="55">
        <f>VLOOKUP($E458,'NI-San_SP'!$C:$AN,MID(AJ$1,1,2),FALSE)</f>
        <v>0</v>
      </c>
      <c r="AK458" s="55">
        <f>VLOOKUP($E458,'NI-San_SP'!$C:$AN,MID(AK$1,1,2),FALSE)</f>
        <v>0</v>
      </c>
      <c r="AL458" s="55">
        <f>VLOOKUP($E458,'NI-San_SP'!$C:$AN,MID(AL$1,1,2),FALSE)</f>
        <v>0</v>
      </c>
      <c r="AM458" s="56">
        <f>VLOOKUP($E458,'NI-San_SP'!$C:$AN,MID(AM$1,1,2),FALSE)</f>
        <v>0</v>
      </c>
      <c r="AN458" s="30" t="str">
        <f t="shared" si="7"/>
        <v>20207050010000</v>
      </c>
    </row>
    <row r="459" spans="3:40" x14ac:dyDescent="0.25">
      <c r="C459" s="40"/>
      <c r="D459" s="57" t="s">
        <v>1720</v>
      </c>
      <c r="E459" s="57" t="s">
        <v>1721</v>
      </c>
      <c r="F459" s="58" t="s">
        <v>110</v>
      </c>
      <c r="G459" s="52"/>
      <c r="H459" s="52"/>
      <c r="I459" s="52"/>
      <c r="J459" s="52" t="s">
        <v>1722</v>
      </c>
      <c r="K459" s="59" t="s">
        <v>79</v>
      </c>
      <c r="L459" s="52"/>
      <c r="M459" s="52"/>
      <c r="N459" s="52"/>
      <c r="O459" s="52"/>
      <c r="P459" s="76" t="s">
        <v>1723</v>
      </c>
      <c r="Q459" s="55">
        <f>VLOOKUP(E459,'NI-San_SP'!$C:$AN,12,FALSE)</f>
        <v>0</v>
      </c>
      <c r="R459" s="55">
        <f>VLOOKUP(E459,'NI-San_SP'!$C:$AN,13,FALSE)</f>
        <v>0</v>
      </c>
      <c r="S459" s="55">
        <f>VLOOKUP(E459,'NI-San_SP'!$C:$AN,31,FALSE)</f>
        <v>0</v>
      </c>
      <c r="T459" s="55">
        <f>VLOOKUP(E459,'NI-San_SP'!$C:$AN,32,FALSE)+VLOOKUP(E459,'NI-San_SP'!$C:$AN,33,FALSE)</f>
        <v>0</v>
      </c>
      <c r="U459" s="55">
        <f>VLOOKUP($E459,'NI-San_SP'!$C:$AN,MID(U$1,1,2),FALSE)</f>
        <v>0</v>
      </c>
      <c r="V459" s="55">
        <f>VLOOKUP($E459,'NI-San_SP'!$C:$AN,MID(V$1,1,2),FALSE)</f>
        <v>0</v>
      </c>
      <c r="W459" s="55">
        <f>VLOOKUP($E459,'NI-San_SP'!$C:$AN,MID(W$1,1,2),FALSE)</f>
        <v>0</v>
      </c>
      <c r="X459" s="55">
        <f>VLOOKUP($E459,'NI-San_SP'!$C:$AN,MID(X$1,1,2),FALSE)</f>
        <v>0</v>
      </c>
      <c r="Y459" s="55">
        <f>VLOOKUP($E459,'NI-San_SP'!$C:$AN,MID(Y$1,1,2),FALSE)</f>
        <v>0</v>
      </c>
      <c r="Z459" s="55">
        <f>VLOOKUP($E459,'NI-San_SP'!$C:$AN,MID(Z$1,1,2),FALSE)</f>
        <v>0</v>
      </c>
      <c r="AA459" s="55">
        <f>VLOOKUP($E459,'NI-San_SP'!$C:$AN,MID(AA$1,1,2),FALSE)</f>
        <v>0</v>
      </c>
      <c r="AB459" s="55">
        <f>VLOOKUP($E459,'NI-San_SP'!$C:$AN,MID(AB$1,1,2),FALSE)</f>
        <v>0</v>
      </c>
      <c r="AC459" s="55">
        <f>VLOOKUP($E459,'NI-San_SP'!$C:$AN,MID(AC$1,1,2),FALSE)</f>
        <v>0</v>
      </c>
      <c r="AD459" s="55">
        <f>VLOOKUP($E459,'NI-San_SP'!$C:$AN,MID(AD$1,1,2),FALSE)</f>
        <v>0</v>
      </c>
      <c r="AE459" s="55">
        <f>VLOOKUP($E459,'NI-San_SP'!$C:$AN,MID(AE$1,1,2),FALSE)</f>
        <v>0</v>
      </c>
      <c r="AF459" s="55">
        <f>VLOOKUP($E459,'NI-San_SP'!$C:$AN,MID(AF$1,1,2),FALSE)</f>
        <v>0</v>
      </c>
      <c r="AG459" s="55">
        <f>VLOOKUP($E459,'NI-San_SP'!$C:$AN,MID(AG$1,1,2),FALSE)</f>
        <v>0</v>
      </c>
      <c r="AH459" s="55">
        <f>VLOOKUP($E459,'NI-San_SP'!$C:$AN,MID(AH$1,1,2),FALSE)</f>
        <v>0</v>
      </c>
      <c r="AI459" s="55">
        <f>VLOOKUP($E459,'NI-San_SP'!$C:$AN,MID(AI$1,1,2),FALSE)</f>
        <v>0</v>
      </c>
      <c r="AJ459" s="55">
        <f>VLOOKUP($E459,'NI-San_SP'!$C:$AN,MID(AJ$1,1,2),FALSE)</f>
        <v>0</v>
      </c>
      <c r="AK459" s="55">
        <f>VLOOKUP($E459,'NI-San_SP'!$C:$AN,MID(AK$1,1,2),FALSE)</f>
        <v>0</v>
      </c>
      <c r="AL459" s="55">
        <f>VLOOKUP($E459,'NI-San_SP'!$C:$AN,MID(AL$1,1,2),FALSE)</f>
        <v>0</v>
      </c>
      <c r="AM459" s="56">
        <f>VLOOKUP($E459,'NI-San_SP'!$C:$AN,MID(AM$1,1,2),FALSE)</f>
        <v>0</v>
      </c>
      <c r="AN459" s="30" t="str">
        <f t="shared" si="7"/>
        <v>20207050010010</v>
      </c>
    </row>
    <row r="460" spans="3:40" x14ac:dyDescent="0.25">
      <c r="C460" s="40"/>
      <c r="D460" s="57" t="s">
        <v>1724</v>
      </c>
      <c r="E460" s="57" t="s">
        <v>1725</v>
      </c>
      <c r="F460" s="58" t="s">
        <v>110</v>
      </c>
      <c r="G460" s="52"/>
      <c r="H460" s="52"/>
      <c r="I460" s="52"/>
      <c r="J460" s="52" t="s">
        <v>1722</v>
      </c>
      <c r="K460" s="59" t="s">
        <v>79</v>
      </c>
      <c r="L460" s="52"/>
      <c r="M460" s="52"/>
      <c r="N460" s="52"/>
      <c r="O460" s="52"/>
      <c r="P460" s="76" t="s">
        <v>1726</v>
      </c>
      <c r="Q460" s="55">
        <f>VLOOKUP(E460,'NI-San_SP'!$C:$AN,12,FALSE)</f>
        <v>828211</v>
      </c>
      <c r="R460" s="55">
        <f>VLOOKUP(E460,'NI-San_SP'!$C:$AN,13,FALSE)</f>
        <v>534485</v>
      </c>
      <c r="S460" s="55">
        <f>VLOOKUP(E460,'NI-San_SP'!$C:$AN,31,FALSE)</f>
        <v>0</v>
      </c>
      <c r="T460" s="55">
        <f>VLOOKUP(E460,'NI-San_SP'!$C:$AN,32,FALSE)+VLOOKUP(E460,'NI-San_SP'!$C:$AN,33,FALSE)</f>
        <v>0</v>
      </c>
      <c r="U460" s="55">
        <f>VLOOKUP($E460,'NI-San_SP'!$C:$AN,MID(U$1,1,2),FALSE)</f>
        <v>0</v>
      </c>
      <c r="V460" s="55">
        <f>VLOOKUP($E460,'NI-San_SP'!$C:$AN,MID(V$1,1,2),FALSE)</f>
        <v>828211</v>
      </c>
      <c r="W460" s="55">
        <f>VLOOKUP($E460,'NI-San_SP'!$C:$AN,MID(W$1,1,2),FALSE)</f>
        <v>0</v>
      </c>
      <c r="X460" s="55">
        <f>VLOOKUP($E460,'NI-San_SP'!$C:$AN,MID(X$1,1,2),FALSE)</f>
        <v>0</v>
      </c>
      <c r="Y460" s="55">
        <f>VLOOKUP($E460,'NI-San_SP'!$C:$AN,MID(Y$1,1,2),FALSE)</f>
        <v>3162643</v>
      </c>
      <c r="Z460" s="55">
        <f>VLOOKUP($E460,'NI-San_SP'!$C:$AN,MID(Z$1,1,2),FALSE)</f>
        <v>657988</v>
      </c>
      <c r="AA460" s="55">
        <f>VLOOKUP($E460,'NI-San_SP'!$C:$AN,MID(AA$1,1,2),FALSE)</f>
        <v>0</v>
      </c>
      <c r="AB460" s="55">
        <f>VLOOKUP($E460,'NI-San_SP'!$C:$AN,MID(AB$1,1,2),FALSE)</f>
        <v>2798381</v>
      </c>
      <c r="AC460" s="55">
        <f>VLOOKUP($E460,'NI-San_SP'!$C:$AN,MID(AC$1,1,2),FALSE)</f>
        <v>534485</v>
      </c>
      <c r="AD460" s="55">
        <f>VLOOKUP($E460,'NI-San_SP'!$C:$AN,MID(AD$1,1,2),FALSE)</f>
        <v>0</v>
      </c>
      <c r="AE460" s="55">
        <f>VLOOKUP($E460,'NI-San_SP'!$C:$AN,MID(AE$1,1,2),FALSE)</f>
        <v>0</v>
      </c>
      <c r="AF460" s="55">
        <f>VLOOKUP($E460,'NI-San_SP'!$C:$AN,MID(AF$1,1,2),FALSE)</f>
        <v>0</v>
      </c>
      <c r="AG460" s="55">
        <f>VLOOKUP($E460,'NI-San_SP'!$C:$AN,MID(AG$1,1,2),FALSE)</f>
        <v>0</v>
      </c>
      <c r="AH460" s="55">
        <f>VLOOKUP($E460,'NI-San_SP'!$C:$AN,MID(AH$1,1,2),FALSE)</f>
        <v>0</v>
      </c>
      <c r="AI460" s="55">
        <f>VLOOKUP($E460,'NI-San_SP'!$C:$AN,MID(AI$1,1,2),FALSE)</f>
        <v>0</v>
      </c>
      <c r="AJ460" s="55">
        <f>VLOOKUP($E460,'NI-San_SP'!$C:$AN,MID(AJ$1,1,2),FALSE)</f>
        <v>0</v>
      </c>
      <c r="AK460" s="55">
        <f>VLOOKUP($E460,'NI-San_SP'!$C:$AN,MID(AK$1,1,2),FALSE)</f>
        <v>0</v>
      </c>
      <c r="AL460" s="55">
        <f>VLOOKUP($E460,'NI-San_SP'!$C:$AN,MID(AL$1,1,2),FALSE)</f>
        <v>0</v>
      </c>
      <c r="AM460" s="56">
        <f>VLOOKUP($E460,'NI-San_SP'!$C:$AN,MID(AM$1,1,2),FALSE)</f>
        <v>0</v>
      </c>
      <c r="AN460" s="30" t="str">
        <f t="shared" si="7"/>
        <v>20207050010020</v>
      </c>
    </row>
    <row r="461" spans="3:40" x14ac:dyDescent="0.25">
      <c r="C461" s="40"/>
      <c r="D461" s="57"/>
      <c r="E461" s="57" t="s">
        <v>1727</v>
      </c>
      <c r="F461" s="58" t="s">
        <v>110</v>
      </c>
      <c r="G461" s="52"/>
      <c r="H461" s="52"/>
      <c r="I461" s="52"/>
      <c r="J461" s="52"/>
      <c r="K461" s="59" t="s">
        <v>111</v>
      </c>
      <c r="L461" s="52"/>
      <c r="M461" s="52"/>
      <c r="N461" s="52"/>
      <c r="O461" s="52"/>
      <c r="P461" s="76" t="s">
        <v>1728</v>
      </c>
      <c r="Q461" s="55">
        <f>VLOOKUP(E461,'NI-San_SP'!$C:$AN,12,FALSE)</f>
        <v>0</v>
      </c>
      <c r="R461" s="55">
        <f>VLOOKUP(E461,'NI-San_SP'!$C:$AN,13,FALSE)</f>
        <v>0</v>
      </c>
      <c r="S461" s="55">
        <f>VLOOKUP(E461,'NI-San_SP'!$C:$AN,31,FALSE)</f>
        <v>0</v>
      </c>
      <c r="T461" s="55">
        <f>VLOOKUP(E461,'NI-San_SP'!$C:$AN,32,FALSE)+VLOOKUP(E461,'NI-San_SP'!$C:$AN,33,FALSE)</f>
        <v>0</v>
      </c>
      <c r="U461" s="55">
        <f>VLOOKUP($E461,'NI-San_SP'!$C:$AN,MID(U$1,1,2),FALSE)</f>
        <v>0</v>
      </c>
      <c r="V461" s="55">
        <f>VLOOKUP($E461,'NI-San_SP'!$C:$AN,MID(V$1,1,2),FALSE)</f>
        <v>0</v>
      </c>
      <c r="W461" s="55">
        <f>VLOOKUP($E461,'NI-San_SP'!$C:$AN,MID(W$1,1,2),FALSE)</f>
        <v>0</v>
      </c>
      <c r="X461" s="55">
        <f>VLOOKUP($E461,'NI-San_SP'!$C:$AN,MID(X$1,1,2),FALSE)</f>
        <v>0</v>
      </c>
      <c r="Y461" s="55">
        <f>VLOOKUP($E461,'NI-San_SP'!$C:$AN,MID(Y$1,1,2),FALSE)</f>
        <v>0</v>
      </c>
      <c r="Z461" s="55">
        <f>VLOOKUP($E461,'NI-San_SP'!$C:$AN,MID(Z$1,1,2),FALSE)</f>
        <v>0</v>
      </c>
      <c r="AA461" s="55">
        <f>VLOOKUP($E461,'NI-San_SP'!$C:$AN,MID(AA$1,1,2),FALSE)</f>
        <v>0</v>
      </c>
      <c r="AB461" s="55">
        <f>VLOOKUP($E461,'NI-San_SP'!$C:$AN,MID(AB$1,1,2),FALSE)</f>
        <v>0</v>
      </c>
      <c r="AC461" s="55">
        <f>VLOOKUP($E461,'NI-San_SP'!$C:$AN,MID(AC$1,1,2),FALSE)</f>
        <v>0</v>
      </c>
      <c r="AD461" s="55">
        <f>VLOOKUP($E461,'NI-San_SP'!$C:$AN,MID(AD$1,1,2),FALSE)</f>
        <v>0</v>
      </c>
      <c r="AE461" s="55">
        <f>VLOOKUP($E461,'NI-San_SP'!$C:$AN,MID(AE$1,1,2),FALSE)</f>
        <v>0</v>
      </c>
      <c r="AF461" s="55">
        <f>VLOOKUP($E461,'NI-San_SP'!$C:$AN,MID(AF$1,1,2),FALSE)</f>
        <v>0</v>
      </c>
      <c r="AG461" s="55">
        <f>VLOOKUP($E461,'NI-San_SP'!$C:$AN,MID(AG$1,1,2),FALSE)</f>
        <v>0</v>
      </c>
      <c r="AH461" s="55">
        <f>VLOOKUP($E461,'NI-San_SP'!$C:$AN,MID(AH$1,1,2),FALSE)</f>
        <v>0</v>
      </c>
      <c r="AI461" s="55">
        <f>VLOOKUP($E461,'NI-San_SP'!$C:$AN,MID(AI$1,1,2),FALSE)</f>
        <v>0</v>
      </c>
      <c r="AJ461" s="55">
        <f>VLOOKUP($E461,'NI-San_SP'!$C:$AN,MID(AJ$1,1,2),FALSE)</f>
        <v>0</v>
      </c>
      <c r="AK461" s="55">
        <f>VLOOKUP($E461,'NI-San_SP'!$C:$AN,MID(AK$1,1,2),FALSE)</f>
        <v>0</v>
      </c>
      <c r="AL461" s="55">
        <f>VLOOKUP($E461,'NI-San_SP'!$C:$AN,MID(AL$1,1,2),FALSE)</f>
        <v>0</v>
      </c>
      <c r="AM461" s="56">
        <f>VLOOKUP($E461,'NI-San_SP'!$C:$AN,MID(AM$1,1,2),FALSE)</f>
        <v>0</v>
      </c>
      <c r="AN461" s="30">
        <f t="shared" si="7"/>
        <v>0</v>
      </c>
    </row>
    <row r="462" spans="3:40" x14ac:dyDescent="0.25">
      <c r="C462" s="40"/>
      <c r="D462" s="57" t="s">
        <v>1729</v>
      </c>
      <c r="E462" s="57" t="s">
        <v>1730</v>
      </c>
      <c r="F462" s="58" t="s">
        <v>110</v>
      </c>
      <c r="G462" s="52" t="s">
        <v>1608</v>
      </c>
      <c r="H462" s="52"/>
      <c r="I462" s="52"/>
      <c r="J462" s="52"/>
      <c r="K462" s="59" t="s">
        <v>79</v>
      </c>
      <c r="L462" s="52"/>
      <c r="M462" s="52"/>
      <c r="N462" s="52"/>
      <c r="O462" s="52"/>
      <c r="P462" s="76" t="s">
        <v>1731</v>
      </c>
      <c r="Q462" s="55">
        <f>VLOOKUP(E462,'NI-San_SP'!$C:$AN,12,FALSE)</f>
        <v>0</v>
      </c>
      <c r="R462" s="55">
        <f>VLOOKUP(E462,'NI-San_SP'!$C:$AN,13,FALSE)</f>
        <v>0</v>
      </c>
      <c r="S462" s="55">
        <f>VLOOKUP(E462,'NI-San_SP'!$C:$AN,31,FALSE)</f>
        <v>0</v>
      </c>
      <c r="T462" s="55">
        <f>VLOOKUP(E462,'NI-San_SP'!$C:$AN,32,FALSE)+VLOOKUP(E462,'NI-San_SP'!$C:$AN,33,FALSE)</f>
        <v>0</v>
      </c>
      <c r="U462" s="55">
        <f>VLOOKUP($E462,'NI-San_SP'!$C:$AN,MID(U$1,1,2),FALSE)</f>
        <v>0</v>
      </c>
      <c r="V462" s="55">
        <f>VLOOKUP($E462,'NI-San_SP'!$C:$AN,MID(V$1,1,2),FALSE)</f>
        <v>0</v>
      </c>
      <c r="W462" s="55">
        <f>VLOOKUP($E462,'NI-San_SP'!$C:$AN,MID(W$1,1,2),FALSE)</f>
        <v>0</v>
      </c>
      <c r="X462" s="55">
        <f>VLOOKUP($E462,'NI-San_SP'!$C:$AN,MID(X$1,1,2),FALSE)</f>
        <v>0</v>
      </c>
      <c r="Y462" s="55">
        <f>VLOOKUP($E462,'NI-San_SP'!$C:$AN,MID(Y$1,1,2),FALSE)</f>
        <v>0</v>
      </c>
      <c r="Z462" s="55">
        <f>VLOOKUP($E462,'NI-San_SP'!$C:$AN,MID(Z$1,1,2),FALSE)</f>
        <v>0</v>
      </c>
      <c r="AA462" s="55">
        <f>VLOOKUP($E462,'NI-San_SP'!$C:$AN,MID(AA$1,1,2),FALSE)</f>
        <v>0</v>
      </c>
      <c r="AB462" s="55">
        <f>VLOOKUP($E462,'NI-San_SP'!$C:$AN,MID(AB$1,1,2),FALSE)</f>
        <v>0</v>
      </c>
      <c r="AC462" s="55">
        <f>VLOOKUP($E462,'NI-San_SP'!$C:$AN,MID(AC$1,1,2),FALSE)</f>
        <v>0</v>
      </c>
      <c r="AD462" s="55">
        <f>VLOOKUP($E462,'NI-San_SP'!$C:$AN,MID(AD$1,1,2),FALSE)</f>
        <v>0</v>
      </c>
      <c r="AE462" s="55">
        <f>VLOOKUP($E462,'NI-San_SP'!$C:$AN,MID(AE$1,1,2),FALSE)</f>
        <v>0</v>
      </c>
      <c r="AF462" s="55">
        <f>VLOOKUP($E462,'NI-San_SP'!$C:$AN,MID(AF$1,1,2),FALSE)</f>
        <v>0</v>
      </c>
      <c r="AG462" s="55">
        <f>VLOOKUP($E462,'NI-San_SP'!$C:$AN,MID(AG$1,1,2),FALSE)</f>
        <v>0</v>
      </c>
      <c r="AH462" s="55">
        <f>VLOOKUP($E462,'NI-San_SP'!$C:$AN,MID(AH$1,1,2),FALSE)</f>
        <v>0</v>
      </c>
      <c r="AI462" s="55">
        <f>VLOOKUP($E462,'NI-San_SP'!$C:$AN,MID(AI$1,1,2),FALSE)</f>
        <v>0</v>
      </c>
      <c r="AJ462" s="55">
        <f>VLOOKUP($E462,'NI-San_SP'!$C:$AN,MID(AJ$1,1,2),FALSE)</f>
        <v>0</v>
      </c>
      <c r="AK462" s="55">
        <f>VLOOKUP($E462,'NI-San_SP'!$C:$AN,MID(AK$1,1,2),FALSE)</f>
        <v>0</v>
      </c>
      <c r="AL462" s="55">
        <f>VLOOKUP($E462,'NI-San_SP'!$C:$AN,MID(AL$1,1,2),FALSE)</f>
        <v>0</v>
      </c>
      <c r="AM462" s="56">
        <f>VLOOKUP($E462,'NI-San_SP'!$C:$AN,MID(AM$1,1,2),FALSE)</f>
        <v>0</v>
      </c>
      <c r="AN462" s="30" t="str">
        <f t="shared" si="7"/>
        <v>20207050010030</v>
      </c>
    </row>
    <row r="463" spans="3:40" x14ac:dyDescent="0.25">
      <c r="C463" s="40"/>
      <c r="D463" s="57" t="s">
        <v>1732</v>
      </c>
      <c r="E463" s="57" t="s">
        <v>1733</v>
      </c>
      <c r="F463" s="58" t="s">
        <v>110</v>
      </c>
      <c r="G463" s="52" t="s">
        <v>1608</v>
      </c>
      <c r="H463" s="52"/>
      <c r="I463" s="52"/>
      <c r="J463" s="52"/>
      <c r="K463" s="59" t="s">
        <v>79</v>
      </c>
      <c r="L463" s="52"/>
      <c r="M463" s="52"/>
      <c r="N463" s="52"/>
      <c r="O463" s="52"/>
      <c r="P463" s="76" t="s">
        <v>1734</v>
      </c>
      <c r="Q463" s="55">
        <f>VLOOKUP(E463,'NI-San_SP'!$C:$AN,12,FALSE)</f>
        <v>0</v>
      </c>
      <c r="R463" s="55">
        <f>VLOOKUP(E463,'NI-San_SP'!$C:$AN,13,FALSE)</f>
        <v>0</v>
      </c>
      <c r="S463" s="55">
        <f>VLOOKUP(E463,'NI-San_SP'!$C:$AN,31,FALSE)</f>
        <v>0</v>
      </c>
      <c r="T463" s="55">
        <f>VLOOKUP(E463,'NI-San_SP'!$C:$AN,32,FALSE)+VLOOKUP(E463,'NI-San_SP'!$C:$AN,33,FALSE)</f>
        <v>0</v>
      </c>
      <c r="U463" s="55">
        <f>VLOOKUP($E463,'NI-San_SP'!$C:$AN,MID(U$1,1,2),FALSE)</f>
        <v>0</v>
      </c>
      <c r="V463" s="55">
        <f>VLOOKUP($E463,'NI-San_SP'!$C:$AN,MID(V$1,1,2),FALSE)</f>
        <v>0</v>
      </c>
      <c r="W463" s="55">
        <f>VLOOKUP($E463,'NI-San_SP'!$C:$AN,MID(W$1,1,2),FALSE)</f>
        <v>0</v>
      </c>
      <c r="X463" s="55">
        <f>VLOOKUP($E463,'NI-San_SP'!$C:$AN,MID(X$1,1,2),FALSE)</f>
        <v>0</v>
      </c>
      <c r="Y463" s="55">
        <f>VLOOKUP($E463,'NI-San_SP'!$C:$AN,MID(Y$1,1,2),FALSE)</f>
        <v>0</v>
      </c>
      <c r="Z463" s="55">
        <f>VLOOKUP($E463,'NI-San_SP'!$C:$AN,MID(Z$1,1,2),FALSE)</f>
        <v>0</v>
      </c>
      <c r="AA463" s="55">
        <f>VLOOKUP($E463,'NI-San_SP'!$C:$AN,MID(AA$1,1,2),FALSE)</f>
        <v>0</v>
      </c>
      <c r="AB463" s="55">
        <f>VLOOKUP($E463,'NI-San_SP'!$C:$AN,MID(AB$1,1,2),FALSE)</f>
        <v>0</v>
      </c>
      <c r="AC463" s="55">
        <f>VLOOKUP($E463,'NI-San_SP'!$C:$AN,MID(AC$1,1,2),FALSE)</f>
        <v>0</v>
      </c>
      <c r="AD463" s="55">
        <f>VLOOKUP($E463,'NI-San_SP'!$C:$AN,MID(AD$1,1,2),FALSE)</f>
        <v>0</v>
      </c>
      <c r="AE463" s="55">
        <f>VLOOKUP($E463,'NI-San_SP'!$C:$AN,MID(AE$1,1,2),FALSE)</f>
        <v>0</v>
      </c>
      <c r="AF463" s="55">
        <f>VLOOKUP($E463,'NI-San_SP'!$C:$AN,MID(AF$1,1,2),FALSE)</f>
        <v>0</v>
      </c>
      <c r="AG463" s="55">
        <f>VLOOKUP($E463,'NI-San_SP'!$C:$AN,MID(AG$1,1,2),FALSE)</f>
        <v>0</v>
      </c>
      <c r="AH463" s="55">
        <f>VLOOKUP($E463,'NI-San_SP'!$C:$AN,MID(AH$1,1,2),FALSE)</f>
        <v>0</v>
      </c>
      <c r="AI463" s="55">
        <f>VLOOKUP($E463,'NI-San_SP'!$C:$AN,MID(AI$1,1,2),FALSE)</f>
        <v>0</v>
      </c>
      <c r="AJ463" s="55">
        <f>VLOOKUP($E463,'NI-San_SP'!$C:$AN,MID(AJ$1,1,2),FALSE)</f>
        <v>0</v>
      </c>
      <c r="AK463" s="55">
        <f>VLOOKUP($E463,'NI-San_SP'!$C:$AN,MID(AK$1,1,2),FALSE)</f>
        <v>0</v>
      </c>
      <c r="AL463" s="55">
        <f>VLOOKUP($E463,'NI-San_SP'!$C:$AN,MID(AL$1,1,2),FALSE)</f>
        <v>0</v>
      </c>
      <c r="AM463" s="56">
        <f>VLOOKUP($E463,'NI-San_SP'!$C:$AN,MID(AM$1,1,2),FALSE)</f>
        <v>0</v>
      </c>
      <c r="AN463" s="30" t="str">
        <f t="shared" si="7"/>
        <v>20207050010040</v>
      </c>
    </row>
    <row r="464" spans="3:40" x14ac:dyDescent="0.25">
      <c r="C464" s="40"/>
      <c r="D464" s="57" t="s">
        <v>1735</v>
      </c>
      <c r="E464" s="57" t="s">
        <v>1736</v>
      </c>
      <c r="F464" s="58" t="s">
        <v>110</v>
      </c>
      <c r="G464" s="52"/>
      <c r="H464" s="52"/>
      <c r="I464" s="52"/>
      <c r="J464" s="52"/>
      <c r="K464" s="59" t="s">
        <v>79</v>
      </c>
      <c r="L464" s="52"/>
      <c r="M464" s="52"/>
      <c r="N464" s="52"/>
      <c r="O464" s="52"/>
      <c r="P464" s="76" t="s">
        <v>1737</v>
      </c>
      <c r="Q464" s="55">
        <f>VLOOKUP(E464,'NI-San_SP'!$C:$AN,12,FALSE)</f>
        <v>0</v>
      </c>
      <c r="R464" s="55">
        <f>VLOOKUP(E464,'NI-San_SP'!$C:$AN,13,FALSE)</f>
        <v>0</v>
      </c>
      <c r="S464" s="55">
        <f>VLOOKUP(E464,'NI-San_SP'!$C:$AN,31,FALSE)</f>
        <v>0</v>
      </c>
      <c r="T464" s="55">
        <f>VLOOKUP(E464,'NI-San_SP'!$C:$AN,32,FALSE)+VLOOKUP(E464,'NI-San_SP'!$C:$AN,33,FALSE)</f>
        <v>0</v>
      </c>
      <c r="U464" s="55">
        <f>VLOOKUP($E464,'NI-San_SP'!$C:$AN,MID(U$1,1,2),FALSE)</f>
        <v>0</v>
      </c>
      <c r="V464" s="55">
        <f>VLOOKUP($E464,'NI-San_SP'!$C:$AN,MID(V$1,1,2),FALSE)</f>
        <v>0</v>
      </c>
      <c r="W464" s="55">
        <f>VLOOKUP($E464,'NI-San_SP'!$C:$AN,MID(W$1,1,2),FALSE)</f>
        <v>0</v>
      </c>
      <c r="X464" s="55">
        <f>VLOOKUP($E464,'NI-San_SP'!$C:$AN,MID(X$1,1,2),FALSE)</f>
        <v>0</v>
      </c>
      <c r="Y464" s="55">
        <f>VLOOKUP($E464,'NI-San_SP'!$C:$AN,MID(Y$1,1,2),FALSE)</f>
        <v>0</v>
      </c>
      <c r="Z464" s="55">
        <f>VLOOKUP($E464,'NI-San_SP'!$C:$AN,MID(Z$1,1,2),FALSE)</f>
        <v>0</v>
      </c>
      <c r="AA464" s="55">
        <f>VLOOKUP($E464,'NI-San_SP'!$C:$AN,MID(AA$1,1,2),FALSE)</f>
        <v>0</v>
      </c>
      <c r="AB464" s="55">
        <f>VLOOKUP($E464,'NI-San_SP'!$C:$AN,MID(AB$1,1,2),FALSE)</f>
        <v>0</v>
      </c>
      <c r="AC464" s="55">
        <f>VLOOKUP($E464,'NI-San_SP'!$C:$AN,MID(AC$1,1,2),FALSE)</f>
        <v>0</v>
      </c>
      <c r="AD464" s="55">
        <f>VLOOKUP($E464,'NI-San_SP'!$C:$AN,MID(AD$1,1,2),FALSE)</f>
        <v>0</v>
      </c>
      <c r="AE464" s="55">
        <f>VLOOKUP($E464,'NI-San_SP'!$C:$AN,MID(AE$1,1,2),FALSE)</f>
        <v>0</v>
      </c>
      <c r="AF464" s="55">
        <f>VLOOKUP($E464,'NI-San_SP'!$C:$AN,MID(AF$1,1,2),FALSE)</f>
        <v>0</v>
      </c>
      <c r="AG464" s="55">
        <f>VLOOKUP($E464,'NI-San_SP'!$C:$AN,MID(AG$1,1,2),FALSE)</f>
        <v>0</v>
      </c>
      <c r="AH464" s="55">
        <f>VLOOKUP($E464,'NI-San_SP'!$C:$AN,MID(AH$1,1,2),FALSE)</f>
        <v>0</v>
      </c>
      <c r="AI464" s="55">
        <f>VLOOKUP($E464,'NI-San_SP'!$C:$AN,MID(AI$1,1,2),FALSE)</f>
        <v>0</v>
      </c>
      <c r="AJ464" s="55">
        <f>VLOOKUP($E464,'NI-San_SP'!$C:$AN,MID(AJ$1,1,2),FALSE)</f>
        <v>0</v>
      </c>
      <c r="AK464" s="55">
        <f>VLOOKUP($E464,'NI-San_SP'!$C:$AN,MID(AK$1,1,2),FALSE)</f>
        <v>0</v>
      </c>
      <c r="AL464" s="55">
        <f>VLOOKUP($E464,'NI-San_SP'!$C:$AN,MID(AL$1,1,2),FALSE)</f>
        <v>0</v>
      </c>
      <c r="AM464" s="56">
        <f>VLOOKUP($E464,'NI-San_SP'!$C:$AN,MID(AM$1,1,2),FALSE)</f>
        <v>0</v>
      </c>
      <c r="AN464" s="30" t="str">
        <f t="shared" si="7"/>
        <v>20207050010050</v>
      </c>
    </row>
    <row r="465" spans="1:40" x14ac:dyDescent="0.25">
      <c r="C465" s="40"/>
      <c r="D465" s="57" t="s">
        <v>1738</v>
      </c>
      <c r="E465" s="57" t="s">
        <v>1739</v>
      </c>
      <c r="F465" s="58" t="s">
        <v>110</v>
      </c>
      <c r="G465" s="52" t="s">
        <v>1608</v>
      </c>
      <c r="H465" s="52"/>
      <c r="I465" s="52"/>
      <c r="J465" s="52"/>
      <c r="K465" s="59" t="s">
        <v>79</v>
      </c>
      <c r="L465" s="52"/>
      <c r="M465" s="52"/>
      <c r="N465" s="52"/>
      <c r="O465" s="52"/>
      <c r="P465" s="76" t="s">
        <v>1740</v>
      </c>
      <c r="Q465" s="55">
        <f>VLOOKUP(E465,'NI-San_SP'!$C:$AN,12,FALSE)</f>
        <v>0</v>
      </c>
      <c r="R465" s="55">
        <f>VLOOKUP(E465,'NI-San_SP'!$C:$AN,13,FALSE)</f>
        <v>0</v>
      </c>
      <c r="S465" s="55">
        <f>VLOOKUP(E465,'NI-San_SP'!$C:$AN,31,FALSE)</f>
        <v>0</v>
      </c>
      <c r="T465" s="55">
        <f>VLOOKUP(E465,'NI-San_SP'!$C:$AN,32,FALSE)+VLOOKUP(E465,'NI-San_SP'!$C:$AN,33,FALSE)</f>
        <v>0</v>
      </c>
      <c r="U465" s="55">
        <f>VLOOKUP($E465,'NI-San_SP'!$C:$AN,MID(U$1,1,2),FALSE)</f>
        <v>0</v>
      </c>
      <c r="V465" s="55">
        <f>VLOOKUP($E465,'NI-San_SP'!$C:$AN,MID(V$1,1,2),FALSE)</f>
        <v>0</v>
      </c>
      <c r="W465" s="55">
        <f>VLOOKUP($E465,'NI-San_SP'!$C:$AN,MID(W$1,1,2),FALSE)</f>
        <v>0</v>
      </c>
      <c r="X465" s="55">
        <f>VLOOKUP($E465,'NI-San_SP'!$C:$AN,MID(X$1,1,2),FALSE)</f>
        <v>0</v>
      </c>
      <c r="Y465" s="55">
        <f>VLOOKUP($E465,'NI-San_SP'!$C:$AN,MID(Y$1,1,2),FALSE)</f>
        <v>0</v>
      </c>
      <c r="Z465" s="55">
        <f>VLOOKUP($E465,'NI-San_SP'!$C:$AN,MID(Z$1,1,2),FALSE)</f>
        <v>0</v>
      </c>
      <c r="AA465" s="55">
        <f>VLOOKUP($E465,'NI-San_SP'!$C:$AN,MID(AA$1,1,2),FALSE)</f>
        <v>0</v>
      </c>
      <c r="AB465" s="55">
        <f>VLOOKUP($E465,'NI-San_SP'!$C:$AN,MID(AB$1,1,2),FALSE)</f>
        <v>0</v>
      </c>
      <c r="AC465" s="55">
        <f>VLOOKUP($E465,'NI-San_SP'!$C:$AN,MID(AC$1,1,2),FALSE)</f>
        <v>0</v>
      </c>
      <c r="AD465" s="55">
        <f>VLOOKUP($E465,'NI-San_SP'!$C:$AN,MID(AD$1,1,2),FALSE)</f>
        <v>0</v>
      </c>
      <c r="AE465" s="55">
        <f>VLOOKUP($E465,'NI-San_SP'!$C:$AN,MID(AE$1,1,2),FALSE)</f>
        <v>0</v>
      </c>
      <c r="AF465" s="55">
        <f>VLOOKUP($E465,'NI-San_SP'!$C:$AN,MID(AF$1,1,2),FALSE)</f>
        <v>0</v>
      </c>
      <c r="AG465" s="55">
        <f>VLOOKUP($E465,'NI-San_SP'!$C:$AN,MID(AG$1,1,2),FALSE)</f>
        <v>0</v>
      </c>
      <c r="AH465" s="55">
        <f>VLOOKUP($E465,'NI-San_SP'!$C:$AN,MID(AH$1,1,2),FALSE)</f>
        <v>0</v>
      </c>
      <c r="AI465" s="55">
        <f>VLOOKUP($E465,'NI-San_SP'!$C:$AN,MID(AI$1,1,2),FALSE)</f>
        <v>0</v>
      </c>
      <c r="AJ465" s="55">
        <f>VLOOKUP($E465,'NI-San_SP'!$C:$AN,MID(AJ$1,1,2),FALSE)</f>
        <v>0</v>
      </c>
      <c r="AK465" s="55">
        <f>VLOOKUP($E465,'NI-San_SP'!$C:$AN,MID(AK$1,1,2),FALSE)</f>
        <v>0</v>
      </c>
      <c r="AL465" s="55">
        <f>VLOOKUP($E465,'NI-San_SP'!$C:$AN,MID(AL$1,1,2),FALSE)</f>
        <v>0</v>
      </c>
      <c r="AM465" s="56">
        <f>VLOOKUP($E465,'NI-San_SP'!$C:$AN,MID(AM$1,1,2),FALSE)</f>
        <v>0</v>
      </c>
      <c r="AN465" s="30" t="str">
        <f t="shared" si="7"/>
        <v>20207050010060</v>
      </c>
    </row>
    <row r="466" spans="1:40" x14ac:dyDescent="0.25">
      <c r="A466" s="30" t="s">
        <v>1394</v>
      </c>
      <c r="C466" s="40"/>
      <c r="D466" s="87" t="s">
        <v>1741</v>
      </c>
      <c r="E466" s="87" t="s">
        <v>1742</v>
      </c>
      <c r="F466" s="58" t="s">
        <v>110</v>
      </c>
      <c r="G466" s="52"/>
      <c r="H466" s="52"/>
      <c r="I466" s="52"/>
      <c r="J466" s="52" t="s">
        <v>1743</v>
      </c>
      <c r="K466" s="59" t="s">
        <v>79</v>
      </c>
      <c r="L466" s="52"/>
      <c r="M466" s="52"/>
      <c r="N466" s="52"/>
      <c r="O466" s="61" t="s">
        <v>1697</v>
      </c>
      <c r="P466" s="76" t="s">
        <v>1744</v>
      </c>
      <c r="Q466" s="55">
        <f>VLOOKUP(E466,'NI-San_SP'!$C:$AN,12,FALSE)</f>
        <v>0</v>
      </c>
      <c r="R466" s="55">
        <f>VLOOKUP(E466,'NI-San_SP'!$C:$AN,13,FALSE)</f>
        <v>0</v>
      </c>
      <c r="S466" s="55">
        <f>VLOOKUP(E466,'NI-San_SP'!$C:$AN,31,FALSE)</f>
        <v>0</v>
      </c>
      <c r="T466" s="55">
        <f>VLOOKUP(E466,'NI-San_SP'!$C:$AN,32,FALSE)+VLOOKUP(E466,'NI-San_SP'!$C:$AN,33,FALSE)</f>
        <v>0</v>
      </c>
      <c r="U466" s="55">
        <f>VLOOKUP($E466,'NI-San_SP'!$C:$AN,MID(U$1,1,2),FALSE)</f>
        <v>0</v>
      </c>
      <c r="V466" s="55">
        <f>VLOOKUP($E466,'NI-San_SP'!$C:$AN,MID(V$1,1,2),FALSE)</f>
        <v>0</v>
      </c>
      <c r="W466" s="55">
        <f>VLOOKUP($E466,'NI-San_SP'!$C:$AN,MID(W$1,1,2),FALSE)</f>
        <v>0</v>
      </c>
      <c r="X466" s="55">
        <f>VLOOKUP($E466,'NI-San_SP'!$C:$AN,MID(X$1,1,2),FALSE)</f>
        <v>0</v>
      </c>
      <c r="Y466" s="55">
        <f>VLOOKUP($E466,'NI-San_SP'!$C:$AN,MID(Y$1,1,2),FALSE)</f>
        <v>0</v>
      </c>
      <c r="Z466" s="55">
        <f>VLOOKUP($E466,'NI-San_SP'!$C:$AN,MID(Z$1,1,2),FALSE)</f>
        <v>0</v>
      </c>
      <c r="AA466" s="55">
        <f>VLOOKUP($E466,'NI-San_SP'!$C:$AN,MID(AA$1,1,2),FALSE)</f>
        <v>0</v>
      </c>
      <c r="AB466" s="55">
        <f>VLOOKUP($E466,'NI-San_SP'!$C:$AN,MID(AB$1,1,2),FALSE)</f>
        <v>0</v>
      </c>
      <c r="AC466" s="55">
        <f>VLOOKUP($E466,'NI-San_SP'!$C:$AN,MID(AC$1,1,2),FALSE)</f>
        <v>0</v>
      </c>
      <c r="AD466" s="55">
        <f>VLOOKUP($E466,'NI-San_SP'!$C:$AN,MID(AD$1,1,2),FALSE)</f>
        <v>0</v>
      </c>
      <c r="AE466" s="55">
        <f>VLOOKUP($E466,'NI-San_SP'!$C:$AN,MID(AE$1,1,2),FALSE)</f>
        <v>0</v>
      </c>
      <c r="AF466" s="55">
        <f>VLOOKUP($E466,'NI-San_SP'!$C:$AN,MID(AF$1,1,2),FALSE)</f>
        <v>0</v>
      </c>
      <c r="AG466" s="55">
        <f>VLOOKUP($E466,'NI-San_SP'!$C:$AN,MID(AG$1,1,2),FALSE)</f>
        <v>0</v>
      </c>
      <c r="AH466" s="55">
        <f>VLOOKUP($E466,'NI-San_SP'!$C:$AN,MID(AH$1,1,2),FALSE)</f>
        <v>0</v>
      </c>
      <c r="AI466" s="55">
        <f>VLOOKUP($E466,'NI-San_SP'!$C:$AN,MID(AI$1,1,2),FALSE)</f>
        <v>0</v>
      </c>
      <c r="AJ466" s="55">
        <f>VLOOKUP($E466,'NI-San_SP'!$C:$AN,MID(AJ$1,1,2),FALSE)</f>
        <v>0</v>
      </c>
      <c r="AK466" s="55">
        <f>VLOOKUP($E466,'NI-San_SP'!$C:$AN,MID(AK$1,1,2),FALSE)</f>
        <v>0</v>
      </c>
      <c r="AL466" s="55">
        <f>VLOOKUP($E466,'NI-San_SP'!$C:$AN,MID(AL$1,1,2),FALSE)</f>
        <v>0</v>
      </c>
      <c r="AM466" s="56">
        <f>VLOOKUP($E466,'NI-San_SP'!$C:$AN,MID(AM$1,1,2),FALSE)</f>
        <v>0</v>
      </c>
      <c r="AN466" s="30" t="str">
        <f t="shared" si="7"/>
        <v>20207050020000</v>
      </c>
    </row>
    <row r="467" spans="1:40" ht="27" x14ac:dyDescent="0.25">
      <c r="A467" s="30" t="s">
        <v>1745</v>
      </c>
      <c r="C467" s="40"/>
      <c r="D467" s="87" t="s">
        <v>1746</v>
      </c>
      <c r="E467" s="87" t="s">
        <v>1747</v>
      </c>
      <c r="F467" s="58" t="s">
        <v>110</v>
      </c>
      <c r="G467" s="52"/>
      <c r="H467" s="52"/>
      <c r="I467" s="52"/>
      <c r="J467" s="52"/>
      <c r="K467" s="59" t="s">
        <v>111</v>
      </c>
      <c r="L467" s="52"/>
      <c r="M467" s="52"/>
      <c r="N467" s="52"/>
      <c r="O467" s="61" t="s">
        <v>1697</v>
      </c>
      <c r="P467" s="76" t="s">
        <v>1748</v>
      </c>
      <c r="Q467" s="55">
        <f>VLOOKUP(E467,'NI-San_SP'!$C:$AN,12,FALSE)</f>
        <v>0</v>
      </c>
      <c r="R467" s="55">
        <f>VLOOKUP(E467,'NI-San_SP'!$C:$AN,13,FALSE)</f>
        <v>0</v>
      </c>
      <c r="S467" s="55">
        <f>VLOOKUP(E467,'NI-San_SP'!$C:$AN,31,FALSE)</f>
        <v>0</v>
      </c>
      <c r="T467" s="55">
        <f>VLOOKUP(E467,'NI-San_SP'!$C:$AN,32,FALSE)+VLOOKUP(E467,'NI-San_SP'!$C:$AN,33,FALSE)</f>
        <v>0</v>
      </c>
      <c r="U467" s="55">
        <f>VLOOKUP($E467,'NI-San_SP'!$C:$AN,MID(U$1,1,2),FALSE)</f>
        <v>0</v>
      </c>
      <c r="V467" s="55">
        <f>VLOOKUP($E467,'NI-San_SP'!$C:$AN,MID(V$1,1,2),FALSE)</f>
        <v>0</v>
      </c>
      <c r="W467" s="55">
        <f>VLOOKUP($E467,'NI-San_SP'!$C:$AN,MID(W$1,1,2),FALSE)</f>
        <v>0</v>
      </c>
      <c r="X467" s="55">
        <f>VLOOKUP($E467,'NI-San_SP'!$C:$AN,MID(X$1,1,2),FALSE)</f>
        <v>0</v>
      </c>
      <c r="Y467" s="55">
        <f>VLOOKUP($E467,'NI-San_SP'!$C:$AN,MID(Y$1,1,2),FALSE)</f>
        <v>0</v>
      </c>
      <c r="Z467" s="55">
        <f>VLOOKUP($E467,'NI-San_SP'!$C:$AN,MID(Z$1,1,2),FALSE)</f>
        <v>0</v>
      </c>
      <c r="AA467" s="55">
        <f>VLOOKUP($E467,'NI-San_SP'!$C:$AN,MID(AA$1,1,2),FALSE)</f>
        <v>0</v>
      </c>
      <c r="AB467" s="55">
        <f>VLOOKUP($E467,'NI-San_SP'!$C:$AN,MID(AB$1,1,2),FALSE)</f>
        <v>0</v>
      </c>
      <c r="AC467" s="55">
        <f>VLOOKUP($E467,'NI-San_SP'!$C:$AN,MID(AC$1,1,2),FALSE)</f>
        <v>0</v>
      </c>
      <c r="AD467" s="55">
        <f>VLOOKUP($E467,'NI-San_SP'!$C:$AN,MID(AD$1,1,2),FALSE)</f>
        <v>0</v>
      </c>
      <c r="AE467" s="55">
        <f>VLOOKUP($E467,'NI-San_SP'!$C:$AN,MID(AE$1,1,2),FALSE)</f>
        <v>0</v>
      </c>
      <c r="AF467" s="55">
        <f>VLOOKUP($E467,'NI-San_SP'!$C:$AN,MID(AF$1,1,2),FALSE)</f>
        <v>0</v>
      </c>
      <c r="AG467" s="55">
        <f>VLOOKUP($E467,'NI-San_SP'!$C:$AN,MID(AG$1,1,2),FALSE)</f>
        <v>0</v>
      </c>
      <c r="AH467" s="55">
        <f>VLOOKUP($E467,'NI-San_SP'!$C:$AN,MID(AH$1,1,2),FALSE)</f>
        <v>0</v>
      </c>
      <c r="AI467" s="55">
        <f>VLOOKUP($E467,'NI-San_SP'!$C:$AN,MID(AI$1,1,2),FALSE)</f>
        <v>0</v>
      </c>
      <c r="AJ467" s="55">
        <f>VLOOKUP($E467,'NI-San_SP'!$C:$AN,MID(AJ$1,1,2),FALSE)</f>
        <v>0</v>
      </c>
      <c r="AK467" s="55">
        <f>VLOOKUP($E467,'NI-San_SP'!$C:$AN,MID(AK$1,1,2),FALSE)</f>
        <v>0</v>
      </c>
      <c r="AL467" s="55">
        <f>VLOOKUP($E467,'NI-San_SP'!$C:$AN,MID(AL$1,1,2),FALSE)</f>
        <v>0</v>
      </c>
      <c r="AM467" s="56">
        <f>VLOOKUP($E467,'NI-San_SP'!$C:$AN,MID(AM$1,1,2),FALSE)</f>
        <v>0</v>
      </c>
      <c r="AN467" s="30" t="str">
        <f t="shared" si="7"/>
        <v>20207060000000</v>
      </c>
    </row>
    <row r="468" spans="1:40" ht="27" x14ac:dyDescent="0.25">
      <c r="A468" s="30" t="s">
        <v>1394</v>
      </c>
      <c r="C468" s="40"/>
      <c r="D468" s="87" t="s">
        <v>1749</v>
      </c>
      <c r="E468" s="87" t="s">
        <v>1750</v>
      </c>
      <c r="F468" s="58" t="s">
        <v>110</v>
      </c>
      <c r="G468" s="52"/>
      <c r="H468" s="52"/>
      <c r="I468" s="52"/>
      <c r="J468" s="52" t="s">
        <v>1751</v>
      </c>
      <c r="K468" s="59" t="s">
        <v>79</v>
      </c>
      <c r="L468" s="52"/>
      <c r="M468" s="52"/>
      <c r="N468" s="52"/>
      <c r="O468" s="52"/>
      <c r="P468" s="76" t="s">
        <v>1752</v>
      </c>
      <c r="Q468" s="55">
        <f>VLOOKUP(E468,'NI-San_SP'!$C:$AN,12,FALSE)</f>
        <v>0</v>
      </c>
      <c r="R468" s="55">
        <f>VLOOKUP(E468,'NI-San_SP'!$C:$AN,13,FALSE)</f>
        <v>0</v>
      </c>
      <c r="S468" s="55">
        <f>VLOOKUP(E468,'NI-San_SP'!$C:$AN,31,FALSE)</f>
        <v>0</v>
      </c>
      <c r="T468" s="55">
        <f>VLOOKUP(E468,'NI-San_SP'!$C:$AN,32,FALSE)+VLOOKUP(E468,'NI-San_SP'!$C:$AN,33,FALSE)</f>
        <v>0</v>
      </c>
      <c r="U468" s="55">
        <f>VLOOKUP($E468,'NI-San_SP'!$C:$AN,MID(U$1,1,2),FALSE)</f>
        <v>0</v>
      </c>
      <c r="V468" s="55">
        <f>VLOOKUP($E468,'NI-San_SP'!$C:$AN,MID(V$1,1,2),FALSE)</f>
        <v>0</v>
      </c>
      <c r="W468" s="55">
        <f>VLOOKUP($E468,'NI-San_SP'!$C:$AN,MID(W$1,1,2),FALSE)</f>
        <v>0</v>
      </c>
      <c r="X468" s="55">
        <f>VLOOKUP($E468,'NI-San_SP'!$C:$AN,MID(X$1,1,2),FALSE)</f>
        <v>0</v>
      </c>
      <c r="Y468" s="55">
        <f>VLOOKUP($E468,'NI-San_SP'!$C:$AN,MID(Y$1,1,2),FALSE)</f>
        <v>0</v>
      </c>
      <c r="Z468" s="55">
        <f>VLOOKUP($E468,'NI-San_SP'!$C:$AN,MID(Z$1,1,2),FALSE)</f>
        <v>0</v>
      </c>
      <c r="AA468" s="55">
        <f>VLOOKUP($E468,'NI-San_SP'!$C:$AN,MID(AA$1,1,2),FALSE)</f>
        <v>0</v>
      </c>
      <c r="AB468" s="55">
        <f>VLOOKUP($E468,'NI-San_SP'!$C:$AN,MID(AB$1,1,2),FALSE)</f>
        <v>0</v>
      </c>
      <c r="AC468" s="55">
        <f>VLOOKUP($E468,'NI-San_SP'!$C:$AN,MID(AC$1,1,2),FALSE)</f>
        <v>0</v>
      </c>
      <c r="AD468" s="55">
        <f>VLOOKUP($E468,'NI-San_SP'!$C:$AN,MID(AD$1,1,2),FALSE)</f>
        <v>0</v>
      </c>
      <c r="AE468" s="55">
        <f>VLOOKUP($E468,'NI-San_SP'!$C:$AN,MID(AE$1,1,2),FALSE)</f>
        <v>0</v>
      </c>
      <c r="AF468" s="55">
        <f>VLOOKUP($E468,'NI-San_SP'!$C:$AN,MID(AF$1,1,2),FALSE)</f>
        <v>0</v>
      </c>
      <c r="AG468" s="55">
        <f>VLOOKUP($E468,'NI-San_SP'!$C:$AN,MID(AG$1,1,2),FALSE)</f>
        <v>0</v>
      </c>
      <c r="AH468" s="55">
        <f>VLOOKUP($E468,'NI-San_SP'!$C:$AN,MID(AH$1,1,2),FALSE)</f>
        <v>0</v>
      </c>
      <c r="AI468" s="55">
        <f>VLOOKUP($E468,'NI-San_SP'!$C:$AN,MID(AI$1,1,2),FALSE)</f>
        <v>0</v>
      </c>
      <c r="AJ468" s="55">
        <f>VLOOKUP($E468,'NI-San_SP'!$C:$AN,MID(AJ$1,1,2),FALSE)</f>
        <v>0</v>
      </c>
      <c r="AK468" s="55">
        <f>VLOOKUP($E468,'NI-San_SP'!$C:$AN,MID(AK$1,1,2),FALSE)</f>
        <v>0</v>
      </c>
      <c r="AL468" s="55">
        <f>VLOOKUP($E468,'NI-San_SP'!$C:$AN,MID(AL$1,1,2),FALSE)</f>
        <v>0</v>
      </c>
      <c r="AM468" s="56">
        <f>VLOOKUP($E468,'NI-San_SP'!$C:$AN,MID(AM$1,1,2),FALSE)</f>
        <v>0</v>
      </c>
      <c r="AN468" s="30" t="str">
        <f t="shared" si="7"/>
        <v>20207060010000</v>
      </c>
    </row>
    <row r="469" spans="1:40" x14ac:dyDescent="0.25">
      <c r="A469" s="30" t="s">
        <v>1394</v>
      </c>
      <c r="C469" s="40"/>
      <c r="D469" s="87" t="s">
        <v>1753</v>
      </c>
      <c r="E469" s="87" t="s">
        <v>1754</v>
      </c>
      <c r="F469" s="58" t="s">
        <v>110</v>
      </c>
      <c r="G469" s="52"/>
      <c r="H469" s="52"/>
      <c r="I469" s="52"/>
      <c r="J469" s="52" t="s">
        <v>1755</v>
      </c>
      <c r="K469" s="59" t="s">
        <v>79</v>
      </c>
      <c r="L469" s="52"/>
      <c r="M469" s="52"/>
      <c r="N469" s="52"/>
      <c r="O469" s="52"/>
      <c r="P469" s="76" t="s">
        <v>1756</v>
      </c>
      <c r="Q469" s="55">
        <f>VLOOKUP(E469,'NI-San_SP'!$C:$AN,12,FALSE)</f>
        <v>0</v>
      </c>
      <c r="R469" s="55">
        <f>VLOOKUP(E469,'NI-San_SP'!$C:$AN,13,FALSE)</f>
        <v>0</v>
      </c>
      <c r="S469" s="55">
        <f>VLOOKUP(E469,'NI-San_SP'!$C:$AN,31,FALSE)</f>
        <v>0</v>
      </c>
      <c r="T469" s="55">
        <f>VLOOKUP(E469,'NI-San_SP'!$C:$AN,32,FALSE)+VLOOKUP(E469,'NI-San_SP'!$C:$AN,33,FALSE)</f>
        <v>0</v>
      </c>
      <c r="U469" s="55">
        <f>VLOOKUP($E469,'NI-San_SP'!$C:$AN,MID(U$1,1,2),FALSE)</f>
        <v>0</v>
      </c>
      <c r="V469" s="55">
        <f>VLOOKUP($E469,'NI-San_SP'!$C:$AN,MID(V$1,1,2),FALSE)</f>
        <v>0</v>
      </c>
      <c r="W469" s="55">
        <f>VLOOKUP($E469,'NI-San_SP'!$C:$AN,MID(W$1,1,2),FALSE)</f>
        <v>0</v>
      </c>
      <c r="X469" s="55">
        <f>VLOOKUP($E469,'NI-San_SP'!$C:$AN,MID(X$1,1,2),FALSE)</f>
        <v>0</v>
      </c>
      <c r="Y469" s="55">
        <f>VLOOKUP($E469,'NI-San_SP'!$C:$AN,MID(Y$1,1,2),FALSE)</f>
        <v>0</v>
      </c>
      <c r="Z469" s="55">
        <f>VLOOKUP($E469,'NI-San_SP'!$C:$AN,MID(Z$1,1,2),FALSE)</f>
        <v>0</v>
      </c>
      <c r="AA469" s="55">
        <f>VLOOKUP($E469,'NI-San_SP'!$C:$AN,MID(AA$1,1,2),FALSE)</f>
        <v>0</v>
      </c>
      <c r="AB469" s="55">
        <f>VLOOKUP($E469,'NI-San_SP'!$C:$AN,MID(AB$1,1,2),FALSE)</f>
        <v>0</v>
      </c>
      <c r="AC469" s="55">
        <f>VLOOKUP($E469,'NI-San_SP'!$C:$AN,MID(AC$1,1,2),FALSE)</f>
        <v>0</v>
      </c>
      <c r="AD469" s="55">
        <f>VLOOKUP($E469,'NI-San_SP'!$C:$AN,MID(AD$1,1,2),FALSE)</f>
        <v>0</v>
      </c>
      <c r="AE469" s="55">
        <f>VLOOKUP($E469,'NI-San_SP'!$C:$AN,MID(AE$1,1,2),FALSE)</f>
        <v>0</v>
      </c>
      <c r="AF469" s="55">
        <f>VLOOKUP($E469,'NI-San_SP'!$C:$AN,MID(AF$1,1,2),FALSE)</f>
        <v>0</v>
      </c>
      <c r="AG469" s="55">
        <f>VLOOKUP($E469,'NI-San_SP'!$C:$AN,MID(AG$1,1,2),FALSE)</f>
        <v>0</v>
      </c>
      <c r="AH469" s="55">
        <f>VLOOKUP($E469,'NI-San_SP'!$C:$AN,MID(AH$1,1,2),FALSE)</f>
        <v>0</v>
      </c>
      <c r="AI469" s="55">
        <f>VLOOKUP($E469,'NI-San_SP'!$C:$AN,MID(AI$1,1,2),FALSE)</f>
        <v>0</v>
      </c>
      <c r="AJ469" s="55">
        <f>VLOOKUP($E469,'NI-San_SP'!$C:$AN,MID(AJ$1,1,2),FALSE)</f>
        <v>0</v>
      </c>
      <c r="AK469" s="55">
        <f>VLOOKUP($E469,'NI-San_SP'!$C:$AN,MID(AK$1,1,2),FALSE)</f>
        <v>0</v>
      </c>
      <c r="AL469" s="55">
        <f>VLOOKUP($E469,'NI-San_SP'!$C:$AN,MID(AL$1,1,2),FALSE)</f>
        <v>0</v>
      </c>
      <c r="AM469" s="56">
        <f>VLOOKUP($E469,'NI-San_SP'!$C:$AN,MID(AM$1,1,2),FALSE)</f>
        <v>0</v>
      </c>
      <c r="AN469" s="30" t="str">
        <f t="shared" si="7"/>
        <v>20207060020000</v>
      </c>
    </row>
    <row r="470" spans="1:40" x14ac:dyDescent="0.25">
      <c r="C470" s="40"/>
      <c r="D470" s="57" t="s">
        <v>1757</v>
      </c>
      <c r="E470" s="57" t="s">
        <v>1758</v>
      </c>
      <c r="F470" s="58" t="s">
        <v>110</v>
      </c>
      <c r="G470" s="52"/>
      <c r="H470" s="52"/>
      <c r="I470" s="52"/>
      <c r="J470" s="52"/>
      <c r="K470" s="59" t="s">
        <v>111</v>
      </c>
      <c r="L470" s="52"/>
      <c r="M470" s="52"/>
      <c r="N470" s="52"/>
      <c r="O470" s="52"/>
      <c r="P470" s="76" t="s">
        <v>1759</v>
      </c>
      <c r="Q470" s="55">
        <f>VLOOKUP(E470,'NI-San_SP'!$C:$AN,12,FALSE)</f>
        <v>0</v>
      </c>
      <c r="R470" s="55">
        <f>VLOOKUP(E470,'NI-San_SP'!$C:$AN,13,FALSE)</f>
        <v>0</v>
      </c>
      <c r="S470" s="55"/>
      <c r="T470" s="55"/>
      <c r="U470" s="55">
        <f>VLOOKUP($E470,'NI-San_SP'!$C:$AN,MID(U$1,1,2),FALSE)</f>
        <v>0</v>
      </c>
      <c r="V470" s="55">
        <f>VLOOKUP($E470,'NI-San_SP'!$C:$AN,MID(V$1,1,2),FALSE)</f>
        <v>0</v>
      </c>
      <c r="W470" s="55">
        <f>VLOOKUP($E470,'NI-San_SP'!$C:$AN,MID(W$1,1,2),FALSE)</f>
        <v>0</v>
      </c>
      <c r="X470" s="55">
        <f>VLOOKUP($E470,'NI-San_SP'!$C:$AN,MID(X$1,1,2),FALSE)</f>
        <v>0</v>
      </c>
      <c r="Y470" s="55">
        <f>VLOOKUP($E470,'NI-San_SP'!$C:$AN,MID(Y$1,1,2),FALSE)</f>
        <v>0</v>
      </c>
      <c r="Z470" s="55">
        <f>VLOOKUP($E470,'NI-San_SP'!$C:$AN,MID(Z$1,1,2),FALSE)</f>
        <v>0</v>
      </c>
      <c r="AA470" s="55">
        <f>VLOOKUP($E470,'NI-San_SP'!$C:$AN,MID(AA$1,1,2),FALSE)</f>
        <v>0</v>
      </c>
      <c r="AB470" s="55">
        <f>VLOOKUP($E470,'NI-San_SP'!$C:$AN,MID(AB$1,1,2),FALSE)</f>
        <v>0</v>
      </c>
      <c r="AC470" s="55">
        <f>VLOOKUP($E470,'NI-San_SP'!$C:$AN,MID(AC$1,1,2),FALSE)</f>
        <v>0</v>
      </c>
      <c r="AD470" s="55">
        <f>VLOOKUP($E470,'NI-San_SP'!$C:$AN,MID(AD$1,1,2),FALSE)</f>
        <v>0</v>
      </c>
      <c r="AE470" s="55">
        <f>VLOOKUP($E470,'NI-San_SP'!$C:$AN,MID(AE$1,1,2),FALSE)</f>
        <v>0</v>
      </c>
      <c r="AF470" s="55">
        <f>VLOOKUP($E470,'NI-San_SP'!$C:$AN,MID(AF$1,1,2),FALSE)</f>
        <v>0</v>
      </c>
      <c r="AG470" s="55">
        <f>VLOOKUP($E470,'NI-San_SP'!$C:$AN,MID(AG$1,1,2),FALSE)</f>
        <v>0</v>
      </c>
      <c r="AH470" s="55">
        <f>VLOOKUP($E470,'NI-San_SP'!$C:$AN,MID(AH$1,1,2),FALSE)</f>
        <v>0</v>
      </c>
      <c r="AI470" s="55">
        <f>VLOOKUP($E470,'NI-San_SP'!$C:$AN,MID(AI$1,1,2),FALSE)</f>
        <v>0</v>
      </c>
      <c r="AJ470" s="55">
        <f>VLOOKUP($E470,'NI-San_SP'!$C:$AN,MID(AJ$1,1,2),FALSE)</f>
        <v>0</v>
      </c>
      <c r="AK470" s="55">
        <f>VLOOKUP($E470,'NI-San_SP'!$C:$AN,MID(AK$1,1,2),FALSE)</f>
        <v>0</v>
      </c>
      <c r="AL470" s="55">
        <f>VLOOKUP($E470,'NI-San_SP'!$C:$AN,MID(AL$1,1,2),FALSE)</f>
        <v>0</v>
      </c>
      <c r="AM470" s="56">
        <f>VLOOKUP($E470,'NI-San_SP'!$C:$AN,MID(AM$1,1,2),FALSE)</f>
        <v>0</v>
      </c>
      <c r="AN470" s="30" t="str">
        <f t="shared" si="7"/>
        <v>20300000000000</v>
      </c>
    </row>
    <row r="471" spans="1:40" x14ac:dyDescent="0.25">
      <c r="C471" s="40"/>
      <c r="D471" s="57" t="s">
        <v>1760</v>
      </c>
      <c r="E471" s="57" t="s">
        <v>1761</v>
      </c>
      <c r="F471" s="58" t="s">
        <v>110</v>
      </c>
      <c r="G471" s="52"/>
      <c r="H471" s="52"/>
      <c r="I471" s="52" t="s">
        <v>1762</v>
      </c>
      <c r="J471" s="52" t="s">
        <v>1762</v>
      </c>
      <c r="K471" s="59" t="s">
        <v>79</v>
      </c>
      <c r="L471" s="81" t="s">
        <v>1763</v>
      </c>
      <c r="M471" s="52"/>
      <c r="N471" s="52"/>
      <c r="O471" s="61" t="s">
        <v>1764</v>
      </c>
      <c r="P471" s="76" t="s">
        <v>1099</v>
      </c>
      <c r="Q471" s="55">
        <f>VLOOKUP(E471,'NI-San_SP'!$C:$AN,12,FALSE)</f>
        <v>0</v>
      </c>
      <c r="R471" s="55">
        <f>VLOOKUP(E471,'NI-San_SP'!$C:$AN,13,FALSE)</f>
        <v>0</v>
      </c>
      <c r="S471" s="55"/>
      <c r="T471" s="55"/>
      <c r="U471" s="55">
        <f>VLOOKUP($E471,'NI-San_SP'!$C:$AN,MID(U$1,1,2),FALSE)</f>
        <v>0</v>
      </c>
      <c r="V471" s="55">
        <f>VLOOKUP($E471,'NI-San_SP'!$C:$AN,MID(V$1,1,2),FALSE)</f>
        <v>0</v>
      </c>
      <c r="W471" s="55">
        <f>VLOOKUP($E471,'NI-San_SP'!$C:$AN,MID(W$1,1,2),FALSE)</f>
        <v>0</v>
      </c>
      <c r="X471" s="55">
        <f>VLOOKUP($E471,'NI-San_SP'!$C:$AN,MID(X$1,1,2),FALSE)</f>
        <v>0</v>
      </c>
      <c r="Y471" s="55">
        <f>VLOOKUP($E471,'NI-San_SP'!$C:$AN,MID(Y$1,1,2),FALSE)</f>
        <v>0</v>
      </c>
      <c r="Z471" s="55">
        <f>VLOOKUP($E471,'NI-San_SP'!$C:$AN,MID(Z$1,1,2),FALSE)</f>
        <v>0</v>
      </c>
      <c r="AA471" s="55">
        <f>VLOOKUP($E471,'NI-San_SP'!$C:$AN,MID(AA$1,1,2),FALSE)</f>
        <v>0</v>
      </c>
      <c r="AB471" s="55">
        <f>VLOOKUP($E471,'NI-San_SP'!$C:$AN,MID(AB$1,1,2),FALSE)</f>
        <v>0</v>
      </c>
      <c r="AC471" s="55">
        <f>VLOOKUP($E471,'NI-San_SP'!$C:$AN,MID(AC$1,1,2),FALSE)</f>
        <v>0</v>
      </c>
      <c r="AD471" s="55">
        <f>VLOOKUP($E471,'NI-San_SP'!$C:$AN,MID(AD$1,1,2),FALSE)</f>
        <v>0</v>
      </c>
      <c r="AE471" s="55">
        <f>VLOOKUP($E471,'NI-San_SP'!$C:$AN,MID(AE$1,1,2),FALSE)</f>
        <v>0</v>
      </c>
      <c r="AF471" s="55">
        <f>VLOOKUP($E471,'NI-San_SP'!$C:$AN,MID(AF$1,1,2),FALSE)</f>
        <v>0</v>
      </c>
      <c r="AG471" s="55">
        <f>VLOOKUP($E471,'NI-San_SP'!$C:$AN,MID(AG$1,1,2),FALSE)</f>
        <v>0</v>
      </c>
      <c r="AH471" s="55">
        <f>VLOOKUP($E471,'NI-San_SP'!$C:$AN,MID(AH$1,1,2),FALSE)</f>
        <v>0</v>
      </c>
      <c r="AI471" s="55">
        <f>VLOOKUP($E471,'NI-San_SP'!$C:$AN,MID(AI$1,1,2),FALSE)</f>
        <v>0</v>
      </c>
      <c r="AJ471" s="55">
        <f>VLOOKUP($E471,'NI-San_SP'!$C:$AN,MID(AJ$1,1,2),FALSE)</f>
        <v>0</v>
      </c>
      <c r="AK471" s="55">
        <f>VLOOKUP($E471,'NI-San_SP'!$C:$AN,MID(AK$1,1,2),FALSE)</f>
        <v>0</v>
      </c>
      <c r="AL471" s="55">
        <f>VLOOKUP($E471,'NI-San_SP'!$C:$AN,MID(AL$1,1,2),FALSE)</f>
        <v>0</v>
      </c>
      <c r="AM471" s="56">
        <f>VLOOKUP($E471,'NI-San_SP'!$C:$AN,MID(AM$1,1,2),FALSE)</f>
        <v>0</v>
      </c>
      <c r="AN471" s="30" t="str">
        <f t="shared" si="7"/>
        <v>20301010000000</v>
      </c>
    </row>
    <row r="472" spans="1:40" x14ac:dyDescent="0.25">
      <c r="C472" s="40"/>
      <c r="D472" s="57" t="s">
        <v>1765</v>
      </c>
      <c r="E472" s="57" t="s">
        <v>1766</v>
      </c>
      <c r="F472" s="58" t="s">
        <v>110</v>
      </c>
      <c r="G472" s="52"/>
      <c r="H472" s="52"/>
      <c r="I472" s="52" t="s">
        <v>1762</v>
      </c>
      <c r="J472" s="52" t="s">
        <v>1762</v>
      </c>
      <c r="K472" s="59" t="s">
        <v>79</v>
      </c>
      <c r="L472" s="81" t="s">
        <v>1763</v>
      </c>
      <c r="M472" s="52"/>
      <c r="N472" s="52"/>
      <c r="O472" s="61" t="s">
        <v>1764</v>
      </c>
      <c r="P472" s="76" t="s">
        <v>1102</v>
      </c>
      <c r="Q472" s="55">
        <f>VLOOKUP(E472,'NI-San_SP'!$C:$AN,12,FALSE)</f>
        <v>0</v>
      </c>
      <c r="R472" s="55">
        <f>VLOOKUP(E472,'NI-San_SP'!$C:$AN,13,FALSE)</f>
        <v>0</v>
      </c>
      <c r="S472" s="55"/>
      <c r="T472" s="55"/>
      <c r="U472" s="55">
        <f>VLOOKUP($E472,'NI-San_SP'!$C:$AN,MID(U$1,1,2),FALSE)</f>
        <v>0</v>
      </c>
      <c r="V472" s="55">
        <f>VLOOKUP($E472,'NI-San_SP'!$C:$AN,MID(V$1,1,2),FALSE)</f>
        <v>0</v>
      </c>
      <c r="W472" s="55">
        <f>VLOOKUP($E472,'NI-San_SP'!$C:$AN,MID(W$1,1,2),FALSE)</f>
        <v>0</v>
      </c>
      <c r="X472" s="55">
        <f>VLOOKUP($E472,'NI-San_SP'!$C:$AN,MID(X$1,1,2),FALSE)</f>
        <v>0</v>
      </c>
      <c r="Y472" s="55">
        <f>VLOOKUP($E472,'NI-San_SP'!$C:$AN,MID(Y$1,1,2),FALSE)</f>
        <v>0</v>
      </c>
      <c r="Z472" s="55">
        <f>VLOOKUP($E472,'NI-San_SP'!$C:$AN,MID(Z$1,1,2),FALSE)</f>
        <v>0</v>
      </c>
      <c r="AA472" s="55">
        <f>VLOOKUP($E472,'NI-San_SP'!$C:$AN,MID(AA$1,1,2),FALSE)</f>
        <v>0</v>
      </c>
      <c r="AB472" s="55">
        <f>VLOOKUP($E472,'NI-San_SP'!$C:$AN,MID(AB$1,1,2),FALSE)</f>
        <v>0</v>
      </c>
      <c r="AC472" s="55">
        <f>VLOOKUP($E472,'NI-San_SP'!$C:$AN,MID(AC$1,1,2),FALSE)</f>
        <v>0</v>
      </c>
      <c r="AD472" s="55">
        <f>VLOOKUP($E472,'NI-San_SP'!$C:$AN,MID(AD$1,1,2),FALSE)</f>
        <v>0</v>
      </c>
      <c r="AE472" s="55">
        <f>VLOOKUP($E472,'NI-San_SP'!$C:$AN,MID(AE$1,1,2),FALSE)</f>
        <v>0</v>
      </c>
      <c r="AF472" s="55">
        <f>VLOOKUP($E472,'NI-San_SP'!$C:$AN,MID(AF$1,1,2),FALSE)</f>
        <v>0</v>
      </c>
      <c r="AG472" s="55">
        <f>VLOOKUP($E472,'NI-San_SP'!$C:$AN,MID(AG$1,1,2),FALSE)</f>
        <v>0</v>
      </c>
      <c r="AH472" s="55">
        <f>VLOOKUP($E472,'NI-San_SP'!$C:$AN,MID(AH$1,1,2),FALSE)</f>
        <v>0</v>
      </c>
      <c r="AI472" s="55">
        <f>VLOOKUP($E472,'NI-San_SP'!$C:$AN,MID(AI$1,1,2),FALSE)</f>
        <v>0</v>
      </c>
      <c r="AJ472" s="55">
        <f>VLOOKUP($E472,'NI-San_SP'!$C:$AN,MID(AJ$1,1,2),FALSE)</f>
        <v>0</v>
      </c>
      <c r="AK472" s="55">
        <f>VLOOKUP($E472,'NI-San_SP'!$C:$AN,MID(AK$1,1,2),FALSE)</f>
        <v>0</v>
      </c>
      <c r="AL472" s="55">
        <f>VLOOKUP($E472,'NI-San_SP'!$C:$AN,MID(AL$1,1,2),FALSE)</f>
        <v>0</v>
      </c>
      <c r="AM472" s="56">
        <f>VLOOKUP($E472,'NI-San_SP'!$C:$AN,MID(AM$1,1,2),FALSE)</f>
        <v>0</v>
      </c>
      <c r="AN472" s="30" t="str">
        <f t="shared" si="7"/>
        <v>20301020000000</v>
      </c>
    </row>
    <row r="473" spans="1:40" x14ac:dyDescent="0.25">
      <c r="C473" s="40"/>
      <c r="D473" s="57" t="s">
        <v>1767</v>
      </c>
      <c r="E473" s="57" t="s">
        <v>1768</v>
      </c>
      <c r="F473" s="58" t="s">
        <v>110</v>
      </c>
      <c r="G473" s="52"/>
      <c r="H473" s="52"/>
      <c r="I473" s="52" t="s">
        <v>1762</v>
      </c>
      <c r="J473" s="52" t="s">
        <v>1762</v>
      </c>
      <c r="K473" s="59" t="s">
        <v>79</v>
      </c>
      <c r="L473" s="81" t="s">
        <v>1763</v>
      </c>
      <c r="M473" s="52"/>
      <c r="N473" s="52"/>
      <c r="O473" s="61" t="s">
        <v>1764</v>
      </c>
      <c r="P473" s="76" t="s">
        <v>1105</v>
      </c>
      <c r="Q473" s="55">
        <f>VLOOKUP(E473,'NI-San_SP'!$C:$AN,12,FALSE)</f>
        <v>0</v>
      </c>
      <c r="R473" s="55">
        <f>VLOOKUP(E473,'NI-San_SP'!$C:$AN,13,FALSE)</f>
        <v>0</v>
      </c>
      <c r="S473" s="55"/>
      <c r="T473" s="55"/>
      <c r="U473" s="55">
        <f>VLOOKUP($E473,'NI-San_SP'!$C:$AN,MID(U$1,1,2),FALSE)</f>
        <v>0</v>
      </c>
      <c r="V473" s="55">
        <f>VLOOKUP($E473,'NI-San_SP'!$C:$AN,MID(V$1,1,2),FALSE)</f>
        <v>0</v>
      </c>
      <c r="W473" s="55">
        <f>VLOOKUP($E473,'NI-San_SP'!$C:$AN,MID(W$1,1,2),FALSE)</f>
        <v>0</v>
      </c>
      <c r="X473" s="55">
        <f>VLOOKUP($E473,'NI-San_SP'!$C:$AN,MID(X$1,1,2),FALSE)</f>
        <v>0</v>
      </c>
      <c r="Y473" s="55">
        <f>VLOOKUP($E473,'NI-San_SP'!$C:$AN,MID(Y$1,1,2),FALSE)</f>
        <v>0</v>
      </c>
      <c r="Z473" s="55">
        <f>VLOOKUP($E473,'NI-San_SP'!$C:$AN,MID(Z$1,1,2),FALSE)</f>
        <v>0</v>
      </c>
      <c r="AA473" s="55">
        <f>VLOOKUP($E473,'NI-San_SP'!$C:$AN,MID(AA$1,1,2),FALSE)</f>
        <v>0</v>
      </c>
      <c r="AB473" s="55">
        <f>VLOOKUP($E473,'NI-San_SP'!$C:$AN,MID(AB$1,1,2),FALSE)</f>
        <v>0</v>
      </c>
      <c r="AC473" s="55">
        <f>VLOOKUP($E473,'NI-San_SP'!$C:$AN,MID(AC$1,1,2),FALSE)</f>
        <v>0</v>
      </c>
      <c r="AD473" s="55">
        <f>VLOOKUP($E473,'NI-San_SP'!$C:$AN,MID(AD$1,1,2),FALSE)</f>
        <v>0</v>
      </c>
      <c r="AE473" s="55">
        <f>VLOOKUP($E473,'NI-San_SP'!$C:$AN,MID(AE$1,1,2),FALSE)</f>
        <v>0</v>
      </c>
      <c r="AF473" s="55">
        <f>VLOOKUP($E473,'NI-San_SP'!$C:$AN,MID(AF$1,1,2),FALSE)</f>
        <v>0</v>
      </c>
      <c r="AG473" s="55">
        <f>VLOOKUP($E473,'NI-San_SP'!$C:$AN,MID(AG$1,1,2),FALSE)</f>
        <v>0</v>
      </c>
      <c r="AH473" s="55">
        <f>VLOOKUP($E473,'NI-San_SP'!$C:$AN,MID(AH$1,1,2),FALSE)</f>
        <v>0</v>
      </c>
      <c r="AI473" s="55">
        <f>VLOOKUP($E473,'NI-San_SP'!$C:$AN,MID(AI$1,1,2),FALSE)</f>
        <v>0</v>
      </c>
      <c r="AJ473" s="55">
        <f>VLOOKUP($E473,'NI-San_SP'!$C:$AN,MID(AJ$1,1,2),FALSE)</f>
        <v>0</v>
      </c>
      <c r="AK473" s="55">
        <f>VLOOKUP($E473,'NI-San_SP'!$C:$AN,MID(AK$1,1,2),FALSE)</f>
        <v>0</v>
      </c>
      <c r="AL473" s="55">
        <f>VLOOKUP($E473,'NI-San_SP'!$C:$AN,MID(AL$1,1,2),FALSE)</f>
        <v>0</v>
      </c>
      <c r="AM473" s="56">
        <f>VLOOKUP($E473,'NI-San_SP'!$C:$AN,MID(AM$1,1,2),FALSE)</f>
        <v>0</v>
      </c>
      <c r="AN473" s="30" t="str">
        <f t="shared" si="7"/>
        <v>20301030000000</v>
      </c>
    </row>
    <row r="474" spans="1:40" x14ac:dyDescent="0.25">
      <c r="C474" s="40"/>
      <c r="D474" s="57" t="s">
        <v>1769</v>
      </c>
      <c r="E474" s="57" t="s">
        <v>1770</v>
      </c>
      <c r="F474" s="58" t="s">
        <v>110</v>
      </c>
      <c r="G474" s="52"/>
      <c r="H474" s="52"/>
      <c r="I474" s="52" t="s">
        <v>1771</v>
      </c>
      <c r="J474" s="52" t="s">
        <v>1771</v>
      </c>
      <c r="K474" s="59" t="s">
        <v>79</v>
      </c>
      <c r="L474" s="81" t="s">
        <v>1772</v>
      </c>
      <c r="M474" s="52"/>
      <c r="N474" s="52"/>
      <c r="O474" s="61" t="s">
        <v>1773</v>
      </c>
      <c r="P474" s="76" t="s">
        <v>1774</v>
      </c>
      <c r="Q474" s="55">
        <f>VLOOKUP(E474,'NI-San_SP'!$C:$AN,12,FALSE)</f>
        <v>0</v>
      </c>
      <c r="R474" s="55">
        <f>VLOOKUP(E474,'NI-San_SP'!$C:$AN,13,FALSE)</f>
        <v>0</v>
      </c>
      <c r="S474" s="55"/>
      <c r="T474" s="55"/>
      <c r="U474" s="55">
        <f>VLOOKUP($E474,'NI-San_SP'!$C:$AN,MID(U$1,1,2),FALSE)</f>
        <v>0</v>
      </c>
      <c r="V474" s="55">
        <f>VLOOKUP($E474,'NI-San_SP'!$C:$AN,MID(V$1,1,2),FALSE)</f>
        <v>0</v>
      </c>
      <c r="W474" s="55">
        <f>VLOOKUP($E474,'NI-San_SP'!$C:$AN,MID(W$1,1,2),FALSE)</f>
        <v>0</v>
      </c>
      <c r="X474" s="55">
        <f>VLOOKUP($E474,'NI-San_SP'!$C:$AN,MID(X$1,1,2),FALSE)</f>
        <v>0</v>
      </c>
      <c r="Y474" s="55">
        <f>VLOOKUP($E474,'NI-San_SP'!$C:$AN,MID(Y$1,1,2),FALSE)</f>
        <v>0</v>
      </c>
      <c r="Z474" s="55">
        <f>VLOOKUP($E474,'NI-San_SP'!$C:$AN,MID(Z$1,1,2),FALSE)</f>
        <v>0</v>
      </c>
      <c r="AA474" s="55">
        <f>VLOOKUP($E474,'NI-San_SP'!$C:$AN,MID(AA$1,1,2),FALSE)</f>
        <v>0</v>
      </c>
      <c r="AB474" s="55">
        <f>VLOOKUP($E474,'NI-San_SP'!$C:$AN,MID(AB$1,1,2),FALSE)</f>
        <v>0</v>
      </c>
      <c r="AC474" s="55">
        <f>VLOOKUP($E474,'NI-San_SP'!$C:$AN,MID(AC$1,1,2),FALSE)</f>
        <v>0</v>
      </c>
      <c r="AD474" s="55">
        <f>VLOOKUP($E474,'NI-San_SP'!$C:$AN,MID(AD$1,1,2),FALSE)</f>
        <v>0</v>
      </c>
      <c r="AE474" s="55">
        <f>VLOOKUP($E474,'NI-San_SP'!$C:$AN,MID(AE$1,1,2),FALSE)</f>
        <v>0</v>
      </c>
      <c r="AF474" s="55">
        <f>VLOOKUP($E474,'NI-San_SP'!$C:$AN,MID(AF$1,1,2),FALSE)</f>
        <v>0</v>
      </c>
      <c r="AG474" s="55">
        <f>VLOOKUP($E474,'NI-San_SP'!$C:$AN,MID(AG$1,1,2),FALSE)</f>
        <v>0</v>
      </c>
      <c r="AH474" s="55">
        <f>VLOOKUP($E474,'NI-San_SP'!$C:$AN,MID(AH$1,1,2),FALSE)</f>
        <v>0</v>
      </c>
      <c r="AI474" s="55">
        <f>VLOOKUP($E474,'NI-San_SP'!$C:$AN,MID(AI$1,1,2),FALSE)</f>
        <v>0</v>
      </c>
      <c r="AJ474" s="55">
        <f>VLOOKUP($E474,'NI-San_SP'!$C:$AN,MID(AJ$1,1,2),FALSE)</f>
        <v>0</v>
      </c>
      <c r="AK474" s="55">
        <f>VLOOKUP($E474,'NI-San_SP'!$C:$AN,MID(AK$1,1,2),FALSE)</f>
        <v>0</v>
      </c>
      <c r="AL474" s="55">
        <f>VLOOKUP($E474,'NI-San_SP'!$C:$AN,MID(AL$1,1,2),FALSE)</f>
        <v>0</v>
      </c>
      <c r="AM474" s="56">
        <f>VLOOKUP($E474,'NI-San_SP'!$C:$AN,MID(AM$1,1,2),FALSE)</f>
        <v>0</v>
      </c>
      <c r="AN474" s="30" t="str">
        <f t="shared" si="7"/>
        <v>20302000000000</v>
      </c>
    </row>
    <row r="475" spans="1:40" x14ac:dyDescent="0.25">
      <c r="C475" s="40"/>
      <c r="D475" s="57" t="s">
        <v>1775</v>
      </c>
      <c r="E475" s="57" t="s">
        <v>1776</v>
      </c>
      <c r="F475" s="58" t="s">
        <v>110</v>
      </c>
      <c r="G475" s="52"/>
      <c r="H475" s="52"/>
      <c r="I475" s="52"/>
      <c r="J475" s="52"/>
      <c r="K475" s="59" t="s">
        <v>111</v>
      </c>
      <c r="L475" s="52"/>
      <c r="M475" s="52"/>
      <c r="N475" s="52"/>
      <c r="O475" s="52"/>
      <c r="P475" s="76" t="s">
        <v>1777</v>
      </c>
      <c r="Q475" s="55">
        <f>VLOOKUP(E475,'NI-San_SP'!$C:$AN,12,FALSE)</f>
        <v>22090561</v>
      </c>
      <c r="R475" s="55">
        <f>VLOOKUP(E475,'NI-San_SP'!$C:$AN,13,FALSE)</f>
        <v>15909939</v>
      </c>
      <c r="S475" s="55"/>
      <c r="T475" s="55"/>
      <c r="U475" s="55">
        <f>VLOOKUP($E475,'NI-San_SP'!$C:$AN,MID(U$1,1,2),FALSE)</f>
        <v>0</v>
      </c>
      <c r="V475" s="55">
        <f>VLOOKUP($E475,'NI-San_SP'!$C:$AN,MID(V$1,1,2),FALSE)</f>
        <v>22090561</v>
      </c>
      <c r="W475" s="55">
        <f>VLOOKUP($E475,'NI-San_SP'!$C:$AN,MID(W$1,1,2),FALSE)</f>
        <v>0</v>
      </c>
      <c r="X475" s="55">
        <f>VLOOKUP($E475,'NI-San_SP'!$C:$AN,MID(X$1,1,2),FALSE)</f>
        <v>287288949</v>
      </c>
      <c r="Y475" s="55">
        <f>VLOOKUP($E475,'NI-San_SP'!$C:$AN,MID(Y$1,1,2),FALSE)</f>
        <v>293469571</v>
      </c>
      <c r="Z475" s="55">
        <f>VLOOKUP($E475,'NI-San_SP'!$C:$AN,MID(Z$1,1,2),FALSE)</f>
        <v>15909939</v>
      </c>
      <c r="AA475" s="55">
        <f>VLOOKUP($E475,'NI-San_SP'!$C:$AN,MID(AA$1,1,2),FALSE)</f>
        <v>0</v>
      </c>
      <c r="AB475" s="55">
        <f>VLOOKUP($E475,'NI-San_SP'!$C:$AN,MID(AB$1,1,2),FALSE)</f>
        <v>0</v>
      </c>
      <c r="AC475" s="55">
        <f>VLOOKUP($E475,'NI-San_SP'!$C:$AN,MID(AC$1,1,2),FALSE)</f>
        <v>0</v>
      </c>
      <c r="AD475" s="55">
        <f>VLOOKUP($E475,'NI-San_SP'!$C:$AN,MID(AD$1,1,2),FALSE)</f>
        <v>0</v>
      </c>
      <c r="AE475" s="55">
        <f>VLOOKUP($E475,'NI-San_SP'!$C:$AN,MID(AE$1,1,2),FALSE)</f>
        <v>0</v>
      </c>
      <c r="AF475" s="55">
        <f>VLOOKUP($E475,'NI-San_SP'!$C:$AN,MID(AF$1,1,2),FALSE)</f>
        <v>0</v>
      </c>
      <c r="AG475" s="55">
        <f>VLOOKUP($E475,'NI-San_SP'!$C:$AN,MID(AG$1,1,2),FALSE)</f>
        <v>0</v>
      </c>
      <c r="AH475" s="55">
        <f>VLOOKUP($E475,'NI-San_SP'!$C:$AN,MID(AH$1,1,2),FALSE)</f>
        <v>0</v>
      </c>
      <c r="AI475" s="55">
        <f>VLOOKUP($E475,'NI-San_SP'!$C:$AN,MID(AI$1,1,2),FALSE)</f>
        <v>0</v>
      </c>
      <c r="AJ475" s="55">
        <f>VLOOKUP($E475,'NI-San_SP'!$C:$AN,MID(AJ$1,1,2),FALSE)</f>
        <v>0</v>
      </c>
      <c r="AK475" s="55">
        <f>VLOOKUP($E475,'NI-San_SP'!$C:$AN,MID(AK$1,1,2),FALSE)</f>
        <v>0</v>
      </c>
      <c r="AL475" s="55">
        <f>VLOOKUP($E475,'NI-San_SP'!$C:$AN,MID(AL$1,1,2),FALSE)</f>
        <v>0</v>
      </c>
      <c r="AM475" s="56">
        <f>VLOOKUP($E475,'NI-San_SP'!$C:$AN,MID(AM$1,1,2),FALSE)</f>
        <v>0</v>
      </c>
      <c r="AN475" s="30" t="str">
        <f t="shared" si="7"/>
        <v>20400000000000</v>
      </c>
    </row>
    <row r="476" spans="1:40" x14ac:dyDescent="0.25">
      <c r="C476" s="40"/>
      <c r="D476" s="57" t="s">
        <v>1778</v>
      </c>
      <c r="E476" s="57" t="s">
        <v>1779</v>
      </c>
      <c r="F476" s="58" t="s">
        <v>110</v>
      </c>
      <c r="G476" s="65"/>
      <c r="H476" s="52"/>
      <c r="I476" s="52" t="s">
        <v>1780</v>
      </c>
      <c r="J476" s="52" t="s">
        <v>1780</v>
      </c>
      <c r="K476" s="59" t="s">
        <v>79</v>
      </c>
      <c r="L476" s="81" t="s">
        <v>1781</v>
      </c>
      <c r="M476" s="52"/>
      <c r="N476" s="52"/>
      <c r="O476" s="61" t="s">
        <v>1782</v>
      </c>
      <c r="P476" s="76" t="s">
        <v>1783</v>
      </c>
      <c r="Q476" s="55">
        <f>VLOOKUP(E476,'NI-San_SP'!$C:$AN,12,FALSE)</f>
        <v>54618</v>
      </c>
      <c r="R476" s="55">
        <f>VLOOKUP(E476,'NI-San_SP'!$C:$AN,13,FALSE)</f>
        <v>83937</v>
      </c>
      <c r="S476" s="55"/>
      <c r="T476" s="55"/>
      <c r="U476" s="55">
        <f>VLOOKUP($E476,'NI-San_SP'!$C:$AN,MID(U$1,1,2),FALSE)</f>
        <v>0</v>
      </c>
      <c r="V476" s="55">
        <f>VLOOKUP($E476,'NI-San_SP'!$C:$AN,MID(V$1,1,2),FALSE)</f>
        <v>54618</v>
      </c>
      <c r="W476" s="55">
        <f>VLOOKUP($E476,'NI-San_SP'!$C:$AN,MID(W$1,1,2),FALSE)</f>
        <v>0</v>
      </c>
      <c r="X476" s="55">
        <f>VLOOKUP($E476,'NI-San_SP'!$C:$AN,MID(X$1,1,2),FALSE)</f>
        <v>5607713</v>
      </c>
      <c r="Y476" s="55">
        <f>VLOOKUP($E476,'NI-San_SP'!$C:$AN,MID(Y$1,1,2),FALSE)</f>
        <v>5578394</v>
      </c>
      <c r="Z476" s="55">
        <f>VLOOKUP($E476,'NI-San_SP'!$C:$AN,MID(Z$1,1,2),FALSE)</f>
        <v>83937</v>
      </c>
      <c r="AA476" s="55">
        <f>VLOOKUP($E476,'NI-San_SP'!$C:$AN,MID(AA$1,1,2),FALSE)</f>
        <v>0</v>
      </c>
      <c r="AB476" s="55">
        <f>VLOOKUP($E476,'NI-San_SP'!$C:$AN,MID(AB$1,1,2),FALSE)</f>
        <v>0</v>
      </c>
      <c r="AC476" s="55">
        <f>VLOOKUP($E476,'NI-San_SP'!$C:$AN,MID(AC$1,1,2),FALSE)</f>
        <v>0</v>
      </c>
      <c r="AD476" s="55">
        <f>VLOOKUP($E476,'NI-San_SP'!$C:$AN,MID(AD$1,1,2),FALSE)</f>
        <v>0</v>
      </c>
      <c r="AE476" s="55">
        <f>VLOOKUP($E476,'NI-San_SP'!$C:$AN,MID(AE$1,1,2),FALSE)</f>
        <v>0</v>
      </c>
      <c r="AF476" s="55">
        <f>VLOOKUP($E476,'NI-San_SP'!$C:$AN,MID(AF$1,1,2),FALSE)</f>
        <v>0</v>
      </c>
      <c r="AG476" s="55">
        <f>VLOOKUP($E476,'NI-San_SP'!$C:$AN,MID(AG$1,1,2),FALSE)</f>
        <v>0</v>
      </c>
      <c r="AH476" s="55">
        <f>VLOOKUP($E476,'NI-San_SP'!$C:$AN,MID(AH$1,1,2),FALSE)</f>
        <v>0</v>
      </c>
      <c r="AI476" s="55">
        <f>VLOOKUP($E476,'NI-San_SP'!$C:$AN,MID(AI$1,1,2),FALSE)</f>
        <v>0</v>
      </c>
      <c r="AJ476" s="55">
        <f>VLOOKUP($E476,'NI-San_SP'!$C:$AN,MID(AJ$1,1,2),FALSE)</f>
        <v>0</v>
      </c>
      <c r="AK476" s="55">
        <f>VLOOKUP($E476,'NI-San_SP'!$C:$AN,MID(AK$1,1,2),FALSE)</f>
        <v>0</v>
      </c>
      <c r="AL476" s="55">
        <f>VLOOKUP($E476,'NI-San_SP'!$C:$AN,MID(AL$1,1,2),FALSE)</f>
        <v>0</v>
      </c>
      <c r="AM476" s="56">
        <f>VLOOKUP($E476,'NI-San_SP'!$C:$AN,MID(AM$1,1,2),FALSE)</f>
        <v>0</v>
      </c>
      <c r="AN476" s="30" t="str">
        <f t="shared" si="7"/>
        <v>20401000000000</v>
      </c>
    </row>
    <row r="477" spans="1:40" x14ac:dyDescent="0.25">
      <c r="C477" s="40"/>
      <c r="D477" s="57" t="s">
        <v>1784</v>
      </c>
      <c r="E477" s="57" t="s">
        <v>1785</v>
      </c>
      <c r="F477" s="58" t="s">
        <v>110</v>
      </c>
      <c r="G477" s="65"/>
      <c r="H477" s="52"/>
      <c r="I477" s="52" t="s">
        <v>1786</v>
      </c>
      <c r="J477" s="52" t="s">
        <v>1786</v>
      </c>
      <c r="K477" s="59" t="s">
        <v>79</v>
      </c>
      <c r="L477" s="81" t="s">
        <v>1787</v>
      </c>
      <c r="M477" s="52"/>
      <c r="N477" s="52"/>
      <c r="O477" s="61" t="s">
        <v>1788</v>
      </c>
      <c r="P477" s="76" t="s">
        <v>1789</v>
      </c>
      <c r="Q477" s="55">
        <f>VLOOKUP(E477,'NI-San_SP'!$C:$AN,12,FALSE)</f>
        <v>22019007</v>
      </c>
      <c r="R477" s="55">
        <f>VLOOKUP(E477,'NI-San_SP'!$C:$AN,13,FALSE)</f>
        <v>15810342</v>
      </c>
      <c r="S477" s="55"/>
      <c r="T477" s="55"/>
      <c r="U477" s="55">
        <f>VLOOKUP($E477,'NI-San_SP'!$C:$AN,MID(U$1,1,2),FALSE)</f>
        <v>0</v>
      </c>
      <c r="V477" s="55">
        <f>VLOOKUP($E477,'NI-San_SP'!$C:$AN,MID(V$1,1,2),FALSE)</f>
        <v>22019007</v>
      </c>
      <c r="W477" s="55">
        <f>VLOOKUP($E477,'NI-San_SP'!$C:$AN,MID(W$1,1,2),FALSE)</f>
        <v>0</v>
      </c>
      <c r="X477" s="55">
        <f>VLOOKUP($E477,'NI-San_SP'!$C:$AN,MID(X$1,1,2),FALSE)</f>
        <v>281665576</v>
      </c>
      <c r="Y477" s="55">
        <f>VLOOKUP($E477,'NI-San_SP'!$C:$AN,MID(Y$1,1,2),FALSE)</f>
        <v>287874241</v>
      </c>
      <c r="Z477" s="55">
        <f>VLOOKUP($E477,'NI-San_SP'!$C:$AN,MID(Z$1,1,2),FALSE)</f>
        <v>15810342</v>
      </c>
      <c r="AA477" s="55">
        <f>VLOOKUP($E477,'NI-San_SP'!$C:$AN,MID(AA$1,1,2),FALSE)</f>
        <v>0</v>
      </c>
      <c r="AB477" s="55">
        <f>VLOOKUP($E477,'NI-San_SP'!$C:$AN,MID(AB$1,1,2),FALSE)</f>
        <v>0</v>
      </c>
      <c r="AC477" s="55">
        <f>VLOOKUP($E477,'NI-San_SP'!$C:$AN,MID(AC$1,1,2),FALSE)</f>
        <v>0</v>
      </c>
      <c r="AD477" s="55">
        <f>VLOOKUP($E477,'NI-San_SP'!$C:$AN,MID(AD$1,1,2),FALSE)</f>
        <v>0</v>
      </c>
      <c r="AE477" s="55">
        <f>VLOOKUP($E477,'NI-San_SP'!$C:$AN,MID(AE$1,1,2),FALSE)</f>
        <v>0</v>
      </c>
      <c r="AF477" s="55">
        <f>VLOOKUP($E477,'NI-San_SP'!$C:$AN,MID(AF$1,1,2),FALSE)</f>
        <v>0</v>
      </c>
      <c r="AG477" s="55">
        <f>VLOOKUP($E477,'NI-San_SP'!$C:$AN,MID(AG$1,1,2),FALSE)</f>
        <v>0</v>
      </c>
      <c r="AH477" s="55">
        <f>VLOOKUP($E477,'NI-San_SP'!$C:$AN,MID(AH$1,1,2),FALSE)</f>
        <v>0</v>
      </c>
      <c r="AI477" s="55">
        <f>VLOOKUP($E477,'NI-San_SP'!$C:$AN,MID(AI$1,1,2),FALSE)</f>
        <v>0</v>
      </c>
      <c r="AJ477" s="55">
        <f>VLOOKUP($E477,'NI-San_SP'!$C:$AN,MID(AJ$1,1,2),FALSE)</f>
        <v>0</v>
      </c>
      <c r="AK477" s="55">
        <f>VLOOKUP($E477,'NI-San_SP'!$C:$AN,MID(AK$1,1,2),FALSE)</f>
        <v>0</v>
      </c>
      <c r="AL477" s="55">
        <f>VLOOKUP($E477,'NI-San_SP'!$C:$AN,MID(AL$1,1,2),FALSE)</f>
        <v>0</v>
      </c>
      <c r="AM477" s="56">
        <f>VLOOKUP($E477,'NI-San_SP'!$C:$AN,MID(AM$1,1,2),FALSE)</f>
        <v>0</v>
      </c>
      <c r="AN477" s="30" t="str">
        <f t="shared" si="7"/>
        <v>20402000000000</v>
      </c>
    </row>
    <row r="478" spans="1:40" x14ac:dyDescent="0.25">
      <c r="C478" s="40"/>
      <c r="D478" s="57" t="s">
        <v>1790</v>
      </c>
      <c r="E478" s="57" t="s">
        <v>1791</v>
      </c>
      <c r="F478" s="58" t="s">
        <v>110</v>
      </c>
      <c r="G478" s="65"/>
      <c r="H478" s="52"/>
      <c r="I478" s="52" t="s">
        <v>1792</v>
      </c>
      <c r="J478" s="52" t="s">
        <v>1792</v>
      </c>
      <c r="K478" s="59" t="s">
        <v>79</v>
      </c>
      <c r="L478" s="81" t="s">
        <v>1793</v>
      </c>
      <c r="M478" s="52"/>
      <c r="N478" s="52"/>
      <c r="O478" s="61" t="s">
        <v>1794</v>
      </c>
      <c r="P478" s="76" t="s">
        <v>1795</v>
      </c>
      <c r="Q478" s="55">
        <f>VLOOKUP(E478,'NI-San_SP'!$C:$AN,12,FALSE)</f>
        <v>0</v>
      </c>
      <c r="R478" s="55">
        <f>VLOOKUP(E478,'NI-San_SP'!$C:$AN,13,FALSE)</f>
        <v>0</v>
      </c>
      <c r="S478" s="55"/>
      <c r="T478" s="55"/>
      <c r="U478" s="55">
        <f>VLOOKUP($E478,'NI-San_SP'!$C:$AN,MID(U$1,1,2),FALSE)</f>
        <v>0</v>
      </c>
      <c r="V478" s="55">
        <f>VLOOKUP($E478,'NI-San_SP'!$C:$AN,MID(V$1,1,2),FALSE)</f>
        <v>0</v>
      </c>
      <c r="W478" s="55">
        <f>VLOOKUP($E478,'NI-San_SP'!$C:$AN,MID(W$1,1,2),FALSE)</f>
        <v>0</v>
      </c>
      <c r="X478" s="55">
        <f>VLOOKUP($E478,'NI-San_SP'!$C:$AN,MID(X$1,1,2),FALSE)</f>
        <v>0</v>
      </c>
      <c r="Y478" s="55">
        <f>VLOOKUP($E478,'NI-San_SP'!$C:$AN,MID(Y$1,1,2),FALSE)</f>
        <v>0</v>
      </c>
      <c r="Z478" s="55">
        <f>VLOOKUP($E478,'NI-San_SP'!$C:$AN,MID(Z$1,1,2),FALSE)</f>
        <v>0</v>
      </c>
      <c r="AA478" s="55">
        <f>VLOOKUP($E478,'NI-San_SP'!$C:$AN,MID(AA$1,1,2),FALSE)</f>
        <v>0</v>
      </c>
      <c r="AB478" s="55">
        <f>VLOOKUP($E478,'NI-San_SP'!$C:$AN,MID(AB$1,1,2),FALSE)</f>
        <v>0</v>
      </c>
      <c r="AC478" s="55">
        <f>VLOOKUP($E478,'NI-San_SP'!$C:$AN,MID(AC$1,1,2),FALSE)</f>
        <v>0</v>
      </c>
      <c r="AD478" s="55">
        <f>VLOOKUP($E478,'NI-San_SP'!$C:$AN,MID(AD$1,1,2),FALSE)</f>
        <v>0</v>
      </c>
      <c r="AE478" s="55">
        <f>VLOOKUP($E478,'NI-San_SP'!$C:$AN,MID(AE$1,1,2),FALSE)</f>
        <v>0</v>
      </c>
      <c r="AF478" s="55">
        <f>VLOOKUP($E478,'NI-San_SP'!$C:$AN,MID(AF$1,1,2),FALSE)</f>
        <v>0</v>
      </c>
      <c r="AG478" s="55">
        <f>VLOOKUP($E478,'NI-San_SP'!$C:$AN,MID(AG$1,1,2),FALSE)</f>
        <v>0</v>
      </c>
      <c r="AH478" s="55">
        <f>VLOOKUP($E478,'NI-San_SP'!$C:$AN,MID(AH$1,1,2),FALSE)</f>
        <v>0</v>
      </c>
      <c r="AI478" s="55">
        <f>VLOOKUP($E478,'NI-San_SP'!$C:$AN,MID(AI$1,1,2),FALSE)</f>
        <v>0</v>
      </c>
      <c r="AJ478" s="55">
        <f>VLOOKUP($E478,'NI-San_SP'!$C:$AN,MID(AJ$1,1,2),FALSE)</f>
        <v>0</v>
      </c>
      <c r="AK478" s="55">
        <f>VLOOKUP($E478,'NI-San_SP'!$C:$AN,MID(AK$1,1,2),FALSE)</f>
        <v>0</v>
      </c>
      <c r="AL478" s="55">
        <f>VLOOKUP($E478,'NI-San_SP'!$C:$AN,MID(AL$1,1,2),FALSE)</f>
        <v>0</v>
      </c>
      <c r="AM478" s="56">
        <f>VLOOKUP($E478,'NI-San_SP'!$C:$AN,MID(AM$1,1,2),FALSE)</f>
        <v>0</v>
      </c>
      <c r="AN478" s="30" t="str">
        <f t="shared" si="7"/>
        <v>20403000000000</v>
      </c>
    </row>
    <row r="479" spans="1:40" x14ac:dyDescent="0.25">
      <c r="C479" s="40"/>
      <c r="D479" s="57" t="s">
        <v>1796</v>
      </c>
      <c r="E479" s="57" t="s">
        <v>1797</v>
      </c>
      <c r="F479" s="58" t="s">
        <v>110</v>
      </c>
      <c r="G479" s="65"/>
      <c r="H479" s="52"/>
      <c r="I479" s="52" t="s">
        <v>1798</v>
      </c>
      <c r="J479" s="52" t="s">
        <v>1798</v>
      </c>
      <c r="K479" s="59" t="s">
        <v>79</v>
      </c>
      <c r="L479" s="81" t="s">
        <v>1799</v>
      </c>
      <c r="M479" s="52"/>
      <c r="N479" s="52"/>
      <c r="O479" s="61" t="s">
        <v>1800</v>
      </c>
      <c r="P479" s="76" t="s">
        <v>1801</v>
      </c>
      <c r="Q479" s="55">
        <f>VLOOKUP(E479,'NI-San_SP'!$C:$AN,12,FALSE)</f>
        <v>16936</v>
      </c>
      <c r="R479" s="55">
        <f>VLOOKUP(E479,'NI-San_SP'!$C:$AN,13,FALSE)</f>
        <v>15660</v>
      </c>
      <c r="S479" s="55"/>
      <c r="T479" s="55"/>
      <c r="U479" s="55">
        <f>VLOOKUP($E479,'NI-San_SP'!$C:$AN,MID(U$1,1,2),FALSE)</f>
        <v>0</v>
      </c>
      <c r="V479" s="55">
        <f>VLOOKUP($E479,'NI-San_SP'!$C:$AN,MID(V$1,1,2),FALSE)</f>
        <v>16936</v>
      </c>
      <c r="W479" s="55">
        <f>VLOOKUP($E479,'NI-San_SP'!$C:$AN,MID(W$1,1,2),FALSE)</f>
        <v>0</v>
      </c>
      <c r="X479" s="55">
        <f>VLOOKUP($E479,'NI-San_SP'!$C:$AN,MID(X$1,1,2),FALSE)</f>
        <v>15660</v>
      </c>
      <c r="Y479" s="55">
        <f>VLOOKUP($E479,'NI-San_SP'!$C:$AN,MID(Y$1,1,2),FALSE)</f>
        <v>16936</v>
      </c>
      <c r="Z479" s="55">
        <f>VLOOKUP($E479,'NI-San_SP'!$C:$AN,MID(Z$1,1,2),FALSE)</f>
        <v>15660</v>
      </c>
      <c r="AA479" s="55">
        <f>VLOOKUP($E479,'NI-San_SP'!$C:$AN,MID(AA$1,1,2),FALSE)</f>
        <v>0</v>
      </c>
      <c r="AB479" s="55">
        <f>VLOOKUP($E479,'NI-San_SP'!$C:$AN,MID(AB$1,1,2),FALSE)</f>
        <v>0</v>
      </c>
      <c r="AC479" s="55">
        <f>VLOOKUP($E479,'NI-San_SP'!$C:$AN,MID(AC$1,1,2),FALSE)</f>
        <v>0</v>
      </c>
      <c r="AD479" s="55">
        <f>VLOOKUP($E479,'NI-San_SP'!$C:$AN,MID(AD$1,1,2),FALSE)</f>
        <v>0</v>
      </c>
      <c r="AE479" s="55">
        <f>VLOOKUP($E479,'NI-San_SP'!$C:$AN,MID(AE$1,1,2),FALSE)</f>
        <v>0</v>
      </c>
      <c r="AF479" s="55">
        <f>VLOOKUP($E479,'NI-San_SP'!$C:$AN,MID(AF$1,1,2),FALSE)</f>
        <v>0</v>
      </c>
      <c r="AG479" s="55">
        <f>VLOOKUP($E479,'NI-San_SP'!$C:$AN,MID(AG$1,1,2),FALSE)</f>
        <v>0</v>
      </c>
      <c r="AH479" s="55">
        <f>VLOOKUP($E479,'NI-San_SP'!$C:$AN,MID(AH$1,1,2),FALSE)</f>
        <v>0</v>
      </c>
      <c r="AI479" s="55">
        <f>VLOOKUP($E479,'NI-San_SP'!$C:$AN,MID(AI$1,1,2),FALSE)</f>
        <v>0</v>
      </c>
      <c r="AJ479" s="55">
        <f>VLOOKUP($E479,'NI-San_SP'!$C:$AN,MID(AJ$1,1,2),FALSE)</f>
        <v>0</v>
      </c>
      <c r="AK479" s="55">
        <f>VLOOKUP($E479,'NI-San_SP'!$C:$AN,MID(AK$1,1,2),FALSE)</f>
        <v>0</v>
      </c>
      <c r="AL479" s="55">
        <f>VLOOKUP($E479,'NI-San_SP'!$C:$AN,MID(AL$1,1,2),FALSE)</f>
        <v>0</v>
      </c>
      <c r="AM479" s="56">
        <f>VLOOKUP($E479,'NI-San_SP'!$C:$AN,MID(AM$1,1,2),FALSE)</f>
        <v>0</v>
      </c>
      <c r="AN479" s="30" t="str">
        <f t="shared" si="7"/>
        <v>20404000000000</v>
      </c>
    </row>
    <row r="480" spans="1:40" x14ac:dyDescent="0.25">
      <c r="C480" s="40"/>
      <c r="D480" s="49" t="s">
        <v>1802</v>
      </c>
      <c r="E480" s="49" t="s">
        <v>1803</v>
      </c>
      <c r="F480" s="50" t="s">
        <v>110</v>
      </c>
      <c r="G480" s="51"/>
      <c r="H480" s="52"/>
      <c r="I480" s="52"/>
      <c r="J480" s="52"/>
      <c r="K480" s="53" t="s">
        <v>111</v>
      </c>
      <c r="L480" s="81" t="s">
        <v>1804</v>
      </c>
      <c r="M480" s="52"/>
      <c r="N480" s="52"/>
      <c r="O480" s="52"/>
      <c r="P480" s="76" t="s">
        <v>1805</v>
      </c>
      <c r="Q480" s="55">
        <f>VLOOKUP(E480,'NI-San_SP'!$C:$AN,12,FALSE)</f>
        <v>33745</v>
      </c>
      <c r="R480" s="55">
        <f>VLOOKUP(E480,'NI-San_SP'!$C:$AN,13,FALSE)</f>
        <v>8490</v>
      </c>
      <c r="S480" s="55"/>
      <c r="T480" s="55"/>
      <c r="U480" s="55">
        <f>VLOOKUP($E480,'NI-San_SP'!$C:$AN,MID(U$1,1,2),FALSE)</f>
        <v>0</v>
      </c>
      <c r="V480" s="55">
        <f>VLOOKUP($E480,'NI-San_SP'!$C:$AN,MID(V$1,1,2),FALSE)</f>
        <v>0</v>
      </c>
      <c r="W480" s="55">
        <f>VLOOKUP($E480,'NI-San_SP'!$C:$AN,MID(W$1,1,2),FALSE)</f>
        <v>0</v>
      </c>
      <c r="X480" s="55">
        <f>VLOOKUP($E480,'NI-San_SP'!$C:$AN,MID(X$1,1,2),FALSE)</f>
        <v>0</v>
      </c>
      <c r="Y480" s="55">
        <f>VLOOKUP($E480,'NI-San_SP'!$C:$AN,MID(Y$1,1,2),FALSE)</f>
        <v>0</v>
      </c>
      <c r="Z480" s="55">
        <f>VLOOKUP($E480,'NI-San_SP'!$C:$AN,MID(Z$1,1,2),FALSE)</f>
        <v>0</v>
      </c>
      <c r="AA480" s="55">
        <f>VLOOKUP($E480,'NI-San_SP'!$C:$AN,MID(AA$1,1,2),FALSE)</f>
        <v>0</v>
      </c>
      <c r="AB480" s="55">
        <f>VLOOKUP($E480,'NI-San_SP'!$C:$AN,MID(AB$1,1,2),FALSE)</f>
        <v>0</v>
      </c>
      <c r="AC480" s="55">
        <f>VLOOKUP($E480,'NI-San_SP'!$C:$AN,MID(AC$1,1,2),FALSE)</f>
        <v>0</v>
      </c>
      <c r="AD480" s="55">
        <f>VLOOKUP($E480,'NI-San_SP'!$C:$AN,MID(AD$1,1,2),FALSE)</f>
        <v>0</v>
      </c>
      <c r="AE480" s="55">
        <f>VLOOKUP($E480,'NI-San_SP'!$C:$AN,MID(AE$1,1,2),FALSE)</f>
        <v>0</v>
      </c>
      <c r="AF480" s="55">
        <f>VLOOKUP($E480,'NI-San_SP'!$C:$AN,MID(AF$1,1,2),FALSE)</f>
        <v>0</v>
      </c>
      <c r="AG480" s="55">
        <f>VLOOKUP($E480,'NI-San_SP'!$C:$AN,MID(AG$1,1,2),FALSE)</f>
        <v>0</v>
      </c>
      <c r="AH480" s="55">
        <f>VLOOKUP($E480,'NI-San_SP'!$C:$AN,MID(AH$1,1,2),FALSE)</f>
        <v>0</v>
      </c>
      <c r="AI480" s="55">
        <f>VLOOKUP($E480,'NI-San_SP'!$C:$AN,MID(AI$1,1,2),FALSE)</f>
        <v>0</v>
      </c>
      <c r="AJ480" s="55">
        <f>VLOOKUP($E480,'NI-San_SP'!$C:$AN,MID(AJ$1,1,2),FALSE)</f>
        <v>0</v>
      </c>
      <c r="AK480" s="55">
        <f>VLOOKUP($E480,'NI-San_SP'!$C:$AN,MID(AK$1,1,2),FALSE)</f>
        <v>0</v>
      </c>
      <c r="AL480" s="55">
        <f>VLOOKUP($E480,'NI-San_SP'!$C:$AN,MID(AL$1,1,2),FALSE)</f>
        <v>0</v>
      </c>
      <c r="AM480" s="56">
        <f>VLOOKUP($E480,'NI-San_SP'!$C:$AN,MID(AM$1,1,2),FALSE)</f>
        <v>0</v>
      </c>
      <c r="AN480" s="30" t="str">
        <f t="shared" si="7"/>
        <v>30000000000000</v>
      </c>
    </row>
    <row r="481" spans="1:40" x14ac:dyDescent="0.25">
      <c r="C481" s="40"/>
      <c r="D481" s="57" t="s">
        <v>1806</v>
      </c>
      <c r="E481" s="57" t="s">
        <v>1807</v>
      </c>
      <c r="F481" s="58" t="s">
        <v>110</v>
      </c>
      <c r="G481" s="52"/>
      <c r="H481" s="52"/>
      <c r="I481" s="52"/>
      <c r="J481" s="52"/>
      <c r="K481" s="59" t="s">
        <v>111</v>
      </c>
      <c r="L481" s="52"/>
      <c r="M481" s="52"/>
      <c r="N481" s="52"/>
      <c r="O481" s="61" t="s">
        <v>1808</v>
      </c>
      <c r="P481" s="76" t="s">
        <v>1809</v>
      </c>
      <c r="Q481" s="55">
        <f>VLOOKUP(E481,'NI-San_SP'!$C:$AN,12,FALSE)</f>
        <v>0</v>
      </c>
      <c r="R481" s="55">
        <f>VLOOKUP(E481,'NI-San_SP'!$C:$AN,13,FALSE)</f>
        <v>0</v>
      </c>
      <c r="S481" s="55"/>
      <c r="T481" s="55"/>
      <c r="U481" s="55">
        <f>VLOOKUP($E481,'NI-San_SP'!$C:$AN,MID(U$1,1,2),FALSE)</f>
        <v>0</v>
      </c>
      <c r="V481" s="55">
        <f>VLOOKUP($E481,'NI-San_SP'!$C:$AN,MID(V$1,1,2),FALSE)</f>
        <v>0</v>
      </c>
      <c r="W481" s="55">
        <f>VLOOKUP($E481,'NI-San_SP'!$C:$AN,MID(W$1,1,2),FALSE)</f>
        <v>0</v>
      </c>
      <c r="X481" s="55">
        <f>VLOOKUP($E481,'NI-San_SP'!$C:$AN,MID(X$1,1,2),FALSE)</f>
        <v>0</v>
      </c>
      <c r="Y481" s="55">
        <f>VLOOKUP($E481,'NI-San_SP'!$C:$AN,MID(Y$1,1,2),FALSE)</f>
        <v>0</v>
      </c>
      <c r="Z481" s="55">
        <f>VLOOKUP($E481,'NI-San_SP'!$C:$AN,MID(Z$1,1,2),FALSE)</f>
        <v>0</v>
      </c>
      <c r="AA481" s="55">
        <f>VLOOKUP($E481,'NI-San_SP'!$C:$AN,MID(AA$1,1,2),FALSE)</f>
        <v>0</v>
      </c>
      <c r="AB481" s="55">
        <f>VLOOKUP($E481,'NI-San_SP'!$C:$AN,MID(AB$1,1,2),FALSE)</f>
        <v>0</v>
      </c>
      <c r="AC481" s="55">
        <f>VLOOKUP($E481,'NI-San_SP'!$C:$AN,MID(AC$1,1,2),FALSE)</f>
        <v>0</v>
      </c>
      <c r="AD481" s="55">
        <f>VLOOKUP($E481,'NI-San_SP'!$C:$AN,MID(AD$1,1,2),FALSE)</f>
        <v>0</v>
      </c>
      <c r="AE481" s="55">
        <f>VLOOKUP($E481,'NI-San_SP'!$C:$AN,MID(AE$1,1,2),FALSE)</f>
        <v>0</v>
      </c>
      <c r="AF481" s="55">
        <f>VLOOKUP($E481,'NI-San_SP'!$C:$AN,MID(AF$1,1,2),FALSE)</f>
        <v>0</v>
      </c>
      <c r="AG481" s="55">
        <f>VLOOKUP($E481,'NI-San_SP'!$C:$AN,MID(AG$1,1,2),FALSE)</f>
        <v>0</v>
      </c>
      <c r="AH481" s="55">
        <f>VLOOKUP($E481,'NI-San_SP'!$C:$AN,MID(AH$1,1,2),FALSE)</f>
        <v>0</v>
      </c>
      <c r="AI481" s="55">
        <f>VLOOKUP($E481,'NI-San_SP'!$C:$AN,MID(AI$1,1,2),FALSE)</f>
        <v>0</v>
      </c>
      <c r="AJ481" s="55">
        <f>VLOOKUP($E481,'NI-San_SP'!$C:$AN,MID(AJ$1,1,2),FALSE)</f>
        <v>0</v>
      </c>
      <c r="AK481" s="55">
        <f>VLOOKUP($E481,'NI-San_SP'!$C:$AN,MID(AK$1,1,2),FALSE)</f>
        <v>0</v>
      </c>
      <c r="AL481" s="55">
        <f>VLOOKUP($E481,'NI-San_SP'!$C:$AN,MID(AL$1,1,2),FALSE)</f>
        <v>0</v>
      </c>
      <c r="AM481" s="56">
        <f>VLOOKUP($E481,'NI-San_SP'!$C:$AN,MID(AM$1,1,2),FALSE)</f>
        <v>0</v>
      </c>
      <c r="AN481" s="30" t="str">
        <f t="shared" si="7"/>
        <v>30100000000000</v>
      </c>
    </row>
    <row r="482" spans="1:40" x14ac:dyDescent="0.25">
      <c r="C482" s="40"/>
      <c r="D482" s="57" t="s">
        <v>1810</v>
      </c>
      <c r="E482" s="57" t="s">
        <v>1811</v>
      </c>
      <c r="F482" s="58" t="s">
        <v>110</v>
      </c>
      <c r="G482" s="52"/>
      <c r="H482" s="52"/>
      <c r="I482" s="52" t="s">
        <v>1812</v>
      </c>
      <c r="J482" s="52" t="s">
        <v>1812</v>
      </c>
      <c r="K482" s="59" t="s">
        <v>79</v>
      </c>
      <c r="L482" s="52"/>
      <c r="M482" s="52"/>
      <c r="N482" s="52"/>
      <c r="O482" s="52"/>
      <c r="P482" s="76" t="s">
        <v>1813</v>
      </c>
      <c r="Q482" s="55">
        <f>VLOOKUP(E482,'NI-San_SP'!$C:$AN,12,FALSE)</f>
        <v>0</v>
      </c>
      <c r="R482" s="55">
        <f>VLOOKUP(E482,'NI-San_SP'!$C:$AN,13,FALSE)</f>
        <v>0</v>
      </c>
      <c r="S482" s="55"/>
      <c r="T482" s="55"/>
      <c r="U482" s="55">
        <f>VLOOKUP($E482,'NI-San_SP'!$C:$AN,MID(U$1,1,2),FALSE)</f>
        <v>0</v>
      </c>
      <c r="V482" s="55">
        <f>VLOOKUP($E482,'NI-San_SP'!$C:$AN,MID(V$1,1,2),FALSE)</f>
        <v>0</v>
      </c>
      <c r="W482" s="55">
        <f>VLOOKUP($E482,'NI-San_SP'!$C:$AN,MID(W$1,1,2),FALSE)</f>
        <v>0</v>
      </c>
      <c r="X482" s="55">
        <f>VLOOKUP($E482,'NI-San_SP'!$C:$AN,MID(X$1,1,2),FALSE)</f>
        <v>0</v>
      </c>
      <c r="Y482" s="55">
        <f>VLOOKUP($E482,'NI-San_SP'!$C:$AN,MID(Y$1,1,2),FALSE)</f>
        <v>0</v>
      </c>
      <c r="Z482" s="55">
        <f>VLOOKUP($E482,'NI-San_SP'!$C:$AN,MID(Z$1,1,2),FALSE)</f>
        <v>0</v>
      </c>
      <c r="AA482" s="55">
        <f>VLOOKUP($E482,'NI-San_SP'!$C:$AN,MID(AA$1,1,2),FALSE)</f>
        <v>0</v>
      </c>
      <c r="AB482" s="55">
        <f>VLOOKUP($E482,'NI-San_SP'!$C:$AN,MID(AB$1,1,2),FALSE)</f>
        <v>0</v>
      </c>
      <c r="AC482" s="55">
        <f>VLOOKUP($E482,'NI-San_SP'!$C:$AN,MID(AC$1,1,2),FALSE)</f>
        <v>0</v>
      </c>
      <c r="AD482" s="55">
        <f>VLOOKUP($E482,'NI-San_SP'!$C:$AN,MID(AD$1,1,2),FALSE)</f>
        <v>0</v>
      </c>
      <c r="AE482" s="55">
        <f>VLOOKUP($E482,'NI-San_SP'!$C:$AN,MID(AE$1,1,2),FALSE)</f>
        <v>0</v>
      </c>
      <c r="AF482" s="55">
        <f>VLOOKUP($E482,'NI-San_SP'!$C:$AN,MID(AF$1,1,2),FALSE)</f>
        <v>0</v>
      </c>
      <c r="AG482" s="55">
        <f>VLOOKUP($E482,'NI-San_SP'!$C:$AN,MID(AG$1,1,2),FALSE)</f>
        <v>0</v>
      </c>
      <c r="AH482" s="55">
        <f>VLOOKUP($E482,'NI-San_SP'!$C:$AN,MID(AH$1,1,2),FALSE)</f>
        <v>0</v>
      </c>
      <c r="AI482" s="55">
        <f>VLOOKUP($E482,'NI-San_SP'!$C:$AN,MID(AI$1,1,2),FALSE)</f>
        <v>0</v>
      </c>
      <c r="AJ482" s="55">
        <f>VLOOKUP($E482,'NI-San_SP'!$C:$AN,MID(AJ$1,1,2),FALSE)</f>
        <v>0</v>
      </c>
      <c r="AK482" s="55">
        <f>VLOOKUP($E482,'NI-San_SP'!$C:$AN,MID(AK$1,1,2),FALSE)</f>
        <v>0</v>
      </c>
      <c r="AL482" s="55">
        <f>VLOOKUP($E482,'NI-San_SP'!$C:$AN,MID(AL$1,1,2),FALSE)</f>
        <v>0</v>
      </c>
      <c r="AM482" s="56">
        <f>VLOOKUP($E482,'NI-San_SP'!$C:$AN,MID(AM$1,1,2),FALSE)</f>
        <v>0</v>
      </c>
      <c r="AN482" s="30" t="str">
        <f t="shared" si="7"/>
        <v>30101000000000</v>
      </c>
    </row>
    <row r="483" spans="1:40" x14ac:dyDescent="0.25">
      <c r="C483" s="40"/>
      <c r="D483" s="57" t="s">
        <v>1814</v>
      </c>
      <c r="E483" s="57" t="s">
        <v>1815</v>
      </c>
      <c r="F483" s="58" t="s">
        <v>110</v>
      </c>
      <c r="G483" s="52" t="s">
        <v>1608</v>
      </c>
      <c r="H483" s="52"/>
      <c r="I483" s="52" t="s">
        <v>1816</v>
      </c>
      <c r="J483" s="52" t="s">
        <v>1816</v>
      </c>
      <c r="K483" s="59" t="s">
        <v>111</v>
      </c>
      <c r="L483" s="52"/>
      <c r="M483" s="52"/>
      <c r="N483" s="52"/>
      <c r="O483" s="52"/>
      <c r="P483" s="76" t="s">
        <v>1817</v>
      </c>
      <c r="Q483" s="55">
        <f>VLOOKUP(E483,'NI-San_SP'!$C:$AN,12,FALSE)</f>
        <v>0</v>
      </c>
      <c r="R483" s="55">
        <f>VLOOKUP(E483,'NI-San_SP'!$C:$AN,13,FALSE)</f>
        <v>0</v>
      </c>
      <c r="S483" s="55"/>
      <c r="T483" s="55"/>
      <c r="U483" s="55">
        <f>VLOOKUP($E483,'NI-San_SP'!$C:$AN,MID(U$1,1,2),FALSE)</f>
        <v>0</v>
      </c>
      <c r="V483" s="55">
        <f>VLOOKUP($E483,'NI-San_SP'!$C:$AN,MID(V$1,1,2),FALSE)</f>
        <v>0</v>
      </c>
      <c r="W483" s="55">
        <f>VLOOKUP($E483,'NI-San_SP'!$C:$AN,MID(W$1,1,2),FALSE)</f>
        <v>0</v>
      </c>
      <c r="X483" s="55">
        <f>VLOOKUP($E483,'NI-San_SP'!$C:$AN,MID(X$1,1,2),FALSE)</f>
        <v>0</v>
      </c>
      <c r="Y483" s="55">
        <f>VLOOKUP($E483,'NI-San_SP'!$C:$AN,MID(Y$1,1,2),FALSE)</f>
        <v>0</v>
      </c>
      <c r="Z483" s="55">
        <f>VLOOKUP($E483,'NI-San_SP'!$C:$AN,MID(Z$1,1,2),FALSE)</f>
        <v>0</v>
      </c>
      <c r="AA483" s="55">
        <f>VLOOKUP($E483,'NI-San_SP'!$C:$AN,MID(AA$1,1,2),FALSE)</f>
        <v>0</v>
      </c>
      <c r="AB483" s="55">
        <f>VLOOKUP($E483,'NI-San_SP'!$C:$AN,MID(AB$1,1,2),FALSE)</f>
        <v>0</v>
      </c>
      <c r="AC483" s="55">
        <f>VLOOKUP($E483,'NI-San_SP'!$C:$AN,MID(AC$1,1,2),FALSE)</f>
        <v>0</v>
      </c>
      <c r="AD483" s="55">
        <f>VLOOKUP($E483,'NI-San_SP'!$C:$AN,MID(AD$1,1,2),FALSE)</f>
        <v>0</v>
      </c>
      <c r="AE483" s="55">
        <f>VLOOKUP($E483,'NI-San_SP'!$C:$AN,MID(AE$1,1,2),FALSE)</f>
        <v>0</v>
      </c>
      <c r="AF483" s="55">
        <f>VLOOKUP($E483,'NI-San_SP'!$C:$AN,MID(AF$1,1,2),FALSE)</f>
        <v>0</v>
      </c>
      <c r="AG483" s="55">
        <f>VLOOKUP($E483,'NI-San_SP'!$C:$AN,MID(AG$1,1,2),FALSE)</f>
        <v>0</v>
      </c>
      <c r="AH483" s="55">
        <f>VLOOKUP($E483,'NI-San_SP'!$C:$AN,MID(AH$1,1,2),FALSE)</f>
        <v>0</v>
      </c>
      <c r="AI483" s="55">
        <f>VLOOKUP($E483,'NI-San_SP'!$C:$AN,MID(AI$1,1,2),FALSE)</f>
        <v>0</v>
      </c>
      <c r="AJ483" s="55">
        <f>VLOOKUP($E483,'NI-San_SP'!$C:$AN,MID(AJ$1,1,2),FALSE)</f>
        <v>0</v>
      </c>
      <c r="AK483" s="55">
        <f>VLOOKUP($E483,'NI-San_SP'!$C:$AN,MID(AK$1,1,2),FALSE)</f>
        <v>0</v>
      </c>
      <c r="AL483" s="55">
        <f>VLOOKUP($E483,'NI-San_SP'!$C:$AN,MID(AL$1,1,2),FALSE)</f>
        <v>0</v>
      </c>
      <c r="AM483" s="56">
        <f>VLOOKUP($E483,'NI-San_SP'!$C:$AN,MID(AM$1,1,2),FALSE)</f>
        <v>0</v>
      </c>
      <c r="AN483" s="30" t="str">
        <f t="shared" si="7"/>
        <v>30102000000000</v>
      </c>
    </row>
    <row r="484" spans="1:40" x14ac:dyDescent="0.25">
      <c r="C484" s="40"/>
      <c r="D484" s="57" t="s">
        <v>1818</v>
      </c>
      <c r="E484" s="57" t="s">
        <v>1819</v>
      </c>
      <c r="F484" s="58" t="s">
        <v>110</v>
      </c>
      <c r="G484" s="52" t="s">
        <v>1608</v>
      </c>
      <c r="H484" s="52"/>
      <c r="I484" s="52"/>
      <c r="J484" s="52"/>
      <c r="K484" s="59" t="s">
        <v>79</v>
      </c>
      <c r="L484" s="52"/>
      <c r="M484" s="52"/>
      <c r="N484" s="52"/>
      <c r="O484" s="52"/>
      <c r="P484" s="76" t="s">
        <v>1820</v>
      </c>
      <c r="Q484" s="55">
        <f>VLOOKUP(E484,'NI-San_SP'!$C:$AN,12,FALSE)</f>
        <v>0</v>
      </c>
      <c r="R484" s="55">
        <f>VLOOKUP(E484,'NI-San_SP'!$C:$AN,13,FALSE)</f>
        <v>0</v>
      </c>
      <c r="S484" s="55"/>
      <c r="T484" s="55"/>
      <c r="U484" s="55">
        <f>VLOOKUP($E484,'NI-San_SP'!$C:$AN,MID(U$1,1,2),FALSE)</f>
        <v>0</v>
      </c>
      <c r="V484" s="55">
        <f>VLOOKUP($E484,'NI-San_SP'!$C:$AN,MID(V$1,1,2),FALSE)</f>
        <v>0</v>
      </c>
      <c r="W484" s="55">
        <f>VLOOKUP($E484,'NI-San_SP'!$C:$AN,MID(W$1,1,2),FALSE)</f>
        <v>0</v>
      </c>
      <c r="X484" s="55">
        <f>VLOOKUP($E484,'NI-San_SP'!$C:$AN,MID(X$1,1,2),FALSE)</f>
        <v>0</v>
      </c>
      <c r="Y484" s="55">
        <f>VLOOKUP($E484,'NI-San_SP'!$C:$AN,MID(Y$1,1,2),FALSE)</f>
        <v>0</v>
      </c>
      <c r="Z484" s="55">
        <f>VLOOKUP($E484,'NI-San_SP'!$C:$AN,MID(Z$1,1,2),FALSE)</f>
        <v>0</v>
      </c>
      <c r="AA484" s="55">
        <f>VLOOKUP($E484,'NI-San_SP'!$C:$AN,MID(AA$1,1,2),FALSE)</f>
        <v>0</v>
      </c>
      <c r="AB484" s="55">
        <f>VLOOKUP($E484,'NI-San_SP'!$C:$AN,MID(AB$1,1,2),FALSE)</f>
        <v>0</v>
      </c>
      <c r="AC484" s="55">
        <f>VLOOKUP($E484,'NI-San_SP'!$C:$AN,MID(AC$1,1,2),FALSE)</f>
        <v>0</v>
      </c>
      <c r="AD484" s="55">
        <f>VLOOKUP($E484,'NI-San_SP'!$C:$AN,MID(AD$1,1,2),FALSE)</f>
        <v>0</v>
      </c>
      <c r="AE484" s="55">
        <f>VLOOKUP($E484,'NI-San_SP'!$C:$AN,MID(AE$1,1,2),FALSE)</f>
        <v>0</v>
      </c>
      <c r="AF484" s="55">
        <f>VLOOKUP($E484,'NI-San_SP'!$C:$AN,MID(AF$1,1,2),FALSE)</f>
        <v>0</v>
      </c>
      <c r="AG484" s="55">
        <f>VLOOKUP($E484,'NI-San_SP'!$C:$AN,MID(AG$1,1,2),FALSE)</f>
        <v>0</v>
      </c>
      <c r="AH484" s="55">
        <f>VLOOKUP($E484,'NI-San_SP'!$C:$AN,MID(AH$1,1,2),FALSE)</f>
        <v>0</v>
      </c>
      <c r="AI484" s="55">
        <f>VLOOKUP($E484,'NI-San_SP'!$C:$AN,MID(AI$1,1,2),FALSE)</f>
        <v>0</v>
      </c>
      <c r="AJ484" s="55">
        <f>VLOOKUP($E484,'NI-San_SP'!$C:$AN,MID(AJ$1,1,2),FALSE)</f>
        <v>0</v>
      </c>
      <c r="AK484" s="55">
        <f>VLOOKUP($E484,'NI-San_SP'!$C:$AN,MID(AK$1,1,2),FALSE)</f>
        <v>0</v>
      </c>
      <c r="AL484" s="55">
        <f>VLOOKUP($E484,'NI-San_SP'!$C:$AN,MID(AL$1,1,2),FALSE)</f>
        <v>0</v>
      </c>
      <c r="AM484" s="56">
        <f>VLOOKUP($E484,'NI-San_SP'!$C:$AN,MID(AM$1,1,2),FALSE)</f>
        <v>0</v>
      </c>
      <c r="AN484" s="30" t="str">
        <f t="shared" si="7"/>
        <v>30102010000000</v>
      </c>
    </row>
    <row r="485" spans="1:40" x14ac:dyDescent="0.25">
      <c r="C485" s="40"/>
      <c r="D485" s="57" t="s">
        <v>1821</v>
      </c>
      <c r="E485" s="57" t="s">
        <v>1822</v>
      </c>
      <c r="F485" s="58" t="s">
        <v>110</v>
      </c>
      <c r="G485" s="52" t="s">
        <v>1608</v>
      </c>
      <c r="H485" s="52"/>
      <c r="I485" s="52"/>
      <c r="J485" s="52"/>
      <c r="K485" s="59" t="s">
        <v>79</v>
      </c>
      <c r="L485" s="52"/>
      <c r="M485" s="52"/>
      <c r="N485" s="52"/>
      <c r="O485" s="52"/>
      <c r="P485" s="76" t="s">
        <v>1823</v>
      </c>
      <c r="Q485" s="55">
        <f>VLOOKUP(E485,'NI-San_SP'!$C:$AN,12,FALSE)</f>
        <v>0</v>
      </c>
      <c r="R485" s="55">
        <f>VLOOKUP(E485,'NI-San_SP'!$C:$AN,13,FALSE)</f>
        <v>0</v>
      </c>
      <c r="S485" s="55"/>
      <c r="T485" s="55"/>
      <c r="U485" s="55">
        <f>VLOOKUP($E485,'NI-San_SP'!$C:$AN,MID(U$1,1,2),FALSE)</f>
        <v>0</v>
      </c>
      <c r="V485" s="55">
        <f>VLOOKUP($E485,'NI-San_SP'!$C:$AN,MID(V$1,1,2),FALSE)</f>
        <v>0</v>
      </c>
      <c r="W485" s="55">
        <f>VLOOKUP($E485,'NI-San_SP'!$C:$AN,MID(W$1,1,2),FALSE)</f>
        <v>0</v>
      </c>
      <c r="X485" s="55">
        <f>VLOOKUP($E485,'NI-San_SP'!$C:$AN,MID(X$1,1,2),FALSE)</f>
        <v>0</v>
      </c>
      <c r="Y485" s="55">
        <f>VLOOKUP($E485,'NI-San_SP'!$C:$AN,MID(Y$1,1,2),FALSE)</f>
        <v>0</v>
      </c>
      <c r="Z485" s="55">
        <f>VLOOKUP($E485,'NI-San_SP'!$C:$AN,MID(Z$1,1,2),FALSE)</f>
        <v>0</v>
      </c>
      <c r="AA485" s="55">
        <f>VLOOKUP($E485,'NI-San_SP'!$C:$AN,MID(AA$1,1,2),FALSE)</f>
        <v>0</v>
      </c>
      <c r="AB485" s="55">
        <f>VLOOKUP($E485,'NI-San_SP'!$C:$AN,MID(AB$1,1,2),FALSE)</f>
        <v>0</v>
      </c>
      <c r="AC485" s="55">
        <f>VLOOKUP($E485,'NI-San_SP'!$C:$AN,MID(AC$1,1,2),FALSE)</f>
        <v>0</v>
      </c>
      <c r="AD485" s="55">
        <f>VLOOKUP($E485,'NI-San_SP'!$C:$AN,MID(AD$1,1,2),FALSE)</f>
        <v>0</v>
      </c>
      <c r="AE485" s="55">
        <f>VLOOKUP($E485,'NI-San_SP'!$C:$AN,MID(AE$1,1,2),FALSE)</f>
        <v>0</v>
      </c>
      <c r="AF485" s="55">
        <f>VLOOKUP($E485,'NI-San_SP'!$C:$AN,MID(AF$1,1,2),FALSE)</f>
        <v>0</v>
      </c>
      <c r="AG485" s="55">
        <f>VLOOKUP($E485,'NI-San_SP'!$C:$AN,MID(AG$1,1,2),FALSE)</f>
        <v>0</v>
      </c>
      <c r="AH485" s="55">
        <f>VLOOKUP($E485,'NI-San_SP'!$C:$AN,MID(AH$1,1,2),FALSE)</f>
        <v>0</v>
      </c>
      <c r="AI485" s="55">
        <f>VLOOKUP($E485,'NI-San_SP'!$C:$AN,MID(AI$1,1,2),FALSE)</f>
        <v>0</v>
      </c>
      <c r="AJ485" s="55">
        <f>VLOOKUP($E485,'NI-San_SP'!$C:$AN,MID(AJ$1,1,2),FALSE)</f>
        <v>0</v>
      </c>
      <c r="AK485" s="55">
        <f>VLOOKUP($E485,'NI-San_SP'!$C:$AN,MID(AK$1,1,2),FALSE)</f>
        <v>0</v>
      </c>
      <c r="AL485" s="55">
        <f>VLOOKUP($E485,'NI-San_SP'!$C:$AN,MID(AL$1,1,2),FALSE)</f>
        <v>0</v>
      </c>
      <c r="AM485" s="56">
        <f>VLOOKUP($E485,'NI-San_SP'!$C:$AN,MID(AM$1,1,2),FALSE)</f>
        <v>0</v>
      </c>
      <c r="AN485" s="30" t="str">
        <f t="shared" si="7"/>
        <v>30102020000000</v>
      </c>
    </row>
    <row r="486" spans="1:40" x14ac:dyDescent="0.25">
      <c r="C486" s="40"/>
      <c r="D486" s="57" t="s">
        <v>1824</v>
      </c>
      <c r="E486" s="57" t="s">
        <v>1825</v>
      </c>
      <c r="F486" s="58" t="s">
        <v>110</v>
      </c>
      <c r="G486" s="52" t="s">
        <v>1608</v>
      </c>
      <c r="H486" s="52"/>
      <c r="I486" s="52"/>
      <c r="J486" s="52"/>
      <c r="K486" s="59" t="s">
        <v>79</v>
      </c>
      <c r="L486" s="52"/>
      <c r="M486" s="52"/>
      <c r="N486" s="52"/>
      <c r="O486" s="52"/>
      <c r="P486" s="76" t="s">
        <v>1826</v>
      </c>
      <c r="Q486" s="55">
        <f>VLOOKUP(E486,'NI-San_SP'!$C:$AN,12,FALSE)</f>
        <v>0</v>
      </c>
      <c r="R486" s="55">
        <f>VLOOKUP(E486,'NI-San_SP'!$C:$AN,13,FALSE)</f>
        <v>0</v>
      </c>
      <c r="S486" s="55"/>
      <c r="T486" s="55"/>
      <c r="U486" s="55">
        <f>VLOOKUP($E486,'NI-San_SP'!$C:$AN,MID(U$1,1,2),FALSE)</f>
        <v>0</v>
      </c>
      <c r="V486" s="55">
        <f>VLOOKUP($E486,'NI-San_SP'!$C:$AN,MID(V$1,1,2),FALSE)</f>
        <v>0</v>
      </c>
      <c r="W486" s="55">
        <f>VLOOKUP($E486,'NI-San_SP'!$C:$AN,MID(W$1,1,2),FALSE)</f>
        <v>0</v>
      </c>
      <c r="X486" s="55">
        <f>VLOOKUP($E486,'NI-San_SP'!$C:$AN,MID(X$1,1,2),FALSE)</f>
        <v>0</v>
      </c>
      <c r="Y486" s="55">
        <f>VLOOKUP($E486,'NI-San_SP'!$C:$AN,MID(Y$1,1,2),FALSE)</f>
        <v>0</v>
      </c>
      <c r="Z486" s="55">
        <f>VLOOKUP($E486,'NI-San_SP'!$C:$AN,MID(Z$1,1,2),FALSE)</f>
        <v>0</v>
      </c>
      <c r="AA486" s="55">
        <f>VLOOKUP($E486,'NI-San_SP'!$C:$AN,MID(AA$1,1,2),FALSE)</f>
        <v>0</v>
      </c>
      <c r="AB486" s="55">
        <f>VLOOKUP($E486,'NI-San_SP'!$C:$AN,MID(AB$1,1,2),FALSE)</f>
        <v>0</v>
      </c>
      <c r="AC486" s="55">
        <f>VLOOKUP($E486,'NI-San_SP'!$C:$AN,MID(AC$1,1,2),FALSE)</f>
        <v>0</v>
      </c>
      <c r="AD486" s="55">
        <f>VLOOKUP($E486,'NI-San_SP'!$C:$AN,MID(AD$1,1,2),FALSE)</f>
        <v>0</v>
      </c>
      <c r="AE486" s="55">
        <f>VLOOKUP($E486,'NI-San_SP'!$C:$AN,MID(AE$1,1,2),FALSE)</f>
        <v>0</v>
      </c>
      <c r="AF486" s="55">
        <f>VLOOKUP($E486,'NI-San_SP'!$C:$AN,MID(AF$1,1,2),FALSE)</f>
        <v>0</v>
      </c>
      <c r="AG486" s="55">
        <f>VLOOKUP($E486,'NI-San_SP'!$C:$AN,MID(AG$1,1,2),FALSE)</f>
        <v>0</v>
      </c>
      <c r="AH486" s="55">
        <f>VLOOKUP($E486,'NI-San_SP'!$C:$AN,MID(AH$1,1,2),FALSE)</f>
        <v>0</v>
      </c>
      <c r="AI486" s="55">
        <f>VLOOKUP($E486,'NI-San_SP'!$C:$AN,MID(AI$1,1,2),FALSE)</f>
        <v>0</v>
      </c>
      <c r="AJ486" s="55">
        <f>VLOOKUP($E486,'NI-San_SP'!$C:$AN,MID(AJ$1,1,2),FALSE)</f>
        <v>0</v>
      </c>
      <c r="AK486" s="55">
        <f>VLOOKUP($E486,'NI-San_SP'!$C:$AN,MID(AK$1,1,2),FALSE)</f>
        <v>0</v>
      </c>
      <c r="AL486" s="55">
        <f>VLOOKUP($E486,'NI-San_SP'!$C:$AN,MID(AL$1,1,2),FALSE)</f>
        <v>0</v>
      </c>
      <c r="AM486" s="56">
        <f>VLOOKUP($E486,'NI-San_SP'!$C:$AN,MID(AM$1,1,2),FALSE)</f>
        <v>0</v>
      </c>
      <c r="AN486" s="30" t="str">
        <f t="shared" si="7"/>
        <v>30102030000000</v>
      </c>
    </row>
    <row r="487" spans="1:40" x14ac:dyDescent="0.25">
      <c r="C487" s="40"/>
      <c r="D487" s="57" t="s">
        <v>1827</v>
      </c>
      <c r="E487" s="57" t="s">
        <v>1828</v>
      </c>
      <c r="F487" s="58" t="s">
        <v>110</v>
      </c>
      <c r="G487" s="52"/>
      <c r="H487" s="52"/>
      <c r="I487" s="52"/>
      <c r="J487" s="52"/>
      <c r="K487" s="59" t="s">
        <v>111</v>
      </c>
      <c r="L487" s="52"/>
      <c r="M487" s="52"/>
      <c r="N487" s="52"/>
      <c r="O487" s="61" t="s">
        <v>1829</v>
      </c>
      <c r="P487" s="76" t="s">
        <v>1830</v>
      </c>
      <c r="Q487" s="55">
        <f>VLOOKUP(E487,'NI-San_SP'!$C:$AN,12,FALSE)</f>
        <v>33745</v>
      </c>
      <c r="R487" s="55">
        <f>VLOOKUP(E487,'NI-San_SP'!$C:$AN,13,FALSE)</f>
        <v>8490</v>
      </c>
      <c r="S487" s="55"/>
      <c r="T487" s="55"/>
      <c r="U487" s="55">
        <f>VLOOKUP($E487,'NI-San_SP'!$C:$AN,MID(U$1,1,2),FALSE)</f>
        <v>0</v>
      </c>
      <c r="V487" s="55">
        <f>VLOOKUP($E487,'NI-San_SP'!$C:$AN,MID(V$1,1,2),FALSE)</f>
        <v>33745</v>
      </c>
      <c r="W487" s="55">
        <f>VLOOKUP($E487,'NI-San_SP'!$C:$AN,MID(W$1,1,2),FALSE)</f>
        <v>0</v>
      </c>
      <c r="X487" s="55">
        <f>VLOOKUP($E487,'NI-San_SP'!$C:$AN,MID(X$1,1,2),FALSE)</f>
        <v>8490</v>
      </c>
      <c r="Y487" s="55">
        <f>VLOOKUP($E487,'NI-San_SP'!$C:$AN,MID(Y$1,1,2),FALSE)</f>
        <v>0</v>
      </c>
      <c r="Z487" s="55">
        <f>VLOOKUP($E487,'NI-San_SP'!$C:$AN,MID(Z$1,1,2),FALSE)</f>
        <v>0</v>
      </c>
      <c r="AA487" s="55">
        <f>VLOOKUP($E487,'NI-San_SP'!$C:$AN,MID(AA$1,1,2),FALSE)</f>
        <v>0</v>
      </c>
      <c r="AB487" s="55">
        <f>VLOOKUP($E487,'NI-San_SP'!$C:$AN,MID(AB$1,1,2),FALSE)</f>
        <v>0</v>
      </c>
      <c r="AC487" s="55">
        <f>VLOOKUP($E487,'NI-San_SP'!$C:$AN,MID(AC$1,1,2),FALSE)</f>
        <v>0</v>
      </c>
      <c r="AD487" s="55">
        <f>VLOOKUP($E487,'NI-San_SP'!$C:$AN,MID(AD$1,1,2),FALSE)</f>
        <v>0</v>
      </c>
      <c r="AE487" s="55">
        <f>VLOOKUP($E487,'NI-San_SP'!$C:$AN,MID(AE$1,1,2),FALSE)</f>
        <v>0</v>
      </c>
      <c r="AF487" s="55">
        <f>VLOOKUP($E487,'NI-San_SP'!$C:$AN,MID(AF$1,1,2),FALSE)</f>
        <v>0</v>
      </c>
      <c r="AG487" s="55">
        <f>VLOOKUP($E487,'NI-San_SP'!$C:$AN,MID(AG$1,1,2),FALSE)</f>
        <v>0</v>
      </c>
      <c r="AH487" s="55">
        <f>VLOOKUP($E487,'NI-San_SP'!$C:$AN,MID(AH$1,1,2),FALSE)</f>
        <v>0</v>
      </c>
      <c r="AI487" s="55">
        <f>VLOOKUP($E487,'NI-San_SP'!$C:$AN,MID(AI$1,1,2),FALSE)</f>
        <v>0</v>
      </c>
      <c r="AJ487" s="55">
        <f>VLOOKUP($E487,'NI-San_SP'!$C:$AN,MID(AJ$1,1,2),FALSE)</f>
        <v>0</v>
      </c>
      <c r="AK487" s="55">
        <f>VLOOKUP($E487,'NI-San_SP'!$C:$AN,MID(AK$1,1,2),FALSE)</f>
        <v>0</v>
      </c>
      <c r="AL487" s="55">
        <f>VLOOKUP($E487,'NI-San_SP'!$C:$AN,MID(AL$1,1,2),FALSE)</f>
        <v>0</v>
      </c>
      <c r="AM487" s="56">
        <f>VLOOKUP($E487,'NI-San_SP'!$C:$AN,MID(AM$1,1,2),FALSE)</f>
        <v>0</v>
      </c>
      <c r="AN487" s="30" t="str">
        <f t="shared" si="7"/>
        <v>30200000000000</v>
      </c>
    </row>
    <row r="488" spans="1:40" x14ac:dyDescent="0.25">
      <c r="C488" s="40"/>
      <c r="D488" s="57" t="s">
        <v>1831</v>
      </c>
      <c r="E488" s="57" t="s">
        <v>1832</v>
      </c>
      <c r="F488" s="58" t="s">
        <v>110</v>
      </c>
      <c r="G488" s="52"/>
      <c r="H488" s="52"/>
      <c r="I488" s="52" t="s">
        <v>1833</v>
      </c>
      <c r="J488" s="52" t="s">
        <v>1833</v>
      </c>
      <c r="K488" s="59" t="s">
        <v>79</v>
      </c>
      <c r="L488" s="52"/>
      <c r="M488" s="52"/>
      <c r="N488" s="52"/>
      <c r="O488" s="52"/>
      <c r="P488" s="76" t="s">
        <v>1834</v>
      </c>
      <c r="Q488" s="55">
        <f>VLOOKUP(E488,'NI-San_SP'!$C:$AN,12,FALSE)</f>
        <v>33745</v>
      </c>
      <c r="R488" s="55">
        <f>VLOOKUP(E488,'NI-San_SP'!$C:$AN,13,FALSE)</f>
        <v>8490</v>
      </c>
      <c r="S488" s="55"/>
      <c r="T488" s="55"/>
      <c r="U488" s="55">
        <f>VLOOKUP($E488,'NI-San_SP'!$C:$AN,MID(U$1,1,2),FALSE)</f>
        <v>0</v>
      </c>
      <c r="V488" s="55">
        <f>VLOOKUP($E488,'NI-San_SP'!$C:$AN,MID(V$1,1,2),FALSE)</f>
        <v>33745</v>
      </c>
      <c r="W488" s="55">
        <f>VLOOKUP($E488,'NI-San_SP'!$C:$AN,MID(W$1,1,2),FALSE)</f>
        <v>0</v>
      </c>
      <c r="X488" s="55">
        <f>VLOOKUP($E488,'NI-San_SP'!$C:$AN,MID(X$1,1,2),FALSE)</f>
        <v>8490</v>
      </c>
      <c r="Y488" s="55">
        <f>VLOOKUP($E488,'NI-San_SP'!$C:$AN,MID(Y$1,1,2),FALSE)</f>
        <v>0</v>
      </c>
      <c r="Z488" s="55">
        <f>VLOOKUP($E488,'NI-San_SP'!$C:$AN,MID(Z$1,1,2),FALSE)</f>
        <v>0</v>
      </c>
      <c r="AA488" s="55">
        <f>VLOOKUP($E488,'NI-San_SP'!$C:$AN,MID(AA$1,1,2),FALSE)</f>
        <v>0</v>
      </c>
      <c r="AB488" s="55">
        <f>VLOOKUP($E488,'NI-San_SP'!$C:$AN,MID(AB$1,1,2),FALSE)</f>
        <v>0</v>
      </c>
      <c r="AC488" s="55">
        <f>VLOOKUP($E488,'NI-San_SP'!$C:$AN,MID(AC$1,1,2),FALSE)</f>
        <v>0</v>
      </c>
      <c r="AD488" s="55">
        <f>VLOOKUP($E488,'NI-San_SP'!$C:$AN,MID(AD$1,1,2),FALSE)</f>
        <v>0</v>
      </c>
      <c r="AE488" s="55">
        <f>VLOOKUP($E488,'NI-San_SP'!$C:$AN,MID(AE$1,1,2),FALSE)</f>
        <v>0</v>
      </c>
      <c r="AF488" s="55">
        <f>VLOOKUP($E488,'NI-San_SP'!$C:$AN,MID(AF$1,1,2),FALSE)</f>
        <v>0</v>
      </c>
      <c r="AG488" s="55">
        <f>VLOOKUP($E488,'NI-San_SP'!$C:$AN,MID(AG$1,1,2),FALSE)</f>
        <v>0</v>
      </c>
      <c r="AH488" s="55">
        <f>VLOOKUP($E488,'NI-San_SP'!$C:$AN,MID(AH$1,1,2),FALSE)</f>
        <v>0</v>
      </c>
      <c r="AI488" s="55">
        <f>VLOOKUP($E488,'NI-San_SP'!$C:$AN,MID(AI$1,1,2),FALSE)</f>
        <v>0</v>
      </c>
      <c r="AJ488" s="55">
        <f>VLOOKUP($E488,'NI-San_SP'!$C:$AN,MID(AJ$1,1,2),FALSE)</f>
        <v>0</v>
      </c>
      <c r="AK488" s="55">
        <f>VLOOKUP($E488,'NI-San_SP'!$C:$AN,MID(AK$1,1,2),FALSE)</f>
        <v>0</v>
      </c>
      <c r="AL488" s="55">
        <f>VLOOKUP($E488,'NI-San_SP'!$C:$AN,MID(AL$1,1,2),FALSE)</f>
        <v>0</v>
      </c>
      <c r="AM488" s="56">
        <f>VLOOKUP($E488,'NI-San_SP'!$C:$AN,MID(AM$1,1,2),FALSE)</f>
        <v>0</v>
      </c>
      <c r="AN488" s="30" t="str">
        <f t="shared" si="7"/>
        <v>30201000000000</v>
      </c>
    </row>
    <row r="489" spans="1:40" x14ac:dyDescent="0.25">
      <c r="C489" s="40"/>
      <c r="D489" s="57" t="s">
        <v>1835</v>
      </c>
      <c r="E489" s="57" t="s">
        <v>1836</v>
      </c>
      <c r="F489" s="58" t="s">
        <v>110</v>
      </c>
      <c r="G489" s="52" t="s">
        <v>1608</v>
      </c>
      <c r="H489" s="52"/>
      <c r="I489" s="52" t="s">
        <v>1837</v>
      </c>
      <c r="J489" s="52" t="s">
        <v>1837</v>
      </c>
      <c r="K489" s="59" t="s">
        <v>79</v>
      </c>
      <c r="L489" s="52"/>
      <c r="M489" s="52"/>
      <c r="N489" s="52"/>
      <c r="O489" s="52"/>
      <c r="P489" s="76" t="s">
        <v>1838</v>
      </c>
      <c r="Q489" s="55">
        <f>VLOOKUP(E489,'NI-San_SP'!$C:$AN,12,FALSE)</f>
        <v>0</v>
      </c>
      <c r="R489" s="55">
        <f>VLOOKUP(E489,'NI-San_SP'!$C:$AN,13,FALSE)</f>
        <v>0</v>
      </c>
      <c r="S489" s="55"/>
      <c r="T489" s="55"/>
      <c r="U489" s="55">
        <f>VLOOKUP($E489,'NI-San_SP'!$C:$AN,MID(U$1,1,2),FALSE)</f>
        <v>0</v>
      </c>
      <c r="V489" s="55">
        <f>VLOOKUP($E489,'NI-San_SP'!$C:$AN,MID(V$1,1,2),FALSE)</f>
        <v>0</v>
      </c>
      <c r="W489" s="55">
        <f>VLOOKUP($E489,'NI-San_SP'!$C:$AN,MID(W$1,1,2),FALSE)</f>
        <v>0</v>
      </c>
      <c r="X489" s="55">
        <f>VLOOKUP($E489,'NI-San_SP'!$C:$AN,MID(X$1,1,2),FALSE)</f>
        <v>0</v>
      </c>
      <c r="Y489" s="55">
        <f>VLOOKUP($E489,'NI-San_SP'!$C:$AN,MID(Y$1,1,2),FALSE)</f>
        <v>0</v>
      </c>
      <c r="Z489" s="55">
        <f>VLOOKUP($E489,'NI-San_SP'!$C:$AN,MID(Z$1,1,2),FALSE)</f>
        <v>0</v>
      </c>
      <c r="AA489" s="55">
        <f>VLOOKUP($E489,'NI-San_SP'!$C:$AN,MID(AA$1,1,2),FALSE)</f>
        <v>0</v>
      </c>
      <c r="AB489" s="55">
        <f>VLOOKUP($E489,'NI-San_SP'!$C:$AN,MID(AB$1,1,2),FALSE)</f>
        <v>0</v>
      </c>
      <c r="AC489" s="55">
        <f>VLOOKUP($E489,'NI-San_SP'!$C:$AN,MID(AC$1,1,2),FALSE)</f>
        <v>0</v>
      </c>
      <c r="AD489" s="55">
        <f>VLOOKUP($E489,'NI-San_SP'!$C:$AN,MID(AD$1,1,2),FALSE)</f>
        <v>0</v>
      </c>
      <c r="AE489" s="55">
        <f>VLOOKUP($E489,'NI-San_SP'!$C:$AN,MID(AE$1,1,2),FALSE)</f>
        <v>0</v>
      </c>
      <c r="AF489" s="55">
        <f>VLOOKUP($E489,'NI-San_SP'!$C:$AN,MID(AF$1,1,2),FALSE)</f>
        <v>0</v>
      </c>
      <c r="AG489" s="55">
        <f>VLOOKUP($E489,'NI-San_SP'!$C:$AN,MID(AG$1,1,2),FALSE)</f>
        <v>0</v>
      </c>
      <c r="AH489" s="55">
        <f>VLOOKUP($E489,'NI-San_SP'!$C:$AN,MID(AH$1,1,2),FALSE)</f>
        <v>0</v>
      </c>
      <c r="AI489" s="55">
        <f>VLOOKUP($E489,'NI-San_SP'!$C:$AN,MID(AI$1,1,2),FALSE)</f>
        <v>0</v>
      </c>
      <c r="AJ489" s="55">
        <f>VLOOKUP($E489,'NI-San_SP'!$C:$AN,MID(AJ$1,1,2),FALSE)</f>
        <v>0</v>
      </c>
      <c r="AK489" s="55">
        <f>VLOOKUP($E489,'NI-San_SP'!$C:$AN,MID(AK$1,1,2),FALSE)</f>
        <v>0</v>
      </c>
      <c r="AL489" s="55">
        <f>VLOOKUP($E489,'NI-San_SP'!$C:$AN,MID(AL$1,1,2),FALSE)</f>
        <v>0</v>
      </c>
      <c r="AM489" s="56">
        <f>VLOOKUP($E489,'NI-San_SP'!$C:$AN,MID(AM$1,1,2),FALSE)</f>
        <v>0</v>
      </c>
      <c r="AN489" s="30" t="str">
        <f t="shared" si="7"/>
        <v>30202000000000</v>
      </c>
    </row>
    <row r="490" spans="1:40" x14ac:dyDescent="0.25">
      <c r="C490" s="40"/>
      <c r="D490" s="49" t="s">
        <v>1839</v>
      </c>
      <c r="E490" s="49" t="s">
        <v>1840</v>
      </c>
      <c r="F490" s="50" t="s">
        <v>110</v>
      </c>
      <c r="G490" s="51"/>
      <c r="H490" s="52"/>
      <c r="I490" s="52"/>
      <c r="J490" s="52"/>
      <c r="K490" s="53" t="s">
        <v>111</v>
      </c>
      <c r="L490" s="52"/>
      <c r="M490" s="52"/>
      <c r="N490" s="52"/>
      <c r="O490" s="61"/>
      <c r="P490" s="89" t="s">
        <v>1841</v>
      </c>
      <c r="Q490" s="55">
        <f>VLOOKUP(E490,'NI-San_SP'!$C:$AN,12,FALSE)</f>
        <v>7562304</v>
      </c>
      <c r="R490" s="55">
        <f>VLOOKUP(E490,'NI-San_SP'!$C:$AN,13,FALSE)</f>
        <v>8399763</v>
      </c>
      <c r="S490" s="55"/>
      <c r="T490" s="55"/>
      <c r="U490" s="55">
        <f>VLOOKUP($E490,'NI-San_SP'!$C:$AN,MID(U$1,1,2),FALSE)</f>
        <v>0</v>
      </c>
      <c r="V490" s="55">
        <f>VLOOKUP($E490,'NI-San_SP'!$C:$AN,MID(V$1,1,2),FALSE)</f>
        <v>0</v>
      </c>
      <c r="W490" s="55">
        <f>VLOOKUP($E490,'NI-San_SP'!$C:$AN,MID(W$1,1,2),FALSE)</f>
        <v>0</v>
      </c>
      <c r="X490" s="55" t="str">
        <f>VLOOKUP($E490,'NI-San_SP'!$C:$AN,MID(X$1,1,2),FALSE)</f>
        <v/>
      </c>
      <c r="Y490" s="55">
        <f>VLOOKUP($E490,'NI-San_SP'!$C:$AN,MID(Y$1,1,2),FALSE)</f>
        <v>0</v>
      </c>
      <c r="Z490" s="55">
        <f>VLOOKUP($E490,'NI-San_SP'!$C:$AN,MID(Z$1,1,2),FALSE)</f>
        <v>0</v>
      </c>
      <c r="AA490" s="55">
        <f>VLOOKUP($E490,'NI-San_SP'!$C:$AN,MID(AA$1,1,2),FALSE)</f>
        <v>0</v>
      </c>
      <c r="AB490" s="55">
        <f>VLOOKUP($E490,'NI-San_SP'!$C:$AN,MID(AB$1,1,2),FALSE)</f>
        <v>0</v>
      </c>
      <c r="AC490" s="55">
        <f>VLOOKUP($E490,'NI-San_SP'!$C:$AN,MID(AC$1,1,2),FALSE)</f>
        <v>0</v>
      </c>
      <c r="AD490" s="55">
        <f>VLOOKUP($E490,'NI-San_SP'!$C:$AN,MID(AD$1,1,2),FALSE)</f>
        <v>0</v>
      </c>
      <c r="AE490" s="55">
        <f>VLOOKUP($E490,'NI-San_SP'!$C:$AN,MID(AE$1,1,2),FALSE)</f>
        <v>0</v>
      </c>
      <c r="AF490" s="55">
        <f>VLOOKUP($E490,'NI-San_SP'!$C:$AN,MID(AF$1,1,2),FALSE)</f>
        <v>0</v>
      </c>
      <c r="AG490" s="55">
        <f>VLOOKUP($E490,'NI-San_SP'!$C:$AN,MID(AG$1,1,2),FALSE)</f>
        <v>0</v>
      </c>
      <c r="AH490" s="55">
        <f>VLOOKUP($E490,'NI-San_SP'!$C:$AN,MID(AH$1,1,2),FALSE)</f>
        <v>0</v>
      </c>
      <c r="AI490" s="55">
        <f>VLOOKUP($E490,'NI-San_SP'!$C:$AN,MID(AI$1,1,2),FALSE)</f>
        <v>0</v>
      </c>
      <c r="AJ490" s="55">
        <f>VLOOKUP($E490,'NI-San_SP'!$C:$AN,MID(AJ$1,1,2),FALSE)</f>
        <v>0</v>
      </c>
      <c r="AK490" s="55">
        <f>VLOOKUP($E490,'NI-San_SP'!$C:$AN,MID(AK$1,1,2),FALSE)</f>
        <v>0</v>
      </c>
      <c r="AL490" s="55">
        <f>VLOOKUP($E490,'NI-San_SP'!$C:$AN,MID(AL$1,1,2),FALSE)</f>
        <v>0</v>
      </c>
      <c r="AM490" s="56">
        <f>VLOOKUP($E490,'NI-San_SP'!$C:$AN,MID(AM$1,1,2),FALSE)</f>
        <v>0</v>
      </c>
      <c r="AN490" s="30" t="str">
        <f t="shared" si="7"/>
        <v>40000000000000</v>
      </c>
    </row>
    <row r="491" spans="1:40" x14ac:dyDescent="0.25">
      <c r="C491" s="40"/>
      <c r="D491" s="57" t="s">
        <v>1842</v>
      </c>
      <c r="E491" s="57" t="s">
        <v>1843</v>
      </c>
      <c r="F491" s="58" t="s">
        <v>110</v>
      </c>
      <c r="G491" s="52"/>
      <c r="H491" s="52"/>
      <c r="I491" s="52" t="s">
        <v>1844</v>
      </c>
      <c r="J491" s="52" t="s">
        <v>1844</v>
      </c>
      <c r="K491" s="59" t="s">
        <v>79</v>
      </c>
      <c r="L491" s="52"/>
      <c r="M491" s="52"/>
      <c r="N491" s="52"/>
      <c r="O491" s="61" t="s">
        <v>1845</v>
      </c>
      <c r="P491" s="90" t="s">
        <v>1846</v>
      </c>
      <c r="Q491" s="55">
        <f>VLOOKUP(E491,'NI-San_SP'!$C:$AN,12,FALSE)</f>
        <v>0</v>
      </c>
      <c r="R491" s="55">
        <f>VLOOKUP(E491,'NI-San_SP'!$C:$AN,13,FALSE)</f>
        <v>0</v>
      </c>
      <c r="S491" s="55"/>
      <c r="T491" s="55"/>
      <c r="U491" s="55">
        <f>VLOOKUP($E491,'NI-San_SP'!$C:$AN,MID(U$1,1,2),FALSE)</f>
        <v>0</v>
      </c>
      <c r="V491" s="55">
        <f>VLOOKUP($E491,'NI-San_SP'!$C:$AN,MID(V$1,1,2),FALSE)</f>
        <v>0</v>
      </c>
      <c r="W491" s="55">
        <f>VLOOKUP($E491,'NI-San_SP'!$C:$AN,MID(W$1,1,2),FALSE)</f>
        <v>0</v>
      </c>
      <c r="X491" s="55">
        <f>VLOOKUP($E491,'NI-San_SP'!$C:$AN,MID(X$1,1,2),FALSE)</f>
        <v>0</v>
      </c>
      <c r="Y491" s="55">
        <f>VLOOKUP($E491,'NI-San_SP'!$C:$AN,MID(Y$1,1,2),FALSE)</f>
        <v>0</v>
      </c>
      <c r="Z491" s="55">
        <f>VLOOKUP($E491,'NI-San_SP'!$C:$AN,MID(Z$1,1,2),FALSE)</f>
        <v>0</v>
      </c>
      <c r="AA491" s="55">
        <f>VLOOKUP($E491,'NI-San_SP'!$C:$AN,MID(AA$1,1,2),FALSE)</f>
        <v>0</v>
      </c>
      <c r="AB491" s="55">
        <f>VLOOKUP($E491,'NI-San_SP'!$C:$AN,MID(AB$1,1,2),FALSE)</f>
        <v>0</v>
      </c>
      <c r="AC491" s="55">
        <f>VLOOKUP($E491,'NI-San_SP'!$C:$AN,MID(AC$1,1,2),FALSE)</f>
        <v>0</v>
      </c>
      <c r="AD491" s="55">
        <f>VLOOKUP($E491,'NI-San_SP'!$C:$AN,MID(AD$1,1,2),FALSE)</f>
        <v>0</v>
      </c>
      <c r="AE491" s="55">
        <f>VLOOKUP($E491,'NI-San_SP'!$C:$AN,MID(AE$1,1,2),FALSE)</f>
        <v>0</v>
      </c>
      <c r="AF491" s="55">
        <f>VLOOKUP($E491,'NI-San_SP'!$C:$AN,MID(AF$1,1,2),FALSE)</f>
        <v>0</v>
      </c>
      <c r="AG491" s="55">
        <f>VLOOKUP($E491,'NI-San_SP'!$C:$AN,MID(AG$1,1,2),FALSE)</f>
        <v>0</v>
      </c>
      <c r="AH491" s="55">
        <f>VLOOKUP($E491,'NI-San_SP'!$C:$AN,MID(AH$1,1,2),FALSE)</f>
        <v>0</v>
      </c>
      <c r="AI491" s="55">
        <f>VLOOKUP($E491,'NI-San_SP'!$C:$AN,MID(AI$1,1,2),FALSE)</f>
        <v>0</v>
      </c>
      <c r="AJ491" s="55">
        <f>VLOOKUP($E491,'NI-San_SP'!$C:$AN,MID(AJ$1,1,2),FALSE)</f>
        <v>0</v>
      </c>
      <c r="AK491" s="55">
        <f>VLOOKUP($E491,'NI-San_SP'!$C:$AN,MID(AK$1,1,2),FALSE)</f>
        <v>0</v>
      </c>
      <c r="AL491" s="55">
        <f>VLOOKUP($E491,'NI-San_SP'!$C:$AN,MID(AL$1,1,2),FALSE)</f>
        <v>0</v>
      </c>
      <c r="AM491" s="56">
        <f>VLOOKUP($E491,'NI-San_SP'!$C:$AN,MID(AM$1,1,2),FALSE)</f>
        <v>0</v>
      </c>
      <c r="AN491" s="30" t="str">
        <f t="shared" si="7"/>
        <v>40100000000000</v>
      </c>
    </row>
    <row r="492" spans="1:40" x14ac:dyDescent="0.25">
      <c r="C492" s="40"/>
      <c r="D492" s="57" t="s">
        <v>1847</v>
      </c>
      <c r="E492" s="57" t="s">
        <v>1848</v>
      </c>
      <c r="F492" s="58" t="s">
        <v>110</v>
      </c>
      <c r="G492" s="52"/>
      <c r="H492" s="52"/>
      <c r="I492" s="52" t="s">
        <v>1849</v>
      </c>
      <c r="J492" s="52" t="s">
        <v>1849</v>
      </c>
      <c r="K492" s="59" t="s">
        <v>79</v>
      </c>
      <c r="L492" s="52"/>
      <c r="M492" s="52"/>
      <c r="N492" s="52"/>
      <c r="O492" s="61" t="s">
        <v>1850</v>
      </c>
      <c r="P492" s="90" t="s">
        <v>1851</v>
      </c>
      <c r="Q492" s="55">
        <f>VLOOKUP(E492,'NI-San_SP'!$C:$AN,12,FALSE)</f>
        <v>0</v>
      </c>
      <c r="R492" s="55">
        <f>VLOOKUP(E492,'NI-San_SP'!$C:$AN,13,FALSE)</f>
        <v>0</v>
      </c>
      <c r="S492" s="55"/>
      <c r="T492" s="55"/>
      <c r="U492" s="55">
        <f>VLOOKUP($E492,'NI-San_SP'!$C:$AN,MID(U$1,1,2),FALSE)</f>
        <v>0</v>
      </c>
      <c r="V492" s="55">
        <f>VLOOKUP($E492,'NI-San_SP'!$C:$AN,MID(V$1,1,2),FALSE)</f>
        <v>0</v>
      </c>
      <c r="W492" s="55">
        <f>VLOOKUP($E492,'NI-San_SP'!$C:$AN,MID(W$1,1,2),FALSE)</f>
        <v>0</v>
      </c>
      <c r="X492" s="55">
        <f>VLOOKUP($E492,'NI-San_SP'!$C:$AN,MID(X$1,1,2),FALSE)</f>
        <v>0</v>
      </c>
      <c r="Y492" s="55">
        <f>VLOOKUP($E492,'NI-San_SP'!$C:$AN,MID(Y$1,1,2),FALSE)</f>
        <v>0</v>
      </c>
      <c r="Z492" s="55">
        <f>VLOOKUP($E492,'NI-San_SP'!$C:$AN,MID(Z$1,1,2),FALSE)</f>
        <v>0</v>
      </c>
      <c r="AA492" s="55">
        <f>VLOOKUP($E492,'NI-San_SP'!$C:$AN,MID(AA$1,1,2),FALSE)</f>
        <v>0</v>
      </c>
      <c r="AB492" s="55">
        <f>VLOOKUP($E492,'NI-San_SP'!$C:$AN,MID(AB$1,1,2),FALSE)</f>
        <v>0</v>
      </c>
      <c r="AC492" s="55">
        <f>VLOOKUP($E492,'NI-San_SP'!$C:$AN,MID(AC$1,1,2),FALSE)</f>
        <v>0</v>
      </c>
      <c r="AD492" s="55">
        <f>VLOOKUP($E492,'NI-San_SP'!$C:$AN,MID(AD$1,1,2),FALSE)</f>
        <v>0</v>
      </c>
      <c r="AE492" s="55">
        <f>VLOOKUP($E492,'NI-San_SP'!$C:$AN,MID(AE$1,1,2),FALSE)</f>
        <v>0</v>
      </c>
      <c r="AF492" s="55">
        <f>VLOOKUP($E492,'NI-San_SP'!$C:$AN,MID(AF$1,1,2),FALSE)</f>
        <v>0</v>
      </c>
      <c r="AG492" s="55">
        <f>VLOOKUP($E492,'NI-San_SP'!$C:$AN,MID(AG$1,1,2),FALSE)</f>
        <v>0</v>
      </c>
      <c r="AH492" s="55">
        <f>VLOOKUP($E492,'NI-San_SP'!$C:$AN,MID(AH$1,1,2),FALSE)</f>
        <v>0</v>
      </c>
      <c r="AI492" s="55">
        <f>VLOOKUP($E492,'NI-San_SP'!$C:$AN,MID(AI$1,1,2),FALSE)</f>
        <v>0</v>
      </c>
      <c r="AJ492" s="55">
        <f>VLOOKUP($E492,'NI-San_SP'!$C:$AN,MID(AJ$1,1,2),FALSE)</f>
        <v>0</v>
      </c>
      <c r="AK492" s="55">
        <f>VLOOKUP($E492,'NI-San_SP'!$C:$AN,MID(AK$1,1,2),FALSE)</f>
        <v>0</v>
      </c>
      <c r="AL492" s="55">
        <f>VLOOKUP($E492,'NI-San_SP'!$C:$AN,MID(AL$1,1,2),FALSE)</f>
        <v>0</v>
      </c>
      <c r="AM492" s="56">
        <f>VLOOKUP($E492,'NI-San_SP'!$C:$AN,MID(AM$1,1,2),FALSE)</f>
        <v>0</v>
      </c>
      <c r="AN492" s="30" t="str">
        <f t="shared" si="7"/>
        <v>40200000000000</v>
      </c>
    </row>
    <row r="493" spans="1:40" x14ac:dyDescent="0.25">
      <c r="C493" s="40"/>
      <c r="D493" s="57" t="s">
        <v>1852</v>
      </c>
      <c r="E493" s="57" t="s">
        <v>1853</v>
      </c>
      <c r="F493" s="58" t="s">
        <v>110</v>
      </c>
      <c r="G493" s="52"/>
      <c r="H493" s="52"/>
      <c r="I493" s="52" t="s">
        <v>1854</v>
      </c>
      <c r="J493" s="52" t="s">
        <v>1854</v>
      </c>
      <c r="K493" s="59" t="s">
        <v>79</v>
      </c>
      <c r="L493" s="52"/>
      <c r="M493" s="52"/>
      <c r="N493" s="52"/>
      <c r="O493" s="61" t="s">
        <v>1855</v>
      </c>
      <c r="P493" s="61" t="s">
        <v>1856</v>
      </c>
      <c r="Q493" s="55">
        <f>VLOOKUP(E493,'NI-San_SP'!$C:$AN,12,FALSE)</f>
        <v>7812</v>
      </c>
      <c r="R493" s="55">
        <f>VLOOKUP(E493,'NI-San_SP'!$C:$AN,13,FALSE)</f>
        <v>7812</v>
      </c>
      <c r="S493" s="55"/>
      <c r="T493" s="55"/>
      <c r="U493" s="55">
        <f>VLOOKUP($E493,'NI-San_SP'!$C:$AN,MID(U$1,1,2),FALSE)</f>
        <v>0</v>
      </c>
      <c r="V493" s="55">
        <f>VLOOKUP($E493,'NI-San_SP'!$C:$AN,MID(V$1,1,2),FALSE)</f>
        <v>7812</v>
      </c>
      <c r="W493" s="55">
        <f>VLOOKUP($E493,'NI-San_SP'!$C:$AN,MID(W$1,1,2),FALSE)</f>
        <v>0</v>
      </c>
      <c r="X493" s="55">
        <f>VLOOKUP($E493,'NI-San_SP'!$C:$AN,MID(X$1,1,2),FALSE)</f>
        <v>0</v>
      </c>
      <c r="Y493" s="55">
        <f>VLOOKUP($E493,'NI-San_SP'!$C:$AN,MID(Y$1,1,2),FALSE)</f>
        <v>0</v>
      </c>
      <c r="Z493" s="55">
        <f>VLOOKUP($E493,'NI-San_SP'!$C:$AN,MID(Z$1,1,2),FALSE)</f>
        <v>7812</v>
      </c>
      <c r="AA493" s="55">
        <f>VLOOKUP($E493,'NI-San_SP'!$C:$AN,MID(AA$1,1,2),FALSE)</f>
        <v>0</v>
      </c>
      <c r="AB493" s="55">
        <f>VLOOKUP($E493,'NI-San_SP'!$C:$AN,MID(AB$1,1,2),FALSE)</f>
        <v>0</v>
      </c>
      <c r="AC493" s="55">
        <f>VLOOKUP($E493,'NI-San_SP'!$C:$AN,MID(AC$1,1,2),FALSE)</f>
        <v>0</v>
      </c>
      <c r="AD493" s="55">
        <f>VLOOKUP($E493,'NI-San_SP'!$C:$AN,MID(AD$1,1,2),FALSE)</f>
        <v>0</v>
      </c>
      <c r="AE493" s="55">
        <f>VLOOKUP($E493,'NI-San_SP'!$C:$AN,MID(AE$1,1,2),FALSE)</f>
        <v>0</v>
      </c>
      <c r="AF493" s="55">
        <f>VLOOKUP($E493,'NI-San_SP'!$C:$AN,MID(AF$1,1,2),FALSE)</f>
        <v>0</v>
      </c>
      <c r="AG493" s="55">
        <f>VLOOKUP($E493,'NI-San_SP'!$C:$AN,MID(AG$1,1,2),FALSE)</f>
        <v>0</v>
      </c>
      <c r="AH493" s="55">
        <f>VLOOKUP($E493,'NI-San_SP'!$C:$AN,MID(AH$1,1,2),FALSE)</f>
        <v>0</v>
      </c>
      <c r="AI493" s="55">
        <f>VLOOKUP($E493,'NI-San_SP'!$C:$AN,MID(AI$1,1,2),FALSE)</f>
        <v>0</v>
      </c>
      <c r="AJ493" s="55">
        <f>VLOOKUP($E493,'NI-San_SP'!$C:$AN,MID(AJ$1,1,2),FALSE)</f>
        <v>0</v>
      </c>
      <c r="AK493" s="55">
        <f>VLOOKUP($E493,'NI-San_SP'!$C:$AN,MID(AK$1,1,2),FALSE)</f>
        <v>0</v>
      </c>
      <c r="AL493" s="55">
        <f>VLOOKUP($E493,'NI-San_SP'!$C:$AN,MID(AL$1,1,2),FALSE)</f>
        <v>0</v>
      </c>
      <c r="AM493" s="56">
        <f>VLOOKUP($E493,'NI-San_SP'!$C:$AN,MID(AM$1,1,2),FALSE)</f>
        <v>0</v>
      </c>
      <c r="AN493" s="30" t="str">
        <f t="shared" si="7"/>
        <v>40300000000000</v>
      </c>
    </row>
    <row r="494" spans="1:40" x14ac:dyDescent="0.25">
      <c r="A494" s="30" t="s">
        <v>1394</v>
      </c>
      <c r="C494" s="40"/>
      <c r="D494" s="87" t="s">
        <v>1857</v>
      </c>
      <c r="E494" s="87" t="s">
        <v>1858</v>
      </c>
      <c r="F494" s="58" t="s">
        <v>110</v>
      </c>
      <c r="G494" s="52"/>
      <c r="H494" s="52"/>
      <c r="I494" s="52"/>
      <c r="J494" s="52" t="s">
        <v>1859</v>
      </c>
      <c r="K494" s="59" t="s">
        <v>79</v>
      </c>
      <c r="L494" s="52"/>
      <c r="M494" s="52"/>
      <c r="N494" s="52"/>
      <c r="O494" s="61" t="s">
        <v>1860</v>
      </c>
      <c r="P494" s="90" t="s">
        <v>1861</v>
      </c>
      <c r="Q494" s="55">
        <f>VLOOKUP(E494,'NI-San_SP'!$C:$AN,12,FALSE)</f>
        <v>0</v>
      </c>
      <c r="R494" s="55">
        <f>VLOOKUP(E494,'NI-San_SP'!$C:$AN,13,FALSE)</f>
        <v>0</v>
      </c>
      <c r="S494" s="55"/>
      <c r="T494" s="55"/>
      <c r="U494" s="55">
        <f>VLOOKUP($E494,'NI-San_SP'!$C:$AN,MID(U$1,1,2),FALSE)</f>
        <v>0</v>
      </c>
      <c r="V494" s="55">
        <f>VLOOKUP($E494,'NI-San_SP'!$C:$AN,MID(V$1,1,2),FALSE)</f>
        <v>0</v>
      </c>
      <c r="W494" s="55">
        <f>VLOOKUP($E494,'NI-San_SP'!$C:$AN,MID(W$1,1,2),FALSE)</f>
        <v>0</v>
      </c>
      <c r="X494" s="55">
        <f>VLOOKUP($E494,'NI-San_SP'!$C:$AN,MID(X$1,1,2),FALSE)</f>
        <v>0</v>
      </c>
      <c r="Y494" s="55">
        <f>VLOOKUP($E494,'NI-San_SP'!$C:$AN,MID(Y$1,1,2),FALSE)</f>
        <v>0</v>
      </c>
      <c r="Z494" s="55">
        <f>VLOOKUP($E494,'NI-San_SP'!$C:$AN,MID(Z$1,1,2),FALSE)</f>
        <v>0</v>
      </c>
      <c r="AA494" s="55">
        <f>VLOOKUP($E494,'NI-San_SP'!$C:$AN,MID(AA$1,1,2),FALSE)</f>
        <v>0</v>
      </c>
      <c r="AB494" s="55">
        <f>VLOOKUP($E494,'NI-San_SP'!$C:$AN,MID(AB$1,1,2),FALSE)</f>
        <v>0</v>
      </c>
      <c r="AC494" s="55">
        <f>VLOOKUP($E494,'NI-San_SP'!$C:$AN,MID(AC$1,1,2),FALSE)</f>
        <v>0</v>
      </c>
      <c r="AD494" s="55">
        <f>VLOOKUP($E494,'NI-San_SP'!$C:$AN,MID(AD$1,1,2),FALSE)</f>
        <v>0</v>
      </c>
      <c r="AE494" s="55">
        <f>VLOOKUP($E494,'NI-San_SP'!$C:$AN,MID(AE$1,1,2),FALSE)</f>
        <v>0</v>
      </c>
      <c r="AF494" s="55">
        <f>VLOOKUP($E494,'NI-San_SP'!$C:$AN,MID(AF$1,1,2),FALSE)</f>
        <v>0</v>
      </c>
      <c r="AG494" s="55">
        <f>VLOOKUP($E494,'NI-San_SP'!$C:$AN,MID(AG$1,1,2),FALSE)</f>
        <v>0</v>
      </c>
      <c r="AH494" s="55">
        <f>VLOOKUP($E494,'NI-San_SP'!$C:$AN,MID(AH$1,1,2),FALSE)</f>
        <v>0</v>
      </c>
      <c r="AI494" s="55">
        <f>VLOOKUP($E494,'NI-San_SP'!$C:$AN,MID(AI$1,1,2),FALSE)</f>
        <v>0</v>
      </c>
      <c r="AJ494" s="55">
        <f>VLOOKUP($E494,'NI-San_SP'!$C:$AN,MID(AJ$1,1,2),FALSE)</f>
        <v>0</v>
      </c>
      <c r="AK494" s="55">
        <f>VLOOKUP($E494,'NI-San_SP'!$C:$AN,MID(AK$1,1,2),FALSE)</f>
        <v>0</v>
      </c>
      <c r="AL494" s="55">
        <f>VLOOKUP($E494,'NI-San_SP'!$C:$AN,MID(AL$1,1,2),FALSE)</f>
        <v>0</v>
      </c>
      <c r="AM494" s="56">
        <f>VLOOKUP($E494,'NI-San_SP'!$C:$AN,MID(AM$1,1,2),FALSE)</f>
        <v>0</v>
      </c>
      <c r="AN494" s="30" t="str">
        <f t="shared" si="7"/>
        <v>40400000000000</v>
      </c>
    </row>
    <row r="495" spans="1:40" x14ac:dyDescent="0.25">
      <c r="C495" s="40"/>
      <c r="D495" s="57" t="s">
        <v>1862</v>
      </c>
      <c r="E495" s="57" t="s">
        <v>1863</v>
      </c>
      <c r="F495" s="58" t="s">
        <v>110</v>
      </c>
      <c r="G495" s="52"/>
      <c r="H495" s="52"/>
      <c r="I495" s="52" t="s">
        <v>1864</v>
      </c>
      <c r="J495" s="52" t="s">
        <v>1864</v>
      </c>
      <c r="K495" s="53" t="s">
        <v>111</v>
      </c>
      <c r="L495" s="52"/>
      <c r="M495" s="52"/>
      <c r="N495" s="52"/>
      <c r="O495" s="61" t="s">
        <v>1860</v>
      </c>
      <c r="P495" s="76" t="s">
        <v>1865</v>
      </c>
      <c r="Q495" s="55">
        <f>VLOOKUP(E495,'NI-San_SP'!$C:$AN,12,FALSE)</f>
        <v>7554492</v>
      </c>
      <c r="R495" s="55">
        <f>VLOOKUP(E495,'NI-San_SP'!$C:$AN,13,FALSE)</f>
        <v>8391951</v>
      </c>
      <c r="S495" s="55"/>
      <c r="T495" s="55"/>
      <c r="U495" s="55">
        <f>VLOOKUP($E495,'NI-San_SP'!$C:$AN,MID(U$1,1,2),FALSE)</f>
        <v>0</v>
      </c>
      <c r="V495" s="55">
        <f>VLOOKUP($E495,'NI-San_SP'!$C:$AN,MID(V$1,1,2),FALSE)</f>
        <v>7554492</v>
      </c>
      <c r="W495" s="55">
        <f>VLOOKUP($E495,'NI-San_SP'!$C:$AN,MID(W$1,1,2),FALSE)</f>
        <v>0</v>
      </c>
      <c r="X495" s="55">
        <f>VLOOKUP($E495,'NI-San_SP'!$C:$AN,MID(X$1,1,2),FALSE)</f>
        <v>1058706</v>
      </c>
      <c r="Y495" s="55">
        <f>VLOOKUP($E495,'NI-San_SP'!$C:$AN,MID(Y$1,1,2),FALSE)</f>
        <v>221247</v>
      </c>
      <c r="Z495" s="55">
        <f>VLOOKUP($E495,'NI-San_SP'!$C:$AN,MID(Z$1,1,2),FALSE)</f>
        <v>8391951</v>
      </c>
      <c r="AA495" s="55">
        <f>VLOOKUP($E495,'NI-San_SP'!$C:$AN,MID(AA$1,1,2),FALSE)</f>
        <v>0</v>
      </c>
      <c r="AB495" s="55">
        <f>VLOOKUP($E495,'NI-San_SP'!$C:$AN,MID(AB$1,1,2),FALSE)</f>
        <v>0</v>
      </c>
      <c r="AC495" s="55">
        <f>VLOOKUP($E495,'NI-San_SP'!$C:$AN,MID(AC$1,1,2),FALSE)</f>
        <v>0</v>
      </c>
      <c r="AD495" s="55">
        <f>VLOOKUP($E495,'NI-San_SP'!$C:$AN,MID(AD$1,1,2),FALSE)</f>
        <v>0</v>
      </c>
      <c r="AE495" s="55">
        <f>VLOOKUP($E495,'NI-San_SP'!$C:$AN,MID(AE$1,1,2),FALSE)</f>
        <v>0</v>
      </c>
      <c r="AF495" s="55">
        <f>VLOOKUP($E495,'NI-San_SP'!$C:$AN,MID(AF$1,1,2),FALSE)</f>
        <v>0</v>
      </c>
      <c r="AG495" s="55">
        <f>VLOOKUP($E495,'NI-San_SP'!$C:$AN,MID(AG$1,1,2),FALSE)</f>
        <v>0</v>
      </c>
      <c r="AH495" s="55">
        <f>VLOOKUP($E495,'NI-San_SP'!$C:$AN,MID(AH$1,1,2),FALSE)</f>
        <v>0</v>
      </c>
      <c r="AI495" s="55">
        <f>VLOOKUP($E495,'NI-San_SP'!$C:$AN,MID(AI$1,1,2),FALSE)</f>
        <v>0</v>
      </c>
      <c r="AJ495" s="55">
        <f>VLOOKUP($E495,'NI-San_SP'!$C:$AN,MID(AJ$1,1,2),FALSE)</f>
        <v>0</v>
      </c>
      <c r="AK495" s="55">
        <f>VLOOKUP($E495,'NI-San_SP'!$C:$AN,MID(AK$1,1,2),FALSE)</f>
        <v>0</v>
      </c>
      <c r="AL495" s="55">
        <f>VLOOKUP($E495,'NI-San_SP'!$C:$AN,MID(AL$1,1,2),FALSE)</f>
        <v>0</v>
      </c>
      <c r="AM495" s="56">
        <f>VLOOKUP($E495,'NI-San_SP'!$C:$AN,MID(AM$1,1,2),FALSE)</f>
        <v>0</v>
      </c>
      <c r="AN495" s="30" t="str">
        <f t="shared" si="7"/>
        <v>40500000000000</v>
      </c>
    </row>
    <row r="496" spans="1:40" x14ac:dyDescent="0.25">
      <c r="C496" s="40"/>
      <c r="D496" s="57" t="s">
        <v>1866</v>
      </c>
      <c r="E496" s="57" t="s">
        <v>1867</v>
      </c>
      <c r="F496" s="58" t="s">
        <v>110</v>
      </c>
      <c r="G496" s="52"/>
      <c r="H496" s="52"/>
      <c r="I496" s="52"/>
      <c r="J496" s="52"/>
      <c r="K496" s="53" t="s">
        <v>111</v>
      </c>
      <c r="L496" s="52"/>
      <c r="M496" s="52"/>
      <c r="N496" s="52"/>
      <c r="O496" s="52"/>
      <c r="P496" s="76" t="s">
        <v>1868</v>
      </c>
      <c r="Q496" s="55">
        <f>VLOOKUP(E496,'NI-San_SP'!$C:$AN,12,FALSE)</f>
        <v>0</v>
      </c>
      <c r="R496" s="55">
        <f>VLOOKUP(E496,'NI-San_SP'!$C:$AN,13,FALSE)</f>
        <v>0</v>
      </c>
      <c r="S496" s="55"/>
      <c r="T496" s="55"/>
      <c r="U496" s="55">
        <f>VLOOKUP($E496,'NI-San_SP'!$C:$AN,MID(U$1,1,2),FALSE)</f>
        <v>0</v>
      </c>
      <c r="V496" s="55">
        <f>VLOOKUP($E496,'NI-San_SP'!$C:$AN,MID(V$1,1,2),FALSE)</f>
        <v>0</v>
      </c>
      <c r="W496" s="55">
        <f>VLOOKUP($E496,'NI-San_SP'!$C:$AN,MID(W$1,1,2),FALSE)</f>
        <v>0</v>
      </c>
      <c r="X496" s="55">
        <f>VLOOKUP($E496,'NI-San_SP'!$C:$AN,MID(X$1,1,2),FALSE)</f>
        <v>0</v>
      </c>
      <c r="Y496" s="55">
        <f>VLOOKUP($E496,'NI-San_SP'!$C:$AN,MID(Y$1,1,2),FALSE)</f>
        <v>0</v>
      </c>
      <c r="Z496" s="55">
        <f>VLOOKUP($E496,'NI-San_SP'!$C:$AN,MID(Z$1,1,2),FALSE)</f>
        <v>0</v>
      </c>
      <c r="AA496" s="55">
        <f>VLOOKUP($E496,'NI-San_SP'!$C:$AN,MID(AA$1,1,2),FALSE)</f>
        <v>0</v>
      </c>
      <c r="AB496" s="55">
        <f>VLOOKUP($E496,'NI-San_SP'!$C:$AN,MID(AB$1,1,2),FALSE)</f>
        <v>0</v>
      </c>
      <c r="AC496" s="55">
        <f>VLOOKUP($E496,'NI-San_SP'!$C:$AN,MID(AC$1,1,2),FALSE)</f>
        <v>0</v>
      </c>
      <c r="AD496" s="55">
        <f>VLOOKUP($E496,'NI-San_SP'!$C:$AN,MID(AD$1,1,2),FALSE)</f>
        <v>0</v>
      </c>
      <c r="AE496" s="55">
        <f>VLOOKUP($E496,'NI-San_SP'!$C:$AN,MID(AE$1,1,2),FALSE)</f>
        <v>0</v>
      </c>
      <c r="AF496" s="55">
        <f>VLOOKUP($E496,'NI-San_SP'!$C:$AN,MID(AF$1,1,2),FALSE)</f>
        <v>0</v>
      </c>
      <c r="AG496" s="55">
        <f>VLOOKUP($E496,'NI-San_SP'!$C:$AN,MID(AG$1,1,2),FALSE)</f>
        <v>0</v>
      </c>
      <c r="AH496" s="55">
        <f>VLOOKUP($E496,'NI-San_SP'!$C:$AN,MID(AH$1,1,2),FALSE)</f>
        <v>0</v>
      </c>
      <c r="AI496" s="55">
        <f>VLOOKUP($E496,'NI-San_SP'!$C:$AN,MID(AI$1,1,2),FALSE)</f>
        <v>0</v>
      </c>
      <c r="AJ496" s="55">
        <f>VLOOKUP($E496,'NI-San_SP'!$C:$AN,MID(AJ$1,1,2),FALSE)</f>
        <v>0</v>
      </c>
      <c r="AK496" s="55">
        <f>VLOOKUP($E496,'NI-San_SP'!$C:$AN,MID(AK$1,1,2),FALSE)</f>
        <v>0</v>
      </c>
      <c r="AL496" s="55">
        <f>VLOOKUP($E496,'NI-San_SP'!$C:$AN,MID(AL$1,1,2),FALSE)</f>
        <v>0</v>
      </c>
      <c r="AM496" s="56">
        <f>VLOOKUP($E496,'NI-San_SP'!$C:$AN,MID(AM$1,1,2),FALSE)</f>
        <v>0</v>
      </c>
      <c r="AN496" s="30" t="str">
        <f t="shared" si="7"/>
        <v>40501000000000</v>
      </c>
    </row>
    <row r="497" spans="3:40" x14ac:dyDescent="0.25">
      <c r="C497" s="40"/>
      <c r="D497" s="57" t="s">
        <v>1869</v>
      </c>
      <c r="E497" s="57" t="s">
        <v>1870</v>
      </c>
      <c r="F497" s="58" t="s">
        <v>110</v>
      </c>
      <c r="G497" s="52"/>
      <c r="H497" s="52"/>
      <c r="I497" s="52"/>
      <c r="J497" s="52"/>
      <c r="K497" s="59" t="s">
        <v>79</v>
      </c>
      <c r="L497" s="52"/>
      <c r="M497" s="52"/>
      <c r="N497" s="52"/>
      <c r="O497" s="52"/>
      <c r="P497" s="76" t="s">
        <v>1871</v>
      </c>
      <c r="Q497" s="55">
        <f>VLOOKUP(E497,'NI-San_SP'!$C:$AN,12,FALSE)</f>
        <v>153200</v>
      </c>
      <c r="R497" s="55">
        <f>VLOOKUP(E497,'NI-San_SP'!$C:$AN,13,FALSE)</f>
        <v>153200</v>
      </c>
      <c r="S497" s="55"/>
      <c r="T497" s="55"/>
      <c r="U497" s="55">
        <f>VLOOKUP($E497,'NI-San_SP'!$C:$AN,MID(U$1,1,2),FALSE)</f>
        <v>0</v>
      </c>
      <c r="V497" s="55">
        <f>VLOOKUP($E497,'NI-San_SP'!$C:$AN,MID(V$1,1,2),FALSE)</f>
        <v>153200</v>
      </c>
      <c r="W497" s="55">
        <f>VLOOKUP($E497,'NI-San_SP'!$C:$AN,MID(W$1,1,2),FALSE)</f>
        <v>0</v>
      </c>
      <c r="X497" s="55">
        <f>VLOOKUP($E497,'NI-San_SP'!$C:$AN,MID(X$1,1,2),FALSE)</f>
        <v>0</v>
      </c>
      <c r="Y497" s="55">
        <f>VLOOKUP($E497,'NI-San_SP'!$C:$AN,MID(Y$1,1,2),FALSE)</f>
        <v>0</v>
      </c>
      <c r="Z497" s="55">
        <f>VLOOKUP($E497,'NI-San_SP'!$C:$AN,MID(Z$1,1,2),FALSE)</f>
        <v>153200</v>
      </c>
      <c r="AA497" s="55">
        <f>VLOOKUP($E497,'NI-San_SP'!$C:$AN,MID(AA$1,1,2),FALSE)</f>
        <v>0</v>
      </c>
      <c r="AB497" s="55">
        <f>VLOOKUP($E497,'NI-San_SP'!$C:$AN,MID(AB$1,1,2),FALSE)</f>
        <v>0</v>
      </c>
      <c r="AC497" s="55">
        <f>VLOOKUP($E497,'NI-San_SP'!$C:$AN,MID(AC$1,1,2),FALSE)</f>
        <v>0</v>
      </c>
      <c r="AD497" s="55">
        <f>VLOOKUP($E497,'NI-San_SP'!$C:$AN,MID(AD$1,1,2),FALSE)</f>
        <v>0</v>
      </c>
      <c r="AE497" s="55">
        <f>VLOOKUP($E497,'NI-San_SP'!$C:$AN,MID(AE$1,1,2),FALSE)</f>
        <v>0</v>
      </c>
      <c r="AF497" s="55">
        <f>VLOOKUP($E497,'NI-San_SP'!$C:$AN,MID(AF$1,1,2),FALSE)</f>
        <v>0</v>
      </c>
      <c r="AG497" s="55">
        <f>VLOOKUP($E497,'NI-San_SP'!$C:$AN,MID(AG$1,1,2),FALSE)</f>
        <v>0</v>
      </c>
      <c r="AH497" s="55">
        <f>VLOOKUP($E497,'NI-San_SP'!$C:$AN,MID(AH$1,1,2),FALSE)</f>
        <v>0</v>
      </c>
      <c r="AI497" s="55">
        <f>VLOOKUP($E497,'NI-San_SP'!$C:$AN,MID(AI$1,1,2),FALSE)</f>
        <v>0</v>
      </c>
      <c r="AJ497" s="55">
        <f>VLOOKUP($E497,'NI-San_SP'!$C:$AN,MID(AJ$1,1,2),FALSE)</f>
        <v>0</v>
      </c>
      <c r="AK497" s="55">
        <f>VLOOKUP($E497,'NI-San_SP'!$C:$AN,MID(AK$1,1,2),FALSE)</f>
        <v>0</v>
      </c>
      <c r="AL497" s="55">
        <f>VLOOKUP($E497,'NI-San_SP'!$C:$AN,MID(AL$1,1,2),FALSE)</f>
        <v>0</v>
      </c>
      <c r="AM497" s="56">
        <f>VLOOKUP($E497,'NI-San_SP'!$C:$AN,MID(AM$1,1,2),FALSE)</f>
        <v>0</v>
      </c>
      <c r="AN497" s="30" t="str">
        <f t="shared" si="7"/>
        <v>40501010000000</v>
      </c>
    </row>
    <row r="498" spans="3:40" x14ac:dyDescent="0.25">
      <c r="C498" s="40"/>
      <c r="D498" s="57" t="s">
        <v>1872</v>
      </c>
      <c r="E498" s="57" t="s">
        <v>1873</v>
      </c>
      <c r="F498" s="58" t="s">
        <v>110</v>
      </c>
      <c r="G498" s="52"/>
      <c r="H498" s="52"/>
      <c r="I498" s="52"/>
      <c r="J498" s="52"/>
      <c r="K498" s="59" t="s">
        <v>79</v>
      </c>
      <c r="L498" s="52"/>
      <c r="M498" s="52"/>
      <c r="N498" s="52"/>
      <c r="O498" s="52"/>
      <c r="P498" s="76" t="s">
        <v>1874</v>
      </c>
      <c r="Q498" s="55">
        <f>VLOOKUP(E498,'NI-San_SP'!$C:$AN,12,FALSE)</f>
        <v>0</v>
      </c>
      <c r="R498" s="55">
        <f>VLOOKUP(E498,'NI-San_SP'!$C:$AN,13,FALSE)</f>
        <v>0</v>
      </c>
      <c r="S498" s="55"/>
      <c r="T498" s="55"/>
      <c r="U498" s="55">
        <f>VLOOKUP($E498,'NI-San_SP'!$C:$AN,MID(U$1,1,2),FALSE)</f>
        <v>0</v>
      </c>
      <c r="V498" s="55">
        <f>VLOOKUP($E498,'NI-San_SP'!$C:$AN,MID(V$1,1,2),FALSE)</f>
        <v>0</v>
      </c>
      <c r="W498" s="55">
        <f>VLOOKUP($E498,'NI-San_SP'!$C:$AN,MID(W$1,1,2),FALSE)</f>
        <v>0</v>
      </c>
      <c r="X498" s="55">
        <f>VLOOKUP($E498,'NI-San_SP'!$C:$AN,MID(X$1,1,2),FALSE)</f>
        <v>0</v>
      </c>
      <c r="Y498" s="55">
        <f>VLOOKUP($E498,'NI-San_SP'!$C:$AN,MID(Y$1,1,2),FALSE)</f>
        <v>0</v>
      </c>
      <c r="Z498" s="55">
        <f>VLOOKUP($E498,'NI-San_SP'!$C:$AN,MID(Z$1,1,2),FALSE)</f>
        <v>0</v>
      </c>
      <c r="AA498" s="55">
        <f>VLOOKUP($E498,'NI-San_SP'!$C:$AN,MID(AA$1,1,2),FALSE)</f>
        <v>0</v>
      </c>
      <c r="AB498" s="55">
        <f>VLOOKUP($E498,'NI-San_SP'!$C:$AN,MID(AB$1,1,2),FALSE)</f>
        <v>0</v>
      </c>
      <c r="AC498" s="55">
        <f>VLOOKUP($E498,'NI-San_SP'!$C:$AN,MID(AC$1,1,2),FALSE)</f>
        <v>0</v>
      </c>
      <c r="AD498" s="55">
        <f>VLOOKUP($E498,'NI-San_SP'!$C:$AN,MID(AD$1,1,2),FALSE)</f>
        <v>0</v>
      </c>
      <c r="AE498" s="55">
        <f>VLOOKUP($E498,'NI-San_SP'!$C:$AN,MID(AE$1,1,2),FALSE)</f>
        <v>0</v>
      </c>
      <c r="AF498" s="55">
        <f>VLOOKUP($E498,'NI-San_SP'!$C:$AN,MID(AF$1,1,2),FALSE)</f>
        <v>0</v>
      </c>
      <c r="AG498" s="55">
        <f>VLOOKUP($E498,'NI-San_SP'!$C:$AN,MID(AG$1,1,2),FALSE)</f>
        <v>0</v>
      </c>
      <c r="AH498" s="55">
        <f>VLOOKUP($E498,'NI-San_SP'!$C:$AN,MID(AH$1,1,2),FALSE)</f>
        <v>0</v>
      </c>
      <c r="AI498" s="55">
        <f>VLOOKUP($E498,'NI-San_SP'!$C:$AN,MID(AI$1,1,2),FALSE)</f>
        <v>0</v>
      </c>
      <c r="AJ498" s="55">
        <f>VLOOKUP($E498,'NI-San_SP'!$C:$AN,MID(AJ$1,1,2),FALSE)</f>
        <v>0</v>
      </c>
      <c r="AK498" s="55">
        <f>VLOOKUP($E498,'NI-San_SP'!$C:$AN,MID(AK$1,1,2),FALSE)</f>
        <v>0</v>
      </c>
      <c r="AL498" s="55">
        <f>VLOOKUP($E498,'NI-San_SP'!$C:$AN,MID(AL$1,1,2),FALSE)</f>
        <v>0</v>
      </c>
      <c r="AM498" s="56">
        <f>VLOOKUP($E498,'NI-San_SP'!$C:$AN,MID(AM$1,1,2),FALSE)</f>
        <v>0</v>
      </c>
      <c r="AN498" s="30" t="str">
        <f t="shared" si="7"/>
        <v>40501020000000</v>
      </c>
    </row>
    <row r="499" spans="3:40" x14ac:dyDescent="0.25">
      <c r="C499" s="40"/>
      <c r="D499" s="57" t="s">
        <v>1875</v>
      </c>
      <c r="E499" s="57" t="s">
        <v>1876</v>
      </c>
      <c r="F499" s="58" t="s">
        <v>110</v>
      </c>
      <c r="G499" s="52"/>
      <c r="H499" s="52"/>
      <c r="I499" s="52"/>
      <c r="J499" s="52"/>
      <c r="K499" s="59" t="s">
        <v>79</v>
      </c>
      <c r="L499" s="52"/>
      <c r="M499" s="52"/>
      <c r="N499" s="52"/>
      <c r="O499" s="52"/>
      <c r="P499" s="76" t="s">
        <v>1877</v>
      </c>
      <c r="Q499" s="55">
        <f>VLOOKUP(E499,'NI-San_SP'!$C:$AN,12,FALSE)</f>
        <v>0</v>
      </c>
      <c r="R499" s="55">
        <f>VLOOKUP(E499,'NI-San_SP'!$C:$AN,13,FALSE)</f>
        <v>0</v>
      </c>
      <c r="S499" s="55"/>
      <c r="T499" s="55"/>
      <c r="U499" s="55">
        <f>VLOOKUP($E499,'NI-San_SP'!$C:$AN,MID(U$1,1,2),FALSE)</f>
        <v>0</v>
      </c>
      <c r="V499" s="55">
        <f>VLOOKUP($E499,'NI-San_SP'!$C:$AN,MID(V$1,1,2),FALSE)</f>
        <v>0</v>
      </c>
      <c r="W499" s="55">
        <f>VLOOKUP($E499,'NI-San_SP'!$C:$AN,MID(W$1,1,2),FALSE)</f>
        <v>0</v>
      </c>
      <c r="X499" s="55">
        <f>VLOOKUP($E499,'NI-San_SP'!$C:$AN,MID(X$1,1,2),FALSE)</f>
        <v>0</v>
      </c>
      <c r="Y499" s="55">
        <f>VLOOKUP($E499,'NI-San_SP'!$C:$AN,MID(Y$1,1,2),FALSE)</f>
        <v>0</v>
      </c>
      <c r="Z499" s="55">
        <f>VLOOKUP($E499,'NI-San_SP'!$C:$AN,MID(Z$1,1,2),FALSE)</f>
        <v>0</v>
      </c>
      <c r="AA499" s="55">
        <f>VLOOKUP($E499,'NI-San_SP'!$C:$AN,MID(AA$1,1,2),FALSE)</f>
        <v>0</v>
      </c>
      <c r="AB499" s="55">
        <f>VLOOKUP($E499,'NI-San_SP'!$C:$AN,MID(AB$1,1,2),FALSE)</f>
        <v>0</v>
      </c>
      <c r="AC499" s="55">
        <f>VLOOKUP($E499,'NI-San_SP'!$C:$AN,MID(AC$1,1,2),FALSE)</f>
        <v>0</v>
      </c>
      <c r="AD499" s="55">
        <f>VLOOKUP($E499,'NI-San_SP'!$C:$AN,MID(AD$1,1,2),FALSE)</f>
        <v>0</v>
      </c>
      <c r="AE499" s="55">
        <f>VLOOKUP($E499,'NI-San_SP'!$C:$AN,MID(AE$1,1,2),FALSE)</f>
        <v>0</v>
      </c>
      <c r="AF499" s="55">
        <f>VLOOKUP($E499,'NI-San_SP'!$C:$AN,MID(AF$1,1,2),FALSE)</f>
        <v>0</v>
      </c>
      <c r="AG499" s="55">
        <f>VLOOKUP($E499,'NI-San_SP'!$C:$AN,MID(AG$1,1,2),FALSE)</f>
        <v>0</v>
      </c>
      <c r="AH499" s="55">
        <f>VLOOKUP($E499,'NI-San_SP'!$C:$AN,MID(AH$1,1,2),FALSE)</f>
        <v>0</v>
      </c>
      <c r="AI499" s="55">
        <f>VLOOKUP($E499,'NI-San_SP'!$C:$AN,MID(AI$1,1,2),FALSE)</f>
        <v>0</v>
      </c>
      <c r="AJ499" s="55">
        <f>VLOOKUP($E499,'NI-San_SP'!$C:$AN,MID(AJ$1,1,2),FALSE)</f>
        <v>0</v>
      </c>
      <c r="AK499" s="55">
        <f>VLOOKUP($E499,'NI-San_SP'!$C:$AN,MID(AK$1,1,2),FALSE)</f>
        <v>0</v>
      </c>
      <c r="AL499" s="55">
        <f>VLOOKUP($E499,'NI-San_SP'!$C:$AN,MID(AL$1,1,2),FALSE)</f>
        <v>0</v>
      </c>
      <c r="AM499" s="56">
        <f>VLOOKUP($E499,'NI-San_SP'!$C:$AN,MID(AM$1,1,2),FALSE)</f>
        <v>0</v>
      </c>
      <c r="AN499" s="30" t="str">
        <f t="shared" si="7"/>
        <v>40501030000000</v>
      </c>
    </row>
    <row r="500" spans="3:40" x14ac:dyDescent="0.25">
      <c r="C500" s="40"/>
      <c r="D500" s="57" t="s">
        <v>1878</v>
      </c>
      <c r="E500" s="57" t="s">
        <v>1879</v>
      </c>
      <c r="F500" s="58" t="s">
        <v>110</v>
      </c>
      <c r="G500" s="52"/>
      <c r="H500" s="52"/>
      <c r="I500" s="52"/>
      <c r="J500" s="52"/>
      <c r="K500" s="53" t="s">
        <v>111</v>
      </c>
      <c r="L500" s="52"/>
      <c r="M500" s="52"/>
      <c r="N500" s="52"/>
      <c r="O500" s="52"/>
      <c r="P500" s="76" t="s">
        <v>1880</v>
      </c>
      <c r="Q500" s="55">
        <f>VLOOKUP(E500,'NI-San_SP'!$C:$AN,12,FALSE)</f>
        <v>0</v>
      </c>
      <c r="R500" s="55">
        <f>VLOOKUP(E500,'NI-San_SP'!$C:$AN,13,FALSE)</f>
        <v>0</v>
      </c>
      <c r="S500" s="55"/>
      <c r="T500" s="55"/>
      <c r="U500" s="55">
        <f>VLOOKUP($E500,'NI-San_SP'!$C:$AN,MID(U$1,1,2),FALSE)</f>
        <v>0</v>
      </c>
      <c r="V500" s="55">
        <f>VLOOKUP($E500,'NI-San_SP'!$C:$AN,MID(V$1,1,2),FALSE)</f>
        <v>0</v>
      </c>
      <c r="W500" s="55">
        <f>VLOOKUP($E500,'NI-San_SP'!$C:$AN,MID(W$1,1,2),FALSE)</f>
        <v>0</v>
      </c>
      <c r="X500" s="55">
        <f>VLOOKUP($E500,'NI-San_SP'!$C:$AN,MID(X$1,1,2),FALSE)</f>
        <v>0</v>
      </c>
      <c r="Y500" s="55">
        <f>VLOOKUP($E500,'NI-San_SP'!$C:$AN,MID(Y$1,1,2),FALSE)</f>
        <v>0</v>
      </c>
      <c r="Z500" s="55">
        <f>VLOOKUP($E500,'NI-San_SP'!$C:$AN,MID(Z$1,1,2),FALSE)</f>
        <v>0</v>
      </c>
      <c r="AA500" s="55">
        <f>VLOOKUP($E500,'NI-San_SP'!$C:$AN,MID(AA$1,1,2),FALSE)</f>
        <v>0</v>
      </c>
      <c r="AB500" s="55">
        <f>VLOOKUP($E500,'NI-San_SP'!$C:$AN,MID(AB$1,1,2),FALSE)</f>
        <v>0</v>
      </c>
      <c r="AC500" s="55">
        <f>VLOOKUP($E500,'NI-San_SP'!$C:$AN,MID(AC$1,1,2),FALSE)</f>
        <v>0</v>
      </c>
      <c r="AD500" s="55">
        <f>VLOOKUP($E500,'NI-San_SP'!$C:$AN,MID(AD$1,1,2),FALSE)</f>
        <v>0</v>
      </c>
      <c r="AE500" s="55">
        <f>VLOOKUP($E500,'NI-San_SP'!$C:$AN,MID(AE$1,1,2),FALSE)</f>
        <v>0</v>
      </c>
      <c r="AF500" s="55">
        <f>VLOOKUP($E500,'NI-San_SP'!$C:$AN,MID(AF$1,1,2),FALSE)</f>
        <v>0</v>
      </c>
      <c r="AG500" s="55">
        <f>VLOOKUP($E500,'NI-San_SP'!$C:$AN,MID(AG$1,1,2),FALSE)</f>
        <v>0</v>
      </c>
      <c r="AH500" s="55">
        <f>VLOOKUP($E500,'NI-San_SP'!$C:$AN,MID(AH$1,1,2),FALSE)</f>
        <v>0</v>
      </c>
      <c r="AI500" s="55">
        <f>VLOOKUP($E500,'NI-San_SP'!$C:$AN,MID(AI$1,1,2),FALSE)</f>
        <v>0</v>
      </c>
      <c r="AJ500" s="55">
        <f>VLOOKUP($E500,'NI-San_SP'!$C:$AN,MID(AJ$1,1,2),FALSE)</f>
        <v>0</v>
      </c>
      <c r="AK500" s="55">
        <f>VLOOKUP($E500,'NI-San_SP'!$C:$AN,MID(AK$1,1,2),FALSE)</f>
        <v>0</v>
      </c>
      <c r="AL500" s="55">
        <f>VLOOKUP($E500,'NI-San_SP'!$C:$AN,MID(AL$1,1,2),FALSE)</f>
        <v>0</v>
      </c>
      <c r="AM500" s="56">
        <f>VLOOKUP($E500,'NI-San_SP'!$C:$AN,MID(AM$1,1,2),FALSE)</f>
        <v>0</v>
      </c>
      <c r="AN500" s="30" t="str">
        <f t="shared" si="7"/>
        <v>40502000000000</v>
      </c>
    </row>
    <row r="501" spans="3:40" x14ac:dyDescent="0.25">
      <c r="C501" s="40"/>
      <c r="D501" s="57" t="s">
        <v>1881</v>
      </c>
      <c r="E501" s="57" t="s">
        <v>1882</v>
      </c>
      <c r="F501" s="58" t="s">
        <v>110</v>
      </c>
      <c r="G501" s="52"/>
      <c r="H501" s="52"/>
      <c r="I501" s="52"/>
      <c r="J501" s="52"/>
      <c r="K501" s="59" t="s">
        <v>79</v>
      </c>
      <c r="L501" s="52"/>
      <c r="M501" s="52"/>
      <c r="N501" s="52"/>
      <c r="O501" s="52"/>
      <c r="P501" s="76" t="s">
        <v>1883</v>
      </c>
      <c r="Q501" s="55">
        <f>VLOOKUP(E501,'NI-San_SP'!$C:$AN,12,FALSE)</f>
        <v>7401292</v>
      </c>
      <c r="R501" s="55">
        <f>VLOOKUP(E501,'NI-San_SP'!$C:$AN,13,FALSE)</f>
        <v>8238751</v>
      </c>
      <c r="S501" s="55"/>
      <c r="T501" s="55"/>
      <c r="U501" s="55">
        <f>VLOOKUP($E501,'NI-San_SP'!$C:$AN,MID(U$1,1,2),FALSE)</f>
        <v>0</v>
      </c>
      <c r="V501" s="55">
        <f>VLOOKUP($E501,'NI-San_SP'!$C:$AN,MID(V$1,1,2),FALSE)</f>
        <v>7401292</v>
      </c>
      <c r="W501" s="55">
        <f>VLOOKUP($E501,'NI-San_SP'!$C:$AN,MID(W$1,1,2),FALSE)</f>
        <v>0</v>
      </c>
      <c r="X501" s="55">
        <f>VLOOKUP($E501,'NI-San_SP'!$C:$AN,MID(X$1,1,2),FALSE)</f>
        <v>1058706</v>
      </c>
      <c r="Y501" s="55">
        <f>VLOOKUP($E501,'NI-San_SP'!$C:$AN,MID(Y$1,1,2),FALSE)</f>
        <v>221247</v>
      </c>
      <c r="Z501" s="55">
        <f>VLOOKUP($E501,'NI-San_SP'!$C:$AN,MID(Z$1,1,2),FALSE)</f>
        <v>8238751</v>
      </c>
      <c r="AA501" s="55">
        <f>VLOOKUP($E501,'NI-San_SP'!$C:$AN,MID(AA$1,1,2),FALSE)</f>
        <v>0</v>
      </c>
      <c r="AB501" s="55">
        <f>VLOOKUP($E501,'NI-San_SP'!$C:$AN,MID(AB$1,1,2),FALSE)</f>
        <v>0</v>
      </c>
      <c r="AC501" s="55">
        <f>VLOOKUP($E501,'NI-San_SP'!$C:$AN,MID(AC$1,1,2),FALSE)</f>
        <v>0</v>
      </c>
      <c r="AD501" s="55">
        <f>VLOOKUP($E501,'NI-San_SP'!$C:$AN,MID(AD$1,1,2),FALSE)</f>
        <v>0</v>
      </c>
      <c r="AE501" s="55">
        <f>VLOOKUP($E501,'NI-San_SP'!$C:$AN,MID(AE$1,1,2),FALSE)</f>
        <v>0</v>
      </c>
      <c r="AF501" s="55">
        <f>VLOOKUP($E501,'NI-San_SP'!$C:$AN,MID(AF$1,1,2),FALSE)</f>
        <v>0</v>
      </c>
      <c r="AG501" s="55">
        <f>VLOOKUP($E501,'NI-San_SP'!$C:$AN,MID(AG$1,1,2),FALSE)</f>
        <v>0</v>
      </c>
      <c r="AH501" s="55">
        <f>VLOOKUP($E501,'NI-San_SP'!$C:$AN,MID(AH$1,1,2),FALSE)</f>
        <v>0</v>
      </c>
      <c r="AI501" s="55">
        <f>VLOOKUP($E501,'NI-San_SP'!$C:$AN,MID(AI$1,1,2),FALSE)</f>
        <v>0</v>
      </c>
      <c r="AJ501" s="55">
        <f>VLOOKUP($E501,'NI-San_SP'!$C:$AN,MID(AJ$1,1,2),FALSE)</f>
        <v>0</v>
      </c>
      <c r="AK501" s="55">
        <f>VLOOKUP($E501,'NI-San_SP'!$C:$AN,MID(AK$1,1,2),FALSE)</f>
        <v>0</v>
      </c>
      <c r="AL501" s="55">
        <f>VLOOKUP($E501,'NI-San_SP'!$C:$AN,MID(AL$1,1,2),FALSE)</f>
        <v>0</v>
      </c>
      <c r="AM501" s="56">
        <f>VLOOKUP($E501,'NI-San_SP'!$C:$AN,MID(AM$1,1,2),FALSE)</f>
        <v>0</v>
      </c>
      <c r="AN501" s="30" t="str">
        <f t="shared" si="7"/>
        <v>40502010000000</v>
      </c>
    </row>
    <row r="502" spans="3:40" x14ac:dyDescent="0.25">
      <c r="C502" s="40"/>
      <c r="D502" s="57" t="s">
        <v>1884</v>
      </c>
      <c r="E502" s="57" t="s">
        <v>1885</v>
      </c>
      <c r="F502" s="58" t="s">
        <v>110</v>
      </c>
      <c r="G502" s="52"/>
      <c r="H502" s="52"/>
      <c r="I502" s="52"/>
      <c r="J502" s="52"/>
      <c r="K502" s="59" t="s">
        <v>79</v>
      </c>
      <c r="L502" s="52"/>
      <c r="M502" s="52"/>
      <c r="N502" s="52"/>
      <c r="O502" s="52"/>
      <c r="P502" s="76" t="s">
        <v>1886</v>
      </c>
      <c r="Q502" s="55">
        <f>VLOOKUP(E502,'NI-San_SP'!$C:$AN,12,FALSE)</f>
        <v>0</v>
      </c>
      <c r="R502" s="55">
        <f>VLOOKUP(E502,'NI-San_SP'!$C:$AN,13,FALSE)</f>
        <v>0</v>
      </c>
      <c r="S502" s="55"/>
      <c r="T502" s="55"/>
      <c r="U502" s="55">
        <f>VLOOKUP($E502,'NI-San_SP'!$C:$AN,MID(U$1,1,2),FALSE)</f>
        <v>0</v>
      </c>
      <c r="V502" s="55">
        <f>VLOOKUP($E502,'NI-San_SP'!$C:$AN,MID(V$1,1,2),FALSE)</f>
        <v>0</v>
      </c>
      <c r="W502" s="55">
        <f>VLOOKUP($E502,'NI-San_SP'!$C:$AN,MID(W$1,1,2),FALSE)</f>
        <v>0</v>
      </c>
      <c r="X502" s="55">
        <f>VLOOKUP($E502,'NI-San_SP'!$C:$AN,MID(X$1,1,2),FALSE)</f>
        <v>0</v>
      </c>
      <c r="Y502" s="55">
        <f>VLOOKUP($E502,'NI-San_SP'!$C:$AN,MID(Y$1,1,2),FALSE)</f>
        <v>0</v>
      </c>
      <c r="Z502" s="55">
        <f>VLOOKUP($E502,'NI-San_SP'!$C:$AN,MID(Z$1,1,2),FALSE)</f>
        <v>0</v>
      </c>
      <c r="AA502" s="55">
        <f>VLOOKUP($E502,'NI-San_SP'!$C:$AN,MID(AA$1,1,2),FALSE)</f>
        <v>0</v>
      </c>
      <c r="AB502" s="55">
        <f>VLOOKUP($E502,'NI-San_SP'!$C:$AN,MID(AB$1,1,2),FALSE)</f>
        <v>0</v>
      </c>
      <c r="AC502" s="55">
        <f>VLOOKUP($E502,'NI-San_SP'!$C:$AN,MID(AC$1,1,2),FALSE)</f>
        <v>0</v>
      </c>
      <c r="AD502" s="55">
        <f>VLOOKUP($E502,'NI-San_SP'!$C:$AN,MID(AD$1,1,2),FALSE)</f>
        <v>0</v>
      </c>
      <c r="AE502" s="55">
        <f>VLOOKUP($E502,'NI-San_SP'!$C:$AN,MID(AE$1,1,2),FALSE)</f>
        <v>0</v>
      </c>
      <c r="AF502" s="55">
        <f>VLOOKUP($E502,'NI-San_SP'!$C:$AN,MID(AF$1,1,2),FALSE)</f>
        <v>0</v>
      </c>
      <c r="AG502" s="55">
        <f>VLOOKUP($E502,'NI-San_SP'!$C:$AN,MID(AG$1,1,2),FALSE)</f>
        <v>0</v>
      </c>
      <c r="AH502" s="55">
        <f>VLOOKUP($E502,'NI-San_SP'!$C:$AN,MID(AH$1,1,2),FALSE)</f>
        <v>0</v>
      </c>
      <c r="AI502" s="55">
        <f>VLOOKUP($E502,'NI-San_SP'!$C:$AN,MID(AI$1,1,2),FALSE)</f>
        <v>0</v>
      </c>
      <c r="AJ502" s="55">
        <f>VLOOKUP($E502,'NI-San_SP'!$C:$AN,MID(AJ$1,1,2),FALSE)</f>
        <v>0</v>
      </c>
      <c r="AK502" s="55">
        <f>VLOOKUP($E502,'NI-San_SP'!$C:$AN,MID(AK$1,1,2),FALSE)</f>
        <v>0</v>
      </c>
      <c r="AL502" s="55">
        <f>VLOOKUP($E502,'NI-San_SP'!$C:$AN,MID(AL$1,1,2),FALSE)</f>
        <v>0</v>
      </c>
      <c r="AM502" s="56">
        <f>VLOOKUP($E502,'NI-San_SP'!$C:$AN,MID(AM$1,1,2),FALSE)</f>
        <v>0</v>
      </c>
      <c r="AN502" s="30" t="str">
        <f t="shared" si="7"/>
        <v>40502020000000</v>
      </c>
    </row>
    <row r="503" spans="3:40" x14ac:dyDescent="0.25">
      <c r="C503" s="40"/>
      <c r="D503" s="57" t="s">
        <v>1887</v>
      </c>
      <c r="E503" s="57" t="s">
        <v>1888</v>
      </c>
      <c r="F503" s="58" t="s">
        <v>110</v>
      </c>
      <c r="G503" s="52"/>
      <c r="H503" s="52"/>
      <c r="I503" s="52"/>
      <c r="J503" s="52"/>
      <c r="K503" s="59" t="s">
        <v>79</v>
      </c>
      <c r="L503" s="52"/>
      <c r="M503" s="52"/>
      <c r="N503" s="52"/>
      <c r="O503" s="52"/>
      <c r="P503" s="76" t="s">
        <v>1889</v>
      </c>
      <c r="Q503" s="55">
        <f>VLOOKUP(E503,'NI-San_SP'!$C:$AN,12,FALSE)</f>
        <v>0</v>
      </c>
      <c r="R503" s="55">
        <f>VLOOKUP(E503,'NI-San_SP'!$C:$AN,13,FALSE)</f>
        <v>0</v>
      </c>
      <c r="S503" s="55"/>
      <c r="T503" s="55"/>
      <c r="U503" s="55">
        <f>VLOOKUP($E503,'NI-San_SP'!$C:$AN,MID(U$1,1,2),FALSE)</f>
        <v>0</v>
      </c>
      <c r="V503" s="55">
        <f>VLOOKUP($E503,'NI-San_SP'!$C:$AN,MID(V$1,1,2),FALSE)</f>
        <v>0</v>
      </c>
      <c r="W503" s="55">
        <f>VLOOKUP($E503,'NI-San_SP'!$C:$AN,MID(W$1,1,2),FALSE)</f>
        <v>0</v>
      </c>
      <c r="X503" s="55">
        <f>VLOOKUP($E503,'NI-San_SP'!$C:$AN,MID(X$1,1,2),FALSE)</f>
        <v>0</v>
      </c>
      <c r="Y503" s="55">
        <f>VLOOKUP($E503,'NI-San_SP'!$C:$AN,MID(Y$1,1,2),FALSE)</f>
        <v>0</v>
      </c>
      <c r="Z503" s="55">
        <f>VLOOKUP($E503,'NI-San_SP'!$C:$AN,MID(Z$1,1,2),FALSE)</f>
        <v>0</v>
      </c>
      <c r="AA503" s="55">
        <f>VLOOKUP($E503,'NI-San_SP'!$C:$AN,MID(AA$1,1,2),FALSE)</f>
        <v>0</v>
      </c>
      <c r="AB503" s="55">
        <f>VLOOKUP($E503,'NI-San_SP'!$C:$AN,MID(AB$1,1,2),FALSE)</f>
        <v>0</v>
      </c>
      <c r="AC503" s="55">
        <f>VLOOKUP($E503,'NI-San_SP'!$C:$AN,MID(AC$1,1,2),FALSE)</f>
        <v>0</v>
      </c>
      <c r="AD503" s="55">
        <f>VLOOKUP($E503,'NI-San_SP'!$C:$AN,MID(AD$1,1,2),FALSE)</f>
        <v>0</v>
      </c>
      <c r="AE503" s="55">
        <f>VLOOKUP($E503,'NI-San_SP'!$C:$AN,MID(AE$1,1,2),FALSE)</f>
        <v>0</v>
      </c>
      <c r="AF503" s="55">
        <f>VLOOKUP($E503,'NI-San_SP'!$C:$AN,MID(AF$1,1,2),FALSE)</f>
        <v>0</v>
      </c>
      <c r="AG503" s="55">
        <f>VLOOKUP($E503,'NI-San_SP'!$C:$AN,MID(AG$1,1,2),FALSE)</f>
        <v>0</v>
      </c>
      <c r="AH503" s="55">
        <f>VLOOKUP($E503,'NI-San_SP'!$C:$AN,MID(AH$1,1,2),FALSE)</f>
        <v>0</v>
      </c>
      <c r="AI503" s="55">
        <f>VLOOKUP($E503,'NI-San_SP'!$C:$AN,MID(AI$1,1,2),FALSE)</f>
        <v>0</v>
      </c>
      <c r="AJ503" s="55">
        <f>VLOOKUP($E503,'NI-San_SP'!$C:$AN,MID(AJ$1,1,2),FALSE)</f>
        <v>0</v>
      </c>
      <c r="AK503" s="55">
        <f>VLOOKUP($E503,'NI-San_SP'!$C:$AN,MID(AK$1,1,2),FALSE)</f>
        <v>0</v>
      </c>
      <c r="AL503" s="55">
        <f>VLOOKUP($E503,'NI-San_SP'!$C:$AN,MID(AL$1,1,2),FALSE)</f>
        <v>0</v>
      </c>
      <c r="AM503" s="56">
        <f>VLOOKUP($E503,'NI-San_SP'!$C:$AN,MID(AM$1,1,2),FALSE)</f>
        <v>0</v>
      </c>
      <c r="AN503" s="30" t="str">
        <f t="shared" si="7"/>
        <v>40502030000000</v>
      </c>
    </row>
    <row r="504" spans="3:40" x14ac:dyDescent="0.25">
      <c r="C504" s="40"/>
      <c r="D504" s="57" t="s">
        <v>1890</v>
      </c>
      <c r="E504" s="57" t="s">
        <v>1891</v>
      </c>
      <c r="F504" s="58" t="s">
        <v>110</v>
      </c>
      <c r="G504" s="52"/>
      <c r="H504" s="52"/>
      <c r="I504" s="52"/>
      <c r="J504" s="52"/>
      <c r="K504" s="59" t="s">
        <v>79</v>
      </c>
      <c r="L504" s="52"/>
      <c r="M504" s="52"/>
      <c r="N504" s="52"/>
      <c r="O504" s="52"/>
      <c r="P504" s="76" t="s">
        <v>1892</v>
      </c>
      <c r="Q504" s="55">
        <f>VLOOKUP(E504,'NI-San_SP'!$C:$AN,12,FALSE)</f>
        <v>0</v>
      </c>
      <c r="R504" s="55">
        <f>VLOOKUP(E504,'NI-San_SP'!$C:$AN,13,FALSE)</f>
        <v>0</v>
      </c>
      <c r="S504" s="55"/>
      <c r="T504" s="55"/>
      <c r="U504" s="55">
        <f>VLOOKUP($E504,'NI-San_SP'!$C:$AN,MID(U$1,1,2),FALSE)</f>
        <v>0</v>
      </c>
      <c r="V504" s="55">
        <f>VLOOKUP($E504,'NI-San_SP'!$C:$AN,MID(V$1,1,2),FALSE)</f>
        <v>0</v>
      </c>
      <c r="W504" s="55">
        <f>VLOOKUP($E504,'NI-San_SP'!$C:$AN,MID(W$1,1,2),FALSE)</f>
        <v>0</v>
      </c>
      <c r="X504" s="55">
        <f>VLOOKUP($E504,'NI-San_SP'!$C:$AN,MID(X$1,1,2),FALSE)</f>
        <v>0</v>
      </c>
      <c r="Y504" s="55">
        <f>VLOOKUP($E504,'NI-San_SP'!$C:$AN,MID(Y$1,1,2),FALSE)</f>
        <v>0</v>
      </c>
      <c r="Z504" s="55">
        <f>VLOOKUP($E504,'NI-San_SP'!$C:$AN,MID(Z$1,1,2),FALSE)</f>
        <v>0</v>
      </c>
      <c r="AA504" s="55">
        <f>VLOOKUP($E504,'NI-San_SP'!$C:$AN,MID(AA$1,1,2),FALSE)</f>
        <v>0</v>
      </c>
      <c r="AB504" s="55">
        <f>VLOOKUP($E504,'NI-San_SP'!$C:$AN,MID(AB$1,1,2),FALSE)</f>
        <v>0</v>
      </c>
      <c r="AC504" s="55">
        <f>VLOOKUP($E504,'NI-San_SP'!$C:$AN,MID(AC$1,1,2),FALSE)</f>
        <v>0</v>
      </c>
      <c r="AD504" s="55">
        <f>VLOOKUP($E504,'NI-San_SP'!$C:$AN,MID(AD$1,1,2),FALSE)</f>
        <v>0</v>
      </c>
      <c r="AE504" s="55">
        <f>VLOOKUP($E504,'NI-San_SP'!$C:$AN,MID(AE$1,1,2),FALSE)</f>
        <v>0</v>
      </c>
      <c r="AF504" s="55">
        <f>VLOOKUP($E504,'NI-San_SP'!$C:$AN,MID(AF$1,1,2),FALSE)</f>
        <v>0</v>
      </c>
      <c r="AG504" s="55">
        <f>VLOOKUP($E504,'NI-San_SP'!$C:$AN,MID(AG$1,1,2),FALSE)</f>
        <v>0</v>
      </c>
      <c r="AH504" s="55">
        <f>VLOOKUP($E504,'NI-San_SP'!$C:$AN,MID(AH$1,1,2),FALSE)</f>
        <v>0</v>
      </c>
      <c r="AI504" s="55">
        <f>VLOOKUP($E504,'NI-San_SP'!$C:$AN,MID(AI$1,1,2),FALSE)</f>
        <v>0</v>
      </c>
      <c r="AJ504" s="55">
        <f>VLOOKUP($E504,'NI-San_SP'!$C:$AN,MID(AJ$1,1,2),FALSE)</f>
        <v>0</v>
      </c>
      <c r="AK504" s="55">
        <f>VLOOKUP($E504,'NI-San_SP'!$C:$AN,MID(AK$1,1,2),FALSE)</f>
        <v>0</v>
      </c>
      <c r="AL504" s="55">
        <f>VLOOKUP($E504,'NI-San_SP'!$C:$AN,MID(AL$1,1,2),FALSE)</f>
        <v>0</v>
      </c>
      <c r="AM504" s="56">
        <f>VLOOKUP($E504,'NI-San_SP'!$C:$AN,MID(AM$1,1,2),FALSE)</f>
        <v>0</v>
      </c>
      <c r="AN504" s="30" t="str">
        <f t="shared" si="7"/>
        <v>40502040000000</v>
      </c>
    </row>
    <row r="505" spans="3:40" x14ac:dyDescent="0.25">
      <c r="C505" s="40"/>
      <c r="D505" s="57" t="s">
        <v>1893</v>
      </c>
      <c r="E505" s="57" t="s">
        <v>1894</v>
      </c>
      <c r="F505" s="58" t="s">
        <v>110</v>
      </c>
      <c r="G505" s="52"/>
      <c r="H505" s="52"/>
      <c r="I505" s="52"/>
      <c r="J505" s="52"/>
      <c r="K505" s="53" t="s">
        <v>111</v>
      </c>
      <c r="L505" s="52"/>
      <c r="M505" s="52"/>
      <c r="N505" s="52"/>
      <c r="O505" s="52"/>
      <c r="P505" s="76" t="s">
        <v>1895</v>
      </c>
      <c r="Q505" s="55">
        <f>VLOOKUP(E505,'NI-San_SP'!$C:$AN,12,FALSE)</f>
        <v>0</v>
      </c>
      <c r="R505" s="55">
        <f>VLOOKUP(E505,'NI-San_SP'!$C:$AN,13,FALSE)</f>
        <v>0</v>
      </c>
      <c r="S505" s="55"/>
      <c r="T505" s="55"/>
      <c r="U505" s="55">
        <f>VLOOKUP($E505,'NI-San_SP'!$C:$AN,MID(U$1,1,2),FALSE)</f>
        <v>0</v>
      </c>
      <c r="V505" s="55">
        <f>VLOOKUP($E505,'NI-San_SP'!$C:$AN,MID(V$1,1,2),FALSE)</f>
        <v>0</v>
      </c>
      <c r="W505" s="55">
        <f>VLOOKUP($E505,'NI-San_SP'!$C:$AN,MID(W$1,1,2),FALSE)</f>
        <v>0</v>
      </c>
      <c r="X505" s="55">
        <f>VLOOKUP($E505,'NI-San_SP'!$C:$AN,MID(X$1,1,2),FALSE)</f>
        <v>0</v>
      </c>
      <c r="Y505" s="55">
        <f>VLOOKUP($E505,'NI-San_SP'!$C:$AN,MID(Y$1,1,2),FALSE)</f>
        <v>0</v>
      </c>
      <c r="Z505" s="55">
        <f>VLOOKUP($E505,'NI-San_SP'!$C:$AN,MID(Z$1,1,2),FALSE)</f>
        <v>0</v>
      </c>
      <c r="AA505" s="55">
        <f>VLOOKUP($E505,'NI-San_SP'!$C:$AN,MID(AA$1,1,2),FALSE)</f>
        <v>0</v>
      </c>
      <c r="AB505" s="55">
        <f>VLOOKUP($E505,'NI-San_SP'!$C:$AN,MID(AB$1,1,2),FALSE)</f>
        <v>0</v>
      </c>
      <c r="AC505" s="55">
        <f>VLOOKUP($E505,'NI-San_SP'!$C:$AN,MID(AC$1,1,2),FALSE)</f>
        <v>0</v>
      </c>
      <c r="AD505" s="55">
        <f>VLOOKUP($E505,'NI-San_SP'!$C:$AN,MID(AD$1,1,2),FALSE)</f>
        <v>0</v>
      </c>
      <c r="AE505" s="55">
        <f>VLOOKUP($E505,'NI-San_SP'!$C:$AN,MID(AE$1,1,2),FALSE)</f>
        <v>0</v>
      </c>
      <c r="AF505" s="55">
        <f>VLOOKUP($E505,'NI-San_SP'!$C:$AN,MID(AF$1,1,2),FALSE)</f>
        <v>0</v>
      </c>
      <c r="AG505" s="55">
        <f>VLOOKUP($E505,'NI-San_SP'!$C:$AN,MID(AG$1,1,2),FALSE)</f>
        <v>0</v>
      </c>
      <c r="AH505" s="55">
        <f>VLOOKUP($E505,'NI-San_SP'!$C:$AN,MID(AH$1,1,2),FALSE)</f>
        <v>0</v>
      </c>
      <c r="AI505" s="55">
        <f>VLOOKUP($E505,'NI-San_SP'!$C:$AN,MID(AI$1,1,2),FALSE)</f>
        <v>0</v>
      </c>
      <c r="AJ505" s="55">
        <f>VLOOKUP($E505,'NI-San_SP'!$C:$AN,MID(AJ$1,1,2),FALSE)</f>
        <v>0</v>
      </c>
      <c r="AK505" s="55">
        <f>VLOOKUP($E505,'NI-San_SP'!$C:$AN,MID(AK$1,1,2),FALSE)</f>
        <v>0</v>
      </c>
      <c r="AL505" s="55">
        <f>VLOOKUP($E505,'NI-San_SP'!$C:$AN,MID(AL$1,1,2),FALSE)</f>
        <v>0</v>
      </c>
      <c r="AM505" s="56">
        <f>VLOOKUP($E505,'NI-San_SP'!$C:$AN,MID(AM$1,1,2),FALSE)</f>
        <v>0</v>
      </c>
      <c r="AN505" s="30" t="str">
        <f t="shared" si="7"/>
        <v>40503000000000</v>
      </c>
    </row>
    <row r="506" spans="3:40" x14ac:dyDescent="0.25">
      <c r="C506" s="40"/>
      <c r="D506" s="57" t="s">
        <v>1896</v>
      </c>
      <c r="E506" s="57" t="s">
        <v>1897</v>
      </c>
      <c r="F506" s="58" t="s">
        <v>110</v>
      </c>
      <c r="G506" s="52"/>
      <c r="H506" s="52"/>
      <c r="I506" s="52"/>
      <c r="J506" s="52"/>
      <c r="K506" s="59" t="s">
        <v>79</v>
      </c>
      <c r="L506" s="52"/>
      <c r="M506" s="52"/>
      <c r="N506" s="52"/>
      <c r="O506" s="52"/>
      <c r="P506" s="76" t="s">
        <v>1898</v>
      </c>
      <c r="Q506" s="55">
        <f>VLOOKUP(E506,'NI-San_SP'!$C:$AN,12,FALSE)</f>
        <v>0</v>
      </c>
      <c r="R506" s="55">
        <f>VLOOKUP(E506,'NI-San_SP'!$C:$AN,13,FALSE)</f>
        <v>0</v>
      </c>
      <c r="S506" s="55"/>
      <c r="T506" s="55"/>
      <c r="U506" s="55">
        <f>VLOOKUP($E506,'NI-San_SP'!$C:$AN,MID(U$1,1,2),FALSE)</f>
        <v>0</v>
      </c>
      <c r="V506" s="55">
        <f>VLOOKUP($E506,'NI-San_SP'!$C:$AN,MID(V$1,1,2),FALSE)</f>
        <v>0</v>
      </c>
      <c r="W506" s="55">
        <f>VLOOKUP($E506,'NI-San_SP'!$C:$AN,MID(W$1,1,2),FALSE)</f>
        <v>0</v>
      </c>
      <c r="X506" s="55">
        <f>VLOOKUP($E506,'NI-San_SP'!$C:$AN,MID(X$1,1,2),FALSE)</f>
        <v>0</v>
      </c>
      <c r="Y506" s="55">
        <f>VLOOKUP($E506,'NI-San_SP'!$C:$AN,MID(Y$1,1,2),FALSE)</f>
        <v>0</v>
      </c>
      <c r="Z506" s="55">
        <f>VLOOKUP($E506,'NI-San_SP'!$C:$AN,MID(Z$1,1,2),FALSE)</f>
        <v>0</v>
      </c>
      <c r="AA506" s="55">
        <f>VLOOKUP($E506,'NI-San_SP'!$C:$AN,MID(AA$1,1,2),FALSE)</f>
        <v>0</v>
      </c>
      <c r="AB506" s="55">
        <f>VLOOKUP($E506,'NI-San_SP'!$C:$AN,MID(AB$1,1,2),FALSE)</f>
        <v>0</v>
      </c>
      <c r="AC506" s="55">
        <f>VLOOKUP($E506,'NI-San_SP'!$C:$AN,MID(AC$1,1,2),FALSE)</f>
        <v>0</v>
      </c>
      <c r="AD506" s="55">
        <f>VLOOKUP($E506,'NI-San_SP'!$C:$AN,MID(AD$1,1,2),FALSE)</f>
        <v>0</v>
      </c>
      <c r="AE506" s="55">
        <f>VLOOKUP($E506,'NI-San_SP'!$C:$AN,MID(AE$1,1,2),FALSE)</f>
        <v>0</v>
      </c>
      <c r="AF506" s="55">
        <f>VLOOKUP($E506,'NI-San_SP'!$C:$AN,MID(AF$1,1,2),FALSE)</f>
        <v>0</v>
      </c>
      <c r="AG506" s="55">
        <f>VLOOKUP($E506,'NI-San_SP'!$C:$AN,MID(AG$1,1,2),FALSE)</f>
        <v>0</v>
      </c>
      <c r="AH506" s="55">
        <f>VLOOKUP($E506,'NI-San_SP'!$C:$AN,MID(AH$1,1,2),FALSE)</f>
        <v>0</v>
      </c>
      <c r="AI506" s="55">
        <f>VLOOKUP($E506,'NI-San_SP'!$C:$AN,MID(AI$1,1,2),FALSE)</f>
        <v>0</v>
      </c>
      <c r="AJ506" s="55">
        <f>VLOOKUP($E506,'NI-San_SP'!$C:$AN,MID(AJ$1,1,2),FALSE)</f>
        <v>0</v>
      </c>
      <c r="AK506" s="55">
        <f>VLOOKUP($E506,'NI-San_SP'!$C:$AN,MID(AK$1,1,2),FALSE)</f>
        <v>0</v>
      </c>
      <c r="AL506" s="55">
        <f>VLOOKUP($E506,'NI-San_SP'!$C:$AN,MID(AL$1,1,2),FALSE)</f>
        <v>0</v>
      </c>
      <c r="AM506" s="56">
        <f>VLOOKUP($E506,'NI-San_SP'!$C:$AN,MID(AM$1,1,2),FALSE)</f>
        <v>0</v>
      </c>
      <c r="AN506" s="30" t="str">
        <f t="shared" si="7"/>
        <v>40503010000000</v>
      </c>
    </row>
    <row r="507" spans="3:40" x14ac:dyDescent="0.25">
      <c r="C507" s="40"/>
      <c r="D507" s="57" t="s">
        <v>1899</v>
      </c>
      <c r="E507" s="57" t="s">
        <v>1900</v>
      </c>
      <c r="F507" s="58" t="s">
        <v>110</v>
      </c>
      <c r="G507" s="52"/>
      <c r="H507" s="52"/>
      <c r="I507" s="52"/>
      <c r="J507" s="52"/>
      <c r="K507" s="59" t="s">
        <v>79</v>
      </c>
      <c r="L507" s="52"/>
      <c r="M507" s="52"/>
      <c r="N507" s="52"/>
      <c r="O507" s="52"/>
      <c r="P507" s="76" t="s">
        <v>1901</v>
      </c>
      <c r="Q507" s="55">
        <f>VLOOKUP(E507,'NI-San_SP'!$C:$AN,12,FALSE)</f>
        <v>0</v>
      </c>
      <c r="R507" s="55">
        <f>VLOOKUP(E507,'NI-San_SP'!$C:$AN,13,FALSE)</f>
        <v>0</v>
      </c>
      <c r="S507" s="55"/>
      <c r="T507" s="55"/>
      <c r="U507" s="55">
        <f>VLOOKUP($E507,'NI-San_SP'!$C:$AN,MID(U$1,1,2),FALSE)</f>
        <v>0</v>
      </c>
      <c r="V507" s="55">
        <f>VLOOKUP($E507,'NI-San_SP'!$C:$AN,MID(V$1,1,2),FALSE)</f>
        <v>0</v>
      </c>
      <c r="W507" s="55">
        <f>VLOOKUP($E507,'NI-San_SP'!$C:$AN,MID(W$1,1,2),FALSE)</f>
        <v>0</v>
      </c>
      <c r="X507" s="55">
        <f>VLOOKUP($E507,'NI-San_SP'!$C:$AN,MID(X$1,1,2),FALSE)</f>
        <v>0</v>
      </c>
      <c r="Y507" s="55">
        <f>VLOOKUP($E507,'NI-San_SP'!$C:$AN,MID(Y$1,1,2),FALSE)</f>
        <v>0</v>
      </c>
      <c r="Z507" s="55">
        <f>VLOOKUP($E507,'NI-San_SP'!$C:$AN,MID(Z$1,1,2),FALSE)</f>
        <v>0</v>
      </c>
      <c r="AA507" s="55">
        <f>VLOOKUP($E507,'NI-San_SP'!$C:$AN,MID(AA$1,1,2),FALSE)</f>
        <v>0</v>
      </c>
      <c r="AB507" s="55">
        <f>VLOOKUP($E507,'NI-San_SP'!$C:$AN,MID(AB$1,1,2),FALSE)</f>
        <v>0</v>
      </c>
      <c r="AC507" s="55">
        <f>VLOOKUP($E507,'NI-San_SP'!$C:$AN,MID(AC$1,1,2),FALSE)</f>
        <v>0</v>
      </c>
      <c r="AD507" s="55">
        <f>VLOOKUP($E507,'NI-San_SP'!$C:$AN,MID(AD$1,1,2),FALSE)</f>
        <v>0</v>
      </c>
      <c r="AE507" s="55">
        <f>VLOOKUP($E507,'NI-San_SP'!$C:$AN,MID(AE$1,1,2),FALSE)</f>
        <v>0</v>
      </c>
      <c r="AF507" s="55">
        <f>VLOOKUP($E507,'NI-San_SP'!$C:$AN,MID(AF$1,1,2),FALSE)</f>
        <v>0</v>
      </c>
      <c r="AG507" s="55">
        <f>VLOOKUP($E507,'NI-San_SP'!$C:$AN,MID(AG$1,1,2),FALSE)</f>
        <v>0</v>
      </c>
      <c r="AH507" s="55">
        <f>VLOOKUP($E507,'NI-San_SP'!$C:$AN,MID(AH$1,1,2),FALSE)</f>
        <v>0</v>
      </c>
      <c r="AI507" s="55">
        <f>VLOOKUP($E507,'NI-San_SP'!$C:$AN,MID(AI$1,1,2),FALSE)</f>
        <v>0</v>
      </c>
      <c r="AJ507" s="55">
        <f>VLOOKUP($E507,'NI-San_SP'!$C:$AN,MID(AJ$1,1,2),FALSE)</f>
        <v>0</v>
      </c>
      <c r="AK507" s="55">
        <f>VLOOKUP($E507,'NI-San_SP'!$C:$AN,MID(AK$1,1,2),FALSE)</f>
        <v>0</v>
      </c>
      <c r="AL507" s="55">
        <f>VLOOKUP($E507,'NI-San_SP'!$C:$AN,MID(AL$1,1,2),FALSE)</f>
        <v>0</v>
      </c>
      <c r="AM507" s="56">
        <f>VLOOKUP($E507,'NI-San_SP'!$C:$AN,MID(AM$1,1,2),FALSE)</f>
        <v>0</v>
      </c>
      <c r="AN507" s="30" t="str">
        <f t="shared" si="7"/>
        <v>40503020000000</v>
      </c>
    </row>
    <row r="508" spans="3:40" x14ac:dyDescent="0.25">
      <c r="C508" s="40"/>
      <c r="D508" s="57" t="s">
        <v>1902</v>
      </c>
      <c r="E508" s="57" t="s">
        <v>1903</v>
      </c>
      <c r="F508" s="58" t="s">
        <v>110</v>
      </c>
      <c r="G508" s="52"/>
      <c r="H508" s="52"/>
      <c r="I508" s="52"/>
      <c r="J508" s="52"/>
      <c r="K508" s="59" t="s">
        <v>79</v>
      </c>
      <c r="L508" s="52"/>
      <c r="M508" s="52"/>
      <c r="N508" s="52"/>
      <c r="O508" s="52"/>
      <c r="P508" s="76" t="s">
        <v>1904</v>
      </c>
      <c r="Q508" s="55">
        <f>VLOOKUP(E508,'NI-San_SP'!$C:$AN,12,FALSE)</f>
        <v>0</v>
      </c>
      <c r="R508" s="55">
        <f>VLOOKUP(E508,'NI-San_SP'!$C:$AN,13,FALSE)</f>
        <v>0</v>
      </c>
      <c r="S508" s="55"/>
      <c r="T508" s="55"/>
      <c r="U508" s="55">
        <f>VLOOKUP($E508,'NI-San_SP'!$C:$AN,MID(U$1,1,2),FALSE)</f>
        <v>0</v>
      </c>
      <c r="V508" s="55">
        <f>VLOOKUP($E508,'NI-San_SP'!$C:$AN,MID(V$1,1,2),FALSE)</f>
        <v>0</v>
      </c>
      <c r="W508" s="55">
        <f>VLOOKUP($E508,'NI-San_SP'!$C:$AN,MID(W$1,1,2),FALSE)</f>
        <v>0</v>
      </c>
      <c r="X508" s="55">
        <f>VLOOKUP($E508,'NI-San_SP'!$C:$AN,MID(X$1,1,2),FALSE)</f>
        <v>0</v>
      </c>
      <c r="Y508" s="55">
        <f>VLOOKUP($E508,'NI-San_SP'!$C:$AN,MID(Y$1,1,2),FALSE)</f>
        <v>0</v>
      </c>
      <c r="Z508" s="55">
        <f>VLOOKUP($E508,'NI-San_SP'!$C:$AN,MID(Z$1,1,2),FALSE)</f>
        <v>0</v>
      </c>
      <c r="AA508" s="55">
        <f>VLOOKUP($E508,'NI-San_SP'!$C:$AN,MID(AA$1,1,2),FALSE)</f>
        <v>0</v>
      </c>
      <c r="AB508" s="55">
        <f>VLOOKUP($E508,'NI-San_SP'!$C:$AN,MID(AB$1,1,2),FALSE)</f>
        <v>0</v>
      </c>
      <c r="AC508" s="55">
        <f>VLOOKUP($E508,'NI-San_SP'!$C:$AN,MID(AC$1,1,2),FALSE)</f>
        <v>0</v>
      </c>
      <c r="AD508" s="55">
        <f>VLOOKUP($E508,'NI-San_SP'!$C:$AN,MID(AD$1,1,2),FALSE)</f>
        <v>0</v>
      </c>
      <c r="AE508" s="55">
        <f>VLOOKUP($E508,'NI-San_SP'!$C:$AN,MID(AE$1,1,2),FALSE)</f>
        <v>0</v>
      </c>
      <c r="AF508" s="55">
        <f>VLOOKUP($E508,'NI-San_SP'!$C:$AN,MID(AF$1,1,2),FALSE)</f>
        <v>0</v>
      </c>
      <c r="AG508" s="55">
        <f>VLOOKUP($E508,'NI-San_SP'!$C:$AN,MID(AG$1,1,2),FALSE)</f>
        <v>0</v>
      </c>
      <c r="AH508" s="55">
        <f>VLOOKUP($E508,'NI-San_SP'!$C:$AN,MID(AH$1,1,2),FALSE)</f>
        <v>0</v>
      </c>
      <c r="AI508" s="55">
        <f>VLOOKUP($E508,'NI-San_SP'!$C:$AN,MID(AI$1,1,2),FALSE)</f>
        <v>0</v>
      </c>
      <c r="AJ508" s="55">
        <f>VLOOKUP($E508,'NI-San_SP'!$C:$AN,MID(AJ$1,1,2),FALSE)</f>
        <v>0</v>
      </c>
      <c r="AK508" s="55">
        <f>VLOOKUP($E508,'NI-San_SP'!$C:$AN,MID(AK$1,1,2),FALSE)</f>
        <v>0</v>
      </c>
      <c r="AL508" s="55">
        <f>VLOOKUP($E508,'NI-San_SP'!$C:$AN,MID(AL$1,1,2),FALSE)</f>
        <v>0</v>
      </c>
      <c r="AM508" s="56">
        <f>VLOOKUP($E508,'NI-San_SP'!$C:$AN,MID(AM$1,1,2),FALSE)</f>
        <v>0</v>
      </c>
      <c r="AN508" s="30" t="str">
        <f t="shared" si="7"/>
        <v>40503030000000</v>
      </c>
    </row>
    <row r="509" spans="3:40" x14ac:dyDescent="0.25">
      <c r="C509" s="40"/>
      <c r="D509" s="57" t="s">
        <v>1905</v>
      </c>
      <c r="E509" s="57" t="s">
        <v>1906</v>
      </c>
      <c r="F509" s="58" t="s">
        <v>110</v>
      </c>
      <c r="G509" s="52"/>
      <c r="H509" s="52"/>
      <c r="I509" s="52"/>
      <c r="J509" s="52"/>
      <c r="K509" s="59" t="s">
        <v>79</v>
      </c>
      <c r="L509" s="52"/>
      <c r="M509" s="52"/>
      <c r="N509" s="52"/>
      <c r="O509" s="52"/>
      <c r="P509" s="76" t="s">
        <v>1907</v>
      </c>
      <c r="Q509" s="55">
        <f>VLOOKUP(E509,'NI-San_SP'!$C:$AN,12,FALSE)</f>
        <v>0</v>
      </c>
      <c r="R509" s="55">
        <f>VLOOKUP(E509,'NI-San_SP'!$C:$AN,13,FALSE)</f>
        <v>0</v>
      </c>
      <c r="S509" s="55"/>
      <c r="T509" s="55"/>
      <c r="U509" s="55">
        <f>VLOOKUP($E509,'NI-San_SP'!$C:$AN,MID(U$1,1,2),FALSE)</f>
        <v>0</v>
      </c>
      <c r="V509" s="55">
        <f>VLOOKUP($E509,'NI-San_SP'!$C:$AN,MID(V$1,1,2),FALSE)</f>
        <v>0</v>
      </c>
      <c r="W509" s="55">
        <f>VLOOKUP($E509,'NI-San_SP'!$C:$AN,MID(W$1,1,2),FALSE)</f>
        <v>0</v>
      </c>
      <c r="X509" s="55">
        <f>VLOOKUP($E509,'NI-San_SP'!$C:$AN,MID(X$1,1,2),FALSE)</f>
        <v>0</v>
      </c>
      <c r="Y509" s="55">
        <f>VLOOKUP($E509,'NI-San_SP'!$C:$AN,MID(Y$1,1,2),FALSE)</f>
        <v>0</v>
      </c>
      <c r="Z509" s="55">
        <f>VLOOKUP($E509,'NI-San_SP'!$C:$AN,MID(Z$1,1,2),FALSE)</f>
        <v>0</v>
      </c>
      <c r="AA509" s="55">
        <f>VLOOKUP($E509,'NI-San_SP'!$C:$AN,MID(AA$1,1,2),FALSE)</f>
        <v>0</v>
      </c>
      <c r="AB509" s="55">
        <f>VLOOKUP($E509,'NI-San_SP'!$C:$AN,MID(AB$1,1,2),FALSE)</f>
        <v>0</v>
      </c>
      <c r="AC509" s="55">
        <f>VLOOKUP($E509,'NI-San_SP'!$C:$AN,MID(AC$1,1,2),FALSE)</f>
        <v>0</v>
      </c>
      <c r="AD509" s="55">
        <f>VLOOKUP($E509,'NI-San_SP'!$C:$AN,MID(AD$1,1,2),FALSE)</f>
        <v>0</v>
      </c>
      <c r="AE509" s="55">
        <f>VLOOKUP($E509,'NI-San_SP'!$C:$AN,MID(AE$1,1,2),FALSE)</f>
        <v>0</v>
      </c>
      <c r="AF509" s="55">
        <f>VLOOKUP($E509,'NI-San_SP'!$C:$AN,MID(AF$1,1,2),FALSE)</f>
        <v>0</v>
      </c>
      <c r="AG509" s="55">
        <f>VLOOKUP($E509,'NI-San_SP'!$C:$AN,MID(AG$1,1,2),FALSE)</f>
        <v>0</v>
      </c>
      <c r="AH509" s="55">
        <f>VLOOKUP($E509,'NI-San_SP'!$C:$AN,MID(AH$1,1,2),FALSE)</f>
        <v>0</v>
      </c>
      <c r="AI509" s="55">
        <f>VLOOKUP($E509,'NI-San_SP'!$C:$AN,MID(AI$1,1,2),FALSE)</f>
        <v>0</v>
      </c>
      <c r="AJ509" s="55">
        <f>VLOOKUP($E509,'NI-San_SP'!$C:$AN,MID(AJ$1,1,2),FALSE)</f>
        <v>0</v>
      </c>
      <c r="AK509" s="55">
        <f>VLOOKUP($E509,'NI-San_SP'!$C:$AN,MID(AK$1,1,2),FALSE)</f>
        <v>0</v>
      </c>
      <c r="AL509" s="55">
        <f>VLOOKUP($E509,'NI-San_SP'!$C:$AN,MID(AL$1,1,2),FALSE)</f>
        <v>0</v>
      </c>
      <c r="AM509" s="56">
        <f>VLOOKUP($E509,'NI-San_SP'!$C:$AN,MID(AM$1,1,2),FALSE)</f>
        <v>0</v>
      </c>
      <c r="AN509" s="30" t="str">
        <f t="shared" si="7"/>
        <v>40503040000000</v>
      </c>
    </row>
    <row r="510" spans="3:40" x14ac:dyDescent="0.25">
      <c r="C510" s="40"/>
      <c r="D510" s="49">
        <v>0</v>
      </c>
      <c r="E510" s="49" t="s">
        <v>1908</v>
      </c>
      <c r="F510" s="50" t="s">
        <v>110</v>
      </c>
      <c r="G510" s="51"/>
      <c r="H510" s="52"/>
      <c r="I510" s="52"/>
      <c r="J510" s="52"/>
      <c r="K510" s="53" t="s">
        <v>111</v>
      </c>
      <c r="L510" s="52"/>
      <c r="M510" s="52"/>
      <c r="N510" s="52"/>
      <c r="O510" s="52"/>
      <c r="P510" s="76" t="s">
        <v>1909</v>
      </c>
      <c r="Q510" s="55">
        <f>VLOOKUP(E510,'NI-San_SP'!$C:$AN,12,FALSE)</f>
        <v>213910168</v>
      </c>
      <c r="R510" s="55">
        <f>VLOOKUP(E510,'NI-San_SP'!$C:$AN,13,FALSE)</f>
        <v>232309840</v>
      </c>
      <c r="S510" s="55"/>
      <c r="T510" s="55"/>
      <c r="U510" s="55">
        <f>VLOOKUP($E510,'NI-San_SP'!$C:$AN,MID(U$1,1,2),FALSE)</f>
        <v>0</v>
      </c>
      <c r="V510" s="55">
        <f>VLOOKUP($E510,'NI-San_SP'!$C:$AN,MID(V$1,1,2),FALSE)</f>
        <v>0</v>
      </c>
      <c r="W510" s="55">
        <f>VLOOKUP($E510,'NI-San_SP'!$C:$AN,MID(W$1,1,2),FALSE)</f>
        <v>0</v>
      </c>
      <c r="X510" s="55" t="str">
        <f>VLOOKUP($E510,'NI-San_SP'!$C:$AN,MID(X$1,1,2),FALSE)</f>
        <v/>
      </c>
      <c r="Y510" s="55">
        <f>VLOOKUP($E510,'NI-San_SP'!$C:$AN,MID(Y$1,1,2),FALSE)</f>
        <v>0</v>
      </c>
      <c r="Z510" s="55">
        <f>VLOOKUP($E510,'NI-San_SP'!$C:$AN,MID(Z$1,1,2),FALSE)</f>
        <v>0</v>
      </c>
      <c r="AA510" s="55">
        <f>VLOOKUP($E510,'NI-San_SP'!$C:$AN,MID(AA$1,1,2),FALSE)</f>
        <v>0</v>
      </c>
      <c r="AB510" s="55">
        <f>VLOOKUP($E510,'NI-San_SP'!$C:$AN,MID(AB$1,1,2),FALSE)</f>
        <v>0</v>
      </c>
      <c r="AC510" s="55">
        <f>VLOOKUP($E510,'NI-San_SP'!$C:$AN,MID(AC$1,1,2),FALSE)</f>
        <v>0</v>
      </c>
      <c r="AD510" s="55">
        <f>VLOOKUP($E510,'NI-San_SP'!$C:$AN,MID(AD$1,1,2),FALSE)</f>
        <v>0</v>
      </c>
      <c r="AE510" s="55">
        <f>VLOOKUP($E510,'NI-San_SP'!$C:$AN,MID(AE$1,1,2),FALSE)</f>
        <v>0</v>
      </c>
      <c r="AF510" s="55">
        <f>VLOOKUP($E510,'NI-San_SP'!$C:$AN,MID(AF$1,1,2),FALSE)</f>
        <v>0</v>
      </c>
      <c r="AG510" s="55">
        <f>VLOOKUP($E510,'NI-San_SP'!$C:$AN,MID(AG$1,1,2),FALSE)</f>
        <v>0</v>
      </c>
      <c r="AH510" s="55">
        <f>VLOOKUP($E510,'NI-San_SP'!$C:$AN,MID(AH$1,1,2),FALSE)</f>
        <v>0</v>
      </c>
      <c r="AI510" s="55">
        <f>VLOOKUP($E510,'NI-San_SP'!$C:$AN,MID(AI$1,1,2),FALSE)</f>
        <v>0</v>
      </c>
      <c r="AJ510" s="55">
        <f>VLOOKUP($E510,'NI-San_SP'!$C:$AN,MID(AJ$1,1,2),FALSE)</f>
        <v>0</v>
      </c>
      <c r="AK510" s="55">
        <f>VLOOKUP($E510,'NI-San_SP'!$C:$AN,MID(AK$1,1,2),FALSE)</f>
        <v>0</v>
      </c>
      <c r="AL510" s="55">
        <f>VLOOKUP($E510,'NI-San_SP'!$C:$AN,MID(AL$1,1,2),FALSE)</f>
        <v>0</v>
      </c>
      <c r="AM510" s="56">
        <f>VLOOKUP($E510,'NI-San_SP'!$C:$AN,MID(AM$1,1,2),FALSE)</f>
        <v>0</v>
      </c>
      <c r="AN510" s="30">
        <f t="shared" si="7"/>
        <v>0</v>
      </c>
    </row>
    <row r="511" spans="3:40" x14ac:dyDescent="0.25">
      <c r="C511" s="40"/>
      <c r="D511" s="49" t="s">
        <v>1910</v>
      </c>
      <c r="E511" s="49" t="s">
        <v>1911</v>
      </c>
      <c r="F511" s="50" t="s">
        <v>110</v>
      </c>
      <c r="G511" s="51"/>
      <c r="H511" s="52"/>
      <c r="I511" s="52"/>
      <c r="J511" s="52"/>
      <c r="K511" s="53" t="s">
        <v>111</v>
      </c>
      <c r="L511" s="52"/>
      <c r="M511" s="52"/>
      <c r="N511" s="52"/>
      <c r="O511" s="52"/>
      <c r="P511" s="76" t="s">
        <v>1912</v>
      </c>
      <c r="Q511" s="55">
        <f>VLOOKUP(E511,'NI-San_SP'!$C:$AN,12,FALSE)</f>
        <v>114274462</v>
      </c>
      <c r="R511" s="55">
        <f>VLOOKUP(E511,'NI-San_SP'!$C:$AN,13,FALSE)</f>
        <v>128447184</v>
      </c>
      <c r="S511" s="55"/>
      <c r="T511" s="55"/>
      <c r="U511" s="55">
        <f>VLOOKUP($E511,'NI-San_SP'!$C:$AN,MID(U$1,1,2),FALSE)</f>
        <v>0</v>
      </c>
      <c r="V511" s="55">
        <f>VLOOKUP($E511,'NI-San_SP'!$C:$AN,MID(V$1,1,2),FALSE)</f>
        <v>114274462</v>
      </c>
      <c r="W511" s="55">
        <f>VLOOKUP($E511,'NI-San_SP'!$C:$AN,MID(W$1,1,2),FALSE)</f>
        <v>0</v>
      </c>
      <c r="X511" s="55">
        <f>VLOOKUP($E511,'NI-San_SP'!$C:$AN,MID(X$1,1,2),FALSE)</f>
        <v>0</v>
      </c>
      <c r="Y511" s="55">
        <f>VLOOKUP($E511,'NI-San_SP'!$C:$AN,MID(Y$1,1,2),FALSE)</f>
        <v>22183730</v>
      </c>
      <c r="Z511" s="55">
        <f>VLOOKUP($E511,'NI-San_SP'!$C:$AN,MID(Z$1,1,2),FALSE)</f>
        <v>8348078</v>
      </c>
      <c r="AA511" s="55">
        <f>VLOOKUP($E511,'NI-San_SP'!$C:$AN,MID(AA$1,1,2),FALSE)</f>
        <v>0</v>
      </c>
      <c r="AB511" s="55">
        <f>VLOOKUP($E511,'NI-San_SP'!$C:$AN,MID(AB$1,1,2),FALSE)</f>
        <v>337070</v>
      </c>
      <c r="AC511" s="55">
        <f>VLOOKUP($E511,'NI-San_SP'!$C:$AN,MID(AC$1,1,2),FALSE)</f>
        <v>14172722</v>
      </c>
      <c r="AD511" s="55">
        <f>VLOOKUP($E511,'NI-San_SP'!$C:$AN,MID(AD$1,1,2),FALSE)</f>
        <v>128447184</v>
      </c>
      <c r="AE511" s="55">
        <f>VLOOKUP($E511,'NI-San_SP'!$C:$AN,MID(AE$1,1,2),FALSE)</f>
        <v>0</v>
      </c>
      <c r="AF511" s="55">
        <f>VLOOKUP($E511,'NI-San_SP'!$C:$AN,MID(AF$1,1,2),FALSE)</f>
        <v>0</v>
      </c>
      <c r="AG511" s="55">
        <f>VLOOKUP($E511,'NI-San_SP'!$C:$AN,MID(AG$1,1,2),FALSE)</f>
        <v>0</v>
      </c>
      <c r="AH511" s="55">
        <f>VLOOKUP($E511,'NI-San_SP'!$C:$AN,MID(AH$1,1,2),FALSE)</f>
        <v>0</v>
      </c>
      <c r="AI511" s="55">
        <f>VLOOKUP($E511,'NI-San_SP'!$C:$AN,MID(AI$1,1,2),FALSE)</f>
        <v>0</v>
      </c>
      <c r="AJ511" s="55">
        <f>VLOOKUP($E511,'NI-San_SP'!$C:$AN,MID(AJ$1,1,2),FALSE)</f>
        <v>0</v>
      </c>
      <c r="AK511" s="55">
        <f>VLOOKUP($E511,'NI-San_SP'!$C:$AN,MID(AK$1,1,2),FALSE)</f>
        <v>0</v>
      </c>
      <c r="AL511" s="55">
        <f>VLOOKUP($E511,'NI-San_SP'!$C:$AN,MID(AL$1,1,2),FALSE)</f>
        <v>0</v>
      </c>
      <c r="AM511" s="56">
        <f>VLOOKUP($E511,'NI-San_SP'!$C:$AN,MID(AM$1,1,2),FALSE)</f>
        <v>0</v>
      </c>
      <c r="AN511" s="30" t="str">
        <f t="shared" si="7"/>
        <v>50100000000000</v>
      </c>
    </row>
    <row r="512" spans="3:40" x14ac:dyDescent="0.25">
      <c r="C512" s="40"/>
      <c r="D512" s="49" t="s">
        <v>1913</v>
      </c>
      <c r="E512" s="49" t="s">
        <v>1914</v>
      </c>
      <c r="F512" s="58" t="s">
        <v>110</v>
      </c>
      <c r="G512" s="52"/>
      <c r="H512" s="52"/>
      <c r="I512" s="52" t="s">
        <v>1915</v>
      </c>
      <c r="J512" s="52" t="s">
        <v>1915</v>
      </c>
      <c r="K512" s="59" t="s">
        <v>79</v>
      </c>
      <c r="L512" s="62" t="s">
        <v>1916</v>
      </c>
      <c r="M512" s="52"/>
      <c r="N512" s="52"/>
      <c r="O512" s="61" t="s">
        <v>1917</v>
      </c>
      <c r="P512" s="76" t="s">
        <v>1918</v>
      </c>
      <c r="Q512" s="55">
        <f>VLOOKUP(E512,'NI-San_SP'!$C:$AN,12,FALSE)</f>
        <v>27529020</v>
      </c>
      <c r="R512" s="55">
        <f>VLOOKUP(E512,'NI-San_SP'!$C:$AN,13,FALSE)</f>
        <v>27529020</v>
      </c>
      <c r="S512" s="55"/>
      <c r="T512" s="55"/>
      <c r="U512" s="55">
        <f>VLOOKUP($E512,'NI-San_SP'!$C:$AN,MID(U$1,1,2),FALSE)</f>
        <v>0</v>
      </c>
      <c r="V512" s="55">
        <f>VLOOKUP($E512,'NI-San_SP'!$C:$AN,MID(V$1,1,2),FALSE)</f>
        <v>27529020</v>
      </c>
      <c r="W512" s="55">
        <f>VLOOKUP($E512,'NI-San_SP'!$C:$AN,MID(W$1,1,2),FALSE)</f>
        <v>0</v>
      </c>
      <c r="X512" s="55">
        <f>VLOOKUP($E512,'NI-San_SP'!$C:$AN,MID(X$1,1,2),FALSE)</f>
        <v>0</v>
      </c>
      <c r="Y512" s="55">
        <f>VLOOKUP($E512,'NI-San_SP'!$C:$AN,MID(Y$1,1,2),FALSE)</f>
        <v>0</v>
      </c>
      <c r="Z512" s="55">
        <f>VLOOKUP($E512,'NI-San_SP'!$C:$AN,MID(Z$1,1,2),FALSE)</f>
        <v>0</v>
      </c>
      <c r="AA512" s="55">
        <f>VLOOKUP($E512,'NI-San_SP'!$C:$AN,MID(AA$1,1,2),FALSE)</f>
        <v>0</v>
      </c>
      <c r="AB512" s="55">
        <f>VLOOKUP($E512,'NI-San_SP'!$C:$AN,MID(AB$1,1,2),FALSE)</f>
        <v>0</v>
      </c>
      <c r="AC512" s="55">
        <f>VLOOKUP($E512,'NI-San_SP'!$C:$AN,MID(AC$1,1,2),FALSE)</f>
        <v>0</v>
      </c>
      <c r="AD512" s="55">
        <f>VLOOKUP($E512,'NI-San_SP'!$C:$AN,MID(AD$1,1,2),FALSE)</f>
        <v>27529020</v>
      </c>
      <c r="AE512" s="55">
        <f>VLOOKUP($E512,'NI-San_SP'!$C:$AN,MID(AE$1,1,2),FALSE)</f>
        <v>0</v>
      </c>
      <c r="AF512" s="55">
        <f>VLOOKUP($E512,'NI-San_SP'!$C:$AN,MID(AF$1,1,2),FALSE)</f>
        <v>0</v>
      </c>
      <c r="AG512" s="55">
        <f>VLOOKUP($E512,'NI-San_SP'!$C:$AN,MID(AG$1,1,2),FALSE)</f>
        <v>0</v>
      </c>
      <c r="AH512" s="55">
        <f>VLOOKUP($E512,'NI-San_SP'!$C:$AN,MID(AH$1,1,2),FALSE)</f>
        <v>0</v>
      </c>
      <c r="AI512" s="55">
        <f>VLOOKUP($E512,'NI-San_SP'!$C:$AN,MID(AI$1,1,2),FALSE)</f>
        <v>0</v>
      </c>
      <c r="AJ512" s="55">
        <f>VLOOKUP($E512,'NI-San_SP'!$C:$AN,MID(AJ$1,1,2),FALSE)</f>
        <v>0</v>
      </c>
      <c r="AK512" s="55">
        <f>VLOOKUP($E512,'NI-San_SP'!$C:$AN,MID(AK$1,1,2),FALSE)</f>
        <v>0</v>
      </c>
      <c r="AL512" s="55">
        <f>VLOOKUP($E512,'NI-San_SP'!$C:$AN,MID(AL$1,1,2),FALSE)</f>
        <v>0</v>
      </c>
      <c r="AM512" s="56">
        <f>VLOOKUP($E512,'NI-San_SP'!$C:$AN,MID(AM$1,1,2),FALSE)</f>
        <v>0</v>
      </c>
      <c r="AN512" s="30" t="str">
        <f t="shared" si="7"/>
        <v>50101000000000</v>
      </c>
    </row>
    <row r="513" spans="3:40" x14ac:dyDescent="0.25">
      <c r="C513" s="40"/>
      <c r="D513" s="57" t="s">
        <v>1919</v>
      </c>
      <c r="E513" s="57" t="s">
        <v>1920</v>
      </c>
      <c r="F513" s="58" t="s">
        <v>110</v>
      </c>
      <c r="G513" s="52"/>
      <c r="H513" s="52"/>
      <c r="I513" s="52"/>
      <c r="J513" s="52"/>
      <c r="K513" s="59" t="s">
        <v>111</v>
      </c>
      <c r="L513" s="52"/>
      <c r="M513" s="52"/>
      <c r="N513" s="52"/>
      <c r="O513" s="52"/>
      <c r="P513" s="76" t="s">
        <v>1921</v>
      </c>
      <c r="Q513" s="55">
        <f>VLOOKUP(E513,'NI-San_SP'!$C:$AN,12,FALSE)</f>
        <v>74830150</v>
      </c>
      <c r="R513" s="55">
        <f>VLOOKUP(E513,'NI-San_SP'!$C:$AN,13,FALSE)</f>
        <v>88220877</v>
      </c>
      <c r="S513" s="55"/>
      <c r="T513" s="55"/>
      <c r="U513" s="55">
        <f>VLOOKUP($E513,'NI-San_SP'!$C:$AN,MID(U$1,1,2),FALSE)</f>
        <v>0</v>
      </c>
      <c r="V513" s="55">
        <f>VLOOKUP($E513,'NI-San_SP'!$C:$AN,MID(V$1,1,2),FALSE)</f>
        <v>74830150</v>
      </c>
      <c r="W513" s="55">
        <f>VLOOKUP($E513,'NI-San_SP'!$C:$AN,MID(W$1,1,2),FALSE)</f>
        <v>0</v>
      </c>
      <c r="X513" s="55">
        <f>VLOOKUP($E513,'NI-San_SP'!$C:$AN,MID(X$1,1,2),FALSE)</f>
        <v>0</v>
      </c>
      <c r="Y513" s="55">
        <f>VLOOKUP($E513,'NI-San_SP'!$C:$AN,MID(Y$1,1,2),FALSE)</f>
        <v>20826709</v>
      </c>
      <c r="Z513" s="55">
        <f>VLOOKUP($E513,'NI-San_SP'!$C:$AN,MID(Z$1,1,2),FALSE)</f>
        <v>7792899</v>
      </c>
      <c r="AA513" s="55">
        <f>VLOOKUP($E513,'NI-San_SP'!$C:$AN,MID(AA$1,1,2),FALSE)</f>
        <v>0</v>
      </c>
      <c r="AB513" s="55">
        <f>VLOOKUP($E513,'NI-San_SP'!$C:$AN,MID(AB$1,1,2),FALSE)</f>
        <v>356917</v>
      </c>
      <c r="AC513" s="55">
        <f>VLOOKUP($E513,'NI-San_SP'!$C:$AN,MID(AC$1,1,2),FALSE)</f>
        <v>13390727</v>
      </c>
      <c r="AD513" s="55">
        <f>VLOOKUP($E513,'NI-San_SP'!$C:$AN,MID(AD$1,1,2),FALSE)</f>
        <v>88220877</v>
      </c>
      <c r="AE513" s="55">
        <f>VLOOKUP($E513,'NI-San_SP'!$C:$AN,MID(AE$1,1,2),FALSE)</f>
        <v>0</v>
      </c>
      <c r="AF513" s="55">
        <f>VLOOKUP($E513,'NI-San_SP'!$C:$AN,MID(AF$1,1,2),FALSE)</f>
        <v>0</v>
      </c>
      <c r="AG513" s="55">
        <f>VLOOKUP($E513,'NI-San_SP'!$C:$AN,MID(AG$1,1,2),FALSE)</f>
        <v>0</v>
      </c>
      <c r="AH513" s="55">
        <f>VLOOKUP($E513,'NI-San_SP'!$C:$AN,MID(AH$1,1,2),FALSE)</f>
        <v>0</v>
      </c>
      <c r="AI513" s="55">
        <f>VLOOKUP($E513,'NI-San_SP'!$C:$AN,MID(AI$1,1,2),FALSE)</f>
        <v>0</v>
      </c>
      <c r="AJ513" s="55">
        <f>VLOOKUP($E513,'NI-San_SP'!$C:$AN,MID(AJ$1,1,2),FALSE)</f>
        <v>0</v>
      </c>
      <c r="AK513" s="55">
        <f>VLOOKUP($E513,'NI-San_SP'!$C:$AN,MID(AK$1,1,2),FALSE)</f>
        <v>0</v>
      </c>
      <c r="AL513" s="55">
        <f>VLOOKUP($E513,'NI-San_SP'!$C:$AN,MID(AL$1,1,2),FALSE)</f>
        <v>0</v>
      </c>
      <c r="AM513" s="56">
        <f>VLOOKUP($E513,'NI-San_SP'!$C:$AN,MID(AM$1,1,2),FALSE)</f>
        <v>0</v>
      </c>
      <c r="AN513" s="30" t="str">
        <f t="shared" si="7"/>
        <v>50102000000000</v>
      </c>
    </row>
    <row r="514" spans="3:40" x14ac:dyDescent="0.25">
      <c r="C514" s="40"/>
      <c r="D514" s="57" t="s">
        <v>1922</v>
      </c>
      <c r="E514" s="57" t="s">
        <v>1923</v>
      </c>
      <c r="F514" s="58" t="s">
        <v>110</v>
      </c>
      <c r="G514" s="52"/>
      <c r="H514" s="52"/>
      <c r="I514" s="52" t="s">
        <v>1924</v>
      </c>
      <c r="J514" s="52" t="s">
        <v>1924</v>
      </c>
      <c r="K514" s="59" t="s">
        <v>79</v>
      </c>
      <c r="L514" s="81" t="s">
        <v>1925</v>
      </c>
      <c r="M514" s="52"/>
      <c r="N514" s="52"/>
      <c r="O514" s="61" t="s">
        <v>1926</v>
      </c>
      <c r="P514" s="76" t="s">
        <v>1927</v>
      </c>
      <c r="Q514" s="55">
        <f>VLOOKUP(E514,'NI-San_SP'!$C:$AN,12,FALSE)</f>
        <v>27609856</v>
      </c>
      <c r="R514" s="55">
        <f>VLOOKUP(E514,'NI-San_SP'!$C:$AN,13,FALSE)</f>
        <v>25372331</v>
      </c>
      <c r="S514" s="55"/>
      <c r="T514" s="55"/>
      <c r="U514" s="55">
        <f>VLOOKUP($E514,'NI-San_SP'!$C:$AN,MID(U$1,1,2),FALSE)</f>
        <v>0</v>
      </c>
      <c r="V514" s="55">
        <f>VLOOKUP($E514,'NI-San_SP'!$C:$AN,MID(V$1,1,2),FALSE)</f>
        <v>27609856</v>
      </c>
      <c r="W514" s="55">
        <f>VLOOKUP($E514,'NI-San_SP'!$C:$AN,MID(W$1,1,2),FALSE)</f>
        <v>0</v>
      </c>
      <c r="X514" s="55">
        <f>VLOOKUP($E514,'NI-San_SP'!$C:$AN,MID(X$1,1,2),FALSE)</f>
        <v>0</v>
      </c>
      <c r="Y514" s="55">
        <f>VLOOKUP($E514,'NI-San_SP'!$C:$AN,MID(Y$1,1,2),FALSE)</f>
        <v>0</v>
      </c>
      <c r="Z514" s="55">
        <f>VLOOKUP($E514,'NI-San_SP'!$C:$AN,MID(Z$1,1,2),FALSE)</f>
        <v>2237525</v>
      </c>
      <c r="AA514" s="55">
        <f>VLOOKUP($E514,'NI-San_SP'!$C:$AN,MID(AA$1,1,2),FALSE)</f>
        <v>0</v>
      </c>
      <c r="AB514" s="55">
        <f>VLOOKUP($E514,'NI-San_SP'!$C:$AN,MID(AB$1,1,2),FALSE)</f>
        <v>0</v>
      </c>
      <c r="AC514" s="55">
        <f>VLOOKUP($E514,'NI-San_SP'!$C:$AN,MID(AC$1,1,2),FALSE)</f>
        <v>-2237525</v>
      </c>
      <c r="AD514" s="55">
        <f>VLOOKUP($E514,'NI-San_SP'!$C:$AN,MID(AD$1,1,2),FALSE)</f>
        <v>25372331</v>
      </c>
      <c r="AE514" s="55">
        <f>VLOOKUP($E514,'NI-San_SP'!$C:$AN,MID(AE$1,1,2),FALSE)</f>
        <v>0</v>
      </c>
      <c r="AF514" s="55">
        <f>VLOOKUP($E514,'NI-San_SP'!$C:$AN,MID(AF$1,1,2),FALSE)</f>
        <v>0</v>
      </c>
      <c r="AG514" s="55">
        <f>VLOOKUP($E514,'NI-San_SP'!$C:$AN,MID(AG$1,1,2),FALSE)</f>
        <v>0</v>
      </c>
      <c r="AH514" s="55">
        <f>VLOOKUP($E514,'NI-San_SP'!$C:$AN,MID(AH$1,1,2),FALSE)</f>
        <v>0</v>
      </c>
      <c r="AI514" s="55">
        <f>VLOOKUP($E514,'NI-San_SP'!$C:$AN,MID(AI$1,1,2),FALSE)</f>
        <v>0</v>
      </c>
      <c r="AJ514" s="55">
        <f>VLOOKUP($E514,'NI-San_SP'!$C:$AN,MID(AJ$1,1,2),FALSE)</f>
        <v>0</v>
      </c>
      <c r="AK514" s="55">
        <f>VLOOKUP($E514,'NI-San_SP'!$C:$AN,MID(AK$1,1,2),FALSE)</f>
        <v>0</v>
      </c>
      <c r="AL514" s="55">
        <f>VLOOKUP($E514,'NI-San_SP'!$C:$AN,MID(AL$1,1,2),FALSE)</f>
        <v>0</v>
      </c>
      <c r="AM514" s="56">
        <f>VLOOKUP($E514,'NI-San_SP'!$C:$AN,MID(AM$1,1,2),FALSE)</f>
        <v>0</v>
      </c>
      <c r="AN514" s="30" t="str">
        <f t="shared" ref="AN514:AN577" si="8">D514</f>
        <v>50102010000000</v>
      </c>
    </row>
    <row r="515" spans="3:40" x14ac:dyDescent="0.25">
      <c r="C515" s="40"/>
      <c r="D515" s="57" t="s">
        <v>1928</v>
      </c>
      <c r="E515" s="57" t="s">
        <v>1929</v>
      </c>
      <c r="F515" s="58" t="s">
        <v>110</v>
      </c>
      <c r="G515" s="52"/>
      <c r="H515" s="52"/>
      <c r="I515" s="52"/>
      <c r="J515" s="52"/>
      <c r="K515" s="59" t="s">
        <v>111</v>
      </c>
      <c r="L515" s="81" t="s">
        <v>1930</v>
      </c>
      <c r="M515" s="52"/>
      <c r="N515" s="52"/>
      <c r="O515" s="52"/>
      <c r="P515" s="76" t="s">
        <v>1931</v>
      </c>
      <c r="Q515" s="55">
        <f>VLOOKUP(E515,'NI-San_SP'!$C:$AN,12,FALSE)</f>
        <v>0</v>
      </c>
      <c r="R515" s="55">
        <f>VLOOKUP(E515,'NI-San_SP'!$C:$AN,13,FALSE)</f>
        <v>13598000</v>
      </c>
      <c r="S515" s="55"/>
      <c r="T515" s="55"/>
      <c r="U515" s="55">
        <f>VLOOKUP($E515,'NI-San_SP'!$C:$AN,MID(U$1,1,2),FALSE)</f>
        <v>0</v>
      </c>
      <c r="V515" s="55">
        <f>VLOOKUP($E515,'NI-San_SP'!$C:$AN,MID(V$1,1,2),FALSE)</f>
        <v>0</v>
      </c>
      <c r="W515" s="55">
        <f>VLOOKUP($E515,'NI-San_SP'!$C:$AN,MID(W$1,1,2),FALSE)</f>
        <v>0</v>
      </c>
      <c r="X515" s="55">
        <f>VLOOKUP($E515,'NI-San_SP'!$C:$AN,MID(X$1,1,2),FALSE)</f>
        <v>0</v>
      </c>
      <c r="Y515" s="55">
        <f>VLOOKUP($E515,'NI-San_SP'!$C:$AN,MID(Y$1,1,2),FALSE)</f>
        <v>13598000</v>
      </c>
      <c r="Z515" s="55">
        <f>VLOOKUP($E515,'NI-San_SP'!$C:$AN,MID(Z$1,1,2),FALSE)</f>
        <v>0</v>
      </c>
      <c r="AA515" s="55">
        <f>VLOOKUP($E515,'NI-San_SP'!$C:$AN,MID(AA$1,1,2),FALSE)</f>
        <v>0</v>
      </c>
      <c r="AB515" s="55">
        <f>VLOOKUP($E515,'NI-San_SP'!$C:$AN,MID(AB$1,1,2),FALSE)</f>
        <v>0</v>
      </c>
      <c r="AC515" s="55">
        <f>VLOOKUP($E515,'NI-San_SP'!$C:$AN,MID(AC$1,1,2),FALSE)</f>
        <v>13598000</v>
      </c>
      <c r="AD515" s="55">
        <f>VLOOKUP($E515,'NI-San_SP'!$C:$AN,MID(AD$1,1,2),FALSE)</f>
        <v>13598000</v>
      </c>
      <c r="AE515" s="55">
        <f>VLOOKUP($E515,'NI-San_SP'!$C:$AN,MID(AE$1,1,2),FALSE)</f>
        <v>0</v>
      </c>
      <c r="AF515" s="55">
        <f>VLOOKUP($E515,'NI-San_SP'!$C:$AN,MID(AF$1,1,2),FALSE)</f>
        <v>0</v>
      </c>
      <c r="AG515" s="55">
        <f>VLOOKUP($E515,'NI-San_SP'!$C:$AN,MID(AG$1,1,2),FALSE)</f>
        <v>0</v>
      </c>
      <c r="AH515" s="55">
        <f>VLOOKUP($E515,'NI-San_SP'!$C:$AN,MID(AH$1,1,2),FALSE)</f>
        <v>0</v>
      </c>
      <c r="AI515" s="55">
        <f>VLOOKUP($E515,'NI-San_SP'!$C:$AN,MID(AI$1,1,2),FALSE)</f>
        <v>0</v>
      </c>
      <c r="AJ515" s="55">
        <f>VLOOKUP($E515,'NI-San_SP'!$C:$AN,MID(AJ$1,1,2),FALSE)</f>
        <v>0</v>
      </c>
      <c r="AK515" s="55">
        <f>VLOOKUP($E515,'NI-San_SP'!$C:$AN,MID(AK$1,1,2),FALSE)</f>
        <v>0</v>
      </c>
      <c r="AL515" s="55">
        <f>VLOOKUP($E515,'NI-San_SP'!$C:$AN,MID(AL$1,1,2),FALSE)</f>
        <v>0</v>
      </c>
      <c r="AM515" s="56">
        <f>VLOOKUP($E515,'NI-San_SP'!$C:$AN,MID(AM$1,1,2),FALSE)</f>
        <v>0</v>
      </c>
      <c r="AN515" s="30" t="str">
        <f t="shared" si="8"/>
        <v>50102020000000</v>
      </c>
    </row>
    <row r="516" spans="3:40" ht="13.5" customHeight="1" x14ac:dyDescent="0.25">
      <c r="C516" s="40"/>
      <c r="D516" s="57" t="s">
        <v>1932</v>
      </c>
      <c r="E516" s="57" t="s">
        <v>1933</v>
      </c>
      <c r="F516" s="58" t="s">
        <v>110</v>
      </c>
      <c r="G516" s="52"/>
      <c r="H516" s="52"/>
      <c r="I516" s="52" t="s">
        <v>1934</v>
      </c>
      <c r="J516" s="52" t="s">
        <v>1934</v>
      </c>
      <c r="K516" s="59" t="s">
        <v>79</v>
      </c>
      <c r="L516" s="52"/>
      <c r="M516" s="52"/>
      <c r="N516" s="52"/>
      <c r="O516" s="61" t="s">
        <v>1935</v>
      </c>
      <c r="P516" s="76" t="s">
        <v>1936</v>
      </c>
      <c r="Q516" s="55">
        <f>VLOOKUP(E516,'NI-San_SP'!$C:$AN,12,FALSE)</f>
        <v>0</v>
      </c>
      <c r="R516" s="55">
        <f>VLOOKUP(E516,'NI-San_SP'!$C:$AN,13,FALSE)</f>
        <v>0</v>
      </c>
      <c r="S516" s="55"/>
      <c r="T516" s="55"/>
      <c r="U516" s="55">
        <f>VLOOKUP($E516,'NI-San_SP'!$C:$AN,MID(U$1,1,2),FALSE)</f>
        <v>0</v>
      </c>
      <c r="V516" s="55">
        <f>VLOOKUP($E516,'NI-San_SP'!$C:$AN,MID(V$1,1,2),FALSE)</f>
        <v>0</v>
      </c>
      <c r="W516" s="55">
        <f>VLOOKUP($E516,'NI-San_SP'!$C:$AN,MID(W$1,1,2),FALSE)</f>
        <v>0</v>
      </c>
      <c r="X516" s="55">
        <f>VLOOKUP($E516,'NI-San_SP'!$C:$AN,MID(X$1,1,2),FALSE)</f>
        <v>0</v>
      </c>
      <c r="Y516" s="55">
        <f>VLOOKUP($E516,'NI-San_SP'!$C:$AN,MID(Y$1,1,2),FALSE)</f>
        <v>0</v>
      </c>
      <c r="Z516" s="55">
        <f>VLOOKUP($E516,'NI-San_SP'!$C:$AN,MID(Z$1,1,2),FALSE)</f>
        <v>0</v>
      </c>
      <c r="AA516" s="55">
        <f>VLOOKUP($E516,'NI-San_SP'!$C:$AN,MID(AA$1,1,2),FALSE)</f>
        <v>0</v>
      </c>
      <c r="AB516" s="55">
        <f>VLOOKUP($E516,'NI-San_SP'!$C:$AN,MID(AB$1,1,2),FALSE)</f>
        <v>0</v>
      </c>
      <c r="AC516" s="55">
        <f>VLOOKUP($E516,'NI-San_SP'!$C:$AN,MID(AC$1,1,2),FALSE)</f>
        <v>0</v>
      </c>
      <c r="AD516" s="55">
        <f>VLOOKUP($E516,'NI-San_SP'!$C:$AN,MID(AD$1,1,2),FALSE)</f>
        <v>0</v>
      </c>
      <c r="AE516" s="55">
        <f>VLOOKUP($E516,'NI-San_SP'!$C:$AN,MID(AE$1,1,2),FALSE)</f>
        <v>0</v>
      </c>
      <c r="AF516" s="55">
        <f>VLOOKUP($E516,'NI-San_SP'!$C:$AN,MID(AF$1,1,2),FALSE)</f>
        <v>0</v>
      </c>
      <c r="AG516" s="55">
        <f>VLOOKUP($E516,'NI-San_SP'!$C:$AN,MID(AG$1,1,2),FALSE)</f>
        <v>0</v>
      </c>
      <c r="AH516" s="55">
        <f>VLOOKUP($E516,'NI-San_SP'!$C:$AN,MID(AH$1,1,2),FALSE)</f>
        <v>0</v>
      </c>
      <c r="AI516" s="55">
        <f>VLOOKUP($E516,'NI-San_SP'!$C:$AN,MID(AI$1,1,2),FALSE)</f>
        <v>0</v>
      </c>
      <c r="AJ516" s="55">
        <f>VLOOKUP($E516,'NI-San_SP'!$C:$AN,MID(AJ$1,1,2),FALSE)</f>
        <v>0</v>
      </c>
      <c r="AK516" s="55">
        <f>VLOOKUP($E516,'NI-San_SP'!$C:$AN,MID(AK$1,1,2),FALSE)</f>
        <v>0</v>
      </c>
      <c r="AL516" s="55">
        <f>VLOOKUP($E516,'NI-San_SP'!$C:$AN,MID(AL$1,1,2),FALSE)</f>
        <v>0</v>
      </c>
      <c r="AM516" s="56">
        <f>VLOOKUP($E516,'NI-San_SP'!$C:$AN,MID(AM$1,1,2),FALSE)</f>
        <v>0</v>
      </c>
      <c r="AN516" s="30" t="str">
        <f t="shared" si="8"/>
        <v>50102020010000</v>
      </c>
    </row>
    <row r="517" spans="3:40" ht="13.5" customHeight="1" x14ac:dyDescent="0.25">
      <c r="C517" s="40"/>
      <c r="D517" s="57" t="s">
        <v>1937</v>
      </c>
      <c r="E517" s="57" t="s">
        <v>1938</v>
      </c>
      <c r="F517" s="58" t="s">
        <v>110</v>
      </c>
      <c r="G517" s="52"/>
      <c r="H517" s="52"/>
      <c r="I517" s="52" t="s">
        <v>1939</v>
      </c>
      <c r="J517" s="52" t="s">
        <v>1939</v>
      </c>
      <c r="K517" s="59" t="s">
        <v>79</v>
      </c>
      <c r="L517" s="52"/>
      <c r="M517" s="52"/>
      <c r="N517" s="52"/>
      <c r="O517" s="61" t="s">
        <v>1940</v>
      </c>
      <c r="P517" s="76" t="s">
        <v>1941</v>
      </c>
      <c r="Q517" s="55">
        <f>VLOOKUP(E517,'NI-San_SP'!$C:$AN,12,FALSE)</f>
        <v>0</v>
      </c>
      <c r="R517" s="55">
        <f>VLOOKUP(E517,'NI-San_SP'!$C:$AN,13,FALSE)</f>
        <v>0</v>
      </c>
      <c r="S517" s="55"/>
      <c r="T517" s="55"/>
      <c r="U517" s="55">
        <f>VLOOKUP($E517,'NI-San_SP'!$C:$AN,MID(U$1,1,2),FALSE)</f>
        <v>0</v>
      </c>
      <c r="V517" s="55">
        <f>VLOOKUP($E517,'NI-San_SP'!$C:$AN,MID(V$1,1,2),FALSE)</f>
        <v>0</v>
      </c>
      <c r="W517" s="55">
        <f>VLOOKUP($E517,'NI-San_SP'!$C:$AN,MID(W$1,1,2),FALSE)</f>
        <v>0</v>
      </c>
      <c r="X517" s="55">
        <f>VLOOKUP($E517,'NI-San_SP'!$C:$AN,MID(X$1,1,2),FALSE)</f>
        <v>0</v>
      </c>
      <c r="Y517" s="55">
        <f>VLOOKUP($E517,'NI-San_SP'!$C:$AN,MID(Y$1,1,2),FALSE)</f>
        <v>0</v>
      </c>
      <c r="Z517" s="55">
        <f>VLOOKUP($E517,'NI-San_SP'!$C:$AN,MID(Z$1,1,2),FALSE)</f>
        <v>0</v>
      </c>
      <c r="AA517" s="55">
        <f>VLOOKUP($E517,'NI-San_SP'!$C:$AN,MID(AA$1,1,2),FALSE)</f>
        <v>0</v>
      </c>
      <c r="AB517" s="55">
        <f>VLOOKUP($E517,'NI-San_SP'!$C:$AN,MID(AB$1,1,2),FALSE)</f>
        <v>0</v>
      </c>
      <c r="AC517" s="55">
        <f>VLOOKUP($E517,'NI-San_SP'!$C:$AN,MID(AC$1,1,2),FALSE)</f>
        <v>0</v>
      </c>
      <c r="AD517" s="55">
        <f>VLOOKUP($E517,'NI-San_SP'!$C:$AN,MID(AD$1,1,2),FALSE)</f>
        <v>0</v>
      </c>
      <c r="AE517" s="55">
        <f>VLOOKUP($E517,'NI-San_SP'!$C:$AN,MID(AE$1,1,2),FALSE)</f>
        <v>0</v>
      </c>
      <c r="AF517" s="55">
        <f>VLOOKUP($E517,'NI-San_SP'!$C:$AN,MID(AF$1,1,2),FALSE)</f>
        <v>0</v>
      </c>
      <c r="AG517" s="55">
        <f>VLOOKUP($E517,'NI-San_SP'!$C:$AN,MID(AG$1,1,2),FALSE)</f>
        <v>0</v>
      </c>
      <c r="AH517" s="55">
        <f>VLOOKUP($E517,'NI-San_SP'!$C:$AN,MID(AH$1,1,2),FALSE)</f>
        <v>0</v>
      </c>
      <c r="AI517" s="55">
        <f>VLOOKUP($E517,'NI-San_SP'!$C:$AN,MID(AI$1,1,2),FALSE)</f>
        <v>0</v>
      </c>
      <c r="AJ517" s="55">
        <f>VLOOKUP($E517,'NI-San_SP'!$C:$AN,MID(AJ$1,1,2),FALSE)</f>
        <v>0</v>
      </c>
      <c r="AK517" s="55">
        <f>VLOOKUP($E517,'NI-San_SP'!$C:$AN,MID(AK$1,1,2),FALSE)</f>
        <v>0</v>
      </c>
      <c r="AL517" s="55">
        <f>VLOOKUP($E517,'NI-San_SP'!$C:$AN,MID(AL$1,1,2),FALSE)</f>
        <v>0</v>
      </c>
      <c r="AM517" s="56">
        <f>VLOOKUP($E517,'NI-San_SP'!$C:$AN,MID(AM$1,1,2),FALSE)</f>
        <v>0</v>
      </c>
      <c r="AN517" s="30" t="str">
        <f t="shared" si="8"/>
        <v>50102020020000</v>
      </c>
    </row>
    <row r="518" spans="3:40" ht="13.5" customHeight="1" x14ac:dyDescent="0.25">
      <c r="C518" s="40"/>
      <c r="D518" s="57" t="s">
        <v>1942</v>
      </c>
      <c r="E518" s="57" t="s">
        <v>1943</v>
      </c>
      <c r="F518" s="58" t="s">
        <v>110</v>
      </c>
      <c r="G518" s="52"/>
      <c r="H518" s="52"/>
      <c r="I518" s="52" t="s">
        <v>1944</v>
      </c>
      <c r="J518" s="52" t="s">
        <v>1944</v>
      </c>
      <c r="K518" s="59" t="s">
        <v>79</v>
      </c>
      <c r="L518" s="52"/>
      <c r="M518" s="52"/>
      <c r="N518" s="52"/>
      <c r="O518" s="61" t="s">
        <v>1945</v>
      </c>
      <c r="P518" s="76" t="s">
        <v>1946</v>
      </c>
      <c r="Q518" s="55">
        <f>VLOOKUP(E518,'NI-San_SP'!$C:$AN,12,FALSE)</f>
        <v>0</v>
      </c>
      <c r="R518" s="55">
        <f>VLOOKUP(E518,'NI-San_SP'!$C:$AN,13,FALSE)</f>
        <v>13598000</v>
      </c>
      <c r="S518" s="55"/>
      <c r="T518" s="55"/>
      <c r="U518" s="55">
        <f>VLOOKUP($E518,'NI-San_SP'!$C:$AN,MID(U$1,1,2),FALSE)</f>
        <v>0</v>
      </c>
      <c r="V518" s="55">
        <f>VLOOKUP($E518,'NI-San_SP'!$C:$AN,MID(V$1,1,2),FALSE)</f>
        <v>0</v>
      </c>
      <c r="W518" s="55">
        <f>VLOOKUP($E518,'NI-San_SP'!$C:$AN,MID(W$1,1,2),FALSE)</f>
        <v>0</v>
      </c>
      <c r="X518" s="55">
        <f>VLOOKUP($E518,'NI-San_SP'!$C:$AN,MID(X$1,1,2),FALSE)</f>
        <v>0</v>
      </c>
      <c r="Y518" s="55">
        <f>VLOOKUP($E518,'NI-San_SP'!$C:$AN,MID(Y$1,1,2),FALSE)</f>
        <v>13598000</v>
      </c>
      <c r="Z518" s="55">
        <f>VLOOKUP($E518,'NI-San_SP'!$C:$AN,MID(Z$1,1,2),FALSE)</f>
        <v>0</v>
      </c>
      <c r="AA518" s="55">
        <f>VLOOKUP($E518,'NI-San_SP'!$C:$AN,MID(AA$1,1,2),FALSE)</f>
        <v>0</v>
      </c>
      <c r="AB518" s="55">
        <f>VLOOKUP($E518,'NI-San_SP'!$C:$AN,MID(AB$1,1,2),FALSE)</f>
        <v>0</v>
      </c>
      <c r="AC518" s="55">
        <f>VLOOKUP($E518,'NI-San_SP'!$C:$AN,MID(AC$1,1,2),FALSE)</f>
        <v>13598000</v>
      </c>
      <c r="AD518" s="55">
        <f>VLOOKUP($E518,'NI-San_SP'!$C:$AN,MID(AD$1,1,2),FALSE)</f>
        <v>13598000</v>
      </c>
      <c r="AE518" s="55">
        <f>VLOOKUP($E518,'NI-San_SP'!$C:$AN,MID(AE$1,1,2),FALSE)</f>
        <v>0</v>
      </c>
      <c r="AF518" s="55">
        <f>VLOOKUP($E518,'NI-San_SP'!$C:$AN,MID(AF$1,1,2),FALSE)</f>
        <v>0</v>
      </c>
      <c r="AG518" s="55">
        <f>VLOOKUP($E518,'NI-San_SP'!$C:$AN,MID(AG$1,1,2),FALSE)</f>
        <v>0</v>
      </c>
      <c r="AH518" s="55">
        <f>VLOOKUP($E518,'NI-San_SP'!$C:$AN,MID(AH$1,1,2),FALSE)</f>
        <v>0</v>
      </c>
      <c r="AI518" s="55">
        <f>VLOOKUP($E518,'NI-San_SP'!$C:$AN,MID(AI$1,1,2),FALSE)</f>
        <v>0</v>
      </c>
      <c r="AJ518" s="55">
        <f>VLOOKUP($E518,'NI-San_SP'!$C:$AN,MID(AJ$1,1,2),FALSE)</f>
        <v>0</v>
      </c>
      <c r="AK518" s="55">
        <f>VLOOKUP($E518,'NI-San_SP'!$C:$AN,MID(AK$1,1,2),FALSE)</f>
        <v>0</v>
      </c>
      <c r="AL518" s="55">
        <f>VLOOKUP($E518,'NI-San_SP'!$C:$AN,MID(AL$1,1,2),FALSE)</f>
        <v>0</v>
      </c>
      <c r="AM518" s="56">
        <f>VLOOKUP($E518,'NI-San_SP'!$C:$AN,MID(AM$1,1,2),FALSE)</f>
        <v>0</v>
      </c>
      <c r="AN518" s="30" t="str">
        <f t="shared" si="8"/>
        <v>50102020030000</v>
      </c>
    </row>
    <row r="519" spans="3:40" x14ac:dyDescent="0.25">
      <c r="C519" s="40"/>
      <c r="D519" s="57" t="s">
        <v>1947</v>
      </c>
      <c r="E519" s="57" t="s">
        <v>1948</v>
      </c>
      <c r="F519" s="58" t="s">
        <v>110</v>
      </c>
      <c r="G519" s="52"/>
      <c r="H519" s="52"/>
      <c r="I519" s="52" t="s">
        <v>1949</v>
      </c>
      <c r="J519" s="52" t="s">
        <v>1949</v>
      </c>
      <c r="K519" s="59" t="s">
        <v>79</v>
      </c>
      <c r="L519" s="81" t="s">
        <v>1950</v>
      </c>
      <c r="M519" s="52"/>
      <c r="N519" s="52"/>
      <c r="O519" s="61" t="s">
        <v>1951</v>
      </c>
      <c r="P519" s="76" t="s">
        <v>1952</v>
      </c>
      <c r="Q519" s="55">
        <f>VLOOKUP(E519,'NI-San_SP'!$C:$AN,12,FALSE)</f>
        <v>47015826</v>
      </c>
      <c r="R519" s="55">
        <f>VLOOKUP(E519,'NI-San_SP'!$C:$AN,13,FALSE)</f>
        <v>47453477</v>
      </c>
      <c r="S519" s="55"/>
      <c r="T519" s="55"/>
      <c r="U519" s="55">
        <f>VLOOKUP($E519,'NI-San_SP'!$C:$AN,MID(U$1,1,2),FALSE)</f>
        <v>0</v>
      </c>
      <c r="V519" s="55">
        <f>VLOOKUP($E519,'NI-San_SP'!$C:$AN,MID(V$1,1,2),FALSE)</f>
        <v>47015826</v>
      </c>
      <c r="W519" s="55">
        <f>VLOOKUP($E519,'NI-San_SP'!$C:$AN,MID(W$1,1,2),FALSE)</f>
        <v>0</v>
      </c>
      <c r="X519" s="55">
        <f>VLOOKUP($E519,'NI-San_SP'!$C:$AN,MID(X$1,1,2),FALSE)</f>
        <v>0</v>
      </c>
      <c r="Y519" s="55">
        <f>VLOOKUP($E519,'NI-San_SP'!$C:$AN,MID(Y$1,1,2),FALSE)</f>
        <v>5519109</v>
      </c>
      <c r="Z519" s="55">
        <f>VLOOKUP($E519,'NI-San_SP'!$C:$AN,MID(Z$1,1,2),FALSE)</f>
        <v>5081355</v>
      </c>
      <c r="AA519" s="55">
        <f>VLOOKUP($E519,'NI-San_SP'!$C:$AN,MID(AA$1,1,2),FALSE)</f>
        <v>0</v>
      </c>
      <c r="AB519" s="55">
        <f>VLOOKUP($E519,'NI-San_SP'!$C:$AN,MID(AB$1,1,2),FALSE)</f>
        <v>-103</v>
      </c>
      <c r="AC519" s="55">
        <f>VLOOKUP($E519,'NI-San_SP'!$C:$AN,MID(AC$1,1,2),FALSE)</f>
        <v>437651</v>
      </c>
      <c r="AD519" s="55">
        <f>VLOOKUP($E519,'NI-San_SP'!$C:$AN,MID(AD$1,1,2),FALSE)</f>
        <v>47453477</v>
      </c>
      <c r="AE519" s="55">
        <f>VLOOKUP($E519,'NI-San_SP'!$C:$AN,MID(AE$1,1,2),FALSE)</f>
        <v>0</v>
      </c>
      <c r="AF519" s="55">
        <f>VLOOKUP($E519,'NI-San_SP'!$C:$AN,MID(AF$1,1,2),FALSE)</f>
        <v>0</v>
      </c>
      <c r="AG519" s="55">
        <f>VLOOKUP($E519,'NI-San_SP'!$C:$AN,MID(AG$1,1,2),FALSE)</f>
        <v>0</v>
      </c>
      <c r="AH519" s="55">
        <f>VLOOKUP($E519,'NI-San_SP'!$C:$AN,MID(AH$1,1,2),FALSE)</f>
        <v>0</v>
      </c>
      <c r="AI519" s="55">
        <f>VLOOKUP($E519,'NI-San_SP'!$C:$AN,MID(AI$1,1,2),FALSE)</f>
        <v>0</v>
      </c>
      <c r="AJ519" s="55">
        <f>VLOOKUP($E519,'NI-San_SP'!$C:$AN,MID(AJ$1,1,2),FALSE)</f>
        <v>0</v>
      </c>
      <c r="AK519" s="55">
        <f>VLOOKUP($E519,'NI-San_SP'!$C:$AN,MID(AK$1,1,2),FALSE)</f>
        <v>0</v>
      </c>
      <c r="AL519" s="55">
        <f>VLOOKUP($E519,'NI-San_SP'!$C:$AN,MID(AL$1,1,2),FALSE)</f>
        <v>0</v>
      </c>
      <c r="AM519" s="56">
        <f>VLOOKUP($E519,'NI-San_SP'!$C:$AN,MID(AM$1,1,2),FALSE)</f>
        <v>0</v>
      </c>
      <c r="AN519" s="30" t="str">
        <f t="shared" si="8"/>
        <v>50102030000000</v>
      </c>
    </row>
    <row r="520" spans="3:40" x14ac:dyDescent="0.25">
      <c r="C520" s="40"/>
      <c r="D520" s="57" t="s">
        <v>1953</v>
      </c>
      <c r="E520" s="57" t="s">
        <v>1954</v>
      </c>
      <c r="F520" s="58" t="s">
        <v>110</v>
      </c>
      <c r="G520" s="52"/>
      <c r="H520" s="52"/>
      <c r="I520" s="52" t="s">
        <v>1955</v>
      </c>
      <c r="J520" s="52" t="s">
        <v>1955</v>
      </c>
      <c r="K520" s="59" t="s">
        <v>79</v>
      </c>
      <c r="L520" s="81" t="s">
        <v>1956</v>
      </c>
      <c r="M520" s="52"/>
      <c r="N520" s="52"/>
      <c r="O520" s="61" t="s">
        <v>1957</v>
      </c>
      <c r="P520" s="76" t="s">
        <v>1958</v>
      </c>
      <c r="Q520" s="55">
        <f>VLOOKUP(E520,'NI-San_SP'!$C:$AN,12,FALSE)</f>
        <v>0</v>
      </c>
      <c r="R520" s="55">
        <f>VLOOKUP(E520,'NI-San_SP'!$C:$AN,13,FALSE)</f>
        <v>0</v>
      </c>
      <c r="S520" s="55"/>
      <c r="T520" s="55"/>
      <c r="U520" s="55">
        <f>VLOOKUP($E520,'NI-San_SP'!$C:$AN,MID(U$1,1,2),FALSE)</f>
        <v>0</v>
      </c>
      <c r="V520" s="55">
        <f>VLOOKUP($E520,'NI-San_SP'!$C:$AN,MID(V$1,1,2),FALSE)</f>
        <v>0</v>
      </c>
      <c r="W520" s="55">
        <f>VLOOKUP($E520,'NI-San_SP'!$C:$AN,MID(W$1,1,2),FALSE)</f>
        <v>0</v>
      </c>
      <c r="X520" s="55">
        <f>VLOOKUP($E520,'NI-San_SP'!$C:$AN,MID(X$1,1,2),FALSE)</f>
        <v>474019</v>
      </c>
      <c r="Y520" s="55">
        <f>VLOOKUP($E520,'NI-San_SP'!$C:$AN,MID(Y$1,1,2),FALSE)</f>
        <v>0</v>
      </c>
      <c r="Z520" s="55">
        <f>VLOOKUP($E520,'NI-San_SP'!$C:$AN,MID(Z$1,1,2),FALSE)</f>
        <v>474019</v>
      </c>
      <c r="AA520" s="55">
        <f>VLOOKUP($E520,'NI-San_SP'!$C:$AN,MID(AA$1,1,2),FALSE)</f>
        <v>0</v>
      </c>
      <c r="AB520" s="55">
        <f>VLOOKUP($E520,'NI-San_SP'!$C:$AN,MID(AB$1,1,2),FALSE)</f>
        <v>0</v>
      </c>
      <c r="AC520" s="55">
        <f>VLOOKUP($E520,'NI-San_SP'!$C:$AN,MID(AC$1,1,2),FALSE)</f>
        <v>0</v>
      </c>
      <c r="AD520" s="55">
        <f>VLOOKUP($E520,'NI-San_SP'!$C:$AN,MID(AD$1,1,2),FALSE)</f>
        <v>0</v>
      </c>
      <c r="AE520" s="55">
        <f>VLOOKUP($E520,'NI-San_SP'!$C:$AN,MID(AE$1,1,2),FALSE)</f>
        <v>0</v>
      </c>
      <c r="AF520" s="55">
        <f>VLOOKUP($E520,'NI-San_SP'!$C:$AN,MID(AF$1,1,2),FALSE)</f>
        <v>0</v>
      </c>
      <c r="AG520" s="55">
        <f>VLOOKUP($E520,'NI-San_SP'!$C:$AN,MID(AG$1,1,2),FALSE)</f>
        <v>0</v>
      </c>
      <c r="AH520" s="55">
        <f>VLOOKUP($E520,'NI-San_SP'!$C:$AN,MID(AH$1,1,2),FALSE)</f>
        <v>0</v>
      </c>
      <c r="AI520" s="55">
        <f>VLOOKUP($E520,'NI-San_SP'!$C:$AN,MID(AI$1,1,2),FALSE)</f>
        <v>0</v>
      </c>
      <c r="AJ520" s="55">
        <f>VLOOKUP($E520,'NI-San_SP'!$C:$AN,MID(AJ$1,1,2),FALSE)</f>
        <v>0</v>
      </c>
      <c r="AK520" s="55">
        <f>VLOOKUP($E520,'NI-San_SP'!$C:$AN,MID(AK$1,1,2),FALSE)</f>
        <v>0</v>
      </c>
      <c r="AL520" s="55">
        <f>VLOOKUP($E520,'NI-San_SP'!$C:$AN,MID(AL$1,1,2),FALSE)</f>
        <v>0</v>
      </c>
      <c r="AM520" s="56">
        <f>VLOOKUP($E520,'NI-San_SP'!$C:$AN,MID(AM$1,1,2),FALSE)</f>
        <v>0</v>
      </c>
      <c r="AN520" s="30" t="str">
        <f t="shared" si="8"/>
        <v>50102040000000</v>
      </c>
    </row>
    <row r="521" spans="3:40" x14ac:dyDescent="0.25">
      <c r="C521" s="40"/>
      <c r="D521" s="57" t="s">
        <v>1959</v>
      </c>
      <c r="E521" s="57" t="s">
        <v>1960</v>
      </c>
      <c r="F521" s="58" t="s">
        <v>110</v>
      </c>
      <c r="G521" s="52"/>
      <c r="H521" s="52"/>
      <c r="I521" s="52" t="s">
        <v>1961</v>
      </c>
      <c r="J521" s="52" t="s">
        <v>1961</v>
      </c>
      <c r="K521" s="59" t="s">
        <v>79</v>
      </c>
      <c r="L521" s="81" t="s">
        <v>1962</v>
      </c>
      <c r="M521" s="52"/>
      <c r="N521" s="52"/>
      <c r="O521" s="61" t="s">
        <v>1963</v>
      </c>
      <c r="P521" s="76" t="s">
        <v>1964</v>
      </c>
      <c r="Q521" s="55">
        <f>VLOOKUP(E521,'NI-San_SP'!$C:$AN,12,FALSE)</f>
        <v>204468</v>
      </c>
      <c r="R521" s="55">
        <f>VLOOKUP(E521,'NI-San_SP'!$C:$AN,13,FALSE)</f>
        <v>1797069</v>
      </c>
      <c r="S521" s="55"/>
      <c r="T521" s="55"/>
      <c r="U521" s="55">
        <f>VLOOKUP($E521,'NI-San_SP'!$C:$AN,MID(U$1,1,2),FALSE)</f>
        <v>0</v>
      </c>
      <c r="V521" s="55">
        <f>VLOOKUP($E521,'NI-San_SP'!$C:$AN,MID(V$1,1,2),FALSE)</f>
        <v>204468</v>
      </c>
      <c r="W521" s="55">
        <f>VLOOKUP($E521,'NI-San_SP'!$C:$AN,MID(W$1,1,2),FALSE)</f>
        <v>0</v>
      </c>
      <c r="X521" s="55">
        <f>VLOOKUP($E521,'NI-San_SP'!$C:$AN,MID(X$1,1,2),FALSE)</f>
        <v>-474019</v>
      </c>
      <c r="Y521" s="55">
        <f>VLOOKUP($E521,'NI-San_SP'!$C:$AN,MID(Y$1,1,2),FALSE)</f>
        <v>1709600</v>
      </c>
      <c r="Z521" s="55">
        <f>VLOOKUP($E521,'NI-San_SP'!$C:$AN,MID(Z$1,1,2),FALSE)</f>
        <v>0</v>
      </c>
      <c r="AA521" s="55">
        <f>VLOOKUP($E521,'NI-San_SP'!$C:$AN,MID(AA$1,1,2),FALSE)</f>
        <v>0</v>
      </c>
      <c r="AB521" s="55">
        <f>VLOOKUP($E521,'NI-San_SP'!$C:$AN,MID(AB$1,1,2),FALSE)</f>
        <v>357020</v>
      </c>
      <c r="AC521" s="55">
        <f>VLOOKUP($E521,'NI-San_SP'!$C:$AN,MID(AC$1,1,2),FALSE)</f>
        <v>1592601</v>
      </c>
      <c r="AD521" s="55">
        <f>VLOOKUP($E521,'NI-San_SP'!$C:$AN,MID(AD$1,1,2),FALSE)</f>
        <v>1797069</v>
      </c>
      <c r="AE521" s="55">
        <f>VLOOKUP($E521,'NI-San_SP'!$C:$AN,MID(AE$1,1,2),FALSE)</f>
        <v>0</v>
      </c>
      <c r="AF521" s="55">
        <f>VLOOKUP($E521,'NI-San_SP'!$C:$AN,MID(AF$1,1,2),FALSE)</f>
        <v>0</v>
      </c>
      <c r="AG521" s="55">
        <f>VLOOKUP($E521,'NI-San_SP'!$C:$AN,MID(AG$1,1,2),FALSE)</f>
        <v>0</v>
      </c>
      <c r="AH521" s="55">
        <f>VLOOKUP($E521,'NI-San_SP'!$C:$AN,MID(AH$1,1,2),FALSE)</f>
        <v>0</v>
      </c>
      <c r="AI521" s="55">
        <f>VLOOKUP($E521,'NI-San_SP'!$C:$AN,MID(AI$1,1,2),FALSE)</f>
        <v>0</v>
      </c>
      <c r="AJ521" s="55">
        <f>VLOOKUP($E521,'NI-San_SP'!$C:$AN,MID(AJ$1,1,2),FALSE)</f>
        <v>0</v>
      </c>
      <c r="AK521" s="55">
        <f>VLOOKUP($E521,'NI-San_SP'!$C:$AN,MID(AK$1,1,2),FALSE)</f>
        <v>0</v>
      </c>
      <c r="AL521" s="55">
        <f>VLOOKUP($E521,'NI-San_SP'!$C:$AN,MID(AL$1,1,2),FALSE)</f>
        <v>0</v>
      </c>
      <c r="AM521" s="56">
        <f>VLOOKUP($E521,'NI-San_SP'!$C:$AN,MID(AM$1,1,2),FALSE)</f>
        <v>0</v>
      </c>
      <c r="AN521" s="30" t="str">
        <f t="shared" si="8"/>
        <v>50102050000000</v>
      </c>
    </row>
    <row r="522" spans="3:40" x14ac:dyDescent="0.25">
      <c r="C522" s="40"/>
      <c r="D522" s="57" t="s">
        <v>1965</v>
      </c>
      <c r="E522" s="57" t="s">
        <v>1966</v>
      </c>
      <c r="F522" s="58" t="s">
        <v>110</v>
      </c>
      <c r="G522" s="52"/>
      <c r="H522" s="52"/>
      <c r="I522" s="52" t="s">
        <v>1967</v>
      </c>
      <c r="J522" s="52" t="s">
        <v>1967</v>
      </c>
      <c r="K522" s="59" t="s">
        <v>79</v>
      </c>
      <c r="L522" s="81" t="s">
        <v>1968</v>
      </c>
      <c r="M522" s="52"/>
      <c r="N522" s="52"/>
      <c r="O522" s="61" t="s">
        <v>1969</v>
      </c>
      <c r="P522" s="76" t="s">
        <v>1970</v>
      </c>
      <c r="Q522" s="55">
        <f>VLOOKUP(E522,'NI-San_SP'!$C:$AN,12,FALSE)</f>
        <v>10575860</v>
      </c>
      <c r="R522" s="55">
        <f>VLOOKUP(E522,'NI-San_SP'!$C:$AN,13,FALSE)</f>
        <v>11361912</v>
      </c>
      <c r="S522" s="55"/>
      <c r="T522" s="55"/>
      <c r="U522" s="55">
        <f>VLOOKUP($E522,'NI-San_SP'!$C:$AN,MID(U$1,1,2),FALSE)</f>
        <v>0</v>
      </c>
      <c r="V522" s="55">
        <f>VLOOKUP($E522,'NI-San_SP'!$C:$AN,MID(V$1,1,2),FALSE)</f>
        <v>10575860</v>
      </c>
      <c r="W522" s="55">
        <f>VLOOKUP($E522,'NI-San_SP'!$C:$AN,MID(W$1,1,2),FALSE)</f>
        <v>0</v>
      </c>
      <c r="X522" s="55">
        <f>VLOOKUP($E522,'NI-San_SP'!$C:$AN,MID(X$1,1,2),FALSE)</f>
        <v>0</v>
      </c>
      <c r="Y522" s="55">
        <f>VLOOKUP($E522,'NI-San_SP'!$C:$AN,MID(Y$1,1,2),FALSE)</f>
        <v>1357021</v>
      </c>
      <c r="Z522" s="55">
        <f>VLOOKUP($E522,'NI-San_SP'!$C:$AN,MID(Z$1,1,2),FALSE)</f>
        <v>551122</v>
      </c>
      <c r="AA522" s="55">
        <f>VLOOKUP($E522,'NI-San_SP'!$C:$AN,MID(AA$1,1,2),FALSE)</f>
        <v>0</v>
      </c>
      <c r="AB522" s="55">
        <f>VLOOKUP($E522,'NI-San_SP'!$C:$AN,MID(AB$1,1,2),FALSE)</f>
        <v>-19847</v>
      </c>
      <c r="AC522" s="55">
        <f>VLOOKUP($E522,'NI-San_SP'!$C:$AN,MID(AC$1,1,2),FALSE)</f>
        <v>786052</v>
      </c>
      <c r="AD522" s="55">
        <f>VLOOKUP($E522,'NI-San_SP'!$C:$AN,MID(AD$1,1,2),FALSE)</f>
        <v>11361912</v>
      </c>
      <c r="AE522" s="55">
        <f>VLOOKUP($E522,'NI-San_SP'!$C:$AN,MID(AE$1,1,2),FALSE)</f>
        <v>0</v>
      </c>
      <c r="AF522" s="55">
        <f>VLOOKUP($E522,'NI-San_SP'!$C:$AN,MID(AF$1,1,2),FALSE)</f>
        <v>0</v>
      </c>
      <c r="AG522" s="55">
        <f>VLOOKUP($E522,'NI-San_SP'!$C:$AN,MID(AG$1,1,2),FALSE)</f>
        <v>0</v>
      </c>
      <c r="AH522" s="55">
        <f>VLOOKUP($E522,'NI-San_SP'!$C:$AN,MID(AH$1,1,2),FALSE)</f>
        <v>0</v>
      </c>
      <c r="AI522" s="55">
        <f>VLOOKUP($E522,'NI-San_SP'!$C:$AN,MID(AI$1,1,2),FALSE)</f>
        <v>0</v>
      </c>
      <c r="AJ522" s="55">
        <f>VLOOKUP($E522,'NI-San_SP'!$C:$AN,MID(AJ$1,1,2),FALSE)</f>
        <v>0</v>
      </c>
      <c r="AK522" s="55">
        <f>VLOOKUP($E522,'NI-San_SP'!$C:$AN,MID(AK$1,1,2),FALSE)</f>
        <v>0</v>
      </c>
      <c r="AL522" s="55">
        <f>VLOOKUP($E522,'NI-San_SP'!$C:$AN,MID(AL$1,1,2),FALSE)</f>
        <v>0</v>
      </c>
      <c r="AM522" s="56">
        <f>VLOOKUP($E522,'NI-San_SP'!$C:$AN,MID(AM$1,1,2),FALSE)</f>
        <v>0</v>
      </c>
      <c r="AN522" s="30" t="str">
        <f t="shared" si="8"/>
        <v>50103000000000</v>
      </c>
    </row>
    <row r="523" spans="3:40" x14ac:dyDescent="0.25">
      <c r="C523" s="40"/>
      <c r="D523" s="57" t="s">
        <v>1971</v>
      </c>
      <c r="E523" s="57" t="s">
        <v>1972</v>
      </c>
      <c r="F523" s="58" t="s">
        <v>110</v>
      </c>
      <c r="G523" s="52"/>
      <c r="H523" s="52"/>
      <c r="I523" s="52"/>
      <c r="J523" s="52"/>
      <c r="K523" s="59" t="s">
        <v>111</v>
      </c>
      <c r="L523" s="81" t="s">
        <v>1973</v>
      </c>
      <c r="M523" s="52"/>
      <c r="N523" s="52"/>
      <c r="O523" s="61" t="s">
        <v>1974</v>
      </c>
      <c r="P523" s="76" t="s">
        <v>1975</v>
      </c>
      <c r="Q523" s="55">
        <f>VLOOKUP(E523,'NI-San_SP'!$C:$AN,12,FALSE)</f>
        <v>1339432</v>
      </c>
      <c r="R523" s="55">
        <f>VLOOKUP(E523,'NI-San_SP'!$C:$AN,13,FALSE)</f>
        <v>1335375</v>
      </c>
      <c r="S523" s="55"/>
      <c r="T523" s="55"/>
      <c r="U523" s="55">
        <f>VLOOKUP($E523,'NI-San_SP'!$C:$AN,MID(U$1,1,2),FALSE)</f>
        <v>0</v>
      </c>
      <c r="V523" s="55">
        <f>VLOOKUP($E523,'NI-San_SP'!$C:$AN,MID(V$1,1,2),FALSE)</f>
        <v>1339432</v>
      </c>
      <c r="W523" s="55">
        <f>VLOOKUP($E523,'NI-San_SP'!$C:$AN,MID(W$1,1,2),FALSE)</f>
        <v>0</v>
      </c>
      <c r="X523" s="55">
        <f>VLOOKUP($E523,'NI-San_SP'!$C:$AN,MID(X$1,1,2),FALSE)</f>
        <v>0</v>
      </c>
      <c r="Y523" s="55">
        <f>VLOOKUP($E523,'NI-San_SP'!$C:$AN,MID(Y$1,1,2),FALSE)</f>
        <v>0</v>
      </c>
      <c r="Z523" s="55">
        <f>VLOOKUP($E523,'NI-San_SP'!$C:$AN,MID(Z$1,1,2),FALSE)</f>
        <v>4057</v>
      </c>
      <c r="AA523" s="55">
        <f>VLOOKUP($E523,'NI-San_SP'!$C:$AN,MID(AA$1,1,2),FALSE)</f>
        <v>0</v>
      </c>
      <c r="AB523" s="55">
        <f>VLOOKUP($E523,'NI-San_SP'!$C:$AN,MID(AB$1,1,2),FALSE)</f>
        <v>0</v>
      </c>
      <c r="AC523" s="55">
        <f>VLOOKUP($E523,'NI-San_SP'!$C:$AN,MID(AC$1,1,2),FALSE)</f>
        <v>-4057</v>
      </c>
      <c r="AD523" s="55">
        <f>VLOOKUP($E523,'NI-San_SP'!$C:$AN,MID(AD$1,1,2),FALSE)</f>
        <v>1335375</v>
      </c>
      <c r="AE523" s="55">
        <f>VLOOKUP($E523,'NI-San_SP'!$C:$AN,MID(AE$1,1,2),FALSE)</f>
        <v>0</v>
      </c>
      <c r="AF523" s="55">
        <f>VLOOKUP($E523,'NI-San_SP'!$C:$AN,MID(AF$1,1,2),FALSE)</f>
        <v>0</v>
      </c>
      <c r="AG523" s="55">
        <f>VLOOKUP($E523,'NI-San_SP'!$C:$AN,MID(AG$1,1,2),FALSE)</f>
        <v>0</v>
      </c>
      <c r="AH523" s="55">
        <f>VLOOKUP($E523,'NI-San_SP'!$C:$AN,MID(AH$1,1,2),FALSE)</f>
        <v>0</v>
      </c>
      <c r="AI523" s="55">
        <f>VLOOKUP($E523,'NI-San_SP'!$C:$AN,MID(AI$1,1,2),FALSE)</f>
        <v>0</v>
      </c>
      <c r="AJ523" s="55">
        <f>VLOOKUP($E523,'NI-San_SP'!$C:$AN,MID(AJ$1,1,2),FALSE)</f>
        <v>0</v>
      </c>
      <c r="AK523" s="55">
        <f>VLOOKUP($E523,'NI-San_SP'!$C:$AN,MID(AK$1,1,2),FALSE)</f>
        <v>0</v>
      </c>
      <c r="AL523" s="55">
        <f>VLOOKUP($E523,'NI-San_SP'!$C:$AN,MID(AL$1,1,2),FALSE)</f>
        <v>0</v>
      </c>
      <c r="AM523" s="56">
        <f>VLOOKUP($E523,'NI-San_SP'!$C:$AN,MID(AM$1,1,2),FALSE)</f>
        <v>0</v>
      </c>
      <c r="AN523" s="30" t="str">
        <f t="shared" si="8"/>
        <v>50104000000000</v>
      </c>
    </row>
    <row r="524" spans="3:40" x14ac:dyDescent="0.25">
      <c r="C524" s="40"/>
      <c r="D524" s="57" t="s">
        <v>1976</v>
      </c>
      <c r="E524" s="57" t="s">
        <v>1977</v>
      </c>
      <c r="F524" s="58" t="s">
        <v>110</v>
      </c>
      <c r="G524" s="52"/>
      <c r="H524" s="52"/>
      <c r="I524" s="52" t="s">
        <v>1978</v>
      </c>
      <c r="J524" s="52" t="s">
        <v>1978</v>
      </c>
      <c r="K524" s="59" t="s">
        <v>79</v>
      </c>
      <c r="L524" s="52"/>
      <c r="M524" s="52"/>
      <c r="N524" s="52"/>
      <c r="O524" s="52"/>
      <c r="P524" s="76" t="s">
        <v>1979</v>
      </c>
      <c r="Q524" s="55">
        <f>VLOOKUP(E524,'NI-San_SP'!$C:$AN,12,FALSE)</f>
        <v>0</v>
      </c>
      <c r="R524" s="55">
        <f>VLOOKUP(E524,'NI-San_SP'!$C:$AN,13,FALSE)</f>
        <v>0</v>
      </c>
      <c r="S524" s="55"/>
      <c r="T524" s="55"/>
      <c r="U524" s="55">
        <f>VLOOKUP($E524,'NI-San_SP'!$C:$AN,MID(U$1,1,2),FALSE)</f>
        <v>0</v>
      </c>
      <c r="V524" s="55">
        <f>VLOOKUP($E524,'NI-San_SP'!$C:$AN,MID(V$1,1,2),FALSE)</f>
        <v>0</v>
      </c>
      <c r="W524" s="55">
        <f>VLOOKUP($E524,'NI-San_SP'!$C:$AN,MID(W$1,1,2),FALSE)</f>
        <v>0</v>
      </c>
      <c r="X524" s="55">
        <f>VLOOKUP($E524,'NI-San_SP'!$C:$AN,MID(X$1,1,2),FALSE)</f>
        <v>0</v>
      </c>
      <c r="Y524" s="55">
        <f>VLOOKUP($E524,'NI-San_SP'!$C:$AN,MID(Y$1,1,2),FALSE)</f>
        <v>0</v>
      </c>
      <c r="Z524" s="55">
        <f>VLOOKUP($E524,'NI-San_SP'!$C:$AN,MID(Z$1,1,2),FALSE)</f>
        <v>0</v>
      </c>
      <c r="AA524" s="55">
        <f>VLOOKUP($E524,'NI-San_SP'!$C:$AN,MID(AA$1,1,2),FALSE)</f>
        <v>0</v>
      </c>
      <c r="AB524" s="55">
        <f>VLOOKUP($E524,'NI-San_SP'!$C:$AN,MID(AB$1,1,2),FALSE)</f>
        <v>0</v>
      </c>
      <c r="AC524" s="55">
        <f>VLOOKUP($E524,'NI-San_SP'!$C:$AN,MID(AC$1,1,2),FALSE)</f>
        <v>0</v>
      </c>
      <c r="AD524" s="55">
        <f>VLOOKUP($E524,'NI-San_SP'!$C:$AN,MID(AD$1,1,2),FALSE)</f>
        <v>0</v>
      </c>
      <c r="AE524" s="55">
        <f>VLOOKUP($E524,'NI-San_SP'!$C:$AN,MID(AE$1,1,2),FALSE)</f>
        <v>0</v>
      </c>
      <c r="AF524" s="55">
        <f>VLOOKUP($E524,'NI-San_SP'!$C:$AN,MID(AF$1,1,2),FALSE)</f>
        <v>0</v>
      </c>
      <c r="AG524" s="55">
        <f>VLOOKUP($E524,'NI-San_SP'!$C:$AN,MID(AG$1,1,2),FALSE)</f>
        <v>0</v>
      </c>
      <c r="AH524" s="55">
        <f>VLOOKUP($E524,'NI-San_SP'!$C:$AN,MID(AH$1,1,2),FALSE)</f>
        <v>0</v>
      </c>
      <c r="AI524" s="55">
        <f>VLOOKUP($E524,'NI-San_SP'!$C:$AN,MID(AI$1,1,2),FALSE)</f>
        <v>0</v>
      </c>
      <c r="AJ524" s="55">
        <f>VLOOKUP($E524,'NI-San_SP'!$C:$AN,MID(AJ$1,1,2),FALSE)</f>
        <v>0</v>
      </c>
      <c r="AK524" s="55">
        <f>VLOOKUP($E524,'NI-San_SP'!$C:$AN,MID(AK$1,1,2),FALSE)</f>
        <v>0</v>
      </c>
      <c r="AL524" s="55">
        <f>VLOOKUP($E524,'NI-San_SP'!$C:$AN,MID(AL$1,1,2),FALSE)</f>
        <v>0</v>
      </c>
      <c r="AM524" s="56">
        <f>VLOOKUP($E524,'NI-San_SP'!$C:$AN,MID(AM$1,1,2),FALSE)</f>
        <v>0</v>
      </c>
      <c r="AN524" s="30" t="str">
        <f t="shared" si="8"/>
        <v>50104010000000</v>
      </c>
    </row>
    <row r="525" spans="3:40" x14ac:dyDescent="0.25">
      <c r="C525" s="40"/>
      <c r="D525" s="57" t="s">
        <v>1980</v>
      </c>
      <c r="E525" s="57" t="s">
        <v>1981</v>
      </c>
      <c r="F525" s="58" t="s">
        <v>110</v>
      </c>
      <c r="G525" s="52"/>
      <c r="H525" s="52"/>
      <c r="I525" s="52" t="s">
        <v>1982</v>
      </c>
      <c r="J525" s="52" t="s">
        <v>1982</v>
      </c>
      <c r="K525" s="59" t="s">
        <v>79</v>
      </c>
      <c r="L525" s="52"/>
      <c r="M525" s="52"/>
      <c r="N525" s="52"/>
      <c r="O525" s="52"/>
      <c r="P525" s="76" t="s">
        <v>1983</v>
      </c>
      <c r="Q525" s="55">
        <f>VLOOKUP(E525,'NI-San_SP'!$C:$AN,12,FALSE)</f>
        <v>1333457</v>
      </c>
      <c r="R525" s="55">
        <f>VLOOKUP(E525,'NI-San_SP'!$C:$AN,13,FALSE)</f>
        <v>1333457</v>
      </c>
      <c r="S525" s="55"/>
      <c r="T525" s="55"/>
      <c r="U525" s="55">
        <f>VLOOKUP($E525,'NI-San_SP'!$C:$AN,MID(U$1,1,2),FALSE)</f>
        <v>0</v>
      </c>
      <c r="V525" s="55">
        <f>VLOOKUP($E525,'NI-San_SP'!$C:$AN,MID(V$1,1,2),FALSE)</f>
        <v>1333457</v>
      </c>
      <c r="W525" s="55">
        <f>VLOOKUP($E525,'NI-San_SP'!$C:$AN,MID(W$1,1,2),FALSE)</f>
        <v>0</v>
      </c>
      <c r="X525" s="55">
        <f>VLOOKUP($E525,'NI-San_SP'!$C:$AN,MID(X$1,1,2),FALSE)</f>
        <v>0</v>
      </c>
      <c r="Y525" s="55">
        <f>VLOOKUP($E525,'NI-San_SP'!$C:$AN,MID(Y$1,1,2),FALSE)</f>
        <v>0</v>
      </c>
      <c r="Z525" s="55">
        <f>VLOOKUP($E525,'NI-San_SP'!$C:$AN,MID(Z$1,1,2),FALSE)</f>
        <v>0</v>
      </c>
      <c r="AA525" s="55">
        <f>VLOOKUP($E525,'NI-San_SP'!$C:$AN,MID(AA$1,1,2),FALSE)</f>
        <v>0</v>
      </c>
      <c r="AB525" s="55">
        <f>VLOOKUP($E525,'NI-San_SP'!$C:$AN,MID(AB$1,1,2),FALSE)</f>
        <v>0</v>
      </c>
      <c r="AC525" s="55">
        <f>VLOOKUP($E525,'NI-San_SP'!$C:$AN,MID(AC$1,1,2),FALSE)</f>
        <v>0</v>
      </c>
      <c r="AD525" s="55">
        <f>VLOOKUP($E525,'NI-San_SP'!$C:$AN,MID(AD$1,1,2),FALSE)</f>
        <v>1333457</v>
      </c>
      <c r="AE525" s="55">
        <f>VLOOKUP($E525,'NI-San_SP'!$C:$AN,MID(AE$1,1,2),FALSE)</f>
        <v>0</v>
      </c>
      <c r="AF525" s="55">
        <f>VLOOKUP($E525,'NI-San_SP'!$C:$AN,MID(AF$1,1,2),FALSE)</f>
        <v>0</v>
      </c>
      <c r="AG525" s="55">
        <f>VLOOKUP($E525,'NI-San_SP'!$C:$AN,MID(AG$1,1,2),FALSE)</f>
        <v>0</v>
      </c>
      <c r="AH525" s="55">
        <f>VLOOKUP($E525,'NI-San_SP'!$C:$AN,MID(AH$1,1,2),FALSE)</f>
        <v>0</v>
      </c>
      <c r="AI525" s="55">
        <f>VLOOKUP($E525,'NI-San_SP'!$C:$AN,MID(AI$1,1,2),FALSE)</f>
        <v>0</v>
      </c>
      <c r="AJ525" s="55">
        <f>VLOOKUP($E525,'NI-San_SP'!$C:$AN,MID(AJ$1,1,2),FALSE)</f>
        <v>0</v>
      </c>
      <c r="AK525" s="55">
        <f>VLOOKUP($E525,'NI-San_SP'!$C:$AN,MID(AK$1,1,2),FALSE)</f>
        <v>0</v>
      </c>
      <c r="AL525" s="55">
        <f>VLOOKUP($E525,'NI-San_SP'!$C:$AN,MID(AL$1,1,2),FALSE)</f>
        <v>0</v>
      </c>
      <c r="AM525" s="56">
        <f>VLOOKUP($E525,'NI-San_SP'!$C:$AN,MID(AM$1,1,2),FALSE)</f>
        <v>0</v>
      </c>
      <c r="AN525" s="30" t="str">
        <f t="shared" si="8"/>
        <v>50104020000000</v>
      </c>
    </row>
    <row r="526" spans="3:40" x14ac:dyDescent="0.25">
      <c r="C526" s="40"/>
      <c r="D526" s="57" t="s">
        <v>1984</v>
      </c>
      <c r="E526" s="57" t="s">
        <v>1985</v>
      </c>
      <c r="F526" s="58" t="s">
        <v>110</v>
      </c>
      <c r="G526" s="52"/>
      <c r="H526" s="52"/>
      <c r="I526" s="52" t="s">
        <v>1986</v>
      </c>
      <c r="J526" s="52" t="s">
        <v>1986</v>
      </c>
      <c r="K526" s="59" t="s">
        <v>79</v>
      </c>
      <c r="L526" s="52"/>
      <c r="M526" s="52"/>
      <c r="N526" s="52"/>
      <c r="O526" s="52"/>
      <c r="P526" s="76" t="s">
        <v>1987</v>
      </c>
      <c r="Q526" s="55">
        <f>VLOOKUP(E526,'NI-San_SP'!$C:$AN,12,FALSE)</f>
        <v>0</v>
      </c>
      <c r="R526" s="55">
        <f>VLOOKUP(E526,'NI-San_SP'!$C:$AN,13,FALSE)</f>
        <v>0</v>
      </c>
      <c r="S526" s="55"/>
      <c r="T526" s="55"/>
      <c r="U526" s="55">
        <f>VLOOKUP($E526,'NI-San_SP'!$C:$AN,MID(U$1,1,2),FALSE)</f>
        <v>0</v>
      </c>
      <c r="V526" s="55">
        <f>VLOOKUP($E526,'NI-San_SP'!$C:$AN,MID(V$1,1,2),FALSE)</f>
        <v>0</v>
      </c>
      <c r="W526" s="55">
        <f>VLOOKUP($E526,'NI-San_SP'!$C:$AN,MID(W$1,1,2),FALSE)</f>
        <v>0</v>
      </c>
      <c r="X526" s="55">
        <f>VLOOKUP($E526,'NI-San_SP'!$C:$AN,MID(X$1,1,2),FALSE)</f>
        <v>0</v>
      </c>
      <c r="Y526" s="55">
        <f>VLOOKUP($E526,'NI-San_SP'!$C:$AN,MID(Y$1,1,2),FALSE)</f>
        <v>0</v>
      </c>
      <c r="Z526" s="55">
        <f>VLOOKUP($E526,'NI-San_SP'!$C:$AN,MID(Z$1,1,2),FALSE)</f>
        <v>0</v>
      </c>
      <c r="AA526" s="55">
        <f>VLOOKUP($E526,'NI-San_SP'!$C:$AN,MID(AA$1,1,2),FALSE)</f>
        <v>0</v>
      </c>
      <c r="AB526" s="55">
        <f>VLOOKUP($E526,'NI-San_SP'!$C:$AN,MID(AB$1,1,2),FALSE)</f>
        <v>0</v>
      </c>
      <c r="AC526" s="55">
        <f>VLOOKUP($E526,'NI-San_SP'!$C:$AN,MID(AC$1,1,2),FALSE)</f>
        <v>0</v>
      </c>
      <c r="AD526" s="55">
        <f>VLOOKUP($E526,'NI-San_SP'!$C:$AN,MID(AD$1,1,2),FALSE)</f>
        <v>0</v>
      </c>
      <c r="AE526" s="55">
        <f>VLOOKUP($E526,'NI-San_SP'!$C:$AN,MID(AE$1,1,2),FALSE)</f>
        <v>0</v>
      </c>
      <c r="AF526" s="55">
        <f>VLOOKUP($E526,'NI-San_SP'!$C:$AN,MID(AF$1,1,2),FALSE)</f>
        <v>0</v>
      </c>
      <c r="AG526" s="55">
        <f>VLOOKUP($E526,'NI-San_SP'!$C:$AN,MID(AG$1,1,2),FALSE)</f>
        <v>0</v>
      </c>
      <c r="AH526" s="55">
        <f>VLOOKUP($E526,'NI-San_SP'!$C:$AN,MID(AH$1,1,2),FALSE)</f>
        <v>0</v>
      </c>
      <c r="AI526" s="55">
        <f>VLOOKUP($E526,'NI-San_SP'!$C:$AN,MID(AI$1,1,2),FALSE)</f>
        <v>0</v>
      </c>
      <c r="AJ526" s="55">
        <f>VLOOKUP($E526,'NI-San_SP'!$C:$AN,MID(AJ$1,1,2),FALSE)</f>
        <v>0</v>
      </c>
      <c r="AK526" s="55">
        <f>VLOOKUP($E526,'NI-San_SP'!$C:$AN,MID(AK$1,1,2),FALSE)</f>
        <v>0</v>
      </c>
      <c r="AL526" s="55">
        <f>VLOOKUP($E526,'NI-San_SP'!$C:$AN,MID(AL$1,1,2),FALSE)</f>
        <v>0</v>
      </c>
      <c r="AM526" s="56">
        <f>VLOOKUP($E526,'NI-San_SP'!$C:$AN,MID(AM$1,1,2),FALSE)</f>
        <v>0</v>
      </c>
      <c r="AN526" s="30" t="str">
        <f t="shared" si="8"/>
        <v>50104030000000</v>
      </c>
    </row>
    <row r="527" spans="3:40" x14ac:dyDescent="0.25">
      <c r="C527" s="40"/>
      <c r="D527" s="57" t="s">
        <v>1988</v>
      </c>
      <c r="E527" s="57" t="s">
        <v>1989</v>
      </c>
      <c r="F527" s="58" t="s">
        <v>110</v>
      </c>
      <c r="G527" s="52"/>
      <c r="H527" s="52"/>
      <c r="I527" s="52" t="s">
        <v>1990</v>
      </c>
      <c r="J527" s="52" t="s">
        <v>1990</v>
      </c>
      <c r="K527" s="59" t="s">
        <v>79</v>
      </c>
      <c r="L527" s="52"/>
      <c r="M527" s="52"/>
      <c r="N527" s="52"/>
      <c r="O527" s="52"/>
      <c r="P527" s="76" t="s">
        <v>1991</v>
      </c>
      <c r="Q527" s="55">
        <f>VLOOKUP(E527,'NI-San_SP'!$C:$AN,12,FALSE)</f>
        <v>0</v>
      </c>
      <c r="R527" s="55">
        <f>VLOOKUP(E527,'NI-San_SP'!$C:$AN,13,FALSE)</f>
        <v>0</v>
      </c>
      <c r="S527" s="55"/>
      <c r="T527" s="55"/>
      <c r="U527" s="55">
        <f>VLOOKUP($E527,'NI-San_SP'!$C:$AN,MID(U$1,1,2),FALSE)</f>
        <v>0</v>
      </c>
      <c r="V527" s="55">
        <f>VLOOKUP($E527,'NI-San_SP'!$C:$AN,MID(V$1,1,2),FALSE)</f>
        <v>0</v>
      </c>
      <c r="W527" s="55">
        <f>VLOOKUP($E527,'NI-San_SP'!$C:$AN,MID(W$1,1,2),FALSE)</f>
        <v>0</v>
      </c>
      <c r="X527" s="55">
        <f>VLOOKUP($E527,'NI-San_SP'!$C:$AN,MID(X$1,1,2),FALSE)</f>
        <v>0</v>
      </c>
      <c r="Y527" s="55">
        <f>VLOOKUP($E527,'NI-San_SP'!$C:$AN,MID(Y$1,1,2),FALSE)</f>
        <v>0</v>
      </c>
      <c r="Z527" s="55">
        <f>VLOOKUP($E527,'NI-San_SP'!$C:$AN,MID(Z$1,1,2),FALSE)</f>
        <v>0</v>
      </c>
      <c r="AA527" s="55">
        <f>VLOOKUP($E527,'NI-San_SP'!$C:$AN,MID(AA$1,1,2),FALSE)</f>
        <v>0</v>
      </c>
      <c r="AB527" s="55">
        <f>VLOOKUP($E527,'NI-San_SP'!$C:$AN,MID(AB$1,1,2),FALSE)</f>
        <v>0</v>
      </c>
      <c r="AC527" s="55">
        <f>VLOOKUP($E527,'NI-San_SP'!$C:$AN,MID(AC$1,1,2),FALSE)</f>
        <v>0</v>
      </c>
      <c r="AD527" s="55">
        <f>VLOOKUP($E527,'NI-San_SP'!$C:$AN,MID(AD$1,1,2),FALSE)</f>
        <v>0</v>
      </c>
      <c r="AE527" s="55">
        <f>VLOOKUP($E527,'NI-San_SP'!$C:$AN,MID(AE$1,1,2),FALSE)</f>
        <v>0</v>
      </c>
      <c r="AF527" s="55">
        <f>VLOOKUP($E527,'NI-San_SP'!$C:$AN,MID(AF$1,1,2),FALSE)</f>
        <v>0</v>
      </c>
      <c r="AG527" s="55">
        <f>VLOOKUP($E527,'NI-San_SP'!$C:$AN,MID(AG$1,1,2),FALSE)</f>
        <v>0</v>
      </c>
      <c r="AH527" s="55">
        <f>VLOOKUP($E527,'NI-San_SP'!$C:$AN,MID(AH$1,1,2),FALSE)</f>
        <v>0</v>
      </c>
      <c r="AI527" s="55">
        <f>VLOOKUP($E527,'NI-San_SP'!$C:$AN,MID(AI$1,1,2),FALSE)</f>
        <v>0</v>
      </c>
      <c r="AJ527" s="55">
        <f>VLOOKUP($E527,'NI-San_SP'!$C:$AN,MID(AJ$1,1,2),FALSE)</f>
        <v>0</v>
      </c>
      <c r="AK527" s="55">
        <f>VLOOKUP($E527,'NI-San_SP'!$C:$AN,MID(AK$1,1,2),FALSE)</f>
        <v>0</v>
      </c>
      <c r="AL527" s="55">
        <f>VLOOKUP($E527,'NI-San_SP'!$C:$AN,MID(AL$1,1,2),FALSE)</f>
        <v>0</v>
      </c>
      <c r="AM527" s="56">
        <f>VLOOKUP($E527,'NI-San_SP'!$C:$AN,MID(AM$1,1,2),FALSE)</f>
        <v>0</v>
      </c>
      <c r="AN527" s="30" t="str">
        <f t="shared" si="8"/>
        <v>50104040000000</v>
      </c>
    </row>
    <row r="528" spans="3:40" x14ac:dyDescent="0.25">
      <c r="C528" s="40"/>
      <c r="D528" s="57" t="s">
        <v>1992</v>
      </c>
      <c r="E528" s="57" t="s">
        <v>1993</v>
      </c>
      <c r="F528" s="58" t="s">
        <v>110</v>
      </c>
      <c r="G528" s="52"/>
      <c r="H528" s="52"/>
      <c r="I528" s="52" t="s">
        <v>1994</v>
      </c>
      <c r="J528" s="52" t="s">
        <v>1994</v>
      </c>
      <c r="K528" s="59" t="s">
        <v>79</v>
      </c>
      <c r="L528" s="52"/>
      <c r="M528" s="52"/>
      <c r="N528" s="52"/>
      <c r="O528" s="52"/>
      <c r="P528" s="76" t="s">
        <v>1995</v>
      </c>
      <c r="Q528" s="55">
        <f>VLOOKUP(E528,'NI-San_SP'!$C:$AN,12,FALSE)</f>
        <v>5975</v>
      </c>
      <c r="R528" s="55">
        <f>VLOOKUP(E528,'NI-San_SP'!$C:$AN,13,FALSE)</f>
        <v>1918</v>
      </c>
      <c r="S528" s="55"/>
      <c r="T528" s="55"/>
      <c r="U528" s="55">
        <f>VLOOKUP($E528,'NI-San_SP'!$C:$AN,MID(U$1,1,2),FALSE)</f>
        <v>0</v>
      </c>
      <c r="V528" s="55">
        <f>VLOOKUP($E528,'NI-San_SP'!$C:$AN,MID(V$1,1,2),FALSE)</f>
        <v>5975</v>
      </c>
      <c r="W528" s="55">
        <f>VLOOKUP($E528,'NI-San_SP'!$C:$AN,MID(W$1,1,2),FALSE)</f>
        <v>0</v>
      </c>
      <c r="X528" s="55">
        <f>VLOOKUP($E528,'NI-San_SP'!$C:$AN,MID(X$1,1,2),FALSE)</f>
        <v>0</v>
      </c>
      <c r="Y528" s="55">
        <f>VLOOKUP($E528,'NI-San_SP'!$C:$AN,MID(Y$1,1,2),FALSE)</f>
        <v>0</v>
      </c>
      <c r="Z528" s="55">
        <f>VLOOKUP($E528,'NI-San_SP'!$C:$AN,MID(Z$1,1,2),FALSE)</f>
        <v>4057</v>
      </c>
      <c r="AA528" s="55">
        <f>VLOOKUP($E528,'NI-San_SP'!$C:$AN,MID(AA$1,1,2),FALSE)</f>
        <v>0</v>
      </c>
      <c r="AB528" s="55">
        <f>VLOOKUP($E528,'NI-San_SP'!$C:$AN,MID(AB$1,1,2),FALSE)</f>
        <v>0</v>
      </c>
      <c r="AC528" s="55">
        <f>VLOOKUP($E528,'NI-San_SP'!$C:$AN,MID(AC$1,1,2),FALSE)</f>
        <v>-4057</v>
      </c>
      <c r="AD528" s="55">
        <f>VLOOKUP($E528,'NI-San_SP'!$C:$AN,MID(AD$1,1,2),FALSE)</f>
        <v>1918</v>
      </c>
      <c r="AE528" s="55">
        <f>VLOOKUP($E528,'NI-San_SP'!$C:$AN,MID(AE$1,1,2),FALSE)</f>
        <v>0</v>
      </c>
      <c r="AF528" s="55">
        <f>VLOOKUP($E528,'NI-San_SP'!$C:$AN,MID(AF$1,1,2),FALSE)</f>
        <v>0</v>
      </c>
      <c r="AG528" s="55">
        <f>VLOOKUP($E528,'NI-San_SP'!$C:$AN,MID(AG$1,1,2),FALSE)</f>
        <v>0</v>
      </c>
      <c r="AH528" s="55">
        <f>VLOOKUP($E528,'NI-San_SP'!$C:$AN,MID(AH$1,1,2),FALSE)</f>
        <v>0</v>
      </c>
      <c r="AI528" s="55">
        <f>VLOOKUP($E528,'NI-San_SP'!$C:$AN,MID(AI$1,1,2),FALSE)</f>
        <v>0</v>
      </c>
      <c r="AJ528" s="55">
        <f>VLOOKUP($E528,'NI-San_SP'!$C:$AN,MID(AJ$1,1,2),FALSE)</f>
        <v>0</v>
      </c>
      <c r="AK528" s="55">
        <f>VLOOKUP($E528,'NI-San_SP'!$C:$AN,MID(AK$1,1,2),FALSE)</f>
        <v>0</v>
      </c>
      <c r="AL528" s="55">
        <f>VLOOKUP($E528,'NI-San_SP'!$C:$AN,MID(AL$1,1,2),FALSE)</f>
        <v>0</v>
      </c>
      <c r="AM528" s="56">
        <f>VLOOKUP($E528,'NI-San_SP'!$C:$AN,MID(AM$1,1,2),FALSE)</f>
        <v>0</v>
      </c>
      <c r="AN528" s="30" t="str">
        <f t="shared" si="8"/>
        <v>50104050000000</v>
      </c>
    </row>
    <row r="529" spans="1:40" x14ac:dyDescent="0.25">
      <c r="C529" s="40"/>
      <c r="D529" s="57" t="s">
        <v>1996</v>
      </c>
      <c r="E529" s="57" t="s">
        <v>1997</v>
      </c>
      <c r="F529" s="58" t="s">
        <v>110</v>
      </c>
      <c r="G529" s="52"/>
      <c r="H529" s="52"/>
      <c r="I529" s="52"/>
      <c r="J529" s="52"/>
      <c r="K529" s="59" t="s">
        <v>111</v>
      </c>
      <c r="L529" s="62" t="s">
        <v>1998</v>
      </c>
      <c r="M529" s="52"/>
      <c r="N529" s="52"/>
      <c r="O529" s="61" t="s">
        <v>1999</v>
      </c>
      <c r="P529" s="76" t="s">
        <v>2000</v>
      </c>
      <c r="Q529" s="55">
        <f>VLOOKUP(E529,'NI-San_SP'!$C:$AN,12,FALSE)</f>
        <v>0</v>
      </c>
      <c r="R529" s="55">
        <f>VLOOKUP(E529,'NI-San_SP'!$C:$AN,13,FALSE)</f>
        <v>0</v>
      </c>
      <c r="S529" s="55"/>
      <c r="T529" s="55"/>
      <c r="U529" s="55">
        <f>VLOOKUP($E529,'NI-San_SP'!$C:$AN,MID(U$1,1,2),FALSE)</f>
        <v>0</v>
      </c>
      <c r="V529" s="55">
        <f>VLOOKUP($E529,'NI-San_SP'!$C:$AN,MID(V$1,1,2),FALSE)</f>
        <v>0</v>
      </c>
      <c r="W529" s="55">
        <f>VLOOKUP($E529,'NI-San_SP'!$C:$AN,MID(W$1,1,2),FALSE)</f>
        <v>0</v>
      </c>
      <c r="X529" s="55">
        <f>VLOOKUP($E529,'NI-San_SP'!$C:$AN,MID(X$1,1,2),FALSE)</f>
        <v>0</v>
      </c>
      <c r="Y529" s="55">
        <f>VLOOKUP($E529,'NI-San_SP'!$C:$AN,MID(Y$1,1,2),FALSE)</f>
        <v>0</v>
      </c>
      <c r="Z529" s="55">
        <f>VLOOKUP($E529,'NI-San_SP'!$C:$AN,MID(Z$1,1,2),FALSE)</f>
        <v>0</v>
      </c>
      <c r="AA529" s="55">
        <f>VLOOKUP($E529,'NI-San_SP'!$C:$AN,MID(AA$1,1,2),FALSE)</f>
        <v>0</v>
      </c>
      <c r="AB529" s="55">
        <f>VLOOKUP($E529,'NI-San_SP'!$C:$AN,MID(AB$1,1,2),FALSE)</f>
        <v>0</v>
      </c>
      <c r="AC529" s="55">
        <f>VLOOKUP($E529,'NI-San_SP'!$C:$AN,MID(AC$1,1,2),FALSE)</f>
        <v>0</v>
      </c>
      <c r="AD529" s="55">
        <f>VLOOKUP($E529,'NI-San_SP'!$C:$AN,MID(AD$1,1,2),FALSE)</f>
        <v>0</v>
      </c>
      <c r="AE529" s="55">
        <f>VLOOKUP($E529,'NI-San_SP'!$C:$AN,MID(AE$1,1,2),FALSE)</f>
        <v>0</v>
      </c>
      <c r="AF529" s="55">
        <f>VLOOKUP($E529,'NI-San_SP'!$C:$AN,MID(AF$1,1,2),FALSE)</f>
        <v>0</v>
      </c>
      <c r="AG529" s="55">
        <f>VLOOKUP($E529,'NI-San_SP'!$C:$AN,MID(AG$1,1,2),FALSE)</f>
        <v>0</v>
      </c>
      <c r="AH529" s="55">
        <f>VLOOKUP($E529,'NI-San_SP'!$C:$AN,MID(AH$1,1,2),FALSE)</f>
        <v>0</v>
      </c>
      <c r="AI529" s="55">
        <f>VLOOKUP($E529,'NI-San_SP'!$C:$AN,MID(AI$1,1,2),FALSE)</f>
        <v>0</v>
      </c>
      <c r="AJ529" s="55">
        <f>VLOOKUP($E529,'NI-San_SP'!$C:$AN,MID(AJ$1,1,2),FALSE)</f>
        <v>0</v>
      </c>
      <c r="AK529" s="55">
        <f>VLOOKUP($E529,'NI-San_SP'!$C:$AN,MID(AK$1,1,2),FALSE)</f>
        <v>0</v>
      </c>
      <c r="AL529" s="55">
        <f>VLOOKUP($E529,'NI-San_SP'!$C:$AN,MID(AL$1,1,2),FALSE)</f>
        <v>0</v>
      </c>
      <c r="AM529" s="56">
        <f>VLOOKUP($E529,'NI-San_SP'!$C:$AN,MID(AM$1,1,2),FALSE)</f>
        <v>0</v>
      </c>
      <c r="AN529" s="30" t="str">
        <f t="shared" si="8"/>
        <v>50105000000000</v>
      </c>
    </row>
    <row r="530" spans="1:40" x14ac:dyDescent="0.25">
      <c r="C530" s="40"/>
      <c r="D530" s="57" t="s">
        <v>2001</v>
      </c>
      <c r="E530" s="57" t="s">
        <v>2002</v>
      </c>
      <c r="F530" s="58" t="s">
        <v>110</v>
      </c>
      <c r="G530" s="52"/>
      <c r="H530" s="52"/>
      <c r="I530" s="52" t="s">
        <v>2003</v>
      </c>
      <c r="J530" s="52" t="s">
        <v>2003</v>
      </c>
      <c r="K530" s="59" t="s">
        <v>79</v>
      </c>
      <c r="L530" s="65"/>
      <c r="M530" s="52"/>
      <c r="N530" s="52"/>
      <c r="O530" s="52"/>
      <c r="P530" s="76" t="s">
        <v>2004</v>
      </c>
      <c r="Q530" s="55">
        <f>VLOOKUP(E530,'NI-San_SP'!$C:$AN,12,FALSE)</f>
        <v>0</v>
      </c>
      <c r="R530" s="55">
        <f>VLOOKUP(E530,'NI-San_SP'!$C:$AN,13,FALSE)</f>
        <v>0</v>
      </c>
      <c r="S530" s="55"/>
      <c r="T530" s="55"/>
      <c r="U530" s="55">
        <f>VLOOKUP($E530,'NI-San_SP'!$C:$AN,MID(U$1,1,2),FALSE)</f>
        <v>0</v>
      </c>
      <c r="V530" s="55">
        <f>VLOOKUP($E530,'NI-San_SP'!$C:$AN,MID(V$1,1,2),FALSE)</f>
        <v>0</v>
      </c>
      <c r="W530" s="55">
        <f>VLOOKUP($E530,'NI-San_SP'!$C:$AN,MID(W$1,1,2),FALSE)</f>
        <v>0</v>
      </c>
      <c r="X530" s="55">
        <f>VLOOKUP($E530,'NI-San_SP'!$C:$AN,MID(X$1,1,2),FALSE)</f>
        <v>0</v>
      </c>
      <c r="Y530" s="55">
        <f>VLOOKUP($E530,'NI-San_SP'!$C:$AN,MID(Y$1,1,2),FALSE)</f>
        <v>0</v>
      </c>
      <c r="Z530" s="55">
        <f>VLOOKUP($E530,'NI-San_SP'!$C:$AN,MID(Z$1,1,2),FALSE)</f>
        <v>0</v>
      </c>
      <c r="AA530" s="55">
        <f>VLOOKUP($E530,'NI-San_SP'!$C:$AN,MID(AA$1,1,2),FALSE)</f>
        <v>0</v>
      </c>
      <c r="AB530" s="55">
        <f>VLOOKUP($E530,'NI-San_SP'!$C:$AN,MID(AB$1,1,2),FALSE)</f>
        <v>0</v>
      </c>
      <c r="AC530" s="55">
        <f>VLOOKUP($E530,'NI-San_SP'!$C:$AN,MID(AC$1,1,2),FALSE)</f>
        <v>0</v>
      </c>
      <c r="AD530" s="55">
        <f>VLOOKUP($E530,'NI-San_SP'!$C:$AN,MID(AD$1,1,2),FALSE)</f>
        <v>0</v>
      </c>
      <c r="AE530" s="55">
        <f>VLOOKUP($E530,'NI-San_SP'!$C:$AN,MID(AE$1,1,2),FALSE)</f>
        <v>0</v>
      </c>
      <c r="AF530" s="55">
        <f>VLOOKUP($E530,'NI-San_SP'!$C:$AN,MID(AF$1,1,2),FALSE)</f>
        <v>0</v>
      </c>
      <c r="AG530" s="55">
        <f>VLOOKUP($E530,'NI-San_SP'!$C:$AN,MID(AG$1,1,2),FALSE)</f>
        <v>0</v>
      </c>
      <c r="AH530" s="55">
        <f>VLOOKUP($E530,'NI-San_SP'!$C:$AN,MID(AH$1,1,2),FALSE)</f>
        <v>0</v>
      </c>
      <c r="AI530" s="55">
        <f>VLOOKUP($E530,'NI-San_SP'!$C:$AN,MID(AI$1,1,2),FALSE)</f>
        <v>0</v>
      </c>
      <c r="AJ530" s="55">
        <f>VLOOKUP($E530,'NI-San_SP'!$C:$AN,MID(AJ$1,1,2),FALSE)</f>
        <v>0</v>
      </c>
      <c r="AK530" s="55">
        <f>VLOOKUP($E530,'NI-San_SP'!$C:$AN,MID(AK$1,1,2),FALSE)</f>
        <v>0</v>
      </c>
      <c r="AL530" s="55">
        <f>VLOOKUP($E530,'NI-San_SP'!$C:$AN,MID(AL$1,1,2),FALSE)</f>
        <v>0</v>
      </c>
      <c r="AM530" s="56">
        <f>VLOOKUP($E530,'NI-San_SP'!$C:$AN,MID(AM$1,1,2),FALSE)</f>
        <v>0</v>
      </c>
      <c r="AN530" s="30" t="str">
        <f t="shared" si="8"/>
        <v>50105010000000</v>
      </c>
    </row>
    <row r="531" spans="1:40" x14ac:dyDescent="0.25">
      <c r="C531" s="40"/>
      <c r="D531" s="57" t="s">
        <v>2005</v>
      </c>
      <c r="E531" s="57" t="s">
        <v>2006</v>
      </c>
      <c r="F531" s="58" t="s">
        <v>110</v>
      </c>
      <c r="G531" s="52"/>
      <c r="H531" s="52"/>
      <c r="I531" s="52" t="s">
        <v>2007</v>
      </c>
      <c r="J531" s="52" t="s">
        <v>2007</v>
      </c>
      <c r="K531" s="59" t="s">
        <v>79</v>
      </c>
      <c r="L531" s="52"/>
      <c r="M531" s="52"/>
      <c r="N531" s="52"/>
      <c r="O531" s="52"/>
      <c r="P531" s="76" t="s">
        <v>2008</v>
      </c>
      <c r="Q531" s="55">
        <f>VLOOKUP(E531,'NI-San_SP'!$C:$AN,12,FALSE)</f>
        <v>0</v>
      </c>
      <c r="R531" s="55">
        <f>VLOOKUP(E531,'NI-San_SP'!$C:$AN,13,FALSE)</f>
        <v>0</v>
      </c>
      <c r="S531" s="55"/>
      <c r="T531" s="55"/>
      <c r="U531" s="55">
        <f>VLOOKUP($E531,'NI-San_SP'!$C:$AN,MID(U$1,1,2),FALSE)</f>
        <v>0</v>
      </c>
      <c r="V531" s="55">
        <f>VLOOKUP($E531,'NI-San_SP'!$C:$AN,MID(V$1,1,2),FALSE)</f>
        <v>0</v>
      </c>
      <c r="W531" s="55">
        <f>VLOOKUP($E531,'NI-San_SP'!$C:$AN,MID(W$1,1,2),FALSE)</f>
        <v>0</v>
      </c>
      <c r="X531" s="55">
        <f>VLOOKUP($E531,'NI-San_SP'!$C:$AN,MID(X$1,1,2),FALSE)</f>
        <v>0</v>
      </c>
      <c r="Y531" s="55">
        <f>VLOOKUP($E531,'NI-San_SP'!$C:$AN,MID(Y$1,1,2),FALSE)</f>
        <v>0</v>
      </c>
      <c r="Z531" s="55">
        <f>VLOOKUP($E531,'NI-San_SP'!$C:$AN,MID(Z$1,1,2),FALSE)</f>
        <v>0</v>
      </c>
      <c r="AA531" s="55">
        <f>VLOOKUP($E531,'NI-San_SP'!$C:$AN,MID(AA$1,1,2),FALSE)</f>
        <v>0</v>
      </c>
      <c r="AB531" s="55">
        <f>VLOOKUP($E531,'NI-San_SP'!$C:$AN,MID(AB$1,1,2),FALSE)</f>
        <v>0</v>
      </c>
      <c r="AC531" s="55">
        <f>VLOOKUP($E531,'NI-San_SP'!$C:$AN,MID(AC$1,1,2),FALSE)</f>
        <v>0</v>
      </c>
      <c r="AD531" s="55">
        <f>VLOOKUP($E531,'NI-San_SP'!$C:$AN,MID(AD$1,1,2),FALSE)</f>
        <v>0</v>
      </c>
      <c r="AE531" s="55">
        <f>VLOOKUP($E531,'NI-San_SP'!$C:$AN,MID(AE$1,1,2),FALSE)</f>
        <v>0</v>
      </c>
      <c r="AF531" s="55">
        <f>VLOOKUP($E531,'NI-San_SP'!$C:$AN,MID(AF$1,1,2),FALSE)</f>
        <v>0</v>
      </c>
      <c r="AG531" s="55">
        <f>VLOOKUP($E531,'NI-San_SP'!$C:$AN,MID(AG$1,1,2),FALSE)</f>
        <v>0</v>
      </c>
      <c r="AH531" s="55">
        <f>VLOOKUP($E531,'NI-San_SP'!$C:$AN,MID(AH$1,1,2),FALSE)</f>
        <v>0</v>
      </c>
      <c r="AI531" s="55">
        <f>VLOOKUP($E531,'NI-San_SP'!$C:$AN,MID(AI$1,1,2),FALSE)</f>
        <v>0</v>
      </c>
      <c r="AJ531" s="55">
        <f>VLOOKUP($E531,'NI-San_SP'!$C:$AN,MID(AJ$1,1,2),FALSE)</f>
        <v>0</v>
      </c>
      <c r="AK531" s="55">
        <f>VLOOKUP($E531,'NI-San_SP'!$C:$AN,MID(AK$1,1,2),FALSE)</f>
        <v>0</v>
      </c>
      <c r="AL531" s="55">
        <f>VLOOKUP($E531,'NI-San_SP'!$C:$AN,MID(AL$1,1,2),FALSE)</f>
        <v>0</v>
      </c>
      <c r="AM531" s="56">
        <f>VLOOKUP($E531,'NI-San_SP'!$C:$AN,MID(AM$1,1,2),FALSE)</f>
        <v>0</v>
      </c>
      <c r="AN531" s="30" t="str">
        <f t="shared" si="8"/>
        <v>50105020000000</v>
      </c>
    </row>
    <row r="532" spans="1:40" x14ac:dyDescent="0.25">
      <c r="C532" s="40"/>
      <c r="D532" s="57" t="s">
        <v>2009</v>
      </c>
      <c r="E532" s="57" t="s">
        <v>2010</v>
      </c>
      <c r="F532" s="58" t="s">
        <v>110</v>
      </c>
      <c r="G532" s="52"/>
      <c r="H532" s="52"/>
      <c r="I532" s="52" t="s">
        <v>2011</v>
      </c>
      <c r="J532" s="52" t="s">
        <v>2011</v>
      </c>
      <c r="K532" s="59" t="s">
        <v>79</v>
      </c>
      <c r="L532" s="52"/>
      <c r="M532" s="52"/>
      <c r="N532" s="52"/>
      <c r="O532" s="52"/>
      <c r="P532" s="76" t="s">
        <v>2012</v>
      </c>
      <c r="Q532" s="55">
        <f>VLOOKUP(E532,'NI-San_SP'!$C:$AN,12,FALSE)</f>
        <v>0</v>
      </c>
      <c r="R532" s="55">
        <f>VLOOKUP(E532,'NI-San_SP'!$C:$AN,13,FALSE)</f>
        <v>0</v>
      </c>
      <c r="S532" s="55"/>
      <c r="T532" s="55"/>
      <c r="U532" s="55">
        <f>VLOOKUP($E532,'NI-San_SP'!$C:$AN,MID(U$1,1,2),FALSE)</f>
        <v>0</v>
      </c>
      <c r="V532" s="55">
        <f>VLOOKUP($E532,'NI-San_SP'!$C:$AN,MID(V$1,1,2),FALSE)</f>
        <v>0</v>
      </c>
      <c r="W532" s="55">
        <f>VLOOKUP($E532,'NI-San_SP'!$C:$AN,MID(W$1,1,2),FALSE)</f>
        <v>0</v>
      </c>
      <c r="X532" s="55">
        <f>VLOOKUP($E532,'NI-San_SP'!$C:$AN,MID(X$1,1,2),FALSE)</f>
        <v>0</v>
      </c>
      <c r="Y532" s="55">
        <f>VLOOKUP($E532,'NI-San_SP'!$C:$AN,MID(Y$1,1,2),FALSE)</f>
        <v>0</v>
      </c>
      <c r="Z532" s="55">
        <f>VLOOKUP($E532,'NI-San_SP'!$C:$AN,MID(Z$1,1,2),FALSE)</f>
        <v>0</v>
      </c>
      <c r="AA532" s="55">
        <f>VLOOKUP($E532,'NI-San_SP'!$C:$AN,MID(AA$1,1,2),FALSE)</f>
        <v>0</v>
      </c>
      <c r="AB532" s="55">
        <f>VLOOKUP($E532,'NI-San_SP'!$C:$AN,MID(AB$1,1,2),FALSE)</f>
        <v>0</v>
      </c>
      <c r="AC532" s="55">
        <f>VLOOKUP($E532,'NI-San_SP'!$C:$AN,MID(AC$1,1,2),FALSE)</f>
        <v>0</v>
      </c>
      <c r="AD532" s="55">
        <f>VLOOKUP($E532,'NI-San_SP'!$C:$AN,MID(AD$1,1,2),FALSE)</f>
        <v>0</v>
      </c>
      <c r="AE532" s="55">
        <f>VLOOKUP($E532,'NI-San_SP'!$C:$AN,MID(AE$1,1,2),FALSE)</f>
        <v>0</v>
      </c>
      <c r="AF532" s="55">
        <f>VLOOKUP($E532,'NI-San_SP'!$C:$AN,MID(AF$1,1,2),FALSE)</f>
        <v>0</v>
      </c>
      <c r="AG532" s="55">
        <f>VLOOKUP($E532,'NI-San_SP'!$C:$AN,MID(AG$1,1,2),FALSE)</f>
        <v>0</v>
      </c>
      <c r="AH532" s="55">
        <f>VLOOKUP($E532,'NI-San_SP'!$C:$AN,MID(AH$1,1,2),FALSE)</f>
        <v>0</v>
      </c>
      <c r="AI532" s="55">
        <f>VLOOKUP($E532,'NI-San_SP'!$C:$AN,MID(AI$1,1,2),FALSE)</f>
        <v>0</v>
      </c>
      <c r="AJ532" s="55">
        <f>VLOOKUP($E532,'NI-San_SP'!$C:$AN,MID(AJ$1,1,2),FALSE)</f>
        <v>0</v>
      </c>
      <c r="AK532" s="55">
        <f>VLOOKUP($E532,'NI-San_SP'!$C:$AN,MID(AK$1,1,2),FALSE)</f>
        <v>0</v>
      </c>
      <c r="AL532" s="55">
        <f>VLOOKUP($E532,'NI-San_SP'!$C:$AN,MID(AL$1,1,2),FALSE)</f>
        <v>0</v>
      </c>
      <c r="AM532" s="56">
        <f>VLOOKUP($E532,'NI-San_SP'!$C:$AN,MID(AM$1,1,2),FALSE)</f>
        <v>0</v>
      </c>
      <c r="AN532" s="30" t="str">
        <f t="shared" si="8"/>
        <v>50105030000000</v>
      </c>
    </row>
    <row r="533" spans="1:40" x14ac:dyDescent="0.25">
      <c r="C533" s="40"/>
      <c r="D533" s="57" t="s">
        <v>2013</v>
      </c>
      <c r="E533" s="57" t="s">
        <v>2014</v>
      </c>
      <c r="F533" s="58" t="s">
        <v>110</v>
      </c>
      <c r="G533" s="52"/>
      <c r="H533" s="52"/>
      <c r="I533" s="52" t="s">
        <v>2015</v>
      </c>
      <c r="J533" s="52" t="s">
        <v>2015</v>
      </c>
      <c r="K533" s="59" t="s">
        <v>79</v>
      </c>
      <c r="L533" s="81" t="s">
        <v>2016</v>
      </c>
      <c r="M533" s="52"/>
      <c r="N533" s="52"/>
      <c r="O533" s="61" t="s">
        <v>2017</v>
      </c>
      <c r="P533" s="76" t="s">
        <v>2018</v>
      </c>
      <c r="Q533" s="55">
        <f>VLOOKUP(E533,'NI-San_SP'!$C:$AN,12,FALSE)</f>
        <v>0</v>
      </c>
      <c r="R533" s="55">
        <f>VLOOKUP(E533,'NI-San_SP'!$C:$AN,13,FALSE)</f>
        <v>0</v>
      </c>
      <c r="S533" s="55"/>
      <c r="T533" s="55"/>
      <c r="U533" s="55">
        <f>VLOOKUP($E533,'NI-San_SP'!$C:$AN,MID(U$1,1,2),FALSE)</f>
        <v>0</v>
      </c>
      <c r="V533" s="55">
        <f>VLOOKUP($E533,'NI-San_SP'!$C:$AN,MID(V$1,1,2),FALSE)</f>
        <v>0</v>
      </c>
      <c r="W533" s="55">
        <f>VLOOKUP($E533,'NI-San_SP'!$C:$AN,MID(W$1,1,2),FALSE)</f>
        <v>0</v>
      </c>
      <c r="X533" s="55">
        <f>VLOOKUP($E533,'NI-San_SP'!$C:$AN,MID(X$1,1,2),FALSE)</f>
        <v>0</v>
      </c>
      <c r="Y533" s="55">
        <f>VLOOKUP($E533,'NI-San_SP'!$C:$AN,MID(Y$1,1,2),FALSE)</f>
        <v>0</v>
      </c>
      <c r="Z533" s="55">
        <f>VLOOKUP($E533,'NI-San_SP'!$C:$AN,MID(Z$1,1,2),FALSE)</f>
        <v>0</v>
      </c>
      <c r="AA533" s="55">
        <f>VLOOKUP($E533,'NI-San_SP'!$C:$AN,MID(AA$1,1,2),FALSE)</f>
        <v>0</v>
      </c>
      <c r="AB533" s="55">
        <f>VLOOKUP($E533,'NI-San_SP'!$C:$AN,MID(AB$1,1,2),FALSE)</f>
        <v>0</v>
      </c>
      <c r="AC533" s="55">
        <f>VLOOKUP($E533,'NI-San_SP'!$C:$AN,MID(AC$1,1,2),FALSE)</f>
        <v>0</v>
      </c>
      <c r="AD533" s="55">
        <f>VLOOKUP($E533,'NI-San_SP'!$C:$AN,MID(AD$1,1,2),FALSE)</f>
        <v>0</v>
      </c>
      <c r="AE533" s="55">
        <f>VLOOKUP($E533,'NI-San_SP'!$C:$AN,MID(AE$1,1,2),FALSE)</f>
        <v>0</v>
      </c>
      <c r="AF533" s="55">
        <f>VLOOKUP($E533,'NI-San_SP'!$C:$AN,MID(AF$1,1,2),FALSE)</f>
        <v>0</v>
      </c>
      <c r="AG533" s="55">
        <f>VLOOKUP($E533,'NI-San_SP'!$C:$AN,MID(AG$1,1,2),FALSE)</f>
        <v>0</v>
      </c>
      <c r="AH533" s="55">
        <f>VLOOKUP($E533,'NI-San_SP'!$C:$AN,MID(AH$1,1,2),FALSE)</f>
        <v>0</v>
      </c>
      <c r="AI533" s="55">
        <f>VLOOKUP($E533,'NI-San_SP'!$C:$AN,MID(AI$1,1,2),FALSE)</f>
        <v>0</v>
      </c>
      <c r="AJ533" s="55">
        <f>VLOOKUP($E533,'NI-San_SP'!$C:$AN,MID(AJ$1,1,2),FALSE)</f>
        <v>0</v>
      </c>
      <c r="AK533" s="55">
        <f>VLOOKUP($E533,'NI-San_SP'!$C:$AN,MID(AK$1,1,2),FALSE)</f>
        <v>0</v>
      </c>
      <c r="AL533" s="55">
        <f>VLOOKUP($E533,'NI-San_SP'!$C:$AN,MID(AL$1,1,2),FALSE)</f>
        <v>0</v>
      </c>
      <c r="AM533" s="56">
        <f>VLOOKUP($E533,'NI-San_SP'!$C:$AN,MID(AM$1,1,2),FALSE)</f>
        <v>0</v>
      </c>
      <c r="AN533" s="30" t="str">
        <f t="shared" si="8"/>
        <v>50106000000000</v>
      </c>
    </row>
    <row r="534" spans="1:40" x14ac:dyDescent="0.25">
      <c r="C534" s="40"/>
      <c r="D534" s="57" t="s">
        <v>2019</v>
      </c>
      <c r="E534" s="57" t="s">
        <v>2020</v>
      </c>
      <c r="F534" s="58" t="s">
        <v>110</v>
      </c>
      <c r="G534" s="52"/>
      <c r="H534" s="52"/>
      <c r="I534" s="52" t="s">
        <v>2021</v>
      </c>
      <c r="J534" s="52" t="s">
        <v>2021</v>
      </c>
      <c r="K534" s="59" t="s">
        <v>79</v>
      </c>
      <c r="L534" s="81" t="s">
        <v>2022</v>
      </c>
      <c r="M534" s="52"/>
      <c r="N534" s="52"/>
      <c r="O534" s="61" t="s">
        <v>2023</v>
      </c>
      <c r="P534" s="76" t="s">
        <v>2024</v>
      </c>
      <c r="Q534" s="55">
        <f>VLOOKUP(E534,'NI-San_SP'!$C:$AN,12,FALSE)</f>
        <v>0</v>
      </c>
      <c r="R534" s="55">
        <f>VLOOKUP(E534,'NI-San_SP'!$C:$AN,13,FALSE)</f>
        <v>0</v>
      </c>
      <c r="S534" s="55"/>
      <c r="T534" s="55"/>
      <c r="U534" s="55">
        <f>VLOOKUP($E534,'NI-San_SP'!$C:$AN,MID(U$1,1,2),FALSE)</f>
        <v>0</v>
      </c>
      <c r="V534" s="55">
        <f>VLOOKUP($E534,'NI-San_SP'!$C:$AN,MID(V$1,1,2),FALSE)</f>
        <v>0</v>
      </c>
      <c r="W534" s="55">
        <f>VLOOKUP($E534,'NI-San_SP'!$C:$AN,MID(W$1,1,2),FALSE)</f>
        <v>0</v>
      </c>
      <c r="X534" s="55">
        <f>VLOOKUP($E534,'NI-San_SP'!$C:$AN,MID(X$1,1,2),FALSE)</f>
        <v>0</v>
      </c>
      <c r="Y534" s="55">
        <f>VLOOKUP($E534,'NI-San_SP'!$C:$AN,MID(Y$1,1,2),FALSE)</f>
        <v>0</v>
      </c>
      <c r="Z534" s="55">
        <f>VLOOKUP($E534,'NI-San_SP'!$C:$AN,MID(Z$1,1,2),FALSE)</f>
        <v>0</v>
      </c>
      <c r="AA534" s="55">
        <f>VLOOKUP($E534,'NI-San_SP'!$C:$AN,MID(AA$1,1,2),FALSE)</f>
        <v>0</v>
      </c>
      <c r="AB534" s="55">
        <f>VLOOKUP($E534,'NI-San_SP'!$C:$AN,MID(AB$1,1,2),FALSE)</f>
        <v>0</v>
      </c>
      <c r="AC534" s="55">
        <f>VLOOKUP($E534,'NI-San_SP'!$C:$AN,MID(AC$1,1,2),FALSE)</f>
        <v>0</v>
      </c>
      <c r="AD534" s="55">
        <f>VLOOKUP($E534,'NI-San_SP'!$C:$AN,MID(AD$1,1,2),FALSE)</f>
        <v>0</v>
      </c>
      <c r="AE534" s="55">
        <f>VLOOKUP($E534,'NI-San_SP'!$C:$AN,MID(AE$1,1,2),FALSE)</f>
        <v>0</v>
      </c>
      <c r="AF534" s="55">
        <f>VLOOKUP($E534,'NI-San_SP'!$C:$AN,MID(AF$1,1,2),FALSE)</f>
        <v>0</v>
      </c>
      <c r="AG534" s="55">
        <f>VLOOKUP($E534,'NI-San_SP'!$C:$AN,MID(AG$1,1,2),FALSE)</f>
        <v>0</v>
      </c>
      <c r="AH534" s="55">
        <f>VLOOKUP($E534,'NI-San_SP'!$C:$AN,MID(AH$1,1,2),FALSE)</f>
        <v>0</v>
      </c>
      <c r="AI534" s="55">
        <f>VLOOKUP($E534,'NI-San_SP'!$C:$AN,MID(AI$1,1,2),FALSE)</f>
        <v>0</v>
      </c>
      <c r="AJ534" s="55">
        <f>VLOOKUP($E534,'NI-San_SP'!$C:$AN,MID(AJ$1,1,2),FALSE)</f>
        <v>0</v>
      </c>
      <c r="AK534" s="55">
        <f>VLOOKUP($E534,'NI-San_SP'!$C:$AN,MID(AK$1,1,2),FALSE)</f>
        <v>0</v>
      </c>
      <c r="AL534" s="55">
        <f>VLOOKUP($E534,'NI-San_SP'!$C:$AN,MID(AL$1,1,2),FALSE)</f>
        <v>0</v>
      </c>
      <c r="AM534" s="56">
        <f>VLOOKUP($E534,'NI-San_SP'!$C:$AN,MID(AM$1,1,2),FALSE)</f>
        <v>0</v>
      </c>
      <c r="AN534" s="30" t="str">
        <f t="shared" si="8"/>
        <v>50107000000000</v>
      </c>
    </row>
    <row r="535" spans="1:40" x14ac:dyDescent="0.25">
      <c r="C535" s="40"/>
      <c r="D535" s="49" t="s">
        <v>2025</v>
      </c>
      <c r="E535" s="49" t="s">
        <v>2026</v>
      </c>
      <c r="F535" s="50" t="s">
        <v>110</v>
      </c>
      <c r="G535" s="51"/>
      <c r="H535" s="52"/>
      <c r="I535" s="52"/>
      <c r="J535" s="52"/>
      <c r="K535" s="53" t="s">
        <v>111</v>
      </c>
      <c r="L535" s="52"/>
      <c r="M535" s="52"/>
      <c r="N535" s="52"/>
      <c r="O535" s="52"/>
      <c r="P535" s="76" t="s">
        <v>2027</v>
      </c>
      <c r="Q535" s="55">
        <f>VLOOKUP(E535,'NI-San_SP'!$C:$AN,12,FALSE)</f>
        <v>10526155</v>
      </c>
      <c r="R535" s="55">
        <f>VLOOKUP(E535,'NI-San_SP'!$C:$AN,13,FALSE)</f>
        <v>13929770</v>
      </c>
      <c r="S535" s="55"/>
      <c r="T535" s="55"/>
      <c r="U535" s="55">
        <f>VLOOKUP($E535,'NI-San_SP'!$C:$AN,MID(U$1,1,2),FALSE)</f>
        <v>0</v>
      </c>
      <c r="V535" s="55">
        <f>VLOOKUP($E535,'NI-San_SP'!$C:$AN,MID(V$1,1,2),FALSE)</f>
        <v>10526155</v>
      </c>
      <c r="W535" s="55">
        <f>VLOOKUP($E535,'NI-San_SP'!$C:$AN,MID(W$1,1,2),FALSE)</f>
        <v>0</v>
      </c>
      <c r="X535" s="55">
        <f>VLOOKUP($E535,'NI-San_SP'!$C:$AN,MID(X$1,1,2),FALSE)</f>
        <v>8717099</v>
      </c>
      <c r="Y535" s="55">
        <f>VLOOKUP($E535,'NI-San_SP'!$C:$AN,MID(Y$1,1,2),FALSE)</f>
        <v>-355987</v>
      </c>
      <c r="Z535" s="55">
        <f>VLOOKUP($E535,'NI-San_SP'!$C:$AN,MID(Z$1,1,2),FALSE)</f>
        <v>4957497</v>
      </c>
      <c r="AA535" s="55">
        <f>VLOOKUP($E535,'NI-San_SP'!$C:$AN,MID(AA$1,1,2),FALSE)</f>
        <v>0</v>
      </c>
      <c r="AB535" s="55">
        <f>VLOOKUP($E535,'NI-San_SP'!$C:$AN,MID(AB$1,1,2),FALSE)</f>
        <v>13929770</v>
      </c>
      <c r="AC535" s="55">
        <f>VLOOKUP($E535,'NI-San_SP'!$C:$AN,MID(AC$1,1,2),FALSE)</f>
        <v>0</v>
      </c>
      <c r="AD535" s="55">
        <f>VLOOKUP($E535,'NI-San_SP'!$C:$AN,MID(AD$1,1,2),FALSE)</f>
        <v>0</v>
      </c>
      <c r="AE535" s="55">
        <f>VLOOKUP($E535,'NI-San_SP'!$C:$AN,MID(AE$1,1,2),FALSE)</f>
        <v>0</v>
      </c>
      <c r="AF535" s="55">
        <f>VLOOKUP($E535,'NI-San_SP'!$C:$AN,MID(AF$1,1,2),FALSE)</f>
        <v>0</v>
      </c>
      <c r="AG535" s="55">
        <f>VLOOKUP($E535,'NI-San_SP'!$C:$AN,MID(AG$1,1,2),FALSE)</f>
        <v>0</v>
      </c>
      <c r="AH535" s="55">
        <f>VLOOKUP($E535,'NI-San_SP'!$C:$AN,MID(AH$1,1,2),FALSE)</f>
        <v>0</v>
      </c>
      <c r="AI535" s="55">
        <f>VLOOKUP($E535,'NI-San_SP'!$C:$AN,MID(AI$1,1,2),FALSE)</f>
        <v>0</v>
      </c>
      <c r="AJ535" s="55">
        <f>VLOOKUP($E535,'NI-San_SP'!$C:$AN,MID(AJ$1,1,2),FALSE)</f>
        <v>0</v>
      </c>
      <c r="AK535" s="55">
        <f>VLOOKUP($E535,'NI-San_SP'!$C:$AN,MID(AK$1,1,2),FALSE)</f>
        <v>0</v>
      </c>
      <c r="AL535" s="55">
        <f>VLOOKUP($E535,'NI-San_SP'!$C:$AN,MID(AL$1,1,2),FALSE)</f>
        <v>0</v>
      </c>
      <c r="AM535" s="56">
        <f>VLOOKUP($E535,'NI-San_SP'!$C:$AN,MID(AM$1,1,2),FALSE)</f>
        <v>0</v>
      </c>
      <c r="AN535" s="30" t="str">
        <f t="shared" si="8"/>
        <v>60000000000000</v>
      </c>
    </row>
    <row r="536" spans="1:40" x14ac:dyDescent="0.25">
      <c r="C536" s="40"/>
      <c r="D536" s="57" t="s">
        <v>2028</v>
      </c>
      <c r="E536" s="57" t="s">
        <v>2029</v>
      </c>
      <c r="F536" s="58" t="s">
        <v>110</v>
      </c>
      <c r="G536" s="52"/>
      <c r="H536" s="52"/>
      <c r="I536" s="52" t="s">
        <v>2030</v>
      </c>
      <c r="J536" s="52" t="s">
        <v>2030</v>
      </c>
      <c r="K536" s="59" t="s">
        <v>111</v>
      </c>
      <c r="L536" s="81" t="s">
        <v>2031</v>
      </c>
      <c r="M536" s="52"/>
      <c r="N536" s="52"/>
      <c r="O536" s="61" t="s">
        <v>2032</v>
      </c>
      <c r="P536" s="76" t="s">
        <v>2033</v>
      </c>
      <c r="Q536" s="55">
        <f>VLOOKUP(E536,'NI-San_SP'!$C:$AN,12,FALSE)</f>
        <v>0</v>
      </c>
      <c r="R536" s="55">
        <f>VLOOKUP(E536,'NI-San_SP'!$C:$AN,13,FALSE)</f>
        <v>0</v>
      </c>
      <c r="S536" s="55"/>
      <c r="T536" s="55"/>
      <c r="U536" s="55">
        <f>VLOOKUP($E536,'NI-San_SP'!$C:$AN,MID(U$1,1,2),FALSE)</f>
        <v>0</v>
      </c>
      <c r="V536" s="55">
        <f>VLOOKUP($E536,'NI-San_SP'!$C:$AN,MID(V$1,1,2),FALSE)</f>
        <v>0</v>
      </c>
      <c r="W536" s="55">
        <f>VLOOKUP($E536,'NI-San_SP'!$C:$AN,MID(W$1,1,2),FALSE)</f>
        <v>0</v>
      </c>
      <c r="X536" s="55">
        <f>VLOOKUP($E536,'NI-San_SP'!$C:$AN,MID(X$1,1,2),FALSE)</f>
        <v>0</v>
      </c>
      <c r="Y536" s="55">
        <f>VLOOKUP($E536,'NI-San_SP'!$C:$AN,MID(Y$1,1,2),FALSE)</f>
        <v>0</v>
      </c>
      <c r="Z536" s="55">
        <f>VLOOKUP($E536,'NI-San_SP'!$C:$AN,MID(Z$1,1,2),FALSE)</f>
        <v>0</v>
      </c>
      <c r="AA536" s="55">
        <f>VLOOKUP($E536,'NI-San_SP'!$C:$AN,MID(AA$1,1,2),FALSE)</f>
        <v>0</v>
      </c>
      <c r="AB536" s="55">
        <f>VLOOKUP($E536,'NI-San_SP'!$C:$AN,MID(AB$1,1,2),FALSE)</f>
        <v>0</v>
      </c>
      <c r="AC536" s="55">
        <f>VLOOKUP($E536,'NI-San_SP'!$C:$AN,MID(AC$1,1,2),FALSE)</f>
        <v>0</v>
      </c>
      <c r="AD536" s="55">
        <f>VLOOKUP($E536,'NI-San_SP'!$C:$AN,MID(AD$1,1,2),FALSE)</f>
        <v>0</v>
      </c>
      <c r="AE536" s="55">
        <f>VLOOKUP($E536,'NI-San_SP'!$C:$AN,MID(AE$1,1,2),FALSE)</f>
        <v>0</v>
      </c>
      <c r="AF536" s="55">
        <f>VLOOKUP($E536,'NI-San_SP'!$C:$AN,MID(AF$1,1,2),FALSE)</f>
        <v>0</v>
      </c>
      <c r="AG536" s="55">
        <f>VLOOKUP($E536,'NI-San_SP'!$C:$AN,MID(AG$1,1,2),FALSE)</f>
        <v>0</v>
      </c>
      <c r="AH536" s="55">
        <f>VLOOKUP($E536,'NI-San_SP'!$C:$AN,MID(AH$1,1,2),FALSE)</f>
        <v>0</v>
      </c>
      <c r="AI536" s="55">
        <f>VLOOKUP($E536,'NI-San_SP'!$C:$AN,MID(AI$1,1,2),FALSE)</f>
        <v>0</v>
      </c>
      <c r="AJ536" s="55">
        <f>VLOOKUP($E536,'NI-San_SP'!$C:$AN,MID(AJ$1,1,2),FALSE)</f>
        <v>0</v>
      </c>
      <c r="AK536" s="55">
        <f>VLOOKUP($E536,'NI-San_SP'!$C:$AN,MID(AK$1,1,2),FALSE)</f>
        <v>0</v>
      </c>
      <c r="AL536" s="55">
        <f>VLOOKUP($E536,'NI-San_SP'!$C:$AN,MID(AL$1,1,2),FALSE)</f>
        <v>0</v>
      </c>
      <c r="AM536" s="56">
        <f>VLOOKUP($E536,'NI-San_SP'!$C:$AN,MID(AM$1,1,2),FALSE)</f>
        <v>0</v>
      </c>
      <c r="AN536" s="30" t="str">
        <f t="shared" si="8"/>
        <v>60100000000000</v>
      </c>
    </row>
    <row r="537" spans="1:40" x14ac:dyDescent="0.25">
      <c r="C537" s="40"/>
      <c r="D537" s="57" t="s">
        <v>2034</v>
      </c>
      <c r="E537" s="57" t="s">
        <v>2035</v>
      </c>
      <c r="F537" s="58" t="s">
        <v>110</v>
      </c>
      <c r="G537" s="52"/>
      <c r="H537" s="52"/>
      <c r="I537" s="52"/>
      <c r="J537" s="52"/>
      <c r="K537" s="59" t="s">
        <v>79</v>
      </c>
      <c r="L537" s="52"/>
      <c r="M537" s="52"/>
      <c r="N537" s="52"/>
      <c r="O537" s="52"/>
      <c r="P537" s="76" t="s">
        <v>2036</v>
      </c>
      <c r="Q537" s="55">
        <f>VLOOKUP(E537,'NI-San_SP'!$C:$AN,12,FALSE)</f>
        <v>0</v>
      </c>
      <c r="R537" s="55">
        <f>VLOOKUP(E537,'NI-San_SP'!$C:$AN,13,FALSE)</f>
        <v>0</v>
      </c>
      <c r="S537" s="55"/>
      <c r="T537" s="55"/>
      <c r="U537" s="55">
        <f>VLOOKUP($E537,'NI-San_SP'!$C:$AN,MID(U$1,1,2),FALSE)</f>
        <v>0</v>
      </c>
      <c r="V537" s="55">
        <f>VLOOKUP($E537,'NI-San_SP'!$C:$AN,MID(V$1,1,2),FALSE)</f>
        <v>0</v>
      </c>
      <c r="W537" s="55">
        <f>VLOOKUP($E537,'NI-San_SP'!$C:$AN,MID(W$1,1,2),FALSE)</f>
        <v>0</v>
      </c>
      <c r="X537" s="55">
        <f>VLOOKUP($E537,'NI-San_SP'!$C:$AN,MID(X$1,1,2),FALSE)</f>
        <v>0</v>
      </c>
      <c r="Y537" s="55">
        <f>VLOOKUP($E537,'NI-San_SP'!$C:$AN,MID(Y$1,1,2),FALSE)</f>
        <v>0</v>
      </c>
      <c r="Z537" s="55">
        <f>VLOOKUP($E537,'NI-San_SP'!$C:$AN,MID(Z$1,1,2),FALSE)</f>
        <v>0</v>
      </c>
      <c r="AA537" s="55">
        <f>VLOOKUP($E537,'NI-San_SP'!$C:$AN,MID(AA$1,1,2),FALSE)</f>
        <v>0</v>
      </c>
      <c r="AB537" s="55">
        <f>VLOOKUP($E537,'NI-San_SP'!$C:$AN,MID(AB$1,1,2),FALSE)</f>
        <v>0</v>
      </c>
      <c r="AC537" s="55">
        <f>VLOOKUP($E537,'NI-San_SP'!$C:$AN,MID(AC$1,1,2),FALSE)</f>
        <v>0</v>
      </c>
      <c r="AD537" s="55">
        <f>VLOOKUP($E537,'NI-San_SP'!$C:$AN,MID(AD$1,1,2),FALSE)</f>
        <v>0</v>
      </c>
      <c r="AE537" s="55">
        <f>VLOOKUP($E537,'NI-San_SP'!$C:$AN,MID(AE$1,1,2),FALSE)</f>
        <v>0</v>
      </c>
      <c r="AF537" s="55">
        <f>VLOOKUP($E537,'NI-San_SP'!$C:$AN,MID(AF$1,1,2),FALSE)</f>
        <v>0</v>
      </c>
      <c r="AG537" s="55">
        <f>VLOOKUP($E537,'NI-San_SP'!$C:$AN,MID(AG$1,1,2),FALSE)</f>
        <v>0</v>
      </c>
      <c r="AH537" s="55">
        <f>VLOOKUP($E537,'NI-San_SP'!$C:$AN,MID(AH$1,1,2),FALSE)</f>
        <v>0</v>
      </c>
      <c r="AI537" s="55">
        <f>VLOOKUP($E537,'NI-San_SP'!$C:$AN,MID(AI$1,1,2),FALSE)</f>
        <v>0</v>
      </c>
      <c r="AJ537" s="55">
        <f>VLOOKUP($E537,'NI-San_SP'!$C:$AN,MID(AJ$1,1,2),FALSE)</f>
        <v>0</v>
      </c>
      <c r="AK537" s="55">
        <f>VLOOKUP($E537,'NI-San_SP'!$C:$AN,MID(AK$1,1,2),FALSE)</f>
        <v>0</v>
      </c>
      <c r="AL537" s="55">
        <f>VLOOKUP($E537,'NI-San_SP'!$C:$AN,MID(AL$1,1,2),FALSE)</f>
        <v>0</v>
      </c>
      <c r="AM537" s="56">
        <f>VLOOKUP($E537,'NI-San_SP'!$C:$AN,MID(AM$1,1,2),FALSE)</f>
        <v>0</v>
      </c>
      <c r="AN537" s="30" t="str">
        <f t="shared" si="8"/>
        <v>60101000000000</v>
      </c>
    </row>
    <row r="538" spans="1:40" x14ac:dyDescent="0.25">
      <c r="C538" s="40"/>
      <c r="D538" s="57" t="s">
        <v>2037</v>
      </c>
      <c r="E538" s="57" t="s">
        <v>2038</v>
      </c>
      <c r="F538" s="58" t="s">
        <v>110</v>
      </c>
      <c r="G538" s="52"/>
      <c r="H538" s="52"/>
      <c r="I538" s="52"/>
      <c r="J538" s="52"/>
      <c r="K538" s="59" t="s">
        <v>79</v>
      </c>
      <c r="L538" s="52"/>
      <c r="M538" s="52"/>
      <c r="N538" s="52"/>
      <c r="O538" s="52"/>
      <c r="P538" s="76" t="s">
        <v>2039</v>
      </c>
      <c r="Q538" s="55">
        <f>VLOOKUP(E538,'NI-San_SP'!$C:$AN,12,FALSE)</f>
        <v>0</v>
      </c>
      <c r="R538" s="55">
        <f>VLOOKUP(E538,'NI-San_SP'!$C:$AN,13,FALSE)</f>
        <v>0</v>
      </c>
      <c r="S538" s="55"/>
      <c r="T538" s="55"/>
      <c r="U538" s="55">
        <f>VLOOKUP($E538,'NI-San_SP'!$C:$AN,MID(U$1,1,2),FALSE)</f>
        <v>0</v>
      </c>
      <c r="V538" s="55">
        <f>VLOOKUP($E538,'NI-San_SP'!$C:$AN,MID(V$1,1,2),FALSE)</f>
        <v>0</v>
      </c>
      <c r="W538" s="55">
        <f>VLOOKUP($E538,'NI-San_SP'!$C:$AN,MID(W$1,1,2),FALSE)</f>
        <v>0</v>
      </c>
      <c r="X538" s="55">
        <f>VLOOKUP($E538,'NI-San_SP'!$C:$AN,MID(X$1,1,2),FALSE)</f>
        <v>0</v>
      </c>
      <c r="Y538" s="55">
        <f>VLOOKUP($E538,'NI-San_SP'!$C:$AN,MID(Y$1,1,2),FALSE)</f>
        <v>0</v>
      </c>
      <c r="Z538" s="55">
        <f>VLOOKUP($E538,'NI-San_SP'!$C:$AN,MID(Z$1,1,2),FALSE)</f>
        <v>0</v>
      </c>
      <c r="AA538" s="55">
        <f>VLOOKUP($E538,'NI-San_SP'!$C:$AN,MID(AA$1,1,2),FALSE)</f>
        <v>0</v>
      </c>
      <c r="AB538" s="55">
        <f>VLOOKUP($E538,'NI-San_SP'!$C:$AN,MID(AB$1,1,2),FALSE)</f>
        <v>0</v>
      </c>
      <c r="AC538" s="55">
        <f>VLOOKUP($E538,'NI-San_SP'!$C:$AN,MID(AC$1,1,2),FALSE)</f>
        <v>0</v>
      </c>
      <c r="AD538" s="55">
        <f>VLOOKUP($E538,'NI-San_SP'!$C:$AN,MID(AD$1,1,2),FALSE)</f>
        <v>0</v>
      </c>
      <c r="AE538" s="55">
        <f>VLOOKUP($E538,'NI-San_SP'!$C:$AN,MID(AE$1,1,2),FALSE)</f>
        <v>0</v>
      </c>
      <c r="AF538" s="55">
        <f>VLOOKUP($E538,'NI-San_SP'!$C:$AN,MID(AF$1,1,2),FALSE)</f>
        <v>0</v>
      </c>
      <c r="AG538" s="55">
        <f>VLOOKUP($E538,'NI-San_SP'!$C:$AN,MID(AG$1,1,2),FALSE)</f>
        <v>0</v>
      </c>
      <c r="AH538" s="55">
        <f>VLOOKUP($E538,'NI-San_SP'!$C:$AN,MID(AH$1,1,2),FALSE)</f>
        <v>0</v>
      </c>
      <c r="AI538" s="55">
        <f>VLOOKUP($E538,'NI-San_SP'!$C:$AN,MID(AI$1,1,2),FALSE)</f>
        <v>0</v>
      </c>
      <c r="AJ538" s="55">
        <f>VLOOKUP($E538,'NI-San_SP'!$C:$AN,MID(AJ$1,1,2),FALSE)</f>
        <v>0</v>
      </c>
      <c r="AK538" s="55">
        <f>VLOOKUP($E538,'NI-San_SP'!$C:$AN,MID(AK$1,1,2),FALSE)</f>
        <v>0</v>
      </c>
      <c r="AL538" s="55">
        <f>VLOOKUP($E538,'NI-San_SP'!$C:$AN,MID(AL$1,1,2),FALSE)</f>
        <v>0</v>
      </c>
      <c r="AM538" s="56">
        <f>VLOOKUP($E538,'NI-San_SP'!$C:$AN,MID(AM$1,1,2),FALSE)</f>
        <v>0</v>
      </c>
      <c r="AN538" s="30" t="str">
        <f t="shared" si="8"/>
        <v>60102000000000</v>
      </c>
    </row>
    <row r="539" spans="1:40" x14ac:dyDescent="0.25">
      <c r="C539" s="40"/>
      <c r="D539" s="57" t="s">
        <v>2040</v>
      </c>
      <c r="E539" s="57" t="s">
        <v>2041</v>
      </c>
      <c r="F539" s="58" t="s">
        <v>110</v>
      </c>
      <c r="G539" s="52"/>
      <c r="H539" s="52"/>
      <c r="I539" s="52"/>
      <c r="J539" s="52"/>
      <c r="K539" s="59" t="s">
        <v>111</v>
      </c>
      <c r="L539" s="52"/>
      <c r="M539" s="52"/>
      <c r="N539" s="52"/>
      <c r="O539" s="61" t="s">
        <v>2042</v>
      </c>
      <c r="P539" s="76" t="s">
        <v>2043</v>
      </c>
      <c r="Q539" s="55">
        <f>VLOOKUP(E539,'NI-San_SP'!$C:$AN,12,FALSE)</f>
        <v>5016560</v>
      </c>
      <c r="R539" s="55">
        <f>VLOOKUP(E539,'NI-San_SP'!$C:$AN,13,FALSE)</f>
        <v>6227161</v>
      </c>
      <c r="S539" s="55"/>
      <c r="T539" s="55"/>
      <c r="U539" s="55">
        <f>VLOOKUP($E539,'NI-San_SP'!$C:$AN,MID(U$1,1,2),FALSE)</f>
        <v>0</v>
      </c>
      <c r="V539" s="55">
        <f>VLOOKUP($E539,'NI-San_SP'!$C:$AN,MID(V$1,1,2),FALSE)</f>
        <v>5016560</v>
      </c>
      <c r="W539" s="55">
        <f>VLOOKUP($E539,'NI-San_SP'!$C:$AN,MID(W$1,1,2),FALSE)</f>
        <v>0</v>
      </c>
      <c r="X539" s="55">
        <f>VLOOKUP($E539,'NI-San_SP'!$C:$AN,MID(X$1,1,2),FALSE)</f>
        <v>2941000</v>
      </c>
      <c r="Y539" s="55">
        <f>VLOOKUP($E539,'NI-San_SP'!$C:$AN,MID(Y$1,1,2),FALSE)</f>
        <v>0</v>
      </c>
      <c r="Z539" s="55">
        <f>VLOOKUP($E539,'NI-San_SP'!$C:$AN,MID(Z$1,1,2),FALSE)</f>
        <v>1730399</v>
      </c>
      <c r="AA539" s="55">
        <f>VLOOKUP($E539,'NI-San_SP'!$C:$AN,MID(AA$1,1,2),FALSE)</f>
        <v>0</v>
      </c>
      <c r="AB539" s="55">
        <f>VLOOKUP($E539,'NI-San_SP'!$C:$AN,MID(AB$1,1,2),FALSE)</f>
        <v>6227161</v>
      </c>
      <c r="AC539" s="55">
        <f>VLOOKUP($E539,'NI-San_SP'!$C:$AN,MID(AC$1,1,2),FALSE)</f>
        <v>0</v>
      </c>
      <c r="AD539" s="55">
        <f>VLOOKUP($E539,'NI-San_SP'!$C:$AN,MID(AD$1,1,2),FALSE)</f>
        <v>0</v>
      </c>
      <c r="AE539" s="55">
        <f>VLOOKUP($E539,'NI-San_SP'!$C:$AN,MID(AE$1,1,2),FALSE)</f>
        <v>0</v>
      </c>
      <c r="AF539" s="55">
        <f>VLOOKUP($E539,'NI-San_SP'!$C:$AN,MID(AF$1,1,2),FALSE)</f>
        <v>0</v>
      </c>
      <c r="AG539" s="55">
        <f>VLOOKUP($E539,'NI-San_SP'!$C:$AN,MID(AG$1,1,2),FALSE)</f>
        <v>0</v>
      </c>
      <c r="AH539" s="55">
        <f>VLOOKUP($E539,'NI-San_SP'!$C:$AN,MID(AH$1,1,2),FALSE)</f>
        <v>0</v>
      </c>
      <c r="AI539" s="55">
        <f>VLOOKUP($E539,'NI-San_SP'!$C:$AN,MID(AI$1,1,2),FALSE)</f>
        <v>0</v>
      </c>
      <c r="AJ539" s="55">
        <f>VLOOKUP($E539,'NI-San_SP'!$C:$AN,MID(AJ$1,1,2),FALSE)</f>
        <v>0</v>
      </c>
      <c r="AK539" s="55">
        <f>VLOOKUP($E539,'NI-San_SP'!$C:$AN,MID(AK$1,1,2),FALSE)</f>
        <v>0</v>
      </c>
      <c r="AL539" s="55">
        <f>VLOOKUP($E539,'NI-San_SP'!$C:$AN,MID(AL$1,1,2),FALSE)</f>
        <v>0</v>
      </c>
      <c r="AM539" s="56">
        <f>VLOOKUP($E539,'NI-San_SP'!$C:$AN,MID(AM$1,1,2),FALSE)</f>
        <v>0</v>
      </c>
      <c r="AN539" s="30" t="str">
        <f t="shared" si="8"/>
        <v>60200000000000</v>
      </c>
    </row>
    <row r="540" spans="1:40" x14ac:dyDescent="0.25">
      <c r="C540" s="40"/>
      <c r="D540" s="57" t="s">
        <v>2044</v>
      </c>
      <c r="E540" s="57" t="s">
        <v>2045</v>
      </c>
      <c r="F540" s="58" t="s">
        <v>110</v>
      </c>
      <c r="G540" s="52"/>
      <c r="H540" s="52"/>
      <c r="I540" s="52" t="s">
        <v>2046</v>
      </c>
      <c r="J540" s="52" t="s">
        <v>2046</v>
      </c>
      <c r="K540" s="59" t="s">
        <v>79</v>
      </c>
      <c r="L540" s="81" t="s">
        <v>2047</v>
      </c>
      <c r="M540" s="52"/>
      <c r="N540" s="52"/>
      <c r="O540" s="52"/>
      <c r="P540" s="76" t="s">
        <v>2048</v>
      </c>
      <c r="Q540" s="55">
        <f>VLOOKUP(E540,'NI-San_SP'!$C:$AN,12,FALSE)</f>
        <v>40746</v>
      </c>
      <c r="R540" s="55">
        <f>VLOOKUP(E540,'NI-San_SP'!$C:$AN,13,FALSE)</f>
        <v>6457</v>
      </c>
      <c r="S540" s="55"/>
      <c r="T540" s="55"/>
      <c r="U540" s="55">
        <f>VLOOKUP($E540,'NI-San_SP'!$C:$AN,MID(U$1,1,2),FALSE)</f>
        <v>0</v>
      </c>
      <c r="V540" s="55">
        <f>VLOOKUP($E540,'NI-San_SP'!$C:$AN,MID(V$1,1,2),FALSE)</f>
        <v>40746</v>
      </c>
      <c r="W540" s="55">
        <f>VLOOKUP($E540,'NI-San_SP'!$C:$AN,MID(W$1,1,2),FALSE)</f>
        <v>0</v>
      </c>
      <c r="X540" s="55">
        <f>VLOOKUP($E540,'NI-San_SP'!$C:$AN,MID(X$1,1,2),FALSE)</f>
        <v>0</v>
      </c>
      <c r="Y540" s="55">
        <f>VLOOKUP($E540,'NI-San_SP'!$C:$AN,MID(Y$1,1,2),FALSE)</f>
        <v>0</v>
      </c>
      <c r="Z540" s="55">
        <f>VLOOKUP($E540,'NI-San_SP'!$C:$AN,MID(Z$1,1,2),FALSE)</f>
        <v>34289</v>
      </c>
      <c r="AA540" s="55">
        <f>VLOOKUP($E540,'NI-San_SP'!$C:$AN,MID(AA$1,1,2),FALSE)</f>
        <v>0</v>
      </c>
      <c r="AB540" s="55">
        <f>VLOOKUP($E540,'NI-San_SP'!$C:$AN,MID(AB$1,1,2),FALSE)</f>
        <v>6457</v>
      </c>
      <c r="AC540" s="55">
        <f>VLOOKUP($E540,'NI-San_SP'!$C:$AN,MID(AC$1,1,2),FALSE)</f>
        <v>0</v>
      </c>
      <c r="AD540" s="55">
        <f>VLOOKUP($E540,'NI-San_SP'!$C:$AN,MID(AD$1,1,2),FALSE)</f>
        <v>0</v>
      </c>
      <c r="AE540" s="55">
        <f>VLOOKUP($E540,'NI-San_SP'!$C:$AN,MID(AE$1,1,2),FALSE)</f>
        <v>0</v>
      </c>
      <c r="AF540" s="55">
        <f>VLOOKUP($E540,'NI-San_SP'!$C:$AN,MID(AF$1,1,2),FALSE)</f>
        <v>0</v>
      </c>
      <c r="AG540" s="55">
        <f>VLOOKUP($E540,'NI-San_SP'!$C:$AN,MID(AG$1,1,2),FALSE)</f>
        <v>0</v>
      </c>
      <c r="AH540" s="55">
        <f>VLOOKUP($E540,'NI-San_SP'!$C:$AN,MID(AH$1,1,2),FALSE)</f>
        <v>0</v>
      </c>
      <c r="AI540" s="55">
        <f>VLOOKUP($E540,'NI-San_SP'!$C:$AN,MID(AI$1,1,2),FALSE)</f>
        <v>0</v>
      </c>
      <c r="AJ540" s="55">
        <f>VLOOKUP($E540,'NI-San_SP'!$C:$AN,MID(AJ$1,1,2),FALSE)</f>
        <v>0</v>
      </c>
      <c r="AK540" s="55">
        <f>VLOOKUP($E540,'NI-San_SP'!$C:$AN,MID(AK$1,1,2),FALSE)</f>
        <v>0</v>
      </c>
      <c r="AL540" s="55">
        <f>VLOOKUP($E540,'NI-San_SP'!$C:$AN,MID(AL$1,1,2),FALSE)</f>
        <v>0</v>
      </c>
      <c r="AM540" s="56">
        <f>VLOOKUP($E540,'NI-San_SP'!$C:$AN,MID(AM$1,1,2),FALSE)</f>
        <v>0</v>
      </c>
      <c r="AN540" s="30" t="str">
        <f t="shared" si="8"/>
        <v>60201000000000</v>
      </c>
    </row>
    <row r="541" spans="1:40" x14ac:dyDescent="0.25">
      <c r="C541" s="40"/>
      <c r="D541" s="57" t="s">
        <v>2049</v>
      </c>
      <c r="E541" s="57" t="s">
        <v>2050</v>
      </c>
      <c r="F541" s="58" t="s">
        <v>110</v>
      </c>
      <c r="G541" s="52"/>
      <c r="H541" s="52"/>
      <c r="I541" s="52" t="s">
        <v>2051</v>
      </c>
      <c r="J541" s="52" t="s">
        <v>2051</v>
      </c>
      <c r="K541" s="59" t="s">
        <v>79</v>
      </c>
      <c r="L541" s="81" t="s">
        <v>2052</v>
      </c>
      <c r="M541" s="52"/>
      <c r="N541" s="52"/>
      <c r="O541" s="52"/>
      <c r="P541" s="76" t="s">
        <v>2053</v>
      </c>
      <c r="Q541" s="55">
        <f>VLOOKUP(E541,'NI-San_SP'!$C:$AN,12,FALSE)</f>
        <v>40507</v>
      </c>
      <c r="R541" s="55">
        <f>VLOOKUP(E541,'NI-San_SP'!$C:$AN,13,FALSE)</f>
        <v>40507</v>
      </c>
      <c r="S541" s="55"/>
      <c r="T541" s="55"/>
      <c r="U541" s="55">
        <f>VLOOKUP($E541,'NI-San_SP'!$C:$AN,MID(U$1,1,2),FALSE)</f>
        <v>0</v>
      </c>
      <c r="V541" s="55">
        <f>VLOOKUP($E541,'NI-San_SP'!$C:$AN,MID(V$1,1,2),FALSE)</f>
        <v>40507</v>
      </c>
      <c r="W541" s="55">
        <f>VLOOKUP($E541,'NI-San_SP'!$C:$AN,MID(W$1,1,2),FALSE)</f>
        <v>0</v>
      </c>
      <c r="X541" s="55">
        <f>VLOOKUP($E541,'NI-San_SP'!$C:$AN,MID(X$1,1,2),FALSE)</f>
        <v>0</v>
      </c>
      <c r="Y541" s="55">
        <f>VLOOKUP($E541,'NI-San_SP'!$C:$AN,MID(Y$1,1,2),FALSE)</f>
        <v>0</v>
      </c>
      <c r="Z541" s="55">
        <f>VLOOKUP($E541,'NI-San_SP'!$C:$AN,MID(Z$1,1,2),FALSE)</f>
        <v>0</v>
      </c>
      <c r="AA541" s="55">
        <f>VLOOKUP($E541,'NI-San_SP'!$C:$AN,MID(AA$1,1,2),FALSE)</f>
        <v>0</v>
      </c>
      <c r="AB541" s="55">
        <f>VLOOKUP($E541,'NI-San_SP'!$C:$AN,MID(AB$1,1,2),FALSE)</f>
        <v>40507</v>
      </c>
      <c r="AC541" s="55">
        <f>VLOOKUP($E541,'NI-San_SP'!$C:$AN,MID(AC$1,1,2),FALSE)</f>
        <v>0</v>
      </c>
      <c r="AD541" s="55">
        <f>VLOOKUP($E541,'NI-San_SP'!$C:$AN,MID(AD$1,1,2),FALSE)</f>
        <v>0</v>
      </c>
      <c r="AE541" s="55">
        <f>VLOOKUP($E541,'NI-San_SP'!$C:$AN,MID(AE$1,1,2),FALSE)</f>
        <v>0</v>
      </c>
      <c r="AF541" s="55">
        <f>VLOOKUP($E541,'NI-San_SP'!$C:$AN,MID(AF$1,1,2),FALSE)</f>
        <v>0</v>
      </c>
      <c r="AG541" s="55">
        <f>VLOOKUP($E541,'NI-San_SP'!$C:$AN,MID(AG$1,1,2),FALSE)</f>
        <v>0</v>
      </c>
      <c r="AH541" s="55">
        <f>VLOOKUP($E541,'NI-San_SP'!$C:$AN,MID(AH$1,1,2),FALSE)</f>
        <v>0</v>
      </c>
      <c r="AI541" s="55">
        <f>VLOOKUP($E541,'NI-San_SP'!$C:$AN,MID(AI$1,1,2),FALSE)</f>
        <v>0</v>
      </c>
      <c r="AJ541" s="55">
        <f>VLOOKUP($E541,'NI-San_SP'!$C:$AN,MID(AJ$1,1,2),FALSE)</f>
        <v>0</v>
      </c>
      <c r="AK541" s="55">
        <f>VLOOKUP($E541,'NI-San_SP'!$C:$AN,MID(AK$1,1,2),FALSE)</f>
        <v>0</v>
      </c>
      <c r="AL541" s="55">
        <f>VLOOKUP($E541,'NI-San_SP'!$C:$AN,MID(AL$1,1,2),FALSE)</f>
        <v>0</v>
      </c>
      <c r="AM541" s="56">
        <f>VLOOKUP($E541,'NI-San_SP'!$C:$AN,MID(AM$1,1,2),FALSE)</f>
        <v>0</v>
      </c>
      <c r="AN541" s="30" t="str">
        <f t="shared" si="8"/>
        <v>60202000000000</v>
      </c>
    </row>
    <row r="542" spans="1:40" x14ac:dyDescent="0.25">
      <c r="C542" s="40"/>
      <c r="D542" s="57" t="s">
        <v>2054</v>
      </c>
      <c r="E542" s="57" t="s">
        <v>2055</v>
      </c>
      <c r="F542" s="58" t="s">
        <v>110</v>
      </c>
      <c r="G542" s="52"/>
      <c r="H542" s="52"/>
      <c r="I542" s="52" t="s">
        <v>2056</v>
      </c>
      <c r="J542" s="52" t="s">
        <v>2056</v>
      </c>
      <c r="K542" s="59" t="s">
        <v>79</v>
      </c>
      <c r="L542" s="81" t="s">
        <v>2057</v>
      </c>
      <c r="M542" s="52"/>
      <c r="N542" s="52"/>
      <c r="O542" s="52"/>
      <c r="P542" s="76" t="s">
        <v>2058</v>
      </c>
      <c r="Q542" s="55">
        <f>VLOOKUP(E542,'NI-San_SP'!$C:$AN,12,FALSE)</f>
        <v>0</v>
      </c>
      <c r="R542" s="55">
        <f>VLOOKUP(E542,'NI-San_SP'!$C:$AN,13,FALSE)</f>
        <v>0</v>
      </c>
      <c r="S542" s="55"/>
      <c r="T542" s="55"/>
      <c r="U542" s="55">
        <f>VLOOKUP($E542,'NI-San_SP'!$C:$AN,MID(U$1,1,2),FALSE)</f>
        <v>0</v>
      </c>
      <c r="V542" s="55">
        <f>VLOOKUP($E542,'NI-San_SP'!$C:$AN,MID(V$1,1,2),FALSE)</f>
        <v>0</v>
      </c>
      <c r="W542" s="55">
        <f>VLOOKUP($E542,'NI-San_SP'!$C:$AN,MID(W$1,1,2),FALSE)</f>
        <v>0</v>
      </c>
      <c r="X542" s="55">
        <f>VLOOKUP($E542,'NI-San_SP'!$C:$AN,MID(X$1,1,2),FALSE)</f>
        <v>0</v>
      </c>
      <c r="Y542" s="55">
        <f>VLOOKUP($E542,'NI-San_SP'!$C:$AN,MID(Y$1,1,2),FALSE)</f>
        <v>0</v>
      </c>
      <c r="Z542" s="55">
        <f>VLOOKUP($E542,'NI-San_SP'!$C:$AN,MID(Z$1,1,2),FALSE)</f>
        <v>0</v>
      </c>
      <c r="AA542" s="55">
        <f>VLOOKUP($E542,'NI-San_SP'!$C:$AN,MID(AA$1,1,2),FALSE)</f>
        <v>0</v>
      </c>
      <c r="AB542" s="55">
        <f>VLOOKUP($E542,'NI-San_SP'!$C:$AN,MID(AB$1,1,2),FALSE)</f>
        <v>0</v>
      </c>
      <c r="AC542" s="55">
        <f>VLOOKUP($E542,'NI-San_SP'!$C:$AN,MID(AC$1,1,2),FALSE)</f>
        <v>0</v>
      </c>
      <c r="AD542" s="55">
        <f>VLOOKUP($E542,'NI-San_SP'!$C:$AN,MID(AD$1,1,2),FALSE)</f>
        <v>0</v>
      </c>
      <c r="AE542" s="55">
        <f>VLOOKUP($E542,'NI-San_SP'!$C:$AN,MID(AE$1,1,2),FALSE)</f>
        <v>0</v>
      </c>
      <c r="AF542" s="55">
        <f>VLOOKUP($E542,'NI-San_SP'!$C:$AN,MID(AF$1,1,2),FALSE)</f>
        <v>0</v>
      </c>
      <c r="AG542" s="55">
        <f>VLOOKUP($E542,'NI-San_SP'!$C:$AN,MID(AG$1,1,2),FALSE)</f>
        <v>0</v>
      </c>
      <c r="AH542" s="55">
        <f>VLOOKUP($E542,'NI-San_SP'!$C:$AN,MID(AH$1,1,2),FALSE)</f>
        <v>0</v>
      </c>
      <c r="AI542" s="55">
        <f>VLOOKUP($E542,'NI-San_SP'!$C:$AN,MID(AI$1,1,2),FALSE)</f>
        <v>0</v>
      </c>
      <c r="AJ542" s="55">
        <f>VLOOKUP($E542,'NI-San_SP'!$C:$AN,MID(AJ$1,1,2),FALSE)</f>
        <v>0</v>
      </c>
      <c r="AK542" s="55">
        <f>VLOOKUP($E542,'NI-San_SP'!$C:$AN,MID(AK$1,1,2),FALSE)</f>
        <v>0</v>
      </c>
      <c r="AL542" s="55">
        <f>VLOOKUP($E542,'NI-San_SP'!$C:$AN,MID(AL$1,1,2),FALSE)</f>
        <v>0</v>
      </c>
      <c r="AM542" s="56">
        <f>VLOOKUP($E542,'NI-San_SP'!$C:$AN,MID(AM$1,1,2),FALSE)</f>
        <v>0</v>
      </c>
      <c r="AN542" s="30" t="str">
        <f t="shared" si="8"/>
        <v>60203000000000</v>
      </c>
    </row>
    <row r="543" spans="1:40" x14ac:dyDescent="0.25">
      <c r="C543" s="40"/>
      <c r="D543" s="57" t="s">
        <v>2059</v>
      </c>
      <c r="E543" s="57" t="s">
        <v>2060</v>
      </c>
      <c r="F543" s="58" t="s">
        <v>110</v>
      </c>
      <c r="G543" s="52"/>
      <c r="H543" s="52"/>
      <c r="I543" s="52" t="s">
        <v>2061</v>
      </c>
      <c r="J543" s="52" t="s">
        <v>2061</v>
      </c>
      <c r="K543" s="59" t="s">
        <v>79</v>
      </c>
      <c r="L543" s="81" t="s">
        <v>2062</v>
      </c>
      <c r="M543" s="52"/>
      <c r="N543" s="52"/>
      <c r="O543" s="52"/>
      <c r="P543" s="76" t="s">
        <v>2063</v>
      </c>
      <c r="Q543" s="55">
        <f>VLOOKUP(E543,'NI-San_SP'!$C:$AN,12,FALSE)</f>
        <v>4935307</v>
      </c>
      <c r="R543" s="55">
        <f>VLOOKUP(E543,'NI-San_SP'!$C:$AN,13,FALSE)</f>
        <v>6180197</v>
      </c>
      <c r="S543" s="55"/>
      <c r="T543" s="55"/>
      <c r="U543" s="55">
        <f>VLOOKUP($E543,'NI-San_SP'!$C:$AN,MID(U$1,1,2),FALSE)</f>
        <v>0</v>
      </c>
      <c r="V543" s="55">
        <f>VLOOKUP($E543,'NI-San_SP'!$C:$AN,MID(V$1,1,2),FALSE)</f>
        <v>4935307</v>
      </c>
      <c r="W543" s="55">
        <f>VLOOKUP($E543,'NI-San_SP'!$C:$AN,MID(W$1,1,2),FALSE)</f>
        <v>0</v>
      </c>
      <c r="X543" s="55">
        <f>VLOOKUP($E543,'NI-San_SP'!$C:$AN,MID(X$1,1,2),FALSE)</f>
        <v>2941000</v>
      </c>
      <c r="Y543" s="55">
        <f>VLOOKUP($E543,'NI-San_SP'!$C:$AN,MID(Y$1,1,2),FALSE)</f>
        <v>0</v>
      </c>
      <c r="Z543" s="55">
        <f>VLOOKUP($E543,'NI-San_SP'!$C:$AN,MID(Z$1,1,2),FALSE)</f>
        <v>1696110</v>
      </c>
      <c r="AA543" s="55">
        <f>VLOOKUP($E543,'NI-San_SP'!$C:$AN,MID(AA$1,1,2),FALSE)</f>
        <v>0</v>
      </c>
      <c r="AB543" s="55">
        <f>VLOOKUP($E543,'NI-San_SP'!$C:$AN,MID(AB$1,1,2),FALSE)</f>
        <v>6180197</v>
      </c>
      <c r="AC543" s="55">
        <f>VLOOKUP($E543,'NI-San_SP'!$C:$AN,MID(AC$1,1,2),FALSE)</f>
        <v>0</v>
      </c>
      <c r="AD543" s="55">
        <f>VLOOKUP($E543,'NI-San_SP'!$C:$AN,MID(AD$1,1,2),FALSE)</f>
        <v>0</v>
      </c>
      <c r="AE543" s="55">
        <f>VLOOKUP($E543,'NI-San_SP'!$C:$AN,MID(AE$1,1,2),FALSE)</f>
        <v>0</v>
      </c>
      <c r="AF543" s="55">
        <f>VLOOKUP($E543,'NI-San_SP'!$C:$AN,MID(AF$1,1,2),FALSE)</f>
        <v>0</v>
      </c>
      <c r="AG543" s="55">
        <f>VLOOKUP($E543,'NI-San_SP'!$C:$AN,MID(AG$1,1,2),FALSE)</f>
        <v>0</v>
      </c>
      <c r="AH543" s="55">
        <f>VLOOKUP($E543,'NI-San_SP'!$C:$AN,MID(AH$1,1,2),FALSE)</f>
        <v>0</v>
      </c>
      <c r="AI543" s="55">
        <f>VLOOKUP($E543,'NI-San_SP'!$C:$AN,MID(AI$1,1,2),FALSE)</f>
        <v>0</v>
      </c>
      <c r="AJ543" s="55">
        <f>VLOOKUP($E543,'NI-San_SP'!$C:$AN,MID(AJ$1,1,2),FALSE)</f>
        <v>0</v>
      </c>
      <c r="AK543" s="55">
        <f>VLOOKUP($E543,'NI-San_SP'!$C:$AN,MID(AK$1,1,2),FALSE)</f>
        <v>0</v>
      </c>
      <c r="AL543" s="55">
        <f>VLOOKUP($E543,'NI-San_SP'!$C:$AN,MID(AL$1,1,2),FALSE)</f>
        <v>0</v>
      </c>
      <c r="AM543" s="56">
        <f>VLOOKUP($E543,'NI-San_SP'!$C:$AN,MID(AM$1,1,2),FALSE)</f>
        <v>0</v>
      </c>
      <c r="AN543" s="30" t="str">
        <f t="shared" si="8"/>
        <v>60204000000000</v>
      </c>
    </row>
    <row r="544" spans="1:40" x14ac:dyDescent="0.25">
      <c r="A544" s="30" t="s">
        <v>1394</v>
      </c>
      <c r="C544" s="40"/>
      <c r="D544" s="87" t="s">
        <v>2064</v>
      </c>
      <c r="E544" s="87" t="s">
        <v>2065</v>
      </c>
      <c r="F544" s="58" t="s">
        <v>110</v>
      </c>
      <c r="G544" s="52"/>
      <c r="H544" s="52"/>
      <c r="I544" s="52"/>
      <c r="J544" s="52" t="s">
        <v>2066</v>
      </c>
      <c r="K544" s="59" t="s">
        <v>79</v>
      </c>
      <c r="L544" s="81"/>
      <c r="M544" s="52"/>
      <c r="N544" s="52"/>
      <c r="O544" s="52"/>
      <c r="P544" s="76" t="s">
        <v>2067</v>
      </c>
      <c r="Q544" s="55">
        <f>VLOOKUP(E544,'NI-San_SP'!$C:$AN,12,FALSE)</f>
        <v>0</v>
      </c>
      <c r="R544" s="55">
        <f>VLOOKUP(E544,'NI-San_SP'!$C:$AN,13,FALSE)</f>
        <v>0</v>
      </c>
      <c r="S544" s="55"/>
      <c r="T544" s="55"/>
      <c r="U544" s="55">
        <f>VLOOKUP($E544,'NI-San_SP'!$C:$AN,MID(U$1,1,2),FALSE)</f>
        <v>0</v>
      </c>
      <c r="V544" s="55">
        <f>VLOOKUP($E544,'NI-San_SP'!$C:$AN,MID(V$1,1,2),FALSE)</f>
        <v>0</v>
      </c>
      <c r="W544" s="55">
        <f>VLOOKUP($E544,'NI-San_SP'!$C:$AN,MID(W$1,1,2),FALSE)</f>
        <v>0</v>
      </c>
      <c r="X544" s="55">
        <f>VLOOKUP($E544,'NI-San_SP'!$C:$AN,MID(X$1,1,2),FALSE)</f>
        <v>0</v>
      </c>
      <c r="Y544" s="55">
        <f>VLOOKUP($E544,'NI-San_SP'!$C:$AN,MID(Y$1,1,2),FALSE)</f>
        <v>0</v>
      </c>
      <c r="Z544" s="55">
        <f>VLOOKUP($E544,'NI-San_SP'!$C:$AN,MID(Z$1,1,2),FALSE)</f>
        <v>0</v>
      </c>
      <c r="AA544" s="55">
        <f>VLOOKUP($E544,'NI-San_SP'!$C:$AN,MID(AA$1,1,2),FALSE)</f>
        <v>0</v>
      </c>
      <c r="AB544" s="55">
        <f>VLOOKUP($E544,'NI-San_SP'!$C:$AN,MID(AB$1,1,2),FALSE)</f>
        <v>0</v>
      </c>
      <c r="AC544" s="55">
        <f>VLOOKUP($E544,'NI-San_SP'!$C:$AN,MID(AC$1,1,2),FALSE)</f>
        <v>0</v>
      </c>
      <c r="AD544" s="55">
        <f>VLOOKUP($E544,'NI-San_SP'!$C:$AN,MID(AD$1,1,2),FALSE)</f>
        <v>0</v>
      </c>
      <c r="AE544" s="55">
        <f>VLOOKUP($E544,'NI-San_SP'!$C:$AN,MID(AE$1,1,2),FALSE)</f>
        <v>0</v>
      </c>
      <c r="AF544" s="55">
        <f>VLOOKUP($E544,'NI-San_SP'!$C:$AN,MID(AF$1,1,2),FALSE)</f>
        <v>0</v>
      </c>
      <c r="AG544" s="55">
        <f>VLOOKUP($E544,'NI-San_SP'!$C:$AN,MID(AG$1,1,2),FALSE)</f>
        <v>0</v>
      </c>
      <c r="AH544" s="55">
        <f>VLOOKUP($E544,'NI-San_SP'!$C:$AN,MID(AH$1,1,2),FALSE)</f>
        <v>0</v>
      </c>
      <c r="AI544" s="55">
        <f>VLOOKUP($E544,'NI-San_SP'!$C:$AN,MID(AI$1,1,2),FALSE)</f>
        <v>0</v>
      </c>
      <c r="AJ544" s="55">
        <f>VLOOKUP($E544,'NI-San_SP'!$C:$AN,MID(AJ$1,1,2),FALSE)</f>
        <v>0</v>
      </c>
      <c r="AK544" s="55">
        <f>VLOOKUP($E544,'NI-San_SP'!$C:$AN,MID(AK$1,1,2),FALSE)</f>
        <v>0</v>
      </c>
      <c r="AL544" s="55">
        <f>VLOOKUP($E544,'NI-San_SP'!$C:$AN,MID(AL$1,1,2),FALSE)</f>
        <v>0</v>
      </c>
      <c r="AM544" s="56">
        <f>VLOOKUP($E544,'NI-San_SP'!$C:$AN,MID(AM$1,1,2),FALSE)</f>
        <v>0</v>
      </c>
      <c r="AN544" s="30" t="str">
        <f t="shared" si="8"/>
        <v>60205000000000</v>
      </c>
    </row>
    <row r="545" spans="1:40" x14ac:dyDescent="0.25">
      <c r="A545" s="30" t="s">
        <v>1394</v>
      </c>
      <c r="C545" s="40"/>
      <c r="D545" s="87" t="s">
        <v>2068</v>
      </c>
      <c r="E545" s="87" t="s">
        <v>2069</v>
      </c>
      <c r="F545" s="58" t="s">
        <v>110</v>
      </c>
      <c r="G545" s="52"/>
      <c r="H545" s="52"/>
      <c r="I545" s="52"/>
      <c r="J545" s="52" t="s">
        <v>2070</v>
      </c>
      <c r="K545" s="59" t="s">
        <v>79</v>
      </c>
      <c r="L545" s="81"/>
      <c r="M545" s="52"/>
      <c r="N545" s="52"/>
      <c r="O545" s="52"/>
      <c r="P545" s="76" t="s">
        <v>2071</v>
      </c>
      <c r="Q545" s="55">
        <f>VLOOKUP(E545,'NI-San_SP'!$C:$AN,12,FALSE)</f>
        <v>0</v>
      </c>
      <c r="R545" s="55">
        <f>VLOOKUP(E545,'NI-San_SP'!$C:$AN,13,FALSE)</f>
        <v>0</v>
      </c>
      <c r="S545" s="55"/>
      <c r="T545" s="55"/>
      <c r="U545" s="55">
        <f>VLOOKUP($E545,'NI-San_SP'!$C:$AN,MID(U$1,1,2),FALSE)</f>
        <v>0</v>
      </c>
      <c r="V545" s="55">
        <f>VLOOKUP($E545,'NI-San_SP'!$C:$AN,MID(V$1,1,2),FALSE)</f>
        <v>0</v>
      </c>
      <c r="W545" s="55">
        <f>VLOOKUP($E545,'NI-San_SP'!$C:$AN,MID(W$1,1,2),FALSE)</f>
        <v>0</v>
      </c>
      <c r="X545" s="55">
        <f>VLOOKUP($E545,'NI-San_SP'!$C:$AN,MID(X$1,1,2),FALSE)</f>
        <v>0</v>
      </c>
      <c r="Y545" s="55">
        <f>VLOOKUP($E545,'NI-San_SP'!$C:$AN,MID(Y$1,1,2),FALSE)</f>
        <v>0</v>
      </c>
      <c r="Z545" s="55">
        <f>VLOOKUP($E545,'NI-San_SP'!$C:$AN,MID(Z$1,1,2),FALSE)</f>
        <v>0</v>
      </c>
      <c r="AA545" s="55">
        <f>VLOOKUP($E545,'NI-San_SP'!$C:$AN,MID(AA$1,1,2),FALSE)</f>
        <v>0</v>
      </c>
      <c r="AB545" s="55">
        <f>VLOOKUP($E545,'NI-San_SP'!$C:$AN,MID(AB$1,1,2),FALSE)</f>
        <v>0</v>
      </c>
      <c r="AC545" s="55">
        <f>VLOOKUP($E545,'NI-San_SP'!$C:$AN,MID(AC$1,1,2),FALSE)</f>
        <v>0</v>
      </c>
      <c r="AD545" s="55">
        <f>VLOOKUP($E545,'NI-San_SP'!$C:$AN,MID(AD$1,1,2),FALSE)</f>
        <v>0</v>
      </c>
      <c r="AE545" s="55">
        <f>VLOOKUP($E545,'NI-San_SP'!$C:$AN,MID(AE$1,1,2),FALSE)</f>
        <v>0</v>
      </c>
      <c r="AF545" s="55">
        <f>VLOOKUP($E545,'NI-San_SP'!$C:$AN,MID(AF$1,1,2),FALSE)</f>
        <v>0</v>
      </c>
      <c r="AG545" s="55">
        <f>VLOOKUP($E545,'NI-San_SP'!$C:$AN,MID(AG$1,1,2),FALSE)</f>
        <v>0</v>
      </c>
      <c r="AH545" s="55">
        <f>VLOOKUP($E545,'NI-San_SP'!$C:$AN,MID(AH$1,1,2),FALSE)</f>
        <v>0</v>
      </c>
      <c r="AI545" s="55">
        <f>VLOOKUP($E545,'NI-San_SP'!$C:$AN,MID(AI$1,1,2),FALSE)</f>
        <v>0</v>
      </c>
      <c r="AJ545" s="55">
        <f>VLOOKUP($E545,'NI-San_SP'!$C:$AN,MID(AJ$1,1,2),FALSE)</f>
        <v>0</v>
      </c>
      <c r="AK545" s="55">
        <f>VLOOKUP($E545,'NI-San_SP'!$C:$AN,MID(AK$1,1,2),FALSE)</f>
        <v>0</v>
      </c>
      <c r="AL545" s="55">
        <f>VLOOKUP($E545,'NI-San_SP'!$C:$AN,MID(AL$1,1,2),FALSE)</f>
        <v>0</v>
      </c>
      <c r="AM545" s="56">
        <f>VLOOKUP($E545,'NI-San_SP'!$C:$AN,MID(AM$1,1,2),FALSE)</f>
        <v>0</v>
      </c>
      <c r="AN545" s="30" t="str">
        <f t="shared" si="8"/>
        <v>60206000000000</v>
      </c>
    </row>
    <row r="546" spans="1:40" x14ac:dyDescent="0.25">
      <c r="C546" s="40"/>
      <c r="D546" s="57" t="s">
        <v>2072</v>
      </c>
      <c r="E546" s="57" t="s">
        <v>2073</v>
      </c>
      <c r="F546" s="58" t="s">
        <v>110</v>
      </c>
      <c r="G546" s="52"/>
      <c r="H546" s="52"/>
      <c r="I546" s="52" t="s">
        <v>2074</v>
      </c>
      <c r="J546" s="52" t="s">
        <v>2074</v>
      </c>
      <c r="K546" s="59" t="s">
        <v>79</v>
      </c>
      <c r="L546" s="81" t="s">
        <v>2075</v>
      </c>
      <c r="M546" s="52"/>
      <c r="N546" s="52"/>
      <c r="O546" s="52"/>
      <c r="P546" s="76" t="s">
        <v>2076</v>
      </c>
      <c r="Q546" s="55">
        <f>VLOOKUP(E546,'NI-San_SP'!$C:$AN,12,FALSE)</f>
        <v>0</v>
      </c>
      <c r="R546" s="55">
        <f>VLOOKUP(E546,'NI-San_SP'!$C:$AN,13,FALSE)</f>
        <v>0</v>
      </c>
      <c r="S546" s="55"/>
      <c r="T546" s="55"/>
      <c r="U546" s="55">
        <f>VLOOKUP($E546,'NI-San_SP'!$C:$AN,MID(U$1,1,2),FALSE)</f>
        <v>0</v>
      </c>
      <c r="V546" s="55">
        <f>VLOOKUP($E546,'NI-San_SP'!$C:$AN,MID(V$1,1,2),FALSE)</f>
        <v>0</v>
      </c>
      <c r="W546" s="55">
        <f>VLOOKUP($E546,'NI-San_SP'!$C:$AN,MID(W$1,1,2),FALSE)</f>
        <v>0</v>
      </c>
      <c r="X546" s="55">
        <f>VLOOKUP($E546,'NI-San_SP'!$C:$AN,MID(X$1,1,2),FALSE)</f>
        <v>0</v>
      </c>
      <c r="Y546" s="55">
        <f>VLOOKUP($E546,'NI-San_SP'!$C:$AN,MID(Y$1,1,2),FALSE)</f>
        <v>0</v>
      </c>
      <c r="Z546" s="55">
        <f>VLOOKUP($E546,'NI-San_SP'!$C:$AN,MID(Z$1,1,2),FALSE)</f>
        <v>0</v>
      </c>
      <c r="AA546" s="55">
        <f>VLOOKUP($E546,'NI-San_SP'!$C:$AN,MID(AA$1,1,2),FALSE)</f>
        <v>0</v>
      </c>
      <c r="AB546" s="55">
        <f>VLOOKUP($E546,'NI-San_SP'!$C:$AN,MID(AB$1,1,2),FALSE)</f>
        <v>0</v>
      </c>
      <c r="AC546" s="55">
        <f>VLOOKUP($E546,'NI-San_SP'!$C:$AN,MID(AC$1,1,2),FALSE)</f>
        <v>0</v>
      </c>
      <c r="AD546" s="55">
        <f>VLOOKUP($E546,'NI-San_SP'!$C:$AN,MID(AD$1,1,2),FALSE)</f>
        <v>0</v>
      </c>
      <c r="AE546" s="55">
        <f>VLOOKUP($E546,'NI-San_SP'!$C:$AN,MID(AE$1,1,2),FALSE)</f>
        <v>0</v>
      </c>
      <c r="AF546" s="55">
        <f>VLOOKUP($E546,'NI-San_SP'!$C:$AN,MID(AF$1,1,2),FALSE)</f>
        <v>0</v>
      </c>
      <c r="AG546" s="55">
        <f>VLOOKUP($E546,'NI-San_SP'!$C:$AN,MID(AG$1,1,2),FALSE)</f>
        <v>0</v>
      </c>
      <c r="AH546" s="55">
        <f>VLOOKUP($E546,'NI-San_SP'!$C:$AN,MID(AH$1,1,2),FALSE)</f>
        <v>0</v>
      </c>
      <c r="AI546" s="55">
        <f>VLOOKUP($E546,'NI-San_SP'!$C:$AN,MID(AI$1,1,2),FALSE)</f>
        <v>0</v>
      </c>
      <c r="AJ546" s="55">
        <f>VLOOKUP($E546,'NI-San_SP'!$C:$AN,MID(AJ$1,1,2),FALSE)</f>
        <v>0</v>
      </c>
      <c r="AK546" s="55">
        <f>VLOOKUP($E546,'NI-San_SP'!$C:$AN,MID(AK$1,1,2),FALSE)</f>
        <v>0</v>
      </c>
      <c r="AL546" s="55">
        <f>VLOOKUP($E546,'NI-San_SP'!$C:$AN,MID(AL$1,1,2),FALSE)</f>
        <v>0</v>
      </c>
      <c r="AM546" s="56">
        <f>VLOOKUP($E546,'NI-San_SP'!$C:$AN,MID(AM$1,1,2),FALSE)</f>
        <v>0</v>
      </c>
      <c r="AN546" s="30" t="str">
        <f t="shared" si="8"/>
        <v>60207000000000</v>
      </c>
    </row>
    <row r="547" spans="1:40" x14ac:dyDescent="0.25">
      <c r="C547" s="40"/>
      <c r="D547" s="57" t="s">
        <v>2077</v>
      </c>
      <c r="E547" s="57" t="s">
        <v>2078</v>
      </c>
      <c r="F547" s="58" t="s">
        <v>110</v>
      </c>
      <c r="G547" s="52"/>
      <c r="H547" s="52"/>
      <c r="I547" s="65"/>
      <c r="J547" s="52"/>
      <c r="K547" s="59" t="s">
        <v>111</v>
      </c>
      <c r="L547" s="52"/>
      <c r="M547" s="52"/>
      <c r="N547" s="52"/>
      <c r="O547" s="61" t="s">
        <v>2079</v>
      </c>
      <c r="P547" s="76" t="s">
        <v>2080</v>
      </c>
      <c r="Q547" s="55">
        <f>VLOOKUP(E547,'NI-San_SP'!$C:$AN,12,FALSE)</f>
        <v>0</v>
      </c>
      <c r="R547" s="55">
        <f>VLOOKUP(E547,'NI-San_SP'!$C:$AN,13,FALSE)</f>
        <v>0</v>
      </c>
      <c r="S547" s="55"/>
      <c r="T547" s="55"/>
      <c r="U547" s="55">
        <f>VLOOKUP($E547,'NI-San_SP'!$C:$AN,MID(U$1,1,2),FALSE)</f>
        <v>0</v>
      </c>
      <c r="V547" s="55">
        <f>VLOOKUP($E547,'NI-San_SP'!$C:$AN,MID(V$1,1,2),FALSE)</f>
        <v>0</v>
      </c>
      <c r="W547" s="55">
        <f>VLOOKUP($E547,'NI-San_SP'!$C:$AN,MID(W$1,1,2),FALSE)</f>
        <v>0</v>
      </c>
      <c r="X547" s="55">
        <f>VLOOKUP($E547,'NI-San_SP'!$C:$AN,MID(X$1,1,2),FALSE)</f>
        <v>0</v>
      </c>
      <c r="Y547" s="55">
        <f>VLOOKUP($E547,'NI-San_SP'!$C:$AN,MID(Y$1,1,2),FALSE)</f>
        <v>0</v>
      </c>
      <c r="Z547" s="55">
        <f>VLOOKUP($E547,'NI-San_SP'!$C:$AN,MID(Z$1,1,2),FALSE)</f>
        <v>0</v>
      </c>
      <c r="AA547" s="55">
        <f>VLOOKUP($E547,'NI-San_SP'!$C:$AN,MID(AA$1,1,2),FALSE)</f>
        <v>0</v>
      </c>
      <c r="AB547" s="55">
        <f>VLOOKUP($E547,'NI-San_SP'!$C:$AN,MID(AB$1,1,2),FALSE)</f>
        <v>0</v>
      </c>
      <c r="AC547" s="55">
        <f>VLOOKUP($E547,'NI-San_SP'!$C:$AN,MID(AC$1,1,2),FALSE)</f>
        <v>0</v>
      </c>
      <c r="AD547" s="55">
        <f>VLOOKUP($E547,'NI-San_SP'!$C:$AN,MID(AD$1,1,2),FALSE)</f>
        <v>0</v>
      </c>
      <c r="AE547" s="55">
        <f>VLOOKUP($E547,'NI-San_SP'!$C:$AN,MID(AE$1,1,2),FALSE)</f>
        <v>0</v>
      </c>
      <c r="AF547" s="55">
        <f>VLOOKUP($E547,'NI-San_SP'!$C:$AN,MID(AF$1,1,2),FALSE)</f>
        <v>0</v>
      </c>
      <c r="AG547" s="55">
        <f>VLOOKUP($E547,'NI-San_SP'!$C:$AN,MID(AG$1,1,2),FALSE)</f>
        <v>0</v>
      </c>
      <c r="AH547" s="55">
        <f>VLOOKUP($E547,'NI-San_SP'!$C:$AN,MID(AH$1,1,2),FALSE)</f>
        <v>0</v>
      </c>
      <c r="AI547" s="55">
        <f>VLOOKUP($E547,'NI-San_SP'!$C:$AN,MID(AI$1,1,2),FALSE)</f>
        <v>0</v>
      </c>
      <c r="AJ547" s="55">
        <f>VLOOKUP($E547,'NI-San_SP'!$C:$AN,MID(AJ$1,1,2),FALSE)</f>
        <v>0</v>
      </c>
      <c r="AK547" s="55">
        <f>VLOOKUP($E547,'NI-San_SP'!$C:$AN,MID(AK$1,1,2),FALSE)</f>
        <v>0</v>
      </c>
      <c r="AL547" s="55">
        <f>VLOOKUP($E547,'NI-San_SP'!$C:$AN,MID(AL$1,1,2),FALSE)</f>
        <v>0</v>
      </c>
      <c r="AM547" s="56">
        <f>VLOOKUP($E547,'NI-San_SP'!$C:$AN,MID(AM$1,1,2),FALSE)</f>
        <v>0</v>
      </c>
      <c r="AN547" s="30" t="str">
        <f t="shared" si="8"/>
        <v>60300000000000</v>
      </c>
    </row>
    <row r="548" spans="1:40" x14ac:dyDescent="0.25">
      <c r="C548" s="40"/>
      <c r="D548" s="57" t="s">
        <v>2081</v>
      </c>
      <c r="E548" s="57" t="s">
        <v>2082</v>
      </c>
      <c r="F548" s="58" t="s">
        <v>110</v>
      </c>
      <c r="G548" s="52"/>
      <c r="H548" s="52"/>
      <c r="I548" s="52" t="s">
        <v>2083</v>
      </c>
      <c r="J548" s="52" t="s">
        <v>2083</v>
      </c>
      <c r="K548" s="59" t="s">
        <v>79</v>
      </c>
      <c r="L548" s="81" t="s">
        <v>2084</v>
      </c>
      <c r="M548" s="52"/>
      <c r="N548" s="52"/>
      <c r="O548" s="52"/>
      <c r="P548" s="76" t="s">
        <v>2085</v>
      </c>
      <c r="Q548" s="55">
        <f>VLOOKUP(E548,'NI-San_SP'!$C:$AN,12,FALSE)</f>
        <v>0</v>
      </c>
      <c r="R548" s="55">
        <f>VLOOKUP(E548,'NI-San_SP'!$C:$AN,13,FALSE)</f>
        <v>0</v>
      </c>
      <c r="S548" s="55"/>
      <c r="T548" s="55"/>
      <c r="U548" s="55">
        <f>VLOOKUP($E548,'NI-San_SP'!$C:$AN,MID(U$1,1,2),FALSE)</f>
        <v>0</v>
      </c>
      <c r="V548" s="55">
        <f>VLOOKUP($E548,'NI-San_SP'!$C:$AN,MID(V$1,1,2),FALSE)</f>
        <v>0</v>
      </c>
      <c r="W548" s="55">
        <f>VLOOKUP($E548,'NI-San_SP'!$C:$AN,MID(W$1,1,2),FALSE)</f>
        <v>0</v>
      </c>
      <c r="X548" s="55">
        <f>VLOOKUP($E548,'NI-San_SP'!$C:$AN,MID(X$1,1,2),FALSE)</f>
        <v>0</v>
      </c>
      <c r="Y548" s="55">
        <f>VLOOKUP($E548,'NI-San_SP'!$C:$AN,MID(Y$1,1,2),FALSE)</f>
        <v>0</v>
      </c>
      <c r="Z548" s="55">
        <f>VLOOKUP($E548,'NI-San_SP'!$C:$AN,MID(Z$1,1,2),FALSE)</f>
        <v>0</v>
      </c>
      <c r="AA548" s="55">
        <f>VLOOKUP($E548,'NI-San_SP'!$C:$AN,MID(AA$1,1,2),FALSE)</f>
        <v>0</v>
      </c>
      <c r="AB548" s="55">
        <f>VLOOKUP($E548,'NI-San_SP'!$C:$AN,MID(AB$1,1,2),FALSE)</f>
        <v>0</v>
      </c>
      <c r="AC548" s="55">
        <f>VLOOKUP($E548,'NI-San_SP'!$C:$AN,MID(AC$1,1,2),FALSE)</f>
        <v>0</v>
      </c>
      <c r="AD548" s="55" t="str">
        <f>VLOOKUP($E548,'NI-San_SP'!$C:$AN,MID(AD$1,1,2),FALSE)</f>
        <v>DA NASCONDERE</v>
      </c>
      <c r="AE548" s="55">
        <f>VLOOKUP($E548,'NI-San_SP'!$C:$AN,MID(AE$1,1,2),FALSE)</f>
        <v>0</v>
      </c>
      <c r="AF548" s="55">
        <f>VLOOKUP($E548,'NI-San_SP'!$C:$AN,MID(AF$1,1,2),FALSE)</f>
        <v>0</v>
      </c>
      <c r="AG548" s="55">
        <f>VLOOKUP($E548,'NI-San_SP'!$C:$AN,MID(AG$1,1,2),FALSE)</f>
        <v>0</v>
      </c>
      <c r="AH548" s="55">
        <f>VLOOKUP($E548,'NI-San_SP'!$C:$AN,MID(AH$1,1,2),FALSE)</f>
        <v>0</v>
      </c>
      <c r="AI548" s="55">
        <f>VLOOKUP($E548,'NI-San_SP'!$C:$AN,MID(AI$1,1,2),FALSE)</f>
        <v>0</v>
      </c>
      <c r="AJ548" s="55">
        <f>VLOOKUP($E548,'NI-San_SP'!$C:$AN,MID(AJ$1,1,2),FALSE)</f>
        <v>0</v>
      </c>
      <c r="AK548" s="55">
        <f>VLOOKUP($E548,'NI-San_SP'!$C:$AN,MID(AK$1,1,2),FALSE)</f>
        <v>0</v>
      </c>
      <c r="AL548" s="55">
        <f>VLOOKUP($E548,'NI-San_SP'!$C:$AN,MID(AL$1,1,2),FALSE)</f>
        <v>0</v>
      </c>
      <c r="AM548" s="56">
        <f>VLOOKUP($E548,'NI-San_SP'!$C:$AN,MID(AM$1,1,2),FALSE)</f>
        <v>0</v>
      </c>
      <c r="AN548" s="30" t="str">
        <f t="shared" si="8"/>
        <v>60301000000000</v>
      </c>
    </row>
    <row r="549" spans="1:40" x14ac:dyDescent="0.25">
      <c r="C549" s="40"/>
      <c r="D549" s="57" t="s">
        <v>2086</v>
      </c>
      <c r="E549" s="57" t="s">
        <v>2087</v>
      </c>
      <c r="F549" s="58" t="s">
        <v>110</v>
      </c>
      <c r="G549" s="52"/>
      <c r="H549" s="52"/>
      <c r="I549" s="52" t="s">
        <v>2088</v>
      </c>
      <c r="J549" s="52" t="s">
        <v>2088</v>
      </c>
      <c r="K549" s="59" t="s">
        <v>79</v>
      </c>
      <c r="L549" s="81" t="s">
        <v>2089</v>
      </c>
      <c r="M549" s="52"/>
      <c r="N549" s="52"/>
      <c r="O549" s="52"/>
      <c r="P549" s="76" t="s">
        <v>2090</v>
      </c>
      <c r="Q549" s="55">
        <f>VLOOKUP(E549,'NI-San_SP'!$C:$AN,12,FALSE)</f>
        <v>0</v>
      </c>
      <c r="R549" s="55">
        <f>VLOOKUP(E549,'NI-San_SP'!$C:$AN,13,FALSE)</f>
        <v>0</v>
      </c>
      <c r="S549" s="55"/>
      <c r="T549" s="55"/>
      <c r="U549" s="55">
        <f>VLOOKUP($E549,'NI-San_SP'!$C:$AN,MID(U$1,1,2),FALSE)</f>
        <v>0</v>
      </c>
      <c r="V549" s="55">
        <f>VLOOKUP($E549,'NI-San_SP'!$C:$AN,MID(V$1,1,2),FALSE)</f>
        <v>0</v>
      </c>
      <c r="W549" s="55">
        <f>VLOOKUP($E549,'NI-San_SP'!$C:$AN,MID(W$1,1,2),FALSE)</f>
        <v>0</v>
      </c>
      <c r="X549" s="55">
        <f>VLOOKUP($E549,'NI-San_SP'!$C:$AN,MID(X$1,1,2),FALSE)</f>
        <v>0</v>
      </c>
      <c r="Y549" s="55">
        <f>VLOOKUP($E549,'NI-San_SP'!$C:$AN,MID(Y$1,1,2),FALSE)</f>
        <v>0</v>
      </c>
      <c r="Z549" s="55">
        <f>VLOOKUP($E549,'NI-San_SP'!$C:$AN,MID(Z$1,1,2),FALSE)</f>
        <v>0</v>
      </c>
      <c r="AA549" s="55">
        <f>VLOOKUP($E549,'NI-San_SP'!$C:$AN,MID(AA$1,1,2),FALSE)</f>
        <v>0</v>
      </c>
      <c r="AB549" s="55">
        <f>VLOOKUP($E549,'NI-San_SP'!$C:$AN,MID(AB$1,1,2),FALSE)</f>
        <v>0</v>
      </c>
      <c r="AC549" s="55">
        <f>VLOOKUP($E549,'NI-San_SP'!$C:$AN,MID(AC$1,1,2),FALSE)</f>
        <v>0</v>
      </c>
      <c r="AD549" s="55" t="str">
        <f>VLOOKUP($E549,'NI-San_SP'!$C:$AN,MID(AD$1,1,2),FALSE)</f>
        <v>USO REGIONE</v>
      </c>
      <c r="AE549" s="55">
        <f>VLOOKUP($E549,'NI-San_SP'!$C:$AN,MID(AE$1,1,2),FALSE)</f>
        <v>0</v>
      </c>
      <c r="AF549" s="55">
        <f>VLOOKUP($E549,'NI-San_SP'!$C:$AN,MID(AF$1,1,2),FALSE)</f>
        <v>0</v>
      </c>
      <c r="AG549" s="55">
        <f>VLOOKUP($E549,'NI-San_SP'!$C:$AN,MID(AG$1,1,2),FALSE)</f>
        <v>0</v>
      </c>
      <c r="AH549" s="55">
        <f>VLOOKUP($E549,'NI-San_SP'!$C:$AN,MID(AH$1,1,2),FALSE)</f>
        <v>0</v>
      </c>
      <c r="AI549" s="55">
        <f>VLOOKUP($E549,'NI-San_SP'!$C:$AN,MID(AI$1,1,2),FALSE)</f>
        <v>0</v>
      </c>
      <c r="AJ549" s="55">
        <f>VLOOKUP($E549,'NI-San_SP'!$C:$AN,MID(AJ$1,1,2),FALSE)</f>
        <v>0</v>
      </c>
      <c r="AK549" s="55">
        <f>VLOOKUP($E549,'NI-San_SP'!$C:$AN,MID(AK$1,1,2),FALSE)</f>
        <v>0</v>
      </c>
      <c r="AL549" s="55">
        <f>VLOOKUP($E549,'NI-San_SP'!$C:$AN,MID(AL$1,1,2),FALSE)</f>
        <v>0</v>
      </c>
      <c r="AM549" s="56">
        <f>VLOOKUP($E549,'NI-San_SP'!$C:$AN,MID(AM$1,1,2),FALSE)</f>
        <v>0</v>
      </c>
      <c r="AN549" s="30" t="str">
        <f t="shared" si="8"/>
        <v>60302000000000</v>
      </c>
    </row>
    <row r="550" spans="1:40" x14ac:dyDescent="0.25">
      <c r="C550" s="40"/>
      <c r="D550" s="57" t="s">
        <v>2091</v>
      </c>
      <c r="E550" s="57" t="s">
        <v>2092</v>
      </c>
      <c r="F550" s="58" t="s">
        <v>110</v>
      </c>
      <c r="G550" s="52"/>
      <c r="H550" s="52"/>
      <c r="I550" s="52" t="s">
        <v>2093</v>
      </c>
      <c r="J550" s="52" t="s">
        <v>2093</v>
      </c>
      <c r="K550" s="59" t="s">
        <v>79</v>
      </c>
      <c r="L550" s="81" t="s">
        <v>2094</v>
      </c>
      <c r="M550" s="52"/>
      <c r="N550" s="52"/>
      <c r="O550" s="52"/>
      <c r="P550" s="76" t="s">
        <v>2095</v>
      </c>
      <c r="Q550" s="55">
        <f>VLOOKUP(E550,'NI-San_SP'!$C:$AN,12,FALSE)</f>
        <v>0</v>
      </c>
      <c r="R550" s="55">
        <f>VLOOKUP(E550,'NI-San_SP'!$C:$AN,13,FALSE)</f>
        <v>0</v>
      </c>
      <c r="S550" s="55"/>
      <c r="T550" s="55"/>
      <c r="U550" s="55">
        <f>VLOOKUP($E550,'NI-San_SP'!$C:$AN,MID(U$1,1,2),FALSE)</f>
        <v>0</v>
      </c>
      <c r="V550" s="55">
        <f>VLOOKUP($E550,'NI-San_SP'!$C:$AN,MID(V$1,1,2),FALSE)</f>
        <v>0</v>
      </c>
      <c r="W550" s="55">
        <f>VLOOKUP($E550,'NI-San_SP'!$C:$AN,MID(W$1,1,2),FALSE)</f>
        <v>0</v>
      </c>
      <c r="X550" s="55">
        <f>VLOOKUP($E550,'NI-San_SP'!$C:$AN,MID(X$1,1,2),FALSE)</f>
        <v>0</v>
      </c>
      <c r="Y550" s="55">
        <f>VLOOKUP($E550,'NI-San_SP'!$C:$AN,MID(Y$1,1,2),FALSE)</f>
        <v>0</v>
      </c>
      <c r="Z550" s="55">
        <f>VLOOKUP($E550,'NI-San_SP'!$C:$AN,MID(Z$1,1,2),FALSE)</f>
        <v>0</v>
      </c>
      <c r="AA550" s="55">
        <f>VLOOKUP($E550,'NI-San_SP'!$C:$AN,MID(AA$1,1,2),FALSE)</f>
        <v>0</v>
      </c>
      <c r="AB550" s="55">
        <f>VLOOKUP($E550,'NI-San_SP'!$C:$AN,MID(AB$1,1,2),FALSE)</f>
        <v>0</v>
      </c>
      <c r="AC550" s="55">
        <f>VLOOKUP($E550,'NI-San_SP'!$C:$AN,MID(AC$1,1,2),FALSE)</f>
        <v>0</v>
      </c>
      <c r="AD550" s="55">
        <f>VLOOKUP($E550,'NI-San_SP'!$C:$AN,MID(AD$1,1,2),FALSE)</f>
        <v>0</v>
      </c>
      <c r="AE550" s="55">
        <f>VLOOKUP($E550,'NI-San_SP'!$C:$AN,MID(AE$1,1,2),FALSE)</f>
        <v>0</v>
      </c>
      <c r="AF550" s="55">
        <f>VLOOKUP($E550,'NI-San_SP'!$C:$AN,MID(AF$1,1,2),FALSE)</f>
        <v>0</v>
      </c>
      <c r="AG550" s="55">
        <f>VLOOKUP($E550,'NI-San_SP'!$C:$AN,MID(AG$1,1,2),FALSE)</f>
        <v>0</v>
      </c>
      <c r="AH550" s="55">
        <f>VLOOKUP($E550,'NI-San_SP'!$C:$AN,MID(AH$1,1,2),FALSE)</f>
        <v>0</v>
      </c>
      <c r="AI550" s="55">
        <f>VLOOKUP($E550,'NI-San_SP'!$C:$AN,MID(AI$1,1,2),FALSE)</f>
        <v>0</v>
      </c>
      <c r="AJ550" s="55">
        <f>VLOOKUP($E550,'NI-San_SP'!$C:$AN,MID(AJ$1,1,2),FALSE)</f>
        <v>0</v>
      </c>
      <c r="AK550" s="55">
        <f>VLOOKUP($E550,'NI-San_SP'!$C:$AN,MID(AK$1,1,2),FALSE)</f>
        <v>0</v>
      </c>
      <c r="AL550" s="55">
        <f>VLOOKUP($E550,'NI-San_SP'!$C:$AN,MID(AL$1,1,2),FALSE)</f>
        <v>0</v>
      </c>
      <c r="AM550" s="56">
        <f>VLOOKUP($E550,'NI-San_SP'!$C:$AN,MID(AM$1,1,2),FALSE)</f>
        <v>0</v>
      </c>
      <c r="AN550" s="30" t="str">
        <f t="shared" si="8"/>
        <v>60303000000000</v>
      </c>
    </row>
    <row r="551" spans="1:40" x14ac:dyDescent="0.25">
      <c r="C551" s="40"/>
      <c r="D551" s="57" t="s">
        <v>2096</v>
      </c>
      <c r="E551" s="57" t="s">
        <v>2097</v>
      </c>
      <c r="F551" s="58" t="s">
        <v>110</v>
      </c>
      <c r="G551" s="52"/>
      <c r="H551" s="52"/>
      <c r="I551" s="52" t="s">
        <v>2098</v>
      </c>
      <c r="J551" s="52" t="s">
        <v>2098</v>
      </c>
      <c r="K551" s="59" t="s">
        <v>79</v>
      </c>
      <c r="L551" s="81" t="s">
        <v>2099</v>
      </c>
      <c r="M551" s="52"/>
      <c r="N551" s="52"/>
      <c r="O551" s="52"/>
      <c r="P551" s="76" t="s">
        <v>2100</v>
      </c>
      <c r="Q551" s="55">
        <f>VLOOKUP(E551,'NI-San_SP'!$C:$AN,12,FALSE)</f>
        <v>0</v>
      </c>
      <c r="R551" s="55">
        <f>VLOOKUP(E551,'NI-San_SP'!$C:$AN,13,FALSE)</f>
        <v>0</v>
      </c>
      <c r="S551" s="55"/>
      <c r="T551" s="55"/>
      <c r="U551" s="55">
        <f>VLOOKUP($E551,'NI-San_SP'!$C:$AN,MID(U$1,1,2),FALSE)</f>
        <v>0</v>
      </c>
      <c r="V551" s="55">
        <f>VLOOKUP($E551,'NI-San_SP'!$C:$AN,MID(V$1,1,2),FALSE)</f>
        <v>0</v>
      </c>
      <c r="W551" s="55">
        <f>VLOOKUP($E551,'NI-San_SP'!$C:$AN,MID(W$1,1,2),FALSE)</f>
        <v>0</v>
      </c>
      <c r="X551" s="55">
        <f>VLOOKUP($E551,'NI-San_SP'!$C:$AN,MID(X$1,1,2),FALSE)</f>
        <v>0</v>
      </c>
      <c r="Y551" s="55">
        <f>VLOOKUP($E551,'NI-San_SP'!$C:$AN,MID(Y$1,1,2),FALSE)</f>
        <v>0</v>
      </c>
      <c r="Z551" s="55">
        <f>VLOOKUP($E551,'NI-San_SP'!$C:$AN,MID(Z$1,1,2),FALSE)</f>
        <v>0</v>
      </c>
      <c r="AA551" s="55">
        <f>VLOOKUP($E551,'NI-San_SP'!$C:$AN,MID(AA$1,1,2),FALSE)</f>
        <v>0</v>
      </c>
      <c r="AB551" s="55">
        <f>VLOOKUP($E551,'NI-San_SP'!$C:$AN,MID(AB$1,1,2),FALSE)</f>
        <v>0</v>
      </c>
      <c r="AC551" s="55">
        <f>VLOOKUP($E551,'NI-San_SP'!$C:$AN,MID(AC$1,1,2),FALSE)</f>
        <v>0</v>
      </c>
      <c r="AD551" s="55">
        <f>VLOOKUP($E551,'NI-San_SP'!$C:$AN,MID(AD$1,1,2),FALSE)</f>
        <v>0</v>
      </c>
      <c r="AE551" s="55">
        <f>VLOOKUP($E551,'NI-San_SP'!$C:$AN,MID(AE$1,1,2),FALSE)</f>
        <v>0</v>
      </c>
      <c r="AF551" s="55">
        <f>VLOOKUP($E551,'NI-San_SP'!$C:$AN,MID(AF$1,1,2),FALSE)</f>
        <v>0</v>
      </c>
      <c r="AG551" s="55">
        <f>VLOOKUP($E551,'NI-San_SP'!$C:$AN,MID(AG$1,1,2),FALSE)</f>
        <v>0</v>
      </c>
      <c r="AH551" s="55">
        <f>VLOOKUP($E551,'NI-San_SP'!$C:$AN,MID(AH$1,1,2),FALSE)</f>
        <v>0</v>
      </c>
      <c r="AI551" s="55">
        <f>VLOOKUP($E551,'NI-San_SP'!$C:$AN,MID(AI$1,1,2),FALSE)</f>
        <v>0</v>
      </c>
      <c r="AJ551" s="55">
        <f>VLOOKUP($E551,'NI-San_SP'!$C:$AN,MID(AJ$1,1,2),FALSE)</f>
        <v>0</v>
      </c>
      <c r="AK551" s="55">
        <f>VLOOKUP($E551,'NI-San_SP'!$C:$AN,MID(AK$1,1,2),FALSE)</f>
        <v>0</v>
      </c>
      <c r="AL551" s="55">
        <f>VLOOKUP($E551,'NI-San_SP'!$C:$AN,MID(AL$1,1,2),FALSE)</f>
        <v>0</v>
      </c>
      <c r="AM551" s="56">
        <f>VLOOKUP($E551,'NI-San_SP'!$C:$AN,MID(AM$1,1,2),FALSE)</f>
        <v>0</v>
      </c>
      <c r="AN551" s="30" t="str">
        <f t="shared" si="8"/>
        <v>60304000000000</v>
      </c>
    </row>
    <row r="552" spans="1:40" x14ac:dyDescent="0.25">
      <c r="C552" s="40"/>
      <c r="D552" s="57" t="s">
        <v>2101</v>
      </c>
      <c r="E552" s="57" t="s">
        <v>2102</v>
      </c>
      <c r="F552" s="58" t="s">
        <v>110</v>
      </c>
      <c r="G552" s="52"/>
      <c r="H552" s="52"/>
      <c r="I552" s="52" t="s">
        <v>2103</v>
      </c>
      <c r="J552" s="52" t="s">
        <v>2103</v>
      </c>
      <c r="K552" s="59" t="s">
        <v>79</v>
      </c>
      <c r="L552" s="81" t="s">
        <v>2104</v>
      </c>
      <c r="M552" s="52"/>
      <c r="N552" s="52"/>
      <c r="O552" s="52"/>
      <c r="P552" s="76" t="s">
        <v>2105</v>
      </c>
      <c r="Q552" s="55">
        <f>VLOOKUP(E552,'NI-San_SP'!$C:$AN,12,FALSE)</f>
        <v>0</v>
      </c>
      <c r="R552" s="55">
        <f>VLOOKUP(E552,'NI-San_SP'!$C:$AN,13,FALSE)</f>
        <v>0</v>
      </c>
      <c r="S552" s="55"/>
      <c r="T552" s="55"/>
      <c r="U552" s="55">
        <f>VLOOKUP($E552,'NI-San_SP'!$C:$AN,MID(U$1,1,2),FALSE)</f>
        <v>0</v>
      </c>
      <c r="V552" s="55">
        <f>VLOOKUP($E552,'NI-San_SP'!$C:$AN,MID(V$1,1,2),FALSE)</f>
        <v>0</v>
      </c>
      <c r="W552" s="55">
        <f>VLOOKUP($E552,'NI-San_SP'!$C:$AN,MID(W$1,1,2),FALSE)</f>
        <v>0</v>
      </c>
      <c r="X552" s="55">
        <f>VLOOKUP($E552,'NI-San_SP'!$C:$AN,MID(X$1,1,2),FALSE)</f>
        <v>0</v>
      </c>
      <c r="Y552" s="55">
        <f>VLOOKUP($E552,'NI-San_SP'!$C:$AN,MID(Y$1,1,2),FALSE)</f>
        <v>0</v>
      </c>
      <c r="Z552" s="55">
        <f>VLOOKUP($E552,'NI-San_SP'!$C:$AN,MID(Z$1,1,2),FALSE)</f>
        <v>0</v>
      </c>
      <c r="AA552" s="55">
        <f>VLOOKUP($E552,'NI-San_SP'!$C:$AN,MID(AA$1,1,2),FALSE)</f>
        <v>0</v>
      </c>
      <c r="AB552" s="55">
        <f>VLOOKUP($E552,'NI-San_SP'!$C:$AN,MID(AB$1,1,2),FALSE)</f>
        <v>0</v>
      </c>
      <c r="AC552" s="55">
        <f>VLOOKUP($E552,'NI-San_SP'!$C:$AN,MID(AC$1,1,2),FALSE)</f>
        <v>0</v>
      </c>
      <c r="AD552" s="55">
        <f>VLOOKUP($E552,'NI-San_SP'!$C:$AN,MID(AD$1,1,2),FALSE)</f>
        <v>0</v>
      </c>
      <c r="AE552" s="55">
        <f>VLOOKUP($E552,'NI-San_SP'!$C:$AN,MID(AE$1,1,2),FALSE)</f>
        <v>0</v>
      </c>
      <c r="AF552" s="55">
        <f>VLOOKUP($E552,'NI-San_SP'!$C:$AN,MID(AF$1,1,2),FALSE)</f>
        <v>0</v>
      </c>
      <c r="AG552" s="55">
        <f>VLOOKUP($E552,'NI-San_SP'!$C:$AN,MID(AG$1,1,2),FALSE)</f>
        <v>0</v>
      </c>
      <c r="AH552" s="55">
        <f>VLOOKUP($E552,'NI-San_SP'!$C:$AN,MID(AH$1,1,2),FALSE)</f>
        <v>0</v>
      </c>
      <c r="AI552" s="55">
        <f>VLOOKUP($E552,'NI-San_SP'!$C:$AN,MID(AI$1,1,2),FALSE)</f>
        <v>0</v>
      </c>
      <c r="AJ552" s="55">
        <f>VLOOKUP($E552,'NI-San_SP'!$C:$AN,MID(AJ$1,1,2),FALSE)</f>
        <v>0</v>
      </c>
      <c r="AK552" s="55">
        <f>VLOOKUP($E552,'NI-San_SP'!$C:$AN,MID(AK$1,1,2),FALSE)</f>
        <v>0</v>
      </c>
      <c r="AL552" s="55">
        <f>VLOOKUP($E552,'NI-San_SP'!$C:$AN,MID(AL$1,1,2),FALSE)</f>
        <v>0</v>
      </c>
      <c r="AM552" s="56">
        <f>VLOOKUP($E552,'NI-San_SP'!$C:$AN,MID(AM$1,1,2),FALSE)</f>
        <v>0</v>
      </c>
      <c r="AN552" s="30" t="str">
        <f t="shared" si="8"/>
        <v>60305000000000</v>
      </c>
    </row>
    <row r="553" spans="1:40" x14ac:dyDescent="0.25">
      <c r="C553" s="40"/>
      <c r="D553" s="57" t="s">
        <v>2106</v>
      </c>
      <c r="E553" s="57" t="s">
        <v>2107</v>
      </c>
      <c r="F553" s="58" t="s">
        <v>110</v>
      </c>
      <c r="G553" s="52"/>
      <c r="H553" s="52"/>
      <c r="I553" s="52" t="s">
        <v>2108</v>
      </c>
      <c r="J553" s="52" t="s">
        <v>2108</v>
      </c>
      <c r="K553" s="59" t="s">
        <v>79</v>
      </c>
      <c r="L553" s="81" t="s">
        <v>2109</v>
      </c>
      <c r="M553" s="52"/>
      <c r="N553" s="52"/>
      <c r="O553" s="52"/>
      <c r="P553" s="76" t="s">
        <v>2110</v>
      </c>
      <c r="Q553" s="55">
        <f>VLOOKUP(E553,'NI-San_SP'!$C:$AN,12,FALSE)</f>
        <v>0</v>
      </c>
      <c r="R553" s="55">
        <f>VLOOKUP(E553,'NI-San_SP'!$C:$AN,13,FALSE)</f>
        <v>0</v>
      </c>
      <c r="S553" s="55"/>
      <c r="T553" s="55"/>
      <c r="U553" s="55">
        <f>VLOOKUP($E553,'NI-San_SP'!$C:$AN,MID(U$1,1,2),FALSE)</f>
        <v>0</v>
      </c>
      <c r="V553" s="55">
        <f>VLOOKUP($E553,'NI-San_SP'!$C:$AN,MID(V$1,1,2),FALSE)</f>
        <v>0</v>
      </c>
      <c r="W553" s="55">
        <f>VLOOKUP($E553,'NI-San_SP'!$C:$AN,MID(W$1,1,2),FALSE)</f>
        <v>0</v>
      </c>
      <c r="X553" s="55">
        <f>VLOOKUP($E553,'NI-San_SP'!$C:$AN,MID(X$1,1,2),FALSE)</f>
        <v>0</v>
      </c>
      <c r="Y553" s="55">
        <f>VLOOKUP($E553,'NI-San_SP'!$C:$AN,MID(Y$1,1,2),FALSE)</f>
        <v>0</v>
      </c>
      <c r="Z553" s="55">
        <f>VLOOKUP($E553,'NI-San_SP'!$C:$AN,MID(Z$1,1,2),FALSE)</f>
        <v>0</v>
      </c>
      <c r="AA553" s="55">
        <f>VLOOKUP($E553,'NI-San_SP'!$C:$AN,MID(AA$1,1,2),FALSE)</f>
        <v>0</v>
      </c>
      <c r="AB553" s="55">
        <f>VLOOKUP($E553,'NI-San_SP'!$C:$AN,MID(AB$1,1,2),FALSE)</f>
        <v>0</v>
      </c>
      <c r="AC553" s="55">
        <f>VLOOKUP($E553,'NI-San_SP'!$C:$AN,MID(AC$1,1,2),FALSE)</f>
        <v>0</v>
      </c>
      <c r="AD553" s="55">
        <f>VLOOKUP($E553,'NI-San_SP'!$C:$AN,MID(AD$1,1,2),FALSE)</f>
        <v>0</v>
      </c>
      <c r="AE553" s="55">
        <f>VLOOKUP($E553,'NI-San_SP'!$C:$AN,MID(AE$1,1,2),FALSE)</f>
        <v>0</v>
      </c>
      <c r="AF553" s="55">
        <f>VLOOKUP($E553,'NI-San_SP'!$C:$AN,MID(AF$1,1,2),FALSE)</f>
        <v>0</v>
      </c>
      <c r="AG553" s="55">
        <f>VLOOKUP($E553,'NI-San_SP'!$C:$AN,MID(AG$1,1,2),FALSE)</f>
        <v>0</v>
      </c>
      <c r="AH553" s="55">
        <f>VLOOKUP($E553,'NI-San_SP'!$C:$AN,MID(AH$1,1,2),FALSE)</f>
        <v>0</v>
      </c>
      <c r="AI553" s="55">
        <f>VLOOKUP($E553,'NI-San_SP'!$C:$AN,MID(AI$1,1,2),FALSE)</f>
        <v>0</v>
      </c>
      <c r="AJ553" s="55">
        <f>VLOOKUP($E553,'NI-San_SP'!$C:$AN,MID(AJ$1,1,2),FALSE)</f>
        <v>0</v>
      </c>
      <c r="AK553" s="55">
        <f>VLOOKUP($E553,'NI-San_SP'!$C:$AN,MID(AK$1,1,2),FALSE)</f>
        <v>0</v>
      </c>
      <c r="AL553" s="55">
        <f>VLOOKUP($E553,'NI-San_SP'!$C:$AN,MID(AL$1,1,2),FALSE)</f>
        <v>0</v>
      </c>
      <c r="AM553" s="56">
        <f>VLOOKUP($E553,'NI-San_SP'!$C:$AN,MID(AM$1,1,2),FALSE)</f>
        <v>0</v>
      </c>
      <c r="AN553" s="30" t="str">
        <f t="shared" si="8"/>
        <v>60306000000000</v>
      </c>
    </row>
    <row r="554" spans="1:40" x14ac:dyDescent="0.25">
      <c r="C554" s="40"/>
      <c r="D554" s="57" t="s">
        <v>2111</v>
      </c>
      <c r="E554" s="57" t="s">
        <v>2112</v>
      </c>
      <c r="F554" s="58" t="s">
        <v>110</v>
      </c>
      <c r="G554" s="52"/>
      <c r="H554" s="52"/>
      <c r="I554" s="52" t="s">
        <v>2113</v>
      </c>
      <c r="J554" s="52" t="s">
        <v>2113</v>
      </c>
      <c r="K554" s="59" t="s">
        <v>79</v>
      </c>
      <c r="L554" s="81" t="s">
        <v>2114</v>
      </c>
      <c r="M554" s="52"/>
      <c r="N554" s="52"/>
      <c r="O554" s="52"/>
      <c r="P554" s="76" t="s">
        <v>2115</v>
      </c>
      <c r="Q554" s="55">
        <f>VLOOKUP(E554,'NI-San_SP'!$C:$AN,12,FALSE)</f>
        <v>0</v>
      </c>
      <c r="R554" s="55">
        <f>VLOOKUP(E554,'NI-San_SP'!$C:$AN,13,FALSE)</f>
        <v>0</v>
      </c>
      <c r="S554" s="55"/>
      <c r="T554" s="55"/>
      <c r="U554" s="55">
        <f>VLOOKUP($E554,'NI-San_SP'!$C:$AN,MID(U$1,1,2),FALSE)</f>
        <v>0</v>
      </c>
      <c r="V554" s="55">
        <f>VLOOKUP($E554,'NI-San_SP'!$C:$AN,MID(V$1,1,2),FALSE)</f>
        <v>0</v>
      </c>
      <c r="W554" s="55">
        <f>VLOOKUP($E554,'NI-San_SP'!$C:$AN,MID(W$1,1,2),FALSE)</f>
        <v>0</v>
      </c>
      <c r="X554" s="55">
        <f>VLOOKUP($E554,'NI-San_SP'!$C:$AN,MID(X$1,1,2),FALSE)</f>
        <v>0</v>
      </c>
      <c r="Y554" s="55">
        <f>VLOOKUP($E554,'NI-San_SP'!$C:$AN,MID(Y$1,1,2),FALSE)</f>
        <v>0</v>
      </c>
      <c r="Z554" s="55">
        <f>VLOOKUP($E554,'NI-San_SP'!$C:$AN,MID(Z$1,1,2),FALSE)</f>
        <v>0</v>
      </c>
      <c r="AA554" s="55">
        <f>VLOOKUP($E554,'NI-San_SP'!$C:$AN,MID(AA$1,1,2),FALSE)</f>
        <v>0</v>
      </c>
      <c r="AB554" s="55">
        <f>VLOOKUP($E554,'NI-San_SP'!$C:$AN,MID(AB$1,1,2),FALSE)</f>
        <v>0</v>
      </c>
      <c r="AC554" s="55">
        <f>VLOOKUP($E554,'NI-San_SP'!$C:$AN,MID(AC$1,1,2),FALSE)</f>
        <v>0</v>
      </c>
      <c r="AD554" s="55">
        <f>VLOOKUP($E554,'NI-San_SP'!$C:$AN,MID(AD$1,1,2),FALSE)</f>
        <v>0</v>
      </c>
      <c r="AE554" s="55">
        <f>VLOOKUP($E554,'NI-San_SP'!$C:$AN,MID(AE$1,1,2),FALSE)</f>
        <v>0</v>
      </c>
      <c r="AF554" s="55">
        <f>VLOOKUP($E554,'NI-San_SP'!$C:$AN,MID(AF$1,1,2),FALSE)</f>
        <v>0</v>
      </c>
      <c r="AG554" s="55">
        <f>VLOOKUP($E554,'NI-San_SP'!$C:$AN,MID(AG$1,1,2),FALSE)</f>
        <v>0</v>
      </c>
      <c r="AH554" s="55">
        <f>VLOOKUP($E554,'NI-San_SP'!$C:$AN,MID(AH$1,1,2),FALSE)</f>
        <v>0</v>
      </c>
      <c r="AI554" s="55">
        <f>VLOOKUP($E554,'NI-San_SP'!$C:$AN,MID(AI$1,1,2),FALSE)</f>
        <v>0</v>
      </c>
      <c r="AJ554" s="55">
        <f>VLOOKUP($E554,'NI-San_SP'!$C:$AN,MID(AJ$1,1,2),FALSE)</f>
        <v>0</v>
      </c>
      <c r="AK554" s="55">
        <f>VLOOKUP($E554,'NI-San_SP'!$C:$AN,MID(AK$1,1,2),FALSE)</f>
        <v>0</v>
      </c>
      <c r="AL554" s="55">
        <f>VLOOKUP($E554,'NI-San_SP'!$C:$AN,MID(AL$1,1,2),FALSE)</f>
        <v>0</v>
      </c>
      <c r="AM554" s="56">
        <f>VLOOKUP($E554,'NI-San_SP'!$C:$AN,MID(AM$1,1,2),FALSE)</f>
        <v>0</v>
      </c>
      <c r="AN554" s="30" t="str">
        <f t="shared" si="8"/>
        <v>60307000000000</v>
      </c>
    </row>
    <row r="555" spans="1:40" ht="27" x14ac:dyDescent="0.25">
      <c r="A555" s="30" t="s">
        <v>2116</v>
      </c>
      <c r="C555" s="40"/>
      <c r="D555" s="87" t="s">
        <v>2117</v>
      </c>
      <c r="E555" s="87" t="s">
        <v>2118</v>
      </c>
      <c r="F555" s="58" t="s">
        <v>110</v>
      </c>
      <c r="H555" s="52"/>
      <c r="I555" s="52"/>
      <c r="J555" s="52" t="s">
        <v>2119</v>
      </c>
      <c r="K555" s="59" t="s">
        <v>2120</v>
      </c>
      <c r="L555" s="81"/>
      <c r="M555" s="52"/>
      <c r="N555" s="52"/>
      <c r="O555" s="52"/>
      <c r="P555" s="76" t="s">
        <v>2121</v>
      </c>
      <c r="Q555" s="55">
        <f>VLOOKUP(E555,'NI-San_SP'!$C:$AN,12,FALSE)</f>
        <v>0</v>
      </c>
      <c r="R555" s="55">
        <f>VLOOKUP(E555,'NI-San_SP'!$C:$AN,13,FALSE)</f>
        <v>0</v>
      </c>
      <c r="S555" s="55"/>
      <c r="T555" s="55"/>
      <c r="U555" s="55">
        <f>VLOOKUP($E555,'NI-San_SP'!$C:$AN,MID(U$1,1,2),FALSE)</f>
        <v>0</v>
      </c>
      <c r="V555" s="55">
        <f>VLOOKUP($E555,'NI-San_SP'!$C:$AN,MID(V$1,1,2),FALSE)</f>
        <v>0</v>
      </c>
      <c r="W555" s="55">
        <f>VLOOKUP($E555,'NI-San_SP'!$C:$AN,MID(W$1,1,2),FALSE)</f>
        <v>0</v>
      </c>
      <c r="X555" s="55">
        <f>VLOOKUP($E555,'NI-San_SP'!$C:$AN,MID(X$1,1,2),FALSE)</f>
        <v>0</v>
      </c>
      <c r="Y555" s="55">
        <f>VLOOKUP($E555,'NI-San_SP'!$C:$AN,MID(Y$1,1,2),FALSE)</f>
        <v>0</v>
      </c>
      <c r="Z555" s="55">
        <f>VLOOKUP($E555,'NI-San_SP'!$C:$AN,MID(Z$1,1,2),FALSE)</f>
        <v>0</v>
      </c>
      <c r="AA555" s="55">
        <f>VLOOKUP($E555,'NI-San_SP'!$C:$AN,MID(AA$1,1,2),FALSE)</f>
        <v>0</v>
      </c>
      <c r="AB555" s="55">
        <f>VLOOKUP($E555,'NI-San_SP'!$C:$AN,MID(AB$1,1,2),FALSE)</f>
        <v>0</v>
      </c>
      <c r="AC555" s="55">
        <f>VLOOKUP($E555,'NI-San_SP'!$C:$AN,MID(AC$1,1,2),FALSE)</f>
        <v>0</v>
      </c>
      <c r="AD555" s="55">
        <f>VLOOKUP($E555,'NI-San_SP'!$C:$AN,MID(AD$1,1,2),FALSE)</f>
        <v>0</v>
      </c>
      <c r="AE555" s="55">
        <f>VLOOKUP($E555,'NI-San_SP'!$C:$AN,MID(AE$1,1,2),FALSE)</f>
        <v>0</v>
      </c>
      <c r="AF555" s="55">
        <f>VLOOKUP($E555,'NI-San_SP'!$C:$AN,MID(AF$1,1,2),FALSE)</f>
        <v>0</v>
      </c>
      <c r="AG555" s="55">
        <f>VLOOKUP($E555,'NI-San_SP'!$C:$AN,MID(AG$1,1,2),FALSE)</f>
        <v>0</v>
      </c>
      <c r="AH555" s="55">
        <f>VLOOKUP($E555,'NI-San_SP'!$C:$AN,MID(AH$1,1,2),FALSE)</f>
        <v>0</v>
      </c>
      <c r="AI555" s="55">
        <f>VLOOKUP($E555,'NI-San_SP'!$C:$AN,MID(AI$1,1,2),FALSE)</f>
        <v>0</v>
      </c>
      <c r="AJ555" s="55">
        <f>VLOOKUP($E555,'NI-San_SP'!$C:$AN,MID(AJ$1,1,2),FALSE)</f>
        <v>0</v>
      </c>
      <c r="AK555" s="55">
        <f>VLOOKUP($E555,'NI-San_SP'!$C:$AN,MID(AK$1,1,2),FALSE)</f>
        <v>0</v>
      </c>
      <c r="AL555" s="55">
        <f>VLOOKUP($E555,'NI-San_SP'!$C:$AN,MID(AL$1,1,2),FALSE)</f>
        <v>0</v>
      </c>
      <c r="AM555" s="56">
        <f>VLOOKUP($E555,'NI-San_SP'!$C:$AN,MID(AM$1,1,2),FALSE)</f>
        <v>0</v>
      </c>
      <c r="AN555" s="30" t="str">
        <f t="shared" si="8"/>
        <v>60308000000000</v>
      </c>
    </row>
    <row r="556" spans="1:40" x14ac:dyDescent="0.25">
      <c r="C556" s="40"/>
      <c r="D556" s="57" t="s">
        <v>2122</v>
      </c>
      <c r="E556" s="57" t="s">
        <v>2123</v>
      </c>
      <c r="F556" s="58" t="s">
        <v>110</v>
      </c>
      <c r="G556" s="52"/>
      <c r="H556" s="52"/>
      <c r="I556" s="52"/>
      <c r="J556" s="52"/>
      <c r="K556" s="59" t="s">
        <v>111</v>
      </c>
      <c r="L556" s="52"/>
      <c r="M556" s="52"/>
      <c r="N556" s="52"/>
      <c r="O556" s="61" t="s">
        <v>2124</v>
      </c>
      <c r="P556" s="76" t="s">
        <v>2125</v>
      </c>
      <c r="Q556" s="55">
        <f>VLOOKUP(E556,'NI-San_SP'!$C:$AN,12,FALSE)</f>
        <v>1471536</v>
      </c>
      <c r="R556" s="55">
        <f>VLOOKUP(E556,'NI-San_SP'!$C:$AN,13,FALSE)</f>
        <v>5205388</v>
      </c>
      <c r="S556" s="55"/>
      <c r="T556" s="55"/>
      <c r="U556" s="55">
        <f>VLOOKUP($E556,'NI-San_SP'!$C:$AN,MID(U$1,1,2),FALSE)</f>
        <v>0</v>
      </c>
      <c r="V556" s="55">
        <f>VLOOKUP($E556,'NI-San_SP'!$C:$AN,MID(V$1,1,2),FALSE)</f>
        <v>1471536</v>
      </c>
      <c r="W556" s="55">
        <f>VLOOKUP($E556,'NI-San_SP'!$C:$AN,MID(W$1,1,2),FALSE)</f>
        <v>0</v>
      </c>
      <c r="X556" s="55">
        <f>VLOOKUP($E556,'NI-San_SP'!$C:$AN,MID(X$1,1,2),FALSE)</f>
        <v>4396209</v>
      </c>
      <c r="Y556" s="55">
        <f>VLOOKUP($E556,'NI-San_SP'!$C:$AN,MID(Y$1,1,2),FALSE)</f>
        <v>-357330</v>
      </c>
      <c r="Z556" s="55">
        <f>VLOOKUP($E556,'NI-San_SP'!$C:$AN,MID(Z$1,1,2),FALSE)</f>
        <v>305027</v>
      </c>
      <c r="AA556" s="55">
        <f>VLOOKUP($E556,'NI-San_SP'!$C:$AN,MID(AA$1,1,2),FALSE)</f>
        <v>0</v>
      </c>
      <c r="AB556" s="55">
        <f>VLOOKUP($E556,'NI-San_SP'!$C:$AN,MID(AB$1,1,2),FALSE)</f>
        <v>5205388</v>
      </c>
      <c r="AC556" s="55">
        <f>VLOOKUP($E556,'NI-San_SP'!$C:$AN,MID(AC$1,1,2),FALSE)</f>
        <v>0</v>
      </c>
      <c r="AD556" s="55">
        <f>VLOOKUP($E556,'NI-San_SP'!$C:$AN,MID(AD$1,1,2),FALSE)</f>
        <v>0</v>
      </c>
      <c r="AE556" s="55">
        <f>VLOOKUP($E556,'NI-San_SP'!$C:$AN,MID(AE$1,1,2),FALSE)</f>
        <v>0</v>
      </c>
      <c r="AF556" s="55">
        <f>VLOOKUP($E556,'NI-San_SP'!$C:$AN,MID(AF$1,1,2),FALSE)</f>
        <v>0</v>
      </c>
      <c r="AG556" s="55">
        <f>VLOOKUP($E556,'NI-San_SP'!$C:$AN,MID(AG$1,1,2),FALSE)</f>
        <v>0</v>
      </c>
      <c r="AH556" s="55">
        <f>VLOOKUP($E556,'NI-San_SP'!$C:$AN,MID(AH$1,1,2),FALSE)</f>
        <v>0</v>
      </c>
      <c r="AI556" s="55">
        <f>VLOOKUP($E556,'NI-San_SP'!$C:$AN,MID(AI$1,1,2),FALSE)</f>
        <v>0</v>
      </c>
      <c r="AJ556" s="55">
        <f>VLOOKUP($E556,'NI-San_SP'!$C:$AN,MID(AJ$1,1,2),FALSE)</f>
        <v>0</v>
      </c>
      <c r="AK556" s="55">
        <f>VLOOKUP($E556,'NI-San_SP'!$C:$AN,MID(AK$1,1,2),FALSE)</f>
        <v>0</v>
      </c>
      <c r="AL556" s="55">
        <f>VLOOKUP($E556,'NI-San_SP'!$C:$AN,MID(AL$1,1,2),FALSE)</f>
        <v>0</v>
      </c>
      <c r="AM556" s="56">
        <f>VLOOKUP($E556,'NI-San_SP'!$C:$AN,MID(AM$1,1,2),FALSE)</f>
        <v>0</v>
      </c>
      <c r="AN556" s="30" t="str">
        <f t="shared" si="8"/>
        <v>60400000000000</v>
      </c>
    </row>
    <row r="557" spans="1:40" x14ac:dyDescent="0.25">
      <c r="A557" s="30" t="s">
        <v>1394</v>
      </c>
      <c r="C557" s="40"/>
      <c r="D557" s="87" t="s">
        <v>2126</v>
      </c>
      <c r="E557" s="87" t="s">
        <v>2127</v>
      </c>
      <c r="F557" s="58" t="s">
        <v>110</v>
      </c>
      <c r="H557" s="52"/>
      <c r="I557" s="52"/>
      <c r="J557" s="52" t="s">
        <v>2128</v>
      </c>
      <c r="K557" s="59"/>
      <c r="L557" s="88"/>
      <c r="M557" s="52"/>
      <c r="N557" s="52"/>
      <c r="O557" s="61"/>
      <c r="P557" s="63" t="s">
        <v>2129</v>
      </c>
      <c r="Q557" s="55">
        <f>VLOOKUP(E557,'NI-San_SP'!$C:$AN,12,FALSE)</f>
        <v>0</v>
      </c>
      <c r="R557" s="55">
        <f>VLOOKUP(E557,'NI-San_SP'!$C:$AN,13,FALSE)</f>
        <v>2975516</v>
      </c>
      <c r="S557" s="55"/>
      <c r="T557" s="55"/>
      <c r="U557" s="55">
        <f>VLOOKUP($E557,'NI-San_SP'!$C:$AN,MID(U$1,1,2),FALSE)</f>
        <v>0</v>
      </c>
      <c r="V557" s="55">
        <f>VLOOKUP($E557,'NI-San_SP'!$C:$AN,MID(V$1,1,2),FALSE)</f>
        <v>0</v>
      </c>
      <c r="W557" s="55">
        <f>VLOOKUP($E557,'NI-San_SP'!$C:$AN,MID(W$1,1,2),FALSE)</f>
        <v>0</v>
      </c>
      <c r="X557" s="55">
        <f>VLOOKUP($E557,'NI-San_SP'!$C:$AN,MID(X$1,1,2),FALSE)</f>
        <v>2975516</v>
      </c>
      <c r="Y557" s="55">
        <f>VLOOKUP($E557,'NI-San_SP'!$C:$AN,MID(Y$1,1,2),FALSE)</f>
        <v>0</v>
      </c>
      <c r="Z557" s="55">
        <f>VLOOKUP($E557,'NI-San_SP'!$C:$AN,MID(Z$1,1,2),FALSE)</f>
        <v>0</v>
      </c>
      <c r="AA557" s="55">
        <f>VLOOKUP($E557,'NI-San_SP'!$C:$AN,MID(AA$1,1,2),FALSE)</f>
        <v>0</v>
      </c>
      <c r="AB557" s="55">
        <f>VLOOKUP($E557,'NI-San_SP'!$C:$AN,MID(AB$1,1,2),FALSE)</f>
        <v>2975516</v>
      </c>
      <c r="AC557" s="55">
        <f>VLOOKUP($E557,'NI-San_SP'!$C:$AN,MID(AC$1,1,2),FALSE)</f>
        <v>0</v>
      </c>
      <c r="AD557" s="55">
        <f>VLOOKUP($E557,'NI-San_SP'!$C:$AN,MID(AD$1,1,2),FALSE)</f>
        <v>0</v>
      </c>
      <c r="AE557" s="55">
        <f>VLOOKUP($E557,'NI-San_SP'!$C:$AN,MID(AE$1,1,2),FALSE)</f>
        <v>0</v>
      </c>
      <c r="AF557" s="55">
        <f>VLOOKUP($E557,'NI-San_SP'!$C:$AN,MID(AF$1,1,2),FALSE)</f>
        <v>0</v>
      </c>
      <c r="AG557" s="55">
        <f>VLOOKUP($E557,'NI-San_SP'!$C:$AN,MID(AG$1,1,2),FALSE)</f>
        <v>0</v>
      </c>
      <c r="AH557" s="55">
        <f>VLOOKUP($E557,'NI-San_SP'!$C:$AN,MID(AH$1,1,2),FALSE)</f>
        <v>0</v>
      </c>
      <c r="AI557" s="55">
        <f>VLOOKUP($E557,'NI-San_SP'!$C:$AN,MID(AI$1,1,2),FALSE)</f>
        <v>0</v>
      </c>
      <c r="AJ557" s="55">
        <f>VLOOKUP($E557,'NI-San_SP'!$C:$AN,MID(AJ$1,1,2),FALSE)</f>
        <v>0</v>
      </c>
      <c r="AK557" s="55">
        <f>VLOOKUP($E557,'NI-San_SP'!$C:$AN,MID(AK$1,1,2),FALSE)</f>
        <v>0</v>
      </c>
      <c r="AL557" s="55">
        <f>VLOOKUP($E557,'NI-San_SP'!$C:$AN,MID(AL$1,1,2),FALSE)</f>
        <v>0</v>
      </c>
      <c r="AM557" s="56">
        <f>VLOOKUP($E557,'NI-San_SP'!$C:$AN,MID(AM$1,1,2),FALSE)</f>
        <v>0</v>
      </c>
      <c r="AN557" s="30" t="str">
        <f t="shared" si="8"/>
        <v>60401000000000</v>
      </c>
    </row>
    <row r="558" spans="1:40" x14ac:dyDescent="0.25">
      <c r="C558" s="40"/>
      <c r="D558" s="91" t="s">
        <v>2130</v>
      </c>
      <c r="E558" s="91" t="s">
        <v>2131</v>
      </c>
      <c r="F558" s="58" t="s">
        <v>110</v>
      </c>
      <c r="G558" s="52"/>
      <c r="H558" s="52"/>
      <c r="I558" s="52" t="s">
        <v>2132</v>
      </c>
      <c r="J558" s="52" t="s">
        <v>2132</v>
      </c>
      <c r="K558" s="59" t="s">
        <v>111</v>
      </c>
      <c r="L558" s="62" t="s">
        <v>2133</v>
      </c>
      <c r="M558" s="52"/>
      <c r="N558" s="52"/>
      <c r="O558" s="52"/>
      <c r="P558" s="63" t="s">
        <v>2134</v>
      </c>
      <c r="Q558" s="55">
        <f>VLOOKUP(E558,'NI-San_SP'!$C:$AN,12,FALSE)</f>
        <v>43697</v>
      </c>
      <c r="R558" s="55">
        <f>VLOOKUP(E558,'NI-San_SP'!$C:$AN,13,FALSE)</f>
        <v>94291</v>
      </c>
      <c r="S558" s="55"/>
      <c r="T558" s="55"/>
      <c r="U558" s="55">
        <f>VLOOKUP($E558,'NI-San_SP'!$C:$AN,MID(U$1,1,2),FALSE)</f>
        <v>0</v>
      </c>
      <c r="V558" s="55">
        <f>VLOOKUP($E558,'NI-San_SP'!$C:$AN,MID(V$1,1,2),FALSE)</f>
        <v>43697</v>
      </c>
      <c r="W558" s="55">
        <f>VLOOKUP($E558,'NI-San_SP'!$C:$AN,MID(W$1,1,2),FALSE)</f>
        <v>0</v>
      </c>
      <c r="X558" s="55">
        <f>VLOOKUP($E558,'NI-San_SP'!$C:$AN,MID(X$1,1,2),FALSE)</f>
        <v>50594</v>
      </c>
      <c r="Y558" s="55">
        <f>VLOOKUP($E558,'NI-San_SP'!$C:$AN,MID(Y$1,1,2),FALSE)</f>
        <v>0</v>
      </c>
      <c r="Z558" s="55">
        <f>VLOOKUP($E558,'NI-San_SP'!$C:$AN,MID(Z$1,1,2),FALSE)</f>
        <v>0</v>
      </c>
      <c r="AA558" s="55">
        <f>VLOOKUP($E558,'NI-San_SP'!$C:$AN,MID(AA$1,1,2),FALSE)</f>
        <v>0</v>
      </c>
      <c r="AB558" s="55">
        <f>VLOOKUP($E558,'NI-San_SP'!$C:$AN,MID(AB$1,1,2),FALSE)</f>
        <v>94291</v>
      </c>
      <c r="AC558" s="55">
        <f>VLOOKUP($E558,'NI-San_SP'!$C:$AN,MID(AC$1,1,2),FALSE)</f>
        <v>0</v>
      </c>
      <c r="AD558" s="55">
        <f>VLOOKUP($E558,'NI-San_SP'!$C:$AN,MID(AD$1,1,2),FALSE)</f>
        <v>0</v>
      </c>
      <c r="AE558" s="55">
        <f>VLOOKUP($E558,'NI-San_SP'!$C:$AN,MID(AE$1,1,2),FALSE)</f>
        <v>0</v>
      </c>
      <c r="AF558" s="55">
        <f>VLOOKUP($E558,'NI-San_SP'!$C:$AN,MID(AF$1,1,2),FALSE)</f>
        <v>0</v>
      </c>
      <c r="AG558" s="55">
        <f>VLOOKUP($E558,'NI-San_SP'!$C:$AN,MID(AG$1,1,2),FALSE)</f>
        <v>0</v>
      </c>
      <c r="AH558" s="55">
        <f>VLOOKUP($E558,'NI-San_SP'!$C:$AN,MID(AH$1,1,2),FALSE)</f>
        <v>0</v>
      </c>
      <c r="AI558" s="55">
        <f>VLOOKUP($E558,'NI-San_SP'!$C:$AN,MID(AI$1,1,2),FALSE)</f>
        <v>0</v>
      </c>
      <c r="AJ558" s="55">
        <f>VLOOKUP($E558,'NI-San_SP'!$C:$AN,MID(AJ$1,1,2),FALSE)</f>
        <v>0</v>
      </c>
      <c r="AK558" s="55">
        <f>VLOOKUP($E558,'NI-San_SP'!$C:$AN,MID(AK$1,1,2),FALSE)</f>
        <v>0</v>
      </c>
      <c r="AL558" s="55">
        <f>VLOOKUP($E558,'NI-San_SP'!$C:$AN,MID(AL$1,1,2),FALSE)</f>
        <v>0</v>
      </c>
      <c r="AM558" s="56">
        <f>VLOOKUP($E558,'NI-San_SP'!$C:$AN,MID(AM$1,1,2),FALSE)</f>
        <v>0</v>
      </c>
      <c r="AN558" s="30" t="str">
        <f t="shared" si="8"/>
        <v>60402000000000</v>
      </c>
    </row>
    <row r="559" spans="1:40" x14ac:dyDescent="0.25">
      <c r="C559" s="40"/>
      <c r="D559" s="91" t="s">
        <v>2135</v>
      </c>
      <c r="E559" s="91" t="s">
        <v>2136</v>
      </c>
      <c r="F559" s="58" t="s">
        <v>110</v>
      </c>
      <c r="G559" s="52"/>
      <c r="H559" s="52"/>
      <c r="I559" s="52"/>
      <c r="J559" s="52"/>
      <c r="K559" s="59" t="s">
        <v>79</v>
      </c>
      <c r="L559" s="65"/>
      <c r="M559" s="52"/>
      <c r="N559" s="52"/>
      <c r="O559" s="52"/>
      <c r="P559" s="76" t="s">
        <v>2137</v>
      </c>
      <c r="Q559" s="55">
        <f>VLOOKUP(E559,'NI-San_SP'!$C:$AN,12,FALSE)</f>
        <v>0</v>
      </c>
      <c r="R559" s="55">
        <f>VLOOKUP(E559,'NI-San_SP'!$C:$AN,13,FALSE)</f>
        <v>0</v>
      </c>
      <c r="S559" s="55"/>
      <c r="T559" s="55"/>
      <c r="U559" s="55">
        <f>VLOOKUP($E559,'NI-San_SP'!$C:$AN,MID(U$1,1,2),FALSE)</f>
        <v>0</v>
      </c>
      <c r="V559" s="55">
        <f>VLOOKUP($E559,'NI-San_SP'!$C:$AN,MID(V$1,1,2),FALSE)</f>
        <v>0</v>
      </c>
      <c r="W559" s="55">
        <f>VLOOKUP($E559,'NI-San_SP'!$C:$AN,MID(W$1,1,2),FALSE)</f>
        <v>0</v>
      </c>
      <c r="X559" s="55">
        <f>VLOOKUP($E559,'NI-San_SP'!$C:$AN,MID(X$1,1,2),FALSE)</f>
        <v>0</v>
      </c>
      <c r="Y559" s="55">
        <f>VLOOKUP($E559,'NI-San_SP'!$C:$AN,MID(Y$1,1,2),FALSE)</f>
        <v>0</v>
      </c>
      <c r="Z559" s="55">
        <f>VLOOKUP($E559,'NI-San_SP'!$C:$AN,MID(Z$1,1,2),FALSE)</f>
        <v>0</v>
      </c>
      <c r="AA559" s="55">
        <f>VLOOKUP($E559,'NI-San_SP'!$C:$AN,MID(AA$1,1,2),FALSE)</f>
        <v>0</v>
      </c>
      <c r="AB559" s="55">
        <f>VLOOKUP($E559,'NI-San_SP'!$C:$AN,MID(AB$1,1,2),FALSE)</f>
        <v>0</v>
      </c>
      <c r="AC559" s="55">
        <f>VLOOKUP($E559,'NI-San_SP'!$C:$AN,MID(AC$1,1,2),FALSE)</f>
        <v>0</v>
      </c>
      <c r="AD559" s="55">
        <f>VLOOKUP($E559,'NI-San_SP'!$C:$AN,MID(AD$1,1,2),FALSE)</f>
        <v>0</v>
      </c>
      <c r="AE559" s="55">
        <f>VLOOKUP($E559,'NI-San_SP'!$C:$AN,MID(AE$1,1,2),FALSE)</f>
        <v>0</v>
      </c>
      <c r="AF559" s="55">
        <f>VLOOKUP($E559,'NI-San_SP'!$C:$AN,MID(AF$1,1,2),FALSE)</f>
        <v>0</v>
      </c>
      <c r="AG559" s="55">
        <f>VLOOKUP($E559,'NI-San_SP'!$C:$AN,MID(AG$1,1,2),FALSE)</f>
        <v>0</v>
      </c>
      <c r="AH559" s="55">
        <f>VLOOKUP($E559,'NI-San_SP'!$C:$AN,MID(AH$1,1,2),FALSE)</f>
        <v>0</v>
      </c>
      <c r="AI559" s="55">
        <f>VLOOKUP($E559,'NI-San_SP'!$C:$AN,MID(AI$1,1,2),FALSE)</f>
        <v>0</v>
      </c>
      <c r="AJ559" s="55">
        <f>VLOOKUP($E559,'NI-San_SP'!$C:$AN,MID(AJ$1,1,2),FALSE)</f>
        <v>0</v>
      </c>
      <c r="AK559" s="55">
        <f>VLOOKUP($E559,'NI-San_SP'!$C:$AN,MID(AK$1,1,2),FALSE)</f>
        <v>0</v>
      </c>
      <c r="AL559" s="55">
        <f>VLOOKUP($E559,'NI-San_SP'!$C:$AN,MID(AL$1,1,2),FALSE)</f>
        <v>0</v>
      </c>
      <c r="AM559" s="56">
        <f>VLOOKUP($E559,'NI-San_SP'!$C:$AN,MID(AM$1,1,2),FALSE)</f>
        <v>0</v>
      </c>
      <c r="AN559" s="30" t="str">
        <f t="shared" si="8"/>
        <v>60402010000000</v>
      </c>
    </row>
    <row r="560" spans="1:40" x14ac:dyDescent="0.25">
      <c r="C560" s="40"/>
      <c r="D560" s="91" t="s">
        <v>2138</v>
      </c>
      <c r="E560" s="91" t="s">
        <v>2139</v>
      </c>
      <c r="F560" s="58" t="s">
        <v>110</v>
      </c>
      <c r="G560" s="52"/>
      <c r="H560" s="52"/>
      <c r="I560" s="52"/>
      <c r="J560" s="52"/>
      <c r="K560" s="59" t="s">
        <v>79</v>
      </c>
      <c r="L560" s="65"/>
      <c r="M560" s="52"/>
      <c r="N560" s="52"/>
      <c r="O560" s="52"/>
      <c r="P560" s="76" t="s">
        <v>2140</v>
      </c>
      <c r="Q560" s="55">
        <f>VLOOKUP(E560,'NI-San_SP'!$C:$AN,12,FALSE)</f>
        <v>24140</v>
      </c>
      <c r="R560" s="55">
        <f>VLOOKUP(E560,'NI-San_SP'!$C:$AN,13,FALSE)</f>
        <v>24140</v>
      </c>
      <c r="S560" s="55"/>
      <c r="T560" s="55"/>
      <c r="U560" s="55">
        <f>VLOOKUP($E560,'NI-San_SP'!$C:$AN,MID(U$1,1,2),FALSE)</f>
        <v>0</v>
      </c>
      <c r="V560" s="55">
        <f>VLOOKUP($E560,'NI-San_SP'!$C:$AN,MID(V$1,1,2),FALSE)</f>
        <v>24140</v>
      </c>
      <c r="W560" s="55">
        <f>VLOOKUP($E560,'NI-San_SP'!$C:$AN,MID(W$1,1,2),FALSE)</f>
        <v>0</v>
      </c>
      <c r="X560" s="55">
        <f>VLOOKUP($E560,'NI-San_SP'!$C:$AN,MID(X$1,1,2),FALSE)</f>
        <v>0</v>
      </c>
      <c r="Y560" s="55">
        <f>VLOOKUP($E560,'NI-San_SP'!$C:$AN,MID(Y$1,1,2),FALSE)</f>
        <v>0</v>
      </c>
      <c r="Z560" s="55">
        <f>VLOOKUP($E560,'NI-San_SP'!$C:$AN,MID(Z$1,1,2),FALSE)</f>
        <v>0</v>
      </c>
      <c r="AA560" s="55">
        <f>VLOOKUP($E560,'NI-San_SP'!$C:$AN,MID(AA$1,1,2),FALSE)</f>
        <v>0</v>
      </c>
      <c r="AB560" s="55">
        <f>VLOOKUP($E560,'NI-San_SP'!$C:$AN,MID(AB$1,1,2),FALSE)</f>
        <v>24140</v>
      </c>
      <c r="AC560" s="55">
        <f>VLOOKUP($E560,'NI-San_SP'!$C:$AN,MID(AC$1,1,2),FALSE)</f>
        <v>0</v>
      </c>
      <c r="AD560" s="55">
        <f>VLOOKUP($E560,'NI-San_SP'!$C:$AN,MID(AD$1,1,2),FALSE)</f>
        <v>0</v>
      </c>
      <c r="AE560" s="55">
        <f>VLOOKUP($E560,'NI-San_SP'!$C:$AN,MID(AE$1,1,2),FALSE)</f>
        <v>0</v>
      </c>
      <c r="AF560" s="55">
        <f>VLOOKUP($E560,'NI-San_SP'!$C:$AN,MID(AF$1,1,2),FALSE)</f>
        <v>0</v>
      </c>
      <c r="AG560" s="55">
        <f>VLOOKUP($E560,'NI-San_SP'!$C:$AN,MID(AG$1,1,2),FALSE)</f>
        <v>0</v>
      </c>
      <c r="AH560" s="55">
        <f>VLOOKUP($E560,'NI-San_SP'!$C:$AN,MID(AH$1,1,2),FALSE)</f>
        <v>0</v>
      </c>
      <c r="AI560" s="55">
        <f>VLOOKUP($E560,'NI-San_SP'!$C:$AN,MID(AI$1,1,2),FALSE)</f>
        <v>0</v>
      </c>
      <c r="AJ560" s="55">
        <f>VLOOKUP($E560,'NI-San_SP'!$C:$AN,MID(AJ$1,1,2),FALSE)</f>
        <v>0</v>
      </c>
      <c r="AK560" s="55">
        <f>VLOOKUP($E560,'NI-San_SP'!$C:$AN,MID(AK$1,1,2),FALSE)</f>
        <v>0</v>
      </c>
      <c r="AL560" s="55">
        <f>VLOOKUP($E560,'NI-San_SP'!$C:$AN,MID(AL$1,1,2),FALSE)</f>
        <v>0</v>
      </c>
      <c r="AM560" s="56">
        <f>VLOOKUP($E560,'NI-San_SP'!$C:$AN,MID(AM$1,1,2),FALSE)</f>
        <v>0</v>
      </c>
      <c r="AN560" s="30" t="str">
        <f t="shared" si="8"/>
        <v>60402020000000</v>
      </c>
    </row>
    <row r="561" spans="3:40" ht="27" x14ac:dyDescent="0.25">
      <c r="C561" s="40"/>
      <c r="D561" s="91" t="s">
        <v>2141</v>
      </c>
      <c r="E561" s="91" t="s">
        <v>2142</v>
      </c>
      <c r="F561" s="58" t="s">
        <v>110</v>
      </c>
      <c r="G561" s="52"/>
      <c r="H561" s="52"/>
      <c r="I561" s="52"/>
      <c r="J561" s="52"/>
      <c r="K561" s="59" t="s">
        <v>79</v>
      </c>
      <c r="L561" s="62"/>
      <c r="M561" s="52"/>
      <c r="N561" s="52"/>
      <c r="O561" s="52"/>
      <c r="P561" s="76" t="s">
        <v>2143</v>
      </c>
      <c r="Q561" s="55">
        <f>VLOOKUP(E561,'NI-San_SP'!$C:$AN,12,FALSE)</f>
        <v>0</v>
      </c>
      <c r="R561" s="55">
        <f>VLOOKUP(E561,'NI-San_SP'!$C:$AN,13,FALSE)</f>
        <v>0</v>
      </c>
      <c r="S561" s="55"/>
      <c r="T561" s="55"/>
      <c r="U561" s="55">
        <f>VLOOKUP($E561,'NI-San_SP'!$C:$AN,MID(U$1,1,2),FALSE)</f>
        <v>0</v>
      </c>
      <c r="V561" s="55">
        <f>VLOOKUP($E561,'NI-San_SP'!$C:$AN,MID(V$1,1,2),FALSE)</f>
        <v>0</v>
      </c>
      <c r="W561" s="55">
        <f>VLOOKUP($E561,'NI-San_SP'!$C:$AN,MID(W$1,1,2),FALSE)</f>
        <v>0</v>
      </c>
      <c r="X561" s="55">
        <f>VLOOKUP($E561,'NI-San_SP'!$C:$AN,MID(X$1,1,2),FALSE)</f>
        <v>0</v>
      </c>
      <c r="Y561" s="55">
        <f>VLOOKUP($E561,'NI-San_SP'!$C:$AN,MID(Y$1,1,2),FALSE)</f>
        <v>0</v>
      </c>
      <c r="Z561" s="55">
        <f>VLOOKUP($E561,'NI-San_SP'!$C:$AN,MID(Z$1,1,2),FALSE)</f>
        <v>0</v>
      </c>
      <c r="AA561" s="55">
        <f>VLOOKUP($E561,'NI-San_SP'!$C:$AN,MID(AA$1,1,2),FALSE)</f>
        <v>0</v>
      </c>
      <c r="AB561" s="55">
        <f>VLOOKUP($E561,'NI-San_SP'!$C:$AN,MID(AB$1,1,2),FALSE)</f>
        <v>0</v>
      </c>
      <c r="AC561" s="55">
        <f>VLOOKUP($E561,'NI-San_SP'!$C:$AN,MID(AC$1,1,2),FALSE)</f>
        <v>0</v>
      </c>
      <c r="AD561" s="55">
        <f>VLOOKUP($E561,'NI-San_SP'!$C:$AN,MID(AD$1,1,2),FALSE)</f>
        <v>0</v>
      </c>
      <c r="AE561" s="55">
        <f>VLOOKUP($E561,'NI-San_SP'!$C:$AN,MID(AE$1,1,2),FALSE)</f>
        <v>0</v>
      </c>
      <c r="AF561" s="55">
        <f>VLOOKUP($E561,'NI-San_SP'!$C:$AN,MID(AF$1,1,2),FALSE)</f>
        <v>0</v>
      </c>
      <c r="AG561" s="55">
        <f>VLOOKUP($E561,'NI-San_SP'!$C:$AN,MID(AG$1,1,2),FALSE)</f>
        <v>0</v>
      </c>
      <c r="AH561" s="55">
        <f>VLOOKUP($E561,'NI-San_SP'!$C:$AN,MID(AH$1,1,2),FALSE)</f>
        <v>0</v>
      </c>
      <c r="AI561" s="55">
        <f>VLOOKUP($E561,'NI-San_SP'!$C:$AN,MID(AI$1,1,2),FALSE)</f>
        <v>0</v>
      </c>
      <c r="AJ561" s="55">
        <f>VLOOKUP($E561,'NI-San_SP'!$C:$AN,MID(AJ$1,1,2),FALSE)</f>
        <v>0</v>
      </c>
      <c r="AK561" s="55">
        <f>VLOOKUP($E561,'NI-San_SP'!$C:$AN,MID(AK$1,1,2),FALSE)</f>
        <v>0</v>
      </c>
      <c r="AL561" s="55">
        <f>VLOOKUP($E561,'NI-San_SP'!$C:$AN,MID(AL$1,1,2),FALSE)</f>
        <v>0</v>
      </c>
      <c r="AM561" s="56">
        <f>VLOOKUP($E561,'NI-San_SP'!$C:$AN,MID(AM$1,1,2),FALSE)</f>
        <v>0</v>
      </c>
      <c r="AN561" s="30" t="str">
        <f t="shared" si="8"/>
        <v>60402030000000</v>
      </c>
    </row>
    <row r="562" spans="3:40" x14ac:dyDescent="0.25">
      <c r="C562" s="40"/>
      <c r="D562" s="91" t="s">
        <v>2144</v>
      </c>
      <c r="E562" s="91" t="s">
        <v>2145</v>
      </c>
      <c r="F562" s="58" t="s">
        <v>110</v>
      </c>
      <c r="G562" s="52"/>
      <c r="H562" s="52"/>
      <c r="I562" s="52"/>
      <c r="J562" s="52"/>
      <c r="K562" s="59" t="s">
        <v>79</v>
      </c>
      <c r="L562" s="65"/>
      <c r="M562" s="52"/>
      <c r="N562" s="52"/>
      <c r="O562" s="52"/>
      <c r="P562" s="76" t="s">
        <v>2146</v>
      </c>
      <c r="Q562" s="55">
        <f>VLOOKUP(E562,'NI-San_SP'!$C:$AN,12,FALSE)</f>
        <v>19557</v>
      </c>
      <c r="R562" s="55">
        <f>VLOOKUP(E562,'NI-San_SP'!$C:$AN,13,FALSE)</f>
        <v>70151</v>
      </c>
      <c r="S562" s="55"/>
      <c r="T562" s="55"/>
      <c r="U562" s="55">
        <f>VLOOKUP($E562,'NI-San_SP'!$C:$AN,MID(U$1,1,2),FALSE)</f>
        <v>0</v>
      </c>
      <c r="V562" s="55">
        <f>VLOOKUP($E562,'NI-San_SP'!$C:$AN,MID(V$1,1,2),FALSE)</f>
        <v>19557</v>
      </c>
      <c r="W562" s="55">
        <f>VLOOKUP($E562,'NI-San_SP'!$C:$AN,MID(W$1,1,2),FALSE)</f>
        <v>0</v>
      </c>
      <c r="X562" s="55">
        <f>VLOOKUP($E562,'NI-San_SP'!$C:$AN,MID(X$1,1,2),FALSE)</f>
        <v>50594</v>
      </c>
      <c r="Y562" s="55">
        <f>VLOOKUP($E562,'NI-San_SP'!$C:$AN,MID(Y$1,1,2),FALSE)</f>
        <v>0</v>
      </c>
      <c r="Z562" s="55">
        <f>VLOOKUP($E562,'NI-San_SP'!$C:$AN,MID(Z$1,1,2),FALSE)</f>
        <v>0</v>
      </c>
      <c r="AA562" s="55">
        <f>VLOOKUP($E562,'NI-San_SP'!$C:$AN,MID(AA$1,1,2),FALSE)</f>
        <v>0</v>
      </c>
      <c r="AB562" s="55">
        <f>VLOOKUP($E562,'NI-San_SP'!$C:$AN,MID(AB$1,1,2),FALSE)</f>
        <v>70151</v>
      </c>
      <c r="AC562" s="55">
        <f>VLOOKUP($E562,'NI-San_SP'!$C:$AN,MID(AC$1,1,2),FALSE)</f>
        <v>0</v>
      </c>
      <c r="AD562" s="55">
        <f>VLOOKUP($E562,'NI-San_SP'!$C:$AN,MID(AD$1,1,2),FALSE)</f>
        <v>0</v>
      </c>
      <c r="AE562" s="55">
        <f>VLOOKUP($E562,'NI-San_SP'!$C:$AN,MID(AE$1,1,2),FALSE)</f>
        <v>0</v>
      </c>
      <c r="AF562" s="55">
        <f>VLOOKUP($E562,'NI-San_SP'!$C:$AN,MID(AF$1,1,2),FALSE)</f>
        <v>0</v>
      </c>
      <c r="AG562" s="55">
        <f>VLOOKUP($E562,'NI-San_SP'!$C:$AN,MID(AG$1,1,2),FALSE)</f>
        <v>0</v>
      </c>
      <c r="AH562" s="55">
        <f>VLOOKUP($E562,'NI-San_SP'!$C:$AN,MID(AH$1,1,2),FALSE)</f>
        <v>0</v>
      </c>
      <c r="AI562" s="55">
        <f>VLOOKUP($E562,'NI-San_SP'!$C:$AN,MID(AI$1,1,2),FALSE)</f>
        <v>0</v>
      </c>
      <c r="AJ562" s="55">
        <f>VLOOKUP($E562,'NI-San_SP'!$C:$AN,MID(AJ$1,1,2),FALSE)</f>
        <v>0</v>
      </c>
      <c r="AK562" s="55">
        <f>VLOOKUP($E562,'NI-San_SP'!$C:$AN,MID(AK$1,1,2),FALSE)</f>
        <v>0</v>
      </c>
      <c r="AL562" s="55">
        <f>VLOOKUP($E562,'NI-San_SP'!$C:$AN,MID(AL$1,1,2),FALSE)</f>
        <v>0</v>
      </c>
      <c r="AM562" s="56">
        <f>VLOOKUP($E562,'NI-San_SP'!$C:$AN,MID(AM$1,1,2),FALSE)</f>
        <v>0</v>
      </c>
      <c r="AN562" s="30" t="str">
        <f t="shared" si="8"/>
        <v>60402040000000</v>
      </c>
    </row>
    <row r="563" spans="3:40" x14ac:dyDescent="0.25">
      <c r="C563" s="40"/>
      <c r="D563" s="91" t="s">
        <v>2147</v>
      </c>
      <c r="E563" s="91" t="s">
        <v>2148</v>
      </c>
      <c r="F563" s="58" t="s">
        <v>110</v>
      </c>
      <c r="G563" s="52"/>
      <c r="H563" s="52"/>
      <c r="I563" s="52" t="s">
        <v>2149</v>
      </c>
      <c r="J563" s="52" t="s">
        <v>2149</v>
      </c>
      <c r="K563" s="59" t="s">
        <v>79</v>
      </c>
      <c r="L563" s="81" t="s">
        <v>2150</v>
      </c>
      <c r="M563" s="52"/>
      <c r="N563" s="52"/>
      <c r="O563" s="52"/>
      <c r="P563" s="76" t="s">
        <v>2151</v>
      </c>
      <c r="Q563" s="55">
        <f>VLOOKUP(E563,'NI-San_SP'!$C:$AN,12,FALSE)</f>
        <v>3393</v>
      </c>
      <c r="R563" s="55">
        <f>VLOOKUP(E563,'NI-San_SP'!$C:$AN,13,FALSE)</f>
        <v>35608</v>
      </c>
      <c r="S563" s="55"/>
      <c r="T563" s="55"/>
      <c r="U563" s="55">
        <f>VLOOKUP($E563,'NI-San_SP'!$C:$AN,MID(U$1,1,2),FALSE)</f>
        <v>0</v>
      </c>
      <c r="V563" s="55">
        <f>VLOOKUP($E563,'NI-San_SP'!$C:$AN,MID(V$1,1,2),FALSE)</f>
        <v>3393</v>
      </c>
      <c r="W563" s="55">
        <f>VLOOKUP($E563,'NI-San_SP'!$C:$AN,MID(W$1,1,2),FALSE)</f>
        <v>0</v>
      </c>
      <c r="X563" s="55">
        <f>VLOOKUP($E563,'NI-San_SP'!$C:$AN,MID(X$1,1,2),FALSE)</f>
        <v>32215</v>
      </c>
      <c r="Y563" s="55">
        <f>VLOOKUP($E563,'NI-San_SP'!$C:$AN,MID(Y$1,1,2),FALSE)</f>
        <v>0</v>
      </c>
      <c r="Z563" s="55">
        <f>VLOOKUP($E563,'NI-San_SP'!$C:$AN,MID(Z$1,1,2),FALSE)</f>
        <v>0</v>
      </c>
      <c r="AA563" s="55">
        <f>VLOOKUP($E563,'NI-San_SP'!$C:$AN,MID(AA$1,1,2),FALSE)</f>
        <v>0</v>
      </c>
      <c r="AB563" s="55">
        <f>VLOOKUP($E563,'NI-San_SP'!$C:$AN,MID(AB$1,1,2),FALSE)</f>
        <v>35608</v>
      </c>
      <c r="AC563" s="55">
        <f>VLOOKUP($E563,'NI-San_SP'!$C:$AN,MID(AC$1,1,2),FALSE)</f>
        <v>0</v>
      </c>
      <c r="AD563" s="55">
        <f>VLOOKUP($E563,'NI-San_SP'!$C:$AN,MID(AD$1,1,2),FALSE)</f>
        <v>0</v>
      </c>
      <c r="AE563" s="55">
        <f>VLOOKUP($E563,'NI-San_SP'!$C:$AN,MID(AE$1,1,2),FALSE)</f>
        <v>0</v>
      </c>
      <c r="AF563" s="55">
        <f>VLOOKUP($E563,'NI-San_SP'!$C:$AN,MID(AF$1,1,2),FALSE)</f>
        <v>0</v>
      </c>
      <c r="AG563" s="55">
        <f>VLOOKUP($E563,'NI-San_SP'!$C:$AN,MID(AG$1,1,2),FALSE)</f>
        <v>0</v>
      </c>
      <c r="AH563" s="55">
        <f>VLOOKUP($E563,'NI-San_SP'!$C:$AN,MID(AH$1,1,2),FALSE)</f>
        <v>0</v>
      </c>
      <c r="AI563" s="55">
        <f>VLOOKUP($E563,'NI-San_SP'!$C:$AN,MID(AI$1,1,2),FALSE)</f>
        <v>0</v>
      </c>
      <c r="AJ563" s="55">
        <f>VLOOKUP($E563,'NI-San_SP'!$C:$AN,MID(AJ$1,1,2),FALSE)</f>
        <v>0</v>
      </c>
      <c r="AK563" s="55">
        <f>VLOOKUP($E563,'NI-San_SP'!$C:$AN,MID(AK$1,1,2),FALSE)</f>
        <v>0</v>
      </c>
      <c r="AL563" s="55">
        <f>VLOOKUP($E563,'NI-San_SP'!$C:$AN,MID(AL$1,1,2),FALSE)</f>
        <v>0</v>
      </c>
      <c r="AM563" s="56">
        <f>VLOOKUP($E563,'NI-San_SP'!$C:$AN,MID(AM$1,1,2),FALSE)</f>
        <v>0</v>
      </c>
      <c r="AN563" s="30" t="str">
        <f t="shared" si="8"/>
        <v>60403000000000</v>
      </c>
    </row>
    <row r="564" spans="3:40" x14ac:dyDescent="0.25">
      <c r="C564" s="40"/>
      <c r="D564" s="91" t="s">
        <v>2152</v>
      </c>
      <c r="E564" s="91" t="s">
        <v>2153</v>
      </c>
      <c r="F564" s="58" t="s">
        <v>110</v>
      </c>
      <c r="G564" s="52"/>
      <c r="H564" s="52"/>
      <c r="I564" s="52" t="s">
        <v>2154</v>
      </c>
      <c r="J564" s="52" t="s">
        <v>2154</v>
      </c>
      <c r="K564" s="59" t="s">
        <v>111</v>
      </c>
      <c r="L564" s="81" t="s">
        <v>2155</v>
      </c>
      <c r="M564" s="52"/>
      <c r="N564" s="52"/>
      <c r="O564" s="52"/>
      <c r="P564" s="76" t="s">
        <v>2156</v>
      </c>
      <c r="Q564" s="55">
        <f>VLOOKUP(E564,'NI-San_SP'!$C:$AN,12,FALSE)</f>
        <v>0</v>
      </c>
      <c r="R564" s="55">
        <f>VLOOKUP(E564,'NI-San_SP'!$C:$AN,13,FALSE)</f>
        <v>0</v>
      </c>
      <c r="S564" s="55"/>
      <c r="T564" s="55"/>
      <c r="U564" s="55">
        <f>VLOOKUP($E564,'NI-San_SP'!$C:$AN,MID(U$1,1,2),FALSE)</f>
        <v>0</v>
      </c>
      <c r="V564" s="55">
        <f>VLOOKUP($E564,'NI-San_SP'!$C:$AN,MID(V$1,1,2),FALSE)</f>
        <v>0</v>
      </c>
      <c r="W564" s="55">
        <f>VLOOKUP($E564,'NI-San_SP'!$C:$AN,MID(W$1,1,2),FALSE)</f>
        <v>0</v>
      </c>
      <c r="X564" s="55">
        <f>VLOOKUP($E564,'NI-San_SP'!$C:$AN,MID(X$1,1,2),FALSE)</f>
        <v>0</v>
      </c>
      <c r="Y564" s="55">
        <f>VLOOKUP($E564,'NI-San_SP'!$C:$AN,MID(Y$1,1,2),FALSE)</f>
        <v>0</v>
      </c>
      <c r="Z564" s="55">
        <f>VLOOKUP($E564,'NI-San_SP'!$C:$AN,MID(Z$1,1,2),FALSE)</f>
        <v>0</v>
      </c>
      <c r="AA564" s="55">
        <f>VLOOKUP($E564,'NI-San_SP'!$C:$AN,MID(AA$1,1,2),FALSE)</f>
        <v>0</v>
      </c>
      <c r="AB564" s="55">
        <f>VLOOKUP($E564,'NI-San_SP'!$C:$AN,MID(AB$1,1,2),FALSE)</f>
        <v>0</v>
      </c>
      <c r="AC564" s="55">
        <f>VLOOKUP($E564,'NI-San_SP'!$C:$AN,MID(AC$1,1,2),FALSE)</f>
        <v>0</v>
      </c>
      <c r="AD564" s="55">
        <f>VLOOKUP($E564,'NI-San_SP'!$C:$AN,MID(AD$1,1,2),FALSE)</f>
        <v>0</v>
      </c>
      <c r="AE564" s="55">
        <f>VLOOKUP($E564,'NI-San_SP'!$C:$AN,MID(AE$1,1,2),FALSE)</f>
        <v>0</v>
      </c>
      <c r="AF564" s="55">
        <f>VLOOKUP($E564,'NI-San_SP'!$C:$AN,MID(AF$1,1,2),FALSE)</f>
        <v>0</v>
      </c>
      <c r="AG564" s="55">
        <f>VLOOKUP($E564,'NI-San_SP'!$C:$AN,MID(AG$1,1,2),FALSE)</f>
        <v>0</v>
      </c>
      <c r="AH564" s="55">
        <f>VLOOKUP($E564,'NI-San_SP'!$C:$AN,MID(AH$1,1,2),FALSE)</f>
        <v>0</v>
      </c>
      <c r="AI564" s="55">
        <f>VLOOKUP($E564,'NI-San_SP'!$C:$AN,MID(AI$1,1,2),FALSE)</f>
        <v>0</v>
      </c>
      <c r="AJ564" s="55">
        <f>VLOOKUP($E564,'NI-San_SP'!$C:$AN,MID(AJ$1,1,2),FALSE)</f>
        <v>0</v>
      </c>
      <c r="AK564" s="55">
        <f>VLOOKUP($E564,'NI-San_SP'!$C:$AN,MID(AK$1,1,2),FALSE)</f>
        <v>0</v>
      </c>
      <c r="AL564" s="55">
        <f>VLOOKUP($E564,'NI-San_SP'!$C:$AN,MID(AL$1,1,2),FALSE)</f>
        <v>0</v>
      </c>
      <c r="AM564" s="56">
        <f>VLOOKUP($E564,'NI-San_SP'!$C:$AN,MID(AM$1,1,2),FALSE)</f>
        <v>0</v>
      </c>
      <c r="AN564" s="30" t="str">
        <f t="shared" si="8"/>
        <v>60404000000000</v>
      </c>
    </row>
    <row r="565" spans="3:40" x14ac:dyDescent="0.25">
      <c r="C565" s="40"/>
      <c r="D565" s="91" t="s">
        <v>2157</v>
      </c>
      <c r="E565" s="91" t="s">
        <v>2158</v>
      </c>
      <c r="F565" s="58" t="s">
        <v>110</v>
      </c>
      <c r="G565" s="52"/>
      <c r="H565" s="52"/>
      <c r="I565" s="52"/>
      <c r="J565" s="52"/>
      <c r="K565" s="59" t="s">
        <v>79</v>
      </c>
      <c r="L565" s="52"/>
      <c r="M565" s="52"/>
      <c r="N565" s="52"/>
      <c r="O565" s="52"/>
      <c r="P565" s="76" t="s">
        <v>2159</v>
      </c>
      <c r="Q565" s="55">
        <f>VLOOKUP(E565,'NI-San_SP'!$C:$AN,12,FALSE)</f>
        <v>0</v>
      </c>
      <c r="R565" s="55">
        <f>VLOOKUP(E565,'NI-San_SP'!$C:$AN,13,FALSE)</f>
        <v>0</v>
      </c>
      <c r="S565" s="55"/>
      <c r="T565" s="55"/>
      <c r="U565" s="55">
        <f>VLOOKUP($E565,'NI-San_SP'!$C:$AN,MID(U$1,1,2),FALSE)</f>
        <v>0</v>
      </c>
      <c r="V565" s="55">
        <f>VLOOKUP($E565,'NI-San_SP'!$C:$AN,MID(V$1,1,2),FALSE)</f>
        <v>0</v>
      </c>
      <c r="W565" s="55">
        <f>VLOOKUP($E565,'NI-San_SP'!$C:$AN,MID(W$1,1,2),FALSE)</f>
        <v>0</v>
      </c>
      <c r="X565" s="55">
        <f>VLOOKUP($E565,'NI-San_SP'!$C:$AN,MID(X$1,1,2),FALSE)</f>
        <v>0</v>
      </c>
      <c r="Y565" s="55">
        <f>VLOOKUP($E565,'NI-San_SP'!$C:$AN,MID(Y$1,1,2),FALSE)</f>
        <v>0</v>
      </c>
      <c r="Z565" s="55">
        <f>VLOOKUP($E565,'NI-San_SP'!$C:$AN,MID(Z$1,1,2),FALSE)</f>
        <v>0</v>
      </c>
      <c r="AA565" s="55">
        <f>VLOOKUP($E565,'NI-San_SP'!$C:$AN,MID(AA$1,1,2),FALSE)</f>
        <v>0</v>
      </c>
      <c r="AB565" s="55">
        <f>VLOOKUP($E565,'NI-San_SP'!$C:$AN,MID(AB$1,1,2),FALSE)</f>
        <v>0</v>
      </c>
      <c r="AC565" s="55">
        <f>VLOOKUP($E565,'NI-San_SP'!$C:$AN,MID(AC$1,1,2),FALSE)</f>
        <v>0</v>
      </c>
      <c r="AD565" s="55">
        <f>VLOOKUP($E565,'NI-San_SP'!$C:$AN,MID(AD$1,1,2),FALSE)</f>
        <v>0</v>
      </c>
      <c r="AE565" s="55">
        <f>VLOOKUP($E565,'NI-San_SP'!$C:$AN,MID(AE$1,1,2),FALSE)</f>
        <v>0</v>
      </c>
      <c r="AF565" s="55">
        <f>VLOOKUP($E565,'NI-San_SP'!$C:$AN,MID(AF$1,1,2),FALSE)</f>
        <v>0</v>
      </c>
      <c r="AG565" s="55">
        <f>VLOOKUP($E565,'NI-San_SP'!$C:$AN,MID(AG$1,1,2),FALSE)</f>
        <v>0</v>
      </c>
      <c r="AH565" s="55">
        <f>VLOOKUP($E565,'NI-San_SP'!$C:$AN,MID(AH$1,1,2),FALSE)</f>
        <v>0</v>
      </c>
      <c r="AI565" s="55">
        <f>VLOOKUP($E565,'NI-San_SP'!$C:$AN,MID(AI$1,1,2),FALSE)</f>
        <v>0</v>
      </c>
      <c r="AJ565" s="55">
        <f>VLOOKUP($E565,'NI-San_SP'!$C:$AN,MID(AJ$1,1,2),FALSE)</f>
        <v>0</v>
      </c>
      <c r="AK565" s="55">
        <f>VLOOKUP($E565,'NI-San_SP'!$C:$AN,MID(AK$1,1,2),FALSE)</f>
        <v>0</v>
      </c>
      <c r="AL565" s="55">
        <f>VLOOKUP($E565,'NI-San_SP'!$C:$AN,MID(AL$1,1,2),FALSE)</f>
        <v>0</v>
      </c>
      <c r="AM565" s="56">
        <f>VLOOKUP($E565,'NI-San_SP'!$C:$AN,MID(AM$1,1,2),FALSE)</f>
        <v>0</v>
      </c>
      <c r="AN565" s="30" t="str">
        <f t="shared" si="8"/>
        <v>60404010000000</v>
      </c>
    </row>
    <row r="566" spans="3:40" x14ac:dyDescent="0.25">
      <c r="C566" s="40"/>
      <c r="D566" s="91" t="s">
        <v>2160</v>
      </c>
      <c r="E566" s="91" t="s">
        <v>2161</v>
      </c>
      <c r="F566" s="58" t="s">
        <v>110</v>
      </c>
      <c r="G566" s="52"/>
      <c r="H566" s="52"/>
      <c r="I566" s="52"/>
      <c r="J566" s="52"/>
      <c r="K566" s="59" t="s">
        <v>79</v>
      </c>
      <c r="L566" s="52"/>
      <c r="M566" s="52"/>
      <c r="N566" s="52"/>
      <c r="O566" s="52"/>
      <c r="P566" s="76" t="s">
        <v>2162</v>
      </c>
      <c r="Q566" s="55">
        <f>VLOOKUP(E566,'NI-San_SP'!$C:$AN,12,FALSE)</f>
        <v>0</v>
      </c>
      <c r="R566" s="55">
        <f>VLOOKUP(E566,'NI-San_SP'!$C:$AN,13,FALSE)</f>
        <v>0</v>
      </c>
      <c r="S566" s="55"/>
      <c r="T566" s="55"/>
      <c r="U566" s="55">
        <f>VLOOKUP($E566,'NI-San_SP'!$C:$AN,MID(U$1,1,2),FALSE)</f>
        <v>0</v>
      </c>
      <c r="V566" s="55">
        <f>VLOOKUP($E566,'NI-San_SP'!$C:$AN,MID(V$1,1,2),FALSE)</f>
        <v>0</v>
      </c>
      <c r="W566" s="55">
        <f>VLOOKUP($E566,'NI-San_SP'!$C:$AN,MID(W$1,1,2),FALSE)</f>
        <v>0</v>
      </c>
      <c r="X566" s="55">
        <f>VLOOKUP($E566,'NI-San_SP'!$C:$AN,MID(X$1,1,2),FALSE)</f>
        <v>0</v>
      </c>
      <c r="Y566" s="55">
        <f>VLOOKUP($E566,'NI-San_SP'!$C:$AN,MID(Y$1,1,2),FALSE)</f>
        <v>0</v>
      </c>
      <c r="Z566" s="55">
        <f>VLOOKUP($E566,'NI-San_SP'!$C:$AN,MID(Z$1,1,2),FALSE)</f>
        <v>0</v>
      </c>
      <c r="AA566" s="55">
        <f>VLOOKUP($E566,'NI-San_SP'!$C:$AN,MID(AA$1,1,2),FALSE)</f>
        <v>0</v>
      </c>
      <c r="AB566" s="55">
        <f>VLOOKUP($E566,'NI-San_SP'!$C:$AN,MID(AB$1,1,2),FALSE)</f>
        <v>0</v>
      </c>
      <c r="AC566" s="55">
        <f>VLOOKUP($E566,'NI-San_SP'!$C:$AN,MID(AC$1,1,2),FALSE)</f>
        <v>0</v>
      </c>
      <c r="AD566" s="55">
        <f>VLOOKUP($E566,'NI-San_SP'!$C:$AN,MID(AD$1,1,2),FALSE)</f>
        <v>0</v>
      </c>
      <c r="AE566" s="55">
        <f>VLOOKUP($E566,'NI-San_SP'!$C:$AN,MID(AE$1,1,2),FALSE)</f>
        <v>0</v>
      </c>
      <c r="AF566" s="55">
        <f>VLOOKUP($E566,'NI-San_SP'!$C:$AN,MID(AF$1,1,2),FALSE)</f>
        <v>0</v>
      </c>
      <c r="AG566" s="55">
        <f>VLOOKUP($E566,'NI-San_SP'!$C:$AN,MID(AG$1,1,2),FALSE)</f>
        <v>0</v>
      </c>
      <c r="AH566" s="55">
        <f>VLOOKUP($E566,'NI-San_SP'!$C:$AN,MID(AH$1,1,2),FALSE)</f>
        <v>0</v>
      </c>
      <c r="AI566" s="55">
        <f>VLOOKUP($E566,'NI-San_SP'!$C:$AN,MID(AI$1,1,2),FALSE)</f>
        <v>0</v>
      </c>
      <c r="AJ566" s="55">
        <f>VLOOKUP($E566,'NI-San_SP'!$C:$AN,MID(AJ$1,1,2),FALSE)</f>
        <v>0</v>
      </c>
      <c r="AK566" s="55">
        <f>VLOOKUP($E566,'NI-San_SP'!$C:$AN,MID(AK$1,1,2),FALSE)</f>
        <v>0</v>
      </c>
      <c r="AL566" s="55">
        <f>VLOOKUP($E566,'NI-San_SP'!$C:$AN,MID(AL$1,1,2),FALSE)</f>
        <v>0</v>
      </c>
      <c r="AM566" s="56">
        <f>VLOOKUP($E566,'NI-San_SP'!$C:$AN,MID(AM$1,1,2),FALSE)</f>
        <v>0</v>
      </c>
      <c r="AN566" s="30" t="str">
        <f t="shared" si="8"/>
        <v>60404020000000</v>
      </c>
    </row>
    <row r="567" spans="3:40" x14ac:dyDescent="0.25">
      <c r="C567" s="40"/>
      <c r="D567" s="91" t="s">
        <v>2163</v>
      </c>
      <c r="E567" s="91" t="s">
        <v>2164</v>
      </c>
      <c r="F567" s="58" t="s">
        <v>110</v>
      </c>
      <c r="G567" s="52"/>
      <c r="H567" s="52"/>
      <c r="I567" s="52"/>
      <c r="J567" s="52"/>
      <c r="K567" s="59" t="s">
        <v>79</v>
      </c>
      <c r="L567" s="52"/>
      <c r="M567" s="52"/>
      <c r="N567" s="52"/>
      <c r="O567" s="52"/>
      <c r="P567" s="76" t="s">
        <v>2165</v>
      </c>
      <c r="Q567" s="55">
        <f>VLOOKUP(E567,'NI-San_SP'!$C:$AN,12,FALSE)</f>
        <v>0</v>
      </c>
      <c r="R567" s="55">
        <f>VLOOKUP(E567,'NI-San_SP'!$C:$AN,13,FALSE)</f>
        <v>0</v>
      </c>
      <c r="S567" s="55"/>
      <c r="T567" s="55"/>
      <c r="U567" s="55">
        <f>VLOOKUP($E567,'NI-San_SP'!$C:$AN,MID(U$1,1,2),FALSE)</f>
        <v>0</v>
      </c>
      <c r="V567" s="55">
        <f>VLOOKUP($E567,'NI-San_SP'!$C:$AN,MID(V$1,1,2),FALSE)</f>
        <v>0</v>
      </c>
      <c r="W567" s="55">
        <f>VLOOKUP($E567,'NI-San_SP'!$C:$AN,MID(W$1,1,2),FALSE)</f>
        <v>0</v>
      </c>
      <c r="X567" s="55">
        <f>VLOOKUP($E567,'NI-San_SP'!$C:$AN,MID(X$1,1,2),FALSE)</f>
        <v>0</v>
      </c>
      <c r="Y567" s="55">
        <f>VLOOKUP($E567,'NI-San_SP'!$C:$AN,MID(Y$1,1,2),FALSE)</f>
        <v>0</v>
      </c>
      <c r="Z567" s="55">
        <f>VLOOKUP($E567,'NI-San_SP'!$C:$AN,MID(Z$1,1,2),FALSE)</f>
        <v>0</v>
      </c>
      <c r="AA567" s="55">
        <f>VLOOKUP($E567,'NI-San_SP'!$C:$AN,MID(AA$1,1,2),FALSE)</f>
        <v>0</v>
      </c>
      <c r="AB567" s="55">
        <f>VLOOKUP($E567,'NI-San_SP'!$C:$AN,MID(AB$1,1,2),FALSE)</f>
        <v>0</v>
      </c>
      <c r="AC567" s="55">
        <f>VLOOKUP($E567,'NI-San_SP'!$C:$AN,MID(AC$1,1,2),FALSE)</f>
        <v>0</v>
      </c>
      <c r="AD567" s="55">
        <f>VLOOKUP($E567,'NI-San_SP'!$C:$AN,MID(AD$1,1,2),FALSE)</f>
        <v>0</v>
      </c>
      <c r="AE567" s="55">
        <f>VLOOKUP($E567,'NI-San_SP'!$C:$AN,MID(AE$1,1,2),FALSE)</f>
        <v>0</v>
      </c>
      <c r="AF567" s="55">
        <f>VLOOKUP($E567,'NI-San_SP'!$C:$AN,MID(AF$1,1,2),FALSE)</f>
        <v>0</v>
      </c>
      <c r="AG567" s="55">
        <f>VLOOKUP($E567,'NI-San_SP'!$C:$AN,MID(AG$1,1,2),FALSE)</f>
        <v>0</v>
      </c>
      <c r="AH567" s="55">
        <f>VLOOKUP($E567,'NI-San_SP'!$C:$AN,MID(AH$1,1,2),FALSE)</f>
        <v>0</v>
      </c>
      <c r="AI567" s="55">
        <f>VLOOKUP($E567,'NI-San_SP'!$C:$AN,MID(AI$1,1,2),FALSE)</f>
        <v>0</v>
      </c>
      <c r="AJ567" s="55">
        <f>VLOOKUP($E567,'NI-San_SP'!$C:$AN,MID(AJ$1,1,2),FALSE)</f>
        <v>0</v>
      </c>
      <c r="AK567" s="55">
        <f>VLOOKUP($E567,'NI-San_SP'!$C:$AN,MID(AK$1,1,2),FALSE)</f>
        <v>0</v>
      </c>
      <c r="AL567" s="55">
        <f>VLOOKUP($E567,'NI-San_SP'!$C:$AN,MID(AL$1,1,2),FALSE)</f>
        <v>0</v>
      </c>
      <c r="AM567" s="56">
        <f>VLOOKUP($E567,'NI-San_SP'!$C:$AN,MID(AM$1,1,2),FALSE)</f>
        <v>0</v>
      </c>
      <c r="AN567" s="30" t="str">
        <f t="shared" si="8"/>
        <v>60404030000000</v>
      </c>
    </row>
    <row r="568" spans="3:40" x14ac:dyDescent="0.25">
      <c r="C568" s="40"/>
      <c r="D568" s="91" t="s">
        <v>2166</v>
      </c>
      <c r="E568" s="91" t="s">
        <v>2167</v>
      </c>
      <c r="F568" s="58" t="s">
        <v>110</v>
      </c>
      <c r="G568" s="52"/>
      <c r="H568" s="52"/>
      <c r="I568" s="52"/>
      <c r="J568" s="52"/>
      <c r="K568" s="59" t="s">
        <v>79</v>
      </c>
      <c r="L568" s="52"/>
      <c r="M568" s="52"/>
      <c r="N568" s="52"/>
      <c r="O568" s="52"/>
      <c r="P568" s="76" t="s">
        <v>2168</v>
      </c>
      <c r="Q568" s="55">
        <f>VLOOKUP(E568,'NI-San_SP'!$C:$AN,12,FALSE)</f>
        <v>0</v>
      </c>
      <c r="R568" s="55">
        <f>VLOOKUP(E568,'NI-San_SP'!$C:$AN,13,FALSE)</f>
        <v>0</v>
      </c>
      <c r="S568" s="55"/>
      <c r="T568" s="55"/>
      <c r="U568" s="55">
        <f>VLOOKUP($E568,'NI-San_SP'!$C:$AN,MID(U$1,1,2),FALSE)</f>
        <v>0</v>
      </c>
      <c r="V568" s="55">
        <f>VLOOKUP($E568,'NI-San_SP'!$C:$AN,MID(V$1,1,2),FALSE)</f>
        <v>0</v>
      </c>
      <c r="W568" s="55">
        <f>VLOOKUP($E568,'NI-San_SP'!$C:$AN,MID(W$1,1,2),FALSE)</f>
        <v>0</v>
      </c>
      <c r="X568" s="55">
        <f>VLOOKUP($E568,'NI-San_SP'!$C:$AN,MID(X$1,1,2),FALSE)</f>
        <v>0</v>
      </c>
      <c r="Y568" s="55">
        <f>VLOOKUP($E568,'NI-San_SP'!$C:$AN,MID(Y$1,1,2),FALSE)</f>
        <v>0</v>
      </c>
      <c r="Z568" s="55">
        <f>VLOOKUP($E568,'NI-San_SP'!$C:$AN,MID(Z$1,1,2),FALSE)</f>
        <v>0</v>
      </c>
      <c r="AA568" s="55">
        <f>VLOOKUP($E568,'NI-San_SP'!$C:$AN,MID(AA$1,1,2),FALSE)</f>
        <v>0</v>
      </c>
      <c r="AB568" s="55">
        <f>VLOOKUP($E568,'NI-San_SP'!$C:$AN,MID(AB$1,1,2),FALSE)</f>
        <v>0</v>
      </c>
      <c r="AC568" s="55">
        <f>VLOOKUP($E568,'NI-San_SP'!$C:$AN,MID(AC$1,1,2),FALSE)</f>
        <v>0</v>
      </c>
      <c r="AD568" s="55">
        <f>VLOOKUP($E568,'NI-San_SP'!$C:$AN,MID(AD$1,1,2),FALSE)</f>
        <v>0</v>
      </c>
      <c r="AE568" s="55">
        <f>VLOOKUP($E568,'NI-San_SP'!$C:$AN,MID(AE$1,1,2),FALSE)</f>
        <v>0</v>
      </c>
      <c r="AF568" s="55">
        <f>VLOOKUP($E568,'NI-San_SP'!$C:$AN,MID(AF$1,1,2),FALSE)</f>
        <v>0</v>
      </c>
      <c r="AG568" s="55">
        <f>VLOOKUP($E568,'NI-San_SP'!$C:$AN,MID(AG$1,1,2),FALSE)</f>
        <v>0</v>
      </c>
      <c r="AH568" s="55">
        <f>VLOOKUP($E568,'NI-San_SP'!$C:$AN,MID(AH$1,1,2),FALSE)</f>
        <v>0</v>
      </c>
      <c r="AI568" s="55">
        <f>VLOOKUP($E568,'NI-San_SP'!$C:$AN,MID(AI$1,1,2),FALSE)</f>
        <v>0</v>
      </c>
      <c r="AJ568" s="55">
        <f>VLOOKUP($E568,'NI-San_SP'!$C:$AN,MID(AJ$1,1,2),FALSE)</f>
        <v>0</v>
      </c>
      <c r="AK568" s="55">
        <f>VLOOKUP($E568,'NI-San_SP'!$C:$AN,MID(AK$1,1,2),FALSE)</f>
        <v>0</v>
      </c>
      <c r="AL568" s="55">
        <f>VLOOKUP($E568,'NI-San_SP'!$C:$AN,MID(AL$1,1,2),FALSE)</f>
        <v>0</v>
      </c>
      <c r="AM568" s="56">
        <f>VLOOKUP($E568,'NI-San_SP'!$C:$AN,MID(AM$1,1,2),FALSE)</f>
        <v>0</v>
      </c>
      <c r="AN568" s="30" t="str">
        <f t="shared" si="8"/>
        <v>60404040000000</v>
      </c>
    </row>
    <row r="569" spans="3:40" x14ac:dyDescent="0.25">
      <c r="C569" s="40"/>
      <c r="D569" s="91" t="s">
        <v>2169</v>
      </c>
      <c r="E569" s="91" t="s">
        <v>2170</v>
      </c>
      <c r="F569" s="58" t="s">
        <v>110</v>
      </c>
      <c r="G569" s="52"/>
      <c r="H569" s="52"/>
      <c r="I569" s="52"/>
      <c r="J569" s="52"/>
      <c r="K569" s="59" t="s">
        <v>79</v>
      </c>
      <c r="L569" s="52"/>
      <c r="M569" s="52"/>
      <c r="N569" s="52"/>
      <c r="O569" s="52"/>
      <c r="P569" s="76" t="s">
        <v>2171</v>
      </c>
      <c r="Q569" s="55">
        <f>VLOOKUP(E569,'NI-San_SP'!$C:$AN,12,FALSE)</f>
        <v>0</v>
      </c>
      <c r="R569" s="55">
        <f>VLOOKUP(E569,'NI-San_SP'!$C:$AN,13,FALSE)</f>
        <v>0</v>
      </c>
      <c r="S569" s="55"/>
      <c r="T569" s="55"/>
      <c r="U569" s="55">
        <f>VLOOKUP($E569,'NI-San_SP'!$C:$AN,MID(U$1,1,2),FALSE)</f>
        <v>0</v>
      </c>
      <c r="V569" s="55">
        <f>VLOOKUP($E569,'NI-San_SP'!$C:$AN,MID(V$1,1,2),FALSE)</f>
        <v>0</v>
      </c>
      <c r="W569" s="55">
        <f>VLOOKUP($E569,'NI-San_SP'!$C:$AN,MID(W$1,1,2),FALSE)</f>
        <v>0</v>
      </c>
      <c r="X569" s="55">
        <f>VLOOKUP($E569,'NI-San_SP'!$C:$AN,MID(X$1,1,2),FALSE)</f>
        <v>0</v>
      </c>
      <c r="Y569" s="55">
        <f>VLOOKUP($E569,'NI-San_SP'!$C:$AN,MID(Y$1,1,2),FALSE)</f>
        <v>0</v>
      </c>
      <c r="Z569" s="55">
        <f>VLOOKUP($E569,'NI-San_SP'!$C:$AN,MID(Z$1,1,2),FALSE)</f>
        <v>0</v>
      </c>
      <c r="AA569" s="55">
        <f>VLOOKUP($E569,'NI-San_SP'!$C:$AN,MID(AA$1,1,2),FALSE)</f>
        <v>0</v>
      </c>
      <c r="AB569" s="55">
        <f>VLOOKUP($E569,'NI-San_SP'!$C:$AN,MID(AB$1,1,2),FALSE)</f>
        <v>0</v>
      </c>
      <c r="AC569" s="55">
        <f>VLOOKUP($E569,'NI-San_SP'!$C:$AN,MID(AC$1,1,2),FALSE)</f>
        <v>0</v>
      </c>
      <c r="AD569" s="55">
        <f>VLOOKUP($E569,'NI-San_SP'!$C:$AN,MID(AD$1,1,2),FALSE)</f>
        <v>0</v>
      </c>
      <c r="AE569" s="55">
        <f>VLOOKUP($E569,'NI-San_SP'!$C:$AN,MID(AE$1,1,2),FALSE)</f>
        <v>0</v>
      </c>
      <c r="AF569" s="55">
        <f>VLOOKUP($E569,'NI-San_SP'!$C:$AN,MID(AF$1,1,2),FALSE)</f>
        <v>0</v>
      </c>
      <c r="AG569" s="55">
        <f>VLOOKUP($E569,'NI-San_SP'!$C:$AN,MID(AG$1,1,2),FALSE)</f>
        <v>0</v>
      </c>
      <c r="AH569" s="55">
        <f>VLOOKUP($E569,'NI-San_SP'!$C:$AN,MID(AH$1,1,2),FALSE)</f>
        <v>0</v>
      </c>
      <c r="AI569" s="55">
        <f>VLOOKUP($E569,'NI-San_SP'!$C:$AN,MID(AI$1,1,2),FALSE)</f>
        <v>0</v>
      </c>
      <c r="AJ569" s="55">
        <f>VLOOKUP($E569,'NI-San_SP'!$C:$AN,MID(AJ$1,1,2),FALSE)</f>
        <v>0</v>
      </c>
      <c r="AK569" s="55">
        <f>VLOOKUP($E569,'NI-San_SP'!$C:$AN,MID(AK$1,1,2),FALSE)</f>
        <v>0</v>
      </c>
      <c r="AL569" s="55">
        <f>VLOOKUP($E569,'NI-San_SP'!$C:$AN,MID(AL$1,1,2),FALSE)</f>
        <v>0</v>
      </c>
      <c r="AM569" s="56">
        <f>VLOOKUP($E569,'NI-San_SP'!$C:$AN,MID(AM$1,1,2),FALSE)</f>
        <v>0</v>
      </c>
      <c r="AN569" s="30" t="str">
        <f t="shared" si="8"/>
        <v>60404050000000</v>
      </c>
    </row>
    <row r="570" spans="3:40" x14ac:dyDescent="0.25">
      <c r="C570" s="40"/>
      <c r="D570" s="91" t="s">
        <v>2172</v>
      </c>
      <c r="E570" s="91" t="s">
        <v>2173</v>
      </c>
      <c r="F570" s="58" t="s">
        <v>110</v>
      </c>
      <c r="G570" s="52"/>
      <c r="H570" s="52"/>
      <c r="I570" s="52" t="s">
        <v>2174</v>
      </c>
      <c r="J570" s="52" t="s">
        <v>2174</v>
      </c>
      <c r="K570" s="59" t="s">
        <v>79</v>
      </c>
      <c r="L570" s="62" t="s">
        <v>2175</v>
      </c>
      <c r="M570" s="52"/>
      <c r="N570" s="52"/>
      <c r="O570" s="52"/>
      <c r="P570" s="76" t="s">
        <v>2176</v>
      </c>
      <c r="Q570" s="55">
        <f>VLOOKUP(E570,'NI-San_SP'!$C:$AN,12,FALSE)</f>
        <v>1424446</v>
      </c>
      <c r="R570" s="55">
        <f>VLOOKUP(E570,'NI-San_SP'!$C:$AN,13,FALSE)</f>
        <v>2099973</v>
      </c>
      <c r="S570" s="55"/>
      <c r="T570" s="55"/>
      <c r="U570" s="55">
        <f>VLOOKUP($E570,'NI-San_SP'!$C:$AN,MID(U$1,1,2),FALSE)</f>
        <v>0</v>
      </c>
      <c r="V570" s="55">
        <f>VLOOKUP($E570,'NI-San_SP'!$C:$AN,MID(V$1,1,2),FALSE)</f>
        <v>1424446</v>
      </c>
      <c r="W570" s="55">
        <f>VLOOKUP($E570,'NI-San_SP'!$C:$AN,MID(W$1,1,2),FALSE)</f>
        <v>0</v>
      </c>
      <c r="X570" s="55">
        <f>VLOOKUP($E570,'NI-San_SP'!$C:$AN,MID(X$1,1,2),FALSE)</f>
        <v>1337884</v>
      </c>
      <c r="Y570" s="55">
        <f>VLOOKUP($E570,'NI-San_SP'!$C:$AN,MID(Y$1,1,2),FALSE)</f>
        <v>-357330</v>
      </c>
      <c r="Z570" s="55">
        <f>VLOOKUP($E570,'NI-San_SP'!$C:$AN,MID(Z$1,1,2),FALSE)</f>
        <v>305027</v>
      </c>
      <c r="AA570" s="55">
        <f>VLOOKUP($E570,'NI-San_SP'!$C:$AN,MID(AA$1,1,2),FALSE)</f>
        <v>0</v>
      </c>
      <c r="AB570" s="55">
        <f>VLOOKUP($E570,'NI-San_SP'!$C:$AN,MID(AB$1,1,2),FALSE)</f>
        <v>2099973</v>
      </c>
      <c r="AC570" s="55">
        <f>VLOOKUP($E570,'NI-San_SP'!$C:$AN,MID(AC$1,1,2),FALSE)</f>
        <v>0</v>
      </c>
      <c r="AD570" s="55">
        <f>VLOOKUP($E570,'NI-San_SP'!$C:$AN,MID(AD$1,1,2),FALSE)</f>
        <v>0</v>
      </c>
      <c r="AE570" s="55">
        <f>VLOOKUP($E570,'NI-San_SP'!$C:$AN,MID(AE$1,1,2),FALSE)</f>
        <v>0</v>
      </c>
      <c r="AF570" s="55">
        <f>VLOOKUP($E570,'NI-San_SP'!$C:$AN,MID(AF$1,1,2),FALSE)</f>
        <v>0</v>
      </c>
      <c r="AG570" s="55">
        <f>VLOOKUP($E570,'NI-San_SP'!$C:$AN,MID(AG$1,1,2),FALSE)</f>
        <v>0</v>
      </c>
      <c r="AH570" s="55">
        <f>VLOOKUP($E570,'NI-San_SP'!$C:$AN,MID(AH$1,1,2),FALSE)</f>
        <v>0</v>
      </c>
      <c r="AI570" s="55">
        <f>VLOOKUP($E570,'NI-San_SP'!$C:$AN,MID(AI$1,1,2),FALSE)</f>
        <v>0</v>
      </c>
      <c r="AJ570" s="55">
        <f>VLOOKUP($E570,'NI-San_SP'!$C:$AN,MID(AJ$1,1,2),FALSE)</f>
        <v>0</v>
      </c>
      <c r="AK570" s="55">
        <f>VLOOKUP($E570,'NI-San_SP'!$C:$AN,MID(AK$1,1,2),FALSE)</f>
        <v>0</v>
      </c>
      <c r="AL570" s="55">
        <f>VLOOKUP($E570,'NI-San_SP'!$C:$AN,MID(AL$1,1,2),FALSE)</f>
        <v>0</v>
      </c>
      <c r="AM570" s="56">
        <f>VLOOKUP($E570,'NI-San_SP'!$C:$AN,MID(AM$1,1,2),FALSE)</f>
        <v>0</v>
      </c>
      <c r="AN570" s="30" t="str">
        <f t="shared" si="8"/>
        <v>60405000000000</v>
      </c>
    </row>
    <row r="571" spans="3:40" x14ac:dyDescent="0.25">
      <c r="C571" s="40"/>
      <c r="D571" s="57" t="s">
        <v>2177</v>
      </c>
      <c r="E571" s="57" t="s">
        <v>2178</v>
      </c>
      <c r="F571" s="58" t="s">
        <v>110</v>
      </c>
      <c r="G571" s="52"/>
      <c r="H571" s="52"/>
      <c r="I571" s="52"/>
      <c r="J571" s="52"/>
      <c r="K571" s="59" t="s">
        <v>111</v>
      </c>
      <c r="L571" s="52"/>
      <c r="M571" s="52"/>
      <c r="N571" s="52"/>
      <c r="O571" s="61" t="s">
        <v>2179</v>
      </c>
      <c r="P571" s="76" t="s">
        <v>2180</v>
      </c>
      <c r="Q571" s="55">
        <f>VLOOKUP(E571,'NI-San_SP'!$C:$AN,12,FALSE)</f>
        <v>4038059</v>
      </c>
      <c r="R571" s="55">
        <f>VLOOKUP(E571,'NI-San_SP'!$C:$AN,13,FALSE)</f>
        <v>2497221</v>
      </c>
      <c r="S571" s="55"/>
      <c r="T571" s="55"/>
      <c r="U571" s="55">
        <f>VLOOKUP($E571,'NI-San_SP'!$C:$AN,MID(U$1,1,2),FALSE)</f>
        <v>0</v>
      </c>
      <c r="V571" s="55">
        <f>VLOOKUP($E571,'NI-San_SP'!$C:$AN,MID(V$1,1,2),FALSE)</f>
        <v>4038059</v>
      </c>
      <c r="W571" s="55">
        <f>VLOOKUP($E571,'NI-San_SP'!$C:$AN,MID(W$1,1,2),FALSE)</f>
        <v>0</v>
      </c>
      <c r="X571" s="55">
        <f>VLOOKUP($E571,'NI-San_SP'!$C:$AN,MID(X$1,1,2),FALSE)</f>
        <v>1379890</v>
      </c>
      <c r="Y571" s="55">
        <f>VLOOKUP($E571,'NI-San_SP'!$C:$AN,MID(Y$1,1,2),FALSE)</f>
        <v>1343</v>
      </c>
      <c r="Z571" s="55">
        <f>VLOOKUP($E571,'NI-San_SP'!$C:$AN,MID(Z$1,1,2),FALSE)</f>
        <v>2922071</v>
      </c>
      <c r="AA571" s="55">
        <f>VLOOKUP($E571,'NI-San_SP'!$C:$AN,MID(AA$1,1,2),FALSE)</f>
        <v>0</v>
      </c>
      <c r="AB571" s="55">
        <f>VLOOKUP($E571,'NI-San_SP'!$C:$AN,MID(AB$1,1,2),FALSE)</f>
        <v>2497221</v>
      </c>
      <c r="AC571" s="55">
        <f>VLOOKUP($E571,'NI-San_SP'!$C:$AN,MID(AC$1,1,2),FALSE)</f>
        <v>0</v>
      </c>
      <c r="AD571" s="55">
        <f>VLOOKUP($E571,'NI-San_SP'!$C:$AN,MID(AD$1,1,2),FALSE)</f>
        <v>0</v>
      </c>
      <c r="AE571" s="55">
        <f>VLOOKUP($E571,'NI-San_SP'!$C:$AN,MID(AE$1,1,2),FALSE)</f>
        <v>0</v>
      </c>
      <c r="AF571" s="55">
        <f>VLOOKUP($E571,'NI-San_SP'!$C:$AN,MID(AF$1,1,2),FALSE)</f>
        <v>0</v>
      </c>
      <c r="AG571" s="55">
        <f>VLOOKUP($E571,'NI-San_SP'!$C:$AN,MID(AG$1,1,2),FALSE)</f>
        <v>0</v>
      </c>
      <c r="AH571" s="55">
        <f>VLOOKUP($E571,'NI-San_SP'!$C:$AN,MID(AH$1,1,2),FALSE)</f>
        <v>0</v>
      </c>
      <c r="AI571" s="55">
        <f>VLOOKUP($E571,'NI-San_SP'!$C:$AN,MID(AI$1,1,2),FALSE)</f>
        <v>0</v>
      </c>
      <c r="AJ571" s="55">
        <f>VLOOKUP($E571,'NI-San_SP'!$C:$AN,MID(AJ$1,1,2),FALSE)</f>
        <v>0</v>
      </c>
      <c r="AK571" s="55">
        <f>VLOOKUP($E571,'NI-San_SP'!$C:$AN,MID(AK$1,1,2),FALSE)</f>
        <v>0</v>
      </c>
      <c r="AL571" s="55">
        <f>VLOOKUP($E571,'NI-San_SP'!$C:$AN,MID(AL$1,1,2),FALSE)</f>
        <v>0</v>
      </c>
      <c r="AM571" s="56">
        <f>VLOOKUP($E571,'NI-San_SP'!$C:$AN,MID(AM$1,1,2),FALSE)</f>
        <v>0</v>
      </c>
      <c r="AN571" s="30" t="str">
        <f t="shared" si="8"/>
        <v>60500000000000</v>
      </c>
    </row>
    <row r="572" spans="3:40" x14ac:dyDescent="0.25">
      <c r="C572" s="40"/>
      <c r="D572" s="92" t="s">
        <v>2181</v>
      </c>
      <c r="E572" s="92" t="s">
        <v>2182</v>
      </c>
      <c r="F572" s="58" t="s">
        <v>110</v>
      </c>
      <c r="G572" s="52"/>
      <c r="H572" s="52"/>
      <c r="I572" s="52" t="s">
        <v>2183</v>
      </c>
      <c r="J572" s="52" t="s">
        <v>2183</v>
      </c>
      <c r="K572" s="59" t="s">
        <v>111</v>
      </c>
      <c r="L572" s="62" t="s">
        <v>2184</v>
      </c>
      <c r="M572" s="52"/>
      <c r="N572" s="52"/>
      <c r="O572" s="52"/>
      <c r="P572" s="76" t="s">
        <v>2185</v>
      </c>
      <c r="Q572" s="55">
        <f>VLOOKUP(E572,'NI-San_SP'!$C:$AN,12,FALSE)</f>
        <v>0</v>
      </c>
      <c r="R572" s="55">
        <f>VLOOKUP(E572,'NI-San_SP'!$C:$AN,13,FALSE)</f>
        <v>0</v>
      </c>
      <c r="S572" s="55"/>
      <c r="T572" s="55"/>
      <c r="U572" s="55">
        <f>VLOOKUP($E572,'NI-San_SP'!$C:$AN,MID(U$1,1,2),FALSE)</f>
        <v>0</v>
      </c>
      <c r="V572" s="55">
        <f>VLOOKUP($E572,'NI-San_SP'!$C:$AN,MID(V$1,1,2),FALSE)</f>
        <v>0</v>
      </c>
      <c r="W572" s="55">
        <f>VLOOKUP($E572,'NI-San_SP'!$C:$AN,MID(W$1,1,2),FALSE)</f>
        <v>0</v>
      </c>
      <c r="X572" s="55">
        <f>VLOOKUP($E572,'NI-San_SP'!$C:$AN,MID(X$1,1,2),FALSE)</f>
        <v>0</v>
      </c>
      <c r="Y572" s="55">
        <f>VLOOKUP($E572,'NI-San_SP'!$C:$AN,MID(Y$1,1,2),FALSE)</f>
        <v>0</v>
      </c>
      <c r="Z572" s="55">
        <f>VLOOKUP($E572,'NI-San_SP'!$C:$AN,MID(Z$1,1,2),FALSE)</f>
        <v>0</v>
      </c>
      <c r="AA572" s="55">
        <f>VLOOKUP($E572,'NI-San_SP'!$C:$AN,MID(AA$1,1,2),FALSE)</f>
        <v>0</v>
      </c>
      <c r="AB572" s="55">
        <f>VLOOKUP($E572,'NI-San_SP'!$C:$AN,MID(AB$1,1,2),FALSE)</f>
        <v>0</v>
      </c>
      <c r="AC572" s="55">
        <f>VLOOKUP($E572,'NI-San_SP'!$C:$AN,MID(AC$1,1,2),FALSE)</f>
        <v>0</v>
      </c>
      <c r="AD572" s="55">
        <f>VLOOKUP($E572,'NI-San_SP'!$C:$AN,MID(AD$1,1,2),FALSE)</f>
        <v>0</v>
      </c>
      <c r="AE572" s="55">
        <f>VLOOKUP($E572,'NI-San_SP'!$C:$AN,MID(AE$1,1,2),FALSE)</f>
        <v>0</v>
      </c>
      <c r="AF572" s="55">
        <f>VLOOKUP($E572,'NI-San_SP'!$C:$AN,MID(AF$1,1,2),FALSE)</f>
        <v>0</v>
      </c>
      <c r="AG572" s="55">
        <f>VLOOKUP($E572,'NI-San_SP'!$C:$AN,MID(AG$1,1,2),FALSE)</f>
        <v>0</v>
      </c>
      <c r="AH572" s="55">
        <f>VLOOKUP($E572,'NI-San_SP'!$C:$AN,MID(AH$1,1,2),FALSE)</f>
        <v>0</v>
      </c>
      <c r="AI572" s="55">
        <f>VLOOKUP($E572,'NI-San_SP'!$C:$AN,MID(AI$1,1,2),FALSE)</f>
        <v>0</v>
      </c>
      <c r="AJ572" s="55">
        <f>VLOOKUP($E572,'NI-San_SP'!$C:$AN,MID(AJ$1,1,2),FALSE)</f>
        <v>0</v>
      </c>
      <c r="AK572" s="55">
        <f>VLOOKUP($E572,'NI-San_SP'!$C:$AN,MID(AK$1,1,2),FALSE)</f>
        <v>0</v>
      </c>
      <c r="AL572" s="55">
        <f>VLOOKUP($E572,'NI-San_SP'!$C:$AN,MID(AL$1,1,2),FALSE)</f>
        <v>0</v>
      </c>
      <c r="AM572" s="56">
        <f>VLOOKUP($E572,'NI-San_SP'!$C:$AN,MID(AM$1,1,2),FALSE)</f>
        <v>0</v>
      </c>
      <c r="AN572" s="30" t="str">
        <f t="shared" si="8"/>
        <v>60501000000000</v>
      </c>
    </row>
    <row r="573" spans="3:40" x14ac:dyDescent="0.25">
      <c r="C573" s="40"/>
      <c r="D573" s="92" t="s">
        <v>2186</v>
      </c>
      <c r="E573" s="92" t="s">
        <v>2187</v>
      </c>
      <c r="F573" s="58" t="s">
        <v>110</v>
      </c>
      <c r="G573" s="52"/>
      <c r="H573" s="52"/>
      <c r="I573" s="52"/>
      <c r="J573" s="52"/>
      <c r="K573" s="59" t="s">
        <v>79</v>
      </c>
      <c r="L573" s="52"/>
      <c r="M573" s="52"/>
      <c r="N573" s="52"/>
      <c r="O573" s="52"/>
      <c r="P573" s="76" t="s">
        <v>2188</v>
      </c>
      <c r="Q573" s="55">
        <f>VLOOKUP(E573,'NI-San_SP'!$C:$AN,12,FALSE)</f>
        <v>0</v>
      </c>
      <c r="R573" s="55">
        <f>VLOOKUP(E573,'NI-San_SP'!$C:$AN,13,FALSE)</f>
        <v>0</v>
      </c>
      <c r="S573" s="55"/>
      <c r="T573" s="55"/>
      <c r="U573" s="55">
        <f>VLOOKUP($E573,'NI-San_SP'!$C:$AN,MID(U$1,1,2),FALSE)</f>
        <v>0</v>
      </c>
      <c r="V573" s="55">
        <f>VLOOKUP($E573,'NI-San_SP'!$C:$AN,MID(V$1,1,2),FALSE)</f>
        <v>0</v>
      </c>
      <c r="W573" s="55">
        <f>VLOOKUP($E573,'NI-San_SP'!$C:$AN,MID(W$1,1,2),FALSE)</f>
        <v>0</v>
      </c>
      <c r="X573" s="55">
        <f>VLOOKUP($E573,'NI-San_SP'!$C:$AN,MID(X$1,1,2),FALSE)</f>
        <v>0</v>
      </c>
      <c r="Y573" s="55">
        <f>VLOOKUP($E573,'NI-San_SP'!$C:$AN,MID(Y$1,1,2),FALSE)</f>
        <v>0</v>
      </c>
      <c r="Z573" s="55">
        <f>VLOOKUP($E573,'NI-San_SP'!$C:$AN,MID(Z$1,1,2),FALSE)</f>
        <v>0</v>
      </c>
      <c r="AA573" s="55">
        <f>VLOOKUP($E573,'NI-San_SP'!$C:$AN,MID(AA$1,1,2),FALSE)</f>
        <v>0</v>
      </c>
      <c r="AB573" s="55">
        <f>VLOOKUP($E573,'NI-San_SP'!$C:$AN,MID(AB$1,1,2),FALSE)</f>
        <v>0</v>
      </c>
      <c r="AC573" s="55">
        <f>VLOOKUP($E573,'NI-San_SP'!$C:$AN,MID(AC$1,1,2),FALSE)</f>
        <v>0</v>
      </c>
      <c r="AD573" s="55">
        <f>VLOOKUP($E573,'NI-San_SP'!$C:$AN,MID(AD$1,1,2),FALSE)</f>
        <v>0</v>
      </c>
      <c r="AE573" s="55">
        <f>VLOOKUP($E573,'NI-San_SP'!$C:$AN,MID(AE$1,1,2),FALSE)</f>
        <v>0</v>
      </c>
      <c r="AF573" s="55">
        <f>VLOOKUP($E573,'NI-San_SP'!$C:$AN,MID(AF$1,1,2),FALSE)</f>
        <v>0</v>
      </c>
      <c r="AG573" s="55">
        <f>VLOOKUP($E573,'NI-San_SP'!$C:$AN,MID(AG$1,1,2),FALSE)</f>
        <v>0</v>
      </c>
      <c r="AH573" s="55">
        <f>VLOOKUP($E573,'NI-San_SP'!$C:$AN,MID(AH$1,1,2),FALSE)</f>
        <v>0</v>
      </c>
      <c r="AI573" s="55">
        <f>VLOOKUP($E573,'NI-San_SP'!$C:$AN,MID(AI$1,1,2),FALSE)</f>
        <v>0</v>
      </c>
      <c r="AJ573" s="55">
        <f>VLOOKUP($E573,'NI-San_SP'!$C:$AN,MID(AJ$1,1,2),FALSE)</f>
        <v>0</v>
      </c>
      <c r="AK573" s="55">
        <f>VLOOKUP($E573,'NI-San_SP'!$C:$AN,MID(AK$1,1,2),FALSE)</f>
        <v>0</v>
      </c>
      <c r="AL573" s="55">
        <f>VLOOKUP($E573,'NI-San_SP'!$C:$AN,MID(AL$1,1,2),FALSE)</f>
        <v>0</v>
      </c>
      <c r="AM573" s="56">
        <f>VLOOKUP($E573,'NI-San_SP'!$C:$AN,MID(AM$1,1,2),FALSE)</f>
        <v>0</v>
      </c>
      <c r="AN573" s="30" t="str">
        <f t="shared" si="8"/>
        <v>60501010000000</v>
      </c>
    </row>
    <row r="574" spans="3:40" x14ac:dyDescent="0.25">
      <c r="C574" s="40"/>
      <c r="D574" s="92" t="s">
        <v>2189</v>
      </c>
      <c r="E574" s="92" t="s">
        <v>2190</v>
      </c>
      <c r="F574" s="58" t="s">
        <v>110</v>
      </c>
      <c r="G574" s="52"/>
      <c r="H574" s="52"/>
      <c r="I574" s="52"/>
      <c r="J574" s="52"/>
      <c r="K574" s="59" t="s">
        <v>79</v>
      </c>
      <c r="L574" s="52"/>
      <c r="M574" s="52"/>
      <c r="N574" s="52"/>
      <c r="O574" s="52"/>
      <c r="P574" s="76" t="s">
        <v>2191</v>
      </c>
      <c r="Q574" s="55">
        <f>VLOOKUP(E574,'NI-San_SP'!$C:$AN,12,FALSE)</f>
        <v>0</v>
      </c>
      <c r="R574" s="55">
        <f>VLOOKUP(E574,'NI-San_SP'!$C:$AN,13,FALSE)</f>
        <v>0</v>
      </c>
      <c r="S574" s="55"/>
      <c r="T574" s="55"/>
      <c r="U574" s="55">
        <f>VLOOKUP($E574,'NI-San_SP'!$C:$AN,MID(U$1,1,2),FALSE)</f>
        <v>0</v>
      </c>
      <c r="V574" s="55">
        <f>VLOOKUP($E574,'NI-San_SP'!$C:$AN,MID(V$1,1,2),FALSE)</f>
        <v>0</v>
      </c>
      <c r="W574" s="55">
        <f>VLOOKUP($E574,'NI-San_SP'!$C:$AN,MID(W$1,1,2),FALSE)</f>
        <v>0</v>
      </c>
      <c r="X574" s="55">
        <f>VLOOKUP($E574,'NI-San_SP'!$C:$AN,MID(X$1,1,2),FALSE)</f>
        <v>0</v>
      </c>
      <c r="Y574" s="55">
        <f>VLOOKUP($E574,'NI-San_SP'!$C:$AN,MID(Y$1,1,2),FALSE)</f>
        <v>0</v>
      </c>
      <c r="Z574" s="55">
        <f>VLOOKUP($E574,'NI-San_SP'!$C:$AN,MID(Z$1,1,2),FALSE)</f>
        <v>0</v>
      </c>
      <c r="AA574" s="55">
        <f>VLOOKUP($E574,'NI-San_SP'!$C:$AN,MID(AA$1,1,2),FALSE)</f>
        <v>0</v>
      </c>
      <c r="AB574" s="55">
        <f>VLOOKUP($E574,'NI-San_SP'!$C:$AN,MID(AB$1,1,2),FALSE)</f>
        <v>0</v>
      </c>
      <c r="AC574" s="55">
        <f>VLOOKUP($E574,'NI-San_SP'!$C:$AN,MID(AC$1,1,2),FALSE)</f>
        <v>0</v>
      </c>
      <c r="AD574" s="55">
        <f>VLOOKUP($E574,'NI-San_SP'!$C:$AN,MID(AD$1,1,2),FALSE)</f>
        <v>0</v>
      </c>
      <c r="AE574" s="55">
        <f>VLOOKUP($E574,'NI-San_SP'!$C:$AN,MID(AE$1,1,2),FALSE)</f>
        <v>0</v>
      </c>
      <c r="AF574" s="55">
        <f>VLOOKUP($E574,'NI-San_SP'!$C:$AN,MID(AF$1,1,2),FALSE)</f>
        <v>0</v>
      </c>
      <c r="AG574" s="55">
        <f>VLOOKUP($E574,'NI-San_SP'!$C:$AN,MID(AG$1,1,2),FALSE)</f>
        <v>0</v>
      </c>
      <c r="AH574" s="55">
        <f>VLOOKUP($E574,'NI-San_SP'!$C:$AN,MID(AH$1,1,2),FALSE)</f>
        <v>0</v>
      </c>
      <c r="AI574" s="55">
        <f>VLOOKUP($E574,'NI-San_SP'!$C:$AN,MID(AI$1,1,2),FALSE)</f>
        <v>0</v>
      </c>
      <c r="AJ574" s="55">
        <f>VLOOKUP($E574,'NI-San_SP'!$C:$AN,MID(AJ$1,1,2),FALSE)</f>
        <v>0</v>
      </c>
      <c r="AK574" s="55">
        <f>VLOOKUP($E574,'NI-San_SP'!$C:$AN,MID(AK$1,1,2),FALSE)</f>
        <v>0</v>
      </c>
      <c r="AL574" s="55">
        <f>VLOOKUP($E574,'NI-San_SP'!$C:$AN,MID(AL$1,1,2),FALSE)</f>
        <v>0</v>
      </c>
      <c r="AM574" s="56">
        <f>VLOOKUP($E574,'NI-San_SP'!$C:$AN,MID(AM$1,1,2),FALSE)</f>
        <v>0</v>
      </c>
      <c r="AN574" s="30" t="str">
        <f t="shared" si="8"/>
        <v>60501020000000</v>
      </c>
    </row>
    <row r="575" spans="3:40" x14ac:dyDescent="0.25">
      <c r="C575" s="40"/>
      <c r="D575" s="92" t="s">
        <v>2192</v>
      </c>
      <c r="E575" s="92" t="s">
        <v>2193</v>
      </c>
      <c r="F575" s="58" t="s">
        <v>110</v>
      </c>
      <c r="G575" s="52"/>
      <c r="H575" s="52"/>
      <c r="I575" s="52"/>
      <c r="J575" s="52"/>
      <c r="K575" s="59" t="s">
        <v>111</v>
      </c>
      <c r="L575" s="62" t="s">
        <v>2194</v>
      </c>
      <c r="M575" s="52"/>
      <c r="N575" s="52"/>
      <c r="O575" s="52"/>
      <c r="P575" s="76" t="s">
        <v>2195</v>
      </c>
      <c r="Q575" s="55">
        <f>VLOOKUP(E575,'NI-San_SP'!$C:$AN,12,FALSE)</f>
        <v>3646599</v>
      </c>
      <c r="R575" s="55">
        <f>VLOOKUP(E575,'NI-San_SP'!$C:$AN,13,FALSE)</f>
        <v>2015917</v>
      </c>
      <c r="S575" s="55"/>
      <c r="T575" s="55"/>
      <c r="U575" s="55">
        <f>VLOOKUP($E575,'NI-San_SP'!$C:$AN,MID(U$1,1,2),FALSE)</f>
        <v>0</v>
      </c>
      <c r="V575" s="55">
        <f>VLOOKUP($E575,'NI-San_SP'!$C:$AN,MID(V$1,1,2),FALSE)</f>
        <v>3646599</v>
      </c>
      <c r="W575" s="55">
        <f>VLOOKUP($E575,'NI-San_SP'!$C:$AN,MID(W$1,1,2),FALSE)</f>
        <v>0</v>
      </c>
      <c r="X575" s="55">
        <f>VLOOKUP($E575,'NI-San_SP'!$C:$AN,MID(X$1,1,2),FALSE)</f>
        <v>1125088</v>
      </c>
      <c r="Y575" s="55">
        <f>VLOOKUP($E575,'NI-San_SP'!$C:$AN,MID(Y$1,1,2),FALSE)</f>
        <v>0</v>
      </c>
      <c r="Z575" s="55">
        <f>VLOOKUP($E575,'NI-San_SP'!$C:$AN,MID(Z$1,1,2),FALSE)</f>
        <v>2755770</v>
      </c>
      <c r="AA575" s="55">
        <f>VLOOKUP($E575,'NI-San_SP'!$C:$AN,MID(AA$1,1,2),FALSE)</f>
        <v>0</v>
      </c>
      <c r="AB575" s="55">
        <f>VLOOKUP($E575,'NI-San_SP'!$C:$AN,MID(AB$1,1,2),FALSE)</f>
        <v>2015917</v>
      </c>
      <c r="AC575" s="55">
        <f>VLOOKUP($E575,'NI-San_SP'!$C:$AN,MID(AC$1,1,2),FALSE)</f>
        <v>0</v>
      </c>
      <c r="AD575" s="55">
        <f>VLOOKUP($E575,'NI-San_SP'!$C:$AN,MID(AD$1,1,2),FALSE)</f>
        <v>0</v>
      </c>
      <c r="AE575" s="55">
        <f>VLOOKUP($E575,'NI-San_SP'!$C:$AN,MID(AE$1,1,2),FALSE)</f>
        <v>0</v>
      </c>
      <c r="AF575" s="55">
        <f>VLOOKUP($E575,'NI-San_SP'!$C:$AN,MID(AF$1,1,2),FALSE)</f>
        <v>0</v>
      </c>
      <c r="AG575" s="55">
        <f>VLOOKUP($E575,'NI-San_SP'!$C:$AN,MID(AG$1,1,2),FALSE)</f>
        <v>0</v>
      </c>
      <c r="AH575" s="55">
        <f>VLOOKUP($E575,'NI-San_SP'!$C:$AN,MID(AH$1,1,2),FALSE)</f>
        <v>0</v>
      </c>
      <c r="AI575" s="55">
        <f>VLOOKUP($E575,'NI-San_SP'!$C:$AN,MID(AI$1,1,2),FALSE)</f>
        <v>0</v>
      </c>
      <c r="AJ575" s="55">
        <f>VLOOKUP($E575,'NI-San_SP'!$C:$AN,MID(AJ$1,1,2),FALSE)</f>
        <v>0</v>
      </c>
      <c r="AK575" s="55">
        <f>VLOOKUP($E575,'NI-San_SP'!$C:$AN,MID(AK$1,1,2),FALSE)</f>
        <v>0</v>
      </c>
      <c r="AL575" s="55">
        <f>VLOOKUP($E575,'NI-San_SP'!$C:$AN,MID(AL$1,1,2),FALSE)</f>
        <v>0</v>
      </c>
      <c r="AM575" s="56">
        <f>VLOOKUP($E575,'NI-San_SP'!$C:$AN,MID(AM$1,1,2),FALSE)</f>
        <v>0</v>
      </c>
      <c r="AN575" s="30" t="str">
        <f t="shared" si="8"/>
        <v>60502010000000</v>
      </c>
    </row>
    <row r="576" spans="3:40" x14ac:dyDescent="0.25">
      <c r="C576" s="40"/>
      <c r="D576" s="91" t="s">
        <v>2196</v>
      </c>
      <c r="E576" s="91" t="s">
        <v>2197</v>
      </c>
      <c r="F576" s="58" t="s">
        <v>110</v>
      </c>
      <c r="G576" s="52"/>
      <c r="H576" s="52"/>
      <c r="I576" s="52" t="s">
        <v>2198</v>
      </c>
      <c r="J576" s="52" t="s">
        <v>2198</v>
      </c>
      <c r="K576" s="59" t="s">
        <v>79</v>
      </c>
      <c r="L576" s="52"/>
      <c r="M576" s="52"/>
      <c r="N576" s="52"/>
      <c r="O576" s="52"/>
      <c r="P576" s="76" t="s">
        <v>2199</v>
      </c>
      <c r="Q576" s="55">
        <f>VLOOKUP(E576,'NI-San_SP'!$C:$AN,12,FALSE)</f>
        <v>3135468</v>
      </c>
      <c r="R576" s="55">
        <f>VLOOKUP(E576,'NI-San_SP'!$C:$AN,13,FALSE)</f>
        <v>1287375</v>
      </c>
      <c r="S576" s="55"/>
      <c r="T576" s="55"/>
      <c r="U576" s="55">
        <f>VLOOKUP($E576,'NI-San_SP'!$C:$AN,MID(U$1,1,2),FALSE)</f>
        <v>0</v>
      </c>
      <c r="V576" s="55">
        <f>VLOOKUP($E576,'NI-San_SP'!$C:$AN,MID(V$1,1,2),FALSE)</f>
        <v>3135468</v>
      </c>
      <c r="W576" s="55">
        <f>VLOOKUP($E576,'NI-San_SP'!$C:$AN,MID(W$1,1,2),FALSE)</f>
        <v>0</v>
      </c>
      <c r="X576" s="55">
        <f>VLOOKUP($E576,'NI-San_SP'!$C:$AN,MID(X$1,1,2),FALSE)</f>
        <v>627218</v>
      </c>
      <c r="Y576" s="55">
        <f>VLOOKUP($E576,'NI-San_SP'!$C:$AN,MID(Y$1,1,2),FALSE)</f>
        <v>0</v>
      </c>
      <c r="Z576" s="55">
        <f>VLOOKUP($E576,'NI-San_SP'!$C:$AN,MID(Z$1,1,2),FALSE)</f>
        <v>2475311</v>
      </c>
      <c r="AA576" s="55">
        <f>VLOOKUP($E576,'NI-San_SP'!$C:$AN,MID(AA$1,1,2),FALSE)</f>
        <v>0</v>
      </c>
      <c r="AB576" s="55">
        <f>VLOOKUP($E576,'NI-San_SP'!$C:$AN,MID(AB$1,1,2),FALSE)</f>
        <v>1287375</v>
      </c>
      <c r="AC576" s="55">
        <f>VLOOKUP($E576,'NI-San_SP'!$C:$AN,MID(AC$1,1,2),FALSE)</f>
        <v>0</v>
      </c>
      <c r="AD576" s="55">
        <f>VLOOKUP($E576,'NI-San_SP'!$C:$AN,MID(AD$1,1,2),FALSE)</f>
        <v>0</v>
      </c>
      <c r="AE576" s="55">
        <f>VLOOKUP($E576,'NI-San_SP'!$C:$AN,MID(AE$1,1,2),FALSE)</f>
        <v>0</v>
      </c>
      <c r="AF576" s="55">
        <f>VLOOKUP($E576,'NI-San_SP'!$C:$AN,MID(AF$1,1,2),FALSE)</f>
        <v>0</v>
      </c>
      <c r="AG576" s="55">
        <f>VLOOKUP($E576,'NI-San_SP'!$C:$AN,MID(AG$1,1,2),FALSE)</f>
        <v>0</v>
      </c>
      <c r="AH576" s="55">
        <f>VLOOKUP($E576,'NI-San_SP'!$C:$AN,MID(AH$1,1,2),FALSE)</f>
        <v>0</v>
      </c>
      <c r="AI576" s="55">
        <f>VLOOKUP($E576,'NI-San_SP'!$C:$AN,MID(AI$1,1,2),FALSE)</f>
        <v>0</v>
      </c>
      <c r="AJ576" s="55">
        <f>VLOOKUP($E576,'NI-San_SP'!$C:$AN,MID(AJ$1,1,2),FALSE)</f>
        <v>0</v>
      </c>
      <c r="AK576" s="55">
        <f>VLOOKUP($E576,'NI-San_SP'!$C:$AN,MID(AK$1,1,2),FALSE)</f>
        <v>0</v>
      </c>
      <c r="AL576" s="55">
        <f>VLOOKUP($E576,'NI-San_SP'!$C:$AN,MID(AL$1,1,2),FALSE)</f>
        <v>0</v>
      </c>
      <c r="AM576" s="56">
        <f>VLOOKUP($E576,'NI-San_SP'!$C:$AN,MID(AM$1,1,2),FALSE)</f>
        <v>0</v>
      </c>
      <c r="AN576" s="30" t="str">
        <f t="shared" si="8"/>
        <v>60502010010000</v>
      </c>
    </row>
    <row r="577" spans="1:40" x14ac:dyDescent="0.25">
      <c r="C577" s="40"/>
      <c r="D577" s="91" t="s">
        <v>2200</v>
      </c>
      <c r="E577" s="91" t="s">
        <v>2201</v>
      </c>
      <c r="F577" s="58" t="s">
        <v>110</v>
      </c>
      <c r="G577" s="52"/>
      <c r="H577" s="52"/>
      <c r="I577" s="52" t="s">
        <v>2198</v>
      </c>
      <c r="J577" s="52" t="s">
        <v>2198</v>
      </c>
      <c r="K577" s="59" t="s">
        <v>79</v>
      </c>
      <c r="L577" s="52"/>
      <c r="M577" s="52"/>
      <c r="N577" s="52"/>
      <c r="O577" s="52"/>
      <c r="P577" s="76" t="s">
        <v>2202</v>
      </c>
      <c r="Q577" s="55">
        <f>VLOOKUP(E577,'NI-San_SP'!$C:$AN,12,FALSE)</f>
        <v>261497</v>
      </c>
      <c r="R577" s="55">
        <f>VLOOKUP(E577,'NI-San_SP'!$C:$AN,13,FALSE)</f>
        <v>55369</v>
      </c>
      <c r="S577" s="55"/>
      <c r="T577" s="55"/>
      <c r="U577" s="55">
        <f>VLOOKUP($E577,'NI-San_SP'!$C:$AN,MID(U$1,1,2),FALSE)</f>
        <v>0</v>
      </c>
      <c r="V577" s="55">
        <f>VLOOKUP($E577,'NI-San_SP'!$C:$AN,MID(V$1,1,2),FALSE)</f>
        <v>261497</v>
      </c>
      <c r="W577" s="55">
        <f>VLOOKUP($E577,'NI-San_SP'!$C:$AN,MID(W$1,1,2),FALSE)</f>
        <v>0</v>
      </c>
      <c r="X577" s="55">
        <f>VLOOKUP($E577,'NI-San_SP'!$C:$AN,MID(X$1,1,2),FALSE)</f>
        <v>16463</v>
      </c>
      <c r="Y577" s="55">
        <f>VLOOKUP($E577,'NI-San_SP'!$C:$AN,MID(Y$1,1,2),FALSE)</f>
        <v>0</v>
      </c>
      <c r="Z577" s="55">
        <f>VLOOKUP($E577,'NI-San_SP'!$C:$AN,MID(Z$1,1,2),FALSE)</f>
        <v>222591</v>
      </c>
      <c r="AA577" s="55">
        <f>VLOOKUP($E577,'NI-San_SP'!$C:$AN,MID(AA$1,1,2),FALSE)</f>
        <v>0</v>
      </c>
      <c r="AB577" s="55">
        <f>VLOOKUP($E577,'NI-San_SP'!$C:$AN,MID(AB$1,1,2),FALSE)</f>
        <v>55369</v>
      </c>
      <c r="AC577" s="55">
        <f>VLOOKUP($E577,'NI-San_SP'!$C:$AN,MID(AC$1,1,2),FALSE)</f>
        <v>0</v>
      </c>
      <c r="AD577" s="55">
        <f>VLOOKUP($E577,'NI-San_SP'!$C:$AN,MID(AD$1,1,2),FALSE)</f>
        <v>0</v>
      </c>
      <c r="AE577" s="55">
        <f>VLOOKUP($E577,'NI-San_SP'!$C:$AN,MID(AE$1,1,2),FALSE)</f>
        <v>0</v>
      </c>
      <c r="AF577" s="55">
        <f>VLOOKUP($E577,'NI-San_SP'!$C:$AN,MID(AF$1,1,2),FALSE)</f>
        <v>0</v>
      </c>
      <c r="AG577" s="55">
        <f>VLOOKUP($E577,'NI-San_SP'!$C:$AN,MID(AG$1,1,2),FALSE)</f>
        <v>0</v>
      </c>
      <c r="AH577" s="55">
        <f>VLOOKUP($E577,'NI-San_SP'!$C:$AN,MID(AH$1,1,2),FALSE)</f>
        <v>0</v>
      </c>
      <c r="AI577" s="55">
        <f>VLOOKUP($E577,'NI-San_SP'!$C:$AN,MID(AI$1,1,2),FALSE)</f>
        <v>0</v>
      </c>
      <c r="AJ577" s="55">
        <f>VLOOKUP($E577,'NI-San_SP'!$C:$AN,MID(AJ$1,1,2),FALSE)</f>
        <v>0</v>
      </c>
      <c r="AK577" s="55">
        <f>VLOOKUP($E577,'NI-San_SP'!$C:$AN,MID(AK$1,1,2),FALSE)</f>
        <v>0</v>
      </c>
      <c r="AL577" s="55">
        <f>VLOOKUP($E577,'NI-San_SP'!$C:$AN,MID(AL$1,1,2),FALSE)</f>
        <v>0</v>
      </c>
      <c r="AM577" s="56">
        <f>VLOOKUP($E577,'NI-San_SP'!$C:$AN,MID(AM$1,1,2),FALSE)</f>
        <v>0</v>
      </c>
      <c r="AN577" s="30" t="str">
        <f t="shared" si="8"/>
        <v>60502010020000</v>
      </c>
    </row>
    <row r="578" spans="1:40" x14ac:dyDescent="0.25">
      <c r="C578" s="40"/>
      <c r="D578" s="91" t="s">
        <v>2203</v>
      </c>
      <c r="E578" s="91" t="s">
        <v>2204</v>
      </c>
      <c r="F578" s="58" t="s">
        <v>110</v>
      </c>
      <c r="G578" s="52"/>
      <c r="H578" s="52"/>
      <c r="I578" s="52" t="s">
        <v>2198</v>
      </c>
      <c r="J578" s="52" t="s">
        <v>2198</v>
      </c>
      <c r="K578" s="59" t="s">
        <v>79</v>
      </c>
      <c r="L578" s="52"/>
      <c r="M578" s="52"/>
      <c r="N578" s="52"/>
      <c r="O578" s="52"/>
      <c r="P578" s="76" t="s">
        <v>2205</v>
      </c>
      <c r="Q578" s="55">
        <f>VLOOKUP(E578,'NI-San_SP'!$C:$AN,12,FALSE)</f>
        <v>98913</v>
      </c>
      <c r="R578" s="55">
        <f>VLOOKUP(E578,'NI-San_SP'!$C:$AN,13,FALSE)</f>
        <v>562641</v>
      </c>
      <c r="S578" s="55"/>
      <c r="T578" s="55"/>
      <c r="U578" s="55">
        <f>VLOOKUP($E578,'NI-San_SP'!$C:$AN,MID(U$1,1,2),FALSE)</f>
        <v>0</v>
      </c>
      <c r="V578" s="55">
        <f>VLOOKUP($E578,'NI-San_SP'!$C:$AN,MID(V$1,1,2),FALSE)</f>
        <v>98913</v>
      </c>
      <c r="W578" s="55">
        <f>VLOOKUP($E578,'NI-San_SP'!$C:$AN,MID(W$1,1,2),FALSE)</f>
        <v>0</v>
      </c>
      <c r="X578" s="55">
        <f>VLOOKUP($E578,'NI-San_SP'!$C:$AN,MID(X$1,1,2),FALSE)</f>
        <v>463728</v>
      </c>
      <c r="Y578" s="55">
        <f>VLOOKUP($E578,'NI-San_SP'!$C:$AN,MID(Y$1,1,2),FALSE)</f>
        <v>0</v>
      </c>
      <c r="Z578" s="55">
        <f>VLOOKUP($E578,'NI-San_SP'!$C:$AN,MID(Z$1,1,2),FALSE)</f>
        <v>0</v>
      </c>
      <c r="AA578" s="55">
        <f>VLOOKUP($E578,'NI-San_SP'!$C:$AN,MID(AA$1,1,2),FALSE)</f>
        <v>0</v>
      </c>
      <c r="AB578" s="55">
        <f>VLOOKUP($E578,'NI-San_SP'!$C:$AN,MID(AB$1,1,2),FALSE)</f>
        <v>562641</v>
      </c>
      <c r="AC578" s="55">
        <f>VLOOKUP($E578,'NI-San_SP'!$C:$AN,MID(AC$1,1,2),FALSE)</f>
        <v>0</v>
      </c>
      <c r="AD578" s="55">
        <f>VLOOKUP($E578,'NI-San_SP'!$C:$AN,MID(AD$1,1,2),FALSE)</f>
        <v>0</v>
      </c>
      <c r="AE578" s="55">
        <f>VLOOKUP($E578,'NI-San_SP'!$C:$AN,MID(AE$1,1,2),FALSE)</f>
        <v>0</v>
      </c>
      <c r="AF578" s="55">
        <f>VLOOKUP($E578,'NI-San_SP'!$C:$AN,MID(AF$1,1,2),FALSE)</f>
        <v>0</v>
      </c>
      <c r="AG578" s="55">
        <f>VLOOKUP($E578,'NI-San_SP'!$C:$AN,MID(AG$1,1,2),FALSE)</f>
        <v>0</v>
      </c>
      <c r="AH578" s="55">
        <f>VLOOKUP($E578,'NI-San_SP'!$C:$AN,MID(AH$1,1,2),FALSE)</f>
        <v>0</v>
      </c>
      <c r="AI578" s="55">
        <f>VLOOKUP($E578,'NI-San_SP'!$C:$AN,MID(AI$1,1,2),FALSE)</f>
        <v>0</v>
      </c>
      <c r="AJ578" s="55">
        <f>VLOOKUP($E578,'NI-San_SP'!$C:$AN,MID(AJ$1,1,2),FALSE)</f>
        <v>0</v>
      </c>
      <c r="AK578" s="55">
        <f>VLOOKUP($E578,'NI-San_SP'!$C:$AN,MID(AK$1,1,2),FALSE)</f>
        <v>0</v>
      </c>
      <c r="AL578" s="55">
        <f>VLOOKUP($E578,'NI-San_SP'!$C:$AN,MID(AL$1,1,2),FALSE)</f>
        <v>0</v>
      </c>
      <c r="AM578" s="56">
        <f>VLOOKUP($E578,'NI-San_SP'!$C:$AN,MID(AM$1,1,2),FALSE)</f>
        <v>0</v>
      </c>
      <c r="AN578" s="30" t="str">
        <f t="shared" ref="AN578:AN641" si="9">D578</f>
        <v>60502010030000</v>
      </c>
    </row>
    <row r="579" spans="1:40" x14ac:dyDescent="0.25">
      <c r="C579" s="40"/>
      <c r="D579" s="91" t="s">
        <v>2206</v>
      </c>
      <c r="E579" s="91" t="s">
        <v>2207</v>
      </c>
      <c r="F579" s="58" t="s">
        <v>110</v>
      </c>
      <c r="G579" s="52"/>
      <c r="H579" s="52"/>
      <c r="I579" s="52" t="s">
        <v>2208</v>
      </c>
      <c r="J579" s="52" t="s">
        <v>2208</v>
      </c>
      <c r="K579" s="59" t="s">
        <v>79</v>
      </c>
      <c r="L579" s="52"/>
      <c r="M579" s="52"/>
      <c r="N579" s="52"/>
      <c r="O579" s="52"/>
      <c r="P579" s="76" t="s">
        <v>2209</v>
      </c>
      <c r="Q579" s="55">
        <f>VLOOKUP(E579,'NI-San_SP'!$C:$AN,12,FALSE)</f>
        <v>0</v>
      </c>
      <c r="R579" s="55">
        <f>VLOOKUP(E579,'NI-San_SP'!$C:$AN,13,FALSE)</f>
        <v>0</v>
      </c>
      <c r="S579" s="55"/>
      <c r="T579" s="55"/>
      <c r="U579" s="55">
        <f>VLOOKUP($E579,'NI-San_SP'!$C:$AN,MID(U$1,1,2),FALSE)</f>
        <v>0</v>
      </c>
      <c r="V579" s="55">
        <f>VLOOKUP($E579,'NI-San_SP'!$C:$AN,MID(V$1,1,2),FALSE)</f>
        <v>0</v>
      </c>
      <c r="W579" s="55">
        <f>VLOOKUP($E579,'NI-San_SP'!$C:$AN,MID(W$1,1,2),FALSE)</f>
        <v>0</v>
      </c>
      <c r="X579" s="55">
        <f>VLOOKUP($E579,'NI-San_SP'!$C:$AN,MID(X$1,1,2),FALSE)</f>
        <v>0</v>
      </c>
      <c r="Y579" s="55">
        <f>VLOOKUP($E579,'NI-San_SP'!$C:$AN,MID(Y$1,1,2),FALSE)</f>
        <v>0</v>
      </c>
      <c r="Z579" s="55">
        <f>VLOOKUP($E579,'NI-San_SP'!$C:$AN,MID(Z$1,1,2),FALSE)</f>
        <v>0</v>
      </c>
      <c r="AA579" s="55">
        <f>VLOOKUP($E579,'NI-San_SP'!$C:$AN,MID(AA$1,1,2),FALSE)</f>
        <v>0</v>
      </c>
      <c r="AB579" s="55">
        <f>VLOOKUP($E579,'NI-San_SP'!$C:$AN,MID(AB$1,1,2),FALSE)</f>
        <v>0</v>
      </c>
      <c r="AC579" s="55">
        <f>VLOOKUP($E579,'NI-San_SP'!$C:$AN,MID(AC$1,1,2),FALSE)</f>
        <v>0</v>
      </c>
      <c r="AD579" s="55">
        <f>VLOOKUP($E579,'NI-San_SP'!$C:$AN,MID(AD$1,1,2),FALSE)</f>
        <v>0</v>
      </c>
      <c r="AE579" s="55">
        <f>VLOOKUP($E579,'NI-San_SP'!$C:$AN,MID(AE$1,1,2),FALSE)</f>
        <v>0</v>
      </c>
      <c r="AF579" s="55">
        <f>VLOOKUP($E579,'NI-San_SP'!$C:$AN,MID(AF$1,1,2),FALSE)</f>
        <v>0</v>
      </c>
      <c r="AG579" s="55">
        <f>VLOOKUP($E579,'NI-San_SP'!$C:$AN,MID(AG$1,1,2),FALSE)</f>
        <v>0</v>
      </c>
      <c r="AH579" s="55">
        <f>VLOOKUP($E579,'NI-San_SP'!$C:$AN,MID(AH$1,1,2),FALSE)</f>
        <v>0</v>
      </c>
      <c r="AI579" s="55">
        <f>VLOOKUP($E579,'NI-San_SP'!$C:$AN,MID(AI$1,1,2),FALSE)</f>
        <v>0</v>
      </c>
      <c r="AJ579" s="55">
        <f>VLOOKUP($E579,'NI-San_SP'!$C:$AN,MID(AJ$1,1,2),FALSE)</f>
        <v>0</v>
      </c>
      <c r="AK579" s="55">
        <f>VLOOKUP($E579,'NI-San_SP'!$C:$AN,MID(AK$1,1,2),FALSE)</f>
        <v>0</v>
      </c>
      <c r="AL579" s="55">
        <f>VLOOKUP($E579,'NI-San_SP'!$C:$AN,MID(AL$1,1,2),FALSE)</f>
        <v>0</v>
      </c>
      <c r="AM579" s="56">
        <f>VLOOKUP($E579,'NI-San_SP'!$C:$AN,MID(AM$1,1,2),FALSE)</f>
        <v>0</v>
      </c>
      <c r="AN579" s="30" t="str">
        <f t="shared" si="9"/>
        <v>60502010040000</v>
      </c>
    </row>
    <row r="580" spans="1:40" x14ac:dyDescent="0.25">
      <c r="C580" s="40"/>
      <c r="D580" s="91" t="s">
        <v>2210</v>
      </c>
      <c r="E580" s="91" t="s">
        <v>2211</v>
      </c>
      <c r="F580" s="58" t="s">
        <v>110</v>
      </c>
      <c r="G580" s="52"/>
      <c r="H580" s="52"/>
      <c r="I580" s="52" t="s">
        <v>2212</v>
      </c>
      <c r="J580" s="52" t="s">
        <v>2212</v>
      </c>
      <c r="K580" s="59" t="s">
        <v>79</v>
      </c>
      <c r="L580" s="52"/>
      <c r="M580" s="52"/>
      <c r="N580" s="52"/>
      <c r="O580" s="52"/>
      <c r="P580" s="76" t="s">
        <v>2213</v>
      </c>
      <c r="Q580" s="55">
        <f>VLOOKUP(E580,'NI-San_SP'!$C:$AN,12,FALSE)</f>
        <v>150721</v>
      </c>
      <c r="R580" s="55">
        <f>VLOOKUP(E580,'NI-San_SP'!$C:$AN,13,FALSE)</f>
        <v>110532</v>
      </c>
      <c r="S580" s="55"/>
      <c r="T580" s="55"/>
      <c r="U580" s="55">
        <f>VLOOKUP($E580,'NI-San_SP'!$C:$AN,MID(U$1,1,2),FALSE)</f>
        <v>0</v>
      </c>
      <c r="V580" s="55">
        <f>VLOOKUP($E580,'NI-San_SP'!$C:$AN,MID(V$1,1,2),FALSE)</f>
        <v>150721</v>
      </c>
      <c r="W580" s="55">
        <f>VLOOKUP($E580,'NI-San_SP'!$C:$AN,MID(W$1,1,2),FALSE)</f>
        <v>0</v>
      </c>
      <c r="X580" s="55">
        <f>VLOOKUP($E580,'NI-San_SP'!$C:$AN,MID(X$1,1,2),FALSE)</f>
        <v>17679</v>
      </c>
      <c r="Y580" s="55">
        <f>VLOOKUP($E580,'NI-San_SP'!$C:$AN,MID(Y$1,1,2),FALSE)</f>
        <v>0</v>
      </c>
      <c r="Z580" s="55">
        <f>VLOOKUP($E580,'NI-San_SP'!$C:$AN,MID(Z$1,1,2),FALSE)</f>
        <v>57868</v>
      </c>
      <c r="AA580" s="55">
        <f>VLOOKUP($E580,'NI-San_SP'!$C:$AN,MID(AA$1,1,2),FALSE)</f>
        <v>0</v>
      </c>
      <c r="AB580" s="55">
        <f>VLOOKUP($E580,'NI-San_SP'!$C:$AN,MID(AB$1,1,2),FALSE)</f>
        <v>110532</v>
      </c>
      <c r="AC580" s="55">
        <f>VLOOKUP($E580,'NI-San_SP'!$C:$AN,MID(AC$1,1,2),FALSE)</f>
        <v>0</v>
      </c>
      <c r="AD580" s="55">
        <f>VLOOKUP($E580,'NI-San_SP'!$C:$AN,MID(AD$1,1,2),FALSE)</f>
        <v>0</v>
      </c>
      <c r="AE580" s="55">
        <f>VLOOKUP($E580,'NI-San_SP'!$C:$AN,MID(AE$1,1,2),FALSE)</f>
        <v>0</v>
      </c>
      <c r="AF580" s="55">
        <f>VLOOKUP($E580,'NI-San_SP'!$C:$AN,MID(AF$1,1,2),FALSE)</f>
        <v>0</v>
      </c>
      <c r="AG580" s="55">
        <f>VLOOKUP($E580,'NI-San_SP'!$C:$AN,MID(AG$1,1,2),FALSE)</f>
        <v>0</v>
      </c>
      <c r="AH580" s="55">
        <f>VLOOKUP($E580,'NI-San_SP'!$C:$AN,MID(AH$1,1,2),FALSE)</f>
        <v>0</v>
      </c>
      <c r="AI580" s="55">
        <f>VLOOKUP($E580,'NI-San_SP'!$C:$AN,MID(AI$1,1,2),FALSE)</f>
        <v>0</v>
      </c>
      <c r="AJ580" s="55">
        <f>VLOOKUP($E580,'NI-San_SP'!$C:$AN,MID(AJ$1,1,2),FALSE)</f>
        <v>0</v>
      </c>
      <c r="AK580" s="55">
        <f>VLOOKUP($E580,'NI-San_SP'!$C:$AN,MID(AK$1,1,2),FALSE)</f>
        <v>0</v>
      </c>
      <c r="AL580" s="55">
        <f>VLOOKUP($E580,'NI-San_SP'!$C:$AN,MID(AL$1,1,2),FALSE)</f>
        <v>0</v>
      </c>
      <c r="AM580" s="56">
        <f>VLOOKUP($E580,'NI-San_SP'!$C:$AN,MID(AM$1,1,2),FALSE)</f>
        <v>0</v>
      </c>
      <c r="AN580" s="30" t="str">
        <f t="shared" si="9"/>
        <v>60502010050000</v>
      </c>
    </row>
    <row r="581" spans="1:40" x14ac:dyDescent="0.25">
      <c r="C581" s="40"/>
      <c r="D581" s="92" t="s">
        <v>2214</v>
      </c>
      <c r="E581" s="92" t="s">
        <v>2215</v>
      </c>
      <c r="F581" s="58" t="s">
        <v>110</v>
      </c>
      <c r="G581" s="52"/>
      <c r="H581" s="52"/>
      <c r="I581" s="52"/>
      <c r="J581" s="52"/>
      <c r="K581" s="59" t="s">
        <v>111</v>
      </c>
      <c r="L581" s="62"/>
      <c r="M581" s="52"/>
      <c r="N581" s="52"/>
      <c r="O581" s="52"/>
      <c r="P581" s="76" t="s">
        <v>2216</v>
      </c>
      <c r="Q581" s="55">
        <f>VLOOKUP(E581,'NI-San_SP'!$C:$AN,12,FALSE)</f>
        <v>0</v>
      </c>
      <c r="R581" s="55">
        <f>VLOOKUP(E581,'NI-San_SP'!$C:$AN,13,FALSE)</f>
        <v>0</v>
      </c>
      <c r="S581" s="55"/>
      <c r="T581" s="55"/>
      <c r="U581" s="55">
        <f>VLOOKUP($E581,'NI-San_SP'!$C:$AN,MID(U$1,1,2),FALSE)</f>
        <v>0</v>
      </c>
      <c r="V581" s="55">
        <f>VLOOKUP($E581,'NI-San_SP'!$C:$AN,MID(V$1,1,2),FALSE)</f>
        <v>0</v>
      </c>
      <c r="W581" s="55">
        <f>VLOOKUP($E581,'NI-San_SP'!$C:$AN,MID(W$1,1,2),FALSE)</f>
        <v>0</v>
      </c>
      <c r="X581" s="55">
        <f>VLOOKUP($E581,'NI-San_SP'!$C:$AN,MID(X$1,1,2),FALSE)</f>
        <v>0</v>
      </c>
      <c r="Y581" s="55">
        <f>VLOOKUP($E581,'NI-San_SP'!$C:$AN,MID(Y$1,1,2),FALSE)</f>
        <v>0</v>
      </c>
      <c r="Z581" s="55">
        <f>VLOOKUP($E581,'NI-San_SP'!$C:$AN,MID(Z$1,1,2),FALSE)</f>
        <v>0</v>
      </c>
      <c r="AA581" s="55">
        <f>VLOOKUP($E581,'NI-San_SP'!$C:$AN,MID(AA$1,1,2),FALSE)</f>
        <v>0</v>
      </c>
      <c r="AB581" s="55">
        <f>VLOOKUP($E581,'NI-San_SP'!$C:$AN,MID(AB$1,1,2),FALSE)</f>
        <v>0</v>
      </c>
      <c r="AC581" s="55">
        <f>VLOOKUP($E581,'NI-San_SP'!$C:$AN,MID(AC$1,1,2),FALSE)</f>
        <v>0</v>
      </c>
      <c r="AD581" s="55">
        <f>VLOOKUP($E581,'NI-San_SP'!$C:$AN,MID(AD$1,1,2),FALSE)</f>
        <v>0</v>
      </c>
      <c r="AE581" s="55">
        <f>VLOOKUP($E581,'NI-San_SP'!$C:$AN,MID(AE$1,1,2),FALSE)</f>
        <v>0</v>
      </c>
      <c r="AF581" s="55">
        <f>VLOOKUP($E581,'NI-San_SP'!$C:$AN,MID(AF$1,1,2),FALSE)</f>
        <v>0</v>
      </c>
      <c r="AG581" s="55">
        <f>VLOOKUP($E581,'NI-San_SP'!$C:$AN,MID(AG$1,1,2),FALSE)</f>
        <v>0</v>
      </c>
      <c r="AH581" s="55">
        <f>VLOOKUP($E581,'NI-San_SP'!$C:$AN,MID(AH$1,1,2),FALSE)</f>
        <v>0</v>
      </c>
      <c r="AI581" s="55">
        <f>VLOOKUP($E581,'NI-San_SP'!$C:$AN,MID(AI$1,1,2),FALSE)</f>
        <v>0</v>
      </c>
      <c r="AJ581" s="55">
        <f>VLOOKUP($E581,'NI-San_SP'!$C:$AN,MID(AJ$1,1,2),FALSE)</f>
        <v>0</v>
      </c>
      <c r="AK581" s="55">
        <f>VLOOKUP($E581,'NI-San_SP'!$C:$AN,MID(AK$1,1,2),FALSE)</f>
        <v>0</v>
      </c>
      <c r="AL581" s="55">
        <f>VLOOKUP($E581,'NI-San_SP'!$C:$AN,MID(AL$1,1,2),FALSE)</f>
        <v>0</v>
      </c>
      <c r="AM581" s="56">
        <f>VLOOKUP($E581,'NI-San_SP'!$C:$AN,MID(AM$1,1,2),FALSE)</f>
        <v>0</v>
      </c>
      <c r="AN581" s="30" t="str">
        <f t="shared" si="9"/>
        <v>60503010000000</v>
      </c>
    </row>
    <row r="582" spans="1:40" x14ac:dyDescent="0.25">
      <c r="C582" s="40"/>
      <c r="D582" s="92" t="s">
        <v>2217</v>
      </c>
      <c r="E582" s="92" t="s">
        <v>2218</v>
      </c>
      <c r="F582" s="58" t="s">
        <v>110</v>
      </c>
      <c r="G582" s="52"/>
      <c r="H582" s="52"/>
      <c r="I582" s="52" t="s">
        <v>2219</v>
      </c>
      <c r="J582" s="52" t="s">
        <v>2219</v>
      </c>
      <c r="K582" s="59" t="s">
        <v>79</v>
      </c>
      <c r="L582" s="81" t="s">
        <v>2220</v>
      </c>
      <c r="M582" s="52"/>
      <c r="N582" s="52"/>
      <c r="O582" s="52"/>
      <c r="P582" s="76" t="s">
        <v>2221</v>
      </c>
      <c r="Q582" s="55">
        <f>VLOOKUP(E582,'NI-San_SP'!$C:$AN,12,FALSE)</f>
        <v>80954</v>
      </c>
      <c r="R582" s="55">
        <f>VLOOKUP(E582,'NI-San_SP'!$C:$AN,13,FALSE)</f>
        <v>0</v>
      </c>
      <c r="S582" s="55"/>
      <c r="T582" s="55"/>
      <c r="U582" s="55">
        <f>VLOOKUP($E582,'NI-San_SP'!$C:$AN,MID(U$1,1,2),FALSE)</f>
        <v>0</v>
      </c>
      <c r="V582" s="55">
        <f>VLOOKUP($E582,'NI-San_SP'!$C:$AN,MID(V$1,1,2),FALSE)</f>
        <v>80954</v>
      </c>
      <c r="W582" s="55">
        <f>VLOOKUP($E582,'NI-San_SP'!$C:$AN,MID(W$1,1,2),FALSE)</f>
        <v>0</v>
      </c>
      <c r="X582" s="55">
        <f>VLOOKUP($E582,'NI-San_SP'!$C:$AN,MID(X$1,1,2),FALSE)</f>
        <v>0</v>
      </c>
      <c r="Y582" s="55">
        <f>VLOOKUP($E582,'NI-San_SP'!$C:$AN,MID(Y$1,1,2),FALSE)</f>
        <v>-80954</v>
      </c>
      <c r="Z582" s="55">
        <f>VLOOKUP($E582,'NI-San_SP'!$C:$AN,MID(Z$1,1,2),FALSE)</f>
        <v>0</v>
      </c>
      <c r="AA582" s="55">
        <f>VLOOKUP($E582,'NI-San_SP'!$C:$AN,MID(AA$1,1,2),FALSE)</f>
        <v>0</v>
      </c>
      <c r="AB582" s="55">
        <f>VLOOKUP($E582,'NI-San_SP'!$C:$AN,MID(AB$1,1,2),FALSE)</f>
        <v>0</v>
      </c>
      <c r="AC582" s="55">
        <f>VLOOKUP($E582,'NI-San_SP'!$C:$AN,MID(AC$1,1,2),FALSE)</f>
        <v>0</v>
      </c>
      <c r="AD582" s="55">
        <f>VLOOKUP($E582,'NI-San_SP'!$C:$AN,MID(AD$1,1,2),FALSE)</f>
        <v>0</v>
      </c>
      <c r="AE582" s="55">
        <f>VLOOKUP($E582,'NI-San_SP'!$C:$AN,MID(AE$1,1,2),FALSE)</f>
        <v>0</v>
      </c>
      <c r="AF582" s="55">
        <f>VLOOKUP($E582,'NI-San_SP'!$C:$AN,MID(AF$1,1,2),FALSE)</f>
        <v>0</v>
      </c>
      <c r="AG582" s="55">
        <f>VLOOKUP($E582,'NI-San_SP'!$C:$AN,MID(AG$1,1,2),FALSE)</f>
        <v>0</v>
      </c>
      <c r="AH582" s="55">
        <f>VLOOKUP($E582,'NI-San_SP'!$C:$AN,MID(AH$1,1,2),FALSE)</f>
        <v>0</v>
      </c>
      <c r="AI582" s="55">
        <f>VLOOKUP($E582,'NI-San_SP'!$C:$AN,MID(AI$1,1,2),FALSE)</f>
        <v>0</v>
      </c>
      <c r="AJ582" s="55">
        <f>VLOOKUP($E582,'NI-San_SP'!$C:$AN,MID(AJ$1,1,2),FALSE)</f>
        <v>0</v>
      </c>
      <c r="AK582" s="55">
        <f>VLOOKUP($E582,'NI-San_SP'!$C:$AN,MID(AK$1,1,2),FALSE)</f>
        <v>0</v>
      </c>
      <c r="AL582" s="55">
        <f>VLOOKUP($E582,'NI-San_SP'!$C:$AN,MID(AL$1,1,2),FALSE)</f>
        <v>0</v>
      </c>
      <c r="AM582" s="56">
        <f>VLOOKUP($E582,'NI-San_SP'!$C:$AN,MID(AM$1,1,2),FALSE)</f>
        <v>0</v>
      </c>
      <c r="AN582" s="30" t="str">
        <f t="shared" si="9"/>
        <v>60503010010000</v>
      </c>
    </row>
    <row r="583" spans="1:40" x14ac:dyDescent="0.25">
      <c r="C583" s="40"/>
      <c r="D583" s="92" t="s">
        <v>2222</v>
      </c>
      <c r="E583" s="92" t="s">
        <v>2223</v>
      </c>
      <c r="F583" s="58" t="s">
        <v>110</v>
      </c>
      <c r="G583" s="52"/>
      <c r="H583" s="52"/>
      <c r="I583" s="52" t="s">
        <v>2219</v>
      </c>
      <c r="J583" s="52" t="s">
        <v>2219</v>
      </c>
      <c r="K583" s="59" t="s">
        <v>79</v>
      </c>
      <c r="L583" s="81" t="s">
        <v>2220</v>
      </c>
      <c r="M583" s="52"/>
      <c r="N583" s="52"/>
      <c r="O583" s="52"/>
      <c r="P583" s="76" t="s">
        <v>2224</v>
      </c>
      <c r="Q583" s="55">
        <f>VLOOKUP(E583,'NI-San_SP'!$C:$AN,12,FALSE)</f>
        <v>131187</v>
      </c>
      <c r="R583" s="55">
        <f>VLOOKUP(E583,'NI-San_SP'!$C:$AN,13,FALSE)</f>
        <v>35114</v>
      </c>
      <c r="S583" s="55"/>
      <c r="T583" s="55"/>
      <c r="U583" s="55">
        <f>VLOOKUP($E583,'NI-San_SP'!$C:$AN,MID(U$1,1,2),FALSE)</f>
        <v>0</v>
      </c>
      <c r="V583" s="55">
        <f>VLOOKUP($E583,'NI-San_SP'!$C:$AN,MID(V$1,1,2),FALSE)</f>
        <v>131187</v>
      </c>
      <c r="W583" s="55">
        <f>VLOOKUP($E583,'NI-San_SP'!$C:$AN,MID(W$1,1,2),FALSE)</f>
        <v>0</v>
      </c>
      <c r="X583" s="55">
        <f>VLOOKUP($E583,'NI-San_SP'!$C:$AN,MID(X$1,1,2),FALSE)</f>
        <v>70228</v>
      </c>
      <c r="Y583" s="55">
        <f>VLOOKUP($E583,'NI-San_SP'!$C:$AN,MID(Y$1,1,2),FALSE)</f>
        <v>0</v>
      </c>
      <c r="Z583" s="55">
        <f>VLOOKUP($E583,'NI-San_SP'!$C:$AN,MID(Z$1,1,2),FALSE)</f>
        <v>166301</v>
      </c>
      <c r="AA583" s="55">
        <f>VLOOKUP($E583,'NI-San_SP'!$C:$AN,MID(AA$1,1,2),FALSE)</f>
        <v>0</v>
      </c>
      <c r="AB583" s="55">
        <f>VLOOKUP($E583,'NI-San_SP'!$C:$AN,MID(AB$1,1,2),FALSE)</f>
        <v>35114</v>
      </c>
      <c r="AC583" s="55">
        <f>VLOOKUP($E583,'NI-San_SP'!$C:$AN,MID(AC$1,1,2),FALSE)</f>
        <v>0</v>
      </c>
      <c r="AD583" s="55">
        <f>VLOOKUP($E583,'NI-San_SP'!$C:$AN,MID(AD$1,1,2),FALSE)</f>
        <v>0</v>
      </c>
      <c r="AE583" s="55">
        <f>VLOOKUP($E583,'NI-San_SP'!$C:$AN,MID(AE$1,1,2),FALSE)</f>
        <v>0</v>
      </c>
      <c r="AF583" s="55">
        <f>VLOOKUP($E583,'NI-San_SP'!$C:$AN,MID(AF$1,1,2),FALSE)</f>
        <v>0</v>
      </c>
      <c r="AG583" s="55">
        <f>VLOOKUP($E583,'NI-San_SP'!$C:$AN,MID(AG$1,1,2),FALSE)</f>
        <v>0</v>
      </c>
      <c r="AH583" s="55">
        <f>VLOOKUP($E583,'NI-San_SP'!$C:$AN,MID(AH$1,1,2),FALSE)</f>
        <v>0</v>
      </c>
      <c r="AI583" s="55">
        <f>VLOOKUP($E583,'NI-San_SP'!$C:$AN,MID(AI$1,1,2),FALSE)</f>
        <v>0</v>
      </c>
      <c r="AJ583" s="55">
        <f>VLOOKUP($E583,'NI-San_SP'!$C:$AN,MID(AJ$1,1,2),FALSE)</f>
        <v>0</v>
      </c>
      <c r="AK583" s="55">
        <f>VLOOKUP($E583,'NI-San_SP'!$C:$AN,MID(AK$1,1,2),FALSE)</f>
        <v>0</v>
      </c>
      <c r="AL583" s="55">
        <f>VLOOKUP($E583,'NI-San_SP'!$C:$AN,MID(AL$1,1,2),FALSE)</f>
        <v>0</v>
      </c>
      <c r="AM583" s="56">
        <f>VLOOKUP($E583,'NI-San_SP'!$C:$AN,MID(AM$1,1,2),FALSE)</f>
        <v>0</v>
      </c>
      <c r="AN583" s="30" t="str">
        <f t="shared" si="9"/>
        <v>60503010020000</v>
      </c>
    </row>
    <row r="584" spans="1:40" x14ac:dyDescent="0.25">
      <c r="A584" s="30" t="s">
        <v>1394</v>
      </c>
      <c r="C584" s="40"/>
      <c r="D584" s="93" t="s">
        <v>2225</v>
      </c>
      <c r="E584" s="93" t="s">
        <v>2226</v>
      </c>
      <c r="F584" s="58" t="s">
        <v>110</v>
      </c>
      <c r="H584" s="52"/>
      <c r="I584" s="52"/>
      <c r="J584" s="52" t="s">
        <v>2227</v>
      </c>
      <c r="K584" s="59" t="s">
        <v>79</v>
      </c>
      <c r="L584" s="81"/>
      <c r="M584" s="52"/>
      <c r="N584" s="52"/>
      <c r="O584" s="52"/>
      <c r="P584" s="76" t="s">
        <v>2228</v>
      </c>
      <c r="Q584" s="55">
        <f>VLOOKUP(E584,'NI-San_SP'!$C:$AN,12,FALSE)</f>
        <v>179319</v>
      </c>
      <c r="R584" s="55">
        <f>VLOOKUP(E584,'NI-San_SP'!$C:$AN,13,FALSE)</f>
        <v>446190</v>
      </c>
      <c r="S584" s="55"/>
      <c r="T584" s="55"/>
      <c r="U584" s="55">
        <f>VLOOKUP($E584,'NI-San_SP'!$C:$AN,MID(U$1,1,2),FALSE)</f>
        <v>0</v>
      </c>
      <c r="V584" s="55">
        <f>VLOOKUP($E584,'NI-San_SP'!$C:$AN,MID(V$1,1,2),FALSE)</f>
        <v>179319</v>
      </c>
      <c r="W584" s="55">
        <f>VLOOKUP($E584,'NI-San_SP'!$C:$AN,MID(W$1,1,2),FALSE)</f>
        <v>0</v>
      </c>
      <c r="X584" s="55">
        <f>VLOOKUP($E584,'NI-San_SP'!$C:$AN,MID(X$1,1,2),FALSE)</f>
        <v>184574</v>
      </c>
      <c r="Y584" s="55">
        <f>VLOOKUP($E584,'NI-San_SP'!$C:$AN,MID(Y$1,1,2),FALSE)</f>
        <v>82297</v>
      </c>
      <c r="Z584" s="55">
        <f>VLOOKUP($E584,'NI-San_SP'!$C:$AN,MID(Z$1,1,2),FALSE)</f>
        <v>0</v>
      </c>
      <c r="AA584" s="55">
        <f>VLOOKUP($E584,'NI-San_SP'!$C:$AN,MID(AA$1,1,2),FALSE)</f>
        <v>0</v>
      </c>
      <c r="AB584" s="55">
        <f>VLOOKUP($E584,'NI-San_SP'!$C:$AN,MID(AB$1,1,2),FALSE)</f>
        <v>446190</v>
      </c>
      <c r="AC584" s="55">
        <f>VLOOKUP($E584,'NI-San_SP'!$C:$AN,MID(AC$1,1,2),FALSE)</f>
        <v>0</v>
      </c>
      <c r="AD584" s="55">
        <f>VLOOKUP($E584,'NI-San_SP'!$C:$AN,MID(AD$1,1,2),FALSE)</f>
        <v>0</v>
      </c>
      <c r="AE584" s="55">
        <f>VLOOKUP($E584,'NI-San_SP'!$C:$AN,MID(AE$1,1,2),FALSE)</f>
        <v>0</v>
      </c>
      <c r="AF584" s="55">
        <f>VLOOKUP($E584,'NI-San_SP'!$C:$AN,MID(AF$1,1,2),FALSE)</f>
        <v>0</v>
      </c>
      <c r="AG584" s="55">
        <f>VLOOKUP($E584,'NI-San_SP'!$C:$AN,MID(AG$1,1,2),FALSE)</f>
        <v>0</v>
      </c>
      <c r="AH584" s="55">
        <f>VLOOKUP($E584,'NI-San_SP'!$C:$AN,MID(AH$1,1,2),FALSE)</f>
        <v>0</v>
      </c>
      <c r="AI584" s="55">
        <f>VLOOKUP($E584,'NI-San_SP'!$C:$AN,MID(AI$1,1,2),FALSE)</f>
        <v>0</v>
      </c>
      <c r="AJ584" s="55">
        <f>VLOOKUP($E584,'NI-San_SP'!$C:$AN,MID(AJ$1,1,2),FALSE)</f>
        <v>0</v>
      </c>
      <c r="AK584" s="55">
        <f>VLOOKUP($E584,'NI-San_SP'!$C:$AN,MID(AK$1,1,2),FALSE)</f>
        <v>0</v>
      </c>
      <c r="AL584" s="55">
        <f>VLOOKUP($E584,'NI-San_SP'!$C:$AN,MID(AL$1,1,2),FALSE)</f>
        <v>0</v>
      </c>
      <c r="AM584" s="56">
        <f>VLOOKUP($E584,'NI-San_SP'!$C:$AN,MID(AM$1,1,2),FALSE)</f>
        <v>0</v>
      </c>
      <c r="AN584" s="30" t="str">
        <f t="shared" si="9"/>
        <v>60504010000000</v>
      </c>
    </row>
    <row r="585" spans="1:40" x14ac:dyDescent="0.25">
      <c r="C585" s="40"/>
      <c r="D585" s="49" t="s">
        <v>2229</v>
      </c>
      <c r="E585" s="49" t="s">
        <v>2230</v>
      </c>
      <c r="F585" s="50" t="s">
        <v>110</v>
      </c>
      <c r="G585" s="51"/>
      <c r="H585" s="52"/>
      <c r="I585" s="52"/>
      <c r="J585" s="52"/>
      <c r="K585" s="53" t="s">
        <v>111</v>
      </c>
      <c r="L585" s="52"/>
      <c r="M585" s="52"/>
      <c r="N585" s="52"/>
      <c r="O585" s="52"/>
      <c r="P585" s="76" t="s">
        <v>2231</v>
      </c>
      <c r="Q585" s="55">
        <f>VLOOKUP(E585,'NI-San_SP'!$C:$AN,12,FALSE)</f>
        <v>1058912</v>
      </c>
      <c r="R585" s="55">
        <f>VLOOKUP(E585,'NI-San_SP'!$C:$AN,13,FALSE)</f>
        <v>1012499</v>
      </c>
      <c r="S585" s="55"/>
      <c r="T585" s="55"/>
      <c r="U585" s="55">
        <f>VLOOKUP($E585,'NI-San_SP'!$C:$AN,MID(U$1,1,2),FALSE)</f>
        <v>0</v>
      </c>
      <c r="V585" s="55">
        <f>VLOOKUP($E585,'NI-San_SP'!$C:$AN,MID(V$1,1,2),FALSE)</f>
        <v>1058912</v>
      </c>
      <c r="W585" s="55">
        <f>VLOOKUP($E585,'NI-San_SP'!$C:$AN,MID(W$1,1,2),FALSE)</f>
        <v>0</v>
      </c>
      <c r="X585" s="55">
        <f>VLOOKUP($E585,'NI-San_SP'!$C:$AN,MID(X$1,1,2),FALSE)</f>
        <v>70737</v>
      </c>
      <c r="Y585" s="55">
        <f>VLOOKUP($E585,'NI-San_SP'!$C:$AN,MID(Y$1,1,2),FALSE)</f>
        <v>0</v>
      </c>
      <c r="Z585" s="55">
        <f>VLOOKUP($E585,'NI-San_SP'!$C:$AN,MID(Z$1,1,2),FALSE)</f>
        <v>117150</v>
      </c>
      <c r="AA585" s="55">
        <f>VLOOKUP($E585,'NI-San_SP'!$C:$AN,MID(AA$1,1,2),FALSE)</f>
        <v>0</v>
      </c>
      <c r="AB585" s="55">
        <f>VLOOKUP($E585,'NI-San_SP'!$C:$AN,MID(AB$1,1,2),FALSE)</f>
        <v>1012499</v>
      </c>
      <c r="AC585" s="55">
        <f>VLOOKUP($E585,'NI-San_SP'!$C:$AN,MID(AC$1,1,2),FALSE)</f>
        <v>0</v>
      </c>
      <c r="AD585" s="55">
        <f>VLOOKUP($E585,'NI-San_SP'!$C:$AN,MID(AD$1,1,2),FALSE)</f>
        <v>0</v>
      </c>
      <c r="AE585" s="55">
        <f>VLOOKUP($E585,'NI-San_SP'!$C:$AN,MID(AE$1,1,2),FALSE)</f>
        <v>0</v>
      </c>
      <c r="AF585" s="55">
        <f>VLOOKUP($E585,'NI-San_SP'!$C:$AN,MID(AF$1,1,2),FALSE)</f>
        <v>0</v>
      </c>
      <c r="AG585" s="55">
        <f>VLOOKUP($E585,'NI-San_SP'!$C:$AN,MID(AG$1,1,2),FALSE)</f>
        <v>0</v>
      </c>
      <c r="AH585" s="55">
        <f>VLOOKUP($E585,'NI-San_SP'!$C:$AN,MID(AH$1,1,2),FALSE)</f>
        <v>0</v>
      </c>
      <c r="AI585" s="55">
        <f>VLOOKUP($E585,'NI-San_SP'!$C:$AN,MID(AI$1,1,2),FALSE)</f>
        <v>0</v>
      </c>
      <c r="AJ585" s="55">
        <f>VLOOKUP($E585,'NI-San_SP'!$C:$AN,MID(AJ$1,1,2),FALSE)</f>
        <v>0</v>
      </c>
      <c r="AK585" s="55">
        <f>VLOOKUP($E585,'NI-San_SP'!$C:$AN,MID(AK$1,1,2),FALSE)</f>
        <v>0</v>
      </c>
      <c r="AL585" s="55">
        <f>VLOOKUP($E585,'NI-San_SP'!$C:$AN,MID(AL$1,1,2),FALSE)</f>
        <v>0</v>
      </c>
      <c r="AM585" s="56">
        <f>VLOOKUP($E585,'NI-San_SP'!$C:$AN,MID(AM$1,1,2),FALSE)</f>
        <v>0</v>
      </c>
      <c r="AN585" s="30" t="str">
        <f t="shared" si="9"/>
        <v>60600000000000</v>
      </c>
    </row>
    <row r="586" spans="1:40" x14ac:dyDescent="0.25">
      <c r="C586" s="40"/>
      <c r="D586" s="57" t="s">
        <v>2232</v>
      </c>
      <c r="E586" s="57" t="s">
        <v>2233</v>
      </c>
      <c r="F586" s="58" t="s">
        <v>110</v>
      </c>
      <c r="G586" s="52"/>
      <c r="H586" s="52"/>
      <c r="I586" s="52" t="s">
        <v>2234</v>
      </c>
      <c r="J586" s="52" t="s">
        <v>2234</v>
      </c>
      <c r="K586" s="59" t="s">
        <v>111</v>
      </c>
      <c r="L586" s="62" t="s">
        <v>2235</v>
      </c>
      <c r="M586" s="52"/>
      <c r="N586" s="52"/>
      <c r="O586" s="61" t="s">
        <v>2236</v>
      </c>
      <c r="P586" s="76" t="s">
        <v>2237</v>
      </c>
      <c r="Q586" s="55">
        <f>VLOOKUP(E586,'NI-San_SP'!$C:$AN,12,FALSE)</f>
        <v>1026550</v>
      </c>
      <c r="R586" s="55">
        <f>VLOOKUP(E586,'NI-San_SP'!$C:$AN,13,FALSE)</f>
        <v>980137</v>
      </c>
      <c r="S586" s="55"/>
      <c r="T586" s="55"/>
      <c r="U586" s="55">
        <f>VLOOKUP($E586,'NI-San_SP'!$C:$AN,MID(U$1,1,2),FALSE)</f>
        <v>0</v>
      </c>
      <c r="V586" s="55">
        <f>VLOOKUP($E586,'NI-San_SP'!$C:$AN,MID(V$1,1,2),FALSE)</f>
        <v>1026550</v>
      </c>
      <c r="W586" s="55">
        <f>VLOOKUP($E586,'NI-San_SP'!$C:$AN,MID(W$1,1,2),FALSE)</f>
        <v>0</v>
      </c>
      <c r="X586" s="55">
        <f>VLOOKUP($E586,'NI-San_SP'!$C:$AN,MID(X$1,1,2),FALSE)</f>
        <v>70737</v>
      </c>
      <c r="Y586" s="55">
        <f>VLOOKUP($E586,'NI-San_SP'!$C:$AN,MID(Y$1,1,2),FALSE)</f>
        <v>0</v>
      </c>
      <c r="Z586" s="55">
        <f>VLOOKUP($E586,'NI-San_SP'!$C:$AN,MID(Z$1,1,2),FALSE)</f>
        <v>117150</v>
      </c>
      <c r="AA586" s="55">
        <f>VLOOKUP($E586,'NI-San_SP'!$C:$AN,MID(AA$1,1,2),FALSE)</f>
        <v>0</v>
      </c>
      <c r="AB586" s="55">
        <f>VLOOKUP($E586,'NI-San_SP'!$C:$AN,MID(AB$1,1,2),FALSE)</f>
        <v>980137</v>
      </c>
      <c r="AC586" s="55">
        <f>VLOOKUP($E586,'NI-San_SP'!$C:$AN,MID(AC$1,1,2),FALSE)</f>
        <v>0</v>
      </c>
      <c r="AD586" s="55">
        <f>VLOOKUP($E586,'NI-San_SP'!$C:$AN,MID(AD$1,1,2),FALSE)</f>
        <v>0</v>
      </c>
      <c r="AE586" s="55">
        <f>VLOOKUP($E586,'NI-San_SP'!$C:$AN,MID(AE$1,1,2),FALSE)</f>
        <v>0</v>
      </c>
      <c r="AF586" s="55">
        <f>VLOOKUP($E586,'NI-San_SP'!$C:$AN,MID(AF$1,1,2),FALSE)</f>
        <v>0</v>
      </c>
      <c r="AG586" s="55">
        <f>VLOOKUP($E586,'NI-San_SP'!$C:$AN,MID(AG$1,1,2),FALSE)</f>
        <v>0</v>
      </c>
      <c r="AH586" s="55">
        <f>VLOOKUP($E586,'NI-San_SP'!$C:$AN,MID(AH$1,1,2),FALSE)</f>
        <v>0</v>
      </c>
      <c r="AI586" s="55">
        <f>VLOOKUP($E586,'NI-San_SP'!$C:$AN,MID(AI$1,1,2),FALSE)</f>
        <v>0</v>
      </c>
      <c r="AJ586" s="55">
        <f>VLOOKUP($E586,'NI-San_SP'!$C:$AN,MID(AJ$1,1,2),FALSE)</f>
        <v>0</v>
      </c>
      <c r="AK586" s="55">
        <f>VLOOKUP($E586,'NI-San_SP'!$C:$AN,MID(AK$1,1,2),FALSE)</f>
        <v>0</v>
      </c>
      <c r="AL586" s="55">
        <f>VLOOKUP($E586,'NI-San_SP'!$C:$AN,MID(AL$1,1,2),FALSE)</f>
        <v>0</v>
      </c>
      <c r="AM586" s="56">
        <f>VLOOKUP($E586,'NI-San_SP'!$C:$AN,MID(AM$1,1,2),FALSE)</f>
        <v>0</v>
      </c>
      <c r="AN586" s="30" t="str">
        <f t="shared" si="9"/>
        <v>60601000000000</v>
      </c>
    </row>
    <row r="587" spans="1:40" x14ac:dyDescent="0.25">
      <c r="C587" s="40"/>
      <c r="D587" s="57" t="s">
        <v>2238</v>
      </c>
      <c r="E587" s="57" t="s">
        <v>2239</v>
      </c>
      <c r="F587" s="58" t="s">
        <v>110</v>
      </c>
      <c r="G587" s="52"/>
      <c r="H587" s="52"/>
      <c r="I587" s="52"/>
      <c r="J587" s="52"/>
      <c r="K587" s="59" t="s">
        <v>79</v>
      </c>
      <c r="L587" s="52"/>
      <c r="M587" s="52"/>
      <c r="N587" s="52"/>
      <c r="O587" s="52"/>
      <c r="P587" s="76" t="s">
        <v>2240</v>
      </c>
      <c r="Q587" s="55">
        <f>VLOOKUP(E587,'NI-San_SP'!$C:$AN,12,FALSE)</f>
        <v>0</v>
      </c>
      <c r="R587" s="55">
        <f>VLOOKUP(E587,'NI-San_SP'!$C:$AN,13,FALSE)</f>
        <v>0</v>
      </c>
      <c r="S587" s="55"/>
      <c r="T587" s="55"/>
      <c r="U587" s="55">
        <f>VLOOKUP($E587,'NI-San_SP'!$C:$AN,MID(U$1,1,2),FALSE)</f>
        <v>0</v>
      </c>
      <c r="V587" s="55">
        <f>VLOOKUP($E587,'NI-San_SP'!$C:$AN,MID(V$1,1,2),FALSE)</f>
        <v>0</v>
      </c>
      <c r="W587" s="55">
        <f>VLOOKUP($E587,'NI-San_SP'!$C:$AN,MID(W$1,1,2),FALSE)</f>
        <v>0</v>
      </c>
      <c r="X587" s="55">
        <f>VLOOKUP($E587,'NI-San_SP'!$C:$AN,MID(X$1,1,2),FALSE)</f>
        <v>0</v>
      </c>
      <c r="Y587" s="55">
        <f>VLOOKUP($E587,'NI-San_SP'!$C:$AN,MID(Y$1,1,2),FALSE)</f>
        <v>0</v>
      </c>
      <c r="Z587" s="55">
        <f>VLOOKUP($E587,'NI-San_SP'!$C:$AN,MID(Z$1,1,2),FALSE)</f>
        <v>0</v>
      </c>
      <c r="AA587" s="55">
        <f>VLOOKUP($E587,'NI-San_SP'!$C:$AN,MID(AA$1,1,2),FALSE)</f>
        <v>0</v>
      </c>
      <c r="AB587" s="55">
        <f>VLOOKUP($E587,'NI-San_SP'!$C:$AN,MID(AB$1,1,2),FALSE)</f>
        <v>0</v>
      </c>
      <c r="AC587" s="55">
        <f>VLOOKUP($E587,'NI-San_SP'!$C:$AN,MID(AC$1,1,2),FALSE)</f>
        <v>0</v>
      </c>
      <c r="AD587" s="55">
        <f>VLOOKUP($E587,'NI-San_SP'!$C:$AN,MID(AD$1,1,2),FALSE)</f>
        <v>0</v>
      </c>
      <c r="AE587" s="55">
        <f>VLOOKUP($E587,'NI-San_SP'!$C:$AN,MID(AE$1,1,2),FALSE)</f>
        <v>0</v>
      </c>
      <c r="AF587" s="55">
        <f>VLOOKUP($E587,'NI-San_SP'!$C:$AN,MID(AF$1,1,2),FALSE)</f>
        <v>0</v>
      </c>
      <c r="AG587" s="55">
        <f>VLOOKUP($E587,'NI-San_SP'!$C:$AN,MID(AG$1,1,2),FALSE)</f>
        <v>0</v>
      </c>
      <c r="AH587" s="55">
        <f>VLOOKUP($E587,'NI-San_SP'!$C:$AN,MID(AH$1,1,2),FALSE)</f>
        <v>0</v>
      </c>
      <c r="AI587" s="55">
        <f>VLOOKUP($E587,'NI-San_SP'!$C:$AN,MID(AI$1,1,2),FALSE)</f>
        <v>0</v>
      </c>
      <c r="AJ587" s="55">
        <f>VLOOKUP($E587,'NI-San_SP'!$C:$AN,MID(AJ$1,1,2),FALSE)</f>
        <v>0</v>
      </c>
      <c r="AK587" s="55">
        <f>VLOOKUP($E587,'NI-San_SP'!$C:$AN,MID(AK$1,1,2),FALSE)</f>
        <v>0</v>
      </c>
      <c r="AL587" s="55">
        <f>VLOOKUP($E587,'NI-San_SP'!$C:$AN,MID(AL$1,1,2),FALSE)</f>
        <v>0</v>
      </c>
      <c r="AM587" s="56">
        <f>VLOOKUP($E587,'NI-San_SP'!$C:$AN,MID(AM$1,1,2),FALSE)</f>
        <v>0</v>
      </c>
      <c r="AN587" s="30" t="str">
        <f t="shared" si="9"/>
        <v>60601010000000</v>
      </c>
    </row>
    <row r="588" spans="1:40" x14ac:dyDescent="0.25">
      <c r="C588" s="40"/>
      <c r="D588" s="57" t="s">
        <v>2241</v>
      </c>
      <c r="E588" s="57" t="s">
        <v>2242</v>
      </c>
      <c r="F588" s="58" t="s">
        <v>110</v>
      </c>
      <c r="G588" s="52"/>
      <c r="H588" s="52"/>
      <c r="I588" s="52"/>
      <c r="J588" s="52"/>
      <c r="K588" s="59" t="s">
        <v>79</v>
      </c>
      <c r="L588" s="52"/>
      <c r="M588" s="52"/>
      <c r="N588" s="52"/>
      <c r="O588" s="52"/>
      <c r="P588" s="76" t="s">
        <v>2243</v>
      </c>
      <c r="Q588" s="55">
        <f>VLOOKUP(E588,'NI-San_SP'!$C:$AN,12,FALSE)</f>
        <v>118000</v>
      </c>
      <c r="R588" s="55">
        <f>VLOOKUP(E588,'NI-San_SP'!$C:$AN,13,FALSE)</f>
        <v>118000</v>
      </c>
      <c r="S588" s="55"/>
      <c r="T588" s="55"/>
      <c r="U588" s="55">
        <f>VLOOKUP($E588,'NI-San_SP'!$C:$AN,MID(U$1,1,2),FALSE)</f>
        <v>0</v>
      </c>
      <c r="V588" s="55">
        <f>VLOOKUP($E588,'NI-San_SP'!$C:$AN,MID(V$1,1,2),FALSE)</f>
        <v>118000</v>
      </c>
      <c r="W588" s="55">
        <f>VLOOKUP($E588,'NI-San_SP'!$C:$AN,MID(W$1,1,2),FALSE)</f>
        <v>0</v>
      </c>
      <c r="X588" s="55">
        <f>VLOOKUP($E588,'NI-San_SP'!$C:$AN,MID(X$1,1,2),FALSE)</f>
        <v>0</v>
      </c>
      <c r="Y588" s="55">
        <f>VLOOKUP($E588,'NI-San_SP'!$C:$AN,MID(Y$1,1,2),FALSE)</f>
        <v>0</v>
      </c>
      <c r="Z588" s="55">
        <f>VLOOKUP($E588,'NI-San_SP'!$C:$AN,MID(Z$1,1,2),FALSE)</f>
        <v>0</v>
      </c>
      <c r="AA588" s="55">
        <f>VLOOKUP($E588,'NI-San_SP'!$C:$AN,MID(AA$1,1,2),FALSE)</f>
        <v>0</v>
      </c>
      <c r="AB588" s="55">
        <f>VLOOKUP($E588,'NI-San_SP'!$C:$AN,MID(AB$1,1,2),FALSE)</f>
        <v>118000</v>
      </c>
      <c r="AC588" s="55">
        <f>VLOOKUP($E588,'NI-San_SP'!$C:$AN,MID(AC$1,1,2),FALSE)</f>
        <v>0</v>
      </c>
      <c r="AD588" s="55">
        <f>VLOOKUP($E588,'NI-San_SP'!$C:$AN,MID(AD$1,1,2),FALSE)</f>
        <v>0</v>
      </c>
      <c r="AE588" s="55">
        <f>VLOOKUP($E588,'NI-San_SP'!$C:$AN,MID(AE$1,1,2),FALSE)</f>
        <v>0</v>
      </c>
      <c r="AF588" s="55">
        <f>VLOOKUP($E588,'NI-San_SP'!$C:$AN,MID(AF$1,1,2),FALSE)</f>
        <v>0</v>
      </c>
      <c r="AG588" s="55">
        <f>VLOOKUP($E588,'NI-San_SP'!$C:$AN,MID(AG$1,1,2),FALSE)</f>
        <v>0</v>
      </c>
      <c r="AH588" s="55">
        <f>VLOOKUP($E588,'NI-San_SP'!$C:$AN,MID(AH$1,1,2),FALSE)</f>
        <v>0</v>
      </c>
      <c r="AI588" s="55">
        <f>VLOOKUP($E588,'NI-San_SP'!$C:$AN,MID(AI$1,1,2),FALSE)</f>
        <v>0</v>
      </c>
      <c r="AJ588" s="55">
        <f>VLOOKUP($E588,'NI-San_SP'!$C:$AN,MID(AJ$1,1,2),FALSE)</f>
        <v>0</v>
      </c>
      <c r="AK588" s="55">
        <f>VLOOKUP($E588,'NI-San_SP'!$C:$AN,MID(AK$1,1,2),FALSE)</f>
        <v>0</v>
      </c>
      <c r="AL588" s="55">
        <f>VLOOKUP($E588,'NI-San_SP'!$C:$AN,MID(AL$1,1,2),FALSE)</f>
        <v>0</v>
      </c>
      <c r="AM588" s="56">
        <f>VLOOKUP($E588,'NI-San_SP'!$C:$AN,MID(AM$1,1,2),FALSE)</f>
        <v>0</v>
      </c>
      <c r="AN588" s="30" t="str">
        <f t="shared" si="9"/>
        <v>60601020000000</v>
      </c>
    </row>
    <row r="589" spans="1:40" x14ac:dyDescent="0.25">
      <c r="C589" s="40"/>
      <c r="D589" s="57" t="s">
        <v>2244</v>
      </c>
      <c r="E589" s="57" t="s">
        <v>2245</v>
      </c>
      <c r="F589" s="58" t="s">
        <v>110</v>
      </c>
      <c r="G589" s="52"/>
      <c r="H589" s="52"/>
      <c r="I589" s="52"/>
      <c r="J589" s="52"/>
      <c r="K589" s="59" t="s">
        <v>79</v>
      </c>
      <c r="L589" s="52"/>
      <c r="M589" s="52"/>
      <c r="N589" s="52"/>
      <c r="O589" s="52"/>
      <c r="P589" s="76" t="s">
        <v>2246</v>
      </c>
      <c r="Q589" s="55">
        <f>VLOOKUP(E589,'NI-San_SP'!$C:$AN,12,FALSE)</f>
        <v>908550</v>
      </c>
      <c r="R589" s="55">
        <f>VLOOKUP(E589,'NI-San_SP'!$C:$AN,13,FALSE)</f>
        <v>862137</v>
      </c>
      <c r="S589" s="55"/>
      <c r="T589" s="55"/>
      <c r="U589" s="55">
        <f>VLOOKUP($E589,'NI-San_SP'!$C:$AN,MID(U$1,1,2),FALSE)</f>
        <v>0</v>
      </c>
      <c r="V589" s="55">
        <f>VLOOKUP($E589,'NI-San_SP'!$C:$AN,MID(V$1,1,2),FALSE)</f>
        <v>908550</v>
      </c>
      <c r="W589" s="55">
        <f>VLOOKUP($E589,'NI-San_SP'!$C:$AN,MID(W$1,1,2),FALSE)</f>
        <v>0</v>
      </c>
      <c r="X589" s="55">
        <f>VLOOKUP($E589,'NI-San_SP'!$C:$AN,MID(X$1,1,2),FALSE)</f>
        <v>70737</v>
      </c>
      <c r="Y589" s="55">
        <f>VLOOKUP($E589,'NI-San_SP'!$C:$AN,MID(Y$1,1,2),FALSE)</f>
        <v>0</v>
      </c>
      <c r="Z589" s="55">
        <f>VLOOKUP($E589,'NI-San_SP'!$C:$AN,MID(Z$1,1,2),FALSE)</f>
        <v>117150</v>
      </c>
      <c r="AA589" s="55">
        <f>VLOOKUP($E589,'NI-San_SP'!$C:$AN,MID(AA$1,1,2),FALSE)</f>
        <v>0</v>
      </c>
      <c r="AB589" s="55">
        <f>VLOOKUP($E589,'NI-San_SP'!$C:$AN,MID(AB$1,1,2),FALSE)</f>
        <v>862137</v>
      </c>
      <c r="AC589" s="55">
        <f>VLOOKUP($E589,'NI-San_SP'!$C:$AN,MID(AC$1,1,2),FALSE)</f>
        <v>0</v>
      </c>
      <c r="AD589" s="55">
        <f>VLOOKUP($E589,'NI-San_SP'!$C:$AN,MID(AD$1,1,2),FALSE)</f>
        <v>0</v>
      </c>
      <c r="AE589" s="55">
        <f>VLOOKUP($E589,'NI-San_SP'!$C:$AN,MID(AE$1,1,2),FALSE)</f>
        <v>0</v>
      </c>
      <c r="AF589" s="55">
        <f>VLOOKUP($E589,'NI-San_SP'!$C:$AN,MID(AF$1,1,2),FALSE)</f>
        <v>0</v>
      </c>
      <c r="AG589" s="55">
        <f>VLOOKUP($E589,'NI-San_SP'!$C:$AN,MID(AG$1,1,2),FALSE)</f>
        <v>0</v>
      </c>
      <c r="AH589" s="55">
        <f>VLOOKUP($E589,'NI-San_SP'!$C:$AN,MID(AH$1,1,2),FALSE)</f>
        <v>0</v>
      </c>
      <c r="AI589" s="55">
        <f>VLOOKUP($E589,'NI-San_SP'!$C:$AN,MID(AI$1,1,2),FALSE)</f>
        <v>0</v>
      </c>
      <c r="AJ589" s="55">
        <f>VLOOKUP($E589,'NI-San_SP'!$C:$AN,MID(AJ$1,1,2),FALSE)</f>
        <v>0</v>
      </c>
      <c r="AK589" s="55">
        <f>VLOOKUP($E589,'NI-San_SP'!$C:$AN,MID(AK$1,1,2),FALSE)</f>
        <v>0</v>
      </c>
      <c r="AL589" s="55">
        <f>VLOOKUP($E589,'NI-San_SP'!$C:$AN,MID(AL$1,1,2),FALSE)</f>
        <v>0</v>
      </c>
      <c r="AM589" s="56">
        <f>VLOOKUP($E589,'NI-San_SP'!$C:$AN,MID(AM$1,1,2),FALSE)</f>
        <v>0</v>
      </c>
      <c r="AN589" s="30" t="str">
        <f t="shared" si="9"/>
        <v>60601030000000</v>
      </c>
    </row>
    <row r="590" spans="1:40" x14ac:dyDescent="0.25">
      <c r="C590" s="40"/>
      <c r="D590" s="57" t="s">
        <v>2247</v>
      </c>
      <c r="E590" s="57" t="s">
        <v>2248</v>
      </c>
      <c r="F590" s="58" t="s">
        <v>110</v>
      </c>
      <c r="G590" s="52"/>
      <c r="H590" s="52"/>
      <c r="I590" s="52" t="s">
        <v>2249</v>
      </c>
      <c r="J590" s="52" t="s">
        <v>2249</v>
      </c>
      <c r="K590" s="59" t="s">
        <v>79</v>
      </c>
      <c r="L590" s="62" t="s">
        <v>2250</v>
      </c>
      <c r="M590" s="52"/>
      <c r="N590" s="52"/>
      <c r="O590" s="61" t="s">
        <v>2251</v>
      </c>
      <c r="P590" s="76" t="s">
        <v>2252</v>
      </c>
      <c r="Q590" s="55">
        <f>VLOOKUP(E590,'NI-San_SP'!$C:$AN,12,FALSE)</f>
        <v>32362</v>
      </c>
      <c r="R590" s="55">
        <f>VLOOKUP(E590,'NI-San_SP'!$C:$AN,13,FALSE)</f>
        <v>32362</v>
      </c>
      <c r="S590" s="55"/>
      <c r="T590" s="55"/>
      <c r="U590" s="55">
        <f>VLOOKUP($E590,'NI-San_SP'!$C:$AN,MID(U$1,1,2),FALSE)</f>
        <v>0</v>
      </c>
      <c r="V590" s="55">
        <f>VLOOKUP($E590,'NI-San_SP'!$C:$AN,MID(V$1,1,2),FALSE)</f>
        <v>32362</v>
      </c>
      <c r="W590" s="55">
        <f>VLOOKUP($E590,'NI-San_SP'!$C:$AN,MID(W$1,1,2),FALSE)</f>
        <v>0</v>
      </c>
      <c r="X590" s="55">
        <f>VLOOKUP($E590,'NI-San_SP'!$C:$AN,MID(X$1,1,2),FALSE)</f>
        <v>0</v>
      </c>
      <c r="Y590" s="55">
        <f>VLOOKUP($E590,'NI-San_SP'!$C:$AN,MID(Y$1,1,2),FALSE)</f>
        <v>0</v>
      </c>
      <c r="Z590" s="55">
        <f>VLOOKUP($E590,'NI-San_SP'!$C:$AN,MID(Z$1,1,2),FALSE)</f>
        <v>0</v>
      </c>
      <c r="AA590" s="55">
        <f>VLOOKUP($E590,'NI-San_SP'!$C:$AN,MID(AA$1,1,2),FALSE)</f>
        <v>0</v>
      </c>
      <c r="AB590" s="55">
        <f>VLOOKUP($E590,'NI-San_SP'!$C:$AN,MID(AB$1,1,2),FALSE)</f>
        <v>32362</v>
      </c>
      <c r="AC590" s="55">
        <f>VLOOKUP($E590,'NI-San_SP'!$C:$AN,MID(AC$1,1,2),FALSE)</f>
        <v>0</v>
      </c>
      <c r="AD590" s="55">
        <f>VLOOKUP($E590,'NI-San_SP'!$C:$AN,MID(AD$1,1,2),FALSE)</f>
        <v>0</v>
      </c>
      <c r="AE590" s="55">
        <f>VLOOKUP($E590,'NI-San_SP'!$C:$AN,MID(AE$1,1,2),FALSE)</f>
        <v>0</v>
      </c>
      <c r="AF590" s="55">
        <f>VLOOKUP($E590,'NI-San_SP'!$C:$AN,MID(AF$1,1,2),FALSE)</f>
        <v>0</v>
      </c>
      <c r="AG590" s="55">
        <f>VLOOKUP($E590,'NI-San_SP'!$C:$AN,MID(AG$1,1,2),FALSE)</f>
        <v>0</v>
      </c>
      <c r="AH590" s="55">
        <f>VLOOKUP($E590,'NI-San_SP'!$C:$AN,MID(AH$1,1,2),FALSE)</f>
        <v>0</v>
      </c>
      <c r="AI590" s="55">
        <f>VLOOKUP($E590,'NI-San_SP'!$C:$AN,MID(AI$1,1,2),FALSE)</f>
        <v>0</v>
      </c>
      <c r="AJ590" s="55">
        <f>VLOOKUP($E590,'NI-San_SP'!$C:$AN,MID(AJ$1,1,2),FALSE)</f>
        <v>0</v>
      </c>
      <c r="AK590" s="55">
        <f>VLOOKUP($E590,'NI-San_SP'!$C:$AN,MID(AK$1,1,2),FALSE)</f>
        <v>0</v>
      </c>
      <c r="AL590" s="55">
        <f>VLOOKUP($E590,'NI-San_SP'!$C:$AN,MID(AL$1,1,2),FALSE)</f>
        <v>0</v>
      </c>
      <c r="AM590" s="56">
        <f>VLOOKUP($E590,'NI-San_SP'!$C:$AN,MID(AM$1,1,2),FALSE)</f>
        <v>0</v>
      </c>
      <c r="AN590" s="30" t="str">
        <f t="shared" si="9"/>
        <v>60602000000000</v>
      </c>
    </row>
    <row r="591" spans="1:40" x14ac:dyDescent="0.25">
      <c r="A591" s="30" t="s">
        <v>1394</v>
      </c>
      <c r="C591" s="40"/>
      <c r="D591" s="87" t="s">
        <v>2253</v>
      </c>
      <c r="E591" s="87" t="s">
        <v>2254</v>
      </c>
      <c r="F591" s="58" t="s">
        <v>110</v>
      </c>
      <c r="H591" s="52"/>
      <c r="I591" s="52"/>
      <c r="J591" s="52" t="s">
        <v>2255</v>
      </c>
      <c r="K591" s="59" t="s">
        <v>79</v>
      </c>
      <c r="L591" s="62"/>
      <c r="M591" s="52"/>
      <c r="N591" s="52"/>
      <c r="O591" s="61" t="s">
        <v>2251</v>
      </c>
      <c r="P591" s="79" t="s">
        <v>2256</v>
      </c>
      <c r="Q591" s="55">
        <f>VLOOKUP(E591,'NI-San_SP'!$C:$AN,12,FALSE)</f>
        <v>0</v>
      </c>
      <c r="R591" s="55">
        <f>VLOOKUP(E591,'NI-San_SP'!$C:$AN,13,FALSE)</f>
        <v>0</v>
      </c>
      <c r="S591" s="55"/>
      <c r="T591" s="55"/>
      <c r="U591" s="55">
        <f>VLOOKUP($E591,'NI-San_SP'!$C:$AN,MID(U$1,1,2),FALSE)</f>
        <v>0</v>
      </c>
      <c r="V591" s="55">
        <f>VLOOKUP($E591,'NI-San_SP'!$C:$AN,MID(V$1,1,2),FALSE)</f>
        <v>0</v>
      </c>
      <c r="W591" s="55">
        <f>VLOOKUP($E591,'NI-San_SP'!$C:$AN,MID(W$1,1,2),FALSE)</f>
        <v>0</v>
      </c>
      <c r="X591" s="55">
        <f>VLOOKUP($E591,'NI-San_SP'!$C:$AN,MID(X$1,1,2),FALSE)</f>
        <v>0</v>
      </c>
      <c r="Y591" s="55">
        <f>VLOOKUP($E591,'NI-San_SP'!$C:$AN,MID(Y$1,1,2),FALSE)</f>
        <v>0</v>
      </c>
      <c r="Z591" s="55">
        <f>VLOOKUP($E591,'NI-San_SP'!$C:$AN,MID(Z$1,1,2),FALSE)</f>
        <v>0</v>
      </c>
      <c r="AA591" s="55">
        <f>VLOOKUP($E591,'NI-San_SP'!$C:$AN,MID(AA$1,1,2),FALSE)</f>
        <v>0</v>
      </c>
      <c r="AB591" s="55">
        <f>VLOOKUP($E591,'NI-San_SP'!$C:$AN,MID(AB$1,1,2),FALSE)</f>
        <v>0</v>
      </c>
      <c r="AC591" s="55">
        <f>VLOOKUP($E591,'NI-San_SP'!$C:$AN,MID(AC$1,1,2),FALSE)</f>
        <v>0</v>
      </c>
      <c r="AD591" s="55">
        <f>VLOOKUP($E591,'NI-San_SP'!$C:$AN,MID(AD$1,1,2),FALSE)</f>
        <v>0</v>
      </c>
      <c r="AE591" s="55">
        <f>VLOOKUP($E591,'NI-San_SP'!$C:$AN,MID(AE$1,1,2),FALSE)</f>
        <v>0</v>
      </c>
      <c r="AF591" s="55">
        <f>VLOOKUP($E591,'NI-San_SP'!$C:$AN,MID(AF$1,1,2),FALSE)</f>
        <v>0</v>
      </c>
      <c r="AG591" s="55">
        <f>VLOOKUP($E591,'NI-San_SP'!$C:$AN,MID(AG$1,1,2),FALSE)</f>
        <v>0</v>
      </c>
      <c r="AH591" s="55">
        <f>VLOOKUP($E591,'NI-San_SP'!$C:$AN,MID(AH$1,1,2),FALSE)</f>
        <v>0</v>
      </c>
      <c r="AI591" s="55">
        <f>VLOOKUP($E591,'NI-San_SP'!$C:$AN,MID(AI$1,1,2),FALSE)</f>
        <v>0</v>
      </c>
      <c r="AJ591" s="55">
        <f>VLOOKUP($E591,'NI-San_SP'!$C:$AN,MID(AJ$1,1,2),FALSE)</f>
        <v>0</v>
      </c>
      <c r="AK591" s="55">
        <f>VLOOKUP($E591,'NI-San_SP'!$C:$AN,MID(AK$1,1,2),FALSE)</f>
        <v>0</v>
      </c>
      <c r="AL591" s="55">
        <f>VLOOKUP($E591,'NI-San_SP'!$C:$AN,MID(AL$1,1,2),FALSE)</f>
        <v>0</v>
      </c>
      <c r="AM591" s="56">
        <f>VLOOKUP($E591,'NI-San_SP'!$C:$AN,MID(AM$1,1,2),FALSE)</f>
        <v>0</v>
      </c>
      <c r="AN591" s="30" t="str">
        <f t="shared" si="9"/>
        <v>60603000000000</v>
      </c>
    </row>
    <row r="592" spans="1:40" x14ac:dyDescent="0.25">
      <c r="C592" s="40"/>
      <c r="D592" s="49" t="s">
        <v>2257</v>
      </c>
      <c r="E592" s="49" t="s">
        <v>2258</v>
      </c>
      <c r="F592" s="50" t="s">
        <v>110</v>
      </c>
      <c r="G592" s="51"/>
      <c r="H592" s="52"/>
      <c r="I592" s="52"/>
      <c r="J592" s="52"/>
      <c r="K592" s="53" t="s">
        <v>111</v>
      </c>
      <c r="L592" s="52"/>
      <c r="M592" s="52"/>
      <c r="N592" s="52"/>
      <c r="O592" s="52"/>
      <c r="P592" s="76" t="s">
        <v>2259</v>
      </c>
      <c r="Q592" s="55">
        <f>VLOOKUP(E592,'NI-San_SP'!$C:$AN,12,FALSE)</f>
        <v>88013080</v>
      </c>
      <c r="R592" s="55">
        <f>VLOOKUP(E592,'NI-San_SP'!$C:$AN,13,FALSE)</f>
        <v>88880850</v>
      </c>
      <c r="S592" s="55">
        <f>VLOOKUP(E592,'NI-San_SP'!$C:$AN,30,FALSE)</f>
        <v>1775040</v>
      </c>
      <c r="T592" s="55">
        <f>VLOOKUP(E592,'NI-San_SP'!$C:$AN,31,FALSE)+VLOOKUP(E592,'NI-San_SP'!$C:$AN,32,FALSE)</f>
        <v>155470260</v>
      </c>
      <c r="U592" s="55">
        <f>VLOOKUP($E592,'NI-San_SP'!$C:$AN,MID(U$1,1,2),FALSE)</f>
        <v>0</v>
      </c>
      <c r="V592" s="55">
        <f>VLOOKUP($E592,'NI-San_SP'!$C:$AN,MID(V$1,1,2),FALSE)</f>
        <v>88013080</v>
      </c>
      <c r="W592" s="55">
        <f>VLOOKUP($E592,'NI-San_SP'!$C:$AN,MID(W$1,1,2),FALSE)</f>
        <v>0</v>
      </c>
      <c r="X592" s="55">
        <f>VLOOKUP($E592,'NI-San_SP'!$C:$AN,MID(X$1,1,2),FALSE)</f>
        <v>4755272</v>
      </c>
      <c r="Y592" s="55">
        <f>VLOOKUP($E592,'NI-San_SP'!$C:$AN,MID(Y$1,1,2),FALSE)</f>
        <v>134375840</v>
      </c>
      <c r="Z592" s="55">
        <f>VLOOKUP($E592,'NI-San_SP'!$C:$AN,MID(Z$1,1,2),FALSE)</f>
        <v>437700949</v>
      </c>
      <c r="AA592" s="55">
        <f>VLOOKUP($E592,'NI-San_SP'!$C:$AN,MID(AA$1,1,2),FALSE)</f>
        <v>0</v>
      </c>
      <c r="AB592" s="55">
        <f>VLOOKUP($E592,'NI-San_SP'!$C:$AN,MID(AB$1,1,2),FALSE)</f>
        <v>59486118</v>
      </c>
      <c r="AC592" s="55">
        <f>VLOOKUP($E592,'NI-San_SP'!$C:$AN,MID(AC$1,1,2),FALSE)</f>
        <v>377347061</v>
      </c>
      <c r="AD592" s="55">
        <f>VLOOKUP($E592,'NI-San_SP'!$C:$AN,MID(AD$1,1,2),FALSE)</f>
        <v>88880850</v>
      </c>
      <c r="AE592" s="55">
        <f>VLOOKUP($E592,'NI-San_SP'!$C:$AN,MID(AE$1,1,2),FALSE)</f>
        <v>9022148</v>
      </c>
      <c r="AF592" s="55">
        <f>VLOOKUP($E592,'NI-San_SP'!$C:$AN,MID(AF$1,1,2),FALSE)</f>
        <v>5336736</v>
      </c>
      <c r="AG592" s="55">
        <f>VLOOKUP($E592,'NI-San_SP'!$C:$AN,MID(AG$1,1,2),FALSE)</f>
        <v>3582809</v>
      </c>
      <c r="AH592" s="55">
        <f>VLOOKUP($E592,'NI-San_SP'!$C:$AN,MID(AH$1,1,2),FALSE)</f>
        <v>142750</v>
      </c>
      <c r="AI592" s="55">
        <f>VLOOKUP($E592,'NI-San_SP'!$C:$AN,MID(AI$1,1,2),FALSE)</f>
        <v>4501776</v>
      </c>
      <c r="AJ592" s="55">
        <f>VLOOKUP($E592,'NI-San_SP'!$C:$AN,MID(AJ$1,1,2),FALSE)</f>
        <v>1775040</v>
      </c>
      <c r="AK592" s="55">
        <f>VLOOKUP($E592,'NI-San_SP'!$C:$AN,MID(AK$1,1,2),FALSE)</f>
        <v>78876417</v>
      </c>
      <c r="AL592" s="55">
        <f>VLOOKUP($E592,'NI-San_SP'!$C:$AN,MID(AL$1,1,2),FALSE)</f>
        <v>76593843</v>
      </c>
      <c r="AM592" s="56">
        <f>VLOOKUP($E592,'NI-San_SP'!$C:$AN,MID(AM$1,1,2),FALSE)</f>
        <v>12150301</v>
      </c>
      <c r="AN592" s="30" t="str">
        <f t="shared" si="9"/>
        <v>70000000000000</v>
      </c>
    </row>
    <row r="593" spans="1:40" x14ac:dyDescent="0.25">
      <c r="C593" s="40"/>
      <c r="D593" s="57" t="s">
        <v>2260</v>
      </c>
      <c r="E593" s="57" t="s">
        <v>2261</v>
      </c>
      <c r="F593" s="58" t="s">
        <v>110</v>
      </c>
      <c r="G593" s="52"/>
      <c r="H593" s="52"/>
      <c r="I593" s="52" t="s">
        <v>2262</v>
      </c>
      <c r="J593" s="52" t="s">
        <v>2262</v>
      </c>
      <c r="K593" s="59" t="s">
        <v>79</v>
      </c>
      <c r="L593" s="62" t="s">
        <v>2263</v>
      </c>
      <c r="M593" s="52"/>
      <c r="N593" s="52"/>
      <c r="O593" s="61" t="s">
        <v>2264</v>
      </c>
      <c r="P593" s="76" t="s">
        <v>2265</v>
      </c>
      <c r="Q593" s="55">
        <f>VLOOKUP(E593,'NI-San_SP'!$C:$AN,12,FALSE)</f>
        <v>655134</v>
      </c>
      <c r="R593" s="55">
        <f>VLOOKUP(E593,'NI-San_SP'!$C:$AN,13,FALSE)</f>
        <v>220693</v>
      </c>
      <c r="S593" s="55">
        <f>VLOOKUP(E593,'NI-San_SP'!$C:$AN,30,FALSE)</f>
        <v>0</v>
      </c>
      <c r="T593" s="55">
        <f>VLOOKUP(E593,'NI-San_SP'!$C:$AN,31,FALSE)+VLOOKUP(E593,'NI-San_SP'!$C:$AN,32,FALSE)</f>
        <v>441386</v>
      </c>
      <c r="U593" s="55">
        <f>VLOOKUP($E593,'NI-San_SP'!$C:$AN,MID(U$1,1,2),FALSE)</f>
        <v>0</v>
      </c>
      <c r="V593" s="55">
        <f>VLOOKUP($E593,'NI-San_SP'!$C:$AN,MID(V$1,1,2),FALSE)</f>
        <v>655134</v>
      </c>
      <c r="W593" s="55">
        <f>VLOOKUP($E593,'NI-San_SP'!$C:$AN,MID(W$1,1,2),FALSE)</f>
        <v>0</v>
      </c>
      <c r="X593" s="55">
        <f>VLOOKUP($E593,'NI-San_SP'!$C:$AN,MID(X$1,1,2),FALSE)</f>
        <v>0</v>
      </c>
      <c r="Y593" s="55">
        <f>VLOOKUP($E593,'NI-San_SP'!$C:$AN,MID(Y$1,1,2),FALSE)</f>
        <v>0</v>
      </c>
      <c r="Z593" s="55">
        <f>VLOOKUP($E593,'NI-San_SP'!$C:$AN,MID(Z$1,1,2),FALSE)</f>
        <v>0</v>
      </c>
      <c r="AA593" s="55">
        <f>VLOOKUP($E593,'NI-San_SP'!$C:$AN,MID(AA$1,1,2),FALSE)</f>
        <v>0</v>
      </c>
      <c r="AB593" s="55">
        <f>VLOOKUP($E593,'NI-San_SP'!$C:$AN,MID(AB$1,1,2),FALSE)</f>
        <v>434441</v>
      </c>
      <c r="AC593" s="55">
        <f>VLOOKUP($E593,'NI-San_SP'!$C:$AN,MID(AC$1,1,2),FALSE)</f>
        <v>0</v>
      </c>
      <c r="AD593" s="55">
        <f>VLOOKUP($E593,'NI-San_SP'!$C:$AN,MID(AD$1,1,2),FALSE)</f>
        <v>220693</v>
      </c>
      <c r="AE593" s="55">
        <f>VLOOKUP($E593,'NI-San_SP'!$C:$AN,MID(AE$1,1,2),FALSE)</f>
        <v>0</v>
      </c>
      <c r="AF593" s="55">
        <f>VLOOKUP($E593,'NI-San_SP'!$C:$AN,MID(AF$1,1,2),FALSE)</f>
        <v>0</v>
      </c>
      <c r="AG593" s="55">
        <f>VLOOKUP($E593,'NI-San_SP'!$C:$AN,MID(AG$1,1,2),FALSE)</f>
        <v>0</v>
      </c>
      <c r="AH593" s="55">
        <f>VLOOKUP($E593,'NI-San_SP'!$C:$AN,MID(AH$1,1,2),FALSE)</f>
        <v>0</v>
      </c>
      <c r="AI593" s="55">
        <f>VLOOKUP($E593,'NI-San_SP'!$C:$AN,MID(AI$1,1,2),FALSE)</f>
        <v>0</v>
      </c>
      <c r="AJ593" s="55">
        <f>VLOOKUP($E593,'NI-San_SP'!$C:$AN,MID(AJ$1,1,2),FALSE)</f>
        <v>0</v>
      </c>
      <c r="AK593" s="55">
        <f>VLOOKUP($E593,'NI-San_SP'!$C:$AN,MID(AK$1,1,2),FALSE)</f>
        <v>220693</v>
      </c>
      <c r="AL593" s="55">
        <f>VLOOKUP($E593,'NI-San_SP'!$C:$AN,MID(AL$1,1,2),FALSE)</f>
        <v>220693</v>
      </c>
      <c r="AM593" s="56">
        <f>VLOOKUP($E593,'NI-San_SP'!$C:$AN,MID(AM$1,1,2),FALSE)</f>
        <v>0</v>
      </c>
      <c r="AN593" s="30" t="str">
        <f t="shared" si="9"/>
        <v>70100000000000</v>
      </c>
    </row>
    <row r="594" spans="1:40" x14ac:dyDescent="0.25">
      <c r="C594" s="40"/>
      <c r="D594" s="57" t="s">
        <v>2266</v>
      </c>
      <c r="E594" s="57" t="s">
        <v>2267</v>
      </c>
      <c r="F594" s="58" t="s">
        <v>110</v>
      </c>
      <c r="G594" s="52"/>
      <c r="H594" s="52"/>
      <c r="I594" s="52"/>
      <c r="J594" s="52"/>
      <c r="K594" s="59" t="s">
        <v>111</v>
      </c>
      <c r="L594" s="62" t="s">
        <v>2268</v>
      </c>
      <c r="M594" s="52" t="s">
        <v>2269</v>
      </c>
      <c r="N594" s="52"/>
      <c r="O594" s="61" t="s">
        <v>2270</v>
      </c>
      <c r="P594" s="76" t="s">
        <v>2271</v>
      </c>
      <c r="Q594" s="55">
        <f>VLOOKUP(E594,'NI-San_SP'!$C:$AN,12,FALSE)</f>
        <v>0</v>
      </c>
      <c r="R594" s="55">
        <f>VLOOKUP(E594,'NI-San_SP'!$C:$AN,13,FALSE)</f>
        <v>1148</v>
      </c>
      <c r="S594" s="55">
        <f>VLOOKUP(E594,'NI-San_SP'!$C:$AN,30,FALSE)</f>
        <v>0</v>
      </c>
      <c r="T594" s="55">
        <f>VLOOKUP(E594,'NI-San_SP'!$C:$AN,31,FALSE)+VLOOKUP(E594,'NI-San_SP'!$C:$AN,32,FALSE)</f>
        <v>1148</v>
      </c>
      <c r="U594" s="55">
        <f>VLOOKUP($E594,'NI-San_SP'!$C:$AN,MID(U$1,1,2),FALSE)</f>
        <v>0</v>
      </c>
      <c r="V594" s="55">
        <f>VLOOKUP($E594,'NI-San_SP'!$C:$AN,MID(V$1,1,2),FALSE)</f>
        <v>0</v>
      </c>
      <c r="W594" s="55">
        <f>VLOOKUP($E594,'NI-San_SP'!$C:$AN,MID(W$1,1,2),FALSE)</f>
        <v>0</v>
      </c>
      <c r="X594" s="55">
        <f>VLOOKUP($E594,'NI-San_SP'!$C:$AN,MID(X$1,1,2),FALSE)</f>
        <v>0</v>
      </c>
      <c r="Y594" s="55">
        <f>VLOOKUP($E594,'NI-San_SP'!$C:$AN,MID(Y$1,1,2),FALSE)</f>
        <v>0</v>
      </c>
      <c r="Z594" s="55">
        <f>VLOOKUP($E594,'NI-San_SP'!$C:$AN,MID(Z$1,1,2),FALSE)</f>
        <v>12903</v>
      </c>
      <c r="AA594" s="55">
        <f>VLOOKUP($E594,'NI-San_SP'!$C:$AN,MID(AA$1,1,2),FALSE)</f>
        <v>0</v>
      </c>
      <c r="AB594" s="55">
        <f>VLOOKUP($E594,'NI-San_SP'!$C:$AN,MID(AB$1,1,2),FALSE)</f>
        <v>0</v>
      </c>
      <c r="AC594" s="55">
        <f>VLOOKUP($E594,'NI-San_SP'!$C:$AN,MID(AC$1,1,2),FALSE)</f>
        <v>11755</v>
      </c>
      <c r="AD594" s="55">
        <f>VLOOKUP($E594,'NI-San_SP'!$C:$AN,MID(AD$1,1,2),FALSE)</f>
        <v>1148</v>
      </c>
      <c r="AE594" s="55">
        <f>VLOOKUP($E594,'NI-San_SP'!$C:$AN,MID(AE$1,1,2),FALSE)</f>
        <v>0</v>
      </c>
      <c r="AF594" s="55">
        <f>VLOOKUP($E594,'NI-San_SP'!$C:$AN,MID(AF$1,1,2),FALSE)</f>
        <v>0</v>
      </c>
      <c r="AG594" s="55">
        <f>VLOOKUP($E594,'NI-San_SP'!$C:$AN,MID(AG$1,1,2),FALSE)</f>
        <v>0</v>
      </c>
      <c r="AH594" s="55">
        <f>VLOOKUP($E594,'NI-San_SP'!$C:$AN,MID(AH$1,1,2),FALSE)</f>
        <v>0</v>
      </c>
      <c r="AI594" s="55">
        <f>VLOOKUP($E594,'NI-San_SP'!$C:$AN,MID(AI$1,1,2),FALSE)</f>
        <v>0</v>
      </c>
      <c r="AJ594" s="55">
        <f>VLOOKUP($E594,'NI-San_SP'!$C:$AN,MID(AJ$1,1,2),FALSE)</f>
        <v>0</v>
      </c>
      <c r="AK594" s="55">
        <f>VLOOKUP($E594,'NI-San_SP'!$C:$AN,MID(AK$1,1,2),FALSE)</f>
        <v>1148</v>
      </c>
      <c r="AL594" s="55">
        <f>VLOOKUP($E594,'NI-San_SP'!$C:$AN,MID(AL$1,1,2),FALSE)</f>
        <v>0</v>
      </c>
      <c r="AM594" s="56">
        <f>VLOOKUP($E594,'NI-San_SP'!$C:$AN,MID(AM$1,1,2),FALSE)</f>
        <v>1148</v>
      </c>
      <c r="AN594" s="30" t="str">
        <f t="shared" si="9"/>
        <v>70200000000000</v>
      </c>
    </row>
    <row r="595" spans="1:40" x14ac:dyDescent="0.25">
      <c r="C595" s="40"/>
      <c r="D595" s="91" t="s">
        <v>2272</v>
      </c>
      <c r="E595" s="91" t="s">
        <v>2273</v>
      </c>
      <c r="F595" s="58" t="s">
        <v>110</v>
      </c>
      <c r="G595" s="52"/>
      <c r="H595" s="52"/>
      <c r="I595" s="52" t="s">
        <v>2274</v>
      </c>
      <c r="J595" s="52" t="s">
        <v>2274</v>
      </c>
      <c r="K595" s="59" t="s">
        <v>1358</v>
      </c>
      <c r="L595" s="52"/>
      <c r="M595" s="52"/>
      <c r="N595" s="52"/>
      <c r="O595" s="52"/>
      <c r="P595" s="76" t="s">
        <v>2275</v>
      </c>
      <c r="Q595" s="55">
        <f>VLOOKUP(E595,'NI-San_SP'!$C:$AN,12,FALSE)</f>
        <v>0</v>
      </c>
      <c r="R595" s="55">
        <f>VLOOKUP(E595,'NI-San_SP'!$C:$AN,13,FALSE)</f>
        <v>0</v>
      </c>
      <c r="S595" s="55">
        <f>VLOOKUP(E595,'NI-San_SP'!$C:$AN,30,FALSE)</f>
        <v>0</v>
      </c>
      <c r="T595" s="94">
        <f>VLOOKUP(E595,'NI-San_SP'!$C:$AN,31,FALSE)+VLOOKUP(E595,'NI-San_SP'!$C:$AN,32,FALSE)</f>
        <v>0</v>
      </c>
      <c r="U595" s="55">
        <f>VLOOKUP($E595,'NI-San_SP'!$C:$AN,MID(U$1,1,2),FALSE)</f>
        <v>0</v>
      </c>
      <c r="V595" s="55">
        <f>VLOOKUP($E595,'NI-San_SP'!$C:$AN,MID(V$1,1,2),FALSE)</f>
        <v>0</v>
      </c>
      <c r="W595" s="55">
        <f>VLOOKUP($E595,'NI-San_SP'!$C:$AN,MID(W$1,1,2),FALSE)</f>
        <v>0</v>
      </c>
      <c r="X595" s="55">
        <f>VLOOKUP($E595,'NI-San_SP'!$C:$AN,MID(X$1,1,2),FALSE)</f>
        <v>0</v>
      </c>
      <c r="Y595" s="55">
        <f>VLOOKUP($E595,'NI-San_SP'!$C:$AN,MID(Y$1,1,2),FALSE)</f>
        <v>0</v>
      </c>
      <c r="Z595" s="55">
        <f>VLOOKUP($E595,'NI-San_SP'!$C:$AN,MID(Z$1,1,2),FALSE)</f>
        <v>0</v>
      </c>
      <c r="AA595" s="55">
        <f>VLOOKUP($E595,'NI-San_SP'!$C:$AN,MID(AA$1,1,2),FALSE)</f>
        <v>0</v>
      </c>
      <c r="AB595" s="55">
        <f>VLOOKUP($E595,'NI-San_SP'!$C:$AN,MID(AB$1,1,2),FALSE)</f>
        <v>0</v>
      </c>
      <c r="AC595" s="55">
        <f>VLOOKUP($E595,'NI-San_SP'!$C:$AN,MID(AC$1,1,2),FALSE)</f>
        <v>0</v>
      </c>
      <c r="AD595" s="55">
        <f>VLOOKUP($E595,'NI-San_SP'!$C:$AN,MID(AD$1,1,2),FALSE)</f>
        <v>0</v>
      </c>
      <c r="AE595" s="55">
        <f>VLOOKUP($E595,'NI-San_SP'!$C:$AN,MID(AE$1,1,2),FALSE)</f>
        <v>0</v>
      </c>
      <c r="AF595" s="55">
        <f>VLOOKUP($E595,'NI-San_SP'!$C:$AN,MID(AF$1,1,2),FALSE)</f>
        <v>0</v>
      </c>
      <c r="AG595" s="55">
        <f>VLOOKUP($E595,'NI-San_SP'!$C:$AN,MID(AG$1,1,2),FALSE)</f>
        <v>0</v>
      </c>
      <c r="AH595" s="55">
        <f>VLOOKUP($E595,'NI-San_SP'!$C:$AN,MID(AH$1,1,2),FALSE)</f>
        <v>0</v>
      </c>
      <c r="AI595" s="55">
        <f>VLOOKUP($E595,'NI-San_SP'!$C:$AN,MID(AI$1,1,2),FALSE)</f>
        <v>0</v>
      </c>
      <c r="AJ595" s="55">
        <f>VLOOKUP($E595,'NI-San_SP'!$C:$AN,MID(AJ$1,1,2),FALSE)</f>
        <v>0</v>
      </c>
      <c r="AK595" s="55">
        <f>VLOOKUP($E595,'NI-San_SP'!$C:$AN,MID(AK$1,1,2),FALSE)</f>
        <v>0</v>
      </c>
      <c r="AL595" s="55">
        <f>VLOOKUP($E595,'NI-San_SP'!$C:$AN,MID(AL$1,1,2),FALSE)</f>
        <v>0</v>
      </c>
      <c r="AM595" s="56">
        <f>VLOOKUP($E595,'NI-San_SP'!$C:$AN,MID(AM$1,1,2),FALSE)</f>
        <v>0</v>
      </c>
      <c r="AN595" s="30" t="str">
        <f t="shared" si="9"/>
        <v>70201000000000</v>
      </c>
    </row>
    <row r="596" spans="1:40" x14ac:dyDescent="0.25">
      <c r="C596" s="40"/>
      <c r="D596" s="91" t="s">
        <v>2276</v>
      </c>
      <c r="E596" s="91" t="s">
        <v>2277</v>
      </c>
      <c r="F596" s="58" t="s">
        <v>110</v>
      </c>
      <c r="G596" s="52"/>
      <c r="H596" s="52"/>
      <c r="I596" s="52" t="s">
        <v>2278</v>
      </c>
      <c r="J596" s="52" t="s">
        <v>2278</v>
      </c>
      <c r="K596" s="59" t="s">
        <v>1358</v>
      </c>
      <c r="L596" s="52"/>
      <c r="M596" s="52"/>
      <c r="N596" s="52"/>
      <c r="O596" s="52"/>
      <c r="P596" s="76" t="s">
        <v>2279</v>
      </c>
      <c r="Q596" s="55">
        <f>VLOOKUP(E596,'NI-San_SP'!$C:$AN,12,FALSE)</f>
        <v>0</v>
      </c>
      <c r="R596" s="55">
        <f>VLOOKUP(E596,'NI-San_SP'!$C:$AN,13,FALSE)</f>
        <v>0</v>
      </c>
      <c r="S596" s="55">
        <f>VLOOKUP(E596,'NI-San_SP'!$C:$AN,30,FALSE)</f>
        <v>0</v>
      </c>
      <c r="T596" s="94">
        <f>VLOOKUP(E596,'NI-San_SP'!$C:$AN,31,FALSE)+VLOOKUP(E596,'NI-San_SP'!$C:$AN,32,FALSE)</f>
        <v>0</v>
      </c>
      <c r="U596" s="55">
        <f>VLOOKUP($E596,'NI-San_SP'!$C:$AN,MID(U$1,1,2),FALSE)</f>
        <v>0</v>
      </c>
      <c r="V596" s="55">
        <f>VLOOKUP($E596,'NI-San_SP'!$C:$AN,MID(V$1,1,2),FALSE)</f>
        <v>0</v>
      </c>
      <c r="W596" s="55">
        <f>VLOOKUP($E596,'NI-San_SP'!$C:$AN,MID(W$1,1,2),FALSE)</f>
        <v>0</v>
      </c>
      <c r="X596" s="55">
        <f>VLOOKUP($E596,'NI-San_SP'!$C:$AN,MID(X$1,1,2),FALSE)</f>
        <v>0</v>
      </c>
      <c r="Y596" s="55">
        <f>VLOOKUP($E596,'NI-San_SP'!$C:$AN,MID(Y$1,1,2),FALSE)</f>
        <v>0</v>
      </c>
      <c r="Z596" s="55">
        <f>VLOOKUP($E596,'NI-San_SP'!$C:$AN,MID(Z$1,1,2),FALSE)</f>
        <v>0</v>
      </c>
      <c r="AA596" s="55">
        <f>VLOOKUP($E596,'NI-San_SP'!$C:$AN,MID(AA$1,1,2),FALSE)</f>
        <v>0</v>
      </c>
      <c r="AB596" s="55">
        <f>VLOOKUP($E596,'NI-San_SP'!$C:$AN,MID(AB$1,1,2),FALSE)</f>
        <v>0</v>
      </c>
      <c r="AC596" s="55">
        <f>VLOOKUP($E596,'NI-San_SP'!$C:$AN,MID(AC$1,1,2),FALSE)</f>
        <v>0</v>
      </c>
      <c r="AD596" s="55">
        <f>VLOOKUP($E596,'NI-San_SP'!$C:$AN,MID(AD$1,1,2),FALSE)</f>
        <v>0</v>
      </c>
      <c r="AE596" s="55">
        <f>VLOOKUP($E596,'NI-San_SP'!$C:$AN,MID(AE$1,1,2),FALSE)</f>
        <v>0</v>
      </c>
      <c r="AF596" s="55">
        <f>VLOOKUP($E596,'NI-San_SP'!$C:$AN,MID(AF$1,1,2),FALSE)</f>
        <v>0</v>
      </c>
      <c r="AG596" s="55">
        <f>VLOOKUP($E596,'NI-San_SP'!$C:$AN,MID(AG$1,1,2),FALSE)</f>
        <v>0</v>
      </c>
      <c r="AH596" s="55">
        <f>VLOOKUP($E596,'NI-San_SP'!$C:$AN,MID(AH$1,1,2),FALSE)</f>
        <v>0</v>
      </c>
      <c r="AI596" s="55">
        <f>VLOOKUP($E596,'NI-San_SP'!$C:$AN,MID(AI$1,1,2),FALSE)</f>
        <v>0</v>
      </c>
      <c r="AJ596" s="55">
        <f>VLOOKUP($E596,'NI-San_SP'!$C:$AN,MID(AJ$1,1,2),FALSE)</f>
        <v>0</v>
      </c>
      <c r="AK596" s="55">
        <f>VLOOKUP($E596,'NI-San_SP'!$C:$AN,MID(AK$1,1,2),FALSE)</f>
        <v>0</v>
      </c>
      <c r="AL596" s="55">
        <f>VLOOKUP($E596,'NI-San_SP'!$C:$AN,MID(AL$1,1,2),FALSE)</f>
        <v>0</v>
      </c>
      <c r="AM596" s="56">
        <f>VLOOKUP($E596,'NI-San_SP'!$C:$AN,MID(AM$1,1,2),FALSE)</f>
        <v>0</v>
      </c>
      <c r="AN596" s="30" t="str">
        <f t="shared" si="9"/>
        <v>70202000000000</v>
      </c>
    </row>
    <row r="597" spans="1:40" x14ac:dyDescent="0.25">
      <c r="C597" s="40"/>
      <c r="D597" s="91" t="s">
        <v>2280</v>
      </c>
      <c r="E597" s="91" t="s">
        <v>2281</v>
      </c>
      <c r="F597" s="58" t="s">
        <v>110</v>
      </c>
      <c r="G597" s="52"/>
      <c r="H597" s="52"/>
      <c r="I597" s="52" t="s">
        <v>2282</v>
      </c>
      <c r="J597" s="52" t="s">
        <v>2282</v>
      </c>
      <c r="K597" s="59" t="s">
        <v>1358</v>
      </c>
      <c r="L597" s="52"/>
      <c r="M597" s="52"/>
      <c r="N597" s="52"/>
      <c r="O597" s="52"/>
      <c r="P597" s="76" t="s">
        <v>2283</v>
      </c>
      <c r="Q597" s="55">
        <f>VLOOKUP(E597,'NI-San_SP'!$C:$AN,12,FALSE)</f>
        <v>0</v>
      </c>
      <c r="R597" s="55">
        <f>VLOOKUP(E597,'NI-San_SP'!$C:$AN,13,FALSE)</f>
        <v>0</v>
      </c>
      <c r="S597" s="55">
        <f>VLOOKUP(E597,'NI-San_SP'!$C:$AN,30,FALSE)</f>
        <v>0</v>
      </c>
      <c r="T597" s="94">
        <f>VLOOKUP(E597,'NI-San_SP'!$C:$AN,31,FALSE)+VLOOKUP(E597,'NI-San_SP'!$C:$AN,32,FALSE)</f>
        <v>0</v>
      </c>
      <c r="U597" s="55">
        <f>VLOOKUP($E597,'NI-San_SP'!$C:$AN,MID(U$1,1,2),FALSE)</f>
        <v>0</v>
      </c>
      <c r="V597" s="55">
        <f>VLOOKUP($E597,'NI-San_SP'!$C:$AN,MID(V$1,1,2),FALSE)</f>
        <v>0</v>
      </c>
      <c r="W597" s="55">
        <f>VLOOKUP($E597,'NI-San_SP'!$C:$AN,MID(W$1,1,2),FALSE)</f>
        <v>0</v>
      </c>
      <c r="X597" s="55">
        <f>VLOOKUP($E597,'NI-San_SP'!$C:$AN,MID(X$1,1,2),FALSE)</f>
        <v>0</v>
      </c>
      <c r="Y597" s="55">
        <f>VLOOKUP($E597,'NI-San_SP'!$C:$AN,MID(Y$1,1,2),FALSE)</f>
        <v>0</v>
      </c>
      <c r="Z597" s="55">
        <f>VLOOKUP($E597,'NI-San_SP'!$C:$AN,MID(Z$1,1,2),FALSE)</f>
        <v>0</v>
      </c>
      <c r="AA597" s="55">
        <f>VLOOKUP($E597,'NI-San_SP'!$C:$AN,MID(AA$1,1,2),FALSE)</f>
        <v>0</v>
      </c>
      <c r="AB597" s="55">
        <f>VLOOKUP($E597,'NI-San_SP'!$C:$AN,MID(AB$1,1,2),FALSE)</f>
        <v>0</v>
      </c>
      <c r="AC597" s="55">
        <f>VLOOKUP($E597,'NI-San_SP'!$C:$AN,MID(AC$1,1,2),FALSE)</f>
        <v>0</v>
      </c>
      <c r="AD597" s="55">
        <f>VLOOKUP($E597,'NI-San_SP'!$C:$AN,MID(AD$1,1,2),FALSE)</f>
        <v>0</v>
      </c>
      <c r="AE597" s="55">
        <f>VLOOKUP($E597,'NI-San_SP'!$C:$AN,MID(AE$1,1,2),FALSE)</f>
        <v>0</v>
      </c>
      <c r="AF597" s="55">
        <f>VLOOKUP($E597,'NI-San_SP'!$C:$AN,MID(AF$1,1,2),FALSE)</f>
        <v>0</v>
      </c>
      <c r="AG597" s="55">
        <f>VLOOKUP($E597,'NI-San_SP'!$C:$AN,MID(AG$1,1,2),FALSE)</f>
        <v>0</v>
      </c>
      <c r="AH597" s="55">
        <f>VLOOKUP($E597,'NI-San_SP'!$C:$AN,MID(AH$1,1,2),FALSE)</f>
        <v>0</v>
      </c>
      <c r="AI597" s="55">
        <f>VLOOKUP($E597,'NI-San_SP'!$C:$AN,MID(AI$1,1,2),FALSE)</f>
        <v>0</v>
      </c>
      <c r="AJ597" s="55">
        <f>VLOOKUP($E597,'NI-San_SP'!$C:$AN,MID(AJ$1,1,2),FALSE)</f>
        <v>0</v>
      </c>
      <c r="AK597" s="55">
        <f>VLOOKUP($E597,'NI-San_SP'!$C:$AN,MID(AK$1,1,2),FALSE)</f>
        <v>0</v>
      </c>
      <c r="AL597" s="55">
        <f>VLOOKUP($E597,'NI-San_SP'!$C:$AN,MID(AL$1,1,2),FALSE)</f>
        <v>0</v>
      </c>
      <c r="AM597" s="56">
        <f>VLOOKUP($E597,'NI-San_SP'!$C:$AN,MID(AM$1,1,2),FALSE)</f>
        <v>0</v>
      </c>
      <c r="AN597" s="30" t="str">
        <f t="shared" si="9"/>
        <v>70203000000000</v>
      </c>
    </row>
    <row r="598" spans="1:40" x14ac:dyDescent="0.25">
      <c r="C598" s="40"/>
      <c r="D598" s="91" t="s">
        <v>2284</v>
      </c>
      <c r="E598" s="91" t="s">
        <v>2285</v>
      </c>
      <c r="F598" s="58" t="s">
        <v>110</v>
      </c>
      <c r="G598" s="52"/>
      <c r="H598" s="52"/>
      <c r="I598" s="52" t="s">
        <v>2286</v>
      </c>
      <c r="J598" s="52" t="s">
        <v>2286</v>
      </c>
      <c r="K598" s="59" t="s">
        <v>79</v>
      </c>
      <c r="L598" s="52"/>
      <c r="M598" s="52"/>
      <c r="N598" s="52"/>
      <c r="O598" s="52"/>
      <c r="P598" s="76" t="s">
        <v>2287</v>
      </c>
      <c r="Q598" s="55">
        <f>VLOOKUP(E598,'NI-San_SP'!$C:$AN,12,FALSE)</f>
        <v>0</v>
      </c>
      <c r="R598" s="55">
        <f>VLOOKUP(E598,'NI-San_SP'!$C:$AN,13,FALSE)</f>
        <v>0</v>
      </c>
      <c r="S598" s="55">
        <f>VLOOKUP(E598,'NI-San_SP'!$C:$AN,30,FALSE)</f>
        <v>0</v>
      </c>
      <c r="T598" s="94">
        <f>VLOOKUP(E598,'NI-San_SP'!$C:$AN,31,FALSE)+VLOOKUP(E598,'NI-San_SP'!$C:$AN,32,FALSE)</f>
        <v>0</v>
      </c>
      <c r="U598" s="55">
        <f>VLOOKUP($E598,'NI-San_SP'!$C:$AN,MID(U$1,1,2),FALSE)</f>
        <v>0</v>
      </c>
      <c r="V598" s="55">
        <f>VLOOKUP($E598,'NI-San_SP'!$C:$AN,MID(V$1,1,2),FALSE)</f>
        <v>0</v>
      </c>
      <c r="W598" s="55">
        <f>VLOOKUP($E598,'NI-San_SP'!$C:$AN,MID(W$1,1,2),FALSE)</f>
        <v>0</v>
      </c>
      <c r="X598" s="55">
        <f>VLOOKUP($E598,'NI-San_SP'!$C:$AN,MID(X$1,1,2),FALSE)</f>
        <v>0</v>
      </c>
      <c r="Y598" s="55">
        <f>VLOOKUP($E598,'NI-San_SP'!$C:$AN,MID(Y$1,1,2),FALSE)</f>
        <v>0</v>
      </c>
      <c r="Z598" s="55">
        <f>VLOOKUP($E598,'NI-San_SP'!$C:$AN,MID(Z$1,1,2),FALSE)</f>
        <v>0</v>
      </c>
      <c r="AA598" s="55">
        <f>VLOOKUP($E598,'NI-San_SP'!$C:$AN,MID(AA$1,1,2),FALSE)</f>
        <v>0</v>
      </c>
      <c r="AB598" s="55">
        <f>VLOOKUP($E598,'NI-San_SP'!$C:$AN,MID(AB$1,1,2),FALSE)</f>
        <v>0</v>
      </c>
      <c r="AC598" s="55">
        <f>VLOOKUP($E598,'NI-San_SP'!$C:$AN,MID(AC$1,1,2),FALSE)</f>
        <v>0</v>
      </c>
      <c r="AD598" s="55">
        <f>VLOOKUP($E598,'NI-San_SP'!$C:$AN,MID(AD$1,1,2),FALSE)</f>
        <v>0</v>
      </c>
      <c r="AE598" s="55">
        <f>VLOOKUP($E598,'NI-San_SP'!$C:$AN,MID(AE$1,1,2),FALSE)</f>
        <v>0</v>
      </c>
      <c r="AF598" s="55">
        <f>VLOOKUP($E598,'NI-San_SP'!$C:$AN,MID(AF$1,1,2),FALSE)</f>
        <v>0</v>
      </c>
      <c r="AG598" s="55">
        <f>VLOOKUP($E598,'NI-San_SP'!$C:$AN,MID(AG$1,1,2),FALSE)</f>
        <v>0</v>
      </c>
      <c r="AH598" s="55">
        <f>VLOOKUP($E598,'NI-San_SP'!$C:$AN,MID(AH$1,1,2),FALSE)</f>
        <v>0</v>
      </c>
      <c r="AI598" s="55">
        <f>VLOOKUP($E598,'NI-San_SP'!$C:$AN,MID(AI$1,1,2),FALSE)</f>
        <v>0</v>
      </c>
      <c r="AJ598" s="55">
        <f>VLOOKUP($E598,'NI-San_SP'!$C:$AN,MID(AJ$1,1,2),FALSE)</f>
        <v>0</v>
      </c>
      <c r="AK598" s="55">
        <f>VLOOKUP($E598,'NI-San_SP'!$C:$AN,MID(AK$1,1,2),FALSE)</f>
        <v>0</v>
      </c>
      <c r="AL598" s="55">
        <f>VLOOKUP($E598,'NI-San_SP'!$C:$AN,MID(AL$1,1,2),FALSE)</f>
        <v>0</v>
      </c>
      <c r="AM598" s="56">
        <f>VLOOKUP($E598,'NI-San_SP'!$C:$AN,MID(AM$1,1,2),FALSE)</f>
        <v>0</v>
      </c>
      <c r="AN598" s="30" t="str">
        <f t="shared" si="9"/>
        <v>70204000000000</v>
      </c>
    </row>
    <row r="599" spans="1:40" x14ac:dyDescent="0.25">
      <c r="C599" s="40"/>
      <c r="D599" s="91" t="s">
        <v>2288</v>
      </c>
      <c r="E599" s="91" t="s">
        <v>2289</v>
      </c>
      <c r="F599" s="58" t="s">
        <v>110</v>
      </c>
      <c r="G599" s="52"/>
      <c r="H599" s="52"/>
      <c r="I599" s="52" t="s">
        <v>2290</v>
      </c>
      <c r="J599" s="52" t="s">
        <v>2290</v>
      </c>
      <c r="K599" s="59" t="s">
        <v>79</v>
      </c>
      <c r="L599" s="52"/>
      <c r="M599" s="52"/>
      <c r="N599" s="52"/>
      <c r="O599" s="52"/>
      <c r="P599" s="76" t="s">
        <v>2291</v>
      </c>
      <c r="Q599" s="55">
        <f>VLOOKUP(E599,'NI-San_SP'!$C:$AN,12,FALSE)</f>
        <v>0</v>
      </c>
      <c r="R599" s="55">
        <f>VLOOKUP(E599,'NI-San_SP'!$C:$AN,13,FALSE)</f>
        <v>1148</v>
      </c>
      <c r="S599" s="55">
        <f>VLOOKUP(E599,'NI-San_SP'!$C:$AN,30,FALSE)</f>
        <v>0</v>
      </c>
      <c r="T599" s="94">
        <f>VLOOKUP(E599,'NI-San_SP'!$C:$AN,31,FALSE)+VLOOKUP(E599,'NI-San_SP'!$C:$AN,32,FALSE)</f>
        <v>1148</v>
      </c>
      <c r="U599" s="55">
        <f>VLOOKUP($E599,'NI-San_SP'!$C:$AN,MID(U$1,1,2),FALSE)</f>
        <v>0</v>
      </c>
      <c r="V599" s="55">
        <f>VLOOKUP($E599,'NI-San_SP'!$C:$AN,MID(V$1,1,2),FALSE)</f>
        <v>0</v>
      </c>
      <c r="W599" s="55">
        <f>VLOOKUP($E599,'NI-San_SP'!$C:$AN,MID(W$1,1,2),FALSE)</f>
        <v>0</v>
      </c>
      <c r="X599" s="55">
        <f>VLOOKUP($E599,'NI-San_SP'!$C:$AN,MID(X$1,1,2),FALSE)</f>
        <v>0</v>
      </c>
      <c r="Y599" s="55">
        <f>VLOOKUP($E599,'NI-San_SP'!$C:$AN,MID(Y$1,1,2),FALSE)</f>
        <v>0</v>
      </c>
      <c r="Z599" s="55">
        <f>VLOOKUP($E599,'NI-San_SP'!$C:$AN,MID(Z$1,1,2),FALSE)</f>
        <v>12903</v>
      </c>
      <c r="AA599" s="55">
        <f>VLOOKUP($E599,'NI-San_SP'!$C:$AN,MID(AA$1,1,2),FALSE)</f>
        <v>0</v>
      </c>
      <c r="AB599" s="55">
        <f>VLOOKUP($E599,'NI-San_SP'!$C:$AN,MID(AB$1,1,2),FALSE)</f>
        <v>0</v>
      </c>
      <c r="AC599" s="55">
        <f>VLOOKUP($E599,'NI-San_SP'!$C:$AN,MID(AC$1,1,2),FALSE)</f>
        <v>11755</v>
      </c>
      <c r="AD599" s="55">
        <f>VLOOKUP($E599,'NI-San_SP'!$C:$AN,MID(AD$1,1,2),FALSE)</f>
        <v>1148</v>
      </c>
      <c r="AE599" s="55">
        <f>VLOOKUP($E599,'NI-San_SP'!$C:$AN,MID(AE$1,1,2),FALSE)</f>
        <v>0</v>
      </c>
      <c r="AF599" s="55">
        <f>VLOOKUP($E599,'NI-San_SP'!$C:$AN,MID(AF$1,1,2),FALSE)</f>
        <v>0</v>
      </c>
      <c r="AG599" s="55">
        <f>VLOOKUP($E599,'NI-San_SP'!$C:$AN,MID(AG$1,1,2),FALSE)</f>
        <v>0</v>
      </c>
      <c r="AH599" s="55">
        <f>VLOOKUP($E599,'NI-San_SP'!$C:$AN,MID(AH$1,1,2),FALSE)</f>
        <v>0</v>
      </c>
      <c r="AI599" s="55">
        <f>VLOOKUP($E599,'NI-San_SP'!$C:$AN,MID(AI$1,1,2),FALSE)</f>
        <v>0</v>
      </c>
      <c r="AJ599" s="55">
        <f>VLOOKUP($E599,'NI-San_SP'!$C:$AN,MID(AJ$1,1,2),FALSE)</f>
        <v>0</v>
      </c>
      <c r="AK599" s="55">
        <f>VLOOKUP($E599,'NI-San_SP'!$C:$AN,MID(AK$1,1,2),FALSE)</f>
        <v>1148</v>
      </c>
      <c r="AL599" s="55">
        <f>VLOOKUP($E599,'NI-San_SP'!$C:$AN,MID(AL$1,1,2),FALSE)</f>
        <v>0</v>
      </c>
      <c r="AM599" s="56">
        <f>VLOOKUP($E599,'NI-San_SP'!$C:$AN,MID(AM$1,1,2),FALSE)</f>
        <v>1148</v>
      </c>
      <c r="AN599" s="30" t="str">
        <f t="shared" si="9"/>
        <v>70205000000000</v>
      </c>
    </row>
    <row r="600" spans="1:40" x14ac:dyDescent="0.25">
      <c r="C600" s="40"/>
      <c r="D600" s="57" t="s">
        <v>2292</v>
      </c>
      <c r="E600" s="57" t="s">
        <v>2293</v>
      </c>
      <c r="F600" s="58" t="s">
        <v>110</v>
      </c>
      <c r="G600" s="52" t="s">
        <v>1439</v>
      </c>
      <c r="H600" s="52"/>
      <c r="I600" s="52"/>
      <c r="J600" s="52"/>
      <c r="K600" s="59" t="s">
        <v>111</v>
      </c>
      <c r="L600" s="62" t="s">
        <v>2294</v>
      </c>
      <c r="M600" s="52" t="s">
        <v>2269</v>
      </c>
      <c r="N600" s="52"/>
      <c r="O600" s="61" t="s">
        <v>2295</v>
      </c>
      <c r="P600" s="76" t="s">
        <v>2296</v>
      </c>
      <c r="Q600" s="55">
        <f>VLOOKUP(E600,'NI-San_SP'!$C:$AN,12,FALSE)</f>
        <v>18076651</v>
      </c>
      <c r="R600" s="55">
        <f>VLOOKUP(E600,'NI-San_SP'!$C:$AN,13,FALSE)</f>
        <v>18076651</v>
      </c>
      <c r="S600" s="55">
        <f>VLOOKUP(E600,'NI-San_SP'!$C:$AN,30,FALSE)</f>
        <v>0</v>
      </c>
      <c r="T600" s="55">
        <f>VLOOKUP(E600,'NI-San_SP'!$C:$AN,31,FALSE)+VLOOKUP(E600,'NI-San_SP'!$C:$AN,32,FALSE)</f>
        <v>36153302</v>
      </c>
      <c r="U600" s="55">
        <f>VLOOKUP($E600,'NI-San_SP'!$C:$AN,MID(U$1,1,2),FALSE)</f>
        <v>0</v>
      </c>
      <c r="V600" s="55">
        <f>VLOOKUP($E600,'NI-San_SP'!$C:$AN,MID(V$1,1,2),FALSE)</f>
        <v>18076651</v>
      </c>
      <c r="W600" s="55">
        <f>VLOOKUP($E600,'NI-San_SP'!$C:$AN,MID(W$1,1,2),FALSE)</f>
        <v>0</v>
      </c>
      <c r="X600" s="55">
        <f>VLOOKUP($E600,'NI-San_SP'!$C:$AN,MID(X$1,1,2),FALSE)</f>
        <v>0</v>
      </c>
      <c r="Y600" s="55">
        <f>VLOOKUP($E600,'NI-San_SP'!$C:$AN,MID(Y$1,1,2),FALSE)</f>
        <v>0</v>
      </c>
      <c r="Z600" s="55">
        <f>VLOOKUP($E600,'NI-San_SP'!$C:$AN,MID(Z$1,1,2),FALSE)</f>
        <v>2000</v>
      </c>
      <c r="AA600" s="55">
        <f>VLOOKUP($E600,'NI-San_SP'!$C:$AN,MID(AA$1,1,2),FALSE)</f>
        <v>0</v>
      </c>
      <c r="AB600" s="55">
        <f>VLOOKUP($E600,'NI-San_SP'!$C:$AN,MID(AB$1,1,2),FALSE)</f>
        <v>0</v>
      </c>
      <c r="AC600" s="55">
        <f>VLOOKUP($E600,'NI-San_SP'!$C:$AN,MID(AC$1,1,2),FALSE)</f>
        <v>2000</v>
      </c>
      <c r="AD600" s="55">
        <f>VLOOKUP($E600,'NI-San_SP'!$C:$AN,MID(AD$1,1,2),FALSE)</f>
        <v>18076651</v>
      </c>
      <c r="AE600" s="55">
        <f>VLOOKUP($E600,'NI-San_SP'!$C:$AN,MID(AE$1,1,2),FALSE)</f>
        <v>0</v>
      </c>
      <c r="AF600" s="55">
        <f>VLOOKUP($E600,'NI-San_SP'!$C:$AN,MID(AF$1,1,2),FALSE)</f>
        <v>0</v>
      </c>
      <c r="AG600" s="55">
        <f>VLOOKUP($E600,'NI-San_SP'!$C:$AN,MID(AG$1,1,2),FALSE)</f>
        <v>0</v>
      </c>
      <c r="AH600" s="55">
        <f>VLOOKUP($E600,'NI-San_SP'!$C:$AN,MID(AH$1,1,2),FALSE)</f>
        <v>0</v>
      </c>
      <c r="AI600" s="55">
        <f>VLOOKUP($E600,'NI-San_SP'!$C:$AN,MID(AI$1,1,2),FALSE)</f>
        <v>0</v>
      </c>
      <c r="AJ600" s="55">
        <f>VLOOKUP($E600,'NI-San_SP'!$C:$AN,MID(AJ$1,1,2),FALSE)</f>
        <v>0</v>
      </c>
      <c r="AK600" s="55">
        <f>VLOOKUP($E600,'NI-San_SP'!$C:$AN,MID(AK$1,1,2),FALSE)</f>
        <v>18076651</v>
      </c>
      <c r="AL600" s="55">
        <f>VLOOKUP($E600,'NI-San_SP'!$C:$AN,MID(AL$1,1,2),FALSE)</f>
        <v>18076651</v>
      </c>
      <c r="AM600" s="56">
        <f>VLOOKUP($E600,'NI-San_SP'!$C:$AN,MID(AM$1,1,2),FALSE)</f>
        <v>0</v>
      </c>
      <c r="AN600" s="30" t="str">
        <f t="shared" si="9"/>
        <v>70300000000000</v>
      </c>
    </row>
    <row r="601" spans="1:40" x14ac:dyDescent="0.25">
      <c r="C601" s="40"/>
      <c r="D601" s="91" t="s">
        <v>2297</v>
      </c>
      <c r="E601" s="91" t="s">
        <v>2298</v>
      </c>
      <c r="F601" s="58" t="s">
        <v>110</v>
      </c>
      <c r="G601" s="52" t="s">
        <v>1439</v>
      </c>
      <c r="H601" s="52"/>
      <c r="I601" s="52" t="s">
        <v>2299</v>
      </c>
      <c r="J601" s="52" t="s">
        <v>2299</v>
      </c>
      <c r="K601" s="59" t="s">
        <v>79</v>
      </c>
      <c r="L601" s="52"/>
      <c r="M601" s="52"/>
      <c r="N601" s="52"/>
      <c r="O601" s="52"/>
      <c r="P601" s="76" t="s">
        <v>2300</v>
      </c>
      <c r="Q601" s="55">
        <f>VLOOKUP(E601,'NI-San_SP'!$C:$AN,12,FALSE)</f>
        <v>0</v>
      </c>
      <c r="R601" s="55">
        <f>VLOOKUP(E601,'NI-San_SP'!$C:$AN,13,FALSE)</f>
        <v>0</v>
      </c>
      <c r="S601" s="55">
        <f>VLOOKUP(E601,'NI-San_SP'!$C:$AN,30,FALSE)</f>
        <v>0</v>
      </c>
      <c r="T601" s="94">
        <f>VLOOKUP(E601,'NI-San_SP'!$C:$AN,31,FALSE)+VLOOKUP(E601,'NI-San_SP'!$C:$AN,32,FALSE)</f>
        <v>0</v>
      </c>
      <c r="U601" s="55">
        <f>VLOOKUP($E601,'NI-San_SP'!$C:$AN,MID(U$1,1,2),FALSE)</f>
        <v>0</v>
      </c>
      <c r="V601" s="55">
        <f>VLOOKUP($E601,'NI-San_SP'!$C:$AN,MID(V$1,1,2),FALSE)</f>
        <v>0</v>
      </c>
      <c r="W601" s="55">
        <f>VLOOKUP($E601,'NI-San_SP'!$C:$AN,MID(W$1,1,2),FALSE)</f>
        <v>0</v>
      </c>
      <c r="X601" s="55">
        <f>VLOOKUP($E601,'NI-San_SP'!$C:$AN,MID(X$1,1,2),FALSE)</f>
        <v>0</v>
      </c>
      <c r="Y601" s="55">
        <f>VLOOKUP($E601,'NI-San_SP'!$C:$AN,MID(Y$1,1,2),FALSE)</f>
        <v>0</v>
      </c>
      <c r="Z601" s="55">
        <f>VLOOKUP($E601,'NI-San_SP'!$C:$AN,MID(Z$1,1,2),FALSE)</f>
        <v>0</v>
      </c>
      <c r="AA601" s="55">
        <f>VLOOKUP($E601,'NI-San_SP'!$C:$AN,MID(AA$1,1,2),FALSE)</f>
        <v>0</v>
      </c>
      <c r="AB601" s="55">
        <f>VLOOKUP($E601,'NI-San_SP'!$C:$AN,MID(AB$1,1,2),FALSE)</f>
        <v>0</v>
      </c>
      <c r="AC601" s="55">
        <f>VLOOKUP($E601,'NI-San_SP'!$C:$AN,MID(AC$1,1,2),FALSE)</f>
        <v>0</v>
      </c>
      <c r="AD601" s="55">
        <f>VLOOKUP($E601,'NI-San_SP'!$C:$AN,MID(AD$1,1,2),FALSE)</f>
        <v>0</v>
      </c>
      <c r="AE601" s="55">
        <f>VLOOKUP($E601,'NI-San_SP'!$C:$AN,MID(AE$1,1,2),FALSE)</f>
        <v>0</v>
      </c>
      <c r="AF601" s="55">
        <f>VLOOKUP($E601,'NI-San_SP'!$C:$AN,MID(AF$1,1,2),FALSE)</f>
        <v>0</v>
      </c>
      <c r="AG601" s="55">
        <f>VLOOKUP($E601,'NI-San_SP'!$C:$AN,MID(AG$1,1,2),FALSE)</f>
        <v>0</v>
      </c>
      <c r="AH601" s="55">
        <f>VLOOKUP($E601,'NI-San_SP'!$C:$AN,MID(AH$1,1,2),FALSE)</f>
        <v>0</v>
      </c>
      <c r="AI601" s="55">
        <f>VLOOKUP($E601,'NI-San_SP'!$C:$AN,MID(AI$1,1,2),FALSE)</f>
        <v>0</v>
      </c>
      <c r="AJ601" s="55">
        <f>VLOOKUP($E601,'NI-San_SP'!$C:$AN,MID(AJ$1,1,2),FALSE)</f>
        <v>0</v>
      </c>
      <c r="AK601" s="55">
        <f>VLOOKUP($E601,'NI-San_SP'!$C:$AN,MID(AK$1,1,2),FALSE)</f>
        <v>0</v>
      </c>
      <c r="AL601" s="55">
        <f>VLOOKUP($E601,'NI-San_SP'!$C:$AN,MID(AL$1,1,2),FALSE)</f>
        <v>0</v>
      </c>
      <c r="AM601" s="56">
        <f>VLOOKUP($E601,'NI-San_SP'!$C:$AN,MID(AM$1,1,2),FALSE)</f>
        <v>0</v>
      </c>
      <c r="AN601" s="30" t="str">
        <f t="shared" si="9"/>
        <v>70301000000000</v>
      </c>
    </row>
    <row r="602" spans="1:40" x14ac:dyDescent="0.25">
      <c r="A602" s="30" t="s">
        <v>1394</v>
      </c>
      <c r="C602" s="40"/>
      <c r="D602" s="87" t="s">
        <v>2301</v>
      </c>
      <c r="E602" s="87" t="s">
        <v>2302</v>
      </c>
      <c r="F602" s="58" t="s">
        <v>110</v>
      </c>
      <c r="H602" s="52"/>
      <c r="I602" s="52"/>
      <c r="J602" s="52" t="s">
        <v>2303</v>
      </c>
      <c r="K602" s="59" t="s">
        <v>79</v>
      </c>
      <c r="L602" s="52"/>
      <c r="M602" s="52"/>
      <c r="N602" s="52"/>
      <c r="O602" s="52"/>
      <c r="P602" s="95" t="s">
        <v>2304</v>
      </c>
      <c r="Q602" s="55">
        <f>VLOOKUP(E602,'NI-San_SP'!$C:$AN,12,FALSE)</f>
        <v>0</v>
      </c>
      <c r="R602" s="55">
        <f>VLOOKUP(E602,'NI-San_SP'!$C:$AN,13,FALSE)</f>
        <v>0</v>
      </c>
      <c r="S602" s="55">
        <f>VLOOKUP(E602,'NI-San_SP'!$C:$AN,30,FALSE)</f>
        <v>0</v>
      </c>
      <c r="T602" s="94">
        <f>VLOOKUP(E602,'NI-San_SP'!$C:$AN,31,FALSE)+VLOOKUP(E602,'NI-San_SP'!$C:$AN,32,FALSE)</f>
        <v>0</v>
      </c>
      <c r="U602" s="55">
        <f>VLOOKUP($E602,'NI-San_SP'!$C:$AN,MID(U$1,1,2),FALSE)</f>
        <v>0</v>
      </c>
      <c r="V602" s="55">
        <f>VLOOKUP($E602,'NI-San_SP'!$C:$AN,MID(V$1,1,2),FALSE)</f>
        <v>0</v>
      </c>
      <c r="W602" s="55">
        <f>VLOOKUP($E602,'NI-San_SP'!$C:$AN,MID(W$1,1,2),FALSE)</f>
        <v>0</v>
      </c>
      <c r="X602" s="55">
        <f>VLOOKUP($E602,'NI-San_SP'!$C:$AN,MID(X$1,1,2),FALSE)</f>
        <v>0</v>
      </c>
      <c r="Y602" s="55">
        <f>VLOOKUP($E602,'NI-San_SP'!$C:$AN,MID(Y$1,1,2),FALSE)</f>
        <v>0</v>
      </c>
      <c r="Z602" s="55">
        <f>VLOOKUP($E602,'NI-San_SP'!$C:$AN,MID(Z$1,1,2),FALSE)</f>
        <v>0</v>
      </c>
      <c r="AA602" s="55">
        <f>VLOOKUP($E602,'NI-San_SP'!$C:$AN,MID(AA$1,1,2),FALSE)</f>
        <v>0</v>
      </c>
      <c r="AB602" s="55">
        <f>VLOOKUP($E602,'NI-San_SP'!$C:$AN,MID(AB$1,1,2),FALSE)</f>
        <v>0</v>
      </c>
      <c r="AC602" s="55">
        <f>VLOOKUP($E602,'NI-San_SP'!$C:$AN,MID(AC$1,1,2),FALSE)</f>
        <v>0</v>
      </c>
      <c r="AD602" s="55">
        <f>VLOOKUP($E602,'NI-San_SP'!$C:$AN,MID(AD$1,1,2),FALSE)</f>
        <v>0</v>
      </c>
      <c r="AE602" s="55">
        <f>VLOOKUP($E602,'NI-San_SP'!$C:$AN,MID(AE$1,1,2),FALSE)</f>
        <v>0</v>
      </c>
      <c r="AF602" s="55">
        <f>VLOOKUP($E602,'NI-San_SP'!$C:$AN,MID(AF$1,1,2),FALSE)</f>
        <v>0</v>
      </c>
      <c r="AG602" s="55">
        <f>VLOOKUP($E602,'NI-San_SP'!$C:$AN,MID(AG$1,1,2),FALSE)</f>
        <v>0</v>
      </c>
      <c r="AH602" s="55">
        <f>VLOOKUP($E602,'NI-San_SP'!$C:$AN,MID(AH$1,1,2),FALSE)</f>
        <v>0</v>
      </c>
      <c r="AI602" s="55">
        <f>VLOOKUP($E602,'NI-San_SP'!$C:$AN,MID(AI$1,1,2),FALSE)</f>
        <v>0</v>
      </c>
      <c r="AJ602" s="55">
        <f>VLOOKUP($E602,'NI-San_SP'!$C:$AN,MID(AJ$1,1,2),FALSE)</f>
        <v>0</v>
      </c>
      <c r="AK602" s="55">
        <f>VLOOKUP($E602,'NI-San_SP'!$C:$AN,MID(AK$1,1,2),FALSE)</f>
        <v>0</v>
      </c>
      <c r="AL602" s="55">
        <f>VLOOKUP($E602,'NI-San_SP'!$C:$AN,MID(AL$1,1,2),FALSE)</f>
        <v>0</v>
      </c>
      <c r="AM602" s="56">
        <f>VLOOKUP($E602,'NI-San_SP'!$C:$AN,MID(AM$1,1,2),FALSE)</f>
        <v>0</v>
      </c>
      <c r="AN602" s="30" t="str">
        <f t="shared" si="9"/>
        <v>70302000000000</v>
      </c>
    </row>
    <row r="603" spans="1:40" x14ac:dyDescent="0.25">
      <c r="C603" s="40"/>
      <c r="D603" s="91" t="s">
        <v>2305</v>
      </c>
      <c r="E603" s="91" t="s">
        <v>2306</v>
      </c>
      <c r="F603" s="58" t="s">
        <v>110</v>
      </c>
      <c r="G603" s="52" t="s">
        <v>1439</v>
      </c>
      <c r="H603" s="52"/>
      <c r="I603" s="52" t="s">
        <v>2307</v>
      </c>
      <c r="J603" s="52" t="s">
        <v>2307</v>
      </c>
      <c r="K603" s="59" t="s">
        <v>79</v>
      </c>
      <c r="L603" s="52"/>
      <c r="M603" s="52"/>
      <c r="N603" s="52"/>
      <c r="O603" s="52"/>
      <c r="P603" s="76" t="s">
        <v>2308</v>
      </c>
      <c r="Q603" s="55">
        <f>VLOOKUP(E603,'NI-San_SP'!$C:$AN,12,FALSE)</f>
        <v>0</v>
      </c>
      <c r="R603" s="55">
        <f>VLOOKUP(E603,'NI-San_SP'!$C:$AN,13,FALSE)</f>
        <v>0</v>
      </c>
      <c r="S603" s="55">
        <f>VLOOKUP(E603,'NI-San_SP'!$C:$AN,30,FALSE)</f>
        <v>0</v>
      </c>
      <c r="T603" s="94">
        <f>VLOOKUP(E603,'NI-San_SP'!$C:$AN,31,FALSE)+VLOOKUP(E603,'NI-San_SP'!$C:$AN,32,FALSE)</f>
        <v>0</v>
      </c>
      <c r="U603" s="55">
        <f>VLOOKUP($E603,'NI-San_SP'!$C:$AN,MID(U$1,1,2),FALSE)</f>
        <v>0</v>
      </c>
      <c r="V603" s="55">
        <f>VLOOKUP($E603,'NI-San_SP'!$C:$AN,MID(V$1,1,2),FALSE)</f>
        <v>0</v>
      </c>
      <c r="W603" s="55">
        <f>VLOOKUP($E603,'NI-San_SP'!$C:$AN,MID(W$1,1,2),FALSE)</f>
        <v>0</v>
      </c>
      <c r="X603" s="55">
        <f>VLOOKUP($E603,'NI-San_SP'!$C:$AN,MID(X$1,1,2),FALSE)</f>
        <v>0</v>
      </c>
      <c r="Y603" s="55">
        <f>VLOOKUP($E603,'NI-San_SP'!$C:$AN,MID(Y$1,1,2),FALSE)</f>
        <v>0</v>
      </c>
      <c r="Z603" s="55">
        <f>VLOOKUP($E603,'NI-San_SP'!$C:$AN,MID(Z$1,1,2),FALSE)</f>
        <v>0</v>
      </c>
      <c r="AA603" s="55">
        <f>VLOOKUP($E603,'NI-San_SP'!$C:$AN,MID(AA$1,1,2),FALSE)</f>
        <v>0</v>
      </c>
      <c r="AB603" s="55">
        <f>VLOOKUP($E603,'NI-San_SP'!$C:$AN,MID(AB$1,1,2),FALSE)</f>
        <v>0</v>
      </c>
      <c r="AC603" s="55">
        <f>VLOOKUP($E603,'NI-San_SP'!$C:$AN,MID(AC$1,1,2),FALSE)</f>
        <v>0</v>
      </c>
      <c r="AD603" s="55">
        <f>VLOOKUP($E603,'NI-San_SP'!$C:$AN,MID(AD$1,1,2),FALSE)</f>
        <v>0</v>
      </c>
      <c r="AE603" s="55">
        <f>VLOOKUP($E603,'NI-San_SP'!$C:$AN,MID(AE$1,1,2),FALSE)</f>
        <v>0</v>
      </c>
      <c r="AF603" s="55">
        <f>VLOOKUP($E603,'NI-San_SP'!$C:$AN,MID(AF$1,1,2),FALSE)</f>
        <v>0</v>
      </c>
      <c r="AG603" s="55">
        <f>VLOOKUP($E603,'NI-San_SP'!$C:$AN,MID(AG$1,1,2),FALSE)</f>
        <v>0</v>
      </c>
      <c r="AH603" s="55">
        <f>VLOOKUP($E603,'NI-San_SP'!$C:$AN,MID(AH$1,1,2),FALSE)</f>
        <v>0</v>
      </c>
      <c r="AI603" s="55">
        <f>VLOOKUP($E603,'NI-San_SP'!$C:$AN,MID(AI$1,1,2),FALSE)</f>
        <v>0</v>
      </c>
      <c r="AJ603" s="55">
        <f>VLOOKUP($E603,'NI-San_SP'!$C:$AN,MID(AJ$1,1,2),FALSE)</f>
        <v>0</v>
      </c>
      <c r="AK603" s="55">
        <f>VLOOKUP($E603,'NI-San_SP'!$C:$AN,MID(AK$1,1,2),FALSE)</f>
        <v>0</v>
      </c>
      <c r="AL603" s="55">
        <f>VLOOKUP($E603,'NI-San_SP'!$C:$AN,MID(AL$1,1,2),FALSE)</f>
        <v>0</v>
      </c>
      <c r="AM603" s="56">
        <f>VLOOKUP($E603,'NI-San_SP'!$C:$AN,MID(AM$1,1,2),FALSE)</f>
        <v>0</v>
      </c>
      <c r="AN603" s="30" t="str">
        <f t="shared" si="9"/>
        <v>70303000000000</v>
      </c>
    </row>
    <row r="604" spans="1:40" x14ac:dyDescent="0.25">
      <c r="C604" s="40"/>
      <c r="D604" s="91" t="s">
        <v>2309</v>
      </c>
      <c r="E604" s="91" t="s">
        <v>2310</v>
      </c>
      <c r="F604" s="58" t="s">
        <v>110</v>
      </c>
      <c r="G604" s="52" t="s">
        <v>1439</v>
      </c>
      <c r="H604" s="52"/>
      <c r="I604" s="52" t="s">
        <v>2311</v>
      </c>
      <c r="J604" s="52" t="s">
        <v>2311</v>
      </c>
      <c r="K604" s="59" t="s">
        <v>79</v>
      </c>
      <c r="L604" s="52"/>
      <c r="M604" s="52"/>
      <c r="N604" s="52"/>
      <c r="O604" s="52"/>
      <c r="P604" s="76" t="s">
        <v>2312</v>
      </c>
      <c r="Q604" s="55">
        <f>VLOOKUP(E604,'NI-San_SP'!$C:$AN,12,FALSE)</f>
        <v>0</v>
      </c>
      <c r="R604" s="55">
        <f>VLOOKUP(E604,'NI-San_SP'!$C:$AN,13,FALSE)</f>
        <v>0</v>
      </c>
      <c r="S604" s="55">
        <f>VLOOKUP(E604,'NI-San_SP'!$C:$AN,30,FALSE)</f>
        <v>0</v>
      </c>
      <c r="T604" s="94">
        <f>VLOOKUP(E604,'NI-San_SP'!$C:$AN,31,FALSE)+VLOOKUP(E604,'NI-San_SP'!$C:$AN,32,FALSE)</f>
        <v>0</v>
      </c>
      <c r="U604" s="55">
        <f>VLOOKUP($E604,'NI-San_SP'!$C:$AN,MID(U$1,1,2),FALSE)</f>
        <v>0</v>
      </c>
      <c r="V604" s="55">
        <f>VLOOKUP($E604,'NI-San_SP'!$C:$AN,MID(V$1,1,2),FALSE)</f>
        <v>0</v>
      </c>
      <c r="W604" s="55">
        <f>VLOOKUP($E604,'NI-San_SP'!$C:$AN,MID(W$1,1,2),FALSE)</f>
        <v>0</v>
      </c>
      <c r="X604" s="55">
        <f>VLOOKUP($E604,'NI-San_SP'!$C:$AN,MID(X$1,1,2),FALSE)</f>
        <v>0</v>
      </c>
      <c r="Y604" s="55">
        <f>VLOOKUP($E604,'NI-San_SP'!$C:$AN,MID(Y$1,1,2),FALSE)</f>
        <v>0</v>
      </c>
      <c r="Z604" s="55">
        <f>VLOOKUP($E604,'NI-San_SP'!$C:$AN,MID(Z$1,1,2),FALSE)</f>
        <v>0</v>
      </c>
      <c r="AA604" s="55">
        <f>VLOOKUP($E604,'NI-San_SP'!$C:$AN,MID(AA$1,1,2),FALSE)</f>
        <v>0</v>
      </c>
      <c r="AB604" s="55">
        <f>VLOOKUP($E604,'NI-San_SP'!$C:$AN,MID(AB$1,1,2),FALSE)</f>
        <v>0</v>
      </c>
      <c r="AC604" s="55">
        <f>VLOOKUP($E604,'NI-San_SP'!$C:$AN,MID(AC$1,1,2),FALSE)</f>
        <v>0</v>
      </c>
      <c r="AD604" s="55">
        <f>VLOOKUP($E604,'NI-San_SP'!$C:$AN,MID(AD$1,1,2),FALSE)</f>
        <v>0</v>
      </c>
      <c r="AE604" s="55">
        <f>VLOOKUP($E604,'NI-San_SP'!$C:$AN,MID(AE$1,1,2),FALSE)</f>
        <v>0</v>
      </c>
      <c r="AF604" s="55">
        <f>VLOOKUP($E604,'NI-San_SP'!$C:$AN,MID(AF$1,1,2),FALSE)</f>
        <v>0</v>
      </c>
      <c r="AG604" s="55">
        <f>VLOOKUP($E604,'NI-San_SP'!$C:$AN,MID(AG$1,1,2),FALSE)</f>
        <v>0</v>
      </c>
      <c r="AH604" s="55">
        <f>VLOOKUP($E604,'NI-San_SP'!$C:$AN,MID(AH$1,1,2),FALSE)</f>
        <v>0</v>
      </c>
      <c r="AI604" s="55">
        <f>VLOOKUP($E604,'NI-San_SP'!$C:$AN,MID(AI$1,1,2),FALSE)</f>
        <v>0</v>
      </c>
      <c r="AJ604" s="55">
        <f>VLOOKUP($E604,'NI-San_SP'!$C:$AN,MID(AJ$1,1,2),FALSE)</f>
        <v>0</v>
      </c>
      <c r="AK604" s="55">
        <f>VLOOKUP($E604,'NI-San_SP'!$C:$AN,MID(AK$1,1,2),FALSE)</f>
        <v>0</v>
      </c>
      <c r="AL604" s="55">
        <f>VLOOKUP($E604,'NI-San_SP'!$C:$AN,MID(AL$1,1,2),FALSE)</f>
        <v>0</v>
      </c>
      <c r="AM604" s="56">
        <f>VLOOKUP($E604,'NI-San_SP'!$C:$AN,MID(AM$1,1,2),FALSE)</f>
        <v>0</v>
      </c>
      <c r="AN604" s="30" t="str">
        <f t="shared" si="9"/>
        <v>70304000000000</v>
      </c>
    </row>
    <row r="605" spans="1:40" x14ac:dyDescent="0.25">
      <c r="A605" s="30" t="s">
        <v>1394</v>
      </c>
      <c r="C605" s="40"/>
      <c r="D605" s="87" t="s">
        <v>2313</v>
      </c>
      <c r="E605" s="87" t="s">
        <v>2314</v>
      </c>
      <c r="F605" s="58" t="s">
        <v>110</v>
      </c>
      <c r="H605" s="52"/>
      <c r="I605" s="52"/>
      <c r="J605" s="52" t="s">
        <v>2315</v>
      </c>
      <c r="K605" s="59" t="s">
        <v>79</v>
      </c>
      <c r="L605" s="52"/>
      <c r="M605" s="52"/>
      <c r="N605" s="52"/>
      <c r="O605" s="52"/>
      <c r="P605" s="95" t="s">
        <v>2316</v>
      </c>
      <c r="Q605" s="55">
        <f>VLOOKUP(E605,'NI-San_SP'!$C:$AN,12,FALSE)</f>
        <v>0</v>
      </c>
      <c r="R605" s="55">
        <f>VLOOKUP(E605,'NI-San_SP'!$C:$AN,13,FALSE)</f>
        <v>0</v>
      </c>
      <c r="S605" s="55">
        <f>VLOOKUP(E605,'NI-San_SP'!$C:$AN,30,FALSE)</f>
        <v>0</v>
      </c>
      <c r="T605" s="94">
        <f>VLOOKUP(E605,'NI-San_SP'!$C:$AN,31,FALSE)+VLOOKUP(E605,'NI-San_SP'!$C:$AN,32,FALSE)</f>
        <v>0</v>
      </c>
      <c r="U605" s="55">
        <f>VLOOKUP($E605,'NI-San_SP'!$C:$AN,MID(U$1,1,2),FALSE)</f>
        <v>0</v>
      </c>
      <c r="V605" s="55">
        <f>VLOOKUP($E605,'NI-San_SP'!$C:$AN,MID(V$1,1,2),FALSE)</f>
        <v>0</v>
      </c>
      <c r="W605" s="55">
        <f>VLOOKUP($E605,'NI-San_SP'!$C:$AN,MID(W$1,1,2),FALSE)</f>
        <v>0</v>
      </c>
      <c r="X605" s="55">
        <f>VLOOKUP($E605,'NI-San_SP'!$C:$AN,MID(X$1,1,2),FALSE)</f>
        <v>0</v>
      </c>
      <c r="Y605" s="55">
        <f>VLOOKUP($E605,'NI-San_SP'!$C:$AN,MID(Y$1,1,2),FALSE)</f>
        <v>0</v>
      </c>
      <c r="Z605" s="55">
        <f>VLOOKUP($E605,'NI-San_SP'!$C:$AN,MID(Z$1,1,2),FALSE)</f>
        <v>0</v>
      </c>
      <c r="AA605" s="55">
        <f>VLOOKUP($E605,'NI-San_SP'!$C:$AN,MID(AA$1,1,2),FALSE)</f>
        <v>0</v>
      </c>
      <c r="AB605" s="55">
        <f>VLOOKUP($E605,'NI-San_SP'!$C:$AN,MID(AB$1,1,2),FALSE)</f>
        <v>0</v>
      </c>
      <c r="AC605" s="55">
        <f>VLOOKUP($E605,'NI-San_SP'!$C:$AN,MID(AC$1,1,2),FALSE)</f>
        <v>0</v>
      </c>
      <c r="AD605" s="55">
        <f>VLOOKUP($E605,'NI-San_SP'!$C:$AN,MID(AD$1,1,2),FALSE)</f>
        <v>0</v>
      </c>
      <c r="AE605" s="55">
        <f>VLOOKUP($E605,'NI-San_SP'!$C:$AN,MID(AE$1,1,2),FALSE)</f>
        <v>0</v>
      </c>
      <c r="AF605" s="55">
        <f>VLOOKUP($E605,'NI-San_SP'!$C:$AN,MID(AF$1,1,2),FALSE)</f>
        <v>0</v>
      </c>
      <c r="AG605" s="55">
        <f>VLOOKUP($E605,'NI-San_SP'!$C:$AN,MID(AG$1,1,2),FALSE)</f>
        <v>0</v>
      </c>
      <c r="AH605" s="55">
        <f>VLOOKUP($E605,'NI-San_SP'!$C:$AN,MID(AH$1,1,2),FALSE)</f>
        <v>0</v>
      </c>
      <c r="AI605" s="55">
        <f>VLOOKUP($E605,'NI-San_SP'!$C:$AN,MID(AI$1,1,2),FALSE)</f>
        <v>0</v>
      </c>
      <c r="AJ605" s="55">
        <f>VLOOKUP($E605,'NI-San_SP'!$C:$AN,MID(AJ$1,1,2),FALSE)</f>
        <v>0</v>
      </c>
      <c r="AK605" s="55">
        <f>VLOOKUP($E605,'NI-San_SP'!$C:$AN,MID(AK$1,1,2),FALSE)</f>
        <v>0</v>
      </c>
      <c r="AL605" s="55">
        <f>VLOOKUP($E605,'NI-San_SP'!$C:$AN,MID(AL$1,1,2),FALSE)</f>
        <v>0</v>
      </c>
      <c r="AM605" s="56">
        <f>VLOOKUP($E605,'NI-San_SP'!$C:$AN,MID(AM$1,1,2),FALSE)</f>
        <v>0</v>
      </c>
      <c r="AN605" s="30" t="str">
        <f t="shared" si="9"/>
        <v>70305000000000</v>
      </c>
    </row>
    <row r="606" spans="1:40" x14ac:dyDescent="0.25">
      <c r="C606" s="40"/>
      <c r="D606" s="91" t="s">
        <v>2317</v>
      </c>
      <c r="E606" s="91" t="s">
        <v>2318</v>
      </c>
      <c r="F606" s="58" t="s">
        <v>110</v>
      </c>
      <c r="G606" s="52" t="s">
        <v>1439</v>
      </c>
      <c r="H606" s="52"/>
      <c r="I606" s="52" t="s">
        <v>2319</v>
      </c>
      <c r="J606" s="52" t="s">
        <v>2319</v>
      </c>
      <c r="K606" s="59" t="s">
        <v>79</v>
      </c>
      <c r="L606" s="52"/>
      <c r="M606" s="52"/>
      <c r="N606" s="52"/>
      <c r="O606" s="52"/>
      <c r="P606" s="76" t="s">
        <v>2320</v>
      </c>
      <c r="Q606" s="55">
        <f>VLOOKUP(E606,'NI-San_SP'!$C:$AN,12,FALSE)</f>
        <v>18076651</v>
      </c>
      <c r="R606" s="55">
        <f>VLOOKUP(E606,'NI-San_SP'!$C:$AN,13,FALSE)</f>
        <v>18076651</v>
      </c>
      <c r="S606" s="55">
        <f>VLOOKUP(E606,'NI-San_SP'!$C:$AN,30,FALSE)</f>
        <v>0</v>
      </c>
      <c r="T606" s="94">
        <f>VLOOKUP(E606,'NI-San_SP'!$C:$AN,31,FALSE)+VLOOKUP(E606,'NI-San_SP'!$C:$AN,32,FALSE)</f>
        <v>36153302</v>
      </c>
      <c r="U606" s="55">
        <f>VLOOKUP($E606,'NI-San_SP'!$C:$AN,MID(U$1,1,2),FALSE)</f>
        <v>0</v>
      </c>
      <c r="V606" s="55">
        <f>VLOOKUP($E606,'NI-San_SP'!$C:$AN,MID(V$1,1,2),FALSE)</f>
        <v>18076651</v>
      </c>
      <c r="W606" s="55">
        <f>VLOOKUP($E606,'NI-San_SP'!$C:$AN,MID(W$1,1,2),FALSE)</f>
        <v>0</v>
      </c>
      <c r="X606" s="55">
        <f>VLOOKUP($E606,'NI-San_SP'!$C:$AN,MID(X$1,1,2),FALSE)</f>
        <v>0</v>
      </c>
      <c r="Y606" s="55">
        <f>VLOOKUP($E606,'NI-San_SP'!$C:$AN,MID(Y$1,1,2),FALSE)</f>
        <v>0</v>
      </c>
      <c r="Z606" s="55">
        <f>VLOOKUP($E606,'NI-San_SP'!$C:$AN,MID(Z$1,1,2),FALSE)</f>
        <v>0</v>
      </c>
      <c r="AA606" s="55">
        <f>VLOOKUP($E606,'NI-San_SP'!$C:$AN,MID(AA$1,1,2),FALSE)</f>
        <v>0</v>
      </c>
      <c r="AB606" s="55">
        <f>VLOOKUP($E606,'NI-San_SP'!$C:$AN,MID(AB$1,1,2),FALSE)</f>
        <v>0</v>
      </c>
      <c r="AC606" s="55">
        <f>VLOOKUP($E606,'NI-San_SP'!$C:$AN,MID(AC$1,1,2),FALSE)</f>
        <v>0</v>
      </c>
      <c r="AD606" s="55">
        <f>VLOOKUP($E606,'NI-San_SP'!$C:$AN,MID(AD$1,1,2),FALSE)</f>
        <v>18076651</v>
      </c>
      <c r="AE606" s="55">
        <f>VLOOKUP($E606,'NI-San_SP'!$C:$AN,MID(AE$1,1,2),FALSE)</f>
        <v>0</v>
      </c>
      <c r="AF606" s="55">
        <f>VLOOKUP($E606,'NI-San_SP'!$C:$AN,MID(AF$1,1,2),FALSE)</f>
        <v>0</v>
      </c>
      <c r="AG606" s="55">
        <f>VLOOKUP($E606,'NI-San_SP'!$C:$AN,MID(AG$1,1,2),FALSE)</f>
        <v>0</v>
      </c>
      <c r="AH606" s="55">
        <f>VLOOKUP($E606,'NI-San_SP'!$C:$AN,MID(AH$1,1,2),FALSE)</f>
        <v>0</v>
      </c>
      <c r="AI606" s="55">
        <f>VLOOKUP($E606,'NI-San_SP'!$C:$AN,MID(AI$1,1,2),FALSE)</f>
        <v>0</v>
      </c>
      <c r="AJ606" s="55">
        <f>VLOOKUP($E606,'NI-San_SP'!$C:$AN,MID(AJ$1,1,2),FALSE)</f>
        <v>0</v>
      </c>
      <c r="AK606" s="55">
        <f>VLOOKUP($E606,'NI-San_SP'!$C:$AN,MID(AK$1,1,2),FALSE)</f>
        <v>18076651</v>
      </c>
      <c r="AL606" s="55">
        <f>VLOOKUP($E606,'NI-San_SP'!$C:$AN,MID(AL$1,1,2),FALSE)</f>
        <v>18076651</v>
      </c>
      <c r="AM606" s="56">
        <f>VLOOKUP($E606,'NI-San_SP'!$C:$AN,MID(AM$1,1,2),FALSE)</f>
        <v>0</v>
      </c>
      <c r="AN606" s="30" t="str">
        <f t="shared" si="9"/>
        <v>70306000000000</v>
      </c>
    </row>
    <row r="607" spans="1:40" x14ac:dyDescent="0.25">
      <c r="A607" s="30" t="s">
        <v>1394</v>
      </c>
      <c r="C607" s="40"/>
      <c r="D607" s="87" t="s">
        <v>2321</v>
      </c>
      <c r="E607" s="87" t="s">
        <v>2322</v>
      </c>
      <c r="F607" s="58" t="s">
        <v>110</v>
      </c>
      <c r="H607" s="52"/>
      <c r="I607" s="52"/>
      <c r="J607" s="52" t="s">
        <v>2323</v>
      </c>
      <c r="K607" s="59" t="s">
        <v>79</v>
      </c>
      <c r="L607" s="52"/>
      <c r="M607" s="52"/>
      <c r="N607" s="52"/>
      <c r="O607" s="52"/>
      <c r="P607" s="95" t="s">
        <v>2324</v>
      </c>
      <c r="Q607" s="55">
        <f>VLOOKUP(E607,'NI-San_SP'!$C:$AN,12,FALSE)</f>
        <v>0</v>
      </c>
      <c r="R607" s="55">
        <f>VLOOKUP(E607,'NI-San_SP'!$C:$AN,13,FALSE)</f>
        <v>0</v>
      </c>
      <c r="S607" s="55">
        <f>VLOOKUP(E607,'NI-San_SP'!$C:$AN,30,FALSE)</f>
        <v>0</v>
      </c>
      <c r="T607" s="94">
        <f>VLOOKUP(E607,'NI-San_SP'!$C:$AN,31,FALSE)+VLOOKUP(E607,'NI-San_SP'!$C:$AN,32,FALSE)</f>
        <v>0</v>
      </c>
      <c r="U607" s="55">
        <f>VLOOKUP($E607,'NI-San_SP'!$C:$AN,MID(U$1,1,2),FALSE)</f>
        <v>0</v>
      </c>
      <c r="V607" s="55">
        <f>VLOOKUP($E607,'NI-San_SP'!$C:$AN,MID(V$1,1,2),FALSE)</f>
        <v>0</v>
      </c>
      <c r="W607" s="55">
        <f>VLOOKUP($E607,'NI-San_SP'!$C:$AN,MID(W$1,1,2),FALSE)</f>
        <v>0</v>
      </c>
      <c r="X607" s="55">
        <f>VLOOKUP($E607,'NI-San_SP'!$C:$AN,MID(X$1,1,2),FALSE)</f>
        <v>0</v>
      </c>
      <c r="Y607" s="55">
        <f>VLOOKUP($E607,'NI-San_SP'!$C:$AN,MID(Y$1,1,2),FALSE)</f>
        <v>0</v>
      </c>
      <c r="Z607" s="55">
        <f>VLOOKUP($E607,'NI-San_SP'!$C:$AN,MID(Z$1,1,2),FALSE)</f>
        <v>0</v>
      </c>
      <c r="AA607" s="55">
        <f>VLOOKUP($E607,'NI-San_SP'!$C:$AN,MID(AA$1,1,2),FALSE)</f>
        <v>0</v>
      </c>
      <c r="AB607" s="55">
        <f>VLOOKUP($E607,'NI-San_SP'!$C:$AN,MID(AB$1,1,2),FALSE)</f>
        <v>0</v>
      </c>
      <c r="AC607" s="55">
        <f>VLOOKUP($E607,'NI-San_SP'!$C:$AN,MID(AC$1,1,2),FALSE)</f>
        <v>0</v>
      </c>
      <c r="AD607" s="55">
        <f>VLOOKUP($E607,'NI-San_SP'!$C:$AN,MID(AD$1,1,2),FALSE)</f>
        <v>0</v>
      </c>
      <c r="AE607" s="55">
        <f>VLOOKUP($E607,'NI-San_SP'!$C:$AN,MID(AE$1,1,2),FALSE)</f>
        <v>0</v>
      </c>
      <c r="AF607" s="55">
        <f>VLOOKUP($E607,'NI-San_SP'!$C:$AN,MID(AF$1,1,2),FALSE)</f>
        <v>0</v>
      </c>
      <c r="AG607" s="55">
        <f>VLOOKUP($E607,'NI-San_SP'!$C:$AN,MID(AG$1,1,2),FALSE)</f>
        <v>0</v>
      </c>
      <c r="AH607" s="55">
        <f>VLOOKUP($E607,'NI-San_SP'!$C:$AN,MID(AH$1,1,2),FALSE)</f>
        <v>0</v>
      </c>
      <c r="AI607" s="55">
        <f>VLOOKUP($E607,'NI-San_SP'!$C:$AN,MID(AI$1,1,2),FALSE)</f>
        <v>0</v>
      </c>
      <c r="AJ607" s="55">
        <f>VLOOKUP($E607,'NI-San_SP'!$C:$AN,MID(AJ$1,1,2),FALSE)</f>
        <v>0</v>
      </c>
      <c r="AK607" s="55">
        <f>VLOOKUP($E607,'NI-San_SP'!$C:$AN,MID(AK$1,1,2),FALSE)</f>
        <v>0</v>
      </c>
      <c r="AL607" s="55">
        <f>VLOOKUP($E607,'NI-San_SP'!$C:$AN,MID(AL$1,1,2),FALSE)</f>
        <v>0</v>
      </c>
      <c r="AM607" s="56">
        <f>VLOOKUP($E607,'NI-San_SP'!$C:$AN,MID(AM$1,1,2),FALSE)</f>
        <v>0</v>
      </c>
      <c r="AN607" s="30" t="str">
        <f t="shared" si="9"/>
        <v>70307000000000</v>
      </c>
    </row>
    <row r="608" spans="1:40" x14ac:dyDescent="0.25">
      <c r="A608" s="30" t="s">
        <v>1394</v>
      </c>
      <c r="C608" s="40"/>
      <c r="D608" s="87" t="s">
        <v>2325</v>
      </c>
      <c r="E608" s="87" t="s">
        <v>2326</v>
      </c>
      <c r="F608" s="58" t="s">
        <v>110</v>
      </c>
      <c r="H608" s="52"/>
      <c r="I608" s="52"/>
      <c r="J608" s="52" t="s">
        <v>2327</v>
      </c>
      <c r="K608" s="59" t="s">
        <v>79</v>
      </c>
      <c r="L608" s="52"/>
      <c r="M608" s="52"/>
      <c r="N608" s="52"/>
      <c r="O608" s="52"/>
      <c r="P608" s="95" t="s">
        <v>2328</v>
      </c>
      <c r="Q608" s="55">
        <f>VLOOKUP(E608,'NI-San_SP'!$C:$AN,12,FALSE)</f>
        <v>0</v>
      </c>
      <c r="R608" s="55">
        <f>VLOOKUP(E608,'NI-San_SP'!$C:$AN,13,FALSE)</f>
        <v>0</v>
      </c>
      <c r="S608" s="55">
        <f>VLOOKUP(E608,'NI-San_SP'!$C:$AN,30,FALSE)</f>
        <v>0</v>
      </c>
      <c r="T608" s="94">
        <f>VLOOKUP(E608,'NI-San_SP'!$C:$AN,31,FALSE)+VLOOKUP(E608,'NI-San_SP'!$C:$AN,32,FALSE)</f>
        <v>0</v>
      </c>
      <c r="U608" s="55">
        <f>VLOOKUP($E608,'NI-San_SP'!$C:$AN,MID(U$1,1,2),FALSE)</f>
        <v>0</v>
      </c>
      <c r="V608" s="55">
        <f>VLOOKUP($E608,'NI-San_SP'!$C:$AN,MID(V$1,1,2),FALSE)</f>
        <v>0</v>
      </c>
      <c r="W608" s="55">
        <f>VLOOKUP($E608,'NI-San_SP'!$C:$AN,MID(W$1,1,2),FALSE)</f>
        <v>0</v>
      </c>
      <c r="X608" s="55">
        <f>VLOOKUP($E608,'NI-San_SP'!$C:$AN,MID(X$1,1,2),FALSE)</f>
        <v>0</v>
      </c>
      <c r="Y608" s="55">
        <f>VLOOKUP($E608,'NI-San_SP'!$C:$AN,MID(Y$1,1,2),FALSE)</f>
        <v>0</v>
      </c>
      <c r="Z608" s="55">
        <f>VLOOKUP($E608,'NI-San_SP'!$C:$AN,MID(Z$1,1,2),FALSE)</f>
        <v>0</v>
      </c>
      <c r="AA608" s="55">
        <f>VLOOKUP($E608,'NI-San_SP'!$C:$AN,MID(AA$1,1,2),FALSE)</f>
        <v>0</v>
      </c>
      <c r="AB608" s="55">
        <f>VLOOKUP($E608,'NI-San_SP'!$C:$AN,MID(AB$1,1,2),FALSE)</f>
        <v>0</v>
      </c>
      <c r="AC608" s="55">
        <f>VLOOKUP($E608,'NI-San_SP'!$C:$AN,MID(AC$1,1,2),FALSE)</f>
        <v>0</v>
      </c>
      <c r="AD608" s="55">
        <f>VLOOKUP($E608,'NI-San_SP'!$C:$AN,MID(AD$1,1,2),FALSE)</f>
        <v>0</v>
      </c>
      <c r="AE608" s="55">
        <f>VLOOKUP($E608,'NI-San_SP'!$C:$AN,MID(AE$1,1,2),FALSE)</f>
        <v>0</v>
      </c>
      <c r="AF608" s="55">
        <f>VLOOKUP($E608,'NI-San_SP'!$C:$AN,MID(AF$1,1,2),FALSE)</f>
        <v>0</v>
      </c>
      <c r="AG608" s="55">
        <f>VLOOKUP($E608,'NI-San_SP'!$C:$AN,MID(AG$1,1,2),FALSE)</f>
        <v>0</v>
      </c>
      <c r="AH608" s="55">
        <f>VLOOKUP($E608,'NI-San_SP'!$C:$AN,MID(AH$1,1,2),FALSE)</f>
        <v>0</v>
      </c>
      <c r="AI608" s="55">
        <f>VLOOKUP($E608,'NI-San_SP'!$C:$AN,MID(AI$1,1,2),FALSE)</f>
        <v>0</v>
      </c>
      <c r="AJ608" s="55">
        <f>VLOOKUP($E608,'NI-San_SP'!$C:$AN,MID(AJ$1,1,2),FALSE)</f>
        <v>0</v>
      </c>
      <c r="AK608" s="55">
        <f>VLOOKUP($E608,'NI-San_SP'!$C:$AN,MID(AK$1,1,2),FALSE)</f>
        <v>0</v>
      </c>
      <c r="AL608" s="55">
        <f>VLOOKUP($E608,'NI-San_SP'!$C:$AN,MID(AL$1,1,2),FALSE)</f>
        <v>0</v>
      </c>
      <c r="AM608" s="56">
        <f>VLOOKUP($E608,'NI-San_SP'!$C:$AN,MID(AM$1,1,2),FALSE)</f>
        <v>0</v>
      </c>
      <c r="AN608" s="30" t="str">
        <f t="shared" si="9"/>
        <v>70308000000000</v>
      </c>
    </row>
    <row r="609" spans="1:40" x14ac:dyDescent="0.25">
      <c r="A609" s="30" t="s">
        <v>1394</v>
      </c>
      <c r="C609" s="40"/>
      <c r="D609" s="87" t="s">
        <v>2329</v>
      </c>
      <c r="E609" s="87" t="s">
        <v>2330</v>
      </c>
      <c r="F609" s="58" t="s">
        <v>110</v>
      </c>
      <c r="H609" s="52"/>
      <c r="I609" s="52"/>
      <c r="J609" s="52" t="s">
        <v>2331</v>
      </c>
      <c r="K609" s="59" t="s">
        <v>79</v>
      </c>
      <c r="L609" s="52"/>
      <c r="M609" s="52"/>
      <c r="N609" s="52"/>
      <c r="O609" s="52"/>
      <c r="P609" s="95" t="s">
        <v>2332</v>
      </c>
      <c r="Q609" s="55">
        <f>VLOOKUP(E609,'NI-San_SP'!$C:$AN,12,FALSE)</f>
        <v>0</v>
      </c>
      <c r="R609" s="55">
        <f>VLOOKUP(E609,'NI-San_SP'!$C:$AN,13,FALSE)</f>
        <v>0</v>
      </c>
      <c r="S609" s="55">
        <f>VLOOKUP(E609,'NI-San_SP'!$C:$AN,30,FALSE)</f>
        <v>0</v>
      </c>
      <c r="T609" s="94">
        <f>VLOOKUP(E609,'NI-San_SP'!$C:$AN,31,FALSE)+VLOOKUP(E609,'NI-San_SP'!$C:$AN,32,FALSE)</f>
        <v>0</v>
      </c>
      <c r="U609" s="55">
        <f>VLOOKUP($E609,'NI-San_SP'!$C:$AN,MID(U$1,1,2),FALSE)</f>
        <v>0</v>
      </c>
      <c r="V609" s="55">
        <f>VLOOKUP($E609,'NI-San_SP'!$C:$AN,MID(V$1,1,2),FALSE)</f>
        <v>0</v>
      </c>
      <c r="W609" s="55">
        <f>VLOOKUP($E609,'NI-San_SP'!$C:$AN,MID(W$1,1,2),FALSE)</f>
        <v>0</v>
      </c>
      <c r="X609" s="55">
        <f>VLOOKUP($E609,'NI-San_SP'!$C:$AN,MID(X$1,1,2),FALSE)</f>
        <v>0</v>
      </c>
      <c r="Y609" s="55">
        <f>VLOOKUP($E609,'NI-San_SP'!$C:$AN,MID(Y$1,1,2),FALSE)</f>
        <v>0</v>
      </c>
      <c r="Z609" s="55">
        <f>VLOOKUP($E609,'NI-San_SP'!$C:$AN,MID(Z$1,1,2),FALSE)</f>
        <v>0</v>
      </c>
      <c r="AA609" s="55">
        <f>VLOOKUP($E609,'NI-San_SP'!$C:$AN,MID(AA$1,1,2),FALSE)</f>
        <v>0</v>
      </c>
      <c r="AB609" s="55">
        <f>VLOOKUP($E609,'NI-San_SP'!$C:$AN,MID(AB$1,1,2),FALSE)</f>
        <v>0</v>
      </c>
      <c r="AC609" s="55">
        <f>VLOOKUP($E609,'NI-San_SP'!$C:$AN,MID(AC$1,1,2),FALSE)</f>
        <v>0</v>
      </c>
      <c r="AD609" s="55">
        <f>VLOOKUP($E609,'NI-San_SP'!$C:$AN,MID(AD$1,1,2),FALSE)</f>
        <v>0</v>
      </c>
      <c r="AE609" s="55">
        <f>VLOOKUP($E609,'NI-San_SP'!$C:$AN,MID(AE$1,1,2),FALSE)</f>
        <v>0</v>
      </c>
      <c r="AF609" s="55">
        <f>VLOOKUP($E609,'NI-San_SP'!$C:$AN,MID(AF$1,1,2),FALSE)</f>
        <v>0</v>
      </c>
      <c r="AG609" s="55">
        <f>VLOOKUP($E609,'NI-San_SP'!$C:$AN,MID(AG$1,1,2),FALSE)</f>
        <v>0</v>
      </c>
      <c r="AH609" s="55">
        <f>VLOOKUP($E609,'NI-San_SP'!$C:$AN,MID(AH$1,1,2),FALSE)</f>
        <v>0</v>
      </c>
      <c r="AI609" s="55">
        <f>VLOOKUP($E609,'NI-San_SP'!$C:$AN,MID(AI$1,1,2),FALSE)</f>
        <v>0</v>
      </c>
      <c r="AJ609" s="55">
        <f>VLOOKUP($E609,'NI-San_SP'!$C:$AN,MID(AJ$1,1,2),FALSE)</f>
        <v>0</v>
      </c>
      <c r="AK609" s="55">
        <f>VLOOKUP($E609,'NI-San_SP'!$C:$AN,MID(AK$1,1,2),FALSE)</f>
        <v>0</v>
      </c>
      <c r="AL609" s="55">
        <f>VLOOKUP($E609,'NI-San_SP'!$C:$AN,MID(AL$1,1,2),FALSE)</f>
        <v>0</v>
      </c>
      <c r="AM609" s="56">
        <f>VLOOKUP($E609,'NI-San_SP'!$C:$AN,MID(AM$1,1,2),FALSE)</f>
        <v>0</v>
      </c>
      <c r="AN609" s="30" t="str">
        <f t="shared" si="9"/>
        <v>70309000000000</v>
      </c>
    </row>
    <row r="610" spans="1:40" x14ac:dyDescent="0.25">
      <c r="C610" s="40"/>
      <c r="D610" s="91" t="s">
        <v>2333</v>
      </c>
      <c r="E610" s="91" t="s">
        <v>2334</v>
      </c>
      <c r="F610" s="58" t="s">
        <v>110</v>
      </c>
      <c r="G610" s="52" t="s">
        <v>1439</v>
      </c>
      <c r="H610" s="52"/>
      <c r="I610" s="52" t="s">
        <v>2331</v>
      </c>
      <c r="J610" s="52" t="s">
        <v>2335</v>
      </c>
      <c r="K610" s="59" t="s">
        <v>79</v>
      </c>
      <c r="L610" s="52"/>
      <c r="M610" s="52"/>
      <c r="N610" s="52"/>
      <c r="O610" s="52"/>
      <c r="P610" s="76" t="s">
        <v>2336</v>
      </c>
      <c r="Q610" s="55">
        <f>VLOOKUP(E610,'NI-San_SP'!$C:$AN,12,FALSE)</f>
        <v>0</v>
      </c>
      <c r="R610" s="55">
        <f>VLOOKUP(E610,'NI-San_SP'!$C:$AN,13,FALSE)</f>
        <v>0</v>
      </c>
      <c r="S610" s="55">
        <f>VLOOKUP(E610,'NI-San_SP'!$C:$AN,30,FALSE)</f>
        <v>0</v>
      </c>
      <c r="T610" s="94">
        <f>VLOOKUP(E610,'NI-San_SP'!$C:$AN,31,FALSE)+VLOOKUP(E610,'NI-San_SP'!$C:$AN,32,FALSE)</f>
        <v>0</v>
      </c>
      <c r="U610" s="55">
        <f>VLOOKUP($E610,'NI-San_SP'!$C:$AN,MID(U$1,1,2),FALSE)</f>
        <v>0</v>
      </c>
      <c r="V610" s="55">
        <f>VLOOKUP($E610,'NI-San_SP'!$C:$AN,MID(V$1,1,2),FALSE)</f>
        <v>0</v>
      </c>
      <c r="W610" s="55">
        <f>VLOOKUP($E610,'NI-San_SP'!$C:$AN,MID(W$1,1,2),FALSE)</f>
        <v>0</v>
      </c>
      <c r="X610" s="55">
        <f>VLOOKUP($E610,'NI-San_SP'!$C:$AN,MID(X$1,1,2),FALSE)</f>
        <v>0</v>
      </c>
      <c r="Y610" s="55">
        <f>VLOOKUP($E610,'NI-San_SP'!$C:$AN,MID(Y$1,1,2),FALSE)</f>
        <v>0</v>
      </c>
      <c r="Z610" s="55">
        <f>VLOOKUP($E610,'NI-San_SP'!$C:$AN,MID(Z$1,1,2),FALSE)</f>
        <v>2000</v>
      </c>
      <c r="AA610" s="55">
        <f>VLOOKUP($E610,'NI-San_SP'!$C:$AN,MID(AA$1,1,2),FALSE)</f>
        <v>0</v>
      </c>
      <c r="AB610" s="55">
        <f>VLOOKUP($E610,'NI-San_SP'!$C:$AN,MID(AB$1,1,2),FALSE)</f>
        <v>0</v>
      </c>
      <c r="AC610" s="55">
        <f>VLOOKUP($E610,'NI-San_SP'!$C:$AN,MID(AC$1,1,2),FALSE)</f>
        <v>2000</v>
      </c>
      <c r="AD610" s="55">
        <f>VLOOKUP($E610,'NI-San_SP'!$C:$AN,MID(AD$1,1,2),FALSE)</f>
        <v>0</v>
      </c>
      <c r="AE610" s="55">
        <f>VLOOKUP($E610,'NI-San_SP'!$C:$AN,MID(AE$1,1,2),FALSE)</f>
        <v>0</v>
      </c>
      <c r="AF610" s="55">
        <f>VLOOKUP($E610,'NI-San_SP'!$C:$AN,MID(AF$1,1,2),FALSE)</f>
        <v>0</v>
      </c>
      <c r="AG610" s="55">
        <f>VLOOKUP($E610,'NI-San_SP'!$C:$AN,MID(AG$1,1,2),FALSE)</f>
        <v>0</v>
      </c>
      <c r="AH610" s="55">
        <f>VLOOKUP($E610,'NI-San_SP'!$C:$AN,MID(AH$1,1,2),FALSE)</f>
        <v>0</v>
      </c>
      <c r="AI610" s="55">
        <f>VLOOKUP($E610,'NI-San_SP'!$C:$AN,MID(AI$1,1,2),FALSE)</f>
        <v>0</v>
      </c>
      <c r="AJ610" s="55">
        <f>VLOOKUP($E610,'NI-San_SP'!$C:$AN,MID(AJ$1,1,2),FALSE)</f>
        <v>0</v>
      </c>
      <c r="AK610" s="55">
        <f>VLOOKUP($E610,'NI-San_SP'!$C:$AN,MID(AK$1,1,2),FALSE)</f>
        <v>0</v>
      </c>
      <c r="AL610" s="55">
        <f>VLOOKUP($E610,'NI-San_SP'!$C:$AN,MID(AL$1,1,2),FALSE)</f>
        <v>0</v>
      </c>
      <c r="AM610" s="56">
        <f>VLOOKUP($E610,'NI-San_SP'!$C:$AN,MID(AM$1,1,2),FALSE)</f>
        <v>0</v>
      </c>
      <c r="AN610" s="30" t="str">
        <f t="shared" si="9"/>
        <v>70310010000000</v>
      </c>
    </row>
    <row r="611" spans="1:40" x14ac:dyDescent="0.25">
      <c r="C611" s="40"/>
      <c r="D611" s="91" t="s">
        <v>2337</v>
      </c>
      <c r="E611" s="91" t="s">
        <v>2338</v>
      </c>
      <c r="F611" s="58" t="s">
        <v>110</v>
      </c>
      <c r="G611" s="52" t="s">
        <v>1439</v>
      </c>
      <c r="H611" s="52"/>
      <c r="I611" s="52" t="s">
        <v>2331</v>
      </c>
      <c r="J611" s="52" t="s">
        <v>2335</v>
      </c>
      <c r="K611" s="59" t="s">
        <v>79</v>
      </c>
      <c r="L611" s="52"/>
      <c r="M611" s="52"/>
      <c r="N611" s="52"/>
      <c r="O611" s="52"/>
      <c r="P611" s="76" t="s">
        <v>2339</v>
      </c>
      <c r="Q611" s="55">
        <f>VLOOKUP(E611,'NI-San_SP'!$C:$AN,12,FALSE)</f>
        <v>0</v>
      </c>
      <c r="R611" s="55">
        <f>VLOOKUP(E611,'NI-San_SP'!$C:$AN,13,FALSE)</f>
        <v>0</v>
      </c>
      <c r="S611" s="55">
        <f>VLOOKUP(E611,'NI-San_SP'!$C:$AN,30,FALSE)</f>
        <v>0</v>
      </c>
      <c r="T611" s="94">
        <f>VLOOKUP(E611,'NI-San_SP'!$C:$AN,31,FALSE)+VLOOKUP(E611,'NI-San_SP'!$C:$AN,32,FALSE)</f>
        <v>0</v>
      </c>
      <c r="U611" s="55">
        <f>VLOOKUP($E611,'NI-San_SP'!$C:$AN,MID(U$1,1,2),FALSE)</f>
        <v>0</v>
      </c>
      <c r="V611" s="55">
        <f>VLOOKUP($E611,'NI-San_SP'!$C:$AN,MID(V$1,1,2),FALSE)</f>
        <v>0</v>
      </c>
      <c r="W611" s="55">
        <f>VLOOKUP($E611,'NI-San_SP'!$C:$AN,MID(W$1,1,2),FALSE)</f>
        <v>0</v>
      </c>
      <c r="X611" s="55">
        <f>VLOOKUP($E611,'NI-San_SP'!$C:$AN,MID(X$1,1,2),FALSE)</f>
        <v>0</v>
      </c>
      <c r="Y611" s="55">
        <f>VLOOKUP($E611,'NI-San_SP'!$C:$AN,MID(Y$1,1,2),FALSE)</f>
        <v>0</v>
      </c>
      <c r="Z611" s="55">
        <f>VLOOKUP($E611,'NI-San_SP'!$C:$AN,MID(Z$1,1,2),FALSE)</f>
        <v>0</v>
      </c>
      <c r="AA611" s="55">
        <f>VLOOKUP($E611,'NI-San_SP'!$C:$AN,MID(AA$1,1,2),FALSE)</f>
        <v>0</v>
      </c>
      <c r="AB611" s="55">
        <f>VLOOKUP($E611,'NI-San_SP'!$C:$AN,MID(AB$1,1,2),FALSE)</f>
        <v>0</v>
      </c>
      <c r="AC611" s="55">
        <f>VLOOKUP($E611,'NI-San_SP'!$C:$AN,MID(AC$1,1,2),FALSE)</f>
        <v>0</v>
      </c>
      <c r="AD611" s="55">
        <f>VLOOKUP($E611,'NI-San_SP'!$C:$AN,MID(AD$1,1,2),FALSE)</f>
        <v>0</v>
      </c>
      <c r="AE611" s="55">
        <f>VLOOKUP($E611,'NI-San_SP'!$C:$AN,MID(AE$1,1,2),FALSE)</f>
        <v>0</v>
      </c>
      <c r="AF611" s="55">
        <f>VLOOKUP($E611,'NI-San_SP'!$C:$AN,MID(AF$1,1,2),FALSE)</f>
        <v>0</v>
      </c>
      <c r="AG611" s="55">
        <f>VLOOKUP($E611,'NI-San_SP'!$C:$AN,MID(AG$1,1,2),FALSE)</f>
        <v>0</v>
      </c>
      <c r="AH611" s="55">
        <f>VLOOKUP($E611,'NI-San_SP'!$C:$AN,MID(AH$1,1,2),FALSE)</f>
        <v>0</v>
      </c>
      <c r="AI611" s="55">
        <f>VLOOKUP($E611,'NI-San_SP'!$C:$AN,MID(AI$1,1,2),FALSE)</f>
        <v>0</v>
      </c>
      <c r="AJ611" s="55">
        <f>VLOOKUP($E611,'NI-San_SP'!$C:$AN,MID(AJ$1,1,2),FALSE)</f>
        <v>0</v>
      </c>
      <c r="AK611" s="55">
        <f>VLOOKUP($E611,'NI-San_SP'!$C:$AN,MID(AK$1,1,2),FALSE)</f>
        <v>0</v>
      </c>
      <c r="AL611" s="55">
        <f>VLOOKUP($E611,'NI-San_SP'!$C:$AN,MID(AL$1,1,2),FALSE)</f>
        <v>0</v>
      </c>
      <c r="AM611" s="56">
        <f>VLOOKUP($E611,'NI-San_SP'!$C:$AN,MID(AM$1,1,2),FALSE)</f>
        <v>0</v>
      </c>
      <c r="AN611" s="30" t="str">
        <f t="shared" si="9"/>
        <v>70310020000000</v>
      </c>
    </row>
    <row r="612" spans="1:40" x14ac:dyDescent="0.25">
      <c r="C612" s="40"/>
      <c r="D612" s="91" t="s">
        <v>2340</v>
      </c>
      <c r="E612" s="91" t="s">
        <v>2341</v>
      </c>
      <c r="F612" s="58" t="s">
        <v>110</v>
      </c>
      <c r="G612" s="52" t="s">
        <v>1439</v>
      </c>
      <c r="H612" s="52"/>
      <c r="I612" s="52" t="s">
        <v>2331</v>
      </c>
      <c r="J612" s="52" t="s">
        <v>2335</v>
      </c>
      <c r="K612" s="59" t="s">
        <v>79</v>
      </c>
      <c r="L612" s="52"/>
      <c r="M612" s="52"/>
      <c r="N612" s="52"/>
      <c r="O612" s="52"/>
      <c r="P612" s="76" t="s">
        <v>2342</v>
      </c>
      <c r="Q612" s="55">
        <f>VLOOKUP(E612,'NI-San_SP'!$C:$AN,12,FALSE)</f>
        <v>0</v>
      </c>
      <c r="R612" s="55">
        <f>VLOOKUP(E612,'NI-San_SP'!$C:$AN,13,FALSE)</f>
        <v>0</v>
      </c>
      <c r="S612" s="55">
        <f>VLOOKUP(E612,'NI-San_SP'!$C:$AN,30,FALSE)</f>
        <v>0</v>
      </c>
      <c r="T612" s="94">
        <f>VLOOKUP(E612,'NI-San_SP'!$C:$AN,31,FALSE)+VLOOKUP(E612,'NI-San_SP'!$C:$AN,32,FALSE)</f>
        <v>0</v>
      </c>
      <c r="U612" s="55">
        <f>VLOOKUP($E612,'NI-San_SP'!$C:$AN,MID(U$1,1,2),FALSE)</f>
        <v>0</v>
      </c>
      <c r="V612" s="55">
        <f>VLOOKUP($E612,'NI-San_SP'!$C:$AN,MID(V$1,1,2),FALSE)</f>
        <v>0</v>
      </c>
      <c r="W612" s="55">
        <f>VLOOKUP($E612,'NI-San_SP'!$C:$AN,MID(W$1,1,2),FALSE)</f>
        <v>0</v>
      </c>
      <c r="X612" s="55">
        <f>VLOOKUP($E612,'NI-San_SP'!$C:$AN,MID(X$1,1,2),FALSE)</f>
        <v>0</v>
      </c>
      <c r="Y612" s="55">
        <f>VLOOKUP($E612,'NI-San_SP'!$C:$AN,MID(Y$1,1,2),FALSE)</f>
        <v>0</v>
      </c>
      <c r="Z612" s="55">
        <f>VLOOKUP($E612,'NI-San_SP'!$C:$AN,MID(Z$1,1,2),FALSE)</f>
        <v>0</v>
      </c>
      <c r="AA612" s="55">
        <f>VLOOKUP($E612,'NI-San_SP'!$C:$AN,MID(AA$1,1,2),FALSE)</f>
        <v>0</v>
      </c>
      <c r="AB612" s="55">
        <f>VLOOKUP($E612,'NI-San_SP'!$C:$AN,MID(AB$1,1,2),FALSE)</f>
        <v>0</v>
      </c>
      <c r="AC612" s="55">
        <f>VLOOKUP($E612,'NI-San_SP'!$C:$AN,MID(AC$1,1,2),FALSE)</f>
        <v>0</v>
      </c>
      <c r="AD612" s="55">
        <f>VLOOKUP($E612,'NI-San_SP'!$C:$AN,MID(AD$1,1,2),FALSE)</f>
        <v>0</v>
      </c>
      <c r="AE612" s="55">
        <f>VLOOKUP($E612,'NI-San_SP'!$C:$AN,MID(AE$1,1,2),FALSE)</f>
        <v>0</v>
      </c>
      <c r="AF612" s="55">
        <f>VLOOKUP($E612,'NI-San_SP'!$C:$AN,MID(AF$1,1,2),FALSE)</f>
        <v>0</v>
      </c>
      <c r="AG612" s="55">
        <f>VLOOKUP($E612,'NI-San_SP'!$C:$AN,MID(AG$1,1,2),FALSE)</f>
        <v>0</v>
      </c>
      <c r="AH612" s="55">
        <f>VLOOKUP($E612,'NI-San_SP'!$C:$AN,MID(AH$1,1,2),FALSE)</f>
        <v>0</v>
      </c>
      <c r="AI612" s="55">
        <f>VLOOKUP($E612,'NI-San_SP'!$C:$AN,MID(AI$1,1,2),FALSE)</f>
        <v>0</v>
      </c>
      <c r="AJ612" s="55">
        <f>VLOOKUP($E612,'NI-San_SP'!$C:$AN,MID(AJ$1,1,2),FALSE)</f>
        <v>0</v>
      </c>
      <c r="AK612" s="55">
        <f>VLOOKUP($E612,'NI-San_SP'!$C:$AN,MID(AK$1,1,2),FALSE)</f>
        <v>0</v>
      </c>
      <c r="AL612" s="55">
        <f>VLOOKUP($E612,'NI-San_SP'!$C:$AN,MID(AL$1,1,2),FALSE)</f>
        <v>0</v>
      </c>
      <c r="AM612" s="56">
        <f>VLOOKUP($E612,'NI-San_SP'!$C:$AN,MID(AM$1,1,2),FALSE)</f>
        <v>0</v>
      </c>
      <c r="AN612" s="30" t="str">
        <f t="shared" si="9"/>
        <v>70310030000000</v>
      </c>
    </row>
    <row r="613" spans="1:40" x14ac:dyDescent="0.25">
      <c r="C613" s="40"/>
      <c r="D613" s="57" t="s">
        <v>2343</v>
      </c>
      <c r="E613" s="57" t="s">
        <v>2344</v>
      </c>
      <c r="F613" s="58" t="s">
        <v>110</v>
      </c>
      <c r="G613" s="52"/>
      <c r="H613" s="52"/>
      <c r="I613" s="52" t="s">
        <v>2345</v>
      </c>
      <c r="J613" s="52" t="s">
        <v>2345</v>
      </c>
      <c r="K613" s="59" t="s">
        <v>79</v>
      </c>
      <c r="L613" s="62" t="s">
        <v>2346</v>
      </c>
      <c r="M613" s="52"/>
      <c r="N613" s="52"/>
      <c r="O613" s="61" t="s">
        <v>2347</v>
      </c>
      <c r="P613" s="76" t="s">
        <v>2348</v>
      </c>
      <c r="Q613" s="55">
        <f>VLOOKUP(E613,'NI-San_SP'!$C:$AN,12,FALSE)</f>
        <v>513</v>
      </c>
      <c r="R613" s="55">
        <f>VLOOKUP(E613,'NI-San_SP'!$C:$AN,13,FALSE)</f>
        <v>15671</v>
      </c>
      <c r="S613" s="55">
        <f>VLOOKUP(E613,'NI-San_SP'!$C:$AN,30,FALSE)</f>
        <v>84</v>
      </c>
      <c r="T613" s="55">
        <f>VLOOKUP(E613,'NI-San_SP'!$C:$AN,31,FALSE)+VLOOKUP(E613,'NI-San_SP'!$C:$AN,32,FALSE)</f>
        <v>31171</v>
      </c>
      <c r="U613" s="55">
        <f>VLOOKUP($E613,'NI-San_SP'!$C:$AN,MID(U$1,1,2),FALSE)</f>
        <v>0</v>
      </c>
      <c r="V613" s="55">
        <f>VLOOKUP($E613,'NI-San_SP'!$C:$AN,MID(V$1,1,2),FALSE)</f>
        <v>513</v>
      </c>
      <c r="W613" s="55">
        <f>VLOOKUP($E613,'NI-San_SP'!$C:$AN,MID(W$1,1,2),FALSE)</f>
        <v>0</v>
      </c>
      <c r="X613" s="55">
        <f>VLOOKUP($E613,'NI-San_SP'!$C:$AN,MID(X$1,1,2),FALSE)</f>
        <v>0</v>
      </c>
      <c r="Y613" s="55">
        <f>VLOOKUP($E613,'NI-San_SP'!$C:$AN,MID(Y$1,1,2),FALSE)</f>
        <v>0</v>
      </c>
      <c r="Z613" s="55">
        <f>VLOOKUP($E613,'NI-San_SP'!$C:$AN,MID(Z$1,1,2),FALSE)</f>
        <v>20460</v>
      </c>
      <c r="AA613" s="55">
        <f>VLOOKUP($E613,'NI-San_SP'!$C:$AN,MID(AA$1,1,2),FALSE)</f>
        <v>0</v>
      </c>
      <c r="AB613" s="55">
        <f>VLOOKUP($E613,'NI-San_SP'!$C:$AN,MID(AB$1,1,2),FALSE)</f>
        <v>280</v>
      </c>
      <c r="AC613" s="55">
        <f>VLOOKUP($E613,'NI-San_SP'!$C:$AN,MID(AC$1,1,2),FALSE)</f>
        <v>5022</v>
      </c>
      <c r="AD613" s="55">
        <f>VLOOKUP($E613,'NI-San_SP'!$C:$AN,MID(AD$1,1,2),FALSE)</f>
        <v>15671</v>
      </c>
      <c r="AE613" s="55">
        <f>VLOOKUP($E613,'NI-San_SP'!$C:$AN,MID(AE$1,1,2),FALSE)</f>
        <v>0</v>
      </c>
      <c r="AF613" s="55">
        <f>VLOOKUP($E613,'NI-San_SP'!$C:$AN,MID(AF$1,1,2),FALSE)</f>
        <v>0</v>
      </c>
      <c r="AG613" s="55">
        <f>VLOOKUP($E613,'NI-San_SP'!$C:$AN,MID(AG$1,1,2),FALSE)</f>
        <v>87</v>
      </c>
      <c r="AH613" s="55">
        <f>VLOOKUP($E613,'NI-San_SP'!$C:$AN,MID(AH$1,1,2),FALSE)</f>
        <v>0</v>
      </c>
      <c r="AI613" s="55">
        <f>VLOOKUP($E613,'NI-San_SP'!$C:$AN,MID(AI$1,1,2),FALSE)</f>
        <v>0</v>
      </c>
      <c r="AJ613" s="55">
        <f>VLOOKUP($E613,'NI-San_SP'!$C:$AN,MID(AJ$1,1,2),FALSE)</f>
        <v>84</v>
      </c>
      <c r="AK613" s="55">
        <f>VLOOKUP($E613,'NI-San_SP'!$C:$AN,MID(AK$1,1,2),FALSE)</f>
        <v>15500</v>
      </c>
      <c r="AL613" s="55">
        <f>VLOOKUP($E613,'NI-San_SP'!$C:$AN,MID(AL$1,1,2),FALSE)</f>
        <v>15671</v>
      </c>
      <c r="AM613" s="56">
        <f>VLOOKUP($E613,'NI-San_SP'!$C:$AN,MID(AM$1,1,2),FALSE)</f>
        <v>0</v>
      </c>
      <c r="AN613" s="30" t="str">
        <f t="shared" si="9"/>
        <v>70400000000000</v>
      </c>
    </row>
    <row r="614" spans="1:40" x14ac:dyDescent="0.25">
      <c r="C614" s="40"/>
      <c r="D614" s="57" t="s">
        <v>2349</v>
      </c>
      <c r="E614" s="57" t="s">
        <v>2350</v>
      </c>
      <c r="F614" s="58" t="s">
        <v>110</v>
      </c>
      <c r="G614" s="52"/>
      <c r="H614" s="52"/>
      <c r="I614" s="52"/>
      <c r="J614" s="52"/>
      <c r="K614" s="59" t="s">
        <v>111</v>
      </c>
      <c r="L614" s="62" t="s">
        <v>2351</v>
      </c>
      <c r="M614" s="52" t="s">
        <v>2352</v>
      </c>
      <c r="N614" s="52"/>
      <c r="O614" s="52"/>
      <c r="P614" s="76" t="s">
        <v>2353</v>
      </c>
      <c r="Q614" s="55">
        <f>VLOOKUP(E614,'NI-San_SP'!$C:$AN,12,FALSE)</f>
        <v>10599074</v>
      </c>
      <c r="R614" s="55">
        <f>VLOOKUP(E614,'NI-San_SP'!$C:$AN,13,FALSE)</f>
        <v>11209212</v>
      </c>
      <c r="S614" s="55">
        <f>VLOOKUP(E614,'NI-San_SP'!$C:$AN,30,FALSE)</f>
        <v>982893</v>
      </c>
      <c r="T614" s="55">
        <f>VLOOKUP(E614,'NI-San_SP'!$C:$AN,31,FALSE)+VLOOKUP(E614,'NI-San_SP'!$C:$AN,32,FALSE)</f>
        <v>9820977</v>
      </c>
      <c r="U614" s="55">
        <f>VLOOKUP($E614,'NI-San_SP'!$C:$AN,MID(U$1,1,2),FALSE)</f>
        <v>0</v>
      </c>
      <c r="V614" s="55">
        <f>VLOOKUP($E614,'NI-San_SP'!$C:$AN,MID(V$1,1,2),FALSE)</f>
        <v>10599074</v>
      </c>
      <c r="W614" s="55">
        <f>VLOOKUP($E614,'NI-San_SP'!$C:$AN,MID(W$1,1,2),FALSE)</f>
        <v>0</v>
      </c>
      <c r="X614" s="55">
        <f>VLOOKUP($E614,'NI-San_SP'!$C:$AN,MID(X$1,1,2),FALSE)</f>
        <v>0</v>
      </c>
      <c r="Y614" s="55">
        <f>VLOOKUP($E614,'NI-San_SP'!$C:$AN,MID(Y$1,1,2),FALSE)</f>
        <v>-31344</v>
      </c>
      <c r="Z614" s="55">
        <f>VLOOKUP($E614,'NI-San_SP'!$C:$AN,MID(Z$1,1,2),FALSE)</f>
        <v>7332548</v>
      </c>
      <c r="AA614" s="55">
        <f>VLOOKUP($E614,'NI-San_SP'!$C:$AN,MID(AA$1,1,2),FALSE)</f>
        <v>0</v>
      </c>
      <c r="AB614" s="55">
        <f>VLOOKUP($E614,'NI-San_SP'!$C:$AN,MID(AB$1,1,2),FALSE)</f>
        <v>4943515</v>
      </c>
      <c r="AC614" s="55">
        <f>VLOOKUP($E614,'NI-San_SP'!$C:$AN,MID(AC$1,1,2),FALSE)</f>
        <v>1747551</v>
      </c>
      <c r="AD614" s="55">
        <f>VLOOKUP($E614,'NI-San_SP'!$C:$AN,MID(AD$1,1,2),FALSE)</f>
        <v>11209212</v>
      </c>
      <c r="AE614" s="55">
        <f>VLOOKUP($E614,'NI-San_SP'!$C:$AN,MID(AE$1,1,2),FALSE)</f>
        <v>1544778</v>
      </c>
      <c r="AF614" s="55">
        <f>VLOOKUP($E614,'NI-San_SP'!$C:$AN,MID(AF$1,1,2),FALSE)</f>
        <v>0</v>
      </c>
      <c r="AG614" s="55">
        <f>VLOOKUP($E614,'NI-San_SP'!$C:$AN,MID(AG$1,1,2),FALSE)</f>
        <v>291924</v>
      </c>
      <c r="AH614" s="55">
        <f>VLOOKUP($E614,'NI-San_SP'!$C:$AN,MID(AH$1,1,2),FALSE)</f>
        <v>21290</v>
      </c>
      <c r="AI614" s="55">
        <f>VLOOKUP($E614,'NI-San_SP'!$C:$AN,MID(AI$1,1,2),FALSE)</f>
        <v>4293335</v>
      </c>
      <c r="AJ614" s="55">
        <f>VLOOKUP($E614,'NI-San_SP'!$C:$AN,MID(AJ$1,1,2),FALSE)</f>
        <v>982893</v>
      </c>
      <c r="AK614" s="55">
        <f>VLOOKUP($E614,'NI-San_SP'!$C:$AN,MID(AK$1,1,2),FALSE)</f>
        <v>5619770</v>
      </c>
      <c r="AL614" s="55">
        <f>VLOOKUP($E614,'NI-San_SP'!$C:$AN,MID(AL$1,1,2),FALSE)</f>
        <v>4201207</v>
      </c>
      <c r="AM614" s="56">
        <f>VLOOKUP($E614,'NI-San_SP'!$C:$AN,MID(AM$1,1,2),FALSE)</f>
        <v>7008005</v>
      </c>
      <c r="AN614" s="30" t="str">
        <f t="shared" si="9"/>
        <v>70500000000000</v>
      </c>
    </row>
    <row r="615" spans="1:40" x14ac:dyDescent="0.25">
      <c r="C615" s="40"/>
      <c r="D615" s="91" t="s">
        <v>2354</v>
      </c>
      <c r="E615" s="91" t="s">
        <v>2355</v>
      </c>
      <c r="F615" s="58" t="s">
        <v>110</v>
      </c>
      <c r="G615" s="96"/>
      <c r="H615" s="52"/>
      <c r="I615" s="52"/>
      <c r="J615" s="52"/>
      <c r="K615" s="59" t="s">
        <v>111</v>
      </c>
      <c r="L615" s="52"/>
      <c r="M615" s="52"/>
      <c r="N615" s="52"/>
      <c r="O615" s="52"/>
      <c r="P615" s="76" t="s">
        <v>2356</v>
      </c>
      <c r="Q615" s="55">
        <f>VLOOKUP(E615,'NI-San_SP'!$C:$AN,12,FALSE)</f>
        <v>10560835</v>
      </c>
      <c r="R615" s="55">
        <f>VLOOKUP(E615,'NI-San_SP'!$C:$AN,13,FALSE)</f>
        <v>11201709</v>
      </c>
      <c r="S615" s="55">
        <f>VLOOKUP(E615,'NI-San_SP'!$C:$AN,30,FALSE)</f>
        <v>982893</v>
      </c>
      <c r="T615" s="94">
        <f>VLOOKUP(E615,'NI-San_SP'!$C:$AN,31,FALSE)+VLOOKUP(E615,'NI-San_SP'!$C:$AN,32,FALSE)</f>
        <v>9806321</v>
      </c>
      <c r="U615" s="55">
        <f>VLOOKUP($E615,'NI-San_SP'!$C:$AN,MID(U$1,1,2),FALSE)</f>
        <v>0</v>
      </c>
      <c r="V615" s="55">
        <f>VLOOKUP($E615,'NI-San_SP'!$C:$AN,MID(V$1,1,2),FALSE)</f>
        <v>10560835</v>
      </c>
      <c r="W615" s="55">
        <f>VLOOKUP($E615,'NI-San_SP'!$C:$AN,MID(W$1,1,2),FALSE)</f>
        <v>0</v>
      </c>
      <c r="X615" s="55">
        <f>VLOOKUP($E615,'NI-San_SP'!$C:$AN,MID(X$1,1,2),FALSE)</f>
        <v>0</v>
      </c>
      <c r="Y615" s="55">
        <f>VLOOKUP($E615,'NI-San_SP'!$C:$AN,MID(Y$1,1,2),FALSE)</f>
        <v>-31344</v>
      </c>
      <c r="Z615" s="55">
        <f>VLOOKUP($E615,'NI-San_SP'!$C:$AN,MID(Z$1,1,2),FALSE)</f>
        <v>7309709</v>
      </c>
      <c r="AA615" s="55">
        <f>VLOOKUP($E615,'NI-San_SP'!$C:$AN,MID(AA$1,1,2),FALSE)</f>
        <v>0</v>
      </c>
      <c r="AB615" s="55">
        <f>VLOOKUP($E615,'NI-San_SP'!$C:$AN,MID(AB$1,1,2),FALSE)</f>
        <v>4912780</v>
      </c>
      <c r="AC615" s="55">
        <f>VLOOKUP($E615,'NI-San_SP'!$C:$AN,MID(AC$1,1,2),FALSE)</f>
        <v>1724711</v>
      </c>
      <c r="AD615" s="55">
        <f>VLOOKUP($E615,'NI-San_SP'!$C:$AN,MID(AD$1,1,2),FALSE)</f>
        <v>11201709</v>
      </c>
      <c r="AE615" s="55">
        <f>VLOOKUP($E615,'NI-San_SP'!$C:$AN,MID(AE$1,1,2),FALSE)</f>
        <v>1542009</v>
      </c>
      <c r="AF615" s="55">
        <f>VLOOKUP($E615,'NI-San_SP'!$C:$AN,MID(AF$1,1,2),FALSE)</f>
        <v>0</v>
      </c>
      <c r="AG615" s="55">
        <f>VLOOKUP($E615,'NI-San_SP'!$C:$AN,MID(AG$1,1,2),FALSE)</f>
        <v>291633</v>
      </c>
      <c r="AH615" s="55">
        <f>VLOOKUP($E615,'NI-San_SP'!$C:$AN,MID(AH$1,1,2),FALSE)</f>
        <v>21290</v>
      </c>
      <c r="AI615" s="55">
        <f>VLOOKUP($E615,'NI-San_SP'!$C:$AN,MID(AI$1,1,2),FALSE)</f>
        <v>4293276</v>
      </c>
      <c r="AJ615" s="55">
        <f>VLOOKUP($E615,'NI-San_SP'!$C:$AN,MID(AJ$1,1,2),FALSE)</f>
        <v>982893</v>
      </c>
      <c r="AK615" s="55">
        <f>VLOOKUP($E615,'NI-San_SP'!$C:$AN,MID(AK$1,1,2),FALSE)</f>
        <v>5612617</v>
      </c>
      <c r="AL615" s="55">
        <f>VLOOKUP($E615,'NI-San_SP'!$C:$AN,MID(AL$1,1,2),FALSE)</f>
        <v>4193704</v>
      </c>
      <c r="AM615" s="56">
        <f>VLOOKUP($E615,'NI-San_SP'!$C:$AN,MID(AM$1,1,2),FALSE)</f>
        <v>7008005</v>
      </c>
      <c r="AN615" s="30" t="str">
        <f t="shared" si="9"/>
        <v>70501000000000</v>
      </c>
    </row>
    <row r="616" spans="1:40" x14ac:dyDescent="0.25">
      <c r="C616" s="40"/>
      <c r="D616" s="91" t="s">
        <v>2357</v>
      </c>
      <c r="E616" s="91" t="s">
        <v>2358</v>
      </c>
      <c r="F616" s="58" t="s">
        <v>110</v>
      </c>
      <c r="G616" s="96" t="s">
        <v>1608</v>
      </c>
      <c r="H616" s="52"/>
      <c r="I616" s="52" t="s">
        <v>2359</v>
      </c>
      <c r="J616" s="52" t="s">
        <v>2359</v>
      </c>
      <c r="K616" s="59" t="s">
        <v>111</v>
      </c>
      <c r="L616" s="52"/>
      <c r="M616" s="52"/>
      <c r="N616" s="52"/>
      <c r="O616" s="52"/>
      <c r="P616" s="76" t="s">
        <v>2360</v>
      </c>
      <c r="Q616" s="55">
        <f>VLOOKUP(E616,'NI-San_SP'!$C:$AN,12,FALSE)</f>
        <v>0</v>
      </c>
      <c r="R616" s="55">
        <f>VLOOKUP(E616,'NI-San_SP'!$C:$AN,13,FALSE)</f>
        <v>0</v>
      </c>
      <c r="S616" s="55">
        <f>VLOOKUP(E616,'NI-San_SP'!$C:$AN,30,FALSE)</f>
        <v>0</v>
      </c>
      <c r="T616" s="94">
        <f>VLOOKUP(E616,'NI-San_SP'!$C:$AN,31,FALSE)+VLOOKUP(E616,'NI-San_SP'!$C:$AN,32,FALSE)</f>
        <v>0</v>
      </c>
      <c r="U616" s="55">
        <f>VLOOKUP($E616,'NI-San_SP'!$C:$AN,MID(U$1,1,2),FALSE)</f>
        <v>0</v>
      </c>
      <c r="V616" s="55">
        <f>VLOOKUP($E616,'NI-San_SP'!$C:$AN,MID(V$1,1,2),FALSE)</f>
        <v>0</v>
      </c>
      <c r="W616" s="55">
        <f>VLOOKUP($E616,'NI-San_SP'!$C:$AN,MID(W$1,1,2),FALSE)</f>
        <v>0</v>
      </c>
      <c r="X616" s="55">
        <f>VLOOKUP($E616,'NI-San_SP'!$C:$AN,MID(X$1,1,2),FALSE)</f>
        <v>0</v>
      </c>
      <c r="Y616" s="55">
        <f>VLOOKUP($E616,'NI-San_SP'!$C:$AN,MID(Y$1,1,2),FALSE)</f>
        <v>0</v>
      </c>
      <c r="Z616" s="55">
        <f>VLOOKUP($E616,'NI-San_SP'!$C:$AN,MID(Z$1,1,2),FALSE)</f>
        <v>0</v>
      </c>
      <c r="AA616" s="55">
        <f>VLOOKUP($E616,'NI-San_SP'!$C:$AN,MID(AA$1,1,2),FALSE)</f>
        <v>0</v>
      </c>
      <c r="AB616" s="55">
        <f>VLOOKUP($E616,'NI-San_SP'!$C:$AN,MID(AB$1,1,2),FALSE)</f>
        <v>0</v>
      </c>
      <c r="AC616" s="55">
        <f>VLOOKUP($E616,'NI-San_SP'!$C:$AN,MID(AC$1,1,2),FALSE)</f>
        <v>0</v>
      </c>
      <c r="AD616" s="55">
        <f>VLOOKUP($E616,'NI-San_SP'!$C:$AN,MID(AD$1,1,2),FALSE)</f>
        <v>0</v>
      </c>
      <c r="AE616" s="55">
        <f>VLOOKUP($E616,'NI-San_SP'!$C:$AN,MID(AE$1,1,2),FALSE)</f>
        <v>0</v>
      </c>
      <c r="AF616" s="55">
        <f>VLOOKUP($E616,'NI-San_SP'!$C:$AN,MID(AF$1,1,2),FALSE)</f>
        <v>0</v>
      </c>
      <c r="AG616" s="55">
        <f>VLOOKUP($E616,'NI-San_SP'!$C:$AN,MID(AG$1,1,2),FALSE)</f>
        <v>0</v>
      </c>
      <c r="AH616" s="55">
        <f>VLOOKUP($E616,'NI-San_SP'!$C:$AN,MID(AH$1,1,2),FALSE)</f>
        <v>0</v>
      </c>
      <c r="AI616" s="55">
        <f>VLOOKUP($E616,'NI-San_SP'!$C:$AN,MID(AI$1,1,2),FALSE)</f>
        <v>0</v>
      </c>
      <c r="AJ616" s="55">
        <f>VLOOKUP($E616,'NI-San_SP'!$C:$AN,MID(AJ$1,1,2),FALSE)</f>
        <v>0</v>
      </c>
      <c r="AK616" s="55">
        <f>VLOOKUP($E616,'NI-San_SP'!$C:$AN,MID(AK$1,1,2),FALSE)</f>
        <v>0</v>
      </c>
      <c r="AL616" s="55">
        <f>VLOOKUP($E616,'NI-San_SP'!$C:$AN,MID(AL$1,1,2),FALSE)</f>
        <v>0</v>
      </c>
      <c r="AM616" s="56">
        <f>VLOOKUP($E616,'NI-San_SP'!$C:$AN,MID(AM$1,1,2),FALSE)</f>
        <v>0</v>
      </c>
      <c r="AN616" s="30" t="str">
        <f t="shared" si="9"/>
        <v>70501010000000</v>
      </c>
    </row>
    <row r="617" spans="1:40" x14ac:dyDescent="0.25">
      <c r="C617" s="40"/>
      <c r="D617" s="91" t="s">
        <v>2361</v>
      </c>
      <c r="E617" s="91" t="s">
        <v>2362</v>
      </c>
      <c r="F617" s="58" t="s">
        <v>110</v>
      </c>
      <c r="G617" s="96" t="s">
        <v>1608</v>
      </c>
      <c r="H617" s="52"/>
      <c r="I617" s="52"/>
      <c r="J617" s="52"/>
      <c r="K617" s="59" t="s">
        <v>1358</v>
      </c>
      <c r="L617" s="52"/>
      <c r="M617" s="52"/>
      <c r="N617" s="52"/>
      <c r="O617" s="61" t="s">
        <v>2363</v>
      </c>
      <c r="P617" s="76" t="s">
        <v>2364</v>
      </c>
      <c r="Q617" s="55">
        <f>VLOOKUP(E617,'NI-San_SP'!$C:$AN,12,FALSE)</f>
        <v>0</v>
      </c>
      <c r="R617" s="55">
        <f>VLOOKUP(E617,'NI-San_SP'!$C:$AN,13,FALSE)</f>
        <v>0</v>
      </c>
      <c r="S617" s="55">
        <f>VLOOKUP(E617,'NI-San_SP'!$C:$AN,30,FALSE)</f>
        <v>0</v>
      </c>
      <c r="T617" s="94">
        <f>VLOOKUP(E617,'NI-San_SP'!$C:$AN,31,FALSE)+VLOOKUP(E617,'NI-San_SP'!$C:$AN,32,FALSE)</f>
        <v>0</v>
      </c>
      <c r="U617" s="55">
        <f>VLOOKUP($E617,'NI-San_SP'!$C:$AN,MID(U$1,1,2),FALSE)</f>
        <v>0</v>
      </c>
      <c r="V617" s="55">
        <f>VLOOKUP($E617,'NI-San_SP'!$C:$AN,MID(V$1,1,2),FALSE)</f>
        <v>0</v>
      </c>
      <c r="W617" s="55">
        <f>VLOOKUP($E617,'NI-San_SP'!$C:$AN,MID(W$1,1,2),FALSE)</f>
        <v>0</v>
      </c>
      <c r="X617" s="55">
        <f>VLOOKUP($E617,'NI-San_SP'!$C:$AN,MID(X$1,1,2),FALSE)</f>
        <v>0</v>
      </c>
      <c r="Y617" s="55">
        <f>VLOOKUP($E617,'NI-San_SP'!$C:$AN,MID(Y$1,1,2),FALSE)</f>
        <v>0</v>
      </c>
      <c r="Z617" s="55">
        <f>VLOOKUP($E617,'NI-San_SP'!$C:$AN,MID(Z$1,1,2),FALSE)</f>
        <v>0</v>
      </c>
      <c r="AA617" s="55">
        <f>VLOOKUP($E617,'NI-San_SP'!$C:$AN,MID(AA$1,1,2),FALSE)</f>
        <v>0</v>
      </c>
      <c r="AB617" s="55">
        <f>VLOOKUP($E617,'NI-San_SP'!$C:$AN,MID(AB$1,1,2),FALSE)</f>
        <v>0</v>
      </c>
      <c r="AC617" s="55">
        <f>VLOOKUP($E617,'NI-San_SP'!$C:$AN,MID(AC$1,1,2),FALSE)</f>
        <v>0</v>
      </c>
      <c r="AD617" s="55">
        <f>VLOOKUP($E617,'NI-San_SP'!$C:$AN,MID(AD$1,1,2),FALSE)</f>
        <v>0</v>
      </c>
      <c r="AE617" s="55">
        <f>VLOOKUP($E617,'NI-San_SP'!$C:$AN,MID(AE$1,1,2),FALSE)</f>
        <v>0</v>
      </c>
      <c r="AF617" s="55">
        <f>VLOOKUP($E617,'NI-San_SP'!$C:$AN,MID(AF$1,1,2),FALSE)</f>
        <v>0</v>
      </c>
      <c r="AG617" s="55">
        <f>VLOOKUP($E617,'NI-San_SP'!$C:$AN,MID(AG$1,1,2),FALSE)</f>
        <v>0</v>
      </c>
      <c r="AH617" s="55">
        <f>VLOOKUP($E617,'NI-San_SP'!$C:$AN,MID(AH$1,1,2),FALSE)</f>
        <v>0</v>
      </c>
      <c r="AI617" s="55">
        <f>VLOOKUP($E617,'NI-San_SP'!$C:$AN,MID(AI$1,1,2),FALSE)</f>
        <v>0</v>
      </c>
      <c r="AJ617" s="55">
        <f>VLOOKUP($E617,'NI-San_SP'!$C:$AN,MID(AJ$1,1,2),FALSE)</f>
        <v>0</v>
      </c>
      <c r="AK617" s="55">
        <f>VLOOKUP($E617,'NI-San_SP'!$C:$AN,MID(AK$1,1,2),FALSE)</f>
        <v>0</v>
      </c>
      <c r="AL617" s="55">
        <f>VLOOKUP($E617,'NI-San_SP'!$C:$AN,MID(AL$1,1,2),FALSE)</f>
        <v>0</v>
      </c>
      <c r="AM617" s="56">
        <f>VLOOKUP($E617,'NI-San_SP'!$C:$AN,MID(AM$1,1,2),FALSE)</f>
        <v>0</v>
      </c>
      <c r="AN617" s="30" t="str">
        <f t="shared" si="9"/>
        <v>70501010010000</v>
      </c>
    </row>
    <row r="618" spans="1:40" x14ac:dyDescent="0.25">
      <c r="C618" s="40"/>
      <c r="D618" s="91" t="s">
        <v>2365</v>
      </c>
      <c r="E618" s="91" t="s">
        <v>2366</v>
      </c>
      <c r="F618" s="58" t="s">
        <v>110</v>
      </c>
      <c r="G618" s="96" t="s">
        <v>1608</v>
      </c>
      <c r="H618" s="52"/>
      <c r="I618" s="52"/>
      <c r="J618" s="52"/>
      <c r="K618" s="59" t="s">
        <v>1358</v>
      </c>
      <c r="L618" s="52"/>
      <c r="M618" s="52"/>
      <c r="N618" s="52"/>
      <c r="O618" s="61" t="s">
        <v>2363</v>
      </c>
      <c r="P618" s="76" t="s">
        <v>2367</v>
      </c>
      <c r="Q618" s="55">
        <f>VLOOKUP(E618,'NI-San_SP'!$C:$AN,12,FALSE)</f>
        <v>0</v>
      </c>
      <c r="R618" s="55">
        <f>VLOOKUP(E618,'NI-San_SP'!$C:$AN,13,FALSE)</f>
        <v>0</v>
      </c>
      <c r="S618" s="55"/>
      <c r="T618" s="94"/>
      <c r="U618" s="55">
        <f>VLOOKUP($E618,'NI-San_SP'!$C:$AN,MID(U$1,1,2),FALSE)</f>
        <v>0</v>
      </c>
      <c r="V618" s="55">
        <f>VLOOKUP($E618,'NI-San_SP'!$C:$AN,MID(V$1,1,2),FALSE)</f>
        <v>0</v>
      </c>
      <c r="W618" s="55">
        <f>VLOOKUP($E618,'NI-San_SP'!$C:$AN,MID(W$1,1,2),FALSE)</f>
        <v>0</v>
      </c>
      <c r="X618" s="55">
        <f>VLOOKUP($E618,'NI-San_SP'!$C:$AN,MID(X$1,1,2),FALSE)</f>
        <v>0</v>
      </c>
      <c r="Y618" s="55">
        <f>VLOOKUP($E618,'NI-San_SP'!$C:$AN,MID(Y$1,1,2),FALSE)</f>
        <v>0</v>
      </c>
      <c r="Z618" s="55">
        <f>VLOOKUP($E618,'NI-San_SP'!$C:$AN,MID(Z$1,1,2),FALSE)</f>
        <v>0</v>
      </c>
      <c r="AA618" s="55">
        <f>VLOOKUP($E618,'NI-San_SP'!$C:$AN,MID(AA$1,1,2),FALSE)</f>
        <v>0</v>
      </c>
      <c r="AB618" s="55">
        <f>VLOOKUP($E618,'NI-San_SP'!$C:$AN,MID(AB$1,1,2),FALSE)</f>
        <v>0</v>
      </c>
      <c r="AC618" s="55">
        <f>VLOOKUP($E618,'NI-San_SP'!$C:$AN,MID(AC$1,1,2),FALSE)</f>
        <v>0</v>
      </c>
      <c r="AD618" s="55">
        <f>VLOOKUP($E618,'NI-San_SP'!$C:$AN,MID(AD$1,1,2),FALSE)</f>
        <v>0</v>
      </c>
      <c r="AE618" s="55">
        <f>VLOOKUP($E618,'NI-San_SP'!$C:$AN,MID(AE$1,1,2),FALSE)</f>
        <v>0</v>
      </c>
      <c r="AF618" s="55">
        <f>VLOOKUP($E618,'NI-San_SP'!$C:$AN,MID(AF$1,1,2),FALSE)</f>
        <v>0</v>
      </c>
      <c r="AG618" s="55">
        <f>VLOOKUP($E618,'NI-San_SP'!$C:$AN,MID(AG$1,1,2),FALSE)</f>
        <v>0</v>
      </c>
      <c r="AH618" s="55">
        <f>VLOOKUP($E618,'NI-San_SP'!$C:$AN,MID(AH$1,1,2),FALSE)</f>
        <v>0</v>
      </c>
      <c r="AI618" s="55">
        <f>VLOOKUP($E618,'NI-San_SP'!$C:$AN,MID(AI$1,1,2),FALSE)</f>
        <v>0</v>
      </c>
      <c r="AJ618" s="55">
        <f>VLOOKUP($E618,'NI-San_SP'!$C:$AN,MID(AJ$1,1,2),FALSE)</f>
        <v>0</v>
      </c>
      <c r="AK618" s="55">
        <f>VLOOKUP($E618,'NI-San_SP'!$C:$AN,MID(AK$1,1,2),FALSE)</f>
        <v>0</v>
      </c>
      <c r="AL618" s="55">
        <f>VLOOKUP($E618,'NI-San_SP'!$C:$AN,MID(AL$1,1,2),FALSE)</f>
        <v>0</v>
      </c>
      <c r="AM618" s="56">
        <f>VLOOKUP($E618,'NI-San_SP'!$C:$AN,MID(AM$1,1,2),FALSE)</f>
        <v>0</v>
      </c>
      <c r="AN618" s="30" t="str">
        <f t="shared" si="9"/>
        <v>70501010020000</v>
      </c>
    </row>
    <row r="619" spans="1:40" ht="14.25" customHeight="1" x14ac:dyDescent="0.25">
      <c r="C619" s="40"/>
      <c r="D619" s="91" t="s">
        <v>2368</v>
      </c>
      <c r="E619" s="91" t="s">
        <v>2369</v>
      </c>
      <c r="F619" s="58" t="s">
        <v>110</v>
      </c>
      <c r="G619" s="96" t="s">
        <v>1608</v>
      </c>
      <c r="H619" s="52"/>
      <c r="I619" s="52"/>
      <c r="J619" s="52"/>
      <c r="K619" s="59" t="s">
        <v>1358</v>
      </c>
      <c r="L619" s="52"/>
      <c r="M619" s="52"/>
      <c r="N619" s="52"/>
      <c r="O619" s="61" t="e">
        <f>C639+Codifica_SP!F1848=+O620+O621+O623+O630+O631+O635+O636+O637+O638+O640+O639+O641</f>
        <v>#VALUE!</v>
      </c>
      <c r="P619" s="76" t="s">
        <v>2370</v>
      </c>
      <c r="Q619" s="55">
        <f>VLOOKUP(E619,'NI-San_SP'!$C:$AN,12,FALSE)</f>
        <v>0</v>
      </c>
      <c r="R619" s="55">
        <f>VLOOKUP(E619,'NI-San_SP'!$C:$AN,13,FALSE)</f>
        <v>0</v>
      </c>
      <c r="S619" s="55">
        <f>VLOOKUP(E619,'NI-San_SP'!$C:$AN,30,FALSE)</f>
        <v>0</v>
      </c>
      <c r="T619" s="94">
        <f>VLOOKUP(E619,'NI-San_SP'!$C:$AN,31,FALSE)+VLOOKUP(E619,'NI-San_SP'!$C:$AN,32,FALSE)</f>
        <v>0</v>
      </c>
      <c r="U619" s="55">
        <f>VLOOKUP($E619,'NI-San_SP'!$C:$AN,MID(U$1,1,2),FALSE)</f>
        <v>0</v>
      </c>
      <c r="V619" s="55">
        <f>VLOOKUP($E619,'NI-San_SP'!$C:$AN,MID(V$1,1,2),FALSE)</f>
        <v>0</v>
      </c>
      <c r="W619" s="55">
        <f>VLOOKUP($E619,'NI-San_SP'!$C:$AN,MID(W$1,1,2),FALSE)</f>
        <v>0</v>
      </c>
      <c r="X619" s="55">
        <f>VLOOKUP($E619,'NI-San_SP'!$C:$AN,MID(X$1,1,2),FALSE)</f>
        <v>0</v>
      </c>
      <c r="Y619" s="55">
        <f>VLOOKUP($E619,'NI-San_SP'!$C:$AN,MID(Y$1,1,2),FALSE)</f>
        <v>0</v>
      </c>
      <c r="Z619" s="55">
        <f>VLOOKUP($E619,'NI-San_SP'!$C:$AN,MID(Z$1,1,2),FALSE)</f>
        <v>0</v>
      </c>
      <c r="AA619" s="55">
        <f>VLOOKUP($E619,'NI-San_SP'!$C:$AN,MID(AA$1,1,2),FALSE)</f>
        <v>0</v>
      </c>
      <c r="AB619" s="55">
        <f>VLOOKUP($E619,'NI-San_SP'!$C:$AN,MID(AB$1,1,2),FALSE)</f>
        <v>0</v>
      </c>
      <c r="AC619" s="55">
        <f>VLOOKUP($E619,'NI-San_SP'!$C:$AN,MID(AC$1,1,2),FALSE)</f>
        <v>0</v>
      </c>
      <c r="AD619" s="55">
        <f>VLOOKUP($E619,'NI-San_SP'!$C:$AN,MID(AD$1,1,2),FALSE)</f>
        <v>0</v>
      </c>
      <c r="AE619" s="55">
        <f>VLOOKUP($E619,'NI-San_SP'!$C:$AN,MID(AE$1,1,2),FALSE)</f>
        <v>0</v>
      </c>
      <c r="AF619" s="55">
        <f>VLOOKUP($E619,'NI-San_SP'!$C:$AN,MID(AF$1,1,2),FALSE)</f>
        <v>0</v>
      </c>
      <c r="AG619" s="55">
        <f>VLOOKUP($E619,'NI-San_SP'!$C:$AN,MID(AG$1,1,2),FALSE)</f>
        <v>0</v>
      </c>
      <c r="AH619" s="55">
        <f>VLOOKUP($E619,'NI-San_SP'!$C:$AN,MID(AH$1,1,2),FALSE)</f>
        <v>0</v>
      </c>
      <c r="AI619" s="55">
        <f>VLOOKUP($E619,'NI-San_SP'!$C:$AN,MID(AI$1,1,2),FALSE)</f>
        <v>0</v>
      </c>
      <c r="AJ619" s="55">
        <f>VLOOKUP($E619,'NI-San_SP'!$C:$AN,MID(AJ$1,1,2),FALSE)</f>
        <v>0</v>
      </c>
      <c r="AK619" s="55">
        <f>VLOOKUP($E619,'NI-San_SP'!$C:$AN,MID(AK$1,1,2),FALSE)</f>
        <v>0</v>
      </c>
      <c r="AL619" s="55">
        <f>VLOOKUP($E619,'NI-San_SP'!$C:$AN,MID(AL$1,1,2),FALSE)</f>
        <v>0</v>
      </c>
      <c r="AM619" s="56">
        <f>VLOOKUP($E619,'NI-San_SP'!$C:$AN,MID(AM$1,1,2),FALSE)</f>
        <v>0</v>
      </c>
      <c r="AN619" s="30" t="str">
        <f t="shared" si="9"/>
        <v>70501010030000</v>
      </c>
    </row>
    <row r="620" spans="1:40" ht="14.25" customHeight="1" x14ac:dyDescent="0.25">
      <c r="C620" s="40"/>
      <c r="D620" s="91" t="s">
        <v>2371</v>
      </c>
      <c r="E620" s="91" t="s">
        <v>2372</v>
      </c>
      <c r="F620" s="58" t="s">
        <v>110</v>
      </c>
      <c r="G620" s="96" t="s">
        <v>1608</v>
      </c>
      <c r="H620" s="52"/>
      <c r="I620" s="52"/>
      <c r="J620" s="52"/>
      <c r="K620" s="59" t="s">
        <v>1358</v>
      </c>
      <c r="L620" s="52"/>
      <c r="M620" s="52"/>
      <c r="N620" s="52"/>
      <c r="O620" s="61" t="s">
        <v>2363</v>
      </c>
      <c r="P620" s="76" t="s">
        <v>2373</v>
      </c>
      <c r="Q620" s="55">
        <f>VLOOKUP(E620,'NI-San_SP'!$C:$AN,12,FALSE)</f>
        <v>0</v>
      </c>
      <c r="R620" s="55">
        <f>VLOOKUP(E620,'NI-San_SP'!$C:$AN,13,FALSE)</f>
        <v>0</v>
      </c>
      <c r="S620" s="55"/>
      <c r="T620" s="94"/>
      <c r="U620" s="55">
        <f>VLOOKUP($E620,'NI-San_SP'!$C:$AN,MID(U$1,1,2),FALSE)</f>
        <v>0</v>
      </c>
      <c r="V620" s="55">
        <f>VLOOKUP($E620,'NI-San_SP'!$C:$AN,MID(V$1,1,2),FALSE)</f>
        <v>0</v>
      </c>
      <c r="W620" s="55">
        <f>VLOOKUP($E620,'NI-San_SP'!$C:$AN,MID(W$1,1,2),FALSE)</f>
        <v>0</v>
      </c>
      <c r="X620" s="55">
        <f>VLOOKUP($E620,'NI-San_SP'!$C:$AN,MID(X$1,1,2),FALSE)</f>
        <v>0</v>
      </c>
      <c r="Y620" s="55">
        <f>VLOOKUP($E620,'NI-San_SP'!$C:$AN,MID(Y$1,1,2),FALSE)</f>
        <v>0</v>
      </c>
      <c r="Z620" s="55">
        <f>VLOOKUP($E620,'NI-San_SP'!$C:$AN,MID(Z$1,1,2),FALSE)</f>
        <v>0</v>
      </c>
      <c r="AA620" s="55">
        <f>VLOOKUP($E620,'NI-San_SP'!$C:$AN,MID(AA$1,1,2),FALSE)</f>
        <v>0</v>
      </c>
      <c r="AB620" s="55">
        <f>VLOOKUP($E620,'NI-San_SP'!$C:$AN,MID(AB$1,1,2),FALSE)</f>
        <v>0</v>
      </c>
      <c r="AC620" s="55">
        <f>VLOOKUP($E620,'NI-San_SP'!$C:$AN,MID(AC$1,1,2),FALSE)</f>
        <v>0</v>
      </c>
      <c r="AD620" s="55">
        <f>VLOOKUP($E620,'NI-San_SP'!$C:$AN,MID(AD$1,1,2),FALSE)</f>
        <v>0</v>
      </c>
      <c r="AE620" s="55">
        <f>VLOOKUP($E620,'NI-San_SP'!$C:$AN,MID(AE$1,1,2),FALSE)</f>
        <v>0</v>
      </c>
      <c r="AF620" s="55">
        <f>VLOOKUP($E620,'NI-San_SP'!$C:$AN,MID(AF$1,1,2),FALSE)</f>
        <v>0</v>
      </c>
      <c r="AG620" s="55">
        <f>VLOOKUP($E620,'NI-San_SP'!$C:$AN,MID(AG$1,1,2),FALSE)</f>
        <v>0</v>
      </c>
      <c r="AH620" s="55">
        <f>VLOOKUP($E620,'NI-San_SP'!$C:$AN,MID(AH$1,1,2),FALSE)</f>
        <v>0</v>
      </c>
      <c r="AI620" s="55">
        <f>VLOOKUP($E620,'NI-San_SP'!$C:$AN,MID(AI$1,1,2),FALSE)</f>
        <v>0</v>
      </c>
      <c r="AJ620" s="55">
        <f>VLOOKUP($E620,'NI-San_SP'!$C:$AN,MID(AJ$1,1,2),FALSE)</f>
        <v>0</v>
      </c>
      <c r="AK620" s="55">
        <f>VLOOKUP($E620,'NI-San_SP'!$C:$AN,MID(AK$1,1,2),FALSE)</f>
        <v>0</v>
      </c>
      <c r="AL620" s="55">
        <f>VLOOKUP($E620,'NI-San_SP'!$C:$AN,MID(AL$1,1,2),FALSE)</f>
        <v>0</v>
      </c>
      <c r="AM620" s="56">
        <f>VLOOKUP($E620,'NI-San_SP'!$C:$AN,MID(AM$1,1,2),FALSE)</f>
        <v>0</v>
      </c>
      <c r="AN620" s="30" t="str">
        <f t="shared" si="9"/>
        <v>70501010040000</v>
      </c>
    </row>
    <row r="621" spans="1:40" x14ac:dyDescent="0.25">
      <c r="C621" s="40"/>
      <c r="D621" s="91" t="s">
        <v>2374</v>
      </c>
      <c r="E621" s="91" t="s">
        <v>2375</v>
      </c>
      <c r="F621" s="58" t="s">
        <v>110</v>
      </c>
      <c r="G621" s="96" t="s">
        <v>1608</v>
      </c>
      <c r="H621" s="52"/>
      <c r="I621" s="52"/>
      <c r="J621" s="52"/>
      <c r="K621" s="59" t="s">
        <v>1358</v>
      </c>
      <c r="L621" s="52"/>
      <c r="M621" s="52"/>
      <c r="N621" s="52"/>
      <c r="O621" s="61" t="s">
        <v>2363</v>
      </c>
      <c r="P621" s="76" t="s">
        <v>2376</v>
      </c>
      <c r="Q621" s="55">
        <f>VLOOKUP(E621,'NI-San_SP'!$C:$AN,12,FALSE)</f>
        <v>0</v>
      </c>
      <c r="R621" s="55">
        <f>VLOOKUP(E621,'NI-San_SP'!$C:$AN,13,FALSE)</f>
        <v>0</v>
      </c>
      <c r="S621" s="55">
        <f>VLOOKUP(E621,'NI-San_SP'!$C:$AN,30,FALSE)</f>
        <v>0</v>
      </c>
      <c r="T621" s="94">
        <f>VLOOKUP(E621,'NI-San_SP'!$C:$AN,31,FALSE)+VLOOKUP(E621,'NI-San_SP'!$C:$AN,32,FALSE)</f>
        <v>0</v>
      </c>
      <c r="U621" s="55">
        <f>VLOOKUP($E621,'NI-San_SP'!$C:$AN,MID(U$1,1,2),FALSE)</f>
        <v>0</v>
      </c>
      <c r="V621" s="55">
        <f>VLOOKUP($E621,'NI-San_SP'!$C:$AN,MID(V$1,1,2),FALSE)</f>
        <v>0</v>
      </c>
      <c r="W621" s="55">
        <f>VLOOKUP($E621,'NI-San_SP'!$C:$AN,MID(W$1,1,2),FALSE)</f>
        <v>0</v>
      </c>
      <c r="X621" s="55">
        <f>VLOOKUP($E621,'NI-San_SP'!$C:$AN,MID(X$1,1,2),FALSE)</f>
        <v>0</v>
      </c>
      <c r="Y621" s="55">
        <f>VLOOKUP($E621,'NI-San_SP'!$C:$AN,MID(Y$1,1,2),FALSE)</f>
        <v>0</v>
      </c>
      <c r="Z621" s="55">
        <f>VLOOKUP($E621,'NI-San_SP'!$C:$AN,MID(Z$1,1,2),FALSE)</f>
        <v>0</v>
      </c>
      <c r="AA621" s="55">
        <f>VLOOKUP($E621,'NI-San_SP'!$C:$AN,MID(AA$1,1,2),FALSE)</f>
        <v>0</v>
      </c>
      <c r="AB621" s="55">
        <f>VLOOKUP($E621,'NI-San_SP'!$C:$AN,MID(AB$1,1,2),FALSE)</f>
        <v>0</v>
      </c>
      <c r="AC621" s="55">
        <f>VLOOKUP($E621,'NI-San_SP'!$C:$AN,MID(AC$1,1,2),FALSE)</f>
        <v>0</v>
      </c>
      <c r="AD621" s="55">
        <f>VLOOKUP($E621,'NI-San_SP'!$C:$AN,MID(AD$1,1,2),FALSE)</f>
        <v>0</v>
      </c>
      <c r="AE621" s="55">
        <f>VLOOKUP($E621,'NI-San_SP'!$C:$AN,MID(AE$1,1,2),FALSE)</f>
        <v>0</v>
      </c>
      <c r="AF621" s="55">
        <f>VLOOKUP($E621,'NI-San_SP'!$C:$AN,MID(AF$1,1,2),FALSE)</f>
        <v>0</v>
      </c>
      <c r="AG621" s="55">
        <f>VLOOKUP($E621,'NI-San_SP'!$C:$AN,MID(AG$1,1,2),FALSE)</f>
        <v>0</v>
      </c>
      <c r="AH621" s="55">
        <f>VLOOKUP($E621,'NI-San_SP'!$C:$AN,MID(AH$1,1,2),FALSE)</f>
        <v>0</v>
      </c>
      <c r="AI621" s="55">
        <f>VLOOKUP($E621,'NI-San_SP'!$C:$AN,MID(AI$1,1,2),FALSE)</f>
        <v>0</v>
      </c>
      <c r="AJ621" s="55">
        <f>VLOOKUP($E621,'NI-San_SP'!$C:$AN,MID(AJ$1,1,2),FALSE)</f>
        <v>0</v>
      </c>
      <c r="AK621" s="55">
        <f>VLOOKUP($E621,'NI-San_SP'!$C:$AN,MID(AK$1,1,2),FALSE)</f>
        <v>0</v>
      </c>
      <c r="AL621" s="55">
        <f>VLOOKUP($E621,'NI-San_SP'!$C:$AN,MID(AL$1,1,2),FALSE)</f>
        <v>0</v>
      </c>
      <c r="AM621" s="56">
        <f>VLOOKUP($E621,'NI-San_SP'!$C:$AN,MID(AM$1,1,2),FALSE)</f>
        <v>0</v>
      </c>
      <c r="AN621" s="30" t="str">
        <f t="shared" si="9"/>
        <v>70501010050000</v>
      </c>
    </row>
    <row r="622" spans="1:40" x14ac:dyDescent="0.25">
      <c r="C622" s="40"/>
      <c r="D622" s="91" t="s">
        <v>2377</v>
      </c>
      <c r="E622" s="91" t="s">
        <v>2378</v>
      </c>
      <c r="F622" s="58" t="s">
        <v>110</v>
      </c>
      <c r="G622" s="96" t="s">
        <v>1608</v>
      </c>
      <c r="H622" s="52"/>
      <c r="I622" s="52"/>
      <c r="J622" s="52"/>
      <c r="K622" s="59" t="s">
        <v>1358</v>
      </c>
      <c r="L622" s="52"/>
      <c r="M622" s="52"/>
      <c r="N622" s="52"/>
      <c r="O622" s="61" t="s">
        <v>2363</v>
      </c>
      <c r="P622" s="97" t="s">
        <v>2379</v>
      </c>
      <c r="Q622" s="55">
        <f>VLOOKUP(E622,'NI-San_SP'!$C:$AN,12,FALSE)</f>
        <v>0</v>
      </c>
      <c r="R622" s="55">
        <f>VLOOKUP(E622,'NI-San_SP'!$C:$AN,13,FALSE)</f>
        <v>0</v>
      </c>
      <c r="S622" s="55">
        <f>VLOOKUP(E622,'NI-San_SP'!$C:$AN,30,FALSE)</f>
        <v>0</v>
      </c>
      <c r="T622" s="94">
        <f>VLOOKUP(E622,'NI-San_SP'!$C:$AN,31,FALSE)+VLOOKUP(E622,'NI-San_SP'!$C:$AN,32,FALSE)</f>
        <v>0</v>
      </c>
      <c r="U622" s="55">
        <f>VLOOKUP($E622,'NI-San_SP'!$C:$AN,MID(U$1,1,2),FALSE)</f>
        <v>0</v>
      </c>
      <c r="V622" s="55">
        <f>VLOOKUP($E622,'NI-San_SP'!$C:$AN,MID(V$1,1,2),FALSE)</f>
        <v>0</v>
      </c>
      <c r="W622" s="55">
        <f>VLOOKUP($E622,'NI-San_SP'!$C:$AN,MID(W$1,1,2),FALSE)</f>
        <v>0</v>
      </c>
      <c r="X622" s="55">
        <f>VLOOKUP($E622,'NI-San_SP'!$C:$AN,MID(X$1,1,2),FALSE)</f>
        <v>0</v>
      </c>
      <c r="Y622" s="55">
        <f>VLOOKUP($E622,'NI-San_SP'!$C:$AN,MID(Y$1,1,2),FALSE)</f>
        <v>0</v>
      </c>
      <c r="Z622" s="55">
        <f>VLOOKUP($E622,'NI-San_SP'!$C:$AN,MID(Z$1,1,2),FALSE)</f>
        <v>0</v>
      </c>
      <c r="AA622" s="55">
        <f>VLOOKUP($E622,'NI-San_SP'!$C:$AN,MID(AA$1,1,2),FALSE)</f>
        <v>0</v>
      </c>
      <c r="AB622" s="55">
        <f>VLOOKUP($E622,'NI-San_SP'!$C:$AN,MID(AB$1,1,2),FALSE)</f>
        <v>0</v>
      </c>
      <c r="AC622" s="55">
        <f>VLOOKUP($E622,'NI-San_SP'!$C:$AN,MID(AC$1,1,2),FALSE)</f>
        <v>0</v>
      </c>
      <c r="AD622" s="55">
        <f>VLOOKUP($E622,'NI-San_SP'!$C:$AN,MID(AD$1,1,2),FALSE)</f>
        <v>0</v>
      </c>
      <c r="AE622" s="55">
        <f>VLOOKUP($E622,'NI-San_SP'!$C:$AN,MID(AE$1,1,2),FALSE)</f>
        <v>0</v>
      </c>
      <c r="AF622" s="55">
        <f>VLOOKUP($E622,'NI-San_SP'!$C:$AN,MID(AF$1,1,2),FALSE)</f>
        <v>0</v>
      </c>
      <c r="AG622" s="55">
        <f>VLOOKUP($E622,'NI-San_SP'!$C:$AN,MID(AG$1,1,2),FALSE)</f>
        <v>0</v>
      </c>
      <c r="AH622" s="55">
        <f>VLOOKUP($E622,'NI-San_SP'!$C:$AN,MID(AH$1,1,2),FALSE)</f>
        <v>0</v>
      </c>
      <c r="AI622" s="55">
        <f>VLOOKUP($E622,'NI-San_SP'!$C:$AN,MID(AI$1,1,2),FALSE)</f>
        <v>0</v>
      </c>
      <c r="AJ622" s="55">
        <f>VLOOKUP($E622,'NI-San_SP'!$C:$AN,MID(AJ$1,1,2),FALSE)</f>
        <v>0</v>
      </c>
      <c r="AK622" s="55">
        <f>VLOOKUP($E622,'NI-San_SP'!$C:$AN,MID(AK$1,1,2),FALSE)</f>
        <v>0</v>
      </c>
      <c r="AL622" s="55">
        <f>VLOOKUP($E622,'NI-San_SP'!$C:$AN,MID(AL$1,1,2),FALSE)</f>
        <v>0</v>
      </c>
      <c r="AM622" s="56">
        <f>VLOOKUP($E622,'NI-San_SP'!$C:$AN,MID(AM$1,1,2),FALSE)</f>
        <v>0</v>
      </c>
      <c r="AN622" s="30" t="str">
        <f t="shared" si="9"/>
        <v>70501010060000</v>
      </c>
    </row>
    <row r="623" spans="1:40" ht="27" x14ac:dyDescent="0.25">
      <c r="C623" s="40"/>
      <c r="D623" s="91" t="s">
        <v>2380</v>
      </c>
      <c r="E623" s="91" t="s">
        <v>2381</v>
      </c>
      <c r="F623" s="58" t="s">
        <v>110</v>
      </c>
      <c r="G623" s="96" t="s">
        <v>1608</v>
      </c>
      <c r="H623" s="52"/>
      <c r="I623" s="52" t="s">
        <v>2382</v>
      </c>
      <c r="J623" s="52" t="s">
        <v>2382</v>
      </c>
      <c r="K623" s="59" t="s">
        <v>1358</v>
      </c>
      <c r="L623" s="52"/>
      <c r="M623" s="52"/>
      <c r="N623" s="52"/>
      <c r="O623" s="61" t="s">
        <v>2383</v>
      </c>
      <c r="P623" s="76" t="s">
        <v>2384</v>
      </c>
      <c r="Q623" s="55">
        <f>VLOOKUP(E623,'NI-San_SP'!$C:$AN,12,FALSE)</f>
        <v>0</v>
      </c>
      <c r="R623" s="55">
        <f>VLOOKUP(E623,'NI-San_SP'!$C:$AN,13,FALSE)</f>
        <v>0</v>
      </c>
      <c r="S623" s="55">
        <f>VLOOKUP(E623,'NI-San_SP'!$C:$AN,30,FALSE)</f>
        <v>0</v>
      </c>
      <c r="T623" s="94">
        <f>VLOOKUP(E623,'NI-San_SP'!$C:$AN,31,FALSE)+VLOOKUP(E623,'NI-San_SP'!$C:$AN,32,FALSE)</f>
        <v>0</v>
      </c>
      <c r="U623" s="55">
        <f>VLOOKUP($E623,'NI-San_SP'!$C:$AN,MID(U$1,1,2),FALSE)</f>
        <v>0</v>
      </c>
      <c r="V623" s="55">
        <f>VLOOKUP($E623,'NI-San_SP'!$C:$AN,MID(V$1,1,2),FALSE)</f>
        <v>0</v>
      </c>
      <c r="W623" s="55">
        <f>VLOOKUP($E623,'NI-San_SP'!$C:$AN,MID(W$1,1,2),FALSE)</f>
        <v>0</v>
      </c>
      <c r="X623" s="55">
        <f>VLOOKUP($E623,'NI-San_SP'!$C:$AN,MID(X$1,1,2),FALSE)</f>
        <v>0</v>
      </c>
      <c r="Y623" s="55">
        <f>VLOOKUP($E623,'NI-San_SP'!$C:$AN,MID(Y$1,1,2),FALSE)</f>
        <v>0</v>
      </c>
      <c r="Z623" s="55">
        <f>VLOOKUP($E623,'NI-San_SP'!$C:$AN,MID(Z$1,1,2),FALSE)</f>
        <v>0</v>
      </c>
      <c r="AA623" s="55">
        <f>VLOOKUP($E623,'NI-San_SP'!$C:$AN,MID(AA$1,1,2),FALSE)</f>
        <v>0</v>
      </c>
      <c r="AB623" s="55">
        <f>VLOOKUP($E623,'NI-San_SP'!$C:$AN,MID(AB$1,1,2),FALSE)</f>
        <v>0</v>
      </c>
      <c r="AC623" s="55">
        <f>VLOOKUP($E623,'NI-San_SP'!$C:$AN,MID(AC$1,1,2),FALSE)</f>
        <v>0</v>
      </c>
      <c r="AD623" s="55">
        <f>VLOOKUP($E623,'NI-San_SP'!$C:$AN,MID(AD$1,1,2),FALSE)</f>
        <v>0</v>
      </c>
      <c r="AE623" s="55">
        <f>VLOOKUP($E623,'NI-San_SP'!$C:$AN,MID(AE$1,1,2),FALSE)</f>
        <v>0</v>
      </c>
      <c r="AF623" s="55">
        <f>VLOOKUP($E623,'NI-San_SP'!$C:$AN,MID(AF$1,1,2),FALSE)</f>
        <v>0</v>
      </c>
      <c r="AG623" s="55">
        <f>VLOOKUP($E623,'NI-San_SP'!$C:$AN,MID(AG$1,1,2),FALSE)</f>
        <v>0</v>
      </c>
      <c r="AH623" s="55">
        <f>VLOOKUP($E623,'NI-San_SP'!$C:$AN,MID(AH$1,1,2),FALSE)</f>
        <v>0</v>
      </c>
      <c r="AI623" s="55">
        <f>VLOOKUP($E623,'NI-San_SP'!$C:$AN,MID(AI$1,1,2),FALSE)</f>
        <v>0</v>
      </c>
      <c r="AJ623" s="55">
        <f>VLOOKUP($E623,'NI-San_SP'!$C:$AN,MID(AJ$1,1,2),FALSE)</f>
        <v>0</v>
      </c>
      <c r="AK623" s="55">
        <f>VLOOKUP($E623,'NI-San_SP'!$C:$AN,MID(AK$1,1,2),FALSE)</f>
        <v>0</v>
      </c>
      <c r="AL623" s="55">
        <f>VLOOKUP($E623,'NI-San_SP'!$C:$AN,MID(AL$1,1,2),FALSE)</f>
        <v>0</v>
      </c>
      <c r="AM623" s="56">
        <f>VLOOKUP($E623,'NI-San_SP'!$C:$AN,MID(AM$1,1,2),FALSE)</f>
        <v>0</v>
      </c>
      <c r="AN623" s="30" t="str">
        <f t="shared" si="9"/>
        <v>70501020000000</v>
      </c>
    </row>
    <row r="624" spans="1:40" ht="27" x14ac:dyDescent="0.25">
      <c r="C624" s="40"/>
      <c r="D624" s="91" t="s">
        <v>2385</v>
      </c>
      <c r="E624" s="91" t="s">
        <v>2386</v>
      </c>
      <c r="F624" s="58" t="s">
        <v>110</v>
      </c>
      <c r="G624" s="96" t="s">
        <v>1608</v>
      </c>
      <c r="H624" s="52"/>
      <c r="I624" s="52" t="s">
        <v>2387</v>
      </c>
      <c r="J624" s="52" t="s">
        <v>2387</v>
      </c>
      <c r="K624" s="59" t="s">
        <v>1358</v>
      </c>
      <c r="L624" s="52"/>
      <c r="M624" s="52"/>
      <c r="N624" s="52"/>
      <c r="O624" s="61" t="s">
        <v>2388</v>
      </c>
      <c r="P624" s="76" t="s">
        <v>2389</v>
      </c>
      <c r="Q624" s="55">
        <f>VLOOKUP(E624,'NI-San_SP'!$C:$AN,12,FALSE)</f>
        <v>0</v>
      </c>
      <c r="R624" s="55">
        <f>VLOOKUP(E624,'NI-San_SP'!$C:$AN,13,FALSE)</f>
        <v>0</v>
      </c>
      <c r="S624" s="55">
        <f>VLOOKUP(E624,'NI-San_SP'!$C:$AN,30,FALSE)</f>
        <v>0</v>
      </c>
      <c r="T624" s="94">
        <f>VLOOKUP(E624,'NI-San_SP'!$C:$AN,31,FALSE)+VLOOKUP(E624,'NI-San_SP'!$C:$AN,32,FALSE)</f>
        <v>0</v>
      </c>
      <c r="U624" s="55">
        <f>VLOOKUP($E624,'NI-San_SP'!$C:$AN,MID(U$1,1,2),FALSE)</f>
        <v>0</v>
      </c>
      <c r="V624" s="55">
        <f>VLOOKUP($E624,'NI-San_SP'!$C:$AN,MID(V$1,1,2),FALSE)</f>
        <v>0</v>
      </c>
      <c r="W624" s="55">
        <f>VLOOKUP($E624,'NI-San_SP'!$C:$AN,MID(W$1,1,2),FALSE)</f>
        <v>0</v>
      </c>
      <c r="X624" s="55">
        <f>VLOOKUP($E624,'NI-San_SP'!$C:$AN,MID(X$1,1,2),FALSE)</f>
        <v>0</v>
      </c>
      <c r="Y624" s="55">
        <f>VLOOKUP($E624,'NI-San_SP'!$C:$AN,MID(Y$1,1,2),FALSE)</f>
        <v>0</v>
      </c>
      <c r="Z624" s="55">
        <f>VLOOKUP($E624,'NI-San_SP'!$C:$AN,MID(Z$1,1,2),FALSE)</f>
        <v>0</v>
      </c>
      <c r="AA624" s="55">
        <f>VLOOKUP($E624,'NI-San_SP'!$C:$AN,MID(AA$1,1,2),FALSE)</f>
        <v>0</v>
      </c>
      <c r="AB624" s="55">
        <f>VLOOKUP($E624,'NI-San_SP'!$C:$AN,MID(AB$1,1,2),FALSE)</f>
        <v>0</v>
      </c>
      <c r="AC624" s="55">
        <f>VLOOKUP($E624,'NI-San_SP'!$C:$AN,MID(AC$1,1,2),FALSE)</f>
        <v>0</v>
      </c>
      <c r="AD624" s="55">
        <f>VLOOKUP($E624,'NI-San_SP'!$C:$AN,MID(AD$1,1,2),FALSE)</f>
        <v>0</v>
      </c>
      <c r="AE624" s="55">
        <f>VLOOKUP($E624,'NI-San_SP'!$C:$AN,MID(AE$1,1,2),FALSE)</f>
        <v>0</v>
      </c>
      <c r="AF624" s="55">
        <f>VLOOKUP($E624,'NI-San_SP'!$C:$AN,MID(AF$1,1,2),FALSE)</f>
        <v>0</v>
      </c>
      <c r="AG624" s="55">
        <f>VLOOKUP($E624,'NI-San_SP'!$C:$AN,MID(AG$1,1,2),FALSE)</f>
        <v>0</v>
      </c>
      <c r="AH624" s="55">
        <f>VLOOKUP($E624,'NI-San_SP'!$C:$AN,MID(AH$1,1,2),FALSE)</f>
        <v>0</v>
      </c>
      <c r="AI624" s="55">
        <f>VLOOKUP($E624,'NI-San_SP'!$C:$AN,MID(AI$1,1,2),FALSE)</f>
        <v>0</v>
      </c>
      <c r="AJ624" s="55">
        <f>VLOOKUP($E624,'NI-San_SP'!$C:$AN,MID(AJ$1,1,2),FALSE)</f>
        <v>0</v>
      </c>
      <c r="AK624" s="55">
        <f>VLOOKUP($E624,'NI-San_SP'!$C:$AN,MID(AK$1,1,2),FALSE)</f>
        <v>0</v>
      </c>
      <c r="AL624" s="55">
        <f>VLOOKUP($E624,'NI-San_SP'!$C:$AN,MID(AL$1,1,2),FALSE)</f>
        <v>0</v>
      </c>
      <c r="AM624" s="56">
        <f>VLOOKUP($E624,'NI-San_SP'!$C:$AN,MID(AM$1,1,2),FALSE)</f>
        <v>0</v>
      </c>
      <c r="AN624" s="30" t="str">
        <f t="shared" si="9"/>
        <v>70501030000000</v>
      </c>
    </row>
    <row r="625" spans="1:40" x14ac:dyDescent="0.25">
      <c r="C625" s="40"/>
      <c r="D625" s="91" t="s">
        <v>2390</v>
      </c>
      <c r="E625" s="91" t="s">
        <v>2391</v>
      </c>
      <c r="F625" s="58" t="s">
        <v>110</v>
      </c>
      <c r="G625" s="96" t="s">
        <v>1608</v>
      </c>
      <c r="H625" s="52"/>
      <c r="I625" s="52" t="s">
        <v>2392</v>
      </c>
      <c r="J625" s="52" t="s">
        <v>2392</v>
      </c>
      <c r="K625" s="59" t="s">
        <v>111</v>
      </c>
      <c r="L625" s="52"/>
      <c r="M625" s="52"/>
      <c r="N625" s="52"/>
      <c r="O625" s="61" t="s">
        <v>2363</v>
      </c>
      <c r="P625" s="76" t="s">
        <v>2393</v>
      </c>
      <c r="Q625" s="55">
        <f>VLOOKUP(E625,'NI-San_SP'!$C:$AN,12,FALSE)</f>
        <v>4157082</v>
      </c>
      <c r="R625" s="55">
        <f>VLOOKUP(E625,'NI-San_SP'!$C:$AN,13,FALSE)</f>
        <v>4157082</v>
      </c>
      <c r="S625" s="55">
        <f>VLOOKUP(E625,'NI-San_SP'!$C:$AN,30,FALSE)</f>
        <v>0</v>
      </c>
      <c r="T625" s="94">
        <f>VLOOKUP(E625,'NI-San_SP'!$C:$AN,31,FALSE)+VLOOKUP(E625,'NI-San_SP'!$C:$AN,32,FALSE)</f>
        <v>4157082</v>
      </c>
      <c r="U625" s="55">
        <f>VLOOKUP($E625,'NI-San_SP'!$C:$AN,MID(U$1,1,2),FALSE)</f>
        <v>0</v>
      </c>
      <c r="V625" s="55">
        <f>VLOOKUP($E625,'NI-San_SP'!$C:$AN,MID(V$1,1,2),FALSE)</f>
        <v>4157082</v>
      </c>
      <c r="W625" s="55">
        <f>VLOOKUP($E625,'NI-San_SP'!$C:$AN,MID(W$1,1,2),FALSE)</f>
        <v>0</v>
      </c>
      <c r="X625" s="55">
        <f>VLOOKUP($E625,'NI-San_SP'!$C:$AN,MID(X$1,1,2),FALSE)</f>
        <v>0</v>
      </c>
      <c r="Y625" s="55">
        <f>VLOOKUP($E625,'NI-San_SP'!$C:$AN,MID(Y$1,1,2),FALSE)</f>
        <v>0</v>
      </c>
      <c r="Z625" s="55">
        <f>VLOOKUP($E625,'NI-San_SP'!$C:$AN,MID(Z$1,1,2),FALSE)</f>
        <v>0</v>
      </c>
      <c r="AA625" s="55">
        <f>VLOOKUP($E625,'NI-San_SP'!$C:$AN,MID(AA$1,1,2),FALSE)</f>
        <v>0</v>
      </c>
      <c r="AB625" s="55">
        <f>VLOOKUP($E625,'NI-San_SP'!$C:$AN,MID(AB$1,1,2),FALSE)</f>
        <v>0</v>
      </c>
      <c r="AC625" s="55">
        <f>VLOOKUP($E625,'NI-San_SP'!$C:$AN,MID(AC$1,1,2),FALSE)</f>
        <v>0</v>
      </c>
      <c r="AD625" s="55">
        <f>VLOOKUP($E625,'NI-San_SP'!$C:$AN,MID(AD$1,1,2),FALSE)</f>
        <v>4157082</v>
      </c>
      <c r="AE625" s="55">
        <f>VLOOKUP($E625,'NI-San_SP'!$C:$AN,MID(AE$1,1,2),FALSE)</f>
        <v>0</v>
      </c>
      <c r="AF625" s="55">
        <f>VLOOKUP($E625,'NI-San_SP'!$C:$AN,MID(AF$1,1,2),FALSE)</f>
        <v>0</v>
      </c>
      <c r="AG625" s="55">
        <f>VLOOKUP($E625,'NI-San_SP'!$C:$AN,MID(AG$1,1,2),FALSE)</f>
        <v>0</v>
      </c>
      <c r="AH625" s="55">
        <f>VLOOKUP($E625,'NI-San_SP'!$C:$AN,MID(AH$1,1,2),FALSE)</f>
        <v>0</v>
      </c>
      <c r="AI625" s="55">
        <f>VLOOKUP($E625,'NI-San_SP'!$C:$AN,MID(AI$1,1,2),FALSE)</f>
        <v>4157082</v>
      </c>
      <c r="AJ625" s="55">
        <f>VLOOKUP($E625,'NI-San_SP'!$C:$AN,MID(AJ$1,1,2),FALSE)</f>
        <v>0</v>
      </c>
      <c r="AK625" s="55">
        <f>VLOOKUP($E625,'NI-San_SP'!$C:$AN,MID(AK$1,1,2),FALSE)</f>
        <v>0</v>
      </c>
      <c r="AL625" s="55">
        <f>VLOOKUP($E625,'NI-San_SP'!$C:$AN,MID(AL$1,1,2),FALSE)</f>
        <v>4157082</v>
      </c>
      <c r="AM625" s="56">
        <f>VLOOKUP($E625,'NI-San_SP'!$C:$AN,MID(AM$1,1,2),FALSE)</f>
        <v>0</v>
      </c>
      <c r="AN625" s="30" t="str">
        <f t="shared" si="9"/>
        <v>70501040000000</v>
      </c>
    </row>
    <row r="626" spans="1:40" x14ac:dyDescent="0.25">
      <c r="C626" s="40"/>
      <c r="D626" s="91" t="s">
        <v>2394</v>
      </c>
      <c r="E626" s="91" t="s">
        <v>2395</v>
      </c>
      <c r="F626" s="58" t="s">
        <v>110</v>
      </c>
      <c r="G626" s="96" t="s">
        <v>2396</v>
      </c>
      <c r="H626" s="52"/>
      <c r="I626" s="52"/>
      <c r="J626" s="52"/>
      <c r="K626" s="59" t="s">
        <v>79</v>
      </c>
      <c r="L626" s="52"/>
      <c r="M626" s="52"/>
      <c r="N626" s="52"/>
      <c r="O626" s="52"/>
      <c r="P626" s="76" t="s">
        <v>2397</v>
      </c>
      <c r="Q626" s="55">
        <f>VLOOKUP(E626,'NI-San_SP'!$C:$AN,12,FALSE)</f>
        <v>0</v>
      </c>
      <c r="R626" s="55">
        <f>VLOOKUP(E626,'NI-San_SP'!$C:$AN,13,FALSE)</f>
        <v>0</v>
      </c>
      <c r="S626" s="55">
        <f>VLOOKUP(E626,'NI-San_SP'!$C:$AN,30,FALSE)</f>
        <v>0</v>
      </c>
      <c r="T626" s="94">
        <f>VLOOKUP(E626,'NI-San_SP'!$C:$AN,31,FALSE)+VLOOKUP(E626,'NI-San_SP'!$C:$AN,32,FALSE)</f>
        <v>0</v>
      </c>
      <c r="U626" s="55">
        <f>VLOOKUP($E626,'NI-San_SP'!$C:$AN,MID(U$1,1,2),FALSE)</f>
        <v>0</v>
      </c>
      <c r="V626" s="55">
        <f>VLOOKUP($E626,'NI-San_SP'!$C:$AN,MID(V$1,1,2),FALSE)</f>
        <v>0</v>
      </c>
      <c r="W626" s="55">
        <f>VLOOKUP($E626,'NI-San_SP'!$C:$AN,MID(W$1,1,2),FALSE)</f>
        <v>0</v>
      </c>
      <c r="X626" s="55">
        <f>VLOOKUP($E626,'NI-San_SP'!$C:$AN,MID(X$1,1,2),FALSE)</f>
        <v>0</v>
      </c>
      <c r="Y626" s="55">
        <f>VLOOKUP($E626,'NI-San_SP'!$C:$AN,MID(Y$1,1,2),FALSE)</f>
        <v>0</v>
      </c>
      <c r="Z626" s="55">
        <f>VLOOKUP($E626,'NI-San_SP'!$C:$AN,MID(Z$1,1,2),FALSE)</f>
        <v>0</v>
      </c>
      <c r="AA626" s="55">
        <f>VLOOKUP($E626,'NI-San_SP'!$C:$AN,MID(AA$1,1,2),FALSE)</f>
        <v>0</v>
      </c>
      <c r="AB626" s="55">
        <f>VLOOKUP($E626,'NI-San_SP'!$C:$AN,MID(AB$1,1,2),FALSE)</f>
        <v>0</v>
      </c>
      <c r="AC626" s="55">
        <f>VLOOKUP($E626,'NI-San_SP'!$C:$AN,MID(AC$1,1,2),FALSE)</f>
        <v>0</v>
      </c>
      <c r="AD626" s="55">
        <f>VLOOKUP($E626,'NI-San_SP'!$C:$AN,MID(AD$1,1,2),FALSE)</f>
        <v>0</v>
      </c>
      <c r="AE626" s="55">
        <f>VLOOKUP($E626,'NI-San_SP'!$C:$AN,MID(AE$1,1,2),FALSE)</f>
        <v>0</v>
      </c>
      <c r="AF626" s="55">
        <f>VLOOKUP($E626,'NI-San_SP'!$C:$AN,MID(AF$1,1,2),FALSE)</f>
        <v>0</v>
      </c>
      <c r="AG626" s="55">
        <f>VLOOKUP($E626,'NI-San_SP'!$C:$AN,MID(AG$1,1,2),FALSE)</f>
        <v>0</v>
      </c>
      <c r="AH626" s="55">
        <f>VLOOKUP($E626,'NI-San_SP'!$C:$AN,MID(AH$1,1,2),FALSE)</f>
        <v>0</v>
      </c>
      <c r="AI626" s="55">
        <f>VLOOKUP($E626,'NI-San_SP'!$C:$AN,MID(AI$1,1,2),FALSE)</f>
        <v>0</v>
      </c>
      <c r="AJ626" s="55">
        <f>VLOOKUP($E626,'NI-San_SP'!$C:$AN,MID(AJ$1,1,2),FALSE)</f>
        <v>0</v>
      </c>
      <c r="AK626" s="55">
        <f>VLOOKUP($E626,'NI-San_SP'!$C:$AN,MID(AK$1,1,2),FALSE)</f>
        <v>0</v>
      </c>
      <c r="AL626" s="55">
        <f>VLOOKUP($E626,'NI-San_SP'!$C:$AN,MID(AL$1,1,2),FALSE)</f>
        <v>0</v>
      </c>
      <c r="AM626" s="56">
        <f>VLOOKUP($E626,'NI-San_SP'!$C:$AN,MID(AM$1,1,2),FALSE)</f>
        <v>0</v>
      </c>
      <c r="AN626" s="30" t="str">
        <f t="shared" si="9"/>
        <v>70501040010000</v>
      </c>
    </row>
    <row r="627" spans="1:40" x14ac:dyDescent="0.25">
      <c r="C627" s="40"/>
      <c r="D627" s="91" t="s">
        <v>2398</v>
      </c>
      <c r="E627" s="91" t="s">
        <v>2399</v>
      </c>
      <c r="F627" s="58" t="s">
        <v>110</v>
      </c>
      <c r="G627" s="96" t="s">
        <v>2396</v>
      </c>
      <c r="H627" s="52"/>
      <c r="I627" s="52"/>
      <c r="J627" s="52"/>
      <c r="K627" s="59" t="s">
        <v>79</v>
      </c>
      <c r="L627" s="52"/>
      <c r="M627" s="52"/>
      <c r="N627" s="52"/>
      <c r="O627" s="52"/>
      <c r="P627" s="76" t="s">
        <v>2400</v>
      </c>
      <c r="Q627" s="55">
        <f>VLOOKUP(E627,'NI-San_SP'!$C:$AN,12,FALSE)</f>
        <v>4157082</v>
      </c>
      <c r="R627" s="55">
        <f>VLOOKUP(E627,'NI-San_SP'!$C:$AN,13,FALSE)</f>
        <v>4157082</v>
      </c>
      <c r="S627" s="55"/>
      <c r="T627" s="94"/>
      <c r="U627" s="55">
        <f>VLOOKUP($E627,'NI-San_SP'!$C:$AN,MID(U$1,1,2),FALSE)</f>
        <v>0</v>
      </c>
      <c r="V627" s="55">
        <f>VLOOKUP($E627,'NI-San_SP'!$C:$AN,MID(V$1,1,2),FALSE)</f>
        <v>4157082</v>
      </c>
      <c r="W627" s="55">
        <f>VLOOKUP($E627,'NI-San_SP'!$C:$AN,MID(W$1,1,2),FALSE)</f>
        <v>0</v>
      </c>
      <c r="X627" s="55">
        <f>VLOOKUP($E627,'NI-San_SP'!$C:$AN,MID(X$1,1,2),FALSE)</f>
        <v>0</v>
      </c>
      <c r="Y627" s="55">
        <f>VLOOKUP($E627,'NI-San_SP'!$C:$AN,MID(Y$1,1,2),FALSE)</f>
        <v>0</v>
      </c>
      <c r="Z627" s="55">
        <f>VLOOKUP($E627,'NI-San_SP'!$C:$AN,MID(Z$1,1,2),FALSE)</f>
        <v>0</v>
      </c>
      <c r="AA627" s="55">
        <f>VLOOKUP($E627,'NI-San_SP'!$C:$AN,MID(AA$1,1,2),FALSE)</f>
        <v>0</v>
      </c>
      <c r="AB627" s="55">
        <f>VLOOKUP($E627,'NI-San_SP'!$C:$AN,MID(AB$1,1,2),FALSE)</f>
        <v>0</v>
      </c>
      <c r="AC627" s="55">
        <f>VLOOKUP($E627,'NI-San_SP'!$C:$AN,MID(AC$1,1,2),FALSE)</f>
        <v>0</v>
      </c>
      <c r="AD627" s="55">
        <f>VLOOKUP($E627,'NI-San_SP'!$C:$AN,MID(AD$1,1,2),FALSE)</f>
        <v>4157082</v>
      </c>
      <c r="AE627" s="55">
        <f>VLOOKUP($E627,'NI-San_SP'!$C:$AN,MID(AE$1,1,2),FALSE)</f>
        <v>0</v>
      </c>
      <c r="AF627" s="55">
        <f>VLOOKUP($E627,'NI-San_SP'!$C:$AN,MID(AF$1,1,2),FALSE)</f>
        <v>0</v>
      </c>
      <c r="AG627" s="55">
        <f>VLOOKUP($E627,'NI-San_SP'!$C:$AN,MID(AG$1,1,2),FALSE)</f>
        <v>0</v>
      </c>
      <c r="AH627" s="55">
        <f>VLOOKUP($E627,'NI-San_SP'!$C:$AN,MID(AH$1,1,2),FALSE)</f>
        <v>0</v>
      </c>
      <c r="AI627" s="55">
        <f>VLOOKUP($E627,'NI-San_SP'!$C:$AN,MID(AI$1,1,2),FALSE)</f>
        <v>4157082</v>
      </c>
      <c r="AJ627" s="55">
        <f>VLOOKUP($E627,'NI-San_SP'!$C:$AN,MID(AJ$1,1,2),FALSE)</f>
        <v>0</v>
      </c>
      <c r="AK627" s="55">
        <f>VLOOKUP($E627,'NI-San_SP'!$C:$AN,MID(AK$1,1,2),FALSE)</f>
        <v>0</v>
      </c>
      <c r="AL627" s="55">
        <f>VLOOKUP($E627,'NI-San_SP'!$C:$AN,MID(AL$1,1,2),FALSE)</f>
        <v>4157082</v>
      </c>
      <c r="AM627" s="56">
        <f>VLOOKUP($E627,'NI-San_SP'!$C:$AN,MID(AM$1,1,2),FALSE)</f>
        <v>0</v>
      </c>
      <c r="AN627" s="30" t="str">
        <f t="shared" si="9"/>
        <v>70501040020000</v>
      </c>
    </row>
    <row r="628" spans="1:40" ht="27" x14ac:dyDescent="0.25">
      <c r="C628" s="40"/>
      <c r="D628" s="91" t="s">
        <v>2401</v>
      </c>
      <c r="E628" s="91" t="s">
        <v>2402</v>
      </c>
      <c r="F628" s="58" t="s">
        <v>110</v>
      </c>
      <c r="G628" s="96" t="s">
        <v>1608</v>
      </c>
      <c r="H628" s="52"/>
      <c r="I628" s="65"/>
      <c r="J628" s="52"/>
      <c r="K628" s="59" t="s">
        <v>79</v>
      </c>
      <c r="L628" s="52"/>
      <c r="M628" s="52"/>
      <c r="N628" s="52"/>
      <c r="O628" s="52"/>
      <c r="P628" s="76" t="s">
        <v>2403</v>
      </c>
      <c r="Q628" s="55">
        <f>VLOOKUP(E628,'NI-San_SP'!$C:$AN,12,FALSE)</f>
        <v>0</v>
      </c>
      <c r="R628" s="55">
        <f>VLOOKUP(E628,'NI-San_SP'!$C:$AN,13,FALSE)</f>
        <v>0</v>
      </c>
      <c r="S628" s="55">
        <f>VLOOKUP(E628,'NI-San_SP'!$C:$AN,30,FALSE)</f>
        <v>0</v>
      </c>
      <c r="T628" s="94">
        <f>VLOOKUP(E628,'NI-San_SP'!$C:$AN,31,FALSE)+VLOOKUP(E628,'NI-San_SP'!$C:$AN,32,FALSE)</f>
        <v>0</v>
      </c>
      <c r="U628" s="55">
        <f>VLOOKUP($E628,'NI-San_SP'!$C:$AN,MID(U$1,1,2),FALSE)</f>
        <v>0</v>
      </c>
      <c r="V628" s="55">
        <f>VLOOKUP($E628,'NI-San_SP'!$C:$AN,MID(V$1,1,2),FALSE)</f>
        <v>0</v>
      </c>
      <c r="W628" s="55">
        <f>VLOOKUP($E628,'NI-San_SP'!$C:$AN,MID(W$1,1,2),FALSE)</f>
        <v>0</v>
      </c>
      <c r="X628" s="55">
        <f>VLOOKUP($E628,'NI-San_SP'!$C:$AN,MID(X$1,1,2),FALSE)</f>
        <v>0</v>
      </c>
      <c r="Y628" s="55">
        <f>VLOOKUP($E628,'NI-San_SP'!$C:$AN,MID(Y$1,1,2),FALSE)</f>
        <v>0</v>
      </c>
      <c r="Z628" s="55">
        <f>VLOOKUP($E628,'NI-San_SP'!$C:$AN,MID(Z$1,1,2),FALSE)</f>
        <v>0</v>
      </c>
      <c r="AA628" s="55">
        <f>VLOOKUP($E628,'NI-San_SP'!$C:$AN,MID(AA$1,1,2),FALSE)</f>
        <v>0</v>
      </c>
      <c r="AB628" s="55">
        <f>VLOOKUP($E628,'NI-San_SP'!$C:$AN,MID(AB$1,1,2),FALSE)</f>
        <v>0</v>
      </c>
      <c r="AC628" s="55">
        <f>VLOOKUP($E628,'NI-San_SP'!$C:$AN,MID(AC$1,1,2),FALSE)</f>
        <v>0</v>
      </c>
      <c r="AD628" s="55">
        <f>VLOOKUP($E628,'NI-San_SP'!$C:$AN,MID(AD$1,1,2),FALSE)</f>
        <v>0</v>
      </c>
      <c r="AE628" s="55">
        <f>VLOOKUP($E628,'NI-San_SP'!$C:$AN,MID(AE$1,1,2),FALSE)</f>
        <v>0</v>
      </c>
      <c r="AF628" s="55">
        <f>VLOOKUP($E628,'NI-San_SP'!$C:$AN,MID(AF$1,1,2),FALSE)</f>
        <v>0</v>
      </c>
      <c r="AG628" s="55">
        <f>VLOOKUP($E628,'NI-San_SP'!$C:$AN,MID(AG$1,1,2),FALSE)</f>
        <v>0</v>
      </c>
      <c r="AH628" s="55">
        <f>VLOOKUP($E628,'NI-San_SP'!$C:$AN,MID(AH$1,1,2),FALSE)</f>
        <v>0</v>
      </c>
      <c r="AI628" s="55">
        <f>VLOOKUP($E628,'NI-San_SP'!$C:$AN,MID(AI$1,1,2),FALSE)</f>
        <v>0</v>
      </c>
      <c r="AJ628" s="55">
        <f>VLOOKUP($E628,'NI-San_SP'!$C:$AN,MID(AJ$1,1,2),FALSE)</f>
        <v>0</v>
      </c>
      <c r="AK628" s="55">
        <f>VLOOKUP($E628,'NI-San_SP'!$C:$AN,MID(AK$1,1,2),FALSE)</f>
        <v>0</v>
      </c>
      <c r="AL628" s="55">
        <f>VLOOKUP($E628,'NI-San_SP'!$C:$AN,MID(AL$1,1,2),FALSE)</f>
        <v>0</v>
      </c>
      <c r="AM628" s="56">
        <f>VLOOKUP($E628,'NI-San_SP'!$C:$AN,MID(AM$1,1,2),FALSE)</f>
        <v>0</v>
      </c>
      <c r="AN628" s="30" t="str">
        <f t="shared" si="9"/>
        <v>70501040030000</v>
      </c>
    </row>
    <row r="629" spans="1:40" x14ac:dyDescent="0.25">
      <c r="C629" s="40"/>
      <c r="D629" s="91" t="s">
        <v>2404</v>
      </c>
      <c r="E629" s="91" t="s">
        <v>2405</v>
      </c>
      <c r="F629" s="58" t="s">
        <v>110</v>
      </c>
      <c r="G629" s="96" t="s">
        <v>2396</v>
      </c>
      <c r="H629" s="52"/>
      <c r="I629" s="52" t="s">
        <v>2406</v>
      </c>
      <c r="J629" s="52" t="s">
        <v>2406</v>
      </c>
      <c r="K629" s="59" t="s">
        <v>79</v>
      </c>
      <c r="L629" s="52"/>
      <c r="M629" s="52"/>
      <c r="N629" s="52"/>
      <c r="O629" s="61" t="s">
        <v>2363</v>
      </c>
      <c r="P629" s="76" t="s">
        <v>2407</v>
      </c>
      <c r="Q629" s="55">
        <f>VLOOKUP(E629,'NI-San_SP'!$C:$AN,12,FALSE)</f>
        <v>0</v>
      </c>
      <c r="R629" s="55">
        <f>VLOOKUP(E629,'NI-San_SP'!$C:$AN,13,FALSE)</f>
        <v>0</v>
      </c>
      <c r="S629" s="55">
        <f>VLOOKUP(E629,'NI-San_SP'!$C:$AN,30,FALSE)</f>
        <v>0</v>
      </c>
      <c r="T629" s="94">
        <f>VLOOKUP(E629,'NI-San_SP'!$C:$AN,31,FALSE)+VLOOKUP(E629,'NI-San_SP'!$C:$AN,32,FALSE)</f>
        <v>0</v>
      </c>
      <c r="U629" s="55">
        <f>VLOOKUP($E629,'NI-San_SP'!$C:$AN,MID(U$1,1,2),FALSE)</f>
        <v>0</v>
      </c>
      <c r="V629" s="55">
        <f>VLOOKUP($E629,'NI-San_SP'!$C:$AN,MID(V$1,1,2),FALSE)</f>
        <v>0</v>
      </c>
      <c r="W629" s="55">
        <f>VLOOKUP($E629,'NI-San_SP'!$C:$AN,MID(W$1,1,2),FALSE)</f>
        <v>0</v>
      </c>
      <c r="X629" s="55">
        <f>VLOOKUP($E629,'NI-San_SP'!$C:$AN,MID(X$1,1,2),FALSE)</f>
        <v>0</v>
      </c>
      <c r="Y629" s="55">
        <f>VLOOKUP($E629,'NI-San_SP'!$C:$AN,MID(Y$1,1,2),FALSE)</f>
        <v>0</v>
      </c>
      <c r="Z629" s="55">
        <f>VLOOKUP($E629,'NI-San_SP'!$C:$AN,MID(Z$1,1,2),FALSE)</f>
        <v>0</v>
      </c>
      <c r="AA629" s="55">
        <f>VLOOKUP($E629,'NI-San_SP'!$C:$AN,MID(AA$1,1,2),FALSE)</f>
        <v>0</v>
      </c>
      <c r="AB629" s="55">
        <f>VLOOKUP($E629,'NI-San_SP'!$C:$AN,MID(AB$1,1,2),FALSE)</f>
        <v>0</v>
      </c>
      <c r="AC629" s="55">
        <f>VLOOKUP($E629,'NI-San_SP'!$C:$AN,MID(AC$1,1,2),FALSE)</f>
        <v>0</v>
      </c>
      <c r="AD629" s="55">
        <f>VLOOKUP($E629,'NI-San_SP'!$C:$AN,MID(AD$1,1,2),FALSE)</f>
        <v>0</v>
      </c>
      <c r="AE629" s="55">
        <f>VLOOKUP($E629,'NI-San_SP'!$C:$AN,MID(AE$1,1,2),FALSE)</f>
        <v>0</v>
      </c>
      <c r="AF629" s="55">
        <f>VLOOKUP($E629,'NI-San_SP'!$C:$AN,MID(AF$1,1,2),FALSE)</f>
        <v>0</v>
      </c>
      <c r="AG629" s="55">
        <f>VLOOKUP($E629,'NI-San_SP'!$C:$AN,MID(AG$1,1,2),FALSE)</f>
        <v>0</v>
      </c>
      <c r="AH629" s="55">
        <f>VLOOKUP($E629,'NI-San_SP'!$C:$AN,MID(AH$1,1,2),FALSE)</f>
        <v>0</v>
      </c>
      <c r="AI629" s="55">
        <f>VLOOKUP($E629,'NI-San_SP'!$C:$AN,MID(AI$1,1,2),FALSE)</f>
        <v>0</v>
      </c>
      <c r="AJ629" s="55">
        <f>VLOOKUP($E629,'NI-San_SP'!$C:$AN,MID(AJ$1,1,2),FALSE)</f>
        <v>0</v>
      </c>
      <c r="AK629" s="55">
        <f>VLOOKUP($E629,'NI-San_SP'!$C:$AN,MID(AK$1,1,2),FALSE)</f>
        <v>0</v>
      </c>
      <c r="AL629" s="55">
        <f>VLOOKUP($E629,'NI-San_SP'!$C:$AN,MID(AL$1,1,2),FALSE)</f>
        <v>0</v>
      </c>
      <c r="AM629" s="56">
        <f>VLOOKUP($E629,'NI-San_SP'!$C:$AN,MID(AM$1,1,2),FALSE)</f>
        <v>0</v>
      </c>
      <c r="AN629" s="30" t="str">
        <f t="shared" si="9"/>
        <v>70501050000000</v>
      </c>
    </row>
    <row r="630" spans="1:40" x14ac:dyDescent="0.25">
      <c r="C630" s="40"/>
      <c r="D630" s="91" t="s">
        <v>2408</v>
      </c>
      <c r="E630" s="91" t="s">
        <v>2409</v>
      </c>
      <c r="F630" s="58" t="s">
        <v>110</v>
      </c>
      <c r="G630" s="96" t="s">
        <v>1608</v>
      </c>
      <c r="H630" s="52"/>
      <c r="I630" s="52" t="s">
        <v>2410</v>
      </c>
      <c r="J630" s="52" t="s">
        <v>2410</v>
      </c>
      <c r="K630" s="59" t="s">
        <v>111</v>
      </c>
      <c r="L630" s="52"/>
      <c r="M630" s="52"/>
      <c r="N630" s="52"/>
      <c r="O630" s="61" t="s">
        <v>2411</v>
      </c>
      <c r="P630" s="76" t="s">
        <v>2412</v>
      </c>
      <c r="Q630" s="55">
        <f>VLOOKUP(E630,'NI-San_SP'!$C:$AN,12,FALSE)</f>
        <v>6403753</v>
      </c>
      <c r="R630" s="55">
        <f>VLOOKUP(E630,'NI-San_SP'!$C:$AN,13,FALSE)</f>
        <v>7044627</v>
      </c>
      <c r="S630" s="55">
        <f>VLOOKUP(E630,'NI-San_SP'!$C:$AN,30,FALSE)</f>
        <v>982893</v>
      </c>
      <c r="T630" s="94">
        <f>VLOOKUP(E630,'NI-San_SP'!$C:$AN,31,FALSE)+VLOOKUP(E630,'NI-San_SP'!$C:$AN,32,FALSE)</f>
        <v>5649239</v>
      </c>
      <c r="U630" s="55">
        <f>VLOOKUP($E630,'NI-San_SP'!$C:$AN,MID(U$1,1,2),FALSE)</f>
        <v>0</v>
      </c>
      <c r="V630" s="55">
        <f>VLOOKUP($E630,'NI-San_SP'!$C:$AN,MID(V$1,1,2),FALSE)</f>
        <v>6403753</v>
      </c>
      <c r="W630" s="55">
        <f>VLOOKUP($E630,'NI-San_SP'!$C:$AN,MID(W$1,1,2),FALSE)</f>
        <v>0</v>
      </c>
      <c r="X630" s="55">
        <f>VLOOKUP($E630,'NI-San_SP'!$C:$AN,MID(X$1,1,2),FALSE)</f>
        <v>0</v>
      </c>
      <c r="Y630" s="55">
        <f>VLOOKUP($E630,'NI-San_SP'!$C:$AN,MID(Y$1,1,2),FALSE)</f>
        <v>-31344</v>
      </c>
      <c r="Z630" s="55">
        <f>VLOOKUP($E630,'NI-San_SP'!$C:$AN,MID(Z$1,1,2),FALSE)</f>
        <v>7309709</v>
      </c>
      <c r="AA630" s="55">
        <f>VLOOKUP($E630,'NI-San_SP'!$C:$AN,MID(AA$1,1,2),FALSE)</f>
        <v>0</v>
      </c>
      <c r="AB630" s="55">
        <f>VLOOKUP($E630,'NI-San_SP'!$C:$AN,MID(AB$1,1,2),FALSE)</f>
        <v>4912780</v>
      </c>
      <c r="AC630" s="55">
        <f>VLOOKUP($E630,'NI-San_SP'!$C:$AN,MID(AC$1,1,2),FALSE)</f>
        <v>1724711</v>
      </c>
      <c r="AD630" s="55">
        <f>VLOOKUP($E630,'NI-San_SP'!$C:$AN,MID(AD$1,1,2),FALSE)</f>
        <v>7044627</v>
      </c>
      <c r="AE630" s="55">
        <f>VLOOKUP($E630,'NI-San_SP'!$C:$AN,MID(AE$1,1,2),FALSE)</f>
        <v>1542009</v>
      </c>
      <c r="AF630" s="55">
        <f>VLOOKUP($E630,'NI-San_SP'!$C:$AN,MID(AF$1,1,2),FALSE)</f>
        <v>0</v>
      </c>
      <c r="AG630" s="55">
        <f>VLOOKUP($E630,'NI-San_SP'!$C:$AN,MID(AG$1,1,2),FALSE)</f>
        <v>291633</v>
      </c>
      <c r="AH630" s="55">
        <f>VLOOKUP($E630,'NI-San_SP'!$C:$AN,MID(AH$1,1,2),FALSE)</f>
        <v>21290</v>
      </c>
      <c r="AI630" s="55">
        <f>VLOOKUP($E630,'NI-San_SP'!$C:$AN,MID(AI$1,1,2),FALSE)</f>
        <v>136194</v>
      </c>
      <c r="AJ630" s="55">
        <f>VLOOKUP($E630,'NI-San_SP'!$C:$AN,MID(AJ$1,1,2),FALSE)</f>
        <v>982893</v>
      </c>
      <c r="AK630" s="55">
        <f>VLOOKUP($E630,'NI-San_SP'!$C:$AN,MID(AK$1,1,2),FALSE)</f>
        <v>5612617</v>
      </c>
      <c r="AL630" s="55">
        <f>VLOOKUP($E630,'NI-San_SP'!$C:$AN,MID(AL$1,1,2),FALSE)</f>
        <v>36622</v>
      </c>
      <c r="AM630" s="56">
        <f>VLOOKUP($E630,'NI-San_SP'!$C:$AN,MID(AM$1,1,2),FALSE)</f>
        <v>7008005</v>
      </c>
      <c r="AN630" s="30" t="str">
        <f t="shared" si="9"/>
        <v>70501060000000</v>
      </c>
    </row>
    <row r="631" spans="1:40" x14ac:dyDescent="0.25">
      <c r="C631" s="40"/>
      <c r="D631" s="91" t="s">
        <v>2413</v>
      </c>
      <c r="E631" s="91" t="s">
        <v>2414</v>
      </c>
      <c r="F631" s="58" t="s">
        <v>110</v>
      </c>
      <c r="G631" s="96" t="s">
        <v>1608</v>
      </c>
      <c r="H631" s="52"/>
      <c r="I631" s="52"/>
      <c r="J631" s="52"/>
      <c r="K631" s="59" t="s">
        <v>79</v>
      </c>
      <c r="L631" s="52"/>
      <c r="M631" s="52"/>
      <c r="N631" s="52"/>
      <c r="O631" s="52"/>
      <c r="P631" s="76" t="s">
        <v>2415</v>
      </c>
      <c r="Q631" s="55">
        <f>VLOOKUP(E631,'NI-San_SP'!$C:$AN,12,FALSE)</f>
        <v>0</v>
      </c>
      <c r="R631" s="55">
        <f>VLOOKUP(E631,'NI-San_SP'!$C:$AN,13,FALSE)</f>
        <v>0</v>
      </c>
      <c r="S631" s="55">
        <f>VLOOKUP(E631,'NI-San_SP'!$C:$AN,30,FALSE)</f>
        <v>0</v>
      </c>
      <c r="T631" s="94">
        <f>VLOOKUP(E631,'NI-San_SP'!$C:$AN,31,FALSE)+VLOOKUP(E631,'NI-San_SP'!$C:$AN,32,FALSE)</f>
        <v>0</v>
      </c>
      <c r="U631" s="55">
        <f>VLOOKUP($E631,'NI-San_SP'!$C:$AN,MID(U$1,1,2),FALSE)</f>
        <v>0</v>
      </c>
      <c r="V631" s="55">
        <f>VLOOKUP($E631,'NI-San_SP'!$C:$AN,MID(V$1,1,2),FALSE)</f>
        <v>0</v>
      </c>
      <c r="W631" s="55">
        <f>VLOOKUP($E631,'NI-San_SP'!$C:$AN,MID(W$1,1,2),FALSE)</f>
        <v>0</v>
      </c>
      <c r="X631" s="55">
        <f>VLOOKUP($E631,'NI-San_SP'!$C:$AN,MID(X$1,1,2),FALSE)</f>
        <v>0</v>
      </c>
      <c r="Y631" s="55">
        <f>VLOOKUP($E631,'NI-San_SP'!$C:$AN,MID(Y$1,1,2),FALSE)</f>
        <v>0</v>
      </c>
      <c r="Z631" s="55">
        <f>VLOOKUP($E631,'NI-San_SP'!$C:$AN,MID(Z$1,1,2),FALSE)</f>
        <v>0</v>
      </c>
      <c r="AA631" s="55">
        <f>VLOOKUP($E631,'NI-San_SP'!$C:$AN,MID(AA$1,1,2),FALSE)</f>
        <v>0</v>
      </c>
      <c r="AB631" s="55">
        <f>VLOOKUP($E631,'NI-San_SP'!$C:$AN,MID(AB$1,1,2),FALSE)</f>
        <v>0</v>
      </c>
      <c r="AC631" s="55">
        <f>VLOOKUP($E631,'NI-San_SP'!$C:$AN,MID(AC$1,1,2),FALSE)</f>
        <v>0</v>
      </c>
      <c r="AD631" s="55">
        <f>VLOOKUP($E631,'NI-San_SP'!$C:$AN,MID(AD$1,1,2),FALSE)</f>
        <v>0</v>
      </c>
      <c r="AE631" s="55">
        <f>VLOOKUP($E631,'NI-San_SP'!$C:$AN,MID(AE$1,1,2),FALSE)</f>
        <v>0</v>
      </c>
      <c r="AF631" s="55">
        <f>VLOOKUP($E631,'NI-San_SP'!$C:$AN,MID(AF$1,1,2),FALSE)</f>
        <v>0</v>
      </c>
      <c r="AG631" s="55">
        <f>VLOOKUP($E631,'NI-San_SP'!$C:$AN,MID(AG$1,1,2),FALSE)</f>
        <v>0</v>
      </c>
      <c r="AH631" s="55">
        <f>VLOOKUP($E631,'NI-San_SP'!$C:$AN,MID(AH$1,1,2),FALSE)</f>
        <v>0</v>
      </c>
      <c r="AI631" s="55">
        <f>VLOOKUP($E631,'NI-San_SP'!$C:$AN,MID(AI$1,1,2),FALSE)</f>
        <v>0</v>
      </c>
      <c r="AJ631" s="55">
        <f>VLOOKUP($E631,'NI-San_SP'!$C:$AN,MID(AJ$1,1,2),FALSE)</f>
        <v>0</v>
      </c>
      <c r="AK631" s="55">
        <f>VLOOKUP($E631,'NI-San_SP'!$C:$AN,MID(AK$1,1,2),FALSE)</f>
        <v>0</v>
      </c>
      <c r="AL631" s="55">
        <f>VLOOKUP($E631,'NI-San_SP'!$C:$AN,MID(AL$1,1,2),FALSE)</f>
        <v>0</v>
      </c>
      <c r="AM631" s="56">
        <f>VLOOKUP($E631,'NI-San_SP'!$C:$AN,MID(AM$1,1,2),FALSE)</f>
        <v>0</v>
      </c>
      <c r="AN631" s="30" t="str">
        <f t="shared" si="9"/>
        <v>70501060010000</v>
      </c>
    </row>
    <row r="632" spans="1:40" x14ac:dyDescent="0.25">
      <c r="C632" s="40"/>
      <c r="D632" s="91" t="s">
        <v>2416</v>
      </c>
      <c r="E632" s="91" t="s">
        <v>2417</v>
      </c>
      <c r="F632" s="58" t="s">
        <v>110</v>
      </c>
      <c r="G632" s="96" t="s">
        <v>1608</v>
      </c>
      <c r="H632" s="52"/>
      <c r="I632" s="52"/>
      <c r="J632" s="52"/>
      <c r="K632" s="59" t="s">
        <v>79</v>
      </c>
      <c r="L632" s="52"/>
      <c r="M632" s="52"/>
      <c r="N632" s="52"/>
      <c r="O632" s="52"/>
      <c r="P632" s="76" t="s">
        <v>2418</v>
      </c>
      <c r="Q632" s="55">
        <f>VLOOKUP(E632,'NI-San_SP'!$C:$AN,12,FALSE)</f>
        <v>1503487</v>
      </c>
      <c r="R632" s="55">
        <f>VLOOKUP(E632,'NI-San_SP'!$C:$AN,13,FALSE)</f>
        <v>1252035</v>
      </c>
      <c r="S632" s="55"/>
      <c r="T632" s="94"/>
      <c r="U632" s="55">
        <f>VLOOKUP($E632,'NI-San_SP'!$C:$AN,MID(U$1,1,2),FALSE)</f>
        <v>0</v>
      </c>
      <c r="V632" s="55">
        <f>VLOOKUP($E632,'NI-San_SP'!$C:$AN,MID(V$1,1,2),FALSE)</f>
        <v>1503487</v>
      </c>
      <c r="W632" s="55">
        <f>VLOOKUP($E632,'NI-San_SP'!$C:$AN,MID(W$1,1,2),FALSE)</f>
        <v>0</v>
      </c>
      <c r="X632" s="55">
        <f>VLOOKUP($E632,'NI-San_SP'!$C:$AN,MID(X$1,1,2),FALSE)</f>
        <v>0</v>
      </c>
      <c r="Y632" s="55">
        <f>VLOOKUP($E632,'NI-San_SP'!$C:$AN,MID(Y$1,1,2),FALSE)</f>
        <v>-2842</v>
      </c>
      <c r="Z632" s="55">
        <f>VLOOKUP($E632,'NI-San_SP'!$C:$AN,MID(Z$1,1,2),FALSE)</f>
        <v>1044289</v>
      </c>
      <c r="AA632" s="55">
        <f>VLOOKUP($E632,'NI-San_SP'!$C:$AN,MID(AA$1,1,2),FALSE)</f>
        <v>0</v>
      </c>
      <c r="AB632" s="55">
        <f>VLOOKUP($E632,'NI-San_SP'!$C:$AN,MID(AB$1,1,2),FALSE)</f>
        <v>934806</v>
      </c>
      <c r="AC632" s="55">
        <f>VLOOKUP($E632,'NI-San_SP'!$C:$AN,MID(AC$1,1,2),FALSE)</f>
        <v>358093</v>
      </c>
      <c r="AD632" s="55">
        <f>VLOOKUP($E632,'NI-San_SP'!$C:$AN,MID(AD$1,1,2),FALSE)</f>
        <v>1252035</v>
      </c>
      <c r="AE632" s="55">
        <f>VLOOKUP($E632,'NI-San_SP'!$C:$AN,MID(AE$1,1,2),FALSE)</f>
        <v>373255</v>
      </c>
      <c r="AF632" s="55">
        <f>VLOOKUP($E632,'NI-San_SP'!$C:$AN,MID(AF$1,1,2),FALSE)</f>
        <v>0</v>
      </c>
      <c r="AG632" s="55">
        <f>VLOOKUP($E632,'NI-San_SP'!$C:$AN,MID(AG$1,1,2),FALSE)</f>
        <v>291633</v>
      </c>
      <c r="AH632" s="55">
        <f>VLOOKUP($E632,'NI-San_SP'!$C:$AN,MID(AH$1,1,2),FALSE)</f>
        <v>12002</v>
      </c>
      <c r="AI632" s="55">
        <f>VLOOKUP($E632,'NI-San_SP'!$C:$AN,MID(AI$1,1,2),FALSE)</f>
        <v>123753</v>
      </c>
      <c r="AJ632" s="55">
        <f>VLOOKUP($E632,'NI-San_SP'!$C:$AN,MID(AJ$1,1,2),FALSE)</f>
        <v>123753</v>
      </c>
      <c r="AK632" s="55">
        <f>VLOOKUP($E632,'NI-San_SP'!$C:$AN,MID(AK$1,1,2),FALSE)</f>
        <v>700894</v>
      </c>
      <c r="AL632" s="55">
        <f>VLOOKUP($E632,'NI-San_SP'!$C:$AN,MID(AL$1,1,2),FALSE)</f>
        <v>0</v>
      </c>
      <c r="AM632" s="56">
        <f>VLOOKUP($E632,'NI-San_SP'!$C:$AN,MID(AM$1,1,2),FALSE)</f>
        <v>1252035</v>
      </c>
      <c r="AN632" s="30" t="str">
        <f t="shared" si="9"/>
        <v>70501060020000</v>
      </c>
    </row>
    <row r="633" spans="1:40" x14ac:dyDescent="0.25">
      <c r="C633" s="40"/>
      <c r="D633" s="91" t="s">
        <v>2419</v>
      </c>
      <c r="E633" s="91" t="s">
        <v>2420</v>
      </c>
      <c r="F633" s="58" t="s">
        <v>110</v>
      </c>
      <c r="G633" s="96" t="s">
        <v>1608</v>
      </c>
      <c r="H633" s="52"/>
      <c r="I633" s="52"/>
      <c r="J633" s="52"/>
      <c r="K633" s="59" t="s">
        <v>79</v>
      </c>
      <c r="L633" s="52"/>
      <c r="M633" s="52"/>
      <c r="N633" s="52"/>
      <c r="O633" s="52"/>
      <c r="P633" s="76" t="s">
        <v>2421</v>
      </c>
      <c r="Q633" s="55">
        <f>VLOOKUP(E633,'NI-San_SP'!$C:$AN,12,FALSE)</f>
        <v>0</v>
      </c>
      <c r="R633" s="55">
        <f>VLOOKUP(E633,'NI-San_SP'!$C:$AN,13,FALSE)</f>
        <v>0</v>
      </c>
      <c r="S633" s="55">
        <f>VLOOKUP(E633,'NI-San_SP'!$C:$AN,30,FALSE)</f>
        <v>0</v>
      </c>
      <c r="T633" s="94">
        <f>VLOOKUP(E633,'NI-San_SP'!$C:$AN,31,FALSE)+VLOOKUP(E633,'NI-San_SP'!$C:$AN,32,FALSE)</f>
        <v>0</v>
      </c>
      <c r="U633" s="55">
        <f>VLOOKUP($E633,'NI-San_SP'!$C:$AN,MID(U$1,1,2),FALSE)</f>
        <v>0</v>
      </c>
      <c r="V633" s="55">
        <f>VLOOKUP($E633,'NI-San_SP'!$C:$AN,MID(V$1,1,2),FALSE)</f>
        <v>0</v>
      </c>
      <c r="W633" s="55">
        <f>VLOOKUP($E633,'NI-San_SP'!$C:$AN,MID(W$1,1,2),FALSE)</f>
        <v>0</v>
      </c>
      <c r="X633" s="55">
        <f>VLOOKUP($E633,'NI-San_SP'!$C:$AN,MID(X$1,1,2),FALSE)</f>
        <v>0</v>
      </c>
      <c r="Y633" s="55">
        <f>VLOOKUP($E633,'NI-San_SP'!$C:$AN,MID(Y$1,1,2),FALSE)</f>
        <v>0</v>
      </c>
      <c r="Z633" s="55">
        <f>VLOOKUP($E633,'NI-San_SP'!$C:$AN,MID(Z$1,1,2),FALSE)</f>
        <v>0</v>
      </c>
      <c r="AA633" s="55">
        <f>VLOOKUP($E633,'NI-San_SP'!$C:$AN,MID(AA$1,1,2),FALSE)</f>
        <v>0</v>
      </c>
      <c r="AB633" s="55">
        <f>VLOOKUP($E633,'NI-San_SP'!$C:$AN,MID(AB$1,1,2),FALSE)</f>
        <v>0</v>
      </c>
      <c r="AC633" s="55">
        <f>VLOOKUP($E633,'NI-San_SP'!$C:$AN,MID(AC$1,1,2),FALSE)</f>
        <v>0</v>
      </c>
      <c r="AD633" s="55">
        <f>VLOOKUP($E633,'NI-San_SP'!$C:$AN,MID(AD$1,1,2),FALSE)</f>
        <v>0</v>
      </c>
      <c r="AE633" s="55">
        <f>VLOOKUP($E633,'NI-San_SP'!$C:$AN,MID(AE$1,1,2),FALSE)</f>
        <v>0</v>
      </c>
      <c r="AF633" s="55">
        <f>VLOOKUP($E633,'NI-San_SP'!$C:$AN,MID(AF$1,1,2),FALSE)</f>
        <v>0</v>
      </c>
      <c r="AG633" s="55">
        <f>VLOOKUP($E633,'NI-San_SP'!$C:$AN,MID(AG$1,1,2),FALSE)</f>
        <v>0</v>
      </c>
      <c r="AH633" s="55">
        <f>VLOOKUP($E633,'NI-San_SP'!$C:$AN,MID(AH$1,1,2),FALSE)</f>
        <v>0</v>
      </c>
      <c r="AI633" s="55">
        <f>VLOOKUP($E633,'NI-San_SP'!$C:$AN,MID(AI$1,1,2),FALSE)</f>
        <v>0</v>
      </c>
      <c r="AJ633" s="55">
        <f>VLOOKUP($E633,'NI-San_SP'!$C:$AN,MID(AJ$1,1,2),FALSE)</f>
        <v>0</v>
      </c>
      <c r="AK633" s="55">
        <f>VLOOKUP($E633,'NI-San_SP'!$C:$AN,MID(AK$1,1,2),FALSE)</f>
        <v>0</v>
      </c>
      <c r="AL633" s="55">
        <f>VLOOKUP($E633,'NI-San_SP'!$C:$AN,MID(AL$1,1,2),FALSE)</f>
        <v>0</v>
      </c>
      <c r="AM633" s="56">
        <f>VLOOKUP($E633,'NI-San_SP'!$C:$AN,MID(AM$1,1,2),FALSE)</f>
        <v>0</v>
      </c>
      <c r="AN633" s="30" t="str">
        <f t="shared" si="9"/>
        <v>70501060030000</v>
      </c>
    </row>
    <row r="634" spans="1:40" x14ac:dyDescent="0.25">
      <c r="C634" s="40"/>
      <c r="D634" s="91" t="s">
        <v>2422</v>
      </c>
      <c r="E634" s="91" t="s">
        <v>2423</v>
      </c>
      <c r="F634" s="58" t="s">
        <v>110</v>
      </c>
      <c r="G634" s="96" t="s">
        <v>1608</v>
      </c>
      <c r="H634" s="52"/>
      <c r="I634" s="52"/>
      <c r="J634" s="52"/>
      <c r="K634" s="59" t="s">
        <v>79</v>
      </c>
      <c r="L634" s="52"/>
      <c r="M634" s="52"/>
      <c r="N634" s="52"/>
      <c r="O634" s="52"/>
      <c r="P634" s="76" t="s">
        <v>2424</v>
      </c>
      <c r="Q634" s="55">
        <f>VLOOKUP(E634,'NI-San_SP'!$C:$AN,12,FALSE)</f>
        <v>4815221</v>
      </c>
      <c r="R634" s="55">
        <f>VLOOKUP(E634,'NI-San_SP'!$C:$AN,13,FALSE)</f>
        <v>5757416</v>
      </c>
      <c r="S634" s="55"/>
      <c r="T634" s="94"/>
      <c r="U634" s="55">
        <f>VLOOKUP($E634,'NI-San_SP'!$C:$AN,MID(U$1,1,2),FALSE)</f>
        <v>0</v>
      </c>
      <c r="V634" s="55">
        <f>VLOOKUP($E634,'NI-San_SP'!$C:$AN,MID(V$1,1,2),FALSE)</f>
        <v>4815221</v>
      </c>
      <c r="W634" s="55">
        <f>VLOOKUP($E634,'NI-San_SP'!$C:$AN,MID(W$1,1,2),FALSE)</f>
        <v>0</v>
      </c>
      <c r="X634" s="55">
        <f>VLOOKUP($E634,'NI-San_SP'!$C:$AN,MID(X$1,1,2),FALSE)</f>
        <v>0</v>
      </c>
      <c r="Y634" s="55">
        <f>VLOOKUP($E634,'NI-San_SP'!$C:$AN,MID(Y$1,1,2),FALSE)</f>
        <v>1446</v>
      </c>
      <c r="Z634" s="55">
        <f>VLOOKUP($E634,'NI-San_SP'!$C:$AN,MID(Z$1,1,2),FALSE)</f>
        <v>6122143</v>
      </c>
      <c r="AA634" s="55">
        <f>VLOOKUP($E634,'NI-San_SP'!$C:$AN,MID(AA$1,1,2),FALSE)</f>
        <v>0</v>
      </c>
      <c r="AB634" s="55">
        <f>VLOOKUP($E634,'NI-San_SP'!$C:$AN,MID(AB$1,1,2),FALSE)</f>
        <v>3892929</v>
      </c>
      <c r="AC634" s="55">
        <f>VLOOKUP($E634,'NI-San_SP'!$C:$AN,MID(AC$1,1,2),FALSE)</f>
        <v>1288465</v>
      </c>
      <c r="AD634" s="55">
        <f>VLOOKUP($E634,'NI-San_SP'!$C:$AN,MID(AD$1,1,2),FALSE)</f>
        <v>5757416</v>
      </c>
      <c r="AE634" s="55">
        <f>VLOOKUP($E634,'NI-San_SP'!$C:$AN,MID(AE$1,1,2),FALSE)</f>
        <v>1141639</v>
      </c>
      <c r="AF634" s="55">
        <f>VLOOKUP($E634,'NI-San_SP'!$C:$AN,MID(AF$1,1,2),FALSE)</f>
        <v>0</v>
      </c>
      <c r="AG634" s="55">
        <f>VLOOKUP($E634,'NI-San_SP'!$C:$AN,MID(AG$1,1,2),FALSE)</f>
        <v>0</v>
      </c>
      <c r="AH634" s="55">
        <f>VLOOKUP($E634,'NI-San_SP'!$C:$AN,MID(AH$1,1,2),FALSE)</f>
        <v>9288</v>
      </c>
      <c r="AI634" s="55">
        <f>VLOOKUP($E634,'NI-San_SP'!$C:$AN,MID(AI$1,1,2),FALSE)</f>
        <v>12441</v>
      </c>
      <c r="AJ634" s="55">
        <f>VLOOKUP($E634,'NI-San_SP'!$C:$AN,MID(AJ$1,1,2),FALSE)</f>
        <v>859140</v>
      </c>
      <c r="AK634" s="55">
        <f>VLOOKUP($E634,'NI-San_SP'!$C:$AN,MID(AK$1,1,2),FALSE)</f>
        <v>4876547</v>
      </c>
      <c r="AL634" s="55">
        <f>VLOOKUP($E634,'NI-San_SP'!$C:$AN,MID(AL$1,1,2),FALSE)</f>
        <v>1446</v>
      </c>
      <c r="AM634" s="56">
        <f>VLOOKUP($E634,'NI-San_SP'!$C:$AN,MID(AM$1,1,2),FALSE)</f>
        <v>5755970</v>
      </c>
      <c r="AN634" s="30" t="str">
        <f t="shared" si="9"/>
        <v>70501060040000</v>
      </c>
    </row>
    <row r="635" spans="1:40" x14ac:dyDescent="0.25">
      <c r="C635" s="40"/>
      <c r="D635" s="91" t="s">
        <v>2425</v>
      </c>
      <c r="E635" s="91" t="s">
        <v>2426</v>
      </c>
      <c r="F635" s="58" t="s">
        <v>110</v>
      </c>
      <c r="G635" s="96" t="s">
        <v>1608</v>
      </c>
      <c r="H635" s="52"/>
      <c r="I635" s="52"/>
      <c r="J635" s="52"/>
      <c r="K635" s="59" t="s">
        <v>79</v>
      </c>
      <c r="L635" s="52"/>
      <c r="M635" s="52"/>
      <c r="N635" s="52"/>
      <c r="O635" s="52"/>
      <c r="P635" s="76" t="s">
        <v>2427</v>
      </c>
      <c r="Q635" s="55">
        <f>VLOOKUP(E635,'NI-San_SP'!$C:$AN,12,FALSE)</f>
        <v>85045</v>
      </c>
      <c r="R635" s="55">
        <f>VLOOKUP(E635,'NI-San_SP'!$C:$AN,13,FALSE)</f>
        <v>35176</v>
      </c>
      <c r="S635" s="55">
        <f>VLOOKUP(E635,'NI-San_SP'!$C:$AN,30,FALSE)</f>
        <v>0</v>
      </c>
      <c r="T635" s="94">
        <f>VLOOKUP(E635,'NI-San_SP'!$C:$AN,31,FALSE)+VLOOKUP(E635,'NI-San_SP'!$C:$AN,32,FALSE)</f>
        <v>70352</v>
      </c>
      <c r="U635" s="55">
        <f>VLOOKUP($E635,'NI-San_SP'!$C:$AN,MID(U$1,1,2),FALSE)</f>
        <v>0</v>
      </c>
      <c r="V635" s="55">
        <f>VLOOKUP($E635,'NI-San_SP'!$C:$AN,MID(V$1,1,2),FALSE)</f>
        <v>85045</v>
      </c>
      <c r="W635" s="55">
        <f>VLOOKUP($E635,'NI-San_SP'!$C:$AN,MID(W$1,1,2),FALSE)</f>
        <v>0</v>
      </c>
      <c r="X635" s="55">
        <f>VLOOKUP($E635,'NI-San_SP'!$C:$AN,MID(X$1,1,2),FALSE)</f>
        <v>0</v>
      </c>
      <c r="Y635" s="55">
        <f>VLOOKUP($E635,'NI-San_SP'!$C:$AN,MID(Y$1,1,2),FALSE)</f>
        <v>-29948</v>
      </c>
      <c r="Z635" s="55">
        <f>VLOOKUP($E635,'NI-San_SP'!$C:$AN,MID(Z$1,1,2),FALSE)</f>
        <v>143277</v>
      </c>
      <c r="AA635" s="55">
        <f>VLOOKUP($E635,'NI-San_SP'!$C:$AN,MID(AA$1,1,2),FALSE)</f>
        <v>0</v>
      </c>
      <c r="AB635" s="55">
        <f>VLOOKUP($E635,'NI-San_SP'!$C:$AN,MID(AB$1,1,2),FALSE)</f>
        <v>85045</v>
      </c>
      <c r="AC635" s="55">
        <f>VLOOKUP($E635,'NI-San_SP'!$C:$AN,MID(AC$1,1,2),FALSE)</f>
        <v>78153</v>
      </c>
      <c r="AD635" s="55">
        <f>VLOOKUP($E635,'NI-San_SP'!$C:$AN,MID(AD$1,1,2),FALSE)</f>
        <v>35176</v>
      </c>
      <c r="AE635" s="55">
        <f>VLOOKUP($E635,'NI-San_SP'!$C:$AN,MID(AE$1,1,2),FALSE)</f>
        <v>27115</v>
      </c>
      <c r="AF635" s="55">
        <f>VLOOKUP($E635,'NI-San_SP'!$C:$AN,MID(AF$1,1,2),FALSE)</f>
        <v>0</v>
      </c>
      <c r="AG635" s="55">
        <f>VLOOKUP($E635,'NI-San_SP'!$C:$AN,MID(AG$1,1,2),FALSE)</f>
        <v>0</v>
      </c>
      <c r="AH635" s="55">
        <f>VLOOKUP($E635,'NI-San_SP'!$C:$AN,MID(AH$1,1,2),FALSE)</f>
        <v>0</v>
      </c>
      <c r="AI635" s="55">
        <f>VLOOKUP($E635,'NI-San_SP'!$C:$AN,MID(AI$1,1,2),FALSE)</f>
        <v>0</v>
      </c>
      <c r="AJ635" s="55">
        <f>VLOOKUP($E635,'NI-San_SP'!$C:$AN,MID(AJ$1,1,2),FALSE)</f>
        <v>0</v>
      </c>
      <c r="AK635" s="55">
        <f>VLOOKUP($E635,'NI-San_SP'!$C:$AN,MID(AK$1,1,2),FALSE)</f>
        <v>35176</v>
      </c>
      <c r="AL635" s="55">
        <f>VLOOKUP($E635,'NI-San_SP'!$C:$AN,MID(AL$1,1,2),FALSE)</f>
        <v>35176</v>
      </c>
      <c r="AM635" s="56">
        <f>VLOOKUP($E635,'NI-San_SP'!$C:$AN,MID(AM$1,1,2),FALSE)</f>
        <v>0</v>
      </c>
      <c r="AN635" s="30" t="str">
        <f t="shared" si="9"/>
        <v>70501060050000</v>
      </c>
    </row>
    <row r="636" spans="1:40" x14ac:dyDescent="0.25">
      <c r="C636" s="40"/>
      <c r="D636" s="91" t="s">
        <v>2428</v>
      </c>
      <c r="E636" s="91" t="s">
        <v>2429</v>
      </c>
      <c r="F636" s="58" t="s">
        <v>110</v>
      </c>
      <c r="G636" s="96" t="s">
        <v>1608</v>
      </c>
      <c r="H636" s="52"/>
      <c r="I636" s="52" t="s">
        <v>2410</v>
      </c>
      <c r="J636" s="52" t="s">
        <v>2410</v>
      </c>
      <c r="K636" s="59" t="s">
        <v>79</v>
      </c>
      <c r="L636" s="52"/>
      <c r="M636" s="52"/>
      <c r="N636" s="52"/>
      <c r="O636" s="61" t="s">
        <v>2430</v>
      </c>
      <c r="P636" s="76" t="s">
        <v>2431</v>
      </c>
      <c r="Q636" s="55">
        <f>VLOOKUP(E636,'NI-San_SP'!$C:$AN,12,FALSE)</f>
        <v>0</v>
      </c>
      <c r="R636" s="55">
        <f>VLOOKUP(E636,'NI-San_SP'!$C:$AN,13,FALSE)</f>
        <v>0</v>
      </c>
      <c r="S636" s="55"/>
      <c r="T636" s="94"/>
      <c r="U636" s="55">
        <f>VLOOKUP($E636,'NI-San_SP'!$C:$AN,MID(U$1,1,2),FALSE)</f>
        <v>0</v>
      </c>
      <c r="V636" s="55">
        <f>VLOOKUP($E636,'NI-San_SP'!$C:$AN,MID(V$1,1,2),FALSE)</f>
        <v>0</v>
      </c>
      <c r="W636" s="55">
        <f>VLOOKUP($E636,'NI-San_SP'!$C:$AN,MID(W$1,1,2),FALSE)</f>
        <v>0</v>
      </c>
      <c r="X636" s="55">
        <f>VLOOKUP($E636,'NI-San_SP'!$C:$AN,MID(X$1,1,2),FALSE)</f>
        <v>0</v>
      </c>
      <c r="Y636" s="55">
        <f>VLOOKUP($E636,'NI-San_SP'!$C:$AN,MID(Y$1,1,2),FALSE)</f>
        <v>0</v>
      </c>
      <c r="Z636" s="55">
        <f>VLOOKUP($E636,'NI-San_SP'!$C:$AN,MID(Z$1,1,2),FALSE)</f>
        <v>0</v>
      </c>
      <c r="AA636" s="55">
        <f>VLOOKUP($E636,'NI-San_SP'!$C:$AN,MID(AA$1,1,2),FALSE)</f>
        <v>0</v>
      </c>
      <c r="AB636" s="55">
        <f>VLOOKUP($E636,'NI-San_SP'!$C:$AN,MID(AB$1,1,2),FALSE)</f>
        <v>0</v>
      </c>
      <c r="AC636" s="55">
        <f>VLOOKUP($E636,'NI-San_SP'!$C:$AN,MID(AC$1,1,2),FALSE)</f>
        <v>0</v>
      </c>
      <c r="AD636" s="55">
        <f>VLOOKUP($E636,'NI-San_SP'!$C:$AN,MID(AD$1,1,2),FALSE)</f>
        <v>0</v>
      </c>
      <c r="AE636" s="55">
        <f>VLOOKUP($E636,'NI-San_SP'!$C:$AN,MID(AE$1,1,2),FALSE)</f>
        <v>0</v>
      </c>
      <c r="AF636" s="55">
        <f>VLOOKUP($E636,'NI-San_SP'!$C:$AN,MID(AF$1,1,2),FALSE)</f>
        <v>0</v>
      </c>
      <c r="AG636" s="55">
        <f>VLOOKUP($E636,'NI-San_SP'!$C:$AN,MID(AG$1,1,2),FALSE)</f>
        <v>0</v>
      </c>
      <c r="AH636" s="55">
        <f>VLOOKUP($E636,'NI-San_SP'!$C:$AN,MID(AH$1,1,2),FALSE)</f>
        <v>0</v>
      </c>
      <c r="AI636" s="55">
        <f>VLOOKUP($E636,'NI-San_SP'!$C:$AN,MID(AI$1,1,2),FALSE)</f>
        <v>0</v>
      </c>
      <c r="AJ636" s="55">
        <f>VLOOKUP($E636,'NI-San_SP'!$C:$AN,MID(AJ$1,1,2),FALSE)</f>
        <v>0</v>
      </c>
      <c r="AK636" s="55">
        <f>VLOOKUP($E636,'NI-San_SP'!$C:$AN,MID(AK$1,1,2),FALSE)</f>
        <v>0</v>
      </c>
      <c r="AL636" s="55">
        <f>VLOOKUP($E636,'NI-San_SP'!$C:$AN,MID(AL$1,1,2),FALSE)</f>
        <v>0</v>
      </c>
      <c r="AM636" s="56">
        <f>VLOOKUP($E636,'NI-San_SP'!$C:$AN,MID(AM$1,1,2),FALSE)</f>
        <v>0</v>
      </c>
      <c r="AN636" s="30" t="str">
        <f t="shared" si="9"/>
        <v>70501060060000</v>
      </c>
    </row>
    <row r="637" spans="1:40" x14ac:dyDescent="0.25">
      <c r="C637" s="40"/>
      <c r="D637" s="91" t="s">
        <v>2432</v>
      </c>
      <c r="E637" s="91" t="s">
        <v>2433</v>
      </c>
      <c r="F637" s="58" t="s">
        <v>110</v>
      </c>
      <c r="G637" s="96" t="s">
        <v>1608</v>
      </c>
      <c r="H637" s="52"/>
      <c r="I637" s="52" t="s">
        <v>2410</v>
      </c>
      <c r="J637" s="52" t="s">
        <v>2410</v>
      </c>
      <c r="K637" s="59" t="s">
        <v>79</v>
      </c>
      <c r="L637" s="52"/>
      <c r="M637" s="52"/>
      <c r="N637" s="52"/>
      <c r="O637" s="61" t="s">
        <v>2434</v>
      </c>
      <c r="P637" s="76" t="s">
        <v>2435</v>
      </c>
      <c r="Q637" s="55">
        <f>VLOOKUP(E637,'NI-San_SP'!$C:$AN,12,FALSE)</f>
        <v>0</v>
      </c>
      <c r="R637" s="55">
        <f>VLOOKUP(E637,'NI-San_SP'!$C:$AN,13,FALSE)</f>
        <v>0</v>
      </c>
      <c r="S637" s="55"/>
      <c r="T637" s="94"/>
      <c r="U637" s="55">
        <f>VLOOKUP($E637,'NI-San_SP'!$C:$AN,MID(U$1,1,2),FALSE)</f>
        <v>0</v>
      </c>
      <c r="V637" s="55">
        <f>VLOOKUP($E637,'NI-San_SP'!$C:$AN,MID(V$1,1,2),FALSE)</f>
        <v>0</v>
      </c>
      <c r="W637" s="55">
        <f>VLOOKUP($E637,'NI-San_SP'!$C:$AN,MID(W$1,1,2),FALSE)</f>
        <v>0</v>
      </c>
      <c r="X637" s="55">
        <f>VLOOKUP($E637,'NI-San_SP'!$C:$AN,MID(X$1,1,2),FALSE)</f>
        <v>0</v>
      </c>
      <c r="Y637" s="55">
        <f>VLOOKUP($E637,'NI-San_SP'!$C:$AN,MID(Y$1,1,2),FALSE)</f>
        <v>0</v>
      </c>
      <c r="Z637" s="55">
        <f>VLOOKUP($E637,'NI-San_SP'!$C:$AN,MID(Z$1,1,2),FALSE)</f>
        <v>0</v>
      </c>
      <c r="AA637" s="55">
        <f>VLOOKUP($E637,'NI-San_SP'!$C:$AN,MID(AA$1,1,2),FALSE)</f>
        <v>0</v>
      </c>
      <c r="AB637" s="55">
        <f>VLOOKUP($E637,'NI-San_SP'!$C:$AN,MID(AB$1,1,2),FALSE)</f>
        <v>0</v>
      </c>
      <c r="AC637" s="55">
        <f>VLOOKUP($E637,'NI-San_SP'!$C:$AN,MID(AC$1,1,2),FALSE)</f>
        <v>0</v>
      </c>
      <c r="AD637" s="55">
        <f>VLOOKUP($E637,'NI-San_SP'!$C:$AN,MID(AD$1,1,2),FALSE)</f>
        <v>0</v>
      </c>
      <c r="AE637" s="55">
        <f>VLOOKUP($E637,'NI-San_SP'!$C:$AN,MID(AE$1,1,2),FALSE)</f>
        <v>0</v>
      </c>
      <c r="AF637" s="55">
        <f>VLOOKUP($E637,'NI-San_SP'!$C:$AN,MID(AF$1,1,2),FALSE)</f>
        <v>0</v>
      </c>
      <c r="AG637" s="55">
        <f>VLOOKUP($E637,'NI-San_SP'!$C:$AN,MID(AG$1,1,2),FALSE)</f>
        <v>0</v>
      </c>
      <c r="AH637" s="55">
        <f>VLOOKUP($E637,'NI-San_SP'!$C:$AN,MID(AH$1,1,2),FALSE)</f>
        <v>0</v>
      </c>
      <c r="AI637" s="55">
        <f>VLOOKUP($E637,'NI-San_SP'!$C:$AN,MID(AI$1,1,2),FALSE)</f>
        <v>0</v>
      </c>
      <c r="AJ637" s="55">
        <f>VLOOKUP($E637,'NI-San_SP'!$C:$AN,MID(AJ$1,1,2),FALSE)</f>
        <v>0</v>
      </c>
      <c r="AK637" s="55">
        <f>VLOOKUP($E637,'NI-San_SP'!$C:$AN,MID(AK$1,1,2),FALSE)</f>
        <v>0</v>
      </c>
      <c r="AL637" s="55">
        <f>VLOOKUP($E637,'NI-San_SP'!$C:$AN,MID(AL$1,1,2),FALSE)</f>
        <v>0</v>
      </c>
      <c r="AM637" s="56">
        <f>VLOOKUP($E637,'NI-San_SP'!$C:$AN,MID(AM$1,1,2),FALSE)</f>
        <v>0</v>
      </c>
      <c r="AN637" s="30" t="str">
        <f t="shared" si="9"/>
        <v>70501060070000</v>
      </c>
    </row>
    <row r="638" spans="1:40" ht="15" x14ac:dyDescent="0.25">
      <c r="A638" s="30" t="s">
        <v>1394</v>
      </c>
      <c r="C638" s="40"/>
      <c r="D638" s="98" t="s">
        <v>2436</v>
      </c>
      <c r="E638" s="98" t="s">
        <v>2437</v>
      </c>
      <c r="F638" s="58" t="s">
        <v>110</v>
      </c>
      <c r="G638" s="99" t="s">
        <v>1608</v>
      </c>
      <c r="H638" s="52"/>
      <c r="I638" s="52"/>
      <c r="J638" s="52" t="s">
        <v>2438</v>
      </c>
      <c r="K638" s="59" t="s">
        <v>79</v>
      </c>
      <c r="L638" s="52"/>
      <c r="M638" s="52"/>
      <c r="N638" s="52"/>
      <c r="O638" s="61" t="s">
        <v>2434</v>
      </c>
      <c r="P638" s="79" t="s">
        <v>2439</v>
      </c>
      <c r="Q638" s="55">
        <f>VLOOKUP(E638,'NI-San_SP'!$C:$AN,12,FALSE)</f>
        <v>0</v>
      </c>
      <c r="R638" s="55">
        <f>VLOOKUP(E638,'NI-San_SP'!$C:$AN,13,FALSE)</f>
        <v>0</v>
      </c>
      <c r="S638" s="55"/>
      <c r="T638" s="94"/>
      <c r="U638" s="55">
        <f>VLOOKUP($E638,'NI-San_SP'!$C:$AN,MID(U$1,1,2),FALSE)</f>
        <v>0</v>
      </c>
      <c r="V638" s="55">
        <f>VLOOKUP($E638,'NI-San_SP'!$C:$AN,MID(V$1,1,2),FALSE)</f>
        <v>0</v>
      </c>
      <c r="W638" s="55">
        <f>VLOOKUP($E638,'NI-San_SP'!$C:$AN,MID(W$1,1,2),FALSE)</f>
        <v>0</v>
      </c>
      <c r="X638" s="55">
        <f>VLOOKUP($E638,'NI-San_SP'!$C:$AN,MID(X$1,1,2),FALSE)</f>
        <v>0</v>
      </c>
      <c r="Y638" s="55">
        <f>VLOOKUP($E638,'NI-San_SP'!$C:$AN,MID(Y$1,1,2),FALSE)</f>
        <v>0</v>
      </c>
      <c r="Z638" s="55">
        <f>VLOOKUP($E638,'NI-San_SP'!$C:$AN,MID(Z$1,1,2),FALSE)</f>
        <v>0</v>
      </c>
      <c r="AA638" s="55">
        <f>VLOOKUP($E638,'NI-San_SP'!$C:$AN,MID(AA$1,1,2),FALSE)</f>
        <v>0</v>
      </c>
      <c r="AB638" s="55">
        <f>VLOOKUP($E638,'NI-San_SP'!$C:$AN,MID(AB$1,1,2),FALSE)</f>
        <v>0</v>
      </c>
      <c r="AC638" s="55">
        <f>VLOOKUP($E638,'NI-San_SP'!$C:$AN,MID(AC$1,1,2),FALSE)</f>
        <v>0</v>
      </c>
      <c r="AD638" s="55">
        <f>VLOOKUP($E638,'NI-San_SP'!$C:$AN,MID(AD$1,1,2),FALSE)</f>
        <v>0</v>
      </c>
      <c r="AE638" s="55">
        <f>VLOOKUP($E638,'NI-San_SP'!$C:$AN,MID(AE$1,1,2),FALSE)</f>
        <v>0</v>
      </c>
      <c r="AF638" s="55">
        <f>VLOOKUP($E638,'NI-San_SP'!$C:$AN,MID(AF$1,1,2),FALSE)</f>
        <v>0</v>
      </c>
      <c r="AG638" s="55">
        <f>VLOOKUP($E638,'NI-San_SP'!$C:$AN,MID(AG$1,1,2),FALSE)</f>
        <v>0</v>
      </c>
      <c r="AH638" s="55">
        <f>VLOOKUP($E638,'NI-San_SP'!$C:$AN,MID(AH$1,1,2),FALSE)</f>
        <v>0</v>
      </c>
      <c r="AI638" s="55">
        <f>VLOOKUP($E638,'NI-San_SP'!$C:$AN,MID(AI$1,1,2),FALSE)</f>
        <v>0</v>
      </c>
      <c r="AJ638" s="55">
        <f>VLOOKUP($E638,'NI-San_SP'!$C:$AN,MID(AJ$1,1,2),FALSE)</f>
        <v>0</v>
      </c>
      <c r="AK638" s="55">
        <f>VLOOKUP($E638,'NI-San_SP'!$C:$AN,MID(AK$1,1,2),FALSE)</f>
        <v>0</v>
      </c>
      <c r="AL638" s="55">
        <f>VLOOKUP($E638,'NI-San_SP'!$C:$AN,MID(AL$1,1,2),FALSE)</f>
        <v>0</v>
      </c>
      <c r="AM638" s="56">
        <f>VLOOKUP($E638,'NI-San_SP'!$C:$AN,MID(AM$1,1,2),FALSE)</f>
        <v>0</v>
      </c>
      <c r="AN638" s="30" t="str">
        <f t="shared" si="9"/>
        <v>70501070000000</v>
      </c>
    </row>
    <row r="639" spans="1:40" ht="15" x14ac:dyDescent="0.25">
      <c r="A639" s="30" t="s">
        <v>1394</v>
      </c>
      <c r="C639" s="40"/>
      <c r="D639" s="98" t="s">
        <v>2440</v>
      </c>
      <c r="E639" s="98" t="s">
        <v>2441</v>
      </c>
      <c r="F639" s="58" t="s">
        <v>110</v>
      </c>
      <c r="G639" s="99" t="s">
        <v>1608</v>
      </c>
      <c r="H639" s="52"/>
      <c r="I639" s="52"/>
      <c r="J639" s="52" t="s">
        <v>2442</v>
      </c>
      <c r="K639" s="59" t="s">
        <v>79</v>
      </c>
      <c r="L639" s="52"/>
      <c r="M639" s="52"/>
      <c r="N639" s="52"/>
      <c r="O639" s="61" t="s">
        <v>2434</v>
      </c>
      <c r="P639" s="79" t="s">
        <v>2443</v>
      </c>
      <c r="Q639" s="55">
        <f>VLOOKUP(E639,'NI-San_SP'!$C:$AN,12,FALSE)</f>
        <v>0</v>
      </c>
      <c r="R639" s="55">
        <f>VLOOKUP(E639,'NI-San_SP'!$C:$AN,13,FALSE)</f>
        <v>0</v>
      </c>
      <c r="S639" s="55"/>
      <c r="T639" s="94"/>
      <c r="U639" s="55">
        <f>VLOOKUP($E639,'NI-San_SP'!$C:$AN,MID(U$1,1,2),FALSE)</f>
        <v>0</v>
      </c>
      <c r="V639" s="55">
        <f>VLOOKUP($E639,'NI-San_SP'!$C:$AN,MID(V$1,1,2),FALSE)</f>
        <v>0</v>
      </c>
      <c r="W639" s="55">
        <f>VLOOKUP($E639,'NI-San_SP'!$C:$AN,MID(W$1,1,2),FALSE)</f>
        <v>0</v>
      </c>
      <c r="X639" s="55">
        <f>VLOOKUP($E639,'NI-San_SP'!$C:$AN,MID(X$1,1,2),FALSE)</f>
        <v>0</v>
      </c>
      <c r="Y639" s="55">
        <f>VLOOKUP($E639,'NI-San_SP'!$C:$AN,MID(Y$1,1,2),FALSE)</f>
        <v>0</v>
      </c>
      <c r="Z639" s="55">
        <f>VLOOKUP($E639,'NI-San_SP'!$C:$AN,MID(Z$1,1,2),FALSE)</f>
        <v>0</v>
      </c>
      <c r="AA639" s="55">
        <f>VLOOKUP($E639,'NI-San_SP'!$C:$AN,MID(AA$1,1,2),FALSE)</f>
        <v>0</v>
      </c>
      <c r="AB639" s="55">
        <f>VLOOKUP($E639,'NI-San_SP'!$C:$AN,MID(AB$1,1,2),FALSE)</f>
        <v>0</v>
      </c>
      <c r="AC639" s="55">
        <f>VLOOKUP($E639,'NI-San_SP'!$C:$AN,MID(AC$1,1,2),FALSE)</f>
        <v>0</v>
      </c>
      <c r="AD639" s="55">
        <f>VLOOKUP($E639,'NI-San_SP'!$C:$AN,MID(AD$1,1,2),FALSE)</f>
        <v>0</v>
      </c>
      <c r="AE639" s="55">
        <f>VLOOKUP($E639,'NI-San_SP'!$C:$AN,MID(AE$1,1,2),FALSE)</f>
        <v>0</v>
      </c>
      <c r="AF639" s="55">
        <f>VLOOKUP($E639,'NI-San_SP'!$C:$AN,MID(AF$1,1,2),FALSE)</f>
        <v>0</v>
      </c>
      <c r="AG639" s="55">
        <f>VLOOKUP($E639,'NI-San_SP'!$C:$AN,MID(AG$1,1,2),FALSE)</f>
        <v>0</v>
      </c>
      <c r="AH639" s="55">
        <f>VLOOKUP($E639,'NI-San_SP'!$C:$AN,MID(AH$1,1,2),FALSE)</f>
        <v>0</v>
      </c>
      <c r="AI639" s="55">
        <f>VLOOKUP($E639,'NI-San_SP'!$C:$AN,MID(AI$1,1,2),FALSE)</f>
        <v>0</v>
      </c>
      <c r="AJ639" s="55">
        <f>VLOOKUP($E639,'NI-San_SP'!$C:$AN,MID(AJ$1,1,2),FALSE)</f>
        <v>0</v>
      </c>
      <c r="AK639" s="55">
        <f>VLOOKUP($E639,'NI-San_SP'!$C:$AN,MID(AK$1,1,2),FALSE)</f>
        <v>0</v>
      </c>
      <c r="AL639" s="55">
        <f>VLOOKUP($E639,'NI-San_SP'!$C:$AN,MID(AL$1,1,2),FALSE)</f>
        <v>0</v>
      </c>
      <c r="AM639" s="56">
        <f>VLOOKUP($E639,'NI-San_SP'!$C:$AN,MID(AM$1,1,2),FALSE)</f>
        <v>0</v>
      </c>
      <c r="AN639" s="30" t="str">
        <f t="shared" si="9"/>
        <v>70501080010000</v>
      </c>
    </row>
    <row r="640" spans="1:40" ht="15" x14ac:dyDescent="0.25">
      <c r="A640" s="30" t="s">
        <v>1394</v>
      </c>
      <c r="C640" s="40"/>
      <c r="D640" s="98" t="s">
        <v>2444</v>
      </c>
      <c r="E640" s="98" t="s">
        <v>2445</v>
      </c>
      <c r="F640" s="58" t="s">
        <v>110</v>
      </c>
      <c r="G640" s="99" t="s">
        <v>1608</v>
      </c>
      <c r="H640" s="52"/>
      <c r="I640" s="52"/>
      <c r="J640" s="52" t="s">
        <v>2442</v>
      </c>
      <c r="K640" s="59" t="s">
        <v>79</v>
      </c>
      <c r="L640" s="52"/>
      <c r="M640" s="52"/>
      <c r="N640" s="52"/>
      <c r="O640" s="61" t="s">
        <v>2434</v>
      </c>
      <c r="P640" s="79" t="s">
        <v>2446</v>
      </c>
      <c r="Q640" s="55">
        <f>VLOOKUP(E640,'NI-San_SP'!$C:$AN,12,FALSE)</f>
        <v>0</v>
      </c>
      <c r="R640" s="55">
        <f>VLOOKUP(E640,'NI-San_SP'!$C:$AN,13,FALSE)</f>
        <v>0</v>
      </c>
      <c r="S640" s="55"/>
      <c r="T640" s="94"/>
      <c r="U640" s="55">
        <f>VLOOKUP($E640,'NI-San_SP'!$C:$AN,MID(U$1,1,2),FALSE)</f>
        <v>0</v>
      </c>
      <c r="V640" s="55">
        <f>VLOOKUP($E640,'NI-San_SP'!$C:$AN,MID(V$1,1,2),FALSE)</f>
        <v>0</v>
      </c>
      <c r="W640" s="55">
        <f>VLOOKUP($E640,'NI-San_SP'!$C:$AN,MID(W$1,1,2),FALSE)</f>
        <v>0</v>
      </c>
      <c r="X640" s="55">
        <f>VLOOKUP($E640,'NI-San_SP'!$C:$AN,MID(X$1,1,2),FALSE)</f>
        <v>0</v>
      </c>
      <c r="Y640" s="55">
        <f>VLOOKUP($E640,'NI-San_SP'!$C:$AN,MID(Y$1,1,2),FALSE)</f>
        <v>0</v>
      </c>
      <c r="Z640" s="55">
        <f>VLOOKUP($E640,'NI-San_SP'!$C:$AN,MID(Z$1,1,2),FALSE)</f>
        <v>0</v>
      </c>
      <c r="AA640" s="55">
        <f>VLOOKUP($E640,'NI-San_SP'!$C:$AN,MID(AA$1,1,2),FALSE)</f>
        <v>0</v>
      </c>
      <c r="AB640" s="55">
        <f>VLOOKUP($E640,'NI-San_SP'!$C:$AN,MID(AB$1,1,2),FALSE)</f>
        <v>0</v>
      </c>
      <c r="AC640" s="55">
        <f>VLOOKUP($E640,'NI-San_SP'!$C:$AN,MID(AC$1,1,2),FALSE)</f>
        <v>0</v>
      </c>
      <c r="AD640" s="55">
        <f>VLOOKUP($E640,'NI-San_SP'!$C:$AN,MID(AD$1,1,2),FALSE)</f>
        <v>0</v>
      </c>
      <c r="AE640" s="55">
        <f>VLOOKUP($E640,'NI-San_SP'!$C:$AN,MID(AE$1,1,2),FALSE)</f>
        <v>0</v>
      </c>
      <c r="AF640" s="55">
        <f>VLOOKUP($E640,'NI-San_SP'!$C:$AN,MID(AF$1,1,2),FALSE)</f>
        <v>0</v>
      </c>
      <c r="AG640" s="55">
        <f>VLOOKUP($E640,'NI-San_SP'!$C:$AN,MID(AG$1,1,2),FALSE)</f>
        <v>0</v>
      </c>
      <c r="AH640" s="55">
        <f>VLOOKUP($E640,'NI-San_SP'!$C:$AN,MID(AH$1,1,2),FALSE)</f>
        <v>0</v>
      </c>
      <c r="AI640" s="55">
        <f>VLOOKUP($E640,'NI-San_SP'!$C:$AN,MID(AI$1,1,2),FALSE)</f>
        <v>0</v>
      </c>
      <c r="AJ640" s="55">
        <f>VLOOKUP($E640,'NI-San_SP'!$C:$AN,MID(AJ$1,1,2),FALSE)</f>
        <v>0</v>
      </c>
      <c r="AK640" s="55">
        <f>VLOOKUP($E640,'NI-San_SP'!$C:$AN,MID(AK$1,1,2),FALSE)</f>
        <v>0</v>
      </c>
      <c r="AL640" s="55">
        <f>VLOOKUP($E640,'NI-San_SP'!$C:$AN,MID(AL$1,1,2),FALSE)</f>
        <v>0</v>
      </c>
      <c r="AM640" s="56">
        <f>VLOOKUP($E640,'NI-San_SP'!$C:$AN,MID(AM$1,1,2),FALSE)</f>
        <v>0</v>
      </c>
      <c r="AN640" s="30" t="str">
        <f t="shared" si="9"/>
        <v>70501080020000</v>
      </c>
    </row>
    <row r="641" spans="1:40" ht="15" x14ac:dyDescent="0.25">
      <c r="A641" s="30" t="s">
        <v>1394</v>
      </c>
      <c r="C641" s="40"/>
      <c r="D641" s="98" t="s">
        <v>2447</v>
      </c>
      <c r="E641" s="98" t="s">
        <v>2448</v>
      </c>
      <c r="F641" s="58" t="s">
        <v>110</v>
      </c>
      <c r="G641" s="99" t="s">
        <v>1608</v>
      </c>
      <c r="H641" s="52"/>
      <c r="I641" s="52"/>
      <c r="J641" s="52" t="s">
        <v>2442</v>
      </c>
      <c r="K641" s="59" t="s">
        <v>79</v>
      </c>
      <c r="L641" s="52"/>
      <c r="M641" s="52"/>
      <c r="N641" s="52"/>
      <c r="O641" s="61" t="s">
        <v>2434</v>
      </c>
      <c r="P641" s="79" t="s">
        <v>2449</v>
      </c>
      <c r="Q641" s="55">
        <f>VLOOKUP(E641,'NI-San_SP'!$C:$AN,12,FALSE)</f>
        <v>0</v>
      </c>
      <c r="R641" s="55">
        <f>VLOOKUP(E641,'NI-San_SP'!$C:$AN,13,FALSE)</f>
        <v>0</v>
      </c>
      <c r="S641" s="55"/>
      <c r="T641" s="94"/>
      <c r="U641" s="55">
        <f>VLOOKUP($E641,'NI-San_SP'!$C:$AN,MID(U$1,1,2),FALSE)</f>
        <v>0</v>
      </c>
      <c r="V641" s="55">
        <f>VLOOKUP($E641,'NI-San_SP'!$C:$AN,MID(V$1,1,2),FALSE)</f>
        <v>0</v>
      </c>
      <c r="W641" s="55">
        <f>VLOOKUP($E641,'NI-San_SP'!$C:$AN,MID(W$1,1,2),FALSE)</f>
        <v>0</v>
      </c>
      <c r="X641" s="55">
        <f>VLOOKUP($E641,'NI-San_SP'!$C:$AN,MID(X$1,1,2),FALSE)</f>
        <v>0</v>
      </c>
      <c r="Y641" s="55">
        <f>VLOOKUP($E641,'NI-San_SP'!$C:$AN,MID(Y$1,1,2),FALSE)</f>
        <v>0</v>
      </c>
      <c r="Z641" s="55">
        <f>VLOOKUP($E641,'NI-San_SP'!$C:$AN,MID(Z$1,1,2),FALSE)</f>
        <v>0</v>
      </c>
      <c r="AA641" s="55">
        <f>VLOOKUP($E641,'NI-San_SP'!$C:$AN,MID(AA$1,1,2),FALSE)</f>
        <v>0</v>
      </c>
      <c r="AB641" s="55">
        <f>VLOOKUP($E641,'NI-San_SP'!$C:$AN,MID(AB$1,1,2),FALSE)</f>
        <v>0</v>
      </c>
      <c r="AC641" s="55">
        <f>VLOOKUP($E641,'NI-San_SP'!$C:$AN,MID(AC$1,1,2),FALSE)</f>
        <v>0</v>
      </c>
      <c r="AD641" s="55">
        <f>VLOOKUP($E641,'NI-San_SP'!$C:$AN,MID(AD$1,1,2),FALSE)</f>
        <v>0</v>
      </c>
      <c r="AE641" s="55">
        <f>VLOOKUP($E641,'NI-San_SP'!$C:$AN,MID(AE$1,1,2),FALSE)</f>
        <v>0</v>
      </c>
      <c r="AF641" s="55">
        <f>VLOOKUP($E641,'NI-San_SP'!$C:$AN,MID(AF$1,1,2),FALSE)</f>
        <v>0</v>
      </c>
      <c r="AG641" s="55">
        <f>VLOOKUP($E641,'NI-San_SP'!$C:$AN,MID(AG$1,1,2),FALSE)</f>
        <v>0</v>
      </c>
      <c r="AH641" s="55">
        <f>VLOOKUP($E641,'NI-San_SP'!$C:$AN,MID(AH$1,1,2),FALSE)</f>
        <v>0</v>
      </c>
      <c r="AI641" s="55">
        <f>VLOOKUP($E641,'NI-San_SP'!$C:$AN,MID(AI$1,1,2),FALSE)</f>
        <v>0</v>
      </c>
      <c r="AJ641" s="55">
        <f>VLOOKUP($E641,'NI-San_SP'!$C:$AN,MID(AJ$1,1,2),FALSE)</f>
        <v>0</v>
      </c>
      <c r="AK641" s="55">
        <f>VLOOKUP($E641,'NI-San_SP'!$C:$AN,MID(AK$1,1,2),FALSE)</f>
        <v>0</v>
      </c>
      <c r="AL641" s="55">
        <f>VLOOKUP($E641,'NI-San_SP'!$C:$AN,MID(AL$1,1,2),FALSE)</f>
        <v>0</v>
      </c>
      <c r="AM641" s="56">
        <f>VLOOKUP($E641,'NI-San_SP'!$C:$AN,MID(AM$1,1,2),FALSE)</f>
        <v>0</v>
      </c>
      <c r="AN641" s="30" t="str">
        <f t="shared" si="9"/>
        <v>70501080030000</v>
      </c>
    </row>
    <row r="642" spans="1:40" ht="15" x14ac:dyDescent="0.25">
      <c r="A642" s="30" t="s">
        <v>1394</v>
      </c>
      <c r="C642" s="40"/>
      <c r="D642" s="98" t="s">
        <v>2450</v>
      </c>
      <c r="E642" s="98" t="s">
        <v>2451</v>
      </c>
      <c r="F642" s="58" t="s">
        <v>110</v>
      </c>
      <c r="G642" s="99" t="s">
        <v>1608</v>
      </c>
      <c r="H642" s="52"/>
      <c r="I642" s="52"/>
      <c r="J642" s="52" t="s">
        <v>2452</v>
      </c>
      <c r="K642" s="59" t="s">
        <v>79</v>
      </c>
      <c r="L642" s="52"/>
      <c r="M642" s="52"/>
      <c r="N642" s="52"/>
      <c r="O642" s="61" t="s">
        <v>2434</v>
      </c>
      <c r="P642" s="79" t="s">
        <v>2453</v>
      </c>
      <c r="Q642" s="55">
        <f>VLOOKUP(E642,'NI-San_SP'!$C:$AN,12,FALSE)</f>
        <v>0</v>
      </c>
      <c r="R642" s="55">
        <f>VLOOKUP(E642,'NI-San_SP'!$C:$AN,13,FALSE)</f>
        <v>0</v>
      </c>
      <c r="S642" s="55"/>
      <c r="T642" s="94"/>
      <c r="U642" s="55">
        <f>VLOOKUP($E642,'NI-San_SP'!$C:$AN,MID(U$1,1,2),FALSE)</f>
        <v>0</v>
      </c>
      <c r="V642" s="55">
        <f>VLOOKUP($E642,'NI-San_SP'!$C:$AN,MID(V$1,1,2),FALSE)</f>
        <v>0</v>
      </c>
      <c r="W642" s="55">
        <f>VLOOKUP($E642,'NI-San_SP'!$C:$AN,MID(W$1,1,2),FALSE)</f>
        <v>0</v>
      </c>
      <c r="X642" s="55">
        <f>VLOOKUP($E642,'NI-San_SP'!$C:$AN,MID(X$1,1,2),FALSE)</f>
        <v>0</v>
      </c>
      <c r="Y642" s="55">
        <f>VLOOKUP($E642,'NI-San_SP'!$C:$AN,MID(Y$1,1,2),FALSE)</f>
        <v>0</v>
      </c>
      <c r="Z642" s="55">
        <f>VLOOKUP($E642,'NI-San_SP'!$C:$AN,MID(Z$1,1,2),FALSE)</f>
        <v>0</v>
      </c>
      <c r="AA642" s="55">
        <f>VLOOKUP($E642,'NI-San_SP'!$C:$AN,MID(AA$1,1,2),FALSE)</f>
        <v>0</v>
      </c>
      <c r="AB642" s="55">
        <f>VLOOKUP($E642,'NI-San_SP'!$C:$AN,MID(AB$1,1,2),FALSE)</f>
        <v>0</v>
      </c>
      <c r="AC642" s="55">
        <f>VLOOKUP($E642,'NI-San_SP'!$C:$AN,MID(AC$1,1,2),FALSE)</f>
        <v>0</v>
      </c>
      <c r="AD642" s="55">
        <f>VLOOKUP($E642,'NI-San_SP'!$C:$AN,MID(AD$1,1,2),FALSE)</f>
        <v>0</v>
      </c>
      <c r="AE642" s="55">
        <f>VLOOKUP($E642,'NI-San_SP'!$C:$AN,MID(AE$1,1,2),FALSE)</f>
        <v>0</v>
      </c>
      <c r="AF642" s="55">
        <f>VLOOKUP($E642,'NI-San_SP'!$C:$AN,MID(AF$1,1,2),FALSE)</f>
        <v>0</v>
      </c>
      <c r="AG642" s="55">
        <f>VLOOKUP($E642,'NI-San_SP'!$C:$AN,MID(AG$1,1,2),FALSE)</f>
        <v>0</v>
      </c>
      <c r="AH642" s="55">
        <f>VLOOKUP($E642,'NI-San_SP'!$C:$AN,MID(AH$1,1,2),FALSE)</f>
        <v>0</v>
      </c>
      <c r="AI642" s="55">
        <f>VLOOKUP($E642,'NI-San_SP'!$C:$AN,MID(AI$1,1,2),FALSE)</f>
        <v>0</v>
      </c>
      <c r="AJ642" s="55">
        <f>VLOOKUP($E642,'NI-San_SP'!$C:$AN,MID(AJ$1,1,2),FALSE)</f>
        <v>0</v>
      </c>
      <c r="AK642" s="55">
        <f>VLOOKUP($E642,'NI-San_SP'!$C:$AN,MID(AK$1,1,2),FALSE)</f>
        <v>0</v>
      </c>
      <c r="AL642" s="55">
        <f>VLOOKUP($E642,'NI-San_SP'!$C:$AN,MID(AL$1,1,2),FALSE)</f>
        <v>0</v>
      </c>
      <c r="AM642" s="56">
        <f>VLOOKUP($E642,'NI-San_SP'!$C:$AN,MID(AM$1,1,2),FALSE)</f>
        <v>0</v>
      </c>
      <c r="AN642" s="30" t="str">
        <f t="shared" ref="AN642:AN705" si="10">D642</f>
        <v>70501090000000</v>
      </c>
    </row>
    <row r="643" spans="1:40" x14ac:dyDescent="0.25">
      <c r="C643" s="40"/>
      <c r="D643" s="91" t="s">
        <v>2454</v>
      </c>
      <c r="E643" s="91" t="s">
        <v>2455</v>
      </c>
      <c r="F643" s="58" t="s">
        <v>110</v>
      </c>
      <c r="G643" s="96" t="s">
        <v>1608</v>
      </c>
      <c r="H643" s="52"/>
      <c r="I643" s="52" t="s">
        <v>2456</v>
      </c>
      <c r="J643" s="52" t="s">
        <v>2456</v>
      </c>
      <c r="K643" s="59" t="s">
        <v>111</v>
      </c>
      <c r="L643" s="52"/>
      <c r="M643" s="52"/>
      <c r="N643" s="52"/>
      <c r="O643" s="61" t="s">
        <v>2457</v>
      </c>
      <c r="P643" s="76" t="s">
        <v>2458</v>
      </c>
      <c r="Q643" s="55">
        <f>VLOOKUP(E643,'NI-San_SP'!$C:$AN,12,FALSE)</f>
        <v>38239</v>
      </c>
      <c r="R643" s="55">
        <f>VLOOKUP(E643,'NI-San_SP'!$C:$AN,13,FALSE)</f>
        <v>7503</v>
      </c>
      <c r="S643" s="55">
        <f>VLOOKUP(E643,'NI-San_SP'!$C:$AN,30,FALSE)</f>
        <v>0</v>
      </c>
      <c r="T643" s="94">
        <f>VLOOKUP(E643,'NI-San_SP'!$C:$AN,31,FALSE)+VLOOKUP(E643,'NI-San_SP'!$C:$AN,32,FALSE)</f>
        <v>14656</v>
      </c>
      <c r="U643" s="55">
        <f>VLOOKUP($E643,'NI-San_SP'!$C:$AN,MID(U$1,1,2),FALSE)</f>
        <v>0</v>
      </c>
      <c r="V643" s="55">
        <f>VLOOKUP($E643,'NI-San_SP'!$C:$AN,MID(V$1,1,2),FALSE)</f>
        <v>38239</v>
      </c>
      <c r="W643" s="55">
        <f>VLOOKUP($E643,'NI-San_SP'!$C:$AN,MID(W$1,1,2),FALSE)</f>
        <v>0</v>
      </c>
      <c r="X643" s="55">
        <f>VLOOKUP($E643,'NI-San_SP'!$C:$AN,MID(X$1,1,2),FALSE)</f>
        <v>0</v>
      </c>
      <c r="Y643" s="55">
        <f>VLOOKUP($E643,'NI-San_SP'!$C:$AN,MID(Y$1,1,2),FALSE)</f>
        <v>0</v>
      </c>
      <c r="Z643" s="55">
        <f>VLOOKUP($E643,'NI-San_SP'!$C:$AN,MID(Z$1,1,2),FALSE)</f>
        <v>22839</v>
      </c>
      <c r="AA643" s="55">
        <f>VLOOKUP($E643,'NI-San_SP'!$C:$AN,MID(AA$1,1,2),FALSE)</f>
        <v>0</v>
      </c>
      <c r="AB643" s="55">
        <f>VLOOKUP($E643,'NI-San_SP'!$C:$AN,MID(AB$1,1,2),FALSE)</f>
        <v>30735</v>
      </c>
      <c r="AC643" s="55">
        <f>VLOOKUP($E643,'NI-San_SP'!$C:$AN,MID(AC$1,1,2),FALSE)</f>
        <v>22840</v>
      </c>
      <c r="AD643" s="55">
        <f>VLOOKUP($E643,'NI-San_SP'!$C:$AN,MID(AD$1,1,2),FALSE)</f>
        <v>7503</v>
      </c>
      <c r="AE643" s="55">
        <f>VLOOKUP($E643,'NI-San_SP'!$C:$AN,MID(AE$1,1,2),FALSE)</f>
        <v>2769</v>
      </c>
      <c r="AF643" s="55">
        <f>VLOOKUP($E643,'NI-San_SP'!$C:$AN,MID(AF$1,1,2),FALSE)</f>
        <v>0</v>
      </c>
      <c r="AG643" s="55">
        <f>VLOOKUP($E643,'NI-San_SP'!$C:$AN,MID(AG$1,1,2),FALSE)</f>
        <v>291</v>
      </c>
      <c r="AH643" s="55">
        <f>VLOOKUP($E643,'NI-San_SP'!$C:$AN,MID(AH$1,1,2),FALSE)</f>
        <v>0</v>
      </c>
      <c r="AI643" s="55">
        <f>VLOOKUP($E643,'NI-San_SP'!$C:$AN,MID(AI$1,1,2),FALSE)</f>
        <v>59</v>
      </c>
      <c r="AJ643" s="55">
        <f>VLOOKUP($E643,'NI-San_SP'!$C:$AN,MID(AJ$1,1,2),FALSE)</f>
        <v>0</v>
      </c>
      <c r="AK643" s="55">
        <f>VLOOKUP($E643,'NI-San_SP'!$C:$AN,MID(AK$1,1,2),FALSE)</f>
        <v>7153</v>
      </c>
      <c r="AL643" s="55">
        <f>VLOOKUP($E643,'NI-San_SP'!$C:$AN,MID(AL$1,1,2),FALSE)</f>
        <v>7503</v>
      </c>
      <c r="AM643" s="56">
        <f>VLOOKUP($E643,'NI-San_SP'!$C:$AN,MID(AM$1,1,2),FALSE)</f>
        <v>0</v>
      </c>
      <c r="AN643" s="30" t="str">
        <f t="shared" si="10"/>
        <v>70502000000000</v>
      </c>
    </row>
    <row r="644" spans="1:40" ht="27" x14ac:dyDescent="0.25">
      <c r="C644" s="40"/>
      <c r="D644" s="91" t="s">
        <v>2459</v>
      </c>
      <c r="E644" s="91" t="s">
        <v>2460</v>
      </c>
      <c r="F644" s="58" t="s">
        <v>110</v>
      </c>
      <c r="G644" s="96" t="s">
        <v>1608</v>
      </c>
      <c r="H644" s="52"/>
      <c r="I644" s="52"/>
      <c r="J644" s="52"/>
      <c r="K644" s="59" t="s">
        <v>79</v>
      </c>
      <c r="L644" s="52"/>
      <c r="M644" s="52"/>
      <c r="N644" s="52"/>
      <c r="O644" s="52"/>
      <c r="P644" s="76" t="s">
        <v>2461</v>
      </c>
      <c r="Q644" s="55">
        <f>VLOOKUP(E644,'NI-San_SP'!$C:$AN,12,FALSE)</f>
        <v>38239</v>
      </c>
      <c r="R644" s="55">
        <f>VLOOKUP(E644,'NI-San_SP'!$C:$AN,13,FALSE)</f>
        <v>7503</v>
      </c>
      <c r="S644" s="55">
        <f>VLOOKUP(E644,'NI-San_SP'!$C:$AN,30,FALSE)</f>
        <v>0</v>
      </c>
      <c r="T644" s="94">
        <f>VLOOKUP(E644,'NI-San_SP'!$C:$AN,31,FALSE)+VLOOKUP(E644,'NI-San_SP'!$C:$AN,32,FALSE)</f>
        <v>14656</v>
      </c>
      <c r="U644" s="55">
        <f>VLOOKUP($E644,'NI-San_SP'!$C:$AN,MID(U$1,1,2),FALSE)</f>
        <v>0</v>
      </c>
      <c r="V644" s="55">
        <f>VLOOKUP($E644,'NI-San_SP'!$C:$AN,MID(V$1,1,2),FALSE)</f>
        <v>38239</v>
      </c>
      <c r="W644" s="55">
        <f>VLOOKUP($E644,'NI-San_SP'!$C:$AN,MID(W$1,1,2),FALSE)</f>
        <v>0</v>
      </c>
      <c r="X644" s="55">
        <f>VLOOKUP($E644,'NI-San_SP'!$C:$AN,MID(X$1,1,2),FALSE)</f>
        <v>0</v>
      </c>
      <c r="Y644" s="55">
        <f>VLOOKUP($E644,'NI-San_SP'!$C:$AN,MID(Y$1,1,2),FALSE)</f>
        <v>0</v>
      </c>
      <c r="Z644" s="55">
        <f>VLOOKUP($E644,'NI-San_SP'!$C:$AN,MID(Z$1,1,2),FALSE)</f>
        <v>22839</v>
      </c>
      <c r="AA644" s="55">
        <f>VLOOKUP($E644,'NI-San_SP'!$C:$AN,MID(AA$1,1,2),FALSE)</f>
        <v>0</v>
      </c>
      <c r="AB644" s="55">
        <f>VLOOKUP($E644,'NI-San_SP'!$C:$AN,MID(AB$1,1,2),FALSE)</f>
        <v>30735</v>
      </c>
      <c r="AC644" s="55">
        <f>VLOOKUP($E644,'NI-San_SP'!$C:$AN,MID(AC$1,1,2),FALSE)</f>
        <v>22840</v>
      </c>
      <c r="AD644" s="55">
        <f>VLOOKUP($E644,'NI-San_SP'!$C:$AN,MID(AD$1,1,2),FALSE)</f>
        <v>7503</v>
      </c>
      <c r="AE644" s="55">
        <f>VLOOKUP($E644,'NI-San_SP'!$C:$AN,MID(AE$1,1,2),FALSE)</f>
        <v>2769</v>
      </c>
      <c r="AF644" s="55">
        <f>VLOOKUP($E644,'NI-San_SP'!$C:$AN,MID(AF$1,1,2),FALSE)</f>
        <v>0</v>
      </c>
      <c r="AG644" s="55">
        <f>VLOOKUP($E644,'NI-San_SP'!$C:$AN,MID(AG$1,1,2),FALSE)</f>
        <v>291</v>
      </c>
      <c r="AH644" s="55">
        <f>VLOOKUP($E644,'NI-San_SP'!$C:$AN,MID(AH$1,1,2),FALSE)</f>
        <v>0</v>
      </c>
      <c r="AI644" s="55">
        <f>VLOOKUP($E644,'NI-San_SP'!$C:$AN,MID(AI$1,1,2),FALSE)</f>
        <v>59</v>
      </c>
      <c r="AJ644" s="55">
        <f>VLOOKUP($E644,'NI-San_SP'!$C:$AN,MID(AJ$1,1,2),FALSE)</f>
        <v>0</v>
      </c>
      <c r="AK644" s="55">
        <f>VLOOKUP($E644,'NI-San_SP'!$C:$AN,MID(AK$1,1,2),FALSE)</f>
        <v>7153</v>
      </c>
      <c r="AL644" s="55">
        <f>VLOOKUP($E644,'NI-San_SP'!$C:$AN,MID(AL$1,1,2),FALSE)</f>
        <v>7503</v>
      </c>
      <c r="AM644" s="56">
        <f>VLOOKUP($E644,'NI-San_SP'!$C:$AN,MID(AM$1,1,2),FALSE)</f>
        <v>0</v>
      </c>
      <c r="AN644" s="30" t="str">
        <f t="shared" si="10"/>
        <v>70502010000000</v>
      </c>
    </row>
    <row r="645" spans="1:40" x14ac:dyDescent="0.25">
      <c r="C645" s="40"/>
      <c r="D645" s="91" t="s">
        <v>2462</v>
      </c>
      <c r="E645" s="91" t="s">
        <v>2463</v>
      </c>
      <c r="F645" s="58" t="s">
        <v>110</v>
      </c>
      <c r="G645" s="96" t="s">
        <v>1608</v>
      </c>
      <c r="H645" s="52"/>
      <c r="I645" s="52"/>
      <c r="J645" s="52"/>
      <c r="K645" s="59" t="s">
        <v>79</v>
      </c>
      <c r="L645" s="52"/>
      <c r="M645" s="52"/>
      <c r="N645" s="52"/>
      <c r="O645" s="52"/>
      <c r="P645" s="76" t="s">
        <v>2464</v>
      </c>
      <c r="Q645" s="55">
        <f>VLOOKUP(E645,'NI-San_SP'!$C:$AN,12,FALSE)</f>
        <v>0</v>
      </c>
      <c r="R645" s="55">
        <f>VLOOKUP(E645,'NI-San_SP'!$C:$AN,13,FALSE)</f>
        <v>0</v>
      </c>
      <c r="S645" s="55">
        <f>VLOOKUP(E645,'NI-San_SP'!$C:$AN,30,FALSE)</f>
        <v>0</v>
      </c>
      <c r="T645" s="94">
        <f>VLOOKUP(E645,'NI-San_SP'!$C:$AN,31,FALSE)+VLOOKUP(E645,'NI-San_SP'!$C:$AN,32,FALSE)</f>
        <v>0</v>
      </c>
      <c r="U645" s="55">
        <f>VLOOKUP($E645,'NI-San_SP'!$C:$AN,MID(U$1,1,2),FALSE)</f>
        <v>0</v>
      </c>
      <c r="V645" s="55">
        <f>VLOOKUP($E645,'NI-San_SP'!$C:$AN,MID(V$1,1,2),FALSE)</f>
        <v>0</v>
      </c>
      <c r="W645" s="55">
        <f>VLOOKUP($E645,'NI-San_SP'!$C:$AN,MID(W$1,1,2),FALSE)</f>
        <v>0</v>
      </c>
      <c r="X645" s="55">
        <f>VLOOKUP($E645,'NI-San_SP'!$C:$AN,MID(X$1,1,2),FALSE)</f>
        <v>0</v>
      </c>
      <c r="Y645" s="55">
        <f>VLOOKUP($E645,'NI-San_SP'!$C:$AN,MID(Y$1,1,2),FALSE)</f>
        <v>0</v>
      </c>
      <c r="Z645" s="55">
        <f>VLOOKUP($E645,'NI-San_SP'!$C:$AN,MID(Z$1,1,2),FALSE)</f>
        <v>0</v>
      </c>
      <c r="AA645" s="55">
        <f>VLOOKUP($E645,'NI-San_SP'!$C:$AN,MID(AA$1,1,2),FALSE)</f>
        <v>0</v>
      </c>
      <c r="AB645" s="55">
        <f>VLOOKUP($E645,'NI-San_SP'!$C:$AN,MID(AB$1,1,2),FALSE)</f>
        <v>0</v>
      </c>
      <c r="AC645" s="55">
        <f>VLOOKUP($E645,'NI-San_SP'!$C:$AN,MID(AC$1,1,2),FALSE)</f>
        <v>0</v>
      </c>
      <c r="AD645" s="55">
        <f>VLOOKUP($E645,'NI-San_SP'!$C:$AN,MID(AD$1,1,2),FALSE)</f>
        <v>0</v>
      </c>
      <c r="AE645" s="55">
        <f>VLOOKUP($E645,'NI-San_SP'!$C:$AN,MID(AE$1,1,2),FALSE)</f>
        <v>0</v>
      </c>
      <c r="AF645" s="55">
        <f>VLOOKUP($E645,'NI-San_SP'!$C:$AN,MID(AF$1,1,2),FALSE)</f>
        <v>0</v>
      </c>
      <c r="AG645" s="55">
        <f>VLOOKUP($E645,'NI-San_SP'!$C:$AN,MID(AG$1,1,2),FALSE)</f>
        <v>0</v>
      </c>
      <c r="AH645" s="55">
        <f>VLOOKUP($E645,'NI-San_SP'!$C:$AN,MID(AH$1,1,2),FALSE)</f>
        <v>0</v>
      </c>
      <c r="AI645" s="55">
        <f>VLOOKUP($E645,'NI-San_SP'!$C:$AN,MID(AI$1,1,2),FALSE)</f>
        <v>0</v>
      </c>
      <c r="AJ645" s="55">
        <f>VLOOKUP($E645,'NI-San_SP'!$C:$AN,MID(AJ$1,1,2),FALSE)</f>
        <v>0</v>
      </c>
      <c r="AK645" s="55">
        <f>VLOOKUP($E645,'NI-San_SP'!$C:$AN,MID(AK$1,1,2),FALSE)</f>
        <v>0</v>
      </c>
      <c r="AL645" s="55">
        <f>VLOOKUP($E645,'NI-San_SP'!$C:$AN,MID(AL$1,1,2),FALSE)</f>
        <v>0</v>
      </c>
      <c r="AM645" s="56">
        <f>VLOOKUP($E645,'NI-San_SP'!$C:$AN,MID(AM$1,1,2),FALSE)</f>
        <v>0</v>
      </c>
      <c r="AN645" s="30" t="str">
        <f t="shared" si="10"/>
        <v>70502020000000</v>
      </c>
    </row>
    <row r="646" spans="1:40" x14ac:dyDescent="0.25">
      <c r="C646" s="40"/>
      <c r="D646" s="91" t="s">
        <v>2465</v>
      </c>
      <c r="E646" s="91" t="s">
        <v>2466</v>
      </c>
      <c r="F646" s="58" t="s">
        <v>110</v>
      </c>
      <c r="G646" s="96" t="s">
        <v>1439</v>
      </c>
      <c r="H646" s="52"/>
      <c r="I646" s="52" t="s">
        <v>2467</v>
      </c>
      <c r="J646" s="52"/>
      <c r="K646" s="59" t="s">
        <v>1358</v>
      </c>
      <c r="L646" s="52"/>
      <c r="M646" s="52"/>
      <c r="N646" s="52"/>
      <c r="O646" s="61" t="s">
        <v>2468</v>
      </c>
      <c r="P646" s="76" t="s">
        <v>2469</v>
      </c>
      <c r="Q646" s="55">
        <f>VLOOKUP(E646,'NI-San_SP'!$C:$AN,12,FALSE)</f>
        <v>0</v>
      </c>
      <c r="R646" s="55">
        <f>VLOOKUP(E646,'NI-San_SP'!$C:$AN,13,FALSE)</f>
        <v>0</v>
      </c>
      <c r="S646" s="55">
        <f>VLOOKUP(E646,'NI-San_SP'!$C:$AN,30,FALSE)</f>
        <v>0</v>
      </c>
      <c r="T646" s="94">
        <f>VLOOKUP(E646,'NI-San_SP'!$C:$AN,31,FALSE)+VLOOKUP(E646,'NI-San_SP'!$C:$AN,32,FALSE)</f>
        <v>0</v>
      </c>
      <c r="U646" s="55">
        <f>VLOOKUP($E646,'NI-San_SP'!$C:$AN,MID(U$1,1,2),FALSE)</f>
        <v>0</v>
      </c>
      <c r="V646" s="55">
        <f>VLOOKUP($E646,'NI-San_SP'!$C:$AN,MID(V$1,1,2),FALSE)</f>
        <v>0</v>
      </c>
      <c r="W646" s="55">
        <f>VLOOKUP($E646,'NI-San_SP'!$C:$AN,MID(W$1,1,2),FALSE)</f>
        <v>0</v>
      </c>
      <c r="X646" s="55">
        <f>VLOOKUP($E646,'NI-San_SP'!$C:$AN,MID(X$1,1,2),FALSE)</f>
        <v>0</v>
      </c>
      <c r="Y646" s="55">
        <f>VLOOKUP($E646,'NI-San_SP'!$C:$AN,MID(Y$1,1,2),FALSE)</f>
        <v>0</v>
      </c>
      <c r="Z646" s="55">
        <f>VLOOKUP($E646,'NI-San_SP'!$C:$AN,MID(Z$1,1,2),FALSE)</f>
        <v>0</v>
      </c>
      <c r="AA646" s="55">
        <f>VLOOKUP($E646,'NI-San_SP'!$C:$AN,MID(AA$1,1,2),FALSE)</f>
        <v>0</v>
      </c>
      <c r="AB646" s="55">
        <f>VLOOKUP($E646,'NI-San_SP'!$C:$AN,MID(AB$1,1,2),FALSE)</f>
        <v>0</v>
      </c>
      <c r="AC646" s="55">
        <f>VLOOKUP($E646,'NI-San_SP'!$C:$AN,MID(AC$1,1,2),FALSE)</f>
        <v>0</v>
      </c>
      <c r="AD646" s="55">
        <f>VLOOKUP($E646,'NI-San_SP'!$C:$AN,MID(AD$1,1,2),FALSE)</f>
        <v>0</v>
      </c>
      <c r="AE646" s="55">
        <f>VLOOKUP($E646,'NI-San_SP'!$C:$AN,MID(AE$1,1,2),FALSE)</f>
        <v>0</v>
      </c>
      <c r="AF646" s="55">
        <f>VLOOKUP($E646,'NI-San_SP'!$C:$AN,MID(AF$1,1,2),FALSE)</f>
        <v>0</v>
      </c>
      <c r="AG646" s="55">
        <f>VLOOKUP($E646,'NI-San_SP'!$C:$AN,MID(AG$1,1,2),FALSE)</f>
        <v>0</v>
      </c>
      <c r="AH646" s="55">
        <f>VLOOKUP($E646,'NI-San_SP'!$C:$AN,MID(AH$1,1,2),FALSE)</f>
        <v>0</v>
      </c>
      <c r="AI646" s="55">
        <f>VLOOKUP($E646,'NI-San_SP'!$C:$AN,MID(AI$1,1,2),FALSE)</f>
        <v>0</v>
      </c>
      <c r="AJ646" s="55">
        <f>VLOOKUP($E646,'NI-San_SP'!$C:$AN,MID(AJ$1,1,2),FALSE)</f>
        <v>0</v>
      </c>
      <c r="AK646" s="55">
        <f>VLOOKUP($E646,'NI-San_SP'!$C:$AN,MID(AK$1,1,2),FALSE)</f>
        <v>0</v>
      </c>
      <c r="AL646" s="55">
        <f>VLOOKUP($E646,'NI-San_SP'!$C:$AN,MID(AL$1,1,2),FALSE)</f>
        <v>0</v>
      </c>
      <c r="AM646" s="56">
        <f>VLOOKUP($E646,'NI-San_SP'!$C:$AN,MID(AM$1,1,2),FALSE)</f>
        <v>0</v>
      </c>
      <c r="AN646" s="30" t="str">
        <f t="shared" si="10"/>
        <v>70503000000000</v>
      </c>
    </row>
    <row r="647" spans="1:40" x14ac:dyDescent="0.25">
      <c r="A647" s="30" t="s">
        <v>1394</v>
      </c>
      <c r="C647" s="40"/>
      <c r="D647" s="98" t="s">
        <v>2470</v>
      </c>
      <c r="E647" s="98" t="s">
        <v>2471</v>
      </c>
      <c r="F647" s="58" t="s">
        <v>110</v>
      </c>
      <c r="G647" s="96" t="s">
        <v>1439</v>
      </c>
      <c r="H647" s="52"/>
      <c r="I647" s="52"/>
      <c r="J647" s="52" t="s">
        <v>2472</v>
      </c>
      <c r="K647" s="59" t="s">
        <v>1358</v>
      </c>
      <c r="L647" s="88"/>
      <c r="M647" s="52"/>
      <c r="N647" s="52"/>
      <c r="O647" s="61"/>
      <c r="P647" s="79" t="s">
        <v>2473</v>
      </c>
      <c r="Q647" s="55">
        <f>VLOOKUP(E647,'NI-San_SP'!$C:$AN,12,FALSE)</f>
        <v>0</v>
      </c>
      <c r="R647" s="55">
        <f>VLOOKUP(E647,'NI-San_SP'!$C:$AN,13,FALSE)</f>
        <v>0</v>
      </c>
      <c r="S647" s="55">
        <f>VLOOKUP(E647,'NI-San_SP'!$C:$AN,30,FALSE)</f>
        <v>0</v>
      </c>
      <c r="T647" s="94">
        <f>VLOOKUP(E647,'NI-San_SP'!$C:$AN,31,FALSE)+VLOOKUP(E647,'NI-San_SP'!$C:$AN,32,FALSE)</f>
        <v>0</v>
      </c>
      <c r="U647" s="55">
        <f>VLOOKUP($E647,'NI-San_SP'!$C:$AN,MID(U$1,1,2),FALSE)</f>
        <v>0</v>
      </c>
      <c r="V647" s="55">
        <f>VLOOKUP($E647,'NI-San_SP'!$C:$AN,MID(V$1,1,2),FALSE)</f>
        <v>0</v>
      </c>
      <c r="W647" s="55">
        <f>VLOOKUP($E647,'NI-San_SP'!$C:$AN,MID(W$1,1,2),FALSE)</f>
        <v>0</v>
      </c>
      <c r="X647" s="55">
        <f>VLOOKUP($E647,'NI-San_SP'!$C:$AN,MID(X$1,1,2),FALSE)</f>
        <v>0</v>
      </c>
      <c r="Y647" s="55">
        <f>VLOOKUP($E647,'NI-San_SP'!$C:$AN,MID(Y$1,1,2),FALSE)</f>
        <v>0</v>
      </c>
      <c r="Z647" s="55">
        <f>VLOOKUP($E647,'NI-San_SP'!$C:$AN,MID(Z$1,1,2),FALSE)</f>
        <v>0</v>
      </c>
      <c r="AA647" s="55">
        <f>VLOOKUP($E647,'NI-San_SP'!$C:$AN,MID(AA$1,1,2),FALSE)</f>
        <v>0</v>
      </c>
      <c r="AB647" s="55">
        <f>VLOOKUP($E647,'NI-San_SP'!$C:$AN,MID(AB$1,1,2),FALSE)</f>
        <v>0</v>
      </c>
      <c r="AC647" s="55">
        <f>VLOOKUP($E647,'NI-San_SP'!$C:$AN,MID(AC$1,1,2),FALSE)</f>
        <v>0</v>
      </c>
      <c r="AD647" s="55">
        <f>VLOOKUP($E647,'NI-San_SP'!$C:$AN,MID(AD$1,1,2),FALSE)</f>
        <v>0</v>
      </c>
      <c r="AE647" s="55">
        <f>VLOOKUP($E647,'NI-San_SP'!$C:$AN,MID(AE$1,1,2),FALSE)</f>
        <v>0</v>
      </c>
      <c r="AF647" s="55">
        <f>VLOOKUP($E647,'NI-San_SP'!$C:$AN,MID(AF$1,1,2),FALSE)</f>
        <v>0</v>
      </c>
      <c r="AG647" s="55">
        <f>VLOOKUP($E647,'NI-San_SP'!$C:$AN,MID(AG$1,1,2),FALSE)</f>
        <v>0</v>
      </c>
      <c r="AH647" s="55">
        <f>VLOOKUP($E647,'NI-San_SP'!$C:$AN,MID(AH$1,1,2),FALSE)</f>
        <v>0</v>
      </c>
      <c r="AI647" s="55">
        <f>VLOOKUP($E647,'NI-San_SP'!$C:$AN,MID(AI$1,1,2),FALSE)</f>
        <v>0</v>
      </c>
      <c r="AJ647" s="55">
        <f>VLOOKUP($E647,'NI-San_SP'!$C:$AN,MID(AJ$1,1,2),FALSE)</f>
        <v>0</v>
      </c>
      <c r="AK647" s="55">
        <f>VLOOKUP($E647,'NI-San_SP'!$C:$AN,MID(AK$1,1,2),FALSE)</f>
        <v>0</v>
      </c>
      <c r="AL647" s="55">
        <f>VLOOKUP($E647,'NI-San_SP'!$C:$AN,MID(AL$1,1,2),FALSE)</f>
        <v>0</v>
      </c>
      <c r="AM647" s="56">
        <f>VLOOKUP($E647,'NI-San_SP'!$C:$AN,MID(AM$1,1,2),FALSE)</f>
        <v>0</v>
      </c>
      <c r="AN647" s="30" t="str">
        <f t="shared" si="10"/>
        <v>70503010000000</v>
      </c>
    </row>
    <row r="648" spans="1:40" x14ac:dyDescent="0.25">
      <c r="A648" s="30" t="s">
        <v>1394</v>
      </c>
      <c r="C648" s="40"/>
      <c r="D648" s="98" t="s">
        <v>2474</v>
      </c>
      <c r="E648" s="98" t="s">
        <v>2475</v>
      </c>
      <c r="F648" s="58" t="s">
        <v>110</v>
      </c>
      <c r="G648" s="96" t="s">
        <v>1439</v>
      </c>
      <c r="H648" s="52"/>
      <c r="I648" s="52"/>
      <c r="J648" s="52" t="s">
        <v>2476</v>
      </c>
      <c r="K648" s="59" t="s">
        <v>1358</v>
      </c>
      <c r="L648" s="88"/>
      <c r="M648" s="52"/>
      <c r="N648" s="52"/>
      <c r="O648" s="61"/>
      <c r="P648" s="79" t="s">
        <v>2477</v>
      </c>
      <c r="Q648" s="55">
        <f>VLOOKUP(E648,'NI-San_SP'!$C:$AN,12,FALSE)</f>
        <v>0</v>
      </c>
      <c r="R648" s="55">
        <f>VLOOKUP(E648,'NI-San_SP'!$C:$AN,13,FALSE)</f>
        <v>0</v>
      </c>
      <c r="S648" s="55">
        <f>VLOOKUP(E648,'NI-San_SP'!$C:$AN,30,FALSE)</f>
        <v>0</v>
      </c>
      <c r="T648" s="94">
        <f>VLOOKUP(E648,'NI-San_SP'!$C:$AN,31,FALSE)+VLOOKUP(E648,'NI-San_SP'!$C:$AN,32,FALSE)</f>
        <v>0</v>
      </c>
      <c r="U648" s="55">
        <f>VLOOKUP($E648,'NI-San_SP'!$C:$AN,MID(U$1,1,2),FALSE)</f>
        <v>0</v>
      </c>
      <c r="V648" s="55">
        <f>VLOOKUP($E648,'NI-San_SP'!$C:$AN,MID(V$1,1,2),FALSE)</f>
        <v>0</v>
      </c>
      <c r="W648" s="55">
        <f>VLOOKUP($E648,'NI-San_SP'!$C:$AN,MID(W$1,1,2),FALSE)</f>
        <v>0</v>
      </c>
      <c r="X648" s="55">
        <f>VLOOKUP($E648,'NI-San_SP'!$C:$AN,MID(X$1,1,2),FALSE)</f>
        <v>0</v>
      </c>
      <c r="Y648" s="55">
        <f>VLOOKUP($E648,'NI-San_SP'!$C:$AN,MID(Y$1,1,2),FALSE)</f>
        <v>0</v>
      </c>
      <c r="Z648" s="55">
        <f>VLOOKUP($E648,'NI-San_SP'!$C:$AN,MID(Z$1,1,2),FALSE)</f>
        <v>0</v>
      </c>
      <c r="AA648" s="55">
        <f>VLOOKUP($E648,'NI-San_SP'!$C:$AN,MID(AA$1,1,2),FALSE)</f>
        <v>0</v>
      </c>
      <c r="AB648" s="55">
        <f>VLOOKUP($E648,'NI-San_SP'!$C:$AN,MID(AB$1,1,2),FALSE)</f>
        <v>0</v>
      </c>
      <c r="AC648" s="55">
        <f>VLOOKUP($E648,'NI-San_SP'!$C:$AN,MID(AC$1,1,2),FALSE)</f>
        <v>0</v>
      </c>
      <c r="AD648" s="55">
        <f>VLOOKUP($E648,'NI-San_SP'!$C:$AN,MID(AD$1,1,2),FALSE)</f>
        <v>0</v>
      </c>
      <c r="AE648" s="55">
        <f>VLOOKUP($E648,'NI-San_SP'!$C:$AN,MID(AE$1,1,2),FALSE)</f>
        <v>0</v>
      </c>
      <c r="AF648" s="55">
        <f>VLOOKUP($E648,'NI-San_SP'!$C:$AN,MID(AF$1,1,2),FALSE)</f>
        <v>0</v>
      </c>
      <c r="AG648" s="55">
        <f>VLOOKUP($E648,'NI-San_SP'!$C:$AN,MID(AG$1,1,2),FALSE)</f>
        <v>0</v>
      </c>
      <c r="AH648" s="55">
        <f>VLOOKUP($E648,'NI-San_SP'!$C:$AN,MID(AH$1,1,2),FALSE)</f>
        <v>0</v>
      </c>
      <c r="AI648" s="55">
        <f>VLOOKUP($E648,'NI-San_SP'!$C:$AN,MID(AI$1,1,2),FALSE)</f>
        <v>0</v>
      </c>
      <c r="AJ648" s="55">
        <f>VLOOKUP($E648,'NI-San_SP'!$C:$AN,MID(AJ$1,1,2),FALSE)</f>
        <v>0</v>
      </c>
      <c r="AK648" s="55">
        <f>VLOOKUP($E648,'NI-San_SP'!$C:$AN,MID(AK$1,1,2),FALSE)</f>
        <v>0</v>
      </c>
      <c r="AL648" s="55">
        <f>VLOOKUP($E648,'NI-San_SP'!$C:$AN,MID(AL$1,1,2),FALSE)</f>
        <v>0</v>
      </c>
      <c r="AM648" s="56">
        <f>VLOOKUP($E648,'NI-San_SP'!$C:$AN,MID(AM$1,1,2),FALSE)</f>
        <v>0</v>
      </c>
      <c r="AN648" s="30" t="str">
        <f t="shared" si="10"/>
        <v>70503020000000</v>
      </c>
    </row>
    <row r="649" spans="1:40" x14ac:dyDescent="0.25">
      <c r="A649" s="30" t="s">
        <v>1394</v>
      </c>
      <c r="C649" s="40"/>
      <c r="D649" s="98" t="s">
        <v>2478</v>
      </c>
      <c r="E649" s="98" t="s">
        <v>2479</v>
      </c>
      <c r="F649" s="58" t="s">
        <v>110</v>
      </c>
      <c r="G649" s="96" t="s">
        <v>1439</v>
      </c>
      <c r="H649" s="52"/>
      <c r="I649" s="52"/>
      <c r="J649" s="52" t="s">
        <v>2480</v>
      </c>
      <c r="K649" s="59" t="s">
        <v>1358</v>
      </c>
      <c r="L649" s="88"/>
      <c r="M649" s="52"/>
      <c r="N649" s="52"/>
      <c r="O649" s="61"/>
      <c r="P649" s="79" t="s">
        <v>2481</v>
      </c>
      <c r="Q649" s="55">
        <f>VLOOKUP(E649,'NI-San_SP'!$C:$AN,12,FALSE)</f>
        <v>0</v>
      </c>
      <c r="R649" s="55">
        <f>VLOOKUP(E649,'NI-San_SP'!$C:$AN,13,FALSE)</f>
        <v>0</v>
      </c>
      <c r="S649" s="55">
        <f>VLOOKUP(E649,'NI-San_SP'!$C:$AN,30,FALSE)</f>
        <v>0</v>
      </c>
      <c r="T649" s="94">
        <f>VLOOKUP(E649,'NI-San_SP'!$C:$AN,31,FALSE)+VLOOKUP(E649,'NI-San_SP'!$C:$AN,32,FALSE)</f>
        <v>0</v>
      </c>
      <c r="U649" s="55">
        <f>VLOOKUP($E649,'NI-San_SP'!$C:$AN,MID(U$1,1,2),FALSE)</f>
        <v>0</v>
      </c>
      <c r="V649" s="55">
        <f>VLOOKUP($E649,'NI-San_SP'!$C:$AN,MID(V$1,1,2),FALSE)</f>
        <v>0</v>
      </c>
      <c r="W649" s="55">
        <f>VLOOKUP($E649,'NI-San_SP'!$C:$AN,MID(W$1,1,2),FALSE)</f>
        <v>0</v>
      </c>
      <c r="X649" s="55">
        <f>VLOOKUP($E649,'NI-San_SP'!$C:$AN,MID(X$1,1,2),FALSE)</f>
        <v>0</v>
      </c>
      <c r="Y649" s="55">
        <f>VLOOKUP($E649,'NI-San_SP'!$C:$AN,MID(Y$1,1,2),FALSE)</f>
        <v>0</v>
      </c>
      <c r="Z649" s="55">
        <f>VLOOKUP($E649,'NI-San_SP'!$C:$AN,MID(Z$1,1,2),FALSE)</f>
        <v>0</v>
      </c>
      <c r="AA649" s="55">
        <f>VLOOKUP($E649,'NI-San_SP'!$C:$AN,MID(AA$1,1,2),FALSE)</f>
        <v>0</v>
      </c>
      <c r="AB649" s="55">
        <f>VLOOKUP($E649,'NI-San_SP'!$C:$AN,MID(AB$1,1,2),FALSE)</f>
        <v>0</v>
      </c>
      <c r="AC649" s="55">
        <f>VLOOKUP($E649,'NI-San_SP'!$C:$AN,MID(AC$1,1,2),FALSE)</f>
        <v>0</v>
      </c>
      <c r="AD649" s="55">
        <f>VLOOKUP($E649,'NI-San_SP'!$C:$AN,MID(AD$1,1,2),FALSE)</f>
        <v>0</v>
      </c>
      <c r="AE649" s="55">
        <f>VLOOKUP($E649,'NI-San_SP'!$C:$AN,MID(AE$1,1,2),FALSE)</f>
        <v>0</v>
      </c>
      <c r="AF649" s="55">
        <f>VLOOKUP($E649,'NI-San_SP'!$C:$AN,MID(AF$1,1,2),FALSE)</f>
        <v>0</v>
      </c>
      <c r="AG649" s="55">
        <f>VLOOKUP($E649,'NI-San_SP'!$C:$AN,MID(AG$1,1,2),FALSE)</f>
        <v>0</v>
      </c>
      <c r="AH649" s="55">
        <f>VLOOKUP($E649,'NI-San_SP'!$C:$AN,MID(AH$1,1,2),FALSE)</f>
        <v>0</v>
      </c>
      <c r="AI649" s="55">
        <f>VLOOKUP($E649,'NI-San_SP'!$C:$AN,MID(AI$1,1,2),FALSE)</f>
        <v>0</v>
      </c>
      <c r="AJ649" s="55">
        <f>VLOOKUP($E649,'NI-San_SP'!$C:$AN,MID(AJ$1,1,2),FALSE)</f>
        <v>0</v>
      </c>
      <c r="AK649" s="55">
        <f>VLOOKUP($E649,'NI-San_SP'!$C:$AN,MID(AK$1,1,2),FALSE)</f>
        <v>0</v>
      </c>
      <c r="AL649" s="55">
        <f>VLOOKUP($E649,'NI-San_SP'!$C:$AN,MID(AL$1,1,2),FALSE)</f>
        <v>0</v>
      </c>
      <c r="AM649" s="56">
        <f>VLOOKUP($E649,'NI-San_SP'!$C:$AN,MID(AM$1,1,2),FALSE)</f>
        <v>0</v>
      </c>
      <c r="AN649" s="30" t="str">
        <f t="shared" si="10"/>
        <v>70503030000000</v>
      </c>
    </row>
    <row r="650" spans="1:40" x14ac:dyDescent="0.25">
      <c r="A650" s="30" t="s">
        <v>1394</v>
      </c>
      <c r="C650" s="40"/>
      <c r="D650" s="98" t="s">
        <v>2482</v>
      </c>
      <c r="E650" s="98" t="s">
        <v>2483</v>
      </c>
      <c r="F650" s="58" t="s">
        <v>110</v>
      </c>
      <c r="G650" s="96" t="s">
        <v>1439</v>
      </c>
      <c r="H650" s="52"/>
      <c r="I650" s="52"/>
      <c r="J650" s="52" t="s">
        <v>2484</v>
      </c>
      <c r="K650" s="59" t="s">
        <v>1358</v>
      </c>
      <c r="L650" s="88"/>
      <c r="M650" s="52"/>
      <c r="N650" s="52"/>
      <c r="O650" s="61"/>
      <c r="P650" s="79" t="s">
        <v>2485</v>
      </c>
      <c r="Q650" s="55">
        <f>VLOOKUP(E650,'NI-San_SP'!$C:$AN,12,FALSE)</f>
        <v>0</v>
      </c>
      <c r="R650" s="55">
        <f>VLOOKUP(E650,'NI-San_SP'!$C:$AN,13,FALSE)</f>
        <v>0</v>
      </c>
      <c r="S650" s="55">
        <f>VLOOKUP(E650,'NI-San_SP'!$C:$AN,30,FALSE)</f>
        <v>0</v>
      </c>
      <c r="T650" s="94">
        <f>VLOOKUP(E650,'NI-San_SP'!$C:$AN,31,FALSE)+VLOOKUP(E650,'NI-San_SP'!$C:$AN,32,FALSE)</f>
        <v>0</v>
      </c>
      <c r="U650" s="55">
        <f>VLOOKUP($E650,'NI-San_SP'!$C:$AN,MID(U$1,1,2),FALSE)</f>
        <v>0</v>
      </c>
      <c r="V650" s="55">
        <f>VLOOKUP($E650,'NI-San_SP'!$C:$AN,MID(V$1,1,2),FALSE)</f>
        <v>0</v>
      </c>
      <c r="W650" s="55">
        <f>VLOOKUP($E650,'NI-San_SP'!$C:$AN,MID(W$1,1,2),FALSE)</f>
        <v>0</v>
      </c>
      <c r="X650" s="55">
        <f>VLOOKUP($E650,'NI-San_SP'!$C:$AN,MID(X$1,1,2),FALSE)</f>
        <v>0</v>
      </c>
      <c r="Y650" s="55">
        <f>VLOOKUP($E650,'NI-San_SP'!$C:$AN,MID(Y$1,1,2),FALSE)</f>
        <v>0</v>
      </c>
      <c r="Z650" s="55">
        <f>VLOOKUP($E650,'NI-San_SP'!$C:$AN,MID(Z$1,1,2),FALSE)</f>
        <v>0</v>
      </c>
      <c r="AA650" s="55">
        <f>VLOOKUP($E650,'NI-San_SP'!$C:$AN,MID(AA$1,1,2),FALSE)</f>
        <v>0</v>
      </c>
      <c r="AB650" s="55">
        <f>VLOOKUP($E650,'NI-San_SP'!$C:$AN,MID(AB$1,1,2),FALSE)</f>
        <v>0</v>
      </c>
      <c r="AC650" s="55">
        <f>VLOOKUP($E650,'NI-San_SP'!$C:$AN,MID(AC$1,1,2),FALSE)</f>
        <v>0</v>
      </c>
      <c r="AD650" s="55">
        <f>VLOOKUP($E650,'NI-San_SP'!$C:$AN,MID(AD$1,1,2),FALSE)</f>
        <v>0</v>
      </c>
      <c r="AE650" s="55">
        <f>VLOOKUP($E650,'NI-San_SP'!$C:$AN,MID(AE$1,1,2),FALSE)</f>
        <v>0</v>
      </c>
      <c r="AF650" s="55">
        <f>VLOOKUP($E650,'NI-San_SP'!$C:$AN,MID(AF$1,1,2),FALSE)</f>
        <v>0</v>
      </c>
      <c r="AG650" s="55">
        <f>VLOOKUP($E650,'NI-San_SP'!$C:$AN,MID(AG$1,1,2),FALSE)</f>
        <v>0</v>
      </c>
      <c r="AH650" s="55">
        <f>VLOOKUP($E650,'NI-San_SP'!$C:$AN,MID(AH$1,1,2),FALSE)</f>
        <v>0</v>
      </c>
      <c r="AI650" s="55">
        <f>VLOOKUP($E650,'NI-San_SP'!$C:$AN,MID(AI$1,1,2),FALSE)</f>
        <v>0</v>
      </c>
      <c r="AJ650" s="55">
        <f>VLOOKUP($E650,'NI-San_SP'!$C:$AN,MID(AJ$1,1,2),FALSE)</f>
        <v>0</v>
      </c>
      <c r="AK650" s="55">
        <f>VLOOKUP($E650,'NI-San_SP'!$C:$AN,MID(AK$1,1,2),FALSE)</f>
        <v>0</v>
      </c>
      <c r="AL650" s="55">
        <f>VLOOKUP($E650,'NI-San_SP'!$C:$AN,MID(AL$1,1,2),FALSE)</f>
        <v>0</v>
      </c>
      <c r="AM650" s="56">
        <f>VLOOKUP($E650,'NI-San_SP'!$C:$AN,MID(AM$1,1,2),FALSE)</f>
        <v>0</v>
      </c>
      <c r="AN650" s="30" t="str">
        <f t="shared" si="10"/>
        <v>70503040000000</v>
      </c>
    </row>
    <row r="651" spans="1:40" x14ac:dyDescent="0.25">
      <c r="A651" s="30" t="s">
        <v>1394</v>
      </c>
      <c r="C651" s="40"/>
      <c r="D651" s="98" t="s">
        <v>2486</v>
      </c>
      <c r="E651" s="98" t="s">
        <v>2487</v>
      </c>
      <c r="F651" s="58" t="s">
        <v>110</v>
      </c>
      <c r="G651" s="96" t="s">
        <v>1439</v>
      </c>
      <c r="H651" s="52"/>
      <c r="I651" s="52"/>
      <c r="J651" s="52" t="s">
        <v>2488</v>
      </c>
      <c r="K651" s="59" t="s">
        <v>1358</v>
      </c>
      <c r="L651" s="88"/>
      <c r="M651" s="52"/>
      <c r="N651" s="52"/>
      <c r="O651" s="61"/>
      <c r="P651" s="79" t="s">
        <v>2489</v>
      </c>
      <c r="Q651" s="55">
        <f>VLOOKUP(E651,'NI-San_SP'!$C:$AN,12,FALSE)</f>
        <v>0</v>
      </c>
      <c r="R651" s="55">
        <f>VLOOKUP(E651,'NI-San_SP'!$C:$AN,13,FALSE)</f>
        <v>0</v>
      </c>
      <c r="S651" s="55">
        <f>VLOOKUP(E651,'NI-San_SP'!$C:$AN,30,FALSE)</f>
        <v>0</v>
      </c>
      <c r="T651" s="94">
        <f>VLOOKUP(E651,'NI-San_SP'!$C:$AN,31,FALSE)+VLOOKUP(E651,'NI-San_SP'!$C:$AN,32,FALSE)</f>
        <v>0</v>
      </c>
      <c r="U651" s="55">
        <f>VLOOKUP($E651,'NI-San_SP'!$C:$AN,MID(U$1,1,2),FALSE)</f>
        <v>0</v>
      </c>
      <c r="V651" s="55">
        <f>VLOOKUP($E651,'NI-San_SP'!$C:$AN,MID(V$1,1,2),FALSE)</f>
        <v>0</v>
      </c>
      <c r="W651" s="55">
        <f>VLOOKUP($E651,'NI-San_SP'!$C:$AN,MID(W$1,1,2),FALSE)</f>
        <v>0</v>
      </c>
      <c r="X651" s="55">
        <f>VLOOKUP($E651,'NI-San_SP'!$C:$AN,MID(X$1,1,2),FALSE)</f>
        <v>0</v>
      </c>
      <c r="Y651" s="55">
        <f>VLOOKUP($E651,'NI-San_SP'!$C:$AN,MID(Y$1,1,2),FALSE)</f>
        <v>0</v>
      </c>
      <c r="Z651" s="55">
        <f>VLOOKUP($E651,'NI-San_SP'!$C:$AN,MID(Z$1,1,2),FALSE)</f>
        <v>0</v>
      </c>
      <c r="AA651" s="55">
        <f>VLOOKUP($E651,'NI-San_SP'!$C:$AN,MID(AA$1,1,2),FALSE)</f>
        <v>0</v>
      </c>
      <c r="AB651" s="55">
        <f>VLOOKUP($E651,'NI-San_SP'!$C:$AN,MID(AB$1,1,2),FALSE)</f>
        <v>0</v>
      </c>
      <c r="AC651" s="55">
        <f>VLOOKUP($E651,'NI-San_SP'!$C:$AN,MID(AC$1,1,2),FALSE)</f>
        <v>0</v>
      </c>
      <c r="AD651" s="55">
        <f>VLOOKUP($E651,'NI-San_SP'!$C:$AN,MID(AD$1,1,2),FALSE)</f>
        <v>0</v>
      </c>
      <c r="AE651" s="55">
        <f>VLOOKUP($E651,'NI-San_SP'!$C:$AN,MID(AE$1,1,2),FALSE)</f>
        <v>0</v>
      </c>
      <c r="AF651" s="55">
        <f>VLOOKUP($E651,'NI-San_SP'!$C:$AN,MID(AF$1,1,2),FALSE)</f>
        <v>0</v>
      </c>
      <c r="AG651" s="55">
        <f>VLOOKUP($E651,'NI-San_SP'!$C:$AN,MID(AG$1,1,2),FALSE)</f>
        <v>0</v>
      </c>
      <c r="AH651" s="55">
        <f>VLOOKUP($E651,'NI-San_SP'!$C:$AN,MID(AH$1,1,2),FALSE)</f>
        <v>0</v>
      </c>
      <c r="AI651" s="55">
        <f>VLOOKUP($E651,'NI-San_SP'!$C:$AN,MID(AI$1,1,2),FALSE)</f>
        <v>0</v>
      </c>
      <c r="AJ651" s="55">
        <f>VLOOKUP($E651,'NI-San_SP'!$C:$AN,MID(AJ$1,1,2),FALSE)</f>
        <v>0</v>
      </c>
      <c r="AK651" s="55">
        <f>VLOOKUP($E651,'NI-San_SP'!$C:$AN,MID(AK$1,1,2),FALSE)</f>
        <v>0</v>
      </c>
      <c r="AL651" s="55">
        <f>VLOOKUP($E651,'NI-San_SP'!$C:$AN,MID(AL$1,1,2),FALSE)</f>
        <v>0</v>
      </c>
      <c r="AM651" s="56">
        <f>VLOOKUP($E651,'NI-San_SP'!$C:$AN,MID(AM$1,1,2),FALSE)</f>
        <v>0</v>
      </c>
      <c r="AN651" s="30" t="str">
        <f t="shared" si="10"/>
        <v>70503050000000</v>
      </c>
    </row>
    <row r="652" spans="1:40" x14ac:dyDescent="0.25">
      <c r="C652" s="40"/>
      <c r="D652" s="57" t="s">
        <v>2490</v>
      </c>
      <c r="E652" s="57" t="s">
        <v>2491</v>
      </c>
      <c r="F652" s="58" t="s">
        <v>110</v>
      </c>
      <c r="G652" s="52"/>
      <c r="H652" s="52"/>
      <c r="I652" s="52"/>
      <c r="J652" s="52"/>
      <c r="K652" s="59" t="s">
        <v>111</v>
      </c>
      <c r="L652" s="62" t="s">
        <v>2492</v>
      </c>
      <c r="M652" s="52" t="s">
        <v>2269</v>
      </c>
      <c r="N652" s="52"/>
      <c r="O652" s="61" t="s">
        <v>2493</v>
      </c>
      <c r="P652" s="76" t="s">
        <v>2494</v>
      </c>
      <c r="Q652" s="55">
        <f>VLOOKUP(E652,'NI-San_SP'!$C:$AN,12,FALSE)</f>
        <v>0</v>
      </c>
      <c r="R652" s="55">
        <f>VLOOKUP(E652,'NI-San_SP'!$C:$AN,13,FALSE)</f>
        <v>0</v>
      </c>
      <c r="S652" s="55">
        <f>VLOOKUP(E652,'NI-San_SP'!$C:$AN,30,FALSE)</f>
        <v>0</v>
      </c>
      <c r="T652" s="55">
        <f>VLOOKUP(E652,'NI-San_SP'!$C:$AN,31,FALSE)+VLOOKUP(E652,'NI-San_SP'!$C:$AN,32,FALSE)</f>
        <v>0</v>
      </c>
      <c r="U652" s="55">
        <f>VLOOKUP($E652,'NI-San_SP'!$C:$AN,MID(U$1,1,2),FALSE)</f>
        <v>0</v>
      </c>
      <c r="V652" s="55">
        <f>VLOOKUP($E652,'NI-San_SP'!$C:$AN,MID(V$1,1,2),FALSE)</f>
        <v>0</v>
      </c>
      <c r="W652" s="55">
        <f>VLOOKUP($E652,'NI-San_SP'!$C:$AN,MID(W$1,1,2),FALSE)</f>
        <v>0</v>
      </c>
      <c r="X652" s="55">
        <f>VLOOKUP($E652,'NI-San_SP'!$C:$AN,MID(X$1,1,2),FALSE)</f>
        <v>0</v>
      </c>
      <c r="Y652" s="55">
        <f>VLOOKUP($E652,'NI-San_SP'!$C:$AN,MID(Y$1,1,2),FALSE)</f>
        <v>0</v>
      </c>
      <c r="Z652" s="55">
        <f>VLOOKUP($E652,'NI-San_SP'!$C:$AN,MID(Z$1,1,2),FALSE)</f>
        <v>0</v>
      </c>
      <c r="AA652" s="55">
        <f>VLOOKUP($E652,'NI-San_SP'!$C:$AN,MID(AA$1,1,2),FALSE)</f>
        <v>0</v>
      </c>
      <c r="AB652" s="55">
        <f>VLOOKUP($E652,'NI-San_SP'!$C:$AN,MID(AB$1,1,2),FALSE)</f>
        <v>0</v>
      </c>
      <c r="AC652" s="55">
        <f>VLOOKUP($E652,'NI-San_SP'!$C:$AN,MID(AC$1,1,2),FALSE)</f>
        <v>0</v>
      </c>
      <c r="AD652" s="55">
        <f>VLOOKUP($E652,'NI-San_SP'!$C:$AN,MID(AD$1,1,2),FALSE)</f>
        <v>0</v>
      </c>
      <c r="AE652" s="55">
        <f>VLOOKUP($E652,'NI-San_SP'!$C:$AN,MID(AE$1,1,2),FALSE)</f>
        <v>0</v>
      </c>
      <c r="AF652" s="55">
        <f>VLOOKUP($E652,'NI-San_SP'!$C:$AN,MID(AF$1,1,2),FALSE)</f>
        <v>0</v>
      </c>
      <c r="AG652" s="55">
        <f>VLOOKUP($E652,'NI-San_SP'!$C:$AN,MID(AG$1,1,2),FALSE)</f>
        <v>0</v>
      </c>
      <c r="AH652" s="55">
        <f>VLOOKUP($E652,'NI-San_SP'!$C:$AN,MID(AH$1,1,2),FALSE)</f>
        <v>0</v>
      </c>
      <c r="AI652" s="55">
        <f>VLOOKUP($E652,'NI-San_SP'!$C:$AN,MID(AI$1,1,2),FALSE)</f>
        <v>0</v>
      </c>
      <c r="AJ652" s="55">
        <f>VLOOKUP($E652,'NI-San_SP'!$C:$AN,MID(AJ$1,1,2),FALSE)</f>
        <v>0</v>
      </c>
      <c r="AK652" s="55">
        <f>VLOOKUP($E652,'NI-San_SP'!$C:$AN,MID(AK$1,1,2),FALSE)</f>
        <v>0</v>
      </c>
      <c r="AL652" s="55">
        <f>VLOOKUP($E652,'NI-San_SP'!$C:$AN,MID(AL$1,1,2),FALSE)</f>
        <v>0</v>
      </c>
      <c r="AM652" s="56">
        <f>VLOOKUP($E652,'NI-San_SP'!$C:$AN,MID(AM$1,1,2),FALSE)</f>
        <v>0</v>
      </c>
      <c r="AN652" s="30" t="str">
        <f t="shared" si="10"/>
        <v>70600000000000</v>
      </c>
    </row>
    <row r="653" spans="1:40" x14ac:dyDescent="0.25">
      <c r="C653" s="40"/>
      <c r="D653" s="91" t="s">
        <v>2495</v>
      </c>
      <c r="E653" s="91" t="s">
        <v>2496</v>
      </c>
      <c r="F653" s="58" t="s">
        <v>110</v>
      </c>
      <c r="G653" s="96"/>
      <c r="H653" s="52"/>
      <c r="I653" s="52" t="s">
        <v>2497</v>
      </c>
      <c r="J653" s="52" t="s">
        <v>2497</v>
      </c>
      <c r="K653" s="59" t="s">
        <v>111</v>
      </c>
      <c r="L653" s="52"/>
      <c r="M653" s="52"/>
      <c r="N653" s="52"/>
      <c r="O653" s="52"/>
      <c r="P653" s="76" t="s">
        <v>2498</v>
      </c>
      <c r="Q653" s="55">
        <f>VLOOKUP(E653,'NI-San_SP'!$C:$AN,12,FALSE)</f>
        <v>0</v>
      </c>
      <c r="R653" s="55">
        <f>VLOOKUP(E653,'NI-San_SP'!$C:$AN,13,FALSE)</f>
        <v>0</v>
      </c>
      <c r="S653" s="55">
        <f>VLOOKUP(E653,'NI-San_SP'!$C:$AN,30,FALSE)</f>
        <v>0</v>
      </c>
      <c r="T653" s="94">
        <f>VLOOKUP(E653,'NI-San_SP'!$C:$AN,31,FALSE)+VLOOKUP(E653,'NI-San_SP'!$C:$AN,32,FALSE)</f>
        <v>0</v>
      </c>
      <c r="U653" s="55">
        <f>VLOOKUP($E653,'NI-San_SP'!$C:$AN,MID(U$1,1,2),FALSE)</f>
        <v>0</v>
      </c>
      <c r="V653" s="55">
        <f>VLOOKUP($E653,'NI-San_SP'!$C:$AN,MID(V$1,1,2),FALSE)</f>
        <v>0</v>
      </c>
      <c r="W653" s="55">
        <f>VLOOKUP($E653,'NI-San_SP'!$C:$AN,MID(W$1,1,2),FALSE)</f>
        <v>0</v>
      </c>
      <c r="X653" s="55">
        <f>VLOOKUP($E653,'NI-San_SP'!$C:$AN,MID(X$1,1,2),FALSE)</f>
        <v>0</v>
      </c>
      <c r="Y653" s="55">
        <f>VLOOKUP($E653,'NI-San_SP'!$C:$AN,MID(Y$1,1,2),FALSE)</f>
        <v>0</v>
      </c>
      <c r="Z653" s="55">
        <f>VLOOKUP($E653,'NI-San_SP'!$C:$AN,MID(Z$1,1,2),FALSE)</f>
        <v>0</v>
      </c>
      <c r="AA653" s="55">
        <f>VLOOKUP($E653,'NI-San_SP'!$C:$AN,MID(AA$1,1,2),FALSE)</f>
        <v>0</v>
      </c>
      <c r="AB653" s="55">
        <f>VLOOKUP($E653,'NI-San_SP'!$C:$AN,MID(AB$1,1,2),FALSE)</f>
        <v>0</v>
      </c>
      <c r="AC653" s="55">
        <f>VLOOKUP($E653,'NI-San_SP'!$C:$AN,MID(AC$1,1,2),FALSE)</f>
        <v>0</v>
      </c>
      <c r="AD653" s="55">
        <f>VLOOKUP($E653,'NI-San_SP'!$C:$AN,MID(AD$1,1,2),FALSE)</f>
        <v>0</v>
      </c>
      <c r="AE653" s="55">
        <f>VLOOKUP($E653,'NI-San_SP'!$C:$AN,MID(AE$1,1,2),FALSE)</f>
        <v>0</v>
      </c>
      <c r="AF653" s="55">
        <f>VLOOKUP($E653,'NI-San_SP'!$C:$AN,MID(AF$1,1,2),FALSE)</f>
        <v>0</v>
      </c>
      <c r="AG653" s="55">
        <f>VLOOKUP($E653,'NI-San_SP'!$C:$AN,MID(AG$1,1,2),FALSE)</f>
        <v>0</v>
      </c>
      <c r="AH653" s="55">
        <f>VLOOKUP($E653,'NI-San_SP'!$C:$AN,MID(AH$1,1,2),FALSE)</f>
        <v>0</v>
      </c>
      <c r="AI653" s="55">
        <f>VLOOKUP($E653,'NI-San_SP'!$C:$AN,MID(AI$1,1,2),FALSE)</f>
        <v>0</v>
      </c>
      <c r="AJ653" s="55">
        <f>VLOOKUP($E653,'NI-San_SP'!$C:$AN,MID(AJ$1,1,2),FALSE)</f>
        <v>0</v>
      </c>
      <c r="AK653" s="55">
        <f>VLOOKUP($E653,'NI-San_SP'!$C:$AN,MID(AK$1,1,2),FALSE)</f>
        <v>0</v>
      </c>
      <c r="AL653" s="55">
        <f>VLOOKUP($E653,'NI-San_SP'!$C:$AN,MID(AL$1,1,2),FALSE)</f>
        <v>0</v>
      </c>
      <c r="AM653" s="56">
        <f>VLOOKUP($E653,'NI-San_SP'!$C:$AN,MID(AM$1,1,2),FALSE)</f>
        <v>0</v>
      </c>
      <c r="AN653" s="30" t="str">
        <f t="shared" si="10"/>
        <v>70601000000000</v>
      </c>
    </row>
    <row r="654" spans="1:40" x14ac:dyDescent="0.25">
      <c r="C654" s="40"/>
      <c r="D654" s="91" t="s">
        <v>2499</v>
      </c>
      <c r="E654" s="91" t="s">
        <v>2500</v>
      </c>
      <c r="F654" s="58" t="s">
        <v>110</v>
      </c>
      <c r="G654" s="96"/>
      <c r="H654" s="52"/>
      <c r="I654" s="52"/>
      <c r="J654" s="52"/>
      <c r="K654" s="59" t="s">
        <v>79</v>
      </c>
      <c r="L654" s="52"/>
      <c r="M654" s="52"/>
      <c r="N654" s="52"/>
      <c r="O654" s="52"/>
      <c r="P654" s="76" t="s">
        <v>2501</v>
      </c>
      <c r="Q654" s="55">
        <f>VLOOKUP(E654,'NI-San_SP'!$C:$AN,12,FALSE)</f>
        <v>0</v>
      </c>
      <c r="R654" s="55">
        <f>VLOOKUP(E654,'NI-San_SP'!$C:$AN,13,FALSE)</f>
        <v>0</v>
      </c>
      <c r="S654" s="55">
        <f>VLOOKUP(E654,'NI-San_SP'!$C:$AN,30,FALSE)</f>
        <v>0</v>
      </c>
      <c r="T654" s="94">
        <f>VLOOKUP(E654,'NI-San_SP'!$C:$AN,31,FALSE)+VLOOKUP(E654,'NI-San_SP'!$C:$AN,32,FALSE)</f>
        <v>0</v>
      </c>
      <c r="U654" s="55">
        <f>VLOOKUP($E654,'NI-San_SP'!$C:$AN,MID(U$1,1,2),FALSE)</f>
        <v>0</v>
      </c>
      <c r="V654" s="55">
        <f>VLOOKUP($E654,'NI-San_SP'!$C:$AN,MID(V$1,1,2),FALSE)</f>
        <v>0</v>
      </c>
      <c r="W654" s="55">
        <f>VLOOKUP($E654,'NI-San_SP'!$C:$AN,MID(W$1,1,2),FALSE)</f>
        <v>0</v>
      </c>
      <c r="X654" s="55">
        <f>VLOOKUP($E654,'NI-San_SP'!$C:$AN,MID(X$1,1,2),FALSE)</f>
        <v>0</v>
      </c>
      <c r="Y654" s="55">
        <f>VLOOKUP($E654,'NI-San_SP'!$C:$AN,MID(Y$1,1,2),FALSE)</f>
        <v>0</v>
      </c>
      <c r="Z654" s="55">
        <f>VLOOKUP($E654,'NI-San_SP'!$C:$AN,MID(Z$1,1,2),FALSE)</f>
        <v>0</v>
      </c>
      <c r="AA654" s="55">
        <f>VLOOKUP($E654,'NI-San_SP'!$C:$AN,MID(AA$1,1,2),FALSE)</f>
        <v>0</v>
      </c>
      <c r="AB654" s="55">
        <f>VLOOKUP($E654,'NI-San_SP'!$C:$AN,MID(AB$1,1,2),FALSE)</f>
        <v>0</v>
      </c>
      <c r="AC654" s="55">
        <f>VLOOKUP($E654,'NI-San_SP'!$C:$AN,MID(AC$1,1,2),FALSE)</f>
        <v>0</v>
      </c>
      <c r="AD654" s="55">
        <f>VLOOKUP($E654,'NI-San_SP'!$C:$AN,MID(AD$1,1,2),FALSE)</f>
        <v>0</v>
      </c>
      <c r="AE654" s="55">
        <f>VLOOKUP($E654,'NI-San_SP'!$C:$AN,MID(AE$1,1,2),FALSE)</f>
        <v>0</v>
      </c>
      <c r="AF654" s="55">
        <f>VLOOKUP($E654,'NI-San_SP'!$C:$AN,MID(AF$1,1,2),FALSE)</f>
        <v>0</v>
      </c>
      <c r="AG654" s="55">
        <f>VLOOKUP($E654,'NI-San_SP'!$C:$AN,MID(AG$1,1,2),FALSE)</f>
        <v>0</v>
      </c>
      <c r="AH654" s="55">
        <f>VLOOKUP($E654,'NI-San_SP'!$C:$AN,MID(AH$1,1,2),FALSE)</f>
        <v>0</v>
      </c>
      <c r="AI654" s="55">
        <f>VLOOKUP($E654,'NI-San_SP'!$C:$AN,MID(AI$1,1,2),FALSE)</f>
        <v>0</v>
      </c>
      <c r="AJ654" s="55">
        <f>VLOOKUP($E654,'NI-San_SP'!$C:$AN,MID(AJ$1,1,2),FALSE)</f>
        <v>0</v>
      </c>
      <c r="AK654" s="55">
        <f>VLOOKUP($E654,'NI-San_SP'!$C:$AN,MID(AK$1,1,2),FALSE)</f>
        <v>0</v>
      </c>
      <c r="AL654" s="55">
        <f>VLOOKUP($E654,'NI-San_SP'!$C:$AN,MID(AL$1,1,2),FALSE)</f>
        <v>0</v>
      </c>
      <c r="AM654" s="56">
        <f>VLOOKUP($E654,'NI-San_SP'!$C:$AN,MID(AM$1,1,2),FALSE)</f>
        <v>0</v>
      </c>
      <c r="AN654" s="30" t="str">
        <f t="shared" si="10"/>
        <v>70601010000000</v>
      </c>
    </row>
    <row r="655" spans="1:40" x14ac:dyDescent="0.25">
      <c r="C655" s="40"/>
      <c r="D655" s="91" t="s">
        <v>2502</v>
      </c>
      <c r="E655" s="91" t="s">
        <v>2503</v>
      </c>
      <c r="F655" s="58" t="s">
        <v>110</v>
      </c>
      <c r="G655" s="96"/>
      <c r="H655" s="52"/>
      <c r="I655" s="52"/>
      <c r="J655" s="52"/>
      <c r="K655" s="59" t="s">
        <v>79</v>
      </c>
      <c r="L655" s="52"/>
      <c r="M655" s="52"/>
      <c r="N655" s="52"/>
      <c r="O655" s="52"/>
      <c r="P655" s="76" t="s">
        <v>2504</v>
      </c>
      <c r="Q655" s="55">
        <f>VLOOKUP(E655,'NI-San_SP'!$C:$AN,12,FALSE)</f>
        <v>0</v>
      </c>
      <c r="R655" s="55">
        <f>VLOOKUP(E655,'NI-San_SP'!$C:$AN,13,FALSE)</f>
        <v>0</v>
      </c>
      <c r="S655" s="55">
        <f>VLOOKUP(E655,'NI-San_SP'!$C:$AN,30,FALSE)</f>
        <v>0</v>
      </c>
      <c r="T655" s="94">
        <f>VLOOKUP(E655,'NI-San_SP'!$C:$AN,31,FALSE)+VLOOKUP(E655,'NI-San_SP'!$C:$AN,32,FALSE)</f>
        <v>0</v>
      </c>
      <c r="U655" s="55">
        <f>VLOOKUP($E655,'NI-San_SP'!$C:$AN,MID(U$1,1,2),FALSE)</f>
        <v>0</v>
      </c>
      <c r="V655" s="55">
        <f>VLOOKUP($E655,'NI-San_SP'!$C:$AN,MID(V$1,1,2),FALSE)</f>
        <v>0</v>
      </c>
      <c r="W655" s="55">
        <f>VLOOKUP($E655,'NI-San_SP'!$C:$AN,MID(W$1,1,2),FALSE)</f>
        <v>0</v>
      </c>
      <c r="X655" s="55">
        <f>VLOOKUP($E655,'NI-San_SP'!$C:$AN,MID(X$1,1,2),FALSE)</f>
        <v>0</v>
      </c>
      <c r="Y655" s="55">
        <f>VLOOKUP($E655,'NI-San_SP'!$C:$AN,MID(Y$1,1,2),FALSE)</f>
        <v>0</v>
      </c>
      <c r="Z655" s="55">
        <f>VLOOKUP($E655,'NI-San_SP'!$C:$AN,MID(Z$1,1,2),FALSE)</f>
        <v>0</v>
      </c>
      <c r="AA655" s="55">
        <f>VLOOKUP($E655,'NI-San_SP'!$C:$AN,MID(AA$1,1,2),FALSE)</f>
        <v>0</v>
      </c>
      <c r="AB655" s="55">
        <f>VLOOKUP($E655,'NI-San_SP'!$C:$AN,MID(AB$1,1,2),FALSE)</f>
        <v>0</v>
      </c>
      <c r="AC655" s="55">
        <f>VLOOKUP($E655,'NI-San_SP'!$C:$AN,MID(AC$1,1,2),FALSE)</f>
        <v>0</v>
      </c>
      <c r="AD655" s="55">
        <f>VLOOKUP($E655,'NI-San_SP'!$C:$AN,MID(AD$1,1,2),FALSE)</f>
        <v>0</v>
      </c>
      <c r="AE655" s="55">
        <f>VLOOKUP($E655,'NI-San_SP'!$C:$AN,MID(AE$1,1,2),FALSE)</f>
        <v>0</v>
      </c>
      <c r="AF655" s="55">
        <f>VLOOKUP($E655,'NI-San_SP'!$C:$AN,MID(AF$1,1,2),FALSE)</f>
        <v>0</v>
      </c>
      <c r="AG655" s="55">
        <f>VLOOKUP($E655,'NI-San_SP'!$C:$AN,MID(AG$1,1,2),FALSE)</f>
        <v>0</v>
      </c>
      <c r="AH655" s="55">
        <f>VLOOKUP($E655,'NI-San_SP'!$C:$AN,MID(AH$1,1,2),FALSE)</f>
        <v>0</v>
      </c>
      <c r="AI655" s="55">
        <f>VLOOKUP($E655,'NI-San_SP'!$C:$AN,MID(AI$1,1,2),FALSE)</f>
        <v>0</v>
      </c>
      <c r="AJ655" s="55">
        <f>VLOOKUP($E655,'NI-San_SP'!$C:$AN,MID(AJ$1,1,2),FALSE)</f>
        <v>0</v>
      </c>
      <c r="AK655" s="55">
        <f>VLOOKUP($E655,'NI-San_SP'!$C:$AN,MID(AK$1,1,2),FALSE)</f>
        <v>0</v>
      </c>
      <c r="AL655" s="55">
        <f>VLOOKUP($E655,'NI-San_SP'!$C:$AN,MID(AL$1,1,2),FALSE)</f>
        <v>0</v>
      </c>
      <c r="AM655" s="56">
        <f>VLOOKUP($E655,'NI-San_SP'!$C:$AN,MID(AM$1,1,2),FALSE)</f>
        <v>0</v>
      </c>
      <c r="AN655" s="30" t="str">
        <f t="shared" si="10"/>
        <v>70601020000000</v>
      </c>
    </row>
    <row r="656" spans="1:40" x14ac:dyDescent="0.25">
      <c r="C656" s="40"/>
      <c r="D656" s="91" t="s">
        <v>2505</v>
      </c>
      <c r="E656" s="91" t="s">
        <v>2506</v>
      </c>
      <c r="F656" s="58" t="s">
        <v>110</v>
      </c>
      <c r="G656" s="96"/>
      <c r="H656" s="52"/>
      <c r="I656" s="52" t="s">
        <v>2507</v>
      </c>
      <c r="J656" s="52" t="s">
        <v>2507</v>
      </c>
      <c r="K656" s="59" t="s">
        <v>79</v>
      </c>
      <c r="L656" s="52"/>
      <c r="M656" s="52"/>
      <c r="N656" s="52"/>
      <c r="O656" s="52"/>
      <c r="P656" s="76" t="s">
        <v>2508</v>
      </c>
      <c r="Q656" s="55">
        <f>VLOOKUP(E656,'NI-San_SP'!$C:$AN,12,FALSE)</f>
        <v>0</v>
      </c>
      <c r="R656" s="55">
        <f>VLOOKUP(E656,'NI-San_SP'!$C:$AN,13,FALSE)</f>
        <v>0</v>
      </c>
      <c r="S656" s="55">
        <f>VLOOKUP(E656,'NI-San_SP'!$C:$AN,30,FALSE)</f>
        <v>0</v>
      </c>
      <c r="T656" s="94">
        <f>VLOOKUP(E656,'NI-San_SP'!$C:$AN,31,FALSE)+VLOOKUP(E656,'NI-San_SP'!$C:$AN,32,FALSE)</f>
        <v>0</v>
      </c>
      <c r="U656" s="55">
        <f>VLOOKUP($E656,'NI-San_SP'!$C:$AN,MID(U$1,1,2),FALSE)</f>
        <v>0</v>
      </c>
      <c r="V656" s="55">
        <f>VLOOKUP($E656,'NI-San_SP'!$C:$AN,MID(V$1,1,2),FALSE)</f>
        <v>0</v>
      </c>
      <c r="W656" s="55">
        <f>VLOOKUP($E656,'NI-San_SP'!$C:$AN,MID(W$1,1,2),FALSE)</f>
        <v>0</v>
      </c>
      <c r="X656" s="55">
        <f>VLOOKUP($E656,'NI-San_SP'!$C:$AN,MID(X$1,1,2),FALSE)</f>
        <v>0</v>
      </c>
      <c r="Y656" s="55">
        <f>VLOOKUP($E656,'NI-San_SP'!$C:$AN,MID(Y$1,1,2),FALSE)</f>
        <v>0</v>
      </c>
      <c r="Z656" s="55">
        <f>VLOOKUP($E656,'NI-San_SP'!$C:$AN,MID(Z$1,1,2),FALSE)</f>
        <v>0</v>
      </c>
      <c r="AA656" s="55">
        <f>VLOOKUP($E656,'NI-San_SP'!$C:$AN,MID(AA$1,1,2),FALSE)</f>
        <v>0</v>
      </c>
      <c r="AB656" s="55">
        <f>VLOOKUP($E656,'NI-San_SP'!$C:$AN,MID(AB$1,1,2),FALSE)</f>
        <v>0</v>
      </c>
      <c r="AC656" s="55">
        <f>VLOOKUP($E656,'NI-San_SP'!$C:$AN,MID(AC$1,1,2),FALSE)</f>
        <v>0</v>
      </c>
      <c r="AD656" s="55">
        <f>VLOOKUP($E656,'NI-San_SP'!$C:$AN,MID(AD$1,1,2),FALSE)</f>
        <v>0</v>
      </c>
      <c r="AE656" s="55">
        <f>VLOOKUP($E656,'NI-San_SP'!$C:$AN,MID(AE$1,1,2),FALSE)</f>
        <v>0</v>
      </c>
      <c r="AF656" s="55">
        <f>VLOOKUP($E656,'NI-San_SP'!$C:$AN,MID(AF$1,1,2),FALSE)</f>
        <v>0</v>
      </c>
      <c r="AG656" s="55">
        <f>VLOOKUP($E656,'NI-San_SP'!$C:$AN,MID(AG$1,1,2),FALSE)</f>
        <v>0</v>
      </c>
      <c r="AH656" s="55">
        <f>VLOOKUP($E656,'NI-San_SP'!$C:$AN,MID(AH$1,1,2),FALSE)</f>
        <v>0</v>
      </c>
      <c r="AI656" s="55">
        <f>VLOOKUP($E656,'NI-San_SP'!$C:$AN,MID(AI$1,1,2),FALSE)</f>
        <v>0</v>
      </c>
      <c r="AJ656" s="55">
        <f>VLOOKUP($E656,'NI-San_SP'!$C:$AN,MID(AJ$1,1,2),FALSE)</f>
        <v>0</v>
      </c>
      <c r="AK656" s="55">
        <f>VLOOKUP($E656,'NI-San_SP'!$C:$AN,MID(AK$1,1,2),FALSE)</f>
        <v>0</v>
      </c>
      <c r="AL656" s="55">
        <f>VLOOKUP($E656,'NI-San_SP'!$C:$AN,MID(AL$1,1,2),FALSE)</f>
        <v>0</v>
      </c>
      <c r="AM656" s="56">
        <f>VLOOKUP($E656,'NI-San_SP'!$C:$AN,MID(AM$1,1,2),FALSE)</f>
        <v>0</v>
      </c>
      <c r="AN656" s="30" t="str">
        <f t="shared" si="10"/>
        <v>70602000000000</v>
      </c>
    </row>
    <row r="657" spans="1:40" x14ac:dyDescent="0.25">
      <c r="C657" s="40"/>
      <c r="D657" s="91" t="s">
        <v>2509</v>
      </c>
      <c r="E657" s="91" t="s">
        <v>2510</v>
      </c>
      <c r="F657" s="58" t="s">
        <v>110</v>
      </c>
      <c r="G657" s="96"/>
      <c r="H657" s="52"/>
      <c r="I657" s="52" t="s">
        <v>2511</v>
      </c>
      <c r="J657" s="52" t="s">
        <v>2511</v>
      </c>
      <c r="K657" s="59" t="s">
        <v>111</v>
      </c>
      <c r="L657" s="52"/>
      <c r="M657" s="52"/>
      <c r="N657" s="52"/>
      <c r="O657" s="52"/>
      <c r="P657" s="76" t="s">
        <v>2512</v>
      </c>
      <c r="Q657" s="55">
        <f>VLOOKUP(E657,'NI-San_SP'!$C:$AN,12,FALSE)</f>
        <v>0</v>
      </c>
      <c r="R657" s="55">
        <f>VLOOKUP(E657,'NI-San_SP'!$C:$AN,13,FALSE)</f>
        <v>0</v>
      </c>
      <c r="S657" s="55">
        <f>VLOOKUP(E657,'NI-San_SP'!$C:$AN,30,FALSE)</f>
        <v>0</v>
      </c>
      <c r="T657" s="94">
        <f>VLOOKUP(E657,'NI-San_SP'!$C:$AN,31,FALSE)+VLOOKUP(E657,'NI-San_SP'!$C:$AN,32,FALSE)</f>
        <v>0</v>
      </c>
      <c r="U657" s="55">
        <f>VLOOKUP($E657,'NI-San_SP'!$C:$AN,MID(U$1,1,2),FALSE)</f>
        <v>0</v>
      </c>
      <c r="V657" s="55">
        <f>VLOOKUP($E657,'NI-San_SP'!$C:$AN,MID(V$1,1,2),FALSE)</f>
        <v>0</v>
      </c>
      <c r="W657" s="55">
        <f>VLOOKUP($E657,'NI-San_SP'!$C:$AN,MID(W$1,1,2),FALSE)</f>
        <v>0</v>
      </c>
      <c r="X657" s="55">
        <f>VLOOKUP($E657,'NI-San_SP'!$C:$AN,MID(X$1,1,2),FALSE)</f>
        <v>0</v>
      </c>
      <c r="Y657" s="55">
        <f>VLOOKUP($E657,'NI-San_SP'!$C:$AN,MID(Y$1,1,2),FALSE)</f>
        <v>0</v>
      </c>
      <c r="Z657" s="55">
        <f>VLOOKUP($E657,'NI-San_SP'!$C:$AN,MID(Z$1,1,2),FALSE)</f>
        <v>0</v>
      </c>
      <c r="AA657" s="55">
        <f>VLOOKUP($E657,'NI-San_SP'!$C:$AN,MID(AA$1,1,2),FALSE)</f>
        <v>0</v>
      </c>
      <c r="AB657" s="55">
        <f>VLOOKUP($E657,'NI-San_SP'!$C:$AN,MID(AB$1,1,2),FALSE)</f>
        <v>0</v>
      </c>
      <c r="AC657" s="55">
        <f>VLOOKUP($E657,'NI-San_SP'!$C:$AN,MID(AC$1,1,2),FALSE)</f>
        <v>0</v>
      </c>
      <c r="AD657" s="55">
        <f>VLOOKUP($E657,'NI-San_SP'!$C:$AN,MID(AD$1,1,2),FALSE)</f>
        <v>0</v>
      </c>
      <c r="AE657" s="55">
        <f>VLOOKUP($E657,'NI-San_SP'!$C:$AN,MID(AE$1,1,2),FALSE)</f>
        <v>0</v>
      </c>
      <c r="AF657" s="55">
        <f>VLOOKUP($E657,'NI-San_SP'!$C:$AN,MID(AF$1,1,2),FALSE)</f>
        <v>0</v>
      </c>
      <c r="AG657" s="55">
        <f>VLOOKUP($E657,'NI-San_SP'!$C:$AN,MID(AG$1,1,2),FALSE)</f>
        <v>0</v>
      </c>
      <c r="AH657" s="55">
        <f>VLOOKUP($E657,'NI-San_SP'!$C:$AN,MID(AH$1,1,2),FALSE)</f>
        <v>0</v>
      </c>
      <c r="AI657" s="55">
        <f>VLOOKUP($E657,'NI-San_SP'!$C:$AN,MID(AI$1,1,2),FALSE)</f>
        <v>0</v>
      </c>
      <c r="AJ657" s="55">
        <f>VLOOKUP($E657,'NI-San_SP'!$C:$AN,MID(AJ$1,1,2),FALSE)</f>
        <v>0</v>
      </c>
      <c r="AK657" s="55">
        <f>VLOOKUP($E657,'NI-San_SP'!$C:$AN,MID(AK$1,1,2),FALSE)</f>
        <v>0</v>
      </c>
      <c r="AL657" s="55">
        <f>VLOOKUP($E657,'NI-San_SP'!$C:$AN,MID(AL$1,1,2),FALSE)</f>
        <v>0</v>
      </c>
      <c r="AM657" s="56">
        <f>VLOOKUP($E657,'NI-San_SP'!$C:$AN,MID(AM$1,1,2),FALSE)</f>
        <v>0</v>
      </c>
      <c r="AN657" s="30" t="str">
        <f t="shared" si="10"/>
        <v>70603000000000</v>
      </c>
    </row>
    <row r="658" spans="1:40" x14ac:dyDescent="0.25">
      <c r="C658" s="40"/>
      <c r="D658" s="91" t="s">
        <v>2513</v>
      </c>
      <c r="E658" s="91" t="s">
        <v>2514</v>
      </c>
      <c r="F658" s="58" t="s">
        <v>110</v>
      </c>
      <c r="G658" s="96"/>
      <c r="H658" s="52"/>
      <c r="I658" s="52"/>
      <c r="J658" s="52"/>
      <c r="K658" s="59" t="s">
        <v>79</v>
      </c>
      <c r="L658" s="52"/>
      <c r="M658" s="52"/>
      <c r="N658" s="52"/>
      <c r="O658" s="52"/>
      <c r="P658" s="76" t="s">
        <v>2515</v>
      </c>
      <c r="Q658" s="55">
        <f>VLOOKUP(E658,'NI-San_SP'!$C:$AN,12,FALSE)</f>
        <v>0</v>
      </c>
      <c r="R658" s="55">
        <f>VLOOKUP(E658,'NI-San_SP'!$C:$AN,13,FALSE)</f>
        <v>0</v>
      </c>
      <c r="S658" s="55">
        <f>VLOOKUP(E658,'NI-San_SP'!$C:$AN,30,FALSE)</f>
        <v>0</v>
      </c>
      <c r="T658" s="94">
        <f>VLOOKUP(E658,'NI-San_SP'!$C:$AN,31,FALSE)+VLOOKUP(E658,'NI-San_SP'!$C:$AN,32,FALSE)</f>
        <v>0</v>
      </c>
      <c r="U658" s="55">
        <f>VLOOKUP($E658,'NI-San_SP'!$C:$AN,MID(U$1,1,2),FALSE)</f>
        <v>0</v>
      </c>
      <c r="V658" s="55">
        <f>VLOOKUP($E658,'NI-San_SP'!$C:$AN,MID(V$1,1,2),FALSE)</f>
        <v>0</v>
      </c>
      <c r="W658" s="55">
        <f>VLOOKUP($E658,'NI-San_SP'!$C:$AN,MID(W$1,1,2),FALSE)</f>
        <v>0</v>
      </c>
      <c r="X658" s="55">
        <f>VLOOKUP($E658,'NI-San_SP'!$C:$AN,MID(X$1,1,2),FALSE)</f>
        <v>0</v>
      </c>
      <c r="Y658" s="55">
        <f>VLOOKUP($E658,'NI-San_SP'!$C:$AN,MID(Y$1,1,2),FALSE)</f>
        <v>0</v>
      </c>
      <c r="Z658" s="55">
        <f>VLOOKUP($E658,'NI-San_SP'!$C:$AN,MID(Z$1,1,2),FALSE)</f>
        <v>0</v>
      </c>
      <c r="AA658" s="55">
        <f>VLOOKUP($E658,'NI-San_SP'!$C:$AN,MID(AA$1,1,2),FALSE)</f>
        <v>0</v>
      </c>
      <c r="AB658" s="55">
        <f>VLOOKUP($E658,'NI-San_SP'!$C:$AN,MID(AB$1,1,2),FALSE)</f>
        <v>0</v>
      </c>
      <c r="AC658" s="55">
        <f>VLOOKUP($E658,'NI-San_SP'!$C:$AN,MID(AC$1,1,2),FALSE)</f>
        <v>0</v>
      </c>
      <c r="AD658" s="55">
        <f>VLOOKUP($E658,'NI-San_SP'!$C:$AN,MID(AD$1,1,2),FALSE)</f>
        <v>0</v>
      </c>
      <c r="AE658" s="55">
        <f>VLOOKUP($E658,'NI-San_SP'!$C:$AN,MID(AE$1,1,2),FALSE)</f>
        <v>0</v>
      </c>
      <c r="AF658" s="55">
        <f>VLOOKUP($E658,'NI-San_SP'!$C:$AN,MID(AF$1,1,2),FALSE)</f>
        <v>0</v>
      </c>
      <c r="AG658" s="55">
        <f>VLOOKUP($E658,'NI-San_SP'!$C:$AN,MID(AG$1,1,2),FALSE)</f>
        <v>0</v>
      </c>
      <c r="AH658" s="55">
        <f>VLOOKUP($E658,'NI-San_SP'!$C:$AN,MID(AH$1,1,2),FALSE)</f>
        <v>0</v>
      </c>
      <c r="AI658" s="55">
        <f>VLOOKUP($E658,'NI-San_SP'!$C:$AN,MID(AI$1,1,2),FALSE)</f>
        <v>0</v>
      </c>
      <c r="AJ658" s="55">
        <f>VLOOKUP($E658,'NI-San_SP'!$C:$AN,MID(AJ$1,1,2),FALSE)</f>
        <v>0</v>
      </c>
      <c r="AK658" s="55">
        <f>VLOOKUP($E658,'NI-San_SP'!$C:$AN,MID(AK$1,1,2),FALSE)</f>
        <v>0</v>
      </c>
      <c r="AL658" s="55">
        <f>VLOOKUP($E658,'NI-San_SP'!$C:$AN,MID(AL$1,1,2),FALSE)</f>
        <v>0</v>
      </c>
      <c r="AM658" s="56">
        <f>VLOOKUP($E658,'NI-San_SP'!$C:$AN,MID(AM$1,1,2),FALSE)</f>
        <v>0</v>
      </c>
      <c r="AN658" s="30" t="str">
        <f t="shared" si="10"/>
        <v>70603010000000</v>
      </c>
    </row>
    <row r="659" spans="1:40" x14ac:dyDescent="0.25">
      <c r="C659" s="40"/>
      <c r="D659" s="91" t="s">
        <v>2516</v>
      </c>
      <c r="E659" s="91" t="s">
        <v>2517</v>
      </c>
      <c r="F659" s="58" t="s">
        <v>110</v>
      </c>
      <c r="G659" s="96"/>
      <c r="H659" s="52"/>
      <c r="I659" s="52"/>
      <c r="J659" s="52"/>
      <c r="K659" s="59" t="s">
        <v>79</v>
      </c>
      <c r="L659" s="52"/>
      <c r="M659" s="52"/>
      <c r="N659" s="52"/>
      <c r="O659" s="52"/>
      <c r="P659" s="76" t="s">
        <v>2518</v>
      </c>
      <c r="Q659" s="55">
        <f>VLOOKUP(E659,'NI-San_SP'!$C:$AN,12,FALSE)</f>
        <v>0</v>
      </c>
      <c r="R659" s="55">
        <f>VLOOKUP(E659,'NI-San_SP'!$C:$AN,13,FALSE)</f>
        <v>0</v>
      </c>
      <c r="S659" s="55">
        <f>VLOOKUP(E659,'NI-San_SP'!$C:$AN,30,FALSE)</f>
        <v>0</v>
      </c>
      <c r="T659" s="94">
        <f>VLOOKUP(E659,'NI-San_SP'!$C:$AN,31,FALSE)+VLOOKUP(E659,'NI-San_SP'!$C:$AN,32,FALSE)</f>
        <v>0</v>
      </c>
      <c r="U659" s="55">
        <f>VLOOKUP($E659,'NI-San_SP'!$C:$AN,MID(U$1,1,2),FALSE)</f>
        <v>0</v>
      </c>
      <c r="V659" s="55">
        <f>VLOOKUP($E659,'NI-San_SP'!$C:$AN,MID(V$1,1,2),FALSE)</f>
        <v>0</v>
      </c>
      <c r="W659" s="55">
        <f>VLOOKUP($E659,'NI-San_SP'!$C:$AN,MID(W$1,1,2),FALSE)</f>
        <v>0</v>
      </c>
      <c r="X659" s="55">
        <f>VLOOKUP($E659,'NI-San_SP'!$C:$AN,MID(X$1,1,2),FALSE)</f>
        <v>0</v>
      </c>
      <c r="Y659" s="55">
        <f>VLOOKUP($E659,'NI-San_SP'!$C:$AN,MID(Y$1,1,2),FALSE)</f>
        <v>0</v>
      </c>
      <c r="Z659" s="55">
        <f>VLOOKUP($E659,'NI-San_SP'!$C:$AN,MID(Z$1,1,2),FALSE)</f>
        <v>0</v>
      </c>
      <c r="AA659" s="55">
        <f>VLOOKUP($E659,'NI-San_SP'!$C:$AN,MID(AA$1,1,2),FALSE)</f>
        <v>0</v>
      </c>
      <c r="AB659" s="55">
        <f>VLOOKUP($E659,'NI-San_SP'!$C:$AN,MID(AB$1,1,2),FALSE)</f>
        <v>0</v>
      </c>
      <c r="AC659" s="55">
        <f>VLOOKUP($E659,'NI-San_SP'!$C:$AN,MID(AC$1,1,2),FALSE)</f>
        <v>0</v>
      </c>
      <c r="AD659" s="55">
        <f>VLOOKUP($E659,'NI-San_SP'!$C:$AN,MID(AD$1,1,2),FALSE)</f>
        <v>0</v>
      </c>
      <c r="AE659" s="55">
        <f>VLOOKUP($E659,'NI-San_SP'!$C:$AN,MID(AE$1,1,2),FALSE)</f>
        <v>0</v>
      </c>
      <c r="AF659" s="55">
        <f>VLOOKUP($E659,'NI-San_SP'!$C:$AN,MID(AF$1,1,2),FALSE)</f>
        <v>0</v>
      </c>
      <c r="AG659" s="55">
        <f>VLOOKUP($E659,'NI-San_SP'!$C:$AN,MID(AG$1,1,2),FALSE)</f>
        <v>0</v>
      </c>
      <c r="AH659" s="55">
        <f>VLOOKUP($E659,'NI-San_SP'!$C:$AN,MID(AH$1,1,2),FALSE)</f>
        <v>0</v>
      </c>
      <c r="AI659" s="55">
        <f>VLOOKUP($E659,'NI-San_SP'!$C:$AN,MID(AI$1,1,2),FALSE)</f>
        <v>0</v>
      </c>
      <c r="AJ659" s="55">
        <f>VLOOKUP($E659,'NI-San_SP'!$C:$AN,MID(AJ$1,1,2),FALSE)</f>
        <v>0</v>
      </c>
      <c r="AK659" s="55">
        <f>VLOOKUP($E659,'NI-San_SP'!$C:$AN,MID(AK$1,1,2),FALSE)</f>
        <v>0</v>
      </c>
      <c r="AL659" s="55">
        <f>VLOOKUP($E659,'NI-San_SP'!$C:$AN,MID(AL$1,1,2),FALSE)</f>
        <v>0</v>
      </c>
      <c r="AM659" s="56">
        <f>VLOOKUP($E659,'NI-San_SP'!$C:$AN,MID(AM$1,1,2),FALSE)</f>
        <v>0</v>
      </c>
      <c r="AN659" s="30" t="str">
        <f t="shared" si="10"/>
        <v>70603020000000</v>
      </c>
    </row>
    <row r="660" spans="1:40" x14ac:dyDescent="0.25">
      <c r="C660" s="40"/>
      <c r="D660" s="57" t="s">
        <v>2519</v>
      </c>
      <c r="E660" s="57" t="s">
        <v>2520</v>
      </c>
      <c r="F660" s="58" t="s">
        <v>110</v>
      </c>
      <c r="G660" s="52"/>
      <c r="H660" s="52"/>
      <c r="I660" s="52"/>
      <c r="J660" s="52"/>
      <c r="K660" s="59" t="s">
        <v>111</v>
      </c>
      <c r="L660" s="62" t="s">
        <v>2521</v>
      </c>
      <c r="M660" s="52" t="s">
        <v>2352</v>
      </c>
      <c r="N660" s="52"/>
      <c r="O660" s="61" t="s">
        <v>2522</v>
      </c>
      <c r="P660" s="76" t="s">
        <v>2523</v>
      </c>
      <c r="Q660" s="55">
        <f>VLOOKUP(E660,'NI-San_SP'!$C:$AN,12,FALSE)</f>
        <v>32537849</v>
      </c>
      <c r="R660" s="55">
        <f>VLOOKUP(E660,'NI-San_SP'!$C:$AN,13,FALSE)</f>
        <v>31686580</v>
      </c>
      <c r="S660" s="55">
        <f>VLOOKUP(E660,'NI-San_SP'!$C:$AN,30,FALSE)</f>
        <v>448499</v>
      </c>
      <c r="T660" s="55">
        <f>VLOOKUP(E660,'NI-San_SP'!$C:$AN,31,FALSE)+VLOOKUP(E660,'NI-San_SP'!$C:$AN,32,FALSE)</f>
        <v>59497105</v>
      </c>
      <c r="U660" s="55">
        <f>VLOOKUP($E660,'NI-San_SP'!$C:$AN,MID(U$1,1,2),FALSE)</f>
        <v>0</v>
      </c>
      <c r="V660" s="55">
        <f>VLOOKUP($E660,'NI-San_SP'!$C:$AN,MID(V$1,1,2),FALSE)</f>
        <v>32537849</v>
      </c>
      <c r="W660" s="55">
        <f>VLOOKUP($E660,'NI-San_SP'!$C:$AN,MID(W$1,1,2),FALSE)</f>
        <v>0</v>
      </c>
      <c r="X660" s="55">
        <f>VLOOKUP($E660,'NI-San_SP'!$C:$AN,MID(X$1,1,2),FALSE)</f>
        <v>4755272</v>
      </c>
      <c r="Y660" s="55">
        <f>VLOOKUP($E660,'NI-San_SP'!$C:$AN,MID(Y$1,1,2),FALSE)</f>
        <v>0</v>
      </c>
      <c r="Z660" s="55">
        <f>VLOOKUP($E660,'NI-San_SP'!$C:$AN,MID(Z$1,1,2),FALSE)</f>
        <v>114172849</v>
      </c>
      <c r="AA660" s="55">
        <f>VLOOKUP($E660,'NI-San_SP'!$C:$AN,MID(AA$1,1,2),FALSE)</f>
        <v>0</v>
      </c>
      <c r="AB660" s="55">
        <f>VLOOKUP($E660,'NI-San_SP'!$C:$AN,MID(AB$1,1,2),FALSE)</f>
        <v>28722282</v>
      </c>
      <c r="AC660" s="55">
        <f>VLOOKUP($E660,'NI-San_SP'!$C:$AN,MID(AC$1,1,2),FALSE)</f>
        <v>86301836</v>
      </c>
      <c r="AD660" s="55">
        <f>VLOOKUP($E660,'NI-San_SP'!$C:$AN,MID(AD$1,1,2),FALSE)</f>
        <v>31686580</v>
      </c>
      <c r="AE660" s="55">
        <f>VLOOKUP($E660,'NI-San_SP'!$C:$AN,MID(AE$1,1,2),FALSE)</f>
        <v>7019467</v>
      </c>
      <c r="AF660" s="55">
        <f>VLOOKUP($E660,'NI-San_SP'!$C:$AN,MID(AF$1,1,2),FALSE)</f>
        <v>5336736</v>
      </c>
      <c r="AG660" s="55">
        <f>VLOOKUP($E660,'NI-San_SP'!$C:$AN,MID(AG$1,1,2),FALSE)</f>
        <v>3228801</v>
      </c>
      <c r="AH660" s="55">
        <f>VLOOKUP($E660,'NI-San_SP'!$C:$AN,MID(AH$1,1,2),FALSE)</f>
        <v>82314</v>
      </c>
      <c r="AI660" s="55">
        <f>VLOOKUP($E660,'NI-San_SP'!$C:$AN,MID(AI$1,1,2),FALSE)</f>
        <v>116441</v>
      </c>
      <c r="AJ660" s="55">
        <f>VLOOKUP($E660,'NI-San_SP'!$C:$AN,MID(AJ$1,1,2),FALSE)</f>
        <v>448499</v>
      </c>
      <c r="AK660" s="55">
        <f>VLOOKUP($E660,'NI-San_SP'!$C:$AN,MID(AK$1,1,2),FALSE)</f>
        <v>27810525</v>
      </c>
      <c r="AL660" s="55">
        <f>VLOOKUP($E660,'NI-San_SP'!$C:$AN,MID(AL$1,1,2),FALSE)</f>
        <v>31686580</v>
      </c>
      <c r="AM660" s="56">
        <f>VLOOKUP($E660,'NI-San_SP'!$C:$AN,MID(AM$1,1,2),FALSE)</f>
        <v>0</v>
      </c>
      <c r="AN660" s="30" t="str">
        <f t="shared" si="10"/>
        <v>70700000000000</v>
      </c>
    </row>
    <row r="661" spans="1:40" x14ac:dyDescent="0.25">
      <c r="C661" s="40"/>
      <c r="D661" s="91" t="s">
        <v>2524</v>
      </c>
      <c r="E661" s="91" t="s">
        <v>2525</v>
      </c>
      <c r="F661" s="58" t="s">
        <v>110</v>
      </c>
      <c r="G661" s="52"/>
      <c r="H661" s="52"/>
      <c r="I661" s="52" t="s">
        <v>2526</v>
      </c>
      <c r="J661" s="52"/>
      <c r="K661" s="59" t="s">
        <v>111</v>
      </c>
      <c r="L661" s="52"/>
      <c r="M661" s="52"/>
      <c r="N661" s="52"/>
      <c r="O661" s="52"/>
      <c r="P661" s="76" t="s">
        <v>2527</v>
      </c>
      <c r="Q661" s="55">
        <f>VLOOKUP(E661,'NI-San_SP'!$C:$AN,12,FALSE)</f>
        <v>103034</v>
      </c>
      <c r="R661" s="55">
        <f>VLOOKUP(E661,'NI-San_SP'!$C:$AN,13,FALSE)</f>
        <v>232322</v>
      </c>
      <c r="S661" s="55">
        <f>VLOOKUP(E661,'NI-San_SP'!$C:$AN,30,FALSE)</f>
        <v>0</v>
      </c>
      <c r="T661" s="94">
        <f>VLOOKUP(E661,'NI-San_SP'!$C:$AN,31,FALSE)+VLOOKUP(E661,'NI-San_SP'!$C:$AN,32,FALSE)</f>
        <v>464644</v>
      </c>
      <c r="U661" s="55">
        <f>VLOOKUP($E661,'NI-San_SP'!$C:$AN,MID(U$1,1,2),FALSE)</f>
        <v>0</v>
      </c>
      <c r="V661" s="55">
        <f>VLOOKUP($E661,'NI-San_SP'!$C:$AN,MID(V$1,1,2),FALSE)</f>
        <v>103034</v>
      </c>
      <c r="W661" s="55">
        <f>VLOOKUP($E661,'NI-San_SP'!$C:$AN,MID(W$1,1,2),FALSE)</f>
        <v>0</v>
      </c>
      <c r="X661" s="55">
        <f>VLOOKUP($E661,'NI-San_SP'!$C:$AN,MID(X$1,1,2),FALSE)</f>
        <v>0</v>
      </c>
      <c r="Y661" s="55">
        <f>VLOOKUP($E661,'NI-San_SP'!$C:$AN,MID(Y$1,1,2),FALSE)</f>
        <v>0</v>
      </c>
      <c r="Z661" s="55">
        <f>VLOOKUP($E661,'NI-San_SP'!$C:$AN,MID(Z$1,1,2),FALSE)</f>
        <v>281881</v>
      </c>
      <c r="AA661" s="55">
        <f>VLOOKUP($E661,'NI-San_SP'!$C:$AN,MID(AA$1,1,2),FALSE)</f>
        <v>0</v>
      </c>
      <c r="AB661" s="55">
        <f>VLOOKUP($E661,'NI-San_SP'!$C:$AN,MID(AB$1,1,2),FALSE)</f>
        <v>103034</v>
      </c>
      <c r="AC661" s="55">
        <f>VLOOKUP($E661,'NI-San_SP'!$C:$AN,MID(AC$1,1,2),FALSE)</f>
        <v>49559</v>
      </c>
      <c r="AD661" s="55">
        <f>VLOOKUP($E661,'NI-San_SP'!$C:$AN,MID(AD$1,1,2),FALSE)</f>
        <v>232322</v>
      </c>
      <c r="AE661" s="55">
        <f>VLOOKUP($E661,'NI-San_SP'!$C:$AN,MID(AE$1,1,2),FALSE)</f>
        <v>110697</v>
      </c>
      <c r="AF661" s="55">
        <f>VLOOKUP($E661,'NI-San_SP'!$C:$AN,MID(AF$1,1,2),FALSE)</f>
        <v>0</v>
      </c>
      <c r="AG661" s="55">
        <f>VLOOKUP($E661,'NI-San_SP'!$C:$AN,MID(AG$1,1,2),FALSE)</f>
        <v>0</v>
      </c>
      <c r="AH661" s="55">
        <f>VLOOKUP($E661,'NI-San_SP'!$C:$AN,MID(AH$1,1,2),FALSE)</f>
        <v>0</v>
      </c>
      <c r="AI661" s="55">
        <f>VLOOKUP($E661,'NI-San_SP'!$C:$AN,MID(AI$1,1,2),FALSE)</f>
        <v>0</v>
      </c>
      <c r="AJ661" s="55">
        <f>VLOOKUP($E661,'NI-San_SP'!$C:$AN,MID(AJ$1,1,2),FALSE)</f>
        <v>0</v>
      </c>
      <c r="AK661" s="55">
        <f>VLOOKUP($E661,'NI-San_SP'!$C:$AN,MID(AK$1,1,2),FALSE)</f>
        <v>232322</v>
      </c>
      <c r="AL661" s="55">
        <f>VLOOKUP($E661,'NI-San_SP'!$C:$AN,MID(AL$1,1,2),FALSE)</f>
        <v>232322</v>
      </c>
      <c r="AM661" s="56">
        <f>VLOOKUP($E661,'NI-San_SP'!$C:$AN,MID(AM$1,1,2),FALSE)</f>
        <v>0</v>
      </c>
      <c r="AN661" s="30" t="str">
        <f t="shared" si="10"/>
        <v>70701010000000</v>
      </c>
    </row>
    <row r="662" spans="1:40" x14ac:dyDescent="0.25">
      <c r="C662" s="40"/>
      <c r="D662" s="91" t="s">
        <v>2528</v>
      </c>
      <c r="E662" s="91" t="s">
        <v>2529</v>
      </c>
      <c r="F662" s="58" t="s">
        <v>110</v>
      </c>
      <c r="G662" s="52"/>
      <c r="H662" s="52"/>
      <c r="I662" s="52"/>
      <c r="J662" s="52" t="s">
        <v>2530</v>
      </c>
      <c r="K662" s="59" t="s">
        <v>79</v>
      </c>
      <c r="L662" s="52"/>
      <c r="M662" s="52"/>
      <c r="N662" s="52"/>
      <c r="O662" s="52"/>
      <c r="P662" s="76" t="s">
        <v>2531</v>
      </c>
      <c r="Q662" s="55">
        <f>VLOOKUP(E662,'NI-San_SP'!$C:$AN,12,FALSE)</f>
        <v>103034</v>
      </c>
      <c r="R662" s="55">
        <f>VLOOKUP(E662,'NI-San_SP'!$C:$AN,13,FALSE)</f>
        <v>248027</v>
      </c>
      <c r="S662" s="55">
        <f>VLOOKUP(E662,'NI-San_SP'!$C:$AN,30,FALSE)</f>
        <v>0</v>
      </c>
      <c r="T662" s="94">
        <f>VLOOKUP(E662,'NI-San_SP'!$C:$AN,31,FALSE)+VLOOKUP(E662,'NI-San_SP'!$C:$AN,32,FALSE)</f>
        <v>496054</v>
      </c>
      <c r="U662" s="55">
        <f>VLOOKUP($E662,'NI-San_SP'!$C:$AN,MID(U$1,1,2),FALSE)</f>
        <v>0</v>
      </c>
      <c r="V662" s="55">
        <f>VLOOKUP($E662,'NI-San_SP'!$C:$AN,MID(V$1,1,2),FALSE)</f>
        <v>103034</v>
      </c>
      <c r="W662" s="55">
        <f>VLOOKUP($E662,'NI-San_SP'!$C:$AN,MID(W$1,1,2),FALSE)</f>
        <v>0</v>
      </c>
      <c r="X662" s="55">
        <f>VLOOKUP($E662,'NI-San_SP'!$C:$AN,MID(X$1,1,2),FALSE)</f>
        <v>0</v>
      </c>
      <c r="Y662" s="55">
        <f>VLOOKUP($E662,'NI-San_SP'!$C:$AN,MID(Y$1,1,2),FALSE)</f>
        <v>0</v>
      </c>
      <c r="Z662" s="55">
        <f>VLOOKUP($E662,'NI-San_SP'!$C:$AN,MID(Z$1,1,2),FALSE)</f>
        <v>281881</v>
      </c>
      <c r="AA662" s="55">
        <f>VLOOKUP($E662,'NI-San_SP'!$C:$AN,MID(AA$1,1,2),FALSE)</f>
        <v>0</v>
      </c>
      <c r="AB662" s="55">
        <f>VLOOKUP($E662,'NI-San_SP'!$C:$AN,MID(AB$1,1,2),FALSE)</f>
        <v>87329</v>
      </c>
      <c r="AC662" s="55">
        <f>VLOOKUP($E662,'NI-San_SP'!$C:$AN,MID(AC$1,1,2),FALSE)</f>
        <v>49559</v>
      </c>
      <c r="AD662" s="55">
        <f>VLOOKUP($E662,'NI-San_SP'!$C:$AN,MID(AD$1,1,2),FALSE)</f>
        <v>248027</v>
      </c>
      <c r="AE662" s="55">
        <f>VLOOKUP($E662,'NI-San_SP'!$C:$AN,MID(AE$1,1,2),FALSE)</f>
        <v>110697</v>
      </c>
      <c r="AF662" s="55">
        <f>VLOOKUP($E662,'NI-San_SP'!$C:$AN,MID(AF$1,1,2),FALSE)</f>
        <v>0</v>
      </c>
      <c r="AG662" s="55">
        <f>VLOOKUP($E662,'NI-San_SP'!$C:$AN,MID(AG$1,1,2),FALSE)</f>
        <v>0</v>
      </c>
      <c r="AH662" s="55">
        <f>VLOOKUP($E662,'NI-San_SP'!$C:$AN,MID(AH$1,1,2),FALSE)</f>
        <v>0</v>
      </c>
      <c r="AI662" s="55">
        <f>VLOOKUP($E662,'NI-San_SP'!$C:$AN,MID(AI$1,1,2),FALSE)</f>
        <v>0</v>
      </c>
      <c r="AJ662" s="55">
        <f>VLOOKUP($E662,'NI-San_SP'!$C:$AN,MID(AJ$1,1,2),FALSE)</f>
        <v>0</v>
      </c>
      <c r="AK662" s="55">
        <f>VLOOKUP($E662,'NI-San_SP'!$C:$AN,MID(AK$1,1,2),FALSE)</f>
        <v>248027</v>
      </c>
      <c r="AL662" s="55">
        <f>VLOOKUP($E662,'NI-San_SP'!$C:$AN,MID(AL$1,1,2),FALSE)</f>
        <v>248027</v>
      </c>
      <c r="AM662" s="56">
        <f>VLOOKUP($E662,'NI-San_SP'!$C:$AN,MID(AM$1,1,2),FALSE)</f>
        <v>0</v>
      </c>
      <c r="AN662" s="30" t="str">
        <f t="shared" si="10"/>
        <v>70701010010000</v>
      </c>
    </row>
    <row r="663" spans="1:40" x14ac:dyDescent="0.25">
      <c r="C663" s="40"/>
      <c r="D663" s="91" t="s">
        <v>2532</v>
      </c>
      <c r="E663" s="91" t="s">
        <v>2533</v>
      </c>
      <c r="F663" s="58" t="s">
        <v>110</v>
      </c>
      <c r="G663" s="52"/>
      <c r="H663" s="52"/>
      <c r="I663" s="52"/>
      <c r="J663" s="52" t="s">
        <v>2530</v>
      </c>
      <c r="K663" s="59" t="s">
        <v>79</v>
      </c>
      <c r="L663" s="52"/>
      <c r="M663" s="52"/>
      <c r="N663" s="52"/>
      <c r="O663" s="52"/>
      <c r="P663" s="76" t="s">
        <v>2534</v>
      </c>
      <c r="Q663" s="55">
        <f>VLOOKUP(E663,'NI-San_SP'!$C:$AN,12,FALSE)</f>
        <v>0</v>
      </c>
      <c r="R663" s="55">
        <f>VLOOKUP(E663,'NI-San_SP'!$C:$AN,13,FALSE)</f>
        <v>0</v>
      </c>
      <c r="S663" s="55">
        <f>VLOOKUP(E663,'NI-San_SP'!$C:$AN,30,FALSE)</f>
        <v>0</v>
      </c>
      <c r="T663" s="94">
        <f>VLOOKUP(E663,'NI-San_SP'!$C:$AN,31,FALSE)+VLOOKUP(E663,'NI-San_SP'!$C:$AN,32,FALSE)</f>
        <v>0</v>
      </c>
      <c r="U663" s="55">
        <f>VLOOKUP($E663,'NI-San_SP'!$C:$AN,MID(U$1,1,2),FALSE)</f>
        <v>0</v>
      </c>
      <c r="V663" s="55">
        <f>VLOOKUP($E663,'NI-San_SP'!$C:$AN,MID(V$1,1,2),FALSE)</f>
        <v>0</v>
      </c>
      <c r="W663" s="55">
        <f>VLOOKUP($E663,'NI-San_SP'!$C:$AN,MID(W$1,1,2),FALSE)</f>
        <v>0</v>
      </c>
      <c r="X663" s="55">
        <f>VLOOKUP($E663,'NI-San_SP'!$C:$AN,MID(X$1,1,2),FALSE)</f>
        <v>0</v>
      </c>
      <c r="Y663" s="55">
        <f>VLOOKUP($E663,'NI-San_SP'!$C:$AN,MID(Y$1,1,2),FALSE)</f>
        <v>0</v>
      </c>
      <c r="Z663" s="55">
        <f>VLOOKUP($E663,'NI-San_SP'!$C:$AN,MID(Z$1,1,2),FALSE)</f>
        <v>0</v>
      </c>
      <c r="AA663" s="55">
        <f>VLOOKUP($E663,'NI-San_SP'!$C:$AN,MID(AA$1,1,2),FALSE)</f>
        <v>0</v>
      </c>
      <c r="AB663" s="55">
        <f>VLOOKUP($E663,'NI-San_SP'!$C:$AN,MID(AB$1,1,2),FALSE)</f>
        <v>0</v>
      </c>
      <c r="AC663" s="55">
        <f>VLOOKUP($E663,'NI-San_SP'!$C:$AN,MID(AC$1,1,2),FALSE)</f>
        <v>0</v>
      </c>
      <c r="AD663" s="55">
        <f>VLOOKUP($E663,'NI-San_SP'!$C:$AN,MID(AD$1,1,2),FALSE)</f>
        <v>0</v>
      </c>
      <c r="AE663" s="55">
        <f>VLOOKUP($E663,'NI-San_SP'!$C:$AN,MID(AE$1,1,2),FALSE)</f>
        <v>0</v>
      </c>
      <c r="AF663" s="55">
        <f>VLOOKUP($E663,'NI-San_SP'!$C:$AN,MID(AF$1,1,2),FALSE)</f>
        <v>0</v>
      </c>
      <c r="AG663" s="55">
        <f>VLOOKUP($E663,'NI-San_SP'!$C:$AN,MID(AG$1,1,2),FALSE)</f>
        <v>0</v>
      </c>
      <c r="AH663" s="55">
        <f>VLOOKUP($E663,'NI-San_SP'!$C:$AN,MID(AH$1,1,2),FALSE)</f>
        <v>0</v>
      </c>
      <c r="AI663" s="55">
        <f>VLOOKUP($E663,'NI-San_SP'!$C:$AN,MID(AI$1,1,2),FALSE)</f>
        <v>0</v>
      </c>
      <c r="AJ663" s="55">
        <f>VLOOKUP($E663,'NI-San_SP'!$C:$AN,MID(AJ$1,1,2),FALSE)</f>
        <v>0</v>
      </c>
      <c r="AK663" s="55">
        <f>VLOOKUP($E663,'NI-San_SP'!$C:$AN,MID(AK$1,1,2),FALSE)</f>
        <v>0</v>
      </c>
      <c r="AL663" s="55">
        <f>VLOOKUP($E663,'NI-San_SP'!$C:$AN,MID(AL$1,1,2),FALSE)</f>
        <v>0</v>
      </c>
      <c r="AM663" s="56">
        <f>VLOOKUP($E663,'NI-San_SP'!$C:$AN,MID(AM$1,1,2),FALSE)</f>
        <v>0</v>
      </c>
      <c r="AN663" s="30" t="str">
        <f t="shared" si="10"/>
        <v>70701010020000</v>
      </c>
    </row>
    <row r="664" spans="1:40" x14ac:dyDescent="0.25">
      <c r="C664" s="40"/>
      <c r="D664" s="91" t="s">
        <v>2535</v>
      </c>
      <c r="E664" s="91" t="s">
        <v>2536</v>
      </c>
      <c r="F664" s="58" t="s">
        <v>110</v>
      </c>
      <c r="G664" s="52"/>
      <c r="H664" s="52"/>
      <c r="I664" s="52"/>
      <c r="J664" s="52" t="s">
        <v>2530</v>
      </c>
      <c r="K664" s="59" t="s">
        <v>79</v>
      </c>
      <c r="L664" s="52"/>
      <c r="M664" s="52"/>
      <c r="N664" s="52"/>
      <c r="O664" s="52"/>
      <c r="P664" s="76" t="s">
        <v>2537</v>
      </c>
      <c r="Q664" s="55">
        <f>VLOOKUP(E664,'NI-San_SP'!$C:$AN,12,FALSE)</f>
        <v>0</v>
      </c>
      <c r="R664" s="55">
        <f>VLOOKUP(E664,'NI-San_SP'!$C:$AN,13,FALSE)</f>
        <v>0</v>
      </c>
      <c r="S664" s="55">
        <f>VLOOKUP(E664,'NI-San_SP'!$C:$AN,30,FALSE)</f>
        <v>0</v>
      </c>
      <c r="T664" s="94">
        <f>VLOOKUP(E664,'NI-San_SP'!$C:$AN,31,FALSE)+VLOOKUP(E664,'NI-San_SP'!$C:$AN,32,FALSE)</f>
        <v>0</v>
      </c>
      <c r="U664" s="55">
        <f>VLOOKUP($E664,'NI-San_SP'!$C:$AN,MID(U$1,1,2),FALSE)</f>
        <v>0</v>
      </c>
      <c r="V664" s="55">
        <f>VLOOKUP($E664,'NI-San_SP'!$C:$AN,MID(V$1,1,2),FALSE)</f>
        <v>0</v>
      </c>
      <c r="W664" s="55">
        <f>VLOOKUP($E664,'NI-San_SP'!$C:$AN,MID(W$1,1,2),FALSE)</f>
        <v>0</v>
      </c>
      <c r="X664" s="55">
        <f>VLOOKUP($E664,'NI-San_SP'!$C:$AN,MID(X$1,1,2),FALSE)</f>
        <v>0</v>
      </c>
      <c r="Y664" s="55">
        <f>VLOOKUP($E664,'NI-San_SP'!$C:$AN,MID(Y$1,1,2),FALSE)</f>
        <v>0</v>
      </c>
      <c r="Z664" s="55">
        <f>VLOOKUP($E664,'NI-San_SP'!$C:$AN,MID(Z$1,1,2),FALSE)</f>
        <v>0</v>
      </c>
      <c r="AA664" s="55">
        <f>VLOOKUP($E664,'NI-San_SP'!$C:$AN,MID(AA$1,1,2),FALSE)</f>
        <v>0</v>
      </c>
      <c r="AB664" s="55">
        <f>VLOOKUP($E664,'NI-San_SP'!$C:$AN,MID(AB$1,1,2),FALSE)</f>
        <v>0</v>
      </c>
      <c r="AC664" s="55">
        <f>VLOOKUP($E664,'NI-San_SP'!$C:$AN,MID(AC$1,1,2),FALSE)</f>
        <v>0</v>
      </c>
      <c r="AD664" s="55">
        <f>VLOOKUP($E664,'NI-San_SP'!$C:$AN,MID(AD$1,1,2),FALSE)</f>
        <v>0</v>
      </c>
      <c r="AE664" s="55">
        <f>VLOOKUP($E664,'NI-San_SP'!$C:$AN,MID(AE$1,1,2),FALSE)</f>
        <v>0</v>
      </c>
      <c r="AF664" s="55">
        <f>VLOOKUP($E664,'NI-San_SP'!$C:$AN,MID(AF$1,1,2),FALSE)</f>
        <v>0</v>
      </c>
      <c r="AG664" s="55">
        <f>VLOOKUP($E664,'NI-San_SP'!$C:$AN,MID(AG$1,1,2),FALSE)</f>
        <v>0</v>
      </c>
      <c r="AH664" s="55">
        <f>VLOOKUP($E664,'NI-San_SP'!$C:$AN,MID(AH$1,1,2),FALSE)</f>
        <v>0</v>
      </c>
      <c r="AI664" s="55">
        <f>VLOOKUP($E664,'NI-San_SP'!$C:$AN,MID(AI$1,1,2),FALSE)</f>
        <v>0</v>
      </c>
      <c r="AJ664" s="55">
        <f>VLOOKUP($E664,'NI-San_SP'!$C:$AN,MID(AJ$1,1,2),FALSE)</f>
        <v>0</v>
      </c>
      <c r="AK664" s="55">
        <f>VLOOKUP($E664,'NI-San_SP'!$C:$AN,MID(AK$1,1,2),FALSE)</f>
        <v>0</v>
      </c>
      <c r="AL664" s="55">
        <f>VLOOKUP($E664,'NI-San_SP'!$C:$AN,MID(AL$1,1,2),FALSE)</f>
        <v>0</v>
      </c>
      <c r="AM664" s="56">
        <f>VLOOKUP($E664,'NI-San_SP'!$C:$AN,MID(AM$1,1,2),FALSE)</f>
        <v>0</v>
      </c>
      <c r="AN664" s="30" t="str">
        <f t="shared" si="10"/>
        <v>70701010030000</v>
      </c>
    </row>
    <row r="665" spans="1:40" x14ac:dyDescent="0.25">
      <c r="C665" s="40"/>
      <c r="D665" s="91" t="s">
        <v>2538</v>
      </c>
      <c r="E665" s="91" t="s">
        <v>2539</v>
      </c>
      <c r="F665" s="58" t="s">
        <v>110</v>
      </c>
      <c r="G665" s="52"/>
      <c r="H665" s="52"/>
      <c r="I665" s="52"/>
      <c r="J665" s="52" t="s">
        <v>2530</v>
      </c>
      <c r="K665" s="59" t="s">
        <v>79</v>
      </c>
      <c r="L665" s="52"/>
      <c r="M665" s="52"/>
      <c r="N665" s="52"/>
      <c r="O665" s="52"/>
      <c r="P665" s="76" t="s">
        <v>2540</v>
      </c>
      <c r="Q665" s="55">
        <f>VLOOKUP(E665,'NI-San_SP'!$C:$AN,12,FALSE)</f>
        <v>0</v>
      </c>
      <c r="R665" s="55">
        <f>VLOOKUP(E665,'NI-San_SP'!$C:$AN,13,FALSE)</f>
        <v>0</v>
      </c>
      <c r="S665" s="55">
        <f>VLOOKUP(E665,'NI-San_SP'!$C:$AN,30,FALSE)</f>
        <v>0</v>
      </c>
      <c r="T665" s="94">
        <f>VLOOKUP(E665,'NI-San_SP'!$C:$AN,31,FALSE)+VLOOKUP(E665,'NI-San_SP'!$C:$AN,32,FALSE)</f>
        <v>0</v>
      </c>
      <c r="U665" s="55">
        <f>VLOOKUP($E665,'NI-San_SP'!$C:$AN,MID(U$1,1,2),FALSE)</f>
        <v>0</v>
      </c>
      <c r="V665" s="55">
        <f>VLOOKUP($E665,'NI-San_SP'!$C:$AN,MID(V$1,1,2),FALSE)</f>
        <v>0</v>
      </c>
      <c r="W665" s="55">
        <f>VLOOKUP($E665,'NI-San_SP'!$C:$AN,MID(W$1,1,2),FALSE)</f>
        <v>0</v>
      </c>
      <c r="X665" s="55">
        <f>VLOOKUP($E665,'NI-San_SP'!$C:$AN,MID(X$1,1,2),FALSE)</f>
        <v>0</v>
      </c>
      <c r="Y665" s="55">
        <f>VLOOKUP($E665,'NI-San_SP'!$C:$AN,MID(Y$1,1,2),FALSE)</f>
        <v>0</v>
      </c>
      <c r="Z665" s="55">
        <f>VLOOKUP($E665,'NI-San_SP'!$C:$AN,MID(Z$1,1,2),FALSE)</f>
        <v>0</v>
      </c>
      <c r="AA665" s="55">
        <f>VLOOKUP($E665,'NI-San_SP'!$C:$AN,MID(AA$1,1,2),FALSE)</f>
        <v>0</v>
      </c>
      <c r="AB665" s="55">
        <f>VLOOKUP($E665,'NI-San_SP'!$C:$AN,MID(AB$1,1,2),FALSE)</f>
        <v>0</v>
      </c>
      <c r="AC665" s="55">
        <f>VLOOKUP($E665,'NI-San_SP'!$C:$AN,MID(AC$1,1,2),FALSE)</f>
        <v>0</v>
      </c>
      <c r="AD665" s="55">
        <f>VLOOKUP($E665,'NI-San_SP'!$C:$AN,MID(AD$1,1,2),FALSE)</f>
        <v>0</v>
      </c>
      <c r="AE665" s="55">
        <f>VLOOKUP($E665,'NI-San_SP'!$C:$AN,MID(AE$1,1,2),FALSE)</f>
        <v>0</v>
      </c>
      <c r="AF665" s="55">
        <f>VLOOKUP($E665,'NI-San_SP'!$C:$AN,MID(AF$1,1,2),FALSE)</f>
        <v>0</v>
      </c>
      <c r="AG665" s="55">
        <f>VLOOKUP($E665,'NI-San_SP'!$C:$AN,MID(AG$1,1,2),FALSE)</f>
        <v>0</v>
      </c>
      <c r="AH665" s="55">
        <f>VLOOKUP($E665,'NI-San_SP'!$C:$AN,MID(AH$1,1,2),FALSE)</f>
        <v>0</v>
      </c>
      <c r="AI665" s="55">
        <f>VLOOKUP($E665,'NI-San_SP'!$C:$AN,MID(AI$1,1,2),FALSE)</f>
        <v>0</v>
      </c>
      <c r="AJ665" s="55">
        <f>VLOOKUP($E665,'NI-San_SP'!$C:$AN,MID(AJ$1,1,2),FALSE)</f>
        <v>0</v>
      </c>
      <c r="AK665" s="55">
        <f>VLOOKUP($E665,'NI-San_SP'!$C:$AN,MID(AK$1,1,2),FALSE)</f>
        <v>0</v>
      </c>
      <c r="AL665" s="55">
        <f>VLOOKUP($E665,'NI-San_SP'!$C:$AN,MID(AL$1,1,2),FALSE)</f>
        <v>0</v>
      </c>
      <c r="AM665" s="56">
        <f>VLOOKUP($E665,'NI-San_SP'!$C:$AN,MID(AM$1,1,2),FALSE)</f>
        <v>0</v>
      </c>
      <c r="AN665" s="30" t="str">
        <f t="shared" si="10"/>
        <v>70701010040000</v>
      </c>
    </row>
    <row r="666" spans="1:40" x14ac:dyDescent="0.25">
      <c r="C666" s="40"/>
      <c r="D666" s="91" t="s">
        <v>2541</v>
      </c>
      <c r="E666" s="91" t="s">
        <v>2542</v>
      </c>
      <c r="F666" s="58" t="s">
        <v>110</v>
      </c>
      <c r="G666" s="52"/>
      <c r="H666" s="52"/>
      <c r="I666" s="52"/>
      <c r="J666" s="52" t="s">
        <v>2530</v>
      </c>
      <c r="K666" s="59" t="s">
        <v>79</v>
      </c>
      <c r="L666" s="52"/>
      <c r="M666" s="52"/>
      <c r="N666" s="52"/>
      <c r="O666" s="52"/>
      <c r="P666" s="76" t="s">
        <v>2543</v>
      </c>
      <c r="Q666" s="55">
        <f>VLOOKUP(E666,'NI-San_SP'!$C:$AN,12,FALSE)</f>
        <v>0</v>
      </c>
      <c r="R666" s="55">
        <f>VLOOKUP(E666,'NI-San_SP'!$C:$AN,13,FALSE)</f>
        <v>0</v>
      </c>
      <c r="S666" s="55">
        <f>VLOOKUP(E666,'NI-San_SP'!$C:$AN,30,FALSE)</f>
        <v>0</v>
      </c>
      <c r="T666" s="94">
        <f>VLOOKUP(E666,'NI-San_SP'!$C:$AN,31,FALSE)+VLOOKUP(E666,'NI-San_SP'!$C:$AN,32,FALSE)</f>
        <v>0</v>
      </c>
      <c r="U666" s="55">
        <f>VLOOKUP($E666,'NI-San_SP'!$C:$AN,MID(U$1,1,2),FALSE)</f>
        <v>0</v>
      </c>
      <c r="V666" s="55">
        <f>VLOOKUP($E666,'NI-San_SP'!$C:$AN,MID(V$1,1,2),FALSE)</f>
        <v>0</v>
      </c>
      <c r="W666" s="55">
        <f>VLOOKUP($E666,'NI-San_SP'!$C:$AN,MID(W$1,1,2),FALSE)</f>
        <v>0</v>
      </c>
      <c r="X666" s="55">
        <f>VLOOKUP($E666,'NI-San_SP'!$C:$AN,MID(X$1,1,2),FALSE)</f>
        <v>0</v>
      </c>
      <c r="Y666" s="55">
        <f>VLOOKUP($E666,'NI-San_SP'!$C:$AN,MID(Y$1,1,2),FALSE)</f>
        <v>0</v>
      </c>
      <c r="Z666" s="55">
        <f>VLOOKUP($E666,'NI-San_SP'!$C:$AN,MID(Z$1,1,2),FALSE)</f>
        <v>0</v>
      </c>
      <c r="AA666" s="55">
        <f>VLOOKUP($E666,'NI-San_SP'!$C:$AN,MID(AA$1,1,2),FALSE)</f>
        <v>0</v>
      </c>
      <c r="AB666" s="55">
        <f>VLOOKUP($E666,'NI-San_SP'!$C:$AN,MID(AB$1,1,2),FALSE)</f>
        <v>0</v>
      </c>
      <c r="AC666" s="55">
        <f>VLOOKUP($E666,'NI-San_SP'!$C:$AN,MID(AC$1,1,2),FALSE)</f>
        <v>0</v>
      </c>
      <c r="AD666" s="55">
        <f>VLOOKUP($E666,'NI-San_SP'!$C:$AN,MID(AD$1,1,2),FALSE)</f>
        <v>0</v>
      </c>
      <c r="AE666" s="55">
        <f>VLOOKUP($E666,'NI-San_SP'!$C:$AN,MID(AE$1,1,2),FALSE)</f>
        <v>0</v>
      </c>
      <c r="AF666" s="55">
        <f>VLOOKUP($E666,'NI-San_SP'!$C:$AN,MID(AF$1,1,2),FALSE)</f>
        <v>0</v>
      </c>
      <c r="AG666" s="55">
        <f>VLOOKUP($E666,'NI-San_SP'!$C:$AN,MID(AG$1,1,2),FALSE)</f>
        <v>0</v>
      </c>
      <c r="AH666" s="55">
        <f>VLOOKUP($E666,'NI-San_SP'!$C:$AN,MID(AH$1,1,2),FALSE)</f>
        <v>0</v>
      </c>
      <c r="AI666" s="55">
        <f>VLOOKUP($E666,'NI-San_SP'!$C:$AN,MID(AI$1,1,2),FALSE)</f>
        <v>0</v>
      </c>
      <c r="AJ666" s="55">
        <f>VLOOKUP($E666,'NI-San_SP'!$C:$AN,MID(AJ$1,1,2),FALSE)</f>
        <v>0</v>
      </c>
      <c r="AK666" s="55">
        <f>VLOOKUP($E666,'NI-San_SP'!$C:$AN,MID(AK$1,1,2),FALSE)</f>
        <v>0</v>
      </c>
      <c r="AL666" s="55">
        <f>VLOOKUP($E666,'NI-San_SP'!$C:$AN,MID(AL$1,1,2),FALSE)</f>
        <v>0</v>
      </c>
      <c r="AM666" s="56">
        <f>VLOOKUP($E666,'NI-San_SP'!$C:$AN,MID(AM$1,1,2),FALSE)</f>
        <v>0</v>
      </c>
      <c r="AN666" s="30" t="str">
        <f t="shared" si="10"/>
        <v>70701010050000</v>
      </c>
    </row>
    <row r="667" spans="1:40" x14ac:dyDescent="0.25">
      <c r="C667" s="40"/>
      <c r="D667" s="91" t="s">
        <v>2544</v>
      </c>
      <c r="E667" s="91" t="s">
        <v>2545</v>
      </c>
      <c r="F667" s="58" t="s">
        <v>110</v>
      </c>
      <c r="G667" s="52"/>
      <c r="H667" s="52"/>
      <c r="I667" s="52"/>
      <c r="J667" s="52" t="s">
        <v>2530</v>
      </c>
      <c r="K667" s="59" t="s">
        <v>79</v>
      </c>
      <c r="L667" s="52"/>
      <c r="M667" s="52"/>
      <c r="N667" s="52"/>
      <c r="O667" s="52"/>
      <c r="P667" s="76" t="s">
        <v>2546</v>
      </c>
      <c r="Q667" s="55">
        <f>VLOOKUP(E667,'NI-San_SP'!$C:$AN,12,FALSE)</f>
        <v>0</v>
      </c>
      <c r="R667" s="55">
        <f>VLOOKUP(E667,'NI-San_SP'!$C:$AN,13,FALSE)</f>
        <v>0</v>
      </c>
      <c r="S667" s="55">
        <f>VLOOKUP(E667,'NI-San_SP'!$C:$AN,30,FALSE)</f>
        <v>0</v>
      </c>
      <c r="T667" s="94">
        <f>VLOOKUP(E667,'NI-San_SP'!$C:$AN,31,FALSE)+VLOOKUP(E667,'NI-San_SP'!$C:$AN,32,FALSE)</f>
        <v>0</v>
      </c>
      <c r="U667" s="55">
        <f>VLOOKUP($E667,'NI-San_SP'!$C:$AN,MID(U$1,1,2),FALSE)</f>
        <v>0</v>
      </c>
      <c r="V667" s="55">
        <f>VLOOKUP($E667,'NI-San_SP'!$C:$AN,MID(V$1,1,2),FALSE)</f>
        <v>0</v>
      </c>
      <c r="W667" s="55">
        <f>VLOOKUP($E667,'NI-San_SP'!$C:$AN,MID(W$1,1,2),FALSE)</f>
        <v>0</v>
      </c>
      <c r="X667" s="55">
        <f>VLOOKUP($E667,'NI-San_SP'!$C:$AN,MID(X$1,1,2),FALSE)</f>
        <v>0</v>
      </c>
      <c r="Y667" s="55">
        <f>VLOOKUP($E667,'NI-San_SP'!$C:$AN,MID(Y$1,1,2),FALSE)</f>
        <v>0</v>
      </c>
      <c r="Z667" s="55">
        <f>VLOOKUP($E667,'NI-San_SP'!$C:$AN,MID(Z$1,1,2),FALSE)</f>
        <v>0</v>
      </c>
      <c r="AA667" s="55">
        <f>VLOOKUP($E667,'NI-San_SP'!$C:$AN,MID(AA$1,1,2),FALSE)</f>
        <v>0</v>
      </c>
      <c r="AB667" s="55">
        <f>VLOOKUP($E667,'NI-San_SP'!$C:$AN,MID(AB$1,1,2),FALSE)</f>
        <v>0</v>
      </c>
      <c r="AC667" s="55">
        <f>VLOOKUP($E667,'NI-San_SP'!$C:$AN,MID(AC$1,1,2),FALSE)</f>
        <v>0</v>
      </c>
      <c r="AD667" s="55">
        <f>VLOOKUP($E667,'NI-San_SP'!$C:$AN,MID(AD$1,1,2),FALSE)</f>
        <v>0</v>
      </c>
      <c r="AE667" s="55">
        <f>VLOOKUP($E667,'NI-San_SP'!$C:$AN,MID(AE$1,1,2),FALSE)</f>
        <v>0</v>
      </c>
      <c r="AF667" s="55">
        <f>VLOOKUP($E667,'NI-San_SP'!$C:$AN,MID(AF$1,1,2),FALSE)</f>
        <v>0</v>
      </c>
      <c r="AG667" s="55">
        <f>VLOOKUP($E667,'NI-San_SP'!$C:$AN,MID(AG$1,1,2),FALSE)</f>
        <v>0</v>
      </c>
      <c r="AH667" s="55">
        <f>VLOOKUP($E667,'NI-San_SP'!$C:$AN,MID(AH$1,1,2),FALSE)</f>
        <v>0</v>
      </c>
      <c r="AI667" s="55">
        <f>VLOOKUP($E667,'NI-San_SP'!$C:$AN,MID(AI$1,1,2),FALSE)</f>
        <v>0</v>
      </c>
      <c r="AJ667" s="55">
        <f>VLOOKUP($E667,'NI-San_SP'!$C:$AN,MID(AJ$1,1,2),FALSE)</f>
        <v>0</v>
      </c>
      <c r="AK667" s="55">
        <f>VLOOKUP($E667,'NI-San_SP'!$C:$AN,MID(AK$1,1,2),FALSE)</f>
        <v>0</v>
      </c>
      <c r="AL667" s="55">
        <f>VLOOKUP($E667,'NI-San_SP'!$C:$AN,MID(AL$1,1,2),FALSE)</f>
        <v>0</v>
      </c>
      <c r="AM667" s="56">
        <f>VLOOKUP($E667,'NI-San_SP'!$C:$AN,MID(AM$1,1,2),FALSE)</f>
        <v>0</v>
      </c>
      <c r="AN667" s="30" t="str">
        <f t="shared" si="10"/>
        <v>70701010060000</v>
      </c>
    </row>
    <row r="668" spans="1:40" x14ac:dyDescent="0.25">
      <c r="A668" s="30" t="s">
        <v>1394</v>
      </c>
      <c r="C668" s="40"/>
      <c r="D668" s="98" t="s">
        <v>2547</v>
      </c>
      <c r="E668" s="98" t="s">
        <v>2548</v>
      </c>
      <c r="F668" s="58" t="s">
        <v>110</v>
      </c>
      <c r="H668" s="52"/>
      <c r="I668" s="52"/>
      <c r="J668" s="52" t="s">
        <v>2549</v>
      </c>
      <c r="K668" s="59" t="s">
        <v>79</v>
      </c>
      <c r="L668" s="52"/>
      <c r="M668" s="52"/>
      <c r="N668" s="52"/>
      <c r="O668" s="52"/>
      <c r="P668" s="95" t="s">
        <v>2550</v>
      </c>
      <c r="Q668" s="55">
        <f>VLOOKUP(E668,'NI-San_SP'!$C:$AN,12,FALSE)</f>
        <v>0</v>
      </c>
      <c r="R668" s="55">
        <f>VLOOKUP(E668,'NI-San_SP'!$C:$AN,13,FALSE)</f>
        <v>-15705</v>
      </c>
      <c r="S668" s="55">
        <f>VLOOKUP(E668,'NI-San_SP'!$C:$AN,30,FALSE)</f>
        <v>0</v>
      </c>
      <c r="T668" s="94">
        <f>VLOOKUP(E668,'NI-San_SP'!$C:$AN,31,FALSE)+VLOOKUP(E668,'NI-San_SP'!$C:$AN,32,FALSE)</f>
        <v>-31410</v>
      </c>
      <c r="U668" s="55">
        <f>VLOOKUP($E668,'NI-San_SP'!$C:$AN,MID(U$1,1,2),FALSE)</f>
        <v>0</v>
      </c>
      <c r="V668" s="55">
        <f>VLOOKUP($E668,'NI-San_SP'!$C:$AN,MID(V$1,1,2),FALSE)</f>
        <v>0</v>
      </c>
      <c r="W668" s="55">
        <f>VLOOKUP($E668,'NI-San_SP'!$C:$AN,MID(W$1,1,2),FALSE)</f>
        <v>0</v>
      </c>
      <c r="X668" s="55">
        <f>VLOOKUP($E668,'NI-San_SP'!$C:$AN,MID(X$1,1,2),FALSE)</f>
        <v>0</v>
      </c>
      <c r="Y668" s="55">
        <f>VLOOKUP($E668,'NI-San_SP'!$C:$AN,MID(Y$1,1,2),FALSE)</f>
        <v>0</v>
      </c>
      <c r="Z668" s="55">
        <f>VLOOKUP($E668,'NI-San_SP'!$C:$AN,MID(Z$1,1,2),FALSE)</f>
        <v>0</v>
      </c>
      <c r="AA668" s="55">
        <f>VLOOKUP($E668,'NI-San_SP'!$C:$AN,MID(AA$1,1,2),FALSE)</f>
        <v>0</v>
      </c>
      <c r="AB668" s="55">
        <f>VLOOKUP($E668,'NI-San_SP'!$C:$AN,MID(AB$1,1,2),FALSE)</f>
        <v>15705</v>
      </c>
      <c r="AC668" s="55">
        <f>VLOOKUP($E668,'NI-San_SP'!$C:$AN,MID(AC$1,1,2),FALSE)</f>
        <v>0</v>
      </c>
      <c r="AD668" s="55">
        <f>VLOOKUP($E668,'NI-San_SP'!$C:$AN,MID(AD$1,1,2),FALSE)</f>
        <v>-15705</v>
      </c>
      <c r="AE668" s="55">
        <f>VLOOKUP($E668,'NI-San_SP'!$C:$AN,MID(AE$1,1,2),FALSE)</f>
        <v>0</v>
      </c>
      <c r="AF668" s="55">
        <f>VLOOKUP($E668,'NI-San_SP'!$C:$AN,MID(AF$1,1,2),FALSE)</f>
        <v>0</v>
      </c>
      <c r="AG668" s="55">
        <f>VLOOKUP($E668,'NI-San_SP'!$C:$AN,MID(AG$1,1,2),FALSE)</f>
        <v>0</v>
      </c>
      <c r="AH668" s="55">
        <f>VLOOKUP($E668,'NI-San_SP'!$C:$AN,MID(AH$1,1,2),FALSE)</f>
        <v>0</v>
      </c>
      <c r="AI668" s="55">
        <f>VLOOKUP($E668,'NI-San_SP'!$C:$AN,MID(AI$1,1,2),FALSE)</f>
        <v>0</v>
      </c>
      <c r="AJ668" s="55">
        <f>VLOOKUP($E668,'NI-San_SP'!$C:$AN,MID(AJ$1,1,2),FALSE)</f>
        <v>0</v>
      </c>
      <c r="AK668" s="55">
        <f>VLOOKUP($E668,'NI-San_SP'!$C:$AN,MID(AK$1,1,2),FALSE)</f>
        <v>-15705</v>
      </c>
      <c r="AL668" s="55">
        <f>VLOOKUP($E668,'NI-San_SP'!$C:$AN,MID(AL$1,1,2),FALSE)</f>
        <v>-15705</v>
      </c>
      <c r="AM668" s="56">
        <f>VLOOKUP($E668,'NI-San_SP'!$C:$AN,MID(AM$1,1,2),FALSE)</f>
        <v>0</v>
      </c>
      <c r="AN668" s="30" t="str">
        <f t="shared" si="10"/>
        <v>70701020000000</v>
      </c>
    </row>
    <row r="669" spans="1:40" x14ac:dyDescent="0.25">
      <c r="C669" s="40"/>
      <c r="D669" s="91" t="s">
        <v>2551</v>
      </c>
      <c r="E669" s="91" t="s">
        <v>2552</v>
      </c>
      <c r="F669" s="58" t="s">
        <v>110</v>
      </c>
      <c r="G669" s="52"/>
      <c r="H669" s="52"/>
      <c r="I669" s="52" t="s">
        <v>2553</v>
      </c>
      <c r="J669" s="52"/>
      <c r="K669" s="59" t="s">
        <v>111</v>
      </c>
      <c r="L669" s="52"/>
      <c r="M669" s="52"/>
      <c r="N669" s="52"/>
      <c r="O669" s="52"/>
      <c r="P669" s="76" t="s">
        <v>2554</v>
      </c>
      <c r="Q669" s="55">
        <f>VLOOKUP(E669,'NI-San_SP'!$C:$AN,12,FALSE)</f>
        <v>32434815</v>
      </c>
      <c r="R669" s="55">
        <f>VLOOKUP(E669,'NI-San_SP'!$C:$AN,13,FALSE)</f>
        <v>31454258</v>
      </c>
      <c r="S669" s="55">
        <f>VLOOKUP(E669,'NI-San_SP'!$C:$AN,30,FALSE)</f>
        <v>448499</v>
      </c>
      <c r="T669" s="94">
        <f>VLOOKUP(E669,'NI-San_SP'!$C:$AN,31,FALSE)+VLOOKUP(E669,'NI-San_SP'!$C:$AN,32,FALSE)</f>
        <v>59032461</v>
      </c>
      <c r="U669" s="55">
        <f>VLOOKUP($E669,'NI-San_SP'!$C:$AN,MID(U$1,1,2),FALSE)</f>
        <v>0</v>
      </c>
      <c r="V669" s="55">
        <f>VLOOKUP($E669,'NI-San_SP'!$C:$AN,MID(V$1,1,2),FALSE)</f>
        <v>32434815</v>
      </c>
      <c r="W669" s="55">
        <f>VLOOKUP($E669,'NI-San_SP'!$C:$AN,MID(W$1,1,2),FALSE)</f>
        <v>0</v>
      </c>
      <c r="X669" s="55">
        <f>VLOOKUP($E669,'NI-San_SP'!$C:$AN,MID(X$1,1,2),FALSE)</f>
        <v>4755272</v>
      </c>
      <c r="Y669" s="55">
        <f>VLOOKUP($E669,'NI-San_SP'!$C:$AN,MID(Y$1,1,2),FALSE)</f>
        <v>0</v>
      </c>
      <c r="Z669" s="55">
        <f>VLOOKUP($E669,'NI-San_SP'!$C:$AN,MID(Z$1,1,2),FALSE)</f>
        <v>113890968</v>
      </c>
      <c r="AA669" s="55">
        <f>VLOOKUP($E669,'NI-San_SP'!$C:$AN,MID(AA$1,1,2),FALSE)</f>
        <v>0</v>
      </c>
      <c r="AB669" s="55">
        <f>VLOOKUP($E669,'NI-San_SP'!$C:$AN,MID(AB$1,1,2),FALSE)</f>
        <v>28619248</v>
      </c>
      <c r="AC669" s="55">
        <f>VLOOKUP($E669,'NI-San_SP'!$C:$AN,MID(AC$1,1,2),FALSE)</f>
        <v>86252277</v>
      </c>
      <c r="AD669" s="55">
        <f>VLOOKUP($E669,'NI-San_SP'!$C:$AN,MID(AD$1,1,2),FALSE)</f>
        <v>31454258</v>
      </c>
      <c r="AE669" s="55">
        <f>VLOOKUP($E669,'NI-San_SP'!$C:$AN,MID(AE$1,1,2),FALSE)</f>
        <v>6908770</v>
      </c>
      <c r="AF669" s="55">
        <f>VLOOKUP($E669,'NI-San_SP'!$C:$AN,MID(AF$1,1,2),FALSE)</f>
        <v>5336736</v>
      </c>
      <c r="AG669" s="55">
        <f>VLOOKUP($E669,'NI-San_SP'!$C:$AN,MID(AG$1,1,2),FALSE)</f>
        <v>3228801</v>
      </c>
      <c r="AH669" s="55">
        <f>VLOOKUP($E669,'NI-San_SP'!$C:$AN,MID(AH$1,1,2),FALSE)</f>
        <v>82314</v>
      </c>
      <c r="AI669" s="55">
        <f>VLOOKUP($E669,'NI-San_SP'!$C:$AN,MID(AI$1,1,2),FALSE)</f>
        <v>116441</v>
      </c>
      <c r="AJ669" s="55">
        <f>VLOOKUP($E669,'NI-San_SP'!$C:$AN,MID(AJ$1,1,2),FALSE)</f>
        <v>448499</v>
      </c>
      <c r="AK669" s="55">
        <f>VLOOKUP($E669,'NI-San_SP'!$C:$AN,MID(AK$1,1,2),FALSE)</f>
        <v>27578203</v>
      </c>
      <c r="AL669" s="55">
        <f>VLOOKUP($E669,'NI-San_SP'!$C:$AN,MID(AL$1,1,2),FALSE)</f>
        <v>31454258</v>
      </c>
      <c r="AM669" s="56">
        <f>VLOOKUP($E669,'NI-San_SP'!$C:$AN,MID(AM$1,1,2),FALSE)</f>
        <v>0</v>
      </c>
      <c r="AN669" s="30" t="str">
        <f t="shared" si="10"/>
        <v>70702000000000</v>
      </c>
    </row>
    <row r="670" spans="1:40" x14ac:dyDescent="0.25">
      <c r="C670" s="40"/>
      <c r="D670" s="91" t="s">
        <v>2555</v>
      </c>
      <c r="E670" s="91" t="s">
        <v>2556</v>
      </c>
      <c r="F670" s="58" t="s">
        <v>110</v>
      </c>
      <c r="G670" s="52"/>
      <c r="H670" s="52"/>
      <c r="I670" s="52"/>
      <c r="J670" s="52" t="s">
        <v>2557</v>
      </c>
      <c r="K670" s="59" t="s">
        <v>79</v>
      </c>
      <c r="L670" s="52"/>
      <c r="M670" s="52"/>
      <c r="N670" s="52"/>
      <c r="O670" s="52"/>
      <c r="P670" s="76" t="s">
        <v>2558</v>
      </c>
      <c r="Q670" s="55">
        <f>VLOOKUP(E670,'NI-San_SP'!$C:$AN,12,FALSE)</f>
        <v>22592054</v>
      </c>
      <c r="R670" s="55">
        <f>VLOOKUP(E670,'NI-San_SP'!$C:$AN,13,FALSE)</f>
        <v>20683115</v>
      </c>
      <c r="S670" s="55">
        <f>VLOOKUP(E670,'NI-San_SP'!$C:$AN,30,FALSE)</f>
        <v>159785</v>
      </c>
      <c r="T670" s="94">
        <f>VLOOKUP(E670,'NI-San_SP'!$C:$AN,31,FALSE)+VLOOKUP(E670,'NI-San_SP'!$C:$AN,32,FALSE)</f>
        <v>38146472</v>
      </c>
      <c r="U670" s="55">
        <f>VLOOKUP($E670,'NI-San_SP'!$C:$AN,MID(U$1,1,2),FALSE)</f>
        <v>0</v>
      </c>
      <c r="V670" s="55">
        <f>VLOOKUP($E670,'NI-San_SP'!$C:$AN,MID(V$1,1,2),FALSE)</f>
        <v>22592054</v>
      </c>
      <c r="W670" s="55">
        <f>VLOOKUP($E670,'NI-San_SP'!$C:$AN,MID(W$1,1,2),FALSE)</f>
        <v>0</v>
      </c>
      <c r="X670" s="55">
        <f>VLOOKUP($E670,'NI-San_SP'!$C:$AN,MID(X$1,1,2),FALSE)</f>
        <v>4755272</v>
      </c>
      <c r="Y670" s="55">
        <f>VLOOKUP($E670,'NI-San_SP'!$C:$AN,MID(Y$1,1,2),FALSE)</f>
        <v>0</v>
      </c>
      <c r="Z670" s="55">
        <f>VLOOKUP($E670,'NI-San_SP'!$C:$AN,MID(Z$1,1,2),FALSE)</f>
        <v>79828026</v>
      </c>
      <c r="AA670" s="55">
        <f>VLOOKUP($E670,'NI-San_SP'!$C:$AN,MID(AA$1,1,2),FALSE)</f>
        <v>0</v>
      </c>
      <c r="AB670" s="55">
        <f>VLOOKUP($E670,'NI-San_SP'!$C:$AN,MID(AB$1,1,2),FALSE)</f>
        <v>19444903</v>
      </c>
      <c r="AC670" s="55">
        <f>VLOOKUP($E670,'NI-San_SP'!$C:$AN,MID(AC$1,1,2),FALSE)</f>
        <v>62292062</v>
      </c>
      <c r="AD670" s="55">
        <f>VLOOKUP($E670,'NI-San_SP'!$C:$AN,MID(AD$1,1,2),FALSE)</f>
        <v>20683115</v>
      </c>
      <c r="AE670" s="55">
        <f>VLOOKUP($E670,'NI-San_SP'!$C:$AN,MID(AE$1,1,2),FALSE)</f>
        <v>2248537</v>
      </c>
      <c r="AF670" s="55">
        <f>VLOOKUP($E670,'NI-San_SP'!$C:$AN,MID(AF$1,1,2),FALSE)</f>
        <v>5336736</v>
      </c>
      <c r="AG670" s="55">
        <f>VLOOKUP($E670,'NI-San_SP'!$C:$AN,MID(AG$1,1,2),FALSE)</f>
        <v>3021685</v>
      </c>
      <c r="AH670" s="55">
        <f>VLOOKUP($E670,'NI-San_SP'!$C:$AN,MID(AH$1,1,2),FALSE)</f>
        <v>0</v>
      </c>
      <c r="AI670" s="55">
        <f>VLOOKUP($E670,'NI-San_SP'!$C:$AN,MID(AI$1,1,2),FALSE)</f>
        <v>38288</v>
      </c>
      <c r="AJ670" s="55">
        <f>VLOOKUP($E670,'NI-San_SP'!$C:$AN,MID(AJ$1,1,2),FALSE)</f>
        <v>159785</v>
      </c>
      <c r="AK670" s="55">
        <f>VLOOKUP($E670,'NI-San_SP'!$C:$AN,MID(AK$1,1,2),FALSE)</f>
        <v>17463357</v>
      </c>
      <c r="AL670" s="55">
        <f>VLOOKUP($E670,'NI-San_SP'!$C:$AN,MID(AL$1,1,2),FALSE)</f>
        <v>20683115</v>
      </c>
      <c r="AM670" s="56">
        <f>VLOOKUP($E670,'NI-San_SP'!$C:$AN,MID(AM$1,1,2),FALSE)</f>
        <v>0</v>
      </c>
      <c r="AN670" s="30" t="str">
        <f t="shared" si="10"/>
        <v>70702010010000</v>
      </c>
    </row>
    <row r="671" spans="1:40" x14ac:dyDescent="0.25">
      <c r="C671" s="40"/>
      <c r="D671" s="91" t="s">
        <v>2559</v>
      </c>
      <c r="E671" s="91" t="s">
        <v>2560</v>
      </c>
      <c r="F671" s="58" t="s">
        <v>110</v>
      </c>
      <c r="G671" s="52"/>
      <c r="H671" s="52"/>
      <c r="I671" s="52"/>
      <c r="J671" s="52" t="s">
        <v>2557</v>
      </c>
      <c r="K671" s="59" t="s">
        <v>79</v>
      </c>
      <c r="L671" s="52"/>
      <c r="M671" s="52"/>
      <c r="N671" s="52"/>
      <c r="O671" s="52"/>
      <c r="P671" s="76" t="s">
        <v>2561</v>
      </c>
      <c r="Q671" s="55">
        <f>VLOOKUP(E671,'NI-San_SP'!$C:$AN,12,FALSE)</f>
        <v>9842761</v>
      </c>
      <c r="R671" s="55">
        <f>VLOOKUP(E671,'NI-San_SP'!$C:$AN,13,FALSE)</f>
        <v>11326921</v>
      </c>
      <c r="S671" s="55">
        <f>VLOOKUP(E671,'NI-San_SP'!$C:$AN,30,FALSE)</f>
        <v>288714</v>
      </c>
      <c r="T671" s="94">
        <f>VLOOKUP(E671,'NI-San_SP'!$C:$AN,31,FALSE)+VLOOKUP(E671,'NI-San_SP'!$C:$AN,32,FALSE)</f>
        <v>21997545</v>
      </c>
      <c r="U671" s="55">
        <f>VLOOKUP($E671,'NI-San_SP'!$C:$AN,MID(U$1,1,2),FALSE)</f>
        <v>0</v>
      </c>
      <c r="V671" s="55">
        <f>VLOOKUP($E671,'NI-San_SP'!$C:$AN,MID(V$1,1,2),FALSE)</f>
        <v>9842761</v>
      </c>
      <c r="W671" s="55">
        <f>VLOOKUP($E671,'NI-San_SP'!$C:$AN,MID(W$1,1,2),FALSE)</f>
        <v>0</v>
      </c>
      <c r="X671" s="55">
        <f>VLOOKUP($E671,'NI-San_SP'!$C:$AN,MID(X$1,1,2),FALSE)</f>
        <v>0</v>
      </c>
      <c r="Y671" s="55">
        <f>VLOOKUP($E671,'NI-San_SP'!$C:$AN,MID(Y$1,1,2),FALSE)</f>
        <v>0</v>
      </c>
      <c r="Z671" s="55">
        <f>VLOOKUP($E671,'NI-San_SP'!$C:$AN,MID(Z$1,1,2),FALSE)</f>
        <v>34062942</v>
      </c>
      <c r="AA671" s="55">
        <f>VLOOKUP($E671,'NI-San_SP'!$C:$AN,MID(AA$1,1,2),FALSE)</f>
        <v>0</v>
      </c>
      <c r="AB671" s="55">
        <f>VLOOKUP($E671,'NI-San_SP'!$C:$AN,MID(AB$1,1,2),FALSE)</f>
        <v>9159963</v>
      </c>
      <c r="AC671" s="55">
        <f>VLOOKUP($E671,'NI-San_SP'!$C:$AN,MID(AC$1,1,2),FALSE)</f>
        <v>23418819</v>
      </c>
      <c r="AD671" s="55">
        <f>VLOOKUP($E671,'NI-San_SP'!$C:$AN,MID(AD$1,1,2),FALSE)</f>
        <v>11326921</v>
      </c>
      <c r="AE671" s="55">
        <f>VLOOKUP($E671,'NI-San_SP'!$C:$AN,MID(AE$1,1,2),FALSE)</f>
        <v>4660233</v>
      </c>
      <c r="AF671" s="55">
        <f>VLOOKUP($E671,'NI-San_SP'!$C:$AN,MID(AF$1,1,2),FALSE)</f>
        <v>0</v>
      </c>
      <c r="AG671" s="55">
        <f>VLOOKUP($E671,'NI-San_SP'!$C:$AN,MID(AG$1,1,2),FALSE)</f>
        <v>207116</v>
      </c>
      <c r="AH671" s="55">
        <f>VLOOKUP($E671,'NI-San_SP'!$C:$AN,MID(AH$1,1,2),FALSE)</f>
        <v>82314</v>
      </c>
      <c r="AI671" s="55">
        <f>VLOOKUP($E671,'NI-San_SP'!$C:$AN,MID(AI$1,1,2),FALSE)</f>
        <v>78153</v>
      </c>
      <c r="AJ671" s="55">
        <f>VLOOKUP($E671,'NI-San_SP'!$C:$AN,MID(AJ$1,1,2),FALSE)</f>
        <v>288714</v>
      </c>
      <c r="AK671" s="55">
        <f>VLOOKUP($E671,'NI-San_SP'!$C:$AN,MID(AK$1,1,2),FALSE)</f>
        <v>10670624</v>
      </c>
      <c r="AL671" s="55">
        <f>VLOOKUP($E671,'NI-San_SP'!$C:$AN,MID(AL$1,1,2),FALSE)</f>
        <v>11326921</v>
      </c>
      <c r="AM671" s="56">
        <f>VLOOKUP($E671,'NI-San_SP'!$C:$AN,MID(AM$1,1,2),FALSE)</f>
        <v>0</v>
      </c>
      <c r="AN671" s="30" t="str">
        <f t="shared" si="10"/>
        <v>70702010020000</v>
      </c>
    </row>
    <row r="672" spans="1:40" x14ac:dyDescent="0.25">
      <c r="A672" s="30" t="s">
        <v>1394</v>
      </c>
      <c r="C672" s="40"/>
      <c r="D672" s="98" t="s">
        <v>2562</v>
      </c>
      <c r="E672" s="98" t="s">
        <v>2563</v>
      </c>
      <c r="F672" s="58" t="s">
        <v>110</v>
      </c>
      <c r="H672" s="52"/>
      <c r="I672" s="52"/>
      <c r="J672" s="52" t="s">
        <v>2564</v>
      </c>
      <c r="K672" s="59" t="s">
        <v>79</v>
      </c>
      <c r="L672" s="52"/>
      <c r="M672" s="52"/>
      <c r="N672" s="52"/>
      <c r="O672" s="52"/>
      <c r="P672" s="95" t="s">
        <v>2565</v>
      </c>
      <c r="Q672" s="55">
        <f>VLOOKUP(E672,'NI-San_SP'!$C:$AN,12,FALSE)</f>
        <v>0</v>
      </c>
      <c r="R672" s="55">
        <f>VLOOKUP(E672,'NI-San_SP'!$C:$AN,13,FALSE)</f>
        <v>-555778</v>
      </c>
      <c r="S672" s="55">
        <f>VLOOKUP(E672,'NI-San_SP'!$C:$AN,30,FALSE)</f>
        <v>0</v>
      </c>
      <c r="T672" s="94">
        <f>VLOOKUP(E672,'NI-San_SP'!$C:$AN,31,FALSE)+VLOOKUP(E672,'NI-San_SP'!$C:$AN,32,FALSE)</f>
        <v>-1111556</v>
      </c>
      <c r="U672" s="55">
        <f>VLOOKUP($E672,'NI-San_SP'!$C:$AN,MID(U$1,1,2),FALSE)</f>
        <v>0</v>
      </c>
      <c r="V672" s="55">
        <f>VLOOKUP($E672,'NI-San_SP'!$C:$AN,MID(V$1,1,2),FALSE)</f>
        <v>0</v>
      </c>
      <c r="W672" s="55">
        <f>VLOOKUP($E672,'NI-San_SP'!$C:$AN,MID(W$1,1,2),FALSE)</f>
        <v>0</v>
      </c>
      <c r="X672" s="55">
        <f>VLOOKUP($E672,'NI-San_SP'!$C:$AN,MID(X$1,1,2),FALSE)</f>
        <v>0</v>
      </c>
      <c r="Y672" s="55">
        <f>VLOOKUP($E672,'NI-San_SP'!$C:$AN,MID(Y$1,1,2),FALSE)</f>
        <v>0</v>
      </c>
      <c r="Z672" s="55">
        <f>VLOOKUP($E672,'NI-San_SP'!$C:$AN,MID(Z$1,1,2),FALSE)</f>
        <v>0</v>
      </c>
      <c r="AA672" s="55">
        <f>VLOOKUP($E672,'NI-San_SP'!$C:$AN,MID(AA$1,1,2),FALSE)</f>
        <v>0</v>
      </c>
      <c r="AB672" s="55">
        <f>VLOOKUP($E672,'NI-San_SP'!$C:$AN,MID(AB$1,1,2),FALSE)</f>
        <v>14382</v>
      </c>
      <c r="AC672" s="55">
        <f>VLOOKUP($E672,'NI-San_SP'!$C:$AN,MID(AC$1,1,2),FALSE)</f>
        <v>541396</v>
      </c>
      <c r="AD672" s="55">
        <f>VLOOKUP($E672,'NI-San_SP'!$C:$AN,MID(AD$1,1,2),FALSE)</f>
        <v>-555778</v>
      </c>
      <c r="AE672" s="55">
        <f>VLOOKUP($E672,'NI-San_SP'!$C:$AN,MID(AE$1,1,2),FALSE)</f>
        <v>0</v>
      </c>
      <c r="AF672" s="55">
        <f>VLOOKUP($E672,'NI-San_SP'!$C:$AN,MID(AF$1,1,2),FALSE)</f>
        <v>0</v>
      </c>
      <c r="AG672" s="55">
        <f>VLOOKUP($E672,'NI-San_SP'!$C:$AN,MID(AG$1,1,2),FALSE)</f>
        <v>0</v>
      </c>
      <c r="AH672" s="55">
        <f>VLOOKUP($E672,'NI-San_SP'!$C:$AN,MID(AH$1,1,2),FALSE)</f>
        <v>0</v>
      </c>
      <c r="AI672" s="55">
        <f>VLOOKUP($E672,'NI-San_SP'!$C:$AN,MID(AI$1,1,2),FALSE)</f>
        <v>0</v>
      </c>
      <c r="AJ672" s="55">
        <f>VLOOKUP($E672,'NI-San_SP'!$C:$AN,MID(AJ$1,1,2),FALSE)</f>
        <v>0</v>
      </c>
      <c r="AK672" s="55">
        <f>VLOOKUP($E672,'NI-San_SP'!$C:$AN,MID(AK$1,1,2),FALSE)</f>
        <v>-555778</v>
      </c>
      <c r="AL672" s="55">
        <f>VLOOKUP($E672,'NI-San_SP'!$C:$AN,MID(AL$1,1,2),FALSE)</f>
        <v>-555778</v>
      </c>
      <c r="AM672" s="56">
        <f>VLOOKUP($E672,'NI-San_SP'!$C:$AN,MID(AM$1,1,2),FALSE)</f>
        <v>0</v>
      </c>
      <c r="AN672" s="30" t="str">
        <f t="shared" si="10"/>
        <v>70702020000000</v>
      </c>
    </row>
    <row r="673" spans="3:40" x14ac:dyDescent="0.25">
      <c r="C673" s="40"/>
      <c r="D673" s="57" t="s">
        <v>2566</v>
      </c>
      <c r="E673" s="57" t="s">
        <v>2567</v>
      </c>
      <c r="F673" s="58" t="s">
        <v>110</v>
      </c>
      <c r="G673" s="52"/>
      <c r="H673" s="52"/>
      <c r="I673" s="52" t="s">
        <v>2568</v>
      </c>
      <c r="J673" s="52" t="s">
        <v>2568</v>
      </c>
      <c r="K673" s="59" t="s">
        <v>79</v>
      </c>
      <c r="L673" s="81" t="s">
        <v>2569</v>
      </c>
      <c r="M673" s="52"/>
      <c r="N673" s="52"/>
      <c r="O673" s="61" t="s">
        <v>2570</v>
      </c>
      <c r="P673" s="76" t="s">
        <v>2571</v>
      </c>
      <c r="Q673" s="55">
        <f>VLOOKUP(E673,'NI-San_SP'!$C:$AN,12,FALSE)</f>
        <v>0</v>
      </c>
      <c r="R673" s="55">
        <f>VLOOKUP(E673,'NI-San_SP'!$C:$AN,13,FALSE)</f>
        <v>2058</v>
      </c>
      <c r="S673" s="55">
        <f>VLOOKUP(E673,'NI-San_SP'!$C:$AN,30,FALSE)</f>
        <v>0</v>
      </c>
      <c r="T673" s="55">
        <f>VLOOKUP(E673,'NI-San_SP'!$C:$AN,31,FALSE)+VLOOKUP(E673,'NI-San_SP'!$C:$AN,32,FALSE)</f>
        <v>0</v>
      </c>
      <c r="U673" s="55">
        <f>VLOOKUP($E673,'NI-San_SP'!$C:$AN,MID(U$1,1,2),FALSE)</f>
        <v>0</v>
      </c>
      <c r="V673" s="55">
        <f>VLOOKUP($E673,'NI-San_SP'!$C:$AN,MID(V$1,1,2),FALSE)</f>
        <v>0</v>
      </c>
      <c r="W673" s="55">
        <f>VLOOKUP($E673,'NI-San_SP'!$C:$AN,MID(W$1,1,2),FALSE)</f>
        <v>0</v>
      </c>
      <c r="X673" s="55">
        <f>VLOOKUP($E673,'NI-San_SP'!$C:$AN,MID(X$1,1,2),FALSE)</f>
        <v>0</v>
      </c>
      <c r="Y673" s="55">
        <f>VLOOKUP($E673,'NI-San_SP'!$C:$AN,MID(Y$1,1,2),FALSE)</f>
        <v>0</v>
      </c>
      <c r="Z673" s="55">
        <f>VLOOKUP($E673,'NI-San_SP'!$C:$AN,MID(Z$1,1,2),FALSE)</f>
        <v>18808</v>
      </c>
      <c r="AA673" s="55">
        <f>VLOOKUP($E673,'NI-San_SP'!$C:$AN,MID(AA$1,1,2),FALSE)</f>
        <v>0</v>
      </c>
      <c r="AB673" s="55">
        <f>VLOOKUP($E673,'NI-San_SP'!$C:$AN,MID(AB$1,1,2),FALSE)</f>
        <v>0</v>
      </c>
      <c r="AC673" s="55">
        <f>VLOOKUP($E673,'NI-San_SP'!$C:$AN,MID(AC$1,1,2),FALSE)</f>
        <v>16750</v>
      </c>
      <c r="AD673" s="55">
        <f>VLOOKUP($E673,'NI-San_SP'!$C:$AN,MID(AD$1,1,2),FALSE)</f>
        <v>2058</v>
      </c>
      <c r="AE673" s="55">
        <f>VLOOKUP($E673,'NI-San_SP'!$C:$AN,MID(AE$1,1,2),FALSE)</f>
        <v>0</v>
      </c>
      <c r="AF673" s="55">
        <f>VLOOKUP($E673,'NI-San_SP'!$C:$AN,MID(AF$1,1,2),FALSE)</f>
        <v>0</v>
      </c>
      <c r="AG673" s="55">
        <f>VLOOKUP($E673,'NI-San_SP'!$C:$AN,MID(AG$1,1,2),FALSE)</f>
        <v>0</v>
      </c>
      <c r="AH673" s="55">
        <f>VLOOKUP($E673,'NI-San_SP'!$C:$AN,MID(AH$1,1,2),FALSE)</f>
        <v>0</v>
      </c>
      <c r="AI673" s="55">
        <f>VLOOKUP($E673,'NI-San_SP'!$C:$AN,MID(AI$1,1,2),FALSE)</f>
        <v>0</v>
      </c>
      <c r="AJ673" s="55">
        <f>VLOOKUP($E673,'NI-San_SP'!$C:$AN,MID(AJ$1,1,2),FALSE)</f>
        <v>0</v>
      </c>
      <c r="AK673" s="55">
        <f>VLOOKUP($E673,'NI-San_SP'!$C:$AN,MID(AK$1,1,2),FALSE)</f>
        <v>0</v>
      </c>
      <c r="AL673" s="55">
        <f>VLOOKUP($E673,'NI-San_SP'!$C:$AN,MID(AL$1,1,2),FALSE)</f>
        <v>0</v>
      </c>
      <c r="AM673" s="56">
        <f>VLOOKUP($E673,'NI-San_SP'!$C:$AN,MID(AM$1,1,2),FALSE)</f>
        <v>0</v>
      </c>
      <c r="AN673" s="30" t="str">
        <f t="shared" si="10"/>
        <v>70800000000000</v>
      </c>
    </row>
    <row r="674" spans="3:40" x14ac:dyDescent="0.25">
      <c r="C674" s="40"/>
      <c r="D674" s="57" t="s">
        <v>2572</v>
      </c>
      <c r="E674" s="57" t="s">
        <v>2573</v>
      </c>
      <c r="F674" s="58" t="s">
        <v>110</v>
      </c>
      <c r="G674" s="52"/>
      <c r="H674" s="52"/>
      <c r="I674" s="52" t="s">
        <v>2574</v>
      </c>
      <c r="J674" s="52" t="s">
        <v>2574</v>
      </c>
      <c r="K674" s="59" t="s">
        <v>79</v>
      </c>
      <c r="L674" s="81" t="s">
        <v>2575</v>
      </c>
      <c r="M674" s="52" t="s">
        <v>2269</v>
      </c>
      <c r="N674" s="52"/>
      <c r="O674" s="61" t="s">
        <v>2576</v>
      </c>
      <c r="P674" s="76" t="s">
        <v>2577</v>
      </c>
      <c r="Q674" s="55">
        <f>VLOOKUP(E674,'NI-San_SP'!$C:$AN,12,FALSE)</f>
        <v>5353825</v>
      </c>
      <c r="R674" s="55">
        <f>VLOOKUP(E674,'NI-San_SP'!$C:$AN,13,FALSE)</f>
        <v>5141148</v>
      </c>
      <c r="S674" s="55">
        <f>VLOOKUP(E674,'NI-San_SP'!$C:$AN,30,FALSE)</f>
        <v>0</v>
      </c>
      <c r="T674" s="55">
        <f>VLOOKUP(E674,'NI-San_SP'!$C:$AN,31,FALSE)+VLOOKUP(E674,'NI-San_SP'!$C:$AN,32,FALSE)</f>
        <v>5141148</v>
      </c>
      <c r="U674" s="55">
        <f>VLOOKUP($E674,'NI-San_SP'!$C:$AN,MID(U$1,1,2),FALSE)</f>
        <v>0</v>
      </c>
      <c r="V674" s="55">
        <f>VLOOKUP($E674,'NI-San_SP'!$C:$AN,MID(V$1,1,2),FALSE)</f>
        <v>5353825</v>
      </c>
      <c r="W674" s="55">
        <f>VLOOKUP($E674,'NI-San_SP'!$C:$AN,MID(W$1,1,2),FALSE)</f>
        <v>0</v>
      </c>
      <c r="X674" s="55">
        <f>VLOOKUP($E674,'NI-San_SP'!$C:$AN,MID(X$1,1,2),FALSE)</f>
        <v>0</v>
      </c>
      <c r="Y674" s="55">
        <f>VLOOKUP($E674,'NI-San_SP'!$C:$AN,MID(Y$1,1,2),FALSE)</f>
        <v>0</v>
      </c>
      <c r="Z674" s="55">
        <f>VLOOKUP($E674,'NI-San_SP'!$C:$AN,MID(Z$1,1,2),FALSE)</f>
        <v>76791085</v>
      </c>
      <c r="AA674" s="55">
        <f>VLOOKUP($E674,'NI-San_SP'!$C:$AN,MID(AA$1,1,2),FALSE)</f>
        <v>0</v>
      </c>
      <c r="AB674" s="55">
        <f>VLOOKUP($E674,'NI-San_SP'!$C:$AN,MID(AB$1,1,2),FALSE)</f>
        <v>5186990</v>
      </c>
      <c r="AC674" s="55">
        <f>VLOOKUP($E674,'NI-San_SP'!$C:$AN,MID(AC$1,1,2),FALSE)</f>
        <v>71816772</v>
      </c>
      <c r="AD674" s="55">
        <f>VLOOKUP($E674,'NI-San_SP'!$C:$AN,MID(AD$1,1,2),FALSE)</f>
        <v>5141148</v>
      </c>
      <c r="AE674" s="55">
        <f>VLOOKUP($E674,'NI-San_SP'!$C:$AN,MID(AE$1,1,2),FALSE)</f>
        <v>0</v>
      </c>
      <c r="AF674" s="55">
        <f>VLOOKUP($E674,'NI-San_SP'!$C:$AN,MID(AF$1,1,2),FALSE)</f>
        <v>0</v>
      </c>
      <c r="AG674" s="55">
        <f>VLOOKUP($E674,'NI-San_SP'!$C:$AN,MID(AG$1,1,2),FALSE)</f>
        <v>0</v>
      </c>
      <c r="AH674" s="55">
        <f>VLOOKUP($E674,'NI-San_SP'!$C:$AN,MID(AH$1,1,2),FALSE)</f>
        <v>0</v>
      </c>
      <c r="AI674" s="55">
        <f>VLOOKUP($E674,'NI-San_SP'!$C:$AN,MID(AI$1,1,2),FALSE)</f>
        <v>0</v>
      </c>
      <c r="AJ674" s="55">
        <f>VLOOKUP($E674,'NI-San_SP'!$C:$AN,MID(AJ$1,1,2),FALSE)</f>
        <v>0</v>
      </c>
      <c r="AK674" s="55">
        <f>VLOOKUP($E674,'NI-San_SP'!$C:$AN,MID(AK$1,1,2),FALSE)</f>
        <v>5141148</v>
      </c>
      <c r="AL674" s="55">
        <f>VLOOKUP($E674,'NI-San_SP'!$C:$AN,MID(AL$1,1,2),FALSE)</f>
        <v>0</v>
      </c>
      <c r="AM674" s="56">
        <f>VLOOKUP($E674,'NI-San_SP'!$C:$AN,MID(AM$1,1,2),FALSE)</f>
        <v>5141148</v>
      </c>
      <c r="AN674" s="30" t="str">
        <f t="shared" si="10"/>
        <v>70900000000000</v>
      </c>
    </row>
    <row r="675" spans="3:40" x14ac:dyDescent="0.25">
      <c r="C675" s="40"/>
      <c r="D675" s="57" t="s">
        <v>2578</v>
      </c>
      <c r="E675" s="57" t="s">
        <v>2579</v>
      </c>
      <c r="F675" s="58" t="s">
        <v>110</v>
      </c>
      <c r="G675" s="52"/>
      <c r="H675" s="52"/>
      <c r="I675" s="52" t="s">
        <v>2580</v>
      </c>
      <c r="J675" s="52" t="s">
        <v>2580</v>
      </c>
      <c r="K675" s="59" t="s">
        <v>79</v>
      </c>
      <c r="L675" s="81" t="s">
        <v>2581</v>
      </c>
      <c r="M675" s="52" t="s">
        <v>2269</v>
      </c>
      <c r="N675" s="52"/>
      <c r="O675" s="61" t="s">
        <v>2582</v>
      </c>
      <c r="P675" s="76" t="s">
        <v>2583</v>
      </c>
      <c r="Q675" s="55">
        <f>VLOOKUP(E675,'NI-San_SP'!$C:$AN,12,FALSE)</f>
        <v>8411731</v>
      </c>
      <c r="R675" s="55">
        <f>VLOOKUP(E675,'NI-San_SP'!$C:$AN,13,FALSE)</f>
        <v>8853515</v>
      </c>
      <c r="S675" s="55">
        <f>VLOOKUP(E675,'NI-San_SP'!$C:$AN,30,FALSE)</f>
        <v>20837</v>
      </c>
      <c r="T675" s="55">
        <f>VLOOKUP(E675,'NI-San_SP'!$C:$AN,31,FALSE)+VLOOKUP(E675,'NI-San_SP'!$C:$AN,32,FALSE)</f>
        <v>17686193</v>
      </c>
      <c r="U675" s="55">
        <f>VLOOKUP($E675,'NI-San_SP'!$C:$AN,MID(U$1,1,2),FALSE)</f>
        <v>0</v>
      </c>
      <c r="V675" s="55">
        <f>VLOOKUP($E675,'NI-San_SP'!$C:$AN,MID(V$1,1,2),FALSE)</f>
        <v>8411731</v>
      </c>
      <c r="W675" s="55">
        <f>VLOOKUP($E675,'NI-San_SP'!$C:$AN,MID(W$1,1,2),FALSE)</f>
        <v>0</v>
      </c>
      <c r="X675" s="55">
        <f>VLOOKUP($E675,'NI-San_SP'!$C:$AN,MID(X$1,1,2),FALSE)</f>
        <v>0</v>
      </c>
      <c r="Y675" s="55">
        <f>VLOOKUP($E675,'NI-San_SP'!$C:$AN,MID(Y$1,1,2),FALSE)</f>
        <v>0</v>
      </c>
      <c r="Z675" s="55">
        <f>VLOOKUP($E675,'NI-San_SP'!$C:$AN,MID(Z$1,1,2),FALSE)</f>
        <v>57565947</v>
      </c>
      <c r="AA675" s="55">
        <f>VLOOKUP($E675,'NI-San_SP'!$C:$AN,MID(AA$1,1,2),FALSE)</f>
        <v>0</v>
      </c>
      <c r="AB675" s="55">
        <f>VLOOKUP($E675,'NI-San_SP'!$C:$AN,MID(AB$1,1,2),FALSE)</f>
        <v>8390895</v>
      </c>
      <c r="AC675" s="55">
        <f>VLOOKUP($E675,'NI-San_SP'!$C:$AN,MID(AC$1,1,2),FALSE)</f>
        <v>48733268</v>
      </c>
      <c r="AD675" s="55">
        <f>VLOOKUP($E675,'NI-San_SP'!$C:$AN,MID(AD$1,1,2),FALSE)</f>
        <v>8853515</v>
      </c>
      <c r="AE675" s="55">
        <f>VLOOKUP($E675,'NI-San_SP'!$C:$AN,MID(AE$1,1,2),FALSE)</f>
        <v>0</v>
      </c>
      <c r="AF675" s="55">
        <f>VLOOKUP($E675,'NI-San_SP'!$C:$AN,MID(AF$1,1,2),FALSE)</f>
        <v>0</v>
      </c>
      <c r="AG675" s="55">
        <f>VLOOKUP($E675,'NI-San_SP'!$C:$AN,MID(AG$1,1,2),FALSE)</f>
        <v>0</v>
      </c>
      <c r="AH675" s="55">
        <f>VLOOKUP($E675,'NI-San_SP'!$C:$AN,MID(AH$1,1,2),FALSE)</f>
        <v>0</v>
      </c>
      <c r="AI675" s="55">
        <f>VLOOKUP($E675,'NI-San_SP'!$C:$AN,MID(AI$1,1,2),FALSE)</f>
        <v>0</v>
      </c>
      <c r="AJ675" s="55">
        <f>VLOOKUP($E675,'NI-San_SP'!$C:$AN,MID(AJ$1,1,2),FALSE)</f>
        <v>20837</v>
      </c>
      <c r="AK675" s="55">
        <f>VLOOKUP($E675,'NI-San_SP'!$C:$AN,MID(AK$1,1,2),FALSE)</f>
        <v>8832678</v>
      </c>
      <c r="AL675" s="55">
        <f>VLOOKUP($E675,'NI-San_SP'!$C:$AN,MID(AL$1,1,2),FALSE)</f>
        <v>8853515</v>
      </c>
      <c r="AM675" s="56">
        <f>VLOOKUP($E675,'NI-San_SP'!$C:$AN,MID(AM$1,1,2),FALSE)</f>
        <v>0</v>
      </c>
      <c r="AN675" s="30" t="str">
        <f t="shared" si="10"/>
        <v>71000000000000</v>
      </c>
    </row>
    <row r="676" spans="3:40" x14ac:dyDescent="0.25">
      <c r="C676" s="40"/>
      <c r="D676" s="57" t="s">
        <v>2584</v>
      </c>
      <c r="E676" s="57" t="s">
        <v>2585</v>
      </c>
      <c r="F676" s="58" t="s">
        <v>110</v>
      </c>
      <c r="G676" s="52"/>
      <c r="H676" s="52"/>
      <c r="I676" s="52"/>
      <c r="J676" s="52"/>
      <c r="K676" s="59" t="s">
        <v>111</v>
      </c>
      <c r="L676" s="81" t="s">
        <v>2586</v>
      </c>
      <c r="M676" s="52"/>
      <c r="N676" s="52"/>
      <c r="O676" s="52"/>
      <c r="P676" s="76" t="s">
        <v>2587</v>
      </c>
      <c r="Q676" s="55">
        <f>VLOOKUP(E676,'NI-San_SP'!$C:$AN,12,FALSE)</f>
        <v>12378303</v>
      </c>
      <c r="R676" s="55">
        <f>VLOOKUP(E676,'NI-San_SP'!$C:$AN,13,FALSE)</f>
        <v>13674174</v>
      </c>
      <c r="S676" s="55">
        <f>VLOOKUP(E676,'NI-San_SP'!$C:$AN,30,FALSE)</f>
        <v>322727</v>
      </c>
      <c r="T676" s="55">
        <f>VLOOKUP(E676,'NI-San_SP'!$C:$AN,31,FALSE)+VLOOKUP(E676,'NI-San_SP'!$C:$AN,32,FALSE)</f>
        <v>26697830</v>
      </c>
      <c r="U676" s="55">
        <f>VLOOKUP($E676,'NI-San_SP'!$C:$AN,MID(U$1,1,2),FALSE)</f>
        <v>0</v>
      </c>
      <c r="V676" s="55">
        <f>VLOOKUP($E676,'NI-San_SP'!$C:$AN,MID(V$1,1,2),FALSE)</f>
        <v>12378303</v>
      </c>
      <c r="W676" s="55">
        <f>VLOOKUP($E676,'NI-San_SP'!$C:$AN,MID(W$1,1,2),FALSE)</f>
        <v>0</v>
      </c>
      <c r="X676" s="55">
        <f>VLOOKUP($E676,'NI-San_SP'!$C:$AN,MID(X$1,1,2),FALSE)</f>
        <v>0</v>
      </c>
      <c r="Y676" s="55">
        <f>VLOOKUP($E676,'NI-San_SP'!$C:$AN,MID(Y$1,1,2),FALSE)</f>
        <v>31344</v>
      </c>
      <c r="Z676" s="55">
        <f>VLOOKUP($E676,'NI-San_SP'!$C:$AN,MID(Z$1,1,2),FALSE)</f>
        <v>181784349</v>
      </c>
      <c r="AA676" s="55">
        <f>VLOOKUP($E676,'NI-San_SP'!$C:$AN,MID(AA$1,1,2),FALSE)</f>
        <v>0</v>
      </c>
      <c r="AB676" s="55">
        <f>VLOOKUP($E676,'NI-San_SP'!$C:$AN,MID(AB$1,1,2),FALSE)</f>
        <v>11807715</v>
      </c>
      <c r="AC676" s="55">
        <f>VLOOKUP($E676,'NI-San_SP'!$C:$AN,MID(AC$1,1,2),FALSE)</f>
        <v>168712107</v>
      </c>
      <c r="AD676" s="55">
        <f>VLOOKUP($E676,'NI-San_SP'!$C:$AN,MID(AD$1,1,2),FALSE)</f>
        <v>13674174</v>
      </c>
      <c r="AE676" s="55">
        <f>VLOOKUP($E676,'NI-San_SP'!$C:$AN,MID(AE$1,1,2),FALSE)</f>
        <v>457903</v>
      </c>
      <c r="AF676" s="55">
        <f>VLOOKUP($E676,'NI-San_SP'!$C:$AN,MID(AF$1,1,2),FALSE)</f>
        <v>0</v>
      </c>
      <c r="AG676" s="55">
        <f>VLOOKUP($E676,'NI-San_SP'!$C:$AN,MID(AG$1,1,2),FALSE)</f>
        <v>61997</v>
      </c>
      <c r="AH676" s="55">
        <f>VLOOKUP($E676,'NI-San_SP'!$C:$AN,MID(AH$1,1,2),FALSE)</f>
        <v>39146</v>
      </c>
      <c r="AI676" s="55">
        <f>VLOOKUP($E676,'NI-San_SP'!$C:$AN,MID(AI$1,1,2),FALSE)</f>
        <v>92000</v>
      </c>
      <c r="AJ676" s="55">
        <f>VLOOKUP($E676,'NI-San_SP'!$C:$AN,MID(AJ$1,1,2),FALSE)</f>
        <v>322727</v>
      </c>
      <c r="AK676" s="55">
        <f>VLOOKUP($E676,'NI-San_SP'!$C:$AN,MID(AK$1,1,2),FALSE)</f>
        <v>13158304</v>
      </c>
      <c r="AL676" s="55">
        <f>VLOOKUP($E676,'NI-San_SP'!$C:$AN,MID(AL$1,1,2),FALSE)</f>
        <v>13539526</v>
      </c>
      <c r="AM676" s="56">
        <f>VLOOKUP($E676,'NI-San_SP'!$C:$AN,MID(AM$1,1,2),FALSE)</f>
        <v>0</v>
      </c>
      <c r="AN676" s="30" t="str">
        <f t="shared" si="10"/>
        <v>71100000000000</v>
      </c>
    </row>
    <row r="677" spans="3:40" x14ac:dyDescent="0.25">
      <c r="C677" s="40"/>
      <c r="D677" s="91" t="s">
        <v>2588</v>
      </c>
      <c r="E677" s="91" t="s">
        <v>2589</v>
      </c>
      <c r="F677" s="58" t="s">
        <v>110</v>
      </c>
      <c r="G677" s="52"/>
      <c r="H677" s="52"/>
      <c r="I677" s="52" t="s">
        <v>2590</v>
      </c>
      <c r="J677" s="52" t="s">
        <v>2590</v>
      </c>
      <c r="K677" s="59" t="s">
        <v>79</v>
      </c>
      <c r="L677" s="52"/>
      <c r="M677" s="100" t="s">
        <v>2269</v>
      </c>
      <c r="N677" s="52"/>
      <c r="O677" s="61" t="s">
        <v>2591</v>
      </c>
      <c r="P677" s="76" t="s">
        <v>2592</v>
      </c>
      <c r="Q677" s="55">
        <f>VLOOKUP(E677,'NI-San_SP'!$C:$AN,12,FALSE)</f>
        <v>0</v>
      </c>
      <c r="R677" s="55">
        <f>VLOOKUP(E677,'NI-San_SP'!$C:$AN,13,FALSE)</f>
        <v>0</v>
      </c>
      <c r="S677" s="55">
        <f>VLOOKUP(E677,'NI-San_SP'!$C:$AN,30,FALSE)</f>
        <v>0</v>
      </c>
      <c r="T677" s="94">
        <f>VLOOKUP(E677,'NI-San_SP'!$C:$AN,31,FALSE)+VLOOKUP(E677,'NI-San_SP'!$C:$AN,32,FALSE)</f>
        <v>0</v>
      </c>
      <c r="U677" s="55">
        <f>VLOOKUP($E677,'NI-San_SP'!$C:$AN,MID(U$1,1,2),FALSE)</f>
        <v>0</v>
      </c>
      <c r="V677" s="55">
        <f>VLOOKUP($E677,'NI-San_SP'!$C:$AN,MID(V$1,1,2),FALSE)</f>
        <v>0</v>
      </c>
      <c r="W677" s="55">
        <f>VLOOKUP($E677,'NI-San_SP'!$C:$AN,MID(W$1,1,2),FALSE)</f>
        <v>0</v>
      </c>
      <c r="X677" s="55">
        <f>VLOOKUP($E677,'NI-San_SP'!$C:$AN,MID(X$1,1,2),FALSE)</f>
        <v>0</v>
      </c>
      <c r="Y677" s="55">
        <f>VLOOKUP($E677,'NI-San_SP'!$C:$AN,MID(Y$1,1,2),FALSE)</f>
        <v>0</v>
      </c>
      <c r="Z677" s="55">
        <f>VLOOKUP($E677,'NI-San_SP'!$C:$AN,MID(Z$1,1,2),FALSE)</f>
        <v>0</v>
      </c>
      <c r="AA677" s="55">
        <f>VLOOKUP($E677,'NI-San_SP'!$C:$AN,MID(AA$1,1,2),FALSE)</f>
        <v>0</v>
      </c>
      <c r="AB677" s="55">
        <f>VLOOKUP($E677,'NI-San_SP'!$C:$AN,MID(AB$1,1,2),FALSE)</f>
        <v>0</v>
      </c>
      <c r="AC677" s="55">
        <f>VLOOKUP($E677,'NI-San_SP'!$C:$AN,MID(AC$1,1,2),FALSE)</f>
        <v>0</v>
      </c>
      <c r="AD677" s="55">
        <f>VLOOKUP($E677,'NI-San_SP'!$C:$AN,MID(AD$1,1,2),FALSE)</f>
        <v>0</v>
      </c>
      <c r="AE677" s="55">
        <f>VLOOKUP($E677,'NI-San_SP'!$C:$AN,MID(AE$1,1,2),FALSE)</f>
        <v>0</v>
      </c>
      <c r="AF677" s="55">
        <f>VLOOKUP($E677,'NI-San_SP'!$C:$AN,MID(AF$1,1,2),FALSE)</f>
        <v>0</v>
      </c>
      <c r="AG677" s="55">
        <f>VLOOKUP($E677,'NI-San_SP'!$C:$AN,MID(AG$1,1,2),FALSE)</f>
        <v>0</v>
      </c>
      <c r="AH677" s="55">
        <f>VLOOKUP($E677,'NI-San_SP'!$C:$AN,MID(AH$1,1,2),FALSE)</f>
        <v>0</v>
      </c>
      <c r="AI677" s="55">
        <f>VLOOKUP($E677,'NI-San_SP'!$C:$AN,MID(AI$1,1,2),FALSE)</f>
        <v>0</v>
      </c>
      <c r="AJ677" s="55">
        <f>VLOOKUP($E677,'NI-San_SP'!$C:$AN,MID(AJ$1,1,2),FALSE)</f>
        <v>0</v>
      </c>
      <c r="AK677" s="55">
        <f>VLOOKUP($E677,'NI-San_SP'!$C:$AN,MID(AK$1,1,2),FALSE)</f>
        <v>0</v>
      </c>
      <c r="AL677" s="55">
        <f>VLOOKUP($E677,'NI-San_SP'!$C:$AN,MID(AL$1,1,2),FALSE)</f>
        <v>0</v>
      </c>
      <c r="AM677" s="56">
        <f>VLOOKUP($E677,'NI-San_SP'!$C:$AN,MID(AM$1,1,2),FALSE)</f>
        <v>0</v>
      </c>
      <c r="AN677" s="30" t="str">
        <f t="shared" si="10"/>
        <v>71101000000000</v>
      </c>
    </row>
    <row r="678" spans="3:40" x14ac:dyDescent="0.25">
      <c r="C678" s="40"/>
      <c r="D678" s="91" t="s">
        <v>2593</v>
      </c>
      <c r="E678" s="91" t="s">
        <v>2594</v>
      </c>
      <c r="F678" s="58" t="s">
        <v>110</v>
      </c>
      <c r="G678" s="52"/>
      <c r="H678" s="52"/>
      <c r="I678" s="52" t="s">
        <v>2595</v>
      </c>
      <c r="J678" s="52" t="s">
        <v>2595</v>
      </c>
      <c r="K678" s="59" t="s">
        <v>111</v>
      </c>
      <c r="L678" s="52"/>
      <c r="M678" s="100" t="s">
        <v>2269</v>
      </c>
      <c r="N678" s="52"/>
      <c r="O678" s="61" t="s">
        <v>2596</v>
      </c>
      <c r="P678" s="76" t="s">
        <v>2597</v>
      </c>
      <c r="Q678" s="55">
        <f>VLOOKUP(E678,'NI-San_SP'!$C:$AN,12,FALSE)</f>
        <v>10890396</v>
      </c>
      <c r="R678" s="55">
        <f>VLOOKUP(E678,'NI-San_SP'!$C:$AN,13,FALSE)</f>
        <v>11708546</v>
      </c>
      <c r="S678" s="55">
        <f>VLOOKUP(E678,'NI-San_SP'!$C:$AN,30,FALSE)</f>
        <v>0</v>
      </c>
      <c r="T678" s="94">
        <f>VLOOKUP(E678,'NI-San_SP'!$C:$AN,31,FALSE)+VLOOKUP(E678,'NI-San_SP'!$C:$AN,32,FALSE)</f>
        <v>23417092</v>
      </c>
      <c r="U678" s="55">
        <f>VLOOKUP($E678,'NI-San_SP'!$C:$AN,MID(U$1,1,2),FALSE)</f>
        <v>0</v>
      </c>
      <c r="V678" s="55">
        <f>VLOOKUP($E678,'NI-San_SP'!$C:$AN,MID(V$1,1,2),FALSE)</f>
        <v>10890396</v>
      </c>
      <c r="W678" s="55">
        <f>VLOOKUP($E678,'NI-San_SP'!$C:$AN,MID(W$1,1,2),FALSE)</f>
        <v>0</v>
      </c>
      <c r="X678" s="55">
        <f>VLOOKUP($E678,'NI-San_SP'!$C:$AN,MID(X$1,1,2),FALSE)</f>
        <v>0</v>
      </c>
      <c r="Y678" s="55">
        <f>VLOOKUP($E678,'NI-San_SP'!$C:$AN,MID(Y$1,1,2),FALSE)</f>
        <v>0</v>
      </c>
      <c r="Z678" s="55">
        <f>VLOOKUP($E678,'NI-San_SP'!$C:$AN,MID(Z$1,1,2),FALSE)</f>
        <v>165963981</v>
      </c>
      <c r="AA678" s="55">
        <f>VLOOKUP($E678,'NI-San_SP'!$C:$AN,MID(AA$1,1,2),FALSE)</f>
        <v>0</v>
      </c>
      <c r="AB678" s="55">
        <f>VLOOKUP($E678,'NI-San_SP'!$C:$AN,MID(AB$1,1,2),FALSE)</f>
        <v>10890396</v>
      </c>
      <c r="AC678" s="55">
        <f>VLOOKUP($E678,'NI-San_SP'!$C:$AN,MID(AC$1,1,2),FALSE)</f>
        <v>154255435</v>
      </c>
      <c r="AD678" s="55">
        <f>VLOOKUP($E678,'NI-San_SP'!$C:$AN,MID(AD$1,1,2),FALSE)</f>
        <v>11708546</v>
      </c>
      <c r="AE678" s="55">
        <f>VLOOKUP($E678,'NI-San_SP'!$C:$AN,MID(AE$1,1,2),FALSE)</f>
        <v>0</v>
      </c>
      <c r="AF678" s="55">
        <f>VLOOKUP($E678,'NI-San_SP'!$C:$AN,MID(AF$1,1,2),FALSE)</f>
        <v>0</v>
      </c>
      <c r="AG678" s="55">
        <f>VLOOKUP($E678,'NI-San_SP'!$C:$AN,MID(AG$1,1,2),FALSE)</f>
        <v>0</v>
      </c>
      <c r="AH678" s="55">
        <f>VLOOKUP($E678,'NI-San_SP'!$C:$AN,MID(AH$1,1,2),FALSE)</f>
        <v>0</v>
      </c>
      <c r="AI678" s="55">
        <f>VLOOKUP($E678,'NI-San_SP'!$C:$AN,MID(AI$1,1,2),FALSE)</f>
        <v>0</v>
      </c>
      <c r="AJ678" s="55">
        <f>VLOOKUP($E678,'NI-San_SP'!$C:$AN,MID(AJ$1,1,2),FALSE)</f>
        <v>0</v>
      </c>
      <c r="AK678" s="55">
        <f>VLOOKUP($E678,'NI-San_SP'!$C:$AN,MID(AK$1,1,2),FALSE)</f>
        <v>11708546</v>
      </c>
      <c r="AL678" s="55">
        <f>VLOOKUP($E678,'NI-San_SP'!$C:$AN,MID(AL$1,1,2),FALSE)</f>
        <v>11708546</v>
      </c>
      <c r="AM678" s="56">
        <f>VLOOKUP($E678,'NI-San_SP'!$C:$AN,MID(AM$1,1,2),FALSE)</f>
        <v>0</v>
      </c>
      <c r="AN678" s="30" t="str">
        <f t="shared" si="10"/>
        <v>71102000000000</v>
      </c>
    </row>
    <row r="679" spans="3:40" x14ac:dyDescent="0.25">
      <c r="C679" s="40"/>
      <c r="D679" s="91" t="s">
        <v>2598</v>
      </c>
      <c r="E679" s="91" t="s">
        <v>2599</v>
      </c>
      <c r="F679" s="58" t="s">
        <v>110</v>
      </c>
      <c r="G679" s="52"/>
      <c r="H679" s="52"/>
      <c r="I679" s="52"/>
      <c r="J679" s="52"/>
      <c r="K679" s="59" t="s">
        <v>79</v>
      </c>
      <c r="L679" s="52"/>
      <c r="M679" s="52"/>
      <c r="N679" s="52"/>
      <c r="O679" s="52"/>
      <c r="P679" s="76" t="s">
        <v>2600</v>
      </c>
      <c r="Q679" s="55">
        <f>VLOOKUP(E679,'NI-San_SP'!$C:$AN,12,FALSE)</f>
        <v>0</v>
      </c>
      <c r="R679" s="55">
        <f>VLOOKUP(E679,'NI-San_SP'!$C:$AN,13,FALSE)</f>
        <v>0</v>
      </c>
      <c r="S679" s="55">
        <f>VLOOKUP(E679,'NI-San_SP'!$C:$AN,30,FALSE)</f>
        <v>0</v>
      </c>
      <c r="T679" s="94">
        <f>VLOOKUP(E679,'NI-San_SP'!$C:$AN,31,FALSE)+VLOOKUP(E679,'NI-San_SP'!$C:$AN,32,FALSE)</f>
        <v>0</v>
      </c>
      <c r="U679" s="55">
        <f>VLOOKUP($E679,'NI-San_SP'!$C:$AN,MID(U$1,1,2),FALSE)</f>
        <v>0</v>
      </c>
      <c r="V679" s="55">
        <f>VLOOKUP($E679,'NI-San_SP'!$C:$AN,MID(V$1,1,2),FALSE)</f>
        <v>0</v>
      </c>
      <c r="W679" s="55">
        <f>VLOOKUP($E679,'NI-San_SP'!$C:$AN,MID(W$1,1,2),FALSE)</f>
        <v>0</v>
      </c>
      <c r="X679" s="55">
        <f>VLOOKUP($E679,'NI-San_SP'!$C:$AN,MID(X$1,1,2),FALSE)</f>
        <v>0</v>
      </c>
      <c r="Y679" s="55">
        <f>VLOOKUP($E679,'NI-San_SP'!$C:$AN,MID(Y$1,1,2),FALSE)</f>
        <v>0</v>
      </c>
      <c r="Z679" s="55">
        <f>VLOOKUP($E679,'NI-San_SP'!$C:$AN,MID(Z$1,1,2),FALSE)</f>
        <v>0</v>
      </c>
      <c r="AA679" s="55">
        <f>VLOOKUP($E679,'NI-San_SP'!$C:$AN,MID(AA$1,1,2),FALSE)</f>
        <v>0</v>
      </c>
      <c r="AB679" s="55">
        <f>VLOOKUP($E679,'NI-San_SP'!$C:$AN,MID(AB$1,1,2),FALSE)</f>
        <v>0</v>
      </c>
      <c r="AC679" s="55">
        <f>VLOOKUP($E679,'NI-San_SP'!$C:$AN,MID(AC$1,1,2),FALSE)</f>
        <v>0</v>
      </c>
      <c r="AD679" s="55">
        <f>VLOOKUP($E679,'NI-San_SP'!$C:$AN,MID(AD$1,1,2),FALSE)</f>
        <v>0</v>
      </c>
      <c r="AE679" s="55">
        <f>VLOOKUP($E679,'NI-San_SP'!$C:$AN,MID(AE$1,1,2),FALSE)</f>
        <v>0</v>
      </c>
      <c r="AF679" s="55">
        <f>VLOOKUP($E679,'NI-San_SP'!$C:$AN,MID(AF$1,1,2),FALSE)</f>
        <v>0</v>
      </c>
      <c r="AG679" s="55">
        <f>VLOOKUP($E679,'NI-San_SP'!$C:$AN,MID(AG$1,1,2),FALSE)</f>
        <v>0</v>
      </c>
      <c r="AH679" s="55">
        <f>VLOOKUP($E679,'NI-San_SP'!$C:$AN,MID(AH$1,1,2),FALSE)</f>
        <v>0</v>
      </c>
      <c r="AI679" s="55">
        <f>VLOOKUP($E679,'NI-San_SP'!$C:$AN,MID(AI$1,1,2),FALSE)</f>
        <v>0</v>
      </c>
      <c r="AJ679" s="55">
        <f>VLOOKUP($E679,'NI-San_SP'!$C:$AN,MID(AJ$1,1,2),FALSE)</f>
        <v>0</v>
      </c>
      <c r="AK679" s="55">
        <f>VLOOKUP($E679,'NI-San_SP'!$C:$AN,MID(AK$1,1,2),FALSE)</f>
        <v>0</v>
      </c>
      <c r="AL679" s="55">
        <f>VLOOKUP($E679,'NI-San_SP'!$C:$AN,MID(AL$1,1,2),FALSE)</f>
        <v>0</v>
      </c>
      <c r="AM679" s="56">
        <f>VLOOKUP($E679,'NI-San_SP'!$C:$AN,MID(AM$1,1,2),FALSE)</f>
        <v>0</v>
      </c>
      <c r="AN679" s="30" t="str">
        <f t="shared" si="10"/>
        <v>71102010000000</v>
      </c>
    </row>
    <row r="680" spans="3:40" x14ac:dyDescent="0.25">
      <c r="C680" s="40"/>
      <c r="D680" s="91" t="s">
        <v>2601</v>
      </c>
      <c r="E680" s="91" t="s">
        <v>2602</v>
      </c>
      <c r="F680" s="58" t="s">
        <v>110</v>
      </c>
      <c r="G680" s="52"/>
      <c r="H680" s="52"/>
      <c r="I680" s="52"/>
      <c r="J680" s="52"/>
      <c r="K680" s="59" t="s">
        <v>79</v>
      </c>
      <c r="L680" s="52"/>
      <c r="M680" s="52"/>
      <c r="N680" s="52"/>
      <c r="O680" s="52"/>
      <c r="P680" s="76" t="s">
        <v>2603</v>
      </c>
      <c r="Q680" s="55">
        <f>VLOOKUP(E680,'NI-San_SP'!$C:$AN,12,FALSE)</f>
        <v>1666314</v>
      </c>
      <c r="R680" s="55">
        <f>VLOOKUP(E680,'NI-San_SP'!$C:$AN,13,FALSE)</f>
        <v>1590265</v>
      </c>
      <c r="S680" s="55">
        <f>VLOOKUP(E680,'NI-San_SP'!$C:$AN,30,FALSE)</f>
        <v>0</v>
      </c>
      <c r="T680" s="94">
        <f>VLOOKUP(E680,'NI-San_SP'!$C:$AN,31,FALSE)+VLOOKUP(E680,'NI-San_SP'!$C:$AN,32,FALSE)</f>
        <v>3180530</v>
      </c>
      <c r="U680" s="55">
        <f>VLOOKUP($E680,'NI-San_SP'!$C:$AN,MID(U$1,1,2),FALSE)</f>
        <v>0</v>
      </c>
      <c r="V680" s="55">
        <f>VLOOKUP($E680,'NI-San_SP'!$C:$AN,MID(V$1,1,2),FALSE)</f>
        <v>1666314</v>
      </c>
      <c r="W680" s="55">
        <f>VLOOKUP($E680,'NI-San_SP'!$C:$AN,MID(W$1,1,2),FALSE)</f>
        <v>0</v>
      </c>
      <c r="X680" s="55">
        <f>VLOOKUP($E680,'NI-San_SP'!$C:$AN,MID(X$1,1,2),FALSE)</f>
        <v>0</v>
      </c>
      <c r="Y680" s="55">
        <f>VLOOKUP($E680,'NI-San_SP'!$C:$AN,MID(Y$1,1,2),FALSE)</f>
        <v>0</v>
      </c>
      <c r="Z680" s="55">
        <f>VLOOKUP($E680,'NI-San_SP'!$C:$AN,MID(Z$1,1,2),FALSE)</f>
        <v>3591473</v>
      </c>
      <c r="AA680" s="55">
        <f>VLOOKUP($E680,'NI-San_SP'!$C:$AN,MID(AA$1,1,2),FALSE)</f>
        <v>0</v>
      </c>
      <c r="AB680" s="55">
        <f>VLOOKUP($E680,'NI-San_SP'!$C:$AN,MID(AB$1,1,2),FALSE)</f>
        <v>1666314</v>
      </c>
      <c r="AC680" s="55">
        <f>VLOOKUP($E680,'NI-San_SP'!$C:$AN,MID(AC$1,1,2),FALSE)</f>
        <v>2001208</v>
      </c>
      <c r="AD680" s="55">
        <f>VLOOKUP($E680,'NI-San_SP'!$C:$AN,MID(AD$1,1,2),FALSE)</f>
        <v>1590265</v>
      </c>
      <c r="AE680" s="55">
        <f>VLOOKUP($E680,'NI-San_SP'!$C:$AN,MID(AE$1,1,2),FALSE)</f>
        <v>0</v>
      </c>
      <c r="AF680" s="55">
        <f>VLOOKUP($E680,'NI-San_SP'!$C:$AN,MID(AF$1,1,2),FALSE)</f>
        <v>0</v>
      </c>
      <c r="AG680" s="55">
        <f>VLOOKUP($E680,'NI-San_SP'!$C:$AN,MID(AG$1,1,2),FALSE)</f>
        <v>0</v>
      </c>
      <c r="AH680" s="55">
        <f>VLOOKUP($E680,'NI-San_SP'!$C:$AN,MID(AH$1,1,2),FALSE)</f>
        <v>0</v>
      </c>
      <c r="AI680" s="55">
        <f>VLOOKUP($E680,'NI-San_SP'!$C:$AN,MID(AI$1,1,2),FALSE)</f>
        <v>0</v>
      </c>
      <c r="AJ680" s="55">
        <f>VLOOKUP($E680,'NI-San_SP'!$C:$AN,MID(AJ$1,1,2),FALSE)</f>
        <v>0</v>
      </c>
      <c r="AK680" s="55">
        <f>VLOOKUP($E680,'NI-San_SP'!$C:$AN,MID(AK$1,1,2),FALSE)</f>
        <v>1590265</v>
      </c>
      <c r="AL680" s="55">
        <f>VLOOKUP($E680,'NI-San_SP'!$C:$AN,MID(AL$1,1,2),FALSE)</f>
        <v>1590265</v>
      </c>
      <c r="AM680" s="56">
        <f>VLOOKUP($E680,'NI-San_SP'!$C:$AN,MID(AM$1,1,2),FALSE)</f>
        <v>0</v>
      </c>
      <c r="AN680" s="30" t="str">
        <f t="shared" si="10"/>
        <v>71102020000000</v>
      </c>
    </row>
    <row r="681" spans="3:40" x14ac:dyDescent="0.25">
      <c r="C681" s="40"/>
      <c r="D681" s="91" t="s">
        <v>2604</v>
      </c>
      <c r="E681" s="91" t="s">
        <v>2605</v>
      </c>
      <c r="F681" s="58" t="s">
        <v>110</v>
      </c>
      <c r="G681" s="52"/>
      <c r="H681" s="52"/>
      <c r="I681" s="52"/>
      <c r="J681" s="52"/>
      <c r="K681" s="59" t="s">
        <v>79</v>
      </c>
      <c r="L681" s="52"/>
      <c r="M681" s="52"/>
      <c r="N681" s="52"/>
      <c r="O681" s="52"/>
      <c r="P681" s="76" t="s">
        <v>2606</v>
      </c>
      <c r="Q681" s="55">
        <f>VLOOKUP(E681,'NI-San_SP'!$C:$AN,12,FALSE)</f>
        <v>9224082</v>
      </c>
      <c r="R681" s="55">
        <f>VLOOKUP(E681,'NI-San_SP'!$C:$AN,13,FALSE)</f>
        <v>10118281</v>
      </c>
      <c r="S681" s="55">
        <f>VLOOKUP(E681,'NI-San_SP'!$C:$AN,30,FALSE)</f>
        <v>0</v>
      </c>
      <c r="T681" s="94">
        <f>VLOOKUP(E681,'NI-San_SP'!$C:$AN,31,FALSE)+VLOOKUP(E681,'NI-San_SP'!$C:$AN,32,FALSE)</f>
        <v>20236562</v>
      </c>
      <c r="U681" s="55">
        <f>VLOOKUP($E681,'NI-San_SP'!$C:$AN,MID(U$1,1,2),FALSE)</f>
        <v>0</v>
      </c>
      <c r="V681" s="55">
        <f>VLOOKUP($E681,'NI-San_SP'!$C:$AN,MID(V$1,1,2),FALSE)</f>
        <v>9224082</v>
      </c>
      <c r="W681" s="55">
        <f>VLOOKUP($E681,'NI-San_SP'!$C:$AN,MID(W$1,1,2),FALSE)</f>
        <v>0</v>
      </c>
      <c r="X681" s="55">
        <f>VLOOKUP($E681,'NI-San_SP'!$C:$AN,MID(X$1,1,2),FALSE)</f>
        <v>0</v>
      </c>
      <c r="Y681" s="55">
        <f>VLOOKUP($E681,'NI-San_SP'!$C:$AN,MID(Y$1,1,2),FALSE)</f>
        <v>0</v>
      </c>
      <c r="Z681" s="55">
        <f>VLOOKUP($E681,'NI-San_SP'!$C:$AN,MID(Z$1,1,2),FALSE)</f>
        <v>162372508</v>
      </c>
      <c r="AA681" s="55">
        <f>VLOOKUP($E681,'NI-San_SP'!$C:$AN,MID(AA$1,1,2),FALSE)</f>
        <v>0</v>
      </c>
      <c r="AB681" s="55">
        <f>VLOOKUP($E681,'NI-San_SP'!$C:$AN,MID(AB$1,1,2),FALSE)</f>
        <v>9224082</v>
      </c>
      <c r="AC681" s="55">
        <f>VLOOKUP($E681,'NI-San_SP'!$C:$AN,MID(AC$1,1,2),FALSE)</f>
        <v>152254227</v>
      </c>
      <c r="AD681" s="55">
        <f>VLOOKUP($E681,'NI-San_SP'!$C:$AN,MID(AD$1,1,2),FALSE)</f>
        <v>10118281</v>
      </c>
      <c r="AE681" s="55">
        <f>VLOOKUP($E681,'NI-San_SP'!$C:$AN,MID(AE$1,1,2),FALSE)</f>
        <v>0</v>
      </c>
      <c r="AF681" s="55">
        <f>VLOOKUP($E681,'NI-San_SP'!$C:$AN,MID(AF$1,1,2),FALSE)</f>
        <v>0</v>
      </c>
      <c r="AG681" s="55">
        <f>VLOOKUP($E681,'NI-San_SP'!$C:$AN,MID(AG$1,1,2),FALSE)</f>
        <v>0</v>
      </c>
      <c r="AH681" s="55">
        <f>VLOOKUP($E681,'NI-San_SP'!$C:$AN,MID(AH$1,1,2),FALSE)</f>
        <v>0</v>
      </c>
      <c r="AI681" s="55">
        <f>VLOOKUP($E681,'NI-San_SP'!$C:$AN,MID(AI$1,1,2),FALSE)</f>
        <v>0</v>
      </c>
      <c r="AJ681" s="55">
        <f>VLOOKUP($E681,'NI-San_SP'!$C:$AN,MID(AJ$1,1,2),FALSE)</f>
        <v>0</v>
      </c>
      <c r="AK681" s="55">
        <f>VLOOKUP($E681,'NI-San_SP'!$C:$AN,MID(AK$1,1,2),FALSE)</f>
        <v>10118281</v>
      </c>
      <c r="AL681" s="55">
        <f>VLOOKUP($E681,'NI-San_SP'!$C:$AN,MID(AL$1,1,2),FALSE)</f>
        <v>10118281</v>
      </c>
      <c r="AM681" s="56">
        <f>VLOOKUP($E681,'NI-San_SP'!$C:$AN,MID(AM$1,1,2),FALSE)</f>
        <v>0</v>
      </c>
      <c r="AN681" s="30" t="str">
        <f t="shared" si="10"/>
        <v>71102030000000</v>
      </c>
    </row>
    <row r="682" spans="3:40" x14ac:dyDescent="0.25">
      <c r="C682" s="40"/>
      <c r="D682" s="91" t="s">
        <v>2607</v>
      </c>
      <c r="E682" s="91" t="s">
        <v>2608</v>
      </c>
      <c r="F682" s="58" t="s">
        <v>110</v>
      </c>
      <c r="G682" s="52"/>
      <c r="H682" s="52"/>
      <c r="I682" s="52"/>
      <c r="J682" s="52"/>
      <c r="K682" s="59" t="s">
        <v>79</v>
      </c>
      <c r="L682" s="52"/>
      <c r="M682" s="52"/>
      <c r="N682" s="52"/>
      <c r="O682" s="52"/>
      <c r="P682" s="76" t="s">
        <v>2609</v>
      </c>
      <c r="Q682" s="55">
        <f>VLOOKUP(E682,'NI-San_SP'!$C:$AN,12,FALSE)</f>
        <v>0</v>
      </c>
      <c r="R682" s="55">
        <f>VLOOKUP(E682,'NI-San_SP'!$C:$AN,13,FALSE)</f>
        <v>0</v>
      </c>
      <c r="S682" s="55">
        <f>VLOOKUP(E682,'NI-San_SP'!$C:$AN,30,FALSE)</f>
        <v>0</v>
      </c>
      <c r="T682" s="94">
        <f>VLOOKUP(E682,'NI-San_SP'!$C:$AN,31,FALSE)+VLOOKUP(E682,'NI-San_SP'!$C:$AN,32,FALSE)</f>
        <v>0</v>
      </c>
      <c r="U682" s="55">
        <f>VLOOKUP($E682,'NI-San_SP'!$C:$AN,MID(U$1,1,2),FALSE)</f>
        <v>0</v>
      </c>
      <c r="V682" s="55">
        <f>VLOOKUP($E682,'NI-San_SP'!$C:$AN,MID(V$1,1,2),FALSE)</f>
        <v>0</v>
      </c>
      <c r="W682" s="55">
        <f>VLOOKUP($E682,'NI-San_SP'!$C:$AN,MID(W$1,1,2),FALSE)</f>
        <v>0</v>
      </c>
      <c r="X682" s="55">
        <f>VLOOKUP($E682,'NI-San_SP'!$C:$AN,MID(X$1,1,2),FALSE)</f>
        <v>0</v>
      </c>
      <c r="Y682" s="55">
        <f>VLOOKUP($E682,'NI-San_SP'!$C:$AN,MID(Y$1,1,2),FALSE)</f>
        <v>0</v>
      </c>
      <c r="Z682" s="55">
        <f>VLOOKUP($E682,'NI-San_SP'!$C:$AN,MID(Z$1,1,2),FALSE)</f>
        <v>0</v>
      </c>
      <c r="AA682" s="55">
        <f>VLOOKUP($E682,'NI-San_SP'!$C:$AN,MID(AA$1,1,2),FALSE)</f>
        <v>0</v>
      </c>
      <c r="AB682" s="55">
        <f>VLOOKUP($E682,'NI-San_SP'!$C:$AN,MID(AB$1,1,2),FALSE)</f>
        <v>0</v>
      </c>
      <c r="AC682" s="55">
        <f>VLOOKUP($E682,'NI-San_SP'!$C:$AN,MID(AC$1,1,2),FALSE)</f>
        <v>0</v>
      </c>
      <c r="AD682" s="55">
        <f>VLOOKUP($E682,'NI-San_SP'!$C:$AN,MID(AD$1,1,2),FALSE)</f>
        <v>0</v>
      </c>
      <c r="AE682" s="55">
        <f>VLOOKUP($E682,'NI-San_SP'!$C:$AN,MID(AE$1,1,2),FALSE)</f>
        <v>0</v>
      </c>
      <c r="AF682" s="55">
        <f>VLOOKUP($E682,'NI-San_SP'!$C:$AN,MID(AF$1,1,2),FALSE)</f>
        <v>0</v>
      </c>
      <c r="AG682" s="55">
        <f>VLOOKUP($E682,'NI-San_SP'!$C:$AN,MID(AG$1,1,2),FALSE)</f>
        <v>0</v>
      </c>
      <c r="AH682" s="55">
        <f>VLOOKUP($E682,'NI-San_SP'!$C:$AN,MID(AH$1,1,2),FALSE)</f>
        <v>0</v>
      </c>
      <c r="AI682" s="55">
        <f>VLOOKUP($E682,'NI-San_SP'!$C:$AN,MID(AI$1,1,2),FALSE)</f>
        <v>0</v>
      </c>
      <c r="AJ682" s="55">
        <f>VLOOKUP($E682,'NI-San_SP'!$C:$AN,MID(AJ$1,1,2),FALSE)</f>
        <v>0</v>
      </c>
      <c r="AK682" s="55">
        <f>VLOOKUP($E682,'NI-San_SP'!$C:$AN,MID(AK$1,1,2),FALSE)</f>
        <v>0</v>
      </c>
      <c r="AL682" s="55">
        <f>VLOOKUP($E682,'NI-San_SP'!$C:$AN,MID(AL$1,1,2),FALSE)</f>
        <v>0</v>
      </c>
      <c r="AM682" s="56">
        <f>VLOOKUP($E682,'NI-San_SP'!$C:$AN,MID(AM$1,1,2),FALSE)</f>
        <v>0</v>
      </c>
      <c r="AN682" s="30" t="str">
        <f t="shared" si="10"/>
        <v>71102040000000</v>
      </c>
    </row>
    <row r="683" spans="3:40" x14ac:dyDescent="0.25">
      <c r="C683" s="40"/>
      <c r="D683" s="91" t="s">
        <v>2610</v>
      </c>
      <c r="E683" s="91" t="s">
        <v>2611</v>
      </c>
      <c r="F683" s="58" t="s">
        <v>110</v>
      </c>
      <c r="G683" s="52"/>
      <c r="H683" s="52"/>
      <c r="I683" s="52"/>
      <c r="J683" s="52"/>
      <c r="K683" s="59" t="s">
        <v>79</v>
      </c>
      <c r="L683" s="52"/>
      <c r="M683" s="52"/>
      <c r="N683" s="52"/>
      <c r="O683" s="52"/>
      <c r="P683" s="76" t="s">
        <v>2612</v>
      </c>
      <c r="Q683" s="55">
        <f>VLOOKUP(E683,'NI-San_SP'!$C:$AN,12,FALSE)</f>
        <v>0</v>
      </c>
      <c r="R683" s="55">
        <f>VLOOKUP(E683,'NI-San_SP'!$C:$AN,13,FALSE)</f>
        <v>0</v>
      </c>
      <c r="S683" s="55">
        <f>VLOOKUP(E683,'NI-San_SP'!$C:$AN,30,FALSE)</f>
        <v>0</v>
      </c>
      <c r="T683" s="94">
        <f>VLOOKUP(E683,'NI-San_SP'!$C:$AN,31,FALSE)+VLOOKUP(E683,'NI-San_SP'!$C:$AN,32,FALSE)</f>
        <v>0</v>
      </c>
      <c r="U683" s="55">
        <f>VLOOKUP($E683,'NI-San_SP'!$C:$AN,MID(U$1,1,2),FALSE)</f>
        <v>0</v>
      </c>
      <c r="V683" s="55">
        <f>VLOOKUP($E683,'NI-San_SP'!$C:$AN,MID(V$1,1,2),FALSE)</f>
        <v>0</v>
      </c>
      <c r="W683" s="55">
        <f>VLOOKUP($E683,'NI-San_SP'!$C:$AN,MID(W$1,1,2),FALSE)</f>
        <v>0</v>
      </c>
      <c r="X683" s="55">
        <f>VLOOKUP($E683,'NI-San_SP'!$C:$AN,MID(X$1,1,2),FALSE)</f>
        <v>0</v>
      </c>
      <c r="Y683" s="55">
        <f>VLOOKUP($E683,'NI-San_SP'!$C:$AN,MID(Y$1,1,2),FALSE)</f>
        <v>0</v>
      </c>
      <c r="Z683" s="55">
        <f>VLOOKUP($E683,'NI-San_SP'!$C:$AN,MID(Z$1,1,2),FALSE)</f>
        <v>0</v>
      </c>
      <c r="AA683" s="55">
        <f>VLOOKUP($E683,'NI-San_SP'!$C:$AN,MID(AA$1,1,2),FALSE)</f>
        <v>0</v>
      </c>
      <c r="AB683" s="55">
        <f>VLOOKUP($E683,'NI-San_SP'!$C:$AN,MID(AB$1,1,2),FALSE)</f>
        <v>0</v>
      </c>
      <c r="AC683" s="55">
        <f>VLOOKUP($E683,'NI-San_SP'!$C:$AN,MID(AC$1,1,2),FALSE)</f>
        <v>0</v>
      </c>
      <c r="AD683" s="55">
        <f>VLOOKUP($E683,'NI-San_SP'!$C:$AN,MID(AD$1,1,2),FALSE)</f>
        <v>0</v>
      </c>
      <c r="AE683" s="55">
        <f>VLOOKUP($E683,'NI-San_SP'!$C:$AN,MID(AE$1,1,2),FALSE)</f>
        <v>0</v>
      </c>
      <c r="AF683" s="55">
        <f>VLOOKUP($E683,'NI-San_SP'!$C:$AN,MID(AF$1,1,2),FALSE)</f>
        <v>0</v>
      </c>
      <c r="AG683" s="55">
        <f>VLOOKUP($E683,'NI-San_SP'!$C:$AN,MID(AG$1,1,2),FALSE)</f>
        <v>0</v>
      </c>
      <c r="AH683" s="55">
        <f>VLOOKUP($E683,'NI-San_SP'!$C:$AN,MID(AH$1,1,2),FALSE)</f>
        <v>0</v>
      </c>
      <c r="AI683" s="55">
        <f>VLOOKUP($E683,'NI-San_SP'!$C:$AN,MID(AI$1,1,2),FALSE)</f>
        <v>0</v>
      </c>
      <c r="AJ683" s="55">
        <f>VLOOKUP($E683,'NI-San_SP'!$C:$AN,MID(AJ$1,1,2),FALSE)</f>
        <v>0</v>
      </c>
      <c r="AK683" s="55">
        <f>VLOOKUP($E683,'NI-San_SP'!$C:$AN,MID(AK$1,1,2),FALSE)</f>
        <v>0</v>
      </c>
      <c r="AL683" s="55">
        <f>VLOOKUP($E683,'NI-San_SP'!$C:$AN,MID(AL$1,1,2),FALSE)</f>
        <v>0</v>
      </c>
      <c r="AM683" s="56">
        <f>VLOOKUP($E683,'NI-San_SP'!$C:$AN,MID(AM$1,1,2),FALSE)</f>
        <v>0</v>
      </c>
      <c r="AN683" s="30" t="str">
        <f t="shared" si="10"/>
        <v>71102050000000</v>
      </c>
    </row>
    <row r="684" spans="3:40" x14ac:dyDescent="0.25">
      <c r="C684" s="40"/>
      <c r="D684" s="91" t="s">
        <v>2613</v>
      </c>
      <c r="E684" s="91" t="s">
        <v>2614</v>
      </c>
      <c r="F684" s="58" t="s">
        <v>110</v>
      </c>
      <c r="G684" s="52"/>
      <c r="H684" s="52"/>
      <c r="I684" s="52"/>
      <c r="J684" s="52"/>
      <c r="K684" s="59" t="s">
        <v>79</v>
      </c>
      <c r="L684" s="52"/>
      <c r="M684" s="52"/>
      <c r="N684" s="52"/>
      <c r="O684" s="52"/>
      <c r="P684" s="76" t="s">
        <v>2615</v>
      </c>
      <c r="Q684" s="55">
        <f>VLOOKUP(E684,'NI-San_SP'!$C:$AN,12,FALSE)</f>
        <v>0</v>
      </c>
      <c r="R684" s="55">
        <f>VLOOKUP(E684,'NI-San_SP'!$C:$AN,13,FALSE)</f>
        <v>0</v>
      </c>
      <c r="S684" s="55">
        <f>VLOOKUP(E684,'NI-San_SP'!$C:$AN,30,FALSE)</f>
        <v>0</v>
      </c>
      <c r="T684" s="94">
        <f>VLOOKUP(E684,'NI-San_SP'!$C:$AN,31,FALSE)+VLOOKUP(E684,'NI-San_SP'!$C:$AN,32,FALSE)</f>
        <v>0</v>
      </c>
      <c r="U684" s="55">
        <f>VLOOKUP($E684,'NI-San_SP'!$C:$AN,MID(U$1,1,2),FALSE)</f>
        <v>0</v>
      </c>
      <c r="V684" s="55">
        <f>VLOOKUP($E684,'NI-San_SP'!$C:$AN,MID(V$1,1,2),FALSE)</f>
        <v>0</v>
      </c>
      <c r="W684" s="55">
        <f>VLOOKUP($E684,'NI-San_SP'!$C:$AN,MID(W$1,1,2),FALSE)</f>
        <v>0</v>
      </c>
      <c r="X684" s="55">
        <f>VLOOKUP($E684,'NI-San_SP'!$C:$AN,MID(X$1,1,2),FALSE)</f>
        <v>0</v>
      </c>
      <c r="Y684" s="55">
        <f>VLOOKUP($E684,'NI-San_SP'!$C:$AN,MID(Y$1,1,2),FALSE)</f>
        <v>0</v>
      </c>
      <c r="Z684" s="55">
        <f>VLOOKUP($E684,'NI-San_SP'!$C:$AN,MID(Z$1,1,2),FALSE)</f>
        <v>0</v>
      </c>
      <c r="AA684" s="55">
        <f>VLOOKUP($E684,'NI-San_SP'!$C:$AN,MID(AA$1,1,2),FALSE)</f>
        <v>0</v>
      </c>
      <c r="AB684" s="55">
        <f>VLOOKUP($E684,'NI-San_SP'!$C:$AN,MID(AB$1,1,2),FALSE)</f>
        <v>0</v>
      </c>
      <c r="AC684" s="55">
        <f>VLOOKUP($E684,'NI-San_SP'!$C:$AN,MID(AC$1,1,2),FALSE)</f>
        <v>0</v>
      </c>
      <c r="AD684" s="55">
        <f>VLOOKUP($E684,'NI-San_SP'!$C:$AN,MID(AD$1,1,2),FALSE)</f>
        <v>0</v>
      </c>
      <c r="AE684" s="55">
        <f>VLOOKUP($E684,'NI-San_SP'!$C:$AN,MID(AE$1,1,2),FALSE)</f>
        <v>0</v>
      </c>
      <c r="AF684" s="55">
        <f>VLOOKUP($E684,'NI-San_SP'!$C:$AN,MID(AF$1,1,2),FALSE)</f>
        <v>0</v>
      </c>
      <c r="AG684" s="55">
        <f>VLOOKUP($E684,'NI-San_SP'!$C:$AN,MID(AG$1,1,2),FALSE)</f>
        <v>0</v>
      </c>
      <c r="AH684" s="55">
        <f>VLOOKUP($E684,'NI-San_SP'!$C:$AN,MID(AH$1,1,2),FALSE)</f>
        <v>0</v>
      </c>
      <c r="AI684" s="55">
        <f>VLOOKUP($E684,'NI-San_SP'!$C:$AN,MID(AI$1,1,2),FALSE)</f>
        <v>0</v>
      </c>
      <c r="AJ684" s="55">
        <f>VLOOKUP($E684,'NI-San_SP'!$C:$AN,MID(AJ$1,1,2),FALSE)</f>
        <v>0</v>
      </c>
      <c r="AK684" s="55">
        <f>VLOOKUP($E684,'NI-San_SP'!$C:$AN,MID(AK$1,1,2),FALSE)</f>
        <v>0</v>
      </c>
      <c r="AL684" s="55">
        <f>VLOOKUP($E684,'NI-San_SP'!$C:$AN,MID(AL$1,1,2),FALSE)</f>
        <v>0</v>
      </c>
      <c r="AM684" s="56">
        <f>VLOOKUP($E684,'NI-San_SP'!$C:$AN,MID(AM$1,1,2),FALSE)</f>
        <v>0</v>
      </c>
      <c r="AN684" s="30" t="str">
        <f t="shared" si="10"/>
        <v>71102060000000</v>
      </c>
    </row>
    <row r="685" spans="3:40" x14ac:dyDescent="0.25">
      <c r="C685" s="40"/>
      <c r="D685" s="91" t="s">
        <v>2616</v>
      </c>
      <c r="E685" s="91" t="s">
        <v>2617</v>
      </c>
      <c r="F685" s="58" t="s">
        <v>110</v>
      </c>
      <c r="G685" s="52"/>
      <c r="H685" s="52"/>
      <c r="I685" s="52" t="s">
        <v>2618</v>
      </c>
      <c r="J685" s="52" t="s">
        <v>2618</v>
      </c>
      <c r="K685" s="59" t="s">
        <v>79</v>
      </c>
      <c r="L685" s="52"/>
      <c r="M685" s="100" t="s">
        <v>2269</v>
      </c>
      <c r="N685" s="52"/>
      <c r="O685" s="61" t="s">
        <v>2596</v>
      </c>
      <c r="P685" s="76" t="s">
        <v>2619</v>
      </c>
      <c r="Q685" s="55">
        <f>VLOOKUP(E685,'NI-San_SP'!$C:$AN,12,FALSE)</f>
        <v>0</v>
      </c>
      <c r="R685" s="55">
        <f>VLOOKUP(E685,'NI-San_SP'!$C:$AN,13,FALSE)</f>
        <v>0</v>
      </c>
      <c r="S685" s="55">
        <f>VLOOKUP(E685,'NI-San_SP'!$C:$AN,30,FALSE)</f>
        <v>0</v>
      </c>
      <c r="T685" s="94">
        <f>VLOOKUP(E685,'NI-San_SP'!$C:$AN,31,FALSE)+VLOOKUP(E685,'NI-San_SP'!$C:$AN,32,FALSE)</f>
        <v>0</v>
      </c>
      <c r="U685" s="55">
        <f>VLOOKUP($E685,'NI-San_SP'!$C:$AN,MID(U$1,1,2),FALSE)</f>
        <v>0</v>
      </c>
      <c r="V685" s="55">
        <f>VLOOKUP($E685,'NI-San_SP'!$C:$AN,MID(V$1,1,2),FALSE)</f>
        <v>0</v>
      </c>
      <c r="W685" s="55">
        <f>VLOOKUP($E685,'NI-San_SP'!$C:$AN,MID(W$1,1,2),FALSE)</f>
        <v>0</v>
      </c>
      <c r="X685" s="55">
        <f>VLOOKUP($E685,'NI-San_SP'!$C:$AN,MID(X$1,1,2),FALSE)</f>
        <v>0</v>
      </c>
      <c r="Y685" s="55">
        <f>VLOOKUP($E685,'NI-San_SP'!$C:$AN,MID(Y$1,1,2),FALSE)</f>
        <v>0</v>
      </c>
      <c r="Z685" s="55">
        <f>VLOOKUP($E685,'NI-San_SP'!$C:$AN,MID(Z$1,1,2),FALSE)</f>
        <v>0</v>
      </c>
      <c r="AA685" s="55">
        <f>VLOOKUP($E685,'NI-San_SP'!$C:$AN,MID(AA$1,1,2),FALSE)</f>
        <v>0</v>
      </c>
      <c r="AB685" s="55">
        <f>VLOOKUP($E685,'NI-San_SP'!$C:$AN,MID(AB$1,1,2),FALSE)</f>
        <v>0</v>
      </c>
      <c r="AC685" s="55">
        <f>VLOOKUP($E685,'NI-San_SP'!$C:$AN,MID(AC$1,1,2),FALSE)</f>
        <v>0</v>
      </c>
      <c r="AD685" s="55">
        <f>VLOOKUP($E685,'NI-San_SP'!$C:$AN,MID(AD$1,1,2),FALSE)</f>
        <v>0</v>
      </c>
      <c r="AE685" s="55">
        <f>VLOOKUP($E685,'NI-San_SP'!$C:$AN,MID(AE$1,1,2),FALSE)</f>
        <v>0</v>
      </c>
      <c r="AF685" s="55">
        <f>VLOOKUP($E685,'NI-San_SP'!$C:$AN,MID(AF$1,1,2),FALSE)</f>
        <v>0</v>
      </c>
      <c r="AG685" s="55">
        <f>VLOOKUP($E685,'NI-San_SP'!$C:$AN,MID(AG$1,1,2),FALSE)</f>
        <v>0</v>
      </c>
      <c r="AH685" s="55">
        <f>VLOOKUP($E685,'NI-San_SP'!$C:$AN,MID(AH$1,1,2),FALSE)</f>
        <v>0</v>
      </c>
      <c r="AI685" s="55">
        <f>VLOOKUP($E685,'NI-San_SP'!$C:$AN,MID(AI$1,1,2),FALSE)</f>
        <v>0</v>
      </c>
      <c r="AJ685" s="55">
        <f>VLOOKUP($E685,'NI-San_SP'!$C:$AN,MID(AJ$1,1,2),FALSE)</f>
        <v>0</v>
      </c>
      <c r="AK685" s="55">
        <f>VLOOKUP($E685,'NI-San_SP'!$C:$AN,MID(AK$1,1,2),FALSE)</f>
        <v>0</v>
      </c>
      <c r="AL685" s="55">
        <f>VLOOKUP($E685,'NI-San_SP'!$C:$AN,MID(AL$1,1,2),FALSE)</f>
        <v>0</v>
      </c>
      <c r="AM685" s="56">
        <f>VLOOKUP($E685,'NI-San_SP'!$C:$AN,MID(AM$1,1,2),FALSE)</f>
        <v>0</v>
      </c>
      <c r="AN685" s="30" t="str">
        <f t="shared" si="10"/>
        <v>71103000000000</v>
      </c>
    </row>
    <row r="686" spans="3:40" x14ac:dyDescent="0.25">
      <c r="C686" s="40"/>
      <c r="D686" s="91" t="s">
        <v>2620</v>
      </c>
      <c r="E686" s="91" t="s">
        <v>2621</v>
      </c>
      <c r="F686" s="58" t="s">
        <v>110</v>
      </c>
      <c r="G686" s="52"/>
      <c r="H686" s="52"/>
      <c r="I686" s="52"/>
      <c r="J686" s="52"/>
      <c r="K686" s="59" t="s">
        <v>111</v>
      </c>
      <c r="L686" s="52" t="s">
        <v>2622</v>
      </c>
      <c r="M686" s="52"/>
      <c r="N686" s="52"/>
      <c r="O686" s="61"/>
      <c r="P686" s="76" t="s">
        <v>2623</v>
      </c>
      <c r="Q686" s="55">
        <f>VLOOKUP(E686,'NI-San_SP'!$C:$AN,12,FALSE)</f>
        <v>1487907</v>
      </c>
      <c r="R686" s="55">
        <f>VLOOKUP(E686,'NI-San_SP'!$C:$AN,13,FALSE)</f>
        <v>1965628</v>
      </c>
      <c r="S686" s="55">
        <f>VLOOKUP(E686,'NI-San_SP'!$C:$AN,30,FALSE)</f>
        <v>322727</v>
      </c>
      <c r="T686" s="94">
        <f>VLOOKUP(E686,'NI-San_SP'!$C:$AN,31,FALSE)+VLOOKUP(E686,'NI-San_SP'!$C:$AN,32,FALSE)</f>
        <v>3280738</v>
      </c>
      <c r="U686" s="55">
        <f>VLOOKUP($E686,'NI-San_SP'!$C:$AN,MID(U$1,1,2),FALSE)</f>
        <v>0</v>
      </c>
      <c r="V686" s="55">
        <f>VLOOKUP($E686,'NI-San_SP'!$C:$AN,MID(V$1,1,2),FALSE)</f>
        <v>1487907</v>
      </c>
      <c r="W686" s="55">
        <f>VLOOKUP($E686,'NI-San_SP'!$C:$AN,MID(W$1,1,2),FALSE)</f>
        <v>0</v>
      </c>
      <c r="X686" s="55">
        <f>VLOOKUP($E686,'NI-San_SP'!$C:$AN,MID(X$1,1,2),FALSE)</f>
        <v>0</v>
      </c>
      <c r="Y686" s="55">
        <f>VLOOKUP($E686,'NI-San_SP'!$C:$AN,MID(Y$1,1,2),FALSE)</f>
        <v>31344</v>
      </c>
      <c r="Z686" s="55">
        <f>VLOOKUP($E686,'NI-San_SP'!$C:$AN,MID(Z$1,1,2),FALSE)</f>
        <v>15820368</v>
      </c>
      <c r="AA686" s="55">
        <f>VLOOKUP($E686,'NI-San_SP'!$C:$AN,MID(AA$1,1,2),FALSE)</f>
        <v>0</v>
      </c>
      <c r="AB686" s="55">
        <f>VLOOKUP($E686,'NI-San_SP'!$C:$AN,MID(AB$1,1,2),FALSE)</f>
        <v>917319</v>
      </c>
      <c r="AC686" s="55">
        <f>VLOOKUP($E686,'NI-San_SP'!$C:$AN,MID(AC$1,1,2),FALSE)</f>
        <v>14456672</v>
      </c>
      <c r="AD686" s="55">
        <f>VLOOKUP($E686,'NI-San_SP'!$C:$AN,MID(AD$1,1,2),FALSE)</f>
        <v>1965628</v>
      </c>
      <c r="AE686" s="55">
        <f>VLOOKUP($E686,'NI-San_SP'!$C:$AN,MID(AE$1,1,2),FALSE)</f>
        <v>457903</v>
      </c>
      <c r="AF686" s="55">
        <f>VLOOKUP($E686,'NI-San_SP'!$C:$AN,MID(AF$1,1,2),FALSE)</f>
        <v>0</v>
      </c>
      <c r="AG686" s="55">
        <f>VLOOKUP($E686,'NI-San_SP'!$C:$AN,MID(AG$1,1,2),FALSE)</f>
        <v>61997</v>
      </c>
      <c r="AH686" s="55">
        <f>VLOOKUP($E686,'NI-San_SP'!$C:$AN,MID(AH$1,1,2),FALSE)</f>
        <v>39146</v>
      </c>
      <c r="AI686" s="55">
        <f>VLOOKUP($E686,'NI-San_SP'!$C:$AN,MID(AI$1,1,2),FALSE)</f>
        <v>92000</v>
      </c>
      <c r="AJ686" s="55">
        <f>VLOOKUP($E686,'NI-San_SP'!$C:$AN,MID(AJ$1,1,2),FALSE)</f>
        <v>322727</v>
      </c>
      <c r="AK686" s="55">
        <f>VLOOKUP($E686,'NI-San_SP'!$C:$AN,MID(AK$1,1,2),FALSE)</f>
        <v>1449758</v>
      </c>
      <c r="AL686" s="55">
        <f>VLOOKUP($E686,'NI-San_SP'!$C:$AN,MID(AL$1,1,2),FALSE)</f>
        <v>1830980</v>
      </c>
      <c r="AM686" s="56">
        <f>VLOOKUP($E686,'NI-San_SP'!$C:$AN,MID(AM$1,1,2),FALSE)</f>
        <v>0</v>
      </c>
      <c r="AN686" s="30" t="str">
        <f t="shared" si="10"/>
        <v>71104000000000</v>
      </c>
    </row>
    <row r="687" spans="3:40" x14ac:dyDescent="0.25">
      <c r="C687" s="40"/>
      <c r="D687" s="91" t="s">
        <v>2624</v>
      </c>
      <c r="E687" s="91" t="s">
        <v>2625</v>
      </c>
      <c r="F687" s="58" t="s">
        <v>110</v>
      </c>
      <c r="G687" s="52"/>
      <c r="H687" s="52"/>
      <c r="I687" s="52" t="s">
        <v>2626</v>
      </c>
      <c r="J687" s="52" t="s">
        <v>2626</v>
      </c>
      <c r="K687" s="59" t="s">
        <v>79</v>
      </c>
      <c r="L687" s="52"/>
      <c r="M687" s="100" t="s">
        <v>2269</v>
      </c>
      <c r="N687" s="52"/>
      <c r="O687" s="61" t="s">
        <v>2596</v>
      </c>
      <c r="P687" s="76" t="s">
        <v>2627</v>
      </c>
      <c r="Q687" s="55">
        <f>VLOOKUP(E687,'NI-San_SP'!$C:$AN,12,FALSE)</f>
        <v>1257591</v>
      </c>
      <c r="R687" s="55">
        <f>VLOOKUP(E687,'NI-San_SP'!$C:$AN,13,FALSE)</f>
        <v>1797128</v>
      </c>
      <c r="S687" s="55">
        <f>VLOOKUP(E687,'NI-San_SP'!$C:$AN,30,FALSE)</f>
        <v>193227</v>
      </c>
      <c r="T687" s="94">
        <f>VLOOKUP(E687,'NI-San_SP'!$C:$AN,31,FALSE)+VLOOKUP(E687,'NI-San_SP'!$C:$AN,32,FALSE)</f>
        <v>3086238</v>
      </c>
      <c r="U687" s="55">
        <f>VLOOKUP($E687,'NI-San_SP'!$C:$AN,MID(U$1,1,2),FALSE)</f>
        <v>0</v>
      </c>
      <c r="V687" s="55">
        <f>VLOOKUP($E687,'NI-San_SP'!$C:$AN,MID(V$1,1,2),FALSE)</f>
        <v>1257591</v>
      </c>
      <c r="W687" s="55">
        <f>VLOOKUP($E687,'NI-San_SP'!$C:$AN,MID(W$1,1,2),FALSE)</f>
        <v>0</v>
      </c>
      <c r="X687" s="55">
        <f>VLOOKUP($E687,'NI-San_SP'!$C:$AN,MID(X$1,1,2),FALSE)</f>
        <v>0</v>
      </c>
      <c r="Y687" s="55">
        <f>VLOOKUP($E687,'NI-San_SP'!$C:$AN,MID(Y$1,1,2),FALSE)</f>
        <v>31344</v>
      </c>
      <c r="Z687" s="55">
        <f>VLOOKUP($E687,'NI-San_SP'!$C:$AN,MID(Z$1,1,2),FALSE)</f>
        <v>15771758</v>
      </c>
      <c r="AA687" s="55">
        <f>VLOOKUP($E687,'NI-San_SP'!$C:$AN,MID(AA$1,1,2),FALSE)</f>
        <v>0</v>
      </c>
      <c r="AB687" s="55">
        <f>VLOOKUP($E687,'NI-San_SP'!$C:$AN,MID(AB$1,1,2),FALSE)</f>
        <v>879580</v>
      </c>
      <c r="AC687" s="55">
        <f>VLOOKUP($E687,'NI-San_SP'!$C:$AN,MID(AC$1,1,2),FALSE)</f>
        <v>14383985</v>
      </c>
      <c r="AD687" s="55">
        <f>VLOOKUP($E687,'NI-San_SP'!$C:$AN,MID(AD$1,1,2),FALSE)</f>
        <v>1797128</v>
      </c>
      <c r="AE687" s="55">
        <f>VLOOKUP($E687,'NI-San_SP'!$C:$AN,MID(AE$1,1,2),FALSE)</f>
        <v>457903</v>
      </c>
      <c r="AF687" s="55">
        <f>VLOOKUP($E687,'NI-San_SP'!$C:$AN,MID(AF$1,1,2),FALSE)</f>
        <v>0</v>
      </c>
      <c r="AG687" s="55">
        <f>VLOOKUP($E687,'NI-San_SP'!$C:$AN,MID(AG$1,1,2),FALSE)</f>
        <v>61997</v>
      </c>
      <c r="AH687" s="55">
        <f>VLOOKUP($E687,'NI-San_SP'!$C:$AN,MID(AH$1,1,2),FALSE)</f>
        <v>39146</v>
      </c>
      <c r="AI687" s="55">
        <f>VLOOKUP($E687,'NI-San_SP'!$C:$AN,MID(AI$1,1,2),FALSE)</f>
        <v>79000</v>
      </c>
      <c r="AJ687" s="55">
        <f>VLOOKUP($E687,'NI-San_SP'!$C:$AN,MID(AJ$1,1,2),FALSE)</f>
        <v>193227</v>
      </c>
      <c r="AK687" s="55">
        <f>VLOOKUP($E687,'NI-San_SP'!$C:$AN,MID(AK$1,1,2),FALSE)</f>
        <v>1423758</v>
      </c>
      <c r="AL687" s="55">
        <f>VLOOKUP($E687,'NI-San_SP'!$C:$AN,MID(AL$1,1,2),FALSE)</f>
        <v>1662480</v>
      </c>
      <c r="AM687" s="56">
        <f>VLOOKUP($E687,'NI-San_SP'!$C:$AN,MID(AM$1,1,2),FALSE)</f>
        <v>0</v>
      </c>
      <c r="AN687" s="30" t="str">
        <f t="shared" si="10"/>
        <v>71304010000000</v>
      </c>
    </row>
    <row r="688" spans="3:40" x14ac:dyDescent="0.25">
      <c r="C688" s="40"/>
      <c r="D688" s="91" t="s">
        <v>2628</v>
      </c>
      <c r="E688" s="91" t="s">
        <v>2629</v>
      </c>
      <c r="F688" s="58" t="s">
        <v>110</v>
      </c>
      <c r="G688" s="52"/>
      <c r="H688" s="52"/>
      <c r="I688" s="52" t="s">
        <v>2626</v>
      </c>
      <c r="J688" s="52" t="s">
        <v>2626</v>
      </c>
      <c r="K688" s="59" t="s">
        <v>79</v>
      </c>
      <c r="L688" s="52"/>
      <c r="M688" s="100" t="s">
        <v>2269</v>
      </c>
      <c r="N688" s="52"/>
      <c r="O688" s="61" t="s">
        <v>2596</v>
      </c>
      <c r="P688" s="76" t="s">
        <v>2630</v>
      </c>
      <c r="Q688" s="55">
        <f>VLOOKUP(E688,'NI-San_SP'!$C:$AN,12,FALSE)</f>
        <v>230316</v>
      </c>
      <c r="R688" s="55">
        <f>VLOOKUP(E688,'NI-San_SP'!$C:$AN,13,FALSE)</f>
        <v>168500</v>
      </c>
      <c r="S688" s="55">
        <f>VLOOKUP(E688,'NI-San_SP'!$C:$AN,30,FALSE)</f>
        <v>129500</v>
      </c>
      <c r="T688" s="94">
        <f>VLOOKUP(E688,'NI-San_SP'!$C:$AN,31,FALSE)+VLOOKUP(E688,'NI-San_SP'!$C:$AN,32,FALSE)</f>
        <v>194500</v>
      </c>
      <c r="U688" s="55">
        <f>VLOOKUP($E688,'NI-San_SP'!$C:$AN,MID(U$1,1,2),FALSE)</f>
        <v>0</v>
      </c>
      <c r="V688" s="55">
        <f>VLOOKUP($E688,'NI-San_SP'!$C:$AN,MID(V$1,1,2),FALSE)</f>
        <v>230316</v>
      </c>
      <c r="W688" s="55">
        <f>VLOOKUP($E688,'NI-San_SP'!$C:$AN,MID(W$1,1,2),FALSE)</f>
        <v>0</v>
      </c>
      <c r="X688" s="55">
        <f>VLOOKUP($E688,'NI-San_SP'!$C:$AN,MID(X$1,1,2),FALSE)</f>
        <v>0</v>
      </c>
      <c r="Y688" s="55">
        <f>VLOOKUP($E688,'NI-San_SP'!$C:$AN,MID(Y$1,1,2),FALSE)</f>
        <v>0</v>
      </c>
      <c r="Z688" s="55">
        <f>VLOOKUP($E688,'NI-San_SP'!$C:$AN,MID(Z$1,1,2),FALSE)</f>
        <v>48610</v>
      </c>
      <c r="AA688" s="55">
        <f>VLOOKUP($E688,'NI-San_SP'!$C:$AN,MID(AA$1,1,2),FALSE)</f>
        <v>0</v>
      </c>
      <c r="AB688" s="55">
        <f>VLOOKUP($E688,'NI-San_SP'!$C:$AN,MID(AB$1,1,2),FALSE)</f>
        <v>37739</v>
      </c>
      <c r="AC688" s="55">
        <f>VLOOKUP($E688,'NI-San_SP'!$C:$AN,MID(AC$1,1,2),FALSE)</f>
        <v>72687</v>
      </c>
      <c r="AD688" s="55">
        <f>VLOOKUP($E688,'NI-San_SP'!$C:$AN,MID(AD$1,1,2),FALSE)</f>
        <v>168500</v>
      </c>
      <c r="AE688" s="55">
        <f>VLOOKUP($E688,'NI-San_SP'!$C:$AN,MID(AE$1,1,2),FALSE)</f>
        <v>0</v>
      </c>
      <c r="AF688" s="55">
        <f>VLOOKUP($E688,'NI-San_SP'!$C:$AN,MID(AF$1,1,2),FALSE)</f>
        <v>0</v>
      </c>
      <c r="AG688" s="55">
        <f>VLOOKUP($E688,'NI-San_SP'!$C:$AN,MID(AG$1,1,2),FALSE)</f>
        <v>0</v>
      </c>
      <c r="AH688" s="55">
        <f>VLOOKUP($E688,'NI-San_SP'!$C:$AN,MID(AH$1,1,2),FALSE)</f>
        <v>0</v>
      </c>
      <c r="AI688" s="55">
        <f>VLOOKUP($E688,'NI-San_SP'!$C:$AN,MID(AI$1,1,2),FALSE)</f>
        <v>13000</v>
      </c>
      <c r="AJ688" s="55">
        <f>VLOOKUP($E688,'NI-San_SP'!$C:$AN,MID(AJ$1,1,2),FALSE)</f>
        <v>129500</v>
      </c>
      <c r="AK688" s="55">
        <f>VLOOKUP($E688,'NI-San_SP'!$C:$AN,MID(AK$1,1,2),FALSE)</f>
        <v>26000</v>
      </c>
      <c r="AL688" s="55">
        <f>VLOOKUP($E688,'NI-San_SP'!$C:$AN,MID(AL$1,1,2),FALSE)</f>
        <v>168500</v>
      </c>
      <c r="AM688" s="56">
        <f>VLOOKUP($E688,'NI-San_SP'!$C:$AN,MID(AM$1,1,2),FALSE)</f>
        <v>0</v>
      </c>
      <c r="AN688" s="30" t="str">
        <f t="shared" si="10"/>
        <v>71304020000000</v>
      </c>
    </row>
    <row r="689" spans="3:40" x14ac:dyDescent="0.25">
      <c r="C689" s="40"/>
      <c r="D689" s="91" t="s">
        <v>2631</v>
      </c>
      <c r="E689" s="91" t="s">
        <v>2632</v>
      </c>
      <c r="F689" s="58" t="s">
        <v>110</v>
      </c>
      <c r="G689" s="52"/>
      <c r="H689" s="52"/>
      <c r="I689" s="52"/>
      <c r="J689" s="52"/>
      <c r="K689" s="59" t="s">
        <v>111</v>
      </c>
      <c r="L689" s="52"/>
      <c r="M689" s="52"/>
      <c r="N689" s="52"/>
      <c r="O689" s="61"/>
      <c r="P689" s="76" t="s">
        <v>2633</v>
      </c>
      <c r="Q689" s="55">
        <f>VLOOKUP(E689,'NI-San_SP'!$C:$AN,12,FALSE)</f>
        <v>0</v>
      </c>
      <c r="R689" s="55">
        <f>VLOOKUP(E689,'NI-San_SP'!$C:$AN,13,FALSE)</f>
        <v>0</v>
      </c>
      <c r="S689" s="55">
        <f>VLOOKUP(E689,'NI-San_SP'!$C:$AN,30,FALSE)</f>
        <v>0</v>
      </c>
      <c r="T689" s="94">
        <f>VLOOKUP(E689,'NI-San_SP'!$C:$AN,31,FALSE)+VLOOKUP(E689,'NI-San_SP'!$C:$AN,32,FALSE)</f>
        <v>0</v>
      </c>
      <c r="U689" s="55">
        <f>VLOOKUP($E689,'NI-San_SP'!$C:$AN,MID(U$1,1,2),FALSE)</f>
        <v>0</v>
      </c>
      <c r="V689" s="55">
        <f>VLOOKUP($E689,'NI-San_SP'!$C:$AN,MID(V$1,1,2),FALSE)</f>
        <v>0</v>
      </c>
      <c r="W689" s="55">
        <f>VLOOKUP($E689,'NI-San_SP'!$C:$AN,MID(W$1,1,2),FALSE)</f>
        <v>0</v>
      </c>
      <c r="X689" s="55">
        <f>VLOOKUP($E689,'NI-San_SP'!$C:$AN,MID(X$1,1,2),FALSE)</f>
        <v>0</v>
      </c>
      <c r="Y689" s="55">
        <f>VLOOKUP($E689,'NI-San_SP'!$C:$AN,MID(Y$1,1,2),FALSE)</f>
        <v>0</v>
      </c>
      <c r="Z689" s="55">
        <f>VLOOKUP($E689,'NI-San_SP'!$C:$AN,MID(Z$1,1,2),FALSE)</f>
        <v>0</v>
      </c>
      <c r="AA689" s="55">
        <f>VLOOKUP($E689,'NI-San_SP'!$C:$AN,MID(AA$1,1,2),FALSE)</f>
        <v>0</v>
      </c>
      <c r="AB689" s="55">
        <f>VLOOKUP($E689,'NI-San_SP'!$C:$AN,MID(AB$1,1,2),FALSE)</f>
        <v>0</v>
      </c>
      <c r="AC689" s="55">
        <f>VLOOKUP($E689,'NI-San_SP'!$C:$AN,MID(AC$1,1,2),FALSE)</f>
        <v>0</v>
      </c>
      <c r="AD689" s="55">
        <f>VLOOKUP($E689,'NI-San_SP'!$C:$AN,MID(AD$1,1,2),FALSE)</f>
        <v>0</v>
      </c>
      <c r="AE689" s="55">
        <f>VLOOKUP($E689,'NI-San_SP'!$C:$AN,MID(AE$1,1,2),FALSE)</f>
        <v>0</v>
      </c>
      <c r="AF689" s="55">
        <f>VLOOKUP($E689,'NI-San_SP'!$C:$AN,MID(AF$1,1,2),FALSE)</f>
        <v>0</v>
      </c>
      <c r="AG689" s="55">
        <f>VLOOKUP($E689,'NI-San_SP'!$C:$AN,MID(AG$1,1,2),FALSE)</f>
        <v>0</v>
      </c>
      <c r="AH689" s="55">
        <f>VLOOKUP($E689,'NI-San_SP'!$C:$AN,MID(AH$1,1,2),FALSE)</f>
        <v>0</v>
      </c>
      <c r="AI689" s="55">
        <f>VLOOKUP($E689,'NI-San_SP'!$C:$AN,MID(AI$1,1,2),FALSE)</f>
        <v>0</v>
      </c>
      <c r="AJ689" s="55">
        <f>VLOOKUP($E689,'NI-San_SP'!$C:$AN,MID(AJ$1,1,2),FALSE)</f>
        <v>0</v>
      </c>
      <c r="AK689" s="55">
        <f>VLOOKUP($E689,'NI-San_SP'!$C:$AN,MID(AK$1,1,2),FALSE)</f>
        <v>0</v>
      </c>
      <c r="AL689" s="55">
        <f>VLOOKUP($E689,'NI-San_SP'!$C:$AN,MID(AL$1,1,2),FALSE)</f>
        <v>0</v>
      </c>
      <c r="AM689" s="56">
        <f>VLOOKUP($E689,'NI-San_SP'!$C:$AN,MID(AM$1,1,2),FALSE)</f>
        <v>0</v>
      </c>
      <c r="AN689" s="30" t="str">
        <f t="shared" si="10"/>
        <v>71304030000000</v>
      </c>
    </row>
    <row r="690" spans="3:40" x14ac:dyDescent="0.25">
      <c r="C690" s="40"/>
      <c r="D690" s="91" t="s">
        <v>2634</v>
      </c>
      <c r="E690" s="91" t="s">
        <v>2635</v>
      </c>
      <c r="F690" s="58" t="s">
        <v>110</v>
      </c>
      <c r="G690" s="52" t="s">
        <v>1608</v>
      </c>
      <c r="H690" s="52"/>
      <c r="I690" s="52"/>
      <c r="J690" s="52"/>
      <c r="K690" s="59" t="s">
        <v>79</v>
      </c>
      <c r="L690" s="52"/>
      <c r="M690" s="52"/>
      <c r="N690" s="52"/>
      <c r="O690" s="52"/>
      <c r="P690" s="76" t="s">
        <v>2636</v>
      </c>
      <c r="Q690" s="55">
        <f>VLOOKUP(E690,'NI-San_SP'!$C:$AN,12,FALSE)</f>
        <v>0</v>
      </c>
      <c r="R690" s="55">
        <f>VLOOKUP(E690,'NI-San_SP'!$C:$AN,13,FALSE)</f>
        <v>0</v>
      </c>
      <c r="S690" s="55">
        <f>VLOOKUP(E690,'NI-San_SP'!$C:$AN,30,FALSE)</f>
        <v>0</v>
      </c>
      <c r="T690" s="94">
        <f>VLOOKUP(E690,'NI-San_SP'!$C:$AN,31,FALSE)+VLOOKUP(E690,'NI-San_SP'!$C:$AN,32,FALSE)</f>
        <v>0</v>
      </c>
      <c r="U690" s="55">
        <f>VLOOKUP($E690,'NI-San_SP'!$C:$AN,MID(U$1,1,2),FALSE)</f>
        <v>0</v>
      </c>
      <c r="V690" s="55">
        <f>VLOOKUP($E690,'NI-San_SP'!$C:$AN,MID(V$1,1,2),FALSE)</f>
        <v>0</v>
      </c>
      <c r="W690" s="55">
        <f>VLOOKUP($E690,'NI-San_SP'!$C:$AN,MID(W$1,1,2),FALSE)</f>
        <v>0</v>
      </c>
      <c r="X690" s="55">
        <f>VLOOKUP($E690,'NI-San_SP'!$C:$AN,MID(X$1,1,2),FALSE)</f>
        <v>0</v>
      </c>
      <c r="Y690" s="55">
        <f>VLOOKUP($E690,'NI-San_SP'!$C:$AN,MID(Y$1,1,2),FALSE)</f>
        <v>0</v>
      </c>
      <c r="Z690" s="55">
        <f>VLOOKUP($E690,'NI-San_SP'!$C:$AN,MID(Z$1,1,2),FALSE)</f>
        <v>0</v>
      </c>
      <c r="AA690" s="55">
        <f>VLOOKUP($E690,'NI-San_SP'!$C:$AN,MID(AA$1,1,2),FALSE)</f>
        <v>0</v>
      </c>
      <c r="AB690" s="55">
        <f>VLOOKUP($E690,'NI-San_SP'!$C:$AN,MID(AB$1,1,2),FALSE)</f>
        <v>0</v>
      </c>
      <c r="AC690" s="55">
        <f>VLOOKUP($E690,'NI-San_SP'!$C:$AN,MID(AC$1,1,2),FALSE)</f>
        <v>0</v>
      </c>
      <c r="AD690" s="55">
        <f>VLOOKUP($E690,'NI-San_SP'!$C:$AN,MID(AD$1,1,2),FALSE)</f>
        <v>0</v>
      </c>
      <c r="AE690" s="55">
        <f>VLOOKUP($E690,'NI-San_SP'!$C:$AN,MID(AE$1,1,2),FALSE)</f>
        <v>0</v>
      </c>
      <c r="AF690" s="55">
        <f>VLOOKUP($E690,'NI-San_SP'!$C:$AN,MID(AF$1,1,2),FALSE)</f>
        <v>0</v>
      </c>
      <c r="AG690" s="55">
        <f>VLOOKUP($E690,'NI-San_SP'!$C:$AN,MID(AG$1,1,2),FALSE)</f>
        <v>0</v>
      </c>
      <c r="AH690" s="55">
        <f>VLOOKUP($E690,'NI-San_SP'!$C:$AN,MID(AH$1,1,2),FALSE)</f>
        <v>0</v>
      </c>
      <c r="AI690" s="55">
        <f>VLOOKUP($E690,'NI-San_SP'!$C:$AN,MID(AI$1,1,2),FALSE)</f>
        <v>0</v>
      </c>
      <c r="AJ690" s="55">
        <f>VLOOKUP($E690,'NI-San_SP'!$C:$AN,MID(AJ$1,1,2),FALSE)</f>
        <v>0</v>
      </c>
      <c r="AK690" s="55">
        <f>VLOOKUP($E690,'NI-San_SP'!$C:$AN,MID(AK$1,1,2),FALSE)</f>
        <v>0</v>
      </c>
      <c r="AL690" s="55">
        <f>VLOOKUP($E690,'NI-San_SP'!$C:$AN,MID(AL$1,1,2),FALSE)</f>
        <v>0</v>
      </c>
      <c r="AM690" s="56">
        <f>VLOOKUP($E690,'NI-San_SP'!$C:$AN,MID(AM$1,1,2),FALSE)</f>
        <v>0</v>
      </c>
      <c r="AN690" s="30" t="str">
        <f t="shared" si="10"/>
        <v>71304030010000</v>
      </c>
    </row>
    <row r="691" spans="3:40" x14ac:dyDescent="0.25">
      <c r="C691" s="40"/>
      <c r="D691" s="91" t="s">
        <v>2637</v>
      </c>
      <c r="E691" s="91" t="s">
        <v>2638</v>
      </c>
      <c r="F691" s="58" t="s">
        <v>110</v>
      </c>
      <c r="G691" s="52" t="s">
        <v>1608</v>
      </c>
      <c r="H691" s="52"/>
      <c r="I691" s="52"/>
      <c r="J691" s="52"/>
      <c r="K691" s="59" t="s">
        <v>79</v>
      </c>
      <c r="L691" s="52"/>
      <c r="M691" s="52"/>
      <c r="N691" s="52"/>
      <c r="O691" s="52"/>
      <c r="P691" s="76" t="s">
        <v>2639</v>
      </c>
      <c r="Q691" s="55">
        <f>VLOOKUP(E691,'NI-San_SP'!$C:$AN,12,FALSE)</f>
        <v>0</v>
      </c>
      <c r="R691" s="55">
        <f>VLOOKUP(E691,'NI-San_SP'!$C:$AN,13,FALSE)</f>
        <v>0</v>
      </c>
      <c r="S691" s="55">
        <f>VLOOKUP(E691,'NI-San_SP'!$C:$AN,30,FALSE)</f>
        <v>0</v>
      </c>
      <c r="T691" s="94">
        <f>VLOOKUP(E691,'NI-San_SP'!$C:$AN,31,FALSE)+VLOOKUP(E691,'NI-San_SP'!$C:$AN,32,FALSE)</f>
        <v>0</v>
      </c>
      <c r="U691" s="55">
        <f>VLOOKUP($E691,'NI-San_SP'!$C:$AN,MID(U$1,1,2),FALSE)</f>
        <v>0</v>
      </c>
      <c r="V691" s="55">
        <f>VLOOKUP($E691,'NI-San_SP'!$C:$AN,MID(V$1,1,2),FALSE)</f>
        <v>0</v>
      </c>
      <c r="W691" s="55">
        <f>VLOOKUP($E691,'NI-San_SP'!$C:$AN,MID(W$1,1,2),FALSE)</f>
        <v>0</v>
      </c>
      <c r="X691" s="55">
        <f>VLOOKUP($E691,'NI-San_SP'!$C:$AN,MID(X$1,1,2),FALSE)</f>
        <v>0</v>
      </c>
      <c r="Y691" s="55">
        <f>VLOOKUP($E691,'NI-San_SP'!$C:$AN,MID(Y$1,1,2),FALSE)</f>
        <v>0</v>
      </c>
      <c r="Z691" s="55">
        <f>VLOOKUP($E691,'NI-San_SP'!$C:$AN,MID(Z$1,1,2),FALSE)</f>
        <v>0</v>
      </c>
      <c r="AA691" s="55">
        <f>VLOOKUP($E691,'NI-San_SP'!$C:$AN,MID(AA$1,1,2),FALSE)</f>
        <v>0</v>
      </c>
      <c r="AB691" s="55">
        <f>VLOOKUP($E691,'NI-San_SP'!$C:$AN,MID(AB$1,1,2),FALSE)</f>
        <v>0</v>
      </c>
      <c r="AC691" s="55">
        <f>VLOOKUP($E691,'NI-San_SP'!$C:$AN,MID(AC$1,1,2),FALSE)</f>
        <v>0</v>
      </c>
      <c r="AD691" s="55">
        <f>VLOOKUP($E691,'NI-San_SP'!$C:$AN,MID(AD$1,1,2),FALSE)</f>
        <v>0</v>
      </c>
      <c r="AE691" s="55">
        <f>VLOOKUP($E691,'NI-San_SP'!$C:$AN,MID(AE$1,1,2),FALSE)</f>
        <v>0</v>
      </c>
      <c r="AF691" s="55">
        <f>VLOOKUP($E691,'NI-San_SP'!$C:$AN,MID(AF$1,1,2),FALSE)</f>
        <v>0</v>
      </c>
      <c r="AG691" s="55">
        <f>VLOOKUP($E691,'NI-San_SP'!$C:$AN,MID(AG$1,1,2),FALSE)</f>
        <v>0</v>
      </c>
      <c r="AH691" s="55">
        <f>VLOOKUP($E691,'NI-San_SP'!$C:$AN,MID(AH$1,1,2),FALSE)</f>
        <v>0</v>
      </c>
      <c r="AI691" s="55">
        <f>VLOOKUP($E691,'NI-San_SP'!$C:$AN,MID(AI$1,1,2),FALSE)</f>
        <v>0</v>
      </c>
      <c r="AJ691" s="55">
        <f>VLOOKUP($E691,'NI-San_SP'!$C:$AN,MID(AJ$1,1,2),FALSE)</f>
        <v>0</v>
      </c>
      <c r="AK691" s="55">
        <f>VLOOKUP($E691,'NI-San_SP'!$C:$AN,MID(AK$1,1,2),FALSE)</f>
        <v>0</v>
      </c>
      <c r="AL691" s="55">
        <f>VLOOKUP($E691,'NI-San_SP'!$C:$AN,MID(AL$1,1,2),FALSE)</f>
        <v>0</v>
      </c>
      <c r="AM691" s="56">
        <f>VLOOKUP($E691,'NI-San_SP'!$C:$AN,MID(AM$1,1,2),FALSE)</f>
        <v>0</v>
      </c>
      <c r="AN691" s="30" t="str">
        <f t="shared" si="10"/>
        <v>71304030020000</v>
      </c>
    </row>
    <row r="692" spans="3:40" x14ac:dyDescent="0.25">
      <c r="C692" s="40"/>
      <c r="D692" s="91" t="s">
        <v>2640</v>
      </c>
      <c r="E692" s="91" t="s">
        <v>2641</v>
      </c>
      <c r="F692" s="58" t="s">
        <v>110</v>
      </c>
      <c r="G692" s="52"/>
      <c r="H692" s="52"/>
      <c r="I692" s="52"/>
      <c r="J692" s="52"/>
      <c r="K692" s="59" t="s">
        <v>79</v>
      </c>
      <c r="L692" s="52"/>
      <c r="M692" s="52"/>
      <c r="N692" s="52"/>
      <c r="O692" s="52"/>
      <c r="P692" s="76" t="s">
        <v>2642</v>
      </c>
      <c r="Q692" s="55">
        <f>VLOOKUP(E692,'NI-San_SP'!$C:$AN,12,FALSE)</f>
        <v>0</v>
      </c>
      <c r="R692" s="55">
        <f>VLOOKUP(E692,'NI-San_SP'!$C:$AN,13,FALSE)</f>
        <v>0</v>
      </c>
      <c r="S692" s="55">
        <f>VLOOKUP(E692,'NI-San_SP'!$C:$AN,30,FALSE)</f>
        <v>0</v>
      </c>
      <c r="T692" s="94">
        <f>VLOOKUP(E692,'NI-San_SP'!$C:$AN,31,FALSE)+VLOOKUP(E692,'NI-San_SP'!$C:$AN,32,FALSE)</f>
        <v>0</v>
      </c>
      <c r="U692" s="55">
        <f>VLOOKUP($E692,'NI-San_SP'!$C:$AN,MID(U$1,1,2),FALSE)</f>
        <v>0</v>
      </c>
      <c r="V692" s="55">
        <f>VLOOKUP($E692,'NI-San_SP'!$C:$AN,MID(V$1,1,2),FALSE)</f>
        <v>0</v>
      </c>
      <c r="W692" s="55">
        <f>VLOOKUP($E692,'NI-San_SP'!$C:$AN,MID(W$1,1,2),FALSE)</f>
        <v>0</v>
      </c>
      <c r="X692" s="55">
        <f>VLOOKUP($E692,'NI-San_SP'!$C:$AN,MID(X$1,1,2),FALSE)</f>
        <v>0</v>
      </c>
      <c r="Y692" s="55">
        <f>VLOOKUP($E692,'NI-San_SP'!$C:$AN,MID(Y$1,1,2),FALSE)</f>
        <v>0</v>
      </c>
      <c r="Z692" s="55">
        <f>VLOOKUP($E692,'NI-San_SP'!$C:$AN,MID(Z$1,1,2),FALSE)</f>
        <v>0</v>
      </c>
      <c r="AA692" s="55">
        <f>VLOOKUP($E692,'NI-San_SP'!$C:$AN,MID(AA$1,1,2),FALSE)</f>
        <v>0</v>
      </c>
      <c r="AB692" s="55">
        <f>VLOOKUP($E692,'NI-San_SP'!$C:$AN,MID(AB$1,1,2),FALSE)</f>
        <v>0</v>
      </c>
      <c r="AC692" s="55">
        <f>VLOOKUP($E692,'NI-San_SP'!$C:$AN,MID(AC$1,1,2),FALSE)</f>
        <v>0</v>
      </c>
      <c r="AD692" s="55">
        <f>VLOOKUP($E692,'NI-San_SP'!$C:$AN,MID(AD$1,1,2),FALSE)</f>
        <v>0</v>
      </c>
      <c r="AE692" s="55">
        <f>VLOOKUP($E692,'NI-San_SP'!$C:$AN,MID(AE$1,1,2),FALSE)</f>
        <v>0</v>
      </c>
      <c r="AF692" s="55">
        <f>VLOOKUP($E692,'NI-San_SP'!$C:$AN,MID(AF$1,1,2),FALSE)</f>
        <v>0</v>
      </c>
      <c r="AG692" s="55">
        <f>VLOOKUP($E692,'NI-San_SP'!$C:$AN,MID(AG$1,1,2),FALSE)</f>
        <v>0</v>
      </c>
      <c r="AH692" s="55">
        <f>VLOOKUP($E692,'NI-San_SP'!$C:$AN,MID(AH$1,1,2),FALSE)</f>
        <v>0</v>
      </c>
      <c r="AI692" s="55">
        <f>VLOOKUP($E692,'NI-San_SP'!$C:$AN,MID(AI$1,1,2),FALSE)</f>
        <v>0</v>
      </c>
      <c r="AJ692" s="55">
        <f>VLOOKUP($E692,'NI-San_SP'!$C:$AN,MID(AJ$1,1,2),FALSE)</f>
        <v>0</v>
      </c>
      <c r="AK692" s="55">
        <f>VLOOKUP($E692,'NI-San_SP'!$C:$AN,MID(AK$1,1,2),FALSE)</f>
        <v>0</v>
      </c>
      <c r="AL692" s="55">
        <f>VLOOKUP($E692,'NI-San_SP'!$C:$AN,MID(AL$1,1,2),FALSE)</f>
        <v>0</v>
      </c>
      <c r="AM692" s="56">
        <f>VLOOKUP($E692,'NI-San_SP'!$C:$AN,MID(AM$1,1,2),FALSE)</f>
        <v>0</v>
      </c>
      <c r="AN692" s="30" t="str">
        <f t="shared" si="10"/>
        <v>71304030030000</v>
      </c>
    </row>
    <row r="693" spans="3:40" x14ac:dyDescent="0.25">
      <c r="C693" s="40"/>
      <c r="D693" s="91" t="s">
        <v>2643</v>
      </c>
      <c r="E693" s="91" t="s">
        <v>2644</v>
      </c>
      <c r="F693" s="58" t="s">
        <v>110</v>
      </c>
      <c r="G693" s="52" t="s">
        <v>1608</v>
      </c>
      <c r="H693" s="52"/>
      <c r="I693" s="52"/>
      <c r="J693" s="52"/>
      <c r="K693" s="59" t="s">
        <v>79</v>
      </c>
      <c r="L693" s="52"/>
      <c r="M693" s="52"/>
      <c r="N693" s="52"/>
      <c r="O693" s="52"/>
      <c r="P693" s="76" t="s">
        <v>2645</v>
      </c>
      <c r="Q693" s="55">
        <f>VLOOKUP(E693,'NI-San_SP'!$C:$AN,12,FALSE)</f>
        <v>0</v>
      </c>
      <c r="R693" s="55">
        <f>VLOOKUP(E693,'NI-San_SP'!$C:$AN,13,FALSE)</f>
        <v>0</v>
      </c>
      <c r="S693" s="55">
        <f>VLOOKUP(E693,'NI-San_SP'!$C:$AN,30,FALSE)</f>
        <v>0</v>
      </c>
      <c r="T693" s="94">
        <f>VLOOKUP(E693,'NI-San_SP'!$C:$AN,31,FALSE)+VLOOKUP(E693,'NI-San_SP'!$C:$AN,32,FALSE)</f>
        <v>0</v>
      </c>
      <c r="U693" s="55">
        <f>VLOOKUP($E693,'NI-San_SP'!$C:$AN,MID(U$1,1,2),FALSE)</f>
        <v>0</v>
      </c>
      <c r="V693" s="55">
        <f>VLOOKUP($E693,'NI-San_SP'!$C:$AN,MID(V$1,1,2),FALSE)</f>
        <v>0</v>
      </c>
      <c r="W693" s="55">
        <f>VLOOKUP($E693,'NI-San_SP'!$C:$AN,MID(W$1,1,2),FALSE)</f>
        <v>0</v>
      </c>
      <c r="X693" s="55">
        <f>VLOOKUP($E693,'NI-San_SP'!$C:$AN,MID(X$1,1,2),FALSE)</f>
        <v>0</v>
      </c>
      <c r="Y693" s="55">
        <f>VLOOKUP($E693,'NI-San_SP'!$C:$AN,MID(Y$1,1,2),FALSE)</f>
        <v>0</v>
      </c>
      <c r="Z693" s="55">
        <f>VLOOKUP($E693,'NI-San_SP'!$C:$AN,MID(Z$1,1,2),FALSE)</f>
        <v>0</v>
      </c>
      <c r="AA693" s="55">
        <f>VLOOKUP($E693,'NI-San_SP'!$C:$AN,MID(AA$1,1,2),FALSE)</f>
        <v>0</v>
      </c>
      <c r="AB693" s="55">
        <f>VLOOKUP($E693,'NI-San_SP'!$C:$AN,MID(AB$1,1,2),FALSE)</f>
        <v>0</v>
      </c>
      <c r="AC693" s="55">
        <f>VLOOKUP($E693,'NI-San_SP'!$C:$AN,MID(AC$1,1,2),FALSE)</f>
        <v>0</v>
      </c>
      <c r="AD693" s="55">
        <f>VLOOKUP($E693,'NI-San_SP'!$C:$AN,MID(AD$1,1,2),FALSE)</f>
        <v>0</v>
      </c>
      <c r="AE693" s="55">
        <f>VLOOKUP($E693,'NI-San_SP'!$C:$AN,MID(AE$1,1,2),FALSE)</f>
        <v>0</v>
      </c>
      <c r="AF693" s="55">
        <f>VLOOKUP($E693,'NI-San_SP'!$C:$AN,MID(AF$1,1,2),FALSE)</f>
        <v>0</v>
      </c>
      <c r="AG693" s="55">
        <f>VLOOKUP($E693,'NI-San_SP'!$C:$AN,MID(AG$1,1,2),FALSE)</f>
        <v>0</v>
      </c>
      <c r="AH693" s="55">
        <f>VLOOKUP($E693,'NI-San_SP'!$C:$AN,MID(AH$1,1,2),FALSE)</f>
        <v>0</v>
      </c>
      <c r="AI693" s="55">
        <f>VLOOKUP($E693,'NI-San_SP'!$C:$AN,MID(AI$1,1,2),FALSE)</f>
        <v>0</v>
      </c>
      <c r="AJ693" s="55">
        <f>VLOOKUP($E693,'NI-San_SP'!$C:$AN,MID(AJ$1,1,2),FALSE)</f>
        <v>0</v>
      </c>
      <c r="AK693" s="55">
        <f>VLOOKUP($E693,'NI-San_SP'!$C:$AN,MID(AK$1,1,2),FALSE)</f>
        <v>0</v>
      </c>
      <c r="AL693" s="55">
        <f>VLOOKUP($E693,'NI-San_SP'!$C:$AN,MID(AL$1,1,2),FALSE)</f>
        <v>0</v>
      </c>
      <c r="AM693" s="56">
        <f>VLOOKUP($E693,'NI-San_SP'!$C:$AN,MID(AM$1,1,2),FALSE)</f>
        <v>0</v>
      </c>
      <c r="AN693" s="30" t="str">
        <f t="shared" si="10"/>
        <v>71304030040000</v>
      </c>
    </row>
    <row r="694" spans="3:40" x14ac:dyDescent="0.25">
      <c r="C694" s="40"/>
      <c r="D694" s="49" t="s">
        <v>2646</v>
      </c>
      <c r="E694" s="49" t="s">
        <v>2647</v>
      </c>
      <c r="F694" s="50" t="s">
        <v>110</v>
      </c>
      <c r="G694" s="51"/>
      <c r="H694" s="52"/>
      <c r="I694" s="52"/>
      <c r="J694" s="52"/>
      <c r="K694" s="53" t="s">
        <v>111</v>
      </c>
      <c r="L694" s="62" t="s">
        <v>2648</v>
      </c>
      <c r="M694" s="52"/>
      <c r="N694" s="52"/>
      <c r="O694" s="52"/>
      <c r="P694" s="76" t="s">
        <v>2649</v>
      </c>
      <c r="Q694" s="55">
        <f>VLOOKUP(E694,'NI-San_SP'!$C:$AN,12,FALSE)</f>
        <v>37559</v>
      </c>
      <c r="R694" s="55">
        <f>VLOOKUP(E694,'NI-San_SP'!$C:$AN,13,FALSE)</f>
        <v>39537</v>
      </c>
      <c r="S694" s="55"/>
      <c r="T694" s="55"/>
      <c r="U694" s="55">
        <f>VLOOKUP($E694,'NI-San_SP'!$C:$AN,MID(U$1,1,2),FALSE)</f>
        <v>0</v>
      </c>
      <c r="V694" s="55">
        <f>VLOOKUP($E694,'NI-San_SP'!$C:$AN,MID(V$1,1,2),FALSE)</f>
        <v>0</v>
      </c>
      <c r="W694" s="55">
        <f>VLOOKUP($E694,'NI-San_SP'!$C:$AN,MID(W$1,1,2),FALSE)</f>
        <v>0</v>
      </c>
      <c r="X694" s="55">
        <f>VLOOKUP($E694,'NI-San_SP'!$C:$AN,MID(X$1,1,2),FALSE)</f>
        <v>0</v>
      </c>
      <c r="Y694" s="55">
        <f>VLOOKUP($E694,'NI-San_SP'!$C:$AN,MID(Y$1,1,2),FALSE)</f>
        <v>0</v>
      </c>
      <c r="Z694" s="55">
        <f>VLOOKUP($E694,'NI-San_SP'!$C:$AN,MID(Z$1,1,2),FALSE)</f>
        <v>0</v>
      </c>
      <c r="AA694" s="55">
        <f>VLOOKUP($E694,'NI-San_SP'!$C:$AN,MID(AA$1,1,2),FALSE)</f>
        <v>0</v>
      </c>
      <c r="AB694" s="55">
        <f>VLOOKUP($E694,'NI-San_SP'!$C:$AN,MID(AB$1,1,2),FALSE)</f>
        <v>0</v>
      </c>
      <c r="AC694" s="55">
        <f>VLOOKUP($E694,'NI-San_SP'!$C:$AN,MID(AC$1,1,2),FALSE)</f>
        <v>0</v>
      </c>
      <c r="AD694" s="55">
        <f>VLOOKUP($E694,'NI-San_SP'!$C:$AN,MID(AD$1,1,2),FALSE)</f>
        <v>0</v>
      </c>
      <c r="AE694" s="55">
        <f>VLOOKUP($E694,'NI-San_SP'!$C:$AN,MID(AE$1,1,2),FALSE)</f>
        <v>0</v>
      </c>
      <c r="AF694" s="55">
        <f>VLOOKUP($E694,'NI-San_SP'!$C:$AN,MID(AF$1,1,2),FALSE)</f>
        <v>0</v>
      </c>
      <c r="AG694" s="55">
        <f>VLOOKUP($E694,'NI-San_SP'!$C:$AN,MID(AG$1,1,2),FALSE)</f>
        <v>0</v>
      </c>
      <c r="AH694" s="55">
        <f>VLOOKUP($E694,'NI-San_SP'!$C:$AN,MID(AH$1,1,2),FALSE)</f>
        <v>0</v>
      </c>
      <c r="AI694" s="55">
        <f>VLOOKUP($E694,'NI-San_SP'!$C:$AN,MID(AI$1,1,2),FALSE)</f>
        <v>0</v>
      </c>
      <c r="AJ694" s="55">
        <f>VLOOKUP($E694,'NI-San_SP'!$C:$AN,MID(AJ$1,1,2),FALSE)</f>
        <v>0</v>
      </c>
      <c r="AK694" s="55">
        <f>VLOOKUP($E694,'NI-San_SP'!$C:$AN,MID(AK$1,1,2),FALSE)</f>
        <v>0</v>
      </c>
      <c r="AL694" s="55">
        <f>VLOOKUP($E694,'NI-San_SP'!$C:$AN,MID(AL$1,1,2),FALSE)</f>
        <v>0</v>
      </c>
      <c r="AM694" s="56">
        <f>VLOOKUP($E694,'NI-San_SP'!$C:$AN,MID(AM$1,1,2),FALSE)</f>
        <v>0</v>
      </c>
      <c r="AN694" s="30" t="str">
        <f t="shared" si="10"/>
        <v>80000000000000</v>
      </c>
    </row>
    <row r="695" spans="3:40" x14ac:dyDescent="0.25">
      <c r="C695" s="40"/>
      <c r="D695" s="57" t="s">
        <v>2650</v>
      </c>
      <c r="E695" s="57" t="s">
        <v>2651</v>
      </c>
      <c r="F695" s="58" t="s">
        <v>110</v>
      </c>
      <c r="G695" s="52"/>
      <c r="H695" s="52"/>
      <c r="I695" s="52"/>
      <c r="J695" s="52"/>
      <c r="K695" s="59" t="s">
        <v>111</v>
      </c>
      <c r="L695" s="52"/>
      <c r="M695" s="52"/>
      <c r="N695" s="52"/>
      <c r="O695" s="61" t="s">
        <v>2652</v>
      </c>
      <c r="P695" s="76" t="s">
        <v>2653</v>
      </c>
      <c r="Q695" s="55">
        <f>VLOOKUP(E695,'NI-San_SP'!$C:$AN,12,FALSE)</f>
        <v>0</v>
      </c>
      <c r="R695" s="55">
        <f>VLOOKUP(E695,'NI-San_SP'!$C:$AN,13,FALSE)</f>
        <v>0</v>
      </c>
      <c r="S695" s="55"/>
      <c r="T695" s="55"/>
      <c r="U695" s="55">
        <f>VLOOKUP($E695,'NI-San_SP'!$C:$AN,MID(U$1,1,2),FALSE)</f>
        <v>0</v>
      </c>
      <c r="V695" s="55">
        <f>VLOOKUP($E695,'NI-San_SP'!$C:$AN,MID(V$1,1,2),FALSE)</f>
        <v>0</v>
      </c>
      <c r="W695" s="55">
        <f>VLOOKUP($E695,'NI-San_SP'!$C:$AN,MID(W$1,1,2),FALSE)</f>
        <v>0</v>
      </c>
      <c r="X695" s="55">
        <f>VLOOKUP($E695,'NI-San_SP'!$C:$AN,MID(X$1,1,2),FALSE)</f>
        <v>0</v>
      </c>
      <c r="Y695" s="55">
        <f>VLOOKUP($E695,'NI-San_SP'!$C:$AN,MID(Y$1,1,2),FALSE)</f>
        <v>0</v>
      </c>
      <c r="Z695" s="55">
        <f>VLOOKUP($E695,'NI-San_SP'!$C:$AN,MID(Z$1,1,2),FALSE)</f>
        <v>0</v>
      </c>
      <c r="AA695" s="55">
        <f>VLOOKUP($E695,'NI-San_SP'!$C:$AN,MID(AA$1,1,2),FALSE)</f>
        <v>0</v>
      </c>
      <c r="AB695" s="55">
        <f>VLOOKUP($E695,'NI-San_SP'!$C:$AN,MID(AB$1,1,2),FALSE)</f>
        <v>0</v>
      </c>
      <c r="AC695" s="55">
        <f>VLOOKUP($E695,'NI-San_SP'!$C:$AN,MID(AC$1,1,2),FALSE)</f>
        <v>0</v>
      </c>
      <c r="AD695" s="55">
        <f>VLOOKUP($E695,'NI-San_SP'!$C:$AN,MID(AD$1,1,2),FALSE)</f>
        <v>0</v>
      </c>
      <c r="AE695" s="55">
        <f>VLOOKUP($E695,'NI-San_SP'!$C:$AN,MID(AE$1,1,2),FALSE)</f>
        <v>0</v>
      </c>
      <c r="AF695" s="55">
        <f>VLOOKUP($E695,'NI-San_SP'!$C:$AN,MID(AF$1,1,2),FALSE)</f>
        <v>0</v>
      </c>
      <c r="AG695" s="55">
        <f>VLOOKUP($E695,'NI-San_SP'!$C:$AN,MID(AG$1,1,2),FALSE)</f>
        <v>0</v>
      </c>
      <c r="AH695" s="55">
        <f>VLOOKUP($E695,'NI-San_SP'!$C:$AN,MID(AH$1,1,2),FALSE)</f>
        <v>0</v>
      </c>
      <c r="AI695" s="55">
        <f>VLOOKUP($E695,'NI-San_SP'!$C:$AN,MID(AI$1,1,2),FALSE)</f>
        <v>0</v>
      </c>
      <c r="AJ695" s="55">
        <f>VLOOKUP($E695,'NI-San_SP'!$C:$AN,MID(AJ$1,1,2),FALSE)</f>
        <v>0</v>
      </c>
      <c r="AK695" s="55">
        <f>VLOOKUP($E695,'NI-San_SP'!$C:$AN,MID(AK$1,1,2),FALSE)</f>
        <v>0</v>
      </c>
      <c r="AL695" s="55">
        <f>VLOOKUP($E695,'NI-San_SP'!$C:$AN,MID(AL$1,1,2),FALSE)</f>
        <v>0</v>
      </c>
      <c r="AM695" s="56">
        <f>VLOOKUP($E695,'NI-San_SP'!$C:$AN,MID(AM$1,1,2),FALSE)</f>
        <v>0</v>
      </c>
      <c r="AN695" s="30" t="str">
        <f t="shared" si="10"/>
        <v>80101000000000</v>
      </c>
    </row>
    <row r="696" spans="3:40" x14ac:dyDescent="0.25">
      <c r="C696" s="40"/>
      <c r="D696" s="57" t="s">
        <v>2654</v>
      </c>
      <c r="E696" s="57" t="s">
        <v>2655</v>
      </c>
      <c r="F696" s="58" t="s">
        <v>110</v>
      </c>
      <c r="G696" s="52"/>
      <c r="H696" s="52"/>
      <c r="I696" s="52" t="s">
        <v>2656</v>
      </c>
      <c r="J696" s="52" t="s">
        <v>2656</v>
      </c>
      <c r="K696" s="59" t="s">
        <v>79</v>
      </c>
      <c r="L696" s="52"/>
      <c r="M696" s="52"/>
      <c r="N696" s="52"/>
      <c r="O696" s="52"/>
      <c r="P696" s="76" t="s">
        <v>2657</v>
      </c>
      <c r="Q696" s="55">
        <f>VLOOKUP(E696,'NI-San_SP'!$C:$AN,12,FALSE)</f>
        <v>0</v>
      </c>
      <c r="R696" s="55">
        <f>VLOOKUP(E696,'NI-San_SP'!$C:$AN,13,FALSE)</f>
        <v>0</v>
      </c>
      <c r="S696" s="55"/>
      <c r="T696" s="55"/>
      <c r="U696" s="55">
        <f>VLOOKUP($E696,'NI-San_SP'!$C:$AN,MID(U$1,1,2),FALSE)</f>
        <v>0</v>
      </c>
      <c r="V696" s="55">
        <f>VLOOKUP($E696,'NI-San_SP'!$C:$AN,MID(V$1,1,2),FALSE)</f>
        <v>0</v>
      </c>
      <c r="W696" s="55">
        <f>VLOOKUP($E696,'NI-San_SP'!$C:$AN,MID(W$1,1,2),FALSE)</f>
        <v>0</v>
      </c>
      <c r="X696" s="55">
        <f>VLOOKUP($E696,'NI-San_SP'!$C:$AN,MID(X$1,1,2),FALSE)</f>
        <v>0</v>
      </c>
      <c r="Y696" s="55">
        <f>VLOOKUP($E696,'NI-San_SP'!$C:$AN,MID(Y$1,1,2),FALSE)</f>
        <v>0</v>
      </c>
      <c r="Z696" s="55">
        <f>VLOOKUP($E696,'NI-San_SP'!$C:$AN,MID(Z$1,1,2),FALSE)</f>
        <v>0</v>
      </c>
      <c r="AA696" s="55">
        <f>VLOOKUP($E696,'NI-San_SP'!$C:$AN,MID(AA$1,1,2),FALSE)</f>
        <v>0</v>
      </c>
      <c r="AB696" s="55">
        <f>VLOOKUP($E696,'NI-San_SP'!$C:$AN,MID(AB$1,1,2),FALSE)</f>
        <v>0</v>
      </c>
      <c r="AC696" s="55">
        <f>VLOOKUP($E696,'NI-San_SP'!$C:$AN,MID(AC$1,1,2),FALSE)</f>
        <v>0</v>
      </c>
      <c r="AD696" s="55">
        <f>VLOOKUP($E696,'NI-San_SP'!$C:$AN,MID(AD$1,1,2),FALSE)</f>
        <v>0</v>
      </c>
      <c r="AE696" s="55">
        <f>VLOOKUP($E696,'NI-San_SP'!$C:$AN,MID(AE$1,1,2),FALSE)</f>
        <v>0</v>
      </c>
      <c r="AF696" s="55">
        <f>VLOOKUP($E696,'NI-San_SP'!$C:$AN,MID(AF$1,1,2),FALSE)</f>
        <v>0</v>
      </c>
      <c r="AG696" s="55">
        <f>VLOOKUP($E696,'NI-San_SP'!$C:$AN,MID(AG$1,1,2),FALSE)</f>
        <v>0</v>
      </c>
      <c r="AH696" s="55">
        <f>VLOOKUP($E696,'NI-San_SP'!$C:$AN,MID(AH$1,1,2),FALSE)</f>
        <v>0</v>
      </c>
      <c r="AI696" s="55">
        <f>VLOOKUP($E696,'NI-San_SP'!$C:$AN,MID(AI$1,1,2),FALSE)</f>
        <v>0</v>
      </c>
      <c r="AJ696" s="55">
        <f>VLOOKUP($E696,'NI-San_SP'!$C:$AN,MID(AJ$1,1,2),FALSE)</f>
        <v>0</v>
      </c>
      <c r="AK696" s="55">
        <f>VLOOKUP($E696,'NI-San_SP'!$C:$AN,MID(AK$1,1,2),FALSE)</f>
        <v>0</v>
      </c>
      <c r="AL696" s="55">
        <f>VLOOKUP($E696,'NI-San_SP'!$C:$AN,MID(AL$1,1,2),FALSE)</f>
        <v>0</v>
      </c>
      <c r="AM696" s="56">
        <f>VLOOKUP($E696,'NI-San_SP'!$C:$AN,MID(AM$1,1,2),FALSE)</f>
        <v>0</v>
      </c>
      <c r="AN696" s="30" t="str">
        <f t="shared" si="10"/>
        <v>80101010000000</v>
      </c>
    </row>
    <row r="697" spans="3:40" x14ac:dyDescent="0.25">
      <c r="C697" s="40"/>
      <c r="D697" s="57" t="s">
        <v>2658</v>
      </c>
      <c r="E697" s="57" t="s">
        <v>2659</v>
      </c>
      <c r="F697" s="58" t="s">
        <v>110</v>
      </c>
      <c r="G697" s="52" t="s">
        <v>1608</v>
      </c>
      <c r="H697" s="52"/>
      <c r="I697" s="52" t="s">
        <v>2660</v>
      </c>
      <c r="J697" s="52" t="s">
        <v>2660</v>
      </c>
      <c r="K697" s="59" t="s">
        <v>111</v>
      </c>
      <c r="L697" s="52"/>
      <c r="M697" s="52"/>
      <c r="N697" s="52"/>
      <c r="O697" s="52"/>
      <c r="P697" s="76" t="s">
        <v>2661</v>
      </c>
      <c r="Q697" s="55">
        <f>VLOOKUP(E697,'NI-San_SP'!$C:$AN,12,FALSE)</f>
        <v>0</v>
      </c>
      <c r="R697" s="55">
        <f>VLOOKUP(E697,'NI-San_SP'!$C:$AN,13,FALSE)</f>
        <v>0</v>
      </c>
      <c r="S697" s="55"/>
      <c r="T697" s="55"/>
      <c r="U697" s="55">
        <f>VLOOKUP($E697,'NI-San_SP'!$C:$AN,MID(U$1,1,2),FALSE)</f>
        <v>0</v>
      </c>
      <c r="V697" s="55">
        <f>VLOOKUP($E697,'NI-San_SP'!$C:$AN,MID(V$1,1,2),FALSE)</f>
        <v>0</v>
      </c>
      <c r="W697" s="55">
        <f>VLOOKUP($E697,'NI-San_SP'!$C:$AN,MID(W$1,1,2),FALSE)</f>
        <v>0</v>
      </c>
      <c r="X697" s="55">
        <f>VLOOKUP($E697,'NI-San_SP'!$C:$AN,MID(X$1,1,2),FALSE)</f>
        <v>0</v>
      </c>
      <c r="Y697" s="55">
        <f>VLOOKUP($E697,'NI-San_SP'!$C:$AN,MID(Y$1,1,2),FALSE)</f>
        <v>0</v>
      </c>
      <c r="Z697" s="55">
        <f>VLOOKUP($E697,'NI-San_SP'!$C:$AN,MID(Z$1,1,2),FALSE)</f>
        <v>0</v>
      </c>
      <c r="AA697" s="55">
        <f>VLOOKUP($E697,'NI-San_SP'!$C:$AN,MID(AA$1,1,2),FALSE)</f>
        <v>0</v>
      </c>
      <c r="AB697" s="55">
        <f>VLOOKUP($E697,'NI-San_SP'!$C:$AN,MID(AB$1,1,2),FALSE)</f>
        <v>0</v>
      </c>
      <c r="AC697" s="55">
        <f>VLOOKUP($E697,'NI-San_SP'!$C:$AN,MID(AC$1,1,2),FALSE)</f>
        <v>0</v>
      </c>
      <c r="AD697" s="55">
        <f>VLOOKUP($E697,'NI-San_SP'!$C:$AN,MID(AD$1,1,2),FALSE)</f>
        <v>0</v>
      </c>
      <c r="AE697" s="55">
        <f>VLOOKUP($E697,'NI-San_SP'!$C:$AN,MID(AE$1,1,2),FALSE)</f>
        <v>0</v>
      </c>
      <c r="AF697" s="55">
        <f>VLOOKUP($E697,'NI-San_SP'!$C:$AN,MID(AF$1,1,2),FALSE)</f>
        <v>0</v>
      </c>
      <c r="AG697" s="55">
        <f>VLOOKUP($E697,'NI-San_SP'!$C:$AN,MID(AG$1,1,2),FALSE)</f>
        <v>0</v>
      </c>
      <c r="AH697" s="55">
        <f>VLOOKUP($E697,'NI-San_SP'!$C:$AN,MID(AH$1,1,2),FALSE)</f>
        <v>0</v>
      </c>
      <c r="AI697" s="55">
        <f>VLOOKUP($E697,'NI-San_SP'!$C:$AN,MID(AI$1,1,2),FALSE)</f>
        <v>0</v>
      </c>
      <c r="AJ697" s="55">
        <f>VLOOKUP($E697,'NI-San_SP'!$C:$AN,MID(AJ$1,1,2),FALSE)</f>
        <v>0</v>
      </c>
      <c r="AK697" s="55">
        <f>VLOOKUP($E697,'NI-San_SP'!$C:$AN,MID(AK$1,1,2),FALSE)</f>
        <v>0</v>
      </c>
      <c r="AL697" s="55">
        <f>VLOOKUP($E697,'NI-San_SP'!$C:$AN,MID(AL$1,1,2),FALSE)</f>
        <v>0</v>
      </c>
      <c r="AM697" s="56">
        <f>VLOOKUP($E697,'NI-San_SP'!$C:$AN,MID(AM$1,1,2),FALSE)</f>
        <v>0</v>
      </c>
      <c r="AN697" s="30" t="str">
        <f t="shared" si="10"/>
        <v>80102000000000</v>
      </c>
    </row>
    <row r="698" spans="3:40" x14ac:dyDescent="0.25">
      <c r="C698" s="40"/>
      <c r="D698" s="57" t="s">
        <v>2662</v>
      </c>
      <c r="E698" s="57" t="s">
        <v>2663</v>
      </c>
      <c r="F698" s="58" t="s">
        <v>110</v>
      </c>
      <c r="G698" s="52" t="s">
        <v>1608</v>
      </c>
      <c r="H698" s="52"/>
      <c r="I698" s="52"/>
      <c r="J698" s="52"/>
      <c r="K698" s="59" t="s">
        <v>79</v>
      </c>
      <c r="L698" s="52"/>
      <c r="M698" s="52"/>
      <c r="N698" s="52"/>
      <c r="O698" s="52"/>
      <c r="P698" s="76" t="s">
        <v>2664</v>
      </c>
      <c r="Q698" s="55">
        <f>VLOOKUP(E698,'NI-San_SP'!$C:$AN,12,FALSE)</f>
        <v>0</v>
      </c>
      <c r="R698" s="55">
        <f>VLOOKUP(E698,'NI-San_SP'!$C:$AN,13,FALSE)</f>
        <v>0</v>
      </c>
      <c r="S698" s="55"/>
      <c r="T698" s="55"/>
      <c r="U698" s="55">
        <f>VLOOKUP($E698,'NI-San_SP'!$C:$AN,MID(U$1,1,2),FALSE)</f>
        <v>0</v>
      </c>
      <c r="V698" s="55">
        <f>VLOOKUP($E698,'NI-San_SP'!$C:$AN,MID(V$1,1,2),FALSE)</f>
        <v>0</v>
      </c>
      <c r="W698" s="55">
        <f>VLOOKUP($E698,'NI-San_SP'!$C:$AN,MID(W$1,1,2),FALSE)</f>
        <v>0</v>
      </c>
      <c r="X698" s="55">
        <f>VLOOKUP($E698,'NI-San_SP'!$C:$AN,MID(X$1,1,2),FALSE)</f>
        <v>0</v>
      </c>
      <c r="Y698" s="55">
        <f>VLOOKUP($E698,'NI-San_SP'!$C:$AN,MID(Y$1,1,2),FALSE)</f>
        <v>0</v>
      </c>
      <c r="Z698" s="55">
        <f>VLOOKUP($E698,'NI-San_SP'!$C:$AN,MID(Z$1,1,2),FALSE)</f>
        <v>0</v>
      </c>
      <c r="AA698" s="55">
        <f>VLOOKUP($E698,'NI-San_SP'!$C:$AN,MID(AA$1,1,2),FALSE)</f>
        <v>0</v>
      </c>
      <c r="AB698" s="55">
        <f>VLOOKUP($E698,'NI-San_SP'!$C:$AN,MID(AB$1,1,2),FALSE)</f>
        <v>0</v>
      </c>
      <c r="AC698" s="55">
        <f>VLOOKUP($E698,'NI-San_SP'!$C:$AN,MID(AC$1,1,2),FALSE)</f>
        <v>0</v>
      </c>
      <c r="AD698" s="55">
        <f>VLOOKUP($E698,'NI-San_SP'!$C:$AN,MID(AD$1,1,2),FALSE)</f>
        <v>0</v>
      </c>
      <c r="AE698" s="55">
        <f>VLOOKUP($E698,'NI-San_SP'!$C:$AN,MID(AE$1,1,2),FALSE)</f>
        <v>0</v>
      </c>
      <c r="AF698" s="55">
        <f>VLOOKUP($E698,'NI-San_SP'!$C:$AN,MID(AF$1,1,2),FALSE)</f>
        <v>0</v>
      </c>
      <c r="AG698" s="55">
        <f>VLOOKUP($E698,'NI-San_SP'!$C:$AN,MID(AG$1,1,2),FALSE)</f>
        <v>0</v>
      </c>
      <c r="AH698" s="55">
        <f>VLOOKUP($E698,'NI-San_SP'!$C:$AN,MID(AH$1,1,2),FALSE)</f>
        <v>0</v>
      </c>
      <c r="AI698" s="55">
        <f>VLOOKUP($E698,'NI-San_SP'!$C:$AN,MID(AI$1,1,2),FALSE)</f>
        <v>0</v>
      </c>
      <c r="AJ698" s="55">
        <f>VLOOKUP($E698,'NI-San_SP'!$C:$AN,MID(AJ$1,1,2),FALSE)</f>
        <v>0</v>
      </c>
      <c r="AK698" s="55">
        <f>VLOOKUP($E698,'NI-San_SP'!$C:$AN,MID(AK$1,1,2),FALSE)</f>
        <v>0</v>
      </c>
      <c r="AL698" s="55">
        <f>VLOOKUP($E698,'NI-San_SP'!$C:$AN,MID(AL$1,1,2),FALSE)</f>
        <v>0</v>
      </c>
      <c r="AM698" s="56">
        <f>VLOOKUP($E698,'NI-San_SP'!$C:$AN,MID(AM$1,1,2),FALSE)</f>
        <v>0</v>
      </c>
      <c r="AN698" s="30" t="str">
        <f t="shared" si="10"/>
        <v>80102010000000</v>
      </c>
    </row>
    <row r="699" spans="3:40" x14ac:dyDescent="0.25">
      <c r="C699" s="40"/>
      <c r="D699" s="57" t="s">
        <v>2665</v>
      </c>
      <c r="E699" s="57" t="s">
        <v>2666</v>
      </c>
      <c r="F699" s="58" t="s">
        <v>110</v>
      </c>
      <c r="G699" s="52" t="s">
        <v>1608</v>
      </c>
      <c r="H699" s="52"/>
      <c r="I699" s="52"/>
      <c r="J699" s="52"/>
      <c r="K699" s="59" t="s">
        <v>79</v>
      </c>
      <c r="L699" s="52"/>
      <c r="M699" s="52"/>
      <c r="N699" s="52"/>
      <c r="O699" s="52"/>
      <c r="P699" s="76" t="s">
        <v>2667</v>
      </c>
      <c r="Q699" s="55">
        <f>VLOOKUP(E699,'NI-San_SP'!$C:$AN,12,FALSE)</f>
        <v>0</v>
      </c>
      <c r="R699" s="55">
        <f>VLOOKUP(E699,'NI-San_SP'!$C:$AN,13,FALSE)</f>
        <v>0</v>
      </c>
      <c r="S699" s="55"/>
      <c r="T699" s="55"/>
      <c r="U699" s="55">
        <f>VLOOKUP($E699,'NI-San_SP'!$C:$AN,MID(U$1,1,2),FALSE)</f>
        <v>0</v>
      </c>
      <c r="V699" s="55">
        <f>VLOOKUP($E699,'NI-San_SP'!$C:$AN,MID(V$1,1,2),FALSE)</f>
        <v>0</v>
      </c>
      <c r="W699" s="55">
        <f>VLOOKUP($E699,'NI-San_SP'!$C:$AN,MID(W$1,1,2),FALSE)</f>
        <v>0</v>
      </c>
      <c r="X699" s="55">
        <f>VLOOKUP($E699,'NI-San_SP'!$C:$AN,MID(X$1,1,2),FALSE)</f>
        <v>0</v>
      </c>
      <c r="Y699" s="55">
        <f>VLOOKUP($E699,'NI-San_SP'!$C:$AN,MID(Y$1,1,2),FALSE)</f>
        <v>0</v>
      </c>
      <c r="Z699" s="55">
        <f>VLOOKUP($E699,'NI-San_SP'!$C:$AN,MID(Z$1,1,2),FALSE)</f>
        <v>0</v>
      </c>
      <c r="AA699" s="55">
        <f>VLOOKUP($E699,'NI-San_SP'!$C:$AN,MID(AA$1,1,2),FALSE)</f>
        <v>0</v>
      </c>
      <c r="AB699" s="55">
        <f>VLOOKUP($E699,'NI-San_SP'!$C:$AN,MID(AB$1,1,2),FALSE)</f>
        <v>0</v>
      </c>
      <c r="AC699" s="55">
        <f>VLOOKUP($E699,'NI-San_SP'!$C:$AN,MID(AC$1,1,2),FALSE)</f>
        <v>0</v>
      </c>
      <c r="AD699" s="55">
        <f>VLOOKUP($E699,'NI-San_SP'!$C:$AN,MID(AD$1,1,2),FALSE)</f>
        <v>0</v>
      </c>
      <c r="AE699" s="55">
        <f>VLOOKUP($E699,'NI-San_SP'!$C:$AN,MID(AE$1,1,2),FALSE)</f>
        <v>0</v>
      </c>
      <c r="AF699" s="55">
        <f>VLOOKUP($E699,'NI-San_SP'!$C:$AN,MID(AF$1,1,2),FALSE)</f>
        <v>0</v>
      </c>
      <c r="AG699" s="55">
        <f>VLOOKUP($E699,'NI-San_SP'!$C:$AN,MID(AG$1,1,2),FALSE)</f>
        <v>0</v>
      </c>
      <c r="AH699" s="55">
        <f>VLOOKUP($E699,'NI-San_SP'!$C:$AN,MID(AH$1,1,2),FALSE)</f>
        <v>0</v>
      </c>
      <c r="AI699" s="55">
        <f>VLOOKUP($E699,'NI-San_SP'!$C:$AN,MID(AI$1,1,2),FALSE)</f>
        <v>0</v>
      </c>
      <c r="AJ699" s="55">
        <f>VLOOKUP($E699,'NI-San_SP'!$C:$AN,MID(AJ$1,1,2),FALSE)</f>
        <v>0</v>
      </c>
      <c r="AK699" s="55">
        <f>VLOOKUP($E699,'NI-San_SP'!$C:$AN,MID(AK$1,1,2),FALSE)</f>
        <v>0</v>
      </c>
      <c r="AL699" s="55">
        <f>VLOOKUP($E699,'NI-San_SP'!$C:$AN,MID(AL$1,1,2),FALSE)</f>
        <v>0</v>
      </c>
      <c r="AM699" s="56">
        <f>VLOOKUP($E699,'NI-San_SP'!$C:$AN,MID(AM$1,1,2),FALSE)</f>
        <v>0</v>
      </c>
      <c r="AN699" s="30" t="str">
        <f t="shared" si="10"/>
        <v>80102020000000</v>
      </c>
    </row>
    <row r="700" spans="3:40" x14ac:dyDescent="0.25">
      <c r="C700" s="40"/>
      <c r="D700" s="57" t="s">
        <v>2668</v>
      </c>
      <c r="E700" s="57" t="s">
        <v>2669</v>
      </c>
      <c r="F700" s="58" t="s">
        <v>110</v>
      </c>
      <c r="G700" s="52" t="s">
        <v>1608</v>
      </c>
      <c r="H700" s="52"/>
      <c r="I700" s="52"/>
      <c r="J700" s="52"/>
      <c r="K700" s="59" t="s">
        <v>79</v>
      </c>
      <c r="L700" s="52"/>
      <c r="M700" s="52"/>
      <c r="N700" s="52"/>
      <c r="O700" s="52"/>
      <c r="P700" s="76" t="s">
        <v>2670</v>
      </c>
      <c r="Q700" s="55">
        <f>VLOOKUP(E700,'NI-San_SP'!$C:$AN,12,FALSE)</f>
        <v>0</v>
      </c>
      <c r="R700" s="55">
        <f>VLOOKUP(E700,'NI-San_SP'!$C:$AN,13,FALSE)</f>
        <v>0</v>
      </c>
      <c r="S700" s="55"/>
      <c r="T700" s="55"/>
      <c r="U700" s="55">
        <f>VLOOKUP($E700,'NI-San_SP'!$C:$AN,MID(U$1,1,2),FALSE)</f>
        <v>0</v>
      </c>
      <c r="V700" s="55">
        <f>VLOOKUP($E700,'NI-San_SP'!$C:$AN,MID(V$1,1,2),FALSE)</f>
        <v>0</v>
      </c>
      <c r="W700" s="55">
        <f>VLOOKUP($E700,'NI-San_SP'!$C:$AN,MID(W$1,1,2),FALSE)</f>
        <v>0</v>
      </c>
      <c r="X700" s="55">
        <f>VLOOKUP($E700,'NI-San_SP'!$C:$AN,MID(X$1,1,2),FALSE)</f>
        <v>0</v>
      </c>
      <c r="Y700" s="55">
        <f>VLOOKUP($E700,'NI-San_SP'!$C:$AN,MID(Y$1,1,2),FALSE)</f>
        <v>0</v>
      </c>
      <c r="Z700" s="55">
        <f>VLOOKUP($E700,'NI-San_SP'!$C:$AN,MID(Z$1,1,2),FALSE)</f>
        <v>0</v>
      </c>
      <c r="AA700" s="55">
        <f>VLOOKUP($E700,'NI-San_SP'!$C:$AN,MID(AA$1,1,2),FALSE)</f>
        <v>0</v>
      </c>
      <c r="AB700" s="55">
        <f>VLOOKUP($E700,'NI-San_SP'!$C:$AN,MID(AB$1,1,2),FALSE)</f>
        <v>0</v>
      </c>
      <c r="AC700" s="55">
        <f>VLOOKUP($E700,'NI-San_SP'!$C:$AN,MID(AC$1,1,2),FALSE)</f>
        <v>0</v>
      </c>
      <c r="AD700" s="55">
        <f>VLOOKUP($E700,'NI-San_SP'!$C:$AN,MID(AD$1,1,2),FALSE)</f>
        <v>0</v>
      </c>
      <c r="AE700" s="55">
        <f>VLOOKUP($E700,'NI-San_SP'!$C:$AN,MID(AE$1,1,2),FALSE)</f>
        <v>0</v>
      </c>
      <c r="AF700" s="55">
        <f>VLOOKUP($E700,'NI-San_SP'!$C:$AN,MID(AF$1,1,2),FALSE)</f>
        <v>0</v>
      </c>
      <c r="AG700" s="55">
        <f>VLOOKUP($E700,'NI-San_SP'!$C:$AN,MID(AG$1,1,2),FALSE)</f>
        <v>0</v>
      </c>
      <c r="AH700" s="55">
        <f>VLOOKUP($E700,'NI-San_SP'!$C:$AN,MID(AH$1,1,2),FALSE)</f>
        <v>0</v>
      </c>
      <c r="AI700" s="55">
        <f>VLOOKUP($E700,'NI-San_SP'!$C:$AN,MID(AI$1,1,2),FALSE)</f>
        <v>0</v>
      </c>
      <c r="AJ700" s="55">
        <f>VLOOKUP($E700,'NI-San_SP'!$C:$AN,MID(AJ$1,1,2),FALSE)</f>
        <v>0</v>
      </c>
      <c r="AK700" s="55">
        <f>VLOOKUP($E700,'NI-San_SP'!$C:$AN,MID(AK$1,1,2),FALSE)</f>
        <v>0</v>
      </c>
      <c r="AL700" s="55">
        <f>VLOOKUP($E700,'NI-San_SP'!$C:$AN,MID(AL$1,1,2),FALSE)</f>
        <v>0</v>
      </c>
      <c r="AM700" s="56">
        <f>VLOOKUP($E700,'NI-San_SP'!$C:$AN,MID(AM$1,1,2),FALSE)</f>
        <v>0</v>
      </c>
      <c r="AN700" s="30" t="str">
        <f t="shared" si="10"/>
        <v>80102030000000</v>
      </c>
    </row>
    <row r="701" spans="3:40" x14ac:dyDescent="0.25">
      <c r="C701" s="40"/>
      <c r="D701" s="57" t="s">
        <v>2671</v>
      </c>
      <c r="E701" s="57" t="s">
        <v>2672</v>
      </c>
      <c r="F701" s="58" t="s">
        <v>110</v>
      </c>
      <c r="G701" s="52" t="s">
        <v>1608</v>
      </c>
      <c r="H701" s="52"/>
      <c r="I701" s="52"/>
      <c r="J701" s="52"/>
      <c r="K701" s="59" t="s">
        <v>79</v>
      </c>
      <c r="L701" s="52"/>
      <c r="M701" s="52"/>
      <c r="N701" s="52"/>
      <c r="O701" s="52"/>
      <c r="P701" s="76" t="s">
        <v>2673</v>
      </c>
      <c r="Q701" s="55">
        <f>VLOOKUP(E701,'NI-San_SP'!$C:$AN,12,FALSE)</f>
        <v>0</v>
      </c>
      <c r="R701" s="55">
        <f>VLOOKUP(E701,'NI-San_SP'!$C:$AN,13,FALSE)</f>
        <v>0</v>
      </c>
      <c r="S701" s="55"/>
      <c r="T701" s="55"/>
      <c r="U701" s="55">
        <f>VLOOKUP($E701,'NI-San_SP'!$C:$AN,MID(U$1,1,2),FALSE)</f>
        <v>0</v>
      </c>
      <c r="V701" s="55">
        <f>VLOOKUP($E701,'NI-San_SP'!$C:$AN,MID(V$1,1,2),FALSE)</f>
        <v>0</v>
      </c>
      <c r="W701" s="55">
        <f>VLOOKUP($E701,'NI-San_SP'!$C:$AN,MID(W$1,1,2),FALSE)</f>
        <v>0</v>
      </c>
      <c r="X701" s="55">
        <f>VLOOKUP($E701,'NI-San_SP'!$C:$AN,MID(X$1,1,2),FALSE)</f>
        <v>0</v>
      </c>
      <c r="Y701" s="55">
        <f>VLOOKUP($E701,'NI-San_SP'!$C:$AN,MID(Y$1,1,2),FALSE)</f>
        <v>0</v>
      </c>
      <c r="Z701" s="55">
        <f>VLOOKUP($E701,'NI-San_SP'!$C:$AN,MID(Z$1,1,2),FALSE)</f>
        <v>0</v>
      </c>
      <c r="AA701" s="55">
        <f>VLOOKUP($E701,'NI-San_SP'!$C:$AN,MID(AA$1,1,2),FALSE)</f>
        <v>0</v>
      </c>
      <c r="AB701" s="55">
        <f>VLOOKUP($E701,'NI-San_SP'!$C:$AN,MID(AB$1,1,2),FALSE)</f>
        <v>0</v>
      </c>
      <c r="AC701" s="55">
        <f>VLOOKUP($E701,'NI-San_SP'!$C:$AN,MID(AC$1,1,2),FALSE)</f>
        <v>0</v>
      </c>
      <c r="AD701" s="55">
        <f>VLOOKUP($E701,'NI-San_SP'!$C:$AN,MID(AD$1,1,2),FALSE)</f>
        <v>0</v>
      </c>
      <c r="AE701" s="55">
        <f>VLOOKUP($E701,'NI-San_SP'!$C:$AN,MID(AE$1,1,2),FALSE)</f>
        <v>0</v>
      </c>
      <c r="AF701" s="55">
        <f>VLOOKUP($E701,'NI-San_SP'!$C:$AN,MID(AF$1,1,2),FALSE)</f>
        <v>0</v>
      </c>
      <c r="AG701" s="55">
        <f>VLOOKUP($E701,'NI-San_SP'!$C:$AN,MID(AG$1,1,2),FALSE)</f>
        <v>0</v>
      </c>
      <c r="AH701" s="55">
        <f>VLOOKUP($E701,'NI-San_SP'!$C:$AN,MID(AH$1,1,2),FALSE)</f>
        <v>0</v>
      </c>
      <c r="AI701" s="55">
        <f>VLOOKUP($E701,'NI-San_SP'!$C:$AN,MID(AI$1,1,2),FALSE)</f>
        <v>0</v>
      </c>
      <c r="AJ701" s="55">
        <f>VLOOKUP($E701,'NI-San_SP'!$C:$AN,MID(AJ$1,1,2),FALSE)</f>
        <v>0</v>
      </c>
      <c r="AK701" s="55">
        <f>VLOOKUP($E701,'NI-San_SP'!$C:$AN,MID(AK$1,1,2),FALSE)</f>
        <v>0</v>
      </c>
      <c r="AL701" s="55">
        <f>VLOOKUP($E701,'NI-San_SP'!$C:$AN,MID(AL$1,1,2),FALSE)</f>
        <v>0</v>
      </c>
      <c r="AM701" s="56">
        <f>VLOOKUP($E701,'NI-San_SP'!$C:$AN,MID(AM$1,1,2),FALSE)</f>
        <v>0</v>
      </c>
      <c r="AN701" s="30" t="str">
        <f t="shared" si="10"/>
        <v>80102040000000</v>
      </c>
    </row>
    <row r="702" spans="3:40" x14ac:dyDescent="0.25">
      <c r="C702" s="40"/>
      <c r="D702" s="57" t="s">
        <v>2674</v>
      </c>
      <c r="E702" s="57" t="s">
        <v>2675</v>
      </c>
      <c r="F702" s="58" t="s">
        <v>110</v>
      </c>
      <c r="G702" s="52" t="s">
        <v>1608</v>
      </c>
      <c r="H702" s="52"/>
      <c r="I702" s="52"/>
      <c r="J702" s="52"/>
      <c r="K702" s="59" t="s">
        <v>79</v>
      </c>
      <c r="L702" s="52"/>
      <c r="M702" s="52"/>
      <c r="N702" s="52"/>
      <c r="O702" s="52"/>
      <c r="P702" s="76" t="s">
        <v>2676</v>
      </c>
      <c r="Q702" s="55">
        <f>VLOOKUP(E702,'NI-San_SP'!$C:$AN,12,FALSE)</f>
        <v>0</v>
      </c>
      <c r="R702" s="55">
        <f>VLOOKUP(E702,'NI-San_SP'!$C:$AN,13,FALSE)</f>
        <v>0</v>
      </c>
      <c r="S702" s="55"/>
      <c r="T702" s="55"/>
      <c r="U702" s="55">
        <f>VLOOKUP($E702,'NI-San_SP'!$C:$AN,MID(U$1,1,2),FALSE)</f>
        <v>0</v>
      </c>
      <c r="V702" s="55">
        <f>VLOOKUP($E702,'NI-San_SP'!$C:$AN,MID(V$1,1,2),FALSE)</f>
        <v>0</v>
      </c>
      <c r="W702" s="55">
        <f>VLOOKUP($E702,'NI-San_SP'!$C:$AN,MID(W$1,1,2),FALSE)</f>
        <v>0</v>
      </c>
      <c r="X702" s="55">
        <f>VLOOKUP($E702,'NI-San_SP'!$C:$AN,MID(X$1,1,2),FALSE)</f>
        <v>0</v>
      </c>
      <c r="Y702" s="55">
        <f>VLOOKUP($E702,'NI-San_SP'!$C:$AN,MID(Y$1,1,2),FALSE)</f>
        <v>0</v>
      </c>
      <c r="Z702" s="55">
        <f>VLOOKUP($E702,'NI-San_SP'!$C:$AN,MID(Z$1,1,2),FALSE)</f>
        <v>0</v>
      </c>
      <c r="AA702" s="55">
        <f>VLOOKUP($E702,'NI-San_SP'!$C:$AN,MID(AA$1,1,2),FALSE)</f>
        <v>0</v>
      </c>
      <c r="AB702" s="55">
        <f>VLOOKUP($E702,'NI-San_SP'!$C:$AN,MID(AB$1,1,2),FALSE)</f>
        <v>0</v>
      </c>
      <c r="AC702" s="55">
        <f>VLOOKUP($E702,'NI-San_SP'!$C:$AN,MID(AC$1,1,2),FALSE)</f>
        <v>0</v>
      </c>
      <c r="AD702" s="55">
        <f>VLOOKUP($E702,'NI-San_SP'!$C:$AN,MID(AD$1,1,2),FALSE)</f>
        <v>0</v>
      </c>
      <c r="AE702" s="55">
        <f>VLOOKUP($E702,'NI-San_SP'!$C:$AN,MID(AE$1,1,2),FALSE)</f>
        <v>0</v>
      </c>
      <c r="AF702" s="55">
        <f>VLOOKUP($E702,'NI-San_SP'!$C:$AN,MID(AF$1,1,2),FALSE)</f>
        <v>0</v>
      </c>
      <c r="AG702" s="55">
        <f>VLOOKUP($E702,'NI-San_SP'!$C:$AN,MID(AG$1,1,2),FALSE)</f>
        <v>0</v>
      </c>
      <c r="AH702" s="55">
        <f>VLOOKUP($E702,'NI-San_SP'!$C:$AN,MID(AH$1,1,2),FALSE)</f>
        <v>0</v>
      </c>
      <c r="AI702" s="55">
        <f>VLOOKUP($E702,'NI-San_SP'!$C:$AN,MID(AI$1,1,2),FALSE)</f>
        <v>0</v>
      </c>
      <c r="AJ702" s="55">
        <f>VLOOKUP($E702,'NI-San_SP'!$C:$AN,MID(AJ$1,1,2),FALSE)</f>
        <v>0</v>
      </c>
      <c r="AK702" s="55">
        <f>VLOOKUP($E702,'NI-San_SP'!$C:$AN,MID(AK$1,1,2),FALSE)</f>
        <v>0</v>
      </c>
      <c r="AL702" s="55">
        <f>VLOOKUP($E702,'NI-San_SP'!$C:$AN,MID(AL$1,1,2),FALSE)</f>
        <v>0</v>
      </c>
      <c r="AM702" s="56">
        <f>VLOOKUP($E702,'NI-San_SP'!$C:$AN,MID(AM$1,1,2),FALSE)</f>
        <v>0</v>
      </c>
      <c r="AN702" s="30" t="str">
        <f t="shared" si="10"/>
        <v>80102050000000</v>
      </c>
    </row>
    <row r="703" spans="3:40" x14ac:dyDescent="0.25">
      <c r="C703" s="40"/>
      <c r="D703" s="57" t="s">
        <v>2677</v>
      </c>
      <c r="E703" s="57" t="s">
        <v>2678</v>
      </c>
      <c r="F703" s="58" t="s">
        <v>110</v>
      </c>
      <c r="G703" s="52"/>
      <c r="H703" s="52"/>
      <c r="I703" s="52"/>
      <c r="J703" s="52"/>
      <c r="K703" s="59" t="s">
        <v>111</v>
      </c>
      <c r="L703" s="52"/>
      <c r="M703" s="52"/>
      <c r="N703" s="52"/>
      <c r="O703" s="61" t="s">
        <v>2679</v>
      </c>
      <c r="P703" s="76" t="s">
        <v>2680</v>
      </c>
      <c r="Q703" s="55">
        <f>VLOOKUP(E703,'NI-San_SP'!$C:$AN,12,FALSE)</f>
        <v>37559</v>
      </c>
      <c r="R703" s="55">
        <f>VLOOKUP(E703,'NI-San_SP'!$C:$AN,13,FALSE)</f>
        <v>39537</v>
      </c>
      <c r="S703" s="55"/>
      <c r="T703" s="55"/>
      <c r="U703" s="55">
        <f>VLOOKUP($E703,'NI-San_SP'!$C:$AN,MID(U$1,1,2),FALSE)</f>
        <v>0</v>
      </c>
      <c r="V703" s="55">
        <f>VLOOKUP($E703,'NI-San_SP'!$C:$AN,MID(V$1,1,2),FALSE)</f>
        <v>37559</v>
      </c>
      <c r="W703" s="55">
        <f>VLOOKUP($E703,'NI-San_SP'!$C:$AN,MID(W$1,1,2),FALSE)</f>
        <v>0</v>
      </c>
      <c r="X703" s="55">
        <f>VLOOKUP($E703,'NI-San_SP'!$C:$AN,MID(X$1,1,2),FALSE)</f>
        <v>39537</v>
      </c>
      <c r="Y703" s="55">
        <f>VLOOKUP($E703,'NI-San_SP'!$C:$AN,MID(Y$1,1,2),FALSE)</f>
        <v>0</v>
      </c>
      <c r="Z703" s="55">
        <f>VLOOKUP($E703,'NI-San_SP'!$C:$AN,MID(Z$1,1,2),FALSE)</f>
        <v>0</v>
      </c>
      <c r="AA703" s="55">
        <f>VLOOKUP($E703,'NI-San_SP'!$C:$AN,MID(AA$1,1,2),FALSE)</f>
        <v>0</v>
      </c>
      <c r="AB703" s="55">
        <f>VLOOKUP($E703,'NI-San_SP'!$C:$AN,MID(AB$1,1,2),FALSE)</f>
        <v>0</v>
      </c>
      <c r="AC703" s="55">
        <f>VLOOKUP($E703,'NI-San_SP'!$C:$AN,MID(AC$1,1,2),FALSE)</f>
        <v>0</v>
      </c>
      <c r="AD703" s="55">
        <f>VLOOKUP($E703,'NI-San_SP'!$C:$AN,MID(AD$1,1,2),FALSE)</f>
        <v>0</v>
      </c>
      <c r="AE703" s="55">
        <f>VLOOKUP($E703,'NI-San_SP'!$C:$AN,MID(AE$1,1,2),FALSE)</f>
        <v>0</v>
      </c>
      <c r="AF703" s="55">
        <f>VLOOKUP($E703,'NI-San_SP'!$C:$AN,MID(AF$1,1,2),FALSE)</f>
        <v>0</v>
      </c>
      <c r="AG703" s="55">
        <f>VLOOKUP($E703,'NI-San_SP'!$C:$AN,MID(AG$1,1,2),FALSE)</f>
        <v>0</v>
      </c>
      <c r="AH703" s="55">
        <f>VLOOKUP($E703,'NI-San_SP'!$C:$AN,MID(AH$1,1,2),FALSE)</f>
        <v>0</v>
      </c>
      <c r="AI703" s="55">
        <f>VLOOKUP($E703,'NI-San_SP'!$C:$AN,MID(AI$1,1,2),FALSE)</f>
        <v>0</v>
      </c>
      <c r="AJ703" s="55">
        <f>VLOOKUP($E703,'NI-San_SP'!$C:$AN,MID(AJ$1,1,2),FALSE)</f>
        <v>0</v>
      </c>
      <c r="AK703" s="55">
        <f>VLOOKUP($E703,'NI-San_SP'!$C:$AN,MID(AK$1,1,2),FALSE)</f>
        <v>0</v>
      </c>
      <c r="AL703" s="55">
        <f>VLOOKUP($E703,'NI-San_SP'!$C:$AN,MID(AL$1,1,2),FALSE)</f>
        <v>0</v>
      </c>
      <c r="AM703" s="56">
        <f>VLOOKUP($E703,'NI-San_SP'!$C:$AN,MID(AM$1,1,2),FALSE)</f>
        <v>0</v>
      </c>
      <c r="AN703" s="30" t="str">
        <f t="shared" si="10"/>
        <v>80200000000000</v>
      </c>
    </row>
    <row r="704" spans="3:40" x14ac:dyDescent="0.25">
      <c r="C704" s="40"/>
      <c r="D704" s="57" t="s">
        <v>2681</v>
      </c>
      <c r="E704" s="57" t="s">
        <v>2682</v>
      </c>
      <c r="F704" s="58" t="s">
        <v>110</v>
      </c>
      <c r="G704" s="52"/>
      <c r="H704" s="52"/>
      <c r="I704" s="52" t="s">
        <v>2683</v>
      </c>
      <c r="J704" s="52" t="s">
        <v>2683</v>
      </c>
      <c r="K704" s="59" t="s">
        <v>79</v>
      </c>
      <c r="L704" s="52"/>
      <c r="M704" s="52"/>
      <c r="N704" s="52"/>
      <c r="O704" s="52"/>
      <c r="P704" s="76" t="s">
        <v>2684</v>
      </c>
      <c r="Q704" s="55">
        <f>VLOOKUP(E704,'NI-San_SP'!$C:$AN,12,FALSE)</f>
        <v>37559</v>
      </c>
      <c r="R704" s="55">
        <f>VLOOKUP(E704,'NI-San_SP'!$C:$AN,13,FALSE)</f>
        <v>39537</v>
      </c>
      <c r="S704" s="55"/>
      <c r="T704" s="55"/>
      <c r="U704" s="55">
        <f>VLOOKUP($E704,'NI-San_SP'!$C:$AN,MID(U$1,1,2),FALSE)</f>
        <v>0</v>
      </c>
      <c r="V704" s="55">
        <f>VLOOKUP($E704,'NI-San_SP'!$C:$AN,MID(V$1,1,2),FALSE)</f>
        <v>37559</v>
      </c>
      <c r="W704" s="55">
        <f>VLOOKUP($E704,'NI-San_SP'!$C:$AN,MID(W$1,1,2),FALSE)</f>
        <v>0</v>
      </c>
      <c r="X704" s="55">
        <f>VLOOKUP($E704,'NI-San_SP'!$C:$AN,MID(X$1,1,2),FALSE)</f>
        <v>39537</v>
      </c>
      <c r="Y704" s="55">
        <f>VLOOKUP($E704,'NI-San_SP'!$C:$AN,MID(Y$1,1,2),FALSE)</f>
        <v>0</v>
      </c>
      <c r="Z704" s="55">
        <f>VLOOKUP($E704,'NI-San_SP'!$C:$AN,MID(Z$1,1,2),FALSE)</f>
        <v>0</v>
      </c>
      <c r="AA704" s="55">
        <f>VLOOKUP($E704,'NI-San_SP'!$C:$AN,MID(AA$1,1,2),FALSE)</f>
        <v>0</v>
      </c>
      <c r="AB704" s="55">
        <f>VLOOKUP($E704,'NI-San_SP'!$C:$AN,MID(AB$1,1,2),FALSE)</f>
        <v>0</v>
      </c>
      <c r="AC704" s="55">
        <f>VLOOKUP($E704,'NI-San_SP'!$C:$AN,MID(AC$1,1,2),FALSE)</f>
        <v>0</v>
      </c>
      <c r="AD704" s="55">
        <f>VLOOKUP($E704,'NI-San_SP'!$C:$AN,MID(AD$1,1,2),FALSE)</f>
        <v>0</v>
      </c>
      <c r="AE704" s="55">
        <f>VLOOKUP($E704,'NI-San_SP'!$C:$AN,MID(AE$1,1,2),FALSE)</f>
        <v>0</v>
      </c>
      <c r="AF704" s="55">
        <f>VLOOKUP($E704,'NI-San_SP'!$C:$AN,MID(AF$1,1,2),FALSE)</f>
        <v>0</v>
      </c>
      <c r="AG704" s="55">
        <f>VLOOKUP($E704,'NI-San_SP'!$C:$AN,MID(AG$1,1,2),FALSE)</f>
        <v>0</v>
      </c>
      <c r="AH704" s="55">
        <f>VLOOKUP($E704,'NI-San_SP'!$C:$AN,MID(AH$1,1,2),FALSE)</f>
        <v>0</v>
      </c>
      <c r="AI704" s="55">
        <f>VLOOKUP($E704,'NI-San_SP'!$C:$AN,MID(AI$1,1,2),FALSE)</f>
        <v>0</v>
      </c>
      <c r="AJ704" s="55">
        <f>VLOOKUP($E704,'NI-San_SP'!$C:$AN,MID(AJ$1,1,2),FALSE)</f>
        <v>0</v>
      </c>
      <c r="AK704" s="55">
        <f>VLOOKUP($E704,'NI-San_SP'!$C:$AN,MID(AK$1,1,2),FALSE)</f>
        <v>0</v>
      </c>
      <c r="AL704" s="55">
        <f>VLOOKUP($E704,'NI-San_SP'!$C:$AN,MID(AL$1,1,2),FALSE)</f>
        <v>0</v>
      </c>
      <c r="AM704" s="56">
        <f>VLOOKUP($E704,'NI-San_SP'!$C:$AN,MID(AM$1,1,2),FALSE)</f>
        <v>0</v>
      </c>
      <c r="AN704" s="30" t="str">
        <f t="shared" si="10"/>
        <v>80201000000000</v>
      </c>
    </row>
    <row r="705" spans="1:40" x14ac:dyDescent="0.25">
      <c r="C705" s="40"/>
      <c r="D705" s="57" t="s">
        <v>2685</v>
      </c>
      <c r="E705" s="57" t="s">
        <v>2686</v>
      </c>
      <c r="F705" s="58" t="s">
        <v>110</v>
      </c>
      <c r="G705" s="52" t="s">
        <v>1608</v>
      </c>
      <c r="H705" s="52"/>
      <c r="I705" s="52" t="s">
        <v>2687</v>
      </c>
      <c r="J705" s="52" t="s">
        <v>2687</v>
      </c>
      <c r="K705" s="59" t="s">
        <v>79</v>
      </c>
      <c r="L705" s="52"/>
      <c r="M705" s="52"/>
      <c r="N705" s="52"/>
      <c r="O705" s="52"/>
      <c r="P705" s="76" t="s">
        <v>2688</v>
      </c>
      <c r="Q705" s="55">
        <f>VLOOKUP(E705,'NI-San_SP'!$C:$AN,12,FALSE)</f>
        <v>0</v>
      </c>
      <c r="R705" s="55">
        <f>VLOOKUP(E705,'NI-San_SP'!$C:$AN,13,FALSE)</f>
        <v>0</v>
      </c>
      <c r="S705" s="55"/>
      <c r="T705" s="55"/>
      <c r="U705" s="55">
        <f>VLOOKUP($E705,'NI-San_SP'!$C:$AN,MID(U$1,1,2),FALSE)</f>
        <v>0</v>
      </c>
      <c r="V705" s="55">
        <f>VLOOKUP($E705,'NI-San_SP'!$C:$AN,MID(V$1,1,2),FALSE)</f>
        <v>0</v>
      </c>
      <c r="W705" s="55">
        <f>VLOOKUP($E705,'NI-San_SP'!$C:$AN,MID(W$1,1,2),FALSE)</f>
        <v>0</v>
      </c>
      <c r="X705" s="55">
        <f>VLOOKUP($E705,'NI-San_SP'!$C:$AN,MID(X$1,1,2),FALSE)</f>
        <v>0</v>
      </c>
      <c r="Y705" s="55">
        <f>VLOOKUP($E705,'NI-San_SP'!$C:$AN,MID(Y$1,1,2),FALSE)</f>
        <v>0</v>
      </c>
      <c r="Z705" s="55">
        <f>VLOOKUP($E705,'NI-San_SP'!$C:$AN,MID(Z$1,1,2),FALSE)</f>
        <v>0</v>
      </c>
      <c r="AA705" s="55">
        <f>VLOOKUP($E705,'NI-San_SP'!$C:$AN,MID(AA$1,1,2),FALSE)</f>
        <v>0</v>
      </c>
      <c r="AB705" s="55">
        <f>VLOOKUP($E705,'NI-San_SP'!$C:$AN,MID(AB$1,1,2),FALSE)</f>
        <v>0</v>
      </c>
      <c r="AC705" s="55">
        <f>VLOOKUP($E705,'NI-San_SP'!$C:$AN,MID(AC$1,1,2),FALSE)</f>
        <v>0</v>
      </c>
      <c r="AD705" s="55">
        <f>VLOOKUP($E705,'NI-San_SP'!$C:$AN,MID(AD$1,1,2),FALSE)</f>
        <v>0</v>
      </c>
      <c r="AE705" s="55">
        <f>VLOOKUP($E705,'NI-San_SP'!$C:$AN,MID(AE$1,1,2),FALSE)</f>
        <v>0</v>
      </c>
      <c r="AF705" s="55">
        <f>VLOOKUP($E705,'NI-San_SP'!$C:$AN,MID(AF$1,1,2),FALSE)</f>
        <v>0</v>
      </c>
      <c r="AG705" s="55">
        <f>VLOOKUP($E705,'NI-San_SP'!$C:$AN,MID(AG$1,1,2),FALSE)</f>
        <v>0</v>
      </c>
      <c r="AH705" s="55">
        <f>VLOOKUP($E705,'NI-San_SP'!$C:$AN,MID(AH$1,1,2),FALSE)</f>
        <v>0</v>
      </c>
      <c r="AI705" s="55">
        <f>VLOOKUP($E705,'NI-San_SP'!$C:$AN,MID(AI$1,1,2),FALSE)</f>
        <v>0</v>
      </c>
      <c r="AJ705" s="55">
        <f>VLOOKUP($E705,'NI-San_SP'!$C:$AN,MID(AJ$1,1,2),FALSE)</f>
        <v>0</v>
      </c>
      <c r="AK705" s="55">
        <f>VLOOKUP($E705,'NI-San_SP'!$C:$AN,MID(AK$1,1,2),FALSE)</f>
        <v>0</v>
      </c>
      <c r="AL705" s="55">
        <f>VLOOKUP($E705,'NI-San_SP'!$C:$AN,MID(AL$1,1,2),FALSE)</f>
        <v>0</v>
      </c>
      <c r="AM705" s="56">
        <f>VLOOKUP($E705,'NI-San_SP'!$C:$AN,MID(AM$1,1,2),FALSE)</f>
        <v>0</v>
      </c>
      <c r="AN705" s="30" t="str">
        <f t="shared" si="10"/>
        <v>80202000000000</v>
      </c>
    </row>
    <row r="706" spans="1:40" ht="13.5" customHeight="1" x14ac:dyDescent="0.25">
      <c r="A706" s="30" t="s">
        <v>1394</v>
      </c>
      <c r="C706" s="40"/>
      <c r="D706" s="98" t="s">
        <v>2689</v>
      </c>
      <c r="E706" s="98" t="s">
        <v>2690</v>
      </c>
      <c r="F706" s="58" t="s">
        <v>110</v>
      </c>
      <c r="H706" s="52"/>
      <c r="I706" s="52"/>
      <c r="J706" s="52" t="s">
        <v>2691</v>
      </c>
      <c r="K706" s="59" t="s">
        <v>79</v>
      </c>
      <c r="L706" s="52"/>
      <c r="M706" s="52"/>
      <c r="N706" s="52"/>
      <c r="O706" s="52"/>
      <c r="P706" s="79" t="s">
        <v>2692</v>
      </c>
      <c r="Q706" s="55">
        <f>VLOOKUP(E706,'NI-San_SP'!$C:$AN,12,FALSE)</f>
        <v>0</v>
      </c>
      <c r="R706" s="55">
        <f>VLOOKUP(E706,'NI-San_SP'!$C:$AN,13,FALSE)</f>
        <v>0</v>
      </c>
      <c r="S706" s="55">
        <f>VLOOKUP(E706,'NI-San_SP'!$C:$AN,30,FALSE)</f>
        <v>0</v>
      </c>
      <c r="T706" s="94">
        <f>VLOOKUP(E706,'NI-San_SP'!$C:$AN,31,FALSE)+VLOOKUP(E706,'NI-San_SP'!$C:$AN,32,FALSE)</f>
        <v>0</v>
      </c>
      <c r="U706" s="55">
        <f>VLOOKUP($E706,'NI-San_SP'!$C:$AN,MID(U$1,1,2),FALSE)</f>
        <v>0</v>
      </c>
      <c r="V706" s="55">
        <f>VLOOKUP($E706,'NI-San_SP'!$C:$AN,MID(V$1,1,2),FALSE)</f>
        <v>0</v>
      </c>
      <c r="W706" s="55">
        <f>VLOOKUP($E706,'NI-San_SP'!$C:$AN,MID(W$1,1,2),FALSE)</f>
        <v>0</v>
      </c>
      <c r="X706" s="55">
        <f>VLOOKUP($E706,'NI-San_SP'!$C:$AN,MID(X$1,1,2),FALSE)</f>
        <v>0</v>
      </c>
      <c r="Y706" s="55">
        <f>VLOOKUP($E706,'NI-San_SP'!$C:$AN,MID(Y$1,1,2),FALSE)</f>
        <v>0</v>
      </c>
      <c r="Z706" s="55">
        <f>VLOOKUP($E706,'NI-San_SP'!$C:$AN,MID(Z$1,1,2),FALSE)</f>
        <v>0</v>
      </c>
      <c r="AA706" s="55">
        <f>VLOOKUP($E706,'NI-San_SP'!$C:$AN,MID(AA$1,1,2),FALSE)</f>
        <v>0</v>
      </c>
      <c r="AB706" s="55">
        <f>VLOOKUP($E706,'NI-San_SP'!$C:$AN,MID(AB$1,1,2),FALSE)</f>
        <v>0</v>
      </c>
      <c r="AC706" s="55">
        <f>VLOOKUP($E706,'NI-San_SP'!$C:$AN,MID(AC$1,1,2),FALSE)</f>
        <v>0</v>
      </c>
      <c r="AD706" s="55">
        <f>VLOOKUP($E706,'NI-San_SP'!$C:$AN,MID(AD$1,1,2),FALSE)</f>
        <v>0</v>
      </c>
      <c r="AE706" s="55">
        <f>VLOOKUP($E706,'NI-San_SP'!$C:$AN,MID(AE$1,1,2),FALSE)</f>
        <v>0</v>
      </c>
      <c r="AF706" s="55">
        <f>VLOOKUP($E706,'NI-San_SP'!$C:$AN,MID(AF$1,1,2),FALSE)</f>
        <v>0</v>
      </c>
      <c r="AG706" s="55">
        <f>VLOOKUP($E706,'NI-San_SP'!$C:$AN,MID(AG$1,1,2),FALSE)</f>
        <v>0</v>
      </c>
      <c r="AH706" s="55">
        <f>VLOOKUP($E706,'NI-San_SP'!$C:$AN,MID(AH$1,1,2),FALSE)</f>
        <v>0</v>
      </c>
      <c r="AI706" s="55">
        <f>VLOOKUP($E706,'NI-San_SP'!$C:$AN,MID(AI$1,1,2),FALSE)</f>
        <v>0</v>
      </c>
      <c r="AJ706" s="55">
        <f>VLOOKUP($E706,'NI-San_SP'!$C:$AN,MID(AJ$1,1,2),FALSE)</f>
        <v>0</v>
      </c>
      <c r="AK706" s="55">
        <f>VLOOKUP($E706,'NI-San_SP'!$C:$AN,MID(AK$1,1,2),FALSE)</f>
        <v>0</v>
      </c>
      <c r="AL706" s="55">
        <f>VLOOKUP($E706,'NI-San_SP'!$C:$AN,MID(AL$1,1,2),FALSE)</f>
        <v>0</v>
      </c>
      <c r="AM706" s="56">
        <f>VLOOKUP($E706,'NI-San_SP'!$C:$AN,MID(AM$1,1,2),FALSE)</f>
        <v>0</v>
      </c>
      <c r="AN706" s="30" t="str">
        <f t="shared" ref="AN706:AN769" si="11">D706</f>
        <v>80203000000000</v>
      </c>
    </row>
    <row r="707" spans="1:40" x14ac:dyDescent="0.25">
      <c r="C707" s="40"/>
      <c r="D707" s="49" t="s">
        <v>2693</v>
      </c>
      <c r="E707" s="49" t="s">
        <v>2694</v>
      </c>
      <c r="F707" s="50" t="s">
        <v>110</v>
      </c>
      <c r="G707" s="51"/>
      <c r="H707" s="52"/>
      <c r="I707" s="52"/>
      <c r="J707" s="52"/>
      <c r="K707" s="53" t="s">
        <v>111</v>
      </c>
      <c r="L707" s="52"/>
      <c r="M707" s="52"/>
      <c r="N707" s="52"/>
      <c r="O707" s="52"/>
      <c r="P707" s="76" t="s">
        <v>2695</v>
      </c>
      <c r="Q707" s="55">
        <f>VLOOKUP(E707,'NI-San_SP'!$C:$AN,12,FALSE)</f>
        <v>7562304</v>
      </c>
      <c r="R707" s="55">
        <f>VLOOKUP(E707,'NI-San_SP'!$C:$AN,13,FALSE)</f>
        <v>8399763</v>
      </c>
      <c r="S707" s="55"/>
      <c r="T707" s="55"/>
      <c r="U707" s="55">
        <f>VLOOKUP($E707,'NI-San_SP'!$C:$AN,MID(U$1,1,2),FALSE)</f>
        <v>0</v>
      </c>
      <c r="V707" s="55">
        <f>VLOOKUP($E707,'NI-San_SP'!$C:$AN,MID(V$1,1,2),FALSE)</f>
        <v>0</v>
      </c>
      <c r="W707" s="55">
        <f>VLOOKUP($E707,'NI-San_SP'!$C:$AN,MID(W$1,1,2),FALSE)</f>
        <v>0</v>
      </c>
      <c r="X707" s="55" t="str">
        <f>VLOOKUP($E707,'NI-San_SP'!$C:$AN,MID(X$1,1,2),FALSE)</f>
        <v/>
      </c>
      <c r="Y707" s="55">
        <f>VLOOKUP($E707,'NI-San_SP'!$C:$AN,MID(Y$1,1,2),FALSE)</f>
        <v>0</v>
      </c>
      <c r="Z707" s="55">
        <f>VLOOKUP($E707,'NI-San_SP'!$C:$AN,MID(Z$1,1,2),FALSE)</f>
        <v>0</v>
      </c>
      <c r="AA707" s="55">
        <f>VLOOKUP($E707,'NI-San_SP'!$C:$AN,MID(AA$1,1,2),FALSE)</f>
        <v>0</v>
      </c>
      <c r="AB707" s="55">
        <f>VLOOKUP($E707,'NI-San_SP'!$C:$AN,MID(AB$1,1,2),FALSE)</f>
        <v>0</v>
      </c>
      <c r="AC707" s="55">
        <f>VLOOKUP($E707,'NI-San_SP'!$C:$AN,MID(AC$1,1,2),FALSE)</f>
        <v>0</v>
      </c>
      <c r="AD707" s="55">
        <f>VLOOKUP($E707,'NI-San_SP'!$C:$AN,MID(AD$1,1,2),FALSE)</f>
        <v>0</v>
      </c>
      <c r="AE707" s="55">
        <f>VLOOKUP($E707,'NI-San_SP'!$C:$AN,MID(AE$1,1,2),FALSE)</f>
        <v>0</v>
      </c>
      <c r="AF707" s="55">
        <f>VLOOKUP($E707,'NI-San_SP'!$C:$AN,MID(AF$1,1,2),FALSE)</f>
        <v>0</v>
      </c>
      <c r="AG707" s="55">
        <f>VLOOKUP($E707,'NI-San_SP'!$C:$AN,MID(AG$1,1,2),FALSE)</f>
        <v>0</v>
      </c>
      <c r="AH707" s="55">
        <f>VLOOKUP($E707,'NI-San_SP'!$C:$AN,MID(AH$1,1,2),FALSE)</f>
        <v>0</v>
      </c>
      <c r="AI707" s="55">
        <f>VLOOKUP($E707,'NI-San_SP'!$C:$AN,MID(AI$1,1,2),FALSE)</f>
        <v>0</v>
      </c>
      <c r="AJ707" s="55">
        <f>VLOOKUP($E707,'NI-San_SP'!$C:$AN,MID(AJ$1,1,2),FALSE)</f>
        <v>0</v>
      </c>
      <c r="AK707" s="55">
        <f>VLOOKUP($E707,'NI-San_SP'!$C:$AN,MID(AK$1,1,2),FALSE)</f>
        <v>0</v>
      </c>
      <c r="AL707" s="55">
        <f>VLOOKUP($E707,'NI-San_SP'!$C:$AN,MID(AL$1,1,2),FALSE)</f>
        <v>0</v>
      </c>
      <c r="AM707" s="56">
        <f>VLOOKUP($E707,'NI-San_SP'!$C:$AN,MID(AM$1,1,2),FALSE)</f>
        <v>0</v>
      </c>
      <c r="AN707" s="30" t="str">
        <f t="shared" si="11"/>
        <v>90000000000000</v>
      </c>
    </row>
    <row r="708" spans="1:40" x14ac:dyDescent="0.25">
      <c r="C708" s="40"/>
      <c r="D708" s="57" t="s">
        <v>2696</v>
      </c>
      <c r="E708" s="57" t="s">
        <v>2697</v>
      </c>
      <c r="F708" s="58" t="s">
        <v>110</v>
      </c>
      <c r="G708" s="65"/>
      <c r="H708" s="52"/>
      <c r="I708" s="52" t="s">
        <v>2698</v>
      </c>
      <c r="J708" s="52" t="s">
        <v>2698</v>
      </c>
      <c r="K708" s="59" t="s">
        <v>79</v>
      </c>
      <c r="L708" s="52"/>
      <c r="M708" s="52"/>
      <c r="N708" s="52"/>
      <c r="O708" s="61" t="s">
        <v>2699</v>
      </c>
      <c r="P708" s="76" t="s">
        <v>2700</v>
      </c>
      <c r="Q708" s="55">
        <f>VLOOKUP(E708,'NI-San_SP'!$C:$AN,12,FALSE)</f>
        <v>0</v>
      </c>
      <c r="R708" s="55">
        <f>VLOOKUP(E708,'NI-San_SP'!$C:$AN,13,FALSE)</f>
        <v>0</v>
      </c>
      <c r="S708" s="55"/>
      <c r="T708" s="55"/>
      <c r="U708" s="55">
        <f>VLOOKUP($E708,'NI-San_SP'!$C:$AN,MID(U$1,1,2),FALSE)</f>
        <v>0</v>
      </c>
      <c r="V708" s="55">
        <f>VLOOKUP($E708,'NI-San_SP'!$C:$AN,MID(V$1,1,2),FALSE)</f>
        <v>0</v>
      </c>
      <c r="W708" s="55">
        <f>VLOOKUP($E708,'NI-San_SP'!$C:$AN,MID(W$1,1,2),FALSE)</f>
        <v>0</v>
      </c>
      <c r="X708" s="55">
        <f>VLOOKUP($E708,'NI-San_SP'!$C:$AN,MID(X$1,1,2),FALSE)</f>
        <v>0</v>
      </c>
      <c r="Y708" s="55">
        <f>VLOOKUP($E708,'NI-San_SP'!$C:$AN,MID(Y$1,1,2),FALSE)</f>
        <v>0</v>
      </c>
      <c r="Z708" s="55">
        <f>VLOOKUP($E708,'NI-San_SP'!$C:$AN,MID(Z$1,1,2),FALSE)</f>
        <v>0</v>
      </c>
      <c r="AA708" s="55">
        <f>VLOOKUP($E708,'NI-San_SP'!$C:$AN,MID(AA$1,1,2),FALSE)</f>
        <v>0</v>
      </c>
      <c r="AB708" s="55">
        <f>VLOOKUP($E708,'NI-San_SP'!$C:$AN,MID(AB$1,1,2),FALSE)</f>
        <v>0</v>
      </c>
      <c r="AC708" s="55">
        <f>VLOOKUP($E708,'NI-San_SP'!$C:$AN,MID(AC$1,1,2),FALSE)</f>
        <v>0</v>
      </c>
      <c r="AD708" s="55">
        <f>VLOOKUP($E708,'NI-San_SP'!$C:$AN,MID(AD$1,1,2),FALSE)</f>
        <v>0</v>
      </c>
      <c r="AE708" s="55">
        <f>VLOOKUP($E708,'NI-San_SP'!$C:$AN,MID(AE$1,1,2),FALSE)</f>
        <v>0</v>
      </c>
      <c r="AF708" s="55">
        <f>VLOOKUP($E708,'NI-San_SP'!$C:$AN,MID(AF$1,1,2),FALSE)</f>
        <v>0</v>
      </c>
      <c r="AG708" s="55">
        <f>VLOOKUP($E708,'NI-San_SP'!$C:$AN,MID(AG$1,1,2),FALSE)</f>
        <v>0</v>
      </c>
      <c r="AH708" s="55">
        <f>VLOOKUP($E708,'NI-San_SP'!$C:$AN,MID(AH$1,1,2),FALSE)</f>
        <v>0</v>
      </c>
      <c r="AI708" s="55">
        <f>VLOOKUP($E708,'NI-San_SP'!$C:$AN,MID(AI$1,1,2),FALSE)</f>
        <v>0</v>
      </c>
      <c r="AJ708" s="55">
        <f>VLOOKUP($E708,'NI-San_SP'!$C:$AN,MID(AJ$1,1,2),FALSE)</f>
        <v>0</v>
      </c>
      <c r="AK708" s="55">
        <f>VLOOKUP($E708,'NI-San_SP'!$C:$AN,MID(AK$1,1,2),FALSE)</f>
        <v>0</v>
      </c>
      <c r="AL708" s="55">
        <f>VLOOKUP($E708,'NI-San_SP'!$C:$AN,MID(AL$1,1,2),FALSE)</f>
        <v>0</v>
      </c>
      <c r="AM708" s="56">
        <f>VLOOKUP($E708,'NI-San_SP'!$C:$AN,MID(AM$1,1,2),FALSE)</f>
        <v>0</v>
      </c>
      <c r="AN708" s="30" t="str">
        <f t="shared" si="11"/>
        <v>90100000000000</v>
      </c>
    </row>
    <row r="709" spans="1:40" x14ac:dyDescent="0.25">
      <c r="C709" s="40"/>
      <c r="D709" s="57" t="s">
        <v>2701</v>
      </c>
      <c r="E709" s="57" t="s">
        <v>2702</v>
      </c>
      <c r="F709" s="58" t="s">
        <v>110</v>
      </c>
      <c r="G709" s="65"/>
      <c r="H709" s="52"/>
      <c r="I709" s="52" t="s">
        <v>2703</v>
      </c>
      <c r="J709" s="52" t="s">
        <v>2703</v>
      </c>
      <c r="K709" s="59" t="s">
        <v>79</v>
      </c>
      <c r="L709" s="52"/>
      <c r="M709" s="52"/>
      <c r="N709" s="52"/>
      <c r="O709" s="61" t="s">
        <v>2704</v>
      </c>
      <c r="P709" s="76" t="s">
        <v>2705</v>
      </c>
      <c r="Q709" s="55">
        <f>VLOOKUP(E709,'NI-San_SP'!$C:$AN,12,FALSE)</f>
        <v>0</v>
      </c>
      <c r="R709" s="55">
        <f>VLOOKUP(E709,'NI-San_SP'!$C:$AN,13,FALSE)</f>
        <v>0</v>
      </c>
      <c r="S709" s="55"/>
      <c r="T709" s="55"/>
      <c r="U709" s="55">
        <f>VLOOKUP($E709,'NI-San_SP'!$C:$AN,MID(U$1,1,2),FALSE)</f>
        <v>0</v>
      </c>
      <c r="V709" s="55">
        <f>VLOOKUP($E709,'NI-San_SP'!$C:$AN,MID(V$1,1,2),FALSE)</f>
        <v>0</v>
      </c>
      <c r="W709" s="55">
        <f>VLOOKUP($E709,'NI-San_SP'!$C:$AN,MID(W$1,1,2),FALSE)</f>
        <v>0</v>
      </c>
      <c r="X709" s="55">
        <f>VLOOKUP($E709,'NI-San_SP'!$C:$AN,MID(X$1,1,2),FALSE)</f>
        <v>0</v>
      </c>
      <c r="Y709" s="55">
        <f>VLOOKUP($E709,'NI-San_SP'!$C:$AN,MID(Y$1,1,2),FALSE)</f>
        <v>0</v>
      </c>
      <c r="Z709" s="55">
        <f>VLOOKUP($E709,'NI-San_SP'!$C:$AN,MID(Z$1,1,2),FALSE)</f>
        <v>0</v>
      </c>
      <c r="AA709" s="55">
        <f>VLOOKUP($E709,'NI-San_SP'!$C:$AN,MID(AA$1,1,2),FALSE)</f>
        <v>0</v>
      </c>
      <c r="AB709" s="55">
        <f>VLOOKUP($E709,'NI-San_SP'!$C:$AN,MID(AB$1,1,2),FALSE)</f>
        <v>0</v>
      </c>
      <c r="AC709" s="55">
        <f>VLOOKUP($E709,'NI-San_SP'!$C:$AN,MID(AC$1,1,2),FALSE)</f>
        <v>0</v>
      </c>
      <c r="AD709" s="55">
        <f>VLOOKUP($E709,'NI-San_SP'!$C:$AN,MID(AD$1,1,2),FALSE)</f>
        <v>0</v>
      </c>
      <c r="AE709" s="55">
        <f>VLOOKUP($E709,'NI-San_SP'!$C:$AN,MID(AE$1,1,2),FALSE)</f>
        <v>0</v>
      </c>
      <c r="AF709" s="55">
        <f>VLOOKUP($E709,'NI-San_SP'!$C:$AN,MID(AF$1,1,2),FALSE)</f>
        <v>0</v>
      </c>
      <c r="AG709" s="55">
        <f>VLOOKUP($E709,'NI-San_SP'!$C:$AN,MID(AG$1,1,2),FALSE)</f>
        <v>0</v>
      </c>
      <c r="AH709" s="55">
        <f>VLOOKUP($E709,'NI-San_SP'!$C:$AN,MID(AH$1,1,2),FALSE)</f>
        <v>0</v>
      </c>
      <c r="AI709" s="55">
        <f>VLOOKUP($E709,'NI-San_SP'!$C:$AN,MID(AI$1,1,2),FALSE)</f>
        <v>0</v>
      </c>
      <c r="AJ709" s="55">
        <f>VLOOKUP($E709,'NI-San_SP'!$C:$AN,MID(AJ$1,1,2),FALSE)</f>
        <v>0</v>
      </c>
      <c r="AK709" s="55">
        <f>VLOOKUP($E709,'NI-San_SP'!$C:$AN,MID(AK$1,1,2),FALSE)</f>
        <v>0</v>
      </c>
      <c r="AL709" s="55">
        <f>VLOOKUP($E709,'NI-San_SP'!$C:$AN,MID(AL$1,1,2),FALSE)</f>
        <v>0</v>
      </c>
      <c r="AM709" s="56">
        <f>VLOOKUP($E709,'NI-San_SP'!$C:$AN,MID(AM$1,1,2),FALSE)</f>
        <v>0</v>
      </c>
      <c r="AN709" s="30" t="str">
        <f t="shared" si="11"/>
        <v>90200000000000</v>
      </c>
    </row>
    <row r="710" spans="1:40" x14ac:dyDescent="0.25">
      <c r="C710" s="40"/>
      <c r="D710" s="57" t="s">
        <v>2706</v>
      </c>
      <c r="E710" s="57" t="s">
        <v>2707</v>
      </c>
      <c r="F710" s="58" t="s">
        <v>110</v>
      </c>
      <c r="G710" s="65"/>
      <c r="H710" s="52"/>
      <c r="I710" s="52" t="s">
        <v>2708</v>
      </c>
      <c r="J710" s="52" t="s">
        <v>2708</v>
      </c>
      <c r="K710" s="59" t="s">
        <v>79</v>
      </c>
      <c r="L710" s="52"/>
      <c r="M710" s="52"/>
      <c r="N710" s="52"/>
      <c r="O710" s="61" t="s">
        <v>2709</v>
      </c>
      <c r="P710" s="76" t="s">
        <v>2710</v>
      </c>
      <c r="Q710" s="55">
        <f>VLOOKUP(E710,'NI-San_SP'!$C:$AN,12,FALSE)</f>
        <v>7812</v>
      </c>
      <c r="R710" s="55">
        <f>VLOOKUP(E710,'NI-San_SP'!$C:$AN,13,FALSE)</f>
        <v>7812</v>
      </c>
      <c r="S710" s="55"/>
      <c r="T710" s="55"/>
      <c r="U710" s="55">
        <f>VLOOKUP($E710,'NI-San_SP'!$C:$AN,MID(U$1,1,2),FALSE)</f>
        <v>0</v>
      </c>
      <c r="V710" s="55">
        <f>VLOOKUP($E710,'NI-San_SP'!$C:$AN,MID(V$1,1,2),FALSE)</f>
        <v>7812</v>
      </c>
      <c r="W710" s="55">
        <f>VLOOKUP($E710,'NI-San_SP'!$C:$AN,MID(W$1,1,2),FALSE)</f>
        <v>0</v>
      </c>
      <c r="X710" s="55">
        <f>VLOOKUP($E710,'NI-San_SP'!$C:$AN,MID(X$1,1,2),FALSE)</f>
        <v>0</v>
      </c>
      <c r="Y710" s="55">
        <f>VLOOKUP($E710,'NI-San_SP'!$C:$AN,MID(Y$1,1,2),FALSE)</f>
        <v>0</v>
      </c>
      <c r="Z710" s="55">
        <f>VLOOKUP($E710,'NI-San_SP'!$C:$AN,MID(Z$1,1,2),FALSE)</f>
        <v>7812</v>
      </c>
      <c r="AA710" s="55">
        <f>VLOOKUP($E710,'NI-San_SP'!$C:$AN,MID(AA$1,1,2),FALSE)</f>
        <v>0</v>
      </c>
      <c r="AB710" s="55">
        <f>VLOOKUP($E710,'NI-San_SP'!$C:$AN,MID(AB$1,1,2),FALSE)</f>
        <v>0</v>
      </c>
      <c r="AC710" s="55">
        <f>VLOOKUP($E710,'NI-San_SP'!$C:$AN,MID(AC$1,1,2),FALSE)</f>
        <v>0</v>
      </c>
      <c r="AD710" s="55">
        <f>VLOOKUP($E710,'NI-San_SP'!$C:$AN,MID(AD$1,1,2),FALSE)</f>
        <v>0</v>
      </c>
      <c r="AE710" s="55">
        <f>VLOOKUP($E710,'NI-San_SP'!$C:$AN,MID(AE$1,1,2),FALSE)</f>
        <v>0</v>
      </c>
      <c r="AF710" s="55">
        <f>VLOOKUP($E710,'NI-San_SP'!$C:$AN,MID(AF$1,1,2),FALSE)</f>
        <v>0</v>
      </c>
      <c r="AG710" s="55">
        <f>VLOOKUP($E710,'NI-San_SP'!$C:$AN,MID(AG$1,1,2),FALSE)</f>
        <v>0</v>
      </c>
      <c r="AH710" s="55">
        <f>VLOOKUP($E710,'NI-San_SP'!$C:$AN,MID(AH$1,1,2),FALSE)</f>
        <v>0</v>
      </c>
      <c r="AI710" s="55">
        <f>VLOOKUP($E710,'NI-San_SP'!$C:$AN,MID(AI$1,1,2),FALSE)</f>
        <v>0</v>
      </c>
      <c r="AJ710" s="55">
        <f>VLOOKUP($E710,'NI-San_SP'!$C:$AN,MID(AJ$1,1,2),FALSE)</f>
        <v>0</v>
      </c>
      <c r="AK710" s="55">
        <f>VLOOKUP($E710,'NI-San_SP'!$C:$AN,MID(AK$1,1,2),FALSE)</f>
        <v>0</v>
      </c>
      <c r="AL710" s="55">
        <f>VLOOKUP($E710,'NI-San_SP'!$C:$AN,MID(AL$1,1,2),FALSE)</f>
        <v>0</v>
      </c>
      <c r="AM710" s="56">
        <f>VLOOKUP($E710,'NI-San_SP'!$C:$AN,MID(AM$1,1,2),FALSE)</f>
        <v>0</v>
      </c>
      <c r="AN710" s="30" t="str">
        <f t="shared" si="11"/>
        <v>90300000000000</v>
      </c>
    </row>
    <row r="711" spans="1:40" x14ac:dyDescent="0.25">
      <c r="A711" s="30" t="s">
        <v>1394</v>
      </c>
      <c r="C711" s="40"/>
      <c r="D711" s="98" t="s">
        <v>2711</v>
      </c>
      <c r="E711" s="98" t="s">
        <v>2712</v>
      </c>
      <c r="F711" s="58" t="s">
        <v>110</v>
      </c>
      <c r="H711" s="52"/>
      <c r="I711" s="52"/>
      <c r="J711" s="52" t="s">
        <v>2713</v>
      </c>
      <c r="K711" s="59" t="s">
        <v>79</v>
      </c>
      <c r="L711" s="52"/>
      <c r="M711" s="52"/>
      <c r="N711" s="52"/>
      <c r="O711" s="61" t="s">
        <v>2714</v>
      </c>
      <c r="P711" s="79" t="s">
        <v>2715</v>
      </c>
      <c r="Q711" s="55">
        <f>VLOOKUP(E711,'NI-San_SP'!$C:$AN,12,FALSE)</f>
        <v>0</v>
      </c>
      <c r="R711" s="55">
        <f>VLOOKUP(E711,'NI-San_SP'!$C:$AN,13,FALSE)</f>
        <v>0</v>
      </c>
      <c r="S711" s="55"/>
      <c r="T711" s="55"/>
      <c r="U711" s="55">
        <f>VLOOKUP($E711,'NI-San_SP'!$C:$AN,MID(U$1,1,2),FALSE)</f>
        <v>0</v>
      </c>
      <c r="V711" s="55">
        <f>VLOOKUP($E711,'NI-San_SP'!$C:$AN,MID(V$1,1,2),FALSE)</f>
        <v>0</v>
      </c>
      <c r="W711" s="55">
        <f>VLOOKUP($E711,'NI-San_SP'!$C:$AN,MID(W$1,1,2),FALSE)</f>
        <v>0</v>
      </c>
      <c r="X711" s="55">
        <f>VLOOKUP($E711,'NI-San_SP'!$C:$AN,MID(X$1,1,2),FALSE)</f>
        <v>0</v>
      </c>
      <c r="Y711" s="55">
        <f>VLOOKUP($E711,'NI-San_SP'!$C:$AN,MID(Y$1,1,2),FALSE)</f>
        <v>0</v>
      </c>
      <c r="Z711" s="55">
        <f>VLOOKUP($E711,'NI-San_SP'!$C:$AN,MID(Z$1,1,2),FALSE)</f>
        <v>0</v>
      </c>
      <c r="AA711" s="55">
        <f>VLOOKUP($E711,'NI-San_SP'!$C:$AN,MID(AA$1,1,2),FALSE)</f>
        <v>0</v>
      </c>
      <c r="AB711" s="55">
        <f>VLOOKUP($E711,'NI-San_SP'!$C:$AN,MID(AB$1,1,2),FALSE)</f>
        <v>0</v>
      </c>
      <c r="AC711" s="55">
        <f>VLOOKUP($E711,'NI-San_SP'!$C:$AN,MID(AC$1,1,2),FALSE)</f>
        <v>0</v>
      </c>
      <c r="AD711" s="55">
        <f>VLOOKUP($E711,'NI-San_SP'!$C:$AN,MID(AD$1,1,2),FALSE)</f>
        <v>0</v>
      </c>
      <c r="AE711" s="55">
        <f>VLOOKUP($E711,'NI-San_SP'!$C:$AN,MID(AE$1,1,2),FALSE)</f>
        <v>0</v>
      </c>
      <c r="AF711" s="55">
        <f>VLOOKUP($E711,'NI-San_SP'!$C:$AN,MID(AF$1,1,2),FALSE)</f>
        <v>0</v>
      </c>
      <c r="AG711" s="55">
        <f>VLOOKUP($E711,'NI-San_SP'!$C:$AN,MID(AG$1,1,2),FALSE)</f>
        <v>0</v>
      </c>
      <c r="AH711" s="55">
        <f>VLOOKUP($E711,'NI-San_SP'!$C:$AN,MID(AH$1,1,2),FALSE)</f>
        <v>0</v>
      </c>
      <c r="AI711" s="55">
        <f>VLOOKUP($E711,'NI-San_SP'!$C:$AN,MID(AI$1,1,2),FALSE)</f>
        <v>0</v>
      </c>
      <c r="AJ711" s="55">
        <f>VLOOKUP($E711,'NI-San_SP'!$C:$AN,MID(AJ$1,1,2),FALSE)</f>
        <v>0</v>
      </c>
      <c r="AK711" s="55">
        <f>VLOOKUP($E711,'NI-San_SP'!$C:$AN,MID(AK$1,1,2),FALSE)</f>
        <v>0</v>
      </c>
      <c r="AL711" s="55">
        <f>VLOOKUP($E711,'NI-San_SP'!$C:$AN,MID(AL$1,1,2),FALSE)</f>
        <v>0</v>
      </c>
      <c r="AM711" s="56">
        <f>VLOOKUP($E711,'NI-San_SP'!$C:$AN,MID(AM$1,1,2),FALSE)</f>
        <v>0</v>
      </c>
      <c r="AN711" s="30" t="str">
        <f t="shared" si="11"/>
        <v>90400000000000</v>
      </c>
    </row>
    <row r="712" spans="1:40" x14ac:dyDescent="0.25">
      <c r="C712" s="40"/>
      <c r="D712" s="57" t="s">
        <v>2716</v>
      </c>
      <c r="E712" s="57" t="s">
        <v>2717</v>
      </c>
      <c r="F712" s="58" t="s">
        <v>110</v>
      </c>
      <c r="G712" s="65"/>
      <c r="H712" s="52"/>
      <c r="I712" s="52" t="s">
        <v>2718</v>
      </c>
      <c r="J712" s="52" t="s">
        <v>2718</v>
      </c>
      <c r="K712" s="59" t="s">
        <v>111</v>
      </c>
      <c r="L712" s="52"/>
      <c r="M712" s="52"/>
      <c r="N712" s="52"/>
      <c r="O712" s="61" t="s">
        <v>2714</v>
      </c>
      <c r="P712" s="76" t="s">
        <v>2719</v>
      </c>
      <c r="Q712" s="55">
        <f>VLOOKUP(E712,'NI-San_SP'!$C:$AN,12,FALSE)</f>
        <v>7554492</v>
      </c>
      <c r="R712" s="55">
        <f>VLOOKUP(E712,'NI-San_SP'!$C:$AN,13,FALSE)</f>
        <v>8391951</v>
      </c>
      <c r="S712" s="55"/>
      <c r="T712" s="55"/>
      <c r="U712" s="55">
        <f>VLOOKUP($E712,'NI-San_SP'!$C:$AN,MID(U$1,1,2),FALSE)</f>
        <v>0</v>
      </c>
      <c r="V712" s="55">
        <f>VLOOKUP($E712,'NI-San_SP'!$C:$AN,MID(V$1,1,2),FALSE)</f>
        <v>7554492</v>
      </c>
      <c r="W712" s="55">
        <f>VLOOKUP($E712,'NI-San_SP'!$C:$AN,MID(W$1,1,2),FALSE)</f>
        <v>0</v>
      </c>
      <c r="X712" s="55">
        <f>VLOOKUP($E712,'NI-San_SP'!$C:$AN,MID(X$1,1,2),FALSE)</f>
        <v>1058706</v>
      </c>
      <c r="Y712" s="55">
        <f>VLOOKUP($E712,'NI-San_SP'!$C:$AN,MID(Y$1,1,2),FALSE)</f>
        <v>221247</v>
      </c>
      <c r="Z712" s="55">
        <f>VLOOKUP($E712,'NI-San_SP'!$C:$AN,MID(Z$1,1,2),FALSE)</f>
        <v>8391951</v>
      </c>
      <c r="AA712" s="55">
        <f>VLOOKUP($E712,'NI-San_SP'!$C:$AN,MID(AA$1,1,2),FALSE)</f>
        <v>0</v>
      </c>
      <c r="AB712" s="55">
        <f>VLOOKUP($E712,'NI-San_SP'!$C:$AN,MID(AB$1,1,2),FALSE)</f>
        <v>0</v>
      </c>
      <c r="AC712" s="55">
        <f>VLOOKUP($E712,'NI-San_SP'!$C:$AN,MID(AC$1,1,2),FALSE)</f>
        <v>0</v>
      </c>
      <c r="AD712" s="55">
        <f>VLOOKUP($E712,'NI-San_SP'!$C:$AN,MID(AD$1,1,2),FALSE)</f>
        <v>0</v>
      </c>
      <c r="AE712" s="55">
        <f>VLOOKUP($E712,'NI-San_SP'!$C:$AN,MID(AE$1,1,2),FALSE)</f>
        <v>0</v>
      </c>
      <c r="AF712" s="55">
        <f>VLOOKUP($E712,'NI-San_SP'!$C:$AN,MID(AF$1,1,2),FALSE)</f>
        <v>0</v>
      </c>
      <c r="AG712" s="55">
        <f>VLOOKUP($E712,'NI-San_SP'!$C:$AN,MID(AG$1,1,2),FALSE)</f>
        <v>0</v>
      </c>
      <c r="AH712" s="55">
        <f>VLOOKUP($E712,'NI-San_SP'!$C:$AN,MID(AH$1,1,2),FALSE)</f>
        <v>0</v>
      </c>
      <c r="AI712" s="55">
        <f>VLOOKUP($E712,'NI-San_SP'!$C:$AN,MID(AI$1,1,2),FALSE)</f>
        <v>0</v>
      </c>
      <c r="AJ712" s="55">
        <f>VLOOKUP($E712,'NI-San_SP'!$C:$AN,MID(AJ$1,1,2),FALSE)</f>
        <v>0</v>
      </c>
      <c r="AK712" s="55">
        <f>VLOOKUP($E712,'NI-San_SP'!$C:$AN,MID(AK$1,1,2),FALSE)</f>
        <v>0</v>
      </c>
      <c r="AL712" s="55">
        <f>VLOOKUP($E712,'NI-San_SP'!$C:$AN,MID(AL$1,1,2),FALSE)</f>
        <v>0</v>
      </c>
      <c r="AM712" s="56">
        <f>VLOOKUP($E712,'NI-San_SP'!$C:$AN,MID(AM$1,1,2),FALSE)</f>
        <v>0</v>
      </c>
      <c r="AN712" s="30" t="str">
        <f t="shared" si="11"/>
        <v>90500000000000</v>
      </c>
    </row>
    <row r="713" spans="1:40" x14ac:dyDescent="0.25">
      <c r="C713" s="40"/>
      <c r="D713" s="57" t="s">
        <v>2720</v>
      </c>
      <c r="E713" s="57" t="s">
        <v>2721</v>
      </c>
      <c r="F713" s="58" t="s">
        <v>110</v>
      </c>
      <c r="G713" s="52"/>
      <c r="H713" s="52"/>
      <c r="I713" s="52"/>
      <c r="J713" s="52"/>
      <c r="K713" s="59" t="s">
        <v>111</v>
      </c>
      <c r="L713" s="52"/>
      <c r="M713" s="52"/>
      <c r="N713" s="52"/>
      <c r="O713" s="52"/>
      <c r="P713" s="76" t="s">
        <v>2722</v>
      </c>
      <c r="Q713" s="55">
        <f>VLOOKUP(E713,'NI-San_SP'!$C:$AN,12,FALSE)</f>
        <v>0</v>
      </c>
      <c r="R713" s="55">
        <f>VLOOKUP(E713,'NI-San_SP'!$C:$AN,13,FALSE)</f>
        <v>0</v>
      </c>
      <c r="S713" s="55"/>
      <c r="T713" s="55"/>
      <c r="U713" s="55">
        <f>VLOOKUP($E713,'NI-San_SP'!$C:$AN,MID(U$1,1,2),FALSE)</f>
        <v>0</v>
      </c>
      <c r="V713" s="55">
        <f>VLOOKUP($E713,'NI-San_SP'!$C:$AN,MID(V$1,1,2),FALSE)</f>
        <v>0</v>
      </c>
      <c r="W713" s="55">
        <f>VLOOKUP($E713,'NI-San_SP'!$C:$AN,MID(W$1,1,2),FALSE)</f>
        <v>0</v>
      </c>
      <c r="X713" s="55">
        <f>VLOOKUP($E713,'NI-San_SP'!$C:$AN,MID(X$1,1,2),FALSE)</f>
        <v>0</v>
      </c>
      <c r="Y713" s="55">
        <f>VLOOKUP($E713,'NI-San_SP'!$C:$AN,MID(Y$1,1,2),FALSE)</f>
        <v>0</v>
      </c>
      <c r="Z713" s="55">
        <f>VLOOKUP($E713,'NI-San_SP'!$C:$AN,MID(Z$1,1,2),FALSE)</f>
        <v>0</v>
      </c>
      <c r="AA713" s="55">
        <f>VLOOKUP($E713,'NI-San_SP'!$C:$AN,MID(AA$1,1,2),FALSE)</f>
        <v>0</v>
      </c>
      <c r="AB713" s="55">
        <f>VLOOKUP($E713,'NI-San_SP'!$C:$AN,MID(AB$1,1,2),FALSE)</f>
        <v>0</v>
      </c>
      <c r="AC713" s="55">
        <f>VLOOKUP($E713,'NI-San_SP'!$C:$AN,MID(AC$1,1,2),FALSE)</f>
        <v>0</v>
      </c>
      <c r="AD713" s="55">
        <f>VLOOKUP($E713,'NI-San_SP'!$C:$AN,MID(AD$1,1,2),FALSE)</f>
        <v>0</v>
      </c>
      <c r="AE713" s="55">
        <f>VLOOKUP($E713,'NI-San_SP'!$C:$AN,MID(AE$1,1,2),FALSE)</f>
        <v>0</v>
      </c>
      <c r="AF713" s="55">
        <f>VLOOKUP($E713,'NI-San_SP'!$C:$AN,MID(AF$1,1,2),FALSE)</f>
        <v>0</v>
      </c>
      <c r="AG713" s="55">
        <f>VLOOKUP($E713,'NI-San_SP'!$C:$AN,MID(AG$1,1,2),FALSE)</f>
        <v>0</v>
      </c>
      <c r="AH713" s="55">
        <f>VLOOKUP($E713,'NI-San_SP'!$C:$AN,MID(AH$1,1,2),FALSE)</f>
        <v>0</v>
      </c>
      <c r="AI713" s="55">
        <f>VLOOKUP($E713,'NI-San_SP'!$C:$AN,MID(AI$1,1,2),FALSE)</f>
        <v>0</v>
      </c>
      <c r="AJ713" s="55">
        <f>VLOOKUP($E713,'NI-San_SP'!$C:$AN,MID(AJ$1,1,2),FALSE)</f>
        <v>0</v>
      </c>
      <c r="AK713" s="55">
        <f>VLOOKUP($E713,'NI-San_SP'!$C:$AN,MID(AK$1,1,2),FALSE)</f>
        <v>0</v>
      </c>
      <c r="AL713" s="55">
        <f>VLOOKUP($E713,'NI-San_SP'!$C:$AN,MID(AL$1,1,2),FALSE)</f>
        <v>0</v>
      </c>
      <c r="AM713" s="56">
        <f>VLOOKUP($E713,'NI-San_SP'!$C:$AN,MID(AM$1,1,2),FALSE)</f>
        <v>0</v>
      </c>
      <c r="AN713" s="30" t="str">
        <f t="shared" si="11"/>
        <v>90501010000000</v>
      </c>
    </row>
    <row r="714" spans="1:40" x14ac:dyDescent="0.25">
      <c r="C714" s="40"/>
      <c r="D714" s="57" t="s">
        <v>2723</v>
      </c>
      <c r="E714" s="57" t="s">
        <v>2724</v>
      </c>
      <c r="F714" s="58" t="s">
        <v>110</v>
      </c>
      <c r="G714" s="52"/>
      <c r="H714" s="52"/>
      <c r="I714" s="52"/>
      <c r="J714" s="52"/>
      <c r="K714" s="59" t="s">
        <v>79</v>
      </c>
      <c r="L714" s="52"/>
      <c r="M714" s="52"/>
      <c r="N714" s="52"/>
      <c r="O714" s="52"/>
      <c r="P714" s="76" t="s">
        <v>1871</v>
      </c>
      <c r="Q714" s="55">
        <f>VLOOKUP(E714,'NI-San_SP'!$C:$AN,12,FALSE)</f>
        <v>153200</v>
      </c>
      <c r="R714" s="55">
        <f>VLOOKUP(E714,'NI-San_SP'!$C:$AN,13,FALSE)</f>
        <v>153200</v>
      </c>
      <c r="S714" s="55"/>
      <c r="T714" s="55"/>
      <c r="U714" s="55">
        <f>VLOOKUP($E714,'NI-San_SP'!$C:$AN,MID(U$1,1,2),FALSE)</f>
        <v>0</v>
      </c>
      <c r="V714" s="55">
        <f>VLOOKUP($E714,'NI-San_SP'!$C:$AN,MID(V$1,1,2),FALSE)</f>
        <v>153200</v>
      </c>
      <c r="W714" s="55">
        <f>VLOOKUP($E714,'NI-San_SP'!$C:$AN,MID(W$1,1,2),FALSE)</f>
        <v>0</v>
      </c>
      <c r="X714" s="55">
        <f>VLOOKUP($E714,'NI-San_SP'!$C:$AN,MID(X$1,1,2),FALSE)</f>
        <v>0</v>
      </c>
      <c r="Y714" s="55">
        <f>VLOOKUP($E714,'NI-San_SP'!$C:$AN,MID(Y$1,1,2),FALSE)</f>
        <v>0</v>
      </c>
      <c r="Z714" s="55">
        <f>VLOOKUP($E714,'NI-San_SP'!$C:$AN,MID(Z$1,1,2),FALSE)</f>
        <v>153200</v>
      </c>
      <c r="AA714" s="55">
        <f>VLOOKUP($E714,'NI-San_SP'!$C:$AN,MID(AA$1,1,2),FALSE)</f>
        <v>0</v>
      </c>
      <c r="AB714" s="55">
        <f>VLOOKUP($E714,'NI-San_SP'!$C:$AN,MID(AB$1,1,2),FALSE)</f>
        <v>0</v>
      </c>
      <c r="AC714" s="55">
        <f>VLOOKUP($E714,'NI-San_SP'!$C:$AN,MID(AC$1,1,2),FALSE)</f>
        <v>0</v>
      </c>
      <c r="AD714" s="55">
        <f>VLOOKUP($E714,'NI-San_SP'!$C:$AN,MID(AD$1,1,2),FALSE)</f>
        <v>0</v>
      </c>
      <c r="AE714" s="55">
        <f>VLOOKUP($E714,'NI-San_SP'!$C:$AN,MID(AE$1,1,2),FALSE)</f>
        <v>0</v>
      </c>
      <c r="AF714" s="55">
        <f>VLOOKUP($E714,'NI-San_SP'!$C:$AN,MID(AF$1,1,2),FALSE)</f>
        <v>0</v>
      </c>
      <c r="AG714" s="55">
        <f>VLOOKUP($E714,'NI-San_SP'!$C:$AN,MID(AG$1,1,2),FALSE)</f>
        <v>0</v>
      </c>
      <c r="AH714" s="55">
        <f>VLOOKUP($E714,'NI-San_SP'!$C:$AN,MID(AH$1,1,2),FALSE)</f>
        <v>0</v>
      </c>
      <c r="AI714" s="55">
        <f>VLOOKUP($E714,'NI-San_SP'!$C:$AN,MID(AI$1,1,2),FALSE)</f>
        <v>0</v>
      </c>
      <c r="AJ714" s="55">
        <f>VLOOKUP($E714,'NI-San_SP'!$C:$AN,MID(AJ$1,1,2),FALSE)</f>
        <v>0</v>
      </c>
      <c r="AK714" s="55">
        <f>VLOOKUP($E714,'NI-San_SP'!$C:$AN,MID(AK$1,1,2),FALSE)</f>
        <v>0</v>
      </c>
      <c r="AL714" s="55">
        <f>VLOOKUP($E714,'NI-San_SP'!$C:$AN,MID(AL$1,1,2),FALSE)</f>
        <v>0</v>
      </c>
      <c r="AM714" s="56">
        <f>VLOOKUP($E714,'NI-San_SP'!$C:$AN,MID(AM$1,1,2),FALSE)</f>
        <v>0</v>
      </c>
      <c r="AN714" s="30" t="str">
        <f t="shared" si="11"/>
        <v>90501010010000</v>
      </c>
    </row>
    <row r="715" spans="1:40" x14ac:dyDescent="0.25">
      <c r="C715" s="40"/>
      <c r="D715" s="57" t="s">
        <v>2725</v>
      </c>
      <c r="E715" s="57" t="s">
        <v>2726</v>
      </c>
      <c r="F715" s="58" t="s">
        <v>110</v>
      </c>
      <c r="G715" s="52"/>
      <c r="H715" s="52"/>
      <c r="I715" s="52"/>
      <c r="J715" s="52"/>
      <c r="K715" s="59" t="s">
        <v>79</v>
      </c>
      <c r="L715" s="52"/>
      <c r="M715" s="52"/>
      <c r="N715" s="52"/>
      <c r="O715" s="52"/>
      <c r="P715" s="76" t="s">
        <v>1874</v>
      </c>
      <c r="Q715" s="55">
        <f>VLOOKUP(E715,'NI-San_SP'!$C:$AN,12,FALSE)</f>
        <v>0</v>
      </c>
      <c r="R715" s="55">
        <f>VLOOKUP(E715,'NI-San_SP'!$C:$AN,13,FALSE)</f>
        <v>0</v>
      </c>
      <c r="S715" s="55"/>
      <c r="T715" s="55"/>
      <c r="U715" s="55">
        <f>VLOOKUP($E715,'NI-San_SP'!$C:$AN,MID(U$1,1,2),FALSE)</f>
        <v>0</v>
      </c>
      <c r="V715" s="55">
        <f>VLOOKUP($E715,'NI-San_SP'!$C:$AN,MID(V$1,1,2),FALSE)</f>
        <v>0</v>
      </c>
      <c r="W715" s="55">
        <f>VLOOKUP($E715,'NI-San_SP'!$C:$AN,MID(W$1,1,2),FALSE)</f>
        <v>0</v>
      </c>
      <c r="X715" s="55">
        <f>VLOOKUP($E715,'NI-San_SP'!$C:$AN,MID(X$1,1,2),FALSE)</f>
        <v>0</v>
      </c>
      <c r="Y715" s="55">
        <f>VLOOKUP($E715,'NI-San_SP'!$C:$AN,MID(Y$1,1,2),FALSE)</f>
        <v>0</v>
      </c>
      <c r="Z715" s="55">
        <f>VLOOKUP($E715,'NI-San_SP'!$C:$AN,MID(Z$1,1,2),FALSE)</f>
        <v>0</v>
      </c>
      <c r="AA715" s="55">
        <f>VLOOKUP($E715,'NI-San_SP'!$C:$AN,MID(AA$1,1,2),FALSE)</f>
        <v>0</v>
      </c>
      <c r="AB715" s="55">
        <f>VLOOKUP($E715,'NI-San_SP'!$C:$AN,MID(AB$1,1,2),FALSE)</f>
        <v>0</v>
      </c>
      <c r="AC715" s="55">
        <f>VLOOKUP($E715,'NI-San_SP'!$C:$AN,MID(AC$1,1,2),FALSE)</f>
        <v>0</v>
      </c>
      <c r="AD715" s="55">
        <f>VLOOKUP($E715,'NI-San_SP'!$C:$AN,MID(AD$1,1,2),FALSE)</f>
        <v>0</v>
      </c>
      <c r="AE715" s="55">
        <f>VLOOKUP($E715,'NI-San_SP'!$C:$AN,MID(AE$1,1,2),FALSE)</f>
        <v>0</v>
      </c>
      <c r="AF715" s="55">
        <f>VLOOKUP($E715,'NI-San_SP'!$C:$AN,MID(AF$1,1,2),FALSE)</f>
        <v>0</v>
      </c>
      <c r="AG715" s="55">
        <f>VLOOKUP($E715,'NI-San_SP'!$C:$AN,MID(AG$1,1,2),FALSE)</f>
        <v>0</v>
      </c>
      <c r="AH715" s="55">
        <f>VLOOKUP($E715,'NI-San_SP'!$C:$AN,MID(AH$1,1,2),FALSE)</f>
        <v>0</v>
      </c>
      <c r="AI715" s="55">
        <f>VLOOKUP($E715,'NI-San_SP'!$C:$AN,MID(AI$1,1,2),FALSE)</f>
        <v>0</v>
      </c>
      <c r="AJ715" s="55">
        <f>VLOOKUP($E715,'NI-San_SP'!$C:$AN,MID(AJ$1,1,2),FALSE)</f>
        <v>0</v>
      </c>
      <c r="AK715" s="55">
        <f>VLOOKUP($E715,'NI-San_SP'!$C:$AN,MID(AK$1,1,2),FALSE)</f>
        <v>0</v>
      </c>
      <c r="AL715" s="55">
        <f>VLOOKUP($E715,'NI-San_SP'!$C:$AN,MID(AL$1,1,2),FALSE)</f>
        <v>0</v>
      </c>
      <c r="AM715" s="56">
        <f>VLOOKUP($E715,'NI-San_SP'!$C:$AN,MID(AM$1,1,2),FALSE)</f>
        <v>0</v>
      </c>
      <c r="AN715" s="30" t="str">
        <f t="shared" si="11"/>
        <v>90501010020000</v>
      </c>
    </row>
    <row r="716" spans="1:40" x14ac:dyDescent="0.25">
      <c r="C716" s="40"/>
      <c r="D716" s="57" t="s">
        <v>2727</v>
      </c>
      <c r="E716" s="57" t="s">
        <v>2728</v>
      </c>
      <c r="F716" s="58" t="s">
        <v>110</v>
      </c>
      <c r="G716" s="52"/>
      <c r="H716" s="52"/>
      <c r="I716" s="52"/>
      <c r="J716" s="52"/>
      <c r="K716" s="59" t="s">
        <v>79</v>
      </c>
      <c r="L716" s="52"/>
      <c r="M716" s="52"/>
      <c r="N716" s="52"/>
      <c r="O716" s="52"/>
      <c r="P716" s="76" t="s">
        <v>1877</v>
      </c>
      <c r="Q716" s="55">
        <f>VLOOKUP(E716,'NI-San_SP'!$C:$AN,12,FALSE)</f>
        <v>0</v>
      </c>
      <c r="R716" s="55">
        <f>VLOOKUP(E716,'NI-San_SP'!$C:$AN,13,FALSE)</f>
        <v>0</v>
      </c>
      <c r="S716" s="55"/>
      <c r="T716" s="55"/>
      <c r="U716" s="55">
        <f>VLOOKUP($E716,'NI-San_SP'!$C:$AN,MID(U$1,1,2),FALSE)</f>
        <v>0</v>
      </c>
      <c r="V716" s="55">
        <f>VLOOKUP($E716,'NI-San_SP'!$C:$AN,MID(V$1,1,2),FALSE)</f>
        <v>0</v>
      </c>
      <c r="W716" s="55">
        <f>VLOOKUP($E716,'NI-San_SP'!$C:$AN,MID(W$1,1,2),FALSE)</f>
        <v>0</v>
      </c>
      <c r="X716" s="55">
        <f>VLOOKUP($E716,'NI-San_SP'!$C:$AN,MID(X$1,1,2),FALSE)</f>
        <v>0</v>
      </c>
      <c r="Y716" s="55">
        <f>VLOOKUP($E716,'NI-San_SP'!$C:$AN,MID(Y$1,1,2),FALSE)</f>
        <v>0</v>
      </c>
      <c r="Z716" s="55">
        <f>VLOOKUP($E716,'NI-San_SP'!$C:$AN,MID(Z$1,1,2),FALSE)</f>
        <v>0</v>
      </c>
      <c r="AA716" s="55">
        <f>VLOOKUP($E716,'NI-San_SP'!$C:$AN,MID(AA$1,1,2),FALSE)</f>
        <v>0</v>
      </c>
      <c r="AB716" s="55">
        <f>VLOOKUP($E716,'NI-San_SP'!$C:$AN,MID(AB$1,1,2),FALSE)</f>
        <v>0</v>
      </c>
      <c r="AC716" s="55">
        <f>VLOOKUP($E716,'NI-San_SP'!$C:$AN,MID(AC$1,1,2),FALSE)</f>
        <v>0</v>
      </c>
      <c r="AD716" s="55">
        <f>VLOOKUP($E716,'NI-San_SP'!$C:$AN,MID(AD$1,1,2),FALSE)</f>
        <v>0</v>
      </c>
      <c r="AE716" s="55">
        <f>VLOOKUP($E716,'NI-San_SP'!$C:$AN,MID(AE$1,1,2),FALSE)</f>
        <v>0</v>
      </c>
      <c r="AF716" s="55">
        <f>VLOOKUP($E716,'NI-San_SP'!$C:$AN,MID(AF$1,1,2),FALSE)</f>
        <v>0</v>
      </c>
      <c r="AG716" s="55">
        <f>VLOOKUP($E716,'NI-San_SP'!$C:$AN,MID(AG$1,1,2),FALSE)</f>
        <v>0</v>
      </c>
      <c r="AH716" s="55">
        <f>VLOOKUP($E716,'NI-San_SP'!$C:$AN,MID(AH$1,1,2),FALSE)</f>
        <v>0</v>
      </c>
      <c r="AI716" s="55">
        <f>VLOOKUP($E716,'NI-San_SP'!$C:$AN,MID(AI$1,1,2),FALSE)</f>
        <v>0</v>
      </c>
      <c r="AJ716" s="55">
        <f>VLOOKUP($E716,'NI-San_SP'!$C:$AN,MID(AJ$1,1,2),FALSE)</f>
        <v>0</v>
      </c>
      <c r="AK716" s="55">
        <f>VLOOKUP($E716,'NI-San_SP'!$C:$AN,MID(AK$1,1,2),FALSE)</f>
        <v>0</v>
      </c>
      <c r="AL716" s="55">
        <f>VLOOKUP($E716,'NI-San_SP'!$C:$AN,MID(AL$1,1,2),FALSE)</f>
        <v>0</v>
      </c>
      <c r="AM716" s="56">
        <f>VLOOKUP($E716,'NI-San_SP'!$C:$AN,MID(AM$1,1,2),FALSE)</f>
        <v>0</v>
      </c>
      <c r="AN716" s="30" t="str">
        <f t="shared" si="11"/>
        <v>90501010030000</v>
      </c>
    </row>
    <row r="717" spans="1:40" x14ac:dyDescent="0.25">
      <c r="C717" s="40"/>
      <c r="D717" s="57" t="s">
        <v>2729</v>
      </c>
      <c r="E717" s="57" t="s">
        <v>2730</v>
      </c>
      <c r="F717" s="58" t="s">
        <v>110</v>
      </c>
      <c r="G717" s="52"/>
      <c r="H717" s="52"/>
      <c r="I717" s="52"/>
      <c r="J717" s="52"/>
      <c r="K717" s="59" t="s">
        <v>111</v>
      </c>
      <c r="L717" s="52"/>
      <c r="M717" s="52"/>
      <c r="N717" s="52"/>
      <c r="O717" s="52"/>
      <c r="P717" s="76" t="s">
        <v>2731</v>
      </c>
      <c r="Q717" s="55">
        <f>VLOOKUP(E717,'NI-San_SP'!$C:$AN,12,FALSE)</f>
        <v>0</v>
      </c>
      <c r="R717" s="55">
        <f>VLOOKUP(E717,'NI-San_SP'!$C:$AN,13,FALSE)</f>
        <v>0</v>
      </c>
      <c r="S717" s="55"/>
      <c r="T717" s="55"/>
      <c r="U717" s="55">
        <f>VLOOKUP($E717,'NI-San_SP'!$C:$AN,MID(U$1,1,2),FALSE)</f>
        <v>0</v>
      </c>
      <c r="V717" s="55">
        <f>VLOOKUP($E717,'NI-San_SP'!$C:$AN,MID(V$1,1,2),FALSE)</f>
        <v>0</v>
      </c>
      <c r="W717" s="55">
        <f>VLOOKUP($E717,'NI-San_SP'!$C:$AN,MID(W$1,1,2),FALSE)</f>
        <v>0</v>
      </c>
      <c r="X717" s="55">
        <f>VLOOKUP($E717,'NI-San_SP'!$C:$AN,MID(X$1,1,2),FALSE)</f>
        <v>0</v>
      </c>
      <c r="Y717" s="55">
        <f>VLOOKUP($E717,'NI-San_SP'!$C:$AN,MID(Y$1,1,2),FALSE)</f>
        <v>0</v>
      </c>
      <c r="Z717" s="55">
        <f>VLOOKUP($E717,'NI-San_SP'!$C:$AN,MID(Z$1,1,2),FALSE)</f>
        <v>0</v>
      </c>
      <c r="AA717" s="55">
        <f>VLOOKUP($E717,'NI-San_SP'!$C:$AN,MID(AA$1,1,2),FALSE)</f>
        <v>0</v>
      </c>
      <c r="AB717" s="55">
        <f>VLOOKUP($E717,'NI-San_SP'!$C:$AN,MID(AB$1,1,2),FALSE)</f>
        <v>0</v>
      </c>
      <c r="AC717" s="55">
        <f>VLOOKUP($E717,'NI-San_SP'!$C:$AN,MID(AC$1,1,2),FALSE)</f>
        <v>0</v>
      </c>
      <c r="AD717" s="55">
        <f>VLOOKUP($E717,'NI-San_SP'!$C:$AN,MID(AD$1,1,2),FALSE)</f>
        <v>0</v>
      </c>
      <c r="AE717" s="55">
        <f>VLOOKUP($E717,'NI-San_SP'!$C:$AN,MID(AE$1,1,2),FALSE)</f>
        <v>0</v>
      </c>
      <c r="AF717" s="55">
        <f>VLOOKUP($E717,'NI-San_SP'!$C:$AN,MID(AF$1,1,2),FALSE)</f>
        <v>0</v>
      </c>
      <c r="AG717" s="55">
        <f>VLOOKUP($E717,'NI-San_SP'!$C:$AN,MID(AG$1,1,2),FALSE)</f>
        <v>0</v>
      </c>
      <c r="AH717" s="55">
        <f>VLOOKUP($E717,'NI-San_SP'!$C:$AN,MID(AH$1,1,2),FALSE)</f>
        <v>0</v>
      </c>
      <c r="AI717" s="55">
        <f>VLOOKUP($E717,'NI-San_SP'!$C:$AN,MID(AI$1,1,2),FALSE)</f>
        <v>0</v>
      </c>
      <c r="AJ717" s="55">
        <f>VLOOKUP($E717,'NI-San_SP'!$C:$AN,MID(AJ$1,1,2),FALSE)</f>
        <v>0</v>
      </c>
      <c r="AK717" s="55">
        <f>VLOOKUP($E717,'NI-San_SP'!$C:$AN,MID(AK$1,1,2),FALSE)</f>
        <v>0</v>
      </c>
      <c r="AL717" s="55">
        <f>VLOOKUP($E717,'NI-San_SP'!$C:$AN,MID(AL$1,1,2),FALSE)</f>
        <v>0</v>
      </c>
      <c r="AM717" s="56">
        <f>VLOOKUP($E717,'NI-San_SP'!$C:$AN,MID(AM$1,1,2),FALSE)</f>
        <v>0</v>
      </c>
      <c r="AN717" s="30" t="str">
        <f t="shared" si="11"/>
        <v>90502020000000</v>
      </c>
    </row>
    <row r="718" spans="1:40" x14ac:dyDescent="0.25">
      <c r="C718" s="40"/>
      <c r="D718" s="57" t="s">
        <v>2732</v>
      </c>
      <c r="E718" s="57" t="s">
        <v>2733</v>
      </c>
      <c r="F718" s="58" t="s">
        <v>110</v>
      </c>
      <c r="G718" s="52"/>
      <c r="H718" s="52"/>
      <c r="I718" s="52"/>
      <c r="J718" s="52"/>
      <c r="K718" s="59" t="s">
        <v>79</v>
      </c>
      <c r="L718" s="52"/>
      <c r="M718" s="52"/>
      <c r="N718" s="52"/>
      <c r="O718" s="52"/>
      <c r="P718" s="76" t="s">
        <v>1883</v>
      </c>
      <c r="Q718" s="55">
        <f>VLOOKUP(E718,'NI-San_SP'!$C:$AN,12,FALSE)</f>
        <v>7401292</v>
      </c>
      <c r="R718" s="55">
        <f>VLOOKUP(E718,'NI-San_SP'!$C:$AN,13,FALSE)</f>
        <v>8238751</v>
      </c>
      <c r="S718" s="55"/>
      <c r="T718" s="55"/>
      <c r="U718" s="55">
        <f>VLOOKUP($E718,'NI-San_SP'!$C:$AN,MID(U$1,1,2),FALSE)</f>
        <v>0</v>
      </c>
      <c r="V718" s="55">
        <f>VLOOKUP($E718,'NI-San_SP'!$C:$AN,MID(V$1,1,2),FALSE)</f>
        <v>7401292</v>
      </c>
      <c r="W718" s="55">
        <f>VLOOKUP($E718,'NI-San_SP'!$C:$AN,MID(W$1,1,2),FALSE)</f>
        <v>0</v>
      </c>
      <c r="X718" s="55">
        <f>VLOOKUP($E718,'NI-San_SP'!$C:$AN,MID(X$1,1,2),FALSE)</f>
        <v>1058706</v>
      </c>
      <c r="Y718" s="55">
        <f>VLOOKUP($E718,'NI-San_SP'!$C:$AN,MID(Y$1,1,2),FALSE)</f>
        <v>221247</v>
      </c>
      <c r="Z718" s="55">
        <f>VLOOKUP($E718,'NI-San_SP'!$C:$AN,MID(Z$1,1,2),FALSE)</f>
        <v>8238751</v>
      </c>
      <c r="AA718" s="55">
        <f>VLOOKUP($E718,'NI-San_SP'!$C:$AN,MID(AA$1,1,2),FALSE)</f>
        <v>0</v>
      </c>
      <c r="AB718" s="55">
        <f>VLOOKUP($E718,'NI-San_SP'!$C:$AN,MID(AB$1,1,2),FALSE)</f>
        <v>0</v>
      </c>
      <c r="AC718" s="55">
        <f>VLOOKUP($E718,'NI-San_SP'!$C:$AN,MID(AC$1,1,2),FALSE)</f>
        <v>0</v>
      </c>
      <c r="AD718" s="55">
        <f>VLOOKUP($E718,'NI-San_SP'!$C:$AN,MID(AD$1,1,2),FALSE)</f>
        <v>0</v>
      </c>
      <c r="AE718" s="55">
        <f>VLOOKUP($E718,'NI-San_SP'!$C:$AN,MID(AE$1,1,2),FALSE)</f>
        <v>0</v>
      </c>
      <c r="AF718" s="55">
        <f>VLOOKUP($E718,'NI-San_SP'!$C:$AN,MID(AF$1,1,2),FALSE)</f>
        <v>0</v>
      </c>
      <c r="AG718" s="55">
        <f>VLOOKUP($E718,'NI-San_SP'!$C:$AN,MID(AG$1,1,2),FALSE)</f>
        <v>0</v>
      </c>
      <c r="AH718" s="55">
        <f>VLOOKUP($E718,'NI-San_SP'!$C:$AN,MID(AH$1,1,2),FALSE)</f>
        <v>0</v>
      </c>
      <c r="AI718" s="55">
        <f>VLOOKUP($E718,'NI-San_SP'!$C:$AN,MID(AI$1,1,2),FALSE)</f>
        <v>0</v>
      </c>
      <c r="AJ718" s="55">
        <f>VLOOKUP($E718,'NI-San_SP'!$C:$AN,MID(AJ$1,1,2),FALSE)</f>
        <v>0</v>
      </c>
      <c r="AK718" s="55">
        <f>VLOOKUP($E718,'NI-San_SP'!$C:$AN,MID(AK$1,1,2),FALSE)</f>
        <v>0</v>
      </c>
      <c r="AL718" s="55">
        <f>VLOOKUP($E718,'NI-San_SP'!$C:$AN,MID(AL$1,1,2),FALSE)</f>
        <v>0</v>
      </c>
      <c r="AM718" s="56">
        <f>VLOOKUP($E718,'NI-San_SP'!$C:$AN,MID(AM$1,1,2),FALSE)</f>
        <v>0</v>
      </c>
      <c r="AN718" s="30" t="str">
        <f t="shared" si="11"/>
        <v>90502020010000</v>
      </c>
    </row>
    <row r="719" spans="1:40" x14ac:dyDescent="0.25">
      <c r="C719" s="40"/>
      <c r="D719" s="57" t="s">
        <v>2734</v>
      </c>
      <c r="E719" s="57" t="s">
        <v>2735</v>
      </c>
      <c r="F719" s="58" t="s">
        <v>110</v>
      </c>
      <c r="G719" s="52"/>
      <c r="H719" s="52"/>
      <c r="I719" s="52"/>
      <c r="J719" s="52"/>
      <c r="K719" s="59" t="s">
        <v>79</v>
      </c>
      <c r="L719" s="52"/>
      <c r="M719" s="52"/>
      <c r="N719" s="52"/>
      <c r="O719" s="52"/>
      <c r="P719" s="76" t="s">
        <v>1886</v>
      </c>
      <c r="Q719" s="55">
        <f>VLOOKUP(E719,'NI-San_SP'!$C:$AN,12,FALSE)</f>
        <v>0</v>
      </c>
      <c r="R719" s="55">
        <f>VLOOKUP(E719,'NI-San_SP'!$C:$AN,13,FALSE)</f>
        <v>0</v>
      </c>
      <c r="S719" s="55"/>
      <c r="T719" s="55"/>
      <c r="U719" s="55">
        <f>VLOOKUP($E719,'NI-San_SP'!$C:$AN,MID(U$1,1,2),FALSE)</f>
        <v>0</v>
      </c>
      <c r="V719" s="55">
        <f>VLOOKUP($E719,'NI-San_SP'!$C:$AN,MID(V$1,1,2),FALSE)</f>
        <v>0</v>
      </c>
      <c r="W719" s="55">
        <f>VLOOKUP($E719,'NI-San_SP'!$C:$AN,MID(W$1,1,2),FALSE)</f>
        <v>0</v>
      </c>
      <c r="X719" s="55">
        <f>VLOOKUP($E719,'NI-San_SP'!$C:$AN,MID(X$1,1,2),FALSE)</f>
        <v>0</v>
      </c>
      <c r="Y719" s="55">
        <f>VLOOKUP($E719,'NI-San_SP'!$C:$AN,MID(Y$1,1,2),FALSE)</f>
        <v>0</v>
      </c>
      <c r="Z719" s="55">
        <f>VLOOKUP($E719,'NI-San_SP'!$C:$AN,MID(Z$1,1,2),FALSE)</f>
        <v>0</v>
      </c>
      <c r="AA719" s="55">
        <f>VLOOKUP($E719,'NI-San_SP'!$C:$AN,MID(AA$1,1,2),FALSE)</f>
        <v>0</v>
      </c>
      <c r="AB719" s="55">
        <f>VLOOKUP($E719,'NI-San_SP'!$C:$AN,MID(AB$1,1,2),FALSE)</f>
        <v>0</v>
      </c>
      <c r="AC719" s="55">
        <f>VLOOKUP($E719,'NI-San_SP'!$C:$AN,MID(AC$1,1,2),FALSE)</f>
        <v>0</v>
      </c>
      <c r="AD719" s="55">
        <f>VLOOKUP($E719,'NI-San_SP'!$C:$AN,MID(AD$1,1,2),FALSE)</f>
        <v>0</v>
      </c>
      <c r="AE719" s="55">
        <f>VLOOKUP($E719,'NI-San_SP'!$C:$AN,MID(AE$1,1,2),FALSE)</f>
        <v>0</v>
      </c>
      <c r="AF719" s="55">
        <f>VLOOKUP($E719,'NI-San_SP'!$C:$AN,MID(AF$1,1,2),FALSE)</f>
        <v>0</v>
      </c>
      <c r="AG719" s="55">
        <f>VLOOKUP($E719,'NI-San_SP'!$C:$AN,MID(AG$1,1,2),FALSE)</f>
        <v>0</v>
      </c>
      <c r="AH719" s="55">
        <f>VLOOKUP($E719,'NI-San_SP'!$C:$AN,MID(AH$1,1,2),FALSE)</f>
        <v>0</v>
      </c>
      <c r="AI719" s="55">
        <f>VLOOKUP($E719,'NI-San_SP'!$C:$AN,MID(AI$1,1,2),FALSE)</f>
        <v>0</v>
      </c>
      <c r="AJ719" s="55">
        <f>VLOOKUP($E719,'NI-San_SP'!$C:$AN,MID(AJ$1,1,2),FALSE)</f>
        <v>0</v>
      </c>
      <c r="AK719" s="55">
        <f>VLOOKUP($E719,'NI-San_SP'!$C:$AN,MID(AK$1,1,2),FALSE)</f>
        <v>0</v>
      </c>
      <c r="AL719" s="55">
        <f>VLOOKUP($E719,'NI-San_SP'!$C:$AN,MID(AL$1,1,2),FALSE)</f>
        <v>0</v>
      </c>
      <c r="AM719" s="56">
        <f>VLOOKUP($E719,'NI-San_SP'!$C:$AN,MID(AM$1,1,2),FALSE)</f>
        <v>0</v>
      </c>
      <c r="AN719" s="30" t="str">
        <f t="shared" si="11"/>
        <v>90502020020000</v>
      </c>
    </row>
    <row r="720" spans="1:40" x14ac:dyDescent="0.25">
      <c r="C720" s="40"/>
      <c r="D720" s="57" t="s">
        <v>2736</v>
      </c>
      <c r="E720" s="57" t="s">
        <v>2737</v>
      </c>
      <c r="F720" s="58" t="s">
        <v>110</v>
      </c>
      <c r="G720" s="52"/>
      <c r="H720" s="52"/>
      <c r="I720" s="52"/>
      <c r="J720" s="52"/>
      <c r="K720" s="59" t="s">
        <v>79</v>
      </c>
      <c r="L720" s="52"/>
      <c r="M720" s="52"/>
      <c r="N720" s="52"/>
      <c r="O720" s="52"/>
      <c r="P720" s="76" t="s">
        <v>1889</v>
      </c>
      <c r="Q720" s="55">
        <f>VLOOKUP(E720,'NI-San_SP'!$C:$AN,12,FALSE)</f>
        <v>0</v>
      </c>
      <c r="R720" s="55">
        <f>VLOOKUP(E720,'NI-San_SP'!$C:$AN,13,FALSE)</f>
        <v>0</v>
      </c>
      <c r="S720" s="55"/>
      <c r="T720" s="55"/>
      <c r="U720" s="55">
        <f>VLOOKUP($E720,'NI-San_SP'!$C:$AN,MID(U$1,1,2),FALSE)</f>
        <v>0</v>
      </c>
      <c r="V720" s="55">
        <f>VLOOKUP($E720,'NI-San_SP'!$C:$AN,MID(V$1,1,2),FALSE)</f>
        <v>0</v>
      </c>
      <c r="W720" s="55">
        <f>VLOOKUP($E720,'NI-San_SP'!$C:$AN,MID(W$1,1,2),FALSE)</f>
        <v>0</v>
      </c>
      <c r="X720" s="55">
        <f>VLOOKUP($E720,'NI-San_SP'!$C:$AN,MID(X$1,1,2),FALSE)</f>
        <v>0</v>
      </c>
      <c r="Y720" s="55">
        <f>VLOOKUP($E720,'NI-San_SP'!$C:$AN,MID(Y$1,1,2),FALSE)</f>
        <v>0</v>
      </c>
      <c r="Z720" s="55">
        <f>VLOOKUP($E720,'NI-San_SP'!$C:$AN,MID(Z$1,1,2),FALSE)</f>
        <v>0</v>
      </c>
      <c r="AA720" s="55">
        <f>VLOOKUP($E720,'NI-San_SP'!$C:$AN,MID(AA$1,1,2),FALSE)</f>
        <v>0</v>
      </c>
      <c r="AB720" s="55">
        <f>VLOOKUP($E720,'NI-San_SP'!$C:$AN,MID(AB$1,1,2),FALSE)</f>
        <v>0</v>
      </c>
      <c r="AC720" s="55">
        <f>VLOOKUP($E720,'NI-San_SP'!$C:$AN,MID(AC$1,1,2),FALSE)</f>
        <v>0</v>
      </c>
      <c r="AD720" s="55">
        <f>VLOOKUP($E720,'NI-San_SP'!$C:$AN,MID(AD$1,1,2),FALSE)</f>
        <v>0</v>
      </c>
      <c r="AE720" s="55">
        <f>VLOOKUP($E720,'NI-San_SP'!$C:$AN,MID(AE$1,1,2),FALSE)</f>
        <v>0</v>
      </c>
      <c r="AF720" s="55">
        <f>VLOOKUP($E720,'NI-San_SP'!$C:$AN,MID(AF$1,1,2),FALSE)</f>
        <v>0</v>
      </c>
      <c r="AG720" s="55">
        <f>VLOOKUP($E720,'NI-San_SP'!$C:$AN,MID(AG$1,1,2),FALSE)</f>
        <v>0</v>
      </c>
      <c r="AH720" s="55">
        <f>VLOOKUP($E720,'NI-San_SP'!$C:$AN,MID(AH$1,1,2),FALSE)</f>
        <v>0</v>
      </c>
      <c r="AI720" s="55">
        <f>VLOOKUP($E720,'NI-San_SP'!$C:$AN,MID(AI$1,1,2),FALSE)</f>
        <v>0</v>
      </c>
      <c r="AJ720" s="55">
        <f>VLOOKUP($E720,'NI-San_SP'!$C:$AN,MID(AJ$1,1,2),FALSE)</f>
        <v>0</v>
      </c>
      <c r="AK720" s="55">
        <f>VLOOKUP($E720,'NI-San_SP'!$C:$AN,MID(AK$1,1,2),FALSE)</f>
        <v>0</v>
      </c>
      <c r="AL720" s="55">
        <f>VLOOKUP($E720,'NI-San_SP'!$C:$AN,MID(AL$1,1,2),FALSE)</f>
        <v>0</v>
      </c>
      <c r="AM720" s="56">
        <f>VLOOKUP($E720,'NI-San_SP'!$C:$AN,MID(AM$1,1,2),FALSE)</f>
        <v>0</v>
      </c>
      <c r="AN720" s="30" t="str">
        <f t="shared" si="11"/>
        <v>90502020030000</v>
      </c>
    </row>
    <row r="721" spans="3:40" x14ac:dyDescent="0.25">
      <c r="C721" s="40"/>
      <c r="D721" s="57" t="s">
        <v>2738</v>
      </c>
      <c r="E721" s="57" t="s">
        <v>2739</v>
      </c>
      <c r="F721" s="58" t="s">
        <v>110</v>
      </c>
      <c r="G721" s="52"/>
      <c r="H721" s="52"/>
      <c r="I721" s="52"/>
      <c r="J721" s="52"/>
      <c r="K721" s="59" t="s">
        <v>79</v>
      </c>
      <c r="L721" s="52"/>
      <c r="M721" s="52"/>
      <c r="N721" s="52"/>
      <c r="O721" s="52"/>
      <c r="P721" s="76" t="s">
        <v>1892</v>
      </c>
      <c r="Q721" s="55">
        <f>VLOOKUP(E721,'NI-San_SP'!$C:$AN,12,FALSE)</f>
        <v>0</v>
      </c>
      <c r="R721" s="55">
        <f>VLOOKUP(E721,'NI-San_SP'!$C:$AN,13,FALSE)</f>
        <v>0</v>
      </c>
      <c r="S721" s="55"/>
      <c r="T721" s="55"/>
      <c r="U721" s="55">
        <f>VLOOKUP($E721,'NI-San_SP'!$C:$AN,MID(U$1,1,2),FALSE)</f>
        <v>0</v>
      </c>
      <c r="V721" s="55">
        <f>VLOOKUP($E721,'NI-San_SP'!$C:$AN,MID(V$1,1,2),FALSE)</f>
        <v>0</v>
      </c>
      <c r="W721" s="55">
        <f>VLOOKUP($E721,'NI-San_SP'!$C:$AN,MID(W$1,1,2),FALSE)</f>
        <v>0</v>
      </c>
      <c r="X721" s="55">
        <f>VLOOKUP($E721,'NI-San_SP'!$C:$AN,MID(X$1,1,2),FALSE)</f>
        <v>0</v>
      </c>
      <c r="Y721" s="55">
        <f>VLOOKUP($E721,'NI-San_SP'!$C:$AN,MID(Y$1,1,2),FALSE)</f>
        <v>0</v>
      </c>
      <c r="Z721" s="55">
        <f>VLOOKUP($E721,'NI-San_SP'!$C:$AN,MID(Z$1,1,2),FALSE)</f>
        <v>0</v>
      </c>
      <c r="AA721" s="55">
        <f>VLOOKUP($E721,'NI-San_SP'!$C:$AN,MID(AA$1,1,2),FALSE)</f>
        <v>0</v>
      </c>
      <c r="AB721" s="55">
        <f>VLOOKUP($E721,'NI-San_SP'!$C:$AN,MID(AB$1,1,2),FALSE)</f>
        <v>0</v>
      </c>
      <c r="AC721" s="55">
        <f>VLOOKUP($E721,'NI-San_SP'!$C:$AN,MID(AC$1,1,2),FALSE)</f>
        <v>0</v>
      </c>
      <c r="AD721" s="55">
        <f>VLOOKUP($E721,'NI-San_SP'!$C:$AN,MID(AD$1,1,2),FALSE)</f>
        <v>0</v>
      </c>
      <c r="AE721" s="55">
        <f>VLOOKUP($E721,'NI-San_SP'!$C:$AN,MID(AE$1,1,2),FALSE)</f>
        <v>0</v>
      </c>
      <c r="AF721" s="55">
        <f>VLOOKUP($E721,'NI-San_SP'!$C:$AN,MID(AF$1,1,2),FALSE)</f>
        <v>0</v>
      </c>
      <c r="AG721" s="55">
        <f>VLOOKUP($E721,'NI-San_SP'!$C:$AN,MID(AG$1,1,2),FALSE)</f>
        <v>0</v>
      </c>
      <c r="AH721" s="55">
        <f>VLOOKUP($E721,'NI-San_SP'!$C:$AN,MID(AH$1,1,2),FALSE)</f>
        <v>0</v>
      </c>
      <c r="AI721" s="55">
        <f>VLOOKUP($E721,'NI-San_SP'!$C:$AN,MID(AI$1,1,2),FALSE)</f>
        <v>0</v>
      </c>
      <c r="AJ721" s="55">
        <f>VLOOKUP($E721,'NI-San_SP'!$C:$AN,MID(AJ$1,1,2),FALSE)</f>
        <v>0</v>
      </c>
      <c r="AK721" s="55">
        <f>VLOOKUP($E721,'NI-San_SP'!$C:$AN,MID(AK$1,1,2),FALSE)</f>
        <v>0</v>
      </c>
      <c r="AL721" s="55">
        <f>VLOOKUP($E721,'NI-San_SP'!$C:$AN,MID(AL$1,1,2),FALSE)</f>
        <v>0</v>
      </c>
      <c r="AM721" s="56">
        <f>VLOOKUP($E721,'NI-San_SP'!$C:$AN,MID(AM$1,1,2),FALSE)</f>
        <v>0</v>
      </c>
      <c r="AN721" s="30" t="str">
        <f t="shared" si="11"/>
        <v>90502020040000</v>
      </c>
    </row>
    <row r="722" spans="3:40" x14ac:dyDescent="0.25">
      <c r="C722" s="40"/>
      <c r="D722" s="57" t="s">
        <v>2740</v>
      </c>
      <c r="E722" s="57" t="s">
        <v>2741</v>
      </c>
      <c r="F722" s="58" t="s">
        <v>110</v>
      </c>
      <c r="G722" s="52"/>
      <c r="H722" s="52"/>
      <c r="I722" s="52"/>
      <c r="J722" s="52"/>
      <c r="K722" s="59" t="s">
        <v>111</v>
      </c>
      <c r="L722" s="52"/>
      <c r="M722" s="52"/>
      <c r="N722" s="52"/>
      <c r="O722" s="52"/>
      <c r="P722" s="76" t="s">
        <v>1895</v>
      </c>
      <c r="Q722" s="55">
        <f>VLOOKUP(E722,'NI-San_SP'!$C:$AN,12,FALSE)</f>
        <v>0</v>
      </c>
      <c r="R722" s="55">
        <f>VLOOKUP(E722,'NI-San_SP'!$C:$AN,13,FALSE)</f>
        <v>0</v>
      </c>
      <c r="S722" s="55"/>
      <c r="T722" s="55"/>
      <c r="U722" s="55">
        <f>VLOOKUP($E722,'NI-San_SP'!$C:$AN,MID(U$1,1,2),FALSE)</f>
        <v>0</v>
      </c>
      <c r="V722" s="55">
        <f>VLOOKUP($E722,'NI-San_SP'!$C:$AN,MID(V$1,1,2),FALSE)</f>
        <v>0</v>
      </c>
      <c r="W722" s="55">
        <f>VLOOKUP($E722,'NI-San_SP'!$C:$AN,MID(W$1,1,2),FALSE)</f>
        <v>0</v>
      </c>
      <c r="X722" s="55">
        <f>VLOOKUP($E722,'NI-San_SP'!$C:$AN,MID(X$1,1,2),FALSE)</f>
        <v>0</v>
      </c>
      <c r="Y722" s="55">
        <f>VLOOKUP($E722,'NI-San_SP'!$C:$AN,MID(Y$1,1,2),FALSE)</f>
        <v>0</v>
      </c>
      <c r="Z722" s="55">
        <f>VLOOKUP($E722,'NI-San_SP'!$C:$AN,MID(Z$1,1,2),FALSE)</f>
        <v>0</v>
      </c>
      <c r="AA722" s="55">
        <f>VLOOKUP($E722,'NI-San_SP'!$C:$AN,MID(AA$1,1,2),FALSE)</f>
        <v>0</v>
      </c>
      <c r="AB722" s="55">
        <f>VLOOKUP($E722,'NI-San_SP'!$C:$AN,MID(AB$1,1,2),FALSE)</f>
        <v>0</v>
      </c>
      <c r="AC722" s="55">
        <f>VLOOKUP($E722,'NI-San_SP'!$C:$AN,MID(AC$1,1,2),FALSE)</f>
        <v>0</v>
      </c>
      <c r="AD722" s="55">
        <f>VLOOKUP($E722,'NI-San_SP'!$C:$AN,MID(AD$1,1,2),FALSE)</f>
        <v>0</v>
      </c>
      <c r="AE722" s="55">
        <f>VLOOKUP($E722,'NI-San_SP'!$C:$AN,MID(AE$1,1,2),FALSE)</f>
        <v>0</v>
      </c>
      <c r="AF722" s="55">
        <f>VLOOKUP($E722,'NI-San_SP'!$C:$AN,MID(AF$1,1,2),FALSE)</f>
        <v>0</v>
      </c>
      <c r="AG722" s="55">
        <f>VLOOKUP($E722,'NI-San_SP'!$C:$AN,MID(AG$1,1,2),FALSE)</f>
        <v>0</v>
      </c>
      <c r="AH722" s="55">
        <f>VLOOKUP($E722,'NI-San_SP'!$C:$AN,MID(AH$1,1,2),FALSE)</f>
        <v>0</v>
      </c>
      <c r="AI722" s="55">
        <f>VLOOKUP($E722,'NI-San_SP'!$C:$AN,MID(AI$1,1,2),FALSE)</f>
        <v>0</v>
      </c>
      <c r="AJ722" s="55">
        <f>VLOOKUP($E722,'NI-San_SP'!$C:$AN,MID(AJ$1,1,2),FALSE)</f>
        <v>0</v>
      </c>
      <c r="AK722" s="55">
        <f>VLOOKUP($E722,'NI-San_SP'!$C:$AN,MID(AK$1,1,2),FALSE)</f>
        <v>0</v>
      </c>
      <c r="AL722" s="55">
        <f>VLOOKUP($E722,'NI-San_SP'!$C:$AN,MID(AL$1,1,2),FALSE)</f>
        <v>0</v>
      </c>
      <c r="AM722" s="56">
        <f>VLOOKUP($E722,'NI-San_SP'!$C:$AN,MID(AM$1,1,2),FALSE)</f>
        <v>0</v>
      </c>
      <c r="AN722" s="30" t="str">
        <f t="shared" si="11"/>
        <v>90503030000000</v>
      </c>
    </row>
    <row r="723" spans="3:40" x14ac:dyDescent="0.25">
      <c r="C723" s="40"/>
      <c r="D723" s="57" t="s">
        <v>2742</v>
      </c>
      <c r="E723" s="57" t="s">
        <v>2743</v>
      </c>
      <c r="F723" s="58" t="s">
        <v>110</v>
      </c>
      <c r="G723" s="52"/>
      <c r="H723" s="52"/>
      <c r="I723" s="52"/>
      <c r="J723" s="52"/>
      <c r="K723" s="59" t="s">
        <v>79</v>
      </c>
      <c r="L723" s="52"/>
      <c r="M723" s="52"/>
      <c r="N723" s="52"/>
      <c r="O723" s="52"/>
      <c r="P723" s="76" t="s">
        <v>1898</v>
      </c>
      <c r="Q723" s="55">
        <f>VLOOKUP(E723,'NI-San_SP'!$C:$AN,12,FALSE)</f>
        <v>0</v>
      </c>
      <c r="R723" s="55">
        <f>VLOOKUP(E723,'NI-San_SP'!$C:$AN,13,FALSE)</f>
        <v>0</v>
      </c>
      <c r="S723" s="55"/>
      <c r="T723" s="55"/>
      <c r="U723" s="55">
        <f>VLOOKUP($E723,'NI-San_SP'!$C:$AN,MID(U$1,1,2),FALSE)</f>
        <v>0</v>
      </c>
      <c r="V723" s="55">
        <f>VLOOKUP($E723,'NI-San_SP'!$C:$AN,MID(V$1,1,2),FALSE)</f>
        <v>0</v>
      </c>
      <c r="W723" s="55">
        <f>VLOOKUP($E723,'NI-San_SP'!$C:$AN,MID(W$1,1,2),FALSE)</f>
        <v>0</v>
      </c>
      <c r="X723" s="55">
        <f>VLOOKUP($E723,'NI-San_SP'!$C:$AN,MID(X$1,1,2),FALSE)</f>
        <v>0</v>
      </c>
      <c r="Y723" s="55">
        <f>VLOOKUP($E723,'NI-San_SP'!$C:$AN,MID(Y$1,1,2),FALSE)</f>
        <v>0</v>
      </c>
      <c r="Z723" s="55">
        <f>VLOOKUP($E723,'NI-San_SP'!$C:$AN,MID(Z$1,1,2),FALSE)</f>
        <v>0</v>
      </c>
      <c r="AA723" s="55">
        <f>VLOOKUP($E723,'NI-San_SP'!$C:$AN,MID(AA$1,1,2),FALSE)</f>
        <v>0</v>
      </c>
      <c r="AB723" s="55">
        <f>VLOOKUP($E723,'NI-San_SP'!$C:$AN,MID(AB$1,1,2),FALSE)</f>
        <v>0</v>
      </c>
      <c r="AC723" s="55">
        <f>VLOOKUP($E723,'NI-San_SP'!$C:$AN,MID(AC$1,1,2),FALSE)</f>
        <v>0</v>
      </c>
      <c r="AD723" s="55">
        <f>VLOOKUP($E723,'NI-San_SP'!$C:$AN,MID(AD$1,1,2),FALSE)</f>
        <v>0</v>
      </c>
      <c r="AE723" s="55">
        <f>VLOOKUP($E723,'NI-San_SP'!$C:$AN,MID(AE$1,1,2),FALSE)</f>
        <v>0</v>
      </c>
      <c r="AF723" s="55">
        <f>VLOOKUP($E723,'NI-San_SP'!$C:$AN,MID(AF$1,1,2),FALSE)</f>
        <v>0</v>
      </c>
      <c r="AG723" s="55">
        <f>VLOOKUP($E723,'NI-San_SP'!$C:$AN,MID(AG$1,1,2),FALSE)</f>
        <v>0</v>
      </c>
      <c r="AH723" s="55">
        <f>VLOOKUP($E723,'NI-San_SP'!$C:$AN,MID(AH$1,1,2),FALSE)</f>
        <v>0</v>
      </c>
      <c r="AI723" s="55">
        <f>VLOOKUP($E723,'NI-San_SP'!$C:$AN,MID(AI$1,1,2),FALSE)</f>
        <v>0</v>
      </c>
      <c r="AJ723" s="55">
        <f>VLOOKUP($E723,'NI-San_SP'!$C:$AN,MID(AJ$1,1,2),FALSE)</f>
        <v>0</v>
      </c>
      <c r="AK723" s="55">
        <f>VLOOKUP($E723,'NI-San_SP'!$C:$AN,MID(AK$1,1,2),FALSE)</f>
        <v>0</v>
      </c>
      <c r="AL723" s="55">
        <f>VLOOKUP($E723,'NI-San_SP'!$C:$AN,MID(AL$1,1,2),FALSE)</f>
        <v>0</v>
      </c>
      <c r="AM723" s="56">
        <f>VLOOKUP($E723,'NI-San_SP'!$C:$AN,MID(AM$1,1,2),FALSE)</f>
        <v>0</v>
      </c>
      <c r="AN723" s="30" t="str">
        <f t="shared" si="11"/>
        <v>90503030010010</v>
      </c>
    </row>
    <row r="724" spans="3:40" x14ac:dyDescent="0.25">
      <c r="C724" s="40"/>
      <c r="D724" s="57" t="s">
        <v>2744</v>
      </c>
      <c r="E724" s="57" t="s">
        <v>2745</v>
      </c>
      <c r="F724" s="58" t="s">
        <v>110</v>
      </c>
      <c r="G724" s="52"/>
      <c r="H724" s="52"/>
      <c r="I724" s="52"/>
      <c r="J724" s="52"/>
      <c r="K724" s="59" t="s">
        <v>79</v>
      </c>
      <c r="L724" s="52"/>
      <c r="M724" s="52"/>
      <c r="N724" s="52"/>
      <c r="O724" s="52"/>
      <c r="P724" s="76" t="s">
        <v>1901</v>
      </c>
      <c r="Q724" s="55">
        <f>VLOOKUP(E724,'NI-San_SP'!$C:$AN,12,FALSE)</f>
        <v>0</v>
      </c>
      <c r="R724" s="55">
        <f>VLOOKUP(E724,'NI-San_SP'!$C:$AN,13,FALSE)</f>
        <v>0</v>
      </c>
      <c r="S724" s="55"/>
      <c r="T724" s="55"/>
      <c r="U724" s="55">
        <f>VLOOKUP($E724,'NI-San_SP'!$C:$AN,MID(U$1,1,2),FALSE)</f>
        <v>0</v>
      </c>
      <c r="V724" s="55">
        <f>VLOOKUP($E724,'NI-San_SP'!$C:$AN,MID(V$1,1,2),FALSE)</f>
        <v>0</v>
      </c>
      <c r="W724" s="55">
        <f>VLOOKUP($E724,'NI-San_SP'!$C:$AN,MID(W$1,1,2),FALSE)</f>
        <v>0</v>
      </c>
      <c r="X724" s="55">
        <f>VLOOKUP($E724,'NI-San_SP'!$C:$AN,MID(X$1,1,2),FALSE)</f>
        <v>0</v>
      </c>
      <c r="Y724" s="55">
        <f>VLOOKUP($E724,'NI-San_SP'!$C:$AN,MID(Y$1,1,2),FALSE)</f>
        <v>0</v>
      </c>
      <c r="Z724" s="55">
        <f>VLOOKUP($E724,'NI-San_SP'!$C:$AN,MID(Z$1,1,2),FALSE)</f>
        <v>0</v>
      </c>
      <c r="AA724" s="55">
        <f>VLOOKUP($E724,'NI-San_SP'!$C:$AN,MID(AA$1,1,2),FALSE)</f>
        <v>0</v>
      </c>
      <c r="AB724" s="55">
        <f>VLOOKUP($E724,'NI-San_SP'!$C:$AN,MID(AB$1,1,2),FALSE)</f>
        <v>0</v>
      </c>
      <c r="AC724" s="55">
        <f>VLOOKUP($E724,'NI-San_SP'!$C:$AN,MID(AC$1,1,2),FALSE)</f>
        <v>0</v>
      </c>
      <c r="AD724" s="55">
        <f>VLOOKUP($E724,'NI-San_SP'!$C:$AN,MID(AD$1,1,2),FALSE)</f>
        <v>0</v>
      </c>
      <c r="AE724" s="55">
        <f>VLOOKUP($E724,'NI-San_SP'!$C:$AN,MID(AE$1,1,2),FALSE)</f>
        <v>0</v>
      </c>
      <c r="AF724" s="55">
        <f>VLOOKUP($E724,'NI-San_SP'!$C:$AN,MID(AF$1,1,2),FALSE)</f>
        <v>0</v>
      </c>
      <c r="AG724" s="55">
        <f>VLOOKUP($E724,'NI-San_SP'!$C:$AN,MID(AG$1,1,2),FALSE)</f>
        <v>0</v>
      </c>
      <c r="AH724" s="55">
        <f>VLOOKUP($E724,'NI-San_SP'!$C:$AN,MID(AH$1,1,2),FALSE)</f>
        <v>0</v>
      </c>
      <c r="AI724" s="55">
        <f>VLOOKUP($E724,'NI-San_SP'!$C:$AN,MID(AI$1,1,2),FALSE)</f>
        <v>0</v>
      </c>
      <c r="AJ724" s="55">
        <f>VLOOKUP($E724,'NI-San_SP'!$C:$AN,MID(AJ$1,1,2),FALSE)</f>
        <v>0</v>
      </c>
      <c r="AK724" s="55">
        <f>VLOOKUP($E724,'NI-San_SP'!$C:$AN,MID(AK$1,1,2),FALSE)</f>
        <v>0</v>
      </c>
      <c r="AL724" s="55">
        <f>VLOOKUP($E724,'NI-San_SP'!$C:$AN,MID(AL$1,1,2),FALSE)</f>
        <v>0</v>
      </c>
      <c r="AM724" s="56">
        <f>VLOOKUP($E724,'NI-San_SP'!$C:$AN,MID(AM$1,1,2),FALSE)</f>
        <v>0</v>
      </c>
      <c r="AN724" s="30" t="str">
        <f t="shared" si="11"/>
        <v>90503030020010</v>
      </c>
    </row>
    <row r="725" spans="3:40" x14ac:dyDescent="0.25">
      <c r="C725" s="40"/>
      <c r="D725" s="57" t="s">
        <v>2746</v>
      </c>
      <c r="E725" s="57" t="s">
        <v>2747</v>
      </c>
      <c r="F725" s="58" t="s">
        <v>110</v>
      </c>
      <c r="G725" s="52"/>
      <c r="H725" s="52"/>
      <c r="I725" s="52"/>
      <c r="J725" s="52"/>
      <c r="K725" s="59" t="s">
        <v>79</v>
      </c>
      <c r="L725" s="52"/>
      <c r="M725" s="52"/>
      <c r="N725" s="52"/>
      <c r="O725" s="52"/>
      <c r="P725" s="76" t="s">
        <v>1904</v>
      </c>
      <c r="Q725" s="55">
        <f>VLOOKUP(E725,'NI-San_SP'!$C:$AN,12,FALSE)</f>
        <v>0</v>
      </c>
      <c r="R725" s="55">
        <f>VLOOKUP(E725,'NI-San_SP'!$C:$AN,13,FALSE)</f>
        <v>0</v>
      </c>
      <c r="S725" s="55"/>
      <c r="T725" s="55"/>
      <c r="U725" s="55">
        <f>VLOOKUP($E725,'NI-San_SP'!$C:$AN,MID(U$1,1,2),FALSE)</f>
        <v>0</v>
      </c>
      <c r="V725" s="55">
        <f>VLOOKUP($E725,'NI-San_SP'!$C:$AN,MID(V$1,1,2),FALSE)</f>
        <v>0</v>
      </c>
      <c r="W725" s="55">
        <f>VLOOKUP($E725,'NI-San_SP'!$C:$AN,MID(W$1,1,2),FALSE)</f>
        <v>0</v>
      </c>
      <c r="X725" s="55">
        <f>VLOOKUP($E725,'NI-San_SP'!$C:$AN,MID(X$1,1,2),FALSE)</f>
        <v>0</v>
      </c>
      <c r="Y725" s="55">
        <f>VLOOKUP($E725,'NI-San_SP'!$C:$AN,MID(Y$1,1,2),FALSE)</f>
        <v>0</v>
      </c>
      <c r="Z725" s="55">
        <f>VLOOKUP($E725,'NI-San_SP'!$C:$AN,MID(Z$1,1,2),FALSE)</f>
        <v>0</v>
      </c>
      <c r="AA725" s="55">
        <f>VLOOKUP($E725,'NI-San_SP'!$C:$AN,MID(AA$1,1,2),FALSE)</f>
        <v>0</v>
      </c>
      <c r="AB725" s="55">
        <f>VLOOKUP($E725,'NI-San_SP'!$C:$AN,MID(AB$1,1,2),FALSE)</f>
        <v>0</v>
      </c>
      <c r="AC725" s="55">
        <f>VLOOKUP($E725,'NI-San_SP'!$C:$AN,MID(AC$1,1,2),FALSE)</f>
        <v>0</v>
      </c>
      <c r="AD725" s="55">
        <f>VLOOKUP($E725,'NI-San_SP'!$C:$AN,MID(AD$1,1,2),FALSE)</f>
        <v>0</v>
      </c>
      <c r="AE725" s="55">
        <f>VLOOKUP($E725,'NI-San_SP'!$C:$AN,MID(AE$1,1,2),FALSE)</f>
        <v>0</v>
      </c>
      <c r="AF725" s="55">
        <f>VLOOKUP($E725,'NI-San_SP'!$C:$AN,MID(AF$1,1,2),FALSE)</f>
        <v>0</v>
      </c>
      <c r="AG725" s="55">
        <f>VLOOKUP($E725,'NI-San_SP'!$C:$AN,MID(AG$1,1,2),FALSE)</f>
        <v>0</v>
      </c>
      <c r="AH725" s="55">
        <f>VLOOKUP($E725,'NI-San_SP'!$C:$AN,MID(AH$1,1,2),FALSE)</f>
        <v>0</v>
      </c>
      <c r="AI725" s="55">
        <f>VLOOKUP($E725,'NI-San_SP'!$C:$AN,MID(AI$1,1,2),FALSE)</f>
        <v>0</v>
      </c>
      <c r="AJ725" s="55">
        <f>VLOOKUP($E725,'NI-San_SP'!$C:$AN,MID(AJ$1,1,2),FALSE)</f>
        <v>0</v>
      </c>
      <c r="AK725" s="55">
        <f>VLOOKUP($E725,'NI-San_SP'!$C:$AN,MID(AK$1,1,2),FALSE)</f>
        <v>0</v>
      </c>
      <c r="AL725" s="55">
        <f>VLOOKUP($E725,'NI-San_SP'!$C:$AN,MID(AL$1,1,2),FALSE)</f>
        <v>0</v>
      </c>
      <c r="AM725" s="56">
        <f>VLOOKUP($E725,'NI-San_SP'!$C:$AN,MID(AM$1,1,2),FALSE)</f>
        <v>0</v>
      </c>
      <c r="AN725" s="30" t="str">
        <f t="shared" si="11"/>
        <v>90503030030010</v>
      </c>
    </row>
    <row r="726" spans="3:40" x14ac:dyDescent="0.25">
      <c r="C726" s="40"/>
      <c r="D726" s="57" t="s">
        <v>2748</v>
      </c>
      <c r="E726" s="57" t="s">
        <v>2749</v>
      </c>
      <c r="F726" s="58" t="s">
        <v>110</v>
      </c>
      <c r="G726" s="52"/>
      <c r="H726" s="52"/>
      <c r="I726" s="52"/>
      <c r="J726" s="52"/>
      <c r="K726" s="59" t="s">
        <v>79</v>
      </c>
      <c r="L726" s="52"/>
      <c r="M726" s="52"/>
      <c r="N726" s="52"/>
      <c r="O726" s="52"/>
      <c r="P726" s="76" t="s">
        <v>1907</v>
      </c>
      <c r="Q726" s="55">
        <f>VLOOKUP(E726,'NI-San_SP'!$C:$AN,12,FALSE)</f>
        <v>0</v>
      </c>
      <c r="R726" s="55">
        <f>VLOOKUP(E726,'NI-San_SP'!$C:$AN,13,FALSE)</f>
        <v>0</v>
      </c>
      <c r="S726" s="55"/>
      <c r="T726" s="55"/>
      <c r="U726" s="55">
        <f>VLOOKUP($E726,'NI-San_SP'!$C:$AN,MID(U$1,1,2),FALSE)</f>
        <v>0</v>
      </c>
      <c r="V726" s="55">
        <f>VLOOKUP($E726,'NI-San_SP'!$C:$AN,MID(V$1,1,2),FALSE)</f>
        <v>0</v>
      </c>
      <c r="W726" s="55">
        <f>VLOOKUP($E726,'NI-San_SP'!$C:$AN,MID(W$1,1,2),FALSE)</f>
        <v>0</v>
      </c>
      <c r="X726" s="55">
        <f>VLOOKUP($E726,'NI-San_SP'!$C:$AN,MID(X$1,1,2),FALSE)</f>
        <v>0</v>
      </c>
      <c r="Y726" s="55">
        <f>VLOOKUP($E726,'NI-San_SP'!$C:$AN,MID(Y$1,1,2),FALSE)</f>
        <v>0</v>
      </c>
      <c r="Z726" s="55">
        <f>VLOOKUP($E726,'NI-San_SP'!$C:$AN,MID(Z$1,1,2),FALSE)</f>
        <v>0</v>
      </c>
      <c r="AA726" s="55">
        <f>VLOOKUP($E726,'NI-San_SP'!$C:$AN,MID(AA$1,1,2),FALSE)</f>
        <v>0</v>
      </c>
      <c r="AB726" s="55">
        <f>VLOOKUP($E726,'NI-San_SP'!$C:$AN,MID(AB$1,1,2),FALSE)</f>
        <v>0</v>
      </c>
      <c r="AC726" s="55">
        <f>VLOOKUP($E726,'NI-San_SP'!$C:$AN,MID(AC$1,1,2),FALSE)</f>
        <v>0</v>
      </c>
      <c r="AD726" s="55">
        <f>VLOOKUP($E726,'NI-San_SP'!$C:$AN,MID(AD$1,1,2),FALSE)</f>
        <v>0</v>
      </c>
      <c r="AE726" s="55">
        <f>VLOOKUP($E726,'NI-San_SP'!$C:$AN,MID(AE$1,1,2),FALSE)</f>
        <v>0</v>
      </c>
      <c r="AF726" s="55">
        <f>VLOOKUP($E726,'NI-San_SP'!$C:$AN,MID(AF$1,1,2),FALSE)</f>
        <v>0</v>
      </c>
      <c r="AG726" s="55">
        <f>VLOOKUP($E726,'NI-San_SP'!$C:$AN,MID(AG$1,1,2),FALSE)</f>
        <v>0</v>
      </c>
      <c r="AH726" s="55">
        <f>VLOOKUP($E726,'NI-San_SP'!$C:$AN,MID(AH$1,1,2),FALSE)</f>
        <v>0</v>
      </c>
      <c r="AI726" s="55">
        <f>VLOOKUP($E726,'NI-San_SP'!$C:$AN,MID(AI$1,1,2),FALSE)</f>
        <v>0</v>
      </c>
      <c r="AJ726" s="55">
        <f>VLOOKUP($E726,'NI-San_SP'!$C:$AN,MID(AJ$1,1,2),FALSE)</f>
        <v>0</v>
      </c>
      <c r="AK726" s="55">
        <f>VLOOKUP($E726,'NI-San_SP'!$C:$AN,MID(AK$1,1,2),FALSE)</f>
        <v>0</v>
      </c>
      <c r="AL726" s="55">
        <f>VLOOKUP($E726,'NI-San_SP'!$C:$AN,MID(AL$1,1,2),FALSE)</f>
        <v>0</v>
      </c>
      <c r="AM726" s="56">
        <f>VLOOKUP($E726,'NI-San_SP'!$C:$AN,MID(AM$1,1,2),FALSE)</f>
        <v>0</v>
      </c>
      <c r="AN726" s="30" t="str">
        <f t="shared" si="11"/>
        <v>90503030040010</v>
      </c>
    </row>
    <row r="727" spans="3:40" x14ac:dyDescent="0.25">
      <c r="C727" s="40"/>
      <c r="D727" s="101">
        <v>0</v>
      </c>
      <c r="E727" s="101" t="s">
        <v>109</v>
      </c>
      <c r="F727" s="102" t="s">
        <v>2750</v>
      </c>
      <c r="G727" s="51"/>
      <c r="H727" s="65"/>
      <c r="I727" s="65"/>
      <c r="J727" s="44"/>
      <c r="K727" s="53" t="s">
        <v>111</v>
      </c>
      <c r="L727" s="65"/>
      <c r="M727" s="65"/>
      <c r="N727" s="65"/>
      <c r="O727" s="65"/>
      <c r="P727" s="76" t="s">
        <v>112</v>
      </c>
      <c r="Q727" s="55">
        <f>VLOOKUP(E727,'NI-Ric_SP'!$C:$AN,12,FALSE)</f>
        <v>0</v>
      </c>
      <c r="R727" s="55">
        <f>VLOOKUP(E727,'NI-Ric_SP'!$C:$AN,13,FALSE)</f>
        <v>0</v>
      </c>
      <c r="S727" s="55"/>
      <c r="T727" s="55"/>
      <c r="U727" s="55">
        <f>VLOOKUP($E727,'NI-Ric_SP'!$C:$AN,MID(U$1,1,2),FALSE)</f>
        <v>0</v>
      </c>
      <c r="V727" s="55">
        <f>VLOOKUP($E727,'NI-Ric_SP'!$C:$AN,MID(V$1,1,2),FALSE)</f>
        <v>0</v>
      </c>
      <c r="W727" s="55">
        <f>VLOOKUP($E727,'NI-Ric_SP'!$C:$AN,MID(W$1,1,2),FALSE)</f>
        <v>0</v>
      </c>
      <c r="X727" s="55" t="str">
        <f>VLOOKUP($E727,'NI-Ric_SP'!$C:$AN,MID(X$1,1,2),FALSE)</f>
        <v/>
      </c>
      <c r="Y727" s="55">
        <f>VLOOKUP($E727,'NI-Ric_SP'!$C:$AN,MID(Y$1,1,2),FALSE)</f>
        <v>0</v>
      </c>
      <c r="Z727" s="55">
        <f>VLOOKUP($E727,'NI-Ric_SP'!$C:$AN,MID(Z$1,1,2),FALSE)</f>
        <v>0</v>
      </c>
      <c r="AA727" s="55">
        <f>VLOOKUP($E727,'NI-Ric_SP'!$C:$AN,MID(AA$1,1,2),FALSE)</f>
        <v>0</v>
      </c>
      <c r="AB727" s="55">
        <f>VLOOKUP($E727,'NI-Ric_SP'!$C:$AN,MID(AB$1,1,2),FALSE)</f>
        <v>0</v>
      </c>
      <c r="AC727" s="55">
        <f>VLOOKUP($E727,'NI-Ric_SP'!$C:$AN,MID(AC$1,1,2),FALSE)</f>
        <v>0</v>
      </c>
      <c r="AD727" s="55">
        <f>VLOOKUP($E727,'NI-Ric_SP'!$C:$AN,MID(AD$1,1,2),FALSE)</f>
        <v>0</v>
      </c>
      <c r="AE727" s="55">
        <f>VLOOKUP($E727,'NI-Ric_SP'!$C:$AN,MID(AE$1,1,2),FALSE)</f>
        <v>0</v>
      </c>
      <c r="AF727" s="55">
        <f>VLOOKUP($E727,'NI-Ric_SP'!$C:$AN,MID(AF$1,1,2),FALSE)</f>
        <v>0</v>
      </c>
      <c r="AG727" s="55">
        <f>VLOOKUP($E727,'NI-Ric_SP'!$C:$AN,MID(AG$1,1,2),FALSE)</f>
        <v>0</v>
      </c>
      <c r="AH727" s="55">
        <f>VLOOKUP($E727,'NI-Ric_SP'!$C:$AN,MID(AH$1,1,2),FALSE)</f>
        <v>0</v>
      </c>
      <c r="AI727" s="55">
        <f>VLOOKUP($E727,'NI-Ric_SP'!$C:$AN,MID(AI$1,1,2),FALSE)</f>
        <v>0</v>
      </c>
      <c r="AJ727" s="55">
        <f>VLOOKUP($E727,'NI-Ric_SP'!$C:$AN,MID(AJ$1,1,2),FALSE)</f>
        <v>0</v>
      </c>
      <c r="AK727" s="55">
        <f>VLOOKUP($E727,'NI-Ric_SP'!$C:$AN,MID(AK$1,1,2),FALSE)</f>
        <v>0</v>
      </c>
      <c r="AL727" s="55">
        <f>VLOOKUP($E727,'NI-Ric_SP'!$C:$AN,MID(AL$1,1,2),FALSE)</f>
        <v>0</v>
      </c>
      <c r="AM727" s="56">
        <f>VLOOKUP($E727,'NI-Ric_SP'!$C:$AN,MID(AM$1,1,2),FALSE)</f>
        <v>0</v>
      </c>
      <c r="AN727" s="30">
        <f t="shared" si="11"/>
        <v>0</v>
      </c>
    </row>
    <row r="728" spans="3:40" x14ac:dyDescent="0.25">
      <c r="C728" s="40"/>
      <c r="D728" s="101" t="s">
        <v>113</v>
      </c>
      <c r="E728" s="101" t="s">
        <v>114</v>
      </c>
      <c r="F728" s="102" t="s">
        <v>2750</v>
      </c>
      <c r="G728" s="51"/>
      <c r="H728" s="52"/>
      <c r="I728" s="52"/>
      <c r="J728" s="52"/>
      <c r="K728" s="53" t="s">
        <v>111</v>
      </c>
      <c r="L728" s="52"/>
      <c r="M728" s="52"/>
      <c r="N728" s="52"/>
      <c r="O728" s="52"/>
      <c r="P728" s="76" t="s">
        <v>115</v>
      </c>
      <c r="Q728" s="55">
        <f>VLOOKUP(E728,'NI-Ric_SP'!$C:$AN,12,FALSE)</f>
        <v>0</v>
      </c>
      <c r="R728" s="55">
        <f>VLOOKUP(E728,'NI-Ric_SP'!$C:$AN,13,FALSE)</f>
        <v>0</v>
      </c>
      <c r="S728" s="55"/>
      <c r="T728" s="55"/>
      <c r="U728" s="55">
        <f>VLOOKUP($E728,'NI-Ric_SP'!$C:$AN,MID(U$1,1,2),FALSE)</f>
        <v>0</v>
      </c>
      <c r="V728" s="55">
        <f>VLOOKUP($E728,'NI-Ric_SP'!$C:$AN,MID(V$1,1,2),FALSE)</f>
        <v>0</v>
      </c>
      <c r="W728" s="55">
        <f>VLOOKUP($E728,'NI-Ric_SP'!$C:$AN,MID(W$1,1,2),FALSE)</f>
        <v>0</v>
      </c>
      <c r="X728" s="55">
        <f>VLOOKUP($E728,'NI-Ric_SP'!$C:$AN,MID(X$1,1,2),FALSE)</f>
        <v>0</v>
      </c>
      <c r="Y728" s="55">
        <f>VLOOKUP($E728,'NI-Ric_SP'!$C:$AN,MID(Y$1,1,2),FALSE)</f>
        <v>0</v>
      </c>
      <c r="Z728" s="55">
        <f>VLOOKUP($E728,'NI-Ric_SP'!$C:$AN,MID(Z$1,1,2),FALSE)</f>
        <v>0</v>
      </c>
      <c r="AA728" s="55">
        <f>VLOOKUP($E728,'NI-Ric_SP'!$C:$AN,MID(AA$1,1,2),FALSE)</f>
        <v>0</v>
      </c>
      <c r="AB728" s="55">
        <f>VLOOKUP($E728,'NI-Ric_SP'!$C:$AN,MID(AB$1,1,2),FALSE)</f>
        <v>0</v>
      </c>
      <c r="AC728" s="55">
        <f>VLOOKUP($E728,'NI-Ric_SP'!$C:$AN,MID(AC$1,1,2),FALSE)</f>
        <v>0</v>
      </c>
      <c r="AD728" s="55">
        <f>VLOOKUP($E728,'NI-Ric_SP'!$C:$AN,MID(AD$1,1,2),FALSE)</f>
        <v>0</v>
      </c>
      <c r="AE728" s="55">
        <f>VLOOKUP($E728,'NI-Ric_SP'!$C:$AN,MID(AE$1,1,2),FALSE)</f>
        <v>0</v>
      </c>
      <c r="AF728" s="55">
        <f>VLOOKUP($E728,'NI-Ric_SP'!$C:$AN,MID(AF$1,1,2),FALSE)</f>
        <v>0</v>
      </c>
      <c r="AG728" s="55">
        <f>VLOOKUP($E728,'NI-Ric_SP'!$C:$AN,MID(AG$1,1,2),FALSE)</f>
        <v>0</v>
      </c>
      <c r="AH728" s="55">
        <f>VLOOKUP($E728,'NI-Ric_SP'!$C:$AN,MID(AH$1,1,2),FALSE)</f>
        <v>0</v>
      </c>
      <c r="AI728" s="55">
        <f>VLOOKUP($E728,'NI-Ric_SP'!$C:$AN,MID(AI$1,1,2),FALSE)</f>
        <v>0</v>
      </c>
      <c r="AJ728" s="55">
        <f>VLOOKUP($E728,'NI-Ric_SP'!$C:$AN,MID(AJ$1,1,2),FALSE)</f>
        <v>0</v>
      </c>
      <c r="AK728" s="55">
        <f>VLOOKUP($E728,'NI-Ric_SP'!$C:$AN,MID(AK$1,1,2),FALSE)</f>
        <v>0</v>
      </c>
      <c r="AL728" s="55">
        <f>VLOOKUP($E728,'NI-Ric_SP'!$C:$AN,MID(AL$1,1,2),FALSE)</f>
        <v>0</v>
      </c>
      <c r="AM728" s="56">
        <f>VLOOKUP($E728,'NI-Ric_SP'!$C:$AN,MID(AM$1,1,2),FALSE)</f>
        <v>0</v>
      </c>
      <c r="AN728" s="30" t="str">
        <f t="shared" si="11"/>
        <v>10000000000000</v>
      </c>
    </row>
    <row r="729" spans="3:40" x14ac:dyDescent="0.25">
      <c r="C729" s="40"/>
      <c r="D729" s="101" t="s">
        <v>116</v>
      </c>
      <c r="E729" s="101" t="s">
        <v>117</v>
      </c>
      <c r="F729" s="102" t="s">
        <v>2750</v>
      </c>
      <c r="G729" s="52"/>
      <c r="H729" s="52"/>
      <c r="I729" s="52"/>
      <c r="J729" s="52"/>
      <c r="K729" s="59" t="s">
        <v>111</v>
      </c>
      <c r="L729" s="52"/>
      <c r="M729" s="52"/>
      <c r="N729" s="52"/>
      <c r="O729" s="52"/>
      <c r="P729" s="76" t="s">
        <v>118</v>
      </c>
      <c r="Q729" s="55">
        <f>VLOOKUP(E729,'NI-Ric_SP'!$C:$AN,12,FALSE)</f>
        <v>0</v>
      </c>
      <c r="R729" s="55">
        <f>VLOOKUP(E729,'NI-Ric_SP'!$C:$AN,13,FALSE)</f>
        <v>0</v>
      </c>
      <c r="S729" s="55"/>
      <c r="T729" s="55"/>
      <c r="U729" s="55">
        <f>VLOOKUP($E729,'NI-Ric_SP'!$C:$AN,MID(U$1,1,2),FALSE)</f>
        <v>0</v>
      </c>
      <c r="V729" s="55">
        <f>VLOOKUP($E729,'NI-Ric_SP'!$C:$AN,MID(V$1,1,2),FALSE)</f>
        <v>0</v>
      </c>
      <c r="W729" s="55">
        <f>VLOOKUP($E729,'NI-Ric_SP'!$C:$AN,MID(W$1,1,2),FALSE)</f>
        <v>0</v>
      </c>
      <c r="X729" s="55" t="str">
        <f>VLOOKUP($E729,'NI-Ric_SP'!$C:$AN,MID(X$1,1,2),FALSE)</f>
        <v/>
      </c>
      <c r="Y729" s="55">
        <f>VLOOKUP($E729,'NI-Ric_SP'!$C:$AN,MID(Y$1,1,2),FALSE)</f>
        <v>0</v>
      </c>
      <c r="Z729" s="55">
        <f>VLOOKUP($E729,'NI-Ric_SP'!$C:$AN,MID(Z$1,1,2),FALSE)</f>
        <v>0</v>
      </c>
      <c r="AA729" s="55">
        <f>VLOOKUP($E729,'NI-Ric_SP'!$C:$AN,MID(AA$1,1,2),FALSE)</f>
        <v>0</v>
      </c>
      <c r="AB729" s="55">
        <f>VLOOKUP($E729,'NI-Ric_SP'!$C:$AN,MID(AB$1,1,2),FALSE)</f>
        <v>0</v>
      </c>
      <c r="AC729" s="55">
        <f>VLOOKUP($E729,'NI-Ric_SP'!$C:$AN,MID(AC$1,1,2),FALSE)</f>
        <v>0</v>
      </c>
      <c r="AD729" s="55">
        <f>VLOOKUP($E729,'NI-Ric_SP'!$C:$AN,MID(AD$1,1,2),FALSE)</f>
        <v>0</v>
      </c>
      <c r="AE729" s="55">
        <f>VLOOKUP($E729,'NI-Ric_SP'!$C:$AN,MID(AE$1,1,2),FALSE)</f>
        <v>0</v>
      </c>
      <c r="AF729" s="55">
        <f>VLOOKUP($E729,'NI-Ric_SP'!$C:$AN,MID(AF$1,1,2),FALSE)</f>
        <v>0</v>
      </c>
      <c r="AG729" s="55">
        <f>VLOOKUP($E729,'NI-Ric_SP'!$C:$AN,MID(AG$1,1,2),FALSE)</f>
        <v>0</v>
      </c>
      <c r="AH729" s="55">
        <f>VLOOKUP($E729,'NI-Ric_SP'!$C:$AN,MID(AH$1,1,2),FALSE)</f>
        <v>0</v>
      </c>
      <c r="AI729" s="55" t="str">
        <f>VLOOKUP($E729,'NI-Ric_SP'!$C:$AN,MID(AI$1,1,2),FALSE)</f>
        <v>Quadratura Giroconti imm. immat. in corso concluse</v>
      </c>
      <c r="AJ729" s="55">
        <f>VLOOKUP($E729,'NI-Ric_SP'!$C:$AN,MID(AJ$1,1,2),FALSE)</f>
        <v>0</v>
      </c>
      <c r="AK729" s="55">
        <f>VLOOKUP($E729,'NI-Ric_SP'!$C:$AN,MID(AK$1,1,2),FALSE)</f>
        <v>0</v>
      </c>
      <c r="AL729" s="55">
        <f>VLOOKUP($E729,'NI-Ric_SP'!$C:$AN,MID(AL$1,1,2),FALSE)</f>
        <v>0</v>
      </c>
      <c r="AM729" s="56">
        <f>VLOOKUP($E729,'NI-Ric_SP'!$C:$AN,MID(AM$1,1,2),FALSE)</f>
        <v>0</v>
      </c>
      <c r="AN729" s="30" t="str">
        <f t="shared" si="11"/>
        <v>10100000000000</v>
      </c>
    </row>
    <row r="730" spans="3:40" x14ac:dyDescent="0.25">
      <c r="C730" s="40"/>
      <c r="D730" s="101" t="s">
        <v>119</v>
      </c>
      <c r="E730" s="101" t="s">
        <v>120</v>
      </c>
      <c r="F730" s="102" t="s">
        <v>2750</v>
      </c>
      <c r="G730" s="52"/>
      <c r="H730" s="52"/>
      <c r="I730" s="52"/>
      <c r="J730" s="52"/>
      <c r="K730" s="59" t="s">
        <v>111</v>
      </c>
      <c r="L730" s="52"/>
      <c r="M730" s="52"/>
      <c r="N730" s="52"/>
      <c r="O730" s="61" t="s">
        <v>121</v>
      </c>
      <c r="P730" s="76" t="s">
        <v>122</v>
      </c>
      <c r="Q730" s="55">
        <f>VLOOKUP(E730,'NI-Ric_SP'!$C:$AN,12,FALSE)</f>
        <v>0</v>
      </c>
      <c r="R730" s="55">
        <f>VLOOKUP(E730,'NI-Ric_SP'!$C:$AN,13,FALSE)</f>
        <v>0</v>
      </c>
      <c r="S730" s="55"/>
      <c r="T730" s="55"/>
      <c r="U730" s="55">
        <f>VLOOKUP($E730,'NI-Ric_SP'!$C:$AN,MID(U$1,1,2),FALSE)</f>
        <v>0</v>
      </c>
      <c r="V730" s="55">
        <f>VLOOKUP($E730,'NI-Ric_SP'!$C:$AN,MID(V$1,1,2),FALSE)</f>
        <v>0</v>
      </c>
      <c r="W730" s="55">
        <f>VLOOKUP($E730,'NI-Ric_SP'!$C:$AN,MID(W$1,1,2),FALSE)</f>
        <v>0</v>
      </c>
      <c r="X730" s="55">
        <f>VLOOKUP($E730,'NI-Ric_SP'!$C:$AN,MID(X$1,1,2),FALSE)</f>
        <v>0</v>
      </c>
      <c r="Y730" s="55">
        <f>VLOOKUP($E730,'NI-Ric_SP'!$C:$AN,MID(Y$1,1,2),FALSE)</f>
        <v>0</v>
      </c>
      <c r="Z730" s="55">
        <f>VLOOKUP($E730,'NI-Ric_SP'!$C:$AN,MID(Z$1,1,2),FALSE)</f>
        <v>0</v>
      </c>
      <c r="AA730" s="55">
        <f>VLOOKUP($E730,'NI-Ric_SP'!$C:$AN,MID(AA$1,1,2),FALSE)</f>
        <v>0</v>
      </c>
      <c r="AB730" s="55">
        <f>VLOOKUP($E730,'NI-Ric_SP'!$C:$AN,MID(AB$1,1,2),FALSE)</f>
        <v>0</v>
      </c>
      <c r="AC730" s="55">
        <f>VLOOKUP($E730,'NI-Ric_SP'!$C:$AN,MID(AC$1,1,2),FALSE)</f>
        <v>0</v>
      </c>
      <c r="AD730" s="55">
        <f>VLOOKUP($E730,'NI-Ric_SP'!$C:$AN,MID(AD$1,1,2),FALSE)</f>
        <v>0</v>
      </c>
      <c r="AE730" s="55">
        <f>VLOOKUP($E730,'NI-Ric_SP'!$C:$AN,MID(AE$1,1,2),FALSE)</f>
        <v>0</v>
      </c>
      <c r="AF730" s="55">
        <f>VLOOKUP($E730,'NI-Ric_SP'!$C:$AN,MID(AF$1,1,2),FALSE)</f>
        <v>0</v>
      </c>
      <c r="AG730" s="55">
        <f>VLOOKUP($E730,'NI-Ric_SP'!$C:$AN,MID(AG$1,1,2),FALSE)</f>
        <v>0</v>
      </c>
      <c r="AH730" s="55">
        <f>VLOOKUP($E730,'NI-Ric_SP'!$C:$AN,MID(AH$1,1,2),FALSE)</f>
        <v>0</v>
      </c>
      <c r="AI730" s="55">
        <f>VLOOKUP($E730,'NI-Ric_SP'!$C:$AN,MID(AI$1,1,2),FALSE)</f>
        <v>0</v>
      </c>
      <c r="AJ730" s="55">
        <f>VLOOKUP($E730,'NI-Ric_SP'!$C:$AN,MID(AJ$1,1,2),FALSE)</f>
        <v>0</v>
      </c>
      <c r="AK730" s="55">
        <f>VLOOKUP($E730,'NI-Ric_SP'!$C:$AN,MID(AK$1,1,2),FALSE)</f>
        <v>0</v>
      </c>
      <c r="AL730" s="55">
        <f>VLOOKUP($E730,'NI-Ric_SP'!$C:$AN,MID(AL$1,1,2),FALSE)</f>
        <v>0</v>
      </c>
      <c r="AM730" s="56">
        <f>VLOOKUP($E730,'NI-Ric_SP'!$C:$AN,MID(AM$1,1,2),FALSE)</f>
        <v>0</v>
      </c>
      <c r="AN730" s="30" t="str">
        <f t="shared" si="11"/>
        <v>10101000000000</v>
      </c>
    </row>
    <row r="731" spans="3:40" x14ac:dyDescent="0.25">
      <c r="C731" s="40"/>
      <c r="D731" s="101" t="s">
        <v>123</v>
      </c>
      <c r="E731" s="101" t="s">
        <v>124</v>
      </c>
      <c r="F731" s="102" t="s">
        <v>2750</v>
      </c>
      <c r="G731" s="52"/>
      <c r="H731" s="52"/>
      <c r="I731" s="52" t="s">
        <v>125</v>
      </c>
      <c r="J731" s="52" t="s">
        <v>125</v>
      </c>
      <c r="K731" s="59" t="s">
        <v>111</v>
      </c>
      <c r="L731" s="62" t="s">
        <v>126</v>
      </c>
      <c r="M731" s="52"/>
      <c r="N731" s="52"/>
      <c r="O731" s="52"/>
      <c r="P731" s="76" t="s">
        <v>127</v>
      </c>
      <c r="Q731" s="55">
        <f>VLOOKUP(E731,'NI-Ric_SP'!$C:$AN,12,FALSE)</f>
        <v>0</v>
      </c>
      <c r="R731" s="55">
        <f>VLOOKUP(E731,'NI-Ric_SP'!$C:$AN,13,FALSE)</f>
        <v>0</v>
      </c>
      <c r="S731" s="55"/>
      <c r="T731" s="55"/>
      <c r="U731" s="55">
        <f>VLOOKUP($E731,'NI-Ric_SP'!$C:$AN,MID(U$1,1,2),FALSE)</f>
        <v>0</v>
      </c>
      <c r="V731" s="55">
        <f>VLOOKUP($E731,'NI-Ric_SP'!$C:$AN,MID(V$1,1,2),FALSE)</f>
        <v>0</v>
      </c>
      <c r="W731" s="55">
        <f>VLOOKUP($E731,'NI-Ric_SP'!$C:$AN,MID(W$1,1,2),FALSE)</f>
        <v>0</v>
      </c>
      <c r="X731" s="55">
        <f>VLOOKUP($E731,'NI-Ric_SP'!$C:$AN,MID(X$1,1,2),FALSE)</f>
        <v>0</v>
      </c>
      <c r="Y731" s="55">
        <f>VLOOKUP($E731,'NI-Ric_SP'!$C:$AN,MID(Y$1,1,2),FALSE)</f>
        <v>0</v>
      </c>
      <c r="Z731" s="55">
        <f>VLOOKUP($E731,'NI-Ric_SP'!$C:$AN,MID(Z$1,1,2),FALSE)</f>
        <v>0</v>
      </c>
      <c r="AA731" s="55">
        <f>VLOOKUP($E731,'NI-Ric_SP'!$C:$AN,MID(AA$1,1,2),FALSE)</f>
        <v>0</v>
      </c>
      <c r="AB731" s="55">
        <f>VLOOKUP($E731,'NI-Ric_SP'!$C:$AN,MID(AB$1,1,2),FALSE)</f>
        <v>0</v>
      </c>
      <c r="AC731" s="55">
        <f>VLOOKUP($E731,'NI-Ric_SP'!$C:$AN,MID(AC$1,1,2),FALSE)</f>
        <v>0</v>
      </c>
      <c r="AD731" s="55">
        <f>VLOOKUP($E731,'NI-Ric_SP'!$C:$AN,MID(AD$1,1,2),FALSE)</f>
        <v>0</v>
      </c>
      <c r="AE731" s="55">
        <f>VLOOKUP($E731,'NI-Ric_SP'!$C:$AN,MID(AE$1,1,2),FALSE)</f>
        <v>0</v>
      </c>
      <c r="AF731" s="55">
        <f>VLOOKUP($E731,'NI-Ric_SP'!$C:$AN,MID(AF$1,1,2),FALSE)</f>
        <v>0</v>
      </c>
      <c r="AG731" s="55">
        <f>VLOOKUP($E731,'NI-Ric_SP'!$C:$AN,MID(AG$1,1,2),FALSE)</f>
        <v>0</v>
      </c>
      <c r="AH731" s="55">
        <f>VLOOKUP($E731,'NI-Ric_SP'!$C:$AN,MID(AH$1,1,2),FALSE)</f>
        <v>0</v>
      </c>
      <c r="AI731" s="55">
        <f>VLOOKUP($E731,'NI-Ric_SP'!$C:$AN,MID(AI$1,1,2),FALSE)</f>
        <v>0</v>
      </c>
      <c r="AJ731" s="55">
        <f>VLOOKUP($E731,'NI-Ric_SP'!$C:$AN,MID(AJ$1,1,2),FALSE)</f>
        <v>0</v>
      </c>
      <c r="AK731" s="55">
        <f>VLOOKUP($E731,'NI-Ric_SP'!$C:$AN,MID(AK$1,1,2),FALSE)</f>
        <v>0</v>
      </c>
      <c r="AL731" s="55">
        <f>VLOOKUP($E731,'NI-Ric_SP'!$C:$AN,MID(AL$1,1,2),FALSE)</f>
        <v>0</v>
      </c>
      <c r="AM731" s="56">
        <f>VLOOKUP($E731,'NI-Ric_SP'!$C:$AN,MID(AM$1,1,2),FALSE)</f>
        <v>0</v>
      </c>
      <c r="AN731" s="30" t="str">
        <f t="shared" si="11"/>
        <v>10101010000000</v>
      </c>
    </row>
    <row r="732" spans="3:40" x14ac:dyDescent="0.25">
      <c r="C732" s="40"/>
      <c r="D732" s="101" t="s">
        <v>128</v>
      </c>
      <c r="E732" s="101" t="s">
        <v>129</v>
      </c>
      <c r="F732" s="102" t="s">
        <v>2750</v>
      </c>
      <c r="G732" s="52"/>
      <c r="H732" s="52"/>
      <c r="I732" s="52"/>
      <c r="J732" s="52"/>
      <c r="K732" s="59" t="s">
        <v>79</v>
      </c>
      <c r="L732" s="52"/>
      <c r="M732" s="52"/>
      <c r="N732" s="52"/>
      <c r="O732" s="52"/>
      <c r="P732" s="76" t="s">
        <v>130</v>
      </c>
      <c r="Q732" s="55">
        <f>VLOOKUP(E732,'NI-Ric_SP'!$C:$AN,12,FALSE)</f>
        <v>0</v>
      </c>
      <c r="R732" s="55">
        <f>VLOOKUP(E732,'NI-Ric_SP'!$C:$AN,13,FALSE)</f>
        <v>0</v>
      </c>
      <c r="S732" s="55"/>
      <c r="T732" s="55"/>
      <c r="U732" s="55">
        <f>VLOOKUP($E732,'NI-Ric_SP'!$C:$AN,MID(U$1,1,2),FALSE)</f>
        <v>0</v>
      </c>
      <c r="V732" s="55">
        <f>VLOOKUP($E732,'NI-Ric_SP'!$C:$AN,MID(V$1,1,2),FALSE)</f>
        <v>0</v>
      </c>
      <c r="W732" s="55">
        <f>VLOOKUP($E732,'NI-Ric_SP'!$C:$AN,MID(W$1,1,2),FALSE)</f>
        <v>0</v>
      </c>
      <c r="X732" s="55">
        <f>VLOOKUP($E732,'NI-Ric_SP'!$C:$AN,MID(X$1,1,2),FALSE)</f>
        <v>0</v>
      </c>
      <c r="Y732" s="55">
        <f>VLOOKUP($E732,'NI-Ric_SP'!$C:$AN,MID(Y$1,1,2),FALSE)</f>
        <v>0</v>
      </c>
      <c r="Z732" s="55">
        <f>VLOOKUP($E732,'NI-Ric_SP'!$C:$AN,MID(Z$1,1,2),FALSE)</f>
        <v>0</v>
      </c>
      <c r="AA732" s="55">
        <f>VLOOKUP($E732,'NI-Ric_SP'!$C:$AN,MID(AA$1,1,2),FALSE)</f>
        <v>0</v>
      </c>
      <c r="AB732" s="55">
        <f>VLOOKUP($E732,'NI-Ric_SP'!$C:$AN,MID(AB$1,1,2),FALSE)</f>
        <v>0</v>
      </c>
      <c r="AC732" s="55">
        <f>VLOOKUP($E732,'NI-Ric_SP'!$C:$AN,MID(AC$1,1,2),FALSE)</f>
        <v>0</v>
      </c>
      <c r="AD732" s="55">
        <f>VLOOKUP($E732,'NI-Ric_SP'!$C:$AN,MID(AD$1,1,2),FALSE)</f>
        <v>0</v>
      </c>
      <c r="AE732" s="55">
        <f>VLOOKUP($E732,'NI-Ric_SP'!$C:$AN,MID(AE$1,1,2),FALSE)</f>
        <v>0</v>
      </c>
      <c r="AF732" s="55">
        <f>VLOOKUP($E732,'NI-Ric_SP'!$C:$AN,MID(AF$1,1,2),FALSE)</f>
        <v>0</v>
      </c>
      <c r="AG732" s="55">
        <f>VLOOKUP($E732,'NI-Ric_SP'!$C:$AN,MID(AG$1,1,2),FALSE)</f>
        <v>0</v>
      </c>
      <c r="AH732" s="55">
        <f>VLOOKUP($E732,'NI-Ric_SP'!$C:$AN,MID(AH$1,1,2),FALSE)</f>
        <v>0</v>
      </c>
      <c r="AI732" s="55">
        <f>VLOOKUP($E732,'NI-Ric_SP'!$C:$AN,MID(AI$1,1,2),FALSE)</f>
        <v>0</v>
      </c>
      <c r="AJ732" s="55">
        <f>VLOOKUP($E732,'NI-Ric_SP'!$C:$AN,MID(AJ$1,1,2),FALSE)</f>
        <v>0</v>
      </c>
      <c r="AK732" s="55">
        <f>VLOOKUP($E732,'NI-Ric_SP'!$C:$AN,MID(AK$1,1,2),FALSE)</f>
        <v>0</v>
      </c>
      <c r="AL732" s="55">
        <f>VLOOKUP($E732,'NI-Ric_SP'!$C:$AN,MID(AL$1,1,2),FALSE)</f>
        <v>0</v>
      </c>
      <c r="AM732" s="56">
        <f>VLOOKUP($E732,'NI-Ric_SP'!$C:$AN,MID(AM$1,1,2),FALSE)</f>
        <v>0</v>
      </c>
      <c r="AN732" s="30" t="str">
        <f t="shared" si="11"/>
        <v>10101010010000</v>
      </c>
    </row>
    <row r="733" spans="3:40" x14ac:dyDescent="0.25">
      <c r="C733" s="40"/>
      <c r="D733" s="101" t="s">
        <v>131</v>
      </c>
      <c r="E733" s="101" t="s">
        <v>132</v>
      </c>
      <c r="F733" s="102" t="s">
        <v>2750</v>
      </c>
      <c r="G733" s="52"/>
      <c r="H733" s="52"/>
      <c r="I733" s="52"/>
      <c r="J733" s="52"/>
      <c r="K733" s="59" t="s">
        <v>79</v>
      </c>
      <c r="L733" s="52"/>
      <c r="M733" s="52"/>
      <c r="N733" s="52"/>
      <c r="O733" s="52"/>
      <c r="P733" s="76" t="s">
        <v>133</v>
      </c>
      <c r="Q733" s="55">
        <f>VLOOKUP(E733,'NI-Ric_SP'!$C:$AN,12,FALSE)</f>
        <v>0</v>
      </c>
      <c r="R733" s="55">
        <f>VLOOKUP(E733,'NI-Ric_SP'!$C:$AN,13,FALSE)</f>
        <v>0</v>
      </c>
      <c r="S733" s="55"/>
      <c r="T733" s="55"/>
      <c r="U733" s="55">
        <f>VLOOKUP($E733,'NI-Ric_SP'!$C:$AN,MID(U$1,1,2),FALSE)</f>
        <v>0</v>
      </c>
      <c r="V733" s="55">
        <f>VLOOKUP($E733,'NI-Ric_SP'!$C:$AN,MID(V$1,1,2),FALSE)</f>
        <v>0</v>
      </c>
      <c r="W733" s="55">
        <f>VLOOKUP($E733,'NI-Ric_SP'!$C:$AN,MID(W$1,1,2),FALSE)</f>
        <v>0</v>
      </c>
      <c r="X733" s="55">
        <f>VLOOKUP($E733,'NI-Ric_SP'!$C:$AN,MID(X$1,1,2),FALSE)</f>
        <v>0</v>
      </c>
      <c r="Y733" s="55">
        <f>VLOOKUP($E733,'NI-Ric_SP'!$C:$AN,MID(Y$1,1,2),FALSE)</f>
        <v>0</v>
      </c>
      <c r="Z733" s="55">
        <f>VLOOKUP($E733,'NI-Ric_SP'!$C:$AN,MID(Z$1,1,2),FALSE)</f>
        <v>0</v>
      </c>
      <c r="AA733" s="55">
        <f>VLOOKUP($E733,'NI-Ric_SP'!$C:$AN,MID(AA$1,1,2),FALSE)</f>
        <v>0</v>
      </c>
      <c r="AB733" s="55">
        <f>VLOOKUP($E733,'NI-Ric_SP'!$C:$AN,MID(AB$1,1,2),FALSE)</f>
        <v>0</v>
      </c>
      <c r="AC733" s="55">
        <f>VLOOKUP($E733,'NI-Ric_SP'!$C:$AN,MID(AC$1,1,2),FALSE)</f>
        <v>0</v>
      </c>
      <c r="AD733" s="55">
        <f>VLOOKUP($E733,'NI-Ric_SP'!$C:$AN,MID(AD$1,1,2),FALSE)</f>
        <v>0</v>
      </c>
      <c r="AE733" s="55">
        <f>VLOOKUP($E733,'NI-Ric_SP'!$C:$AN,MID(AE$1,1,2),FALSE)</f>
        <v>0</v>
      </c>
      <c r="AF733" s="55">
        <f>VLOOKUP($E733,'NI-Ric_SP'!$C:$AN,MID(AF$1,1,2),FALSE)</f>
        <v>0</v>
      </c>
      <c r="AG733" s="55">
        <f>VLOOKUP($E733,'NI-Ric_SP'!$C:$AN,MID(AG$1,1,2),FALSE)</f>
        <v>0</v>
      </c>
      <c r="AH733" s="55">
        <f>VLOOKUP($E733,'NI-Ric_SP'!$C:$AN,MID(AH$1,1,2),FALSE)</f>
        <v>0</v>
      </c>
      <c r="AI733" s="55">
        <f>VLOOKUP($E733,'NI-Ric_SP'!$C:$AN,MID(AI$1,1,2),FALSE)</f>
        <v>0</v>
      </c>
      <c r="AJ733" s="55">
        <f>VLOOKUP($E733,'NI-Ric_SP'!$C:$AN,MID(AJ$1,1,2),FALSE)</f>
        <v>0</v>
      </c>
      <c r="AK733" s="55">
        <f>VLOOKUP($E733,'NI-Ric_SP'!$C:$AN,MID(AK$1,1,2),FALSE)</f>
        <v>0</v>
      </c>
      <c r="AL733" s="55">
        <f>VLOOKUP($E733,'NI-Ric_SP'!$C:$AN,MID(AL$1,1,2),FALSE)</f>
        <v>0</v>
      </c>
      <c r="AM733" s="56">
        <f>VLOOKUP($E733,'NI-Ric_SP'!$C:$AN,MID(AM$1,1,2),FALSE)</f>
        <v>0</v>
      </c>
      <c r="AN733" s="30" t="str">
        <f t="shared" si="11"/>
        <v>10101010020000</v>
      </c>
    </row>
    <row r="734" spans="3:40" x14ac:dyDescent="0.25">
      <c r="C734" s="40"/>
      <c r="D734" s="101" t="s">
        <v>134</v>
      </c>
      <c r="E734" s="101" t="s">
        <v>135</v>
      </c>
      <c r="F734" s="102" t="s">
        <v>2750</v>
      </c>
      <c r="G734" s="52"/>
      <c r="H734" s="52"/>
      <c r="I734" s="52" t="s">
        <v>136</v>
      </c>
      <c r="J734" s="52" t="s">
        <v>136</v>
      </c>
      <c r="K734" s="59" t="s">
        <v>111</v>
      </c>
      <c r="L734" s="62" t="s">
        <v>137</v>
      </c>
      <c r="M734" s="52"/>
      <c r="N734" s="52"/>
      <c r="O734" s="52"/>
      <c r="P734" s="76" t="s">
        <v>138</v>
      </c>
      <c r="Q734" s="55">
        <f>VLOOKUP(E734,'NI-Ric_SP'!$C:$AN,12,FALSE)</f>
        <v>0</v>
      </c>
      <c r="R734" s="55">
        <f>VLOOKUP(E734,'NI-Ric_SP'!$C:$AN,13,FALSE)</f>
        <v>0</v>
      </c>
      <c r="S734" s="55"/>
      <c r="T734" s="55"/>
      <c r="U734" s="55">
        <f>VLOOKUP($E734,'NI-Ric_SP'!$C:$AN,MID(U$1,1,2),FALSE)</f>
        <v>0</v>
      </c>
      <c r="V734" s="55">
        <f>VLOOKUP($E734,'NI-Ric_SP'!$C:$AN,MID(V$1,1,2),FALSE)</f>
        <v>0</v>
      </c>
      <c r="W734" s="55">
        <f>VLOOKUP($E734,'NI-Ric_SP'!$C:$AN,MID(W$1,1,2),FALSE)</f>
        <v>0</v>
      </c>
      <c r="X734" s="55">
        <f>VLOOKUP($E734,'NI-Ric_SP'!$C:$AN,MID(X$1,1,2),FALSE)</f>
        <v>0</v>
      </c>
      <c r="Y734" s="55">
        <f>VLOOKUP($E734,'NI-Ric_SP'!$C:$AN,MID(Y$1,1,2),FALSE)</f>
        <v>0</v>
      </c>
      <c r="Z734" s="55">
        <f>VLOOKUP($E734,'NI-Ric_SP'!$C:$AN,MID(Z$1,1,2),FALSE)</f>
        <v>0</v>
      </c>
      <c r="AA734" s="55">
        <f>VLOOKUP($E734,'NI-Ric_SP'!$C:$AN,MID(AA$1,1,2),FALSE)</f>
        <v>0</v>
      </c>
      <c r="AB734" s="55">
        <f>VLOOKUP($E734,'NI-Ric_SP'!$C:$AN,MID(AB$1,1,2),FALSE)</f>
        <v>0</v>
      </c>
      <c r="AC734" s="55">
        <f>VLOOKUP($E734,'NI-Ric_SP'!$C:$AN,MID(AC$1,1,2),FALSE)</f>
        <v>0</v>
      </c>
      <c r="AD734" s="55">
        <f>VLOOKUP($E734,'NI-Ric_SP'!$C:$AN,MID(AD$1,1,2),FALSE)</f>
        <v>0</v>
      </c>
      <c r="AE734" s="55">
        <f>VLOOKUP($E734,'NI-Ric_SP'!$C:$AN,MID(AE$1,1,2),FALSE)</f>
        <v>0</v>
      </c>
      <c r="AF734" s="55">
        <f>VLOOKUP($E734,'NI-Ric_SP'!$C:$AN,MID(AF$1,1,2),FALSE)</f>
        <v>0</v>
      </c>
      <c r="AG734" s="55">
        <f>VLOOKUP($E734,'NI-Ric_SP'!$C:$AN,MID(AG$1,1,2),FALSE)</f>
        <v>0</v>
      </c>
      <c r="AH734" s="55">
        <f>VLOOKUP($E734,'NI-Ric_SP'!$C:$AN,MID(AH$1,1,2),FALSE)</f>
        <v>0</v>
      </c>
      <c r="AI734" s="55">
        <f>VLOOKUP($E734,'NI-Ric_SP'!$C:$AN,MID(AI$1,1,2),FALSE)</f>
        <v>0</v>
      </c>
      <c r="AJ734" s="55">
        <f>VLOOKUP($E734,'NI-Ric_SP'!$C:$AN,MID(AJ$1,1,2),FALSE)</f>
        <v>0</v>
      </c>
      <c r="AK734" s="55">
        <f>VLOOKUP($E734,'NI-Ric_SP'!$C:$AN,MID(AK$1,1,2),FALSE)</f>
        <v>0</v>
      </c>
      <c r="AL734" s="55">
        <f>VLOOKUP($E734,'NI-Ric_SP'!$C:$AN,MID(AL$1,1,2),FALSE)</f>
        <v>0</v>
      </c>
      <c r="AM734" s="56">
        <f>VLOOKUP($E734,'NI-Ric_SP'!$C:$AN,MID(AM$1,1,2),FALSE)</f>
        <v>0</v>
      </c>
      <c r="AN734" s="30" t="str">
        <f t="shared" si="11"/>
        <v>10101020000000</v>
      </c>
    </row>
    <row r="735" spans="3:40" x14ac:dyDescent="0.25">
      <c r="C735" s="40"/>
      <c r="D735" s="101" t="s">
        <v>139</v>
      </c>
      <c r="E735" s="101" t="s">
        <v>140</v>
      </c>
      <c r="F735" s="102" t="s">
        <v>2750</v>
      </c>
      <c r="G735" s="52"/>
      <c r="H735" s="52"/>
      <c r="I735" s="52"/>
      <c r="J735" s="52"/>
      <c r="K735" s="59" t="s">
        <v>79</v>
      </c>
      <c r="L735" s="52"/>
      <c r="M735" s="52"/>
      <c r="N735" s="52"/>
      <c r="O735" s="52"/>
      <c r="P735" s="76" t="s">
        <v>141</v>
      </c>
      <c r="Q735" s="55">
        <f>VLOOKUP(E735,'NI-Ric_SP'!$C:$AN,12,FALSE)</f>
        <v>0</v>
      </c>
      <c r="R735" s="55">
        <f>VLOOKUP(E735,'NI-Ric_SP'!$C:$AN,13,FALSE)</f>
        <v>0</v>
      </c>
      <c r="S735" s="55"/>
      <c r="T735" s="55"/>
      <c r="U735" s="55">
        <f>VLOOKUP($E735,'NI-Ric_SP'!$C:$AN,MID(U$1,1,2),FALSE)</f>
        <v>0</v>
      </c>
      <c r="V735" s="55">
        <f>VLOOKUP($E735,'NI-Ric_SP'!$C:$AN,MID(V$1,1,2),FALSE)</f>
        <v>0</v>
      </c>
      <c r="W735" s="55">
        <f>VLOOKUP($E735,'NI-Ric_SP'!$C:$AN,MID(W$1,1,2),FALSE)</f>
        <v>0</v>
      </c>
      <c r="X735" s="55">
        <f>VLOOKUP($E735,'NI-Ric_SP'!$C:$AN,MID(X$1,1,2),FALSE)</f>
        <v>0</v>
      </c>
      <c r="Y735" s="55">
        <f>VLOOKUP($E735,'NI-Ric_SP'!$C:$AN,MID(Y$1,1,2),FALSE)</f>
        <v>0</v>
      </c>
      <c r="Z735" s="55">
        <f>VLOOKUP($E735,'NI-Ric_SP'!$C:$AN,MID(Z$1,1,2),FALSE)</f>
        <v>0</v>
      </c>
      <c r="AA735" s="55">
        <f>VLOOKUP($E735,'NI-Ric_SP'!$C:$AN,MID(AA$1,1,2),FALSE)</f>
        <v>0</v>
      </c>
      <c r="AB735" s="55">
        <f>VLOOKUP($E735,'NI-Ric_SP'!$C:$AN,MID(AB$1,1,2),FALSE)</f>
        <v>0</v>
      </c>
      <c r="AC735" s="55">
        <f>VLOOKUP($E735,'NI-Ric_SP'!$C:$AN,MID(AC$1,1,2),FALSE)</f>
        <v>0</v>
      </c>
      <c r="AD735" s="55">
        <f>VLOOKUP($E735,'NI-Ric_SP'!$C:$AN,MID(AD$1,1,2),FALSE)</f>
        <v>0</v>
      </c>
      <c r="AE735" s="55">
        <f>VLOOKUP($E735,'NI-Ric_SP'!$C:$AN,MID(AE$1,1,2),FALSE)</f>
        <v>0</v>
      </c>
      <c r="AF735" s="55">
        <f>VLOOKUP($E735,'NI-Ric_SP'!$C:$AN,MID(AF$1,1,2),FALSE)</f>
        <v>0</v>
      </c>
      <c r="AG735" s="55">
        <f>VLOOKUP($E735,'NI-Ric_SP'!$C:$AN,MID(AG$1,1,2),FALSE)</f>
        <v>0</v>
      </c>
      <c r="AH735" s="55">
        <f>VLOOKUP($E735,'NI-Ric_SP'!$C:$AN,MID(AH$1,1,2),FALSE)</f>
        <v>0</v>
      </c>
      <c r="AI735" s="55">
        <f>VLOOKUP($E735,'NI-Ric_SP'!$C:$AN,MID(AI$1,1,2),FALSE)</f>
        <v>0</v>
      </c>
      <c r="AJ735" s="55">
        <f>VLOOKUP($E735,'NI-Ric_SP'!$C:$AN,MID(AJ$1,1,2),FALSE)</f>
        <v>0</v>
      </c>
      <c r="AK735" s="55">
        <f>VLOOKUP($E735,'NI-Ric_SP'!$C:$AN,MID(AK$1,1,2),FALSE)</f>
        <v>0</v>
      </c>
      <c r="AL735" s="55">
        <f>VLOOKUP($E735,'NI-Ric_SP'!$C:$AN,MID(AL$1,1,2),FALSE)</f>
        <v>0</v>
      </c>
      <c r="AM735" s="56">
        <f>VLOOKUP($E735,'NI-Ric_SP'!$C:$AN,MID(AM$1,1,2),FALSE)</f>
        <v>0</v>
      </c>
      <c r="AN735" s="30" t="str">
        <f t="shared" si="11"/>
        <v>10101020010000</v>
      </c>
    </row>
    <row r="736" spans="3:40" x14ac:dyDescent="0.25">
      <c r="C736" s="40"/>
      <c r="D736" s="101" t="s">
        <v>142</v>
      </c>
      <c r="E736" s="101" t="s">
        <v>143</v>
      </c>
      <c r="F736" s="102" t="s">
        <v>2750</v>
      </c>
      <c r="G736" s="52"/>
      <c r="H736" s="52"/>
      <c r="I736" s="52"/>
      <c r="J736" s="52"/>
      <c r="K736" s="59" t="s">
        <v>79</v>
      </c>
      <c r="L736" s="52"/>
      <c r="M736" s="52"/>
      <c r="N736" s="52"/>
      <c r="O736" s="52"/>
      <c r="P736" s="76" t="s">
        <v>144</v>
      </c>
      <c r="Q736" s="55">
        <f>VLOOKUP(E736,'NI-Ric_SP'!$C:$AN,12,FALSE)</f>
        <v>0</v>
      </c>
      <c r="R736" s="55">
        <f>VLOOKUP(E736,'NI-Ric_SP'!$C:$AN,13,FALSE)</f>
        <v>0</v>
      </c>
      <c r="S736" s="55"/>
      <c r="T736" s="55"/>
      <c r="U736" s="55">
        <f>VLOOKUP($E736,'NI-Ric_SP'!$C:$AN,MID(U$1,1,2),FALSE)</f>
        <v>0</v>
      </c>
      <c r="V736" s="55">
        <f>VLOOKUP($E736,'NI-Ric_SP'!$C:$AN,MID(V$1,1,2),FALSE)</f>
        <v>0</v>
      </c>
      <c r="W736" s="55">
        <f>VLOOKUP($E736,'NI-Ric_SP'!$C:$AN,MID(W$1,1,2),FALSE)</f>
        <v>0</v>
      </c>
      <c r="X736" s="55">
        <f>VLOOKUP($E736,'NI-Ric_SP'!$C:$AN,MID(X$1,1,2),FALSE)</f>
        <v>0</v>
      </c>
      <c r="Y736" s="55">
        <f>VLOOKUP($E736,'NI-Ric_SP'!$C:$AN,MID(Y$1,1,2),FALSE)</f>
        <v>0</v>
      </c>
      <c r="Z736" s="55">
        <f>VLOOKUP($E736,'NI-Ric_SP'!$C:$AN,MID(Z$1,1,2),FALSE)</f>
        <v>0</v>
      </c>
      <c r="AA736" s="55">
        <f>VLOOKUP($E736,'NI-Ric_SP'!$C:$AN,MID(AA$1,1,2),FALSE)</f>
        <v>0</v>
      </c>
      <c r="AB736" s="55">
        <f>VLOOKUP($E736,'NI-Ric_SP'!$C:$AN,MID(AB$1,1,2),FALSE)</f>
        <v>0</v>
      </c>
      <c r="AC736" s="55">
        <f>VLOOKUP($E736,'NI-Ric_SP'!$C:$AN,MID(AC$1,1,2),FALSE)</f>
        <v>0</v>
      </c>
      <c r="AD736" s="55">
        <f>VLOOKUP($E736,'NI-Ric_SP'!$C:$AN,MID(AD$1,1,2),FALSE)</f>
        <v>0</v>
      </c>
      <c r="AE736" s="55">
        <f>VLOOKUP($E736,'NI-Ric_SP'!$C:$AN,MID(AE$1,1,2),FALSE)</f>
        <v>0</v>
      </c>
      <c r="AF736" s="55">
        <f>VLOOKUP($E736,'NI-Ric_SP'!$C:$AN,MID(AF$1,1,2),FALSE)</f>
        <v>0</v>
      </c>
      <c r="AG736" s="55">
        <f>VLOOKUP($E736,'NI-Ric_SP'!$C:$AN,MID(AG$1,1,2),FALSE)</f>
        <v>0</v>
      </c>
      <c r="AH736" s="55">
        <f>VLOOKUP($E736,'NI-Ric_SP'!$C:$AN,MID(AH$1,1,2),FALSE)</f>
        <v>0</v>
      </c>
      <c r="AI736" s="55">
        <f>VLOOKUP($E736,'NI-Ric_SP'!$C:$AN,MID(AI$1,1,2),FALSE)</f>
        <v>0</v>
      </c>
      <c r="AJ736" s="55">
        <f>VLOOKUP($E736,'NI-Ric_SP'!$C:$AN,MID(AJ$1,1,2),FALSE)</f>
        <v>0</v>
      </c>
      <c r="AK736" s="55">
        <f>VLOOKUP($E736,'NI-Ric_SP'!$C:$AN,MID(AK$1,1,2),FALSE)</f>
        <v>0</v>
      </c>
      <c r="AL736" s="55">
        <f>VLOOKUP($E736,'NI-Ric_SP'!$C:$AN,MID(AL$1,1,2),FALSE)</f>
        <v>0</v>
      </c>
      <c r="AM736" s="56">
        <f>VLOOKUP($E736,'NI-Ric_SP'!$C:$AN,MID(AM$1,1,2),FALSE)</f>
        <v>0</v>
      </c>
      <c r="AN736" s="30" t="str">
        <f t="shared" si="11"/>
        <v>10101020020000</v>
      </c>
    </row>
    <row r="737" spans="3:40" x14ac:dyDescent="0.25">
      <c r="C737" s="40"/>
      <c r="D737" s="101" t="s">
        <v>145</v>
      </c>
      <c r="E737" s="101" t="s">
        <v>146</v>
      </c>
      <c r="F737" s="102" t="s">
        <v>2750</v>
      </c>
      <c r="G737" s="52"/>
      <c r="H737" s="52"/>
      <c r="I737" s="52"/>
      <c r="J737" s="52"/>
      <c r="K737" s="59" t="s">
        <v>111</v>
      </c>
      <c r="L737" s="52"/>
      <c r="M737" s="52"/>
      <c r="N737" s="52"/>
      <c r="O737" s="61" t="s">
        <v>147</v>
      </c>
      <c r="P737" s="76" t="s">
        <v>148</v>
      </c>
      <c r="Q737" s="55">
        <f>VLOOKUP(E737,'NI-Ric_SP'!$C:$AN,12,FALSE)</f>
        <v>0</v>
      </c>
      <c r="R737" s="55">
        <f>VLOOKUP(E737,'NI-Ric_SP'!$C:$AN,13,FALSE)</f>
        <v>0</v>
      </c>
      <c r="S737" s="55"/>
      <c r="T737" s="55"/>
      <c r="U737" s="55">
        <f>VLOOKUP($E737,'NI-Ric_SP'!$C:$AN,MID(U$1,1,2),FALSE)</f>
        <v>0</v>
      </c>
      <c r="V737" s="55">
        <f>VLOOKUP($E737,'NI-Ric_SP'!$C:$AN,MID(V$1,1,2),FALSE)</f>
        <v>0</v>
      </c>
      <c r="W737" s="55">
        <f>VLOOKUP($E737,'NI-Ric_SP'!$C:$AN,MID(W$1,1,2),FALSE)</f>
        <v>0</v>
      </c>
      <c r="X737" s="55">
        <f>VLOOKUP($E737,'NI-Ric_SP'!$C:$AN,MID(X$1,1,2),FALSE)</f>
        <v>0</v>
      </c>
      <c r="Y737" s="55">
        <f>VLOOKUP($E737,'NI-Ric_SP'!$C:$AN,MID(Y$1,1,2),FALSE)</f>
        <v>0</v>
      </c>
      <c r="Z737" s="55">
        <f>VLOOKUP($E737,'NI-Ric_SP'!$C:$AN,MID(Z$1,1,2),FALSE)</f>
        <v>0</v>
      </c>
      <c r="AA737" s="55">
        <f>VLOOKUP($E737,'NI-Ric_SP'!$C:$AN,MID(AA$1,1,2),FALSE)</f>
        <v>0</v>
      </c>
      <c r="AB737" s="55">
        <f>VLOOKUP($E737,'NI-Ric_SP'!$C:$AN,MID(AB$1,1,2),FALSE)</f>
        <v>0</v>
      </c>
      <c r="AC737" s="55">
        <f>VLOOKUP($E737,'NI-Ric_SP'!$C:$AN,MID(AC$1,1,2),FALSE)</f>
        <v>0</v>
      </c>
      <c r="AD737" s="55">
        <f>VLOOKUP($E737,'NI-Ric_SP'!$C:$AN,MID(AD$1,1,2),FALSE)</f>
        <v>0</v>
      </c>
      <c r="AE737" s="55">
        <f>VLOOKUP($E737,'NI-Ric_SP'!$C:$AN,MID(AE$1,1,2),FALSE)</f>
        <v>0</v>
      </c>
      <c r="AF737" s="55">
        <f>VLOOKUP($E737,'NI-Ric_SP'!$C:$AN,MID(AF$1,1,2),FALSE)</f>
        <v>0</v>
      </c>
      <c r="AG737" s="55">
        <f>VLOOKUP($E737,'NI-Ric_SP'!$C:$AN,MID(AG$1,1,2),FALSE)</f>
        <v>0</v>
      </c>
      <c r="AH737" s="55">
        <f>VLOOKUP($E737,'NI-Ric_SP'!$C:$AN,MID(AH$1,1,2),FALSE)</f>
        <v>0</v>
      </c>
      <c r="AI737" s="55">
        <f>VLOOKUP($E737,'NI-Ric_SP'!$C:$AN,MID(AI$1,1,2),FALSE)</f>
        <v>0</v>
      </c>
      <c r="AJ737" s="55">
        <f>VLOOKUP($E737,'NI-Ric_SP'!$C:$AN,MID(AJ$1,1,2),FALSE)</f>
        <v>0</v>
      </c>
      <c r="AK737" s="55">
        <f>VLOOKUP($E737,'NI-Ric_SP'!$C:$AN,MID(AK$1,1,2),FALSE)</f>
        <v>0</v>
      </c>
      <c r="AL737" s="55">
        <f>VLOOKUP($E737,'NI-Ric_SP'!$C:$AN,MID(AL$1,1,2),FALSE)</f>
        <v>0</v>
      </c>
      <c r="AM737" s="56">
        <f>VLOOKUP($E737,'NI-Ric_SP'!$C:$AN,MID(AM$1,1,2),FALSE)</f>
        <v>0</v>
      </c>
      <c r="AN737" s="30" t="str">
        <f t="shared" si="11"/>
        <v>10102000000000</v>
      </c>
    </row>
    <row r="738" spans="3:40" x14ac:dyDescent="0.25">
      <c r="C738" s="40"/>
      <c r="D738" s="101" t="s">
        <v>149</v>
      </c>
      <c r="E738" s="101" t="s">
        <v>150</v>
      </c>
      <c r="F738" s="102" t="s">
        <v>2750</v>
      </c>
      <c r="G738" s="52"/>
      <c r="H738" s="52"/>
      <c r="I738" s="52" t="s">
        <v>151</v>
      </c>
      <c r="J738" s="52" t="s">
        <v>151</v>
      </c>
      <c r="K738" s="59" t="s">
        <v>111</v>
      </c>
      <c r="L738" s="62" t="s">
        <v>152</v>
      </c>
      <c r="M738" s="52"/>
      <c r="N738" s="52"/>
      <c r="O738" s="52"/>
      <c r="P738" s="76" t="s">
        <v>153</v>
      </c>
      <c r="Q738" s="55">
        <f>VLOOKUP(E738,'NI-Ric_SP'!$C:$AN,12,FALSE)</f>
        <v>0</v>
      </c>
      <c r="R738" s="55">
        <f>VLOOKUP(E738,'NI-Ric_SP'!$C:$AN,13,FALSE)</f>
        <v>0</v>
      </c>
      <c r="S738" s="55"/>
      <c r="T738" s="55"/>
      <c r="U738" s="55">
        <f>VLOOKUP($E738,'NI-Ric_SP'!$C:$AN,MID(U$1,1,2),FALSE)</f>
        <v>0</v>
      </c>
      <c r="V738" s="55">
        <f>VLOOKUP($E738,'NI-Ric_SP'!$C:$AN,MID(V$1,1,2),FALSE)</f>
        <v>0</v>
      </c>
      <c r="W738" s="55">
        <f>VLOOKUP($E738,'NI-Ric_SP'!$C:$AN,MID(W$1,1,2),FALSE)</f>
        <v>0</v>
      </c>
      <c r="X738" s="55">
        <f>VLOOKUP($E738,'NI-Ric_SP'!$C:$AN,MID(X$1,1,2),FALSE)</f>
        <v>0</v>
      </c>
      <c r="Y738" s="55">
        <f>VLOOKUP($E738,'NI-Ric_SP'!$C:$AN,MID(Y$1,1,2),FALSE)</f>
        <v>0</v>
      </c>
      <c r="Z738" s="55">
        <f>VLOOKUP($E738,'NI-Ric_SP'!$C:$AN,MID(Z$1,1,2),FALSE)</f>
        <v>0</v>
      </c>
      <c r="AA738" s="55">
        <f>VLOOKUP($E738,'NI-Ric_SP'!$C:$AN,MID(AA$1,1,2),FALSE)</f>
        <v>0</v>
      </c>
      <c r="AB738" s="55">
        <f>VLOOKUP($E738,'NI-Ric_SP'!$C:$AN,MID(AB$1,1,2),FALSE)</f>
        <v>0</v>
      </c>
      <c r="AC738" s="55">
        <f>VLOOKUP($E738,'NI-Ric_SP'!$C:$AN,MID(AC$1,1,2),FALSE)</f>
        <v>0</v>
      </c>
      <c r="AD738" s="55">
        <f>VLOOKUP($E738,'NI-Ric_SP'!$C:$AN,MID(AD$1,1,2),FALSE)</f>
        <v>0</v>
      </c>
      <c r="AE738" s="55">
        <f>VLOOKUP($E738,'NI-Ric_SP'!$C:$AN,MID(AE$1,1,2),FALSE)</f>
        <v>0</v>
      </c>
      <c r="AF738" s="55">
        <f>VLOOKUP($E738,'NI-Ric_SP'!$C:$AN,MID(AF$1,1,2),FALSE)</f>
        <v>0</v>
      </c>
      <c r="AG738" s="55">
        <f>VLOOKUP($E738,'NI-Ric_SP'!$C:$AN,MID(AG$1,1,2),FALSE)</f>
        <v>0</v>
      </c>
      <c r="AH738" s="55">
        <f>VLOOKUP($E738,'NI-Ric_SP'!$C:$AN,MID(AH$1,1,2),FALSE)</f>
        <v>0</v>
      </c>
      <c r="AI738" s="55">
        <f>VLOOKUP($E738,'NI-Ric_SP'!$C:$AN,MID(AI$1,1,2),FALSE)</f>
        <v>0</v>
      </c>
      <c r="AJ738" s="55">
        <f>VLOOKUP($E738,'NI-Ric_SP'!$C:$AN,MID(AJ$1,1,2),FALSE)</f>
        <v>0</v>
      </c>
      <c r="AK738" s="55">
        <f>VLOOKUP($E738,'NI-Ric_SP'!$C:$AN,MID(AK$1,1,2),FALSE)</f>
        <v>0</v>
      </c>
      <c r="AL738" s="55">
        <f>VLOOKUP($E738,'NI-Ric_SP'!$C:$AN,MID(AL$1,1,2),FALSE)</f>
        <v>0</v>
      </c>
      <c r="AM738" s="56">
        <f>VLOOKUP($E738,'NI-Ric_SP'!$C:$AN,MID(AM$1,1,2),FALSE)</f>
        <v>0</v>
      </c>
      <c r="AN738" s="30" t="str">
        <f t="shared" si="11"/>
        <v>10102010000000</v>
      </c>
    </row>
    <row r="739" spans="3:40" x14ac:dyDescent="0.25">
      <c r="C739" s="40"/>
      <c r="D739" s="101" t="s">
        <v>154</v>
      </c>
      <c r="E739" s="101" t="s">
        <v>155</v>
      </c>
      <c r="F739" s="102" t="s">
        <v>2750</v>
      </c>
      <c r="G739" s="52"/>
      <c r="H739" s="52"/>
      <c r="I739" s="52"/>
      <c r="J739" s="52"/>
      <c r="K739" s="59" t="s">
        <v>79</v>
      </c>
      <c r="L739" s="52"/>
      <c r="M739" s="52"/>
      <c r="N739" s="52"/>
      <c r="O739" s="52"/>
      <c r="P739" s="76" t="s">
        <v>156</v>
      </c>
      <c r="Q739" s="55">
        <f>VLOOKUP(E739,'NI-Ric_SP'!$C:$AN,12,FALSE)</f>
        <v>0</v>
      </c>
      <c r="R739" s="55">
        <f>VLOOKUP(E739,'NI-Ric_SP'!$C:$AN,13,FALSE)</f>
        <v>0</v>
      </c>
      <c r="S739" s="55"/>
      <c r="T739" s="55"/>
      <c r="U739" s="55">
        <f>VLOOKUP($E739,'NI-Ric_SP'!$C:$AN,MID(U$1,1,2),FALSE)</f>
        <v>0</v>
      </c>
      <c r="V739" s="55">
        <f>VLOOKUP($E739,'NI-Ric_SP'!$C:$AN,MID(V$1,1,2),FALSE)</f>
        <v>0</v>
      </c>
      <c r="W739" s="55">
        <f>VLOOKUP($E739,'NI-Ric_SP'!$C:$AN,MID(W$1,1,2),FALSE)</f>
        <v>0</v>
      </c>
      <c r="X739" s="55">
        <f>VLOOKUP($E739,'NI-Ric_SP'!$C:$AN,MID(X$1,1,2),FALSE)</f>
        <v>0</v>
      </c>
      <c r="Y739" s="55">
        <f>VLOOKUP($E739,'NI-Ric_SP'!$C:$AN,MID(Y$1,1,2),FALSE)</f>
        <v>0</v>
      </c>
      <c r="Z739" s="55">
        <f>VLOOKUP($E739,'NI-Ric_SP'!$C:$AN,MID(Z$1,1,2),FALSE)</f>
        <v>0</v>
      </c>
      <c r="AA739" s="55">
        <f>VLOOKUP($E739,'NI-Ric_SP'!$C:$AN,MID(AA$1,1,2),FALSE)</f>
        <v>0</v>
      </c>
      <c r="AB739" s="55">
        <f>VLOOKUP($E739,'NI-Ric_SP'!$C:$AN,MID(AB$1,1,2),FALSE)</f>
        <v>0</v>
      </c>
      <c r="AC739" s="55">
        <f>VLOOKUP($E739,'NI-Ric_SP'!$C:$AN,MID(AC$1,1,2),FALSE)</f>
        <v>0</v>
      </c>
      <c r="AD739" s="55">
        <f>VLOOKUP($E739,'NI-Ric_SP'!$C:$AN,MID(AD$1,1,2),FALSE)</f>
        <v>0</v>
      </c>
      <c r="AE739" s="55">
        <f>VLOOKUP($E739,'NI-Ric_SP'!$C:$AN,MID(AE$1,1,2),FALSE)</f>
        <v>0</v>
      </c>
      <c r="AF739" s="55">
        <f>VLOOKUP($E739,'NI-Ric_SP'!$C:$AN,MID(AF$1,1,2),FALSE)</f>
        <v>0</v>
      </c>
      <c r="AG739" s="55">
        <f>VLOOKUP($E739,'NI-Ric_SP'!$C:$AN,MID(AG$1,1,2),FALSE)</f>
        <v>0</v>
      </c>
      <c r="AH739" s="55">
        <f>VLOOKUP($E739,'NI-Ric_SP'!$C:$AN,MID(AH$1,1,2),FALSE)</f>
        <v>0</v>
      </c>
      <c r="AI739" s="55">
        <f>VLOOKUP($E739,'NI-Ric_SP'!$C:$AN,MID(AI$1,1,2),FALSE)</f>
        <v>0</v>
      </c>
      <c r="AJ739" s="55">
        <f>VLOOKUP($E739,'NI-Ric_SP'!$C:$AN,MID(AJ$1,1,2),FALSE)</f>
        <v>0</v>
      </c>
      <c r="AK739" s="55">
        <f>VLOOKUP($E739,'NI-Ric_SP'!$C:$AN,MID(AK$1,1,2),FALSE)</f>
        <v>0</v>
      </c>
      <c r="AL739" s="55">
        <f>VLOOKUP($E739,'NI-Ric_SP'!$C:$AN,MID(AL$1,1,2),FALSE)</f>
        <v>0</v>
      </c>
      <c r="AM739" s="56">
        <f>VLOOKUP($E739,'NI-Ric_SP'!$C:$AN,MID(AM$1,1,2),FALSE)</f>
        <v>0</v>
      </c>
      <c r="AN739" s="30" t="str">
        <f t="shared" si="11"/>
        <v>10102010010000</v>
      </c>
    </row>
    <row r="740" spans="3:40" x14ac:dyDescent="0.25">
      <c r="C740" s="40"/>
      <c r="D740" s="101" t="s">
        <v>157</v>
      </c>
      <c r="E740" s="101" t="s">
        <v>158</v>
      </c>
      <c r="F740" s="102" t="s">
        <v>2750</v>
      </c>
      <c r="G740" s="52"/>
      <c r="H740" s="52"/>
      <c r="I740" s="52"/>
      <c r="J740" s="52"/>
      <c r="K740" s="59" t="s">
        <v>79</v>
      </c>
      <c r="L740" s="52"/>
      <c r="M740" s="52"/>
      <c r="N740" s="52"/>
      <c r="O740" s="52"/>
      <c r="P740" s="76" t="s">
        <v>159</v>
      </c>
      <c r="Q740" s="55">
        <f>VLOOKUP(E740,'NI-Ric_SP'!$C:$AN,12,FALSE)</f>
        <v>0</v>
      </c>
      <c r="R740" s="55">
        <f>VLOOKUP(E740,'NI-Ric_SP'!$C:$AN,13,FALSE)</f>
        <v>0</v>
      </c>
      <c r="S740" s="55"/>
      <c r="T740" s="55"/>
      <c r="U740" s="55">
        <f>VLOOKUP($E740,'NI-Ric_SP'!$C:$AN,MID(U$1,1,2),FALSE)</f>
        <v>0</v>
      </c>
      <c r="V740" s="55">
        <f>VLOOKUP($E740,'NI-Ric_SP'!$C:$AN,MID(V$1,1,2),FALSE)</f>
        <v>0</v>
      </c>
      <c r="W740" s="55">
        <f>VLOOKUP($E740,'NI-Ric_SP'!$C:$AN,MID(W$1,1,2),FALSE)</f>
        <v>0</v>
      </c>
      <c r="X740" s="55">
        <f>VLOOKUP($E740,'NI-Ric_SP'!$C:$AN,MID(X$1,1,2),FALSE)</f>
        <v>0</v>
      </c>
      <c r="Y740" s="55">
        <f>VLOOKUP($E740,'NI-Ric_SP'!$C:$AN,MID(Y$1,1,2),FALSE)</f>
        <v>0</v>
      </c>
      <c r="Z740" s="55">
        <f>VLOOKUP($E740,'NI-Ric_SP'!$C:$AN,MID(Z$1,1,2),FALSE)</f>
        <v>0</v>
      </c>
      <c r="AA740" s="55">
        <f>VLOOKUP($E740,'NI-Ric_SP'!$C:$AN,MID(AA$1,1,2),FALSE)</f>
        <v>0</v>
      </c>
      <c r="AB740" s="55">
        <f>VLOOKUP($E740,'NI-Ric_SP'!$C:$AN,MID(AB$1,1,2),FALSE)</f>
        <v>0</v>
      </c>
      <c r="AC740" s="55">
        <f>VLOOKUP($E740,'NI-Ric_SP'!$C:$AN,MID(AC$1,1,2),FALSE)</f>
        <v>0</v>
      </c>
      <c r="AD740" s="55">
        <f>VLOOKUP($E740,'NI-Ric_SP'!$C:$AN,MID(AD$1,1,2),FALSE)</f>
        <v>0</v>
      </c>
      <c r="AE740" s="55">
        <f>VLOOKUP($E740,'NI-Ric_SP'!$C:$AN,MID(AE$1,1,2),FALSE)</f>
        <v>0</v>
      </c>
      <c r="AF740" s="55">
        <f>VLOOKUP($E740,'NI-Ric_SP'!$C:$AN,MID(AF$1,1,2),FALSE)</f>
        <v>0</v>
      </c>
      <c r="AG740" s="55">
        <f>VLOOKUP($E740,'NI-Ric_SP'!$C:$AN,MID(AG$1,1,2),FALSE)</f>
        <v>0</v>
      </c>
      <c r="AH740" s="55">
        <f>VLOOKUP($E740,'NI-Ric_SP'!$C:$AN,MID(AH$1,1,2),FALSE)</f>
        <v>0</v>
      </c>
      <c r="AI740" s="55">
        <f>VLOOKUP($E740,'NI-Ric_SP'!$C:$AN,MID(AI$1,1,2),FALSE)</f>
        <v>0</v>
      </c>
      <c r="AJ740" s="55">
        <f>VLOOKUP($E740,'NI-Ric_SP'!$C:$AN,MID(AJ$1,1,2),FALSE)</f>
        <v>0</v>
      </c>
      <c r="AK740" s="55">
        <f>VLOOKUP($E740,'NI-Ric_SP'!$C:$AN,MID(AK$1,1,2),FALSE)</f>
        <v>0</v>
      </c>
      <c r="AL740" s="55">
        <f>VLOOKUP($E740,'NI-Ric_SP'!$C:$AN,MID(AL$1,1,2),FALSE)</f>
        <v>0</v>
      </c>
      <c r="AM740" s="56">
        <f>VLOOKUP($E740,'NI-Ric_SP'!$C:$AN,MID(AM$1,1,2),FALSE)</f>
        <v>0</v>
      </c>
      <c r="AN740" s="30" t="str">
        <f t="shared" si="11"/>
        <v>10102010020000</v>
      </c>
    </row>
    <row r="741" spans="3:40" x14ac:dyDescent="0.25">
      <c r="C741" s="40"/>
      <c r="D741" s="101" t="s">
        <v>160</v>
      </c>
      <c r="E741" s="101" t="s">
        <v>161</v>
      </c>
      <c r="F741" s="102" t="s">
        <v>2750</v>
      </c>
      <c r="G741" s="52"/>
      <c r="H741" s="52"/>
      <c r="I741" s="52" t="s">
        <v>162</v>
      </c>
      <c r="J741" s="52" t="s">
        <v>162</v>
      </c>
      <c r="K741" s="59" t="s">
        <v>111</v>
      </c>
      <c r="L741" s="62" t="s">
        <v>163</v>
      </c>
      <c r="M741" s="52"/>
      <c r="N741" s="52"/>
      <c r="O741" s="52"/>
      <c r="P741" s="76" t="s">
        <v>164</v>
      </c>
      <c r="Q741" s="55">
        <f>VLOOKUP(E741,'NI-Ric_SP'!$C:$AN,12,FALSE)</f>
        <v>0</v>
      </c>
      <c r="R741" s="55">
        <f>VLOOKUP(E741,'NI-Ric_SP'!$C:$AN,13,FALSE)</f>
        <v>0</v>
      </c>
      <c r="S741" s="55"/>
      <c r="T741" s="55"/>
      <c r="U741" s="55">
        <f>VLOOKUP($E741,'NI-Ric_SP'!$C:$AN,MID(U$1,1,2),FALSE)</f>
        <v>0</v>
      </c>
      <c r="V741" s="55">
        <f>VLOOKUP($E741,'NI-Ric_SP'!$C:$AN,MID(V$1,1,2),FALSE)</f>
        <v>0</v>
      </c>
      <c r="W741" s="55">
        <f>VLOOKUP($E741,'NI-Ric_SP'!$C:$AN,MID(W$1,1,2),FALSE)</f>
        <v>0</v>
      </c>
      <c r="X741" s="55">
        <f>VLOOKUP($E741,'NI-Ric_SP'!$C:$AN,MID(X$1,1,2),FALSE)</f>
        <v>0</v>
      </c>
      <c r="Y741" s="55">
        <f>VLOOKUP($E741,'NI-Ric_SP'!$C:$AN,MID(Y$1,1,2),FALSE)</f>
        <v>0</v>
      </c>
      <c r="Z741" s="55">
        <f>VLOOKUP($E741,'NI-Ric_SP'!$C:$AN,MID(Z$1,1,2),FALSE)</f>
        <v>0</v>
      </c>
      <c r="AA741" s="55">
        <f>VLOOKUP($E741,'NI-Ric_SP'!$C:$AN,MID(AA$1,1,2),FALSE)</f>
        <v>0</v>
      </c>
      <c r="AB741" s="55">
        <f>VLOOKUP($E741,'NI-Ric_SP'!$C:$AN,MID(AB$1,1,2),FALSE)</f>
        <v>0</v>
      </c>
      <c r="AC741" s="55">
        <f>VLOOKUP($E741,'NI-Ric_SP'!$C:$AN,MID(AC$1,1,2),FALSE)</f>
        <v>0</v>
      </c>
      <c r="AD741" s="55">
        <f>VLOOKUP($E741,'NI-Ric_SP'!$C:$AN,MID(AD$1,1,2),FALSE)</f>
        <v>0</v>
      </c>
      <c r="AE741" s="55">
        <f>VLOOKUP($E741,'NI-Ric_SP'!$C:$AN,MID(AE$1,1,2),FALSE)</f>
        <v>0</v>
      </c>
      <c r="AF741" s="55">
        <f>VLOOKUP($E741,'NI-Ric_SP'!$C:$AN,MID(AF$1,1,2),FALSE)</f>
        <v>0</v>
      </c>
      <c r="AG741" s="55">
        <f>VLOOKUP($E741,'NI-Ric_SP'!$C:$AN,MID(AG$1,1,2),FALSE)</f>
        <v>0</v>
      </c>
      <c r="AH741" s="55">
        <f>VLOOKUP($E741,'NI-Ric_SP'!$C:$AN,MID(AH$1,1,2),FALSE)</f>
        <v>0</v>
      </c>
      <c r="AI741" s="55">
        <f>VLOOKUP($E741,'NI-Ric_SP'!$C:$AN,MID(AI$1,1,2),FALSE)</f>
        <v>0</v>
      </c>
      <c r="AJ741" s="55">
        <f>VLOOKUP($E741,'NI-Ric_SP'!$C:$AN,MID(AJ$1,1,2),FALSE)</f>
        <v>0</v>
      </c>
      <c r="AK741" s="55">
        <f>VLOOKUP($E741,'NI-Ric_SP'!$C:$AN,MID(AK$1,1,2),FALSE)</f>
        <v>0</v>
      </c>
      <c r="AL741" s="55">
        <f>VLOOKUP($E741,'NI-Ric_SP'!$C:$AN,MID(AL$1,1,2),FALSE)</f>
        <v>0</v>
      </c>
      <c r="AM741" s="56">
        <f>VLOOKUP($E741,'NI-Ric_SP'!$C:$AN,MID(AM$1,1,2),FALSE)</f>
        <v>0</v>
      </c>
      <c r="AN741" s="30" t="str">
        <f t="shared" si="11"/>
        <v>10102020000000</v>
      </c>
    </row>
    <row r="742" spans="3:40" x14ac:dyDescent="0.25">
      <c r="C742" s="40"/>
      <c r="D742" s="101" t="s">
        <v>165</v>
      </c>
      <c r="E742" s="101" t="s">
        <v>166</v>
      </c>
      <c r="F742" s="102" t="s">
        <v>2750</v>
      </c>
      <c r="G742" s="52"/>
      <c r="H742" s="52"/>
      <c r="I742" s="52"/>
      <c r="J742" s="52"/>
      <c r="K742" s="59" t="s">
        <v>79</v>
      </c>
      <c r="L742" s="52"/>
      <c r="M742" s="52"/>
      <c r="N742" s="52"/>
      <c r="O742" s="52"/>
      <c r="P742" s="76" t="s">
        <v>167</v>
      </c>
      <c r="Q742" s="55">
        <f>VLOOKUP(E742,'NI-Ric_SP'!$C:$AN,12,FALSE)</f>
        <v>0</v>
      </c>
      <c r="R742" s="55">
        <f>VLOOKUP(E742,'NI-Ric_SP'!$C:$AN,13,FALSE)</f>
        <v>0</v>
      </c>
      <c r="S742" s="55"/>
      <c r="T742" s="55"/>
      <c r="U742" s="55">
        <f>VLOOKUP($E742,'NI-Ric_SP'!$C:$AN,MID(U$1,1,2),FALSE)</f>
        <v>0</v>
      </c>
      <c r="V742" s="55">
        <f>VLOOKUP($E742,'NI-Ric_SP'!$C:$AN,MID(V$1,1,2),FALSE)</f>
        <v>0</v>
      </c>
      <c r="W742" s="55">
        <f>VLOOKUP($E742,'NI-Ric_SP'!$C:$AN,MID(W$1,1,2),FALSE)</f>
        <v>0</v>
      </c>
      <c r="X742" s="55">
        <f>VLOOKUP($E742,'NI-Ric_SP'!$C:$AN,MID(X$1,1,2),FALSE)</f>
        <v>0</v>
      </c>
      <c r="Y742" s="55">
        <f>VLOOKUP($E742,'NI-Ric_SP'!$C:$AN,MID(Y$1,1,2),FALSE)</f>
        <v>0</v>
      </c>
      <c r="Z742" s="55">
        <f>VLOOKUP($E742,'NI-Ric_SP'!$C:$AN,MID(Z$1,1,2),FALSE)</f>
        <v>0</v>
      </c>
      <c r="AA742" s="55">
        <f>VLOOKUP($E742,'NI-Ric_SP'!$C:$AN,MID(AA$1,1,2),FALSE)</f>
        <v>0</v>
      </c>
      <c r="AB742" s="55">
        <f>VLOOKUP($E742,'NI-Ric_SP'!$C:$AN,MID(AB$1,1,2),FALSE)</f>
        <v>0</v>
      </c>
      <c r="AC742" s="55">
        <f>VLOOKUP($E742,'NI-Ric_SP'!$C:$AN,MID(AC$1,1,2),FALSE)</f>
        <v>0</v>
      </c>
      <c r="AD742" s="55">
        <f>VLOOKUP($E742,'NI-Ric_SP'!$C:$AN,MID(AD$1,1,2),FALSE)</f>
        <v>0</v>
      </c>
      <c r="AE742" s="55">
        <f>VLOOKUP($E742,'NI-Ric_SP'!$C:$AN,MID(AE$1,1,2),FALSE)</f>
        <v>0</v>
      </c>
      <c r="AF742" s="55">
        <f>VLOOKUP($E742,'NI-Ric_SP'!$C:$AN,MID(AF$1,1,2),FALSE)</f>
        <v>0</v>
      </c>
      <c r="AG742" s="55">
        <f>VLOOKUP($E742,'NI-Ric_SP'!$C:$AN,MID(AG$1,1,2),FALSE)</f>
        <v>0</v>
      </c>
      <c r="AH742" s="55">
        <f>VLOOKUP($E742,'NI-Ric_SP'!$C:$AN,MID(AH$1,1,2),FALSE)</f>
        <v>0</v>
      </c>
      <c r="AI742" s="55">
        <f>VLOOKUP($E742,'NI-Ric_SP'!$C:$AN,MID(AI$1,1,2),FALSE)</f>
        <v>0</v>
      </c>
      <c r="AJ742" s="55">
        <f>VLOOKUP($E742,'NI-Ric_SP'!$C:$AN,MID(AJ$1,1,2),FALSE)</f>
        <v>0</v>
      </c>
      <c r="AK742" s="55">
        <f>VLOOKUP($E742,'NI-Ric_SP'!$C:$AN,MID(AK$1,1,2),FALSE)</f>
        <v>0</v>
      </c>
      <c r="AL742" s="55">
        <f>VLOOKUP($E742,'NI-Ric_SP'!$C:$AN,MID(AL$1,1,2),FALSE)</f>
        <v>0</v>
      </c>
      <c r="AM742" s="56">
        <f>VLOOKUP($E742,'NI-Ric_SP'!$C:$AN,MID(AM$1,1,2),FALSE)</f>
        <v>0</v>
      </c>
      <c r="AN742" s="30" t="str">
        <f t="shared" si="11"/>
        <v>10102020010000</v>
      </c>
    </row>
    <row r="743" spans="3:40" x14ac:dyDescent="0.25">
      <c r="C743" s="40"/>
      <c r="D743" s="101" t="s">
        <v>168</v>
      </c>
      <c r="E743" s="101" t="s">
        <v>169</v>
      </c>
      <c r="F743" s="102" t="s">
        <v>2750</v>
      </c>
      <c r="G743" s="52"/>
      <c r="H743" s="52"/>
      <c r="I743" s="52"/>
      <c r="J743" s="52"/>
      <c r="K743" s="59" t="s">
        <v>79</v>
      </c>
      <c r="L743" s="52"/>
      <c r="M743" s="52"/>
      <c r="N743" s="52"/>
      <c r="O743" s="52"/>
      <c r="P743" s="76" t="s">
        <v>170</v>
      </c>
      <c r="Q743" s="55">
        <f>VLOOKUP(E743,'NI-Ric_SP'!$C:$AN,12,FALSE)</f>
        <v>0</v>
      </c>
      <c r="R743" s="55">
        <f>VLOOKUP(E743,'NI-Ric_SP'!$C:$AN,13,FALSE)</f>
        <v>0</v>
      </c>
      <c r="S743" s="55"/>
      <c r="T743" s="55"/>
      <c r="U743" s="55">
        <f>VLOOKUP($E743,'NI-Ric_SP'!$C:$AN,MID(U$1,1,2),FALSE)</f>
        <v>0</v>
      </c>
      <c r="V743" s="55">
        <f>VLOOKUP($E743,'NI-Ric_SP'!$C:$AN,MID(V$1,1,2),FALSE)</f>
        <v>0</v>
      </c>
      <c r="W743" s="55">
        <f>VLOOKUP($E743,'NI-Ric_SP'!$C:$AN,MID(W$1,1,2),FALSE)</f>
        <v>0</v>
      </c>
      <c r="X743" s="55">
        <f>VLOOKUP($E743,'NI-Ric_SP'!$C:$AN,MID(X$1,1,2),FALSE)</f>
        <v>0</v>
      </c>
      <c r="Y743" s="55">
        <f>VLOOKUP($E743,'NI-Ric_SP'!$C:$AN,MID(Y$1,1,2),FALSE)</f>
        <v>0</v>
      </c>
      <c r="Z743" s="55">
        <f>VLOOKUP($E743,'NI-Ric_SP'!$C:$AN,MID(Z$1,1,2),FALSE)</f>
        <v>0</v>
      </c>
      <c r="AA743" s="55">
        <f>VLOOKUP($E743,'NI-Ric_SP'!$C:$AN,MID(AA$1,1,2),FALSE)</f>
        <v>0</v>
      </c>
      <c r="AB743" s="55">
        <f>VLOOKUP($E743,'NI-Ric_SP'!$C:$AN,MID(AB$1,1,2),FALSE)</f>
        <v>0</v>
      </c>
      <c r="AC743" s="55">
        <f>VLOOKUP($E743,'NI-Ric_SP'!$C:$AN,MID(AC$1,1,2),FALSE)</f>
        <v>0</v>
      </c>
      <c r="AD743" s="55">
        <f>VLOOKUP($E743,'NI-Ric_SP'!$C:$AN,MID(AD$1,1,2),FALSE)</f>
        <v>0</v>
      </c>
      <c r="AE743" s="55">
        <f>VLOOKUP($E743,'NI-Ric_SP'!$C:$AN,MID(AE$1,1,2),FALSE)</f>
        <v>0</v>
      </c>
      <c r="AF743" s="55">
        <f>VLOOKUP($E743,'NI-Ric_SP'!$C:$AN,MID(AF$1,1,2),FALSE)</f>
        <v>0</v>
      </c>
      <c r="AG743" s="55">
        <f>VLOOKUP($E743,'NI-Ric_SP'!$C:$AN,MID(AG$1,1,2),FALSE)</f>
        <v>0</v>
      </c>
      <c r="AH743" s="55">
        <f>VLOOKUP($E743,'NI-Ric_SP'!$C:$AN,MID(AH$1,1,2),FALSE)</f>
        <v>0</v>
      </c>
      <c r="AI743" s="55">
        <f>VLOOKUP($E743,'NI-Ric_SP'!$C:$AN,MID(AI$1,1,2),FALSE)</f>
        <v>0</v>
      </c>
      <c r="AJ743" s="55">
        <f>VLOOKUP($E743,'NI-Ric_SP'!$C:$AN,MID(AJ$1,1,2),FALSE)</f>
        <v>0</v>
      </c>
      <c r="AK743" s="55">
        <f>VLOOKUP($E743,'NI-Ric_SP'!$C:$AN,MID(AK$1,1,2),FALSE)</f>
        <v>0</v>
      </c>
      <c r="AL743" s="55">
        <f>VLOOKUP($E743,'NI-Ric_SP'!$C:$AN,MID(AL$1,1,2),FALSE)</f>
        <v>0</v>
      </c>
      <c r="AM743" s="56">
        <f>VLOOKUP($E743,'NI-Ric_SP'!$C:$AN,MID(AM$1,1,2),FALSE)</f>
        <v>0</v>
      </c>
      <c r="AN743" s="30" t="str">
        <f t="shared" si="11"/>
        <v>10102020020000</v>
      </c>
    </row>
    <row r="744" spans="3:40" x14ac:dyDescent="0.25">
      <c r="C744" s="40"/>
      <c r="D744" s="101" t="s">
        <v>171</v>
      </c>
      <c r="E744" s="101" t="s">
        <v>172</v>
      </c>
      <c r="F744" s="102" t="s">
        <v>2750</v>
      </c>
      <c r="G744" s="52"/>
      <c r="H744" s="52"/>
      <c r="I744" s="52"/>
      <c r="J744" s="52"/>
      <c r="K744" s="59" t="s">
        <v>111</v>
      </c>
      <c r="L744" s="52"/>
      <c r="M744" s="52"/>
      <c r="N744" s="52"/>
      <c r="O744" s="61" t="s">
        <v>173</v>
      </c>
      <c r="P744" s="76" t="s">
        <v>174</v>
      </c>
      <c r="Q744" s="55">
        <f>VLOOKUP(E744,'NI-Ric_SP'!$C:$AN,12,FALSE)</f>
        <v>0</v>
      </c>
      <c r="R744" s="55">
        <f>VLOOKUP(E744,'NI-Ric_SP'!$C:$AN,13,FALSE)</f>
        <v>0</v>
      </c>
      <c r="S744" s="55"/>
      <c r="T744" s="55"/>
      <c r="U744" s="55">
        <f>VLOOKUP($E744,'NI-Ric_SP'!$C:$AN,MID(U$1,1,2),FALSE)</f>
        <v>0</v>
      </c>
      <c r="V744" s="55">
        <f>VLOOKUP($E744,'NI-Ric_SP'!$C:$AN,MID(V$1,1,2),FALSE)</f>
        <v>0</v>
      </c>
      <c r="W744" s="55">
        <f>VLOOKUP($E744,'NI-Ric_SP'!$C:$AN,MID(W$1,1,2),FALSE)</f>
        <v>0</v>
      </c>
      <c r="X744" s="55">
        <f>VLOOKUP($E744,'NI-Ric_SP'!$C:$AN,MID(X$1,1,2),FALSE)</f>
        <v>0</v>
      </c>
      <c r="Y744" s="55">
        <f>VLOOKUP($E744,'NI-Ric_SP'!$C:$AN,MID(Y$1,1,2),FALSE)</f>
        <v>0</v>
      </c>
      <c r="Z744" s="55">
        <f>VLOOKUP($E744,'NI-Ric_SP'!$C:$AN,MID(Z$1,1,2),FALSE)</f>
        <v>0</v>
      </c>
      <c r="AA744" s="55">
        <f>VLOOKUP($E744,'NI-Ric_SP'!$C:$AN,MID(AA$1,1,2),FALSE)</f>
        <v>0</v>
      </c>
      <c r="AB744" s="55">
        <f>VLOOKUP($E744,'NI-Ric_SP'!$C:$AN,MID(AB$1,1,2),FALSE)</f>
        <v>0</v>
      </c>
      <c r="AC744" s="55">
        <f>VLOOKUP($E744,'NI-Ric_SP'!$C:$AN,MID(AC$1,1,2),FALSE)</f>
        <v>0</v>
      </c>
      <c r="AD744" s="55">
        <f>VLOOKUP($E744,'NI-Ric_SP'!$C:$AN,MID(AD$1,1,2),FALSE)</f>
        <v>0</v>
      </c>
      <c r="AE744" s="55">
        <f>VLOOKUP($E744,'NI-Ric_SP'!$C:$AN,MID(AE$1,1,2),FALSE)</f>
        <v>0</v>
      </c>
      <c r="AF744" s="55">
        <f>VLOOKUP($E744,'NI-Ric_SP'!$C:$AN,MID(AF$1,1,2),FALSE)</f>
        <v>0</v>
      </c>
      <c r="AG744" s="55">
        <f>VLOOKUP($E744,'NI-Ric_SP'!$C:$AN,MID(AG$1,1,2),FALSE)</f>
        <v>0</v>
      </c>
      <c r="AH744" s="55">
        <f>VLOOKUP($E744,'NI-Ric_SP'!$C:$AN,MID(AH$1,1,2),FALSE)</f>
        <v>0</v>
      </c>
      <c r="AI744" s="55">
        <f>VLOOKUP($E744,'NI-Ric_SP'!$C:$AN,MID(AI$1,1,2),FALSE)</f>
        <v>0</v>
      </c>
      <c r="AJ744" s="55">
        <f>VLOOKUP($E744,'NI-Ric_SP'!$C:$AN,MID(AJ$1,1,2),FALSE)</f>
        <v>0</v>
      </c>
      <c r="AK744" s="55">
        <f>VLOOKUP($E744,'NI-Ric_SP'!$C:$AN,MID(AK$1,1,2),FALSE)</f>
        <v>0</v>
      </c>
      <c r="AL744" s="55">
        <f>VLOOKUP($E744,'NI-Ric_SP'!$C:$AN,MID(AL$1,1,2),FALSE)</f>
        <v>0</v>
      </c>
      <c r="AM744" s="56">
        <f>VLOOKUP($E744,'NI-Ric_SP'!$C:$AN,MID(AM$1,1,2),FALSE)</f>
        <v>0</v>
      </c>
      <c r="AN744" s="30" t="str">
        <f t="shared" si="11"/>
        <v>10103000000000</v>
      </c>
    </row>
    <row r="745" spans="3:40" ht="27" x14ac:dyDescent="0.25">
      <c r="C745" s="40"/>
      <c r="D745" s="101" t="s">
        <v>175</v>
      </c>
      <c r="E745" s="101" t="s">
        <v>176</v>
      </c>
      <c r="F745" s="102" t="s">
        <v>2750</v>
      </c>
      <c r="G745" s="52"/>
      <c r="H745" s="52"/>
      <c r="I745" s="52" t="s">
        <v>177</v>
      </c>
      <c r="J745" s="52" t="s">
        <v>177</v>
      </c>
      <c r="K745" s="59" t="s">
        <v>111</v>
      </c>
      <c r="L745" s="62" t="s">
        <v>178</v>
      </c>
      <c r="M745" s="52"/>
      <c r="N745" s="52"/>
      <c r="O745" s="52"/>
      <c r="P745" s="76" t="s">
        <v>179</v>
      </c>
      <c r="Q745" s="55">
        <f>VLOOKUP(E745,'NI-Ric_SP'!$C:$AN,12,FALSE)</f>
        <v>0</v>
      </c>
      <c r="R745" s="55">
        <f>VLOOKUP(E745,'NI-Ric_SP'!$C:$AN,13,FALSE)</f>
        <v>0</v>
      </c>
      <c r="S745" s="55"/>
      <c r="T745" s="55"/>
      <c r="U745" s="55">
        <f>VLOOKUP($E745,'NI-Ric_SP'!$C:$AN,MID(U$1,1,2),FALSE)</f>
        <v>0</v>
      </c>
      <c r="V745" s="55">
        <f>VLOOKUP($E745,'NI-Ric_SP'!$C:$AN,MID(V$1,1,2),FALSE)</f>
        <v>0</v>
      </c>
      <c r="W745" s="55">
        <f>VLOOKUP($E745,'NI-Ric_SP'!$C:$AN,MID(W$1,1,2),FALSE)</f>
        <v>0</v>
      </c>
      <c r="X745" s="55">
        <f>VLOOKUP($E745,'NI-Ric_SP'!$C:$AN,MID(X$1,1,2),FALSE)</f>
        <v>0</v>
      </c>
      <c r="Y745" s="55">
        <f>VLOOKUP($E745,'NI-Ric_SP'!$C:$AN,MID(Y$1,1,2),FALSE)</f>
        <v>0</v>
      </c>
      <c r="Z745" s="55">
        <f>VLOOKUP($E745,'NI-Ric_SP'!$C:$AN,MID(Z$1,1,2),FALSE)</f>
        <v>0</v>
      </c>
      <c r="AA745" s="55">
        <f>VLOOKUP($E745,'NI-Ric_SP'!$C:$AN,MID(AA$1,1,2),FALSE)</f>
        <v>0</v>
      </c>
      <c r="AB745" s="55">
        <f>VLOOKUP($E745,'NI-Ric_SP'!$C:$AN,MID(AB$1,1,2),FALSE)</f>
        <v>0</v>
      </c>
      <c r="AC745" s="55">
        <f>VLOOKUP($E745,'NI-Ric_SP'!$C:$AN,MID(AC$1,1,2),FALSE)</f>
        <v>0</v>
      </c>
      <c r="AD745" s="55">
        <f>VLOOKUP($E745,'NI-Ric_SP'!$C:$AN,MID(AD$1,1,2),FALSE)</f>
        <v>0</v>
      </c>
      <c r="AE745" s="55">
        <f>VLOOKUP($E745,'NI-Ric_SP'!$C:$AN,MID(AE$1,1,2),FALSE)</f>
        <v>0</v>
      </c>
      <c r="AF745" s="55">
        <f>VLOOKUP($E745,'NI-Ric_SP'!$C:$AN,MID(AF$1,1,2),FALSE)</f>
        <v>0</v>
      </c>
      <c r="AG745" s="55">
        <f>VLOOKUP($E745,'NI-Ric_SP'!$C:$AN,MID(AG$1,1,2),FALSE)</f>
        <v>0</v>
      </c>
      <c r="AH745" s="55">
        <f>VLOOKUP($E745,'NI-Ric_SP'!$C:$AN,MID(AH$1,1,2),FALSE)</f>
        <v>0</v>
      </c>
      <c r="AI745" s="55">
        <f>VLOOKUP($E745,'NI-Ric_SP'!$C:$AN,MID(AI$1,1,2),FALSE)</f>
        <v>0</v>
      </c>
      <c r="AJ745" s="55">
        <f>VLOOKUP($E745,'NI-Ric_SP'!$C:$AN,MID(AJ$1,1,2),FALSE)</f>
        <v>0</v>
      </c>
      <c r="AK745" s="55">
        <f>VLOOKUP($E745,'NI-Ric_SP'!$C:$AN,MID(AK$1,1,2),FALSE)</f>
        <v>0</v>
      </c>
      <c r="AL745" s="55">
        <f>VLOOKUP($E745,'NI-Ric_SP'!$C:$AN,MID(AL$1,1,2),FALSE)</f>
        <v>0</v>
      </c>
      <c r="AM745" s="56">
        <f>VLOOKUP($E745,'NI-Ric_SP'!$C:$AN,MID(AM$1,1,2),FALSE)</f>
        <v>0</v>
      </c>
      <c r="AN745" s="30" t="str">
        <f t="shared" si="11"/>
        <v>10103010000000</v>
      </c>
    </row>
    <row r="746" spans="3:40" x14ac:dyDescent="0.25">
      <c r="C746" s="40"/>
      <c r="D746" s="101" t="s">
        <v>180</v>
      </c>
      <c r="E746" s="101" t="s">
        <v>181</v>
      </c>
      <c r="F746" s="102" t="s">
        <v>2750</v>
      </c>
      <c r="G746" s="52"/>
      <c r="H746" s="52"/>
      <c r="I746" s="52"/>
      <c r="J746" s="52"/>
      <c r="K746" s="59" t="s">
        <v>79</v>
      </c>
      <c r="L746" s="52"/>
      <c r="M746" s="52"/>
      <c r="N746" s="52"/>
      <c r="O746" s="52"/>
      <c r="P746" s="76" t="s">
        <v>182</v>
      </c>
      <c r="Q746" s="55">
        <f>VLOOKUP(E746,'NI-Ric_SP'!$C:$AN,12,FALSE)</f>
        <v>0</v>
      </c>
      <c r="R746" s="55">
        <f>VLOOKUP(E746,'NI-Ric_SP'!$C:$AN,13,FALSE)</f>
        <v>0</v>
      </c>
      <c r="S746" s="55"/>
      <c r="T746" s="55"/>
      <c r="U746" s="55">
        <f>VLOOKUP($E746,'NI-Ric_SP'!$C:$AN,MID(U$1,1,2),FALSE)</f>
        <v>0</v>
      </c>
      <c r="V746" s="55">
        <f>VLOOKUP($E746,'NI-Ric_SP'!$C:$AN,MID(V$1,1,2),FALSE)</f>
        <v>0</v>
      </c>
      <c r="W746" s="55">
        <f>VLOOKUP($E746,'NI-Ric_SP'!$C:$AN,MID(W$1,1,2),FALSE)</f>
        <v>0</v>
      </c>
      <c r="X746" s="55">
        <f>VLOOKUP($E746,'NI-Ric_SP'!$C:$AN,MID(X$1,1,2),FALSE)</f>
        <v>0</v>
      </c>
      <c r="Y746" s="55">
        <f>VLOOKUP($E746,'NI-Ric_SP'!$C:$AN,MID(Y$1,1,2),FALSE)</f>
        <v>0</v>
      </c>
      <c r="Z746" s="55">
        <f>VLOOKUP($E746,'NI-Ric_SP'!$C:$AN,MID(Z$1,1,2),FALSE)</f>
        <v>0</v>
      </c>
      <c r="AA746" s="55">
        <f>VLOOKUP($E746,'NI-Ric_SP'!$C:$AN,MID(AA$1,1,2),FALSE)</f>
        <v>0</v>
      </c>
      <c r="AB746" s="55">
        <f>VLOOKUP($E746,'NI-Ric_SP'!$C:$AN,MID(AB$1,1,2),FALSE)</f>
        <v>0</v>
      </c>
      <c r="AC746" s="55">
        <f>VLOOKUP($E746,'NI-Ric_SP'!$C:$AN,MID(AC$1,1,2),FALSE)</f>
        <v>0</v>
      </c>
      <c r="AD746" s="55">
        <f>VLOOKUP($E746,'NI-Ric_SP'!$C:$AN,MID(AD$1,1,2),FALSE)</f>
        <v>0</v>
      </c>
      <c r="AE746" s="55">
        <f>VLOOKUP($E746,'NI-Ric_SP'!$C:$AN,MID(AE$1,1,2),FALSE)</f>
        <v>0</v>
      </c>
      <c r="AF746" s="55">
        <f>VLOOKUP($E746,'NI-Ric_SP'!$C:$AN,MID(AF$1,1,2),FALSE)</f>
        <v>0</v>
      </c>
      <c r="AG746" s="55">
        <f>VLOOKUP($E746,'NI-Ric_SP'!$C:$AN,MID(AG$1,1,2),FALSE)</f>
        <v>0</v>
      </c>
      <c r="AH746" s="55">
        <f>VLOOKUP($E746,'NI-Ric_SP'!$C:$AN,MID(AH$1,1,2),FALSE)</f>
        <v>0</v>
      </c>
      <c r="AI746" s="55">
        <f>VLOOKUP($E746,'NI-Ric_SP'!$C:$AN,MID(AI$1,1,2),FALSE)</f>
        <v>0</v>
      </c>
      <c r="AJ746" s="55">
        <f>VLOOKUP($E746,'NI-Ric_SP'!$C:$AN,MID(AJ$1,1,2),FALSE)</f>
        <v>0</v>
      </c>
      <c r="AK746" s="55">
        <f>VLOOKUP($E746,'NI-Ric_SP'!$C:$AN,MID(AK$1,1,2),FALSE)</f>
        <v>0</v>
      </c>
      <c r="AL746" s="55">
        <f>VLOOKUP($E746,'NI-Ric_SP'!$C:$AN,MID(AL$1,1,2),FALSE)</f>
        <v>0</v>
      </c>
      <c r="AM746" s="56">
        <f>VLOOKUP($E746,'NI-Ric_SP'!$C:$AN,MID(AM$1,1,2),FALSE)</f>
        <v>0</v>
      </c>
      <c r="AN746" s="30" t="str">
        <f t="shared" si="11"/>
        <v>10103010010010</v>
      </c>
    </row>
    <row r="747" spans="3:40" x14ac:dyDescent="0.25">
      <c r="C747" s="40"/>
      <c r="D747" s="101" t="s">
        <v>183</v>
      </c>
      <c r="E747" s="101" t="s">
        <v>184</v>
      </c>
      <c r="F747" s="102" t="s">
        <v>2750</v>
      </c>
      <c r="G747" s="52"/>
      <c r="H747" s="52"/>
      <c r="I747" s="52"/>
      <c r="J747" s="52"/>
      <c r="K747" s="59" t="s">
        <v>79</v>
      </c>
      <c r="L747" s="52"/>
      <c r="M747" s="52"/>
      <c r="N747" s="52"/>
      <c r="O747" s="52"/>
      <c r="P747" s="76" t="s">
        <v>185</v>
      </c>
      <c r="Q747" s="55">
        <f>VLOOKUP(E747,'NI-Ric_SP'!$C:$AN,12,FALSE)</f>
        <v>0</v>
      </c>
      <c r="R747" s="55">
        <f>VLOOKUP(E747,'NI-Ric_SP'!$C:$AN,13,FALSE)</f>
        <v>0</v>
      </c>
      <c r="S747" s="55"/>
      <c r="T747" s="55"/>
      <c r="U747" s="55">
        <f>VLOOKUP($E747,'NI-Ric_SP'!$C:$AN,MID(U$1,1,2),FALSE)</f>
        <v>0</v>
      </c>
      <c r="V747" s="55">
        <f>VLOOKUP($E747,'NI-Ric_SP'!$C:$AN,MID(V$1,1,2),FALSE)</f>
        <v>0</v>
      </c>
      <c r="W747" s="55">
        <f>VLOOKUP($E747,'NI-Ric_SP'!$C:$AN,MID(W$1,1,2),FALSE)</f>
        <v>0</v>
      </c>
      <c r="X747" s="55">
        <f>VLOOKUP($E747,'NI-Ric_SP'!$C:$AN,MID(X$1,1,2),FALSE)</f>
        <v>0</v>
      </c>
      <c r="Y747" s="55">
        <f>VLOOKUP($E747,'NI-Ric_SP'!$C:$AN,MID(Y$1,1,2),FALSE)</f>
        <v>0</v>
      </c>
      <c r="Z747" s="55">
        <f>VLOOKUP($E747,'NI-Ric_SP'!$C:$AN,MID(Z$1,1,2),FALSE)</f>
        <v>0</v>
      </c>
      <c r="AA747" s="55">
        <f>VLOOKUP($E747,'NI-Ric_SP'!$C:$AN,MID(AA$1,1,2),FALSE)</f>
        <v>0</v>
      </c>
      <c r="AB747" s="55">
        <f>VLOOKUP($E747,'NI-Ric_SP'!$C:$AN,MID(AB$1,1,2),FALSE)</f>
        <v>0</v>
      </c>
      <c r="AC747" s="55">
        <f>VLOOKUP($E747,'NI-Ric_SP'!$C:$AN,MID(AC$1,1,2),FALSE)</f>
        <v>0</v>
      </c>
      <c r="AD747" s="55">
        <f>VLOOKUP($E747,'NI-Ric_SP'!$C:$AN,MID(AD$1,1,2),FALSE)</f>
        <v>0</v>
      </c>
      <c r="AE747" s="55">
        <f>VLOOKUP($E747,'NI-Ric_SP'!$C:$AN,MID(AE$1,1,2),FALSE)</f>
        <v>0</v>
      </c>
      <c r="AF747" s="55">
        <f>VLOOKUP($E747,'NI-Ric_SP'!$C:$AN,MID(AF$1,1,2),FALSE)</f>
        <v>0</v>
      </c>
      <c r="AG747" s="55">
        <f>VLOOKUP($E747,'NI-Ric_SP'!$C:$AN,MID(AG$1,1,2),FALSE)</f>
        <v>0</v>
      </c>
      <c r="AH747" s="55">
        <f>VLOOKUP($E747,'NI-Ric_SP'!$C:$AN,MID(AH$1,1,2),FALSE)</f>
        <v>0</v>
      </c>
      <c r="AI747" s="55">
        <f>VLOOKUP($E747,'NI-Ric_SP'!$C:$AN,MID(AI$1,1,2),FALSE)</f>
        <v>0</v>
      </c>
      <c r="AJ747" s="55">
        <f>VLOOKUP($E747,'NI-Ric_SP'!$C:$AN,MID(AJ$1,1,2),FALSE)</f>
        <v>0</v>
      </c>
      <c r="AK747" s="55">
        <f>VLOOKUP($E747,'NI-Ric_SP'!$C:$AN,MID(AK$1,1,2),FALSE)</f>
        <v>0</v>
      </c>
      <c r="AL747" s="55">
        <f>VLOOKUP($E747,'NI-Ric_SP'!$C:$AN,MID(AL$1,1,2),FALSE)</f>
        <v>0</v>
      </c>
      <c r="AM747" s="56">
        <f>VLOOKUP($E747,'NI-Ric_SP'!$C:$AN,MID(AM$1,1,2),FALSE)</f>
        <v>0</v>
      </c>
      <c r="AN747" s="30" t="str">
        <f t="shared" si="11"/>
        <v>10103010010020</v>
      </c>
    </row>
    <row r="748" spans="3:40" x14ac:dyDescent="0.25">
      <c r="C748" s="40"/>
      <c r="D748" s="101" t="s">
        <v>186</v>
      </c>
      <c r="E748" s="101" t="s">
        <v>187</v>
      </c>
      <c r="F748" s="102" t="s">
        <v>2750</v>
      </c>
      <c r="G748" s="52"/>
      <c r="H748" s="52"/>
      <c r="I748" s="52"/>
      <c r="J748" s="52"/>
      <c r="K748" s="59" t="s">
        <v>79</v>
      </c>
      <c r="L748" s="52"/>
      <c r="M748" s="52"/>
      <c r="N748" s="52"/>
      <c r="O748" s="52"/>
      <c r="P748" s="76" t="s">
        <v>188</v>
      </c>
      <c r="Q748" s="55">
        <f>VLOOKUP(E748,'NI-Ric_SP'!$C:$AN,12,FALSE)</f>
        <v>0</v>
      </c>
      <c r="R748" s="55">
        <f>VLOOKUP(E748,'NI-Ric_SP'!$C:$AN,13,FALSE)</f>
        <v>0</v>
      </c>
      <c r="S748" s="55"/>
      <c r="T748" s="55"/>
      <c r="U748" s="55">
        <f>VLOOKUP($E748,'NI-Ric_SP'!$C:$AN,MID(U$1,1,2),FALSE)</f>
        <v>0</v>
      </c>
      <c r="V748" s="55">
        <f>VLOOKUP($E748,'NI-Ric_SP'!$C:$AN,MID(V$1,1,2),FALSE)</f>
        <v>0</v>
      </c>
      <c r="W748" s="55">
        <f>VLOOKUP($E748,'NI-Ric_SP'!$C:$AN,MID(W$1,1,2),FALSE)</f>
        <v>0</v>
      </c>
      <c r="X748" s="55">
        <f>VLOOKUP($E748,'NI-Ric_SP'!$C:$AN,MID(X$1,1,2),FALSE)</f>
        <v>0</v>
      </c>
      <c r="Y748" s="55">
        <f>VLOOKUP($E748,'NI-Ric_SP'!$C:$AN,MID(Y$1,1,2),FALSE)</f>
        <v>0</v>
      </c>
      <c r="Z748" s="55">
        <f>VLOOKUP($E748,'NI-Ric_SP'!$C:$AN,MID(Z$1,1,2),FALSE)</f>
        <v>0</v>
      </c>
      <c r="AA748" s="55">
        <f>VLOOKUP($E748,'NI-Ric_SP'!$C:$AN,MID(AA$1,1,2),FALSE)</f>
        <v>0</v>
      </c>
      <c r="AB748" s="55">
        <f>VLOOKUP($E748,'NI-Ric_SP'!$C:$AN,MID(AB$1,1,2),FALSE)</f>
        <v>0</v>
      </c>
      <c r="AC748" s="55">
        <f>VLOOKUP($E748,'NI-Ric_SP'!$C:$AN,MID(AC$1,1,2),FALSE)</f>
        <v>0</v>
      </c>
      <c r="AD748" s="55">
        <f>VLOOKUP($E748,'NI-Ric_SP'!$C:$AN,MID(AD$1,1,2),FALSE)</f>
        <v>0</v>
      </c>
      <c r="AE748" s="55">
        <f>VLOOKUP($E748,'NI-Ric_SP'!$C:$AN,MID(AE$1,1,2),FALSE)</f>
        <v>0</v>
      </c>
      <c r="AF748" s="55">
        <f>VLOOKUP($E748,'NI-Ric_SP'!$C:$AN,MID(AF$1,1,2),FALSE)</f>
        <v>0</v>
      </c>
      <c r="AG748" s="55">
        <f>VLOOKUP($E748,'NI-Ric_SP'!$C:$AN,MID(AG$1,1,2),FALSE)</f>
        <v>0</v>
      </c>
      <c r="AH748" s="55">
        <f>VLOOKUP($E748,'NI-Ric_SP'!$C:$AN,MID(AH$1,1,2),FALSE)</f>
        <v>0</v>
      </c>
      <c r="AI748" s="55">
        <f>VLOOKUP($E748,'NI-Ric_SP'!$C:$AN,MID(AI$1,1,2),FALSE)</f>
        <v>0</v>
      </c>
      <c r="AJ748" s="55">
        <f>VLOOKUP($E748,'NI-Ric_SP'!$C:$AN,MID(AJ$1,1,2),FALSE)</f>
        <v>0</v>
      </c>
      <c r="AK748" s="55">
        <f>VLOOKUP($E748,'NI-Ric_SP'!$C:$AN,MID(AK$1,1,2),FALSE)</f>
        <v>0</v>
      </c>
      <c r="AL748" s="55">
        <f>VLOOKUP($E748,'NI-Ric_SP'!$C:$AN,MID(AL$1,1,2),FALSE)</f>
        <v>0</v>
      </c>
      <c r="AM748" s="56">
        <f>VLOOKUP($E748,'NI-Ric_SP'!$C:$AN,MID(AM$1,1,2),FALSE)</f>
        <v>0</v>
      </c>
      <c r="AN748" s="30" t="str">
        <f t="shared" si="11"/>
        <v>10103010020010</v>
      </c>
    </row>
    <row r="749" spans="3:40" x14ac:dyDescent="0.25">
      <c r="C749" s="40"/>
      <c r="D749" s="101" t="s">
        <v>189</v>
      </c>
      <c r="E749" s="101" t="s">
        <v>190</v>
      </c>
      <c r="F749" s="102" t="s">
        <v>2750</v>
      </c>
      <c r="G749" s="52"/>
      <c r="H749" s="52"/>
      <c r="I749" s="52"/>
      <c r="J749" s="52"/>
      <c r="K749" s="59" t="s">
        <v>79</v>
      </c>
      <c r="L749" s="52"/>
      <c r="M749" s="52"/>
      <c r="N749" s="52"/>
      <c r="O749" s="52"/>
      <c r="P749" s="76" t="s">
        <v>191</v>
      </c>
      <c r="Q749" s="55">
        <f>VLOOKUP(E749,'NI-Ric_SP'!$C:$AN,12,FALSE)</f>
        <v>0</v>
      </c>
      <c r="R749" s="55">
        <f>VLOOKUP(E749,'NI-Ric_SP'!$C:$AN,13,FALSE)</f>
        <v>0</v>
      </c>
      <c r="S749" s="55"/>
      <c r="T749" s="55"/>
      <c r="U749" s="55">
        <f>VLOOKUP($E749,'NI-Ric_SP'!$C:$AN,MID(U$1,1,2),FALSE)</f>
        <v>0</v>
      </c>
      <c r="V749" s="55">
        <f>VLOOKUP($E749,'NI-Ric_SP'!$C:$AN,MID(V$1,1,2),FALSE)</f>
        <v>0</v>
      </c>
      <c r="W749" s="55">
        <f>VLOOKUP($E749,'NI-Ric_SP'!$C:$AN,MID(W$1,1,2),FALSE)</f>
        <v>0</v>
      </c>
      <c r="X749" s="55">
        <f>VLOOKUP($E749,'NI-Ric_SP'!$C:$AN,MID(X$1,1,2),FALSE)</f>
        <v>0</v>
      </c>
      <c r="Y749" s="55">
        <f>VLOOKUP($E749,'NI-Ric_SP'!$C:$AN,MID(Y$1,1,2),FALSE)</f>
        <v>0</v>
      </c>
      <c r="Z749" s="55">
        <f>VLOOKUP($E749,'NI-Ric_SP'!$C:$AN,MID(Z$1,1,2),FALSE)</f>
        <v>0</v>
      </c>
      <c r="AA749" s="55">
        <f>VLOOKUP($E749,'NI-Ric_SP'!$C:$AN,MID(AA$1,1,2),FALSE)</f>
        <v>0</v>
      </c>
      <c r="AB749" s="55">
        <f>VLOOKUP($E749,'NI-Ric_SP'!$C:$AN,MID(AB$1,1,2),FALSE)</f>
        <v>0</v>
      </c>
      <c r="AC749" s="55">
        <f>VLOOKUP($E749,'NI-Ric_SP'!$C:$AN,MID(AC$1,1,2),FALSE)</f>
        <v>0</v>
      </c>
      <c r="AD749" s="55">
        <f>VLOOKUP($E749,'NI-Ric_SP'!$C:$AN,MID(AD$1,1,2),FALSE)</f>
        <v>0</v>
      </c>
      <c r="AE749" s="55">
        <f>VLOOKUP($E749,'NI-Ric_SP'!$C:$AN,MID(AE$1,1,2),FALSE)</f>
        <v>0</v>
      </c>
      <c r="AF749" s="55">
        <f>VLOOKUP($E749,'NI-Ric_SP'!$C:$AN,MID(AF$1,1,2),FALSE)</f>
        <v>0</v>
      </c>
      <c r="AG749" s="55">
        <f>VLOOKUP($E749,'NI-Ric_SP'!$C:$AN,MID(AG$1,1,2),FALSE)</f>
        <v>0</v>
      </c>
      <c r="AH749" s="55">
        <f>VLOOKUP($E749,'NI-Ric_SP'!$C:$AN,MID(AH$1,1,2),FALSE)</f>
        <v>0</v>
      </c>
      <c r="AI749" s="55">
        <f>VLOOKUP($E749,'NI-Ric_SP'!$C:$AN,MID(AI$1,1,2),FALSE)</f>
        <v>0</v>
      </c>
      <c r="AJ749" s="55">
        <f>VLOOKUP($E749,'NI-Ric_SP'!$C:$AN,MID(AJ$1,1,2),FALSE)</f>
        <v>0</v>
      </c>
      <c r="AK749" s="55">
        <f>VLOOKUP($E749,'NI-Ric_SP'!$C:$AN,MID(AK$1,1,2),FALSE)</f>
        <v>0</v>
      </c>
      <c r="AL749" s="55">
        <f>VLOOKUP($E749,'NI-Ric_SP'!$C:$AN,MID(AL$1,1,2),FALSE)</f>
        <v>0</v>
      </c>
      <c r="AM749" s="56">
        <f>VLOOKUP($E749,'NI-Ric_SP'!$C:$AN,MID(AM$1,1,2),FALSE)</f>
        <v>0</v>
      </c>
      <c r="AN749" s="30" t="str">
        <f t="shared" si="11"/>
        <v>10103010020020</v>
      </c>
    </row>
    <row r="750" spans="3:40" ht="27" x14ac:dyDescent="0.25">
      <c r="C750" s="40"/>
      <c r="D750" s="101" t="s">
        <v>192</v>
      </c>
      <c r="E750" s="101" t="s">
        <v>193</v>
      </c>
      <c r="F750" s="102" t="s">
        <v>2750</v>
      </c>
      <c r="G750" s="52"/>
      <c r="H750" s="52"/>
      <c r="I750" s="52" t="s">
        <v>194</v>
      </c>
      <c r="J750" s="52" t="s">
        <v>194</v>
      </c>
      <c r="K750" s="59" t="s">
        <v>111</v>
      </c>
      <c r="L750" s="62" t="s">
        <v>195</v>
      </c>
      <c r="M750" s="52"/>
      <c r="N750" s="52"/>
      <c r="O750" s="52"/>
      <c r="P750" s="76" t="s">
        <v>196</v>
      </c>
      <c r="Q750" s="55">
        <f>VLOOKUP(E750,'NI-Ric_SP'!$C:$AN,12,FALSE)</f>
        <v>0</v>
      </c>
      <c r="R750" s="55">
        <f>VLOOKUP(E750,'NI-Ric_SP'!$C:$AN,13,FALSE)</f>
        <v>0</v>
      </c>
      <c r="S750" s="55"/>
      <c r="T750" s="55"/>
      <c r="U750" s="55">
        <f>VLOOKUP($E750,'NI-Ric_SP'!$C:$AN,MID(U$1,1,2),FALSE)</f>
        <v>0</v>
      </c>
      <c r="V750" s="55">
        <f>VLOOKUP($E750,'NI-Ric_SP'!$C:$AN,MID(V$1,1,2),FALSE)</f>
        <v>0</v>
      </c>
      <c r="W750" s="55">
        <f>VLOOKUP($E750,'NI-Ric_SP'!$C:$AN,MID(W$1,1,2),FALSE)</f>
        <v>0</v>
      </c>
      <c r="X750" s="55">
        <f>VLOOKUP($E750,'NI-Ric_SP'!$C:$AN,MID(X$1,1,2),FALSE)</f>
        <v>0</v>
      </c>
      <c r="Y750" s="55">
        <f>VLOOKUP($E750,'NI-Ric_SP'!$C:$AN,MID(Y$1,1,2),FALSE)</f>
        <v>0</v>
      </c>
      <c r="Z750" s="55">
        <f>VLOOKUP($E750,'NI-Ric_SP'!$C:$AN,MID(Z$1,1,2),FALSE)</f>
        <v>0</v>
      </c>
      <c r="AA750" s="55">
        <f>VLOOKUP($E750,'NI-Ric_SP'!$C:$AN,MID(AA$1,1,2),FALSE)</f>
        <v>0</v>
      </c>
      <c r="AB750" s="55">
        <f>VLOOKUP($E750,'NI-Ric_SP'!$C:$AN,MID(AB$1,1,2),FALSE)</f>
        <v>0</v>
      </c>
      <c r="AC750" s="55">
        <f>VLOOKUP($E750,'NI-Ric_SP'!$C:$AN,MID(AC$1,1,2),FALSE)</f>
        <v>0</v>
      </c>
      <c r="AD750" s="55">
        <f>VLOOKUP($E750,'NI-Ric_SP'!$C:$AN,MID(AD$1,1,2),FALSE)</f>
        <v>0</v>
      </c>
      <c r="AE750" s="55">
        <f>VLOOKUP($E750,'NI-Ric_SP'!$C:$AN,MID(AE$1,1,2),FALSE)</f>
        <v>0</v>
      </c>
      <c r="AF750" s="55">
        <f>VLOOKUP($E750,'NI-Ric_SP'!$C:$AN,MID(AF$1,1,2),FALSE)</f>
        <v>0</v>
      </c>
      <c r="AG750" s="55">
        <f>VLOOKUP($E750,'NI-Ric_SP'!$C:$AN,MID(AG$1,1,2),FALSE)</f>
        <v>0</v>
      </c>
      <c r="AH750" s="55">
        <f>VLOOKUP($E750,'NI-Ric_SP'!$C:$AN,MID(AH$1,1,2),FALSE)</f>
        <v>0</v>
      </c>
      <c r="AI750" s="55">
        <f>VLOOKUP($E750,'NI-Ric_SP'!$C:$AN,MID(AI$1,1,2),FALSE)</f>
        <v>0</v>
      </c>
      <c r="AJ750" s="55">
        <f>VLOOKUP($E750,'NI-Ric_SP'!$C:$AN,MID(AJ$1,1,2),FALSE)</f>
        <v>0</v>
      </c>
      <c r="AK750" s="55">
        <f>VLOOKUP($E750,'NI-Ric_SP'!$C:$AN,MID(AK$1,1,2),FALSE)</f>
        <v>0</v>
      </c>
      <c r="AL750" s="55">
        <f>VLOOKUP($E750,'NI-Ric_SP'!$C:$AN,MID(AL$1,1,2),FALSE)</f>
        <v>0</v>
      </c>
      <c r="AM750" s="56">
        <f>VLOOKUP($E750,'NI-Ric_SP'!$C:$AN,MID(AM$1,1,2),FALSE)</f>
        <v>0</v>
      </c>
      <c r="AN750" s="30" t="str">
        <f t="shared" si="11"/>
        <v>10103020000000</v>
      </c>
    </row>
    <row r="751" spans="3:40" x14ac:dyDescent="0.25">
      <c r="C751" s="40"/>
      <c r="D751" s="101" t="s">
        <v>197</v>
      </c>
      <c r="E751" s="101" t="s">
        <v>198</v>
      </c>
      <c r="F751" s="102" t="s">
        <v>2750</v>
      </c>
      <c r="G751" s="52"/>
      <c r="H751" s="52"/>
      <c r="I751" s="52"/>
      <c r="J751" s="52"/>
      <c r="K751" s="59" t="s">
        <v>79</v>
      </c>
      <c r="L751" s="52"/>
      <c r="M751" s="52"/>
      <c r="N751" s="52"/>
      <c r="O751" s="52"/>
      <c r="P751" s="76" t="s">
        <v>199</v>
      </c>
      <c r="Q751" s="55">
        <f>VLOOKUP(E751,'NI-Ric_SP'!$C:$AN,12,FALSE)</f>
        <v>0</v>
      </c>
      <c r="R751" s="55">
        <f>VLOOKUP(E751,'NI-Ric_SP'!$C:$AN,13,FALSE)</f>
        <v>0</v>
      </c>
      <c r="S751" s="55"/>
      <c r="T751" s="55"/>
      <c r="U751" s="55">
        <f>VLOOKUP($E751,'NI-Ric_SP'!$C:$AN,MID(U$1,1,2),FALSE)</f>
        <v>0</v>
      </c>
      <c r="V751" s="55">
        <f>VLOOKUP($E751,'NI-Ric_SP'!$C:$AN,MID(V$1,1,2),FALSE)</f>
        <v>0</v>
      </c>
      <c r="W751" s="55">
        <f>VLOOKUP($E751,'NI-Ric_SP'!$C:$AN,MID(W$1,1,2),FALSE)</f>
        <v>0</v>
      </c>
      <c r="X751" s="55">
        <f>VLOOKUP($E751,'NI-Ric_SP'!$C:$AN,MID(X$1,1,2),FALSE)</f>
        <v>0</v>
      </c>
      <c r="Y751" s="55">
        <f>VLOOKUP($E751,'NI-Ric_SP'!$C:$AN,MID(Y$1,1,2),FALSE)</f>
        <v>0</v>
      </c>
      <c r="Z751" s="55">
        <f>VLOOKUP($E751,'NI-Ric_SP'!$C:$AN,MID(Z$1,1,2),FALSE)</f>
        <v>0</v>
      </c>
      <c r="AA751" s="55">
        <f>VLOOKUP($E751,'NI-Ric_SP'!$C:$AN,MID(AA$1,1,2),FALSE)</f>
        <v>0</v>
      </c>
      <c r="AB751" s="55">
        <f>VLOOKUP($E751,'NI-Ric_SP'!$C:$AN,MID(AB$1,1,2),FALSE)</f>
        <v>0</v>
      </c>
      <c r="AC751" s="55">
        <f>VLOOKUP($E751,'NI-Ric_SP'!$C:$AN,MID(AC$1,1,2),FALSE)</f>
        <v>0</v>
      </c>
      <c r="AD751" s="55">
        <f>VLOOKUP($E751,'NI-Ric_SP'!$C:$AN,MID(AD$1,1,2),FALSE)</f>
        <v>0</v>
      </c>
      <c r="AE751" s="55">
        <f>VLOOKUP($E751,'NI-Ric_SP'!$C:$AN,MID(AE$1,1,2),FALSE)</f>
        <v>0</v>
      </c>
      <c r="AF751" s="55">
        <f>VLOOKUP($E751,'NI-Ric_SP'!$C:$AN,MID(AF$1,1,2),FALSE)</f>
        <v>0</v>
      </c>
      <c r="AG751" s="55">
        <f>VLOOKUP($E751,'NI-Ric_SP'!$C:$AN,MID(AG$1,1,2),FALSE)</f>
        <v>0</v>
      </c>
      <c r="AH751" s="55">
        <f>VLOOKUP($E751,'NI-Ric_SP'!$C:$AN,MID(AH$1,1,2),FALSE)</f>
        <v>0</v>
      </c>
      <c r="AI751" s="55">
        <f>VLOOKUP($E751,'NI-Ric_SP'!$C:$AN,MID(AI$1,1,2),FALSE)</f>
        <v>0</v>
      </c>
      <c r="AJ751" s="55">
        <f>VLOOKUP($E751,'NI-Ric_SP'!$C:$AN,MID(AJ$1,1,2),FALSE)</f>
        <v>0</v>
      </c>
      <c r="AK751" s="55">
        <f>VLOOKUP($E751,'NI-Ric_SP'!$C:$AN,MID(AK$1,1,2),FALSE)</f>
        <v>0</v>
      </c>
      <c r="AL751" s="55">
        <f>VLOOKUP($E751,'NI-Ric_SP'!$C:$AN,MID(AL$1,1,2),FALSE)</f>
        <v>0</v>
      </c>
      <c r="AM751" s="56">
        <f>VLOOKUP($E751,'NI-Ric_SP'!$C:$AN,MID(AM$1,1,2),FALSE)</f>
        <v>0</v>
      </c>
      <c r="AN751" s="30" t="str">
        <f t="shared" si="11"/>
        <v>10103020010010</v>
      </c>
    </row>
    <row r="752" spans="3:40" x14ac:dyDescent="0.25">
      <c r="C752" s="40"/>
      <c r="D752" s="101" t="s">
        <v>200</v>
      </c>
      <c r="E752" s="101" t="s">
        <v>201</v>
      </c>
      <c r="F752" s="102" t="s">
        <v>2750</v>
      </c>
      <c r="G752" s="52"/>
      <c r="H752" s="52"/>
      <c r="I752" s="52"/>
      <c r="J752" s="52"/>
      <c r="K752" s="59" t="s">
        <v>79</v>
      </c>
      <c r="L752" s="52"/>
      <c r="M752" s="52"/>
      <c r="N752" s="52"/>
      <c r="O752" s="52"/>
      <c r="P752" s="76" t="s">
        <v>202</v>
      </c>
      <c r="Q752" s="55">
        <f>VLOOKUP(E752,'NI-Ric_SP'!$C:$AN,12,FALSE)</f>
        <v>0</v>
      </c>
      <c r="R752" s="55">
        <f>VLOOKUP(E752,'NI-Ric_SP'!$C:$AN,13,FALSE)</f>
        <v>0</v>
      </c>
      <c r="S752" s="55"/>
      <c r="T752" s="55"/>
      <c r="U752" s="55">
        <f>VLOOKUP($E752,'NI-Ric_SP'!$C:$AN,MID(U$1,1,2),FALSE)</f>
        <v>0</v>
      </c>
      <c r="V752" s="55">
        <f>VLOOKUP($E752,'NI-Ric_SP'!$C:$AN,MID(V$1,1,2),FALSE)</f>
        <v>0</v>
      </c>
      <c r="W752" s="55">
        <f>VLOOKUP($E752,'NI-Ric_SP'!$C:$AN,MID(W$1,1,2),FALSE)</f>
        <v>0</v>
      </c>
      <c r="X752" s="55">
        <f>VLOOKUP($E752,'NI-Ric_SP'!$C:$AN,MID(X$1,1,2),FALSE)</f>
        <v>0</v>
      </c>
      <c r="Y752" s="55">
        <f>VLOOKUP($E752,'NI-Ric_SP'!$C:$AN,MID(Y$1,1,2),FALSE)</f>
        <v>0</v>
      </c>
      <c r="Z752" s="55">
        <f>VLOOKUP($E752,'NI-Ric_SP'!$C:$AN,MID(Z$1,1,2),FALSE)</f>
        <v>0</v>
      </c>
      <c r="AA752" s="55">
        <f>VLOOKUP($E752,'NI-Ric_SP'!$C:$AN,MID(AA$1,1,2),FALSE)</f>
        <v>0</v>
      </c>
      <c r="AB752" s="55">
        <f>VLOOKUP($E752,'NI-Ric_SP'!$C:$AN,MID(AB$1,1,2),FALSE)</f>
        <v>0</v>
      </c>
      <c r="AC752" s="55">
        <f>VLOOKUP($E752,'NI-Ric_SP'!$C:$AN,MID(AC$1,1,2),FALSE)</f>
        <v>0</v>
      </c>
      <c r="AD752" s="55">
        <f>VLOOKUP($E752,'NI-Ric_SP'!$C:$AN,MID(AD$1,1,2),FALSE)</f>
        <v>0</v>
      </c>
      <c r="AE752" s="55">
        <f>VLOOKUP($E752,'NI-Ric_SP'!$C:$AN,MID(AE$1,1,2),FALSE)</f>
        <v>0</v>
      </c>
      <c r="AF752" s="55">
        <f>VLOOKUP($E752,'NI-Ric_SP'!$C:$AN,MID(AF$1,1,2),FALSE)</f>
        <v>0</v>
      </c>
      <c r="AG752" s="55">
        <f>VLOOKUP($E752,'NI-Ric_SP'!$C:$AN,MID(AG$1,1,2),FALSE)</f>
        <v>0</v>
      </c>
      <c r="AH752" s="55">
        <f>VLOOKUP($E752,'NI-Ric_SP'!$C:$AN,MID(AH$1,1,2),FALSE)</f>
        <v>0</v>
      </c>
      <c r="AI752" s="55">
        <f>VLOOKUP($E752,'NI-Ric_SP'!$C:$AN,MID(AI$1,1,2),FALSE)</f>
        <v>0</v>
      </c>
      <c r="AJ752" s="55">
        <f>VLOOKUP($E752,'NI-Ric_SP'!$C:$AN,MID(AJ$1,1,2),FALSE)</f>
        <v>0</v>
      </c>
      <c r="AK752" s="55">
        <f>VLOOKUP($E752,'NI-Ric_SP'!$C:$AN,MID(AK$1,1,2),FALSE)</f>
        <v>0</v>
      </c>
      <c r="AL752" s="55">
        <f>VLOOKUP($E752,'NI-Ric_SP'!$C:$AN,MID(AL$1,1,2),FALSE)</f>
        <v>0</v>
      </c>
      <c r="AM752" s="56">
        <f>VLOOKUP($E752,'NI-Ric_SP'!$C:$AN,MID(AM$1,1,2),FALSE)</f>
        <v>0</v>
      </c>
      <c r="AN752" s="30" t="str">
        <f t="shared" si="11"/>
        <v>10103020010020</v>
      </c>
    </row>
    <row r="753" spans="3:40" x14ac:dyDescent="0.25">
      <c r="C753" s="40"/>
      <c r="D753" s="101" t="s">
        <v>203</v>
      </c>
      <c r="E753" s="101" t="s">
        <v>204</v>
      </c>
      <c r="F753" s="102" t="s">
        <v>2750</v>
      </c>
      <c r="G753" s="52"/>
      <c r="H753" s="52"/>
      <c r="I753" s="52"/>
      <c r="J753" s="52"/>
      <c r="K753" s="59" t="s">
        <v>79</v>
      </c>
      <c r="L753" s="52"/>
      <c r="M753" s="52"/>
      <c r="N753" s="52"/>
      <c r="O753" s="52"/>
      <c r="P753" s="76" t="s">
        <v>205</v>
      </c>
      <c r="Q753" s="55">
        <f>VLOOKUP(E753,'NI-Ric_SP'!$C:$AN,12,FALSE)</f>
        <v>0</v>
      </c>
      <c r="R753" s="55">
        <f>VLOOKUP(E753,'NI-Ric_SP'!$C:$AN,13,FALSE)</f>
        <v>0</v>
      </c>
      <c r="S753" s="55"/>
      <c r="T753" s="55"/>
      <c r="U753" s="55">
        <f>VLOOKUP($E753,'NI-Ric_SP'!$C:$AN,MID(U$1,1,2),FALSE)</f>
        <v>0</v>
      </c>
      <c r="V753" s="55">
        <f>VLOOKUP($E753,'NI-Ric_SP'!$C:$AN,MID(V$1,1,2),FALSE)</f>
        <v>0</v>
      </c>
      <c r="W753" s="55">
        <f>VLOOKUP($E753,'NI-Ric_SP'!$C:$AN,MID(W$1,1,2),FALSE)</f>
        <v>0</v>
      </c>
      <c r="X753" s="55">
        <f>VLOOKUP($E753,'NI-Ric_SP'!$C:$AN,MID(X$1,1,2),FALSE)</f>
        <v>0</v>
      </c>
      <c r="Y753" s="55">
        <f>VLOOKUP($E753,'NI-Ric_SP'!$C:$AN,MID(Y$1,1,2),FALSE)</f>
        <v>0</v>
      </c>
      <c r="Z753" s="55">
        <f>VLOOKUP($E753,'NI-Ric_SP'!$C:$AN,MID(Z$1,1,2),FALSE)</f>
        <v>0</v>
      </c>
      <c r="AA753" s="55">
        <f>VLOOKUP($E753,'NI-Ric_SP'!$C:$AN,MID(AA$1,1,2),FALSE)</f>
        <v>0</v>
      </c>
      <c r="AB753" s="55">
        <f>VLOOKUP($E753,'NI-Ric_SP'!$C:$AN,MID(AB$1,1,2),FALSE)</f>
        <v>0</v>
      </c>
      <c r="AC753" s="55">
        <f>VLOOKUP($E753,'NI-Ric_SP'!$C:$AN,MID(AC$1,1,2),FALSE)</f>
        <v>0</v>
      </c>
      <c r="AD753" s="55">
        <f>VLOOKUP($E753,'NI-Ric_SP'!$C:$AN,MID(AD$1,1,2),FALSE)</f>
        <v>0</v>
      </c>
      <c r="AE753" s="55">
        <f>VLOOKUP($E753,'NI-Ric_SP'!$C:$AN,MID(AE$1,1,2),FALSE)</f>
        <v>0</v>
      </c>
      <c r="AF753" s="55">
        <f>VLOOKUP($E753,'NI-Ric_SP'!$C:$AN,MID(AF$1,1,2),FALSE)</f>
        <v>0</v>
      </c>
      <c r="AG753" s="55">
        <f>VLOOKUP($E753,'NI-Ric_SP'!$C:$AN,MID(AG$1,1,2),FALSE)</f>
        <v>0</v>
      </c>
      <c r="AH753" s="55">
        <f>VLOOKUP($E753,'NI-Ric_SP'!$C:$AN,MID(AH$1,1,2),FALSE)</f>
        <v>0</v>
      </c>
      <c r="AI753" s="55">
        <f>VLOOKUP($E753,'NI-Ric_SP'!$C:$AN,MID(AI$1,1,2),FALSE)</f>
        <v>0</v>
      </c>
      <c r="AJ753" s="55">
        <f>VLOOKUP($E753,'NI-Ric_SP'!$C:$AN,MID(AJ$1,1,2),FALSE)</f>
        <v>0</v>
      </c>
      <c r="AK753" s="55">
        <f>VLOOKUP($E753,'NI-Ric_SP'!$C:$AN,MID(AK$1,1,2),FALSE)</f>
        <v>0</v>
      </c>
      <c r="AL753" s="55">
        <f>VLOOKUP($E753,'NI-Ric_SP'!$C:$AN,MID(AL$1,1,2),FALSE)</f>
        <v>0</v>
      </c>
      <c r="AM753" s="56">
        <f>VLOOKUP($E753,'NI-Ric_SP'!$C:$AN,MID(AM$1,1,2),FALSE)</f>
        <v>0</v>
      </c>
      <c r="AN753" s="30" t="str">
        <f t="shared" si="11"/>
        <v>10103020020010</v>
      </c>
    </row>
    <row r="754" spans="3:40" x14ac:dyDescent="0.25">
      <c r="C754" s="40"/>
      <c r="D754" s="101" t="s">
        <v>206</v>
      </c>
      <c r="E754" s="101" t="s">
        <v>207</v>
      </c>
      <c r="F754" s="102" t="s">
        <v>2750</v>
      </c>
      <c r="G754" s="52"/>
      <c r="H754" s="52"/>
      <c r="I754" s="52"/>
      <c r="J754" s="52"/>
      <c r="K754" s="59" t="s">
        <v>79</v>
      </c>
      <c r="L754" s="52"/>
      <c r="M754" s="52"/>
      <c r="N754" s="52"/>
      <c r="O754" s="52"/>
      <c r="P754" s="76" t="s">
        <v>208</v>
      </c>
      <c r="Q754" s="55">
        <f>VLOOKUP(E754,'NI-Ric_SP'!$C:$AN,12,FALSE)</f>
        <v>0</v>
      </c>
      <c r="R754" s="55">
        <f>VLOOKUP(E754,'NI-Ric_SP'!$C:$AN,13,FALSE)</f>
        <v>0</v>
      </c>
      <c r="S754" s="55"/>
      <c r="T754" s="55"/>
      <c r="U754" s="55">
        <f>VLOOKUP($E754,'NI-Ric_SP'!$C:$AN,MID(U$1,1,2),FALSE)</f>
        <v>0</v>
      </c>
      <c r="V754" s="55">
        <f>VLOOKUP($E754,'NI-Ric_SP'!$C:$AN,MID(V$1,1,2),FALSE)</f>
        <v>0</v>
      </c>
      <c r="W754" s="55">
        <f>VLOOKUP($E754,'NI-Ric_SP'!$C:$AN,MID(W$1,1,2),FALSE)</f>
        <v>0</v>
      </c>
      <c r="X754" s="55">
        <f>VLOOKUP($E754,'NI-Ric_SP'!$C:$AN,MID(X$1,1,2),FALSE)</f>
        <v>0</v>
      </c>
      <c r="Y754" s="55">
        <f>VLOOKUP($E754,'NI-Ric_SP'!$C:$AN,MID(Y$1,1,2),FALSE)</f>
        <v>0</v>
      </c>
      <c r="Z754" s="55">
        <f>VLOOKUP($E754,'NI-Ric_SP'!$C:$AN,MID(Z$1,1,2),FALSE)</f>
        <v>0</v>
      </c>
      <c r="AA754" s="55">
        <f>VLOOKUP($E754,'NI-Ric_SP'!$C:$AN,MID(AA$1,1,2),FALSE)</f>
        <v>0</v>
      </c>
      <c r="AB754" s="55">
        <f>VLOOKUP($E754,'NI-Ric_SP'!$C:$AN,MID(AB$1,1,2),FALSE)</f>
        <v>0</v>
      </c>
      <c r="AC754" s="55">
        <f>VLOOKUP($E754,'NI-Ric_SP'!$C:$AN,MID(AC$1,1,2),FALSE)</f>
        <v>0</v>
      </c>
      <c r="AD754" s="55">
        <f>VLOOKUP($E754,'NI-Ric_SP'!$C:$AN,MID(AD$1,1,2),FALSE)</f>
        <v>0</v>
      </c>
      <c r="AE754" s="55">
        <f>VLOOKUP($E754,'NI-Ric_SP'!$C:$AN,MID(AE$1,1,2),FALSE)</f>
        <v>0</v>
      </c>
      <c r="AF754" s="55">
        <f>VLOOKUP($E754,'NI-Ric_SP'!$C:$AN,MID(AF$1,1,2),FALSE)</f>
        <v>0</v>
      </c>
      <c r="AG754" s="55">
        <f>VLOOKUP($E754,'NI-Ric_SP'!$C:$AN,MID(AG$1,1,2),FALSE)</f>
        <v>0</v>
      </c>
      <c r="AH754" s="55">
        <f>VLOOKUP($E754,'NI-Ric_SP'!$C:$AN,MID(AH$1,1,2),FALSE)</f>
        <v>0</v>
      </c>
      <c r="AI754" s="55">
        <f>VLOOKUP($E754,'NI-Ric_SP'!$C:$AN,MID(AI$1,1,2),FALSE)</f>
        <v>0</v>
      </c>
      <c r="AJ754" s="55">
        <f>VLOOKUP($E754,'NI-Ric_SP'!$C:$AN,MID(AJ$1,1,2),FALSE)</f>
        <v>0</v>
      </c>
      <c r="AK754" s="55">
        <f>VLOOKUP($E754,'NI-Ric_SP'!$C:$AN,MID(AK$1,1,2),FALSE)</f>
        <v>0</v>
      </c>
      <c r="AL754" s="55">
        <f>VLOOKUP($E754,'NI-Ric_SP'!$C:$AN,MID(AL$1,1,2),FALSE)</f>
        <v>0</v>
      </c>
      <c r="AM754" s="56">
        <f>VLOOKUP($E754,'NI-Ric_SP'!$C:$AN,MID(AM$1,1,2),FALSE)</f>
        <v>0</v>
      </c>
      <c r="AN754" s="30" t="str">
        <f t="shared" si="11"/>
        <v>10103020020020</v>
      </c>
    </row>
    <row r="755" spans="3:40" x14ac:dyDescent="0.25">
      <c r="C755" s="40"/>
      <c r="D755" s="101" t="s">
        <v>209</v>
      </c>
      <c r="E755" s="101" t="s">
        <v>210</v>
      </c>
      <c r="F755" s="102" t="s">
        <v>2750</v>
      </c>
      <c r="G755" s="52"/>
      <c r="H755" s="52"/>
      <c r="I755" s="52" t="s">
        <v>211</v>
      </c>
      <c r="J755" s="52" t="s">
        <v>211</v>
      </c>
      <c r="K755" s="59" t="s">
        <v>111</v>
      </c>
      <c r="L755" s="62" t="s">
        <v>178</v>
      </c>
      <c r="M755" s="52"/>
      <c r="N755" s="52"/>
      <c r="O755" s="52"/>
      <c r="P755" s="76" t="s">
        <v>212</v>
      </c>
      <c r="Q755" s="55">
        <f>VLOOKUP(E755,'NI-Ric_SP'!$C:$AN,12,FALSE)</f>
        <v>0</v>
      </c>
      <c r="R755" s="55">
        <f>VLOOKUP(E755,'NI-Ric_SP'!$C:$AN,13,FALSE)</f>
        <v>0</v>
      </c>
      <c r="S755" s="55"/>
      <c r="T755" s="55"/>
      <c r="U755" s="55">
        <f>VLOOKUP($E755,'NI-Ric_SP'!$C:$AN,MID(U$1,1,2),FALSE)</f>
        <v>0</v>
      </c>
      <c r="V755" s="55">
        <f>VLOOKUP($E755,'NI-Ric_SP'!$C:$AN,MID(V$1,1,2),FALSE)</f>
        <v>0</v>
      </c>
      <c r="W755" s="55">
        <f>VLOOKUP($E755,'NI-Ric_SP'!$C:$AN,MID(W$1,1,2),FALSE)</f>
        <v>0</v>
      </c>
      <c r="X755" s="55">
        <f>VLOOKUP($E755,'NI-Ric_SP'!$C:$AN,MID(X$1,1,2),FALSE)</f>
        <v>0</v>
      </c>
      <c r="Y755" s="55">
        <f>VLOOKUP($E755,'NI-Ric_SP'!$C:$AN,MID(Y$1,1,2),FALSE)</f>
        <v>0</v>
      </c>
      <c r="Z755" s="55">
        <f>VLOOKUP($E755,'NI-Ric_SP'!$C:$AN,MID(Z$1,1,2),FALSE)</f>
        <v>0</v>
      </c>
      <c r="AA755" s="55">
        <f>VLOOKUP($E755,'NI-Ric_SP'!$C:$AN,MID(AA$1,1,2),FALSE)</f>
        <v>0</v>
      </c>
      <c r="AB755" s="55">
        <f>VLOOKUP($E755,'NI-Ric_SP'!$C:$AN,MID(AB$1,1,2),FALSE)</f>
        <v>0</v>
      </c>
      <c r="AC755" s="55">
        <f>VLOOKUP($E755,'NI-Ric_SP'!$C:$AN,MID(AC$1,1,2),FALSE)</f>
        <v>0</v>
      </c>
      <c r="AD755" s="55">
        <f>VLOOKUP($E755,'NI-Ric_SP'!$C:$AN,MID(AD$1,1,2),FALSE)</f>
        <v>0</v>
      </c>
      <c r="AE755" s="55">
        <f>VLOOKUP($E755,'NI-Ric_SP'!$C:$AN,MID(AE$1,1,2),FALSE)</f>
        <v>0</v>
      </c>
      <c r="AF755" s="55">
        <f>VLOOKUP($E755,'NI-Ric_SP'!$C:$AN,MID(AF$1,1,2),FALSE)</f>
        <v>0</v>
      </c>
      <c r="AG755" s="55">
        <f>VLOOKUP($E755,'NI-Ric_SP'!$C:$AN,MID(AG$1,1,2),FALSE)</f>
        <v>0</v>
      </c>
      <c r="AH755" s="55">
        <f>VLOOKUP($E755,'NI-Ric_SP'!$C:$AN,MID(AH$1,1,2),FALSE)</f>
        <v>0</v>
      </c>
      <c r="AI755" s="55">
        <f>VLOOKUP($E755,'NI-Ric_SP'!$C:$AN,MID(AI$1,1,2),FALSE)</f>
        <v>0</v>
      </c>
      <c r="AJ755" s="55">
        <f>VLOOKUP($E755,'NI-Ric_SP'!$C:$AN,MID(AJ$1,1,2),FALSE)</f>
        <v>0</v>
      </c>
      <c r="AK755" s="55">
        <f>VLOOKUP($E755,'NI-Ric_SP'!$C:$AN,MID(AK$1,1,2),FALSE)</f>
        <v>0</v>
      </c>
      <c r="AL755" s="55">
        <f>VLOOKUP($E755,'NI-Ric_SP'!$C:$AN,MID(AL$1,1,2),FALSE)</f>
        <v>0</v>
      </c>
      <c r="AM755" s="56">
        <f>VLOOKUP($E755,'NI-Ric_SP'!$C:$AN,MID(AM$1,1,2),FALSE)</f>
        <v>0</v>
      </c>
      <c r="AN755" s="30" t="str">
        <f t="shared" si="11"/>
        <v>10103030000000</v>
      </c>
    </row>
    <row r="756" spans="3:40" x14ac:dyDescent="0.25">
      <c r="C756" s="40"/>
      <c r="D756" s="101" t="s">
        <v>213</v>
      </c>
      <c r="E756" s="101" t="s">
        <v>214</v>
      </c>
      <c r="F756" s="102" t="s">
        <v>2750</v>
      </c>
      <c r="G756" s="52"/>
      <c r="H756" s="52"/>
      <c r="I756" s="52"/>
      <c r="J756" s="52"/>
      <c r="K756" s="59" t="s">
        <v>79</v>
      </c>
      <c r="L756" s="52"/>
      <c r="M756" s="52"/>
      <c r="N756" s="52"/>
      <c r="O756" s="52"/>
      <c r="P756" s="76" t="s">
        <v>215</v>
      </c>
      <c r="Q756" s="55">
        <f>VLOOKUP(E756,'NI-Ric_SP'!$C:$AN,12,FALSE)</f>
        <v>0</v>
      </c>
      <c r="R756" s="55">
        <f>VLOOKUP(E756,'NI-Ric_SP'!$C:$AN,13,FALSE)</f>
        <v>0</v>
      </c>
      <c r="S756" s="55"/>
      <c r="T756" s="55"/>
      <c r="U756" s="55">
        <f>VLOOKUP($E756,'NI-Ric_SP'!$C:$AN,MID(U$1,1,2),FALSE)</f>
        <v>0</v>
      </c>
      <c r="V756" s="55">
        <f>VLOOKUP($E756,'NI-Ric_SP'!$C:$AN,MID(V$1,1,2),FALSE)</f>
        <v>0</v>
      </c>
      <c r="W756" s="55">
        <f>VLOOKUP($E756,'NI-Ric_SP'!$C:$AN,MID(W$1,1,2),FALSE)</f>
        <v>0</v>
      </c>
      <c r="X756" s="55">
        <f>VLOOKUP($E756,'NI-Ric_SP'!$C:$AN,MID(X$1,1,2),FALSE)</f>
        <v>0</v>
      </c>
      <c r="Y756" s="55">
        <f>VLOOKUP($E756,'NI-Ric_SP'!$C:$AN,MID(Y$1,1,2),FALSE)</f>
        <v>0</v>
      </c>
      <c r="Z756" s="55">
        <f>VLOOKUP($E756,'NI-Ric_SP'!$C:$AN,MID(Z$1,1,2),FALSE)</f>
        <v>0</v>
      </c>
      <c r="AA756" s="55">
        <f>VLOOKUP($E756,'NI-Ric_SP'!$C:$AN,MID(AA$1,1,2),FALSE)</f>
        <v>0</v>
      </c>
      <c r="AB756" s="55">
        <f>VLOOKUP($E756,'NI-Ric_SP'!$C:$AN,MID(AB$1,1,2),FALSE)</f>
        <v>0</v>
      </c>
      <c r="AC756" s="55">
        <f>VLOOKUP($E756,'NI-Ric_SP'!$C:$AN,MID(AC$1,1,2),FALSE)</f>
        <v>0</v>
      </c>
      <c r="AD756" s="55">
        <f>VLOOKUP($E756,'NI-Ric_SP'!$C:$AN,MID(AD$1,1,2),FALSE)</f>
        <v>0</v>
      </c>
      <c r="AE756" s="55">
        <f>VLOOKUP($E756,'NI-Ric_SP'!$C:$AN,MID(AE$1,1,2),FALSE)</f>
        <v>0</v>
      </c>
      <c r="AF756" s="55">
        <f>VLOOKUP($E756,'NI-Ric_SP'!$C:$AN,MID(AF$1,1,2),FALSE)</f>
        <v>0</v>
      </c>
      <c r="AG756" s="55">
        <f>VLOOKUP($E756,'NI-Ric_SP'!$C:$AN,MID(AG$1,1,2),FALSE)</f>
        <v>0</v>
      </c>
      <c r="AH756" s="55">
        <f>VLOOKUP($E756,'NI-Ric_SP'!$C:$AN,MID(AH$1,1,2),FALSE)</f>
        <v>0</v>
      </c>
      <c r="AI756" s="55">
        <f>VLOOKUP($E756,'NI-Ric_SP'!$C:$AN,MID(AI$1,1,2),FALSE)</f>
        <v>0</v>
      </c>
      <c r="AJ756" s="55">
        <f>VLOOKUP($E756,'NI-Ric_SP'!$C:$AN,MID(AJ$1,1,2),FALSE)</f>
        <v>0</v>
      </c>
      <c r="AK756" s="55">
        <f>VLOOKUP($E756,'NI-Ric_SP'!$C:$AN,MID(AK$1,1,2),FALSE)</f>
        <v>0</v>
      </c>
      <c r="AL756" s="55">
        <f>VLOOKUP($E756,'NI-Ric_SP'!$C:$AN,MID(AL$1,1,2),FALSE)</f>
        <v>0</v>
      </c>
      <c r="AM756" s="56">
        <f>VLOOKUP($E756,'NI-Ric_SP'!$C:$AN,MID(AM$1,1,2),FALSE)</f>
        <v>0</v>
      </c>
      <c r="AN756" s="30" t="str">
        <f t="shared" si="11"/>
        <v>10103030010010</v>
      </c>
    </row>
    <row r="757" spans="3:40" x14ac:dyDescent="0.25">
      <c r="C757" s="40"/>
      <c r="D757" s="101" t="s">
        <v>216</v>
      </c>
      <c r="E757" s="101" t="s">
        <v>217</v>
      </c>
      <c r="F757" s="102" t="s">
        <v>2750</v>
      </c>
      <c r="G757" s="52"/>
      <c r="H757" s="52"/>
      <c r="I757" s="52"/>
      <c r="J757" s="52"/>
      <c r="K757" s="59" t="s">
        <v>79</v>
      </c>
      <c r="L757" s="52"/>
      <c r="M757" s="52"/>
      <c r="N757" s="52"/>
      <c r="O757" s="52"/>
      <c r="P757" s="76" t="s">
        <v>218</v>
      </c>
      <c r="Q757" s="55">
        <f>VLOOKUP(E757,'NI-Ric_SP'!$C:$AN,12,FALSE)</f>
        <v>0</v>
      </c>
      <c r="R757" s="55">
        <f>VLOOKUP(E757,'NI-Ric_SP'!$C:$AN,13,FALSE)</f>
        <v>0</v>
      </c>
      <c r="S757" s="55"/>
      <c r="T757" s="55"/>
      <c r="U757" s="55">
        <f>VLOOKUP($E757,'NI-Ric_SP'!$C:$AN,MID(U$1,1,2),FALSE)</f>
        <v>0</v>
      </c>
      <c r="V757" s="55">
        <f>VLOOKUP($E757,'NI-Ric_SP'!$C:$AN,MID(V$1,1,2),FALSE)</f>
        <v>0</v>
      </c>
      <c r="W757" s="55">
        <f>VLOOKUP($E757,'NI-Ric_SP'!$C:$AN,MID(W$1,1,2),FALSE)</f>
        <v>0</v>
      </c>
      <c r="X757" s="55">
        <f>VLOOKUP($E757,'NI-Ric_SP'!$C:$AN,MID(X$1,1,2),FALSE)</f>
        <v>0</v>
      </c>
      <c r="Y757" s="55">
        <f>VLOOKUP($E757,'NI-Ric_SP'!$C:$AN,MID(Y$1,1,2),FALSE)</f>
        <v>0</v>
      </c>
      <c r="Z757" s="55">
        <f>VLOOKUP($E757,'NI-Ric_SP'!$C:$AN,MID(Z$1,1,2),FALSE)</f>
        <v>0</v>
      </c>
      <c r="AA757" s="55">
        <f>VLOOKUP($E757,'NI-Ric_SP'!$C:$AN,MID(AA$1,1,2),FALSE)</f>
        <v>0</v>
      </c>
      <c r="AB757" s="55">
        <f>VLOOKUP($E757,'NI-Ric_SP'!$C:$AN,MID(AB$1,1,2),FALSE)</f>
        <v>0</v>
      </c>
      <c r="AC757" s="55">
        <f>VLOOKUP($E757,'NI-Ric_SP'!$C:$AN,MID(AC$1,1,2),FALSE)</f>
        <v>0</v>
      </c>
      <c r="AD757" s="55">
        <f>VLOOKUP($E757,'NI-Ric_SP'!$C:$AN,MID(AD$1,1,2),FALSE)</f>
        <v>0</v>
      </c>
      <c r="AE757" s="55">
        <f>VLOOKUP($E757,'NI-Ric_SP'!$C:$AN,MID(AE$1,1,2),FALSE)</f>
        <v>0</v>
      </c>
      <c r="AF757" s="55">
        <f>VLOOKUP($E757,'NI-Ric_SP'!$C:$AN,MID(AF$1,1,2),FALSE)</f>
        <v>0</v>
      </c>
      <c r="AG757" s="55">
        <f>VLOOKUP($E757,'NI-Ric_SP'!$C:$AN,MID(AG$1,1,2),FALSE)</f>
        <v>0</v>
      </c>
      <c r="AH757" s="55">
        <f>VLOOKUP($E757,'NI-Ric_SP'!$C:$AN,MID(AH$1,1,2),FALSE)</f>
        <v>0</v>
      </c>
      <c r="AI757" s="55">
        <f>VLOOKUP($E757,'NI-Ric_SP'!$C:$AN,MID(AI$1,1,2),FALSE)</f>
        <v>0</v>
      </c>
      <c r="AJ757" s="55">
        <f>VLOOKUP($E757,'NI-Ric_SP'!$C:$AN,MID(AJ$1,1,2),FALSE)</f>
        <v>0</v>
      </c>
      <c r="AK757" s="55">
        <f>VLOOKUP($E757,'NI-Ric_SP'!$C:$AN,MID(AK$1,1,2),FALSE)</f>
        <v>0</v>
      </c>
      <c r="AL757" s="55">
        <f>VLOOKUP($E757,'NI-Ric_SP'!$C:$AN,MID(AL$1,1,2),FALSE)</f>
        <v>0</v>
      </c>
      <c r="AM757" s="56">
        <f>VLOOKUP($E757,'NI-Ric_SP'!$C:$AN,MID(AM$1,1,2),FALSE)</f>
        <v>0</v>
      </c>
      <c r="AN757" s="30" t="str">
        <f t="shared" si="11"/>
        <v>10103030010020</v>
      </c>
    </row>
    <row r="758" spans="3:40" x14ac:dyDescent="0.25">
      <c r="C758" s="40"/>
      <c r="D758" s="101" t="s">
        <v>219</v>
      </c>
      <c r="E758" s="101" t="s">
        <v>220</v>
      </c>
      <c r="F758" s="102" t="s">
        <v>2750</v>
      </c>
      <c r="G758" s="52"/>
      <c r="H758" s="52"/>
      <c r="I758" s="52"/>
      <c r="J758" s="52"/>
      <c r="K758" s="59" t="s">
        <v>79</v>
      </c>
      <c r="L758" s="52"/>
      <c r="M758" s="52"/>
      <c r="N758" s="52"/>
      <c r="O758" s="52"/>
      <c r="P758" s="76" t="s">
        <v>221</v>
      </c>
      <c r="Q758" s="55">
        <f>VLOOKUP(E758,'NI-Ric_SP'!$C:$AN,12,FALSE)</f>
        <v>0</v>
      </c>
      <c r="R758" s="55">
        <f>VLOOKUP(E758,'NI-Ric_SP'!$C:$AN,13,FALSE)</f>
        <v>0</v>
      </c>
      <c r="S758" s="55"/>
      <c r="T758" s="55"/>
      <c r="U758" s="55">
        <f>VLOOKUP($E758,'NI-Ric_SP'!$C:$AN,MID(U$1,1,2),FALSE)</f>
        <v>0</v>
      </c>
      <c r="V758" s="55">
        <f>VLOOKUP($E758,'NI-Ric_SP'!$C:$AN,MID(V$1,1,2),FALSE)</f>
        <v>0</v>
      </c>
      <c r="W758" s="55">
        <f>VLOOKUP($E758,'NI-Ric_SP'!$C:$AN,MID(W$1,1,2),FALSE)</f>
        <v>0</v>
      </c>
      <c r="X758" s="55">
        <f>VLOOKUP($E758,'NI-Ric_SP'!$C:$AN,MID(X$1,1,2),FALSE)</f>
        <v>0</v>
      </c>
      <c r="Y758" s="55">
        <f>VLOOKUP($E758,'NI-Ric_SP'!$C:$AN,MID(Y$1,1,2),FALSE)</f>
        <v>0</v>
      </c>
      <c r="Z758" s="55">
        <f>VLOOKUP($E758,'NI-Ric_SP'!$C:$AN,MID(Z$1,1,2),FALSE)</f>
        <v>0</v>
      </c>
      <c r="AA758" s="55">
        <f>VLOOKUP($E758,'NI-Ric_SP'!$C:$AN,MID(AA$1,1,2),FALSE)</f>
        <v>0</v>
      </c>
      <c r="AB758" s="55">
        <f>VLOOKUP($E758,'NI-Ric_SP'!$C:$AN,MID(AB$1,1,2),FALSE)</f>
        <v>0</v>
      </c>
      <c r="AC758" s="55">
        <f>VLOOKUP($E758,'NI-Ric_SP'!$C:$AN,MID(AC$1,1,2),FALSE)</f>
        <v>0</v>
      </c>
      <c r="AD758" s="55">
        <f>VLOOKUP($E758,'NI-Ric_SP'!$C:$AN,MID(AD$1,1,2),FALSE)</f>
        <v>0</v>
      </c>
      <c r="AE758" s="55">
        <f>VLOOKUP($E758,'NI-Ric_SP'!$C:$AN,MID(AE$1,1,2),FALSE)</f>
        <v>0</v>
      </c>
      <c r="AF758" s="55">
        <f>VLOOKUP($E758,'NI-Ric_SP'!$C:$AN,MID(AF$1,1,2),FALSE)</f>
        <v>0</v>
      </c>
      <c r="AG758" s="55">
        <f>VLOOKUP($E758,'NI-Ric_SP'!$C:$AN,MID(AG$1,1,2),FALSE)</f>
        <v>0</v>
      </c>
      <c r="AH758" s="55">
        <f>VLOOKUP($E758,'NI-Ric_SP'!$C:$AN,MID(AH$1,1,2),FALSE)</f>
        <v>0</v>
      </c>
      <c r="AI758" s="55">
        <f>VLOOKUP($E758,'NI-Ric_SP'!$C:$AN,MID(AI$1,1,2),FALSE)</f>
        <v>0</v>
      </c>
      <c r="AJ758" s="55">
        <f>VLOOKUP($E758,'NI-Ric_SP'!$C:$AN,MID(AJ$1,1,2),FALSE)</f>
        <v>0</v>
      </c>
      <c r="AK758" s="55">
        <f>VLOOKUP($E758,'NI-Ric_SP'!$C:$AN,MID(AK$1,1,2),FALSE)</f>
        <v>0</v>
      </c>
      <c r="AL758" s="55">
        <f>VLOOKUP($E758,'NI-Ric_SP'!$C:$AN,MID(AL$1,1,2),FALSE)</f>
        <v>0</v>
      </c>
      <c r="AM758" s="56">
        <f>VLOOKUP($E758,'NI-Ric_SP'!$C:$AN,MID(AM$1,1,2),FALSE)</f>
        <v>0</v>
      </c>
      <c r="AN758" s="30" t="str">
        <f t="shared" si="11"/>
        <v>10103030020010</v>
      </c>
    </row>
    <row r="759" spans="3:40" x14ac:dyDescent="0.25">
      <c r="C759" s="40"/>
      <c r="D759" s="101" t="s">
        <v>222</v>
      </c>
      <c r="E759" s="101" t="s">
        <v>223</v>
      </c>
      <c r="F759" s="102" t="s">
        <v>2750</v>
      </c>
      <c r="G759" s="52"/>
      <c r="H759" s="52"/>
      <c r="I759" s="52"/>
      <c r="J759" s="52"/>
      <c r="K759" s="59" t="s">
        <v>79</v>
      </c>
      <c r="L759" s="52"/>
      <c r="M759" s="52"/>
      <c r="N759" s="52"/>
      <c r="O759" s="52"/>
      <c r="P759" s="76" t="s">
        <v>224</v>
      </c>
      <c r="Q759" s="55">
        <f>VLOOKUP(E759,'NI-Ric_SP'!$C:$AN,12,FALSE)</f>
        <v>0</v>
      </c>
      <c r="R759" s="55">
        <f>VLOOKUP(E759,'NI-Ric_SP'!$C:$AN,13,FALSE)</f>
        <v>0</v>
      </c>
      <c r="S759" s="55"/>
      <c r="T759" s="55"/>
      <c r="U759" s="55">
        <f>VLOOKUP($E759,'NI-Ric_SP'!$C:$AN,MID(U$1,1,2),FALSE)</f>
        <v>0</v>
      </c>
      <c r="V759" s="55">
        <f>VLOOKUP($E759,'NI-Ric_SP'!$C:$AN,MID(V$1,1,2),FALSE)</f>
        <v>0</v>
      </c>
      <c r="W759" s="55">
        <f>VLOOKUP($E759,'NI-Ric_SP'!$C:$AN,MID(W$1,1,2),FALSE)</f>
        <v>0</v>
      </c>
      <c r="X759" s="55">
        <f>VLOOKUP($E759,'NI-Ric_SP'!$C:$AN,MID(X$1,1,2),FALSE)</f>
        <v>0</v>
      </c>
      <c r="Y759" s="55">
        <f>VLOOKUP($E759,'NI-Ric_SP'!$C:$AN,MID(Y$1,1,2),FALSE)</f>
        <v>0</v>
      </c>
      <c r="Z759" s="55">
        <f>VLOOKUP($E759,'NI-Ric_SP'!$C:$AN,MID(Z$1,1,2),FALSE)</f>
        <v>0</v>
      </c>
      <c r="AA759" s="55">
        <f>VLOOKUP($E759,'NI-Ric_SP'!$C:$AN,MID(AA$1,1,2),FALSE)</f>
        <v>0</v>
      </c>
      <c r="AB759" s="55">
        <f>VLOOKUP($E759,'NI-Ric_SP'!$C:$AN,MID(AB$1,1,2),FALSE)</f>
        <v>0</v>
      </c>
      <c r="AC759" s="55">
        <f>VLOOKUP($E759,'NI-Ric_SP'!$C:$AN,MID(AC$1,1,2),FALSE)</f>
        <v>0</v>
      </c>
      <c r="AD759" s="55">
        <f>VLOOKUP($E759,'NI-Ric_SP'!$C:$AN,MID(AD$1,1,2),FALSE)</f>
        <v>0</v>
      </c>
      <c r="AE759" s="55">
        <f>VLOOKUP($E759,'NI-Ric_SP'!$C:$AN,MID(AE$1,1,2),FALSE)</f>
        <v>0</v>
      </c>
      <c r="AF759" s="55">
        <f>VLOOKUP($E759,'NI-Ric_SP'!$C:$AN,MID(AF$1,1,2),FALSE)</f>
        <v>0</v>
      </c>
      <c r="AG759" s="55">
        <f>VLOOKUP($E759,'NI-Ric_SP'!$C:$AN,MID(AG$1,1,2),FALSE)</f>
        <v>0</v>
      </c>
      <c r="AH759" s="55">
        <f>VLOOKUP($E759,'NI-Ric_SP'!$C:$AN,MID(AH$1,1,2),FALSE)</f>
        <v>0</v>
      </c>
      <c r="AI759" s="55">
        <f>VLOOKUP($E759,'NI-Ric_SP'!$C:$AN,MID(AI$1,1,2),FALSE)</f>
        <v>0</v>
      </c>
      <c r="AJ759" s="55">
        <f>VLOOKUP($E759,'NI-Ric_SP'!$C:$AN,MID(AJ$1,1,2),FALSE)</f>
        <v>0</v>
      </c>
      <c r="AK759" s="55">
        <f>VLOOKUP($E759,'NI-Ric_SP'!$C:$AN,MID(AK$1,1,2),FALSE)</f>
        <v>0</v>
      </c>
      <c r="AL759" s="55">
        <f>VLOOKUP($E759,'NI-Ric_SP'!$C:$AN,MID(AL$1,1,2),FALSE)</f>
        <v>0</v>
      </c>
      <c r="AM759" s="56">
        <f>VLOOKUP($E759,'NI-Ric_SP'!$C:$AN,MID(AM$1,1,2),FALSE)</f>
        <v>0</v>
      </c>
      <c r="AN759" s="30" t="str">
        <f t="shared" si="11"/>
        <v>10103030020020</v>
      </c>
    </row>
    <row r="760" spans="3:40" ht="27" x14ac:dyDescent="0.25">
      <c r="C760" s="40"/>
      <c r="D760" s="101" t="s">
        <v>225</v>
      </c>
      <c r="E760" s="101" t="s">
        <v>226</v>
      </c>
      <c r="F760" s="102" t="s">
        <v>2750</v>
      </c>
      <c r="G760" s="52"/>
      <c r="H760" s="52"/>
      <c r="I760" s="52" t="s">
        <v>227</v>
      </c>
      <c r="J760" s="52" t="s">
        <v>227</v>
      </c>
      <c r="K760" s="59" t="s">
        <v>111</v>
      </c>
      <c r="L760" s="62" t="s">
        <v>195</v>
      </c>
      <c r="M760" s="52"/>
      <c r="N760" s="52"/>
      <c r="O760" s="52"/>
      <c r="P760" s="76" t="s">
        <v>228</v>
      </c>
      <c r="Q760" s="55">
        <f>VLOOKUP(E760,'NI-Ric_SP'!$C:$AN,12,FALSE)</f>
        <v>0</v>
      </c>
      <c r="R760" s="55">
        <f>VLOOKUP(E760,'NI-Ric_SP'!$C:$AN,13,FALSE)</f>
        <v>0</v>
      </c>
      <c r="S760" s="55"/>
      <c r="T760" s="55"/>
      <c r="U760" s="55">
        <f>VLOOKUP($E760,'NI-Ric_SP'!$C:$AN,MID(U$1,1,2),FALSE)</f>
        <v>0</v>
      </c>
      <c r="V760" s="55">
        <f>VLOOKUP($E760,'NI-Ric_SP'!$C:$AN,MID(V$1,1,2),FALSE)</f>
        <v>0</v>
      </c>
      <c r="W760" s="55">
        <f>VLOOKUP($E760,'NI-Ric_SP'!$C:$AN,MID(W$1,1,2),FALSE)</f>
        <v>0</v>
      </c>
      <c r="X760" s="55">
        <f>VLOOKUP($E760,'NI-Ric_SP'!$C:$AN,MID(X$1,1,2),FALSE)</f>
        <v>0</v>
      </c>
      <c r="Y760" s="55">
        <f>VLOOKUP($E760,'NI-Ric_SP'!$C:$AN,MID(Y$1,1,2),FALSE)</f>
        <v>0</v>
      </c>
      <c r="Z760" s="55">
        <f>VLOOKUP($E760,'NI-Ric_SP'!$C:$AN,MID(Z$1,1,2),FALSE)</f>
        <v>0</v>
      </c>
      <c r="AA760" s="55">
        <f>VLOOKUP($E760,'NI-Ric_SP'!$C:$AN,MID(AA$1,1,2),FALSE)</f>
        <v>0</v>
      </c>
      <c r="AB760" s="55">
        <f>VLOOKUP($E760,'NI-Ric_SP'!$C:$AN,MID(AB$1,1,2),FALSE)</f>
        <v>0</v>
      </c>
      <c r="AC760" s="55">
        <f>VLOOKUP($E760,'NI-Ric_SP'!$C:$AN,MID(AC$1,1,2),FALSE)</f>
        <v>0</v>
      </c>
      <c r="AD760" s="55">
        <f>VLOOKUP($E760,'NI-Ric_SP'!$C:$AN,MID(AD$1,1,2),FALSE)</f>
        <v>0</v>
      </c>
      <c r="AE760" s="55">
        <f>VLOOKUP($E760,'NI-Ric_SP'!$C:$AN,MID(AE$1,1,2),FALSE)</f>
        <v>0</v>
      </c>
      <c r="AF760" s="55">
        <f>VLOOKUP($E760,'NI-Ric_SP'!$C:$AN,MID(AF$1,1,2),FALSE)</f>
        <v>0</v>
      </c>
      <c r="AG760" s="55">
        <f>VLOOKUP($E760,'NI-Ric_SP'!$C:$AN,MID(AG$1,1,2),FALSE)</f>
        <v>0</v>
      </c>
      <c r="AH760" s="55">
        <f>VLOOKUP($E760,'NI-Ric_SP'!$C:$AN,MID(AH$1,1,2),FALSE)</f>
        <v>0</v>
      </c>
      <c r="AI760" s="55">
        <f>VLOOKUP($E760,'NI-Ric_SP'!$C:$AN,MID(AI$1,1,2),FALSE)</f>
        <v>0</v>
      </c>
      <c r="AJ760" s="55">
        <f>VLOOKUP($E760,'NI-Ric_SP'!$C:$AN,MID(AJ$1,1,2),FALSE)</f>
        <v>0</v>
      </c>
      <c r="AK760" s="55">
        <f>VLOOKUP($E760,'NI-Ric_SP'!$C:$AN,MID(AK$1,1,2),FALSE)</f>
        <v>0</v>
      </c>
      <c r="AL760" s="55">
        <f>VLOOKUP($E760,'NI-Ric_SP'!$C:$AN,MID(AL$1,1,2),FALSE)</f>
        <v>0</v>
      </c>
      <c r="AM760" s="56">
        <f>VLOOKUP($E760,'NI-Ric_SP'!$C:$AN,MID(AM$1,1,2),FALSE)</f>
        <v>0</v>
      </c>
      <c r="AN760" s="30" t="str">
        <f t="shared" si="11"/>
        <v>10103040000000</v>
      </c>
    </row>
    <row r="761" spans="3:40" x14ac:dyDescent="0.25">
      <c r="C761" s="40"/>
      <c r="D761" s="101" t="s">
        <v>229</v>
      </c>
      <c r="E761" s="101" t="s">
        <v>230</v>
      </c>
      <c r="F761" s="102" t="s">
        <v>2750</v>
      </c>
      <c r="G761" s="52"/>
      <c r="H761" s="52"/>
      <c r="I761" s="52"/>
      <c r="J761" s="52"/>
      <c r="K761" s="59" t="s">
        <v>79</v>
      </c>
      <c r="L761" s="52"/>
      <c r="M761" s="52"/>
      <c r="N761" s="52"/>
      <c r="O761" s="52"/>
      <c r="P761" s="76" t="s">
        <v>231</v>
      </c>
      <c r="Q761" s="55">
        <f>VLOOKUP(E761,'NI-Ric_SP'!$C:$AN,12,FALSE)</f>
        <v>0</v>
      </c>
      <c r="R761" s="55">
        <f>VLOOKUP(E761,'NI-Ric_SP'!$C:$AN,13,FALSE)</f>
        <v>0</v>
      </c>
      <c r="S761" s="55"/>
      <c r="T761" s="55"/>
      <c r="U761" s="55">
        <f>VLOOKUP($E761,'NI-Ric_SP'!$C:$AN,MID(U$1,1,2),FALSE)</f>
        <v>0</v>
      </c>
      <c r="V761" s="55">
        <f>VLOOKUP($E761,'NI-Ric_SP'!$C:$AN,MID(V$1,1,2),FALSE)</f>
        <v>0</v>
      </c>
      <c r="W761" s="55">
        <f>VLOOKUP($E761,'NI-Ric_SP'!$C:$AN,MID(W$1,1,2),FALSE)</f>
        <v>0</v>
      </c>
      <c r="X761" s="55">
        <f>VLOOKUP($E761,'NI-Ric_SP'!$C:$AN,MID(X$1,1,2),FALSE)</f>
        <v>0</v>
      </c>
      <c r="Y761" s="55">
        <f>VLOOKUP($E761,'NI-Ric_SP'!$C:$AN,MID(Y$1,1,2),FALSE)</f>
        <v>0</v>
      </c>
      <c r="Z761" s="55">
        <f>VLOOKUP($E761,'NI-Ric_SP'!$C:$AN,MID(Z$1,1,2),FALSE)</f>
        <v>0</v>
      </c>
      <c r="AA761" s="55">
        <f>VLOOKUP($E761,'NI-Ric_SP'!$C:$AN,MID(AA$1,1,2),FALSE)</f>
        <v>0</v>
      </c>
      <c r="AB761" s="55">
        <f>VLOOKUP($E761,'NI-Ric_SP'!$C:$AN,MID(AB$1,1,2),FALSE)</f>
        <v>0</v>
      </c>
      <c r="AC761" s="55">
        <f>VLOOKUP($E761,'NI-Ric_SP'!$C:$AN,MID(AC$1,1,2),FALSE)</f>
        <v>0</v>
      </c>
      <c r="AD761" s="55">
        <f>VLOOKUP($E761,'NI-Ric_SP'!$C:$AN,MID(AD$1,1,2),FALSE)</f>
        <v>0</v>
      </c>
      <c r="AE761" s="55">
        <f>VLOOKUP($E761,'NI-Ric_SP'!$C:$AN,MID(AE$1,1,2),FALSE)</f>
        <v>0</v>
      </c>
      <c r="AF761" s="55">
        <f>VLOOKUP($E761,'NI-Ric_SP'!$C:$AN,MID(AF$1,1,2),FALSE)</f>
        <v>0</v>
      </c>
      <c r="AG761" s="55">
        <f>VLOOKUP($E761,'NI-Ric_SP'!$C:$AN,MID(AG$1,1,2),FALSE)</f>
        <v>0</v>
      </c>
      <c r="AH761" s="55">
        <f>VLOOKUP($E761,'NI-Ric_SP'!$C:$AN,MID(AH$1,1,2),FALSE)</f>
        <v>0</v>
      </c>
      <c r="AI761" s="55">
        <f>VLOOKUP($E761,'NI-Ric_SP'!$C:$AN,MID(AI$1,1,2),FALSE)</f>
        <v>0</v>
      </c>
      <c r="AJ761" s="55">
        <f>VLOOKUP($E761,'NI-Ric_SP'!$C:$AN,MID(AJ$1,1,2),FALSE)</f>
        <v>0</v>
      </c>
      <c r="AK761" s="55">
        <f>VLOOKUP($E761,'NI-Ric_SP'!$C:$AN,MID(AK$1,1,2),FALSE)</f>
        <v>0</v>
      </c>
      <c r="AL761" s="55">
        <f>VLOOKUP($E761,'NI-Ric_SP'!$C:$AN,MID(AL$1,1,2),FALSE)</f>
        <v>0</v>
      </c>
      <c r="AM761" s="56">
        <f>VLOOKUP($E761,'NI-Ric_SP'!$C:$AN,MID(AM$1,1,2),FALSE)</f>
        <v>0</v>
      </c>
      <c r="AN761" s="30" t="str">
        <f t="shared" si="11"/>
        <v>10103040010010</v>
      </c>
    </row>
    <row r="762" spans="3:40" x14ac:dyDescent="0.25">
      <c r="C762" s="40"/>
      <c r="D762" s="101" t="s">
        <v>232</v>
      </c>
      <c r="E762" s="101" t="s">
        <v>233</v>
      </c>
      <c r="F762" s="102" t="s">
        <v>2750</v>
      </c>
      <c r="G762" s="52"/>
      <c r="H762" s="52"/>
      <c r="I762" s="52"/>
      <c r="J762" s="52"/>
      <c r="K762" s="59" t="s">
        <v>79</v>
      </c>
      <c r="L762" s="52"/>
      <c r="M762" s="52"/>
      <c r="N762" s="52"/>
      <c r="O762" s="52"/>
      <c r="P762" s="76" t="s">
        <v>234</v>
      </c>
      <c r="Q762" s="55">
        <f>VLOOKUP(E762,'NI-Ric_SP'!$C:$AN,12,FALSE)</f>
        <v>0</v>
      </c>
      <c r="R762" s="55">
        <f>VLOOKUP(E762,'NI-Ric_SP'!$C:$AN,13,FALSE)</f>
        <v>0</v>
      </c>
      <c r="S762" s="55"/>
      <c r="T762" s="55"/>
      <c r="U762" s="55">
        <f>VLOOKUP($E762,'NI-Ric_SP'!$C:$AN,MID(U$1,1,2),FALSE)</f>
        <v>0</v>
      </c>
      <c r="V762" s="55">
        <f>VLOOKUP($E762,'NI-Ric_SP'!$C:$AN,MID(V$1,1,2),FALSE)</f>
        <v>0</v>
      </c>
      <c r="W762" s="55">
        <f>VLOOKUP($E762,'NI-Ric_SP'!$C:$AN,MID(W$1,1,2),FALSE)</f>
        <v>0</v>
      </c>
      <c r="X762" s="55">
        <f>VLOOKUP($E762,'NI-Ric_SP'!$C:$AN,MID(X$1,1,2),FALSE)</f>
        <v>0</v>
      </c>
      <c r="Y762" s="55">
        <f>VLOOKUP($E762,'NI-Ric_SP'!$C:$AN,MID(Y$1,1,2),FALSE)</f>
        <v>0</v>
      </c>
      <c r="Z762" s="55">
        <f>VLOOKUP($E762,'NI-Ric_SP'!$C:$AN,MID(Z$1,1,2),FALSE)</f>
        <v>0</v>
      </c>
      <c r="AA762" s="55">
        <f>VLOOKUP($E762,'NI-Ric_SP'!$C:$AN,MID(AA$1,1,2),FALSE)</f>
        <v>0</v>
      </c>
      <c r="AB762" s="55">
        <f>VLOOKUP($E762,'NI-Ric_SP'!$C:$AN,MID(AB$1,1,2),FALSE)</f>
        <v>0</v>
      </c>
      <c r="AC762" s="55">
        <f>VLOOKUP($E762,'NI-Ric_SP'!$C:$AN,MID(AC$1,1,2),FALSE)</f>
        <v>0</v>
      </c>
      <c r="AD762" s="55">
        <f>VLOOKUP($E762,'NI-Ric_SP'!$C:$AN,MID(AD$1,1,2),FALSE)</f>
        <v>0</v>
      </c>
      <c r="AE762" s="55">
        <f>VLOOKUP($E762,'NI-Ric_SP'!$C:$AN,MID(AE$1,1,2),FALSE)</f>
        <v>0</v>
      </c>
      <c r="AF762" s="55">
        <f>VLOOKUP($E762,'NI-Ric_SP'!$C:$AN,MID(AF$1,1,2),FALSE)</f>
        <v>0</v>
      </c>
      <c r="AG762" s="55">
        <f>VLOOKUP($E762,'NI-Ric_SP'!$C:$AN,MID(AG$1,1,2),FALSE)</f>
        <v>0</v>
      </c>
      <c r="AH762" s="55">
        <f>VLOOKUP($E762,'NI-Ric_SP'!$C:$AN,MID(AH$1,1,2),FALSE)</f>
        <v>0</v>
      </c>
      <c r="AI762" s="55">
        <f>VLOOKUP($E762,'NI-Ric_SP'!$C:$AN,MID(AI$1,1,2),FALSE)</f>
        <v>0</v>
      </c>
      <c r="AJ762" s="55">
        <f>VLOOKUP($E762,'NI-Ric_SP'!$C:$AN,MID(AJ$1,1,2),FALSE)</f>
        <v>0</v>
      </c>
      <c r="AK762" s="55">
        <f>VLOOKUP($E762,'NI-Ric_SP'!$C:$AN,MID(AK$1,1,2),FALSE)</f>
        <v>0</v>
      </c>
      <c r="AL762" s="55">
        <f>VLOOKUP($E762,'NI-Ric_SP'!$C:$AN,MID(AL$1,1,2),FALSE)</f>
        <v>0</v>
      </c>
      <c r="AM762" s="56">
        <f>VLOOKUP($E762,'NI-Ric_SP'!$C:$AN,MID(AM$1,1,2),FALSE)</f>
        <v>0</v>
      </c>
      <c r="AN762" s="30" t="str">
        <f t="shared" si="11"/>
        <v>10103040010020</v>
      </c>
    </row>
    <row r="763" spans="3:40" x14ac:dyDescent="0.25">
      <c r="C763" s="40"/>
      <c r="D763" s="101" t="s">
        <v>235</v>
      </c>
      <c r="E763" s="101" t="s">
        <v>236</v>
      </c>
      <c r="F763" s="102" t="s">
        <v>2750</v>
      </c>
      <c r="G763" s="52"/>
      <c r="H763" s="52"/>
      <c r="I763" s="52"/>
      <c r="J763" s="52"/>
      <c r="K763" s="59" t="s">
        <v>79</v>
      </c>
      <c r="L763" s="52"/>
      <c r="M763" s="52"/>
      <c r="N763" s="52"/>
      <c r="O763" s="52"/>
      <c r="P763" s="76" t="s">
        <v>237</v>
      </c>
      <c r="Q763" s="55">
        <f>VLOOKUP(E763,'NI-Ric_SP'!$C:$AN,12,FALSE)</f>
        <v>0</v>
      </c>
      <c r="R763" s="55">
        <f>VLOOKUP(E763,'NI-Ric_SP'!$C:$AN,13,FALSE)</f>
        <v>0</v>
      </c>
      <c r="S763" s="55"/>
      <c r="T763" s="55"/>
      <c r="U763" s="55">
        <f>VLOOKUP($E763,'NI-Ric_SP'!$C:$AN,MID(U$1,1,2),FALSE)</f>
        <v>0</v>
      </c>
      <c r="V763" s="55">
        <f>VLOOKUP($E763,'NI-Ric_SP'!$C:$AN,MID(V$1,1,2),FALSE)</f>
        <v>0</v>
      </c>
      <c r="W763" s="55">
        <f>VLOOKUP($E763,'NI-Ric_SP'!$C:$AN,MID(W$1,1,2),FALSE)</f>
        <v>0</v>
      </c>
      <c r="X763" s="55">
        <f>VLOOKUP($E763,'NI-Ric_SP'!$C:$AN,MID(X$1,1,2),FALSE)</f>
        <v>0</v>
      </c>
      <c r="Y763" s="55">
        <f>VLOOKUP($E763,'NI-Ric_SP'!$C:$AN,MID(Y$1,1,2),FALSE)</f>
        <v>0</v>
      </c>
      <c r="Z763" s="55">
        <f>VLOOKUP($E763,'NI-Ric_SP'!$C:$AN,MID(Z$1,1,2),FALSE)</f>
        <v>0</v>
      </c>
      <c r="AA763" s="55">
        <f>VLOOKUP($E763,'NI-Ric_SP'!$C:$AN,MID(AA$1,1,2),FALSE)</f>
        <v>0</v>
      </c>
      <c r="AB763" s="55">
        <f>VLOOKUP($E763,'NI-Ric_SP'!$C:$AN,MID(AB$1,1,2),FALSE)</f>
        <v>0</v>
      </c>
      <c r="AC763" s="55">
        <f>VLOOKUP($E763,'NI-Ric_SP'!$C:$AN,MID(AC$1,1,2),FALSE)</f>
        <v>0</v>
      </c>
      <c r="AD763" s="55">
        <f>VLOOKUP($E763,'NI-Ric_SP'!$C:$AN,MID(AD$1,1,2),FALSE)</f>
        <v>0</v>
      </c>
      <c r="AE763" s="55">
        <f>VLOOKUP($E763,'NI-Ric_SP'!$C:$AN,MID(AE$1,1,2),FALSE)</f>
        <v>0</v>
      </c>
      <c r="AF763" s="55">
        <f>VLOOKUP($E763,'NI-Ric_SP'!$C:$AN,MID(AF$1,1,2),FALSE)</f>
        <v>0</v>
      </c>
      <c r="AG763" s="55">
        <f>VLOOKUP($E763,'NI-Ric_SP'!$C:$AN,MID(AG$1,1,2),FALSE)</f>
        <v>0</v>
      </c>
      <c r="AH763" s="55">
        <f>VLOOKUP($E763,'NI-Ric_SP'!$C:$AN,MID(AH$1,1,2),FALSE)</f>
        <v>0</v>
      </c>
      <c r="AI763" s="55">
        <f>VLOOKUP($E763,'NI-Ric_SP'!$C:$AN,MID(AI$1,1,2),FALSE)</f>
        <v>0</v>
      </c>
      <c r="AJ763" s="55">
        <f>VLOOKUP($E763,'NI-Ric_SP'!$C:$AN,MID(AJ$1,1,2),FALSE)</f>
        <v>0</v>
      </c>
      <c r="AK763" s="55">
        <f>VLOOKUP($E763,'NI-Ric_SP'!$C:$AN,MID(AK$1,1,2),FALSE)</f>
        <v>0</v>
      </c>
      <c r="AL763" s="55">
        <f>VLOOKUP($E763,'NI-Ric_SP'!$C:$AN,MID(AL$1,1,2),FALSE)</f>
        <v>0</v>
      </c>
      <c r="AM763" s="56">
        <f>VLOOKUP($E763,'NI-Ric_SP'!$C:$AN,MID(AM$1,1,2),FALSE)</f>
        <v>0</v>
      </c>
      <c r="AN763" s="30" t="str">
        <f t="shared" si="11"/>
        <v>10103040020010</v>
      </c>
    </row>
    <row r="764" spans="3:40" x14ac:dyDescent="0.25">
      <c r="C764" s="40"/>
      <c r="D764" s="101" t="s">
        <v>238</v>
      </c>
      <c r="E764" s="101" t="s">
        <v>239</v>
      </c>
      <c r="F764" s="102" t="s">
        <v>2750</v>
      </c>
      <c r="G764" s="52"/>
      <c r="H764" s="52"/>
      <c r="I764" s="52"/>
      <c r="J764" s="52"/>
      <c r="K764" s="59" t="s">
        <v>79</v>
      </c>
      <c r="L764" s="52"/>
      <c r="M764" s="52"/>
      <c r="N764" s="52"/>
      <c r="O764" s="52"/>
      <c r="P764" s="76" t="s">
        <v>240</v>
      </c>
      <c r="Q764" s="55">
        <f>VLOOKUP(E764,'NI-Ric_SP'!$C:$AN,12,FALSE)</f>
        <v>0</v>
      </c>
      <c r="R764" s="55">
        <f>VLOOKUP(E764,'NI-Ric_SP'!$C:$AN,13,FALSE)</f>
        <v>0</v>
      </c>
      <c r="S764" s="55"/>
      <c r="T764" s="55"/>
      <c r="U764" s="55">
        <f>VLOOKUP($E764,'NI-Ric_SP'!$C:$AN,MID(U$1,1,2),FALSE)</f>
        <v>0</v>
      </c>
      <c r="V764" s="55">
        <f>VLOOKUP($E764,'NI-Ric_SP'!$C:$AN,MID(V$1,1,2),FALSE)</f>
        <v>0</v>
      </c>
      <c r="W764" s="55">
        <f>VLOOKUP($E764,'NI-Ric_SP'!$C:$AN,MID(W$1,1,2),FALSE)</f>
        <v>0</v>
      </c>
      <c r="X764" s="55">
        <f>VLOOKUP($E764,'NI-Ric_SP'!$C:$AN,MID(X$1,1,2),FALSE)</f>
        <v>0</v>
      </c>
      <c r="Y764" s="55">
        <f>VLOOKUP($E764,'NI-Ric_SP'!$C:$AN,MID(Y$1,1,2),FALSE)</f>
        <v>0</v>
      </c>
      <c r="Z764" s="55">
        <f>VLOOKUP($E764,'NI-Ric_SP'!$C:$AN,MID(Z$1,1,2),FALSE)</f>
        <v>0</v>
      </c>
      <c r="AA764" s="55">
        <f>VLOOKUP($E764,'NI-Ric_SP'!$C:$AN,MID(AA$1,1,2),FALSE)</f>
        <v>0</v>
      </c>
      <c r="AB764" s="55">
        <f>VLOOKUP($E764,'NI-Ric_SP'!$C:$AN,MID(AB$1,1,2),FALSE)</f>
        <v>0</v>
      </c>
      <c r="AC764" s="55">
        <f>VLOOKUP($E764,'NI-Ric_SP'!$C:$AN,MID(AC$1,1,2),FALSE)</f>
        <v>0</v>
      </c>
      <c r="AD764" s="55">
        <f>VLOOKUP($E764,'NI-Ric_SP'!$C:$AN,MID(AD$1,1,2),FALSE)</f>
        <v>0</v>
      </c>
      <c r="AE764" s="55">
        <f>VLOOKUP($E764,'NI-Ric_SP'!$C:$AN,MID(AE$1,1,2),FALSE)</f>
        <v>0</v>
      </c>
      <c r="AF764" s="55">
        <f>VLOOKUP($E764,'NI-Ric_SP'!$C:$AN,MID(AF$1,1,2),FALSE)</f>
        <v>0</v>
      </c>
      <c r="AG764" s="55">
        <f>VLOOKUP($E764,'NI-Ric_SP'!$C:$AN,MID(AG$1,1,2),FALSE)</f>
        <v>0</v>
      </c>
      <c r="AH764" s="55">
        <f>VLOOKUP($E764,'NI-Ric_SP'!$C:$AN,MID(AH$1,1,2),FALSE)</f>
        <v>0</v>
      </c>
      <c r="AI764" s="55">
        <f>VLOOKUP($E764,'NI-Ric_SP'!$C:$AN,MID(AI$1,1,2),FALSE)</f>
        <v>0</v>
      </c>
      <c r="AJ764" s="55">
        <f>VLOOKUP($E764,'NI-Ric_SP'!$C:$AN,MID(AJ$1,1,2),FALSE)</f>
        <v>0</v>
      </c>
      <c r="AK764" s="55">
        <f>VLOOKUP($E764,'NI-Ric_SP'!$C:$AN,MID(AK$1,1,2),FALSE)</f>
        <v>0</v>
      </c>
      <c r="AL764" s="55">
        <f>VLOOKUP($E764,'NI-Ric_SP'!$C:$AN,MID(AL$1,1,2),FALSE)</f>
        <v>0</v>
      </c>
      <c r="AM764" s="56">
        <f>VLOOKUP($E764,'NI-Ric_SP'!$C:$AN,MID(AM$1,1,2),FALSE)</f>
        <v>0</v>
      </c>
      <c r="AN764" s="30" t="str">
        <f t="shared" si="11"/>
        <v>10103040020020</v>
      </c>
    </row>
    <row r="765" spans="3:40" x14ac:dyDescent="0.25">
      <c r="C765" s="40"/>
      <c r="D765" s="101" t="s">
        <v>241</v>
      </c>
      <c r="E765" s="101" t="s">
        <v>242</v>
      </c>
      <c r="F765" s="102" t="s">
        <v>2750</v>
      </c>
      <c r="G765" s="52"/>
      <c r="H765" s="52"/>
      <c r="I765" s="52" t="s">
        <v>243</v>
      </c>
      <c r="J765" s="52"/>
      <c r="K765" s="59" t="s">
        <v>111</v>
      </c>
      <c r="L765" s="62" t="s">
        <v>244</v>
      </c>
      <c r="M765" s="52"/>
      <c r="N765" s="52"/>
      <c r="O765" s="61" t="s">
        <v>245</v>
      </c>
      <c r="P765" s="76" t="s">
        <v>246</v>
      </c>
      <c r="Q765" s="55">
        <f>VLOOKUP(E765,'NI-Ric_SP'!$C:$AN,12,FALSE)</f>
        <v>0</v>
      </c>
      <c r="R765" s="55">
        <f>VLOOKUP(E765,'NI-Ric_SP'!$C:$AN,13,FALSE)</f>
        <v>0</v>
      </c>
      <c r="S765" s="55"/>
      <c r="T765" s="55"/>
      <c r="U765" s="55">
        <f>VLOOKUP($E765,'NI-Ric_SP'!$C:$AN,MID(U$1,1,2),FALSE)</f>
        <v>0</v>
      </c>
      <c r="V765" s="55">
        <f>VLOOKUP($E765,'NI-Ric_SP'!$C:$AN,MID(V$1,1,2),FALSE)</f>
        <v>0</v>
      </c>
      <c r="W765" s="55">
        <f>VLOOKUP($E765,'NI-Ric_SP'!$C:$AN,MID(W$1,1,2),FALSE)</f>
        <v>0</v>
      </c>
      <c r="X765" s="55">
        <f>VLOOKUP($E765,'NI-Ric_SP'!$C:$AN,MID(X$1,1,2),FALSE)</f>
        <v>0</v>
      </c>
      <c r="Y765" s="55">
        <f>VLOOKUP($E765,'NI-Ric_SP'!$C:$AN,MID(Y$1,1,2),FALSE)</f>
        <v>0</v>
      </c>
      <c r="Z765" s="55">
        <f>VLOOKUP($E765,'NI-Ric_SP'!$C:$AN,MID(Z$1,1,2),FALSE)</f>
        <v>0</v>
      </c>
      <c r="AA765" s="55">
        <f>VLOOKUP($E765,'NI-Ric_SP'!$C:$AN,MID(AA$1,1,2),FALSE)</f>
        <v>0</v>
      </c>
      <c r="AB765" s="55">
        <f>VLOOKUP($E765,'NI-Ric_SP'!$C:$AN,MID(AB$1,1,2),FALSE)</f>
        <v>0</v>
      </c>
      <c r="AC765" s="55">
        <f>VLOOKUP($E765,'NI-Ric_SP'!$C:$AN,MID(AC$1,1,2),FALSE)</f>
        <v>0</v>
      </c>
      <c r="AD765" s="55">
        <f>VLOOKUP($E765,'NI-Ric_SP'!$C:$AN,MID(AD$1,1,2),FALSE)</f>
        <v>0</v>
      </c>
      <c r="AE765" s="55">
        <f>VLOOKUP($E765,'NI-Ric_SP'!$C:$AN,MID(AE$1,1,2),FALSE)</f>
        <v>0</v>
      </c>
      <c r="AF765" s="55">
        <f>VLOOKUP($E765,'NI-Ric_SP'!$C:$AN,MID(AF$1,1,2),FALSE)</f>
        <v>0</v>
      </c>
      <c r="AG765" s="55">
        <f>VLOOKUP($E765,'NI-Ric_SP'!$C:$AN,MID(AG$1,1,2),FALSE)</f>
        <v>0</v>
      </c>
      <c r="AH765" s="55">
        <f>VLOOKUP($E765,'NI-Ric_SP'!$C:$AN,MID(AH$1,1,2),FALSE)</f>
        <v>0</v>
      </c>
      <c r="AI765" s="55">
        <f>VLOOKUP($E765,'NI-Ric_SP'!$C:$AN,MID(AI$1,1,2),FALSE)</f>
        <v>0</v>
      </c>
      <c r="AJ765" s="55">
        <f>VLOOKUP($E765,'NI-Ric_SP'!$C:$AN,MID(AJ$1,1,2),FALSE)</f>
        <v>0</v>
      </c>
      <c r="AK765" s="55">
        <f>VLOOKUP($E765,'NI-Ric_SP'!$C:$AN,MID(AK$1,1,2),FALSE)</f>
        <v>0</v>
      </c>
      <c r="AL765" s="55">
        <f>VLOOKUP($E765,'NI-Ric_SP'!$C:$AN,MID(AL$1,1,2),FALSE)</f>
        <v>0</v>
      </c>
      <c r="AM765" s="56">
        <f>VLOOKUP($E765,'NI-Ric_SP'!$C:$AN,MID(AM$1,1,2),FALSE)</f>
        <v>0</v>
      </c>
      <c r="AN765" s="30" t="str">
        <f t="shared" si="11"/>
        <v>10104000000000</v>
      </c>
    </row>
    <row r="766" spans="3:40" x14ac:dyDescent="0.25">
      <c r="C766" s="40"/>
      <c r="D766" s="101" t="s">
        <v>247</v>
      </c>
      <c r="E766" s="101" t="s">
        <v>248</v>
      </c>
      <c r="F766" s="102" t="s">
        <v>2750</v>
      </c>
      <c r="G766" s="52"/>
      <c r="H766" s="52"/>
      <c r="I766" s="52"/>
      <c r="J766" s="52" t="s">
        <v>243</v>
      </c>
      <c r="K766" s="59" t="s">
        <v>79</v>
      </c>
      <c r="L766" s="52"/>
      <c r="M766" s="52"/>
      <c r="N766" s="52"/>
      <c r="O766" s="52"/>
      <c r="P766" s="76" t="s">
        <v>249</v>
      </c>
      <c r="Q766" s="55">
        <f>VLOOKUP(E766,'NI-Ric_SP'!$C:$AN,12,FALSE)</f>
        <v>0</v>
      </c>
      <c r="R766" s="55">
        <f>VLOOKUP(E766,'NI-Ric_SP'!$C:$AN,13,FALSE)</f>
        <v>0</v>
      </c>
      <c r="S766" s="55"/>
      <c r="T766" s="55"/>
      <c r="U766" s="55">
        <f>VLOOKUP($E766,'NI-Ric_SP'!$C:$AN,MID(U$1,1,2),FALSE)</f>
        <v>0</v>
      </c>
      <c r="V766" s="55">
        <f>VLOOKUP($E766,'NI-Ric_SP'!$C:$AN,MID(V$1,1,2),FALSE)</f>
        <v>0</v>
      </c>
      <c r="W766" s="55">
        <f>VLOOKUP($E766,'NI-Ric_SP'!$C:$AN,MID(W$1,1,2),FALSE)</f>
        <v>0</v>
      </c>
      <c r="X766" s="55">
        <f>VLOOKUP($E766,'NI-Ric_SP'!$C:$AN,MID(X$1,1,2),FALSE)</f>
        <v>0</v>
      </c>
      <c r="Y766" s="55">
        <f>VLOOKUP($E766,'NI-Ric_SP'!$C:$AN,MID(Y$1,1,2),FALSE)</f>
        <v>0</v>
      </c>
      <c r="Z766" s="55">
        <f>VLOOKUP($E766,'NI-Ric_SP'!$C:$AN,MID(Z$1,1,2),FALSE)</f>
        <v>0</v>
      </c>
      <c r="AA766" s="55">
        <f>VLOOKUP($E766,'NI-Ric_SP'!$C:$AN,MID(AA$1,1,2),FALSE)</f>
        <v>0</v>
      </c>
      <c r="AB766" s="55">
        <f>VLOOKUP($E766,'NI-Ric_SP'!$C:$AN,MID(AB$1,1,2),FALSE)</f>
        <v>0</v>
      </c>
      <c r="AC766" s="55">
        <f>VLOOKUP($E766,'NI-Ric_SP'!$C:$AN,MID(AC$1,1,2),FALSE)</f>
        <v>0</v>
      </c>
      <c r="AD766" s="55">
        <f>VLOOKUP($E766,'NI-Ric_SP'!$C:$AN,MID(AD$1,1,2),FALSE)</f>
        <v>0</v>
      </c>
      <c r="AE766" s="55">
        <f>VLOOKUP($E766,'NI-Ric_SP'!$C:$AN,MID(AE$1,1,2),FALSE)</f>
        <v>0</v>
      </c>
      <c r="AF766" s="55">
        <f>VLOOKUP($E766,'NI-Ric_SP'!$C:$AN,MID(AF$1,1,2),FALSE)</f>
        <v>0</v>
      </c>
      <c r="AG766" s="55">
        <f>VLOOKUP($E766,'NI-Ric_SP'!$C:$AN,MID(AG$1,1,2),FALSE)</f>
        <v>0</v>
      </c>
      <c r="AH766" s="55">
        <f>VLOOKUP($E766,'NI-Ric_SP'!$C:$AN,MID(AH$1,1,2),FALSE)</f>
        <v>0</v>
      </c>
      <c r="AI766" s="55">
        <f>VLOOKUP($E766,'NI-Ric_SP'!$C:$AN,MID(AI$1,1,2),FALSE)</f>
        <v>0</v>
      </c>
      <c r="AJ766" s="55">
        <f>VLOOKUP($E766,'NI-Ric_SP'!$C:$AN,MID(AJ$1,1,2),FALSE)</f>
        <v>0</v>
      </c>
      <c r="AK766" s="55">
        <f>VLOOKUP($E766,'NI-Ric_SP'!$C:$AN,MID(AK$1,1,2),FALSE)</f>
        <v>0</v>
      </c>
      <c r="AL766" s="55">
        <f>VLOOKUP($E766,'NI-Ric_SP'!$C:$AN,MID(AL$1,1,2),FALSE)</f>
        <v>0</v>
      </c>
      <c r="AM766" s="56">
        <f>VLOOKUP($E766,'NI-Ric_SP'!$C:$AN,MID(AM$1,1,2),FALSE)</f>
        <v>0</v>
      </c>
      <c r="AN766" s="30" t="str">
        <f t="shared" si="11"/>
        <v>10104010000000</v>
      </c>
    </row>
    <row r="767" spans="3:40" x14ac:dyDescent="0.25">
      <c r="C767" s="40"/>
      <c r="D767" s="101" t="s">
        <v>250</v>
      </c>
      <c r="E767" s="101" t="s">
        <v>251</v>
      </c>
      <c r="F767" s="102" t="s">
        <v>2750</v>
      </c>
      <c r="G767" s="52"/>
      <c r="H767" s="52"/>
      <c r="I767" s="52"/>
      <c r="J767" s="52" t="s">
        <v>243</v>
      </c>
      <c r="K767" s="59" t="s">
        <v>79</v>
      </c>
      <c r="L767" s="52"/>
      <c r="M767" s="52"/>
      <c r="N767" s="52"/>
      <c r="O767" s="52"/>
      <c r="P767" s="76" t="s">
        <v>252</v>
      </c>
      <c r="Q767" s="55">
        <f>VLOOKUP(E767,'NI-Ric_SP'!$C:$AN,12,FALSE)</f>
        <v>0</v>
      </c>
      <c r="R767" s="55">
        <f>VLOOKUP(E767,'NI-Ric_SP'!$C:$AN,13,FALSE)</f>
        <v>0</v>
      </c>
      <c r="S767" s="55"/>
      <c r="T767" s="55"/>
      <c r="U767" s="55">
        <f>VLOOKUP($E767,'NI-Ric_SP'!$C:$AN,MID(U$1,1,2),FALSE)</f>
        <v>0</v>
      </c>
      <c r="V767" s="55">
        <f>VLOOKUP($E767,'NI-Ric_SP'!$C:$AN,MID(V$1,1,2),FALSE)</f>
        <v>0</v>
      </c>
      <c r="W767" s="55">
        <f>VLOOKUP($E767,'NI-Ric_SP'!$C:$AN,MID(W$1,1,2),FALSE)</f>
        <v>0</v>
      </c>
      <c r="X767" s="55">
        <f>VLOOKUP($E767,'NI-Ric_SP'!$C:$AN,MID(X$1,1,2),FALSE)</f>
        <v>0</v>
      </c>
      <c r="Y767" s="55">
        <f>VLOOKUP($E767,'NI-Ric_SP'!$C:$AN,MID(Y$1,1,2),FALSE)</f>
        <v>0</v>
      </c>
      <c r="Z767" s="55">
        <f>VLOOKUP($E767,'NI-Ric_SP'!$C:$AN,MID(Z$1,1,2),FALSE)</f>
        <v>0</v>
      </c>
      <c r="AA767" s="55">
        <f>VLOOKUP($E767,'NI-Ric_SP'!$C:$AN,MID(AA$1,1,2),FALSE)</f>
        <v>0</v>
      </c>
      <c r="AB767" s="55">
        <f>VLOOKUP($E767,'NI-Ric_SP'!$C:$AN,MID(AB$1,1,2),FALSE)</f>
        <v>0</v>
      </c>
      <c r="AC767" s="55">
        <f>VLOOKUP($E767,'NI-Ric_SP'!$C:$AN,MID(AC$1,1,2),FALSE)</f>
        <v>0</v>
      </c>
      <c r="AD767" s="55">
        <f>VLOOKUP($E767,'NI-Ric_SP'!$C:$AN,MID(AD$1,1,2),FALSE)</f>
        <v>0</v>
      </c>
      <c r="AE767" s="55">
        <f>VLOOKUP($E767,'NI-Ric_SP'!$C:$AN,MID(AE$1,1,2),FALSE)</f>
        <v>0</v>
      </c>
      <c r="AF767" s="55">
        <f>VLOOKUP($E767,'NI-Ric_SP'!$C:$AN,MID(AF$1,1,2),FALSE)</f>
        <v>0</v>
      </c>
      <c r="AG767" s="55">
        <f>VLOOKUP($E767,'NI-Ric_SP'!$C:$AN,MID(AG$1,1,2),FALSE)</f>
        <v>0</v>
      </c>
      <c r="AH767" s="55">
        <f>VLOOKUP($E767,'NI-Ric_SP'!$C:$AN,MID(AH$1,1,2),FALSE)</f>
        <v>0</v>
      </c>
      <c r="AI767" s="55">
        <f>VLOOKUP($E767,'NI-Ric_SP'!$C:$AN,MID(AI$1,1,2),FALSE)</f>
        <v>0</v>
      </c>
      <c r="AJ767" s="55">
        <f>VLOOKUP($E767,'NI-Ric_SP'!$C:$AN,MID(AJ$1,1,2),FALSE)</f>
        <v>0</v>
      </c>
      <c r="AK767" s="55">
        <f>VLOOKUP($E767,'NI-Ric_SP'!$C:$AN,MID(AK$1,1,2),FALSE)</f>
        <v>0</v>
      </c>
      <c r="AL767" s="55">
        <f>VLOOKUP($E767,'NI-Ric_SP'!$C:$AN,MID(AL$1,1,2),FALSE)</f>
        <v>0</v>
      </c>
      <c r="AM767" s="56">
        <f>VLOOKUP($E767,'NI-Ric_SP'!$C:$AN,MID(AM$1,1,2),FALSE)</f>
        <v>0</v>
      </c>
      <c r="AN767" s="30" t="str">
        <f t="shared" si="11"/>
        <v>10104020000000</v>
      </c>
    </row>
    <row r="768" spans="3:40" x14ac:dyDescent="0.25">
      <c r="C768" s="40"/>
      <c r="D768" s="101" t="s">
        <v>253</v>
      </c>
      <c r="E768" s="101" t="s">
        <v>254</v>
      </c>
      <c r="F768" s="102" t="s">
        <v>2750</v>
      </c>
      <c r="G768" s="52"/>
      <c r="H768" s="52"/>
      <c r="I768" s="52"/>
      <c r="J768" s="52"/>
      <c r="K768" s="59" t="s">
        <v>111</v>
      </c>
      <c r="L768" s="62"/>
      <c r="M768" s="52"/>
      <c r="N768" s="52"/>
      <c r="O768" s="61" t="s">
        <v>255</v>
      </c>
      <c r="P768" s="76" t="s">
        <v>256</v>
      </c>
      <c r="Q768" s="55">
        <f>VLOOKUP(E768,'NI-Ric_SP'!$C:$AN,12,FALSE)</f>
        <v>0</v>
      </c>
      <c r="R768" s="55">
        <f>VLOOKUP(E768,'NI-Ric_SP'!$C:$AN,13,FALSE)</f>
        <v>0</v>
      </c>
      <c r="S768" s="55"/>
      <c r="T768" s="55"/>
      <c r="U768" s="55">
        <f>VLOOKUP($E768,'NI-Ric_SP'!$C:$AN,MID(U$1,1,2),FALSE)</f>
        <v>0</v>
      </c>
      <c r="V768" s="55">
        <f>VLOOKUP($E768,'NI-Ric_SP'!$C:$AN,MID(V$1,1,2),FALSE)</f>
        <v>0</v>
      </c>
      <c r="W768" s="55">
        <f>VLOOKUP($E768,'NI-Ric_SP'!$C:$AN,MID(W$1,1,2),FALSE)</f>
        <v>0</v>
      </c>
      <c r="X768" s="55">
        <f>VLOOKUP($E768,'NI-Ric_SP'!$C:$AN,MID(X$1,1,2),FALSE)</f>
        <v>0</v>
      </c>
      <c r="Y768" s="55">
        <f>VLOOKUP($E768,'NI-Ric_SP'!$C:$AN,MID(Y$1,1,2),FALSE)</f>
        <v>0</v>
      </c>
      <c r="Z768" s="55">
        <f>VLOOKUP($E768,'NI-Ric_SP'!$C:$AN,MID(Z$1,1,2),FALSE)</f>
        <v>0</v>
      </c>
      <c r="AA768" s="55">
        <f>VLOOKUP($E768,'NI-Ric_SP'!$C:$AN,MID(AA$1,1,2),FALSE)</f>
        <v>0</v>
      </c>
      <c r="AB768" s="55">
        <f>VLOOKUP($E768,'NI-Ric_SP'!$C:$AN,MID(AB$1,1,2),FALSE)</f>
        <v>0</v>
      </c>
      <c r="AC768" s="55">
        <f>VLOOKUP($E768,'NI-Ric_SP'!$C:$AN,MID(AC$1,1,2),FALSE)</f>
        <v>0</v>
      </c>
      <c r="AD768" s="55">
        <f>VLOOKUP($E768,'NI-Ric_SP'!$C:$AN,MID(AD$1,1,2),FALSE)</f>
        <v>0</v>
      </c>
      <c r="AE768" s="55">
        <f>VLOOKUP($E768,'NI-Ric_SP'!$C:$AN,MID(AE$1,1,2),FALSE)</f>
        <v>0</v>
      </c>
      <c r="AF768" s="55">
        <f>VLOOKUP($E768,'NI-Ric_SP'!$C:$AN,MID(AF$1,1,2),FALSE)</f>
        <v>0</v>
      </c>
      <c r="AG768" s="55">
        <f>VLOOKUP($E768,'NI-Ric_SP'!$C:$AN,MID(AG$1,1,2),FALSE)</f>
        <v>0</v>
      </c>
      <c r="AH768" s="55">
        <f>VLOOKUP($E768,'NI-Ric_SP'!$C:$AN,MID(AH$1,1,2),FALSE)</f>
        <v>0</v>
      </c>
      <c r="AI768" s="55">
        <f>VLOOKUP($E768,'NI-Ric_SP'!$C:$AN,MID(AI$1,1,2),FALSE)</f>
        <v>0</v>
      </c>
      <c r="AJ768" s="55">
        <f>VLOOKUP($E768,'NI-Ric_SP'!$C:$AN,MID(AJ$1,1,2),FALSE)</f>
        <v>0</v>
      </c>
      <c r="AK768" s="55">
        <f>VLOOKUP($E768,'NI-Ric_SP'!$C:$AN,MID(AK$1,1,2),FALSE)</f>
        <v>0</v>
      </c>
      <c r="AL768" s="55">
        <f>VLOOKUP($E768,'NI-Ric_SP'!$C:$AN,MID(AL$1,1,2),FALSE)</f>
        <v>0</v>
      </c>
      <c r="AM768" s="56">
        <f>VLOOKUP($E768,'NI-Ric_SP'!$C:$AN,MID(AM$1,1,2),FALSE)</f>
        <v>0</v>
      </c>
      <c r="AN768" s="30" t="str">
        <f t="shared" si="11"/>
        <v>10105000000000</v>
      </c>
    </row>
    <row r="769" spans="3:40" x14ac:dyDescent="0.25">
      <c r="C769" s="40"/>
      <c r="D769" s="101" t="s">
        <v>257</v>
      </c>
      <c r="E769" s="101" t="s">
        <v>258</v>
      </c>
      <c r="F769" s="102" t="s">
        <v>2750</v>
      </c>
      <c r="G769" s="52"/>
      <c r="H769" s="52"/>
      <c r="I769" s="52" t="s">
        <v>259</v>
      </c>
      <c r="J769" s="52" t="s">
        <v>259</v>
      </c>
      <c r="K769" s="59" t="s">
        <v>111</v>
      </c>
      <c r="L769" s="62" t="s">
        <v>260</v>
      </c>
      <c r="M769" s="52"/>
      <c r="N769" s="52"/>
      <c r="O769" s="52"/>
      <c r="P769" s="76" t="s">
        <v>261</v>
      </c>
      <c r="Q769" s="55">
        <f>VLOOKUP(E769,'NI-Ric_SP'!$C:$AN,12,FALSE)</f>
        <v>0</v>
      </c>
      <c r="R769" s="55">
        <f>VLOOKUP(E769,'NI-Ric_SP'!$C:$AN,13,FALSE)</f>
        <v>0</v>
      </c>
      <c r="S769" s="55"/>
      <c r="T769" s="55"/>
      <c r="U769" s="55">
        <f>VLOOKUP($E769,'NI-Ric_SP'!$C:$AN,MID(U$1,1,2),FALSE)</f>
        <v>0</v>
      </c>
      <c r="V769" s="55">
        <f>VLOOKUP($E769,'NI-Ric_SP'!$C:$AN,MID(V$1,1,2),FALSE)</f>
        <v>0</v>
      </c>
      <c r="W769" s="55">
        <f>VLOOKUP($E769,'NI-Ric_SP'!$C:$AN,MID(W$1,1,2),FALSE)</f>
        <v>0</v>
      </c>
      <c r="X769" s="55">
        <f>VLOOKUP($E769,'NI-Ric_SP'!$C:$AN,MID(X$1,1,2),FALSE)</f>
        <v>0</v>
      </c>
      <c r="Y769" s="55">
        <f>VLOOKUP($E769,'NI-Ric_SP'!$C:$AN,MID(Y$1,1,2),FALSE)</f>
        <v>0</v>
      </c>
      <c r="Z769" s="55">
        <f>VLOOKUP($E769,'NI-Ric_SP'!$C:$AN,MID(Z$1,1,2),FALSE)</f>
        <v>0</v>
      </c>
      <c r="AA769" s="55">
        <f>VLOOKUP($E769,'NI-Ric_SP'!$C:$AN,MID(AA$1,1,2),FALSE)</f>
        <v>0</v>
      </c>
      <c r="AB769" s="55">
        <f>VLOOKUP($E769,'NI-Ric_SP'!$C:$AN,MID(AB$1,1,2),FALSE)</f>
        <v>0</v>
      </c>
      <c r="AC769" s="55">
        <f>VLOOKUP($E769,'NI-Ric_SP'!$C:$AN,MID(AC$1,1,2),FALSE)</f>
        <v>0</v>
      </c>
      <c r="AD769" s="55">
        <f>VLOOKUP($E769,'NI-Ric_SP'!$C:$AN,MID(AD$1,1,2),FALSE)</f>
        <v>0</v>
      </c>
      <c r="AE769" s="55">
        <f>VLOOKUP($E769,'NI-Ric_SP'!$C:$AN,MID(AE$1,1,2),FALSE)</f>
        <v>0</v>
      </c>
      <c r="AF769" s="55">
        <f>VLOOKUP($E769,'NI-Ric_SP'!$C:$AN,MID(AF$1,1,2),FALSE)</f>
        <v>0</v>
      </c>
      <c r="AG769" s="55">
        <f>VLOOKUP($E769,'NI-Ric_SP'!$C:$AN,MID(AG$1,1,2),FALSE)</f>
        <v>0</v>
      </c>
      <c r="AH769" s="55">
        <f>VLOOKUP($E769,'NI-Ric_SP'!$C:$AN,MID(AH$1,1,2),FALSE)</f>
        <v>0</v>
      </c>
      <c r="AI769" s="55">
        <f>VLOOKUP($E769,'NI-Ric_SP'!$C:$AN,MID(AI$1,1,2),FALSE)</f>
        <v>0</v>
      </c>
      <c r="AJ769" s="55">
        <f>VLOOKUP($E769,'NI-Ric_SP'!$C:$AN,MID(AJ$1,1,2),FALSE)</f>
        <v>0</v>
      </c>
      <c r="AK769" s="55">
        <f>VLOOKUP($E769,'NI-Ric_SP'!$C:$AN,MID(AK$1,1,2),FALSE)</f>
        <v>0</v>
      </c>
      <c r="AL769" s="55">
        <f>VLOOKUP($E769,'NI-Ric_SP'!$C:$AN,MID(AL$1,1,2),FALSE)</f>
        <v>0</v>
      </c>
      <c r="AM769" s="56">
        <f>VLOOKUP($E769,'NI-Ric_SP'!$C:$AN,MID(AM$1,1,2),FALSE)</f>
        <v>0</v>
      </c>
      <c r="AN769" s="30" t="str">
        <f t="shared" si="11"/>
        <v>10105010000000</v>
      </c>
    </row>
    <row r="770" spans="3:40" x14ac:dyDescent="0.25">
      <c r="C770" s="40"/>
      <c r="D770" s="101" t="s">
        <v>262</v>
      </c>
      <c r="E770" s="101" t="s">
        <v>263</v>
      </c>
      <c r="F770" s="102" t="s">
        <v>2750</v>
      </c>
      <c r="G770" s="52"/>
      <c r="H770" s="52"/>
      <c r="I770" s="52"/>
      <c r="J770" s="52"/>
      <c r="K770" s="59" t="s">
        <v>79</v>
      </c>
      <c r="L770" s="52"/>
      <c r="M770" s="52"/>
      <c r="N770" s="52"/>
      <c r="O770" s="52"/>
      <c r="P770" s="76" t="s">
        <v>264</v>
      </c>
      <c r="Q770" s="55">
        <f>VLOOKUP(E770,'NI-Ric_SP'!$C:$AN,12,FALSE)</f>
        <v>0</v>
      </c>
      <c r="R770" s="55">
        <f>VLOOKUP(E770,'NI-Ric_SP'!$C:$AN,13,FALSE)</f>
        <v>0</v>
      </c>
      <c r="S770" s="55"/>
      <c r="T770" s="55"/>
      <c r="U770" s="55">
        <f>VLOOKUP($E770,'NI-Ric_SP'!$C:$AN,MID(U$1,1,2),FALSE)</f>
        <v>0</v>
      </c>
      <c r="V770" s="55">
        <f>VLOOKUP($E770,'NI-Ric_SP'!$C:$AN,MID(V$1,1,2),FALSE)</f>
        <v>0</v>
      </c>
      <c r="W770" s="55">
        <f>VLOOKUP($E770,'NI-Ric_SP'!$C:$AN,MID(W$1,1,2),FALSE)</f>
        <v>0</v>
      </c>
      <c r="X770" s="55">
        <f>VLOOKUP($E770,'NI-Ric_SP'!$C:$AN,MID(X$1,1,2),FALSE)</f>
        <v>0</v>
      </c>
      <c r="Y770" s="55">
        <f>VLOOKUP($E770,'NI-Ric_SP'!$C:$AN,MID(Y$1,1,2),FALSE)</f>
        <v>0</v>
      </c>
      <c r="Z770" s="55">
        <f>VLOOKUP($E770,'NI-Ric_SP'!$C:$AN,MID(Z$1,1,2),FALSE)</f>
        <v>0</v>
      </c>
      <c r="AA770" s="55">
        <f>VLOOKUP($E770,'NI-Ric_SP'!$C:$AN,MID(AA$1,1,2),FALSE)</f>
        <v>0</v>
      </c>
      <c r="AB770" s="55">
        <f>VLOOKUP($E770,'NI-Ric_SP'!$C:$AN,MID(AB$1,1,2),FALSE)</f>
        <v>0</v>
      </c>
      <c r="AC770" s="55">
        <f>VLOOKUP($E770,'NI-Ric_SP'!$C:$AN,MID(AC$1,1,2),FALSE)</f>
        <v>0</v>
      </c>
      <c r="AD770" s="55">
        <f>VLOOKUP($E770,'NI-Ric_SP'!$C:$AN,MID(AD$1,1,2),FALSE)</f>
        <v>0</v>
      </c>
      <c r="AE770" s="55">
        <f>VLOOKUP($E770,'NI-Ric_SP'!$C:$AN,MID(AE$1,1,2),FALSE)</f>
        <v>0</v>
      </c>
      <c r="AF770" s="55">
        <f>VLOOKUP($E770,'NI-Ric_SP'!$C:$AN,MID(AF$1,1,2),FALSE)</f>
        <v>0</v>
      </c>
      <c r="AG770" s="55">
        <f>VLOOKUP($E770,'NI-Ric_SP'!$C:$AN,MID(AG$1,1,2),FALSE)</f>
        <v>0</v>
      </c>
      <c r="AH770" s="55">
        <f>VLOOKUP($E770,'NI-Ric_SP'!$C:$AN,MID(AH$1,1,2),FALSE)</f>
        <v>0</v>
      </c>
      <c r="AI770" s="55">
        <f>VLOOKUP($E770,'NI-Ric_SP'!$C:$AN,MID(AI$1,1,2),FALSE)</f>
        <v>0</v>
      </c>
      <c r="AJ770" s="55">
        <f>VLOOKUP($E770,'NI-Ric_SP'!$C:$AN,MID(AJ$1,1,2),FALSE)</f>
        <v>0</v>
      </c>
      <c r="AK770" s="55">
        <f>VLOOKUP($E770,'NI-Ric_SP'!$C:$AN,MID(AK$1,1,2),FALSE)</f>
        <v>0</v>
      </c>
      <c r="AL770" s="55">
        <f>VLOOKUP($E770,'NI-Ric_SP'!$C:$AN,MID(AL$1,1,2),FALSE)</f>
        <v>0</v>
      </c>
      <c r="AM770" s="56">
        <f>VLOOKUP($E770,'NI-Ric_SP'!$C:$AN,MID(AM$1,1,2),FALSE)</f>
        <v>0</v>
      </c>
      <c r="AN770" s="30" t="str">
        <f t="shared" ref="AN770:AN833" si="12">D770</f>
        <v>10105010010010</v>
      </c>
    </row>
    <row r="771" spans="3:40" x14ac:dyDescent="0.25">
      <c r="C771" s="40"/>
      <c r="D771" s="101" t="s">
        <v>265</v>
      </c>
      <c r="E771" s="101" t="s">
        <v>266</v>
      </c>
      <c r="F771" s="102" t="s">
        <v>2750</v>
      </c>
      <c r="G771" s="52"/>
      <c r="H771" s="52"/>
      <c r="I771" s="52"/>
      <c r="J771" s="52"/>
      <c r="K771" s="59" t="s">
        <v>79</v>
      </c>
      <c r="L771" s="52"/>
      <c r="M771" s="52"/>
      <c r="N771" s="52"/>
      <c r="O771" s="52"/>
      <c r="P771" s="76" t="s">
        <v>267</v>
      </c>
      <c r="Q771" s="55">
        <f>VLOOKUP(E771,'NI-Ric_SP'!$C:$AN,12,FALSE)</f>
        <v>0</v>
      </c>
      <c r="R771" s="55">
        <f>VLOOKUP(E771,'NI-Ric_SP'!$C:$AN,13,FALSE)</f>
        <v>0</v>
      </c>
      <c r="S771" s="55"/>
      <c r="T771" s="55"/>
      <c r="U771" s="55">
        <f>VLOOKUP($E771,'NI-Ric_SP'!$C:$AN,MID(U$1,1,2),FALSE)</f>
        <v>0</v>
      </c>
      <c r="V771" s="55">
        <f>VLOOKUP($E771,'NI-Ric_SP'!$C:$AN,MID(V$1,1,2),FALSE)</f>
        <v>0</v>
      </c>
      <c r="W771" s="55">
        <f>VLOOKUP($E771,'NI-Ric_SP'!$C:$AN,MID(W$1,1,2),FALSE)</f>
        <v>0</v>
      </c>
      <c r="X771" s="55">
        <f>VLOOKUP($E771,'NI-Ric_SP'!$C:$AN,MID(X$1,1,2),FALSE)</f>
        <v>0</v>
      </c>
      <c r="Y771" s="55">
        <f>VLOOKUP($E771,'NI-Ric_SP'!$C:$AN,MID(Y$1,1,2),FALSE)</f>
        <v>0</v>
      </c>
      <c r="Z771" s="55">
        <f>VLOOKUP($E771,'NI-Ric_SP'!$C:$AN,MID(Z$1,1,2),FALSE)</f>
        <v>0</v>
      </c>
      <c r="AA771" s="55">
        <f>VLOOKUP($E771,'NI-Ric_SP'!$C:$AN,MID(AA$1,1,2),FALSE)</f>
        <v>0</v>
      </c>
      <c r="AB771" s="55">
        <f>VLOOKUP($E771,'NI-Ric_SP'!$C:$AN,MID(AB$1,1,2),FALSE)</f>
        <v>0</v>
      </c>
      <c r="AC771" s="55">
        <f>VLOOKUP($E771,'NI-Ric_SP'!$C:$AN,MID(AC$1,1,2),FALSE)</f>
        <v>0</v>
      </c>
      <c r="AD771" s="55">
        <f>VLOOKUP($E771,'NI-Ric_SP'!$C:$AN,MID(AD$1,1,2),FALSE)</f>
        <v>0</v>
      </c>
      <c r="AE771" s="55">
        <f>VLOOKUP($E771,'NI-Ric_SP'!$C:$AN,MID(AE$1,1,2),FALSE)</f>
        <v>0</v>
      </c>
      <c r="AF771" s="55">
        <f>VLOOKUP($E771,'NI-Ric_SP'!$C:$AN,MID(AF$1,1,2),FALSE)</f>
        <v>0</v>
      </c>
      <c r="AG771" s="55">
        <f>VLOOKUP($E771,'NI-Ric_SP'!$C:$AN,MID(AG$1,1,2),FALSE)</f>
        <v>0</v>
      </c>
      <c r="AH771" s="55">
        <f>VLOOKUP($E771,'NI-Ric_SP'!$C:$AN,MID(AH$1,1,2),FALSE)</f>
        <v>0</v>
      </c>
      <c r="AI771" s="55">
        <f>VLOOKUP($E771,'NI-Ric_SP'!$C:$AN,MID(AI$1,1,2),FALSE)</f>
        <v>0</v>
      </c>
      <c r="AJ771" s="55">
        <f>VLOOKUP($E771,'NI-Ric_SP'!$C:$AN,MID(AJ$1,1,2),FALSE)</f>
        <v>0</v>
      </c>
      <c r="AK771" s="55">
        <f>VLOOKUP($E771,'NI-Ric_SP'!$C:$AN,MID(AK$1,1,2),FALSE)</f>
        <v>0</v>
      </c>
      <c r="AL771" s="55">
        <f>VLOOKUP($E771,'NI-Ric_SP'!$C:$AN,MID(AL$1,1,2),FALSE)</f>
        <v>0</v>
      </c>
      <c r="AM771" s="56">
        <f>VLOOKUP($E771,'NI-Ric_SP'!$C:$AN,MID(AM$1,1,2),FALSE)</f>
        <v>0</v>
      </c>
      <c r="AN771" s="30" t="str">
        <f t="shared" si="12"/>
        <v>10105010010020</v>
      </c>
    </row>
    <row r="772" spans="3:40" x14ac:dyDescent="0.25">
      <c r="C772" s="40"/>
      <c r="D772" s="101" t="s">
        <v>268</v>
      </c>
      <c r="E772" s="101" t="s">
        <v>269</v>
      </c>
      <c r="F772" s="102" t="s">
        <v>2750</v>
      </c>
      <c r="G772" s="52"/>
      <c r="H772" s="52"/>
      <c r="I772" s="52"/>
      <c r="J772" s="52"/>
      <c r="K772" s="59" t="s">
        <v>79</v>
      </c>
      <c r="L772" s="52"/>
      <c r="M772" s="52"/>
      <c r="N772" s="52"/>
      <c r="O772" s="52"/>
      <c r="P772" s="76" t="s">
        <v>270</v>
      </c>
      <c r="Q772" s="55">
        <f>VLOOKUP(E772,'NI-Ric_SP'!$C:$AN,12,FALSE)</f>
        <v>0</v>
      </c>
      <c r="R772" s="55">
        <f>VLOOKUP(E772,'NI-Ric_SP'!$C:$AN,13,FALSE)</f>
        <v>0</v>
      </c>
      <c r="S772" s="55"/>
      <c r="T772" s="55"/>
      <c r="U772" s="55">
        <f>VLOOKUP($E772,'NI-Ric_SP'!$C:$AN,MID(U$1,1,2),FALSE)</f>
        <v>0</v>
      </c>
      <c r="V772" s="55">
        <f>VLOOKUP($E772,'NI-Ric_SP'!$C:$AN,MID(V$1,1,2),FALSE)</f>
        <v>0</v>
      </c>
      <c r="W772" s="55">
        <f>VLOOKUP($E772,'NI-Ric_SP'!$C:$AN,MID(W$1,1,2),FALSE)</f>
        <v>0</v>
      </c>
      <c r="X772" s="55">
        <f>VLOOKUP($E772,'NI-Ric_SP'!$C:$AN,MID(X$1,1,2),FALSE)</f>
        <v>0</v>
      </c>
      <c r="Y772" s="55">
        <f>VLOOKUP($E772,'NI-Ric_SP'!$C:$AN,MID(Y$1,1,2),FALSE)</f>
        <v>0</v>
      </c>
      <c r="Z772" s="55">
        <f>VLOOKUP($E772,'NI-Ric_SP'!$C:$AN,MID(Z$1,1,2),FALSE)</f>
        <v>0</v>
      </c>
      <c r="AA772" s="55">
        <f>VLOOKUP($E772,'NI-Ric_SP'!$C:$AN,MID(AA$1,1,2),FALSE)</f>
        <v>0</v>
      </c>
      <c r="AB772" s="55">
        <f>VLOOKUP($E772,'NI-Ric_SP'!$C:$AN,MID(AB$1,1,2),FALSE)</f>
        <v>0</v>
      </c>
      <c r="AC772" s="55">
        <f>VLOOKUP($E772,'NI-Ric_SP'!$C:$AN,MID(AC$1,1,2),FALSE)</f>
        <v>0</v>
      </c>
      <c r="AD772" s="55">
        <f>VLOOKUP($E772,'NI-Ric_SP'!$C:$AN,MID(AD$1,1,2),FALSE)</f>
        <v>0</v>
      </c>
      <c r="AE772" s="55">
        <f>VLOOKUP($E772,'NI-Ric_SP'!$C:$AN,MID(AE$1,1,2),FALSE)</f>
        <v>0</v>
      </c>
      <c r="AF772" s="55">
        <f>VLOOKUP($E772,'NI-Ric_SP'!$C:$AN,MID(AF$1,1,2),FALSE)</f>
        <v>0</v>
      </c>
      <c r="AG772" s="55">
        <f>VLOOKUP($E772,'NI-Ric_SP'!$C:$AN,MID(AG$1,1,2),FALSE)</f>
        <v>0</v>
      </c>
      <c r="AH772" s="55">
        <f>VLOOKUP($E772,'NI-Ric_SP'!$C:$AN,MID(AH$1,1,2),FALSE)</f>
        <v>0</v>
      </c>
      <c r="AI772" s="55">
        <f>VLOOKUP($E772,'NI-Ric_SP'!$C:$AN,MID(AI$1,1,2),FALSE)</f>
        <v>0</v>
      </c>
      <c r="AJ772" s="55">
        <f>VLOOKUP($E772,'NI-Ric_SP'!$C:$AN,MID(AJ$1,1,2),FALSE)</f>
        <v>0</v>
      </c>
      <c r="AK772" s="55">
        <f>VLOOKUP($E772,'NI-Ric_SP'!$C:$AN,MID(AK$1,1,2),FALSE)</f>
        <v>0</v>
      </c>
      <c r="AL772" s="55">
        <f>VLOOKUP($E772,'NI-Ric_SP'!$C:$AN,MID(AL$1,1,2),FALSE)</f>
        <v>0</v>
      </c>
      <c r="AM772" s="56">
        <f>VLOOKUP($E772,'NI-Ric_SP'!$C:$AN,MID(AM$1,1,2),FALSE)</f>
        <v>0</v>
      </c>
      <c r="AN772" s="30" t="str">
        <f t="shared" si="12"/>
        <v>10105010020010</v>
      </c>
    </row>
    <row r="773" spans="3:40" x14ac:dyDescent="0.25">
      <c r="C773" s="40"/>
      <c r="D773" s="101" t="s">
        <v>271</v>
      </c>
      <c r="E773" s="101" t="s">
        <v>272</v>
      </c>
      <c r="F773" s="102" t="s">
        <v>2750</v>
      </c>
      <c r="G773" s="52"/>
      <c r="H773" s="52"/>
      <c r="I773" s="52"/>
      <c r="J773" s="52"/>
      <c r="K773" s="59" t="s">
        <v>79</v>
      </c>
      <c r="L773" s="52"/>
      <c r="M773" s="52"/>
      <c r="N773" s="52"/>
      <c r="O773" s="52"/>
      <c r="P773" s="76" t="s">
        <v>273</v>
      </c>
      <c r="Q773" s="55">
        <f>VLOOKUP(E773,'NI-Ric_SP'!$C:$AN,12,FALSE)</f>
        <v>0</v>
      </c>
      <c r="R773" s="55">
        <f>VLOOKUP(E773,'NI-Ric_SP'!$C:$AN,13,FALSE)</f>
        <v>0</v>
      </c>
      <c r="S773" s="55"/>
      <c r="T773" s="55"/>
      <c r="U773" s="55">
        <f>VLOOKUP($E773,'NI-Ric_SP'!$C:$AN,MID(U$1,1,2),FALSE)</f>
        <v>0</v>
      </c>
      <c r="V773" s="55">
        <f>VLOOKUP($E773,'NI-Ric_SP'!$C:$AN,MID(V$1,1,2),FALSE)</f>
        <v>0</v>
      </c>
      <c r="W773" s="55">
        <f>VLOOKUP($E773,'NI-Ric_SP'!$C:$AN,MID(W$1,1,2),FALSE)</f>
        <v>0</v>
      </c>
      <c r="X773" s="55">
        <f>VLOOKUP($E773,'NI-Ric_SP'!$C:$AN,MID(X$1,1,2),FALSE)</f>
        <v>0</v>
      </c>
      <c r="Y773" s="55">
        <f>VLOOKUP($E773,'NI-Ric_SP'!$C:$AN,MID(Y$1,1,2),FALSE)</f>
        <v>0</v>
      </c>
      <c r="Z773" s="55">
        <f>VLOOKUP($E773,'NI-Ric_SP'!$C:$AN,MID(Z$1,1,2),FALSE)</f>
        <v>0</v>
      </c>
      <c r="AA773" s="55">
        <f>VLOOKUP($E773,'NI-Ric_SP'!$C:$AN,MID(AA$1,1,2),FALSE)</f>
        <v>0</v>
      </c>
      <c r="AB773" s="55">
        <f>VLOOKUP($E773,'NI-Ric_SP'!$C:$AN,MID(AB$1,1,2),FALSE)</f>
        <v>0</v>
      </c>
      <c r="AC773" s="55">
        <f>VLOOKUP($E773,'NI-Ric_SP'!$C:$AN,MID(AC$1,1,2),FALSE)</f>
        <v>0</v>
      </c>
      <c r="AD773" s="55">
        <f>VLOOKUP($E773,'NI-Ric_SP'!$C:$AN,MID(AD$1,1,2),FALSE)</f>
        <v>0</v>
      </c>
      <c r="AE773" s="55">
        <f>VLOOKUP($E773,'NI-Ric_SP'!$C:$AN,MID(AE$1,1,2),FALSE)</f>
        <v>0</v>
      </c>
      <c r="AF773" s="55">
        <f>VLOOKUP($E773,'NI-Ric_SP'!$C:$AN,MID(AF$1,1,2),FALSE)</f>
        <v>0</v>
      </c>
      <c r="AG773" s="55">
        <f>VLOOKUP($E773,'NI-Ric_SP'!$C:$AN,MID(AG$1,1,2),FALSE)</f>
        <v>0</v>
      </c>
      <c r="AH773" s="55">
        <f>VLOOKUP($E773,'NI-Ric_SP'!$C:$AN,MID(AH$1,1,2),FALSE)</f>
        <v>0</v>
      </c>
      <c r="AI773" s="55">
        <f>VLOOKUP($E773,'NI-Ric_SP'!$C:$AN,MID(AI$1,1,2),FALSE)</f>
        <v>0</v>
      </c>
      <c r="AJ773" s="55">
        <f>VLOOKUP($E773,'NI-Ric_SP'!$C:$AN,MID(AJ$1,1,2),FALSE)</f>
        <v>0</v>
      </c>
      <c r="AK773" s="55">
        <f>VLOOKUP($E773,'NI-Ric_SP'!$C:$AN,MID(AK$1,1,2),FALSE)</f>
        <v>0</v>
      </c>
      <c r="AL773" s="55">
        <f>VLOOKUP($E773,'NI-Ric_SP'!$C:$AN,MID(AL$1,1,2),FALSE)</f>
        <v>0</v>
      </c>
      <c r="AM773" s="56">
        <f>VLOOKUP($E773,'NI-Ric_SP'!$C:$AN,MID(AM$1,1,2),FALSE)</f>
        <v>0</v>
      </c>
      <c r="AN773" s="30" t="str">
        <f t="shared" si="12"/>
        <v>10105010020020</v>
      </c>
    </row>
    <row r="774" spans="3:40" x14ac:dyDescent="0.25">
      <c r="C774" s="40"/>
      <c r="D774" s="101" t="s">
        <v>274</v>
      </c>
      <c r="E774" s="101" t="s">
        <v>275</v>
      </c>
      <c r="F774" s="102" t="s">
        <v>2750</v>
      </c>
      <c r="G774" s="52"/>
      <c r="H774" s="52"/>
      <c r="I774" s="52"/>
      <c r="J774" s="52"/>
      <c r="K774" s="59" t="s">
        <v>79</v>
      </c>
      <c r="L774" s="52"/>
      <c r="M774" s="52"/>
      <c r="N774" s="52"/>
      <c r="O774" s="52"/>
      <c r="P774" s="76" t="s">
        <v>276</v>
      </c>
      <c r="Q774" s="55">
        <f>VLOOKUP(E774,'NI-Ric_SP'!$C:$AN,12,FALSE)</f>
        <v>0</v>
      </c>
      <c r="R774" s="55">
        <f>VLOOKUP(E774,'NI-Ric_SP'!$C:$AN,13,FALSE)</f>
        <v>0</v>
      </c>
      <c r="S774" s="55"/>
      <c r="T774" s="55"/>
      <c r="U774" s="55">
        <f>VLOOKUP($E774,'NI-Ric_SP'!$C:$AN,MID(U$1,1,2),FALSE)</f>
        <v>0</v>
      </c>
      <c r="V774" s="55">
        <f>VLOOKUP($E774,'NI-Ric_SP'!$C:$AN,MID(V$1,1,2),FALSE)</f>
        <v>0</v>
      </c>
      <c r="W774" s="55">
        <f>VLOOKUP($E774,'NI-Ric_SP'!$C:$AN,MID(W$1,1,2),FALSE)</f>
        <v>0</v>
      </c>
      <c r="X774" s="55">
        <f>VLOOKUP($E774,'NI-Ric_SP'!$C:$AN,MID(X$1,1,2),FALSE)</f>
        <v>0</v>
      </c>
      <c r="Y774" s="55">
        <f>VLOOKUP($E774,'NI-Ric_SP'!$C:$AN,MID(Y$1,1,2),FALSE)</f>
        <v>0</v>
      </c>
      <c r="Z774" s="55">
        <f>VLOOKUP($E774,'NI-Ric_SP'!$C:$AN,MID(Z$1,1,2),FALSE)</f>
        <v>0</v>
      </c>
      <c r="AA774" s="55">
        <f>VLOOKUP($E774,'NI-Ric_SP'!$C:$AN,MID(AA$1,1,2),FALSE)</f>
        <v>0</v>
      </c>
      <c r="AB774" s="55">
        <f>VLOOKUP($E774,'NI-Ric_SP'!$C:$AN,MID(AB$1,1,2),FALSE)</f>
        <v>0</v>
      </c>
      <c r="AC774" s="55">
        <f>VLOOKUP($E774,'NI-Ric_SP'!$C:$AN,MID(AC$1,1,2),FALSE)</f>
        <v>0</v>
      </c>
      <c r="AD774" s="55">
        <f>VLOOKUP($E774,'NI-Ric_SP'!$C:$AN,MID(AD$1,1,2),FALSE)</f>
        <v>0</v>
      </c>
      <c r="AE774" s="55">
        <f>VLOOKUP($E774,'NI-Ric_SP'!$C:$AN,MID(AE$1,1,2),FALSE)</f>
        <v>0</v>
      </c>
      <c r="AF774" s="55">
        <f>VLOOKUP($E774,'NI-Ric_SP'!$C:$AN,MID(AF$1,1,2),FALSE)</f>
        <v>0</v>
      </c>
      <c r="AG774" s="55">
        <f>VLOOKUP($E774,'NI-Ric_SP'!$C:$AN,MID(AG$1,1,2),FALSE)</f>
        <v>0</v>
      </c>
      <c r="AH774" s="55">
        <f>VLOOKUP($E774,'NI-Ric_SP'!$C:$AN,MID(AH$1,1,2),FALSE)</f>
        <v>0</v>
      </c>
      <c r="AI774" s="55">
        <f>VLOOKUP($E774,'NI-Ric_SP'!$C:$AN,MID(AI$1,1,2),FALSE)</f>
        <v>0</v>
      </c>
      <c r="AJ774" s="55">
        <f>VLOOKUP($E774,'NI-Ric_SP'!$C:$AN,MID(AJ$1,1,2),FALSE)</f>
        <v>0</v>
      </c>
      <c r="AK774" s="55">
        <f>VLOOKUP($E774,'NI-Ric_SP'!$C:$AN,MID(AK$1,1,2),FALSE)</f>
        <v>0</v>
      </c>
      <c r="AL774" s="55">
        <f>VLOOKUP($E774,'NI-Ric_SP'!$C:$AN,MID(AL$1,1,2),FALSE)</f>
        <v>0</v>
      </c>
      <c r="AM774" s="56">
        <f>VLOOKUP($E774,'NI-Ric_SP'!$C:$AN,MID(AM$1,1,2),FALSE)</f>
        <v>0</v>
      </c>
      <c r="AN774" s="30" t="str">
        <f t="shared" si="12"/>
        <v>10105010030010</v>
      </c>
    </row>
    <row r="775" spans="3:40" x14ac:dyDescent="0.25">
      <c r="C775" s="40"/>
      <c r="D775" s="101" t="s">
        <v>277</v>
      </c>
      <c r="E775" s="101" t="s">
        <v>278</v>
      </c>
      <c r="F775" s="102" t="s">
        <v>2750</v>
      </c>
      <c r="G775" s="52"/>
      <c r="H775" s="52"/>
      <c r="I775" s="52"/>
      <c r="J775" s="52"/>
      <c r="K775" s="59" t="s">
        <v>79</v>
      </c>
      <c r="L775" s="52"/>
      <c r="M775" s="52"/>
      <c r="N775" s="52"/>
      <c r="O775" s="52"/>
      <c r="P775" s="76" t="s">
        <v>279</v>
      </c>
      <c r="Q775" s="55">
        <f>VLOOKUP(E775,'NI-Ric_SP'!$C:$AN,12,FALSE)</f>
        <v>0</v>
      </c>
      <c r="R775" s="55">
        <f>VLOOKUP(E775,'NI-Ric_SP'!$C:$AN,13,FALSE)</f>
        <v>0</v>
      </c>
      <c r="S775" s="55"/>
      <c r="T775" s="55"/>
      <c r="U775" s="55">
        <f>VLOOKUP($E775,'NI-Ric_SP'!$C:$AN,MID(U$1,1,2),FALSE)</f>
        <v>0</v>
      </c>
      <c r="V775" s="55">
        <f>VLOOKUP($E775,'NI-Ric_SP'!$C:$AN,MID(V$1,1,2),FALSE)</f>
        <v>0</v>
      </c>
      <c r="W775" s="55">
        <f>VLOOKUP($E775,'NI-Ric_SP'!$C:$AN,MID(W$1,1,2),FALSE)</f>
        <v>0</v>
      </c>
      <c r="X775" s="55">
        <f>VLOOKUP($E775,'NI-Ric_SP'!$C:$AN,MID(X$1,1,2),FALSE)</f>
        <v>0</v>
      </c>
      <c r="Y775" s="55">
        <f>VLOOKUP($E775,'NI-Ric_SP'!$C:$AN,MID(Y$1,1,2),FALSE)</f>
        <v>0</v>
      </c>
      <c r="Z775" s="55">
        <f>VLOOKUP($E775,'NI-Ric_SP'!$C:$AN,MID(Z$1,1,2),FALSE)</f>
        <v>0</v>
      </c>
      <c r="AA775" s="55">
        <f>VLOOKUP($E775,'NI-Ric_SP'!$C:$AN,MID(AA$1,1,2),FALSE)</f>
        <v>0</v>
      </c>
      <c r="AB775" s="55">
        <f>VLOOKUP($E775,'NI-Ric_SP'!$C:$AN,MID(AB$1,1,2),FALSE)</f>
        <v>0</v>
      </c>
      <c r="AC775" s="55">
        <f>VLOOKUP($E775,'NI-Ric_SP'!$C:$AN,MID(AC$1,1,2),FALSE)</f>
        <v>0</v>
      </c>
      <c r="AD775" s="55">
        <f>VLOOKUP($E775,'NI-Ric_SP'!$C:$AN,MID(AD$1,1,2),FALSE)</f>
        <v>0</v>
      </c>
      <c r="AE775" s="55">
        <f>VLOOKUP($E775,'NI-Ric_SP'!$C:$AN,MID(AE$1,1,2),FALSE)</f>
        <v>0</v>
      </c>
      <c r="AF775" s="55">
        <f>VLOOKUP($E775,'NI-Ric_SP'!$C:$AN,MID(AF$1,1,2),FALSE)</f>
        <v>0</v>
      </c>
      <c r="AG775" s="55">
        <f>VLOOKUP($E775,'NI-Ric_SP'!$C:$AN,MID(AG$1,1,2),FALSE)</f>
        <v>0</v>
      </c>
      <c r="AH775" s="55">
        <f>VLOOKUP($E775,'NI-Ric_SP'!$C:$AN,MID(AH$1,1,2),FALSE)</f>
        <v>0</v>
      </c>
      <c r="AI775" s="55">
        <f>VLOOKUP($E775,'NI-Ric_SP'!$C:$AN,MID(AI$1,1,2),FALSE)</f>
        <v>0</v>
      </c>
      <c r="AJ775" s="55">
        <f>VLOOKUP($E775,'NI-Ric_SP'!$C:$AN,MID(AJ$1,1,2),FALSE)</f>
        <v>0</v>
      </c>
      <c r="AK775" s="55">
        <f>VLOOKUP($E775,'NI-Ric_SP'!$C:$AN,MID(AK$1,1,2),FALSE)</f>
        <v>0</v>
      </c>
      <c r="AL775" s="55">
        <f>VLOOKUP($E775,'NI-Ric_SP'!$C:$AN,MID(AL$1,1,2),FALSE)</f>
        <v>0</v>
      </c>
      <c r="AM775" s="56">
        <f>VLOOKUP($E775,'NI-Ric_SP'!$C:$AN,MID(AM$1,1,2),FALSE)</f>
        <v>0</v>
      </c>
      <c r="AN775" s="30" t="str">
        <f t="shared" si="12"/>
        <v>10105010030020</v>
      </c>
    </row>
    <row r="776" spans="3:40" x14ac:dyDescent="0.25">
      <c r="C776" s="40"/>
      <c r="D776" s="101" t="s">
        <v>280</v>
      </c>
      <c r="E776" s="101" t="s">
        <v>281</v>
      </c>
      <c r="F776" s="102" t="s">
        <v>2750</v>
      </c>
      <c r="G776" s="52"/>
      <c r="H776" s="52"/>
      <c r="I776" s="52"/>
      <c r="J776" s="52"/>
      <c r="K776" s="59" t="s">
        <v>79</v>
      </c>
      <c r="L776" s="52"/>
      <c r="M776" s="52"/>
      <c r="N776" s="52"/>
      <c r="O776" s="52"/>
      <c r="P776" s="76" t="s">
        <v>282</v>
      </c>
      <c r="Q776" s="55">
        <f>VLOOKUP(E776,'NI-Ric_SP'!$C:$AN,12,FALSE)</f>
        <v>0</v>
      </c>
      <c r="R776" s="55">
        <f>VLOOKUP(E776,'NI-Ric_SP'!$C:$AN,13,FALSE)</f>
        <v>0</v>
      </c>
      <c r="S776" s="55"/>
      <c r="T776" s="55"/>
      <c r="U776" s="55">
        <f>VLOOKUP($E776,'NI-Ric_SP'!$C:$AN,MID(U$1,1,2),FALSE)</f>
        <v>0</v>
      </c>
      <c r="V776" s="55">
        <f>VLOOKUP($E776,'NI-Ric_SP'!$C:$AN,MID(V$1,1,2),FALSE)</f>
        <v>0</v>
      </c>
      <c r="W776" s="55">
        <f>VLOOKUP($E776,'NI-Ric_SP'!$C:$AN,MID(W$1,1,2),FALSE)</f>
        <v>0</v>
      </c>
      <c r="X776" s="55">
        <f>VLOOKUP($E776,'NI-Ric_SP'!$C:$AN,MID(X$1,1,2),FALSE)</f>
        <v>0</v>
      </c>
      <c r="Y776" s="55">
        <f>VLOOKUP($E776,'NI-Ric_SP'!$C:$AN,MID(Y$1,1,2),FALSE)</f>
        <v>0</v>
      </c>
      <c r="Z776" s="55">
        <f>VLOOKUP($E776,'NI-Ric_SP'!$C:$AN,MID(Z$1,1,2),FALSE)</f>
        <v>0</v>
      </c>
      <c r="AA776" s="55">
        <f>VLOOKUP($E776,'NI-Ric_SP'!$C:$AN,MID(AA$1,1,2),FALSE)</f>
        <v>0</v>
      </c>
      <c r="AB776" s="55">
        <f>VLOOKUP($E776,'NI-Ric_SP'!$C:$AN,MID(AB$1,1,2),FALSE)</f>
        <v>0</v>
      </c>
      <c r="AC776" s="55">
        <f>VLOOKUP($E776,'NI-Ric_SP'!$C:$AN,MID(AC$1,1,2),FALSE)</f>
        <v>0</v>
      </c>
      <c r="AD776" s="55">
        <f>VLOOKUP($E776,'NI-Ric_SP'!$C:$AN,MID(AD$1,1,2),FALSE)</f>
        <v>0</v>
      </c>
      <c r="AE776" s="55">
        <f>VLOOKUP($E776,'NI-Ric_SP'!$C:$AN,MID(AE$1,1,2),FALSE)</f>
        <v>0</v>
      </c>
      <c r="AF776" s="55">
        <f>VLOOKUP($E776,'NI-Ric_SP'!$C:$AN,MID(AF$1,1,2),FALSE)</f>
        <v>0</v>
      </c>
      <c r="AG776" s="55">
        <f>VLOOKUP($E776,'NI-Ric_SP'!$C:$AN,MID(AG$1,1,2),FALSE)</f>
        <v>0</v>
      </c>
      <c r="AH776" s="55">
        <f>VLOOKUP($E776,'NI-Ric_SP'!$C:$AN,MID(AH$1,1,2),FALSE)</f>
        <v>0</v>
      </c>
      <c r="AI776" s="55">
        <f>VLOOKUP($E776,'NI-Ric_SP'!$C:$AN,MID(AI$1,1,2),FALSE)</f>
        <v>0</v>
      </c>
      <c r="AJ776" s="55">
        <f>VLOOKUP($E776,'NI-Ric_SP'!$C:$AN,MID(AJ$1,1,2),FALSE)</f>
        <v>0</v>
      </c>
      <c r="AK776" s="55">
        <f>VLOOKUP($E776,'NI-Ric_SP'!$C:$AN,MID(AK$1,1,2),FALSE)</f>
        <v>0</v>
      </c>
      <c r="AL776" s="55">
        <f>VLOOKUP($E776,'NI-Ric_SP'!$C:$AN,MID(AL$1,1,2),FALSE)</f>
        <v>0</v>
      </c>
      <c r="AM776" s="56">
        <f>VLOOKUP($E776,'NI-Ric_SP'!$C:$AN,MID(AM$1,1,2),FALSE)</f>
        <v>0</v>
      </c>
      <c r="AN776" s="30" t="str">
        <f t="shared" si="12"/>
        <v>10105010040010</v>
      </c>
    </row>
    <row r="777" spans="3:40" x14ac:dyDescent="0.25">
      <c r="C777" s="40"/>
      <c r="D777" s="101" t="s">
        <v>283</v>
      </c>
      <c r="E777" s="101" t="s">
        <v>284</v>
      </c>
      <c r="F777" s="102" t="s">
        <v>2750</v>
      </c>
      <c r="G777" s="52"/>
      <c r="H777" s="52"/>
      <c r="I777" s="52"/>
      <c r="J777" s="52"/>
      <c r="K777" s="59" t="s">
        <v>79</v>
      </c>
      <c r="L777" s="52"/>
      <c r="M777" s="52"/>
      <c r="N777" s="52"/>
      <c r="O777" s="52"/>
      <c r="P777" s="76" t="s">
        <v>285</v>
      </c>
      <c r="Q777" s="55">
        <f>VLOOKUP(E777,'NI-Ric_SP'!$C:$AN,12,FALSE)</f>
        <v>0</v>
      </c>
      <c r="R777" s="55">
        <f>VLOOKUP(E777,'NI-Ric_SP'!$C:$AN,13,FALSE)</f>
        <v>0</v>
      </c>
      <c r="S777" s="55"/>
      <c r="T777" s="55"/>
      <c r="U777" s="55">
        <f>VLOOKUP($E777,'NI-Ric_SP'!$C:$AN,MID(U$1,1,2),FALSE)</f>
        <v>0</v>
      </c>
      <c r="V777" s="55">
        <f>VLOOKUP($E777,'NI-Ric_SP'!$C:$AN,MID(V$1,1,2),FALSE)</f>
        <v>0</v>
      </c>
      <c r="W777" s="55">
        <f>VLOOKUP($E777,'NI-Ric_SP'!$C:$AN,MID(W$1,1,2),FALSE)</f>
        <v>0</v>
      </c>
      <c r="X777" s="55">
        <f>VLOOKUP($E777,'NI-Ric_SP'!$C:$AN,MID(X$1,1,2),FALSE)</f>
        <v>0</v>
      </c>
      <c r="Y777" s="55">
        <f>VLOOKUP($E777,'NI-Ric_SP'!$C:$AN,MID(Y$1,1,2),FALSE)</f>
        <v>0</v>
      </c>
      <c r="Z777" s="55">
        <f>VLOOKUP($E777,'NI-Ric_SP'!$C:$AN,MID(Z$1,1,2),FALSE)</f>
        <v>0</v>
      </c>
      <c r="AA777" s="55">
        <f>VLOOKUP($E777,'NI-Ric_SP'!$C:$AN,MID(AA$1,1,2),FALSE)</f>
        <v>0</v>
      </c>
      <c r="AB777" s="55">
        <f>VLOOKUP($E777,'NI-Ric_SP'!$C:$AN,MID(AB$1,1,2),FALSE)</f>
        <v>0</v>
      </c>
      <c r="AC777" s="55">
        <f>VLOOKUP($E777,'NI-Ric_SP'!$C:$AN,MID(AC$1,1,2),FALSE)</f>
        <v>0</v>
      </c>
      <c r="AD777" s="55">
        <f>VLOOKUP($E777,'NI-Ric_SP'!$C:$AN,MID(AD$1,1,2),FALSE)</f>
        <v>0</v>
      </c>
      <c r="AE777" s="55">
        <f>VLOOKUP($E777,'NI-Ric_SP'!$C:$AN,MID(AE$1,1,2),FALSE)</f>
        <v>0</v>
      </c>
      <c r="AF777" s="55">
        <f>VLOOKUP($E777,'NI-Ric_SP'!$C:$AN,MID(AF$1,1,2),FALSE)</f>
        <v>0</v>
      </c>
      <c r="AG777" s="55">
        <f>VLOOKUP($E777,'NI-Ric_SP'!$C:$AN,MID(AG$1,1,2),FALSE)</f>
        <v>0</v>
      </c>
      <c r="AH777" s="55">
        <f>VLOOKUP($E777,'NI-Ric_SP'!$C:$AN,MID(AH$1,1,2),FALSE)</f>
        <v>0</v>
      </c>
      <c r="AI777" s="55">
        <f>VLOOKUP($E777,'NI-Ric_SP'!$C:$AN,MID(AI$1,1,2),FALSE)</f>
        <v>0</v>
      </c>
      <c r="AJ777" s="55">
        <f>VLOOKUP($E777,'NI-Ric_SP'!$C:$AN,MID(AJ$1,1,2),FALSE)</f>
        <v>0</v>
      </c>
      <c r="AK777" s="55">
        <f>VLOOKUP($E777,'NI-Ric_SP'!$C:$AN,MID(AK$1,1,2),FALSE)</f>
        <v>0</v>
      </c>
      <c r="AL777" s="55">
        <f>VLOOKUP($E777,'NI-Ric_SP'!$C:$AN,MID(AL$1,1,2),FALSE)</f>
        <v>0</v>
      </c>
      <c r="AM777" s="56">
        <f>VLOOKUP($E777,'NI-Ric_SP'!$C:$AN,MID(AM$1,1,2),FALSE)</f>
        <v>0</v>
      </c>
      <c r="AN777" s="30" t="str">
        <f t="shared" si="12"/>
        <v>10105010040020</v>
      </c>
    </row>
    <row r="778" spans="3:40" x14ac:dyDescent="0.25">
      <c r="C778" s="40"/>
      <c r="D778" s="101" t="s">
        <v>286</v>
      </c>
      <c r="E778" s="101" t="s">
        <v>287</v>
      </c>
      <c r="F778" s="102" t="s">
        <v>2750</v>
      </c>
      <c r="G778" s="52"/>
      <c r="H778" s="52"/>
      <c r="I778" s="52" t="s">
        <v>288</v>
      </c>
      <c r="J778" s="52" t="s">
        <v>288</v>
      </c>
      <c r="K778" s="59" t="s">
        <v>111</v>
      </c>
      <c r="L778" s="62" t="s">
        <v>289</v>
      </c>
      <c r="M778" s="52"/>
      <c r="N778" s="52"/>
      <c r="O778" s="52"/>
      <c r="P778" s="76" t="s">
        <v>290</v>
      </c>
      <c r="Q778" s="55">
        <f>VLOOKUP(E778,'NI-Ric_SP'!$C:$AN,12,FALSE)</f>
        <v>0</v>
      </c>
      <c r="R778" s="55">
        <f>VLOOKUP(E778,'NI-Ric_SP'!$C:$AN,13,FALSE)</f>
        <v>0</v>
      </c>
      <c r="S778" s="55"/>
      <c r="T778" s="55"/>
      <c r="U778" s="55">
        <f>VLOOKUP($E778,'NI-Ric_SP'!$C:$AN,MID(U$1,1,2),FALSE)</f>
        <v>0</v>
      </c>
      <c r="V778" s="55">
        <f>VLOOKUP($E778,'NI-Ric_SP'!$C:$AN,MID(V$1,1,2),FALSE)</f>
        <v>0</v>
      </c>
      <c r="W778" s="55">
        <f>VLOOKUP($E778,'NI-Ric_SP'!$C:$AN,MID(W$1,1,2),FALSE)</f>
        <v>0</v>
      </c>
      <c r="X778" s="55">
        <f>VLOOKUP($E778,'NI-Ric_SP'!$C:$AN,MID(X$1,1,2),FALSE)</f>
        <v>0</v>
      </c>
      <c r="Y778" s="55">
        <f>VLOOKUP($E778,'NI-Ric_SP'!$C:$AN,MID(Y$1,1,2),FALSE)</f>
        <v>0</v>
      </c>
      <c r="Z778" s="55">
        <f>VLOOKUP($E778,'NI-Ric_SP'!$C:$AN,MID(Z$1,1,2),FALSE)</f>
        <v>0</v>
      </c>
      <c r="AA778" s="55">
        <f>VLOOKUP($E778,'NI-Ric_SP'!$C:$AN,MID(AA$1,1,2),FALSE)</f>
        <v>0</v>
      </c>
      <c r="AB778" s="55">
        <f>VLOOKUP($E778,'NI-Ric_SP'!$C:$AN,MID(AB$1,1,2),FALSE)</f>
        <v>0</v>
      </c>
      <c r="AC778" s="55">
        <f>VLOOKUP($E778,'NI-Ric_SP'!$C:$AN,MID(AC$1,1,2),FALSE)</f>
        <v>0</v>
      </c>
      <c r="AD778" s="55">
        <f>VLOOKUP($E778,'NI-Ric_SP'!$C:$AN,MID(AD$1,1,2),FALSE)</f>
        <v>0</v>
      </c>
      <c r="AE778" s="55">
        <f>VLOOKUP($E778,'NI-Ric_SP'!$C:$AN,MID(AE$1,1,2),FALSE)</f>
        <v>0</v>
      </c>
      <c r="AF778" s="55">
        <f>VLOOKUP($E778,'NI-Ric_SP'!$C:$AN,MID(AF$1,1,2),FALSE)</f>
        <v>0</v>
      </c>
      <c r="AG778" s="55">
        <f>VLOOKUP($E778,'NI-Ric_SP'!$C:$AN,MID(AG$1,1,2),FALSE)</f>
        <v>0</v>
      </c>
      <c r="AH778" s="55">
        <f>VLOOKUP($E778,'NI-Ric_SP'!$C:$AN,MID(AH$1,1,2),FALSE)</f>
        <v>0</v>
      </c>
      <c r="AI778" s="55">
        <f>VLOOKUP($E778,'NI-Ric_SP'!$C:$AN,MID(AI$1,1,2),FALSE)</f>
        <v>0</v>
      </c>
      <c r="AJ778" s="55">
        <f>VLOOKUP($E778,'NI-Ric_SP'!$C:$AN,MID(AJ$1,1,2),FALSE)</f>
        <v>0</v>
      </c>
      <c r="AK778" s="55">
        <f>VLOOKUP($E778,'NI-Ric_SP'!$C:$AN,MID(AK$1,1,2),FALSE)</f>
        <v>0</v>
      </c>
      <c r="AL778" s="55">
        <f>VLOOKUP($E778,'NI-Ric_SP'!$C:$AN,MID(AL$1,1,2),FALSE)</f>
        <v>0</v>
      </c>
      <c r="AM778" s="56">
        <f>VLOOKUP($E778,'NI-Ric_SP'!$C:$AN,MID(AM$1,1,2),FALSE)</f>
        <v>0</v>
      </c>
      <c r="AN778" s="30" t="str">
        <f t="shared" si="12"/>
        <v>10105020000000</v>
      </c>
    </row>
    <row r="779" spans="3:40" x14ac:dyDescent="0.25">
      <c r="C779" s="40"/>
      <c r="D779" s="101" t="s">
        <v>291</v>
      </c>
      <c r="E779" s="101" t="s">
        <v>292</v>
      </c>
      <c r="F779" s="102" t="s">
        <v>2750</v>
      </c>
      <c r="G779" s="52"/>
      <c r="H779" s="52"/>
      <c r="I779" s="52"/>
      <c r="J779" s="52"/>
      <c r="K779" s="59" t="s">
        <v>79</v>
      </c>
      <c r="L779" s="52"/>
      <c r="M779" s="52"/>
      <c r="N779" s="52"/>
      <c r="O779" s="52"/>
      <c r="P779" s="76" t="s">
        <v>293</v>
      </c>
      <c r="Q779" s="55">
        <f>VLOOKUP(E779,'NI-Ric_SP'!$C:$AN,12,FALSE)</f>
        <v>0</v>
      </c>
      <c r="R779" s="55">
        <f>VLOOKUP(E779,'NI-Ric_SP'!$C:$AN,13,FALSE)</f>
        <v>0</v>
      </c>
      <c r="S779" s="55"/>
      <c r="T779" s="55"/>
      <c r="U779" s="55">
        <f>VLOOKUP($E779,'NI-Ric_SP'!$C:$AN,MID(U$1,1,2),FALSE)</f>
        <v>0</v>
      </c>
      <c r="V779" s="55">
        <f>VLOOKUP($E779,'NI-Ric_SP'!$C:$AN,MID(V$1,1,2),FALSE)</f>
        <v>0</v>
      </c>
      <c r="W779" s="55">
        <f>VLOOKUP($E779,'NI-Ric_SP'!$C:$AN,MID(W$1,1,2),FALSE)</f>
        <v>0</v>
      </c>
      <c r="X779" s="55">
        <f>VLOOKUP($E779,'NI-Ric_SP'!$C:$AN,MID(X$1,1,2),FALSE)</f>
        <v>0</v>
      </c>
      <c r="Y779" s="55">
        <f>VLOOKUP($E779,'NI-Ric_SP'!$C:$AN,MID(Y$1,1,2),FALSE)</f>
        <v>0</v>
      </c>
      <c r="Z779" s="55">
        <f>VLOOKUP($E779,'NI-Ric_SP'!$C:$AN,MID(Z$1,1,2),FALSE)</f>
        <v>0</v>
      </c>
      <c r="AA779" s="55">
        <f>VLOOKUP($E779,'NI-Ric_SP'!$C:$AN,MID(AA$1,1,2),FALSE)</f>
        <v>0</v>
      </c>
      <c r="AB779" s="55">
        <f>VLOOKUP($E779,'NI-Ric_SP'!$C:$AN,MID(AB$1,1,2),FALSE)</f>
        <v>0</v>
      </c>
      <c r="AC779" s="55">
        <f>VLOOKUP($E779,'NI-Ric_SP'!$C:$AN,MID(AC$1,1,2),FALSE)</f>
        <v>0</v>
      </c>
      <c r="AD779" s="55">
        <f>VLOOKUP($E779,'NI-Ric_SP'!$C:$AN,MID(AD$1,1,2),FALSE)</f>
        <v>0</v>
      </c>
      <c r="AE779" s="55">
        <f>VLOOKUP($E779,'NI-Ric_SP'!$C:$AN,MID(AE$1,1,2),FALSE)</f>
        <v>0</v>
      </c>
      <c r="AF779" s="55">
        <f>VLOOKUP($E779,'NI-Ric_SP'!$C:$AN,MID(AF$1,1,2),FALSE)</f>
        <v>0</v>
      </c>
      <c r="AG779" s="55">
        <f>VLOOKUP($E779,'NI-Ric_SP'!$C:$AN,MID(AG$1,1,2),FALSE)</f>
        <v>0</v>
      </c>
      <c r="AH779" s="55">
        <f>VLOOKUP($E779,'NI-Ric_SP'!$C:$AN,MID(AH$1,1,2),FALSE)</f>
        <v>0</v>
      </c>
      <c r="AI779" s="55">
        <f>VLOOKUP($E779,'NI-Ric_SP'!$C:$AN,MID(AI$1,1,2),FALSE)</f>
        <v>0</v>
      </c>
      <c r="AJ779" s="55">
        <f>VLOOKUP($E779,'NI-Ric_SP'!$C:$AN,MID(AJ$1,1,2),FALSE)</f>
        <v>0</v>
      </c>
      <c r="AK779" s="55">
        <f>VLOOKUP($E779,'NI-Ric_SP'!$C:$AN,MID(AK$1,1,2),FALSE)</f>
        <v>0</v>
      </c>
      <c r="AL779" s="55">
        <f>VLOOKUP($E779,'NI-Ric_SP'!$C:$AN,MID(AL$1,1,2),FALSE)</f>
        <v>0</v>
      </c>
      <c r="AM779" s="56">
        <f>VLOOKUP($E779,'NI-Ric_SP'!$C:$AN,MID(AM$1,1,2),FALSE)</f>
        <v>0</v>
      </c>
      <c r="AN779" s="30" t="str">
        <f t="shared" si="12"/>
        <v>10105020010010</v>
      </c>
    </row>
    <row r="780" spans="3:40" x14ac:dyDescent="0.25">
      <c r="C780" s="40"/>
      <c r="D780" s="101" t="s">
        <v>294</v>
      </c>
      <c r="E780" s="101" t="s">
        <v>295</v>
      </c>
      <c r="F780" s="102" t="s">
        <v>2750</v>
      </c>
      <c r="G780" s="52"/>
      <c r="H780" s="52"/>
      <c r="I780" s="52"/>
      <c r="J780" s="52"/>
      <c r="K780" s="59" t="s">
        <v>79</v>
      </c>
      <c r="L780" s="52"/>
      <c r="M780" s="52"/>
      <c r="N780" s="52"/>
      <c r="O780" s="52"/>
      <c r="P780" s="76" t="s">
        <v>296</v>
      </c>
      <c r="Q780" s="55">
        <f>VLOOKUP(E780,'NI-Ric_SP'!$C:$AN,12,FALSE)</f>
        <v>0</v>
      </c>
      <c r="R780" s="55">
        <f>VLOOKUP(E780,'NI-Ric_SP'!$C:$AN,13,FALSE)</f>
        <v>0</v>
      </c>
      <c r="S780" s="55"/>
      <c r="T780" s="55"/>
      <c r="U780" s="55">
        <f>VLOOKUP($E780,'NI-Ric_SP'!$C:$AN,MID(U$1,1,2),FALSE)</f>
        <v>0</v>
      </c>
      <c r="V780" s="55">
        <f>VLOOKUP($E780,'NI-Ric_SP'!$C:$AN,MID(V$1,1,2),FALSE)</f>
        <v>0</v>
      </c>
      <c r="W780" s="55">
        <f>VLOOKUP($E780,'NI-Ric_SP'!$C:$AN,MID(W$1,1,2),FALSE)</f>
        <v>0</v>
      </c>
      <c r="X780" s="55">
        <f>VLOOKUP($E780,'NI-Ric_SP'!$C:$AN,MID(X$1,1,2),FALSE)</f>
        <v>0</v>
      </c>
      <c r="Y780" s="55">
        <f>VLOOKUP($E780,'NI-Ric_SP'!$C:$AN,MID(Y$1,1,2),FALSE)</f>
        <v>0</v>
      </c>
      <c r="Z780" s="55">
        <f>VLOOKUP($E780,'NI-Ric_SP'!$C:$AN,MID(Z$1,1,2),FALSE)</f>
        <v>0</v>
      </c>
      <c r="AA780" s="55">
        <f>VLOOKUP($E780,'NI-Ric_SP'!$C:$AN,MID(AA$1,1,2),FALSE)</f>
        <v>0</v>
      </c>
      <c r="AB780" s="55">
        <f>VLOOKUP($E780,'NI-Ric_SP'!$C:$AN,MID(AB$1,1,2),FALSE)</f>
        <v>0</v>
      </c>
      <c r="AC780" s="55">
        <f>VLOOKUP($E780,'NI-Ric_SP'!$C:$AN,MID(AC$1,1,2),FALSE)</f>
        <v>0</v>
      </c>
      <c r="AD780" s="55">
        <f>VLOOKUP($E780,'NI-Ric_SP'!$C:$AN,MID(AD$1,1,2),FALSE)</f>
        <v>0</v>
      </c>
      <c r="AE780" s="55">
        <f>VLOOKUP($E780,'NI-Ric_SP'!$C:$AN,MID(AE$1,1,2),FALSE)</f>
        <v>0</v>
      </c>
      <c r="AF780" s="55">
        <f>VLOOKUP($E780,'NI-Ric_SP'!$C:$AN,MID(AF$1,1,2),FALSE)</f>
        <v>0</v>
      </c>
      <c r="AG780" s="55">
        <f>VLOOKUP($E780,'NI-Ric_SP'!$C:$AN,MID(AG$1,1,2),FALSE)</f>
        <v>0</v>
      </c>
      <c r="AH780" s="55">
        <f>VLOOKUP($E780,'NI-Ric_SP'!$C:$AN,MID(AH$1,1,2),FALSE)</f>
        <v>0</v>
      </c>
      <c r="AI780" s="55">
        <f>VLOOKUP($E780,'NI-Ric_SP'!$C:$AN,MID(AI$1,1,2),FALSE)</f>
        <v>0</v>
      </c>
      <c r="AJ780" s="55">
        <f>VLOOKUP($E780,'NI-Ric_SP'!$C:$AN,MID(AJ$1,1,2),FALSE)</f>
        <v>0</v>
      </c>
      <c r="AK780" s="55">
        <f>VLOOKUP($E780,'NI-Ric_SP'!$C:$AN,MID(AK$1,1,2),FALSE)</f>
        <v>0</v>
      </c>
      <c r="AL780" s="55">
        <f>VLOOKUP($E780,'NI-Ric_SP'!$C:$AN,MID(AL$1,1,2),FALSE)</f>
        <v>0</v>
      </c>
      <c r="AM780" s="56">
        <f>VLOOKUP($E780,'NI-Ric_SP'!$C:$AN,MID(AM$1,1,2),FALSE)</f>
        <v>0</v>
      </c>
      <c r="AN780" s="30" t="str">
        <f t="shared" si="12"/>
        <v>10105020010020</v>
      </c>
    </row>
    <row r="781" spans="3:40" x14ac:dyDescent="0.25">
      <c r="C781" s="40"/>
      <c r="D781" s="101" t="s">
        <v>297</v>
      </c>
      <c r="E781" s="101" t="s">
        <v>298</v>
      </c>
      <c r="F781" s="102" t="s">
        <v>2750</v>
      </c>
      <c r="G781" s="52"/>
      <c r="H781" s="52"/>
      <c r="I781" s="52"/>
      <c r="J781" s="52"/>
      <c r="K781" s="59" t="s">
        <v>79</v>
      </c>
      <c r="L781" s="52"/>
      <c r="M781" s="52"/>
      <c r="N781" s="52"/>
      <c r="O781" s="52"/>
      <c r="P781" s="76" t="s">
        <v>299</v>
      </c>
      <c r="Q781" s="55">
        <f>VLOOKUP(E781,'NI-Ric_SP'!$C:$AN,12,FALSE)</f>
        <v>0</v>
      </c>
      <c r="R781" s="55">
        <f>VLOOKUP(E781,'NI-Ric_SP'!$C:$AN,13,FALSE)</f>
        <v>0</v>
      </c>
      <c r="S781" s="55"/>
      <c r="T781" s="55"/>
      <c r="U781" s="55">
        <f>VLOOKUP($E781,'NI-Ric_SP'!$C:$AN,MID(U$1,1,2),FALSE)</f>
        <v>0</v>
      </c>
      <c r="V781" s="55">
        <f>VLOOKUP($E781,'NI-Ric_SP'!$C:$AN,MID(V$1,1,2),FALSE)</f>
        <v>0</v>
      </c>
      <c r="W781" s="55">
        <f>VLOOKUP($E781,'NI-Ric_SP'!$C:$AN,MID(W$1,1,2),FALSE)</f>
        <v>0</v>
      </c>
      <c r="X781" s="55">
        <f>VLOOKUP($E781,'NI-Ric_SP'!$C:$AN,MID(X$1,1,2),FALSE)</f>
        <v>0</v>
      </c>
      <c r="Y781" s="55">
        <f>VLOOKUP($E781,'NI-Ric_SP'!$C:$AN,MID(Y$1,1,2),FALSE)</f>
        <v>0</v>
      </c>
      <c r="Z781" s="55">
        <f>VLOOKUP($E781,'NI-Ric_SP'!$C:$AN,MID(Z$1,1,2),FALSE)</f>
        <v>0</v>
      </c>
      <c r="AA781" s="55">
        <f>VLOOKUP($E781,'NI-Ric_SP'!$C:$AN,MID(AA$1,1,2),FALSE)</f>
        <v>0</v>
      </c>
      <c r="AB781" s="55">
        <f>VLOOKUP($E781,'NI-Ric_SP'!$C:$AN,MID(AB$1,1,2),FALSE)</f>
        <v>0</v>
      </c>
      <c r="AC781" s="55">
        <f>VLOOKUP($E781,'NI-Ric_SP'!$C:$AN,MID(AC$1,1,2),FALSE)</f>
        <v>0</v>
      </c>
      <c r="AD781" s="55">
        <f>VLOOKUP($E781,'NI-Ric_SP'!$C:$AN,MID(AD$1,1,2),FALSE)</f>
        <v>0</v>
      </c>
      <c r="AE781" s="55">
        <f>VLOOKUP($E781,'NI-Ric_SP'!$C:$AN,MID(AE$1,1,2),FALSE)</f>
        <v>0</v>
      </c>
      <c r="AF781" s="55">
        <f>VLOOKUP($E781,'NI-Ric_SP'!$C:$AN,MID(AF$1,1,2),FALSE)</f>
        <v>0</v>
      </c>
      <c r="AG781" s="55">
        <f>VLOOKUP($E781,'NI-Ric_SP'!$C:$AN,MID(AG$1,1,2),FALSE)</f>
        <v>0</v>
      </c>
      <c r="AH781" s="55">
        <f>VLOOKUP($E781,'NI-Ric_SP'!$C:$AN,MID(AH$1,1,2),FALSE)</f>
        <v>0</v>
      </c>
      <c r="AI781" s="55">
        <f>VLOOKUP($E781,'NI-Ric_SP'!$C:$AN,MID(AI$1,1,2),FALSE)</f>
        <v>0</v>
      </c>
      <c r="AJ781" s="55">
        <f>VLOOKUP($E781,'NI-Ric_SP'!$C:$AN,MID(AJ$1,1,2),FALSE)</f>
        <v>0</v>
      </c>
      <c r="AK781" s="55">
        <f>VLOOKUP($E781,'NI-Ric_SP'!$C:$AN,MID(AK$1,1,2),FALSE)</f>
        <v>0</v>
      </c>
      <c r="AL781" s="55">
        <f>VLOOKUP($E781,'NI-Ric_SP'!$C:$AN,MID(AL$1,1,2),FALSE)</f>
        <v>0</v>
      </c>
      <c r="AM781" s="56">
        <f>VLOOKUP($E781,'NI-Ric_SP'!$C:$AN,MID(AM$1,1,2),FALSE)</f>
        <v>0</v>
      </c>
      <c r="AN781" s="30" t="str">
        <f t="shared" si="12"/>
        <v>10105020020010</v>
      </c>
    </row>
    <row r="782" spans="3:40" x14ac:dyDescent="0.25">
      <c r="C782" s="40"/>
      <c r="D782" s="101" t="s">
        <v>300</v>
      </c>
      <c r="E782" s="101" t="s">
        <v>301</v>
      </c>
      <c r="F782" s="102" t="s">
        <v>2750</v>
      </c>
      <c r="G782" s="52"/>
      <c r="H782" s="52"/>
      <c r="I782" s="52"/>
      <c r="J782" s="52"/>
      <c r="K782" s="59" t="s">
        <v>79</v>
      </c>
      <c r="L782" s="52"/>
      <c r="M782" s="52"/>
      <c r="N782" s="52"/>
      <c r="O782" s="52"/>
      <c r="P782" s="76" t="s">
        <v>302</v>
      </c>
      <c r="Q782" s="55">
        <f>VLOOKUP(E782,'NI-Ric_SP'!$C:$AN,12,FALSE)</f>
        <v>0</v>
      </c>
      <c r="R782" s="55">
        <f>VLOOKUP(E782,'NI-Ric_SP'!$C:$AN,13,FALSE)</f>
        <v>0</v>
      </c>
      <c r="S782" s="55"/>
      <c r="T782" s="55"/>
      <c r="U782" s="55">
        <f>VLOOKUP($E782,'NI-Ric_SP'!$C:$AN,MID(U$1,1,2),FALSE)</f>
        <v>0</v>
      </c>
      <c r="V782" s="55">
        <f>VLOOKUP($E782,'NI-Ric_SP'!$C:$AN,MID(V$1,1,2),FALSE)</f>
        <v>0</v>
      </c>
      <c r="W782" s="55">
        <f>VLOOKUP($E782,'NI-Ric_SP'!$C:$AN,MID(W$1,1,2),FALSE)</f>
        <v>0</v>
      </c>
      <c r="X782" s="55">
        <f>VLOOKUP($E782,'NI-Ric_SP'!$C:$AN,MID(X$1,1,2),FALSE)</f>
        <v>0</v>
      </c>
      <c r="Y782" s="55">
        <f>VLOOKUP($E782,'NI-Ric_SP'!$C:$AN,MID(Y$1,1,2),FALSE)</f>
        <v>0</v>
      </c>
      <c r="Z782" s="55">
        <f>VLOOKUP($E782,'NI-Ric_SP'!$C:$AN,MID(Z$1,1,2),FALSE)</f>
        <v>0</v>
      </c>
      <c r="AA782" s="55">
        <f>VLOOKUP($E782,'NI-Ric_SP'!$C:$AN,MID(AA$1,1,2),FALSE)</f>
        <v>0</v>
      </c>
      <c r="AB782" s="55">
        <f>VLOOKUP($E782,'NI-Ric_SP'!$C:$AN,MID(AB$1,1,2),FALSE)</f>
        <v>0</v>
      </c>
      <c r="AC782" s="55">
        <f>VLOOKUP($E782,'NI-Ric_SP'!$C:$AN,MID(AC$1,1,2),FALSE)</f>
        <v>0</v>
      </c>
      <c r="AD782" s="55">
        <f>VLOOKUP($E782,'NI-Ric_SP'!$C:$AN,MID(AD$1,1,2),FALSE)</f>
        <v>0</v>
      </c>
      <c r="AE782" s="55">
        <f>VLOOKUP($E782,'NI-Ric_SP'!$C:$AN,MID(AE$1,1,2),FALSE)</f>
        <v>0</v>
      </c>
      <c r="AF782" s="55">
        <f>VLOOKUP($E782,'NI-Ric_SP'!$C:$AN,MID(AF$1,1,2),FALSE)</f>
        <v>0</v>
      </c>
      <c r="AG782" s="55">
        <f>VLOOKUP($E782,'NI-Ric_SP'!$C:$AN,MID(AG$1,1,2),FALSE)</f>
        <v>0</v>
      </c>
      <c r="AH782" s="55">
        <f>VLOOKUP($E782,'NI-Ric_SP'!$C:$AN,MID(AH$1,1,2),FALSE)</f>
        <v>0</v>
      </c>
      <c r="AI782" s="55">
        <f>VLOOKUP($E782,'NI-Ric_SP'!$C:$AN,MID(AI$1,1,2),FALSE)</f>
        <v>0</v>
      </c>
      <c r="AJ782" s="55">
        <f>VLOOKUP($E782,'NI-Ric_SP'!$C:$AN,MID(AJ$1,1,2),FALSE)</f>
        <v>0</v>
      </c>
      <c r="AK782" s="55">
        <f>VLOOKUP($E782,'NI-Ric_SP'!$C:$AN,MID(AK$1,1,2),FALSE)</f>
        <v>0</v>
      </c>
      <c r="AL782" s="55">
        <f>VLOOKUP($E782,'NI-Ric_SP'!$C:$AN,MID(AL$1,1,2),FALSE)</f>
        <v>0</v>
      </c>
      <c r="AM782" s="56">
        <f>VLOOKUP($E782,'NI-Ric_SP'!$C:$AN,MID(AM$1,1,2),FALSE)</f>
        <v>0</v>
      </c>
      <c r="AN782" s="30" t="str">
        <f t="shared" si="12"/>
        <v>10105020020020</v>
      </c>
    </row>
    <row r="783" spans="3:40" x14ac:dyDescent="0.25">
      <c r="C783" s="40"/>
      <c r="D783" s="101" t="s">
        <v>303</v>
      </c>
      <c r="E783" s="101" t="s">
        <v>304</v>
      </c>
      <c r="F783" s="102" t="s">
        <v>2750</v>
      </c>
      <c r="G783" s="52"/>
      <c r="H783" s="52"/>
      <c r="I783" s="52"/>
      <c r="J783" s="52"/>
      <c r="K783" s="59" t="s">
        <v>79</v>
      </c>
      <c r="L783" s="52"/>
      <c r="M783" s="52"/>
      <c r="N783" s="52"/>
      <c r="O783" s="52"/>
      <c r="P783" s="76" t="s">
        <v>305</v>
      </c>
      <c r="Q783" s="55">
        <f>VLOOKUP(E783,'NI-Ric_SP'!$C:$AN,12,FALSE)</f>
        <v>0</v>
      </c>
      <c r="R783" s="55">
        <f>VLOOKUP(E783,'NI-Ric_SP'!$C:$AN,13,FALSE)</f>
        <v>0</v>
      </c>
      <c r="S783" s="55"/>
      <c r="T783" s="55"/>
      <c r="U783" s="55">
        <f>VLOOKUP($E783,'NI-Ric_SP'!$C:$AN,MID(U$1,1,2),FALSE)</f>
        <v>0</v>
      </c>
      <c r="V783" s="55">
        <f>VLOOKUP($E783,'NI-Ric_SP'!$C:$AN,MID(V$1,1,2),FALSE)</f>
        <v>0</v>
      </c>
      <c r="W783" s="55">
        <f>VLOOKUP($E783,'NI-Ric_SP'!$C:$AN,MID(W$1,1,2),FALSE)</f>
        <v>0</v>
      </c>
      <c r="X783" s="55">
        <f>VLOOKUP($E783,'NI-Ric_SP'!$C:$AN,MID(X$1,1,2),FALSE)</f>
        <v>0</v>
      </c>
      <c r="Y783" s="55">
        <f>VLOOKUP($E783,'NI-Ric_SP'!$C:$AN,MID(Y$1,1,2),FALSE)</f>
        <v>0</v>
      </c>
      <c r="Z783" s="55">
        <f>VLOOKUP($E783,'NI-Ric_SP'!$C:$AN,MID(Z$1,1,2),FALSE)</f>
        <v>0</v>
      </c>
      <c r="AA783" s="55">
        <f>VLOOKUP($E783,'NI-Ric_SP'!$C:$AN,MID(AA$1,1,2),FALSE)</f>
        <v>0</v>
      </c>
      <c r="AB783" s="55">
        <f>VLOOKUP($E783,'NI-Ric_SP'!$C:$AN,MID(AB$1,1,2),FALSE)</f>
        <v>0</v>
      </c>
      <c r="AC783" s="55">
        <f>VLOOKUP($E783,'NI-Ric_SP'!$C:$AN,MID(AC$1,1,2),FALSE)</f>
        <v>0</v>
      </c>
      <c r="AD783" s="55">
        <f>VLOOKUP($E783,'NI-Ric_SP'!$C:$AN,MID(AD$1,1,2),FALSE)</f>
        <v>0</v>
      </c>
      <c r="AE783" s="55">
        <f>VLOOKUP($E783,'NI-Ric_SP'!$C:$AN,MID(AE$1,1,2),FALSE)</f>
        <v>0</v>
      </c>
      <c r="AF783" s="55">
        <f>VLOOKUP($E783,'NI-Ric_SP'!$C:$AN,MID(AF$1,1,2),FALSE)</f>
        <v>0</v>
      </c>
      <c r="AG783" s="55">
        <f>VLOOKUP($E783,'NI-Ric_SP'!$C:$AN,MID(AG$1,1,2),FALSE)</f>
        <v>0</v>
      </c>
      <c r="AH783" s="55">
        <f>VLOOKUP($E783,'NI-Ric_SP'!$C:$AN,MID(AH$1,1,2),FALSE)</f>
        <v>0</v>
      </c>
      <c r="AI783" s="55">
        <f>VLOOKUP($E783,'NI-Ric_SP'!$C:$AN,MID(AI$1,1,2),FALSE)</f>
        <v>0</v>
      </c>
      <c r="AJ783" s="55">
        <f>VLOOKUP($E783,'NI-Ric_SP'!$C:$AN,MID(AJ$1,1,2),FALSE)</f>
        <v>0</v>
      </c>
      <c r="AK783" s="55">
        <f>VLOOKUP($E783,'NI-Ric_SP'!$C:$AN,MID(AK$1,1,2),FALSE)</f>
        <v>0</v>
      </c>
      <c r="AL783" s="55">
        <f>VLOOKUP($E783,'NI-Ric_SP'!$C:$AN,MID(AL$1,1,2),FALSE)</f>
        <v>0</v>
      </c>
      <c r="AM783" s="56">
        <f>VLOOKUP($E783,'NI-Ric_SP'!$C:$AN,MID(AM$1,1,2),FALSE)</f>
        <v>0</v>
      </c>
      <c r="AN783" s="30" t="str">
        <f t="shared" si="12"/>
        <v>10105020030010</v>
      </c>
    </row>
    <row r="784" spans="3:40" x14ac:dyDescent="0.25">
      <c r="C784" s="40"/>
      <c r="D784" s="101" t="s">
        <v>306</v>
      </c>
      <c r="E784" s="101" t="s">
        <v>307</v>
      </c>
      <c r="F784" s="102" t="s">
        <v>2750</v>
      </c>
      <c r="G784" s="52"/>
      <c r="H784" s="52"/>
      <c r="I784" s="52"/>
      <c r="J784" s="52"/>
      <c r="K784" s="59" t="s">
        <v>79</v>
      </c>
      <c r="L784" s="52"/>
      <c r="M784" s="52"/>
      <c r="N784" s="52"/>
      <c r="O784" s="52"/>
      <c r="P784" s="76" t="s">
        <v>308</v>
      </c>
      <c r="Q784" s="55">
        <f>VLOOKUP(E784,'NI-Ric_SP'!$C:$AN,12,FALSE)</f>
        <v>0</v>
      </c>
      <c r="R784" s="55">
        <f>VLOOKUP(E784,'NI-Ric_SP'!$C:$AN,13,FALSE)</f>
        <v>0</v>
      </c>
      <c r="S784" s="55"/>
      <c r="T784" s="55"/>
      <c r="U784" s="55">
        <f>VLOOKUP($E784,'NI-Ric_SP'!$C:$AN,MID(U$1,1,2),FALSE)</f>
        <v>0</v>
      </c>
      <c r="V784" s="55">
        <f>VLOOKUP($E784,'NI-Ric_SP'!$C:$AN,MID(V$1,1,2),FALSE)</f>
        <v>0</v>
      </c>
      <c r="W784" s="55">
        <f>VLOOKUP($E784,'NI-Ric_SP'!$C:$AN,MID(W$1,1,2),FALSE)</f>
        <v>0</v>
      </c>
      <c r="X784" s="55">
        <f>VLOOKUP($E784,'NI-Ric_SP'!$C:$AN,MID(X$1,1,2),FALSE)</f>
        <v>0</v>
      </c>
      <c r="Y784" s="55">
        <f>VLOOKUP($E784,'NI-Ric_SP'!$C:$AN,MID(Y$1,1,2),FALSE)</f>
        <v>0</v>
      </c>
      <c r="Z784" s="55">
        <f>VLOOKUP($E784,'NI-Ric_SP'!$C:$AN,MID(Z$1,1,2),FALSE)</f>
        <v>0</v>
      </c>
      <c r="AA784" s="55">
        <f>VLOOKUP($E784,'NI-Ric_SP'!$C:$AN,MID(AA$1,1,2),FALSE)</f>
        <v>0</v>
      </c>
      <c r="AB784" s="55">
        <f>VLOOKUP($E784,'NI-Ric_SP'!$C:$AN,MID(AB$1,1,2),FALSE)</f>
        <v>0</v>
      </c>
      <c r="AC784" s="55">
        <f>VLOOKUP($E784,'NI-Ric_SP'!$C:$AN,MID(AC$1,1,2),FALSE)</f>
        <v>0</v>
      </c>
      <c r="AD784" s="55">
        <f>VLOOKUP($E784,'NI-Ric_SP'!$C:$AN,MID(AD$1,1,2),FALSE)</f>
        <v>0</v>
      </c>
      <c r="AE784" s="55">
        <f>VLOOKUP($E784,'NI-Ric_SP'!$C:$AN,MID(AE$1,1,2),FALSE)</f>
        <v>0</v>
      </c>
      <c r="AF784" s="55">
        <f>VLOOKUP($E784,'NI-Ric_SP'!$C:$AN,MID(AF$1,1,2),FALSE)</f>
        <v>0</v>
      </c>
      <c r="AG784" s="55">
        <f>VLOOKUP($E784,'NI-Ric_SP'!$C:$AN,MID(AG$1,1,2),FALSE)</f>
        <v>0</v>
      </c>
      <c r="AH784" s="55">
        <f>VLOOKUP($E784,'NI-Ric_SP'!$C:$AN,MID(AH$1,1,2),FALSE)</f>
        <v>0</v>
      </c>
      <c r="AI784" s="55">
        <f>VLOOKUP($E784,'NI-Ric_SP'!$C:$AN,MID(AI$1,1,2),FALSE)</f>
        <v>0</v>
      </c>
      <c r="AJ784" s="55">
        <f>VLOOKUP($E784,'NI-Ric_SP'!$C:$AN,MID(AJ$1,1,2),FALSE)</f>
        <v>0</v>
      </c>
      <c r="AK784" s="55">
        <f>VLOOKUP($E784,'NI-Ric_SP'!$C:$AN,MID(AK$1,1,2),FALSE)</f>
        <v>0</v>
      </c>
      <c r="AL784" s="55">
        <f>VLOOKUP($E784,'NI-Ric_SP'!$C:$AN,MID(AL$1,1,2),FALSE)</f>
        <v>0</v>
      </c>
      <c r="AM784" s="56">
        <f>VLOOKUP($E784,'NI-Ric_SP'!$C:$AN,MID(AM$1,1,2),FALSE)</f>
        <v>0</v>
      </c>
      <c r="AN784" s="30" t="str">
        <f t="shared" si="12"/>
        <v>10105020030020</v>
      </c>
    </row>
    <row r="785" spans="3:40" x14ac:dyDescent="0.25">
      <c r="C785" s="40"/>
      <c r="D785" s="101" t="s">
        <v>309</v>
      </c>
      <c r="E785" s="101" t="s">
        <v>310</v>
      </c>
      <c r="F785" s="102" t="s">
        <v>2750</v>
      </c>
      <c r="G785" s="52"/>
      <c r="H785" s="52"/>
      <c r="I785" s="52" t="s">
        <v>311</v>
      </c>
      <c r="J785" s="52" t="s">
        <v>311</v>
      </c>
      <c r="K785" s="59" t="s">
        <v>111</v>
      </c>
      <c r="L785" s="62" t="s">
        <v>260</v>
      </c>
      <c r="M785" s="52"/>
      <c r="N785" s="52"/>
      <c r="O785" s="52"/>
      <c r="P785" s="76" t="s">
        <v>312</v>
      </c>
      <c r="Q785" s="55">
        <f>VLOOKUP(E785,'NI-Ric_SP'!$C:$AN,12,FALSE)</f>
        <v>0</v>
      </c>
      <c r="R785" s="55">
        <f>VLOOKUP(E785,'NI-Ric_SP'!$C:$AN,13,FALSE)</f>
        <v>0</v>
      </c>
      <c r="S785" s="55"/>
      <c r="T785" s="55"/>
      <c r="U785" s="55">
        <f>VLOOKUP($E785,'NI-Ric_SP'!$C:$AN,MID(U$1,1,2),FALSE)</f>
        <v>0</v>
      </c>
      <c r="V785" s="55">
        <f>VLOOKUP($E785,'NI-Ric_SP'!$C:$AN,MID(V$1,1,2),FALSE)</f>
        <v>0</v>
      </c>
      <c r="W785" s="55">
        <f>VLOOKUP($E785,'NI-Ric_SP'!$C:$AN,MID(W$1,1,2),FALSE)</f>
        <v>0</v>
      </c>
      <c r="X785" s="55">
        <f>VLOOKUP($E785,'NI-Ric_SP'!$C:$AN,MID(X$1,1,2),FALSE)</f>
        <v>0</v>
      </c>
      <c r="Y785" s="55">
        <f>VLOOKUP($E785,'NI-Ric_SP'!$C:$AN,MID(Y$1,1,2),FALSE)</f>
        <v>0</v>
      </c>
      <c r="Z785" s="55">
        <f>VLOOKUP($E785,'NI-Ric_SP'!$C:$AN,MID(Z$1,1,2),FALSE)</f>
        <v>0</v>
      </c>
      <c r="AA785" s="55">
        <f>VLOOKUP($E785,'NI-Ric_SP'!$C:$AN,MID(AA$1,1,2),FALSE)</f>
        <v>0</v>
      </c>
      <c r="AB785" s="55">
        <f>VLOOKUP($E785,'NI-Ric_SP'!$C:$AN,MID(AB$1,1,2),FALSE)</f>
        <v>0</v>
      </c>
      <c r="AC785" s="55">
        <f>VLOOKUP($E785,'NI-Ric_SP'!$C:$AN,MID(AC$1,1,2),FALSE)</f>
        <v>0</v>
      </c>
      <c r="AD785" s="55">
        <f>VLOOKUP($E785,'NI-Ric_SP'!$C:$AN,MID(AD$1,1,2),FALSE)</f>
        <v>0</v>
      </c>
      <c r="AE785" s="55">
        <f>VLOOKUP($E785,'NI-Ric_SP'!$C:$AN,MID(AE$1,1,2),FALSE)</f>
        <v>0</v>
      </c>
      <c r="AF785" s="55">
        <f>VLOOKUP($E785,'NI-Ric_SP'!$C:$AN,MID(AF$1,1,2),FALSE)</f>
        <v>0</v>
      </c>
      <c r="AG785" s="55">
        <f>VLOOKUP($E785,'NI-Ric_SP'!$C:$AN,MID(AG$1,1,2),FALSE)</f>
        <v>0</v>
      </c>
      <c r="AH785" s="55">
        <f>VLOOKUP($E785,'NI-Ric_SP'!$C:$AN,MID(AH$1,1,2),FALSE)</f>
        <v>0</v>
      </c>
      <c r="AI785" s="55">
        <f>VLOOKUP($E785,'NI-Ric_SP'!$C:$AN,MID(AI$1,1,2),FALSE)</f>
        <v>0</v>
      </c>
      <c r="AJ785" s="55">
        <f>VLOOKUP($E785,'NI-Ric_SP'!$C:$AN,MID(AJ$1,1,2),FALSE)</f>
        <v>0</v>
      </c>
      <c r="AK785" s="55">
        <f>VLOOKUP($E785,'NI-Ric_SP'!$C:$AN,MID(AK$1,1,2),FALSE)</f>
        <v>0</v>
      </c>
      <c r="AL785" s="55">
        <f>VLOOKUP($E785,'NI-Ric_SP'!$C:$AN,MID(AL$1,1,2),FALSE)</f>
        <v>0</v>
      </c>
      <c r="AM785" s="56">
        <f>VLOOKUP($E785,'NI-Ric_SP'!$C:$AN,MID(AM$1,1,2),FALSE)</f>
        <v>0</v>
      </c>
      <c r="AN785" s="30" t="str">
        <f t="shared" si="12"/>
        <v>10105030000000</v>
      </c>
    </row>
    <row r="786" spans="3:40" x14ac:dyDescent="0.25">
      <c r="C786" s="40"/>
      <c r="D786" s="101" t="s">
        <v>313</v>
      </c>
      <c r="E786" s="101" t="s">
        <v>314</v>
      </c>
      <c r="F786" s="102" t="s">
        <v>2750</v>
      </c>
      <c r="G786" s="52"/>
      <c r="H786" s="52"/>
      <c r="I786" s="52"/>
      <c r="J786" s="52"/>
      <c r="K786" s="59" t="s">
        <v>79</v>
      </c>
      <c r="L786" s="52"/>
      <c r="M786" s="52"/>
      <c r="N786" s="52"/>
      <c r="O786" s="52"/>
      <c r="P786" s="76" t="s">
        <v>315</v>
      </c>
      <c r="Q786" s="55">
        <f>VLOOKUP(E786,'NI-Ric_SP'!$C:$AN,12,FALSE)</f>
        <v>0</v>
      </c>
      <c r="R786" s="55">
        <f>VLOOKUP(E786,'NI-Ric_SP'!$C:$AN,13,FALSE)</f>
        <v>0</v>
      </c>
      <c r="S786" s="55"/>
      <c r="T786" s="55"/>
      <c r="U786" s="55">
        <f>VLOOKUP($E786,'NI-Ric_SP'!$C:$AN,MID(U$1,1,2),FALSE)</f>
        <v>0</v>
      </c>
      <c r="V786" s="55">
        <f>VLOOKUP($E786,'NI-Ric_SP'!$C:$AN,MID(V$1,1,2),FALSE)</f>
        <v>0</v>
      </c>
      <c r="W786" s="55">
        <f>VLOOKUP($E786,'NI-Ric_SP'!$C:$AN,MID(W$1,1,2),FALSE)</f>
        <v>0</v>
      </c>
      <c r="X786" s="55">
        <f>VLOOKUP($E786,'NI-Ric_SP'!$C:$AN,MID(X$1,1,2),FALSE)</f>
        <v>0</v>
      </c>
      <c r="Y786" s="55">
        <f>VLOOKUP($E786,'NI-Ric_SP'!$C:$AN,MID(Y$1,1,2),FALSE)</f>
        <v>0</v>
      </c>
      <c r="Z786" s="55">
        <f>VLOOKUP($E786,'NI-Ric_SP'!$C:$AN,MID(Z$1,1,2),FALSE)</f>
        <v>0</v>
      </c>
      <c r="AA786" s="55">
        <f>VLOOKUP($E786,'NI-Ric_SP'!$C:$AN,MID(AA$1,1,2),FALSE)</f>
        <v>0</v>
      </c>
      <c r="AB786" s="55">
        <f>VLOOKUP($E786,'NI-Ric_SP'!$C:$AN,MID(AB$1,1,2),FALSE)</f>
        <v>0</v>
      </c>
      <c r="AC786" s="55">
        <f>VLOOKUP($E786,'NI-Ric_SP'!$C:$AN,MID(AC$1,1,2),FALSE)</f>
        <v>0</v>
      </c>
      <c r="AD786" s="55">
        <f>VLOOKUP($E786,'NI-Ric_SP'!$C:$AN,MID(AD$1,1,2),FALSE)</f>
        <v>0</v>
      </c>
      <c r="AE786" s="55">
        <f>VLOOKUP($E786,'NI-Ric_SP'!$C:$AN,MID(AE$1,1,2),FALSE)</f>
        <v>0</v>
      </c>
      <c r="AF786" s="55">
        <f>VLOOKUP($E786,'NI-Ric_SP'!$C:$AN,MID(AF$1,1,2),FALSE)</f>
        <v>0</v>
      </c>
      <c r="AG786" s="55">
        <f>VLOOKUP($E786,'NI-Ric_SP'!$C:$AN,MID(AG$1,1,2),FALSE)</f>
        <v>0</v>
      </c>
      <c r="AH786" s="55">
        <f>VLOOKUP($E786,'NI-Ric_SP'!$C:$AN,MID(AH$1,1,2),FALSE)</f>
        <v>0</v>
      </c>
      <c r="AI786" s="55">
        <f>VLOOKUP($E786,'NI-Ric_SP'!$C:$AN,MID(AI$1,1,2),FALSE)</f>
        <v>0</v>
      </c>
      <c r="AJ786" s="55">
        <f>VLOOKUP($E786,'NI-Ric_SP'!$C:$AN,MID(AJ$1,1,2),FALSE)</f>
        <v>0</v>
      </c>
      <c r="AK786" s="55">
        <f>VLOOKUP($E786,'NI-Ric_SP'!$C:$AN,MID(AK$1,1,2),FALSE)</f>
        <v>0</v>
      </c>
      <c r="AL786" s="55">
        <f>VLOOKUP($E786,'NI-Ric_SP'!$C:$AN,MID(AL$1,1,2),FALSE)</f>
        <v>0</v>
      </c>
      <c r="AM786" s="56">
        <f>VLOOKUP($E786,'NI-Ric_SP'!$C:$AN,MID(AM$1,1,2),FALSE)</f>
        <v>0</v>
      </c>
      <c r="AN786" s="30" t="str">
        <f t="shared" si="12"/>
        <v>10105030010000</v>
      </c>
    </row>
    <row r="787" spans="3:40" x14ac:dyDescent="0.25">
      <c r="C787" s="40"/>
      <c r="D787" s="101" t="s">
        <v>316</v>
      </c>
      <c r="E787" s="101" t="s">
        <v>317</v>
      </c>
      <c r="F787" s="102" t="s">
        <v>2750</v>
      </c>
      <c r="G787" s="52"/>
      <c r="H787" s="52"/>
      <c r="I787" s="52"/>
      <c r="J787" s="52"/>
      <c r="K787" s="59" t="s">
        <v>79</v>
      </c>
      <c r="L787" s="52"/>
      <c r="M787" s="52"/>
      <c r="N787" s="52"/>
      <c r="O787" s="52"/>
      <c r="P787" s="76" t="s">
        <v>318</v>
      </c>
      <c r="Q787" s="55">
        <f>VLOOKUP(E787,'NI-Ric_SP'!$C:$AN,12,FALSE)</f>
        <v>0</v>
      </c>
      <c r="R787" s="55">
        <f>VLOOKUP(E787,'NI-Ric_SP'!$C:$AN,13,FALSE)</f>
        <v>0</v>
      </c>
      <c r="S787" s="55"/>
      <c r="T787" s="55"/>
      <c r="U787" s="55">
        <f>VLOOKUP($E787,'NI-Ric_SP'!$C:$AN,MID(U$1,1,2),FALSE)</f>
        <v>0</v>
      </c>
      <c r="V787" s="55">
        <f>VLOOKUP($E787,'NI-Ric_SP'!$C:$AN,MID(V$1,1,2),FALSE)</f>
        <v>0</v>
      </c>
      <c r="W787" s="55">
        <f>VLOOKUP($E787,'NI-Ric_SP'!$C:$AN,MID(W$1,1,2),FALSE)</f>
        <v>0</v>
      </c>
      <c r="X787" s="55">
        <f>VLOOKUP($E787,'NI-Ric_SP'!$C:$AN,MID(X$1,1,2),FALSE)</f>
        <v>0</v>
      </c>
      <c r="Y787" s="55">
        <f>VLOOKUP($E787,'NI-Ric_SP'!$C:$AN,MID(Y$1,1,2),FALSE)</f>
        <v>0</v>
      </c>
      <c r="Z787" s="55">
        <f>VLOOKUP($E787,'NI-Ric_SP'!$C:$AN,MID(Z$1,1,2),FALSE)</f>
        <v>0</v>
      </c>
      <c r="AA787" s="55">
        <f>VLOOKUP($E787,'NI-Ric_SP'!$C:$AN,MID(AA$1,1,2),FALSE)</f>
        <v>0</v>
      </c>
      <c r="AB787" s="55">
        <f>VLOOKUP($E787,'NI-Ric_SP'!$C:$AN,MID(AB$1,1,2),FALSE)</f>
        <v>0</v>
      </c>
      <c r="AC787" s="55">
        <f>VLOOKUP($E787,'NI-Ric_SP'!$C:$AN,MID(AC$1,1,2),FALSE)</f>
        <v>0</v>
      </c>
      <c r="AD787" s="55">
        <f>VLOOKUP($E787,'NI-Ric_SP'!$C:$AN,MID(AD$1,1,2),FALSE)</f>
        <v>0</v>
      </c>
      <c r="AE787" s="55">
        <f>VLOOKUP($E787,'NI-Ric_SP'!$C:$AN,MID(AE$1,1,2),FALSE)</f>
        <v>0</v>
      </c>
      <c r="AF787" s="55">
        <f>VLOOKUP($E787,'NI-Ric_SP'!$C:$AN,MID(AF$1,1,2),FALSE)</f>
        <v>0</v>
      </c>
      <c r="AG787" s="55">
        <f>VLOOKUP($E787,'NI-Ric_SP'!$C:$AN,MID(AG$1,1,2),FALSE)</f>
        <v>0</v>
      </c>
      <c r="AH787" s="55">
        <f>VLOOKUP($E787,'NI-Ric_SP'!$C:$AN,MID(AH$1,1,2),FALSE)</f>
        <v>0</v>
      </c>
      <c r="AI787" s="55">
        <f>VLOOKUP($E787,'NI-Ric_SP'!$C:$AN,MID(AI$1,1,2),FALSE)</f>
        <v>0</v>
      </c>
      <c r="AJ787" s="55">
        <f>VLOOKUP($E787,'NI-Ric_SP'!$C:$AN,MID(AJ$1,1,2),FALSE)</f>
        <v>0</v>
      </c>
      <c r="AK787" s="55">
        <f>VLOOKUP($E787,'NI-Ric_SP'!$C:$AN,MID(AK$1,1,2),FALSE)</f>
        <v>0</v>
      </c>
      <c r="AL787" s="55">
        <f>VLOOKUP($E787,'NI-Ric_SP'!$C:$AN,MID(AL$1,1,2),FALSE)</f>
        <v>0</v>
      </c>
      <c r="AM787" s="56">
        <f>VLOOKUP($E787,'NI-Ric_SP'!$C:$AN,MID(AM$1,1,2),FALSE)</f>
        <v>0</v>
      </c>
      <c r="AN787" s="30" t="str">
        <f t="shared" si="12"/>
        <v>10105030020000</v>
      </c>
    </row>
    <row r="788" spans="3:40" x14ac:dyDescent="0.25">
      <c r="C788" s="40"/>
      <c r="D788" s="101" t="s">
        <v>319</v>
      </c>
      <c r="E788" s="101" t="s">
        <v>320</v>
      </c>
      <c r="F788" s="102" t="s">
        <v>2750</v>
      </c>
      <c r="G788" s="52"/>
      <c r="H788" s="52"/>
      <c r="I788" s="52" t="s">
        <v>321</v>
      </c>
      <c r="J788" s="52" t="s">
        <v>321</v>
      </c>
      <c r="K788" s="59" t="s">
        <v>111</v>
      </c>
      <c r="L788" s="62" t="s">
        <v>289</v>
      </c>
      <c r="M788" s="52"/>
      <c r="N788" s="52"/>
      <c r="O788" s="52"/>
      <c r="P788" s="76" t="s">
        <v>322</v>
      </c>
      <c r="Q788" s="55">
        <f>VLOOKUP(E788,'NI-Ric_SP'!$C:$AN,12,FALSE)</f>
        <v>0</v>
      </c>
      <c r="R788" s="55">
        <f>VLOOKUP(E788,'NI-Ric_SP'!$C:$AN,13,FALSE)</f>
        <v>0</v>
      </c>
      <c r="S788" s="55"/>
      <c r="T788" s="55"/>
      <c r="U788" s="55">
        <f>VLOOKUP($E788,'NI-Ric_SP'!$C:$AN,MID(U$1,1,2),FALSE)</f>
        <v>0</v>
      </c>
      <c r="V788" s="55">
        <f>VLOOKUP($E788,'NI-Ric_SP'!$C:$AN,MID(V$1,1,2),FALSE)</f>
        <v>0</v>
      </c>
      <c r="W788" s="55">
        <f>VLOOKUP($E788,'NI-Ric_SP'!$C:$AN,MID(W$1,1,2),FALSE)</f>
        <v>0</v>
      </c>
      <c r="X788" s="55">
        <f>VLOOKUP($E788,'NI-Ric_SP'!$C:$AN,MID(X$1,1,2),FALSE)</f>
        <v>0</v>
      </c>
      <c r="Y788" s="55">
        <f>VLOOKUP($E788,'NI-Ric_SP'!$C:$AN,MID(Y$1,1,2),FALSE)</f>
        <v>0</v>
      </c>
      <c r="Z788" s="55">
        <f>VLOOKUP($E788,'NI-Ric_SP'!$C:$AN,MID(Z$1,1,2),FALSE)</f>
        <v>0</v>
      </c>
      <c r="AA788" s="55">
        <f>VLOOKUP($E788,'NI-Ric_SP'!$C:$AN,MID(AA$1,1,2),FALSE)</f>
        <v>0</v>
      </c>
      <c r="AB788" s="55">
        <f>VLOOKUP($E788,'NI-Ric_SP'!$C:$AN,MID(AB$1,1,2),FALSE)</f>
        <v>0</v>
      </c>
      <c r="AC788" s="55">
        <f>VLOOKUP($E788,'NI-Ric_SP'!$C:$AN,MID(AC$1,1,2),FALSE)</f>
        <v>0</v>
      </c>
      <c r="AD788" s="55">
        <f>VLOOKUP($E788,'NI-Ric_SP'!$C:$AN,MID(AD$1,1,2),FALSE)</f>
        <v>0</v>
      </c>
      <c r="AE788" s="55">
        <f>VLOOKUP($E788,'NI-Ric_SP'!$C:$AN,MID(AE$1,1,2),FALSE)</f>
        <v>0</v>
      </c>
      <c r="AF788" s="55">
        <f>VLOOKUP($E788,'NI-Ric_SP'!$C:$AN,MID(AF$1,1,2),FALSE)</f>
        <v>0</v>
      </c>
      <c r="AG788" s="55">
        <f>VLOOKUP($E788,'NI-Ric_SP'!$C:$AN,MID(AG$1,1,2),FALSE)</f>
        <v>0</v>
      </c>
      <c r="AH788" s="55">
        <f>VLOOKUP($E788,'NI-Ric_SP'!$C:$AN,MID(AH$1,1,2),FALSE)</f>
        <v>0</v>
      </c>
      <c r="AI788" s="55">
        <f>VLOOKUP($E788,'NI-Ric_SP'!$C:$AN,MID(AI$1,1,2),FALSE)</f>
        <v>0</v>
      </c>
      <c r="AJ788" s="55">
        <f>VLOOKUP($E788,'NI-Ric_SP'!$C:$AN,MID(AJ$1,1,2),FALSE)</f>
        <v>0</v>
      </c>
      <c r="AK788" s="55">
        <f>VLOOKUP($E788,'NI-Ric_SP'!$C:$AN,MID(AK$1,1,2),FALSE)</f>
        <v>0</v>
      </c>
      <c r="AL788" s="55">
        <f>VLOOKUP($E788,'NI-Ric_SP'!$C:$AN,MID(AL$1,1,2),FALSE)</f>
        <v>0</v>
      </c>
      <c r="AM788" s="56">
        <f>VLOOKUP($E788,'NI-Ric_SP'!$C:$AN,MID(AM$1,1,2),FALSE)</f>
        <v>0</v>
      </c>
      <c r="AN788" s="30" t="str">
        <f t="shared" si="12"/>
        <v>10105040000000</v>
      </c>
    </row>
    <row r="789" spans="3:40" x14ac:dyDescent="0.25">
      <c r="C789" s="40"/>
      <c r="D789" s="101" t="s">
        <v>323</v>
      </c>
      <c r="E789" s="101" t="s">
        <v>324</v>
      </c>
      <c r="F789" s="102" t="s">
        <v>2750</v>
      </c>
      <c r="G789" s="52"/>
      <c r="H789" s="52"/>
      <c r="I789" s="52"/>
      <c r="J789" s="52"/>
      <c r="K789" s="59" t="s">
        <v>79</v>
      </c>
      <c r="L789" s="52"/>
      <c r="M789" s="52"/>
      <c r="N789" s="52"/>
      <c r="O789" s="52"/>
      <c r="P789" s="76" t="s">
        <v>325</v>
      </c>
      <c r="Q789" s="55">
        <f>VLOOKUP(E789,'NI-Ric_SP'!$C:$AN,12,FALSE)</f>
        <v>0</v>
      </c>
      <c r="R789" s="55">
        <f>VLOOKUP(E789,'NI-Ric_SP'!$C:$AN,13,FALSE)</f>
        <v>0</v>
      </c>
      <c r="S789" s="55"/>
      <c r="T789" s="55"/>
      <c r="U789" s="55">
        <f>VLOOKUP($E789,'NI-Ric_SP'!$C:$AN,MID(U$1,1,2),FALSE)</f>
        <v>0</v>
      </c>
      <c r="V789" s="55">
        <f>VLOOKUP($E789,'NI-Ric_SP'!$C:$AN,MID(V$1,1,2),FALSE)</f>
        <v>0</v>
      </c>
      <c r="W789" s="55">
        <f>VLOOKUP($E789,'NI-Ric_SP'!$C:$AN,MID(W$1,1,2),FALSE)</f>
        <v>0</v>
      </c>
      <c r="X789" s="55">
        <f>VLOOKUP($E789,'NI-Ric_SP'!$C:$AN,MID(X$1,1,2),FALSE)</f>
        <v>0</v>
      </c>
      <c r="Y789" s="55">
        <f>VLOOKUP($E789,'NI-Ric_SP'!$C:$AN,MID(Y$1,1,2),FALSE)</f>
        <v>0</v>
      </c>
      <c r="Z789" s="55">
        <f>VLOOKUP($E789,'NI-Ric_SP'!$C:$AN,MID(Z$1,1,2),FALSE)</f>
        <v>0</v>
      </c>
      <c r="AA789" s="55">
        <f>VLOOKUP($E789,'NI-Ric_SP'!$C:$AN,MID(AA$1,1,2),FALSE)</f>
        <v>0</v>
      </c>
      <c r="AB789" s="55">
        <f>VLOOKUP($E789,'NI-Ric_SP'!$C:$AN,MID(AB$1,1,2),FALSE)</f>
        <v>0</v>
      </c>
      <c r="AC789" s="55">
        <f>VLOOKUP($E789,'NI-Ric_SP'!$C:$AN,MID(AC$1,1,2),FALSE)</f>
        <v>0</v>
      </c>
      <c r="AD789" s="55">
        <f>VLOOKUP($E789,'NI-Ric_SP'!$C:$AN,MID(AD$1,1,2),FALSE)</f>
        <v>0</v>
      </c>
      <c r="AE789" s="55">
        <f>VLOOKUP($E789,'NI-Ric_SP'!$C:$AN,MID(AE$1,1,2),FALSE)</f>
        <v>0</v>
      </c>
      <c r="AF789" s="55">
        <f>VLOOKUP($E789,'NI-Ric_SP'!$C:$AN,MID(AF$1,1,2),FALSE)</f>
        <v>0</v>
      </c>
      <c r="AG789" s="55">
        <f>VLOOKUP($E789,'NI-Ric_SP'!$C:$AN,MID(AG$1,1,2),FALSE)</f>
        <v>0</v>
      </c>
      <c r="AH789" s="55">
        <f>VLOOKUP($E789,'NI-Ric_SP'!$C:$AN,MID(AH$1,1,2),FALSE)</f>
        <v>0</v>
      </c>
      <c r="AI789" s="55">
        <f>VLOOKUP($E789,'NI-Ric_SP'!$C:$AN,MID(AI$1,1,2),FALSE)</f>
        <v>0</v>
      </c>
      <c r="AJ789" s="55">
        <f>VLOOKUP($E789,'NI-Ric_SP'!$C:$AN,MID(AJ$1,1,2),FALSE)</f>
        <v>0</v>
      </c>
      <c r="AK789" s="55">
        <f>VLOOKUP($E789,'NI-Ric_SP'!$C:$AN,MID(AK$1,1,2),FALSE)</f>
        <v>0</v>
      </c>
      <c r="AL789" s="55">
        <f>VLOOKUP($E789,'NI-Ric_SP'!$C:$AN,MID(AL$1,1,2),FALSE)</f>
        <v>0</v>
      </c>
      <c r="AM789" s="56">
        <f>VLOOKUP($E789,'NI-Ric_SP'!$C:$AN,MID(AM$1,1,2),FALSE)</f>
        <v>0</v>
      </c>
      <c r="AN789" s="30" t="str">
        <f t="shared" si="12"/>
        <v>10105040010000</v>
      </c>
    </row>
    <row r="790" spans="3:40" x14ac:dyDescent="0.25">
      <c r="C790" s="40"/>
      <c r="D790" s="101" t="s">
        <v>326</v>
      </c>
      <c r="E790" s="101" t="s">
        <v>327</v>
      </c>
      <c r="F790" s="102" t="s">
        <v>2750</v>
      </c>
      <c r="G790" s="52"/>
      <c r="H790" s="52"/>
      <c r="I790" s="52"/>
      <c r="J790" s="52"/>
      <c r="K790" s="59" t="s">
        <v>79</v>
      </c>
      <c r="L790" s="52"/>
      <c r="M790" s="52"/>
      <c r="N790" s="52"/>
      <c r="O790" s="52"/>
      <c r="P790" s="76" t="s">
        <v>328</v>
      </c>
      <c r="Q790" s="55">
        <f>VLOOKUP(E790,'NI-Ric_SP'!$C:$AN,12,FALSE)</f>
        <v>0</v>
      </c>
      <c r="R790" s="55">
        <f>VLOOKUP(E790,'NI-Ric_SP'!$C:$AN,13,FALSE)</f>
        <v>0</v>
      </c>
      <c r="S790" s="55"/>
      <c r="T790" s="55"/>
      <c r="U790" s="55">
        <f>VLOOKUP($E790,'NI-Ric_SP'!$C:$AN,MID(U$1,1,2),FALSE)</f>
        <v>0</v>
      </c>
      <c r="V790" s="55">
        <f>VLOOKUP($E790,'NI-Ric_SP'!$C:$AN,MID(V$1,1,2),FALSE)</f>
        <v>0</v>
      </c>
      <c r="W790" s="55">
        <f>VLOOKUP($E790,'NI-Ric_SP'!$C:$AN,MID(W$1,1,2),FALSE)</f>
        <v>0</v>
      </c>
      <c r="X790" s="55">
        <f>VLOOKUP($E790,'NI-Ric_SP'!$C:$AN,MID(X$1,1,2),FALSE)</f>
        <v>0</v>
      </c>
      <c r="Y790" s="55">
        <f>VLOOKUP($E790,'NI-Ric_SP'!$C:$AN,MID(Y$1,1,2),FALSE)</f>
        <v>0</v>
      </c>
      <c r="Z790" s="55">
        <f>VLOOKUP($E790,'NI-Ric_SP'!$C:$AN,MID(Z$1,1,2),FALSE)</f>
        <v>0</v>
      </c>
      <c r="AA790" s="55">
        <f>VLOOKUP($E790,'NI-Ric_SP'!$C:$AN,MID(AA$1,1,2),FALSE)</f>
        <v>0</v>
      </c>
      <c r="AB790" s="55">
        <f>VLOOKUP($E790,'NI-Ric_SP'!$C:$AN,MID(AB$1,1,2),FALSE)</f>
        <v>0</v>
      </c>
      <c r="AC790" s="55">
        <f>VLOOKUP($E790,'NI-Ric_SP'!$C:$AN,MID(AC$1,1,2),FALSE)</f>
        <v>0</v>
      </c>
      <c r="AD790" s="55">
        <f>VLOOKUP($E790,'NI-Ric_SP'!$C:$AN,MID(AD$1,1,2),FALSE)</f>
        <v>0</v>
      </c>
      <c r="AE790" s="55">
        <f>VLOOKUP($E790,'NI-Ric_SP'!$C:$AN,MID(AE$1,1,2),FALSE)</f>
        <v>0</v>
      </c>
      <c r="AF790" s="55">
        <f>VLOOKUP($E790,'NI-Ric_SP'!$C:$AN,MID(AF$1,1,2),FALSE)</f>
        <v>0</v>
      </c>
      <c r="AG790" s="55">
        <f>VLOOKUP($E790,'NI-Ric_SP'!$C:$AN,MID(AG$1,1,2),FALSE)</f>
        <v>0</v>
      </c>
      <c r="AH790" s="55">
        <f>VLOOKUP($E790,'NI-Ric_SP'!$C:$AN,MID(AH$1,1,2),FALSE)</f>
        <v>0</v>
      </c>
      <c r="AI790" s="55">
        <f>VLOOKUP($E790,'NI-Ric_SP'!$C:$AN,MID(AI$1,1,2),FALSE)</f>
        <v>0</v>
      </c>
      <c r="AJ790" s="55">
        <f>VLOOKUP($E790,'NI-Ric_SP'!$C:$AN,MID(AJ$1,1,2),FALSE)</f>
        <v>0</v>
      </c>
      <c r="AK790" s="55">
        <f>VLOOKUP($E790,'NI-Ric_SP'!$C:$AN,MID(AK$1,1,2),FALSE)</f>
        <v>0</v>
      </c>
      <c r="AL790" s="55">
        <f>VLOOKUP($E790,'NI-Ric_SP'!$C:$AN,MID(AL$1,1,2),FALSE)</f>
        <v>0</v>
      </c>
      <c r="AM790" s="56">
        <f>VLOOKUP($E790,'NI-Ric_SP'!$C:$AN,MID(AM$1,1,2),FALSE)</f>
        <v>0</v>
      </c>
      <c r="AN790" s="30" t="str">
        <f t="shared" si="12"/>
        <v>10105040020000</v>
      </c>
    </row>
    <row r="791" spans="3:40" x14ac:dyDescent="0.25">
      <c r="C791" s="40"/>
      <c r="D791" s="101" t="s">
        <v>329</v>
      </c>
      <c r="E791" s="101" t="s">
        <v>330</v>
      </c>
      <c r="F791" s="102" t="s">
        <v>2750</v>
      </c>
      <c r="G791" s="52"/>
      <c r="H791" s="52"/>
      <c r="I791" s="52" t="s">
        <v>331</v>
      </c>
      <c r="J791" s="52" t="s">
        <v>331</v>
      </c>
      <c r="K791" s="59" t="s">
        <v>111</v>
      </c>
      <c r="L791" s="62" t="s">
        <v>260</v>
      </c>
      <c r="M791" s="52"/>
      <c r="N791" s="52"/>
      <c r="O791" s="52"/>
      <c r="P791" s="76" t="s">
        <v>332</v>
      </c>
      <c r="Q791" s="55">
        <f>VLOOKUP(E791,'NI-Ric_SP'!$C:$AN,12,FALSE)</f>
        <v>0</v>
      </c>
      <c r="R791" s="55">
        <f>VLOOKUP(E791,'NI-Ric_SP'!$C:$AN,13,FALSE)</f>
        <v>0</v>
      </c>
      <c r="S791" s="55"/>
      <c r="T791" s="55"/>
      <c r="U791" s="55">
        <f>VLOOKUP($E791,'NI-Ric_SP'!$C:$AN,MID(U$1,1,2),FALSE)</f>
        <v>0</v>
      </c>
      <c r="V791" s="55">
        <f>VLOOKUP($E791,'NI-Ric_SP'!$C:$AN,MID(V$1,1,2),FALSE)</f>
        <v>0</v>
      </c>
      <c r="W791" s="55">
        <f>VLOOKUP($E791,'NI-Ric_SP'!$C:$AN,MID(W$1,1,2),FALSE)</f>
        <v>0</v>
      </c>
      <c r="X791" s="55">
        <f>VLOOKUP($E791,'NI-Ric_SP'!$C:$AN,MID(X$1,1,2),FALSE)</f>
        <v>0</v>
      </c>
      <c r="Y791" s="55">
        <f>VLOOKUP($E791,'NI-Ric_SP'!$C:$AN,MID(Y$1,1,2),FALSE)</f>
        <v>0</v>
      </c>
      <c r="Z791" s="55">
        <f>VLOOKUP($E791,'NI-Ric_SP'!$C:$AN,MID(Z$1,1,2),FALSE)</f>
        <v>0</v>
      </c>
      <c r="AA791" s="55">
        <f>VLOOKUP($E791,'NI-Ric_SP'!$C:$AN,MID(AA$1,1,2),FALSE)</f>
        <v>0</v>
      </c>
      <c r="AB791" s="55">
        <f>VLOOKUP($E791,'NI-Ric_SP'!$C:$AN,MID(AB$1,1,2),FALSE)</f>
        <v>0</v>
      </c>
      <c r="AC791" s="55">
        <f>VLOOKUP($E791,'NI-Ric_SP'!$C:$AN,MID(AC$1,1,2),FALSE)</f>
        <v>0</v>
      </c>
      <c r="AD791" s="55">
        <f>VLOOKUP($E791,'NI-Ric_SP'!$C:$AN,MID(AD$1,1,2),FALSE)</f>
        <v>0</v>
      </c>
      <c r="AE791" s="55">
        <f>VLOOKUP($E791,'NI-Ric_SP'!$C:$AN,MID(AE$1,1,2),FALSE)</f>
        <v>0</v>
      </c>
      <c r="AF791" s="55">
        <f>VLOOKUP($E791,'NI-Ric_SP'!$C:$AN,MID(AF$1,1,2),FALSE)</f>
        <v>0</v>
      </c>
      <c r="AG791" s="55">
        <f>VLOOKUP($E791,'NI-Ric_SP'!$C:$AN,MID(AG$1,1,2),FALSE)</f>
        <v>0</v>
      </c>
      <c r="AH791" s="55">
        <f>VLOOKUP($E791,'NI-Ric_SP'!$C:$AN,MID(AH$1,1,2),FALSE)</f>
        <v>0</v>
      </c>
      <c r="AI791" s="55">
        <f>VLOOKUP($E791,'NI-Ric_SP'!$C:$AN,MID(AI$1,1,2),FALSE)</f>
        <v>0</v>
      </c>
      <c r="AJ791" s="55">
        <f>VLOOKUP($E791,'NI-Ric_SP'!$C:$AN,MID(AJ$1,1,2),FALSE)</f>
        <v>0</v>
      </c>
      <c r="AK791" s="55">
        <f>VLOOKUP($E791,'NI-Ric_SP'!$C:$AN,MID(AK$1,1,2),FALSE)</f>
        <v>0</v>
      </c>
      <c r="AL791" s="55">
        <f>VLOOKUP($E791,'NI-Ric_SP'!$C:$AN,MID(AL$1,1,2),FALSE)</f>
        <v>0</v>
      </c>
      <c r="AM791" s="56">
        <f>VLOOKUP($E791,'NI-Ric_SP'!$C:$AN,MID(AM$1,1,2),FALSE)</f>
        <v>0</v>
      </c>
      <c r="AN791" s="30" t="str">
        <f t="shared" si="12"/>
        <v>10105050000000</v>
      </c>
    </row>
    <row r="792" spans="3:40" x14ac:dyDescent="0.25">
      <c r="C792" s="40"/>
      <c r="D792" s="101" t="s">
        <v>333</v>
      </c>
      <c r="E792" s="101" t="s">
        <v>334</v>
      </c>
      <c r="F792" s="102" t="s">
        <v>2750</v>
      </c>
      <c r="G792" s="52"/>
      <c r="H792" s="52"/>
      <c r="I792" s="52"/>
      <c r="J792" s="52"/>
      <c r="K792" s="59" t="s">
        <v>79</v>
      </c>
      <c r="L792" s="52"/>
      <c r="M792" s="52"/>
      <c r="N792" s="52"/>
      <c r="O792" s="52"/>
      <c r="P792" s="76" t="s">
        <v>335</v>
      </c>
      <c r="Q792" s="55">
        <f>VLOOKUP(E792,'NI-Ric_SP'!$C:$AN,12,FALSE)</f>
        <v>0</v>
      </c>
      <c r="R792" s="55">
        <f>VLOOKUP(E792,'NI-Ric_SP'!$C:$AN,13,FALSE)</f>
        <v>0</v>
      </c>
      <c r="S792" s="55"/>
      <c r="T792" s="55"/>
      <c r="U792" s="55">
        <f>VLOOKUP($E792,'NI-Ric_SP'!$C:$AN,MID(U$1,1,2),FALSE)</f>
        <v>0</v>
      </c>
      <c r="V792" s="55">
        <f>VLOOKUP($E792,'NI-Ric_SP'!$C:$AN,MID(V$1,1,2),FALSE)</f>
        <v>0</v>
      </c>
      <c r="W792" s="55">
        <f>VLOOKUP($E792,'NI-Ric_SP'!$C:$AN,MID(W$1,1,2),FALSE)</f>
        <v>0</v>
      </c>
      <c r="X792" s="55">
        <f>VLOOKUP($E792,'NI-Ric_SP'!$C:$AN,MID(X$1,1,2),FALSE)</f>
        <v>0</v>
      </c>
      <c r="Y792" s="55">
        <f>VLOOKUP($E792,'NI-Ric_SP'!$C:$AN,MID(Y$1,1,2),FALSE)</f>
        <v>0</v>
      </c>
      <c r="Z792" s="55">
        <f>VLOOKUP($E792,'NI-Ric_SP'!$C:$AN,MID(Z$1,1,2),FALSE)</f>
        <v>0</v>
      </c>
      <c r="AA792" s="55">
        <f>VLOOKUP($E792,'NI-Ric_SP'!$C:$AN,MID(AA$1,1,2),FALSE)</f>
        <v>0</v>
      </c>
      <c r="AB792" s="55">
        <f>VLOOKUP($E792,'NI-Ric_SP'!$C:$AN,MID(AB$1,1,2),FALSE)</f>
        <v>0</v>
      </c>
      <c r="AC792" s="55">
        <f>VLOOKUP($E792,'NI-Ric_SP'!$C:$AN,MID(AC$1,1,2),FALSE)</f>
        <v>0</v>
      </c>
      <c r="AD792" s="55">
        <f>VLOOKUP($E792,'NI-Ric_SP'!$C:$AN,MID(AD$1,1,2),FALSE)</f>
        <v>0</v>
      </c>
      <c r="AE792" s="55">
        <f>VLOOKUP($E792,'NI-Ric_SP'!$C:$AN,MID(AE$1,1,2),FALSE)</f>
        <v>0</v>
      </c>
      <c r="AF792" s="55">
        <f>VLOOKUP($E792,'NI-Ric_SP'!$C:$AN,MID(AF$1,1,2),FALSE)</f>
        <v>0</v>
      </c>
      <c r="AG792" s="55">
        <f>VLOOKUP($E792,'NI-Ric_SP'!$C:$AN,MID(AG$1,1,2),FALSE)</f>
        <v>0</v>
      </c>
      <c r="AH792" s="55">
        <f>VLOOKUP($E792,'NI-Ric_SP'!$C:$AN,MID(AH$1,1,2),FALSE)</f>
        <v>0</v>
      </c>
      <c r="AI792" s="55">
        <f>VLOOKUP($E792,'NI-Ric_SP'!$C:$AN,MID(AI$1,1,2),FALSE)</f>
        <v>0</v>
      </c>
      <c r="AJ792" s="55">
        <f>VLOOKUP($E792,'NI-Ric_SP'!$C:$AN,MID(AJ$1,1,2),FALSE)</f>
        <v>0</v>
      </c>
      <c r="AK792" s="55">
        <f>VLOOKUP($E792,'NI-Ric_SP'!$C:$AN,MID(AK$1,1,2),FALSE)</f>
        <v>0</v>
      </c>
      <c r="AL792" s="55">
        <f>VLOOKUP($E792,'NI-Ric_SP'!$C:$AN,MID(AL$1,1,2),FALSE)</f>
        <v>0</v>
      </c>
      <c r="AM792" s="56">
        <f>VLOOKUP($E792,'NI-Ric_SP'!$C:$AN,MID(AM$1,1,2),FALSE)</f>
        <v>0</v>
      </c>
      <c r="AN792" s="30" t="str">
        <f t="shared" si="12"/>
        <v>10105050010000</v>
      </c>
    </row>
    <row r="793" spans="3:40" x14ac:dyDescent="0.25">
      <c r="C793" s="40"/>
      <c r="D793" s="101" t="s">
        <v>336</v>
      </c>
      <c r="E793" s="101" t="s">
        <v>337</v>
      </c>
      <c r="F793" s="102" t="s">
        <v>2750</v>
      </c>
      <c r="G793" s="52"/>
      <c r="H793" s="52"/>
      <c r="I793" s="52"/>
      <c r="J793" s="52"/>
      <c r="K793" s="59" t="s">
        <v>79</v>
      </c>
      <c r="L793" s="52"/>
      <c r="M793" s="52"/>
      <c r="N793" s="52"/>
      <c r="O793" s="52"/>
      <c r="P793" s="76" t="s">
        <v>338</v>
      </c>
      <c r="Q793" s="55">
        <f>VLOOKUP(E793,'NI-Ric_SP'!$C:$AN,12,FALSE)</f>
        <v>0</v>
      </c>
      <c r="R793" s="55">
        <f>VLOOKUP(E793,'NI-Ric_SP'!$C:$AN,13,FALSE)</f>
        <v>0</v>
      </c>
      <c r="S793" s="55"/>
      <c r="T793" s="55"/>
      <c r="U793" s="55">
        <f>VLOOKUP($E793,'NI-Ric_SP'!$C:$AN,MID(U$1,1,2),FALSE)</f>
        <v>0</v>
      </c>
      <c r="V793" s="55">
        <f>VLOOKUP($E793,'NI-Ric_SP'!$C:$AN,MID(V$1,1,2),FALSE)</f>
        <v>0</v>
      </c>
      <c r="W793" s="55">
        <f>VLOOKUP($E793,'NI-Ric_SP'!$C:$AN,MID(W$1,1,2),FALSE)</f>
        <v>0</v>
      </c>
      <c r="X793" s="55">
        <f>VLOOKUP($E793,'NI-Ric_SP'!$C:$AN,MID(X$1,1,2),FALSE)</f>
        <v>0</v>
      </c>
      <c r="Y793" s="55">
        <f>VLOOKUP($E793,'NI-Ric_SP'!$C:$AN,MID(Y$1,1,2),FALSE)</f>
        <v>0</v>
      </c>
      <c r="Z793" s="55">
        <f>VLOOKUP($E793,'NI-Ric_SP'!$C:$AN,MID(Z$1,1,2),FALSE)</f>
        <v>0</v>
      </c>
      <c r="AA793" s="55">
        <f>VLOOKUP($E793,'NI-Ric_SP'!$C:$AN,MID(AA$1,1,2),FALSE)</f>
        <v>0</v>
      </c>
      <c r="AB793" s="55">
        <f>VLOOKUP($E793,'NI-Ric_SP'!$C:$AN,MID(AB$1,1,2),FALSE)</f>
        <v>0</v>
      </c>
      <c r="AC793" s="55">
        <f>VLOOKUP($E793,'NI-Ric_SP'!$C:$AN,MID(AC$1,1,2),FALSE)</f>
        <v>0</v>
      </c>
      <c r="AD793" s="55">
        <f>VLOOKUP($E793,'NI-Ric_SP'!$C:$AN,MID(AD$1,1,2),FALSE)</f>
        <v>0</v>
      </c>
      <c r="AE793" s="55">
        <f>VLOOKUP($E793,'NI-Ric_SP'!$C:$AN,MID(AE$1,1,2),FALSE)</f>
        <v>0</v>
      </c>
      <c r="AF793" s="55">
        <f>VLOOKUP($E793,'NI-Ric_SP'!$C:$AN,MID(AF$1,1,2),FALSE)</f>
        <v>0</v>
      </c>
      <c r="AG793" s="55">
        <f>VLOOKUP($E793,'NI-Ric_SP'!$C:$AN,MID(AG$1,1,2),FALSE)</f>
        <v>0</v>
      </c>
      <c r="AH793" s="55">
        <f>VLOOKUP($E793,'NI-Ric_SP'!$C:$AN,MID(AH$1,1,2),FALSE)</f>
        <v>0</v>
      </c>
      <c r="AI793" s="55">
        <f>VLOOKUP($E793,'NI-Ric_SP'!$C:$AN,MID(AI$1,1,2),FALSE)</f>
        <v>0</v>
      </c>
      <c r="AJ793" s="55">
        <f>VLOOKUP($E793,'NI-Ric_SP'!$C:$AN,MID(AJ$1,1,2),FALSE)</f>
        <v>0</v>
      </c>
      <c r="AK793" s="55">
        <f>VLOOKUP($E793,'NI-Ric_SP'!$C:$AN,MID(AK$1,1,2),FALSE)</f>
        <v>0</v>
      </c>
      <c r="AL793" s="55">
        <f>VLOOKUP($E793,'NI-Ric_SP'!$C:$AN,MID(AL$1,1,2),FALSE)</f>
        <v>0</v>
      </c>
      <c r="AM793" s="56">
        <f>VLOOKUP($E793,'NI-Ric_SP'!$C:$AN,MID(AM$1,1,2),FALSE)</f>
        <v>0</v>
      </c>
      <c r="AN793" s="30" t="str">
        <f t="shared" si="12"/>
        <v>10105050020000</v>
      </c>
    </row>
    <row r="794" spans="3:40" x14ac:dyDescent="0.25">
      <c r="C794" s="40"/>
      <c r="D794" s="101" t="s">
        <v>339</v>
      </c>
      <c r="E794" s="101" t="s">
        <v>340</v>
      </c>
      <c r="F794" s="102" t="s">
        <v>2750</v>
      </c>
      <c r="G794" s="52"/>
      <c r="H794" s="52"/>
      <c r="I794" s="52" t="s">
        <v>341</v>
      </c>
      <c r="J794" s="52" t="s">
        <v>341</v>
      </c>
      <c r="K794" s="59" t="s">
        <v>111</v>
      </c>
      <c r="L794" s="62" t="s">
        <v>289</v>
      </c>
      <c r="M794" s="52"/>
      <c r="N794" s="52"/>
      <c r="O794" s="52"/>
      <c r="P794" s="76" t="s">
        <v>342</v>
      </c>
      <c r="Q794" s="55">
        <f>VLOOKUP(E794,'NI-Ric_SP'!$C:$AN,12,FALSE)</f>
        <v>0</v>
      </c>
      <c r="R794" s="55">
        <f>VLOOKUP(E794,'NI-Ric_SP'!$C:$AN,13,FALSE)</f>
        <v>0</v>
      </c>
      <c r="S794" s="55"/>
      <c r="T794" s="55"/>
      <c r="U794" s="55">
        <f>VLOOKUP($E794,'NI-Ric_SP'!$C:$AN,MID(U$1,1,2),FALSE)</f>
        <v>0</v>
      </c>
      <c r="V794" s="55">
        <f>VLOOKUP($E794,'NI-Ric_SP'!$C:$AN,MID(V$1,1,2),FALSE)</f>
        <v>0</v>
      </c>
      <c r="W794" s="55">
        <f>VLOOKUP($E794,'NI-Ric_SP'!$C:$AN,MID(W$1,1,2),FALSE)</f>
        <v>0</v>
      </c>
      <c r="X794" s="55">
        <f>VLOOKUP($E794,'NI-Ric_SP'!$C:$AN,MID(X$1,1,2),FALSE)</f>
        <v>0</v>
      </c>
      <c r="Y794" s="55">
        <f>VLOOKUP($E794,'NI-Ric_SP'!$C:$AN,MID(Y$1,1,2),FALSE)</f>
        <v>0</v>
      </c>
      <c r="Z794" s="55">
        <f>VLOOKUP($E794,'NI-Ric_SP'!$C:$AN,MID(Z$1,1,2),FALSE)</f>
        <v>0</v>
      </c>
      <c r="AA794" s="55">
        <f>VLOOKUP($E794,'NI-Ric_SP'!$C:$AN,MID(AA$1,1,2),FALSE)</f>
        <v>0</v>
      </c>
      <c r="AB794" s="55">
        <f>VLOOKUP($E794,'NI-Ric_SP'!$C:$AN,MID(AB$1,1,2),FALSE)</f>
        <v>0</v>
      </c>
      <c r="AC794" s="55">
        <f>VLOOKUP($E794,'NI-Ric_SP'!$C:$AN,MID(AC$1,1,2),FALSE)</f>
        <v>0</v>
      </c>
      <c r="AD794" s="55">
        <f>VLOOKUP($E794,'NI-Ric_SP'!$C:$AN,MID(AD$1,1,2),FALSE)</f>
        <v>0</v>
      </c>
      <c r="AE794" s="55">
        <f>VLOOKUP($E794,'NI-Ric_SP'!$C:$AN,MID(AE$1,1,2),FALSE)</f>
        <v>0</v>
      </c>
      <c r="AF794" s="55">
        <f>VLOOKUP($E794,'NI-Ric_SP'!$C:$AN,MID(AF$1,1,2),FALSE)</f>
        <v>0</v>
      </c>
      <c r="AG794" s="55">
        <f>VLOOKUP($E794,'NI-Ric_SP'!$C:$AN,MID(AG$1,1,2),FALSE)</f>
        <v>0</v>
      </c>
      <c r="AH794" s="55">
        <f>VLOOKUP($E794,'NI-Ric_SP'!$C:$AN,MID(AH$1,1,2),FALSE)</f>
        <v>0</v>
      </c>
      <c r="AI794" s="55">
        <f>VLOOKUP($E794,'NI-Ric_SP'!$C:$AN,MID(AI$1,1,2),FALSE)</f>
        <v>0</v>
      </c>
      <c r="AJ794" s="55">
        <f>VLOOKUP($E794,'NI-Ric_SP'!$C:$AN,MID(AJ$1,1,2),FALSE)</f>
        <v>0</v>
      </c>
      <c r="AK794" s="55">
        <f>VLOOKUP($E794,'NI-Ric_SP'!$C:$AN,MID(AK$1,1,2),FALSE)</f>
        <v>0</v>
      </c>
      <c r="AL794" s="55">
        <f>VLOOKUP($E794,'NI-Ric_SP'!$C:$AN,MID(AL$1,1,2),FALSE)</f>
        <v>0</v>
      </c>
      <c r="AM794" s="56">
        <f>VLOOKUP($E794,'NI-Ric_SP'!$C:$AN,MID(AM$1,1,2),FALSE)</f>
        <v>0</v>
      </c>
      <c r="AN794" s="30" t="str">
        <f t="shared" si="12"/>
        <v>10105060000000</v>
      </c>
    </row>
    <row r="795" spans="3:40" x14ac:dyDescent="0.25">
      <c r="C795" s="40"/>
      <c r="D795" s="101" t="s">
        <v>343</v>
      </c>
      <c r="E795" s="101" t="s">
        <v>344</v>
      </c>
      <c r="F795" s="102" t="s">
        <v>2750</v>
      </c>
      <c r="G795" s="52"/>
      <c r="H795" s="52"/>
      <c r="I795" s="52"/>
      <c r="J795" s="52"/>
      <c r="K795" s="59" t="s">
        <v>79</v>
      </c>
      <c r="L795" s="52"/>
      <c r="M795" s="52"/>
      <c r="N795" s="52"/>
      <c r="O795" s="52"/>
      <c r="P795" s="76" t="s">
        <v>345</v>
      </c>
      <c r="Q795" s="55">
        <f>VLOOKUP(E795,'NI-Ric_SP'!$C:$AN,12,FALSE)</f>
        <v>0</v>
      </c>
      <c r="R795" s="55">
        <f>VLOOKUP(E795,'NI-Ric_SP'!$C:$AN,13,FALSE)</f>
        <v>0</v>
      </c>
      <c r="S795" s="55"/>
      <c r="T795" s="55"/>
      <c r="U795" s="55">
        <f>VLOOKUP($E795,'NI-Ric_SP'!$C:$AN,MID(U$1,1,2),FALSE)</f>
        <v>0</v>
      </c>
      <c r="V795" s="55">
        <f>VLOOKUP($E795,'NI-Ric_SP'!$C:$AN,MID(V$1,1,2),FALSE)</f>
        <v>0</v>
      </c>
      <c r="W795" s="55">
        <f>VLOOKUP($E795,'NI-Ric_SP'!$C:$AN,MID(W$1,1,2),FALSE)</f>
        <v>0</v>
      </c>
      <c r="X795" s="55">
        <f>VLOOKUP($E795,'NI-Ric_SP'!$C:$AN,MID(X$1,1,2),FALSE)</f>
        <v>0</v>
      </c>
      <c r="Y795" s="55">
        <f>VLOOKUP($E795,'NI-Ric_SP'!$C:$AN,MID(Y$1,1,2),FALSE)</f>
        <v>0</v>
      </c>
      <c r="Z795" s="55">
        <f>VLOOKUP($E795,'NI-Ric_SP'!$C:$AN,MID(Z$1,1,2),FALSE)</f>
        <v>0</v>
      </c>
      <c r="AA795" s="55">
        <f>VLOOKUP($E795,'NI-Ric_SP'!$C:$AN,MID(AA$1,1,2),FALSE)</f>
        <v>0</v>
      </c>
      <c r="AB795" s="55">
        <f>VLOOKUP($E795,'NI-Ric_SP'!$C:$AN,MID(AB$1,1,2),FALSE)</f>
        <v>0</v>
      </c>
      <c r="AC795" s="55">
        <f>VLOOKUP($E795,'NI-Ric_SP'!$C:$AN,MID(AC$1,1,2),FALSE)</f>
        <v>0</v>
      </c>
      <c r="AD795" s="55">
        <f>VLOOKUP($E795,'NI-Ric_SP'!$C:$AN,MID(AD$1,1,2),FALSE)</f>
        <v>0</v>
      </c>
      <c r="AE795" s="55">
        <f>VLOOKUP($E795,'NI-Ric_SP'!$C:$AN,MID(AE$1,1,2),FALSE)</f>
        <v>0</v>
      </c>
      <c r="AF795" s="55">
        <f>VLOOKUP($E795,'NI-Ric_SP'!$C:$AN,MID(AF$1,1,2),FALSE)</f>
        <v>0</v>
      </c>
      <c r="AG795" s="55">
        <f>VLOOKUP($E795,'NI-Ric_SP'!$C:$AN,MID(AG$1,1,2),FALSE)</f>
        <v>0</v>
      </c>
      <c r="AH795" s="55">
        <f>VLOOKUP($E795,'NI-Ric_SP'!$C:$AN,MID(AH$1,1,2),FALSE)</f>
        <v>0</v>
      </c>
      <c r="AI795" s="55">
        <f>VLOOKUP($E795,'NI-Ric_SP'!$C:$AN,MID(AI$1,1,2),FALSE)</f>
        <v>0</v>
      </c>
      <c r="AJ795" s="55">
        <f>VLOOKUP($E795,'NI-Ric_SP'!$C:$AN,MID(AJ$1,1,2),FALSE)</f>
        <v>0</v>
      </c>
      <c r="AK795" s="55">
        <f>VLOOKUP($E795,'NI-Ric_SP'!$C:$AN,MID(AK$1,1,2),FALSE)</f>
        <v>0</v>
      </c>
      <c r="AL795" s="55">
        <f>VLOOKUP($E795,'NI-Ric_SP'!$C:$AN,MID(AL$1,1,2),FALSE)</f>
        <v>0</v>
      </c>
      <c r="AM795" s="56">
        <f>VLOOKUP($E795,'NI-Ric_SP'!$C:$AN,MID(AM$1,1,2),FALSE)</f>
        <v>0</v>
      </c>
      <c r="AN795" s="30" t="str">
        <f t="shared" si="12"/>
        <v>10105060010000</v>
      </c>
    </row>
    <row r="796" spans="3:40" x14ac:dyDescent="0.25">
      <c r="C796" s="40"/>
      <c r="D796" s="101" t="s">
        <v>346</v>
      </c>
      <c r="E796" s="101" t="s">
        <v>347</v>
      </c>
      <c r="F796" s="102" t="s">
        <v>2750</v>
      </c>
      <c r="G796" s="52"/>
      <c r="H796" s="52"/>
      <c r="I796" s="52"/>
      <c r="J796" s="52"/>
      <c r="K796" s="59" t="s">
        <v>79</v>
      </c>
      <c r="L796" s="52"/>
      <c r="M796" s="52"/>
      <c r="N796" s="52"/>
      <c r="O796" s="52"/>
      <c r="P796" s="76" t="s">
        <v>348</v>
      </c>
      <c r="Q796" s="55">
        <f>VLOOKUP(E796,'NI-Ric_SP'!$C:$AN,12,FALSE)</f>
        <v>0</v>
      </c>
      <c r="R796" s="55">
        <f>VLOOKUP(E796,'NI-Ric_SP'!$C:$AN,13,FALSE)</f>
        <v>0</v>
      </c>
      <c r="S796" s="55"/>
      <c r="T796" s="55"/>
      <c r="U796" s="55">
        <f>VLOOKUP($E796,'NI-Ric_SP'!$C:$AN,MID(U$1,1,2),FALSE)</f>
        <v>0</v>
      </c>
      <c r="V796" s="55">
        <f>VLOOKUP($E796,'NI-Ric_SP'!$C:$AN,MID(V$1,1,2),FALSE)</f>
        <v>0</v>
      </c>
      <c r="W796" s="55">
        <f>VLOOKUP($E796,'NI-Ric_SP'!$C:$AN,MID(W$1,1,2),FALSE)</f>
        <v>0</v>
      </c>
      <c r="X796" s="55">
        <f>VLOOKUP($E796,'NI-Ric_SP'!$C:$AN,MID(X$1,1,2),FALSE)</f>
        <v>0</v>
      </c>
      <c r="Y796" s="55">
        <f>VLOOKUP($E796,'NI-Ric_SP'!$C:$AN,MID(Y$1,1,2),FALSE)</f>
        <v>0</v>
      </c>
      <c r="Z796" s="55">
        <f>VLOOKUP($E796,'NI-Ric_SP'!$C:$AN,MID(Z$1,1,2),FALSE)</f>
        <v>0</v>
      </c>
      <c r="AA796" s="55">
        <f>VLOOKUP($E796,'NI-Ric_SP'!$C:$AN,MID(AA$1,1,2),FALSE)</f>
        <v>0</v>
      </c>
      <c r="AB796" s="55">
        <f>VLOOKUP($E796,'NI-Ric_SP'!$C:$AN,MID(AB$1,1,2),FALSE)</f>
        <v>0</v>
      </c>
      <c r="AC796" s="55">
        <f>VLOOKUP($E796,'NI-Ric_SP'!$C:$AN,MID(AC$1,1,2),FALSE)</f>
        <v>0</v>
      </c>
      <c r="AD796" s="55">
        <f>VLOOKUP($E796,'NI-Ric_SP'!$C:$AN,MID(AD$1,1,2),FALSE)</f>
        <v>0</v>
      </c>
      <c r="AE796" s="55">
        <f>VLOOKUP($E796,'NI-Ric_SP'!$C:$AN,MID(AE$1,1,2),FALSE)</f>
        <v>0</v>
      </c>
      <c r="AF796" s="55">
        <f>VLOOKUP($E796,'NI-Ric_SP'!$C:$AN,MID(AF$1,1,2),FALSE)</f>
        <v>0</v>
      </c>
      <c r="AG796" s="55">
        <f>VLOOKUP($E796,'NI-Ric_SP'!$C:$AN,MID(AG$1,1,2),FALSE)</f>
        <v>0</v>
      </c>
      <c r="AH796" s="55">
        <f>VLOOKUP($E796,'NI-Ric_SP'!$C:$AN,MID(AH$1,1,2),FALSE)</f>
        <v>0</v>
      </c>
      <c r="AI796" s="55">
        <f>VLOOKUP($E796,'NI-Ric_SP'!$C:$AN,MID(AI$1,1,2),FALSE)</f>
        <v>0</v>
      </c>
      <c r="AJ796" s="55">
        <f>VLOOKUP($E796,'NI-Ric_SP'!$C:$AN,MID(AJ$1,1,2),FALSE)</f>
        <v>0</v>
      </c>
      <c r="AK796" s="55">
        <f>VLOOKUP($E796,'NI-Ric_SP'!$C:$AN,MID(AK$1,1,2),FALSE)</f>
        <v>0</v>
      </c>
      <c r="AL796" s="55">
        <f>VLOOKUP($E796,'NI-Ric_SP'!$C:$AN,MID(AL$1,1,2),FALSE)</f>
        <v>0</v>
      </c>
      <c r="AM796" s="56">
        <f>VLOOKUP($E796,'NI-Ric_SP'!$C:$AN,MID(AM$1,1,2),FALSE)</f>
        <v>0</v>
      </c>
      <c r="AN796" s="30" t="str">
        <f t="shared" si="12"/>
        <v>10105060020000</v>
      </c>
    </row>
    <row r="797" spans="3:40" x14ac:dyDescent="0.25">
      <c r="C797" s="40"/>
      <c r="D797" s="101" t="s">
        <v>349</v>
      </c>
      <c r="E797" s="101" t="s">
        <v>350</v>
      </c>
      <c r="F797" s="102" t="s">
        <v>2750</v>
      </c>
      <c r="G797" s="52"/>
      <c r="H797" s="52"/>
      <c r="I797" s="52" t="s">
        <v>351</v>
      </c>
      <c r="J797" s="52" t="s">
        <v>351</v>
      </c>
      <c r="K797" s="59" t="s">
        <v>111</v>
      </c>
      <c r="L797" s="62" t="s">
        <v>260</v>
      </c>
      <c r="M797" s="52"/>
      <c r="N797" s="52"/>
      <c r="O797" s="52"/>
      <c r="P797" s="76" t="s">
        <v>352</v>
      </c>
      <c r="Q797" s="55">
        <f>VLOOKUP(E797,'NI-Ric_SP'!$C:$AN,12,FALSE)</f>
        <v>0</v>
      </c>
      <c r="R797" s="55">
        <f>VLOOKUP(E797,'NI-Ric_SP'!$C:$AN,13,FALSE)</f>
        <v>0</v>
      </c>
      <c r="S797" s="55"/>
      <c r="T797" s="55"/>
      <c r="U797" s="55">
        <f>VLOOKUP($E797,'NI-Ric_SP'!$C:$AN,MID(U$1,1,2),FALSE)</f>
        <v>0</v>
      </c>
      <c r="V797" s="55">
        <f>VLOOKUP($E797,'NI-Ric_SP'!$C:$AN,MID(V$1,1,2),FALSE)</f>
        <v>0</v>
      </c>
      <c r="W797" s="55">
        <f>VLOOKUP($E797,'NI-Ric_SP'!$C:$AN,MID(W$1,1,2),FALSE)</f>
        <v>0</v>
      </c>
      <c r="X797" s="55">
        <f>VLOOKUP($E797,'NI-Ric_SP'!$C:$AN,MID(X$1,1,2),FALSE)</f>
        <v>0</v>
      </c>
      <c r="Y797" s="55">
        <f>VLOOKUP($E797,'NI-Ric_SP'!$C:$AN,MID(Y$1,1,2),FALSE)</f>
        <v>0</v>
      </c>
      <c r="Z797" s="55">
        <f>VLOOKUP($E797,'NI-Ric_SP'!$C:$AN,MID(Z$1,1,2),FALSE)</f>
        <v>0</v>
      </c>
      <c r="AA797" s="55">
        <f>VLOOKUP($E797,'NI-Ric_SP'!$C:$AN,MID(AA$1,1,2),FALSE)</f>
        <v>0</v>
      </c>
      <c r="AB797" s="55">
        <f>VLOOKUP($E797,'NI-Ric_SP'!$C:$AN,MID(AB$1,1,2),FALSE)</f>
        <v>0</v>
      </c>
      <c r="AC797" s="55">
        <f>VLOOKUP($E797,'NI-Ric_SP'!$C:$AN,MID(AC$1,1,2),FALSE)</f>
        <v>0</v>
      </c>
      <c r="AD797" s="55">
        <f>VLOOKUP($E797,'NI-Ric_SP'!$C:$AN,MID(AD$1,1,2),FALSE)</f>
        <v>0</v>
      </c>
      <c r="AE797" s="55">
        <f>VLOOKUP($E797,'NI-Ric_SP'!$C:$AN,MID(AE$1,1,2),FALSE)</f>
        <v>0</v>
      </c>
      <c r="AF797" s="55">
        <f>VLOOKUP($E797,'NI-Ric_SP'!$C:$AN,MID(AF$1,1,2),FALSE)</f>
        <v>0</v>
      </c>
      <c r="AG797" s="55">
        <f>VLOOKUP($E797,'NI-Ric_SP'!$C:$AN,MID(AG$1,1,2),FALSE)</f>
        <v>0</v>
      </c>
      <c r="AH797" s="55">
        <f>VLOOKUP($E797,'NI-Ric_SP'!$C:$AN,MID(AH$1,1,2),FALSE)</f>
        <v>0</v>
      </c>
      <c r="AI797" s="55">
        <f>VLOOKUP($E797,'NI-Ric_SP'!$C:$AN,MID(AI$1,1,2),FALSE)</f>
        <v>0</v>
      </c>
      <c r="AJ797" s="55">
        <f>VLOOKUP($E797,'NI-Ric_SP'!$C:$AN,MID(AJ$1,1,2),FALSE)</f>
        <v>0</v>
      </c>
      <c r="AK797" s="55">
        <f>VLOOKUP($E797,'NI-Ric_SP'!$C:$AN,MID(AK$1,1,2),FALSE)</f>
        <v>0</v>
      </c>
      <c r="AL797" s="55">
        <f>VLOOKUP($E797,'NI-Ric_SP'!$C:$AN,MID(AL$1,1,2),FALSE)</f>
        <v>0</v>
      </c>
      <c r="AM797" s="56">
        <f>VLOOKUP($E797,'NI-Ric_SP'!$C:$AN,MID(AM$1,1,2),FALSE)</f>
        <v>0</v>
      </c>
      <c r="AN797" s="30" t="str">
        <f t="shared" si="12"/>
        <v>10105070000000</v>
      </c>
    </row>
    <row r="798" spans="3:40" x14ac:dyDescent="0.25">
      <c r="C798" s="40"/>
      <c r="D798" s="101" t="s">
        <v>353</v>
      </c>
      <c r="E798" s="101" t="s">
        <v>354</v>
      </c>
      <c r="F798" s="102" t="s">
        <v>2750</v>
      </c>
      <c r="G798" s="52"/>
      <c r="H798" s="52"/>
      <c r="I798" s="52"/>
      <c r="J798" s="52"/>
      <c r="K798" s="59" t="s">
        <v>79</v>
      </c>
      <c r="L798" s="52"/>
      <c r="M798" s="52"/>
      <c r="N798" s="52"/>
      <c r="O798" s="52"/>
      <c r="P798" s="76" t="s">
        <v>355</v>
      </c>
      <c r="Q798" s="55">
        <f>VLOOKUP(E798,'NI-Ric_SP'!$C:$AN,12,FALSE)</f>
        <v>0</v>
      </c>
      <c r="R798" s="55">
        <f>VLOOKUP(E798,'NI-Ric_SP'!$C:$AN,13,FALSE)</f>
        <v>0</v>
      </c>
      <c r="S798" s="55"/>
      <c r="T798" s="55"/>
      <c r="U798" s="55">
        <f>VLOOKUP($E798,'NI-Ric_SP'!$C:$AN,MID(U$1,1,2),FALSE)</f>
        <v>0</v>
      </c>
      <c r="V798" s="55">
        <f>VLOOKUP($E798,'NI-Ric_SP'!$C:$AN,MID(V$1,1,2),FALSE)</f>
        <v>0</v>
      </c>
      <c r="W798" s="55">
        <f>VLOOKUP($E798,'NI-Ric_SP'!$C:$AN,MID(W$1,1,2),FALSE)</f>
        <v>0</v>
      </c>
      <c r="X798" s="55">
        <f>VLOOKUP($E798,'NI-Ric_SP'!$C:$AN,MID(X$1,1,2),FALSE)</f>
        <v>0</v>
      </c>
      <c r="Y798" s="55">
        <f>VLOOKUP($E798,'NI-Ric_SP'!$C:$AN,MID(Y$1,1,2),FALSE)</f>
        <v>0</v>
      </c>
      <c r="Z798" s="55">
        <f>VLOOKUP($E798,'NI-Ric_SP'!$C:$AN,MID(Z$1,1,2),FALSE)</f>
        <v>0</v>
      </c>
      <c r="AA798" s="55">
        <f>VLOOKUP($E798,'NI-Ric_SP'!$C:$AN,MID(AA$1,1,2),FALSE)</f>
        <v>0</v>
      </c>
      <c r="AB798" s="55">
        <f>VLOOKUP($E798,'NI-Ric_SP'!$C:$AN,MID(AB$1,1,2),FALSE)</f>
        <v>0</v>
      </c>
      <c r="AC798" s="55">
        <f>VLOOKUP($E798,'NI-Ric_SP'!$C:$AN,MID(AC$1,1,2),FALSE)</f>
        <v>0</v>
      </c>
      <c r="AD798" s="55">
        <f>VLOOKUP($E798,'NI-Ric_SP'!$C:$AN,MID(AD$1,1,2),FALSE)</f>
        <v>0</v>
      </c>
      <c r="AE798" s="55">
        <f>VLOOKUP($E798,'NI-Ric_SP'!$C:$AN,MID(AE$1,1,2),FALSE)</f>
        <v>0</v>
      </c>
      <c r="AF798" s="55">
        <f>VLOOKUP($E798,'NI-Ric_SP'!$C:$AN,MID(AF$1,1,2),FALSE)</f>
        <v>0</v>
      </c>
      <c r="AG798" s="55">
        <f>VLOOKUP($E798,'NI-Ric_SP'!$C:$AN,MID(AG$1,1,2),FALSE)</f>
        <v>0</v>
      </c>
      <c r="AH798" s="55">
        <f>VLOOKUP($E798,'NI-Ric_SP'!$C:$AN,MID(AH$1,1,2),FALSE)</f>
        <v>0</v>
      </c>
      <c r="AI798" s="55">
        <f>VLOOKUP($E798,'NI-Ric_SP'!$C:$AN,MID(AI$1,1,2),FALSE)</f>
        <v>0</v>
      </c>
      <c r="AJ798" s="55">
        <f>VLOOKUP($E798,'NI-Ric_SP'!$C:$AN,MID(AJ$1,1,2),FALSE)</f>
        <v>0</v>
      </c>
      <c r="AK798" s="55">
        <f>VLOOKUP($E798,'NI-Ric_SP'!$C:$AN,MID(AK$1,1,2),FALSE)</f>
        <v>0</v>
      </c>
      <c r="AL798" s="55">
        <f>VLOOKUP($E798,'NI-Ric_SP'!$C:$AN,MID(AL$1,1,2),FALSE)</f>
        <v>0</v>
      </c>
      <c r="AM798" s="56">
        <f>VLOOKUP($E798,'NI-Ric_SP'!$C:$AN,MID(AM$1,1,2),FALSE)</f>
        <v>0</v>
      </c>
      <c r="AN798" s="30" t="str">
        <f t="shared" si="12"/>
        <v>10105070010010</v>
      </c>
    </row>
    <row r="799" spans="3:40" x14ac:dyDescent="0.25">
      <c r="C799" s="40"/>
      <c r="D799" s="101" t="s">
        <v>356</v>
      </c>
      <c r="E799" s="101" t="s">
        <v>357</v>
      </c>
      <c r="F799" s="102" t="s">
        <v>2750</v>
      </c>
      <c r="G799" s="52"/>
      <c r="H799" s="52"/>
      <c r="I799" s="52"/>
      <c r="J799" s="52"/>
      <c r="K799" s="59" t="s">
        <v>79</v>
      </c>
      <c r="L799" s="52"/>
      <c r="M799" s="52"/>
      <c r="N799" s="52"/>
      <c r="O799" s="52"/>
      <c r="P799" s="76" t="s">
        <v>358</v>
      </c>
      <c r="Q799" s="55">
        <f>VLOOKUP(E799,'NI-Ric_SP'!$C:$AN,12,FALSE)</f>
        <v>0</v>
      </c>
      <c r="R799" s="55">
        <f>VLOOKUP(E799,'NI-Ric_SP'!$C:$AN,13,FALSE)</f>
        <v>0</v>
      </c>
      <c r="S799" s="55"/>
      <c r="T799" s="55"/>
      <c r="U799" s="55">
        <f>VLOOKUP($E799,'NI-Ric_SP'!$C:$AN,MID(U$1,1,2),FALSE)</f>
        <v>0</v>
      </c>
      <c r="V799" s="55">
        <f>VLOOKUP($E799,'NI-Ric_SP'!$C:$AN,MID(V$1,1,2),FALSE)</f>
        <v>0</v>
      </c>
      <c r="W799" s="55">
        <f>VLOOKUP($E799,'NI-Ric_SP'!$C:$AN,MID(W$1,1,2),FALSE)</f>
        <v>0</v>
      </c>
      <c r="X799" s="55">
        <f>VLOOKUP($E799,'NI-Ric_SP'!$C:$AN,MID(X$1,1,2),FALSE)</f>
        <v>0</v>
      </c>
      <c r="Y799" s="55">
        <f>VLOOKUP($E799,'NI-Ric_SP'!$C:$AN,MID(Y$1,1,2),FALSE)</f>
        <v>0</v>
      </c>
      <c r="Z799" s="55">
        <f>VLOOKUP($E799,'NI-Ric_SP'!$C:$AN,MID(Z$1,1,2),FALSE)</f>
        <v>0</v>
      </c>
      <c r="AA799" s="55">
        <f>VLOOKUP($E799,'NI-Ric_SP'!$C:$AN,MID(AA$1,1,2),FALSE)</f>
        <v>0</v>
      </c>
      <c r="AB799" s="55">
        <f>VLOOKUP($E799,'NI-Ric_SP'!$C:$AN,MID(AB$1,1,2),FALSE)</f>
        <v>0</v>
      </c>
      <c r="AC799" s="55">
        <f>VLOOKUP($E799,'NI-Ric_SP'!$C:$AN,MID(AC$1,1,2),FALSE)</f>
        <v>0</v>
      </c>
      <c r="AD799" s="55">
        <f>VLOOKUP($E799,'NI-Ric_SP'!$C:$AN,MID(AD$1,1,2),FALSE)</f>
        <v>0</v>
      </c>
      <c r="AE799" s="55">
        <f>VLOOKUP($E799,'NI-Ric_SP'!$C:$AN,MID(AE$1,1,2),FALSE)</f>
        <v>0</v>
      </c>
      <c r="AF799" s="55">
        <f>VLOOKUP($E799,'NI-Ric_SP'!$C:$AN,MID(AF$1,1,2),FALSE)</f>
        <v>0</v>
      </c>
      <c r="AG799" s="55">
        <f>VLOOKUP($E799,'NI-Ric_SP'!$C:$AN,MID(AG$1,1,2),FALSE)</f>
        <v>0</v>
      </c>
      <c r="AH799" s="55">
        <f>VLOOKUP($E799,'NI-Ric_SP'!$C:$AN,MID(AH$1,1,2),FALSE)</f>
        <v>0</v>
      </c>
      <c r="AI799" s="55">
        <f>VLOOKUP($E799,'NI-Ric_SP'!$C:$AN,MID(AI$1,1,2),FALSE)</f>
        <v>0</v>
      </c>
      <c r="AJ799" s="55">
        <f>VLOOKUP($E799,'NI-Ric_SP'!$C:$AN,MID(AJ$1,1,2),FALSE)</f>
        <v>0</v>
      </c>
      <c r="AK799" s="55">
        <f>VLOOKUP($E799,'NI-Ric_SP'!$C:$AN,MID(AK$1,1,2),FALSE)</f>
        <v>0</v>
      </c>
      <c r="AL799" s="55">
        <f>VLOOKUP($E799,'NI-Ric_SP'!$C:$AN,MID(AL$1,1,2),FALSE)</f>
        <v>0</v>
      </c>
      <c r="AM799" s="56">
        <f>VLOOKUP($E799,'NI-Ric_SP'!$C:$AN,MID(AM$1,1,2),FALSE)</f>
        <v>0</v>
      </c>
      <c r="AN799" s="30" t="str">
        <f t="shared" si="12"/>
        <v>10105070010020</v>
      </c>
    </row>
    <row r="800" spans="3:40" x14ac:dyDescent="0.25">
      <c r="C800" s="40"/>
      <c r="D800" s="101" t="s">
        <v>359</v>
      </c>
      <c r="E800" s="101" t="s">
        <v>360</v>
      </c>
      <c r="F800" s="102" t="s">
        <v>2750</v>
      </c>
      <c r="G800" s="52"/>
      <c r="H800" s="52"/>
      <c r="I800" s="52"/>
      <c r="J800" s="52"/>
      <c r="K800" s="59" t="s">
        <v>79</v>
      </c>
      <c r="L800" s="52"/>
      <c r="M800" s="52"/>
      <c r="N800" s="52"/>
      <c r="O800" s="52"/>
      <c r="P800" s="76" t="s">
        <v>361</v>
      </c>
      <c r="Q800" s="55">
        <f>VLOOKUP(E800,'NI-Ric_SP'!$C:$AN,12,FALSE)</f>
        <v>0</v>
      </c>
      <c r="R800" s="55">
        <f>VLOOKUP(E800,'NI-Ric_SP'!$C:$AN,13,FALSE)</f>
        <v>0</v>
      </c>
      <c r="S800" s="55"/>
      <c r="T800" s="55"/>
      <c r="U800" s="55">
        <f>VLOOKUP($E800,'NI-Ric_SP'!$C:$AN,MID(U$1,1,2),FALSE)</f>
        <v>0</v>
      </c>
      <c r="V800" s="55">
        <f>VLOOKUP($E800,'NI-Ric_SP'!$C:$AN,MID(V$1,1,2),FALSE)</f>
        <v>0</v>
      </c>
      <c r="W800" s="55">
        <f>VLOOKUP($E800,'NI-Ric_SP'!$C:$AN,MID(W$1,1,2),FALSE)</f>
        <v>0</v>
      </c>
      <c r="X800" s="55">
        <f>VLOOKUP($E800,'NI-Ric_SP'!$C:$AN,MID(X$1,1,2),FALSE)</f>
        <v>0</v>
      </c>
      <c r="Y800" s="55">
        <f>VLOOKUP($E800,'NI-Ric_SP'!$C:$AN,MID(Y$1,1,2),FALSE)</f>
        <v>0</v>
      </c>
      <c r="Z800" s="55">
        <f>VLOOKUP($E800,'NI-Ric_SP'!$C:$AN,MID(Z$1,1,2),FALSE)</f>
        <v>0</v>
      </c>
      <c r="AA800" s="55">
        <f>VLOOKUP($E800,'NI-Ric_SP'!$C:$AN,MID(AA$1,1,2),FALSE)</f>
        <v>0</v>
      </c>
      <c r="AB800" s="55">
        <f>VLOOKUP($E800,'NI-Ric_SP'!$C:$AN,MID(AB$1,1,2),FALSE)</f>
        <v>0</v>
      </c>
      <c r="AC800" s="55">
        <f>VLOOKUP($E800,'NI-Ric_SP'!$C:$AN,MID(AC$1,1,2),FALSE)</f>
        <v>0</v>
      </c>
      <c r="AD800" s="55">
        <f>VLOOKUP($E800,'NI-Ric_SP'!$C:$AN,MID(AD$1,1,2),FALSE)</f>
        <v>0</v>
      </c>
      <c r="AE800" s="55">
        <f>VLOOKUP($E800,'NI-Ric_SP'!$C:$AN,MID(AE$1,1,2),FALSE)</f>
        <v>0</v>
      </c>
      <c r="AF800" s="55">
        <f>VLOOKUP($E800,'NI-Ric_SP'!$C:$AN,MID(AF$1,1,2),FALSE)</f>
        <v>0</v>
      </c>
      <c r="AG800" s="55">
        <f>VLOOKUP($E800,'NI-Ric_SP'!$C:$AN,MID(AG$1,1,2),FALSE)</f>
        <v>0</v>
      </c>
      <c r="AH800" s="55">
        <f>VLOOKUP($E800,'NI-Ric_SP'!$C:$AN,MID(AH$1,1,2),FALSE)</f>
        <v>0</v>
      </c>
      <c r="AI800" s="55">
        <f>VLOOKUP($E800,'NI-Ric_SP'!$C:$AN,MID(AI$1,1,2),FALSE)</f>
        <v>0</v>
      </c>
      <c r="AJ800" s="55">
        <f>VLOOKUP($E800,'NI-Ric_SP'!$C:$AN,MID(AJ$1,1,2),FALSE)</f>
        <v>0</v>
      </c>
      <c r="AK800" s="55">
        <f>VLOOKUP($E800,'NI-Ric_SP'!$C:$AN,MID(AK$1,1,2),FALSE)</f>
        <v>0</v>
      </c>
      <c r="AL800" s="55">
        <f>VLOOKUP($E800,'NI-Ric_SP'!$C:$AN,MID(AL$1,1,2),FALSE)</f>
        <v>0</v>
      </c>
      <c r="AM800" s="56">
        <f>VLOOKUP($E800,'NI-Ric_SP'!$C:$AN,MID(AM$1,1,2),FALSE)</f>
        <v>0</v>
      </c>
      <c r="AN800" s="30" t="str">
        <f t="shared" si="12"/>
        <v>10105070020010</v>
      </c>
    </row>
    <row r="801" spans="3:40" x14ac:dyDescent="0.25">
      <c r="C801" s="40"/>
      <c r="D801" s="101" t="s">
        <v>362</v>
      </c>
      <c r="E801" s="101" t="s">
        <v>363</v>
      </c>
      <c r="F801" s="102" t="s">
        <v>2750</v>
      </c>
      <c r="G801" s="52"/>
      <c r="H801" s="52"/>
      <c r="I801" s="52"/>
      <c r="J801" s="52"/>
      <c r="K801" s="59" t="s">
        <v>79</v>
      </c>
      <c r="L801" s="52"/>
      <c r="M801" s="52"/>
      <c r="N801" s="52"/>
      <c r="O801" s="52"/>
      <c r="P801" s="76" t="s">
        <v>364</v>
      </c>
      <c r="Q801" s="55">
        <f>VLOOKUP(E801,'NI-Ric_SP'!$C:$AN,12,FALSE)</f>
        <v>0</v>
      </c>
      <c r="R801" s="55">
        <f>VLOOKUP(E801,'NI-Ric_SP'!$C:$AN,13,FALSE)</f>
        <v>0</v>
      </c>
      <c r="S801" s="55"/>
      <c r="T801" s="55"/>
      <c r="U801" s="55">
        <f>VLOOKUP($E801,'NI-Ric_SP'!$C:$AN,MID(U$1,1,2),FALSE)</f>
        <v>0</v>
      </c>
      <c r="V801" s="55">
        <f>VLOOKUP($E801,'NI-Ric_SP'!$C:$AN,MID(V$1,1,2),FALSE)</f>
        <v>0</v>
      </c>
      <c r="W801" s="55">
        <f>VLOOKUP($E801,'NI-Ric_SP'!$C:$AN,MID(W$1,1,2),FALSE)</f>
        <v>0</v>
      </c>
      <c r="X801" s="55">
        <f>VLOOKUP($E801,'NI-Ric_SP'!$C:$AN,MID(X$1,1,2),FALSE)</f>
        <v>0</v>
      </c>
      <c r="Y801" s="55">
        <f>VLOOKUP($E801,'NI-Ric_SP'!$C:$AN,MID(Y$1,1,2),FALSE)</f>
        <v>0</v>
      </c>
      <c r="Z801" s="55">
        <f>VLOOKUP($E801,'NI-Ric_SP'!$C:$AN,MID(Z$1,1,2),FALSE)</f>
        <v>0</v>
      </c>
      <c r="AA801" s="55">
        <f>VLOOKUP($E801,'NI-Ric_SP'!$C:$AN,MID(AA$1,1,2),FALSE)</f>
        <v>0</v>
      </c>
      <c r="AB801" s="55">
        <f>VLOOKUP($E801,'NI-Ric_SP'!$C:$AN,MID(AB$1,1,2),FALSE)</f>
        <v>0</v>
      </c>
      <c r="AC801" s="55">
        <f>VLOOKUP($E801,'NI-Ric_SP'!$C:$AN,MID(AC$1,1,2),FALSE)</f>
        <v>0</v>
      </c>
      <c r="AD801" s="55">
        <f>VLOOKUP($E801,'NI-Ric_SP'!$C:$AN,MID(AD$1,1,2),FALSE)</f>
        <v>0</v>
      </c>
      <c r="AE801" s="55">
        <f>VLOOKUP($E801,'NI-Ric_SP'!$C:$AN,MID(AE$1,1,2),FALSE)</f>
        <v>0</v>
      </c>
      <c r="AF801" s="55">
        <f>VLOOKUP($E801,'NI-Ric_SP'!$C:$AN,MID(AF$1,1,2),FALSE)</f>
        <v>0</v>
      </c>
      <c r="AG801" s="55">
        <f>VLOOKUP($E801,'NI-Ric_SP'!$C:$AN,MID(AG$1,1,2),FALSE)</f>
        <v>0</v>
      </c>
      <c r="AH801" s="55">
        <f>VLOOKUP($E801,'NI-Ric_SP'!$C:$AN,MID(AH$1,1,2),FALSE)</f>
        <v>0</v>
      </c>
      <c r="AI801" s="55">
        <f>VLOOKUP($E801,'NI-Ric_SP'!$C:$AN,MID(AI$1,1,2),FALSE)</f>
        <v>0</v>
      </c>
      <c r="AJ801" s="55">
        <f>VLOOKUP($E801,'NI-Ric_SP'!$C:$AN,MID(AJ$1,1,2),FALSE)</f>
        <v>0</v>
      </c>
      <c r="AK801" s="55">
        <f>VLOOKUP($E801,'NI-Ric_SP'!$C:$AN,MID(AK$1,1,2),FALSE)</f>
        <v>0</v>
      </c>
      <c r="AL801" s="55">
        <f>VLOOKUP($E801,'NI-Ric_SP'!$C:$AN,MID(AL$1,1,2),FALSE)</f>
        <v>0</v>
      </c>
      <c r="AM801" s="56">
        <f>VLOOKUP($E801,'NI-Ric_SP'!$C:$AN,MID(AM$1,1,2),FALSE)</f>
        <v>0</v>
      </c>
      <c r="AN801" s="30" t="str">
        <f t="shared" si="12"/>
        <v>10105070020020</v>
      </c>
    </row>
    <row r="802" spans="3:40" x14ac:dyDescent="0.25">
      <c r="C802" s="40"/>
      <c r="D802" s="101" t="s">
        <v>365</v>
      </c>
      <c r="E802" s="101" t="s">
        <v>366</v>
      </c>
      <c r="F802" s="102" t="s">
        <v>2750</v>
      </c>
      <c r="G802" s="52"/>
      <c r="H802" s="52"/>
      <c r="I802" s="52" t="s">
        <v>367</v>
      </c>
      <c r="J802" s="52" t="s">
        <v>367</v>
      </c>
      <c r="K802" s="59" t="s">
        <v>111</v>
      </c>
      <c r="L802" s="62" t="s">
        <v>289</v>
      </c>
      <c r="M802" s="52"/>
      <c r="N802" s="52"/>
      <c r="O802" s="52"/>
      <c r="P802" s="76" t="s">
        <v>368</v>
      </c>
      <c r="Q802" s="55">
        <f>VLOOKUP(E802,'NI-Ric_SP'!$C:$AN,12,FALSE)</f>
        <v>0</v>
      </c>
      <c r="R802" s="55">
        <f>VLOOKUP(E802,'NI-Ric_SP'!$C:$AN,13,FALSE)</f>
        <v>0</v>
      </c>
      <c r="S802" s="55"/>
      <c r="T802" s="55"/>
      <c r="U802" s="55">
        <f>VLOOKUP($E802,'NI-Ric_SP'!$C:$AN,MID(U$1,1,2),FALSE)</f>
        <v>0</v>
      </c>
      <c r="V802" s="55">
        <f>VLOOKUP($E802,'NI-Ric_SP'!$C:$AN,MID(V$1,1,2),FALSE)</f>
        <v>0</v>
      </c>
      <c r="W802" s="55">
        <f>VLOOKUP($E802,'NI-Ric_SP'!$C:$AN,MID(W$1,1,2),FALSE)</f>
        <v>0</v>
      </c>
      <c r="X802" s="55">
        <f>VLOOKUP($E802,'NI-Ric_SP'!$C:$AN,MID(X$1,1,2),FALSE)</f>
        <v>0</v>
      </c>
      <c r="Y802" s="55">
        <f>VLOOKUP($E802,'NI-Ric_SP'!$C:$AN,MID(Y$1,1,2),FALSE)</f>
        <v>0</v>
      </c>
      <c r="Z802" s="55">
        <f>VLOOKUP($E802,'NI-Ric_SP'!$C:$AN,MID(Z$1,1,2),FALSE)</f>
        <v>0</v>
      </c>
      <c r="AA802" s="55">
        <f>VLOOKUP($E802,'NI-Ric_SP'!$C:$AN,MID(AA$1,1,2),FALSE)</f>
        <v>0</v>
      </c>
      <c r="AB802" s="55">
        <f>VLOOKUP($E802,'NI-Ric_SP'!$C:$AN,MID(AB$1,1,2),FALSE)</f>
        <v>0</v>
      </c>
      <c r="AC802" s="55">
        <f>VLOOKUP($E802,'NI-Ric_SP'!$C:$AN,MID(AC$1,1,2),FALSE)</f>
        <v>0</v>
      </c>
      <c r="AD802" s="55">
        <f>VLOOKUP($E802,'NI-Ric_SP'!$C:$AN,MID(AD$1,1,2),FALSE)</f>
        <v>0</v>
      </c>
      <c r="AE802" s="55">
        <f>VLOOKUP($E802,'NI-Ric_SP'!$C:$AN,MID(AE$1,1,2),FALSE)</f>
        <v>0</v>
      </c>
      <c r="AF802" s="55">
        <f>VLOOKUP($E802,'NI-Ric_SP'!$C:$AN,MID(AF$1,1,2),FALSE)</f>
        <v>0</v>
      </c>
      <c r="AG802" s="55">
        <f>VLOOKUP($E802,'NI-Ric_SP'!$C:$AN,MID(AG$1,1,2),FALSE)</f>
        <v>0</v>
      </c>
      <c r="AH802" s="55">
        <f>VLOOKUP($E802,'NI-Ric_SP'!$C:$AN,MID(AH$1,1,2),FALSE)</f>
        <v>0</v>
      </c>
      <c r="AI802" s="55">
        <f>VLOOKUP($E802,'NI-Ric_SP'!$C:$AN,MID(AI$1,1,2),FALSE)</f>
        <v>0</v>
      </c>
      <c r="AJ802" s="55">
        <f>VLOOKUP($E802,'NI-Ric_SP'!$C:$AN,MID(AJ$1,1,2),FALSE)</f>
        <v>0</v>
      </c>
      <c r="AK802" s="55">
        <f>VLOOKUP($E802,'NI-Ric_SP'!$C:$AN,MID(AK$1,1,2),FALSE)</f>
        <v>0</v>
      </c>
      <c r="AL802" s="55">
        <f>VLOOKUP($E802,'NI-Ric_SP'!$C:$AN,MID(AL$1,1,2),FALSE)</f>
        <v>0</v>
      </c>
      <c r="AM802" s="56">
        <f>VLOOKUP($E802,'NI-Ric_SP'!$C:$AN,MID(AM$1,1,2),FALSE)</f>
        <v>0</v>
      </c>
      <c r="AN802" s="30" t="str">
        <f t="shared" si="12"/>
        <v>10105080000000</v>
      </c>
    </row>
    <row r="803" spans="3:40" x14ac:dyDescent="0.25">
      <c r="C803" s="40"/>
      <c r="D803" s="101" t="s">
        <v>369</v>
      </c>
      <c r="E803" s="101" t="s">
        <v>370</v>
      </c>
      <c r="F803" s="102" t="s">
        <v>2750</v>
      </c>
      <c r="G803" s="52"/>
      <c r="H803" s="52"/>
      <c r="I803" s="52"/>
      <c r="J803" s="52"/>
      <c r="K803" s="59" t="s">
        <v>79</v>
      </c>
      <c r="L803" s="52"/>
      <c r="M803" s="52"/>
      <c r="N803" s="52"/>
      <c r="O803" s="52"/>
      <c r="P803" s="76" t="s">
        <v>371</v>
      </c>
      <c r="Q803" s="55">
        <f>VLOOKUP(E803,'NI-Ric_SP'!$C:$AN,12,FALSE)</f>
        <v>0</v>
      </c>
      <c r="R803" s="55">
        <f>VLOOKUP(E803,'NI-Ric_SP'!$C:$AN,13,FALSE)</f>
        <v>0</v>
      </c>
      <c r="S803" s="55"/>
      <c r="T803" s="55"/>
      <c r="U803" s="55">
        <f>VLOOKUP($E803,'NI-Ric_SP'!$C:$AN,MID(U$1,1,2),FALSE)</f>
        <v>0</v>
      </c>
      <c r="V803" s="55">
        <f>VLOOKUP($E803,'NI-Ric_SP'!$C:$AN,MID(V$1,1,2),FALSE)</f>
        <v>0</v>
      </c>
      <c r="W803" s="55">
        <f>VLOOKUP($E803,'NI-Ric_SP'!$C:$AN,MID(W$1,1,2),FALSE)</f>
        <v>0</v>
      </c>
      <c r="X803" s="55">
        <f>VLOOKUP($E803,'NI-Ric_SP'!$C:$AN,MID(X$1,1,2),FALSE)</f>
        <v>0</v>
      </c>
      <c r="Y803" s="55">
        <f>VLOOKUP($E803,'NI-Ric_SP'!$C:$AN,MID(Y$1,1,2),FALSE)</f>
        <v>0</v>
      </c>
      <c r="Z803" s="55">
        <f>VLOOKUP($E803,'NI-Ric_SP'!$C:$AN,MID(Z$1,1,2),FALSE)</f>
        <v>0</v>
      </c>
      <c r="AA803" s="55">
        <f>VLOOKUP($E803,'NI-Ric_SP'!$C:$AN,MID(AA$1,1,2),FALSE)</f>
        <v>0</v>
      </c>
      <c r="AB803" s="55">
        <f>VLOOKUP($E803,'NI-Ric_SP'!$C:$AN,MID(AB$1,1,2),FALSE)</f>
        <v>0</v>
      </c>
      <c r="AC803" s="55">
        <f>VLOOKUP($E803,'NI-Ric_SP'!$C:$AN,MID(AC$1,1,2),FALSE)</f>
        <v>0</v>
      </c>
      <c r="AD803" s="55">
        <f>VLOOKUP($E803,'NI-Ric_SP'!$C:$AN,MID(AD$1,1,2),FALSE)</f>
        <v>0</v>
      </c>
      <c r="AE803" s="55">
        <f>VLOOKUP($E803,'NI-Ric_SP'!$C:$AN,MID(AE$1,1,2),FALSE)</f>
        <v>0</v>
      </c>
      <c r="AF803" s="55">
        <f>VLOOKUP($E803,'NI-Ric_SP'!$C:$AN,MID(AF$1,1,2),FALSE)</f>
        <v>0</v>
      </c>
      <c r="AG803" s="55">
        <f>VLOOKUP($E803,'NI-Ric_SP'!$C:$AN,MID(AG$1,1,2),FALSE)</f>
        <v>0</v>
      </c>
      <c r="AH803" s="55">
        <f>VLOOKUP($E803,'NI-Ric_SP'!$C:$AN,MID(AH$1,1,2),FALSE)</f>
        <v>0</v>
      </c>
      <c r="AI803" s="55">
        <f>VLOOKUP($E803,'NI-Ric_SP'!$C:$AN,MID(AI$1,1,2),FALSE)</f>
        <v>0</v>
      </c>
      <c r="AJ803" s="55">
        <f>VLOOKUP($E803,'NI-Ric_SP'!$C:$AN,MID(AJ$1,1,2),FALSE)</f>
        <v>0</v>
      </c>
      <c r="AK803" s="55">
        <f>VLOOKUP($E803,'NI-Ric_SP'!$C:$AN,MID(AK$1,1,2),FALSE)</f>
        <v>0</v>
      </c>
      <c r="AL803" s="55">
        <f>VLOOKUP($E803,'NI-Ric_SP'!$C:$AN,MID(AL$1,1,2),FALSE)</f>
        <v>0</v>
      </c>
      <c r="AM803" s="56">
        <f>VLOOKUP($E803,'NI-Ric_SP'!$C:$AN,MID(AM$1,1,2),FALSE)</f>
        <v>0</v>
      </c>
      <c r="AN803" s="30" t="str">
        <f t="shared" si="12"/>
        <v>10105080010010</v>
      </c>
    </row>
    <row r="804" spans="3:40" x14ac:dyDescent="0.25">
      <c r="C804" s="40"/>
      <c r="D804" s="101" t="s">
        <v>372</v>
      </c>
      <c r="E804" s="101" t="s">
        <v>373</v>
      </c>
      <c r="F804" s="102" t="s">
        <v>2750</v>
      </c>
      <c r="G804" s="52"/>
      <c r="H804" s="52"/>
      <c r="I804" s="52"/>
      <c r="J804" s="52"/>
      <c r="K804" s="59" t="s">
        <v>79</v>
      </c>
      <c r="L804" s="52"/>
      <c r="M804" s="52"/>
      <c r="N804" s="52"/>
      <c r="O804" s="52"/>
      <c r="P804" s="76" t="s">
        <v>374</v>
      </c>
      <c r="Q804" s="55">
        <f>VLOOKUP(E804,'NI-Ric_SP'!$C:$AN,12,FALSE)</f>
        <v>0</v>
      </c>
      <c r="R804" s="55">
        <f>VLOOKUP(E804,'NI-Ric_SP'!$C:$AN,13,FALSE)</f>
        <v>0</v>
      </c>
      <c r="S804" s="55"/>
      <c r="T804" s="55"/>
      <c r="U804" s="55">
        <f>VLOOKUP($E804,'NI-Ric_SP'!$C:$AN,MID(U$1,1,2),FALSE)</f>
        <v>0</v>
      </c>
      <c r="V804" s="55">
        <f>VLOOKUP($E804,'NI-Ric_SP'!$C:$AN,MID(V$1,1,2),FALSE)</f>
        <v>0</v>
      </c>
      <c r="W804" s="55">
        <f>VLOOKUP($E804,'NI-Ric_SP'!$C:$AN,MID(W$1,1,2),FALSE)</f>
        <v>0</v>
      </c>
      <c r="X804" s="55">
        <f>VLOOKUP($E804,'NI-Ric_SP'!$C:$AN,MID(X$1,1,2),FALSE)</f>
        <v>0</v>
      </c>
      <c r="Y804" s="55">
        <f>VLOOKUP($E804,'NI-Ric_SP'!$C:$AN,MID(Y$1,1,2),FALSE)</f>
        <v>0</v>
      </c>
      <c r="Z804" s="55">
        <f>VLOOKUP($E804,'NI-Ric_SP'!$C:$AN,MID(Z$1,1,2),FALSE)</f>
        <v>0</v>
      </c>
      <c r="AA804" s="55">
        <f>VLOOKUP($E804,'NI-Ric_SP'!$C:$AN,MID(AA$1,1,2),FALSE)</f>
        <v>0</v>
      </c>
      <c r="AB804" s="55">
        <f>VLOOKUP($E804,'NI-Ric_SP'!$C:$AN,MID(AB$1,1,2),FALSE)</f>
        <v>0</v>
      </c>
      <c r="AC804" s="55">
        <f>VLOOKUP($E804,'NI-Ric_SP'!$C:$AN,MID(AC$1,1,2),FALSE)</f>
        <v>0</v>
      </c>
      <c r="AD804" s="55">
        <f>VLOOKUP($E804,'NI-Ric_SP'!$C:$AN,MID(AD$1,1,2),FALSE)</f>
        <v>0</v>
      </c>
      <c r="AE804" s="55">
        <f>VLOOKUP($E804,'NI-Ric_SP'!$C:$AN,MID(AE$1,1,2),FALSE)</f>
        <v>0</v>
      </c>
      <c r="AF804" s="55">
        <f>VLOOKUP($E804,'NI-Ric_SP'!$C:$AN,MID(AF$1,1,2),FALSE)</f>
        <v>0</v>
      </c>
      <c r="AG804" s="55">
        <f>VLOOKUP($E804,'NI-Ric_SP'!$C:$AN,MID(AG$1,1,2),FALSE)</f>
        <v>0</v>
      </c>
      <c r="AH804" s="55">
        <f>VLOOKUP($E804,'NI-Ric_SP'!$C:$AN,MID(AH$1,1,2),FALSE)</f>
        <v>0</v>
      </c>
      <c r="AI804" s="55">
        <f>VLOOKUP($E804,'NI-Ric_SP'!$C:$AN,MID(AI$1,1,2),FALSE)</f>
        <v>0</v>
      </c>
      <c r="AJ804" s="55">
        <f>VLOOKUP($E804,'NI-Ric_SP'!$C:$AN,MID(AJ$1,1,2),FALSE)</f>
        <v>0</v>
      </c>
      <c r="AK804" s="55">
        <f>VLOOKUP($E804,'NI-Ric_SP'!$C:$AN,MID(AK$1,1,2),FALSE)</f>
        <v>0</v>
      </c>
      <c r="AL804" s="55">
        <f>VLOOKUP($E804,'NI-Ric_SP'!$C:$AN,MID(AL$1,1,2),FALSE)</f>
        <v>0</v>
      </c>
      <c r="AM804" s="56">
        <f>VLOOKUP($E804,'NI-Ric_SP'!$C:$AN,MID(AM$1,1,2),FALSE)</f>
        <v>0</v>
      </c>
      <c r="AN804" s="30" t="str">
        <f t="shared" si="12"/>
        <v>10105080010020</v>
      </c>
    </row>
    <row r="805" spans="3:40" x14ac:dyDescent="0.25">
      <c r="C805" s="40"/>
      <c r="D805" s="101" t="s">
        <v>375</v>
      </c>
      <c r="E805" s="101" t="s">
        <v>376</v>
      </c>
      <c r="F805" s="102" t="s">
        <v>2750</v>
      </c>
      <c r="G805" s="52"/>
      <c r="H805" s="52"/>
      <c r="I805" s="52"/>
      <c r="J805" s="52"/>
      <c r="K805" s="59" t="s">
        <v>79</v>
      </c>
      <c r="L805" s="52"/>
      <c r="M805" s="52"/>
      <c r="N805" s="52"/>
      <c r="O805" s="52"/>
      <c r="P805" s="76" t="s">
        <v>377</v>
      </c>
      <c r="Q805" s="55">
        <f>VLOOKUP(E805,'NI-Ric_SP'!$C:$AN,12,FALSE)</f>
        <v>0</v>
      </c>
      <c r="R805" s="55">
        <f>VLOOKUP(E805,'NI-Ric_SP'!$C:$AN,13,FALSE)</f>
        <v>0</v>
      </c>
      <c r="S805" s="55"/>
      <c r="T805" s="55"/>
      <c r="U805" s="55">
        <f>VLOOKUP($E805,'NI-Ric_SP'!$C:$AN,MID(U$1,1,2),FALSE)</f>
        <v>0</v>
      </c>
      <c r="V805" s="55">
        <f>VLOOKUP($E805,'NI-Ric_SP'!$C:$AN,MID(V$1,1,2),FALSE)</f>
        <v>0</v>
      </c>
      <c r="W805" s="55">
        <f>VLOOKUP($E805,'NI-Ric_SP'!$C:$AN,MID(W$1,1,2),FALSE)</f>
        <v>0</v>
      </c>
      <c r="X805" s="55">
        <f>VLOOKUP($E805,'NI-Ric_SP'!$C:$AN,MID(X$1,1,2),FALSE)</f>
        <v>0</v>
      </c>
      <c r="Y805" s="55">
        <f>VLOOKUP($E805,'NI-Ric_SP'!$C:$AN,MID(Y$1,1,2),FALSE)</f>
        <v>0</v>
      </c>
      <c r="Z805" s="55">
        <f>VLOOKUP($E805,'NI-Ric_SP'!$C:$AN,MID(Z$1,1,2),FALSE)</f>
        <v>0</v>
      </c>
      <c r="AA805" s="55">
        <f>VLOOKUP($E805,'NI-Ric_SP'!$C:$AN,MID(AA$1,1,2),FALSE)</f>
        <v>0</v>
      </c>
      <c r="AB805" s="55">
        <f>VLOOKUP($E805,'NI-Ric_SP'!$C:$AN,MID(AB$1,1,2),FALSE)</f>
        <v>0</v>
      </c>
      <c r="AC805" s="55">
        <f>VLOOKUP($E805,'NI-Ric_SP'!$C:$AN,MID(AC$1,1,2),FALSE)</f>
        <v>0</v>
      </c>
      <c r="AD805" s="55">
        <f>VLOOKUP($E805,'NI-Ric_SP'!$C:$AN,MID(AD$1,1,2),FALSE)</f>
        <v>0</v>
      </c>
      <c r="AE805" s="55">
        <f>VLOOKUP($E805,'NI-Ric_SP'!$C:$AN,MID(AE$1,1,2),FALSE)</f>
        <v>0</v>
      </c>
      <c r="AF805" s="55">
        <f>VLOOKUP($E805,'NI-Ric_SP'!$C:$AN,MID(AF$1,1,2),FALSE)</f>
        <v>0</v>
      </c>
      <c r="AG805" s="55">
        <f>VLOOKUP($E805,'NI-Ric_SP'!$C:$AN,MID(AG$1,1,2),FALSE)</f>
        <v>0</v>
      </c>
      <c r="AH805" s="55">
        <f>VLOOKUP($E805,'NI-Ric_SP'!$C:$AN,MID(AH$1,1,2),FALSE)</f>
        <v>0</v>
      </c>
      <c r="AI805" s="55">
        <f>VLOOKUP($E805,'NI-Ric_SP'!$C:$AN,MID(AI$1,1,2),FALSE)</f>
        <v>0</v>
      </c>
      <c r="AJ805" s="55">
        <f>VLOOKUP($E805,'NI-Ric_SP'!$C:$AN,MID(AJ$1,1,2),FALSE)</f>
        <v>0</v>
      </c>
      <c r="AK805" s="55">
        <f>VLOOKUP($E805,'NI-Ric_SP'!$C:$AN,MID(AK$1,1,2),FALSE)</f>
        <v>0</v>
      </c>
      <c r="AL805" s="55">
        <f>VLOOKUP($E805,'NI-Ric_SP'!$C:$AN,MID(AL$1,1,2),FALSE)</f>
        <v>0</v>
      </c>
      <c r="AM805" s="56">
        <f>VLOOKUP($E805,'NI-Ric_SP'!$C:$AN,MID(AM$1,1,2),FALSE)</f>
        <v>0</v>
      </c>
      <c r="AN805" s="30" t="str">
        <f t="shared" si="12"/>
        <v>10105080020010</v>
      </c>
    </row>
    <row r="806" spans="3:40" x14ac:dyDescent="0.25">
      <c r="C806" s="40"/>
      <c r="D806" s="101" t="s">
        <v>378</v>
      </c>
      <c r="E806" s="101" t="s">
        <v>379</v>
      </c>
      <c r="F806" s="102" t="s">
        <v>2750</v>
      </c>
      <c r="G806" s="52"/>
      <c r="H806" s="52"/>
      <c r="I806" s="52"/>
      <c r="J806" s="52"/>
      <c r="K806" s="59" t="s">
        <v>79</v>
      </c>
      <c r="L806" s="52"/>
      <c r="M806" s="52"/>
      <c r="N806" s="52"/>
      <c r="O806" s="52"/>
      <c r="P806" s="76" t="s">
        <v>380</v>
      </c>
      <c r="Q806" s="55">
        <f>VLOOKUP(E806,'NI-Ric_SP'!$C:$AN,12,FALSE)</f>
        <v>0</v>
      </c>
      <c r="R806" s="55">
        <f>VLOOKUP(E806,'NI-Ric_SP'!$C:$AN,13,FALSE)</f>
        <v>0</v>
      </c>
      <c r="S806" s="55"/>
      <c r="T806" s="55"/>
      <c r="U806" s="55">
        <f>VLOOKUP($E806,'NI-Ric_SP'!$C:$AN,MID(U$1,1,2),FALSE)</f>
        <v>0</v>
      </c>
      <c r="V806" s="55">
        <f>VLOOKUP($E806,'NI-Ric_SP'!$C:$AN,MID(V$1,1,2),FALSE)</f>
        <v>0</v>
      </c>
      <c r="W806" s="55">
        <f>VLOOKUP($E806,'NI-Ric_SP'!$C:$AN,MID(W$1,1,2),FALSE)</f>
        <v>0</v>
      </c>
      <c r="X806" s="55">
        <f>VLOOKUP($E806,'NI-Ric_SP'!$C:$AN,MID(X$1,1,2),FALSE)</f>
        <v>0</v>
      </c>
      <c r="Y806" s="55">
        <f>VLOOKUP($E806,'NI-Ric_SP'!$C:$AN,MID(Y$1,1,2),FALSE)</f>
        <v>0</v>
      </c>
      <c r="Z806" s="55">
        <f>VLOOKUP($E806,'NI-Ric_SP'!$C:$AN,MID(Z$1,1,2),FALSE)</f>
        <v>0</v>
      </c>
      <c r="AA806" s="55">
        <f>VLOOKUP($E806,'NI-Ric_SP'!$C:$AN,MID(AA$1,1,2),FALSE)</f>
        <v>0</v>
      </c>
      <c r="AB806" s="55">
        <f>VLOOKUP($E806,'NI-Ric_SP'!$C:$AN,MID(AB$1,1,2),FALSE)</f>
        <v>0</v>
      </c>
      <c r="AC806" s="55">
        <f>VLOOKUP($E806,'NI-Ric_SP'!$C:$AN,MID(AC$1,1,2),FALSE)</f>
        <v>0</v>
      </c>
      <c r="AD806" s="55">
        <f>VLOOKUP($E806,'NI-Ric_SP'!$C:$AN,MID(AD$1,1,2),FALSE)</f>
        <v>0</v>
      </c>
      <c r="AE806" s="55">
        <f>VLOOKUP($E806,'NI-Ric_SP'!$C:$AN,MID(AE$1,1,2),FALSE)</f>
        <v>0</v>
      </c>
      <c r="AF806" s="55">
        <f>VLOOKUP($E806,'NI-Ric_SP'!$C:$AN,MID(AF$1,1,2),FALSE)</f>
        <v>0</v>
      </c>
      <c r="AG806" s="55">
        <f>VLOOKUP($E806,'NI-Ric_SP'!$C:$AN,MID(AG$1,1,2),FALSE)</f>
        <v>0</v>
      </c>
      <c r="AH806" s="55">
        <f>VLOOKUP($E806,'NI-Ric_SP'!$C:$AN,MID(AH$1,1,2),FALSE)</f>
        <v>0</v>
      </c>
      <c r="AI806" s="55">
        <f>VLOOKUP($E806,'NI-Ric_SP'!$C:$AN,MID(AI$1,1,2),FALSE)</f>
        <v>0</v>
      </c>
      <c r="AJ806" s="55">
        <f>VLOOKUP($E806,'NI-Ric_SP'!$C:$AN,MID(AJ$1,1,2),FALSE)</f>
        <v>0</v>
      </c>
      <c r="AK806" s="55">
        <f>VLOOKUP($E806,'NI-Ric_SP'!$C:$AN,MID(AK$1,1,2),FALSE)</f>
        <v>0</v>
      </c>
      <c r="AL806" s="55">
        <f>VLOOKUP($E806,'NI-Ric_SP'!$C:$AN,MID(AL$1,1,2),FALSE)</f>
        <v>0</v>
      </c>
      <c r="AM806" s="56">
        <f>VLOOKUP($E806,'NI-Ric_SP'!$C:$AN,MID(AM$1,1,2),FALSE)</f>
        <v>0</v>
      </c>
      <c r="AN806" s="30" t="str">
        <f t="shared" si="12"/>
        <v>10105080020020</v>
      </c>
    </row>
    <row r="807" spans="3:40" x14ac:dyDescent="0.25">
      <c r="C807" s="40"/>
      <c r="D807" s="101" t="s">
        <v>381</v>
      </c>
      <c r="E807" s="101" t="s">
        <v>382</v>
      </c>
      <c r="F807" s="102" t="s">
        <v>2750</v>
      </c>
      <c r="G807" s="52"/>
      <c r="H807" s="52"/>
      <c r="I807" s="52"/>
      <c r="J807" s="52"/>
      <c r="K807" s="59" t="s">
        <v>111</v>
      </c>
      <c r="L807" s="52"/>
      <c r="M807" s="52"/>
      <c r="N807" s="52"/>
      <c r="O807" s="52"/>
      <c r="P807" s="76" t="s">
        <v>383</v>
      </c>
      <c r="Q807" s="55">
        <f>-VLOOKUP(E807,'NI-Ric_SP'!$C:$AN,12,FALSE)</f>
        <v>0</v>
      </c>
      <c r="R807" s="55">
        <f>-VLOOKUP(E807,'NI-Ric_SP'!$C:$AN,13,FALSE)</f>
        <v>0</v>
      </c>
      <c r="S807" s="55"/>
      <c r="T807" s="55"/>
      <c r="U807" s="55">
        <f>VLOOKUP($E807,'NI-Ric_SP'!$C:$AN,MID(U$1,1,2),FALSE)</f>
        <v>0</v>
      </c>
      <c r="V807" s="55">
        <f>VLOOKUP($E807,'NI-Ric_SP'!$C:$AN,MID(V$1,1,2),FALSE)</f>
        <v>0</v>
      </c>
      <c r="W807" s="55">
        <f>VLOOKUP($E807,'NI-Ric_SP'!$C:$AN,MID(W$1,1,2),FALSE)</f>
        <v>0</v>
      </c>
      <c r="X807" s="55">
        <f>VLOOKUP($E807,'NI-Ric_SP'!$C:$AN,MID(X$1,1,2),FALSE)</f>
        <v>0</v>
      </c>
      <c r="Y807" s="55">
        <f>VLOOKUP($E807,'NI-Ric_SP'!$C:$AN,MID(Y$1,1,2),FALSE)</f>
        <v>0</v>
      </c>
      <c r="Z807" s="55">
        <f>VLOOKUP($E807,'NI-Ric_SP'!$C:$AN,MID(Z$1,1,2),FALSE)</f>
        <v>0</v>
      </c>
      <c r="AA807" s="55">
        <f>VLOOKUP($E807,'NI-Ric_SP'!$C:$AN,MID(AA$1,1,2),FALSE)</f>
        <v>0</v>
      </c>
      <c r="AB807" s="55">
        <f>VLOOKUP($E807,'NI-Ric_SP'!$C:$AN,MID(AB$1,1,2),FALSE)</f>
        <v>0</v>
      </c>
      <c r="AC807" s="55">
        <f>VLOOKUP($E807,'NI-Ric_SP'!$C:$AN,MID(AC$1,1,2),FALSE)</f>
        <v>0</v>
      </c>
      <c r="AD807" s="55">
        <f>VLOOKUP($E807,'NI-Ric_SP'!$C:$AN,MID(AD$1,1,2),FALSE)</f>
        <v>0</v>
      </c>
      <c r="AE807" s="55">
        <f>VLOOKUP($E807,'NI-Ric_SP'!$C:$AN,MID(AE$1,1,2),FALSE)</f>
        <v>0</v>
      </c>
      <c r="AF807" s="55">
        <f>VLOOKUP($E807,'NI-Ric_SP'!$C:$AN,MID(AF$1,1,2),FALSE)</f>
        <v>0</v>
      </c>
      <c r="AG807" s="55">
        <f>VLOOKUP($E807,'NI-Ric_SP'!$C:$AN,MID(AG$1,1,2),FALSE)</f>
        <v>0</v>
      </c>
      <c r="AH807" s="55">
        <f>VLOOKUP($E807,'NI-Ric_SP'!$C:$AN,MID(AH$1,1,2),FALSE)</f>
        <v>0</v>
      </c>
      <c r="AI807" s="55">
        <f>VLOOKUP($E807,'NI-Ric_SP'!$C:$AN,MID(AI$1,1,2),FALSE)</f>
        <v>0</v>
      </c>
      <c r="AJ807" s="55">
        <f>VLOOKUP($E807,'NI-Ric_SP'!$C:$AN,MID(AJ$1,1,2),FALSE)</f>
        <v>0</v>
      </c>
      <c r="AK807" s="55">
        <f>VLOOKUP($E807,'NI-Ric_SP'!$C:$AN,MID(AK$1,1,2),FALSE)</f>
        <v>0</v>
      </c>
      <c r="AL807" s="55">
        <f>VLOOKUP($E807,'NI-Ric_SP'!$C:$AN,MID(AL$1,1,2),FALSE)</f>
        <v>0</v>
      </c>
      <c r="AM807" s="56">
        <f>VLOOKUP($E807,'NI-Ric_SP'!$C:$AN,MID(AM$1,1,2),FALSE)</f>
        <v>0</v>
      </c>
      <c r="AN807" s="30" t="str">
        <f t="shared" si="12"/>
        <v>10106000000000</v>
      </c>
    </row>
    <row r="808" spans="3:40" x14ac:dyDescent="0.25">
      <c r="C808" s="40"/>
      <c r="D808" s="101" t="s">
        <v>384</v>
      </c>
      <c r="E808" s="101" t="s">
        <v>385</v>
      </c>
      <c r="F808" s="102" t="s">
        <v>2750</v>
      </c>
      <c r="G808" s="52"/>
      <c r="H808" s="52"/>
      <c r="I808" s="52" t="s">
        <v>386</v>
      </c>
      <c r="J808" s="52" t="s">
        <v>386</v>
      </c>
      <c r="K808" s="59" t="s">
        <v>111</v>
      </c>
      <c r="L808" s="62" t="s">
        <v>387</v>
      </c>
      <c r="M808" s="52"/>
      <c r="N808" s="52"/>
      <c r="O808" s="61" t="s">
        <v>121</v>
      </c>
      <c r="P808" s="76" t="s">
        <v>388</v>
      </c>
      <c r="Q808" s="55">
        <f>-VLOOKUP(E808,'NI-Ric_SP'!$C:$AN,12,FALSE)</f>
        <v>0</v>
      </c>
      <c r="R808" s="55">
        <f>-VLOOKUP(E808,'NI-Ric_SP'!$C:$AN,13,FALSE)</f>
        <v>0</v>
      </c>
      <c r="S808" s="55"/>
      <c r="T808" s="55"/>
      <c r="U808" s="55">
        <f>VLOOKUP($E808,'NI-Ric_SP'!$C:$AN,MID(U$1,1,2),FALSE)</f>
        <v>0</v>
      </c>
      <c r="V808" s="55">
        <f>VLOOKUP($E808,'NI-Ric_SP'!$C:$AN,MID(V$1,1,2),FALSE)</f>
        <v>0</v>
      </c>
      <c r="W808" s="55">
        <f>VLOOKUP($E808,'NI-Ric_SP'!$C:$AN,MID(W$1,1,2),FALSE)</f>
        <v>0</v>
      </c>
      <c r="X808" s="55">
        <f>VLOOKUP($E808,'NI-Ric_SP'!$C:$AN,MID(X$1,1,2),FALSE)</f>
        <v>0</v>
      </c>
      <c r="Y808" s="55">
        <f>VLOOKUP($E808,'NI-Ric_SP'!$C:$AN,MID(Y$1,1,2),FALSE)</f>
        <v>0</v>
      </c>
      <c r="Z808" s="55">
        <f>VLOOKUP($E808,'NI-Ric_SP'!$C:$AN,MID(Z$1,1,2),FALSE)</f>
        <v>0</v>
      </c>
      <c r="AA808" s="55">
        <f>VLOOKUP($E808,'NI-Ric_SP'!$C:$AN,MID(AA$1,1,2),FALSE)</f>
        <v>0</v>
      </c>
      <c r="AB808" s="55">
        <f>VLOOKUP($E808,'NI-Ric_SP'!$C:$AN,MID(AB$1,1,2),FALSE)</f>
        <v>0</v>
      </c>
      <c r="AC808" s="55">
        <f>VLOOKUP($E808,'NI-Ric_SP'!$C:$AN,MID(AC$1,1,2),FALSE)</f>
        <v>0</v>
      </c>
      <c r="AD808" s="55">
        <f>VLOOKUP($E808,'NI-Ric_SP'!$C:$AN,MID(AD$1,1,2),FALSE)</f>
        <v>0</v>
      </c>
      <c r="AE808" s="55">
        <f>VLOOKUP($E808,'NI-Ric_SP'!$C:$AN,MID(AE$1,1,2),FALSE)</f>
        <v>0</v>
      </c>
      <c r="AF808" s="55">
        <f>VLOOKUP($E808,'NI-Ric_SP'!$C:$AN,MID(AF$1,1,2),FALSE)</f>
        <v>0</v>
      </c>
      <c r="AG808" s="55">
        <f>VLOOKUP($E808,'NI-Ric_SP'!$C:$AN,MID(AG$1,1,2),FALSE)</f>
        <v>0</v>
      </c>
      <c r="AH808" s="55">
        <f>VLOOKUP($E808,'NI-Ric_SP'!$C:$AN,MID(AH$1,1,2),FALSE)</f>
        <v>0</v>
      </c>
      <c r="AI808" s="55">
        <f>VLOOKUP($E808,'NI-Ric_SP'!$C:$AN,MID(AI$1,1,2),FALSE)</f>
        <v>0</v>
      </c>
      <c r="AJ808" s="55">
        <f>VLOOKUP($E808,'NI-Ric_SP'!$C:$AN,MID(AJ$1,1,2),FALSE)</f>
        <v>0</v>
      </c>
      <c r="AK808" s="55">
        <f>VLOOKUP($E808,'NI-Ric_SP'!$C:$AN,MID(AK$1,1,2),FALSE)</f>
        <v>0</v>
      </c>
      <c r="AL808" s="55">
        <f>VLOOKUP($E808,'NI-Ric_SP'!$C:$AN,MID(AL$1,1,2),FALSE)</f>
        <v>0</v>
      </c>
      <c r="AM808" s="56">
        <f>VLOOKUP($E808,'NI-Ric_SP'!$C:$AN,MID(AM$1,1,2),FALSE)</f>
        <v>0</v>
      </c>
      <c r="AN808" s="30" t="str">
        <f t="shared" si="12"/>
        <v>10106010000000</v>
      </c>
    </row>
    <row r="809" spans="3:40" x14ac:dyDescent="0.25">
      <c r="C809" s="40"/>
      <c r="D809" s="101" t="s">
        <v>389</v>
      </c>
      <c r="E809" s="101" t="s">
        <v>390</v>
      </c>
      <c r="F809" s="102" t="s">
        <v>2750</v>
      </c>
      <c r="G809" s="52"/>
      <c r="H809" s="52"/>
      <c r="I809" s="52"/>
      <c r="J809" s="52"/>
      <c r="K809" s="59" t="s">
        <v>79</v>
      </c>
      <c r="L809" s="52"/>
      <c r="M809" s="52"/>
      <c r="N809" s="52"/>
      <c r="O809" s="52"/>
      <c r="P809" s="76" t="s">
        <v>391</v>
      </c>
      <c r="Q809" s="55">
        <f>-VLOOKUP(E809,'NI-Ric_SP'!$C:$AN,12,FALSE)</f>
        <v>0</v>
      </c>
      <c r="R809" s="55">
        <f>-VLOOKUP(E809,'NI-Ric_SP'!$C:$AN,13,FALSE)</f>
        <v>0</v>
      </c>
      <c r="S809" s="55"/>
      <c r="T809" s="55"/>
      <c r="U809" s="55">
        <f>VLOOKUP($E809,'NI-Ric_SP'!$C:$AN,MID(U$1,1,2),FALSE)</f>
        <v>0</v>
      </c>
      <c r="V809" s="55">
        <f>VLOOKUP($E809,'NI-Ric_SP'!$C:$AN,MID(V$1,1,2),FALSE)</f>
        <v>0</v>
      </c>
      <c r="W809" s="55">
        <f>VLOOKUP($E809,'NI-Ric_SP'!$C:$AN,MID(W$1,1,2),FALSE)</f>
        <v>0</v>
      </c>
      <c r="X809" s="55">
        <f>VLOOKUP($E809,'NI-Ric_SP'!$C:$AN,MID(X$1,1,2),FALSE)</f>
        <v>0</v>
      </c>
      <c r="Y809" s="55">
        <f>VLOOKUP($E809,'NI-Ric_SP'!$C:$AN,MID(Y$1,1,2),FALSE)</f>
        <v>0</v>
      </c>
      <c r="Z809" s="55">
        <f>VLOOKUP($E809,'NI-Ric_SP'!$C:$AN,MID(Z$1,1,2),FALSE)</f>
        <v>0</v>
      </c>
      <c r="AA809" s="55">
        <f>VLOOKUP($E809,'NI-Ric_SP'!$C:$AN,MID(AA$1,1,2),FALSE)</f>
        <v>0</v>
      </c>
      <c r="AB809" s="55">
        <f>VLOOKUP($E809,'NI-Ric_SP'!$C:$AN,MID(AB$1,1,2),FALSE)</f>
        <v>0</v>
      </c>
      <c r="AC809" s="55">
        <f>VLOOKUP($E809,'NI-Ric_SP'!$C:$AN,MID(AC$1,1,2),FALSE)</f>
        <v>0</v>
      </c>
      <c r="AD809" s="55">
        <f>VLOOKUP($E809,'NI-Ric_SP'!$C:$AN,MID(AD$1,1,2),FALSE)</f>
        <v>0</v>
      </c>
      <c r="AE809" s="55">
        <f>VLOOKUP($E809,'NI-Ric_SP'!$C:$AN,MID(AE$1,1,2),FALSE)</f>
        <v>0</v>
      </c>
      <c r="AF809" s="55">
        <f>VLOOKUP($E809,'NI-Ric_SP'!$C:$AN,MID(AF$1,1,2),FALSE)</f>
        <v>0</v>
      </c>
      <c r="AG809" s="55">
        <f>VLOOKUP($E809,'NI-Ric_SP'!$C:$AN,MID(AG$1,1,2),FALSE)</f>
        <v>0</v>
      </c>
      <c r="AH809" s="55">
        <f>VLOOKUP($E809,'NI-Ric_SP'!$C:$AN,MID(AH$1,1,2),FALSE)</f>
        <v>0</v>
      </c>
      <c r="AI809" s="55">
        <f>VLOOKUP($E809,'NI-Ric_SP'!$C:$AN,MID(AI$1,1,2),FALSE)</f>
        <v>0</v>
      </c>
      <c r="AJ809" s="55">
        <f>VLOOKUP($E809,'NI-Ric_SP'!$C:$AN,MID(AJ$1,1,2),FALSE)</f>
        <v>0</v>
      </c>
      <c r="AK809" s="55">
        <f>VLOOKUP($E809,'NI-Ric_SP'!$C:$AN,MID(AK$1,1,2),FALSE)</f>
        <v>0</v>
      </c>
      <c r="AL809" s="55">
        <f>VLOOKUP($E809,'NI-Ric_SP'!$C:$AN,MID(AL$1,1,2),FALSE)</f>
        <v>0</v>
      </c>
      <c r="AM809" s="56">
        <f>VLOOKUP($E809,'NI-Ric_SP'!$C:$AN,MID(AM$1,1,2),FALSE)</f>
        <v>0</v>
      </c>
      <c r="AN809" s="30" t="str">
        <f t="shared" si="12"/>
        <v>10106010010000</v>
      </c>
    </row>
    <row r="810" spans="3:40" x14ac:dyDescent="0.25">
      <c r="C810" s="40"/>
      <c r="D810" s="101" t="s">
        <v>392</v>
      </c>
      <c r="E810" s="101" t="s">
        <v>393</v>
      </c>
      <c r="F810" s="102" t="s">
        <v>2750</v>
      </c>
      <c r="G810" s="52"/>
      <c r="H810" s="52"/>
      <c r="I810" s="52"/>
      <c r="J810" s="52"/>
      <c r="K810" s="59" t="s">
        <v>79</v>
      </c>
      <c r="L810" s="52"/>
      <c r="M810" s="52"/>
      <c r="N810" s="52"/>
      <c r="O810" s="52"/>
      <c r="P810" s="76" t="s">
        <v>394</v>
      </c>
      <c r="Q810" s="55">
        <f>-VLOOKUP(E810,'NI-Ric_SP'!$C:$AN,12,FALSE)</f>
        <v>0</v>
      </c>
      <c r="R810" s="55">
        <f>-VLOOKUP(E810,'NI-Ric_SP'!$C:$AN,13,FALSE)</f>
        <v>0</v>
      </c>
      <c r="S810" s="55"/>
      <c r="T810" s="55"/>
      <c r="U810" s="55">
        <f>VLOOKUP($E810,'NI-Ric_SP'!$C:$AN,MID(U$1,1,2),FALSE)</f>
        <v>0</v>
      </c>
      <c r="V810" s="55">
        <f>VLOOKUP($E810,'NI-Ric_SP'!$C:$AN,MID(V$1,1,2),FALSE)</f>
        <v>0</v>
      </c>
      <c r="W810" s="55">
        <f>VLOOKUP($E810,'NI-Ric_SP'!$C:$AN,MID(W$1,1,2),FALSE)</f>
        <v>0</v>
      </c>
      <c r="X810" s="55">
        <f>VLOOKUP($E810,'NI-Ric_SP'!$C:$AN,MID(X$1,1,2),FALSE)</f>
        <v>0</v>
      </c>
      <c r="Y810" s="55">
        <f>VLOOKUP($E810,'NI-Ric_SP'!$C:$AN,MID(Y$1,1,2),FALSE)</f>
        <v>0</v>
      </c>
      <c r="Z810" s="55">
        <f>VLOOKUP($E810,'NI-Ric_SP'!$C:$AN,MID(Z$1,1,2),FALSE)</f>
        <v>0</v>
      </c>
      <c r="AA810" s="55">
        <f>VLOOKUP($E810,'NI-Ric_SP'!$C:$AN,MID(AA$1,1,2),FALSE)</f>
        <v>0</v>
      </c>
      <c r="AB810" s="55">
        <f>VLOOKUP($E810,'NI-Ric_SP'!$C:$AN,MID(AB$1,1,2),FALSE)</f>
        <v>0</v>
      </c>
      <c r="AC810" s="55">
        <f>VLOOKUP($E810,'NI-Ric_SP'!$C:$AN,MID(AC$1,1,2),FALSE)</f>
        <v>0</v>
      </c>
      <c r="AD810" s="55">
        <f>VLOOKUP($E810,'NI-Ric_SP'!$C:$AN,MID(AD$1,1,2),FALSE)</f>
        <v>0</v>
      </c>
      <c r="AE810" s="55">
        <f>VLOOKUP($E810,'NI-Ric_SP'!$C:$AN,MID(AE$1,1,2),FALSE)</f>
        <v>0</v>
      </c>
      <c r="AF810" s="55">
        <f>VLOOKUP($E810,'NI-Ric_SP'!$C:$AN,MID(AF$1,1,2),FALSE)</f>
        <v>0</v>
      </c>
      <c r="AG810" s="55">
        <f>VLOOKUP($E810,'NI-Ric_SP'!$C:$AN,MID(AG$1,1,2),FALSE)</f>
        <v>0</v>
      </c>
      <c r="AH810" s="55">
        <f>VLOOKUP($E810,'NI-Ric_SP'!$C:$AN,MID(AH$1,1,2),FALSE)</f>
        <v>0</v>
      </c>
      <c r="AI810" s="55">
        <f>VLOOKUP($E810,'NI-Ric_SP'!$C:$AN,MID(AI$1,1,2),FALSE)</f>
        <v>0</v>
      </c>
      <c r="AJ810" s="55">
        <f>VLOOKUP($E810,'NI-Ric_SP'!$C:$AN,MID(AJ$1,1,2),FALSE)</f>
        <v>0</v>
      </c>
      <c r="AK810" s="55">
        <f>VLOOKUP($E810,'NI-Ric_SP'!$C:$AN,MID(AK$1,1,2),FALSE)</f>
        <v>0</v>
      </c>
      <c r="AL810" s="55">
        <f>VLOOKUP($E810,'NI-Ric_SP'!$C:$AN,MID(AL$1,1,2),FALSE)</f>
        <v>0</v>
      </c>
      <c r="AM810" s="56">
        <f>VLOOKUP($E810,'NI-Ric_SP'!$C:$AN,MID(AM$1,1,2),FALSE)</f>
        <v>0</v>
      </c>
      <c r="AN810" s="30" t="str">
        <f t="shared" si="12"/>
        <v>10106010020000</v>
      </c>
    </row>
    <row r="811" spans="3:40" x14ac:dyDescent="0.25">
      <c r="C811" s="40"/>
      <c r="D811" s="101" t="s">
        <v>395</v>
      </c>
      <c r="E811" s="101" t="s">
        <v>396</v>
      </c>
      <c r="F811" s="102" t="s">
        <v>2750</v>
      </c>
      <c r="G811" s="52"/>
      <c r="H811" s="52"/>
      <c r="I811" s="52" t="s">
        <v>397</v>
      </c>
      <c r="J811" s="52" t="s">
        <v>397</v>
      </c>
      <c r="K811" s="59" t="s">
        <v>111</v>
      </c>
      <c r="L811" s="62" t="s">
        <v>398</v>
      </c>
      <c r="M811" s="52"/>
      <c r="N811" s="52"/>
      <c r="O811" s="61" t="s">
        <v>147</v>
      </c>
      <c r="P811" s="76" t="s">
        <v>399</v>
      </c>
      <c r="Q811" s="55">
        <f>-VLOOKUP(E811,'NI-Ric_SP'!$C:$AN,12,FALSE)</f>
        <v>0</v>
      </c>
      <c r="R811" s="55">
        <f>-VLOOKUP(E811,'NI-Ric_SP'!$C:$AN,13,FALSE)</f>
        <v>0</v>
      </c>
      <c r="S811" s="55"/>
      <c r="T811" s="55"/>
      <c r="U811" s="55">
        <f>VLOOKUP($E811,'NI-Ric_SP'!$C:$AN,MID(U$1,1,2),FALSE)</f>
        <v>0</v>
      </c>
      <c r="V811" s="55">
        <f>VLOOKUP($E811,'NI-Ric_SP'!$C:$AN,MID(V$1,1,2),FALSE)</f>
        <v>0</v>
      </c>
      <c r="W811" s="55">
        <f>VLOOKUP($E811,'NI-Ric_SP'!$C:$AN,MID(W$1,1,2),FALSE)</f>
        <v>0</v>
      </c>
      <c r="X811" s="55">
        <f>VLOOKUP($E811,'NI-Ric_SP'!$C:$AN,MID(X$1,1,2),FALSE)</f>
        <v>0</v>
      </c>
      <c r="Y811" s="55">
        <f>VLOOKUP($E811,'NI-Ric_SP'!$C:$AN,MID(Y$1,1,2),FALSE)</f>
        <v>0</v>
      </c>
      <c r="Z811" s="55">
        <f>VLOOKUP($E811,'NI-Ric_SP'!$C:$AN,MID(Z$1,1,2),FALSE)</f>
        <v>0</v>
      </c>
      <c r="AA811" s="55">
        <f>VLOOKUP($E811,'NI-Ric_SP'!$C:$AN,MID(AA$1,1,2),FALSE)</f>
        <v>0</v>
      </c>
      <c r="AB811" s="55">
        <f>VLOOKUP($E811,'NI-Ric_SP'!$C:$AN,MID(AB$1,1,2),FALSE)</f>
        <v>0</v>
      </c>
      <c r="AC811" s="55">
        <f>VLOOKUP($E811,'NI-Ric_SP'!$C:$AN,MID(AC$1,1,2),FALSE)</f>
        <v>0</v>
      </c>
      <c r="AD811" s="55">
        <f>VLOOKUP($E811,'NI-Ric_SP'!$C:$AN,MID(AD$1,1,2),FALSE)</f>
        <v>0</v>
      </c>
      <c r="AE811" s="55">
        <f>VLOOKUP($E811,'NI-Ric_SP'!$C:$AN,MID(AE$1,1,2),FALSE)</f>
        <v>0</v>
      </c>
      <c r="AF811" s="55">
        <f>VLOOKUP($E811,'NI-Ric_SP'!$C:$AN,MID(AF$1,1,2),FALSE)</f>
        <v>0</v>
      </c>
      <c r="AG811" s="55">
        <f>VLOOKUP($E811,'NI-Ric_SP'!$C:$AN,MID(AG$1,1,2),FALSE)</f>
        <v>0</v>
      </c>
      <c r="AH811" s="55">
        <f>VLOOKUP($E811,'NI-Ric_SP'!$C:$AN,MID(AH$1,1,2),FALSE)</f>
        <v>0</v>
      </c>
      <c r="AI811" s="55">
        <f>VLOOKUP($E811,'NI-Ric_SP'!$C:$AN,MID(AI$1,1,2),FALSE)</f>
        <v>0</v>
      </c>
      <c r="AJ811" s="55">
        <f>VLOOKUP($E811,'NI-Ric_SP'!$C:$AN,MID(AJ$1,1,2),FALSE)</f>
        <v>0</v>
      </c>
      <c r="AK811" s="55">
        <f>VLOOKUP($E811,'NI-Ric_SP'!$C:$AN,MID(AK$1,1,2),FALSE)</f>
        <v>0</v>
      </c>
      <c r="AL811" s="55">
        <f>VLOOKUP($E811,'NI-Ric_SP'!$C:$AN,MID(AL$1,1,2),FALSE)</f>
        <v>0</v>
      </c>
      <c r="AM811" s="56">
        <f>VLOOKUP($E811,'NI-Ric_SP'!$C:$AN,MID(AM$1,1,2),FALSE)</f>
        <v>0</v>
      </c>
      <c r="AN811" s="30" t="str">
        <f t="shared" si="12"/>
        <v>10106020000000</v>
      </c>
    </row>
    <row r="812" spans="3:40" x14ac:dyDescent="0.25">
      <c r="C812" s="40"/>
      <c r="D812" s="101" t="s">
        <v>400</v>
      </c>
      <c r="E812" s="101" t="s">
        <v>401</v>
      </c>
      <c r="F812" s="102" t="s">
        <v>2750</v>
      </c>
      <c r="G812" s="52"/>
      <c r="H812" s="52"/>
      <c r="I812" s="52"/>
      <c r="J812" s="52"/>
      <c r="K812" s="59" t="s">
        <v>79</v>
      </c>
      <c r="L812" s="52"/>
      <c r="M812" s="52"/>
      <c r="N812" s="52"/>
      <c r="O812" s="52"/>
      <c r="P812" s="76" t="s">
        <v>402</v>
      </c>
      <c r="Q812" s="55">
        <f>-VLOOKUP(E812,'NI-Ric_SP'!$C:$AN,12,FALSE)</f>
        <v>0</v>
      </c>
      <c r="R812" s="55">
        <f>-VLOOKUP(E812,'NI-Ric_SP'!$C:$AN,13,FALSE)</f>
        <v>0</v>
      </c>
      <c r="S812" s="55"/>
      <c r="T812" s="55"/>
      <c r="U812" s="55">
        <f>VLOOKUP($E812,'NI-Ric_SP'!$C:$AN,MID(U$1,1,2),FALSE)</f>
        <v>0</v>
      </c>
      <c r="V812" s="55">
        <f>VLOOKUP($E812,'NI-Ric_SP'!$C:$AN,MID(V$1,1,2),FALSE)</f>
        <v>0</v>
      </c>
      <c r="W812" s="55">
        <f>VLOOKUP($E812,'NI-Ric_SP'!$C:$AN,MID(W$1,1,2),FALSE)</f>
        <v>0</v>
      </c>
      <c r="X812" s="55">
        <f>VLOOKUP($E812,'NI-Ric_SP'!$C:$AN,MID(X$1,1,2),FALSE)</f>
        <v>0</v>
      </c>
      <c r="Y812" s="55">
        <f>VLOOKUP($E812,'NI-Ric_SP'!$C:$AN,MID(Y$1,1,2),FALSE)</f>
        <v>0</v>
      </c>
      <c r="Z812" s="55">
        <f>VLOOKUP($E812,'NI-Ric_SP'!$C:$AN,MID(Z$1,1,2),FALSE)</f>
        <v>0</v>
      </c>
      <c r="AA812" s="55">
        <f>VLOOKUP($E812,'NI-Ric_SP'!$C:$AN,MID(AA$1,1,2),FALSE)</f>
        <v>0</v>
      </c>
      <c r="AB812" s="55">
        <f>VLOOKUP($E812,'NI-Ric_SP'!$C:$AN,MID(AB$1,1,2),FALSE)</f>
        <v>0</v>
      </c>
      <c r="AC812" s="55">
        <f>VLOOKUP($E812,'NI-Ric_SP'!$C:$AN,MID(AC$1,1,2),FALSE)</f>
        <v>0</v>
      </c>
      <c r="AD812" s="55">
        <f>VLOOKUP($E812,'NI-Ric_SP'!$C:$AN,MID(AD$1,1,2),FALSE)</f>
        <v>0</v>
      </c>
      <c r="AE812" s="55">
        <f>VLOOKUP($E812,'NI-Ric_SP'!$C:$AN,MID(AE$1,1,2),FALSE)</f>
        <v>0</v>
      </c>
      <c r="AF812" s="55">
        <f>VLOOKUP($E812,'NI-Ric_SP'!$C:$AN,MID(AF$1,1,2),FALSE)</f>
        <v>0</v>
      </c>
      <c r="AG812" s="55">
        <f>VLOOKUP($E812,'NI-Ric_SP'!$C:$AN,MID(AG$1,1,2),FALSE)</f>
        <v>0</v>
      </c>
      <c r="AH812" s="55">
        <f>VLOOKUP($E812,'NI-Ric_SP'!$C:$AN,MID(AH$1,1,2),FALSE)</f>
        <v>0</v>
      </c>
      <c r="AI812" s="55">
        <f>VLOOKUP($E812,'NI-Ric_SP'!$C:$AN,MID(AI$1,1,2),FALSE)</f>
        <v>0</v>
      </c>
      <c r="AJ812" s="55">
        <f>VLOOKUP($E812,'NI-Ric_SP'!$C:$AN,MID(AJ$1,1,2),FALSE)</f>
        <v>0</v>
      </c>
      <c r="AK812" s="55">
        <f>VLOOKUP($E812,'NI-Ric_SP'!$C:$AN,MID(AK$1,1,2),FALSE)</f>
        <v>0</v>
      </c>
      <c r="AL812" s="55">
        <f>VLOOKUP($E812,'NI-Ric_SP'!$C:$AN,MID(AL$1,1,2),FALSE)</f>
        <v>0</v>
      </c>
      <c r="AM812" s="56">
        <f>VLOOKUP($E812,'NI-Ric_SP'!$C:$AN,MID(AM$1,1,2),FALSE)</f>
        <v>0</v>
      </c>
      <c r="AN812" s="30" t="str">
        <f t="shared" si="12"/>
        <v>10106020010000</v>
      </c>
    </row>
    <row r="813" spans="3:40" x14ac:dyDescent="0.25">
      <c r="C813" s="40"/>
      <c r="D813" s="101" t="s">
        <v>403</v>
      </c>
      <c r="E813" s="101" t="s">
        <v>404</v>
      </c>
      <c r="F813" s="102" t="s">
        <v>2750</v>
      </c>
      <c r="G813" s="52"/>
      <c r="H813" s="52"/>
      <c r="I813" s="52"/>
      <c r="J813" s="52"/>
      <c r="K813" s="59" t="s">
        <v>79</v>
      </c>
      <c r="L813" s="52"/>
      <c r="M813" s="52"/>
      <c r="N813" s="52"/>
      <c r="O813" s="52"/>
      <c r="P813" s="76" t="s">
        <v>405</v>
      </c>
      <c r="Q813" s="55">
        <f>-VLOOKUP(E813,'NI-Ric_SP'!$C:$AN,12,FALSE)</f>
        <v>0</v>
      </c>
      <c r="R813" s="55">
        <f>-VLOOKUP(E813,'NI-Ric_SP'!$C:$AN,13,FALSE)</f>
        <v>0</v>
      </c>
      <c r="S813" s="55"/>
      <c r="T813" s="55"/>
      <c r="U813" s="55">
        <f>VLOOKUP($E813,'NI-Ric_SP'!$C:$AN,MID(U$1,1,2),FALSE)</f>
        <v>0</v>
      </c>
      <c r="V813" s="55">
        <f>VLOOKUP($E813,'NI-Ric_SP'!$C:$AN,MID(V$1,1,2),FALSE)</f>
        <v>0</v>
      </c>
      <c r="W813" s="55">
        <f>VLOOKUP($E813,'NI-Ric_SP'!$C:$AN,MID(W$1,1,2),FALSE)</f>
        <v>0</v>
      </c>
      <c r="X813" s="55">
        <f>VLOOKUP($E813,'NI-Ric_SP'!$C:$AN,MID(X$1,1,2),FALSE)</f>
        <v>0</v>
      </c>
      <c r="Y813" s="55">
        <f>VLOOKUP($E813,'NI-Ric_SP'!$C:$AN,MID(Y$1,1,2),FALSE)</f>
        <v>0</v>
      </c>
      <c r="Z813" s="55">
        <f>VLOOKUP($E813,'NI-Ric_SP'!$C:$AN,MID(Z$1,1,2),FALSE)</f>
        <v>0</v>
      </c>
      <c r="AA813" s="55">
        <f>VLOOKUP($E813,'NI-Ric_SP'!$C:$AN,MID(AA$1,1,2),FALSE)</f>
        <v>0</v>
      </c>
      <c r="AB813" s="55">
        <f>VLOOKUP($E813,'NI-Ric_SP'!$C:$AN,MID(AB$1,1,2),FALSE)</f>
        <v>0</v>
      </c>
      <c r="AC813" s="55">
        <f>VLOOKUP($E813,'NI-Ric_SP'!$C:$AN,MID(AC$1,1,2),FALSE)</f>
        <v>0</v>
      </c>
      <c r="AD813" s="55">
        <f>VLOOKUP($E813,'NI-Ric_SP'!$C:$AN,MID(AD$1,1,2),FALSE)</f>
        <v>0</v>
      </c>
      <c r="AE813" s="55">
        <f>VLOOKUP($E813,'NI-Ric_SP'!$C:$AN,MID(AE$1,1,2),FALSE)</f>
        <v>0</v>
      </c>
      <c r="AF813" s="55">
        <f>VLOOKUP($E813,'NI-Ric_SP'!$C:$AN,MID(AF$1,1,2),FALSE)</f>
        <v>0</v>
      </c>
      <c r="AG813" s="55">
        <f>VLOOKUP($E813,'NI-Ric_SP'!$C:$AN,MID(AG$1,1,2),FALSE)</f>
        <v>0</v>
      </c>
      <c r="AH813" s="55">
        <f>VLOOKUP($E813,'NI-Ric_SP'!$C:$AN,MID(AH$1,1,2),FALSE)</f>
        <v>0</v>
      </c>
      <c r="AI813" s="55">
        <f>VLOOKUP($E813,'NI-Ric_SP'!$C:$AN,MID(AI$1,1,2),FALSE)</f>
        <v>0</v>
      </c>
      <c r="AJ813" s="55">
        <f>VLOOKUP($E813,'NI-Ric_SP'!$C:$AN,MID(AJ$1,1,2),FALSE)</f>
        <v>0</v>
      </c>
      <c r="AK813" s="55">
        <f>VLOOKUP($E813,'NI-Ric_SP'!$C:$AN,MID(AK$1,1,2),FALSE)</f>
        <v>0</v>
      </c>
      <c r="AL813" s="55">
        <f>VLOOKUP($E813,'NI-Ric_SP'!$C:$AN,MID(AL$1,1,2),FALSE)</f>
        <v>0</v>
      </c>
      <c r="AM813" s="56">
        <f>VLOOKUP($E813,'NI-Ric_SP'!$C:$AN,MID(AM$1,1,2),FALSE)</f>
        <v>0</v>
      </c>
      <c r="AN813" s="30" t="str">
        <f t="shared" si="12"/>
        <v>10106020020000</v>
      </c>
    </row>
    <row r="814" spans="3:40" x14ac:dyDescent="0.25">
      <c r="C814" s="40"/>
      <c r="D814" s="101" t="s">
        <v>406</v>
      </c>
      <c r="E814" s="101" t="s">
        <v>407</v>
      </c>
      <c r="F814" s="102" t="s">
        <v>2750</v>
      </c>
      <c r="G814" s="52"/>
      <c r="H814" s="52"/>
      <c r="I814" s="52" t="s">
        <v>408</v>
      </c>
      <c r="J814" s="52" t="s">
        <v>408</v>
      </c>
      <c r="K814" s="59" t="s">
        <v>111</v>
      </c>
      <c r="L814" s="62" t="s">
        <v>409</v>
      </c>
      <c r="M814" s="52"/>
      <c r="N814" s="52"/>
      <c r="O814" s="61" t="s">
        <v>173</v>
      </c>
      <c r="P814" s="76" t="s">
        <v>410</v>
      </c>
      <c r="Q814" s="55">
        <f>-VLOOKUP(E814,'NI-Ric_SP'!$C:$AN,12,FALSE)</f>
        <v>0</v>
      </c>
      <c r="R814" s="55">
        <f>-VLOOKUP(E814,'NI-Ric_SP'!$C:$AN,13,FALSE)</f>
        <v>0</v>
      </c>
      <c r="S814" s="55"/>
      <c r="T814" s="55"/>
      <c r="U814" s="55">
        <f>VLOOKUP($E814,'NI-Ric_SP'!$C:$AN,MID(U$1,1,2),FALSE)</f>
        <v>0</v>
      </c>
      <c r="V814" s="55">
        <f>VLOOKUP($E814,'NI-Ric_SP'!$C:$AN,MID(V$1,1,2),FALSE)</f>
        <v>0</v>
      </c>
      <c r="W814" s="55">
        <f>VLOOKUP($E814,'NI-Ric_SP'!$C:$AN,MID(W$1,1,2),FALSE)</f>
        <v>0</v>
      </c>
      <c r="X814" s="55">
        <f>VLOOKUP($E814,'NI-Ric_SP'!$C:$AN,MID(X$1,1,2),FALSE)</f>
        <v>0</v>
      </c>
      <c r="Y814" s="55">
        <f>VLOOKUP($E814,'NI-Ric_SP'!$C:$AN,MID(Y$1,1,2),FALSE)</f>
        <v>0</v>
      </c>
      <c r="Z814" s="55">
        <f>VLOOKUP($E814,'NI-Ric_SP'!$C:$AN,MID(Z$1,1,2),FALSE)</f>
        <v>0</v>
      </c>
      <c r="AA814" s="55">
        <f>VLOOKUP($E814,'NI-Ric_SP'!$C:$AN,MID(AA$1,1,2),FALSE)</f>
        <v>0</v>
      </c>
      <c r="AB814" s="55">
        <f>VLOOKUP($E814,'NI-Ric_SP'!$C:$AN,MID(AB$1,1,2),FALSE)</f>
        <v>0</v>
      </c>
      <c r="AC814" s="55">
        <f>VLOOKUP($E814,'NI-Ric_SP'!$C:$AN,MID(AC$1,1,2),FALSE)</f>
        <v>0</v>
      </c>
      <c r="AD814" s="55">
        <f>VLOOKUP($E814,'NI-Ric_SP'!$C:$AN,MID(AD$1,1,2),FALSE)</f>
        <v>0</v>
      </c>
      <c r="AE814" s="55">
        <f>VLOOKUP($E814,'NI-Ric_SP'!$C:$AN,MID(AE$1,1,2),FALSE)</f>
        <v>0</v>
      </c>
      <c r="AF814" s="55">
        <f>VLOOKUP($E814,'NI-Ric_SP'!$C:$AN,MID(AF$1,1,2),FALSE)</f>
        <v>0</v>
      </c>
      <c r="AG814" s="55">
        <f>VLOOKUP($E814,'NI-Ric_SP'!$C:$AN,MID(AG$1,1,2),FALSE)</f>
        <v>0</v>
      </c>
      <c r="AH814" s="55">
        <f>VLOOKUP($E814,'NI-Ric_SP'!$C:$AN,MID(AH$1,1,2),FALSE)</f>
        <v>0</v>
      </c>
      <c r="AI814" s="55">
        <f>VLOOKUP($E814,'NI-Ric_SP'!$C:$AN,MID(AI$1,1,2),FALSE)</f>
        <v>0</v>
      </c>
      <c r="AJ814" s="55">
        <f>VLOOKUP($E814,'NI-Ric_SP'!$C:$AN,MID(AJ$1,1,2),FALSE)</f>
        <v>0</v>
      </c>
      <c r="AK814" s="55">
        <f>VLOOKUP($E814,'NI-Ric_SP'!$C:$AN,MID(AK$1,1,2),FALSE)</f>
        <v>0</v>
      </c>
      <c r="AL814" s="55">
        <f>VLOOKUP($E814,'NI-Ric_SP'!$C:$AN,MID(AL$1,1,2),FALSE)</f>
        <v>0</v>
      </c>
      <c r="AM814" s="56">
        <f>VLOOKUP($E814,'NI-Ric_SP'!$C:$AN,MID(AM$1,1,2),FALSE)</f>
        <v>0</v>
      </c>
      <c r="AN814" s="30" t="str">
        <f t="shared" si="12"/>
        <v>10106030000000</v>
      </c>
    </row>
    <row r="815" spans="3:40" x14ac:dyDescent="0.25">
      <c r="C815" s="40"/>
      <c r="D815" s="101" t="s">
        <v>411</v>
      </c>
      <c r="E815" s="101" t="s">
        <v>412</v>
      </c>
      <c r="F815" s="102" t="s">
        <v>2750</v>
      </c>
      <c r="G815" s="52"/>
      <c r="H815" s="52"/>
      <c r="I815" s="52"/>
      <c r="J815" s="52"/>
      <c r="K815" s="59" t="s">
        <v>79</v>
      </c>
      <c r="L815" s="52"/>
      <c r="M815" s="52"/>
      <c r="N815" s="52"/>
      <c r="O815" s="52"/>
      <c r="P815" s="76" t="s">
        <v>413</v>
      </c>
      <c r="Q815" s="55">
        <f>-VLOOKUP(E815,'NI-Ric_SP'!$C:$AN,12,FALSE)</f>
        <v>0</v>
      </c>
      <c r="R815" s="55">
        <f>-VLOOKUP(E815,'NI-Ric_SP'!$C:$AN,13,FALSE)</f>
        <v>0</v>
      </c>
      <c r="S815" s="55"/>
      <c r="T815" s="55"/>
      <c r="U815" s="55">
        <f>VLOOKUP($E815,'NI-Ric_SP'!$C:$AN,MID(U$1,1,2),FALSE)</f>
        <v>0</v>
      </c>
      <c r="V815" s="55">
        <f>VLOOKUP($E815,'NI-Ric_SP'!$C:$AN,MID(V$1,1,2),FALSE)</f>
        <v>0</v>
      </c>
      <c r="W815" s="55">
        <f>VLOOKUP($E815,'NI-Ric_SP'!$C:$AN,MID(W$1,1,2),FALSE)</f>
        <v>0</v>
      </c>
      <c r="X815" s="55">
        <f>VLOOKUP($E815,'NI-Ric_SP'!$C:$AN,MID(X$1,1,2),FALSE)</f>
        <v>0</v>
      </c>
      <c r="Y815" s="55">
        <f>VLOOKUP($E815,'NI-Ric_SP'!$C:$AN,MID(Y$1,1,2),FALSE)</f>
        <v>0</v>
      </c>
      <c r="Z815" s="55">
        <f>VLOOKUP($E815,'NI-Ric_SP'!$C:$AN,MID(Z$1,1,2),FALSE)</f>
        <v>0</v>
      </c>
      <c r="AA815" s="55">
        <f>VLOOKUP($E815,'NI-Ric_SP'!$C:$AN,MID(AA$1,1,2),FALSE)</f>
        <v>0</v>
      </c>
      <c r="AB815" s="55">
        <f>VLOOKUP($E815,'NI-Ric_SP'!$C:$AN,MID(AB$1,1,2),FALSE)</f>
        <v>0</v>
      </c>
      <c r="AC815" s="55">
        <f>VLOOKUP($E815,'NI-Ric_SP'!$C:$AN,MID(AC$1,1,2),FALSE)</f>
        <v>0</v>
      </c>
      <c r="AD815" s="55">
        <f>VLOOKUP($E815,'NI-Ric_SP'!$C:$AN,MID(AD$1,1,2),FALSE)</f>
        <v>0</v>
      </c>
      <c r="AE815" s="55">
        <f>VLOOKUP($E815,'NI-Ric_SP'!$C:$AN,MID(AE$1,1,2),FALSE)</f>
        <v>0</v>
      </c>
      <c r="AF815" s="55">
        <f>VLOOKUP($E815,'NI-Ric_SP'!$C:$AN,MID(AF$1,1,2),FALSE)</f>
        <v>0</v>
      </c>
      <c r="AG815" s="55">
        <f>VLOOKUP($E815,'NI-Ric_SP'!$C:$AN,MID(AG$1,1,2),FALSE)</f>
        <v>0</v>
      </c>
      <c r="AH815" s="55">
        <f>VLOOKUP($E815,'NI-Ric_SP'!$C:$AN,MID(AH$1,1,2),FALSE)</f>
        <v>0</v>
      </c>
      <c r="AI815" s="55">
        <f>VLOOKUP($E815,'NI-Ric_SP'!$C:$AN,MID(AI$1,1,2),FALSE)</f>
        <v>0</v>
      </c>
      <c r="AJ815" s="55">
        <f>VLOOKUP($E815,'NI-Ric_SP'!$C:$AN,MID(AJ$1,1,2),FALSE)</f>
        <v>0</v>
      </c>
      <c r="AK815" s="55">
        <f>VLOOKUP($E815,'NI-Ric_SP'!$C:$AN,MID(AK$1,1,2),FALSE)</f>
        <v>0</v>
      </c>
      <c r="AL815" s="55">
        <f>VLOOKUP($E815,'NI-Ric_SP'!$C:$AN,MID(AL$1,1,2),FALSE)</f>
        <v>0</v>
      </c>
      <c r="AM815" s="56">
        <f>VLOOKUP($E815,'NI-Ric_SP'!$C:$AN,MID(AM$1,1,2),FALSE)</f>
        <v>0</v>
      </c>
      <c r="AN815" s="30" t="str">
        <f t="shared" si="12"/>
        <v>10106030010000</v>
      </c>
    </row>
    <row r="816" spans="3:40" x14ac:dyDescent="0.25">
      <c r="C816" s="40"/>
      <c r="D816" s="101" t="s">
        <v>414</v>
      </c>
      <c r="E816" s="101" t="s">
        <v>415</v>
      </c>
      <c r="F816" s="102" t="s">
        <v>2750</v>
      </c>
      <c r="G816" s="52"/>
      <c r="H816" s="52"/>
      <c r="I816" s="52"/>
      <c r="J816" s="52"/>
      <c r="K816" s="59" t="s">
        <v>79</v>
      </c>
      <c r="L816" s="52"/>
      <c r="M816" s="52"/>
      <c r="N816" s="52"/>
      <c r="O816" s="52"/>
      <c r="P816" s="76" t="s">
        <v>416</v>
      </c>
      <c r="Q816" s="55">
        <f>-VLOOKUP(E816,'NI-Ric_SP'!$C:$AN,12,FALSE)</f>
        <v>0</v>
      </c>
      <c r="R816" s="55">
        <f>-VLOOKUP(E816,'NI-Ric_SP'!$C:$AN,13,FALSE)</f>
        <v>0</v>
      </c>
      <c r="S816" s="55"/>
      <c r="T816" s="55"/>
      <c r="U816" s="55">
        <f>VLOOKUP($E816,'NI-Ric_SP'!$C:$AN,MID(U$1,1,2),FALSE)</f>
        <v>0</v>
      </c>
      <c r="V816" s="55">
        <f>VLOOKUP($E816,'NI-Ric_SP'!$C:$AN,MID(V$1,1,2),FALSE)</f>
        <v>0</v>
      </c>
      <c r="W816" s="55">
        <f>VLOOKUP($E816,'NI-Ric_SP'!$C:$AN,MID(W$1,1,2),FALSE)</f>
        <v>0</v>
      </c>
      <c r="X816" s="55">
        <f>VLOOKUP($E816,'NI-Ric_SP'!$C:$AN,MID(X$1,1,2),FALSE)</f>
        <v>0</v>
      </c>
      <c r="Y816" s="55">
        <f>VLOOKUP($E816,'NI-Ric_SP'!$C:$AN,MID(Y$1,1,2),FALSE)</f>
        <v>0</v>
      </c>
      <c r="Z816" s="55">
        <f>VLOOKUP($E816,'NI-Ric_SP'!$C:$AN,MID(Z$1,1,2),FALSE)</f>
        <v>0</v>
      </c>
      <c r="AA816" s="55">
        <f>VLOOKUP($E816,'NI-Ric_SP'!$C:$AN,MID(AA$1,1,2),FALSE)</f>
        <v>0</v>
      </c>
      <c r="AB816" s="55">
        <f>VLOOKUP($E816,'NI-Ric_SP'!$C:$AN,MID(AB$1,1,2),FALSE)</f>
        <v>0</v>
      </c>
      <c r="AC816" s="55">
        <f>VLOOKUP($E816,'NI-Ric_SP'!$C:$AN,MID(AC$1,1,2),FALSE)</f>
        <v>0</v>
      </c>
      <c r="AD816" s="55">
        <f>VLOOKUP($E816,'NI-Ric_SP'!$C:$AN,MID(AD$1,1,2),FALSE)</f>
        <v>0</v>
      </c>
      <c r="AE816" s="55">
        <f>VLOOKUP($E816,'NI-Ric_SP'!$C:$AN,MID(AE$1,1,2),FALSE)</f>
        <v>0</v>
      </c>
      <c r="AF816" s="55">
        <f>VLOOKUP($E816,'NI-Ric_SP'!$C:$AN,MID(AF$1,1,2),FALSE)</f>
        <v>0</v>
      </c>
      <c r="AG816" s="55">
        <f>VLOOKUP($E816,'NI-Ric_SP'!$C:$AN,MID(AG$1,1,2),FALSE)</f>
        <v>0</v>
      </c>
      <c r="AH816" s="55">
        <f>VLOOKUP($E816,'NI-Ric_SP'!$C:$AN,MID(AH$1,1,2),FALSE)</f>
        <v>0</v>
      </c>
      <c r="AI816" s="55">
        <f>VLOOKUP($E816,'NI-Ric_SP'!$C:$AN,MID(AI$1,1,2),FALSE)</f>
        <v>0</v>
      </c>
      <c r="AJ816" s="55">
        <f>VLOOKUP($E816,'NI-Ric_SP'!$C:$AN,MID(AJ$1,1,2),FALSE)</f>
        <v>0</v>
      </c>
      <c r="AK816" s="55">
        <f>VLOOKUP($E816,'NI-Ric_SP'!$C:$AN,MID(AK$1,1,2),FALSE)</f>
        <v>0</v>
      </c>
      <c r="AL816" s="55">
        <f>VLOOKUP($E816,'NI-Ric_SP'!$C:$AN,MID(AL$1,1,2),FALSE)</f>
        <v>0</v>
      </c>
      <c r="AM816" s="56">
        <f>VLOOKUP($E816,'NI-Ric_SP'!$C:$AN,MID(AM$1,1,2),FALSE)</f>
        <v>0</v>
      </c>
      <c r="AN816" s="30" t="str">
        <f t="shared" si="12"/>
        <v>10106030020000</v>
      </c>
    </row>
    <row r="817" spans="3:40" x14ac:dyDescent="0.25">
      <c r="C817" s="40"/>
      <c r="D817" s="101" t="s">
        <v>417</v>
      </c>
      <c r="E817" s="101" t="s">
        <v>418</v>
      </c>
      <c r="F817" s="102" t="s">
        <v>2750</v>
      </c>
      <c r="G817" s="52"/>
      <c r="H817" s="52"/>
      <c r="I817" s="52" t="s">
        <v>419</v>
      </c>
      <c r="J817" s="52" t="s">
        <v>419</v>
      </c>
      <c r="K817" s="59" t="s">
        <v>111</v>
      </c>
      <c r="L817" s="62" t="s">
        <v>420</v>
      </c>
      <c r="M817" s="52"/>
      <c r="N817" s="52"/>
      <c r="O817" s="61" t="s">
        <v>255</v>
      </c>
      <c r="P817" s="76" t="s">
        <v>421</v>
      </c>
      <c r="Q817" s="55">
        <f>-VLOOKUP(E817,'NI-Ric_SP'!$C:$AN,12,FALSE)</f>
        <v>0</v>
      </c>
      <c r="R817" s="55">
        <f>-VLOOKUP(E817,'NI-Ric_SP'!$C:$AN,13,FALSE)</f>
        <v>0</v>
      </c>
      <c r="S817" s="55"/>
      <c r="T817" s="55"/>
      <c r="U817" s="55">
        <f>VLOOKUP($E817,'NI-Ric_SP'!$C:$AN,MID(U$1,1,2),FALSE)</f>
        <v>0</v>
      </c>
      <c r="V817" s="55">
        <f>VLOOKUP($E817,'NI-Ric_SP'!$C:$AN,MID(V$1,1,2),FALSE)</f>
        <v>0</v>
      </c>
      <c r="W817" s="55">
        <f>VLOOKUP($E817,'NI-Ric_SP'!$C:$AN,MID(W$1,1,2),FALSE)</f>
        <v>0</v>
      </c>
      <c r="X817" s="55">
        <f>VLOOKUP($E817,'NI-Ric_SP'!$C:$AN,MID(X$1,1,2),FALSE)</f>
        <v>0</v>
      </c>
      <c r="Y817" s="55">
        <f>VLOOKUP($E817,'NI-Ric_SP'!$C:$AN,MID(Y$1,1,2),FALSE)</f>
        <v>0</v>
      </c>
      <c r="Z817" s="55">
        <f>VLOOKUP($E817,'NI-Ric_SP'!$C:$AN,MID(Z$1,1,2),FALSE)</f>
        <v>0</v>
      </c>
      <c r="AA817" s="55">
        <f>VLOOKUP($E817,'NI-Ric_SP'!$C:$AN,MID(AA$1,1,2),FALSE)</f>
        <v>0</v>
      </c>
      <c r="AB817" s="55">
        <f>VLOOKUP($E817,'NI-Ric_SP'!$C:$AN,MID(AB$1,1,2),FALSE)</f>
        <v>0</v>
      </c>
      <c r="AC817" s="55">
        <f>VLOOKUP($E817,'NI-Ric_SP'!$C:$AN,MID(AC$1,1,2),FALSE)</f>
        <v>0</v>
      </c>
      <c r="AD817" s="55">
        <f>VLOOKUP($E817,'NI-Ric_SP'!$C:$AN,MID(AD$1,1,2),FALSE)</f>
        <v>0</v>
      </c>
      <c r="AE817" s="55">
        <f>VLOOKUP($E817,'NI-Ric_SP'!$C:$AN,MID(AE$1,1,2),FALSE)</f>
        <v>0</v>
      </c>
      <c r="AF817" s="55">
        <f>VLOOKUP($E817,'NI-Ric_SP'!$C:$AN,MID(AF$1,1,2),FALSE)</f>
        <v>0</v>
      </c>
      <c r="AG817" s="55">
        <f>VLOOKUP($E817,'NI-Ric_SP'!$C:$AN,MID(AG$1,1,2),FALSE)</f>
        <v>0</v>
      </c>
      <c r="AH817" s="55">
        <f>VLOOKUP($E817,'NI-Ric_SP'!$C:$AN,MID(AH$1,1,2),FALSE)</f>
        <v>0</v>
      </c>
      <c r="AI817" s="55">
        <f>VLOOKUP($E817,'NI-Ric_SP'!$C:$AN,MID(AI$1,1,2),FALSE)</f>
        <v>0</v>
      </c>
      <c r="AJ817" s="55">
        <f>VLOOKUP($E817,'NI-Ric_SP'!$C:$AN,MID(AJ$1,1,2),FALSE)</f>
        <v>0</v>
      </c>
      <c r="AK817" s="55">
        <f>VLOOKUP($E817,'NI-Ric_SP'!$C:$AN,MID(AK$1,1,2),FALSE)</f>
        <v>0</v>
      </c>
      <c r="AL817" s="55">
        <f>VLOOKUP($E817,'NI-Ric_SP'!$C:$AN,MID(AL$1,1,2),FALSE)</f>
        <v>0</v>
      </c>
      <c r="AM817" s="56">
        <f>VLOOKUP($E817,'NI-Ric_SP'!$C:$AN,MID(AM$1,1,2),FALSE)</f>
        <v>0</v>
      </c>
      <c r="AN817" s="30" t="str">
        <f t="shared" si="12"/>
        <v>10106040000000</v>
      </c>
    </row>
    <row r="818" spans="3:40" x14ac:dyDescent="0.25">
      <c r="C818" s="40"/>
      <c r="D818" s="101" t="s">
        <v>422</v>
      </c>
      <c r="E818" s="101" t="s">
        <v>423</v>
      </c>
      <c r="F818" s="102" t="s">
        <v>2750</v>
      </c>
      <c r="G818" s="52"/>
      <c r="H818" s="52"/>
      <c r="I818" s="52"/>
      <c r="J818" s="52"/>
      <c r="K818" s="59" t="s">
        <v>79</v>
      </c>
      <c r="L818" s="52"/>
      <c r="M818" s="52"/>
      <c r="N818" s="52"/>
      <c r="O818" s="52"/>
      <c r="P818" s="76" t="s">
        <v>424</v>
      </c>
      <c r="Q818" s="55">
        <f>-VLOOKUP(E818,'NI-Ric_SP'!$C:$AN,12,FALSE)</f>
        <v>0</v>
      </c>
      <c r="R818" s="55">
        <f>-VLOOKUP(E818,'NI-Ric_SP'!$C:$AN,13,FALSE)</f>
        <v>0</v>
      </c>
      <c r="S818" s="55"/>
      <c r="T818" s="55"/>
      <c r="U818" s="55">
        <f>VLOOKUP($E818,'NI-Ric_SP'!$C:$AN,MID(U$1,1,2),FALSE)</f>
        <v>0</v>
      </c>
      <c r="V818" s="55">
        <f>VLOOKUP($E818,'NI-Ric_SP'!$C:$AN,MID(V$1,1,2),FALSE)</f>
        <v>0</v>
      </c>
      <c r="W818" s="55">
        <f>VLOOKUP($E818,'NI-Ric_SP'!$C:$AN,MID(W$1,1,2),FALSE)</f>
        <v>0</v>
      </c>
      <c r="X818" s="55">
        <f>VLOOKUP($E818,'NI-Ric_SP'!$C:$AN,MID(X$1,1,2),FALSE)</f>
        <v>0</v>
      </c>
      <c r="Y818" s="55">
        <f>VLOOKUP($E818,'NI-Ric_SP'!$C:$AN,MID(Y$1,1,2),FALSE)</f>
        <v>0</v>
      </c>
      <c r="Z818" s="55">
        <f>VLOOKUP($E818,'NI-Ric_SP'!$C:$AN,MID(Z$1,1,2),FALSE)</f>
        <v>0</v>
      </c>
      <c r="AA818" s="55">
        <f>VLOOKUP($E818,'NI-Ric_SP'!$C:$AN,MID(AA$1,1,2),FALSE)</f>
        <v>0</v>
      </c>
      <c r="AB818" s="55">
        <f>VLOOKUP($E818,'NI-Ric_SP'!$C:$AN,MID(AB$1,1,2),FALSE)</f>
        <v>0</v>
      </c>
      <c r="AC818" s="55">
        <f>VLOOKUP($E818,'NI-Ric_SP'!$C:$AN,MID(AC$1,1,2),FALSE)</f>
        <v>0</v>
      </c>
      <c r="AD818" s="55">
        <f>VLOOKUP($E818,'NI-Ric_SP'!$C:$AN,MID(AD$1,1,2),FALSE)</f>
        <v>0</v>
      </c>
      <c r="AE818" s="55">
        <f>VLOOKUP($E818,'NI-Ric_SP'!$C:$AN,MID(AE$1,1,2),FALSE)</f>
        <v>0</v>
      </c>
      <c r="AF818" s="55">
        <f>VLOOKUP($E818,'NI-Ric_SP'!$C:$AN,MID(AF$1,1,2),FALSE)</f>
        <v>0</v>
      </c>
      <c r="AG818" s="55">
        <f>VLOOKUP($E818,'NI-Ric_SP'!$C:$AN,MID(AG$1,1,2),FALSE)</f>
        <v>0</v>
      </c>
      <c r="AH818" s="55">
        <f>VLOOKUP($E818,'NI-Ric_SP'!$C:$AN,MID(AH$1,1,2),FALSE)</f>
        <v>0</v>
      </c>
      <c r="AI818" s="55">
        <f>VLOOKUP($E818,'NI-Ric_SP'!$C:$AN,MID(AI$1,1,2),FALSE)</f>
        <v>0</v>
      </c>
      <c r="AJ818" s="55">
        <f>VLOOKUP($E818,'NI-Ric_SP'!$C:$AN,MID(AJ$1,1,2),FALSE)</f>
        <v>0</v>
      </c>
      <c r="AK818" s="55">
        <f>VLOOKUP($E818,'NI-Ric_SP'!$C:$AN,MID(AK$1,1,2),FALSE)</f>
        <v>0</v>
      </c>
      <c r="AL818" s="55">
        <f>VLOOKUP($E818,'NI-Ric_SP'!$C:$AN,MID(AL$1,1,2),FALSE)</f>
        <v>0</v>
      </c>
      <c r="AM818" s="56">
        <f>VLOOKUP($E818,'NI-Ric_SP'!$C:$AN,MID(AM$1,1,2),FALSE)</f>
        <v>0</v>
      </c>
      <c r="AN818" s="30" t="str">
        <f t="shared" si="12"/>
        <v>10106040010000</v>
      </c>
    </row>
    <row r="819" spans="3:40" x14ac:dyDescent="0.25">
      <c r="C819" s="40"/>
      <c r="D819" s="101" t="s">
        <v>425</v>
      </c>
      <c r="E819" s="101" t="s">
        <v>426</v>
      </c>
      <c r="F819" s="102" t="s">
        <v>2750</v>
      </c>
      <c r="G819" s="52"/>
      <c r="H819" s="52"/>
      <c r="I819" s="52"/>
      <c r="J819" s="52"/>
      <c r="K819" s="59" t="s">
        <v>79</v>
      </c>
      <c r="L819" s="52"/>
      <c r="M819" s="52"/>
      <c r="N819" s="52"/>
      <c r="O819" s="52"/>
      <c r="P819" s="76" t="s">
        <v>427</v>
      </c>
      <c r="Q819" s="55">
        <f>-VLOOKUP(E819,'NI-Ric_SP'!$C:$AN,12,FALSE)</f>
        <v>0</v>
      </c>
      <c r="R819" s="55">
        <f>-VLOOKUP(E819,'NI-Ric_SP'!$C:$AN,13,FALSE)</f>
        <v>0</v>
      </c>
      <c r="S819" s="55"/>
      <c r="T819" s="55"/>
      <c r="U819" s="55">
        <f>VLOOKUP($E819,'NI-Ric_SP'!$C:$AN,MID(U$1,1,2),FALSE)</f>
        <v>0</v>
      </c>
      <c r="V819" s="55">
        <f>VLOOKUP($E819,'NI-Ric_SP'!$C:$AN,MID(V$1,1,2),FALSE)</f>
        <v>0</v>
      </c>
      <c r="W819" s="55">
        <f>VLOOKUP($E819,'NI-Ric_SP'!$C:$AN,MID(W$1,1,2),FALSE)</f>
        <v>0</v>
      </c>
      <c r="X819" s="55">
        <f>VLOOKUP($E819,'NI-Ric_SP'!$C:$AN,MID(X$1,1,2),FALSE)</f>
        <v>0</v>
      </c>
      <c r="Y819" s="55">
        <f>VLOOKUP($E819,'NI-Ric_SP'!$C:$AN,MID(Y$1,1,2),FALSE)</f>
        <v>0</v>
      </c>
      <c r="Z819" s="55">
        <f>VLOOKUP($E819,'NI-Ric_SP'!$C:$AN,MID(Z$1,1,2),FALSE)</f>
        <v>0</v>
      </c>
      <c r="AA819" s="55">
        <f>VLOOKUP($E819,'NI-Ric_SP'!$C:$AN,MID(AA$1,1,2),FALSE)</f>
        <v>0</v>
      </c>
      <c r="AB819" s="55">
        <f>VLOOKUP($E819,'NI-Ric_SP'!$C:$AN,MID(AB$1,1,2),FALSE)</f>
        <v>0</v>
      </c>
      <c r="AC819" s="55">
        <f>VLOOKUP($E819,'NI-Ric_SP'!$C:$AN,MID(AC$1,1,2),FALSE)</f>
        <v>0</v>
      </c>
      <c r="AD819" s="55">
        <f>VLOOKUP($E819,'NI-Ric_SP'!$C:$AN,MID(AD$1,1,2),FALSE)</f>
        <v>0</v>
      </c>
      <c r="AE819" s="55">
        <f>VLOOKUP($E819,'NI-Ric_SP'!$C:$AN,MID(AE$1,1,2),FALSE)</f>
        <v>0</v>
      </c>
      <c r="AF819" s="55">
        <f>VLOOKUP($E819,'NI-Ric_SP'!$C:$AN,MID(AF$1,1,2),FALSE)</f>
        <v>0</v>
      </c>
      <c r="AG819" s="55">
        <f>VLOOKUP($E819,'NI-Ric_SP'!$C:$AN,MID(AG$1,1,2),FALSE)</f>
        <v>0</v>
      </c>
      <c r="AH819" s="55">
        <f>VLOOKUP($E819,'NI-Ric_SP'!$C:$AN,MID(AH$1,1,2),FALSE)</f>
        <v>0</v>
      </c>
      <c r="AI819" s="55">
        <f>VLOOKUP($E819,'NI-Ric_SP'!$C:$AN,MID(AI$1,1,2),FALSE)</f>
        <v>0</v>
      </c>
      <c r="AJ819" s="55">
        <f>VLOOKUP($E819,'NI-Ric_SP'!$C:$AN,MID(AJ$1,1,2),FALSE)</f>
        <v>0</v>
      </c>
      <c r="AK819" s="55">
        <f>VLOOKUP($E819,'NI-Ric_SP'!$C:$AN,MID(AK$1,1,2),FALSE)</f>
        <v>0</v>
      </c>
      <c r="AL819" s="55">
        <f>VLOOKUP($E819,'NI-Ric_SP'!$C:$AN,MID(AL$1,1,2),FALSE)</f>
        <v>0</v>
      </c>
      <c r="AM819" s="56">
        <f>VLOOKUP($E819,'NI-Ric_SP'!$C:$AN,MID(AM$1,1,2),FALSE)</f>
        <v>0</v>
      </c>
      <c r="AN819" s="30" t="str">
        <f t="shared" si="12"/>
        <v>10106040020000</v>
      </c>
    </row>
    <row r="820" spans="3:40" x14ac:dyDescent="0.25">
      <c r="C820" s="40"/>
      <c r="D820" s="101" t="s">
        <v>428</v>
      </c>
      <c r="E820" s="101" t="s">
        <v>429</v>
      </c>
      <c r="F820" s="102" t="s">
        <v>2750</v>
      </c>
      <c r="G820" s="52"/>
      <c r="H820" s="52"/>
      <c r="I820" s="52"/>
      <c r="J820" s="52"/>
      <c r="K820" s="59" t="s">
        <v>111</v>
      </c>
      <c r="L820" s="52"/>
      <c r="M820" s="52"/>
      <c r="N820" s="52"/>
      <c r="O820" s="52"/>
      <c r="P820" s="76" t="s">
        <v>430</v>
      </c>
      <c r="Q820" s="55">
        <f>VLOOKUP(E820,'NI-Ric_SP'!$C:$AN,12,FALSE)</f>
        <v>0</v>
      </c>
      <c r="R820" s="55">
        <f>VLOOKUP(E820,'NI-Ric_SP'!$C:$AN,13,FALSE)</f>
        <v>0</v>
      </c>
      <c r="S820" s="55"/>
      <c r="T820" s="55"/>
      <c r="U820" s="55">
        <f>VLOOKUP($E820,'NI-Ric_SP'!$C:$AN,MID(U$1,1,2),FALSE)</f>
        <v>0</v>
      </c>
      <c r="V820" s="55">
        <f>VLOOKUP($E820,'NI-Ric_SP'!$C:$AN,MID(V$1,1,2),FALSE)</f>
        <v>0</v>
      </c>
      <c r="W820" s="55">
        <f>VLOOKUP($E820,'NI-Ric_SP'!$C:$AN,MID(W$1,1,2),FALSE)</f>
        <v>0</v>
      </c>
      <c r="X820" s="55" t="str">
        <f>VLOOKUP($E820,'NI-Ric_SP'!$C:$AN,MID(X$1,1,2),FALSE)</f>
        <v/>
      </c>
      <c r="Y820" s="55">
        <f>VLOOKUP($E820,'NI-Ric_SP'!$C:$AN,MID(Y$1,1,2),FALSE)</f>
        <v>0</v>
      </c>
      <c r="Z820" s="55">
        <f>VLOOKUP($E820,'NI-Ric_SP'!$C:$AN,MID(Z$1,1,2),FALSE)</f>
        <v>0</v>
      </c>
      <c r="AA820" s="55">
        <f>VLOOKUP($E820,'NI-Ric_SP'!$C:$AN,MID(AA$1,1,2),FALSE)</f>
        <v>0</v>
      </c>
      <c r="AB820" s="55">
        <f>VLOOKUP($E820,'NI-Ric_SP'!$C:$AN,MID(AB$1,1,2),FALSE)</f>
        <v>0</v>
      </c>
      <c r="AC820" s="55">
        <f>VLOOKUP($E820,'NI-Ric_SP'!$C:$AN,MID(AC$1,1,2),FALSE)</f>
        <v>0</v>
      </c>
      <c r="AD820" s="55">
        <f>VLOOKUP($E820,'NI-Ric_SP'!$C:$AN,MID(AD$1,1,2),FALSE)</f>
        <v>0</v>
      </c>
      <c r="AE820" s="55">
        <f>VLOOKUP($E820,'NI-Ric_SP'!$C:$AN,MID(AE$1,1,2),FALSE)</f>
        <v>0</v>
      </c>
      <c r="AF820" s="55">
        <f>VLOOKUP($E820,'NI-Ric_SP'!$C:$AN,MID(AF$1,1,2),FALSE)</f>
        <v>0</v>
      </c>
      <c r="AG820" s="55">
        <f>VLOOKUP($E820,'NI-Ric_SP'!$C:$AN,MID(AG$1,1,2),FALSE)</f>
        <v>0</v>
      </c>
      <c r="AH820" s="55">
        <f>VLOOKUP($E820,'NI-Ric_SP'!$C:$AN,MID(AH$1,1,2),FALSE)</f>
        <v>0</v>
      </c>
      <c r="AI820" s="55" t="str">
        <f>VLOOKUP($E820,'NI-Ric_SP'!$C:$AN,MID(AI$1,1,2),FALSE)</f>
        <v>Quadratura Giroconti imm. mat. in corso concluse</v>
      </c>
      <c r="AJ820" s="55">
        <f>VLOOKUP($E820,'NI-Ric_SP'!$C:$AN,MID(AJ$1,1,2),FALSE)</f>
        <v>0</v>
      </c>
      <c r="AK820" s="55">
        <f>VLOOKUP($E820,'NI-Ric_SP'!$C:$AN,MID(AK$1,1,2),FALSE)</f>
        <v>0</v>
      </c>
      <c r="AL820" s="55">
        <f>VLOOKUP($E820,'NI-Ric_SP'!$C:$AN,MID(AL$1,1,2),FALSE)</f>
        <v>0</v>
      </c>
      <c r="AM820" s="56">
        <f>VLOOKUP($E820,'NI-Ric_SP'!$C:$AN,MID(AM$1,1,2),FALSE)</f>
        <v>0</v>
      </c>
      <c r="AN820" s="30" t="str">
        <f t="shared" si="12"/>
        <v>10200000000000</v>
      </c>
    </row>
    <row r="821" spans="3:40" x14ac:dyDescent="0.25">
      <c r="C821" s="40"/>
      <c r="D821" s="101" t="s">
        <v>431</v>
      </c>
      <c r="E821" s="101" t="s">
        <v>432</v>
      </c>
      <c r="F821" s="102" t="s">
        <v>2750</v>
      </c>
      <c r="G821" s="52"/>
      <c r="H821" s="52"/>
      <c r="I821" s="52"/>
      <c r="J821" s="52"/>
      <c r="K821" s="59" t="s">
        <v>111</v>
      </c>
      <c r="L821" s="62" t="s">
        <v>433</v>
      </c>
      <c r="M821" s="52"/>
      <c r="N821" s="52"/>
      <c r="O821" s="52"/>
      <c r="P821" s="76" t="s">
        <v>434</v>
      </c>
      <c r="Q821" s="55">
        <f>VLOOKUP(E821,'NI-Ric_SP'!$C:$AN,12,FALSE)</f>
        <v>0</v>
      </c>
      <c r="R821" s="55">
        <f>VLOOKUP(E821,'NI-Ric_SP'!$C:$AN,13,FALSE)</f>
        <v>0</v>
      </c>
      <c r="S821" s="55"/>
      <c r="T821" s="55"/>
      <c r="U821" s="55">
        <f>VLOOKUP($E821,'NI-Ric_SP'!$C:$AN,MID(U$1,1,2),FALSE)</f>
        <v>0</v>
      </c>
      <c r="V821" s="55">
        <f>VLOOKUP($E821,'NI-Ric_SP'!$C:$AN,MID(V$1,1,2),FALSE)</f>
        <v>0</v>
      </c>
      <c r="W821" s="55">
        <f>VLOOKUP($E821,'NI-Ric_SP'!$C:$AN,MID(W$1,1,2),FALSE)</f>
        <v>0</v>
      </c>
      <c r="X821" s="55">
        <f>VLOOKUP($E821,'NI-Ric_SP'!$C:$AN,MID(X$1,1,2),FALSE)</f>
        <v>0</v>
      </c>
      <c r="Y821" s="55">
        <f>VLOOKUP($E821,'NI-Ric_SP'!$C:$AN,MID(Y$1,1,2),FALSE)</f>
        <v>0</v>
      </c>
      <c r="Z821" s="55">
        <f>VLOOKUP($E821,'NI-Ric_SP'!$C:$AN,MID(Z$1,1,2),FALSE)</f>
        <v>0</v>
      </c>
      <c r="AA821" s="55">
        <f>VLOOKUP($E821,'NI-Ric_SP'!$C:$AN,MID(AA$1,1,2),FALSE)</f>
        <v>0</v>
      </c>
      <c r="AB821" s="55">
        <f>VLOOKUP($E821,'NI-Ric_SP'!$C:$AN,MID(AB$1,1,2),FALSE)</f>
        <v>0</v>
      </c>
      <c r="AC821" s="55">
        <f>VLOOKUP($E821,'NI-Ric_SP'!$C:$AN,MID(AC$1,1,2),FALSE)</f>
        <v>0</v>
      </c>
      <c r="AD821" s="55">
        <f>VLOOKUP($E821,'NI-Ric_SP'!$C:$AN,MID(AD$1,1,2),FALSE)</f>
        <v>0</v>
      </c>
      <c r="AE821" s="55">
        <f>VLOOKUP($E821,'NI-Ric_SP'!$C:$AN,MID(AE$1,1,2),FALSE)</f>
        <v>0</v>
      </c>
      <c r="AF821" s="55">
        <f>VLOOKUP($E821,'NI-Ric_SP'!$C:$AN,MID(AF$1,1,2),FALSE)</f>
        <v>0</v>
      </c>
      <c r="AG821" s="55">
        <f>VLOOKUP($E821,'NI-Ric_SP'!$C:$AN,MID(AG$1,1,2),FALSE)</f>
        <v>0</v>
      </c>
      <c r="AH821" s="55">
        <f>VLOOKUP($E821,'NI-Ric_SP'!$C:$AN,MID(AH$1,1,2),FALSE)</f>
        <v>0</v>
      </c>
      <c r="AI821" s="55">
        <f>VLOOKUP($E821,'NI-Ric_SP'!$C:$AN,MID(AI$1,1,2),FALSE)</f>
        <v>0</v>
      </c>
      <c r="AJ821" s="55">
        <f>VLOOKUP($E821,'NI-Ric_SP'!$C:$AN,MID(AJ$1,1,2),FALSE)</f>
        <v>0</v>
      </c>
      <c r="AK821" s="55">
        <f>VLOOKUP($E821,'NI-Ric_SP'!$C:$AN,MID(AK$1,1,2),FALSE)</f>
        <v>0</v>
      </c>
      <c r="AL821" s="55">
        <f>VLOOKUP($E821,'NI-Ric_SP'!$C:$AN,MID(AL$1,1,2),FALSE)</f>
        <v>0</v>
      </c>
      <c r="AM821" s="56">
        <f>VLOOKUP($E821,'NI-Ric_SP'!$C:$AN,MID(AM$1,1,2),FALSE)</f>
        <v>0</v>
      </c>
      <c r="AN821" s="30" t="str">
        <f t="shared" si="12"/>
        <v>10201000000000</v>
      </c>
    </row>
    <row r="822" spans="3:40" x14ac:dyDescent="0.25">
      <c r="C822" s="40"/>
      <c r="D822" s="101" t="s">
        <v>435</v>
      </c>
      <c r="E822" s="101" t="s">
        <v>436</v>
      </c>
      <c r="F822" s="102" t="s">
        <v>2750</v>
      </c>
      <c r="G822" s="52"/>
      <c r="H822" s="52"/>
      <c r="I822" s="52" t="s">
        <v>437</v>
      </c>
      <c r="J822" s="52" t="s">
        <v>437</v>
      </c>
      <c r="K822" s="59" t="s">
        <v>111</v>
      </c>
      <c r="L822" s="52"/>
      <c r="M822" s="52"/>
      <c r="N822" s="52"/>
      <c r="O822" s="61" t="s">
        <v>438</v>
      </c>
      <c r="P822" s="76" t="s">
        <v>439</v>
      </c>
      <c r="Q822" s="55">
        <f>VLOOKUP(E822,'NI-Ric_SP'!$C:$AN,12,FALSE)</f>
        <v>0</v>
      </c>
      <c r="R822" s="55">
        <f>VLOOKUP(E822,'NI-Ric_SP'!$C:$AN,13,FALSE)</f>
        <v>0</v>
      </c>
      <c r="S822" s="55"/>
      <c r="T822" s="55"/>
      <c r="U822" s="55">
        <f>VLOOKUP($E822,'NI-Ric_SP'!$C:$AN,MID(U$1,1,2),FALSE)</f>
        <v>0</v>
      </c>
      <c r="V822" s="55">
        <f>VLOOKUP($E822,'NI-Ric_SP'!$C:$AN,MID(V$1,1,2),FALSE)</f>
        <v>0</v>
      </c>
      <c r="W822" s="55">
        <f>VLOOKUP($E822,'NI-Ric_SP'!$C:$AN,MID(W$1,1,2),FALSE)</f>
        <v>0</v>
      </c>
      <c r="X822" s="55">
        <f>VLOOKUP($E822,'NI-Ric_SP'!$C:$AN,MID(X$1,1,2),FALSE)</f>
        <v>0</v>
      </c>
      <c r="Y822" s="55">
        <f>VLOOKUP($E822,'NI-Ric_SP'!$C:$AN,MID(Y$1,1,2),FALSE)</f>
        <v>0</v>
      </c>
      <c r="Z822" s="55">
        <f>VLOOKUP($E822,'NI-Ric_SP'!$C:$AN,MID(Z$1,1,2),FALSE)</f>
        <v>0</v>
      </c>
      <c r="AA822" s="55">
        <f>VLOOKUP($E822,'NI-Ric_SP'!$C:$AN,MID(AA$1,1,2),FALSE)</f>
        <v>0</v>
      </c>
      <c r="AB822" s="55">
        <f>VLOOKUP($E822,'NI-Ric_SP'!$C:$AN,MID(AB$1,1,2),FALSE)</f>
        <v>0</v>
      </c>
      <c r="AC822" s="55">
        <f>VLOOKUP($E822,'NI-Ric_SP'!$C:$AN,MID(AC$1,1,2),FALSE)</f>
        <v>0</v>
      </c>
      <c r="AD822" s="55">
        <f>VLOOKUP($E822,'NI-Ric_SP'!$C:$AN,MID(AD$1,1,2),FALSE)</f>
        <v>0</v>
      </c>
      <c r="AE822" s="55">
        <f>VLOOKUP($E822,'NI-Ric_SP'!$C:$AN,MID(AE$1,1,2),FALSE)</f>
        <v>0</v>
      </c>
      <c r="AF822" s="55">
        <f>VLOOKUP($E822,'NI-Ric_SP'!$C:$AN,MID(AF$1,1,2),FALSE)</f>
        <v>0</v>
      </c>
      <c r="AG822" s="55">
        <f>VLOOKUP($E822,'NI-Ric_SP'!$C:$AN,MID(AG$1,1,2),FALSE)</f>
        <v>0</v>
      </c>
      <c r="AH822" s="55">
        <f>VLOOKUP($E822,'NI-Ric_SP'!$C:$AN,MID(AH$1,1,2),FALSE)</f>
        <v>0</v>
      </c>
      <c r="AI822" s="55">
        <f>VLOOKUP($E822,'NI-Ric_SP'!$C:$AN,MID(AI$1,1,2),FALSE)</f>
        <v>0</v>
      </c>
      <c r="AJ822" s="55">
        <f>VLOOKUP($E822,'NI-Ric_SP'!$C:$AN,MID(AJ$1,1,2),FALSE)</f>
        <v>0</v>
      </c>
      <c r="AK822" s="55">
        <f>VLOOKUP($E822,'NI-Ric_SP'!$C:$AN,MID(AK$1,1,2),FALSE)</f>
        <v>0</v>
      </c>
      <c r="AL822" s="55">
        <f>VLOOKUP($E822,'NI-Ric_SP'!$C:$AN,MID(AL$1,1,2),FALSE)</f>
        <v>0</v>
      </c>
      <c r="AM822" s="56">
        <f>VLOOKUP($E822,'NI-Ric_SP'!$C:$AN,MID(AM$1,1,2),FALSE)</f>
        <v>0</v>
      </c>
      <c r="AN822" s="30" t="str">
        <f t="shared" si="12"/>
        <v>10201010000000</v>
      </c>
    </row>
    <row r="823" spans="3:40" x14ac:dyDescent="0.25">
      <c r="C823" s="40"/>
      <c r="D823" s="101" t="s">
        <v>440</v>
      </c>
      <c r="E823" s="101" t="s">
        <v>441</v>
      </c>
      <c r="F823" s="102" t="s">
        <v>2750</v>
      </c>
      <c r="G823" s="52"/>
      <c r="H823" s="52"/>
      <c r="I823" s="52"/>
      <c r="J823" s="52"/>
      <c r="K823" s="59" t="s">
        <v>79</v>
      </c>
      <c r="L823" s="52"/>
      <c r="M823" s="52"/>
      <c r="N823" s="52"/>
      <c r="O823" s="52"/>
      <c r="P823" s="76" t="s">
        <v>442</v>
      </c>
      <c r="Q823" s="55">
        <f>VLOOKUP(E823,'NI-Ric_SP'!$C:$AN,12,FALSE)</f>
        <v>0</v>
      </c>
      <c r="R823" s="55">
        <f>VLOOKUP(E823,'NI-Ric_SP'!$C:$AN,13,FALSE)</f>
        <v>0</v>
      </c>
      <c r="S823" s="55"/>
      <c r="T823" s="55"/>
      <c r="U823" s="55">
        <f>VLOOKUP($E823,'NI-Ric_SP'!$C:$AN,MID(U$1,1,2),FALSE)</f>
        <v>0</v>
      </c>
      <c r="V823" s="55">
        <f>VLOOKUP($E823,'NI-Ric_SP'!$C:$AN,MID(V$1,1,2),FALSE)</f>
        <v>0</v>
      </c>
      <c r="W823" s="55">
        <f>VLOOKUP($E823,'NI-Ric_SP'!$C:$AN,MID(W$1,1,2),FALSE)</f>
        <v>0</v>
      </c>
      <c r="X823" s="55">
        <f>VLOOKUP($E823,'NI-Ric_SP'!$C:$AN,MID(X$1,1,2),FALSE)</f>
        <v>0</v>
      </c>
      <c r="Y823" s="55">
        <f>VLOOKUP($E823,'NI-Ric_SP'!$C:$AN,MID(Y$1,1,2),FALSE)</f>
        <v>0</v>
      </c>
      <c r="Z823" s="55">
        <f>VLOOKUP($E823,'NI-Ric_SP'!$C:$AN,MID(Z$1,1,2),FALSE)</f>
        <v>0</v>
      </c>
      <c r="AA823" s="55">
        <f>VLOOKUP($E823,'NI-Ric_SP'!$C:$AN,MID(AA$1,1,2),FALSE)</f>
        <v>0</v>
      </c>
      <c r="AB823" s="55">
        <f>VLOOKUP($E823,'NI-Ric_SP'!$C:$AN,MID(AB$1,1,2),FALSE)</f>
        <v>0</v>
      </c>
      <c r="AC823" s="55">
        <f>VLOOKUP($E823,'NI-Ric_SP'!$C:$AN,MID(AC$1,1,2),FALSE)</f>
        <v>0</v>
      </c>
      <c r="AD823" s="55">
        <f>VLOOKUP($E823,'NI-Ric_SP'!$C:$AN,MID(AD$1,1,2),FALSE)</f>
        <v>0</v>
      </c>
      <c r="AE823" s="55">
        <f>VLOOKUP($E823,'NI-Ric_SP'!$C:$AN,MID(AE$1,1,2),FALSE)</f>
        <v>0</v>
      </c>
      <c r="AF823" s="55">
        <f>VLOOKUP($E823,'NI-Ric_SP'!$C:$AN,MID(AF$1,1,2),FALSE)</f>
        <v>0</v>
      </c>
      <c r="AG823" s="55">
        <f>VLOOKUP($E823,'NI-Ric_SP'!$C:$AN,MID(AG$1,1,2),FALSE)</f>
        <v>0</v>
      </c>
      <c r="AH823" s="55">
        <f>VLOOKUP($E823,'NI-Ric_SP'!$C:$AN,MID(AH$1,1,2),FALSE)</f>
        <v>0</v>
      </c>
      <c r="AI823" s="55">
        <f>VLOOKUP($E823,'NI-Ric_SP'!$C:$AN,MID(AI$1,1,2),FALSE)</f>
        <v>0</v>
      </c>
      <c r="AJ823" s="55">
        <f>VLOOKUP($E823,'NI-Ric_SP'!$C:$AN,MID(AJ$1,1,2),FALSE)</f>
        <v>0</v>
      </c>
      <c r="AK823" s="55">
        <f>VLOOKUP($E823,'NI-Ric_SP'!$C:$AN,MID(AK$1,1,2),FALSE)</f>
        <v>0</v>
      </c>
      <c r="AL823" s="55">
        <f>VLOOKUP($E823,'NI-Ric_SP'!$C:$AN,MID(AL$1,1,2),FALSE)</f>
        <v>0</v>
      </c>
      <c r="AM823" s="56">
        <f>VLOOKUP($E823,'NI-Ric_SP'!$C:$AN,MID(AM$1,1,2),FALSE)</f>
        <v>0</v>
      </c>
      <c r="AN823" s="30" t="str">
        <f t="shared" si="12"/>
        <v>10201010010010</v>
      </c>
    </row>
    <row r="824" spans="3:40" x14ac:dyDescent="0.25">
      <c r="C824" s="40"/>
      <c r="D824" s="101" t="s">
        <v>443</v>
      </c>
      <c r="E824" s="101" t="s">
        <v>444</v>
      </c>
      <c r="F824" s="102" t="s">
        <v>2750</v>
      </c>
      <c r="G824" s="52"/>
      <c r="H824" s="52"/>
      <c r="I824" s="52"/>
      <c r="J824" s="52"/>
      <c r="K824" s="59" t="s">
        <v>79</v>
      </c>
      <c r="L824" s="52"/>
      <c r="M824" s="52"/>
      <c r="N824" s="52"/>
      <c r="O824" s="52"/>
      <c r="P824" s="76" t="s">
        <v>445</v>
      </c>
      <c r="Q824" s="55">
        <f>VLOOKUP(E824,'NI-Ric_SP'!$C:$AN,12,FALSE)</f>
        <v>0</v>
      </c>
      <c r="R824" s="55">
        <f>VLOOKUP(E824,'NI-Ric_SP'!$C:$AN,13,FALSE)</f>
        <v>0</v>
      </c>
      <c r="S824" s="55"/>
      <c r="T824" s="55"/>
      <c r="U824" s="55">
        <f>VLOOKUP($E824,'NI-Ric_SP'!$C:$AN,MID(U$1,1,2),FALSE)</f>
        <v>0</v>
      </c>
      <c r="V824" s="55">
        <f>VLOOKUP($E824,'NI-Ric_SP'!$C:$AN,MID(V$1,1,2),FALSE)</f>
        <v>0</v>
      </c>
      <c r="W824" s="55">
        <f>VLOOKUP($E824,'NI-Ric_SP'!$C:$AN,MID(W$1,1,2),FALSE)</f>
        <v>0</v>
      </c>
      <c r="X824" s="55">
        <f>VLOOKUP($E824,'NI-Ric_SP'!$C:$AN,MID(X$1,1,2),FALSE)</f>
        <v>0</v>
      </c>
      <c r="Y824" s="55">
        <f>VLOOKUP($E824,'NI-Ric_SP'!$C:$AN,MID(Y$1,1,2),FALSE)</f>
        <v>0</v>
      </c>
      <c r="Z824" s="55">
        <f>VLOOKUP($E824,'NI-Ric_SP'!$C:$AN,MID(Z$1,1,2),FALSE)</f>
        <v>0</v>
      </c>
      <c r="AA824" s="55">
        <f>VLOOKUP($E824,'NI-Ric_SP'!$C:$AN,MID(AA$1,1,2),FALSE)</f>
        <v>0</v>
      </c>
      <c r="AB824" s="55">
        <f>VLOOKUP($E824,'NI-Ric_SP'!$C:$AN,MID(AB$1,1,2),FALSE)</f>
        <v>0</v>
      </c>
      <c r="AC824" s="55">
        <f>VLOOKUP($E824,'NI-Ric_SP'!$C:$AN,MID(AC$1,1,2),FALSE)</f>
        <v>0</v>
      </c>
      <c r="AD824" s="55">
        <f>VLOOKUP($E824,'NI-Ric_SP'!$C:$AN,MID(AD$1,1,2),FALSE)</f>
        <v>0</v>
      </c>
      <c r="AE824" s="55">
        <f>VLOOKUP($E824,'NI-Ric_SP'!$C:$AN,MID(AE$1,1,2),FALSE)</f>
        <v>0</v>
      </c>
      <c r="AF824" s="55">
        <f>VLOOKUP($E824,'NI-Ric_SP'!$C:$AN,MID(AF$1,1,2),FALSE)</f>
        <v>0</v>
      </c>
      <c r="AG824" s="55">
        <f>VLOOKUP($E824,'NI-Ric_SP'!$C:$AN,MID(AG$1,1,2),FALSE)</f>
        <v>0</v>
      </c>
      <c r="AH824" s="55">
        <f>VLOOKUP($E824,'NI-Ric_SP'!$C:$AN,MID(AH$1,1,2),FALSE)</f>
        <v>0</v>
      </c>
      <c r="AI824" s="55">
        <f>VLOOKUP($E824,'NI-Ric_SP'!$C:$AN,MID(AI$1,1,2),FALSE)</f>
        <v>0</v>
      </c>
      <c r="AJ824" s="55">
        <f>VLOOKUP($E824,'NI-Ric_SP'!$C:$AN,MID(AJ$1,1,2),FALSE)</f>
        <v>0</v>
      </c>
      <c r="AK824" s="55">
        <f>VLOOKUP($E824,'NI-Ric_SP'!$C:$AN,MID(AK$1,1,2),FALSE)</f>
        <v>0</v>
      </c>
      <c r="AL824" s="55">
        <f>VLOOKUP($E824,'NI-Ric_SP'!$C:$AN,MID(AL$1,1,2),FALSE)</f>
        <v>0</v>
      </c>
      <c r="AM824" s="56">
        <f>VLOOKUP($E824,'NI-Ric_SP'!$C:$AN,MID(AM$1,1,2),FALSE)</f>
        <v>0</v>
      </c>
      <c r="AN824" s="30" t="str">
        <f t="shared" si="12"/>
        <v>10201010010020</v>
      </c>
    </row>
    <row r="825" spans="3:40" x14ac:dyDescent="0.25">
      <c r="C825" s="40"/>
      <c r="D825" s="101" t="s">
        <v>446</v>
      </c>
      <c r="E825" s="101" t="s">
        <v>447</v>
      </c>
      <c r="F825" s="102" t="s">
        <v>2750</v>
      </c>
      <c r="G825" s="52"/>
      <c r="H825" s="52"/>
      <c r="I825" s="52"/>
      <c r="J825" s="52"/>
      <c r="K825" s="59" t="s">
        <v>79</v>
      </c>
      <c r="L825" s="52"/>
      <c r="M825" s="52"/>
      <c r="N825" s="52"/>
      <c r="O825" s="52"/>
      <c r="P825" s="76" t="s">
        <v>448</v>
      </c>
      <c r="Q825" s="55">
        <f>VLOOKUP(E825,'NI-Ric_SP'!$C:$AN,12,FALSE)</f>
        <v>0</v>
      </c>
      <c r="R825" s="55">
        <f>VLOOKUP(E825,'NI-Ric_SP'!$C:$AN,13,FALSE)</f>
        <v>0</v>
      </c>
      <c r="S825" s="55"/>
      <c r="T825" s="55"/>
      <c r="U825" s="55">
        <f>VLOOKUP($E825,'NI-Ric_SP'!$C:$AN,MID(U$1,1,2),FALSE)</f>
        <v>0</v>
      </c>
      <c r="V825" s="55">
        <f>VLOOKUP($E825,'NI-Ric_SP'!$C:$AN,MID(V$1,1,2),FALSE)</f>
        <v>0</v>
      </c>
      <c r="W825" s="55">
        <f>VLOOKUP($E825,'NI-Ric_SP'!$C:$AN,MID(W$1,1,2),FALSE)</f>
        <v>0</v>
      </c>
      <c r="X825" s="55">
        <f>VLOOKUP($E825,'NI-Ric_SP'!$C:$AN,MID(X$1,1,2),FALSE)</f>
        <v>0</v>
      </c>
      <c r="Y825" s="55">
        <f>VLOOKUP($E825,'NI-Ric_SP'!$C:$AN,MID(Y$1,1,2),FALSE)</f>
        <v>0</v>
      </c>
      <c r="Z825" s="55">
        <f>VLOOKUP($E825,'NI-Ric_SP'!$C:$AN,MID(Z$1,1,2),FALSE)</f>
        <v>0</v>
      </c>
      <c r="AA825" s="55">
        <f>VLOOKUP($E825,'NI-Ric_SP'!$C:$AN,MID(AA$1,1,2),FALSE)</f>
        <v>0</v>
      </c>
      <c r="AB825" s="55">
        <f>VLOOKUP($E825,'NI-Ric_SP'!$C:$AN,MID(AB$1,1,2),FALSE)</f>
        <v>0</v>
      </c>
      <c r="AC825" s="55">
        <f>VLOOKUP($E825,'NI-Ric_SP'!$C:$AN,MID(AC$1,1,2),FALSE)</f>
        <v>0</v>
      </c>
      <c r="AD825" s="55">
        <f>VLOOKUP($E825,'NI-Ric_SP'!$C:$AN,MID(AD$1,1,2),FALSE)</f>
        <v>0</v>
      </c>
      <c r="AE825" s="55">
        <f>VLOOKUP($E825,'NI-Ric_SP'!$C:$AN,MID(AE$1,1,2),FALSE)</f>
        <v>0</v>
      </c>
      <c r="AF825" s="55">
        <f>VLOOKUP($E825,'NI-Ric_SP'!$C:$AN,MID(AF$1,1,2),FALSE)</f>
        <v>0</v>
      </c>
      <c r="AG825" s="55">
        <f>VLOOKUP($E825,'NI-Ric_SP'!$C:$AN,MID(AG$1,1,2),FALSE)</f>
        <v>0</v>
      </c>
      <c r="AH825" s="55">
        <f>VLOOKUP($E825,'NI-Ric_SP'!$C:$AN,MID(AH$1,1,2),FALSE)</f>
        <v>0</v>
      </c>
      <c r="AI825" s="55">
        <f>VLOOKUP($E825,'NI-Ric_SP'!$C:$AN,MID(AI$1,1,2),FALSE)</f>
        <v>0</v>
      </c>
      <c r="AJ825" s="55">
        <f>VLOOKUP($E825,'NI-Ric_SP'!$C:$AN,MID(AJ$1,1,2),FALSE)</f>
        <v>0</v>
      </c>
      <c r="AK825" s="55">
        <f>VLOOKUP($E825,'NI-Ric_SP'!$C:$AN,MID(AK$1,1,2),FALSE)</f>
        <v>0</v>
      </c>
      <c r="AL825" s="55">
        <f>VLOOKUP($E825,'NI-Ric_SP'!$C:$AN,MID(AL$1,1,2),FALSE)</f>
        <v>0</v>
      </c>
      <c r="AM825" s="56">
        <f>VLOOKUP($E825,'NI-Ric_SP'!$C:$AN,MID(AM$1,1,2),FALSE)</f>
        <v>0</v>
      </c>
      <c r="AN825" s="30" t="str">
        <f t="shared" si="12"/>
        <v>10201010020010</v>
      </c>
    </row>
    <row r="826" spans="3:40" x14ac:dyDescent="0.25">
      <c r="C826" s="40"/>
      <c r="D826" s="101" t="s">
        <v>449</v>
      </c>
      <c r="E826" s="101" t="s">
        <v>450</v>
      </c>
      <c r="F826" s="102" t="s">
        <v>2750</v>
      </c>
      <c r="G826" s="52"/>
      <c r="H826" s="52"/>
      <c r="I826" s="52"/>
      <c r="J826" s="52"/>
      <c r="K826" s="59" t="s">
        <v>79</v>
      </c>
      <c r="L826" s="52"/>
      <c r="M826" s="52"/>
      <c r="N826" s="52"/>
      <c r="O826" s="52"/>
      <c r="P826" s="76" t="s">
        <v>451</v>
      </c>
      <c r="Q826" s="55">
        <f>VLOOKUP(E826,'NI-Ric_SP'!$C:$AN,12,FALSE)</f>
        <v>0</v>
      </c>
      <c r="R826" s="55">
        <f>VLOOKUP(E826,'NI-Ric_SP'!$C:$AN,13,FALSE)</f>
        <v>0</v>
      </c>
      <c r="S826" s="55"/>
      <c r="T826" s="55"/>
      <c r="U826" s="55">
        <f>VLOOKUP($E826,'NI-Ric_SP'!$C:$AN,MID(U$1,1,2),FALSE)</f>
        <v>0</v>
      </c>
      <c r="V826" s="55">
        <f>VLOOKUP($E826,'NI-Ric_SP'!$C:$AN,MID(V$1,1,2),FALSE)</f>
        <v>0</v>
      </c>
      <c r="W826" s="55">
        <f>VLOOKUP($E826,'NI-Ric_SP'!$C:$AN,MID(W$1,1,2),FALSE)</f>
        <v>0</v>
      </c>
      <c r="X826" s="55">
        <f>VLOOKUP($E826,'NI-Ric_SP'!$C:$AN,MID(X$1,1,2),FALSE)</f>
        <v>0</v>
      </c>
      <c r="Y826" s="55">
        <f>VLOOKUP($E826,'NI-Ric_SP'!$C:$AN,MID(Y$1,1,2),FALSE)</f>
        <v>0</v>
      </c>
      <c r="Z826" s="55">
        <f>VLOOKUP($E826,'NI-Ric_SP'!$C:$AN,MID(Z$1,1,2),FALSE)</f>
        <v>0</v>
      </c>
      <c r="AA826" s="55">
        <f>VLOOKUP($E826,'NI-Ric_SP'!$C:$AN,MID(AA$1,1,2),FALSE)</f>
        <v>0</v>
      </c>
      <c r="AB826" s="55">
        <f>VLOOKUP($E826,'NI-Ric_SP'!$C:$AN,MID(AB$1,1,2),FALSE)</f>
        <v>0</v>
      </c>
      <c r="AC826" s="55">
        <f>VLOOKUP($E826,'NI-Ric_SP'!$C:$AN,MID(AC$1,1,2),FALSE)</f>
        <v>0</v>
      </c>
      <c r="AD826" s="55">
        <f>VLOOKUP($E826,'NI-Ric_SP'!$C:$AN,MID(AD$1,1,2),FALSE)</f>
        <v>0</v>
      </c>
      <c r="AE826" s="55">
        <f>VLOOKUP($E826,'NI-Ric_SP'!$C:$AN,MID(AE$1,1,2),FALSE)</f>
        <v>0</v>
      </c>
      <c r="AF826" s="55">
        <f>VLOOKUP($E826,'NI-Ric_SP'!$C:$AN,MID(AF$1,1,2),FALSE)</f>
        <v>0</v>
      </c>
      <c r="AG826" s="55">
        <f>VLOOKUP($E826,'NI-Ric_SP'!$C:$AN,MID(AG$1,1,2),FALSE)</f>
        <v>0</v>
      </c>
      <c r="AH826" s="55">
        <f>VLOOKUP($E826,'NI-Ric_SP'!$C:$AN,MID(AH$1,1,2),FALSE)</f>
        <v>0</v>
      </c>
      <c r="AI826" s="55">
        <f>VLOOKUP($E826,'NI-Ric_SP'!$C:$AN,MID(AI$1,1,2),FALSE)</f>
        <v>0</v>
      </c>
      <c r="AJ826" s="55">
        <f>VLOOKUP($E826,'NI-Ric_SP'!$C:$AN,MID(AJ$1,1,2),FALSE)</f>
        <v>0</v>
      </c>
      <c r="AK826" s="55">
        <f>VLOOKUP($E826,'NI-Ric_SP'!$C:$AN,MID(AK$1,1,2),FALSE)</f>
        <v>0</v>
      </c>
      <c r="AL826" s="55">
        <f>VLOOKUP($E826,'NI-Ric_SP'!$C:$AN,MID(AL$1,1,2),FALSE)</f>
        <v>0</v>
      </c>
      <c r="AM826" s="56">
        <f>VLOOKUP($E826,'NI-Ric_SP'!$C:$AN,MID(AM$1,1,2),FALSE)</f>
        <v>0</v>
      </c>
      <c r="AN826" s="30" t="str">
        <f t="shared" si="12"/>
        <v>10201010020020</v>
      </c>
    </row>
    <row r="827" spans="3:40" x14ac:dyDescent="0.25">
      <c r="C827" s="40"/>
      <c r="D827" s="101" t="s">
        <v>452</v>
      </c>
      <c r="E827" s="101" t="s">
        <v>453</v>
      </c>
      <c r="F827" s="102" t="s">
        <v>2750</v>
      </c>
      <c r="G827" s="52"/>
      <c r="H827" s="52"/>
      <c r="I827" s="52"/>
      <c r="J827" s="52"/>
      <c r="K827" s="59" t="s">
        <v>79</v>
      </c>
      <c r="L827" s="52"/>
      <c r="M827" s="52"/>
      <c r="N827" s="52"/>
      <c r="O827" s="52"/>
      <c r="P827" s="76" t="s">
        <v>454</v>
      </c>
      <c r="Q827" s="55">
        <f>VLOOKUP(E827,'NI-Ric_SP'!$C:$AN,12,FALSE)</f>
        <v>0</v>
      </c>
      <c r="R827" s="55">
        <f>VLOOKUP(E827,'NI-Ric_SP'!$C:$AN,13,FALSE)</f>
        <v>0</v>
      </c>
      <c r="S827" s="55"/>
      <c r="T827" s="55"/>
      <c r="U827" s="55">
        <f>VLOOKUP($E827,'NI-Ric_SP'!$C:$AN,MID(U$1,1,2),FALSE)</f>
        <v>0</v>
      </c>
      <c r="V827" s="55">
        <f>VLOOKUP($E827,'NI-Ric_SP'!$C:$AN,MID(V$1,1,2),FALSE)</f>
        <v>0</v>
      </c>
      <c r="W827" s="55">
        <f>VLOOKUP($E827,'NI-Ric_SP'!$C:$AN,MID(W$1,1,2),FALSE)</f>
        <v>0</v>
      </c>
      <c r="X827" s="55">
        <f>VLOOKUP($E827,'NI-Ric_SP'!$C:$AN,MID(X$1,1,2),FALSE)</f>
        <v>0</v>
      </c>
      <c r="Y827" s="55">
        <f>VLOOKUP($E827,'NI-Ric_SP'!$C:$AN,MID(Y$1,1,2),FALSE)</f>
        <v>0</v>
      </c>
      <c r="Z827" s="55">
        <f>VLOOKUP($E827,'NI-Ric_SP'!$C:$AN,MID(Z$1,1,2),FALSE)</f>
        <v>0</v>
      </c>
      <c r="AA827" s="55">
        <f>VLOOKUP($E827,'NI-Ric_SP'!$C:$AN,MID(AA$1,1,2),FALSE)</f>
        <v>0</v>
      </c>
      <c r="AB827" s="55">
        <f>VLOOKUP($E827,'NI-Ric_SP'!$C:$AN,MID(AB$1,1,2),FALSE)</f>
        <v>0</v>
      </c>
      <c r="AC827" s="55">
        <f>VLOOKUP($E827,'NI-Ric_SP'!$C:$AN,MID(AC$1,1,2),FALSE)</f>
        <v>0</v>
      </c>
      <c r="AD827" s="55">
        <f>VLOOKUP($E827,'NI-Ric_SP'!$C:$AN,MID(AD$1,1,2),FALSE)</f>
        <v>0</v>
      </c>
      <c r="AE827" s="55">
        <f>VLOOKUP($E827,'NI-Ric_SP'!$C:$AN,MID(AE$1,1,2),FALSE)</f>
        <v>0</v>
      </c>
      <c r="AF827" s="55">
        <f>VLOOKUP($E827,'NI-Ric_SP'!$C:$AN,MID(AF$1,1,2),FALSE)</f>
        <v>0</v>
      </c>
      <c r="AG827" s="55">
        <f>VLOOKUP($E827,'NI-Ric_SP'!$C:$AN,MID(AG$1,1,2),FALSE)</f>
        <v>0</v>
      </c>
      <c r="AH827" s="55">
        <f>VLOOKUP($E827,'NI-Ric_SP'!$C:$AN,MID(AH$1,1,2),FALSE)</f>
        <v>0</v>
      </c>
      <c r="AI827" s="55">
        <f>VLOOKUP($E827,'NI-Ric_SP'!$C:$AN,MID(AI$1,1,2),FALSE)</f>
        <v>0</v>
      </c>
      <c r="AJ827" s="55">
        <f>VLOOKUP($E827,'NI-Ric_SP'!$C:$AN,MID(AJ$1,1,2),FALSE)</f>
        <v>0</v>
      </c>
      <c r="AK827" s="55">
        <f>VLOOKUP($E827,'NI-Ric_SP'!$C:$AN,MID(AK$1,1,2),FALSE)</f>
        <v>0</v>
      </c>
      <c r="AL827" s="55">
        <f>VLOOKUP($E827,'NI-Ric_SP'!$C:$AN,MID(AL$1,1,2),FALSE)</f>
        <v>0</v>
      </c>
      <c r="AM827" s="56">
        <f>VLOOKUP($E827,'NI-Ric_SP'!$C:$AN,MID(AM$1,1,2),FALSE)</f>
        <v>0</v>
      </c>
      <c r="AN827" s="30" t="str">
        <f t="shared" si="12"/>
        <v>10201010030010</v>
      </c>
    </row>
    <row r="828" spans="3:40" x14ac:dyDescent="0.25">
      <c r="C828" s="40"/>
      <c r="D828" s="101" t="s">
        <v>455</v>
      </c>
      <c r="E828" s="101" t="s">
        <v>456</v>
      </c>
      <c r="F828" s="102" t="s">
        <v>2750</v>
      </c>
      <c r="G828" s="52"/>
      <c r="H828" s="52"/>
      <c r="I828" s="52"/>
      <c r="J828" s="52"/>
      <c r="K828" s="59" t="s">
        <v>79</v>
      </c>
      <c r="L828" s="52"/>
      <c r="M828" s="52"/>
      <c r="N828" s="52"/>
      <c r="O828" s="52"/>
      <c r="P828" s="76" t="s">
        <v>457</v>
      </c>
      <c r="Q828" s="55">
        <f>VLOOKUP(E828,'NI-Ric_SP'!$C:$AN,12,FALSE)</f>
        <v>0</v>
      </c>
      <c r="R828" s="55">
        <f>VLOOKUP(E828,'NI-Ric_SP'!$C:$AN,13,FALSE)</f>
        <v>0</v>
      </c>
      <c r="S828" s="55"/>
      <c r="T828" s="55"/>
      <c r="U828" s="55">
        <f>VLOOKUP($E828,'NI-Ric_SP'!$C:$AN,MID(U$1,1,2),FALSE)</f>
        <v>0</v>
      </c>
      <c r="V828" s="55">
        <f>VLOOKUP($E828,'NI-Ric_SP'!$C:$AN,MID(V$1,1,2),FALSE)</f>
        <v>0</v>
      </c>
      <c r="W828" s="55">
        <f>VLOOKUP($E828,'NI-Ric_SP'!$C:$AN,MID(W$1,1,2),FALSE)</f>
        <v>0</v>
      </c>
      <c r="X828" s="55">
        <f>VLOOKUP($E828,'NI-Ric_SP'!$C:$AN,MID(X$1,1,2),FALSE)</f>
        <v>0</v>
      </c>
      <c r="Y828" s="55">
        <f>VLOOKUP($E828,'NI-Ric_SP'!$C:$AN,MID(Y$1,1,2),FALSE)</f>
        <v>0</v>
      </c>
      <c r="Z828" s="55">
        <f>VLOOKUP($E828,'NI-Ric_SP'!$C:$AN,MID(Z$1,1,2),FALSE)</f>
        <v>0</v>
      </c>
      <c r="AA828" s="55">
        <f>VLOOKUP($E828,'NI-Ric_SP'!$C:$AN,MID(AA$1,1,2),FALSE)</f>
        <v>0</v>
      </c>
      <c r="AB828" s="55">
        <f>VLOOKUP($E828,'NI-Ric_SP'!$C:$AN,MID(AB$1,1,2),FALSE)</f>
        <v>0</v>
      </c>
      <c r="AC828" s="55">
        <f>VLOOKUP($E828,'NI-Ric_SP'!$C:$AN,MID(AC$1,1,2),FALSE)</f>
        <v>0</v>
      </c>
      <c r="AD828" s="55">
        <f>VLOOKUP($E828,'NI-Ric_SP'!$C:$AN,MID(AD$1,1,2),FALSE)</f>
        <v>0</v>
      </c>
      <c r="AE828" s="55">
        <f>VLOOKUP($E828,'NI-Ric_SP'!$C:$AN,MID(AE$1,1,2),FALSE)</f>
        <v>0</v>
      </c>
      <c r="AF828" s="55">
        <f>VLOOKUP($E828,'NI-Ric_SP'!$C:$AN,MID(AF$1,1,2),FALSE)</f>
        <v>0</v>
      </c>
      <c r="AG828" s="55">
        <f>VLOOKUP($E828,'NI-Ric_SP'!$C:$AN,MID(AG$1,1,2),FALSE)</f>
        <v>0</v>
      </c>
      <c r="AH828" s="55">
        <f>VLOOKUP($E828,'NI-Ric_SP'!$C:$AN,MID(AH$1,1,2),FALSE)</f>
        <v>0</v>
      </c>
      <c r="AI828" s="55">
        <f>VLOOKUP($E828,'NI-Ric_SP'!$C:$AN,MID(AI$1,1,2),FALSE)</f>
        <v>0</v>
      </c>
      <c r="AJ828" s="55">
        <f>VLOOKUP($E828,'NI-Ric_SP'!$C:$AN,MID(AJ$1,1,2),FALSE)</f>
        <v>0</v>
      </c>
      <c r="AK828" s="55">
        <f>VLOOKUP($E828,'NI-Ric_SP'!$C:$AN,MID(AK$1,1,2),FALSE)</f>
        <v>0</v>
      </c>
      <c r="AL828" s="55">
        <f>VLOOKUP($E828,'NI-Ric_SP'!$C:$AN,MID(AL$1,1,2),FALSE)</f>
        <v>0</v>
      </c>
      <c r="AM828" s="56">
        <f>VLOOKUP($E828,'NI-Ric_SP'!$C:$AN,MID(AM$1,1,2),FALSE)</f>
        <v>0</v>
      </c>
      <c r="AN828" s="30" t="str">
        <f t="shared" si="12"/>
        <v>10201010030020</v>
      </c>
    </row>
    <row r="829" spans="3:40" x14ac:dyDescent="0.25">
      <c r="C829" s="40"/>
      <c r="D829" s="101" t="s">
        <v>458</v>
      </c>
      <c r="E829" s="101" t="s">
        <v>459</v>
      </c>
      <c r="F829" s="102" t="s">
        <v>2750</v>
      </c>
      <c r="G829" s="52"/>
      <c r="H829" s="52"/>
      <c r="I829" s="52" t="s">
        <v>460</v>
      </c>
      <c r="J829" s="52" t="s">
        <v>460</v>
      </c>
      <c r="K829" s="59" t="s">
        <v>111</v>
      </c>
      <c r="L829" s="52"/>
      <c r="M829" s="52"/>
      <c r="N829" s="52"/>
      <c r="O829" s="61" t="s">
        <v>461</v>
      </c>
      <c r="P829" s="76" t="s">
        <v>462</v>
      </c>
      <c r="Q829" s="55">
        <f>VLOOKUP(E829,'NI-Ric_SP'!$C:$AN,12,FALSE)</f>
        <v>0</v>
      </c>
      <c r="R829" s="55">
        <f>VLOOKUP(E829,'NI-Ric_SP'!$C:$AN,13,FALSE)</f>
        <v>0</v>
      </c>
      <c r="S829" s="55"/>
      <c r="T829" s="55"/>
      <c r="U829" s="55">
        <f>VLOOKUP($E829,'NI-Ric_SP'!$C:$AN,MID(U$1,1,2),FALSE)</f>
        <v>0</v>
      </c>
      <c r="V829" s="55">
        <f>VLOOKUP($E829,'NI-Ric_SP'!$C:$AN,MID(V$1,1,2),FALSE)</f>
        <v>0</v>
      </c>
      <c r="W829" s="55">
        <f>VLOOKUP($E829,'NI-Ric_SP'!$C:$AN,MID(W$1,1,2),FALSE)</f>
        <v>0</v>
      </c>
      <c r="X829" s="55">
        <f>VLOOKUP($E829,'NI-Ric_SP'!$C:$AN,MID(X$1,1,2),FALSE)</f>
        <v>0</v>
      </c>
      <c r="Y829" s="55">
        <f>VLOOKUP($E829,'NI-Ric_SP'!$C:$AN,MID(Y$1,1,2),FALSE)</f>
        <v>0</v>
      </c>
      <c r="Z829" s="55">
        <f>VLOOKUP($E829,'NI-Ric_SP'!$C:$AN,MID(Z$1,1,2),FALSE)</f>
        <v>0</v>
      </c>
      <c r="AA829" s="55">
        <f>VLOOKUP($E829,'NI-Ric_SP'!$C:$AN,MID(AA$1,1,2),FALSE)</f>
        <v>0</v>
      </c>
      <c r="AB829" s="55">
        <f>VLOOKUP($E829,'NI-Ric_SP'!$C:$AN,MID(AB$1,1,2),FALSE)</f>
        <v>0</v>
      </c>
      <c r="AC829" s="55">
        <f>VLOOKUP($E829,'NI-Ric_SP'!$C:$AN,MID(AC$1,1,2),FALSE)</f>
        <v>0</v>
      </c>
      <c r="AD829" s="55">
        <f>VLOOKUP($E829,'NI-Ric_SP'!$C:$AN,MID(AD$1,1,2),FALSE)</f>
        <v>0</v>
      </c>
      <c r="AE829" s="55">
        <f>VLOOKUP($E829,'NI-Ric_SP'!$C:$AN,MID(AE$1,1,2),FALSE)</f>
        <v>0</v>
      </c>
      <c r="AF829" s="55">
        <f>VLOOKUP($E829,'NI-Ric_SP'!$C:$AN,MID(AF$1,1,2),FALSE)</f>
        <v>0</v>
      </c>
      <c r="AG829" s="55">
        <f>VLOOKUP($E829,'NI-Ric_SP'!$C:$AN,MID(AG$1,1,2),FALSE)</f>
        <v>0</v>
      </c>
      <c r="AH829" s="55">
        <f>VLOOKUP($E829,'NI-Ric_SP'!$C:$AN,MID(AH$1,1,2),FALSE)</f>
        <v>0</v>
      </c>
      <c r="AI829" s="55">
        <f>VLOOKUP($E829,'NI-Ric_SP'!$C:$AN,MID(AI$1,1,2),FALSE)</f>
        <v>0</v>
      </c>
      <c r="AJ829" s="55">
        <f>VLOOKUP($E829,'NI-Ric_SP'!$C:$AN,MID(AJ$1,1,2),FALSE)</f>
        <v>0</v>
      </c>
      <c r="AK829" s="55">
        <f>VLOOKUP($E829,'NI-Ric_SP'!$C:$AN,MID(AK$1,1,2),FALSE)</f>
        <v>0</v>
      </c>
      <c r="AL829" s="55">
        <f>VLOOKUP($E829,'NI-Ric_SP'!$C:$AN,MID(AL$1,1,2),FALSE)</f>
        <v>0</v>
      </c>
      <c r="AM829" s="56">
        <f>VLOOKUP($E829,'NI-Ric_SP'!$C:$AN,MID(AM$1,1,2),FALSE)</f>
        <v>0</v>
      </c>
      <c r="AN829" s="30" t="str">
        <f t="shared" si="12"/>
        <v>10201020000000</v>
      </c>
    </row>
    <row r="830" spans="3:40" x14ac:dyDescent="0.25">
      <c r="C830" s="40"/>
      <c r="D830" s="101" t="s">
        <v>463</v>
      </c>
      <c r="E830" s="101" t="s">
        <v>464</v>
      </c>
      <c r="F830" s="102" t="s">
        <v>2750</v>
      </c>
      <c r="G830" s="52"/>
      <c r="H830" s="52"/>
      <c r="I830" s="52"/>
      <c r="J830" s="52"/>
      <c r="K830" s="59" t="s">
        <v>79</v>
      </c>
      <c r="L830" s="52"/>
      <c r="M830" s="52"/>
      <c r="N830" s="52"/>
      <c r="O830" s="52"/>
      <c r="P830" s="76" t="s">
        <v>465</v>
      </c>
      <c r="Q830" s="55">
        <f>VLOOKUP(E830,'NI-Ric_SP'!$C:$AN,12,FALSE)</f>
        <v>0</v>
      </c>
      <c r="R830" s="55">
        <f>VLOOKUP(E830,'NI-Ric_SP'!$C:$AN,13,FALSE)</f>
        <v>0</v>
      </c>
      <c r="S830" s="55"/>
      <c r="T830" s="55"/>
      <c r="U830" s="55">
        <f>VLOOKUP($E830,'NI-Ric_SP'!$C:$AN,MID(U$1,1,2),FALSE)</f>
        <v>0</v>
      </c>
      <c r="V830" s="55">
        <f>VLOOKUP($E830,'NI-Ric_SP'!$C:$AN,MID(V$1,1,2),FALSE)</f>
        <v>0</v>
      </c>
      <c r="W830" s="55">
        <f>VLOOKUP($E830,'NI-Ric_SP'!$C:$AN,MID(W$1,1,2),FALSE)</f>
        <v>0</v>
      </c>
      <c r="X830" s="55">
        <f>VLOOKUP($E830,'NI-Ric_SP'!$C:$AN,MID(X$1,1,2),FALSE)</f>
        <v>0</v>
      </c>
      <c r="Y830" s="55">
        <f>VLOOKUP($E830,'NI-Ric_SP'!$C:$AN,MID(Y$1,1,2),FALSE)</f>
        <v>0</v>
      </c>
      <c r="Z830" s="55">
        <f>VLOOKUP($E830,'NI-Ric_SP'!$C:$AN,MID(Z$1,1,2),FALSE)</f>
        <v>0</v>
      </c>
      <c r="AA830" s="55">
        <f>VLOOKUP($E830,'NI-Ric_SP'!$C:$AN,MID(AA$1,1,2),FALSE)</f>
        <v>0</v>
      </c>
      <c r="AB830" s="55">
        <f>VLOOKUP($E830,'NI-Ric_SP'!$C:$AN,MID(AB$1,1,2),FALSE)</f>
        <v>0</v>
      </c>
      <c r="AC830" s="55">
        <f>VLOOKUP($E830,'NI-Ric_SP'!$C:$AN,MID(AC$1,1,2),FALSE)</f>
        <v>0</v>
      </c>
      <c r="AD830" s="55">
        <f>VLOOKUP($E830,'NI-Ric_SP'!$C:$AN,MID(AD$1,1,2),FALSE)</f>
        <v>0</v>
      </c>
      <c r="AE830" s="55">
        <f>VLOOKUP($E830,'NI-Ric_SP'!$C:$AN,MID(AE$1,1,2),FALSE)</f>
        <v>0</v>
      </c>
      <c r="AF830" s="55">
        <f>VLOOKUP($E830,'NI-Ric_SP'!$C:$AN,MID(AF$1,1,2),FALSE)</f>
        <v>0</v>
      </c>
      <c r="AG830" s="55">
        <f>VLOOKUP($E830,'NI-Ric_SP'!$C:$AN,MID(AG$1,1,2),FALSE)</f>
        <v>0</v>
      </c>
      <c r="AH830" s="55">
        <f>VLOOKUP($E830,'NI-Ric_SP'!$C:$AN,MID(AH$1,1,2),FALSE)</f>
        <v>0</v>
      </c>
      <c r="AI830" s="55">
        <f>VLOOKUP($E830,'NI-Ric_SP'!$C:$AN,MID(AI$1,1,2),FALSE)</f>
        <v>0</v>
      </c>
      <c r="AJ830" s="55">
        <f>VLOOKUP($E830,'NI-Ric_SP'!$C:$AN,MID(AJ$1,1,2),FALSE)</f>
        <v>0</v>
      </c>
      <c r="AK830" s="55">
        <f>VLOOKUP($E830,'NI-Ric_SP'!$C:$AN,MID(AK$1,1,2),FALSE)</f>
        <v>0</v>
      </c>
      <c r="AL830" s="55">
        <f>VLOOKUP($E830,'NI-Ric_SP'!$C:$AN,MID(AL$1,1,2),FALSE)</f>
        <v>0</v>
      </c>
      <c r="AM830" s="56">
        <f>VLOOKUP($E830,'NI-Ric_SP'!$C:$AN,MID(AM$1,1,2),FALSE)</f>
        <v>0</v>
      </c>
      <c r="AN830" s="30" t="str">
        <f t="shared" si="12"/>
        <v>10201020010010</v>
      </c>
    </row>
    <row r="831" spans="3:40" x14ac:dyDescent="0.25">
      <c r="C831" s="40"/>
      <c r="D831" s="101" t="s">
        <v>466</v>
      </c>
      <c r="E831" s="101" t="s">
        <v>467</v>
      </c>
      <c r="F831" s="102" t="s">
        <v>2750</v>
      </c>
      <c r="G831" s="52"/>
      <c r="H831" s="52"/>
      <c r="I831" s="52"/>
      <c r="J831" s="52"/>
      <c r="K831" s="59" t="s">
        <v>79</v>
      </c>
      <c r="L831" s="52"/>
      <c r="M831" s="52"/>
      <c r="N831" s="52"/>
      <c r="O831" s="52"/>
      <c r="P831" s="76" t="s">
        <v>468</v>
      </c>
      <c r="Q831" s="55">
        <f>VLOOKUP(E831,'NI-Ric_SP'!$C:$AN,12,FALSE)</f>
        <v>0</v>
      </c>
      <c r="R831" s="55">
        <f>VLOOKUP(E831,'NI-Ric_SP'!$C:$AN,13,FALSE)</f>
        <v>0</v>
      </c>
      <c r="S831" s="55"/>
      <c r="T831" s="55"/>
      <c r="U831" s="55">
        <f>VLOOKUP($E831,'NI-Ric_SP'!$C:$AN,MID(U$1,1,2),FALSE)</f>
        <v>0</v>
      </c>
      <c r="V831" s="55">
        <f>VLOOKUP($E831,'NI-Ric_SP'!$C:$AN,MID(V$1,1,2),FALSE)</f>
        <v>0</v>
      </c>
      <c r="W831" s="55">
        <f>VLOOKUP($E831,'NI-Ric_SP'!$C:$AN,MID(W$1,1,2),FALSE)</f>
        <v>0</v>
      </c>
      <c r="X831" s="55">
        <f>VLOOKUP($E831,'NI-Ric_SP'!$C:$AN,MID(X$1,1,2),FALSE)</f>
        <v>0</v>
      </c>
      <c r="Y831" s="55">
        <f>VLOOKUP($E831,'NI-Ric_SP'!$C:$AN,MID(Y$1,1,2),FALSE)</f>
        <v>0</v>
      </c>
      <c r="Z831" s="55">
        <f>VLOOKUP($E831,'NI-Ric_SP'!$C:$AN,MID(Z$1,1,2),FALSE)</f>
        <v>0</v>
      </c>
      <c r="AA831" s="55">
        <f>VLOOKUP($E831,'NI-Ric_SP'!$C:$AN,MID(AA$1,1,2),FALSE)</f>
        <v>0</v>
      </c>
      <c r="AB831" s="55">
        <f>VLOOKUP($E831,'NI-Ric_SP'!$C:$AN,MID(AB$1,1,2),FALSE)</f>
        <v>0</v>
      </c>
      <c r="AC831" s="55">
        <f>VLOOKUP($E831,'NI-Ric_SP'!$C:$AN,MID(AC$1,1,2),FALSE)</f>
        <v>0</v>
      </c>
      <c r="AD831" s="55">
        <f>VLOOKUP($E831,'NI-Ric_SP'!$C:$AN,MID(AD$1,1,2),FALSE)</f>
        <v>0</v>
      </c>
      <c r="AE831" s="55">
        <f>VLOOKUP($E831,'NI-Ric_SP'!$C:$AN,MID(AE$1,1,2),FALSE)</f>
        <v>0</v>
      </c>
      <c r="AF831" s="55">
        <f>VLOOKUP($E831,'NI-Ric_SP'!$C:$AN,MID(AF$1,1,2),FALSE)</f>
        <v>0</v>
      </c>
      <c r="AG831" s="55">
        <f>VLOOKUP($E831,'NI-Ric_SP'!$C:$AN,MID(AG$1,1,2),FALSE)</f>
        <v>0</v>
      </c>
      <c r="AH831" s="55">
        <f>VLOOKUP($E831,'NI-Ric_SP'!$C:$AN,MID(AH$1,1,2),FALSE)</f>
        <v>0</v>
      </c>
      <c r="AI831" s="55">
        <f>VLOOKUP($E831,'NI-Ric_SP'!$C:$AN,MID(AI$1,1,2),FALSE)</f>
        <v>0</v>
      </c>
      <c r="AJ831" s="55">
        <f>VLOOKUP($E831,'NI-Ric_SP'!$C:$AN,MID(AJ$1,1,2),FALSE)</f>
        <v>0</v>
      </c>
      <c r="AK831" s="55">
        <f>VLOOKUP($E831,'NI-Ric_SP'!$C:$AN,MID(AK$1,1,2),FALSE)</f>
        <v>0</v>
      </c>
      <c r="AL831" s="55">
        <f>VLOOKUP($E831,'NI-Ric_SP'!$C:$AN,MID(AL$1,1,2),FALSE)</f>
        <v>0</v>
      </c>
      <c r="AM831" s="56">
        <f>VLOOKUP($E831,'NI-Ric_SP'!$C:$AN,MID(AM$1,1,2),FALSE)</f>
        <v>0</v>
      </c>
      <c r="AN831" s="30" t="str">
        <f t="shared" si="12"/>
        <v>10201020010020</v>
      </c>
    </row>
    <row r="832" spans="3:40" x14ac:dyDescent="0.25">
      <c r="C832" s="40"/>
      <c r="D832" s="101" t="s">
        <v>469</v>
      </c>
      <c r="E832" s="101" t="s">
        <v>470</v>
      </c>
      <c r="F832" s="102" t="s">
        <v>2750</v>
      </c>
      <c r="G832" s="52"/>
      <c r="H832" s="52"/>
      <c r="I832" s="52"/>
      <c r="J832" s="52"/>
      <c r="K832" s="59" t="s">
        <v>79</v>
      </c>
      <c r="L832" s="52"/>
      <c r="M832" s="52"/>
      <c r="N832" s="52"/>
      <c r="O832" s="52"/>
      <c r="P832" s="76" t="s">
        <v>471</v>
      </c>
      <c r="Q832" s="55">
        <f>VLOOKUP(E832,'NI-Ric_SP'!$C:$AN,12,FALSE)</f>
        <v>0</v>
      </c>
      <c r="R832" s="55">
        <f>VLOOKUP(E832,'NI-Ric_SP'!$C:$AN,13,FALSE)</f>
        <v>0</v>
      </c>
      <c r="S832" s="55"/>
      <c r="T832" s="55"/>
      <c r="U832" s="55">
        <f>VLOOKUP($E832,'NI-Ric_SP'!$C:$AN,MID(U$1,1,2),FALSE)</f>
        <v>0</v>
      </c>
      <c r="V832" s="55">
        <f>VLOOKUP($E832,'NI-Ric_SP'!$C:$AN,MID(V$1,1,2),FALSE)</f>
        <v>0</v>
      </c>
      <c r="W832" s="55">
        <f>VLOOKUP($E832,'NI-Ric_SP'!$C:$AN,MID(W$1,1,2),FALSE)</f>
        <v>0</v>
      </c>
      <c r="X832" s="55">
        <f>VLOOKUP($E832,'NI-Ric_SP'!$C:$AN,MID(X$1,1,2),FALSE)</f>
        <v>0</v>
      </c>
      <c r="Y832" s="55">
        <f>VLOOKUP($E832,'NI-Ric_SP'!$C:$AN,MID(Y$1,1,2),FALSE)</f>
        <v>0</v>
      </c>
      <c r="Z832" s="55">
        <f>VLOOKUP($E832,'NI-Ric_SP'!$C:$AN,MID(Z$1,1,2),FALSE)</f>
        <v>0</v>
      </c>
      <c r="AA832" s="55">
        <f>VLOOKUP($E832,'NI-Ric_SP'!$C:$AN,MID(AA$1,1,2),FALSE)</f>
        <v>0</v>
      </c>
      <c r="AB832" s="55">
        <f>VLOOKUP($E832,'NI-Ric_SP'!$C:$AN,MID(AB$1,1,2),FALSE)</f>
        <v>0</v>
      </c>
      <c r="AC832" s="55">
        <f>VLOOKUP($E832,'NI-Ric_SP'!$C:$AN,MID(AC$1,1,2),FALSE)</f>
        <v>0</v>
      </c>
      <c r="AD832" s="55">
        <f>VLOOKUP($E832,'NI-Ric_SP'!$C:$AN,MID(AD$1,1,2),FALSE)</f>
        <v>0</v>
      </c>
      <c r="AE832" s="55">
        <f>VLOOKUP($E832,'NI-Ric_SP'!$C:$AN,MID(AE$1,1,2),FALSE)</f>
        <v>0</v>
      </c>
      <c r="AF832" s="55">
        <f>VLOOKUP($E832,'NI-Ric_SP'!$C:$AN,MID(AF$1,1,2),FALSE)</f>
        <v>0</v>
      </c>
      <c r="AG832" s="55">
        <f>VLOOKUP($E832,'NI-Ric_SP'!$C:$AN,MID(AG$1,1,2),FALSE)</f>
        <v>0</v>
      </c>
      <c r="AH832" s="55">
        <f>VLOOKUP($E832,'NI-Ric_SP'!$C:$AN,MID(AH$1,1,2),FALSE)</f>
        <v>0</v>
      </c>
      <c r="AI832" s="55">
        <f>VLOOKUP($E832,'NI-Ric_SP'!$C:$AN,MID(AI$1,1,2),FALSE)</f>
        <v>0</v>
      </c>
      <c r="AJ832" s="55">
        <f>VLOOKUP($E832,'NI-Ric_SP'!$C:$AN,MID(AJ$1,1,2),FALSE)</f>
        <v>0</v>
      </c>
      <c r="AK832" s="55">
        <f>VLOOKUP($E832,'NI-Ric_SP'!$C:$AN,MID(AK$1,1,2),FALSE)</f>
        <v>0</v>
      </c>
      <c r="AL832" s="55">
        <f>VLOOKUP($E832,'NI-Ric_SP'!$C:$AN,MID(AL$1,1,2),FALSE)</f>
        <v>0</v>
      </c>
      <c r="AM832" s="56">
        <f>VLOOKUP($E832,'NI-Ric_SP'!$C:$AN,MID(AM$1,1,2),FALSE)</f>
        <v>0</v>
      </c>
      <c r="AN832" s="30" t="str">
        <f t="shared" si="12"/>
        <v>10201020020010</v>
      </c>
    </row>
    <row r="833" spans="3:40" x14ac:dyDescent="0.25">
      <c r="C833" s="40"/>
      <c r="D833" s="101" t="s">
        <v>472</v>
      </c>
      <c r="E833" s="101" t="s">
        <v>473</v>
      </c>
      <c r="F833" s="102" t="s">
        <v>2750</v>
      </c>
      <c r="G833" s="52"/>
      <c r="H833" s="52"/>
      <c r="I833" s="52"/>
      <c r="J833" s="52"/>
      <c r="K833" s="59" t="s">
        <v>79</v>
      </c>
      <c r="L833" s="52"/>
      <c r="M833" s="52"/>
      <c r="N833" s="52"/>
      <c r="O833" s="52"/>
      <c r="P833" s="76" t="s">
        <v>474</v>
      </c>
      <c r="Q833" s="55">
        <f>VLOOKUP(E833,'NI-Ric_SP'!$C:$AN,12,FALSE)</f>
        <v>0</v>
      </c>
      <c r="R833" s="55">
        <f>VLOOKUP(E833,'NI-Ric_SP'!$C:$AN,13,FALSE)</f>
        <v>0</v>
      </c>
      <c r="S833" s="55"/>
      <c r="T833" s="55"/>
      <c r="U833" s="55">
        <f>VLOOKUP($E833,'NI-Ric_SP'!$C:$AN,MID(U$1,1,2),FALSE)</f>
        <v>0</v>
      </c>
      <c r="V833" s="55">
        <f>VLOOKUP($E833,'NI-Ric_SP'!$C:$AN,MID(V$1,1,2),FALSE)</f>
        <v>0</v>
      </c>
      <c r="W833" s="55">
        <f>VLOOKUP($E833,'NI-Ric_SP'!$C:$AN,MID(W$1,1,2),FALSE)</f>
        <v>0</v>
      </c>
      <c r="X833" s="55">
        <f>VLOOKUP($E833,'NI-Ric_SP'!$C:$AN,MID(X$1,1,2),FALSE)</f>
        <v>0</v>
      </c>
      <c r="Y833" s="55">
        <f>VLOOKUP($E833,'NI-Ric_SP'!$C:$AN,MID(Y$1,1,2),FALSE)</f>
        <v>0</v>
      </c>
      <c r="Z833" s="55">
        <f>VLOOKUP($E833,'NI-Ric_SP'!$C:$AN,MID(Z$1,1,2),FALSE)</f>
        <v>0</v>
      </c>
      <c r="AA833" s="55">
        <f>VLOOKUP($E833,'NI-Ric_SP'!$C:$AN,MID(AA$1,1,2),FALSE)</f>
        <v>0</v>
      </c>
      <c r="AB833" s="55">
        <f>VLOOKUP($E833,'NI-Ric_SP'!$C:$AN,MID(AB$1,1,2),FALSE)</f>
        <v>0</v>
      </c>
      <c r="AC833" s="55">
        <f>VLOOKUP($E833,'NI-Ric_SP'!$C:$AN,MID(AC$1,1,2),FALSE)</f>
        <v>0</v>
      </c>
      <c r="AD833" s="55">
        <f>VLOOKUP($E833,'NI-Ric_SP'!$C:$AN,MID(AD$1,1,2),FALSE)</f>
        <v>0</v>
      </c>
      <c r="AE833" s="55">
        <f>VLOOKUP($E833,'NI-Ric_SP'!$C:$AN,MID(AE$1,1,2),FALSE)</f>
        <v>0</v>
      </c>
      <c r="AF833" s="55">
        <f>VLOOKUP($E833,'NI-Ric_SP'!$C:$AN,MID(AF$1,1,2),FALSE)</f>
        <v>0</v>
      </c>
      <c r="AG833" s="55">
        <f>VLOOKUP($E833,'NI-Ric_SP'!$C:$AN,MID(AG$1,1,2),FALSE)</f>
        <v>0</v>
      </c>
      <c r="AH833" s="55">
        <f>VLOOKUP($E833,'NI-Ric_SP'!$C:$AN,MID(AH$1,1,2),FALSE)</f>
        <v>0</v>
      </c>
      <c r="AI833" s="55">
        <f>VLOOKUP($E833,'NI-Ric_SP'!$C:$AN,MID(AI$1,1,2),FALSE)</f>
        <v>0</v>
      </c>
      <c r="AJ833" s="55">
        <f>VLOOKUP($E833,'NI-Ric_SP'!$C:$AN,MID(AJ$1,1,2),FALSE)</f>
        <v>0</v>
      </c>
      <c r="AK833" s="55">
        <f>VLOOKUP($E833,'NI-Ric_SP'!$C:$AN,MID(AK$1,1,2),FALSE)</f>
        <v>0</v>
      </c>
      <c r="AL833" s="55">
        <f>VLOOKUP($E833,'NI-Ric_SP'!$C:$AN,MID(AL$1,1,2),FALSE)</f>
        <v>0</v>
      </c>
      <c r="AM833" s="56">
        <f>VLOOKUP($E833,'NI-Ric_SP'!$C:$AN,MID(AM$1,1,2),FALSE)</f>
        <v>0</v>
      </c>
      <c r="AN833" s="30" t="str">
        <f t="shared" si="12"/>
        <v>10201020020020</v>
      </c>
    </row>
    <row r="834" spans="3:40" x14ac:dyDescent="0.25">
      <c r="C834" s="40"/>
      <c r="D834" s="101" t="s">
        <v>475</v>
      </c>
      <c r="E834" s="101" t="s">
        <v>476</v>
      </c>
      <c r="F834" s="102" t="s">
        <v>2750</v>
      </c>
      <c r="G834" s="52"/>
      <c r="H834" s="52"/>
      <c r="I834" s="52"/>
      <c r="J834" s="52"/>
      <c r="K834" s="59" t="s">
        <v>79</v>
      </c>
      <c r="L834" s="52"/>
      <c r="M834" s="52"/>
      <c r="N834" s="52"/>
      <c r="O834" s="52"/>
      <c r="P834" s="76" t="s">
        <v>477</v>
      </c>
      <c r="Q834" s="55">
        <f>VLOOKUP(E834,'NI-Ric_SP'!$C:$AN,12,FALSE)</f>
        <v>0</v>
      </c>
      <c r="R834" s="55">
        <f>VLOOKUP(E834,'NI-Ric_SP'!$C:$AN,13,FALSE)</f>
        <v>0</v>
      </c>
      <c r="S834" s="55"/>
      <c r="T834" s="55"/>
      <c r="U834" s="55">
        <f>VLOOKUP($E834,'NI-Ric_SP'!$C:$AN,MID(U$1,1,2),FALSE)</f>
        <v>0</v>
      </c>
      <c r="V834" s="55">
        <f>VLOOKUP($E834,'NI-Ric_SP'!$C:$AN,MID(V$1,1,2),FALSE)</f>
        <v>0</v>
      </c>
      <c r="W834" s="55">
        <f>VLOOKUP($E834,'NI-Ric_SP'!$C:$AN,MID(W$1,1,2),FALSE)</f>
        <v>0</v>
      </c>
      <c r="X834" s="55">
        <f>VLOOKUP($E834,'NI-Ric_SP'!$C:$AN,MID(X$1,1,2),FALSE)</f>
        <v>0</v>
      </c>
      <c r="Y834" s="55">
        <f>VLOOKUP($E834,'NI-Ric_SP'!$C:$AN,MID(Y$1,1,2),FALSE)</f>
        <v>0</v>
      </c>
      <c r="Z834" s="55">
        <f>VLOOKUP($E834,'NI-Ric_SP'!$C:$AN,MID(Z$1,1,2),FALSE)</f>
        <v>0</v>
      </c>
      <c r="AA834" s="55">
        <f>VLOOKUP($E834,'NI-Ric_SP'!$C:$AN,MID(AA$1,1,2),FALSE)</f>
        <v>0</v>
      </c>
      <c r="AB834" s="55">
        <f>VLOOKUP($E834,'NI-Ric_SP'!$C:$AN,MID(AB$1,1,2),FALSE)</f>
        <v>0</v>
      </c>
      <c r="AC834" s="55">
        <f>VLOOKUP($E834,'NI-Ric_SP'!$C:$AN,MID(AC$1,1,2),FALSE)</f>
        <v>0</v>
      </c>
      <c r="AD834" s="55">
        <f>VLOOKUP($E834,'NI-Ric_SP'!$C:$AN,MID(AD$1,1,2),FALSE)</f>
        <v>0</v>
      </c>
      <c r="AE834" s="55">
        <f>VLOOKUP($E834,'NI-Ric_SP'!$C:$AN,MID(AE$1,1,2),FALSE)</f>
        <v>0</v>
      </c>
      <c r="AF834" s="55">
        <f>VLOOKUP($E834,'NI-Ric_SP'!$C:$AN,MID(AF$1,1,2),FALSE)</f>
        <v>0</v>
      </c>
      <c r="AG834" s="55">
        <f>VLOOKUP($E834,'NI-Ric_SP'!$C:$AN,MID(AG$1,1,2),FALSE)</f>
        <v>0</v>
      </c>
      <c r="AH834" s="55">
        <f>VLOOKUP($E834,'NI-Ric_SP'!$C:$AN,MID(AH$1,1,2),FALSE)</f>
        <v>0</v>
      </c>
      <c r="AI834" s="55">
        <f>VLOOKUP($E834,'NI-Ric_SP'!$C:$AN,MID(AI$1,1,2),FALSE)</f>
        <v>0</v>
      </c>
      <c r="AJ834" s="55">
        <f>VLOOKUP($E834,'NI-Ric_SP'!$C:$AN,MID(AJ$1,1,2),FALSE)</f>
        <v>0</v>
      </c>
      <c r="AK834" s="55">
        <f>VLOOKUP($E834,'NI-Ric_SP'!$C:$AN,MID(AK$1,1,2),FALSE)</f>
        <v>0</v>
      </c>
      <c r="AL834" s="55">
        <f>VLOOKUP($E834,'NI-Ric_SP'!$C:$AN,MID(AL$1,1,2),FALSE)</f>
        <v>0</v>
      </c>
      <c r="AM834" s="56">
        <f>VLOOKUP($E834,'NI-Ric_SP'!$C:$AN,MID(AM$1,1,2),FALSE)</f>
        <v>0</v>
      </c>
      <c r="AN834" s="30" t="str">
        <f t="shared" ref="AN834:AN897" si="13">D834</f>
        <v>10201020030010</v>
      </c>
    </row>
    <row r="835" spans="3:40" x14ac:dyDescent="0.25">
      <c r="C835" s="40"/>
      <c r="D835" s="101" t="s">
        <v>478</v>
      </c>
      <c r="E835" s="101" t="s">
        <v>479</v>
      </c>
      <c r="F835" s="102" t="s">
        <v>2750</v>
      </c>
      <c r="G835" s="52"/>
      <c r="H835" s="52"/>
      <c r="I835" s="52"/>
      <c r="J835" s="52"/>
      <c r="K835" s="59" t="s">
        <v>79</v>
      </c>
      <c r="L835" s="52"/>
      <c r="M835" s="52"/>
      <c r="N835" s="52"/>
      <c r="O835" s="52"/>
      <c r="P835" s="76" t="s">
        <v>480</v>
      </c>
      <c r="Q835" s="55">
        <f>VLOOKUP(E835,'NI-Ric_SP'!$C:$AN,12,FALSE)</f>
        <v>0</v>
      </c>
      <c r="R835" s="55">
        <f>VLOOKUP(E835,'NI-Ric_SP'!$C:$AN,13,FALSE)</f>
        <v>0</v>
      </c>
      <c r="S835" s="55"/>
      <c r="T835" s="55"/>
      <c r="U835" s="55">
        <f>VLOOKUP($E835,'NI-Ric_SP'!$C:$AN,MID(U$1,1,2),FALSE)</f>
        <v>0</v>
      </c>
      <c r="V835" s="55">
        <f>VLOOKUP($E835,'NI-Ric_SP'!$C:$AN,MID(V$1,1,2),FALSE)</f>
        <v>0</v>
      </c>
      <c r="W835" s="55">
        <f>VLOOKUP($E835,'NI-Ric_SP'!$C:$AN,MID(W$1,1,2),FALSE)</f>
        <v>0</v>
      </c>
      <c r="X835" s="55">
        <f>VLOOKUP($E835,'NI-Ric_SP'!$C:$AN,MID(X$1,1,2),FALSE)</f>
        <v>0</v>
      </c>
      <c r="Y835" s="55">
        <f>VLOOKUP($E835,'NI-Ric_SP'!$C:$AN,MID(Y$1,1,2),FALSE)</f>
        <v>0</v>
      </c>
      <c r="Z835" s="55">
        <f>VLOOKUP($E835,'NI-Ric_SP'!$C:$AN,MID(Z$1,1,2),FALSE)</f>
        <v>0</v>
      </c>
      <c r="AA835" s="55">
        <f>VLOOKUP($E835,'NI-Ric_SP'!$C:$AN,MID(AA$1,1,2),FALSE)</f>
        <v>0</v>
      </c>
      <c r="AB835" s="55">
        <f>VLOOKUP($E835,'NI-Ric_SP'!$C:$AN,MID(AB$1,1,2),FALSE)</f>
        <v>0</v>
      </c>
      <c r="AC835" s="55">
        <f>VLOOKUP($E835,'NI-Ric_SP'!$C:$AN,MID(AC$1,1,2),FALSE)</f>
        <v>0</v>
      </c>
      <c r="AD835" s="55">
        <f>VLOOKUP($E835,'NI-Ric_SP'!$C:$AN,MID(AD$1,1,2),FALSE)</f>
        <v>0</v>
      </c>
      <c r="AE835" s="55">
        <f>VLOOKUP($E835,'NI-Ric_SP'!$C:$AN,MID(AE$1,1,2),FALSE)</f>
        <v>0</v>
      </c>
      <c r="AF835" s="55">
        <f>VLOOKUP($E835,'NI-Ric_SP'!$C:$AN,MID(AF$1,1,2),FALSE)</f>
        <v>0</v>
      </c>
      <c r="AG835" s="55">
        <f>VLOOKUP($E835,'NI-Ric_SP'!$C:$AN,MID(AG$1,1,2),FALSE)</f>
        <v>0</v>
      </c>
      <c r="AH835" s="55">
        <f>VLOOKUP($E835,'NI-Ric_SP'!$C:$AN,MID(AH$1,1,2),FALSE)</f>
        <v>0</v>
      </c>
      <c r="AI835" s="55">
        <f>VLOOKUP($E835,'NI-Ric_SP'!$C:$AN,MID(AI$1,1,2),FALSE)</f>
        <v>0</v>
      </c>
      <c r="AJ835" s="55">
        <f>VLOOKUP($E835,'NI-Ric_SP'!$C:$AN,MID(AJ$1,1,2),FALSE)</f>
        <v>0</v>
      </c>
      <c r="AK835" s="55">
        <f>VLOOKUP($E835,'NI-Ric_SP'!$C:$AN,MID(AK$1,1,2),FALSE)</f>
        <v>0</v>
      </c>
      <c r="AL835" s="55">
        <f>VLOOKUP($E835,'NI-Ric_SP'!$C:$AN,MID(AL$1,1,2),FALSE)</f>
        <v>0</v>
      </c>
      <c r="AM835" s="56">
        <f>VLOOKUP($E835,'NI-Ric_SP'!$C:$AN,MID(AM$1,1,2),FALSE)</f>
        <v>0</v>
      </c>
      <c r="AN835" s="30" t="str">
        <f t="shared" si="13"/>
        <v>10201020030020</v>
      </c>
    </row>
    <row r="836" spans="3:40" x14ac:dyDescent="0.25">
      <c r="C836" s="40"/>
      <c r="D836" s="101" t="s">
        <v>481</v>
      </c>
      <c r="E836" s="101" t="s">
        <v>482</v>
      </c>
      <c r="F836" s="102" t="s">
        <v>2750</v>
      </c>
      <c r="G836" s="52"/>
      <c r="H836" s="52"/>
      <c r="I836" s="52"/>
      <c r="J836" s="52"/>
      <c r="K836" s="59" t="s">
        <v>111</v>
      </c>
      <c r="L836" s="52"/>
      <c r="M836" s="52"/>
      <c r="N836" s="52"/>
      <c r="O836" s="52"/>
      <c r="P836" s="76" t="s">
        <v>483</v>
      </c>
      <c r="Q836" s="55">
        <f>VLOOKUP(E836,'NI-Ric_SP'!$C:$AN,12,FALSE)</f>
        <v>0</v>
      </c>
      <c r="R836" s="55">
        <f>VLOOKUP(E836,'NI-Ric_SP'!$C:$AN,13,FALSE)</f>
        <v>0</v>
      </c>
      <c r="S836" s="55"/>
      <c r="T836" s="55"/>
      <c r="U836" s="55">
        <f>VLOOKUP($E836,'NI-Ric_SP'!$C:$AN,MID(U$1,1,2),FALSE)</f>
        <v>0</v>
      </c>
      <c r="V836" s="55">
        <f>VLOOKUP($E836,'NI-Ric_SP'!$C:$AN,MID(V$1,1,2),FALSE)</f>
        <v>0</v>
      </c>
      <c r="W836" s="55">
        <f>VLOOKUP($E836,'NI-Ric_SP'!$C:$AN,MID(W$1,1,2),FALSE)</f>
        <v>0</v>
      </c>
      <c r="X836" s="55">
        <f>VLOOKUP($E836,'NI-Ric_SP'!$C:$AN,MID(X$1,1,2),FALSE)</f>
        <v>0</v>
      </c>
      <c r="Y836" s="55">
        <f>VLOOKUP($E836,'NI-Ric_SP'!$C:$AN,MID(Y$1,1,2),FALSE)</f>
        <v>0</v>
      </c>
      <c r="Z836" s="55">
        <f>VLOOKUP($E836,'NI-Ric_SP'!$C:$AN,MID(Z$1,1,2),FALSE)</f>
        <v>0</v>
      </c>
      <c r="AA836" s="55">
        <f>VLOOKUP($E836,'NI-Ric_SP'!$C:$AN,MID(AA$1,1,2),FALSE)</f>
        <v>0</v>
      </c>
      <c r="AB836" s="55">
        <f>VLOOKUP($E836,'NI-Ric_SP'!$C:$AN,MID(AB$1,1,2),FALSE)</f>
        <v>0</v>
      </c>
      <c r="AC836" s="55">
        <f>VLOOKUP($E836,'NI-Ric_SP'!$C:$AN,MID(AC$1,1,2),FALSE)</f>
        <v>0</v>
      </c>
      <c r="AD836" s="55">
        <f>VLOOKUP($E836,'NI-Ric_SP'!$C:$AN,MID(AD$1,1,2),FALSE)</f>
        <v>0</v>
      </c>
      <c r="AE836" s="55">
        <f>VLOOKUP($E836,'NI-Ric_SP'!$C:$AN,MID(AE$1,1,2),FALSE)</f>
        <v>0</v>
      </c>
      <c r="AF836" s="55">
        <f>VLOOKUP($E836,'NI-Ric_SP'!$C:$AN,MID(AF$1,1,2),FALSE)</f>
        <v>0</v>
      </c>
      <c r="AG836" s="55">
        <f>VLOOKUP($E836,'NI-Ric_SP'!$C:$AN,MID(AG$1,1,2),FALSE)</f>
        <v>0</v>
      </c>
      <c r="AH836" s="55">
        <f>VLOOKUP($E836,'NI-Ric_SP'!$C:$AN,MID(AH$1,1,2),FALSE)</f>
        <v>0</v>
      </c>
      <c r="AI836" s="55">
        <f>VLOOKUP($E836,'NI-Ric_SP'!$C:$AN,MID(AI$1,1,2),FALSE)</f>
        <v>0</v>
      </c>
      <c r="AJ836" s="55">
        <f>VLOOKUP($E836,'NI-Ric_SP'!$C:$AN,MID(AJ$1,1,2),FALSE)</f>
        <v>0</v>
      </c>
      <c r="AK836" s="55">
        <f>VLOOKUP($E836,'NI-Ric_SP'!$C:$AN,MID(AK$1,1,2),FALSE)</f>
        <v>0</v>
      </c>
      <c r="AL836" s="55">
        <f>VLOOKUP($E836,'NI-Ric_SP'!$C:$AN,MID(AL$1,1,2),FALSE)</f>
        <v>0</v>
      </c>
      <c r="AM836" s="56">
        <f>VLOOKUP($E836,'NI-Ric_SP'!$C:$AN,MID(AM$1,1,2),FALSE)</f>
        <v>0</v>
      </c>
      <c r="AN836" s="30" t="str">
        <f t="shared" si="13"/>
        <v>10202000000000</v>
      </c>
    </row>
    <row r="837" spans="3:40" x14ac:dyDescent="0.25">
      <c r="C837" s="40"/>
      <c r="D837" s="101" t="s">
        <v>484</v>
      </c>
      <c r="E837" s="101" t="s">
        <v>485</v>
      </c>
      <c r="F837" s="102" t="s">
        <v>2750</v>
      </c>
      <c r="G837" s="52"/>
      <c r="H837" s="52"/>
      <c r="I837" s="52"/>
      <c r="J837" s="52"/>
      <c r="K837" s="59" t="s">
        <v>111</v>
      </c>
      <c r="L837" s="52"/>
      <c r="M837" s="52"/>
      <c r="N837" s="52"/>
      <c r="O837" s="61" t="s">
        <v>486</v>
      </c>
      <c r="P837" s="76" t="s">
        <v>487</v>
      </c>
      <c r="Q837" s="55">
        <f>VLOOKUP(E837,'NI-Ric_SP'!$C:$AN,12,FALSE)</f>
        <v>0</v>
      </c>
      <c r="R837" s="55">
        <f>VLOOKUP(E837,'NI-Ric_SP'!$C:$AN,13,FALSE)</f>
        <v>0</v>
      </c>
      <c r="S837" s="55"/>
      <c r="T837" s="55"/>
      <c r="U837" s="55">
        <f>VLOOKUP($E837,'NI-Ric_SP'!$C:$AN,MID(U$1,1,2),FALSE)</f>
        <v>0</v>
      </c>
      <c r="V837" s="55">
        <f>VLOOKUP($E837,'NI-Ric_SP'!$C:$AN,MID(V$1,1,2),FALSE)</f>
        <v>0</v>
      </c>
      <c r="W837" s="55">
        <f>VLOOKUP($E837,'NI-Ric_SP'!$C:$AN,MID(W$1,1,2),FALSE)</f>
        <v>0</v>
      </c>
      <c r="X837" s="55">
        <f>VLOOKUP($E837,'NI-Ric_SP'!$C:$AN,MID(X$1,1,2),FALSE)</f>
        <v>0</v>
      </c>
      <c r="Y837" s="55">
        <f>VLOOKUP($E837,'NI-Ric_SP'!$C:$AN,MID(Y$1,1,2),FALSE)</f>
        <v>0</v>
      </c>
      <c r="Z837" s="55">
        <f>VLOOKUP($E837,'NI-Ric_SP'!$C:$AN,MID(Z$1,1,2),FALSE)</f>
        <v>0</v>
      </c>
      <c r="AA837" s="55">
        <f>VLOOKUP($E837,'NI-Ric_SP'!$C:$AN,MID(AA$1,1,2),FALSE)</f>
        <v>0</v>
      </c>
      <c r="AB837" s="55">
        <f>VLOOKUP($E837,'NI-Ric_SP'!$C:$AN,MID(AB$1,1,2),FALSE)</f>
        <v>0</v>
      </c>
      <c r="AC837" s="55">
        <f>VLOOKUP($E837,'NI-Ric_SP'!$C:$AN,MID(AC$1,1,2),FALSE)</f>
        <v>0</v>
      </c>
      <c r="AD837" s="55">
        <f>VLOOKUP($E837,'NI-Ric_SP'!$C:$AN,MID(AD$1,1,2),FALSE)</f>
        <v>0</v>
      </c>
      <c r="AE837" s="55">
        <f>VLOOKUP($E837,'NI-Ric_SP'!$C:$AN,MID(AE$1,1,2),FALSE)</f>
        <v>0</v>
      </c>
      <c r="AF837" s="55">
        <f>VLOOKUP($E837,'NI-Ric_SP'!$C:$AN,MID(AF$1,1,2),FALSE)</f>
        <v>0</v>
      </c>
      <c r="AG837" s="55">
        <f>VLOOKUP($E837,'NI-Ric_SP'!$C:$AN,MID(AG$1,1,2),FALSE)</f>
        <v>0</v>
      </c>
      <c r="AH837" s="55">
        <f>VLOOKUP($E837,'NI-Ric_SP'!$C:$AN,MID(AH$1,1,2),FALSE)</f>
        <v>0</v>
      </c>
      <c r="AI837" s="55">
        <f>VLOOKUP($E837,'NI-Ric_SP'!$C:$AN,MID(AI$1,1,2),FALSE)</f>
        <v>0</v>
      </c>
      <c r="AJ837" s="55">
        <f>VLOOKUP($E837,'NI-Ric_SP'!$C:$AN,MID(AJ$1,1,2),FALSE)</f>
        <v>0</v>
      </c>
      <c r="AK837" s="55">
        <f>VLOOKUP($E837,'NI-Ric_SP'!$C:$AN,MID(AK$1,1,2),FALSE)</f>
        <v>0</v>
      </c>
      <c r="AL837" s="55">
        <f>VLOOKUP($E837,'NI-Ric_SP'!$C:$AN,MID(AL$1,1,2),FALSE)</f>
        <v>0</v>
      </c>
      <c r="AM837" s="56">
        <f>VLOOKUP($E837,'NI-Ric_SP'!$C:$AN,MID(AM$1,1,2),FALSE)</f>
        <v>0</v>
      </c>
      <c r="AN837" s="30" t="str">
        <f t="shared" si="13"/>
        <v>10202010000000</v>
      </c>
    </row>
    <row r="838" spans="3:40" x14ac:dyDescent="0.25">
      <c r="C838" s="40"/>
      <c r="D838" s="101" t="s">
        <v>488</v>
      </c>
      <c r="E838" s="101" t="s">
        <v>489</v>
      </c>
      <c r="F838" s="102" t="s">
        <v>2750</v>
      </c>
      <c r="G838" s="52"/>
      <c r="H838" s="52"/>
      <c r="I838" s="52" t="s">
        <v>490</v>
      </c>
      <c r="J838" s="52" t="s">
        <v>490</v>
      </c>
      <c r="K838" s="59" t="s">
        <v>111</v>
      </c>
      <c r="L838" s="62" t="s">
        <v>491</v>
      </c>
      <c r="M838" s="52"/>
      <c r="N838" s="52"/>
      <c r="O838" s="65"/>
      <c r="P838" s="76" t="s">
        <v>492</v>
      </c>
      <c r="Q838" s="55">
        <f>VLOOKUP(E838,'NI-Ric_SP'!$C:$AN,12,FALSE)</f>
        <v>0</v>
      </c>
      <c r="R838" s="55">
        <f>VLOOKUP(E838,'NI-Ric_SP'!$C:$AN,13,FALSE)</f>
        <v>0</v>
      </c>
      <c r="S838" s="55"/>
      <c r="T838" s="55"/>
      <c r="U838" s="55">
        <f>VLOOKUP($E838,'NI-Ric_SP'!$C:$AN,MID(U$1,1,2),FALSE)</f>
        <v>0</v>
      </c>
      <c r="V838" s="55">
        <f>VLOOKUP($E838,'NI-Ric_SP'!$C:$AN,MID(V$1,1,2),FALSE)</f>
        <v>0</v>
      </c>
      <c r="W838" s="55">
        <f>VLOOKUP($E838,'NI-Ric_SP'!$C:$AN,MID(W$1,1,2),FALSE)</f>
        <v>0</v>
      </c>
      <c r="X838" s="55">
        <f>VLOOKUP($E838,'NI-Ric_SP'!$C:$AN,MID(X$1,1,2),FALSE)</f>
        <v>0</v>
      </c>
      <c r="Y838" s="55">
        <f>VLOOKUP($E838,'NI-Ric_SP'!$C:$AN,MID(Y$1,1,2),FALSE)</f>
        <v>0</v>
      </c>
      <c r="Z838" s="55">
        <f>VLOOKUP($E838,'NI-Ric_SP'!$C:$AN,MID(Z$1,1,2),FALSE)</f>
        <v>0</v>
      </c>
      <c r="AA838" s="55">
        <f>VLOOKUP($E838,'NI-Ric_SP'!$C:$AN,MID(AA$1,1,2),FALSE)</f>
        <v>0</v>
      </c>
      <c r="AB838" s="55">
        <f>VLOOKUP($E838,'NI-Ric_SP'!$C:$AN,MID(AB$1,1,2),FALSE)</f>
        <v>0</v>
      </c>
      <c r="AC838" s="55">
        <f>VLOOKUP($E838,'NI-Ric_SP'!$C:$AN,MID(AC$1,1,2),FALSE)</f>
        <v>0</v>
      </c>
      <c r="AD838" s="55">
        <f>VLOOKUP($E838,'NI-Ric_SP'!$C:$AN,MID(AD$1,1,2),FALSE)</f>
        <v>0</v>
      </c>
      <c r="AE838" s="55">
        <f>VLOOKUP($E838,'NI-Ric_SP'!$C:$AN,MID(AE$1,1,2),FALSE)</f>
        <v>0</v>
      </c>
      <c r="AF838" s="55">
        <f>VLOOKUP($E838,'NI-Ric_SP'!$C:$AN,MID(AF$1,1,2),FALSE)</f>
        <v>0</v>
      </c>
      <c r="AG838" s="55">
        <f>VLOOKUP($E838,'NI-Ric_SP'!$C:$AN,MID(AG$1,1,2),FALSE)</f>
        <v>0</v>
      </c>
      <c r="AH838" s="55">
        <f>VLOOKUP($E838,'NI-Ric_SP'!$C:$AN,MID(AH$1,1,2),FALSE)</f>
        <v>0</v>
      </c>
      <c r="AI838" s="55">
        <f>VLOOKUP($E838,'NI-Ric_SP'!$C:$AN,MID(AI$1,1,2),FALSE)</f>
        <v>0</v>
      </c>
      <c r="AJ838" s="55">
        <f>VLOOKUP($E838,'NI-Ric_SP'!$C:$AN,MID(AJ$1,1,2),FALSE)</f>
        <v>0</v>
      </c>
      <c r="AK838" s="55">
        <f>VLOOKUP($E838,'NI-Ric_SP'!$C:$AN,MID(AK$1,1,2),FALSE)</f>
        <v>0</v>
      </c>
      <c r="AL838" s="55">
        <f>VLOOKUP($E838,'NI-Ric_SP'!$C:$AN,MID(AL$1,1,2),FALSE)</f>
        <v>0</v>
      </c>
      <c r="AM838" s="56">
        <f>VLOOKUP($E838,'NI-Ric_SP'!$C:$AN,MID(AM$1,1,2),FALSE)</f>
        <v>0</v>
      </c>
      <c r="AN838" s="30" t="str">
        <f t="shared" si="13"/>
        <v>10202010010000</v>
      </c>
    </row>
    <row r="839" spans="3:40" x14ac:dyDescent="0.25">
      <c r="C839" s="40"/>
      <c r="D839" s="101" t="s">
        <v>493</v>
      </c>
      <c r="E839" s="101" t="s">
        <v>494</v>
      </c>
      <c r="F839" s="102" t="s">
        <v>2750</v>
      </c>
      <c r="G839" s="52"/>
      <c r="H839" s="52"/>
      <c r="I839" s="52"/>
      <c r="J839" s="52"/>
      <c r="K839" s="59" t="s">
        <v>79</v>
      </c>
      <c r="L839" s="52"/>
      <c r="M839" s="52"/>
      <c r="N839" s="52"/>
      <c r="O839" s="52"/>
      <c r="P839" s="76" t="s">
        <v>495</v>
      </c>
      <c r="Q839" s="55">
        <f>VLOOKUP(E839,'NI-Ric_SP'!$C:$AN,12,FALSE)</f>
        <v>0</v>
      </c>
      <c r="R839" s="55">
        <f>VLOOKUP(E839,'NI-Ric_SP'!$C:$AN,13,FALSE)</f>
        <v>0</v>
      </c>
      <c r="S839" s="55"/>
      <c r="T839" s="55"/>
      <c r="U839" s="55">
        <f>VLOOKUP($E839,'NI-Ric_SP'!$C:$AN,MID(U$1,1,2),FALSE)</f>
        <v>0</v>
      </c>
      <c r="V839" s="55">
        <f>VLOOKUP($E839,'NI-Ric_SP'!$C:$AN,MID(V$1,1,2),FALSE)</f>
        <v>0</v>
      </c>
      <c r="W839" s="55">
        <f>VLOOKUP($E839,'NI-Ric_SP'!$C:$AN,MID(W$1,1,2),FALSE)</f>
        <v>0</v>
      </c>
      <c r="X839" s="55">
        <f>VLOOKUP($E839,'NI-Ric_SP'!$C:$AN,MID(X$1,1,2),FALSE)</f>
        <v>0</v>
      </c>
      <c r="Y839" s="55">
        <f>VLOOKUP($E839,'NI-Ric_SP'!$C:$AN,MID(Y$1,1,2),FALSE)</f>
        <v>0</v>
      </c>
      <c r="Z839" s="55">
        <f>VLOOKUP($E839,'NI-Ric_SP'!$C:$AN,MID(Z$1,1,2),FALSE)</f>
        <v>0</v>
      </c>
      <c r="AA839" s="55">
        <f>VLOOKUP($E839,'NI-Ric_SP'!$C:$AN,MID(AA$1,1,2),FALSE)</f>
        <v>0</v>
      </c>
      <c r="AB839" s="55">
        <f>VLOOKUP($E839,'NI-Ric_SP'!$C:$AN,MID(AB$1,1,2),FALSE)</f>
        <v>0</v>
      </c>
      <c r="AC839" s="55">
        <f>VLOOKUP($E839,'NI-Ric_SP'!$C:$AN,MID(AC$1,1,2),FALSE)</f>
        <v>0</v>
      </c>
      <c r="AD839" s="55">
        <f>VLOOKUP($E839,'NI-Ric_SP'!$C:$AN,MID(AD$1,1,2),FALSE)</f>
        <v>0</v>
      </c>
      <c r="AE839" s="55">
        <f>VLOOKUP($E839,'NI-Ric_SP'!$C:$AN,MID(AE$1,1,2),FALSE)</f>
        <v>0</v>
      </c>
      <c r="AF839" s="55">
        <f>VLOOKUP($E839,'NI-Ric_SP'!$C:$AN,MID(AF$1,1,2),FALSE)</f>
        <v>0</v>
      </c>
      <c r="AG839" s="55">
        <f>VLOOKUP($E839,'NI-Ric_SP'!$C:$AN,MID(AG$1,1,2),FALSE)</f>
        <v>0</v>
      </c>
      <c r="AH839" s="55">
        <f>VLOOKUP($E839,'NI-Ric_SP'!$C:$AN,MID(AH$1,1,2),FALSE)</f>
        <v>0</v>
      </c>
      <c r="AI839" s="55">
        <f>VLOOKUP($E839,'NI-Ric_SP'!$C:$AN,MID(AI$1,1,2),FALSE)</f>
        <v>0</v>
      </c>
      <c r="AJ839" s="55">
        <f>VLOOKUP($E839,'NI-Ric_SP'!$C:$AN,MID(AJ$1,1,2),FALSE)</f>
        <v>0</v>
      </c>
      <c r="AK839" s="55">
        <f>VLOOKUP($E839,'NI-Ric_SP'!$C:$AN,MID(AK$1,1,2),FALSE)</f>
        <v>0</v>
      </c>
      <c r="AL839" s="55">
        <f>VLOOKUP($E839,'NI-Ric_SP'!$C:$AN,MID(AL$1,1,2),FALSE)</f>
        <v>0</v>
      </c>
      <c r="AM839" s="56">
        <f>VLOOKUP($E839,'NI-Ric_SP'!$C:$AN,MID(AM$1,1,2),FALSE)</f>
        <v>0</v>
      </c>
      <c r="AN839" s="30" t="str">
        <f t="shared" si="13"/>
        <v>10202010010010</v>
      </c>
    </row>
    <row r="840" spans="3:40" x14ac:dyDescent="0.25">
      <c r="C840" s="40"/>
      <c r="D840" s="101" t="s">
        <v>496</v>
      </c>
      <c r="E840" s="101" t="s">
        <v>497</v>
      </c>
      <c r="F840" s="102" t="s">
        <v>2750</v>
      </c>
      <c r="G840" s="52"/>
      <c r="H840" s="52"/>
      <c r="I840" s="52"/>
      <c r="J840" s="52"/>
      <c r="K840" s="59" t="s">
        <v>79</v>
      </c>
      <c r="L840" s="52"/>
      <c r="M840" s="52"/>
      <c r="N840" s="52"/>
      <c r="O840" s="52"/>
      <c r="P840" s="76" t="s">
        <v>498</v>
      </c>
      <c r="Q840" s="55">
        <f>VLOOKUP(E840,'NI-Ric_SP'!$C:$AN,12,FALSE)</f>
        <v>0</v>
      </c>
      <c r="R840" s="55">
        <f>VLOOKUP(E840,'NI-Ric_SP'!$C:$AN,13,FALSE)</f>
        <v>0</v>
      </c>
      <c r="S840" s="55"/>
      <c r="T840" s="55"/>
      <c r="U840" s="55">
        <f>VLOOKUP($E840,'NI-Ric_SP'!$C:$AN,MID(U$1,1,2),FALSE)</f>
        <v>0</v>
      </c>
      <c r="V840" s="55">
        <f>VLOOKUP($E840,'NI-Ric_SP'!$C:$AN,MID(V$1,1,2),FALSE)</f>
        <v>0</v>
      </c>
      <c r="W840" s="55">
        <f>VLOOKUP($E840,'NI-Ric_SP'!$C:$AN,MID(W$1,1,2),FALSE)</f>
        <v>0</v>
      </c>
      <c r="X840" s="55">
        <f>VLOOKUP($E840,'NI-Ric_SP'!$C:$AN,MID(X$1,1,2),FALSE)</f>
        <v>0</v>
      </c>
      <c r="Y840" s="55">
        <f>VLOOKUP($E840,'NI-Ric_SP'!$C:$AN,MID(Y$1,1,2),FALSE)</f>
        <v>0</v>
      </c>
      <c r="Z840" s="55">
        <f>VLOOKUP($E840,'NI-Ric_SP'!$C:$AN,MID(Z$1,1,2),FALSE)</f>
        <v>0</v>
      </c>
      <c r="AA840" s="55">
        <f>VLOOKUP($E840,'NI-Ric_SP'!$C:$AN,MID(AA$1,1,2),FALSE)</f>
        <v>0</v>
      </c>
      <c r="AB840" s="55">
        <f>VLOOKUP($E840,'NI-Ric_SP'!$C:$AN,MID(AB$1,1,2),FALSE)</f>
        <v>0</v>
      </c>
      <c r="AC840" s="55">
        <f>VLOOKUP($E840,'NI-Ric_SP'!$C:$AN,MID(AC$1,1,2),FALSE)</f>
        <v>0</v>
      </c>
      <c r="AD840" s="55">
        <f>VLOOKUP($E840,'NI-Ric_SP'!$C:$AN,MID(AD$1,1,2),FALSE)</f>
        <v>0</v>
      </c>
      <c r="AE840" s="55">
        <f>VLOOKUP($E840,'NI-Ric_SP'!$C:$AN,MID(AE$1,1,2),FALSE)</f>
        <v>0</v>
      </c>
      <c r="AF840" s="55">
        <f>VLOOKUP($E840,'NI-Ric_SP'!$C:$AN,MID(AF$1,1,2),FALSE)</f>
        <v>0</v>
      </c>
      <c r="AG840" s="55">
        <f>VLOOKUP($E840,'NI-Ric_SP'!$C:$AN,MID(AG$1,1,2),FALSE)</f>
        <v>0</v>
      </c>
      <c r="AH840" s="55">
        <f>VLOOKUP($E840,'NI-Ric_SP'!$C:$AN,MID(AH$1,1,2),FALSE)</f>
        <v>0</v>
      </c>
      <c r="AI840" s="55">
        <f>VLOOKUP($E840,'NI-Ric_SP'!$C:$AN,MID(AI$1,1,2),FALSE)</f>
        <v>0</v>
      </c>
      <c r="AJ840" s="55">
        <f>VLOOKUP($E840,'NI-Ric_SP'!$C:$AN,MID(AJ$1,1,2),FALSE)</f>
        <v>0</v>
      </c>
      <c r="AK840" s="55">
        <f>VLOOKUP($E840,'NI-Ric_SP'!$C:$AN,MID(AK$1,1,2),FALSE)</f>
        <v>0</v>
      </c>
      <c r="AL840" s="55">
        <f>VLOOKUP($E840,'NI-Ric_SP'!$C:$AN,MID(AL$1,1,2),FALSE)</f>
        <v>0</v>
      </c>
      <c r="AM840" s="56">
        <f>VLOOKUP($E840,'NI-Ric_SP'!$C:$AN,MID(AM$1,1,2),FALSE)</f>
        <v>0</v>
      </c>
      <c r="AN840" s="30" t="str">
        <f t="shared" si="13"/>
        <v>10202010010020</v>
      </c>
    </row>
    <row r="841" spans="3:40" x14ac:dyDescent="0.25">
      <c r="C841" s="40"/>
      <c r="D841" s="101" t="s">
        <v>499</v>
      </c>
      <c r="E841" s="101" t="s">
        <v>500</v>
      </c>
      <c r="F841" s="102" t="s">
        <v>2750</v>
      </c>
      <c r="G841" s="52"/>
      <c r="H841" s="52"/>
      <c r="I841" s="52"/>
      <c r="J841" s="52"/>
      <c r="K841" s="59" t="s">
        <v>79</v>
      </c>
      <c r="L841" s="52"/>
      <c r="M841" s="52"/>
      <c r="N841" s="52"/>
      <c r="O841" s="52"/>
      <c r="P841" s="76" t="s">
        <v>501</v>
      </c>
      <c r="Q841" s="55">
        <f>VLOOKUP(E841,'NI-Ric_SP'!$C:$AN,12,FALSE)</f>
        <v>0</v>
      </c>
      <c r="R841" s="55">
        <f>VLOOKUP(E841,'NI-Ric_SP'!$C:$AN,13,FALSE)</f>
        <v>0</v>
      </c>
      <c r="S841" s="55"/>
      <c r="T841" s="55"/>
      <c r="U841" s="55">
        <f>VLOOKUP($E841,'NI-Ric_SP'!$C:$AN,MID(U$1,1,2),FALSE)</f>
        <v>0</v>
      </c>
      <c r="V841" s="55">
        <f>VLOOKUP($E841,'NI-Ric_SP'!$C:$AN,MID(V$1,1,2),FALSE)</f>
        <v>0</v>
      </c>
      <c r="W841" s="55">
        <f>VLOOKUP($E841,'NI-Ric_SP'!$C:$AN,MID(W$1,1,2),FALSE)</f>
        <v>0</v>
      </c>
      <c r="X841" s="55">
        <f>VLOOKUP($E841,'NI-Ric_SP'!$C:$AN,MID(X$1,1,2),FALSE)</f>
        <v>0</v>
      </c>
      <c r="Y841" s="55">
        <f>VLOOKUP($E841,'NI-Ric_SP'!$C:$AN,MID(Y$1,1,2),FALSE)</f>
        <v>0</v>
      </c>
      <c r="Z841" s="55">
        <f>VLOOKUP($E841,'NI-Ric_SP'!$C:$AN,MID(Z$1,1,2),FALSE)</f>
        <v>0</v>
      </c>
      <c r="AA841" s="55">
        <f>VLOOKUP($E841,'NI-Ric_SP'!$C:$AN,MID(AA$1,1,2),FALSE)</f>
        <v>0</v>
      </c>
      <c r="AB841" s="55">
        <f>VLOOKUP($E841,'NI-Ric_SP'!$C:$AN,MID(AB$1,1,2),FALSE)</f>
        <v>0</v>
      </c>
      <c r="AC841" s="55">
        <f>VLOOKUP($E841,'NI-Ric_SP'!$C:$AN,MID(AC$1,1,2),FALSE)</f>
        <v>0</v>
      </c>
      <c r="AD841" s="55">
        <f>VLOOKUP($E841,'NI-Ric_SP'!$C:$AN,MID(AD$1,1,2),FALSE)</f>
        <v>0</v>
      </c>
      <c r="AE841" s="55">
        <f>VLOOKUP($E841,'NI-Ric_SP'!$C:$AN,MID(AE$1,1,2),FALSE)</f>
        <v>0</v>
      </c>
      <c r="AF841" s="55">
        <f>VLOOKUP($E841,'NI-Ric_SP'!$C:$AN,MID(AF$1,1,2),FALSE)</f>
        <v>0</v>
      </c>
      <c r="AG841" s="55">
        <f>VLOOKUP($E841,'NI-Ric_SP'!$C:$AN,MID(AG$1,1,2),FALSE)</f>
        <v>0</v>
      </c>
      <c r="AH841" s="55">
        <f>VLOOKUP($E841,'NI-Ric_SP'!$C:$AN,MID(AH$1,1,2),FALSE)</f>
        <v>0</v>
      </c>
      <c r="AI841" s="55">
        <f>VLOOKUP($E841,'NI-Ric_SP'!$C:$AN,MID(AI$1,1,2),FALSE)</f>
        <v>0</v>
      </c>
      <c r="AJ841" s="55">
        <f>VLOOKUP($E841,'NI-Ric_SP'!$C:$AN,MID(AJ$1,1,2),FALSE)</f>
        <v>0</v>
      </c>
      <c r="AK841" s="55">
        <f>VLOOKUP($E841,'NI-Ric_SP'!$C:$AN,MID(AK$1,1,2),FALSE)</f>
        <v>0</v>
      </c>
      <c r="AL841" s="55">
        <f>VLOOKUP($E841,'NI-Ric_SP'!$C:$AN,MID(AL$1,1,2),FALSE)</f>
        <v>0</v>
      </c>
      <c r="AM841" s="56">
        <f>VLOOKUP($E841,'NI-Ric_SP'!$C:$AN,MID(AM$1,1,2),FALSE)</f>
        <v>0</v>
      </c>
      <c r="AN841" s="30" t="str">
        <f t="shared" si="13"/>
        <v>10202010010030</v>
      </c>
    </row>
    <row r="842" spans="3:40" x14ac:dyDescent="0.25">
      <c r="C842" s="40"/>
      <c r="D842" s="101" t="s">
        <v>502</v>
      </c>
      <c r="E842" s="101" t="s">
        <v>503</v>
      </c>
      <c r="F842" s="102" t="s">
        <v>2750</v>
      </c>
      <c r="G842" s="52"/>
      <c r="H842" s="52"/>
      <c r="I842" s="52"/>
      <c r="J842" s="52"/>
      <c r="K842" s="59" t="s">
        <v>79</v>
      </c>
      <c r="L842" s="52"/>
      <c r="M842" s="52"/>
      <c r="N842" s="52"/>
      <c r="O842" s="52"/>
      <c r="P842" s="76" t="s">
        <v>504</v>
      </c>
      <c r="Q842" s="55">
        <f>VLOOKUP(E842,'NI-Ric_SP'!$C:$AN,12,FALSE)</f>
        <v>0</v>
      </c>
      <c r="R842" s="55">
        <f>VLOOKUP(E842,'NI-Ric_SP'!$C:$AN,13,FALSE)</f>
        <v>0</v>
      </c>
      <c r="S842" s="55"/>
      <c r="T842" s="55"/>
      <c r="U842" s="55">
        <f>VLOOKUP($E842,'NI-Ric_SP'!$C:$AN,MID(U$1,1,2),FALSE)</f>
        <v>0</v>
      </c>
      <c r="V842" s="55">
        <f>VLOOKUP($E842,'NI-Ric_SP'!$C:$AN,MID(V$1,1,2),FALSE)</f>
        <v>0</v>
      </c>
      <c r="W842" s="55">
        <f>VLOOKUP($E842,'NI-Ric_SP'!$C:$AN,MID(W$1,1,2),FALSE)</f>
        <v>0</v>
      </c>
      <c r="X842" s="55">
        <f>VLOOKUP($E842,'NI-Ric_SP'!$C:$AN,MID(X$1,1,2),FALSE)</f>
        <v>0</v>
      </c>
      <c r="Y842" s="55">
        <f>VLOOKUP($E842,'NI-Ric_SP'!$C:$AN,MID(Y$1,1,2),FALSE)</f>
        <v>0</v>
      </c>
      <c r="Z842" s="55">
        <f>VLOOKUP($E842,'NI-Ric_SP'!$C:$AN,MID(Z$1,1,2),FALSE)</f>
        <v>0</v>
      </c>
      <c r="AA842" s="55">
        <f>VLOOKUP($E842,'NI-Ric_SP'!$C:$AN,MID(AA$1,1,2),FALSE)</f>
        <v>0</v>
      </c>
      <c r="AB842" s="55">
        <f>VLOOKUP($E842,'NI-Ric_SP'!$C:$AN,MID(AB$1,1,2),FALSE)</f>
        <v>0</v>
      </c>
      <c r="AC842" s="55">
        <f>VLOOKUP($E842,'NI-Ric_SP'!$C:$AN,MID(AC$1,1,2),FALSE)</f>
        <v>0</v>
      </c>
      <c r="AD842" s="55">
        <f>VLOOKUP($E842,'NI-Ric_SP'!$C:$AN,MID(AD$1,1,2),FALSE)</f>
        <v>0</v>
      </c>
      <c r="AE842" s="55">
        <f>VLOOKUP($E842,'NI-Ric_SP'!$C:$AN,MID(AE$1,1,2),FALSE)</f>
        <v>0</v>
      </c>
      <c r="AF842" s="55">
        <f>VLOOKUP($E842,'NI-Ric_SP'!$C:$AN,MID(AF$1,1,2),FALSE)</f>
        <v>0</v>
      </c>
      <c r="AG842" s="55">
        <f>VLOOKUP($E842,'NI-Ric_SP'!$C:$AN,MID(AG$1,1,2),FALSE)</f>
        <v>0</v>
      </c>
      <c r="AH842" s="55">
        <f>VLOOKUP($E842,'NI-Ric_SP'!$C:$AN,MID(AH$1,1,2),FALSE)</f>
        <v>0</v>
      </c>
      <c r="AI842" s="55">
        <f>VLOOKUP($E842,'NI-Ric_SP'!$C:$AN,MID(AI$1,1,2),FALSE)</f>
        <v>0</v>
      </c>
      <c r="AJ842" s="55">
        <f>VLOOKUP($E842,'NI-Ric_SP'!$C:$AN,MID(AJ$1,1,2),FALSE)</f>
        <v>0</v>
      </c>
      <c r="AK842" s="55">
        <f>VLOOKUP($E842,'NI-Ric_SP'!$C:$AN,MID(AK$1,1,2),FALSE)</f>
        <v>0</v>
      </c>
      <c r="AL842" s="55">
        <f>VLOOKUP($E842,'NI-Ric_SP'!$C:$AN,MID(AL$1,1,2),FALSE)</f>
        <v>0</v>
      </c>
      <c r="AM842" s="56">
        <f>VLOOKUP($E842,'NI-Ric_SP'!$C:$AN,MID(AM$1,1,2),FALSE)</f>
        <v>0</v>
      </c>
      <c r="AN842" s="30" t="str">
        <f t="shared" si="13"/>
        <v>10202010010040</v>
      </c>
    </row>
    <row r="843" spans="3:40" x14ac:dyDescent="0.25">
      <c r="C843" s="40"/>
      <c r="D843" s="101" t="s">
        <v>505</v>
      </c>
      <c r="E843" s="101" t="s">
        <v>506</v>
      </c>
      <c r="F843" s="102" t="s">
        <v>2750</v>
      </c>
      <c r="G843" s="52"/>
      <c r="H843" s="52"/>
      <c r="I843" s="52" t="s">
        <v>507</v>
      </c>
      <c r="J843" s="52" t="s">
        <v>507</v>
      </c>
      <c r="K843" s="59" t="s">
        <v>111</v>
      </c>
      <c r="L843" s="62" t="s">
        <v>508</v>
      </c>
      <c r="M843" s="52"/>
      <c r="N843" s="52"/>
      <c r="O843" s="52"/>
      <c r="P843" s="76" t="s">
        <v>509</v>
      </c>
      <c r="Q843" s="55">
        <f>VLOOKUP(E843,'NI-Ric_SP'!$C:$AN,12,FALSE)</f>
        <v>0</v>
      </c>
      <c r="R843" s="55">
        <f>VLOOKUP(E843,'NI-Ric_SP'!$C:$AN,13,FALSE)</f>
        <v>0</v>
      </c>
      <c r="S843" s="55"/>
      <c r="T843" s="55"/>
      <c r="U843" s="55">
        <f>VLOOKUP($E843,'NI-Ric_SP'!$C:$AN,MID(U$1,1,2),FALSE)</f>
        <v>0</v>
      </c>
      <c r="V843" s="55">
        <f>VLOOKUP($E843,'NI-Ric_SP'!$C:$AN,MID(V$1,1,2),FALSE)</f>
        <v>0</v>
      </c>
      <c r="W843" s="55">
        <f>VLOOKUP($E843,'NI-Ric_SP'!$C:$AN,MID(W$1,1,2),FALSE)</f>
        <v>0</v>
      </c>
      <c r="X843" s="55">
        <f>VLOOKUP($E843,'NI-Ric_SP'!$C:$AN,MID(X$1,1,2),FALSE)</f>
        <v>0</v>
      </c>
      <c r="Y843" s="55">
        <f>VLOOKUP($E843,'NI-Ric_SP'!$C:$AN,MID(Y$1,1,2),FALSE)</f>
        <v>0</v>
      </c>
      <c r="Z843" s="55">
        <f>VLOOKUP($E843,'NI-Ric_SP'!$C:$AN,MID(Z$1,1,2),FALSE)</f>
        <v>0</v>
      </c>
      <c r="AA843" s="55">
        <f>VLOOKUP($E843,'NI-Ric_SP'!$C:$AN,MID(AA$1,1,2),FALSE)</f>
        <v>0</v>
      </c>
      <c r="AB843" s="55">
        <f>VLOOKUP($E843,'NI-Ric_SP'!$C:$AN,MID(AB$1,1,2),FALSE)</f>
        <v>0</v>
      </c>
      <c r="AC843" s="55">
        <f>VLOOKUP($E843,'NI-Ric_SP'!$C:$AN,MID(AC$1,1,2),FALSE)</f>
        <v>0</v>
      </c>
      <c r="AD843" s="55">
        <f>VLOOKUP($E843,'NI-Ric_SP'!$C:$AN,MID(AD$1,1,2),FALSE)</f>
        <v>0</v>
      </c>
      <c r="AE843" s="55">
        <f>VLOOKUP($E843,'NI-Ric_SP'!$C:$AN,MID(AE$1,1,2),FALSE)</f>
        <v>0</v>
      </c>
      <c r="AF843" s="55">
        <f>VLOOKUP($E843,'NI-Ric_SP'!$C:$AN,MID(AF$1,1,2),FALSE)</f>
        <v>0</v>
      </c>
      <c r="AG843" s="55">
        <f>VLOOKUP($E843,'NI-Ric_SP'!$C:$AN,MID(AG$1,1,2),FALSE)</f>
        <v>0</v>
      </c>
      <c r="AH843" s="55">
        <f>VLOOKUP($E843,'NI-Ric_SP'!$C:$AN,MID(AH$1,1,2),FALSE)</f>
        <v>0</v>
      </c>
      <c r="AI843" s="55">
        <f>VLOOKUP($E843,'NI-Ric_SP'!$C:$AN,MID(AI$1,1,2),FALSE)</f>
        <v>0</v>
      </c>
      <c r="AJ843" s="55">
        <f>VLOOKUP($E843,'NI-Ric_SP'!$C:$AN,MID(AJ$1,1,2),FALSE)</f>
        <v>0</v>
      </c>
      <c r="AK843" s="55">
        <f>VLOOKUP($E843,'NI-Ric_SP'!$C:$AN,MID(AK$1,1,2),FALSE)</f>
        <v>0</v>
      </c>
      <c r="AL843" s="55">
        <f>VLOOKUP($E843,'NI-Ric_SP'!$C:$AN,MID(AL$1,1,2),FALSE)</f>
        <v>0</v>
      </c>
      <c r="AM843" s="56">
        <f>VLOOKUP($E843,'NI-Ric_SP'!$C:$AN,MID(AM$1,1,2),FALSE)</f>
        <v>0</v>
      </c>
      <c r="AN843" s="30" t="str">
        <f t="shared" si="13"/>
        <v>10202010020000</v>
      </c>
    </row>
    <row r="844" spans="3:40" x14ac:dyDescent="0.25">
      <c r="C844" s="40"/>
      <c r="D844" s="101" t="s">
        <v>510</v>
      </c>
      <c r="E844" s="101" t="s">
        <v>511</v>
      </c>
      <c r="F844" s="102" t="s">
        <v>2750</v>
      </c>
      <c r="G844" s="52"/>
      <c r="H844" s="52"/>
      <c r="I844" s="52"/>
      <c r="J844" s="52"/>
      <c r="K844" s="59" t="s">
        <v>79</v>
      </c>
      <c r="L844" s="52"/>
      <c r="M844" s="52"/>
      <c r="N844" s="52"/>
      <c r="O844" s="52"/>
      <c r="P844" s="76" t="s">
        <v>512</v>
      </c>
      <c r="Q844" s="55">
        <f>VLOOKUP(E844,'NI-Ric_SP'!$C:$AN,12,FALSE)</f>
        <v>0</v>
      </c>
      <c r="R844" s="55">
        <f>VLOOKUP(E844,'NI-Ric_SP'!$C:$AN,13,FALSE)</f>
        <v>0</v>
      </c>
      <c r="S844" s="55"/>
      <c r="T844" s="55"/>
      <c r="U844" s="55">
        <f>VLOOKUP($E844,'NI-Ric_SP'!$C:$AN,MID(U$1,1,2),FALSE)</f>
        <v>0</v>
      </c>
      <c r="V844" s="55">
        <f>VLOOKUP($E844,'NI-Ric_SP'!$C:$AN,MID(V$1,1,2),FALSE)</f>
        <v>0</v>
      </c>
      <c r="W844" s="55">
        <f>VLOOKUP($E844,'NI-Ric_SP'!$C:$AN,MID(W$1,1,2),FALSE)</f>
        <v>0</v>
      </c>
      <c r="X844" s="55">
        <f>VLOOKUP($E844,'NI-Ric_SP'!$C:$AN,MID(X$1,1,2),FALSE)</f>
        <v>0</v>
      </c>
      <c r="Y844" s="55">
        <f>VLOOKUP($E844,'NI-Ric_SP'!$C:$AN,MID(Y$1,1,2),FALSE)</f>
        <v>0</v>
      </c>
      <c r="Z844" s="55">
        <f>VLOOKUP($E844,'NI-Ric_SP'!$C:$AN,MID(Z$1,1,2),FALSE)</f>
        <v>0</v>
      </c>
      <c r="AA844" s="55">
        <f>VLOOKUP($E844,'NI-Ric_SP'!$C:$AN,MID(AA$1,1,2),FALSE)</f>
        <v>0</v>
      </c>
      <c r="AB844" s="55">
        <f>VLOOKUP($E844,'NI-Ric_SP'!$C:$AN,MID(AB$1,1,2),FALSE)</f>
        <v>0</v>
      </c>
      <c r="AC844" s="55">
        <f>VLOOKUP($E844,'NI-Ric_SP'!$C:$AN,MID(AC$1,1,2),FALSE)</f>
        <v>0</v>
      </c>
      <c r="AD844" s="55">
        <f>VLOOKUP($E844,'NI-Ric_SP'!$C:$AN,MID(AD$1,1,2),FALSE)</f>
        <v>0</v>
      </c>
      <c r="AE844" s="55">
        <f>VLOOKUP($E844,'NI-Ric_SP'!$C:$AN,MID(AE$1,1,2),FALSE)</f>
        <v>0</v>
      </c>
      <c r="AF844" s="55">
        <f>VLOOKUP($E844,'NI-Ric_SP'!$C:$AN,MID(AF$1,1,2),FALSE)</f>
        <v>0</v>
      </c>
      <c r="AG844" s="55">
        <f>VLOOKUP($E844,'NI-Ric_SP'!$C:$AN,MID(AG$1,1,2),FALSE)</f>
        <v>0</v>
      </c>
      <c r="AH844" s="55">
        <f>VLOOKUP($E844,'NI-Ric_SP'!$C:$AN,MID(AH$1,1,2),FALSE)</f>
        <v>0</v>
      </c>
      <c r="AI844" s="55">
        <f>VLOOKUP($E844,'NI-Ric_SP'!$C:$AN,MID(AI$1,1,2),FALSE)</f>
        <v>0</v>
      </c>
      <c r="AJ844" s="55">
        <f>VLOOKUP($E844,'NI-Ric_SP'!$C:$AN,MID(AJ$1,1,2),FALSE)</f>
        <v>0</v>
      </c>
      <c r="AK844" s="55">
        <f>VLOOKUP($E844,'NI-Ric_SP'!$C:$AN,MID(AK$1,1,2),FALSE)</f>
        <v>0</v>
      </c>
      <c r="AL844" s="55">
        <f>VLOOKUP($E844,'NI-Ric_SP'!$C:$AN,MID(AL$1,1,2),FALSE)</f>
        <v>0</v>
      </c>
      <c r="AM844" s="56">
        <f>VLOOKUP($E844,'NI-Ric_SP'!$C:$AN,MID(AM$1,1,2),FALSE)</f>
        <v>0</v>
      </c>
      <c r="AN844" s="30" t="str">
        <f t="shared" si="13"/>
        <v>10202010020010</v>
      </c>
    </row>
    <row r="845" spans="3:40" x14ac:dyDescent="0.25">
      <c r="C845" s="40"/>
      <c r="D845" s="101" t="s">
        <v>513</v>
      </c>
      <c r="E845" s="101" t="s">
        <v>514</v>
      </c>
      <c r="F845" s="102" t="s">
        <v>2750</v>
      </c>
      <c r="G845" s="52"/>
      <c r="H845" s="52"/>
      <c r="I845" s="52"/>
      <c r="J845" s="52"/>
      <c r="K845" s="59" t="s">
        <v>79</v>
      </c>
      <c r="L845" s="52"/>
      <c r="M845" s="52"/>
      <c r="N845" s="52"/>
      <c r="O845" s="52"/>
      <c r="P845" s="76" t="s">
        <v>515</v>
      </c>
      <c r="Q845" s="55">
        <f>VLOOKUP(E845,'NI-Ric_SP'!$C:$AN,12,FALSE)</f>
        <v>0</v>
      </c>
      <c r="R845" s="55">
        <f>VLOOKUP(E845,'NI-Ric_SP'!$C:$AN,13,FALSE)</f>
        <v>0</v>
      </c>
      <c r="S845" s="55"/>
      <c r="T845" s="55"/>
      <c r="U845" s="55">
        <f>VLOOKUP($E845,'NI-Ric_SP'!$C:$AN,MID(U$1,1,2),FALSE)</f>
        <v>0</v>
      </c>
      <c r="V845" s="55">
        <f>VLOOKUP($E845,'NI-Ric_SP'!$C:$AN,MID(V$1,1,2),FALSE)</f>
        <v>0</v>
      </c>
      <c r="W845" s="55">
        <f>VLOOKUP($E845,'NI-Ric_SP'!$C:$AN,MID(W$1,1,2),FALSE)</f>
        <v>0</v>
      </c>
      <c r="X845" s="55">
        <f>VLOOKUP($E845,'NI-Ric_SP'!$C:$AN,MID(X$1,1,2),FALSE)</f>
        <v>0</v>
      </c>
      <c r="Y845" s="55">
        <f>VLOOKUP($E845,'NI-Ric_SP'!$C:$AN,MID(Y$1,1,2),FALSE)</f>
        <v>0</v>
      </c>
      <c r="Z845" s="55">
        <f>VLOOKUP($E845,'NI-Ric_SP'!$C:$AN,MID(Z$1,1,2),FALSE)</f>
        <v>0</v>
      </c>
      <c r="AA845" s="55">
        <f>VLOOKUP($E845,'NI-Ric_SP'!$C:$AN,MID(AA$1,1,2),FALSE)</f>
        <v>0</v>
      </c>
      <c r="AB845" s="55">
        <f>VLOOKUP($E845,'NI-Ric_SP'!$C:$AN,MID(AB$1,1,2),FALSE)</f>
        <v>0</v>
      </c>
      <c r="AC845" s="55">
        <f>VLOOKUP($E845,'NI-Ric_SP'!$C:$AN,MID(AC$1,1,2),FALSE)</f>
        <v>0</v>
      </c>
      <c r="AD845" s="55">
        <f>VLOOKUP($E845,'NI-Ric_SP'!$C:$AN,MID(AD$1,1,2),FALSE)</f>
        <v>0</v>
      </c>
      <c r="AE845" s="55">
        <f>VLOOKUP($E845,'NI-Ric_SP'!$C:$AN,MID(AE$1,1,2),FALSE)</f>
        <v>0</v>
      </c>
      <c r="AF845" s="55">
        <f>VLOOKUP($E845,'NI-Ric_SP'!$C:$AN,MID(AF$1,1,2),FALSE)</f>
        <v>0</v>
      </c>
      <c r="AG845" s="55">
        <f>VLOOKUP($E845,'NI-Ric_SP'!$C:$AN,MID(AG$1,1,2),FALSE)</f>
        <v>0</v>
      </c>
      <c r="AH845" s="55">
        <f>VLOOKUP($E845,'NI-Ric_SP'!$C:$AN,MID(AH$1,1,2),FALSE)</f>
        <v>0</v>
      </c>
      <c r="AI845" s="55">
        <f>VLOOKUP($E845,'NI-Ric_SP'!$C:$AN,MID(AI$1,1,2),FALSE)</f>
        <v>0</v>
      </c>
      <c r="AJ845" s="55">
        <f>VLOOKUP($E845,'NI-Ric_SP'!$C:$AN,MID(AJ$1,1,2),FALSE)</f>
        <v>0</v>
      </c>
      <c r="AK845" s="55">
        <f>VLOOKUP($E845,'NI-Ric_SP'!$C:$AN,MID(AK$1,1,2),FALSE)</f>
        <v>0</v>
      </c>
      <c r="AL845" s="55">
        <f>VLOOKUP($E845,'NI-Ric_SP'!$C:$AN,MID(AL$1,1,2),FALSE)</f>
        <v>0</v>
      </c>
      <c r="AM845" s="56">
        <f>VLOOKUP($E845,'NI-Ric_SP'!$C:$AN,MID(AM$1,1,2),FALSE)</f>
        <v>0</v>
      </c>
      <c r="AN845" s="30" t="str">
        <f t="shared" si="13"/>
        <v>10202010020020</v>
      </c>
    </row>
    <row r="846" spans="3:40" x14ac:dyDescent="0.25">
      <c r="C846" s="40"/>
      <c r="D846" s="101" t="s">
        <v>516</v>
      </c>
      <c r="E846" s="101" t="s">
        <v>517</v>
      </c>
      <c r="F846" s="102" t="s">
        <v>2750</v>
      </c>
      <c r="G846" s="52"/>
      <c r="H846" s="52"/>
      <c r="I846" s="52"/>
      <c r="J846" s="52"/>
      <c r="K846" s="59" t="s">
        <v>79</v>
      </c>
      <c r="L846" s="52"/>
      <c r="M846" s="52"/>
      <c r="N846" s="52"/>
      <c r="O846" s="52"/>
      <c r="P846" s="76" t="s">
        <v>518</v>
      </c>
      <c r="Q846" s="55">
        <f>VLOOKUP(E846,'NI-Ric_SP'!$C:$AN,12,FALSE)</f>
        <v>0</v>
      </c>
      <c r="R846" s="55">
        <f>VLOOKUP(E846,'NI-Ric_SP'!$C:$AN,13,FALSE)</f>
        <v>0</v>
      </c>
      <c r="S846" s="55"/>
      <c r="T846" s="55"/>
      <c r="U846" s="55">
        <f>VLOOKUP($E846,'NI-Ric_SP'!$C:$AN,MID(U$1,1,2),FALSE)</f>
        <v>0</v>
      </c>
      <c r="V846" s="55">
        <f>VLOOKUP($E846,'NI-Ric_SP'!$C:$AN,MID(V$1,1,2),FALSE)</f>
        <v>0</v>
      </c>
      <c r="W846" s="55">
        <f>VLOOKUP($E846,'NI-Ric_SP'!$C:$AN,MID(W$1,1,2),FALSE)</f>
        <v>0</v>
      </c>
      <c r="X846" s="55">
        <f>VLOOKUP($E846,'NI-Ric_SP'!$C:$AN,MID(X$1,1,2),FALSE)</f>
        <v>0</v>
      </c>
      <c r="Y846" s="55">
        <f>VLOOKUP($E846,'NI-Ric_SP'!$C:$AN,MID(Y$1,1,2),FALSE)</f>
        <v>0</v>
      </c>
      <c r="Z846" s="55">
        <f>VLOOKUP($E846,'NI-Ric_SP'!$C:$AN,MID(Z$1,1,2),FALSE)</f>
        <v>0</v>
      </c>
      <c r="AA846" s="55">
        <f>VLOOKUP($E846,'NI-Ric_SP'!$C:$AN,MID(AA$1,1,2),FALSE)</f>
        <v>0</v>
      </c>
      <c r="AB846" s="55">
        <f>VLOOKUP($E846,'NI-Ric_SP'!$C:$AN,MID(AB$1,1,2),FALSE)</f>
        <v>0</v>
      </c>
      <c r="AC846" s="55">
        <f>VLOOKUP($E846,'NI-Ric_SP'!$C:$AN,MID(AC$1,1,2),FALSE)</f>
        <v>0</v>
      </c>
      <c r="AD846" s="55">
        <f>VLOOKUP($E846,'NI-Ric_SP'!$C:$AN,MID(AD$1,1,2),FALSE)</f>
        <v>0</v>
      </c>
      <c r="AE846" s="55">
        <f>VLOOKUP($E846,'NI-Ric_SP'!$C:$AN,MID(AE$1,1,2),FALSE)</f>
        <v>0</v>
      </c>
      <c r="AF846" s="55">
        <f>VLOOKUP($E846,'NI-Ric_SP'!$C:$AN,MID(AF$1,1,2),FALSE)</f>
        <v>0</v>
      </c>
      <c r="AG846" s="55">
        <f>VLOOKUP($E846,'NI-Ric_SP'!$C:$AN,MID(AG$1,1,2),FALSE)</f>
        <v>0</v>
      </c>
      <c r="AH846" s="55">
        <f>VLOOKUP($E846,'NI-Ric_SP'!$C:$AN,MID(AH$1,1,2),FALSE)</f>
        <v>0</v>
      </c>
      <c r="AI846" s="55">
        <f>VLOOKUP($E846,'NI-Ric_SP'!$C:$AN,MID(AI$1,1,2),FALSE)</f>
        <v>0</v>
      </c>
      <c r="AJ846" s="55">
        <f>VLOOKUP($E846,'NI-Ric_SP'!$C:$AN,MID(AJ$1,1,2),FALSE)</f>
        <v>0</v>
      </c>
      <c r="AK846" s="55">
        <f>VLOOKUP($E846,'NI-Ric_SP'!$C:$AN,MID(AK$1,1,2),FALSE)</f>
        <v>0</v>
      </c>
      <c r="AL846" s="55">
        <f>VLOOKUP($E846,'NI-Ric_SP'!$C:$AN,MID(AL$1,1,2),FALSE)</f>
        <v>0</v>
      </c>
      <c r="AM846" s="56">
        <f>VLOOKUP($E846,'NI-Ric_SP'!$C:$AN,MID(AM$1,1,2),FALSE)</f>
        <v>0</v>
      </c>
      <c r="AN846" s="30" t="str">
        <f t="shared" si="13"/>
        <v>10202010020030</v>
      </c>
    </row>
    <row r="847" spans="3:40" x14ac:dyDescent="0.25">
      <c r="C847" s="40"/>
      <c r="D847" s="101" t="s">
        <v>519</v>
      </c>
      <c r="E847" s="101" t="s">
        <v>520</v>
      </c>
      <c r="F847" s="102" t="s">
        <v>2750</v>
      </c>
      <c r="G847" s="52"/>
      <c r="H847" s="52"/>
      <c r="I847" s="52"/>
      <c r="J847" s="52"/>
      <c r="K847" s="59" t="s">
        <v>79</v>
      </c>
      <c r="L847" s="52"/>
      <c r="M847" s="52"/>
      <c r="N847" s="52"/>
      <c r="O847" s="52"/>
      <c r="P847" s="76" t="s">
        <v>521</v>
      </c>
      <c r="Q847" s="55">
        <f>VLOOKUP(E847,'NI-Ric_SP'!$C:$AN,12,FALSE)</f>
        <v>0</v>
      </c>
      <c r="R847" s="55">
        <f>VLOOKUP(E847,'NI-Ric_SP'!$C:$AN,13,FALSE)</f>
        <v>0</v>
      </c>
      <c r="S847" s="55"/>
      <c r="T847" s="55"/>
      <c r="U847" s="55">
        <f>VLOOKUP($E847,'NI-Ric_SP'!$C:$AN,MID(U$1,1,2),FALSE)</f>
        <v>0</v>
      </c>
      <c r="V847" s="55">
        <f>VLOOKUP($E847,'NI-Ric_SP'!$C:$AN,MID(V$1,1,2),FALSE)</f>
        <v>0</v>
      </c>
      <c r="W847" s="55">
        <f>VLOOKUP($E847,'NI-Ric_SP'!$C:$AN,MID(W$1,1,2),FALSE)</f>
        <v>0</v>
      </c>
      <c r="X847" s="55">
        <f>VLOOKUP($E847,'NI-Ric_SP'!$C:$AN,MID(X$1,1,2),FALSE)</f>
        <v>0</v>
      </c>
      <c r="Y847" s="55">
        <f>VLOOKUP($E847,'NI-Ric_SP'!$C:$AN,MID(Y$1,1,2),FALSE)</f>
        <v>0</v>
      </c>
      <c r="Z847" s="55">
        <f>VLOOKUP($E847,'NI-Ric_SP'!$C:$AN,MID(Z$1,1,2),FALSE)</f>
        <v>0</v>
      </c>
      <c r="AA847" s="55">
        <f>VLOOKUP($E847,'NI-Ric_SP'!$C:$AN,MID(AA$1,1,2),FALSE)</f>
        <v>0</v>
      </c>
      <c r="AB847" s="55">
        <f>VLOOKUP($E847,'NI-Ric_SP'!$C:$AN,MID(AB$1,1,2),FALSE)</f>
        <v>0</v>
      </c>
      <c r="AC847" s="55">
        <f>VLOOKUP($E847,'NI-Ric_SP'!$C:$AN,MID(AC$1,1,2),FALSE)</f>
        <v>0</v>
      </c>
      <c r="AD847" s="55">
        <f>VLOOKUP($E847,'NI-Ric_SP'!$C:$AN,MID(AD$1,1,2),FALSE)</f>
        <v>0</v>
      </c>
      <c r="AE847" s="55">
        <f>VLOOKUP($E847,'NI-Ric_SP'!$C:$AN,MID(AE$1,1,2),FALSE)</f>
        <v>0</v>
      </c>
      <c r="AF847" s="55">
        <f>VLOOKUP($E847,'NI-Ric_SP'!$C:$AN,MID(AF$1,1,2),FALSE)</f>
        <v>0</v>
      </c>
      <c r="AG847" s="55">
        <f>VLOOKUP($E847,'NI-Ric_SP'!$C:$AN,MID(AG$1,1,2),FALSE)</f>
        <v>0</v>
      </c>
      <c r="AH847" s="55">
        <f>VLOOKUP($E847,'NI-Ric_SP'!$C:$AN,MID(AH$1,1,2),FALSE)</f>
        <v>0</v>
      </c>
      <c r="AI847" s="55">
        <f>VLOOKUP($E847,'NI-Ric_SP'!$C:$AN,MID(AI$1,1,2),FALSE)</f>
        <v>0</v>
      </c>
      <c r="AJ847" s="55">
        <f>VLOOKUP($E847,'NI-Ric_SP'!$C:$AN,MID(AJ$1,1,2),FALSE)</f>
        <v>0</v>
      </c>
      <c r="AK847" s="55">
        <f>VLOOKUP($E847,'NI-Ric_SP'!$C:$AN,MID(AK$1,1,2),FALSE)</f>
        <v>0</v>
      </c>
      <c r="AL847" s="55">
        <f>VLOOKUP($E847,'NI-Ric_SP'!$C:$AN,MID(AL$1,1,2),FALSE)</f>
        <v>0</v>
      </c>
      <c r="AM847" s="56">
        <f>VLOOKUP($E847,'NI-Ric_SP'!$C:$AN,MID(AM$1,1,2),FALSE)</f>
        <v>0</v>
      </c>
      <c r="AN847" s="30" t="str">
        <f t="shared" si="13"/>
        <v>10202010020040</v>
      </c>
    </row>
    <row r="848" spans="3:40" x14ac:dyDescent="0.25">
      <c r="C848" s="40"/>
      <c r="D848" s="101" t="s">
        <v>522</v>
      </c>
      <c r="E848" s="101" t="s">
        <v>523</v>
      </c>
      <c r="F848" s="102" t="s">
        <v>2750</v>
      </c>
      <c r="G848" s="52"/>
      <c r="H848" s="52"/>
      <c r="I848" s="52"/>
      <c r="J848" s="52"/>
      <c r="K848" s="59" t="s">
        <v>111</v>
      </c>
      <c r="L848" s="52"/>
      <c r="M848" s="52"/>
      <c r="N848" s="52"/>
      <c r="O848" s="61" t="s">
        <v>524</v>
      </c>
      <c r="P848" s="76" t="s">
        <v>525</v>
      </c>
      <c r="Q848" s="55">
        <f>VLOOKUP(E848,'NI-Ric_SP'!$C:$AN,12,FALSE)</f>
        <v>0</v>
      </c>
      <c r="R848" s="55">
        <f>VLOOKUP(E848,'NI-Ric_SP'!$C:$AN,13,FALSE)</f>
        <v>0</v>
      </c>
      <c r="S848" s="55"/>
      <c r="T848" s="55"/>
      <c r="U848" s="55">
        <f>VLOOKUP($E848,'NI-Ric_SP'!$C:$AN,MID(U$1,1,2),FALSE)</f>
        <v>0</v>
      </c>
      <c r="V848" s="55">
        <f>VLOOKUP($E848,'NI-Ric_SP'!$C:$AN,MID(V$1,1,2),FALSE)</f>
        <v>0</v>
      </c>
      <c r="W848" s="55">
        <f>VLOOKUP($E848,'NI-Ric_SP'!$C:$AN,MID(W$1,1,2),FALSE)</f>
        <v>0</v>
      </c>
      <c r="X848" s="55">
        <f>VLOOKUP($E848,'NI-Ric_SP'!$C:$AN,MID(X$1,1,2),FALSE)</f>
        <v>0</v>
      </c>
      <c r="Y848" s="55">
        <f>VLOOKUP($E848,'NI-Ric_SP'!$C:$AN,MID(Y$1,1,2),FALSE)</f>
        <v>0</v>
      </c>
      <c r="Z848" s="55">
        <f>VLOOKUP($E848,'NI-Ric_SP'!$C:$AN,MID(Z$1,1,2),FALSE)</f>
        <v>0</v>
      </c>
      <c r="AA848" s="55">
        <f>VLOOKUP($E848,'NI-Ric_SP'!$C:$AN,MID(AA$1,1,2),FALSE)</f>
        <v>0</v>
      </c>
      <c r="AB848" s="55">
        <f>VLOOKUP($E848,'NI-Ric_SP'!$C:$AN,MID(AB$1,1,2),FALSE)</f>
        <v>0</v>
      </c>
      <c r="AC848" s="55">
        <f>VLOOKUP($E848,'NI-Ric_SP'!$C:$AN,MID(AC$1,1,2),FALSE)</f>
        <v>0</v>
      </c>
      <c r="AD848" s="55">
        <f>VLOOKUP($E848,'NI-Ric_SP'!$C:$AN,MID(AD$1,1,2),FALSE)</f>
        <v>0</v>
      </c>
      <c r="AE848" s="55">
        <f>VLOOKUP($E848,'NI-Ric_SP'!$C:$AN,MID(AE$1,1,2),FALSE)</f>
        <v>0</v>
      </c>
      <c r="AF848" s="55">
        <f>VLOOKUP($E848,'NI-Ric_SP'!$C:$AN,MID(AF$1,1,2),FALSE)</f>
        <v>0</v>
      </c>
      <c r="AG848" s="55">
        <f>VLOOKUP($E848,'NI-Ric_SP'!$C:$AN,MID(AG$1,1,2),FALSE)</f>
        <v>0</v>
      </c>
      <c r="AH848" s="55">
        <f>VLOOKUP($E848,'NI-Ric_SP'!$C:$AN,MID(AH$1,1,2),FALSE)</f>
        <v>0</v>
      </c>
      <c r="AI848" s="55">
        <f>VLOOKUP($E848,'NI-Ric_SP'!$C:$AN,MID(AI$1,1,2),FALSE)</f>
        <v>0</v>
      </c>
      <c r="AJ848" s="55">
        <f>VLOOKUP($E848,'NI-Ric_SP'!$C:$AN,MID(AJ$1,1,2),FALSE)</f>
        <v>0</v>
      </c>
      <c r="AK848" s="55">
        <f>VLOOKUP($E848,'NI-Ric_SP'!$C:$AN,MID(AK$1,1,2),FALSE)</f>
        <v>0</v>
      </c>
      <c r="AL848" s="55">
        <f>VLOOKUP($E848,'NI-Ric_SP'!$C:$AN,MID(AL$1,1,2),FALSE)</f>
        <v>0</v>
      </c>
      <c r="AM848" s="56">
        <f>VLOOKUP($E848,'NI-Ric_SP'!$C:$AN,MID(AM$1,1,2),FALSE)</f>
        <v>0</v>
      </c>
      <c r="AN848" s="30" t="str">
        <f t="shared" si="13"/>
        <v>10202020000000</v>
      </c>
    </row>
    <row r="849" spans="3:40" x14ac:dyDescent="0.25">
      <c r="C849" s="40"/>
      <c r="D849" s="101" t="s">
        <v>526</v>
      </c>
      <c r="E849" s="101" t="s">
        <v>527</v>
      </c>
      <c r="F849" s="102" t="s">
        <v>2750</v>
      </c>
      <c r="G849" s="52"/>
      <c r="H849" s="52"/>
      <c r="I849" s="52" t="s">
        <v>528</v>
      </c>
      <c r="J849" s="52" t="s">
        <v>528</v>
      </c>
      <c r="K849" s="59" t="s">
        <v>111</v>
      </c>
      <c r="L849" s="62" t="s">
        <v>491</v>
      </c>
      <c r="M849" s="52"/>
      <c r="N849" s="52"/>
      <c r="O849" s="52"/>
      <c r="P849" s="76" t="s">
        <v>529</v>
      </c>
      <c r="Q849" s="55">
        <f>VLOOKUP(E849,'NI-Ric_SP'!$C:$AN,12,FALSE)</f>
        <v>0</v>
      </c>
      <c r="R849" s="55">
        <f>VLOOKUP(E849,'NI-Ric_SP'!$C:$AN,13,FALSE)</f>
        <v>0</v>
      </c>
      <c r="S849" s="55"/>
      <c r="T849" s="55"/>
      <c r="U849" s="55">
        <f>VLOOKUP($E849,'NI-Ric_SP'!$C:$AN,MID(U$1,1,2),FALSE)</f>
        <v>0</v>
      </c>
      <c r="V849" s="55">
        <f>VLOOKUP($E849,'NI-Ric_SP'!$C:$AN,MID(V$1,1,2),FALSE)</f>
        <v>0</v>
      </c>
      <c r="W849" s="55">
        <f>VLOOKUP($E849,'NI-Ric_SP'!$C:$AN,MID(W$1,1,2),FALSE)</f>
        <v>0</v>
      </c>
      <c r="X849" s="55">
        <f>VLOOKUP($E849,'NI-Ric_SP'!$C:$AN,MID(X$1,1,2),FALSE)</f>
        <v>0</v>
      </c>
      <c r="Y849" s="55">
        <f>VLOOKUP($E849,'NI-Ric_SP'!$C:$AN,MID(Y$1,1,2),FALSE)</f>
        <v>0</v>
      </c>
      <c r="Z849" s="55">
        <f>VLOOKUP($E849,'NI-Ric_SP'!$C:$AN,MID(Z$1,1,2),FALSE)</f>
        <v>0</v>
      </c>
      <c r="AA849" s="55">
        <f>VLOOKUP($E849,'NI-Ric_SP'!$C:$AN,MID(AA$1,1,2),FALSE)</f>
        <v>0</v>
      </c>
      <c r="AB849" s="55">
        <f>VLOOKUP($E849,'NI-Ric_SP'!$C:$AN,MID(AB$1,1,2),FALSE)</f>
        <v>0</v>
      </c>
      <c r="AC849" s="55">
        <f>VLOOKUP($E849,'NI-Ric_SP'!$C:$AN,MID(AC$1,1,2),FALSE)</f>
        <v>0</v>
      </c>
      <c r="AD849" s="55">
        <f>VLOOKUP($E849,'NI-Ric_SP'!$C:$AN,MID(AD$1,1,2),FALSE)</f>
        <v>0</v>
      </c>
      <c r="AE849" s="55">
        <f>VLOOKUP($E849,'NI-Ric_SP'!$C:$AN,MID(AE$1,1,2),FALSE)</f>
        <v>0</v>
      </c>
      <c r="AF849" s="55">
        <f>VLOOKUP($E849,'NI-Ric_SP'!$C:$AN,MID(AF$1,1,2),FALSE)</f>
        <v>0</v>
      </c>
      <c r="AG849" s="55">
        <f>VLOOKUP($E849,'NI-Ric_SP'!$C:$AN,MID(AG$1,1,2),FALSE)</f>
        <v>0</v>
      </c>
      <c r="AH849" s="55">
        <f>VLOOKUP($E849,'NI-Ric_SP'!$C:$AN,MID(AH$1,1,2),FALSE)</f>
        <v>0</v>
      </c>
      <c r="AI849" s="55">
        <f>VLOOKUP($E849,'NI-Ric_SP'!$C:$AN,MID(AI$1,1,2),FALSE)</f>
        <v>0</v>
      </c>
      <c r="AJ849" s="55">
        <f>VLOOKUP($E849,'NI-Ric_SP'!$C:$AN,MID(AJ$1,1,2),FALSE)</f>
        <v>0</v>
      </c>
      <c r="AK849" s="55">
        <f>VLOOKUP($E849,'NI-Ric_SP'!$C:$AN,MID(AK$1,1,2),FALSE)</f>
        <v>0</v>
      </c>
      <c r="AL849" s="55">
        <f>VLOOKUP($E849,'NI-Ric_SP'!$C:$AN,MID(AL$1,1,2),FALSE)</f>
        <v>0</v>
      </c>
      <c r="AM849" s="56">
        <f>VLOOKUP($E849,'NI-Ric_SP'!$C:$AN,MID(AM$1,1,2),FALSE)</f>
        <v>0</v>
      </c>
      <c r="AN849" s="30" t="str">
        <f t="shared" si="13"/>
        <v>10202020010000</v>
      </c>
    </row>
    <row r="850" spans="3:40" x14ac:dyDescent="0.25">
      <c r="C850" s="40"/>
      <c r="D850" s="101" t="s">
        <v>530</v>
      </c>
      <c r="E850" s="101" t="s">
        <v>531</v>
      </c>
      <c r="F850" s="102" t="s">
        <v>2750</v>
      </c>
      <c r="G850" s="52"/>
      <c r="H850" s="52"/>
      <c r="I850" s="52"/>
      <c r="J850" s="52"/>
      <c r="K850" s="59" t="s">
        <v>79</v>
      </c>
      <c r="L850" s="52"/>
      <c r="M850" s="52"/>
      <c r="N850" s="52"/>
      <c r="O850" s="52"/>
      <c r="P850" s="76" t="s">
        <v>532</v>
      </c>
      <c r="Q850" s="55">
        <f>VLOOKUP(E850,'NI-Ric_SP'!$C:$AN,12,FALSE)</f>
        <v>0</v>
      </c>
      <c r="R850" s="55">
        <f>VLOOKUP(E850,'NI-Ric_SP'!$C:$AN,13,FALSE)</f>
        <v>0</v>
      </c>
      <c r="S850" s="55"/>
      <c r="T850" s="55"/>
      <c r="U850" s="55">
        <f>VLOOKUP($E850,'NI-Ric_SP'!$C:$AN,MID(U$1,1,2),FALSE)</f>
        <v>0</v>
      </c>
      <c r="V850" s="55">
        <f>VLOOKUP($E850,'NI-Ric_SP'!$C:$AN,MID(V$1,1,2),FALSE)</f>
        <v>0</v>
      </c>
      <c r="W850" s="55">
        <f>VLOOKUP($E850,'NI-Ric_SP'!$C:$AN,MID(W$1,1,2),FALSE)</f>
        <v>0</v>
      </c>
      <c r="X850" s="55">
        <f>VLOOKUP($E850,'NI-Ric_SP'!$C:$AN,MID(X$1,1,2),FALSE)</f>
        <v>0</v>
      </c>
      <c r="Y850" s="55">
        <f>VLOOKUP($E850,'NI-Ric_SP'!$C:$AN,MID(Y$1,1,2),FALSE)</f>
        <v>0</v>
      </c>
      <c r="Z850" s="55">
        <f>VLOOKUP($E850,'NI-Ric_SP'!$C:$AN,MID(Z$1,1,2),FALSE)</f>
        <v>0</v>
      </c>
      <c r="AA850" s="55">
        <f>VLOOKUP($E850,'NI-Ric_SP'!$C:$AN,MID(AA$1,1,2),FALSE)</f>
        <v>0</v>
      </c>
      <c r="AB850" s="55">
        <f>VLOOKUP($E850,'NI-Ric_SP'!$C:$AN,MID(AB$1,1,2),FALSE)</f>
        <v>0</v>
      </c>
      <c r="AC850" s="55">
        <f>VLOOKUP($E850,'NI-Ric_SP'!$C:$AN,MID(AC$1,1,2),FALSE)</f>
        <v>0</v>
      </c>
      <c r="AD850" s="55">
        <f>VLOOKUP($E850,'NI-Ric_SP'!$C:$AN,MID(AD$1,1,2),FALSE)</f>
        <v>0</v>
      </c>
      <c r="AE850" s="55">
        <f>VLOOKUP($E850,'NI-Ric_SP'!$C:$AN,MID(AE$1,1,2),FALSE)</f>
        <v>0</v>
      </c>
      <c r="AF850" s="55">
        <f>VLOOKUP($E850,'NI-Ric_SP'!$C:$AN,MID(AF$1,1,2),FALSE)</f>
        <v>0</v>
      </c>
      <c r="AG850" s="55">
        <f>VLOOKUP($E850,'NI-Ric_SP'!$C:$AN,MID(AG$1,1,2),FALSE)</f>
        <v>0</v>
      </c>
      <c r="AH850" s="55">
        <f>VLOOKUP($E850,'NI-Ric_SP'!$C:$AN,MID(AH$1,1,2),FALSE)</f>
        <v>0</v>
      </c>
      <c r="AI850" s="55">
        <f>VLOOKUP($E850,'NI-Ric_SP'!$C:$AN,MID(AI$1,1,2),FALSE)</f>
        <v>0</v>
      </c>
      <c r="AJ850" s="55">
        <f>VLOOKUP($E850,'NI-Ric_SP'!$C:$AN,MID(AJ$1,1,2),FALSE)</f>
        <v>0</v>
      </c>
      <c r="AK850" s="55">
        <f>VLOOKUP($E850,'NI-Ric_SP'!$C:$AN,MID(AK$1,1,2),FALSE)</f>
        <v>0</v>
      </c>
      <c r="AL850" s="55">
        <f>VLOOKUP($E850,'NI-Ric_SP'!$C:$AN,MID(AL$1,1,2),FALSE)</f>
        <v>0</v>
      </c>
      <c r="AM850" s="56">
        <f>VLOOKUP($E850,'NI-Ric_SP'!$C:$AN,MID(AM$1,1,2),FALSE)</f>
        <v>0</v>
      </c>
      <c r="AN850" s="30" t="str">
        <f t="shared" si="13"/>
        <v>10202020010010</v>
      </c>
    </row>
    <row r="851" spans="3:40" x14ac:dyDescent="0.25">
      <c r="C851" s="40"/>
      <c r="D851" s="101" t="s">
        <v>533</v>
      </c>
      <c r="E851" s="101" t="s">
        <v>534</v>
      </c>
      <c r="F851" s="102" t="s">
        <v>2750</v>
      </c>
      <c r="G851" s="52"/>
      <c r="H851" s="52"/>
      <c r="I851" s="52"/>
      <c r="J851" s="52"/>
      <c r="K851" s="59" t="s">
        <v>79</v>
      </c>
      <c r="L851" s="52"/>
      <c r="M851" s="52"/>
      <c r="N851" s="52"/>
      <c r="O851" s="52"/>
      <c r="P851" s="76" t="s">
        <v>535</v>
      </c>
      <c r="Q851" s="55">
        <f>VLOOKUP(E851,'NI-Ric_SP'!$C:$AN,12,FALSE)</f>
        <v>0</v>
      </c>
      <c r="R851" s="55">
        <f>VLOOKUP(E851,'NI-Ric_SP'!$C:$AN,13,FALSE)</f>
        <v>0</v>
      </c>
      <c r="S851" s="55"/>
      <c r="T851" s="55"/>
      <c r="U851" s="55">
        <f>VLOOKUP($E851,'NI-Ric_SP'!$C:$AN,MID(U$1,1,2),FALSE)</f>
        <v>0</v>
      </c>
      <c r="V851" s="55">
        <f>VLOOKUP($E851,'NI-Ric_SP'!$C:$AN,MID(V$1,1,2),FALSE)</f>
        <v>0</v>
      </c>
      <c r="W851" s="55">
        <f>VLOOKUP($E851,'NI-Ric_SP'!$C:$AN,MID(W$1,1,2),FALSE)</f>
        <v>0</v>
      </c>
      <c r="X851" s="55">
        <f>VLOOKUP($E851,'NI-Ric_SP'!$C:$AN,MID(X$1,1,2),FALSE)</f>
        <v>0</v>
      </c>
      <c r="Y851" s="55">
        <f>VLOOKUP($E851,'NI-Ric_SP'!$C:$AN,MID(Y$1,1,2),FALSE)</f>
        <v>0</v>
      </c>
      <c r="Z851" s="55">
        <f>VLOOKUP($E851,'NI-Ric_SP'!$C:$AN,MID(Z$1,1,2),FALSE)</f>
        <v>0</v>
      </c>
      <c r="AA851" s="55">
        <f>VLOOKUP($E851,'NI-Ric_SP'!$C:$AN,MID(AA$1,1,2),FALSE)</f>
        <v>0</v>
      </c>
      <c r="AB851" s="55">
        <f>VLOOKUP($E851,'NI-Ric_SP'!$C:$AN,MID(AB$1,1,2),FALSE)</f>
        <v>0</v>
      </c>
      <c r="AC851" s="55">
        <f>VLOOKUP($E851,'NI-Ric_SP'!$C:$AN,MID(AC$1,1,2),FALSE)</f>
        <v>0</v>
      </c>
      <c r="AD851" s="55">
        <f>VLOOKUP($E851,'NI-Ric_SP'!$C:$AN,MID(AD$1,1,2),FALSE)</f>
        <v>0</v>
      </c>
      <c r="AE851" s="55">
        <f>VLOOKUP($E851,'NI-Ric_SP'!$C:$AN,MID(AE$1,1,2),FALSE)</f>
        <v>0</v>
      </c>
      <c r="AF851" s="55">
        <f>VLOOKUP($E851,'NI-Ric_SP'!$C:$AN,MID(AF$1,1,2),FALSE)</f>
        <v>0</v>
      </c>
      <c r="AG851" s="55">
        <f>VLOOKUP($E851,'NI-Ric_SP'!$C:$AN,MID(AG$1,1,2),FALSE)</f>
        <v>0</v>
      </c>
      <c r="AH851" s="55">
        <f>VLOOKUP($E851,'NI-Ric_SP'!$C:$AN,MID(AH$1,1,2),FALSE)</f>
        <v>0</v>
      </c>
      <c r="AI851" s="55">
        <f>VLOOKUP($E851,'NI-Ric_SP'!$C:$AN,MID(AI$1,1,2),FALSE)</f>
        <v>0</v>
      </c>
      <c r="AJ851" s="55">
        <f>VLOOKUP($E851,'NI-Ric_SP'!$C:$AN,MID(AJ$1,1,2),FALSE)</f>
        <v>0</v>
      </c>
      <c r="AK851" s="55">
        <f>VLOOKUP($E851,'NI-Ric_SP'!$C:$AN,MID(AK$1,1,2),FALSE)</f>
        <v>0</v>
      </c>
      <c r="AL851" s="55">
        <f>VLOOKUP($E851,'NI-Ric_SP'!$C:$AN,MID(AL$1,1,2),FALSE)</f>
        <v>0</v>
      </c>
      <c r="AM851" s="56">
        <f>VLOOKUP($E851,'NI-Ric_SP'!$C:$AN,MID(AM$1,1,2),FALSE)</f>
        <v>0</v>
      </c>
      <c r="AN851" s="30" t="str">
        <f t="shared" si="13"/>
        <v>10202020010020</v>
      </c>
    </row>
    <row r="852" spans="3:40" x14ac:dyDescent="0.25">
      <c r="C852" s="40"/>
      <c r="D852" s="101" t="s">
        <v>536</v>
      </c>
      <c r="E852" s="101" t="s">
        <v>537</v>
      </c>
      <c r="F852" s="102" t="s">
        <v>2750</v>
      </c>
      <c r="G852" s="52"/>
      <c r="H852" s="52"/>
      <c r="I852" s="52"/>
      <c r="J852" s="52"/>
      <c r="K852" s="59" t="s">
        <v>79</v>
      </c>
      <c r="L852" s="52"/>
      <c r="M852" s="52"/>
      <c r="N852" s="52"/>
      <c r="O852" s="52"/>
      <c r="P852" s="76" t="s">
        <v>538</v>
      </c>
      <c r="Q852" s="55">
        <f>VLOOKUP(E852,'NI-Ric_SP'!$C:$AN,12,FALSE)</f>
        <v>0</v>
      </c>
      <c r="R852" s="55">
        <f>VLOOKUP(E852,'NI-Ric_SP'!$C:$AN,13,FALSE)</f>
        <v>0</v>
      </c>
      <c r="S852" s="55"/>
      <c r="T852" s="55"/>
      <c r="U852" s="55">
        <f>VLOOKUP($E852,'NI-Ric_SP'!$C:$AN,MID(U$1,1,2),FALSE)</f>
        <v>0</v>
      </c>
      <c r="V852" s="55">
        <f>VLOOKUP($E852,'NI-Ric_SP'!$C:$AN,MID(V$1,1,2),FALSE)</f>
        <v>0</v>
      </c>
      <c r="W852" s="55">
        <f>VLOOKUP($E852,'NI-Ric_SP'!$C:$AN,MID(W$1,1,2),FALSE)</f>
        <v>0</v>
      </c>
      <c r="X852" s="55">
        <f>VLOOKUP($E852,'NI-Ric_SP'!$C:$AN,MID(X$1,1,2),FALSE)</f>
        <v>0</v>
      </c>
      <c r="Y852" s="55">
        <f>VLOOKUP($E852,'NI-Ric_SP'!$C:$AN,MID(Y$1,1,2),FALSE)</f>
        <v>0</v>
      </c>
      <c r="Z852" s="55">
        <f>VLOOKUP($E852,'NI-Ric_SP'!$C:$AN,MID(Z$1,1,2),FALSE)</f>
        <v>0</v>
      </c>
      <c r="AA852" s="55">
        <f>VLOOKUP($E852,'NI-Ric_SP'!$C:$AN,MID(AA$1,1,2),FALSE)</f>
        <v>0</v>
      </c>
      <c r="AB852" s="55">
        <f>VLOOKUP($E852,'NI-Ric_SP'!$C:$AN,MID(AB$1,1,2),FALSE)</f>
        <v>0</v>
      </c>
      <c r="AC852" s="55">
        <f>VLOOKUP($E852,'NI-Ric_SP'!$C:$AN,MID(AC$1,1,2),FALSE)</f>
        <v>0</v>
      </c>
      <c r="AD852" s="55">
        <f>VLOOKUP($E852,'NI-Ric_SP'!$C:$AN,MID(AD$1,1,2),FALSE)</f>
        <v>0</v>
      </c>
      <c r="AE852" s="55">
        <f>VLOOKUP($E852,'NI-Ric_SP'!$C:$AN,MID(AE$1,1,2),FALSE)</f>
        <v>0</v>
      </c>
      <c r="AF852" s="55">
        <f>VLOOKUP($E852,'NI-Ric_SP'!$C:$AN,MID(AF$1,1,2),FALSE)</f>
        <v>0</v>
      </c>
      <c r="AG852" s="55">
        <f>VLOOKUP($E852,'NI-Ric_SP'!$C:$AN,MID(AG$1,1,2),FALSE)</f>
        <v>0</v>
      </c>
      <c r="AH852" s="55">
        <f>VLOOKUP($E852,'NI-Ric_SP'!$C:$AN,MID(AH$1,1,2),FALSE)</f>
        <v>0</v>
      </c>
      <c r="AI852" s="55">
        <f>VLOOKUP($E852,'NI-Ric_SP'!$C:$AN,MID(AI$1,1,2),FALSE)</f>
        <v>0</v>
      </c>
      <c r="AJ852" s="55">
        <f>VLOOKUP($E852,'NI-Ric_SP'!$C:$AN,MID(AJ$1,1,2),FALSE)</f>
        <v>0</v>
      </c>
      <c r="AK852" s="55">
        <f>VLOOKUP($E852,'NI-Ric_SP'!$C:$AN,MID(AK$1,1,2),FALSE)</f>
        <v>0</v>
      </c>
      <c r="AL852" s="55">
        <f>VLOOKUP($E852,'NI-Ric_SP'!$C:$AN,MID(AL$1,1,2),FALSE)</f>
        <v>0</v>
      </c>
      <c r="AM852" s="56">
        <f>VLOOKUP($E852,'NI-Ric_SP'!$C:$AN,MID(AM$1,1,2),FALSE)</f>
        <v>0</v>
      </c>
      <c r="AN852" s="30" t="str">
        <f t="shared" si="13"/>
        <v>10202020010030</v>
      </c>
    </row>
    <row r="853" spans="3:40" x14ac:dyDescent="0.25">
      <c r="C853" s="40"/>
      <c r="D853" s="101" t="s">
        <v>539</v>
      </c>
      <c r="E853" s="101" t="s">
        <v>540</v>
      </c>
      <c r="F853" s="102" t="s">
        <v>2750</v>
      </c>
      <c r="G853" s="52"/>
      <c r="H853" s="52"/>
      <c r="I853" s="52"/>
      <c r="J853" s="52"/>
      <c r="K853" s="59" t="s">
        <v>79</v>
      </c>
      <c r="L853" s="52"/>
      <c r="M853" s="52"/>
      <c r="N853" s="52"/>
      <c r="O853" s="52"/>
      <c r="P853" s="76" t="s">
        <v>541</v>
      </c>
      <c r="Q853" s="55">
        <f>VLOOKUP(E853,'NI-Ric_SP'!$C:$AN,12,FALSE)</f>
        <v>0</v>
      </c>
      <c r="R853" s="55">
        <f>VLOOKUP(E853,'NI-Ric_SP'!$C:$AN,13,FALSE)</f>
        <v>0</v>
      </c>
      <c r="S853" s="55"/>
      <c r="T853" s="55"/>
      <c r="U853" s="55">
        <f>VLOOKUP($E853,'NI-Ric_SP'!$C:$AN,MID(U$1,1,2),FALSE)</f>
        <v>0</v>
      </c>
      <c r="V853" s="55">
        <f>VLOOKUP($E853,'NI-Ric_SP'!$C:$AN,MID(V$1,1,2),FALSE)</f>
        <v>0</v>
      </c>
      <c r="W853" s="55">
        <f>VLOOKUP($E853,'NI-Ric_SP'!$C:$AN,MID(W$1,1,2),FALSE)</f>
        <v>0</v>
      </c>
      <c r="X853" s="55">
        <f>VLOOKUP($E853,'NI-Ric_SP'!$C:$AN,MID(X$1,1,2),FALSE)</f>
        <v>0</v>
      </c>
      <c r="Y853" s="55">
        <f>VLOOKUP($E853,'NI-Ric_SP'!$C:$AN,MID(Y$1,1,2),FALSE)</f>
        <v>0</v>
      </c>
      <c r="Z853" s="55">
        <f>VLOOKUP($E853,'NI-Ric_SP'!$C:$AN,MID(Z$1,1,2),FALSE)</f>
        <v>0</v>
      </c>
      <c r="AA853" s="55">
        <f>VLOOKUP($E853,'NI-Ric_SP'!$C:$AN,MID(AA$1,1,2),FALSE)</f>
        <v>0</v>
      </c>
      <c r="AB853" s="55">
        <f>VLOOKUP($E853,'NI-Ric_SP'!$C:$AN,MID(AB$1,1,2),FALSE)</f>
        <v>0</v>
      </c>
      <c r="AC853" s="55">
        <f>VLOOKUP($E853,'NI-Ric_SP'!$C:$AN,MID(AC$1,1,2),FALSE)</f>
        <v>0</v>
      </c>
      <c r="AD853" s="55">
        <f>VLOOKUP($E853,'NI-Ric_SP'!$C:$AN,MID(AD$1,1,2),FALSE)</f>
        <v>0</v>
      </c>
      <c r="AE853" s="55">
        <f>VLOOKUP($E853,'NI-Ric_SP'!$C:$AN,MID(AE$1,1,2),FALSE)</f>
        <v>0</v>
      </c>
      <c r="AF853" s="55">
        <f>VLOOKUP($E853,'NI-Ric_SP'!$C:$AN,MID(AF$1,1,2),FALSE)</f>
        <v>0</v>
      </c>
      <c r="AG853" s="55">
        <f>VLOOKUP($E853,'NI-Ric_SP'!$C:$AN,MID(AG$1,1,2),FALSE)</f>
        <v>0</v>
      </c>
      <c r="AH853" s="55">
        <f>VLOOKUP($E853,'NI-Ric_SP'!$C:$AN,MID(AH$1,1,2),FALSE)</f>
        <v>0</v>
      </c>
      <c r="AI853" s="55">
        <f>VLOOKUP($E853,'NI-Ric_SP'!$C:$AN,MID(AI$1,1,2),FALSE)</f>
        <v>0</v>
      </c>
      <c r="AJ853" s="55">
        <f>VLOOKUP($E853,'NI-Ric_SP'!$C:$AN,MID(AJ$1,1,2),FALSE)</f>
        <v>0</v>
      </c>
      <c r="AK853" s="55">
        <f>VLOOKUP($E853,'NI-Ric_SP'!$C:$AN,MID(AK$1,1,2),FALSE)</f>
        <v>0</v>
      </c>
      <c r="AL853" s="55">
        <f>VLOOKUP($E853,'NI-Ric_SP'!$C:$AN,MID(AL$1,1,2),FALSE)</f>
        <v>0</v>
      </c>
      <c r="AM853" s="56">
        <f>VLOOKUP($E853,'NI-Ric_SP'!$C:$AN,MID(AM$1,1,2),FALSE)</f>
        <v>0</v>
      </c>
      <c r="AN853" s="30" t="str">
        <f t="shared" si="13"/>
        <v>10202020010040</v>
      </c>
    </row>
    <row r="854" spans="3:40" x14ac:dyDescent="0.25">
      <c r="C854" s="40"/>
      <c r="D854" s="101" t="s">
        <v>542</v>
      </c>
      <c r="E854" s="101" t="s">
        <v>543</v>
      </c>
      <c r="F854" s="102" t="s">
        <v>2750</v>
      </c>
      <c r="G854" s="52"/>
      <c r="H854" s="52"/>
      <c r="I854" s="52" t="s">
        <v>544</v>
      </c>
      <c r="J854" s="52" t="s">
        <v>544</v>
      </c>
      <c r="K854" s="59" t="s">
        <v>111</v>
      </c>
      <c r="L854" s="62" t="s">
        <v>508</v>
      </c>
      <c r="M854" s="52"/>
      <c r="N854" s="52"/>
      <c r="O854" s="52"/>
      <c r="P854" s="76" t="s">
        <v>545</v>
      </c>
      <c r="Q854" s="55">
        <f>VLOOKUP(E854,'NI-Ric_SP'!$C:$AN,12,FALSE)</f>
        <v>0</v>
      </c>
      <c r="R854" s="55">
        <f>VLOOKUP(E854,'NI-Ric_SP'!$C:$AN,13,FALSE)</f>
        <v>0</v>
      </c>
      <c r="S854" s="55"/>
      <c r="T854" s="55"/>
      <c r="U854" s="55">
        <f>VLOOKUP($E854,'NI-Ric_SP'!$C:$AN,MID(U$1,1,2),FALSE)</f>
        <v>0</v>
      </c>
      <c r="V854" s="55">
        <f>VLOOKUP($E854,'NI-Ric_SP'!$C:$AN,MID(V$1,1,2),FALSE)</f>
        <v>0</v>
      </c>
      <c r="W854" s="55">
        <f>VLOOKUP($E854,'NI-Ric_SP'!$C:$AN,MID(W$1,1,2),FALSE)</f>
        <v>0</v>
      </c>
      <c r="X854" s="55">
        <f>VLOOKUP($E854,'NI-Ric_SP'!$C:$AN,MID(X$1,1,2),FALSE)</f>
        <v>0</v>
      </c>
      <c r="Y854" s="55">
        <f>VLOOKUP($E854,'NI-Ric_SP'!$C:$AN,MID(Y$1,1,2),FALSE)</f>
        <v>0</v>
      </c>
      <c r="Z854" s="55">
        <f>VLOOKUP($E854,'NI-Ric_SP'!$C:$AN,MID(Z$1,1,2),FALSE)</f>
        <v>0</v>
      </c>
      <c r="AA854" s="55">
        <f>VLOOKUP($E854,'NI-Ric_SP'!$C:$AN,MID(AA$1,1,2),FALSE)</f>
        <v>0</v>
      </c>
      <c r="AB854" s="55">
        <f>VLOOKUP($E854,'NI-Ric_SP'!$C:$AN,MID(AB$1,1,2),FALSE)</f>
        <v>0</v>
      </c>
      <c r="AC854" s="55">
        <f>VLOOKUP($E854,'NI-Ric_SP'!$C:$AN,MID(AC$1,1,2),FALSE)</f>
        <v>0</v>
      </c>
      <c r="AD854" s="55">
        <f>VLOOKUP($E854,'NI-Ric_SP'!$C:$AN,MID(AD$1,1,2),FALSE)</f>
        <v>0</v>
      </c>
      <c r="AE854" s="55">
        <f>VLOOKUP($E854,'NI-Ric_SP'!$C:$AN,MID(AE$1,1,2),FALSE)</f>
        <v>0</v>
      </c>
      <c r="AF854" s="55">
        <f>VLOOKUP($E854,'NI-Ric_SP'!$C:$AN,MID(AF$1,1,2),FALSE)</f>
        <v>0</v>
      </c>
      <c r="AG854" s="55">
        <f>VLOOKUP($E854,'NI-Ric_SP'!$C:$AN,MID(AG$1,1,2),FALSE)</f>
        <v>0</v>
      </c>
      <c r="AH854" s="55">
        <f>VLOOKUP($E854,'NI-Ric_SP'!$C:$AN,MID(AH$1,1,2),FALSE)</f>
        <v>0</v>
      </c>
      <c r="AI854" s="55">
        <f>VLOOKUP($E854,'NI-Ric_SP'!$C:$AN,MID(AI$1,1,2),FALSE)</f>
        <v>0</v>
      </c>
      <c r="AJ854" s="55">
        <f>VLOOKUP($E854,'NI-Ric_SP'!$C:$AN,MID(AJ$1,1,2),FALSE)</f>
        <v>0</v>
      </c>
      <c r="AK854" s="55">
        <f>VLOOKUP($E854,'NI-Ric_SP'!$C:$AN,MID(AK$1,1,2),FALSE)</f>
        <v>0</v>
      </c>
      <c r="AL854" s="55">
        <f>VLOOKUP($E854,'NI-Ric_SP'!$C:$AN,MID(AL$1,1,2),FALSE)</f>
        <v>0</v>
      </c>
      <c r="AM854" s="56">
        <f>VLOOKUP($E854,'NI-Ric_SP'!$C:$AN,MID(AM$1,1,2),FALSE)</f>
        <v>0</v>
      </c>
      <c r="AN854" s="30" t="str">
        <f t="shared" si="13"/>
        <v>10202020020000</v>
      </c>
    </row>
    <row r="855" spans="3:40" x14ac:dyDescent="0.25">
      <c r="C855" s="40"/>
      <c r="D855" s="101" t="s">
        <v>546</v>
      </c>
      <c r="E855" s="101" t="s">
        <v>547</v>
      </c>
      <c r="F855" s="102" t="s">
        <v>2750</v>
      </c>
      <c r="G855" s="52"/>
      <c r="H855" s="52"/>
      <c r="I855" s="52"/>
      <c r="J855" s="52"/>
      <c r="K855" s="59" t="s">
        <v>79</v>
      </c>
      <c r="L855" s="52"/>
      <c r="M855" s="52"/>
      <c r="N855" s="52"/>
      <c r="O855" s="52"/>
      <c r="P855" s="76" t="s">
        <v>548</v>
      </c>
      <c r="Q855" s="55">
        <f>VLOOKUP(E855,'NI-Ric_SP'!$C:$AN,12,FALSE)</f>
        <v>0</v>
      </c>
      <c r="R855" s="55">
        <f>VLOOKUP(E855,'NI-Ric_SP'!$C:$AN,13,FALSE)</f>
        <v>0</v>
      </c>
      <c r="S855" s="55"/>
      <c r="T855" s="55"/>
      <c r="U855" s="55">
        <f>VLOOKUP($E855,'NI-Ric_SP'!$C:$AN,MID(U$1,1,2),FALSE)</f>
        <v>0</v>
      </c>
      <c r="V855" s="55">
        <f>VLOOKUP($E855,'NI-Ric_SP'!$C:$AN,MID(V$1,1,2),FALSE)</f>
        <v>0</v>
      </c>
      <c r="W855" s="55">
        <f>VLOOKUP($E855,'NI-Ric_SP'!$C:$AN,MID(W$1,1,2),FALSE)</f>
        <v>0</v>
      </c>
      <c r="X855" s="55">
        <f>VLOOKUP($E855,'NI-Ric_SP'!$C:$AN,MID(X$1,1,2),FALSE)</f>
        <v>0</v>
      </c>
      <c r="Y855" s="55">
        <f>VLOOKUP($E855,'NI-Ric_SP'!$C:$AN,MID(Y$1,1,2),FALSE)</f>
        <v>0</v>
      </c>
      <c r="Z855" s="55">
        <f>VLOOKUP($E855,'NI-Ric_SP'!$C:$AN,MID(Z$1,1,2),FALSE)</f>
        <v>0</v>
      </c>
      <c r="AA855" s="55">
        <f>VLOOKUP($E855,'NI-Ric_SP'!$C:$AN,MID(AA$1,1,2),FALSE)</f>
        <v>0</v>
      </c>
      <c r="AB855" s="55">
        <f>VLOOKUP($E855,'NI-Ric_SP'!$C:$AN,MID(AB$1,1,2),FALSE)</f>
        <v>0</v>
      </c>
      <c r="AC855" s="55">
        <f>VLOOKUP($E855,'NI-Ric_SP'!$C:$AN,MID(AC$1,1,2),FALSE)</f>
        <v>0</v>
      </c>
      <c r="AD855" s="55">
        <f>VLOOKUP($E855,'NI-Ric_SP'!$C:$AN,MID(AD$1,1,2),FALSE)</f>
        <v>0</v>
      </c>
      <c r="AE855" s="55">
        <f>VLOOKUP($E855,'NI-Ric_SP'!$C:$AN,MID(AE$1,1,2),FALSE)</f>
        <v>0</v>
      </c>
      <c r="AF855" s="55">
        <f>VLOOKUP($E855,'NI-Ric_SP'!$C:$AN,MID(AF$1,1,2),FALSE)</f>
        <v>0</v>
      </c>
      <c r="AG855" s="55">
        <f>VLOOKUP($E855,'NI-Ric_SP'!$C:$AN,MID(AG$1,1,2),FALSE)</f>
        <v>0</v>
      </c>
      <c r="AH855" s="55">
        <f>VLOOKUP($E855,'NI-Ric_SP'!$C:$AN,MID(AH$1,1,2),FALSE)</f>
        <v>0</v>
      </c>
      <c r="AI855" s="55">
        <f>VLOOKUP($E855,'NI-Ric_SP'!$C:$AN,MID(AI$1,1,2),FALSE)</f>
        <v>0</v>
      </c>
      <c r="AJ855" s="55">
        <f>VLOOKUP($E855,'NI-Ric_SP'!$C:$AN,MID(AJ$1,1,2),FALSE)</f>
        <v>0</v>
      </c>
      <c r="AK855" s="55">
        <f>VLOOKUP($E855,'NI-Ric_SP'!$C:$AN,MID(AK$1,1,2),FALSE)</f>
        <v>0</v>
      </c>
      <c r="AL855" s="55">
        <f>VLOOKUP($E855,'NI-Ric_SP'!$C:$AN,MID(AL$1,1,2),FALSE)</f>
        <v>0</v>
      </c>
      <c r="AM855" s="56">
        <f>VLOOKUP($E855,'NI-Ric_SP'!$C:$AN,MID(AM$1,1,2),FALSE)</f>
        <v>0</v>
      </c>
      <c r="AN855" s="30" t="str">
        <f t="shared" si="13"/>
        <v>10202020020010</v>
      </c>
    </row>
    <row r="856" spans="3:40" x14ac:dyDescent="0.25">
      <c r="C856" s="40"/>
      <c r="D856" s="101" t="s">
        <v>549</v>
      </c>
      <c r="E856" s="101" t="s">
        <v>550</v>
      </c>
      <c r="F856" s="102" t="s">
        <v>2750</v>
      </c>
      <c r="G856" s="52"/>
      <c r="H856" s="52"/>
      <c r="I856" s="52"/>
      <c r="J856" s="52"/>
      <c r="K856" s="59" t="s">
        <v>79</v>
      </c>
      <c r="L856" s="52"/>
      <c r="M856" s="52"/>
      <c r="N856" s="52"/>
      <c r="O856" s="52"/>
      <c r="P856" s="76" t="s">
        <v>551</v>
      </c>
      <c r="Q856" s="55">
        <f>VLOOKUP(E856,'NI-Ric_SP'!$C:$AN,12,FALSE)</f>
        <v>0</v>
      </c>
      <c r="R856" s="55">
        <f>VLOOKUP(E856,'NI-Ric_SP'!$C:$AN,13,FALSE)</f>
        <v>0</v>
      </c>
      <c r="S856" s="55"/>
      <c r="T856" s="55"/>
      <c r="U856" s="55">
        <f>VLOOKUP($E856,'NI-Ric_SP'!$C:$AN,MID(U$1,1,2),FALSE)</f>
        <v>0</v>
      </c>
      <c r="V856" s="55">
        <f>VLOOKUP($E856,'NI-Ric_SP'!$C:$AN,MID(V$1,1,2),FALSE)</f>
        <v>0</v>
      </c>
      <c r="W856" s="55">
        <f>VLOOKUP($E856,'NI-Ric_SP'!$C:$AN,MID(W$1,1,2),FALSE)</f>
        <v>0</v>
      </c>
      <c r="X856" s="55">
        <f>VLOOKUP($E856,'NI-Ric_SP'!$C:$AN,MID(X$1,1,2),FALSE)</f>
        <v>0</v>
      </c>
      <c r="Y856" s="55">
        <f>VLOOKUP($E856,'NI-Ric_SP'!$C:$AN,MID(Y$1,1,2),FALSE)</f>
        <v>0</v>
      </c>
      <c r="Z856" s="55">
        <f>VLOOKUP($E856,'NI-Ric_SP'!$C:$AN,MID(Z$1,1,2),FALSE)</f>
        <v>0</v>
      </c>
      <c r="AA856" s="55">
        <f>VLOOKUP($E856,'NI-Ric_SP'!$C:$AN,MID(AA$1,1,2),FALSE)</f>
        <v>0</v>
      </c>
      <c r="AB856" s="55">
        <f>VLOOKUP($E856,'NI-Ric_SP'!$C:$AN,MID(AB$1,1,2),FALSE)</f>
        <v>0</v>
      </c>
      <c r="AC856" s="55">
        <f>VLOOKUP($E856,'NI-Ric_SP'!$C:$AN,MID(AC$1,1,2),FALSE)</f>
        <v>0</v>
      </c>
      <c r="AD856" s="55">
        <f>VLOOKUP($E856,'NI-Ric_SP'!$C:$AN,MID(AD$1,1,2),FALSE)</f>
        <v>0</v>
      </c>
      <c r="AE856" s="55">
        <f>VLOOKUP($E856,'NI-Ric_SP'!$C:$AN,MID(AE$1,1,2),FALSE)</f>
        <v>0</v>
      </c>
      <c r="AF856" s="55">
        <f>VLOOKUP($E856,'NI-Ric_SP'!$C:$AN,MID(AF$1,1,2),FALSE)</f>
        <v>0</v>
      </c>
      <c r="AG856" s="55">
        <f>VLOOKUP($E856,'NI-Ric_SP'!$C:$AN,MID(AG$1,1,2),FALSE)</f>
        <v>0</v>
      </c>
      <c r="AH856" s="55">
        <f>VLOOKUP($E856,'NI-Ric_SP'!$C:$AN,MID(AH$1,1,2),FALSE)</f>
        <v>0</v>
      </c>
      <c r="AI856" s="55">
        <f>VLOOKUP($E856,'NI-Ric_SP'!$C:$AN,MID(AI$1,1,2),FALSE)</f>
        <v>0</v>
      </c>
      <c r="AJ856" s="55">
        <f>VLOOKUP($E856,'NI-Ric_SP'!$C:$AN,MID(AJ$1,1,2),FALSE)</f>
        <v>0</v>
      </c>
      <c r="AK856" s="55">
        <f>VLOOKUP($E856,'NI-Ric_SP'!$C:$AN,MID(AK$1,1,2),FALSE)</f>
        <v>0</v>
      </c>
      <c r="AL856" s="55">
        <f>VLOOKUP($E856,'NI-Ric_SP'!$C:$AN,MID(AL$1,1,2),FALSE)</f>
        <v>0</v>
      </c>
      <c r="AM856" s="56">
        <f>VLOOKUP($E856,'NI-Ric_SP'!$C:$AN,MID(AM$1,1,2),FALSE)</f>
        <v>0</v>
      </c>
      <c r="AN856" s="30" t="str">
        <f t="shared" si="13"/>
        <v>10202020020020</v>
      </c>
    </row>
    <row r="857" spans="3:40" x14ac:dyDescent="0.25">
      <c r="C857" s="40"/>
      <c r="D857" s="101" t="s">
        <v>552</v>
      </c>
      <c r="E857" s="101" t="s">
        <v>553</v>
      </c>
      <c r="F857" s="102" t="s">
        <v>2750</v>
      </c>
      <c r="G857" s="52"/>
      <c r="H857" s="52"/>
      <c r="I857" s="52"/>
      <c r="J857" s="52"/>
      <c r="K857" s="59" t="s">
        <v>79</v>
      </c>
      <c r="L857" s="52"/>
      <c r="M857" s="52"/>
      <c r="N857" s="52"/>
      <c r="O857" s="52"/>
      <c r="P857" s="76" t="s">
        <v>554</v>
      </c>
      <c r="Q857" s="55">
        <f>VLOOKUP(E857,'NI-Ric_SP'!$C:$AN,12,FALSE)</f>
        <v>0</v>
      </c>
      <c r="R857" s="55">
        <f>VLOOKUP(E857,'NI-Ric_SP'!$C:$AN,13,FALSE)</f>
        <v>0</v>
      </c>
      <c r="S857" s="55"/>
      <c r="T857" s="55"/>
      <c r="U857" s="55">
        <f>VLOOKUP($E857,'NI-Ric_SP'!$C:$AN,MID(U$1,1,2),FALSE)</f>
        <v>0</v>
      </c>
      <c r="V857" s="55">
        <f>VLOOKUP($E857,'NI-Ric_SP'!$C:$AN,MID(V$1,1,2),FALSE)</f>
        <v>0</v>
      </c>
      <c r="W857" s="55">
        <f>VLOOKUP($E857,'NI-Ric_SP'!$C:$AN,MID(W$1,1,2),FALSE)</f>
        <v>0</v>
      </c>
      <c r="X857" s="55">
        <f>VLOOKUP($E857,'NI-Ric_SP'!$C:$AN,MID(X$1,1,2),FALSE)</f>
        <v>0</v>
      </c>
      <c r="Y857" s="55">
        <f>VLOOKUP($E857,'NI-Ric_SP'!$C:$AN,MID(Y$1,1,2),FALSE)</f>
        <v>0</v>
      </c>
      <c r="Z857" s="55">
        <f>VLOOKUP($E857,'NI-Ric_SP'!$C:$AN,MID(Z$1,1,2),FALSE)</f>
        <v>0</v>
      </c>
      <c r="AA857" s="55">
        <f>VLOOKUP($E857,'NI-Ric_SP'!$C:$AN,MID(AA$1,1,2),FALSE)</f>
        <v>0</v>
      </c>
      <c r="AB857" s="55">
        <f>VLOOKUP($E857,'NI-Ric_SP'!$C:$AN,MID(AB$1,1,2),FALSE)</f>
        <v>0</v>
      </c>
      <c r="AC857" s="55">
        <f>VLOOKUP($E857,'NI-Ric_SP'!$C:$AN,MID(AC$1,1,2),FALSE)</f>
        <v>0</v>
      </c>
      <c r="AD857" s="55">
        <f>VLOOKUP($E857,'NI-Ric_SP'!$C:$AN,MID(AD$1,1,2),FALSE)</f>
        <v>0</v>
      </c>
      <c r="AE857" s="55">
        <f>VLOOKUP($E857,'NI-Ric_SP'!$C:$AN,MID(AE$1,1,2),FALSE)</f>
        <v>0</v>
      </c>
      <c r="AF857" s="55">
        <f>VLOOKUP($E857,'NI-Ric_SP'!$C:$AN,MID(AF$1,1,2),FALSE)</f>
        <v>0</v>
      </c>
      <c r="AG857" s="55">
        <f>VLOOKUP($E857,'NI-Ric_SP'!$C:$AN,MID(AG$1,1,2),FALSE)</f>
        <v>0</v>
      </c>
      <c r="AH857" s="55">
        <f>VLOOKUP($E857,'NI-Ric_SP'!$C:$AN,MID(AH$1,1,2),FALSE)</f>
        <v>0</v>
      </c>
      <c r="AI857" s="55">
        <f>VLOOKUP($E857,'NI-Ric_SP'!$C:$AN,MID(AI$1,1,2),FALSE)</f>
        <v>0</v>
      </c>
      <c r="AJ857" s="55">
        <f>VLOOKUP($E857,'NI-Ric_SP'!$C:$AN,MID(AJ$1,1,2),FALSE)</f>
        <v>0</v>
      </c>
      <c r="AK857" s="55">
        <f>VLOOKUP($E857,'NI-Ric_SP'!$C:$AN,MID(AK$1,1,2),FALSE)</f>
        <v>0</v>
      </c>
      <c r="AL857" s="55">
        <f>VLOOKUP($E857,'NI-Ric_SP'!$C:$AN,MID(AL$1,1,2),FALSE)</f>
        <v>0</v>
      </c>
      <c r="AM857" s="56">
        <f>VLOOKUP($E857,'NI-Ric_SP'!$C:$AN,MID(AM$1,1,2),FALSE)</f>
        <v>0</v>
      </c>
      <c r="AN857" s="30" t="str">
        <f t="shared" si="13"/>
        <v>10202020020030</v>
      </c>
    </row>
    <row r="858" spans="3:40" x14ac:dyDescent="0.25">
      <c r="C858" s="40"/>
      <c r="D858" s="101" t="s">
        <v>555</v>
      </c>
      <c r="E858" s="101" t="s">
        <v>556</v>
      </c>
      <c r="F858" s="102" t="s">
        <v>2750</v>
      </c>
      <c r="G858" s="52"/>
      <c r="H858" s="52"/>
      <c r="I858" s="52"/>
      <c r="J858" s="52"/>
      <c r="K858" s="59" t="s">
        <v>79</v>
      </c>
      <c r="L858" s="52"/>
      <c r="M858" s="52"/>
      <c r="N858" s="52"/>
      <c r="O858" s="52"/>
      <c r="P858" s="76" t="s">
        <v>557</v>
      </c>
      <c r="Q858" s="55">
        <f>VLOOKUP(E858,'NI-Ric_SP'!$C:$AN,12,FALSE)</f>
        <v>0</v>
      </c>
      <c r="R858" s="55">
        <f>VLOOKUP(E858,'NI-Ric_SP'!$C:$AN,13,FALSE)</f>
        <v>0</v>
      </c>
      <c r="S858" s="55"/>
      <c r="T858" s="55"/>
      <c r="U858" s="55">
        <f>VLOOKUP($E858,'NI-Ric_SP'!$C:$AN,MID(U$1,1,2),FALSE)</f>
        <v>0</v>
      </c>
      <c r="V858" s="55">
        <f>VLOOKUP($E858,'NI-Ric_SP'!$C:$AN,MID(V$1,1,2),FALSE)</f>
        <v>0</v>
      </c>
      <c r="W858" s="55">
        <f>VLOOKUP($E858,'NI-Ric_SP'!$C:$AN,MID(W$1,1,2),FALSE)</f>
        <v>0</v>
      </c>
      <c r="X858" s="55">
        <f>VLOOKUP($E858,'NI-Ric_SP'!$C:$AN,MID(X$1,1,2),FALSE)</f>
        <v>0</v>
      </c>
      <c r="Y858" s="55">
        <f>VLOOKUP($E858,'NI-Ric_SP'!$C:$AN,MID(Y$1,1,2),FALSE)</f>
        <v>0</v>
      </c>
      <c r="Z858" s="55">
        <f>VLOOKUP($E858,'NI-Ric_SP'!$C:$AN,MID(Z$1,1,2),FALSE)</f>
        <v>0</v>
      </c>
      <c r="AA858" s="55">
        <f>VLOOKUP($E858,'NI-Ric_SP'!$C:$AN,MID(AA$1,1,2),FALSE)</f>
        <v>0</v>
      </c>
      <c r="AB858" s="55">
        <f>VLOOKUP($E858,'NI-Ric_SP'!$C:$AN,MID(AB$1,1,2),FALSE)</f>
        <v>0</v>
      </c>
      <c r="AC858" s="55">
        <f>VLOOKUP($E858,'NI-Ric_SP'!$C:$AN,MID(AC$1,1,2),FALSE)</f>
        <v>0</v>
      </c>
      <c r="AD858" s="55">
        <f>VLOOKUP($E858,'NI-Ric_SP'!$C:$AN,MID(AD$1,1,2),FALSE)</f>
        <v>0</v>
      </c>
      <c r="AE858" s="55">
        <f>VLOOKUP($E858,'NI-Ric_SP'!$C:$AN,MID(AE$1,1,2),FALSE)</f>
        <v>0</v>
      </c>
      <c r="AF858" s="55">
        <f>VLOOKUP($E858,'NI-Ric_SP'!$C:$AN,MID(AF$1,1,2),FALSE)</f>
        <v>0</v>
      </c>
      <c r="AG858" s="55">
        <f>VLOOKUP($E858,'NI-Ric_SP'!$C:$AN,MID(AG$1,1,2),FALSE)</f>
        <v>0</v>
      </c>
      <c r="AH858" s="55">
        <f>VLOOKUP($E858,'NI-Ric_SP'!$C:$AN,MID(AH$1,1,2),FALSE)</f>
        <v>0</v>
      </c>
      <c r="AI858" s="55">
        <f>VLOOKUP($E858,'NI-Ric_SP'!$C:$AN,MID(AI$1,1,2),FALSE)</f>
        <v>0</v>
      </c>
      <c r="AJ858" s="55">
        <f>VLOOKUP($E858,'NI-Ric_SP'!$C:$AN,MID(AJ$1,1,2),FALSE)</f>
        <v>0</v>
      </c>
      <c r="AK858" s="55">
        <f>VLOOKUP($E858,'NI-Ric_SP'!$C:$AN,MID(AK$1,1,2),FALSE)</f>
        <v>0</v>
      </c>
      <c r="AL858" s="55">
        <f>VLOOKUP($E858,'NI-Ric_SP'!$C:$AN,MID(AL$1,1,2),FALSE)</f>
        <v>0</v>
      </c>
      <c r="AM858" s="56">
        <f>VLOOKUP($E858,'NI-Ric_SP'!$C:$AN,MID(AM$1,1,2),FALSE)</f>
        <v>0</v>
      </c>
      <c r="AN858" s="30" t="str">
        <f t="shared" si="13"/>
        <v>10202020020040</v>
      </c>
    </row>
    <row r="859" spans="3:40" x14ac:dyDescent="0.25">
      <c r="C859" s="40"/>
      <c r="D859" s="101" t="s">
        <v>558</v>
      </c>
      <c r="E859" s="101" t="s">
        <v>559</v>
      </c>
      <c r="F859" s="102" t="s">
        <v>2750</v>
      </c>
      <c r="G859" s="52"/>
      <c r="H859" s="52"/>
      <c r="I859" s="52"/>
      <c r="J859" s="52"/>
      <c r="K859" s="59" t="s">
        <v>111</v>
      </c>
      <c r="L859" s="52"/>
      <c r="M859" s="52"/>
      <c r="N859" s="52"/>
      <c r="O859" s="61" t="s">
        <v>560</v>
      </c>
      <c r="P859" s="76" t="s">
        <v>561</v>
      </c>
      <c r="Q859" s="55">
        <f>VLOOKUP(E859,'NI-Ric_SP'!$C:$AN,12,FALSE)</f>
        <v>0</v>
      </c>
      <c r="R859" s="55">
        <f>VLOOKUP(E859,'NI-Ric_SP'!$C:$AN,13,FALSE)</f>
        <v>0</v>
      </c>
      <c r="S859" s="55"/>
      <c r="T859" s="55"/>
      <c r="U859" s="55">
        <f>VLOOKUP($E859,'NI-Ric_SP'!$C:$AN,MID(U$1,1,2),FALSE)</f>
        <v>0</v>
      </c>
      <c r="V859" s="55">
        <f>VLOOKUP($E859,'NI-Ric_SP'!$C:$AN,MID(V$1,1,2),FALSE)</f>
        <v>0</v>
      </c>
      <c r="W859" s="55">
        <f>VLOOKUP($E859,'NI-Ric_SP'!$C:$AN,MID(W$1,1,2),FALSE)</f>
        <v>0</v>
      </c>
      <c r="X859" s="55">
        <f>VLOOKUP($E859,'NI-Ric_SP'!$C:$AN,MID(X$1,1,2),FALSE)</f>
        <v>0</v>
      </c>
      <c r="Y859" s="55">
        <f>VLOOKUP($E859,'NI-Ric_SP'!$C:$AN,MID(Y$1,1,2),FALSE)</f>
        <v>0</v>
      </c>
      <c r="Z859" s="55">
        <f>VLOOKUP($E859,'NI-Ric_SP'!$C:$AN,MID(Z$1,1,2),FALSE)</f>
        <v>0</v>
      </c>
      <c r="AA859" s="55">
        <f>VLOOKUP($E859,'NI-Ric_SP'!$C:$AN,MID(AA$1,1,2),FALSE)</f>
        <v>0</v>
      </c>
      <c r="AB859" s="55">
        <f>VLOOKUP($E859,'NI-Ric_SP'!$C:$AN,MID(AB$1,1,2),FALSE)</f>
        <v>0</v>
      </c>
      <c r="AC859" s="55">
        <f>VLOOKUP($E859,'NI-Ric_SP'!$C:$AN,MID(AC$1,1,2),FALSE)</f>
        <v>0</v>
      </c>
      <c r="AD859" s="55">
        <f>VLOOKUP($E859,'NI-Ric_SP'!$C:$AN,MID(AD$1,1,2),FALSE)</f>
        <v>0</v>
      </c>
      <c r="AE859" s="55">
        <f>VLOOKUP($E859,'NI-Ric_SP'!$C:$AN,MID(AE$1,1,2),FALSE)</f>
        <v>0</v>
      </c>
      <c r="AF859" s="55">
        <f>VLOOKUP($E859,'NI-Ric_SP'!$C:$AN,MID(AF$1,1,2),FALSE)</f>
        <v>0</v>
      </c>
      <c r="AG859" s="55">
        <f>VLOOKUP($E859,'NI-Ric_SP'!$C:$AN,MID(AG$1,1,2),FALSE)</f>
        <v>0</v>
      </c>
      <c r="AH859" s="55">
        <f>VLOOKUP($E859,'NI-Ric_SP'!$C:$AN,MID(AH$1,1,2),FALSE)</f>
        <v>0</v>
      </c>
      <c r="AI859" s="55">
        <f>VLOOKUP($E859,'NI-Ric_SP'!$C:$AN,MID(AI$1,1,2),FALSE)</f>
        <v>0</v>
      </c>
      <c r="AJ859" s="55">
        <f>VLOOKUP($E859,'NI-Ric_SP'!$C:$AN,MID(AJ$1,1,2),FALSE)</f>
        <v>0</v>
      </c>
      <c r="AK859" s="55">
        <f>VLOOKUP($E859,'NI-Ric_SP'!$C:$AN,MID(AK$1,1,2),FALSE)</f>
        <v>0</v>
      </c>
      <c r="AL859" s="55">
        <f>VLOOKUP($E859,'NI-Ric_SP'!$C:$AN,MID(AL$1,1,2),FALSE)</f>
        <v>0</v>
      </c>
      <c r="AM859" s="56">
        <f>VLOOKUP($E859,'NI-Ric_SP'!$C:$AN,MID(AM$1,1,2),FALSE)</f>
        <v>0</v>
      </c>
      <c r="AN859" s="30" t="str">
        <f t="shared" si="13"/>
        <v>10203000000000</v>
      </c>
    </row>
    <row r="860" spans="3:40" x14ac:dyDescent="0.25">
      <c r="C860" s="40"/>
      <c r="D860" s="101" t="s">
        <v>562</v>
      </c>
      <c r="E860" s="101" t="s">
        <v>563</v>
      </c>
      <c r="F860" s="102" t="s">
        <v>2750</v>
      </c>
      <c r="G860" s="52"/>
      <c r="H860" s="52"/>
      <c r="I860" s="52" t="s">
        <v>564</v>
      </c>
      <c r="J860" s="52" t="s">
        <v>564</v>
      </c>
      <c r="K860" s="59" t="s">
        <v>111</v>
      </c>
      <c r="L860" s="62" t="s">
        <v>565</v>
      </c>
      <c r="M860" s="52"/>
      <c r="N860" s="52"/>
      <c r="O860" s="52"/>
      <c r="P860" s="76" t="s">
        <v>566</v>
      </c>
      <c r="Q860" s="55">
        <f>VLOOKUP(E860,'NI-Ric_SP'!$C:$AN,12,FALSE)</f>
        <v>0</v>
      </c>
      <c r="R860" s="55">
        <f>VLOOKUP(E860,'NI-Ric_SP'!$C:$AN,13,FALSE)</f>
        <v>0</v>
      </c>
      <c r="S860" s="55"/>
      <c r="T860" s="55"/>
      <c r="U860" s="55">
        <f>VLOOKUP($E860,'NI-Ric_SP'!$C:$AN,MID(U$1,1,2),FALSE)</f>
        <v>0</v>
      </c>
      <c r="V860" s="55">
        <f>VLOOKUP($E860,'NI-Ric_SP'!$C:$AN,MID(V$1,1,2),FALSE)</f>
        <v>0</v>
      </c>
      <c r="W860" s="55">
        <f>VLOOKUP($E860,'NI-Ric_SP'!$C:$AN,MID(W$1,1,2),FALSE)</f>
        <v>0</v>
      </c>
      <c r="X860" s="55">
        <f>VLOOKUP($E860,'NI-Ric_SP'!$C:$AN,MID(X$1,1,2),FALSE)</f>
        <v>0</v>
      </c>
      <c r="Y860" s="55">
        <f>VLOOKUP($E860,'NI-Ric_SP'!$C:$AN,MID(Y$1,1,2),FALSE)</f>
        <v>0</v>
      </c>
      <c r="Z860" s="55">
        <f>VLOOKUP($E860,'NI-Ric_SP'!$C:$AN,MID(Z$1,1,2),FALSE)</f>
        <v>0</v>
      </c>
      <c r="AA860" s="55">
        <f>VLOOKUP($E860,'NI-Ric_SP'!$C:$AN,MID(AA$1,1,2),FALSE)</f>
        <v>0</v>
      </c>
      <c r="AB860" s="55">
        <f>VLOOKUP($E860,'NI-Ric_SP'!$C:$AN,MID(AB$1,1,2),FALSE)</f>
        <v>0</v>
      </c>
      <c r="AC860" s="55">
        <f>VLOOKUP($E860,'NI-Ric_SP'!$C:$AN,MID(AC$1,1,2),FALSE)</f>
        <v>0</v>
      </c>
      <c r="AD860" s="55">
        <f>VLOOKUP($E860,'NI-Ric_SP'!$C:$AN,MID(AD$1,1,2),FALSE)</f>
        <v>0</v>
      </c>
      <c r="AE860" s="55">
        <f>VLOOKUP($E860,'NI-Ric_SP'!$C:$AN,MID(AE$1,1,2),FALSE)</f>
        <v>0</v>
      </c>
      <c r="AF860" s="55">
        <f>VLOOKUP($E860,'NI-Ric_SP'!$C:$AN,MID(AF$1,1,2),FALSE)</f>
        <v>0</v>
      </c>
      <c r="AG860" s="55">
        <f>VLOOKUP($E860,'NI-Ric_SP'!$C:$AN,MID(AG$1,1,2),FALSE)</f>
        <v>0</v>
      </c>
      <c r="AH860" s="55">
        <f>VLOOKUP($E860,'NI-Ric_SP'!$C:$AN,MID(AH$1,1,2),FALSE)</f>
        <v>0</v>
      </c>
      <c r="AI860" s="55">
        <f>VLOOKUP($E860,'NI-Ric_SP'!$C:$AN,MID(AI$1,1,2),FALSE)</f>
        <v>0</v>
      </c>
      <c r="AJ860" s="55">
        <f>VLOOKUP($E860,'NI-Ric_SP'!$C:$AN,MID(AJ$1,1,2),FALSE)</f>
        <v>0</v>
      </c>
      <c r="AK860" s="55">
        <f>VLOOKUP($E860,'NI-Ric_SP'!$C:$AN,MID(AK$1,1,2),FALSE)</f>
        <v>0</v>
      </c>
      <c r="AL860" s="55">
        <f>VLOOKUP($E860,'NI-Ric_SP'!$C:$AN,MID(AL$1,1,2),FALSE)</f>
        <v>0</v>
      </c>
      <c r="AM860" s="56">
        <f>VLOOKUP($E860,'NI-Ric_SP'!$C:$AN,MID(AM$1,1,2),FALSE)</f>
        <v>0</v>
      </c>
      <c r="AN860" s="30" t="str">
        <f t="shared" si="13"/>
        <v>10203010000000</v>
      </c>
    </row>
    <row r="861" spans="3:40" x14ac:dyDescent="0.25">
      <c r="C861" s="40"/>
      <c r="D861" s="101" t="s">
        <v>567</v>
      </c>
      <c r="E861" s="101" t="s">
        <v>568</v>
      </c>
      <c r="F861" s="102" t="s">
        <v>2750</v>
      </c>
      <c r="G861" s="52"/>
      <c r="H861" s="52"/>
      <c r="I861" s="52"/>
      <c r="J861" s="52"/>
      <c r="K861" s="59" t="s">
        <v>79</v>
      </c>
      <c r="L861" s="52"/>
      <c r="M861" s="52"/>
      <c r="N861" s="52"/>
      <c r="O861" s="52"/>
      <c r="P861" s="76" t="s">
        <v>569</v>
      </c>
      <c r="Q861" s="55">
        <f>VLOOKUP(E861,'NI-Ric_SP'!$C:$AN,12,FALSE)</f>
        <v>0</v>
      </c>
      <c r="R861" s="55">
        <f>VLOOKUP(E861,'NI-Ric_SP'!$C:$AN,13,FALSE)</f>
        <v>0</v>
      </c>
      <c r="S861" s="55"/>
      <c r="T861" s="55"/>
      <c r="U861" s="55">
        <f>VLOOKUP($E861,'NI-Ric_SP'!$C:$AN,MID(U$1,1,2),FALSE)</f>
        <v>0</v>
      </c>
      <c r="V861" s="55">
        <f>VLOOKUP($E861,'NI-Ric_SP'!$C:$AN,MID(V$1,1,2),FALSE)</f>
        <v>0</v>
      </c>
      <c r="W861" s="55">
        <f>VLOOKUP($E861,'NI-Ric_SP'!$C:$AN,MID(W$1,1,2),FALSE)</f>
        <v>0</v>
      </c>
      <c r="X861" s="55">
        <f>VLOOKUP($E861,'NI-Ric_SP'!$C:$AN,MID(X$1,1,2),FALSE)</f>
        <v>0</v>
      </c>
      <c r="Y861" s="55">
        <f>VLOOKUP($E861,'NI-Ric_SP'!$C:$AN,MID(Y$1,1,2),FALSE)</f>
        <v>0</v>
      </c>
      <c r="Z861" s="55">
        <f>VLOOKUP($E861,'NI-Ric_SP'!$C:$AN,MID(Z$1,1,2),FALSE)</f>
        <v>0</v>
      </c>
      <c r="AA861" s="55">
        <f>VLOOKUP($E861,'NI-Ric_SP'!$C:$AN,MID(AA$1,1,2),FALSE)</f>
        <v>0</v>
      </c>
      <c r="AB861" s="55">
        <f>VLOOKUP($E861,'NI-Ric_SP'!$C:$AN,MID(AB$1,1,2),FALSE)</f>
        <v>0</v>
      </c>
      <c r="AC861" s="55">
        <f>VLOOKUP($E861,'NI-Ric_SP'!$C:$AN,MID(AC$1,1,2),FALSE)</f>
        <v>0</v>
      </c>
      <c r="AD861" s="55">
        <f>VLOOKUP($E861,'NI-Ric_SP'!$C:$AN,MID(AD$1,1,2),FALSE)</f>
        <v>0</v>
      </c>
      <c r="AE861" s="55">
        <f>VLOOKUP($E861,'NI-Ric_SP'!$C:$AN,MID(AE$1,1,2),FALSE)</f>
        <v>0</v>
      </c>
      <c r="AF861" s="55">
        <f>VLOOKUP($E861,'NI-Ric_SP'!$C:$AN,MID(AF$1,1,2),FALSE)</f>
        <v>0</v>
      </c>
      <c r="AG861" s="55">
        <f>VLOOKUP($E861,'NI-Ric_SP'!$C:$AN,MID(AG$1,1,2),FALSE)</f>
        <v>0</v>
      </c>
      <c r="AH861" s="55">
        <f>VLOOKUP($E861,'NI-Ric_SP'!$C:$AN,MID(AH$1,1,2),FALSE)</f>
        <v>0</v>
      </c>
      <c r="AI861" s="55">
        <f>VLOOKUP($E861,'NI-Ric_SP'!$C:$AN,MID(AI$1,1,2),FALSE)</f>
        <v>0</v>
      </c>
      <c r="AJ861" s="55">
        <f>VLOOKUP($E861,'NI-Ric_SP'!$C:$AN,MID(AJ$1,1,2),FALSE)</f>
        <v>0</v>
      </c>
      <c r="AK861" s="55">
        <f>VLOOKUP($E861,'NI-Ric_SP'!$C:$AN,MID(AK$1,1,2),FALSE)</f>
        <v>0</v>
      </c>
      <c r="AL861" s="55">
        <f>VLOOKUP($E861,'NI-Ric_SP'!$C:$AN,MID(AL$1,1,2),FALSE)</f>
        <v>0</v>
      </c>
      <c r="AM861" s="56">
        <f>VLOOKUP($E861,'NI-Ric_SP'!$C:$AN,MID(AM$1,1,2),FALSE)</f>
        <v>0</v>
      </c>
      <c r="AN861" s="30" t="str">
        <f t="shared" si="13"/>
        <v>10203010010010</v>
      </c>
    </row>
    <row r="862" spans="3:40" x14ac:dyDescent="0.25">
      <c r="C862" s="40"/>
      <c r="D862" s="101" t="s">
        <v>570</v>
      </c>
      <c r="E862" s="101" t="s">
        <v>571</v>
      </c>
      <c r="F862" s="102" t="s">
        <v>2750</v>
      </c>
      <c r="G862" s="52"/>
      <c r="H862" s="52"/>
      <c r="I862" s="52"/>
      <c r="J862" s="52"/>
      <c r="K862" s="59" t="s">
        <v>79</v>
      </c>
      <c r="L862" s="52"/>
      <c r="M862" s="52"/>
      <c r="N862" s="52"/>
      <c r="O862" s="52"/>
      <c r="P862" s="76" t="s">
        <v>572</v>
      </c>
      <c r="Q862" s="55">
        <f>VLOOKUP(E862,'NI-Ric_SP'!$C:$AN,12,FALSE)</f>
        <v>0</v>
      </c>
      <c r="R862" s="55">
        <f>VLOOKUP(E862,'NI-Ric_SP'!$C:$AN,13,FALSE)</f>
        <v>0</v>
      </c>
      <c r="S862" s="55"/>
      <c r="T862" s="55"/>
      <c r="U862" s="55">
        <f>VLOOKUP($E862,'NI-Ric_SP'!$C:$AN,MID(U$1,1,2),FALSE)</f>
        <v>0</v>
      </c>
      <c r="V862" s="55">
        <f>VLOOKUP($E862,'NI-Ric_SP'!$C:$AN,MID(V$1,1,2),FALSE)</f>
        <v>0</v>
      </c>
      <c r="W862" s="55">
        <f>VLOOKUP($E862,'NI-Ric_SP'!$C:$AN,MID(W$1,1,2),FALSE)</f>
        <v>0</v>
      </c>
      <c r="X862" s="55">
        <f>VLOOKUP($E862,'NI-Ric_SP'!$C:$AN,MID(X$1,1,2),FALSE)</f>
        <v>0</v>
      </c>
      <c r="Y862" s="55">
        <f>VLOOKUP($E862,'NI-Ric_SP'!$C:$AN,MID(Y$1,1,2),FALSE)</f>
        <v>0</v>
      </c>
      <c r="Z862" s="55">
        <f>VLOOKUP($E862,'NI-Ric_SP'!$C:$AN,MID(Z$1,1,2),FALSE)</f>
        <v>0</v>
      </c>
      <c r="AA862" s="55">
        <f>VLOOKUP($E862,'NI-Ric_SP'!$C:$AN,MID(AA$1,1,2),FALSE)</f>
        <v>0</v>
      </c>
      <c r="AB862" s="55">
        <f>VLOOKUP($E862,'NI-Ric_SP'!$C:$AN,MID(AB$1,1,2),FALSE)</f>
        <v>0</v>
      </c>
      <c r="AC862" s="55">
        <f>VLOOKUP($E862,'NI-Ric_SP'!$C:$AN,MID(AC$1,1,2),FALSE)</f>
        <v>0</v>
      </c>
      <c r="AD862" s="55">
        <f>VLOOKUP($E862,'NI-Ric_SP'!$C:$AN,MID(AD$1,1,2),FALSE)</f>
        <v>0</v>
      </c>
      <c r="AE862" s="55">
        <f>VLOOKUP($E862,'NI-Ric_SP'!$C:$AN,MID(AE$1,1,2),FALSE)</f>
        <v>0</v>
      </c>
      <c r="AF862" s="55">
        <f>VLOOKUP($E862,'NI-Ric_SP'!$C:$AN,MID(AF$1,1,2),FALSE)</f>
        <v>0</v>
      </c>
      <c r="AG862" s="55">
        <f>VLOOKUP($E862,'NI-Ric_SP'!$C:$AN,MID(AG$1,1,2),FALSE)</f>
        <v>0</v>
      </c>
      <c r="AH862" s="55">
        <f>VLOOKUP($E862,'NI-Ric_SP'!$C:$AN,MID(AH$1,1,2),FALSE)</f>
        <v>0</v>
      </c>
      <c r="AI862" s="55">
        <f>VLOOKUP($E862,'NI-Ric_SP'!$C:$AN,MID(AI$1,1,2),FALSE)</f>
        <v>0</v>
      </c>
      <c r="AJ862" s="55">
        <f>VLOOKUP($E862,'NI-Ric_SP'!$C:$AN,MID(AJ$1,1,2),FALSE)</f>
        <v>0</v>
      </c>
      <c r="AK862" s="55">
        <f>VLOOKUP($E862,'NI-Ric_SP'!$C:$AN,MID(AK$1,1,2),FALSE)</f>
        <v>0</v>
      </c>
      <c r="AL862" s="55">
        <f>VLOOKUP($E862,'NI-Ric_SP'!$C:$AN,MID(AL$1,1,2),FALSE)</f>
        <v>0</v>
      </c>
      <c r="AM862" s="56">
        <f>VLOOKUP($E862,'NI-Ric_SP'!$C:$AN,MID(AM$1,1,2),FALSE)</f>
        <v>0</v>
      </c>
      <c r="AN862" s="30" t="str">
        <f t="shared" si="13"/>
        <v>10203010010020</v>
      </c>
    </row>
    <row r="863" spans="3:40" x14ac:dyDescent="0.25">
      <c r="C863" s="40"/>
      <c r="D863" s="101" t="s">
        <v>573</v>
      </c>
      <c r="E863" s="101" t="s">
        <v>574</v>
      </c>
      <c r="F863" s="102" t="s">
        <v>2750</v>
      </c>
      <c r="G863" s="52"/>
      <c r="H863" s="52"/>
      <c r="I863" s="52"/>
      <c r="J863" s="52"/>
      <c r="K863" s="59" t="s">
        <v>79</v>
      </c>
      <c r="L863" s="52"/>
      <c r="M863" s="52"/>
      <c r="N863" s="52"/>
      <c r="O863" s="52"/>
      <c r="P863" s="76" t="s">
        <v>575</v>
      </c>
      <c r="Q863" s="55">
        <f>VLOOKUP(E863,'NI-Ric_SP'!$C:$AN,12,FALSE)</f>
        <v>0</v>
      </c>
      <c r="R863" s="55">
        <f>VLOOKUP(E863,'NI-Ric_SP'!$C:$AN,13,FALSE)</f>
        <v>0</v>
      </c>
      <c r="S863" s="55"/>
      <c r="T863" s="55"/>
      <c r="U863" s="55">
        <f>VLOOKUP($E863,'NI-Ric_SP'!$C:$AN,MID(U$1,1,2),FALSE)</f>
        <v>0</v>
      </c>
      <c r="V863" s="55">
        <f>VLOOKUP($E863,'NI-Ric_SP'!$C:$AN,MID(V$1,1,2),FALSE)</f>
        <v>0</v>
      </c>
      <c r="W863" s="55">
        <f>VLOOKUP($E863,'NI-Ric_SP'!$C:$AN,MID(W$1,1,2),FALSE)</f>
        <v>0</v>
      </c>
      <c r="X863" s="55">
        <f>VLOOKUP($E863,'NI-Ric_SP'!$C:$AN,MID(X$1,1,2),FALSE)</f>
        <v>0</v>
      </c>
      <c r="Y863" s="55">
        <f>VLOOKUP($E863,'NI-Ric_SP'!$C:$AN,MID(Y$1,1,2),FALSE)</f>
        <v>0</v>
      </c>
      <c r="Z863" s="55">
        <f>VLOOKUP($E863,'NI-Ric_SP'!$C:$AN,MID(Z$1,1,2),FALSE)</f>
        <v>0</v>
      </c>
      <c r="AA863" s="55">
        <f>VLOOKUP($E863,'NI-Ric_SP'!$C:$AN,MID(AA$1,1,2),FALSE)</f>
        <v>0</v>
      </c>
      <c r="AB863" s="55">
        <f>VLOOKUP($E863,'NI-Ric_SP'!$C:$AN,MID(AB$1,1,2),FALSE)</f>
        <v>0</v>
      </c>
      <c r="AC863" s="55">
        <f>VLOOKUP($E863,'NI-Ric_SP'!$C:$AN,MID(AC$1,1,2),FALSE)</f>
        <v>0</v>
      </c>
      <c r="AD863" s="55">
        <f>VLOOKUP($E863,'NI-Ric_SP'!$C:$AN,MID(AD$1,1,2),FALSE)</f>
        <v>0</v>
      </c>
      <c r="AE863" s="55">
        <f>VLOOKUP($E863,'NI-Ric_SP'!$C:$AN,MID(AE$1,1,2),FALSE)</f>
        <v>0</v>
      </c>
      <c r="AF863" s="55">
        <f>VLOOKUP($E863,'NI-Ric_SP'!$C:$AN,MID(AF$1,1,2),FALSE)</f>
        <v>0</v>
      </c>
      <c r="AG863" s="55">
        <f>VLOOKUP($E863,'NI-Ric_SP'!$C:$AN,MID(AG$1,1,2),FALSE)</f>
        <v>0</v>
      </c>
      <c r="AH863" s="55">
        <f>VLOOKUP($E863,'NI-Ric_SP'!$C:$AN,MID(AH$1,1,2),FALSE)</f>
        <v>0</v>
      </c>
      <c r="AI863" s="55">
        <f>VLOOKUP($E863,'NI-Ric_SP'!$C:$AN,MID(AI$1,1,2),FALSE)</f>
        <v>0</v>
      </c>
      <c r="AJ863" s="55">
        <f>VLOOKUP($E863,'NI-Ric_SP'!$C:$AN,MID(AJ$1,1,2),FALSE)</f>
        <v>0</v>
      </c>
      <c r="AK863" s="55">
        <f>VLOOKUP($E863,'NI-Ric_SP'!$C:$AN,MID(AK$1,1,2),FALSE)</f>
        <v>0</v>
      </c>
      <c r="AL863" s="55">
        <f>VLOOKUP($E863,'NI-Ric_SP'!$C:$AN,MID(AL$1,1,2),FALSE)</f>
        <v>0</v>
      </c>
      <c r="AM863" s="56">
        <f>VLOOKUP($E863,'NI-Ric_SP'!$C:$AN,MID(AM$1,1,2),FALSE)</f>
        <v>0</v>
      </c>
      <c r="AN863" s="30" t="str">
        <f t="shared" si="13"/>
        <v>10203010020010</v>
      </c>
    </row>
    <row r="864" spans="3:40" x14ac:dyDescent="0.25">
      <c r="C864" s="40"/>
      <c r="D864" s="101" t="s">
        <v>576</v>
      </c>
      <c r="E864" s="101" t="s">
        <v>577</v>
      </c>
      <c r="F864" s="102" t="s">
        <v>2750</v>
      </c>
      <c r="G864" s="52"/>
      <c r="H864" s="52"/>
      <c r="I864" s="52"/>
      <c r="J864" s="52"/>
      <c r="K864" s="59" t="s">
        <v>79</v>
      </c>
      <c r="L864" s="52"/>
      <c r="M864" s="52"/>
      <c r="N864" s="52"/>
      <c r="O864" s="52"/>
      <c r="P864" s="76" t="s">
        <v>578</v>
      </c>
      <c r="Q864" s="55">
        <f>VLOOKUP(E864,'NI-Ric_SP'!$C:$AN,12,FALSE)</f>
        <v>0</v>
      </c>
      <c r="R864" s="55">
        <f>VLOOKUP(E864,'NI-Ric_SP'!$C:$AN,13,FALSE)</f>
        <v>0</v>
      </c>
      <c r="S864" s="55"/>
      <c r="T864" s="55"/>
      <c r="U864" s="55">
        <f>VLOOKUP($E864,'NI-Ric_SP'!$C:$AN,MID(U$1,1,2),FALSE)</f>
        <v>0</v>
      </c>
      <c r="V864" s="55">
        <f>VLOOKUP($E864,'NI-Ric_SP'!$C:$AN,MID(V$1,1,2),FALSE)</f>
        <v>0</v>
      </c>
      <c r="W864" s="55">
        <f>VLOOKUP($E864,'NI-Ric_SP'!$C:$AN,MID(W$1,1,2),FALSE)</f>
        <v>0</v>
      </c>
      <c r="X864" s="55">
        <f>VLOOKUP($E864,'NI-Ric_SP'!$C:$AN,MID(X$1,1,2),FALSE)</f>
        <v>0</v>
      </c>
      <c r="Y864" s="55">
        <f>VLOOKUP($E864,'NI-Ric_SP'!$C:$AN,MID(Y$1,1,2),FALSE)</f>
        <v>0</v>
      </c>
      <c r="Z864" s="55">
        <f>VLOOKUP($E864,'NI-Ric_SP'!$C:$AN,MID(Z$1,1,2),FALSE)</f>
        <v>0</v>
      </c>
      <c r="AA864" s="55">
        <f>VLOOKUP($E864,'NI-Ric_SP'!$C:$AN,MID(AA$1,1,2),FALSE)</f>
        <v>0</v>
      </c>
      <c r="AB864" s="55">
        <f>VLOOKUP($E864,'NI-Ric_SP'!$C:$AN,MID(AB$1,1,2),FALSE)</f>
        <v>0</v>
      </c>
      <c r="AC864" s="55">
        <f>VLOOKUP($E864,'NI-Ric_SP'!$C:$AN,MID(AC$1,1,2),FALSE)</f>
        <v>0</v>
      </c>
      <c r="AD864" s="55">
        <f>VLOOKUP($E864,'NI-Ric_SP'!$C:$AN,MID(AD$1,1,2),FALSE)</f>
        <v>0</v>
      </c>
      <c r="AE864" s="55">
        <f>VLOOKUP($E864,'NI-Ric_SP'!$C:$AN,MID(AE$1,1,2),FALSE)</f>
        <v>0</v>
      </c>
      <c r="AF864" s="55">
        <f>VLOOKUP($E864,'NI-Ric_SP'!$C:$AN,MID(AF$1,1,2),FALSE)</f>
        <v>0</v>
      </c>
      <c r="AG864" s="55">
        <f>VLOOKUP($E864,'NI-Ric_SP'!$C:$AN,MID(AG$1,1,2),FALSE)</f>
        <v>0</v>
      </c>
      <c r="AH864" s="55">
        <f>VLOOKUP($E864,'NI-Ric_SP'!$C:$AN,MID(AH$1,1,2),FALSE)</f>
        <v>0</v>
      </c>
      <c r="AI864" s="55">
        <f>VLOOKUP($E864,'NI-Ric_SP'!$C:$AN,MID(AI$1,1,2),FALSE)</f>
        <v>0</v>
      </c>
      <c r="AJ864" s="55">
        <f>VLOOKUP($E864,'NI-Ric_SP'!$C:$AN,MID(AJ$1,1,2),FALSE)</f>
        <v>0</v>
      </c>
      <c r="AK864" s="55">
        <f>VLOOKUP($E864,'NI-Ric_SP'!$C:$AN,MID(AK$1,1,2),FALSE)</f>
        <v>0</v>
      </c>
      <c r="AL864" s="55">
        <f>VLOOKUP($E864,'NI-Ric_SP'!$C:$AN,MID(AL$1,1,2),FALSE)</f>
        <v>0</v>
      </c>
      <c r="AM864" s="56">
        <f>VLOOKUP($E864,'NI-Ric_SP'!$C:$AN,MID(AM$1,1,2),FALSE)</f>
        <v>0</v>
      </c>
      <c r="AN864" s="30" t="str">
        <f t="shared" si="13"/>
        <v>10203010020020</v>
      </c>
    </row>
    <row r="865" spans="3:40" x14ac:dyDescent="0.25">
      <c r="C865" s="40"/>
      <c r="D865" s="101" t="s">
        <v>579</v>
      </c>
      <c r="E865" s="101" t="s">
        <v>580</v>
      </c>
      <c r="F865" s="102" t="s">
        <v>2750</v>
      </c>
      <c r="G865" s="52"/>
      <c r="H865" s="52"/>
      <c r="I865" s="52"/>
      <c r="J865" s="52"/>
      <c r="K865" s="59" t="s">
        <v>79</v>
      </c>
      <c r="L865" s="52"/>
      <c r="M865" s="52"/>
      <c r="N865" s="52"/>
      <c r="O865" s="52"/>
      <c r="P865" s="76" t="s">
        <v>581</v>
      </c>
      <c r="Q865" s="55">
        <f>VLOOKUP(E865,'NI-Ric_SP'!$C:$AN,12,FALSE)</f>
        <v>0</v>
      </c>
      <c r="R865" s="55">
        <f>VLOOKUP(E865,'NI-Ric_SP'!$C:$AN,13,FALSE)</f>
        <v>0</v>
      </c>
      <c r="S865" s="55"/>
      <c r="T865" s="55"/>
      <c r="U865" s="55">
        <f>VLOOKUP($E865,'NI-Ric_SP'!$C:$AN,MID(U$1,1,2),FALSE)</f>
        <v>0</v>
      </c>
      <c r="V865" s="55">
        <f>VLOOKUP($E865,'NI-Ric_SP'!$C:$AN,MID(V$1,1,2),FALSE)</f>
        <v>0</v>
      </c>
      <c r="W865" s="55">
        <f>VLOOKUP($E865,'NI-Ric_SP'!$C:$AN,MID(W$1,1,2),FALSE)</f>
        <v>0</v>
      </c>
      <c r="X865" s="55">
        <f>VLOOKUP($E865,'NI-Ric_SP'!$C:$AN,MID(X$1,1,2),FALSE)</f>
        <v>0</v>
      </c>
      <c r="Y865" s="55">
        <f>VLOOKUP($E865,'NI-Ric_SP'!$C:$AN,MID(Y$1,1,2),FALSE)</f>
        <v>0</v>
      </c>
      <c r="Z865" s="55">
        <f>VLOOKUP($E865,'NI-Ric_SP'!$C:$AN,MID(Z$1,1,2),FALSE)</f>
        <v>0</v>
      </c>
      <c r="AA865" s="55">
        <f>VLOOKUP($E865,'NI-Ric_SP'!$C:$AN,MID(AA$1,1,2),FALSE)</f>
        <v>0</v>
      </c>
      <c r="AB865" s="55">
        <f>VLOOKUP($E865,'NI-Ric_SP'!$C:$AN,MID(AB$1,1,2),FALSE)</f>
        <v>0</v>
      </c>
      <c r="AC865" s="55">
        <f>VLOOKUP($E865,'NI-Ric_SP'!$C:$AN,MID(AC$1,1,2),FALSE)</f>
        <v>0</v>
      </c>
      <c r="AD865" s="55">
        <f>VLOOKUP($E865,'NI-Ric_SP'!$C:$AN,MID(AD$1,1,2),FALSE)</f>
        <v>0</v>
      </c>
      <c r="AE865" s="55">
        <f>VLOOKUP($E865,'NI-Ric_SP'!$C:$AN,MID(AE$1,1,2),FALSE)</f>
        <v>0</v>
      </c>
      <c r="AF865" s="55">
        <f>VLOOKUP($E865,'NI-Ric_SP'!$C:$AN,MID(AF$1,1,2),FALSE)</f>
        <v>0</v>
      </c>
      <c r="AG865" s="55">
        <f>VLOOKUP($E865,'NI-Ric_SP'!$C:$AN,MID(AG$1,1,2),FALSE)</f>
        <v>0</v>
      </c>
      <c r="AH865" s="55">
        <f>VLOOKUP($E865,'NI-Ric_SP'!$C:$AN,MID(AH$1,1,2),FALSE)</f>
        <v>0</v>
      </c>
      <c r="AI865" s="55">
        <f>VLOOKUP($E865,'NI-Ric_SP'!$C:$AN,MID(AI$1,1,2),FALSE)</f>
        <v>0</v>
      </c>
      <c r="AJ865" s="55">
        <f>VLOOKUP($E865,'NI-Ric_SP'!$C:$AN,MID(AJ$1,1,2),FALSE)</f>
        <v>0</v>
      </c>
      <c r="AK865" s="55">
        <f>VLOOKUP($E865,'NI-Ric_SP'!$C:$AN,MID(AK$1,1,2),FALSE)</f>
        <v>0</v>
      </c>
      <c r="AL865" s="55">
        <f>VLOOKUP($E865,'NI-Ric_SP'!$C:$AN,MID(AL$1,1,2),FALSE)</f>
        <v>0</v>
      </c>
      <c r="AM865" s="56">
        <f>VLOOKUP($E865,'NI-Ric_SP'!$C:$AN,MID(AM$1,1,2),FALSE)</f>
        <v>0</v>
      </c>
      <c r="AN865" s="30" t="str">
        <f t="shared" si="13"/>
        <v>10203010030010</v>
      </c>
    </row>
    <row r="866" spans="3:40" x14ac:dyDescent="0.25">
      <c r="C866" s="40"/>
      <c r="D866" s="101" t="s">
        <v>582</v>
      </c>
      <c r="E866" s="101" t="s">
        <v>583</v>
      </c>
      <c r="F866" s="102" t="s">
        <v>2750</v>
      </c>
      <c r="G866" s="52"/>
      <c r="H866" s="52"/>
      <c r="I866" s="52"/>
      <c r="J866" s="52"/>
      <c r="K866" s="59" t="s">
        <v>79</v>
      </c>
      <c r="L866" s="52"/>
      <c r="M866" s="52"/>
      <c r="N866" s="52"/>
      <c r="O866" s="52"/>
      <c r="P866" s="76" t="s">
        <v>584</v>
      </c>
      <c r="Q866" s="55">
        <f>VLOOKUP(E866,'NI-Ric_SP'!$C:$AN,12,FALSE)</f>
        <v>0</v>
      </c>
      <c r="R866" s="55">
        <f>VLOOKUP(E866,'NI-Ric_SP'!$C:$AN,13,FALSE)</f>
        <v>0</v>
      </c>
      <c r="S866" s="55"/>
      <c r="T866" s="55"/>
      <c r="U866" s="55">
        <f>VLOOKUP($E866,'NI-Ric_SP'!$C:$AN,MID(U$1,1,2),FALSE)</f>
        <v>0</v>
      </c>
      <c r="V866" s="55">
        <f>VLOOKUP($E866,'NI-Ric_SP'!$C:$AN,MID(V$1,1,2),FALSE)</f>
        <v>0</v>
      </c>
      <c r="W866" s="55">
        <f>VLOOKUP($E866,'NI-Ric_SP'!$C:$AN,MID(W$1,1,2),FALSE)</f>
        <v>0</v>
      </c>
      <c r="X866" s="55">
        <f>VLOOKUP($E866,'NI-Ric_SP'!$C:$AN,MID(X$1,1,2),FALSE)</f>
        <v>0</v>
      </c>
      <c r="Y866" s="55">
        <f>VLOOKUP($E866,'NI-Ric_SP'!$C:$AN,MID(Y$1,1,2),FALSE)</f>
        <v>0</v>
      </c>
      <c r="Z866" s="55">
        <f>VLOOKUP($E866,'NI-Ric_SP'!$C:$AN,MID(Z$1,1,2),FALSE)</f>
        <v>0</v>
      </c>
      <c r="AA866" s="55">
        <f>VLOOKUP($E866,'NI-Ric_SP'!$C:$AN,MID(AA$1,1,2),FALSE)</f>
        <v>0</v>
      </c>
      <c r="AB866" s="55">
        <f>VLOOKUP($E866,'NI-Ric_SP'!$C:$AN,MID(AB$1,1,2),FALSE)</f>
        <v>0</v>
      </c>
      <c r="AC866" s="55">
        <f>VLOOKUP($E866,'NI-Ric_SP'!$C:$AN,MID(AC$1,1,2),FALSE)</f>
        <v>0</v>
      </c>
      <c r="AD866" s="55">
        <f>VLOOKUP($E866,'NI-Ric_SP'!$C:$AN,MID(AD$1,1,2),FALSE)</f>
        <v>0</v>
      </c>
      <c r="AE866" s="55">
        <f>VLOOKUP($E866,'NI-Ric_SP'!$C:$AN,MID(AE$1,1,2),FALSE)</f>
        <v>0</v>
      </c>
      <c r="AF866" s="55">
        <f>VLOOKUP($E866,'NI-Ric_SP'!$C:$AN,MID(AF$1,1,2),FALSE)</f>
        <v>0</v>
      </c>
      <c r="AG866" s="55">
        <f>VLOOKUP($E866,'NI-Ric_SP'!$C:$AN,MID(AG$1,1,2),FALSE)</f>
        <v>0</v>
      </c>
      <c r="AH866" s="55">
        <f>VLOOKUP($E866,'NI-Ric_SP'!$C:$AN,MID(AH$1,1,2),FALSE)</f>
        <v>0</v>
      </c>
      <c r="AI866" s="55">
        <f>VLOOKUP($E866,'NI-Ric_SP'!$C:$AN,MID(AI$1,1,2),FALSE)</f>
        <v>0</v>
      </c>
      <c r="AJ866" s="55">
        <f>VLOOKUP($E866,'NI-Ric_SP'!$C:$AN,MID(AJ$1,1,2),FALSE)</f>
        <v>0</v>
      </c>
      <c r="AK866" s="55">
        <f>VLOOKUP($E866,'NI-Ric_SP'!$C:$AN,MID(AK$1,1,2),FALSE)</f>
        <v>0</v>
      </c>
      <c r="AL866" s="55">
        <f>VLOOKUP($E866,'NI-Ric_SP'!$C:$AN,MID(AL$1,1,2),FALSE)</f>
        <v>0</v>
      </c>
      <c r="AM866" s="56">
        <f>VLOOKUP($E866,'NI-Ric_SP'!$C:$AN,MID(AM$1,1,2),FALSE)</f>
        <v>0</v>
      </c>
      <c r="AN866" s="30" t="str">
        <f t="shared" si="13"/>
        <v>10203010030020</v>
      </c>
    </row>
    <row r="867" spans="3:40" x14ac:dyDescent="0.25">
      <c r="C867" s="40"/>
      <c r="D867" s="101" t="s">
        <v>585</v>
      </c>
      <c r="E867" s="101" t="s">
        <v>586</v>
      </c>
      <c r="F867" s="102" t="s">
        <v>2750</v>
      </c>
      <c r="G867" s="52"/>
      <c r="H867" s="52"/>
      <c r="I867" s="52"/>
      <c r="J867" s="52"/>
      <c r="K867" s="59" t="s">
        <v>79</v>
      </c>
      <c r="L867" s="52"/>
      <c r="M867" s="52"/>
      <c r="N867" s="52"/>
      <c r="O867" s="52"/>
      <c r="P867" s="76" t="s">
        <v>587</v>
      </c>
      <c r="Q867" s="55">
        <f>VLOOKUP(E867,'NI-Ric_SP'!$C:$AN,12,FALSE)</f>
        <v>0</v>
      </c>
      <c r="R867" s="55">
        <f>VLOOKUP(E867,'NI-Ric_SP'!$C:$AN,13,FALSE)</f>
        <v>0</v>
      </c>
      <c r="S867" s="55"/>
      <c r="T867" s="55"/>
      <c r="U867" s="55">
        <f>VLOOKUP($E867,'NI-Ric_SP'!$C:$AN,MID(U$1,1,2),FALSE)</f>
        <v>0</v>
      </c>
      <c r="V867" s="55">
        <f>VLOOKUP($E867,'NI-Ric_SP'!$C:$AN,MID(V$1,1,2),FALSE)</f>
        <v>0</v>
      </c>
      <c r="W867" s="55">
        <f>VLOOKUP($E867,'NI-Ric_SP'!$C:$AN,MID(W$1,1,2),FALSE)</f>
        <v>0</v>
      </c>
      <c r="X867" s="55">
        <f>VLOOKUP($E867,'NI-Ric_SP'!$C:$AN,MID(X$1,1,2),FALSE)</f>
        <v>0</v>
      </c>
      <c r="Y867" s="55">
        <f>VLOOKUP($E867,'NI-Ric_SP'!$C:$AN,MID(Y$1,1,2),FALSE)</f>
        <v>0</v>
      </c>
      <c r="Z867" s="55">
        <f>VLOOKUP($E867,'NI-Ric_SP'!$C:$AN,MID(Z$1,1,2),FALSE)</f>
        <v>0</v>
      </c>
      <c r="AA867" s="55">
        <f>VLOOKUP($E867,'NI-Ric_SP'!$C:$AN,MID(AA$1,1,2),FALSE)</f>
        <v>0</v>
      </c>
      <c r="AB867" s="55">
        <f>VLOOKUP($E867,'NI-Ric_SP'!$C:$AN,MID(AB$1,1,2),FALSE)</f>
        <v>0</v>
      </c>
      <c r="AC867" s="55">
        <f>VLOOKUP($E867,'NI-Ric_SP'!$C:$AN,MID(AC$1,1,2),FALSE)</f>
        <v>0</v>
      </c>
      <c r="AD867" s="55">
        <f>VLOOKUP($E867,'NI-Ric_SP'!$C:$AN,MID(AD$1,1,2),FALSE)</f>
        <v>0</v>
      </c>
      <c r="AE867" s="55">
        <f>VLOOKUP($E867,'NI-Ric_SP'!$C:$AN,MID(AE$1,1,2),FALSE)</f>
        <v>0</v>
      </c>
      <c r="AF867" s="55">
        <f>VLOOKUP($E867,'NI-Ric_SP'!$C:$AN,MID(AF$1,1,2),FALSE)</f>
        <v>0</v>
      </c>
      <c r="AG867" s="55">
        <f>VLOOKUP($E867,'NI-Ric_SP'!$C:$AN,MID(AG$1,1,2),FALSE)</f>
        <v>0</v>
      </c>
      <c r="AH867" s="55">
        <f>VLOOKUP($E867,'NI-Ric_SP'!$C:$AN,MID(AH$1,1,2),FALSE)</f>
        <v>0</v>
      </c>
      <c r="AI867" s="55">
        <f>VLOOKUP($E867,'NI-Ric_SP'!$C:$AN,MID(AI$1,1,2),FALSE)</f>
        <v>0</v>
      </c>
      <c r="AJ867" s="55">
        <f>VLOOKUP($E867,'NI-Ric_SP'!$C:$AN,MID(AJ$1,1,2),FALSE)</f>
        <v>0</v>
      </c>
      <c r="AK867" s="55">
        <f>VLOOKUP($E867,'NI-Ric_SP'!$C:$AN,MID(AK$1,1,2),FALSE)</f>
        <v>0</v>
      </c>
      <c r="AL867" s="55">
        <f>VLOOKUP($E867,'NI-Ric_SP'!$C:$AN,MID(AL$1,1,2),FALSE)</f>
        <v>0</v>
      </c>
      <c r="AM867" s="56">
        <f>VLOOKUP($E867,'NI-Ric_SP'!$C:$AN,MID(AM$1,1,2),FALSE)</f>
        <v>0</v>
      </c>
      <c r="AN867" s="30" t="str">
        <f t="shared" si="13"/>
        <v>10203010040010</v>
      </c>
    </row>
    <row r="868" spans="3:40" x14ac:dyDescent="0.25">
      <c r="C868" s="40"/>
      <c r="D868" s="101" t="s">
        <v>588</v>
      </c>
      <c r="E868" s="101" t="s">
        <v>589</v>
      </c>
      <c r="F868" s="102" t="s">
        <v>2750</v>
      </c>
      <c r="G868" s="52"/>
      <c r="H868" s="52"/>
      <c r="I868" s="52"/>
      <c r="J868" s="52"/>
      <c r="K868" s="59" t="s">
        <v>79</v>
      </c>
      <c r="L868" s="52"/>
      <c r="M868" s="52"/>
      <c r="N868" s="52"/>
      <c r="O868" s="52"/>
      <c r="P868" s="76" t="s">
        <v>590</v>
      </c>
      <c r="Q868" s="55">
        <f>VLOOKUP(E868,'NI-Ric_SP'!$C:$AN,12,FALSE)</f>
        <v>0</v>
      </c>
      <c r="R868" s="55">
        <f>VLOOKUP(E868,'NI-Ric_SP'!$C:$AN,13,FALSE)</f>
        <v>0</v>
      </c>
      <c r="S868" s="55"/>
      <c r="T868" s="55"/>
      <c r="U868" s="55">
        <f>VLOOKUP($E868,'NI-Ric_SP'!$C:$AN,MID(U$1,1,2),FALSE)</f>
        <v>0</v>
      </c>
      <c r="V868" s="55">
        <f>VLOOKUP($E868,'NI-Ric_SP'!$C:$AN,MID(V$1,1,2),FALSE)</f>
        <v>0</v>
      </c>
      <c r="W868" s="55">
        <f>VLOOKUP($E868,'NI-Ric_SP'!$C:$AN,MID(W$1,1,2),FALSE)</f>
        <v>0</v>
      </c>
      <c r="X868" s="55">
        <f>VLOOKUP($E868,'NI-Ric_SP'!$C:$AN,MID(X$1,1,2),FALSE)</f>
        <v>0</v>
      </c>
      <c r="Y868" s="55">
        <f>VLOOKUP($E868,'NI-Ric_SP'!$C:$AN,MID(Y$1,1,2),FALSE)</f>
        <v>0</v>
      </c>
      <c r="Z868" s="55">
        <f>VLOOKUP($E868,'NI-Ric_SP'!$C:$AN,MID(Z$1,1,2),FALSE)</f>
        <v>0</v>
      </c>
      <c r="AA868" s="55">
        <f>VLOOKUP($E868,'NI-Ric_SP'!$C:$AN,MID(AA$1,1,2),FALSE)</f>
        <v>0</v>
      </c>
      <c r="AB868" s="55">
        <f>VLOOKUP($E868,'NI-Ric_SP'!$C:$AN,MID(AB$1,1,2),FALSE)</f>
        <v>0</v>
      </c>
      <c r="AC868" s="55">
        <f>VLOOKUP($E868,'NI-Ric_SP'!$C:$AN,MID(AC$1,1,2),FALSE)</f>
        <v>0</v>
      </c>
      <c r="AD868" s="55">
        <f>VLOOKUP($E868,'NI-Ric_SP'!$C:$AN,MID(AD$1,1,2),FALSE)</f>
        <v>0</v>
      </c>
      <c r="AE868" s="55">
        <f>VLOOKUP($E868,'NI-Ric_SP'!$C:$AN,MID(AE$1,1,2),FALSE)</f>
        <v>0</v>
      </c>
      <c r="AF868" s="55">
        <f>VLOOKUP($E868,'NI-Ric_SP'!$C:$AN,MID(AF$1,1,2),FALSE)</f>
        <v>0</v>
      </c>
      <c r="AG868" s="55">
        <f>VLOOKUP($E868,'NI-Ric_SP'!$C:$AN,MID(AG$1,1,2),FALSE)</f>
        <v>0</v>
      </c>
      <c r="AH868" s="55">
        <f>VLOOKUP($E868,'NI-Ric_SP'!$C:$AN,MID(AH$1,1,2),FALSE)</f>
        <v>0</v>
      </c>
      <c r="AI868" s="55">
        <f>VLOOKUP($E868,'NI-Ric_SP'!$C:$AN,MID(AI$1,1,2),FALSE)</f>
        <v>0</v>
      </c>
      <c r="AJ868" s="55">
        <f>VLOOKUP($E868,'NI-Ric_SP'!$C:$AN,MID(AJ$1,1,2),FALSE)</f>
        <v>0</v>
      </c>
      <c r="AK868" s="55">
        <f>VLOOKUP($E868,'NI-Ric_SP'!$C:$AN,MID(AK$1,1,2),FALSE)</f>
        <v>0</v>
      </c>
      <c r="AL868" s="55">
        <f>VLOOKUP($E868,'NI-Ric_SP'!$C:$AN,MID(AL$1,1,2),FALSE)</f>
        <v>0</v>
      </c>
      <c r="AM868" s="56">
        <f>VLOOKUP($E868,'NI-Ric_SP'!$C:$AN,MID(AM$1,1,2),FALSE)</f>
        <v>0</v>
      </c>
      <c r="AN868" s="30" t="str">
        <f t="shared" si="13"/>
        <v>10203010040020</v>
      </c>
    </row>
    <row r="869" spans="3:40" x14ac:dyDescent="0.25">
      <c r="C869" s="40"/>
      <c r="D869" s="101" t="s">
        <v>591</v>
      </c>
      <c r="E869" s="101" t="s">
        <v>592</v>
      </c>
      <c r="F869" s="102" t="s">
        <v>2750</v>
      </c>
      <c r="G869" s="52"/>
      <c r="H869" s="52"/>
      <c r="I869" s="52"/>
      <c r="J869" s="52"/>
      <c r="K869" s="59" t="s">
        <v>79</v>
      </c>
      <c r="L869" s="52"/>
      <c r="M869" s="52"/>
      <c r="N869" s="52"/>
      <c r="O869" s="52"/>
      <c r="P869" s="76" t="s">
        <v>593</v>
      </c>
      <c r="Q869" s="55">
        <f>VLOOKUP(E869,'NI-Ric_SP'!$C:$AN,12,FALSE)</f>
        <v>0</v>
      </c>
      <c r="R869" s="55">
        <f>VLOOKUP(E869,'NI-Ric_SP'!$C:$AN,13,FALSE)</f>
        <v>0</v>
      </c>
      <c r="S869" s="55"/>
      <c r="T869" s="55"/>
      <c r="U869" s="55">
        <f>VLOOKUP($E869,'NI-Ric_SP'!$C:$AN,MID(U$1,1,2),FALSE)</f>
        <v>0</v>
      </c>
      <c r="V869" s="55">
        <f>VLOOKUP($E869,'NI-Ric_SP'!$C:$AN,MID(V$1,1,2),FALSE)</f>
        <v>0</v>
      </c>
      <c r="W869" s="55">
        <f>VLOOKUP($E869,'NI-Ric_SP'!$C:$AN,MID(W$1,1,2),FALSE)</f>
        <v>0</v>
      </c>
      <c r="X869" s="55">
        <f>VLOOKUP($E869,'NI-Ric_SP'!$C:$AN,MID(X$1,1,2),FALSE)</f>
        <v>0</v>
      </c>
      <c r="Y869" s="55">
        <f>VLOOKUP($E869,'NI-Ric_SP'!$C:$AN,MID(Y$1,1,2),FALSE)</f>
        <v>0</v>
      </c>
      <c r="Z869" s="55">
        <f>VLOOKUP($E869,'NI-Ric_SP'!$C:$AN,MID(Z$1,1,2),FALSE)</f>
        <v>0</v>
      </c>
      <c r="AA869" s="55">
        <f>VLOOKUP($E869,'NI-Ric_SP'!$C:$AN,MID(AA$1,1,2),FALSE)</f>
        <v>0</v>
      </c>
      <c r="AB869" s="55">
        <f>VLOOKUP($E869,'NI-Ric_SP'!$C:$AN,MID(AB$1,1,2),FALSE)</f>
        <v>0</v>
      </c>
      <c r="AC869" s="55">
        <f>VLOOKUP($E869,'NI-Ric_SP'!$C:$AN,MID(AC$1,1,2),FALSE)</f>
        <v>0</v>
      </c>
      <c r="AD869" s="55">
        <f>VLOOKUP($E869,'NI-Ric_SP'!$C:$AN,MID(AD$1,1,2),FALSE)</f>
        <v>0</v>
      </c>
      <c r="AE869" s="55">
        <f>VLOOKUP($E869,'NI-Ric_SP'!$C:$AN,MID(AE$1,1,2),FALSE)</f>
        <v>0</v>
      </c>
      <c r="AF869" s="55">
        <f>VLOOKUP($E869,'NI-Ric_SP'!$C:$AN,MID(AF$1,1,2),FALSE)</f>
        <v>0</v>
      </c>
      <c r="AG869" s="55">
        <f>VLOOKUP($E869,'NI-Ric_SP'!$C:$AN,MID(AG$1,1,2),FALSE)</f>
        <v>0</v>
      </c>
      <c r="AH869" s="55">
        <f>VLOOKUP($E869,'NI-Ric_SP'!$C:$AN,MID(AH$1,1,2),FALSE)</f>
        <v>0</v>
      </c>
      <c r="AI869" s="55">
        <f>VLOOKUP($E869,'NI-Ric_SP'!$C:$AN,MID(AI$1,1,2),FALSE)</f>
        <v>0</v>
      </c>
      <c r="AJ869" s="55">
        <f>VLOOKUP($E869,'NI-Ric_SP'!$C:$AN,MID(AJ$1,1,2),FALSE)</f>
        <v>0</v>
      </c>
      <c r="AK869" s="55">
        <f>VLOOKUP($E869,'NI-Ric_SP'!$C:$AN,MID(AK$1,1,2),FALSE)</f>
        <v>0</v>
      </c>
      <c r="AL869" s="55">
        <f>VLOOKUP($E869,'NI-Ric_SP'!$C:$AN,MID(AL$1,1,2),FALSE)</f>
        <v>0</v>
      </c>
      <c r="AM869" s="56">
        <f>VLOOKUP($E869,'NI-Ric_SP'!$C:$AN,MID(AM$1,1,2),FALSE)</f>
        <v>0</v>
      </c>
      <c r="AN869" s="30" t="str">
        <f t="shared" si="13"/>
        <v>10203010050010</v>
      </c>
    </row>
    <row r="870" spans="3:40" x14ac:dyDescent="0.25">
      <c r="C870" s="40"/>
      <c r="D870" s="101" t="s">
        <v>594</v>
      </c>
      <c r="E870" s="101" t="s">
        <v>595</v>
      </c>
      <c r="F870" s="102" t="s">
        <v>2750</v>
      </c>
      <c r="G870" s="52"/>
      <c r="H870" s="52"/>
      <c r="I870" s="52"/>
      <c r="J870" s="52"/>
      <c r="K870" s="59" t="s">
        <v>79</v>
      </c>
      <c r="L870" s="52"/>
      <c r="M870" s="52"/>
      <c r="N870" s="52"/>
      <c r="O870" s="52"/>
      <c r="P870" s="76" t="s">
        <v>596</v>
      </c>
      <c r="Q870" s="55">
        <f>VLOOKUP(E870,'NI-Ric_SP'!$C:$AN,12,FALSE)</f>
        <v>0</v>
      </c>
      <c r="R870" s="55">
        <f>VLOOKUP(E870,'NI-Ric_SP'!$C:$AN,13,FALSE)</f>
        <v>0</v>
      </c>
      <c r="S870" s="55"/>
      <c r="T870" s="55"/>
      <c r="U870" s="55">
        <f>VLOOKUP($E870,'NI-Ric_SP'!$C:$AN,MID(U$1,1,2),FALSE)</f>
        <v>0</v>
      </c>
      <c r="V870" s="55">
        <f>VLOOKUP($E870,'NI-Ric_SP'!$C:$AN,MID(V$1,1,2),FALSE)</f>
        <v>0</v>
      </c>
      <c r="W870" s="55">
        <f>VLOOKUP($E870,'NI-Ric_SP'!$C:$AN,MID(W$1,1,2),FALSE)</f>
        <v>0</v>
      </c>
      <c r="X870" s="55">
        <f>VLOOKUP($E870,'NI-Ric_SP'!$C:$AN,MID(X$1,1,2),FALSE)</f>
        <v>0</v>
      </c>
      <c r="Y870" s="55">
        <f>VLOOKUP($E870,'NI-Ric_SP'!$C:$AN,MID(Y$1,1,2),FALSE)</f>
        <v>0</v>
      </c>
      <c r="Z870" s="55">
        <f>VLOOKUP($E870,'NI-Ric_SP'!$C:$AN,MID(Z$1,1,2),FALSE)</f>
        <v>0</v>
      </c>
      <c r="AA870" s="55">
        <f>VLOOKUP($E870,'NI-Ric_SP'!$C:$AN,MID(AA$1,1,2),FALSE)</f>
        <v>0</v>
      </c>
      <c r="AB870" s="55">
        <f>VLOOKUP($E870,'NI-Ric_SP'!$C:$AN,MID(AB$1,1,2),FALSE)</f>
        <v>0</v>
      </c>
      <c r="AC870" s="55">
        <f>VLOOKUP($E870,'NI-Ric_SP'!$C:$AN,MID(AC$1,1,2),FALSE)</f>
        <v>0</v>
      </c>
      <c r="AD870" s="55">
        <f>VLOOKUP($E870,'NI-Ric_SP'!$C:$AN,MID(AD$1,1,2),FALSE)</f>
        <v>0</v>
      </c>
      <c r="AE870" s="55">
        <f>VLOOKUP($E870,'NI-Ric_SP'!$C:$AN,MID(AE$1,1,2),FALSE)</f>
        <v>0</v>
      </c>
      <c r="AF870" s="55">
        <f>VLOOKUP($E870,'NI-Ric_SP'!$C:$AN,MID(AF$1,1,2),FALSE)</f>
        <v>0</v>
      </c>
      <c r="AG870" s="55">
        <f>VLOOKUP($E870,'NI-Ric_SP'!$C:$AN,MID(AG$1,1,2),FALSE)</f>
        <v>0</v>
      </c>
      <c r="AH870" s="55">
        <f>VLOOKUP($E870,'NI-Ric_SP'!$C:$AN,MID(AH$1,1,2),FALSE)</f>
        <v>0</v>
      </c>
      <c r="AI870" s="55">
        <f>VLOOKUP($E870,'NI-Ric_SP'!$C:$AN,MID(AI$1,1,2),FALSE)</f>
        <v>0</v>
      </c>
      <c r="AJ870" s="55">
        <f>VLOOKUP($E870,'NI-Ric_SP'!$C:$AN,MID(AJ$1,1,2),FALSE)</f>
        <v>0</v>
      </c>
      <c r="AK870" s="55">
        <f>VLOOKUP($E870,'NI-Ric_SP'!$C:$AN,MID(AK$1,1,2),FALSE)</f>
        <v>0</v>
      </c>
      <c r="AL870" s="55">
        <f>VLOOKUP($E870,'NI-Ric_SP'!$C:$AN,MID(AL$1,1,2),FALSE)</f>
        <v>0</v>
      </c>
      <c r="AM870" s="56">
        <f>VLOOKUP($E870,'NI-Ric_SP'!$C:$AN,MID(AM$1,1,2),FALSE)</f>
        <v>0</v>
      </c>
      <c r="AN870" s="30" t="str">
        <f t="shared" si="13"/>
        <v>10203010050020</v>
      </c>
    </row>
    <row r="871" spans="3:40" x14ac:dyDescent="0.25">
      <c r="C871" s="40"/>
      <c r="D871" s="101" t="s">
        <v>597</v>
      </c>
      <c r="E871" s="101" t="s">
        <v>598</v>
      </c>
      <c r="F871" s="102" t="s">
        <v>2750</v>
      </c>
      <c r="G871" s="52"/>
      <c r="H871" s="52"/>
      <c r="I871" s="52"/>
      <c r="J871" s="52"/>
      <c r="K871" s="59" t="s">
        <v>79</v>
      </c>
      <c r="L871" s="52"/>
      <c r="M871" s="52"/>
      <c r="N871" s="52"/>
      <c r="O871" s="52"/>
      <c r="P871" s="76" t="s">
        <v>599</v>
      </c>
      <c r="Q871" s="55">
        <f>VLOOKUP(E871,'NI-Ric_SP'!$C:$AN,12,FALSE)</f>
        <v>0</v>
      </c>
      <c r="R871" s="55">
        <f>VLOOKUP(E871,'NI-Ric_SP'!$C:$AN,13,FALSE)</f>
        <v>0</v>
      </c>
      <c r="S871" s="55"/>
      <c r="T871" s="55"/>
      <c r="U871" s="55">
        <f>VLOOKUP($E871,'NI-Ric_SP'!$C:$AN,MID(U$1,1,2),FALSE)</f>
        <v>0</v>
      </c>
      <c r="V871" s="55">
        <f>VLOOKUP($E871,'NI-Ric_SP'!$C:$AN,MID(V$1,1,2),FALSE)</f>
        <v>0</v>
      </c>
      <c r="W871" s="55">
        <f>VLOOKUP($E871,'NI-Ric_SP'!$C:$AN,MID(W$1,1,2),FALSE)</f>
        <v>0</v>
      </c>
      <c r="X871" s="55">
        <f>VLOOKUP($E871,'NI-Ric_SP'!$C:$AN,MID(X$1,1,2),FALSE)</f>
        <v>0</v>
      </c>
      <c r="Y871" s="55">
        <f>VLOOKUP($E871,'NI-Ric_SP'!$C:$AN,MID(Y$1,1,2),FALSE)</f>
        <v>0</v>
      </c>
      <c r="Z871" s="55">
        <f>VLOOKUP($E871,'NI-Ric_SP'!$C:$AN,MID(Z$1,1,2),FALSE)</f>
        <v>0</v>
      </c>
      <c r="AA871" s="55">
        <f>VLOOKUP($E871,'NI-Ric_SP'!$C:$AN,MID(AA$1,1,2),FALSE)</f>
        <v>0</v>
      </c>
      <c r="AB871" s="55">
        <f>VLOOKUP($E871,'NI-Ric_SP'!$C:$AN,MID(AB$1,1,2),FALSE)</f>
        <v>0</v>
      </c>
      <c r="AC871" s="55">
        <f>VLOOKUP($E871,'NI-Ric_SP'!$C:$AN,MID(AC$1,1,2),FALSE)</f>
        <v>0</v>
      </c>
      <c r="AD871" s="55">
        <f>VLOOKUP($E871,'NI-Ric_SP'!$C:$AN,MID(AD$1,1,2),FALSE)</f>
        <v>0</v>
      </c>
      <c r="AE871" s="55">
        <f>VLOOKUP($E871,'NI-Ric_SP'!$C:$AN,MID(AE$1,1,2),FALSE)</f>
        <v>0</v>
      </c>
      <c r="AF871" s="55">
        <f>VLOOKUP($E871,'NI-Ric_SP'!$C:$AN,MID(AF$1,1,2),FALSE)</f>
        <v>0</v>
      </c>
      <c r="AG871" s="55">
        <f>VLOOKUP($E871,'NI-Ric_SP'!$C:$AN,MID(AG$1,1,2),FALSE)</f>
        <v>0</v>
      </c>
      <c r="AH871" s="55">
        <f>VLOOKUP($E871,'NI-Ric_SP'!$C:$AN,MID(AH$1,1,2),FALSE)</f>
        <v>0</v>
      </c>
      <c r="AI871" s="55">
        <f>VLOOKUP($E871,'NI-Ric_SP'!$C:$AN,MID(AI$1,1,2),FALSE)</f>
        <v>0</v>
      </c>
      <c r="AJ871" s="55">
        <f>VLOOKUP($E871,'NI-Ric_SP'!$C:$AN,MID(AJ$1,1,2),FALSE)</f>
        <v>0</v>
      </c>
      <c r="AK871" s="55">
        <f>VLOOKUP($E871,'NI-Ric_SP'!$C:$AN,MID(AK$1,1,2),FALSE)</f>
        <v>0</v>
      </c>
      <c r="AL871" s="55">
        <f>VLOOKUP($E871,'NI-Ric_SP'!$C:$AN,MID(AL$1,1,2),FALSE)</f>
        <v>0</v>
      </c>
      <c r="AM871" s="56">
        <f>VLOOKUP($E871,'NI-Ric_SP'!$C:$AN,MID(AM$1,1,2),FALSE)</f>
        <v>0</v>
      </c>
      <c r="AN871" s="30" t="str">
        <f t="shared" si="13"/>
        <v>10203010060010</v>
      </c>
    </row>
    <row r="872" spans="3:40" x14ac:dyDescent="0.25">
      <c r="C872" s="40"/>
      <c r="D872" s="101" t="s">
        <v>600</v>
      </c>
      <c r="E872" s="101" t="s">
        <v>601</v>
      </c>
      <c r="F872" s="102" t="s">
        <v>2750</v>
      </c>
      <c r="G872" s="52"/>
      <c r="H872" s="52"/>
      <c r="I872" s="52"/>
      <c r="J872" s="52"/>
      <c r="K872" s="59" t="s">
        <v>79</v>
      </c>
      <c r="L872" s="52"/>
      <c r="M872" s="52"/>
      <c r="N872" s="52"/>
      <c r="O872" s="52"/>
      <c r="P872" s="76" t="s">
        <v>602</v>
      </c>
      <c r="Q872" s="55">
        <f>VLOOKUP(E872,'NI-Ric_SP'!$C:$AN,12,FALSE)</f>
        <v>0</v>
      </c>
      <c r="R872" s="55">
        <f>VLOOKUP(E872,'NI-Ric_SP'!$C:$AN,13,FALSE)</f>
        <v>0</v>
      </c>
      <c r="S872" s="55"/>
      <c r="T872" s="55"/>
      <c r="U872" s="55">
        <f>VLOOKUP($E872,'NI-Ric_SP'!$C:$AN,MID(U$1,1,2),FALSE)</f>
        <v>0</v>
      </c>
      <c r="V872" s="55">
        <f>VLOOKUP($E872,'NI-Ric_SP'!$C:$AN,MID(V$1,1,2),FALSE)</f>
        <v>0</v>
      </c>
      <c r="W872" s="55">
        <f>VLOOKUP($E872,'NI-Ric_SP'!$C:$AN,MID(W$1,1,2),FALSE)</f>
        <v>0</v>
      </c>
      <c r="X872" s="55">
        <f>VLOOKUP($E872,'NI-Ric_SP'!$C:$AN,MID(X$1,1,2),FALSE)</f>
        <v>0</v>
      </c>
      <c r="Y872" s="55">
        <f>VLOOKUP($E872,'NI-Ric_SP'!$C:$AN,MID(Y$1,1,2),FALSE)</f>
        <v>0</v>
      </c>
      <c r="Z872" s="55">
        <f>VLOOKUP($E872,'NI-Ric_SP'!$C:$AN,MID(Z$1,1,2),FALSE)</f>
        <v>0</v>
      </c>
      <c r="AA872" s="55">
        <f>VLOOKUP($E872,'NI-Ric_SP'!$C:$AN,MID(AA$1,1,2),FALSE)</f>
        <v>0</v>
      </c>
      <c r="AB872" s="55">
        <f>VLOOKUP($E872,'NI-Ric_SP'!$C:$AN,MID(AB$1,1,2),FALSE)</f>
        <v>0</v>
      </c>
      <c r="AC872" s="55">
        <f>VLOOKUP($E872,'NI-Ric_SP'!$C:$AN,MID(AC$1,1,2),FALSE)</f>
        <v>0</v>
      </c>
      <c r="AD872" s="55">
        <f>VLOOKUP($E872,'NI-Ric_SP'!$C:$AN,MID(AD$1,1,2),FALSE)</f>
        <v>0</v>
      </c>
      <c r="AE872" s="55">
        <f>VLOOKUP($E872,'NI-Ric_SP'!$C:$AN,MID(AE$1,1,2),FALSE)</f>
        <v>0</v>
      </c>
      <c r="AF872" s="55">
        <f>VLOOKUP($E872,'NI-Ric_SP'!$C:$AN,MID(AF$1,1,2),FALSE)</f>
        <v>0</v>
      </c>
      <c r="AG872" s="55">
        <f>VLOOKUP($E872,'NI-Ric_SP'!$C:$AN,MID(AG$1,1,2),FALSE)</f>
        <v>0</v>
      </c>
      <c r="AH872" s="55">
        <f>VLOOKUP($E872,'NI-Ric_SP'!$C:$AN,MID(AH$1,1,2),FALSE)</f>
        <v>0</v>
      </c>
      <c r="AI872" s="55">
        <f>VLOOKUP($E872,'NI-Ric_SP'!$C:$AN,MID(AI$1,1,2),FALSE)</f>
        <v>0</v>
      </c>
      <c r="AJ872" s="55">
        <f>VLOOKUP($E872,'NI-Ric_SP'!$C:$AN,MID(AJ$1,1,2),FALSE)</f>
        <v>0</v>
      </c>
      <c r="AK872" s="55">
        <f>VLOOKUP($E872,'NI-Ric_SP'!$C:$AN,MID(AK$1,1,2),FALSE)</f>
        <v>0</v>
      </c>
      <c r="AL872" s="55">
        <f>VLOOKUP($E872,'NI-Ric_SP'!$C:$AN,MID(AL$1,1,2),FALSE)</f>
        <v>0</v>
      </c>
      <c r="AM872" s="56">
        <f>VLOOKUP($E872,'NI-Ric_SP'!$C:$AN,MID(AM$1,1,2),FALSE)</f>
        <v>0</v>
      </c>
      <c r="AN872" s="30" t="str">
        <f t="shared" si="13"/>
        <v>10203010060020</v>
      </c>
    </row>
    <row r="873" spans="3:40" x14ac:dyDescent="0.25">
      <c r="C873" s="40"/>
      <c r="D873" s="101" t="s">
        <v>603</v>
      </c>
      <c r="E873" s="101" t="s">
        <v>604</v>
      </c>
      <c r="F873" s="102" t="s">
        <v>2750</v>
      </c>
      <c r="G873" s="52"/>
      <c r="H873" s="52"/>
      <c r="I873" s="52"/>
      <c r="J873" s="52"/>
      <c r="K873" s="59" t="s">
        <v>79</v>
      </c>
      <c r="L873" s="52"/>
      <c r="M873" s="52"/>
      <c r="N873" s="52"/>
      <c r="O873" s="52"/>
      <c r="P873" s="76" t="s">
        <v>605</v>
      </c>
      <c r="Q873" s="55">
        <f>VLOOKUP(E873,'NI-Ric_SP'!$C:$AN,12,FALSE)</f>
        <v>0</v>
      </c>
      <c r="R873" s="55">
        <f>VLOOKUP(E873,'NI-Ric_SP'!$C:$AN,13,FALSE)</f>
        <v>0</v>
      </c>
      <c r="S873" s="55"/>
      <c r="T873" s="55"/>
      <c r="U873" s="55">
        <f>VLOOKUP($E873,'NI-Ric_SP'!$C:$AN,MID(U$1,1,2),FALSE)</f>
        <v>0</v>
      </c>
      <c r="V873" s="55">
        <f>VLOOKUP($E873,'NI-Ric_SP'!$C:$AN,MID(V$1,1,2),FALSE)</f>
        <v>0</v>
      </c>
      <c r="W873" s="55">
        <f>VLOOKUP($E873,'NI-Ric_SP'!$C:$AN,MID(W$1,1,2),FALSE)</f>
        <v>0</v>
      </c>
      <c r="X873" s="55">
        <f>VLOOKUP($E873,'NI-Ric_SP'!$C:$AN,MID(X$1,1,2),FALSE)</f>
        <v>0</v>
      </c>
      <c r="Y873" s="55">
        <f>VLOOKUP($E873,'NI-Ric_SP'!$C:$AN,MID(Y$1,1,2),FALSE)</f>
        <v>0</v>
      </c>
      <c r="Z873" s="55">
        <f>VLOOKUP($E873,'NI-Ric_SP'!$C:$AN,MID(Z$1,1,2),FALSE)</f>
        <v>0</v>
      </c>
      <c r="AA873" s="55">
        <f>VLOOKUP($E873,'NI-Ric_SP'!$C:$AN,MID(AA$1,1,2),FALSE)</f>
        <v>0</v>
      </c>
      <c r="AB873" s="55">
        <f>VLOOKUP($E873,'NI-Ric_SP'!$C:$AN,MID(AB$1,1,2),FALSE)</f>
        <v>0</v>
      </c>
      <c r="AC873" s="55">
        <f>VLOOKUP($E873,'NI-Ric_SP'!$C:$AN,MID(AC$1,1,2),FALSE)</f>
        <v>0</v>
      </c>
      <c r="AD873" s="55">
        <f>VLOOKUP($E873,'NI-Ric_SP'!$C:$AN,MID(AD$1,1,2),FALSE)</f>
        <v>0</v>
      </c>
      <c r="AE873" s="55">
        <f>VLOOKUP($E873,'NI-Ric_SP'!$C:$AN,MID(AE$1,1,2),FALSE)</f>
        <v>0</v>
      </c>
      <c r="AF873" s="55">
        <f>VLOOKUP($E873,'NI-Ric_SP'!$C:$AN,MID(AF$1,1,2),FALSE)</f>
        <v>0</v>
      </c>
      <c r="AG873" s="55">
        <f>VLOOKUP($E873,'NI-Ric_SP'!$C:$AN,MID(AG$1,1,2),FALSE)</f>
        <v>0</v>
      </c>
      <c r="AH873" s="55">
        <f>VLOOKUP($E873,'NI-Ric_SP'!$C:$AN,MID(AH$1,1,2),FALSE)</f>
        <v>0</v>
      </c>
      <c r="AI873" s="55">
        <f>VLOOKUP($E873,'NI-Ric_SP'!$C:$AN,MID(AI$1,1,2),FALSE)</f>
        <v>0</v>
      </c>
      <c r="AJ873" s="55">
        <f>VLOOKUP($E873,'NI-Ric_SP'!$C:$AN,MID(AJ$1,1,2),FALSE)</f>
        <v>0</v>
      </c>
      <c r="AK873" s="55">
        <f>VLOOKUP($E873,'NI-Ric_SP'!$C:$AN,MID(AK$1,1,2),FALSE)</f>
        <v>0</v>
      </c>
      <c r="AL873" s="55">
        <f>VLOOKUP($E873,'NI-Ric_SP'!$C:$AN,MID(AL$1,1,2),FALSE)</f>
        <v>0</v>
      </c>
      <c r="AM873" s="56">
        <f>VLOOKUP($E873,'NI-Ric_SP'!$C:$AN,MID(AM$1,1,2),FALSE)</f>
        <v>0</v>
      </c>
      <c r="AN873" s="30" t="str">
        <f t="shared" si="13"/>
        <v>10203010070010</v>
      </c>
    </row>
    <row r="874" spans="3:40" x14ac:dyDescent="0.25">
      <c r="C874" s="40"/>
      <c r="D874" s="101" t="s">
        <v>606</v>
      </c>
      <c r="E874" s="101" t="s">
        <v>607</v>
      </c>
      <c r="F874" s="102" t="s">
        <v>2750</v>
      </c>
      <c r="G874" s="52"/>
      <c r="H874" s="52"/>
      <c r="I874" s="52"/>
      <c r="J874" s="52"/>
      <c r="K874" s="59" t="s">
        <v>79</v>
      </c>
      <c r="L874" s="52"/>
      <c r="M874" s="52"/>
      <c r="N874" s="52"/>
      <c r="O874" s="52"/>
      <c r="P874" s="76" t="s">
        <v>608</v>
      </c>
      <c r="Q874" s="55">
        <f>VLOOKUP(E874,'NI-Ric_SP'!$C:$AN,12,FALSE)</f>
        <v>0</v>
      </c>
      <c r="R874" s="55">
        <f>VLOOKUP(E874,'NI-Ric_SP'!$C:$AN,13,FALSE)</f>
        <v>0</v>
      </c>
      <c r="S874" s="55"/>
      <c r="T874" s="55"/>
      <c r="U874" s="55">
        <f>VLOOKUP($E874,'NI-Ric_SP'!$C:$AN,MID(U$1,1,2),FALSE)</f>
        <v>0</v>
      </c>
      <c r="V874" s="55">
        <f>VLOOKUP($E874,'NI-Ric_SP'!$C:$AN,MID(V$1,1,2),FALSE)</f>
        <v>0</v>
      </c>
      <c r="W874" s="55">
        <f>VLOOKUP($E874,'NI-Ric_SP'!$C:$AN,MID(W$1,1,2),FALSE)</f>
        <v>0</v>
      </c>
      <c r="X874" s="55">
        <f>VLOOKUP($E874,'NI-Ric_SP'!$C:$AN,MID(X$1,1,2),FALSE)</f>
        <v>0</v>
      </c>
      <c r="Y874" s="55">
        <f>VLOOKUP($E874,'NI-Ric_SP'!$C:$AN,MID(Y$1,1,2),FALSE)</f>
        <v>0</v>
      </c>
      <c r="Z874" s="55">
        <f>VLOOKUP($E874,'NI-Ric_SP'!$C:$AN,MID(Z$1,1,2),FALSE)</f>
        <v>0</v>
      </c>
      <c r="AA874" s="55">
        <f>VLOOKUP($E874,'NI-Ric_SP'!$C:$AN,MID(AA$1,1,2),FALSE)</f>
        <v>0</v>
      </c>
      <c r="AB874" s="55">
        <f>VLOOKUP($E874,'NI-Ric_SP'!$C:$AN,MID(AB$1,1,2),FALSE)</f>
        <v>0</v>
      </c>
      <c r="AC874" s="55">
        <f>VLOOKUP($E874,'NI-Ric_SP'!$C:$AN,MID(AC$1,1,2),FALSE)</f>
        <v>0</v>
      </c>
      <c r="AD874" s="55">
        <f>VLOOKUP($E874,'NI-Ric_SP'!$C:$AN,MID(AD$1,1,2),FALSE)</f>
        <v>0</v>
      </c>
      <c r="AE874" s="55">
        <f>VLOOKUP($E874,'NI-Ric_SP'!$C:$AN,MID(AE$1,1,2),FALSE)</f>
        <v>0</v>
      </c>
      <c r="AF874" s="55">
        <f>VLOOKUP($E874,'NI-Ric_SP'!$C:$AN,MID(AF$1,1,2),FALSE)</f>
        <v>0</v>
      </c>
      <c r="AG874" s="55">
        <f>VLOOKUP($E874,'NI-Ric_SP'!$C:$AN,MID(AG$1,1,2),FALSE)</f>
        <v>0</v>
      </c>
      <c r="AH874" s="55">
        <f>VLOOKUP($E874,'NI-Ric_SP'!$C:$AN,MID(AH$1,1,2),FALSE)</f>
        <v>0</v>
      </c>
      <c r="AI874" s="55">
        <f>VLOOKUP($E874,'NI-Ric_SP'!$C:$AN,MID(AI$1,1,2),FALSE)</f>
        <v>0</v>
      </c>
      <c r="AJ874" s="55">
        <f>VLOOKUP($E874,'NI-Ric_SP'!$C:$AN,MID(AJ$1,1,2),FALSE)</f>
        <v>0</v>
      </c>
      <c r="AK874" s="55">
        <f>VLOOKUP($E874,'NI-Ric_SP'!$C:$AN,MID(AK$1,1,2),FALSE)</f>
        <v>0</v>
      </c>
      <c r="AL874" s="55">
        <f>VLOOKUP($E874,'NI-Ric_SP'!$C:$AN,MID(AL$1,1,2),FALSE)</f>
        <v>0</v>
      </c>
      <c r="AM874" s="56">
        <f>VLOOKUP($E874,'NI-Ric_SP'!$C:$AN,MID(AM$1,1,2),FALSE)</f>
        <v>0</v>
      </c>
      <c r="AN874" s="30" t="str">
        <f t="shared" si="13"/>
        <v>10203010070020</v>
      </c>
    </row>
    <row r="875" spans="3:40" x14ac:dyDescent="0.25">
      <c r="C875" s="40"/>
      <c r="D875" s="101" t="s">
        <v>609</v>
      </c>
      <c r="E875" s="101" t="s">
        <v>610</v>
      </c>
      <c r="F875" s="102" t="s">
        <v>2750</v>
      </c>
      <c r="G875" s="52"/>
      <c r="H875" s="52"/>
      <c r="I875" s="52" t="s">
        <v>611</v>
      </c>
      <c r="J875" s="52" t="s">
        <v>611</v>
      </c>
      <c r="K875" s="59" t="s">
        <v>111</v>
      </c>
      <c r="L875" s="62" t="s">
        <v>612</v>
      </c>
      <c r="M875" s="52"/>
      <c r="N875" s="52"/>
      <c r="O875" s="52"/>
      <c r="P875" s="76" t="s">
        <v>613</v>
      </c>
      <c r="Q875" s="55">
        <f>VLOOKUP(E875,'NI-Ric_SP'!$C:$AN,12,FALSE)</f>
        <v>0</v>
      </c>
      <c r="R875" s="55">
        <f>VLOOKUP(E875,'NI-Ric_SP'!$C:$AN,13,FALSE)</f>
        <v>0</v>
      </c>
      <c r="S875" s="55"/>
      <c r="T875" s="55"/>
      <c r="U875" s="55">
        <f>VLOOKUP($E875,'NI-Ric_SP'!$C:$AN,MID(U$1,1,2),FALSE)</f>
        <v>0</v>
      </c>
      <c r="V875" s="55">
        <f>VLOOKUP($E875,'NI-Ric_SP'!$C:$AN,MID(V$1,1,2),FALSE)</f>
        <v>0</v>
      </c>
      <c r="W875" s="55">
        <f>VLOOKUP($E875,'NI-Ric_SP'!$C:$AN,MID(W$1,1,2),FALSE)</f>
        <v>0</v>
      </c>
      <c r="X875" s="55">
        <f>VLOOKUP($E875,'NI-Ric_SP'!$C:$AN,MID(X$1,1,2),FALSE)</f>
        <v>0</v>
      </c>
      <c r="Y875" s="55">
        <f>VLOOKUP($E875,'NI-Ric_SP'!$C:$AN,MID(Y$1,1,2),FALSE)</f>
        <v>0</v>
      </c>
      <c r="Z875" s="55">
        <f>VLOOKUP($E875,'NI-Ric_SP'!$C:$AN,MID(Z$1,1,2),FALSE)</f>
        <v>0</v>
      </c>
      <c r="AA875" s="55">
        <f>VLOOKUP($E875,'NI-Ric_SP'!$C:$AN,MID(AA$1,1,2),FALSE)</f>
        <v>0</v>
      </c>
      <c r="AB875" s="55">
        <f>VLOOKUP($E875,'NI-Ric_SP'!$C:$AN,MID(AB$1,1,2),FALSE)</f>
        <v>0</v>
      </c>
      <c r="AC875" s="55">
        <f>VLOOKUP($E875,'NI-Ric_SP'!$C:$AN,MID(AC$1,1,2),FALSE)</f>
        <v>0</v>
      </c>
      <c r="AD875" s="55">
        <f>VLOOKUP($E875,'NI-Ric_SP'!$C:$AN,MID(AD$1,1,2),FALSE)</f>
        <v>0</v>
      </c>
      <c r="AE875" s="55">
        <f>VLOOKUP($E875,'NI-Ric_SP'!$C:$AN,MID(AE$1,1,2),FALSE)</f>
        <v>0</v>
      </c>
      <c r="AF875" s="55">
        <f>VLOOKUP($E875,'NI-Ric_SP'!$C:$AN,MID(AF$1,1,2),FALSE)</f>
        <v>0</v>
      </c>
      <c r="AG875" s="55">
        <f>VLOOKUP($E875,'NI-Ric_SP'!$C:$AN,MID(AG$1,1,2),FALSE)</f>
        <v>0</v>
      </c>
      <c r="AH875" s="55">
        <f>VLOOKUP($E875,'NI-Ric_SP'!$C:$AN,MID(AH$1,1,2),FALSE)</f>
        <v>0</v>
      </c>
      <c r="AI875" s="55">
        <f>VLOOKUP($E875,'NI-Ric_SP'!$C:$AN,MID(AI$1,1,2),FALSE)</f>
        <v>0</v>
      </c>
      <c r="AJ875" s="55">
        <f>VLOOKUP($E875,'NI-Ric_SP'!$C:$AN,MID(AJ$1,1,2),FALSE)</f>
        <v>0</v>
      </c>
      <c r="AK875" s="55">
        <f>VLOOKUP($E875,'NI-Ric_SP'!$C:$AN,MID(AK$1,1,2),FALSE)</f>
        <v>0</v>
      </c>
      <c r="AL875" s="55">
        <f>VLOOKUP($E875,'NI-Ric_SP'!$C:$AN,MID(AL$1,1,2),FALSE)</f>
        <v>0</v>
      </c>
      <c r="AM875" s="56">
        <f>VLOOKUP($E875,'NI-Ric_SP'!$C:$AN,MID(AM$1,1,2),FALSE)</f>
        <v>0</v>
      </c>
      <c r="AN875" s="30" t="str">
        <f t="shared" si="13"/>
        <v>10203020000000</v>
      </c>
    </row>
    <row r="876" spans="3:40" x14ac:dyDescent="0.25">
      <c r="C876" s="40"/>
      <c r="D876" s="101" t="s">
        <v>614</v>
      </c>
      <c r="E876" s="101" t="s">
        <v>615</v>
      </c>
      <c r="F876" s="102" t="s">
        <v>2750</v>
      </c>
      <c r="G876" s="52"/>
      <c r="H876" s="52"/>
      <c r="I876" s="52"/>
      <c r="J876" s="52"/>
      <c r="K876" s="59" t="s">
        <v>79</v>
      </c>
      <c r="L876" s="52"/>
      <c r="M876" s="52"/>
      <c r="N876" s="52"/>
      <c r="O876" s="52"/>
      <c r="P876" s="76" t="s">
        <v>616</v>
      </c>
      <c r="Q876" s="55">
        <f>VLOOKUP(E876,'NI-Ric_SP'!$C:$AN,12,FALSE)</f>
        <v>0</v>
      </c>
      <c r="R876" s="55">
        <f>VLOOKUP(E876,'NI-Ric_SP'!$C:$AN,13,FALSE)</f>
        <v>0</v>
      </c>
      <c r="S876" s="55"/>
      <c r="T876" s="55"/>
      <c r="U876" s="55">
        <f>VLOOKUP($E876,'NI-Ric_SP'!$C:$AN,MID(U$1,1,2),FALSE)</f>
        <v>0</v>
      </c>
      <c r="V876" s="55">
        <f>VLOOKUP($E876,'NI-Ric_SP'!$C:$AN,MID(V$1,1,2),FALSE)</f>
        <v>0</v>
      </c>
      <c r="W876" s="55">
        <f>VLOOKUP($E876,'NI-Ric_SP'!$C:$AN,MID(W$1,1,2),FALSE)</f>
        <v>0</v>
      </c>
      <c r="X876" s="55">
        <f>VLOOKUP($E876,'NI-Ric_SP'!$C:$AN,MID(X$1,1,2),FALSE)</f>
        <v>0</v>
      </c>
      <c r="Y876" s="55">
        <f>VLOOKUP($E876,'NI-Ric_SP'!$C:$AN,MID(Y$1,1,2),FALSE)</f>
        <v>0</v>
      </c>
      <c r="Z876" s="55">
        <f>VLOOKUP($E876,'NI-Ric_SP'!$C:$AN,MID(Z$1,1,2),FALSE)</f>
        <v>0</v>
      </c>
      <c r="AA876" s="55">
        <f>VLOOKUP($E876,'NI-Ric_SP'!$C:$AN,MID(AA$1,1,2),FALSE)</f>
        <v>0</v>
      </c>
      <c r="AB876" s="55">
        <f>VLOOKUP($E876,'NI-Ric_SP'!$C:$AN,MID(AB$1,1,2),FALSE)</f>
        <v>0</v>
      </c>
      <c r="AC876" s="55">
        <f>VLOOKUP($E876,'NI-Ric_SP'!$C:$AN,MID(AC$1,1,2),FALSE)</f>
        <v>0</v>
      </c>
      <c r="AD876" s="55">
        <f>VLOOKUP($E876,'NI-Ric_SP'!$C:$AN,MID(AD$1,1,2),FALSE)</f>
        <v>0</v>
      </c>
      <c r="AE876" s="55">
        <f>VLOOKUP($E876,'NI-Ric_SP'!$C:$AN,MID(AE$1,1,2),FALSE)</f>
        <v>0</v>
      </c>
      <c r="AF876" s="55">
        <f>VLOOKUP($E876,'NI-Ric_SP'!$C:$AN,MID(AF$1,1,2),FALSE)</f>
        <v>0</v>
      </c>
      <c r="AG876" s="55">
        <f>VLOOKUP($E876,'NI-Ric_SP'!$C:$AN,MID(AG$1,1,2),FALSE)</f>
        <v>0</v>
      </c>
      <c r="AH876" s="55">
        <f>VLOOKUP($E876,'NI-Ric_SP'!$C:$AN,MID(AH$1,1,2),FALSE)</f>
        <v>0</v>
      </c>
      <c r="AI876" s="55">
        <f>VLOOKUP($E876,'NI-Ric_SP'!$C:$AN,MID(AI$1,1,2),FALSE)</f>
        <v>0</v>
      </c>
      <c r="AJ876" s="55">
        <f>VLOOKUP($E876,'NI-Ric_SP'!$C:$AN,MID(AJ$1,1,2),FALSE)</f>
        <v>0</v>
      </c>
      <c r="AK876" s="55">
        <f>VLOOKUP($E876,'NI-Ric_SP'!$C:$AN,MID(AK$1,1,2),FALSE)</f>
        <v>0</v>
      </c>
      <c r="AL876" s="55">
        <f>VLOOKUP($E876,'NI-Ric_SP'!$C:$AN,MID(AL$1,1,2),FALSE)</f>
        <v>0</v>
      </c>
      <c r="AM876" s="56">
        <f>VLOOKUP($E876,'NI-Ric_SP'!$C:$AN,MID(AM$1,1,2),FALSE)</f>
        <v>0</v>
      </c>
      <c r="AN876" s="30" t="str">
        <f t="shared" si="13"/>
        <v>10203020010010</v>
      </c>
    </row>
    <row r="877" spans="3:40" x14ac:dyDescent="0.25">
      <c r="C877" s="40"/>
      <c r="D877" s="101" t="s">
        <v>617</v>
      </c>
      <c r="E877" s="101" t="s">
        <v>618</v>
      </c>
      <c r="F877" s="102" t="s">
        <v>2750</v>
      </c>
      <c r="G877" s="52"/>
      <c r="H877" s="52"/>
      <c r="I877" s="52"/>
      <c r="J877" s="52"/>
      <c r="K877" s="59" t="s">
        <v>79</v>
      </c>
      <c r="L877" s="52"/>
      <c r="M877" s="52"/>
      <c r="N877" s="52"/>
      <c r="O877" s="52"/>
      <c r="P877" s="76" t="s">
        <v>619</v>
      </c>
      <c r="Q877" s="55">
        <f>VLOOKUP(E877,'NI-Ric_SP'!$C:$AN,12,FALSE)</f>
        <v>0</v>
      </c>
      <c r="R877" s="55">
        <f>VLOOKUP(E877,'NI-Ric_SP'!$C:$AN,13,FALSE)</f>
        <v>0</v>
      </c>
      <c r="S877" s="55"/>
      <c r="T877" s="55"/>
      <c r="U877" s="55">
        <f>VLOOKUP($E877,'NI-Ric_SP'!$C:$AN,MID(U$1,1,2),FALSE)</f>
        <v>0</v>
      </c>
      <c r="V877" s="55">
        <f>VLOOKUP($E877,'NI-Ric_SP'!$C:$AN,MID(V$1,1,2),FALSE)</f>
        <v>0</v>
      </c>
      <c r="W877" s="55">
        <f>VLOOKUP($E877,'NI-Ric_SP'!$C:$AN,MID(W$1,1,2),FALSE)</f>
        <v>0</v>
      </c>
      <c r="X877" s="55">
        <f>VLOOKUP($E877,'NI-Ric_SP'!$C:$AN,MID(X$1,1,2),FALSE)</f>
        <v>0</v>
      </c>
      <c r="Y877" s="55">
        <f>VLOOKUP($E877,'NI-Ric_SP'!$C:$AN,MID(Y$1,1,2),FALSE)</f>
        <v>0</v>
      </c>
      <c r="Z877" s="55">
        <f>VLOOKUP($E877,'NI-Ric_SP'!$C:$AN,MID(Z$1,1,2),FALSE)</f>
        <v>0</v>
      </c>
      <c r="AA877" s="55">
        <f>VLOOKUP($E877,'NI-Ric_SP'!$C:$AN,MID(AA$1,1,2),FALSE)</f>
        <v>0</v>
      </c>
      <c r="AB877" s="55">
        <f>VLOOKUP($E877,'NI-Ric_SP'!$C:$AN,MID(AB$1,1,2),FALSE)</f>
        <v>0</v>
      </c>
      <c r="AC877" s="55">
        <f>VLOOKUP($E877,'NI-Ric_SP'!$C:$AN,MID(AC$1,1,2),FALSE)</f>
        <v>0</v>
      </c>
      <c r="AD877" s="55">
        <f>VLOOKUP($E877,'NI-Ric_SP'!$C:$AN,MID(AD$1,1,2),FALSE)</f>
        <v>0</v>
      </c>
      <c r="AE877" s="55">
        <f>VLOOKUP($E877,'NI-Ric_SP'!$C:$AN,MID(AE$1,1,2),FALSE)</f>
        <v>0</v>
      </c>
      <c r="AF877" s="55">
        <f>VLOOKUP($E877,'NI-Ric_SP'!$C:$AN,MID(AF$1,1,2),FALSE)</f>
        <v>0</v>
      </c>
      <c r="AG877" s="55">
        <f>VLOOKUP($E877,'NI-Ric_SP'!$C:$AN,MID(AG$1,1,2),FALSE)</f>
        <v>0</v>
      </c>
      <c r="AH877" s="55">
        <f>VLOOKUP($E877,'NI-Ric_SP'!$C:$AN,MID(AH$1,1,2),FALSE)</f>
        <v>0</v>
      </c>
      <c r="AI877" s="55">
        <f>VLOOKUP($E877,'NI-Ric_SP'!$C:$AN,MID(AI$1,1,2),FALSE)</f>
        <v>0</v>
      </c>
      <c r="AJ877" s="55">
        <f>VLOOKUP($E877,'NI-Ric_SP'!$C:$AN,MID(AJ$1,1,2),FALSE)</f>
        <v>0</v>
      </c>
      <c r="AK877" s="55">
        <f>VLOOKUP($E877,'NI-Ric_SP'!$C:$AN,MID(AK$1,1,2),FALSE)</f>
        <v>0</v>
      </c>
      <c r="AL877" s="55">
        <f>VLOOKUP($E877,'NI-Ric_SP'!$C:$AN,MID(AL$1,1,2),FALSE)</f>
        <v>0</v>
      </c>
      <c r="AM877" s="56">
        <f>VLOOKUP($E877,'NI-Ric_SP'!$C:$AN,MID(AM$1,1,2),FALSE)</f>
        <v>0</v>
      </c>
      <c r="AN877" s="30" t="str">
        <f t="shared" si="13"/>
        <v>10203020010020</v>
      </c>
    </row>
    <row r="878" spans="3:40" x14ac:dyDescent="0.25">
      <c r="C878" s="40"/>
      <c r="D878" s="101" t="s">
        <v>620</v>
      </c>
      <c r="E878" s="101" t="s">
        <v>621</v>
      </c>
      <c r="F878" s="102" t="s">
        <v>2750</v>
      </c>
      <c r="G878" s="52"/>
      <c r="H878" s="52"/>
      <c r="I878" s="52"/>
      <c r="J878" s="52"/>
      <c r="K878" s="59" t="s">
        <v>79</v>
      </c>
      <c r="L878" s="52"/>
      <c r="M878" s="52"/>
      <c r="N878" s="52"/>
      <c r="O878" s="52"/>
      <c r="P878" s="76" t="s">
        <v>622</v>
      </c>
      <c r="Q878" s="55">
        <f>VLOOKUP(E878,'NI-Ric_SP'!$C:$AN,12,FALSE)</f>
        <v>0</v>
      </c>
      <c r="R878" s="55">
        <f>VLOOKUP(E878,'NI-Ric_SP'!$C:$AN,13,FALSE)</f>
        <v>0</v>
      </c>
      <c r="S878" s="55"/>
      <c r="T878" s="55"/>
      <c r="U878" s="55">
        <f>VLOOKUP($E878,'NI-Ric_SP'!$C:$AN,MID(U$1,1,2),FALSE)</f>
        <v>0</v>
      </c>
      <c r="V878" s="55">
        <f>VLOOKUP($E878,'NI-Ric_SP'!$C:$AN,MID(V$1,1,2),FALSE)</f>
        <v>0</v>
      </c>
      <c r="W878" s="55">
        <f>VLOOKUP($E878,'NI-Ric_SP'!$C:$AN,MID(W$1,1,2),FALSE)</f>
        <v>0</v>
      </c>
      <c r="X878" s="55">
        <f>VLOOKUP($E878,'NI-Ric_SP'!$C:$AN,MID(X$1,1,2),FALSE)</f>
        <v>0</v>
      </c>
      <c r="Y878" s="55">
        <f>VLOOKUP($E878,'NI-Ric_SP'!$C:$AN,MID(Y$1,1,2),FALSE)</f>
        <v>0</v>
      </c>
      <c r="Z878" s="55">
        <f>VLOOKUP($E878,'NI-Ric_SP'!$C:$AN,MID(Z$1,1,2),FALSE)</f>
        <v>0</v>
      </c>
      <c r="AA878" s="55">
        <f>VLOOKUP($E878,'NI-Ric_SP'!$C:$AN,MID(AA$1,1,2),FALSE)</f>
        <v>0</v>
      </c>
      <c r="AB878" s="55">
        <f>VLOOKUP($E878,'NI-Ric_SP'!$C:$AN,MID(AB$1,1,2),FALSE)</f>
        <v>0</v>
      </c>
      <c r="AC878" s="55">
        <f>VLOOKUP($E878,'NI-Ric_SP'!$C:$AN,MID(AC$1,1,2),FALSE)</f>
        <v>0</v>
      </c>
      <c r="AD878" s="55">
        <f>VLOOKUP($E878,'NI-Ric_SP'!$C:$AN,MID(AD$1,1,2),FALSE)</f>
        <v>0</v>
      </c>
      <c r="AE878" s="55">
        <f>VLOOKUP($E878,'NI-Ric_SP'!$C:$AN,MID(AE$1,1,2),FALSE)</f>
        <v>0</v>
      </c>
      <c r="AF878" s="55">
        <f>VLOOKUP($E878,'NI-Ric_SP'!$C:$AN,MID(AF$1,1,2),FALSE)</f>
        <v>0</v>
      </c>
      <c r="AG878" s="55">
        <f>VLOOKUP($E878,'NI-Ric_SP'!$C:$AN,MID(AG$1,1,2),FALSE)</f>
        <v>0</v>
      </c>
      <c r="AH878" s="55">
        <f>VLOOKUP($E878,'NI-Ric_SP'!$C:$AN,MID(AH$1,1,2),FALSE)</f>
        <v>0</v>
      </c>
      <c r="AI878" s="55">
        <f>VLOOKUP($E878,'NI-Ric_SP'!$C:$AN,MID(AI$1,1,2),FALSE)</f>
        <v>0</v>
      </c>
      <c r="AJ878" s="55">
        <f>VLOOKUP($E878,'NI-Ric_SP'!$C:$AN,MID(AJ$1,1,2),FALSE)</f>
        <v>0</v>
      </c>
      <c r="AK878" s="55">
        <f>VLOOKUP($E878,'NI-Ric_SP'!$C:$AN,MID(AK$1,1,2),FALSE)</f>
        <v>0</v>
      </c>
      <c r="AL878" s="55">
        <f>VLOOKUP($E878,'NI-Ric_SP'!$C:$AN,MID(AL$1,1,2),FALSE)</f>
        <v>0</v>
      </c>
      <c r="AM878" s="56">
        <f>VLOOKUP($E878,'NI-Ric_SP'!$C:$AN,MID(AM$1,1,2),FALSE)</f>
        <v>0</v>
      </c>
      <c r="AN878" s="30" t="str">
        <f t="shared" si="13"/>
        <v>10203020020010</v>
      </c>
    </row>
    <row r="879" spans="3:40" x14ac:dyDescent="0.25">
      <c r="C879" s="40"/>
      <c r="D879" s="101" t="s">
        <v>623</v>
      </c>
      <c r="E879" s="101" t="s">
        <v>624</v>
      </c>
      <c r="F879" s="102" t="s">
        <v>2750</v>
      </c>
      <c r="G879" s="52"/>
      <c r="H879" s="52"/>
      <c r="I879" s="52"/>
      <c r="J879" s="52"/>
      <c r="K879" s="59" t="s">
        <v>79</v>
      </c>
      <c r="L879" s="52"/>
      <c r="M879" s="52"/>
      <c r="N879" s="52"/>
      <c r="O879" s="52"/>
      <c r="P879" s="76" t="s">
        <v>625</v>
      </c>
      <c r="Q879" s="55">
        <f>VLOOKUP(E879,'NI-Ric_SP'!$C:$AN,12,FALSE)</f>
        <v>0</v>
      </c>
      <c r="R879" s="55">
        <f>VLOOKUP(E879,'NI-Ric_SP'!$C:$AN,13,FALSE)</f>
        <v>0</v>
      </c>
      <c r="S879" s="55"/>
      <c r="T879" s="55"/>
      <c r="U879" s="55">
        <f>VLOOKUP($E879,'NI-Ric_SP'!$C:$AN,MID(U$1,1,2),FALSE)</f>
        <v>0</v>
      </c>
      <c r="V879" s="55">
        <f>VLOOKUP($E879,'NI-Ric_SP'!$C:$AN,MID(V$1,1,2),FALSE)</f>
        <v>0</v>
      </c>
      <c r="W879" s="55">
        <f>VLOOKUP($E879,'NI-Ric_SP'!$C:$AN,MID(W$1,1,2),FALSE)</f>
        <v>0</v>
      </c>
      <c r="X879" s="55">
        <f>VLOOKUP($E879,'NI-Ric_SP'!$C:$AN,MID(X$1,1,2),FALSE)</f>
        <v>0</v>
      </c>
      <c r="Y879" s="55">
        <f>VLOOKUP($E879,'NI-Ric_SP'!$C:$AN,MID(Y$1,1,2),FALSE)</f>
        <v>0</v>
      </c>
      <c r="Z879" s="55">
        <f>VLOOKUP($E879,'NI-Ric_SP'!$C:$AN,MID(Z$1,1,2),FALSE)</f>
        <v>0</v>
      </c>
      <c r="AA879" s="55">
        <f>VLOOKUP($E879,'NI-Ric_SP'!$C:$AN,MID(AA$1,1,2),FALSE)</f>
        <v>0</v>
      </c>
      <c r="AB879" s="55">
        <f>VLOOKUP($E879,'NI-Ric_SP'!$C:$AN,MID(AB$1,1,2),FALSE)</f>
        <v>0</v>
      </c>
      <c r="AC879" s="55">
        <f>VLOOKUP($E879,'NI-Ric_SP'!$C:$AN,MID(AC$1,1,2),FALSE)</f>
        <v>0</v>
      </c>
      <c r="AD879" s="55">
        <f>VLOOKUP($E879,'NI-Ric_SP'!$C:$AN,MID(AD$1,1,2),FALSE)</f>
        <v>0</v>
      </c>
      <c r="AE879" s="55">
        <f>VLOOKUP($E879,'NI-Ric_SP'!$C:$AN,MID(AE$1,1,2),FALSE)</f>
        <v>0</v>
      </c>
      <c r="AF879" s="55">
        <f>VLOOKUP($E879,'NI-Ric_SP'!$C:$AN,MID(AF$1,1,2),FALSE)</f>
        <v>0</v>
      </c>
      <c r="AG879" s="55">
        <f>VLOOKUP($E879,'NI-Ric_SP'!$C:$AN,MID(AG$1,1,2),FALSE)</f>
        <v>0</v>
      </c>
      <c r="AH879" s="55">
        <f>VLOOKUP($E879,'NI-Ric_SP'!$C:$AN,MID(AH$1,1,2),FALSE)</f>
        <v>0</v>
      </c>
      <c r="AI879" s="55">
        <f>VLOOKUP($E879,'NI-Ric_SP'!$C:$AN,MID(AI$1,1,2),FALSE)</f>
        <v>0</v>
      </c>
      <c r="AJ879" s="55">
        <f>VLOOKUP($E879,'NI-Ric_SP'!$C:$AN,MID(AJ$1,1,2),FALSE)</f>
        <v>0</v>
      </c>
      <c r="AK879" s="55">
        <f>VLOOKUP($E879,'NI-Ric_SP'!$C:$AN,MID(AK$1,1,2),FALSE)</f>
        <v>0</v>
      </c>
      <c r="AL879" s="55">
        <f>VLOOKUP($E879,'NI-Ric_SP'!$C:$AN,MID(AL$1,1,2),FALSE)</f>
        <v>0</v>
      </c>
      <c r="AM879" s="56">
        <f>VLOOKUP($E879,'NI-Ric_SP'!$C:$AN,MID(AM$1,1,2),FALSE)</f>
        <v>0</v>
      </c>
      <c r="AN879" s="30" t="str">
        <f t="shared" si="13"/>
        <v>10203020020020</v>
      </c>
    </row>
    <row r="880" spans="3:40" x14ac:dyDescent="0.25">
      <c r="C880" s="40"/>
      <c r="D880" s="101" t="s">
        <v>626</v>
      </c>
      <c r="E880" s="101" t="s">
        <v>627</v>
      </c>
      <c r="F880" s="102" t="s">
        <v>2750</v>
      </c>
      <c r="G880" s="52"/>
      <c r="H880" s="52"/>
      <c r="I880" s="52"/>
      <c r="J880" s="52"/>
      <c r="K880" s="59" t="s">
        <v>79</v>
      </c>
      <c r="L880" s="52"/>
      <c r="M880" s="52"/>
      <c r="N880" s="52"/>
      <c r="O880" s="52"/>
      <c r="P880" s="76" t="s">
        <v>628</v>
      </c>
      <c r="Q880" s="55">
        <f>VLOOKUP(E880,'NI-Ric_SP'!$C:$AN,12,FALSE)</f>
        <v>0</v>
      </c>
      <c r="R880" s="55">
        <f>VLOOKUP(E880,'NI-Ric_SP'!$C:$AN,13,FALSE)</f>
        <v>0</v>
      </c>
      <c r="S880" s="55"/>
      <c r="T880" s="55"/>
      <c r="U880" s="55">
        <f>VLOOKUP($E880,'NI-Ric_SP'!$C:$AN,MID(U$1,1,2),FALSE)</f>
        <v>0</v>
      </c>
      <c r="V880" s="55">
        <f>VLOOKUP($E880,'NI-Ric_SP'!$C:$AN,MID(V$1,1,2),FALSE)</f>
        <v>0</v>
      </c>
      <c r="W880" s="55">
        <f>VLOOKUP($E880,'NI-Ric_SP'!$C:$AN,MID(W$1,1,2),FALSE)</f>
        <v>0</v>
      </c>
      <c r="X880" s="55">
        <f>VLOOKUP($E880,'NI-Ric_SP'!$C:$AN,MID(X$1,1,2),FALSE)</f>
        <v>0</v>
      </c>
      <c r="Y880" s="55">
        <f>VLOOKUP($E880,'NI-Ric_SP'!$C:$AN,MID(Y$1,1,2),FALSE)</f>
        <v>0</v>
      </c>
      <c r="Z880" s="55">
        <f>VLOOKUP($E880,'NI-Ric_SP'!$C:$AN,MID(Z$1,1,2),FALSE)</f>
        <v>0</v>
      </c>
      <c r="AA880" s="55">
        <f>VLOOKUP($E880,'NI-Ric_SP'!$C:$AN,MID(AA$1,1,2),FALSE)</f>
        <v>0</v>
      </c>
      <c r="AB880" s="55">
        <f>VLOOKUP($E880,'NI-Ric_SP'!$C:$AN,MID(AB$1,1,2),FALSE)</f>
        <v>0</v>
      </c>
      <c r="AC880" s="55">
        <f>VLOOKUP($E880,'NI-Ric_SP'!$C:$AN,MID(AC$1,1,2),FALSE)</f>
        <v>0</v>
      </c>
      <c r="AD880" s="55">
        <f>VLOOKUP($E880,'NI-Ric_SP'!$C:$AN,MID(AD$1,1,2),FALSE)</f>
        <v>0</v>
      </c>
      <c r="AE880" s="55">
        <f>VLOOKUP($E880,'NI-Ric_SP'!$C:$AN,MID(AE$1,1,2),FALSE)</f>
        <v>0</v>
      </c>
      <c r="AF880" s="55">
        <f>VLOOKUP($E880,'NI-Ric_SP'!$C:$AN,MID(AF$1,1,2),FALSE)</f>
        <v>0</v>
      </c>
      <c r="AG880" s="55">
        <f>VLOOKUP($E880,'NI-Ric_SP'!$C:$AN,MID(AG$1,1,2),FALSE)</f>
        <v>0</v>
      </c>
      <c r="AH880" s="55">
        <f>VLOOKUP($E880,'NI-Ric_SP'!$C:$AN,MID(AH$1,1,2),FALSE)</f>
        <v>0</v>
      </c>
      <c r="AI880" s="55">
        <f>VLOOKUP($E880,'NI-Ric_SP'!$C:$AN,MID(AI$1,1,2),FALSE)</f>
        <v>0</v>
      </c>
      <c r="AJ880" s="55">
        <f>VLOOKUP($E880,'NI-Ric_SP'!$C:$AN,MID(AJ$1,1,2),FALSE)</f>
        <v>0</v>
      </c>
      <c r="AK880" s="55">
        <f>VLOOKUP($E880,'NI-Ric_SP'!$C:$AN,MID(AK$1,1,2),FALSE)</f>
        <v>0</v>
      </c>
      <c r="AL880" s="55">
        <f>VLOOKUP($E880,'NI-Ric_SP'!$C:$AN,MID(AL$1,1,2),FALSE)</f>
        <v>0</v>
      </c>
      <c r="AM880" s="56">
        <f>VLOOKUP($E880,'NI-Ric_SP'!$C:$AN,MID(AM$1,1,2),FALSE)</f>
        <v>0</v>
      </c>
      <c r="AN880" s="30" t="str">
        <f t="shared" si="13"/>
        <v>10203020030010</v>
      </c>
    </row>
    <row r="881" spans="3:40" x14ac:dyDescent="0.25">
      <c r="C881" s="40"/>
      <c r="D881" s="101" t="s">
        <v>629</v>
      </c>
      <c r="E881" s="101" t="s">
        <v>630</v>
      </c>
      <c r="F881" s="102" t="s">
        <v>2750</v>
      </c>
      <c r="G881" s="52"/>
      <c r="H881" s="52"/>
      <c r="I881" s="52"/>
      <c r="J881" s="52"/>
      <c r="K881" s="59" t="s">
        <v>79</v>
      </c>
      <c r="L881" s="52"/>
      <c r="M881" s="52"/>
      <c r="N881" s="52"/>
      <c r="O881" s="52"/>
      <c r="P881" s="76" t="s">
        <v>631</v>
      </c>
      <c r="Q881" s="55">
        <f>VLOOKUP(E881,'NI-Ric_SP'!$C:$AN,12,FALSE)</f>
        <v>0</v>
      </c>
      <c r="R881" s="55">
        <f>VLOOKUP(E881,'NI-Ric_SP'!$C:$AN,13,FALSE)</f>
        <v>0</v>
      </c>
      <c r="S881" s="55"/>
      <c r="T881" s="55"/>
      <c r="U881" s="55">
        <f>VLOOKUP($E881,'NI-Ric_SP'!$C:$AN,MID(U$1,1,2),FALSE)</f>
        <v>0</v>
      </c>
      <c r="V881" s="55">
        <f>VLOOKUP($E881,'NI-Ric_SP'!$C:$AN,MID(V$1,1,2),FALSE)</f>
        <v>0</v>
      </c>
      <c r="W881" s="55">
        <f>VLOOKUP($E881,'NI-Ric_SP'!$C:$AN,MID(W$1,1,2),FALSE)</f>
        <v>0</v>
      </c>
      <c r="X881" s="55">
        <f>VLOOKUP($E881,'NI-Ric_SP'!$C:$AN,MID(X$1,1,2),FALSE)</f>
        <v>0</v>
      </c>
      <c r="Y881" s="55">
        <f>VLOOKUP($E881,'NI-Ric_SP'!$C:$AN,MID(Y$1,1,2),FALSE)</f>
        <v>0</v>
      </c>
      <c r="Z881" s="55">
        <f>VLOOKUP($E881,'NI-Ric_SP'!$C:$AN,MID(Z$1,1,2),FALSE)</f>
        <v>0</v>
      </c>
      <c r="AA881" s="55">
        <f>VLOOKUP($E881,'NI-Ric_SP'!$C:$AN,MID(AA$1,1,2),FALSE)</f>
        <v>0</v>
      </c>
      <c r="AB881" s="55">
        <f>VLOOKUP($E881,'NI-Ric_SP'!$C:$AN,MID(AB$1,1,2),FALSE)</f>
        <v>0</v>
      </c>
      <c r="AC881" s="55">
        <f>VLOOKUP($E881,'NI-Ric_SP'!$C:$AN,MID(AC$1,1,2),FALSE)</f>
        <v>0</v>
      </c>
      <c r="AD881" s="55">
        <f>VLOOKUP($E881,'NI-Ric_SP'!$C:$AN,MID(AD$1,1,2),FALSE)</f>
        <v>0</v>
      </c>
      <c r="AE881" s="55">
        <f>VLOOKUP($E881,'NI-Ric_SP'!$C:$AN,MID(AE$1,1,2),FALSE)</f>
        <v>0</v>
      </c>
      <c r="AF881" s="55">
        <f>VLOOKUP($E881,'NI-Ric_SP'!$C:$AN,MID(AF$1,1,2),FALSE)</f>
        <v>0</v>
      </c>
      <c r="AG881" s="55">
        <f>VLOOKUP($E881,'NI-Ric_SP'!$C:$AN,MID(AG$1,1,2),FALSE)</f>
        <v>0</v>
      </c>
      <c r="AH881" s="55">
        <f>VLOOKUP($E881,'NI-Ric_SP'!$C:$AN,MID(AH$1,1,2),FALSE)</f>
        <v>0</v>
      </c>
      <c r="AI881" s="55">
        <f>VLOOKUP($E881,'NI-Ric_SP'!$C:$AN,MID(AI$1,1,2),FALSE)</f>
        <v>0</v>
      </c>
      <c r="AJ881" s="55">
        <f>VLOOKUP($E881,'NI-Ric_SP'!$C:$AN,MID(AJ$1,1,2),FALSE)</f>
        <v>0</v>
      </c>
      <c r="AK881" s="55">
        <f>VLOOKUP($E881,'NI-Ric_SP'!$C:$AN,MID(AK$1,1,2),FALSE)</f>
        <v>0</v>
      </c>
      <c r="AL881" s="55">
        <f>VLOOKUP($E881,'NI-Ric_SP'!$C:$AN,MID(AL$1,1,2),FALSE)</f>
        <v>0</v>
      </c>
      <c r="AM881" s="56">
        <f>VLOOKUP($E881,'NI-Ric_SP'!$C:$AN,MID(AM$1,1,2),FALSE)</f>
        <v>0</v>
      </c>
      <c r="AN881" s="30" t="str">
        <f t="shared" si="13"/>
        <v>10203020030020</v>
      </c>
    </row>
    <row r="882" spans="3:40" x14ac:dyDescent="0.25">
      <c r="C882" s="40"/>
      <c r="D882" s="101" t="s">
        <v>632</v>
      </c>
      <c r="E882" s="101" t="s">
        <v>633</v>
      </c>
      <c r="F882" s="102" t="s">
        <v>2750</v>
      </c>
      <c r="G882" s="52"/>
      <c r="H882" s="52"/>
      <c r="I882" s="52"/>
      <c r="J882" s="52"/>
      <c r="K882" s="59" t="s">
        <v>79</v>
      </c>
      <c r="L882" s="52"/>
      <c r="M882" s="52"/>
      <c r="N882" s="52"/>
      <c r="O882" s="52"/>
      <c r="P882" s="76" t="s">
        <v>634</v>
      </c>
      <c r="Q882" s="55">
        <f>VLOOKUP(E882,'NI-Ric_SP'!$C:$AN,12,FALSE)</f>
        <v>0</v>
      </c>
      <c r="R882" s="55">
        <f>VLOOKUP(E882,'NI-Ric_SP'!$C:$AN,13,FALSE)</f>
        <v>0</v>
      </c>
      <c r="S882" s="55"/>
      <c r="T882" s="55"/>
      <c r="U882" s="55">
        <f>VLOOKUP($E882,'NI-Ric_SP'!$C:$AN,MID(U$1,1,2),FALSE)</f>
        <v>0</v>
      </c>
      <c r="V882" s="55">
        <f>VLOOKUP($E882,'NI-Ric_SP'!$C:$AN,MID(V$1,1,2),FALSE)</f>
        <v>0</v>
      </c>
      <c r="W882" s="55">
        <f>VLOOKUP($E882,'NI-Ric_SP'!$C:$AN,MID(W$1,1,2),FALSE)</f>
        <v>0</v>
      </c>
      <c r="X882" s="55">
        <f>VLOOKUP($E882,'NI-Ric_SP'!$C:$AN,MID(X$1,1,2),FALSE)</f>
        <v>0</v>
      </c>
      <c r="Y882" s="55">
        <f>VLOOKUP($E882,'NI-Ric_SP'!$C:$AN,MID(Y$1,1,2),FALSE)</f>
        <v>0</v>
      </c>
      <c r="Z882" s="55">
        <f>VLOOKUP($E882,'NI-Ric_SP'!$C:$AN,MID(Z$1,1,2),FALSE)</f>
        <v>0</v>
      </c>
      <c r="AA882" s="55">
        <f>VLOOKUP($E882,'NI-Ric_SP'!$C:$AN,MID(AA$1,1,2),FALSE)</f>
        <v>0</v>
      </c>
      <c r="AB882" s="55">
        <f>VLOOKUP($E882,'NI-Ric_SP'!$C:$AN,MID(AB$1,1,2),FALSE)</f>
        <v>0</v>
      </c>
      <c r="AC882" s="55">
        <f>VLOOKUP($E882,'NI-Ric_SP'!$C:$AN,MID(AC$1,1,2),FALSE)</f>
        <v>0</v>
      </c>
      <c r="AD882" s="55">
        <f>VLOOKUP($E882,'NI-Ric_SP'!$C:$AN,MID(AD$1,1,2),FALSE)</f>
        <v>0</v>
      </c>
      <c r="AE882" s="55">
        <f>VLOOKUP($E882,'NI-Ric_SP'!$C:$AN,MID(AE$1,1,2),FALSE)</f>
        <v>0</v>
      </c>
      <c r="AF882" s="55">
        <f>VLOOKUP($E882,'NI-Ric_SP'!$C:$AN,MID(AF$1,1,2),FALSE)</f>
        <v>0</v>
      </c>
      <c r="AG882" s="55">
        <f>VLOOKUP($E882,'NI-Ric_SP'!$C:$AN,MID(AG$1,1,2),FALSE)</f>
        <v>0</v>
      </c>
      <c r="AH882" s="55">
        <f>VLOOKUP($E882,'NI-Ric_SP'!$C:$AN,MID(AH$1,1,2),FALSE)</f>
        <v>0</v>
      </c>
      <c r="AI882" s="55">
        <f>VLOOKUP($E882,'NI-Ric_SP'!$C:$AN,MID(AI$1,1,2),FALSE)</f>
        <v>0</v>
      </c>
      <c r="AJ882" s="55">
        <f>VLOOKUP($E882,'NI-Ric_SP'!$C:$AN,MID(AJ$1,1,2),FALSE)</f>
        <v>0</v>
      </c>
      <c r="AK882" s="55">
        <f>VLOOKUP($E882,'NI-Ric_SP'!$C:$AN,MID(AK$1,1,2),FALSE)</f>
        <v>0</v>
      </c>
      <c r="AL882" s="55">
        <f>VLOOKUP($E882,'NI-Ric_SP'!$C:$AN,MID(AL$1,1,2),FALSE)</f>
        <v>0</v>
      </c>
      <c r="AM882" s="56">
        <f>VLOOKUP($E882,'NI-Ric_SP'!$C:$AN,MID(AM$1,1,2),FALSE)</f>
        <v>0</v>
      </c>
      <c r="AN882" s="30" t="str">
        <f t="shared" si="13"/>
        <v>10203020040010</v>
      </c>
    </row>
    <row r="883" spans="3:40" x14ac:dyDescent="0.25">
      <c r="C883" s="40"/>
      <c r="D883" s="101" t="s">
        <v>635</v>
      </c>
      <c r="E883" s="101" t="s">
        <v>636</v>
      </c>
      <c r="F883" s="102" t="s">
        <v>2750</v>
      </c>
      <c r="G883" s="52"/>
      <c r="H883" s="52"/>
      <c r="I883" s="52"/>
      <c r="J883" s="52"/>
      <c r="K883" s="59" t="s">
        <v>79</v>
      </c>
      <c r="L883" s="52"/>
      <c r="M883" s="52"/>
      <c r="N883" s="52"/>
      <c r="O883" s="52"/>
      <c r="P883" s="76" t="s">
        <v>637</v>
      </c>
      <c r="Q883" s="55">
        <f>VLOOKUP(E883,'NI-Ric_SP'!$C:$AN,12,FALSE)</f>
        <v>0</v>
      </c>
      <c r="R883" s="55">
        <f>VLOOKUP(E883,'NI-Ric_SP'!$C:$AN,13,FALSE)</f>
        <v>0</v>
      </c>
      <c r="S883" s="55"/>
      <c r="T883" s="55"/>
      <c r="U883" s="55">
        <f>VLOOKUP($E883,'NI-Ric_SP'!$C:$AN,MID(U$1,1,2),FALSE)</f>
        <v>0</v>
      </c>
      <c r="V883" s="55">
        <f>VLOOKUP($E883,'NI-Ric_SP'!$C:$AN,MID(V$1,1,2),FALSE)</f>
        <v>0</v>
      </c>
      <c r="W883" s="55">
        <f>VLOOKUP($E883,'NI-Ric_SP'!$C:$AN,MID(W$1,1,2),FALSE)</f>
        <v>0</v>
      </c>
      <c r="X883" s="55">
        <f>VLOOKUP($E883,'NI-Ric_SP'!$C:$AN,MID(X$1,1,2),FALSE)</f>
        <v>0</v>
      </c>
      <c r="Y883" s="55">
        <f>VLOOKUP($E883,'NI-Ric_SP'!$C:$AN,MID(Y$1,1,2),FALSE)</f>
        <v>0</v>
      </c>
      <c r="Z883" s="55">
        <f>VLOOKUP($E883,'NI-Ric_SP'!$C:$AN,MID(Z$1,1,2),FALSE)</f>
        <v>0</v>
      </c>
      <c r="AA883" s="55">
        <f>VLOOKUP($E883,'NI-Ric_SP'!$C:$AN,MID(AA$1,1,2),FALSE)</f>
        <v>0</v>
      </c>
      <c r="AB883" s="55">
        <f>VLOOKUP($E883,'NI-Ric_SP'!$C:$AN,MID(AB$1,1,2),FALSE)</f>
        <v>0</v>
      </c>
      <c r="AC883" s="55">
        <f>VLOOKUP($E883,'NI-Ric_SP'!$C:$AN,MID(AC$1,1,2),FALSE)</f>
        <v>0</v>
      </c>
      <c r="AD883" s="55">
        <f>VLOOKUP($E883,'NI-Ric_SP'!$C:$AN,MID(AD$1,1,2),FALSE)</f>
        <v>0</v>
      </c>
      <c r="AE883" s="55">
        <f>VLOOKUP($E883,'NI-Ric_SP'!$C:$AN,MID(AE$1,1,2),FALSE)</f>
        <v>0</v>
      </c>
      <c r="AF883" s="55">
        <f>VLOOKUP($E883,'NI-Ric_SP'!$C:$AN,MID(AF$1,1,2),FALSE)</f>
        <v>0</v>
      </c>
      <c r="AG883" s="55">
        <f>VLOOKUP($E883,'NI-Ric_SP'!$C:$AN,MID(AG$1,1,2),FALSE)</f>
        <v>0</v>
      </c>
      <c r="AH883" s="55">
        <f>VLOOKUP($E883,'NI-Ric_SP'!$C:$AN,MID(AH$1,1,2),FALSE)</f>
        <v>0</v>
      </c>
      <c r="AI883" s="55">
        <f>VLOOKUP($E883,'NI-Ric_SP'!$C:$AN,MID(AI$1,1,2),FALSE)</f>
        <v>0</v>
      </c>
      <c r="AJ883" s="55">
        <f>VLOOKUP($E883,'NI-Ric_SP'!$C:$AN,MID(AJ$1,1,2),FALSE)</f>
        <v>0</v>
      </c>
      <c r="AK883" s="55">
        <f>VLOOKUP($E883,'NI-Ric_SP'!$C:$AN,MID(AK$1,1,2),FALSE)</f>
        <v>0</v>
      </c>
      <c r="AL883" s="55">
        <f>VLOOKUP($E883,'NI-Ric_SP'!$C:$AN,MID(AL$1,1,2),FALSE)</f>
        <v>0</v>
      </c>
      <c r="AM883" s="56">
        <f>VLOOKUP($E883,'NI-Ric_SP'!$C:$AN,MID(AM$1,1,2),FALSE)</f>
        <v>0</v>
      </c>
      <c r="AN883" s="30" t="str">
        <f t="shared" si="13"/>
        <v>10203020040020</v>
      </c>
    </row>
    <row r="884" spans="3:40" x14ac:dyDescent="0.25">
      <c r="C884" s="40"/>
      <c r="D884" s="101" t="s">
        <v>638</v>
      </c>
      <c r="E884" s="101" t="s">
        <v>639</v>
      </c>
      <c r="F884" s="102" t="s">
        <v>2750</v>
      </c>
      <c r="G884" s="52"/>
      <c r="H884" s="52"/>
      <c r="I884" s="52"/>
      <c r="J884" s="52"/>
      <c r="K884" s="59" t="s">
        <v>79</v>
      </c>
      <c r="L884" s="52"/>
      <c r="M884" s="52"/>
      <c r="N884" s="52"/>
      <c r="O884" s="52"/>
      <c r="P884" s="76" t="s">
        <v>640</v>
      </c>
      <c r="Q884" s="55">
        <f>VLOOKUP(E884,'NI-Ric_SP'!$C:$AN,12,FALSE)</f>
        <v>0</v>
      </c>
      <c r="R884" s="55">
        <f>VLOOKUP(E884,'NI-Ric_SP'!$C:$AN,13,FALSE)</f>
        <v>0</v>
      </c>
      <c r="S884" s="55"/>
      <c r="T884" s="55"/>
      <c r="U884" s="55">
        <f>VLOOKUP($E884,'NI-Ric_SP'!$C:$AN,MID(U$1,1,2),FALSE)</f>
        <v>0</v>
      </c>
      <c r="V884" s="55">
        <f>VLOOKUP($E884,'NI-Ric_SP'!$C:$AN,MID(V$1,1,2),FALSE)</f>
        <v>0</v>
      </c>
      <c r="W884" s="55">
        <f>VLOOKUP($E884,'NI-Ric_SP'!$C:$AN,MID(W$1,1,2),FALSE)</f>
        <v>0</v>
      </c>
      <c r="X884" s="55">
        <f>VLOOKUP($E884,'NI-Ric_SP'!$C:$AN,MID(X$1,1,2),FALSE)</f>
        <v>0</v>
      </c>
      <c r="Y884" s="55">
        <f>VLOOKUP($E884,'NI-Ric_SP'!$C:$AN,MID(Y$1,1,2),FALSE)</f>
        <v>0</v>
      </c>
      <c r="Z884" s="55">
        <f>VLOOKUP($E884,'NI-Ric_SP'!$C:$AN,MID(Z$1,1,2),FALSE)</f>
        <v>0</v>
      </c>
      <c r="AA884" s="55">
        <f>VLOOKUP($E884,'NI-Ric_SP'!$C:$AN,MID(AA$1,1,2),FALSE)</f>
        <v>0</v>
      </c>
      <c r="AB884" s="55">
        <f>VLOOKUP($E884,'NI-Ric_SP'!$C:$AN,MID(AB$1,1,2),FALSE)</f>
        <v>0</v>
      </c>
      <c r="AC884" s="55">
        <f>VLOOKUP($E884,'NI-Ric_SP'!$C:$AN,MID(AC$1,1,2),FALSE)</f>
        <v>0</v>
      </c>
      <c r="AD884" s="55">
        <f>VLOOKUP($E884,'NI-Ric_SP'!$C:$AN,MID(AD$1,1,2),FALSE)</f>
        <v>0</v>
      </c>
      <c r="AE884" s="55">
        <f>VLOOKUP($E884,'NI-Ric_SP'!$C:$AN,MID(AE$1,1,2),FALSE)</f>
        <v>0</v>
      </c>
      <c r="AF884" s="55">
        <f>VLOOKUP($E884,'NI-Ric_SP'!$C:$AN,MID(AF$1,1,2),FALSE)</f>
        <v>0</v>
      </c>
      <c r="AG884" s="55">
        <f>VLOOKUP($E884,'NI-Ric_SP'!$C:$AN,MID(AG$1,1,2),FALSE)</f>
        <v>0</v>
      </c>
      <c r="AH884" s="55">
        <f>VLOOKUP($E884,'NI-Ric_SP'!$C:$AN,MID(AH$1,1,2),FALSE)</f>
        <v>0</v>
      </c>
      <c r="AI884" s="55">
        <f>VLOOKUP($E884,'NI-Ric_SP'!$C:$AN,MID(AI$1,1,2),FALSE)</f>
        <v>0</v>
      </c>
      <c r="AJ884" s="55">
        <f>VLOOKUP($E884,'NI-Ric_SP'!$C:$AN,MID(AJ$1,1,2),FALSE)</f>
        <v>0</v>
      </c>
      <c r="AK884" s="55">
        <f>VLOOKUP($E884,'NI-Ric_SP'!$C:$AN,MID(AK$1,1,2),FALSE)</f>
        <v>0</v>
      </c>
      <c r="AL884" s="55">
        <f>VLOOKUP($E884,'NI-Ric_SP'!$C:$AN,MID(AL$1,1,2),FALSE)</f>
        <v>0</v>
      </c>
      <c r="AM884" s="56">
        <f>VLOOKUP($E884,'NI-Ric_SP'!$C:$AN,MID(AM$1,1,2),FALSE)</f>
        <v>0</v>
      </c>
      <c r="AN884" s="30" t="str">
        <f t="shared" si="13"/>
        <v>10203020050010</v>
      </c>
    </row>
    <row r="885" spans="3:40" x14ac:dyDescent="0.25">
      <c r="C885" s="40"/>
      <c r="D885" s="101" t="s">
        <v>641</v>
      </c>
      <c r="E885" s="101" t="s">
        <v>642</v>
      </c>
      <c r="F885" s="102" t="s">
        <v>2750</v>
      </c>
      <c r="G885" s="52"/>
      <c r="H885" s="52"/>
      <c r="I885" s="52"/>
      <c r="J885" s="52"/>
      <c r="K885" s="59" t="s">
        <v>79</v>
      </c>
      <c r="L885" s="52"/>
      <c r="M885" s="52"/>
      <c r="N885" s="52"/>
      <c r="O885" s="52"/>
      <c r="P885" s="76" t="s">
        <v>643</v>
      </c>
      <c r="Q885" s="55">
        <f>VLOOKUP(E885,'NI-Ric_SP'!$C:$AN,12,FALSE)</f>
        <v>0</v>
      </c>
      <c r="R885" s="55">
        <f>VLOOKUP(E885,'NI-Ric_SP'!$C:$AN,13,FALSE)</f>
        <v>0</v>
      </c>
      <c r="S885" s="55"/>
      <c r="T885" s="55"/>
      <c r="U885" s="55">
        <f>VLOOKUP($E885,'NI-Ric_SP'!$C:$AN,MID(U$1,1,2),FALSE)</f>
        <v>0</v>
      </c>
      <c r="V885" s="55">
        <f>VLOOKUP($E885,'NI-Ric_SP'!$C:$AN,MID(V$1,1,2),FALSE)</f>
        <v>0</v>
      </c>
      <c r="W885" s="55">
        <f>VLOOKUP($E885,'NI-Ric_SP'!$C:$AN,MID(W$1,1,2),FALSE)</f>
        <v>0</v>
      </c>
      <c r="X885" s="55">
        <f>VLOOKUP($E885,'NI-Ric_SP'!$C:$AN,MID(X$1,1,2),FALSE)</f>
        <v>0</v>
      </c>
      <c r="Y885" s="55">
        <f>VLOOKUP($E885,'NI-Ric_SP'!$C:$AN,MID(Y$1,1,2),FALSE)</f>
        <v>0</v>
      </c>
      <c r="Z885" s="55">
        <f>VLOOKUP($E885,'NI-Ric_SP'!$C:$AN,MID(Z$1,1,2),FALSE)</f>
        <v>0</v>
      </c>
      <c r="AA885" s="55">
        <f>VLOOKUP($E885,'NI-Ric_SP'!$C:$AN,MID(AA$1,1,2),FALSE)</f>
        <v>0</v>
      </c>
      <c r="AB885" s="55">
        <f>VLOOKUP($E885,'NI-Ric_SP'!$C:$AN,MID(AB$1,1,2),FALSE)</f>
        <v>0</v>
      </c>
      <c r="AC885" s="55">
        <f>VLOOKUP($E885,'NI-Ric_SP'!$C:$AN,MID(AC$1,1,2),FALSE)</f>
        <v>0</v>
      </c>
      <c r="AD885" s="55">
        <f>VLOOKUP($E885,'NI-Ric_SP'!$C:$AN,MID(AD$1,1,2),FALSE)</f>
        <v>0</v>
      </c>
      <c r="AE885" s="55">
        <f>VLOOKUP($E885,'NI-Ric_SP'!$C:$AN,MID(AE$1,1,2),FALSE)</f>
        <v>0</v>
      </c>
      <c r="AF885" s="55">
        <f>VLOOKUP($E885,'NI-Ric_SP'!$C:$AN,MID(AF$1,1,2),FALSE)</f>
        <v>0</v>
      </c>
      <c r="AG885" s="55">
        <f>VLOOKUP($E885,'NI-Ric_SP'!$C:$AN,MID(AG$1,1,2),FALSE)</f>
        <v>0</v>
      </c>
      <c r="AH885" s="55">
        <f>VLOOKUP($E885,'NI-Ric_SP'!$C:$AN,MID(AH$1,1,2),FALSE)</f>
        <v>0</v>
      </c>
      <c r="AI885" s="55">
        <f>VLOOKUP($E885,'NI-Ric_SP'!$C:$AN,MID(AI$1,1,2),FALSE)</f>
        <v>0</v>
      </c>
      <c r="AJ885" s="55">
        <f>VLOOKUP($E885,'NI-Ric_SP'!$C:$AN,MID(AJ$1,1,2),FALSE)</f>
        <v>0</v>
      </c>
      <c r="AK885" s="55">
        <f>VLOOKUP($E885,'NI-Ric_SP'!$C:$AN,MID(AK$1,1,2),FALSE)</f>
        <v>0</v>
      </c>
      <c r="AL885" s="55">
        <f>VLOOKUP($E885,'NI-Ric_SP'!$C:$AN,MID(AL$1,1,2),FALSE)</f>
        <v>0</v>
      </c>
      <c r="AM885" s="56">
        <f>VLOOKUP($E885,'NI-Ric_SP'!$C:$AN,MID(AM$1,1,2),FALSE)</f>
        <v>0</v>
      </c>
      <c r="AN885" s="30" t="str">
        <f t="shared" si="13"/>
        <v>10203020050020</v>
      </c>
    </row>
    <row r="886" spans="3:40" x14ac:dyDescent="0.25">
      <c r="C886" s="40"/>
      <c r="D886" s="101" t="s">
        <v>644</v>
      </c>
      <c r="E886" s="101" t="s">
        <v>645</v>
      </c>
      <c r="F886" s="102" t="s">
        <v>2750</v>
      </c>
      <c r="G886" s="52"/>
      <c r="H886" s="52"/>
      <c r="I886" s="52"/>
      <c r="J886" s="52"/>
      <c r="K886" s="59" t="s">
        <v>79</v>
      </c>
      <c r="L886" s="52"/>
      <c r="M886" s="52"/>
      <c r="N886" s="52"/>
      <c r="O886" s="52"/>
      <c r="P886" s="76" t="s">
        <v>646</v>
      </c>
      <c r="Q886" s="55">
        <f>VLOOKUP(E886,'NI-Ric_SP'!$C:$AN,12,FALSE)</f>
        <v>0</v>
      </c>
      <c r="R886" s="55">
        <f>VLOOKUP(E886,'NI-Ric_SP'!$C:$AN,13,FALSE)</f>
        <v>0</v>
      </c>
      <c r="S886" s="55"/>
      <c r="T886" s="55"/>
      <c r="U886" s="55">
        <f>VLOOKUP($E886,'NI-Ric_SP'!$C:$AN,MID(U$1,1,2),FALSE)</f>
        <v>0</v>
      </c>
      <c r="V886" s="55">
        <f>VLOOKUP($E886,'NI-Ric_SP'!$C:$AN,MID(V$1,1,2),FALSE)</f>
        <v>0</v>
      </c>
      <c r="W886" s="55">
        <f>VLOOKUP($E886,'NI-Ric_SP'!$C:$AN,MID(W$1,1,2),FALSE)</f>
        <v>0</v>
      </c>
      <c r="X886" s="55">
        <f>VLOOKUP($E886,'NI-Ric_SP'!$C:$AN,MID(X$1,1,2),FALSE)</f>
        <v>0</v>
      </c>
      <c r="Y886" s="55">
        <f>VLOOKUP($E886,'NI-Ric_SP'!$C:$AN,MID(Y$1,1,2),FALSE)</f>
        <v>0</v>
      </c>
      <c r="Z886" s="55">
        <f>VLOOKUP($E886,'NI-Ric_SP'!$C:$AN,MID(Z$1,1,2),FALSE)</f>
        <v>0</v>
      </c>
      <c r="AA886" s="55">
        <f>VLOOKUP($E886,'NI-Ric_SP'!$C:$AN,MID(AA$1,1,2),FALSE)</f>
        <v>0</v>
      </c>
      <c r="AB886" s="55">
        <f>VLOOKUP($E886,'NI-Ric_SP'!$C:$AN,MID(AB$1,1,2),FALSE)</f>
        <v>0</v>
      </c>
      <c r="AC886" s="55">
        <f>VLOOKUP($E886,'NI-Ric_SP'!$C:$AN,MID(AC$1,1,2),FALSE)</f>
        <v>0</v>
      </c>
      <c r="AD886" s="55">
        <f>VLOOKUP($E886,'NI-Ric_SP'!$C:$AN,MID(AD$1,1,2),FALSE)</f>
        <v>0</v>
      </c>
      <c r="AE886" s="55">
        <f>VLOOKUP($E886,'NI-Ric_SP'!$C:$AN,MID(AE$1,1,2),FALSE)</f>
        <v>0</v>
      </c>
      <c r="AF886" s="55">
        <f>VLOOKUP($E886,'NI-Ric_SP'!$C:$AN,MID(AF$1,1,2),FALSE)</f>
        <v>0</v>
      </c>
      <c r="AG886" s="55">
        <f>VLOOKUP($E886,'NI-Ric_SP'!$C:$AN,MID(AG$1,1,2),FALSE)</f>
        <v>0</v>
      </c>
      <c r="AH886" s="55">
        <f>VLOOKUP($E886,'NI-Ric_SP'!$C:$AN,MID(AH$1,1,2),FALSE)</f>
        <v>0</v>
      </c>
      <c r="AI886" s="55">
        <f>VLOOKUP($E886,'NI-Ric_SP'!$C:$AN,MID(AI$1,1,2),FALSE)</f>
        <v>0</v>
      </c>
      <c r="AJ886" s="55">
        <f>VLOOKUP($E886,'NI-Ric_SP'!$C:$AN,MID(AJ$1,1,2),FALSE)</f>
        <v>0</v>
      </c>
      <c r="AK886" s="55">
        <f>VLOOKUP($E886,'NI-Ric_SP'!$C:$AN,MID(AK$1,1,2),FALSE)</f>
        <v>0</v>
      </c>
      <c r="AL886" s="55">
        <f>VLOOKUP($E886,'NI-Ric_SP'!$C:$AN,MID(AL$1,1,2),FALSE)</f>
        <v>0</v>
      </c>
      <c r="AM886" s="56">
        <f>VLOOKUP($E886,'NI-Ric_SP'!$C:$AN,MID(AM$1,1,2),FALSE)</f>
        <v>0</v>
      </c>
      <c r="AN886" s="30" t="str">
        <f t="shared" si="13"/>
        <v>10203020060010</v>
      </c>
    </row>
    <row r="887" spans="3:40" x14ac:dyDescent="0.25">
      <c r="C887" s="40"/>
      <c r="D887" s="101" t="s">
        <v>647</v>
      </c>
      <c r="E887" s="101" t="s">
        <v>648</v>
      </c>
      <c r="F887" s="102" t="s">
        <v>2750</v>
      </c>
      <c r="G887" s="52"/>
      <c r="H887" s="52"/>
      <c r="I887" s="52"/>
      <c r="J887" s="52"/>
      <c r="K887" s="59" t="s">
        <v>79</v>
      </c>
      <c r="L887" s="52"/>
      <c r="M887" s="52"/>
      <c r="N887" s="52"/>
      <c r="O887" s="52"/>
      <c r="P887" s="76" t="s">
        <v>649</v>
      </c>
      <c r="Q887" s="55">
        <f>VLOOKUP(E887,'NI-Ric_SP'!$C:$AN,12,FALSE)</f>
        <v>0</v>
      </c>
      <c r="R887" s="55">
        <f>VLOOKUP(E887,'NI-Ric_SP'!$C:$AN,13,FALSE)</f>
        <v>0</v>
      </c>
      <c r="S887" s="55"/>
      <c r="T887" s="55"/>
      <c r="U887" s="55">
        <f>VLOOKUP($E887,'NI-Ric_SP'!$C:$AN,MID(U$1,1,2),FALSE)</f>
        <v>0</v>
      </c>
      <c r="V887" s="55">
        <f>VLOOKUP($E887,'NI-Ric_SP'!$C:$AN,MID(V$1,1,2),FALSE)</f>
        <v>0</v>
      </c>
      <c r="W887" s="55">
        <f>VLOOKUP($E887,'NI-Ric_SP'!$C:$AN,MID(W$1,1,2),FALSE)</f>
        <v>0</v>
      </c>
      <c r="X887" s="55">
        <f>VLOOKUP($E887,'NI-Ric_SP'!$C:$AN,MID(X$1,1,2),FALSE)</f>
        <v>0</v>
      </c>
      <c r="Y887" s="55">
        <f>VLOOKUP($E887,'NI-Ric_SP'!$C:$AN,MID(Y$1,1,2),FALSE)</f>
        <v>0</v>
      </c>
      <c r="Z887" s="55">
        <f>VLOOKUP($E887,'NI-Ric_SP'!$C:$AN,MID(Z$1,1,2),FALSE)</f>
        <v>0</v>
      </c>
      <c r="AA887" s="55">
        <f>VLOOKUP($E887,'NI-Ric_SP'!$C:$AN,MID(AA$1,1,2),FALSE)</f>
        <v>0</v>
      </c>
      <c r="AB887" s="55">
        <f>VLOOKUP($E887,'NI-Ric_SP'!$C:$AN,MID(AB$1,1,2),FALSE)</f>
        <v>0</v>
      </c>
      <c r="AC887" s="55">
        <f>VLOOKUP($E887,'NI-Ric_SP'!$C:$AN,MID(AC$1,1,2),FALSE)</f>
        <v>0</v>
      </c>
      <c r="AD887" s="55">
        <f>VLOOKUP($E887,'NI-Ric_SP'!$C:$AN,MID(AD$1,1,2),FALSE)</f>
        <v>0</v>
      </c>
      <c r="AE887" s="55">
        <f>VLOOKUP($E887,'NI-Ric_SP'!$C:$AN,MID(AE$1,1,2),FALSE)</f>
        <v>0</v>
      </c>
      <c r="AF887" s="55">
        <f>VLOOKUP($E887,'NI-Ric_SP'!$C:$AN,MID(AF$1,1,2),FALSE)</f>
        <v>0</v>
      </c>
      <c r="AG887" s="55">
        <f>VLOOKUP($E887,'NI-Ric_SP'!$C:$AN,MID(AG$1,1,2),FALSE)</f>
        <v>0</v>
      </c>
      <c r="AH887" s="55">
        <f>VLOOKUP($E887,'NI-Ric_SP'!$C:$AN,MID(AH$1,1,2),FALSE)</f>
        <v>0</v>
      </c>
      <c r="AI887" s="55">
        <f>VLOOKUP($E887,'NI-Ric_SP'!$C:$AN,MID(AI$1,1,2),FALSE)</f>
        <v>0</v>
      </c>
      <c r="AJ887" s="55">
        <f>VLOOKUP($E887,'NI-Ric_SP'!$C:$AN,MID(AJ$1,1,2),FALSE)</f>
        <v>0</v>
      </c>
      <c r="AK887" s="55">
        <f>VLOOKUP($E887,'NI-Ric_SP'!$C:$AN,MID(AK$1,1,2),FALSE)</f>
        <v>0</v>
      </c>
      <c r="AL887" s="55">
        <f>VLOOKUP($E887,'NI-Ric_SP'!$C:$AN,MID(AL$1,1,2),FALSE)</f>
        <v>0</v>
      </c>
      <c r="AM887" s="56">
        <f>VLOOKUP($E887,'NI-Ric_SP'!$C:$AN,MID(AM$1,1,2),FALSE)</f>
        <v>0</v>
      </c>
      <c r="AN887" s="30" t="str">
        <f t="shared" si="13"/>
        <v>10203020060020</v>
      </c>
    </row>
    <row r="888" spans="3:40" x14ac:dyDescent="0.25">
      <c r="C888" s="40"/>
      <c r="D888" s="101" t="s">
        <v>650</v>
      </c>
      <c r="E888" s="101" t="s">
        <v>651</v>
      </c>
      <c r="F888" s="102" t="s">
        <v>2750</v>
      </c>
      <c r="G888" s="52"/>
      <c r="H888" s="52"/>
      <c r="I888" s="52"/>
      <c r="J888" s="52"/>
      <c r="K888" s="59" t="s">
        <v>79</v>
      </c>
      <c r="L888" s="52"/>
      <c r="M888" s="52"/>
      <c r="N888" s="52"/>
      <c r="O888" s="52"/>
      <c r="P888" s="76" t="s">
        <v>652</v>
      </c>
      <c r="Q888" s="55">
        <f>VLOOKUP(E888,'NI-Ric_SP'!$C:$AN,12,FALSE)</f>
        <v>0</v>
      </c>
      <c r="R888" s="55">
        <f>VLOOKUP(E888,'NI-Ric_SP'!$C:$AN,13,FALSE)</f>
        <v>0</v>
      </c>
      <c r="S888" s="55"/>
      <c r="T888" s="55"/>
      <c r="U888" s="55">
        <f>VLOOKUP($E888,'NI-Ric_SP'!$C:$AN,MID(U$1,1,2),FALSE)</f>
        <v>0</v>
      </c>
      <c r="V888" s="55">
        <f>VLOOKUP($E888,'NI-Ric_SP'!$C:$AN,MID(V$1,1,2),FALSE)</f>
        <v>0</v>
      </c>
      <c r="W888" s="55">
        <f>VLOOKUP($E888,'NI-Ric_SP'!$C:$AN,MID(W$1,1,2),FALSE)</f>
        <v>0</v>
      </c>
      <c r="X888" s="55">
        <f>VLOOKUP($E888,'NI-Ric_SP'!$C:$AN,MID(X$1,1,2),FALSE)</f>
        <v>0</v>
      </c>
      <c r="Y888" s="55">
        <f>VLOOKUP($E888,'NI-Ric_SP'!$C:$AN,MID(Y$1,1,2),FALSE)</f>
        <v>0</v>
      </c>
      <c r="Z888" s="55">
        <f>VLOOKUP($E888,'NI-Ric_SP'!$C:$AN,MID(Z$1,1,2),FALSE)</f>
        <v>0</v>
      </c>
      <c r="AA888" s="55">
        <f>VLOOKUP($E888,'NI-Ric_SP'!$C:$AN,MID(AA$1,1,2),FALSE)</f>
        <v>0</v>
      </c>
      <c r="AB888" s="55">
        <f>VLOOKUP($E888,'NI-Ric_SP'!$C:$AN,MID(AB$1,1,2),FALSE)</f>
        <v>0</v>
      </c>
      <c r="AC888" s="55">
        <f>VLOOKUP($E888,'NI-Ric_SP'!$C:$AN,MID(AC$1,1,2),FALSE)</f>
        <v>0</v>
      </c>
      <c r="AD888" s="55">
        <f>VLOOKUP($E888,'NI-Ric_SP'!$C:$AN,MID(AD$1,1,2),FALSE)</f>
        <v>0</v>
      </c>
      <c r="AE888" s="55">
        <f>VLOOKUP($E888,'NI-Ric_SP'!$C:$AN,MID(AE$1,1,2),FALSE)</f>
        <v>0</v>
      </c>
      <c r="AF888" s="55">
        <f>VLOOKUP($E888,'NI-Ric_SP'!$C:$AN,MID(AF$1,1,2),FALSE)</f>
        <v>0</v>
      </c>
      <c r="AG888" s="55">
        <f>VLOOKUP($E888,'NI-Ric_SP'!$C:$AN,MID(AG$1,1,2),FALSE)</f>
        <v>0</v>
      </c>
      <c r="AH888" s="55">
        <f>VLOOKUP($E888,'NI-Ric_SP'!$C:$AN,MID(AH$1,1,2),FALSE)</f>
        <v>0</v>
      </c>
      <c r="AI888" s="55">
        <f>VLOOKUP($E888,'NI-Ric_SP'!$C:$AN,MID(AI$1,1,2),FALSE)</f>
        <v>0</v>
      </c>
      <c r="AJ888" s="55">
        <f>VLOOKUP($E888,'NI-Ric_SP'!$C:$AN,MID(AJ$1,1,2),FALSE)</f>
        <v>0</v>
      </c>
      <c r="AK888" s="55">
        <f>VLOOKUP($E888,'NI-Ric_SP'!$C:$AN,MID(AK$1,1,2),FALSE)</f>
        <v>0</v>
      </c>
      <c r="AL888" s="55">
        <f>VLOOKUP($E888,'NI-Ric_SP'!$C:$AN,MID(AL$1,1,2),FALSE)</f>
        <v>0</v>
      </c>
      <c r="AM888" s="56">
        <f>VLOOKUP($E888,'NI-Ric_SP'!$C:$AN,MID(AM$1,1,2),FALSE)</f>
        <v>0</v>
      </c>
      <c r="AN888" s="30" t="str">
        <f t="shared" si="13"/>
        <v>10203020070010</v>
      </c>
    </row>
    <row r="889" spans="3:40" x14ac:dyDescent="0.25">
      <c r="C889" s="40"/>
      <c r="D889" s="101" t="s">
        <v>653</v>
      </c>
      <c r="E889" s="101" t="s">
        <v>654</v>
      </c>
      <c r="F889" s="102" t="s">
        <v>2750</v>
      </c>
      <c r="G889" s="52"/>
      <c r="H889" s="52"/>
      <c r="I889" s="52"/>
      <c r="J889" s="52"/>
      <c r="K889" s="59" t="s">
        <v>79</v>
      </c>
      <c r="L889" s="52"/>
      <c r="M889" s="52"/>
      <c r="N889" s="52"/>
      <c r="O889" s="52"/>
      <c r="P889" s="76" t="s">
        <v>655</v>
      </c>
      <c r="Q889" s="55">
        <f>VLOOKUP(E889,'NI-Ric_SP'!$C:$AN,12,FALSE)</f>
        <v>0</v>
      </c>
      <c r="R889" s="55">
        <f>VLOOKUP(E889,'NI-Ric_SP'!$C:$AN,13,FALSE)</f>
        <v>0</v>
      </c>
      <c r="S889" s="55"/>
      <c r="T889" s="55"/>
      <c r="U889" s="55">
        <f>VLOOKUP($E889,'NI-Ric_SP'!$C:$AN,MID(U$1,1,2),FALSE)</f>
        <v>0</v>
      </c>
      <c r="V889" s="55">
        <f>VLOOKUP($E889,'NI-Ric_SP'!$C:$AN,MID(V$1,1,2),FALSE)</f>
        <v>0</v>
      </c>
      <c r="W889" s="55">
        <f>VLOOKUP($E889,'NI-Ric_SP'!$C:$AN,MID(W$1,1,2),FALSE)</f>
        <v>0</v>
      </c>
      <c r="X889" s="55">
        <f>VLOOKUP($E889,'NI-Ric_SP'!$C:$AN,MID(X$1,1,2),FALSE)</f>
        <v>0</v>
      </c>
      <c r="Y889" s="55">
        <f>VLOOKUP($E889,'NI-Ric_SP'!$C:$AN,MID(Y$1,1,2),FALSE)</f>
        <v>0</v>
      </c>
      <c r="Z889" s="55">
        <f>VLOOKUP($E889,'NI-Ric_SP'!$C:$AN,MID(Z$1,1,2),FALSE)</f>
        <v>0</v>
      </c>
      <c r="AA889" s="55">
        <f>VLOOKUP($E889,'NI-Ric_SP'!$C:$AN,MID(AA$1,1,2),FALSE)</f>
        <v>0</v>
      </c>
      <c r="AB889" s="55">
        <f>VLOOKUP($E889,'NI-Ric_SP'!$C:$AN,MID(AB$1,1,2),FALSE)</f>
        <v>0</v>
      </c>
      <c r="AC889" s="55">
        <f>VLOOKUP($E889,'NI-Ric_SP'!$C:$AN,MID(AC$1,1,2),FALSE)</f>
        <v>0</v>
      </c>
      <c r="AD889" s="55">
        <f>VLOOKUP($E889,'NI-Ric_SP'!$C:$AN,MID(AD$1,1,2),FALSE)</f>
        <v>0</v>
      </c>
      <c r="AE889" s="55">
        <f>VLOOKUP($E889,'NI-Ric_SP'!$C:$AN,MID(AE$1,1,2),FALSE)</f>
        <v>0</v>
      </c>
      <c r="AF889" s="55">
        <f>VLOOKUP($E889,'NI-Ric_SP'!$C:$AN,MID(AF$1,1,2),FALSE)</f>
        <v>0</v>
      </c>
      <c r="AG889" s="55">
        <f>VLOOKUP($E889,'NI-Ric_SP'!$C:$AN,MID(AG$1,1,2),FALSE)</f>
        <v>0</v>
      </c>
      <c r="AH889" s="55">
        <f>VLOOKUP($E889,'NI-Ric_SP'!$C:$AN,MID(AH$1,1,2),FALSE)</f>
        <v>0</v>
      </c>
      <c r="AI889" s="55">
        <f>VLOOKUP($E889,'NI-Ric_SP'!$C:$AN,MID(AI$1,1,2),FALSE)</f>
        <v>0</v>
      </c>
      <c r="AJ889" s="55">
        <f>VLOOKUP($E889,'NI-Ric_SP'!$C:$AN,MID(AJ$1,1,2),FALSE)</f>
        <v>0</v>
      </c>
      <c r="AK889" s="55">
        <f>VLOOKUP($E889,'NI-Ric_SP'!$C:$AN,MID(AK$1,1,2),FALSE)</f>
        <v>0</v>
      </c>
      <c r="AL889" s="55">
        <f>VLOOKUP($E889,'NI-Ric_SP'!$C:$AN,MID(AL$1,1,2),FALSE)</f>
        <v>0</v>
      </c>
      <c r="AM889" s="56">
        <f>VLOOKUP($E889,'NI-Ric_SP'!$C:$AN,MID(AM$1,1,2),FALSE)</f>
        <v>0</v>
      </c>
      <c r="AN889" s="30" t="str">
        <f t="shared" si="13"/>
        <v>10203020070020</v>
      </c>
    </row>
    <row r="890" spans="3:40" x14ac:dyDescent="0.25">
      <c r="C890" s="40"/>
      <c r="D890" s="101" t="s">
        <v>656</v>
      </c>
      <c r="E890" s="101" t="s">
        <v>657</v>
      </c>
      <c r="F890" s="102" t="s">
        <v>2750</v>
      </c>
      <c r="G890" s="52"/>
      <c r="H890" s="52"/>
      <c r="I890" s="52"/>
      <c r="J890" s="52"/>
      <c r="K890" s="59" t="s">
        <v>111</v>
      </c>
      <c r="L890" s="52"/>
      <c r="M890" s="52"/>
      <c r="N890" s="52"/>
      <c r="O890" s="61" t="s">
        <v>658</v>
      </c>
      <c r="P890" s="76" t="s">
        <v>659</v>
      </c>
      <c r="Q890" s="55">
        <f>VLOOKUP(E890,'NI-Ric_SP'!$C:$AN,12,FALSE)</f>
        <v>0</v>
      </c>
      <c r="R890" s="55">
        <f>VLOOKUP(E890,'NI-Ric_SP'!$C:$AN,13,FALSE)</f>
        <v>0</v>
      </c>
      <c r="S890" s="55"/>
      <c r="T890" s="55"/>
      <c r="U890" s="55">
        <f>VLOOKUP($E890,'NI-Ric_SP'!$C:$AN,MID(U$1,1,2),FALSE)</f>
        <v>0</v>
      </c>
      <c r="V890" s="55">
        <f>VLOOKUP($E890,'NI-Ric_SP'!$C:$AN,MID(V$1,1,2),FALSE)</f>
        <v>0</v>
      </c>
      <c r="W890" s="55">
        <f>VLOOKUP($E890,'NI-Ric_SP'!$C:$AN,MID(W$1,1,2),FALSE)</f>
        <v>0</v>
      </c>
      <c r="X890" s="55">
        <f>VLOOKUP($E890,'NI-Ric_SP'!$C:$AN,MID(X$1,1,2),FALSE)</f>
        <v>0</v>
      </c>
      <c r="Y890" s="55">
        <f>VLOOKUP($E890,'NI-Ric_SP'!$C:$AN,MID(Y$1,1,2),FALSE)</f>
        <v>0</v>
      </c>
      <c r="Z890" s="55">
        <f>VLOOKUP($E890,'NI-Ric_SP'!$C:$AN,MID(Z$1,1,2),FALSE)</f>
        <v>0</v>
      </c>
      <c r="AA890" s="55">
        <f>VLOOKUP($E890,'NI-Ric_SP'!$C:$AN,MID(AA$1,1,2),FALSE)</f>
        <v>0</v>
      </c>
      <c r="AB890" s="55">
        <f>VLOOKUP($E890,'NI-Ric_SP'!$C:$AN,MID(AB$1,1,2),FALSE)</f>
        <v>0</v>
      </c>
      <c r="AC890" s="55">
        <f>VLOOKUP($E890,'NI-Ric_SP'!$C:$AN,MID(AC$1,1,2),FALSE)</f>
        <v>0</v>
      </c>
      <c r="AD890" s="55">
        <f>VLOOKUP($E890,'NI-Ric_SP'!$C:$AN,MID(AD$1,1,2),FALSE)</f>
        <v>0</v>
      </c>
      <c r="AE890" s="55">
        <f>VLOOKUP($E890,'NI-Ric_SP'!$C:$AN,MID(AE$1,1,2),FALSE)</f>
        <v>0</v>
      </c>
      <c r="AF890" s="55">
        <f>VLOOKUP($E890,'NI-Ric_SP'!$C:$AN,MID(AF$1,1,2),FALSE)</f>
        <v>0</v>
      </c>
      <c r="AG890" s="55">
        <f>VLOOKUP($E890,'NI-Ric_SP'!$C:$AN,MID(AG$1,1,2),FALSE)</f>
        <v>0</v>
      </c>
      <c r="AH890" s="55">
        <f>VLOOKUP($E890,'NI-Ric_SP'!$C:$AN,MID(AH$1,1,2),FALSE)</f>
        <v>0</v>
      </c>
      <c r="AI890" s="55">
        <f>VLOOKUP($E890,'NI-Ric_SP'!$C:$AN,MID(AI$1,1,2),FALSE)</f>
        <v>0</v>
      </c>
      <c r="AJ890" s="55">
        <f>VLOOKUP($E890,'NI-Ric_SP'!$C:$AN,MID(AJ$1,1,2),FALSE)</f>
        <v>0</v>
      </c>
      <c r="AK890" s="55">
        <f>VLOOKUP($E890,'NI-Ric_SP'!$C:$AN,MID(AK$1,1,2),FALSE)</f>
        <v>0</v>
      </c>
      <c r="AL890" s="55">
        <f>VLOOKUP($E890,'NI-Ric_SP'!$C:$AN,MID(AL$1,1,2),FALSE)</f>
        <v>0</v>
      </c>
      <c r="AM890" s="56">
        <f>VLOOKUP($E890,'NI-Ric_SP'!$C:$AN,MID(AM$1,1,2),FALSE)</f>
        <v>0</v>
      </c>
      <c r="AN890" s="30" t="str">
        <f t="shared" si="13"/>
        <v>10204000000000</v>
      </c>
    </row>
    <row r="891" spans="3:40" x14ac:dyDescent="0.25">
      <c r="C891" s="40"/>
      <c r="D891" s="101" t="s">
        <v>660</v>
      </c>
      <c r="E891" s="101" t="s">
        <v>661</v>
      </c>
      <c r="F891" s="102" t="s">
        <v>2750</v>
      </c>
      <c r="G891" s="52"/>
      <c r="H891" s="52"/>
      <c r="I891" s="52" t="s">
        <v>662</v>
      </c>
      <c r="J891" s="52" t="s">
        <v>662</v>
      </c>
      <c r="K891" s="59" t="s">
        <v>111</v>
      </c>
      <c r="L891" s="62" t="s">
        <v>663</v>
      </c>
      <c r="M891" s="52"/>
      <c r="N891" s="52"/>
      <c r="O891" s="52"/>
      <c r="P891" s="76" t="s">
        <v>664</v>
      </c>
      <c r="Q891" s="55">
        <f>VLOOKUP(E891,'NI-Ric_SP'!$C:$AN,12,FALSE)</f>
        <v>0</v>
      </c>
      <c r="R891" s="55">
        <f>VLOOKUP(E891,'NI-Ric_SP'!$C:$AN,13,FALSE)</f>
        <v>0</v>
      </c>
      <c r="S891" s="55"/>
      <c r="T891" s="55"/>
      <c r="U891" s="55">
        <f>VLOOKUP($E891,'NI-Ric_SP'!$C:$AN,MID(U$1,1,2),FALSE)</f>
        <v>0</v>
      </c>
      <c r="V891" s="55">
        <f>VLOOKUP($E891,'NI-Ric_SP'!$C:$AN,MID(V$1,1,2),FALSE)</f>
        <v>0</v>
      </c>
      <c r="W891" s="55">
        <f>VLOOKUP($E891,'NI-Ric_SP'!$C:$AN,MID(W$1,1,2),FALSE)</f>
        <v>0</v>
      </c>
      <c r="X891" s="55">
        <f>VLOOKUP($E891,'NI-Ric_SP'!$C:$AN,MID(X$1,1,2),FALSE)</f>
        <v>0</v>
      </c>
      <c r="Y891" s="55">
        <f>VLOOKUP($E891,'NI-Ric_SP'!$C:$AN,MID(Y$1,1,2),FALSE)</f>
        <v>0</v>
      </c>
      <c r="Z891" s="55">
        <f>VLOOKUP($E891,'NI-Ric_SP'!$C:$AN,MID(Z$1,1,2),FALSE)</f>
        <v>0</v>
      </c>
      <c r="AA891" s="55">
        <f>VLOOKUP($E891,'NI-Ric_SP'!$C:$AN,MID(AA$1,1,2),FALSE)</f>
        <v>0</v>
      </c>
      <c r="AB891" s="55">
        <f>VLOOKUP($E891,'NI-Ric_SP'!$C:$AN,MID(AB$1,1,2),FALSE)</f>
        <v>0</v>
      </c>
      <c r="AC891" s="55">
        <f>VLOOKUP($E891,'NI-Ric_SP'!$C:$AN,MID(AC$1,1,2),FALSE)</f>
        <v>0</v>
      </c>
      <c r="AD891" s="55">
        <f>VLOOKUP($E891,'NI-Ric_SP'!$C:$AN,MID(AD$1,1,2),FALSE)</f>
        <v>0</v>
      </c>
      <c r="AE891" s="55">
        <f>VLOOKUP($E891,'NI-Ric_SP'!$C:$AN,MID(AE$1,1,2),FALSE)</f>
        <v>0</v>
      </c>
      <c r="AF891" s="55">
        <f>VLOOKUP($E891,'NI-Ric_SP'!$C:$AN,MID(AF$1,1,2),FALSE)</f>
        <v>0</v>
      </c>
      <c r="AG891" s="55">
        <f>VLOOKUP($E891,'NI-Ric_SP'!$C:$AN,MID(AG$1,1,2),FALSE)</f>
        <v>0</v>
      </c>
      <c r="AH891" s="55">
        <f>VLOOKUP($E891,'NI-Ric_SP'!$C:$AN,MID(AH$1,1,2),FALSE)</f>
        <v>0</v>
      </c>
      <c r="AI891" s="55">
        <f>VLOOKUP($E891,'NI-Ric_SP'!$C:$AN,MID(AI$1,1,2),FALSE)</f>
        <v>0</v>
      </c>
      <c r="AJ891" s="55">
        <f>VLOOKUP($E891,'NI-Ric_SP'!$C:$AN,MID(AJ$1,1,2),FALSE)</f>
        <v>0</v>
      </c>
      <c r="AK891" s="55">
        <f>VLOOKUP($E891,'NI-Ric_SP'!$C:$AN,MID(AK$1,1,2),FALSE)</f>
        <v>0</v>
      </c>
      <c r="AL891" s="55">
        <f>VLOOKUP($E891,'NI-Ric_SP'!$C:$AN,MID(AL$1,1,2),FALSE)</f>
        <v>0</v>
      </c>
      <c r="AM891" s="56">
        <f>VLOOKUP($E891,'NI-Ric_SP'!$C:$AN,MID(AM$1,1,2),FALSE)</f>
        <v>0</v>
      </c>
      <c r="AN891" s="30" t="str">
        <f t="shared" si="13"/>
        <v>10204010000000</v>
      </c>
    </row>
    <row r="892" spans="3:40" x14ac:dyDescent="0.25">
      <c r="C892" s="40"/>
      <c r="D892" s="101" t="s">
        <v>665</v>
      </c>
      <c r="E892" s="101" t="s">
        <v>666</v>
      </c>
      <c r="F892" s="102" t="s">
        <v>2750</v>
      </c>
      <c r="G892" s="52"/>
      <c r="H892" s="52"/>
      <c r="I892" s="52"/>
      <c r="J892" s="52"/>
      <c r="K892" s="59" t="s">
        <v>79</v>
      </c>
      <c r="L892" s="52"/>
      <c r="M892" s="52"/>
      <c r="N892" s="52"/>
      <c r="O892" s="52"/>
      <c r="P892" s="76" t="s">
        <v>667</v>
      </c>
      <c r="Q892" s="55">
        <f>VLOOKUP(E892,'NI-Ric_SP'!$C:$AN,12,FALSE)</f>
        <v>0</v>
      </c>
      <c r="R892" s="55">
        <f>VLOOKUP(E892,'NI-Ric_SP'!$C:$AN,13,FALSE)</f>
        <v>0</v>
      </c>
      <c r="S892" s="55"/>
      <c r="T892" s="55"/>
      <c r="U892" s="55">
        <f>VLOOKUP($E892,'NI-Ric_SP'!$C:$AN,MID(U$1,1,2),FALSE)</f>
        <v>0</v>
      </c>
      <c r="V892" s="55">
        <f>VLOOKUP($E892,'NI-Ric_SP'!$C:$AN,MID(V$1,1,2),FALSE)</f>
        <v>0</v>
      </c>
      <c r="W892" s="55">
        <f>VLOOKUP($E892,'NI-Ric_SP'!$C:$AN,MID(W$1,1,2),FALSE)</f>
        <v>0</v>
      </c>
      <c r="X892" s="55">
        <f>VLOOKUP($E892,'NI-Ric_SP'!$C:$AN,MID(X$1,1,2),FALSE)</f>
        <v>0</v>
      </c>
      <c r="Y892" s="55">
        <f>VLOOKUP($E892,'NI-Ric_SP'!$C:$AN,MID(Y$1,1,2),FALSE)</f>
        <v>0</v>
      </c>
      <c r="Z892" s="55">
        <f>VLOOKUP($E892,'NI-Ric_SP'!$C:$AN,MID(Z$1,1,2),FALSE)</f>
        <v>0</v>
      </c>
      <c r="AA892" s="55">
        <f>VLOOKUP($E892,'NI-Ric_SP'!$C:$AN,MID(AA$1,1,2),FALSE)</f>
        <v>0</v>
      </c>
      <c r="AB892" s="55">
        <f>VLOOKUP($E892,'NI-Ric_SP'!$C:$AN,MID(AB$1,1,2),FALSE)</f>
        <v>0</v>
      </c>
      <c r="AC892" s="55">
        <f>VLOOKUP($E892,'NI-Ric_SP'!$C:$AN,MID(AC$1,1,2),FALSE)</f>
        <v>0</v>
      </c>
      <c r="AD892" s="55">
        <f>VLOOKUP($E892,'NI-Ric_SP'!$C:$AN,MID(AD$1,1,2),FALSE)</f>
        <v>0</v>
      </c>
      <c r="AE892" s="55">
        <f>VLOOKUP($E892,'NI-Ric_SP'!$C:$AN,MID(AE$1,1,2),FALSE)</f>
        <v>0</v>
      </c>
      <c r="AF892" s="55">
        <f>VLOOKUP($E892,'NI-Ric_SP'!$C:$AN,MID(AF$1,1,2),FALSE)</f>
        <v>0</v>
      </c>
      <c r="AG892" s="55">
        <f>VLOOKUP($E892,'NI-Ric_SP'!$C:$AN,MID(AG$1,1,2),FALSE)</f>
        <v>0</v>
      </c>
      <c r="AH892" s="55">
        <f>VLOOKUP($E892,'NI-Ric_SP'!$C:$AN,MID(AH$1,1,2),FALSE)</f>
        <v>0</v>
      </c>
      <c r="AI892" s="55">
        <f>VLOOKUP($E892,'NI-Ric_SP'!$C:$AN,MID(AI$1,1,2),FALSE)</f>
        <v>0</v>
      </c>
      <c r="AJ892" s="55">
        <f>VLOOKUP($E892,'NI-Ric_SP'!$C:$AN,MID(AJ$1,1,2),FALSE)</f>
        <v>0</v>
      </c>
      <c r="AK892" s="55">
        <f>VLOOKUP($E892,'NI-Ric_SP'!$C:$AN,MID(AK$1,1,2),FALSE)</f>
        <v>0</v>
      </c>
      <c r="AL892" s="55">
        <f>VLOOKUP($E892,'NI-Ric_SP'!$C:$AN,MID(AL$1,1,2),FALSE)</f>
        <v>0</v>
      </c>
      <c r="AM892" s="56">
        <f>VLOOKUP($E892,'NI-Ric_SP'!$C:$AN,MID(AM$1,1,2),FALSE)</f>
        <v>0</v>
      </c>
      <c r="AN892" s="30" t="str">
        <f t="shared" si="13"/>
        <v>10204010010010</v>
      </c>
    </row>
    <row r="893" spans="3:40" x14ac:dyDescent="0.25">
      <c r="C893" s="40"/>
      <c r="D893" s="101" t="s">
        <v>668</v>
      </c>
      <c r="E893" s="101" t="s">
        <v>669</v>
      </c>
      <c r="F893" s="102" t="s">
        <v>2750</v>
      </c>
      <c r="G893" s="52"/>
      <c r="H893" s="52"/>
      <c r="I893" s="52"/>
      <c r="J893" s="52"/>
      <c r="K893" s="59" t="s">
        <v>79</v>
      </c>
      <c r="L893" s="52"/>
      <c r="M893" s="52"/>
      <c r="N893" s="52"/>
      <c r="O893" s="52"/>
      <c r="P893" s="76" t="s">
        <v>670</v>
      </c>
      <c r="Q893" s="55">
        <f>VLOOKUP(E893,'NI-Ric_SP'!$C:$AN,12,FALSE)</f>
        <v>0</v>
      </c>
      <c r="R893" s="55">
        <f>VLOOKUP(E893,'NI-Ric_SP'!$C:$AN,13,FALSE)</f>
        <v>0</v>
      </c>
      <c r="S893" s="55"/>
      <c r="T893" s="55"/>
      <c r="U893" s="55">
        <f>VLOOKUP($E893,'NI-Ric_SP'!$C:$AN,MID(U$1,1,2),FALSE)</f>
        <v>0</v>
      </c>
      <c r="V893" s="55">
        <f>VLOOKUP($E893,'NI-Ric_SP'!$C:$AN,MID(V$1,1,2),FALSE)</f>
        <v>0</v>
      </c>
      <c r="W893" s="55">
        <f>VLOOKUP($E893,'NI-Ric_SP'!$C:$AN,MID(W$1,1,2),FALSE)</f>
        <v>0</v>
      </c>
      <c r="X893" s="55">
        <f>VLOOKUP($E893,'NI-Ric_SP'!$C:$AN,MID(X$1,1,2),FALSE)</f>
        <v>0</v>
      </c>
      <c r="Y893" s="55">
        <f>VLOOKUP($E893,'NI-Ric_SP'!$C:$AN,MID(Y$1,1,2),FALSE)</f>
        <v>0</v>
      </c>
      <c r="Z893" s="55">
        <f>VLOOKUP($E893,'NI-Ric_SP'!$C:$AN,MID(Z$1,1,2),FALSE)</f>
        <v>0</v>
      </c>
      <c r="AA893" s="55">
        <f>VLOOKUP($E893,'NI-Ric_SP'!$C:$AN,MID(AA$1,1,2),FALSE)</f>
        <v>0</v>
      </c>
      <c r="AB893" s="55">
        <f>VLOOKUP($E893,'NI-Ric_SP'!$C:$AN,MID(AB$1,1,2),FALSE)</f>
        <v>0</v>
      </c>
      <c r="AC893" s="55">
        <f>VLOOKUP($E893,'NI-Ric_SP'!$C:$AN,MID(AC$1,1,2),FALSE)</f>
        <v>0</v>
      </c>
      <c r="AD893" s="55">
        <f>VLOOKUP($E893,'NI-Ric_SP'!$C:$AN,MID(AD$1,1,2),FALSE)</f>
        <v>0</v>
      </c>
      <c r="AE893" s="55">
        <f>VLOOKUP($E893,'NI-Ric_SP'!$C:$AN,MID(AE$1,1,2),FALSE)</f>
        <v>0</v>
      </c>
      <c r="AF893" s="55">
        <f>VLOOKUP($E893,'NI-Ric_SP'!$C:$AN,MID(AF$1,1,2),FALSE)</f>
        <v>0</v>
      </c>
      <c r="AG893" s="55">
        <f>VLOOKUP($E893,'NI-Ric_SP'!$C:$AN,MID(AG$1,1,2),FALSE)</f>
        <v>0</v>
      </c>
      <c r="AH893" s="55">
        <f>VLOOKUP($E893,'NI-Ric_SP'!$C:$AN,MID(AH$1,1,2),FALSE)</f>
        <v>0</v>
      </c>
      <c r="AI893" s="55">
        <f>VLOOKUP($E893,'NI-Ric_SP'!$C:$AN,MID(AI$1,1,2),FALSE)</f>
        <v>0</v>
      </c>
      <c r="AJ893" s="55">
        <f>VLOOKUP($E893,'NI-Ric_SP'!$C:$AN,MID(AJ$1,1,2),FALSE)</f>
        <v>0</v>
      </c>
      <c r="AK893" s="55">
        <f>VLOOKUP($E893,'NI-Ric_SP'!$C:$AN,MID(AK$1,1,2),FALSE)</f>
        <v>0</v>
      </c>
      <c r="AL893" s="55">
        <f>VLOOKUP($E893,'NI-Ric_SP'!$C:$AN,MID(AL$1,1,2),FALSE)</f>
        <v>0</v>
      </c>
      <c r="AM893" s="56">
        <f>VLOOKUP($E893,'NI-Ric_SP'!$C:$AN,MID(AM$1,1,2),FALSE)</f>
        <v>0</v>
      </c>
      <c r="AN893" s="30" t="str">
        <f t="shared" si="13"/>
        <v>10204010010020</v>
      </c>
    </row>
    <row r="894" spans="3:40" x14ac:dyDescent="0.25">
      <c r="C894" s="40"/>
      <c r="D894" s="101" t="s">
        <v>671</v>
      </c>
      <c r="E894" s="101" t="s">
        <v>672</v>
      </c>
      <c r="F894" s="102" t="s">
        <v>2750</v>
      </c>
      <c r="G894" s="52"/>
      <c r="H894" s="52"/>
      <c r="I894" s="52"/>
      <c r="J894" s="52"/>
      <c r="K894" s="59" t="s">
        <v>79</v>
      </c>
      <c r="L894" s="52"/>
      <c r="M894" s="52"/>
      <c r="N894" s="52"/>
      <c r="O894" s="52"/>
      <c r="P894" s="76" t="s">
        <v>673</v>
      </c>
      <c r="Q894" s="55">
        <f>VLOOKUP(E894,'NI-Ric_SP'!$C:$AN,12,FALSE)</f>
        <v>0</v>
      </c>
      <c r="R894" s="55">
        <f>VLOOKUP(E894,'NI-Ric_SP'!$C:$AN,13,FALSE)</f>
        <v>0</v>
      </c>
      <c r="S894" s="55"/>
      <c r="T894" s="55"/>
      <c r="U894" s="55">
        <f>VLOOKUP($E894,'NI-Ric_SP'!$C:$AN,MID(U$1,1,2),FALSE)</f>
        <v>0</v>
      </c>
      <c r="V894" s="55">
        <f>VLOOKUP($E894,'NI-Ric_SP'!$C:$AN,MID(V$1,1,2),FALSE)</f>
        <v>0</v>
      </c>
      <c r="W894" s="55">
        <f>VLOOKUP($E894,'NI-Ric_SP'!$C:$AN,MID(W$1,1,2),FALSE)</f>
        <v>0</v>
      </c>
      <c r="X894" s="55">
        <f>VLOOKUP($E894,'NI-Ric_SP'!$C:$AN,MID(X$1,1,2),FALSE)</f>
        <v>0</v>
      </c>
      <c r="Y894" s="55">
        <f>VLOOKUP($E894,'NI-Ric_SP'!$C:$AN,MID(Y$1,1,2),FALSE)</f>
        <v>0</v>
      </c>
      <c r="Z894" s="55">
        <f>VLOOKUP($E894,'NI-Ric_SP'!$C:$AN,MID(Z$1,1,2),FALSE)</f>
        <v>0</v>
      </c>
      <c r="AA894" s="55">
        <f>VLOOKUP($E894,'NI-Ric_SP'!$C:$AN,MID(AA$1,1,2),FALSE)</f>
        <v>0</v>
      </c>
      <c r="AB894" s="55">
        <f>VLOOKUP($E894,'NI-Ric_SP'!$C:$AN,MID(AB$1,1,2),FALSE)</f>
        <v>0</v>
      </c>
      <c r="AC894" s="55">
        <f>VLOOKUP($E894,'NI-Ric_SP'!$C:$AN,MID(AC$1,1,2),FALSE)</f>
        <v>0</v>
      </c>
      <c r="AD894" s="55">
        <f>VLOOKUP($E894,'NI-Ric_SP'!$C:$AN,MID(AD$1,1,2),FALSE)</f>
        <v>0</v>
      </c>
      <c r="AE894" s="55">
        <f>VLOOKUP($E894,'NI-Ric_SP'!$C:$AN,MID(AE$1,1,2),FALSE)</f>
        <v>0</v>
      </c>
      <c r="AF894" s="55">
        <f>VLOOKUP($E894,'NI-Ric_SP'!$C:$AN,MID(AF$1,1,2),FALSE)</f>
        <v>0</v>
      </c>
      <c r="AG894" s="55">
        <f>VLOOKUP($E894,'NI-Ric_SP'!$C:$AN,MID(AG$1,1,2),FALSE)</f>
        <v>0</v>
      </c>
      <c r="AH894" s="55">
        <f>VLOOKUP($E894,'NI-Ric_SP'!$C:$AN,MID(AH$1,1,2),FALSE)</f>
        <v>0</v>
      </c>
      <c r="AI894" s="55">
        <f>VLOOKUP($E894,'NI-Ric_SP'!$C:$AN,MID(AI$1,1,2),FALSE)</f>
        <v>0</v>
      </c>
      <c r="AJ894" s="55">
        <f>VLOOKUP($E894,'NI-Ric_SP'!$C:$AN,MID(AJ$1,1,2),FALSE)</f>
        <v>0</v>
      </c>
      <c r="AK894" s="55">
        <f>VLOOKUP($E894,'NI-Ric_SP'!$C:$AN,MID(AK$1,1,2),FALSE)</f>
        <v>0</v>
      </c>
      <c r="AL894" s="55">
        <f>VLOOKUP($E894,'NI-Ric_SP'!$C:$AN,MID(AL$1,1,2),FALSE)</f>
        <v>0</v>
      </c>
      <c r="AM894" s="56">
        <f>VLOOKUP($E894,'NI-Ric_SP'!$C:$AN,MID(AM$1,1,2),FALSE)</f>
        <v>0</v>
      </c>
      <c r="AN894" s="30" t="str">
        <f t="shared" si="13"/>
        <v>10204010020010</v>
      </c>
    </row>
    <row r="895" spans="3:40" x14ac:dyDescent="0.25">
      <c r="C895" s="40"/>
      <c r="D895" s="101" t="s">
        <v>674</v>
      </c>
      <c r="E895" s="101" t="s">
        <v>675</v>
      </c>
      <c r="F895" s="102" t="s">
        <v>2750</v>
      </c>
      <c r="G895" s="52"/>
      <c r="H895" s="52"/>
      <c r="I895" s="52"/>
      <c r="J895" s="52"/>
      <c r="K895" s="59" t="s">
        <v>79</v>
      </c>
      <c r="L895" s="52"/>
      <c r="M895" s="52"/>
      <c r="N895" s="52"/>
      <c r="O895" s="52"/>
      <c r="P895" s="76" t="s">
        <v>676</v>
      </c>
      <c r="Q895" s="55">
        <f>VLOOKUP(E895,'NI-Ric_SP'!$C:$AN,12,FALSE)</f>
        <v>0</v>
      </c>
      <c r="R895" s="55">
        <f>VLOOKUP(E895,'NI-Ric_SP'!$C:$AN,13,FALSE)</f>
        <v>0</v>
      </c>
      <c r="S895" s="55"/>
      <c r="T895" s="55"/>
      <c r="U895" s="55">
        <f>VLOOKUP($E895,'NI-Ric_SP'!$C:$AN,MID(U$1,1,2),FALSE)</f>
        <v>0</v>
      </c>
      <c r="V895" s="55">
        <f>VLOOKUP($E895,'NI-Ric_SP'!$C:$AN,MID(V$1,1,2),FALSE)</f>
        <v>0</v>
      </c>
      <c r="W895" s="55">
        <f>VLOOKUP($E895,'NI-Ric_SP'!$C:$AN,MID(W$1,1,2),FALSE)</f>
        <v>0</v>
      </c>
      <c r="X895" s="55">
        <f>VLOOKUP($E895,'NI-Ric_SP'!$C:$AN,MID(X$1,1,2),FALSE)</f>
        <v>0</v>
      </c>
      <c r="Y895" s="55">
        <f>VLOOKUP($E895,'NI-Ric_SP'!$C:$AN,MID(Y$1,1,2),FALSE)</f>
        <v>0</v>
      </c>
      <c r="Z895" s="55">
        <f>VLOOKUP($E895,'NI-Ric_SP'!$C:$AN,MID(Z$1,1,2),FALSE)</f>
        <v>0</v>
      </c>
      <c r="AA895" s="55">
        <f>VLOOKUP($E895,'NI-Ric_SP'!$C:$AN,MID(AA$1,1,2),FALSE)</f>
        <v>0</v>
      </c>
      <c r="AB895" s="55">
        <f>VLOOKUP($E895,'NI-Ric_SP'!$C:$AN,MID(AB$1,1,2),FALSE)</f>
        <v>0</v>
      </c>
      <c r="AC895" s="55">
        <f>VLOOKUP($E895,'NI-Ric_SP'!$C:$AN,MID(AC$1,1,2),FALSE)</f>
        <v>0</v>
      </c>
      <c r="AD895" s="55">
        <f>VLOOKUP($E895,'NI-Ric_SP'!$C:$AN,MID(AD$1,1,2),FALSE)</f>
        <v>0</v>
      </c>
      <c r="AE895" s="55">
        <f>VLOOKUP($E895,'NI-Ric_SP'!$C:$AN,MID(AE$1,1,2),FALSE)</f>
        <v>0</v>
      </c>
      <c r="AF895" s="55">
        <f>VLOOKUP($E895,'NI-Ric_SP'!$C:$AN,MID(AF$1,1,2),FALSE)</f>
        <v>0</v>
      </c>
      <c r="AG895" s="55">
        <f>VLOOKUP($E895,'NI-Ric_SP'!$C:$AN,MID(AG$1,1,2),FALSE)</f>
        <v>0</v>
      </c>
      <c r="AH895" s="55">
        <f>VLOOKUP($E895,'NI-Ric_SP'!$C:$AN,MID(AH$1,1,2),FALSE)</f>
        <v>0</v>
      </c>
      <c r="AI895" s="55">
        <f>VLOOKUP($E895,'NI-Ric_SP'!$C:$AN,MID(AI$1,1,2),FALSE)</f>
        <v>0</v>
      </c>
      <c r="AJ895" s="55">
        <f>VLOOKUP($E895,'NI-Ric_SP'!$C:$AN,MID(AJ$1,1,2),FALSE)</f>
        <v>0</v>
      </c>
      <c r="AK895" s="55">
        <f>VLOOKUP($E895,'NI-Ric_SP'!$C:$AN,MID(AK$1,1,2),FALSE)</f>
        <v>0</v>
      </c>
      <c r="AL895" s="55">
        <f>VLOOKUP($E895,'NI-Ric_SP'!$C:$AN,MID(AL$1,1,2),FALSE)</f>
        <v>0</v>
      </c>
      <c r="AM895" s="56">
        <f>VLOOKUP($E895,'NI-Ric_SP'!$C:$AN,MID(AM$1,1,2),FALSE)</f>
        <v>0</v>
      </c>
      <c r="AN895" s="30" t="str">
        <f t="shared" si="13"/>
        <v>10204010020020</v>
      </c>
    </row>
    <row r="896" spans="3:40" x14ac:dyDescent="0.25">
      <c r="C896" s="40"/>
      <c r="D896" s="101" t="s">
        <v>677</v>
      </c>
      <c r="E896" s="101" t="s">
        <v>678</v>
      </c>
      <c r="F896" s="102" t="s">
        <v>2750</v>
      </c>
      <c r="G896" s="52"/>
      <c r="H896" s="52"/>
      <c r="I896" s="52"/>
      <c r="J896" s="52"/>
      <c r="K896" s="59" t="s">
        <v>79</v>
      </c>
      <c r="L896" s="52"/>
      <c r="M896" s="52"/>
      <c r="N896" s="52"/>
      <c r="O896" s="52"/>
      <c r="P896" s="76" t="s">
        <v>679</v>
      </c>
      <c r="Q896" s="55">
        <f>VLOOKUP(E896,'NI-Ric_SP'!$C:$AN,12,FALSE)</f>
        <v>0</v>
      </c>
      <c r="R896" s="55">
        <f>VLOOKUP(E896,'NI-Ric_SP'!$C:$AN,13,FALSE)</f>
        <v>0</v>
      </c>
      <c r="S896" s="55"/>
      <c r="T896" s="55"/>
      <c r="U896" s="55">
        <f>VLOOKUP($E896,'NI-Ric_SP'!$C:$AN,MID(U$1,1,2),FALSE)</f>
        <v>0</v>
      </c>
      <c r="V896" s="55">
        <f>VLOOKUP($E896,'NI-Ric_SP'!$C:$AN,MID(V$1,1,2),FALSE)</f>
        <v>0</v>
      </c>
      <c r="W896" s="55">
        <f>VLOOKUP($E896,'NI-Ric_SP'!$C:$AN,MID(W$1,1,2),FALSE)</f>
        <v>0</v>
      </c>
      <c r="X896" s="55">
        <f>VLOOKUP($E896,'NI-Ric_SP'!$C:$AN,MID(X$1,1,2),FALSE)</f>
        <v>0</v>
      </c>
      <c r="Y896" s="55">
        <f>VLOOKUP($E896,'NI-Ric_SP'!$C:$AN,MID(Y$1,1,2),FALSE)</f>
        <v>0</v>
      </c>
      <c r="Z896" s="55">
        <f>VLOOKUP($E896,'NI-Ric_SP'!$C:$AN,MID(Z$1,1,2),FALSE)</f>
        <v>0</v>
      </c>
      <c r="AA896" s="55">
        <f>VLOOKUP($E896,'NI-Ric_SP'!$C:$AN,MID(AA$1,1,2),FALSE)</f>
        <v>0</v>
      </c>
      <c r="AB896" s="55">
        <f>VLOOKUP($E896,'NI-Ric_SP'!$C:$AN,MID(AB$1,1,2),FALSE)</f>
        <v>0</v>
      </c>
      <c r="AC896" s="55">
        <f>VLOOKUP($E896,'NI-Ric_SP'!$C:$AN,MID(AC$1,1,2),FALSE)</f>
        <v>0</v>
      </c>
      <c r="AD896" s="55">
        <f>VLOOKUP($E896,'NI-Ric_SP'!$C:$AN,MID(AD$1,1,2),FALSE)</f>
        <v>0</v>
      </c>
      <c r="AE896" s="55">
        <f>VLOOKUP($E896,'NI-Ric_SP'!$C:$AN,MID(AE$1,1,2),FALSE)</f>
        <v>0</v>
      </c>
      <c r="AF896" s="55">
        <f>VLOOKUP($E896,'NI-Ric_SP'!$C:$AN,MID(AF$1,1,2),FALSE)</f>
        <v>0</v>
      </c>
      <c r="AG896" s="55">
        <f>VLOOKUP($E896,'NI-Ric_SP'!$C:$AN,MID(AG$1,1,2),FALSE)</f>
        <v>0</v>
      </c>
      <c r="AH896" s="55">
        <f>VLOOKUP($E896,'NI-Ric_SP'!$C:$AN,MID(AH$1,1,2),FALSE)</f>
        <v>0</v>
      </c>
      <c r="AI896" s="55">
        <f>VLOOKUP($E896,'NI-Ric_SP'!$C:$AN,MID(AI$1,1,2),FALSE)</f>
        <v>0</v>
      </c>
      <c r="AJ896" s="55">
        <f>VLOOKUP($E896,'NI-Ric_SP'!$C:$AN,MID(AJ$1,1,2),FALSE)</f>
        <v>0</v>
      </c>
      <c r="AK896" s="55">
        <f>VLOOKUP($E896,'NI-Ric_SP'!$C:$AN,MID(AK$1,1,2),FALSE)</f>
        <v>0</v>
      </c>
      <c r="AL896" s="55">
        <f>VLOOKUP($E896,'NI-Ric_SP'!$C:$AN,MID(AL$1,1,2),FALSE)</f>
        <v>0</v>
      </c>
      <c r="AM896" s="56">
        <f>VLOOKUP($E896,'NI-Ric_SP'!$C:$AN,MID(AM$1,1,2),FALSE)</f>
        <v>0</v>
      </c>
      <c r="AN896" s="30" t="str">
        <f t="shared" si="13"/>
        <v>10204010030010</v>
      </c>
    </row>
    <row r="897" spans="3:40" x14ac:dyDescent="0.25">
      <c r="C897" s="40"/>
      <c r="D897" s="101" t="s">
        <v>680</v>
      </c>
      <c r="E897" s="101" t="s">
        <v>681</v>
      </c>
      <c r="F897" s="102" t="s">
        <v>2750</v>
      </c>
      <c r="G897" s="52"/>
      <c r="H897" s="52"/>
      <c r="I897" s="52"/>
      <c r="J897" s="52"/>
      <c r="K897" s="59" t="s">
        <v>79</v>
      </c>
      <c r="L897" s="52"/>
      <c r="M897" s="52"/>
      <c r="N897" s="52"/>
      <c r="O897" s="52"/>
      <c r="P897" s="76" t="s">
        <v>682</v>
      </c>
      <c r="Q897" s="55">
        <f>VLOOKUP(E897,'NI-Ric_SP'!$C:$AN,12,FALSE)</f>
        <v>0</v>
      </c>
      <c r="R897" s="55">
        <f>VLOOKUP(E897,'NI-Ric_SP'!$C:$AN,13,FALSE)</f>
        <v>0</v>
      </c>
      <c r="S897" s="55"/>
      <c r="T897" s="55"/>
      <c r="U897" s="55">
        <f>VLOOKUP($E897,'NI-Ric_SP'!$C:$AN,MID(U$1,1,2),FALSE)</f>
        <v>0</v>
      </c>
      <c r="V897" s="55">
        <f>VLOOKUP($E897,'NI-Ric_SP'!$C:$AN,MID(V$1,1,2),FALSE)</f>
        <v>0</v>
      </c>
      <c r="W897" s="55">
        <f>VLOOKUP($E897,'NI-Ric_SP'!$C:$AN,MID(W$1,1,2),FALSE)</f>
        <v>0</v>
      </c>
      <c r="X897" s="55">
        <f>VLOOKUP($E897,'NI-Ric_SP'!$C:$AN,MID(X$1,1,2),FALSE)</f>
        <v>0</v>
      </c>
      <c r="Y897" s="55">
        <f>VLOOKUP($E897,'NI-Ric_SP'!$C:$AN,MID(Y$1,1,2),FALSE)</f>
        <v>0</v>
      </c>
      <c r="Z897" s="55">
        <f>VLOOKUP($E897,'NI-Ric_SP'!$C:$AN,MID(Z$1,1,2),FALSE)</f>
        <v>0</v>
      </c>
      <c r="AA897" s="55">
        <f>VLOOKUP($E897,'NI-Ric_SP'!$C:$AN,MID(AA$1,1,2),FALSE)</f>
        <v>0</v>
      </c>
      <c r="AB897" s="55">
        <f>VLOOKUP($E897,'NI-Ric_SP'!$C:$AN,MID(AB$1,1,2),FALSE)</f>
        <v>0</v>
      </c>
      <c r="AC897" s="55">
        <f>VLOOKUP($E897,'NI-Ric_SP'!$C:$AN,MID(AC$1,1,2),FALSE)</f>
        <v>0</v>
      </c>
      <c r="AD897" s="55">
        <f>VLOOKUP($E897,'NI-Ric_SP'!$C:$AN,MID(AD$1,1,2),FALSE)</f>
        <v>0</v>
      </c>
      <c r="AE897" s="55">
        <f>VLOOKUP($E897,'NI-Ric_SP'!$C:$AN,MID(AE$1,1,2),FALSE)</f>
        <v>0</v>
      </c>
      <c r="AF897" s="55">
        <f>VLOOKUP($E897,'NI-Ric_SP'!$C:$AN,MID(AF$1,1,2),FALSE)</f>
        <v>0</v>
      </c>
      <c r="AG897" s="55">
        <f>VLOOKUP($E897,'NI-Ric_SP'!$C:$AN,MID(AG$1,1,2),FALSE)</f>
        <v>0</v>
      </c>
      <c r="AH897" s="55">
        <f>VLOOKUP($E897,'NI-Ric_SP'!$C:$AN,MID(AH$1,1,2),FALSE)</f>
        <v>0</v>
      </c>
      <c r="AI897" s="55">
        <f>VLOOKUP($E897,'NI-Ric_SP'!$C:$AN,MID(AI$1,1,2),FALSE)</f>
        <v>0</v>
      </c>
      <c r="AJ897" s="55">
        <f>VLOOKUP($E897,'NI-Ric_SP'!$C:$AN,MID(AJ$1,1,2),FALSE)</f>
        <v>0</v>
      </c>
      <c r="AK897" s="55">
        <f>VLOOKUP($E897,'NI-Ric_SP'!$C:$AN,MID(AK$1,1,2),FALSE)</f>
        <v>0</v>
      </c>
      <c r="AL897" s="55">
        <f>VLOOKUP($E897,'NI-Ric_SP'!$C:$AN,MID(AL$1,1,2),FALSE)</f>
        <v>0</v>
      </c>
      <c r="AM897" s="56">
        <f>VLOOKUP($E897,'NI-Ric_SP'!$C:$AN,MID(AM$1,1,2),FALSE)</f>
        <v>0</v>
      </c>
      <c r="AN897" s="30" t="str">
        <f t="shared" si="13"/>
        <v>10204010030020</v>
      </c>
    </row>
    <row r="898" spans="3:40" x14ac:dyDescent="0.25">
      <c r="C898" s="40"/>
      <c r="D898" s="101" t="s">
        <v>683</v>
      </c>
      <c r="E898" s="101" t="s">
        <v>684</v>
      </c>
      <c r="F898" s="102" t="s">
        <v>2750</v>
      </c>
      <c r="G898" s="52"/>
      <c r="H898" s="52"/>
      <c r="I898" s="52" t="s">
        <v>685</v>
      </c>
      <c r="J898" s="52" t="s">
        <v>685</v>
      </c>
      <c r="K898" s="59" t="s">
        <v>111</v>
      </c>
      <c r="L898" s="62" t="s">
        <v>686</v>
      </c>
      <c r="M898" s="52"/>
      <c r="N898" s="52"/>
      <c r="O898" s="52"/>
      <c r="P898" s="76" t="s">
        <v>687</v>
      </c>
      <c r="Q898" s="55">
        <f>VLOOKUP(E898,'NI-Ric_SP'!$C:$AN,12,FALSE)</f>
        <v>0</v>
      </c>
      <c r="R898" s="55">
        <f>VLOOKUP(E898,'NI-Ric_SP'!$C:$AN,13,FALSE)</f>
        <v>0</v>
      </c>
      <c r="S898" s="55"/>
      <c r="T898" s="55"/>
      <c r="U898" s="55">
        <f>VLOOKUP($E898,'NI-Ric_SP'!$C:$AN,MID(U$1,1,2),FALSE)</f>
        <v>0</v>
      </c>
      <c r="V898" s="55">
        <f>VLOOKUP($E898,'NI-Ric_SP'!$C:$AN,MID(V$1,1,2),FALSE)</f>
        <v>0</v>
      </c>
      <c r="W898" s="55">
        <f>VLOOKUP($E898,'NI-Ric_SP'!$C:$AN,MID(W$1,1,2),FALSE)</f>
        <v>0</v>
      </c>
      <c r="X898" s="55">
        <f>VLOOKUP($E898,'NI-Ric_SP'!$C:$AN,MID(X$1,1,2),FALSE)</f>
        <v>0</v>
      </c>
      <c r="Y898" s="55">
        <f>VLOOKUP($E898,'NI-Ric_SP'!$C:$AN,MID(Y$1,1,2),FALSE)</f>
        <v>0</v>
      </c>
      <c r="Z898" s="55">
        <f>VLOOKUP($E898,'NI-Ric_SP'!$C:$AN,MID(Z$1,1,2),FALSE)</f>
        <v>0</v>
      </c>
      <c r="AA898" s="55">
        <f>VLOOKUP($E898,'NI-Ric_SP'!$C:$AN,MID(AA$1,1,2),FALSE)</f>
        <v>0</v>
      </c>
      <c r="AB898" s="55">
        <f>VLOOKUP($E898,'NI-Ric_SP'!$C:$AN,MID(AB$1,1,2),FALSE)</f>
        <v>0</v>
      </c>
      <c r="AC898" s="55">
        <f>VLOOKUP($E898,'NI-Ric_SP'!$C:$AN,MID(AC$1,1,2),FALSE)</f>
        <v>0</v>
      </c>
      <c r="AD898" s="55">
        <f>VLOOKUP($E898,'NI-Ric_SP'!$C:$AN,MID(AD$1,1,2),FALSE)</f>
        <v>0</v>
      </c>
      <c r="AE898" s="55">
        <f>VLOOKUP($E898,'NI-Ric_SP'!$C:$AN,MID(AE$1,1,2),FALSE)</f>
        <v>0</v>
      </c>
      <c r="AF898" s="55">
        <f>VLOOKUP($E898,'NI-Ric_SP'!$C:$AN,MID(AF$1,1,2),FALSE)</f>
        <v>0</v>
      </c>
      <c r="AG898" s="55">
        <f>VLOOKUP($E898,'NI-Ric_SP'!$C:$AN,MID(AG$1,1,2),FALSE)</f>
        <v>0</v>
      </c>
      <c r="AH898" s="55">
        <f>VLOOKUP($E898,'NI-Ric_SP'!$C:$AN,MID(AH$1,1,2),FALSE)</f>
        <v>0</v>
      </c>
      <c r="AI898" s="55">
        <f>VLOOKUP($E898,'NI-Ric_SP'!$C:$AN,MID(AI$1,1,2),FALSE)</f>
        <v>0</v>
      </c>
      <c r="AJ898" s="55">
        <f>VLOOKUP($E898,'NI-Ric_SP'!$C:$AN,MID(AJ$1,1,2),FALSE)</f>
        <v>0</v>
      </c>
      <c r="AK898" s="55">
        <f>VLOOKUP($E898,'NI-Ric_SP'!$C:$AN,MID(AK$1,1,2),FALSE)</f>
        <v>0</v>
      </c>
      <c r="AL898" s="55">
        <f>VLOOKUP($E898,'NI-Ric_SP'!$C:$AN,MID(AL$1,1,2),FALSE)</f>
        <v>0</v>
      </c>
      <c r="AM898" s="56">
        <f>VLOOKUP($E898,'NI-Ric_SP'!$C:$AN,MID(AM$1,1,2),FALSE)</f>
        <v>0</v>
      </c>
      <c r="AN898" s="30" t="str">
        <f t="shared" ref="AN898:AN961" si="14">D898</f>
        <v>10204020000000</v>
      </c>
    </row>
    <row r="899" spans="3:40" x14ac:dyDescent="0.25">
      <c r="C899" s="40"/>
      <c r="D899" s="101" t="s">
        <v>688</v>
      </c>
      <c r="E899" s="101" t="s">
        <v>689</v>
      </c>
      <c r="F899" s="102" t="s">
        <v>2750</v>
      </c>
      <c r="G899" s="52"/>
      <c r="H899" s="52"/>
      <c r="I899" s="52"/>
      <c r="J899" s="52"/>
      <c r="K899" s="59" t="s">
        <v>79</v>
      </c>
      <c r="L899" s="52"/>
      <c r="M899" s="52"/>
      <c r="N899" s="52"/>
      <c r="O899" s="52"/>
      <c r="P899" s="76" t="s">
        <v>690</v>
      </c>
      <c r="Q899" s="55">
        <f>VLOOKUP(E899,'NI-Ric_SP'!$C:$AN,12,FALSE)</f>
        <v>0</v>
      </c>
      <c r="R899" s="55">
        <f>VLOOKUP(E899,'NI-Ric_SP'!$C:$AN,13,FALSE)</f>
        <v>0</v>
      </c>
      <c r="S899" s="55"/>
      <c r="T899" s="55"/>
      <c r="U899" s="55">
        <f>VLOOKUP($E899,'NI-Ric_SP'!$C:$AN,MID(U$1,1,2),FALSE)</f>
        <v>0</v>
      </c>
      <c r="V899" s="55">
        <f>VLOOKUP($E899,'NI-Ric_SP'!$C:$AN,MID(V$1,1,2),FALSE)</f>
        <v>0</v>
      </c>
      <c r="W899" s="55">
        <f>VLOOKUP($E899,'NI-Ric_SP'!$C:$AN,MID(W$1,1,2),FALSE)</f>
        <v>0</v>
      </c>
      <c r="X899" s="55">
        <f>VLOOKUP($E899,'NI-Ric_SP'!$C:$AN,MID(X$1,1,2),FALSE)</f>
        <v>0</v>
      </c>
      <c r="Y899" s="55">
        <f>VLOOKUP($E899,'NI-Ric_SP'!$C:$AN,MID(Y$1,1,2),FALSE)</f>
        <v>0</v>
      </c>
      <c r="Z899" s="55">
        <f>VLOOKUP($E899,'NI-Ric_SP'!$C:$AN,MID(Z$1,1,2),FALSE)</f>
        <v>0</v>
      </c>
      <c r="AA899" s="55">
        <f>VLOOKUP($E899,'NI-Ric_SP'!$C:$AN,MID(AA$1,1,2),FALSE)</f>
        <v>0</v>
      </c>
      <c r="AB899" s="55">
        <f>VLOOKUP($E899,'NI-Ric_SP'!$C:$AN,MID(AB$1,1,2),FALSE)</f>
        <v>0</v>
      </c>
      <c r="AC899" s="55">
        <f>VLOOKUP($E899,'NI-Ric_SP'!$C:$AN,MID(AC$1,1,2),FALSE)</f>
        <v>0</v>
      </c>
      <c r="AD899" s="55">
        <f>VLOOKUP($E899,'NI-Ric_SP'!$C:$AN,MID(AD$1,1,2),FALSE)</f>
        <v>0</v>
      </c>
      <c r="AE899" s="55">
        <f>VLOOKUP($E899,'NI-Ric_SP'!$C:$AN,MID(AE$1,1,2),FALSE)</f>
        <v>0</v>
      </c>
      <c r="AF899" s="55">
        <f>VLOOKUP($E899,'NI-Ric_SP'!$C:$AN,MID(AF$1,1,2),FALSE)</f>
        <v>0</v>
      </c>
      <c r="AG899" s="55">
        <f>VLOOKUP($E899,'NI-Ric_SP'!$C:$AN,MID(AG$1,1,2),FALSE)</f>
        <v>0</v>
      </c>
      <c r="AH899" s="55">
        <f>VLOOKUP($E899,'NI-Ric_SP'!$C:$AN,MID(AH$1,1,2),FALSE)</f>
        <v>0</v>
      </c>
      <c r="AI899" s="55">
        <f>VLOOKUP($E899,'NI-Ric_SP'!$C:$AN,MID(AI$1,1,2),FALSE)</f>
        <v>0</v>
      </c>
      <c r="AJ899" s="55">
        <f>VLOOKUP($E899,'NI-Ric_SP'!$C:$AN,MID(AJ$1,1,2),FALSE)</f>
        <v>0</v>
      </c>
      <c r="AK899" s="55">
        <f>VLOOKUP($E899,'NI-Ric_SP'!$C:$AN,MID(AK$1,1,2),FALSE)</f>
        <v>0</v>
      </c>
      <c r="AL899" s="55">
        <f>VLOOKUP($E899,'NI-Ric_SP'!$C:$AN,MID(AL$1,1,2),FALSE)</f>
        <v>0</v>
      </c>
      <c r="AM899" s="56">
        <f>VLOOKUP($E899,'NI-Ric_SP'!$C:$AN,MID(AM$1,1,2),FALSE)</f>
        <v>0</v>
      </c>
      <c r="AN899" s="30" t="str">
        <f t="shared" si="14"/>
        <v>10204020010010</v>
      </c>
    </row>
    <row r="900" spans="3:40" x14ac:dyDescent="0.25">
      <c r="C900" s="40"/>
      <c r="D900" s="101" t="s">
        <v>691</v>
      </c>
      <c r="E900" s="101" t="s">
        <v>692</v>
      </c>
      <c r="F900" s="102" t="s">
        <v>2750</v>
      </c>
      <c r="G900" s="52"/>
      <c r="H900" s="52"/>
      <c r="I900" s="52"/>
      <c r="J900" s="52"/>
      <c r="K900" s="59" t="s">
        <v>79</v>
      </c>
      <c r="L900" s="52"/>
      <c r="M900" s="52"/>
      <c r="N900" s="52"/>
      <c r="O900" s="52"/>
      <c r="P900" s="76" t="s">
        <v>693</v>
      </c>
      <c r="Q900" s="55">
        <f>VLOOKUP(E900,'NI-Ric_SP'!$C:$AN,12,FALSE)</f>
        <v>0</v>
      </c>
      <c r="R900" s="55">
        <f>VLOOKUP(E900,'NI-Ric_SP'!$C:$AN,13,FALSE)</f>
        <v>0</v>
      </c>
      <c r="S900" s="55"/>
      <c r="T900" s="55"/>
      <c r="U900" s="55">
        <f>VLOOKUP($E900,'NI-Ric_SP'!$C:$AN,MID(U$1,1,2),FALSE)</f>
        <v>0</v>
      </c>
      <c r="V900" s="55">
        <f>VLOOKUP($E900,'NI-Ric_SP'!$C:$AN,MID(V$1,1,2),FALSE)</f>
        <v>0</v>
      </c>
      <c r="W900" s="55">
        <f>VLOOKUP($E900,'NI-Ric_SP'!$C:$AN,MID(W$1,1,2),FALSE)</f>
        <v>0</v>
      </c>
      <c r="X900" s="55">
        <f>VLOOKUP($E900,'NI-Ric_SP'!$C:$AN,MID(X$1,1,2),FALSE)</f>
        <v>0</v>
      </c>
      <c r="Y900" s="55">
        <f>VLOOKUP($E900,'NI-Ric_SP'!$C:$AN,MID(Y$1,1,2),FALSE)</f>
        <v>0</v>
      </c>
      <c r="Z900" s="55">
        <f>VLOOKUP($E900,'NI-Ric_SP'!$C:$AN,MID(Z$1,1,2),FALSE)</f>
        <v>0</v>
      </c>
      <c r="AA900" s="55">
        <f>VLOOKUP($E900,'NI-Ric_SP'!$C:$AN,MID(AA$1,1,2),FALSE)</f>
        <v>0</v>
      </c>
      <c r="AB900" s="55">
        <f>VLOOKUP($E900,'NI-Ric_SP'!$C:$AN,MID(AB$1,1,2),FALSE)</f>
        <v>0</v>
      </c>
      <c r="AC900" s="55">
        <f>VLOOKUP($E900,'NI-Ric_SP'!$C:$AN,MID(AC$1,1,2),FALSE)</f>
        <v>0</v>
      </c>
      <c r="AD900" s="55">
        <f>VLOOKUP($E900,'NI-Ric_SP'!$C:$AN,MID(AD$1,1,2),FALSE)</f>
        <v>0</v>
      </c>
      <c r="AE900" s="55">
        <f>VLOOKUP($E900,'NI-Ric_SP'!$C:$AN,MID(AE$1,1,2),FALSE)</f>
        <v>0</v>
      </c>
      <c r="AF900" s="55">
        <f>VLOOKUP($E900,'NI-Ric_SP'!$C:$AN,MID(AF$1,1,2),FALSE)</f>
        <v>0</v>
      </c>
      <c r="AG900" s="55">
        <f>VLOOKUP($E900,'NI-Ric_SP'!$C:$AN,MID(AG$1,1,2),FALSE)</f>
        <v>0</v>
      </c>
      <c r="AH900" s="55">
        <f>VLOOKUP($E900,'NI-Ric_SP'!$C:$AN,MID(AH$1,1,2),FALSE)</f>
        <v>0</v>
      </c>
      <c r="AI900" s="55">
        <f>VLOOKUP($E900,'NI-Ric_SP'!$C:$AN,MID(AI$1,1,2),FALSE)</f>
        <v>0</v>
      </c>
      <c r="AJ900" s="55">
        <f>VLOOKUP($E900,'NI-Ric_SP'!$C:$AN,MID(AJ$1,1,2),FALSE)</f>
        <v>0</v>
      </c>
      <c r="AK900" s="55">
        <f>VLOOKUP($E900,'NI-Ric_SP'!$C:$AN,MID(AK$1,1,2),FALSE)</f>
        <v>0</v>
      </c>
      <c r="AL900" s="55">
        <f>VLOOKUP($E900,'NI-Ric_SP'!$C:$AN,MID(AL$1,1,2),FALSE)</f>
        <v>0</v>
      </c>
      <c r="AM900" s="56">
        <f>VLOOKUP($E900,'NI-Ric_SP'!$C:$AN,MID(AM$1,1,2),FALSE)</f>
        <v>0</v>
      </c>
      <c r="AN900" s="30" t="str">
        <f t="shared" si="14"/>
        <v>10204020010020</v>
      </c>
    </row>
    <row r="901" spans="3:40" x14ac:dyDescent="0.25">
      <c r="C901" s="40"/>
      <c r="D901" s="101" t="s">
        <v>694</v>
      </c>
      <c r="E901" s="101" t="s">
        <v>695</v>
      </c>
      <c r="F901" s="102" t="s">
        <v>2750</v>
      </c>
      <c r="G901" s="52"/>
      <c r="H901" s="52"/>
      <c r="I901" s="52"/>
      <c r="J901" s="52"/>
      <c r="K901" s="59" t="s">
        <v>79</v>
      </c>
      <c r="L901" s="52"/>
      <c r="M901" s="52"/>
      <c r="N901" s="52"/>
      <c r="O901" s="52"/>
      <c r="P901" s="76" t="s">
        <v>696</v>
      </c>
      <c r="Q901" s="55">
        <f>VLOOKUP(E901,'NI-Ric_SP'!$C:$AN,12,FALSE)</f>
        <v>0</v>
      </c>
      <c r="R901" s="55">
        <f>VLOOKUP(E901,'NI-Ric_SP'!$C:$AN,13,FALSE)</f>
        <v>0</v>
      </c>
      <c r="S901" s="55"/>
      <c r="T901" s="55"/>
      <c r="U901" s="55">
        <f>VLOOKUP($E901,'NI-Ric_SP'!$C:$AN,MID(U$1,1,2),FALSE)</f>
        <v>0</v>
      </c>
      <c r="V901" s="55">
        <f>VLOOKUP($E901,'NI-Ric_SP'!$C:$AN,MID(V$1,1,2),FALSE)</f>
        <v>0</v>
      </c>
      <c r="W901" s="55">
        <f>VLOOKUP($E901,'NI-Ric_SP'!$C:$AN,MID(W$1,1,2),FALSE)</f>
        <v>0</v>
      </c>
      <c r="X901" s="55">
        <f>VLOOKUP($E901,'NI-Ric_SP'!$C:$AN,MID(X$1,1,2),FALSE)</f>
        <v>0</v>
      </c>
      <c r="Y901" s="55">
        <f>VLOOKUP($E901,'NI-Ric_SP'!$C:$AN,MID(Y$1,1,2),FALSE)</f>
        <v>0</v>
      </c>
      <c r="Z901" s="55">
        <f>VLOOKUP($E901,'NI-Ric_SP'!$C:$AN,MID(Z$1,1,2),FALSE)</f>
        <v>0</v>
      </c>
      <c r="AA901" s="55">
        <f>VLOOKUP($E901,'NI-Ric_SP'!$C:$AN,MID(AA$1,1,2),FALSE)</f>
        <v>0</v>
      </c>
      <c r="AB901" s="55">
        <f>VLOOKUP($E901,'NI-Ric_SP'!$C:$AN,MID(AB$1,1,2),FALSE)</f>
        <v>0</v>
      </c>
      <c r="AC901" s="55">
        <f>VLOOKUP($E901,'NI-Ric_SP'!$C:$AN,MID(AC$1,1,2),FALSE)</f>
        <v>0</v>
      </c>
      <c r="AD901" s="55">
        <f>VLOOKUP($E901,'NI-Ric_SP'!$C:$AN,MID(AD$1,1,2),FALSE)</f>
        <v>0</v>
      </c>
      <c r="AE901" s="55">
        <f>VLOOKUP($E901,'NI-Ric_SP'!$C:$AN,MID(AE$1,1,2),FALSE)</f>
        <v>0</v>
      </c>
      <c r="AF901" s="55">
        <f>VLOOKUP($E901,'NI-Ric_SP'!$C:$AN,MID(AF$1,1,2),FALSE)</f>
        <v>0</v>
      </c>
      <c r="AG901" s="55">
        <f>VLOOKUP($E901,'NI-Ric_SP'!$C:$AN,MID(AG$1,1,2),FALSE)</f>
        <v>0</v>
      </c>
      <c r="AH901" s="55">
        <f>VLOOKUP($E901,'NI-Ric_SP'!$C:$AN,MID(AH$1,1,2),FALSE)</f>
        <v>0</v>
      </c>
      <c r="AI901" s="55">
        <f>VLOOKUP($E901,'NI-Ric_SP'!$C:$AN,MID(AI$1,1,2),FALSE)</f>
        <v>0</v>
      </c>
      <c r="AJ901" s="55">
        <f>VLOOKUP($E901,'NI-Ric_SP'!$C:$AN,MID(AJ$1,1,2),FALSE)</f>
        <v>0</v>
      </c>
      <c r="AK901" s="55">
        <f>VLOOKUP($E901,'NI-Ric_SP'!$C:$AN,MID(AK$1,1,2),FALSE)</f>
        <v>0</v>
      </c>
      <c r="AL901" s="55">
        <f>VLOOKUP($E901,'NI-Ric_SP'!$C:$AN,MID(AL$1,1,2),FALSE)</f>
        <v>0</v>
      </c>
      <c r="AM901" s="56">
        <f>VLOOKUP($E901,'NI-Ric_SP'!$C:$AN,MID(AM$1,1,2),FALSE)</f>
        <v>0</v>
      </c>
      <c r="AN901" s="30" t="str">
        <f t="shared" si="14"/>
        <v>10204020020010</v>
      </c>
    </row>
    <row r="902" spans="3:40" x14ac:dyDescent="0.25">
      <c r="C902" s="40"/>
      <c r="D902" s="101" t="s">
        <v>697</v>
      </c>
      <c r="E902" s="101" t="s">
        <v>698</v>
      </c>
      <c r="F902" s="102" t="s">
        <v>2750</v>
      </c>
      <c r="G902" s="52"/>
      <c r="H902" s="52"/>
      <c r="I902" s="52"/>
      <c r="J902" s="52"/>
      <c r="K902" s="59" t="s">
        <v>79</v>
      </c>
      <c r="L902" s="52"/>
      <c r="M902" s="52"/>
      <c r="N902" s="52"/>
      <c r="O902" s="52"/>
      <c r="P902" s="76" t="s">
        <v>699</v>
      </c>
      <c r="Q902" s="55">
        <f>VLOOKUP(E902,'NI-Ric_SP'!$C:$AN,12,FALSE)</f>
        <v>0</v>
      </c>
      <c r="R902" s="55">
        <f>VLOOKUP(E902,'NI-Ric_SP'!$C:$AN,13,FALSE)</f>
        <v>0</v>
      </c>
      <c r="S902" s="55"/>
      <c r="T902" s="55"/>
      <c r="U902" s="55">
        <f>VLOOKUP($E902,'NI-Ric_SP'!$C:$AN,MID(U$1,1,2),FALSE)</f>
        <v>0</v>
      </c>
      <c r="V902" s="55">
        <f>VLOOKUP($E902,'NI-Ric_SP'!$C:$AN,MID(V$1,1,2),FALSE)</f>
        <v>0</v>
      </c>
      <c r="W902" s="55">
        <f>VLOOKUP($E902,'NI-Ric_SP'!$C:$AN,MID(W$1,1,2),FALSE)</f>
        <v>0</v>
      </c>
      <c r="X902" s="55">
        <f>VLOOKUP($E902,'NI-Ric_SP'!$C:$AN,MID(X$1,1,2),FALSE)</f>
        <v>0</v>
      </c>
      <c r="Y902" s="55">
        <f>VLOOKUP($E902,'NI-Ric_SP'!$C:$AN,MID(Y$1,1,2),FALSE)</f>
        <v>0</v>
      </c>
      <c r="Z902" s="55">
        <f>VLOOKUP($E902,'NI-Ric_SP'!$C:$AN,MID(Z$1,1,2),FALSE)</f>
        <v>0</v>
      </c>
      <c r="AA902" s="55">
        <f>VLOOKUP($E902,'NI-Ric_SP'!$C:$AN,MID(AA$1,1,2),FALSE)</f>
        <v>0</v>
      </c>
      <c r="AB902" s="55">
        <f>VLOOKUP($E902,'NI-Ric_SP'!$C:$AN,MID(AB$1,1,2),FALSE)</f>
        <v>0</v>
      </c>
      <c r="AC902" s="55">
        <f>VLOOKUP($E902,'NI-Ric_SP'!$C:$AN,MID(AC$1,1,2),FALSE)</f>
        <v>0</v>
      </c>
      <c r="AD902" s="55">
        <f>VLOOKUP($E902,'NI-Ric_SP'!$C:$AN,MID(AD$1,1,2),FALSE)</f>
        <v>0</v>
      </c>
      <c r="AE902" s="55">
        <f>VLOOKUP($E902,'NI-Ric_SP'!$C:$AN,MID(AE$1,1,2),FALSE)</f>
        <v>0</v>
      </c>
      <c r="AF902" s="55">
        <f>VLOOKUP($E902,'NI-Ric_SP'!$C:$AN,MID(AF$1,1,2),FALSE)</f>
        <v>0</v>
      </c>
      <c r="AG902" s="55">
        <f>VLOOKUP($E902,'NI-Ric_SP'!$C:$AN,MID(AG$1,1,2),FALSE)</f>
        <v>0</v>
      </c>
      <c r="AH902" s="55">
        <f>VLOOKUP($E902,'NI-Ric_SP'!$C:$AN,MID(AH$1,1,2),FALSE)</f>
        <v>0</v>
      </c>
      <c r="AI902" s="55">
        <f>VLOOKUP($E902,'NI-Ric_SP'!$C:$AN,MID(AI$1,1,2),FALSE)</f>
        <v>0</v>
      </c>
      <c r="AJ902" s="55">
        <f>VLOOKUP($E902,'NI-Ric_SP'!$C:$AN,MID(AJ$1,1,2),FALSE)</f>
        <v>0</v>
      </c>
      <c r="AK902" s="55">
        <f>VLOOKUP($E902,'NI-Ric_SP'!$C:$AN,MID(AK$1,1,2),FALSE)</f>
        <v>0</v>
      </c>
      <c r="AL902" s="55">
        <f>VLOOKUP($E902,'NI-Ric_SP'!$C:$AN,MID(AL$1,1,2),FALSE)</f>
        <v>0</v>
      </c>
      <c r="AM902" s="56">
        <f>VLOOKUP($E902,'NI-Ric_SP'!$C:$AN,MID(AM$1,1,2),FALSE)</f>
        <v>0</v>
      </c>
      <c r="AN902" s="30" t="str">
        <f t="shared" si="14"/>
        <v>10204020020020</v>
      </c>
    </row>
    <row r="903" spans="3:40" x14ac:dyDescent="0.25">
      <c r="C903" s="40"/>
      <c r="D903" s="101" t="s">
        <v>700</v>
      </c>
      <c r="E903" s="101" t="s">
        <v>701</v>
      </c>
      <c r="F903" s="102" t="s">
        <v>2750</v>
      </c>
      <c r="G903" s="52"/>
      <c r="H903" s="52"/>
      <c r="I903" s="52"/>
      <c r="J903" s="52"/>
      <c r="K903" s="59" t="s">
        <v>79</v>
      </c>
      <c r="L903" s="52"/>
      <c r="M903" s="52"/>
      <c r="N903" s="52"/>
      <c r="O903" s="52"/>
      <c r="P903" s="76" t="s">
        <v>702</v>
      </c>
      <c r="Q903" s="55">
        <f>VLOOKUP(E903,'NI-Ric_SP'!$C:$AN,12,FALSE)</f>
        <v>0</v>
      </c>
      <c r="R903" s="55">
        <f>VLOOKUP(E903,'NI-Ric_SP'!$C:$AN,13,FALSE)</f>
        <v>0</v>
      </c>
      <c r="S903" s="55"/>
      <c r="T903" s="55"/>
      <c r="U903" s="55">
        <f>VLOOKUP($E903,'NI-Ric_SP'!$C:$AN,MID(U$1,1,2),FALSE)</f>
        <v>0</v>
      </c>
      <c r="V903" s="55">
        <f>VLOOKUP($E903,'NI-Ric_SP'!$C:$AN,MID(V$1,1,2),FALSE)</f>
        <v>0</v>
      </c>
      <c r="W903" s="55">
        <f>VLOOKUP($E903,'NI-Ric_SP'!$C:$AN,MID(W$1,1,2),FALSE)</f>
        <v>0</v>
      </c>
      <c r="X903" s="55">
        <f>VLOOKUP($E903,'NI-Ric_SP'!$C:$AN,MID(X$1,1,2),FALSE)</f>
        <v>0</v>
      </c>
      <c r="Y903" s="55">
        <f>VLOOKUP($E903,'NI-Ric_SP'!$C:$AN,MID(Y$1,1,2),FALSE)</f>
        <v>0</v>
      </c>
      <c r="Z903" s="55">
        <f>VLOOKUP($E903,'NI-Ric_SP'!$C:$AN,MID(Z$1,1,2),FALSE)</f>
        <v>0</v>
      </c>
      <c r="AA903" s="55">
        <f>VLOOKUP($E903,'NI-Ric_SP'!$C:$AN,MID(AA$1,1,2),FALSE)</f>
        <v>0</v>
      </c>
      <c r="AB903" s="55">
        <f>VLOOKUP($E903,'NI-Ric_SP'!$C:$AN,MID(AB$1,1,2),FALSE)</f>
        <v>0</v>
      </c>
      <c r="AC903" s="55">
        <f>VLOOKUP($E903,'NI-Ric_SP'!$C:$AN,MID(AC$1,1,2),FALSE)</f>
        <v>0</v>
      </c>
      <c r="AD903" s="55">
        <f>VLOOKUP($E903,'NI-Ric_SP'!$C:$AN,MID(AD$1,1,2),FALSE)</f>
        <v>0</v>
      </c>
      <c r="AE903" s="55">
        <f>VLOOKUP($E903,'NI-Ric_SP'!$C:$AN,MID(AE$1,1,2),FALSE)</f>
        <v>0</v>
      </c>
      <c r="AF903" s="55">
        <f>VLOOKUP($E903,'NI-Ric_SP'!$C:$AN,MID(AF$1,1,2),FALSE)</f>
        <v>0</v>
      </c>
      <c r="AG903" s="55">
        <f>VLOOKUP($E903,'NI-Ric_SP'!$C:$AN,MID(AG$1,1,2),FALSE)</f>
        <v>0</v>
      </c>
      <c r="AH903" s="55">
        <f>VLOOKUP($E903,'NI-Ric_SP'!$C:$AN,MID(AH$1,1,2),FALSE)</f>
        <v>0</v>
      </c>
      <c r="AI903" s="55">
        <f>VLOOKUP($E903,'NI-Ric_SP'!$C:$AN,MID(AI$1,1,2),FALSE)</f>
        <v>0</v>
      </c>
      <c r="AJ903" s="55">
        <f>VLOOKUP($E903,'NI-Ric_SP'!$C:$AN,MID(AJ$1,1,2),FALSE)</f>
        <v>0</v>
      </c>
      <c r="AK903" s="55">
        <f>VLOOKUP($E903,'NI-Ric_SP'!$C:$AN,MID(AK$1,1,2),FALSE)</f>
        <v>0</v>
      </c>
      <c r="AL903" s="55">
        <f>VLOOKUP($E903,'NI-Ric_SP'!$C:$AN,MID(AL$1,1,2),FALSE)</f>
        <v>0</v>
      </c>
      <c r="AM903" s="56">
        <f>VLOOKUP($E903,'NI-Ric_SP'!$C:$AN,MID(AM$1,1,2),FALSE)</f>
        <v>0</v>
      </c>
      <c r="AN903" s="30" t="str">
        <f t="shared" si="14"/>
        <v>10204020030010</v>
      </c>
    </row>
    <row r="904" spans="3:40" x14ac:dyDescent="0.25">
      <c r="C904" s="40"/>
      <c r="D904" s="101" t="s">
        <v>703</v>
      </c>
      <c r="E904" s="101" t="s">
        <v>704</v>
      </c>
      <c r="F904" s="102" t="s">
        <v>2750</v>
      </c>
      <c r="G904" s="52"/>
      <c r="H904" s="52"/>
      <c r="I904" s="52"/>
      <c r="J904" s="52"/>
      <c r="K904" s="59" t="s">
        <v>79</v>
      </c>
      <c r="L904" s="52"/>
      <c r="M904" s="52"/>
      <c r="N904" s="52"/>
      <c r="O904" s="52"/>
      <c r="P904" s="76" t="s">
        <v>705</v>
      </c>
      <c r="Q904" s="55">
        <f>VLOOKUP(E904,'NI-Ric_SP'!$C:$AN,12,FALSE)</f>
        <v>0</v>
      </c>
      <c r="R904" s="55">
        <f>VLOOKUP(E904,'NI-Ric_SP'!$C:$AN,13,FALSE)</f>
        <v>0</v>
      </c>
      <c r="S904" s="55"/>
      <c r="T904" s="55"/>
      <c r="U904" s="55">
        <f>VLOOKUP($E904,'NI-Ric_SP'!$C:$AN,MID(U$1,1,2),FALSE)</f>
        <v>0</v>
      </c>
      <c r="V904" s="55">
        <f>VLOOKUP($E904,'NI-Ric_SP'!$C:$AN,MID(V$1,1,2),FALSE)</f>
        <v>0</v>
      </c>
      <c r="W904" s="55">
        <f>VLOOKUP($E904,'NI-Ric_SP'!$C:$AN,MID(W$1,1,2),FALSE)</f>
        <v>0</v>
      </c>
      <c r="X904" s="55">
        <f>VLOOKUP($E904,'NI-Ric_SP'!$C:$AN,MID(X$1,1,2),FALSE)</f>
        <v>0</v>
      </c>
      <c r="Y904" s="55">
        <f>VLOOKUP($E904,'NI-Ric_SP'!$C:$AN,MID(Y$1,1,2),FALSE)</f>
        <v>0</v>
      </c>
      <c r="Z904" s="55">
        <f>VLOOKUP($E904,'NI-Ric_SP'!$C:$AN,MID(Z$1,1,2),FALSE)</f>
        <v>0</v>
      </c>
      <c r="AA904" s="55">
        <f>VLOOKUP($E904,'NI-Ric_SP'!$C:$AN,MID(AA$1,1,2),FALSE)</f>
        <v>0</v>
      </c>
      <c r="AB904" s="55">
        <f>VLOOKUP($E904,'NI-Ric_SP'!$C:$AN,MID(AB$1,1,2),FALSE)</f>
        <v>0</v>
      </c>
      <c r="AC904" s="55">
        <f>VLOOKUP($E904,'NI-Ric_SP'!$C:$AN,MID(AC$1,1,2),FALSE)</f>
        <v>0</v>
      </c>
      <c r="AD904" s="55">
        <f>VLOOKUP($E904,'NI-Ric_SP'!$C:$AN,MID(AD$1,1,2),FALSE)</f>
        <v>0</v>
      </c>
      <c r="AE904" s="55">
        <f>VLOOKUP($E904,'NI-Ric_SP'!$C:$AN,MID(AE$1,1,2),FALSE)</f>
        <v>0</v>
      </c>
      <c r="AF904" s="55">
        <f>VLOOKUP($E904,'NI-Ric_SP'!$C:$AN,MID(AF$1,1,2),FALSE)</f>
        <v>0</v>
      </c>
      <c r="AG904" s="55">
        <f>VLOOKUP($E904,'NI-Ric_SP'!$C:$AN,MID(AG$1,1,2),FALSE)</f>
        <v>0</v>
      </c>
      <c r="AH904" s="55">
        <f>VLOOKUP($E904,'NI-Ric_SP'!$C:$AN,MID(AH$1,1,2),FALSE)</f>
        <v>0</v>
      </c>
      <c r="AI904" s="55">
        <f>VLOOKUP($E904,'NI-Ric_SP'!$C:$AN,MID(AI$1,1,2),FALSE)</f>
        <v>0</v>
      </c>
      <c r="AJ904" s="55">
        <f>VLOOKUP($E904,'NI-Ric_SP'!$C:$AN,MID(AJ$1,1,2),FALSE)</f>
        <v>0</v>
      </c>
      <c r="AK904" s="55">
        <f>VLOOKUP($E904,'NI-Ric_SP'!$C:$AN,MID(AK$1,1,2),FALSE)</f>
        <v>0</v>
      </c>
      <c r="AL904" s="55">
        <f>VLOOKUP($E904,'NI-Ric_SP'!$C:$AN,MID(AL$1,1,2),FALSE)</f>
        <v>0</v>
      </c>
      <c r="AM904" s="56">
        <f>VLOOKUP($E904,'NI-Ric_SP'!$C:$AN,MID(AM$1,1,2),FALSE)</f>
        <v>0</v>
      </c>
      <c r="AN904" s="30" t="str">
        <f t="shared" si="14"/>
        <v>10204020030020</v>
      </c>
    </row>
    <row r="905" spans="3:40" x14ac:dyDescent="0.25">
      <c r="C905" s="40"/>
      <c r="D905" s="101" t="s">
        <v>706</v>
      </c>
      <c r="E905" s="101" t="s">
        <v>707</v>
      </c>
      <c r="F905" s="102" t="s">
        <v>2750</v>
      </c>
      <c r="G905" s="52"/>
      <c r="H905" s="52"/>
      <c r="I905" s="52"/>
      <c r="J905" s="52"/>
      <c r="K905" s="59" t="s">
        <v>111</v>
      </c>
      <c r="L905" s="52"/>
      <c r="M905" s="52"/>
      <c r="N905" s="52"/>
      <c r="O905" s="61" t="s">
        <v>708</v>
      </c>
      <c r="P905" s="76" t="s">
        <v>709</v>
      </c>
      <c r="Q905" s="55">
        <f>VLOOKUP(E905,'NI-Ric_SP'!$C:$AN,12,FALSE)</f>
        <v>0</v>
      </c>
      <c r="R905" s="55">
        <f>VLOOKUP(E905,'NI-Ric_SP'!$C:$AN,13,FALSE)</f>
        <v>0</v>
      </c>
      <c r="S905" s="55"/>
      <c r="T905" s="55"/>
      <c r="U905" s="55">
        <f>VLOOKUP($E905,'NI-Ric_SP'!$C:$AN,MID(U$1,1,2),FALSE)</f>
        <v>0</v>
      </c>
      <c r="V905" s="55">
        <f>VLOOKUP($E905,'NI-Ric_SP'!$C:$AN,MID(V$1,1,2),FALSE)</f>
        <v>0</v>
      </c>
      <c r="W905" s="55">
        <f>VLOOKUP($E905,'NI-Ric_SP'!$C:$AN,MID(W$1,1,2),FALSE)</f>
        <v>0</v>
      </c>
      <c r="X905" s="55">
        <f>VLOOKUP($E905,'NI-Ric_SP'!$C:$AN,MID(X$1,1,2),FALSE)</f>
        <v>0</v>
      </c>
      <c r="Y905" s="55">
        <f>VLOOKUP($E905,'NI-Ric_SP'!$C:$AN,MID(Y$1,1,2),FALSE)</f>
        <v>0</v>
      </c>
      <c r="Z905" s="55">
        <f>VLOOKUP($E905,'NI-Ric_SP'!$C:$AN,MID(Z$1,1,2),FALSE)</f>
        <v>0</v>
      </c>
      <c r="AA905" s="55">
        <f>VLOOKUP($E905,'NI-Ric_SP'!$C:$AN,MID(AA$1,1,2),FALSE)</f>
        <v>0</v>
      </c>
      <c r="AB905" s="55">
        <f>VLOOKUP($E905,'NI-Ric_SP'!$C:$AN,MID(AB$1,1,2),FALSE)</f>
        <v>0</v>
      </c>
      <c r="AC905" s="55">
        <f>VLOOKUP($E905,'NI-Ric_SP'!$C:$AN,MID(AC$1,1,2),FALSE)</f>
        <v>0</v>
      </c>
      <c r="AD905" s="55">
        <f>VLOOKUP($E905,'NI-Ric_SP'!$C:$AN,MID(AD$1,1,2),FALSE)</f>
        <v>0</v>
      </c>
      <c r="AE905" s="55">
        <f>VLOOKUP($E905,'NI-Ric_SP'!$C:$AN,MID(AE$1,1,2),FALSE)</f>
        <v>0</v>
      </c>
      <c r="AF905" s="55">
        <f>VLOOKUP($E905,'NI-Ric_SP'!$C:$AN,MID(AF$1,1,2),FALSE)</f>
        <v>0</v>
      </c>
      <c r="AG905" s="55">
        <f>VLOOKUP($E905,'NI-Ric_SP'!$C:$AN,MID(AG$1,1,2),FALSE)</f>
        <v>0</v>
      </c>
      <c r="AH905" s="55">
        <f>VLOOKUP($E905,'NI-Ric_SP'!$C:$AN,MID(AH$1,1,2),FALSE)</f>
        <v>0</v>
      </c>
      <c r="AI905" s="55">
        <f>VLOOKUP($E905,'NI-Ric_SP'!$C:$AN,MID(AI$1,1,2),FALSE)</f>
        <v>0</v>
      </c>
      <c r="AJ905" s="55">
        <f>VLOOKUP($E905,'NI-Ric_SP'!$C:$AN,MID(AJ$1,1,2),FALSE)</f>
        <v>0</v>
      </c>
      <c r="AK905" s="55">
        <f>VLOOKUP($E905,'NI-Ric_SP'!$C:$AN,MID(AK$1,1,2),FALSE)</f>
        <v>0</v>
      </c>
      <c r="AL905" s="55">
        <f>VLOOKUP($E905,'NI-Ric_SP'!$C:$AN,MID(AL$1,1,2),FALSE)</f>
        <v>0</v>
      </c>
      <c r="AM905" s="56">
        <f>VLOOKUP($E905,'NI-Ric_SP'!$C:$AN,MID(AM$1,1,2),FALSE)</f>
        <v>0</v>
      </c>
      <c r="AN905" s="30" t="str">
        <f t="shared" si="14"/>
        <v>10205000000000</v>
      </c>
    </row>
    <row r="906" spans="3:40" x14ac:dyDescent="0.25">
      <c r="C906" s="40"/>
      <c r="D906" s="101" t="s">
        <v>710</v>
      </c>
      <c r="E906" s="101" t="s">
        <v>711</v>
      </c>
      <c r="F906" s="102" t="s">
        <v>2750</v>
      </c>
      <c r="G906" s="52"/>
      <c r="H906" s="52"/>
      <c r="I906" s="52" t="s">
        <v>712</v>
      </c>
      <c r="J906" s="52" t="s">
        <v>712</v>
      </c>
      <c r="K906" s="59" t="s">
        <v>111</v>
      </c>
      <c r="L906" s="62" t="s">
        <v>713</v>
      </c>
      <c r="M906" s="52"/>
      <c r="N906" s="52"/>
      <c r="O906" s="52"/>
      <c r="P906" s="76" t="s">
        <v>714</v>
      </c>
      <c r="Q906" s="55">
        <f>VLOOKUP(E906,'NI-Ric_SP'!$C:$AN,12,FALSE)</f>
        <v>0</v>
      </c>
      <c r="R906" s="55">
        <f>VLOOKUP(E906,'NI-Ric_SP'!$C:$AN,13,FALSE)</f>
        <v>0</v>
      </c>
      <c r="S906" s="55"/>
      <c r="T906" s="55"/>
      <c r="U906" s="55">
        <f>VLOOKUP($E906,'NI-Ric_SP'!$C:$AN,MID(U$1,1,2),FALSE)</f>
        <v>0</v>
      </c>
      <c r="V906" s="55">
        <f>VLOOKUP($E906,'NI-Ric_SP'!$C:$AN,MID(V$1,1,2),FALSE)</f>
        <v>0</v>
      </c>
      <c r="W906" s="55">
        <f>VLOOKUP($E906,'NI-Ric_SP'!$C:$AN,MID(W$1,1,2),FALSE)</f>
        <v>0</v>
      </c>
      <c r="X906" s="55">
        <f>VLOOKUP($E906,'NI-Ric_SP'!$C:$AN,MID(X$1,1,2),FALSE)</f>
        <v>0</v>
      </c>
      <c r="Y906" s="55">
        <f>VLOOKUP($E906,'NI-Ric_SP'!$C:$AN,MID(Y$1,1,2),FALSE)</f>
        <v>0</v>
      </c>
      <c r="Z906" s="55">
        <f>VLOOKUP($E906,'NI-Ric_SP'!$C:$AN,MID(Z$1,1,2),FALSE)</f>
        <v>0</v>
      </c>
      <c r="AA906" s="55">
        <f>VLOOKUP($E906,'NI-Ric_SP'!$C:$AN,MID(AA$1,1,2),FALSE)</f>
        <v>0</v>
      </c>
      <c r="AB906" s="55">
        <f>VLOOKUP($E906,'NI-Ric_SP'!$C:$AN,MID(AB$1,1,2),FALSE)</f>
        <v>0</v>
      </c>
      <c r="AC906" s="55">
        <f>VLOOKUP($E906,'NI-Ric_SP'!$C:$AN,MID(AC$1,1,2),FALSE)</f>
        <v>0</v>
      </c>
      <c r="AD906" s="55">
        <f>VLOOKUP($E906,'NI-Ric_SP'!$C:$AN,MID(AD$1,1,2),FALSE)</f>
        <v>0</v>
      </c>
      <c r="AE906" s="55">
        <f>VLOOKUP($E906,'NI-Ric_SP'!$C:$AN,MID(AE$1,1,2),FALSE)</f>
        <v>0</v>
      </c>
      <c r="AF906" s="55">
        <f>VLOOKUP($E906,'NI-Ric_SP'!$C:$AN,MID(AF$1,1,2),FALSE)</f>
        <v>0</v>
      </c>
      <c r="AG906" s="55">
        <f>VLOOKUP($E906,'NI-Ric_SP'!$C:$AN,MID(AG$1,1,2),FALSE)</f>
        <v>0</v>
      </c>
      <c r="AH906" s="55">
        <f>VLOOKUP($E906,'NI-Ric_SP'!$C:$AN,MID(AH$1,1,2),FALSE)</f>
        <v>0</v>
      </c>
      <c r="AI906" s="55">
        <f>VLOOKUP($E906,'NI-Ric_SP'!$C:$AN,MID(AI$1,1,2),FALSE)</f>
        <v>0</v>
      </c>
      <c r="AJ906" s="55">
        <f>VLOOKUP($E906,'NI-Ric_SP'!$C:$AN,MID(AJ$1,1,2),FALSE)</f>
        <v>0</v>
      </c>
      <c r="AK906" s="55">
        <f>VLOOKUP($E906,'NI-Ric_SP'!$C:$AN,MID(AK$1,1,2),FALSE)</f>
        <v>0</v>
      </c>
      <c r="AL906" s="55">
        <f>VLOOKUP($E906,'NI-Ric_SP'!$C:$AN,MID(AL$1,1,2),FALSE)</f>
        <v>0</v>
      </c>
      <c r="AM906" s="56">
        <f>VLOOKUP($E906,'NI-Ric_SP'!$C:$AN,MID(AM$1,1,2),FALSE)</f>
        <v>0</v>
      </c>
      <c r="AN906" s="30" t="str">
        <f t="shared" si="14"/>
        <v>10205010000000</v>
      </c>
    </row>
    <row r="907" spans="3:40" x14ac:dyDescent="0.25">
      <c r="C907" s="40"/>
      <c r="D907" s="101" t="s">
        <v>715</v>
      </c>
      <c r="E907" s="101" t="s">
        <v>716</v>
      </c>
      <c r="F907" s="102" t="s">
        <v>2750</v>
      </c>
      <c r="G907" s="52"/>
      <c r="H907" s="52"/>
      <c r="I907" s="52"/>
      <c r="J907" s="52"/>
      <c r="K907" s="59" t="s">
        <v>79</v>
      </c>
      <c r="L907" s="52"/>
      <c r="M907" s="52"/>
      <c r="N907" s="52"/>
      <c r="O907" s="52"/>
      <c r="P907" s="76" t="s">
        <v>717</v>
      </c>
      <c r="Q907" s="55">
        <f>VLOOKUP(E907,'NI-Ric_SP'!$C:$AN,12,FALSE)</f>
        <v>0</v>
      </c>
      <c r="R907" s="55">
        <f>VLOOKUP(E907,'NI-Ric_SP'!$C:$AN,13,FALSE)</f>
        <v>0</v>
      </c>
      <c r="S907" s="55"/>
      <c r="T907" s="55"/>
      <c r="U907" s="55">
        <f>VLOOKUP($E907,'NI-Ric_SP'!$C:$AN,MID(U$1,1,2),FALSE)</f>
        <v>0</v>
      </c>
      <c r="V907" s="55">
        <f>VLOOKUP($E907,'NI-Ric_SP'!$C:$AN,MID(V$1,1,2),FALSE)</f>
        <v>0</v>
      </c>
      <c r="W907" s="55">
        <f>VLOOKUP($E907,'NI-Ric_SP'!$C:$AN,MID(W$1,1,2),FALSE)</f>
        <v>0</v>
      </c>
      <c r="X907" s="55">
        <f>VLOOKUP($E907,'NI-Ric_SP'!$C:$AN,MID(X$1,1,2),FALSE)</f>
        <v>0</v>
      </c>
      <c r="Y907" s="55">
        <f>VLOOKUP($E907,'NI-Ric_SP'!$C:$AN,MID(Y$1,1,2),FALSE)</f>
        <v>0</v>
      </c>
      <c r="Z907" s="55">
        <f>VLOOKUP($E907,'NI-Ric_SP'!$C:$AN,MID(Z$1,1,2),FALSE)</f>
        <v>0</v>
      </c>
      <c r="AA907" s="55">
        <f>VLOOKUP($E907,'NI-Ric_SP'!$C:$AN,MID(AA$1,1,2),FALSE)</f>
        <v>0</v>
      </c>
      <c r="AB907" s="55">
        <f>VLOOKUP($E907,'NI-Ric_SP'!$C:$AN,MID(AB$1,1,2),FALSE)</f>
        <v>0</v>
      </c>
      <c r="AC907" s="55">
        <f>VLOOKUP($E907,'NI-Ric_SP'!$C:$AN,MID(AC$1,1,2),FALSE)</f>
        <v>0</v>
      </c>
      <c r="AD907" s="55">
        <f>VLOOKUP($E907,'NI-Ric_SP'!$C:$AN,MID(AD$1,1,2),FALSE)</f>
        <v>0</v>
      </c>
      <c r="AE907" s="55">
        <f>VLOOKUP($E907,'NI-Ric_SP'!$C:$AN,MID(AE$1,1,2),FALSE)</f>
        <v>0</v>
      </c>
      <c r="AF907" s="55">
        <f>VLOOKUP($E907,'NI-Ric_SP'!$C:$AN,MID(AF$1,1,2),FALSE)</f>
        <v>0</v>
      </c>
      <c r="AG907" s="55">
        <f>VLOOKUP($E907,'NI-Ric_SP'!$C:$AN,MID(AG$1,1,2),FALSE)</f>
        <v>0</v>
      </c>
      <c r="AH907" s="55">
        <f>VLOOKUP($E907,'NI-Ric_SP'!$C:$AN,MID(AH$1,1,2),FALSE)</f>
        <v>0</v>
      </c>
      <c r="AI907" s="55">
        <f>VLOOKUP($E907,'NI-Ric_SP'!$C:$AN,MID(AI$1,1,2),FALSE)</f>
        <v>0</v>
      </c>
      <c r="AJ907" s="55">
        <f>VLOOKUP($E907,'NI-Ric_SP'!$C:$AN,MID(AJ$1,1,2),FALSE)</f>
        <v>0</v>
      </c>
      <c r="AK907" s="55">
        <f>VLOOKUP($E907,'NI-Ric_SP'!$C:$AN,MID(AK$1,1,2),FALSE)</f>
        <v>0</v>
      </c>
      <c r="AL907" s="55">
        <f>VLOOKUP($E907,'NI-Ric_SP'!$C:$AN,MID(AL$1,1,2),FALSE)</f>
        <v>0</v>
      </c>
      <c r="AM907" s="56">
        <f>VLOOKUP($E907,'NI-Ric_SP'!$C:$AN,MID(AM$1,1,2),FALSE)</f>
        <v>0</v>
      </c>
      <c r="AN907" s="30" t="str">
        <f t="shared" si="14"/>
        <v>10205010010010</v>
      </c>
    </row>
    <row r="908" spans="3:40" x14ac:dyDescent="0.25">
      <c r="C908" s="40"/>
      <c r="D908" s="101" t="s">
        <v>718</v>
      </c>
      <c r="E908" s="101" t="s">
        <v>719</v>
      </c>
      <c r="F908" s="102" t="s">
        <v>2750</v>
      </c>
      <c r="G908" s="52"/>
      <c r="H908" s="52"/>
      <c r="I908" s="52"/>
      <c r="J908" s="52"/>
      <c r="K908" s="59" t="s">
        <v>79</v>
      </c>
      <c r="L908" s="52"/>
      <c r="M908" s="52"/>
      <c r="N908" s="52"/>
      <c r="O908" s="52"/>
      <c r="P908" s="76" t="s">
        <v>720</v>
      </c>
      <c r="Q908" s="55">
        <f>VLOOKUP(E908,'NI-Ric_SP'!$C:$AN,12,FALSE)</f>
        <v>0</v>
      </c>
      <c r="R908" s="55">
        <f>VLOOKUP(E908,'NI-Ric_SP'!$C:$AN,13,FALSE)</f>
        <v>0</v>
      </c>
      <c r="S908" s="55"/>
      <c r="T908" s="55"/>
      <c r="U908" s="55">
        <f>VLOOKUP($E908,'NI-Ric_SP'!$C:$AN,MID(U$1,1,2),FALSE)</f>
        <v>0</v>
      </c>
      <c r="V908" s="55">
        <f>VLOOKUP($E908,'NI-Ric_SP'!$C:$AN,MID(V$1,1,2),FALSE)</f>
        <v>0</v>
      </c>
      <c r="W908" s="55">
        <f>VLOOKUP($E908,'NI-Ric_SP'!$C:$AN,MID(W$1,1,2),FALSE)</f>
        <v>0</v>
      </c>
      <c r="X908" s="55">
        <f>VLOOKUP($E908,'NI-Ric_SP'!$C:$AN,MID(X$1,1,2),FALSE)</f>
        <v>0</v>
      </c>
      <c r="Y908" s="55">
        <f>VLOOKUP($E908,'NI-Ric_SP'!$C:$AN,MID(Y$1,1,2),FALSE)</f>
        <v>0</v>
      </c>
      <c r="Z908" s="55">
        <f>VLOOKUP($E908,'NI-Ric_SP'!$C:$AN,MID(Z$1,1,2),FALSE)</f>
        <v>0</v>
      </c>
      <c r="AA908" s="55">
        <f>VLOOKUP($E908,'NI-Ric_SP'!$C:$AN,MID(AA$1,1,2),FALSE)</f>
        <v>0</v>
      </c>
      <c r="AB908" s="55">
        <f>VLOOKUP($E908,'NI-Ric_SP'!$C:$AN,MID(AB$1,1,2),FALSE)</f>
        <v>0</v>
      </c>
      <c r="AC908" s="55">
        <f>VLOOKUP($E908,'NI-Ric_SP'!$C:$AN,MID(AC$1,1,2),FALSE)</f>
        <v>0</v>
      </c>
      <c r="AD908" s="55">
        <f>VLOOKUP($E908,'NI-Ric_SP'!$C:$AN,MID(AD$1,1,2),FALSE)</f>
        <v>0</v>
      </c>
      <c r="AE908" s="55">
        <f>VLOOKUP($E908,'NI-Ric_SP'!$C:$AN,MID(AE$1,1,2),FALSE)</f>
        <v>0</v>
      </c>
      <c r="AF908" s="55">
        <f>VLOOKUP($E908,'NI-Ric_SP'!$C:$AN,MID(AF$1,1,2),FALSE)</f>
        <v>0</v>
      </c>
      <c r="AG908" s="55">
        <f>VLOOKUP($E908,'NI-Ric_SP'!$C:$AN,MID(AG$1,1,2),FALSE)</f>
        <v>0</v>
      </c>
      <c r="AH908" s="55">
        <f>VLOOKUP($E908,'NI-Ric_SP'!$C:$AN,MID(AH$1,1,2),FALSE)</f>
        <v>0</v>
      </c>
      <c r="AI908" s="55">
        <f>VLOOKUP($E908,'NI-Ric_SP'!$C:$AN,MID(AI$1,1,2),FALSE)</f>
        <v>0</v>
      </c>
      <c r="AJ908" s="55">
        <f>VLOOKUP($E908,'NI-Ric_SP'!$C:$AN,MID(AJ$1,1,2),FALSE)</f>
        <v>0</v>
      </c>
      <c r="AK908" s="55">
        <f>VLOOKUP($E908,'NI-Ric_SP'!$C:$AN,MID(AK$1,1,2),FALSE)</f>
        <v>0</v>
      </c>
      <c r="AL908" s="55">
        <f>VLOOKUP($E908,'NI-Ric_SP'!$C:$AN,MID(AL$1,1,2),FALSE)</f>
        <v>0</v>
      </c>
      <c r="AM908" s="56">
        <f>VLOOKUP($E908,'NI-Ric_SP'!$C:$AN,MID(AM$1,1,2),FALSE)</f>
        <v>0</v>
      </c>
      <c r="AN908" s="30" t="str">
        <f t="shared" si="14"/>
        <v>10205010010020</v>
      </c>
    </row>
    <row r="909" spans="3:40" x14ac:dyDescent="0.25">
      <c r="C909" s="40"/>
      <c r="D909" s="101" t="s">
        <v>721</v>
      </c>
      <c r="E909" s="101" t="s">
        <v>722</v>
      </c>
      <c r="F909" s="102" t="s">
        <v>2750</v>
      </c>
      <c r="G909" s="52"/>
      <c r="H909" s="52"/>
      <c r="I909" s="52"/>
      <c r="J909" s="52"/>
      <c r="K909" s="59" t="s">
        <v>79</v>
      </c>
      <c r="L909" s="52"/>
      <c r="M909" s="52"/>
      <c r="N909" s="52"/>
      <c r="O909" s="52"/>
      <c r="P909" s="76" t="s">
        <v>723</v>
      </c>
      <c r="Q909" s="55">
        <f>VLOOKUP(E909,'NI-Ric_SP'!$C:$AN,12,FALSE)</f>
        <v>0</v>
      </c>
      <c r="R909" s="55">
        <f>VLOOKUP(E909,'NI-Ric_SP'!$C:$AN,13,FALSE)</f>
        <v>0</v>
      </c>
      <c r="S909" s="55"/>
      <c r="T909" s="55"/>
      <c r="U909" s="55">
        <f>VLOOKUP($E909,'NI-Ric_SP'!$C:$AN,MID(U$1,1,2),FALSE)</f>
        <v>0</v>
      </c>
      <c r="V909" s="55">
        <f>VLOOKUP($E909,'NI-Ric_SP'!$C:$AN,MID(V$1,1,2),FALSE)</f>
        <v>0</v>
      </c>
      <c r="W909" s="55">
        <f>VLOOKUP($E909,'NI-Ric_SP'!$C:$AN,MID(W$1,1,2),FALSE)</f>
        <v>0</v>
      </c>
      <c r="X909" s="55">
        <f>VLOOKUP($E909,'NI-Ric_SP'!$C:$AN,MID(X$1,1,2),FALSE)</f>
        <v>0</v>
      </c>
      <c r="Y909" s="55">
        <f>VLOOKUP($E909,'NI-Ric_SP'!$C:$AN,MID(Y$1,1,2),FALSE)</f>
        <v>0</v>
      </c>
      <c r="Z909" s="55">
        <f>VLOOKUP($E909,'NI-Ric_SP'!$C:$AN,MID(Z$1,1,2),FALSE)</f>
        <v>0</v>
      </c>
      <c r="AA909" s="55">
        <f>VLOOKUP($E909,'NI-Ric_SP'!$C:$AN,MID(AA$1,1,2),FALSE)</f>
        <v>0</v>
      </c>
      <c r="AB909" s="55">
        <f>VLOOKUP($E909,'NI-Ric_SP'!$C:$AN,MID(AB$1,1,2),FALSE)</f>
        <v>0</v>
      </c>
      <c r="AC909" s="55">
        <f>VLOOKUP($E909,'NI-Ric_SP'!$C:$AN,MID(AC$1,1,2),FALSE)</f>
        <v>0</v>
      </c>
      <c r="AD909" s="55">
        <f>VLOOKUP($E909,'NI-Ric_SP'!$C:$AN,MID(AD$1,1,2),FALSE)</f>
        <v>0</v>
      </c>
      <c r="AE909" s="55">
        <f>VLOOKUP($E909,'NI-Ric_SP'!$C:$AN,MID(AE$1,1,2),FALSE)</f>
        <v>0</v>
      </c>
      <c r="AF909" s="55">
        <f>VLOOKUP($E909,'NI-Ric_SP'!$C:$AN,MID(AF$1,1,2),FALSE)</f>
        <v>0</v>
      </c>
      <c r="AG909" s="55">
        <f>VLOOKUP($E909,'NI-Ric_SP'!$C:$AN,MID(AG$1,1,2),FALSE)</f>
        <v>0</v>
      </c>
      <c r="AH909" s="55">
        <f>VLOOKUP($E909,'NI-Ric_SP'!$C:$AN,MID(AH$1,1,2),FALSE)</f>
        <v>0</v>
      </c>
      <c r="AI909" s="55">
        <f>VLOOKUP($E909,'NI-Ric_SP'!$C:$AN,MID(AI$1,1,2),FALSE)</f>
        <v>0</v>
      </c>
      <c r="AJ909" s="55">
        <f>VLOOKUP($E909,'NI-Ric_SP'!$C:$AN,MID(AJ$1,1,2),FALSE)</f>
        <v>0</v>
      </c>
      <c r="AK909" s="55">
        <f>VLOOKUP($E909,'NI-Ric_SP'!$C:$AN,MID(AK$1,1,2),FALSE)</f>
        <v>0</v>
      </c>
      <c r="AL909" s="55">
        <f>VLOOKUP($E909,'NI-Ric_SP'!$C:$AN,MID(AL$1,1,2),FALSE)</f>
        <v>0</v>
      </c>
      <c r="AM909" s="56">
        <f>VLOOKUP($E909,'NI-Ric_SP'!$C:$AN,MID(AM$1,1,2),FALSE)</f>
        <v>0</v>
      </c>
      <c r="AN909" s="30" t="str">
        <f t="shared" si="14"/>
        <v>10205010020010</v>
      </c>
    </row>
    <row r="910" spans="3:40" x14ac:dyDescent="0.25">
      <c r="C910" s="40"/>
      <c r="D910" s="101" t="s">
        <v>724</v>
      </c>
      <c r="E910" s="101" t="s">
        <v>725</v>
      </c>
      <c r="F910" s="102" t="s">
        <v>2750</v>
      </c>
      <c r="G910" s="52"/>
      <c r="H910" s="52"/>
      <c r="I910" s="52"/>
      <c r="J910" s="52"/>
      <c r="K910" s="59" t="s">
        <v>79</v>
      </c>
      <c r="L910" s="52"/>
      <c r="M910" s="52"/>
      <c r="N910" s="52"/>
      <c r="O910" s="52"/>
      <c r="P910" s="76" t="s">
        <v>726</v>
      </c>
      <c r="Q910" s="55">
        <f>VLOOKUP(E910,'NI-Ric_SP'!$C:$AN,12,FALSE)</f>
        <v>0</v>
      </c>
      <c r="R910" s="55">
        <f>VLOOKUP(E910,'NI-Ric_SP'!$C:$AN,13,FALSE)</f>
        <v>0</v>
      </c>
      <c r="S910" s="55"/>
      <c r="T910" s="55"/>
      <c r="U910" s="55">
        <f>VLOOKUP($E910,'NI-Ric_SP'!$C:$AN,MID(U$1,1,2),FALSE)</f>
        <v>0</v>
      </c>
      <c r="V910" s="55">
        <f>VLOOKUP($E910,'NI-Ric_SP'!$C:$AN,MID(V$1,1,2),FALSE)</f>
        <v>0</v>
      </c>
      <c r="W910" s="55">
        <f>VLOOKUP($E910,'NI-Ric_SP'!$C:$AN,MID(W$1,1,2),FALSE)</f>
        <v>0</v>
      </c>
      <c r="X910" s="55">
        <f>VLOOKUP($E910,'NI-Ric_SP'!$C:$AN,MID(X$1,1,2),FALSE)</f>
        <v>0</v>
      </c>
      <c r="Y910" s="55">
        <f>VLOOKUP($E910,'NI-Ric_SP'!$C:$AN,MID(Y$1,1,2),FALSE)</f>
        <v>0</v>
      </c>
      <c r="Z910" s="55">
        <f>VLOOKUP($E910,'NI-Ric_SP'!$C:$AN,MID(Z$1,1,2),FALSE)</f>
        <v>0</v>
      </c>
      <c r="AA910" s="55">
        <f>VLOOKUP($E910,'NI-Ric_SP'!$C:$AN,MID(AA$1,1,2),FALSE)</f>
        <v>0</v>
      </c>
      <c r="AB910" s="55">
        <f>VLOOKUP($E910,'NI-Ric_SP'!$C:$AN,MID(AB$1,1,2),FALSE)</f>
        <v>0</v>
      </c>
      <c r="AC910" s="55">
        <f>VLOOKUP($E910,'NI-Ric_SP'!$C:$AN,MID(AC$1,1,2),FALSE)</f>
        <v>0</v>
      </c>
      <c r="AD910" s="55">
        <f>VLOOKUP($E910,'NI-Ric_SP'!$C:$AN,MID(AD$1,1,2),FALSE)</f>
        <v>0</v>
      </c>
      <c r="AE910" s="55">
        <f>VLOOKUP($E910,'NI-Ric_SP'!$C:$AN,MID(AE$1,1,2),FALSE)</f>
        <v>0</v>
      </c>
      <c r="AF910" s="55">
        <f>VLOOKUP($E910,'NI-Ric_SP'!$C:$AN,MID(AF$1,1,2),FALSE)</f>
        <v>0</v>
      </c>
      <c r="AG910" s="55">
        <f>VLOOKUP($E910,'NI-Ric_SP'!$C:$AN,MID(AG$1,1,2),FALSE)</f>
        <v>0</v>
      </c>
      <c r="AH910" s="55">
        <f>VLOOKUP($E910,'NI-Ric_SP'!$C:$AN,MID(AH$1,1,2),FALSE)</f>
        <v>0</v>
      </c>
      <c r="AI910" s="55">
        <f>VLOOKUP($E910,'NI-Ric_SP'!$C:$AN,MID(AI$1,1,2),FALSE)</f>
        <v>0</v>
      </c>
      <c r="AJ910" s="55">
        <f>VLOOKUP($E910,'NI-Ric_SP'!$C:$AN,MID(AJ$1,1,2),FALSE)</f>
        <v>0</v>
      </c>
      <c r="AK910" s="55">
        <f>VLOOKUP($E910,'NI-Ric_SP'!$C:$AN,MID(AK$1,1,2),FALSE)</f>
        <v>0</v>
      </c>
      <c r="AL910" s="55">
        <f>VLOOKUP($E910,'NI-Ric_SP'!$C:$AN,MID(AL$1,1,2),FALSE)</f>
        <v>0</v>
      </c>
      <c r="AM910" s="56">
        <f>VLOOKUP($E910,'NI-Ric_SP'!$C:$AN,MID(AM$1,1,2),FALSE)</f>
        <v>0</v>
      </c>
      <c r="AN910" s="30" t="str">
        <f t="shared" si="14"/>
        <v>10205010020020</v>
      </c>
    </row>
    <row r="911" spans="3:40" x14ac:dyDescent="0.25">
      <c r="C911" s="40"/>
      <c r="D911" s="101" t="s">
        <v>727</v>
      </c>
      <c r="E911" s="101" t="s">
        <v>728</v>
      </c>
      <c r="F911" s="102" t="s">
        <v>2750</v>
      </c>
      <c r="G911" s="52"/>
      <c r="H911" s="52"/>
      <c r="I911" s="52"/>
      <c r="J911" s="52"/>
      <c r="K911" s="59" t="s">
        <v>79</v>
      </c>
      <c r="L911" s="52"/>
      <c r="M911" s="52"/>
      <c r="N911" s="52"/>
      <c r="O911" s="52"/>
      <c r="P911" s="76" t="s">
        <v>729</v>
      </c>
      <c r="Q911" s="55">
        <f>VLOOKUP(E911,'NI-Ric_SP'!$C:$AN,12,FALSE)</f>
        <v>0</v>
      </c>
      <c r="R911" s="55">
        <f>VLOOKUP(E911,'NI-Ric_SP'!$C:$AN,13,FALSE)</f>
        <v>0</v>
      </c>
      <c r="S911" s="55"/>
      <c r="T911" s="55"/>
      <c r="U911" s="55">
        <f>VLOOKUP($E911,'NI-Ric_SP'!$C:$AN,MID(U$1,1,2),FALSE)</f>
        <v>0</v>
      </c>
      <c r="V911" s="55">
        <f>VLOOKUP($E911,'NI-Ric_SP'!$C:$AN,MID(V$1,1,2),FALSE)</f>
        <v>0</v>
      </c>
      <c r="W911" s="55">
        <f>VLOOKUP($E911,'NI-Ric_SP'!$C:$AN,MID(W$1,1,2),FALSE)</f>
        <v>0</v>
      </c>
      <c r="X911" s="55">
        <f>VLOOKUP($E911,'NI-Ric_SP'!$C:$AN,MID(X$1,1,2),FALSE)</f>
        <v>0</v>
      </c>
      <c r="Y911" s="55">
        <f>VLOOKUP($E911,'NI-Ric_SP'!$C:$AN,MID(Y$1,1,2),FALSE)</f>
        <v>0</v>
      </c>
      <c r="Z911" s="55">
        <f>VLOOKUP($E911,'NI-Ric_SP'!$C:$AN,MID(Z$1,1,2),FALSE)</f>
        <v>0</v>
      </c>
      <c r="AA911" s="55">
        <f>VLOOKUP($E911,'NI-Ric_SP'!$C:$AN,MID(AA$1,1,2),FALSE)</f>
        <v>0</v>
      </c>
      <c r="AB911" s="55">
        <f>VLOOKUP($E911,'NI-Ric_SP'!$C:$AN,MID(AB$1,1,2),FALSE)</f>
        <v>0</v>
      </c>
      <c r="AC911" s="55">
        <f>VLOOKUP($E911,'NI-Ric_SP'!$C:$AN,MID(AC$1,1,2),FALSE)</f>
        <v>0</v>
      </c>
      <c r="AD911" s="55">
        <f>VLOOKUP($E911,'NI-Ric_SP'!$C:$AN,MID(AD$1,1,2),FALSE)</f>
        <v>0</v>
      </c>
      <c r="AE911" s="55">
        <f>VLOOKUP($E911,'NI-Ric_SP'!$C:$AN,MID(AE$1,1,2),FALSE)</f>
        <v>0</v>
      </c>
      <c r="AF911" s="55">
        <f>VLOOKUP($E911,'NI-Ric_SP'!$C:$AN,MID(AF$1,1,2),FALSE)</f>
        <v>0</v>
      </c>
      <c r="AG911" s="55">
        <f>VLOOKUP($E911,'NI-Ric_SP'!$C:$AN,MID(AG$1,1,2),FALSE)</f>
        <v>0</v>
      </c>
      <c r="AH911" s="55">
        <f>VLOOKUP($E911,'NI-Ric_SP'!$C:$AN,MID(AH$1,1,2),FALSE)</f>
        <v>0</v>
      </c>
      <c r="AI911" s="55">
        <f>VLOOKUP($E911,'NI-Ric_SP'!$C:$AN,MID(AI$1,1,2),FALSE)</f>
        <v>0</v>
      </c>
      <c r="AJ911" s="55">
        <f>VLOOKUP($E911,'NI-Ric_SP'!$C:$AN,MID(AJ$1,1,2),FALSE)</f>
        <v>0</v>
      </c>
      <c r="AK911" s="55">
        <f>VLOOKUP($E911,'NI-Ric_SP'!$C:$AN,MID(AK$1,1,2),FALSE)</f>
        <v>0</v>
      </c>
      <c r="AL911" s="55">
        <f>VLOOKUP($E911,'NI-Ric_SP'!$C:$AN,MID(AL$1,1,2),FALSE)</f>
        <v>0</v>
      </c>
      <c r="AM911" s="56">
        <f>VLOOKUP($E911,'NI-Ric_SP'!$C:$AN,MID(AM$1,1,2),FALSE)</f>
        <v>0</v>
      </c>
      <c r="AN911" s="30" t="str">
        <f t="shared" si="14"/>
        <v>10205010030010</v>
      </c>
    </row>
    <row r="912" spans="3:40" x14ac:dyDescent="0.25">
      <c r="C912" s="40"/>
      <c r="D912" s="101" t="s">
        <v>730</v>
      </c>
      <c r="E912" s="101" t="s">
        <v>731</v>
      </c>
      <c r="F912" s="102" t="s">
        <v>2750</v>
      </c>
      <c r="G912" s="52"/>
      <c r="H912" s="52"/>
      <c r="I912" s="52"/>
      <c r="J912" s="52"/>
      <c r="K912" s="59" t="s">
        <v>79</v>
      </c>
      <c r="L912" s="52"/>
      <c r="M912" s="52"/>
      <c r="N912" s="52"/>
      <c r="O912" s="52"/>
      <c r="P912" s="76" t="s">
        <v>732</v>
      </c>
      <c r="Q912" s="55">
        <f>VLOOKUP(E912,'NI-Ric_SP'!$C:$AN,12,FALSE)</f>
        <v>0</v>
      </c>
      <c r="R912" s="55">
        <f>VLOOKUP(E912,'NI-Ric_SP'!$C:$AN,13,FALSE)</f>
        <v>0</v>
      </c>
      <c r="S912" s="55"/>
      <c r="T912" s="55"/>
      <c r="U912" s="55">
        <f>VLOOKUP($E912,'NI-Ric_SP'!$C:$AN,MID(U$1,1,2),FALSE)</f>
        <v>0</v>
      </c>
      <c r="V912" s="55">
        <f>VLOOKUP($E912,'NI-Ric_SP'!$C:$AN,MID(V$1,1,2),FALSE)</f>
        <v>0</v>
      </c>
      <c r="W912" s="55">
        <f>VLOOKUP($E912,'NI-Ric_SP'!$C:$AN,MID(W$1,1,2),FALSE)</f>
        <v>0</v>
      </c>
      <c r="X912" s="55">
        <f>VLOOKUP($E912,'NI-Ric_SP'!$C:$AN,MID(X$1,1,2),FALSE)</f>
        <v>0</v>
      </c>
      <c r="Y912" s="55">
        <f>VLOOKUP($E912,'NI-Ric_SP'!$C:$AN,MID(Y$1,1,2),FALSE)</f>
        <v>0</v>
      </c>
      <c r="Z912" s="55">
        <f>VLOOKUP($E912,'NI-Ric_SP'!$C:$AN,MID(Z$1,1,2),FALSE)</f>
        <v>0</v>
      </c>
      <c r="AA912" s="55">
        <f>VLOOKUP($E912,'NI-Ric_SP'!$C:$AN,MID(AA$1,1,2),FALSE)</f>
        <v>0</v>
      </c>
      <c r="AB912" s="55">
        <f>VLOOKUP($E912,'NI-Ric_SP'!$C:$AN,MID(AB$1,1,2),FALSE)</f>
        <v>0</v>
      </c>
      <c r="AC912" s="55">
        <f>VLOOKUP($E912,'NI-Ric_SP'!$C:$AN,MID(AC$1,1,2),FALSE)</f>
        <v>0</v>
      </c>
      <c r="AD912" s="55">
        <f>VLOOKUP($E912,'NI-Ric_SP'!$C:$AN,MID(AD$1,1,2),FALSE)</f>
        <v>0</v>
      </c>
      <c r="AE912" s="55">
        <f>VLOOKUP($E912,'NI-Ric_SP'!$C:$AN,MID(AE$1,1,2),FALSE)</f>
        <v>0</v>
      </c>
      <c r="AF912" s="55">
        <f>VLOOKUP($E912,'NI-Ric_SP'!$C:$AN,MID(AF$1,1,2),FALSE)</f>
        <v>0</v>
      </c>
      <c r="AG912" s="55">
        <f>VLOOKUP($E912,'NI-Ric_SP'!$C:$AN,MID(AG$1,1,2),FALSE)</f>
        <v>0</v>
      </c>
      <c r="AH912" s="55">
        <f>VLOOKUP($E912,'NI-Ric_SP'!$C:$AN,MID(AH$1,1,2),FALSE)</f>
        <v>0</v>
      </c>
      <c r="AI912" s="55">
        <f>VLOOKUP($E912,'NI-Ric_SP'!$C:$AN,MID(AI$1,1,2),FALSE)</f>
        <v>0</v>
      </c>
      <c r="AJ912" s="55">
        <f>VLOOKUP($E912,'NI-Ric_SP'!$C:$AN,MID(AJ$1,1,2),FALSE)</f>
        <v>0</v>
      </c>
      <c r="AK912" s="55">
        <f>VLOOKUP($E912,'NI-Ric_SP'!$C:$AN,MID(AK$1,1,2),FALSE)</f>
        <v>0</v>
      </c>
      <c r="AL912" s="55">
        <f>VLOOKUP($E912,'NI-Ric_SP'!$C:$AN,MID(AL$1,1,2),FALSE)</f>
        <v>0</v>
      </c>
      <c r="AM912" s="56">
        <f>VLOOKUP($E912,'NI-Ric_SP'!$C:$AN,MID(AM$1,1,2),FALSE)</f>
        <v>0</v>
      </c>
      <c r="AN912" s="30" t="str">
        <f t="shared" si="14"/>
        <v>10205010030020</v>
      </c>
    </row>
    <row r="913" spans="3:40" x14ac:dyDescent="0.25">
      <c r="C913" s="40"/>
      <c r="D913" s="101" t="s">
        <v>733</v>
      </c>
      <c r="E913" s="101" t="s">
        <v>734</v>
      </c>
      <c r="F913" s="102" t="s">
        <v>2750</v>
      </c>
      <c r="G913" s="52"/>
      <c r="H913" s="52"/>
      <c r="I913" s="52"/>
      <c r="J913" s="52"/>
      <c r="K913" s="59" t="s">
        <v>79</v>
      </c>
      <c r="L913" s="52"/>
      <c r="M913" s="52"/>
      <c r="N913" s="52"/>
      <c r="O913" s="52"/>
      <c r="P913" s="76" t="s">
        <v>735</v>
      </c>
      <c r="Q913" s="55">
        <f>VLOOKUP(E913,'NI-Ric_SP'!$C:$AN,12,FALSE)</f>
        <v>0</v>
      </c>
      <c r="R913" s="55">
        <f>VLOOKUP(E913,'NI-Ric_SP'!$C:$AN,13,FALSE)</f>
        <v>0</v>
      </c>
      <c r="S913" s="55"/>
      <c r="T913" s="55"/>
      <c r="U913" s="55">
        <f>VLOOKUP($E913,'NI-Ric_SP'!$C:$AN,MID(U$1,1,2),FALSE)</f>
        <v>0</v>
      </c>
      <c r="V913" s="55">
        <f>VLOOKUP($E913,'NI-Ric_SP'!$C:$AN,MID(V$1,1,2),FALSE)</f>
        <v>0</v>
      </c>
      <c r="W913" s="55">
        <f>VLOOKUP($E913,'NI-Ric_SP'!$C:$AN,MID(W$1,1,2),FALSE)</f>
        <v>0</v>
      </c>
      <c r="X913" s="55">
        <f>VLOOKUP($E913,'NI-Ric_SP'!$C:$AN,MID(X$1,1,2),FALSE)</f>
        <v>0</v>
      </c>
      <c r="Y913" s="55">
        <f>VLOOKUP($E913,'NI-Ric_SP'!$C:$AN,MID(Y$1,1,2),FALSE)</f>
        <v>0</v>
      </c>
      <c r="Z913" s="55">
        <f>VLOOKUP($E913,'NI-Ric_SP'!$C:$AN,MID(Z$1,1,2),FALSE)</f>
        <v>0</v>
      </c>
      <c r="AA913" s="55">
        <f>VLOOKUP($E913,'NI-Ric_SP'!$C:$AN,MID(AA$1,1,2),FALSE)</f>
        <v>0</v>
      </c>
      <c r="AB913" s="55">
        <f>VLOOKUP($E913,'NI-Ric_SP'!$C:$AN,MID(AB$1,1,2),FALSE)</f>
        <v>0</v>
      </c>
      <c r="AC913" s="55">
        <f>VLOOKUP($E913,'NI-Ric_SP'!$C:$AN,MID(AC$1,1,2),FALSE)</f>
        <v>0</v>
      </c>
      <c r="AD913" s="55">
        <f>VLOOKUP($E913,'NI-Ric_SP'!$C:$AN,MID(AD$1,1,2),FALSE)</f>
        <v>0</v>
      </c>
      <c r="AE913" s="55">
        <f>VLOOKUP($E913,'NI-Ric_SP'!$C:$AN,MID(AE$1,1,2),FALSE)</f>
        <v>0</v>
      </c>
      <c r="AF913" s="55">
        <f>VLOOKUP($E913,'NI-Ric_SP'!$C:$AN,MID(AF$1,1,2),FALSE)</f>
        <v>0</v>
      </c>
      <c r="AG913" s="55">
        <f>VLOOKUP($E913,'NI-Ric_SP'!$C:$AN,MID(AG$1,1,2),FALSE)</f>
        <v>0</v>
      </c>
      <c r="AH913" s="55">
        <f>VLOOKUP($E913,'NI-Ric_SP'!$C:$AN,MID(AH$1,1,2),FALSE)</f>
        <v>0</v>
      </c>
      <c r="AI913" s="55">
        <f>VLOOKUP($E913,'NI-Ric_SP'!$C:$AN,MID(AI$1,1,2),FALSE)</f>
        <v>0</v>
      </c>
      <c r="AJ913" s="55">
        <f>VLOOKUP($E913,'NI-Ric_SP'!$C:$AN,MID(AJ$1,1,2),FALSE)</f>
        <v>0</v>
      </c>
      <c r="AK913" s="55">
        <f>VLOOKUP($E913,'NI-Ric_SP'!$C:$AN,MID(AK$1,1,2),FALSE)</f>
        <v>0</v>
      </c>
      <c r="AL913" s="55">
        <f>VLOOKUP($E913,'NI-Ric_SP'!$C:$AN,MID(AL$1,1,2),FALSE)</f>
        <v>0</v>
      </c>
      <c r="AM913" s="56">
        <f>VLOOKUP($E913,'NI-Ric_SP'!$C:$AN,MID(AM$1,1,2),FALSE)</f>
        <v>0</v>
      </c>
      <c r="AN913" s="30" t="str">
        <f t="shared" si="14"/>
        <v>10205010040010</v>
      </c>
    </row>
    <row r="914" spans="3:40" x14ac:dyDescent="0.25">
      <c r="C914" s="40"/>
      <c r="D914" s="101" t="s">
        <v>736</v>
      </c>
      <c r="E914" s="101" t="s">
        <v>737</v>
      </c>
      <c r="F914" s="102" t="s">
        <v>2750</v>
      </c>
      <c r="G914" s="52"/>
      <c r="H914" s="52"/>
      <c r="I914" s="52"/>
      <c r="J914" s="52"/>
      <c r="K914" s="59" t="s">
        <v>79</v>
      </c>
      <c r="L914" s="52"/>
      <c r="M914" s="52"/>
      <c r="N914" s="52"/>
      <c r="O914" s="52"/>
      <c r="P914" s="76" t="s">
        <v>738</v>
      </c>
      <c r="Q914" s="55">
        <f>VLOOKUP(E914,'NI-Ric_SP'!$C:$AN,12,FALSE)</f>
        <v>0</v>
      </c>
      <c r="R914" s="55">
        <f>VLOOKUP(E914,'NI-Ric_SP'!$C:$AN,13,FALSE)</f>
        <v>0</v>
      </c>
      <c r="S914" s="55"/>
      <c r="T914" s="55"/>
      <c r="U914" s="55">
        <f>VLOOKUP($E914,'NI-Ric_SP'!$C:$AN,MID(U$1,1,2),FALSE)</f>
        <v>0</v>
      </c>
      <c r="V914" s="55">
        <f>VLOOKUP($E914,'NI-Ric_SP'!$C:$AN,MID(V$1,1,2),FALSE)</f>
        <v>0</v>
      </c>
      <c r="W914" s="55">
        <f>VLOOKUP($E914,'NI-Ric_SP'!$C:$AN,MID(W$1,1,2),FALSE)</f>
        <v>0</v>
      </c>
      <c r="X914" s="55">
        <f>VLOOKUP($E914,'NI-Ric_SP'!$C:$AN,MID(X$1,1,2),FALSE)</f>
        <v>0</v>
      </c>
      <c r="Y914" s="55">
        <f>VLOOKUP($E914,'NI-Ric_SP'!$C:$AN,MID(Y$1,1,2),FALSE)</f>
        <v>0</v>
      </c>
      <c r="Z914" s="55">
        <f>VLOOKUP($E914,'NI-Ric_SP'!$C:$AN,MID(Z$1,1,2),FALSE)</f>
        <v>0</v>
      </c>
      <c r="AA914" s="55">
        <f>VLOOKUP($E914,'NI-Ric_SP'!$C:$AN,MID(AA$1,1,2),FALSE)</f>
        <v>0</v>
      </c>
      <c r="AB914" s="55">
        <f>VLOOKUP($E914,'NI-Ric_SP'!$C:$AN,MID(AB$1,1,2),FALSE)</f>
        <v>0</v>
      </c>
      <c r="AC914" s="55">
        <f>VLOOKUP($E914,'NI-Ric_SP'!$C:$AN,MID(AC$1,1,2),FALSE)</f>
        <v>0</v>
      </c>
      <c r="AD914" s="55">
        <f>VLOOKUP($E914,'NI-Ric_SP'!$C:$AN,MID(AD$1,1,2),FALSE)</f>
        <v>0</v>
      </c>
      <c r="AE914" s="55">
        <f>VLOOKUP($E914,'NI-Ric_SP'!$C:$AN,MID(AE$1,1,2),FALSE)</f>
        <v>0</v>
      </c>
      <c r="AF914" s="55">
        <f>VLOOKUP($E914,'NI-Ric_SP'!$C:$AN,MID(AF$1,1,2),FALSE)</f>
        <v>0</v>
      </c>
      <c r="AG914" s="55">
        <f>VLOOKUP($E914,'NI-Ric_SP'!$C:$AN,MID(AG$1,1,2),FALSE)</f>
        <v>0</v>
      </c>
      <c r="AH914" s="55">
        <f>VLOOKUP($E914,'NI-Ric_SP'!$C:$AN,MID(AH$1,1,2),FALSE)</f>
        <v>0</v>
      </c>
      <c r="AI914" s="55">
        <f>VLOOKUP($E914,'NI-Ric_SP'!$C:$AN,MID(AI$1,1,2),FALSE)</f>
        <v>0</v>
      </c>
      <c r="AJ914" s="55">
        <f>VLOOKUP($E914,'NI-Ric_SP'!$C:$AN,MID(AJ$1,1,2),FALSE)</f>
        <v>0</v>
      </c>
      <c r="AK914" s="55">
        <f>VLOOKUP($E914,'NI-Ric_SP'!$C:$AN,MID(AK$1,1,2),FALSE)</f>
        <v>0</v>
      </c>
      <c r="AL914" s="55">
        <f>VLOOKUP($E914,'NI-Ric_SP'!$C:$AN,MID(AL$1,1,2),FALSE)</f>
        <v>0</v>
      </c>
      <c r="AM914" s="56">
        <f>VLOOKUP($E914,'NI-Ric_SP'!$C:$AN,MID(AM$1,1,2),FALSE)</f>
        <v>0</v>
      </c>
      <c r="AN914" s="30" t="str">
        <f t="shared" si="14"/>
        <v>10205010040020</v>
      </c>
    </row>
    <row r="915" spans="3:40" x14ac:dyDescent="0.25">
      <c r="C915" s="40"/>
      <c r="D915" s="101" t="s">
        <v>739</v>
      </c>
      <c r="E915" s="101" t="s">
        <v>740</v>
      </c>
      <c r="F915" s="102" t="s">
        <v>2750</v>
      </c>
      <c r="G915" s="52"/>
      <c r="H915" s="52"/>
      <c r="I915" s="52" t="s">
        <v>741</v>
      </c>
      <c r="J915" s="52" t="s">
        <v>741</v>
      </c>
      <c r="K915" s="59" t="s">
        <v>111</v>
      </c>
      <c r="L915" s="62" t="s">
        <v>742</v>
      </c>
      <c r="M915" s="52"/>
      <c r="N915" s="52"/>
      <c r="O915" s="52"/>
      <c r="P915" s="76" t="s">
        <v>743</v>
      </c>
      <c r="Q915" s="55">
        <f>VLOOKUP(E915,'NI-Ric_SP'!$C:$AN,12,FALSE)</f>
        <v>0</v>
      </c>
      <c r="R915" s="55">
        <f>VLOOKUP(E915,'NI-Ric_SP'!$C:$AN,13,FALSE)</f>
        <v>0</v>
      </c>
      <c r="S915" s="55"/>
      <c r="T915" s="55"/>
      <c r="U915" s="55">
        <f>VLOOKUP($E915,'NI-Ric_SP'!$C:$AN,MID(U$1,1,2),FALSE)</f>
        <v>0</v>
      </c>
      <c r="V915" s="55">
        <f>VLOOKUP($E915,'NI-Ric_SP'!$C:$AN,MID(V$1,1,2),FALSE)</f>
        <v>0</v>
      </c>
      <c r="W915" s="55">
        <f>VLOOKUP($E915,'NI-Ric_SP'!$C:$AN,MID(W$1,1,2),FALSE)</f>
        <v>0</v>
      </c>
      <c r="X915" s="55">
        <f>VLOOKUP($E915,'NI-Ric_SP'!$C:$AN,MID(X$1,1,2),FALSE)</f>
        <v>0</v>
      </c>
      <c r="Y915" s="55">
        <f>VLOOKUP($E915,'NI-Ric_SP'!$C:$AN,MID(Y$1,1,2),FALSE)</f>
        <v>0</v>
      </c>
      <c r="Z915" s="55">
        <f>VLOOKUP($E915,'NI-Ric_SP'!$C:$AN,MID(Z$1,1,2),FALSE)</f>
        <v>0</v>
      </c>
      <c r="AA915" s="55">
        <f>VLOOKUP($E915,'NI-Ric_SP'!$C:$AN,MID(AA$1,1,2),FALSE)</f>
        <v>0</v>
      </c>
      <c r="AB915" s="55">
        <f>VLOOKUP($E915,'NI-Ric_SP'!$C:$AN,MID(AB$1,1,2),FALSE)</f>
        <v>0</v>
      </c>
      <c r="AC915" s="55">
        <f>VLOOKUP($E915,'NI-Ric_SP'!$C:$AN,MID(AC$1,1,2),FALSE)</f>
        <v>0</v>
      </c>
      <c r="AD915" s="55">
        <f>VLOOKUP($E915,'NI-Ric_SP'!$C:$AN,MID(AD$1,1,2),FALSE)</f>
        <v>0</v>
      </c>
      <c r="AE915" s="55">
        <f>VLOOKUP($E915,'NI-Ric_SP'!$C:$AN,MID(AE$1,1,2),FALSE)</f>
        <v>0</v>
      </c>
      <c r="AF915" s="55">
        <f>VLOOKUP($E915,'NI-Ric_SP'!$C:$AN,MID(AF$1,1,2),FALSE)</f>
        <v>0</v>
      </c>
      <c r="AG915" s="55">
        <f>VLOOKUP($E915,'NI-Ric_SP'!$C:$AN,MID(AG$1,1,2),FALSE)</f>
        <v>0</v>
      </c>
      <c r="AH915" s="55">
        <f>VLOOKUP($E915,'NI-Ric_SP'!$C:$AN,MID(AH$1,1,2),FALSE)</f>
        <v>0</v>
      </c>
      <c r="AI915" s="55">
        <f>VLOOKUP($E915,'NI-Ric_SP'!$C:$AN,MID(AI$1,1,2),FALSE)</f>
        <v>0</v>
      </c>
      <c r="AJ915" s="55">
        <f>VLOOKUP($E915,'NI-Ric_SP'!$C:$AN,MID(AJ$1,1,2),FALSE)</f>
        <v>0</v>
      </c>
      <c r="AK915" s="55">
        <f>VLOOKUP($E915,'NI-Ric_SP'!$C:$AN,MID(AK$1,1,2),FALSE)</f>
        <v>0</v>
      </c>
      <c r="AL915" s="55">
        <f>VLOOKUP($E915,'NI-Ric_SP'!$C:$AN,MID(AL$1,1,2),FALSE)</f>
        <v>0</v>
      </c>
      <c r="AM915" s="56">
        <f>VLOOKUP($E915,'NI-Ric_SP'!$C:$AN,MID(AM$1,1,2),FALSE)</f>
        <v>0</v>
      </c>
      <c r="AN915" s="30" t="str">
        <f t="shared" si="14"/>
        <v>10205020000000</v>
      </c>
    </row>
    <row r="916" spans="3:40" x14ac:dyDescent="0.25">
      <c r="C916" s="40"/>
      <c r="D916" s="101" t="s">
        <v>744</v>
      </c>
      <c r="E916" s="101" t="s">
        <v>745</v>
      </c>
      <c r="F916" s="102" t="s">
        <v>2750</v>
      </c>
      <c r="G916" s="52"/>
      <c r="H916" s="52"/>
      <c r="I916" s="52"/>
      <c r="J916" s="52"/>
      <c r="K916" s="59" t="s">
        <v>79</v>
      </c>
      <c r="L916" s="52"/>
      <c r="M916" s="52"/>
      <c r="N916" s="52"/>
      <c r="O916" s="52"/>
      <c r="P916" s="76" t="s">
        <v>746</v>
      </c>
      <c r="Q916" s="55">
        <f>VLOOKUP(E916,'NI-Ric_SP'!$C:$AN,12,FALSE)</f>
        <v>0</v>
      </c>
      <c r="R916" s="55">
        <f>VLOOKUP(E916,'NI-Ric_SP'!$C:$AN,13,FALSE)</f>
        <v>0</v>
      </c>
      <c r="S916" s="55"/>
      <c r="T916" s="55"/>
      <c r="U916" s="55">
        <f>VLOOKUP($E916,'NI-Ric_SP'!$C:$AN,MID(U$1,1,2),FALSE)</f>
        <v>0</v>
      </c>
      <c r="V916" s="55">
        <f>VLOOKUP($E916,'NI-Ric_SP'!$C:$AN,MID(V$1,1,2),FALSE)</f>
        <v>0</v>
      </c>
      <c r="W916" s="55">
        <f>VLOOKUP($E916,'NI-Ric_SP'!$C:$AN,MID(W$1,1,2),FALSE)</f>
        <v>0</v>
      </c>
      <c r="X916" s="55">
        <f>VLOOKUP($E916,'NI-Ric_SP'!$C:$AN,MID(X$1,1,2),FALSE)</f>
        <v>0</v>
      </c>
      <c r="Y916" s="55">
        <f>VLOOKUP($E916,'NI-Ric_SP'!$C:$AN,MID(Y$1,1,2),FALSE)</f>
        <v>0</v>
      </c>
      <c r="Z916" s="55">
        <f>VLOOKUP($E916,'NI-Ric_SP'!$C:$AN,MID(Z$1,1,2),FALSE)</f>
        <v>0</v>
      </c>
      <c r="AA916" s="55">
        <f>VLOOKUP($E916,'NI-Ric_SP'!$C:$AN,MID(AA$1,1,2),FALSE)</f>
        <v>0</v>
      </c>
      <c r="AB916" s="55">
        <f>VLOOKUP($E916,'NI-Ric_SP'!$C:$AN,MID(AB$1,1,2),FALSE)</f>
        <v>0</v>
      </c>
      <c r="AC916" s="55">
        <f>VLOOKUP($E916,'NI-Ric_SP'!$C:$AN,MID(AC$1,1,2),FALSE)</f>
        <v>0</v>
      </c>
      <c r="AD916" s="55">
        <f>VLOOKUP($E916,'NI-Ric_SP'!$C:$AN,MID(AD$1,1,2),FALSE)</f>
        <v>0</v>
      </c>
      <c r="AE916" s="55">
        <f>VLOOKUP($E916,'NI-Ric_SP'!$C:$AN,MID(AE$1,1,2),FALSE)</f>
        <v>0</v>
      </c>
      <c r="AF916" s="55">
        <f>VLOOKUP($E916,'NI-Ric_SP'!$C:$AN,MID(AF$1,1,2),FALSE)</f>
        <v>0</v>
      </c>
      <c r="AG916" s="55">
        <f>VLOOKUP($E916,'NI-Ric_SP'!$C:$AN,MID(AG$1,1,2),FALSE)</f>
        <v>0</v>
      </c>
      <c r="AH916" s="55">
        <f>VLOOKUP($E916,'NI-Ric_SP'!$C:$AN,MID(AH$1,1,2),FALSE)</f>
        <v>0</v>
      </c>
      <c r="AI916" s="55">
        <f>VLOOKUP($E916,'NI-Ric_SP'!$C:$AN,MID(AI$1,1,2),FALSE)</f>
        <v>0</v>
      </c>
      <c r="AJ916" s="55">
        <f>VLOOKUP($E916,'NI-Ric_SP'!$C:$AN,MID(AJ$1,1,2),FALSE)</f>
        <v>0</v>
      </c>
      <c r="AK916" s="55">
        <f>VLOOKUP($E916,'NI-Ric_SP'!$C:$AN,MID(AK$1,1,2),FALSE)</f>
        <v>0</v>
      </c>
      <c r="AL916" s="55">
        <f>VLOOKUP($E916,'NI-Ric_SP'!$C:$AN,MID(AL$1,1,2),FALSE)</f>
        <v>0</v>
      </c>
      <c r="AM916" s="56">
        <f>VLOOKUP($E916,'NI-Ric_SP'!$C:$AN,MID(AM$1,1,2),FALSE)</f>
        <v>0</v>
      </c>
      <c r="AN916" s="30" t="str">
        <f t="shared" si="14"/>
        <v>10205020010010</v>
      </c>
    </row>
    <row r="917" spans="3:40" x14ac:dyDescent="0.25">
      <c r="C917" s="40"/>
      <c r="D917" s="101" t="s">
        <v>747</v>
      </c>
      <c r="E917" s="101" t="s">
        <v>748</v>
      </c>
      <c r="F917" s="102" t="s">
        <v>2750</v>
      </c>
      <c r="G917" s="52"/>
      <c r="H917" s="52"/>
      <c r="I917" s="52"/>
      <c r="J917" s="52"/>
      <c r="K917" s="59" t="s">
        <v>79</v>
      </c>
      <c r="L917" s="52"/>
      <c r="M917" s="52"/>
      <c r="N917" s="52"/>
      <c r="O917" s="52"/>
      <c r="P917" s="76" t="s">
        <v>749</v>
      </c>
      <c r="Q917" s="55">
        <f>VLOOKUP(E917,'NI-Ric_SP'!$C:$AN,12,FALSE)</f>
        <v>0</v>
      </c>
      <c r="R917" s="55">
        <f>VLOOKUP(E917,'NI-Ric_SP'!$C:$AN,13,FALSE)</f>
        <v>0</v>
      </c>
      <c r="S917" s="55"/>
      <c r="T917" s="55"/>
      <c r="U917" s="55">
        <f>VLOOKUP($E917,'NI-Ric_SP'!$C:$AN,MID(U$1,1,2),FALSE)</f>
        <v>0</v>
      </c>
      <c r="V917" s="55">
        <f>VLOOKUP($E917,'NI-Ric_SP'!$C:$AN,MID(V$1,1,2),FALSE)</f>
        <v>0</v>
      </c>
      <c r="W917" s="55">
        <f>VLOOKUP($E917,'NI-Ric_SP'!$C:$AN,MID(W$1,1,2),FALSE)</f>
        <v>0</v>
      </c>
      <c r="X917" s="55">
        <f>VLOOKUP($E917,'NI-Ric_SP'!$C:$AN,MID(X$1,1,2),FALSE)</f>
        <v>0</v>
      </c>
      <c r="Y917" s="55">
        <f>VLOOKUP($E917,'NI-Ric_SP'!$C:$AN,MID(Y$1,1,2),FALSE)</f>
        <v>0</v>
      </c>
      <c r="Z917" s="55">
        <f>VLOOKUP($E917,'NI-Ric_SP'!$C:$AN,MID(Z$1,1,2),FALSE)</f>
        <v>0</v>
      </c>
      <c r="AA917" s="55">
        <f>VLOOKUP($E917,'NI-Ric_SP'!$C:$AN,MID(AA$1,1,2),FALSE)</f>
        <v>0</v>
      </c>
      <c r="AB917" s="55">
        <f>VLOOKUP($E917,'NI-Ric_SP'!$C:$AN,MID(AB$1,1,2),FALSE)</f>
        <v>0</v>
      </c>
      <c r="AC917" s="55">
        <f>VLOOKUP($E917,'NI-Ric_SP'!$C:$AN,MID(AC$1,1,2),FALSE)</f>
        <v>0</v>
      </c>
      <c r="AD917" s="55">
        <f>VLOOKUP($E917,'NI-Ric_SP'!$C:$AN,MID(AD$1,1,2),FALSE)</f>
        <v>0</v>
      </c>
      <c r="AE917" s="55">
        <f>VLOOKUP($E917,'NI-Ric_SP'!$C:$AN,MID(AE$1,1,2),FALSE)</f>
        <v>0</v>
      </c>
      <c r="AF917" s="55">
        <f>VLOOKUP($E917,'NI-Ric_SP'!$C:$AN,MID(AF$1,1,2),FALSE)</f>
        <v>0</v>
      </c>
      <c r="AG917" s="55">
        <f>VLOOKUP($E917,'NI-Ric_SP'!$C:$AN,MID(AG$1,1,2),FALSE)</f>
        <v>0</v>
      </c>
      <c r="AH917" s="55">
        <f>VLOOKUP($E917,'NI-Ric_SP'!$C:$AN,MID(AH$1,1,2),FALSE)</f>
        <v>0</v>
      </c>
      <c r="AI917" s="55">
        <f>VLOOKUP($E917,'NI-Ric_SP'!$C:$AN,MID(AI$1,1,2),FALSE)</f>
        <v>0</v>
      </c>
      <c r="AJ917" s="55">
        <f>VLOOKUP($E917,'NI-Ric_SP'!$C:$AN,MID(AJ$1,1,2),FALSE)</f>
        <v>0</v>
      </c>
      <c r="AK917" s="55">
        <f>VLOOKUP($E917,'NI-Ric_SP'!$C:$AN,MID(AK$1,1,2),FALSE)</f>
        <v>0</v>
      </c>
      <c r="AL917" s="55">
        <f>VLOOKUP($E917,'NI-Ric_SP'!$C:$AN,MID(AL$1,1,2),FALSE)</f>
        <v>0</v>
      </c>
      <c r="AM917" s="56">
        <f>VLOOKUP($E917,'NI-Ric_SP'!$C:$AN,MID(AM$1,1,2),FALSE)</f>
        <v>0</v>
      </c>
      <c r="AN917" s="30" t="str">
        <f t="shared" si="14"/>
        <v>10205020010020</v>
      </c>
    </row>
    <row r="918" spans="3:40" x14ac:dyDescent="0.25">
      <c r="C918" s="40"/>
      <c r="D918" s="101" t="s">
        <v>750</v>
      </c>
      <c r="E918" s="101" t="s">
        <v>751</v>
      </c>
      <c r="F918" s="102" t="s">
        <v>2750</v>
      </c>
      <c r="G918" s="52"/>
      <c r="H918" s="52"/>
      <c r="I918" s="52"/>
      <c r="J918" s="52"/>
      <c r="K918" s="59" t="s">
        <v>79</v>
      </c>
      <c r="L918" s="52"/>
      <c r="M918" s="52"/>
      <c r="N918" s="52"/>
      <c r="O918" s="52"/>
      <c r="P918" s="76" t="s">
        <v>752</v>
      </c>
      <c r="Q918" s="55">
        <f>VLOOKUP(E918,'NI-Ric_SP'!$C:$AN,12,FALSE)</f>
        <v>0</v>
      </c>
      <c r="R918" s="55">
        <f>VLOOKUP(E918,'NI-Ric_SP'!$C:$AN,13,FALSE)</f>
        <v>0</v>
      </c>
      <c r="S918" s="55"/>
      <c r="T918" s="55"/>
      <c r="U918" s="55">
        <f>VLOOKUP($E918,'NI-Ric_SP'!$C:$AN,MID(U$1,1,2),FALSE)</f>
        <v>0</v>
      </c>
      <c r="V918" s="55">
        <f>VLOOKUP($E918,'NI-Ric_SP'!$C:$AN,MID(V$1,1,2),FALSE)</f>
        <v>0</v>
      </c>
      <c r="W918" s="55">
        <f>VLOOKUP($E918,'NI-Ric_SP'!$C:$AN,MID(W$1,1,2),FALSE)</f>
        <v>0</v>
      </c>
      <c r="X918" s="55">
        <f>VLOOKUP($E918,'NI-Ric_SP'!$C:$AN,MID(X$1,1,2),FALSE)</f>
        <v>0</v>
      </c>
      <c r="Y918" s="55">
        <f>VLOOKUP($E918,'NI-Ric_SP'!$C:$AN,MID(Y$1,1,2),FALSE)</f>
        <v>0</v>
      </c>
      <c r="Z918" s="55">
        <f>VLOOKUP($E918,'NI-Ric_SP'!$C:$AN,MID(Z$1,1,2),FALSE)</f>
        <v>0</v>
      </c>
      <c r="AA918" s="55">
        <f>VLOOKUP($E918,'NI-Ric_SP'!$C:$AN,MID(AA$1,1,2),FALSE)</f>
        <v>0</v>
      </c>
      <c r="AB918" s="55">
        <f>VLOOKUP($E918,'NI-Ric_SP'!$C:$AN,MID(AB$1,1,2),FALSE)</f>
        <v>0</v>
      </c>
      <c r="AC918" s="55">
        <f>VLOOKUP($E918,'NI-Ric_SP'!$C:$AN,MID(AC$1,1,2),FALSE)</f>
        <v>0</v>
      </c>
      <c r="AD918" s="55">
        <f>VLOOKUP($E918,'NI-Ric_SP'!$C:$AN,MID(AD$1,1,2),FALSE)</f>
        <v>0</v>
      </c>
      <c r="AE918" s="55">
        <f>VLOOKUP($E918,'NI-Ric_SP'!$C:$AN,MID(AE$1,1,2),FALSE)</f>
        <v>0</v>
      </c>
      <c r="AF918" s="55">
        <f>VLOOKUP($E918,'NI-Ric_SP'!$C:$AN,MID(AF$1,1,2),FALSE)</f>
        <v>0</v>
      </c>
      <c r="AG918" s="55">
        <f>VLOOKUP($E918,'NI-Ric_SP'!$C:$AN,MID(AG$1,1,2),FALSE)</f>
        <v>0</v>
      </c>
      <c r="AH918" s="55">
        <f>VLOOKUP($E918,'NI-Ric_SP'!$C:$AN,MID(AH$1,1,2),FALSE)</f>
        <v>0</v>
      </c>
      <c r="AI918" s="55">
        <f>VLOOKUP($E918,'NI-Ric_SP'!$C:$AN,MID(AI$1,1,2),FALSE)</f>
        <v>0</v>
      </c>
      <c r="AJ918" s="55">
        <f>VLOOKUP($E918,'NI-Ric_SP'!$C:$AN,MID(AJ$1,1,2),FALSE)</f>
        <v>0</v>
      </c>
      <c r="AK918" s="55">
        <f>VLOOKUP($E918,'NI-Ric_SP'!$C:$AN,MID(AK$1,1,2),FALSE)</f>
        <v>0</v>
      </c>
      <c r="AL918" s="55">
        <f>VLOOKUP($E918,'NI-Ric_SP'!$C:$AN,MID(AL$1,1,2),FALSE)</f>
        <v>0</v>
      </c>
      <c r="AM918" s="56">
        <f>VLOOKUP($E918,'NI-Ric_SP'!$C:$AN,MID(AM$1,1,2),FALSE)</f>
        <v>0</v>
      </c>
      <c r="AN918" s="30" t="str">
        <f t="shared" si="14"/>
        <v>10205020020010</v>
      </c>
    </row>
    <row r="919" spans="3:40" x14ac:dyDescent="0.25">
      <c r="C919" s="40"/>
      <c r="D919" s="101" t="s">
        <v>753</v>
      </c>
      <c r="E919" s="101" t="s">
        <v>754</v>
      </c>
      <c r="F919" s="102" t="s">
        <v>2750</v>
      </c>
      <c r="G919" s="52"/>
      <c r="H919" s="52"/>
      <c r="I919" s="52"/>
      <c r="J919" s="52"/>
      <c r="K919" s="59" t="s">
        <v>79</v>
      </c>
      <c r="L919" s="52"/>
      <c r="M919" s="52"/>
      <c r="N919" s="52"/>
      <c r="O919" s="52"/>
      <c r="P919" s="76" t="s">
        <v>755</v>
      </c>
      <c r="Q919" s="55">
        <f>VLOOKUP(E919,'NI-Ric_SP'!$C:$AN,12,FALSE)</f>
        <v>0</v>
      </c>
      <c r="R919" s="55">
        <f>VLOOKUP(E919,'NI-Ric_SP'!$C:$AN,13,FALSE)</f>
        <v>0</v>
      </c>
      <c r="S919" s="55"/>
      <c r="T919" s="55"/>
      <c r="U919" s="55">
        <f>VLOOKUP($E919,'NI-Ric_SP'!$C:$AN,MID(U$1,1,2),FALSE)</f>
        <v>0</v>
      </c>
      <c r="V919" s="55">
        <f>VLOOKUP($E919,'NI-Ric_SP'!$C:$AN,MID(V$1,1,2),FALSE)</f>
        <v>0</v>
      </c>
      <c r="W919" s="55">
        <f>VLOOKUP($E919,'NI-Ric_SP'!$C:$AN,MID(W$1,1,2),FALSE)</f>
        <v>0</v>
      </c>
      <c r="X919" s="55">
        <f>VLOOKUP($E919,'NI-Ric_SP'!$C:$AN,MID(X$1,1,2),FALSE)</f>
        <v>0</v>
      </c>
      <c r="Y919" s="55">
        <f>VLOOKUP($E919,'NI-Ric_SP'!$C:$AN,MID(Y$1,1,2),FALSE)</f>
        <v>0</v>
      </c>
      <c r="Z919" s="55">
        <f>VLOOKUP($E919,'NI-Ric_SP'!$C:$AN,MID(Z$1,1,2),FALSE)</f>
        <v>0</v>
      </c>
      <c r="AA919" s="55">
        <f>VLOOKUP($E919,'NI-Ric_SP'!$C:$AN,MID(AA$1,1,2),FALSE)</f>
        <v>0</v>
      </c>
      <c r="AB919" s="55">
        <f>VLOOKUP($E919,'NI-Ric_SP'!$C:$AN,MID(AB$1,1,2),FALSE)</f>
        <v>0</v>
      </c>
      <c r="AC919" s="55">
        <f>VLOOKUP($E919,'NI-Ric_SP'!$C:$AN,MID(AC$1,1,2),FALSE)</f>
        <v>0</v>
      </c>
      <c r="AD919" s="55">
        <f>VLOOKUP($E919,'NI-Ric_SP'!$C:$AN,MID(AD$1,1,2),FALSE)</f>
        <v>0</v>
      </c>
      <c r="AE919" s="55">
        <f>VLOOKUP($E919,'NI-Ric_SP'!$C:$AN,MID(AE$1,1,2),FALSE)</f>
        <v>0</v>
      </c>
      <c r="AF919" s="55">
        <f>VLOOKUP($E919,'NI-Ric_SP'!$C:$AN,MID(AF$1,1,2),FALSE)</f>
        <v>0</v>
      </c>
      <c r="AG919" s="55">
        <f>VLOOKUP($E919,'NI-Ric_SP'!$C:$AN,MID(AG$1,1,2),FALSE)</f>
        <v>0</v>
      </c>
      <c r="AH919" s="55">
        <f>VLOOKUP($E919,'NI-Ric_SP'!$C:$AN,MID(AH$1,1,2),FALSE)</f>
        <v>0</v>
      </c>
      <c r="AI919" s="55">
        <f>VLOOKUP($E919,'NI-Ric_SP'!$C:$AN,MID(AI$1,1,2),FALSE)</f>
        <v>0</v>
      </c>
      <c r="AJ919" s="55">
        <f>VLOOKUP($E919,'NI-Ric_SP'!$C:$AN,MID(AJ$1,1,2),FALSE)</f>
        <v>0</v>
      </c>
      <c r="AK919" s="55">
        <f>VLOOKUP($E919,'NI-Ric_SP'!$C:$AN,MID(AK$1,1,2),FALSE)</f>
        <v>0</v>
      </c>
      <c r="AL919" s="55">
        <f>VLOOKUP($E919,'NI-Ric_SP'!$C:$AN,MID(AL$1,1,2),FALSE)</f>
        <v>0</v>
      </c>
      <c r="AM919" s="56">
        <f>VLOOKUP($E919,'NI-Ric_SP'!$C:$AN,MID(AM$1,1,2),FALSE)</f>
        <v>0</v>
      </c>
      <c r="AN919" s="30" t="str">
        <f t="shared" si="14"/>
        <v>10205020020020</v>
      </c>
    </row>
    <row r="920" spans="3:40" x14ac:dyDescent="0.25">
      <c r="C920" s="40"/>
      <c r="D920" s="101" t="s">
        <v>756</v>
      </c>
      <c r="E920" s="101" t="s">
        <v>757</v>
      </c>
      <c r="F920" s="102" t="s">
        <v>2750</v>
      </c>
      <c r="G920" s="52"/>
      <c r="H920" s="52"/>
      <c r="I920" s="52"/>
      <c r="J920" s="52"/>
      <c r="K920" s="59" t="s">
        <v>79</v>
      </c>
      <c r="L920" s="52"/>
      <c r="M920" s="52"/>
      <c r="N920" s="52"/>
      <c r="O920" s="52"/>
      <c r="P920" s="76" t="s">
        <v>758</v>
      </c>
      <c r="Q920" s="55">
        <f>VLOOKUP(E920,'NI-Ric_SP'!$C:$AN,12,FALSE)</f>
        <v>0</v>
      </c>
      <c r="R920" s="55">
        <f>VLOOKUP(E920,'NI-Ric_SP'!$C:$AN,13,FALSE)</f>
        <v>0</v>
      </c>
      <c r="S920" s="55"/>
      <c r="T920" s="55"/>
      <c r="U920" s="55">
        <f>VLOOKUP($E920,'NI-Ric_SP'!$C:$AN,MID(U$1,1,2),FALSE)</f>
        <v>0</v>
      </c>
      <c r="V920" s="55">
        <f>VLOOKUP($E920,'NI-Ric_SP'!$C:$AN,MID(V$1,1,2),FALSE)</f>
        <v>0</v>
      </c>
      <c r="W920" s="55">
        <f>VLOOKUP($E920,'NI-Ric_SP'!$C:$AN,MID(W$1,1,2),FALSE)</f>
        <v>0</v>
      </c>
      <c r="X920" s="55">
        <f>VLOOKUP($E920,'NI-Ric_SP'!$C:$AN,MID(X$1,1,2),FALSE)</f>
        <v>0</v>
      </c>
      <c r="Y920" s="55">
        <f>VLOOKUP($E920,'NI-Ric_SP'!$C:$AN,MID(Y$1,1,2),FALSE)</f>
        <v>0</v>
      </c>
      <c r="Z920" s="55">
        <f>VLOOKUP($E920,'NI-Ric_SP'!$C:$AN,MID(Z$1,1,2),FALSE)</f>
        <v>0</v>
      </c>
      <c r="AA920" s="55">
        <f>VLOOKUP($E920,'NI-Ric_SP'!$C:$AN,MID(AA$1,1,2),FALSE)</f>
        <v>0</v>
      </c>
      <c r="AB920" s="55">
        <f>VLOOKUP($E920,'NI-Ric_SP'!$C:$AN,MID(AB$1,1,2),FALSE)</f>
        <v>0</v>
      </c>
      <c r="AC920" s="55">
        <f>VLOOKUP($E920,'NI-Ric_SP'!$C:$AN,MID(AC$1,1,2),FALSE)</f>
        <v>0</v>
      </c>
      <c r="AD920" s="55">
        <f>VLOOKUP($E920,'NI-Ric_SP'!$C:$AN,MID(AD$1,1,2),FALSE)</f>
        <v>0</v>
      </c>
      <c r="AE920" s="55">
        <f>VLOOKUP($E920,'NI-Ric_SP'!$C:$AN,MID(AE$1,1,2),FALSE)</f>
        <v>0</v>
      </c>
      <c r="AF920" s="55">
        <f>VLOOKUP($E920,'NI-Ric_SP'!$C:$AN,MID(AF$1,1,2),FALSE)</f>
        <v>0</v>
      </c>
      <c r="AG920" s="55">
        <f>VLOOKUP($E920,'NI-Ric_SP'!$C:$AN,MID(AG$1,1,2),FALSE)</f>
        <v>0</v>
      </c>
      <c r="AH920" s="55">
        <f>VLOOKUP($E920,'NI-Ric_SP'!$C:$AN,MID(AH$1,1,2),FALSE)</f>
        <v>0</v>
      </c>
      <c r="AI920" s="55">
        <f>VLOOKUP($E920,'NI-Ric_SP'!$C:$AN,MID(AI$1,1,2),FALSE)</f>
        <v>0</v>
      </c>
      <c r="AJ920" s="55">
        <f>VLOOKUP($E920,'NI-Ric_SP'!$C:$AN,MID(AJ$1,1,2),FALSE)</f>
        <v>0</v>
      </c>
      <c r="AK920" s="55">
        <f>VLOOKUP($E920,'NI-Ric_SP'!$C:$AN,MID(AK$1,1,2),FALSE)</f>
        <v>0</v>
      </c>
      <c r="AL920" s="55">
        <f>VLOOKUP($E920,'NI-Ric_SP'!$C:$AN,MID(AL$1,1,2),FALSE)</f>
        <v>0</v>
      </c>
      <c r="AM920" s="56">
        <f>VLOOKUP($E920,'NI-Ric_SP'!$C:$AN,MID(AM$1,1,2),FALSE)</f>
        <v>0</v>
      </c>
      <c r="AN920" s="30" t="str">
        <f t="shared" si="14"/>
        <v>10205020030010</v>
      </c>
    </row>
    <row r="921" spans="3:40" x14ac:dyDescent="0.25">
      <c r="C921" s="40"/>
      <c r="D921" s="101" t="s">
        <v>759</v>
      </c>
      <c r="E921" s="101" t="s">
        <v>760</v>
      </c>
      <c r="F921" s="102" t="s">
        <v>2750</v>
      </c>
      <c r="G921" s="52"/>
      <c r="H921" s="52"/>
      <c r="I921" s="52"/>
      <c r="J921" s="52"/>
      <c r="K921" s="59" t="s">
        <v>79</v>
      </c>
      <c r="L921" s="52"/>
      <c r="M921" s="52"/>
      <c r="N921" s="52"/>
      <c r="O921" s="52"/>
      <c r="P921" s="76" t="s">
        <v>761</v>
      </c>
      <c r="Q921" s="55">
        <f>VLOOKUP(E921,'NI-Ric_SP'!$C:$AN,12,FALSE)</f>
        <v>0</v>
      </c>
      <c r="R921" s="55">
        <f>VLOOKUP(E921,'NI-Ric_SP'!$C:$AN,13,FALSE)</f>
        <v>0</v>
      </c>
      <c r="S921" s="55"/>
      <c r="T921" s="55"/>
      <c r="U921" s="55">
        <f>VLOOKUP($E921,'NI-Ric_SP'!$C:$AN,MID(U$1,1,2),FALSE)</f>
        <v>0</v>
      </c>
      <c r="V921" s="55">
        <f>VLOOKUP($E921,'NI-Ric_SP'!$C:$AN,MID(V$1,1,2),FALSE)</f>
        <v>0</v>
      </c>
      <c r="W921" s="55">
        <f>VLOOKUP($E921,'NI-Ric_SP'!$C:$AN,MID(W$1,1,2),FALSE)</f>
        <v>0</v>
      </c>
      <c r="X921" s="55">
        <f>VLOOKUP($E921,'NI-Ric_SP'!$C:$AN,MID(X$1,1,2),FALSE)</f>
        <v>0</v>
      </c>
      <c r="Y921" s="55">
        <f>VLOOKUP($E921,'NI-Ric_SP'!$C:$AN,MID(Y$1,1,2),FALSE)</f>
        <v>0</v>
      </c>
      <c r="Z921" s="55">
        <f>VLOOKUP($E921,'NI-Ric_SP'!$C:$AN,MID(Z$1,1,2),FALSE)</f>
        <v>0</v>
      </c>
      <c r="AA921" s="55">
        <f>VLOOKUP($E921,'NI-Ric_SP'!$C:$AN,MID(AA$1,1,2),FALSE)</f>
        <v>0</v>
      </c>
      <c r="AB921" s="55">
        <f>VLOOKUP($E921,'NI-Ric_SP'!$C:$AN,MID(AB$1,1,2),FALSE)</f>
        <v>0</v>
      </c>
      <c r="AC921" s="55">
        <f>VLOOKUP($E921,'NI-Ric_SP'!$C:$AN,MID(AC$1,1,2),FALSE)</f>
        <v>0</v>
      </c>
      <c r="AD921" s="55">
        <f>VLOOKUP($E921,'NI-Ric_SP'!$C:$AN,MID(AD$1,1,2),FALSE)</f>
        <v>0</v>
      </c>
      <c r="AE921" s="55">
        <f>VLOOKUP($E921,'NI-Ric_SP'!$C:$AN,MID(AE$1,1,2),FALSE)</f>
        <v>0</v>
      </c>
      <c r="AF921" s="55">
        <f>VLOOKUP($E921,'NI-Ric_SP'!$C:$AN,MID(AF$1,1,2),FALSE)</f>
        <v>0</v>
      </c>
      <c r="AG921" s="55">
        <f>VLOOKUP($E921,'NI-Ric_SP'!$C:$AN,MID(AG$1,1,2),FALSE)</f>
        <v>0</v>
      </c>
      <c r="AH921" s="55">
        <f>VLOOKUP($E921,'NI-Ric_SP'!$C:$AN,MID(AH$1,1,2),FALSE)</f>
        <v>0</v>
      </c>
      <c r="AI921" s="55">
        <f>VLOOKUP($E921,'NI-Ric_SP'!$C:$AN,MID(AI$1,1,2),FALSE)</f>
        <v>0</v>
      </c>
      <c r="AJ921" s="55">
        <f>VLOOKUP($E921,'NI-Ric_SP'!$C:$AN,MID(AJ$1,1,2),FALSE)</f>
        <v>0</v>
      </c>
      <c r="AK921" s="55">
        <f>VLOOKUP($E921,'NI-Ric_SP'!$C:$AN,MID(AK$1,1,2),FALSE)</f>
        <v>0</v>
      </c>
      <c r="AL921" s="55">
        <f>VLOOKUP($E921,'NI-Ric_SP'!$C:$AN,MID(AL$1,1,2),FALSE)</f>
        <v>0</v>
      </c>
      <c r="AM921" s="56">
        <f>VLOOKUP($E921,'NI-Ric_SP'!$C:$AN,MID(AM$1,1,2),FALSE)</f>
        <v>0</v>
      </c>
      <c r="AN921" s="30" t="str">
        <f t="shared" si="14"/>
        <v>10205020030020</v>
      </c>
    </row>
    <row r="922" spans="3:40" x14ac:dyDescent="0.25">
      <c r="C922" s="40"/>
      <c r="D922" s="101" t="s">
        <v>762</v>
      </c>
      <c r="E922" s="101" t="s">
        <v>763</v>
      </c>
      <c r="F922" s="102" t="s">
        <v>2750</v>
      </c>
      <c r="G922" s="52"/>
      <c r="H922" s="52"/>
      <c r="I922" s="52"/>
      <c r="J922" s="52"/>
      <c r="K922" s="59" t="s">
        <v>79</v>
      </c>
      <c r="L922" s="52"/>
      <c r="M922" s="52"/>
      <c r="N922" s="52"/>
      <c r="O922" s="52"/>
      <c r="P922" s="76" t="s">
        <v>764</v>
      </c>
      <c r="Q922" s="55">
        <f>VLOOKUP(E922,'NI-Ric_SP'!$C:$AN,12,FALSE)</f>
        <v>0</v>
      </c>
      <c r="R922" s="55">
        <f>VLOOKUP(E922,'NI-Ric_SP'!$C:$AN,13,FALSE)</f>
        <v>0</v>
      </c>
      <c r="S922" s="55"/>
      <c r="T922" s="55"/>
      <c r="U922" s="55">
        <f>VLOOKUP($E922,'NI-Ric_SP'!$C:$AN,MID(U$1,1,2),FALSE)</f>
        <v>0</v>
      </c>
      <c r="V922" s="55">
        <f>VLOOKUP($E922,'NI-Ric_SP'!$C:$AN,MID(V$1,1,2),FALSE)</f>
        <v>0</v>
      </c>
      <c r="W922" s="55">
        <f>VLOOKUP($E922,'NI-Ric_SP'!$C:$AN,MID(W$1,1,2),FALSE)</f>
        <v>0</v>
      </c>
      <c r="X922" s="55">
        <f>VLOOKUP($E922,'NI-Ric_SP'!$C:$AN,MID(X$1,1,2),FALSE)</f>
        <v>0</v>
      </c>
      <c r="Y922" s="55">
        <f>VLOOKUP($E922,'NI-Ric_SP'!$C:$AN,MID(Y$1,1,2),FALSE)</f>
        <v>0</v>
      </c>
      <c r="Z922" s="55">
        <f>VLOOKUP($E922,'NI-Ric_SP'!$C:$AN,MID(Z$1,1,2),FALSE)</f>
        <v>0</v>
      </c>
      <c r="AA922" s="55">
        <f>VLOOKUP($E922,'NI-Ric_SP'!$C:$AN,MID(AA$1,1,2),FALSE)</f>
        <v>0</v>
      </c>
      <c r="AB922" s="55">
        <f>VLOOKUP($E922,'NI-Ric_SP'!$C:$AN,MID(AB$1,1,2),FALSE)</f>
        <v>0</v>
      </c>
      <c r="AC922" s="55">
        <f>VLOOKUP($E922,'NI-Ric_SP'!$C:$AN,MID(AC$1,1,2),FALSE)</f>
        <v>0</v>
      </c>
      <c r="AD922" s="55">
        <f>VLOOKUP($E922,'NI-Ric_SP'!$C:$AN,MID(AD$1,1,2),FALSE)</f>
        <v>0</v>
      </c>
      <c r="AE922" s="55">
        <f>VLOOKUP($E922,'NI-Ric_SP'!$C:$AN,MID(AE$1,1,2),FALSE)</f>
        <v>0</v>
      </c>
      <c r="AF922" s="55">
        <f>VLOOKUP($E922,'NI-Ric_SP'!$C:$AN,MID(AF$1,1,2),FALSE)</f>
        <v>0</v>
      </c>
      <c r="AG922" s="55">
        <f>VLOOKUP($E922,'NI-Ric_SP'!$C:$AN,MID(AG$1,1,2),FALSE)</f>
        <v>0</v>
      </c>
      <c r="AH922" s="55">
        <f>VLOOKUP($E922,'NI-Ric_SP'!$C:$AN,MID(AH$1,1,2),FALSE)</f>
        <v>0</v>
      </c>
      <c r="AI922" s="55">
        <f>VLOOKUP($E922,'NI-Ric_SP'!$C:$AN,MID(AI$1,1,2),FALSE)</f>
        <v>0</v>
      </c>
      <c r="AJ922" s="55">
        <f>VLOOKUP($E922,'NI-Ric_SP'!$C:$AN,MID(AJ$1,1,2),FALSE)</f>
        <v>0</v>
      </c>
      <c r="AK922" s="55">
        <f>VLOOKUP($E922,'NI-Ric_SP'!$C:$AN,MID(AK$1,1,2),FALSE)</f>
        <v>0</v>
      </c>
      <c r="AL922" s="55">
        <f>VLOOKUP($E922,'NI-Ric_SP'!$C:$AN,MID(AL$1,1,2),FALSE)</f>
        <v>0</v>
      </c>
      <c r="AM922" s="56">
        <f>VLOOKUP($E922,'NI-Ric_SP'!$C:$AN,MID(AM$1,1,2),FALSE)</f>
        <v>0</v>
      </c>
      <c r="AN922" s="30" t="str">
        <f t="shared" si="14"/>
        <v>10205020040010</v>
      </c>
    </row>
    <row r="923" spans="3:40" x14ac:dyDescent="0.25">
      <c r="C923" s="40"/>
      <c r="D923" s="101" t="s">
        <v>765</v>
      </c>
      <c r="E923" s="101" t="s">
        <v>766</v>
      </c>
      <c r="F923" s="102" t="s">
        <v>2750</v>
      </c>
      <c r="G923" s="52"/>
      <c r="H923" s="52"/>
      <c r="I923" s="52"/>
      <c r="J923" s="52"/>
      <c r="K923" s="59" t="s">
        <v>79</v>
      </c>
      <c r="L923" s="52"/>
      <c r="M923" s="52"/>
      <c r="N923" s="52"/>
      <c r="O923" s="52"/>
      <c r="P923" s="76" t="s">
        <v>767</v>
      </c>
      <c r="Q923" s="55">
        <f>VLOOKUP(E923,'NI-Ric_SP'!$C:$AN,12,FALSE)</f>
        <v>0</v>
      </c>
      <c r="R923" s="55">
        <f>VLOOKUP(E923,'NI-Ric_SP'!$C:$AN,13,FALSE)</f>
        <v>0</v>
      </c>
      <c r="S923" s="55"/>
      <c r="T923" s="55"/>
      <c r="U923" s="55">
        <f>VLOOKUP($E923,'NI-Ric_SP'!$C:$AN,MID(U$1,1,2),FALSE)</f>
        <v>0</v>
      </c>
      <c r="V923" s="55">
        <f>VLOOKUP($E923,'NI-Ric_SP'!$C:$AN,MID(V$1,1,2),FALSE)</f>
        <v>0</v>
      </c>
      <c r="W923" s="55">
        <f>VLOOKUP($E923,'NI-Ric_SP'!$C:$AN,MID(W$1,1,2),FALSE)</f>
        <v>0</v>
      </c>
      <c r="X923" s="55">
        <f>VLOOKUP($E923,'NI-Ric_SP'!$C:$AN,MID(X$1,1,2),FALSE)</f>
        <v>0</v>
      </c>
      <c r="Y923" s="55">
        <f>VLOOKUP($E923,'NI-Ric_SP'!$C:$AN,MID(Y$1,1,2),FALSE)</f>
        <v>0</v>
      </c>
      <c r="Z923" s="55">
        <f>VLOOKUP($E923,'NI-Ric_SP'!$C:$AN,MID(Z$1,1,2),FALSE)</f>
        <v>0</v>
      </c>
      <c r="AA923" s="55">
        <f>VLOOKUP($E923,'NI-Ric_SP'!$C:$AN,MID(AA$1,1,2),FALSE)</f>
        <v>0</v>
      </c>
      <c r="AB923" s="55">
        <f>VLOOKUP($E923,'NI-Ric_SP'!$C:$AN,MID(AB$1,1,2),FALSE)</f>
        <v>0</v>
      </c>
      <c r="AC923" s="55">
        <f>VLOOKUP($E923,'NI-Ric_SP'!$C:$AN,MID(AC$1,1,2),FALSE)</f>
        <v>0</v>
      </c>
      <c r="AD923" s="55">
        <f>VLOOKUP($E923,'NI-Ric_SP'!$C:$AN,MID(AD$1,1,2),FALSE)</f>
        <v>0</v>
      </c>
      <c r="AE923" s="55">
        <f>VLOOKUP($E923,'NI-Ric_SP'!$C:$AN,MID(AE$1,1,2),FALSE)</f>
        <v>0</v>
      </c>
      <c r="AF923" s="55">
        <f>VLOOKUP($E923,'NI-Ric_SP'!$C:$AN,MID(AF$1,1,2),FALSE)</f>
        <v>0</v>
      </c>
      <c r="AG923" s="55">
        <f>VLOOKUP($E923,'NI-Ric_SP'!$C:$AN,MID(AG$1,1,2),FALSE)</f>
        <v>0</v>
      </c>
      <c r="AH923" s="55">
        <f>VLOOKUP($E923,'NI-Ric_SP'!$C:$AN,MID(AH$1,1,2),FALSE)</f>
        <v>0</v>
      </c>
      <c r="AI923" s="55">
        <f>VLOOKUP($E923,'NI-Ric_SP'!$C:$AN,MID(AI$1,1,2),FALSE)</f>
        <v>0</v>
      </c>
      <c r="AJ923" s="55">
        <f>VLOOKUP($E923,'NI-Ric_SP'!$C:$AN,MID(AJ$1,1,2),FALSE)</f>
        <v>0</v>
      </c>
      <c r="AK923" s="55">
        <f>VLOOKUP($E923,'NI-Ric_SP'!$C:$AN,MID(AK$1,1,2),FALSE)</f>
        <v>0</v>
      </c>
      <c r="AL923" s="55">
        <f>VLOOKUP($E923,'NI-Ric_SP'!$C:$AN,MID(AL$1,1,2),FALSE)</f>
        <v>0</v>
      </c>
      <c r="AM923" s="56">
        <f>VLOOKUP($E923,'NI-Ric_SP'!$C:$AN,MID(AM$1,1,2),FALSE)</f>
        <v>0</v>
      </c>
      <c r="AN923" s="30" t="str">
        <f t="shared" si="14"/>
        <v>10205020040020</v>
      </c>
    </row>
    <row r="924" spans="3:40" x14ac:dyDescent="0.25">
      <c r="C924" s="40"/>
      <c r="D924" s="101" t="s">
        <v>768</v>
      </c>
      <c r="E924" s="101" t="s">
        <v>769</v>
      </c>
      <c r="F924" s="102" t="s">
        <v>2750</v>
      </c>
      <c r="G924" s="52"/>
      <c r="H924" s="52"/>
      <c r="I924" s="52"/>
      <c r="J924" s="52"/>
      <c r="K924" s="59" t="s">
        <v>111</v>
      </c>
      <c r="L924" s="52"/>
      <c r="M924" s="52"/>
      <c r="N924" s="52"/>
      <c r="O924" s="61" t="s">
        <v>770</v>
      </c>
      <c r="P924" s="76" t="s">
        <v>771</v>
      </c>
      <c r="Q924" s="55">
        <f>VLOOKUP(E924,'NI-Ric_SP'!$C:$AN,12,FALSE)</f>
        <v>0</v>
      </c>
      <c r="R924" s="55">
        <f>VLOOKUP(E924,'NI-Ric_SP'!$C:$AN,13,FALSE)</f>
        <v>0</v>
      </c>
      <c r="S924" s="55"/>
      <c r="T924" s="55"/>
      <c r="U924" s="55">
        <f>VLOOKUP($E924,'NI-Ric_SP'!$C:$AN,MID(U$1,1,2),FALSE)</f>
        <v>0</v>
      </c>
      <c r="V924" s="55">
        <f>VLOOKUP($E924,'NI-Ric_SP'!$C:$AN,MID(V$1,1,2),FALSE)</f>
        <v>0</v>
      </c>
      <c r="W924" s="55">
        <f>VLOOKUP($E924,'NI-Ric_SP'!$C:$AN,MID(W$1,1,2),FALSE)</f>
        <v>0</v>
      </c>
      <c r="X924" s="55">
        <f>VLOOKUP($E924,'NI-Ric_SP'!$C:$AN,MID(X$1,1,2),FALSE)</f>
        <v>0</v>
      </c>
      <c r="Y924" s="55">
        <f>VLOOKUP($E924,'NI-Ric_SP'!$C:$AN,MID(Y$1,1,2),FALSE)</f>
        <v>0</v>
      </c>
      <c r="Z924" s="55">
        <f>VLOOKUP($E924,'NI-Ric_SP'!$C:$AN,MID(Z$1,1,2),FALSE)</f>
        <v>0</v>
      </c>
      <c r="AA924" s="55">
        <f>VLOOKUP($E924,'NI-Ric_SP'!$C:$AN,MID(AA$1,1,2),FALSE)</f>
        <v>0</v>
      </c>
      <c r="AB924" s="55">
        <f>VLOOKUP($E924,'NI-Ric_SP'!$C:$AN,MID(AB$1,1,2),FALSE)</f>
        <v>0</v>
      </c>
      <c r="AC924" s="55">
        <f>VLOOKUP($E924,'NI-Ric_SP'!$C:$AN,MID(AC$1,1,2),FALSE)</f>
        <v>0</v>
      </c>
      <c r="AD924" s="55">
        <f>VLOOKUP($E924,'NI-Ric_SP'!$C:$AN,MID(AD$1,1,2),FALSE)</f>
        <v>0</v>
      </c>
      <c r="AE924" s="55">
        <f>VLOOKUP($E924,'NI-Ric_SP'!$C:$AN,MID(AE$1,1,2),FALSE)</f>
        <v>0</v>
      </c>
      <c r="AF924" s="55">
        <f>VLOOKUP($E924,'NI-Ric_SP'!$C:$AN,MID(AF$1,1,2),FALSE)</f>
        <v>0</v>
      </c>
      <c r="AG924" s="55">
        <f>VLOOKUP($E924,'NI-Ric_SP'!$C:$AN,MID(AG$1,1,2),FALSE)</f>
        <v>0</v>
      </c>
      <c r="AH924" s="55">
        <f>VLOOKUP($E924,'NI-Ric_SP'!$C:$AN,MID(AH$1,1,2),FALSE)</f>
        <v>0</v>
      </c>
      <c r="AI924" s="55">
        <f>VLOOKUP($E924,'NI-Ric_SP'!$C:$AN,MID(AI$1,1,2),FALSE)</f>
        <v>0</v>
      </c>
      <c r="AJ924" s="55">
        <f>VLOOKUP($E924,'NI-Ric_SP'!$C:$AN,MID(AJ$1,1,2),FALSE)</f>
        <v>0</v>
      </c>
      <c r="AK924" s="55">
        <f>VLOOKUP($E924,'NI-Ric_SP'!$C:$AN,MID(AK$1,1,2),FALSE)</f>
        <v>0</v>
      </c>
      <c r="AL924" s="55">
        <f>VLOOKUP($E924,'NI-Ric_SP'!$C:$AN,MID(AL$1,1,2),FALSE)</f>
        <v>0</v>
      </c>
      <c r="AM924" s="56">
        <f>VLOOKUP($E924,'NI-Ric_SP'!$C:$AN,MID(AM$1,1,2),FALSE)</f>
        <v>0</v>
      </c>
      <c r="AN924" s="30" t="str">
        <f t="shared" si="14"/>
        <v>10206000000000</v>
      </c>
    </row>
    <row r="925" spans="3:40" x14ac:dyDescent="0.25">
      <c r="C925" s="40"/>
      <c r="D925" s="101" t="s">
        <v>772</v>
      </c>
      <c r="E925" s="101" t="s">
        <v>773</v>
      </c>
      <c r="F925" s="102" t="s">
        <v>2750</v>
      </c>
      <c r="G925" s="52"/>
      <c r="H925" s="52"/>
      <c r="I925" s="52" t="s">
        <v>774</v>
      </c>
      <c r="J925" s="52" t="s">
        <v>774</v>
      </c>
      <c r="K925" s="59" t="s">
        <v>111</v>
      </c>
      <c r="L925" s="62" t="s">
        <v>775</v>
      </c>
      <c r="M925" s="52"/>
      <c r="N925" s="52"/>
      <c r="O925" s="52"/>
      <c r="P925" s="76" t="s">
        <v>776</v>
      </c>
      <c r="Q925" s="55">
        <f>VLOOKUP(E925,'NI-Ric_SP'!$C:$AN,12,FALSE)</f>
        <v>0</v>
      </c>
      <c r="R925" s="55">
        <f>VLOOKUP(E925,'NI-Ric_SP'!$C:$AN,13,FALSE)</f>
        <v>0</v>
      </c>
      <c r="S925" s="55"/>
      <c r="T925" s="55"/>
      <c r="U925" s="55">
        <f>VLOOKUP($E925,'NI-Ric_SP'!$C:$AN,MID(U$1,1,2),FALSE)</f>
        <v>0</v>
      </c>
      <c r="V925" s="55">
        <f>VLOOKUP($E925,'NI-Ric_SP'!$C:$AN,MID(V$1,1,2),FALSE)</f>
        <v>0</v>
      </c>
      <c r="W925" s="55">
        <f>VLOOKUP($E925,'NI-Ric_SP'!$C:$AN,MID(W$1,1,2),FALSE)</f>
        <v>0</v>
      </c>
      <c r="X925" s="55">
        <f>VLOOKUP($E925,'NI-Ric_SP'!$C:$AN,MID(X$1,1,2),FALSE)</f>
        <v>0</v>
      </c>
      <c r="Y925" s="55">
        <f>VLOOKUP($E925,'NI-Ric_SP'!$C:$AN,MID(Y$1,1,2),FALSE)</f>
        <v>0</v>
      </c>
      <c r="Z925" s="55">
        <f>VLOOKUP($E925,'NI-Ric_SP'!$C:$AN,MID(Z$1,1,2),FALSE)</f>
        <v>0</v>
      </c>
      <c r="AA925" s="55">
        <f>VLOOKUP($E925,'NI-Ric_SP'!$C:$AN,MID(AA$1,1,2),FALSE)</f>
        <v>0</v>
      </c>
      <c r="AB925" s="55">
        <f>VLOOKUP($E925,'NI-Ric_SP'!$C:$AN,MID(AB$1,1,2),FALSE)</f>
        <v>0</v>
      </c>
      <c r="AC925" s="55">
        <f>VLOOKUP($E925,'NI-Ric_SP'!$C:$AN,MID(AC$1,1,2),FALSE)</f>
        <v>0</v>
      </c>
      <c r="AD925" s="55">
        <f>VLOOKUP($E925,'NI-Ric_SP'!$C:$AN,MID(AD$1,1,2),FALSE)</f>
        <v>0</v>
      </c>
      <c r="AE925" s="55">
        <f>VLOOKUP($E925,'NI-Ric_SP'!$C:$AN,MID(AE$1,1,2),FALSE)</f>
        <v>0</v>
      </c>
      <c r="AF925" s="55">
        <f>VLOOKUP($E925,'NI-Ric_SP'!$C:$AN,MID(AF$1,1,2),FALSE)</f>
        <v>0</v>
      </c>
      <c r="AG925" s="55">
        <f>VLOOKUP($E925,'NI-Ric_SP'!$C:$AN,MID(AG$1,1,2),FALSE)</f>
        <v>0</v>
      </c>
      <c r="AH925" s="55">
        <f>VLOOKUP($E925,'NI-Ric_SP'!$C:$AN,MID(AH$1,1,2),FALSE)</f>
        <v>0</v>
      </c>
      <c r="AI925" s="55">
        <f>VLOOKUP($E925,'NI-Ric_SP'!$C:$AN,MID(AI$1,1,2),FALSE)</f>
        <v>0</v>
      </c>
      <c r="AJ925" s="55">
        <f>VLOOKUP($E925,'NI-Ric_SP'!$C:$AN,MID(AJ$1,1,2),FALSE)</f>
        <v>0</v>
      </c>
      <c r="AK925" s="55">
        <f>VLOOKUP($E925,'NI-Ric_SP'!$C:$AN,MID(AK$1,1,2),FALSE)</f>
        <v>0</v>
      </c>
      <c r="AL925" s="55">
        <f>VLOOKUP($E925,'NI-Ric_SP'!$C:$AN,MID(AL$1,1,2),FALSE)</f>
        <v>0</v>
      </c>
      <c r="AM925" s="56">
        <f>VLOOKUP($E925,'NI-Ric_SP'!$C:$AN,MID(AM$1,1,2),FALSE)</f>
        <v>0</v>
      </c>
      <c r="AN925" s="30" t="str">
        <f t="shared" si="14"/>
        <v>10206010000000</v>
      </c>
    </row>
    <row r="926" spans="3:40" x14ac:dyDescent="0.25">
      <c r="C926" s="40"/>
      <c r="D926" s="101" t="s">
        <v>777</v>
      </c>
      <c r="E926" s="101" t="s">
        <v>778</v>
      </c>
      <c r="F926" s="102" t="s">
        <v>2750</v>
      </c>
      <c r="G926" s="52"/>
      <c r="H926" s="52"/>
      <c r="I926" s="52"/>
      <c r="J926" s="52"/>
      <c r="K926" s="59" t="s">
        <v>79</v>
      </c>
      <c r="L926" s="52"/>
      <c r="M926" s="52"/>
      <c r="N926" s="52"/>
      <c r="O926" s="52"/>
      <c r="P926" s="76" t="s">
        <v>779</v>
      </c>
      <c r="Q926" s="55">
        <f>VLOOKUP(E926,'NI-Ric_SP'!$C:$AN,12,FALSE)</f>
        <v>0</v>
      </c>
      <c r="R926" s="55">
        <f>VLOOKUP(E926,'NI-Ric_SP'!$C:$AN,13,FALSE)</f>
        <v>0</v>
      </c>
      <c r="S926" s="55"/>
      <c r="T926" s="55"/>
      <c r="U926" s="55">
        <f>VLOOKUP($E926,'NI-Ric_SP'!$C:$AN,MID(U$1,1,2),FALSE)</f>
        <v>0</v>
      </c>
      <c r="V926" s="55">
        <f>VLOOKUP($E926,'NI-Ric_SP'!$C:$AN,MID(V$1,1,2),FALSE)</f>
        <v>0</v>
      </c>
      <c r="W926" s="55">
        <f>VLOOKUP($E926,'NI-Ric_SP'!$C:$AN,MID(W$1,1,2),FALSE)</f>
        <v>0</v>
      </c>
      <c r="X926" s="55">
        <f>VLOOKUP($E926,'NI-Ric_SP'!$C:$AN,MID(X$1,1,2),FALSE)</f>
        <v>0</v>
      </c>
      <c r="Y926" s="55">
        <f>VLOOKUP($E926,'NI-Ric_SP'!$C:$AN,MID(Y$1,1,2),FALSE)</f>
        <v>0</v>
      </c>
      <c r="Z926" s="55">
        <f>VLOOKUP($E926,'NI-Ric_SP'!$C:$AN,MID(Z$1,1,2),FALSE)</f>
        <v>0</v>
      </c>
      <c r="AA926" s="55">
        <f>VLOOKUP($E926,'NI-Ric_SP'!$C:$AN,MID(AA$1,1,2),FALSE)</f>
        <v>0</v>
      </c>
      <c r="AB926" s="55">
        <f>VLOOKUP($E926,'NI-Ric_SP'!$C:$AN,MID(AB$1,1,2),FALSE)</f>
        <v>0</v>
      </c>
      <c r="AC926" s="55">
        <f>VLOOKUP($E926,'NI-Ric_SP'!$C:$AN,MID(AC$1,1,2),FALSE)</f>
        <v>0</v>
      </c>
      <c r="AD926" s="55">
        <f>VLOOKUP($E926,'NI-Ric_SP'!$C:$AN,MID(AD$1,1,2),FALSE)</f>
        <v>0</v>
      </c>
      <c r="AE926" s="55">
        <f>VLOOKUP($E926,'NI-Ric_SP'!$C:$AN,MID(AE$1,1,2),FALSE)</f>
        <v>0</v>
      </c>
      <c r="AF926" s="55">
        <f>VLOOKUP($E926,'NI-Ric_SP'!$C:$AN,MID(AF$1,1,2),FALSE)</f>
        <v>0</v>
      </c>
      <c r="AG926" s="55">
        <f>VLOOKUP($E926,'NI-Ric_SP'!$C:$AN,MID(AG$1,1,2),FALSE)</f>
        <v>0</v>
      </c>
      <c r="AH926" s="55">
        <f>VLOOKUP($E926,'NI-Ric_SP'!$C:$AN,MID(AH$1,1,2),FALSE)</f>
        <v>0</v>
      </c>
      <c r="AI926" s="55">
        <f>VLOOKUP($E926,'NI-Ric_SP'!$C:$AN,MID(AI$1,1,2),FALSE)</f>
        <v>0</v>
      </c>
      <c r="AJ926" s="55">
        <f>VLOOKUP($E926,'NI-Ric_SP'!$C:$AN,MID(AJ$1,1,2),FALSE)</f>
        <v>0</v>
      </c>
      <c r="AK926" s="55">
        <f>VLOOKUP($E926,'NI-Ric_SP'!$C:$AN,MID(AK$1,1,2),FALSE)</f>
        <v>0</v>
      </c>
      <c r="AL926" s="55">
        <f>VLOOKUP($E926,'NI-Ric_SP'!$C:$AN,MID(AL$1,1,2),FALSE)</f>
        <v>0</v>
      </c>
      <c r="AM926" s="56">
        <f>VLOOKUP($E926,'NI-Ric_SP'!$C:$AN,MID(AM$1,1,2),FALSE)</f>
        <v>0</v>
      </c>
      <c r="AN926" s="30" t="str">
        <f t="shared" si="14"/>
        <v>10206010010010</v>
      </c>
    </row>
    <row r="927" spans="3:40" x14ac:dyDescent="0.25">
      <c r="C927" s="40"/>
      <c r="D927" s="101" t="s">
        <v>780</v>
      </c>
      <c r="E927" s="101" t="s">
        <v>781</v>
      </c>
      <c r="F927" s="102" t="s">
        <v>2750</v>
      </c>
      <c r="G927" s="52"/>
      <c r="H927" s="52"/>
      <c r="I927" s="52"/>
      <c r="J927" s="52"/>
      <c r="K927" s="59" t="s">
        <v>79</v>
      </c>
      <c r="L927" s="52"/>
      <c r="M927" s="52"/>
      <c r="N927" s="52"/>
      <c r="O927" s="52"/>
      <c r="P927" s="76" t="s">
        <v>782</v>
      </c>
      <c r="Q927" s="55">
        <f>VLOOKUP(E927,'NI-Ric_SP'!$C:$AN,12,FALSE)</f>
        <v>0</v>
      </c>
      <c r="R927" s="55">
        <f>VLOOKUP(E927,'NI-Ric_SP'!$C:$AN,13,FALSE)</f>
        <v>0</v>
      </c>
      <c r="S927" s="55"/>
      <c r="T927" s="55"/>
      <c r="U927" s="55">
        <f>VLOOKUP($E927,'NI-Ric_SP'!$C:$AN,MID(U$1,1,2),FALSE)</f>
        <v>0</v>
      </c>
      <c r="V927" s="55">
        <f>VLOOKUP($E927,'NI-Ric_SP'!$C:$AN,MID(V$1,1,2),FALSE)</f>
        <v>0</v>
      </c>
      <c r="W927" s="55">
        <f>VLOOKUP($E927,'NI-Ric_SP'!$C:$AN,MID(W$1,1,2),FALSE)</f>
        <v>0</v>
      </c>
      <c r="X927" s="55">
        <f>VLOOKUP($E927,'NI-Ric_SP'!$C:$AN,MID(X$1,1,2),FALSE)</f>
        <v>0</v>
      </c>
      <c r="Y927" s="55">
        <f>VLOOKUP($E927,'NI-Ric_SP'!$C:$AN,MID(Y$1,1,2),FALSE)</f>
        <v>0</v>
      </c>
      <c r="Z927" s="55">
        <f>VLOOKUP($E927,'NI-Ric_SP'!$C:$AN,MID(Z$1,1,2),FALSE)</f>
        <v>0</v>
      </c>
      <c r="AA927" s="55">
        <f>VLOOKUP($E927,'NI-Ric_SP'!$C:$AN,MID(AA$1,1,2),FALSE)</f>
        <v>0</v>
      </c>
      <c r="AB927" s="55">
        <f>VLOOKUP($E927,'NI-Ric_SP'!$C:$AN,MID(AB$1,1,2),FALSE)</f>
        <v>0</v>
      </c>
      <c r="AC927" s="55">
        <f>VLOOKUP($E927,'NI-Ric_SP'!$C:$AN,MID(AC$1,1,2),FALSE)</f>
        <v>0</v>
      </c>
      <c r="AD927" s="55">
        <f>VLOOKUP($E927,'NI-Ric_SP'!$C:$AN,MID(AD$1,1,2),FALSE)</f>
        <v>0</v>
      </c>
      <c r="AE927" s="55">
        <f>VLOOKUP($E927,'NI-Ric_SP'!$C:$AN,MID(AE$1,1,2),FALSE)</f>
        <v>0</v>
      </c>
      <c r="AF927" s="55">
        <f>VLOOKUP($E927,'NI-Ric_SP'!$C:$AN,MID(AF$1,1,2),FALSE)</f>
        <v>0</v>
      </c>
      <c r="AG927" s="55">
        <f>VLOOKUP($E927,'NI-Ric_SP'!$C:$AN,MID(AG$1,1,2),FALSE)</f>
        <v>0</v>
      </c>
      <c r="AH927" s="55">
        <f>VLOOKUP($E927,'NI-Ric_SP'!$C:$AN,MID(AH$1,1,2),FALSE)</f>
        <v>0</v>
      </c>
      <c r="AI927" s="55">
        <f>VLOOKUP($E927,'NI-Ric_SP'!$C:$AN,MID(AI$1,1,2),FALSE)</f>
        <v>0</v>
      </c>
      <c r="AJ927" s="55">
        <f>VLOOKUP($E927,'NI-Ric_SP'!$C:$AN,MID(AJ$1,1,2),FALSE)</f>
        <v>0</v>
      </c>
      <c r="AK927" s="55">
        <f>VLOOKUP($E927,'NI-Ric_SP'!$C:$AN,MID(AK$1,1,2),FALSE)</f>
        <v>0</v>
      </c>
      <c r="AL927" s="55">
        <f>VLOOKUP($E927,'NI-Ric_SP'!$C:$AN,MID(AL$1,1,2),FALSE)</f>
        <v>0</v>
      </c>
      <c r="AM927" s="56">
        <f>VLOOKUP($E927,'NI-Ric_SP'!$C:$AN,MID(AM$1,1,2),FALSE)</f>
        <v>0</v>
      </c>
      <c r="AN927" s="30" t="str">
        <f t="shared" si="14"/>
        <v>10206010010020</v>
      </c>
    </row>
    <row r="928" spans="3:40" x14ac:dyDescent="0.25">
      <c r="C928" s="40"/>
      <c r="D928" s="101" t="s">
        <v>783</v>
      </c>
      <c r="E928" s="101" t="s">
        <v>784</v>
      </c>
      <c r="F928" s="102" t="s">
        <v>2750</v>
      </c>
      <c r="G928" s="52"/>
      <c r="H928" s="52"/>
      <c r="I928" s="52"/>
      <c r="J928" s="52"/>
      <c r="K928" s="59" t="s">
        <v>79</v>
      </c>
      <c r="L928" s="52"/>
      <c r="M928" s="52"/>
      <c r="N928" s="52"/>
      <c r="O928" s="52"/>
      <c r="P928" s="76" t="s">
        <v>785</v>
      </c>
      <c r="Q928" s="55">
        <f>VLOOKUP(E928,'NI-Ric_SP'!$C:$AN,12,FALSE)</f>
        <v>0</v>
      </c>
      <c r="R928" s="55">
        <f>VLOOKUP(E928,'NI-Ric_SP'!$C:$AN,13,FALSE)</f>
        <v>0</v>
      </c>
      <c r="S928" s="55"/>
      <c r="T928" s="55"/>
      <c r="U928" s="55">
        <f>VLOOKUP($E928,'NI-Ric_SP'!$C:$AN,MID(U$1,1,2),FALSE)</f>
        <v>0</v>
      </c>
      <c r="V928" s="55">
        <f>VLOOKUP($E928,'NI-Ric_SP'!$C:$AN,MID(V$1,1,2),FALSE)</f>
        <v>0</v>
      </c>
      <c r="W928" s="55">
        <f>VLOOKUP($E928,'NI-Ric_SP'!$C:$AN,MID(W$1,1,2),FALSE)</f>
        <v>0</v>
      </c>
      <c r="X928" s="55">
        <f>VLOOKUP($E928,'NI-Ric_SP'!$C:$AN,MID(X$1,1,2),FALSE)</f>
        <v>0</v>
      </c>
      <c r="Y928" s="55">
        <f>VLOOKUP($E928,'NI-Ric_SP'!$C:$AN,MID(Y$1,1,2),FALSE)</f>
        <v>0</v>
      </c>
      <c r="Z928" s="55">
        <f>VLOOKUP($E928,'NI-Ric_SP'!$C:$AN,MID(Z$1,1,2),FALSE)</f>
        <v>0</v>
      </c>
      <c r="AA928" s="55">
        <f>VLOOKUP($E928,'NI-Ric_SP'!$C:$AN,MID(AA$1,1,2),FALSE)</f>
        <v>0</v>
      </c>
      <c r="AB928" s="55">
        <f>VLOOKUP($E928,'NI-Ric_SP'!$C:$AN,MID(AB$1,1,2),FALSE)</f>
        <v>0</v>
      </c>
      <c r="AC928" s="55">
        <f>VLOOKUP($E928,'NI-Ric_SP'!$C:$AN,MID(AC$1,1,2),FALSE)</f>
        <v>0</v>
      </c>
      <c r="AD928" s="55">
        <f>VLOOKUP($E928,'NI-Ric_SP'!$C:$AN,MID(AD$1,1,2),FALSE)</f>
        <v>0</v>
      </c>
      <c r="AE928" s="55">
        <f>VLOOKUP($E928,'NI-Ric_SP'!$C:$AN,MID(AE$1,1,2),FALSE)</f>
        <v>0</v>
      </c>
      <c r="AF928" s="55">
        <f>VLOOKUP($E928,'NI-Ric_SP'!$C:$AN,MID(AF$1,1,2),FALSE)</f>
        <v>0</v>
      </c>
      <c r="AG928" s="55">
        <f>VLOOKUP($E928,'NI-Ric_SP'!$C:$AN,MID(AG$1,1,2),FALSE)</f>
        <v>0</v>
      </c>
      <c r="AH928" s="55">
        <f>VLOOKUP($E928,'NI-Ric_SP'!$C:$AN,MID(AH$1,1,2),FALSE)</f>
        <v>0</v>
      </c>
      <c r="AI928" s="55">
        <f>VLOOKUP($E928,'NI-Ric_SP'!$C:$AN,MID(AI$1,1,2),FALSE)</f>
        <v>0</v>
      </c>
      <c r="AJ928" s="55">
        <f>VLOOKUP($E928,'NI-Ric_SP'!$C:$AN,MID(AJ$1,1,2),FALSE)</f>
        <v>0</v>
      </c>
      <c r="AK928" s="55">
        <f>VLOOKUP($E928,'NI-Ric_SP'!$C:$AN,MID(AK$1,1,2),FALSE)</f>
        <v>0</v>
      </c>
      <c r="AL928" s="55">
        <f>VLOOKUP($E928,'NI-Ric_SP'!$C:$AN,MID(AL$1,1,2),FALSE)</f>
        <v>0</v>
      </c>
      <c r="AM928" s="56">
        <f>VLOOKUP($E928,'NI-Ric_SP'!$C:$AN,MID(AM$1,1,2),FALSE)</f>
        <v>0</v>
      </c>
      <c r="AN928" s="30" t="str">
        <f t="shared" si="14"/>
        <v>10206010020010</v>
      </c>
    </row>
    <row r="929" spans="3:40" x14ac:dyDescent="0.25">
      <c r="C929" s="40"/>
      <c r="D929" s="101" t="s">
        <v>786</v>
      </c>
      <c r="E929" s="101" t="s">
        <v>787</v>
      </c>
      <c r="F929" s="102" t="s">
        <v>2750</v>
      </c>
      <c r="G929" s="52"/>
      <c r="H929" s="52"/>
      <c r="I929" s="52"/>
      <c r="J929" s="52"/>
      <c r="K929" s="59" t="s">
        <v>79</v>
      </c>
      <c r="L929" s="52"/>
      <c r="M929" s="52"/>
      <c r="N929" s="52"/>
      <c r="O929" s="52"/>
      <c r="P929" s="76" t="s">
        <v>788</v>
      </c>
      <c r="Q929" s="55">
        <f>VLOOKUP(E929,'NI-Ric_SP'!$C:$AN,12,FALSE)</f>
        <v>0</v>
      </c>
      <c r="R929" s="55">
        <f>VLOOKUP(E929,'NI-Ric_SP'!$C:$AN,13,FALSE)</f>
        <v>0</v>
      </c>
      <c r="S929" s="55"/>
      <c r="T929" s="55"/>
      <c r="U929" s="55">
        <f>VLOOKUP($E929,'NI-Ric_SP'!$C:$AN,MID(U$1,1,2),FALSE)</f>
        <v>0</v>
      </c>
      <c r="V929" s="55">
        <f>VLOOKUP($E929,'NI-Ric_SP'!$C:$AN,MID(V$1,1,2),FALSE)</f>
        <v>0</v>
      </c>
      <c r="W929" s="55">
        <f>VLOOKUP($E929,'NI-Ric_SP'!$C:$AN,MID(W$1,1,2),FALSE)</f>
        <v>0</v>
      </c>
      <c r="X929" s="55">
        <f>VLOOKUP($E929,'NI-Ric_SP'!$C:$AN,MID(X$1,1,2),FALSE)</f>
        <v>0</v>
      </c>
      <c r="Y929" s="55">
        <f>VLOOKUP($E929,'NI-Ric_SP'!$C:$AN,MID(Y$1,1,2),FALSE)</f>
        <v>0</v>
      </c>
      <c r="Z929" s="55">
        <f>VLOOKUP($E929,'NI-Ric_SP'!$C:$AN,MID(Z$1,1,2),FALSE)</f>
        <v>0</v>
      </c>
      <c r="AA929" s="55">
        <f>VLOOKUP($E929,'NI-Ric_SP'!$C:$AN,MID(AA$1,1,2),FALSE)</f>
        <v>0</v>
      </c>
      <c r="AB929" s="55">
        <f>VLOOKUP($E929,'NI-Ric_SP'!$C:$AN,MID(AB$1,1,2),FALSE)</f>
        <v>0</v>
      </c>
      <c r="AC929" s="55">
        <f>VLOOKUP($E929,'NI-Ric_SP'!$C:$AN,MID(AC$1,1,2),FALSE)</f>
        <v>0</v>
      </c>
      <c r="AD929" s="55">
        <f>VLOOKUP($E929,'NI-Ric_SP'!$C:$AN,MID(AD$1,1,2),FALSE)</f>
        <v>0</v>
      </c>
      <c r="AE929" s="55">
        <f>VLOOKUP($E929,'NI-Ric_SP'!$C:$AN,MID(AE$1,1,2),FALSE)</f>
        <v>0</v>
      </c>
      <c r="AF929" s="55">
        <f>VLOOKUP($E929,'NI-Ric_SP'!$C:$AN,MID(AF$1,1,2),FALSE)</f>
        <v>0</v>
      </c>
      <c r="AG929" s="55">
        <f>VLOOKUP($E929,'NI-Ric_SP'!$C:$AN,MID(AG$1,1,2),FALSE)</f>
        <v>0</v>
      </c>
      <c r="AH929" s="55">
        <f>VLOOKUP($E929,'NI-Ric_SP'!$C:$AN,MID(AH$1,1,2),FALSE)</f>
        <v>0</v>
      </c>
      <c r="AI929" s="55">
        <f>VLOOKUP($E929,'NI-Ric_SP'!$C:$AN,MID(AI$1,1,2),FALSE)</f>
        <v>0</v>
      </c>
      <c r="AJ929" s="55">
        <f>VLOOKUP($E929,'NI-Ric_SP'!$C:$AN,MID(AJ$1,1,2),FALSE)</f>
        <v>0</v>
      </c>
      <c r="AK929" s="55">
        <f>VLOOKUP($E929,'NI-Ric_SP'!$C:$AN,MID(AK$1,1,2),FALSE)</f>
        <v>0</v>
      </c>
      <c r="AL929" s="55">
        <f>VLOOKUP($E929,'NI-Ric_SP'!$C:$AN,MID(AL$1,1,2),FALSE)</f>
        <v>0</v>
      </c>
      <c r="AM929" s="56">
        <f>VLOOKUP($E929,'NI-Ric_SP'!$C:$AN,MID(AM$1,1,2),FALSE)</f>
        <v>0</v>
      </c>
      <c r="AN929" s="30" t="str">
        <f t="shared" si="14"/>
        <v>10206010020020</v>
      </c>
    </row>
    <row r="930" spans="3:40" x14ac:dyDescent="0.25">
      <c r="C930" s="40"/>
      <c r="D930" s="101" t="s">
        <v>789</v>
      </c>
      <c r="E930" s="101" t="s">
        <v>790</v>
      </c>
      <c r="F930" s="102" t="s">
        <v>2750</v>
      </c>
      <c r="G930" s="52"/>
      <c r="H930" s="52"/>
      <c r="I930" s="52"/>
      <c r="J930" s="52"/>
      <c r="K930" s="59" t="s">
        <v>79</v>
      </c>
      <c r="L930" s="52"/>
      <c r="M930" s="52"/>
      <c r="N930" s="52"/>
      <c r="O930" s="52"/>
      <c r="P930" s="76" t="s">
        <v>791</v>
      </c>
      <c r="Q930" s="55">
        <f>VLOOKUP(E930,'NI-Ric_SP'!$C:$AN,12,FALSE)</f>
        <v>0</v>
      </c>
      <c r="R930" s="55">
        <f>VLOOKUP(E930,'NI-Ric_SP'!$C:$AN,13,FALSE)</f>
        <v>0</v>
      </c>
      <c r="S930" s="55"/>
      <c r="T930" s="55"/>
      <c r="U930" s="55">
        <f>VLOOKUP($E930,'NI-Ric_SP'!$C:$AN,MID(U$1,1,2),FALSE)</f>
        <v>0</v>
      </c>
      <c r="V930" s="55">
        <f>VLOOKUP($E930,'NI-Ric_SP'!$C:$AN,MID(V$1,1,2),FALSE)</f>
        <v>0</v>
      </c>
      <c r="W930" s="55">
        <f>VLOOKUP($E930,'NI-Ric_SP'!$C:$AN,MID(W$1,1,2),FALSE)</f>
        <v>0</v>
      </c>
      <c r="X930" s="55">
        <f>VLOOKUP($E930,'NI-Ric_SP'!$C:$AN,MID(X$1,1,2),FALSE)</f>
        <v>0</v>
      </c>
      <c r="Y930" s="55">
        <f>VLOOKUP($E930,'NI-Ric_SP'!$C:$AN,MID(Y$1,1,2),FALSE)</f>
        <v>0</v>
      </c>
      <c r="Z930" s="55">
        <f>VLOOKUP($E930,'NI-Ric_SP'!$C:$AN,MID(Z$1,1,2),FALSE)</f>
        <v>0</v>
      </c>
      <c r="AA930" s="55">
        <f>VLOOKUP($E930,'NI-Ric_SP'!$C:$AN,MID(AA$1,1,2),FALSE)</f>
        <v>0</v>
      </c>
      <c r="AB930" s="55">
        <f>VLOOKUP($E930,'NI-Ric_SP'!$C:$AN,MID(AB$1,1,2),FALSE)</f>
        <v>0</v>
      </c>
      <c r="AC930" s="55">
        <f>VLOOKUP($E930,'NI-Ric_SP'!$C:$AN,MID(AC$1,1,2),FALSE)</f>
        <v>0</v>
      </c>
      <c r="AD930" s="55">
        <f>VLOOKUP($E930,'NI-Ric_SP'!$C:$AN,MID(AD$1,1,2),FALSE)</f>
        <v>0</v>
      </c>
      <c r="AE930" s="55">
        <f>VLOOKUP($E930,'NI-Ric_SP'!$C:$AN,MID(AE$1,1,2),FALSE)</f>
        <v>0</v>
      </c>
      <c r="AF930" s="55">
        <f>VLOOKUP($E930,'NI-Ric_SP'!$C:$AN,MID(AF$1,1,2),FALSE)</f>
        <v>0</v>
      </c>
      <c r="AG930" s="55">
        <f>VLOOKUP($E930,'NI-Ric_SP'!$C:$AN,MID(AG$1,1,2),FALSE)</f>
        <v>0</v>
      </c>
      <c r="AH930" s="55">
        <f>VLOOKUP($E930,'NI-Ric_SP'!$C:$AN,MID(AH$1,1,2),FALSE)</f>
        <v>0</v>
      </c>
      <c r="AI930" s="55">
        <f>VLOOKUP($E930,'NI-Ric_SP'!$C:$AN,MID(AI$1,1,2),FALSE)</f>
        <v>0</v>
      </c>
      <c r="AJ930" s="55">
        <f>VLOOKUP($E930,'NI-Ric_SP'!$C:$AN,MID(AJ$1,1,2),FALSE)</f>
        <v>0</v>
      </c>
      <c r="AK930" s="55">
        <f>VLOOKUP($E930,'NI-Ric_SP'!$C:$AN,MID(AK$1,1,2),FALSE)</f>
        <v>0</v>
      </c>
      <c r="AL930" s="55">
        <f>VLOOKUP($E930,'NI-Ric_SP'!$C:$AN,MID(AL$1,1,2),FALSE)</f>
        <v>0</v>
      </c>
      <c r="AM930" s="56">
        <f>VLOOKUP($E930,'NI-Ric_SP'!$C:$AN,MID(AM$1,1,2),FALSE)</f>
        <v>0</v>
      </c>
      <c r="AN930" s="30" t="str">
        <f t="shared" si="14"/>
        <v>10206010030010</v>
      </c>
    </row>
    <row r="931" spans="3:40" x14ac:dyDescent="0.25">
      <c r="C931" s="40"/>
      <c r="D931" s="101" t="s">
        <v>792</v>
      </c>
      <c r="E931" s="101" t="s">
        <v>793</v>
      </c>
      <c r="F931" s="102" t="s">
        <v>2750</v>
      </c>
      <c r="G931" s="52"/>
      <c r="H931" s="52"/>
      <c r="I931" s="52"/>
      <c r="J931" s="52"/>
      <c r="K931" s="59" t="s">
        <v>79</v>
      </c>
      <c r="L931" s="52"/>
      <c r="M931" s="52"/>
      <c r="N931" s="52"/>
      <c r="O931" s="52"/>
      <c r="P931" s="76" t="s">
        <v>794</v>
      </c>
      <c r="Q931" s="55">
        <f>VLOOKUP(E931,'NI-Ric_SP'!$C:$AN,12,FALSE)</f>
        <v>0</v>
      </c>
      <c r="R931" s="55">
        <f>VLOOKUP(E931,'NI-Ric_SP'!$C:$AN,13,FALSE)</f>
        <v>0</v>
      </c>
      <c r="S931" s="55"/>
      <c r="T931" s="55"/>
      <c r="U931" s="55">
        <f>VLOOKUP($E931,'NI-Ric_SP'!$C:$AN,MID(U$1,1,2),FALSE)</f>
        <v>0</v>
      </c>
      <c r="V931" s="55">
        <f>VLOOKUP($E931,'NI-Ric_SP'!$C:$AN,MID(V$1,1,2),FALSE)</f>
        <v>0</v>
      </c>
      <c r="W931" s="55">
        <f>VLOOKUP($E931,'NI-Ric_SP'!$C:$AN,MID(W$1,1,2),FALSE)</f>
        <v>0</v>
      </c>
      <c r="X931" s="55">
        <f>VLOOKUP($E931,'NI-Ric_SP'!$C:$AN,MID(X$1,1,2),FALSE)</f>
        <v>0</v>
      </c>
      <c r="Y931" s="55">
        <f>VLOOKUP($E931,'NI-Ric_SP'!$C:$AN,MID(Y$1,1,2),FALSE)</f>
        <v>0</v>
      </c>
      <c r="Z931" s="55">
        <f>VLOOKUP($E931,'NI-Ric_SP'!$C:$AN,MID(Z$1,1,2),FALSE)</f>
        <v>0</v>
      </c>
      <c r="AA931" s="55">
        <f>VLOOKUP($E931,'NI-Ric_SP'!$C:$AN,MID(AA$1,1,2),FALSE)</f>
        <v>0</v>
      </c>
      <c r="AB931" s="55">
        <f>VLOOKUP($E931,'NI-Ric_SP'!$C:$AN,MID(AB$1,1,2),FALSE)</f>
        <v>0</v>
      </c>
      <c r="AC931" s="55">
        <f>VLOOKUP($E931,'NI-Ric_SP'!$C:$AN,MID(AC$1,1,2),FALSE)</f>
        <v>0</v>
      </c>
      <c r="AD931" s="55">
        <f>VLOOKUP($E931,'NI-Ric_SP'!$C:$AN,MID(AD$1,1,2),FALSE)</f>
        <v>0</v>
      </c>
      <c r="AE931" s="55">
        <f>VLOOKUP($E931,'NI-Ric_SP'!$C:$AN,MID(AE$1,1,2),FALSE)</f>
        <v>0</v>
      </c>
      <c r="AF931" s="55">
        <f>VLOOKUP($E931,'NI-Ric_SP'!$C:$AN,MID(AF$1,1,2),FALSE)</f>
        <v>0</v>
      </c>
      <c r="AG931" s="55">
        <f>VLOOKUP($E931,'NI-Ric_SP'!$C:$AN,MID(AG$1,1,2),FALSE)</f>
        <v>0</v>
      </c>
      <c r="AH931" s="55">
        <f>VLOOKUP($E931,'NI-Ric_SP'!$C:$AN,MID(AH$1,1,2),FALSE)</f>
        <v>0</v>
      </c>
      <c r="AI931" s="55">
        <f>VLOOKUP($E931,'NI-Ric_SP'!$C:$AN,MID(AI$1,1,2),FALSE)</f>
        <v>0</v>
      </c>
      <c r="AJ931" s="55">
        <f>VLOOKUP($E931,'NI-Ric_SP'!$C:$AN,MID(AJ$1,1,2),FALSE)</f>
        <v>0</v>
      </c>
      <c r="AK931" s="55">
        <f>VLOOKUP($E931,'NI-Ric_SP'!$C:$AN,MID(AK$1,1,2),FALSE)</f>
        <v>0</v>
      </c>
      <c r="AL931" s="55">
        <f>VLOOKUP($E931,'NI-Ric_SP'!$C:$AN,MID(AL$1,1,2),FALSE)</f>
        <v>0</v>
      </c>
      <c r="AM931" s="56">
        <f>VLOOKUP($E931,'NI-Ric_SP'!$C:$AN,MID(AM$1,1,2),FALSE)</f>
        <v>0</v>
      </c>
      <c r="AN931" s="30" t="str">
        <f t="shared" si="14"/>
        <v>10206010030020</v>
      </c>
    </row>
    <row r="932" spans="3:40" x14ac:dyDescent="0.25">
      <c r="C932" s="40"/>
      <c r="D932" s="101" t="s">
        <v>795</v>
      </c>
      <c r="E932" s="101" t="s">
        <v>796</v>
      </c>
      <c r="F932" s="102" t="s">
        <v>2750</v>
      </c>
      <c r="G932" s="52"/>
      <c r="H932" s="52"/>
      <c r="I932" s="52"/>
      <c r="J932" s="52"/>
      <c r="K932" s="59" t="s">
        <v>79</v>
      </c>
      <c r="L932" s="52"/>
      <c r="M932" s="52"/>
      <c r="N932" s="52"/>
      <c r="O932" s="52"/>
      <c r="P932" s="76" t="s">
        <v>797</v>
      </c>
      <c r="Q932" s="55">
        <f>VLOOKUP(E932,'NI-Ric_SP'!$C:$AN,12,FALSE)</f>
        <v>0</v>
      </c>
      <c r="R932" s="55">
        <f>VLOOKUP(E932,'NI-Ric_SP'!$C:$AN,13,FALSE)</f>
        <v>0</v>
      </c>
      <c r="S932" s="55"/>
      <c r="T932" s="55"/>
      <c r="U932" s="55">
        <f>VLOOKUP($E932,'NI-Ric_SP'!$C:$AN,MID(U$1,1,2),FALSE)</f>
        <v>0</v>
      </c>
      <c r="V932" s="55">
        <f>VLOOKUP($E932,'NI-Ric_SP'!$C:$AN,MID(V$1,1,2),FALSE)</f>
        <v>0</v>
      </c>
      <c r="W932" s="55">
        <f>VLOOKUP($E932,'NI-Ric_SP'!$C:$AN,MID(W$1,1,2),FALSE)</f>
        <v>0</v>
      </c>
      <c r="X932" s="55">
        <f>VLOOKUP($E932,'NI-Ric_SP'!$C:$AN,MID(X$1,1,2),FALSE)</f>
        <v>0</v>
      </c>
      <c r="Y932" s="55">
        <f>VLOOKUP($E932,'NI-Ric_SP'!$C:$AN,MID(Y$1,1,2),FALSE)</f>
        <v>0</v>
      </c>
      <c r="Z932" s="55">
        <f>VLOOKUP($E932,'NI-Ric_SP'!$C:$AN,MID(Z$1,1,2),FALSE)</f>
        <v>0</v>
      </c>
      <c r="AA932" s="55">
        <f>VLOOKUP($E932,'NI-Ric_SP'!$C:$AN,MID(AA$1,1,2),FALSE)</f>
        <v>0</v>
      </c>
      <c r="AB932" s="55">
        <f>VLOOKUP($E932,'NI-Ric_SP'!$C:$AN,MID(AB$1,1,2),FALSE)</f>
        <v>0</v>
      </c>
      <c r="AC932" s="55">
        <f>VLOOKUP($E932,'NI-Ric_SP'!$C:$AN,MID(AC$1,1,2),FALSE)</f>
        <v>0</v>
      </c>
      <c r="AD932" s="55">
        <f>VLOOKUP($E932,'NI-Ric_SP'!$C:$AN,MID(AD$1,1,2),FALSE)</f>
        <v>0</v>
      </c>
      <c r="AE932" s="55">
        <f>VLOOKUP($E932,'NI-Ric_SP'!$C:$AN,MID(AE$1,1,2),FALSE)</f>
        <v>0</v>
      </c>
      <c r="AF932" s="55">
        <f>VLOOKUP($E932,'NI-Ric_SP'!$C:$AN,MID(AF$1,1,2),FALSE)</f>
        <v>0</v>
      </c>
      <c r="AG932" s="55">
        <f>VLOOKUP($E932,'NI-Ric_SP'!$C:$AN,MID(AG$1,1,2),FALSE)</f>
        <v>0</v>
      </c>
      <c r="AH932" s="55">
        <f>VLOOKUP($E932,'NI-Ric_SP'!$C:$AN,MID(AH$1,1,2),FALSE)</f>
        <v>0</v>
      </c>
      <c r="AI932" s="55">
        <f>VLOOKUP($E932,'NI-Ric_SP'!$C:$AN,MID(AI$1,1,2),FALSE)</f>
        <v>0</v>
      </c>
      <c r="AJ932" s="55">
        <f>VLOOKUP($E932,'NI-Ric_SP'!$C:$AN,MID(AJ$1,1,2),FALSE)</f>
        <v>0</v>
      </c>
      <c r="AK932" s="55">
        <f>VLOOKUP($E932,'NI-Ric_SP'!$C:$AN,MID(AK$1,1,2),FALSE)</f>
        <v>0</v>
      </c>
      <c r="AL932" s="55">
        <f>VLOOKUP($E932,'NI-Ric_SP'!$C:$AN,MID(AL$1,1,2),FALSE)</f>
        <v>0</v>
      </c>
      <c r="AM932" s="56">
        <f>VLOOKUP($E932,'NI-Ric_SP'!$C:$AN,MID(AM$1,1,2),FALSE)</f>
        <v>0</v>
      </c>
      <c r="AN932" s="30" t="str">
        <f t="shared" si="14"/>
        <v>10206010040010</v>
      </c>
    </row>
    <row r="933" spans="3:40" x14ac:dyDescent="0.25">
      <c r="C933" s="40"/>
      <c r="D933" s="101" t="s">
        <v>798</v>
      </c>
      <c r="E933" s="101" t="s">
        <v>799</v>
      </c>
      <c r="F933" s="102" t="s">
        <v>2750</v>
      </c>
      <c r="G933" s="52"/>
      <c r="H933" s="52"/>
      <c r="I933" s="52"/>
      <c r="J933" s="52"/>
      <c r="K933" s="59" t="s">
        <v>79</v>
      </c>
      <c r="L933" s="52"/>
      <c r="M933" s="52"/>
      <c r="N933" s="52"/>
      <c r="O933" s="52"/>
      <c r="P933" s="76" t="s">
        <v>800</v>
      </c>
      <c r="Q933" s="55">
        <f>VLOOKUP(E933,'NI-Ric_SP'!$C:$AN,12,FALSE)</f>
        <v>0</v>
      </c>
      <c r="R933" s="55">
        <f>VLOOKUP(E933,'NI-Ric_SP'!$C:$AN,13,FALSE)</f>
        <v>0</v>
      </c>
      <c r="S933" s="55"/>
      <c r="T933" s="55"/>
      <c r="U933" s="55">
        <f>VLOOKUP($E933,'NI-Ric_SP'!$C:$AN,MID(U$1,1,2),FALSE)</f>
        <v>0</v>
      </c>
      <c r="V933" s="55">
        <f>VLOOKUP($E933,'NI-Ric_SP'!$C:$AN,MID(V$1,1,2),FALSE)</f>
        <v>0</v>
      </c>
      <c r="W933" s="55">
        <f>VLOOKUP($E933,'NI-Ric_SP'!$C:$AN,MID(W$1,1,2),FALSE)</f>
        <v>0</v>
      </c>
      <c r="X933" s="55">
        <f>VLOOKUP($E933,'NI-Ric_SP'!$C:$AN,MID(X$1,1,2),FALSE)</f>
        <v>0</v>
      </c>
      <c r="Y933" s="55">
        <f>VLOOKUP($E933,'NI-Ric_SP'!$C:$AN,MID(Y$1,1,2),FALSE)</f>
        <v>0</v>
      </c>
      <c r="Z933" s="55">
        <f>VLOOKUP($E933,'NI-Ric_SP'!$C:$AN,MID(Z$1,1,2),FALSE)</f>
        <v>0</v>
      </c>
      <c r="AA933" s="55">
        <f>VLOOKUP($E933,'NI-Ric_SP'!$C:$AN,MID(AA$1,1,2),FALSE)</f>
        <v>0</v>
      </c>
      <c r="AB933" s="55">
        <f>VLOOKUP($E933,'NI-Ric_SP'!$C:$AN,MID(AB$1,1,2),FALSE)</f>
        <v>0</v>
      </c>
      <c r="AC933" s="55">
        <f>VLOOKUP($E933,'NI-Ric_SP'!$C:$AN,MID(AC$1,1,2),FALSE)</f>
        <v>0</v>
      </c>
      <c r="AD933" s="55">
        <f>VLOOKUP($E933,'NI-Ric_SP'!$C:$AN,MID(AD$1,1,2),FALSE)</f>
        <v>0</v>
      </c>
      <c r="AE933" s="55">
        <f>VLOOKUP($E933,'NI-Ric_SP'!$C:$AN,MID(AE$1,1,2),FALSE)</f>
        <v>0</v>
      </c>
      <c r="AF933" s="55">
        <f>VLOOKUP($E933,'NI-Ric_SP'!$C:$AN,MID(AF$1,1,2),FALSE)</f>
        <v>0</v>
      </c>
      <c r="AG933" s="55">
        <f>VLOOKUP($E933,'NI-Ric_SP'!$C:$AN,MID(AG$1,1,2),FALSE)</f>
        <v>0</v>
      </c>
      <c r="AH933" s="55">
        <f>VLOOKUP($E933,'NI-Ric_SP'!$C:$AN,MID(AH$1,1,2),FALSE)</f>
        <v>0</v>
      </c>
      <c r="AI933" s="55">
        <f>VLOOKUP($E933,'NI-Ric_SP'!$C:$AN,MID(AI$1,1,2),FALSE)</f>
        <v>0</v>
      </c>
      <c r="AJ933" s="55">
        <f>VLOOKUP($E933,'NI-Ric_SP'!$C:$AN,MID(AJ$1,1,2),FALSE)</f>
        <v>0</v>
      </c>
      <c r="AK933" s="55">
        <f>VLOOKUP($E933,'NI-Ric_SP'!$C:$AN,MID(AK$1,1,2),FALSE)</f>
        <v>0</v>
      </c>
      <c r="AL933" s="55">
        <f>VLOOKUP($E933,'NI-Ric_SP'!$C:$AN,MID(AL$1,1,2),FALSE)</f>
        <v>0</v>
      </c>
      <c r="AM933" s="56">
        <f>VLOOKUP($E933,'NI-Ric_SP'!$C:$AN,MID(AM$1,1,2),FALSE)</f>
        <v>0</v>
      </c>
      <c r="AN933" s="30" t="str">
        <f t="shared" si="14"/>
        <v>10206010040020</v>
      </c>
    </row>
    <row r="934" spans="3:40" x14ac:dyDescent="0.25">
      <c r="C934" s="40"/>
      <c r="D934" s="101" t="s">
        <v>801</v>
      </c>
      <c r="E934" s="101" t="s">
        <v>802</v>
      </c>
      <c r="F934" s="102" t="s">
        <v>2750</v>
      </c>
      <c r="G934" s="52"/>
      <c r="H934" s="52"/>
      <c r="I934" s="52"/>
      <c r="J934" s="52"/>
      <c r="K934" s="59" t="s">
        <v>79</v>
      </c>
      <c r="L934" s="52"/>
      <c r="M934" s="52"/>
      <c r="N934" s="52"/>
      <c r="O934" s="52"/>
      <c r="P934" s="76" t="s">
        <v>803</v>
      </c>
      <c r="Q934" s="55">
        <f>VLOOKUP(E934,'NI-Ric_SP'!$C:$AN,12,FALSE)</f>
        <v>0</v>
      </c>
      <c r="R934" s="55">
        <f>VLOOKUP(E934,'NI-Ric_SP'!$C:$AN,13,FALSE)</f>
        <v>0</v>
      </c>
      <c r="S934" s="55"/>
      <c r="T934" s="55"/>
      <c r="U934" s="55">
        <f>VLOOKUP($E934,'NI-Ric_SP'!$C:$AN,MID(U$1,1,2),FALSE)</f>
        <v>0</v>
      </c>
      <c r="V934" s="55">
        <f>VLOOKUP($E934,'NI-Ric_SP'!$C:$AN,MID(V$1,1,2),FALSE)</f>
        <v>0</v>
      </c>
      <c r="W934" s="55">
        <f>VLOOKUP($E934,'NI-Ric_SP'!$C:$AN,MID(W$1,1,2),FALSE)</f>
        <v>0</v>
      </c>
      <c r="X934" s="55">
        <f>VLOOKUP($E934,'NI-Ric_SP'!$C:$AN,MID(X$1,1,2),FALSE)</f>
        <v>0</v>
      </c>
      <c r="Y934" s="55">
        <f>VLOOKUP($E934,'NI-Ric_SP'!$C:$AN,MID(Y$1,1,2),FALSE)</f>
        <v>0</v>
      </c>
      <c r="Z934" s="55">
        <f>VLOOKUP($E934,'NI-Ric_SP'!$C:$AN,MID(Z$1,1,2),FALSE)</f>
        <v>0</v>
      </c>
      <c r="AA934" s="55">
        <f>VLOOKUP($E934,'NI-Ric_SP'!$C:$AN,MID(AA$1,1,2),FALSE)</f>
        <v>0</v>
      </c>
      <c r="AB934" s="55">
        <f>VLOOKUP($E934,'NI-Ric_SP'!$C:$AN,MID(AB$1,1,2),FALSE)</f>
        <v>0</v>
      </c>
      <c r="AC934" s="55">
        <f>VLOOKUP($E934,'NI-Ric_SP'!$C:$AN,MID(AC$1,1,2),FALSE)</f>
        <v>0</v>
      </c>
      <c r="AD934" s="55">
        <f>VLOOKUP($E934,'NI-Ric_SP'!$C:$AN,MID(AD$1,1,2),FALSE)</f>
        <v>0</v>
      </c>
      <c r="AE934" s="55">
        <f>VLOOKUP($E934,'NI-Ric_SP'!$C:$AN,MID(AE$1,1,2),FALSE)</f>
        <v>0</v>
      </c>
      <c r="AF934" s="55">
        <f>VLOOKUP($E934,'NI-Ric_SP'!$C:$AN,MID(AF$1,1,2),FALSE)</f>
        <v>0</v>
      </c>
      <c r="AG934" s="55">
        <f>VLOOKUP($E934,'NI-Ric_SP'!$C:$AN,MID(AG$1,1,2),FALSE)</f>
        <v>0</v>
      </c>
      <c r="AH934" s="55">
        <f>VLOOKUP($E934,'NI-Ric_SP'!$C:$AN,MID(AH$1,1,2),FALSE)</f>
        <v>0</v>
      </c>
      <c r="AI934" s="55">
        <f>VLOOKUP($E934,'NI-Ric_SP'!$C:$AN,MID(AI$1,1,2),FALSE)</f>
        <v>0</v>
      </c>
      <c r="AJ934" s="55">
        <f>VLOOKUP($E934,'NI-Ric_SP'!$C:$AN,MID(AJ$1,1,2),FALSE)</f>
        <v>0</v>
      </c>
      <c r="AK934" s="55">
        <f>VLOOKUP($E934,'NI-Ric_SP'!$C:$AN,MID(AK$1,1,2),FALSE)</f>
        <v>0</v>
      </c>
      <c r="AL934" s="55">
        <f>VLOOKUP($E934,'NI-Ric_SP'!$C:$AN,MID(AL$1,1,2),FALSE)</f>
        <v>0</v>
      </c>
      <c r="AM934" s="56">
        <f>VLOOKUP($E934,'NI-Ric_SP'!$C:$AN,MID(AM$1,1,2),FALSE)</f>
        <v>0</v>
      </c>
      <c r="AN934" s="30" t="str">
        <f t="shared" si="14"/>
        <v>10206010050010</v>
      </c>
    </row>
    <row r="935" spans="3:40" x14ac:dyDescent="0.25">
      <c r="C935" s="40"/>
      <c r="D935" s="101" t="s">
        <v>804</v>
      </c>
      <c r="E935" s="101" t="s">
        <v>805</v>
      </c>
      <c r="F935" s="102" t="s">
        <v>2750</v>
      </c>
      <c r="G935" s="52"/>
      <c r="H935" s="52"/>
      <c r="I935" s="52"/>
      <c r="J935" s="52"/>
      <c r="K935" s="59" t="s">
        <v>79</v>
      </c>
      <c r="L935" s="52"/>
      <c r="M935" s="52"/>
      <c r="N935" s="52"/>
      <c r="O935" s="52"/>
      <c r="P935" s="76" t="s">
        <v>806</v>
      </c>
      <c r="Q935" s="55">
        <f>VLOOKUP(E935,'NI-Ric_SP'!$C:$AN,12,FALSE)</f>
        <v>0</v>
      </c>
      <c r="R935" s="55">
        <f>VLOOKUP(E935,'NI-Ric_SP'!$C:$AN,13,FALSE)</f>
        <v>0</v>
      </c>
      <c r="S935" s="55"/>
      <c r="T935" s="55"/>
      <c r="U935" s="55">
        <f>VLOOKUP($E935,'NI-Ric_SP'!$C:$AN,MID(U$1,1,2),FALSE)</f>
        <v>0</v>
      </c>
      <c r="V935" s="55">
        <f>VLOOKUP($E935,'NI-Ric_SP'!$C:$AN,MID(V$1,1,2),FALSE)</f>
        <v>0</v>
      </c>
      <c r="W935" s="55">
        <f>VLOOKUP($E935,'NI-Ric_SP'!$C:$AN,MID(W$1,1,2),FALSE)</f>
        <v>0</v>
      </c>
      <c r="X935" s="55">
        <f>VLOOKUP($E935,'NI-Ric_SP'!$C:$AN,MID(X$1,1,2),FALSE)</f>
        <v>0</v>
      </c>
      <c r="Y935" s="55">
        <f>VLOOKUP($E935,'NI-Ric_SP'!$C:$AN,MID(Y$1,1,2),FALSE)</f>
        <v>0</v>
      </c>
      <c r="Z935" s="55">
        <f>VLOOKUP($E935,'NI-Ric_SP'!$C:$AN,MID(Z$1,1,2),FALSE)</f>
        <v>0</v>
      </c>
      <c r="AA935" s="55">
        <f>VLOOKUP($E935,'NI-Ric_SP'!$C:$AN,MID(AA$1,1,2),FALSE)</f>
        <v>0</v>
      </c>
      <c r="AB935" s="55">
        <f>VLOOKUP($E935,'NI-Ric_SP'!$C:$AN,MID(AB$1,1,2),FALSE)</f>
        <v>0</v>
      </c>
      <c r="AC935" s="55">
        <f>VLOOKUP($E935,'NI-Ric_SP'!$C:$AN,MID(AC$1,1,2),FALSE)</f>
        <v>0</v>
      </c>
      <c r="AD935" s="55">
        <f>VLOOKUP($E935,'NI-Ric_SP'!$C:$AN,MID(AD$1,1,2),FALSE)</f>
        <v>0</v>
      </c>
      <c r="AE935" s="55">
        <f>VLOOKUP($E935,'NI-Ric_SP'!$C:$AN,MID(AE$1,1,2),FALSE)</f>
        <v>0</v>
      </c>
      <c r="AF935" s="55">
        <f>VLOOKUP($E935,'NI-Ric_SP'!$C:$AN,MID(AF$1,1,2),FALSE)</f>
        <v>0</v>
      </c>
      <c r="AG935" s="55">
        <f>VLOOKUP($E935,'NI-Ric_SP'!$C:$AN,MID(AG$1,1,2),FALSE)</f>
        <v>0</v>
      </c>
      <c r="AH935" s="55">
        <f>VLOOKUP($E935,'NI-Ric_SP'!$C:$AN,MID(AH$1,1,2),FALSE)</f>
        <v>0</v>
      </c>
      <c r="AI935" s="55">
        <f>VLOOKUP($E935,'NI-Ric_SP'!$C:$AN,MID(AI$1,1,2),FALSE)</f>
        <v>0</v>
      </c>
      <c r="AJ935" s="55">
        <f>VLOOKUP($E935,'NI-Ric_SP'!$C:$AN,MID(AJ$1,1,2),FALSE)</f>
        <v>0</v>
      </c>
      <c r="AK935" s="55">
        <f>VLOOKUP($E935,'NI-Ric_SP'!$C:$AN,MID(AK$1,1,2),FALSE)</f>
        <v>0</v>
      </c>
      <c r="AL935" s="55">
        <f>VLOOKUP($E935,'NI-Ric_SP'!$C:$AN,MID(AL$1,1,2),FALSE)</f>
        <v>0</v>
      </c>
      <c r="AM935" s="56">
        <f>VLOOKUP($E935,'NI-Ric_SP'!$C:$AN,MID(AM$1,1,2),FALSE)</f>
        <v>0</v>
      </c>
      <c r="AN935" s="30" t="str">
        <f t="shared" si="14"/>
        <v>10206010050020</v>
      </c>
    </row>
    <row r="936" spans="3:40" x14ac:dyDescent="0.25">
      <c r="C936" s="40"/>
      <c r="D936" s="101" t="s">
        <v>807</v>
      </c>
      <c r="E936" s="101" t="s">
        <v>808</v>
      </c>
      <c r="F936" s="102" t="s">
        <v>2750</v>
      </c>
      <c r="G936" s="52"/>
      <c r="H936" s="52"/>
      <c r="I936" s="52" t="s">
        <v>809</v>
      </c>
      <c r="J936" s="52" t="s">
        <v>809</v>
      </c>
      <c r="K936" s="59" t="s">
        <v>111</v>
      </c>
      <c r="L936" s="62" t="s">
        <v>810</v>
      </c>
      <c r="M936" s="52"/>
      <c r="N936" s="52"/>
      <c r="O936" s="52"/>
      <c r="P936" s="76" t="s">
        <v>811</v>
      </c>
      <c r="Q936" s="55">
        <f>VLOOKUP(E936,'NI-Ric_SP'!$C:$AN,12,FALSE)</f>
        <v>0</v>
      </c>
      <c r="R936" s="55">
        <f>VLOOKUP(E936,'NI-Ric_SP'!$C:$AN,13,FALSE)</f>
        <v>0</v>
      </c>
      <c r="S936" s="55"/>
      <c r="T936" s="55"/>
      <c r="U936" s="55">
        <f>VLOOKUP($E936,'NI-Ric_SP'!$C:$AN,MID(U$1,1,2),FALSE)</f>
        <v>0</v>
      </c>
      <c r="V936" s="55">
        <f>VLOOKUP($E936,'NI-Ric_SP'!$C:$AN,MID(V$1,1,2),FALSE)</f>
        <v>0</v>
      </c>
      <c r="W936" s="55">
        <f>VLOOKUP($E936,'NI-Ric_SP'!$C:$AN,MID(W$1,1,2),FALSE)</f>
        <v>0</v>
      </c>
      <c r="X936" s="55">
        <f>VLOOKUP($E936,'NI-Ric_SP'!$C:$AN,MID(X$1,1,2),FALSE)</f>
        <v>0</v>
      </c>
      <c r="Y936" s="55">
        <f>VLOOKUP($E936,'NI-Ric_SP'!$C:$AN,MID(Y$1,1,2),FALSE)</f>
        <v>0</v>
      </c>
      <c r="Z936" s="55">
        <f>VLOOKUP($E936,'NI-Ric_SP'!$C:$AN,MID(Z$1,1,2),FALSE)</f>
        <v>0</v>
      </c>
      <c r="AA936" s="55">
        <f>VLOOKUP($E936,'NI-Ric_SP'!$C:$AN,MID(AA$1,1,2),FALSE)</f>
        <v>0</v>
      </c>
      <c r="AB936" s="55">
        <f>VLOOKUP($E936,'NI-Ric_SP'!$C:$AN,MID(AB$1,1,2),FALSE)</f>
        <v>0</v>
      </c>
      <c r="AC936" s="55">
        <f>VLOOKUP($E936,'NI-Ric_SP'!$C:$AN,MID(AC$1,1,2),FALSE)</f>
        <v>0</v>
      </c>
      <c r="AD936" s="55">
        <f>VLOOKUP($E936,'NI-Ric_SP'!$C:$AN,MID(AD$1,1,2),FALSE)</f>
        <v>0</v>
      </c>
      <c r="AE936" s="55">
        <f>VLOOKUP($E936,'NI-Ric_SP'!$C:$AN,MID(AE$1,1,2),FALSE)</f>
        <v>0</v>
      </c>
      <c r="AF936" s="55">
        <f>VLOOKUP($E936,'NI-Ric_SP'!$C:$AN,MID(AF$1,1,2),FALSE)</f>
        <v>0</v>
      </c>
      <c r="AG936" s="55">
        <f>VLOOKUP($E936,'NI-Ric_SP'!$C:$AN,MID(AG$1,1,2),FALSE)</f>
        <v>0</v>
      </c>
      <c r="AH936" s="55">
        <f>VLOOKUP($E936,'NI-Ric_SP'!$C:$AN,MID(AH$1,1,2),FALSE)</f>
        <v>0</v>
      </c>
      <c r="AI936" s="55">
        <f>VLOOKUP($E936,'NI-Ric_SP'!$C:$AN,MID(AI$1,1,2),FALSE)</f>
        <v>0</v>
      </c>
      <c r="AJ936" s="55">
        <f>VLOOKUP($E936,'NI-Ric_SP'!$C:$AN,MID(AJ$1,1,2),FALSE)</f>
        <v>0</v>
      </c>
      <c r="AK936" s="55">
        <f>VLOOKUP($E936,'NI-Ric_SP'!$C:$AN,MID(AK$1,1,2),FALSE)</f>
        <v>0</v>
      </c>
      <c r="AL936" s="55">
        <f>VLOOKUP($E936,'NI-Ric_SP'!$C:$AN,MID(AL$1,1,2),FALSE)</f>
        <v>0</v>
      </c>
      <c r="AM936" s="56">
        <f>VLOOKUP($E936,'NI-Ric_SP'!$C:$AN,MID(AM$1,1,2),FALSE)</f>
        <v>0</v>
      </c>
      <c r="AN936" s="30" t="str">
        <f t="shared" si="14"/>
        <v>10206020000000</v>
      </c>
    </row>
    <row r="937" spans="3:40" x14ac:dyDescent="0.25">
      <c r="C937" s="40"/>
      <c r="D937" s="101" t="s">
        <v>812</v>
      </c>
      <c r="E937" s="101" t="s">
        <v>813</v>
      </c>
      <c r="F937" s="102" t="s">
        <v>2750</v>
      </c>
      <c r="G937" s="52"/>
      <c r="H937" s="52"/>
      <c r="I937" s="52"/>
      <c r="J937" s="52"/>
      <c r="K937" s="59" t="s">
        <v>79</v>
      </c>
      <c r="L937" s="52"/>
      <c r="M937" s="52"/>
      <c r="N937" s="52"/>
      <c r="O937" s="52"/>
      <c r="P937" s="76" t="s">
        <v>814</v>
      </c>
      <c r="Q937" s="55">
        <f>VLOOKUP(E937,'NI-Ric_SP'!$C:$AN,12,FALSE)</f>
        <v>0</v>
      </c>
      <c r="R937" s="55">
        <f>VLOOKUP(E937,'NI-Ric_SP'!$C:$AN,13,FALSE)</f>
        <v>0</v>
      </c>
      <c r="S937" s="55"/>
      <c r="T937" s="55"/>
      <c r="U937" s="55">
        <f>VLOOKUP($E937,'NI-Ric_SP'!$C:$AN,MID(U$1,1,2),FALSE)</f>
        <v>0</v>
      </c>
      <c r="V937" s="55">
        <f>VLOOKUP($E937,'NI-Ric_SP'!$C:$AN,MID(V$1,1,2),FALSE)</f>
        <v>0</v>
      </c>
      <c r="W937" s="55">
        <f>VLOOKUP($E937,'NI-Ric_SP'!$C:$AN,MID(W$1,1,2),FALSE)</f>
        <v>0</v>
      </c>
      <c r="X937" s="55">
        <f>VLOOKUP($E937,'NI-Ric_SP'!$C:$AN,MID(X$1,1,2),FALSE)</f>
        <v>0</v>
      </c>
      <c r="Y937" s="55">
        <f>VLOOKUP($E937,'NI-Ric_SP'!$C:$AN,MID(Y$1,1,2),FALSE)</f>
        <v>0</v>
      </c>
      <c r="Z937" s="55">
        <f>VLOOKUP($E937,'NI-Ric_SP'!$C:$AN,MID(Z$1,1,2),FALSE)</f>
        <v>0</v>
      </c>
      <c r="AA937" s="55">
        <f>VLOOKUP($E937,'NI-Ric_SP'!$C:$AN,MID(AA$1,1,2),FALSE)</f>
        <v>0</v>
      </c>
      <c r="AB937" s="55">
        <f>VLOOKUP($E937,'NI-Ric_SP'!$C:$AN,MID(AB$1,1,2),FALSE)</f>
        <v>0</v>
      </c>
      <c r="AC937" s="55">
        <f>VLOOKUP($E937,'NI-Ric_SP'!$C:$AN,MID(AC$1,1,2),FALSE)</f>
        <v>0</v>
      </c>
      <c r="AD937" s="55">
        <f>VLOOKUP($E937,'NI-Ric_SP'!$C:$AN,MID(AD$1,1,2),FALSE)</f>
        <v>0</v>
      </c>
      <c r="AE937" s="55">
        <f>VLOOKUP($E937,'NI-Ric_SP'!$C:$AN,MID(AE$1,1,2),FALSE)</f>
        <v>0</v>
      </c>
      <c r="AF937" s="55">
        <f>VLOOKUP($E937,'NI-Ric_SP'!$C:$AN,MID(AF$1,1,2),FALSE)</f>
        <v>0</v>
      </c>
      <c r="AG937" s="55">
        <f>VLOOKUP($E937,'NI-Ric_SP'!$C:$AN,MID(AG$1,1,2),FALSE)</f>
        <v>0</v>
      </c>
      <c r="AH937" s="55">
        <f>VLOOKUP($E937,'NI-Ric_SP'!$C:$AN,MID(AH$1,1,2),FALSE)</f>
        <v>0</v>
      </c>
      <c r="AI937" s="55">
        <f>VLOOKUP($E937,'NI-Ric_SP'!$C:$AN,MID(AI$1,1,2),FALSE)</f>
        <v>0</v>
      </c>
      <c r="AJ937" s="55">
        <f>VLOOKUP($E937,'NI-Ric_SP'!$C:$AN,MID(AJ$1,1,2),FALSE)</f>
        <v>0</v>
      </c>
      <c r="AK937" s="55">
        <f>VLOOKUP($E937,'NI-Ric_SP'!$C:$AN,MID(AK$1,1,2),FALSE)</f>
        <v>0</v>
      </c>
      <c r="AL937" s="55">
        <f>VLOOKUP($E937,'NI-Ric_SP'!$C:$AN,MID(AL$1,1,2),FALSE)</f>
        <v>0</v>
      </c>
      <c r="AM937" s="56">
        <f>VLOOKUP($E937,'NI-Ric_SP'!$C:$AN,MID(AM$1,1,2),FALSE)</f>
        <v>0</v>
      </c>
      <c r="AN937" s="30" t="str">
        <f t="shared" si="14"/>
        <v>10206020010010</v>
      </c>
    </row>
    <row r="938" spans="3:40" x14ac:dyDescent="0.25">
      <c r="C938" s="40"/>
      <c r="D938" s="101" t="s">
        <v>815</v>
      </c>
      <c r="E938" s="101" t="s">
        <v>816</v>
      </c>
      <c r="F938" s="102" t="s">
        <v>2750</v>
      </c>
      <c r="G938" s="52"/>
      <c r="H938" s="52"/>
      <c r="I938" s="52"/>
      <c r="J938" s="52"/>
      <c r="K938" s="59" t="s">
        <v>79</v>
      </c>
      <c r="L938" s="52"/>
      <c r="M938" s="52"/>
      <c r="N938" s="52"/>
      <c r="O938" s="52"/>
      <c r="P938" s="76" t="s">
        <v>817</v>
      </c>
      <c r="Q938" s="55">
        <f>VLOOKUP(E938,'NI-Ric_SP'!$C:$AN,12,FALSE)</f>
        <v>0</v>
      </c>
      <c r="R938" s="55">
        <f>VLOOKUP(E938,'NI-Ric_SP'!$C:$AN,13,FALSE)</f>
        <v>0</v>
      </c>
      <c r="S938" s="55"/>
      <c r="T938" s="55"/>
      <c r="U938" s="55">
        <f>VLOOKUP($E938,'NI-Ric_SP'!$C:$AN,MID(U$1,1,2),FALSE)</f>
        <v>0</v>
      </c>
      <c r="V938" s="55">
        <f>VLOOKUP($E938,'NI-Ric_SP'!$C:$AN,MID(V$1,1,2),FALSE)</f>
        <v>0</v>
      </c>
      <c r="W938" s="55">
        <f>VLOOKUP($E938,'NI-Ric_SP'!$C:$AN,MID(W$1,1,2),FALSE)</f>
        <v>0</v>
      </c>
      <c r="X938" s="55">
        <f>VLOOKUP($E938,'NI-Ric_SP'!$C:$AN,MID(X$1,1,2),FALSE)</f>
        <v>0</v>
      </c>
      <c r="Y938" s="55">
        <f>VLOOKUP($E938,'NI-Ric_SP'!$C:$AN,MID(Y$1,1,2),FALSE)</f>
        <v>0</v>
      </c>
      <c r="Z938" s="55">
        <f>VLOOKUP($E938,'NI-Ric_SP'!$C:$AN,MID(Z$1,1,2),FALSE)</f>
        <v>0</v>
      </c>
      <c r="AA938" s="55">
        <f>VLOOKUP($E938,'NI-Ric_SP'!$C:$AN,MID(AA$1,1,2),FALSE)</f>
        <v>0</v>
      </c>
      <c r="AB938" s="55">
        <f>VLOOKUP($E938,'NI-Ric_SP'!$C:$AN,MID(AB$1,1,2),FALSE)</f>
        <v>0</v>
      </c>
      <c r="AC938" s="55">
        <f>VLOOKUP($E938,'NI-Ric_SP'!$C:$AN,MID(AC$1,1,2),FALSE)</f>
        <v>0</v>
      </c>
      <c r="AD938" s="55">
        <f>VLOOKUP($E938,'NI-Ric_SP'!$C:$AN,MID(AD$1,1,2),FALSE)</f>
        <v>0</v>
      </c>
      <c r="AE938" s="55">
        <f>VLOOKUP($E938,'NI-Ric_SP'!$C:$AN,MID(AE$1,1,2),FALSE)</f>
        <v>0</v>
      </c>
      <c r="AF938" s="55">
        <f>VLOOKUP($E938,'NI-Ric_SP'!$C:$AN,MID(AF$1,1,2),FALSE)</f>
        <v>0</v>
      </c>
      <c r="AG938" s="55">
        <f>VLOOKUP($E938,'NI-Ric_SP'!$C:$AN,MID(AG$1,1,2),FALSE)</f>
        <v>0</v>
      </c>
      <c r="AH938" s="55">
        <f>VLOOKUP($E938,'NI-Ric_SP'!$C:$AN,MID(AH$1,1,2),FALSE)</f>
        <v>0</v>
      </c>
      <c r="AI938" s="55">
        <f>VLOOKUP($E938,'NI-Ric_SP'!$C:$AN,MID(AI$1,1,2),FALSE)</f>
        <v>0</v>
      </c>
      <c r="AJ938" s="55">
        <f>VLOOKUP($E938,'NI-Ric_SP'!$C:$AN,MID(AJ$1,1,2),FALSE)</f>
        <v>0</v>
      </c>
      <c r="AK938" s="55">
        <f>VLOOKUP($E938,'NI-Ric_SP'!$C:$AN,MID(AK$1,1,2),FALSE)</f>
        <v>0</v>
      </c>
      <c r="AL938" s="55">
        <f>VLOOKUP($E938,'NI-Ric_SP'!$C:$AN,MID(AL$1,1,2),FALSE)</f>
        <v>0</v>
      </c>
      <c r="AM938" s="56">
        <f>VLOOKUP($E938,'NI-Ric_SP'!$C:$AN,MID(AM$1,1,2),FALSE)</f>
        <v>0</v>
      </c>
      <c r="AN938" s="30" t="str">
        <f t="shared" si="14"/>
        <v>10206020010020</v>
      </c>
    </row>
    <row r="939" spans="3:40" x14ac:dyDescent="0.25">
      <c r="C939" s="40"/>
      <c r="D939" s="101" t="s">
        <v>818</v>
      </c>
      <c r="E939" s="101" t="s">
        <v>819</v>
      </c>
      <c r="F939" s="102" t="s">
        <v>2750</v>
      </c>
      <c r="G939" s="52"/>
      <c r="H939" s="52"/>
      <c r="I939" s="52"/>
      <c r="J939" s="52"/>
      <c r="K939" s="59" t="s">
        <v>79</v>
      </c>
      <c r="L939" s="52"/>
      <c r="M939" s="52"/>
      <c r="N939" s="52"/>
      <c r="O939" s="52"/>
      <c r="P939" s="76" t="s">
        <v>820</v>
      </c>
      <c r="Q939" s="55">
        <f>VLOOKUP(E939,'NI-Ric_SP'!$C:$AN,12,FALSE)</f>
        <v>0</v>
      </c>
      <c r="R939" s="55">
        <f>VLOOKUP(E939,'NI-Ric_SP'!$C:$AN,13,FALSE)</f>
        <v>0</v>
      </c>
      <c r="S939" s="55"/>
      <c r="T939" s="55"/>
      <c r="U939" s="55">
        <f>VLOOKUP($E939,'NI-Ric_SP'!$C:$AN,MID(U$1,1,2),FALSE)</f>
        <v>0</v>
      </c>
      <c r="V939" s="55">
        <f>VLOOKUP($E939,'NI-Ric_SP'!$C:$AN,MID(V$1,1,2),FALSE)</f>
        <v>0</v>
      </c>
      <c r="W939" s="55">
        <f>VLOOKUP($E939,'NI-Ric_SP'!$C:$AN,MID(W$1,1,2),FALSE)</f>
        <v>0</v>
      </c>
      <c r="X939" s="55">
        <f>VLOOKUP($E939,'NI-Ric_SP'!$C:$AN,MID(X$1,1,2),FALSE)</f>
        <v>0</v>
      </c>
      <c r="Y939" s="55">
        <f>VLOOKUP($E939,'NI-Ric_SP'!$C:$AN,MID(Y$1,1,2),FALSE)</f>
        <v>0</v>
      </c>
      <c r="Z939" s="55">
        <f>VLOOKUP($E939,'NI-Ric_SP'!$C:$AN,MID(Z$1,1,2),FALSE)</f>
        <v>0</v>
      </c>
      <c r="AA939" s="55">
        <f>VLOOKUP($E939,'NI-Ric_SP'!$C:$AN,MID(AA$1,1,2),FALSE)</f>
        <v>0</v>
      </c>
      <c r="AB939" s="55">
        <f>VLOOKUP($E939,'NI-Ric_SP'!$C:$AN,MID(AB$1,1,2),FALSE)</f>
        <v>0</v>
      </c>
      <c r="AC939" s="55">
        <f>VLOOKUP($E939,'NI-Ric_SP'!$C:$AN,MID(AC$1,1,2),FALSE)</f>
        <v>0</v>
      </c>
      <c r="AD939" s="55">
        <f>VLOOKUP($E939,'NI-Ric_SP'!$C:$AN,MID(AD$1,1,2),FALSE)</f>
        <v>0</v>
      </c>
      <c r="AE939" s="55">
        <f>VLOOKUP($E939,'NI-Ric_SP'!$C:$AN,MID(AE$1,1,2),FALSE)</f>
        <v>0</v>
      </c>
      <c r="AF939" s="55">
        <f>VLOOKUP($E939,'NI-Ric_SP'!$C:$AN,MID(AF$1,1,2),FALSE)</f>
        <v>0</v>
      </c>
      <c r="AG939" s="55">
        <f>VLOOKUP($E939,'NI-Ric_SP'!$C:$AN,MID(AG$1,1,2),FALSE)</f>
        <v>0</v>
      </c>
      <c r="AH939" s="55">
        <f>VLOOKUP($E939,'NI-Ric_SP'!$C:$AN,MID(AH$1,1,2),FALSE)</f>
        <v>0</v>
      </c>
      <c r="AI939" s="55">
        <f>VLOOKUP($E939,'NI-Ric_SP'!$C:$AN,MID(AI$1,1,2),FALSE)</f>
        <v>0</v>
      </c>
      <c r="AJ939" s="55">
        <f>VLOOKUP($E939,'NI-Ric_SP'!$C:$AN,MID(AJ$1,1,2),FALSE)</f>
        <v>0</v>
      </c>
      <c r="AK939" s="55">
        <f>VLOOKUP($E939,'NI-Ric_SP'!$C:$AN,MID(AK$1,1,2),FALSE)</f>
        <v>0</v>
      </c>
      <c r="AL939" s="55">
        <f>VLOOKUP($E939,'NI-Ric_SP'!$C:$AN,MID(AL$1,1,2),FALSE)</f>
        <v>0</v>
      </c>
      <c r="AM939" s="56">
        <f>VLOOKUP($E939,'NI-Ric_SP'!$C:$AN,MID(AM$1,1,2),FALSE)</f>
        <v>0</v>
      </c>
      <c r="AN939" s="30" t="str">
        <f t="shared" si="14"/>
        <v>10206020020010</v>
      </c>
    </row>
    <row r="940" spans="3:40" x14ac:dyDescent="0.25">
      <c r="C940" s="40"/>
      <c r="D940" s="101" t="s">
        <v>821</v>
      </c>
      <c r="E940" s="101" t="s">
        <v>822</v>
      </c>
      <c r="F940" s="102" t="s">
        <v>2750</v>
      </c>
      <c r="G940" s="52"/>
      <c r="H940" s="52"/>
      <c r="I940" s="52"/>
      <c r="J940" s="52"/>
      <c r="K940" s="59" t="s">
        <v>79</v>
      </c>
      <c r="L940" s="52"/>
      <c r="M940" s="52"/>
      <c r="N940" s="52"/>
      <c r="O940" s="52"/>
      <c r="P940" s="76" t="s">
        <v>823</v>
      </c>
      <c r="Q940" s="55">
        <f>VLOOKUP(E940,'NI-Ric_SP'!$C:$AN,12,FALSE)</f>
        <v>0</v>
      </c>
      <c r="R940" s="55">
        <f>VLOOKUP(E940,'NI-Ric_SP'!$C:$AN,13,FALSE)</f>
        <v>0</v>
      </c>
      <c r="S940" s="55"/>
      <c r="T940" s="55"/>
      <c r="U940" s="55">
        <f>VLOOKUP($E940,'NI-Ric_SP'!$C:$AN,MID(U$1,1,2),FALSE)</f>
        <v>0</v>
      </c>
      <c r="V940" s="55">
        <f>VLOOKUP($E940,'NI-Ric_SP'!$C:$AN,MID(V$1,1,2),FALSE)</f>
        <v>0</v>
      </c>
      <c r="W940" s="55">
        <f>VLOOKUP($E940,'NI-Ric_SP'!$C:$AN,MID(W$1,1,2),FALSE)</f>
        <v>0</v>
      </c>
      <c r="X940" s="55">
        <f>VLOOKUP($E940,'NI-Ric_SP'!$C:$AN,MID(X$1,1,2),FALSE)</f>
        <v>0</v>
      </c>
      <c r="Y940" s="55">
        <f>VLOOKUP($E940,'NI-Ric_SP'!$C:$AN,MID(Y$1,1,2),FALSE)</f>
        <v>0</v>
      </c>
      <c r="Z940" s="55">
        <f>VLOOKUP($E940,'NI-Ric_SP'!$C:$AN,MID(Z$1,1,2),FALSE)</f>
        <v>0</v>
      </c>
      <c r="AA940" s="55">
        <f>VLOOKUP($E940,'NI-Ric_SP'!$C:$AN,MID(AA$1,1,2),FALSE)</f>
        <v>0</v>
      </c>
      <c r="AB940" s="55">
        <f>VLOOKUP($E940,'NI-Ric_SP'!$C:$AN,MID(AB$1,1,2),FALSE)</f>
        <v>0</v>
      </c>
      <c r="AC940" s="55">
        <f>VLOOKUP($E940,'NI-Ric_SP'!$C:$AN,MID(AC$1,1,2),FALSE)</f>
        <v>0</v>
      </c>
      <c r="AD940" s="55">
        <f>VLOOKUP($E940,'NI-Ric_SP'!$C:$AN,MID(AD$1,1,2),FALSE)</f>
        <v>0</v>
      </c>
      <c r="AE940" s="55">
        <f>VLOOKUP($E940,'NI-Ric_SP'!$C:$AN,MID(AE$1,1,2),FALSE)</f>
        <v>0</v>
      </c>
      <c r="AF940" s="55">
        <f>VLOOKUP($E940,'NI-Ric_SP'!$C:$AN,MID(AF$1,1,2),FALSE)</f>
        <v>0</v>
      </c>
      <c r="AG940" s="55">
        <f>VLOOKUP($E940,'NI-Ric_SP'!$C:$AN,MID(AG$1,1,2),FALSE)</f>
        <v>0</v>
      </c>
      <c r="AH940" s="55">
        <f>VLOOKUP($E940,'NI-Ric_SP'!$C:$AN,MID(AH$1,1,2),FALSE)</f>
        <v>0</v>
      </c>
      <c r="AI940" s="55">
        <f>VLOOKUP($E940,'NI-Ric_SP'!$C:$AN,MID(AI$1,1,2),FALSE)</f>
        <v>0</v>
      </c>
      <c r="AJ940" s="55">
        <f>VLOOKUP($E940,'NI-Ric_SP'!$C:$AN,MID(AJ$1,1,2),FALSE)</f>
        <v>0</v>
      </c>
      <c r="AK940" s="55">
        <f>VLOOKUP($E940,'NI-Ric_SP'!$C:$AN,MID(AK$1,1,2),FALSE)</f>
        <v>0</v>
      </c>
      <c r="AL940" s="55">
        <f>VLOOKUP($E940,'NI-Ric_SP'!$C:$AN,MID(AL$1,1,2),FALSE)</f>
        <v>0</v>
      </c>
      <c r="AM940" s="56">
        <f>VLOOKUP($E940,'NI-Ric_SP'!$C:$AN,MID(AM$1,1,2),FALSE)</f>
        <v>0</v>
      </c>
      <c r="AN940" s="30" t="str">
        <f t="shared" si="14"/>
        <v>10206020020020</v>
      </c>
    </row>
    <row r="941" spans="3:40" x14ac:dyDescent="0.25">
      <c r="C941" s="40"/>
      <c r="D941" s="101" t="s">
        <v>824</v>
      </c>
      <c r="E941" s="101" t="s">
        <v>825</v>
      </c>
      <c r="F941" s="102" t="s">
        <v>2750</v>
      </c>
      <c r="G941" s="52"/>
      <c r="H941" s="52"/>
      <c r="I941" s="52"/>
      <c r="J941" s="52"/>
      <c r="K941" s="59" t="s">
        <v>79</v>
      </c>
      <c r="L941" s="52"/>
      <c r="M941" s="52"/>
      <c r="N941" s="52"/>
      <c r="O941" s="52"/>
      <c r="P941" s="76" t="s">
        <v>826</v>
      </c>
      <c r="Q941" s="55">
        <f>VLOOKUP(E941,'NI-Ric_SP'!$C:$AN,12,FALSE)</f>
        <v>0</v>
      </c>
      <c r="R941" s="55">
        <f>VLOOKUP(E941,'NI-Ric_SP'!$C:$AN,13,FALSE)</f>
        <v>0</v>
      </c>
      <c r="S941" s="55"/>
      <c r="T941" s="55"/>
      <c r="U941" s="55">
        <f>VLOOKUP($E941,'NI-Ric_SP'!$C:$AN,MID(U$1,1,2),FALSE)</f>
        <v>0</v>
      </c>
      <c r="V941" s="55">
        <f>VLOOKUP($E941,'NI-Ric_SP'!$C:$AN,MID(V$1,1,2),FALSE)</f>
        <v>0</v>
      </c>
      <c r="W941" s="55">
        <f>VLOOKUP($E941,'NI-Ric_SP'!$C:$AN,MID(W$1,1,2),FALSE)</f>
        <v>0</v>
      </c>
      <c r="X941" s="55">
        <f>VLOOKUP($E941,'NI-Ric_SP'!$C:$AN,MID(X$1,1,2),FALSE)</f>
        <v>0</v>
      </c>
      <c r="Y941" s="55">
        <f>VLOOKUP($E941,'NI-Ric_SP'!$C:$AN,MID(Y$1,1,2),FALSE)</f>
        <v>0</v>
      </c>
      <c r="Z941" s="55">
        <f>VLOOKUP($E941,'NI-Ric_SP'!$C:$AN,MID(Z$1,1,2),FALSE)</f>
        <v>0</v>
      </c>
      <c r="AA941" s="55">
        <f>VLOOKUP($E941,'NI-Ric_SP'!$C:$AN,MID(AA$1,1,2),FALSE)</f>
        <v>0</v>
      </c>
      <c r="AB941" s="55">
        <f>VLOOKUP($E941,'NI-Ric_SP'!$C:$AN,MID(AB$1,1,2),FALSE)</f>
        <v>0</v>
      </c>
      <c r="AC941" s="55">
        <f>VLOOKUP($E941,'NI-Ric_SP'!$C:$AN,MID(AC$1,1,2),FALSE)</f>
        <v>0</v>
      </c>
      <c r="AD941" s="55">
        <f>VLOOKUP($E941,'NI-Ric_SP'!$C:$AN,MID(AD$1,1,2),FALSE)</f>
        <v>0</v>
      </c>
      <c r="AE941" s="55">
        <f>VLOOKUP($E941,'NI-Ric_SP'!$C:$AN,MID(AE$1,1,2),FALSE)</f>
        <v>0</v>
      </c>
      <c r="AF941" s="55">
        <f>VLOOKUP($E941,'NI-Ric_SP'!$C:$AN,MID(AF$1,1,2),FALSE)</f>
        <v>0</v>
      </c>
      <c r="AG941" s="55">
        <f>VLOOKUP($E941,'NI-Ric_SP'!$C:$AN,MID(AG$1,1,2),FALSE)</f>
        <v>0</v>
      </c>
      <c r="AH941" s="55">
        <f>VLOOKUP($E941,'NI-Ric_SP'!$C:$AN,MID(AH$1,1,2),FALSE)</f>
        <v>0</v>
      </c>
      <c r="AI941" s="55">
        <f>VLOOKUP($E941,'NI-Ric_SP'!$C:$AN,MID(AI$1,1,2),FALSE)</f>
        <v>0</v>
      </c>
      <c r="AJ941" s="55">
        <f>VLOOKUP($E941,'NI-Ric_SP'!$C:$AN,MID(AJ$1,1,2),FALSE)</f>
        <v>0</v>
      </c>
      <c r="AK941" s="55">
        <f>VLOOKUP($E941,'NI-Ric_SP'!$C:$AN,MID(AK$1,1,2),FALSE)</f>
        <v>0</v>
      </c>
      <c r="AL941" s="55">
        <f>VLOOKUP($E941,'NI-Ric_SP'!$C:$AN,MID(AL$1,1,2),FALSE)</f>
        <v>0</v>
      </c>
      <c r="AM941" s="56">
        <f>VLOOKUP($E941,'NI-Ric_SP'!$C:$AN,MID(AM$1,1,2),FALSE)</f>
        <v>0</v>
      </c>
      <c r="AN941" s="30" t="str">
        <f t="shared" si="14"/>
        <v>10206020030010</v>
      </c>
    </row>
    <row r="942" spans="3:40" x14ac:dyDescent="0.25">
      <c r="C942" s="40"/>
      <c r="D942" s="101" t="s">
        <v>827</v>
      </c>
      <c r="E942" s="101" t="s">
        <v>828</v>
      </c>
      <c r="F942" s="102" t="s">
        <v>2750</v>
      </c>
      <c r="G942" s="52"/>
      <c r="H942" s="52"/>
      <c r="I942" s="52"/>
      <c r="J942" s="52"/>
      <c r="K942" s="59" t="s">
        <v>79</v>
      </c>
      <c r="L942" s="52"/>
      <c r="M942" s="52"/>
      <c r="N942" s="52"/>
      <c r="O942" s="52"/>
      <c r="P942" s="76" t="s">
        <v>829</v>
      </c>
      <c r="Q942" s="55">
        <f>VLOOKUP(E942,'NI-Ric_SP'!$C:$AN,12,FALSE)</f>
        <v>0</v>
      </c>
      <c r="R942" s="55">
        <f>VLOOKUP(E942,'NI-Ric_SP'!$C:$AN,13,FALSE)</f>
        <v>0</v>
      </c>
      <c r="S942" s="55"/>
      <c r="T942" s="55"/>
      <c r="U942" s="55">
        <f>VLOOKUP($E942,'NI-Ric_SP'!$C:$AN,MID(U$1,1,2),FALSE)</f>
        <v>0</v>
      </c>
      <c r="V942" s="55">
        <f>VLOOKUP($E942,'NI-Ric_SP'!$C:$AN,MID(V$1,1,2),FALSE)</f>
        <v>0</v>
      </c>
      <c r="W942" s="55">
        <f>VLOOKUP($E942,'NI-Ric_SP'!$C:$AN,MID(W$1,1,2),FALSE)</f>
        <v>0</v>
      </c>
      <c r="X942" s="55">
        <f>VLOOKUP($E942,'NI-Ric_SP'!$C:$AN,MID(X$1,1,2),FALSE)</f>
        <v>0</v>
      </c>
      <c r="Y942" s="55">
        <f>VLOOKUP($E942,'NI-Ric_SP'!$C:$AN,MID(Y$1,1,2),FALSE)</f>
        <v>0</v>
      </c>
      <c r="Z942" s="55">
        <f>VLOOKUP($E942,'NI-Ric_SP'!$C:$AN,MID(Z$1,1,2),FALSE)</f>
        <v>0</v>
      </c>
      <c r="AA942" s="55">
        <f>VLOOKUP($E942,'NI-Ric_SP'!$C:$AN,MID(AA$1,1,2),FALSE)</f>
        <v>0</v>
      </c>
      <c r="AB942" s="55">
        <f>VLOOKUP($E942,'NI-Ric_SP'!$C:$AN,MID(AB$1,1,2),FALSE)</f>
        <v>0</v>
      </c>
      <c r="AC942" s="55">
        <f>VLOOKUP($E942,'NI-Ric_SP'!$C:$AN,MID(AC$1,1,2),FALSE)</f>
        <v>0</v>
      </c>
      <c r="AD942" s="55">
        <f>VLOOKUP($E942,'NI-Ric_SP'!$C:$AN,MID(AD$1,1,2),FALSE)</f>
        <v>0</v>
      </c>
      <c r="AE942" s="55">
        <f>VLOOKUP($E942,'NI-Ric_SP'!$C:$AN,MID(AE$1,1,2),FALSE)</f>
        <v>0</v>
      </c>
      <c r="AF942" s="55">
        <f>VLOOKUP($E942,'NI-Ric_SP'!$C:$AN,MID(AF$1,1,2),FALSE)</f>
        <v>0</v>
      </c>
      <c r="AG942" s="55">
        <f>VLOOKUP($E942,'NI-Ric_SP'!$C:$AN,MID(AG$1,1,2),FALSE)</f>
        <v>0</v>
      </c>
      <c r="AH942" s="55">
        <f>VLOOKUP($E942,'NI-Ric_SP'!$C:$AN,MID(AH$1,1,2),FALSE)</f>
        <v>0</v>
      </c>
      <c r="AI942" s="55">
        <f>VLOOKUP($E942,'NI-Ric_SP'!$C:$AN,MID(AI$1,1,2),FALSE)</f>
        <v>0</v>
      </c>
      <c r="AJ942" s="55">
        <f>VLOOKUP($E942,'NI-Ric_SP'!$C:$AN,MID(AJ$1,1,2),FALSE)</f>
        <v>0</v>
      </c>
      <c r="AK942" s="55">
        <f>VLOOKUP($E942,'NI-Ric_SP'!$C:$AN,MID(AK$1,1,2),FALSE)</f>
        <v>0</v>
      </c>
      <c r="AL942" s="55">
        <f>VLOOKUP($E942,'NI-Ric_SP'!$C:$AN,MID(AL$1,1,2),FALSE)</f>
        <v>0</v>
      </c>
      <c r="AM942" s="56">
        <f>VLOOKUP($E942,'NI-Ric_SP'!$C:$AN,MID(AM$1,1,2),FALSE)</f>
        <v>0</v>
      </c>
      <c r="AN942" s="30" t="str">
        <f t="shared" si="14"/>
        <v>10206020030020</v>
      </c>
    </row>
    <row r="943" spans="3:40" x14ac:dyDescent="0.25">
      <c r="C943" s="40"/>
      <c r="D943" s="101" t="s">
        <v>830</v>
      </c>
      <c r="E943" s="101" t="s">
        <v>831</v>
      </c>
      <c r="F943" s="102" t="s">
        <v>2750</v>
      </c>
      <c r="G943" s="52"/>
      <c r="H943" s="52"/>
      <c r="I943" s="52"/>
      <c r="J943" s="52"/>
      <c r="K943" s="59" t="s">
        <v>79</v>
      </c>
      <c r="L943" s="52"/>
      <c r="M943" s="52"/>
      <c r="N943" s="52"/>
      <c r="O943" s="52"/>
      <c r="P943" s="76" t="s">
        <v>832</v>
      </c>
      <c r="Q943" s="55">
        <f>VLOOKUP(E943,'NI-Ric_SP'!$C:$AN,12,FALSE)</f>
        <v>0</v>
      </c>
      <c r="R943" s="55">
        <f>VLOOKUP(E943,'NI-Ric_SP'!$C:$AN,13,FALSE)</f>
        <v>0</v>
      </c>
      <c r="S943" s="55"/>
      <c r="T943" s="55"/>
      <c r="U943" s="55">
        <f>VLOOKUP($E943,'NI-Ric_SP'!$C:$AN,MID(U$1,1,2),FALSE)</f>
        <v>0</v>
      </c>
      <c r="V943" s="55">
        <f>VLOOKUP($E943,'NI-Ric_SP'!$C:$AN,MID(V$1,1,2),FALSE)</f>
        <v>0</v>
      </c>
      <c r="W943" s="55">
        <f>VLOOKUP($E943,'NI-Ric_SP'!$C:$AN,MID(W$1,1,2),FALSE)</f>
        <v>0</v>
      </c>
      <c r="X943" s="55">
        <f>VLOOKUP($E943,'NI-Ric_SP'!$C:$AN,MID(X$1,1,2),FALSE)</f>
        <v>0</v>
      </c>
      <c r="Y943" s="55">
        <f>VLOOKUP($E943,'NI-Ric_SP'!$C:$AN,MID(Y$1,1,2),FALSE)</f>
        <v>0</v>
      </c>
      <c r="Z943" s="55">
        <f>VLOOKUP($E943,'NI-Ric_SP'!$C:$AN,MID(Z$1,1,2),FALSE)</f>
        <v>0</v>
      </c>
      <c r="AA943" s="55">
        <f>VLOOKUP($E943,'NI-Ric_SP'!$C:$AN,MID(AA$1,1,2),FALSE)</f>
        <v>0</v>
      </c>
      <c r="AB943" s="55">
        <f>VLOOKUP($E943,'NI-Ric_SP'!$C:$AN,MID(AB$1,1,2),FALSE)</f>
        <v>0</v>
      </c>
      <c r="AC943" s="55">
        <f>VLOOKUP($E943,'NI-Ric_SP'!$C:$AN,MID(AC$1,1,2),FALSE)</f>
        <v>0</v>
      </c>
      <c r="AD943" s="55">
        <f>VLOOKUP($E943,'NI-Ric_SP'!$C:$AN,MID(AD$1,1,2),FALSE)</f>
        <v>0</v>
      </c>
      <c r="AE943" s="55">
        <f>VLOOKUP($E943,'NI-Ric_SP'!$C:$AN,MID(AE$1,1,2),FALSE)</f>
        <v>0</v>
      </c>
      <c r="AF943" s="55">
        <f>VLOOKUP($E943,'NI-Ric_SP'!$C:$AN,MID(AF$1,1,2),FALSE)</f>
        <v>0</v>
      </c>
      <c r="AG943" s="55">
        <f>VLOOKUP($E943,'NI-Ric_SP'!$C:$AN,MID(AG$1,1,2),FALSE)</f>
        <v>0</v>
      </c>
      <c r="AH943" s="55">
        <f>VLOOKUP($E943,'NI-Ric_SP'!$C:$AN,MID(AH$1,1,2),FALSE)</f>
        <v>0</v>
      </c>
      <c r="AI943" s="55">
        <f>VLOOKUP($E943,'NI-Ric_SP'!$C:$AN,MID(AI$1,1,2),FALSE)</f>
        <v>0</v>
      </c>
      <c r="AJ943" s="55">
        <f>VLOOKUP($E943,'NI-Ric_SP'!$C:$AN,MID(AJ$1,1,2),FALSE)</f>
        <v>0</v>
      </c>
      <c r="AK943" s="55">
        <f>VLOOKUP($E943,'NI-Ric_SP'!$C:$AN,MID(AK$1,1,2),FALSE)</f>
        <v>0</v>
      </c>
      <c r="AL943" s="55">
        <f>VLOOKUP($E943,'NI-Ric_SP'!$C:$AN,MID(AL$1,1,2),FALSE)</f>
        <v>0</v>
      </c>
      <c r="AM943" s="56">
        <f>VLOOKUP($E943,'NI-Ric_SP'!$C:$AN,MID(AM$1,1,2),FALSE)</f>
        <v>0</v>
      </c>
      <c r="AN943" s="30" t="str">
        <f t="shared" si="14"/>
        <v>10206020040010</v>
      </c>
    </row>
    <row r="944" spans="3:40" x14ac:dyDescent="0.25">
      <c r="C944" s="40"/>
      <c r="D944" s="101" t="s">
        <v>833</v>
      </c>
      <c r="E944" s="101" t="s">
        <v>834</v>
      </c>
      <c r="F944" s="102" t="s">
        <v>2750</v>
      </c>
      <c r="G944" s="52"/>
      <c r="H944" s="52"/>
      <c r="I944" s="52"/>
      <c r="J944" s="52"/>
      <c r="K944" s="59" t="s">
        <v>79</v>
      </c>
      <c r="L944" s="52"/>
      <c r="M944" s="52"/>
      <c r="N944" s="52"/>
      <c r="O944" s="52"/>
      <c r="P944" s="76" t="s">
        <v>835</v>
      </c>
      <c r="Q944" s="55">
        <f>VLOOKUP(E944,'NI-Ric_SP'!$C:$AN,12,FALSE)</f>
        <v>0</v>
      </c>
      <c r="R944" s="55">
        <f>VLOOKUP(E944,'NI-Ric_SP'!$C:$AN,13,FALSE)</f>
        <v>0</v>
      </c>
      <c r="S944" s="55"/>
      <c r="T944" s="55"/>
      <c r="U944" s="55">
        <f>VLOOKUP($E944,'NI-Ric_SP'!$C:$AN,MID(U$1,1,2),FALSE)</f>
        <v>0</v>
      </c>
      <c r="V944" s="55">
        <f>VLOOKUP($E944,'NI-Ric_SP'!$C:$AN,MID(V$1,1,2),FALSE)</f>
        <v>0</v>
      </c>
      <c r="W944" s="55">
        <f>VLOOKUP($E944,'NI-Ric_SP'!$C:$AN,MID(W$1,1,2),FALSE)</f>
        <v>0</v>
      </c>
      <c r="X944" s="55">
        <f>VLOOKUP($E944,'NI-Ric_SP'!$C:$AN,MID(X$1,1,2),FALSE)</f>
        <v>0</v>
      </c>
      <c r="Y944" s="55">
        <f>VLOOKUP($E944,'NI-Ric_SP'!$C:$AN,MID(Y$1,1,2),FALSE)</f>
        <v>0</v>
      </c>
      <c r="Z944" s="55">
        <f>VLOOKUP($E944,'NI-Ric_SP'!$C:$AN,MID(Z$1,1,2),FALSE)</f>
        <v>0</v>
      </c>
      <c r="AA944" s="55">
        <f>VLOOKUP($E944,'NI-Ric_SP'!$C:$AN,MID(AA$1,1,2),FALSE)</f>
        <v>0</v>
      </c>
      <c r="AB944" s="55">
        <f>VLOOKUP($E944,'NI-Ric_SP'!$C:$AN,MID(AB$1,1,2),FALSE)</f>
        <v>0</v>
      </c>
      <c r="AC944" s="55">
        <f>VLOOKUP($E944,'NI-Ric_SP'!$C:$AN,MID(AC$1,1,2),FALSE)</f>
        <v>0</v>
      </c>
      <c r="AD944" s="55">
        <f>VLOOKUP($E944,'NI-Ric_SP'!$C:$AN,MID(AD$1,1,2),FALSE)</f>
        <v>0</v>
      </c>
      <c r="AE944" s="55">
        <f>VLOOKUP($E944,'NI-Ric_SP'!$C:$AN,MID(AE$1,1,2),FALSE)</f>
        <v>0</v>
      </c>
      <c r="AF944" s="55">
        <f>VLOOKUP($E944,'NI-Ric_SP'!$C:$AN,MID(AF$1,1,2),FALSE)</f>
        <v>0</v>
      </c>
      <c r="AG944" s="55">
        <f>VLOOKUP($E944,'NI-Ric_SP'!$C:$AN,MID(AG$1,1,2),FALSE)</f>
        <v>0</v>
      </c>
      <c r="AH944" s="55">
        <f>VLOOKUP($E944,'NI-Ric_SP'!$C:$AN,MID(AH$1,1,2),FALSE)</f>
        <v>0</v>
      </c>
      <c r="AI944" s="55">
        <f>VLOOKUP($E944,'NI-Ric_SP'!$C:$AN,MID(AI$1,1,2),FALSE)</f>
        <v>0</v>
      </c>
      <c r="AJ944" s="55">
        <f>VLOOKUP($E944,'NI-Ric_SP'!$C:$AN,MID(AJ$1,1,2),FALSE)</f>
        <v>0</v>
      </c>
      <c r="AK944" s="55">
        <f>VLOOKUP($E944,'NI-Ric_SP'!$C:$AN,MID(AK$1,1,2),FALSE)</f>
        <v>0</v>
      </c>
      <c r="AL944" s="55">
        <f>VLOOKUP($E944,'NI-Ric_SP'!$C:$AN,MID(AL$1,1,2),FALSE)</f>
        <v>0</v>
      </c>
      <c r="AM944" s="56">
        <f>VLOOKUP($E944,'NI-Ric_SP'!$C:$AN,MID(AM$1,1,2),FALSE)</f>
        <v>0</v>
      </c>
      <c r="AN944" s="30" t="str">
        <f t="shared" si="14"/>
        <v>10206020040020</v>
      </c>
    </row>
    <row r="945" spans="3:40" x14ac:dyDescent="0.25">
      <c r="C945" s="40"/>
      <c r="D945" s="101" t="s">
        <v>836</v>
      </c>
      <c r="E945" s="101" t="s">
        <v>837</v>
      </c>
      <c r="F945" s="102" t="s">
        <v>2750</v>
      </c>
      <c r="G945" s="52"/>
      <c r="H945" s="52"/>
      <c r="I945" s="52"/>
      <c r="J945" s="52"/>
      <c r="K945" s="59" t="s">
        <v>79</v>
      </c>
      <c r="L945" s="52"/>
      <c r="M945" s="52"/>
      <c r="N945" s="52"/>
      <c r="O945" s="52"/>
      <c r="P945" s="76" t="s">
        <v>838</v>
      </c>
      <c r="Q945" s="55">
        <f>VLOOKUP(E945,'NI-Ric_SP'!$C:$AN,12,FALSE)</f>
        <v>0</v>
      </c>
      <c r="R945" s="55">
        <f>VLOOKUP(E945,'NI-Ric_SP'!$C:$AN,13,FALSE)</f>
        <v>0</v>
      </c>
      <c r="S945" s="55"/>
      <c r="T945" s="55"/>
      <c r="U945" s="55">
        <f>VLOOKUP($E945,'NI-Ric_SP'!$C:$AN,MID(U$1,1,2),FALSE)</f>
        <v>0</v>
      </c>
      <c r="V945" s="55">
        <f>VLOOKUP($E945,'NI-Ric_SP'!$C:$AN,MID(V$1,1,2),FALSE)</f>
        <v>0</v>
      </c>
      <c r="W945" s="55">
        <f>VLOOKUP($E945,'NI-Ric_SP'!$C:$AN,MID(W$1,1,2),FALSE)</f>
        <v>0</v>
      </c>
      <c r="X945" s="55">
        <f>VLOOKUP($E945,'NI-Ric_SP'!$C:$AN,MID(X$1,1,2),FALSE)</f>
        <v>0</v>
      </c>
      <c r="Y945" s="55">
        <f>VLOOKUP($E945,'NI-Ric_SP'!$C:$AN,MID(Y$1,1,2),FALSE)</f>
        <v>0</v>
      </c>
      <c r="Z945" s="55">
        <f>VLOOKUP($E945,'NI-Ric_SP'!$C:$AN,MID(Z$1,1,2),FALSE)</f>
        <v>0</v>
      </c>
      <c r="AA945" s="55">
        <f>VLOOKUP($E945,'NI-Ric_SP'!$C:$AN,MID(AA$1,1,2),FALSE)</f>
        <v>0</v>
      </c>
      <c r="AB945" s="55">
        <f>VLOOKUP($E945,'NI-Ric_SP'!$C:$AN,MID(AB$1,1,2),FALSE)</f>
        <v>0</v>
      </c>
      <c r="AC945" s="55">
        <f>VLOOKUP($E945,'NI-Ric_SP'!$C:$AN,MID(AC$1,1,2),FALSE)</f>
        <v>0</v>
      </c>
      <c r="AD945" s="55">
        <f>VLOOKUP($E945,'NI-Ric_SP'!$C:$AN,MID(AD$1,1,2),FALSE)</f>
        <v>0</v>
      </c>
      <c r="AE945" s="55">
        <f>VLOOKUP($E945,'NI-Ric_SP'!$C:$AN,MID(AE$1,1,2),FALSE)</f>
        <v>0</v>
      </c>
      <c r="AF945" s="55">
        <f>VLOOKUP($E945,'NI-Ric_SP'!$C:$AN,MID(AF$1,1,2),FALSE)</f>
        <v>0</v>
      </c>
      <c r="AG945" s="55">
        <f>VLOOKUP($E945,'NI-Ric_SP'!$C:$AN,MID(AG$1,1,2),FALSE)</f>
        <v>0</v>
      </c>
      <c r="AH945" s="55">
        <f>VLOOKUP($E945,'NI-Ric_SP'!$C:$AN,MID(AH$1,1,2),FALSE)</f>
        <v>0</v>
      </c>
      <c r="AI945" s="55">
        <f>VLOOKUP($E945,'NI-Ric_SP'!$C:$AN,MID(AI$1,1,2),FALSE)</f>
        <v>0</v>
      </c>
      <c r="AJ945" s="55">
        <f>VLOOKUP($E945,'NI-Ric_SP'!$C:$AN,MID(AJ$1,1,2),FALSE)</f>
        <v>0</v>
      </c>
      <c r="AK945" s="55">
        <f>VLOOKUP($E945,'NI-Ric_SP'!$C:$AN,MID(AK$1,1,2),FALSE)</f>
        <v>0</v>
      </c>
      <c r="AL945" s="55">
        <f>VLOOKUP($E945,'NI-Ric_SP'!$C:$AN,MID(AL$1,1,2),FALSE)</f>
        <v>0</v>
      </c>
      <c r="AM945" s="56">
        <f>VLOOKUP($E945,'NI-Ric_SP'!$C:$AN,MID(AM$1,1,2),FALSE)</f>
        <v>0</v>
      </c>
      <c r="AN945" s="30" t="str">
        <f t="shared" si="14"/>
        <v>10206020050010</v>
      </c>
    </row>
    <row r="946" spans="3:40" x14ac:dyDescent="0.25">
      <c r="C946" s="40"/>
      <c r="D946" s="101" t="s">
        <v>839</v>
      </c>
      <c r="E946" s="101" t="s">
        <v>840</v>
      </c>
      <c r="F946" s="102" t="s">
        <v>2750</v>
      </c>
      <c r="G946" s="52"/>
      <c r="H946" s="52"/>
      <c r="I946" s="52"/>
      <c r="J946" s="52"/>
      <c r="K946" s="59" t="s">
        <v>79</v>
      </c>
      <c r="L946" s="52"/>
      <c r="M946" s="52"/>
      <c r="N946" s="52"/>
      <c r="O946" s="52"/>
      <c r="P946" s="76" t="s">
        <v>841</v>
      </c>
      <c r="Q946" s="55">
        <f>VLOOKUP(E946,'NI-Ric_SP'!$C:$AN,12,FALSE)</f>
        <v>0</v>
      </c>
      <c r="R946" s="55">
        <f>VLOOKUP(E946,'NI-Ric_SP'!$C:$AN,13,FALSE)</f>
        <v>0</v>
      </c>
      <c r="S946" s="55"/>
      <c r="T946" s="55"/>
      <c r="U946" s="55">
        <f>VLOOKUP($E946,'NI-Ric_SP'!$C:$AN,MID(U$1,1,2),FALSE)</f>
        <v>0</v>
      </c>
      <c r="V946" s="55">
        <f>VLOOKUP($E946,'NI-Ric_SP'!$C:$AN,MID(V$1,1,2),FALSE)</f>
        <v>0</v>
      </c>
      <c r="W946" s="55">
        <f>VLOOKUP($E946,'NI-Ric_SP'!$C:$AN,MID(W$1,1,2),FALSE)</f>
        <v>0</v>
      </c>
      <c r="X946" s="55">
        <f>VLOOKUP($E946,'NI-Ric_SP'!$C:$AN,MID(X$1,1,2),FALSE)</f>
        <v>0</v>
      </c>
      <c r="Y946" s="55">
        <f>VLOOKUP($E946,'NI-Ric_SP'!$C:$AN,MID(Y$1,1,2),FALSE)</f>
        <v>0</v>
      </c>
      <c r="Z946" s="55">
        <f>VLOOKUP($E946,'NI-Ric_SP'!$C:$AN,MID(Z$1,1,2),FALSE)</f>
        <v>0</v>
      </c>
      <c r="AA946" s="55">
        <f>VLOOKUP($E946,'NI-Ric_SP'!$C:$AN,MID(AA$1,1,2),FALSE)</f>
        <v>0</v>
      </c>
      <c r="AB946" s="55">
        <f>VLOOKUP($E946,'NI-Ric_SP'!$C:$AN,MID(AB$1,1,2),FALSE)</f>
        <v>0</v>
      </c>
      <c r="AC946" s="55">
        <f>VLOOKUP($E946,'NI-Ric_SP'!$C:$AN,MID(AC$1,1,2),FALSE)</f>
        <v>0</v>
      </c>
      <c r="AD946" s="55">
        <f>VLOOKUP($E946,'NI-Ric_SP'!$C:$AN,MID(AD$1,1,2),FALSE)</f>
        <v>0</v>
      </c>
      <c r="AE946" s="55">
        <f>VLOOKUP($E946,'NI-Ric_SP'!$C:$AN,MID(AE$1,1,2),FALSE)</f>
        <v>0</v>
      </c>
      <c r="AF946" s="55">
        <f>VLOOKUP($E946,'NI-Ric_SP'!$C:$AN,MID(AF$1,1,2),FALSE)</f>
        <v>0</v>
      </c>
      <c r="AG946" s="55">
        <f>VLOOKUP($E946,'NI-Ric_SP'!$C:$AN,MID(AG$1,1,2),FALSE)</f>
        <v>0</v>
      </c>
      <c r="AH946" s="55">
        <f>VLOOKUP($E946,'NI-Ric_SP'!$C:$AN,MID(AH$1,1,2),FALSE)</f>
        <v>0</v>
      </c>
      <c r="AI946" s="55">
        <f>VLOOKUP($E946,'NI-Ric_SP'!$C:$AN,MID(AI$1,1,2),FALSE)</f>
        <v>0</v>
      </c>
      <c r="AJ946" s="55">
        <f>VLOOKUP($E946,'NI-Ric_SP'!$C:$AN,MID(AJ$1,1,2),FALSE)</f>
        <v>0</v>
      </c>
      <c r="AK946" s="55">
        <f>VLOOKUP($E946,'NI-Ric_SP'!$C:$AN,MID(AK$1,1,2),FALSE)</f>
        <v>0</v>
      </c>
      <c r="AL946" s="55">
        <f>VLOOKUP($E946,'NI-Ric_SP'!$C:$AN,MID(AL$1,1,2),FALSE)</f>
        <v>0</v>
      </c>
      <c r="AM946" s="56">
        <f>VLOOKUP($E946,'NI-Ric_SP'!$C:$AN,MID(AM$1,1,2),FALSE)</f>
        <v>0</v>
      </c>
      <c r="AN946" s="30" t="str">
        <f t="shared" si="14"/>
        <v>10206020050020</v>
      </c>
    </row>
    <row r="947" spans="3:40" x14ac:dyDescent="0.25">
      <c r="C947" s="40"/>
      <c r="D947" s="101" t="s">
        <v>842</v>
      </c>
      <c r="E947" s="101" t="s">
        <v>843</v>
      </c>
      <c r="F947" s="102" t="s">
        <v>2750</v>
      </c>
      <c r="G947" s="52"/>
      <c r="H947" s="52"/>
      <c r="I947" s="52" t="s">
        <v>844</v>
      </c>
      <c r="J947" s="52" t="s">
        <v>844</v>
      </c>
      <c r="K947" s="59" t="s">
        <v>111</v>
      </c>
      <c r="L947" s="52"/>
      <c r="M947" s="52"/>
      <c r="N947" s="52"/>
      <c r="O947" s="61" t="s">
        <v>845</v>
      </c>
      <c r="P947" s="76" t="s">
        <v>846</v>
      </c>
      <c r="Q947" s="55">
        <f>VLOOKUP(E947,'NI-Ric_SP'!$C:$AN,12,FALSE)</f>
        <v>0</v>
      </c>
      <c r="R947" s="55">
        <f>VLOOKUP(E947,'NI-Ric_SP'!$C:$AN,13,FALSE)</f>
        <v>0</v>
      </c>
      <c r="S947" s="55"/>
      <c r="T947" s="55"/>
      <c r="U947" s="55">
        <f>VLOOKUP($E947,'NI-Ric_SP'!$C:$AN,MID(U$1,1,2),FALSE)</f>
        <v>0</v>
      </c>
      <c r="V947" s="55">
        <f>VLOOKUP($E947,'NI-Ric_SP'!$C:$AN,MID(V$1,1,2),FALSE)</f>
        <v>0</v>
      </c>
      <c r="W947" s="55">
        <f>VLOOKUP($E947,'NI-Ric_SP'!$C:$AN,MID(W$1,1,2),FALSE)</f>
        <v>0</v>
      </c>
      <c r="X947" s="55">
        <f>VLOOKUP($E947,'NI-Ric_SP'!$C:$AN,MID(X$1,1,2),FALSE)</f>
        <v>0</v>
      </c>
      <c r="Y947" s="55">
        <f>VLOOKUP($E947,'NI-Ric_SP'!$C:$AN,MID(Y$1,1,2),FALSE)</f>
        <v>0</v>
      </c>
      <c r="Z947" s="55">
        <f>VLOOKUP($E947,'NI-Ric_SP'!$C:$AN,MID(Z$1,1,2),FALSE)</f>
        <v>0</v>
      </c>
      <c r="AA947" s="55">
        <f>VLOOKUP($E947,'NI-Ric_SP'!$C:$AN,MID(AA$1,1,2),FALSE)</f>
        <v>0</v>
      </c>
      <c r="AB947" s="55">
        <f>VLOOKUP($E947,'NI-Ric_SP'!$C:$AN,MID(AB$1,1,2),FALSE)</f>
        <v>0</v>
      </c>
      <c r="AC947" s="55">
        <f>VLOOKUP($E947,'NI-Ric_SP'!$C:$AN,MID(AC$1,1,2),FALSE)</f>
        <v>0</v>
      </c>
      <c r="AD947" s="55">
        <f>VLOOKUP($E947,'NI-Ric_SP'!$C:$AN,MID(AD$1,1,2),FALSE)</f>
        <v>0</v>
      </c>
      <c r="AE947" s="55">
        <f>VLOOKUP($E947,'NI-Ric_SP'!$C:$AN,MID(AE$1,1,2),FALSE)</f>
        <v>0</v>
      </c>
      <c r="AF947" s="55">
        <f>VLOOKUP($E947,'NI-Ric_SP'!$C:$AN,MID(AF$1,1,2),FALSE)</f>
        <v>0</v>
      </c>
      <c r="AG947" s="55">
        <f>VLOOKUP($E947,'NI-Ric_SP'!$C:$AN,MID(AG$1,1,2),FALSE)</f>
        <v>0</v>
      </c>
      <c r="AH947" s="55">
        <f>VLOOKUP($E947,'NI-Ric_SP'!$C:$AN,MID(AH$1,1,2),FALSE)</f>
        <v>0</v>
      </c>
      <c r="AI947" s="55">
        <f>VLOOKUP($E947,'NI-Ric_SP'!$C:$AN,MID(AI$1,1,2),FALSE)</f>
        <v>0</v>
      </c>
      <c r="AJ947" s="55">
        <f>VLOOKUP($E947,'NI-Ric_SP'!$C:$AN,MID(AJ$1,1,2),FALSE)</f>
        <v>0</v>
      </c>
      <c r="AK947" s="55">
        <f>VLOOKUP($E947,'NI-Ric_SP'!$C:$AN,MID(AK$1,1,2),FALSE)</f>
        <v>0</v>
      </c>
      <c r="AL947" s="55">
        <f>VLOOKUP($E947,'NI-Ric_SP'!$C:$AN,MID(AL$1,1,2),FALSE)</f>
        <v>0</v>
      </c>
      <c r="AM947" s="56">
        <f>VLOOKUP($E947,'NI-Ric_SP'!$C:$AN,MID(AM$1,1,2),FALSE)</f>
        <v>0</v>
      </c>
      <c r="AN947" s="30" t="str">
        <f t="shared" si="14"/>
        <v>10207000000000</v>
      </c>
    </row>
    <row r="948" spans="3:40" x14ac:dyDescent="0.25">
      <c r="C948" s="40"/>
      <c r="D948" s="101" t="s">
        <v>847</v>
      </c>
      <c r="E948" s="101" t="s">
        <v>848</v>
      </c>
      <c r="F948" s="102" t="s">
        <v>2750</v>
      </c>
      <c r="G948" s="52"/>
      <c r="H948" s="52"/>
      <c r="I948" s="52"/>
      <c r="J948" s="52"/>
      <c r="K948" s="59" t="s">
        <v>111</v>
      </c>
      <c r="L948" s="62" t="s">
        <v>849</v>
      </c>
      <c r="M948" s="52"/>
      <c r="N948" s="52"/>
      <c r="O948" s="52"/>
      <c r="P948" s="76" t="s">
        <v>850</v>
      </c>
      <c r="Q948" s="55">
        <f>VLOOKUP(E948,'NI-Ric_SP'!$C:$AN,12,FALSE)</f>
        <v>0</v>
      </c>
      <c r="R948" s="55">
        <f>VLOOKUP(E948,'NI-Ric_SP'!$C:$AN,13,FALSE)</f>
        <v>0</v>
      </c>
      <c r="S948" s="55"/>
      <c r="T948" s="55"/>
      <c r="U948" s="55">
        <f>VLOOKUP($E948,'NI-Ric_SP'!$C:$AN,MID(U$1,1,2),FALSE)</f>
        <v>0</v>
      </c>
      <c r="V948" s="55">
        <f>VLOOKUP($E948,'NI-Ric_SP'!$C:$AN,MID(V$1,1,2),FALSE)</f>
        <v>0</v>
      </c>
      <c r="W948" s="55">
        <f>VLOOKUP($E948,'NI-Ric_SP'!$C:$AN,MID(W$1,1,2),FALSE)</f>
        <v>0</v>
      </c>
      <c r="X948" s="55">
        <f>VLOOKUP($E948,'NI-Ric_SP'!$C:$AN,MID(X$1,1,2),FALSE)</f>
        <v>0</v>
      </c>
      <c r="Y948" s="55">
        <f>VLOOKUP($E948,'NI-Ric_SP'!$C:$AN,MID(Y$1,1,2),FALSE)</f>
        <v>0</v>
      </c>
      <c r="Z948" s="55">
        <f>VLOOKUP($E948,'NI-Ric_SP'!$C:$AN,MID(Z$1,1,2),FALSE)</f>
        <v>0</v>
      </c>
      <c r="AA948" s="55">
        <f>VLOOKUP($E948,'NI-Ric_SP'!$C:$AN,MID(AA$1,1,2),FALSE)</f>
        <v>0</v>
      </c>
      <c r="AB948" s="55">
        <f>VLOOKUP($E948,'NI-Ric_SP'!$C:$AN,MID(AB$1,1,2),FALSE)</f>
        <v>0</v>
      </c>
      <c r="AC948" s="55">
        <f>VLOOKUP($E948,'NI-Ric_SP'!$C:$AN,MID(AC$1,1,2),FALSE)</f>
        <v>0</v>
      </c>
      <c r="AD948" s="55">
        <f>VLOOKUP($E948,'NI-Ric_SP'!$C:$AN,MID(AD$1,1,2),FALSE)</f>
        <v>0</v>
      </c>
      <c r="AE948" s="55">
        <f>VLOOKUP($E948,'NI-Ric_SP'!$C:$AN,MID(AE$1,1,2),FALSE)</f>
        <v>0</v>
      </c>
      <c r="AF948" s="55">
        <f>VLOOKUP($E948,'NI-Ric_SP'!$C:$AN,MID(AF$1,1,2),FALSE)</f>
        <v>0</v>
      </c>
      <c r="AG948" s="55">
        <f>VLOOKUP($E948,'NI-Ric_SP'!$C:$AN,MID(AG$1,1,2),FALSE)</f>
        <v>0</v>
      </c>
      <c r="AH948" s="55">
        <f>VLOOKUP($E948,'NI-Ric_SP'!$C:$AN,MID(AH$1,1,2),FALSE)</f>
        <v>0</v>
      </c>
      <c r="AI948" s="55">
        <f>VLOOKUP($E948,'NI-Ric_SP'!$C:$AN,MID(AI$1,1,2),FALSE)</f>
        <v>0</v>
      </c>
      <c r="AJ948" s="55">
        <f>VLOOKUP($E948,'NI-Ric_SP'!$C:$AN,MID(AJ$1,1,2),FALSE)</f>
        <v>0</v>
      </c>
      <c r="AK948" s="55">
        <f>VLOOKUP($E948,'NI-Ric_SP'!$C:$AN,MID(AK$1,1,2),FALSE)</f>
        <v>0</v>
      </c>
      <c r="AL948" s="55">
        <f>VLOOKUP($E948,'NI-Ric_SP'!$C:$AN,MID(AL$1,1,2),FALSE)</f>
        <v>0</v>
      </c>
      <c r="AM948" s="56">
        <f>VLOOKUP($E948,'NI-Ric_SP'!$C:$AN,MID(AM$1,1,2),FALSE)</f>
        <v>0</v>
      </c>
      <c r="AN948" s="30" t="str">
        <f t="shared" si="14"/>
        <v>10207010000000</v>
      </c>
    </row>
    <row r="949" spans="3:40" x14ac:dyDescent="0.25">
      <c r="C949" s="40"/>
      <c r="D949" s="101" t="s">
        <v>851</v>
      </c>
      <c r="E949" s="101" t="s">
        <v>852</v>
      </c>
      <c r="F949" s="102" t="s">
        <v>2750</v>
      </c>
      <c r="G949" s="52"/>
      <c r="H949" s="52"/>
      <c r="I949" s="52"/>
      <c r="J949" s="52"/>
      <c r="K949" s="59" t="s">
        <v>79</v>
      </c>
      <c r="L949" s="52"/>
      <c r="M949" s="52"/>
      <c r="N949" s="52"/>
      <c r="O949" s="52"/>
      <c r="P949" s="76" t="s">
        <v>853</v>
      </c>
      <c r="Q949" s="55">
        <f>VLOOKUP(E949,'NI-Ric_SP'!$C:$AN,12,FALSE)</f>
        <v>0</v>
      </c>
      <c r="R949" s="55">
        <f>VLOOKUP(E949,'NI-Ric_SP'!$C:$AN,13,FALSE)</f>
        <v>0</v>
      </c>
      <c r="S949" s="55"/>
      <c r="T949" s="55"/>
      <c r="U949" s="55">
        <f>VLOOKUP($E949,'NI-Ric_SP'!$C:$AN,MID(U$1,1,2),FALSE)</f>
        <v>0</v>
      </c>
      <c r="V949" s="55">
        <f>VLOOKUP($E949,'NI-Ric_SP'!$C:$AN,MID(V$1,1,2),FALSE)</f>
        <v>0</v>
      </c>
      <c r="W949" s="55">
        <f>VLOOKUP($E949,'NI-Ric_SP'!$C:$AN,MID(W$1,1,2),FALSE)</f>
        <v>0</v>
      </c>
      <c r="X949" s="55">
        <f>VLOOKUP($E949,'NI-Ric_SP'!$C:$AN,MID(X$1,1,2),FALSE)</f>
        <v>0</v>
      </c>
      <c r="Y949" s="55">
        <f>VLOOKUP($E949,'NI-Ric_SP'!$C:$AN,MID(Y$1,1,2),FALSE)</f>
        <v>0</v>
      </c>
      <c r="Z949" s="55">
        <f>VLOOKUP($E949,'NI-Ric_SP'!$C:$AN,MID(Z$1,1,2),FALSE)</f>
        <v>0</v>
      </c>
      <c r="AA949" s="55">
        <f>VLOOKUP($E949,'NI-Ric_SP'!$C:$AN,MID(AA$1,1,2),FALSE)</f>
        <v>0</v>
      </c>
      <c r="AB949" s="55">
        <f>VLOOKUP($E949,'NI-Ric_SP'!$C:$AN,MID(AB$1,1,2),FALSE)</f>
        <v>0</v>
      </c>
      <c r="AC949" s="55">
        <f>VLOOKUP($E949,'NI-Ric_SP'!$C:$AN,MID(AC$1,1,2),FALSE)</f>
        <v>0</v>
      </c>
      <c r="AD949" s="55">
        <f>VLOOKUP($E949,'NI-Ric_SP'!$C:$AN,MID(AD$1,1,2),FALSE)</f>
        <v>0</v>
      </c>
      <c r="AE949" s="55">
        <f>VLOOKUP($E949,'NI-Ric_SP'!$C:$AN,MID(AE$1,1,2),FALSE)</f>
        <v>0</v>
      </c>
      <c r="AF949" s="55">
        <f>VLOOKUP($E949,'NI-Ric_SP'!$C:$AN,MID(AF$1,1,2),FALSE)</f>
        <v>0</v>
      </c>
      <c r="AG949" s="55">
        <f>VLOOKUP($E949,'NI-Ric_SP'!$C:$AN,MID(AG$1,1,2),FALSE)</f>
        <v>0</v>
      </c>
      <c r="AH949" s="55">
        <f>VLOOKUP($E949,'NI-Ric_SP'!$C:$AN,MID(AH$1,1,2),FALSE)</f>
        <v>0</v>
      </c>
      <c r="AI949" s="55">
        <f>VLOOKUP($E949,'NI-Ric_SP'!$C:$AN,MID(AI$1,1,2),FALSE)</f>
        <v>0</v>
      </c>
      <c r="AJ949" s="55">
        <f>VLOOKUP($E949,'NI-Ric_SP'!$C:$AN,MID(AJ$1,1,2),FALSE)</f>
        <v>0</v>
      </c>
      <c r="AK949" s="55">
        <f>VLOOKUP($E949,'NI-Ric_SP'!$C:$AN,MID(AK$1,1,2),FALSE)</f>
        <v>0</v>
      </c>
      <c r="AL949" s="55">
        <f>VLOOKUP($E949,'NI-Ric_SP'!$C:$AN,MID(AL$1,1,2),FALSE)</f>
        <v>0</v>
      </c>
      <c r="AM949" s="56">
        <f>VLOOKUP($E949,'NI-Ric_SP'!$C:$AN,MID(AM$1,1,2),FALSE)</f>
        <v>0</v>
      </c>
      <c r="AN949" s="30" t="str">
        <f t="shared" si="14"/>
        <v>10207010010000</v>
      </c>
    </row>
    <row r="950" spans="3:40" x14ac:dyDescent="0.25">
      <c r="C950" s="40"/>
      <c r="D950" s="101" t="s">
        <v>854</v>
      </c>
      <c r="E950" s="101" t="s">
        <v>855</v>
      </c>
      <c r="F950" s="102" t="s">
        <v>2750</v>
      </c>
      <c r="G950" s="52"/>
      <c r="H950" s="52"/>
      <c r="I950" s="52"/>
      <c r="J950" s="52"/>
      <c r="K950" s="59" t="s">
        <v>111</v>
      </c>
      <c r="L950" s="52"/>
      <c r="M950" s="52"/>
      <c r="N950" s="52"/>
      <c r="O950" s="61" t="s">
        <v>856</v>
      </c>
      <c r="P950" s="76" t="s">
        <v>857</v>
      </c>
      <c r="Q950" s="55">
        <f>VLOOKUP(E950,'NI-Ric_SP'!$C:$AN,12,FALSE)</f>
        <v>0</v>
      </c>
      <c r="R950" s="55">
        <f>VLOOKUP(E950,'NI-Ric_SP'!$C:$AN,13,FALSE)</f>
        <v>0</v>
      </c>
      <c r="S950" s="55"/>
      <c r="T950" s="55"/>
      <c r="U950" s="55">
        <f>VLOOKUP($E950,'NI-Ric_SP'!$C:$AN,MID(U$1,1,2),FALSE)</f>
        <v>0</v>
      </c>
      <c r="V950" s="55">
        <f>VLOOKUP($E950,'NI-Ric_SP'!$C:$AN,MID(V$1,1,2),FALSE)</f>
        <v>0</v>
      </c>
      <c r="W950" s="55">
        <f>VLOOKUP($E950,'NI-Ric_SP'!$C:$AN,MID(W$1,1,2),FALSE)</f>
        <v>0</v>
      </c>
      <c r="X950" s="55">
        <f>VLOOKUP($E950,'NI-Ric_SP'!$C:$AN,MID(X$1,1,2),FALSE)</f>
        <v>0</v>
      </c>
      <c r="Y950" s="55">
        <f>VLOOKUP($E950,'NI-Ric_SP'!$C:$AN,MID(Y$1,1,2),FALSE)</f>
        <v>0</v>
      </c>
      <c r="Z950" s="55">
        <f>VLOOKUP($E950,'NI-Ric_SP'!$C:$AN,MID(Z$1,1,2),FALSE)</f>
        <v>0</v>
      </c>
      <c r="AA950" s="55">
        <f>VLOOKUP($E950,'NI-Ric_SP'!$C:$AN,MID(AA$1,1,2),FALSE)</f>
        <v>0</v>
      </c>
      <c r="AB950" s="55">
        <f>VLOOKUP($E950,'NI-Ric_SP'!$C:$AN,MID(AB$1,1,2),FALSE)</f>
        <v>0</v>
      </c>
      <c r="AC950" s="55">
        <f>VLOOKUP($E950,'NI-Ric_SP'!$C:$AN,MID(AC$1,1,2),FALSE)</f>
        <v>0</v>
      </c>
      <c r="AD950" s="55">
        <f>VLOOKUP($E950,'NI-Ric_SP'!$C:$AN,MID(AD$1,1,2),FALSE)</f>
        <v>0</v>
      </c>
      <c r="AE950" s="55">
        <f>VLOOKUP($E950,'NI-Ric_SP'!$C:$AN,MID(AE$1,1,2),FALSE)</f>
        <v>0</v>
      </c>
      <c r="AF950" s="55">
        <f>VLOOKUP($E950,'NI-Ric_SP'!$C:$AN,MID(AF$1,1,2),FALSE)</f>
        <v>0</v>
      </c>
      <c r="AG950" s="55">
        <f>VLOOKUP($E950,'NI-Ric_SP'!$C:$AN,MID(AG$1,1,2),FALSE)</f>
        <v>0</v>
      </c>
      <c r="AH950" s="55">
        <f>VLOOKUP($E950,'NI-Ric_SP'!$C:$AN,MID(AH$1,1,2),FALSE)</f>
        <v>0</v>
      </c>
      <c r="AI950" s="55">
        <f>VLOOKUP($E950,'NI-Ric_SP'!$C:$AN,MID(AI$1,1,2),FALSE)</f>
        <v>0</v>
      </c>
      <c r="AJ950" s="55">
        <f>VLOOKUP($E950,'NI-Ric_SP'!$C:$AN,MID(AJ$1,1,2),FALSE)</f>
        <v>0</v>
      </c>
      <c r="AK950" s="55">
        <f>VLOOKUP($E950,'NI-Ric_SP'!$C:$AN,MID(AK$1,1,2),FALSE)</f>
        <v>0</v>
      </c>
      <c r="AL950" s="55">
        <f>VLOOKUP($E950,'NI-Ric_SP'!$C:$AN,MID(AL$1,1,2),FALSE)</f>
        <v>0</v>
      </c>
      <c r="AM950" s="56">
        <f>VLOOKUP($E950,'NI-Ric_SP'!$C:$AN,MID(AM$1,1,2),FALSE)</f>
        <v>0</v>
      </c>
      <c r="AN950" s="30" t="str">
        <f t="shared" si="14"/>
        <v>10208000000000</v>
      </c>
    </row>
    <row r="951" spans="3:40" x14ac:dyDescent="0.25">
      <c r="C951" s="40"/>
      <c r="D951" s="101" t="s">
        <v>858</v>
      </c>
      <c r="E951" s="101" t="s">
        <v>859</v>
      </c>
      <c r="F951" s="102" t="s">
        <v>2750</v>
      </c>
      <c r="G951" s="52"/>
      <c r="H951" s="52"/>
      <c r="I951" s="52" t="s">
        <v>860</v>
      </c>
      <c r="J951" s="52" t="s">
        <v>860</v>
      </c>
      <c r="K951" s="59" t="s">
        <v>111</v>
      </c>
      <c r="L951" s="62" t="s">
        <v>861</v>
      </c>
      <c r="M951" s="52"/>
      <c r="N951" s="52"/>
      <c r="O951" s="52"/>
      <c r="P951" s="76" t="s">
        <v>862</v>
      </c>
      <c r="Q951" s="55">
        <f>VLOOKUP(E951,'NI-Ric_SP'!$C:$AN,12,FALSE)</f>
        <v>0</v>
      </c>
      <c r="R951" s="55">
        <f>VLOOKUP(E951,'NI-Ric_SP'!$C:$AN,13,FALSE)</f>
        <v>0</v>
      </c>
      <c r="S951" s="55"/>
      <c r="T951" s="55"/>
      <c r="U951" s="55">
        <f>VLOOKUP($E951,'NI-Ric_SP'!$C:$AN,MID(U$1,1,2),FALSE)</f>
        <v>0</v>
      </c>
      <c r="V951" s="55">
        <f>VLOOKUP($E951,'NI-Ric_SP'!$C:$AN,MID(V$1,1,2),FALSE)</f>
        <v>0</v>
      </c>
      <c r="W951" s="55">
        <f>VLOOKUP($E951,'NI-Ric_SP'!$C:$AN,MID(W$1,1,2),FALSE)</f>
        <v>0</v>
      </c>
      <c r="X951" s="55">
        <f>VLOOKUP($E951,'NI-Ric_SP'!$C:$AN,MID(X$1,1,2),FALSE)</f>
        <v>0</v>
      </c>
      <c r="Y951" s="55">
        <f>VLOOKUP($E951,'NI-Ric_SP'!$C:$AN,MID(Y$1,1,2),FALSE)</f>
        <v>0</v>
      </c>
      <c r="Z951" s="55">
        <f>VLOOKUP($E951,'NI-Ric_SP'!$C:$AN,MID(Z$1,1,2),FALSE)</f>
        <v>0</v>
      </c>
      <c r="AA951" s="55">
        <f>VLOOKUP($E951,'NI-Ric_SP'!$C:$AN,MID(AA$1,1,2),FALSE)</f>
        <v>0</v>
      </c>
      <c r="AB951" s="55">
        <f>VLOOKUP($E951,'NI-Ric_SP'!$C:$AN,MID(AB$1,1,2),FALSE)</f>
        <v>0</v>
      </c>
      <c r="AC951" s="55">
        <f>VLOOKUP($E951,'NI-Ric_SP'!$C:$AN,MID(AC$1,1,2),FALSE)</f>
        <v>0</v>
      </c>
      <c r="AD951" s="55">
        <f>VLOOKUP($E951,'NI-Ric_SP'!$C:$AN,MID(AD$1,1,2),FALSE)</f>
        <v>0</v>
      </c>
      <c r="AE951" s="55">
        <f>VLOOKUP($E951,'NI-Ric_SP'!$C:$AN,MID(AE$1,1,2),FALSE)</f>
        <v>0</v>
      </c>
      <c r="AF951" s="55">
        <f>VLOOKUP($E951,'NI-Ric_SP'!$C:$AN,MID(AF$1,1,2),FALSE)</f>
        <v>0</v>
      </c>
      <c r="AG951" s="55">
        <f>VLOOKUP($E951,'NI-Ric_SP'!$C:$AN,MID(AG$1,1,2),FALSE)</f>
        <v>0</v>
      </c>
      <c r="AH951" s="55">
        <f>VLOOKUP($E951,'NI-Ric_SP'!$C:$AN,MID(AH$1,1,2),FALSE)</f>
        <v>0</v>
      </c>
      <c r="AI951" s="55">
        <f>VLOOKUP($E951,'NI-Ric_SP'!$C:$AN,MID(AI$1,1,2),FALSE)</f>
        <v>0</v>
      </c>
      <c r="AJ951" s="55">
        <f>VLOOKUP($E951,'NI-Ric_SP'!$C:$AN,MID(AJ$1,1,2),FALSE)</f>
        <v>0</v>
      </c>
      <c r="AK951" s="55">
        <f>VLOOKUP($E951,'NI-Ric_SP'!$C:$AN,MID(AK$1,1,2),FALSE)</f>
        <v>0</v>
      </c>
      <c r="AL951" s="55">
        <f>VLOOKUP($E951,'NI-Ric_SP'!$C:$AN,MID(AL$1,1,2),FALSE)</f>
        <v>0</v>
      </c>
      <c r="AM951" s="56">
        <f>VLOOKUP($E951,'NI-Ric_SP'!$C:$AN,MID(AM$1,1,2),FALSE)</f>
        <v>0</v>
      </c>
      <c r="AN951" s="30" t="str">
        <f t="shared" si="14"/>
        <v>10208010000000</v>
      </c>
    </row>
    <row r="952" spans="3:40" x14ac:dyDescent="0.25">
      <c r="C952" s="40"/>
      <c r="D952" s="101" t="s">
        <v>863</v>
      </c>
      <c r="E952" s="101" t="s">
        <v>864</v>
      </c>
      <c r="F952" s="102" t="s">
        <v>2750</v>
      </c>
      <c r="G952" s="52"/>
      <c r="H952" s="52"/>
      <c r="I952" s="52"/>
      <c r="J952" s="52"/>
      <c r="K952" s="59" t="s">
        <v>79</v>
      </c>
      <c r="L952" s="52"/>
      <c r="M952" s="52"/>
      <c r="N952" s="52"/>
      <c r="O952" s="52"/>
      <c r="P952" s="76" t="s">
        <v>865</v>
      </c>
      <c r="Q952" s="55">
        <f>VLOOKUP(E952,'NI-Ric_SP'!$C:$AN,12,FALSE)</f>
        <v>0</v>
      </c>
      <c r="R952" s="55">
        <f>VLOOKUP(E952,'NI-Ric_SP'!$C:$AN,13,FALSE)</f>
        <v>0</v>
      </c>
      <c r="S952" s="55"/>
      <c r="T952" s="55"/>
      <c r="U952" s="55">
        <f>VLOOKUP($E952,'NI-Ric_SP'!$C:$AN,MID(U$1,1,2),FALSE)</f>
        <v>0</v>
      </c>
      <c r="V952" s="55">
        <f>VLOOKUP($E952,'NI-Ric_SP'!$C:$AN,MID(V$1,1,2),FALSE)</f>
        <v>0</v>
      </c>
      <c r="W952" s="55">
        <f>VLOOKUP($E952,'NI-Ric_SP'!$C:$AN,MID(W$1,1,2),FALSE)</f>
        <v>0</v>
      </c>
      <c r="X952" s="55">
        <f>VLOOKUP($E952,'NI-Ric_SP'!$C:$AN,MID(X$1,1,2),FALSE)</f>
        <v>0</v>
      </c>
      <c r="Y952" s="55">
        <f>VLOOKUP($E952,'NI-Ric_SP'!$C:$AN,MID(Y$1,1,2),FALSE)</f>
        <v>0</v>
      </c>
      <c r="Z952" s="55">
        <f>VLOOKUP($E952,'NI-Ric_SP'!$C:$AN,MID(Z$1,1,2),FALSE)</f>
        <v>0</v>
      </c>
      <c r="AA952" s="55">
        <f>VLOOKUP($E952,'NI-Ric_SP'!$C:$AN,MID(AA$1,1,2),FALSE)</f>
        <v>0</v>
      </c>
      <c r="AB952" s="55">
        <f>VLOOKUP($E952,'NI-Ric_SP'!$C:$AN,MID(AB$1,1,2),FALSE)</f>
        <v>0</v>
      </c>
      <c r="AC952" s="55">
        <f>VLOOKUP($E952,'NI-Ric_SP'!$C:$AN,MID(AC$1,1,2),FALSE)</f>
        <v>0</v>
      </c>
      <c r="AD952" s="55">
        <f>VLOOKUP($E952,'NI-Ric_SP'!$C:$AN,MID(AD$1,1,2),FALSE)</f>
        <v>0</v>
      </c>
      <c r="AE952" s="55">
        <f>VLOOKUP($E952,'NI-Ric_SP'!$C:$AN,MID(AE$1,1,2),FALSE)</f>
        <v>0</v>
      </c>
      <c r="AF952" s="55">
        <f>VLOOKUP($E952,'NI-Ric_SP'!$C:$AN,MID(AF$1,1,2),FALSE)</f>
        <v>0</v>
      </c>
      <c r="AG952" s="55">
        <f>VLOOKUP($E952,'NI-Ric_SP'!$C:$AN,MID(AG$1,1,2),FALSE)</f>
        <v>0</v>
      </c>
      <c r="AH952" s="55">
        <f>VLOOKUP($E952,'NI-Ric_SP'!$C:$AN,MID(AH$1,1,2),FALSE)</f>
        <v>0</v>
      </c>
      <c r="AI952" s="55">
        <f>VLOOKUP($E952,'NI-Ric_SP'!$C:$AN,MID(AI$1,1,2),FALSE)</f>
        <v>0</v>
      </c>
      <c r="AJ952" s="55">
        <f>VLOOKUP($E952,'NI-Ric_SP'!$C:$AN,MID(AJ$1,1,2),FALSE)</f>
        <v>0</v>
      </c>
      <c r="AK952" s="55">
        <f>VLOOKUP($E952,'NI-Ric_SP'!$C:$AN,MID(AK$1,1,2),FALSE)</f>
        <v>0</v>
      </c>
      <c r="AL952" s="55">
        <f>VLOOKUP($E952,'NI-Ric_SP'!$C:$AN,MID(AL$1,1,2),FALSE)</f>
        <v>0</v>
      </c>
      <c r="AM952" s="56">
        <f>VLOOKUP($E952,'NI-Ric_SP'!$C:$AN,MID(AM$1,1,2),FALSE)</f>
        <v>0</v>
      </c>
      <c r="AN952" s="30" t="str">
        <f t="shared" si="14"/>
        <v>10208010010010</v>
      </c>
    </row>
    <row r="953" spans="3:40" x14ac:dyDescent="0.25">
      <c r="C953" s="40"/>
      <c r="D953" s="101" t="s">
        <v>866</v>
      </c>
      <c r="E953" s="101" t="s">
        <v>867</v>
      </c>
      <c r="F953" s="102" t="s">
        <v>2750</v>
      </c>
      <c r="G953" s="52"/>
      <c r="H953" s="52"/>
      <c r="I953" s="52"/>
      <c r="J953" s="52"/>
      <c r="K953" s="59" t="s">
        <v>79</v>
      </c>
      <c r="L953" s="52"/>
      <c r="M953" s="52"/>
      <c r="N953" s="52"/>
      <c r="O953" s="52"/>
      <c r="P953" s="76" t="s">
        <v>868</v>
      </c>
      <c r="Q953" s="55">
        <f>VLOOKUP(E953,'NI-Ric_SP'!$C:$AN,12,FALSE)</f>
        <v>0</v>
      </c>
      <c r="R953" s="55">
        <f>VLOOKUP(E953,'NI-Ric_SP'!$C:$AN,13,FALSE)</f>
        <v>0</v>
      </c>
      <c r="S953" s="55"/>
      <c r="T953" s="55"/>
      <c r="U953" s="55">
        <f>VLOOKUP($E953,'NI-Ric_SP'!$C:$AN,MID(U$1,1,2),FALSE)</f>
        <v>0</v>
      </c>
      <c r="V953" s="55">
        <f>VLOOKUP($E953,'NI-Ric_SP'!$C:$AN,MID(V$1,1,2),FALSE)</f>
        <v>0</v>
      </c>
      <c r="W953" s="55">
        <f>VLOOKUP($E953,'NI-Ric_SP'!$C:$AN,MID(W$1,1,2),FALSE)</f>
        <v>0</v>
      </c>
      <c r="X953" s="55">
        <f>VLOOKUP($E953,'NI-Ric_SP'!$C:$AN,MID(X$1,1,2),FALSE)</f>
        <v>0</v>
      </c>
      <c r="Y953" s="55">
        <f>VLOOKUP($E953,'NI-Ric_SP'!$C:$AN,MID(Y$1,1,2),FALSE)</f>
        <v>0</v>
      </c>
      <c r="Z953" s="55">
        <f>VLOOKUP($E953,'NI-Ric_SP'!$C:$AN,MID(Z$1,1,2),FALSE)</f>
        <v>0</v>
      </c>
      <c r="AA953" s="55">
        <f>VLOOKUP($E953,'NI-Ric_SP'!$C:$AN,MID(AA$1,1,2),FALSE)</f>
        <v>0</v>
      </c>
      <c r="AB953" s="55">
        <f>VLOOKUP($E953,'NI-Ric_SP'!$C:$AN,MID(AB$1,1,2),FALSE)</f>
        <v>0</v>
      </c>
      <c r="AC953" s="55">
        <f>VLOOKUP($E953,'NI-Ric_SP'!$C:$AN,MID(AC$1,1,2),FALSE)</f>
        <v>0</v>
      </c>
      <c r="AD953" s="55">
        <f>VLOOKUP($E953,'NI-Ric_SP'!$C:$AN,MID(AD$1,1,2),FALSE)</f>
        <v>0</v>
      </c>
      <c r="AE953" s="55">
        <f>VLOOKUP($E953,'NI-Ric_SP'!$C:$AN,MID(AE$1,1,2),FALSE)</f>
        <v>0</v>
      </c>
      <c r="AF953" s="55">
        <f>VLOOKUP($E953,'NI-Ric_SP'!$C:$AN,MID(AF$1,1,2),FALSE)</f>
        <v>0</v>
      </c>
      <c r="AG953" s="55">
        <f>VLOOKUP($E953,'NI-Ric_SP'!$C:$AN,MID(AG$1,1,2),FALSE)</f>
        <v>0</v>
      </c>
      <c r="AH953" s="55">
        <f>VLOOKUP($E953,'NI-Ric_SP'!$C:$AN,MID(AH$1,1,2),FALSE)</f>
        <v>0</v>
      </c>
      <c r="AI953" s="55">
        <f>VLOOKUP($E953,'NI-Ric_SP'!$C:$AN,MID(AI$1,1,2),FALSE)</f>
        <v>0</v>
      </c>
      <c r="AJ953" s="55">
        <f>VLOOKUP($E953,'NI-Ric_SP'!$C:$AN,MID(AJ$1,1,2),FALSE)</f>
        <v>0</v>
      </c>
      <c r="AK953" s="55">
        <f>VLOOKUP($E953,'NI-Ric_SP'!$C:$AN,MID(AK$1,1,2),FALSE)</f>
        <v>0</v>
      </c>
      <c r="AL953" s="55">
        <f>VLOOKUP($E953,'NI-Ric_SP'!$C:$AN,MID(AL$1,1,2),FALSE)</f>
        <v>0</v>
      </c>
      <c r="AM953" s="56">
        <f>VLOOKUP($E953,'NI-Ric_SP'!$C:$AN,MID(AM$1,1,2),FALSE)</f>
        <v>0</v>
      </c>
      <c r="AN953" s="30" t="str">
        <f t="shared" si="14"/>
        <v>10208010010020</v>
      </c>
    </row>
    <row r="954" spans="3:40" x14ac:dyDescent="0.25">
      <c r="C954" s="40"/>
      <c r="D954" s="101" t="s">
        <v>869</v>
      </c>
      <c r="E954" s="101" t="s">
        <v>870</v>
      </c>
      <c r="F954" s="102" t="s">
        <v>2750</v>
      </c>
      <c r="G954" s="52"/>
      <c r="H954" s="52"/>
      <c r="I954" s="52"/>
      <c r="J954" s="52"/>
      <c r="K954" s="59" t="s">
        <v>79</v>
      </c>
      <c r="L954" s="52"/>
      <c r="M954" s="52"/>
      <c r="N954" s="52"/>
      <c r="O954" s="52"/>
      <c r="P954" s="76" t="s">
        <v>871</v>
      </c>
      <c r="Q954" s="55">
        <f>VLOOKUP(E954,'NI-Ric_SP'!$C:$AN,12,FALSE)</f>
        <v>0</v>
      </c>
      <c r="R954" s="55">
        <f>VLOOKUP(E954,'NI-Ric_SP'!$C:$AN,13,FALSE)</f>
        <v>0</v>
      </c>
      <c r="S954" s="55"/>
      <c r="T954" s="55"/>
      <c r="U954" s="55">
        <f>VLOOKUP($E954,'NI-Ric_SP'!$C:$AN,MID(U$1,1,2),FALSE)</f>
        <v>0</v>
      </c>
      <c r="V954" s="55">
        <f>VLOOKUP($E954,'NI-Ric_SP'!$C:$AN,MID(V$1,1,2),FALSE)</f>
        <v>0</v>
      </c>
      <c r="W954" s="55">
        <f>VLOOKUP($E954,'NI-Ric_SP'!$C:$AN,MID(W$1,1,2),FALSE)</f>
        <v>0</v>
      </c>
      <c r="X954" s="55">
        <f>VLOOKUP($E954,'NI-Ric_SP'!$C:$AN,MID(X$1,1,2),FALSE)</f>
        <v>0</v>
      </c>
      <c r="Y954" s="55">
        <f>VLOOKUP($E954,'NI-Ric_SP'!$C:$AN,MID(Y$1,1,2),FALSE)</f>
        <v>0</v>
      </c>
      <c r="Z954" s="55">
        <f>VLOOKUP($E954,'NI-Ric_SP'!$C:$AN,MID(Z$1,1,2),FALSE)</f>
        <v>0</v>
      </c>
      <c r="AA954" s="55">
        <f>VLOOKUP($E954,'NI-Ric_SP'!$C:$AN,MID(AA$1,1,2),FALSE)</f>
        <v>0</v>
      </c>
      <c r="AB954" s="55">
        <f>VLOOKUP($E954,'NI-Ric_SP'!$C:$AN,MID(AB$1,1,2),FALSE)</f>
        <v>0</v>
      </c>
      <c r="AC954" s="55">
        <f>VLOOKUP($E954,'NI-Ric_SP'!$C:$AN,MID(AC$1,1,2),FALSE)</f>
        <v>0</v>
      </c>
      <c r="AD954" s="55">
        <f>VLOOKUP($E954,'NI-Ric_SP'!$C:$AN,MID(AD$1,1,2),FALSE)</f>
        <v>0</v>
      </c>
      <c r="AE954" s="55">
        <f>VLOOKUP($E954,'NI-Ric_SP'!$C:$AN,MID(AE$1,1,2),FALSE)</f>
        <v>0</v>
      </c>
      <c r="AF954" s="55">
        <f>VLOOKUP($E954,'NI-Ric_SP'!$C:$AN,MID(AF$1,1,2),FALSE)</f>
        <v>0</v>
      </c>
      <c r="AG954" s="55">
        <f>VLOOKUP($E954,'NI-Ric_SP'!$C:$AN,MID(AG$1,1,2),FALSE)</f>
        <v>0</v>
      </c>
      <c r="AH954" s="55">
        <f>VLOOKUP($E954,'NI-Ric_SP'!$C:$AN,MID(AH$1,1,2),FALSE)</f>
        <v>0</v>
      </c>
      <c r="AI954" s="55">
        <f>VLOOKUP($E954,'NI-Ric_SP'!$C:$AN,MID(AI$1,1,2),FALSE)</f>
        <v>0</v>
      </c>
      <c r="AJ954" s="55">
        <f>VLOOKUP($E954,'NI-Ric_SP'!$C:$AN,MID(AJ$1,1,2),FALSE)</f>
        <v>0</v>
      </c>
      <c r="AK954" s="55">
        <f>VLOOKUP($E954,'NI-Ric_SP'!$C:$AN,MID(AK$1,1,2),FALSE)</f>
        <v>0</v>
      </c>
      <c r="AL954" s="55">
        <f>VLOOKUP($E954,'NI-Ric_SP'!$C:$AN,MID(AL$1,1,2),FALSE)</f>
        <v>0</v>
      </c>
      <c r="AM954" s="56">
        <f>VLOOKUP($E954,'NI-Ric_SP'!$C:$AN,MID(AM$1,1,2),FALSE)</f>
        <v>0</v>
      </c>
      <c r="AN954" s="30" t="str">
        <f t="shared" si="14"/>
        <v>10208010020010</v>
      </c>
    </row>
    <row r="955" spans="3:40" x14ac:dyDescent="0.25">
      <c r="C955" s="40"/>
      <c r="D955" s="101" t="s">
        <v>872</v>
      </c>
      <c r="E955" s="101" t="s">
        <v>873</v>
      </c>
      <c r="F955" s="102" t="s">
        <v>2750</v>
      </c>
      <c r="G955" s="52"/>
      <c r="H955" s="52"/>
      <c r="I955" s="52"/>
      <c r="J955" s="52"/>
      <c r="K955" s="59" t="s">
        <v>79</v>
      </c>
      <c r="L955" s="52"/>
      <c r="M955" s="52"/>
      <c r="N955" s="52"/>
      <c r="O955" s="52"/>
      <c r="P955" s="76" t="s">
        <v>874</v>
      </c>
      <c r="Q955" s="55">
        <f>VLOOKUP(E955,'NI-Ric_SP'!$C:$AN,12,FALSE)</f>
        <v>0</v>
      </c>
      <c r="R955" s="55">
        <f>VLOOKUP(E955,'NI-Ric_SP'!$C:$AN,13,FALSE)</f>
        <v>0</v>
      </c>
      <c r="S955" s="55"/>
      <c r="T955" s="55"/>
      <c r="U955" s="55">
        <f>VLOOKUP($E955,'NI-Ric_SP'!$C:$AN,MID(U$1,1,2),FALSE)</f>
        <v>0</v>
      </c>
      <c r="V955" s="55">
        <f>VLOOKUP($E955,'NI-Ric_SP'!$C:$AN,MID(V$1,1,2),FALSE)</f>
        <v>0</v>
      </c>
      <c r="W955" s="55">
        <f>VLOOKUP($E955,'NI-Ric_SP'!$C:$AN,MID(W$1,1,2),FALSE)</f>
        <v>0</v>
      </c>
      <c r="X955" s="55">
        <f>VLOOKUP($E955,'NI-Ric_SP'!$C:$AN,MID(X$1,1,2),FALSE)</f>
        <v>0</v>
      </c>
      <c r="Y955" s="55">
        <f>VLOOKUP($E955,'NI-Ric_SP'!$C:$AN,MID(Y$1,1,2),FALSE)</f>
        <v>0</v>
      </c>
      <c r="Z955" s="55">
        <f>VLOOKUP($E955,'NI-Ric_SP'!$C:$AN,MID(Z$1,1,2),FALSE)</f>
        <v>0</v>
      </c>
      <c r="AA955" s="55">
        <f>VLOOKUP($E955,'NI-Ric_SP'!$C:$AN,MID(AA$1,1,2),FALSE)</f>
        <v>0</v>
      </c>
      <c r="AB955" s="55">
        <f>VLOOKUP($E955,'NI-Ric_SP'!$C:$AN,MID(AB$1,1,2),FALSE)</f>
        <v>0</v>
      </c>
      <c r="AC955" s="55">
        <f>VLOOKUP($E955,'NI-Ric_SP'!$C:$AN,MID(AC$1,1,2),FALSE)</f>
        <v>0</v>
      </c>
      <c r="AD955" s="55">
        <f>VLOOKUP($E955,'NI-Ric_SP'!$C:$AN,MID(AD$1,1,2),FALSE)</f>
        <v>0</v>
      </c>
      <c r="AE955" s="55">
        <f>VLOOKUP($E955,'NI-Ric_SP'!$C:$AN,MID(AE$1,1,2),FALSE)</f>
        <v>0</v>
      </c>
      <c r="AF955" s="55">
        <f>VLOOKUP($E955,'NI-Ric_SP'!$C:$AN,MID(AF$1,1,2),FALSE)</f>
        <v>0</v>
      </c>
      <c r="AG955" s="55">
        <f>VLOOKUP($E955,'NI-Ric_SP'!$C:$AN,MID(AG$1,1,2),FALSE)</f>
        <v>0</v>
      </c>
      <c r="AH955" s="55">
        <f>VLOOKUP($E955,'NI-Ric_SP'!$C:$AN,MID(AH$1,1,2),FALSE)</f>
        <v>0</v>
      </c>
      <c r="AI955" s="55">
        <f>VLOOKUP($E955,'NI-Ric_SP'!$C:$AN,MID(AI$1,1,2),FALSE)</f>
        <v>0</v>
      </c>
      <c r="AJ955" s="55">
        <f>VLOOKUP($E955,'NI-Ric_SP'!$C:$AN,MID(AJ$1,1,2),FALSE)</f>
        <v>0</v>
      </c>
      <c r="AK955" s="55">
        <f>VLOOKUP($E955,'NI-Ric_SP'!$C:$AN,MID(AK$1,1,2),FALSE)</f>
        <v>0</v>
      </c>
      <c r="AL955" s="55">
        <f>VLOOKUP($E955,'NI-Ric_SP'!$C:$AN,MID(AL$1,1,2),FALSE)</f>
        <v>0</v>
      </c>
      <c r="AM955" s="56">
        <f>VLOOKUP($E955,'NI-Ric_SP'!$C:$AN,MID(AM$1,1,2),FALSE)</f>
        <v>0</v>
      </c>
      <c r="AN955" s="30" t="str">
        <f t="shared" si="14"/>
        <v>10208010020020</v>
      </c>
    </row>
    <row r="956" spans="3:40" x14ac:dyDescent="0.25">
      <c r="C956" s="40"/>
      <c r="D956" s="101" t="s">
        <v>875</v>
      </c>
      <c r="E956" s="101" t="s">
        <v>876</v>
      </c>
      <c r="F956" s="102" t="s">
        <v>2750</v>
      </c>
      <c r="G956" s="52"/>
      <c r="H956" s="52"/>
      <c r="I956" s="52"/>
      <c r="J956" s="52"/>
      <c r="K956" s="59" t="s">
        <v>79</v>
      </c>
      <c r="L956" s="52"/>
      <c r="M956" s="52"/>
      <c r="N956" s="52"/>
      <c r="O956" s="52"/>
      <c r="P956" s="76" t="s">
        <v>877</v>
      </c>
      <c r="Q956" s="55">
        <f>VLOOKUP(E956,'NI-Ric_SP'!$C:$AN,12,FALSE)</f>
        <v>0</v>
      </c>
      <c r="R956" s="55">
        <f>VLOOKUP(E956,'NI-Ric_SP'!$C:$AN,13,FALSE)</f>
        <v>0</v>
      </c>
      <c r="S956" s="55"/>
      <c r="T956" s="55"/>
      <c r="U956" s="55">
        <f>VLOOKUP($E956,'NI-Ric_SP'!$C:$AN,MID(U$1,1,2),FALSE)</f>
        <v>0</v>
      </c>
      <c r="V956" s="55">
        <f>VLOOKUP($E956,'NI-Ric_SP'!$C:$AN,MID(V$1,1,2),FALSE)</f>
        <v>0</v>
      </c>
      <c r="W956" s="55">
        <f>VLOOKUP($E956,'NI-Ric_SP'!$C:$AN,MID(W$1,1,2),FALSE)</f>
        <v>0</v>
      </c>
      <c r="X956" s="55">
        <f>VLOOKUP($E956,'NI-Ric_SP'!$C:$AN,MID(X$1,1,2),FALSE)</f>
        <v>0</v>
      </c>
      <c r="Y956" s="55">
        <f>VLOOKUP($E956,'NI-Ric_SP'!$C:$AN,MID(Y$1,1,2),FALSE)</f>
        <v>0</v>
      </c>
      <c r="Z956" s="55">
        <f>VLOOKUP($E956,'NI-Ric_SP'!$C:$AN,MID(Z$1,1,2),FALSE)</f>
        <v>0</v>
      </c>
      <c r="AA956" s="55">
        <f>VLOOKUP($E956,'NI-Ric_SP'!$C:$AN,MID(AA$1,1,2),FALSE)</f>
        <v>0</v>
      </c>
      <c r="AB956" s="55">
        <f>VLOOKUP($E956,'NI-Ric_SP'!$C:$AN,MID(AB$1,1,2),FALSE)</f>
        <v>0</v>
      </c>
      <c r="AC956" s="55">
        <f>VLOOKUP($E956,'NI-Ric_SP'!$C:$AN,MID(AC$1,1,2),FALSE)</f>
        <v>0</v>
      </c>
      <c r="AD956" s="55">
        <f>VLOOKUP($E956,'NI-Ric_SP'!$C:$AN,MID(AD$1,1,2),FALSE)</f>
        <v>0</v>
      </c>
      <c r="AE956" s="55">
        <f>VLOOKUP($E956,'NI-Ric_SP'!$C:$AN,MID(AE$1,1,2),FALSE)</f>
        <v>0</v>
      </c>
      <c r="AF956" s="55">
        <f>VLOOKUP($E956,'NI-Ric_SP'!$C:$AN,MID(AF$1,1,2),FALSE)</f>
        <v>0</v>
      </c>
      <c r="AG956" s="55">
        <f>VLOOKUP($E956,'NI-Ric_SP'!$C:$AN,MID(AG$1,1,2),FALSE)</f>
        <v>0</v>
      </c>
      <c r="AH956" s="55">
        <f>VLOOKUP($E956,'NI-Ric_SP'!$C:$AN,MID(AH$1,1,2),FALSE)</f>
        <v>0</v>
      </c>
      <c r="AI956" s="55">
        <f>VLOOKUP($E956,'NI-Ric_SP'!$C:$AN,MID(AI$1,1,2),FALSE)</f>
        <v>0</v>
      </c>
      <c r="AJ956" s="55">
        <f>VLOOKUP($E956,'NI-Ric_SP'!$C:$AN,MID(AJ$1,1,2),FALSE)</f>
        <v>0</v>
      </c>
      <c r="AK956" s="55">
        <f>VLOOKUP($E956,'NI-Ric_SP'!$C:$AN,MID(AK$1,1,2),FALSE)</f>
        <v>0</v>
      </c>
      <c r="AL956" s="55">
        <f>VLOOKUP($E956,'NI-Ric_SP'!$C:$AN,MID(AL$1,1,2),FALSE)</f>
        <v>0</v>
      </c>
      <c r="AM956" s="56">
        <f>VLOOKUP($E956,'NI-Ric_SP'!$C:$AN,MID(AM$1,1,2),FALSE)</f>
        <v>0</v>
      </c>
      <c r="AN956" s="30" t="str">
        <f t="shared" si="14"/>
        <v>10208010030010</v>
      </c>
    </row>
    <row r="957" spans="3:40" x14ac:dyDescent="0.25">
      <c r="C957" s="40"/>
      <c r="D957" s="101" t="s">
        <v>878</v>
      </c>
      <c r="E957" s="101" t="s">
        <v>879</v>
      </c>
      <c r="F957" s="102" t="s">
        <v>2750</v>
      </c>
      <c r="G957" s="52"/>
      <c r="H957" s="52"/>
      <c r="I957" s="52"/>
      <c r="J957" s="52"/>
      <c r="K957" s="59" t="s">
        <v>79</v>
      </c>
      <c r="L957" s="52"/>
      <c r="M957" s="52"/>
      <c r="N957" s="52"/>
      <c r="O957" s="52"/>
      <c r="P957" s="76" t="s">
        <v>880</v>
      </c>
      <c r="Q957" s="55">
        <f>VLOOKUP(E957,'NI-Ric_SP'!$C:$AN,12,FALSE)</f>
        <v>0</v>
      </c>
      <c r="R957" s="55">
        <f>VLOOKUP(E957,'NI-Ric_SP'!$C:$AN,13,FALSE)</f>
        <v>0</v>
      </c>
      <c r="S957" s="55"/>
      <c r="T957" s="55"/>
      <c r="U957" s="55">
        <f>VLOOKUP($E957,'NI-Ric_SP'!$C:$AN,MID(U$1,1,2),FALSE)</f>
        <v>0</v>
      </c>
      <c r="V957" s="55">
        <f>VLOOKUP($E957,'NI-Ric_SP'!$C:$AN,MID(V$1,1,2),FALSE)</f>
        <v>0</v>
      </c>
      <c r="W957" s="55">
        <f>VLOOKUP($E957,'NI-Ric_SP'!$C:$AN,MID(W$1,1,2),FALSE)</f>
        <v>0</v>
      </c>
      <c r="X957" s="55">
        <f>VLOOKUP($E957,'NI-Ric_SP'!$C:$AN,MID(X$1,1,2),FALSE)</f>
        <v>0</v>
      </c>
      <c r="Y957" s="55">
        <f>VLOOKUP($E957,'NI-Ric_SP'!$C:$AN,MID(Y$1,1,2),FALSE)</f>
        <v>0</v>
      </c>
      <c r="Z957" s="55">
        <f>VLOOKUP($E957,'NI-Ric_SP'!$C:$AN,MID(Z$1,1,2),FALSE)</f>
        <v>0</v>
      </c>
      <c r="AA957" s="55">
        <f>VLOOKUP($E957,'NI-Ric_SP'!$C:$AN,MID(AA$1,1,2),FALSE)</f>
        <v>0</v>
      </c>
      <c r="AB957" s="55">
        <f>VLOOKUP($E957,'NI-Ric_SP'!$C:$AN,MID(AB$1,1,2),FALSE)</f>
        <v>0</v>
      </c>
      <c r="AC957" s="55">
        <f>VLOOKUP($E957,'NI-Ric_SP'!$C:$AN,MID(AC$1,1,2),FALSE)</f>
        <v>0</v>
      </c>
      <c r="AD957" s="55">
        <f>VLOOKUP($E957,'NI-Ric_SP'!$C:$AN,MID(AD$1,1,2),FALSE)</f>
        <v>0</v>
      </c>
      <c r="AE957" s="55">
        <f>VLOOKUP($E957,'NI-Ric_SP'!$C:$AN,MID(AE$1,1,2),FALSE)</f>
        <v>0</v>
      </c>
      <c r="AF957" s="55">
        <f>VLOOKUP($E957,'NI-Ric_SP'!$C:$AN,MID(AF$1,1,2),FALSE)</f>
        <v>0</v>
      </c>
      <c r="AG957" s="55">
        <f>VLOOKUP($E957,'NI-Ric_SP'!$C:$AN,MID(AG$1,1,2),FALSE)</f>
        <v>0</v>
      </c>
      <c r="AH957" s="55">
        <f>VLOOKUP($E957,'NI-Ric_SP'!$C:$AN,MID(AH$1,1,2),FALSE)</f>
        <v>0</v>
      </c>
      <c r="AI957" s="55">
        <f>VLOOKUP($E957,'NI-Ric_SP'!$C:$AN,MID(AI$1,1,2),FALSE)</f>
        <v>0</v>
      </c>
      <c r="AJ957" s="55">
        <f>VLOOKUP($E957,'NI-Ric_SP'!$C:$AN,MID(AJ$1,1,2),FALSE)</f>
        <v>0</v>
      </c>
      <c r="AK957" s="55">
        <f>VLOOKUP($E957,'NI-Ric_SP'!$C:$AN,MID(AK$1,1,2),FALSE)</f>
        <v>0</v>
      </c>
      <c r="AL957" s="55">
        <f>VLOOKUP($E957,'NI-Ric_SP'!$C:$AN,MID(AL$1,1,2),FALSE)</f>
        <v>0</v>
      </c>
      <c r="AM957" s="56">
        <f>VLOOKUP($E957,'NI-Ric_SP'!$C:$AN,MID(AM$1,1,2),FALSE)</f>
        <v>0</v>
      </c>
      <c r="AN957" s="30" t="str">
        <f t="shared" si="14"/>
        <v>10208010030020</v>
      </c>
    </row>
    <row r="958" spans="3:40" x14ac:dyDescent="0.25">
      <c r="C958" s="40"/>
      <c r="D958" s="101" t="s">
        <v>881</v>
      </c>
      <c r="E958" s="101" t="s">
        <v>882</v>
      </c>
      <c r="F958" s="102" t="s">
        <v>2750</v>
      </c>
      <c r="G958" s="52"/>
      <c r="H958" s="52"/>
      <c r="I958" s="52"/>
      <c r="J958" s="52"/>
      <c r="K958" s="59" t="s">
        <v>79</v>
      </c>
      <c r="L958" s="52"/>
      <c r="M958" s="52"/>
      <c r="N958" s="52"/>
      <c r="O958" s="52"/>
      <c r="P958" s="76" t="s">
        <v>883</v>
      </c>
      <c r="Q958" s="55">
        <f>VLOOKUP(E958,'NI-Ric_SP'!$C:$AN,12,FALSE)</f>
        <v>0</v>
      </c>
      <c r="R958" s="55">
        <f>VLOOKUP(E958,'NI-Ric_SP'!$C:$AN,13,FALSE)</f>
        <v>0</v>
      </c>
      <c r="S958" s="55"/>
      <c r="T958" s="55"/>
      <c r="U958" s="55">
        <f>VLOOKUP($E958,'NI-Ric_SP'!$C:$AN,MID(U$1,1,2),FALSE)</f>
        <v>0</v>
      </c>
      <c r="V958" s="55">
        <f>VLOOKUP($E958,'NI-Ric_SP'!$C:$AN,MID(V$1,1,2),FALSE)</f>
        <v>0</v>
      </c>
      <c r="W958" s="55">
        <f>VLOOKUP($E958,'NI-Ric_SP'!$C:$AN,MID(W$1,1,2),FALSE)</f>
        <v>0</v>
      </c>
      <c r="X958" s="55">
        <f>VLOOKUP($E958,'NI-Ric_SP'!$C:$AN,MID(X$1,1,2),FALSE)</f>
        <v>0</v>
      </c>
      <c r="Y958" s="55">
        <f>VLOOKUP($E958,'NI-Ric_SP'!$C:$AN,MID(Y$1,1,2),FALSE)</f>
        <v>0</v>
      </c>
      <c r="Z958" s="55">
        <f>VLOOKUP($E958,'NI-Ric_SP'!$C:$AN,MID(Z$1,1,2),FALSE)</f>
        <v>0</v>
      </c>
      <c r="AA958" s="55">
        <f>VLOOKUP($E958,'NI-Ric_SP'!$C:$AN,MID(AA$1,1,2),FALSE)</f>
        <v>0</v>
      </c>
      <c r="AB958" s="55">
        <f>VLOOKUP($E958,'NI-Ric_SP'!$C:$AN,MID(AB$1,1,2),FALSE)</f>
        <v>0</v>
      </c>
      <c r="AC958" s="55">
        <f>VLOOKUP($E958,'NI-Ric_SP'!$C:$AN,MID(AC$1,1,2),FALSE)</f>
        <v>0</v>
      </c>
      <c r="AD958" s="55">
        <f>VLOOKUP($E958,'NI-Ric_SP'!$C:$AN,MID(AD$1,1,2),FALSE)</f>
        <v>0</v>
      </c>
      <c r="AE958" s="55">
        <f>VLOOKUP($E958,'NI-Ric_SP'!$C:$AN,MID(AE$1,1,2),FALSE)</f>
        <v>0</v>
      </c>
      <c r="AF958" s="55">
        <f>VLOOKUP($E958,'NI-Ric_SP'!$C:$AN,MID(AF$1,1,2),FALSE)</f>
        <v>0</v>
      </c>
      <c r="AG958" s="55">
        <f>VLOOKUP($E958,'NI-Ric_SP'!$C:$AN,MID(AG$1,1,2),FALSE)</f>
        <v>0</v>
      </c>
      <c r="AH958" s="55">
        <f>VLOOKUP($E958,'NI-Ric_SP'!$C:$AN,MID(AH$1,1,2),FALSE)</f>
        <v>0</v>
      </c>
      <c r="AI958" s="55">
        <f>VLOOKUP($E958,'NI-Ric_SP'!$C:$AN,MID(AI$1,1,2),FALSE)</f>
        <v>0</v>
      </c>
      <c r="AJ958" s="55">
        <f>VLOOKUP($E958,'NI-Ric_SP'!$C:$AN,MID(AJ$1,1,2),FALSE)</f>
        <v>0</v>
      </c>
      <c r="AK958" s="55">
        <f>VLOOKUP($E958,'NI-Ric_SP'!$C:$AN,MID(AK$1,1,2),FALSE)</f>
        <v>0</v>
      </c>
      <c r="AL958" s="55">
        <f>VLOOKUP($E958,'NI-Ric_SP'!$C:$AN,MID(AL$1,1,2),FALSE)</f>
        <v>0</v>
      </c>
      <c r="AM958" s="56">
        <f>VLOOKUP($E958,'NI-Ric_SP'!$C:$AN,MID(AM$1,1,2),FALSE)</f>
        <v>0</v>
      </c>
      <c r="AN958" s="30" t="str">
        <f t="shared" si="14"/>
        <v>10208010040010</v>
      </c>
    </row>
    <row r="959" spans="3:40" x14ac:dyDescent="0.25">
      <c r="C959" s="40"/>
      <c r="D959" s="101" t="s">
        <v>884</v>
      </c>
      <c r="E959" s="101" t="s">
        <v>885</v>
      </c>
      <c r="F959" s="102" t="s">
        <v>2750</v>
      </c>
      <c r="G959" s="52"/>
      <c r="H959" s="52"/>
      <c r="I959" s="52"/>
      <c r="J959" s="52"/>
      <c r="K959" s="59" t="s">
        <v>79</v>
      </c>
      <c r="L959" s="52"/>
      <c r="M959" s="52"/>
      <c r="N959" s="52"/>
      <c r="O959" s="52"/>
      <c r="P959" s="76" t="s">
        <v>886</v>
      </c>
      <c r="Q959" s="55">
        <f>VLOOKUP(E959,'NI-Ric_SP'!$C:$AN,12,FALSE)</f>
        <v>0</v>
      </c>
      <c r="R959" s="55">
        <f>VLOOKUP(E959,'NI-Ric_SP'!$C:$AN,13,FALSE)</f>
        <v>0</v>
      </c>
      <c r="S959" s="55"/>
      <c r="T959" s="55"/>
      <c r="U959" s="55">
        <f>VLOOKUP($E959,'NI-Ric_SP'!$C:$AN,MID(U$1,1,2),FALSE)</f>
        <v>0</v>
      </c>
      <c r="V959" s="55">
        <f>VLOOKUP($E959,'NI-Ric_SP'!$C:$AN,MID(V$1,1,2),FALSE)</f>
        <v>0</v>
      </c>
      <c r="W959" s="55">
        <f>VLOOKUP($E959,'NI-Ric_SP'!$C:$AN,MID(W$1,1,2),FALSE)</f>
        <v>0</v>
      </c>
      <c r="X959" s="55">
        <f>VLOOKUP($E959,'NI-Ric_SP'!$C:$AN,MID(X$1,1,2),FALSE)</f>
        <v>0</v>
      </c>
      <c r="Y959" s="55">
        <f>VLOOKUP($E959,'NI-Ric_SP'!$C:$AN,MID(Y$1,1,2),FALSE)</f>
        <v>0</v>
      </c>
      <c r="Z959" s="55">
        <f>VLOOKUP($E959,'NI-Ric_SP'!$C:$AN,MID(Z$1,1,2),FALSE)</f>
        <v>0</v>
      </c>
      <c r="AA959" s="55">
        <f>VLOOKUP($E959,'NI-Ric_SP'!$C:$AN,MID(AA$1,1,2),FALSE)</f>
        <v>0</v>
      </c>
      <c r="AB959" s="55">
        <f>VLOOKUP($E959,'NI-Ric_SP'!$C:$AN,MID(AB$1,1,2),FALSE)</f>
        <v>0</v>
      </c>
      <c r="AC959" s="55">
        <f>VLOOKUP($E959,'NI-Ric_SP'!$C:$AN,MID(AC$1,1,2),FALSE)</f>
        <v>0</v>
      </c>
      <c r="AD959" s="55">
        <f>VLOOKUP($E959,'NI-Ric_SP'!$C:$AN,MID(AD$1,1,2),FALSE)</f>
        <v>0</v>
      </c>
      <c r="AE959" s="55">
        <f>VLOOKUP($E959,'NI-Ric_SP'!$C:$AN,MID(AE$1,1,2),FALSE)</f>
        <v>0</v>
      </c>
      <c r="AF959" s="55">
        <f>VLOOKUP($E959,'NI-Ric_SP'!$C:$AN,MID(AF$1,1,2),FALSE)</f>
        <v>0</v>
      </c>
      <c r="AG959" s="55">
        <f>VLOOKUP($E959,'NI-Ric_SP'!$C:$AN,MID(AG$1,1,2),FALSE)</f>
        <v>0</v>
      </c>
      <c r="AH959" s="55">
        <f>VLOOKUP($E959,'NI-Ric_SP'!$C:$AN,MID(AH$1,1,2),FALSE)</f>
        <v>0</v>
      </c>
      <c r="AI959" s="55">
        <f>VLOOKUP($E959,'NI-Ric_SP'!$C:$AN,MID(AI$1,1,2),FALSE)</f>
        <v>0</v>
      </c>
      <c r="AJ959" s="55">
        <f>VLOOKUP($E959,'NI-Ric_SP'!$C:$AN,MID(AJ$1,1,2),FALSE)</f>
        <v>0</v>
      </c>
      <c r="AK959" s="55">
        <f>VLOOKUP($E959,'NI-Ric_SP'!$C:$AN,MID(AK$1,1,2),FALSE)</f>
        <v>0</v>
      </c>
      <c r="AL959" s="55">
        <f>VLOOKUP($E959,'NI-Ric_SP'!$C:$AN,MID(AL$1,1,2),FALSE)</f>
        <v>0</v>
      </c>
      <c r="AM959" s="56">
        <f>VLOOKUP($E959,'NI-Ric_SP'!$C:$AN,MID(AM$1,1,2),FALSE)</f>
        <v>0</v>
      </c>
      <c r="AN959" s="30" t="str">
        <f t="shared" si="14"/>
        <v>10208010040020</v>
      </c>
    </row>
    <row r="960" spans="3:40" x14ac:dyDescent="0.25">
      <c r="C960" s="40"/>
      <c r="D960" s="101" t="s">
        <v>887</v>
      </c>
      <c r="E960" s="101" t="s">
        <v>888</v>
      </c>
      <c r="F960" s="102" t="s">
        <v>2750</v>
      </c>
      <c r="G960" s="52"/>
      <c r="H960" s="52"/>
      <c r="I960" s="52"/>
      <c r="J960" s="52"/>
      <c r="K960" s="59" t="s">
        <v>79</v>
      </c>
      <c r="L960" s="52"/>
      <c r="M960" s="52"/>
      <c r="N960" s="52"/>
      <c r="O960" s="52"/>
      <c r="P960" s="76" t="s">
        <v>889</v>
      </c>
      <c r="Q960" s="55">
        <f>VLOOKUP(E960,'NI-Ric_SP'!$C:$AN,12,FALSE)</f>
        <v>0</v>
      </c>
      <c r="R960" s="55">
        <f>VLOOKUP(E960,'NI-Ric_SP'!$C:$AN,13,FALSE)</f>
        <v>0</v>
      </c>
      <c r="S960" s="55"/>
      <c r="T960" s="55"/>
      <c r="U960" s="55">
        <f>VLOOKUP($E960,'NI-Ric_SP'!$C:$AN,MID(U$1,1,2),FALSE)</f>
        <v>0</v>
      </c>
      <c r="V960" s="55">
        <f>VLOOKUP($E960,'NI-Ric_SP'!$C:$AN,MID(V$1,1,2),FALSE)</f>
        <v>0</v>
      </c>
      <c r="W960" s="55">
        <f>VLOOKUP($E960,'NI-Ric_SP'!$C:$AN,MID(W$1,1,2),FALSE)</f>
        <v>0</v>
      </c>
      <c r="X960" s="55">
        <f>VLOOKUP($E960,'NI-Ric_SP'!$C:$AN,MID(X$1,1,2),FALSE)</f>
        <v>0</v>
      </c>
      <c r="Y960" s="55">
        <f>VLOOKUP($E960,'NI-Ric_SP'!$C:$AN,MID(Y$1,1,2),FALSE)</f>
        <v>0</v>
      </c>
      <c r="Z960" s="55">
        <f>VLOOKUP($E960,'NI-Ric_SP'!$C:$AN,MID(Z$1,1,2),FALSE)</f>
        <v>0</v>
      </c>
      <c r="AA960" s="55">
        <f>VLOOKUP($E960,'NI-Ric_SP'!$C:$AN,MID(AA$1,1,2),FALSE)</f>
        <v>0</v>
      </c>
      <c r="AB960" s="55">
        <f>VLOOKUP($E960,'NI-Ric_SP'!$C:$AN,MID(AB$1,1,2),FALSE)</f>
        <v>0</v>
      </c>
      <c r="AC960" s="55">
        <f>VLOOKUP($E960,'NI-Ric_SP'!$C:$AN,MID(AC$1,1,2),FALSE)</f>
        <v>0</v>
      </c>
      <c r="AD960" s="55">
        <f>VLOOKUP($E960,'NI-Ric_SP'!$C:$AN,MID(AD$1,1,2),FALSE)</f>
        <v>0</v>
      </c>
      <c r="AE960" s="55">
        <f>VLOOKUP($E960,'NI-Ric_SP'!$C:$AN,MID(AE$1,1,2),FALSE)</f>
        <v>0</v>
      </c>
      <c r="AF960" s="55">
        <f>VLOOKUP($E960,'NI-Ric_SP'!$C:$AN,MID(AF$1,1,2),FALSE)</f>
        <v>0</v>
      </c>
      <c r="AG960" s="55">
        <f>VLOOKUP($E960,'NI-Ric_SP'!$C:$AN,MID(AG$1,1,2),FALSE)</f>
        <v>0</v>
      </c>
      <c r="AH960" s="55">
        <f>VLOOKUP($E960,'NI-Ric_SP'!$C:$AN,MID(AH$1,1,2),FALSE)</f>
        <v>0</v>
      </c>
      <c r="AI960" s="55">
        <f>VLOOKUP($E960,'NI-Ric_SP'!$C:$AN,MID(AI$1,1,2),FALSE)</f>
        <v>0</v>
      </c>
      <c r="AJ960" s="55">
        <f>VLOOKUP($E960,'NI-Ric_SP'!$C:$AN,MID(AJ$1,1,2),FALSE)</f>
        <v>0</v>
      </c>
      <c r="AK960" s="55">
        <f>VLOOKUP($E960,'NI-Ric_SP'!$C:$AN,MID(AK$1,1,2),FALSE)</f>
        <v>0</v>
      </c>
      <c r="AL960" s="55">
        <f>VLOOKUP($E960,'NI-Ric_SP'!$C:$AN,MID(AL$1,1,2),FALSE)</f>
        <v>0</v>
      </c>
      <c r="AM960" s="56">
        <f>VLOOKUP($E960,'NI-Ric_SP'!$C:$AN,MID(AM$1,1,2),FALSE)</f>
        <v>0</v>
      </c>
      <c r="AN960" s="30" t="str">
        <f t="shared" si="14"/>
        <v>10208010050010</v>
      </c>
    </row>
    <row r="961" spans="3:40" x14ac:dyDescent="0.25">
      <c r="C961" s="40"/>
      <c r="D961" s="101" t="s">
        <v>890</v>
      </c>
      <c r="E961" s="101" t="s">
        <v>891</v>
      </c>
      <c r="F961" s="102" t="s">
        <v>2750</v>
      </c>
      <c r="G961" s="52"/>
      <c r="H961" s="52"/>
      <c r="I961" s="52"/>
      <c r="J961" s="52"/>
      <c r="K961" s="59" t="s">
        <v>79</v>
      </c>
      <c r="L961" s="52"/>
      <c r="M961" s="52"/>
      <c r="N961" s="52"/>
      <c r="O961" s="52"/>
      <c r="P961" s="76" t="s">
        <v>892</v>
      </c>
      <c r="Q961" s="55">
        <f>VLOOKUP(E961,'NI-Ric_SP'!$C:$AN,12,FALSE)</f>
        <v>0</v>
      </c>
      <c r="R961" s="55">
        <f>VLOOKUP(E961,'NI-Ric_SP'!$C:$AN,13,FALSE)</f>
        <v>0</v>
      </c>
      <c r="S961" s="55"/>
      <c r="T961" s="55"/>
      <c r="U961" s="55">
        <f>VLOOKUP($E961,'NI-Ric_SP'!$C:$AN,MID(U$1,1,2),FALSE)</f>
        <v>0</v>
      </c>
      <c r="V961" s="55">
        <f>VLOOKUP($E961,'NI-Ric_SP'!$C:$AN,MID(V$1,1,2),FALSE)</f>
        <v>0</v>
      </c>
      <c r="W961" s="55">
        <f>VLOOKUP($E961,'NI-Ric_SP'!$C:$AN,MID(W$1,1,2),FALSE)</f>
        <v>0</v>
      </c>
      <c r="X961" s="55">
        <f>VLOOKUP($E961,'NI-Ric_SP'!$C:$AN,MID(X$1,1,2),FALSE)</f>
        <v>0</v>
      </c>
      <c r="Y961" s="55">
        <f>VLOOKUP($E961,'NI-Ric_SP'!$C:$AN,MID(Y$1,1,2),FALSE)</f>
        <v>0</v>
      </c>
      <c r="Z961" s="55">
        <f>VLOOKUP($E961,'NI-Ric_SP'!$C:$AN,MID(Z$1,1,2),FALSE)</f>
        <v>0</v>
      </c>
      <c r="AA961" s="55">
        <f>VLOOKUP($E961,'NI-Ric_SP'!$C:$AN,MID(AA$1,1,2),FALSE)</f>
        <v>0</v>
      </c>
      <c r="AB961" s="55">
        <f>VLOOKUP($E961,'NI-Ric_SP'!$C:$AN,MID(AB$1,1,2),FALSE)</f>
        <v>0</v>
      </c>
      <c r="AC961" s="55">
        <f>VLOOKUP($E961,'NI-Ric_SP'!$C:$AN,MID(AC$1,1,2),FALSE)</f>
        <v>0</v>
      </c>
      <c r="AD961" s="55">
        <f>VLOOKUP($E961,'NI-Ric_SP'!$C:$AN,MID(AD$1,1,2),FALSE)</f>
        <v>0</v>
      </c>
      <c r="AE961" s="55">
        <f>VLOOKUP($E961,'NI-Ric_SP'!$C:$AN,MID(AE$1,1,2),FALSE)</f>
        <v>0</v>
      </c>
      <c r="AF961" s="55">
        <f>VLOOKUP($E961,'NI-Ric_SP'!$C:$AN,MID(AF$1,1,2),FALSE)</f>
        <v>0</v>
      </c>
      <c r="AG961" s="55">
        <f>VLOOKUP($E961,'NI-Ric_SP'!$C:$AN,MID(AG$1,1,2),FALSE)</f>
        <v>0</v>
      </c>
      <c r="AH961" s="55">
        <f>VLOOKUP($E961,'NI-Ric_SP'!$C:$AN,MID(AH$1,1,2),FALSE)</f>
        <v>0</v>
      </c>
      <c r="AI961" s="55">
        <f>VLOOKUP($E961,'NI-Ric_SP'!$C:$AN,MID(AI$1,1,2),FALSE)</f>
        <v>0</v>
      </c>
      <c r="AJ961" s="55">
        <f>VLOOKUP($E961,'NI-Ric_SP'!$C:$AN,MID(AJ$1,1,2),FALSE)</f>
        <v>0</v>
      </c>
      <c r="AK961" s="55">
        <f>VLOOKUP($E961,'NI-Ric_SP'!$C:$AN,MID(AK$1,1,2),FALSE)</f>
        <v>0</v>
      </c>
      <c r="AL961" s="55">
        <f>VLOOKUP($E961,'NI-Ric_SP'!$C:$AN,MID(AL$1,1,2),FALSE)</f>
        <v>0</v>
      </c>
      <c r="AM961" s="56">
        <f>VLOOKUP($E961,'NI-Ric_SP'!$C:$AN,MID(AM$1,1,2),FALSE)</f>
        <v>0</v>
      </c>
      <c r="AN961" s="30" t="str">
        <f t="shared" si="14"/>
        <v>10208010050020</v>
      </c>
    </row>
    <row r="962" spans="3:40" x14ac:dyDescent="0.25">
      <c r="C962" s="40"/>
      <c r="D962" s="101" t="s">
        <v>893</v>
      </c>
      <c r="E962" s="101" t="s">
        <v>894</v>
      </c>
      <c r="F962" s="102" t="s">
        <v>2750</v>
      </c>
      <c r="G962" s="52"/>
      <c r="H962" s="52"/>
      <c r="I962" s="52"/>
      <c r="J962" s="52"/>
      <c r="K962" s="59" t="s">
        <v>79</v>
      </c>
      <c r="L962" s="52"/>
      <c r="M962" s="52"/>
      <c r="N962" s="52"/>
      <c r="O962" s="52"/>
      <c r="P962" s="76" t="s">
        <v>895</v>
      </c>
      <c r="Q962" s="55">
        <f>VLOOKUP(E962,'NI-Ric_SP'!$C:$AN,12,FALSE)</f>
        <v>0</v>
      </c>
      <c r="R962" s="55">
        <f>VLOOKUP(E962,'NI-Ric_SP'!$C:$AN,13,FALSE)</f>
        <v>0</v>
      </c>
      <c r="S962" s="55"/>
      <c r="T962" s="55"/>
      <c r="U962" s="55">
        <f>VLOOKUP($E962,'NI-Ric_SP'!$C:$AN,MID(U$1,1,2),FALSE)</f>
        <v>0</v>
      </c>
      <c r="V962" s="55">
        <f>VLOOKUP($E962,'NI-Ric_SP'!$C:$AN,MID(V$1,1,2),FALSE)</f>
        <v>0</v>
      </c>
      <c r="W962" s="55">
        <f>VLOOKUP($E962,'NI-Ric_SP'!$C:$AN,MID(W$1,1,2),FALSE)</f>
        <v>0</v>
      </c>
      <c r="X962" s="55">
        <f>VLOOKUP($E962,'NI-Ric_SP'!$C:$AN,MID(X$1,1,2),FALSE)</f>
        <v>0</v>
      </c>
      <c r="Y962" s="55">
        <f>VLOOKUP($E962,'NI-Ric_SP'!$C:$AN,MID(Y$1,1,2),FALSE)</f>
        <v>0</v>
      </c>
      <c r="Z962" s="55">
        <f>VLOOKUP($E962,'NI-Ric_SP'!$C:$AN,MID(Z$1,1,2),FALSE)</f>
        <v>0</v>
      </c>
      <c r="AA962" s="55">
        <f>VLOOKUP($E962,'NI-Ric_SP'!$C:$AN,MID(AA$1,1,2),FALSE)</f>
        <v>0</v>
      </c>
      <c r="AB962" s="55">
        <f>VLOOKUP($E962,'NI-Ric_SP'!$C:$AN,MID(AB$1,1,2),FALSE)</f>
        <v>0</v>
      </c>
      <c r="AC962" s="55">
        <f>VLOOKUP($E962,'NI-Ric_SP'!$C:$AN,MID(AC$1,1,2),FALSE)</f>
        <v>0</v>
      </c>
      <c r="AD962" s="55">
        <f>VLOOKUP($E962,'NI-Ric_SP'!$C:$AN,MID(AD$1,1,2),FALSE)</f>
        <v>0</v>
      </c>
      <c r="AE962" s="55">
        <f>VLOOKUP($E962,'NI-Ric_SP'!$C:$AN,MID(AE$1,1,2),FALSE)</f>
        <v>0</v>
      </c>
      <c r="AF962" s="55">
        <f>VLOOKUP($E962,'NI-Ric_SP'!$C:$AN,MID(AF$1,1,2),FALSE)</f>
        <v>0</v>
      </c>
      <c r="AG962" s="55">
        <f>VLOOKUP($E962,'NI-Ric_SP'!$C:$AN,MID(AG$1,1,2),FALSE)</f>
        <v>0</v>
      </c>
      <c r="AH962" s="55">
        <f>VLOOKUP($E962,'NI-Ric_SP'!$C:$AN,MID(AH$1,1,2),FALSE)</f>
        <v>0</v>
      </c>
      <c r="AI962" s="55">
        <f>VLOOKUP($E962,'NI-Ric_SP'!$C:$AN,MID(AI$1,1,2),FALSE)</f>
        <v>0</v>
      </c>
      <c r="AJ962" s="55">
        <f>VLOOKUP($E962,'NI-Ric_SP'!$C:$AN,MID(AJ$1,1,2),FALSE)</f>
        <v>0</v>
      </c>
      <c r="AK962" s="55">
        <f>VLOOKUP($E962,'NI-Ric_SP'!$C:$AN,MID(AK$1,1,2),FALSE)</f>
        <v>0</v>
      </c>
      <c r="AL962" s="55">
        <f>VLOOKUP($E962,'NI-Ric_SP'!$C:$AN,MID(AL$1,1,2),FALSE)</f>
        <v>0</v>
      </c>
      <c r="AM962" s="56">
        <f>VLOOKUP($E962,'NI-Ric_SP'!$C:$AN,MID(AM$1,1,2),FALSE)</f>
        <v>0</v>
      </c>
      <c r="AN962" s="30" t="str">
        <f t="shared" ref="AN962:AN1025" si="15">D962</f>
        <v>10208010060010</v>
      </c>
    </row>
    <row r="963" spans="3:40" x14ac:dyDescent="0.25">
      <c r="C963" s="40"/>
      <c r="D963" s="101" t="s">
        <v>896</v>
      </c>
      <c r="E963" s="101" t="s">
        <v>897</v>
      </c>
      <c r="F963" s="102" t="s">
        <v>2750</v>
      </c>
      <c r="G963" s="52"/>
      <c r="H963" s="52"/>
      <c r="I963" s="52"/>
      <c r="J963" s="52"/>
      <c r="K963" s="59" t="s">
        <v>79</v>
      </c>
      <c r="L963" s="52"/>
      <c r="M963" s="52"/>
      <c r="N963" s="52"/>
      <c r="O963" s="52"/>
      <c r="P963" s="76" t="s">
        <v>898</v>
      </c>
      <c r="Q963" s="55">
        <f>VLOOKUP(E963,'NI-Ric_SP'!$C:$AN,12,FALSE)</f>
        <v>0</v>
      </c>
      <c r="R963" s="55">
        <f>VLOOKUP(E963,'NI-Ric_SP'!$C:$AN,13,FALSE)</f>
        <v>0</v>
      </c>
      <c r="S963" s="55"/>
      <c r="T963" s="55"/>
      <c r="U963" s="55">
        <f>VLOOKUP($E963,'NI-Ric_SP'!$C:$AN,MID(U$1,1,2),FALSE)</f>
        <v>0</v>
      </c>
      <c r="V963" s="55">
        <f>VLOOKUP($E963,'NI-Ric_SP'!$C:$AN,MID(V$1,1,2),FALSE)</f>
        <v>0</v>
      </c>
      <c r="W963" s="55">
        <f>VLOOKUP($E963,'NI-Ric_SP'!$C:$AN,MID(W$1,1,2),FALSE)</f>
        <v>0</v>
      </c>
      <c r="X963" s="55">
        <f>VLOOKUP($E963,'NI-Ric_SP'!$C:$AN,MID(X$1,1,2),FALSE)</f>
        <v>0</v>
      </c>
      <c r="Y963" s="55">
        <f>VLOOKUP($E963,'NI-Ric_SP'!$C:$AN,MID(Y$1,1,2),FALSE)</f>
        <v>0</v>
      </c>
      <c r="Z963" s="55">
        <f>VLOOKUP($E963,'NI-Ric_SP'!$C:$AN,MID(Z$1,1,2),FALSE)</f>
        <v>0</v>
      </c>
      <c r="AA963" s="55">
        <f>VLOOKUP($E963,'NI-Ric_SP'!$C:$AN,MID(AA$1,1,2),FALSE)</f>
        <v>0</v>
      </c>
      <c r="AB963" s="55">
        <f>VLOOKUP($E963,'NI-Ric_SP'!$C:$AN,MID(AB$1,1,2),FALSE)</f>
        <v>0</v>
      </c>
      <c r="AC963" s="55">
        <f>VLOOKUP($E963,'NI-Ric_SP'!$C:$AN,MID(AC$1,1,2),FALSE)</f>
        <v>0</v>
      </c>
      <c r="AD963" s="55">
        <f>VLOOKUP($E963,'NI-Ric_SP'!$C:$AN,MID(AD$1,1,2),FALSE)</f>
        <v>0</v>
      </c>
      <c r="AE963" s="55">
        <f>VLOOKUP($E963,'NI-Ric_SP'!$C:$AN,MID(AE$1,1,2),FALSE)</f>
        <v>0</v>
      </c>
      <c r="AF963" s="55">
        <f>VLOOKUP($E963,'NI-Ric_SP'!$C:$AN,MID(AF$1,1,2),FALSE)</f>
        <v>0</v>
      </c>
      <c r="AG963" s="55">
        <f>VLOOKUP($E963,'NI-Ric_SP'!$C:$AN,MID(AG$1,1,2),FALSE)</f>
        <v>0</v>
      </c>
      <c r="AH963" s="55">
        <f>VLOOKUP($E963,'NI-Ric_SP'!$C:$AN,MID(AH$1,1,2),FALSE)</f>
        <v>0</v>
      </c>
      <c r="AI963" s="55">
        <f>VLOOKUP($E963,'NI-Ric_SP'!$C:$AN,MID(AI$1,1,2),FALSE)</f>
        <v>0</v>
      </c>
      <c r="AJ963" s="55">
        <f>VLOOKUP($E963,'NI-Ric_SP'!$C:$AN,MID(AJ$1,1,2),FALSE)</f>
        <v>0</v>
      </c>
      <c r="AK963" s="55">
        <f>VLOOKUP($E963,'NI-Ric_SP'!$C:$AN,MID(AK$1,1,2),FALSE)</f>
        <v>0</v>
      </c>
      <c r="AL963" s="55">
        <f>VLOOKUP($E963,'NI-Ric_SP'!$C:$AN,MID(AL$1,1,2),FALSE)</f>
        <v>0</v>
      </c>
      <c r="AM963" s="56">
        <f>VLOOKUP($E963,'NI-Ric_SP'!$C:$AN,MID(AM$1,1,2),FALSE)</f>
        <v>0</v>
      </c>
      <c r="AN963" s="30" t="str">
        <f t="shared" si="15"/>
        <v>10208010060020</v>
      </c>
    </row>
    <row r="964" spans="3:40" x14ac:dyDescent="0.25">
      <c r="C964" s="40"/>
      <c r="D964" s="101" t="s">
        <v>899</v>
      </c>
      <c r="E964" s="101" t="s">
        <v>900</v>
      </c>
      <c r="F964" s="102" t="s">
        <v>2750</v>
      </c>
      <c r="G964" s="52"/>
      <c r="H964" s="52"/>
      <c r="I964" s="52" t="s">
        <v>901</v>
      </c>
      <c r="J964" s="52" t="s">
        <v>901</v>
      </c>
      <c r="K964" s="59" t="s">
        <v>111</v>
      </c>
      <c r="L964" s="62" t="s">
        <v>902</v>
      </c>
      <c r="M964" s="52"/>
      <c r="N964" s="52"/>
      <c r="O964" s="52"/>
      <c r="P964" s="76" t="s">
        <v>903</v>
      </c>
      <c r="Q964" s="55">
        <f>VLOOKUP(E964,'NI-Ric_SP'!$C:$AN,12,FALSE)</f>
        <v>0</v>
      </c>
      <c r="R964" s="55">
        <f>VLOOKUP(E964,'NI-Ric_SP'!$C:$AN,13,FALSE)</f>
        <v>0</v>
      </c>
      <c r="S964" s="55"/>
      <c r="T964" s="55"/>
      <c r="U964" s="55">
        <f>VLOOKUP($E964,'NI-Ric_SP'!$C:$AN,MID(U$1,1,2),FALSE)</f>
        <v>0</v>
      </c>
      <c r="V964" s="55">
        <f>VLOOKUP($E964,'NI-Ric_SP'!$C:$AN,MID(V$1,1,2),FALSE)</f>
        <v>0</v>
      </c>
      <c r="W964" s="55">
        <f>VLOOKUP($E964,'NI-Ric_SP'!$C:$AN,MID(W$1,1,2),FALSE)</f>
        <v>0</v>
      </c>
      <c r="X964" s="55">
        <f>VLOOKUP($E964,'NI-Ric_SP'!$C:$AN,MID(X$1,1,2),FALSE)</f>
        <v>0</v>
      </c>
      <c r="Y964" s="55">
        <f>VLOOKUP($E964,'NI-Ric_SP'!$C:$AN,MID(Y$1,1,2),FALSE)</f>
        <v>0</v>
      </c>
      <c r="Z964" s="55">
        <f>VLOOKUP($E964,'NI-Ric_SP'!$C:$AN,MID(Z$1,1,2),FALSE)</f>
        <v>0</v>
      </c>
      <c r="AA964" s="55">
        <f>VLOOKUP($E964,'NI-Ric_SP'!$C:$AN,MID(AA$1,1,2),FALSE)</f>
        <v>0</v>
      </c>
      <c r="AB964" s="55">
        <f>VLOOKUP($E964,'NI-Ric_SP'!$C:$AN,MID(AB$1,1,2),FALSE)</f>
        <v>0</v>
      </c>
      <c r="AC964" s="55">
        <f>VLOOKUP($E964,'NI-Ric_SP'!$C:$AN,MID(AC$1,1,2),FALSE)</f>
        <v>0</v>
      </c>
      <c r="AD964" s="55">
        <f>VLOOKUP($E964,'NI-Ric_SP'!$C:$AN,MID(AD$1,1,2),FALSE)</f>
        <v>0</v>
      </c>
      <c r="AE964" s="55">
        <f>VLOOKUP($E964,'NI-Ric_SP'!$C:$AN,MID(AE$1,1,2),FALSE)</f>
        <v>0</v>
      </c>
      <c r="AF964" s="55">
        <f>VLOOKUP($E964,'NI-Ric_SP'!$C:$AN,MID(AF$1,1,2),FALSE)</f>
        <v>0</v>
      </c>
      <c r="AG964" s="55">
        <f>VLOOKUP($E964,'NI-Ric_SP'!$C:$AN,MID(AG$1,1,2),FALSE)</f>
        <v>0</v>
      </c>
      <c r="AH964" s="55">
        <f>VLOOKUP($E964,'NI-Ric_SP'!$C:$AN,MID(AH$1,1,2),FALSE)</f>
        <v>0</v>
      </c>
      <c r="AI964" s="55">
        <f>VLOOKUP($E964,'NI-Ric_SP'!$C:$AN,MID(AI$1,1,2),FALSE)</f>
        <v>0</v>
      </c>
      <c r="AJ964" s="55">
        <f>VLOOKUP($E964,'NI-Ric_SP'!$C:$AN,MID(AJ$1,1,2),FALSE)</f>
        <v>0</v>
      </c>
      <c r="AK964" s="55">
        <f>VLOOKUP($E964,'NI-Ric_SP'!$C:$AN,MID(AK$1,1,2),FALSE)</f>
        <v>0</v>
      </c>
      <c r="AL964" s="55">
        <f>VLOOKUP($E964,'NI-Ric_SP'!$C:$AN,MID(AL$1,1,2),FALSE)</f>
        <v>0</v>
      </c>
      <c r="AM964" s="56">
        <f>VLOOKUP($E964,'NI-Ric_SP'!$C:$AN,MID(AM$1,1,2),FALSE)</f>
        <v>0</v>
      </c>
      <c r="AN964" s="30" t="str">
        <f t="shared" si="15"/>
        <v>10208020000000</v>
      </c>
    </row>
    <row r="965" spans="3:40" x14ac:dyDescent="0.25">
      <c r="C965" s="40"/>
      <c r="D965" s="101" t="s">
        <v>904</v>
      </c>
      <c r="E965" s="101" t="s">
        <v>905</v>
      </c>
      <c r="F965" s="102" t="s">
        <v>2750</v>
      </c>
      <c r="G965" s="52"/>
      <c r="H965" s="52"/>
      <c r="I965" s="52"/>
      <c r="J965" s="52"/>
      <c r="K965" s="59" t="s">
        <v>79</v>
      </c>
      <c r="L965" s="52"/>
      <c r="M965" s="52"/>
      <c r="N965" s="52"/>
      <c r="O965" s="52"/>
      <c r="P965" s="76" t="s">
        <v>906</v>
      </c>
      <c r="Q965" s="55">
        <f>VLOOKUP(E965,'NI-Ric_SP'!$C:$AN,12,FALSE)</f>
        <v>0</v>
      </c>
      <c r="R965" s="55">
        <f>VLOOKUP(E965,'NI-Ric_SP'!$C:$AN,13,FALSE)</f>
        <v>0</v>
      </c>
      <c r="S965" s="55"/>
      <c r="T965" s="55"/>
      <c r="U965" s="55">
        <f>VLOOKUP($E965,'NI-Ric_SP'!$C:$AN,MID(U$1,1,2),FALSE)</f>
        <v>0</v>
      </c>
      <c r="V965" s="55">
        <f>VLOOKUP($E965,'NI-Ric_SP'!$C:$AN,MID(V$1,1,2),FALSE)</f>
        <v>0</v>
      </c>
      <c r="W965" s="55">
        <f>VLOOKUP($E965,'NI-Ric_SP'!$C:$AN,MID(W$1,1,2),FALSE)</f>
        <v>0</v>
      </c>
      <c r="X965" s="55">
        <f>VLOOKUP($E965,'NI-Ric_SP'!$C:$AN,MID(X$1,1,2),FALSE)</f>
        <v>0</v>
      </c>
      <c r="Y965" s="55">
        <f>VLOOKUP($E965,'NI-Ric_SP'!$C:$AN,MID(Y$1,1,2),FALSE)</f>
        <v>0</v>
      </c>
      <c r="Z965" s="55">
        <f>VLOOKUP($E965,'NI-Ric_SP'!$C:$AN,MID(Z$1,1,2),FALSE)</f>
        <v>0</v>
      </c>
      <c r="AA965" s="55">
        <f>VLOOKUP($E965,'NI-Ric_SP'!$C:$AN,MID(AA$1,1,2),FALSE)</f>
        <v>0</v>
      </c>
      <c r="AB965" s="55">
        <f>VLOOKUP($E965,'NI-Ric_SP'!$C:$AN,MID(AB$1,1,2),FALSE)</f>
        <v>0</v>
      </c>
      <c r="AC965" s="55">
        <f>VLOOKUP($E965,'NI-Ric_SP'!$C:$AN,MID(AC$1,1,2),FALSE)</f>
        <v>0</v>
      </c>
      <c r="AD965" s="55">
        <f>VLOOKUP($E965,'NI-Ric_SP'!$C:$AN,MID(AD$1,1,2),FALSE)</f>
        <v>0</v>
      </c>
      <c r="AE965" s="55">
        <f>VLOOKUP($E965,'NI-Ric_SP'!$C:$AN,MID(AE$1,1,2),FALSE)</f>
        <v>0</v>
      </c>
      <c r="AF965" s="55">
        <f>VLOOKUP($E965,'NI-Ric_SP'!$C:$AN,MID(AF$1,1,2),FALSE)</f>
        <v>0</v>
      </c>
      <c r="AG965" s="55">
        <f>VLOOKUP($E965,'NI-Ric_SP'!$C:$AN,MID(AG$1,1,2),FALSE)</f>
        <v>0</v>
      </c>
      <c r="AH965" s="55">
        <f>VLOOKUP($E965,'NI-Ric_SP'!$C:$AN,MID(AH$1,1,2),FALSE)</f>
        <v>0</v>
      </c>
      <c r="AI965" s="55">
        <f>VLOOKUP($E965,'NI-Ric_SP'!$C:$AN,MID(AI$1,1,2),FALSE)</f>
        <v>0</v>
      </c>
      <c r="AJ965" s="55">
        <f>VLOOKUP($E965,'NI-Ric_SP'!$C:$AN,MID(AJ$1,1,2),FALSE)</f>
        <v>0</v>
      </c>
      <c r="AK965" s="55">
        <f>VLOOKUP($E965,'NI-Ric_SP'!$C:$AN,MID(AK$1,1,2),FALSE)</f>
        <v>0</v>
      </c>
      <c r="AL965" s="55">
        <f>VLOOKUP($E965,'NI-Ric_SP'!$C:$AN,MID(AL$1,1,2),FALSE)</f>
        <v>0</v>
      </c>
      <c r="AM965" s="56">
        <f>VLOOKUP($E965,'NI-Ric_SP'!$C:$AN,MID(AM$1,1,2),FALSE)</f>
        <v>0</v>
      </c>
      <c r="AN965" s="30" t="str">
        <f t="shared" si="15"/>
        <v>10208020010010</v>
      </c>
    </row>
    <row r="966" spans="3:40" x14ac:dyDescent="0.25">
      <c r="C966" s="40"/>
      <c r="D966" s="101" t="s">
        <v>907</v>
      </c>
      <c r="E966" s="101" t="s">
        <v>908</v>
      </c>
      <c r="F966" s="102" t="s">
        <v>2750</v>
      </c>
      <c r="G966" s="52"/>
      <c r="H966" s="52"/>
      <c r="I966" s="52"/>
      <c r="J966" s="52"/>
      <c r="K966" s="59" t="s">
        <v>79</v>
      </c>
      <c r="L966" s="52"/>
      <c r="M966" s="52"/>
      <c r="N966" s="52"/>
      <c r="O966" s="52"/>
      <c r="P966" s="76" t="s">
        <v>909</v>
      </c>
      <c r="Q966" s="55">
        <f>VLOOKUP(E966,'NI-Ric_SP'!$C:$AN,12,FALSE)</f>
        <v>0</v>
      </c>
      <c r="R966" s="55">
        <f>VLOOKUP(E966,'NI-Ric_SP'!$C:$AN,13,FALSE)</f>
        <v>0</v>
      </c>
      <c r="S966" s="55"/>
      <c r="T966" s="55"/>
      <c r="U966" s="55">
        <f>VLOOKUP($E966,'NI-Ric_SP'!$C:$AN,MID(U$1,1,2),FALSE)</f>
        <v>0</v>
      </c>
      <c r="V966" s="55">
        <f>VLOOKUP($E966,'NI-Ric_SP'!$C:$AN,MID(V$1,1,2),FALSE)</f>
        <v>0</v>
      </c>
      <c r="W966" s="55">
        <f>VLOOKUP($E966,'NI-Ric_SP'!$C:$AN,MID(W$1,1,2),FALSE)</f>
        <v>0</v>
      </c>
      <c r="X966" s="55">
        <f>VLOOKUP($E966,'NI-Ric_SP'!$C:$AN,MID(X$1,1,2),FALSE)</f>
        <v>0</v>
      </c>
      <c r="Y966" s="55">
        <f>VLOOKUP($E966,'NI-Ric_SP'!$C:$AN,MID(Y$1,1,2),FALSE)</f>
        <v>0</v>
      </c>
      <c r="Z966" s="55">
        <f>VLOOKUP($E966,'NI-Ric_SP'!$C:$AN,MID(Z$1,1,2),FALSE)</f>
        <v>0</v>
      </c>
      <c r="AA966" s="55">
        <f>VLOOKUP($E966,'NI-Ric_SP'!$C:$AN,MID(AA$1,1,2),FALSE)</f>
        <v>0</v>
      </c>
      <c r="AB966" s="55">
        <f>VLOOKUP($E966,'NI-Ric_SP'!$C:$AN,MID(AB$1,1,2),FALSE)</f>
        <v>0</v>
      </c>
      <c r="AC966" s="55">
        <f>VLOOKUP($E966,'NI-Ric_SP'!$C:$AN,MID(AC$1,1,2),FALSE)</f>
        <v>0</v>
      </c>
      <c r="AD966" s="55">
        <f>VLOOKUP($E966,'NI-Ric_SP'!$C:$AN,MID(AD$1,1,2),FALSE)</f>
        <v>0</v>
      </c>
      <c r="AE966" s="55">
        <f>VLOOKUP($E966,'NI-Ric_SP'!$C:$AN,MID(AE$1,1,2),FALSE)</f>
        <v>0</v>
      </c>
      <c r="AF966" s="55">
        <f>VLOOKUP($E966,'NI-Ric_SP'!$C:$AN,MID(AF$1,1,2),FALSE)</f>
        <v>0</v>
      </c>
      <c r="AG966" s="55">
        <f>VLOOKUP($E966,'NI-Ric_SP'!$C:$AN,MID(AG$1,1,2),FALSE)</f>
        <v>0</v>
      </c>
      <c r="AH966" s="55">
        <f>VLOOKUP($E966,'NI-Ric_SP'!$C:$AN,MID(AH$1,1,2),FALSE)</f>
        <v>0</v>
      </c>
      <c r="AI966" s="55">
        <f>VLOOKUP($E966,'NI-Ric_SP'!$C:$AN,MID(AI$1,1,2),FALSE)</f>
        <v>0</v>
      </c>
      <c r="AJ966" s="55">
        <f>VLOOKUP($E966,'NI-Ric_SP'!$C:$AN,MID(AJ$1,1,2),FALSE)</f>
        <v>0</v>
      </c>
      <c r="AK966" s="55">
        <f>VLOOKUP($E966,'NI-Ric_SP'!$C:$AN,MID(AK$1,1,2),FALSE)</f>
        <v>0</v>
      </c>
      <c r="AL966" s="55">
        <f>VLOOKUP($E966,'NI-Ric_SP'!$C:$AN,MID(AL$1,1,2),FALSE)</f>
        <v>0</v>
      </c>
      <c r="AM966" s="56">
        <f>VLOOKUP($E966,'NI-Ric_SP'!$C:$AN,MID(AM$1,1,2),FALSE)</f>
        <v>0</v>
      </c>
      <c r="AN966" s="30" t="str">
        <f t="shared" si="15"/>
        <v>10208020010020</v>
      </c>
    </row>
    <row r="967" spans="3:40" x14ac:dyDescent="0.25">
      <c r="C967" s="40"/>
      <c r="D967" s="101" t="s">
        <v>910</v>
      </c>
      <c r="E967" s="101" t="s">
        <v>911</v>
      </c>
      <c r="F967" s="102" t="s">
        <v>2750</v>
      </c>
      <c r="G967" s="52"/>
      <c r="H967" s="52"/>
      <c r="I967" s="52"/>
      <c r="J967" s="52"/>
      <c r="K967" s="59" t="s">
        <v>79</v>
      </c>
      <c r="L967" s="52"/>
      <c r="M967" s="52"/>
      <c r="N967" s="52"/>
      <c r="O967" s="52"/>
      <c r="P967" s="76" t="s">
        <v>912</v>
      </c>
      <c r="Q967" s="55">
        <f>VLOOKUP(E967,'NI-Ric_SP'!$C:$AN,12,FALSE)</f>
        <v>0</v>
      </c>
      <c r="R967" s="55">
        <f>VLOOKUP(E967,'NI-Ric_SP'!$C:$AN,13,FALSE)</f>
        <v>0</v>
      </c>
      <c r="S967" s="55"/>
      <c r="T967" s="55"/>
      <c r="U967" s="55">
        <f>VLOOKUP($E967,'NI-Ric_SP'!$C:$AN,MID(U$1,1,2),FALSE)</f>
        <v>0</v>
      </c>
      <c r="V967" s="55">
        <f>VLOOKUP($E967,'NI-Ric_SP'!$C:$AN,MID(V$1,1,2),FALSE)</f>
        <v>0</v>
      </c>
      <c r="W967" s="55">
        <f>VLOOKUP($E967,'NI-Ric_SP'!$C:$AN,MID(W$1,1,2),FALSE)</f>
        <v>0</v>
      </c>
      <c r="X967" s="55">
        <f>VLOOKUP($E967,'NI-Ric_SP'!$C:$AN,MID(X$1,1,2),FALSE)</f>
        <v>0</v>
      </c>
      <c r="Y967" s="55">
        <f>VLOOKUP($E967,'NI-Ric_SP'!$C:$AN,MID(Y$1,1,2),FALSE)</f>
        <v>0</v>
      </c>
      <c r="Z967" s="55">
        <f>VLOOKUP($E967,'NI-Ric_SP'!$C:$AN,MID(Z$1,1,2),FALSE)</f>
        <v>0</v>
      </c>
      <c r="AA967" s="55">
        <f>VLOOKUP($E967,'NI-Ric_SP'!$C:$AN,MID(AA$1,1,2),FALSE)</f>
        <v>0</v>
      </c>
      <c r="AB967" s="55">
        <f>VLOOKUP($E967,'NI-Ric_SP'!$C:$AN,MID(AB$1,1,2),FALSE)</f>
        <v>0</v>
      </c>
      <c r="AC967" s="55">
        <f>VLOOKUP($E967,'NI-Ric_SP'!$C:$AN,MID(AC$1,1,2),FALSE)</f>
        <v>0</v>
      </c>
      <c r="AD967" s="55">
        <f>VLOOKUP($E967,'NI-Ric_SP'!$C:$AN,MID(AD$1,1,2),FALSE)</f>
        <v>0</v>
      </c>
      <c r="AE967" s="55">
        <f>VLOOKUP($E967,'NI-Ric_SP'!$C:$AN,MID(AE$1,1,2),FALSE)</f>
        <v>0</v>
      </c>
      <c r="AF967" s="55">
        <f>VLOOKUP($E967,'NI-Ric_SP'!$C:$AN,MID(AF$1,1,2),FALSE)</f>
        <v>0</v>
      </c>
      <c r="AG967" s="55">
        <f>VLOOKUP($E967,'NI-Ric_SP'!$C:$AN,MID(AG$1,1,2),FALSE)</f>
        <v>0</v>
      </c>
      <c r="AH967" s="55">
        <f>VLOOKUP($E967,'NI-Ric_SP'!$C:$AN,MID(AH$1,1,2),FALSE)</f>
        <v>0</v>
      </c>
      <c r="AI967" s="55">
        <f>VLOOKUP($E967,'NI-Ric_SP'!$C:$AN,MID(AI$1,1,2),FALSE)</f>
        <v>0</v>
      </c>
      <c r="AJ967" s="55">
        <f>VLOOKUP($E967,'NI-Ric_SP'!$C:$AN,MID(AJ$1,1,2),FALSE)</f>
        <v>0</v>
      </c>
      <c r="AK967" s="55">
        <f>VLOOKUP($E967,'NI-Ric_SP'!$C:$AN,MID(AK$1,1,2),FALSE)</f>
        <v>0</v>
      </c>
      <c r="AL967" s="55">
        <f>VLOOKUP($E967,'NI-Ric_SP'!$C:$AN,MID(AL$1,1,2),FALSE)</f>
        <v>0</v>
      </c>
      <c r="AM967" s="56">
        <f>VLOOKUP($E967,'NI-Ric_SP'!$C:$AN,MID(AM$1,1,2),FALSE)</f>
        <v>0</v>
      </c>
      <c r="AN967" s="30" t="str">
        <f t="shared" si="15"/>
        <v>10208020020010</v>
      </c>
    </row>
    <row r="968" spans="3:40" x14ac:dyDescent="0.25">
      <c r="C968" s="40"/>
      <c r="D968" s="101" t="s">
        <v>913</v>
      </c>
      <c r="E968" s="101" t="s">
        <v>914</v>
      </c>
      <c r="F968" s="102" t="s">
        <v>2750</v>
      </c>
      <c r="G968" s="52"/>
      <c r="H968" s="52"/>
      <c r="I968" s="52"/>
      <c r="J968" s="52"/>
      <c r="K968" s="59" t="s">
        <v>79</v>
      </c>
      <c r="L968" s="52"/>
      <c r="M968" s="52"/>
      <c r="N968" s="52"/>
      <c r="O968" s="52"/>
      <c r="P968" s="76" t="s">
        <v>915</v>
      </c>
      <c r="Q968" s="55">
        <f>VLOOKUP(E968,'NI-Ric_SP'!$C:$AN,12,FALSE)</f>
        <v>0</v>
      </c>
      <c r="R968" s="55">
        <f>VLOOKUP(E968,'NI-Ric_SP'!$C:$AN,13,FALSE)</f>
        <v>0</v>
      </c>
      <c r="S968" s="55"/>
      <c r="T968" s="55"/>
      <c r="U968" s="55">
        <f>VLOOKUP($E968,'NI-Ric_SP'!$C:$AN,MID(U$1,1,2),FALSE)</f>
        <v>0</v>
      </c>
      <c r="V968" s="55">
        <f>VLOOKUP($E968,'NI-Ric_SP'!$C:$AN,MID(V$1,1,2),FALSE)</f>
        <v>0</v>
      </c>
      <c r="W968" s="55">
        <f>VLOOKUP($E968,'NI-Ric_SP'!$C:$AN,MID(W$1,1,2),FALSE)</f>
        <v>0</v>
      </c>
      <c r="X968" s="55">
        <f>VLOOKUP($E968,'NI-Ric_SP'!$C:$AN,MID(X$1,1,2),FALSE)</f>
        <v>0</v>
      </c>
      <c r="Y968" s="55">
        <f>VLOOKUP($E968,'NI-Ric_SP'!$C:$AN,MID(Y$1,1,2),FALSE)</f>
        <v>0</v>
      </c>
      <c r="Z968" s="55">
        <f>VLOOKUP($E968,'NI-Ric_SP'!$C:$AN,MID(Z$1,1,2),FALSE)</f>
        <v>0</v>
      </c>
      <c r="AA968" s="55">
        <f>VLOOKUP($E968,'NI-Ric_SP'!$C:$AN,MID(AA$1,1,2),FALSE)</f>
        <v>0</v>
      </c>
      <c r="AB968" s="55">
        <f>VLOOKUP($E968,'NI-Ric_SP'!$C:$AN,MID(AB$1,1,2),FALSE)</f>
        <v>0</v>
      </c>
      <c r="AC968" s="55">
        <f>VLOOKUP($E968,'NI-Ric_SP'!$C:$AN,MID(AC$1,1,2),FALSE)</f>
        <v>0</v>
      </c>
      <c r="AD968" s="55">
        <f>VLOOKUP($E968,'NI-Ric_SP'!$C:$AN,MID(AD$1,1,2),FALSE)</f>
        <v>0</v>
      </c>
      <c r="AE968" s="55">
        <f>VLOOKUP($E968,'NI-Ric_SP'!$C:$AN,MID(AE$1,1,2),FALSE)</f>
        <v>0</v>
      </c>
      <c r="AF968" s="55">
        <f>VLOOKUP($E968,'NI-Ric_SP'!$C:$AN,MID(AF$1,1,2),FALSE)</f>
        <v>0</v>
      </c>
      <c r="AG968" s="55">
        <f>VLOOKUP($E968,'NI-Ric_SP'!$C:$AN,MID(AG$1,1,2),FALSE)</f>
        <v>0</v>
      </c>
      <c r="AH968" s="55">
        <f>VLOOKUP($E968,'NI-Ric_SP'!$C:$AN,MID(AH$1,1,2),FALSE)</f>
        <v>0</v>
      </c>
      <c r="AI968" s="55">
        <f>VLOOKUP($E968,'NI-Ric_SP'!$C:$AN,MID(AI$1,1,2),FALSE)</f>
        <v>0</v>
      </c>
      <c r="AJ968" s="55">
        <f>VLOOKUP($E968,'NI-Ric_SP'!$C:$AN,MID(AJ$1,1,2),FALSE)</f>
        <v>0</v>
      </c>
      <c r="AK968" s="55">
        <f>VLOOKUP($E968,'NI-Ric_SP'!$C:$AN,MID(AK$1,1,2),FALSE)</f>
        <v>0</v>
      </c>
      <c r="AL968" s="55">
        <f>VLOOKUP($E968,'NI-Ric_SP'!$C:$AN,MID(AL$1,1,2),FALSE)</f>
        <v>0</v>
      </c>
      <c r="AM968" s="56">
        <f>VLOOKUP($E968,'NI-Ric_SP'!$C:$AN,MID(AM$1,1,2),FALSE)</f>
        <v>0</v>
      </c>
      <c r="AN968" s="30" t="str">
        <f t="shared" si="15"/>
        <v>10208020020020</v>
      </c>
    </row>
    <row r="969" spans="3:40" x14ac:dyDescent="0.25">
      <c r="C969" s="40"/>
      <c r="D969" s="101" t="s">
        <v>916</v>
      </c>
      <c r="E969" s="101" t="s">
        <v>917</v>
      </c>
      <c r="F969" s="102" t="s">
        <v>2750</v>
      </c>
      <c r="G969" s="52"/>
      <c r="H969" s="52"/>
      <c r="I969" s="52"/>
      <c r="J969" s="52"/>
      <c r="K969" s="59" t="s">
        <v>79</v>
      </c>
      <c r="L969" s="52"/>
      <c r="M969" s="52"/>
      <c r="N969" s="52"/>
      <c r="O969" s="52"/>
      <c r="P969" s="76" t="s">
        <v>918</v>
      </c>
      <c r="Q969" s="55">
        <f>VLOOKUP(E969,'NI-Ric_SP'!$C:$AN,12,FALSE)</f>
        <v>0</v>
      </c>
      <c r="R969" s="55">
        <f>VLOOKUP(E969,'NI-Ric_SP'!$C:$AN,13,FALSE)</f>
        <v>0</v>
      </c>
      <c r="S969" s="55"/>
      <c r="T969" s="55"/>
      <c r="U969" s="55">
        <f>VLOOKUP($E969,'NI-Ric_SP'!$C:$AN,MID(U$1,1,2),FALSE)</f>
        <v>0</v>
      </c>
      <c r="V969" s="55">
        <f>VLOOKUP($E969,'NI-Ric_SP'!$C:$AN,MID(V$1,1,2),FALSE)</f>
        <v>0</v>
      </c>
      <c r="W969" s="55">
        <f>VLOOKUP($E969,'NI-Ric_SP'!$C:$AN,MID(W$1,1,2),FALSE)</f>
        <v>0</v>
      </c>
      <c r="X969" s="55">
        <f>VLOOKUP($E969,'NI-Ric_SP'!$C:$AN,MID(X$1,1,2),FALSE)</f>
        <v>0</v>
      </c>
      <c r="Y969" s="55">
        <f>VLOOKUP($E969,'NI-Ric_SP'!$C:$AN,MID(Y$1,1,2),FALSE)</f>
        <v>0</v>
      </c>
      <c r="Z969" s="55">
        <f>VLOOKUP($E969,'NI-Ric_SP'!$C:$AN,MID(Z$1,1,2),FALSE)</f>
        <v>0</v>
      </c>
      <c r="AA969" s="55">
        <f>VLOOKUP($E969,'NI-Ric_SP'!$C:$AN,MID(AA$1,1,2),FALSE)</f>
        <v>0</v>
      </c>
      <c r="AB969" s="55">
        <f>VLOOKUP($E969,'NI-Ric_SP'!$C:$AN,MID(AB$1,1,2),FALSE)</f>
        <v>0</v>
      </c>
      <c r="AC969" s="55">
        <f>VLOOKUP($E969,'NI-Ric_SP'!$C:$AN,MID(AC$1,1,2),FALSE)</f>
        <v>0</v>
      </c>
      <c r="AD969" s="55">
        <f>VLOOKUP($E969,'NI-Ric_SP'!$C:$AN,MID(AD$1,1,2),FALSE)</f>
        <v>0</v>
      </c>
      <c r="AE969" s="55">
        <f>VLOOKUP($E969,'NI-Ric_SP'!$C:$AN,MID(AE$1,1,2),FALSE)</f>
        <v>0</v>
      </c>
      <c r="AF969" s="55">
        <f>VLOOKUP($E969,'NI-Ric_SP'!$C:$AN,MID(AF$1,1,2),FALSE)</f>
        <v>0</v>
      </c>
      <c r="AG969" s="55">
        <f>VLOOKUP($E969,'NI-Ric_SP'!$C:$AN,MID(AG$1,1,2),FALSE)</f>
        <v>0</v>
      </c>
      <c r="AH969" s="55">
        <f>VLOOKUP($E969,'NI-Ric_SP'!$C:$AN,MID(AH$1,1,2),FALSE)</f>
        <v>0</v>
      </c>
      <c r="AI969" s="55">
        <f>VLOOKUP($E969,'NI-Ric_SP'!$C:$AN,MID(AI$1,1,2),FALSE)</f>
        <v>0</v>
      </c>
      <c r="AJ969" s="55">
        <f>VLOOKUP($E969,'NI-Ric_SP'!$C:$AN,MID(AJ$1,1,2),FALSE)</f>
        <v>0</v>
      </c>
      <c r="AK969" s="55">
        <f>VLOOKUP($E969,'NI-Ric_SP'!$C:$AN,MID(AK$1,1,2),FALSE)</f>
        <v>0</v>
      </c>
      <c r="AL969" s="55">
        <f>VLOOKUP($E969,'NI-Ric_SP'!$C:$AN,MID(AL$1,1,2),FALSE)</f>
        <v>0</v>
      </c>
      <c r="AM969" s="56">
        <f>VLOOKUP($E969,'NI-Ric_SP'!$C:$AN,MID(AM$1,1,2),FALSE)</f>
        <v>0</v>
      </c>
      <c r="AN969" s="30" t="str">
        <f t="shared" si="15"/>
        <v>10208020030010</v>
      </c>
    </row>
    <row r="970" spans="3:40" x14ac:dyDescent="0.25">
      <c r="C970" s="40"/>
      <c r="D970" s="101" t="s">
        <v>919</v>
      </c>
      <c r="E970" s="101" t="s">
        <v>920</v>
      </c>
      <c r="F970" s="102" t="s">
        <v>2750</v>
      </c>
      <c r="G970" s="52"/>
      <c r="H970" s="52"/>
      <c r="I970" s="52"/>
      <c r="J970" s="52"/>
      <c r="K970" s="59" t="s">
        <v>79</v>
      </c>
      <c r="L970" s="52"/>
      <c r="M970" s="52"/>
      <c r="N970" s="52"/>
      <c r="O970" s="52"/>
      <c r="P970" s="76" t="s">
        <v>921</v>
      </c>
      <c r="Q970" s="55">
        <f>VLOOKUP(E970,'NI-Ric_SP'!$C:$AN,12,FALSE)</f>
        <v>0</v>
      </c>
      <c r="R970" s="55">
        <f>VLOOKUP(E970,'NI-Ric_SP'!$C:$AN,13,FALSE)</f>
        <v>0</v>
      </c>
      <c r="S970" s="55"/>
      <c r="T970" s="55"/>
      <c r="U970" s="55">
        <f>VLOOKUP($E970,'NI-Ric_SP'!$C:$AN,MID(U$1,1,2),FALSE)</f>
        <v>0</v>
      </c>
      <c r="V970" s="55">
        <f>VLOOKUP($E970,'NI-Ric_SP'!$C:$AN,MID(V$1,1,2),FALSE)</f>
        <v>0</v>
      </c>
      <c r="W970" s="55">
        <f>VLOOKUP($E970,'NI-Ric_SP'!$C:$AN,MID(W$1,1,2),FALSE)</f>
        <v>0</v>
      </c>
      <c r="X970" s="55">
        <f>VLOOKUP($E970,'NI-Ric_SP'!$C:$AN,MID(X$1,1,2),FALSE)</f>
        <v>0</v>
      </c>
      <c r="Y970" s="55">
        <f>VLOOKUP($E970,'NI-Ric_SP'!$C:$AN,MID(Y$1,1,2),FALSE)</f>
        <v>0</v>
      </c>
      <c r="Z970" s="55">
        <f>VLOOKUP($E970,'NI-Ric_SP'!$C:$AN,MID(Z$1,1,2),FALSE)</f>
        <v>0</v>
      </c>
      <c r="AA970" s="55">
        <f>VLOOKUP($E970,'NI-Ric_SP'!$C:$AN,MID(AA$1,1,2),FALSE)</f>
        <v>0</v>
      </c>
      <c r="AB970" s="55">
        <f>VLOOKUP($E970,'NI-Ric_SP'!$C:$AN,MID(AB$1,1,2),FALSE)</f>
        <v>0</v>
      </c>
      <c r="AC970" s="55">
        <f>VLOOKUP($E970,'NI-Ric_SP'!$C:$AN,MID(AC$1,1,2),FALSE)</f>
        <v>0</v>
      </c>
      <c r="AD970" s="55">
        <f>VLOOKUP($E970,'NI-Ric_SP'!$C:$AN,MID(AD$1,1,2),FALSE)</f>
        <v>0</v>
      </c>
      <c r="AE970" s="55">
        <f>VLOOKUP($E970,'NI-Ric_SP'!$C:$AN,MID(AE$1,1,2),FALSE)</f>
        <v>0</v>
      </c>
      <c r="AF970" s="55">
        <f>VLOOKUP($E970,'NI-Ric_SP'!$C:$AN,MID(AF$1,1,2),FALSE)</f>
        <v>0</v>
      </c>
      <c r="AG970" s="55">
        <f>VLOOKUP($E970,'NI-Ric_SP'!$C:$AN,MID(AG$1,1,2),FALSE)</f>
        <v>0</v>
      </c>
      <c r="AH970" s="55">
        <f>VLOOKUP($E970,'NI-Ric_SP'!$C:$AN,MID(AH$1,1,2),FALSE)</f>
        <v>0</v>
      </c>
      <c r="AI970" s="55">
        <f>VLOOKUP($E970,'NI-Ric_SP'!$C:$AN,MID(AI$1,1,2),FALSE)</f>
        <v>0</v>
      </c>
      <c r="AJ970" s="55">
        <f>VLOOKUP($E970,'NI-Ric_SP'!$C:$AN,MID(AJ$1,1,2),FALSE)</f>
        <v>0</v>
      </c>
      <c r="AK970" s="55">
        <f>VLOOKUP($E970,'NI-Ric_SP'!$C:$AN,MID(AK$1,1,2),FALSE)</f>
        <v>0</v>
      </c>
      <c r="AL970" s="55">
        <f>VLOOKUP($E970,'NI-Ric_SP'!$C:$AN,MID(AL$1,1,2),FALSE)</f>
        <v>0</v>
      </c>
      <c r="AM970" s="56">
        <f>VLOOKUP($E970,'NI-Ric_SP'!$C:$AN,MID(AM$1,1,2),FALSE)</f>
        <v>0</v>
      </c>
      <c r="AN970" s="30" t="str">
        <f t="shared" si="15"/>
        <v>10208020030020</v>
      </c>
    </row>
    <row r="971" spans="3:40" x14ac:dyDescent="0.25">
      <c r="C971" s="40"/>
      <c r="D971" s="101" t="s">
        <v>922</v>
      </c>
      <c r="E971" s="101" t="s">
        <v>923</v>
      </c>
      <c r="F971" s="102" t="s">
        <v>2750</v>
      </c>
      <c r="G971" s="52"/>
      <c r="H971" s="52"/>
      <c r="I971" s="52"/>
      <c r="J971" s="52"/>
      <c r="K971" s="59" t="s">
        <v>79</v>
      </c>
      <c r="L971" s="52"/>
      <c r="M971" s="52"/>
      <c r="N971" s="52"/>
      <c r="O971" s="52"/>
      <c r="P971" s="76" t="s">
        <v>924</v>
      </c>
      <c r="Q971" s="55">
        <f>VLOOKUP(E971,'NI-Ric_SP'!$C:$AN,12,FALSE)</f>
        <v>0</v>
      </c>
      <c r="R971" s="55">
        <f>VLOOKUP(E971,'NI-Ric_SP'!$C:$AN,13,FALSE)</f>
        <v>0</v>
      </c>
      <c r="S971" s="55"/>
      <c r="T971" s="55"/>
      <c r="U971" s="55">
        <f>VLOOKUP($E971,'NI-Ric_SP'!$C:$AN,MID(U$1,1,2),FALSE)</f>
        <v>0</v>
      </c>
      <c r="V971" s="55">
        <f>VLOOKUP($E971,'NI-Ric_SP'!$C:$AN,MID(V$1,1,2),FALSE)</f>
        <v>0</v>
      </c>
      <c r="W971" s="55">
        <f>VLOOKUP($E971,'NI-Ric_SP'!$C:$AN,MID(W$1,1,2),FALSE)</f>
        <v>0</v>
      </c>
      <c r="X971" s="55">
        <f>VLOOKUP($E971,'NI-Ric_SP'!$C:$AN,MID(X$1,1,2),FALSE)</f>
        <v>0</v>
      </c>
      <c r="Y971" s="55">
        <f>VLOOKUP($E971,'NI-Ric_SP'!$C:$AN,MID(Y$1,1,2),FALSE)</f>
        <v>0</v>
      </c>
      <c r="Z971" s="55">
        <f>VLOOKUP($E971,'NI-Ric_SP'!$C:$AN,MID(Z$1,1,2),FALSE)</f>
        <v>0</v>
      </c>
      <c r="AA971" s="55">
        <f>VLOOKUP($E971,'NI-Ric_SP'!$C:$AN,MID(AA$1,1,2),FALSE)</f>
        <v>0</v>
      </c>
      <c r="AB971" s="55">
        <f>VLOOKUP($E971,'NI-Ric_SP'!$C:$AN,MID(AB$1,1,2),FALSE)</f>
        <v>0</v>
      </c>
      <c r="AC971" s="55">
        <f>VLOOKUP($E971,'NI-Ric_SP'!$C:$AN,MID(AC$1,1,2),FALSE)</f>
        <v>0</v>
      </c>
      <c r="AD971" s="55">
        <f>VLOOKUP($E971,'NI-Ric_SP'!$C:$AN,MID(AD$1,1,2),FALSE)</f>
        <v>0</v>
      </c>
      <c r="AE971" s="55">
        <f>VLOOKUP($E971,'NI-Ric_SP'!$C:$AN,MID(AE$1,1,2),FALSE)</f>
        <v>0</v>
      </c>
      <c r="AF971" s="55">
        <f>VLOOKUP($E971,'NI-Ric_SP'!$C:$AN,MID(AF$1,1,2),FALSE)</f>
        <v>0</v>
      </c>
      <c r="AG971" s="55">
        <f>VLOOKUP($E971,'NI-Ric_SP'!$C:$AN,MID(AG$1,1,2),FALSE)</f>
        <v>0</v>
      </c>
      <c r="AH971" s="55">
        <f>VLOOKUP($E971,'NI-Ric_SP'!$C:$AN,MID(AH$1,1,2),FALSE)</f>
        <v>0</v>
      </c>
      <c r="AI971" s="55">
        <f>VLOOKUP($E971,'NI-Ric_SP'!$C:$AN,MID(AI$1,1,2),FALSE)</f>
        <v>0</v>
      </c>
      <c r="AJ971" s="55">
        <f>VLOOKUP($E971,'NI-Ric_SP'!$C:$AN,MID(AJ$1,1,2),FALSE)</f>
        <v>0</v>
      </c>
      <c r="AK971" s="55">
        <f>VLOOKUP($E971,'NI-Ric_SP'!$C:$AN,MID(AK$1,1,2),FALSE)</f>
        <v>0</v>
      </c>
      <c r="AL971" s="55">
        <f>VLOOKUP($E971,'NI-Ric_SP'!$C:$AN,MID(AL$1,1,2),FALSE)</f>
        <v>0</v>
      </c>
      <c r="AM971" s="56">
        <f>VLOOKUP($E971,'NI-Ric_SP'!$C:$AN,MID(AM$1,1,2),FALSE)</f>
        <v>0</v>
      </c>
      <c r="AN971" s="30" t="str">
        <f t="shared" si="15"/>
        <v>10208020040010</v>
      </c>
    </row>
    <row r="972" spans="3:40" x14ac:dyDescent="0.25">
      <c r="C972" s="40"/>
      <c r="D972" s="101" t="s">
        <v>925</v>
      </c>
      <c r="E972" s="101" t="s">
        <v>926</v>
      </c>
      <c r="F972" s="102" t="s">
        <v>2750</v>
      </c>
      <c r="G972" s="52"/>
      <c r="H972" s="52"/>
      <c r="I972" s="52"/>
      <c r="J972" s="52"/>
      <c r="K972" s="59" t="s">
        <v>79</v>
      </c>
      <c r="L972" s="52"/>
      <c r="M972" s="52"/>
      <c r="N972" s="52"/>
      <c r="O972" s="52"/>
      <c r="P972" s="76" t="s">
        <v>927</v>
      </c>
      <c r="Q972" s="55">
        <f>VLOOKUP(E972,'NI-Ric_SP'!$C:$AN,12,FALSE)</f>
        <v>0</v>
      </c>
      <c r="R972" s="55">
        <f>VLOOKUP(E972,'NI-Ric_SP'!$C:$AN,13,FALSE)</f>
        <v>0</v>
      </c>
      <c r="S972" s="55"/>
      <c r="T972" s="55"/>
      <c r="U972" s="55">
        <f>VLOOKUP($E972,'NI-Ric_SP'!$C:$AN,MID(U$1,1,2),FALSE)</f>
        <v>0</v>
      </c>
      <c r="V972" s="55">
        <f>VLOOKUP($E972,'NI-Ric_SP'!$C:$AN,MID(V$1,1,2),FALSE)</f>
        <v>0</v>
      </c>
      <c r="W972" s="55">
        <f>VLOOKUP($E972,'NI-Ric_SP'!$C:$AN,MID(W$1,1,2),FALSE)</f>
        <v>0</v>
      </c>
      <c r="X972" s="55">
        <f>VLOOKUP($E972,'NI-Ric_SP'!$C:$AN,MID(X$1,1,2),FALSE)</f>
        <v>0</v>
      </c>
      <c r="Y972" s="55">
        <f>VLOOKUP($E972,'NI-Ric_SP'!$C:$AN,MID(Y$1,1,2),FALSE)</f>
        <v>0</v>
      </c>
      <c r="Z972" s="55">
        <f>VLOOKUP($E972,'NI-Ric_SP'!$C:$AN,MID(Z$1,1,2),FALSE)</f>
        <v>0</v>
      </c>
      <c r="AA972" s="55">
        <f>VLOOKUP($E972,'NI-Ric_SP'!$C:$AN,MID(AA$1,1,2),FALSE)</f>
        <v>0</v>
      </c>
      <c r="AB972" s="55">
        <f>VLOOKUP($E972,'NI-Ric_SP'!$C:$AN,MID(AB$1,1,2),FALSE)</f>
        <v>0</v>
      </c>
      <c r="AC972" s="55">
        <f>VLOOKUP($E972,'NI-Ric_SP'!$C:$AN,MID(AC$1,1,2),FALSE)</f>
        <v>0</v>
      </c>
      <c r="AD972" s="55">
        <f>VLOOKUP($E972,'NI-Ric_SP'!$C:$AN,MID(AD$1,1,2),FALSE)</f>
        <v>0</v>
      </c>
      <c r="AE972" s="55">
        <f>VLOOKUP($E972,'NI-Ric_SP'!$C:$AN,MID(AE$1,1,2),FALSE)</f>
        <v>0</v>
      </c>
      <c r="AF972" s="55">
        <f>VLOOKUP($E972,'NI-Ric_SP'!$C:$AN,MID(AF$1,1,2),FALSE)</f>
        <v>0</v>
      </c>
      <c r="AG972" s="55">
        <f>VLOOKUP($E972,'NI-Ric_SP'!$C:$AN,MID(AG$1,1,2),FALSE)</f>
        <v>0</v>
      </c>
      <c r="AH972" s="55">
        <f>VLOOKUP($E972,'NI-Ric_SP'!$C:$AN,MID(AH$1,1,2),FALSE)</f>
        <v>0</v>
      </c>
      <c r="AI972" s="55">
        <f>VLOOKUP($E972,'NI-Ric_SP'!$C:$AN,MID(AI$1,1,2),FALSE)</f>
        <v>0</v>
      </c>
      <c r="AJ972" s="55">
        <f>VLOOKUP($E972,'NI-Ric_SP'!$C:$AN,MID(AJ$1,1,2),FALSE)</f>
        <v>0</v>
      </c>
      <c r="AK972" s="55">
        <f>VLOOKUP($E972,'NI-Ric_SP'!$C:$AN,MID(AK$1,1,2),FALSE)</f>
        <v>0</v>
      </c>
      <c r="AL972" s="55">
        <f>VLOOKUP($E972,'NI-Ric_SP'!$C:$AN,MID(AL$1,1,2),FALSE)</f>
        <v>0</v>
      </c>
      <c r="AM972" s="56">
        <f>VLOOKUP($E972,'NI-Ric_SP'!$C:$AN,MID(AM$1,1,2),FALSE)</f>
        <v>0</v>
      </c>
      <c r="AN972" s="30" t="str">
        <f t="shared" si="15"/>
        <v>10208020040020</v>
      </c>
    </row>
    <row r="973" spans="3:40" x14ac:dyDescent="0.25">
      <c r="C973" s="40"/>
      <c r="D973" s="101" t="s">
        <v>928</v>
      </c>
      <c r="E973" s="101" t="s">
        <v>929</v>
      </c>
      <c r="F973" s="102" t="s">
        <v>2750</v>
      </c>
      <c r="G973" s="52"/>
      <c r="H973" s="52"/>
      <c r="I973" s="52"/>
      <c r="J973" s="52"/>
      <c r="K973" s="59" t="s">
        <v>79</v>
      </c>
      <c r="L973" s="52"/>
      <c r="M973" s="52"/>
      <c r="N973" s="52"/>
      <c r="O973" s="52"/>
      <c r="P973" s="76" t="s">
        <v>930</v>
      </c>
      <c r="Q973" s="55">
        <f>VLOOKUP(E973,'NI-Ric_SP'!$C:$AN,12,FALSE)</f>
        <v>0</v>
      </c>
      <c r="R973" s="55">
        <f>VLOOKUP(E973,'NI-Ric_SP'!$C:$AN,13,FALSE)</f>
        <v>0</v>
      </c>
      <c r="S973" s="55"/>
      <c r="T973" s="55"/>
      <c r="U973" s="55">
        <f>VLOOKUP($E973,'NI-Ric_SP'!$C:$AN,MID(U$1,1,2),FALSE)</f>
        <v>0</v>
      </c>
      <c r="V973" s="55">
        <f>VLOOKUP($E973,'NI-Ric_SP'!$C:$AN,MID(V$1,1,2),FALSE)</f>
        <v>0</v>
      </c>
      <c r="W973" s="55">
        <f>VLOOKUP($E973,'NI-Ric_SP'!$C:$AN,MID(W$1,1,2),FALSE)</f>
        <v>0</v>
      </c>
      <c r="X973" s="55">
        <f>VLOOKUP($E973,'NI-Ric_SP'!$C:$AN,MID(X$1,1,2),FALSE)</f>
        <v>0</v>
      </c>
      <c r="Y973" s="55">
        <f>VLOOKUP($E973,'NI-Ric_SP'!$C:$AN,MID(Y$1,1,2),FALSE)</f>
        <v>0</v>
      </c>
      <c r="Z973" s="55">
        <f>VLOOKUP($E973,'NI-Ric_SP'!$C:$AN,MID(Z$1,1,2),FALSE)</f>
        <v>0</v>
      </c>
      <c r="AA973" s="55">
        <f>VLOOKUP($E973,'NI-Ric_SP'!$C:$AN,MID(AA$1,1,2),FALSE)</f>
        <v>0</v>
      </c>
      <c r="AB973" s="55">
        <f>VLOOKUP($E973,'NI-Ric_SP'!$C:$AN,MID(AB$1,1,2),FALSE)</f>
        <v>0</v>
      </c>
      <c r="AC973" s="55">
        <f>VLOOKUP($E973,'NI-Ric_SP'!$C:$AN,MID(AC$1,1,2),FALSE)</f>
        <v>0</v>
      </c>
      <c r="AD973" s="55">
        <f>VLOOKUP($E973,'NI-Ric_SP'!$C:$AN,MID(AD$1,1,2),FALSE)</f>
        <v>0</v>
      </c>
      <c r="AE973" s="55">
        <f>VLOOKUP($E973,'NI-Ric_SP'!$C:$AN,MID(AE$1,1,2),FALSE)</f>
        <v>0</v>
      </c>
      <c r="AF973" s="55">
        <f>VLOOKUP($E973,'NI-Ric_SP'!$C:$AN,MID(AF$1,1,2),FALSE)</f>
        <v>0</v>
      </c>
      <c r="AG973" s="55">
        <f>VLOOKUP($E973,'NI-Ric_SP'!$C:$AN,MID(AG$1,1,2),FALSE)</f>
        <v>0</v>
      </c>
      <c r="AH973" s="55">
        <f>VLOOKUP($E973,'NI-Ric_SP'!$C:$AN,MID(AH$1,1,2),FALSE)</f>
        <v>0</v>
      </c>
      <c r="AI973" s="55">
        <f>VLOOKUP($E973,'NI-Ric_SP'!$C:$AN,MID(AI$1,1,2),FALSE)</f>
        <v>0</v>
      </c>
      <c r="AJ973" s="55">
        <f>VLOOKUP($E973,'NI-Ric_SP'!$C:$AN,MID(AJ$1,1,2),FALSE)</f>
        <v>0</v>
      </c>
      <c r="AK973" s="55">
        <f>VLOOKUP($E973,'NI-Ric_SP'!$C:$AN,MID(AK$1,1,2),FALSE)</f>
        <v>0</v>
      </c>
      <c r="AL973" s="55">
        <f>VLOOKUP($E973,'NI-Ric_SP'!$C:$AN,MID(AL$1,1,2),FALSE)</f>
        <v>0</v>
      </c>
      <c r="AM973" s="56">
        <f>VLOOKUP($E973,'NI-Ric_SP'!$C:$AN,MID(AM$1,1,2),FALSE)</f>
        <v>0</v>
      </c>
      <c r="AN973" s="30" t="str">
        <f t="shared" si="15"/>
        <v>10208020050010</v>
      </c>
    </row>
    <row r="974" spans="3:40" x14ac:dyDescent="0.25">
      <c r="C974" s="40"/>
      <c r="D974" s="101" t="s">
        <v>931</v>
      </c>
      <c r="E974" s="101" t="s">
        <v>932</v>
      </c>
      <c r="F974" s="102" t="s">
        <v>2750</v>
      </c>
      <c r="G974" s="52"/>
      <c r="H974" s="52"/>
      <c r="I974" s="52"/>
      <c r="J974" s="52"/>
      <c r="K974" s="59" t="s">
        <v>79</v>
      </c>
      <c r="L974" s="52"/>
      <c r="M974" s="52"/>
      <c r="N974" s="52"/>
      <c r="O974" s="52"/>
      <c r="P974" s="76" t="s">
        <v>933</v>
      </c>
      <c r="Q974" s="55">
        <f>VLOOKUP(E974,'NI-Ric_SP'!$C:$AN,12,FALSE)</f>
        <v>0</v>
      </c>
      <c r="R974" s="55">
        <f>VLOOKUP(E974,'NI-Ric_SP'!$C:$AN,13,FALSE)</f>
        <v>0</v>
      </c>
      <c r="S974" s="55"/>
      <c r="T974" s="55"/>
      <c r="U974" s="55">
        <f>VLOOKUP($E974,'NI-Ric_SP'!$C:$AN,MID(U$1,1,2),FALSE)</f>
        <v>0</v>
      </c>
      <c r="V974" s="55">
        <f>VLOOKUP($E974,'NI-Ric_SP'!$C:$AN,MID(V$1,1,2),FALSE)</f>
        <v>0</v>
      </c>
      <c r="W974" s="55">
        <f>VLOOKUP($E974,'NI-Ric_SP'!$C:$AN,MID(W$1,1,2),FALSE)</f>
        <v>0</v>
      </c>
      <c r="X974" s="55">
        <f>VLOOKUP($E974,'NI-Ric_SP'!$C:$AN,MID(X$1,1,2),FALSE)</f>
        <v>0</v>
      </c>
      <c r="Y974" s="55">
        <f>VLOOKUP($E974,'NI-Ric_SP'!$C:$AN,MID(Y$1,1,2),FALSE)</f>
        <v>0</v>
      </c>
      <c r="Z974" s="55">
        <f>VLOOKUP($E974,'NI-Ric_SP'!$C:$AN,MID(Z$1,1,2),FALSE)</f>
        <v>0</v>
      </c>
      <c r="AA974" s="55">
        <f>VLOOKUP($E974,'NI-Ric_SP'!$C:$AN,MID(AA$1,1,2),FALSE)</f>
        <v>0</v>
      </c>
      <c r="AB974" s="55">
        <f>VLOOKUP($E974,'NI-Ric_SP'!$C:$AN,MID(AB$1,1,2),FALSE)</f>
        <v>0</v>
      </c>
      <c r="AC974" s="55">
        <f>VLOOKUP($E974,'NI-Ric_SP'!$C:$AN,MID(AC$1,1,2),FALSE)</f>
        <v>0</v>
      </c>
      <c r="AD974" s="55">
        <f>VLOOKUP($E974,'NI-Ric_SP'!$C:$AN,MID(AD$1,1,2),FALSE)</f>
        <v>0</v>
      </c>
      <c r="AE974" s="55">
        <f>VLOOKUP($E974,'NI-Ric_SP'!$C:$AN,MID(AE$1,1,2),FALSE)</f>
        <v>0</v>
      </c>
      <c r="AF974" s="55">
        <f>VLOOKUP($E974,'NI-Ric_SP'!$C:$AN,MID(AF$1,1,2),FALSE)</f>
        <v>0</v>
      </c>
      <c r="AG974" s="55">
        <f>VLOOKUP($E974,'NI-Ric_SP'!$C:$AN,MID(AG$1,1,2),FALSE)</f>
        <v>0</v>
      </c>
      <c r="AH974" s="55">
        <f>VLOOKUP($E974,'NI-Ric_SP'!$C:$AN,MID(AH$1,1,2),FALSE)</f>
        <v>0</v>
      </c>
      <c r="AI974" s="55">
        <f>VLOOKUP($E974,'NI-Ric_SP'!$C:$AN,MID(AI$1,1,2),FALSE)</f>
        <v>0</v>
      </c>
      <c r="AJ974" s="55">
        <f>VLOOKUP($E974,'NI-Ric_SP'!$C:$AN,MID(AJ$1,1,2),FALSE)</f>
        <v>0</v>
      </c>
      <c r="AK974" s="55">
        <f>VLOOKUP($E974,'NI-Ric_SP'!$C:$AN,MID(AK$1,1,2),FALSE)</f>
        <v>0</v>
      </c>
      <c r="AL974" s="55">
        <f>VLOOKUP($E974,'NI-Ric_SP'!$C:$AN,MID(AL$1,1,2),FALSE)</f>
        <v>0</v>
      </c>
      <c r="AM974" s="56">
        <f>VLOOKUP($E974,'NI-Ric_SP'!$C:$AN,MID(AM$1,1,2),FALSE)</f>
        <v>0</v>
      </c>
      <c r="AN974" s="30" t="str">
        <f t="shared" si="15"/>
        <v>10208020050020</v>
      </c>
    </row>
    <row r="975" spans="3:40" x14ac:dyDescent="0.25">
      <c r="C975" s="40"/>
      <c r="D975" s="101" t="s">
        <v>934</v>
      </c>
      <c r="E975" s="101" t="s">
        <v>935</v>
      </c>
      <c r="F975" s="102" t="s">
        <v>2750</v>
      </c>
      <c r="G975" s="52"/>
      <c r="H975" s="52"/>
      <c r="I975" s="52"/>
      <c r="J975" s="52"/>
      <c r="K975" s="59" t="s">
        <v>79</v>
      </c>
      <c r="L975" s="52"/>
      <c r="M975" s="52"/>
      <c r="N975" s="52"/>
      <c r="O975" s="52"/>
      <c r="P975" s="76" t="s">
        <v>936</v>
      </c>
      <c r="Q975" s="55">
        <f>VLOOKUP(E975,'NI-Ric_SP'!$C:$AN,12,FALSE)</f>
        <v>0</v>
      </c>
      <c r="R975" s="55">
        <f>VLOOKUP(E975,'NI-Ric_SP'!$C:$AN,13,FALSE)</f>
        <v>0</v>
      </c>
      <c r="S975" s="55"/>
      <c r="T975" s="55"/>
      <c r="U975" s="55">
        <f>VLOOKUP($E975,'NI-Ric_SP'!$C:$AN,MID(U$1,1,2),FALSE)</f>
        <v>0</v>
      </c>
      <c r="V975" s="55">
        <f>VLOOKUP($E975,'NI-Ric_SP'!$C:$AN,MID(V$1,1,2),FALSE)</f>
        <v>0</v>
      </c>
      <c r="W975" s="55">
        <f>VLOOKUP($E975,'NI-Ric_SP'!$C:$AN,MID(W$1,1,2),FALSE)</f>
        <v>0</v>
      </c>
      <c r="X975" s="55">
        <f>VLOOKUP($E975,'NI-Ric_SP'!$C:$AN,MID(X$1,1,2),FALSE)</f>
        <v>0</v>
      </c>
      <c r="Y975" s="55">
        <f>VLOOKUP($E975,'NI-Ric_SP'!$C:$AN,MID(Y$1,1,2),FALSE)</f>
        <v>0</v>
      </c>
      <c r="Z975" s="55">
        <f>VLOOKUP($E975,'NI-Ric_SP'!$C:$AN,MID(Z$1,1,2),FALSE)</f>
        <v>0</v>
      </c>
      <c r="AA975" s="55">
        <f>VLOOKUP($E975,'NI-Ric_SP'!$C:$AN,MID(AA$1,1,2),FALSE)</f>
        <v>0</v>
      </c>
      <c r="AB975" s="55">
        <f>VLOOKUP($E975,'NI-Ric_SP'!$C:$AN,MID(AB$1,1,2),FALSE)</f>
        <v>0</v>
      </c>
      <c r="AC975" s="55">
        <f>VLOOKUP($E975,'NI-Ric_SP'!$C:$AN,MID(AC$1,1,2),FALSE)</f>
        <v>0</v>
      </c>
      <c r="AD975" s="55">
        <f>VLOOKUP($E975,'NI-Ric_SP'!$C:$AN,MID(AD$1,1,2),FALSE)</f>
        <v>0</v>
      </c>
      <c r="AE975" s="55">
        <f>VLOOKUP($E975,'NI-Ric_SP'!$C:$AN,MID(AE$1,1,2),FALSE)</f>
        <v>0</v>
      </c>
      <c r="AF975" s="55">
        <f>VLOOKUP($E975,'NI-Ric_SP'!$C:$AN,MID(AF$1,1,2),FALSE)</f>
        <v>0</v>
      </c>
      <c r="AG975" s="55">
        <f>VLOOKUP($E975,'NI-Ric_SP'!$C:$AN,MID(AG$1,1,2),FALSE)</f>
        <v>0</v>
      </c>
      <c r="AH975" s="55">
        <f>VLOOKUP($E975,'NI-Ric_SP'!$C:$AN,MID(AH$1,1,2),FALSE)</f>
        <v>0</v>
      </c>
      <c r="AI975" s="55">
        <f>VLOOKUP($E975,'NI-Ric_SP'!$C:$AN,MID(AI$1,1,2),FALSE)</f>
        <v>0</v>
      </c>
      <c r="AJ975" s="55">
        <f>VLOOKUP($E975,'NI-Ric_SP'!$C:$AN,MID(AJ$1,1,2),FALSE)</f>
        <v>0</v>
      </c>
      <c r="AK975" s="55">
        <f>VLOOKUP($E975,'NI-Ric_SP'!$C:$AN,MID(AK$1,1,2),FALSE)</f>
        <v>0</v>
      </c>
      <c r="AL975" s="55">
        <f>VLOOKUP($E975,'NI-Ric_SP'!$C:$AN,MID(AL$1,1,2),FALSE)</f>
        <v>0</v>
      </c>
      <c r="AM975" s="56">
        <f>VLOOKUP($E975,'NI-Ric_SP'!$C:$AN,MID(AM$1,1,2),FALSE)</f>
        <v>0</v>
      </c>
      <c r="AN975" s="30" t="str">
        <f t="shared" si="15"/>
        <v>10208020060010</v>
      </c>
    </row>
    <row r="976" spans="3:40" x14ac:dyDescent="0.25">
      <c r="C976" s="40"/>
      <c r="D976" s="101" t="s">
        <v>937</v>
      </c>
      <c r="E976" s="101" t="s">
        <v>938</v>
      </c>
      <c r="F976" s="102" t="s">
        <v>2750</v>
      </c>
      <c r="G976" s="52"/>
      <c r="H976" s="52"/>
      <c r="I976" s="52"/>
      <c r="J976" s="52"/>
      <c r="K976" s="59" t="s">
        <v>79</v>
      </c>
      <c r="L976" s="52"/>
      <c r="M976" s="52"/>
      <c r="N976" s="52"/>
      <c r="O976" s="52"/>
      <c r="P976" s="76" t="s">
        <v>939</v>
      </c>
      <c r="Q976" s="55">
        <f>VLOOKUP(E976,'NI-Ric_SP'!$C:$AN,12,FALSE)</f>
        <v>0</v>
      </c>
      <c r="R976" s="55">
        <f>VLOOKUP(E976,'NI-Ric_SP'!$C:$AN,13,FALSE)</f>
        <v>0</v>
      </c>
      <c r="S976" s="55"/>
      <c r="T976" s="55"/>
      <c r="U976" s="55">
        <f>VLOOKUP($E976,'NI-Ric_SP'!$C:$AN,MID(U$1,1,2),FALSE)</f>
        <v>0</v>
      </c>
      <c r="V976" s="55">
        <f>VLOOKUP($E976,'NI-Ric_SP'!$C:$AN,MID(V$1,1,2),FALSE)</f>
        <v>0</v>
      </c>
      <c r="W976" s="55">
        <f>VLOOKUP($E976,'NI-Ric_SP'!$C:$AN,MID(W$1,1,2),FALSE)</f>
        <v>0</v>
      </c>
      <c r="X976" s="55">
        <f>VLOOKUP($E976,'NI-Ric_SP'!$C:$AN,MID(X$1,1,2),FALSE)</f>
        <v>0</v>
      </c>
      <c r="Y976" s="55">
        <f>VLOOKUP($E976,'NI-Ric_SP'!$C:$AN,MID(Y$1,1,2),FALSE)</f>
        <v>0</v>
      </c>
      <c r="Z976" s="55">
        <f>VLOOKUP($E976,'NI-Ric_SP'!$C:$AN,MID(Z$1,1,2),FALSE)</f>
        <v>0</v>
      </c>
      <c r="AA976" s="55">
        <f>VLOOKUP($E976,'NI-Ric_SP'!$C:$AN,MID(AA$1,1,2),FALSE)</f>
        <v>0</v>
      </c>
      <c r="AB976" s="55">
        <f>VLOOKUP($E976,'NI-Ric_SP'!$C:$AN,MID(AB$1,1,2),FALSE)</f>
        <v>0</v>
      </c>
      <c r="AC976" s="55">
        <f>VLOOKUP($E976,'NI-Ric_SP'!$C:$AN,MID(AC$1,1,2),FALSE)</f>
        <v>0</v>
      </c>
      <c r="AD976" s="55">
        <f>VLOOKUP($E976,'NI-Ric_SP'!$C:$AN,MID(AD$1,1,2),FALSE)</f>
        <v>0</v>
      </c>
      <c r="AE976" s="55">
        <f>VLOOKUP($E976,'NI-Ric_SP'!$C:$AN,MID(AE$1,1,2),FALSE)</f>
        <v>0</v>
      </c>
      <c r="AF976" s="55">
        <f>VLOOKUP($E976,'NI-Ric_SP'!$C:$AN,MID(AF$1,1,2),FALSE)</f>
        <v>0</v>
      </c>
      <c r="AG976" s="55">
        <f>VLOOKUP($E976,'NI-Ric_SP'!$C:$AN,MID(AG$1,1,2),FALSE)</f>
        <v>0</v>
      </c>
      <c r="AH976" s="55">
        <f>VLOOKUP($E976,'NI-Ric_SP'!$C:$AN,MID(AH$1,1,2),FALSE)</f>
        <v>0</v>
      </c>
      <c r="AI976" s="55">
        <f>VLOOKUP($E976,'NI-Ric_SP'!$C:$AN,MID(AI$1,1,2),FALSE)</f>
        <v>0</v>
      </c>
      <c r="AJ976" s="55">
        <f>VLOOKUP($E976,'NI-Ric_SP'!$C:$AN,MID(AJ$1,1,2),FALSE)</f>
        <v>0</v>
      </c>
      <c r="AK976" s="55">
        <f>VLOOKUP($E976,'NI-Ric_SP'!$C:$AN,MID(AK$1,1,2),FALSE)</f>
        <v>0</v>
      </c>
      <c r="AL976" s="55">
        <f>VLOOKUP($E976,'NI-Ric_SP'!$C:$AN,MID(AL$1,1,2),FALSE)</f>
        <v>0</v>
      </c>
      <c r="AM976" s="56">
        <f>VLOOKUP($E976,'NI-Ric_SP'!$C:$AN,MID(AM$1,1,2),FALSE)</f>
        <v>0</v>
      </c>
      <c r="AN976" s="30" t="str">
        <f t="shared" si="15"/>
        <v>10208020060020</v>
      </c>
    </row>
    <row r="977" spans="3:40" x14ac:dyDescent="0.25">
      <c r="C977" s="40"/>
      <c r="D977" s="101" t="s">
        <v>940</v>
      </c>
      <c r="E977" s="101" t="s">
        <v>941</v>
      </c>
      <c r="F977" s="102" t="s">
        <v>2750</v>
      </c>
      <c r="G977" s="52"/>
      <c r="H977" s="52"/>
      <c r="I977" s="52" t="s">
        <v>942</v>
      </c>
      <c r="J977" s="52" t="s">
        <v>942</v>
      </c>
      <c r="K977" s="59" t="s">
        <v>111</v>
      </c>
      <c r="L977" s="62" t="s">
        <v>943</v>
      </c>
      <c r="M977" s="52"/>
      <c r="N977" s="52"/>
      <c r="O977" s="61" t="s">
        <v>944</v>
      </c>
      <c r="P977" s="76" t="s">
        <v>945</v>
      </c>
      <c r="Q977" s="55">
        <f>VLOOKUP(E977,'NI-Ric_SP'!$C:$AN,12,FALSE)</f>
        <v>0</v>
      </c>
      <c r="R977" s="55">
        <f>VLOOKUP(E977,'NI-Ric_SP'!$C:$AN,13,FALSE)</f>
        <v>0</v>
      </c>
      <c r="S977" s="55"/>
      <c r="T977" s="55"/>
      <c r="U977" s="55">
        <f>VLOOKUP($E977,'NI-Ric_SP'!$C:$AN,MID(U$1,1,2),FALSE)</f>
        <v>0</v>
      </c>
      <c r="V977" s="55">
        <f>VLOOKUP($E977,'NI-Ric_SP'!$C:$AN,MID(V$1,1,2),FALSE)</f>
        <v>0</v>
      </c>
      <c r="W977" s="55">
        <f>VLOOKUP($E977,'NI-Ric_SP'!$C:$AN,MID(W$1,1,2),FALSE)</f>
        <v>0</v>
      </c>
      <c r="X977" s="55">
        <f>VLOOKUP($E977,'NI-Ric_SP'!$C:$AN,MID(X$1,1,2),FALSE)</f>
        <v>0</v>
      </c>
      <c r="Y977" s="55">
        <f>VLOOKUP($E977,'NI-Ric_SP'!$C:$AN,MID(Y$1,1,2),FALSE)</f>
        <v>0</v>
      </c>
      <c r="Z977" s="55">
        <f>VLOOKUP($E977,'NI-Ric_SP'!$C:$AN,MID(Z$1,1,2),FALSE)</f>
        <v>0</v>
      </c>
      <c r="AA977" s="55">
        <f>VLOOKUP($E977,'NI-Ric_SP'!$C:$AN,MID(AA$1,1,2),FALSE)</f>
        <v>0</v>
      </c>
      <c r="AB977" s="55">
        <f>VLOOKUP($E977,'NI-Ric_SP'!$C:$AN,MID(AB$1,1,2),FALSE)</f>
        <v>0</v>
      </c>
      <c r="AC977" s="55">
        <f>VLOOKUP($E977,'NI-Ric_SP'!$C:$AN,MID(AC$1,1,2),FALSE)</f>
        <v>0</v>
      </c>
      <c r="AD977" s="55">
        <f>VLOOKUP($E977,'NI-Ric_SP'!$C:$AN,MID(AD$1,1,2),FALSE)</f>
        <v>0</v>
      </c>
      <c r="AE977" s="55">
        <f>VLOOKUP($E977,'NI-Ric_SP'!$C:$AN,MID(AE$1,1,2),FALSE)</f>
        <v>0</v>
      </c>
      <c r="AF977" s="55">
        <f>VLOOKUP($E977,'NI-Ric_SP'!$C:$AN,MID(AF$1,1,2),FALSE)</f>
        <v>0</v>
      </c>
      <c r="AG977" s="55">
        <f>VLOOKUP($E977,'NI-Ric_SP'!$C:$AN,MID(AG$1,1,2),FALSE)</f>
        <v>0</v>
      </c>
      <c r="AH977" s="55">
        <f>VLOOKUP($E977,'NI-Ric_SP'!$C:$AN,MID(AH$1,1,2),FALSE)</f>
        <v>0</v>
      </c>
      <c r="AI977" s="55">
        <f>VLOOKUP($E977,'NI-Ric_SP'!$C:$AN,MID(AI$1,1,2),FALSE)</f>
        <v>0</v>
      </c>
      <c r="AJ977" s="55">
        <f>VLOOKUP($E977,'NI-Ric_SP'!$C:$AN,MID(AJ$1,1,2),FALSE)</f>
        <v>0</v>
      </c>
      <c r="AK977" s="55">
        <f>VLOOKUP($E977,'NI-Ric_SP'!$C:$AN,MID(AK$1,1,2),FALSE)</f>
        <v>0</v>
      </c>
      <c r="AL977" s="55">
        <f>VLOOKUP($E977,'NI-Ric_SP'!$C:$AN,MID(AL$1,1,2),FALSE)</f>
        <v>0</v>
      </c>
      <c r="AM977" s="56">
        <f>VLOOKUP($E977,'NI-Ric_SP'!$C:$AN,MID(AM$1,1,2),FALSE)</f>
        <v>0</v>
      </c>
      <c r="AN977" s="30" t="str">
        <f t="shared" si="15"/>
        <v>10209000000000</v>
      </c>
    </row>
    <row r="978" spans="3:40" x14ac:dyDescent="0.25">
      <c r="C978" s="40"/>
      <c r="D978" s="101" t="s">
        <v>946</v>
      </c>
      <c r="E978" s="101" t="s">
        <v>947</v>
      </c>
      <c r="F978" s="102" t="s">
        <v>2750</v>
      </c>
      <c r="G978" s="52"/>
      <c r="H978" s="52"/>
      <c r="I978" s="52"/>
      <c r="J978" s="52"/>
      <c r="K978" s="59" t="s">
        <v>79</v>
      </c>
      <c r="L978" s="52"/>
      <c r="M978" s="52"/>
      <c r="N978" s="52"/>
      <c r="O978" s="52"/>
      <c r="P978" s="76" t="s">
        <v>948</v>
      </c>
      <c r="Q978" s="55">
        <f>VLOOKUP(E978,'NI-Ric_SP'!$C:$AN,12,FALSE)</f>
        <v>0</v>
      </c>
      <c r="R978" s="55">
        <f>VLOOKUP(E978,'NI-Ric_SP'!$C:$AN,13,FALSE)</f>
        <v>0</v>
      </c>
      <c r="S978" s="55"/>
      <c r="T978" s="55"/>
      <c r="U978" s="55">
        <f>VLOOKUP($E978,'NI-Ric_SP'!$C:$AN,MID(U$1,1,2),FALSE)</f>
        <v>0</v>
      </c>
      <c r="V978" s="55">
        <f>VLOOKUP($E978,'NI-Ric_SP'!$C:$AN,MID(V$1,1,2),FALSE)</f>
        <v>0</v>
      </c>
      <c r="W978" s="55">
        <f>VLOOKUP($E978,'NI-Ric_SP'!$C:$AN,MID(W$1,1,2),FALSE)</f>
        <v>0</v>
      </c>
      <c r="X978" s="55">
        <f>VLOOKUP($E978,'NI-Ric_SP'!$C:$AN,MID(X$1,1,2),FALSE)</f>
        <v>0</v>
      </c>
      <c r="Y978" s="55">
        <f>VLOOKUP($E978,'NI-Ric_SP'!$C:$AN,MID(Y$1,1,2),FALSE)</f>
        <v>0</v>
      </c>
      <c r="Z978" s="55">
        <f>VLOOKUP($E978,'NI-Ric_SP'!$C:$AN,MID(Z$1,1,2),FALSE)</f>
        <v>0</v>
      </c>
      <c r="AA978" s="55">
        <f>VLOOKUP($E978,'NI-Ric_SP'!$C:$AN,MID(AA$1,1,2),FALSE)</f>
        <v>0</v>
      </c>
      <c r="AB978" s="55">
        <f>VLOOKUP($E978,'NI-Ric_SP'!$C:$AN,MID(AB$1,1,2),FALSE)</f>
        <v>0</v>
      </c>
      <c r="AC978" s="55">
        <f>VLOOKUP($E978,'NI-Ric_SP'!$C:$AN,MID(AC$1,1,2),FALSE)</f>
        <v>0</v>
      </c>
      <c r="AD978" s="55">
        <f>VLOOKUP($E978,'NI-Ric_SP'!$C:$AN,MID(AD$1,1,2),FALSE)</f>
        <v>0</v>
      </c>
      <c r="AE978" s="55">
        <f>VLOOKUP($E978,'NI-Ric_SP'!$C:$AN,MID(AE$1,1,2),FALSE)</f>
        <v>0</v>
      </c>
      <c r="AF978" s="55">
        <f>VLOOKUP($E978,'NI-Ric_SP'!$C:$AN,MID(AF$1,1,2),FALSE)</f>
        <v>0</v>
      </c>
      <c r="AG978" s="55">
        <f>VLOOKUP($E978,'NI-Ric_SP'!$C:$AN,MID(AG$1,1,2),FALSE)</f>
        <v>0</v>
      </c>
      <c r="AH978" s="55">
        <f>VLOOKUP($E978,'NI-Ric_SP'!$C:$AN,MID(AH$1,1,2),FALSE)</f>
        <v>0</v>
      </c>
      <c r="AI978" s="55">
        <f>VLOOKUP($E978,'NI-Ric_SP'!$C:$AN,MID(AI$1,1,2),FALSE)</f>
        <v>0</v>
      </c>
      <c r="AJ978" s="55">
        <f>VLOOKUP($E978,'NI-Ric_SP'!$C:$AN,MID(AJ$1,1,2),FALSE)</f>
        <v>0</v>
      </c>
      <c r="AK978" s="55">
        <f>VLOOKUP($E978,'NI-Ric_SP'!$C:$AN,MID(AK$1,1,2),FALSE)</f>
        <v>0</v>
      </c>
      <c r="AL978" s="55">
        <f>VLOOKUP($E978,'NI-Ric_SP'!$C:$AN,MID(AL$1,1,2),FALSE)</f>
        <v>0</v>
      </c>
      <c r="AM978" s="56">
        <f>VLOOKUP($E978,'NI-Ric_SP'!$C:$AN,MID(AM$1,1,2),FALSE)</f>
        <v>0</v>
      </c>
      <c r="AN978" s="30" t="str">
        <f t="shared" si="15"/>
        <v>10209010000000</v>
      </c>
    </row>
    <row r="979" spans="3:40" x14ac:dyDescent="0.25">
      <c r="C979" s="40"/>
      <c r="D979" s="101" t="s">
        <v>949</v>
      </c>
      <c r="E979" s="101" t="s">
        <v>950</v>
      </c>
      <c r="F979" s="102" t="s">
        <v>2750</v>
      </c>
      <c r="G979" s="52"/>
      <c r="H979" s="52"/>
      <c r="I979" s="52"/>
      <c r="J979" s="52"/>
      <c r="K979" s="59" t="s">
        <v>79</v>
      </c>
      <c r="L979" s="52"/>
      <c r="M979" s="52"/>
      <c r="N979" s="52"/>
      <c r="O979" s="52"/>
      <c r="P979" s="76" t="s">
        <v>951</v>
      </c>
      <c r="Q979" s="55">
        <f>VLOOKUP(E979,'NI-Ric_SP'!$C:$AN,12,FALSE)</f>
        <v>0</v>
      </c>
      <c r="R979" s="55">
        <f>VLOOKUP(E979,'NI-Ric_SP'!$C:$AN,13,FALSE)</f>
        <v>0</v>
      </c>
      <c r="S979" s="55"/>
      <c r="T979" s="55"/>
      <c r="U979" s="55">
        <f>VLOOKUP($E979,'NI-Ric_SP'!$C:$AN,MID(U$1,1,2),FALSE)</f>
        <v>0</v>
      </c>
      <c r="V979" s="55">
        <f>VLOOKUP($E979,'NI-Ric_SP'!$C:$AN,MID(V$1,1,2),FALSE)</f>
        <v>0</v>
      </c>
      <c r="W979" s="55">
        <f>VLOOKUP($E979,'NI-Ric_SP'!$C:$AN,MID(W$1,1,2),FALSE)</f>
        <v>0</v>
      </c>
      <c r="X979" s="55">
        <f>VLOOKUP($E979,'NI-Ric_SP'!$C:$AN,MID(X$1,1,2),FALSE)</f>
        <v>0</v>
      </c>
      <c r="Y979" s="55">
        <f>VLOOKUP($E979,'NI-Ric_SP'!$C:$AN,MID(Y$1,1,2),FALSE)</f>
        <v>0</v>
      </c>
      <c r="Z979" s="55">
        <f>VLOOKUP($E979,'NI-Ric_SP'!$C:$AN,MID(Z$1,1,2),FALSE)</f>
        <v>0</v>
      </c>
      <c r="AA979" s="55">
        <f>VLOOKUP($E979,'NI-Ric_SP'!$C:$AN,MID(AA$1,1,2),FALSE)</f>
        <v>0</v>
      </c>
      <c r="AB979" s="55">
        <f>VLOOKUP($E979,'NI-Ric_SP'!$C:$AN,MID(AB$1,1,2),FALSE)</f>
        <v>0</v>
      </c>
      <c r="AC979" s="55">
        <f>VLOOKUP($E979,'NI-Ric_SP'!$C:$AN,MID(AC$1,1,2),FALSE)</f>
        <v>0</v>
      </c>
      <c r="AD979" s="55">
        <f>VLOOKUP($E979,'NI-Ric_SP'!$C:$AN,MID(AD$1,1,2),FALSE)</f>
        <v>0</v>
      </c>
      <c r="AE979" s="55">
        <f>VLOOKUP($E979,'NI-Ric_SP'!$C:$AN,MID(AE$1,1,2),FALSE)</f>
        <v>0</v>
      </c>
      <c r="AF979" s="55">
        <f>VLOOKUP($E979,'NI-Ric_SP'!$C:$AN,MID(AF$1,1,2),FALSE)</f>
        <v>0</v>
      </c>
      <c r="AG979" s="55">
        <f>VLOOKUP($E979,'NI-Ric_SP'!$C:$AN,MID(AG$1,1,2),FALSE)</f>
        <v>0</v>
      </c>
      <c r="AH979" s="55">
        <f>VLOOKUP($E979,'NI-Ric_SP'!$C:$AN,MID(AH$1,1,2),FALSE)</f>
        <v>0</v>
      </c>
      <c r="AI979" s="55">
        <f>VLOOKUP($E979,'NI-Ric_SP'!$C:$AN,MID(AI$1,1,2),FALSE)</f>
        <v>0</v>
      </c>
      <c r="AJ979" s="55">
        <f>VLOOKUP($E979,'NI-Ric_SP'!$C:$AN,MID(AJ$1,1,2),FALSE)</f>
        <v>0</v>
      </c>
      <c r="AK979" s="55">
        <f>VLOOKUP($E979,'NI-Ric_SP'!$C:$AN,MID(AK$1,1,2),FALSE)</f>
        <v>0</v>
      </c>
      <c r="AL979" s="55">
        <f>VLOOKUP($E979,'NI-Ric_SP'!$C:$AN,MID(AL$1,1,2),FALSE)</f>
        <v>0</v>
      </c>
      <c r="AM979" s="56">
        <f>VLOOKUP($E979,'NI-Ric_SP'!$C:$AN,MID(AM$1,1,2),FALSE)</f>
        <v>0</v>
      </c>
      <c r="AN979" s="30" t="str">
        <f t="shared" si="15"/>
        <v>10209020000000</v>
      </c>
    </row>
    <row r="980" spans="3:40" x14ac:dyDescent="0.25">
      <c r="C980" s="40"/>
      <c r="D980" s="101" t="s">
        <v>952</v>
      </c>
      <c r="E980" s="101" t="s">
        <v>953</v>
      </c>
      <c r="F980" s="102" t="s">
        <v>2750</v>
      </c>
      <c r="G980" s="52"/>
      <c r="H980" s="52"/>
      <c r="I980" s="52"/>
      <c r="J980" s="52"/>
      <c r="K980" s="59" t="s">
        <v>79</v>
      </c>
      <c r="L980" s="52"/>
      <c r="M980" s="52"/>
      <c r="N980" s="52"/>
      <c r="O980" s="52"/>
      <c r="P980" s="76" t="s">
        <v>954</v>
      </c>
      <c r="Q980" s="55">
        <f>VLOOKUP(E980,'NI-Ric_SP'!$C:$AN,12,FALSE)</f>
        <v>0</v>
      </c>
      <c r="R980" s="55">
        <f>VLOOKUP(E980,'NI-Ric_SP'!$C:$AN,13,FALSE)</f>
        <v>0</v>
      </c>
      <c r="S980" s="55"/>
      <c r="T980" s="55"/>
      <c r="U980" s="55">
        <f>VLOOKUP($E980,'NI-Ric_SP'!$C:$AN,MID(U$1,1,2),FALSE)</f>
        <v>0</v>
      </c>
      <c r="V980" s="55">
        <f>VLOOKUP($E980,'NI-Ric_SP'!$C:$AN,MID(V$1,1,2),FALSE)</f>
        <v>0</v>
      </c>
      <c r="W980" s="55">
        <f>VLOOKUP($E980,'NI-Ric_SP'!$C:$AN,MID(W$1,1,2),FALSE)</f>
        <v>0</v>
      </c>
      <c r="X980" s="55">
        <f>VLOOKUP($E980,'NI-Ric_SP'!$C:$AN,MID(X$1,1,2),FALSE)</f>
        <v>0</v>
      </c>
      <c r="Y980" s="55">
        <f>VLOOKUP($E980,'NI-Ric_SP'!$C:$AN,MID(Y$1,1,2),FALSE)</f>
        <v>0</v>
      </c>
      <c r="Z980" s="55">
        <f>VLOOKUP($E980,'NI-Ric_SP'!$C:$AN,MID(Z$1,1,2),FALSE)</f>
        <v>0</v>
      </c>
      <c r="AA980" s="55">
        <f>VLOOKUP($E980,'NI-Ric_SP'!$C:$AN,MID(AA$1,1,2),FALSE)</f>
        <v>0</v>
      </c>
      <c r="AB980" s="55">
        <f>VLOOKUP($E980,'NI-Ric_SP'!$C:$AN,MID(AB$1,1,2),FALSE)</f>
        <v>0</v>
      </c>
      <c r="AC980" s="55">
        <f>VLOOKUP($E980,'NI-Ric_SP'!$C:$AN,MID(AC$1,1,2),FALSE)</f>
        <v>0</v>
      </c>
      <c r="AD980" s="55">
        <f>VLOOKUP($E980,'NI-Ric_SP'!$C:$AN,MID(AD$1,1,2),FALSE)</f>
        <v>0</v>
      </c>
      <c r="AE980" s="55">
        <f>VLOOKUP($E980,'NI-Ric_SP'!$C:$AN,MID(AE$1,1,2),FALSE)</f>
        <v>0</v>
      </c>
      <c r="AF980" s="55">
        <f>VLOOKUP($E980,'NI-Ric_SP'!$C:$AN,MID(AF$1,1,2),FALSE)</f>
        <v>0</v>
      </c>
      <c r="AG980" s="55">
        <f>VLOOKUP($E980,'NI-Ric_SP'!$C:$AN,MID(AG$1,1,2),FALSE)</f>
        <v>0</v>
      </c>
      <c r="AH980" s="55">
        <f>VLOOKUP($E980,'NI-Ric_SP'!$C:$AN,MID(AH$1,1,2),FALSE)</f>
        <v>0</v>
      </c>
      <c r="AI980" s="55">
        <f>VLOOKUP($E980,'NI-Ric_SP'!$C:$AN,MID(AI$1,1,2),FALSE)</f>
        <v>0</v>
      </c>
      <c r="AJ980" s="55">
        <f>VLOOKUP($E980,'NI-Ric_SP'!$C:$AN,MID(AJ$1,1,2),FALSE)</f>
        <v>0</v>
      </c>
      <c r="AK980" s="55">
        <f>VLOOKUP($E980,'NI-Ric_SP'!$C:$AN,MID(AK$1,1,2),FALSE)</f>
        <v>0</v>
      </c>
      <c r="AL980" s="55">
        <f>VLOOKUP($E980,'NI-Ric_SP'!$C:$AN,MID(AL$1,1,2),FALSE)</f>
        <v>0</v>
      </c>
      <c r="AM980" s="56">
        <f>VLOOKUP($E980,'NI-Ric_SP'!$C:$AN,MID(AM$1,1,2),FALSE)</f>
        <v>0</v>
      </c>
      <c r="AN980" s="30" t="str">
        <f t="shared" si="15"/>
        <v>10209030000000</v>
      </c>
    </row>
    <row r="981" spans="3:40" x14ac:dyDescent="0.25">
      <c r="C981" s="40"/>
      <c r="D981" s="101" t="s">
        <v>955</v>
      </c>
      <c r="E981" s="101" t="s">
        <v>956</v>
      </c>
      <c r="F981" s="102" t="s">
        <v>2750</v>
      </c>
      <c r="G981" s="52"/>
      <c r="H981" s="52"/>
      <c r="I981" s="52"/>
      <c r="J981" s="52"/>
      <c r="K981" s="59" t="s">
        <v>111</v>
      </c>
      <c r="L981" s="52"/>
      <c r="M981" s="52"/>
      <c r="N981" s="52"/>
      <c r="O981" s="52"/>
      <c r="P981" s="76" t="s">
        <v>957</v>
      </c>
      <c r="Q981" s="55">
        <f>-VLOOKUP(E981,'NI-Ric_SP'!$C:$AN,12,FALSE)</f>
        <v>0</v>
      </c>
      <c r="R981" s="55">
        <f>-VLOOKUP(E981,'NI-Ric_SP'!$C:$AN,13,FALSE)</f>
        <v>0</v>
      </c>
      <c r="S981" s="55"/>
      <c r="T981" s="55"/>
      <c r="U981" s="55">
        <f>VLOOKUP($E981,'NI-Ric_SP'!$C:$AN,MID(U$1,1,2),FALSE)</f>
        <v>0</v>
      </c>
      <c r="V981" s="55">
        <f>VLOOKUP($E981,'NI-Ric_SP'!$C:$AN,MID(V$1,1,2),FALSE)</f>
        <v>0</v>
      </c>
      <c r="W981" s="55">
        <f>VLOOKUP($E981,'NI-Ric_SP'!$C:$AN,MID(W$1,1,2),FALSE)</f>
        <v>0</v>
      </c>
      <c r="X981" s="55">
        <f>VLOOKUP($E981,'NI-Ric_SP'!$C:$AN,MID(X$1,1,2),FALSE)</f>
        <v>0</v>
      </c>
      <c r="Y981" s="55">
        <f>VLOOKUP($E981,'NI-Ric_SP'!$C:$AN,MID(Y$1,1,2),FALSE)</f>
        <v>0</v>
      </c>
      <c r="Z981" s="55">
        <f>VLOOKUP($E981,'NI-Ric_SP'!$C:$AN,MID(Z$1,1,2),FALSE)</f>
        <v>0</v>
      </c>
      <c r="AA981" s="55">
        <f>VLOOKUP($E981,'NI-Ric_SP'!$C:$AN,MID(AA$1,1,2),FALSE)</f>
        <v>0</v>
      </c>
      <c r="AB981" s="55">
        <f>VLOOKUP($E981,'NI-Ric_SP'!$C:$AN,MID(AB$1,1,2),FALSE)</f>
        <v>0</v>
      </c>
      <c r="AC981" s="55">
        <f>VLOOKUP($E981,'NI-Ric_SP'!$C:$AN,MID(AC$1,1,2),FALSE)</f>
        <v>0</v>
      </c>
      <c r="AD981" s="55">
        <f>VLOOKUP($E981,'NI-Ric_SP'!$C:$AN,MID(AD$1,1,2),FALSE)</f>
        <v>0</v>
      </c>
      <c r="AE981" s="55">
        <f>VLOOKUP($E981,'NI-Ric_SP'!$C:$AN,MID(AE$1,1,2),FALSE)</f>
        <v>0</v>
      </c>
      <c r="AF981" s="55">
        <f>VLOOKUP($E981,'NI-Ric_SP'!$C:$AN,MID(AF$1,1,2),FALSE)</f>
        <v>0</v>
      </c>
      <c r="AG981" s="55">
        <f>VLOOKUP($E981,'NI-Ric_SP'!$C:$AN,MID(AG$1,1,2),FALSE)</f>
        <v>0</v>
      </c>
      <c r="AH981" s="55">
        <f>VLOOKUP($E981,'NI-Ric_SP'!$C:$AN,MID(AH$1,1,2),FALSE)</f>
        <v>0</v>
      </c>
      <c r="AI981" s="55">
        <f>VLOOKUP($E981,'NI-Ric_SP'!$C:$AN,MID(AI$1,1,2),FALSE)</f>
        <v>0</v>
      </c>
      <c r="AJ981" s="55">
        <f>VLOOKUP($E981,'NI-Ric_SP'!$C:$AN,MID(AJ$1,1,2),FALSE)</f>
        <v>0</v>
      </c>
      <c r="AK981" s="55">
        <f>VLOOKUP($E981,'NI-Ric_SP'!$C:$AN,MID(AK$1,1,2),FALSE)</f>
        <v>0</v>
      </c>
      <c r="AL981" s="55">
        <f>VLOOKUP($E981,'NI-Ric_SP'!$C:$AN,MID(AL$1,1,2),FALSE)</f>
        <v>0</v>
      </c>
      <c r="AM981" s="56">
        <f>VLOOKUP($E981,'NI-Ric_SP'!$C:$AN,MID(AM$1,1,2),FALSE)</f>
        <v>0</v>
      </c>
      <c r="AN981" s="30" t="str">
        <f t="shared" si="15"/>
        <v>10210000000000</v>
      </c>
    </row>
    <row r="982" spans="3:40" x14ac:dyDescent="0.25">
      <c r="C982" s="40"/>
      <c r="D982" s="101" t="s">
        <v>958</v>
      </c>
      <c r="E982" s="101" t="s">
        <v>959</v>
      </c>
      <c r="F982" s="102" t="s">
        <v>2750</v>
      </c>
      <c r="G982" s="52"/>
      <c r="H982" s="52"/>
      <c r="I982" s="52" t="s">
        <v>960</v>
      </c>
      <c r="J982" s="52" t="s">
        <v>960</v>
      </c>
      <c r="K982" s="59" t="s">
        <v>111</v>
      </c>
      <c r="L982" s="62" t="s">
        <v>961</v>
      </c>
      <c r="M982" s="52"/>
      <c r="N982" s="52"/>
      <c r="O982" s="52"/>
      <c r="P982" s="76" t="s">
        <v>962</v>
      </c>
      <c r="Q982" s="55">
        <f>-VLOOKUP(E982,'NI-Ric_SP'!$C:$AN,12,FALSE)</f>
        <v>0</v>
      </c>
      <c r="R982" s="55">
        <f>-VLOOKUP(E982,'NI-Ric_SP'!$C:$AN,13,FALSE)</f>
        <v>0</v>
      </c>
      <c r="S982" s="55"/>
      <c r="T982" s="55"/>
      <c r="U982" s="55">
        <f>VLOOKUP($E982,'NI-Ric_SP'!$C:$AN,MID(U$1,1,2),FALSE)</f>
        <v>0</v>
      </c>
      <c r="V982" s="55">
        <f>VLOOKUP($E982,'NI-Ric_SP'!$C:$AN,MID(V$1,1,2),FALSE)</f>
        <v>0</v>
      </c>
      <c r="W982" s="55">
        <f>VLOOKUP($E982,'NI-Ric_SP'!$C:$AN,MID(W$1,1,2),FALSE)</f>
        <v>0</v>
      </c>
      <c r="X982" s="55">
        <f>VLOOKUP($E982,'NI-Ric_SP'!$C:$AN,MID(X$1,1,2),FALSE)</f>
        <v>0</v>
      </c>
      <c r="Y982" s="55">
        <f>VLOOKUP($E982,'NI-Ric_SP'!$C:$AN,MID(Y$1,1,2),FALSE)</f>
        <v>0</v>
      </c>
      <c r="Z982" s="55">
        <f>VLOOKUP($E982,'NI-Ric_SP'!$C:$AN,MID(Z$1,1,2),FALSE)</f>
        <v>0</v>
      </c>
      <c r="AA982" s="55">
        <f>VLOOKUP($E982,'NI-Ric_SP'!$C:$AN,MID(AA$1,1,2),FALSE)</f>
        <v>0</v>
      </c>
      <c r="AB982" s="55">
        <f>VLOOKUP($E982,'NI-Ric_SP'!$C:$AN,MID(AB$1,1,2),FALSE)</f>
        <v>0</v>
      </c>
      <c r="AC982" s="55">
        <f>VLOOKUP($E982,'NI-Ric_SP'!$C:$AN,MID(AC$1,1,2),FALSE)</f>
        <v>0</v>
      </c>
      <c r="AD982" s="55">
        <f>VLOOKUP($E982,'NI-Ric_SP'!$C:$AN,MID(AD$1,1,2),FALSE)</f>
        <v>0</v>
      </c>
      <c r="AE982" s="55">
        <f>VLOOKUP($E982,'NI-Ric_SP'!$C:$AN,MID(AE$1,1,2),FALSE)</f>
        <v>0</v>
      </c>
      <c r="AF982" s="55">
        <f>VLOOKUP($E982,'NI-Ric_SP'!$C:$AN,MID(AF$1,1,2),FALSE)</f>
        <v>0</v>
      </c>
      <c r="AG982" s="55">
        <f>VLOOKUP($E982,'NI-Ric_SP'!$C:$AN,MID(AG$1,1,2),FALSE)</f>
        <v>0</v>
      </c>
      <c r="AH982" s="55">
        <f>VLOOKUP($E982,'NI-Ric_SP'!$C:$AN,MID(AH$1,1,2),FALSE)</f>
        <v>0</v>
      </c>
      <c r="AI982" s="55">
        <f>VLOOKUP($E982,'NI-Ric_SP'!$C:$AN,MID(AI$1,1,2),FALSE)</f>
        <v>0</v>
      </c>
      <c r="AJ982" s="55">
        <f>VLOOKUP($E982,'NI-Ric_SP'!$C:$AN,MID(AJ$1,1,2),FALSE)</f>
        <v>0</v>
      </c>
      <c r="AK982" s="55">
        <f>VLOOKUP($E982,'NI-Ric_SP'!$C:$AN,MID(AK$1,1,2),FALSE)</f>
        <v>0</v>
      </c>
      <c r="AL982" s="55">
        <f>VLOOKUP($E982,'NI-Ric_SP'!$C:$AN,MID(AL$1,1,2),FALSE)</f>
        <v>0</v>
      </c>
      <c r="AM982" s="56">
        <f>VLOOKUP($E982,'NI-Ric_SP'!$C:$AN,MID(AM$1,1,2),FALSE)</f>
        <v>0</v>
      </c>
      <c r="AN982" s="30" t="str">
        <f t="shared" si="15"/>
        <v>10210010000000</v>
      </c>
    </row>
    <row r="983" spans="3:40" x14ac:dyDescent="0.25">
      <c r="C983" s="40"/>
      <c r="D983" s="101" t="s">
        <v>963</v>
      </c>
      <c r="E983" s="101" t="s">
        <v>964</v>
      </c>
      <c r="F983" s="102" t="s">
        <v>2750</v>
      </c>
      <c r="G983" s="52"/>
      <c r="H983" s="52"/>
      <c r="I983" s="52"/>
      <c r="J983" s="52"/>
      <c r="K983" s="59" t="s">
        <v>79</v>
      </c>
      <c r="L983" s="52"/>
      <c r="M983" s="52"/>
      <c r="N983" s="52"/>
      <c r="O983" s="61" t="s">
        <v>438</v>
      </c>
      <c r="P983" s="76" t="s">
        <v>965</v>
      </c>
      <c r="Q983" s="55">
        <f>-VLOOKUP(E983,'NI-Ric_SP'!$C:$AN,12,FALSE)</f>
        <v>0</v>
      </c>
      <c r="R983" s="55">
        <f>-VLOOKUP(E983,'NI-Ric_SP'!$C:$AN,13,FALSE)</f>
        <v>0</v>
      </c>
      <c r="S983" s="55"/>
      <c r="T983" s="55"/>
      <c r="U983" s="55">
        <f>VLOOKUP($E983,'NI-Ric_SP'!$C:$AN,MID(U$1,1,2),FALSE)</f>
        <v>0</v>
      </c>
      <c r="V983" s="55">
        <f>VLOOKUP($E983,'NI-Ric_SP'!$C:$AN,MID(V$1,1,2),FALSE)</f>
        <v>0</v>
      </c>
      <c r="W983" s="55">
        <f>VLOOKUP($E983,'NI-Ric_SP'!$C:$AN,MID(W$1,1,2),FALSE)</f>
        <v>0</v>
      </c>
      <c r="X983" s="55">
        <f>VLOOKUP($E983,'NI-Ric_SP'!$C:$AN,MID(X$1,1,2),FALSE)</f>
        <v>0</v>
      </c>
      <c r="Y983" s="55">
        <f>VLOOKUP($E983,'NI-Ric_SP'!$C:$AN,MID(Y$1,1,2),FALSE)</f>
        <v>0</v>
      </c>
      <c r="Z983" s="55">
        <f>VLOOKUP($E983,'NI-Ric_SP'!$C:$AN,MID(Z$1,1,2),FALSE)</f>
        <v>0</v>
      </c>
      <c r="AA983" s="55">
        <f>VLOOKUP($E983,'NI-Ric_SP'!$C:$AN,MID(AA$1,1,2),FALSE)</f>
        <v>0</v>
      </c>
      <c r="AB983" s="55">
        <f>VLOOKUP($E983,'NI-Ric_SP'!$C:$AN,MID(AB$1,1,2),FALSE)</f>
        <v>0</v>
      </c>
      <c r="AC983" s="55">
        <f>VLOOKUP($E983,'NI-Ric_SP'!$C:$AN,MID(AC$1,1,2),FALSE)</f>
        <v>0</v>
      </c>
      <c r="AD983" s="55">
        <f>VLOOKUP($E983,'NI-Ric_SP'!$C:$AN,MID(AD$1,1,2),FALSE)</f>
        <v>0</v>
      </c>
      <c r="AE983" s="55">
        <f>VLOOKUP($E983,'NI-Ric_SP'!$C:$AN,MID(AE$1,1,2),FALSE)</f>
        <v>0</v>
      </c>
      <c r="AF983" s="55">
        <f>VLOOKUP($E983,'NI-Ric_SP'!$C:$AN,MID(AF$1,1,2),FALSE)</f>
        <v>0</v>
      </c>
      <c r="AG983" s="55">
        <f>VLOOKUP($E983,'NI-Ric_SP'!$C:$AN,MID(AG$1,1,2),FALSE)</f>
        <v>0</v>
      </c>
      <c r="AH983" s="55">
        <f>VLOOKUP($E983,'NI-Ric_SP'!$C:$AN,MID(AH$1,1,2),FALSE)</f>
        <v>0</v>
      </c>
      <c r="AI983" s="55">
        <f>VLOOKUP($E983,'NI-Ric_SP'!$C:$AN,MID(AI$1,1,2),FALSE)</f>
        <v>0</v>
      </c>
      <c r="AJ983" s="55">
        <f>VLOOKUP($E983,'NI-Ric_SP'!$C:$AN,MID(AJ$1,1,2),FALSE)</f>
        <v>0</v>
      </c>
      <c r="AK983" s="55">
        <f>VLOOKUP($E983,'NI-Ric_SP'!$C:$AN,MID(AK$1,1,2),FALSE)</f>
        <v>0</v>
      </c>
      <c r="AL983" s="55">
        <f>VLOOKUP($E983,'NI-Ric_SP'!$C:$AN,MID(AL$1,1,2),FALSE)</f>
        <v>0</v>
      </c>
      <c r="AM983" s="56">
        <f>VLOOKUP($E983,'NI-Ric_SP'!$C:$AN,MID(AM$1,1,2),FALSE)</f>
        <v>0</v>
      </c>
      <c r="AN983" s="30" t="str">
        <f t="shared" si="15"/>
        <v>10210010010010</v>
      </c>
    </row>
    <row r="984" spans="3:40" x14ac:dyDescent="0.25">
      <c r="C984" s="40"/>
      <c r="D984" s="101" t="s">
        <v>966</v>
      </c>
      <c r="E984" s="101" t="s">
        <v>967</v>
      </c>
      <c r="F984" s="102" t="s">
        <v>2750</v>
      </c>
      <c r="G984" s="52"/>
      <c r="H984" s="52"/>
      <c r="I984" s="52"/>
      <c r="J984" s="52"/>
      <c r="K984" s="59" t="s">
        <v>79</v>
      </c>
      <c r="L984" s="52"/>
      <c r="M984" s="52"/>
      <c r="N984" s="52"/>
      <c r="O984" s="61" t="s">
        <v>438</v>
      </c>
      <c r="P984" s="76" t="s">
        <v>968</v>
      </c>
      <c r="Q984" s="55">
        <f>-VLOOKUP(E984,'NI-Ric_SP'!$C:$AN,12,FALSE)</f>
        <v>0</v>
      </c>
      <c r="R984" s="55">
        <f>-VLOOKUP(E984,'NI-Ric_SP'!$C:$AN,13,FALSE)</f>
        <v>0</v>
      </c>
      <c r="S984" s="55"/>
      <c r="T984" s="55"/>
      <c r="U984" s="55">
        <f>VLOOKUP($E984,'NI-Ric_SP'!$C:$AN,MID(U$1,1,2),FALSE)</f>
        <v>0</v>
      </c>
      <c r="V984" s="55">
        <f>VLOOKUP($E984,'NI-Ric_SP'!$C:$AN,MID(V$1,1,2),FALSE)</f>
        <v>0</v>
      </c>
      <c r="W984" s="55">
        <f>VLOOKUP($E984,'NI-Ric_SP'!$C:$AN,MID(W$1,1,2),FALSE)</f>
        <v>0</v>
      </c>
      <c r="X984" s="55">
        <f>VLOOKUP($E984,'NI-Ric_SP'!$C:$AN,MID(X$1,1,2),FALSE)</f>
        <v>0</v>
      </c>
      <c r="Y984" s="55">
        <f>VLOOKUP($E984,'NI-Ric_SP'!$C:$AN,MID(Y$1,1,2),FALSE)</f>
        <v>0</v>
      </c>
      <c r="Z984" s="55">
        <f>VLOOKUP($E984,'NI-Ric_SP'!$C:$AN,MID(Z$1,1,2),FALSE)</f>
        <v>0</v>
      </c>
      <c r="AA984" s="55">
        <f>VLOOKUP($E984,'NI-Ric_SP'!$C:$AN,MID(AA$1,1,2),FALSE)</f>
        <v>0</v>
      </c>
      <c r="AB984" s="55">
        <f>VLOOKUP($E984,'NI-Ric_SP'!$C:$AN,MID(AB$1,1,2),FALSE)</f>
        <v>0</v>
      </c>
      <c r="AC984" s="55">
        <f>VLOOKUP($E984,'NI-Ric_SP'!$C:$AN,MID(AC$1,1,2),FALSE)</f>
        <v>0</v>
      </c>
      <c r="AD984" s="55">
        <f>VLOOKUP($E984,'NI-Ric_SP'!$C:$AN,MID(AD$1,1,2),FALSE)</f>
        <v>0</v>
      </c>
      <c r="AE984" s="55">
        <f>VLOOKUP($E984,'NI-Ric_SP'!$C:$AN,MID(AE$1,1,2),FALSE)</f>
        <v>0</v>
      </c>
      <c r="AF984" s="55">
        <f>VLOOKUP($E984,'NI-Ric_SP'!$C:$AN,MID(AF$1,1,2),FALSE)</f>
        <v>0</v>
      </c>
      <c r="AG984" s="55">
        <f>VLOOKUP($E984,'NI-Ric_SP'!$C:$AN,MID(AG$1,1,2),FALSE)</f>
        <v>0</v>
      </c>
      <c r="AH984" s="55">
        <f>VLOOKUP($E984,'NI-Ric_SP'!$C:$AN,MID(AH$1,1,2),FALSE)</f>
        <v>0</v>
      </c>
      <c r="AI984" s="55">
        <f>VLOOKUP($E984,'NI-Ric_SP'!$C:$AN,MID(AI$1,1,2),FALSE)</f>
        <v>0</v>
      </c>
      <c r="AJ984" s="55">
        <f>VLOOKUP($E984,'NI-Ric_SP'!$C:$AN,MID(AJ$1,1,2),FALSE)</f>
        <v>0</v>
      </c>
      <c r="AK984" s="55">
        <f>VLOOKUP($E984,'NI-Ric_SP'!$C:$AN,MID(AK$1,1,2),FALSE)</f>
        <v>0</v>
      </c>
      <c r="AL984" s="55">
        <f>VLOOKUP($E984,'NI-Ric_SP'!$C:$AN,MID(AL$1,1,2),FALSE)</f>
        <v>0</v>
      </c>
      <c r="AM984" s="56">
        <f>VLOOKUP($E984,'NI-Ric_SP'!$C:$AN,MID(AM$1,1,2),FALSE)</f>
        <v>0</v>
      </c>
      <c r="AN984" s="30" t="str">
        <f t="shared" si="15"/>
        <v>10210010010020</v>
      </c>
    </row>
    <row r="985" spans="3:40" x14ac:dyDescent="0.25">
      <c r="C985" s="40"/>
      <c r="D985" s="101" t="s">
        <v>969</v>
      </c>
      <c r="E985" s="101" t="s">
        <v>970</v>
      </c>
      <c r="F985" s="102" t="s">
        <v>2750</v>
      </c>
      <c r="G985" s="52"/>
      <c r="H985" s="52"/>
      <c r="I985" s="52"/>
      <c r="J985" s="52"/>
      <c r="K985" s="59" t="s">
        <v>79</v>
      </c>
      <c r="L985" s="52"/>
      <c r="M985" s="52"/>
      <c r="N985" s="52"/>
      <c r="O985" s="61" t="s">
        <v>461</v>
      </c>
      <c r="P985" s="76" t="s">
        <v>971</v>
      </c>
      <c r="Q985" s="55">
        <f>-VLOOKUP(E985,'NI-Ric_SP'!$C:$AN,12,FALSE)</f>
        <v>0</v>
      </c>
      <c r="R985" s="55">
        <f>-VLOOKUP(E985,'NI-Ric_SP'!$C:$AN,13,FALSE)</f>
        <v>0</v>
      </c>
      <c r="S985" s="55"/>
      <c r="T985" s="55"/>
      <c r="U985" s="55">
        <f>VLOOKUP($E985,'NI-Ric_SP'!$C:$AN,MID(U$1,1,2),FALSE)</f>
        <v>0</v>
      </c>
      <c r="V985" s="55">
        <f>VLOOKUP($E985,'NI-Ric_SP'!$C:$AN,MID(V$1,1,2),FALSE)</f>
        <v>0</v>
      </c>
      <c r="W985" s="55">
        <f>VLOOKUP($E985,'NI-Ric_SP'!$C:$AN,MID(W$1,1,2),FALSE)</f>
        <v>0</v>
      </c>
      <c r="X985" s="55">
        <f>VLOOKUP($E985,'NI-Ric_SP'!$C:$AN,MID(X$1,1,2),FALSE)</f>
        <v>0</v>
      </c>
      <c r="Y985" s="55">
        <f>VLOOKUP($E985,'NI-Ric_SP'!$C:$AN,MID(Y$1,1,2),FALSE)</f>
        <v>0</v>
      </c>
      <c r="Z985" s="55">
        <f>VLOOKUP($E985,'NI-Ric_SP'!$C:$AN,MID(Z$1,1,2),FALSE)</f>
        <v>0</v>
      </c>
      <c r="AA985" s="55">
        <f>VLOOKUP($E985,'NI-Ric_SP'!$C:$AN,MID(AA$1,1,2),FALSE)</f>
        <v>0</v>
      </c>
      <c r="AB985" s="55">
        <f>VLOOKUP($E985,'NI-Ric_SP'!$C:$AN,MID(AB$1,1,2),FALSE)</f>
        <v>0</v>
      </c>
      <c r="AC985" s="55">
        <f>VLOOKUP($E985,'NI-Ric_SP'!$C:$AN,MID(AC$1,1,2),FALSE)</f>
        <v>0</v>
      </c>
      <c r="AD985" s="55">
        <f>VLOOKUP($E985,'NI-Ric_SP'!$C:$AN,MID(AD$1,1,2),FALSE)</f>
        <v>0</v>
      </c>
      <c r="AE985" s="55">
        <f>VLOOKUP($E985,'NI-Ric_SP'!$C:$AN,MID(AE$1,1,2),FALSE)</f>
        <v>0</v>
      </c>
      <c r="AF985" s="55">
        <f>VLOOKUP($E985,'NI-Ric_SP'!$C:$AN,MID(AF$1,1,2),FALSE)</f>
        <v>0</v>
      </c>
      <c r="AG985" s="55">
        <f>VLOOKUP($E985,'NI-Ric_SP'!$C:$AN,MID(AG$1,1,2),FALSE)</f>
        <v>0</v>
      </c>
      <c r="AH985" s="55">
        <f>VLOOKUP($E985,'NI-Ric_SP'!$C:$AN,MID(AH$1,1,2),FALSE)</f>
        <v>0</v>
      </c>
      <c r="AI985" s="55">
        <f>VLOOKUP($E985,'NI-Ric_SP'!$C:$AN,MID(AI$1,1,2),FALSE)</f>
        <v>0</v>
      </c>
      <c r="AJ985" s="55">
        <f>VLOOKUP($E985,'NI-Ric_SP'!$C:$AN,MID(AJ$1,1,2),FALSE)</f>
        <v>0</v>
      </c>
      <c r="AK985" s="55">
        <f>VLOOKUP($E985,'NI-Ric_SP'!$C:$AN,MID(AK$1,1,2),FALSE)</f>
        <v>0</v>
      </c>
      <c r="AL985" s="55">
        <f>VLOOKUP($E985,'NI-Ric_SP'!$C:$AN,MID(AL$1,1,2),FALSE)</f>
        <v>0</v>
      </c>
      <c r="AM985" s="56">
        <f>VLOOKUP($E985,'NI-Ric_SP'!$C:$AN,MID(AM$1,1,2),FALSE)</f>
        <v>0</v>
      </c>
      <c r="AN985" s="30" t="str">
        <f t="shared" si="15"/>
        <v>10210010020010</v>
      </c>
    </row>
    <row r="986" spans="3:40" x14ac:dyDescent="0.25">
      <c r="C986" s="40"/>
      <c r="D986" s="101" t="s">
        <v>972</v>
      </c>
      <c r="E986" s="101" t="s">
        <v>973</v>
      </c>
      <c r="F986" s="102" t="s">
        <v>2750</v>
      </c>
      <c r="G986" s="52"/>
      <c r="H986" s="52"/>
      <c r="I986" s="52"/>
      <c r="J986" s="52"/>
      <c r="K986" s="59" t="s">
        <v>79</v>
      </c>
      <c r="L986" s="52"/>
      <c r="M986" s="52"/>
      <c r="N986" s="52"/>
      <c r="O986" s="61" t="s">
        <v>461</v>
      </c>
      <c r="P986" s="76" t="s">
        <v>974</v>
      </c>
      <c r="Q986" s="55">
        <f>-VLOOKUP(E986,'NI-Ric_SP'!$C:$AN,12,FALSE)</f>
        <v>0</v>
      </c>
      <c r="R986" s="55">
        <f>-VLOOKUP(E986,'NI-Ric_SP'!$C:$AN,13,FALSE)</f>
        <v>0</v>
      </c>
      <c r="S986" s="55"/>
      <c r="T986" s="55"/>
      <c r="U986" s="55">
        <f>VLOOKUP($E986,'NI-Ric_SP'!$C:$AN,MID(U$1,1,2),FALSE)</f>
        <v>0</v>
      </c>
      <c r="V986" s="55">
        <f>VLOOKUP($E986,'NI-Ric_SP'!$C:$AN,MID(V$1,1,2),FALSE)</f>
        <v>0</v>
      </c>
      <c r="W986" s="55">
        <f>VLOOKUP($E986,'NI-Ric_SP'!$C:$AN,MID(W$1,1,2),FALSE)</f>
        <v>0</v>
      </c>
      <c r="X986" s="55">
        <f>VLOOKUP($E986,'NI-Ric_SP'!$C:$AN,MID(X$1,1,2),FALSE)</f>
        <v>0</v>
      </c>
      <c r="Y986" s="55">
        <f>VLOOKUP($E986,'NI-Ric_SP'!$C:$AN,MID(Y$1,1,2),FALSE)</f>
        <v>0</v>
      </c>
      <c r="Z986" s="55">
        <f>VLOOKUP($E986,'NI-Ric_SP'!$C:$AN,MID(Z$1,1,2),FALSE)</f>
        <v>0</v>
      </c>
      <c r="AA986" s="55">
        <f>VLOOKUP($E986,'NI-Ric_SP'!$C:$AN,MID(AA$1,1,2),FALSE)</f>
        <v>0</v>
      </c>
      <c r="AB986" s="55">
        <f>VLOOKUP($E986,'NI-Ric_SP'!$C:$AN,MID(AB$1,1,2),FALSE)</f>
        <v>0</v>
      </c>
      <c r="AC986" s="55">
        <f>VLOOKUP($E986,'NI-Ric_SP'!$C:$AN,MID(AC$1,1,2),FALSE)</f>
        <v>0</v>
      </c>
      <c r="AD986" s="55">
        <f>VLOOKUP($E986,'NI-Ric_SP'!$C:$AN,MID(AD$1,1,2),FALSE)</f>
        <v>0</v>
      </c>
      <c r="AE986" s="55">
        <f>VLOOKUP($E986,'NI-Ric_SP'!$C:$AN,MID(AE$1,1,2),FALSE)</f>
        <v>0</v>
      </c>
      <c r="AF986" s="55">
        <f>VLOOKUP($E986,'NI-Ric_SP'!$C:$AN,MID(AF$1,1,2),FALSE)</f>
        <v>0</v>
      </c>
      <c r="AG986" s="55">
        <f>VLOOKUP($E986,'NI-Ric_SP'!$C:$AN,MID(AG$1,1,2),FALSE)</f>
        <v>0</v>
      </c>
      <c r="AH986" s="55">
        <f>VLOOKUP($E986,'NI-Ric_SP'!$C:$AN,MID(AH$1,1,2),FALSE)</f>
        <v>0</v>
      </c>
      <c r="AI986" s="55">
        <f>VLOOKUP($E986,'NI-Ric_SP'!$C:$AN,MID(AI$1,1,2),FALSE)</f>
        <v>0</v>
      </c>
      <c r="AJ986" s="55">
        <f>VLOOKUP($E986,'NI-Ric_SP'!$C:$AN,MID(AJ$1,1,2),FALSE)</f>
        <v>0</v>
      </c>
      <c r="AK986" s="55">
        <f>VLOOKUP($E986,'NI-Ric_SP'!$C:$AN,MID(AK$1,1,2),FALSE)</f>
        <v>0</v>
      </c>
      <c r="AL986" s="55">
        <f>VLOOKUP($E986,'NI-Ric_SP'!$C:$AN,MID(AL$1,1,2),FALSE)</f>
        <v>0</v>
      </c>
      <c r="AM986" s="56">
        <f>VLOOKUP($E986,'NI-Ric_SP'!$C:$AN,MID(AM$1,1,2),FALSE)</f>
        <v>0</v>
      </c>
      <c r="AN986" s="30" t="str">
        <f t="shared" si="15"/>
        <v>10210010020020</v>
      </c>
    </row>
    <row r="987" spans="3:40" x14ac:dyDescent="0.25">
      <c r="C987" s="40"/>
      <c r="D987" s="101" t="s">
        <v>975</v>
      </c>
      <c r="E987" s="101" t="s">
        <v>976</v>
      </c>
      <c r="F987" s="102" t="s">
        <v>2750</v>
      </c>
      <c r="G987" s="52"/>
      <c r="H987" s="52"/>
      <c r="I987" s="52" t="s">
        <v>977</v>
      </c>
      <c r="J987" s="52" t="s">
        <v>977</v>
      </c>
      <c r="K987" s="59" t="s">
        <v>111</v>
      </c>
      <c r="L987" s="62" t="s">
        <v>978</v>
      </c>
      <c r="M987" s="52"/>
      <c r="N987" s="52"/>
      <c r="O987" s="52"/>
      <c r="P987" s="76" t="s">
        <v>979</v>
      </c>
      <c r="Q987" s="55">
        <f>-VLOOKUP(E987,'NI-Ric_SP'!$C:$AN,12,FALSE)</f>
        <v>0</v>
      </c>
      <c r="R987" s="55">
        <f>-VLOOKUP(E987,'NI-Ric_SP'!$C:$AN,13,FALSE)</f>
        <v>0</v>
      </c>
      <c r="S987" s="55"/>
      <c r="T987" s="55"/>
      <c r="U987" s="55">
        <f>VLOOKUP($E987,'NI-Ric_SP'!$C:$AN,MID(U$1,1,2),FALSE)</f>
        <v>0</v>
      </c>
      <c r="V987" s="55">
        <f>VLOOKUP($E987,'NI-Ric_SP'!$C:$AN,MID(V$1,1,2),FALSE)</f>
        <v>0</v>
      </c>
      <c r="W987" s="55">
        <f>VLOOKUP($E987,'NI-Ric_SP'!$C:$AN,MID(W$1,1,2),FALSE)</f>
        <v>0</v>
      </c>
      <c r="X987" s="55">
        <f>VLOOKUP($E987,'NI-Ric_SP'!$C:$AN,MID(X$1,1,2),FALSE)</f>
        <v>0</v>
      </c>
      <c r="Y987" s="55">
        <f>VLOOKUP($E987,'NI-Ric_SP'!$C:$AN,MID(Y$1,1,2),FALSE)</f>
        <v>0</v>
      </c>
      <c r="Z987" s="55">
        <f>VLOOKUP($E987,'NI-Ric_SP'!$C:$AN,MID(Z$1,1,2),FALSE)</f>
        <v>0</v>
      </c>
      <c r="AA987" s="55">
        <f>VLOOKUP($E987,'NI-Ric_SP'!$C:$AN,MID(AA$1,1,2),FALSE)</f>
        <v>0</v>
      </c>
      <c r="AB987" s="55">
        <f>VLOOKUP($E987,'NI-Ric_SP'!$C:$AN,MID(AB$1,1,2),FALSE)</f>
        <v>0</v>
      </c>
      <c r="AC987" s="55">
        <f>VLOOKUP($E987,'NI-Ric_SP'!$C:$AN,MID(AC$1,1,2),FALSE)</f>
        <v>0</v>
      </c>
      <c r="AD987" s="55">
        <f>VLOOKUP($E987,'NI-Ric_SP'!$C:$AN,MID(AD$1,1,2),FALSE)</f>
        <v>0</v>
      </c>
      <c r="AE987" s="55">
        <f>VLOOKUP($E987,'NI-Ric_SP'!$C:$AN,MID(AE$1,1,2),FALSE)</f>
        <v>0</v>
      </c>
      <c r="AF987" s="55">
        <f>VLOOKUP($E987,'NI-Ric_SP'!$C:$AN,MID(AF$1,1,2),FALSE)</f>
        <v>0</v>
      </c>
      <c r="AG987" s="55">
        <f>VLOOKUP($E987,'NI-Ric_SP'!$C:$AN,MID(AG$1,1,2),FALSE)</f>
        <v>0</v>
      </c>
      <c r="AH987" s="55">
        <f>VLOOKUP($E987,'NI-Ric_SP'!$C:$AN,MID(AH$1,1,2),FALSE)</f>
        <v>0</v>
      </c>
      <c r="AI987" s="55">
        <f>VLOOKUP($E987,'NI-Ric_SP'!$C:$AN,MID(AI$1,1,2),FALSE)</f>
        <v>0</v>
      </c>
      <c r="AJ987" s="55">
        <f>VLOOKUP($E987,'NI-Ric_SP'!$C:$AN,MID(AJ$1,1,2),FALSE)</f>
        <v>0</v>
      </c>
      <c r="AK987" s="55">
        <f>VLOOKUP($E987,'NI-Ric_SP'!$C:$AN,MID(AK$1,1,2),FALSE)</f>
        <v>0</v>
      </c>
      <c r="AL987" s="55">
        <f>VLOOKUP($E987,'NI-Ric_SP'!$C:$AN,MID(AL$1,1,2),FALSE)</f>
        <v>0</v>
      </c>
      <c r="AM987" s="56">
        <f>VLOOKUP($E987,'NI-Ric_SP'!$C:$AN,MID(AM$1,1,2),FALSE)</f>
        <v>0</v>
      </c>
      <c r="AN987" s="30" t="str">
        <f t="shared" si="15"/>
        <v>10210020000000</v>
      </c>
    </row>
    <row r="988" spans="3:40" x14ac:dyDescent="0.25">
      <c r="C988" s="40"/>
      <c r="D988" s="101" t="s">
        <v>980</v>
      </c>
      <c r="E988" s="101" t="s">
        <v>981</v>
      </c>
      <c r="F988" s="102" t="s">
        <v>2750</v>
      </c>
      <c r="G988" s="52"/>
      <c r="H988" s="52"/>
      <c r="I988" s="52"/>
      <c r="J988" s="52"/>
      <c r="K988" s="59" t="s">
        <v>79</v>
      </c>
      <c r="L988" s="52"/>
      <c r="M988" s="52"/>
      <c r="N988" s="52"/>
      <c r="O988" s="61" t="s">
        <v>486</v>
      </c>
      <c r="P988" s="76" t="s">
        <v>982</v>
      </c>
      <c r="Q988" s="55">
        <f>-VLOOKUP(E988,'NI-Ric_SP'!$C:$AN,12,FALSE)</f>
        <v>0</v>
      </c>
      <c r="R988" s="55">
        <f>-VLOOKUP(E988,'NI-Ric_SP'!$C:$AN,13,FALSE)</f>
        <v>0</v>
      </c>
      <c r="S988" s="55"/>
      <c r="T988" s="55"/>
      <c r="U988" s="55">
        <f>VLOOKUP($E988,'NI-Ric_SP'!$C:$AN,MID(U$1,1,2),FALSE)</f>
        <v>0</v>
      </c>
      <c r="V988" s="55">
        <f>VLOOKUP($E988,'NI-Ric_SP'!$C:$AN,MID(V$1,1,2),FALSE)</f>
        <v>0</v>
      </c>
      <c r="W988" s="55">
        <f>VLOOKUP($E988,'NI-Ric_SP'!$C:$AN,MID(W$1,1,2),FALSE)</f>
        <v>0</v>
      </c>
      <c r="X988" s="55">
        <f>VLOOKUP($E988,'NI-Ric_SP'!$C:$AN,MID(X$1,1,2),FALSE)</f>
        <v>0</v>
      </c>
      <c r="Y988" s="55">
        <f>VLOOKUP($E988,'NI-Ric_SP'!$C:$AN,MID(Y$1,1,2),FALSE)</f>
        <v>0</v>
      </c>
      <c r="Z988" s="55">
        <f>VLOOKUP($E988,'NI-Ric_SP'!$C:$AN,MID(Z$1,1,2),FALSE)</f>
        <v>0</v>
      </c>
      <c r="AA988" s="55">
        <f>VLOOKUP($E988,'NI-Ric_SP'!$C:$AN,MID(AA$1,1,2),FALSE)</f>
        <v>0</v>
      </c>
      <c r="AB988" s="55">
        <f>VLOOKUP($E988,'NI-Ric_SP'!$C:$AN,MID(AB$1,1,2),FALSE)</f>
        <v>0</v>
      </c>
      <c r="AC988" s="55">
        <f>VLOOKUP($E988,'NI-Ric_SP'!$C:$AN,MID(AC$1,1,2),FALSE)</f>
        <v>0</v>
      </c>
      <c r="AD988" s="55">
        <f>VLOOKUP($E988,'NI-Ric_SP'!$C:$AN,MID(AD$1,1,2),FALSE)</f>
        <v>0</v>
      </c>
      <c r="AE988" s="55">
        <f>VLOOKUP($E988,'NI-Ric_SP'!$C:$AN,MID(AE$1,1,2),FALSE)</f>
        <v>0</v>
      </c>
      <c r="AF988" s="55">
        <f>VLOOKUP($E988,'NI-Ric_SP'!$C:$AN,MID(AF$1,1,2),FALSE)</f>
        <v>0</v>
      </c>
      <c r="AG988" s="55">
        <f>VLOOKUP($E988,'NI-Ric_SP'!$C:$AN,MID(AG$1,1,2),FALSE)</f>
        <v>0</v>
      </c>
      <c r="AH988" s="55">
        <f>VLOOKUP($E988,'NI-Ric_SP'!$C:$AN,MID(AH$1,1,2),FALSE)</f>
        <v>0</v>
      </c>
      <c r="AI988" s="55">
        <f>VLOOKUP($E988,'NI-Ric_SP'!$C:$AN,MID(AI$1,1,2),FALSE)</f>
        <v>0</v>
      </c>
      <c r="AJ988" s="55">
        <f>VLOOKUP($E988,'NI-Ric_SP'!$C:$AN,MID(AJ$1,1,2),FALSE)</f>
        <v>0</v>
      </c>
      <c r="AK988" s="55">
        <f>VLOOKUP($E988,'NI-Ric_SP'!$C:$AN,MID(AK$1,1,2),FALSE)</f>
        <v>0</v>
      </c>
      <c r="AL988" s="55">
        <f>VLOOKUP($E988,'NI-Ric_SP'!$C:$AN,MID(AL$1,1,2),FALSE)</f>
        <v>0</v>
      </c>
      <c r="AM988" s="56">
        <f>VLOOKUP($E988,'NI-Ric_SP'!$C:$AN,MID(AM$1,1,2),FALSE)</f>
        <v>0</v>
      </c>
      <c r="AN988" s="30" t="str">
        <f t="shared" si="15"/>
        <v>10210020010010</v>
      </c>
    </row>
    <row r="989" spans="3:40" x14ac:dyDescent="0.25">
      <c r="C989" s="40"/>
      <c r="D989" s="101" t="s">
        <v>983</v>
      </c>
      <c r="E989" s="101" t="s">
        <v>984</v>
      </c>
      <c r="F989" s="102" t="s">
        <v>2750</v>
      </c>
      <c r="G989" s="52"/>
      <c r="H989" s="52"/>
      <c r="I989" s="52"/>
      <c r="J989" s="52"/>
      <c r="K989" s="59" t="s">
        <v>79</v>
      </c>
      <c r="L989" s="52"/>
      <c r="M989" s="52"/>
      <c r="N989" s="52"/>
      <c r="O989" s="61" t="s">
        <v>486</v>
      </c>
      <c r="P989" s="76" t="s">
        <v>985</v>
      </c>
      <c r="Q989" s="55">
        <f>-VLOOKUP(E989,'NI-Ric_SP'!$C:$AN,12,FALSE)</f>
        <v>0</v>
      </c>
      <c r="R989" s="55">
        <f>-VLOOKUP(E989,'NI-Ric_SP'!$C:$AN,13,FALSE)</f>
        <v>0</v>
      </c>
      <c r="S989" s="55"/>
      <c r="T989" s="55"/>
      <c r="U989" s="55">
        <f>VLOOKUP($E989,'NI-Ric_SP'!$C:$AN,MID(U$1,1,2),FALSE)</f>
        <v>0</v>
      </c>
      <c r="V989" s="55">
        <f>VLOOKUP($E989,'NI-Ric_SP'!$C:$AN,MID(V$1,1,2),FALSE)</f>
        <v>0</v>
      </c>
      <c r="W989" s="55">
        <f>VLOOKUP($E989,'NI-Ric_SP'!$C:$AN,MID(W$1,1,2),FALSE)</f>
        <v>0</v>
      </c>
      <c r="X989" s="55">
        <f>VLOOKUP($E989,'NI-Ric_SP'!$C:$AN,MID(X$1,1,2),FALSE)</f>
        <v>0</v>
      </c>
      <c r="Y989" s="55">
        <f>VLOOKUP($E989,'NI-Ric_SP'!$C:$AN,MID(Y$1,1,2),FALSE)</f>
        <v>0</v>
      </c>
      <c r="Z989" s="55">
        <f>VLOOKUP($E989,'NI-Ric_SP'!$C:$AN,MID(Z$1,1,2),FALSE)</f>
        <v>0</v>
      </c>
      <c r="AA989" s="55">
        <f>VLOOKUP($E989,'NI-Ric_SP'!$C:$AN,MID(AA$1,1,2),FALSE)</f>
        <v>0</v>
      </c>
      <c r="AB989" s="55">
        <f>VLOOKUP($E989,'NI-Ric_SP'!$C:$AN,MID(AB$1,1,2),FALSE)</f>
        <v>0</v>
      </c>
      <c r="AC989" s="55">
        <f>VLOOKUP($E989,'NI-Ric_SP'!$C:$AN,MID(AC$1,1,2),FALSE)</f>
        <v>0</v>
      </c>
      <c r="AD989" s="55">
        <f>VLOOKUP($E989,'NI-Ric_SP'!$C:$AN,MID(AD$1,1,2),FALSE)</f>
        <v>0</v>
      </c>
      <c r="AE989" s="55">
        <f>VLOOKUP($E989,'NI-Ric_SP'!$C:$AN,MID(AE$1,1,2),FALSE)</f>
        <v>0</v>
      </c>
      <c r="AF989" s="55">
        <f>VLOOKUP($E989,'NI-Ric_SP'!$C:$AN,MID(AF$1,1,2),FALSE)</f>
        <v>0</v>
      </c>
      <c r="AG989" s="55">
        <f>VLOOKUP($E989,'NI-Ric_SP'!$C:$AN,MID(AG$1,1,2),FALSE)</f>
        <v>0</v>
      </c>
      <c r="AH989" s="55">
        <f>VLOOKUP($E989,'NI-Ric_SP'!$C:$AN,MID(AH$1,1,2),FALSE)</f>
        <v>0</v>
      </c>
      <c r="AI989" s="55">
        <f>VLOOKUP($E989,'NI-Ric_SP'!$C:$AN,MID(AI$1,1,2),FALSE)</f>
        <v>0</v>
      </c>
      <c r="AJ989" s="55">
        <f>VLOOKUP($E989,'NI-Ric_SP'!$C:$AN,MID(AJ$1,1,2),FALSE)</f>
        <v>0</v>
      </c>
      <c r="AK989" s="55">
        <f>VLOOKUP($E989,'NI-Ric_SP'!$C:$AN,MID(AK$1,1,2),FALSE)</f>
        <v>0</v>
      </c>
      <c r="AL989" s="55">
        <f>VLOOKUP($E989,'NI-Ric_SP'!$C:$AN,MID(AL$1,1,2),FALSE)</f>
        <v>0</v>
      </c>
      <c r="AM989" s="56">
        <f>VLOOKUP($E989,'NI-Ric_SP'!$C:$AN,MID(AM$1,1,2),FALSE)</f>
        <v>0</v>
      </c>
      <c r="AN989" s="30" t="str">
        <f t="shared" si="15"/>
        <v>10210020010020</v>
      </c>
    </row>
    <row r="990" spans="3:40" x14ac:dyDescent="0.25">
      <c r="C990" s="40"/>
      <c r="D990" s="101" t="s">
        <v>986</v>
      </c>
      <c r="E990" s="101" t="s">
        <v>987</v>
      </c>
      <c r="F990" s="102" t="s">
        <v>2750</v>
      </c>
      <c r="G990" s="52"/>
      <c r="H990" s="52"/>
      <c r="I990" s="52"/>
      <c r="J990" s="52"/>
      <c r="K990" s="59" t="s">
        <v>79</v>
      </c>
      <c r="L990" s="52"/>
      <c r="M990" s="52"/>
      <c r="N990" s="52"/>
      <c r="O990" s="61" t="s">
        <v>524</v>
      </c>
      <c r="P990" s="76" t="s">
        <v>988</v>
      </c>
      <c r="Q990" s="55">
        <f>-VLOOKUP(E990,'NI-Ric_SP'!$C:$AN,12,FALSE)</f>
        <v>0</v>
      </c>
      <c r="R990" s="55">
        <f>-VLOOKUP(E990,'NI-Ric_SP'!$C:$AN,13,FALSE)</f>
        <v>0</v>
      </c>
      <c r="S990" s="55"/>
      <c r="T990" s="55"/>
      <c r="U990" s="55">
        <f>VLOOKUP($E990,'NI-Ric_SP'!$C:$AN,MID(U$1,1,2),FALSE)</f>
        <v>0</v>
      </c>
      <c r="V990" s="55">
        <f>VLOOKUP($E990,'NI-Ric_SP'!$C:$AN,MID(V$1,1,2),FALSE)</f>
        <v>0</v>
      </c>
      <c r="W990" s="55">
        <f>VLOOKUP($E990,'NI-Ric_SP'!$C:$AN,MID(W$1,1,2),FALSE)</f>
        <v>0</v>
      </c>
      <c r="X990" s="55">
        <f>VLOOKUP($E990,'NI-Ric_SP'!$C:$AN,MID(X$1,1,2),FALSE)</f>
        <v>0</v>
      </c>
      <c r="Y990" s="55">
        <f>VLOOKUP($E990,'NI-Ric_SP'!$C:$AN,MID(Y$1,1,2),FALSE)</f>
        <v>0</v>
      </c>
      <c r="Z990" s="55">
        <f>VLOOKUP($E990,'NI-Ric_SP'!$C:$AN,MID(Z$1,1,2),FALSE)</f>
        <v>0</v>
      </c>
      <c r="AA990" s="55">
        <f>VLOOKUP($E990,'NI-Ric_SP'!$C:$AN,MID(AA$1,1,2),FALSE)</f>
        <v>0</v>
      </c>
      <c r="AB990" s="55">
        <f>VLOOKUP($E990,'NI-Ric_SP'!$C:$AN,MID(AB$1,1,2),FALSE)</f>
        <v>0</v>
      </c>
      <c r="AC990" s="55">
        <f>VLOOKUP($E990,'NI-Ric_SP'!$C:$AN,MID(AC$1,1,2),FALSE)</f>
        <v>0</v>
      </c>
      <c r="AD990" s="55">
        <f>VLOOKUP($E990,'NI-Ric_SP'!$C:$AN,MID(AD$1,1,2),FALSE)</f>
        <v>0</v>
      </c>
      <c r="AE990" s="55">
        <f>VLOOKUP($E990,'NI-Ric_SP'!$C:$AN,MID(AE$1,1,2),FALSE)</f>
        <v>0</v>
      </c>
      <c r="AF990" s="55">
        <f>VLOOKUP($E990,'NI-Ric_SP'!$C:$AN,MID(AF$1,1,2),FALSE)</f>
        <v>0</v>
      </c>
      <c r="AG990" s="55">
        <f>VLOOKUP($E990,'NI-Ric_SP'!$C:$AN,MID(AG$1,1,2),FALSE)</f>
        <v>0</v>
      </c>
      <c r="AH990" s="55">
        <f>VLOOKUP($E990,'NI-Ric_SP'!$C:$AN,MID(AH$1,1,2),FALSE)</f>
        <v>0</v>
      </c>
      <c r="AI990" s="55">
        <f>VLOOKUP($E990,'NI-Ric_SP'!$C:$AN,MID(AI$1,1,2),FALSE)</f>
        <v>0</v>
      </c>
      <c r="AJ990" s="55">
        <f>VLOOKUP($E990,'NI-Ric_SP'!$C:$AN,MID(AJ$1,1,2),FALSE)</f>
        <v>0</v>
      </c>
      <c r="AK990" s="55">
        <f>VLOOKUP($E990,'NI-Ric_SP'!$C:$AN,MID(AK$1,1,2),FALSE)</f>
        <v>0</v>
      </c>
      <c r="AL990" s="55">
        <f>VLOOKUP($E990,'NI-Ric_SP'!$C:$AN,MID(AL$1,1,2),FALSE)</f>
        <v>0</v>
      </c>
      <c r="AM990" s="56">
        <f>VLOOKUP($E990,'NI-Ric_SP'!$C:$AN,MID(AM$1,1,2),FALSE)</f>
        <v>0</v>
      </c>
      <c r="AN990" s="30" t="str">
        <f t="shared" si="15"/>
        <v>10210020020010</v>
      </c>
    </row>
    <row r="991" spans="3:40" x14ac:dyDescent="0.25">
      <c r="C991" s="40"/>
      <c r="D991" s="101" t="s">
        <v>989</v>
      </c>
      <c r="E991" s="101" t="s">
        <v>990</v>
      </c>
      <c r="F991" s="102" t="s">
        <v>2750</v>
      </c>
      <c r="G991" s="52"/>
      <c r="H991" s="52"/>
      <c r="I991" s="52"/>
      <c r="J991" s="52"/>
      <c r="K991" s="59" t="s">
        <v>79</v>
      </c>
      <c r="L991" s="52"/>
      <c r="M991" s="52"/>
      <c r="N991" s="52"/>
      <c r="O991" s="61" t="s">
        <v>524</v>
      </c>
      <c r="P991" s="76" t="s">
        <v>991</v>
      </c>
      <c r="Q991" s="55">
        <f>-VLOOKUP(E991,'NI-Ric_SP'!$C:$AN,12,FALSE)</f>
        <v>0</v>
      </c>
      <c r="R991" s="55">
        <f>-VLOOKUP(E991,'NI-Ric_SP'!$C:$AN,13,FALSE)</f>
        <v>0</v>
      </c>
      <c r="S991" s="55"/>
      <c r="T991" s="55"/>
      <c r="U991" s="55">
        <f>VLOOKUP($E991,'NI-Ric_SP'!$C:$AN,MID(U$1,1,2),FALSE)</f>
        <v>0</v>
      </c>
      <c r="V991" s="55">
        <f>VLOOKUP($E991,'NI-Ric_SP'!$C:$AN,MID(V$1,1,2),FALSE)</f>
        <v>0</v>
      </c>
      <c r="W991" s="55">
        <f>VLOOKUP($E991,'NI-Ric_SP'!$C:$AN,MID(W$1,1,2),FALSE)</f>
        <v>0</v>
      </c>
      <c r="X991" s="55">
        <f>VLOOKUP($E991,'NI-Ric_SP'!$C:$AN,MID(X$1,1,2),FALSE)</f>
        <v>0</v>
      </c>
      <c r="Y991" s="55">
        <f>VLOOKUP($E991,'NI-Ric_SP'!$C:$AN,MID(Y$1,1,2),FALSE)</f>
        <v>0</v>
      </c>
      <c r="Z991" s="55">
        <f>VLOOKUP($E991,'NI-Ric_SP'!$C:$AN,MID(Z$1,1,2),FALSE)</f>
        <v>0</v>
      </c>
      <c r="AA991" s="55">
        <f>VLOOKUP($E991,'NI-Ric_SP'!$C:$AN,MID(AA$1,1,2),FALSE)</f>
        <v>0</v>
      </c>
      <c r="AB991" s="55">
        <f>VLOOKUP($E991,'NI-Ric_SP'!$C:$AN,MID(AB$1,1,2),FALSE)</f>
        <v>0</v>
      </c>
      <c r="AC991" s="55">
        <f>VLOOKUP($E991,'NI-Ric_SP'!$C:$AN,MID(AC$1,1,2),FALSE)</f>
        <v>0</v>
      </c>
      <c r="AD991" s="55">
        <f>VLOOKUP($E991,'NI-Ric_SP'!$C:$AN,MID(AD$1,1,2),FALSE)</f>
        <v>0</v>
      </c>
      <c r="AE991" s="55">
        <f>VLOOKUP($E991,'NI-Ric_SP'!$C:$AN,MID(AE$1,1,2),FALSE)</f>
        <v>0</v>
      </c>
      <c r="AF991" s="55">
        <f>VLOOKUP($E991,'NI-Ric_SP'!$C:$AN,MID(AF$1,1,2),FALSE)</f>
        <v>0</v>
      </c>
      <c r="AG991" s="55">
        <f>VLOOKUP($E991,'NI-Ric_SP'!$C:$AN,MID(AG$1,1,2),FALSE)</f>
        <v>0</v>
      </c>
      <c r="AH991" s="55">
        <f>VLOOKUP($E991,'NI-Ric_SP'!$C:$AN,MID(AH$1,1,2),FALSE)</f>
        <v>0</v>
      </c>
      <c r="AI991" s="55">
        <f>VLOOKUP($E991,'NI-Ric_SP'!$C:$AN,MID(AI$1,1,2),FALSE)</f>
        <v>0</v>
      </c>
      <c r="AJ991" s="55">
        <f>VLOOKUP($E991,'NI-Ric_SP'!$C:$AN,MID(AJ$1,1,2),FALSE)</f>
        <v>0</v>
      </c>
      <c r="AK991" s="55">
        <f>VLOOKUP($E991,'NI-Ric_SP'!$C:$AN,MID(AK$1,1,2),FALSE)</f>
        <v>0</v>
      </c>
      <c r="AL991" s="55">
        <f>VLOOKUP($E991,'NI-Ric_SP'!$C:$AN,MID(AL$1,1,2),FALSE)</f>
        <v>0</v>
      </c>
      <c r="AM991" s="56">
        <f>VLOOKUP($E991,'NI-Ric_SP'!$C:$AN,MID(AM$1,1,2),FALSE)</f>
        <v>0</v>
      </c>
      <c r="AN991" s="30" t="str">
        <f t="shared" si="15"/>
        <v>10210020020020</v>
      </c>
    </row>
    <row r="992" spans="3:40" x14ac:dyDescent="0.25">
      <c r="C992" s="40"/>
      <c r="D992" s="101" t="s">
        <v>992</v>
      </c>
      <c r="E992" s="101" t="s">
        <v>993</v>
      </c>
      <c r="F992" s="102" t="s">
        <v>2750</v>
      </c>
      <c r="G992" s="52"/>
      <c r="H992" s="52"/>
      <c r="I992" s="52" t="s">
        <v>994</v>
      </c>
      <c r="J992" s="52" t="s">
        <v>994</v>
      </c>
      <c r="K992" s="59" t="s">
        <v>111</v>
      </c>
      <c r="L992" s="62" t="s">
        <v>995</v>
      </c>
      <c r="M992" s="52"/>
      <c r="N992" s="52"/>
      <c r="O992" s="61" t="s">
        <v>560</v>
      </c>
      <c r="P992" s="76" t="s">
        <v>996</v>
      </c>
      <c r="Q992" s="55">
        <f>-VLOOKUP(E992,'NI-Ric_SP'!$C:$AN,12,FALSE)</f>
        <v>0</v>
      </c>
      <c r="R992" s="55">
        <f>-VLOOKUP(E992,'NI-Ric_SP'!$C:$AN,13,FALSE)</f>
        <v>0</v>
      </c>
      <c r="S992" s="55"/>
      <c r="T992" s="55"/>
      <c r="U992" s="55">
        <f>VLOOKUP($E992,'NI-Ric_SP'!$C:$AN,MID(U$1,1,2),FALSE)</f>
        <v>0</v>
      </c>
      <c r="V992" s="55">
        <f>VLOOKUP($E992,'NI-Ric_SP'!$C:$AN,MID(V$1,1,2),FALSE)</f>
        <v>0</v>
      </c>
      <c r="W992" s="55">
        <f>VLOOKUP($E992,'NI-Ric_SP'!$C:$AN,MID(W$1,1,2),FALSE)</f>
        <v>0</v>
      </c>
      <c r="X992" s="55">
        <f>VLOOKUP($E992,'NI-Ric_SP'!$C:$AN,MID(X$1,1,2),FALSE)</f>
        <v>0</v>
      </c>
      <c r="Y992" s="55">
        <f>VLOOKUP($E992,'NI-Ric_SP'!$C:$AN,MID(Y$1,1,2),FALSE)</f>
        <v>0</v>
      </c>
      <c r="Z992" s="55">
        <f>VLOOKUP($E992,'NI-Ric_SP'!$C:$AN,MID(Z$1,1,2),FALSE)</f>
        <v>0</v>
      </c>
      <c r="AA992" s="55">
        <f>VLOOKUP($E992,'NI-Ric_SP'!$C:$AN,MID(AA$1,1,2),FALSE)</f>
        <v>0</v>
      </c>
      <c r="AB992" s="55">
        <f>VLOOKUP($E992,'NI-Ric_SP'!$C:$AN,MID(AB$1,1,2),FALSE)</f>
        <v>0</v>
      </c>
      <c r="AC992" s="55">
        <f>VLOOKUP($E992,'NI-Ric_SP'!$C:$AN,MID(AC$1,1,2),FALSE)</f>
        <v>0</v>
      </c>
      <c r="AD992" s="55">
        <f>VLOOKUP($E992,'NI-Ric_SP'!$C:$AN,MID(AD$1,1,2),FALSE)</f>
        <v>0</v>
      </c>
      <c r="AE992" s="55">
        <f>VLOOKUP($E992,'NI-Ric_SP'!$C:$AN,MID(AE$1,1,2),FALSE)</f>
        <v>0</v>
      </c>
      <c r="AF992" s="55">
        <f>VLOOKUP($E992,'NI-Ric_SP'!$C:$AN,MID(AF$1,1,2),FALSE)</f>
        <v>0</v>
      </c>
      <c r="AG992" s="55">
        <f>VLOOKUP($E992,'NI-Ric_SP'!$C:$AN,MID(AG$1,1,2),FALSE)</f>
        <v>0</v>
      </c>
      <c r="AH992" s="55">
        <f>VLOOKUP($E992,'NI-Ric_SP'!$C:$AN,MID(AH$1,1,2),FALSE)</f>
        <v>0</v>
      </c>
      <c r="AI992" s="55">
        <f>VLOOKUP($E992,'NI-Ric_SP'!$C:$AN,MID(AI$1,1,2),FALSE)</f>
        <v>0</v>
      </c>
      <c r="AJ992" s="55">
        <f>VLOOKUP($E992,'NI-Ric_SP'!$C:$AN,MID(AJ$1,1,2),FALSE)</f>
        <v>0</v>
      </c>
      <c r="AK992" s="55">
        <f>VLOOKUP($E992,'NI-Ric_SP'!$C:$AN,MID(AK$1,1,2),FALSE)</f>
        <v>0</v>
      </c>
      <c r="AL992" s="55">
        <f>VLOOKUP($E992,'NI-Ric_SP'!$C:$AN,MID(AL$1,1,2),FALSE)</f>
        <v>0</v>
      </c>
      <c r="AM992" s="56">
        <f>VLOOKUP($E992,'NI-Ric_SP'!$C:$AN,MID(AM$1,1,2),FALSE)</f>
        <v>0</v>
      </c>
      <c r="AN992" s="30" t="str">
        <f t="shared" si="15"/>
        <v>10210030000000</v>
      </c>
    </row>
    <row r="993" spans="3:40" x14ac:dyDescent="0.25">
      <c r="C993" s="40"/>
      <c r="D993" s="101" t="s">
        <v>997</v>
      </c>
      <c r="E993" s="101" t="s">
        <v>998</v>
      </c>
      <c r="F993" s="102" t="s">
        <v>2750</v>
      </c>
      <c r="G993" s="52"/>
      <c r="H993" s="52"/>
      <c r="I993" s="52"/>
      <c r="J993" s="52"/>
      <c r="K993" s="59" t="s">
        <v>79</v>
      </c>
      <c r="L993" s="52"/>
      <c r="M993" s="52"/>
      <c r="N993" s="52"/>
      <c r="O993" s="52"/>
      <c r="P993" s="76" t="s">
        <v>999</v>
      </c>
      <c r="Q993" s="55">
        <f>-VLOOKUP(E993,'NI-Ric_SP'!$C:$AN,12,FALSE)</f>
        <v>0</v>
      </c>
      <c r="R993" s="55">
        <f>-VLOOKUP(E993,'NI-Ric_SP'!$C:$AN,13,FALSE)</f>
        <v>0</v>
      </c>
      <c r="S993" s="55"/>
      <c r="T993" s="55"/>
      <c r="U993" s="55">
        <f>VLOOKUP($E993,'NI-Ric_SP'!$C:$AN,MID(U$1,1,2),FALSE)</f>
        <v>0</v>
      </c>
      <c r="V993" s="55">
        <f>VLOOKUP($E993,'NI-Ric_SP'!$C:$AN,MID(V$1,1,2),FALSE)</f>
        <v>0</v>
      </c>
      <c r="W993" s="55">
        <f>VLOOKUP($E993,'NI-Ric_SP'!$C:$AN,MID(W$1,1,2),FALSE)</f>
        <v>0</v>
      </c>
      <c r="X993" s="55">
        <f>VLOOKUP($E993,'NI-Ric_SP'!$C:$AN,MID(X$1,1,2),FALSE)</f>
        <v>0</v>
      </c>
      <c r="Y993" s="55">
        <f>VLOOKUP($E993,'NI-Ric_SP'!$C:$AN,MID(Y$1,1,2),FALSE)</f>
        <v>0</v>
      </c>
      <c r="Z993" s="55">
        <f>VLOOKUP($E993,'NI-Ric_SP'!$C:$AN,MID(Z$1,1,2),FALSE)</f>
        <v>0</v>
      </c>
      <c r="AA993" s="55">
        <f>VLOOKUP($E993,'NI-Ric_SP'!$C:$AN,MID(AA$1,1,2),FALSE)</f>
        <v>0</v>
      </c>
      <c r="AB993" s="55">
        <f>VLOOKUP($E993,'NI-Ric_SP'!$C:$AN,MID(AB$1,1,2),FALSE)</f>
        <v>0</v>
      </c>
      <c r="AC993" s="55">
        <f>VLOOKUP($E993,'NI-Ric_SP'!$C:$AN,MID(AC$1,1,2),FALSE)</f>
        <v>0</v>
      </c>
      <c r="AD993" s="55">
        <f>VLOOKUP($E993,'NI-Ric_SP'!$C:$AN,MID(AD$1,1,2),FALSE)</f>
        <v>0</v>
      </c>
      <c r="AE993" s="55">
        <f>VLOOKUP($E993,'NI-Ric_SP'!$C:$AN,MID(AE$1,1,2),FALSE)</f>
        <v>0</v>
      </c>
      <c r="AF993" s="55">
        <f>VLOOKUP($E993,'NI-Ric_SP'!$C:$AN,MID(AF$1,1,2),FALSE)</f>
        <v>0</v>
      </c>
      <c r="AG993" s="55">
        <f>VLOOKUP($E993,'NI-Ric_SP'!$C:$AN,MID(AG$1,1,2),FALSE)</f>
        <v>0</v>
      </c>
      <c r="AH993" s="55">
        <f>VLOOKUP($E993,'NI-Ric_SP'!$C:$AN,MID(AH$1,1,2),FALSE)</f>
        <v>0</v>
      </c>
      <c r="AI993" s="55">
        <f>VLOOKUP($E993,'NI-Ric_SP'!$C:$AN,MID(AI$1,1,2),FALSE)</f>
        <v>0</v>
      </c>
      <c r="AJ993" s="55">
        <f>VLOOKUP($E993,'NI-Ric_SP'!$C:$AN,MID(AJ$1,1,2),FALSE)</f>
        <v>0</v>
      </c>
      <c r="AK993" s="55">
        <f>VLOOKUP($E993,'NI-Ric_SP'!$C:$AN,MID(AK$1,1,2),FALSE)</f>
        <v>0</v>
      </c>
      <c r="AL993" s="55">
        <f>VLOOKUP($E993,'NI-Ric_SP'!$C:$AN,MID(AL$1,1,2),FALSE)</f>
        <v>0</v>
      </c>
      <c r="AM993" s="56">
        <f>VLOOKUP($E993,'NI-Ric_SP'!$C:$AN,MID(AM$1,1,2),FALSE)</f>
        <v>0</v>
      </c>
      <c r="AN993" s="30" t="str">
        <f t="shared" si="15"/>
        <v>10210030010000</v>
      </c>
    </row>
    <row r="994" spans="3:40" x14ac:dyDescent="0.25">
      <c r="C994" s="40"/>
      <c r="D994" s="101" t="s">
        <v>1000</v>
      </c>
      <c r="E994" s="101" t="s">
        <v>1001</v>
      </c>
      <c r="F994" s="102" t="s">
        <v>2750</v>
      </c>
      <c r="G994" s="52"/>
      <c r="H994" s="52"/>
      <c r="I994" s="52"/>
      <c r="J994" s="52"/>
      <c r="K994" s="59" t="s">
        <v>79</v>
      </c>
      <c r="L994" s="52"/>
      <c r="M994" s="52"/>
      <c r="N994" s="52"/>
      <c r="O994" s="52"/>
      <c r="P994" s="76" t="s">
        <v>1002</v>
      </c>
      <c r="Q994" s="55">
        <f>-VLOOKUP(E994,'NI-Ric_SP'!$C:$AN,12,FALSE)</f>
        <v>0</v>
      </c>
      <c r="R994" s="55">
        <f>-VLOOKUP(E994,'NI-Ric_SP'!$C:$AN,13,FALSE)</f>
        <v>0</v>
      </c>
      <c r="S994" s="55"/>
      <c r="T994" s="55"/>
      <c r="U994" s="55">
        <f>VLOOKUP($E994,'NI-Ric_SP'!$C:$AN,MID(U$1,1,2),FALSE)</f>
        <v>0</v>
      </c>
      <c r="V994" s="55">
        <f>VLOOKUP($E994,'NI-Ric_SP'!$C:$AN,MID(V$1,1,2),FALSE)</f>
        <v>0</v>
      </c>
      <c r="W994" s="55">
        <f>VLOOKUP($E994,'NI-Ric_SP'!$C:$AN,MID(W$1,1,2),FALSE)</f>
        <v>0</v>
      </c>
      <c r="X994" s="55">
        <f>VLOOKUP($E994,'NI-Ric_SP'!$C:$AN,MID(X$1,1,2),FALSE)</f>
        <v>0</v>
      </c>
      <c r="Y994" s="55">
        <f>VLOOKUP($E994,'NI-Ric_SP'!$C:$AN,MID(Y$1,1,2),FALSE)</f>
        <v>0</v>
      </c>
      <c r="Z994" s="55">
        <f>VLOOKUP($E994,'NI-Ric_SP'!$C:$AN,MID(Z$1,1,2),FALSE)</f>
        <v>0</v>
      </c>
      <c r="AA994" s="55">
        <f>VLOOKUP($E994,'NI-Ric_SP'!$C:$AN,MID(AA$1,1,2),FALSE)</f>
        <v>0</v>
      </c>
      <c r="AB994" s="55">
        <f>VLOOKUP($E994,'NI-Ric_SP'!$C:$AN,MID(AB$1,1,2),FALSE)</f>
        <v>0</v>
      </c>
      <c r="AC994" s="55">
        <f>VLOOKUP($E994,'NI-Ric_SP'!$C:$AN,MID(AC$1,1,2),FALSE)</f>
        <v>0</v>
      </c>
      <c r="AD994" s="55">
        <f>VLOOKUP($E994,'NI-Ric_SP'!$C:$AN,MID(AD$1,1,2),FALSE)</f>
        <v>0</v>
      </c>
      <c r="AE994" s="55">
        <f>VLOOKUP($E994,'NI-Ric_SP'!$C:$AN,MID(AE$1,1,2),FALSE)</f>
        <v>0</v>
      </c>
      <c r="AF994" s="55">
        <f>VLOOKUP($E994,'NI-Ric_SP'!$C:$AN,MID(AF$1,1,2),FALSE)</f>
        <v>0</v>
      </c>
      <c r="AG994" s="55">
        <f>VLOOKUP($E994,'NI-Ric_SP'!$C:$AN,MID(AG$1,1,2),FALSE)</f>
        <v>0</v>
      </c>
      <c r="AH994" s="55">
        <f>VLOOKUP($E994,'NI-Ric_SP'!$C:$AN,MID(AH$1,1,2),FALSE)</f>
        <v>0</v>
      </c>
      <c r="AI994" s="55">
        <f>VLOOKUP($E994,'NI-Ric_SP'!$C:$AN,MID(AI$1,1,2),FALSE)</f>
        <v>0</v>
      </c>
      <c r="AJ994" s="55">
        <f>VLOOKUP($E994,'NI-Ric_SP'!$C:$AN,MID(AJ$1,1,2),FALSE)</f>
        <v>0</v>
      </c>
      <c r="AK994" s="55">
        <f>VLOOKUP($E994,'NI-Ric_SP'!$C:$AN,MID(AK$1,1,2),FALSE)</f>
        <v>0</v>
      </c>
      <c r="AL994" s="55">
        <f>VLOOKUP($E994,'NI-Ric_SP'!$C:$AN,MID(AL$1,1,2),FALSE)</f>
        <v>0</v>
      </c>
      <c r="AM994" s="56">
        <f>VLOOKUP($E994,'NI-Ric_SP'!$C:$AN,MID(AM$1,1,2),FALSE)</f>
        <v>0</v>
      </c>
      <c r="AN994" s="30" t="str">
        <f t="shared" si="15"/>
        <v>10210030020000</v>
      </c>
    </row>
    <row r="995" spans="3:40" x14ac:dyDescent="0.25">
      <c r="C995" s="40"/>
      <c r="D995" s="101" t="s">
        <v>1003</v>
      </c>
      <c r="E995" s="101" t="s">
        <v>1004</v>
      </c>
      <c r="F995" s="102" t="s">
        <v>2750</v>
      </c>
      <c r="G995" s="52"/>
      <c r="H995" s="52"/>
      <c r="I995" s="52" t="s">
        <v>1005</v>
      </c>
      <c r="J995" s="52" t="s">
        <v>1005</v>
      </c>
      <c r="K995" s="59" t="s">
        <v>111</v>
      </c>
      <c r="L995" s="62" t="s">
        <v>1006</v>
      </c>
      <c r="M995" s="52"/>
      <c r="N995" s="52"/>
      <c r="O995" s="61" t="s">
        <v>658</v>
      </c>
      <c r="P995" s="76" t="s">
        <v>1007</v>
      </c>
      <c r="Q995" s="55">
        <f>-VLOOKUP(E995,'NI-Ric_SP'!$C:$AN,12,FALSE)</f>
        <v>0</v>
      </c>
      <c r="R995" s="55">
        <f>-VLOOKUP(E995,'NI-Ric_SP'!$C:$AN,13,FALSE)</f>
        <v>0</v>
      </c>
      <c r="S995" s="55"/>
      <c r="T995" s="55"/>
      <c r="U995" s="55">
        <f>VLOOKUP($E995,'NI-Ric_SP'!$C:$AN,MID(U$1,1,2),FALSE)</f>
        <v>0</v>
      </c>
      <c r="V995" s="55">
        <f>VLOOKUP($E995,'NI-Ric_SP'!$C:$AN,MID(V$1,1,2),FALSE)</f>
        <v>0</v>
      </c>
      <c r="W995" s="55">
        <f>VLOOKUP($E995,'NI-Ric_SP'!$C:$AN,MID(W$1,1,2),FALSE)</f>
        <v>0</v>
      </c>
      <c r="X995" s="55">
        <f>VLOOKUP($E995,'NI-Ric_SP'!$C:$AN,MID(X$1,1,2),FALSE)</f>
        <v>0</v>
      </c>
      <c r="Y995" s="55">
        <f>VLOOKUP($E995,'NI-Ric_SP'!$C:$AN,MID(Y$1,1,2),FALSE)</f>
        <v>0</v>
      </c>
      <c r="Z995" s="55">
        <f>VLOOKUP($E995,'NI-Ric_SP'!$C:$AN,MID(Z$1,1,2),FALSE)</f>
        <v>0</v>
      </c>
      <c r="AA995" s="55">
        <f>VLOOKUP($E995,'NI-Ric_SP'!$C:$AN,MID(AA$1,1,2),FALSE)</f>
        <v>0</v>
      </c>
      <c r="AB995" s="55">
        <f>VLOOKUP($E995,'NI-Ric_SP'!$C:$AN,MID(AB$1,1,2),FALSE)</f>
        <v>0</v>
      </c>
      <c r="AC995" s="55">
        <f>VLOOKUP($E995,'NI-Ric_SP'!$C:$AN,MID(AC$1,1,2),FALSE)</f>
        <v>0</v>
      </c>
      <c r="AD995" s="55">
        <f>VLOOKUP($E995,'NI-Ric_SP'!$C:$AN,MID(AD$1,1,2),FALSE)</f>
        <v>0</v>
      </c>
      <c r="AE995" s="55">
        <f>VLOOKUP($E995,'NI-Ric_SP'!$C:$AN,MID(AE$1,1,2),FALSE)</f>
        <v>0</v>
      </c>
      <c r="AF995" s="55">
        <f>VLOOKUP($E995,'NI-Ric_SP'!$C:$AN,MID(AF$1,1,2),FALSE)</f>
        <v>0</v>
      </c>
      <c r="AG995" s="55">
        <f>VLOOKUP($E995,'NI-Ric_SP'!$C:$AN,MID(AG$1,1,2),FALSE)</f>
        <v>0</v>
      </c>
      <c r="AH995" s="55">
        <f>VLOOKUP($E995,'NI-Ric_SP'!$C:$AN,MID(AH$1,1,2),FALSE)</f>
        <v>0</v>
      </c>
      <c r="AI995" s="55">
        <f>VLOOKUP($E995,'NI-Ric_SP'!$C:$AN,MID(AI$1,1,2),FALSE)</f>
        <v>0</v>
      </c>
      <c r="AJ995" s="55">
        <f>VLOOKUP($E995,'NI-Ric_SP'!$C:$AN,MID(AJ$1,1,2),FALSE)</f>
        <v>0</v>
      </c>
      <c r="AK995" s="55">
        <f>VLOOKUP($E995,'NI-Ric_SP'!$C:$AN,MID(AK$1,1,2),FALSE)</f>
        <v>0</v>
      </c>
      <c r="AL995" s="55">
        <f>VLOOKUP($E995,'NI-Ric_SP'!$C:$AN,MID(AL$1,1,2),FALSE)</f>
        <v>0</v>
      </c>
      <c r="AM995" s="56">
        <f>VLOOKUP($E995,'NI-Ric_SP'!$C:$AN,MID(AM$1,1,2),FALSE)</f>
        <v>0</v>
      </c>
      <c r="AN995" s="30" t="str">
        <f t="shared" si="15"/>
        <v>10210040000000</v>
      </c>
    </row>
    <row r="996" spans="3:40" x14ac:dyDescent="0.25">
      <c r="C996" s="40"/>
      <c r="D996" s="101" t="s">
        <v>1008</v>
      </c>
      <c r="E996" s="101" t="s">
        <v>1009</v>
      </c>
      <c r="F996" s="102" t="s">
        <v>2750</v>
      </c>
      <c r="G996" s="52"/>
      <c r="H996" s="52"/>
      <c r="I996" s="52"/>
      <c r="J996" s="52"/>
      <c r="K996" s="59" t="s">
        <v>79</v>
      </c>
      <c r="L996" s="52"/>
      <c r="M996" s="52"/>
      <c r="N996" s="52"/>
      <c r="O996" s="52"/>
      <c r="P996" s="76" t="s">
        <v>1010</v>
      </c>
      <c r="Q996" s="55">
        <f>-VLOOKUP(E996,'NI-Ric_SP'!$C:$AN,12,FALSE)</f>
        <v>0</v>
      </c>
      <c r="R996" s="55">
        <f>-VLOOKUP(E996,'NI-Ric_SP'!$C:$AN,13,FALSE)</f>
        <v>0</v>
      </c>
      <c r="S996" s="55"/>
      <c r="T996" s="55"/>
      <c r="U996" s="55">
        <f>VLOOKUP($E996,'NI-Ric_SP'!$C:$AN,MID(U$1,1,2),FALSE)</f>
        <v>0</v>
      </c>
      <c r="V996" s="55">
        <f>VLOOKUP($E996,'NI-Ric_SP'!$C:$AN,MID(V$1,1,2),FALSE)</f>
        <v>0</v>
      </c>
      <c r="W996" s="55">
        <f>VLOOKUP($E996,'NI-Ric_SP'!$C:$AN,MID(W$1,1,2),FALSE)</f>
        <v>0</v>
      </c>
      <c r="X996" s="55">
        <f>VLOOKUP($E996,'NI-Ric_SP'!$C:$AN,MID(X$1,1,2),FALSE)</f>
        <v>0</v>
      </c>
      <c r="Y996" s="55">
        <f>VLOOKUP($E996,'NI-Ric_SP'!$C:$AN,MID(Y$1,1,2),FALSE)</f>
        <v>0</v>
      </c>
      <c r="Z996" s="55">
        <f>VLOOKUP($E996,'NI-Ric_SP'!$C:$AN,MID(Z$1,1,2),FALSE)</f>
        <v>0</v>
      </c>
      <c r="AA996" s="55">
        <f>VLOOKUP($E996,'NI-Ric_SP'!$C:$AN,MID(AA$1,1,2),FALSE)</f>
        <v>0</v>
      </c>
      <c r="AB996" s="55">
        <f>VLOOKUP($E996,'NI-Ric_SP'!$C:$AN,MID(AB$1,1,2),FALSE)</f>
        <v>0</v>
      </c>
      <c r="AC996" s="55">
        <f>VLOOKUP($E996,'NI-Ric_SP'!$C:$AN,MID(AC$1,1,2),FALSE)</f>
        <v>0</v>
      </c>
      <c r="AD996" s="55">
        <f>VLOOKUP($E996,'NI-Ric_SP'!$C:$AN,MID(AD$1,1,2),FALSE)</f>
        <v>0</v>
      </c>
      <c r="AE996" s="55">
        <f>VLOOKUP($E996,'NI-Ric_SP'!$C:$AN,MID(AE$1,1,2),FALSE)</f>
        <v>0</v>
      </c>
      <c r="AF996" s="55">
        <f>VLOOKUP($E996,'NI-Ric_SP'!$C:$AN,MID(AF$1,1,2),FALSE)</f>
        <v>0</v>
      </c>
      <c r="AG996" s="55">
        <f>VLOOKUP($E996,'NI-Ric_SP'!$C:$AN,MID(AG$1,1,2),FALSE)</f>
        <v>0</v>
      </c>
      <c r="AH996" s="55">
        <f>VLOOKUP($E996,'NI-Ric_SP'!$C:$AN,MID(AH$1,1,2),FALSE)</f>
        <v>0</v>
      </c>
      <c r="AI996" s="55">
        <f>VLOOKUP($E996,'NI-Ric_SP'!$C:$AN,MID(AI$1,1,2),FALSE)</f>
        <v>0</v>
      </c>
      <c r="AJ996" s="55">
        <f>VLOOKUP($E996,'NI-Ric_SP'!$C:$AN,MID(AJ$1,1,2),FALSE)</f>
        <v>0</v>
      </c>
      <c r="AK996" s="55">
        <f>VLOOKUP($E996,'NI-Ric_SP'!$C:$AN,MID(AK$1,1,2),FALSE)</f>
        <v>0</v>
      </c>
      <c r="AL996" s="55">
        <f>VLOOKUP($E996,'NI-Ric_SP'!$C:$AN,MID(AL$1,1,2),FALSE)</f>
        <v>0</v>
      </c>
      <c r="AM996" s="56">
        <f>VLOOKUP($E996,'NI-Ric_SP'!$C:$AN,MID(AM$1,1,2),FALSE)</f>
        <v>0</v>
      </c>
      <c r="AN996" s="30" t="str">
        <f t="shared" si="15"/>
        <v>10210040010010</v>
      </c>
    </row>
    <row r="997" spans="3:40" x14ac:dyDescent="0.25">
      <c r="C997" s="40"/>
      <c r="D997" s="101" t="s">
        <v>1011</v>
      </c>
      <c r="E997" s="101" t="s">
        <v>1012</v>
      </c>
      <c r="F997" s="102" t="s">
        <v>2750</v>
      </c>
      <c r="G997" s="52"/>
      <c r="H997" s="52"/>
      <c r="I997" s="52"/>
      <c r="J997" s="52"/>
      <c r="K997" s="59" t="s">
        <v>79</v>
      </c>
      <c r="L997" s="52"/>
      <c r="M997" s="52"/>
      <c r="N997" s="52"/>
      <c r="O997" s="52"/>
      <c r="P997" s="76" t="s">
        <v>1013</v>
      </c>
      <c r="Q997" s="55">
        <f>-VLOOKUP(E997,'NI-Ric_SP'!$C:$AN,12,FALSE)</f>
        <v>0</v>
      </c>
      <c r="R997" s="55">
        <f>-VLOOKUP(E997,'NI-Ric_SP'!$C:$AN,13,FALSE)</f>
        <v>0</v>
      </c>
      <c r="S997" s="55"/>
      <c r="T997" s="55"/>
      <c r="U997" s="55">
        <f>VLOOKUP($E997,'NI-Ric_SP'!$C:$AN,MID(U$1,1,2),FALSE)</f>
        <v>0</v>
      </c>
      <c r="V997" s="55">
        <f>VLOOKUP($E997,'NI-Ric_SP'!$C:$AN,MID(V$1,1,2),FALSE)</f>
        <v>0</v>
      </c>
      <c r="W997" s="55">
        <f>VLOOKUP($E997,'NI-Ric_SP'!$C:$AN,MID(W$1,1,2),FALSE)</f>
        <v>0</v>
      </c>
      <c r="X997" s="55">
        <f>VLOOKUP($E997,'NI-Ric_SP'!$C:$AN,MID(X$1,1,2),FALSE)</f>
        <v>0</v>
      </c>
      <c r="Y997" s="55">
        <f>VLOOKUP($E997,'NI-Ric_SP'!$C:$AN,MID(Y$1,1,2),FALSE)</f>
        <v>0</v>
      </c>
      <c r="Z997" s="55">
        <f>VLOOKUP($E997,'NI-Ric_SP'!$C:$AN,MID(Z$1,1,2),FALSE)</f>
        <v>0</v>
      </c>
      <c r="AA997" s="55">
        <f>VLOOKUP($E997,'NI-Ric_SP'!$C:$AN,MID(AA$1,1,2),FALSE)</f>
        <v>0</v>
      </c>
      <c r="AB997" s="55">
        <f>VLOOKUP($E997,'NI-Ric_SP'!$C:$AN,MID(AB$1,1,2),FALSE)</f>
        <v>0</v>
      </c>
      <c r="AC997" s="55">
        <f>VLOOKUP($E997,'NI-Ric_SP'!$C:$AN,MID(AC$1,1,2),FALSE)</f>
        <v>0</v>
      </c>
      <c r="AD997" s="55">
        <f>VLOOKUP($E997,'NI-Ric_SP'!$C:$AN,MID(AD$1,1,2),FALSE)</f>
        <v>0</v>
      </c>
      <c r="AE997" s="55">
        <f>VLOOKUP($E997,'NI-Ric_SP'!$C:$AN,MID(AE$1,1,2),FALSE)</f>
        <v>0</v>
      </c>
      <c r="AF997" s="55">
        <f>VLOOKUP($E997,'NI-Ric_SP'!$C:$AN,MID(AF$1,1,2),FALSE)</f>
        <v>0</v>
      </c>
      <c r="AG997" s="55">
        <f>VLOOKUP($E997,'NI-Ric_SP'!$C:$AN,MID(AG$1,1,2),FALSE)</f>
        <v>0</v>
      </c>
      <c r="AH997" s="55">
        <f>VLOOKUP($E997,'NI-Ric_SP'!$C:$AN,MID(AH$1,1,2),FALSE)</f>
        <v>0</v>
      </c>
      <c r="AI997" s="55">
        <f>VLOOKUP($E997,'NI-Ric_SP'!$C:$AN,MID(AI$1,1,2),FALSE)</f>
        <v>0</v>
      </c>
      <c r="AJ997" s="55">
        <f>VLOOKUP($E997,'NI-Ric_SP'!$C:$AN,MID(AJ$1,1,2),FALSE)</f>
        <v>0</v>
      </c>
      <c r="AK997" s="55">
        <f>VLOOKUP($E997,'NI-Ric_SP'!$C:$AN,MID(AK$1,1,2),FALSE)</f>
        <v>0</v>
      </c>
      <c r="AL997" s="55">
        <f>VLOOKUP($E997,'NI-Ric_SP'!$C:$AN,MID(AL$1,1,2),FALSE)</f>
        <v>0</v>
      </c>
      <c r="AM997" s="56">
        <f>VLOOKUP($E997,'NI-Ric_SP'!$C:$AN,MID(AM$1,1,2),FALSE)</f>
        <v>0</v>
      </c>
      <c r="AN997" s="30" t="str">
        <f t="shared" si="15"/>
        <v>10210040010020</v>
      </c>
    </row>
    <row r="998" spans="3:40" x14ac:dyDescent="0.25">
      <c r="C998" s="40"/>
      <c r="D998" s="101" t="s">
        <v>1014</v>
      </c>
      <c r="E998" s="101" t="s">
        <v>1015</v>
      </c>
      <c r="F998" s="102" t="s">
        <v>2750</v>
      </c>
      <c r="G998" s="52"/>
      <c r="H998" s="52"/>
      <c r="I998" s="52"/>
      <c r="J998" s="52"/>
      <c r="K998" s="59" t="s">
        <v>79</v>
      </c>
      <c r="L998" s="52"/>
      <c r="M998" s="52"/>
      <c r="N998" s="52"/>
      <c r="O998" s="52"/>
      <c r="P998" s="76" t="s">
        <v>1016</v>
      </c>
      <c r="Q998" s="55">
        <f>-VLOOKUP(E998,'NI-Ric_SP'!$C:$AN,12,FALSE)</f>
        <v>0</v>
      </c>
      <c r="R998" s="55">
        <f>-VLOOKUP(E998,'NI-Ric_SP'!$C:$AN,13,FALSE)</f>
        <v>0</v>
      </c>
      <c r="S998" s="55"/>
      <c r="T998" s="55"/>
      <c r="U998" s="55">
        <f>VLOOKUP($E998,'NI-Ric_SP'!$C:$AN,MID(U$1,1,2),FALSE)</f>
        <v>0</v>
      </c>
      <c r="V998" s="55">
        <f>VLOOKUP($E998,'NI-Ric_SP'!$C:$AN,MID(V$1,1,2),FALSE)</f>
        <v>0</v>
      </c>
      <c r="W998" s="55">
        <f>VLOOKUP($E998,'NI-Ric_SP'!$C:$AN,MID(W$1,1,2),FALSE)</f>
        <v>0</v>
      </c>
      <c r="X998" s="55">
        <f>VLOOKUP($E998,'NI-Ric_SP'!$C:$AN,MID(X$1,1,2),FALSE)</f>
        <v>0</v>
      </c>
      <c r="Y998" s="55">
        <f>VLOOKUP($E998,'NI-Ric_SP'!$C:$AN,MID(Y$1,1,2),FALSE)</f>
        <v>0</v>
      </c>
      <c r="Z998" s="55">
        <f>VLOOKUP($E998,'NI-Ric_SP'!$C:$AN,MID(Z$1,1,2),FALSE)</f>
        <v>0</v>
      </c>
      <c r="AA998" s="55">
        <f>VLOOKUP($E998,'NI-Ric_SP'!$C:$AN,MID(AA$1,1,2),FALSE)</f>
        <v>0</v>
      </c>
      <c r="AB998" s="55">
        <f>VLOOKUP($E998,'NI-Ric_SP'!$C:$AN,MID(AB$1,1,2),FALSE)</f>
        <v>0</v>
      </c>
      <c r="AC998" s="55">
        <f>VLOOKUP($E998,'NI-Ric_SP'!$C:$AN,MID(AC$1,1,2),FALSE)</f>
        <v>0</v>
      </c>
      <c r="AD998" s="55">
        <f>VLOOKUP($E998,'NI-Ric_SP'!$C:$AN,MID(AD$1,1,2),FALSE)</f>
        <v>0</v>
      </c>
      <c r="AE998" s="55">
        <f>VLOOKUP($E998,'NI-Ric_SP'!$C:$AN,MID(AE$1,1,2),FALSE)</f>
        <v>0</v>
      </c>
      <c r="AF998" s="55">
        <f>VLOOKUP($E998,'NI-Ric_SP'!$C:$AN,MID(AF$1,1,2),FALSE)</f>
        <v>0</v>
      </c>
      <c r="AG998" s="55">
        <f>VLOOKUP($E998,'NI-Ric_SP'!$C:$AN,MID(AG$1,1,2),FALSE)</f>
        <v>0</v>
      </c>
      <c r="AH998" s="55">
        <f>VLOOKUP($E998,'NI-Ric_SP'!$C:$AN,MID(AH$1,1,2),FALSE)</f>
        <v>0</v>
      </c>
      <c r="AI998" s="55">
        <f>VLOOKUP($E998,'NI-Ric_SP'!$C:$AN,MID(AI$1,1,2),FALSE)</f>
        <v>0</v>
      </c>
      <c r="AJ998" s="55">
        <f>VLOOKUP($E998,'NI-Ric_SP'!$C:$AN,MID(AJ$1,1,2),FALSE)</f>
        <v>0</v>
      </c>
      <c r="AK998" s="55">
        <f>VLOOKUP($E998,'NI-Ric_SP'!$C:$AN,MID(AK$1,1,2),FALSE)</f>
        <v>0</v>
      </c>
      <c r="AL998" s="55">
        <f>VLOOKUP($E998,'NI-Ric_SP'!$C:$AN,MID(AL$1,1,2),FALSE)</f>
        <v>0</v>
      </c>
      <c r="AM998" s="56">
        <f>VLOOKUP($E998,'NI-Ric_SP'!$C:$AN,MID(AM$1,1,2),FALSE)</f>
        <v>0</v>
      </c>
      <c r="AN998" s="30" t="str">
        <f t="shared" si="15"/>
        <v>10210040020010</v>
      </c>
    </row>
    <row r="999" spans="3:40" x14ac:dyDescent="0.25">
      <c r="C999" s="40"/>
      <c r="D999" s="101" t="s">
        <v>1017</v>
      </c>
      <c r="E999" s="101" t="s">
        <v>1018</v>
      </c>
      <c r="F999" s="102" t="s">
        <v>2750</v>
      </c>
      <c r="G999" s="52"/>
      <c r="H999" s="52"/>
      <c r="I999" s="52"/>
      <c r="J999" s="52"/>
      <c r="K999" s="59" t="s">
        <v>79</v>
      </c>
      <c r="L999" s="52"/>
      <c r="M999" s="52"/>
      <c r="N999" s="52"/>
      <c r="O999" s="52"/>
      <c r="P999" s="76" t="s">
        <v>1019</v>
      </c>
      <c r="Q999" s="55">
        <f>-VLOOKUP(E999,'NI-Ric_SP'!$C:$AN,12,FALSE)</f>
        <v>0</v>
      </c>
      <c r="R999" s="55">
        <f>-VLOOKUP(E999,'NI-Ric_SP'!$C:$AN,13,FALSE)</f>
        <v>0</v>
      </c>
      <c r="S999" s="55"/>
      <c r="T999" s="55"/>
      <c r="U999" s="55">
        <f>VLOOKUP($E999,'NI-Ric_SP'!$C:$AN,MID(U$1,1,2),FALSE)</f>
        <v>0</v>
      </c>
      <c r="V999" s="55">
        <f>VLOOKUP($E999,'NI-Ric_SP'!$C:$AN,MID(V$1,1,2),FALSE)</f>
        <v>0</v>
      </c>
      <c r="W999" s="55">
        <f>VLOOKUP($E999,'NI-Ric_SP'!$C:$AN,MID(W$1,1,2),FALSE)</f>
        <v>0</v>
      </c>
      <c r="X999" s="55">
        <f>VLOOKUP($E999,'NI-Ric_SP'!$C:$AN,MID(X$1,1,2),FALSE)</f>
        <v>0</v>
      </c>
      <c r="Y999" s="55">
        <f>VLOOKUP($E999,'NI-Ric_SP'!$C:$AN,MID(Y$1,1,2),FALSE)</f>
        <v>0</v>
      </c>
      <c r="Z999" s="55">
        <f>VLOOKUP($E999,'NI-Ric_SP'!$C:$AN,MID(Z$1,1,2),FALSE)</f>
        <v>0</v>
      </c>
      <c r="AA999" s="55">
        <f>VLOOKUP($E999,'NI-Ric_SP'!$C:$AN,MID(AA$1,1,2),FALSE)</f>
        <v>0</v>
      </c>
      <c r="AB999" s="55">
        <f>VLOOKUP($E999,'NI-Ric_SP'!$C:$AN,MID(AB$1,1,2),FALSE)</f>
        <v>0</v>
      </c>
      <c r="AC999" s="55">
        <f>VLOOKUP($E999,'NI-Ric_SP'!$C:$AN,MID(AC$1,1,2),FALSE)</f>
        <v>0</v>
      </c>
      <c r="AD999" s="55">
        <f>VLOOKUP($E999,'NI-Ric_SP'!$C:$AN,MID(AD$1,1,2),FALSE)</f>
        <v>0</v>
      </c>
      <c r="AE999" s="55">
        <f>VLOOKUP($E999,'NI-Ric_SP'!$C:$AN,MID(AE$1,1,2),FALSE)</f>
        <v>0</v>
      </c>
      <c r="AF999" s="55">
        <f>VLOOKUP($E999,'NI-Ric_SP'!$C:$AN,MID(AF$1,1,2),FALSE)</f>
        <v>0</v>
      </c>
      <c r="AG999" s="55">
        <f>VLOOKUP($E999,'NI-Ric_SP'!$C:$AN,MID(AG$1,1,2),FALSE)</f>
        <v>0</v>
      </c>
      <c r="AH999" s="55">
        <f>VLOOKUP($E999,'NI-Ric_SP'!$C:$AN,MID(AH$1,1,2),FALSE)</f>
        <v>0</v>
      </c>
      <c r="AI999" s="55">
        <f>VLOOKUP($E999,'NI-Ric_SP'!$C:$AN,MID(AI$1,1,2),FALSE)</f>
        <v>0</v>
      </c>
      <c r="AJ999" s="55">
        <f>VLOOKUP($E999,'NI-Ric_SP'!$C:$AN,MID(AJ$1,1,2),FALSE)</f>
        <v>0</v>
      </c>
      <c r="AK999" s="55">
        <f>VLOOKUP($E999,'NI-Ric_SP'!$C:$AN,MID(AK$1,1,2),FALSE)</f>
        <v>0</v>
      </c>
      <c r="AL999" s="55">
        <f>VLOOKUP($E999,'NI-Ric_SP'!$C:$AN,MID(AL$1,1,2),FALSE)</f>
        <v>0</v>
      </c>
      <c r="AM999" s="56">
        <f>VLOOKUP($E999,'NI-Ric_SP'!$C:$AN,MID(AM$1,1,2),FALSE)</f>
        <v>0</v>
      </c>
      <c r="AN999" s="30" t="str">
        <f t="shared" si="15"/>
        <v>10210040020020</v>
      </c>
    </row>
    <row r="1000" spans="3:40" x14ac:dyDescent="0.25">
      <c r="C1000" s="40"/>
      <c r="D1000" s="101" t="s">
        <v>1020</v>
      </c>
      <c r="E1000" s="101" t="s">
        <v>1021</v>
      </c>
      <c r="F1000" s="102" t="s">
        <v>2750</v>
      </c>
      <c r="G1000" s="52"/>
      <c r="H1000" s="52"/>
      <c r="I1000" s="52" t="s">
        <v>1022</v>
      </c>
      <c r="J1000" s="52" t="s">
        <v>1022</v>
      </c>
      <c r="K1000" s="59" t="s">
        <v>111</v>
      </c>
      <c r="L1000" s="62" t="s">
        <v>1023</v>
      </c>
      <c r="M1000" s="52"/>
      <c r="N1000" s="52"/>
      <c r="O1000" s="61" t="s">
        <v>708</v>
      </c>
      <c r="P1000" s="76" t="s">
        <v>1024</v>
      </c>
      <c r="Q1000" s="55">
        <f>-VLOOKUP(E1000,'NI-Ric_SP'!$C:$AN,12,FALSE)</f>
        <v>0</v>
      </c>
      <c r="R1000" s="55">
        <f>-VLOOKUP(E1000,'NI-Ric_SP'!$C:$AN,13,FALSE)</f>
        <v>0</v>
      </c>
      <c r="S1000" s="55"/>
      <c r="T1000" s="55"/>
      <c r="U1000" s="55">
        <f>VLOOKUP($E1000,'NI-Ric_SP'!$C:$AN,MID(U$1,1,2),FALSE)</f>
        <v>0</v>
      </c>
      <c r="V1000" s="55">
        <f>VLOOKUP($E1000,'NI-Ric_SP'!$C:$AN,MID(V$1,1,2),FALSE)</f>
        <v>0</v>
      </c>
      <c r="W1000" s="55">
        <f>VLOOKUP($E1000,'NI-Ric_SP'!$C:$AN,MID(W$1,1,2),FALSE)</f>
        <v>0</v>
      </c>
      <c r="X1000" s="55">
        <f>VLOOKUP($E1000,'NI-Ric_SP'!$C:$AN,MID(X$1,1,2),FALSE)</f>
        <v>0</v>
      </c>
      <c r="Y1000" s="55">
        <f>VLOOKUP($E1000,'NI-Ric_SP'!$C:$AN,MID(Y$1,1,2),FALSE)</f>
        <v>0</v>
      </c>
      <c r="Z1000" s="55">
        <f>VLOOKUP($E1000,'NI-Ric_SP'!$C:$AN,MID(Z$1,1,2),FALSE)</f>
        <v>0</v>
      </c>
      <c r="AA1000" s="55">
        <f>VLOOKUP($E1000,'NI-Ric_SP'!$C:$AN,MID(AA$1,1,2),FALSE)</f>
        <v>0</v>
      </c>
      <c r="AB1000" s="55">
        <f>VLOOKUP($E1000,'NI-Ric_SP'!$C:$AN,MID(AB$1,1,2),FALSE)</f>
        <v>0</v>
      </c>
      <c r="AC1000" s="55">
        <f>VLOOKUP($E1000,'NI-Ric_SP'!$C:$AN,MID(AC$1,1,2),FALSE)</f>
        <v>0</v>
      </c>
      <c r="AD1000" s="55">
        <f>VLOOKUP($E1000,'NI-Ric_SP'!$C:$AN,MID(AD$1,1,2),FALSE)</f>
        <v>0</v>
      </c>
      <c r="AE1000" s="55">
        <f>VLOOKUP($E1000,'NI-Ric_SP'!$C:$AN,MID(AE$1,1,2),FALSE)</f>
        <v>0</v>
      </c>
      <c r="AF1000" s="55">
        <f>VLOOKUP($E1000,'NI-Ric_SP'!$C:$AN,MID(AF$1,1,2),FALSE)</f>
        <v>0</v>
      </c>
      <c r="AG1000" s="55">
        <f>VLOOKUP($E1000,'NI-Ric_SP'!$C:$AN,MID(AG$1,1,2),FALSE)</f>
        <v>0</v>
      </c>
      <c r="AH1000" s="55">
        <f>VLOOKUP($E1000,'NI-Ric_SP'!$C:$AN,MID(AH$1,1,2),FALSE)</f>
        <v>0</v>
      </c>
      <c r="AI1000" s="55">
        <f>VLOOKUP($E1000,'NI-Ric_SP'!$C:$AN,MID(AI$1,1,2),FALSE)</f>
        <v>0</v>
      </c>
      <c r="AJ1000" s="55">
        <f>VLOOKUP($E1000,'NI-Ric_SP'!$C:$AN,MID(AJ$1,1,2),FALSE)</f>
        <v>0</v>
      </c>
      <c r="AK1000" s="55">
        <f>VLOOKUP($E1000,'NI-Ric_SP'!$C:$AN,MID(AK$1,1,2),FALSE)</f>
        <v>0</v>
      </c>
      <c r="AL1000" s="55">
        <f>VLOOKUP($E1000,'NI-Ric_SP'!$C:$AN,MID(AL$1,1,2),FALSE)</f>
        <v>0</v>
      </c>
      <c r="AM1000" s="56">
        <f>VLOOKUP($E1000,'NI-Ric_SP'!$C:$AN,MID(AM$1,1,2),FALSE)</f>
        <v>0</v>
      </c>
      <c r="AN1000" s="30" t="str">
        <f t="shared" si="15"/>
        <v>10210050000000</v>
      </c>
    </row>
    <row r="1001" spans="3:40" x14ac:dyDescent="0.25">
      <c r="C1001" s="40"/>
      <c r="D1001" s="101" t="s">
        <v>1025</v>
      </c>
      <c r="E1001" s="101" t="s">
        <v>1026</v>
      </c>
      <c r="F1001" s="102" t="s">
        <v>2750</v>
      </c>
      <c r="G1001" s="52"/>
      <c r="H1001" s="52"/>
      <c r="I1001" s="52"/>
      <c r="J1001" s="52"/>
      <c r="K1001" s="59" t="s">
        <v>79</v>
      </c>
      <c r="L1001" s="52"/>
      <c r="M1001" s="52"/>
      <c r="N1001" s="52"/>
      <c r="O1001" s="52"/>
      <c r="P1001" s="76" t="s">
        <v>1027</v>
      </c>
      <c r="Q1001" s="55">
        <f>-VLOOKUP(E1001,'NI-Ric_SP'!$C:$AN,12,FALSE)</f>
        <v>0</v>
      </c>
      <c r="R1001" s="55">
        <f>-VLOOKUP(E1001,'NI-Ric_SP'!$C:$AN,13,FALSE)</f>
        <v>0</v>
      </c>
      <c r="S1001" s="55"/>
      <c r="T1001" s="55"/>
      <c r="U1001" s="55">
        <f>VLOOKUP($E1001,'NI-Ric_SP'!$C:$AN,MID(U$1,1,2),FALSE)</f>
        <v>0</v>
      </c>
      <c r="V1001" s="55">
        <f>VLOOKUP($E1001,'NI-Ric_SP'!$C:$AN,MID(V$1,1,2),FALSE)</f>
        <v>0</v>
      </c>
      <c r="W1001" s="55">
        <f>VLOOKUP($E1001,'NI-Ric_SP'!$C:$AN,MID(W$1,1,2),FALSE)</f>
        <v>0</v>
      </c>
      <c r="X1001" s="55">
        <f>VLOOKUP($E1001,'NI-Ric_SP'!$C:$AN,MID(X$1,1,2),FALSE)</f>
        <v>0</v>
      </c>
      <c r="Y1001" s="55">
        <f>VLOOKUP($E1001,'NI-Ric_SP'!$C:$AN,MID(Y$1,1,2),FALSE)</f>
        <v>0</v>
      </c>
      <c r="Z1001" s="55">
        <f>VLOOKUP($E1001,'NI-Ric_SP'!$C:$AN,MID(Z$1,1,2),FALSE)</f>
        <v>0</v>
      </c>
      <c r="AA1001" s="55">
        <f>VLOOKUP($E1001,'NI-Ric_SP'!$C:$AN,MID(AA$1,1,2),FALSE)</f>
        <v>0</v>
      </c>
      <c r="AB1001" s="55">
        <f>VLOOKUP($E1001,'NI-Ric_SP'!$C:$AN,MID(AB$1,1,2),FALSE)</f>
        <v>0</v>
      </c>
      <c r="AC1001" s="55">
        <f>VLOOKUP($E1001,'NI-Ric_SP'!$C:$AN,MID(AC$1,1,2),FALSE)</f>
        <v>0</v>
      </c>
      <c r="AD1001" s="55">
        <f>VLOOKUP($E1001,'NI-Ric_SP'!$C:$AN,MID(AD$1,1,2),FALSE)</f>
        <v>0</v>
      </c>
      <c r="AE1001" s="55">
        <f>VLOOKUP($E1001,'NI-Ric_SP'!$C:$AN,MID(AE$1,1,2),FALSE)</f>
        <v>0</v>
      </c>
      <c r="AF1001" s="55">
        <f>VLOOKUP($E1001,'NI-Ric_SP'!$C:$AN,MID(AF$1,1,2),FALSE)</f>
        <v>0</v>
      </c>
      <c r="AG1001" s="55">
        <f>VLOOKUP($E1001,'NI-Ric_SP'!$C:$AN,MID(AG$1,1,2),FALSE)</f>
        <v>0</v>
      </c>
      <c r="AH1001" s="55">
        <f>VLOOKUP($E1001,'NI-Ric_SP'!$C:$AN,MID(AH$1,1,2),FALSE)</f>
        <v>0</v>
      </c>
      <c r="AI1001" s="55">
        <f>VLOOKUP($E1001,'NI-Ric_SP'!$C:$AN,MID(AI$1,1,2),FALSE)</f>
        <v>0</v>
      </c>
      <c r="AJ1001" s="55">
        <f>VLOOKUP($E1001,'NI-Ric_SP'!$C:$AN,MID(AJ$1,1,2),FALSE)</f>
        <v>0</v>
      </c>
      <c r="AK1001" s="55">
        <f>VLOOKUP($E1001,'NI-Ric_SP'!$C:$AN,MID(AK$1,1,2),FALSE)</f>
        <v>0</v>
      </c>
      <c r="AL1001" s="55">
        <f>VLOOKUP($E1001,'NI-Ric_SP'!$C:$AN,MID(AL$1,1,2),FALSE)</f>
        <v>0</v>
      </c>
      <c r="AM1001" s="56">
        <f>VLOOKUP($E1001,'NI-Ric_SP'!$C:$AN,MID(AM$1,1,2),FALSE)</f>
        <v>0</v>
      </c>
      <c r="AN1001" s="30" t="str">
        <f t="shared" si="15"/>
        <v>10210050010000</v>
      </c>
    </row>
    <row r="1002" spans="3:40" x14ac:dyDescent="0.25">
      <c r="C1002" s="40"/>
      <c r="D1002" s="101" t="s">
        <v>1028</v>
      </c>
      <c r="E1002" s="101" t="s">
        <v>1029</v>
      </c>
      <c r="F1002" s="102" t="s">
        <v>2750</v>
      </c>
      <c r="G1002" s="52"/>
      <c r="H1002" s="52"/>
      <c r="I1002" s="52"/>
      <c r="J1002" s="52"/>
      <c r="K1002" s="59" t="s">
        <v>79</v>
      </c>
      <c r="L1002" s="52"/>
      <c r="M1002" s="52"/>
      <c r="N1002" s="52"/>
      <c r="O1002" s="52"/>
      <c r="P1002" s="76" t="s">
        <v>1030</v>
      </c>
      <c r="Q1002" s="55">
        <f>-VLOOKUP(E1002,'NI-Ric_SP'!$C:$AN,12,FALSE)</f>
        <v>0</v>
      </c>
      <c r="R1002" s="55">
        <f>-VLOOKUP(E1002,'NI-Ric_SP'!$C:$AN,13,FALSE)</f>
        <v>0</v>
      </c>
      <c r="S1002" s="55"/>
      <c r="T1002" s="55"/>
      <c r="U1002" s="55">
        <f>VLOOKUP($E1002,'NI-Ric_SP'!$C:$AN,MID(U$1,1,2),FALSE)</f>
        <v>0</v>
      </c>
      <c r="V1002" s="55">
        <f>VLOOKUP($E1002,'NI-Ric_SP'!$C:$AN,MID(V$1,1,2),FALSE)</f>
        <v>0</v>
      </c>
      <c r="W1002" s="55">
        <f>VLOOKUP($E1002,'NI-Ric_SP'!$C:$AN,MID(W$1,1,2),FALSE)</f>
        <v>0</v>
      </c>
      <c r="X1002" s="55">
        <f>VLOOKUP($E1002,'NI-Ric_SP'!$C:$AN,MID(X$1,1,2),FALSE)</f>
        <v>0</v>
      </c>
      <c r="Y1002" s="55">
        <f>VLOOKUP($E1002,'NI-Ric_SP'!$C:$AN,MID(Y$1,1,2),FALSE)</f>
        <v>0</v>
      </c>
      <c r="Z1002" s="55">
        <f>VLOOKUP($E1002,'NI-Ric_SP'!$C:$AN,MID(Z$1,1,2),FALSE)</f>
        <v>0</v>
      </c>
      <c r="AA1002" s="55">
        <f>VLOOKUP($E1002,'NI-Ric_SP'!$C:$AN,MID(AA$1,1,2),FALSE)</f>
        <v>0</v>
      </c>
      <c r="AB1002" s="55">
        <f>VLOOKUP($E1002,'NI-Ric_SP'!$C:$AN,MID(AB$1,1,2),FALSE)</f>
        <v>0</v>
      </c>
      <c r="AC1002" s="55">
        <f>VLOOKUP($E1002,'NI-Ric_SP'!$C:$AN,MID(AC$1,1,2),FALSE)</f>
        <v>0</v>
      </c>
      <c r="AD1002" s="55">
        <f>VLOOKUP($E1002,'NI-Ric_SP'!$C:$AN,MID(AD$1,1,2),FALSE)</f>
        <v>0</v>
      </c>
      <c r="AE1002" s="55">
        <f>VLOOKUP($E1002,'NI-Ric_SP'!$C:$AN,MID(AE$1,1,2),FALSE)</f>
        <v>0</v>
      </c>
      <c r="AF1002" s="55">
        <f>VLOOKUP($E1002,'NI-Ric_SP'!$C:$AN,MID(AF$1,1,2),FALSE)</f>
        <v>0</v>
      </c>
      <c r="AG1002" s="55">
        <f>VLOOKUP($E1002,'NI-Ric_SP'!$C:$AN,MID(AG$1,1,2),FALSE)</f>
        <v>0</v>
      </c>
      <c r="AH1002" s="55">
        <f>VLOOKUP($E1002,'NI-Ric_SP'!$C:$AN,MID(AH$1,1,2),FALSE)</f>
        <v>0</v>
      </c>
      <c r="AI1002" s="55">
        <f>VLOOKUP($E1002,'NI-Ric_SP'!$C:$AN,MID(AI$1,1,2),FALSE)</f>
        <v>0</v>
      </c>
      <c r="AJ1002" s="55">
        <f>VLOOKUP($E1002,'NI-Ric_SP'!$C:$AN,MID(AJ$1,1,2),FALSE)</f>
        <v>0</v>
      </c>
      <c r="AK1002" s="55">
        <f>VLOOKUP($E1002,'NI-Ric_SP'!$C:$AN,MID(AK$1,1,2),FALSE)</f>
        <v>0</v>
      </c>
      <c r="AL1002" s="55">
        <f>VLOOKUP($E1002,'NI-Ric_SP'!$C:$AN,MID(AL$1,1,2),FALSE)</f>
        <v>0</v>
      </c>
      <c r="AM1002" s="56">
        <f>VLOOKUP($E1002,'NI-Ric_SP'!$C:$AN,MID(AM$1,1,2),FALSE)</f>
        <v>0</v>
      </c>
      <c r="AN1002" s="30" t="str">
        <f t="shared" si="15"/>
        <v>10210050020000</v>
      </c>
    </row>
    <row r="1003" spans="3:40" x14ac:dyDescent="0.25">
      <c r="C1003" s="40"/>
      <c r="D1003" s="101" t="s">
        <v>1031</v>
      </c>
      <c r="E1003" s="101" t="s">
        <v>1032</v>
      </c>
      <c r="F1003" s="102" t="s">
        <v>2750</v>
      </c>
      <c r="G1003" s="52"/>
      <c r="H1003" s="52"/>
      <c r="I1003" s="52" t="s">
        <v>1033</v>
      </c>
      <c r="J1003" s="52" t="s">
        <v>1033</v>
      </c>
      <c r="K1003" s="59" t="s">
        <v>111</v>
      </c>
      <c r="L1003" s="62" t="s">
        <v>1034</v>
      </c>
      <c r="M1003" s="52"/>
      <c r="N1003" s="52"/>
      <c r="O1003" s="61" t="s">
        <v>770</v>
      </c>
      <c r="P1003" s="76" t="s">
        <v>1035</v>
      </c>
      <c r="Q1003" s="55">
        <f>-VLOOKUP(E1003,'NI-Ric_SP'!$C:$AN,12,FALSE)</f>
        <v>0</v>
      </c>
      <c r="R1003" s="55">
        <f>-VLOOKUP(E1003,'NI-Ric_SP'!$C:$AN,13,FALSE)</f>
        <v>0</v>
      </c>
      <c r="S1003" s="55"/>
      <c r="T1003" s="55"/>
      <c r="U1003" s="55">
        <f>VLOOKUP($E1003,'NI-Ric_SP'!$C:$AN,MID(U$1,1,2),FALSE)</f>
        <v>0</v>
      </c>
      <c r="V1003" s="55">
        <f>VLOOKUP($E1003,'NI-Ric_SP'!$C:$AN,MID(V$1,1,2),FALSE)</f>
        <v>0</v>
      </c>
      <c r="W1003" s="55">
        <f>VLOOKUP($E1003,'NI-Ric_SP'!$C:$AN,MID(W$1,1,2),FALSE)</f>
        <v>0</v>
      </c>
      <c r="X1003" s="55">
        <f>VLOOKUP($E1003,'NI-Ric_SP'!$C:$AN,MID(X$1,1,2),FALSE)</f>
        <v>0</v>
      </c>
      <c r="Y1003" s="55">
        <f>VLOOKUP($E1003,'NI-Ric_SP'!$C:$AN,MID(Y$1,1,2),FALSE)</f>
        <v>0</v>
      </c>
      <c r="Z1003" s="55">
        <f>VLOOKUP($E1003,'NI-Ric_SP'!$C:$AN,MID(Z$1,1,2),FALSE)</f>
        <v>0</v>
      </c>
      <c r="AA1003" s="55">
        <f>VLOOKUP($E1003,'NI-Ric_SP'!$C:$AN,MID(AA$1,1,2),FALSE)</f>
        <v>0</v>
      </c>
      <c r="AB1003" s="55">
        <f>VLOOKUP($E1003,'NI-Ric_SP'!$C:$AN,MID(AB$1,1,2),FALSE)</f>
        <v>0</v>
      </c>
      <c r="AC1003" s="55">
        <f>VLOOKUP($E1003,'NI-Ric_SP'!$C:$AN,MID(AC$1,1,2),FALSE)</f>
        <v>0</v>
      </c>
      <c r="AD1003" s="55">
        <f>VLOOKUP($E1003,'NI-Ric_SP'!$C:$AN,MID(AD$1,1,2),FALSE)</f>
        <v>0</v>
      </c>
      <c r="AE1003" s="55">
        <f>VLOOKUP($E1003,'NI-Ric_SP'!$C:$AN,MID(AE$1,1,2),FALSE)</f>
        <v>0</v>
      </c>
      <c r="AF1003" s="55">
        <f>VLOOKUP($E1003,'NI-Ric_SP'!$C:$AN,MID(AF$1,1,2),FALSE)</f>
        <v>0</v>
      </c>
      <c r="AG1003" s="55">
        <f>VLOOKUP($E1003,'NI-Ric_SP'!$C:$AN,MID(AG$1,1,2),FALSE)</f>
        <v>0</v>
      </c>
      <c r="AH1003" s="55">
        <f>VLOOKUP($E1003,'NI-Ric_SP'!$C:$AN,MID(AH$1,1,2),FALSE)</f>
        <v>0</v>
      </c>
      <c r="AI1003" s="55">
        <f>VLOOKUP($E1003,'NI-Ric_SP'!$C:$AN,MID(AI$1,1,2),FALSE)</f>
        <v>0</v>
      </c>
      <c r="AJ1003" s="55">
        <f>VLOOKUP($E1003,'NI-Ric_SP'!$C:$AN,MID(AJ$1,1,2),FALSE)</f>
        <v>0</v>
      </c>
      <c r="AK1003" s="55">
        <f>VLOOKUP($E1003,'NI-Ric_SP'!$C:$AN,MID(AK$1,1,2),FALSE)</f>
        <v>0</v>
      </c>
      <c r="AL1003" s="55">
        <f>VLOOKUP($E1003,'NI-Ric_SP'!$C:$AN,MID(AL$1,1,2),FALSE)</f>
        <v>0</v>
      </c>
      <c r="AM1003" s="56">
        <f>VLOOKUP($E1003,'NI-Ric_SP'!$C:$AN,MID(AM$1,1,2),FALSE)</f>
        <v>0</v>
      </c>
      <c r="AN1003" s="30" t="str">
        <f t="shared" si="15"/>
        <v>10210060000000</v>
      </c>
    </row>
    <row r="1004" spans="3:40" x14ac:dyDescent="0.25">
      <c r="C1004" s="40"/>
      <c r="D1004" s="101" t="s">
        <v>1036</v>
      </c>
      <c r="E1004" s="101" t="s">
        <v>1037</v>
      </c>
      <c r="F1004" s="102" t="s">
        <v>2750</v>
      </c>
      <c r="G1004" s="52"/>
      <c r="H1004" s="52"/>
      <c r="I1004" s="52"/>
      <c r="J1004" s="52"/>
      <c r="K1004" s="59" t="s">
        <v>79</v>
      </c>
      <c r="L1004" s="52"/>
      <c r="M1004" s="52"/>
      <c r="N1004" s="52"/>
      <c r="O1004" s="52"/>
      <c r="P1004" s="76" t="s">
        <v>1038</v>
      </c>
      <c r="Q1004" s="55">
        <f>-VLOOKUP(E1004,'NI-Ric_SP'!$C:$AN,12,FALSE)</f>
        <v>0</v>
      </c>
      <c r="R1004" s="55">
        <f>-VLOOKUP(E1004,'NI-Ric_SP'!$C:$AN,13,FALSE)</f>
        <v>0</v>
      </c>
      <c r="S1004" s="55"/>
      <c r="T1004" s="55"/>
      <c r="U1004" s="55">
        <f>VLOOKUP($E1004,'NI-Ric_SP'!$C:$AN,MID(U$1,1,2),FALSE)</f>
        <v>0</v>
      </c>
      <c r="V1004" s="55">
        <f>VLOOKUP($E1004,'NI-Ric_SP'!$C:$AN,MID(V$1,1,2),FALSE)</f>
        <v>0</v>
      </c>
      <c r="W1004" s="55">
        <f>VLOOKUP($E1004,'NI-Ric_SP'!$C:$AN,MID(W$1,1,2),FALSE)</f>
        <v>0</v>
      </c>
      <c r="X1004" s="55">
        <f>VLOOKUP($E1004,'NI-Ric_SP'!$C:$AN,MID(X$1,1,2),FALSE)</f>
        <v>0</v>
      </c>
      <c r="Y1004" s="55">
        <f>VLOOKUP($E1004,'NI-Ric_SP'!$C:$AN,MID(Y$1,1,2),FALSE)</f>
        <v>0</v>
      </c>
      <c r="Z1004" s="55">
        <f>VLOOKUP($E1004,'NI-Ric_SP'!$C:$AN,MID(Z$1,1,2),FALSE)</f>
        <v>0</v>
      </c>
      <c r="AA1004" s="55">
        <f>VLOOKUP($E1004,'NI-Ric_SP'!$C:$AN,MID(AA$1,1,2),FALSE)</f>
        <v>0</v>
      </c>
      <c r="AB1004" s="55">
        <f>VLOOKUP($E1004,'NI-Ric_SP'!$C:$AN,MID(AB$1,1,2),FALSE)</f>
        <v>0</v>
      </c>
      <c r="AC1004" s="55">
        <f>VLOOKUP($E1004,'NI-Ric_SP'!$C:$AN,MID(AC$1,1,2),FALSE)</f>
        <v>0</v>
      </c>
      <c r="AD1004" s="55">
        <f>VLOOKUP($E1004,'NI-Ric_SP'!$C:$AN,MID(AD$1,1,2),FALSE)</f>
        <v>0</v>
      </c>
      <c r="AE1004" s="55">
        <f>VLOOKUP($E1004,'NI-Ric_SP'!$C:$AN,MID(AE$1,1,2),FALSE)</f>
        <v>0</v>
      </c>
      <c r="AF1004" s="55">
        <f>VLOOKUP($E1004,'NI-Ric_SP'!$C:$AN,MID(AF$1,1,2),FALSE)</f>
        <v>0</v>
      </c>
      <c r="AG1004" s="55">
        <f>VLOOKUP($E1004,'NI-Ric_SP'!$C:$AN,MID(AG$1,1,2),FALSE)</f>
        <v>0</v>
      </c>
      <c r="AH1004" s="55">
        <f>VLOOKUP($E1004,'NI-Ric_SP'!$C:$AN,MID(AH$1,1,2),FALSE)</f>
        <v>0</v>
      </c>
      <c r="AI1004" s="55">
        <f>VLOOKUP($E1004,'NI-Ric_SP'!$C:$AN,MID(AI$1,1,2),FALSE)</f>
        <v>0</v>
      </c>
      <c r="AJ1004" s="55">
        <f>VLOOKUP($E1004,'NI-Ric_SP'!$C:$AN,MID(AJ$1,1,2),FALSE)</f>
        <v>0</v>
      </c>
      <c r="AK1004" s="55">
        <f>VLOOKUP($E1004,'NI-Ric_SP'!$C:$AN,MID(AK$1,1,2),FALSE)</f>
        <v>0</v>
      </c>
      <c r="AL1004" s="55">
        <f>VLOOKUP($E1004,'NI-Ric_SP'!$C:$AN,MID(AL$1,1,2),FALSE)</f>
        <v>0</v>
      </c>
      <c r="AM1004" s="56">
        <f>VLOOKUP($E1004,'NI-Ric_SP'!$C:$AN,MID(AM$1,1,2),FALSE)</f>
        <v>0</v>
      </c>
      <c r="AN1004" s="30" t="str">
        <f t="shared" si="15"/>
        <v>10210060010000</v>
      </c>
    </row>
    <row r="1005" spans="3:40" x14ac:dyDescent="0.25">
      <c r="C1005" s="40"/>
      <c r="D1005" s="101" t="s">
        <v>1039</v>
      </c>
      <c r="E1005" s="101" t="s">
        <v>1040</v>
      </c>
      <c r="F1005" s="102" t="s">
        <v>2750</v>
      </c>
      <c r="G1005" s="52"/>
      <c r="H1005" s="52"/>
      <c r="I1005" s="52"/>
      <c r="J1005" s="52"/>
      <c r="K1005" s="59" t="s">
        <v>79</v>
      </c>
      <c r="L1005" s="52"/>
      <c r="M1005" s="52"/>
      <c r="N1005" s="52"/>
      <c r="O1005" s="52"/>
      <c r="P1005" s="76" t="s">
        <v>1041</v>
      </c>
      <c r="Q1005" s="55">
        <f>-VLOOKUP(E1005,'NI-Ric_SP'!$C:$AN,12,FALSE)</f>
        <v>0</v>
      </c>
      <c r="R1005" s="55">
        <f>-VLOOKUP(E1005,'NI-Ric_SP'!$C:$AN,13,FALSE)</f>
        <v>0</v>
      </c>
      <c r="S1005" s="55"/>
      <c r="T1005" s="55"/>
      <c r="U1005" s="55">
        <f>VLOOKUP($E1005,'NI-Ric_SP'!$C:$AN,MID(U$1,1,2),FALSE)</f>
        <v>0</v>
      </c>
      <c r="V1005" s="55">
        <f>VLOOKUP($E1005,'NI-Ric_SP'!$C:$AN,MID(V$1,1,2),FALSE)</f>
        <v>0</v>
      </c>
      <c r="W1005" s="55">
        <f>VLOOKUP($E1005,'NI-Ric_SP'!$C:$AN,MID(W$1,1,2),FALSE)</f>
        <v>0</v>
      </c>
      <c r="X1005" s="55">
        <f>VLOOKUP($E1005,'NI-Ric_SP'!$C:$AN,MID(X$1,1,2),FALSE)</f>
        <v>0</v>
      </c>
      <c r="Y1005" s="55">
        <f>VLOOKUP($E1005,'NI-Ric_SP'!$C:$AN,MID(Y$1,1,2),FALSE)</f>
        <v>0</v>
      </c>
      <c r="Z1005" s="55">
        <f>VLOOKUP($E1005,'NI-Ric_SP'!$C:$AN,MID(Z$1,1,2),FALSE)</f>
        <v>0</v>
      </c>
      <c r="AA1005" s="55">
        <f>VLOOKUP($E1005,'NI-Ric_SP'!$C:$AN,MID(AA$1,1,2),FALSE)</f>
        <v>0</v>
      </c>
      <c r="AB1005" s="55">
        <f>VLOOKUP($E1005,'NI-Ric_SP'!$C:$AN,MID(AB$1,1,2),FALSE)</f>
        <v>0</v>
      </c>
      <c r="AC1005" s="55">
        <f>VLOOKUP($E1005,'NI-Ric_SP'!$C:$AN,MID(AC$1,1,2),FALSE)</f>
        <v>0</v>
      </c>
      <c r="AD1005" s="55">
        <f>VLOOKUP($E1005,'NI-Ric_SP'!$C:$AN,MID(AD$1,1,2),FALSE)</f>
        <v>0</v>
      </c>
      <c r="AE1005" s="55">
        <f>VLOOKUP($E1005,'NI-Ric_SP'!$C:$AN,MID(AE$1,1,2),FALSE)</f>
        <v>0</v>
      </c>
      <c r="AF1005" s="55">
        <f>VLOOKUP($E1005,'NI-Ric_SP'!$C:$AN,MID(AF$1,1,2),FALSE)</f>
        <v>0</v>
      </c>
      <c r="AG1005" s="55">
        <f>VLOOKUP($E1005,'NI-Ric_SP'!$C:$AN,MID(AG$1,1,2),FALSE)</f>
        <v>0</v>
      </c>
      <c r="AH1005" s="55">
        <f>VLOOKUP($E1005,'NI-Ric_SP'!$C:$AN,MID(AH$1,1,2),FALSE)</f>
        <v>0</v>
      </c>
      <c r="AI1005" s="55">
        <f>VLOOKUP($E1005,'NI-Ric_SP'!$C:$AN,MID(AI$1,1,2),FALSE)</f>
        <v>0</v>
      </c>
      <c r="AJ1005" s="55">
        <f>VLOOKUP($E1005,'NI-Ric_SP'!$C:$AN,MID(AJ$1,1,2),FALSE)</f>
        <v>0</v>
      </c>
      <c r="AK1005" s="55">
        <f>VLOOKUP($E1005,'NI-Ric_SP'!$C:$AN,MID(AK$1,1,2),FALSE)</f>
        <v>0</v>
      </c>
      <c r="AL1005" s="55">
        <f>VLOOKUP($E1005,'NI-Ric_SP'!$C:$AN,MID(AL$1,1,2),FALSE)</f>
        <v>0</v>
      </c>
      <c r="AM1005" s="56">
        <f>VLOOKUP($E1005,'NI-Ric_SP'!$C:$AN,MID(AM$1,1,2),FALSE)</f>
        <v>0</v>
      </c>
      <c r="AN1005" s="30" t="str">
        <f t="shared" si="15"/>
        <v>10210060020000</v>
      </c>
    </row>
    <row r="1006" spans="3:40" x14ac:dyDescent="0.25">
      <c r="C1006" s="40"/>
      <c r="D1006" s="101" t="s">
        <v>1042</v>
      </c>
      <c r="E1006" s="101" t="s">
        <v>1043</v>
      </c>
      <c r="F1006" s="102" t="s">
        <v>2750</v>
      </c>
      <c r="G1006" s="52"/>
      <c r="H1006" s="52"/>
      <c r="I1006" s="52" t="s">
        <v>1044</v>
      </c>
      <c r="J1006" s="52" t="s">
        <v>1044</v>
      </c>
      <c r="K1006" s="59" t="s">
        <v>111</v>
      </c>
      <c r="L1006" s="62" t="s">
        <v>1045</v>
      </c>
      <c r="M1006" s="52"/>
      <c r="N1006" s="52"/>
      <c r="O1006" s="61" t="s">
        <v>845</v>
      </c>
      <c r="P1006" s="76" t="s">
        <v>1046</v>
      </c>
      <c r="Q1006" s="55">
        <f>-VLOOKUP(E1006,'NI-Ric_SP'!$C:$AN,12,FALSE)</f>
        <v>0</v>
      </c>
      <c r="R1006" s="55">
        <f>-VLOOKUP(E1006,'NI-Ric_SP'!$C:$AN,13,FALSE)</f>
        <v>0</v>
      </c>
      <c r="S1006" s="55"/>
      <c r="T1006" s="55"/>
      <c r="U1006" s="55">
        <f>VLOOKUP($E1006,'NI-Ric_SP'!$C:$AN,MID(U$1,1,2),FALSE)</f>
        <v>0</v>
      </c>
      <c r="V1006" s="55">
        <f>VLOOKUP($E1006,'NI-Ric_SP'!$C:$AN,MID(V$1,1,2),FALSE)</f>
        <v>0</v>
      </c>
      <c r="W1006" s="55">
        <f>VLOOKUP($E1006,'NI-Ric_SP'!$C:$AN,MID(W$1,1,2),FALSE)</f>
        <v>0</v>
      </c>
      <c r="X1006" s="55">
        <f>VLOOKUP($E1006,'NI-Ric_SP'!$C:$AN,MID(X$1,1,2),FALSE)</f>
        <v>0</v>
      </c>
      <c r="Y1006" s="55">
        <f>VLOOKUP($E1006,'NI-Ric_SP'!$C:$AN,MID(Y$1,1,2),FALSE)</f>
        <v>0</v>
      </c>
      <c r="Z1006" s="55">
        <f>VLOOKUP($E1006,'NI-Ric_SP'!$C:$AN,MID(Z$1,1,2),FALSE)</f>
        <v>0</v>
      </c>
      <c r="AA1006" s="55">
        <f>VLOOKUP($E1006,'NI-Ric_SP'!$C:$AN,MID(AA$1,1,2),FALSE)</f>
        <v>0</v>
      </c>
      <c r="AB1006" s="55">
        <f>VLOOKUP($E1006,'NI-Ric_SP'!$C:$AN,MID(AB$1,1,2),FALSE)</f>
        <v>0</v>
      </c>
      <c r="AC1006" s="55">
        <f>VLOOKUP($E1006,'NI-Ric_SP'!$C:$AN,MID(AC$1,1,2),FALSE)</f>
        <v>0</v>
      </c>
      <c r="AD1006" s="55">
        <f>VLOOKUP($E1006,'NI-Ric_SP'!$C:$AN,MID(AD$1,1,2),FALSE)</f>
        <v>0</v>
      </c>
      <c r="AE1006" s="55">
        <f>VLOOKUP($E1006,'NI-Ric_SP'!$C:$AN,MID(AE$1,1,2),FALSE)</f>
        <v>0</v>
      </c>
      <c r="AF1006" s="55">
        <f>VLOOKUP($E1006,'NI-Ric_SP'!$C:$AN,MID(AF$1,1,2),FALSE)</f>
        <v>0</v>
      </c>
      <c r="AG1006" s="55">
        <f>VLOOKUP($E1006,'NI-Ric_SP'!$C:$AN,MID(AG$1,1,2),FALSE)</f>
        <v>0</v>
      </c>
      <c r="AH1006" s="55">
        <f>VLOOKUP($E1006,'NI-Ric_SP'!$C:$AN,MID(AH$1,1,2),FALSE)</f>
        <v>0</v>
      </c>
      <c r="AI1006" s="55">
        <f>VLOOKUP($E1006,'NI-Ric_SP'!$C:$AN,MID(AI$1,1,2),FALSE)</f>
        <v>0</v>
      </c>
      <c r="AJ1006" s="55">
        <f>VLOOKUP($E1006,'NI-Ric_SP'!$C:$AN,MID(AJ$1,1,2),FALSE)</f>
        <v>0</v>
      </c>
      <c r="AK1006" s="55">
        <f>VLOOKUP($E1006,'NI-Ric_SP'!$C:$AN,MID(AK$1,1,2),FALSE)</f>
        <v>0</v>
      </c>
      <c r="AL1006" s="55">
        <f>VLOOKUP($E1006,'NI-Ric_SP'!$C:$AN,MID(AL$1,1,2),FALSE)</f>
        <v>0</v>
      </c>
      <c r="AM1006" s="56">
        <f>VLOOKUP($E1006,'NI-Ric_SP'!$C:$AN,MID(AM$1,1,2),FALSE)</f>
        <v>0</v>
      </c>
      <c r="AN1006" s="30" t="str">
        <f t="shared" si="15"/>
        <v>10210070000000</v>
      </c>
    </row>
    <row r="1007" spans="3:40" x14ac:dyDescent="0.25">
      <c r="C1007" s="40"/>
      <c r="D1007" s="101" t="s">
        <v>1047</v>
      </c>
      <c r="E1007" s="101" t="s">
        <v>1048</v>
      </c>
      <c r="F1007" s="102" t="s">
        <v>2750</v>
      </c>
      <c r="G1007" s="52"/>
      <c r="H1007" s="52"/>
      <c r="I1007" s="52"/>
      <c r="J1007" s="52"/>
      <c r="K1007" s="59" t="s">
        <v>79</v>
      </c>
      <c r="L1007" s="52"/>
      <c r="M1007" s="52"/>
      <c r="N1007" s="52"/>
      <c r="O1007" s="52"/>
      <c r="P1007" s="76" t="s">
        <v>1049</v>
      </c>
      <c r="Q1007" s="55">
        <f>-VLOOKUP(E1007,'NI-Ric_SP'!$C:$AN,12,FALSE)</f>
        <v>0</v>
      </c>
      <c r="R1007" s="55">
        <f>-VLOOKUP(E1007,'NI-Ric_SP'!$C:$AN,13,FALSE)</f>
        <v>0</v>
      </c>
      <c r="S1007" s="55"/>
      <c r="T1007" s="55"/>
      <c r="U1007" s="55">
        <f>VLOOKUP($E1007,'NI-Ric_SP'!$C:$AN,MID(U$1,1,2),FALSE)</f>
        <v>0</v>
      </c>
      <c r="V1007" s="55">
        <f>VLOOKUP($E1007,'NI-Ric_SP'!$C:$AN,MID(V$1,1,2),FALSE)</f>
        <v>0</v>
      </c>
      <c r="W1007" s="55">
        <f>VLOOKUP($E1007,'NI-Ric_SP'!$C:$AN,MID(W$1,1,2),FALSE)</f>
        <v>0</v>
      </c>
      <c r="X1007" s="55">
        <f>VLOOKUP($E1007,'NI-Ric_SP'!$C:$AN,MID(X$1,1,2),FALSE)</f>
        <v>0</v>
      </c>
      <c r="Y1007" s="55">
        <f>VLOOKUP($E1007,'NI-Ric_SP'!$C:$AN,MID(Y$1,1,2),FALSE)</f>
        <v>0</v>
      </c>
      <c r="Z1007" s="55">
        <f>VLOOKUP($E1007,'NI-Ric_SP'!$C:$AN,MID(Z$1,1,2),FALSE)</f>
        <v>0</v>
      </c>
      <c r="AA1007" s="55">
        <f>VLOOKUP($E1007,'NI-Ric_SP'!$C:$AN,MID(AA$1,1,2),FALSE)</f>
        <v>0</v>
      </c>
      <c r="AB1007" s="55">
        <f>VLOOKUP($E1007,'NI-Ric_SP'!$C:$AN,MID(AB$1,1,2),FALSE)</f>
        <v>0</v>
      </c>
      <c r="AC1007" s="55">
        <f>VLOOKUP($E1007,'NI-Ric_SP'!$C:$AN,MID(AC$1,1,2),FALSE)</f>
        <v>0</v>
      </c>
      <c r="AD1007" s="55">
        <f>VLOOKUP($E1007,'NI-Ric_SP'!$C:$AN,MID(AD$1,1,2),FALSE)</f>
        <v>0</v>
      </c>
      <c r="AE1007" s="55">
        <f>VLOOKUP($E1007,'NI-Ric_SP'!$C:$AN,MID(AE$1,1,2),FALSE)</f>
        <v>0</v>
      </c>
      <c r="AF1007" s="55">
        <f>VLOOKUP($E1007,'NI-Ric_SP'!$C:$AN,MID(AF$1,1,2),FALSE)</f>
        <v>0</v>
      </c>
      <c r="AG1007" s="55">
        <f>VLOOKUP($E1007,'NI-Ric_SP'!$C:$AN,MID(AG$1,1,2),FALSE)</f>
        <v>0</v>
      </c>
      <c r="AH1007" s="55">
        <f>VLOOKUP($E1007,'NI-Ric_SP'!$C:$AN,MID(AH$1,1,2),FALSE)</f>
        <v>0</v>
      </c>
      <c r="AI1007" s="55">
        <f>VLOOKUP($E1007,'NI-Ric_SP'!$C:$AN,MID(AI$1,1,2),FALSE)</f>
        <v>0</v>
      </c>
      <c r="AJ1007" s="55">
        <f>VLOOKUP($E1007,'NI-Ric_SP'!$C:$AN,MID(AJ$1,1,2),FALSE)</f>
        <v>0</v>
      </c>
      <c r="AK1007" s="55">
        <f>VLOOKUP($E1007,'NI-Ric_SP'!$C:$AN,MID(AK$1,1,2),FALSE)</f>
        <v>0</v>
      </c>
      <c r="AL1007" s="55">
        <f>VLOOKUP($E1007,'NI-Ric_SP'!$C:$AN,MID(AL$1,1,2),FALSE)</f>
        <v>0</v>
      </c>
      <c r="AM1007" s="56">
        <f>VLOOKUP($E1007,'NI-Ric_SP'!$C:$AN,MID(AM$1,1,2),FALSE)</f>
        <v>0</v>
      </c>
      <c r="AN1007" s="30" t="str">
        <f t="shared" si="15"/>
        <v>10210070010000</v>
      </c>
    </row>
    <row r="1008" spans="3:40" x14ac:dyDescent="0.25">
      <c r="C1008" s="40"/>
      <c r="D1008" s="101" t="s">
        <v>1050</v>
      </c>
      <c r="E1008" s="101" t="s">
        <v>1051</v>
      </c>
      <c r="F1008" s="102" t="s">
        <v>2750</v>
      </c>
      <c r="G1008" s="52"/>
      <c r="H1008" s="52"/>
      <c r="I1008" s="52" t="s">
        <v>1052</v>
      </c>
      <c r="J1008" s="52" t="s">
        <v>1052</v>
      </c>
      <c r="K1008" s="59" t="s">
        <v>111</v>
      </c>
      <c r="L1008" s="62" t="s">
        <v>1053</v>
      </c>
      <c r="M1008" s="52"/>
      <c r="N1008" s="52"/>
      <c r="O1008" s="61" t="s">
        <v>856</v>
      </c>
      <c r="P1008" s="76" t="s">
        <v>1054</v>
      </c>
      <c r="Q1008" s="55">
        <f>-VLOOKUP(E1008,'NI-Ric_SP'!$C:$AN,12,FALSE)</f>
        <v>0</v>
      </c>
      <c r="R1008" s="55">
        <f>-VLOOKUP(E1008,'NI-Ric_SP'!$C:$AN,13,FALSE)</f>
        <v>0</v>
      </c>
      <c r="S1008" s="55"/>
      <c r="T1008" s="55"/>
      <c r="U1008" s="55">
        <f>VLOOKUP($E1008,'NI-Ric_SP'!$C:$AN,MID(U$1,1,2),FALSE)</f>
        <v>0</v>
      </c>
      <c r="V1008" s="55">
        <f>VLOOKUP($E1008,'NI-Ric_SP'!$C:$AN,MID(V$1,1,2),FALSE)</f>
        <v>0</v>
      </c>
      <c r="W1008" s="55">
        <f>VLOOKUP($E1008,'NI-Ric_SP'!$C:$AN,MID(W$1,1,2),FALSE)</f>
        <v>0</v>
      </c>
      <c r="X1008" s="55">
        <f>VLOOKUP($E1008,'NI-Ric_SP'!$C:$AN,MID(X$1,1,2),FALSE)</f>
        <v>0</v>
      </c>
      <c r="Y1008" s="55">
        <f>VLOOKUP($E1008,'NI-Ric_SP'!$C:$AN,MID(Y$1,1,2),FALSE)</f>
        <v>0</v>
      </c>
      <c r="Z1008" s="55">
        <f>VLOOKUP($E1008,'NI-Ric_SP'!$C:$AN,MID(Z$1,1,2),FALSE)</f>
        <v>0</v>
      </c>
      <c r="AA1008" s="55">
        <f>VLOOKUP($E1008,'NI-Ric_SP'!$C:$AN,MID(AA$1,1,2),FALSE)</f>
        <v>0</v>
      </c>
      <c r="AB1008" s="55">
        <f>VLOOKUP($E1008,'NI-Ric_SP'!$C:$AN,MID(AB$1,1,2),FALSE)</f>
        <v>0</v>
      </c>
      <c r="AC1008" s="55">
        <f>VLOOKUP($E1008,'NI-Ric_SP'!$C:$AN,MID(AC$1,1,2),FALSE)</f>
        <v>0</v>
      </c>
      <c r="AD1008" s="55">
        <f>VLOOKUP($E1008,'NI-Ric_SP'!$C:$AN,MID(AD$1,1,2),FALSE)</f>
        <v>0</v>
      </c>
      <c r="AE1008" s="55">
        <f>VLOOKUP($E1008,'NI-Ric_SP'!$C:$AN,MID(AE$1,1,2),FALSE)</f>
        <v>0</v>
      </c>
      <c r="AF1008" s="55">
        <f>VLOOKUP($E1008,'NI-Ric_SP'!$C:$AN,MID(AF$1,1,2),FALSE)</f>
        <v>0</v>
      </c>
      <c r="AG1008" s="55">
        <f>VLOOKUP($E1008,'NI-Ric_SP'!$C:$AN,MID(AG$1,1,2),FALSE)</f>
        <v>0</v>
      </c>
      <c r="AH1008" s="55">
        <f>VLOOKUP($E1008,'NI-Ric_SP'!$C:$AN,MID(AH$1,1,2),FALSE)</f>
        <v>0</v>
      </c>
      <c r="AI1008" s="55">
        <f>VLOOKUP($E1008,'NI-Ric_SP'!$C:$AN,MID(AI$1,1,2),FALSE)</f>
        <v>0</v>
      </c>
      <c r="AJ1008" s="55">
        <f>VLOOKUP($E1008,'NI-Ric_SP'!$C:$AN,MID(AJ$1,1,2),FALSE)</f>
        <v>0</v>
      </c>
      <c r="AK1008" s="55">
        <f>VLOOKUP($E1008,'NI-Ric_SP'!$C:$AN,MID(AK$1,1,2),FALSE)</f>
        <v>0</v>
      </c>
      <c r="AL1008" s="55">
        <f>VLOOKUP($E1008,'NI-Ric_SP'!$C:$AN,MID(AL$1,1,2),FALSE)</f>
        <v>0</v>
      </c>
      <c r="AM1008" s="56">
        <f>VLOOKUP($E1008,'NI-Ric_SP'!$C:$AN,MID(AM$1,1,2),FALSE)</f>
        <v>0</v>
      </c>
      <c r="AN1008" s="30" t="str">
        <f t="shared" si="15"/>
        <v>10210080000000</v>
      </c>
    </row>
    <row r="1009" spans="3:40" x14ac:dyDescent="0.25">
      <c r="C1009" s="40"/>
      <c r="D1009" s="101" t="s">
        <v>1055</v>
      </c>
      <c r="E1009" s="101" t="s">
        <v>1056</v>
      </c>
      <c r="F1009" s="102" t="s">
        <v>2750</v>
      </c>
      <c r="G1009" s="52"/>
      <c r="H1009" s="52"/>
      <c r="I1009" s="52"/>
      <c r="J1009" s="52"/>
      <c r="K1009" s="59" t="s">
        <v>79</v>
      </c>
      <c r="L1009" s="52"/>
      <c r="M1009" s="52"/>
      <c r="N1009" s="52"/>
      <c r="O1009" s="52"/>
      <c r="P1009" s="76" t="s">
        <v>1057</v>
      </c>
      <c r="Q1009" s="55">
        <f>-VLOOKUP(E1009,'NI-Ric_SP'!$C:$AN,12,FALSE)</f>
        <v>0</v>
      </c>
      <c r="R1009" s="55">
        <f>-VLOOKUP(E1009,'NI-Ric_SP'!$C:$AN,13,FALSE)</f>
        <v>0</v>
      </c>
      <c r="S1009" s="55"/>
      <c r="T1009" s="55"/>
      <c r="U1009" s="55">
        <f>VLOOKUP($E1009,'NI-Ric_SP'!$C:$AN,MID(U$1,1,2),FALSE)</f>
        <v>0</v>
      </c>
      <c r="V1009" s="55">
        <f>VLOOKUP($E1009,'NI-Ric_SP'!$C:$AN,MID(V$1,1,2),FALSE)</f>
        <v>0</v>
      </c>
      <c r="W1009" s="55">
        <f>VLOOKUP($E1009,'NI-Ric_SP'!$C:$AN,MID(W$1,1,2),FALSE)</f>
        <v>0</v>
      </c>
      <c r="X1009" s="55">
        <f>VLOOKUP($E1009,'NI-Ric_SP'!$C:$AN,MID(X$1,1,2),FALSE)</f>
        <v>0</v>
      </c>
      <c r="Y1009" s="55">
        <f>VLOOKUP($E1009,'NI-Ric_SP'!$C:$AN,MID(Y$1,1,2),FALSE)</f>
        <v>0</v>
      </c>
      <c r="Z1009" s="55">
        <f>VLOOKUP($E1009,'NI-Ric_SP'!$C:$AN,MID(Z$1,1,2),FALSE)</f>
        <v>0</v>
      </c>
      <c r="AA1009" s="55">
        <f>VLOOKUP($E1009,'NI-Ric_SP'!$C:$AN,MID(AA$1,1,2),FALSE)</f>
        <v>0</v>
      </c>
      <c r="AB1009" s="55">
        <f>VLOOKUP($E1009,'NI-Ric_SP'!$C:$AN,MID(AB$1,1,2),FALSE)</f>
        <v>0</v>
      </c>
      <c r="AC1009" s="55">
        <f>VLOOKUP($E1009,'NI-Ric_SP'!$C:$AN,MID(AC$1,1,2),FALSE)</f>
        <v>0</v>
      </c>
      <c r="AD1009" s="55">
        <f>VLOOKUP($E1009,'NI-Ric_SP'!$C:$AN,MID(AD$1,1,2),FALSE)</f>
        <v>0</v>
      </c>
      <c r="AE1009" s="55">
        <f>VLOOKUP($E1009,'NI-Ric_SP'!$C:$AN,MID(AE$1,1,2),FALSE)</f>
        <v>0</v>
      </c>
      <c r="AF1009" s="55">
        <f>VLOOKUP($E1009,'NI-Ric_SP'!$C:$AN,MID(AF$1,1,2),FALSE)</f>
        <v>0</v>
      </c>
      <c r="AG1009" s="55">
        <f>VLOOKUP($E1009,'NI-Ric_SP'!$C:$AN,MID(AG$1,1,2),FALSE)</f>
        <v>0</v>
      </c>
      <c r="AH1009" s="55">
        <f>VLOOKUP($E1009,'NI-Ric_SP'!$C:$AN,MID(AH$1,1,2),FALSE)</f>
        <v>0</v>
      </c>
      <c r="AI1009" s="55">
        <f>VLOOKUP($E1009,'NI-Ric_SP'!$C:$AN,MID(AI$1,1,2),FALSE)</f>
        <v>0</v>
      </c>
      <c r="AJ1009" s="55">
        <f>VLOOKUP($E1009,'NI-Ric_SP'!$C:$AN,MID(AJ$1,1,2),FALSE)</f>
        <v>0</v>
      </c>
      <c r="AK1009" s="55">
        <f>VLOOKUP($E1009,'NI-Ric_SP'!$C:$AN,MID(AK$1,1,2),FALSE)</f>
        <v>0</v>
      </c>
      <c r="AL1009" s="55">
        <f>VLOOKUP($E1009,'NI-Ric_SP'!$C:$AN,MID(AL$1,1,2),FALSE)</f>
        <v>0</v>
      </c>
      <c r="AM1009" s="56">
        <f>VLOOKUP($E1009,'NI-Ric_SP'!$C:$AN,MID(AM$1,1,2),FALSE)</f>
        <v>0</v>
      </c>
      <c r="AN1009" s="30" t="str">
        <f t="shared" si="15"/>
        <v>10210080010000</v>
      </c>
    </row>
    <row r="1010" spans="3:40" x14ac:dyDescent="0.25">
      <c r="C1010" s="40"/>
      <c r="D1010" s="101" t="s">
        <v>1058</v>
      </c>
      <c r="E1010" s="101" t="s">
        <v>1059</v>
      </c>
      <c r="F1010" s="102" t="s">
        <v>2750</v>
      </c>
      <c r="G1010" s="52"/>
      <c r="H1010" s="52"/>
      <c r="I1010" s="52"/>
      <c r="J1010" s="52"/>
      <c r="K1010" s="59" t="s">
        <v>79</v>
      </c>
      <c r="L1010" s="52"/>
      <c r="M1010" s="52"/>
      <c r="N1010" s="52"/>
      <c r="O1010" s="52"/>
      <c r="P1010" s="76" t="s">
        <v>1060</v>
      </c>
      <c r="Q1010" s="55">
        <f>-VLOOKUP(E1010,'NI-Ric_SP'!$C:$AN,12,FALSE)</f>
        <v>0</v>
      </c>
      <c r="R1010" s="55">
        <f>-VLOOKUP(E1010,'NI-Ric_SP'!$C:$AN,13,FALSE)</f>
        <v>0</v>
      </c>
      <c r="S1010" s="55"/>
      <c r="T1010" s="55"/>
      <c r="U1010" s="55">
        <f>VLOOKUP($E1010,'NI-Ric_SP'!$C:$AN,MID(U$1,1,2),FALSE)</f>
        <v>0</v>
      </c>
      <c r="V1010" s="55">
        <f>VLOOKUP($E1010,'NI-Ric_SP'!$C:$AN,MID(V$1,1,2),FALSE)</f>
        <v>0</v>
      </c>
      <c r="W1010" s="55">
        <f>VLOOKUP($E1010,'NI-Ric_SP'!$C:$AN,MID(W$1,1,2),FALSE)</f>
        <v>0</v>
      </c>
      <c r="X1010" s="55">
        <f>VLOOKUP($E1010,'NI-Ric_SP'!$C:$AN,MID(X$1,1,2),FALSE)</f>
        <v>0</v>
      </c>
      <c r="Y1010" s="55">
        <f>VLOOKUP($E1010,'NI-Ric_SP'!$C:$AN,MID(Y$1,1,2),FALSE)</f>
        <v>0</v>
      </c>
      <c r="Z1010" s="55">
        <f>VLOOKUP($E1010,'NI-Ric_SP'!$C:$AN,MID(Z$1,1,2),FALSE)</f>
        <v>0</v>
      </c>
      <c r="AA1010" s="55">
        <f>VLOOKUP($E1010,'NI-Ric_SP'!$C:$AN,MID(AA$1,1,2),FALSE)</f>
        <v>0</v>
      </c>
      <c r="AB1010" s="55">
        <f>VLOOKUP($E1010,'NI-Ric_SP'!$C:$AN,MID(AB$1,1,2),FALSE)</f>
        <v>0</v>
      </c>
      <c r="AC1010" s="55">
        <f>VLOOKUP($E1010,'NI-Ric_SP'!$C:$AN,MID(AC$1,1,2),FALSE)</f>
        <v>0</v>
      </c>
      <c r="AD1010" s="55">
        <f>VLOOKUP($E1010,'NI-Ric_SP'!$C:$AN,MID(AD$1,1,2),FALSE)</f>
        <v>0</v>
      </c>
      <c r="AE1010" s="55">
        <f>VLOOKUP($E1010,'NI-Ric_SP'!$C:$AN,MID(AE$1,1,2),FALSE)</f>
        <v>0</v>
      </c>
      <c r="AF1010" s="55">
        <f>VLOOKUP($E1010,'NI-Ric_SP'!$C:$AN,MID(AF$1,1,2),FALSE)</f>
        <v>0</v>
      </c>
      <c r="AG1010" s="55">
        <f>VLOOKUP($E1010,'NI-Ric_SP'!$C:$AN,MID(AG$1,1,2),FALSE)</f>
        <v>0</v>
      </c>
      <c r="AH1010" s="55">
        <f>VLOOKUP($E1010,'NI-Ric_SP'!$C:$AN,MID(AH$1,1,2),FALSE)</f>
        <v>0</v>
      </c>
      <c r="AI1010" s="55">
        <f>VLOOKUP($E1010,'NI-Ric_SP'!$C:$AN,MID(AI$1,1,2),FALSE)</f>
        <v>0</v>
      </c>
      <c r="AJ1010" s="55">
        <f>VLOOKUP($E1010,'NI-Ric_SP'!$C:$AN,MID(AJ$1,1,2),FALSE)</f>
        <v>0</v>
      </c>
      <c r="AK1010" s="55">
        <f>VLOOKUP($E1010,'NI-Ric_SP'!$C:$AN,MID(AK$1,1,2),FALSE)</f>
        <v>0</v>
      </c>
      <c r="AL1010" s="55">
        <f>VLOOKUP($E1010,'NI-Ric_SP'!$C:$AN,MID(AL$1,1,2),FALSE)</f>
        <v>0</v>
      </c>
      <c r="AM1010" s="56">
        <f>VLOOKUP($E1010,'NI-Ric_SP'!$C:$AN,MID(AM$1,1,2),FALSE)</f>
        <v>0</v>
      </c>
      <c r="AN1010" s="30" t="str">
        <f t="shared" si="15"/>
        <v>10210080020000</v>
      </c>
    </row>
    <row r="1011" spans="3:40" x14ac:dyDescent="0.25">
      <c r="C1011" s="40"/>
      <c r="D1011" s="101" t="s">
        <v>1061</v>
      </c>
      <c r="E1011" s="101" t="s">
        <v>1062</v>
      </c>
      <c r="F1011" s="102" t="s">
        <v>2750</v>
      </c>
      <c r="G1011" s="52"/>
      <c r="H1011" s="52"/>
      <c r="I1011" s="52"/>
      <c r="J1011" s="52"/>
      <c r="K1011" s="59" t="s">
        <v>111</v>
      </c>
      <c r="L1011" s="52"/>
      <c r="M1011" s="52"/>
      <c r="N1011" s="52"/>
      <c r="O1011" s="52"/>
      <c r="P1011" s="76" t="s">
        <v>1063</v>
      </c>
      <c r="Q1011" s="55">
        <f>VLOOKUP(E1011,'NI-Ric_SP'!$C:$AN,12,FALSE)</f>
        <v>0</v>
      </c>
      <c r="R1011" s="55">
        <f>VLOOKUP(E1011,'NI-Ric_SP'!$C:$AN,13,FALSE)</f>
        <v>0</v>
      </c>
      <c r="S1011" s="55"/>
      <c r="T1011" s="55"/>
      <c r="U1011" s="55">
        <f>VLOOKUP($E1011,'NI-Ric_SP'!$C:$AN,MID(U$1,1,2),FALSE)</f>
        <v>0</v>
      </c>
      <c r="V1011" s="55">
        <f>VLOOKUP($E1011,'NI-Ric_SP'!$C:$AN,MID(V$1,1,2),FALSE)</f>
        <v>0</v>
      </c>
      <c r="W1011" s="55">
        <f>VLOOKUP($E1011,'NI-Ric_SP'!$C:$AN,MID(W$1,1,2),FALSE)</f>
        <v>0</v>
      </c>
      <c r="X1011" s="55">
        <f>VLOOKUP($E1011,'NI-Ric_SP'!$C:$AN,MID(X$1,1,2),FALSE)</f>
        <v>0</v>
      </c>
      <c r="Y1011" s="55">
        <f>VLOOKUP($E1011,'NI-Ric_SP'!$C:$AN,MID(Y$1,1,2),FALSE)</f>
        <v>0</v>
      </c>
      <c r="Z1011" s="55">
        <f>VLOOKUP($E1011,'NI-Ric_SP'!$C:$AN,MID(Z$1,1,2),FALSE)</f>
        <v>0</v>
      </c>
      <c r="AA1011" s="55">
        <f>VLOOKUP($E1011,'NI-Ric_SP'!$C:$AN,MID(AA$1,1,2),FALSE)</f>
        <v>0</v>
      </c>
      <c r="AB1011" s="55">
        <f>VLOOKUP($E1011,'NI-Ric_SP'!$C:$AN,MID(AB$1,1,2),FALSE)</f>
        <v>0</v>
      </c>
      <c r="AC1011" s="55">
        <f>VLOOKUP($E1011,'NI-Ric_SP'!$C:$AN,MID(AC$1,1,2),FALSE)</f>
        <v>0</v>
      </c>
      <c r="AD1011" s="55">
        <f>VLOOKUP($E1011,'NI-Ric_SP'!$C:$AN,MID(AD$1,1,2),FALSE)</f>
        <v>0</v>
      </c>
      <c r="AE1011" s="55">
        <f>VLOOKUP($E1011,'NI-Ric_SP'!$C:$AN,MID(AE$1,1,2),FALSE)</f>
        <v>0</v>
      </c>
      <c r="AF1011" s="55">
        <f>VLOOKUP($E1011,'NI-Ric_SP'!$C:$AN,MID(AF$1,1,2),FALSE)</f>
        <v>0</v>
      </c>
      <c r="AG1011" s="55">
        <f>VLOOKUP($E1011,'NI-Ric_SP'!$C:$AN,MID(AG$1,1,2),FALSE)</f>
        <v>0</v>
      </c>
      <c r="AH1011" s="55">
        <f>VLOOKUP($E1011,'NI-Ric_SP'!$C:$AN,MID(AH$1,1,2),FALSE)</f>
        <v>0</v>
      </c>
      <c r="AI1011" s="55">
        <f>VLOOKUP($E1011,'NI-Ric_SP'!$C:$AN,MID(AI$1,1,2),FALSE)</f>
        <v>0</v>
      </c>
      <c r="AJ1011" s="55">
        <f>VLOOKUP($E1011,'NI-Ric_SP'!$C:$AN,MID(AJ$1,1,2),FALSE)</f>
        <v>0</v>
      </c>
      <c r="AK1011" s="55">
        <f>VLOOKUP($E1011,'NI-Ric_SP'!$C:$AN,MID(AK$1,1,2),FALSE)</f>
        <v>0</v>
      </c>
      <c r="AL1011" s="55">
        <f>VLOOKUP($E1011,'NI-Ric_SP'!$C:$AN,MID(AL$1,1,2),FALSE)</f>
        <v>0</v>
      </c>
      <c r="AM1011" s="56">
        <f>VLOOKUP($E1011,'NI-Ric_SP'!$C:$AN,MID(AM$1,1,2),FALSE)</f>
        <v>0</v>
      </c>
      <c r="AN1011" s="30" t="str">
        <f t="shared" si="15"/>
        <v>10300000000000</v>
      </c>
    </row>
    <row r="1012" spans="3:40" x14ac:dyDescent="0.25">
      <c r="C1012" s="40"/>
      <c r="D1012" s="101" t="s">
        <v>1064</v>
      </c>
      <c r="E1012" s="101" t="s">
        <v>1065</v>
      </c>
      <c r="F1012" s="102" t="s">
        <v>2750</v>
      </c>
      <c r="G1012" s="52"/>
      <c r="H1012" s="52"/>
      <c r="I1012" s="52"/>
      <c r="J1012" s="52"/>
      <c r="K1012" s="59" t="s">
        <v>111</v>
      </c>
      <c r="L1012" s="62" t="s">
        <v>1066</v>
      </c>
      <c r="M1012" s="52"/>
      <c r="N1012" s="52"/>
      <c r="O1012" s="52"/>
      <c r="P1012" s="76" t="s">
        <v>1067</v>
      </c>
      <c r="Q1012" s="55">
        <f>VLOOKUP(E1012,'NI-Ric_SP'!$C:$AN,12,FALSE)</f>
        <v>0</v>
      </c>
      <c r="R1012" s="55">
        <f>VLOOKUP(E1012,'NI-Ric_SP'!$C:$AN,13,FALSE)</f>
        <v>0</v>
      </c>
      <c r="S1012" s="55">
        <f>VLOOKUP(E1012,'NI-Ric_SP'!$C:$AN,31,FALSE)</f>
        <v>0</v>
      </c>
      <c r="T1012" s="55">
        <f>VLOOKUP(E1012,'NI-Ric_SP'!$C:$AN,32,FALSE)+VLOOKUP(E1012,'NI-Ric_SP'!$C:$AN,33,FALSE)</f>
        <v>0</v>
      </c>
      <c r="U1012" s="55">
        <f>VLOOKUP($E1012,'NI-Ric_SP'!$C:$AN,MID(U$1,1,2),FALSE)</f>
        <v>0</v>
      </c>
      <c r="V1012" s="55">
        <f>VLOOKUP($E1012,'NI-Ric_SP'!$C:$AN,MID(V$1,1,2),FALSE)</f>
        <v>0</v>
      </c>
      <c r="W1012" s="55">
        <f>VLOOKUP($E1012,'NI-Ric_SP'!$C:$AN,MID(W$1,1,2),FALSE)</f>
        <v>0</v>
      </c>
      <c r="X1012" s="55">
        <f>VLOOKUP($E1012,'NI-Ric_SP'!$C:$AN,MID(X$1,1,2),FALSE)</f>
        <v>0</v>
      </c>
      <c r="Y1012" s="55">
        <f>VLOOKUP($E1012,'NI-Ric_SP'!$C:$AN,MID(Y$1,1,2),FALSE)</f>
        <v>0</v>
      </c>
      <c r="Z1012" s="55">
        <f>VLOOKUP($E1012,'NI-Ric_SP'!$C:$AN,MID(Z$1,1,2),FALSE)</f>
        <v>0</v>
      </c>
      <c r="AA1012" s="55">
        <f>VLOOKUP($E1012,'NI-Ric_SP'!$C:$AN,MID(AA$1,1,2),FALSE)</f>
        <v>0</v>
      </c>
      <c r="AB1012" s="55">
        <f>VLOOKUP($E1012,'NI-Ric_SP'!$C:$AN,MID(AB$1,1,2),FALSE)</f>
        <v>0</v>
      </c>
      <c r="AC1012" s="55">
        <f>VLOOKUP($E1012,'NI-Ric_SP'!$C:$AN,MID(AC$1,1,2),FALSE)</f>
        <v>0</v>
      </c>
      <c r="AD1012" s="55">
        <f>VLOOKUP($E1012,'NI-Ric_SP'!$C:$AN,MID(AD$1,1,2),FALSE)</f>
        <v>0</v>
      </c>
      <c r="AE1012" s="55">
        <f>VLOOKUP($E1012,'NI-Ric_SP'!$C:$AN,MID(AE$1,1,2),FALSE)</f>
        <v>0</v>
      </c>
      <c r="AF1012" s="55">
        <f>VLOOKUP($E1012,'NI-Ric_SP'!$C:$AN,MID(AF$1,1,2),FALSE)</f>
        <v>0</v>
      </c>
      <c r="AG1012" s="55">
        <f>VLOOKUP($E1012,'NI-Ric_SP'!$C:$AN,MID(AG$1,1,2),FALSE)</f>
        <v>0</v>
      </c>
      <c r="AH1012" s="55">
        <f>VLOOKUP($E1012,'NI-Ric_SP'!$C:$AN,MID(AH$1,1,2),FALSE)</f>
        <v>0</v>
      </c>
      <c r="AI1012" s="55">
        <f>VLOOKUP($E1012,'NI-Ric_SP'!$C:$AN,MID(AI$1,1,2),FALSE)</f>
        <v>0</v>
      </c>
      <c r="AJ1012" s="55">
        <f>VLOOKUP($E1012,'NI-Ric_SP'!$C:$AN,MID(AJ$1,1,2),FALSE)</f>
        <v>0</v>
      </c>
      <c r="AK1012" s="55">
        <f>VLOOKUP($E1012,'NI-Ric_SP'!$C:$AN,MID(AK$1,1,2),FALSE)</f>
        <v>0</v>
      </c>
      <c r="AL1012" s="55">
        <f>VLOOKUP($E1012,'NI-Ric_SP'!$C:$AN,MID(AL$1,1,2),FALSE)</f>
        <v>0</v>
      </c>
      <c r="AM1012" s="56">
        <f>VLOOKUP($E1012,'NI-Ric_SP'!$C:$AN,MID(AM$1,1,2),FALSE)</f>
        <v>0</v>
      </c>
      <c r="AN1012" s="30" t="str">
        <f t="shared" si="15"/>
        <v>10301000000000</v>
      </c>
    </row>
    <row r="1013" spans="3:40" x14ac:dyDescent="0.25">
      <c r="C1013" s="40"/>
      <c r="D1013" s="101" t="s">
        <v>1068</v>
      </c>
      <c r="E1013" s="101" t="s">
        <v>1069</v>
      </c>
      <c r="F1013" s="102" t="s">
        <v>2750</v>
      </c>
      <c r="G1013" s="52"/>
      <c r="H1013" s="52"/>
      <c r="I1013" s="52" t="s">
        <v>1070</v>
      </c>
      <c r="J1013" s="52" t="s">
        <v>1070</v>
      </c>
      <c r="K1013" s="59" t="s">
        <v>79</v>
      </c>
      <c r="L1013" s="52"/>
      <c r="M1013" s="52"/>
      <c r="N1013" s="52"/>
      <c r="O1013" s="61" t="s">
        <v>1071</v>
      </c>
      <c r="P1013" s="76" t="s">
        <v>1072</v>
      </c>
      <c r="Q1013" s="55">
        <f>VLOOKUP(E1013,'NI-Ric_SP'!$C:$AN,12,FALSE)</f>
        <v>0</v>
      </c>
      <c r="R1013" s="55">
        <f>VLOOKUP(E1013,'NI-Ric_SP'!$C:$AN,13,FALSE)</f>
        <v>0</v>
      </c>
      <c r="S1013" s="55">
        <f>VLOOKUP(E1013,'NI-Ric_SP'!$C:$AN,31,FALSE)</f>
        <v>0</v>
      </c>
      <c r="T1013" s="55">
        <f>VLOOKUP(E1013,'NI-Ric_SP'!$C:$AN,32,FALSE)+VLOOKUP(E1013,'NI-Ric_SP'!$C:$AN,33,FALSE)</f>
        <v>0</v>
      </c>
      <c r="U1013" s="55">
        <f>VLOOKUP($E1013,'NI-Ric_SP'!$C:$AN,MID(U$1,1,2),FALSE)</f>
        <v>0</v>
      </c>
      <c r="V1013" s="55">
        <f>VLOOKUP($E1013,'NI-Ric_SP'!$C:$AN,MID(V$1,1,2),FALSE)</f>
        <v>0</v>
      </c>
      <c r="W1013" s="55">
        <f>VLOOKUP($E1013,'NI-Ric_SP'!$C:$AN,MID(W$1,1,2),FALSE)</f>
        <v>0</v>
      </c>
      <c r="X1013" s="55">
        <f>VLOOKUP($E1013,'NI-Ric_SP'!$C:$AN,MID(X$1,1,2),FALSE)</f>
        <v>0</v>
      </c>
      <c r="Y1013" s="55">
        <f>VLOOKUP($E1013,'NI-Ric_SP'!$C:$AN,MID(Y$1,1,2),FALSE)</f>
        <v>0</v>
      </c>
      <c r="Z1013" s="55">
        <f>VLOOKUP($E1013,'NI-Ric_SP'!$C:$AN,MID(Z$1,1,2),FALSE)</f>
        <v>0</v>
      </c>
      <c r="AA1013" s="55">
        <f>VLOOKUP($E1013,'NI-Ric_SP'!$C:$AN,MID(AA$1,1,2),FALSE)</f>
        <v>0</v>
      </c>
      <c r="AB1013" s="55">
        <f>VLOOKUP($E1013,'NI-Ric_SP'!$C:$AN,MID(AB$1,1,2),FALSE)</f>
        <v>0</v>
      </c>
      <c r="AC1013" s="55">
        <f>VLOOKUP($E1013,'NI-Ric_SP'!$C:$AN,MID(AC$1,1,2),FALSE)</f>
        <v>0</v>
      </c>
      <c r="AD1013" s="55">
        <f>VLOOKUP($E1013,'NI-Ric_SP'!$C:$AN,MID(AD$1,1,2),FALSE)</f>
        <v>0</v>
      </c>
      <c r="AE1013" s="55">
        <f>VLOOKUP($E1013,'NI-Ric_SP'!$C:$AN,MID(AE$1,1,2),FALSE)</f>
        <v>0</v>
      </c>
      <c r="AF1013" s="55">
        <f>VLOOKUP($E1013,'NI-Ric_SP'!$C:$AN,MID(AF$1,1,2),FALSE)</f>
        <v>0</v>
      </c>
      <c r="AG1013" s="55">
        <f>VLOOKUP($E1013,'NI-Ric_SP'!$C:$AN,MID(AG$1,1,2),FALSE)</f>
        <v>0</v>
      </c>
      <c r="AH1013" s="55">
        <f>VLOOKUP($E1013,'NI-Ric_SP'!$C:$AN,MID(AH$1,1,2),FALSE)</f>
        <v>0</v>
      </c>
      <c r="AI1013" s="55">
        <f>VLOOKUP($E1013,'NI-Ric_SP'!$C:$AN,MID(AI$1,1,2),FALSE)</f>
        <v>0</v>
      </c>
      <c r="AJ1013" s="55">
        <f>VLOOKUP($E1013,'NI-Ric_SP'!$C:$AN,MID(AJ$1,1,2),FALSE)</f>
        <v>0</v>
      </c>
      <c r="AK1013" s="55">
        <f>VLOOKUP($E1013,'NI-Ric_SP'!$C:$AN,MID(AK$1,1,2),FALSE)</f>
        <v>0</v>
      </c>
      <c r="AL1013" s="55">
        <f>VLOOKUP($E1013,'NI-Ric_SP'!$C:$AN,MID(AL$1,1,2),FALSE)</f>
        <v>0</v>
      </c>
      <c r="AM1013" s="56">
        <f>VLOOKUP($E1013,'NI-Ric_SP'!$C:$AN,MID(AM$1,1,2),FALSE)</f>
        <v>0</v>
      </c>
      <c r="AN1013" s="30" t="str">
        <f t="shared" si="15"/>
        <v>10301010000000</v>
      </c>
    </row>
    <row r="1014" spans="3:40" x14ac:dyDescent="0.25">
      <c r="C1014" s="40"/>
      <c r="D1014" s="101" t="s">
        <v>1073</v>
      </c>
      <c r="E1014" s="101" t="s">
        <v>1074</v>
      </c>
      <c r="F1014" s="102" t="s">
        <v>2750</v>
      </c>
      <c r="G1014" s="52"/>
      <c r="H1014" s="52"/>
      <c r="I1014" s="52" t="s">
        <v>1075</v>
      </c>
      <c r="J1014" s="52" t="s">
        <v>1075</v>
      </c>
      <c r="K1014" s="59" t="s">
        <v>79</v>
      </c>
      <c r="L1014" s="52"/>
      <c r="M1014" s="52"/>
      <c r="N1014" s="52"/>
      <c r="O1014" s="61" t="s">
        <v>1076</v>
      </c>
      <c r="P1014" s="76" t="s">
        <v>1077</v>
      </c>
      <c r="Q1014" s="55">
        <f>VLOOKUP(E1014,'NI-Ric_SP'!$C:$AN,12,FALSE)</f>
        <v>0</v>
      </c>
      <c r="R1014" s="55">
        <f>VLOOKUP(E1014,'NI-Ric_SP'!$C:$AN,13,FALSE)</f>
        <v>0</v>
      </c>
      <c r="S1014" s="55">
        <f>VLOOKUP(E1014,'NI-Ric_SP'!$C:$AN,31,FALSE)</f>
        <v>0</v>
      </c>
      <c r="T1014" s="55">
        <f>VLOOKUP(E1014,'NI-Ric_SP'!$C:$AN,32,FALSE)+VLOOKUP(E1014,'NI-Ric_SP'!$C:$AN,33,FALSE)</f>
        <v>0</v>
      </c>
      <c r="U1014" s="55">
        <f>VLOOKUP($E1014,'NI-Ric_SP'!$C:$AN,MID(U$1,1,2),FALSE)</f>
        <v>0</v>
      </c>
      <c r="V1014" s="55">
        <f>VLOOKUP($E1014,'NI-Ric_SP'!$C:$AN,MID(V$1,1,2),FALSE)</f>
        <v>0</v>
      </c>
      <c r="W1014" s="55">
        <f>VLOOKUP($E1014,'NI-Ric_SP'!$C:$AN,MID(W$1,1,2),FALSE)</f>
        <v>0</v>
      </c>
      <c r="X1014" s="55">
        <f>VLOOKUP($E1014,'NI-Ric_SP'!$C:$AN,MID(X$1,1,2),FALSE)</f>
        <v>0</v>
      </c>
      <c r="Y1014" s="55">
        <f>VLOOKUP($E1014,'NI-Ric_SP'!$C:$AN,MID(Y$1,1,2),FALSE)</f>
        <v>0</v>
      </c>
      <c r="Z1014" s="55">
        <f>VLOOKUP($E1014,'NI-Ric_SP'!$C:$AN,MID(Z$1,1,2),FALSE)</f>
        <v>0</v>
      </c>
      <c r="AA1014" s="55">
        <f>VLOOKUP($E1014,'NI-Ric_SP'!$C:$AN,MID(AA$1,1,2),FALSE)</f>
        <v>0</v>
      </c>
      <c r="AB1014" s="55">
        <f>VLOOKUP($E1014,'NI-Ric_SP'!$C:$AN,MID(AB$1,1,2),FALSE)</f>
        <v>0</v>
      </c>
      <c r="AC1014" s="55">
        <f>VLOOKUP($E1014,'NI-Ric_SP'!$C:$AN,MID(AC$1,1,2),FALSE)</f>
        <v>0</v>
      </c>
      <c r="AD1014" s="55">
        <f>VLOOKUP($E1014,'NI-Ric_SP'!$C:$AN,MID(AD$1,1,2),FALSE)</f>
        <v>0</v>
      </c>
      <c r="AE1014" s="55">
        <f>VLOOKUP($E1014,'NI-Ric_SP'!$C:$AN,MID(AE$1,1,2),FALSE)</f>
        <v>0</v>
      </c>
      <c r="AF1014" s="55">
        <f>VLOOKUP($E1014,'NI-Ric_SP'!$C:$AN,MID(AF$1,1,2),FALSE)</f>
        <v>0</v>
      </c>
      <c r="AG1014" s="55">
        <f>VLOOKUP($E1014,'NI-Ric_SP'!$C:$AN,MID(AG$1,1,2),FALSE)</f>
        <v>0</v>
      </c>
      <c r="AH1014" s="55">
        <f>VLOOKUP($E1014,'NI-Ric_SP'!$C:$AN,MID(AH$1,1,2),FALSE)</f>
        <v>0</v>
      </c>
      <c r="AI1014" s="55">
        <f>VLOOKUP($E1014,'NI-Ric_SP'!$C:$AN,MID(AI$1,1,2),FALSE)</f>
        <v>0</v>
      </c>
      <c r="AJ1014" s="55">
        <f>VLOOKUP($E1014,'NI-Ric_SP'!$C:$AN,MID(AJ$1,1,2),FALSE)</f>
        <v>0</v>
      </c>
      <c r="AK1014" s="55">
        <f>VLOOKUP($E1014,'NI-Ric_SP'!$C:$AN,MID(AK$1,1,2),FALSE)</f>
        <v>0</v>
      </c>
      <c r="AL1014" s="55">
        <f>VLOOKUP($E1014,'NI-Ric_SP'!$C:$AN,MID(AL$1,1,2),FALSE)</f>
        <v>0</v>
      </c>
      <c r="AM1014" s="56">
        <f>VLOOKUP($E1014,'NI-Ric_SP'!$C:$AN,MID(AM$1,1,2),FALSE)</f>
        <v>0</v>
      </c>
      <c r="AN1014" s="30" t="str">
        <f t="shared" si="15"/>
        <v>10301020000000</v>
      </c>
    </row>
    <row r="1015" spans="3:40" x14ac:dyDescent="0.25">
      <c r="C1015" s="40"/>
      <c r="D1015" s="101" t="s">
        <v>1078</v>
      </c>
      <c r="E1015" s="101" t="s">
        <v>1079</v>
      </c>
      <c r="F1015" s="102" t="s">
        <v>2750</v>
      </c>
      <c r="G1015" s="52"/>
      <c r="H1015" s="52"/>
      <c r="I1015" s="52" t="s">
        <v>1080</v>
      </c>
      <c r="J1015" s="52" t="s">
        <v>1080</v>
      </c>
      <c r="K1015" s="59" t="s">
        <v>79</v>
      </c>
      <c r="L1015" s="52"/>
      <c r="M1015" s="52"/>
      <c r="N1015" s="52"/>
      <c r="O1015" s="61" t="s">
        <v>1081</v>
      </c>
      <c r="P1015" s="76" t="s">
        <v>1082</v>
      </c>
      <c r="Q1015" s="55">
        <f>VLOOKUP(E1015,'NI-Ric_SP'!$C:$AN,12,FALSE)</f>
        <v>0</v>
      </c>
      <c r="R1015" s="55">
        <f>VLOOKUP(E1015,'NI-Ric_SP'!$C:$AN,13,FALSE)</f>
        <v>0</v>
      </c>
      <c r="S1015" s="55">
        <f>VLOOKUP(E1015,'NI-Ric_SP'!$C:$AN,31,FALSE)</f>
        <v>0</v>
      </c>
      <c r="T1015" s="55">
        <f>VLOOKUP(E1015,'NI-Ric_SP'!$C:$AN,32,FALSE)+VLOOKUP(E1015,'NI-Ric_SP'!$C:$AN,33,FALSE)</f>
        <v>0</v>
      </c>
      <c r="U1015" s="55">
        <f>VLOOKUP($E1015,'NI-Ric_SP'!$C:$AN,MID(U$1,1,2),FALSE)</f>
        <v>0</v>
      </c>
      <c r="V1015" s="55">
        <f>VLOOKUP($E1015,'NI-Ric_SP'!$C:$AN,MID(V$1,1,2),FALSE)</f>
        <v>0</v>
      </c>
      <c r="W1015" s="55">
        <f>VLOOKUP($E1015,'NI-Ric_SP'!$C:$AN,MID(W$1,1,2),FALSE)</f>
        <v>0</v>
      </c>
      <c r="X1015" s="55">
        <f>VLOOKUP($E1015,'NI-Ric_SP'!$C:$AN,MID(X$1,1,2),FALSE)</f>
        <v>0</v>
      </c>
      <c r="Y1015" s="55">
        <f>VLOOKUP($E1015,'NI-Ric_SP'!$C:$AN,MID(Y$1,1,2),FALSE)</f>
        <v>0</v>
      </c>
      <c r="Z1015" s="55">
        <f>VLOOKUP($E1015,'NI-Ric_SP'!$C:$AN,MID(Z$1,1,2),FALSE)</f>
        <v>0</v>
      </c>
      <c r="AA1015" s="55">
        <f>VLOOKUP($E1015,'NI-Ric_SP'!$C:$AN,MID(AA$1,1,2),FALSE)</f>
        <v>0</v>
      </c>
      <c r="AB1015" s="55">
        <f>VLOOKUP($E1015,'NI-Ric_SP'!$C:$AN,MID(AB$1,1,2),FALSE)</f>
        <v>0</v>
      </c>
      <c r="AC1015" s="55">
        <f>VLOOKUP($E1015,'NI-Ric_SP'!$C:$AN,MID(AC$1,1,2),FALSE)</f>
        <v>0</v>
      </c>
      <c r="AD1015" s="55">
        <f>VLOOKUP($E1015,'NI-Ric_SP'!$C:$AN,MID(AD$1,1,2),FALSE)</f>
        <v>0</v>
      </c>
      <c r="AE1015" s="55">
        <f>VLOOKUP($E1015,'NI-Ric_SP'!$C:$AN,MID(AE$1,1,2),FALSE)</f>
        <v>0</v>
      </c>
      <c r="AF1015" s="55">
        <f>VLOOKUP($E1015,'NI-Ric_SP'!$C:$AN,MID(AF$1,1,2),FALSE)</f>
        <v>0</v>
      </c>
      <c r="AG1015" s="55">
        <f>VLOOKUP($E1015,'NI-Ric_SP'!$C:$AN,MID(AG$1,1,2),FALSE)</f>
        <v>0</v>
      </c>
      <c r="AH1015" s="55">
        <f>VLOOKUP($E1015,'NI-Ric_SP'!$C:$AN,MID(AH$1,1,2),FALSE)</f>
        <v>0</v>
      </c>
      <c r="AI1015" s="55">
        <f>VLOOKUP($E1015,'NI-Ric_SP'!$C:$AN,MID(AI$1,1,2),FALSE)</f>
        <v>0</v>
      </c>
      <c r="AJ1015" s="55">
        <f>VLOOKUP($E1015,'NI-Ric_SP'!$C:$AN,MID(AJ$1,1,2),FALSE)</f>
        <v>0</v>
      </c>
      <c r="AK1015" s="55">
        <f>VLOOKUP($E1015,'NI-Ric_SP'!$C:$AN,MID(AK$1,1,2),FALSE)</f>
        <v>0</v>
      </c>
      <c r="AL1015" s="55">
        <f>VLOOKUP($E1015,'NI-Ric_SP'!$C:$AN,MID(AL$1,1,2),FALSE)</f>
        <v>0</v>
      </c>
      <c r="AM1015" s="56">
        <f>VLOOKUP($E1015,'NI-Ric_SP'!$C:$AN,MID(AM$1,1,2),FALSE)</f>
        <v>0</v>
      </c>
      <c r="AN1015" s="30" t="str">
        <f t="shared" si="15"/>
        <v>10301030000000</v>
      </c>
    </row>
    <row r="1016" spans="3:40" x14ac:dyDescent="0.25">
      <c r="C1016" s="40"/>
      <c r="D1016" s="101" t="s">
        <v>1083</v>
      </c>
      <c r="E1016" s="101" t="s">
        <v>1084</v>
      </c>
      <c r="F1016" s="102" t="s">
        <v>2750</v>
      </c>
      <c r="G1016" s="52"/>
      <c r="H1016" s="52"/>
      <c r="I1016" s="52" t="s">
        <v>1085</v>
      </c>
      <c r="J1016" s="52" t="s">
        <v>1085</v>
      </c>
      <c r="K1016" s="59" t="s">
        <v>79</v>
      </c>
      <c r="L1016" s="52"/>
      <c r="M1016" s="52"/>
      <c r="N1016" s="52"/>
      <c r="O1016" s="61" t="s">
        <v>1086</v>
      </c>
      <c r="P1016" s="76" t="s">
        <v>1087</v>
      </c>
      <c r="Q1016" s="55">
        <f>VLOOKUP(E1016,'NI-Ric_SP'!$C:$AN,12,FALSE)</f>
        <v>0</v>
      </c>
      <c r="R1016" s="55">
        <f>VLOOKUP(E1016,'NI-Ric_SP'!$C:$AN,13,FALSE)</f>
        <v>0</v>
      </c>
      <c r="S1016" s="55">
        <f>VLOOKUP(E1016,'NI-Ric_SP'!$C:$AN,31,FALSE)</f>
        <v>0</v>
      </c>
      <c r="T1016" s="55">
        <f>VLOOKUP(E1016,'NI-Ric_SP'!$C:$AN,32,FALSE)+VLOOKUP(E1016,'NI-Ric_SP'!$C:$AN,33,FALSE)</f>
        <v>0</v>
      </c>
      <c r="U1016" s="55">
        <f>VLOOKUP($E1016,'NI-Ric_SP'!$C:$AN,MID(U$1,1,2),FALSE)</f>
        <v>0</v>
      </c>
      <c r="V1016" s="55">
        <f>VLOOKUP($E1016,'NI-Ric_SP'!$C:$AN,MID(V$1,1,2),FALSE)</f>
        <v>0</v>
      </c>
      <c r="W1016" s="55">
        <f>VLOOKUP($E1016,'NI-Ric_SP'!$C:$AN,MID(W$1,1,2),FALSE)</f>
        <v>0</v>
      </c>
      <c r="X1016" s="55">
        <f>VLOOKUP($E1016,'NI-Ric_SP'!$C:$AN,MID(X$1,1,2),FALSE)</f>
        <v>0</v>
      </c>
      <c r="Y1016" s="55">
        <f>VLOOKUP($E1016,'NI-Ric_SP'!$C:$AN,MID(Y$1,1,2),FALSE)</f>
        <v>0</v>
      </c>
      <c r="Z1016" s="55">
        <f>VLOOKUP($E1016,'NI-Ric_SP'!$C:$AN,MID(Z$1,1,2),FALSE)</f>
        <v>0</v>
      </c>
      <c r="AA1016" s="55">
        <f>VLOOKUP($E1016,'NI-Ric_SP'!$C:$AN,MID(AA$1,1,2),FALSE)</f>
        <v>0</v>
      </c>
      <c r="AB1016" s="55">
        <f>VLOOKUP($E1016,'NI-Ric_SP'!$C:$AN,MID(AB$1,1,2),FALSE)</f>
        <v>0</v>
      </c>
      <c r="AC1016" s="55">
        <f>VLOOKUP($E1016,'NI-Ric_SP'!$C:$AN,MID(AC$1,1,2),FALSE)</f>
        <v>0</v>
      </c>
      <c r="AD1016" s="55">
        <f>VLOOKUP($E1016,'NI-Ric_SP'!$C:$AN,MID(AD$1,1,2),FALSE)</f>
        <v>0</v>
      </c>
      <c r="AE1016" s="55">
        <f>VLOOKUP($E1016,'NI-Ric_SP'!$C:$AN,MID(AE$1,1,2),FALSE)</f>
        <v>0</v>
      </c>
      <c r="AF1016" s="55">
        <f>VLOOKUP($E1016,'NI-Ric_SP'!$C:$AN,MID(AF$1,1,2),FALSE)</f>
        <v>0</v>
      </c>
      <c r="AG1016" s="55">
        <f>VLOOKUP($E1016,'NI-Ric_SP'!$C:$AN,MID(AG$1,1,2),FALSE)</f>
        <v>0</v>
      </c>
      <c r="AH1016" s="55">
        <f>VLOOKUP($E1016,'NI-Ric_SP'!$C:$AN,MID(AH$1,1,2),FALSE)</f>
        <v>0</v>
      </c>
      <c r="AI1016" s="55">
        <f>VLOOKUP($E1016,'NI-Ric_SP'!$C:$AN,MID(AI$1,1,2),FALSE)</f>
        <v>0</v>
      </c>
      <c r="AJ1016" s="55">
        <f>VLOOKUP($E1016,'NI-Ric_SP'!$C:$AN,MID(AJ$1,1,2),FALSE)</f>
        <v>0</v>
      </c>
      <c r="AK1016" s="55">
        <f>VLOOKUP($E1016,'NI-Ric_SP'!$C:$AN,MID(AK$1,1,2),FALSE)</f>
        <v>0</v>
      </c>
      <c r="AL1016" s="55">
        <f>VLOOKUP($E1016,'NI-Ric_SP'!$C:$AN,MID(AL$1,1,2),FALSE)</f>
        <v>0</v>
      </c>
      <c r="AM1016" s="56">
        <f>VLOOKUP($E1016,'NI-Ric_SP'!$C:$AN,MID(AM$1,1,2),FALSE)</f>
        <v>0</v>
      </c>
      <c r="AN1016" s="30" t="str">
        <f t="shared" si="15"/>
        <v>10301040000000</v>
      </c>
    </row>
    <row r="1017" spans="3:40" x14ac:dyDescent="0.25">
      <c r="C1017" s="40"/>
      <c r="D1017" s="101" t="s">
        <v>1088</v>
      </c>
      <c r="E1017" s="101" t="s">
        <v>1089</v>
      </c>
      <c r="F1017" s="102" t="s">
        <v>2750</v>
      </c>
      <c r="G1017" s="52"/>
      <c r="H1017" s="52"/>
      <c r="I1017" s="52"/>
      <c r="J1017" s="52"/>
      <c r="K1017" s="59" t="s">
        <v>111</v>
      </c>
      <c r="L1017" s="62" t="s">
        <v>1090</v>
      </c>
      <c r="M1017" s="52"/>
      <c r="N1017" s="52"/>
      <c r="O1017" s="52"/>
      <c r="P1017" s="76" t="s">
        <v>1091</v>
      </c>
      <c r="Q1017" s="55">
        <f>VLOOKUP(E1017,'NI-Ric_SP'!$C:$AN,12,FALSE)</f>
        <v>0</v>
      </c>
      <c r="R1017" s="55">
        <f>VLOOKUP(E1017,'NI-Ric_SP'!$C:$AN,13,FALSE)</f>
        <v>0</v>
      </c>
      <c r="S1017" s="55"/>
      <c r="T1017" s="55"/>
      <c r="U1017" s="55">
        <f>VLOOKUP($E1017,'NI-Ric_SP'!$C:$AN,MID(U$1,1,2),FALSE)</f>
        <v>0</v>
      </c>
      <c r="V1017" s="55">
        <f>VLOOKUP($E1017,'NI-Ric_SP'!$C:$AN,MID(V$1,1,2),FALSE)</f>
        <v>0</v>
      </c>
      <c r="W1017" s="55">
        <f>VLOOKUP($E1017,'NI-Ric_SP'!$C:$AN,MID(W$1,1,2),FALSE)</f>
        <v>0</v>
      </c>
      <c r="X1017" s="55">
        <f>VLOOKUP($E1017,'NI-Ric_SP'!$C:$AN,MID(X$1,1,2),FALSE)</f>
        <v>0</v>
      </c>
      <c r="Y1017" s="55">
        <f>VLOOKUP($E1017,'NI-Ric_SP'!$C:$AN,MID(Y$1,1,2),FALSE)</f>
        <v>0</v>
      </c>
      <c r="Z1017" s="55">
        <f>VLOOKUP($E1017,'NI-Ric_SP'!$C:$AN,MID(Z$1,1,2),FALSE)</f>
        <v>0</v>
      </c>
      <c r="AA1017" s="55">
        <f>VLOOKUP($E1017,'NI-Ric_SP'!$C:$AN,MID(AA$1,1,2),FALSE)</f>
        <v>0</v>
      </c>
      <c r="AB1017" s="55">
        <f>VLOOKUP($E1017,'NI-Ric_SP'!$C:$AN,MID(AB$1,1,2),FALSE)</f>
        <v>0</v>
      </c>
      <c r="AC1017" s="55">
        <f>VLOOKUP($E1017,'NI-Ric_SP'!$C:$AN,MID(AC$1,1,2),FALSE)</f>
        <v>0</v>
      </c>
      <c r="AD1017" s="55">
        <f>VLOOKUP($E1017,'NI-Ric_SP'!$C:$AN,MID(AD$1,1,2),FALSE)</f>
        <v>0</v>
      </c>
      <c r="AE1017" s="55">
        <f>VLOOKUP($E1017,'NI-Ric_SP'!$C:$AN,MID(AE$1,1,2),FALSE)</f>
        <v>0</v>
      </c>
      <c r="AF1017" s="55">
        <f>VLOOKUP($E1017,'NI-Ric_SP'!$C:$AN,MID(AF$1,1,2),FALSE)</f>
        <v>0</v>
      </c>
      <c r="AG1017" s="55">
        <f>VLOOKUP($E1017,'NI-Ric_SP'!$C:$AN,MID(AG$1,1,2),FALSE)</f>
        <v>0</v>
      </c>
      <c r="AH1017" s="55">
        <f>VLOOKUP($E1017,'NI-Ric_SP'!$C:$AN,MID(AH$1,1,2),FALSE)</f>
        <v>0</v>
      </c>
      <c r="AI1017" s="55">
        <f>VLOOKUP($E1017,'NI-Ric_SP'!$C:$AN,MID(AI$1,1,2),FALSE)</f>
        <v>0</v>
      </c>
      <c r="AJ1017" s="55">
        <f>VLOOKUP($E1017,'NI-Ric_SP'!$C:$AN,MID(AJ$1,1,2),FALSE)</f>
        <v>0</v>
      </c>
      <c r="AK1017" s="55">
        <f>VLOOKUP($E1017,'NI-Ric_SP'!$C:$AN,MID(AK$1,1,2),FALSE)</f>
        <v>0</v>
      </c>
      <c r="AL1017" s="55">
        <f>VLOOKUP($E1017,'NI-Ric_SP'!$C:$AN,MID(AL$1,1,2),FALSE)</f>
        <v>0</v>
      </c>
      <c r="AM1017" s="56">
        <f>VLOOKUP($E1017,'NI-Ric_SP'!$C:$AN,MID(AM$1,1,2),FALSE)</f>
        <v>0</v>
      </c>
      <c r="AN1017" s="30" t="str">
        <f t="shared" si="15"/>
        <v>10302000000000</v>
      </c>
    </row>
    <row r="1018" spans="3:40" x14ac:dyDescent="0.25">
      <c r="C1018" s="40"/>
      <c r="D1018" s="101" t="s">
        <v>1092</v>
      </c>
      <c r="E1018" s="101" t="s">
        <v>1093</v>
      </c>
      <c r="F1018" s="102" t="s">
        <v>2750</v>
      </c>
      <c r="G1018" s="52"/>
      <c r="H1018" s="52"/>
      <c r="I1018" s="52" t="s">
        <v>1094</v>
      </c>
      <c r="J1018" s="52" t="s">
        <v>1094</v>
      </c>
      <c r="K1018" s="59" t="s">
        <v>111</v>
      </c>
      <c r="L1018" s="52"/>
      <c r="M1018" s="52"/>
      <c r="N1018" s="52"/>
      <c r="O1018" s="61" t="s">
        <v>1095</v>
      </c>
      <c r="P1018" s="76" t="s">
        <v>1096</v>
      </c>
      <c r="Q1018" s="55">
        <f>VLOOKUP(E1018,'NI-Ric_SP'!$C:$AN,12,FALSE)</f>
        <v>0</v>
      </c>
      <c r="R1018" s="55">
        <f>VLOOKUP(E1018,'NI-Ric_SP'!$C:$AN,13,FALSE)</f>
        <v>0</v>
      </c>
      <c r="S1018" s="55"/>
      <c r="T1018" s="55"/>
      <c r="U1018" s="55">
        <f>VLOOKUP($E1018,'NI-Ric_SP'!$C:$AN,MID(U$1,1,2),FALSE)</f>
        <v>0</v>
      </c>
      <c r="V1018" s="55">
        <f>VLOOKUP($E1018,'NI-Ric_SP'!$C:$AN,MID(V$1,1,2),FALSE)</f>
        <v>0</v>
      </c>
      <c r="W1018" s="55">
        <f>VLOOKUP($E1018,'NI-Ric_SP'!$C:$AN,MID(W$1,1,2),FALSE)</f>
        <v>0</v>
      </c>
      <c r="X1018" s="55">
        <f>VLOOKUP($E1018,'NI-Ric_SP'!$C:$AN,MID(X$1,1,2),FALSE)</f>
        <v>0</v>
      </c>
      <c r="Y1018" s="55">
        <f>VLOOKUP($E1018,'NI-Ric_SP'!$C:$AN,MID(Y$1,1,2),FALSE)</f>
        <v>0</v>
      </c>
      <c r="Z1018" s="55">
        <f>VLOOKUP($E1018,'NI-Ric_SP'!$C:$AN,MID(Z$1,1,2),FALSE)</f>
        <v>0</v>
      </c>
      <c r="AA1018" s="55">
        <f>VLOOKUP($E1018,'NI-Ric_SP'!$C:$AN,MID(AA$1,1,2),FALSE)</f>
        <v>0</v>
      </c>
      <c r="AB1018" s="55">
        <f>VLOOKUP($E1018,'NI-Ric_SP'!$C:$AN,MID(AB$1,1,2),FALSE)</f>
        <v>0</v>
      </c>
      <c r="AC1018" s="55">
        <f>VLOOKUP($E1018,'NI-Ric_SP'!$C:$AN,MID(AC$1,1,2),FALSE)</f>
        <v>0</v>
      </c>
      <c r="AD1018" s="55">
        <f>VLOOKUP($E1018,'NI-Ric_SP'!$C:$AN,MID(AD$1,1,2),FALSE)</f>
        <v>0</v>
      </c>
      <c r="AE1018" s="55">
        <f>VLOOKUP($E1018,'NI-Ric_SP'!$C:$AN,MID(AE$1,1,2),FALSE)</f>
        <v>0</v>
      </c>
      <c r="AF1018" s="55">
        <f>VLOOKUP($E1018,'NI-Ric_SP'!$C:$AN,MID(AF$1,1,2),FALSE)</f>
        <v>0</v>
      </c>
      <c r="AG1018" s="55">
        <f>VLOOKUP($E1018,'NI-Ric_SP'!$C:$AN,MID(AG$1,1,2),FALSE)</f>
        <v>0</v>
      </c>
      <c r="AH1018" s="55">
        <f>VLOOKUP($E1018,'NI-Ric_SP'!$C:$AN,MID(AH$1,1,2),FALSE)</f>
        <v>0</v>
      </c>
      <c r="AI1018" s="55">
        <f>VLOOKUP($E1018,'NI-Ric_SP'!$C:$AN,MID(AI$1,1,2),FALSE)</f>
        <v>0</v>
      </c>
      <c r="AJ1018" s="55">
        <f>VLOOKUP($E1018,'NI-Ric_SP'!$C:$AN,MID(AJ$1,1,2),FALSE)</f>
        <v>0</v>
      </c>
      <c r="AK1018" s="55">
        <f>VLOOKUP($E1018,'NI-Ric_SP'!$C:$AN,MID(AK$1,1,2),FALSE)</f>
        <v>0</v>
      </c>
      <c r="AL1018" s="55">
        <f>VLOOKUP($E1018,'NI-Ric_SP'!$C:$AN,MID(AL$1,1,2),FALSE)</f>
        <v>0</v>
      </c>
      <c r="AM1018" s="56">
        <f>VLOOKUP($E1018,'NI-Ric_SP'!$C:$AN,MID(AM$1,1,2),FALSE)</f>
        <v>0</v>
      </c>
      <c r="AN1018" s="30" t="str">
        <f t="shared" si="15"/>
        <v>10302010000000</v>
      </c>
    </row>
    <row r="1019" spans="3:40" x14ac:dyDescent="0.25">
      <c r="C1019" s="40"/>
      <c r="D1019" s="101" t="s">
        <v>1097</v>
      </c>
      <c r="E1019" s="101" t="s">
        <v>1098</v>
      </c>
      <c r="F1019" s="102" t="s">
        <v>2750</v>
      </c>
      <c r="G1019" s="52"/>
      <c r="H1019" s="52"/>
      <c r="I1019" s="52"/>
      <c r="J1019" s="52"/>
      <c r="K1019" s="59" t="s">
        <v>79</v>
      </c>
      <c r="L1019" s="52"/>
      <c r="M1019" s="52"/>
      <c r="N1019" s="52"/>
      <c r="O1019" s="61"/>
      <c r="P1019" s="76" t="s">
        <v>1099</v>
      </c>
      <c r="Q1019" s="55">
        <f>VLOOKUP(E1019,'NI-Ric_SP'!$C:$AN,12,FALSE)</f>
        <v>0</v>
      </c>
      <c r="R1019" s="55">
        <f>VLOOKUP(E1019,'NI-Ric_SP'!$C:$AN,13,FALSE)</f>
        <v>0</v>
      </c>
      <c r="S1019" s="55"/>
      <c r="T1019" s="55"/>
      <c r="U1019" s="55">
        <f>VLOOKUP($E1019,'NI-Ric_SP'!$C:$AN,MID(U$1,1,2),FALSE)</f>
        <v>0</v>
      </c>
      <c r="V1019" s="55">
        <f>VLOOKUP($E1019,'NI-Ric_SP'!$C:$AN,MID(V$1,1,2),FALSE)</f>
        <v>0</v>
      </c>
      <c r="W1019" s="55">
        <f>VLOOKUP($E1019,'NI-Ric_SP'!$C:$AN,MID(W$1,1,2),FALSE)</f>
        <v>0</v>
      </c>
      <c r="X1019" s="55">
        <f>VLOOKUP($E1019,'NI-Ric_SP'!$C:$AN,MID(X$1,1,2),FALSE)</f>
        <v>0</v>
      </c>
      <c r="Y1019" s="55">
        <f>VLOOKUP($E1019,'NI-Ric_SP'!$C:$AN,MID(Y$1,1,2),FALSE)</f>
        <v>0</v>
      </c>
      <c r="Z1019" s="55">
        <f>VLOOKUP($E1019,'NI-Ric_SP'!$C:$AN,MID(Z$1,1,2),FALSE)</f>
        <v>0</v>
      </c>
      <c r="AA1019" s="55">
        <f>VLOOKUP($E1019,'NI-Ric_SP'!$C:$AN,MID(AA$1,1,2),FALSE)</f>
        <v>0</v>
      </c>
      <c r="AB1019" s="55">
        <f>VLOOKUP($E1019,'NI-Ric_SP'!$C:$AN,MID(AB$1,1,2),FALSE)</f>
        <v>0</v>
      </c>
      <c r="AC1019" s="55">
        <f>VLOOKUP($E1019,'NI-Ric_SP'!$C:$AN,MID(AC$1,1,2),FALSE)</f>
        <v>0</v>
      </c>
      <c r="AD1019" s="55">
        <f>VLOOKUP($E1019,'NI-Ric_SP'!$C:$AN,MID(AD$1,1,2),FALSE)</f>
        <v>0</v>
      </c>
      <c r="AE1019" s="55">
        <f>VLOOKUP($E1019,'NI-Ric_SP'!$C:$AN,MID(AE$1,1,2),FALSE)</f>
        <v>0</v>
      </c>
      <c r="AF1019" s="55">
        <f>VLOOKUP($E1019,'NI-Ric_SP'!$C:$AN,MID(AF$1,1,2),FALSE)</f>
        <v>0</v>
      </c>
      <c r="AG1019" s="55">
        <f>VLOOKUP($E1019,'NI-Ric_SP'!$C:$AN,MID(AG$1,1,2),FALSE)</f>
        <v>0</v>
      </c>
      <c r="AH1019" s="55">
        <f>VLOOKUP($E1019,'NI-Ric_SP'!$C:$AN,MID(AH$1,1,2),FALSE)</f>
        <v>0</v>
      </c>
      <c r="AI1019" s="55" t="str">
        <f>VLOOKUP($E1019,'NI-Ric_SP'!$C:$AN,MID(AI$1,1,2),FALSE)</f>
        <v>OK</v>
      </c>
      <c r="AJ1019" s="55">
        <f>VLOOKUP($E1019,'NI-Ric_SP'!$C:$AN,MID(AJ$1,1,2),FALSE)</f>
        <v>0</v>
      </c>
      <c r="AK1019" s="55">
        <f>VLOOKUP($E1019,'NI-Ric_SP'!$C:$AN,MID(AK$1,1,2),FALSE)</f>
        <v>0</v>
      </c>
      <c r="AL1019" s="55">
        <f>VLOOKUP($E1019,'NI-Ric_SP'!$C:$AN,MID(AL$1,1,2),FALSE)</f>
        <v>0</v>
      </c>
      <c r="AM1019" s="56">
        <f>VLOOKUP($E1019,'NI-Ric_SP'!$C:$AN,MID(AM$1,1,2),FALSE)</f>
        <v>0</v>
      </c>
      <c r="AN1019" s="30" t="str">
        <f t="shared" si="15"/>
        <v>10302010010000</v>
      </c>
    </row>
    <row r="1020" spans="3:40" x14ac:dyDescent="0.25">
      <c r="C1020" s="40"/>
      <c r="D1020" s="101" t="s">
        <v>1100</v>
      </c>
      <c r="E1020" s="101" t="s">
        <v>1101</v>
      </c>
      <c r="F1020" s="102" t="s">
        <v>2750</v>
      </c>
      <c r="G1020" s="52"/>
      <c r="H1020" s="52"/>
      <c r="I1020" s="52"/>
      <c r="J1020" s="52"/>
      <c r="K1020" s="59" t="s">
        <v>79</v>
      </c>
      <c r="L1020" s="52"/>
      <c r="M1020" s="52"/>
      <c r="N1020" s="52"/>
      <c r="O1020" s="61"/>
      <c r="P1020" s="76" t="s">
        <v>1102</v>
      </c>
      <c r="Q1020" s="55">
        <f>VLOOKUP(E1020,'NI-Ric_SP'!$C:$AN,12,FALSE)</f>
        <v>0</v>
      </c>
      <c r="R1020" s="55">
        <f>VLOOKUP(E1020,'NI-Ric_SP'!$C:$AN,13,FALSE)</f>
        <v>0</v>
      </c>
      <c r="S1020" s="55"/>
      <c r="T1020" s="55"/>
      <c r="U1020" s="55">
        <f>VLOOKUP($E1020,'NI-Ric_SP'!$C:$AN,MID(U$1,1,2),FALSE)</f>
        <v>0</v>
      </c>
      <c r="V1020" s="55">
        <f>VLOOKUP($E1020,'NI-Ric_SP'!$C:$AN,MID(V$1,1,2),FALSE)</f>
        <v>0</v>
      </c>
      <c r="W1020" s="55">
        <f>VLOOKUP($E1020,'NI-Ric_SP'!$C:$AN,MID(W$1,1,2),FALSE)</f>
        <v>0</v>
      </c>
      <c r="X1020" s="55">
        <f>VLOOKUP($E1020,'NI-Ric_SP'!$C:$AN,MID(X$1,1,2),FALSE)</f>
        <v>0</v>
      </c>
      <c r="Y1020" s="55">
        <f>VLOOKUP($E1020,'NI-Ric_SP'!$C:$AN,MID(Y$1,1,2),FALSE)</f>
        <v>0</v>
      </c>
      <c r="Z1020" s="55">
        <f>VLOOKUP($E1020,'NI-Ric_SP'!$C:$AN,MID(Z$1,1,2),FALSE)</f>
        <v>0</v>
      </c>
      <c r="AA1020" s="55">
        <f>VLOOKUP($E1020,'NI-Ric_SP'!$C:$AN,MID(AA$1,1,2),FALSE)</f>
        <v>0</v>
      </c>
      <c r="AB1020" s="55">
        <f>VLOOKUP($E1020,'NI-Ric_SP'!$C:$AN,MID(AB$1,1,2),FALSE)</f>
        <v>0</v>
      </c>
      <c r="AC1020" s="55">
        <f>VLOOKUP($E1020,'NI-Ric_SP'!$C:$AN,MID(AC$1,1,2),FALSE)</f>
        <v>0</v>
      </c>
      <c r="AD1020" s="55">
        <f>VLOOKUP($E1020,'NI-Ric_SP'!$C:$AN,MID(AD$1,1,2),FALSE)</f>
        <v>0</v>
      </c>
      <c r="AE1020" s="55">
        <f>VLOOKUP($E1020,'NI-Ric_SP'!$C:$AN,MID(AE$1,1,2),FALSE)</f>
        <v>0</v>
      </c>
      <c r="AF1020" s="55">
        <f>VLOOKUP($E1020,'NI-Ric_SP'!$C:$AN,MID(AF$1,1,2),FALSE)</f>
        <v>0</v>
      </c>
      <c r="AG1020" s="55">
        <f>VLOOKUP($E1020,'NI-Ric_SP'!$C:$AN,MID(AG$1,1,2),FALSE)</f>
        <v>0</v>
      </c>
      <c r="AH1020" s="55">
        <f>VLOOKUP($E1020,'NI-Ric_SP'!$C:$AN,MID(AH$1,1,2),FALSE)</f>
        <v>0</v>
      </c>
      <c r="AI1020" s="55" t="str">
        <f>VLOOKUP($E1020,'NI-Ric_SP'!$C:$AN,MID(AI$1,1,2),FALSE)</f>
        <v>OK</v>
      </c>
      <c r="AJ1020" s="55">
        <f>VLOOKUP($E1020,'NI-Ric_SP'!$C:$AN,MID(AJ$1,1,2),FALSE)</f>
        <v>0</v>
      </c>
      <c r="AK1020" s="55">
        <f>VLOOKUP($E1020,'NI-Ric_SP'!$C:$AN,MID(AK$1,1,2),FALSE)</f>
        <v>0</v>
      </c>
      <c r="AL1020" s="55">
        <f>VLOOKUP($E1020,'NI-Ric_SP'!$C:$AN,MID(AL$1,1,2),FALSE)</f>
        <v>0</v>
      </c>
      <c r="AM1020" s="56">
        <f>VLOOKUP($E1020,'NI-Ric_SP'!$C:$AN,MID(AM$1,1,2),FALSE)</f>
        <v>0</v>
      </c>
      <c r="AN1020" s="30" t="str">
        <f t="shared" si="15"/>
        <v>10302010020000</v>
      </c>
    </row>
    <row r="1021" spans="3:40" x14ac:dyDescent="0.25">
      <c r="C1021" s="40"/>
      <c r="D1021" s="101" t="s">
        <v>1103</v>
      </c>
      <c r="E1021" s="101" t="s">
        <v>1104</v>
      </c>
      <c r="F1021" s="102" t="s">
        <v>2750</v>
      </c>
      <c r="G1021" s="52"/>
      <c r="H1021" s="52"/>
      <c r="I1021" s="52"/>
      <c r="J1021" s="52"/>
      <c r="K1021" s="59" t="s">
        <v>79</v>
      </c>
      <c r="L1021" s="52"/>
      <c r="M1021" s="52"/>
      <c r="N1021" s="52"/>
      <c r="O1021" s="52"/>
      <c r="P1021" s="76" t="s">
        <v>1105</v>
      </c>
      <c r="Q1021" s="55">
        <f>VLOOKUP(E1021,'NI-Ric_SP'!$C:$AN,12,FALSE)</f>
        <v>0</v>
      </c>
      <c r="R1021" s="55">
        <f>VLOOKUP(E1021,'NI-Ric_SP'!$C:$AN,13,FALSE)</f>
        <v>0</v>
      </c>
      <c r="S1021" s="55"/>
      <c r="T1021" s="55"/>
      <c r="U1021" s="55">
        <f>VLOOKUP($E1021,'NI-Ric_SP'!$C:$AN,MID(U$1,1,2),FALSE)</f>
        <v>0</v>
      </c>
      <c r="V1021" s="55">
        <f>VLOOKUP($E1021,'NI-Ric_SP'!$C:$AN,MID(V$1,1,2),FALSE)</f>
        <v>0</v>
      </c>
      <c r="W1021" s="55">
        <f>VLOOKUP($E1021,'NI-Ric_SP'!$C:$AN,MID(W$1,1,2),FALSE)</f>
        <v>0</v>
      </c>
      <c r="X1021" s="55">
        <f>VLOOKUP($E1021,'NI-Ric_SP'!$C:$AN,MID(X$1,1,2),FALSE)</f>
        <v>0</v>
      </c>
      <c r="Y1021" s="55">
        <f>VLOOKUP($E1021,'NI-Ric_SP'!$C:$AN,MID(Y$1,1,2),FALSE)</f>
        <v>0</v>
      </c>
      <c r="Z1021" s="55">
        <f>VLOOKUP($E1021,'NI-Ric_SP'!$C:$AN,MID(Z$1,1,2),FALSE)</f>
        <v>0</v>
      </c>
      <c r="AA1021" s="55">
        <f>VLOOKUP($E1021,'NI-Ric_SP'!$C:$AN,MID(AA$1,1,2),FALSE)</f>
        <v>0</v>
      </c>
      <c r="AB1021" s="55">
        <f>VLOOKUP($E1021,'NI-Ric_SP'!$C:$AN,MID(AB$1,1,2),FALSE)</f>
        <v>0</v>
      </c>
      <c r="AC1021" s="55">
        <f>VLOOKUP($E1021,'NI-Ric_SP'!$C:$AN,MID(AC$1,1,2),FALSE)</f>
        <v>0</v>
      </c>
      <c r="AD1021" s="55">
        <f>VLOOKUP($E1021,'NI-Ric_SP'!$C:$AN,MID(AD$1,1,2),FALSE)</f>
        <v>0</v>
      </c>
      <c r="AE1021" s="55">
        <f>VLOOKUP($E1021,'NI-Ric_SP'!$C:$AN,MID(AE$1,1,2),FALSE)</f>
        <v>0</v>
      </c>
      <c r="AF1021" s="55">
        <f>VLOOKUP($E1021,'NI-Ric_SP'!$C:$AN,MID(AF$1,1,2),FALSE)</f>
        <v>0</v>
      </c>
      <c r="AG1021" s="55">
        <f>VLOOKUP($E1021,'NI-Ric_SP'!$C:$AN,MID(AG$1,1,2),FALSE)</f>
        <v>0</v>
      </c>
      <c r="AH1021" s="55">
        <f>VLOOKUP($E1021,'NI-Ric_SP'!$C:$AN,MID(AH$1,1,2),FALSE)</f>
        <v>0</v>
      </c>
      <c r="AI1021" s="55" t="str">
        <f>VLOOKUP($E1021,'NI-Ric_SP'!$C:$AN,MID(AI$1,1,2),FALSE)</f>
        <v>OK</v>
      </c>
      <c r="AJ1021" s="55">
        <f>VLOOKUP($E1021,'NI-Ric_SP'!$C:$AN,MID(AJ$1,1,2),FALSE)</f>
        <v>0</v>
      </c>
      <c r="AK1021" s="55">
        <f>VLOOKUP($E1021,'NI-Ric_SP'!$C:$AN,MID(AK$1,1,2),FALSE)</f>
        <v>0</v>
      </c>
      <c r="AL1021" s="55">
        <f>VLOOKUP($E1021,'NI-Ric_SP'!$C:$AN,MID(AL$1,1,2),FALSE)</f>
        <v>0</v>
      </c>
      <c r="AM1021" s="56">
        <f>VLOOKUP($E1021,'NI-Ric_SP'!$C:$AN,MID(AM$1,1,2),FALSE)</f>
        <v>0</v>
      </c>
      <c r="AN1021" s="30" t="str">
        <f t="shared" si="15"/>
        <v>10302010030000</v>
      </c>
    </row>
    <row r="1022" spans="3:40" x14ac:dyDescent="0.25">
      <c r="C1022" s="40"/>
      <c r="D1022" s="101" t="s">
        <v>1106</v>
      </c>
      <c r="E1022" s="101" t="s">
        <v>1107</v>
      </c>
      <c r="F1022" s="102" t="s">
        <v>2750</v>
      </c>
      <c r="G1022" s="52"/>
      <c r="H1022" s="52"/>
      <c r="I1022" s="52"/>
      <c r="J1022" s="52"/>
      <c r="K1022" s="59" t="s">
        <v>111</v>
      </c>
      <c r="L1022" s="52"/>
      <c r="M1022" s="52"/>
      <c r="N1022" s="52"/>
      <c r="O1022" s="61" t="s">
        <v>1108</v>
      </c>
      <c r="P1022" s="76" t="s">
        <v>1109</v>
      </c>
      <c r="Q1022" s="55">
        <f>VLOOKUP(E1022,'NI-Ric_SP'!$C:$AN,12,FALSE)</f>
        <v>0</v>
      </c>
      <c r="R1022" s="55">
        <f>VLOOKUP(E1022,'NI-Ric_SP'!$C:$AN,13,FALSE)</f>
        <v>0</v>
      </c>
      <c r="S1022" s="55"/>
      <c r="T1022" s="55"/>
      <c r="U1022" s="55">
        <f>VLOOKUP($E1022,'NI-Ric_SP'!$C:$AN,MID(U$1,1,2),FALSE)</f>
        <v>0</v>
      </c>
      <c r="V1022" s="55">
        <f>VLOOKUP($E1022,'NI-Ric_SP'!$C:$AN,MID(V$1,1,2),FALSE)</f>
        <v>0</v>
      </c>
      <c r="W1022" s="55">
        <f>VLOOKUP($E1022,'NI-Ric_SP'!$C:$AN,MID(W$1,1,2),FALSE)</f>
        <v>0</v>
      </c>
      <c r="X1022" s="55">
        <f>VLOOKUP($E1022,'NI-Ric_SP'!$C:$AN,MID(X$1,1,2),FALSE)</f>
        <v>0</v>
      </c>
      <c r="Y1022" s="55">
        <f>VLOOKUP($E1022,'NI-Ric_SP'!$C:$AN,MID(Y$1,1,2),FALSE)</f>
        <v>0</v>
      </c>
      <c r="Z1022" s="55">
        <f>VLOOKUP($E1022,'NI-Ric_SP'!$C:$AN,MID(Z$1,1,2),FALSE)</f>
        <v>0</v>
      </c>
      <c r="AA1022" s="55">
        <f>VLOOKUP($E1022,'NI-Ric_SP'!$C:$AN,MID(AA$1,1,2),FALSE)</f>
        <v>0</v>
      </c>
      <c r="AB1022" s="55">
        <f>VLOOKUP($E1022,'NI-Ric_SP'!$C:$AN,MID(AB$1,1,2),FALSE)</f>
        <v>0</v>
      </c>
      <c r="AC1022" s="55">
        <f>VLOOKUP($E1022,'NI-Ric_SP'!$C:$AN,MID(AC$1,1,2),FALSE)</f>
        <v>0</v>
      </c>
      <c r="AD1022" s="55">
        <f>VLOOKUP($E1022,'NI-Ric_SP'!$C:$AN,MID(AD$1,1,2),FALSE)</f>
        <v>0</v>
      </c>
      <c r="AE1022" s="55">
        <f>VLOOKUP($E1022,'NI-Ric_SP'!$C:$AN,MID(AE$1,1,2),FALSE)</f>
        <v>0</v>
      </c>
      <c r="AF1022" s="55">
        <f>VLOOKUP($E1022,'NI-Ric_SP'!$C:$AN,MID(AF$1,1,2),FALSE)</f>
        <v>0</v>
      </c>
      <c r="AG1022" s="55">
        <f>VLOOKUP($E1022,'NI-Ric_SP'!$C:$AN,MID(AG$1,1,2),FALSE)</f>
        <v>0</v>
      </c>
      <c r="AH1022" s="55">
        <f>VLOOKUP($E1022,'NI-Ric_SP'!$C:$AN,MID(AH$1,1,2),FALSE)</f>
        <v>0</v>
      </c>
      <c r="AI1022" s="55">
        <f>VLOOKUP($E1022,'NI-Ric_SP'!$C:$AN,MID(AI$1,1,2),FALSE)</f>
        <v>0</v>
      </c>
      <c r="AJ1022" s="55">
        <f>VLOOKUP($E1022,'NI-Ric_SP'!$C:$AN,MID(AJ$1,1,2),FALSE)</f>
        <v>0</v>
      </c>
      <c r="AK1022" s="55">
        <f>VLOOKUP($E1022,'NI-Ric_SP'!$C:$AN,MID(AK$1,1,2),FALSE)</f>
        <v>0</v>
      </c>
      <c r="AL1022" s="55">
        <f>VLOOKUP($E1022,'NI-Ric_SP'!$C:$AN,MID(AL$1,1,2),FALSE)</f>
        <v>0</v>
      </c>
      <c r="AM1022" s="56">
        <f>VLOOKUP($E1022,'NI-Ric_SP'!$C:$AN,MID(AM$1,1,2),FALSE)</f>
        <v>0</v>
      </c>
      <c r="AN1022" s="30" t="str">
        <f t="shared" si="15"/>
        <v>10302020000000</v>
      </c>
    </row>
    <row r="1023" spans="3:40" x14ac:dyDescent="0.25">
      <c r="C1023" s="40"/>
      <c r="D1023" s="101" t="s">
        <v>1110</v>
      </c>
      <c r="E1023" s="101" t="s">
        <v>1111</v>
      </c>
      <c r="F1023" s="102" t="s">
        <v>2750</v>
      </c>
      <c r="G1023" s="52"/>
      <c r="H1023" s="52"/>
      <c r="I1023" s="52" t="s">
        <v>1112</v>
      </c>
      <c r="J1023" s="52" t="s">
        <v>1112</v>
      </c>
      <c r="K1023" s="59" t="s">
        <v>79</v>
      </c>
      <c r="L1023" s="52"/>
      <c r="M1023" s="52"/>
      <c r="N1023" s="52"/>
      <c r="O1023" s="52"/>
      <c r="P1023" s="76" t="s">
        <v>1113</v>
      </c>
      <c r="Q1023" s="55">
        <f>VLOOKUP(E1023,'NI-Ric_SP'!$C:$AN,12,FALSE)</f>
        <v>0</v>
      </c>
      <c r="R1023" s="55">
        <f>VLOOKUP(E1023,'NI-Ric_SP'!$C:$AN,13,FALSE)</f>
        <v>0</v>
      </c>
      <c r="S1023" s="55"/>
      <c r="T1023" s="55"/>
      <c r="U1023" s="55">
        <f>VLOOKUP($E1023,'NI-Ric_SP'!$C:$AN,MID(U$1,1,2),FALSE)</f>
        <v>0</v>
      </c>
      <c r="V1023" s="55">
        <f>VLOOKUP($E1023,'NI-Ric_SP'!$C:$AN,MID(V$1,1,2),FALSE)</f>
        <v>0</v>
      </c>
      <c r="W1023" s="55">
        <f>VLOOKUP($E1023,'NI-Ric_SP'!$C:$AN,MID(W$1,1,2),FALSE)</f>
        <v>0</v>
      </c>
      <c r="X1023" s="55">
        <f>VLOOKUP($E1023,'NI-Ric_SP'!$C:$AN,MID(X$1,1,2),FALSE)</f>
        <v>0</v>
      </c>
      <c r="Y1023" s="55">
        <f>VLOOKUP($E1023,'NI-Ric_SP'!$C:$AN,MID(Y$1,1,2),FALSE)</f>
        <v>0</v>
      </c>
      <c r="Z1023" s="55">
        <f>VLOOKUP($E1023,'NI-Ric_SP'!$C:$AN,MID(Z$1,1,2),FALSE)</f>
        <v>0</v>
      </c>
      <c r="AA1023" s="55">
        <f>VLOOKUP($E1023,'NI-Ric_SP'!$C:$AN,MID(AA$1,1,2),FALSE)</f>
        <v>0</v>
      </c>
      <c r="AB1023" s="55">
        <f>VLOOKUP($E1023,'NI-Ric_SP'!$C:$AN,MID(AB$1,1,2),FALSE)</f>
        <v>0</v>
      </c>
      <c r="AC1023" s="55">
        <f>VLOOKUP($E1023,'NI-Ric_SP'!$C:$AN,MID(AC$1,1,2),FALSE)</f>
        <v>0</v>
      </c>
      <c r="AD1023" s="55">
        <f>VLOOKUP($E1023,'NI-Ric_SP'!$C:$AN,MID(AD$1,1,2),FALSE)</f>
        <v>0</v>
      </c>
      <c r="AE1023" s="55">
        <f>VLOOKUP($E1023,'NI-Ric_SP'!$C:$AN,MID(AE$1,1,2),FALSE)</f>
        <v>0</v>
      </c>
      <c r="AF1023" s="55">
        <f>VLOOKUP($E1023,'NI-Ric_SP'!$C:$AN,MID(AF$1,1,2),FALSE)</f>
        <v>0</v>
      </c>
      <c r="AG1023" s="55">
        <f>VLOOKUP($E1023,'NI-Ric_SP'!$C:$AN,MID(AG$1,1,2),FALSE)</f>
        <v>0</v>
      </c>
      <c r="AH1023" s="55">
        <f>VLOOKUP($E1023,'NI-Ric_SP'!$C:$AN,MID(AH$1,1,2),FALSE)</f>
        <v>0</v>
      </c>
      <c r="AI1023" s="55">
        <f>VLOOKUP($E1023,'NI-Ric_SP'!$C:$AN,MID(AI$1,1,2),FALSE)</f>
        <v>0</v>
      </c>
      <c r="AJ1023" s="55">
        <f>VLOOKUP($E1023,'NI-Ric_SP'!$C:$AN,MID(AJ$1,1,2),FALSE)</f>
        <v>0</v>
      </c>
      <c r="AK1023" s="55">
        <f>VLOOKUP($E1023,'NI-Ric_SP'!$C:$AN,MID(AK$1,1,2),FALSE)</f>
        <v>0</v>
      </c>
      <c r="AL1023" s="55">
        <f>VLOOKUP($E1023,'NI-Ric_SP'!$C:$AN,MID(AL$1,1,2),FALSE)</f>
        <v>0</v>
      </c>
      <c r="AM1023" s="56">
        <f>VLOOKUP($E1023,'NI-Ric_SP'!$C:$AN,MID(AM$1,1,2),FALSE)</f>
        <v>0</v>
      </c>
      <c r="AN1023" s="30" t="str">
        <f t="shared" si="15"/>
        <v>10302020010000</v>
      </c>
    </row>
    <row r="1024" spans="3:40" x14ac:dyDescent="0.25">
      <c r="C1024" s="40"/>
      <c r="D1024" s="101" t="s">
        <v>1114</v>
      </c>
      <c r="E1024" s="101" t="s">
        <v>1115</v>
      </c>
      <c r="F1024" s="102" t="s">
        <v>2750</v>
      </c>
      <c r="G1024" s="52"/>
      <c r="H1024" s="52"/>
      <c r="I1024" s="52" t="s">
        <v>1116</v>
      </c>
      <c r="J1024" s="52" t="s">
        <v>1116</v>
      </c>
      <c r="K1024" s="59" t="s">
        <v>79</v>
      </c>
      <c r="L1024" s="52"/>
      <c r="M1024" s="52"/>
      <c r="N1024" s="52"/>
      <c r="O1024" s="52"/>
      <c r="P1024" s="76" t="s">
        <v>1117</v>
      </c>
      <c r="Q1024" s="55">
        <f>VLOOKUP(E1024,'NI-Ric_SP'!$C:$AN,12,FALSE)</f>
        <v>0</v>
      </c>
      <c r="R1024" s="55">
        <f>VLOOKUP(E1024,'NI-Ric_SP'!$C:$AN,13,FALSE)</f>
        <v>0</v>
      </c>
      <c r="S1024" s="55"/>
      <c r="T1024" s="55"/>
      <c r="U1024" s="55">
        <f>VLOOKUP($E1024,'NI-Ric_SP'!$C:$AN,MID(U$1,1,2),FALSE)</f>
        <v>0</v>
      </c>
      <c r="V1024" s="55">
        <f>VLOOKUP($E1024,'NI-Ric_SP'!$C:$AN,MID(V$1,1,2),FALSE)</f>
        <v>0</v>
      </c>
      <c r="W1024" s="55">
        <f>VLOOKUP($E1024,'NI-Ric_SP'!$C:$AN,MID(W$1,1,2),FALSE)</f>
        <v>0</v>
      </c>
      <c r="X1024" s="55">
        <f>VLOOKUP($E1024,'NI-Ric_SP'!$C:$AN,MID(X$1,1,2),FALSE)</f>
        <v>0</v>
      </c>
      <c r="Y1024" s="55">
        <f>VLOOKUP($E1024,'NI-Ric_SP'!$C:$AN,MID(Y$1,1,2),FALSE)</f>
        <v>0</v>
      </c>
      <c r="Z1024" s="55">
        <f>VLOOKUP($E1024,'NI-Ric_SP'!$C:$AN,MID(Z$1,1,2),FALSE)</f>
        <v>0</v>
      </c>
      <c r="AA1024" s="55">
        <f>VLOOKUP($E1024,'NI-Ric_SP'!$C:$AN,MID(AA$1,1,2),FALSE)</f>
        <v>0</v>
      </c>
      <c r="AB1024" s="55">
        <f>VLOOKUP($E1024,'NI-Ric_SP'!$C:$AN,MID(AB$1,1,2),FALSE)</f>
        <v>0</v>
      </c>
      <c r="AC1024" s="55">
        <f>VLOOKUP($E1024,'NI-Ric_SP'!$C:$AN,MID(AC$1,1,2),FALSE)</f>
        <v>0</v>
      </c>
      <c r="AD1024" s="55">
        <f>VLOOKUP($E1024,'NI-Ric_SP'!$C:$AN,MID(AD$1,1,2),FALSE)</f>
        <v>0</v>
      </c>
      <c r="AE1024" s="55">
        <f>VLOOKUP($E1024,'NI-Ric_SP'!$C:$AN,MID(AE$1,1,2),FALSE)</f>
        <v>0</v>
      </c>
      <c r="AF1024" s="55">
        <f>VLOOKUP($E1024,'NI-Ric_SP'!$C:$AN,MID(AF$1,1,2),FALSE)</f>
        <v>0</v>
      </c>
      <c r="AG1024" s="55">
        <f>VLOOKUP($E1024,'NI-Ric_SP'!$C:$AN,MID(AG$1,1,2),FALSE)</f>
        <v>0</v>
      </c>
      <c r="AH1024" s="55">
        <f>VLOOKUP($E1024,'NI-Ric_SP'!$C:$AN,MID(AH$1,1,2),FALSE)</f>
        <v>0</v>
      </c>
      <c r="AI1024" s="55">
        <f>VLOOKUP($E1024,'NI-Ric_SP'!$C:$AN,MID(AI$1,1,2),FALSE)</f>
        <v>0</v>
      </c>
      <c r="AJ1024" s="55">
        <f>VLOOKUP($E1024,'NI-Ric_SP'!$C:$AN,MID(AJ$1,1,2),FALSE)</f>
        <v>0</v>
      </c>
      <c r="AK1024" s="55">
        <f>VLOOKUP($E1024,'NI-Ric_SP'!$C:$AN,MID(AK$1,1,2),FALSE)</f>
        <v>0</v>
      </c>
      <c r="AL1024" s="55">
        <f>VLOOKUP($E1024,'NI-Ric_SP'!$C:$AN,MID(AL$1,1,2),FALSE)</f>
        <v>0</v>
      </c>
      <c r="AM1024" s="56">
        <f>VLOOKUP($E1024,'NI-Ric_SP'!$C:$AN,MID(AM$1,1,2),FALSE)</f>
        <v>0</v>
      </c>
      <c r="AN1024" s="30" t="str">
        <f t="shared" si="15"/>
        <v>10302020020000</v>
      </c>
    </row>
    <row r="1025" spans="3:40" x14ac:dyDescent="0.25">
      <c r="C1025" s="40"/>
      <c r="D1025" s="101" t="s">
        <v>1118</v>
      </c>
      <c r="E1025" s="101" t="s">
        <v>1119</v>
      </c>
      <c r="F1025" s="102" t="s">
        <v>2750</v>
      </c>
      <c r="G1025" s="52"/>
      <c r="H1025" s="52"/>
      <c r="I1025" s="52" t="s">
        <v>1120</v>
      </c>
      <c r="J1025" s="52" t="s">
        <v>1120</v>
      </c>
      <c r="K1025" s="59" t="s">
        <v>79</v>
      </c>
      <c r="L1025" s="52"/>
      <c r="M1025" s="52"/>
      <c r="N1025" s="52"/>
      <c r="O1025" s="52"/>
      <c r="P1025" s="76" t="s">
        <v>1121</v>
      </c>
      <c r="Q1025" s="55">
        <f>VLOOKUP(E1025,'NI-Ric_SP'!$C:$AN,12,FALSE)</f>
        <v>0</v>
      </c>
      <c r="R1025" s="55">
        <f>VLOOKUP(E1025,'NI-Ric_SP'!$C:$AN,13,FALSE)</f>
        <v>0</v>
      </c>
      <c r="S1025" s="55"/>
      <c r="T1025" s="55"/>
      <c r="U1025" s="55">
        <f>VLOOKUP($E1025,'NI-Ric_SP'!$C:$AN,MID(U$1,1,2),FALSE)</f>
        <v>0</v>
      </c>
      <c r="V1025" s="55">
        <f>VLOOKUP($E1025,'NI-Ric_SP'!$C:$AN,MID(V$1,1,2),FALSE)</f>
        <v>0</v>
      </c>
      <c r="W1025" s="55">
        <f>VLOOKUP($E1025,'NI-Ric_SP'!$C:$AN,MID(W$1,1,2),FALSE)</f>
        <v>0</v>
      </c>
      <c r="X1025" s="55">
        <f>VLOOKUP($E1025,'NI-Ric_SP'!$C:$AN,MID(X$1,1,2),FALSE)</f>
        <v>0</v>
      </c>
      <c r="Y1025" s="55">
        <f>VLOOKUP($E1025,'NI-Ric_SP'!$C:$AN,MID(Y$1,1,2),FALSE)</f>
        <v>0</v>
      </c>
      <c r="Z1025" s="55">
        <f>VLOOKUP($E1025,'NI-Ric_SP'!$C:$AN,MID(Z$1,1,2),FALSE)</f>
        <v>0</v>
      </c>
      <c r="AA1025" s="55">
        <f>VLOOKUP($E1025,'NI-Ric_SP'!$C:$AN,MID(AA$1,1,2),FALSE)</f>
        <v>0</v>
      </c>
      <c r="AB1025" s="55">
        <f>VLOOKUP($E1025,'NI-Ric_SP'!$C:$AN,MID(AB$1,1,2),FALSE)</f>
        <v>0</v>
      </c>
      <c r="AC1025" s="55">
        <f>VLOOKUP($E1025,'NI-Ric_SP'!$C:$AN,MID(AC$1,1,2),FALSE)</f>
        <v>0</v>
      </c>
      <c r="AD1025" s="55">
        <f>VLOOKUP($E1025,'NI-Ric_SP'!$C:$AN,MID(AD$1,1,2),FALSE)</f>
        <v>0</v>
      </c>
      <c r="AE1025" s="55">
        <f>VLOOKUP($E1025,'NI-Ric_SP'!$C:$AN,MID(AE$1,1,2),FALSE)</f>
        <v>0</v>
      </c>
      <c r="AF1025" s="55">
        <f>VLOOKUP($E1025,'NI-Ric_SP'!$C:$AN,MID(AF$1,1,2),FALSE)</f>
        <v>0</v>
      </c>
      <c r="AG1025" s="55">
        <f>VLOOKUP($E1025,'NI-Ric_SP'!$C:$AN,MID(AG$1,1,2),FALSE)</f>
        <v>0</v>
      </c>
      <c r="AH1025" s="55">
        <f>VLOOKUP($E1025,'NI-Ric_SP'!$C:$AN,MID(AH$1,1,2),FALSE)</f>
        <v>0</v>
      </c>
      <c r="AI1025" s="55">
        <f>VLOOKUP($E1025,'NI-Ric_SP'!$C:$AN,MID(AI$1,1,2),FALSE)</f>
        <v>0</v>
      </c>
      <c r="AJ1025" s="55">
        <f>VLOOKUP($E1025,'NI-Ric_SP'!$C:$AN,MID(AJ$1,1,2),FALSE)</f>
        <v>0</v>
      </c>
      <c r="AK1025" s="55">
        <f>VLOOKUP($E1025,'NI-Ric_SP'!$C:$AN,MID(AK$1,1,2),FALSE)</f>
        <v>0</v>
      </c>
      <c r="AL1025" s="55">
        <f>VLOOKUP($E1025,'NI-Ric_SP'!$C:$AN,MID(AL$1,1,2),FALSE)</f>
        <v>0</v>
      </c>
      <c r="AM1025" s="56">
        <f>VLOOKUP($E1025,'NI-Ric_SP'!$C:$AN,MID(AM$1,1,2),FALSE)</f>
        <v>0</v>
      </c>
      <c r="AN1025" s="30" t="str">
        <f t="shared" si="15"/>
        <v>10302020030000</v>
      </c>
    </row>
    <row r="1026" spans="3:40" x14ac:dyDescent="0.25">
      <c r="C1026" s="40"/>
      <c r="D1026" s="101" t="s">
        <v>1122</v>
      </c>
      <c r="E1026" s="101" t="s">
        <v>1123</v>
      </c>
      <c r="F1026" s="102" t="s">
        <v>2750</v>
      </c>
      <c r="G1026" s="52"/>
      <c r="H1026" s="52"/>
      <c r="I1026" s="52" t="s">
        <v>1124</v>
      </c>
      <c r="J1026" s="52" t="s">
        <v>1124</v>
      </c>
      <c r="K1026" s="59" t="s">
        <v>79</v>
      </c>
      <c r="L1026" s="52"/>
      <c r="M1026" s="52"/>
      <c r="N1026" s="52"/>
      <c r="O1026" s="52"/>
      <c r="P1026" s="76" t="s">
        <v>1125</v>
      </c>
      <c r="Q1026" s="55">
        <f>VLOOKUP(E1026,'NI-Ric_SP'!$C:$AN,12,FALSE)</f>
        <v>0</v>
      </c>
      <c r="R1026" s="55">
        <f>VLOOKUP(E1026,'NI-Ric_SP'!$C:$AN,13,FALSE)</f>
        <v>0</v>
      </c>
      <c r="S1026" s="55"/>
      <c r="T1026" s="55"/>
      <c r="U1026" s="55">
        <f>VLOOKUP($E1026,'NI-Ric_SP'!$C:$AN,MID(U$1,1,2),FALSE)</f>
        <v>0</v>
      </c>
      <c r="V1026" s="55">
        <f>VLOOKUP($E1026,'NI-Ric_SP'!$C:$AN,MID(V$1,1,2),FALSE)</f>
        <v>0</v>
      </c>
      <c r="W1026" s="55">
        <f>VLOOKUP($E1026,'NI-Ric_SP'!$C:$AN,MID(W$1,1,2),FALSE)</f>
        <v>0</v>
      </c>
      <c r="X1026" s="55">
        <f>VLOOKUP($E1026,'NI-Ric_SP'!$C:$AN,MID(X$1,1,2),FALSE)</f>
        <v>0</v>
      </c>
      <c r="Y1026" s="55">
        <f>VLOOKUP($E1026,'NI-Ric_SP'!$C:$AN,MID(Y$1,1,2),FALSE)</f>
        <v>0</v>
      </c>
      <c r="Z1026" s="55">
        <f>VLOOKUP($E1026,'NI-Ric_SP'!$C:$AN,MID(Z$1,1,2),FALSE)</f>
        <v>0</v>
      </c>
      <c r="AA1026" s="55">
        <f>VLOOKUP($E1026,'NI-Ric_SP'!$C:$AN,MID(AA$1,1,2),FALSE)</f>
        <v>0</v>
      </c>
      <c r="AB1026" s="55">
        <f>VLOOKUP($E1026,'NI-Ric_SP'!$C:$AN,MID(AB$1,1,2),FALSE)</f>
        <v>0</v>
      </c>
      <c r="AC1026" s="55">
        <f>VLOOKUP($E1026,'NI-Ric_SP'!$C:$AN,MID(AC$1,1,2),FALSE)</f>
        <v>0</v>
      </c>
      <c r="AD1026" s="55">
        <f>VLOOKUP($E1026,'NI-Ric_SP'!$C:$AN,MID(AD$1,1,2),FALSE)</f>
        <v>0</v>
      </c>
      <c r="AE1026" s="55">
        <f>VLOOKUP($E1026,'NI-Ric_SP'!$C:$AN,MID(AE$1,1,2),FALSE)</f>
        <v>0</v>
      </c>
      <c r="AF1026" s="55">
        <f>VLOOKUP($E1026,'NI-Ric_SP'!$C:$AN,MID(AF$1,1,2),FALSE)</f>
        <v>0</v>
      </c>
      <c r="AG1026" s="55">
        <f>VLOOKUP($E1026,'NI-Ric_SP'!$C:$AN,MID(AG$1,1,2),FALSE)</f>
        <v>0</v>
      </c>
      <c r="AH1026" s="55">
        <f>VLOOKUP($E1026,'NI-Ric_SP'!$C:$AN,MID(AH$1,1,2),FALSE)</f>
        <v>0</v>
      </c>
      <c r="AI1026" s="55">
        <f>VLOOKUP($E1026,'NI-Ric_SP'!$C:$AN,MID(AI$1,1,2),FALSE)</f>
        <v>0</v>
      </c>
      <c r="AJ1026" s="55">
        <f>VLOOKUP($E1026,'NI-Ric_SP'!$C:$AN,MID(AJ$1,1,2),FALSE)</f>
        <v>0</v>
      </c>
      <c r="AK1026" s="55">
        <f>VLOOKUP($E1026,'NI-Ric_SP'!$C:$AN,MID(AK$1,1,2),FALSE)</f>
        <v>0</v>
      </c>
      <c r="AL1026" s="55">
        <f>VLOOKUP($E1026,'NI-Ric_SP'!$C:$AN,MID(AL$1,1,2),FALSE)</f>
        <v>0</v>
      </c>
      <c r="AM1026" s="56">
        <f>VLOOKUP($E1026,'NI-Ric_SP'!$C:$AN,MID(AM$1,1,2),FALSE)</f>
        <v>0</v>
      </c>
      <c r="AN1026" s="30" t="str">
        <f t="shared" ref="AN1026:AN1089" si="16">D1026</f>
        <v>10302020040000</v>
      </c>
    </row>
    <row r="1027" spans="3:40" x14ac:dyDescent="0.25">
      <c r="C1027" s="40"/>
      <c r="D1027" s="101" t="s">
        <v>1126</v>
      </c>
      <c r="E1027" s="101" t="s">
        <v>1127</v>
      </c>
      <c r="F1027" s="102" t="s">
        <v>2750</v>
      </c>
      <c r="G1027" s="51"/>
      <c r="H1027" s="52"/>
      <c r="I1027" s="52"/>
      <c r="J1027" s="52"/>
      <c r="K1027" s="53" t="s">
        <v>111</v>
      </c>
      <c r="L1027" s="52"/>
      <c r="M1027" s="52"/>
      <c r="N1027" s="52"/>
      <c r="O1027" s="52"/>
      <c r="P1027" s="76" t="s">
        <v>1128</v>
      </c>
      <c r="Q1027" s="55">
        <f>VLOOKUP(E1027,'NI-Ric_SP'!$C:$AN,12,FALSE)</f>
        <v>0</v>
      </c>
      <c r="R1027" s="55">
        <f>VLOOKUP(E1027,'NI-Ric_SP'!$C:$AN,13,FALSE)</f>
        <v>0</v>
      </c>
      <c r="S1027" s="55"/>
      <c r="T1027" s="55"/>
      <c r="U1027" s="55">
        <f>VLOOKUP($E1027,'NI-Ric_SP'!$C:$AN,MID(U$1,1,2),FALSE)</f>
        <v>0</v>
      </c>
      <c r="V1027" s="55">
        <f>VLOOKUP($E1027,'NI-Ric_SP'!$C:$AN,MID(V$1,1,2),FALSE)</f>
        <v>0</v>
      </c>
      <c r="W1027" s="55">
        <f>VLOOKUP($E1027,'NI-Ric_SP'!$C:$AN,MID(W$1,1,2),FALSE)</f>
        <v>0</v>
      </c>
      <c r="X1027" s="55">
        <f>VLOOKUP($E1027,'NI-Ric_SP'!$C:$AN,MID(X$1,1,2),FALSE)</f>
        <v>0</v>
      </c>
      <c r="Y1027" s="55">
        <f>VLOOKUP($E1027,'NI-Ric_SP'!$C:$AN,MID(Y$1,1,2),FALSE)</f>
        <v>0</v>
      </c>
      <c r="Z1027" s="55">
        <f>VLOOKUP($E1027,'NI-Ric_SP'!$C:$AN,MID(Z$1,1,2),FALSE)</f>
        <v>0</v>
      </c>
      <c r="AA1027" s="55">
        <f>VLOOKUP($E1027,'NI-Ric_SP'!$C:$AN,MID(AA$1,1,2),FALSE)</f>
        <v>0</v>
      </c>
      <c r="AB1027" s="55">
        <f>VLOOKUP($E1027,'NI-Ric_SP'!$C:$AN,MID(AB$1,1,2),FALSE)</f>
        <v>0</v>
      </c>
      <c r="AC1027" s="55">
        <f>VLOOKUP($E1027,'NI-Ric_SP'!$C:$AN,MID(AC$1,1,2),FALSE)</f>
        <v>0</v>
      </c>
      <c r="AD1027" s="55">
        <f>VLOOKUP($E1027,'NI-Ric_SP'!$C:$AN,MID(AD$1,1,2),FALSE)</f>
        <v>0</v>
      </c>
      <c r="AE1027" s="55">
        <f>VLOOKUP($E1027,'NI-Ric_SP'!$C:$AN,MID(AE$1,1,2),FALSE)</f>
        <v>0</v>
      </c>
      <c r="AF1027" s="55">
        <f>VLOOKUP($E1027,'NI-Ric_SP'!$C:$AN,MID(AF$1,1,2),FALSE)</f>
        <v>0</v>
      </c>
      <c r="AG1027" s="55">
        <f>VLOOKUP($E1027,'NI-Ric_SP'!$C:$AN,MID(AG$1,1,2),FALSE)</f>
        <v>0</v>
      </c>
      <c r="AH1027" s="55">
        <f>VLOOKUP($E1027,'NI-Ric_SP'!$C:$AN,MID(AH$1,1,2),FALSE)</f>
        <v>0</v>
      </c>
      <c r="AI1027" s="55">
        <f>VLOOKUP($E1027,'NI-Ric_SP'!$C:$AN,MID(AI$1,1,2),FALSE)</f>
        <v>0</v>
      </c>
      <c r="AJ1027" s="55">
        <f>VLOOKUP($E1027,'NI-Ric_SP'!$C:$AN,MID(AJ$1,1,2),FALSE)</f>
        <v>0</v>
      </c>
      <c r="AK1027" s="55">
        <f>VLOOKUP($E1027,'NI-Ric_SP'!$C:$AN,MID(AK$1,1,2),FALSE)</f>
        <v>0</v>
      </c>
      <c r="AL1027" s="55">
        <f>VLOOKUP($E1027,'NI-Ric_SP'!$C:$AN,MID(AL$1,1,2),FALSE)</f>
        <v>0</v>
      </c>
      <c r="AM1027" s="56">
        <f>VLOOKUP($E1027,'NI-Ric_SP'!$C:$AN,MID(AM$1,1,2),FALSE)</f>
        <v>0</v>
      </c>
      <c r="AN1027" s="30" t="str">
        <f t="shared" si="16"/>
        <v>20000000000000</v>
      </c>
    </row>
    <row r="1028" spans="3:40" x14ac:dyDescent="0.25">
      <c r="C1028" s="40"/>
      <c r="D1028" s="101" t="s">
        <v>1129</v>
      </c>
      <c r="E1028" s="101" t="s">
        <v>1130</v>
      </c>
      <c r="F1028" s="102" t="s">
        <v>2750</v>
      </c>
      <c r="G1028" s="52"/>
      <c r="H1028" s="52"/>
      <c r="I1028" s="52"/>
      <c r="J1028" s="52"/>
      <c r="K1028" s="59" t="s">
        <v>111</v>
      </c>
      <c r="L1028" s="52"/>
      <c r="M1028" s="52"/>
      <c r="N1028" s="52"/>
      <c r="O1028" s="52"/>
      <c r="P1028" s="76" t="s">
        <v>1131</v>
      </c>
      <c r="Q1028" s="55">
        <f>VLOOKUP(E1028,'NI-Ric_SP'!$C:$AN,12,FALSE)</f>
        <v>0</v>
      </c>
      <c r="R1028" s="55">
        <f>VLOOKUP(E1028,'NI-Ric_SP'!$C:$AN,13,FALSE)</f>
        <v>0</v>
      </c>
      <c r="S1028" s="55"/>
      <c r="T1028" s="55"/>
      <c r="U1028" s="55">
        <f>VLOOKUP($E1028,'NI-Ric_SP'!$C:$AN,MID(U$1,1,2),FALSE)</f>
        <v>0</v>
      </c>
      <c r="V1028" s="55">
        <f>VLOOKUP($E1028,'NI-Ric_SP'!$C:$AN,MID(V$1,1,2),FALSE)</f>
        <v>0</v>
      </c>
      <c r="W1028" s="55">
        <f>VLOOKUP($E1028,'NI-Ric_SP'!$C:$AN,MID(W$1,1,2),FALSE)</f>
        <v>0</v>
      </c>
      <c r="X1028" s="55">
        <f>VLOOKUP($E1028,'NI-Ric_SP'!$C:$AN,MID(X$1,1,2),FALSE)</f>
        <v>0</v>
      </c>
      <c r="Y1028" s="55">
        <f>VLOOKUP($E1028,'NI-Ric_SP'!$C:$AN,MID(Y$1,1,2),FALSE)</f>
        <v>0</v>
      </c>
      <c r="Z1028" s="55">
        <f>VLOOKUP($E1028,'NI-Ric_SP'!$C:$AN,MID(Z$1,1,2),FALSE)</f>
        <v>0</v>
      </c>
      <c r="AA1028" s="55">
        <f>VLOOKUP($E1028,'NI-Ric_SP'!$C:$AN,MID(AA$1,1,2),FALSE)</f>
        <v>0</v>
      </c>
      <c r="AB1028" s="55">
        <f>VLOOKUP($E1028,'NI-Ric_SP'!$C:$AN,MID(AB$1,1,2),FALSE)</f>
        <v>0</v>
      </c>
      <c r="AC1028" s="55">
        <f>VLOOKUP($E1028,'NI-Ric_SP'!$C:$AN,MID(AC$1,1,2),FALSE)</f>
        <v>0</v>
      </c>
      <c r="AD1028" s="55">
        <f>VLOOKUP($E1028,'NI-Ric_SP'!$C:$AN,MID(AD$1,1,2),FALSE)</f>
        <v>0</v>
      </c>
      <c r="AE1028" s="55">
        <f>VLOOKUP($E1028,'NI-Ric_SP'!$C:$AN,MID(AE$1,1,2),FALSE)</f>
        <v>0</v>
      </c>
      <c r="AF1028" s="55">
        <f>VLOOKUP($E1028,'NI-Ric_SP'!$C:$AN,MID(AF$1,1,2),FALSE)</f>
        <v>0</v>
      </c>
      <c r="AG1028" s="55">
        <f>VLOOKUP($E1028,'NI-Ric_SP'!$C:$AN,MID(AG$1,1,2),FALSE)</f>
        <v>0</v>
      </c>
      <c r="AH1028" s="55">
        <f>VLOOKUP($E1028,'NI-Ric_SP'!$C:$AN,MID(AH$1,1,2),FALSE)</f>
        <v>0</v>
      </c>
      <c r="AI1028" s="55">
        <f>VLOOKUP($E1028,'NI-Ric_SP'!$C:$AN,MID(AI$1,1,2),FALSE)</f>
        <v>0</v>
      </c>
      <c r="AJ1028" s="55">
        <f>VLOOKUP($E1028,'NI-Ric_SP'!$C:$AN,MID(AJ$1,1,2),FALSE)</f>
        <v>0</v>
      </c>
      <c r="AK1028" s="55">
        <f>VLOOKUP($E1028,'NI-Ric_SP'!$C:$AN,MID(AK$1,1,2),FALSE)</f>
        <v>0</v>
      </c>
      <c r="AL1028" s="55">
        <f>VLOOKUP($E1028,'NI-Ric_SP'!$C:$AN,MID(AL$1,1,2),FALSE)</f>
        <v>0</v>
      </c>
      <c r="AM1028" s="56">
        <f>VLOOKUP($E1028,'NI-Ric_SP'!$C:$AN,MID(AM$1,1,2),FALSE)</f>
        <v>0</v>
      </c>
      <c r="AN1028" s="30" t="str">
        <f t="shared" si="16"/>
        <v>20100000000000</v>
      </c>
    </row>
    <row r="1029" spans="3:40" x14ac:dyDescent="0.25">
      <c r="C1029" s="40"/>
      <c r="D1029" s="101" t="s">
        <v>1132</v>
      </c>
      <c r="E1029" s="101" t="s">
        <v>1133</v>
      </c>
      <c r="F1029" s="102" t="s">
        <v>2750</v>
      </c>
      <c r="G1029" s="52"/>
      <c r="H1029" s="52"/>
      <c r="I1029" s="52"/>
      <c r="J1029" s="52"/>
      <c r="K1029" s="59" t="s">
        <v>111</v>
      </c>
      <c r="L1029" s="62" t="s">
        <v>1134</v>
      </c>
      <c r="M1029" s="52"/>
      <c r="N1029" s="52"/>
      <c r="O1029" s="52"/>
      <c r="P1029" s="76" t="s">
        <v>1135</v>
      </c>
      <c r="Q1029" s="55">
        <f>VLOOKUP(E1029,'NI-Ric_SP'!$C:$AN,12,FALSE)</f>
        <v>0</v>
      </c>
      <c r="R1029" s="55">
        <f>VLOOKUP(E1029,'NI-Ric_SP'!$C:$AN,13,FALSE)</f>
        <v>0</v>
      </c>
      <c r="S1029" s="55"/>
      <c r="T1029" s="55"/>
      <c r="U1029" s="55">
        <f>VLOOKUP($E1029,'NI-Ric_SP'!$C:$AN,MID(U$1,1,2),FALSE)</f>
        <v>0</v>
      </c>
      <c r="V1029" s="55">
        <f>VLOOKUP($E1029,'NI-Ric_SP'!$C:$AN,MID(V$1,1,2),FALSE)</f>
        <v>0</v>
      </c>
      <c r="W1029" s="55">
        <f>VLOOKUP($E1029,'NI-Ric_SP'!$C:$AN,MID(W$1,1,2),FALSE)</f>
        <v>0</v>
      </c>
      <c r="X1029" s="55">
        <f>VLOOKUP($E1029,'NI-Ric_SP'!$C:$AN,MID(X$1,1,2),FALSE)</f>
        <v>0</v>
      </c>
      <c r="Y1029" s="55">
        <f>VLOOKUP($E1029,'NI-Ric_SP'!$C:$AN,MID(Y$1,1,2),FALSE)</f>
        <v>0</v>
      </c>
      <c r="Z1029" s="55">
        <f>VLOOKUP($E1029,'NI-Ric_SP'!$C:$AN,MID(Z$1,1,2),FALSE)</f>
        <v>0</v>
      </c>
      <c r="AA1029" s="55">
        <f>VLOOKUP($E1029,'NI-Ric_SP'!$C:$AN,MID(AA$1,1,2),FALSE)</f>
        <v>0</v>
      </c>
      <c r="AB1029" s="55">
        <f>VLOOKUP($E1029,'NI-Ric_SP'!$C:$AN,MID(AB$1,1,2),FALSE)</f>
        <v>0</v>
      </c>
      <c r="AC1029" s="55">
        <f>VLOOKUP($E1029,'NI-Ric_SP'!$C:$AN,MID(AC$1,1,2),FALSE)</f>
        <v>0</v>
      </c>
      <c r="AD1029" s="55">
        <f>VLOOKUP($E1029,'NI-Ric_SP'!$C:$AN,MID(AD$1,1,2),FALSE)</f>
        <v>0</v>
      </c>
      <c r="AE1029" s="55">
        <f>VLOOKUP($E1029,'NI-Ric_SP'!$C:$AN,MID(AE$1,1,2),FALSE)</f>
        <v>0</v>
      </c>
      <c r="AF1029" s="55">
        <f>VLOOKUP($E1029,'NI-Ric_SP'!$C:$AN,MID(AF$1,1,2),FALSE)</f>
        <v>0</v>
      </c>
      <c r="AG1029" s="55">
        <f>VLOOKUP($E1029,'NI-Ric_SP'!$C:$AN,MID(AG$1,1,2),FALSE)</f>
        <v>0</v>
      </c>
      <c r="AH1029" s="55">
        <f>VLOOKUP($E1029,'NI-Ric_SP'!$C:$AN,MID(AH$1,1,2),FALSE)</f>
        <v>0</v>
      </c>
      <c r="AI1029" s="55">
        <f>VLOOKUP($E1029,'NI-Ric_SP'!$C:$AN,MID(AI$1,1,2),FALSE)</f>
        <v>0</v>
      </c>
      <c r="AJ1029" s="55">
        <f>VLOOKUP($E1029,'NI-Ric_SP'!$C:$AN,MID(AJ$1,1,2),FALSE)</f>
        <v>0</v>
      </c>
      <c r="AK1029" s="55">
        <f>VLOOKUP($E1029,'NI-Ric_SP'!$C:$AN,MID(AK$1,1,2),FALSE)</f>
        <v>0</v>
      </c>
      <c r="AL1029" s="55">
        <f>VLOOKUP($E1029,'NI-Ric_SP'!$C:$AN,MID(AL$1,1,2),FALSE)</f>
        <v>0</v>
      </c>
      <c r="AM1029" s="56">
        <f>VLOOKUP($E1029,'NI-Ric_SP'!$C:$AN,MID(AM$1,1,2),FALSE)</f>
        <v>0</v>
      </c>
      <c r="AN1029" s="30" t="str">
        <f t="shared" si="16"/>
        <v>20101000000000</v>
      </c>
    </row>
    <row r="1030" spans="3:40" x14ac:dyDescent="0.25">
      <c r="C1030" s="40"/>
      <c r="D1030" s="101" t="s">
        <v>1136</v>
      </c>
      <c r="E1030" s="101" t="s">
        <v>1137</v>
      </c>
      <c r="F1030" s="102" t="s">
        <v>2750</v>
      </c>
      <c r="G1030" s="69"/>
      <c r="H1030" s="52"/>
      <c r="I1030" s="52"/>
      <c r="J1030" s="52"/>
      <c r="K1030" s="69" t="s">
        <v>111</v>
      </c>
      <c r="L1030" s="52"/>
      <c r="M1030" s="52"/>
      <c r="N1030" s="52"/>
      <c r="O1030" s="61" t="s">
        <v>1145</v>
      </c>
      <c r="P1030" s="76" t="s">
        <v>1138</v>
      </c>
      <c r="Q1030" s="55">
        <f>VLOOKUP(E1030,'NI-Ric_SP'!$C:$AN,12,FALSE)</f>
        <v>0</v>
      </c>
      <c r="R1030" s="55">
        <f>VLOOKUP(E1030,'NI-Ric_SP'!$C:$AN,13,FALSE)</f>
        <v>0</v>
      </c>
      <c r="S1030" s="55"/>
      <c r="T1030" s="55"/>
      <c r="U1030" s="55">
        <f>VLOOKUP($E1030,'NI-Ric_SP'!$C:$AN,MID(U$1,1,2),FALSE)</f>
        <v>0</v>
      </c>
      <c r="V1030" s="55">
        <f>VLOOKUP($E1030,'NI-Ric_SP'!$C:$AN,MID(V$1,1,2),FALSE)</f>
        <v>0</v>
      </c>
      <c r="W1030" s="55">
        <f>VLOOKUP($E1030,'NI-Ric_SP'!$C:$AN,MID(W$1,1,2),FALSE)</f>
        <v>0</v>
      </c>
      <c r="X1030" s="55">
        <f>VLOOKUP($E1030,'NI-Ric_SP'!$C:$AN,MID(X$1,1,2),FALSE)</f>
        <v>0</v>
      </c>
      <c r="Y1030" s="55">
        <f>VLOOKUP($E1030,'NI-Ric_SP'!$C:$AN,MID(Y$1,1,2),FALSE)</f>
        <v>0</v>
      </c>
      <c r="Z1030" s="55">
        <f>VLOOKUP($E1030,'NI-Ric_SP'!$C:$AN,MID(Z$1,1,2),FALSE)</f>
        <v>0</v>
      </c>
      <c r="AA1030" s="55">
        <f>VLOOKUP($E1030,'NI-Ric_SP'!$C:$AN,MID(AA$1,1,2),FALSE)</f>
        <v>0</v>
      </c>
      <c r="AB1030" s="55">
        <f>VLOOKUP($E1030,'NI-Ric_SP'!$C:$AN,MID(AB$1,1,2),FALSE)</f>
        <v>0</v>
      </c>
      <c r="AC1030" s="55">
        <f>VLOOKUP($E1030,'NI-Ric_SP'!$C:$AN,MID(AC$1,1,2),FALSE)</f>
        <v>0</v>
      </c>
      <c r="AD1030" s="55">
        <f>VLOOKUP($E1030,'NI-Ric_SP'!$C:$AN,MID(AD$1,1,2),FALSE)</f>
        <v>0</v>
      </c>
      <c r="AE1030" s="55">
        <f>VLOOKUP($E1030,'NI-Ric_SP'!$C:$AN,MID(AE$1,1,2),FALSE)</f>
        <v>0</v>
      </c>
      <c r="AF1030" s="55">
        <f>VLOOKUP($E1030,'NI-Ric_SP'!$C:$AN,MID(AF$1,1,2),FALSE)</f>
        <v>0</v>
      </c>
      <c r="AG1030" s="55">
        <f>VLOOKUP($E1030,'NI-Ric_SP'!$C:$AN,MID(AG$1,1,2),FALSE)</f>
        <v>0</v>
      </c>
      <c r="AH1030" s="55">
        <f>VLOOKUP($E1030,'NI-Ric_SP'!$C:$AN,MID(AH$1,1,2),FALSE)</f>
        <v>0</v>
      </c>
      <c r="AI1030" s="55">
        <f>VLOOKUP($E1030,'NI-Ric_SP'!$C:$AN,MID(AI$1,1,2),FALSE)</f>
        <v>0</v>
      </c>
      <c r="AJ1030" s="55">
        <f>VLOOKUP($E1030,'NI-Ric_SP'!$C:$AN,MID(AJ$1,1,2),FALSE)</f>
        <v>0</v>
      </c>
      <c r="AK1030" s="55">
        <f>VLOOKUP($E1030,'NI-Ric_SP'!$C:$AN,MID(AK$1,1,2),FALSE)</f>
        <v>0</v>
      </c>
      <c r="AL1030" s="55">
        <f>VLOOKUP($E1030,'NI-Ric_SP'!$C:$AN,MID(AL$1,1,2),FALSE)</f>
        <v>0</v>
      </c>
      <c r="AM1030" s="56">
        <f>VLOOKUP($E1030,'NI-Ric_SP'!$C:$AN,MID(AM$1,1,2),FALSE)</f>
        <v>0</v>
      </c>
      <c r="AN1030" s="30" t="str">
        <f t="shared" si="16"/>
        <v>20101010000000</v>
      </c>
    </row>
    <row r="1031" spans="3:40" x14ac:dyDescent="0.25">
      <c r="C1031" s="40"/>
      <c r="D1031" s="101" t="s">
        <v>1139</v>
      </c>
      <c r="E1031" s="101" t="s">
        <v>1140</v>
      </c>
      <c r="F1031" s="102" t="s">
        <v>2750</v>
      </c>
      <c r="G1031" s="69"/>
      <c r="H1031" s="52"/>
      <c r="I1031" s="52"/>
      <c r="J1031" s="52"/>
      <c r="K1031" s="69" t="s">
        <v>111</v>
      </c>
      <c r="L1031" s="52"/>
      <c r="M1031" s="52"/>
      <c r="N1031" s="52"/>
      <c r="O1031" s="61"/>
      <c r="P1031" s="76" t="s">
        <v>1141</v>
      </c>
      <c r="Q1031" s="55">
        <f>VLOOKUP(E1031,'NI-Ric_SP'!$C:$AN,12,FALSE)</f>
        <v>0</v>
      </c>
      <c r="R1031" s="55">
        <f>VLOOKUP(E1031,'NI-Ric_SP'!$C:$AN,13,FALSE)</f>
        <v>0</v>
      </c>
      <c r="S1031" s="55"/>
      <c r="T1031" s="55"/>
      <c r="U1031" s="55">
        <f>VLOOKUP($E1031,'NI-Ric_SP'!$C:$AN,MID(U$1,1,2),FALSE)</f>
        <v>0</v>
      </c>
      <c r="V1031" s="55">
        <f>VLOOKUP($E1031,'NI-Ric_SP'!$C:$AN,MID(V$1,1,2),FALSE)</f>
        <v>0</v>
      </c>
      <c r="W1031" s="55">
        <f>VLOOKUP($E1031,'NI-Ric_SP'!$C:$AN,MID(W$1,1,2),FALSE)</f>
        <v>0</v>
      </c>
      <c r="X1031" s="55">
        <f>VLOOKUP($E1031,'NI-Ric_SP'!$C:$AN,MID(X$1,1,2),FALSE)</f>
        <v>0</v>
      </c>
      <c r="Y1031" s="55">
        <f>VLOOKUP($E1031,'NI-Ric_SP'!$C:$AN,MID(Y$1,1,2),FALSE)</f>
        <v>0</v>
      </c>
      <c r="Z1031" s="55">
        <f>VLOOKUP($E1031,'NI-Ric_SP'!$C:$AN,MID(Z$1,1,2),FALSE)</f>
        <v>0</v>
      </c>
      <c r="AA1031" s="55">
        <f>VLOOKUP($E1031,'NI-Ric_SP'!$C:$AN,MID(AA$1,1,2),FALSE)</f>
        <v>0</v>
      </c>
      <c r="AB1031" s="55">
        <f>VLOOKUP($E1031,'NI-Ric_SP'!$C:$AN,MID(AB$1,1,2),FALSE)</f>
        <v>0</v>
      </c>
      <c r="AC1031" s="55">
        <f>VLOOKUP($E1031,'NI-Ric_SP'!$C:$AN,MID(AC$1,1,2),FALSE)</f>
        <v>0</v>
      </c>
      <c r="AD1031" s="55">
        <f>VLOOKUP($E1031,'NI-Ric_SP'!$C:$AN,MID(AD$1,1,2),FALSE)</f>
        <v>0</v>
      </c>
      <c r="AE1031" s="55">
        <f>VLOOKUP($E1031,'NI-Ric_SP'!$C:$AN,MID(AE$1,1,2),FALSE)</f>
        <v>0</v>
      </c>
      <c r="AF1031" s="55">
        <f>VLOOKUP($E1031,'NI-Ric_SP'!$C:$AN,MID(AF$1,1,2),FALSE)</f>
        <v>0</v>
      </c>
      <c r="AG1031" s="55">
        <f>VLOOKUP($E1031,'NI-Ric_SP'!$C:$AN,MID(AG$1,1,2),FALSE)</f>
        <v>0</v>
      </c>
      <c r="AH1031" s="55">
        <f>VLOOKUP($E1031,'NI-Ric_SP'!$C:$AN,MID(AH$1,1,2),FALSE)</f>
        <v>0</v>
      </c>
      <c r="AI1031" s="55">
        <f>VLOOKUP($E1031,'NI-Ric_SP'!$C:$AN,MID(AI$1,1,2),FALSE)</f>
        <v>0</v>
      </c>
      <c r="AJ1031" s="55">
        <f>VLOOKUP($E1031,'NI-Ric_SP'!$C:$AN,MID(AJ$1,1,2),FALSE)</f>
        <v>0</v>
      </c>
      <c r="AK1031" s="55">
        <f>VLOOKUP($E1031,'NI-Ric_SP'!$C:$AN,MID(AK$1,1,2),FALSE)</f>
        <v>0</v>
      </c>
      <c r="AL1031" s="55">
        <f>VLOOKUP($E1031,'NI-Ric_SP'!$C:$AN,MID(AL$1,1,2),FALSE)</f>
        <v>0</v>
      </c>
      <c r="AM1031" s="56">
        <f>VLOOKUP($E1031,'NI-Ric_SP'!$C:$AN,MID(AM$1,1,2),FALSE)</f>
        <v>0</v>
      </c>
      <c r="AN1031" s="30" t="str">
        <f t="shared" si="16"/>
        <v>20101010010000</v>
      </c>
    </row>
    <row r="1032" spans="3:40" x14ac:dyDescent="0.25">
      <c r="C1032" s="40"/>
      <c r="D1032" s="101" t="s">
        <v>1142</v>
      </c>
      <c r="E1032" s="101" t="s">
        <v>1143</v>
      </c>
      <c r="F1032" s="102" t="s">
        <v>2750</v>
      </c>
      <c r="G1032" s="69"/>
      <c r="H1032" s="52"/>
      <c r="I1032" s="52" t="s">
        <v>1144</v>
      </c>
      <c r="J1032" s="52" t="s">
        <v>1144</v>
      </c>
      <c r="K1032" s="69" t="s">
        <v>79</v>
      </c>
      <c r="L1032" s="52"/>
      <c r="M1032" s="52"/>
      <c r="N1032" s="52"/>
      <c r="O1032" s="61" t="s">
        <v>1145</v>
      </c>
      <c r="P1032" s="76" t="s">
        <v>1146</v>
      </c>
      <c r="Q1032" s="55">
        <f>VLOOKUP(E1032,'NI-Ric_SP'!$C:$AN,12,FALSE)</f>
        <v>0</v>
      </c>
      <c r="R1032" s="55">
        <f>VLOOKUP(E1032,'NI-Ric_SP'!$C:$AN,13,FALSE)</f>
        <v>0</v>
      </c>
      <c r="S1032" s="55"/>
      <c r="T1032" s="55"/>
      <c r="U1032" s="55">
        <f>VLOOKUP($E1032,'NI-Ric_SP'!$C:$AN,MID(U$1,1,2),FALSE)</f>
        <v>0</v>
      </c>
      <c r="V1032" s="55">
        <f>VLOOKUP($E1032,'NI-Ric_SP'!$C:$AN,MID(V$1,1,2),FALSE)</f>
        <v>0</v>
      </c>
      <c r="W1032" s="55">
        <f>VLOOKUP($E1032,'NI-Ric_SP'!$C:$AN,MID(W$1,1,2),FALSE)</f>
        <v>0</v>
      </c>
      <c r="X1032" s="55">
        <f>VLOOKUP($E1032,'NI-Ric_SP'!$C:$AN,MID(X$1,1,2),FALSE)</f>
        <v>0</v>
      </c>
      <c r="Y1032" s="55">
        <f>VLOOKUP($E1032,'NI-Ric_SP'!$C:$AN,MID(Y$1,1,2),FALSE)</f>
        <v>0</v>
      </c>
      <c r="Z1032" s="55">
        <f>VLOOKUP($E1032,'NI-Ric_SP'!$C:$AN,MID(Z$1,1,2),FALSE)</f>
        <v>0</v>
      </c>
      <c r="AA1032" s="55">
        <f>VLOOKUP($E1032,'NI-Ric_SP'!$C:$AN,MID(AA$1,1,2),FALSE)</f>
        <v>0</v>
      </c>
      <c r="AB1032" s="55">
        <f>VLOOKUP($E1032,'NI-Ric_SP'!$C:$AN,MID(AB$1,1,2),FALSE)</f>
        <v>0</v>
      </c>
      <c r="AC1032" s="55">
        <f>VLOOKUP($E1032,'NI-Ric_SP'!$C:$AN,MID(AC$1,1,2),FALSE)</f>
        <v>0</v>
      </c>
      <c r="AD1032" s="55">
        <f>VLOOKUP($E1032,'NI-Ric_SP'!$C:$AN,MID(AD$1,1,2),FALSE)</f>
        <v>0</v>
      </c>
      <c r="AE1032" s="55">
        <f>VLOOKUP($E1032,'NI-Ric_SP'!$C:$AN,MID(AE$1,1,2),FALSE)</f>
        <v>0</v>
      </c>
      <c r="AF1032" s="55">
        <f>VLOOKUP($E1032,'NI-Ric_SP'!$C:$AN,MID(AF$1,1,2),FALSE)</f>
        <v>0</v>
      </c>
      <c r="AG1032" s="55">
        <f>VLOOKUP($E1032,'NI-Ric_SP'!$C:$AN,MID(AG$1,1,2),FALSE)</f>
        <v>0</v>
      </c>
      <c r="AH1032" s="55">
        <f>VLOOKUP($E1032,'NI-Ric_SP'!$C:$AN,MID(AH$1,1,2),FALSE)</f>
        <v>0</v>
      </c>
      <c r="AI1032" s="55">
        <f>VLOOKUP($E1032,'NI-Ric_SP'!$C:$AN,MID(AI$1,1,2),FALSE)</f>
        <v>0</v>
      </c>
      <c r="AJ1032" s="55">
        <f>VLOOKUP($E1032,'NI-Ric_SP'!$C:$AN,MID(AJ$1,1,2),FALSE)</f>
        <v>0</v>
      </c>
      <c r="AK1032" s="55">
        <f>VLOOKUP($E1032,'NI-Ric_SP'!$C:$AN,MID(AK$1,1,2),FALSE)</f>
        <v>0</v>
      </c>
      <c r="AL1032" s="55">
        <f>VLOOKUP($E1032,'NI-Ric_SP'!$C:$AN,MID(AL$1,1,2),FALSE)</f>
        <v>0</v>
      </c>
      <c r="AM1032" s="56">
        <f>VLOOKUP($E1032,'NI-Ric_SP'!$C:$AN,MID(AM$1,1,2),FALSE)</f>
        <v>0</v>
      </c>
      <c r="AN1032" s="30" t="str">
        <f t="shared" si="16"/>
        <v>20101010010010</v>
      </c>
    </row>
    <row r="1033" spans="3:40" x14ac:dyDescent="0.25">
      <c r="C1033" s="40"/>
      <c r="D1033" s="101" t="s">
        <v>1147</v>
      </c>
      <c r="E1033" s="101" t="s">
        <v>1148</v>
      </c>
      <c r="F1033" s="102" t="s">
        <v>2750</v>
      </c>
      <c r="G1033" s="69"/>
      <c r="H1033" s="52"/>
      <c r="I1033" s="52" t="s">
        <v>1144</v>
      </c>
      <c r="J1033" s="52" t="s">
        <v>1144</v>
      </c>
      <c r="K1033" s="69" t="s">
        <v>79</v>
      </c>
      <c r="L1033" s="52"/>
      <c r="M1033" s="52"/>
      <c r="N1033" s="52"/>
      <c r="O1033" s="61" t="s">
        <v>1145</v>
      </c>
      <c r="P1033" s="76" t="s">
        <v>1149</v>
      </c>
      <c r="Q1033" s="55">
        <f>VLOOKUP(E1033,'NI-Ric_SP'!$C:$AN,12,FALSE)</f>
        <v>0</v>
      </c>
      <c r="R1033" s="55">
        <f>VLOOKUP(E1033,'NI-Ric_SP'!$C:$AN,13,FALSE)</f>
        <v>0</v>
      </c>
      <c r="S1033" s="55"/>
      <c r="T1033" s="55"/>
      <c r="U1033" s="55">
        <f>VLOOKUP($E1033,'NI-Ric_SP'!$C:$AN,MID(U$1,1,2),FALSE)</f>
        <v>0</v>
      </c>
      <c r="V1033" s="55">
        <f>VLOOKUP($E1033,'NI-Ric_SP'!$C:$AN,MID(V$1,1,2),FALSE)</f>
        <v>0</v>
      </c>
      <c r="W1033" s="55">
        <f>VLOOKUP($E1033,'NI-Ric_SP'!$C:$AN,MID(W$1,1,2),FALSE)</f>
        <v>0</v>
      </c>
      <c r="X1033" s="55">
        <f>VLOOKUP($E1033,'NI-Ric_SP'!$C:$AN,MID(X$1,1,2),FALSE)</f>
        <v>0</v>
      </c>
      <c r="Y1033" s="55">
        <f>VLOOKUP($E1033,'NI-Ric_SP'!$C:$AN,MID(Y$1,1,2),FALSE)</f>
        <v>0</v>
      </c>
      <c r="Z1033" s="55">
        <f>VLOOKUP($E1033,'NI-Ric_SP'!$C:$AN,MID(Z$1,1,2),FALSE)</f>
        <v>0</v>
      </c>
      <c r="AA1033" s="55">
        <f>VLOOKUP($E1033,'NI-Ric_SP'!$C:$AN,MID(AA$1,1,2),FALSE)</f>
        <v>0</v>
      </c>
      <c r="AB1033" s="55">
        <f>VLOOKUP($E1033,'NI-Ric_SP'!$C:$AN,MID(AB$1,1,2),FALSE)</f>
        <v>0</v>
      </c>
      <c r="AC1033" s="55">
        <f>VLOOKUP($E1033,'NI-Ric_SP'!$C:$AN,MID(AC$1,1,2),FALSE)</f>
        <v>0</v>
      </c>
      <c r="AD1033" s="55">
        <f>VLOOKUP($E1033,'NI-Ric_SP'!$C:$AN,MID(AD$1,1,2),FALSE)</f>
        <v>0</v>
      </c>
      <c r="AE1033" s="55">
        <f>VLOOKUP($E1033,'NI-Ric_SP'!$C:$AN,MID(AE$1,1,2),FALSE)</f>
        <v>0</v>
      </c>
      <c r="AF1033" s="55">
        <f>VLOOKUP($E1033,'NI-Ric_SP'!$C:$AN,MID(AF$1,1,2),FALSE)</f>
        <v>0</v>
      </c>
      <c r="AG1033" s="55">
        <f>VLOOKUP($E1033,'NI-Ric_SP'!$C:$AN,MID(AG$1,1,2),FALSE)</f>
        <v>0</v>
      </c>
      <c r="AH1033" s="55">
        <f>VLOOKUP($E1033,'NI-Ric_SP'!$C:$AN,MID(AH$1,1,2),FALSE)</f>
        <v>0</v>
      </c>
      <c r="AI1033" s="55">
        <f>VLOOKUP($E1033,'NI-Ric_SP'!$C:$AN,MID(AI$1,1,2),FALSE)</f>
        <v>0</v>
      </c>
      <c r="AJ1033" s="55">
        <f>VLOOKUP($E1033,'NI-Ric_SP'!$C:$AN,MID(AJ$1,1,2),FALSE)</f>
        <v>0</v>
      </c>
      <c r="AK1033" s="55">
        <f>VLOOKUP($E1033,'NI-Ric_SP'!$C:$AN,MID(AK$1,1,2),FALSE)</f>
        <v>0</v>
      </c>
      <c r="AL1033" s="55">
        <f>VLOOKUP($E1033,'NI-Ric_SP'!$C:$AN,MID(AL$1,1,2),FALSE)</f>
        <v>0</v>
      </c>
      <c r="AM1033" s="56">
        <f>VLOOKUP($E1033,'NI-Ric_SP'!$C:$AN,MID(AM$1,1,2),FALSE)</f>
        <v>0</v>
      </c>
      <c r="AN1033" s="30" t="str">
        <f t="shared" si="16"/>
        <v>20101010010020</v>
      </c>
    </row>
    <row r="1034" spans="3:40" x14ac:dyDescent="0.25">
      <c r="C1034" s="40"/>
      <c r="D1034" s="101" t="s">
        <v>1150</v>
      </c>
      <c r="E1034" s="101" t="s">
        <v>1151</v>
      </c>
      <c r="F1034" s="102" t="s">
        <v>2750</v>
      </c>
      <c r="G1034" s="69"/>
      <c r="H1034" s="52"/>
      <c r="I1034" s="52" t="s">
        <v>1144</v>
      </c>
      <c r="J1034" s="52" t="s">
        <v>1144</v>
      </c>
      <c r="K1034" s="69" t="s">
        <v>79</v>
      </c>
      <c r="L1034" s="52"/>
      <c r="M1034" s="52"/>
      <c r="N1034" s="52"/>
      <c r="O1034" s="61" t="s">
        <v>1145</v>
      </c>
      <c r="P1034" s="76" t="s">
        <v>1152</v>
      </c>
      <c r="Q1034" s="55">
        <f>VLOOKUP(E1034,'NI-Ric_SP'!$C:$AN,12,FALSE)</f>
        <v>0</v>
      </c>
      <c r="R1034" s="55">
        <f>VLOOKUP(E1034,'NI-Ric_SP'!$C:$AN,13,FALSE)</f>
        <v>0</v>
      </c>
      <c r="S1034" s="55"/>
      <c r="T1034" s="55"/>
      <c r="U1034" s="55">
        <f>VLOOKUP($E1034,'NI-Ric_SP'!$C:$AN,MID(U$1,1,2),FALSE)</f>
        <v>0</v>
      </c>
      <c r="V1034" s="55">
        <f>VLOOKUP($E1034,'NI-Ric_SP'!$C:$AN,MID(V$1,1,2),FALSE)</f>
        <v>0</v>
      </c>
      <c r="W1034" s="55">
        <f>VLOOKUP($E1034,'NI-Ric_SP'!$C:$AN,MID(W$1,1,2),FALSE)</f>
        <v>0</v>
      </c>
      <c r="X1034" s="55">
        <f>VLOOKUP($E1034,'NI-Ric_SP'!$C:$AN,MID(X$1,1,2),FALSE)</f>
        <v>0</v>
      </c>
      <c r="Y1034" s="55">
        <f>VLOOKUP($E1034,'NI-Ric_SP'!$C:$AN,MID(Y$1,1,2),FALSE)</f>
        <v>0</v>
      </c>
      <c r="Z1034" s="55">
        <f>VLOOKUP($E1034,'NI-Ric_SP'!$C:$AN,MID(Z$1,1,2),FALSE)</f>
        <v>0</v>
      </c>
      <c r="AA1034" s="55">
        <f>VLOOKUP($E1034,'NI-Ric_SP'!$C:$AN,MID(AA$1,1,2),FALSE)</f>
        <v>0</v>
      </c>
      <c r="AB1034" s="55">
        <f>VLOOKUP($E1034,'NI-Ric_SP'!$C:$AN,MID(AB$1,1,2),FALSE)</f>
        <v>0</v>
      </c>
      <c r="AC1034" s="55">
        <f>VLOOKUP($E1034,'NI-Ric_SP'!$C:$AN,MID(AC$1,1,2),FALSE)</f>
        <v>0</v>
      </c>
      <c r="AD1034" s="55">
        <f>VLOOKUP($E1034,'NI-Ric_SP'!$C:$AN,MID(AD$1,1,2),FALSE)</f>
        <v>0</v>
      </c>
      <c r="AE1034" s="55">
        <f>VLOOKUP($E1034,'NI-Ric_SP'!$C:$AN,MID(AE$1,1,2),FALSE)</f>
        <v>0</v>
      </c>
      <c r="AF1034" s="55">
        <f>VLOOKUP($E1034,'NI-Ric_SP'!$C:$AN,MID(AF$1,1,2),FALSE)</f>
        <v>0</v>
      </c>
      <c r="AG1034" s="55">
        <f>VLOOKUP($E1034,'NI-Ric_SP'!$C:$AN,MID(AG$1,1,2),FALSE)</f>
        <v>0</v>
      </c>
      <c r="AH1034" s="55">
        <f>VLOOKUP($E1034,'NI-Ric_SP'!$C:$AN,MID(AH$1,1,2),FALSE)</f>
        <v>0</v>
      </c>
      <c r="AI1034" s="55">
        <f>VLOOKUP($E1034,'NI-Ric_SP'!$C:$AN,MID(AI$1,1,2),FALSE)</f>
        <v>0</v>
      </c>
      <c r="AJ1034" s="55">
        <f>VLOOKUP($E1034,'NI-Ric_SP'!$C:$AN,MID(AJ$1,1,2),FALSE)</f>
        <v>0</v>
      </c>
      <c r="AK1034" s="55">
        <f>VLOOKUP($E1034,'NI-Ric_SP'!$C:$AN,MID(AK$1,1,2),FALSE)</f>
        <v>0</v>
      </c>
      <c r="AL1034" s="55">
        <f>VLOOKUP($E1034,'NI-Ric_SP'!$C:$AN,MID(AL$1,1,2),FALSE)</f>
        <v>0</v>
      </c>
      <c r="AM1034" s="56">
        <f>VLOOKUP($E1034,'NI-Ric_SP'!$C:$AN,MID(AM$1,1,2),FALSE)</f>
        <v>0</v>
      </c>
      <c r="AN1034" s="30" t="str">
        <f t="shared" si="16"/>
        <v>20101010010030</v>
      </c>
    </row>
    <row r="1035" spans="3:40" x14ac:dyDescent="0.25">
      <c r="C1035" s="40"/>
      <c r="D1035" s="101" t="s">
        <v>1153</v>
      </c>
      <c r="E1035" s="101" t="s">
        <v>1154</v>
      </c>
      <c r="F1035" s="102" t="s">
        <v>2750</v>
      </c>
      <c r="G1035" s="69"/>
      <c r="H1035" s="52"/>
      <c r="I1035" s="52" t="s">
        <v>1144</v>
      </c>
      <c r="J1035" s="52" t="s">
        <v>1144</v>
      </c>
      <c r="K1035" s="69" t="s">
        <v>79</v>
      </c>
      <c r="L1035" s="52"/>
      <c r="M1035" s="52"/>
      <c r="N1035" s="52"/>
      <c r="O1035" s="61" t="s">
        <v>1145</v>
      </c>
      <c r="P1035" s="76" t="s">
        <v>1155</v>
      </c>
      <c r="Q1035" s="55">
        <f>VLOOKUP(E1035,'NI-Ric_SP'!$C:$AN,12,FALSE)</f>
        <v>0</v>
      </c>
      <c r="R1035" s="55">
        <f>VLOOKUP(E1035,'NI-Ric_SP'!$C:$AN,13,FALSE)</f>
        <v>0</v>
      </c>
      <c r="S1035" s="55"/>
      <c r="T1035" s="55"/>
      <c r="U1035" s="55">
        <f>VLOOKUP($E1035,'NI-Ric_SP'!$C:$AN,MID(U$1,1,2),FALSE)</f>
        <v>0</v>
      </c>
      <c r="V1035" s="55">
        <f>VLOOKUP($E1035,'NI-Ric_SP'!$C:$AN,MID(V$1,1,2),FALSE)</f>
        <v>0</v>
      </c>
      <c r="W1035" s="55">
        <f>VLOOKUP($E1035,'NI-Ric_SP'!$C:$AN,MID(W$1,1,2),FALSE)</f>
        <v>0</v>
      </c>
      <c r="X1035" s="55">
        <f>VLOOKUP($E1035,'NI-Ric_SP'!$C:$AN,MID(X$1,1,2),FALSE)</f>
        <v>0</v>
      </c>
      <c r="Y1035" s="55">
        <f>VLOOKUP($E1035,'NI-Ric_SP'!$C:$AN,MID(Y$1,1,2),FALSE)</f>
        <v>0</v>
      </c>
      <c r="Z1035" s="55">
        <f>VLOOKUP($E1035,'NI-Ric_SP'!$C:$AN,MID(Z$1,1,2),FALSE)</f>
        <v>0</v>
      </c>
      <c r="AA1035" s="55">
        <f>VLOOKUP($E1035,'NI-Ric_SP'!$C:$AN,MID(AA$1,1,2),FALSE)</f>
        <v>0</v>
      </c>
      <c r="AB1035" s="55">
        <f>VLOOKUP($E1035,'NI-Ric_SP'!$C:$AN,MID(AB$1,1,2),FALSE)</f>
        <v>0</v>
      </c>
      <c r="AC1035" s="55">
        <f>VLOOKUP($E1035,'NI-Ric_SP'!$C:$AN,MID(AC$1,1,2),FALSE)</f>
        <v>0</v>
      </c>
      <c r="AD1035" s="55">
        <f>VLOOKUP($E1035,'NI-Ric_SP'!$C:$AN,MID(AD$1,1,2),FALSE)</f>
        <v>0</v>
      </c>
      <c r="AE1035" s="55">
        <f>VLOOKUP($E1035,'NI-Ric_SP'!$C:$AN,MID(AE$1,1,2),FALSE)</f>
        <v>0</v>
      </c>
      <c r="AF1035" s="55">
        <f>VLOOKUP($E1035,'NI-Ric_SP'!$C:$AN,MID(AF$1,1,2),FALSE)</f>
        <v>0</v>
      </c>
      <c r="AG1035" s="55">
        <f>VLOOKUP($E1035,'NI-Ric_SP'!$C:$AN,MID(AG$1,1,2),FALSE)</f>
        <v>0</v>
      </c>
      <c r="AH1035" s="55">
        <f>VLOOKUP($E1035,'NI-Ric_SP'!$C:$AN,MID(AH$1,1,2),FALSE)</f>
        <v>0</v>
      </c>
      <c r="AI1035" s="55">
        <f>VLOOKUP($E1035,'NI-Ric_SP'!$C:$AN,MID(AI$1,1,2),FALSE)</f>
        <v>0</v>
      </c>
      <c r="AJ1035" s="55">
        <f>VLOOKUP($E1035,'NI-Ric_SP'!$C:$AN,MID(AJ$1,1,2),FALSE)</f>
        <v>0</v>
      </c>
      <c r="AK1035" s="55">
        <f>VLOOKUP($E1035,'NI-Ric_SP'!$C:$AN,MID(AK$1,1,2),FALSE)</f>
        <v>0</v>
      </c>
      <c r="AL1035" s="55">
        <f>VLOOKUP($E1035,'NI-Ric_SP'!$C:$AN,MID(AL$1,1,2),FALSE)</f>
        <v>0</v>
      </c>
      <c r="AM1035" s="56">
        <f>VLOOKUP($E1035,'NI-Ric_SP'!$C:$AN,MID(AM$1,1,2),FALSE)</f>
        <v>0</v>
      </c>
      <c r="AN1035" s="30" t="str">
        <f t="shared" si="16"/>
        <v>20101010010040</v>
      </c>
    </row>
    <row r="1036" spans="3:40" x14ac:dyDescent="0.25">
      <c r="C1036" s="40"/>
      <c r="D1036" s="101" t="s">
        <v>1156</v>
      </c>
      <c r="E1036" s="101" t="s">
        <v>1157</v>
      </c>
      <c r="F1036" s="102" t="s">
        <v>2750</v>
      </c>
      <c r="G1036" s="69"/>
      <c r="H1036" s="52"/>
      <c r="I1036" s="52" t="s">
        <v>1144</v>
      </c>
      <c r="J1036" s="52" t="s">
        <v>1144</v>
      </c>
      <c r="K1036" s="69" t="s">
        <v>79</v>
      </c>
      <c r="L1036" s="52"/>
      <c r="M1036" s="52"/>
      <c r="N1036" s="52"/>
      <c r="O1036" s="61" t="s">
        <v>1145</v>
      </c>
      <c r="P1036" s="76" t="s">
        <v>1158</v>
      </c>
      <c r="Q1036" s="55">
        <f>VLOOKUP(E1036,'NI-Ric_SP'!$C:$AN,12,FALSE)</f>
        <v>0</v>
      </c>
      <c r="R1036" s="55">
        <f>VLOOKUP(E1036,'NI-Ric_SP'!$C:$AN,13,FALSE)</f>
        <v>0</v>
      </c>
      <c r="S1036" s="55"/>
      <c r="T1036" s="55"/>
      <c r="U1036" s="55">
        <f>VLOOKUP($E1036,'NI-Ric_SP'!$C:$AN,MID(U$1,1,2),FALSE)</f>
        <v>0</v>
      </c>
      <c r="V1036" s="55">
        <f>VLOOKUP($E1036,'NI-Ric_SP'!$C:$AN,MID(V$1,1,2),FALSE)</f>
        <v>0</v>
      </c>
      <c r="W1036" s="55">
        <f>VLOOKUP($E1036,'NI-Ric_SP'!$C:$AN,MID(W$1,1,2),FALSE)</f>
        <v>0</v>
      </c>
      <c r="X1036" s="55">
        <f>VLOOKUP($E1036,'NI-Ric_SP'!$C:$AN,MID(X$1,1,2),FALSE)</f>
        <v>0</v>
      </c>
      <c r="Y1036" s="55">
        <f>VLOOKUP($E1036,'NI-Ric_SP'!$C:$AN,MID(Y$1,1,2),FALSE)</f>
        <v>0</v>
      </c>
      <c r="Z1036" s="55">
        <f>VLOOKUP($E1036,'NI-Ric_SP'!$C:$AN,MID(Z$1,1,2),FALSE)</f>
        <v>0</v>
      </c>
      <c r="AA1036" s="55">
        <f>VLOOKUP($E1036,'NI-Ric_SP'!$C:$AN,MID(AA$1,1,2),FALSE)</f>
        <v>0</v>
      </c>
      <c r="AB1036" s="55">
        <f>VLOOKUP($E1036,'NI-Ric_SP'!$C:$AN,MID(AB$1,1,2),FALSE)</f>
        <v>0</v>
      </c>
      <c r="AC1036" s="55">
        <f>VLOOKUP($E1036,'NI-Ric_SP'!$C:$AN,MID(AC$1,1,2),FALSE)</f>
        <v>0</v>
      </c>
      <c r="AD1036" s="55">
        <f>VLOOKUP($E1036,'NI-Ric_SP'!$C:$AN,MID(AD$1,1,2),FALSE)</f>
        <v>0</v>
      </c>
      <c r="AE1036" s="55">
        <f>VLOOKUP($E1036,'NI-Ric_SP'!$C:$AN,MID(AE$1,1,2),FALSE)</f>
        <v>0</v>
      </c>
      <c r="AF1036" s="55">
        <f>VLOOKUP($E1036,'NI-Ric_SP'!$C:$AN,MID(AF$1,1,2),FALSE)</f>
        <v>0</v>
      </c>
      <c r="AG1036" s="55">
        <f>VLOOKUP($E1036,'NI-Ric_SP'!$C:$AN,MID(AG$1,1,2),FALSE)</f>
        <v>0</v>
      </c>
      <c r="AH1036" s="55">
        <f>VLOOKUP($E1036,'NI-Ric_SP'!$C:$AN,MID(AH$1,1,2),FALSE)</f>
        <v>0</v>
      </c>
      <c r="AI1036" s="55">
        <f>VLOOKUP($E1036,'NI-Ric_SP'!$C:$AN,MID(AI$1,1,2),FALSE)</f>
        <v>0</v>
      </c>
      <c r="AJ1036" s="55">
        <f>VLOOKUP($E1036,'NI-Ric_SP'!$C:$AN,MID(AJ$1,1,2),FALSE)</f>
        <v>0</v>
      </c>
      <c r="AK1036" s="55">
        <f>VLOOKUP($E1036,'NI-Ric_SP'!$C:$AN,MID(AK$1,1,2),FALSE)</f>
        <v>0</v>
      </c>
      <c r="AL1036" s="55">
        <f>VLOOKUP($E1036,'NI-Ric_SP'!$C:$AN,MID(AL$1,1,2),FALSE)</f>
        <v>0</v>
      </c>
      <c r="AM1036" s="56">
        <f>VLOOKUP($E1036,'NI-Ric_SP'!$C:$AN,MID(AM$1,1,2),FALSE)</f>
        <v>0</v>
      </c>
      <c r="AN1036" s="30" t="str">
        <f t="shared" si="16"/>
        <v>20101010010050</v>
      </c>
    </row>
    <row r="1037" spans="3:40" x14ac:dyDescent="0.25">
      <c r="C1037" s="40"/>
      <c r="D1037" s="101" t="s">
        <v>1159</v>
      </c>
      <c r="E1037" s="101" t="s">
        <v>1160</v>
      </c>
      <c r="F1037" s="102" t="s">
        <v>2750</v>
      </c>
      <c r="G1037" s="69"/>
      <c r="H1037" s="52"/>
      <c r="I1037" s="52" t="s">
        <v>1144</v>
      </c>
      <c r="J1037" s="52" t="s">
        <v>1144</v>
      </c>
      <c r="K1037" s="69" t="s">
        <v>79</v>
      </c>
      <c r="L1037" s="52"/>
      <c r="M1037" s="52"/>
      <c r="N1037" s="52"/>
      <c r="O1037" s="61" t="s">
        <v>1145</v>
      </c>
      <c r="P1037" s="76" t="s">
        <v>1161</v>
      </c>
      <c r="Q1037" s="55">
        <f>VLOOKUP(E1037,'NI-Ric_SP'!$C:$AN,12,FALSE)</f>
        <v>0</v>
      </c>
      <c r="R1037" s="55">
        <f>VLOOKUP(E1037,'NI-Ric_SP'!$C:$AN,13,FALSE)</f>
        <v>0</v>
      </c>
      <c r="S1037" s="55"/>
      <c r="T1037" s="55"/>
      <c r="U1037" s="55">
        <f>VLOOKUP($E1037,'NI-Ric_SP'!$C:$AN,MID(U$1,1,2),FALSE)</f>
        <v>0</v>
      </c>
      <c r="V1037" s="55">
        <f>VLOOKUP($E1037,'NI-Ric_SP'!$C:$AN,MID(V$1,1,2),FALSE)</f>
        <v>0</v>
      </c>
      <c r="W1037" s="55">
        <f>VLOOKUP($E1037,'NI-Ric_SP'!$C:$AN,MID(W$1,1,2),FALSE)</f>
        <v>0</v>
      </c>
      <c r="X1037" s="55">
        <f>VLOOKUP($E1037,'NI-Ric_SP'!$C:$AN,MID(X$1,1,2),FALSE)</f>
        <v>0</v>
      </c>
      <c r="Y1037" s="55">
        <f>VLOOKUP($E1037,'NI-Ric_SP'!$C:$AN,MID(Y$1,1,2),FALSE)</f>
        <v>0</v>
      </c>
      <c r="Z1037" s="55">
        <f>VLOOKUP($E1037,'NI-Ric_SP'!$C:$AN,MID(Z$1,1,2),FALSE)</f>
        <v>0</v>
      </c>
      <c r="AA1037" s="55">
        <f>VLOOKUP($E1037,'NI-Ric_SP'!$C:$AN,MID(AA$1,1,2),FALSE)</f>
        <v>0</v>
      </c>
      <c r="AB1037" s="55">
        <f>VLOOKUP($E1037,'NI-Ric_SP'!$C:$AN,MID(AB$1,1,2),FALSE)</f>
        <v>0</v>
      </c>
      <c r="AC1037" s="55">
        <f>VLOOKUP($E1037,'NI-Ric_SP'!$C:$AN,MID(AC$1,1,2),FALSE)</f>
        <v>0</v>
      </c>
      <c r="AD1037" s="55">
        <f>VLOOKUP($E1037,'NI-Ric_SP'!$C:$AN,MID(AD$1,1,2),FALSE)</f>
        <v>0</v>
      </c>
      <c r="AE1037" s="55">
        <f>VLOOKUP($E1037,'NI-Ric_SP'!$C:$AN,MID(AE$1,1,2),FALSE)</f>
        <v>0</v>
      </c>
      <c r="AF1037" s="55">
        <f>VLOOKUP($E1037,'NI-Ric_SP'!$C:$AN,MID(AF$1,1,2),FALSE)</f>
        <v>0</v>
      </c>
      <c r="AG1037" s="55">
        <f>VLOOKUP($E1037,'NI-Ric_SP'!$C:$AN,MID(AG$1,1,2),FALSE)</f>
        <v>0</v>
      </c>
      <c r="AH1037" s="55">
        <f>VLOOKUP($E1037,'NI-Ric_SP'!$C:$AN,MID(AH$1,1,2),FALSE)</f>
        <v>0</v>
      </c>
      <c r="AI1037" s="55">
        <f>VLOOKUP($E1037,'NI-Ric_SP'!$C:$AN,MID(AI$1,1,2),FALSE)</f>
        <v>0</v>
      </c>
      <c r="AJ1037" s="55">
        <f>VLOOKUP($E1037,'NI-Ric_SP'!$C:$AN,MID(AJ$1,1,2),FALSE)</f>
        <v>0</v>
      </c>
      <c r="AK1037" s="55">
        <f>VLOOKUP($E1037,'NI-Ric_SP'!$C:$AN,MID(AK$1,1,2),FALSE)</f>
        <v>0</v>
      </c>
      <c r="AL1037" s="55">
        <f>VLOOKUP($E1037,'NI-Ric_SP'!$C:$AN,MID(AL$1,1,2),FALSE)</f>
        <v>0</v>
      </c>
      <c r="AM1037" s="56">
        <f>VLOOKUP($E1037,'NI-Ric_SP'!$C:$AN,MID(AM$1,1,2),FALSE)</f>
        <v>0</v>
      </c>
      <c r="AN1037" s="30" t="str">
        <f t="shared" si="16"/>
        <v>20101010010060</v>
      </c>
    </row>
    <row r="1038" spans="3:40" ht="27" x14ac:dyDescent="0.25">
      <c r="C1038" s="40"/>
      <c r="D1038" s="101" t="s">
        <v>1162</v>
      </c>
      <c r="E1038" s="101" t="s">
        <v>1163</v>
      </c>
      <c r="F1038" s="102" t="s">
        <v>2750</v>
      </c>
      <c r="G1038" s="69"/>
      <c r="H1038" s="52"/>
      <c r="I1038" s="52" t="s">
        <v>1144</v>
      </c>
      <c r="J1038" s="52" t="s">
        <v>1144</v>
      </c>
      <c r="K1038" s="69" t="s">
        <v>79</v>
      </c>
      <c r="L1038" s="52"/>
      <c r="M1038" s="52"/>
      <c r="N1038" s="52"/>
      <c r="O1038" s="61" t="s">
        <v>1145</v>
      </c>
      <c r="P1038" s="76" t="s">
        <v>1164</v>
      </c>
      <c r="Q1038" s="55">
        <f>VLOOKUP(E1038,'NI-Ric_SP'!$C:$AN,12,FALSE)</f>
        <v>0</v>
      </c>
      <c r="R1038" s="55">
        <f>VLOOKUP(E1038,'NI-Ric_SP'!$C:$AN,13,FALSE)</f>
        <v>0</v>
      </c>
      <c r="S1038" s="55"/>
      <c r="T1038" s="55"/>
      <c r="U1038" s="55">
        <f>VLOOKUP($E1038,'NI-Ric_SP'!$C:$AN,MID(U$1,1,2),FALSE)</f>
        <v>0</v>
      </c>
      <c r="V1038" s="55">
        <f>VLOOKUP($E1038,'NI-Ric_SP'!$C:$AN,MID(V$1,1,2),FALSE)</f>
        <v>0</v>
      </c>
      <c r="W1038" s="55">
        <f>VLOOKUP($E1038,'NI-Ric_SP'!$C:$AN,MID(W$1,1,2),FALSE)</f>
        <v>0</v>
      </c>
      <c r="X1038" s="55">
        <f>VLOOKUP($E1038,'NI-Ric_SP'!$C:$AN,MID(X$1,1,2),FALSE)</f>
        <v>0</v>
      </c>
      <c r="Y1038" s="55">
        <f>VLOOKUP($E1038,'NI-Ric_SP'!$C:$AN,MID(Y$1,1,2),FALSE)</f>
        <v>0</v>
      </c>
      <c r="Z1038" s="55">
        <f>VLOOKUP($E1038,'NI-Ric_SP'!$C:$AN,MID(Z$1,1,2),FALSE)</f>
        <v>0</v>
      </c>
      <c r="AA1038" s="55">
        <f>VLOOKUP($E1038,'NI-Ric_SP'!$C:$AN,MID(AA$1,1,2),FALSE)</f>
        <v>0</v>
      </c>
      <c r="AB1038" s="55">
        <f>VLOOKUP($E1038,'NI-Ric_SP'!$C:$AN,MID(AB$1,1,2),FALSE)</f>
        <v>0</v>
      </c>
      <c r="AC1038" s="55">
        <f>VLOOKUP($E1038,'NI-Ric_SP'!$C:$AN,MID(AC$1,1,2),FALSE)</f>
        <v>0</v>
      </c>
      <c r="AD1038" s="55">
        <f>VLOOKUP($E1038,'NI-Ric_SP'!$C:$AN,MID(AD$1,1,2),FALSE)</f>
        <v>0</v>
      </c>
      <c r="AE1038" s="55">
        <f>VLOOKUP($E1038,'NI-Ric_SP'!$C:$AN,MID(AE$1,1,2),FALSE)</f>
        <v>0</v>
      </c>
      <c r="AF1038" s="55">
        <f>VLOOKUP($E1038,'NI-Ric_SP'!$C:$AN,MID(AF$1,1,2),FALSE)</f>
        <v>0</v>
      </c>
      <c r="AG1038" s="55">
        <f>VLOOKUP($E1038,'NI-Ric_SP'!$C:$AN,MID(AG$1,1,2),FALSE)</f>
        <v>0</v>
      </c>
      <c r="AH1038" s="55">
        <f>VLOOKUP($E1038,'NI-Ric_SP'!$C:$AN,MID(AH$1,1,2),FALSE)</f>
        <v>0</v>
      </c>
      <c r="AI1038" s="55">
        <f>VLOOKUP($E1038,'NI-Ric_SP'!$C:$AN,MID(AI$1,1,2),FALSE)</f>
        <v>0</v>
      </c>
      <c r="AJ1038" s="55">
        <f>VLOOKUP($E1038,'NI-Ric_SP'!$C:$AN,MID(AJ$1,1,2),FALSE)</f>
        <v>0</v>
      </c>
      <c r="AK1038" s="55">
        <f>VLOOKUP($E1038,'NI-Ric_SP'!$C:$AN,MID(AK$1,1,2),FALSE)</f>
        <v>0</v>
      </c>
      <c r="AL1038" s="55">
        <f>VLOOKUP($E1038,'NI-Ric_SP'!$C:$AN,MID(AL$1,1,2),FALSE)</f>
        <v>0</v>
      </c>
      <c r="AM1038" s="56">
        <f>VLOOKUP($E1038,'NI-Ric_SP'!$C:$AN,MID(AM$1,1,2),FALSE)</f>
        <v>0</v>
      </c>
      <c r="AN1038" s="30" t="str">
        <f t="shared" si="16"/>
        <v>20101010010070</v>
      </c>
    </row>
    <row r="1039" spans="3:40" x14ac:dyDescent="0.25">
      <c r="C1039" s="40"/>
      <c r="D1039" s="101" t="s">
        <v>1165</v>
      </c>
      <c r="E1039" s="101" t="s">
        <v>1166</v>
      </c>
      <c r="F1039" s="102" t="s">
        <v>2750</v>
      </c>
      <c r="G1039" s="69"/>
      <c r="H1039" s="52"/>
      <c r="I1039" s="52" t="s">
        <v>1144</v>
      </c>
      <c r="J1039" s="52" t="s">
        <v>1144</v>
      </c>
      <c r="K1039" s="69" t="s">
        <v>79</v>
      </c>
      <c r="L1039" s="52"/>
      <c r="M1039" s="52"/>
      <c r="N1039" s="52"/>
      <c r="O1039" s="61" t="s">
        <v>1145</v>
      </c>
      <c r="P1039" s="76" t="s">
        <v>1167</v>
      </c>
      <c r="Q1039" s="55">
        <f>VLOOKUP(E1039,'NI-Ric_SP'!$C:$AN,12,FALSE)</f>
        <v>0</v>
      </c>
      <c r="R1039" s="55">
        <f>VLOOKUP(E1039,'NI-Ric_SP'!$C:$AN,13,FALSE)</f>
        <v>0</v>
      </c>
      <c r="S1039" s="55"/>
      <c r="T1039" s="55"/>
      <c r="U1039" s="55">
        <f>VLOOKUP($E1039,'NI-Ric_SP'!$C:$AN,MID(U$1,1,2),FALSE)</f>
        <v>0</v>
      </c>
      <c r="V1039" s="55">
        <f>VLOOKUP($E1039,'NI-Ric_SP'!$C:$AN,MID(V$1,1,2),FALSE)</f>
        <v>0</v>
      </c>
      <c r="W1039" s="55">
        <f>VLOOKUP($E1039,'NI-Ric_SP'!$C:$AN,MID(W$1,1,2),FALSE)</f>
        <v>0</v>
      </c>
      <c r="X1039" s="55">
        <f>VLOOKUP($E1039,'NI-Ric_SP'!$C:$AN,MID(X$1,1,2),FALSE)</f>
        <v>0</v>
      </c>
      <c r="Y1039" s="55">
        <f>VLOOKUP($E1039,'NI-Ric_SP'!$C:$AN,MID(Y$1,1,2),FALSE)</f>
        <v>0</v>
      </c>
      <c r="Z1039" s="55">
        <f>VLOOKUP($E1039,'NI-Ric_SP'!$C:$AN,MID(Z$1,1,2),FALSE)</f>
        <v>0</v>
      </c>
      <c r="AA1039" s="55">
        <f>VLOOKUP($E1039,'NI-Ric_SP'!$C:$AN,MID(AA$1,1,2),FALSE)</f>
        <v>0</v>
      </c>
      <c r="AB1039" s="55">
        <f>VLOOKUP($E1039,'NI-Ric_SP'!$C:$AN,MID(AB$1,1,2),FALSE)</f>
        <v>0</v>
      </c>
      <c r="AC1039" s="55">
        <f>VLOOKUP($E1039,'NI-Ric_SP'!$C:$AN,MID(AC$1,1,2),FALSE)</f>
        <v>0</v>
      </c>
      <c r="AD1039" s="55">
        <f>VLOOKUP($E1039,'NI-Ric_SP'!$C:$AN,MID(AD$1,1,2),FALSE)</f>
        <v>0</v>
      </c>
      <c r="AE1039" s="55">
        <f>VLOOKUP($E1039,'NI-Ric_SP'!$C:$AN,MID(AE$1,1,2),FALSE)</f>
        <v>0</v>
      </c>
      <c r="AF1039" s="55">
        <f>VLOOKUP($E1039,'NI-Ric_SP'!$C:$AN,MID(AF$1,1,2),FALSE)</f>
        <v>0</v>
      </c>
      <c r="AG1039" s="55">
        <f>VLOOKUP($E1039,'NI-Ric_SP'!$C:$AN,MID(AG$1,1,2),FALSE)</f>
        <v>0</v>
      </c>
      <c r="AH1039" s="55">
        <f>VLOOKUP($E1039,'NI-Ric_SP'!$C:$AN,MID(AH$1,1,2),FALSE)</f>
        <v>0</v>
      </c>
      <c r="AI1039" s="55">
        <f>VLOOKUP($E1039,'NI-Ric_SP'!$C:$AN,MID(AI$1,1,2),FALSE)</f>
        <v>0</v>
      </c>
      <c r="AJ1039" s="55">
        <f>VLOOKUP($E1039,'NI-Ric_SP'!$C:$AN,MID(AJ$1,1,2),FALSE)</f>
        <v>0</v>
      </c>
      <c r="AK1039" s="55">
        <f>VLOOKUP($E1039,'NI-Ric_SP'!$C:$AN,MID(AK$1,1,2),FALSE)</f>
        <v>0</v>
      </c>
      <c r="AL1039" s="55">
        <f>VLOOKUP($E1039,'NI-Ric_SP'!$C:$AN,MID(AL$1,1,2),FALSE)</f>
        <v>0</v>
      </c>
      <c r="AM1039" s="56">
        <f>VLOOKUP($E1039,'NI-Ric_SP'!$C:$AN,MID(AM$1,1,2),FALSE)</f>
        <v>0</v>
      </c>
      <c r="AN1039" s="30" t="str">
        <f t="shared" si="16"/>
        <v>20101010010080</v>
      </c>
    </row>
    <row r="1040" spans="3:40" x14ac:dyDescent="0.25">
      <c r="C1040" s="40"/>
      <c r="D1040" s="101" t="s">
        <v>1168</v>
      </c>
      <c r="E1040" s="101" t="s">
        <v>1169</v>
      </c>
      <c r="F1040" s="102" t="s">
        <v>2750</v>
      </c>
      <c r="G1040" s="69"/>
      <c r="H1040" s="52"/>
      <c r="I1040" s="52" t="s">
        <v>1144</v>
      </c>
      <c r="J1040" s="52" t="s">
        <v>1144</v>
      </c>
      <c r="K1040" s="69" t="s">
        <v>79</v>
      </c>
      <c r="L1040" s="52"/>
      <c r="M1040" s="52"/>
      <c r="N1040" s="52"/>
      <c r="O1040" s="61" t="s">
        <v>1145</v>
      </c>
      <c r="P1040" s="76" t="s">
        <v>1170</v>
      </c>
      <c r="Q1040" s="55">
        <f>VLOOKUP(E1040,'NI-Ric_SP'!$C:$AN,12,FALSE)</f>
        <v>0</v>
      </c>
      <c r="R1040" s="55">
        <f>VLOOKUP(E1040,'NI-Ric_SP'!$C:$AN,13,FALSE)</f>
        <v>0</v>
      </c>
      <c r="S1040" s="55"/>
      <c r="T1040" s="55"/>
      <c r="U1040" s="55">
        <f>VLOOKUP($E1040,'NI-Ric_SP'!$C:$AN,MID(U$1,1,2),FALSE)</f>
        <v>0</v>
      </c>
      <c r="V1040" s="55">
        <f>VLOOKUP($E1040,'NI-Ric_SP'!$C:$AN,MID(V$1,1,2),FALSE)</f>
        <v>0</v>
      </c>
      <c r="W1040" s="55">
        <f>VLOOKUP($E1040,'NI-Ric_SP'!$C:$AN,MID(W$1,1,2),FALSE)</f>
        <v>0</v>
      </c>
      <c r="X1040" s="55">
        <f>VLOOKUP($E1040,'NI-Ric_SP'!$C:$AN,MID(X$1,1,2),FALSE)</f>
        <v>0</v>
      </c>
      <c r="Y1040" s="55">
        <f>VLOOKUP($E1040,'NI-Ric_SP'!$C:$AN,MID(Y$1,1,2),FALSE)</f>
        <v>0</v>
      </c>
      <c r="Z1040" s="55">
        <f>VLOOKUP($E1040,'NI-Ric_SP'!$C:$AN,MID(Z$1,1,2),FALSE)</f>
        <v>0</v>
      </c>
      <c r="AA1040" s="55">
        <f>VLOOKUP($E1040,'NI-Ric_SP'!$C:$AN,MID(AA$1,1,2),FALSE)</f>
        <v>0</v>
      </c>
      <c r="AB1040" s="55">
        <f>VLOOKUP($E1040,'NI-Ric_SP'!$C:$AN,MID(AB$1,1,2),FALSE)</f>
        <v>0</v>
      </c>
      <c r="AC1040" s="55">
        <f>VLOOKUP($E1040,'NI-Ric_SP'!$C:$AN,MID(AC$1,1,2),FALSE)</f>
        <v>0</v>
      </c>
      <c r="AD1040" s="55">
        <f>VLOOKUP($E1040,'NI-Ric_SP'!$C:$AN,MID(AD$1,1,2),FALSE)</f>
        <v>0</v>
      </c>
      <c r="AE1040" s="55">
        <f>VLOOKUP($E1040,'NI-Ric_SP'!$C:$AN,MID(AE$1,1,2),FALSE)</f>
        <v>0</v>
      </c>
      <c r="AF1040" s="55">
        <f>VLOOKUP($E1040,'NI-Ric_SP'!$C:$AN,MID(AF$1,1,2),FALSE)</f>
        <v>0</v>
      </c>
      <c r="AG1040" s="55">
        <f>VLOOKUP($E1040,'NI-Ric_SP'!$C:$AN,MID(AG$1,1,2),FALSE)</f>
        <v>0</v>
      </c>
      <c r="AH1040" s="55">
        <f>VLOOKUP($E1040,'NI-Ric_SP'!$C:$AN,MID(AH$1,1,2),FALSE)</f>
        <v>0</v>
      </c>
      <c r="AI1040" s="55">
        <f>VLOOKUP($E1040,'NI-Ric_SP'!$C:$AN,MID(AI$1,1,2),FALSE)</f>
        <v>0</v>
      </c>
      <c r="AJ1040" s="55">
        <f>VLOOKUP($E1040,'NI-Ric_SP'!$C:$AN,MID(AJ$1,1,2),FALSE)</f>
        <v>0</v>
      </c>
      <c r="AK1040" s="55">
        <f>VLOOKUP($E1040,'NI-Ric_SP'!$C:$AN,MID(AK$1,1,2),FALSE)</f>
        <v>0</v>
      </c>
      <c r="AL1040" s="55">
        <f>VLOOKUP($E1040,'NI-Ric_SP'!$C:$AN,MID(AL$1,1,2),FALSE)</f>
        <v>0</v>
      </c>
      <c r="AM1040" s="56">
        <f>VLOOKUP($E1040,'NI-Ric_SP'!$C:$AN,MID(AM$1,1,2),FALSE)</f>
        <v>0</v>
      </c>
      <c r="AN1040" s="30" t="str">
        <f t="shared" si="16"/>
        <v>20101010010090</v>
      </c>
    </row>
    <row r="1041" spans="3:40" x14ac:dyDescent="0.25">
      <c r="C1041" s="40"/>
      <c r="D1041" s="101" t="s">
        <v>1171</v>
      </c>
      <c r="E1041" s="101" t="s">
        <v>1172</v>
      </c>
      <c r="F1041" s="102" t="s">
        <v>2750</v>
      </c>
      <c r="G1041" s="69"/>
      <c r="H1041" s="52"/>
      <c r="I1041" s="52" t="s">
        <v>1144</v>
      </c>
      <c r="J1041" s="52" t="s">
        <v>1144</v>
      </c>
      <c r="K1041" s="69" t="s">
        <v>79</v>
      </c>
      <c r="L1041" s="52"/>
      <c r="M1041" s="52"/>
      <c r="N1041" s="52"/>
      <c r="O1041" s="61" t="s">
        <v>1145</v>
      </c>
      <c r="P1041" s="76" t="s">
        <v>1173</v>
      </c>
      <c r="Q1041" s="55">
        <f>VLOOKUP(E1041,'NI-Ric_SP'!$C:$AN,12,FALSE)</f>
        <v>0</v>
      </c>
      <c r="R1041" s="55">
        <f>VLOOKUP(E1041,'NI-Ric_SP'!$C:$AN,13,FALSE)</f>
        <v>0</v>
      </c>
      <c r="S1041" s="55"/>
      <c r="T1041" s="55"/>
      <c r="U1041" s="55">
        <f>VLOOKUP($E1041,'NI-Ric_SP'!$C:$AN,MID(U$1,1,2),FALSE)</f>
        <v>0</v>
      </c>
      <c r="V1041" s="55">
        <f>VLOOKUP($E1041,'NI-Ric_SP'!$C:$AN,MID(V$1,1,2),FALSE)</f>
        <v>0</v>
      </c>
      <c r="W1041" s="55">
        <f>VLOOKUP($E1041,'NI-Ric_SP'!$C:$AN,MID(W$1,1,2),FALSE)</f>
        <v>0</v>
      </c>
      <c r="X1041" s="55">
        <f>VLOOKUP($E1041,'NI-Ric_SP'!$C:$AN,MID(X$1,1,2),FALSE)</f>
        <v>0</v>
      </c>
      <c r="Y1041" s="55">
        <f>VLOOKUP($E1041,'NI-Ric_SP'!$C:$AN,MID(Y$1,1,2),FALSE)</f>
        <v>0</v>
      </c>
      <c r="Z1041" s="55">
        <f>VLOOKUP($E1041,'NI-Ric_SP'!$C:$AN,MID(Z$1,1,2),FALSE)</f>
        <v>0</v>
      </c>
      <c r="AA1041" s="55">
        <f>VLOOKUP($E1041,'NI-Ric_SP'!$C:$AN,MID(AA$1,1,2),FALSE)</f>
        <v>0</v>
      </c>
      <c r="AB1041" s="55">
        <f>VLOOKUP($E1041,'NI-Ric_SP'!$C:$AN,MID(AB$1,1,2),FALSE)</f>
        <v>0</v>
      </c>
      <c r="AC1041" s="55">
        <f>VLOOKUP($E1041,'NI-Ric_SP'!$C:$AN,MID(AC$1,1,2),FALSE)</f>
        <v>0</v>
      </c>
      <c r="AD1041" s="55">
        <f>VLOOKUP($E1041,'NI-Ric_SP'!$C:$AN,MID(AD$1,1,2),FALSE)</f>
        <v>0</v>
      </c>
      <c r="AE1041" s="55">
        <f>VLOOKUP($E1041,'NI-Ric_SP'!$C:$AN,MID(AE$1,1,2),FALSE)</f>
        <v>0</v>
      </c>
      <c r="AF1041" s="55">
        <f>VLOOKUP($E1041,'NI-Ric_SP'!$C:$AN,MID(AF$1,1,2),FALSE)</f>
        <v>0</v>
      </c>
      <c r="AG1041" s="55">
        <f>VLOOKUP($E1041,'NI-Ric_SP'!$C:$AN,MID(AG$1,1,2),FALSE)</f>
        <v>0</v>
      </c>
      <c r="AH1041" s="55">
        <f>VLOOKUP($E1041,'NI-Ric_SP'!$C:$AN,MID(AH$1,1,2),FALSE)</f>
        <v>0</v>
      </c>
      <c r="AI1041" s="55">
        <f>VLOOKUP($E1041,'NI-Ric_SP'!$C:$AN,MID(AI$1,1,2),FALSE)</f>
        <v>0</v>
      </c>
      <c r="AJ1041" s="55">
        <f>VLOOKUP($E1041,'NI-Ric_SP'!$C:$AN,MID(AJ$1,1,2),FALSE)</f>
        <v>0</v>
      </c>
      <c r="AK1041" s="55">
        <f>VLOOKUP($E1041,'NI-Ric_SP'!$C:$AN,MID(AK$1,1,2),FALSE)</f>
        <v>0</v>
      </c>
      <c r="AL1041" s="55">
        <f>VLOOKUP($E1041,'NI-Ric_SP'!$C:$AN,MID(AL$1,1,2),FALSE)</f>
        <v>0</v>
      </c>
      <c r="AM1041" s="56">
        <f>VLOOKUP($E1041,'NI-Ric_SP'!$C:$AN,MID(AM$1,1,2),FALSE)</f>
        <v>0</v>
      </c>
      <c r="AN1041" s="30" t="str">
        <f t="shared" si="16"/>
        <v>20101010010100</v>
      </c>
    </row>
    <row r="1042" spans="3:40" x14ac:dyDescent="0.25">
      <c r="C1042" s="40"/>
      <c r="D1042" s="101" t="s">
        <v>1174</v>
      </c>
      <c r="E1042" s="101" t="s">
        <v>1175</v>
      </c>
      <c r="F1042" s="102" t="s">
        <v>2750</v>
      </c>
      <c r="G1042" s="69"/>
      <c r="H1042" s="52"/>
      <c r="I1042" s="52" t="s">
        <v>1144</v>
      </c>
      <c r="J1042" s="52" t="s">
        <v>1144</v>
      </c>
      <c r="K1042" s="69" t="s">
        <v>79</v>
      </c>
      <c r="L1042" s="52"/>
      <c r="M1042" s="52"/>
      <c r="N1042" s="52"/>
      <c r="O1042" s="61" t="s">
        <v>1145</v>
      </c>
      <c r="P1042" s="76" t="s">
        <v>1176</v>
      </c>
      <c r="Q1042" s="55">
        <f>VLOOKUP(E1042,'NI-Ric_SP'!$C:$AN,12,FALSE)</f>
        <v>0</v>
      </c>
      <c r="R1042" s="55">
        <f>VLOOKUP(E1042,'NI-Ric_SP'!$C:$AN,13,FALSE)</f>
        <v>0</v>
      </c>
      <c r="S1042" s="55"/>
      <c r="T1042" s="55"/>
      <c r="U1042" s="55">
        <f>VLOOKUP($E1042,'NI-Ric_SP'!$C:$AN,MID(U$1,1,2),FALSE)</f>
        <v>0</v>
      </c>
      <c r="V1042" s="55">
        <f>VLOOKUP($E1042,'NI-Ric_SP'!$C:$AN,MID(V$1,1,2),FALSE)</f>
        <v>0</v>
      </c>
      <c r="W1042" s="55">
        <f>VLOOKUP($E1042,'NI-Ric_SP'!$C:$AN,MID(W$1,1,2),FALSE)</f>
        <v>0</v>
      </c>
      <c r="X1042" s="55">
        <f>VLOOKUP($E1042,'NI-Ric_SP'!$C:$AN,MID(X$1,1,2),FALSE)</f>
        <v>0</v>
      </c>
      <c r="Y1042" s="55">
        <f>VLOOKUP($E1042,'NI-Ric_SP'!$C:$AN,MID(Y$1,1,2),FALSE)</f>
        <v>0</v>
      </c>
      <c r="Z1042" s="55">
        <f>VLOOKUP($E1042,'NI-Ric_SP'!$C:$AN,MID(Z$1,1,2),FALSE)</f>
        <v>0</v>
      </c>
      <c r="AA1042" s="55">
        <f>VLOOKUP($E1042,'NI-Ric_SP'!$C:$AN,MID(AA$1,1,2),FALSE)</f>
        <v>0</v>
      </c>
      <c r="AB1042" s="55">
        <f>VLOOKUP($E1042,'NI-Ric_SP'!$C:$AN,MID(AB$1,1,2),FALSE)</f>
        <v>0</v>
      </c>
      <c r="AC1042" s="55">
        <f>VLOOKUP($E1042,'NI-Ric_SP'!$C:$AN,MID(AC$1,1,2),FALSE)</f>
        <v>0</v>
      </c>
      <c r="AD1042" s="55">
        <f>VLOOKUP($E1042,'NI-Ric_SP'!$C:$AN,MID(AD$1,1,2),FALSE)</f>
        <v>0</v>
      </c>
      <c r="AE1042" s="55">
        <f>VLOOKUP($E1042,'NI-Ric_SP'!$C:$AN,MID(AE$1,1,2),FALSE)</f>
        <v>0</v>
      </c>
      <c r="AF1042" s="55">
        <f>VLOOKUP($E1042,'NI-Ric_SP'!$C:$AN,MID(AF$1,1,2),FALSE)</f>
        <v>0</v>
      </c>
      <c r="AG1042" s="55">
        <f>VLOOKUP($E1042,'NI-Ric_SP'!$C:$AN,MID(AG$1,1,2),FALSE)</f>
        <v>0</v>
      </c>
      <c r="AH1042" s="55">
        <f>VLOOKUP($E1042,'NI-Ric_SP'!$C:$AN,MID(AH$1,1,2),FALSE)</f>
        <v>0</v>
      </c>
      <c r="AI1042" s="55">
        <f>VLOOKUP($E1042,'NI-Ric_SP'!$C:$AN,MID(AI$1,1,2),FALSE)</f>
        <v>0</v>
      </c>
      <c r="AJ1042" s="55">
        <f>VLOOKUP($E1042,'NI-Ric_SP'!$C:$AN,MID(AJ$1,1,2),FALSE)</f>
        <v>0</v>
      </c>
      <c r="AK1042" s="55">
        <f>VLOOKUP($E1042,'NI-Ric_SP'!$C:$AN,MID(AK$1,1,2),FALSE)</f>
        <v>0</v>
      </c>
      <c r="AL1042" s="55">
        <f>VLOOKUP($E1042,'NI-Ric_SP'!$C:$AN,MID(AL$1,1,2),FALSE)</f>
        <v>0</v>
      </c>
      <c r="AM1042" s="56">
        <f>VLOOKUP($E1042,'NI-Ric_SP'!$C:$AN,MID(AM$1,1,2),FALSE)</f>
        <v>0</v>
      </c>
      <c r="AN1042" s="30" t="str">
        <f t="shared" si="16"/>
        <v>20101010010110</v>
      </c>
    </row>
    <row r="1043" spans="3:40" x14ac:dyDescent="0.25">
      <c r="C1043" s="40"/>
      <c r="D1043" s="101" t="s">
        <v>1177</v>
      </c>
      <c r="E1043" s="101" t="s">
        <v>1178</v>
      </c>
      <c r="F1043" s="102" t="s">
        <v>2750</v>
      </c>
      <c r="G1043" s="69"/>
      <c r="H1043" s="52"/>
      <c r="I1043" s="52" t="s">
        <v>1144</v>
      </c>
      <c r="J1043" s="52" t="s">
        <v>1144</v>
      </c>
      <c r="K1043" s="69" t="s">
        <v>79</v>
      </c>
      <c r="L1043" s="52"/>
      <c r="M1043" s="52"/>
      <c r="N1043" s="52"/>
      <c r="O1043" s="61" t="s">
        <v>1145</v>
      </c>
      <c r="P1043" s="76" t="s">
        <v>1179</v>
      </c>
      <c r="Q1043" s="55">
        <f>VLOOKUP(E1043,'NI-Ric_SP'!$C:$AN,12,FALSE)</f>
        <v>0</v>
      </c>
      <c r="R1043" s="55">
        <f>VLOOKUP(E1043,'NI-Ric_SP'!$C:$AN,13,FALSE)</f>
        <v>0</v>
      </c>
      <c r="S1043" s="55"/>
      <c r="T1043" s="55"/>
      <c r="U1043" s="55">
        <f>VLOOKUP($E1043,'NI-Ric_SP'!$C:$AN,MID(U$1,1,2),FALSE)</f>
        <v>0</v>
      </c>
      <c r="V1043" s="55">
        <f>VLOOKUP($E1043,'NI-Ric_SP'!$C:$AN,MID(V$1,1,2),FALSE)</f>
        <v>0</v>
      </c>
      <c r="W1043" s="55">
        <f>VLOOKUP($E1043,'NI-Ric_SP'!$C:$AN,MID(W$1,1,2),FALSE)</f>
        <v>0</v>
      </c>
      <c r="X1043" s="55">
        <f>VLOOKUP($E1043,'NI-Ric_SP'!$C:$AN,MID(X$1,1,2),FALSE)</f>
        <v>0</v>
      </c>
      <c r="Y1043" s="55">
        <f>VLOOKUP($E1043,'NI-Ric_SP'!$C:$AN,MID(Y$1,1,2),FALSE)</f>
        <v>0</v>
      </c>
      <c r="Z1043" s="55">
        <f>VLOOKUP($E1043,'NI-Ric_SP'!$C:$AN,MID(Z$1,1,2),FALSE)</f>
        <v>0</v>
      </c>
      <c r="AA1043" s="55">
        <f>VLOOKUP($E1043,'NI-Ric_SP'!$C:$AN,MID(AA$1,1,2),FALSE)</f>
        <v>0</v>
      </c>
      <c r="AB1043" s="55">
        <f>VLOOKUP($E1043,'NI-Ric_SP'!$C:$AN,MID(AB$1,1,2),FALSE)</f>
        <v>0</v>
      </c>
      <c r="AC1043" s="55">
        <f>VLOOKUP($E1043,'NI-Ric_SP'!$C:$AN,MID(AC$1,1,2),FALSE)</f>
        <v>0</v>
      </c>
      <c r="AD1043" s="55">
        <f>VLOOKUP($E1043,'NI-Ric_SP'!$C:$AN,MID(AD$1,1,2),FALSE)</f>
        <v>0</v>
      </c>
      <c r="AE1043" s="55">
        <f>VLOOKUP($E1043,'NI-Ric_SP'!$C:$AN,MID(AE$1,1,2),FALSE)</f>
        <v>0</v>
      </c>
      <c r="AF1043" s="55">
        <f>VLOOKUP($E1043,'NI-Ric_SP'!$C:$AN,MID(AF$1,1,2),FALSE)</f>
        <v>0</v>
      </c>
      <c r="AG1043" s="55">
        <f>VLOOKUP($E1043,'NI-Ric_SP'!$C:$AN,MID(AG$1,1,2),FALSE)</f>
        <v>0</v>
      </c>
      <c r="AH1043" s="55">
        <f>VLOOKUP($E1043,'NI-Ric_SP'!$C:$AN,MID(AH$1,1,2),FALSE)</f>
        <v>0</v>
      </c>
      <c r="AI1043" s="55">
        <f>VLOOKUP($E1043,'NI-Ric_SP'!$C:$AN,MID(AI$1,1,2),FALSE)</f>
        <v>0</v>
      </c>
      <c r="AJ1043" s="55">
        <f>VLOOKUP($E1043,'NI-Ric_SP'!$C:$AN,MID(AJ$1,1,2),FALSE)</f>
        <v>0</v>
      </c>
      <c r="AK1043" s="55">
        <f>VLOOKUP($E1043,'NI-Ric_SP'!$C:$AN,MID(AK$1,1,2),FALSE)</f>
        <v>0</v>
      </c>
      <c r="AL1043" s="55">
        <f>VLOOKUP($E1043,'NI-Ric_SP'!$C:$AN,MID(AL$1,1,2),FALSE)</f>
        <v>0</v>
      </c>
      <c r="AM1043" s="56">
        <f>VLOOKUP($E1043,'NI-Ric_SP'!$C:$AN,MID(AM$1,1,2),FALSE)</f>
        <v>0</v>
      </c>
      <c r="AN1043" s="30" t="str">
        <f t="shared" si="16"/>
        <v>20101010010120</v>
      </c>
    </row>
    <row r="1044" spans="3:40" x14ac:dyDescent="0.25">
      <c r="C1044" s="40"/>
      <c r="D1044" s="101" t="s">
        <v>1180</v>
      </c>
      <c r="E1044" s="101" t="s">
        <v>1181</v>
      </c>
      <c r="F1044" s="102" t="s">
        <v>2750</v>
      </c>
      <c r="G1044" s="69"/>
      <c r="H1044" s="52"/>
      <c r="I1044" s="52" t="s">
        <v>1144</v>
      </c>
      <c r="J1044" s="52" t="s">
        <v>1144</v>
      </c>
      <c r="K1044" s="69" t="s">
        <v>79</v>
      </c>
      <c r="L1044" s="52"/>
      <c r="M1044" s="52"/>
      <c r="N1044" s="52"/>
      <c r="O1044" s="61" t="s">
        <v>1145</v>
      </c>
      <c r="P1044" s="76" t="s">
        <v>1182</v>
      </c>
      <c r="Q1044" s="55">
        <f>VLOOKUP(E1044,'NI-Ric_SP'!$C:$AN,12,FALSE)</f>
        <v>0</v>
      </c>
      <c r="R1044" s="55">
        <f>VLOOKUP(E1044,'NI-Ric_SP'!$C:$AN,13,FALSE)</f>
        <v>0</v>
      </c>
      <c r="S1044" s="55"/>
      <c r="T1044" s="55"/>
      <c r="U1044" s="55">
        <f>VLOOKUP($E1044,'NI-Ric_SP'!$C:$AN,MID(U$1,1,2),FALSE)</f>
        <v>0</v>
      </c>
      <c r="V1044" s="55">
        <f>VLOOKUP($E1044,'NI-Ric_SP'!$C:$AN,MID(V$1,1,2),FALSE)</f>
        <v>0</v>
      </c>
      <c r="W1044" s="55">
        <f>VLOOKUP($E1044,'NI-Ric_SP'!$C:$AN,MID(W$1,1,2),FALSE)</f>
        <v>0</v>
      </c>
      <c r="X1044" s="55">
        <f>VLOOKUP($E1044,'NI-Ric_SP'!$C:$AN,MID(X$1,1,2),FALSE)</f>
        <v>0</v>
      </c>
      <c r="Y1044" s="55">
        <f>VLOOKUP($E1044,'NI-Ric_SP'!$C:$AN,MID(Y$1,1,2),FALSE)</f>
        <v>0</v>
      </c>
      <c r="Z1044" s="55">
        <f>VLOOKUP($E1044,'NI-Ric_SP'!$C:$AN,MID(Z$1,1,2),FALSE)</f>
        <v>0</v>
      </c>
      <c r="AA1044" s="55">
        <f>VLOOKUP($E1044,'NI-Ric_SP'!$C:$AN,MID(AA$1,1,2),FALSE)</f>
        <v>0</v>
      </c>
      <c r="AB1044" s="55">
        <f>VLOOKUP($E1044,'NI-Ric_SP'!$C:$AN,MID(AB$1,1,2),FALSE)</f>
        <v>0</v>
      </c>
      <c r="AC1044" s="55">
        <f>VLOOKUP($E1044,'NI-Ric_SP'!$C:$AN,MID(AC$1,1,2),FALSE)</f>
        <v>0</v>
      </c>
      <c r="AD1044" s="55">
        <f>VLOOKUP($E1044,'NI-Ric_SP'!$C:$AN,MID(AD$1,1,2),FALSE)</f>
        <v>0</v>
      </c>
      <c r="AE1044" s="55">
        <f>VLOOKUP($E1044,'NI-Ric_SP'!$C:$AN,MID(AE$1,1,2),FALSE)</f>
        <v>0</v>
      </c>
      <c r="AF1044" s="55">
        <f>VLOOKUP($E1044,'NI-Ric_SP'!$C:$AN,MID(AF$1,1,2),FALSE)</f>
        <v>0</v>
      </c>
      <c r="AG1044" s="55">
        <f>VLOOKUP($E1044,'NI-Ric_SP'!$C:$AN,MID(AG$1,1,2),FALSE)</f>
        <v>0</v>
      </c>
      <c r="AH1044" s="55">
        <f>VLOOKUP($E1044,'NI-Ric_SP'!$C:$AN,MID(AH$1,1,2),FALSE)</f>
        <v>0</v>
      </c>
      <c r="AI1044" s="55">
        <f>VLOOKUP($E1044,'NI-Ric_SP'!$C:$AN,MID(AI$1,1,2),FALSE)</f>
        <v>0</v>
      </c>
      <c r="AJ1044" s="55">
        <f>VLOOKUP($E1044,'NI-Ric_SP'!$C:$AN,MID(AJ$1,1,2),FALSE)</f>
        <v>0</v>
      </c>
      <c r="AK1044" s="55">
        <f>VLOOKUP($E1044,'NI-Ric_SP'!$C:$AN,MID(AK$1,1,2),FALSE)</f>
        <v>0</v>
      </c>
      <c r="AL1044" s="55">
        <f>VLOOKUP($E1044,'NI-Ric_SP'!$C:$AN,MID(AL$1,1,2),FALSE)</f>
        <v>0</v>
      </c>
      <c r="AM1044" s="56">
        <f>VLOOKUP($E1044,'NI-Ric_SP'!$C:$AN,MID(AM$1,1,2),FALSE)</f>
        <v>0</v>
      </c>
      <c r="AN1044" s="30" t="str">
        <f t="shared" si="16"/>
        <v>20101010010130</v>
      </c>
    </row>
    <row r="1045" spans="3:40" x14ac:dyDescent="0.25">
      <c r="C1045" s="40"/>
      <c r="D1045" s="101" t="s">
        <v>1183</v>
      </c>
      <c r="E1045" s="101" t="s">
        <v>1184</v>
      </c>
      <c r="F1045" s="102" t="s">
        <v>2750</v>
      </c>
      <c r="G1045" s="69"/>
      <c r="H1045" s="52"/>
      <c r="I1045" s="52" t="s">
        <v>1144</v>
      </c>
      <c r="J1045" s="52" t="s">
        <v>1144</v>
      </c>
      <c r="K1045" s="69" t="s">
        <v>79</v>
      </c>
      <c r="L1045" s="52"/>
      <c r="M1045" s="52"/>
      <c r="N1045" s="52"/>
      <c r="O1045" s="61" t="s">
        <v>1145</v>
      </c>
      <c r="P1045" s="76" t="s">
        <v>1185</v>
      </c>
      <c r="Q1045" s="55">
        <f>VLOOKUP(E1045,'NI-Ric_SP'!$C:$AN,12,FALSE)</f>
        <v>0</v>
      </c>
      <c r="R1045" s="55">
        <f>VLOOKUP(E1045,'NI-Ric_SP'!$C:$AN,13,FALSE)</f>
        <v>0</v>
      </c>
      <c r="S1045" s="55"/>
      <c r="T1045" s="55"/>
      <c r="U1045" s="55">
        <f>VLOOKUP($E1045,'NI-Ric_SP'!$C:$AN,MID(U$1,1,2),FALSE)</f>
        <v>0</v>
      </c>
      <c r="V1045" s="55">
        <f>VLOOKUP($E1045,'NI-Ric_SP'!$C:$AN,MID(V$1,1,2),FALSE)</f>
        <v>0</v>
      </c>
      <c r="W1045" s="55">
        <f>VLOOKUP($E1045,'NI-Ric_SP'!$C:$AN,MID(W$1,1,2),FALSE)</f>
        <v>0</v>
      </c>
      <c r="X1045" s="55">
        <f>VLOOKUP($E1045,'NI-Ric_SP'!$C:$AN,MID(X$1,1,2),FALSE)</f>
        <v>0</v>
      </c>
      <c r="Y1045" s="55">
        <f>VLOOKUP($E1045,'NI-Ric_SP'!$C:$AN,MID(Y$1,1,2),FALSE)</f>
        <v>0</v>
      </c>
      <c r="Z1045" s="55">
        <f>VLOOKUP($E1045,'NI-Ric_SP'!$C:$AN,MID(Z$1,1,2),FALSE)</f>
        <v>0</v>
      </c>
      <c r="AA1045" s="55">
        <f>VLOOKUP($E1045,'NI-Ric_SP'!$C:$AN,MID(AA$1,1,2),FALSE)</f>
        <v>0</v>
      </c>
      <c r="AB1045" s="55">
        <f>VLOOKUP($E1045,'NI-Ric_SP'!$C:$AN,MID(AB$1,1,2),FALSE)</f>
        <v>0</v>
      </c>
      <c r="AC1045" s="55">
        <f>VLOOKUP($E1045,'NI-Ric_SP'!$C:$AN,MID(AC$1,1,2),FALSE)</f>
        <v>0</v>
      </c>
      <c r="AD1045" s="55">
        <f>VLOOKUP($E1045,'NI-Ric_SP'!$C:$AN,MID(AD$1,1,2),FALSE)</f>
        <v>0</v>
      </c>
      <c r="AE1045" s="55">
        <f>VLOOKUP($E1045,'NI-Ric_SP'!$C:$AN,MID(AE$1,1,2),FALSE)</f>
        <v>0</v>
      </c>
      <c r="AF1045" s="55">
        <f>VLOOKUP($E1045,'NI-Ric_SP'!$C:$AN,MID(AF$1,1,2),FALSE)</f>
        <v>0</v>
      </c>
      <c r="AG1045" s="55">
        <f>VLOOKUP($E1045,'NI-Ric_SP'!$C:$AN,MID(AG$1,1,2),FALSE)</f>
        <v>0</v>
      </c>
      <c r="AH1045" s="55">
        <f>VLOOKUP($E1045,'NI-Ric_SP'!$C:$AN,MID(AH$1,1,2),FALSE)</f>
        <v>0</v>
      </c>
      <c r="AI1045" s="55">
        <f>VLOOKUP($E1045,'NI-Ric_SP'!$C:$AN,MID(AI$1,1,2),FALSE)</f>
        <v>0</v>
      </c>
      <c r="AJ1045" s="55">
        <f>VLOOKUP($E1045,'NI-Ric_SP'!$C:$AN,MID(AJ$1,1,2),FALSE)</f>
        <v>0</v>
      </c>
      <c r="AK1045" s="55">
        <f>VLOOKUP($E1045,'NI-Ric_SP'!$C:$AN,MID(AK$1,1,2),FALSE)</f>
        <v>0</v>
      </c>
      <c r="AL1045" s="55">
        <f>VLOOKUP($E1045,'NI-Ric_SP'!$C:$AN,MID(AL$1,1,2),FALSE)</f>
        <v>0</v>
      </c>
      <c r="AM1045" s="56">
        <f>VLOOKUP($E1045,'NI-Ric_SP'!$C:$AN,MID(AM$1,1,2),FALSE)</f>
        <v>0</v>
      </c>
      <c r="AN1045" s="30" t="str">
        <f t="shared" si="16"/>
        <v>20101010010140</v>
      </c>
    </row>
    <row r="1046" spans="3:40" x14ac:dyDescent="0.25">
      <c r="C1046" s="40"/>
      <c r="D1046" s="101" t="s">
        <v>1186</v>
      </c>
      <c r="E1046" s="101" t="s">
        <v>1187</v>
      </c>
      <c r="F1046" s="102" t="s">
        <v>2750</v>
      </c>
      <c r="G1046" s="69"/>
      <c r="H1046" s="52"/>
      <c r="I1046" s="52" t="s">
        <v>1144</v>
      </c>
      <c r="J1046" s="52" t="s">
        <v>1144</v>
      </c>
      <c r="K1046" s="69" t="s">
        <v>79</v>
      </c>
      <c r="L1046" s="52"/>
      <c r="M1046" s="52"/>
      <c r="N1046" s="52"/>
      <c r="O1046" s="61" t="s">
        <v>1145</v>
      </c>
      <c r="P1046" s="76" t="s">
        <v>1188</v>
      </c>
      <c r="Q1046" s="55">
        <f>VLOOKUP(E1046,'NI-Ric_SP'!$C:$AN,12,FALSE)</f>
        <v>0</v>
      </c>
      <c r="R1046" s="55">
        <f>VLOOKUP(E1046,'NI-Ric_SP'!$C:$AN,13,FALSE)</f>
        <v>0</v>
      </c>
      <c r="S1046" s="55"/>
      <c r="T1046" s="55"/>
      <c r="U1046" s="55">
        <f>VLOOKUP($E1046,'NI-Ric_SP'!$C:$AN,MID(U$1,1,2),FALSE)</f>
        <v>0</v>
      </c>
      <c r="V1046" s="55">
        <f>VLOOKUP($E1046,'NI-Ric_SP'!$C:$AN,MID(V$1,1,2),FALSE)</f>
        <v>0</v>
      </c>
      <c r="W1046" s="55">
        <f>VLOOKUP($E1046,'NI-Ric_SP'!$C:$AN,MID(W$1,1,2),FALSE)</f>
        <v>0</v>
      </c>
      <c r="X1046" s="55">
        <f>VLOOKUP($E1046,'NI-Ric_SP'!$C:$AN,MID(X$1,1,2),FALSE)</f>
        <v>0</v>
      </c>
      <c r="Y1046" s="55">
        <f>VLOOKUP($E1046,'NI-Ric_SP'!$C:$AN,MID(Y$1,1,2),FALSE)</f>
        <v>0</v>
      </c>
      <c r="Z1046" s="55">
        <f>VLOOKUP($E1046,'NI-Ric_SP'!$C:$AN,MID(Z$1,1,2),FALSE)</f>
        <v>0</v>
      </c>
      <c r="AA1046" s="55">
        <f>VLOOKUP($E1046,'NI-Ric_SP'!$C:$AN,MID(AA$1,1,2),FALSE)</f>
        <v>0</v>
      </c>
      <c r="AB1046" s="55">
        <f>VLOOKUP($E1046,'NI-Ric_SP'!$C:$AN,MID(AB$1,1,2),FALSE)</f>
        <v>0</v>
      </c>
      <c r="AC1046" s="55">
        <f>VLOOKUP($E1046,'NI-Ric_SP'!$C:$AN,MID(AC$1,1,2),FALSE)</f>
        <v>0</v>
      </c>
      <c r="AD1046" s="55">
        <f>VLOOKUP($E1046,'NI-Ric_SP'!$C:$AN,MID(AD$1,1,2),FALSE)</f>
        <v>0</v>
      </c>
      <c r="AE1046" s="55">
        <f>VLOOKUP($E1046,'NI-Ric_SP'!$C:$AN,MID(AE$1,1,2),FALSE)</f>
        <v>0</v>
      </c>
      <c r="AF1046" s="55">
        <f>VLOOKUP($E1046,'NI-Ric_SP'!$C:$AN,MID(AF$1,1,2),FALSE)</f>
        <v>0</v>
      </c>
      <c r="AG1046" s="55">
        <f>VLOOKUP($E1046,'NI-Ric_SP'!$C:$AN,MID(AG$1,1,2),FALSE)</f>
        <v>0</v>
      </c>
      <c r="AH1046" s="55">
        <f>VLOOKUP($E1046,'NI-Ric_SP'!$C:$AN,MID(AH$1,1,2),FALSE)</f>
        <v>0</v>
      </c>
      <c r="AI1046" s="55">
        <f>VLOOKUP($E1046,'NI-Ric_SP'!$C:$AN,MID(AI$1,1,2),FALSE)</f>
        <v>0</v>
      </c>
      <c r="AJ1046" s="55">
        <f>VLOOKUP($E1046,'NI-Ric_SP'!$C:$AN,MID(AJ$1,1,2),FALSE)</f>
        <v>0</v>
      </c>
      <c r="AK1046" s="55">
        <f>VLOOKUP($E1046,'NI-Ric_SP'!$C:$AN,MID(AK$1,1,2),FALSE)</f>
        <v>0</v>
      </c>
      <c r="AL1046" s="55">
        <f>VLOOKUP($E1046,'NI-Ric_SP'!$C:$AN,MID(AL$1,1,2),FALSE)</f>
        <v>0</v>
      </c>
      <c r="AM1046" s="56">
        <f>VLOOKUP($E1046,'NI-Ric_SP'!$C:$AN,MID(AM$1,1,2),FALSE)</f>
        <v>0</v>
      </c>
      <c r="AN1046" s="30" t="str">
        <f t="shared" si="16"/>
        <v>20101010010150</v>
      </c>
    </row>
    <row r="1047" spans="3:40" x14ac:dyDescent="0.25">
      <c r="C1047" s="40"/>
      <c r="D1047" s="101" t="s">
        <v>1189</v>
      </c>
      <c r="E1047" s="101" t="s">
        <v>1190</v>
      </c>
      <c r="F1047" s="102" t="s">
        <v>2750</v>
      </c>
      <c r="G1047" s="69"/>
      <c r="H1047" s="52"/>
      <c r="I1047" s="52" t="s">
        <v>1144</v>
      </c>
      <c r="J1047" s="52" t="s">
        <v>1144</v>
      </c>
      <c r="K1047" s="69" t="s">
        <v>79</v>
      </c>
      <c r="L1047" s="52"/>
      <c r="M1047" s="52"/>
      <c r="N1047" s="52"/>
      <c r="O1047" s="61" t="s">
        <v>1145</v>
      </c>
      <c r="P1047" s="76" t="s">
        <v>1191</v>
      </c>
      <c r="Q1047" s="55">
        <f>VLOOKUP(E1047,'NI-Ric_SP'!$C:$AN,12,FALSE)</f>
        <v>0</v>
      </c>
      <c r="R1047" s="55">
        <f>VLOOKUP(E1047,'NI-Ric_SP'!$C:$AN,13,FALSE)</f>
        <v>0</v>
      </c>
      <c r="S1047" s="55"/>
      <c r="T1047" s="55"/>
      <c r="U1047" s="55">
        <f>VLOOKUP($E1047,'NI-Ric_SP'!$C:$AN,MID(U$1,1,2),FALSE)</f>
        <v>0</v>
      </c>
      <c r="V1047" s="55">
        <f>VLOOKUP($E1047,'NI-Ric_SP'!$C:$AN,MID(V$1,1,2),FALSE)</f>
        <v>0</v>
      </c>
      <c r="W1047" s="55">
        <f>VLOOKUP($E1047,'NI-Ric_SP'!$C:$AN,MID(W$1,1,2),FALSE)</f>
        <v>0</v>
      </c>
      <c r="X1047" s="55">
        <f>VLOOKUP($E1047,'NI-Ric_SP'!$C:$AN,MID(X$1,1,2),FALSE)</f>
        <v>0</v>
      </c>
      <c r="Y1047" s="55">
        <f>VLOOKUP($E1047,'NI-Ric_SP'!$C:$AN,MID(Y$1,1,2),FALSE)</f>
        <v>0</v>
      </c>
      <c r="Z1047" s="55">
        <f>VLOOKUP($E1047,'NI-Ric_SP'!$C:$AN,MID(Z$1,1,2),FALSE)</f>
        <v>0</v>
      </c>
      <c r="AA1047" s="55">
        <f>VLOOKUP($E1047,'NI-Ric_SP'!$C:$AN,MID(AA$1,1,2),FALSE)</f>
        <v>0</v>
      </c>
      <c r="AB1047" s="55">
        <f>VLOOKUP($E1047,'NI-Ric_SP'!$C:$AN,MID(AB$1,1,2),FALSE)</f>
        <v>0</v>
      </c>
      <c r="AC1047" s="55">
        <f>VLOOKUP($E1047,'NI-Ric_SP'!$C:$AN,MID(AC$1,1,2),FALSE)</f>
        <v>0</v>
      </c>
      <c r="AD1047" s="55">
        <f>VLOOKUP($E1047,'NI-Ric_SP'!$C:$AN,MID(AD$1,1,2),FALSE)</f>
        <v>0</v>
      </c>
      <c r="AE1047" s="55">
        <f>VLOOKUP($E1047,'NI-Ric_SP'!$C:$AN,MID(AE$1,1,2),FALSE)</f>
        <v>0</v>
      </c>
      <c r="AF1047" s="55">
        <f>VLOOKUP($E1047,'NI-Ric_SP'!$C:$AN,MID(AF$1,1,2),FALSE)</f>
        <v>0</v>
      </c>
      <c r="AG1047" s="55">
        <f>VLOOKUP($E1047,'NI-Ric_SP'!$C:$AN,MID(AG$1,1,2),FALSE)</f>
        <v>0</v>
      </c>
      <c r="AH1047" s="55">
        <f>VLOOKUP($E1047,'NI-Ric_SP'!$C:$AN,MID(AH$1,1,2),FALSE)</f>
        <v>0</v>
      </c>
      <c r="AI1047" s="55">
        <f>VLOOKUP($E1047,'NI-Ric_SP'!$C:$AN,MID(AI$1,1,2),FALSE)</f>
        <v>0</v>
      </c>
      <c r="AJ1047" s="55">
        <f>VLOOKUP($E1047,'NI-Ric_SP'!$C:$AN,MID(AJ$1,1,2),FALSE)</f>
        <v>0</v>
      </c>
      <c r="AK1047" s="55">
        <f>VLOOKUP($E1047,'NI-Ric_SP'!$C:$AN,MID(AK$1,1,2),FALSE)</f>
        <v>0</v>
      </c>
      <c r="AL1047" s="55">
        <f>VLOOKUP($E1047,'NI-Ric_SP'!$C:$AN,MID(AL$1,1,2),FALSE)</f>
        <v>0</v>
      </c>
      <c r="AM1047" s="56">
        <f>VLOOKUP($E1047,'NI-Ric_SP'!$C:$AN,MID(AM$1,1,2),FALSE)</f>
        <v>0</v>
      </c>
      <c r="AN1047" s="30" t="str">
        <f t="shared" si="16"/>
        <v>20101010010160</v>
      </c>
    </row>
    <row r="1048" spans="3:40" x14ac:dyDescent="0.25">
      <c r="C1048" s="40"/>
      <c r="D1048" s="101" t="s">
        <v>1192</v>
      </c>
      <c r="E1048" s="101" t="s">
        <v>1193</v>
      </c>
      <c r="F1048" s="102" t="s">
        <v>2750</v>
      </c>
      <c r="G1048" s="69"/>
      <c r="H1048" s="52"/>
      <c r="I1048" s="52" t="s">
        <v>1144</v>
      </c>
      <c r="J1048" s="52" t="s">
        <v>1144</v>
      </c>
      <c r="K1048" s="69" t="s">
        <v>79</v>
      </c>
      <c r="L1048" s="52"/>
      <c r="M1048" s="52"/>
      <c r="N1048" s="52"/>
      <c r="O1048" s="61" t="s">
        <v>1145</v>
      </c>
      <c r="P1048" s="76" t="s">
        <v>1194</v>
      </c>
      <c r="Q1048" s="55">
        <f>VLOOKUP(E1048,'NI-Ric_SP'!$C:$AN,12,FALSE)</f>
        <v>0</v>
      </c>
      <c r="R1048" s="55">
        <f>VLOOKUP(E1048,'NI-Ric_SP'!$C:$AN,13,FALSE)</f>
        <v>0</v>
      </c>
      <c r="S1048" s="55"/>
      <c r="T1048" s="55"/>
      <c r="U1048" s="55">
        <f>VLOOKUP($E1048,'NI-Ric_SP'!$C:$AN,MID(U$1,1,2),FALSE)</f>
        <v>0</v>
      </c>
      <c r="V1048" s="55">
        <f>VLOOKUP($E1048,'NI-Ric_SP'!$C:$AN,MID(V$1,1,2),FALSE)</f>
        <v>0</v>
      </c>
      <c r="W1048" s="55">
        <f>VLOOKUP($E1048,'NI-Ric_SP'!$C:$AN,MID(W$1,1,2),FALSE)</f>
        <v>0</v>
      </c>
      <c r="X1048" s="55">
        <f>VLOOKUP($E1048,'NI-Ric_SP'!$C:$AN,MID(X$1,1,2),FALSE)</f>
        <v>0</v>
      </c>
      <c r="Y1048" s="55">
        <f>VLOOKUP($E1048,'NI-Ric_SP'!$C:$AN,MID(Y$1,1,2),FALSE)</f>
        <v>0</v>
      </c>
      <c r="Z1048" s="55">
        <f>VLOOKUP($E1048,'NI-Ric_SP'!$C:$AN,MID(Z$1,1,2),FALSE)</f>
        <v>0</v>
      </c>
      <c r="AA1048" s="55">
        <f>VLOOKUP($E1048,'NI-Ric_SP'!$C:$AN,MID(AA$1,1,2),FALSE)</f>
        <v>0</v>
      </c>
      <c r="AB1048" s="55">
        <f>VLOOKUP($E1048,'NI-Ric_SP'!$C:$AN,MID(AB$1,1,2),FALSE)</f>
        <v>0</v>
      </c>
      <c r="AC1048" s="55">
        <f>VLOOKUP($E1048,'NI-Ric_SP'!$C:$AN,MID(AC$1,1,2),FALSE)</f>
        <v>0</v>
      </c>
      <c r="AD1048" s="55">
        <f>VLOOKUP($E1048,'NI-Ric_SP'!$C:$AN,MID(AD$1,1,2),FALSE)</f>
        <v>0</v>
      </c>
      <c r="AE1048" s="55">
        <f>VLOOKUP($E1048,'NI-Ric_SP'!$C:$AN,MID(AE$1,1,2),FALSE)</f>
        <v>0</v>
      </c>
      <c r="AF1048" s="55">
        <f>VLOOKUP($E1048,'NI-Ric_SP'!$C:$AN,MID(AF$1,1,2),FALSE)</f>
        <v>0</v>
      </c>
      <c r="AG1048" s="55">
        <f>VLOOKUP($E1048,'NI-Ric_SP'!$C:$AN,MID(AG$1,1,2),FALSE)</f>
        <v>0</v>
      </c>
      <c r="AH1048" s="55">
        <f>VLOOKUP($E1048,'NI-Ric_SP'!$C:$AN,MID(AH$1,1,2),FALSE)</f>
        <v>0</v>
      </c>
      <c r="AI1048" s="55">
        <f>VLOOKUP($E1048,'NI-Ric_SP'!$C:$AN,MID(AI$1,1,2),FALSE)</f>
        <v>0</v>
      </c>
      <c r="AJ1048" s="55">
        <f>VLOOKUP($E1048,'NI-Ric_SP'!$C:$AN,MID(AJ$1,1,2),FALSE)</f>
        <v>0</v>
      </c>
      <c r="AK1048" s="55">
        <f>VLOOKUP($E1048,'NI-Ric_SP'!$C:$AN,MID(AK$1,1,2),FALSE)</f>
        <v>0</v>
      </c>
      <c r="AL1048" s="55">
        <f>VLOOKUP($E1048,'NI-Ric_SP'!$C:$AN,MID(AL$1,1,2),FALSE)</f>
        <v>0</v>
      </c>
      <c r="AM1048" s="56">
        <f>VLOOKUP($E1048,'NI-Ric_SP'!$C:$AN,MID(AM$1,1,2),FALSE)</f>
        <v>0</v>
      </c>
      <c r="AN1048" s="30" t="str">
        <f t="shared" si="16"/>
        <v>20101010010170</v>
      </c>
    </row>
    <row r="1049" spans="3:40" ht="27" x14ac:dyDescent="0.25">
      <c r="C1049" s="40"/>
      <c r="D1049" s="101" t="s">
        <v>1195</v>
      </c>
      <c r="E1049" s="101" t="s">
        <v>1196</v>
      </c>
      <c r="F1049" s="102" t="s">
        <v>2750</v>
      </c>
      <c r="G1049" s="69"/>
      <c r="H1049" s="52"/>
      <c r="I1049" s="52" t="s">
        <v>1144</v>
      </c>
      <c r="J1049" s="52" t="s">
        <v>1144</v>
      </c>
      <c r="K1049" s="69" t="s">
        <v>79</v>
      </c>
      <c r="L1049" s="52"/>
      <c r="M1049" s="52"/>
      <c r="N1049" s="52"/>
      <c r="O1049" s="61" t="s">
        <v>1145</v>
      </c>
      <c r="P1049" s="76" t="s">
        <v>1197</v>
      </c>
      <c r="Q1049" s="55">
        <f>VLOOKUP(E1049,'NI-Ric_SP'!$C:$AN,12,FALSE)</f>
        <v>0</v>
      </c>
      <c r="R1049" s="55">
        <f>VLOOKUP(E1049,'NI-Ric_SP'!$C:$AN,13,FALSE)</f>
        <v>0</v>
      </c>
      <c r="S1049" s="55"/>
      <c r="T1049" s="55"/>
      <c r="U1049" s="55">
        <f>VLOOKUP($E1049,'NI-Ric_SP'!$C:$AN,MID(U$1,1,2),FALSE)</f>
        <v>0</v>
      </c>
      <c r="V1049" s="55">
        <f>VLOOKUP($E1049,'NI-Ric_SP'!$C:$AN,MID(V$1,1,2),FALSE)</f>
        <v>0</v>
      </c>
      <c r="W1049" s="55">
        <f>VLOOKUP($E1049,'NI-Ric_SP'!$C:$AN,MID(W$1,1,2),FALSE)</f>
        <v>0</v>
      </c>
      <c r="X1049" s="55">
        <f>VLOOKUP($E1049,'NI-Ric_SP'!$C:$AN,MID(X$1,1,2),FALSE)</f>
        <v>0</v>
      </c>
      <c r="Y1049" s="55">
        <f>VLOOKUP($E1049,'NI-Ric_SP'!$C:$AN,MID(Y$1,1,2),FALSE)</f>
        <v>0</v>
      </c>
      <c r="Z1049" s="55">
        <f>VLOOKUP($E1049,'NI-Ric_SP'!$C:$AN,MID(Z$1,1,2),FALSE)</f>
        <v>0</v>
      </c>
      <c r="AA1049" s="55">
        <f>VLOOKUP($E1049,'NI-Ric_SP'!$C:$AN,MID(AA$1,1,2),FALSE)</f>
        <v>0</v>
      </c>
      <c r="AB1049" s="55">
        <f>VLOOKUP($E1049,'NI-Ric_SP'!$C:$AN,MID(AB$1,1,2),FALSE)</f>
        <v>0</v>
      </c>
      <c r="AC1049" s="55">
        <f>VLOOKUP($E1049,'NI-Ric_SP'!$C:$AN,MID(AC$1,1,2),FALSE)</f>
        <v>0</v>
      </c>
      <c r="AD1049" s="55">
        <f>VLOOKUP($E1049,'NI-Ric_SP'!$C:$AN,MID(AD$1,1,2),FALSE)</f>
        <v>0</v>
      </c>
      <c r="AE1049" s="55">
        <f>VLOOKUP($E1049,'NI-Ric_SP'!$C:$AN,MID(AE$1,1,2),FALSE)</f>
        <v>0</v>
      </c>
      <c r="AF1049" s="55">
        <f>VLOOKUP($E1049,'NI-Ric_SP'!$C:$AN,MID(AF$1,1,2),FALSE)</f>
        <v>0</v>
      </c>
      <c r="AG1049" s="55">
        <f>VLOOKUP($E1049,'NI-Ric_SP'!$C:$AN,MID(AG$1,1,2),FALSE)</f>
        <v>0</v>
      </c>
      <c r="AH1049" s="55">
        <f>VLOOKUP($E1049,'NI-Ric_SP'!$C:$AN,MID(AH$1,1,2),FALSE)</f>
        <v>0</v>
      </c>
      <c r="AI1049" s="55">
        <f>VLOOKUP($E1049,'NI-Ric_SP'!$C:$AN,MID(AI$1,1,2),FALSE)</f>
        <v>0</v>
      </c>
      <c r="AJ1049" s="55">
        <f>VLOOKUP($E1049,'NI-Ric_SP'!$C:$AN,MID(AJ$1,1,2),FALSE)</f>
        <v>0</v>
      </c>
      <c r="AK1049" s="55">
        <f>VLOOKUP($E1049,'NI-Ric_SP'!$C:$AN,MID(AK$1,1,2),FALSE)</f>
        <v>0</v>
      </c>
      <c r="AL1049" s="55">
        <f>VLOOKUP($E1049,'NI-Ric_SP'!$C:$AN,MID(AL$1,1,2),FALSE)</f>
        <v>0</v>
      </c>
      <c r="AM1049" s="56">
        <f>VLOOKUP($E1049,'NI-Ric_SP'!$C:$AN,MID(AM$1,1,2),FALSE)</f>
        <v>0</v>
      </c>
      <c r="AN1049" s="30" t="str">
        <f t="shared" si="16"/>
        <v>20101010010180</v>
      </c>
    </row>
    <row r="1050" spans="3:40" ht="27" x14ac:dyDescent="0.25">
      <c r="C1050" s="40"/>
      <c r="D1050" s="101" t="s">
        <v>1198</v>
      </c>
      <c r="E1050" s="101" t="s">
        <v>1199</v>
      </c>
      <c r="F1050" s="102" t="s">
        <v>2750</v>
      </c>
      <c r="G1050" s="69"/>
      <c r="H1050" s="52"/>
      <c r="I1050" s="52" t="s">
        <v>1144</v>
      </c>
      <c r="J1050" s="52" t="s">
        <v>1144</v>
      </c>
      <c r="K1050" s="69" t="s">
        <v>79</v>
      </c>
      <c r="L1050" s="52"/>
      <c r="M1050" s="52"/>
      <c r="N1050" s="52"/>
      <c r="O1050" s="61" t="s">
        <v>1145</v>
      </c>
      <c r="P1050" s="76" t="s">
        <v>1200</v>
      </c>
      <c r="Q1050" s="55">
        <f>VLOOKUP(E1050,'NI-Ric_SP'!$C:$AN,12,FALSE)</f>
        <v>0</v>
      </c>
      <c r="R1050" s="55">
        <f>VLOOKUP(E1050,'NI-Ric_SP'!$C:$AN,13,FALSE)</f>
        <v>0</v>
      </c>
      <c r="S1050" s="55"/>
      <c r="T1050" s="55"/>
      <c r="U1050" s="55">
        <f>VLOOKUP($E1050,'NI-Ric_SP'!$C:$AN,MID(U$1,1,2),FALSE)</f>
        <v>0</v>
      </c>
      <c r="V1050" s="55">
        <f>VLOOKUP($E1050,'NI-Ric_SP'!$C:$AN,MID(V$1,1,2),FALSE)</f>
        <v>0</v>
      </c>
      <c r="W1050" s="55">
        <f>VLOOKUP($E1050,'NI-Ric_SP'!$C:$AN,MID(W$1,1,2),FALSE)</f>
        <v>0</v>
      </c>
      <c r="X1050" s="55">
        <f>VLOOKUP($E1050,'NI-Ric_SP'!$C:$AN,MID(X$1,1,2),FALSE)</f>
        <v>0</v>
      </c>
      <c r="Y1050" s="55">
        <f>VLOOKUP($E1050,'NI-Ric_SP'!$C:$AN,MID(Y$1,1,2),FALSE)</f>
        <v>0</v>
      </c>
      <c r="Z1050" s="55">
        <f>VLOOKUP($E1050,'NI-Ric_SP'!$C:$AN,MID(Z$1,1,2),FALSE)</f>
        <v>0</v>
      </c>
      <c r="AA1050" s="55">
        <f>VLOOKUP($E1050,'NI-Ric_SP'!$C:$AN,MID(AA$1,1,2),FALSE)</f>
        <v>0</v>
      </c>
      <c r="AB1050" s="55">
        <f>VLOOKUP($E1050,'NI-Ric_SP'!$C:$AN,MID(AB$1,1,2),FALSE)</f>
        <v>0</v>
      </c>
      <c r="AC1050" s="55">
        <f>VLOOKUP($E1050,'NI-Ric_SP'!$C:$AN,MID(AC$1,1,2),FALSE)</f>
        <v>0</v>
      </c>
      <c r="AD1050" s="55">
        <f>VLOOKUP($E1050,'NI-Ric_SP'!$C:$AN,MID(AD$1,1,2),FALSE)</f>
        <v>0</v>
      </c>
      <c r="AE1050" s="55">
        <f>VLOOKUP($E1050,'NI-Ric_SP'!$C:$AN,MID(AE$1,1,2),FALSE)</f>
        <v>0</v>
      </c>
      <c r="AF1050" s="55">
        <f>VLOOKUP($E1050,'NI-Ric_SP'!$C:$AN,MID(AF$1,1,2),FALSE)</f>
        <v>0</v>
      </c>
      <c r="AG1050" s="55">
        <f>VLOOKUP($E1050,'NI-Ric_SP'!$C:$AN,MID(AG$1,1,2),FALSE)</f>
        <v>0</v>
      </c>
      <c r="AH1050" s="55">
        <f>VLOOKUP($E1050,'NI-Ric_SP'!$C:$AN,MID(AH$1,1,2),FALSE)</f>
        <v>0</v>
      </c>
      <c r="AI1050" s="55">
        <f>VLOOKUP($E1050,'NI-Ric_SP'!$C:$AN,MID(AI$1,1,2),FALSE)</f>
        <v>0</v>
      </c>
      <c r="AJ1050" s="55">
        <f>VLOOKUP($E1050,'NI-Ric_SP'!$C:$AN,MID(AJ$1,1,2),FALSE)</f>
        <v>0</v>
      </c>
      <c r="AK1050" s="55">
        <f>VLOOKUP($E1050,'NI-Ric_SP'!$C:$AN,MID(AK$1,1,2),FALSE)</f>
        <v>0</v>
      </c>
      <c r="AL1050" s="55">
        <f>VLOOKUP($E1050,'NI-Ric_SP'!$C:$AN,MID(AL$1,1,2),FALSE)</f>
        <v>0</v>
      </c>
      <c r="AM1050" s="56">
        <f>VLOOKUP($E1050,'NI-Ric_SP'!$C:$AN,MID(AM$1,1,2),FALSE)</f>
        <v>0</v>
      </c>
      <c r="AN1050" s="30" t="str">
        <f t="shared" si="16"/>
        <v>20101010010190</v>
      </c>
    </row>
    <row r="1051" spans="3:40" ht="27" x14ac:dyDescent="0.25">
      <c r="C1051" s="40"/>
      <c r="D1051" s="101" t="s">
        <v>1201</v>
      </c>
      <c r="E1051" s="101" t="s">
        <v>1202</v>
      </c>
      <c r="F1051" s="102" t="s">
        <v>2750</v>
      </c>
      <c r="G1051" s="69"/>
      <c r="H1051" s="52"/>
      <c r="I1051" s="52" t="s">
        <v>1144</v>
      </c>
      <c r="J1051" s="52" t="s">
        <v>1144</v>
      </c>
      <c r="K1051" s="69" t="s">
        <v>79</v>
      </c>
      <c r="L1051" s="52"/>
      <c r="M1051" s="52"/>
      <c r="N1051" s="52"/>
      <c r="O1051" s="61" t="s">
        <v>1145</v>
      </c>
      <c r="P1051" s="76" t="s">
        <v>1203</v>
      </c>
      <c r="Q1051" s="55">
        <f>VLOOKUP(E1051,'NI-Ric_SP'!$C:$AN,12,FALSE)</f>
        <v>0</v>
      </c>
      <c r="R1051" s="55">
        <f>VLOOKUP(E1051,'NI-Ric_SP'!$C:$AN,13,FALSE)</f>
        <v>0</v>
      </c>
      <c r="S1051" s="55"/>
      <c r="T1051" s="55"/>
      <c r="U1051" s="55">
        <f>VLOOKUP($E1051,'NI-Ric_SP'!$C:$AN,MID(U$1,1,2),FALSE)</f>
        <v>0</v>
      </c>
      <c r="V1051" s="55">
        <f>VLOOKUP($E1051,'NI-Ric_SP'!$C:$AN,MID(V$1,1,2),FALSE)</f>
        <v>0</v>
      </c>
      <c r="W1051" s="55">
        <f>VLOOKUP($E1051,'NI-Ric_SP'!$C:$AN,MID(W$1,1,2),FALSE)</f>
        <v>0</v>
      </c>
      <c r="X1051" s="55">
        <f>VLOOKUP($E1051,'NI-Ric_SP'!$C:$AN,MID(X$1,1,2),FALSE)</f>
        <v>0</v>
      </c>
      <c r="Y1051" s="55">
        <f>VLOOKUP($E1051,'NI-Ric_SP'!$C:$AN,MID(Y$1,1,2),FALSE)</f>
        <v>0</v>
      </c>
      <c r="Z1051" s="55">
        <f>VLOOKUP($E1051,'NI-Ric_SP'!$C:$AN,MID(Z$1,1,2),FALSE)</f>
        <v>0</v>
      </c>
      <c r="AA1051" s="55">
        <f>VLOOKUP($E1051,'NI-Ric_SP'!$C:$AN,MID(AA$1,1,2),FALSE)</f>
        <v>0</v>
      </c>
      <c r="AB1051" s="55">
        <f>VLOOKUP($E1051,'NI-Ric_SP'!$C:$AN,MID(AB$1,1,2),FALSE)</f>
        <v>0</v>
      </c>
      <c r="AC1051" s="55">
        <f>VLOOKUP($E1051,'NI-Ric_SP'!$C:$AN,MID(AC$1,1,2),FALSE)</f>
        <v>0</v>
      </c>
      <c r="AD1051" s="55">
        <f>VLOOKUP($E1051,'NI-Ric_SP'!$C:$AN,MID(AD$1,1,2),FALSE)</f>
        <v>0</v>
      </c>
      <c r="AE1051" s="55">
        <f>VLOOKUP($E1051,'NI-Ric_SP'!$C:$AN,MID(AE$1,1,2),FALSE)</f>
        <v>0</v>
      </c>
      <c r="AF1051" s="55">
        <f>VLOOKUP($E1051,'NI-Ric_SP'!$C:$AN,MID(AF$1,1,2),FALSE)</f>
        <v>0</v>
      </c>
      <c r="AG1051" s="55">
        <f>VLOOKUP($E1051,'NI-Ric_SP'!$C:$AN,MID(AG$1,1,2),FALSE)</f>
        <v>0</v>
      </c>
      <c r="AH1051" s="55">
        <f>VLOOKUP($E1051,'NI-Ric_SP'!$C:$AN,MID(AH$1,1,2),FALSE)</f>
        <v>0</v>
      </c>
      <c r="AI1051" s="55">
        <f>VLOOKUP($E1051,'NI-Ric_SP'!$C:$AN,MID(AI$1,1,2),FALSE)</f>
        <v>0</v>
      </c>
      <c r="AJ1051" s="55">
        <f>VLOOKUP($E1051,'NI-Ric_SP'!$C:$AN,MID(AJ$1,1,2),FALSE)</f>
        <v>0</v>
      </c>
      <c r="AK1051" s="55">
        <f>VLOOKUP($E1051,'NI-Ric_SP'!$C:$AN,MID(AK$1,1,2),FALSE)</f>
        <v>0</v>
      </c>
      <c r="AL1051" s="55">
        <f>VLOOKUP($E1051,'NI-Ric_SP'!$C:$AN,MID(AL$1,1,2),FALSE)</f>
        <v>0</v>
      </c>
      <c r="AM1051" s="56">
        <f>VLOOKUP($E1051,'NI-Ric_SP'!$C:$AN,MID(AM$1,1,2),FALSE)</f>
        <v>0</v>
      </c>
      <c r="AN1051" s="30" t="str">
        <f t="shared" si="16"/>
        <v>20101010010200</v>
      </c>
    </row>
    <row r="1052" spans="3:40" x14ac:dyDescent="0.25">
      <c r="C1052" s="40"/>
      <c r="D1052" s="101" t="s">
        <v>1204</v>
      </c>
      <c r="E1052" s="101" t="s">
        <v>1205</v>
      </c>
      <c r="F1052" s="102" t="s">
        <v>2750</v>
      </c>
      <c r="G1052" s="69"/>
      <c r="H1052" s="52"/>
      <c r="I1052" s="52" t="s">
        <v>1144</v>
      </c>
      <c r="J1052" s="52" t="s">
        <v>1144</v>
      </c>
      <c r="K1052" s="69" t="s">
        <v>79</v>
      </c>
      <c r="L1052" s="52"/>
      <c r="M1052" s="52"/>
      <c r="N1052" s="52"/>
      <c r="O1052" s="61" t="s">
        <v>1145</v>
      </c>
      <c r="P1052" s="76" t="s">
        <v>1206</v>
      </c>
      <c r="Q1052" s="55">
        <f>VLOOKUP(E1052,'NI-Ric_SP'!$C:$AN,12,FALSE)</f>
        <v>0</v>
      </c>
      <c r="R1052" s="55">
        <f>VLOOKUP(E1052,'NI-Ric_SP'!$C:$AN,13,FALSE)</f>
        <v>0</v>
      </c>
      <c r="S1052" s="55"/>
      <c r="T1052" s="55"/>
      <c r="U1052" s="55">
        <f>VLOOKUP($E1052,'NI-Ric_SP'!$C:$AN,MID(U$1,1,2),FALSE)</f>
        <v>0</v>
      </c>
      <c r="V1052" s="55">
        <f>VLOOKUP($E1052,'NI-Ric_SP'!$C:$AN,MID(V$1,1,2),FALSE)</f>
        <v>0</v>
      </c>
      <c r="W1052" s="55">
        <f>VLOOKUP($E1052,'NI-Ric_SP'!$C:$AN,MID(W$1,1,2),FALSE)</f>
        <v>0</v>
      </c>
      <c r="X1052" s="55">
        <f>VLOOKUP($E1052,'NI-Ric_SP'!$C:$AN,MID(X$1,1,2),FALSE)</f>
        <v>0</v>
      </c>
      <c r="Y1052" s="55">
        <f>VLOOKUP($E1052,'NI-Ric_SP'!$C:$AN,MID(Y$1,1,2),FALSE)</f>
        <v>0</v>
      </c>
      <c r="Z1052" s="55">
        <f>VLOOKUP($E1052,'NI-Ric_SP'!$C:$AN,MID(Z$1,1,2),FALSE)</f>
        <v>0</v>
      </c>
      <c r="AA1052" s="55">
        <f>VLOOKUP($E1052,'NI-Ric_SP'!$C:$AN,MID(AA$1,1,2),FALSE)</f>
        <v>0</v>
      </c>
      <c r="AB1052" s="55">
        <f>VLOOKUP($E1052,'NI-Ric_SP'!$C:$AN,MID(AB$1,1,2),FALSE)</f>
        <v>0</v>
      </c>
      <c r="AC1052" s="55">
        <f>VLOOKUP($E1052,'NI-Ric_SP'!$C:$AN,MID(AC$1,1,2),FALSE)</f>
        <v>0</v>
      </c>
      <c r="AD1052" s="55">
        <f>VLOOKUP($E1052,'NI-Ric_SP'!$C:$AN,MID(AD$1,1,2),FALSE)</f>
        <v>0</v>
      </c>
      <c r="AE1052" s="55">
        <f>VLOOKUP($E1052,'NI-Ric_SP'!$C:$AN,MID(AE$1,1,2),FALSE)</f>
        <v>0</v>
      </c>
      <c r="AF1052" s="55">
        <f>VLOOKUP($E1052,'NI-Ric_SP'!$C:$AN,MID(AF$1,1,2),FALSE)</f>
        <v>0</v>
      </c>
      <c r="AG1052" s="55">
        <f>VLOOKUP($E1052,'NI-Ric_SP'!$C:$AN,MID(AG$1,1,2),FALSE)</f>
        <v>0</v>
      </c>
      <c r="AH1052" s="55">
        <f>VLOOKUP($E1052,'NI-Ric_SP'!$C:$AN,MID(AH$1,1,2),FALSE)</f>
        <v>0</v>
      </c>
      <c r="AI1052" s="55">
        <f>VLOOKUP($E1052,'NI-Ric_SP'!$C:$AN,MID(AI$1,1,2),FALSE)</f>
        <v>0</v>
      </c>
      <c r="AJ1052" s="55">
        <f>VLOOKUP($E1052,'NI-Ric_SP'!$C:$AN,MID(AJ$1,1,2),FALSE)</f>
        <v>0</v>
      </c>
      <c r="AK1052" s="55">
        <f>VLOOKUP($E1052,'NI-Ric_SP'!$C:$AN,MID(AK$1,1,2),FALSE)</f>
        <v>0</v>
      </c>
      <c r="AL1052" s="55">
        <f>VLOOKUP($E1052,'NI-Ric_SP'!$C:$AN,MID(AL$1,1,2),FALSE)</f>
        <v>0</v>
      </c>
      <c r="AM1052" s="56">
        <f>VLOOKUP($E1052,'NI-Ric_SP'!$C:$AN,MID(AM$1,1,2),FALSE)</f>
        <v>0</v>
      </c>
      <c r="AN1052" s="30" t="str">
        <f t="shared" si="16"/>
        <v>20101010010210</v>
      </c>
    </row>
    <row r="1053" spans="3:40" x14ac:dyDescent="0.25">
      <c r="C1053" s="40"/>
      <c r="D1053" s="101" t="s">
        <v>1207</v>
      </c>
      <c r="E1053" s="101" t="s">
        <v>1208</v>
      </c>
      <c r="F1053" s="102" t="s">
        <v>2750</v>
      </c>
      <c r="G1053" s="69"/>
      <c r="H1053" s="52"/>
      <c r="I1053" s="52" t="s">
        <v>1144</v>
      </c>
      <c r="J1053" s="52" t="s">
        <v>1144</v>
      </c>
      <c r="K1053" s="69" t="s">
        <v>79</v>
      </c>
      <c r="L1053" s="52"/>
      <c r="M1053" s="52"/>
      <c r="N1053" s="52"/>
      <c r="O1053" s="61" t="s">
        <v>1145</v>
      </c>
      <c r="P1053" s="76" t="s">
        <v>1209</v>
      </c>
      <c r="Q1053" s="55">
        <f>VLOOKUP(E1053,'NI-Ric_SP'!$C:$AN,12,FALSE)</f>
        <v>0</v>
      </c>
      <c r="R1053" s="55">
        <f>VLOOKUP(E1053,'NI-Ric_SP'!$C:$AN,13,FALSE)</f>
        <v>0</v>
      </c>
      <c r="S1053" s="55"/>
      <c r="T1053" s="55"/>
      <c r="U1053" s="55">
        <f>VLOOKUP($E1053,'NI-Ric_SP'!$C:$AN,MID(U$1,1,2),FALSE)</f>
        <v>0</v>
      </c>
      <c r="V1053" s="55">
        <f>VLOOKUP($E1053,'NI-Ric_SP'!$C:$AN,MID(V$1,1,2),FALSE)</f>
        <v>0</v>
      </c>
      <c r="W1053" s="55">
        <f>VLOOKUP($E1053,'NI-Ric_SP'!$C:$AN,MID(W$1,1,2),FALSE)</f>
        <v>0</v>
      </c>
      <c r="X1053" s="55">
        <f>VLOOKUP($E1053,'NI-Ric_SP'!$C:$AN,MID(X$1,1,2),FALSE)</f>
        <v>0</v>
      </c>
      <c r="Y1053" s="55">
        <f>VLOOKUP($E1053,'NI-Ric_SP'!$C:$AN,MID(Y$1,1,2),FALSE)</f>
        <v>0</v>
      </c>
      <c r="Z1053" s="55">
        <f>VLOOKUP($E1053,'NI-Ric_SP'!$C:$AN,MID(Z$1,1,2),FALSE)</f>
        <v>0</v>
      </c>
      <c r="AA1053" s="55">
        <f>VLOOKUP($E1053,'NI-Ric_SP'!$C:$AN,MID(AA$1,1,2),FALSE)</f>
        <v>0</v>
      </c>
      <c r="AB1053" s="55">
        <f>VLOOKUP($E1053,'NI-Ric_SP'!$C:$AN,MID(AB$1,1,2),FALSE)</f>
        <v>0</v>
      </c>
      <c r="AC1053" s="55">
        <f>VLOOKUP($E1053,'NI-Ric_SP'!$C:$AN,MID(AC$1,1,2),FALSE)</f>
        <v>0</v>
      </c>
      <c r="AD1053" s="55">
        <f>VLOOKUP($E1053,'NI-Ric_SP'!$C:$AN,MID(AD$1,1,2),FALSE)</f>
        <v>0</v>
      </c>
      <c r="AE1053" s="55">
        <f>VLOOKUP($E1053,'NI-Ric_SP'!$C:$AN,MID(AE$1,1,2),FALSE)</f>
        <v>0</v>
      </c>
      <c r="AF1053" s="55">
        <f>VLOOKUP($E1053,'NI-Ric_SP'!$C:$AN,MID(AF$1,1,2),FALSE)</f>
        <v>0</v>
      </c>
      <c r="AG1053" s="55">
        <f>VLOOKUP($E1053,'NI-Ric_SP'!$C:$AN,MID(AG$1,1,2),FALSE)</f>
        <v>0</v>
      </c>
      <c r="AH1053" s="55">
        <f>VLOOKUP($E1053,'NI-Ric_SP'!$C:$AN,MID(AH$1,1,2),FALSE)</f>
        <v>0</v>
      </c>
      <c r="AI1053" s="55">
        <f>VLOOKUP($E1053,'NI-Ric_SP'!$C:$AN,MID(AI$1,1,2),FALSE)</f>
        <v>0</v>
      </c>
      <c r="AJ1053" s="55">
        <f>VLOOKUP($E1053,'NI-Ric_SP'!$C:$AN,MID(AJ$1,1,2),FALSE)</f>
        <v>0</v>
      </c>
      <c r="AK1053" s="55">
        <f>VLOOKUP($E1053,'NI-Ric_SP'!$C:$AN,MID(AK$1,1,2),FALSE)</f>
        <v>0</v>
      </c>
      <c r="AL1053" s="55">
        <f>VLOOKUP($E1053,'NI-Ric_SP'!$C:$AN,MID(AL$1,1,2),FALSE)</f>
        <v>0</v>
      </c>
      <c r="AM1053" s="56">
        <f>VLOOKUP($E1053,'NI-Ric_SP'!$C:$AN,MID(AM$1,1,2),FALSE)</f>
        <v>0</v>
      </c>
      <c r="AN1053" s="30" t="str">
        <f t="shared" si="16"/>
        <v>20101010010220</v>
      </c>
    </row>
    <row r="1054" spans="3:40" x14ac:dyDescent="0.25">
      <c r="C1054" s="40"/>
      <c r="D1054" s="101" t="s">
        <v>1210</v>
      </c>
      <c r="E1054" s="101" t="s">
        <v>1211</v>
      </c>
      <c r="F1054" s="102" t="s">
        <v>2750</v>
      </c>
      <c r="G1054" s="69"/>
      <c r="H1054" s="52"/>
      <c r="I1054" s="52" t="s">
        <v>1212</v>
      </c>
      <c r="J1054" s="52" t="s">
        <v>1212</v>
      </c>
      <c r="K1054" s="69" t="s">
        <v>79</v>
      </c>
      <c r="L1054" s="52"/>
      <c r="M1054" s="52"/>
      <c r="N1054" s="52"/>
      <c r="O1054" s="61" t="s">
        <v>1145</v>
      </c>
      <c r="P1054" s="76" t="s">
        <v>1213</v>
      </c>
      <c r="Q1054" s="55">
        <f>VLOOKUP(E1054,'NI-Ric_SP'!$C:$AN,12,FALSE)</f>
        <v>0</v>
      </c>
      <c r="R1054" s="55">
        <f>VLOOKUP(E1054,'NI-Ric_SP'!$C:$AN,13,FALSE)</f>
        <v>0</v>
      </c>
      <c r="S1054" s="55"/>
      <c r="T1054" s="55"/>
      <c r="U1054" s="55">
        <f>VLOOKUP($E1054,'NI-Ric_SP'!$C:$AN,MID(U$1,1,2),FALSE)</f>
        <v>0</v>
      </c>
      <c r="V1054" s="55">
        <f>VLOOKUP($E1054,'NI-Ric_SP'!$C:$AN,MID(V$1,1,2),FALSE)</f>
        <v>0</v>
      </c>
      <c r="W1054" s="55">
        <f>VLOOKUP($E1054,'NI-Ric_SP'!$C:$AN,MID(W$1,1,2),FALSE)</f>
        <v>0</v>
      </c>
      <c r="X1054" s="55">
        <f>VLOOKUP($E1054,'NI-Ric_SP'!$C:$AN,MID(X$1,1,2),FALSE)</f>
        <v>0</v>
      </c>
      <c r="Y1054" s="55">
        <f>VLOOKUP($E1054,'NI-Ric_SP'!$C:$AN,MID(Y$1,1,2),FALSE)</f>
        <v>0</v>
      </c>
      <c r="Z1054" s="55">
        <f>VLOOKUP($E1054,'NI-Ric_SP'!$C:$AN,MID(Z$1,1,2),FALSE)</f>
        <v>0</v>
      </c>
      <c r="AA1054" s="55">
        <f>VLOOKUP($E1054,'NI-Ric_SP'!$C:$AN,MID(AA$1,1,2),FALSE)</f>
        <v>0</v>
      </c>
      <c r="AB1054" s="55">
        <f>VLOOKUP($E1054,'NI-Ric_SP'!$C:$AN,MID(AB$1,1,2),FALSE)</f>
        <v>0</v>
      </c>
      <c r="AC1054" s="55">
        <f>VLOOKUP($E1054,'NI-Ric_SP'!$C:$AN,MID(AC$1,1,2),FALSE)</f>
        <v>0</v>
      </c>
      <c r="AD1054" s="55">
        <f>VLOOKUP($E1054,'NI-Ric_SP'!$C:$AN,MID(AD$1,1,2),FALSE)</f>
        <v>0</v>
      </c>
      <c r="AE1054" s="55">
        <f>VLOOKUP($E1054,'NI-Ric_SP'!$C:$AN,MID(AE$1,1,2),FALSE)</f>
        <v>0</v>
      </c>
      <c r="AF1054" s="55">
        <f>VLOOKUP($E1054,'NI-Ric_SP'!$C:$AN,MID(AF$1,1,2),FALSE)</f>
        <v>0</v>
      </c>
      <c r="AG1054" s="55">
        <f>VLOOKUP($E1054,'NI-Ric_SP'!$C:$AN,MID(AG$1,1,2),FALSE)</f>
        <v>0</v>
      </c>
      <c r="AH1054" s="55">
        <f>VLOOKUP($E1054,'NI-Ric_SP'!$C:$AN,MID(AH$1,1,2),FALSE)</f>
        <v>0</v>
      </c>
      <c r="AI1054" s="55">
        <f>VLOOKUP($E1054,'NI-Ric_SP'!$C:$AN,MID(AI$1,1,2),FALSE)</f>
        <v>0</v>
      </c>
      <c r="AJ1054" s="55">
        <f>VLOOKUP($E1054,'NI-Ric_SP'!$C:$AN,MID(AJ$1,1,2),FALSE)</f>
        <v>0</v>
      </c>
      <c r="AK1054" s="55">
        <f>VLOOKUP($E1054,'NI-Ric_SP'!$C:$AN,MID(AK$1,1,2),FALSE)</f>
        <v>0</v>
      </c>
      <c r="AL1054" s="55">
        <f>VLOOKUP($E1054,'NI-Ric_SP'!$C:$AN,MID(AL$1,1,2),FALSE)</f>
        <v>0</v>
      </c>
      <c r="AM1054" s="56">
        <f>VLOOKUP($E1054,'NI-Ric_SP'!$C:$AN,MID(AM$1,1,2),FALSE)</f>
        <v>0</v>
      </c>
      <c r="AN1054" s="30" t="str">
        <f t="shared" si="16"/>
        <v>20101010040010</v>
      </c>
    </row>
    <row r="1055" spans="3:40" x14ac:dyDescent="0.25">
      <c r="C1055" s="40"/>
      <c r="D1055" s="101" t="s">
        <v>1214</v>
      </c>
      <c r="E1055" s="101" t="s">
        <v>1215</v>
      </c>
      <c r="F1055" s="102" t="s">
        <v>2750</v>
      </c>
      <c r="G1055" s="69"/>
      <c r="H1055" s="52"/>
      <c r="I1055" s="52" t="s">
        <v>1216</v>
      </c>
      <c r="J1055" s="52" t="s">
        <v>1216</v>
      </c>
      <c r="K1055" s="69" t="s">
        <v>79</v>
      </c>
      <c r="L1055" s="52"/>
      <c r="M1055" s="52"/>
      <c r="N1055" s="52"/>
      <c r="O1055" s="61" t="s">
        <v>1145</v>
      </c>
      <c r="P1055" s="76" t="s">
        <v>1217</v>
      </c>
      <c r="Q1055" s="55">
        <f>VLOOKUP(E1055,'NI-Ric_SP'!$C:$AN,12,FALSE)</f>
        <v>0</v>
      </c>
      <c r="R1055" s="55">
        <f>VLOOKUP(E1055,'NI-Ric_SP'!$C:$AN,13,FALSE)</f>
        <v>0</v>
      </c>
      <c r="S1055" s="55"/>
      <c r="T1055" s="55"/>
      <c r="U1055" s="55">
        <f>VLOOKUP($E1055,'NI-Ric_SP'!$C:$AN,MID(U$1,1,2),FALSE)</f>
        <v>0</v>
      </c>
      <c r="V1055" s="55">
        <f>VLOOKUP($E1055,'NI-Ric_SP'!$C:$AN,MID(V$1,1,2),FALSE)</f>
        <v>0</v>
      </c>
      <c r="W1055" s="55">
        <f>VLOOKUP($E1055,'NI-Ric_SP'!$C:$AN,MID(W$1,1,2),FALSE)</f>
        <v>0</v>
      </c>
      <c r="X1055" s="55">
        <f>VLOOKUP($E1055,'NI-Ric_SP'!$C:$AN,MID(X$1,1,2),FALSE)</f>
        <v>0</v>
      </c>
      <c r="Y1055" s="55">
        <f>VLOOKUP($E1055,'NI-Ric_SP'!$C:$AN,MID(Y$1,1,2),FALSE)</f>
        <v>0</v>
      </c>
      <c r="Z1055" s="55">
        <f>VLOOKUP($E1055,'NI-Ric_SP'!$C:$AN,MID(Z$1,1,2),FALSE)</f>
        <v>0</v>
      </c>
      <c r="AA1055" s="55">
        <f>VLOOKUP($E1055,'NI-Ric_SP'!$C:$AN,MID(AA$1,1,2),FALSE)</f>
        <v>0</v>
      </c>
      <c r="AB1055" s="55">
        <f>VLOOKUP($E1055,'NI-Ric_SP'!$C:$AN,MID(AB$1,1,2),FALSE)</f>
        <v>0</v>
      </c>
      <c r="AC1055" s="55">
        <f>VLOOKUP($E1055,'NI-Ric_SP'!$C:$AN,MID(AC$1,1,2),FALSE)</f>
        <v>0</v>
      </c>
      <c r="AD1055" s="55">
        <f>VLOOKUP($E1055,'NI-Ric_SP'!$C:$AN,MID(AD$1,1,2),FALSE)</f>
        <v>0</v>
      </c>
      <c r="AE1055" s="55">
        <f>VLOOKUP($E1055,'NI-Ric_SP'!$C:$AN,MID(AE$1,1,2),FALSE)</f>
        <v>0</v>
      </c>
      <c r="AF1055" s="55">
        <f>VLOOKUP($E1055,'NI-Ric_SP'!$C:$AN,MID(AF$1,1,2),FALSE)</f>
        <v>0</v>
      </c>
      <c r="AG1055" s="55">
        <f>VLOOKUP($E1055,'NI-Ric_SP'!$C:$AN,MID(AG$1,1,2),FALSE)</f>
        <v>0</v>
      </c>
      <c r="AH1055" s="55">
        <f>VLOOKUP($E1055,'NI-Ric_SP'!$C:$AN,MID(AH$1,1,2),FALSE)</f>
        <v>0</v>
      </c>
      <c r="AI1055" s="55">
        <f>VLOOKUP($E1055,'NI-Ric_SP'!$C:$AN,MID(AI$1,1,2),FALSE)</f>
        <v>0</v>
      </c>
      <c r="AJ1055" s="55">
        <f>VLOOKUP($E1055,'NI-Ric_SP'!$C:$AN,MID(AJ$1,1,2),FALSE)</f>
        <v>0</v>
      </c>
      <c r="AK1055" s="55">
        <f>VLOOKUP($E1055,'NI-Ric_SP'!$C:$AN,MID(AK$1,1,2),FALSE)</f>
        <v>0</v>
      </c>
      <c r="AL1055" s="55">
        <f>VLOOKUP($E1055,'NI-Ric_SP'!$C:$AN,MID(AL$1,1,2),FALSE)</f>
        <v>0</v>
      </c>
      <c r="AM1055" s="56">
        <f>VLOOKUP($E1055,'NI-Ric_SP'!$C:$AN,MID(AM$1,1,2),FALSE)</f>
        <v>0</v>
      </c>
      <c r="AN1055" s="30" t="str">
        <f t="shared" si="16"/>
        <v>20101010030010</v>
      </c>
    </row>
    <row r="1056" spans="3:40" ht="27" x14ac:dyDescent="0.25">
      <c r="C1056" s="40"/>
      <c r="D1056" s="101" t="s">
        <v>1218</v>
      </c>
      <c r="E1056" s="101" t="s">
        <v>1219</v>
      </c>
      <c r="F1056" s="102" t="s">
        <v>2750</v>
      </c>
      <c r="G1056" s="69"/>
      <c r="H1056" s="52"/>
      <c r="I1056" s="52" t="s">
        <v>1216</v>
      </c>
      <c r="J1056" s="52" t="s">
        <v>1216</v>
      </c>
      <c r="K1056" s="69" t="s">
        <v>79</v>
      </c>
      <c r="L1056" s="52"/>
      <c r="M1056" s="52"/>
      <c r="N1056" s="52"/>
      <c r="O1056" s="61" t="s">
        <v>1145</v>
      </c>
      <c r="P1056" s="76" t="s">
        <v>1220</v>
      </c>
      <c r="Q1056" s="55">
        <f>VLOOKUP(E1056,'NI-Ric_SP'!$C:$AN,12,FALSE)</f>
        <v>0</v>
      </c>
      <c r="R1056" s="55">
        <f>VLOOKUP(E1056,'NI-Ric_SP'!$C:$AN,13,FALSE)</f>
        <v>0</v>
      </c>
      <c r="S1056" s="55"/>
      <c r="T1056" s="55"/>
      <c r="U1056" s="55">
        <f>VLOOKUP($E1056,'NI-Ric_SP'!$C:$AN,MID(U$1,1,2),FALSE)</f>
        <v>0</v>
      </c>
      <c r="V1056" s="55">
        <f>VLOOKUP($E1056,'NI-Ric_SP'!$C:$AN,MID(V$1,1,2),FALSE)</f>
        <v>0</v>
      </c>
      <c r="W1056" s="55">
        <f>VLOOKUP($E1056,'NI-Ric_SP'!$C:$AN,MID(W$1,1,2),FALSE)</f>
        <v>0</v>
      </c>
      <c r="X1056" s="55">
        <f>VLOOKUP($E1056,'NI-Ric_SP'!$C:$AN,MID(X$1,1,2),FALSE)</f>
        <v>0</v>
      </c>
      <c r="Y1056" s="55">
        <f>VLOOKUP($E1056,'NI-Ric_SP'!$C:$AN,MID(Y$1,1,2),FALSE)</f>
        <v>0</v>
      </c>
      <c r="Z1056" s="55">
        <f>VLOOKUP($E1056,'NI-Ric_SP'!$C:$AN,MID(Z$1,1,2),FALSE)</f>
        <v>0</v>
      </c>
      <c r="AA1056" s="55">
        <f>VLOOKUP($E1056,'NI-Ric_SP'!$C:$AN,MID(AA$1,1,2),FALSE)</f>
        <v>0</v>
      </c>
      <c r="AB1056" s="55">
        <f>VLOOKUP($E1056,'NI-Ric_SP'!$C:$AN,MID(AB$1,1,2),FALSE)</f>
        <v>0</v>
      </c>
      <c r="AC1056" s="55">
        <f>VLOOKUP($E1056,'NI-Ric_SP'!$C:$AN,MID(AC$1,1,2),FALSE)</f>
        <v>0</v>
      </c>
      <c r="AD1056" s="55">
        <f>VLOOKUP($E1056,'NI-Ric_SP'!$C:$AN,MID(AD$1,1,2),FALSE)</f>
        <v>0</v>
      </c>
      <c r="AE1056" s="55">
        <f>VLOOKUP($E1056,'NI-Ric_SP'!$C:$AN,MID(AE$1,1,2),FALSE)</f>
        <v>0</v>
      </c>
      <c r="AF1056" s="55">
        <f>VLOOKUP($E1056,'NI-Ric_SP'!$C:$AN,MID(AF$1,1,2),FALSE)</f>
        <v>0</v>
      </c>
      <c r="AG1056" s="55">
        <f>VLOOKUP($E1056,'NI-Ric_SP'!$C:$AN,MID(AG$1,1,2),FALSE)</f>
        <v>0</v>
      </c>
      <c r="AH1056" s="55">
        <f>VLOOKUP($E1056,'NI-Ric_SP'!$C:$AN,MID(AH$1,1,2),FALSE)</f>
        <v>0</v>
      </c>
      <c r="AI1056" s="55">
        <f>VLOOKUP($E1056,'NI-Ric_SP'!$C:$AN,MID(AI$1,1,2),FALSE)</f>
        <v>0</v>
      </c>
      <c r="AJ1056" s="55">
        <f>VLOOKUP($E1056,'NI-Ric_SP'!$C:$AN,MID(AJ$1,1,2),FALSE)</f>
        <v>0</v>
      </c>
      <c r="AK1056" s="55">
        <f>VLOOKUP($E1056,'NI-Ric_SP'!$C:$AN,MID(AK$1,1,2),FALSE)</f>
        <v>0</v>
      </c>
      <c r="AL1056" s="55">
        <f>VLOOKUP($E1056,'NI-Ric_SP'!$C:$AN,MID(AL$1,1,2),FALSE)</f>
        <v>0</v>
      </c>
      <c r="AM1056" s="56">
        <f>VLOOKUP($E1056,'NI-Ric_SP'!$C:$AN,MID(AM$1,1,2),FALSE)</f>
        <v>0</v>
      </c>
      <c r="AN1056" s="30" t="str">
        <f t="shared" si="16"/>
        <v>20101010030020</v>
      </c>
    </row>
    <row r="1057" spans="3:40" x14ac:dyDescent="0.25">
      <c r="C1057" s="40"/>
      <c r="D1057" s="101" t="s">
        <v>1221</v>
      </c>
      <c r="E1057" s="101" t="s">
        <v>1222</v>
      </c>
      <c r="F1057" s="102" t="s">
        <v>2750</v>
      </c>
      <c r="G1057" s="69"/>
      <c r="H1057" s="52"/>
      <c r="I1057" s="52" t="s">
        <v>1223</v>
      </c>
      <c r="J1057" s="52" t="s">
        <v>1223</v>
      </c>
      <c r="K1057" s="69" t="s">
        <v>79</v>
      </c>
      <c r="L1057" s="52"/>
      <c r="M1057" s="52"/>
      <c r="N1057" s="52"/>
      <c r="O1057" s="61" t="s">
        <v>1145</v>
      </c>
      <c r="P1057" s="76" t="s">
        <v>1224</v>
      </c>
      <c r="Q1057" s="55">
        <f>VLOOKUP(E1057,'NI-Ric_SP'!$C:$AN,12,FALSE)</f>
        <v>0</v>
      </c>
      <c r="R1057" s="55">
        <f>VLOOKUP(E1057,'NI-Ric_SP'!$C:$AN,13,FALSE)</f>
        <v>0</v>
      </c>
      <c r="S1057" s="55"/>
      <c r="T1057" s="55"/>
      <c r="U1057" s="55">
        <f>VLOOKUP($E1057,'NI-Ric_SP'!$C:$AN,MID(U$1,1,2),FALSE)</f>
        <v>0</v>
      </c>
      <c r="V1057" s="55">
        <f>VLOOKUP($E1057,'NI-Ric_SP'!$C:$AN,MID(V$1,1,2),FALSE)</f>
        <v>0</v>
      </c>
      <c r="W1057" s="55">
        <f>VLOOKUP($E1057,'NI-Ric_SP'!$C:$AN,MID(W$1,1,2),FALSE)</f>
        <v>0</v>
      </c>
      <c r="X1057" s="55">
        <f>VLOOKUP($E1057,'NI-Ric_SP'!$C:$AN,MID(X$1,1,2),FALSE)</f>
        <v>0</v>
      </c>
      <c r="Y1057" s="55">
        <f>VLOOKUP($E1057,'NI-Ric_SP'!$C:$AN,MID(Y$1,1,2),FALSE)</f>
        <v>0</v>
      </c>
      <c r="Z1057" s="55">
        <f>VLOOKUP($E1057,'NI-Ric_SP'!$C:$AN,MID(Z$1,1,2),FALSE)</f>
        <v>0</v>
      </c>
      <c r="AA1057" s="55">
        <f>VLOOKUP($E1057,'NI-Ric_SP'!$C:$AN,MID(AA$1,1,2),FALSE)</f>
        <v>0</v>
      </c>
      <c r="AB1057" s="55">
        <f>VLOOKUP($E1057,'NI-Ric_SP'!$C:$AN,MID(AB$1,1,2),FALSE)</f>
        <v>0</v>
      </c>
      <c r="AC1057" s="55">
        <f>VLOOKUP($E1057,'NI-Ric_SP'!$C:$AN,MID(AC$1,1,2),FALSE)</f>
        <v>0</v>
      </c>
      <c r="AD1057" s="55">
        <f>VLOOKUP($E1057,'NI-Ric_SP'!$C:$AN,MID(AD$1,1,2),FALSE)</f>
        <v>0</v>
      </c>
      <c r="AE1057" s="55">
        <f>VLOOKUP($E1057,'NI-Ric_SP'!$C:$AN,MID(AE$1,1,2),FALSE)</f>
        <v>0</v>
      </c>
      <c r="AF1057" s="55">
        <f>VLOOKUP($E1057,'NI-Ric_SP'!$C:$AN,MID(AF$1,1,2),FALSE)</f>
        <v>0</v>
      </c>
      <c r="AG1057" s="55">
        <f>VLOOKUP($E1057,'NI-Ric_SP'!$C:$AN,MID(AG$1,1,2),FALSE)</f>
        <v>0</v>
      </c>
      <c r="AH1057" s="55">
        <f>VLOOKUP($E1057,'NI-Ric_SP'!$C:$AN,MID(AH$1,1,2),FALSE)</f>
        <v>0</v>
      </c>
      <c r="AI1057" s="55">
        <f>VLOOKUP($E1057,'NI-Ric_SP'!$C:$AN,MID(AI$1,1,2),FALSE)</f>
        <v>0</v>
      </c>
      <c r="AJ1057" s="55">
        <f>VLOOKUP($E1057,'NI-Ric_SP'!$C:$AN,MID(AJ$1,1,2),FALSE)</f>
        <v>0</v>
      </c>
      <c r="AK1057" s="55">
        <f>VLOOKUP($E1057,'NI-Ric_SP'!$C:$AN,MID(AK$1,1,2),FALSE)</f>
        <v>0</v>
      </c>
      <c r="AL1057" s="55">
        <f>VLOOKUP($E1057,'NI-Ric_SP'!$C:$AN,MID(AL$1,1,2),FALSE)</f>
        <v>0</v>
      </c>
      <c r="AM1057" s="56">
        <f>VLOOKUP($E1057,'NI-Ric_SP'!$C:$AN,MID(AM$1,1,2),FALSE)</f>
        <v>0</v>
      </c>
      <c r="AN1057" s="30" t="str">
        <f t="shared" si="16"/>
        <v>20101010060010</v>
      </c>
    </row>
    <row r="1058" spans="3:40" ht="27" x14ac:dyDescent="0.25">
      <c r="C1058" s="40"/>
      <c r="D1058" s="101" t="s">
        <v>1225</v>
      </c>
      <c r="E1058" s="101" t="s">
        <v>1226</v>
      </c>
      <c r="F1058" s="102" t="s">
        <v>2750</v>
      </c>
      <c r="G1058" s="69"/>
      <c r="H1058" s="52"/>
      <c r="I1058" s="52" t="s">
        <v>1216</v>
      </c>
      <c r="J1058" s="52" t="s">
        <v>1216</v>
      </c>
      <c r="K1058" s="69" t="s">
        <v>79</v>
      </c>
      <c r="L1058" s="52"/>
      <c r="M1058" s="52"/>
      <c r="N1058" s="52"/>
      <c r="O1058" s="61" t="s">
        <v>1145</v>
      </c>
      <c r="P1058" s="76" t="s">
        <v>1227</v>
      </c>
      <c r="Q1058" s="55">
        <f>VLOOKUP(E1058,'NI-Ric_SP'!$C:$AN,12,FALSE)</f>
        <v>0</v>
      </c>
      <c r="R1058" s="55">
        <f>VLOOKUP(E1058,'NI-Ric_SP'!$C:$AN,13,FALSE)</f>
        <v>0</v>
      </c>
      <c r="S1058" s="55"/>
      <c r="T1058" s="55"/>
      <c r="U1058" s="55">
        <f>VLOOKUP($E1058,'NI-Ric_SP'!$C:$AN,MID(U$1,1,2),FALSE)</f>
        <v>0</v>
      </c>
      <c r="V1058" s="55">
        <f>VLOOKUP($E1058,'NI-Ric_SP'!$C:$AN,MID(V$1,1,2),FALSE)</f>
        <v>0</v>
      </c>
      <c r="W1058" s="55">
        <f>VLOOKUP($E1058,'NI-Ric_SP'!$C:$AN,MID(W$1,1,2),FALSE)</f>
        <v>0</v>
      </c>
      <c r="X1058" s="55">
        <f>VLOOKUP($E1058,'NI-Ric_SP'!$C:$AN,MID(X$1,1,2),FALSE)</f>
        <v>0</v>
      </c>
      <c r="Y1058" s="55">
        <f>VLOOKUP($E1058,'NI-Ric_SP'!$C:$AN,MID(Y$1,1,2),FALSE)</f>
        <v>0</v>
      </c>
      <c r="Z1058" s="55">
        <f>VLOOKUP($E1058,'NI-Ric_SP'!$C:$AN,MID(Z$1,1,2),FALSE)</f>
        <v>0</v>
      </c>
      <c r="AA1058" s="55">
        <f>VLOOKUP($E1058,'NI-Ric_SP'!$C:$AN,MID(AA$1,1,2),FALSE)</f>
        <v>0</v>
      </c>
      <c r="AB1058" s="55">
        <f>VLOOKUP($E1058,'NI-Ric_SP'!$C:$AN,MID(AB$1,1,2),FALSE)</f>
        <v>0</v>
      </c>
      <c r="AC1058" s="55">
        <f>VLOOKUP($E1058,'NI-Ric_SP'!$C:$AN,MID(AC$1,1,2),FALSE)</f>
        <v>0</v>
      </c>
      <c r="AD1058" s="55">
        <f>VLOOKUP($E1058,'NI-Ric_SP'!$C:$AN,MID(AD$1,1,2),FALSE)</f>
        <v>0</v>
      </c>
      <c r="AE1058" s="55">
        <f>VLOOKUP($E1058,'NI-Ric_SP'!$C:$AN,MID(AE$1,1,2),FALSE)</f>
        <v>0</v>
      </c>
      <c r="AF1058" s="55">
        <f>VLOOKUP($E1058,'NI-Ric_SP'!$C:$AN,MID(AF$1,1,2),FALSE)</f>
        <v>0</v>
      </c>
      <c r="AG1058" s="55">
        <f>VLOOKUP($E1058,'NI-Ric_SP'!$C:$AN,MID(AG$1,1,2),FALSE)</f>
        <v>0</v>
      </c>
      <c r="AH1058" s="55">
        <f>VLOOKUP($E1058,'NI-Ric_SP'!$C:$AN,MID(AH$1,1,2),FALSE)</f>
        <v>0</v>
      </c>
      <c r="AI1058" s="55">
        <f>VLOOKUP($E1058,'NI-Ric_SP'!$C:$AN,MID(AI$1,1,2),FALSE)</f>
        <v>0</v>
      </c>
      <c r="AJ1058" s="55">
        <f>VLOOKUP($E1058,'NI-Ric_SP'!$C:$AN,MID(AJ$1,1,2),FALSE)</f>
        <v>0</v>
      </c>
      <c r="AK1058" s="55">
        <f>VLOOKUP($E1058,'NI-Ric_SP'!$C:$AN,MID(AK$1,1,2),FALSE)</f>
        <v>0</v>
      </c>
      <c r="AL1058" s="55">
        <f>VLOOKUP($E1058,'NI-Ric_SP'!$C:$AN,MID(AL$1,1,2),FALSE)</f>
        <v>0</v>
      </c>
      <c r="AM1058" s="56">
        <f>VLOOKUP($E1058,'NI-Ric_SP'!$C:$AN,MID(AM$1,1,2),FALSE)</f>
        <v>0</v>
      </c>
      <c r="AN1058" s="30" t="str">
        <f t="shared" si="16"/>
        <v>20101010030030</v>
      </c>
    </row>
    <row r="1059" spans="3:40" x14ac:dyDescent="0.25">
      <c r="C1059" s="40"/>
      <c r="D1059" s="101" t="s">
        <v>1228</v>
      </c>
      <c r="E1059" s="101" t="s">
        <v>1229</v>
      </c>
      <c r="F1059" s="102" t="s">
        <v>2750</v>
      </c>
      <c r="G1059" s="69"/>
      <c r="H1059" s="52"/>
      <c r="I1059" s="52" t="s">
        <v>1216</v>
      </c>
      <c r="J1059" s="52" t="s">
        <v>1216</v>
      </c>
      <c r="K1059" s="69" t="s">
        <v>79</v>
      </c>
      <c r="L1059" s="52"/>
      <c r="M1059" s="52"/>
      <c r="N1059" s="52"/>
      <c r="O1059" s="61" t="s">
        <v>1145</v>
      </c>
      <c r="P1059" s="76" t="s">
        <v>1230</v>
      </c>
      <c r="Q1059" s="55">
        <f>VLOOKUP(E1059,'NI-Ric_SP'!$C:$AN,12,FALSE)</f>
        <v>0</v>
      </c>
      <c r="R1059" s="55">
        <f>VLOOKUP(E1059,'NI-Ric_SP'!$C:$AN,13,FALSE)</f>
        <v>0</v>
      </c>
      <c r="S1059" s="55"/>
      <c r="T1059" s="55"/>
      <c r="U1059" s="55">
        <f>VLOOKUP($E1059,'NI-Ric_SP'!$C:$AN,MID(U$1,1,2),FALSE)</f>
        <v>0</v>
      </c>
      <c r="V1059" s="55">
        <f>VLOOKUP($E1059,'NI-Ric_SP'!$C:$AN,MID(V$1,1,2),FALSE)</f>
        <v>0</v>
      </c>
      <c r="W1059" s="55">
        <f>VLOOKUP($E1059,'NI-Ric_SP'!$C:$AN,MID(W$1,1,2),FALSE)</f>
        <v>0</v>
      </c>
      <c r="X1059" s="55">
        <f>VLOOKUP($E1059,'NI-Ric_SP'!$C:$AN,MID(X$1,1,2),FALSE)</f>
        <v>0</v>
      </c>
      <c r="Y1059" s="55">
        <f>VLOOKUP($E1059,'NI-Ric_SP'!$C:$AN,MID(Y$1,1,2),FALSE)</f>
        <v>0</v>
      </c>
      <c r="Z1059" s="55">
        <f>VLOOKUP($E1059,'NI-Ric_SP'!$C:$AN,MID(Z$1,1,2),FALSE)</f>
        <v>0</v>
      </c>
      <c r="AA1059" s="55">
        <f>VLOOKUP($E1059,'NI-Ric_SP'!$C:$AN,MID(AA$1,1,2),FALSE)</f>
        <v>0</v>
      </c>
      <c r="AB1059" s="55">
        <f>VLOOKUP($E1059,'NI-Ric_SP'!$C:$AN,MID(AB$1,1,2),FALSE)</f>
        <v>0</v>
      </c>
      <c r="AC1059" s="55">
        <f>VLOOKUP($E1059,'NI-Ric_SP'!$C:$AN,MID(AC$1,1,2),FALSE)</f>
        <v>0</v>
      </c>
      <c r="AD1059" s="55">
        <f>VLOOKUP($E1059,'NI-Ric_SP'!$C:$AN,MID(AD$1,1,2),FALSE)</f>
        <v>0</v>
      </c>
      <c r="AE1059" s="55">
        <f>VLOOKUP($E1059,'NI-Ric_SP'!$C:$AN,MID(AE$1,1,2),FALSE)</f>
        <v>0</v>
      </c>
      <c r="AF1059" s="55">
        <f>VLOOKUP($E1059,'NI-Ric_SP'!$C:$AN,MID(AF$1,1,2),FALSE)</f>
        <v>0</v>
      </c>
      <c r="AG1059" s="55">
        <f>VLOOKUP($E1059,'NI-Ric_SP'!$C:$AN,MID(AG$1,1,2),FALSE)</f>
        <v>0</v>
      </c>
      <c r="AH1059" s="55">
        <f>VLOOKUP($E1059,'NI-Ric_SP'!$C:$AN,MID(AH$1,1,2),FALSE)</f>
        <v>0</v>
      </c>
      <c r="AI1059" s="55">
        <f>VLOOKUP($E1059,'NI-Ric_SP'!$C:$AN,MID(AI$1,1,2),FALSE)</f>
        <v>0</v>
      </c>
      <c r="AJ1059" s="55">
        <f>VLOOKUP($E1059,'NI-Ric_SP'!$C:$AN,MID(AJ$1,1,2),FALSE)</f>
        <v>0</v>
      </c>
      <c r="AK1059" s="55">
        <f>VLOOKUP($E1059,'NI-Ric_SP'!$C:$AN,MID(AK$1,1,2),FALSE)</f>
        <v>0</v>
      </c>
      <c r="AL1059" s="55">
        <f>VLOOKUP($E1059,'NI-Ric_SP'!$C:$AN,MID(AL$1,1,2),FALSE)</f>
        <v>0</v>
      </c>
      <c r="AM1059" s="56">
        <f>VLOOKUP($E1059,'NI-Ric_SP'!$C:$AN,MID(AM$1,1,2),FALSE)</f>
        <v>0</v>
      </c>
      <c r="AN1059" s="30" t="str">
        <f t="shared" si="16"/>
        <v>20101010030040</v>
      </c>
    </row>
    <row r="1060" spans="3:40" x14ac:dyDescent="0.25">
      <c r="C1060" s="40"/>
      <c r="D1060" s="101" t="s">
        <v>1231</v>
      </c>
      <c r="E1060" s="101" t="s">
        <v>1232</v>
      </c>
      <c r="F1060" s="102" t="s">
        <v>2750</v>
      </c>
      <c r="G1060" s="69"/>
      <c r="H1060" s="52"/>
      <c r="I1060" s="52" t="s">
        <v>1216</v>
      </c>
      <c r="J1060" s="52" t="s">
        <v>1216</v>
      </c>
      <c r="K1060" s="69" t="s">
        <v>79</v>
      </c>
      <c r="L1060" s="52"/>
      <c r="M1060" s="52"/>
      <c r="N1060" s="52"/>
      <c r="O1060" s="61" t="s">
        <v>1145</v>
      </c>
      <c r="P1060" s="76" t="s">
        <v>1233</v>
      </c>
      <c r="Q1060" s="55">
        <f>VLOOKUP(E1060,'NI-Ric_SP'!$C:$AN,12,FALSE)</f>
        <v>0</v>
      </c>
      <c r="R1060" s="55">
        <f>VLOOKUP(E1060,'NI-Ric_SP'!$C:$AN,13,FALSE)</f>
        <v>0</v>
      </c>
      <c r="S1060" s="55"/>
      <c r="T1060" s="55"/>
      <c r="U1060" s="55">
        <f>VLOOKUP($E1060,'NI-Ric_SP'!$C:$AN,MID(U$1,1,2),FALSE)</f>
        <v>0</v>
      </c>
      <c r="V1060" s="55">
        <f>VLOOKUP($E1060,'NI-Ric_SP'!$C:$AN,MID(V$1,1,2),FALSE)</f>
        <v>0</v>
      </c>
      <c r="W1060" s="55">
        <f>VLOOKUP($E1060,'NI-Ric_SP'!$C:$AN,MID(W$1,1,2),FALSE)</f>
        <v>0</v>
      </c>
      <c r="X1060" s="55">
        <f>VLOOKUP($E1060,'NI-Ric_SP'!$C:$AN,MID(X$1,1,2),FALSE)</f>
        <v>0</v>
      </c>
      <c r="Y1060" s="55">
        <f>VLOOKUP($E1060,'NI-Ric_SP'!$C:$AN,MID(Y$1,1,2),FALSE)</f>
        <v>0</v>
      </c>
      <c r="Z1060" s="55">
        <f>VLOOKUP($E1060,'NI-Ric_SP'!$C:$AN,MID(Z$1,1,2),FALSE)</f>
        <v>0</v>
      </c>
      <c r="AA1060" s="55">
        <f>VLOOKUP($E1060,'NI-Ric_SP'!$C:$AN,MID(AA$1,1,2),FALSE)</f>
        <v>0</v>
      </c>
      <c r="AB1060" s="55">
        <f>VLOOKUP($E1060,'NI-Ric_SP'!$C:$AN,MID(AB$1,1,2),FALSE)</f>
        <v>0</v>
      </c>
      <c r="AC1060" s="55">
        <f>VLOOKUP($E1060,'NI-Ric_SP'!$C:$AN,MID(AC$1,1,2),FALSE)</f>
        <v>0</v>
      </c>
      <c r="AD1060" s="55">
        <f>VLOOKUP($E1060,'NI-Ric_SP'!$C:$AN,MID(AD$1,1,2),FALSE)</f>
        <v>0</v>
      </c>
      <c r="AE1060" s="55">
        <f>VLOOKUP($E1060,'NI-Ric_SP'!$C:$AN,MID(AE$1,1,2),FALSE)</f>
        <v>0</v>
      </c>
      <c r="AF1060" s="55">
        <f>VLOOKUP($E1060,'NI-Ric_SP'!$C:$AN,MID(AF$1,1,2),FALSE)</f>
        <v>0</v>
      </c>
      <c r="AG1060" s="55">
        <f>VLOOKUP($E1060,'NI-Ric_SP'!$C:$AN,MID(AG$1,1,2),FALSE)</f>
        <v>0</v>
      </c>
      <c r="AH1060" s="55">
        <f>VLOOKUP($E1060,'NI-Ric_SP'!$C:$AN,MID(AH$1,1,2),FALSE)</f>
        <v>0</v>
      </c>
      <c r="AI1060" s="55">
        <f>VLOOKUP($E1060,'NI-Ric_SP'!$C:$AN,MID(AI$1,1,2),FALSE)</f>
        <v>0</v>
      </c>
      <c r="AJ1060" s="55">
        <f>VLOOKUP($E1060,'NI-Ric_SP'!$C:$AN,MID(AJ$1,1,2),FALSE)</f>
        <v>0</v>
      </c>
      <c r="AK1060" s="55">
        <f>VLOOKUP($E1060,'NI-Ric_SP'!$C:$AN,MID(AK$1,1,2),FALSE)</f>
        <v>0</v>
      </c>
      <c r="AL1060" s="55">
        <f>VLOOKUP($E1060,'NI-Ric_SP'!$C:$AN,MID(AL$1,1,2),FALSE)</f>
        <v>0</v>
      </c>
      <c r="AM1060" s="56">
        <f>VLOOKUP($E1060,'NI-Ric_SP'!$C:$AN,MID(AM$1,1,2),FALSE)</f>
        <v>0</v>
      </c>
      <c r="AN1060" s="30" t="str">
        <f t="shared" si="16"/>
        <v>20101010030050</v>
      </c>
    </row>
    <row r="1061" spans="3:40" x14ac:dyDescent="0.25">
      <c r="C1061" s="40"/>
      <c r="D1061" s="101" t="s">
        <v>1234</v>
      </c>
      <c r="E1061" s="101" t="s">
        <v>1235</v>
      </c>
      <c r="F1061" s="102" t="s">
        <v>2750</v>
      </c>
      <c r="G1061" s="69"/>
      <c r="H1061" s="52"/>
      <c r="I1061" s="52" t="s">
        <v>1216</v>
      </c>
      <c r="J1061" s="52" t="s">
        <v>1216</v>
      </c>
      <c r="K1061" s="69" t="s">
        <v>79</v>
      </c>
      <c r="L1061" s="52"/>
      <c r="M1061" s="52"/>
      <c r="N1061" s="52"/>
      <c r="O1061" s="61" t="s">
        <v>1145</v>
      </c>
      <c r="P1061" s="76" t="s">
        <v>1236</v>
      </c>
      <c r="Q1061" s="55">
        <f>VLOOKUP(E1061,'NI-Ric_SP'!$C:$AN,12,FALSE)</f>
        <v>0</v>
      </c>
      <c r="R1061" s="55">
        <f>VLOOKUP(E1061,'NI-Ric_SP'!$C:$AN,13,FALSE)</f>
        <v>0</v>
      </c>
      <c r="S1061" s="55"/>
      <c r="T1061" s="55"/>
      <c r="U1061" s="55">
        <f>VLOOKUP($E1061,'NI-Ric_SP'!$C:$AN,MID(U$1,1,2),FALSE)</f>
        <v>0</v>
      </c>
      <c r="V1061" s="55">
        <f>VLOOKUP($E1061,'NI-Ric_SP'!$C:$AN,MID(V$1,1,2),FALSE)</f>
        <v>0</v>
      </c>
      <c r="W1061" s="55">
        <f>VLOOKUP($E1061,'NI-Ric_SP'!$C:$AN,MID(W$1,1,2),FALSE)</f>
        <v>0</v>
      </c>
      <c r="X1061" s="55">
        <f>VLOOKUP($E1061,'NI-Ric_SP'!$C:$AN,MID(X$1,1,2),FALSE)</f>
        <v>0</v>
      </c>
      <c r="Y1061" s="55">
        <f>VLOOKUP($E1061,'NI-Ric_SP'!$C:$AN,MID(Y$1,1,2),FALSE)</f>
        <v>0</v>
      </c>
      <c r="Z1061" s="55">
        <f>VLOOKUP($E1061,'NI-Ric_SP'!$C:$AN,MID(Z$1,1,2),FALSE)</f>
        <v>0</v>
      </c>
      <c r="AA1061" s="55">
        <f>VLOOKUP($E1061,'NI-Ric_SP'!$C:$AN,MID(AA$1,1,2),FALSE)</f>
        <v>0</v>
      </c>
      <c r="AB1061" s="55">
        <f>VLOOKUP($E1061,'NI-Ric_SP'!$C:$AN,MID(AB$1,1,2),FALSE)</f>
        <v>0</v>
      </c>
      <c r="AC1061" s="55">
        <f>VLOOKUP($E1061,'NI-Ric_SP'!$C:$AN,MID(AC$1,1,2),FALSE)</f>
        <v>0</v>
      </c>
      <c r="AD1061" s="55">
        <f>VLOOKUP($E1061,'NI-Ric_SP'!$C:$AN,MID(AD$1,1,2),FALSE)</f>
        <v>0</v>
      </c>
      <c r="AE1061" s="55">
        <f>VLOOKUP($E1061,'NI-Ric_SP'!$C:$AN,MID(AE$1,1,2),FALSE)</f>
        <v>0</v>
      </c>
      <c r="AF1061" s="55">
        <f>VLOOKUP($E1061,'NI-Ric_SP'!$C:$AN,MID(AF$1,1,2),FALSE)</f>
        <v>0</v>
      </c>
      <c r="AG1061" s="55">
        <f>VLOOKUP($E1061,'NI-Ric_SP'!$C:$AN,MID(AG$1,1,2),FALSE)</f>
        <v>0</v>
      </c>
      <c r="AH1061" s="55">
        <f>VLOOKUP($E1061,'NI-Ric_SP'!$C:$AN,MID(AH$1,1,2),FALSE)</f>
        <v>0</v>
      </c>
      <c r="AI1061" s="55">
        <f>VLOOKUP($E1061,'NI-Ric_SP'!$C:$AN,MID(AI$1,1,2),FALSE)</f>
        <v>0</v>
      </c>
      <c r="AJ1061" s="55">
        <f>VLOOKUP($E1061,'NI-Ric_SP'!$C:$AN,MID(AJ$1,1,2),FALSE)</f>
        <v>0</v>
      </c>
      <c r="AK1061" s="55">
        <f>VLOOKUP($E1061,'NI-Ric_SP'!$C:$AN,MID(AK$1,1,2),FALSE)</f>
        <v>0</v>
      </c>
      <c r="AL1061" s="55">
        <f>VLOOKUP($E1061,'NI-Ric_SP'!$C:$AN,MID(AL$1,1,2),FALSE)</f>
        <v>0</v>
      </c>
      <c r="AM1061" s="56">
        <f>VLOOKUP($E1061,'NI-Ric_SP'!$C:$AN,MID(AM$1,1,2),FALSE)</f>
        <v>0</v>
      </c>
      <c r="AN1061" s="30" t="str">
        <f t="shared" si="16"/>
        <v>20101010030060</v>
      </c>
    </row>
    <row r="1062" spans="3:40" x14ac:dyDescent="0.25">
      <c r="C1062" s="40"/>
      <c r="D1062" s="101" t="s">
        <v>1237</v>
      </c>
      <c r="E1062" s="101" t="s">
        <v>1238</v>
      </c>
      <c r="F1062" s="102" t="s">
        <v>2750</v>
      </c>
      <c r="G1062" s="69"/>
      <c r="H1062" s="52"/>
      <c r="I1062" s="52" t="s">
        <v>1239</v>
      </c>
      <c r="J1062" s="52" t="s">
        <v>1239</v>
      </c>
      <c r="K1062" s="69" t="s">
        <v>79</v>
      </c>
      <c r="L1062" s="52"/>
      <c r="M1062" s="52"/>
      <c r="N1062" s="52"/>
      <c r="O1062" s="61" t="s">
        <v>1145</v>
      </c>
      <c r="P1062" s="76" t="s">
        <v>1240</v>
      </c>
      <c r="Q1062" s="55">
        <f>VLOOKUP(E1062,'NI-Ric_SP'!$C:$AN,12,FALSE)</f>
        <v>0</v>
      </c>
      <c r="R1062" s="55">
        <f>VLOOKUP(E1062,'NI-Ric_SP'!$C:$AN,13,FALSE)</f>
        <v>0</v>
      </c>
      <c r="S1062" s="55"/>
      <c r="T1062" s="55"/>
      <c r="U1062" s="55">
        <f>VLOOKUP($E1062,'NI-Ric_SP'!$C:$AN,MID(U$1,1,2),FALSE)</f>
        <v>0</v>
      </c>
      <c r="V1062" s="55">
        <f>VLOOKUP($E1062,'NI-Ric_SP'!$C:$AN,MID(V$1,1,2),FALSE)</f>
        <v>0</v>
      </c>
      <c r="W1062" s="55">
        <f>VLOOKUP($E1062,'NI-Ric_SP'!$C:$AN,MID(W$1,1,2),FALSE)</f>
        <v>0</v>
      </c>
      <c r="X1062" s="55">
        <f>VLOOKUP($E1062,'NI-Ric_SP'!$C:$AN,MID(X$1,1,2),FALSE)</f>
        <v>0</v>
      </c>
      <c r="Y1062" s="55">
        <f>VLOOKUP($E1062,'NI-Ric_SP'!$C:$AN,MID(Y$1,1,2),FALSE)</f>
        <v>0</v>
      </c>
      <c r="Z1062" s="55">
        <f>VLOOKUP($E1062,'NI-Ric_SP'!$C:$AN,MID(Z$1,1,2),FALSE)</f>
        <v>0</v>
      </c>
      <c r="AA1062" s="55">
        <f>VLOOKUP($E1062,'NI-Ric_SP'!$C:$AN,MID(AA$1,1,2),FALSE)</f>
        <v>0</v>
      </c>
      <c r="AB1062" s="55">
        <f>VLOOKUP($E1062,'NI-Ric_SP'!$C:$AN,MID(AB$1,1,2),FALSE)</f>
        <v>0</v>
      </c>
      <c r="AC1062" s="55">
        <f>VLOOKUP($E1062,'NI-Ric_SP'!$C:$AN,MID(AC$1,1,2),FALSE)</f>
        <v>0</v>
      </c>
      <c r="AD1062" s="55">
        <f>VLOOKUP($E1062,'NI-Ric_SP'!$C:$AN,MID(AD$1,1,2),FALSE)</f>
        <v>0</v>
      </c>
      <c r="AE1062" s="55">
        <f>VLOOKUP($E1062,'NI-Ric_SP'!$C:$AN,MID(AE$1,1,2),FALSE)</f>
        <v>0</v>
      </c>
      <c r="AF1062" s="55">
        <f>VLOOKUP($E1062,'NI-Ric_SP'!$C:$AN,MID(AF$1,1,2),FALSE)</f>
        <v>0</v>
      </c>
      <c r="AG1062" s="55">
        <f>VLOOKUP($E1062,'NI-Ric_SP'!$C:$AN,MID(AG$1,1,2),FALSE)</f>
        <v>0</v>
      </c>
      <c r="AH1062" s="55">
        <f>VLOOKUP($E1062,'NI-Ric_SP'!$C:$AN,MID(AH$1,1,2),FALSE)</f>
        <v>0</v>
      </c>
      <c r="AI1062" s="55">
        <f>VLOOKUP($E1062,'NI-Ric_SP'!$C:$AN,MID(AI$1,1,2),FALSE)</f>
        <v>0</v>
      </c>
      <c r="AJ1062" s="55">
        <f>VLOOKUP($E1062,'NI-Ric_SP'!$C:$AN,MID(AJ$1,1,2),FALSE)</f>
        <v>0</v>
      </c>
      <c r="AK1062" s="55">
        <f>VLOOKUP($E1062,'NI-Ric_SP'!$C:$AN,MID(AK$1,1,2),FALSE)</f>
        <v>0</v>
      </c>
      <c r="AL1062" s="55">
        <f>VLOOKUP($E1062,'NI-Ric_SP'!$C:$AN,MID(AL$1,1,2),FALSE)</f>
        <v>0</v>
      </c>
      <c r="AM1062" s="56">
        <f>VLOOKUP($E1062,'NI-Ric_SP'!$C:$AN,MID(AM$1,1,2),FALSE)</f>
        <v>0</v>
      </c>
      <c r="AN1062" s="30" t="str">
        <f t="shared" si="16"/>
        <v>20101010070020</v>
      </c>
    </row>
    <row r="1063" spans="3:40" x14ac:dyDescent="0.25">
      <c r="C1063" s="40"/>
      <c r="D1063" s="101" t="s">
        <v>1241</v>
      </c>
      <c r="E1063" s="101" t="s">
        <v>1242</v>
      </c>
      <c r="F1063" s="102" t="s">
        <v>2750</v>
      </c>
      <c r="G1063" s="69"/>
      <c r="H1063" s="52"/>
      <c r="I1063" s="52" t="s">
        <v>1216</v>
      </c>
      <c r="J1063" s="52" t="s">
        <v>1216</v>
      </c>
      <c r="K1063" s="69" t="s">
        <v>79</v>
      </c>
      <c r="L1063" s="52"/>
      <c r="M1063" s="52"/>
      <c r="N1063" s="52"/>
      <c r="O1063" s="61" t="s">
        <v>1145</v>
      </c>
      <c r="P1063" s="76" t="s">
        <v>1243</v>
      </c>
      <c r="Q1063" s="55">
        <f>VLOOKUP(E1063,'NI-Ric_SP'!$C:$AN,12,FALSE)</f>
        <v>0</v>
      </c>
      <c r="R1063" s="55">
        <f>VLOOKUP(E1063,'NI-Ric_SP'!$C:$AN,13,FALSE)</f>
        <v>0</v>
      </c>
      <c r="S1063" s="55"/>
      <c r="T1063" s="55"/>
      <c r="U1063" s="55">
        <f>VLOOKUP($E1063,'NI-Ric_SP'!$C:$AN,MID(U$1,1,2),FALSE)</f>
        <v>0</v>
      </c>
      <c r="V1063" s="55">
        <f>VLOOKUP($E1063,'NI-Ric_SP'!$C:$AN,MID(V$1,1,2),FALSE)</f>
        <v>0</v>
      </c>
      <c r="W1063" s="55">
        <f>VLOOKUP($E1063,'NI-Ric_SP'!$C:$AN,MID(W$1,1,2),FALSE)</f>
        <v>0</v>
      </c>
      <c r="X1063" s="55">
        <f>VLOOKUP($E1063,'NI-Ric_SP'!$C:$AN,MID(X$1,1,2),FALSE)</f>
        <v>0</v>
      </c>
      <c r="Y1063" s="55">
        <f>VLOOKUP($E1063,'NI-Ric_SP'!$C:$AN,MID(Y$1,1,2),FALSE)</f>
        <v>0</v>
      </c>
      <c r="Z1063" s="55">
        <f>VLOOKUP($E1063,'NI-Ric_SP'!$C:$AN,MID(Z$1,1,2),FALSE)</f>
        <v>0</v>
      </c>
      <c r="AA1063" s="55">
        <f>VLOOKUP($E1063,'NI-Ric_SP'!$C:$AN,MID(AA$1,1,2),FALSE)</f>
        <v>0</v>
      </c>
      <c r="AB1063" s="55">
        <f>VLOOKUP($E1063,'NI-Ric_SP'!$C:$AN,MID(AB$1,1,2),FALSE)</f>
        <v>0</v>
      </c>
      <c r="AC1063" s="55">
        <f>VLOOKUP($E1063,'NI-Ric_SP'!$C:$AN,MID(AC$1,1,2),FALSE)</f>
        <v>0</v>
      </c>
      <c r="AD1063" s="55">
        <f>VLOOKUP($E1063,'NI-Ric_SP'!$C:$AN,MID(AD$1,1,2),FALSE)</f>
        <v>0</v>
      </c>
      <c r="AE1063" s="55">
        <f>VLOOKUP($E1063,'NI-Ric_SP'!$C:$AN,MID(AE$1,1,2),FALSE)</f>
        <v>0</v>
      </c>
      <c r="AF1063" s="55">
        <f>VLOOKUP($E1063,'NI-Ric_SP'!$C:$AN,MID(AF$1,1,2),FALSE)</f>
        <v>0</v>
      </c>
      <c r="AG1063" s="55">
        <f>VLOOKUP($E1063,'NI-Ric_SP'!$C:$AN,MID(AG$1,1,2),FALSE)</f>
        <v>0</v>
      </c>
      <c r="AH1063" s="55">
        <f>VLOOKUP($E1063,'NI-Ric_SP'!$C:$AN,MID(AH$1,1,2),FALSE)</f>
        <v>0</v>
      </c>
      <c r="AI1063" s="55">
        <f>VLOOKUP($E1063,'NI-Ric_SP'!$C:$AN,MID(AI$1,1,2),FALSE)</f>
        <v>0</v>
      </c>
      <c r="AJ1063" s="55">
        <f>VLOOKUP($E1063,'NI-Ric_SP'!$C:$AN,MID(AJ$1,1,2),FALSE)</f>
        <v>0</v>
      </c>
      <c r="AK1063" s="55">
        <f>VLOOKUP($E1063,'NI-Ric_SP'!$C:$AN,MID(AK$1,1,2),FALSE)</f>
        <v>0</v>
      </c>
      <c r="AL1063" s="55">
        <f>VLOOKUP($E1063,'NI-Ric_SP'!$C:$AN,MID(AL$1,1,2),FALSE)</f>
        <v>0</v>
      </c>
      <c r="AM1063" s="56">
        <f>VLOOKUP($E1063,'NI-Ric_SP'!$C:$AN,MID(AM$1,1,2),FALSE)</f>
        <v>0</v>
      </c>
      <c r="AN1063" s="30" t="str">
        <f t="shared" si="16"/>
        <v>20101010030070</v>
      </c>
    </row>
    <row r="1064" spans="3:40" x14ac:dyDescent="0.25">
      <c r="C1064" s="40"/>
      <c r="D1064" s="101" t="s">
        <v>1244</v>
      </c>
      <c r="E1064" s="101" t="s">
        <v>1245</v>
      </c>
      <c r="F1064" s="102" t="s">
        <v>2750</v>
      </c>
      <c r="G1064" s="69"/>
      <c r="H1064" s="52"/>
      <c r="I1064" s="52" t="s">
        <v>1216</v>
      </c>
      <c r="J1064" s="52" t="s">
        <v>1216</v>
      </c>
      <c r="K1064" s="69" t="s">
        <v>79</v>
      </c>
      <c r="L1064" s="52"/>
      <c r="M1064" s="52"/>
      <c r="N1064" s="52"/>
      <c r="O1064" s="61" t="s">
        <v>1145</v>
      </c>
      <c r="P1064" s="76" t="s">
        <v>1246</v>
      </c>
      <c r="Q1064" s="55">
        <f>VLOOKUP(E1064,'NI-Ric_SP'!$C:$AN,12,FALSE)</f>
        <v>0</v>
      </c>
      <c r="R1064" s="55">
        <f>VLOOKUP(E1064,'NI-Ric_SP'!$C:$AN,13,FALSE)</f>
        <v>0</v>
      </c>
      <c r="S1064" s="55"/>
      <c r="T1064" s="55"/>
      <c r="U1064" s="55">
        <f>VLOOKUP($E1064,'NI-Ric_SP'!$C:$AN,MID(U$1,1,2),FALSE)</f>
        <v>0</v>
      </c>
      <c r="V1064" s="55">
        <f>VLOOKUP($E1064,'NI-Ric_SP'!$C:$AN,MID(V$1,1,2),FALSE)</f>
        <v>0</v>
      </c>
      <c r="W1064" s="55">
        <f>VLOOKUP($E1064,'NI-Ric_SP'!$C:$AN,MID(W$1,1,2),FALSE)</f>
        <v>0</v>
      </c>
      <c r="X1064" s="55">
        <f>VLOOKUP($E1064,'NI-Ric_SP'!$C:$AN,MID(X$1,1,2),FALSE)</f>
        <v>0</v>
      </c>
      <c r="Y1064" s="55">
        <f>VLOOKUP($E1064,'NI-Ric_SP'!$C:$AN,MID(Y$1,1,2),FALSE)</f>
        <v>0</v>
      </c>
      <c r="Z1064" s="55">
        <f>VLOOKUP($E1064,'NI-Ric_SP'!$C:$AN,MID(Z$1,1,2),FALSE)</f>
        <v>0</v>
      </c>
      <c r="AA1064" s="55">
        <f>VLOOKUP($E1064,'NI-Ric_SP'!$C:$AN,MID(AA$1,1,2),FALSE)</f>
        <v>0</v>
      </c>
      <c r="AB1064" s="55">
        <f>VLOOKUP($E1064,'NI-Ric_SP'!$C:$AN,MID(AB$1,1,2),FALSE)</f>
        <v>0</v>
      </c>
      <c r="AC1064" s="55">
        <f>VLOOKUP($E1064,'NI-Ric_SP'!$C:$AN,MID(AC$1,1,2),FALSE)</f>
        <v>0</v>
      </c>
      <c r="AD1064" s="55">
        <f>VLOOKUP($E1064,'NI-Ric_SP'!$C:$AN,MID(AD$1,1,2),FALSE)</f>
        <v>0</v>
      </c>
      <c r="AE1064" s="55">
        <f>VLOOKUP($E1064,'NI-Ric_SP'!$C:$AN,MID(AE$1,1,2),FALSE)</f>
        <v>0</v>
      </c>
      <c r="AF1064" s="55">
        <f>VLOOKUP($E1064,'NI-Ric_SP'!$C:$AN,MID(AF$1,1,2),FALSE)</f>
        <v>0</v>
      </c>
      <c r="AG1064" s="55">
        <f>VLOOKUP($E1064,'NI-Ric_SP'!$C:$AN,MID(AG$1,1,2),FALSE)</f>
        <v>0</v>
      </c>
      <c r="AH1064" s="55">
        <f>VLOOKUP($E1064,'NI-Ric_SP'!$C:$AN,MID(AH$1,1,2),FALSE)</f>
        <v>0</v>
      </c>
      <c r="AI1064" s="55">
        <f>VLOOKUP($E1064,'NI-Ric_SP'!$C:$AN,MID(AI$1,1,2),FALSE)</f>
        <v>0</v>
      </c>
      <c r="AJ1064" s="55">
        <f>VLOOKUP($E1064,'NI-Ric_SP'!$C:$AN,MID(AJ$1,1,2),FALSE)</f>
        <v>0</v>
      </c>
      <c r="AK1064" s="55">
        <f>VLOOKUP($E1064,'NI-Ric_SP'!$C:$AN,MID(AK$1,1,2),FALSE)</f>
        <v>0</v>
      </c>
      <c r="AL1064" s="55">
        <f>VLOOKUP($E1064,'NI-Ric_SP'!$C:$AN,MID(AL$1,1,2),FALSE)</f>
        <v>0</v>
      </c>
      <c r="AM1064" s="56">
        <f>VLOOKUP($E1064,'NI-Ric_SP'!$C:$AN,MID(AM$1,1,2),FALSE)</f>
        <v>0</v>
      </c>
      <c r="AN1064" s="30" t="str">
        <f t="shared" si="16"/>
        <v>20101010030080</v>
      </c>
    </row>
    <row r="1065" spans="3:40" ht="27" x14ac:dyDescent="0.25">
      <c r="C1065" s="40"/>
      <c r="D1065" s="101" t="s">
        <v>1247</v>
      </c>
      <c r="E1065" s="101" t="s">
        <v>1248</v>
      </c>
      <c r="F1065" s="102" t="s">
        <v>2750</v>
      </c>
      <c r="G1065" s="69"/>
      <c r="H1065" s="52"/>
      <c r="I1065" s="52" t="s">
        <v>1216</v>
      </c>
      <c r="J1065" s="52" t="s">
        <v>1216</v>
      </c>
      <c r="K1065" s="69" t="s">
        <v>79</v>
      </c>
      <c r="L1065" s="52"/>
      <c r="M1065" s="52"/>
      <c r="N1065" s="52"/>
      <c r="O1065" s="61" t="s">
        <v>1145</v>
      </c>
      <c r="P1065" s="76" t="s">
        <v>1249</v>
      </c>
      <c r="Q1065" s="55">
        <f>VLOOKUP(E1065,'NI-Ric_SP'!$C:$AN,12,FALSE)</f>
        <v>0</v>
      </c>
      <c r="R1065" s="55">
        <f>VLOOKUP(E1065,'NI-Ric_SP'!$C:$AN,13,FALSE)</f>
        <v>0</v>
      </c>
      <c r="S1065" s="55"/>
      <c r="T1065" s="55"/>
      <c r="U1065" s="55">
        <f>VLOOKUP($E1065,'NI-Ric_SP'!$C:$AN,MID(U$1,1,2),FALSE)</f>
        <v>0</v>
      </c>
      <c r="V1065" s="55">
        <f>VLOOKUP($E1065,'NI-Ric_SP'!$C:$AN,MID(V$1,1,2),FALSE)</f>
        <v>0</v>
      </c>
      <c r="W1065" s="55">
        <f>VLOOKUP($E1065,'NI-Ric_SP'!$C:$AN,MID(W$1,1,2),FALSE)</f>
        <v>0</v>
      </c>
      <c r="X1065" s="55">
        <f>VLOOKUP($E1065,'NI-Ric_SP'!$C:$AN,MID(X$1,1,2),FALSE)</f>
        <v>0</v>
      </c>
      <c r="Y1065" s="55">
        <f>VLOOKUP($E1065,'NI-Ric_SP'!$C:$AN,MID(Y$1,1,2),FALSE)</f>
        <v>0</v>
      </c>
      <c r="Z1065" s="55">
        <f>VLOOKUP($E1065,'NI-Ric_SP'!$C:$AN,MID(Z$1,1,2),FALSE)</f>
        <v>0</v>
      </c>
      <c r="AA1065" s="55">
        <f>VLOOKUP($E1065,'NI-Ric_SP'!$C:$AN,MID(AA$1,1,2),FALSE)</f>
        <v>0</v>
      </c>
      <c r="AB1065" s="55">
        <f>VLOOKUP($E1065,'NI-Ric_SP'!$C:$AN,MID(AB$1,1,2),FALSE)</f>
        <v>0</v>
      </c>
      <c r="AC1065" s="55">
        <f>VLOOKUP($E1065,'NI-Ric_SP'!$C:$AN,MID(AC$1,1,2),FALSE)</f>
        <v>0</v>
      </c>
      <c r="AD1065" s="55">
        <f>VLOOKUP($E1065,'NI-Ric_SP'!$C:$AN,MID(AD$1,1,2),FALSE)</f>
        <v>0</v>
      </c>
      <c r="AE1065" s="55">
        <f>VLOOKUP($E1065,'NI-Ric_SP'!$C:$AN,MID(AE$1,1,2),FALSE)</f>
        <v>0</v>
      </c>
      <c r="AF1065" s="55">
        <f>VLOOKUP($E1065,'NI-Ric_SP'!$C:$AN,MID(AF$1,1,2),FALSE)</f>
        <v>0</v>
      </c>
      <c r="AG1065" s="55">
        <f>VLOOKUP($E1065,'NI-Ric_SP'!$C:$AN,MID(AG$1,1,2),FALSE)</f>
        <v>0</v>
      </c>
      <c r="AH1065" s="55">
        <f>VLOOKUP($E1065,'NI-Ric_SP'!$C:$AN,MID(AH$1,1,2),FALSE)</f>
        <v>0</v>
      </c>
      <c r="AI1065" s="55">
        <f>VLOOKUP($E1065,'NI-Ric_SP'!$C:$AN,MID(AI$1,1,2),FALSE)</f>
        <v>0</v>
      </c>
      <c r="AJ1065" s="55">
        <f>VLOOKUP($E1065,'NI-Ric_SP'!$C:$AN,MID(AJ$1,1,2),FALSE)</f>
        <v>0</v>
      </c>
      <c r="AK1065" s="55">
        <f>VLOOKUP($E1065,'NI-Ric_SP'!$C:$AN,MID(AK$1,1,2),FALSE)</f>
        <v>0</v>
      </c>
      <c r="AL1065" s="55">
        <f>VLOOKUP($E1065,'NI-Ric_SP'!$C:$AN,MID(AL$1,1,2),FALSE)</f>
        <v>0</v>
      </c>
      <c r="AM1065" s="56">
        <f>VLOOKUP($E1065,'NI-Ric_SP'!$C:$AN,MID(AM$1,1,2),FALSE)</f>
        <v>0</v>
      </c>
      <c r="AN1065" s="30" t="str">
        <f t="shared" si="16"/>
        <v>20101010030090</v>
      </c>
    </row>
    <row r="1066" spans="3:40" x14ac:dyDescent="0.25">
      <c r="C1066" s="40"/>
      <c r="D1066" s="101" t="s">
        <v>1250</v>
      </c>
      <c r="E1066" s="101" t="s">
        <v>1251</v>
      </c>
      <c r="F1066" s="102" t="s">
        <v>2750</v>
      </c>
      <c r="G1066" s="69"/>
      <c r="H1066" s="52"/>
      <c r="I1066" s="52" t="s">
        <v>1216</v>
      </c>
      <c r="J1066" s="52" t="s">
        <v>1216</v>
      </c>
      <c r="K1066" s="69" t="s">
        <v>79</v>
      </c>
      <c r="L1066" s="52"/>
      <c r="M1066" s="52"/>
      <c r="N1066" s="52"/>
      <c r="O1066" s="61" t="s">
        <v>1145</v>
      </c>
      <c r="P1066" s="76" t="s">
        <v>1252</v>
      </c>
      <c r="Q1066" s="55">
        <f>VLOOKUP(E1066,'NI-Ric_SP'!$C:$AN,12,FALSE)</f>
        <v>0</v>
      </c>
      <c r="R1066" s="55">
        <f>VLOOKUP(E1066,'NI-Ric_SP'!$C:$AN,13,FALSE)</f>
        <v>0</v>
      </c>
      <c r="S1066" s="55"/>
      <c r="T1066" s="55"/>
      <c r="U1066" s="55">
        <f>VLOOKUP($E1066,'NI-Ric_SP'!$C:$AN,MID(U$1,1,2),FALSE)</f>
        <v>0</v>
      </c>
      <c r="V1066" s="55">
        <f>VLOOKUP($E1066,'NI-Ric_SP'!$C:$AN,MID(V$1,1,2),FALSE)</f>
        <v>0</v>
      </c>
      <c r="W1066" s="55">
        <f>VLOOKUP($E1066,'NI-Ric_SP'!$C:$AN,MID(W$1,1,2),FALSE)</f>
        <v>0</v>
      </c>
      <c r="X1066" s="55">
        <f>VLOOKUP($E1066,'NI-Ric_SP'!$C:$AN,MID(X$1,1,2),FALSE)</f>
        <v>0</v>
      </c>
      <c r="Y1066" s="55">
        <f>VLOOKUP($E1066,'NI-Ric_SP'!$C:$AN,MID(Y$1,1,2),FALSE)</f>
        <v>0</v>
      </c>
      <c r="Z1066" s="55">
        <f>VLOOKUP($E1066,'NI-Ric_SP'!$C:$AN,MID(Z$1,1,2),FALSE)</f>
        <v>0</v>
      </c>
      <c r="AA1066" s="55">
        <f>VLOOKUP($E1066,'NI-Ric_SP'!$C:$AN,MID(AA$1,1,2),FALSE)</f>
        <v>0</v>
      </c>
      <c r="AB1066" s="55">
        <f>VLOOKUP($E1066,'NI-Ric_SP'!$C:$AN,MID(AB$1,1,2),FALSE)</f>
        <v>0</v>
      </c>
      <c r="AC1066" s="55">
        <f>VLOOKUP($E1066,'NI-Ric_SP'!$C:$AN,MID(AC$1,1,2),FALSE)</f>
        <v>0</v>
      </c>
      <c r="AD1066" s="55">
        <f>VLOOKUP($E1066,'NI-Ric_SP'!$C:$AN,MID(AD$1,1,2),FALSE)</f>
        <v>0</v>
      </c>
      <c r="AE1066" s="55">
        <f>VLOOKUP($E1066,'NI-Ric_SP'!$C:$AN,MID(AE$1,1,2),FALSE)</f>
        <v>0</v>
      </c>
      <c r="AF1066" s="55">
        <f>VLOOKUP($E1066,'NI-Ric_SP'!$C:$AN,MID(AF$1,1,2),FALSE)</f>
        <v>0</v>
      </c>
      <c r="AG1066" s="55">
        <f>VLOOKUP($E1066,'NI-Ric_SP'!$C:$AN,MID(AG$1,1,2),FALSE)</f>
        <v>0</v>
      </c>
      <c r="AH1066" s="55">
        <f>VLOOKUP($E1066,'NI-Ric_SP'!$C:$AN,MID(AH$1,1,2),FALSE)</f>
        <v>0</v>
      </c>
      <c r="AI1066" s="55">
        <f>VLOOKUP($E1066,'NI-Ric_SP'!$C:$AN,MID(AI$1,1,2),FALSE)</f>
        <v>0</v>
      </c>
      <c r="AJ1066" s="55">
        <f>VLOOKUP($E1066,'NI-Ric_SP'!$C:$AN,MID(AJ$1,1,2),FALSE)</f>
        <v>0</v>
      </c>
      <c r="AK1066" s="55">
        <f>VLOOKUP($E1066,'NI-Ric_SP'!$C:$AN,MID(AK$1,1,2),FALSE)</f>
        <v>0</v>
      </c>
      <c r="AL1066" s="55">
        <f>VLOOKUP($E1066,'NI-Ric_SP'!$C:$AN,MID(AL$1,1,2),FALSE)</f>
        <v>0</v>
      </c>
      <c r="AM1066" s="56">
        <f>VLOOKUP($E1066,'NI-Ric_SP'!$C:$AN,MID(AM$1,1,2),FALSE)</f>
        <v>0</v>
      </c>
      <c r="AN1066" s="30" t="str">
        <f t="shared" si="16"/>
        <v>20101010030100</v>
      </c>
    </row>
    <row r="1067" spans="3:40" x14ac:dyDescent="0.25">
      <c r="C1067" s="40"/>
      <c r="D1067" s="101" t="s">
        <v>1253</v>
      </c>
      <c r="E1067" s="101" t="s">
        <v>1254</v>
      </c>
      <c r="F1067" s="102" t="s">
        <v>2750</v>
      </c>
      <c r="G1067" s="69"/>
      <c r="H1067" s="52"/>
      <c r="I1067" s="52" t="s">
        <v>1216</v>
      </c>
      <c r="J1067" s="52" t="s">
        <v>1216</v>
      </c>
      <c r="K1067" s="69" t="s">
        <v>79</v>
      </c>
      <c r="L1067" s="52"/>
      <c r="M1067" s="52"/>
      <c r="N1067" s="52"/>
      <c r="O1067" s="61" t="s">
        <v>1145</v>
      </c>
      <c r="P1067" s="76" t="s">
        <v>1255</v>
      </c>
      <c r="Q1067" s="55">
        <f>VLOOKUP(E1067,'NI-Ric_SP'!$C:$AN,12,FALSE)</f>
        <v>0</v>
      </c>
      <c r="R1067" s="55">
        <f>VLOOKUP(E1067,'NI-Ric_SP'!$C:$AN,13,FALSE)</f>
        <v>0</v>
      </c>
      <c r="S1067" s="55"/>
      <c r="T1067" s="55"/>
      <c r="U1067" s="55">
        <f>VLOOKUP($E1067,'NI-Ric_SP'!$C:$AN,MID(U$1,1,2),FALSE)</f>
        <v>0</v>
      </c>
      <c r="V1067" s="55">
        <f>VLOOKUP($E1067,'NI-Ric_SP'!$C:$AN,MID(V$1,1,2),FALSE)</f>
        <v>0</v>
      </c>
      <c r="W1067" s="55">
        <f>VLOOKUP($E1067,'NI-Ric_SP'!$C:$AN,MID(W$1,1,2),FALSE)</f>
        <v>0</v>
      </c>
      <c r="X1067" s="55">
        <f>VLOOKUP($E1067,'NI-Ric_SP'!$C:$AN,MID(X$1,1,2),FALSE)</f>
        <v>0</v>
      </c>
      <c r="Y1067" s="55">
        <f>VLOOKUP($E1067,'NI-Ric_SP'!$C:$AN,MID(Y$1,1,2),FALSE)</f>
        <v>0</v>
      </c>
      <c r="Z1067" s="55">
        <f>VLOOKUP($E1067,'NI-Ric_SP'!$C:$AN,MID(Z$1,1,2),FALSE)</f>
        <v>0</v>
      </c>
      <c r="AA1067" s="55">
        <f>VLOOKUP($E1067,'NI-Ric_SP'!$C:$AN,MID(AA$1,1,2),FALSE)</f>
        <v>0</v>
      </c>
      <c r="AB1067" s="55">
        <f>VLOOKUP($E1067,'NI-Ric_SP'!$C:$AN,MID(AB$1,1,2),FALSE)</f>
        <v>0</v>
      </c>
      <c r="AC1067" s="55">
        <f>VLOOKUP($E1067,'NI-Ric_SP'!$C:$AN,MID(AC$1,1,2),FALSE)</f>
        <v>0</v>
      </c>
      <c r="AD1067" s="55">
        <f>VLOOKUP($E1067,'NI-Ric_SP'!$C:$AN,MID(AD$1,1,2),FALSE)</f>
        <v>0</v>
      </c>
      <c r="AE1067" s="55">
        <f>VLOOKUP($E1067,'NI-Ric_SP'!$C:$AN,MID(AE$1,1,2),FALSE)</f>
        <v>0</v>
      </c>
      <c r="AF1067" s="55">
        <f>VLOOKUP($E1067,'NI-Ric_SP'!$C:$AN,MID(AF$1,1,2),FALSE)</f>
        <v>0</v>
      </c>
      <c r="AG1067" s="55">
        <f>VLOOKUP($E1067,'NI-Ric_SP'!$C:$AN,MID(AG$1,1,2),FALSE)</f>
        <v>0</v>
      </c>
      <c r="AH1067" s="55">
        <f>VLOOKUP($E1067,'NI-Ric_SP'!$C:$AN,MID(AH$1,1,2),FALSE)</f>
        <v>0</v>
      </c>
      <c r="AI1067" s="55">
        <f>VLOOKUP($E1067,'NI-Ric_SP'!$C:$AN,MID(AI$1,1,2),FALSE)</f>
        <v>0</v>
      </c>
      <c r="AJ1067" s="55">
        <f>VLOOKUP($E1067,'NI-Ric_SP'!$C:$AN,MID(AJ$1,1,2),FALSE)</f>
        <v>0</v>
      </c>
      <c r="AK1067" s="55">
        <f>VLOOKUP($E1067,'NI-Ric_SP'!$C:$AN,MID(AK$1,1,2),FALSE)</f>
        <v>0</v>
      </c>
      <c r="AL1067" s="55">
        <f>VLOOKUP($E1067,'NI-Ric_SP'!$C:$AN,MID(AL$1,1,2),FALSE)</f>
        <v>0</v>
      </c>
      <c r="AM1067" s="56">
        <f>VLOOKUP($E1067,'NI-Ric_SP'!$C:$AN,MID(AM$1,1,2),FALSE)</f>
        <v>0</v>
      </c>
      <c r="AN1067" s="30" t="str">
        <f t="shared" si="16"/>
        <v>20101010030110</v>
      </c>
    </row>
    <row r="1068" spans="3:40" x14ac:dyDescent="0.25">
      <c r="C1068" s="40"/>
      <c r="D1068" s="101" t="s">
        <v>1256</v>
      </c>
      <c r="E1068" s="101" t="s">
        <v>1257</v>
      </c>
      <c r="F1068" s="102" t="s">
        <v>2750</v>
      </c>
      <c r="G1068" s="69"/>
      <c r="H1068" s="52"/>
      <c r="I1068" s="52" t="s">
        <v>1258</v>
      </c>
      <c r="J1068" s="52" t="s">
        <v>1258</v>
      </c>
      <c r="K1068" s="69" t="s">
        <v>79</v>
      </c>
      <c r="L1068" s="52"/>
      <c r="M1068" s="52"/>
      <c r="N1068" s="52"/>
      <c r="O1068" s="61" t="s">
        <v>1145</v>
      </c>
      <c r="P1068" s="76" t="s">
        <v>1259</v>
      </c>
      <c r="Q1068" s="55">
        <f>VLOOKUP(E1068,'NI-Ric_SP'!$C:$AN,12,FALSE)</f>
        <v>0</v>
      </c>
      <c r="R1068" s="55">
        <f>VLOOKUP(E1068,'NI-Ric_SP'!$C:$AN,13,FALSE)</f>
        <v>0</v>
      </c>
      <c r="S1068" s="55"/>
      <c r="T1068" s="55"/>
      <c r="U1068" s="55">
        <f>VLOOKUP($E1068,'NI-Ric_SP'!$C:$AN,MID(U$1,1,2),FALSE)</f>
        <v>0</v>
      </c>
      <c r="V1068" s="55">
        <f>VLOOKUP($E1068,'NI-Ric_SP'!$C:$AN,MID(V$1,1,2),FALSE)</f>
        <v>0</v>
      </c>
      <c r="W1068" s="55">
        <f>VLOOKUP($E1068,'NI-Ric_SP'!$C:$AN,MID(W$1,1,2),FALSE)</f>
        <v>0</v>
      </c>
      <c r="X1068" s="55">
        <f>VLOOKUP($E1068,'NI-Ric_SP'!$C:$AN,MID(X$1,1,2),FALSE)</f>
        <v>0</v>
      </c>
      <c r="Y1068" s="55">
        <f>VLOOKUP($E1068,'NI-Ric_SP'!$C:$AN,MID(Y$1,1,2),FALSE)</f>
        <v>0</v>
      </c>
      <c r="Z1068" s="55">
        <f>VLOOKUP($E1068,'NI-Ric_SP'!$C:$AN,MID(Z$1,1,2),FALSE)</f>
        <v>0</v>
      </c>
      <c r="AA1068" s="55">
        <f>VLOOKUP($E1068,'NI-Ric_SP'!$C:$AN,MID(AA$1,1,2),FALSE)</f>
        <v>0</v>
      </c>
      <c r="AB1068" s="55">
        <f>VLOOKUP($E1068,'NI-Ric_SP'!$C:$AN,MID(AB$1,1,2),FALSE)</f>
        <v>0</v>
      </c>
      <c r="AC1068" s="55">
        <f>VLOOKUP($E1068,'NI-Ric_SP'!$C:$AN,MID(AC$1,1,2),FALSE)</f>
        <v>0</v>
      </c>
      <c r="AD1068" s="55">
        <f>VLOOKUP($E1068,'NI-Ric_SP'!$C:$AN,MID(AD$1,1,2),FALSE)</f>
        <v>0</v>
      </c>
      <c r="AE1068" s="55">
        <f>VLOOKUP($E1068,'NI-Ric_SP'!$C:$AN,MID(AE$1,1,2),FALSE)</f>
        <v>0</v>
      </c>
      <c r="AF1068" s="55">
        <f>VLOOKUP($E1068,'NI-Ric_SP'!$C:$AN,MID(AF$1,1,2),FALSE)</f>
        <v>0</v>
      </c>
      <c r="AG1068" s="55">
        <f>VLOOKUP($E1068,'NI-Ric_SP'!$C:$AN,MID(AG$1,1,2),FALSE)</f>
        <v>0</v>
      </c>
      <c r="AH1068" s="55">
        <f>VLOOKUP($E1068,'NI-Ric_SP'!$C:$AN,MID(AH$1,1,2),FALSE)</f>
        <v>0</v>
      </c>
      <c r="AI1068" s="55">
        <f>VLOOKUP($E1068,'NI-Ric_SP'!$C:$AN,MID(AI$1,1,2),FALSE)</f>
        <v>0</v>
      </c>
      <c r="AJ1068" s="55">
        <f>VLOOKUP($E1068,'NI-Ric_SP'!$C:$AN,MID(AJ$1,1,2),FALSE)</f>
        <v>0</v>
      </c>
      <c r="AK1068" s="55">
        <f>VLOOKUP($E1068,'NI-Ric_SP'!$C:$AN,MID(AK$1,1,2),FALSE)</f>
        <v>0</v>
      </c>
      <c r="AL1068" s="55">
        <f>VLOOKUP($E1068,'NI-Ric_SP'!$C:$AN,MID(AL$1,1,2),FALSE)</f>
        <v>0</v>
      </c>
      <c r="AM1068" s="56">
        <f>VLOOKUP($E1068,'NI-Ric_SP'!$C:$AN,MID(AM$1,1,2),FALSE)</f>
        <v>0</v>
      </c>
      <c r="AN1068" s="30" t="str">
        <f t="shared" si="16"/>
        <v>20101010050010</v>
      </c>
    </row>
    <row r="1069" spans="3:40" x14ac:dyDescent="0.25">
      <c r="C1069" s="40"/>
      <c r="D1069" s="101" t="s">
        <v>1260</v>
      </c>
      <c r="E1069" s="101" t="s">
        <v>1261</v>
      </c>
      <c r="F1069" s="102" t="s">
        <v>2750</v>
      </c>
      <c r="G1069" s="69"/>
      <c r="H1069" s="52"/>
      <c r="I1069" s="52" t="s">
        <v>1258</v>
      </c>
      <c r="J1069" s="52" t="s">
        <v>1258</v>
      </c>
      <c r="K1069" s="69" t="s">
        <v>79</v>
      </c>
      <c r="L1069" s="52"/>
      <c r="M1069" s="52"/>
      <c r="N1069" s="52"/>
      <c r="O1069" s="61" t="s">
        <v>1145</v>
      </c>
      <c r="P1069" s="76" t="s">
        <v>1262</v>
      </c>
      <c r="Q1069" s="55">
        <f>VLOOKUP(E1069,'NI-Ric_SP'!$C:$AN,12,FALSE)</f>
        <v>0</v>
      </c>
      <c r="R1069" s="55">
        <f>VLOOKUP(E1069,'NI-Ric_SP'!$C:$AN,13,FALSE)</f>
        <v>0</v>
      </c>
      <c r="S1069" s="55"/>
      <c r="T1069" s="55"/>
      <c r="U1069" s="55">
        <f>VLOOKUP($E1069,'NI-Ric_SP'!$C:$AN,MID(U$1,1,2),FALSE)</f>
        <v>0</v>
      </c>
      <c r="V1069" s="55">
        <f>VLOOKUP($E1069,'NI-Ric_SP'!$C:$AN,MID(V$1,1,2),FALSE)</f>
        <v>0</v>
      </c>
      <c r="W1069" s="55">
        <f>VLOOKUP($E1069,'NI-Ric_SP'!$C:$AN,MID(W$1,1,2),FALSE)</f>
        <v>0</v>
      </c>
      <c r="X1069" s="55">
        <f>VLOOKUP($E1069,'NI-Ric_SP'!$C:$AN,MID(X$1,1,2),FALSE)</f>
        <v>0</v>
      </c>
      <c r="Y1069" s="55">
        <f>VLOOKUP($E1069,'NI-Ric_SP'!$C:$AN,MID(Y$1,1,2),FALSE)</f>
        <v>0</v>
      </c>
      <c r="Z1069" s="55">
        <f>VLOOKUP($E1069,'NI-Ric_SP'!$C:$AN,MID(Z$1,1,2),FALSE)</f>
        <v>0</v>
      </c>
      <c r="AA1069" s="55">
        <f>VLOOKUP($E1069,'NI-Ric_SP'!$C:$AN,MID(AA$1,1,2),FALSE)</f>
        <v>0</v>
      </c>
      <c r="AB1069" s="55">
        <f>VLOOKUP($E1069,'NI-Ric_SP'!$C:$AN,MID(AB$1,1,2),FALSE)</f>
        <v>0</v>
      </c>
      <c r="AC1069" s="55">
        <f>VLOOKUP($E1069,'NI-Ric_SP'!$C:$AN,MID(AC$1,1,2),FALSE)</f>
        <v>0</v>
      </c>
      <c r="AD1069" s="55">
        <f>VLOOKUP($E1069,'NI-Ric_SP'!$C:$AN,MID(AD$1,1,2),FALSE)</f>
        <v>0</v>
      </c>
      <c r="AE1069" s="55">
        <f>VLOOKUP($E1069,'NI-Ric_SP'!$C:$AN,MID(AE$1,1,2),FALSE)</f>
        <v>0</v>
      </c>
      <c r="AF1069" s="55">
        <f>VLOOKUP($E1069,'NI-Ric_SP'!$C:$AN,MID(AF$1,1,2),FALSE)</f>
        <v>0</v>
      </c>
      <c r="AG1069" s="55">
        <f>VLOOKUP($E1069,'NI-Ric_SP'!$C:$AN,MID(AG$1,1,2),FALSE)</f>
        <v>0</v>
      </c>
      <c r="AH1069" s="55">
        <f>VLOOKUP($E1069,'NI-Ric_SP'!$C:$AN,MID(AH$1,1,2),FALSE)</f>
        <v>0</v>
      </c>
      <c r="AI1069" s="55">
        <f>VLOOKUP($E1069,'NI-Ric_SP'!$C:$AN,MID(AI$1,1,2),FALSE)</f>
        <v>0</v>
      </c>
      <c r="AJ1069" s="55">
        <f>VLOOKUP($E1069,'NI-Ric_SP'!$C:$AN,MID(AJ$1,1,2),FALSE)</f>
        <v>0</v>
      </c>
      <c r="AK1069" s="55">
        <f>VLOOKUP($E1069,'NI-Ric_SP'!$C:$AN,MID(AK$1,1,2),FALSE)</f>
        <v>0</v>
      </c>
      <c r="AL1069" s="55">
        <f>VLOOKUP($E1069,'NI-Ric_SP'!$C:$AN,MID(AL$1,1,2),FALSE)</f>
        <v>0</v>
      </c>
      <c r="AM1069" s="56">
        <f>VLOOKUP($E1069,'NI-Ric_SP'!$C:$AN,MID(AM$1,1,2),FALSE)</f>
        <v>0</v>
      </c>
      <c r="AN1069" s="30" t="str">
        <f t="shared" si="16"/>
        <v>20101010050020</v>
      </c>
    </row>
    <row r="1070" spans="3:40" x14ac:dyDescent="0.25">
      <c r="C1070" s="40"/>
      <c r="D1070" s="101" t="s">
        <v>1263</v>
      </c>
      <c r="E1070" s="101" t="s">
        <v>1264</v>
      </c>
      <c r="F1070" s="102" t="s">
        <v>2750</v>
      </c>
      <c r="G1070" s="69"/>
      <c r="H1070" s="52"/>
      <c r="I1070" s="52" t="s">
        <v>1239</v>
      </c>
      <c r="J1070" s="52" t="s">
        <v>1239</v>
      </c>
      <c r="K1070" s="69" t="s">
        <v>79</v>
      </c>
      <c r="L1070" s="52"/>
      <c r="M1070" s="52"/>
      <c r="N1070" s="52"/>
      <c r="O1070" s="61" t="s">
        <v>1145</v>
      </c>
      <c r="P1070" s="76" t="s">
        <v>1265</v>
      </c>
      <c r="Q1070" s="55">
        <f>VLOOKUP(E1070,'NI-Ric_SP'!$C:$AN,12,FALSE)</f>
        <v>0</v>
      </c>
      <c r="R1070" s="55">
        <f>VLOOKUP(E1070,'NI-Ric_SP'!$C:$AN,13,FALSE)</f>
        <v>0</v>
      </c>
      <c r="S1070" s="55"/>
      <c r="T1070" s="55"/>
      <c r="U1070" s="55">
        <f>VLOOKUP($E1070,'NI-Ric_SP'!$C:$AN,MID(U$1,1,2),FALSE)</f>
        <v>0</v>
      </c>
      <c r="V1070" s="55">
        <f>VLOOKUP($E1070,'NI-Ric_SP'!$C:$AN,MID(V$1,1,2),FALSE)</f>
        <v>0</v>
      </c>
      <c r="W1070" s="55">
        <f>VLOOKUP($E1070,'NI-Ric_SP'!$C:$AN,MID(W$1,1,2),FALSE)</f>
        <v>0</v>
      </c>
      <c r="X1070" s="55">
        <f>VLOOKUP($E1070,'NI-Ric_SP'!$C:$AN,MID(X$1,1,2),FALSE)</f>
        <v>0</v>
      </c>
      <c r="Y1070" s="55">
        <f>VLOOKUP($E1070,'NI-Ric_SP'!$C:$AN,MID(Y$1,1,2),FALSE)</f>
        <v>0</v>
      </c>
      <c r="Z1070" s="55">
        <f>VLOOKUP($E1070,'NI-Ric_SP'!$C:$AN,MID(Z$1,1,2),FALSE)</f>
        <v>0</v>
      </c>
      <c r="AA1070" s="55">
        <f>VLOOKUP($E1070,'NI-Ric_SP'!$C:$AN,MID(AA$1,1,2),FALSE)</f>
        <v>0</v>
      </c>
      <c r="AB1070" s="55">
        <f>VLOOKUP($E1070,'NI-Ric_SP'!$C:$AN,MID(AB$1,1,2),FALSE)</f>
        <v>0</v>
      </c>
      <c r="AC1070" s="55">
        <f>VLOOKUP($E1070,'NI-Ric_SP'!$C:$AN,MID(AC$1,1,2),FALSE)</f>
        <v>0</v>
      </c>
      <c r="AD1070" s="55">
        <f>VLOOKUP($E1070,'NI-Ric_SP'!$C:$AN,MID(AD$1,1,2),FALSE)</f>
        <v>0</v>
      </c>
      <c r="AE1070" s="55">
        <f>VLOOKUP($E1070,'NI-Ric_SP'!$C:$AN,MID(AE$1,1,2),FALSE)</f>
        <v>0</v>
      </c>
      <c r="AF1070" s="55">
        <f>VLOOKUP($E1070,'NI-Ric_SP'!$C:$AN,MID(AF$1,1,2),FALSE)</f>
        <v>0</v>
      </c>
      <c r="AG1070" s="55">
        <f>VLOOKUP($E1070,'NI-Ric_SP'!$C:$AN,MID(AG$1,1,2),FALSE)</f>
        <v>0</v>
      </c>
      <c r="AH1070" s="55">
        <f>VLOOKUP($E1070,'NI-Ric_SP'!$C:$AN,MID(AH$1,1,2),FALSE)</f>
        <v>0</v>
      </c>
      <c r="AI1070" s="55">
        <f>VLOOKUP($E1070,'NI-Ric_SP'!$C:$AN,MID(AI$1,1,2),FALSE)</f>
        <v>0</v>
      </c>
      <c r="AJ1070" s="55">
        <f>VLOOKUP($E1070,'NI-Ric_SP'!$C:$AN,MID(AJ$1,1,2),FALSE)</f>
        <v>0</v>
      </c>
      <c r="AK1070" s="55">
        <f>VLOOKUP($E1070,'NI-Ric_SP'!$C:$AN,MID(AK$1,1,2),FALSE)</f>
        <v>0</v>
      </c>
      <c r="AL1070" s="55">
        <f>VLOOKUP($E1070,'NI-Ric_SP'!$C:$AN,MID(AL$1,1,2),FALSE)</f>
        <v>0</v>
      </c>
      <c r="AM1070" s="56">
        <f>VLOOKUP($E1070,'NI-Ric_SP'!$C:$AN,MID(AM$1,1,2),FALSE)</f>
        <v>0</v>
      </c>
      <c r="AN1070" s="30" t="str">
        <f t="shared" si="16"/>
        <v>20101010070010</v>
      </c>
    </row>
    <row r="1071" spans="3:40" x14ac:dyDescent="0.25">
      <c r="C1071" s="40"/>
      <c r="D1071" s="101" t="s">
        <v>1266</v>
      </c>
      <c r="E1071" s="101" t="s">
        <v>1267</v>
      </c>
      <c r="F1071" s="102" t="s">
        <v>2750</v>
      </c>
      <c r="G1071" s="69"/>
      <c r="H1071" s="52"/>
      <c r="I1071" s="52" t="s">
        <v>1268</v>
      </c>
      <c r="J1071" s="52" t="s">
        <v>1268</v>
      </c>
      <c r="K1071" s="69" t="s">
        <v>79</v>
      </c>
      <c r="L1071" s="52"/>
      <c r="M1071" s="52"/>
      <c r="N1071" s="52"/>
      <c r="O1071" s="61" t="s">
        <v>1145</v>
      </c>
      <c r="P1071" s="76" t="s">
        <v>1269</v>
      </c>
      <c r="Q1071" s="55">
        <f>VLOOKUP(E1071,'NI-Ric_SP'!$C:$AN,12,FALSE)</f>
        <v>0</v>
      </c>
      <c r="R1071" s="55">
        <f>VLOOKUP(E1071,'NI-Ric_SP'!$C:$AN,13,FALSE)</f>
        <v>0</v>
      </c>
      <c r="S1071" s="55"/>
      <c r="T1071" s="55"/>
      <c r="U1071" s="55">
        <f>VLOOKUP($E1071,'NI-Ric_SP'!$C:$AN,MID(U$1,1,2),FALSE)</f>
        <v>0</v>
      </c>
      <c r="V1071" s="55">
        <f>VLOOKUP($E1071,'NI-Ric_SP'!$C:$AN,MID(V$1,1,2),FALSE)</f>
        <v>0</v>
      </c>
      <c r="W1071" s="55">
        <f>VLOOKUP($E1071,'NI-Ric_SP'!$C:$AN,MID(W$1,1,2),FALSE)</f>
        <v>0</v>
      </c>
      <c r="X1071" s="55">
        <f>VLOOKUP($E1071,'NI-Ric_SP'!$C:$AN,MID(X$1,1,2),FALSE)</f>
        <v>0</v>
      </c>
      <c r="Y1071" s="55">
        <f>VLOOKUP($E1071,'NI-Ric_SP'!$C:$AN,MID(Y$1,1,2),FALSE)</f>
        <v>0</v>
      </c>
      <c r="Z1071" s="55">
        <f>VLOOKUP($E1071,'NI-Ric_SP'!$C:$AN,MID(Z$1,1,2),FALSE)</f>
        <v>0</v>
      </c>
      <c r="AA1071" s="55">
        <f>VLOOKUP($E1071,'NI-Ric_SP'!$C:$AN,MID(AA$1,1,2),FALSE)</f>
        <v>0</v>
      </c>
      <c r="AB1071" s="55">
        <f>VLOOKUP($E1071,'NI-Ric_SP'!$C:$AN,MID(AB$1,1,2),FALSE)</f>
        <v>0</v>
      </c>
      <c r="AC1071" s="55">
        <f>VLOOKUP($E1071,'NI-Ric_SP'!$C:$AN,MID(AC$1,1,2),FALSE)</f>
        <v>0</v>
      </c>
      <c r="AD1071" s="55">
        <f>VLOOKUP($E1071,'NI-Ric_SP'!$C:$AN,MID(AD$1,1,2),FALSE)</f>
        <v>0</v>
      </c>
      <c r="AE1071" s="55">
        <f>VLOOKUP($E1071,'NI-Ric_SP'!$C:$AN,MID(AE$1,1,2),FALSE)</f>
        <v>0</v>
      </c>
      <c r="AF1071" s="55">
        <f>VLOOKUP($E1071,'NI-Ric_SP'!$C:$AN,MID(AF$1,1,2),FALSE)</f>
        <v>0</v>
      </c>
      <c r="AG1071" s="55">
        <f>VLOOKUP($E1071,'NI-Ric_SP'!$C:$AN,MID(AG$1,1,2),FALSE)</f>
        <v>0</v>
      </c>
      <c r="AH1071" s="55">
        <f>VLOOKUP($E1071,'NI-Ric_SP'!$C:$AN,MID(AH$1,1,2),FALSE)</f>
        <v>0</v>
      </c>
      <c r="AI1071" s="55">
        <f>VLOOKUP($E1071,'NI-Ric_SP'!$C:$AN,MID(AI$1,1,2),FALSE)</f>
        <v>0</v>
      </c>
      <c r="AJ1071" s="55">
        <f>VLOOKUP($E1071,'NI-Ric_SP'!$C:$AN,MID(AJ$1,1,2),FALSE)</f>
        <v>0</v>
      </c>
      <c r="AK1071" s="55">
        <f>VLOOKUP($E1071,'NI-Ric_SP'!$C:$AN,MID(AK$1,1,2),FALSE)</f>
        <v>0</v>
      </c>
      <c r="AL1071" s="55">
        <f>VLOOKUP($E1071,'NI-Ric_SP'!$C:$AN,MID(AL$1,1,2),FALSE)</f>
        <v>0</v>
      </c>
      <c r="AM1071" s="56">
        <f>VLOOKUP($E1071,'NI-Ric_SP'!$C:$AN,MID(AM$1,1,2),FALSE)</f>
        <v>0</v>
      </c>
      <c r="AN1071" s="30" t="str">
        <f t="shared" si="16"/>
        <v>20101010020010</v>
      </c>
    </row>
    <row r="1072" spans="3:40" x14ac:dyDescent="0.25">
      <c r="C1072" s="40"/>
      <c r="D1072" s="101" t="s">
        <v>1270</v>
      </c>
      <c r="E1072" s="101" t="s">
        <v>1271</v>
      </c>
      <c r="F1072" s="102" t="s">
        <v>2750</v>
      </c>
      <c r="G1072" s="69"/>
      <c r="H1072" s="52"/>
      <c r="I1072" s="52" t="s">
        <v>1268</v>
      </c>
      <c r="J1072" s="52" t="s">
        <v>1268</v>
      </c>
      <c r="K1072" s="69" t="s">
        <v>79</v>
      </c>
      <c r="L1072" s="52"/>
      <c r="M1072" s="52"/>
      <c r="N1072" s="52"/>
      <c r="O1072" s="61" t="s">
        <v>1145</v>
      </c>
      <c r="P1072" s="76" t="s">
        <v>1272</v>
      </c>
      <c r="Q1072" s="55">
        <f>VLOOKUP(E1072,'NI-Ric_SP'!$C:$AN,12,FALSE)</f>
        <v>0</v>
      </c>
      <c r="R1072" s="55">
        <f>VLOOKUP(E1072,'NI-Ric_SP'!$C:$AN,13,FALSE)</f>
        <v>0</v>
      </c>
      <c r="S1072" s="55"/>
      <c r="T1072" s="55"/>
      <c r="U1072" s="55">
        <f>VLOOKUP($E1072,'NI-Ric_SP'!$C:$AN,MID(U$1,1,2),FALSE)</f>
        <v>0</v>
      </c>
      <c r="V1072" s="55">
        <f>VLOOKUP($E1072,'NI-Ric_SP'!$C:$AN,MID(V$1,1,2),FALSE)</f>
        <v>0</v>
      </c>
      <c r="W1072" s="55">
        <f>VLOOKUP($E1072,'NI-Ric_SP'!$C:$AN,MID(W$1,1,2),FALSE)</f>
        <v>0</v>
      </c>
      <c r="X1072" s="55">
        <f>VLOOKUP($E1072,'NI-Ric_SP'!$C:$AN,MID(X$1,1,2),FALSE)</f>
        <v>0</v>
      </c>
      <c r="Y1072" s="55">
        <f>VLOOKUP($E1072,'NI-Ric_SP'!$C:$AN,MID(Y$1,1,2),FALSE)</f>
        <v>0</v>
      </c>
      <c r="Z1072" s="55">
        <f>VLOOKUP($E1072,'NI-Ric_SP'!$C:$AN,MID(Z$1,1,2),FALSE)</f>
        <v>0</v>
      </c>
      <c r="AA1072" s="55">
        <f>VLOOKUP($E1072,'NI-Ric_SP'!$C:$AN,MID(AA$1,1,2),FALSE)</f>
        <v>0</v>
      </c>
      <c r="AB1072" s="55">
        <f>VLOOKUP($E1072,'NI-Ric_SP'!$C:$AN,MID(AB$1,1,2),FALSE)</f>
        <v>0</v>
      </c>
      <c r="AC1072" s="55">
        <f>VLOOKUP($E1072,'NI-Ric_SP'!$C:$AN,MID(AC$1,1,2),FALSE)</f>
        <v>0</v>
      </c>
      <c r="AD1072" s="55">
        <f>VLOOKUP($E1072,'NI-Ric_SP'!$C:$AN,MID(AD$1,1,2),FALSE)</f>
        <v>0</v>
      </c>
      <c r="AE1072" s="55">
        <f>VLOOKUP($E1072,'NI-Ric_SP'!$C:$AN,MID(AE$1,1,2),FALSE)</f>
        <v>0</v>
      </c>
      <c r="AF1072" s="55">
        <f>VLOOKUP($E1072,'NI-Ric_SP'!$C:$AN,MID(AF$1,1,2),FALSE)</f>
        <v>0</v>
      </c>
      <c r="AG1072" s="55">
        <f>VLOOKUP($E1072,'NI-Ric_SP'!$C:$AN,MID(AG$1,1,2),FALSE)</f>
        <v>0</v>
      </c>
      <c r="AH1072" s="55">
        <f>VLOOKUP($E1072,'NI-Ric_SP'!$C:$AN,MID(AH$1,1,2),FALSE)</f>
        <v>0</v>
      </c>
      <c r="AI1072" s="55">
        <f>VLOOKUP($E1072,'NI-Ric_SP'!$C:$AN,MID(AI$1,1,2),FALSE)</f>
        <v>0</v>
      </c>
      <c r="AJ1072" s="55">
        <f>VLOOKUP($E1072,'NI-Ric_SP'!$C:$AN,MID(AJ$1,1,2),FALSE)</f>
        <v>0</v>
      </c>
      <c r="AK1072" s="55">
        <f>VLOOKUP($E1072,'NI-Ric_SP'!$C:$AN,MID(AK$1,1,2),FALSE)</f>
        <v>0</v>
      </c>
      <c r="AL1072" s="55">
        <f>VLOOKUP($E1072,'NI-Ric_SP'!$C:$AN,MID(AL$1,1,2),FALSE)</f>
        <v>0</v>
      </c>
      <c r="AM1072" s="56">
        <f>VLOOKUP($E1072,'NI-Ric_SP'!$C:$AN,MID(AM$1,1,2),FALSE)</f>
        <v>0</v>
      </c>
      <c r="AN1072" s="30" t="str">
        <f t="shared" si="16"/>
        <v>20101010020020</v>
      </c>
    </row>
    <row r="1073" spans="3:40" x14ac:dyDescent="0.25">
      <c r="C1073" s="40"/>
      <c r="D1073" s="101" t="s">
        <v>1273</v>
      </c>
      <c r="E1073" s="101" t="s">
        <v>1274</v>
      </c>
      <c r="F1073" s="102" t="s">
        <v>2750</v>
      </c>
      <c r="G1073" s="69"/>
      <c r="H1073" s="52"/>
      <c r="I1073" s="52" t="s">
        <v>1268</v>
      </c>
      <c r="J1073" s="52" t="s">
        <v>1268</v>
      </c>
      <c r="K1073" s="69" t="s">
        <v>79</v>
      </c>
      <c r="L1073" s="52"/>
      <c r="M1073" s="52"/>
      <c r="N1073" s="52"/>
      <c r="O1073" s="61" t="s">
        <v>1145</v>
      </c>
      <c r="P1073" s="76" t="s">
        <v>1275</v>
      </c>
      <c r="Q1073" s="55">
        <f>VLOOKUP(E1073,'NI-Ric_SP'!$C:$AN,12,FALSE)</f>
        <v>0</v>
      </c>
      <c r="R1073" s="55">
        <f>VLOOKUP(E1073,'NI-Ric_SP'!$C:$AN,13,FALSE)</f>
        <v>0</v>
      </c>
      <c r="S1073" s="55"/>
      <c r="T1073" s="55"/>
      <c r="U1073" s="55">
        <f>VLOOKUP($E1073,'NI-Ric_SP'!$C:$AN,MID(U$1,1,2),FALSE)</f>
        <v>0</v>
      </c>
      <c r="V1073" s="55">
        <f>VLOOKUP($E1073,'NI-Ric_SP'!$C:$AN,MID(V$1,1,2),FALSE)</f>
        <v>0</v>
      </c>
      <c r="W1073" s="55">
        <f>VLOOKUP($E1073,'NI-Ric_SP'!$C:$AN,MID(W$1,1,2),FALSE)</f>
        <v>0</v>
      </c>
      <c r="X1073" s="55">
        <f>VLOOKUP($E1073,'NI-Ric_SP'!$C:$AN,MID(X$1,1,2),FALSE)</f>
        <v>0</v>
      </c>
      <c r="Y1073" s="55">
        <f>VLOOKUP($E1073,'NI-Ric_SP'!$C:$AN,MID(Y$1,1,2),FALSE)</f>
        <v>0</v>
      </c>
      <c r="Z1073" s="55">
        <f>VLOOKUP($E1073,'NI-Ric_SP'!$C:$AN,MID(Z$1,1,2),FALSE)</f>
        <v>0</v>
      </c>
      <c r="AA1073" s="55">
        <f>VLOOKUP($E1073,'NI-Ric_SP'!$C:$AN,MID(AA$1,1,2),FALSE)</f>
        <v>0</v>
      </c>
      <c r="AB1073" s="55">
        <f>VLOOKUP($E1073,'NI-Ric_SP'!$C:$AN,MID(AB$1,1,2),FALSE)</f>
        <v>0</v>
      </c>
      <c r="AC1073" s="55">
        <f>VLOOKUP($E1073,'NI-Ric_SP'!$C:$AN,MID(AC$1,1,2),FALSE)</f>
        <v>0</v>
      </c>
      <c r="AD1073" s="55">
        <f>VLOOKUP($E1073,'NI-Ric_SP'!$C:$AN,MID(AD$1,1,2),FALSE)</f>
        <v>0</v>
      </c>
      <c r="AE1073" s="55">
        <f>VLOOKUP($E1073,'NI-Ric_SP'!$C:$AN,MID(AE$1,1,2),FALSE)</f>
        <v>0</v>
      </c>
      <c r="AF1073" s="55">
        <f>VLOOKUP($E1073,'NI-Ric_SP'!$C:$AN,MID(AF$1,1,2),FALSE)</f>
        <v>0</v>
      </c>
      <c r="AG1073" s="55">
        <f>VLOOKUP($E1073,'NI-Ric_SP'!$C:$AN,MID(AG$1,1,2),FALSE)</f>
        <v>0</v>
      </c>
      <c r="AH1073" s="55">
        <f>VLOOKUP($E1073,'NI-Ric_SP'!$C:$AN,MID(AH$1,1,2),FALSE)</f>
        <v>0</v>
      </c>
      <c r="AI1073" s="55">
        <f>VLOOKUP($E1073,'NI-Ric_SP'!$C:$AN,MID(AI$1,1,2),FALSE)</f>
        <v>0</v>
      </c>
      <c r="AJ1073" s="55">
        <f>VLOOKUP($E1073,'NI-Ric_SP'!$C:$AN,MID(AJ$1,1,2),FALSE)</f>
        <v>0</v>
      </c>
      <c r="AK1073" s="55">
        <f>VLOOKUP($E1073,'NI-Ric_SP'!$C:$AN,MID(AK$1,1,2),FALSE)</f>
        <v>0</v>
      </c>
      <c r="AL1073" s="55">
        <f>VLOOKUP($E1073,'NI-Ric_SP'!$C:$AN,MID(AL$1,1,2),FALSE)</f>
        <v>0</v>
      </c>
      <c r="AM1073" s="56">
        <f>VLOOKUP($E1073,'NI-Ric_SP'!$C:$AN,MID(AM$1,1,2),FALSE)</f>
        <v>0</v>
      </c>
      <c r="AN1073" s="30" t="str">
        <f t="shared" si="16"/>
        <v>20101010020030</v>
      </c>
    </row>
    <row r="1074" spans="3:40" x14ac:dyDescent="0.25">
      <c r="C1074" s="40"/>
      <c r="D1074" s="101" t="s">
        <v>1276</v>
      </c>
      <c r="E1074" s="101" t="s">
        <v>1277</v>
      </c>
      <c r="F1074" s="102" t="s">
        <v>2750</v>
      </c>
      <c r="G1074" s="69"/>
      <c r="H1074" s="52"/>
      <c r="I1074" s="52" t="s">
        <v>1278</v>
      </c>
      <c r="J1074" s="52" t="s">
        <v>1278</v>
      </c>
      <c r="K1074" s="69" t="s">
        <v>79</v>
      </c>
      <c r="L1074" s="52"/>
      <c r="M1074" s="52"/>
      <c r="N1074" s="52"/>
      <c r="O1074" s="61" t="s">
        <v>1145</v>
      </c>
      <c r="P1074" s="76" t="s">
        <v>1279</v>
      </c>
      <c r="Q1074" s="55">
        <f>VLOOKUP(E1074,'NI-Ric_SP'!$C:$AN,12,FALSE)</f>
        <v>0</v>
      </c>
      <c r="R1074" s="55">
        <f>VLOOKUP(E1074,'NI-Ric_SP'!$C:$AN,13,FALSE)</f>
        <v>0</v>
      </c>
      <c r="S1074" s="55"/>
      <c r="T1074" s="55"/>
      <c r="U1074" s="55">
        <f>VLOOKUP($E1074,'NI-Ric_SP'!$C:$AN,MID(U$1,1,2),FALSE)</f>
        <v>0</v>
      </c>
      <c r="V1074" s="55">
        <f>VLOOKUP($E1074,'NI-Ric_SP'!$C:$AN,MID(V$1,1,2),FALSE)</f>
        <v>0</v>
      </c>
      <c r="W1074" s="55">
        <f>VLOOKUP($E1074,'NI-Ric_SP'!$C:$AN,MID(W$1,1,2),FALSE)</f>
        <v>0</v>
      </c>
      <c r="X1074" s="55">
        <f>VLOOKUP($E1074,'NI-Ric_SP'!$C:$AN,MID(X$1,1,2),FALSE)</f>
        <v>0</v>
      </c>
      <c r="Y1074" s="55">
        <f>VLOOKUP($E1074,'NI-Ric_SP'!$C:$AN,MID(Y$1,1,2),FALSE)</f>
        <v>0</v>
      </c>
      <c r="Z1074" s="55">
        <f>VLOOKUP($E1074,'NI-Ric_SP'!$C:$AN,MID(Z$1,1,2),FALSE)</f>
        <v>0</v>
      </c>
      <c r="AA1074" s="55">
        <f>VLOOKUP($E1074,'NI-Ric_SP'!$C:$AN,MID(AA$1,1,2),FALSE)</f>
        <v>0</v>
      </c>
      <c r="AB1074" s="55">
        <f>VLOOKUP($E1074,'NI-Ric_SP'!$C:$AN,MID(AB$1,1,2),FALSE)</f>
        <v>0</v>
      </c>
      <c r="AC1074" s="55">
        <f>VLOOKUP($E1074,'NI-Ric_SP'!$C:$AN,MID(AC$1,1,2),FALSE)</f>
        <v>0</v>
      </c>
      <c r="AD1074" s="55">
        <f>VLOOKUP($E1074,'NI-Ric_SP'!$C:$AN,MID(AD$1,1,2),FALSE)</f>
        <v>0</v>
      </c>
      <c r="AE1074" s="55">
        <f>VLOOKUP($E1074,'NI-Ric_SP'!$C:$AN,MID(AE$1,1,2),FALSE)</f>
        <v>0</v>
      </c>
      <c r="AF1074" s="55">
        <f>VLOOKUP($E1074,'NI-Ric_SP'!$C:$AN,MID(AF$1,1,2),FALSE)</f>
        <v>0</v>
      </c>
      <c r="AG1074" s="55">
        <f>VLOOKUP($E1074,'NI-Ric_SP'!$C:$AN,MID(AG$1,1,2),FALSE)</f>
        <v>0</v>
      </c>
      <c r="AH1074" s="55">
        <f>VLOOKUP($E1074,'NI-Ric_SP'!$C:$AN,MID(AH$1,1,2),FALSE)</f>
        <v>0</v>
      </c>
      <c r="AI1074" s="55">
        <f>VLOOKUP($E1074,'NI-Ric_SP'!$C:$AN,MID(AI$1,1,2),FALSE)</f>
        <v>0</v>
      </c>
      <c r="AJ1074" s="55">
        <f>VLOOKUP($E1074,'NI-Ric_SP'!$C:$AN,MID(AJ$1,1,2),FALSE)</f>
        <v>0</v>
      </c>
      <c r="AK1074" s="55">
        <f>VLOOKUP($E1074,'NI-Ric_SP'!$C:$AN,MID(AK$1,1,2),FALSE)</f>
        <v>0</v>
      </c>
      <c r="AL1074" s="55">
        <f>VLOOKUP($E1074,'NI-Ric_SP'!$C:$AN,MID(AL$1,1,2),FALSE)</f>
        <v>0</v>
      </c>
      <c r="AM1074" s="56">
        <f>VLOOKUP($E1074,'NI-Ric_SP'!$C:$AN,MID(AM$1,1,2),FALSE)</f>
        <v>0</v>
      </c>
      <c r="AN1074" s="30" t="str">
        <f t="shared" si="16"/>
        <v>20101010080010</v>
      </c>
    </row>
    <row r="1075" spans="3:40" ht="27" x14ac:dyDescent="0.25">
      <c r="C1075" s="40"/>
      <c r="D1075" s="101" t="s">
        <v>1280</v>
      </c>
      <c r="E1075" s="101" t="s">
        <v>1281</v>
      </c>
      <c r="F1075" s="102" t="s">
        <v>2750</v>
      </c>
      <c r="G1075" s="69"/>
      <c r="H1075" s="52"/>
      <c r="I1075" s="52" t="s">
        <v>1278</v>
      </c>
      <c r="J1075" s="52" t="s">
        <v>1278</v>
      </c>
      <c r="K1075" s="69" t="s">
        <v>79</v>
      </c>
      <c r="L1075" s="52"/>
      <c r="M1075" s="52"/>
      <c r="N1075" s="52"/>
      <c r="O1075" s="61" t="s">
        <v>1145</v>
      </c>
      <c r="P1075" s="76" t="s">
        <v>1282</v>
      </c>
      <c r="Q1075" s="55">
        <f>VLOOKUP(E1075,'NI-Ric_SP'!$C:$AN,12,FALSE)</f>
        <v>0</v>
      </c>
      <c r="R1075" s="55">
        <f>VLOOKUP(E1075,'NI-Ric_SP'!$C:$AN,13,FALSE)</f>
        <v>0</v>
      </c>
      <c r="S1075" s="55"/>
      <c r="T1075" s="55"/>
      <c r="U1075" s="55">
        <f>VLOOKUP($E1075,'NI-Ric_SP'!$C:$AN,MID(U$1,1,2),FALSE)</f>
        <v>0</v>
      </c>
      <c r="V1075" s="55">
        <f>VLOOKUP($E1075,'NI-Ric_SP'!$C:$AN,MID(V$1,1,2),FALSE)</f>
        <v>0</v>
      </c>
      <c r="W1075" s="55">
        <f>VLOOKUP($E1075,'NI-Ric_SP'!$C:$AN,MID(W$1,1,2),FALSE)</f>
        <v>0</v>
      </c>
      <c r="X1075" s="55">
        <f>VLOOKUP($E1075,'NI-Ric_SP'!$C:$AN,MID(X$1,1,2),FALSE)</f>
        <v>0</v>
      </c>
      <c r="Y1075" s="55">
        <f>VLOOKUP($E1075,'NI-Ric_SP'!$C:$AN,MID(Y$1,1,2),FALSE)</f>
        <v>0</v>
      </c>
      <c r="Z1075" s="55">
        <f>VLOOKUP($E1075,'NI-Ric_SP'!$C:$AN,MID(Z$1,1,2),FALSE)</f>
        <v>0</v>
      </c>
      <c r="AA1075" s="55">
        <f>VLOOKUP($E1075,'NI-Ric_SP'!$C:$AN,MID(AA$1,1,2),FALSE)</f>
        <v>0</v>
      </c>
      <c r="AB1075" s="55">
        <f>VLOOKUP($E1075,'NI-Ric_SP'!$C:$AN,MID(AB$1,1,2),FALSE)</f>
        <v>0</v>
      </c>
      <c r="AC1075" s="55">
        <f>VLOOKUP($E1075,'NI-Ric_SP'!$C:$AN,MID(AC$1,1,2),FALSE)</f>
        <v>0</v>
      </c>
      <c r="AD1075" s="55">
        <f>VLOOKUP($E1075,'NI-Ric_SP'!$C:$AN,MID(AD$1,1,2),FALSE)</f>
        <v>0</v>
      </c>
      <c r="AE1075" s="55">
        <f>VLOOKUP($E1075,'NI-Ric_SP'!$C:$AN,MID(AE$1,1,2),FALSE)</f>
        <v>0</v>
      </c>
      <c r="AF1075" s="55">
        <f>VLOOKUP($E1075,'NI-Ric_SP'!$C:$AN,MID(AF$1,1,2),FALSE)</f>
        <v>0</v>
      </c>
      <c r="AG1075" s="55">
        <f>VLOOKUP($E1075,'NI-Ric_SP'!$C:$AN,MID(AG$1,1,2),FALSE)</f>
        <v>0</v>
      </c>
      <c r="AH1075" s="55">
        <f>VLOOKUP($E1075,'NI-Ric_SP'!$C:$AN,MID(AH$1,1,2),FALSE)</f>
        <v>0</v>
      </c>
      <c r="AI1075" s="55">
        <f>VLOOKUP($E1075,'NI-Ric_SP'!$C:$AN,MID(AI$1,1,2),FALSE)</f>
        <v>0</v>
      </c>
      <c r="AJ1075" s="55">
        <f>VLOOKUP($E1075,'NI-Ric_SP'!$C:$AN,MID(AJ$1,1,2),FALSE)</f>
        <v>0</v>
      </c>
      <c r="AK1075" s="55">
        <f>VLOOKUP($E1075,'NI-Ric_SP'!$C:$AN,MID(AK$1,1,2),FALSE)</f>
        <v>0</v>
      </c>
      <c r="AL1075" s="55">
        <f>VLOOKUP($E1075,'NI-Ric_SP'!$C:$AN,MID(AL$1,1,2),FALSE)</f>
        <v>0</v>
      </c>
      <c r="AM1075" s="56">
        <f>VLOOKUP($E1075,'NI-Ric_SP'!$C:$AN,MID(AM$1,1,2),FALSE)</f>
        <v>0</v>
      </c>
      <c r="AN1075" s="30" t="str">
        <f t="shared" si="16"/>
        <v>20101010080020</v>
      </c>
    </row>
    <row r="1076" spans="3:40" x14ac:dyDescent="0.25">
      <c r="C1076" s="40"/>
      <c r="D1076" s="101" t="s">
        <v>1283</v>
      </c>
      <c r="E1076" s="101" t="s">
        <v>1284</v>
      </c>
      <c r="F1076" s="102" t="s">
        <v>2750</v>
      </c>
      <c r="G1076" s="52"/>
      <c r="H1076" s="52"/>
      <c r="I1076" s="52" t="s">
        <v>1285</v>
      </c>
      <c r="J1076" s="52" t="s">
        <v>1285</v>
      </c>
      <c r="K1076" s="59" t="s">
        <v>79</v>
      </c>
      <c r="L1076" s="62" t="s">
        <v>1286</v>
      </c>
      <c r="M1076" s="52"/>
      <c r="N1076" s="52"/>
      <c r="O1076" s="61" t="s">
        <v>1287</v>
      </c>
      <c r="P1076" s="76" t="s">
        <v>1288</v>
      </c>
      <c r="Q1076" s="55">
        <f>VLOOKUP(E1076,'NI-Ric_SP'!$C:$AN,12,FALSE)</f>
        <v>0</v>
      </c>
      <c r="R1076" s="55">
        <f>VLOOKUP(E1076,'NI-Ric_SP'!$C:$AN,13,FALSE)</f>
        <v>0</v>
      </c>
      <c r="S1076" s="55"/>
      <c r="T1076" s="55"/>
      <c r="U1076" s="55">
        <f>VLOOKUP($E1076,'NI-Ric_SP'!$C:$AN,MID(U$1,1,2),FALSE)</f>
        <v>0</v>
      </c>
      <c r="V1076" s="55">
        <f>VLOOKUP($E1076,'NI-Ric_SP'!$C:$AN,MID(V$1,1,2),FALSE)</f>
        <v>0</v>
      </c>
      <c r="W1076" s="55">
        <f>VLOOKUP($E1076,'NI-Ric_SP'!$C:$AN,MID(W$1,1,2),FALSE)</f>
        <v>0</v>
      </c>
      <c r="X1076" s="55">
        <f>VLOOKUP($E1076,'NI-Ric_SP'!$C:$AN,MID(X$1,1,2),FALSE)</f>
        <v>0</v>
      </c>
      <c r="Y1076" s="55">
        <f>VLOOKUP($E1076,'NI-Ric_SP'!$C:$AN,MID(Y$1,1,2),FALSE)</f>
        <v>0</v>
      </c>
      <c r="Z1076" s="55">
        <f>VLOOKUP($E1076,'NI-Ric_SP'!$C:$AN,MID(Z$1,1,2),FALSE)</f>
        <v>0</v>
      </c>
      <c r="AA1076" s="55">
        <f>VLOOKUP($E1076,'NI-Ric_SP'!$C:$AN,MID(AA$1,1,2),FALSE)</f>
        <v>0</v>
      </c>
      <c r="AB1076" s="55">
        <f>VLOOKUP($E1076,'NI-Ric_SP'!$C:$AN,MID(AB$1,1,2),FALSE)</f>
        <v>0</v>
      </c>
      <c r="AC1076" s="55">
        <f>VLOOKUP($E1076,'NI-Ric_SP'!$C:$AN,MID(AC$1,1,2),FALSE)</f>
        <v>0</v>
      </c>
      <c r="AD1076" s="55">
        <f>VLOOKUP($E1076,'NI-Ric_SP'!$C:$AN,MID(AD$1,1,2),FALSE)</f>
        <v>0</v>
      </c>
      <c r="AE1076" s="55">
        <f>VLOOKUP($E1076,'NI-Ric_SP'!$C:$AN,MID(AE$1,1,2),FALSE)</f>
        <v>0</v>
      </c>
      <c r="AF1076" s="55">
        <f>VLOOKUP($E1076,'NI-Ric_SP'!$C:$AN,MID(AF$1,1,2),FALSE)</f>
        <v>0</v>
      </c>
      <c r="AG1076" s="55">
        <f>VLOOKUP($E1076,'NI-Ric_SP'!$C:$AN,MID(AG$1,1,2),FALSE)</f>
        <v>0</v>
      </c>
      <c r="AH1076" s="55">
        <f>VLOOKUP($E1076,'NI-Ric_SP'!$C:$AN,MID(AH$1,1,2),FALSE)</f>
        <v>0</v>
      </c>
      <c r="AI1076" s="55">
        <f>VLOOKUP($E1076,'NI-Ric_SP'!$C:$AN,MID(AI$1,1,2),FALSE)</f>
        <v>0</v>
      </c>
      <c r="AJ1076" s="55">
        <f>VLOOKUP($E1076,'NI-Ric_SP'!$C:$AN,MID(AJ$1,1,2),FALSE)</f>
        <v>0</v>
      </c>
      <c r="AK1076" s="55">
        <f>VLOOKUP($E1076,'NI-Ric_SP'!$C:$AN,MID(AK$1,1,2),FALSE)</f>
        <v>0</v>
      </c>
      <c r="AL1076" s="55">
        <f>VLOOKUP($E1076,'NI-Ric_SP'!$C:$AN,MID(AL$1,1,2),FALSE)</f>
        <v>0</v>
      </c>
      <c r="AM1076" s="56">
        <f>VLOOKUP($E1076,'NI-Ric_SP'!$C:$AN,MID(AM$1,1,2),FALSE)</f>
        <v>0</v>
      </c>
      <c r="AN1076" s="30" t="str">
        <f t="shared" si="16"/>
        <v>20101010090000</v>
      </c>
    </row>
    <row r="1077" spans="3:40" x14ac:dyDescent="0.25">
      <c r="C1077" s="40"/>
      <c r="D1077" s="101" t="s">
        <v>1289</v>
      </c>
      <c r="E1077" s="101" t="s">
        <v>1290</v>
      </c>
      <c r="F1077" s="102" t="s">
        <v>2750</v>
      </c>
      <c r="G1077" s="52"/>
      <c r="H1077" s="52"/>
      <c r="I1077" s="52"/>
      <c r="J1077" s="52"/>
      <c r="K1077" s="59" t="s">
        <v>111</v>
      </c>
      <c r="L1077" s="62" t="s">
        <v>1291</v>
      </c>
      <c r="M1077" s="52"/>
      <c r="N1077" s="52"/>
      <c r="O1077" s="52"/>
      <c r="P1077" s="76" t="s">
        <v>1292</v>
      </c>
      <c r="Q1077" s="55">
        <f>VLOOKUP(E1077,'NI-Ric_SP'!$C:$AN,12,FALSE)</f>
        <v>0</v>
      </c>
      <c r="R1077" s="55">
        <f>VLOOKUP(E1077,'NI-Ric_SP'!$C:$AN,13,FALSE)</f>
        <v>0</v>
      </c>
      <c r="S1077" s="55"/>
      <c r="T1077" s="55"/>
      <c r="U1077" s="55">
        <f>VLOOKUP($E1077,'NI-Ric_SP'!$C:$AN,MID(U$1,1,2),FALSE)</f>
        <v>0</v>
      </c>
      <c r="V1077" s="55">
        <f>VLOOKUP($E1077,'NI-Ric_SP'!$C:$AN,MID(V$1,1,2),FALSE)</f>
        <v>0</v>
      </c>
      <c r="W1077" s="55">
        <f>VLOOKUP($E1077,'NI-Ric_SP'!$C:$AN,MID(W$1,1,2),FALSE)</f>
        <v>0</v>
      </c>
      <c r="X1077" s="55">
        <f>VLOOKUP($E1077,'NI-Ric_SP'!$C:$AN,MID(X$1,1,2),FALSE)</f>
        <v>0</v>
      </c>
      <c r="Y1077" s="55">
        <f>VLOOKUP($E1077,'NI-Ric_SP'!$C:$AN,MID(Y$1,1,2),FALSE)</f>
        <v>0</v>
      </c>
      <c r="Z1077" s="55">
        <f>VLOOKUP($E1077,'NI-Ric_SP'!$C:$AN,MID(Z$1,1,2),FALSE)</f>
        <v>0</v>
      </c>
      <c r="AA1077" s="55">
        <f>VLOOKUP($E1077,'NI-Ric_SP'!$C:$AN,MID(AA$1,1,2),FALSE)</f>
        <v>0</v>
      </c>
      <c r="AB1077" s="55">
        <f>VLOOKUP($E1077,'NI-Ric_SP'!$C:$AN,MID(AB$1,1,2),FALSE)</f>
        <v>0</v>
      </c>
      <c r="AC1077" s="55">
        <f>VLOOKUP($E1077,'NI-Ric_SP'!$C:$AN,MID(AC$1,1,2),FALSE)</f>
        <v>0</v>
      </c>
      <c r="AD1077" s="55">
        <f>VLOOKUP($E1077,'NI-Ric_SP'!$C:$AN,MID(AD$1,1,2),FALSE)</f>
        <v>0</v>
      </c>
      <c r="AE1077" s="55">
        <f>VLOOKUP($E1077,'NI-Ric_SP'!$C:$AN,MID(AE$1,1,2),FALSE)</f>
        <v>0</v>
      </c>
      <c r="AF1077" s="55">
        <f>VLOOKUP($E1077,'NI-Ric_SP'!$C:$AN,MID(AF$1,1,2),FALSE)</f>
        <v>0</v>
      </c>
      <c r="AG1077" s="55">
        <f>VLOOKUP($E1077,'NI-Ric_SP'!$C:$AN,MID(AG$1,1,2),FALSE)</f>
        <v>0</v>
      </c>
      <c r="AH1077" s="55">
        <f>VLOOKUP($E1077,'NI-Ric_SP'!$C:$AN,MID(AH$1,1,2),FALSE)</f>
        <v>0</v>
      </c>
      <c r="AI1077" s="55">
        <f>VLOOKUP($E1077,'NI-Ric_SP'!$C:$AN,MID(AI$1,1,2),FALSE)</f>
        <v>0</v>
      </c>
      <c r="AJ1077" s="55">
        <f>VLOOKUP($E1077,'NI-Ric_SP'!$C:$AN,MID(AJ$1,1,2),FALSE)</f>
        <v>0</v>
      </c>
      <c r="AK1077" s="55">
        <f>VLOOKUP($E1077,'NI-Ric_SP'!$C:$AN,MID(AK$1,1,2),FALSE)</f>
        <v>0</v>
      </c>
      <c r="AL1077" s="55">
        <f>VLOOKUP($E1077,'NI-Ric_SP'!$C:$AN,MID(AL$1,1,2),FALSE)</f>
        <v>0</v>
      </c>
      <c r="AM1077" s="56">
        <f>VLOOKUP($E1077,'NI-Ric_SP'!$C:$AN,MID(AM$1,1,2),FALSE)</f>
        <v>0</v>
      </c>
      <c r="AN1077" s="30" t="str">
        <f t="shared" si="16"/>
        <v>20102000000000</v>
      </c>
    </row>
    <row r="1078" spans="3:40" x14ac:dyDescent="0.25">
      <c r="C1078" s="40"/>
      <c r="D1078" s="101" t="s">
        <v>1293</v>
      </c>
      <c r="E1078" s="101" t="s">
        <v>1294</v>
      </c>
      <c r="F1078" s="102" t="s">
        <v>2750</v>
      </c>
      <c r="G1078" s="52"/>
      <c r="H1078" s="52"/>
      <c r="I1078" s="52" t="s">
        <v>1295</v>
      </c>
      <c r="J1078" s="52" t="s">
        <v>1295</v>
      </c>
      <c r="K1078" s="59" t="s">
        <v>79</v>
      </c>
      <c r="L1078" s="52"/>
      <c r="M1078" s="52"/>
      <c r="N1078" s="52"/>
      <c r="O1078" s="61" t="s">
        <v>1296</v>
      </c>
      <c r="P1078" s="76" t="s">
        <v>1297</v>
      </c>
      <c r="Q1078" s="55">
        <f>VLOOKUP(E1078,'NI-Ric_SP'!$C:$AN,12,FALSE)</f>
        <v>0</v>
      </c>
      <c r="R1078" s="55">
        <f>VLOOKUP(E1078,'NI-Ric_SP'!$C:$AN,13,FALSE)</f>
        <v>0</v>
      </c>
      <c r="S1078" s="55"/>
      <c r="T1078" s="55"/>
      <c r="U1078" s="55">
        <f>VLOOKUP($E1078,'NI-Ric_SP'!$C:$AN,MID(U$1,1,2),FALSE)</f>
        <v>0</v>
      </c>
      <c r="V1078" s="55">
        <f>VLOOKUP($E1078,'NI-Ric_SP'!$C:$AN,MID(V$1,1,2),FALSE)</f>
        <v>0</v>
      </c>
      <c r="W1078" s="55">
        <f>VLOOKUP($E1078,'NI-Ric_SP'!$C:$AN,MID(W$1,1,2),FALSE)</f>
        <v>0</v>
      </c>
      <c r="X1078" s="55">
        <f>VLOOKUP($E1078,'NI-Ric_SP'!$C:$AN,MID(X$1,1,2),FALSE)</f>
        <v>0</v>
      </c>
      <c r="Y1078" s="55">
        <f>VLOOKUP($E1078,'NI-Ric_SP'!$C:$AN,MID(Y$1,1,2),FALSE)</f>
        <v>0</v>
      </c>
      <c r="Z1078" s="55">
        <f>VLOOKUP($E1078,'NI-Ric_SP'!$C:$AN,MID(Z$1,1,2),FALSE)</f>
        <v>0</v>
      </c>
      <c r="AA1078" s="55">
        <f>VLOOKUP($E1078,'NI-Ric_SP'!$C:$AN,MID(AA$1,1,2),FALSE)</f>
        <v>0</v>
      </c>
      <c r="AB1078" s="55">
        <f>VLOOKUP($E1078,'NI-Ric_SP'!$C:$AN,MID(AB$1,1,2),FALSE)</f>
        <v>0</v>
      </c>
      <c r="AC1078" s="55">
        <f>VLOOKUP($E1078,'NI-Ric_SP'!$C:$AN,MID(AC$1,1,2),FALSE)</f>
        <v>0</v>
      </c>
      <c r="AD1078" s="55">
        <f>VLOOKUP($E1078,'NI-Ric_SP'!$C:$AN,MID(AD$1,1,2),FALSE)</f>
        <v>0</v>
      </c>
      <c r="AE1078" s="55">
        <f>VLOOKUP($E1078,'NI-Ric_SP'!$C:$AN,MID(AE$1,1,2),FALSE)</f>
        <v>0</v>
      </c>
      <c r="AF1078" s="55">
        <f>VLOOKUP($E1078,'NI-Ric_SP'!$C:$AN,MID(AF$1,1,2),FALSE)</f>
        <v>0</v>
      </c>
      <c r="AG1078" s="55">
        <f>VLOOKUP($E1078,'NI-Ric_SP'!$C:$AN,MID(AG$1,1,2),FALSE)</f>
        <v>0</v>
      </c>
      <c r="AH1078" s="55">
        <f>VLOOKUP($E1078,'NI-Ric_SP'!$C:$AN,MID(AH$1,1,2),FALSE)</f>
        <v>0</v>
      </c>
      <c r="AI1078" s="55">
        <f>VLOOKUP($E1078,'NI-Ric_SP'!$C:$AN,MID(AI$1,1,2),FALSE)</f>
        <v>0</v>
      </c>
      <c r="AJ1078" s="55">
        <f>VLOOKUP($E1078,'NI-Ric_SP'!$C:$AN,MID(AJ$1,1,2),FALSE)</f>
        <v>0</v>
      </c>
      <c r="AK1078" s="55">
        <f>VLOOKUP($E1078,'NI-Ric_SP'!$C:$AN,MID(AK$1,1,2),FALSE)</f>
        <v>0</v>
      </c>
      <c r="AL1078" s="55">
        <f>VLOOKUP($E1078,'NI-Ric_SP'!$C:$AN,MID(AL$1,1,2),FALSE)</f>
        <v>0</v>
      </c>
      <c r="AM1078" s="56">
        <f>VLOOKUP($E1078,'NI-Ric_SP'!$C:$AN,MID(AM$1,1,2),FALSE)</f>
        <v>0</v>
      </c>
      <c r="AN1078" s="30" t="str">
        <f t="shared" si="16"/>
        <v>20102010000000</v>
      </c>
    </row>
    <row r="1079" spans="3:40" x14ac:dyDescent="0.25">
      <c r="C1079" s="40"/>
      <c r="D1079" s="101" t="s">
        <v>1298</v>
      </c>
      <c r="E1079" s="101" t="s">
        <v>1299</v>
      </c>
      <c r="F1079" s="102" t="s">
        <v>2750</v>
      </c>
      <c r="G1079" s="52"/>
      <c r="H1079" s="52"/>
      <c r="I1079" s="52" t="s">
        <v>1300</v>
      </c>
      <c r="J1079" s="52" t="s">
        <v>1300</v>
      </c>
      <c r="K1079" s="59" t="s">
        <v>79</v>
      </c>
      <c r="L1079" s="52"/>
      <c r="M1079" s="52"/>
      <c r="N1079" s="52"/>
      <c r="O1079" s="61" t="s">
        <v>1296</v>
      </c>
      <c r="P1079" s="76" t="s">
        <v>1301</v>
      </c>
      <c r="Q1079" s="55">
        <f>VLOOKUP(E1079,'NI-Ric_SP'!$C:$AN,12,FALSE)</f>
        <v>0</v>
      </c>
      <c r="R1079" s="55">
        <f>VLOOKUP(E1079,'NI-Ric_SP'!$C:$AN,13,FALSE)</f>
        <v>0</v>
      </c>
      <c r="S1079" s="55"/>
      <c r="T1079" s="55"/>
      <c r="U1079" s="55">
        <f>VLOOKUP($E1079,'NI-Ric_SP'!$C:$AN,MID(U$1,1,2),FALSE)</f>
        <v>0</v>
      </c>
      <c r="V1079" s="55">
        <f>VLOOKUP($E1079,'NI-Ric_SP'!$C:$AN,MID(V$1,1,2),FALSE)</f>
        <v>0</v>
      </c>
      <c r="W1079" s="55">
        <f>VLOOKUP($E1079,'NI-Ric_SP'!$C:$AN,MID(W$1,1,2),FALSE)</f>
        <v>0</v>
      </c>
      <c r="X1079" s="55">
        <f>VLOOKUP($E1079,'NI-Ric_SP'!$C:$AN,MID(X$1,1,2),FALSE)</f>
        <v>0</v>
      </c>
      <c r="Y1079" s="55">
        <f>VLOOKUP($E1079,'NI-Ric_SP'!$C:$AN,MID(Y$1,1,2),FALSE)</f>
        <v>0</v>
      </c>
      <c r="Z1079" s="55">
        <f>VLOOKUP($E1079,'NI-Ric_SP'!$C:$AN,MID(Z$1,1,2),FALSE)</f>
        <v>0</v>
      </c>
      <c r="AA1079" s="55">
        <f>VLOOKUP($E1079,'NI-Ric_SP'!$C:$AN,MID(AA$1,1,2),FALSE)</f>
        <v>0</v>
      </c>
      <c r="AB1079" s="55">
        <f>VLOOKUP($E1079,'NI-Ric_SP'!$C:$AN,MID(AB$1,1,2),FALSE)</f>
        <v>0</v>
      </c>
      <c r="AC1079" s="55">
        <f>VLOOKUP($E1079,'NI-Ric_SP'!$C:$AN,MID(AC$1,1,2),FALSE)</f>
        <v>0</v>
      </c>
      <c r="AD1079" s="55">
        <f>VLOOKUP($E1079,'NI-Ric_SP'!$C:$AN,MID(AD$1,1,2),FALSE)</f>
        <v>0</v>
      </c>
      <c r="AE1079" s="55">
        <f>VLOOKUP($E1079,'NI-Ric_SP'!$C:$AN,MID(AE$1,1,2),FALSE)</f>
        <v>0</v>
      </c>
      <c r="AF1079" s="55">
        <f>VLOOKUP($E1079,'NI-Ric_SP'!$C:$AN,MID(AF$1,1,2),FALSE)</f>
        <v>0</v>
      </c>
      <c r="AG1079" s="55">
        <f>VLOOKUP($E1079,'NI-Ric_SP'!$C:$AN,MID(AG$1,1,2),FALSE)</f>
        <v>0</v>
      </c>
      <c r="AH1079" s="55">
        <f>VLOOKUP($E1079,'NI-Ric_SP'!$C:$AN,MID(AH$1,1,2),FALSE)</f>
        <v>0</v>
      </c>
      <c r="AI1079" s="55">
        <f>VLOOKUP($E1079,'NI-Ric_SP'!$C:$AN,MID(AI$1,1,2),FALSE)</f>
        <v>0</v>
      </c>
      <c r="AJ1079" s="55">
        <f>VLOOKUP($E1079,'NI-Ric_SP'!$C:$AN,MID(AJ$1,1,2),FALSE)</f>
        <v>0</v>
      </c>
      <c r="AK1079" s="55">
        <f>VLOOKUP($E1079,'NI-Ric_SP'!$C:$AN,MID(AK$1,1,2),FALSE)</f>
        <v>0</v>
      </c>
      <c r="AL1079" s="55">
        <f>VLOOKUP($E1079,'NI-Ric_SP'!$C:$AN,MID(AL$1,1,2),FALSE)</f>
        <v>0</v>
      </c>
      <c r="AM1079" s="56">
        <f>VLOOKUP($E1079,'NI-Ric_SP'!$C:$AN,MID(AM$1,1,2),FALSE)</f>
        <v>0</v>
      </c>
      <c r="AN1079" s="30" t="str">
        <f t="shared" si="16"/>
        <v>20102020000000</v>
      </c>
    </row>
    <row r="1080" spans="3:40" x14ac:dyDescent="0.25">
      <c r="C1080" s="40"/>
      <c r="D1080" s="101" t="s">
        <v>1302</v>
      </c>
      <c r="E1080" s="101" t="s">
        <v>1303</v>
      </c>
      <c r="F1080" s="102" t="s">
        <v>2750</v>
      </c>
      <c r="G1080" s="52"/>
      <c r="H1080" s="52"/>
      <c r="I1080" s="52" t="s">
        <v>1304</v>
      </c>
      <c r="J1080" s="52" t="s">
        <v>1304</v>
      </c>
      <c r="K1080" s="59" t="s">
        <v>79</v>
      </c>
      <c r="L1080" s="52"/>
      <c r="M1080" s="52"/>
      <c r="N1080" s="52"/>
      <c r="O1080" s="61" t="s">
        <v>1296</v>
      </c>
      <c r="P1080" s="76" t="s">
        <v>1305</v>
      </c>
      <c r="Q1080" s="55">
        <f>VLOOKUP(E1080,'NI-Ric_SP'!$C:$AN,12,FALSE)</f>
        <v>0</v>
      </c>
      <c r="R1080" s="55">
        <f>VLOOKUP(E1080,'NI-Ric_SP'!$C:$AN,13,FALSE)</f>
        <v>0</v>
      </c>
      <c r="S1080" s="55"/>
      <c r="T1080" s="55"/>
      <c r="U1080" s="55">
        <f>VLOOKUP($E1080,'NI-Ric_SP'!$C:$AN,MID(U$1,1,2),FALSE)</f>
        <v>0</v>
      </c>
      <c r="V1080" s="55">
        <f>VLOOKUP($E1080,'NI-Ric_SP'!$C:$AN,MID(V$1,1,2),FALSE)</f>
        <v>0</v>
      </c>
      <c r="W1080" s="55">
        <f>VLOOKUP($E1080,'NI-Ric_SP'!$C:$AN,MID(W$1,1,2),FALSE)</f>
        <v>0</v>
      </c>
      <c r="X1080" s="55">
        <f>VLOOKUP($E1080,'NI-Ric_SP'!$C:$AN,MID(X$1,1,2),FALSE)</f>
        <v>0</v>
      </c>
      <c r="Y1080" s="55">
        <f>VLOOKUP($E1080,'NI-Ric_SP'!$C:$AN,MID(Y$1,1,2),FALSE)</f>
        <v>0</v>
      </c>
      <c r="Z1080" s="55">
        <f>VLOOKUP($E1080,'NI-Ric_SP'!$C:$AN,MID(Z$1,1,2),FALSE)</f>
        <v>0</v>
      </c>
      <c r="AA1080" s="55">
        <f>VLOOKUP($E1080,'NI-Ric_SP'!$C:$AN,MID(AA$1,1,2),FALSE)</f>
        <v>0</v>
      </c>
      <c r="AB1080" s="55">
        <f>VLOOKUP($E1080,'NI-Ric_SP'!$C:$AN,MID(AB$1,1,2),FALSE)</f>
        <v>0</v>
      </c>
      <c r="AC1080" s="55">
        <f>VLOOKUP($E1080,'NI-Ric_SP'!$C:$AN,MID(AC$1,1,2),FALSE)</f>
        <v>0</v>
      </c>
      <c r="AD1080" s="55">
        <f>VLOOKUP($E1080,'NI-Ric_SP'!$C:$AN,MID(AD$1,1,2),FALSE)</f>
        <v>0</v>
      </c>
      <c r="AE1080" s="55">
        <f>VLOOKUP($E1080,'NI-Ric_SP'!$C:$AN,MID(AE$1,1,2),FALSE)</f>
        <v>0</v>
      </c>
      <c r="AF1080" s="55">
        <f>VLOOKUP($E1080,'NI-Ric_SP'!$C:$AN,MID(AF$1,1,2),FALSE)</f>
        <v>0</v>
      </c>
      <c r="AG1080" s="55">
        <f>VLOOKUP($E1080,'NI-Ric_SP'!$C:$AN,MID(AG$1,1,2),FALSE)</f>
        <v>0</v>
      </c>
      <c r="AH1080" s="55">
        <f>VLOOKUP($E1080,'NI-Ric_SP'!$C:$AN,MID(AH$1,1,2),FALSE)</f>
        <v>0</v>
      </c>
      <c r="AI1080" s="55">
        <f>VLOOKUP($E1080,'NI-Ric_SP'!$C:$AN,MID(AI$1,1,2),FALSE)</f>
        <v>0</v>
      </c>
      <c r="AJ1080" s="55">
        <f>VLOOKUP($E1080,'NI-Ric_SP'!$C:$AN,MID(AJ$1,1,2),FALSE)</f>
        <v>0</v>
      </c>
      <c r="AK1080" s="55">
        <f>VLOOKUP($E1080,'NI-Ric_SP'!$C:$AN,MID(AK$1,1,2),FALSE)</f>
        <v>0</v>
      </c>
      <c r="AL1080" s="55">
        <f>VLOOKUP($E1080,'NI-Ric_SP'!$C:$AN,MID(AL$1,1,2),FALSE)</f>
        <v>0</v>
      </c>
      <c r="AM1080" s="56">
        <f>VLOOKUP($E1080,'NI-Ric_SP'!$C:$AN,MID(AM$1,1,2),FALSE)</f>
        <v>0</v>
      </c>
      <c r="AN1080" s="30" t="str">
        <f t="shared" si="16"/>
        <v>20102030010000</v>
      </c>
    </row>
    <row r="1081" spans="3:40" x14ac:dyDescent="0.25">
      <c r="C1081" s="40"/>
      <c r="D1081" s="101" t="s">
        <v>1306</v>
      </c>
      <c r="E1081" s="101" t="s">
        <v>1307</v>
      </c>
      <c r="F1081" s="102" t="s">
        <v>2750</v>
      </c>
      <c r="G1081" s="52"/>
      <c r="H1081" s="52"/>
      <c r="I1081" s="52" t="s">
        <v>1304</v>
      </c>
      <c r="J1081" s="52" t="s">
        <v>1304</v>
      </c>
      <c r="K1081" s="59" t="s">
        <v>79</v>
      </c>
      <c r="L1081" s="52"/>
      <c r="M1081" s="52"/>
      <c r="N1081" s="52"/>
      <c r="O1081" s="61" t="s">
        <v>1296</v>
      </c>
      <c r="P1081" s="76" t="s">
        <v>1308</v>
      </c>
      <c r="Q1081" s="55">
        <f>VLOOKUP(E1081,'NI-Ric_SP'!$C:$AN,12,FALSE)</f>
        <v>0</v>
      </c>
      <c r="R1081" s="55">
        <f>VLOOKUP(E1081,'NI-Ric_SP'!$C:$AN,13,FALSE)</f>
        <v>0</v>
      </c>
      <c r="S1081" s="55"/>
      <c r="T1081" s="55"/>
      <c r="U1081" s="55">
        <f>VLOOKUP($E1081,'NI-Ric_SP'!$C:$AN,MID(U$1,1,2),FALSE)</f>
        <v>0</v>
      </c>
      <c r="V1081" s="55">
        <f>VLOOKUP($E1081,'NI-Ric_SP'!$C:$AN,MID(V$1,1,2),FALSE)</f>
        <v>0</v>
      </c>
      <c r="W1081" s="55">
        <f>VLOOKUP($E1081,'NI-Ric_SP'!$C:$AN,MID(W$1,1,2),FALSE)</f>
        <v>0</v>
      </c>
      <c r="X1081" s="55">
        <f>VLOOKUP($E1081,'NI-Ric_SP'!$C:$AN,MID(X$1,1,2),FALSE)</f>
        <v>0</v>
      </c>
      <c r="Y1081" s="55">
        <f>VLOOKUP($E1081,'NI-Ric_SP'!$C:$AN,MID(Y$1,1,2),FALSE)</f>
        <v>0</v>
      </c>
      <c r="Z1081" s="55">
        <f>VLOOKUP($E1081,'NI-Ric_SP'!$C:$AN,MID(Z$1,1,2),FALSE)</f>
        <v>0</v>
      </c>
      <c r="AA1081" s="55">
        <f>VLOOKUP($E1081,'NI-Ric_SP'!$C:$AN,MID(AA$1,1,2),FALSE)</f>
        <v>0</v>
      </c>
      <c r="AB1081" s="55">
        <f>VLOOKUP($E1081,'NI-Ric_SP'!$C:$AN,MID(AB$1,1,2),FALSE)</f>
        <v>0</v>
      </c>
      <c r="AC1081" s="55">
        <f>VLOOKUP($E1081,'NI-Ric_SP'!$C:$AN,MID(AC$1,1,2),FALSE)</f>
        <v>0</v>
      </c>
      <c r="AD1081" s="55">
        <f>VLOOKUP($E1081,'NI-Ric_SP'!$C:$AN,MID(AD$1,1,2),FALSE)</f>
        <v>0</v>
      </c>
      <c r="AE1081" s="55">
        <f>VLOOKUP($E1081,'NI-Ric_SP'!$C:$AN,MID(AE$1,1,2),FALSE)</f>
        <v>0</v>
      </c>
      <c r="AF1081" s="55">
        <f>VLOOKUP($E1081,'NI-Ric_SP'!$C:$AN,MID(AF$1,1,2),FALSE)</f>
        <v>0</v>
      </c>
      <c r="AG1081" s="55">
        <f>VLOOKUP($E1081,'NI-Ric_SP'!$C:$AN,MID(AG$1,1,2),FALSE)</f>
        <v>0</v>
      </c>
      <c r="AH1081" s="55">
        <f>VLOOKUP($E1081,'NI-Ric_SP'!$C:$AN,MID(AH$1,1,2),FALSE)</f>
        <v>0</v>
      </c>
      <c r="AI1081" s="55">
        <f>VLOOKUP($E1081,'NI-Ric_SP'!$C:$AN,MID(AI$1,1,2),FALSE)</f>
        <v>0</v>
      </c>
      <c r="AJ1081" s="55">
        <f>VLOOKUP($E1081,'NI-Ric_SP'!$C:$AN,MID(AJ$1,1,2),FALSE)</f>
        <v>0</v>
      </c>
      <c r="AK1081" s="55">
        <f>VLOOKUP($E1081,'NI-Ric_SP'!$C:$AN,MID(AK$1,1,2),FALSE)</f>
        <v>0</v>
      </c>
      <c r="AL1081" s="55">
        <f>VLOOKUP($E1081,'NI-Ric_SP'!$C:$AN,MID(AL$1,1,2),FALSE)</f>
        <v>0</v>
      </c>
      <c r="AM1081" s="56">
        <f>VLOOKUP($E1081,'NI-Ric_SP'!$C:$AN,MID(AM$1,1,2),FALSE)</f>
        <v>0</v>
      </c>
      <c r="AN1081" s="30" t="str">
        <f t="shared" si="16"/>
        <v>20102030020000</v>
      </c>
    </row>
    <row r="1082" spans="3:40" x14ac:dyDescent="0.25">
      <c r="C1082" s="40"/>
      <c r="D1082" s="101" t="s">
        <v>1309</v>
      </c>
      <c r="E1082" s="101" t="s">
        <v>1310</v>
      </c>
      <c r="F1082" s="102" t="s">
        <v>2750</v>
      </c>
      <c r="G1082" s="52"/>
      <c r="H1082" s="52"/>
      <c r="I1082" s="52" t="s">
        <v>1311</v>
      </c>
      <c r="J1082" s="52" t="s">
        <v>1311</v>
      </c>
      <c r="K1082" s="59" t="s">
        <v>79</v>
      </c>
      <c r="L1082" s="52"/>
      <c r="M1082" s="52"/>
      <c r="N1082" s="52"/>
      <c r="O1082" s="61" t="s">
        <v>1296</v>
      </c>
      <c r="P1082" s="76" t="s">
        <v>1312</v>
      </c>
      <c r="Q1082" s="55">
        <f>VLOOKUP(E1082,'NI-Ric_SP'!$C:$AN,12,FALSE)</f>
        <v>0</v>
      </c>
      <c r="R1082" s="55">
        <f>VLOOKUP(E1082,'NI-Ric_SP'!$C:$AN,13,FALSE)</f>
        <v>0</v>
      </c>
      <c r="S1082" s="55"/>
      <c r="T1082" s="55"/>
      <c r="U1082" s="55">
        <f>VLOOKUP($E1082,'NI-Ric_SP'!$C:$AN,MID(U$1,1,2),FALSE)</f>
        <v>0</v>
      </c>
      <c r="V1082" s="55">
        <f>VLOOKUP($E1082,'NI-Ric_SP'!$C:$AN,MID(V$1,1,2),FALSE)</f>
        <v>0</v>
      </c>
      <c r="W1082" s="55">
        <f>VLOOKUP($E1082,'NI-Ric_SP'!$C:$AN,MID(W$1,1,2),FALSE)</f>
        <v>0</v>
      </c>
      <c r="X1082" s="55">
        <f>VLOOKUP($E1082,'NI-Ric_SP'!$C:$AN,MID(X$1,1,2),FALSE)</f>
        <v>0</v>
      </c>
      <c r="Y1082" s="55">
        <f>VLOOKUP($E1082,'NI-Ric_SP'!$C:$AN,MID(Y$1,1,2),FALSE)</f>
        <v>0</v>
      </c>
      <c r="Z1082" s="55">
        <f>VLOOKUP($E1082,'NI-Ric_SP'!$C:$AN,MID(Z$1,1,2),FALSE)</f>
        <v>0</v>
      </c>
      <c r="AA1082" s="55">
        <f>VLOOKUP($E1082,'NI-Ric_SP'!$C:$AN,MID(AA$1,1,2),FALSE)</f>
        <v>0</v>
      </c>
      <c r="AB1082" s="55">
        <f>VLOOKUP($E1082,'NI-Ric_SP'!$C:$AN,MID(AB$1,1,2),FALSE)</f>
        <v>0</v>
      </c>
      <c r="AC1082" s="55">
        <f>VLOOKUP($E1082,'NI-Ric_SP'!$C:$AN,MID(AC$1,1,2),FALSE)</f>
        <v>0</v>
      </c>
      <c r="AD1082" s="55">
        <f>VLOOKUP($E1082,'NI-Ric_SP'!$C:$AN,MID(AD$1,1,2),FALSE)</f>
        <v>0</v>
      </c>
      <c r="AE1082" s="55">
        <f>VLOOKUP($E1082,'NI-Ric_SP'!$C:$AN,MID(AE$1,1,2),FALSE)</f>
        <v>0</v>
      </c>
      <c r="AF1082" s="55">
        <f>VLOOKUP($E1082,'NI-Ric_SP'!$C:$AN,MID(AF$1,1,2),FALSE)</f>
        <v>0</v>
      </c>
      <c r="AG1082" s="55">
        <f>VLOOKUP($E1082,'NI-Ric_SP'!$C:$AN,MID(AG$1,1,2),FALSE)</f>
        <v>0</v>
      </c>
      <c r="AH1082" s="55">
        <f>VLOOKUP($E1082,'NI-Ric_SP'!$C:$AN,MID(AH$1,1,2),FALSE)</f>
        <v>0</v>
      </c>
      <c r="AI1082" s="55">
        <f>VLOOKUP($E1082,'NI-Ric_SP'!$C:$AN,MID(AI$1,1,2),FALSE)</f>
        <v>0</v>
      </c>
      <c r="AJ1082" s="55">
        <f>VLOOKUP($E1082,'NI-Ric_SP'!$C:$AN,MID(AJ$1,1,2),FALSE)</f>
        <v>0</v>
      </c>
      <c r="AK1082" s="55">
        <f>VLOOKUP($E1082,'NI-Ric_SP'!$C:$AN,MID(AK$1,1,2),FALSE)</f>
        <v>0</v>
      </c>
      <c r="AL1082" s="55">
        <f>VLOOKUP($E1082,'NI-Ric_SP'!$C:$AN,MID(AL$1,1,2),FALSE)</f>
        <v>0</v>
      </c>
      <c r="AM1082" s="56">
        <f>VLOOKUP($E1082,'NI-Ric_SP'!$C:$AN,MID(AM$1,1,2),FALSE)</f>
        <v>0</v>
      </c>
      <c r="AN1082" s="30" t="str">
        <f t="shared" si="16"/>
        <v>20102040010000</v>
      </c>
    </row>
    <row r="1083" spans="3:40" x14ac:dyDescent="0.25">
      <c r="C1083" s="40"/>
      <c r="D1083" s="101" t="s">
        <v>1313</v>
      </c>
      <c r="E1083" s="101" t="s">
        <v>1314</v>
      </c>
      <c r="F1083" s="102" t="s">
        <v>2750</v>
      </c>
      <c r="G1083" s="52"/>
      <c r="H1083" s="52"/>
      <c r="I1083" s="52" t="s">
        <v>1311</v>
      </c>
      <c r="J1083" s="52" t="s">
        <v>1311</v>
      </c>
      <c r="K1083" s="59" t="s">
        <v>79</v>
      </c>
      <c r="L1083" s="52"/>
      <c r="M1083" s="52"/>
      <c r="N1083" s="52"/>
      <c r="O1083" s="61" t="s">
        <v>1296</v>
      </c>
      <c r="P1083" s="76" t="s">
        <v>1315</v>
      </c>
      <c r="Q1083" s="55">
        <f>VLOOKUP(E1083,'NI-Ric_SP'!$C:$AN,12,FALSE)</f>
        <v>0</v>
      </c>
      <c r="R1083" s="55">
        <f>VLOOKUP(E1083,'NI-Ric_SP'!$C:$AN,13,FALSE)</f>
        <v>0</v>
      </c>
      <c r="S1083" s="55"/>
      <c r="T1083" s="55"/>
      <c r="U1083" s="55">
        <f>VLOOKUP($E1083,'NI-Ric_SP'!$C:$AN,MID(U$1,1,2),FALSE)</f>
        <v>0</v>
      </c>
      <c r="V1083" s="55">
        <f>VLOOKUP($E1083,'NI-Ric_SP'!$C:$AN,MID(V$1,1,2),FALSE)</f>
        <v>0</v>
      </c>
      <c r="W1083" s="55">
        <f>VLOOKUP($E1083,'NI-Ric_SP'!$C:$AN,MID(W$1,1,2),FALSE)</f>
        <v>0</v>
      </c>
      <c r="X1083" s="55">
        <f>VLOOKUP($E1083,'NI-Ric_SP'!$C:$AN,MID(X$1,1,2),FALSE)</f>
        <v>0</v>
      </c>
      <c r="Y1083" s="55">
        <f>VLOOKUP($E1083,'NI-Ric_SP'!$C:$AN,MID(Y$1,1,2),FALSE)</f>
        <v>0</v>
      </c>
      <c r="Z1083" s="55">
        <f>VLOOKUP($E1083,'NI-Ric_SP'!$C:$AN,MID(Z$1,1,2),FALSE)</f>
        <v>0</v>
      </c>
      <c r="AA1083" s="55">
        <f>VLOOKUP($E1083,'NI-Ric_SP'!$C:$AN,MID(AA$1,1,2),FALSE)</f>
        <v>0</v>
      </c>
      <c r="AB1083" s="55">
        <f>VLOOKUP($E1083,'NI-Ric_SP'!$C:$AN,MID(AB$1,1,2),FALSE)</f>
        <v>0</v>
      </c>
      <c r="AC1083" s="55">
        <f>VLOOKUP($E1083,'NI-Ric_SP'!$C:$AN,MID(AC$1,1,2),FALSE)</f>
        <v>0</v>
      </c>
      <c r="AD1083" s="55">
        <f>VLOOKUP($E1083,'NI-Ric_SP'!$C:$AN,MID(AD$1,1,2),FALSE)</f>
        <v>0</v>
      </c>
      <c r="AE1083" s="55">
        <f>VLOOKUP($E1083,'NI-Ric_SP'!$C:$AN,MID(AE$1,1,2),FALSE)</f>
        <v>0</v>
      </c>
      <c r="AF1083" s="55">
        <f>VLOOKUP($E1083,'NI-Ric_SP'!$C:$AN,MID(AF$1,1,2),FALSE)</f>
        <v>0</v>
      </c>
      <c r="AG1083" s="55">
        <f>VLOOKUP($E1083,'NI-Ric_SP'!$C:$AN,MID(AG$1,1,2),FALSE)</f>
        <v>0</v>
      </c>
      <c r="AH1083" s="55">
        <f>VLOOKUP($E1083,'NI-Ric_SP'!$C:$AN,MID(AH$1,1,2),FALSE)</f>
        <v>0</v>
      </c>
      <c r="AI1083" s="55">
        <f>VLOOKUP($E1083,'NI-Ric_SP'!$C:$AN,MID(AI$1,1,2),FALSE)</f>
        <v>0</v>
      </c>
      <c r="AJ1083" s="55">
        <f>VLOOKUP($E1083,'NI-Ric_SP'!$C:$AN,MID(AJ$1,1,2),FALSE)</f>
        <v>0</v>
      </c>
      <c r="AK1083" s="55">
        <f>VLOOKUP($E1083,'NI-Ric_SP'!$C:$AN,MID(AK$1,1,2),FALSE)</f>
        <v>0</v>
      </c>
      <c r="AL1083" s="55">
        <f>VLOOKUP($E1083,'NI-Ric_SP'!$C:$AN,MID(AL$1,1,2),FALSE)</f>
        <v>0</v>
      </c>
      <c r="AM1083" s="56">
        <f>VLOOKUP($E1083,'NI-Ric_SP'!$C:$AN,MID(AM$1,1,2),FALSE)</f>
        <v>0</v>
      </c>
      <c r="AN1083" s="30" t="str">
        <f t="shared" si="16"/>
        <v>20102040020000</v>
      </c>
    </row>
    <row r="1084" spans="3:40" x14ac:dyDescent="0.25">
      <c r="C1084" s="40"/>
      <c r="D1084" s="101" t="s">
        <v>1316</v>
      </c>
      <c r="E1084" s="101" t="s">
        <v>1317</v>
      </c>
      <c r="F1084" s="102" t="s">
        <v>2750</v>
      </c>
      <c r="G1084" s="52"/>
      <c r="H1084" s="52"/>
      <c r="I1084" s="52" t="s">
        <v>1318</v>
      </c>
      <c r="J1084" s="52" t="s">
        <v>1318</v>
      </c>
      <c r="K1084" s="59" t="s">
        <v>79</v>
      </c>
      <c r="L1084" s="52"/>
      <c r="M1084" s="52"/>
      <c r="N1084" s="52"/>
      <c r="O1084" s="61" t="s">
        <v>1296</v>
      </c>
      <c r="P1084" s="76" t="s">
        <v>1319</v>
      </c>
      <c r="Q1084" s="55">
        <f>VLOOKUP(E1084,'NI-Ric_SP'!$C:$AN,12,FALSE)</f>
        <v>0</v>
      </c>
      <c r="R1084" s="55">
        <f>VLOOKUP(E1084,'NI-Ric_SP'!$C:$AN,13,FALSE)</f>
        <v>0</v>
      </c>
      <c r="S1084" s="55"/>
      <c r="T1084" s="55"/>
      <c r="U1084" s="55">
        <f>VLOOKUP($E1084,'NI-Ric_SP'!$C:$AN,MID(U$1,1,2),FALSE)</f>
        <v>0</v>
      </c>
      <c r="V1084" s="55">
        <f>VLOOKUP($E1084,'NI-Ric_SP'!$C:$AN,MID(V$1,1,2),FALSE)</f>
        <v>0</v>
      </c>
      <c r="W1084" s="55">
        <f>VLOOKUP($E1084,'NI-Ric_SP'!$C:$AN,MID(W$1,1,2),FALSE)</f>
        <v>0</v>
      </c>
      <c r="X1084" s="55">
        <f>VLOOKUP($E1084,'NI-Ric_SP'!$C:$AN,MID(X$1,1,2),FALSE)</f>
        <v>0</v>
      </c>
      <c r="Y1084" s="55">
        <f>VLOOKUP($E1084,'NI-Ric_SP'!$C:$AN,MID(Y$1,1,2),FALSE)</f>
        <v>0</v>
      </c>
      <c r="Z1084" s="55">
        <f>VLOOKUP($E1084,'NI-Ric_SP'!$C:$AN,MID(Z$1,1,2),FALSE)</f>
        <v>0</v>
      </c>
      <c r="AA1084" s="55">
        <f>VLOOKUP($E1084,'NI-Ric_SP'!$C:$AN,MID(AA$1,1,2),FALSE)</f>
        <v>0</v>
      </c>
      <c r="AB1084" s="55">
        <f>VLOOKUP($E1084,'NI-Ric_SP'!$C:$AN,MID(AB$1,1,2),FALSE)</f>
        <v>0</v>
      </c>
      <c r="AC1084" s="55">
        <f>VLOOKUP($E1084,'NI-Ric_SP'!$C:$AN,MID(AC$1,1,2),FALSE)</f>
        <v>0</v>
      </c>
      <c r="AD1084" s="55">
        <f>VLOOKUP($E1084,'NI-Ric_SP'!$C:$AN,MID(AD$1,1,2),FALSE)</f>
        <v>0</v>
      </c>
      <c r="AE1084" s="55">
        <f>VLOOKUP($E1084,'NI-Ric_SP'!$C:$AN,MID(AE$1,1,2),FALSE)</f>
        <v>0</v>
      </c>
      <c r="AF1084" s="55">
        <f>VLOOKUP($E1084,'NI-Ric_SP'!$C:$AN,MID(AF$1,1,2),FALSE)</f>
        <v>0</v>
      </c>
      <c r="AG1084" s="55">
        <f>VLOOKUP($E1084,'NI-Ric_SP'!$C:$AN,MID(AG$1,1,2),FALSE)</f>
        <v>0</v>
      </c>
      <c r="AH1084" s="55">
        <f>VLOOKUP($E1084,'NI-Ric_SP'!$C:$AN,MID(AH$1,1,2),FALSE)</f>
        <v>0</v>
      </c>
      <c r="AI1084" s="55">
        <f>VLOOKUP($E1084,'NI-Ric_SP'!$C:$AN,MID(AI$1,1,2),FALSE)</f>
        <v>0</v>
      </c>
      <c r="AJ1084" s="55">
        <f>VLOOKUP($E1084,'NI-Ric_SP'!$C:$AN,MID(AJ$1,1,2),FALSE)</f>
        <v>0</v>
      </c>
      <c r="AK1084" s="55">
        <f>VLOOKUP($E1084,'NI-Ric_SP'!$C:$AN,MID(AK$1,1,2),FALSE)</f>
        <v>0</v>
      </c>
      <c r="AL1084" s="55">
        <f>VLOOKUP($E1084,'NI-Ric_SP'!$C:$AN,MID(AL$1,1,2),FALSE)</f>
        <v>0</v>
      </c>
      <c r="AM1084" s="56">
        <f>VLOOKUP($E1084,'NI-Ric_SP'!$C:$AN,MID(AM$1,1,2),FALSE)</f>
        <v>0</v>
      </c>
      <c r="AN1084" s="30" t="str">
        <f t="shared" si="16"/>
        <v>20102050010000</v>
      </c>
    </row>
    <row r="1085" spans="3:40" x14ac:dyDescent="0.25">
      <c r="C1085" s="40"/>
      <c r="D1085" s="101" t="s">
        <v>1320</v>
      </c>
      <c r="E1085" s="101" t="s">
        <v>1321</v>
      </c>
      <c r="F1085" s="102" t="s">
        <v>2750</v>
      </c>
      <c r="G1085" s="52"/>
      <c r="H1085" s="52"/>
      <c r="I1085" s="52" t="s">
        <v>1318</v>
      </c>
      <c r="J1085" s="52" t="s">
        <v>1318</v>
      </c>
      <c r="K1085" s="59" t="s">
        <v>79</v>
      </c>
      <c r="L1085" s="52"/>
      <c r="M1085" s="52"/>
      <c r="N1085" s="52"/>
      <c r="O1085" s="61" t="s">
        <v>1296</v>
      </c>
      <c r="P1085" s="76" t="s">
        <v>1322</v>
      </c>
      <c r="Q1085" s="55">
        <f>VLOOKUP(E1085,'NI-Ric_SP'!$C:$AN,12,FALSE)</f>
        <v>0</v>
      </c>
      <c r="R1085" s="55">
        <f>VLOOKUP(E1085,'NI-Ric_SP'!$C:$AN,13,FALSE)</f>
        <v>0</v>
      </c>
      <c r="S1085" s="55"/>
      <c r="T1085" s="55"/>
      <c r="U1085" s="55">
        <f>VLOOKUP($E1085,'NI-Ric_SP'!$C:$AN,MID(U$1,1,2),FALSE)</f>
        <v>0</v>
      </c>
      <c r="V1085" s="55">
        <f>VLOOKUP($E1085,'NI-Ric_SP'!$C:$AN,MID(V$1,1,2),FALSE)</f>
        <v>0</v>
      </c>
      <c r="W1085" s="55">
        <f>VLOOKUP($E1085,'NI-Ric_SP'!$C:$AN,MID(W$1,1,2),FALSE)</f>
        <v>0</v>
      </c>
      <c r="X1085" s="55">
        <f>VLOOKUP($E1085,'NI-Ric_SP'!$C:$AN,MID(X$1,1,2),FALSE)</f>
        <v>0</v>
      </c>
      <c r="Y1085" s="55">
        <f>VLOOKUP($E1085,'NI-Ric_SP'!$C:$AN,MID(Y$1,1,2),FALSE)</f>
        <v>0</v>
      </c>
      <c r="Z1085" s="55">
        <f>VLOOKUP($E1085,'NI-Ric_SP'!$C:$AN,MID(Z$1,1,2),FALSE)</f>
        <v>0</v>
      </c>
      <c r="AA1085" s="55">
        <f>VLOOKUP($E1085,'NI-Ric_SP'!$C:$AN,MID(AA$1,1,2),FALSE)</f>
        <v>0</v>
      </c>
      <c r="AB1085" s="55">
        <f>VLOOKUP($E1085,'NI-Ric_SP'!$C:$AN,MID(AB$1,1,2),FALSE)</f>
        <v>0</v>
      </c>
      <c r="AC1085" s="55">
        <f>VLOOKUP($E1085,'NI-Ric_SP'!$C:$AN,MID(AC$1,1,2),FALSE)</f>
        <v>0</v>
      </c>
      <c r="AD1085" s="55">
        <f>VLOOKUP($E1085,'NI-Ric_SP'!$C:$AN,MID(AD$1,1,2),FALSE)</f>
        <v>0</v>
      </c>
      <c r="AE1085" s="55">
        <f>VLOOKUP($E1085,'NI-Ric_SP'!$C:$AN,MID(AE$1,1,2),FALSE)</f>
        <v>0</v>
      </c>
      <c r="AF1085" s="55">
        <f>VLOOKUP($E1085,'NI-Ric_SP'!$C:$AN,MID(AF$1,1,2),FALSE)</f>
        <v>0</v>
      </c>
      <c r="AG1085" s="55">
        <f>VLOOKUP($E1085,'NI-Ric_SP'!$C:$AN,MID(AG$1,1,2),FALSE)</f>
        <v>0</v>
      </c>
      <c r="AH1085" s="55">
        <f>VLOOKUP($E1085,'NI-Ric_SP'!$C:$AN,MID(AH$1,1,2),FALSE)</f>
        <v>0</v>
      </c>
      <c r="AI1085" s="55">
        <f>VLOOKUP($E1085,'NI-Ric_SP'!$C:$AN,MID(AI$1,1,2),FALSE)</f>
        <v>0</v>
      </c>
      <c r="AJ1085" s="55">
        <f>VLOOKUP($E1085,'NI-Ric_SP'!$C:$AN,MID(AJ$1,1,2),FALSE)</f>
        <v>0</v>
      </c>
      <c r="AK1085" s="55">
        <f>VLOOKUP($E1085,'NI-Ric_SP'!$C:$AN,MID(AK$1,1,2),FALSE)</f>
        <v>0</v>
      </c>
      <c r="AL1085" s="55">
        <f>VLOOKUP($E1085,'NI-Ric_SP'!$C:$AN,MID(AL$1,1,2),FALSE)</f>
        <v>0</v>
      </c>
      <c r="AM1085" s="56">
        <f>VLOOKUP($E1085,'NI-Ric_SP'!$C:$AN,MID(AM$1,1,2),FALSE)</f>
        <v>0</v>
      </c>
      <c r="AN1085" s="30" t="str">
        <f t="shared" si="16"/>
        <v>20102050020000</v>
      </c>
    </row>
    <row r="1086" spans="3:40" x14ac:dyDescent="0.25">
      <c r="C1086" s="40"/>
      <c r="D1086" s="101" t="s">
        <v>1323</v>
      </c>
      <c r="E1086" s="101" t="s">
        <v>1324</v>
      </c>
      <c r="F1086" s="102" t="s">
        <v>2750</v>
      </c>
      <c r="G1086" s="52"/>
      <c r="H1086" s="52"/>
      <c r="I1086" s="52" t="s">
        <v>1318</v>
      </c>
      <c r="J1086" s="52" t="s">
        <v>1318</v>
      </c>
      <c r="K1086" s="59" t="s">
        <v>79</v>
      </c>
      <c r="L1086" s="52"/>
      <c r="M1086" s="52"/>
      <c r="N1086" s="52"/>
      <c r="O1086" s="61" t="s">
        <v>1296</v>
      </c>
      <c r="P1086" s="76" t="s">
        <v>1325</v>
      </c>
      <c r="Q1086" s="55">
        <f>VLOOKUP(E1086,'NI-Ric_SP'!$C:$AN,12,FALSE)</f>
        <v>0</v>
      </c>
      <c r="R1086" s="55">
        <f>VLOOKUP(E1086,'NI-Ric_SP'!$C:$AN,13,FALSE)</f>
        <v>0</v>
      </c>
      <c r="S1086" s="55"/>
      <c r="T1086" s="55"/>
      <c r="U1086" s="55">
        <f>VLOOKUP($E1086,'NI-Ric_SP'!$C:$AN,MID(U$1,1,2),FALSE)</f>
        <v>0</v>
      </c>
      <c r="V1086" s="55">
        <f>VLOOKUP($E1086,'NI-Ric_SP'!$C:$AN,MID(V$1,1,2),FALSE)</f>
        <v>0</v>
      </c>
      <c r="W1086" s="55">
        <f>VLOOKUP($E1086,'NI-Ric_SP'!$C:$AN,MID(W$1,1,2),FALSE)</f>
        <v>0</v>
      </c>
      <c r="X1086" s="55">
        <f>VLOOKUP($E1086,'NI-Ric_SP'!$C:$AN,MID(X$1,1,2),FALSE)</f>
        <v>0</v>
      </c>
      <c r="Y1086" s="55">
        <f>VLOOKUP($E1086,'NI-Ric_SP'!$C:$AN,MID(Y$1,1,2),FALSE)</f>
        <v>0</v>
      </c>
      <c r="Z1086" s="55">
        <f>VLOOKUP($E1086,'NI-Ric_SP'!$C:$AN,MID(Z$1,1,2),FALSE)</f>
        <v>0</v>
      </c>
      <c r="AA1086" s="55">
        <f>VLOOKUP($E1086,'NI-Ric_SP'!$C:$AN,MID(AA$1,1,2),FALSE)</f>
        <v>0</v>
      </c>
      <c r="AB1086" s="55">
        <f>VLOOKUP($E1086,'NI-Ric_SP'!$C:$AN,MID(AB$1,1,2),FALSE)</f>
        <v>0</v>
      </c>
      <c r="AC1086" s="55">
        <f>VLOOKUP($E1086,'NI-Ric_SP'!$C:$AN,MID(AC$1,1,2),FALSE)</f>
        <v>0</v>
      </c>
      <c r="AD1086" s="55">
        <f>VLOOKUP($E1086,'NI-Ric_SP'!$C:$AN,MID(AD$1,1,2),FALSE)</f>
        <v>0</v>
      </c>
      <c r="AE1086" s="55">
        <f>VLOOKUP($E1086,'NI-Ric_SP'!$C:$AN,MID(AE$1,1,2),FALSE)</f>
        <v>0</v>
      </c>
      <c r="AF1086" s="55">
        <f>VLOOKUP($E1086,'NI-Ric_SP'!$C:$AN,MID(AF$1,1,2),FALSE)</f>
        <v>0</v>
      </c>
      <c r="AG1086" s="55">
        <f>VLOOKUP($E1086,'NI-Ric_SP'!$C:$AN,MID(AG$1,1,2),FALSE)</f>
        <v>0</v>
      </c>
      <c r="AH1086" s="55">
        <f>VLOOKUP($E1086,'NI-Ric_SP'!$C:$AN,MID(AH$1,1,2),FALSE)</f>
        <v>0</v>
      </c>
      <c r="AI1086" s="55">
        <f>VLOOKUP($E1086,'NI-Ric_SP'!$C:$AN,MID(AI$1,1,2),FALSE)</f>
        <v>0</v>
      </c>
      <c r="AJ1086" s="55">
        <f>VLOOKUP($E1086,'NI-Ric_SP'!$C:$AN,MID(AJ$1,1,2),FALSE)</f>
        <v>0</v>
      </c>
      <c r="AK1086" s="55">
        <f>VLOOKUP($E1086,'NI-Ric_SP'!$C:$AN,MID(AK$1,1,2),FALSE)</f>
        <v>0</v>
      </c>
      <c r="AL1086" s="55">
        <f>VLOOKUP($E1086,'NI-Ric_SP'!$C:$AN,MID(AL$1,1,2),FALSE)</f>
        <v>0</v>
      </c>
      <c r="AM1086" s="56">
        <f>VLOOKUP($E1086,'NI-Ric_SP'!$C:$AN,MID(AM$1,1,2),FALSE)</f>
        <v>0</v>
      </c>
      <c r="AN1086" s="30" t="str">
        <f t="shared" si="16"/>
        <v>20102050030000</v>
      </c>
    </row>
    <row r="1087" spans="3:40" x14ac:dyDescent="0.25">
      <c r="C1087" s="40"/>
      <c r="D1087" s="101" t="s">
        <v>1326</v>
      </c>
      <c r="E1087" s="101" t="s">
        <v>1327</v>
      </c>
      <c r="F1087" s="102" t="s">
        <v>2750</v>
      </c>
      <c r="G1087" s="52"/>
      <c r="H1087" s="52"/>
      <c r="I1087" s="52" t="s">
        <v>1318</v>
      </c>
      <c r="J1087" s="52" t="s">
        <v>1318</v>
      </c>
      <c r="K1087" s="59" t="s">
        <v>79</v>
      </c>
      <c r="L1087" s="52"/>
      <c r="M1087" s="52"/>
      <c r="N1087" s="52"/>
      <c r="O1087" s="61" t="s">
        <v>1296</v>
      </c>
      <c r="P1087" s="76" t="s">
        <v>1328</v>
      </c>
      <c r="Q1087" s="55">
        <f>VLOOKUP(E1087,'NI-Ric_SP'!$C:$AN,12,FALSE)</f>
        <v>0</v>
      </c>
      <c r="R1087" s="55">
        <f>VLOOKUP(E1087,'NI-Ric_SP'!$C:$AN,13,FALSE)</f>
        <v>0</v>
      </c>
      <c r="S1087" s="55"/>
      <c r="T1087" s="55"/>
      <c r="U1087" s="55">
        <f>VLOOKUP($E1087,'NI-Ric_SP'!$C:$AN,MID(U$1,1,2),FALSE)</f>
        <v>0</v>
      </c>
      <c r="V1087" s="55">
        <f>VLOOKUP($E1087,'NI-Ric_SP'!$C:$AN,MID(V$1,1,2),FALSE)</f>
        <v>0</v>
      </c>
      <c r="W1087" s="55">
        <f>VLOOKUP($E1087,'NI-Ric_SP'!$C:$AN,MID(W$1,1,2),FALSE)</f>
        <v>0</v>
      </c>
      <c r="X1087" s="55">
        <f>VLOOKUP($E1087,'NI-Ric_SP'!$C:$AN,MID(X$1,1,2),FALSE)</f>
        <v>0</v>
      </c>
      <c r="Y1087" s="55">
        <f>VLOOKUP($E1087,'NI-Ric_SP'!$C:$AN,MID(Y$1,1,2),FALSE)</f>
        <v>0</v>
      </c>
      <c r="Z1087" s="55">
        <f>VLOOKUP($E1087,'NI-Ric_SP'!$C:$AN,MID(Z$1,1,2),FALSE)</f>
        <v>0</v>
      </c>
      <c r="AA1087" s="55">
        <f>VLOOKUP($E1087,'NI-Ric_SP'!$C:$AN,MID(AA$1,1,2),FALSE)</f>
        <v>0</v>
      </c>
      <c r="AB1087" s="55">
        <f>VLOOKUP($E1087,'NI-Ric_SP'!$C:$AN,MID(AB$1,1,2),FALSE)</f>
        <v>0</v>
      </c>
      <c r="AC1087" s="55">
        <f>VLOOKUP($E1087,'NI-Ric_SP'!$C:$AN,MID(AC$1,1,2),FALSE)</f>
        <v>0</v>
      </c>
      <c r="AD1087" s="55">
        <f>VLOOKUP($E1087,'NI-Ric_SP'!$C:$AN,MID(AD$1,1,2),FALSE)</f>
        <v>0</v>
      </c>
      <c r="AE1087" s="55">
        <f>VLOOKUP($E1087,'NI-Ric_SP'!$C:$AN,MID(AE$1,1,2),FALSE)</f>
        <v>0</v>
      </c>
      <c r="AF1087" s="55">
        <f>VLOOKUP($E1087,'NI-Ric_SP'!$C:$AN,MID(AF$1,1,2),FALSE)</f>
        <v>0</v>
      </c>
      <c r="AG1087" s="55">
        <f>VLOOKUP($E1087,'NI-Ric_SP'!$C:$AN,MID(AG$1,1,2),FALSE)</f>
        <v>0</v>
      </c>
      <c r="AH1087" s="55">
        <f>VLOOKUP($E1087,'NI-Ric_SP'!$C:$AN,MID(AH$1,1,2),FALSE)</f>
        <v>0</v>
      </c>
      <c r="AI1087" s="55">
        <f>VLOOKUP($E1087,'NI-Ric_SP'!$C:$AN,MID(AI$1,1,2),FALSE)</f>
        <v>0</v>
      </c>
      <c r="AJ1087" s="55">
        <f>VLOOKUP($E1087,'NI-Ric_SP'!$C:$AN,MID(AJ$1,1,2),FALSE)</f>
        <v>0</v>
      </c>
      <c r="AK1087" s="55">
        <f>VLOOKUP($E1087,'NI-Ric_SP'!$C:$AN,MID(AK$1,1,2),FALSE)</f>
        <v>0</v>
      </c>
      <c r="AL1087" s="55">
        <f>VLOOKUP($E1087,'NI-Ric_SP'!$C:$AN,MID(AL$1,1,2),FALSE)</f>
        <v>0</v>
      </c>
      <c r="AM1087" s="56">
        <f>VLOOKUP($E1087,'NI-Ric_SP'!$C:$AN,MID(AM$1,1,2),FALSE)</f>
        <v>0</v>
      </c>
      <c r="AN1087" s="30" t="str">
        <f t="shared" si="16"/>
        <v>20102050040000</v>
      </c>
    </row>
    <row r="1088" spans="3:40" x14ac:dyDescent="0.25">
      <c r="C1088" s="40"/>
      <c r="D1088" s="101" t="s">
        <v>1329</v>
      </c>
      <c r="E1088" s="101" t="s">
        <v>1330</v>
      </c>
      <c r="F1088" s="102" t="s">
        <v>2750</v>
      </c>
      <c r="G1088" s="52"/>
      <c r="H1088" s="52"/>
      <c r="I1088" s="52" t="s">
        <v>1318</v>
      </c>
      <c r="J1088" s="52" t="s">
        <v>1318</v>
      </c>
      <c r="K1088" s="59" t="s">
        <v>79</v>
      </c>
      <c r="L1088" s="52"/>
      <c r="M1088" s="52"/>
      <c r="N1088" s="52"/>
      <c r="O1088" s="61" t="s">
        <v>1296</v>
      </c>
      <c r="P1088" s="76" t="s">
        <v>1331</v>
      </c>
      <c r="Q1088" s="55">
        <f>VLOOKUP(E1088,'NI-Ric_SP'!$C:$AN,12,FALSE)</f>
        <v>0</v>
      </c>
      <c r="R1088" s="55">
        <f>VLOOKUP(E1088,'NI-Ric_SP'!$C:$AN,13,FALSE)</f>
        <v>0</v>
      </c>
      <c r="S1088" s="55"/>
      <c r="T1088" s="55"/>
      <c r="U1088" s="55">
        <f>VLOOKUP($E1088,'NI-Ric_SP'!$C:$AN,MID(U$1,1,2),FALSE)</f>
        <v>0</v>
      </c>
      <c r="V1088" s="55">
        <f>VLOOKUP($E1088,'NI-Ric_SP'!$C:$AN,MID(V$1,1,2),FALSE)</f>
        <v>0</v>
      </c>
      <c r="W1088" s="55">
        <f>VLOOKUP($E1088,'NI-Ric_SP'!$C:$AN,MID(W$1,1,2),FALSE)</f>
        <v>0</v>
      </c>
      <c r="X1088" s="55">
        <f>VLOOKUP($E1088,'NI-Ric_SP'!$C:$AN,MID(X$1,1,2),FALSE)</f>
        <v>0</v>
      </c>
      <c r="Y1088" s="55">
        <f>VLOOKUP($E1088,'NI-Ric_SP'!$C:$AN,MID(Y$1,1,2),FALSE)</f>
        <v>0</v>
      </c>
      <c r="Z1088" s="55">
        <f>VLOOKUP($E1088,'NI-Ric_SP'!$C:$AN,MID(Z$1,1,2),FALSE)</f>
        <v>0</v>
      </c>
      <c r="AA1088" s="55">
        <f>VLOOKUP($E1088,'NI-Ric_SP'!$C:$AN,MID(AA$1,1,2),FALSE)</f>
        <v>0</v>
      </c>
      <c r="AB1088" s="55">
        <f>VLOOKUP($E1088,'NI-Ric_SP'!$C:$AN,MID(AB$1,1,2),FALSE)</f>
        <v>0</v>
      </c>
      <c r="AC1088" s="55">
        <f>VLOOKUP($E1088,'NI-Ric_SP'!$C:$AN,MID(AC$1,1,2),FALSE)</f>
        <v>0</v>
      </c>
      <c r="AD1088" s="55">
        <f>VLOOKUP($E1088,'NI-Ric_SP'!$C:$AN,MID(AD$1,1,2),FALSE)</f>
        <v>0</v>
      </c>
      <c r="AE1088" s="55">
        <f>VLOOKUP($E1088,'NI-Ric_SP'!$C:$AN,MID(AE$1,1,2),FALSE)</f>
        <v>0</v>
      </c>
      <c r="AF1088" s="55">
        <f>VLOOKUP($E1088,'NI-Ric_SP'!$C:$AN,MID(AF$1,1,2),FALSE)</f>
        <v>0</v>
      </c>
      <c r="AG1088" s="55">
        <f>VLOOKUP($E1088,'NI-Ric_SP'!$C:$AN,MID(AG$1,1,2),FALSE)</f>
        <v>0</v>
      </c>
      <c r="AH1088" s="55">
        <f>VLOOKUP($E1088,'NI-Ric_SP'!$C:$AN,MID(AH$1,1,2),FALSE)</f>
        <v>0</v>
      </c>
      <c r="AI1088" s="55">
        <f>VLOOKUP($E1088,'NI-Ric_SP'!$C:$AN,MID(AI$1,1,2),FALSE)</f>
        <v>0</v>
      </c>
      <c r="AJ1088" s="55">
        <f>VLOOKUP($E1088,'NI-Ric_SP'!$C:$AN,MID(AJ$1,1,2),FALSE)</f>
        <v>0</v>
      </c>
      <c r="AK1088" s="55">
        <f>VLOOKUP($E1088,'NI-Ric_SP'!$C:$AN,MID(AK$1,1,2),FALSE)</f>
        <v>0</v>
      </c>
      <c r="AL1088" s="55">
        <f>VLOOKUP($E1088,'NI-Ric_SP'!$C:$AN,MID(AL$1,1,2),FALSE)</f>
        <v>0</v>
      </c>
      <c r="AM1088" s="56">
        <f>VLOOKUP($E1088,'NI-Ric_SP'!$C:$AN,MID(AM$1,1,2),FALSE)</f>
        <v>0</v>
      </c>
      <c r="AN1088" s="30" t="str">
        <f t="shared" si="16"/>
        <v>20102050050000</v>
      </c>
    </row>
    <row r="1089" spans="1:40" x14ac:dyDescent="0.25">
      <c r="C1089" s="40"/>
      <c r="D1089" s="101" t="s">
        <v>1332</v>
      </c>
      <c r="E1089" s="101" t="s">
        <v>1333</v>
      </c>
      <c r="F1089" s="102" t="s">
        <v>2750</v>
      </c>
      <c r="G1089" s="52"/>
      <c r="H1089" s="52"/>
      <c r="I1089" s="52" t="s">
        <v>1318</v>
      </c>
      <c r="J1089" s="52" t="s">
        <v>1318</v>
      </c>
      <c r="K1089" s="59" t="s">
        <v>79</v>
      </c>
      <c r="L1089" s="52"/>
      <c r="M1089" s="52"/>
      <c r="N1089" s="52"/>
      <c r="O1089" s="61" t="s">
        <v>1296</v>
      </c>
      <c r="P1089" s="76" t="s">
        <v>1334</v>
      </c>
      <c r="Q1089" s="55">
        <f>VLOOKUP(E1089,'NI-Ric_SP'!$C:$AN,12,FALSE)</f>
        <v>0</v>
      </c>
      <c r="R1089" s="55">
        <f>VLOOKUP(E1089,'NI-Ric_SP'!$C:$AN,13,FALSE)</f>
        <v>0</v>
      </c>
      <c r="S1089" s="55"/>
      <c r="T1089" s="55"/>
      <c r="U1089" s="55">
        <f>VLOOKUP($E1089,'NI-Ric_SP'!$C:$AN,MID(U$1,1,2),FALSE)</f>
        <v>0</v>
      </c>
      <c r="V1089" s="55">
        <f>VLOOKUP($E1089,'NI-Ric_SP'!$C:$AN,MID(V$1,1,2),FALSE)</f>
        <v>0</v>
      </c>
      <c r="W1089" s="55">
        <f>VLOOKUP($E1089,'NI-Ric_SP'!$C:$AN,MID(W$1,1,2),FALSE)</f>
        <v>0</v>
      </c>
      <c r="X1089" s="55">
        <f>VLOOKUP($E1089,'NI-Ric_SP'!$C:$AN,MID(X$1,1,2),FALSE)</f>
        <v>0</v>
      </c>
      <c r="Y1089" s="55">
        <f>VLOOKUP($E1089,'NI-Ric_SP'!$C:$AN,MID(Y$1,1,2),FALSE)</f>
        <v>0</v>
      </c>
      <c r="Z1089" s="55">
        <f>VLOOKUP($E1089,'NI-Ric_SP'!$C:$AN,MID(Z$1,1,2),FALSE)</f>
        <v>0</v>
      </c>
      <c r="AA1089" s="55">
        <f>VLOOKUP($E1089,'NI-Ric_SP'!$C:$AN,MID(AA$1,1,2),FALSE)</f>
        <v>0</v>
      </c>
      <c r="AB1089" s="55">
        <f>VLOOKUP($E1089,'NI-Ric_SP'!$C:$AN,MID(AB$1,1,2),FALSE)</f>
        <v>0</v>
      </c>
      <c r="AC1089" s="55">
        <f>VLOOKUP($E1089,'NI-Ric_SP'!$C:$AN,MID(AC$1,1,2),FALSE)</f>
        <v>0</v>
      </c>
      <c r="AD1089" s="55">
        <f>VLOOKUP($E1089,'NI-Ric_SP'!$C:$AN,MID(AD$1,1,2),FALSE)</f>
        <v>0</v>
      </c>
      <c r="AE1089" s="55">
        <f>VLOOKUP($E1089,'NI-Ric_SP'!$C:$AN,MID(AE$1,1,2),FALSE)</f>
        <v>0</v>
      </c>
      <c r="AF1089" s="55">
        <f>VLOOKUP($E1089,'NI-Ric_SP'!$C:$AN,MID(AF$1,1,2),FALSE)</f>
        <v>0</v>
      </c>
      <c r="AG1089" s="55">
        <f>VLOOKUP($E1089,'NI-Ric_SP'!$C:$AN,MID(AG$1,1,2),FALSE)</f>
        <v>0</v>
      </c>
      <c r="AH1089" s="55">
        <f>VLOOKUP($E1089,'NI-Ric_SP'!$C:$AN,MID(AH$1,1,2),FALSE)</f>
        <v>0</v>
      </c>
      <c r="AI1089" s="55">
        <f>VLOOKUP($E1089,'NI-Ric_SP'!$C:$AN,MID(AI$1,1,2),FALSE)</f>
        <v>0</v>
      </c>
      <c r="AJ1089" s="55">
        <f>VLOOKUP($E1089,'NI-Ric_SP'!$C:$AN,MID(AJ$1,1,2),FALSE)</f>
        <v>0</v>
      </c>
      <c r="AK1089" s="55">
        <f>VLOOKUP($E1089,'NI-Ric_SP'!$C:$AN,MID(AK$1,1,2),FALSE)</f>
        <v>0</v>
      </c>
      <c r="AL1089" s="55">
        <f>VLOOKUP($E1089,'NI-Ric_SP'!$C:$AN,MID(AL$1,1,2),FALSE)</f>
        <v>0</v>
      </c>
      <c r="AM1089" s="56">
        <f>VLOOKUP($E1089,'NI-Ric_SP'!$C:$AN,MID(AM$1,1,2),FALSE)</f>
        <v>0</v>
      </c>
      <c r="AN1089" s="30" t="str">
        <f t="shared" si="16"/>
        <v>20102050060000</v>
      </c>
    </row>
    <row r="1090" spans="1:40" x14ac:dyDescent="0.25">
      <c r="C1090" s="40"/>
      <c r="D1090" s="101" t="s">
        <v>1335</v>
      </c>
      <c r="E1090" s="101" t="s">
        <v>1336</v>
      </c>
      <c r="F1090" s="102" t="s">
        <v>2750</v>
      </c>
      <c r="G1090" s="52"/>
      <c r="H1090" s="52"/>
      <c r="I1090" s="52" t="s">
        <v>1337</v>
      </c>
      <c r="J1090" s="52" t="s">
        <v>1337</v>
      </c>
      <c r="K1090" s="59" t="s">
        <v>79</v>
      </c>
      <c r="L1090" s="52"/>
      <c r="M1090" s="52"/>
      <c r="N1090" s="52"/>
      <c r="O1090" s="61" t="s">
        <v>1296</v>
      </c>
      <c r="P1090" s="76" t="s">
        <v>1338</v>
      </c>
      <c r="Q1090" s="55">
        <f>VLOOKUP(E1090,'NI-Ric_SP'!$C:$AN,12,FALSE)</f>
        <v>0</v>
      </c>
      <c r="R1090" s="55">
        <f>VLOOKUP(E1090,'NI-Ric_SP'!$C:$AN,13,FALSE)</f>
        <v>0</v>
      </c>
      <c r="S1090" s="55"/>
      <c r="T1090" s="55"/>
      <c r="U1090" s="55">
        <f>VLOOKUP($E1090,'NI-Ric_SP'!$C:$AN,MID(U$1,1,2),FALSE)</f>
        <v>0</v>
      </c>
      <c r="V1090" s="55">
        <f>VLOOKUP($E1090,'NI-Ric_SP'!$C:$AN,MID(V$1,1,2),FALSE)</f>
        <v>0</v>
      </c>
      <c r="W1090" s="55">
        <f>VLOOKUP($E1090,'NI-Ric_SP'!$C:$AN,MID(W$1,1,2),FALSE)</f>
        <v>0</v>
      </c>
      <c r="X1090" s="55">
        <f>VLOOKUP($E1090,'NI-Ric_SP'!$C:$AN,MID(X$1,1,2),FALSE)</f>
        <v>0</v>
      </c>
      <c r="Y1090" s="55">
        <f>VLOOKUP($E1090,'NI-Ric_SP'!$C:$AN,MID(Y$1,1,2),FALSE)</f>
        <v>0</v>
      </c>
      <c r="Z1090" s="55">
        <f>VLOOKUP($E1090,'NI-Ric_SP'!$C:$AN,MID(Z$1,1,2),FALSE)</f>
        <v>0</v>
      </c>
      <c r="AA1090" s="55">
        <f>VLOOKUP($E1090,'NI-Ric_SP'!$C:$AN,MID(AA$1,1,2),FALSE)</f>
        <v>0</v>
      </c>
      <c r="AB1090" s="55">
        <f>VLOOKUP($E1090,'NI-Ric_SP'!$C:$AN,MID(AB$1,1,2),FALSE)</f>
        <v>0</v>
      </c>
      <c r="AC1090" s="55">
        <f>VLOOKUP($E1090,'NI-Ric_SP'!$C:$AN,MID(AC$1,1,2),FALSE)</f>
        <v>0</v>
      </c>
      <c r="AD1090" s="55">
        <f>VLOOKUP($E1090,'NI-Ric_SP'!$C:$AN,MID(AD$1,1,2),FALSE)</f>
        <v>0</v>
      </c>
      <c r="AE1090" s="55">
        <f>VLOOKUP($E1090,'NI-Ric_SP'!$C:$AN,MID(AE$1,1,2),FALSE)</f>
        <v>0</v>
      </c>
      <c r="AF1090" s="55">
        <f>VLOOKUP($E1090,'NI-Ric_SP'!$C:$AN,MID(AF$1,1,2),FALSE)</f>
        <v>0</v>
      </c>
      <c r="AG1090" s="55">
        <f>VLOOKUP($E1090,'NI-Ric_SP'!$C:$AN,MID(AG$1,1,2),FALSE)</f>
        <v>0</v>
      </c>
      <c r="AH1090" s="55">
        <f>VLOOKUP($E1090,'NI-Ric_SP'!$C:$AN,MID(AH$1,1,2),FALSE)</f>
        <v>0</v>
      </c>
      <c r="AI1090" s="55">
        <f>VLOOKUP($E1090,'NI-Ric_SP'!$C:$AN,MID(AI$1,1,2),FALSE)</f>
        <v>0</v>
      </c>
      <c r="AJ1090" s="55">
        <f>VLOOKUP($E1090,'NI-Ric_SP'!$C:$AN,MID(AJ$1,1,2),FALSE)</f>
        <v>0</v>
      </c>
      <c r="AK1090" s="55">
        <f>VLOOKUP($E1090,'NI-Ric_SP'!$C:$AN,MID(AK$1,1,2),FALSE)</f>
        <v>0</v>
      </c>
      <c r="AL1090" s="55">
        <f>VLOOKUP($E1090,'NI-Ric_SP'!$C:$AN,MID(AL$1,1,2),FALSE)</f>
        <v>0</v>
      </c>
      <c r="AM1090" s="56">
        <f>VLOOKUP($E1090,'NI-Ric_SP'!$C:$AN,MID(AM$1,1,2),FALSE)</f>
        <v>0</v>
      </c>
      <c r="AN1090" s="30" t="str">
        <f t="shared" ref="AN1090:AN1153" si="17">D1090</f>
        <v>20102060010000</v>
      </c>
    </row>
    <row r="1091" spans="1:40" x14ac:dyDescent="0.25">
      <c r="C1091" s="40"/>
      <c r="D1091" s="101" t="s">
        <v>1339</v>
      </c>
      <c r="E1091" s="101" t="s">
        <v>1340</v>
      </c>
      <c r="F1091" s="102" t="s">
        <v>2750</v>
      </c>
      <c r="G1091" s="52"/>
      <c r="H1091" s="52"/>
      <c r="I1091" s="52" t="s">
        <v>1337</v>
      </c>
      <c r="J1091" s="52" t="s">
        <v>1337</v>
      </c>
      <c r="K1091" s="59" t="s">
        <v>79</v>
      </c>
      <c r="L1091" s="52"/>
      <c r="M1091" s="52"/>
      <c r="N1091" s="52"/>
      <c r="O1091" s="61" t="s">
        <v>1296</v>
      </c>
      <c r="P1091" s="76" t="s">
        <v>1341</v>
      </c>
      <c r="Q1091" s="55">
        <f>VLOOKUP(E1091,'NI-Ric_SP'!$C:$AN,12,FALSE)</f>
        <v>0</v>
      </c>
      <c r="R1091" s="55">
        <f>VLOOKUP(E1091,'NI-Ric_SP'!$C:$AN,13,FALSE)</f>
        <v>0</v>
      </c>
      <c r="S1091" s="55"/>
      <c r="T1091" s="55"/>
      <c r="U1091" s="55">
        <f>VLOOKUP($E1091,'NI-Ric_SP'!$C:$AN,MID(U$1,1,2),FALSE)</f>
        <v>0</v>
      </c>
      <c r="V1091" s="55">
        <f>VLOOKUP($E1091,'NI-Ric_SP'!$C:$AN,MID(V$1,1,2),FALSE)</f>
        <v>0</v>
      </c>
      <c r="W1091" s="55">
        <f>VLOOKUP($E1091,'NI-Ric_SP'!$C:$AN,MID(W$1,1,2),FALSE)</f>
        <v>0</v>
      </c>
      <c r="X1091" s="55">
        <f>VLOOKUP($E1091,'NI-Ric_SP'!$C:$AN,MID(X$1,1,2),FALSE)</f>
        <v>0</v>
      </c>
      <c r="Y1091" s="55">
        <f>VLOOKUP($E1091,'NI-Ric_SP'!$C:$AN,MID(Y$1,1,2),FALSE)</f>
        <v>0</v>
      </c>
      <c r="Z1091" s="55">
        <f>VLOOKUP($E1091,'NI-Ric_SP'!$C:$AN,MID(Z$1,1,2),FALSE)</f>
        <v>0</v>
      </c>
      <c r="AA1091" s="55">
        <f>VLOOKUP($E1091,'NI-Ric_SP'!$C:$AN,MID(AA$1,1,2),FALSE)</f>
        <v>0</v>
      </c>
      <c r="AB1091" s="55">
        <f>VLOOKUP($E1091,'NI-Ric_SP'!$C:$AN,MID(AB$1,1,2),FALSE)</f>
        <v>0</v>
      </c>
      <c r="AC1091" s="55">
        <f>VLOOKUP($E1091,'NI-Ric_SP'!$C:$AN,MID(AC$1,1,2),FALSE)</f>
        <v>0</v>
      </c>
      <c r="AD1091" s="55">
        <f>VLOOKUP($E1091,'NI-Ric_SP'!$C:$AN,MID(AD$1,1,2),FALSE)</f>
        <v>0</v>
      </c>
      <c r="AE1091" s="55">
        <f>VLOOKUP($E1091,'NI-Ric_SP'!$C:$AN,MID(AE$1,1,2),FALSE)</f>
        <v>0</v>
      </c>
      <c r="AF1091" s="55">
        <f>VLOOKUP($E1091,'NI-Ric_SP'!$C:$AN,MID(AF$1,1,2),FALSE)</f>
        <v>0</v>
      </c>
      <c r="AG1091" s="55">
        <f>VLOOKUP($E1091,'NI-Ric_SP'!$C:$AN,MID(AG$1,1,2),FALSE)</f>
        <v>0</v>
      </c>
      <c r="AH1091" s="55">
        <f>VLOOKUP($E1091,'NI-Ric_SP'!$C:$AN,MID(AH$1,1,2),FALSE)</f>
        <v>0</v>
      </c>
      <c r="AI1091" s="55">
        <f>VLOOKUP($E1091,'NI-Ric_SP'!$C:$AN,MID(AI$1,1,2),FALSE)</f>
        <v>0</v>
      </c>
      <c r="AJ1091" s="55">
        <f>VLOOKUP($E1091,'NI-Ric_SP'!$C:$AN,MID(AJ$1,1,2),FALSE)</f>
        <v>0</v>
      </c>
      <c r="AK1091" s="55">
        <f>VLOOKUP($E1091,'NI-Ric_SP'!$C:$AN,MID(AK$1,1,2),FALSE)</f>
        <v>0</v>
      </c>
      <c r="AL1091" s="55">
        <f>VLOOKUP($E1091,'NI-Ric_SP'!$C:$AN,MID(AL$1,1,2),FALSE)</f>
        <v>0</v>
      </c>
      <c r="AM1091" s="56">
        <f>VLOOKUP($E1091,'NI-Ric_SP'!$C:$AN,MID(AM$1,1,2),FALSE)</f>
        <v>0</v>
      </c>
      <c r="AN1091" s="30" t="str">
        <f t="shared" si="17"/>
        <v>20102060020000</v>
      </c>
    </row>
    <row r="1092" spans="1:40" x14ac:dyDescent="0.25">
      <c r="C1092" s="40"/>
      <c r="D1092" s="101" t="s">
        <v>1342</v>
      </c>
      <c r="E1092" s="101" t="s">
        <v>1343</v>
      </c>
      <c r="F1092" s="102" t="s">
        <v>2750</v>
      </c>
      <c r="G1092" s="52"/>
      <c r="H1092" s="52"/>
      <c r="I1092" s="52" t="s">
        <v>1344</v>
      </c>
      <c r="J1092" s="52" t="s">
        <v>1344</v>
      </c>
      <c r="K1092" s="59" t="s">
        <v>79</v>
      </c>
      <c r="L1092" s="62" t="s">
        <v>1345</v>
      </c>
      <c r="M1092" s="52"/>
      <c r="N1092" s="52"/>
      <c r="O1092" s="61" t="s">
        <v>1346</v>
      </c>
      <c r="P1092" s="76" t="s">
        <v>1347</v>
      </c>
      <c r="Q1092" s="55">
        <f>VLOOKUP(E1092,'NI-Ric_SP'!$C:$AN,12,FALSE)</f>
        <v>0</v>
      </c>
      <c r="R1092" s="55">
        <f>VLOOKUP(E1092,'NI-Ric_SP'!$C:$AN,13,FALSE)</f>
        <v>0</v>
      </c>
      <c r="S1092" s="55"/>
      <c r="T1092" s="55"/>
      <c r="U1092" s="55">
        <f>VLOOKUP($E1092,'NI-Ric_SP'!$C:$AN,MID(U$1,1,2),FALSE)</f>
        <v>0</v>
      </c>
      <c r="V1092" s="55">
        <f>VLOOKUP($E1092,'NI-Ric_SP'!$C:$AN,MID(V$1,1,2),FALSE)</f>
        <v>0</v>
      </c>
      <c r="W1092" s="55">
        <f>VLOOKUP($E1092,'NI-Ric_SP'!$C:$AN,MID(W$1,1,2),FALSE)</f>
        <v>0</v>
      </c>
      <c r="X1092" s="55">
        <f>VLOOKUP($E1092,'NI-Ric_SP'!$C:$AN,MID(X$1,1,2),FALSE)</f>
        <v>0</v>
      </c>
      <c r="Y1092" s="55">
        <f>VLOOKUP($E1092,'NI-Ric_SP'!$C:$AN,MID(Y$1,1,2),FALSE)</f>
        <v>0</v>
      </c>
      <c r="Z1092" s="55">
        <f>VLOOKUP($E1092,'NI-Ric_SP'!$C:$AN,MID(Z$1,1,2),FALSE)</f>
        <v>0</v>
      </c>
      <c r="AA1092" s="55">
        <f>VLOOKUP($E1092,'NI-Ric_SP'!$C:$AN,MID(AA$1,1,2),FALSE)</f>
        <v>0</v>
      </c>
      <c r="AB1092" s="55">
        <f>VLOOKUP($E1092,'NI-Ric_SP'!$C:$AN,MID(AB$1,1,2),FALSE)</f>
        <v>0</v>
      </c>
      <c r="AC1092" s="55">
        <f>VLOOKUP($E1092,'NI-Ric_SP'!$C:$AN,MID(AC$1,1,2),FALSE)</f>
        <v>0</v>
      </c>
      <c r="AD1092" s="55">
        <f>VLOOKUP($E1092,'NI-Ric_SP'!$C:$AN,MID(AD$1,1,2),FALSE)</f>
        <v>0</v>
      </c>
      <c r="AE1092" s="55">
        <f>VLOOKUP($E1092,'NI-Ric_SP'!$C:$AN,MID(AE$1,1,2),FALSE)</f>
        <v>0</v>
      </c>
      <c r="AF1092" s="55">
        <f>VLOOKUP($E1092,'NI-Ric_SP'!$C:$AN,MID(AF$1,1,2),FALSE)</f>
        <v>0</v>
      </c>
      <c r="AG1092" s="55">
        <f>VLOOKUP($E1092,'NI-Ric_SP'!$C:$AN,MID(AG$1,1,2),FALSE)</f>
        <v>0</v>
      </c>
      <c r="AH1092" s="55">
        <f>VLOOKUP($E1092,'NI-Ric_SP'!$C:$AN,MID(AH$1,1,2),FALSE)</f>
        <v>0</v>
      </c>
      <c r="AI1092" s="55">
        <f>VLOOKUP($E1092,'NI-Ric_SP'!$C:$AN,MID(AI$1,1,2),FALSE)</f>
        <v>0</v>
      </c>
      <c r="AJ1092" s="55">
        <f>VLOOKUP($E1092,'NI-Ric_SP'!$C:$AN,MID(AJ$1,1,2),FALSE)</f>
        <v>0</v>
      </c>
      <c r="AK1092" s="55">
        <f>VLOOKUP($E1092,'NI-Ric_SP'!$C:$AN,MID(AK$1,1,2),FALSE)</f>
        <v>0</v>
      </c>
      <c r="AL1092" s="55">
        <f>VLOOKUP($E1092,'NI-Ric_SP'!$C:$AN,MID(AL$1,1,2),FALSE)</f>
        <v>0</v>
      </c>
      <c r="AM1092" s="56">
        <f>VLOOKUP($E1092,'NI-Ric_SP'!$C:$AN,MID(AM$1,1,2),FALSE)</f>
        <v>0</v>
      </c>
      <c r="AN1092" s="30" t="str">
        <f t="shared" si="17"/>
        <v>20102070000000</v>
      </c>
    </row>
    <row r="1093" spans="1:40" x14ac:dyDescent="0.25">
      <c r="C1093" s="40"/>
      <c r="D1093" s="101" t="s">
        <v>1348</v>
      </c>
      <c r="E1093" s="101" t="s">
        <v>1349</v>
      </c>
      <c r="F1093" s="102" t="s">
        <v>2750</v>
      </c>
      <c r="G1093" s="52"/>
      <c r="H1093" s="52"/>
      <c r="I1093" s="52"/>
      <c r="J1093" s="52"/>
      <c r="K1093" s="59" t="s">
        <v>111</v>
      </c>
      <c r="L1093" s="52"/>
      <c r="M1093" s="52"/>
      <c r="N1093" s="52"/>
      <c r="O1093" s="52"/>
      <c r="P1093" s="76" t="s">
        <v>1350</v>
      </c>
      <c r="Q1093" s="55">
        <f>VLOOKUP(E1093,'NI-Ric_SP'!$C:$AN,12,FALSE)</f>
        <v>0</v>
      </c>
      <c r="R1093" s="55">
        <f>VLOOKUP(E1093,'NI-Ric_SP'!$C:$AN,13,FALSE)</f>
        <v>0</v>
      </c>
      <c r="S1093" s="55">
        <f>VLOOKUP(E1093,'NI-Ric_SP'!$C:$AN,31,FALSE)</f>
        <v>0</v>
      </c>
      <c r="T1093" s="55">
        <f>VLOOKUP(E1093,'NI-Ric_SP'!$C:$AN,32,FALSE)+VLOOKUP(E1093,'NI-Ric_SP'!$C:$AN,33,FALSE)</f>
        <v>0</v>
      </c>
      <c r="U1093" s="55">
        <f>VLOOKUP($E1093,'NI-Ric_SP'!$C:$AN,MID(U$1,1,2),FALSE)</f>
        <v>0</v>
      </c>
      <c r="V1093" s="55">
        <f>VLOOKUP($E1093,'NI-Ric_SP'!$C:$AN,MID(V$1,1,2),FALSE)</f>
        <v>0</v>
      </c>
      <c r="W1093" s="55">
        <f>VLOOKUP($E1093,'NI-Ric_SP'!$C:$AN,MID(W$1,1,2),FALSE)</f>
        <v>0</v>
      </c>
      <c r="X1093" s="55">
        <f>VLOOKUP($E1093,'NI-Ric_SP'!$C:$AN,MID(X$1,1,2),FALSE)</f>
        <v>0</v>
      </c>
      <c r="Y1093" s="55">
        <f>VLOOKUP($E1093,'NI-Ric_SP'!$C:$AN,MID(Y$1,1,2),FALSE)</f>
        <v>0</v>
      </c>
      <c r="Z1093" s="55">
        <f>VLOOKUP($E1093,'NI-Ric_SP'!$C:$AN,MID(Z$1,1,2),FALSE)</f>
        <v>0</v>
      </c>
      <c r="AA1093" s="55">
        <f>VLOOKUP($E1093,'NI-Ric_SP'!$C:$AN,MID(AA$1,1,2),FALSE)</f>
        <v>0</v>
      </c>
      <c r="AB1093" s="55">
        <f>VLOOKUP($E1093,'NI-Ric_SP'!$C:$AN,MID(AB$1,1,2),FALSE)</f>
        <v>0</v>
      </c>
      <c r="AC1093" s="55">
        <f>VLOOKUP($E1093,'NI-Ric_SP'!$C:$AN,MID(AC$1,1,2),FALSE)</f>
        <v>0</v>
      </c>
      <c r="AD1093" s="55">
        <f>VLOOKUP($E1093,'NI-Ric_SP'!$C:$AN,MID(AD$1,1,2),FALSE)</f>
        <v>0</v>
      </c>
      <c r="AE1093" s="55">
        <f>VLOOKUP($E1093,'NI-Ric_SP'!$C:$AN,MID(AE$1,1,2),FALSE)</f>
        <v>0</v>
      </c>
      <c r="AF1093" s="55">
        <f>VLOOKUP($E1093,'NI-Ric_SP'!$C:$AN,MID(AF$1,1,2),FALSE)</f>
        <v>0</v>
      </c>
      <c r="AG1093" s="55">
        <f>VLOOKUP($E1093,'NI-Ric_SP'!$C:$AN,MID(AG$1,1,2),FALSE)</f>
        <v>0</v>
      </c>
      <c r="AH1093" s="55">
        <f>VLOOKUP($E1093,'NI-Ric_SP'!$C:$AN,MID(AH$1,1,2),FALSE)</f>
        <v>0</v>
      </c>
      <c r="AI1093" s="55">
        <f>VLOOKUP($E1093,'NI-Ric_SP'!$C:$AN,MID(AI$1,1,2),FALSE)</f>
        <v>0</v>
      </c>
      <c r="AJ1093" s="55">
        <f>VLOOKUP($E1093,'NI-Ric_SP'!$C:$AN,MID(AJ$1,1,2),FALSE)</f>
        <v>0</v>
      </c>
      <c r="AK1093" s="55">
        <f>VLOOKUP($E1093,'NI-Ric_SP'!$C:$AN,MID(AK$1,1,2),FALSE)</f>
        <v>0</v>
      </c>
      <c r="AL1093" s="55">
        <f>VLOOKUP($E1093,'NI-Ric_SP'!$C:$AN,MID(AL$1,1,2),FALSE)</f>
        <v>0</v>
      </c>
      <c r="AM1093" s="56">
        <f>VLOOKUP($E1093,'NI-Ric_SP'!$C:$AN,MID(AM$1,1,2),FALSE)</f>
        <v>0</v>
      </c>
      <c r="AN1093" s="30" t="str">
        <f t="shared" si="17"/>
        <v>20200000000000</v>
      </c>
    </row>
    <row r="1094" spans="1:40" x14ac:dyDescent="0.25">
      <c r="C1094" s="40"/>
      <c r="D1094" s="101" t="s">
        <v>1351</v>
      </c>
      <c r="E1094" s="101" t="s">
        <v>1352</v>
      </c>
      <c r="F1094" s="102" t="s">
        <v>2750</v>
      </c>
      <c r="G1094" s="52"/>
      <c r="H1094" s="52"/>
      <c r="I1094" s="65"/>
      <c r="J1094" s="52"/>
      <c r="K1094" s="59" t="s">
        <v>111</v>
      </c>
      <c r="L1094" s="52"/>
      <c r="M1094" s="52"/>
      <c r="N1094" s="52"/>
      <c r="O1094" s="52"/>
      <c r="P1094" s="76" t="s">
        <v>1353</v>
      </c>
      <c r="Q1094" s="55">
        <f>VLOOKUP(E1094,'NI-Ric_SP'!$C:$AN,12,FALSE)</f>
        <v>0</v>
      </c>
      <c r="R1094" s="55">
        <f>VLOOKUP(E1094,'NI-Ric_SP'!$C:$AN,13,FALSE)</f>
        <v>0</v>
      </c>
      <c r="S1094" s="55">
        <f>VLOOKUP(E1094,'NI-Ric_SP'!$C:$AN,31,FALSE)</f>
        <v>0</v>
      </c>
      <c r="T1094" s="55">
        <f>VLOOKUP(E1094,'NI-Ric_SP'!$C:$AN,32,FALSE)+VLOOKUP(E1094,'NI-Ric_SP'!$C:$AN,33,FALSE)</f>
        <v>0</v>
      </c>
      <c r="U1094" s="55">
        <f>VLOOKUP($E1094,'NI-Ric_SP'!$C:$AN,MID(U$1,1,2),FALSE)</f>
        <v>0</v>
      </c>
      <c r="V1094" s="55">
        <f>VLOOKUP($E1094,'NI-Ric_SP'!$C:$AN,MID(V$1,1,2),FALSE)</f>
        <v>0</v>
      </c>
      <c r="W1094" s="55">
        <f>VLOOKUP($E1094,'NI-Ric_SP'!$C:$AN,MID(W$1,1,2),FALSE)</f>
        <v>0</v>
      </c>
      <c r="X1094" s="55">
        <f>VLOOKUP($E1094,'NI-Ric_SP'!$C:$AN,MID(X$1,1,2),FALSE)</f>
        <v>0</v>
      </c>
      <c r="Y1094" s="55">
        <f>VLOOKUP($E1094,'NI-Ric_SP'!$C:$AN,MID(Y$1,1,2),FALSE)</f>
        <v>0</v>
      </c>
      <c r="Z1094" s="55">
        <f>VLOOKUP($E1094,'NI-Ric_SP'!$C:$AN,MID(Z$1,1,2),FALSE)</f>
        <v>0</v>
      </c>
      <c r="AA1094" s="55">
        <f>VLOOKUP($E1094,'NI-Ric_SP'!$C:$AN,MID(AA$1,1,2),FALSE)</f>
        <v>0</v>
      </c>
      <c r="AB1094" s="55">
        <f>VLOOKUP($E1094,'NI-Ric_SP'!$C:$AN,MID(AB$1,1,2),FALSE)</f>
        <v>0</v>
      </c>
      <c r="AC1094" s="55">
        <f>VLOOKUP($E1094,'NI-Ric_SP'!$C:$AN,MID(AC$1,1,2),FALSE)</f>
        <v>0</v>
      </c>
      <c r="AD1094" s="55">
        <f>VLOOKUP($E1094,'NI-Ric_SP'!$C:$AN,MID(AD$1,1,2),FALSE)</f>
        <v>0</v>
      </c>
      <c r="AE1094" s="55">
        <f>VLOOKUP($E1094,'NI-Ric_SP'!$C:$AN,MID(AE$1,1,2),FALSE)</f>
        <v>0</v>
      </c>
      <c r="AF1094" s="55">
        <f>VLOOKUP($E1094,'NI-Ric_SP'!$C:$AN,MID(AF$1,1,2),FALSE)</f>
        <v>0</v>
      </c>
      <c r="AG1094" s="55">
        <f>VLOOKUP($E1094,'NI-Ric_SP'!$C:$AN,MID(AG$1,1,2),FALSE)</f>
        <v>0</v>
      </c>
      <c r="AH1094" s="55">
        <f>VLOOKUP($E1094,'NI-Ric_SP'!$C:$AN,MID(AH$1,1,2),FALSE)</f>
        <v>0</v>
      </c>
      <c r="AI1094" s="55">
        <f>VLOOKUP($E1094,'NI-Ric_SP'!$C:$AN,MID(AI$1,1,2),FALSE)</f>
        <v>0</v>
      </c>
      <c r="AJ1094" s="55">
        <f>VLOOKUP($E1094,'NI-Ric_SP'!$C:$AN,MID(AJ$1,1,2),FALSE)</f>
        <v>0</v>
      </c>
      <c r="AK1094" s="55">
        <f>VLOOKUP($E1094,'NI-Ric_SP'!$C:$AN,MID(AK$1,1,2),FALSE)</f>
        <v>0</v>
      </c>
      <c r="AL1094" s="55">
        <f>VLOOKUP($E1094,'NI-Ric_SP'!$C:$AN,MID(AL$1,1,2),FALSE)</f>
        <v>0</v>
      </c>
      <c r="AM1094" s="56">
        <f>VLOOKUP($E1094,'NI-Ric_SP'!$C:$AN,MID(AM$1,1,2),FALSE)</f>
        <v>0</v>
      </c>
      <c r="AN1094" s="30" t="str">
        <f t="shared" si="17"/>
        <v>20201000000000</v>
      </c>
    </row>
    <row r="1095" spans="1:40" x14ac:dyDescent="0.25">
      <c r="C1095" s="40"/>
      <c r="D1095" s="101" t="s">
        <v>1354</v>
      </c>
      <c r="E1095" s="101" t="s">
        <v>1355</v>
      </c>
      <c r="F1095" s="102" t="s">
        <v>2750</v>
      </c>
      <c r="G1095" s="52"/>
      <c r="H1095" s="52"/>
      <c r="I1095" s="52" t="s">
        <v>1356</v>
      </c>
      <c r="J1095" s="52" t="s">
        <v>1357</v>
      </c>
      <c r="K1095" s="59" t="s">
        <v>1358</v>
      </c>
      <c r="L1095" s="62" t="s">
        <v>1359</v>
      </c>
      <c r="M1095" s="52"/>
      <c r="N1095" s="52"/>
      <c r="O1095" s="61" t="s">
        <v>1360</v>
      </c>
      <c r="P1095" s="76" t="s">
        <v>1361</v>
      </c>
      <c r="Q1095" s="55">
        <f>VLOOKUP(E1095,'NI-Ric_SP'!$C:$AN,12,FALSE)</f>
        <v>0</v>
      </c>
      <c r="R1095" s="55">
        <f>VLOOKUP(E1095,'NI-Ric_SP'!$C:$AN,13,FALSE)</f>
        <v>0</v>
      </c>
      <c r="S1095" s="55">
        <f>VLOOKUP(E1095,'NI-Ric_SP'!$C:$AN,31,FALSE)</f>
        <v>0</v>
      </c>
      <c r="T1095" s="55">
        <f>VLOOKUP(E1095,'NI-Ric_SP'!$C:$AN,32,FALSE)+VLOOKUP(E1095,'NI-Ric_SP'!$C:$AN,33,FALSE)</f>
        <v>0</v>
      </c>
      <c r="U1095" s="55">
        <f>VLOOKUP($E1095,'NI-Ric_SP'!$C:$AN,MID(U$1,1,2),FALSE)</f>
        <v>0</v>
      </c>
      <c r="V1095" s="55">
        <f>VLOOKUP($E1095,'NI-Ric_SP'!$C:$AN,MID(V$1,1,2),FALSE)</f>
        <v>0</v>
      </c>
      <c r="W1095" s="55">
        <f>VLOOKUP($E1095,'NI-Ric_SP'!$C:$AN,MID(W$1,1,2),FALSE)</f>
        <v>0</v>
      </c>
      <c r="X1095" s="55">
        <f>VLOOKUP($E1095,'NI-Ric_SP'!$C:$AN,MID(X$1,1,2),FALSE)</f>
        <v>0</v>
      </c>
      <c r="Y1095" s="55">
        <f>VLOOKUP($E1095,'NI-Ric_SP'!$C:$AN,MID(Y$1,1,2),FALSE)</f>
        <v>0</v>
      </c>
      <c r="Z1095" s="55">
        <f>VLOOKUP($E1095,'NI-Ric_SP'!$C:$AN,MID(Z$1,1,2),FALSE)</f>
        <v>0</v>
      </c>
      <c r="AA1095" s="55">
        <f>VLOOKUP($E1095,'NI-Ric_SP'!$C:$AN,MID(AA$1,1,2),FALSE)</f>
        <v>0</v>
      </c>
      <c r="AB1095" s="55">
        <f>VLOOKUP($E1095,'NI-Ric_SP'!$C:$AN,MID(AB$1,1,2),FALSE)</f>
        <v>0</v>
      </c>
      <c r="AC1095" s="55">
        <f>VLOOKUP($E1095,'NI-Ric_SP'!$C:$AN,MID(AC$1,1,2),FALSE)</f>
        <v>0</v>
      </c>
      <c r="AD1095" s="55">
        <f>VLOOKUP($E1095,'NI-Ric_SP'!$C:$AN,MID(AD$1,1,2),FALSE)</f>
        <v>0</v>
      </c>
      <c r="AE1095" s="55">
        <f>VLOOKUP($E1095,'NI-Ric_SP'!$C:$AN,MID(AE$1,1,2),FALSE)</f>
        <v>0</v>
      </c>
      <c r="AF1095" s="55">
        <f>VLOOKUP($E1095,'NI-Ric_SP'!$C:$AN,MID(AF$1,1,2),FALSE)</f>
        <v>0</v>
      </c>
      <c r="AG1095" s="55">
        <f>VLOOKUP($E1095,'NI-Ric_SP'!$C:$AN,MID(AG$1,1,2),FALSE)</f>
        <v>0</v>
      </c>
      <c r="AH1095" s="55">
        <f>VLOOKUP($E1095,'NI-Ric_SP'!$C:$AN,MID(AH$1,1,2),FALSE)</f>
        <v>0</v>
      </c>
      <c r="AI1095" s="55">
        <f>VLOOKUP($E1095,'NI-Ric_SP'!$C:$AN,MID(AI$1,1,2),FALSE)</f>
        <v>0</v>
      </c>
      <c r="AJ1095" s="55">
        <f>VLOOKUP($E1095,'NI-Ric_SP'!$C:$AN,MID(AJ$1,1,2),FALSE)</f>
        <v>0</v>
      </c>
      <c r="AK1095" s="55">
        <f>VLOOKUP($E1095,'NI-Ric_SP'!$C:$AN,MID(AK$1,1,2),FALSE)</f>
        <v>0</v>
      </c>
      <c r="AL1095" s="55">
        <f>VLOOKUP($E1095,'NI-Ric_SP'!$C:$AN,MID(AL$1,1,2),FALSE)</f>
        <v>0</v>
      </c>
      <c r="AM1095" s="56">
        <f>VLOOKUP($E1095,'NI-Ric_SP'!$C:$AN,MID(AM$1,1,2),FALSE)</f>
        <v>0</v>
      </c>
      <c r="AN1095" s="30" t="str">
        <f t="shared" si="17"/>
        <v>20201010000000</v>
      </c>
    </row>
    <row r="1096" spans="1:40" x14ac:dyDescent="0.25">
      <c r="C1096" s="40"/>
      <c r="D1096" s="101" t="s">
        <v>1362</v>
      </c>
      <c r="E1096" s="101" t="s">
        <v>1363</v>
      </c>
      <c r="F1096" s="102" t="s">
        <v>2750</v>
      </c>
      <c r="G1096" s="52"/>
      <c r="H1096" s="75" t="s">
        <v>1364</v>
      </c>
      <c r="I1096" s="52" t="s">
        <v>1365</v>
      </c>
      <c r="J1096" s="52" t="s">
        <v>1365</v>
      </c>
      <c r="K1096" s="59" t="s">
        <v>1358</v>
      </c>
      <c r="L1096" s="62" t="s">
        <v>1359</v>
      </c>
      <c r="M1096" s="52"/>
      <c r="N1096" s="52"/>
      <c r="O1096" s="61" t="s">
        <v>1360</v>
      </c>
      <c r="P1096" s="76" t="s">
        <v>1366</v>
      </c>
      <c r="Q1096" s="55">
        <f>VLOOKUP(E1096,'NI-Ric_SP'!$C:$AN,12,FALSE)</f>
        <v>0</v>
      </c>
      <c r="R1096" s="55">
        <f>VLOOKUP(E1096,'NI-Ric_SP'!$C:$AN,13,FALSE)</f>
        <v>0</v>
      </c>
      <c r="S1096" s="55">
        <f>VLOOKUP(E1096,'NI-Ric_SP'!$C:$AN,31,FALSE)</f>
        <v>0</v>
      </c>
      <c r="T1096" s="55">
        <f>VLOOKUP(E1096,'NI-Ric_SP'!$C:$AN,32,FALSE)+VLOOKUP(E1096,'NI-Ric_SP'!$C:$AN,33,FALSE)</f>
        <v>0</v>
      </c>
      <c r="U1096" s="55">
        <f>VLOOKUP($E1096,'NI-Ric_SP'!$C:$AN,MID(U$1,1,2),FALSE)</f>
        <v>0</v>
      </c>
      <c r="V1096" s="55">
        <f>VLOOKUP($E1096,'NI-Ric_SP'!$C:$AN,MID(V$1,1,2),FALSE)</f>
        <v>0</v>
      </c>
      <c r="W1096" s="55">
        <f>VLOOKUP($E1096,'NI-Ric_SP'!$C:$AN,MID(W$1,1,2),FALSE)</f>
        <v>0</v>
      </c>
      <c r="X1096" s="55">
        <f>VLOOKUP($E1096,'NI-Ric_SP'!$C:$AN,MID(X$1,1,2),FALSE)</f>
        <v>0</v>
      </c>
      <c r="Y1096" s="55">
        <f>VLOOKUP($E1096,'NI-Ric_SP'!$C:$AN,MID(Y$1,1,2),FALSE)</f>
        <v>0</v>
      </c>
      <c r="Z1096" s="55">
        <f>VLOOKUP($E1096,'NI-Ric_SP'!$C:$AN,MID(Z$1,1,2),FALSE)</f>
        <v>0</v>
      </c>
      <c r="AA1096" s="55">
        <f>VLOOKUP($E1096,'NI-Ric_SP'!$C:$AN,MID(AA$1,1,2),FALSE)</f>
        <v>0</v>
      </c>
      <c r="AB1096" s="55">
        <f>VLOOKUP($E1096,'NI-Ric_SP'!$C:$AN,MID(AB$1,1,2),FALSE)</f>
        <v>0</v>
      </c>
      <c r="AC1096" s="55">
        <f>VLOOKUP($E1096,'NI-Ric_SP'!$C:$AN,MID(AC$1,1,2),FALSE)</f>
        <v>0</v>
      </c>
      <c r="AD1096" s="55">
        <f>VLOOKUP($E1096,'NI-Ric_SP'!$C:$AN,MID(AD$1,1,2),FALSE)</f>
        <v>0</v>
      </c>
      <c r="AE1096" s="55">
        <f>VLOOKUP($E1096,'NI-Ric_SP'!$C:$AN,MID(AE$1,1,2),FALSE)</f>
        <v>0</v>
      </c>
      <c r="AF1096" s="55">
        <f>VLOOKUP($E1096,'NI-Ric_SP'!$C:$AN,MID(AF$1,1,2),FALSE)</f>
        <v>0</v>
      </c>
      <c r="AG1096" s="55">
        <f>VLOOKUP($E1096,'NI-Ric_SP'!$C:$AN,MID(AG$1,1,2),FALSE)</f>
        <v>0</v>
      </c>
      <c r="AH1096" s="55">
        <f>VLOOKUP($E1096,'NI-Ric_SP'!$C:$AN,MID(AH$1,1,2),FALSE)</f>
        <v>0</v>
      </c>
      <c r="AI1096" s="55">
        <f>VLOOKUP($E1096,'NI-Ric_SP'!$C:$AN,MID(AI$1,1,2),FALSE)</f>
        <v>0</v>
      </c>
      <c r="AJ1096" s="55">
        <f>VLOOKUP($E1096,'NI-Ric_SP'!$C:$AN,MID(AJ$1,1,2),FALSE)</f>
        <v>0</v>
      </c>
      <c r="AK1096" s="55">
        <f>VLOOKUP($E1096,'NI-Ric_SP'!$C:$AN,MID(AK$1,1,2),FALSE)</f>
        <v>0</v>
      </c>
      <c r="AL1096" s="55">
        <f>VLOOKUP($E1096,'NI-Ric_SP'!$C:$AN,MID(AL$1,1,2),FALSE)</f>
        <v>0</v>
      </c>
      <c r="AM1096" s="56">
        <f>VLOOKUP($E1096,'NI-Ric_SP'!$C:$AN,MID(AM$1,1,2),FALSE)</f>
        <v>0</v>
      </c>
      <c r="AN1096" s="30" t="str">
        <f t="shared" si="17"/>
        <v>20201020000000</v>
      </c>
    </row>
    <row r="1097" spans="1:40" x14ac:dyDescent="0.25">
      <c r="C1097" s="40"/>
      <c r="D1097" s="101" t="s">
        <v>1367</v>
      </c>
      <c r="E1097" s="101" t="s">
        <v>1368</v>
      </c>
      <c r="F1097" s="102" t="s">
        <v>2750</v>
      </c>
      <c r="G1097" s="52"/>
      <c r="H1097" s="52"/>
      <c r="I1097" s="65"/>
      <c r="J1097" s="65"/>
      <c r="K1097" s="59" t="s">
        <v>111</v>
      </c>
      <c r="L1097" s="62" t="s">
        <v>1359</v>
      </c>
      <c r="M1097" s="52"/>
      <c r="N1097" s="52"/>
      <c r="O1097" s="52"/>
      <c r="P1097" s="63" t="s">
        <v>1369</v>
      </c>
      <c r="Q1097" s="55">
        <f>VLOOKUP(E1097,'NI-Ric_SP'!$C:$AN,12,FALSE)</f>
        <v>0</v>
      </c>
      <c r="R1097" s="55">
        <f>VLOOKUP(E1097,'NI-Ric_SP'!$C:$AN,13,FALSE)</f>
        <v>0</v>
      </c>
      <c r="S1097" s="55">
        <f>VLOOKUP(E1097,'NI-Ric_SP'!$C:$AN,31,FALSE)</f>
        <v>0</v>
      </c>
      <c r="T1097" s="55">
        <f>VLOOKUP(E1097,'NI-Ric_SP'!$C:$AN,32,FALSE)+VLOOKUP(E1097,'NI-Ric_SP'!$C:$AN,33,FALSE)</f>
        <v>0</v>
      </c>
      <c r="U1097" s="55">
        <f>VLOOKUP($E1097,'NI-Ric_SP'!$C:$AN,MID(U$1,1,2),FALSE)</f>
        <v>0</v>
      </c>
      <c r="V1097" s="55">
        <f>VLOOKUP($E1097,'NI-Ric_SP'!$C:$AN,MID(V$1,1,2),FALSE)</f>
        <v>0</v>
      </c>
      <c r="W1097" s="55">
        <f>VLOOKUP($E1097,'NI-Ric_SP'!$C:$AN,MID(W$1,1,2),FALSE)</f>
        <v>0</v>
      </c>
      <c r="X1097" s="55">
        <f>VLOOKUP($E1097,'NI-Ric_SP'!$C:$AN,MID(X$1,1,2),FALSE)</f>
        <v>0</v>
      </c>
      <c r="Y1097" s="55">
        <f>VLOOKUP($E1097,'NI-Ric_SP'!$C:$AN,MID(Y$1,1,2),FALSE)</f>
        <v>0</v>
      </c>
      <c r="Z1097" s="55">
        <f>VLOOKUP($E1097,'NI-Ric_SP'!$C:$AN,MID(Z$1,1,2),FALSE)</f>
        <v>0</v>
      </c>
      <c r="AA1097" s="55">
        <f>VLOOKUP($E1097,'NI-Ric_SP'!$C:$AN,MID(AA$1,1,2),FALSE)</f>
        <v>0</v>
      </c>
      <c r="AB1097" s="55">
        <f>VLOOKUP($E1097,'NI-Ric_SP'!$C:$AN,MID(AB$1,1,2),FALSE)</f>
        <v>0</v>
      </c>
      <c r="AC1097" s="55">
        <f>VLOOKUP($E1097,'NI-Ric_SP'!$C:$AN,MID(AC$1,1,2),FALSE)</f>
        <v>0</v>
      </c>
      <c r="AD1097" s="55">
        <f>VLOOKUP($E1097,'NI-Ric_SP'!$C:$AN,MID(AD$1,1,2),FALSE)</f>
        <v>0</v>
      </c>
      <c r="AE1097" s="55">
        <f>VLOOKUP($E1097,'NI-Ric_SP'!$C:$AN,MID(AE$1,1,2),FALSE)</f>
        <v>0</v>
      </c>
      <c r="AF1097" s="55">
        <f>VLOOKUP($E1097,'NI-Ric_SP'!$C:$AN,MID(AF$1,1,2),FALSE)</f>
        <v>0</v>
      </c>
      <c r="AG1097" s="55">
        <f>VLOOKUP($E1097,'NI-Ric_SP'!$C:$AN,MID(AG$1,1,2),FALSE)</f>
        <v>0</v>
      </c>
      <c r="AH1097" s="55">
        <f>VLOOKUP($E1097,'NI-Ric_SP'!$C:$AN,MID(AH$1,1,2),FALSE)</f>
        <v>0</v>
      </c>
      <c r="AI1097" s="55">
        <f>VLOOKUP($E1097,'NI-Ric_SP'!$C:$AN,MID(AI$1,1,2),FALSE)</f>
        <v>0</v>
      </c>
      <c r="AJ1097" s="55">
        <f>VLOOKUP($E1097,'NI-Ric_SP'!$C:$AN,MID(AJ$1,1,2),FALSE)</f>
        <v>0</v>
      </c>
      <c r="AK1097" s="55">
        <f>VLOOKUP($E1097,'NI-Ric_SP'!$C:$AN,MID(AK$1,1,2),FALSE)</f>
        <v>0</v>
      </c>
      <c r="AL1097" s="55">
        <f>VLOOKUP($E1097,'NI-Ric_SP'!$C:$AN,MID(AL$1,1,2),FALSE)</f>
        <v>0</v>
      </c>
      <c r="AM1097" s="56">
        <f>VLOOKUP($E1097,'NI-Ric_SP'!$C:$AN,MID(AM$1,1,2),FALSE)</f>
        <v>0</v>
      </c>
      <c r="AN1097" s="30" t="str">
        <f t="shared" si="17"/>
        <v>20201030000000</v>
      </c>
    </row>
    <row r="1098" spans="1:40" x14ac:dyDescent="0.25">
      <c r="C1098" s="40"/>
      <c r="D1098" s="101" t="s">
        <v>1370</v>
      </c>
      <c r="E1098" s="101" t="s">
        <v>1371</v>
      </c>
      <c r="F1098" s="102" t="s">
        <v>2750</v>
      </c>
      <c r="G1098" s="52"/>
      <c r="H1098" s="52"/>
      <c r="I1098" s="52" t="s">
        <v>1372</v>
      </c>
      <c r="J1098" s="52" t="s">
        <v>1372</v>
      </c>
      <c r="K1098" s="59" t="s">
        <v>79</v>
      </c>
      <c r="L1098" s="52"/>
      <c r="M1098" s="52"/>
      <c r="N1098" s="52"/>
      <c r="O1098" s="61" t="s">
        <v>1373</v>
      </c>
      <c r="P1098" s="76" t="s">
        <v>1374</v>
      </c>
      <c r="Q1098" s="55">
        <f>VLOOKUP(E1098,'NI-Ric_SP'!$C:$AN,12,FALSE)</f>
        <v>0</v>
      </c>
      <c r="R1098" s="55">
        <f>VLOOKUP(E1098,'NI-Ric_SP'!$C:$AN,13,FALSE)</f>
        <v>0</v>
      </c>
      <c r="S1098" s="55">
        <f>VLOOKUP(E1098,'NI-Ric_SP'!$C:$AN,31,FALSE)</f>
        <v>0</v>
      </c>
      <c r="T1098" s="55">
        <f>VLOOKUP(E1098,'NI-Ric_SP'!$C:$AN,32,FALSE)+VLOOKUP(E1098,'NI-Ric_SP'!$C:$AN,33,FALSE)</f>
        <v>0</v>
      </c>
      <c r="U1098" s="55">
        <f>VLOOKUP($E1098,'NI-Ric_SP'!$C:$AN,MID(U$1,1,2),FALSE)</f>
        <v>0</v>
      </c>
      <c r="V1098" s="55">
        <f>VLOOKUP($E1098,'NI-Ric_SP'!$C:$AN,MID(V$1,1,2),FALSE)</f>
        <v>0</v>
      </c>
      <c r="W1098" s="55">
        <f>VLOOKUP($E1098,'NI-Ric_SP'!$C:$AN,MID(W$1,1,2),FALSE)</f>
        <v>0</v>
      </c>
      <c r="X1098" s="55">
        <f>VLOOKUP($E1098,'NI-Ric_SP'!$C:$AN,MID(X$1,1,2),FALSE)</f>
        <v>0</v>
      </c>
      <c r="Y1098" s="55">
        <f>VLOOKUP($E1098,'NI-Ric_SP'!$C:$AN,MID(Y$1,1,2),FALSE)</f>
        <v>0</v>
      </c>
      <c r="Z1098" s="55">
        <f>VLOOKUP($E1098,'NI-Ric_SP'!$C:$AN,MID(Z$1,1,2),FALSE)</f>
        <v>0</v>
      </c>
      <c r="AA1098" s="55">
        <f>VLOOKUP($E1098,'NI-Ric_SP'!$C:$AN,MID(AA$1,1,2),FALSE)</f>
        <v>0</v>
      </c>
      <c r="AB1098" s="55">
        <f>VLOOKUP($E1098,'NI-Ric_SP'!$C:$AN,MID(AB$1,1,2),FALSE)</f>
        <v>0</v>
      </c>
      <c r="AC1098" s="55">
        <f>VLOOKUP($E1098,'NI-Ric_SP'!$C:$AN,MID(AC$1,1,2),FALSE)</f>
        <v>0</v>
      </c>
      <c r="AD1098" s="55">
        <f>VLOOKUP($E1098,'NI-Ric_SP'!$C:$AN,MID(AD$1,1,2),FALSE)</f>
        <v>0</v>
      </c>
      <c r="AE1098" s="55">
        <f>VLOOKUP($E1098,'NI-Ric_SP'!$C:$AN,MID(AE$1,1,2),FALSE)</f>
        <v>0</v>
      </c>
      <c r="AF1098" s="55">
        <f>VLOOKUP($E1098,'NI-Ric_SP'!$C:$AN,MID(AF$1,1,2),FALSE)</f>
        <v>0</v>
      </c>
      <c r="AG1098" s="55">
        <f>VLOOKUP($E1098,'NI-Ric_SP'!$C:$AN,MID(AG$1,1,2),FALSE)</f>
        <v>0</v>
      </c>
      <c r="AH1098" s="55">
        <f>VLOOKUP($E1098,'NI-Ric_SP'!$C:$AN,MID(AH$1,1,2),FALSE)</f>
        <v>0</v>
      </c>
      <c r="AI1098" s="55">
        <f>VLOOKUP($E1098,'NI-Ric_SP'!$C:$AN,MID(AI$1,1,2),FALSE)</f>
        <v>0</v>
      </c>
      <c r="AJ1098" s="55">
        <f>VLOOKUP($E1098,'NI-Ric_SP'!$C:$AN,MID(AJ$1,1,2),FALSE)</f>
        <v>0</v>
      </c>
      <c r="AK1098" s="55">
        <f>VLOOKUP($E1098,'NI-Ric_SP'!$C:$AN,MID(AK$1,1,2),FALSE)</f>
        <v>0</v>
      </c>
      <c r="AL1098" s="55">
        <f>VLOOKUP($E1098,'NI-Ric_SP'!$C:$AN,MID(AL$1,1,2),FALSE)</f>
        <v>0</v>
      </c>
      <c r="AM1098" s="56">
        <f>VLOOKUP($E1098,'NI-Ric_SP'!$C:$AN,MID(AM$1,1,2),FALSE)</f>
        <v>0</v>
      </c>
      <c r="AN1098" s="30" t="str">
        <f t="shared" si="17"/>
        <v>20201030010000</v>
      </c>
    </row>
    <row r="1099" spans="1:40" x14ac:dyDescent="0.25">
      <c r="C1099" s="40"/>
      <c r="D1099" s="101" t="s">
        <v>1375</v>
      </c>
      <c r="E1099" s="101" t="s">
        <v>1376</v>
      </c>
      <c r="F1099" s="102" t="s">
        <v>2750</v>
      </c>
      <c r="G1099" s="52"/>
      <c r="H1099" s="52"/>
      <c r="I1099" s="52" t="s">
        <v>1372</v>
      </c>
      <c r="J1099" s="52" t="s">
        <v>1372</v>
      </c>
      <c r="K1099" s="59" t="s">
        <v>79</v>
      </c>
      <c r="L1099" s="52"/>
      <c r="M1099" s="52"/>
      <c r="N1099" s="52"/>
      <c r="O1099" s="61" t="s">
        <v>1373</v>
      </c>
      <c r="P1099" s="76" t="s">
        <v>1377</v>
      </c>
      <c r="Q1099" s="55">
        <f>VLOOKUP(E1099,'NI-Ric_SP'!$C:$AN,12,FALSE)</f>
        <v>0</v>
      </c>
      <c r="R1099" s="55">
        <f>VLOOKUP(E1099,'NI-Ric_SP'!$C:$AN,13,FALSE)</f>
        <v>0</v>
      </c>
      <c r="S1099" s="55">
        <f>VLOOKUP(E1099,'NI-Ric_SP'!$C:$AN,31,FALSE)</f>
        <v>0</v>
      </c>
      <c r="T1099" s="55">
        <f>VLOOKUP(E1099,'NI-Ric_SP'!$C:$AN,32,FALSE)+VLOOKUP(E1099,'NI-Ric_SP'!$C:$AN,33,FALSE)</f>
        <v>0</v>
      </c>
      <c r="U1099" s="55">
        <f>VLOOKUP($E1099,'NI-Ric_SP'!$C:$AN,MID(U$1,1,2),FALSE)</f>
        <v>0</v>
      </c>
      <c r="V1099" s="55">
        <f>VLOOKUP($E1099,'NI-Ric_SP'!$C:$AN,MID(V$1,1,2),FALSE)</f>
        <v>0</v>
      </c>
      <c r="W1099" s="55">
        <f>VLOOKUP($E1099,'NI-Ric_SP'!$C:$AN,MID(W$1,1,2),FALSE)</f>
        <v>0</v>
      </c>
      <c r="X1099" s="55">
        <f>VLOOKUP($E1099,'NI-Ric_SP'!$C:$AN,MID(X$1,1,2),FALSE)</f>
        <v>0</v>
      </c>
      <c r="Y1099" s="55">
        <f>VLOOKUP($E1099,'NI-Ric_SP'!$C:$AN,MID(Y$1,1,2),FALSE)</f>
        <v>0</v>
      </c>
      <c r="Z1099" s="55">
        <f>VLOOKUP($E1099,'NI-Ric_SP'!$C:$AN,MID(Z$1,1,2),FALSE)</f>
        <v>0</v>
      </c>
      <c r="AA1099" s="55">
        <f>VLOOKUP($E1099,'NI-Ric_SP'!$C:$AN,MID(AA$1,1,2),FALSE)</f>
        <v>0</v>
      </c>
      <c r="AB1099" s="55">
        <f>VLOOKUP($E1099,'NI-Ric_SP'!$C:$AN,MID(AB$1,1,2),FALSE)</f>
        <v>0</v>
      </c>
      <c r="AC1099" s="55">
        <f>VLOOKUP($E1099,'NI-Ric_SP'!$C:$AN,MID(AC$1,1,2),FALSE)</f>
        <v>0</v>
      </c>
      <c r="AD1099" s="55">
        <f>VLOOKUP($E1099,'NI-Ric_SP'!$C:$AN,MID(AD$1,1,2),FALSE)</f>
        <v>0</v>
      </c>
      <c r="AE1099" s="55">
        <f>VLOOKUP($E1099,'NI-Ric_SP'!$C:$AN,MID(AE$1,1,2),FALSE)</f>
        <v>0</v>
      </c>
      <c r="AF1099" s="55">
        <f>VLOOKUP($E1099,'NI-Ric_SP'!$C:$AN,MID(AF$1,1,2),FALSE)</f>
        <v>0</v>
      </c>
      <c r="AG1099" s="55">
        <f>VLOOKUP($E1099,'NI-Ric_SP'!$C:$AN,MID(AG$1,1,2),FALSE)</f>
        <v>0</v>
      </c>
      <c r="AH1099" s="55">
        <f>VLOOKUP($E1099,'NI-Ric_SP'!$C:$AN,MID(AH$1,1,2),FALSE)</f>
        <v>0</v>
      </c>
      <c r="AI1099" s="55">
        <f>VLOOKUP($E1099,'NI-Ric_SP'!$C:$AN,MID(AI$1,1,2),FALSE)</f>
        <v>0</v>
      </c>
      <c r="AJ1099" s="55">
        <f>VLOOKUP($E1099,'NI-Ric_SP'!$C:$AN,MID(AJ$1,1,2),FALSE)</f>
        <v>0</v>
      </c>
      <c r="AK1099" s="55">
        <f>VLOOKUP($E1099,'NI-Ric_SP'!$C:$AN,MID(AK$1,1,2),FALSE)</f>
        <v>0</v>
      </c>
      <c r="AL1099" s="55">
        <f>VLOOKUP($E1099,'NI-Ric_SP'!$C:$AN,MID(AL$1,1,2),FALSE)</f>
        <v>0</v>
      </c>
      <c r="AM1099" s="56">
        <f>VLOOKUP($E1099,'NI-Ric_SP'!$C:$AN,MID(AM$1,1,2),FALSE)</f>
        <v>0</v>
      </c>
      <c r="AN1099" s="30" t="str">
        <f t="shared" si="17"/>
        <v>20201030020000</v>
      </c>
    </row>
    <row r="1100" spans="1:40" x14ac:dyDescent="0.25">
      <c r="C1100" s="40"/>
      <c r="D1100" s="101" t="s">
        <v>1378</v>
      </c>
      <c r="E1100" s="101" t="s">
        <v>1379</v>
      </c>
      <c r="F1100" s="102" t="s">
        <v>2750</v>
      </c>
      <c r="G1100" s="52"/>
      <c r="H1100" s="75" t="s">
        <v>1364</v>
      </c>
      <c r="I1100" s="52" t="s">
        <v>1380</v>
      </c>
      <c r="J1100" s="52" t="s">
        <v>1380</v>
      </c>
      <c r="K1100" s="59" t="s">
        <v>1358</v>
      </c>
      <c r="L1100" s="62" t="s">
        <v>1359</v>
      </c>
      <c r="M1100" s="52"/>
      <c r="N1100" s="52"/>
      <c r="O1100" s="61" t="s">
        <v>1373</v>
      </c>
      <c r="P1100" s="63" t="s">
        <v>1381</v>
      </c>
      <c r="Q1100" s="55">
        <f>VLOOKUP(E1100,'NI-Ric_SP'!$C:$AN,12,FALSE)</f>
        <v>0</v>
      </c>
      <c r="R1100" s="55">
        <f>VLOOKUP(E1100,'NI-Ric_SP'!$C:$AN,13,FALSE)</f>
        <v>0</v>
      </c>
      <c r="S1100" s="55">
        <f>VLOOKUP(E1100,'NI-Ric_SP'!$C:$AN,31,FALSE)</f>
        <v>0</v>
      </c>
      <c r="T1100" s="55">
        <f>VLOOKUP(E1100,'NI-Ric_SP'!$C:$AN,32,FALSE)+VLOOKUP(E1100,'NI-Ric_SP'!$C:$AN,33,FALSE)</f>
        <v>0</v>
      </c>
      <c r="U1100" s="55">
        <f>VLOOKUP($E1100,'NI-Ric_SP'!$C:$AN,MID(U$1,1,2),FALSE)</f>
        <v>0</v>
      </c>
      <c r="V1100" s="55">
        <f>VLOOKUP($E1100,'NI-Ric_SP'!$C:$AN,MID(V$1,1,2),FALSE)</f>
        <v>0</v>
      </c>
      <c r="W1100" s="55">
        <f>VLOOKUP($E1100,'NI-Ric_SP'!$C:$AN,MID(W$1,1,2),FALSE)</f>
        <v>0</v>
      </c>
      <c r="X1100" s="55">
        <f>VLOOKUP($E1100,'NI-Ric_SP'!$C:$AN,MID(X$1,1,2),FALSE)</f>
        <v>0</v>
      </c>
      <c r="Y1100" s="55">
        <f>VLOOKUP($E1100,'NI-Ric_SP'!$C:$AN,MID(Y$1,1,2),FALSE)</f>
        <v>0</v>
      </c>
      <c r="Z1100" s="55">
        <f>VLOOKUP($E1100,'NI-Ric_SP'!$C:$AN,MID(Z$1,1,2),FALSE)</f>
        <v>0</v>
      </c>
      <c r="AA1100" s="55">
        <f>VLOOKUP($E1100,'NI-Ric_SP'!$C:$AN,MID(AA$1,1,2),FALSE)</f>
        <v>0</v>
      </c>
      <c r="AB1100" s="55">
        <f>VLOOKUP($E1100,'NI-Ric_SP'!$C:$AN,MID(AB$1,1,2),FALSE)</f>
        <v>0</v>
      </c>
      <c r="AC1100" s="55">
        <f>VLOOKUP($E1100,'NI-Ric_SP'!$C:$AN,MID(AC$1,1,2),FALSE)</f>
        <v>0</v>
      </c>
      <c r="AD1100" s="55">
        <f>VLOOKUP($E1100,'NI-Ric_SP'!$C:$AN,MID(AD$1,1,2),FALSE)</f>
        <v>0</v>
      </c>
      <c r="AE1100" s="55">
        <f>VLOOKUP($E1100,'NI-Ric_SP'!$C:$AN,MID(AE$1,1,2),FALSE)</f>
        <v>0</v>
      </c>
      <c r="AF1100" s="55">
        <f>VLOOKUP($E1100,'NI-Ric_SP'!$C:$AN,MID(AF$1,1,2),FALSE)</f>
        <v>0</v>
      </c>
      <c r="AG1100" s="55">
        <f>VLOOKUP($E1100,'NI-Ric_SP'!$C:$AN,MID(AG$1,1,2),FALSE)</f>
        <v>0</v>
      </c>
      <c r="AH1100" s="55">
        <f>VLOOKUP($E1100,'NI-Ric_SP'!$C:$AN,MID(AH$1,1,2),FALSE)</f>
        <v>0</v>
      </c>
      <c r="AI1100" s="55">
        <f>VLOOKUP($E1100,'NI-Ric_SP'!$C:$AN,MID(AI$1,1,2),FALSE)</f>
        <v>0</v>
      </c>
      <c r="AJ1100" s="55">
        <f>VLOOKUP($E1100,'NI-Ric_SP'!$C:$AN,MID(AJ$1,1,2),FALSE)</f>
        <v>0</v>
      </c>
      <c r="AK1100" s="55">
        <f>VLOOKUP($E1100,'NI-Ric_SP'!$C:$AN,MID(AK$1,1,2),FALSE)</f>
        <v>0</v>
      </c>
      <c r="AL1100" s="55">
        <f>VLOOKUP($E1100,'NI-Ric_SP'!$C:$AN,MID(AL$1,1,2),FALSE)</f>
        <v>0</v>
      </c>
      <c r="AM1100" s="56">
        <f>VLOOKUP($E1100,'NI-Ric_SP'!$C:$AN,MID(AM$1,1,2),FALSE)</f>
        <v>0</v>
      </c>
      <c r="AN1100" s="30" t="str">
        <f t="shared" si="17"/>
        <v>20201040000000</v>
      </c>
    </row>
    <row r="1101" spans="1:40" x14ac:dyDescent="0.25">
      <c r="C1101" s="40"/>
      <c r="D1101" s="101" t="s">
        <v>1382</v>
      </c>
      <c r="E1101" s="101" t="s">
        <v>1383</v>
      </c>
      <c r="F1101" s="102" t="s">
        <v>2750</v>
      </c>
      <c r="G1101" s="52"/>
      <c r="H1101" s="75" t="s">
        <v>1364</v>
      </c>
      <c r="I1101" s="52" t="s">
        <v>1384</v>
      </c>
      <c r="J1101" s="52" t="s">
        <v>1384</v>
      </c>
      <c r="K1101" s="59" t="s">
        <v>1358</v>
      </c>
      <c r="L1101" s="62" t="s">
        <v>1359</v>
      </c>
      <c r="M1101" s="52"/>
      <c r="N1101" s="52"/>
      <c r="O1101" s="61" t="s">
        <v>1360</v>
      </c>
      <c r="P1101" s="63" t="s">
        <v>1385</v>
      </c>
      <c r="Q1101" s="55">
        <f>VLOOKUP(E1101,'NI-Ric_SP'!$C:$AN,12,FALSE)</f>
        <v>0</v>
      </c>
      <c r="R1101" s="55">
        <f>VLOOKUP(E1101,'NI-Ric_SP'!$C:$AN,13,FALSE)</f>
        <v>0</v>
      </c>
      <c r="S1101" s="55">
        <f>VLOOKUP(E1101,'NI-Ric_SP'!$C:$AN,31,FALSE)</f>
        <v>0</v>
      </c>
      <c r="T1101" s="55">
        <f>VLOOKUP(E1101,'NI-Ric_SP'!$C:$AN,32,FALSE)+VLOOKUP(E1101,'NI-Ric_SP'!$C:$AN,33,FALSE)</f>
        <v>0</v>
      </c>
      <c r="U1101" s="55">
        <f>VLOOKUP($E1101,'NI-Ric_SP'!$C:$AN,MID(U$1,1,2),FALSE)</f>
        <v>0</v>
      </c>
      <c r="V1101" s="55">
        <f>VLOOKUP($E1101,'NI-Ric_SP'!$C:$AN,MID(V$1,1,2),FALSE)</f>
        <v>0</v>
      </c>
      <c r="W1101" s="55">
        <f>VLOOKUP($E1101,'NI-Ric_SP'!$C:$AN,MID(W$1,1,2),FALSE)</f>
        <v>0</v>
      </c>
      <c r="X1101" s="55">
        <f>VLOOKUP($E1101,'NI-Ric_SP'!$C:$AN,MID(X$1,1,2),FALSE)</f>
        <v>0</v>
      </c>
      <c r="Y1101" s="55">
        <f>VLOOKUP($E1101,'NI-Ric_SP'!$C:$AN,MID(Y$1,1,2),FALSE)</f>
        <v>0</v>
      </c>
      <c r="Z1101" s="55">
        <f>VLOOKUP($E1101,'NI-Ric_SP'!$C:$AN,MID(Z$1,1,2),FALSE)</f>
        <v>0</v>
      </c>
      <c r="AA1101" s="55">
        <f>VLOOKUP($E1101,'NI-Ric_SP'!$C:$AN,MID(AA$1,1,2),FALSE)</f>
        <v>0</v>
      </c>
      <c r="AB1101" s="55">
        <f>VLOOKUP($E1101,'NI-Ric_SP'!$C:$AN,MID(AB$1,1,2),FALSE)</f>
        <v>0</v>
      </c>
      <c r="AC1101" s="55">
        <f>VLOOKUP($E1101,'NI-Ric_SP'!$C:$AN,MID(AC$1,1,2),FALSE)</f>
        <v>0</v>
      </c>
      <c r="AD1101" s="55">
        <f>VLOOKUP($E1101,'NI-Ric_SP'!$C:$AN,MID(AD$1,1,2),FALSE)</f>
        <v>0</v>
      </c>
      <c r="AE1101" s="55">
        <f>VLOOKUP($E1101,'NI-Ric_SP'!$C:$AN,MID(AE$1,1,2),FALSE)</f>
        <v>0</v>
      </c>
      <c r="AF1101" s="55">
        <f>VLOOKUP($E1101,'NI-Ric_SP'!$C:$AN,MID(AF$1,1,2),FALSE)</f>
        <v>0</v>
      </c>
      <c r="AG1101" s="55">
        <f>VLOOKUP($E1101,'NI-Ric_SP'!$C:$AN,MID(AG$1,1,2),FALSE)</f>
        <v>0</v>
      </c>
      <c r="AH1101" s="55">
        <f>VLOOKUP($E1101,'NI-Ric_SP'!$C:$AN,MID(AH$1,1,2),FALSE)</f>
        <v>0</v>
      </c>
      <c r="AI1101" s="55">
        <f>VLOOKUP($E1101,'NI-Ric_SP'!$C:$AN,MID(AI$1,1,2),FALSE)</f>
        <v>0</v>
      </c>
      <c r="AJ1101" s="55">
        <f>VLOOKUP($E1101,'NI-Ric_SP'!$C:$AN,MID(AJ$1,1,2),FALSE)</f>
        <v>0</v>
      </c>
      <c r="AK1101" s="55">
        <f>VLOOKUP($E1101,'NI-Ric_SP'!$C:$AN,MID(AK$1,1,2),FALSE)</f>
        <v>0</v>
      </c>
      <c r="AL1101" s="55">
        <f>VLOOKUP($E1101,'NI-Ric_SP'!$C:$AN,MID(AL$1,1,2),FALSE)</f>
        <v>0</v>
      </c>
      <c r="AM1101" s="56">
        <f>VLOOKUP($E1101,'NI-Ric_SP'!$C:$AN,MID(AM$1,1,2),FALSE)</f>
        <v>0</v>
      </c>
      <c r="AN1101" s="30" t="str">
        <f t="shared" si="17"/>
        <v>20201050000000</v>
      </c>
    </row>
    <row r="1102" spans="1:40" x14ac:dyDescent="0.25">
      <c r="C1102" s="40"/>
      <c r="D1102" s="101" t="s">
        <v>1386</v>
      </c>
      <c r="E1102" s="101" t="s">
        <v>1387</v>
      </c>
      <c r="F1102" s="102" t="s">
        <v>2750</v>
      </c>
      <c r="G1102" s="52"/>
      <c r="H1102" s="75" t="s">
        <v>1364</v>
      </c>
      <c r="I1102" s="52" t="s">
        <v>1388</v>
      </c>
      <c r="J1102" s="52" t="s">
        <v>1388</v>
      </c>
      <c r="K1102" s="59" t="s">
        <v>1358</v>
      </c>
      <c r="L1102" s="62" t="s">
        <v>1359</v>
      </c>
      <c r="M1102" s="52"/>
      <c r="N1102" s="52"/>
      <c r="O1102" s="61" t="s">
        <v>1360</v>
      </c>
      <c r="P1102" s="63" t="s">
        <v>1389</v>
      </c>
      <c r="Q1102" s="55">
        <f>VLOOKUP(E1102,'NI-Ric_SP'!$C:$AN,12,FALSE)</f>
        <v>0</v>
      </c>
      <c r="R1102" s="55">
        <f>VLOOKUP(E1102,'NI-Ric_SP'!$C:$AN,13,FALSE)</f>
        <v>0</v>
      </c>
      <c r="S1102" s="55">
        <f>VLOOKUP(E1102,'NI-Ric_SP'!$C:$AN,31,FALSE)</f>
        <v>0</v>
      </c>
      <c r="T1102" s="55">
        <f>VLOOKUP(E1102,'NI-Ric_SP'!$C:$AN,32,FALSE)+VLOOKUP(E1102,'NI-Ric_SP'!$C:$AN,33,FALSE)</f>
        <v>0</v>
      </c>
      <c r="U1102" s="55">
        <f>VLOOKUP($E1102,'NI-Ric_SP'!$C:$AN,MID(U$1,1,2),FALSE)</f>
        <v>0</v>
      </c>
      <c r="V1102" s="55">
        <f>VLOOKUP($E1102,'NI-Ric_SP'!$C:$AN,MID(V$1,1,2),FALSE)</f>
        <v>0</v>
      </c>
      <c r="W1102" s="55">
        <f>VLOOKUP($E1102,'NI-Ric_SP'!$C:$AN,MID(W$1,1,2),FALSE)</f>
        <v>0</v>
      </c>
      <c r="X1102" s="55">
        <f>VLOOKUP($E1102,'NI-Ric_SP'!$C:$AN,MID(X$1,1,2),FALSE)</f>
        <v>0</v>
      </c>
      <c r="Y1102" s="55">
        <f>VLOOKUP($E1102,'NI-Ric_SP'!$C:$AN,MID(Y$1,1,2),FALSE)</f>
        <v>0</v>
      </c>
      <c r="Z1102" s="55">
        <f>VLOOKUP($E1102,'NI-Ric_SP'!$C:$AN,MID(Z$1,1,2),FALSE)</f>
        <v>0</v>
      </c>
      <c r="AA1102" s="55">
        <f>VLOOKUP($E1102,'NI-Ric_SP'!$C:$AN,MID(AA$1,1,2),FALSE)</f>
        <v>0</v>
      </c>
      <c r="AB1102" s="55">
        <f>VLOOKUP($E1102,'NI-Ric_SP'!$C:$AN,MID(AB$1,1,2),FALSE)</f>
        <v>0</v>
      </c>
      <c r="AC1102" s="55">
        <f>VLOOKUP($E1102,'NI-Ric_SP'!$C:$AN,MID(AC$1,1,2),FALSE)</f>
        <v>0</v>
      </c>
      <c r="AD1102" s="55">
        <f>VLOOKUP($E1102,'NI-Ric_SP'!$C:$AN,MID(AD$1,1,2),FALSE)</f>
        <v>0</v>
      </c>
      <c r="AE1102" s="55">
        <f>VLOOKUP($E1102,'NI-Ric_SP'!$C:$AN,MID(AE$1,1,2),FALSE)</f>
        <v>0</v>
      </c>
      <c r="AF1102" s="55">
        <f>VLOOKUP($E1102,'NI-Ric_SP'!$C:$AN,MID(AF$1,1,2),FALSE)</f>
        <v>0</v>
      </c>
      <c r="AG1102" s="55">
        <f>VLOOKUP($E1102,'NI-Ric_SP'!$C:$AN,MID(AG$1,1,2),FALSE)</f>
        <v>0</v>
      </c>
      <c r="AH1102" s="55">
        <f>VLOOKUP($E1102,'NI-Ric_SP'!$C:$AN,MID(AH$1,1,2),FALSE)</f>
        <v>0</v>
      </c>
      <c r="AI1102" s="55">
        <f>VLOOKUP($E1102,'NI-Ric_SP'!$C:$AN,MID(AI$1,1,2),FALSE)</f>
        <v>0</v>
      </c>
      <c r="AJ1102" s="55">
        <f>VLOOKUP($E1102,'NI-Ric_SP'!$C:$AN,MID(AJ$1,1,2),FALSE)</f>
        <v>0</v>
      </c>
      <c r="AK1102" s="55">
        <f>VLOOKUP($E1102,'NI-Ric_SP'!$C:$AN,MID(AK$1,1,2),FALSE)</f>
        <v>0</v>
      </c>
      <c r="AL1102" s="55">
        <f>VLOOKUP($E1102,'NI-Ric_SP'!$C:$AN,MID(AL$1,1,2),FALSE)</f>
        <v>0</v>
      </c>
      <c r="AM1102" s="56">
        <f>VLOOKUP($E1102,'NI-Ric_SP'!$C:$AN,MID(AM$1,1,2),FALSE)</f>
        <v>0</v>
      </c>
      <c r="AN1102" s="30" t="str">
        <f t="shared" si="17"/>
        <v>20201060000000</v>
      </c>
    </row>
    <row r="1103" spans="1:40" x14ac:dyDescent="0.25">
      <c r="C1103" s="40"/>
      <c r="D1103" s="101" t="s">
        <v>1390</v>
      </c>
      <c r="E1103" s="101" t="s">
        <v>1391</v>
      </c>
      <c r="F1103" s="102" t="s">
        <v>2750</v>
      </c>
      <c r="G1103" s="52"/>
      <c r="H1103" s="52"/>
      <c r="I1103" s="52" t="s">
        <v>1392</v>
      </c>
      <c r="J1103" s="52" t="s">
        <v>1392</v>
      </c>
      <c r="K1103" s="59" t="s">
        <v>79</v>
      </c>
      <c r="L1103" s="62" t="s">
        <v>1359</v>
      </c>
      <c r="M1103" s="52"/>
      <c r="N1103" s="52"/>
      <c r="O1103" s="61" t="s">
        <v>1360</v>
      </c>
      <c r="P1103" s="63" t="s">
        <v>1393</v>
      </c>
      <c r="Q1103" s="55">
        <f>VLOOKUP(E1103,'NI-Ric_SP'!$C:$AN,12,FALSE)</f>
        <v>0</v>
      </c>
      <c r="R1103" s="55">
        <f>VLOOKUP(E1103,'NI-Ric_SP'!$C:$AN,13,FALSE)</f>
        <v>0</v>
      </c>
      <c r="S1103" s="55">
        <f>VLOOKUP(E1103,'NI-Ric_SP'!$C:$AN,31,FALSE)</f>
        <v>0</v>
      </c>
      <c r="T1103" s="55">
        <f>VLOOKUP(E1103,'NI-Ric_SP'!$C:$AN,32,FALSE)+VLOOKUP(E1103,'NI-Ric_SP'!$C:$AN,33,FALSE)</f>
        <v>0</v>
      </c>
      <c r="U1103" s="55">
        <f>VLOOKUP($E1103,'NI-Ric_SP'!$C:$AN,MID(U$1,1,2),FALSE)</f>
        <v>0</v>
      </c>
      <c r="V1103" s="55">
        <f>VLOOKUP($E1103,'NI-Ric_SP'!$C:$AN,MID(V$1,1,2),FALSE)</f>
        <v>0</v>
      </c>
      <c r="W1103" s="55">
        <f>VLOOKUP($E1103,'NI-Ric_SP'!$C:$AN,MID(W$1,1,2),FALSE)</f>
        <v>0</v>
      </c>
      <c r="X1103" s="55">
        <f>VLOOKUP($E1103,'NI-Ric_SP'!$C:$AN,MID(X$1,1,2),FALSE)</f>
        <v>0</v>
      </c>
      <c r="Y1103" s="55">
        <f>VLOOKUP($E1103,'NI-Ric_SP'!$C:$AN,MID(Y$1,1,2),FALSE)</f>
        <v>0</v>
      </c>
      <c r="Z1103" s="55">
        <f>VLOOKUP($E1103,'NI-Ric_SP'!$C:$AN,MID(Z$1,1,2),FALSE)</f>
        <v>0</v>
      </c>
      <c r="AA1103" s="55">
        <f>VLOOKUP($E1103,'NI-Ric_SP'!$C:$AN,MID(AA$1,1,2),FALSE)</f>
        <v>0</v>
      </c>
      <c r="AB1103" s="55">
        <f>VLOOKUP($E1103,'NI-Ric_SP'!$C:$AN,MID(AB$1,1,2),FALSE)</f>
        <v>0</v>
      </c>
      <c r="AC1103" s="55">
        <f>VLOOKUP($E1103,'NI-Ric_SP'!$C:$AN,MID(AC$1,1,2),FALSE)</f>
        <v>0</v>
      </c>
      <c r="AD1103" s="55">
        <f>VLOOKUP($E1103,'NI-Ric_SP'!$C:$AN,MID(AD$1,1,2),FALSE)</f>
        <v>0</v>
      </c>
      <c r="AE1103" s="55">
        <f>VLOOKUP($E1103,'NI-Ric_SP'!$C:$AN,MID(AE$1,1,2),FALSE)</f>
        <v>0</v>
      </c>
      <c r="AF1103" s="55">
        <f>VLOOKUP($E1103,'NI-Ric_SP'!$C:$AN,MID(AF$1,1,2),FALSE)</f>
        <v>0</v>
      </c>
      <c r="AG1103" s="55">
        <f>VLOOKUP($E1103,'NI-Ric_SP'!$C:$AN,MID(AG$1,1,2),FALSE)</f>
        <v>0</v>
      </c>
      <c r="AH1103" s="55">
        <f>VLOOKUP($E1103,'NI-Ric_SP'!$C:$AN,MID(AH$1,1,2),FALSE)</f>
        <v>0</v>
      </c>
      <c r="AI1103" s="55">
        <f>VLOOKUP($E1103,'NI-Ric_SP'!$C:$AN,MID(AI$1,1,2),FALSE)</f>
        <v>0</v>
      </c>
      <c r="AJ1103" s="55">
        <f>VLOOKUP($E1103,'NI-Ric_SP'!$C:$AN,MID(AJ$1,1,2),FALSE)</f>
        <v>0</v>
      </c>
      <c r="AK1103" s="55">
        <f>VLOOKUP($E1103,'NI-Ric_SP'!$C:$AN,MID(AK$1,1,2),FALSE)</f>
        <v>0</v>
      </c>
      <c r="AL1103" s="55">
        <f>VLOOKUP($E1103,'NI-Ric_SP'!$C:$AN,MID(AL$1,1,2),FALSE)</f>
        <v>0</v>
      </c>
      <c r="AM1103" s="56">
        <f>VLOOKUP($E1103,'NI-Ric_SP'!$C:$AN,MID(AM$1,1,2),FALSE)</f>
        <v>0</v>
      </c>
      <c r="AN1103" s="30" t="str">
        <f t="shared" si="17"/>
        <v>20201070000000</v>
      </c>
    </row>
    <row r="1104" spans="1:40" x14ac:dyDescent="0.25">
      <c r="A1104" s="30" t="s">
        <v>1394</v>
      </c>
      <c r="C1104" s="40"/>
      <c r="D1104" s="87" t="s">
        <v>1395</v>
      </c>
      <c r="E1104" s="87" t="s">
        <v>1396</v>
      </c>
      <c r="F1104" s="102" t="s">
        <v>2750</v>
      </c>
      <c r="H1104" s="52"/>
      <c r="I1104" s="52"/>
      <c r="J1104" s="52" t="s">
        <v>1397</v>
      </c>
      <c r="K1104" s="59" t="s">
        <v>79</v>
      </c>
      <c r="L1104" s="62" t="s">
        <v>1359</v>
      </c>
      <c r="M1104" s="52"/>
      <c r="N1104" s="52"/>
      <c r="O1104" s="61" t="s">
        <v>1360</v>
      </c>
      <c r="P1104" s="76" t="s">
        <v>1398</v>
      </c>
      <c r="Q1104" s="55">
        <f>VLOOKUP(E1104,'NI-Ric_SP'!$C:$AN,12,FALSE)</f>
        <v>0</v>
      </c>
      <c r="R1104" s="55">
        <f>VLOOKUP(E1104,'NI-Ric_SP'!$C:$AN,13,FALSE)</f>
        <v>0</v>
      </c>
      <c r="S1104" s="55">
        <f>VLOOKUP(E1104,'NI-Ric_SP'!$C:$AN,31,FALSE)</f>
        <v>0</v>
      </c>
      <c r="T1104" s="55">
        <f>VLOOKUP(E1104,'NI-Ric_SP'!$C:$AN,32,FALSE)+VLOOKUP(E1104,'NI-Ric_SP'!$C:$AN,33,FALSE)</f>
        <v>0</v>
      </c>
      <c r="U1104" s="55">
        <f>VLOOKUP($E1104,'NI-Ric_SP'!$C:$AN,MID(U$1,1,2),FALSE)</f>
        <v>0</v>
      </c>
      <c r="V1104" s="55">
        <f>VLOOKUP($E1104,'NI-Ric_SP'!$C:$AN,MID(V$1,1,2),FALSE)</f>
        <v>0</v>
      </c>
      <c r="W1104" s="55">
        <f>VLOOKUP($E1104,'NI-Ric_SP'!$C:$AN,MID(W$1,1,2),FALSE)</f>
        <v>0</v>
      </c>
      <c r="X1104" s="55">
        <f>VLOOKUP($E1104,'NI-Ric_SP'!$C:$AN,MID(X$1,1,2),FALSE)</f>
        <v>0</v>
      </c>
      <c r="Y1104" s="55">
        <f>VLOOKUP($E1104,'NI-Ric_SP'!$C:$AN,MID(Y$1,1,2),FALSE)</f>
        <v>0</v>
      </c>
      <c r="Z1104" s="55">
        <f>VLOOKUP($E1104,'NI-Ric_SP'!$C:$AN,MID(Z$1,1,2),FALSE)</f>
        <v>0</v>
      </c>
      <c r="AA1104" s="55">
        <f>VLOOKUP($E1104,'NI-Ric_SP'!$C:$AN,MID(AA$1,1,2),FALSE)</f>
        <v>0</v>
      </c>
      <c r="AB1104" s="55">
        <f>VLOOKUP($E1104,'NI-Ric_SP'!$C:$AN,MID(AB$1,1,2),FALSE)</f>
        <v>0</v>
      </c>
      <c r="AC1104" s="55">
        <f>VLOOKUP($E1104,'NI-Ric_SP'!$C:$AN,MID(AC$1,1,2),FALSE)</f>
        <v>0</v>
      </c>
      <c r="AD1104" s="55">
        <f>VLOOKUP($E1104,'NI-Ric_SP'!$C:$AN,MID(AD$1,1,2),FALSE)</f>
        <v>0</v>
      </c>
      <c r="AE1104" s="55">
        <f>VLOOKUP($E1104,'NI-Ric_SP'!$C:$AN,MID(AE$1,1,2),FALSE)</f>
        <v>0</v>
      </c>
      <c r="AF1104" s="55">
        <f>VLOOKUP($E1104,'NI-Ric_SP'!$C:$AN,MID(AF$1,1,2),FALSE)</f>
        <v>0</v>
      </c>
      <c r="AG1104" s="55">
        <f>VLOOKUP($E1104,'NI-Ric_SP'!$C:$AN,MID(AG$1,1,2),FALSE)</f>
        <v>0</v>
      </c>
      <c r="AH1104" s="55">
        <f>VLOOKUP($E1104,'NI-Ric_SP'!$C:$AN,MID(AH$1,1,2),FALSE)</f>
        <v>0</v>
      </c>
      <c r="AI1104" s="55">
        <f>VLOOKUP($E1104,'NI-Ric_SP'!$C:$AN,MID(AI$1,1,2),FALSE)</f>
        <v>0</v>
      </c>
      <c r="AJ1104" s="55">
        <f>VLOOKUP($E1104,'NI-Ric_SP'!$C:$AN,MID(AJ$1,1,2),FALSE)</f>
        <v>0</v>
      </c>
      <c r="AK1104" s="55">
        <f>VLOOKUP($E1104,'NI-Ric_SP'!$C:$AN,MID(AK$1,1,2),FALSE)</f>
        <v>0</v>
      </c>
      <c r="AL1104" s="55">
        <f>VLOOKUP($E1104,'NI-Ric_SP'!$C:$AN,MID(AL$1,1,2),FALSE)</f>
        <v>0</v>
      </c>
      <c r="AM1104" s="56">
        <f>VLOOKUP($E1104,'NI-Ric_SP'!$C:$AN,MID(AM$1,1,2),FALSE)</f>
        <v>0</v>
      </c>
      <c r="AN1104" s="30" t="str">
        <f t="shared" si="17"/>
        <v>20201080000000</v>
      </c>
    </row>
    <row r="1105" spans="3:40" x14ac:dyDescent="0.25">
      <c r="C1105" s="40"/>
      <c r="D1105" s="101" t="s">
        <v>1399</v>
      </c>
      <c r="E1105" s="101" t="s">
        <v>1400</v>
      </c>
      <c r="F1105" s="102" t="s">
        <v>2750</v>
      </c>
      <c r="G1105" s="52"/>
      <c r="H1105" s="52"/>
      <c r="I1105" s="52" t="s">
        <v>1401</v>
      </c>
      <c r="J1105" s="52" t="s">
        <v>1401</v>
      </c>
      <c r="K1105" s="59" t="s">
        <v>79</v>
      </c>
      <c r="L1105" s="62" t="s">
        <v>1402</v>
      </c>
      <c r="M1105" s="52"/>
      <c r="N1105" s="52"/>
      <c r="O1105" s="61" t="s">
        <v>1403</v>
      </c>
      <c r="P1105" s="63" t="s">
        <v>1404</v>
      </c>
      <c r="Q1105" s="55">
        <f>VLOOKUP(E1105,'NI-Ric_SP'!$C:$AN,12,FALSE)</f>
        <v>0</v>
      </c>
      <c r="R1105" s="55">
        <f>VLOOKUP(E1105,'NI-Ric_SP'!$C:$AN,13,FALSE)</f>
        <v>0</v>
      </c>
      <c r="S1105" s="55">
        <f>VLOOKUP(E1105,'NI-Ric_SP'!$C:$AN,31,FALSE)</f>
        <v>0</v>
      </c>
      <c r="T1105" s="55">
        <f>VLOOKUP(E1105,'NI-Ric_SP'!$C:$AN,32,FALSE)+VLOOKUP(E1105,'NI-Ric_SP'!$C:$AN,33,FALSE)</f>
        <v>0</v>
      </c>
      <c r="U1105" s="55">
        <f>VLOOKUP($E1105,'NI-Ric_SP'!$C:$AN,MID(U$1,1,2),FALSE)</f>
        <v>0</v>
      </c>
      <c r="V1105" s="55">
        <f>VLOOKUP($E1105,'NI-Ric_SP'!$C:$AN,MID(V$1,1,2),FALSE)</f>
        <v>0</v>
      </c>
      <c r="W1105" s="55">
        <f>VLOOKUP($E1105,'NI-Ric_SP'!$C:$AN,MID(W$1,1,2),FALSE)</f>
        <v>0</v>
      </c>
      <c r="X1105" s="55">
        <f>VLOOKUP($E1105,'NI-Ric_SP'!$C:$AN,MID(X$1,1,2),FALSE)</f>
        <v>0</v>
      </c>
      <c r="Y1105" s="55">
        <f>VLOOKUP($E1105,'NI-Ric_SP'!$C:$AN,MID(Y$1,1,2),FALSE)</f>
        <v>0</v>
      </c>
      <c r="Z1105" s="55">
        <f>VLOOKUP($E1105,'NI-Ric_SP'!$C:$AN,MID(Z$1,1,2),FALSE)</f>
        <v>0</v>
      </c>
      <c r="AA1105" s="55">
        <f>VLOOKUP($E1105,'NI-Ric_SP'!$C:$AN,MID(AA$1,1,2),FALSE)</f>
        <v>0</v>
      </c>
      <c r="AB1105" s="55">
        <f>VLOOKUP($E1105,'NI-Ric_SP'!$C:$AN,MID(AB$1,1,2),FALSE)</f>
        <v>0</v>
      </c>
      <c r="AC1105" s="55">
        <f>VLOOKUP($E1105,'NI-Ric_SP'!$C:$AN,MID(AC$1,1,2),FALSE)</f>
        <v>0</v>
      </c>
      <c r="AD1105" s="55">
        <f>VLOOKUP($E1105,'NI-Ric_SP'!$C:$AN,MID(AD$1,1,2),FALSE)</f>
        <v>0</v>
      </c>
      <c r="AE1105" s="55">
        <f>VLOOKUP($E1105,'NI-Ric_SP'!$C:$AN,MID(AE$1,1,2),FALSE)</f>
        <v>0</v>
      </c>
      <c r="AF1105" s="55">
        <f>VLOOKUP($E1105,'NI-Ric_SP'!$C:$AN,MID(AF$1,1,2),FALSE)</f>
        <v>0</v>
      </c>
      <c r="AG1105" s="55">
        <f>VLOOKUP($E1105,'NI-Ric_SP'!$C:$AN,MID(AG$1,1,2),FALSE)</f>
        <v>0</v>
      </c>
      <c r="AH1105" s="55">
        <f>VLOOKUP($E1105,'NI-Ric_SP'!$C:$AN,MID(AH$1,1,2),FALSE)</f>
        <v>0</v>
      </c>
      <c r="AI1105" s="55">
        <f>VLOOKUP($E1105,'NI-Ric_SP'!$C:$AN,MID(AI$1,1,2),FALSE)</f>
        <v>0</v>
      </c>
      <c r="AJ1105" s="55">
        <f>VLOOKUP($E1105,'NI-Ric_SP'!$C:$AN,MID(AJ$1,1,2),FALSE)</f>
        <v>0</v>
      </c>
      <c r="AK1105" s="55">
        <f>VLOOKUP($E1105,'NI-Ric_SP'!$C:$AN,MID(AK$1,1,2),FALSE)</f>
        <v>0</v>
      </c>
      <c r="AL1105" s="55">
        <f>VLOOKUP($E1105,'NI-Ric_SP'!$C:$AN,MID(AL$1,1,2),FALSE)</f>
        <v>0</v>
      </c>
      <c r="AM1105" s="56">
        <f>VLOOKUP($E1105,'NI-Ric_SP'!$C:$AN,MID(AM$1,1,2),FALSE)</f>
        <v>0</v>
      </c>
      <c r="AN1105" s="30" t="str">
        <f t="shared" si="17"/>
        <v>20201090000000</v>
      </c>
    </row>
    <row r="1106" spans="3:40" x14ac:dyDescent="0.25">
      <c r="C1106" s="40"/>
      <c r="D1106" s="101" t="s">
        <v>1405</v>
      </c>
      <c r="E1106" s="101" t="s">
        <v>1406</v>
      </c>
      <c r="F1106" s="102" t="s">
        <v>2750</v>
      </c>
      <c r="G1106" s="52"/>
      <c r="H1106" s="52"/>
      <c r="I1106" s="52"/>
      <c r="J1106" s="52"/>
      <c r="K1106" s="59" t="s">
        <v>111</v>
      </c>
      <c r="L1106" s="62"/>
      <c r="M1106" s="52"/>
      <c r="N1106" s="52"/>
      <c r="O1106" s="52"/>
      <c r="P1106" s="63" t="s">
        <v>1407</v>
      </c>
      <c r="Q1106" s="55">
        <f>VLOOKUP(E1106,'NI-Ric_SP'!$C:$AN,12,FALSE)</f>
        <v>0</v>
      </c>
      <c r="R1106" s="55">
        <f>VLOOKUP(E1106,'NI-Ric_SP'!$C:$AN,13,FALSE)</f>
        <v>0</v>
      </c>
      <c r="S1106" s="55">
        <f>VLOOKUP(E1106,'NI-Ric_SP'!$C:$AN,31,FALSE)</f>
        <v>0</v>
      </c>
      <c r="T1106" s="55">
        <f>VLOOKUP(E1106,'NI-Ric_SP'!$C:$AN,32,FALSE)+VLOOKUP(E1106,'NI-Ric_SP'!$C:$AN,33,FALSE)</f>
        <v>0</v>
      </c>
      <c r="U1106" s="55">
        <f>VLOOKUP($E1106,'NI-Ric_SP'!$C:$AN,MID(U$1,1,2),FALSE)</f>
        <v>0</v>
      </c>
      <c r="V1106" s="55">
        <f>VLOOKUP($E1106,'NI-Ric_SP'!$C:$AN,MID(V$1,1,2),FALSE)</f>
        <v>0</v>
      </c>
      <c r="W1106" s="55">
        <f>VLOOKUP($E1106,'NI-Ric_SP'!$C:$AN,MID(W$1,1,2),FALSE)</f>
        <v>0</v>
      </c>
      <c r="X1106" s="55">
        <f>VLOOKUP($E1106,'NI-Ric_SP'!$C:$AN,MID(X$1,1,2),FALSE)</f>
        <v>0</v>
      </c>
      <c r="Y1106" s="55">
        <f>VLOOKUP($E1106,'NI-Ric_SP'!$C:$AN,MID(Y$1,1,2),FALSE)</f>
        <v>0</v>
      </c>
      <c r="Z1106" s="55">
        <f>VLOOKUP($E1106,'NI-Ric_SP'!$C:$AN,MID(Z$1,1,2),FALSE)</f>
        <v>0</v>
      </c>
      <c r="AA1106" s="55">
        <f>VLOOKUP($E1106,'NI-Ric_SP'!$C:$AN,MID(AA$1,1,2),FALSE)</f>
        <v>0</v>
      </c>
      <c r="AB1106" s="55">
        <f>VLOOKUP($E1106,'NI-Ric_SP'!$C:$AN,MID(AB$1,1,2),FALSE)</f>
        <v>0</v>
      </c>
      <c r="AC1106" s="55">
        <f>VLOOKUP($E1106,'NI-Ric_SP'!$C:$AN,MID(AC$1,1,2),FALSE)</f>
        <v>0</v>
      </c>
      <c r="AD1106" s="55">
        <f>VLOOKUP($E1106,'NI-Ric_SP'!$C:$AN,MID(AD$1,1,2),FALSE)</f>
        <v>0</v>
      </c>
      <c r="AE1106" s="55">
        <f>VLOOKUP($E1106,'NI-Ric_SP'!$C:$AN,MID(AE$1,1,2),FALSE)</f>
        <v>0</v>
      </c>
      <c r="AF1106" s="55">
        <f>VLOOKUP($E1106,'NI-Ric_SP'!$C:$AN,MID(AF$1,1,2),FALSE)</f>
        <v>0</v>
      </c>
      <c r="AG1106" s="55">
        <f>VLOOKUP($E1106,'NI-Ric_SP'!$C:$AN,MID(AG$1,1,2),FALSE)</f>
        <v>0</v>
      </c>
      <c r="AH1106" s="55">
        <f>VLOOKUP($E1106,'NI-Ric_SP'!$C:$AN,MID(AH$1,1,2),FALSE)</f>
        <v>0</v>
      </c>
      <c r="AI1106" s="55">
        <f>VLOOKUP($E1106,'NI-Ric_SP'!$C:$AN,MID(AI$1,1,2),FALSE)</f>
        <v>0</v>
      </c>
      <c r="AJ1106" s="55">
        <f>VLOOKUP($E1106,'NI-Ric_SP'!$C:$AN,MID(AJ$1,1,2),FALSE)</f>
        <v>0</v>
      </c>
      <c r="AK1106" s="55">
        <f>VLOOKUP($E1106,'NI-Ric_SP'!$C:$AN,MID(AK$1,1,2),FALSE)</f>
        <v>0</v>
      </c>
      <c r="AL1106" s="55">
        <f>VLOOKUP($E1106,'NI-Ric_SP'!$C:$AN,MID(AL$1,1,2),FALSE)</f>
        <v>0</v>
      </c>
      <c r="AM1106" s="56">
        <f>VLOOKUP($E1106,'NI-Ric_SP'!$C:$AN,MID(AM$1,1,2),FALSE)</f>
        <v>0</v>
      </c>
      <c r="AN1106" s="30" t="str">
        <f t="shared" si="17"/>
        <v>20201100000000</v>
      </c>
    </row>
    <row r="1107" spans="3:40" x14ac:dyDescent="0.25">
      <c r="C1107" s="40"/>
      <c r="D1107" s="101" t="s">
        <v>1408</v>
      </c>
      <c r="E1107" s="101" t="s">
        <v>1409</v>
      </c>
      <c r="F1107" s="102" t="s">
        <v>2750</v>
      </c>
      <c r="G1107" s="52"/>
      <c r="H1107" s="52"/>
      <c r="I1107" s="52" t="s">
        <v>1410</v>
      </c>
      <c r="J1107" s="52" t="s">
        <v>1410</v>
      </c>
      <c r="K1107" s="59" t="s">
        <v>79</v>
      </c>
      <c r="L1107" s="62" t="s">
        <v>1359</v>
      </c>
      <c r="M1107" s="52"/>
      <c r="N1107" s="52"/>
      <c r="O1107" s="61" t="s">
        <v>1411</v>
      </c>
      <c r="P1107" s="76" t="s">
        <v>1412</v>
      </c>
      <c r="Q1107" s="55">
        <f>VLOOKUP(E1107,'NI-Ric_SP'!$C:$AN,12,FALSE)</f>
        <v>0</v>
      </c>
      <c r="R1107" s="55">
        <f>VLOOKUP(E1107,'NI-Ric_SP'!$C:$AN,13,FALSE)</f>
        <v>0</v>
      </c>
      <c r="S1107" s="55">
        <f>VLOOKUP(E1107,'NI-Ric_SP'!$C:$AN,31,FALSE)</f>
        <v>0</v>
      </c>
      <c r="T1107" s="55">
        <f>VLOOKUP(E1107,'NI-Ric_SP'!$C:$AN,32,FALSE)+VLOOKUP(E1107,'NI-Ric_SP'!$C:$AN,33,FALSE)</f>
        <v>0</v>
      </c>
      <c r="U1107" s="55">
        <f>VLOOKUP($E1107,'NI-Ric_SP'!$C:$AN,MID(U$1,1,2),FALSE)</f>
        <v>0</v>
      </c>
      <c r="V1107" s="55">
        <f>VLOOKUP($E1107,'NI-Ric_SP'!$C:$AN,MID(V$1,1,2),FALSE)</f>
        <v>0</v>
      </c>
      <c r="W1107" s="55">
        <f>VLOOKUP($E1107,'NI-Ric_SP'!$C:$AN,MID(W$1,1,2),FALSE)</f>
        <v>0</v>
      </c>
      <c r="X1107" s="55">
        <f>VLOOKUP($E1107,'NI-Ric_SP'!$C:$AN,MID(X$1,1,2),FALSE)</f>
        <v>0</v>
      </c>
      <c r="Y1107" s="55">
        <f>VLOOKUP($E1107,'NI-Ric_SP'!$C:$AN,MID(Y$1,1,2),FALSE)</f>
        <v>0</v>
      </c>
      <c r="Z1107" s="55">
        <f>VLOOKUP($E1107,'NI-Ric_SP'!$C:$AN,MID(Z$1,1,2),FALSE)</f>
        <v>0</v>
      </c>
      <c r="AA1107" s="55">
        <f>VLOOKUP($E1107,'NI-Ric_SP'!$C:$AN,MID(AA$1,1,2),FALSE)</f>
        <v>0</v>
      </c>
      <c r="AB1107" s="55">
        <f>VLOOKUP($E1107,'NI-Ric_SP'!$C:$AN,MID(AB$1,1,2),FALSE)</f>
        <v>0</v>
      </c>
      <c r="AC1107" s="55">
        <f>VLOOKUP($E1107,'NI-Ric_SP'!$C:$AN,MID(AC$1,1,2),FALSE)</f>
        <v>0</v>
      </c>
      <c r="AD1107" s="55">
        <f>VLOOKUP($E1107,'NI-Ric_SP'!$C:$AN,MID(AD$1,1,2),FALSE)</f>
        <v>0</v>
      </c>
      <c r="AE1107" s="55">
        <f>VLOOKUP($E1107,'NI-Ric_SP'!$C:$AN,MID(AE$1,1,2),FALSE)</f>
        <v>0</v>
      </c>
      <c r="AF1107" s="55">
        <f>VLOOKUP($E1107,'NI-Ric_SP'!$C:$AN,MID(AF$1,1,2),FALSE)</f>
        <v>0</v>
      </c>
      <c r="AG1107" s="55">
        <f>VLOOKUP($E1107,'NI-Ric_SP'!$C:$AN,MID(AG$1,1,2),FALSE)</f>
        <v>0</v>
      </c>
      <c r="AH1107" s="55">
        <f>VLOOKUP($E1107,'NI-Ric_SP'!$C:$AN,MID(AH$1,1,2),FALSE)</f>
        <v>0</v>
      </c>
      <c r="AI1107" s="55">
        <f>VLOOKUP($E1107,'NI-Ric_SP'!$C:$AN,MID(AI$1,1,2),FALSE)</f>
        <v>0</v>
      </c>
      <c r="AJ1107" s="55">
        <f>VLOOKUP($E1107,'NI-Ric_SP'!$C:$AN,MID(AJ$1,1,2),FALSE)</f>
        <v>0</v>
      </c>
      <c r="AK1107" s="55">
        <f>VLOOKUP($E1107,'NI-Ric_SP'!$C:$AN,MID(AK$1,1,2),FALSE)</f>
        <v>0</v>
      </c>
      <c r="AL1107" s="55">
        <f>VLOOKUP($E1107,'NI-Ric_SP'!$C:$AN,MID(AL$1,1,2),FALSE)</f>
        <v>0</v>
      </c>
      <c r="AM1107" s="56">
        <f>VLOOKUP($E1107,'NI-Ric_SP'!$C:$AN,MID(AM$1,1,2),FALSE)</f>
        <v>0</v>
      </c>
      <c r="AN1107" s="30" t="str">
        <f t="shared" si="17"/>
        <v>20201100010000</v>
      </c>
    </row>
    <row r="1108" spans="3:40" x14ac:dyDescent="0.25">
      <c r="C1108" s="40"/>
      <c r="D1108" s="101" t="s">
        <v>1413</v>
      </c>
      <c r="E1108" s="101" t="s">
        <v>1414</v>
      </c>
      <c r="F1108" s="102" t="s">
        <v>2750</v>
      </c>
      <c r="G1108" s="52"/>
      <c r="H1108" s="52"/>
      <c r="I1108" s="52" t="s">
        <v>1415</v>
      </c>
      <c r="J1108" s="52" t="s">
        <v>1415</v>
      </c>
      <c r="K1108" s="59" t="s">
        <v>79</v>
      </c>
      <c r="L1108" s="62" t="s">
        <v>1416</v>
      </c>
      <c r="M1108" s="52"/>
      <c r="N1108" s="52"/>
      <c r="O1108" s="61" t="s">
        <v>1417</v>
      </c>
      <c r="P1108" s="76" t="s">
        <v>1418</v>
      </c>
      <c r="Q1108" s="55">
        <f>VLOOKUP(E1108,'NI-Ric_SP'!$C:$AN,12,FALSE)</f>
        <v>0</v>
      </c>
      <c r="R1108" s="55">
        <f>VLOOKUP(E1108,'NI-Ric_SP'!$C:$AN,13,FALSE)</f>
        <v>0</v>
      </c>
      <c r="S1108" s="55">
        <f>VLOOKUP(E1108,'NI-Ric_SP'!$C:$AN,31,FALSE)</f>
        <v>0</v>
      </c>
      <c r="T1108" s="55">
        <f>VLOOKUP(E1108,'NI-Ric_SP'!$C:$AN,32,FALSE)+VLOOKUP(E1108,'NI-Ric_SP'!$C:$AN,33,FALSE)</f>
        <v>0</v>
      </c>
      <c r="U1108" s="55">
        <f>VLOOKUP($E1108,'NI-Ric_SP'!$C:$AN,MID(U$1,1,2),FALSE)</f>
        <v>0</v>
      </c>
      <c r="V1108" s="55">
        <f>VLOOKUP($E1108,'NI-Ric_SP'!$C:$AN,MID(V$1,1,2),FALSE)</f>
        <v>0</v>
      </c>
      <c r="W1108" s="55">
        <f>VLOOKUP($E1108,'NI-Ric_SP'!$C:$AN,MID(W$1,1,2),FALSE)</f>
        <v>0</v>
      </c>
      <c r="X1108" s="55">
        <f>VLOOKUP($E1108,'NI-Ric_SP'!$C:$AN,MID(X$1,1,2),FALSE)</f>
        <v>0</v>
      </c>
      <c r="Y1108" s="55">
        <f>VLOOKUP($E1108,'NI-Ric_SP'!$C:$AN,MID(Y$1,1,2),FALSE)</f>
        <v>0</v>
      </c>
      <c r="Z1108" s="55">
        <f>VLOOKUP($E1108,'NI-Ric_SP'!$C:$AN,MID(Z$1,1,2),FALSE)</f>
        <v>0</v>
      </c>
      <c r="AA1108" s="55">
        <f>VLOOKUP($E1108,'NI-Ric_SP'!$C:$AN,MID(AA$1,1,2),FALSE)</f>
        <v>0</v>
      </c>
      <c r="AB1108" s="55">
        <f>VLOOKUP($E1108,'NI-Ric_SP'!$C:$AN,MID(AB$1,1,2),FALSE)</f>
        <v>0</v>
      </c>
      <c r="AC1108" s="55">
        <f>VLOOKUP($E1108,'NI-Ric_SP'!$C:$AN,MID(AC$1,1,2),FALSE)</f>
        <v>0</v>
      </c>
      <c r="AD1108" s="55">
        <f>VLOOKUP($E1108,'NI-Ric_SP'!$C:$AN,MID(AD$1,1,2),FALSE)</f>
        <v>0</v>
      </c>
      <c r="AE1108" s="55">
        <f>VLOOKUP($E1108,'NI-Ric_SP'!$C:$AN,MID(AE$1,1,2),FALSE)</f>
        <v>0</v>
      </c>
      <c r="AF1108" s="55">
        <f>VLOOKUP($E1108,'NI-Ric_SP'!$C:$AN,MID(AF$1,1,2),FALSE)</f>
        <v>0</v>
      </c>
      <c r="AG1108" s="55">
        <f>VLOOKUP($E1108,'NI-Ric_SP'!$C:$AN,MID(AG$1,1,2),FALSE)</f>
        <v>0</v>
      </c>
      <c r="AH1108" s="55">
        <f>VLOOKUP($E1108,'NI-Ric_SP'!$C:$AN,MID(AH$1,1,2),FALSE)</f>
        <v>0</v>
      </c>
      <c r="AI1108" s="55">
        <f>VLOOKUP($E1108,'NI-Ric_SP'!$C:$AN,MID(AI$1,1,2),FALSE)</f>
        <v>0</v>
      </c>
      <c r="AJ1108" s="55">
        <f>VLOOKUP($E1108,'NI-Ric_SP'!$C:$AN,MID(AJ$1,1,2),FALSE)</f>
        <v>0</v>
      </c>
      <c r="AK1108" s="55">
        <f>VLOOKUP($E1108,'NI-Ric_SP'!$C:$AN,MID(AK$1,1,2),FALSE)</f>
        <v>0</v>
      </c>
      <c r="AL1108" s="55">
        <f>VLOOKUP($E1108,'NI-Ric_SP'!$C:$AN,MID(AL$1,1,2),FALSE)</f>
        <v>0</v>
      </c>
      <c r="AM1108" s="56">
        <f>VLOOKUP($E1108,'NI-Ric_SP'!$C:$AN,MID(AM$1,1,2),FALSE)</f>
        <v>0</v>
      </c>
      <c r="AN1108" s="30" t="str">
        <f t="shared" si="17"/>
        <v>20201100020000</v>
      </c>
    </row>
    <row r="1109" spans="3:40" x14ac:dyDescent="0.25">
      <c r="C1109" s="40"/>
      <c r="D1109" s="101" t="s">
        <v>1419</v>
      </c>
      <c r="E1109" s="101" t="s">
        <v>1420</v>
      </c>
      <c r="F1109" s="102" t="s">
        <v>2750</v>
      </c>
      <c r="G1109" s="52"/>
      <c r="H1109" s="52"/>
      <c r="I1109" s="52" t="s">
        <v>1421</v>
      </c>
      <c r="J1109" s="52" t="s">
        <v>1421</v>
      </c>
      <c r="K1109" s="59" t="s">
        <v>79</v>
      </c>
      <c r="L1109" s="62" t="s">
        <v>1359</v>
      </c>
      <c r="M1109" s="52"/>
      <c r="N1109" s="52"/>
      <c r="O1109" s="61" t="s">
        <v>1422</v>
      </c>
      <c r="P1109" s="76" t="s">
        <v>1423</v>
      </c>
      <c r="Q1109" s="55">
        <f>VLOOKUP(E1109,'NI-Ric_SP'!$C:$AN,12,FALSE)</f>
        <v>0</v>
      </c>
      <c r="R1109" s="55">
        <f>VLOOKUP(E1109,'NI-Ric_SP'!$C:$AN,13,FALSE)</f>
        <v>0</v>
      </c>
      <c r="S1109" s="55">
        <f>VLOOKUP(E1109,'NI-Ric_SP'!$C:$AN,31,FALSE)</f>
        <v>0</v>
      </c>
      <c r="T1109" s="55">
        <f>VLOOKUP(E1109,'NI-Ric_SP'!$C:$AN,32,FALSE)+VLOOKUP(E1109,'NI-Ric_SP'!$C:$AN,33,FALSE)</f>
        <v>0</v>
      </c>
      <c r="U1109" s="55">
        <f>VLOOKUP($E1109,'NI-Ric_SP'!$C:$AN,MID(U$1,1,2),FALSE)</f>
        <v>0</v>
      </c>
      <c r="V1109" s="55">
        <f>VLOOKUP($E1109,'NI-Ric_SP'!$C:$AN,MID(V$1,1,2),FALSE)</f>
        <v>0</v>
      </c>
      <c r="W1109" s="55">
        <f>VLOOKUP($E1109,'NI-Ric_SP'!$C:$AN,MID(W$1,1,2),FALSE)</f>
        <v>0</v>
      </c>
      <c r="X1109" s="55">
        <f>VLOOKUP($E1109,'NI-Ric_SP'!$C:$AN,MID(X$1,1,2),FALSE)</f>
        <v>0</v>
      </c>
      <c r="Y1109" s="55">
        <f>VLOOKUP($E1109,'NI-Ric_SP'!$C:$AN,MID(Y$1,1,2),FALSE)</f>
        <v>0</v>
      </c>
      <c r="Z1109" s="55">
        <f>VLOOKUP($E1109,'NI-Ric_SP'!$C:$AN,MID(Z$1,1,2),FALSE)</f>
        <v>0</v>
      </c>
      <c r="AA1109" s="55">
        <f>VLOOKUP($E1109,'NI-Ric_SP'!$C:$AN,MID(AA$1,1,2),FALSE)</f>
        <v>0</v>
      </c>
      <c r="AB1109" s="55">
        <f>VLOOKUP($E1109,'NI-Ric_SP'!$C:$AN,MID(AB$1,1,2),FALSE)</f>
        <v>0</v>
      </c>
      <c r="AC1109" s="55">
        <f>VLOOKUP($E1109,'NI-Ric_SP'!$C:$AN,MID(AC$1,1,2),FALSE)</f>
        <v>0</v>
      </c>
      <c r="AD1109" s="55">
        <f>VLOOKUP($E1109,'NI-Ric_SP'!$C:$AN,MID(AD$1,1,2),FALSE)</f>
        <v>0</v>
      </c>
      <c r="AE1109" s="55">
        <f>VLOOKUP($E1109,'NI-Ric_SP'!$C:$AN,MID(AE$1,1,2),FALSE)</f>
        <v>0</v>
      </c>
      <c r="AF1109" s="55">
        <f>VLOOKUP($E1109,'NI-Ric_SP'!$C:$AN,MID(AF$1,1,2),FALSE)</f>
        <v>0</v>
      </c>
      <c r="AG1109" s="55">
        <f>VLOOKUP($E1109,'NI-Ric_SP'!$C:$AN,MID(AG$1,1,2),FALSE)</f>
        <v>0</v>
      </c>
      <c r="AH1109" s="55">
        <f>VLOOKUP($E1109,'NI-Ric_SP'!$C:$AN,MID(AH$1,1,2),FALSE)</f>
        <v>0</v>
      </c>
      <c r="AI1109" s="55">
        <f>VLOOKUP($E1109,'NI-Ric_SP'!$C:$AN,MID(AI$1,1,2),FALSE)</f>
        <v>0</v>
      </c>
      <c r="AJ1109" s="55">
        <f>VLOOKUP($E1109,'NI-Ric_SP'!$C:$AN,MID(AJ$1,1,2),FALSE)</f>
        <v>0</v>
      </c>
      <c r="AK1109" s="55">
        <f>VLOOKUP($E1109,'NI-Ric_SP'!$C:$AN,MID(AK$1,1,2),FALSE)</f>
        <v>0</v>
      </c>
      <c r="AL1109" s="55">
        <f>VLOOKUP($E1109,'NI-Ric_SP'!$C:$AN,MID(AL$1,1,2),FALSE)</f>
        <v>0</v>
      </c>
      <c r="AM1109" s="56">
        <f>VLOOKUP($E1109,'NI-Ric_SP'!$C:$AN,MID(AM$1,1,2),FALSE)</f>
        <v>0</v>
      </c>
      <c r="AN1109" s="30" t="str">
        <f t="shared" si="17"/>
        <v>20201100030000</v>
      </c>
    </row>
    <row r="1110" spans="3:40" x14ac:dyDescent="0.25">
      <c r="C1110" s="40"/>
      <c r="D1110" s="101" t="s">
        <v>1424</v>
      </c>
      <c r="E1110" s="101" t="s">
        <v>1425</v>
      </c>
      <c r="F1110" s="102" t="s">
        <v>2750</v>
      </c>
      <c r="G1110" s="52"/>
      <c r="H1110" s="52"/>
      <c r="I1110" s="52" t="s">
        <v>1426</v>
      </c>
      <c r="J1110" s="52" t="s">
        <v>1426</v>
      </c>
      <c r="K1110" s="59" t="s">
        <v>79</v>
      </c>
      <c r="L1110" s="62" t="s">
        <v>1402</v>
      </c>
      <c r="M1110" s="52"/>
      <c r="N1110" s="52"/>
      <c r="O1110" s="61" t="s">
        <v>1427</v>
      </c>
      <c r="P1110" s="76" t="s">
        <v>1428</v>
      </c>
      <c r="Q1110" s="55">
        <f>VLOOKUP(E1110,'NI-Ric_SP'!$C:$AN,12,FALSE)</f>
        <v>0</v>
      </c>
      <c r="R1110" s="55">
        <f>VLOOKUP(E1110,'NI-Ric_SP'!$C:$AN,13,FALSE)</f>
        <v>0</v>
      </c>
      <c r="S1110" s="55">
        <f>VLOOKUP(E1110,'NI-Ric_SP'!$C:$AN,31,FALSE)</f>
        <v>0</v>
      </c>
      <c r="T1110" s="55">
        <f>VLOOKUP(E1110,'NI-Ric_SP'!$C:$AN,32,FALSE)+VLOOKUP(E1110,'NI-Ric_SP'!$C:$AN,33,FALSE)</f>
        <v>0</v>
      </c>
      <c r="U1110" s="55">
        <f>VLOOKUP($E1110,'NI-Ric_SP'!$C:$AN,MID(U$1,1,2),FALSE)</f>
        <v>0</v>
      </c>
      <c r="V1110" s="55">
        <f>VLOOKUP($E1110,'NI-Ric_SP'!$C:$AN,MID(V$1,1,2),FALSE)</f>
        <v>0</v>
      </c>
      <c r="W1110" s="55">
        <f>VLOOKUP($E1110,'NI-Ric_SP'!$C:$AN,MID(W$1,1,2),FALSE)</f>
        <v>0</v>
      </c>
      <c r="X1110" s="55">
        <f>VLOOKUP($E1110,'NI-Ric_SP'!$C:$AN,MID(X$1,1,2),FALSE)</f>
        <v>0</v>
      </c>
      <c r="Y1110" s="55">
        <f>VLOOKUP($E1110,'NI-Ric_SP'!$C:$AN,MID(Y$1,1,2),FALSE)</f>
        <v>0</v>
      </c>
      <c r="Z1110" s="55">
        <f>VLOOKUP($E1110,'NI-Ric_SP'!$C:$AN,MID(Z$1,1,2),FALSE)</f>
        <v>0</v>
      </c>
      <c r="AA1110" s="55">
        <f>VLOOKUP($E1110,'NI-Ric_SP'!$C:$AN,MID(AA$1,1,2),FALSE)</f>
        <v>0</v>
      </c>
      <c r="AB1110" s="55">
        <f>VLOOKUP($E1110,'NI-Ric_SP'!$C:$AN,MID(AB$1,1,2),FALSE)</f>
        <v>0</v>
      </c>
      <c r="AC1110" s="55">
        <f>VLOOKUP($E1110,'NI-Ric_SP'!$C:$AN,MID(AC$1,1,2),FALSE)</f>
        <v>0</v>
      </c>
      <c r="AD1110" s="55">
        <f>VLOOKUP($E1110,'NI-Ric_SP'!$C:$AN,MID(AD$1,1,2),FALSE)</f>
        <v>0</v>
      </c>
      <c r="AE1110" s="55">
        <f>VLOOKUP($E1110,'NI-Ric_SP'!$C:$AN,MID(AE$1,1,2),FALSE)</f>
        <v>0</v>
      </c>
      <c r="AF1110" s="55">
        <f>VLOOKUP($E1110,'NI-Ric_SP'!$C:$AN,MID(AF$1,1,2),FALSE)</f>
        <v>0</v>
      </c>
      <c r="AG1110" s="55">
        <f>VLOOKUP($E1110,'NI-Ric_SP'!$C:$AN,MID(AG$1,1,2),FALSE)</f>
        <v>0</v>
      </c>
      <c r="AH1110" s="55">
        <f>VLOOKUP($E1110,'NI-Ric_SP'!$C:$AN,MID(AH$1,1,2),FALSE)</f>
        <v>0</v>
      </c>
      <c r="AI1110" s="55">
        <f>VLOOKUP($E1110,'NI-Ric_SP'!$C:$AN,MID(AI$1,1,2),FALSE)</f>
        <v>0</v>
      </c>
      <c r="AJ1110" s="55">
        <f>VLOOKUP($E1110,'NI-Ric_SP'!$C:$AN,MID(AJ$1,1,2),FALSE)</f>
        <v>0</v>
      </c>
      <c r="AK1110" s="55">
        <f>VLOOKUP($E1110,'NI-Ric_SP'!$C:$AN,MID(AK$1,1,2),FALSE)</f>
        <v>0</v>
      </c>
      <c r="AL1110" s="55">
        <f>VLOOKUP($E1110,'NI-Ric_SP'!$C:$AN,MID(AL$1,1,2),FALSE)</f>
        <v>0</v>
      </c>
      <c r="AM1110" s="56">
        <f>VLOOKUP($E1110,'NI-Ric_SP'!$C:$AN,MID(AM$1,1,2),FALSE)</f>
        <v>0</v>
      </c>
      <c r="AN1110" s="30" t="str">
        <f t="shared" si="17"/>
        <v>20201100040000</v>
      </c>
    </row>
    <row r="1111" spans="3:40" x14ac:dyDescent="0.25">
      <c r="C1111" s="40"/>
      <c r="D1111" s="101" t="s">
        <v>1429</v>
      </c>
      <c r="E1111" s="101" t="s">
        <v>1430</v>
      </c>
      <c r="F1111" s="102" t="s">
        <v>2750</v>
      </c>
      <c r="G1111" s="52"/>
      <c r="H1111" s="52"/>
      <c r="I1111" s="52" t="s">
        <v>1431</v>
      </c>
      <c r="J1111" s="52" t="s">
        <v>1431</v>
      </c>
      <c r="K1111" s="59" t="s">
        <v>79</v>
      </c>
      <c r="L1111" s="62" t="s">
        <v>1359</v>
      </c>
      <c r="M1111" s="52"/>
      <c r="N1111" s="52"/>
      <c r="O1111" s="61" t="s">
        <v>1432</v>
      </c>
      <c r="P1111" s="63" t="s">
        <v>1433</v>
      </c>
      <c r="Q1111" s="55">
        <f>VLOOKUP(E1111,'NI-Ric_SP'!$C:$AN,12,FALSE)</f>
        <v>0</v>
      </c>
      <c r="R1111" s="55">
        <f>VLOOKUP(E1111,'NI-Ric_SP'!$C:$AN,13,FALSE)</f>
        <v>0</v>
      </c>
      <c r="S1111" s="55">
        <f>VLOOKUP(E1111,'NI-Ric_SP'!$C:$AN,31,FALSE)</f>
        <v>0</v>
      </c>
      <c r="T1111" s="55">
        <f>VLOOKUP(E1111,'NI-Ric_SP'!$C:$AN,32,FALSE)+VLOOKUP(E1111,'NI-Ric_SP'!$C:$AN,33,FALSE)</f>
        <v>0</v>
      </c>
      <c r="U1111" s="55">
        <f>VLOOKUP($E1111,'NI-Ric_SP'!$C:$AN,MID(U$1,1,2),FALSE)</f>
        <v>0</v>
      </c>
      <c r="V1111" s="55">
        <f>VLOOKUP($E1111,'NI-Ric_SP'!$C:$AN,MID(V$1,1,2),FALSE)</f>
        <v>0</v>
      </c>
      <c r="W1111" s="55">
        <f>VLOOKUP($E1111,'NI-Ric_SP'!$C:$AN,MID(W$1,1,2),FALSE)</f>
        <v>0</v>
      </c>
      <c r="X1111" s="55">
        <f>VLOOKUP($E1111,'NI-Ric_SP'!$C:$AN,MID(X$1,1,2),FALSE)</f>
        <v>0</v>
      </c>
      <c r="Y1111" s="55">
        <f>VLOOKUP($E1111,'NI-Ric_SP'!$C:$AN,MID(Y$1,1,2),FALSE)</f>
        <v>0</v>
      </c>
      <c r="Z1111" s="55">
        <f>VLOOKUP($E1111,'NI-Ric_SP'!$C:$AN,MID(Z$1,1,2),FALSE)</f>
        <v>0</v>
      </c>
      <c r="AA1111" s="55">
        <f>VLOOKUP($E1111,'NI-Ric_SP'!$C:$AN,MID(AA$1,1,2),FALSE)</f>
        <v>0</v>
      </c>
      <c r="AB1111" s="55">
        <f>VLOOKUP($E1111,'NI-Ric_SP'!$C:$AN,MID(AB$1,1,2),FALSE)</f>
        <v>0</v>
      </c>
      <c r="AC1111" s="55">
        <f>VLOOKUP($E1111,'NI-Ric_SP'!$C:$AN,MID(AC$1,1,2),FALSE)</f>
        <v>0</v>
      </c>
      <c r="AD1111" s="55">
        <f>VLOOKUP($E1111,'NI-Ric_SP'!$C:$AN,MID(AD$1,1,2),FALSE)</f>
        <v>0</v>
      </c>
      <c r="AE1111" s="55">
        <f>VLOOKUP($E1111,'NI-Ric_SP'!$C:$AN,MID(AE$1,1,2),FALSE)</f>
        <v>0</v>
      </c>
      <c r="AF1111" s="55">
        <f>VLOOKUP($E1111,'NI-Ric_SP'!$C:$AN,MID(AF$1,1,2),FALSE)</f>
        <v>0</v>
      </c>
      <c r="AG1111" s="55">
        <f>VLOOKUP($E1111,'NI-Ric_SP'!$C:$AN,MID(AG$1,1,2),FALSE)</f>
        <v>0</v>
      </c>
      <c r="AH1111" s="55">
        <f>VLOOKUP($E1111,'NI-Ric_SP'!$C:$AN,MID(AH$1,1,2),FALSE)</f>
        <v>0</v>
      </c>
      <c r="AI1111" s="55">
        <f>VLOOKUP($E1111,'NI-Ric_SP'!$C:$AN,MID(AI$1,1,2),FALSE)</f>
        <v>0</v>
      </c>
      <c r="AJ1111" s="55">
        <f>VLOOKUP($E1111,'NI-Ric_SP'!$C:$AN,MID(AJ$1,1,2),FALSE)</f>
        <v>0</v>
      </c>
      <c r="AK1111" s="55">
        <f>VLOOKUP($E1111,'NI-Ric_SP'!$C:$AN,MID(AK$1,1,2),FALSE)</f>
        <v>0</v>
      </c>
      <c r="AL1111" s="55">
        <f>VLOOKUP($E1111,'NI-Ric_SP'!$C:$AN,MID(AL$1,1,2),FALSE)</f>
        <v>0</v>
      </c>
      <c r="AM1111" s="56">
        <f>VLOOKUP($E1111,'NI-Ric_SP'!$C:$AN,MID(AM$1,1,2),FALSE)</f>
        <v>0</v>
      </c>
      <c r="AN1111" s="30" t="str">
        <f t="shared" si="17"/>
        <v>20201110000000</v>
      </c>
    </row>
    <row r="1112" spans="3:40" x14ac:dyDescent="0.25">
      <c r="C1112" s="40"/>
      <c r="D1112" s="101" t="s">
        <v>1434</v>
      </c>
      <c r="E1112" s="101" t="s">
        <v>1435</v>
      </c>
      <c r="F1112" s="102" t="s">
        <v>2750</v>
      </c>
      <c r="G1112" s="52"/>
      <c r="H1112" s="52"/>
      <c r="I1112" s="52"/>
      <c r="J1112" s="52"/>
      <c r="K1112" s="59" t="s">
        <v>111</v>
      </c>
      <c r="L1112" s="52"/>
      <c r="M1112" s="52"/>
      <c r="N1112" s="52"/>
      <c r="O1112" s="52"/>
      <c r="P1112" s="54" t="s">
        <v>1436</v>
      </c>
      <c r="Q1112" s="55">
        <f>VLOOKUP(E1112,'NI-Ric_SP'!$C:$AN,12,FALSE)</f>
        <v>0</v>
      </c>
      <c r="R1112" s="55">
        <f>VLOOKUP(E1112,'NI-Ric_SP'!$C:$AN,13,FALSE)</f>
        <v>0</v>
      </c>
      <c r="S1112" s="55">
        <f>VLOOKUP(E1112,'NI-Ric_SP'!$C:$AN,31,FALSE)</f>
        <v>0</v>
      </c>
      <c r="T1112" s="55">
        <f>VLOOKUP(E1112,'NI-Ric_SP'!$C:$AN,32,FALSE)+VLOOKUP(E1112,'NI-Ric_SP'!$C:$AN,33,FALSE)</f>
        <v>0</v>
      </c>
      <c r="U1112" s="55">
        <f>VLOOKUP($E1112,'NI-Ric_SP'!$C:$AN,MID(U$1,1,2),FALSE)</f>
        <v>0</v>
      </c>
      <c r="V1112" s="55">
        <f>VLOOKUP($E1112,'NI-Ric_SP'!$C:$AN,MID(V$1,1,2),FALSE)</f>
        <v>0</v>
      </c>
      <c r="W1112" s="55">
        <f>VLOOKUP($E1112,'NI-Ric_SP'!$C:$AN,MID(W$1,1,2),FALSE)</f>
        <v>0</v>
      </c>
      <c r="X1112" s="55">
        <f>VLOOKUP($E1112,'NI-Ric_SP'!$C:$AN,MID(X$1,1,2),FALSE)</f>
        <v>0</v>
      </c>
      <c r="Y1112" s="55">
        <f>VLOOKUP($E1112,'NI-Ric_SP'!$C:$AN,MID(Y$1,1,2),FALSE)</f>
        <v>0</v>
      </c>
      <c r="Z1112" s="55">
        <f>VLOOKUP($E1112,'NI-Ric_SP'!$C:$AN,MID(Z$1,1,2),FALSE)</f>
        <v>0</v>
      </c>
      <c r="AA1112" s="55">
        <f>VLOOKUP($E1112,'NI-Ric_SP'!$C:$AN,MID(AA$1,1,2),FALSE)</f>
        <v>0</v>
      </c>
      <c r="AB1112" s="55">
        <f>VLOOKUP($E1112,'NI-Ric_SP'!$C:$AN,MID(AB$1,1,2),FALSE)</f>
        <v>0</v>
      </c>
      <c r="AC1112" s="55">
        <f>VLOOKUP($E1112,'NI-Ric_SP'!$C:$AN,MID(AC$1,1,2),FALSE)</f>
        <v>0</v>
      </c>
      <c r="AD1112" s="55">
        <f>VLOOKUP($E1112,'NI-Ric_SP'!$C:$AN,MID(AD$1,1,2),FALSE)</f>
        <v>0</v>
      </c>
      <c r="AE1112" s="55">
        <f>VLOOKUP($E1112,'NI-Ric_SP'!$C:$AN,MID(AE$1,1,2),FALSE)</f>
        <v>0</v>
      </c>
      <c r="AF1112" s="55">
        <f>VLOOKUP($E1112,'NI-Ric_SP'!$C:$AN,MID(AF$1,1,2),FALSE)</f>
        <v>0</v>
      </c>
      <c r="AG1112" s="55">
        <f>VLOOKUP($E1112,'NI-Ric_SP'!$C:$AN,MID(AG$1,1,2),FALSE)</f>
        <v>0</v>
      </c>
      <c r="AH1112" s="55">
        <f>VLOOKUP($E1112,'NI-Ric_SP'!$C:$AN,MID(AH$1,1,2),FALSE)</f>
        <v>0</v>
      </c>
      <c r="AI1112" s="55">
        <f>VLOOKUP($E1112,'NI-Ric_SP'!$C:$AN,MID(AI$1,1,2),FALSE)</f>
        <v>0</v>
      </c>
      <c r="AJ1112" s="55">
        <f>VLOOKUP($E1112,'NI-Ric_SP'!$C:$AN,MID(AJ$1,1,2),FALSE)</f>
        <v>0</v>
      </c>
      <c r="AK1112" s="55">
        <f>VLOOKUP($E1112,'NI-Ric_SP'!$C:$AN,MID(AK$1,1,2),FALSE)</f>
        <v>0</v>
      </c>
      <c r="AL1112" s="55">
        <f>VLOOKUP($E1112,'NI-Ric_SP'!$C:$AN,MID(AL$1,1,2),FALSE)</f>
        <v>0</v>
      </c>
      <c r="AM1112" s="56">
        <f>VLOOKUP($E1112,'NI-Ric_SP'!$C:$AN,MID(AM$1,1,2),FALSE)</f>
        <v>0</v>
      </c>
      <c r="AN1112" s="30" t="str">
        <f t="shared" si="17"/>
        <v>20202000000000</v>
      </c>
    </row>
    <row r="1113" spans="3:40" x14ac:dyDescent="0.25">
      <c r="C1113" s="40"/>
      <c r="D1113" s="101" t="s">
        <v>1437</v>
      </c>
      <c r="E1113" s="101" t="s">
        <v>1438</v>
      </c>
      <c r="F1113" s="102" t="s">
        <v>2750</v>
      </c>
      <c r="G1113" s="52"/>
      <c r="H1113" s="52"/>
      <c r="I1113" s="52"/>
      <c r="J1113" s="52"/>
      <c r="K1113" s="59" t="s">
        <v>79</v>
      </c>
      <c r="L1113" s="52"/>
      <c r="M1113" s="52"/>
      <c r="N1113" s="52"/>
      <c r="O1113" s="52"/>
      <c r="P1113" s="63" t="s">
        <v>1440</v>
      </c>
      <c r="Q1113" s="55">
        <f>VLOOKUP(E1113,'NI-Ric_SP'!$C:$AN,12,FALSE)</f>
        <v>0</v>
      </c>
      <c r="R1113" s="55">
        <f>VLOOKUP(E1113,'NI-Ric_SP'!$C:$AN,13,FALSE)</f>
        <v>0</v>
      </c>
      <c r="S1113" s="55">
        <f>VLOOKUP(E1113,'NI-Ric_SP'!$C:$AN,31,FALSE)</f>
        <v>0</v>
      </c>
      <c r="T1113" s="55">
        <f>VLOOKUP(E1113,'NI-Ric_SP'!$C:$AN,32,FALSE)+VLOOKUP(E1113,'NI-Ric_SP'!$C:$AN,33,FALSE)</f>
        <v>0</v>
      </c>
      <c r="U1113" s="55">
        <f>VLOOKUP($E1113,'NI-Ric_SP'!$C:$AN,MID(U$1,1,2),FALSE)</f>
        <v>0</v>
      </c>
      <c r="V1113" s="55">
        <f>VLOOKUP($E1113,'NI-Ric_SP'!$C:$AN,MID(V$1,1,2),FALSE)</f>
        <v>0</v>
      </c>
      <c r="W1113" s="55">
        <f>VLOOKUP($E1113,'NI-Ric_SP'!$C:$AN,MID(W$1,1,2),FALSE)</f>
        <v>0</v>
      </c>
      <c r="X1113" s="55">
        <f>VLOOKUP($E1113,'NI-Ric_SP'!$C:$AN,MID(X$1,1,2),FALSE)</f>
        <v>0</v>
      </c>
      <c r="Y1113" s="55">
        <f>VLOOKUP($E1113,'NI-Ric_SP'!$C:$AN,MID(Y$1,1,2),FALSE)</f>
        <v>0</v>
      </c>
      <c r="Z1113" s="55">
        <f>VLOOKUP($E1113,'NI-Ric_SP'!$C:$AN,MID(Z$1,1,2),FALSE)</f>
        <v>0</v>
      </c>
      <c r="AA1113" s="55">
        <f>VLOOKUP($E1113,'NI-Ric_SP'!$C:$AN,MID(AA$1,1,2),FALSE)</f>
        <v>0</v>
      </c>
      <c r="AB1113" s="55">
        <f>VLOOKUP($E1113,'NI-Ric_SP'!$C:$AN,MID(AB$1,1,2),FALSE)</f>
        <v>0</v>
      </c>
      <c r="AC1113" s="55">
        <f>VLOOKUP($E1113,'NI-Ric_SP'!$C:$AN,MID(AC$1,1,2),FALSE)</f>
        <v>0</v>
      </c>
      <c r="AD1113" s="55">
        <f>VLOOKUP($E1113,'NI-Ric_SP'!$C:$AN,MID(AD$1,1,2),FALSE)</f>
        <v>0</v>
      </c>
      <c r="AE1113" s="55">
        <f>VLOOKUP($E1113,'NI-Ric_SP'!$C:$AN,MID(AE$1,1,2),FALSE)</f>
        <v>0</v>
      </c>
      <c r="AF1113" s="55">
        <f>VLOOKUP($E1113,'NI-Ric_SP'!$C:$AN,MID(AF$1,1,2),FALSE)</f>
        <v>0</v>
      </c>
      <c r="AG1113" s="55">
        <f>VLOOKUP($E1113,'NI-Ric_SP'!$C:$AN,MID(AG$1,1,2),FALSE)</f>
        <v>0</v>
      </c>
      <c r="AH1113" s="55">
        <f>VLOOKUP($E1113,'NI-Ric_SP'!$C:$AN,MID(AH$1,1,2),FALSE)</f>
        <v>0</v>
      </c>
      <c r="AI1113" s="55">
        <f>VLOOKUP($E1113,'NI-Ric_SP'!$C:$AN,MID(AI$1,1,2),FALSE)</f>
        <v>0</v>
      </c>
      <c r="AJ1113" s="55">
        <f>VLOOKUP($E1113,'NI-Ric_SP'!$C:$AN,MID(AJ$1,1,2),FALSE)</f>
        <v>0</v>
      </c>
      <c r="AK1113" s="55">
        <f>VLOOKUP($E1113,'NI-Ric_SP'!$C:$AN,MID(AK$1,1,2),FALSE)</f>
        <v>0</v>
      </c>
      <c r="AL1113" s="55">
        <f>VLOOKUP($E1113,'NI-Ric_SP'!$C:$AN,MID(AL$1,1,2),FALSE)</f>
        <v>0</v>
      </c>
      <c r="AM1113" s="56">
        <f>VLOOKUP($E1113,'NI-Ric_SP'!$C:$AN,MID(AM$1,1,2),FALSE)</f>
        <v>0</v>
      </c>
      <c r="AN1113" s="30" t="str">
        <f t="shared" si="17"/>
        <v>20202005000000</v>
      </c>
    </row>
    <row r="1114" spans="3:40" x14ac:dyDescent="0.25">
      <c r="C1114" s="40"/>
      <c r="D1114" s="101" t="s">
        <v>1437</v>
      </c>
      <c r="E1114" s="101" t="s">
        <v>1441</v>
      </c>
      <c r="F1114" s="102" t="s">
        <v>2750</v>
      </c>
      <c r="G1114" s="52"/>
      <c r="H1114" s="52"/>
      <c r="I1114" s="52" t="s">
        <v>1442</v>
      </c>
      <c r="J1114" s="52"/>
      <c r="K1114" s="59" t="s">
        <v>1358</v>
      </c>
      <c r="L1114" s="62" t="s">
        <v>1443</v>
      </c>
      <c r="M1114" s="52"/>
      <c r="N1114" s="52"/>
      <c r="O1114" s="61" t="s">
        <v>1444</v>
      </c>
      <c r="P1114" s="76" t="s">
        <v>1445</v>
      </c>
      <c r="Q1114" s="55">
        <f>VLOOKUP(E1114,'NI-Ric_SP'!$C:$AN,12,FALSE)</f>
        <v>0</v>
      </c>
      <c r="R1114" s="55">
        <f>VLOOKUP(E1114,'NI-Ric_SP'!$C:$AN,13,FALSE)</f>
        <v>0</v>
      </c>
      <c r="S1114" s="55">
        <f>VLOOKUP(E1114,'NI-Ric_SP'!$C:$AN,31,FALSE)</f>
        <v>0</v>
      </c>
      <c r="T1114" s="55">
        <f>VLOOKUP(E1114,'NI-Ric_SP'!$C:$AN,32,FALSE)+VLOOKUP(E1114,'NI-Ric_SP'!$C:$AN,33,FALSE)</f>
        <v>0</v>
      </c>
      <c r="U1114" s="55">
        <f>VLOOKUP($E1114,'NI-Ric_SP'!$C:$AN,MID(U$1,1,2),FALSE)</f>
        <v>0</v>
      </c>
      <c r="V1114" s="55">
        <f>VLOOKUP($E1114,'NI-Ric_SP'!$C:$AN,MID(V$1,1,2),FALSE)</f>
        <v>0</v>
      </c>
      <c r="W1114" s="55">
        <f>VLOOKUP($E1114,'NI-Ric_SP'!$C:$AN,MID(W$1,1,2),FALSE)</f>
        <v>0</v>
      </c>
      <c r="X1114" s="55">
        <f>VLOOKUP($E1114,'NI-Ric_SP'!$C:$AN,MID(X$1,1,2),FALSE)</f>
        <v>0</v>
      </c>
      <c r="Y1114" s="55">
        <f>VLOOKUP($E1114,'NI-Ric_SP'!$C:$AN,MID(Y$1,1,2),FALSE)</f>
        <v>0</v>
      </c>
      <c r="Z1114" s="55">
        <f>VLOOKUP($E1114,'NI-Ric_SP'!$C:$AN,MID(Z$1,1,2),FALSE)</f>
        <v>0</v>
      </c>
      <c r="AA1114" s="55">
        <f>VLOOKUP($E1114,'NI-Ric_SP'!$C:$AN,MID(AA$1,1,2),FALSE)</f>
        <v>0</v>
      </c>
      <c r="AB1114" s="55">
        <f>VLOOKUP($E1114,'NI-Ric_SP'!$C:$AN,MID(AB$1,1,2),FALSE)</f>
        <v>0</v>
      </c>
      <c r="AC1114" s="55">
        <f>VLOOKUP($E1114,'NI-Ric_SP'!$C:$AN,MID(AC$1,1,2),FALSE)</f>
        <v>0</v>
      </c>
      <c r="AD1114" s="55">
        <f>VLOOKUP($E1114,'NI-Ric_SP'!$C:$AN,MID(AD$1,1,2),FALSE)</f>
        <v>0</v>
      </c>
      <c r="AE1114" s="55">
        <f>VLOOKUP($E1114,'NI-Ric_SP'!$C:$AN,MID(AE$1,1,2),FALSE)</f>
        <v>0</v>
      </c>
      <c r="AF1114" s="55">
        <f>VLOOKUP($E1114,'NI-Ric_SP'!$C:$AN,MID(AF$1,1,2),FALSE)</f>
        <v>0</v>
      </c>
      <c r="AG1114" s="55">
        <f>VLOOKUP($E1114,'NI-Ric_SP'!$C:$AN,MID(AG$1,1,2),FALSE)</f>
        <v>0</v>
      </c>
      <c r="AH1114" s="55">
        <f>VLOOKUP($E1114,'NI-Ric_SP'!$C:$AN,MID(AH$1,1,2),FALSE)</f>
        <v>0</v>
      </c>
      <c r="AI1114" s="55">
        <f>VLOOKUP($E1114,'NI-Ric_SP'!$C:$AN,MID(AI$1,1,2),FALSE)</f>
        <v>0</v>
      </c>
      <c r="AJ1114" s="55">
        <f>VLOOKUP($E1114,'NI-Ric_SP'!$C:$AN,MID(AJ$1,1,2),FALSE)</f>
        <v>0</v>
      </c>
      <c r="AK1114" s="55">
        <f>VLOOKUP($E1114,'NI-Ric_SP'!$C:$AN,MID(AK$1,1,2),FALSE)</f>
        <v>0</v>
      </c>
      <c r="AL1114" s="55">
        <f>VLOOKUP($E1114,'NI-Ric_SP'!$C:$AN,MID(AL$1,1,2),FALSE)</f>
        <v>0</v>
      </c>
      <c r="AM1114" s="56">
        <f>VLOOKUP($E1114,'NI-Ric_SP'!$C:$AN,MID(AM$1,1,2),FALSE)</f>
        <v>0</v>
      </c>
      <c r="AN1114" s="30" t="str">
        <f t="shared" si="17"/>
        <v>20202005000000</v>
      </c>
    </row>
    <row r="1115" spans="3:40" x14ac:dyDescent="0.25">
      <c r="C1115" s="40"/>
      <c r="D1115" s="101" t="s">
        <v>1437</v>
      </c>
      <c r="E1115" s="101" t="s">
        <v>1446</v>
      </c>
      <c r="F1115" s="102" t="s">
        <v>2750</v>
      </c>
      <c r="G1115" s="52"/>
      <c r="H1115" s="52"/>
      <c r="I1115" s="52" t="s">
        <v>1447</v>
      </c>
      <c r="J1115" s="52" t="s">
        <v>1448</v>
      </c>
      <c r="K1115" s="59" t="s">
        <v>1358</v>
      </c>
      <c r="L1115" s="62" t="s">
        <v>1443</v>
      </c>
      <c r="M1115" s="52"/>
      <c r="N1115" s="52"/>
      <c r="O1115" s="61" t="s">
        <v>1444</v>
      </c>
      <c r="P1115" s="76" t="s">
        <v>1449</v>
      </c>
      <c r="Q1115" s="55">
        <f>VLOOKUP(E1115,'NI-Ric_SP'!$C:$AN,12,FALSE)</f>
        <v>0</v>
      </c>
      <c r="R1115" s="55">
        <f>VLOOKUP(E1115,'NI-Ric_SP'!$C:$AN,13,FALSE)</f>
        <v>0</v>
      </c>
      <c r="S1115" s="55">
        <f>VLOOKUP(E1115,'NI-Ric_SP'!$C:$AN,31,FALSE)</f>
        <v>0</v>
      </c>
      <c r="T1115" s="55">
        <f>VLOOKUP(E1115,'NI-Ric_SP'!$C:$AN,32,FALSE)+VLOOKUP(E1115,'NI-Ric_SP'!$C:$AN,33,FALSE)</f>
        <v>0</v>
      </c>
      <c r="U1115" s="55">
        <f>VLOOKUP($E1115,'NI-Ric_SP'!$C:$AN,MID(U$1,1,2),FALSE)</f>
        <v>0</v>
      </c>
      <c r="V1115" s="55">
        <f>VLOOKUP($E1115,'NI-Ric_SP'!$C:$AN,MID(V$1,1,2),FALSE)</f>
        <v>0</v>
      </c>
      <c r="W1115" s="55">
        <f>VLOOKUP($E1115,'NI-Ric_SP'!$C:$AN,MID(W$1,1,2),FALSE)</f>
        <v>0</v>
      </c>
      <c r="X1115" s="55">
        <f>VLOOKUP($E1115,'NI-Ric_SP'!$C:$AN,MID(X$1,1,2),FALSE)</f>
        <v>0</v>
      </c>
      <c r="Y1115" s="55">
        <f>VLOOKUP($E1115,'NI-Ric_SP'!$C:$AN,MID(Y$1,1,2),FALSE)</f>
        <v>0</v>
      </c>
      <c r="Z1115" s="55">
        <f>VLOOKUP($E1115,'NI-Ric_SP'!$C:$AN,MID(Z$1,1,2),FALSE)</f>
        <v>0</v>
      </c>
      <c r="AA1115" s="55">
        <f>VLOOKUP($E1115,'NI-Ric_SP'!$C:$AN,MID(AA$1,1,2),FALSE)</f>
        <v>0</v>
      </c>
      <c r="AB1115" s="55">
        <f>VLOOKUP($E1115,'NI-Ric_SP'!$C:$AN,MID(AB$1,1,2),FALSE)</f>
        <v>0</v>
      </c>
      <c r="AC1115" s="55">
        <f>VLOOKUP($E1115,'NI-Ric_SP'!$C:$AN,MID(AC$1,1,2),FALSE)</f>
        <v>0</v>
      </c>
      <c r="AD1115" s="55">
        <f>VLOOKUP($E1115,'NI-Ric_SP'!$C:$AN,MID(AD$1,1,2),FALSE)</f>
        <v>0</v>
      </c>
      <c r="AE1115" s="55">
        <f>VLOOKUP($E1115,'NI-Ric_SP'!$C:$AN,MID(AE$1,1,2),FALSE)</f>
        <v>0</v>
      </c>
      <c r="AF1115" s="55">
        <f>VLOOKUP($E1115,'NI-Ric_SP'!$C:$AN,MID(AF$1,1,2),FALSE)</f>
        <v>0</v>
      </c>
      <c r="AG1115" s="55">
        <f>VLOOKUP($E1115,'NI-Ric_SP'!$C:$AN,MID(AG$1,1,2),FALSE)</f>
        <v>0</v>
      </c>
      <c r="AH1115" s="55">
        <f>VLOOKUP($E1115,'NI-Ric_SP'!$C:$AN,MID(AH$1,1,2),FALSE)</f>
        <v>0</v>
      </c>
      <c r="AI1115" s="55">
        <f>VLOOKUP($E1115,'NI-Ric_SP'!$C:$AN,MID(AI$1,1,2),FALSE)</f>
        <v>0</v>
      </c>
      <c r="AJ1115" s="55">
        <f>VLOOKUP($E1115,'NI-Ric_SP'!$C:$AN,MID(AJ$1,1,2),FALSE)</f>
        <v>0</v>
      </c>
      <c r="AK1115" s="55">
        <f>VLOOKUP($E1115,'NI-Ric_SP'!$C:$AN,MID(AK$1,1,2),FALSE)</f>
        <v>0</v>
      </c>
      <c r="AL1115" s="55">
        <f>VLOOKUP($E1115,'NI-Ric_SP'!$C:$AN,MID(AL$1,1,2),FALSE)</f>
        <v>0</v>
      </c>
      <c r="AM1115" s="56">
        <f>VLOOKUP($E1115,'NI-Ric_SP'!$C:$AN,MID(AM$1,1,2),FALSE)</f>
        <v>0</v>
      </c>
      <c r="AN1115" s="30" t="str">
        <f t="shared" si="17"/>
        <v>20202005000000</v>
      </c>
    </row>
    <row r="1116" spans="3:40" x14ac:dyDescent="0.25">
      <c r="C1116" s="40"/>
      <c r="D1116" s="101" t="s">
        <v>1450</v>
      </c>
      <c r="E1116" s="101" t="s">
        <v>1451</v>
      </c>
      <c r="F1116" s="102" t="s">
        <v>2750</v>
      </c>
      <c r="G1116" s="52"/>
      <c r="H1116" s="52"/>
      <c r="I1116" s="52" t="s">
        <v>1448</v>
      </c>
      <c r="J1116" s="52" t="s">
        <v>1448</v>
      </c>
      <c r="K1116" s="59" t="s">
        <v>111</v>
      </c>
      <c r="L1116" s="52"/>
      <c r="M1116" s="52"/>
      <c r="N1116" s="52"/>
      <c r="O1116" s="52"/>
      <c r="P1116" s="76" t="s">
        <v>1452</v>
      </c>
      <c r="Q1116" s="55">
        <f>VLOOKUP(E1116,'NI-Ric_SP'!$C:$AN,12,FALSE)</f>
        <v>0</v>
      </c>
      <c r="R1116" s="55">
        <f>VLOOKUP(E1116,'NI-Ric_SP'!$C:$AN,13,FALSE)</f>
        <v>0</v>
      </c>
      <c r="S1116" s="55">
        <f>VLOOKUP(E1116,'NI-Ric_SP'!$C:$AN,31,FALSE)</f>
        <v>0</v>
      </c>
      <c r="T1116" s="55">
        <f>VLOOKUP(E1116,'NI-Ric_SP'!$C:$AN,32,FALSE)+VLOOKUP(E1116,'NI-Ric_SP'!$C:$AN,33,FALSE)</f>
        <v>0</v>
      </c>
      <c r="U1116" s="55">
        <f>VLOOKUP($E1116,'NI-Ric_SP'!$C:$AN,MID(U$1,1,2),FALSE)</f>
        <v>0</v>
      </c>
      <c r="V1116" s="55">
        <f>VLOOKUP($E1116,'NI-Ric_SP'!$C:$AN,MID(V$1,1,2),FALSE)</f>
        <v>0</v>
      </c>
      <c r="W1116" s="55">
        <f>VLOOKUP($E1116,'NI-Ric_SP'!$C:$AN,MID(W$1,1,2),FALSE)</f>
        <v>0</v>
      </c>
      <c r="X1116" s="55">
        <f>VLOOKUP($E1116,'NI-Ric_SP'!$C:$AN,MID(X$1,1,2),FALSE)</f>
        <v>0</v>
      </c>
      <c r="Y1116" s="55">
        <f>VLOOKUP($E1116,'NI-Ric_SP'!$C:$AN,MID(Y$1,1,2),FALSE)</f>
        <v>0</v>
      </c>
      <c r="Z1116" s="55">
        <f>VLOOKUP($E1116,'NI-Ric_SP'!$C:$AN,MID(Z$1,1,2),FALSE)</f>
        <v>0</v>
      </c>
      <c r="AA1116" s="55">
        <f>VLOOKUP($E1116,'NI-Ric_SP'!$C:$AN,MID(AA$1,1,2),FALSE)</f>
        <v>0</v>
      </c>
      <c r="AB1116" s="55">
        <f>VLOOKUP($E1116,'NI-Ric_SP'!$C:$AN,MID(AB$1,1,2),FALSE)</f>
        <v>0</v>
      </c>
      <c r="AC1116" s="55">
        <f>VLOOKUP($E1116,'NI-Ric_SP'!$C:$AN,MID(AC$1,1,2),FALSE)</f>
        <v>0</v>
      </c>
      <c r="AD1116" s="55">
        <f>VLOOKUP($E1116,'NI-Ric_SP'!$C:$AN,MID(AD$1,1,2),FALSE)</f>
        <v>0</v>
      </c>
      <c r="AE1116" s="55">
        <f>VLOOKUP($E1116,'NI-Ric_SP'!$C:$AN,MID(AE$1,1,2),FALSE)</f>
        <v>0</v>
      </c>
      <c r="AF1116" s="55">
        <f>VLOOKUP($E1116,'NI-Ric_SP'!$C:$AN,MID(AF$1,1,2),FALSE)</f>
        <v>0</v>
      </c>
      <c r="AG1116" s="55">
        <f>VLOOKUP($E1116,'NI-Ric_SP'!$C:$AN,MID(AG$1,1,2),FALSE)</f>
        <v>0</v>
      </c>
      <c r="AH1116" s="55">
        <f>VLOOKUP($E1116,'NI-Ric_SP'!$C:$AN,MID(AH$1,1,2),FALSE)</f>
        <v>0</v>
      </c>
      <c r="AI1116" s="55">
        <f>VLOOKUP($E1116,'NI-Ric_SP'!$C:$AN,MID(AI$1,1,2),FALSE)</f>
        <v>0</v>
      </c>
      <c r="AJ1116" s="55">
        <f>VLOOKUP($E1116,'NI-Ric_SP'!$C:$AN,MID(AJ$1,1,2),FALSE)</f>
        <v>0</v>
      </c>
      <c r="AK1116" s="55">
        <f>VLOOKUP($E1116,'NI-Ric_SP'!$C:$AN,MID(AK$1,1,2),FALSE)</f>
        <v>0</v>
      </c>
      <c r="AL1116" s="55">
        <f>VLOOKUP($E1116,'NI-Ric_SP'!$C:$AN,MID(AL$1,1,2),FALSE)</f>
        <v>0</v>
      </c>
      <c r="AM1116" s="56">
        <f>VLOOKUP($E1116,'NI-Ric_SP'!$C:$AN,MID(AM$1,1,2),FALSE)</f>
        <v>0</v>
      </c>
      <c r="AN1116" s="30" t="str">
        <f t="shared" si="17"/>
        <v>20202010010000</v>
      </c>
    </row>
    <row r="1117" spans="3:40" x14ac:dyDescent="0.25">
      <c r="C1117" s="40"/>
      <c r="D1117" s="101" t="s">
        <v>1453</v>
      </c>
      <c r="E1117" s="101" t="s">
        <v>1454</v>
      </c>
      <c r="F1117" s="102" t="s">
        <v>2750</v>
      </c>
      <c r="G1117" s="52"/>
      <c r="H1117" s="52"/>
      <c r="I1117" s="52"/>
      <c r="J1117" s="52"/>
      <c r="K1117" s="59" t="s">
        <v>79</v>
      </c>
      <c r="L1117" s="62" t="s">
        <v>1455</v>
      </c>
      <c r="M1117" s="52"/>
      <c r="N1117" s="52"/>
      <c r="O1117" s="61" t="s">
        <v>1444</v>
      </c>
      <c r="P1117" s="103" t="s">
        <v>1456</v>
      </c>
      <c r="Q1117" s="55">
        <f>VLOOKUP(E1117,'NI-Ric_SP'!$C:$AN,12,FALSE)</f>
        <v>0</v>
      </c>
      <c r="R1117" s="55">
        <f>VLOOKUP(E1117,'NI-Ric_SP'!$C:$AN,13,FALSE)</f>
        <v>0</v>
      </c>
      <c r="S1117" s="55">
        <f>VLOOKUP(E1117,'NI-Ric_SP'!$C:$AN,31,FALSE)</f>
        <v>0</v>
      </c>
      <c r="T1117" s="55">
        <f>VLOOKUP(E1117,'NI-Ric_SP'!$C:$AN,32,FALSE)+VLOOKUP(E1117,'NI-Ric_SP'!$C:$AN,33,FALSE)</f>
        <v>0</v>
      </c>
      <c r="U1117" s="55">
        <f>VLOOKUP($E1117,'NI-Ric_SP'!$C:$AN,MID(U$1,1,2),FALSE)</f>
        <v>0</v>
      </c>
      <c r="V1117" s="55">
        <f>VLOOKUP($E1117,'NI-Ric_SP'!$C:$AN,MID(V$1,1,2),FALSE)</f>
        <v>0</v>
      </c>
      <c r="W1117" s="55">
        <f>VLOOKUP($E1117,'NI-Ric_SP'!$C:$AN,MID(W$1,1,2),FALSE)</f>
        <v>0</v>
      </c>
      <c r="X1117" s="55">
        <f>VLOOKUP($E1117,'NI-Ric_SP'!$C:$AN,MID(X$1,1,2),FALSE)</f>
        <v>0</v>
      </c>
      <c r="Y1117" s="55">
        <f>VLOOKUP($E1117,'NI-Ric_SP'!$C:$AN,MID(Y$1,1,2),FALSE)</f>
        <v>0</v>
      </c>
      <c r="Z1117" s="55">
        <f>VLOOKUP($E1117,'NI-Ric_SP'!$C:$AN,MID(Z$1,1,2),FALSE)</f>
        <v>0</v>
      </c>
      <c r="AA1117" s="55">
        <f>VLOOKUP($E1117,'NI-Ric_SP'!$C:$AN,MID(AA$1,1,2),FALSE)</f>
        <v>0</v>
      </c>
      <c r="AB1117" s="55">
        <f>VLOOKUP($E1117,'NI-Ric_SP'!$C:$AN,MID(AB$1,1,2),FALSE)</f>
        <v>0</v>
      </c>
      <c r="AC1117" s="55">
        <f>VLOOKUP($E1117,'NI-Ric_SP'!$C:$AN,MID(AC$1,1,2),FALSE)</f>
        <v>0</v>
      </c>
      <c r="AD1117" s="55">
        <f>VLOOKUP($E1117,'NI-Ric_SP'!$C:$AN,MID(AD$1,1,2),FALSE)</f>
        <v>0</v>
      </c>
      <c r="AE1117" s="55">
        <f>VLOOKUP($E1117,'NI-Ric_SP'!$C:$AN,MID(AE$1,1,2),FALSE)</f>
        <v>0</v>
      </c>
      <c r="AF1117" s="55">
        <f>VLOOKUP($E1117,'NI-Ric_SP'!$C:$AN,MID(AF$1,1,2),FALSE)</f>
        <v>0</v>
      </c>
      <c r="AG1117" s="55">
        <f>VLOOKUP($E1117,'NI-Ric_SP'!$C:$AN,MID(AG$1,1,2),FALSE)</f>
        <v>0</v>
      </c>
      <c r="AH1117" s="55">
        <f>VLOOKUP($E1117,'NI-Ric_SP'!$C:$AN,MID(AH$1,1,2),FALSE)</f>
        <v>0</v>
      </c>
      <c r="AI1117" s="55">
        <f>VLOOKUP($E1117,'NI-Ric_SP'!$C:$AN,MID(AI$1,1,2),FALSE)</f>
        <v>0</v>
      </c>
      <c r="AJ1117" s="55">
        <f>VLOOKUP($E1117,'NI-Ric_SP'!$C:$AN,MID(AJ$1,1,2),FALSE)</f>
        <v>0</v>
      </c>
      <c r="AK1117" s="55">
        <f>VLOOKUP($E1117,'NI-Ric_SP'!$C:$AN,MID(AK$1,1,2),FALSE)</f>
        <v>0</v>
      </c>
      <c r="AL1117" s="55">
        <f>VLOOKUP($E1117,'NI-Ric_SP'!$C:$AN,MID(AL$1,1,2),FALSE)</f>
        <v>0</v>
      </c>
      <c r="AM1117" s="56">
        <f>VLOOKUP($E1117,'NI-Ric_SP'!$C:$AN,MID(AM$1,1,2),FALSE)</f>
        <v>0</v>
      </c>
      <c r="AN1117" s="30" t="str">
        <f t="shared" si="17"/>
        <v>20202010010010</v>
      </c>
    </row>
    <row r="1118" spans="3:40" x14ac:dyDescent="0.25">
      <c r="C1118" s="40"/>
      <c r="D1118" s="101" t="s">
        <v>1457</v>
      </c>
      <c r="E1118" s="101" t="s">
        <v>1458</v>
      </c>
      <c r="F1118" s="102" t="s">
        <v>2750</v>
      </c>
      <c r="G1118" s="52"/>
      <c r="H1118" s="52"/>
      <c r="I1118" s="52"/>
      <c r="J1118" s="52"/>
      <c r="K1118" s="59" t="s">
        <v>79</v>
      </c>
      <c r="L1118" s="62" t="s">
        <v>1455</v>
      </c>
      <c r="M1118" s="52"/>
      <c r="N1118" s="52"/>
      <c r="O1118" s="61" t="s">
        <v>1444</v>
      </c>
      <c r="P1118" s="103" t="s">
        <v>1459</v>
      </c>
      <c r="Q1118" s="55">
        <f>VLOOKUP(E1118,'NI-Ric_SP'!$C:$AN,12,FALSE)</f>
        <v>0</v>
      </c>
      <c r="R1118" s="55">
        <f>VLOOKUP(E1118,'NI-Ric_SP'!$C:$AN,13,FALSE)</f>
        <v>0</v>
      </c>
      <c r="S1118" s="55">
        <f>VLOOKUP(E1118,'NI-Ric_SP'!$C:$AN,31,FALSE)</f>
        <v>0</v>
      </c>
      <c r="T1118" s="55">
        <f>VLOOKUP(E1118,'NI-Ric_SP'!$C:$AN,32,FALSE)+VLOOKUP(E1118,'NI-Ric_SP'!$C:$AN,33,FALSE)</f>
        <v>0</v>
      </c>
      <c r="U1118" s="55">
        <f>VLOOKUP($E1118,'NI-Ric_SP'!$C:$AN,MID(U$1,1,2),FALSE)</f>
        <v>0</v>
      </c>
      <c r="V1118" s="55">
        <f>VLOOKUP($E1118,'NI-Ric_SP'!$C:$AN,MID(V$1,1,2),FALSE)</f>
        <v>0</v>
      </c>
      <c r="W1118" s="55">
        <f>VLOOKUP($E1118,'NI-Ric_SP'!$C:$AN,MID(W$1,1,2),FALSE)</f>
        <v>0</v>
      </c>
      <c r="X1118" s="55">
        <f>VLOOKUP($E1118,'NI-Ric_SP'!$C:$AN,MID(X$1,1,2),FALSE)</f>
        <v>0</v>
      </c>
      <c r="Y1118" s="55">
        <f>VLOOKUP($E1118,'NI-Ric_SP'!$C:$AN,MID(Y$1,1,2),FALSE)</f>
        <v>0</v>
      </c>
      <c r="Z1118" s="55">
        <f>VLOOKUP($E1118,'NI-Ric_SP'!$C:$AN,MID(Z$1,1,2),FALSE)</f>
        <v>0</v>
      </c>
      <c r="AA1118" s="55">
        <f>VLOOKUP($E1118,'NI-Ric_SP'!$C:$AN,MID(AA$1,1,2),FALSE)</f>
        <v>0</v>
      </c>
      <c r="AB1118" s="55">
        <f>VLOOKUP($E1118,'NI-Ric_SP'!$C:$AN,MID(AB$1,1,2),FALSE)</f>
        <v>0</v>
      </c>
      <c r="AC1118" s="55">
        <f>VLOOKUP($E1118,'NI-Ric_SP'!$C:$AN,MID(AC$1,1,2),FALSE)</f>
        <v>0</v>
      </c>
      <c r="AD1118" s="55">
        <f>VLOOKUP($E1118,'NI-Ric_SP'!$C:$AN,MID(AD$1,1,2),FALSE)</f>
        <v>0</v>
      </c>
      <c r="AE1118" s="55">
        <f>VLOOKUP($E1118,'NI-Ric_SP'!$C:$AN,MID(AE$1,1,2),FALSE)</f>
        <v>0</v>
      </c>
      <c r="AF1118" s="55">
        <f>VLOOKUP($E1118,'NI-Ric_SP'!$C:$AN,MID(AF$1,1,2),FALSE)</f>
        <v>0</v>
      </c>
      <c r="AG1118" s="55">
        <f>VLOOKUP($E1118,'NI-Ric_SP'!$C:$AN,MID(AG$1,1,2),FALSE)</f>
        <v>0</v>
      </c>
      <c r="AH1118" s="55">
        <f>VLOOKUP($E1118,'NI-Ric_SP'!$C:$AN,MID(AH$1,1,2),FALSE)</f>
        <v>0</v>
      </c>
      <c r="AI1118" s="55">
        <f>VLOOKUP($E1118,'NI-Ric_SP'!$C:$AN,MID(AI$1,1,2),FALSE)</f>
        <v>0</v>
      </c>
      <c r="AJ1118" s="55">
        <f>VLOOKUP($E1118,'NI-Ric_SP'!$C:$AN,MID(AJ$1,1,2),FALSE)</f>
        <v>0</v>
      </c>
      <c r="AK1118" s="55">
        <f>VLOOKUP($E1118,'NI-Ric_SP'!$C:$AN,MID(AK$1,1,2),FALSE)</f>
        <v>0</v>
      </c>
      <c r="AL1118" s="55">
        <f>VLOOKUP($E1118,'NI-Ric_SP'!$C:$AN,MID(AL$1,1,2),FALSE)</f>
        <v>0</v>
      </c>
      <c r="AM1118" s="56">
        <f>VLOOKUP($E1118,'NI-Ric_SP'!$C:$AN,MID(AM$1,1,2),FALSE)</f>
        <v>0</v>
      </c>
      <c r="AN1118" s="30" t="str">
        <f t="shared" si="17"/>
        <v>20202010010020</v>
      </c>
    </row>
    <row r="1119" spans="3:40" x14ac:dyDescent="0.25">
      <c r="C1119" s="40"/>
      <c r="D1119" s="101" t="s">
        <v>1460</v>
      </c>
      <c r="E1119" s="101" t="s">
        <v>1461</v>
      </c>
      <c r="F1119" s="102" t="s">
        <v>2750</v>
      </c>
      <c r="G1119" s="52"/>
      <c r="H1119" s="52"/>
      <c r="I1119" s="52"/>
      <c r="J1119" s="52"/>
      <c r="K1119" s="59" t="s">
        <v>79</v>
      </c>
      <c r="L1119" s="62" t="s">
        <v>1455</v>
      </c>
      <c r="M1119" s="52"/>
      <c r="N1119" s="52"/>
      <c r="O1119" s="61" t="s">
        <v>1444</v>
      </c>
      <c r="P1119" s="103" t="s">
        <v>1462</v>
      </c>
      <c r="Q1119" s="55">
        <f>VLOOKUP(E1119,'NI-Ric_SP'!$C:$AN,12,FALSE)</f>
        <v>0</v>
      </c>
      <c r="R1119" s="55">
        <f>VLOOKUP(E1119,'NI-Ric_SP'!$C:$AN,13,FALSE)</f>
        <v>0</v>
      </c>
      <c r="S1119" s="55">
        <f>VLOOKUP(E1119,'NI-Ric_SP'!$C:$AN,31,FALSE)</f>
        <v>0</v>
      </c>
      <c r="T1119" s="55">
        <f>VLOOKUP(E1119,'NI-Ric_SP'!$C:$AN,32,FALSE)+VLOOKUP(E1119,'NI-Ric_SP'!$C:$AN,33,FALSE)</f>
        <v>0</v>
      </c>
      <c r="U1119" s="55">
        <f>VLOOKUP($E1119,'NI-Ric_SP'!$C:$AN,MID(U$1,1,2),FALSE)</f>
        <v>0</v>
      </c>
      <c r="V1119" s="55">
        <f>VLOOKUP($E1119,'NI-Ric_SP'!$C:$AN,MID(V$1,1,2),FALSE)</f>
        <v>0</v>
      </c>
      <c r="W1119" s="55">
        <f>VLOOKUP($E1119,'NI-Ric_SP'!$C:$AN,MID(W$1,1,2),FALSE)</f>
        <v>0</v>
      </c>
      <c r="X1119" s="55">
        <f>VLOOKUP($E1119,'NI-Ric_SP'!$C:$AN,MID(X$1,1,2),FALSE)</f>
        <v>0</v>
      </c>
      <c r="Y1119" s="55">
        <f>VLOOKUP($E1119,'NI-Ric_SP'!$C:$AN,MID(Y$1,1,2),FALSE)</f>
        <v>0</v>
      </c>
      <c r="Z1119" s="55">
        <f>VLOOKUP($E1119,'NI-Ric_SP'!$C:$AN,MID(Z$1,1,2),FALSE)</f>
        <v>0</v>
      </c>
      <c r="AA1119" s="55">
        <f>VLOOKUP($E1119,'NI-Ric_SP'!$C:$AN,MID(AA$1,1,2),FALSE)</f>
        <v>0</v>
      </c>
      <c r="AB1119" s="55">
        <f>VLOOKUP($E1119,'NI-Ric_SP'!$C:$AN,MID(AB$1,1,2),FALSE)</f>
        <v>0</v>
      </c>
      <c r="AC1119" s="55">
        <f>VLOOKUP($E1119,'NI-Ric_SP'!$C:$AN,MID(AC$1,1,2),FALSE)</f>
        <v>0</v>
      </c>
      <c r="AD1119" s="55">
        <f>VLOOKUP($E1119,'NI-Ric_SP'!$C:$AN,MID(AD$1,1,2),FALSE)</f>
        <v>0</v>
      </c>
      <c r="AE1119" s="55">
        <f>VLOOKUP($E1119,'NI-Ric_SP'!$C:$AN,MID(AE$1,1,2),FALSE)</f>
        <v>0</v>
      </c>
      <c r="AF1119" s="55">
        <f>VLOOKUP($E1119,'NI-Ric_SP'!$C:$AN,MID(AF$1,1,2),FALSE)</f>
        <v>0</v>
      </c>
      <c r="AG1119" s="55">
        <f>VLOOKUP($E1119,'NI-Ric_SP'!$C:$AN,MID(AG$1,1,2),FALSE)</f>
        <v>0</v>
      </c>
      <c r="AH1119" s="55">
        <f>VLOOKUP($E1119,'NI-Ric_SP'!$C:$AN,MID(AH$1,1,2),FALSE)</f>
        <v>0</v>
      </c>
      <c r="AI1119" s="55">
        <f>VLOOKUP($E1119,'NI-Ric_SP'!$C:$AN,MID(AI$1,1,2),FALSE)</f>
        <v>0</v>
      </c>
      <c r="AJ1119" s="55">
        <f>VLOOKUP($E1119,'NI-Ric_SP'!$C:$AN,MID(AJ$1,1,2),FALSE)</f>
        <v>0</v>
      </c>
      <c r="AK1119" s="55">
        <f>VLOOKUP($E1119,'NI-Ric_SP'!$C:$AN,MID(AK$1,1,2),FALSE)</f>
        <v>0</v>
      </c>
      <c r="AL1119" s="55">
        <f>VLOOKUP($E1119,'NI-Ric_SP'!$C:$AN,MID(AL$1,1,2),FALSE)</f>
        <v>0</v>
      </c>
      <c r="AM1119" s="56">
        <f>VLOOKUP($E1119,'NI-Ric_SP'!$C:$AN,MID(AM$1,1,2),FALSE)</f>
        <v>0</v>
      </c>
      <c r="AN1119" s="30" t="str">
        <f t="shared" si="17"/>
        <v>20202010010030</v>
      </c>
    </row>
    <row r="1120" spans="3:40" x14ac:dyDescent="0.25">
      <c r="C1120" s="40"/>
      <c r="D1120" s="101" t="s">
        <v>1463</v>
      </c>
      <c r="E1120" s="101" t="s">
        <v>1464</v>
      </c>
      <c r="F1120" s="102" t="s">
        <v>2750</v>
      </c>
      <c r="G1120" s="52"/>
      <c r="H1120" s="52"/>
      <c r="I1120" s="52"/>
      <c r="J1120" s="52"/>
      <c r="K1120" s="59" t="s">
        <v>79</v>
      </c>
      <c r="L1120" s="62" t="s">
        <v>1455</v>
      </c>
      <c r="M1120" s="52"/>
      <c r="N1120" s="52"/>
      <c r="O1120" s="61" t="s">
        <v>1444</v>
      </c>
      <c r="P1120" s="103" t="s">
        <v>1465</v>
      </c>
      <c r="Q1120" s="55">
        <f>VLOOKUP(E1120,'NI-Ric_SP'!$C:$AN,12,FALSE)</f>
        <v>0</v>
      </c>
      <c r="R1120" s="55">
        <f>VLOOKUP(E1120,'NI-Ric_SP'!$C:$AN,13,FALSE)</f>
        <v>0</v>
      </c>
      <c r="S1120" s="55">
        <f>VLOOKUP(E1120,'NI-Ric_SP'!$C:$AN,31,FALSE)</f>
        <v>0</v>
      </c>
      <c r="T1120" s="55">
        <f>VLOOKUP(E1120,'NI-Ric_SP'!$C:$AN,32,FALSE)+VLOOKUP(E1120,'NI-Ric_SP'!$C:$AN,33,FALSE)</f>
        <v>0</v>
      </c>
      <c r="U1120" s="55">
        <f>VLOOKUP($E1120,'NI-Ric_SP'!$C:$AN,MID(U$1,1,2),FALSE)</f>
        <v>0</v>
      </c>
      <c r="V1120" s="55">
        <f>VLOOKUP($E1120,'NI-Ric_SP'!$C:$AN,MID(V$1,1,2),FALSE)</f>
        <v>0</v>
      </c>
      <c r="W1120" s="55">
        <f>VLOOKUP($E1120,'NI-Ric_SP'!$C:$AN,MID(W$1,1,2),FALSE)</f>
        <v>0</v>
      </c>
      <c r="X1120" s="55">
        <f>VLOOKUP($E1120,'NI-Ric_SP'!$C:$AN,MID(X$1,1,2),FALSE)</f>
        <v>0</v>
      </c>
      <c r="Y1120" s="55">
        <f>VLOOKUP($E1120,'NI-Ric_SP'!$C:$AN,MID(Y$1,1,2),FALSE)</f>
        <v>0</v>
      </c>
      <c r="Z1120" s="55">
        <f>VLOOKUP($E1120,'NI-Ric_SP'!$C:$AN,MID(Z$1,1,2),FALSE)</f>
        <v>0</v>
      </c>
      <c r="AA1120" s="55">
        <f>VLOOKUP($E1120,'NI-Ric_SP'!$C:$AN,MID(AA$1,1,2),FALSE)</f>
        <v>0</v>
      </c>
      <c r="AB1120" s="55">
        <f>VLOOKUP($E1120,'NI-Ric_SP'!$C:$AN,MID(AB$1,1,2),FALSE)</f>
        <v>0</v>
      </c>
      <c r="AC1120" s="55">
        <f>VLOOKUP($E1120,'NI-Ric_SP'!$C:$AN,MID(AC$1,1,2),FALSE)</f>
        <v>0</v>
      </c>
      <c r="AD1120" s="55">
        <f>VLOOKUP($E1120,'NI-Ric_SP'!$C:$AN,MID(AD$1,1,2),FALSE)</f>
        <v>0</v>
      </c>
      <c r="AE1120" s="55">
        <f>VLOOKUP($E1120,'NI-Ric_SP'!$C:$AN,MID(AE$1,1,2),FALSE)</f>
        <v>0</v>
      </c>
      <c r="AF1120" s="55">
        <f>VLOOKUP($E1120,'NI-Ric_SP'!$C:$AN,MID(AF$1,1,2),FALSE)</f>
        <v>0</v>
      </c>
      <c r="AG1120" s="55">
        <f>VLOOKUP($E1120,'NI-Ric_SP'!$C:$AN,MID(AG$1,1,2),FALSE)</f>
        <v>0</v>
      </c>
      <c r="AH1120" s="55">
        <f>VLOOKUP($E1120,'NI-Ric_SP'!$C:$AN,MID(AH$1,1,2),FALSE)</f>
        <v>0</v>
      </c>
      <c r="AI1120" s="55">
        <f>VLOOKUP($E1120,'NI-Ric_SP'!$C:$AN,MID(AI$1,1,2),FALSE)</f>
        <v>0</v>
      </c>
      <c r="AJ1120" s="55">
        <f>VLOOKUP($E1120,'NI-Ric_SP'!$C:$AN,MID(AJ$1,1,2),FALSE)</f>
        <v>0</v>
      </c>
      <c r="AK1120" s="55">
        <f>VLOOKUP($E1120,'NI-Ric_SP'!$C:$AN,MID(AK$1,1,2),FALSE)</f>
        <v>0</v>
      </c>
      <c r="AL1120" s="55">
        <f>VLOOKUP($E1120,'NI-Ric_SP'!$C:$AN,MID(AL$1,1,2),FALSE)</f>
        <v>0</v>
      </c>
      <c r="AM1120" s="56">
        <f>VLOOKUP($E1120,'NI-Ric_SP'!$C:$AN,MID(AM$1,1,2),FALSE)</f>
        <v>0</v>
      </c>
      <c r="AN1120" s="30" t="str">
        <f t="shared" si="17"/>
        <v>20202010010040</v>
      </c>
    </row>
    <row r="1121" spans="1:40" x14ac:dyDescent="0.25">
      <c r="C1121" s="40"/>
      <c r="D1121" s="101" t="s">
        <v>1466</v>
      </c>
      <c r="E1121" s="101" t="s">
        <v>1467</v>
      </c>
      <c r="F1121" s="102" t="s">
        <v>2750</v>
      </c>
      <c r="G1121" s="52"/>
      <c r="H1121" s="52"/>
      <c r="I1121" s="52"/>
      <c r="J1121" s="52"/>
      <c r="K1121" s="59" t="s">
        <v>79</v>
      </c>
      <c r="L1121" s="62" t="s">
        <v>1455</v>
      </c>
      <c r="M1121" s="52"/>
      <c r="N1121" s="52"/>
      <c r="O1121" s="61" t="s">
        <v>1444</v>
      </c>
      <c r="P1121" s="103" t="s">
        <v>1468</v>
      </c>
      <c r="Q1121" s="55">
        <f>VLOOKUP(E1121,'NI-Ric_SP'!$C:$AN,12,FALSE)</f>
        <v>0</v>
      </c>
      <c r="R1121" s="55">
        <f>VLOOKUP(E1121,'NI-Ric_SP'!$C:$AN,13,FALSE)</f>
        <v>0</v>
      </c>
      <c r="S1121" s="55">
        <f>VLOOKUP(E1121,'NI-Ric_SP'!$C:$AN,31,FALSE)</f>
        <v>0</v>
      </c>
      <c r="T1121" s="55">
        <f>VLOOKUP(E1121,'NI-Ric_SP'!$C:$AN,32,FALSE)+VLOOKUP(E1121,'NI-Ric_SP'!$C:$AN,33,FALSE)</f>
        <v>0</v>
      </c>
      <c r="U1121" s="55">
        <f>VLOOKUP($E1121,'NI-Ric_SP'!$C:$AN,MID(U$1,1,2),FALSE)</f>
        <v>0</v>
      </c>
      <c r="V1121" s="55">
        <f>VLOOKUP($E1121,'NI-Ric_SP'!$C:$AN,MID(V$1,1,2),FALSE)</f>
        <v>0</v>
      </c>
      <c r="W1121" s="55">
        <f>VLOOKUP($E1121,'NI-Ric_SP'!$C:$AN,MID(W$1,1,2),FALSE)</f>
        <v>0</v>
      </c>
      <c r="X1121" s="55">
        <f>VLOOKUP($E1121,'NI-Ric_SP'!$C:$AN,MID(X$1,1,2),FALSE)</f>
        <v>0</v>
      </c>
      <c r="Y1121" s="55">
        <f>VLOOKUP($E1121,'NI-Ric_SP'!$C:$AN,MID(Y$1,1,2),FALSE)</f>
        <v>0</v>
      </c>
      <c r="Z1121" s="55">
        <f>VLOOKUP($E1121,'NI-Ric_SP'!$C:$AN,MID(Z$1,1,2),FALSE)</f>
        <v>0</v>
      </c>
      <c r="AA1121" s="55">
        <f>VLOOKUP($E1121,'NI-Ric_SP'!$C:$AN,MID(AA$1,1,2),FALSE)</f>
        <v>0</v>
      </c>
      <c r="AB1121" s="55">
        <f>VLOOKUP($E1121,'NI-Ric_SP'!$C:$AN,MID(AB$1,1,2),FALSE)</f>
        <v>0</v>
      </c>
      <c r="AC1121" s="55">
        <f>VLOOKUP($E1121,'NI-Ric_SP'!$C:$AN,MID(AC$1,1,2),FALSE)</f>
        <v>0</v>
      </c>
      <c r="AD1121" s="55">
        <f>VLOOKUP($E1121,'NI-Ric_SP'!$C:$AN,MID(AD$1,1,2),FALSE)</f>
        <v>0</v>
      </c>
      <c r="AE1121" s="55">
        <f>VLOOKUP($E1121,'NI-Ric_SP'!$C:$AN,MID(AE$1,1,2),FALSE)</f>
        <v>0</v>
      </c>
      <c r="AF1121" s="55">
        <f>VLOOKUP($E1121,'NI-Ric_SP'!$C:$AN,MID(AF$1,1,2),FALSE)</f>
        <v>0</v>
      </c>
      <c r="AG1121" s="55">
        <f>VLOOKUP($E1121,'NI-Ric_SP'!$C:$AN,MID(AG$1,1,2),FALSE)</f>
        <v>0</v>
      </c>
      <c r="AH1121" s="55">
        <f>VLOOKUP($E1121,'NI-Ric_SP'!$C:$AN,MID(AH$1,1,2),FALSE)</f>
        <v>0</v>
      </c>
      <c r="AI1121" s="55">
        <f>VLOOKUP($E1121,'NI-Ric_SP'!$C:$AN,MID(AI$1,1,2),FALSE)</f>
        <v>0</v>
      </c>
      <c r="AJ1121" s="55">
        <f>VLOOKUP($E1121,'NI-Ric_SP'!$C:$AN,MID(AJ$1,1,2),FALSE)</f>
        <v>0</v>
      </c>
      <c r="AK1121" s="55">
        <f>VLOOKUP($E1121,'NI-Ric_SP'!$C:$AN,MID(AK$1,1,2),FALSE)</f>
        <v>0</v>
      </c>
      <c r="AL1121" s="55">
        <f>VLOOKUP($E1121,'NI-Ric_SP'!$C:$AN,MID(AL$1,1,2),FALSE)</f>
        <v>0</v>
      </c>
      <c r="AM1121" s="56">
        <f>VLOOKUP($E1121,'NI-Ric_SP'!$C:$AN,MID(AM$1,1,2),FALSE)</f>
        <v>0</v>
      </c>
      <c r="AN1121" s="30" t="str">
        <f t="shared" si="17"/>
        <v>20202010010050</v>
      </c>
    </row>
    <row r="1122" spans="1:40" x14ac:dyDescent="0.25">
      <c r="C1122" s="40"/>
      <c r="D1122" s="101" t="s">
        <v>1469</v>
      </c>
      <c r="E1122" s="101" t="s">
        <v>1470</v>
      </c>
      <c r="F1122" s="102" t="s">
        <v>2750</v>
      </c>
      <c r="G1122" s="52"/>
      <c r="H1122" s="52"/>
      <c r="I1122" s="52"/>
      <c r="J1122" s="52"/>
      <c r="K1122" s="59" t="s">
        <v>79</v>
      </c>
      <c r="L1122" s="62" t="s">
        <v>1471</v>
      </c>
      <c r="M1122" s="52"/>
      <c r="N1122" s="52"/>
      <c r="O1122" s="61" t="s">
        <v>1444</v>
      </c>
      <c r="P1122" s="103" t="s">
        <v>1472</v>
      </c>
      <c r="Q1122" s="55">
        <f>VLOOKUP(E1122,'NI-Ric_SP'!$C:$AN,12,FALSE)</f>
        <v>0</v>
      </c>
      <c r="R1122" s="55">
        <f>VLOOKUP(E1122,'NI-Ric_SP'!$C:$AN,13,FALSE)</f>
        <v>0</v>
      </c>
      <c r="S1122" s="55">
        <f>VLOOKUP(E1122,'NI-Ric_SP'!$C:$AN,31,FALSE)</f>
        <v>0</v>
      </c>
      <c r="T1122" s="55">
        <f>VLOOKUP(E1122,'NI-Ric_SP'!$C:$AN,32,FALSE)+VLOOKUP(E1122,'NI-Ric_SP'!$C:$AN,33,FALSE)</f>
        <v>0</v>
      </c>
      <c r="U1122" s="55">
        <f>VLOOKUP($E1122,'NI-Ric_SP'!$C:$AN,MID(U$1,1,2),FALSE)</f>
        <v>0</v>
      </c>
      <c r="V1122" s="55">
        <f>VLOOKUP($E1122,'NI-Ric_SP'!$C:$AN,MID(V$1,1,2),FALSE)</f>
        <v>0</v>
      </c>
      <c r="W1122" s="55">
        <f>VLOOKUP($E1122,'NI-Ric_SP'!$C:$AN,MID(W$1,1,2),FALSE)</f>
        <v>0</v>
      </c>
      <c r="X1122" s="55">
        <f>VLOOKUP($E1122,'NI-Ric_SP'!$C:$AN,MID(X$1,1,2),FALSE)</f>
        <v>0</v>
      </c>
      <c r="Y1122" s="55">
        <f>VLOOKUP($E1122,'NI-Ric_SP'!$C:$AN,MID(Y$1,1,2),FALSE)</f>
        <v>0</v>
      </c>
      <c r="Z1122" s="55">
        <f>VLOOKUP($E1122,'NI-Ric_SP'!$C:$AN,MID(Z$1,1,2),FALSE)</f>
        <v>0</v>
      </c>
      <c r="AA1122" s="55">
        <f>VLOOKUP($E1122,'NI-Ric_SP'!$C:$AN,MID(AA$1,1,2),FALSE)</f>
        <v>0</v>
      </c>
      <c r="AB1122" s="55">
        <f>VLOOKUP($E1122,'NI-Ric_SP'!$C:$AN,MID(AB$1,1,2),FALSE)</f>
        <v>0</v>
      </c>
      <c r="AC1122" s="55">
        <f>VLOOKUP($E1122,'NI-Ric_SP'!$C:$AN,MID(AC$1,1,2),FALSE)</f>
        <v>0</v>
      </c>
      <c r="AD1122" s="55">
        <f>VLOOKUP($E1122,'NI-Ric_SP'!$C:$AN,MID(AD$1,1,2),FALSE)</f>
        <v>0</v>
      </c>
      <c r="AE1122" s="55">
        <f>VLOOKUP($E1122,'NI-Ric_SP'!$C:$AN,MID(AE$1,1,2),FALSE)</f>
        <v>0</v>
      </c>
      <c r="AF1122" s="55">
        <f>VLOOKUP($E1122,'NI-Ric_SP'!$C:$AN,MID(AF$1,1,2),FALSE)</f>
        <v>0</v>
      </c>
      <c r="AG1122" s="55">
        <f>VLOOKUP($E1122,'NI-Ric_SP'!$C:$AN,MID(AG$1,1,2),FALSE)</f>
        <v>0</v>
      </c>
      <c r="AH1122" s="55">
        <f>VLOOKUP($E1122,'NI-Ric_SP'!$C:$AN,MID(AH$1,1,2),FALSE)</f>
        <v>0</v>
      </c>
      <c r="AI1122" s="55">
        <f>VLOOKUP($E1122,'NI-Ric_SP'!$C:$AN,MID(AI$1,1,2),FALSE)</f>
        <v>0</v>
      </c>
      <c r="AJ1122" s="55">
        <f>VLOOKUP($E1122,'NI-Ric_SP'!$C:$AN,MID(AJ$1,1,2),FALSE)</f>
        <v>0</v>
      </c>
      <c r="AK1122" s="55">
        <f>VLOOKUP($E1122,'NI-Ric_SP'!$C:$AN,MID(AK$1,1,2),FALSE)</f>
        <v>0</v>
      </c>
      <c r="AL1122" s="55">
        <f>VLOOKUP($E1122,'NI-Ric_SP'!$C:$AN,MID(AL$1,1,2),FALSE)</f>
        <v>0</v>
      </c>
      <c r="AM1122" s="56">
        <f>VLOOKUP($E1122,'NI-Ric_SP'!$C:$AN,MID(AM$1,1,2),FALSE)</f>
        <v>0</v>
      </c>
      <c r="AN1122" s="30" t="str">
        <f t="shared" si="17"/>
        <v>20202010010060</v>
      </c>
    </row>
    <row r="1123" spans="1:40" x14ac:dyDescent="0.25">
      <c r="C1123" s="40"/>
      <c r="D1123" s="101" t="s">
        <v>1476</v>
      </c>
      <c r="E1123" s="101" t="s">
        <v>1477</v>
      </c>
      <c r="F1123" s="102" t="s">
        <v>2750</v>
      </c>
      <c r="G1123" s="52" t="s">
        <v>2396</v>
      </c>
      <c r="H1123" s="52"/>
      <c r="I1123" s="52" t="s">
        <v>1479</v>
      </c>
      <c r="J1123" s="52" t="s">
        <v>1479</v>
      </c>
      <c r="K1123" s="59" t="s">
        <v>79</v>
      </c>
      <c r="L1123" s="62" t="s">
        <v>1455</v>
      </c>
      <c r="M1123" s="52"/>
      <c r="N1123" s="52"/>
      <c r="O1123" s="61" t="s">
        <v>1444</v>
      </c>
      <c r="P1123" s="76" t="s">
        <v>1480</v>
      </c>
      <c r="Q1123" s="55">
        <f>VLOOKUP(E1123,'NI-Ric_SP'!$C:$AN,12,FALSE)</f>
        <v>0</v>
      </c>
      <c r="R1123" s="55">
        <f>VLOOKUP(E1123,'NI-Ric_SP'!$C:$AN,13,FALSE)</f>
        <v>0</v>
      </c>
      <c r="S1123" s="55">
        <f>VLOOKUP(E1123,'NI-Ric_SP'!$C:$AN,31,FALSE)</f>
        <v>0</v>
      </c>
      <c r="T1123" s="55">
        <f>VLOOKUP(E1123,'NI-Ric_SP'!$C:$AN,32,FALSE)+VLOOKUP(E1123,'NI-Ric_SP'!$C:$AN,33,FALSE)</f>
        <v>0</v>
      </c>
      <c r="U1123" s="55">
        <f>VLOOKUP($E1123,'NI-Ric_SP'!$C:$AN,MID(U$1,1,2),FALSE)</f>
        <v>0</v>
      </c>
      <c r="V1123" s="55">
        <f>VLOOKUP($E1123,'NI-Ric_SP'!$C:$AN,MID(V$1,1,2),FALSE)</f>
        <v>0</v>
      </c>
      <c r="W1123" s="55">
        <f>VLOOKUP($E1123,'NI-Ric_SP'!$C:$AN,MID(W$1,1,2),FALSE)</f>
        <v>0</v>
      </c>
      <c r="X1123" s="55">
        <f>VLOOKUP($E1123,'NI-Ric_SP'!$C:$AN,MID(X$1,1,2),FALSE)</f>
        <v>0</v>
      </c>
      <c r="Y1123" s="55">
        <f>VLOOKUP($E1123,'NI-Ric_SP'!$C:$AN,MID(Y$1,1,2),FALSE)</f>
        <v>0</v>
      </c>
      <c r="Z1123" s="55">
        <f>VLOOKUP($E1123,'NI-Ric_SP'!$C:$AN,MID(Z$1,1,2),FALSE)</f>
        <v>0</v>
      </c>
      <c r="AA1123" s="55">
        <f>VLOOKUP($E1123,'NI-Ric_SP'!$C:$AN,MID(AA$1,1,2),FALSE)</f>
        <v>0</v>
      </c>
      <c r="AB1123" s="55">
        <f>VLOOKUP($E1123,'NI-Ric_SP'!$C:$AN,MID(AB$1,1,2),FALSE)</f>
        <v>0</v>
      </c>
      <c r="AC1123" s="55">
        <f>VLOOKUP($E1123,'NI-Ric_SP'!$C:$AN,MID(AC$1,1,2),FALSE)</f>
        <v>0</v>
      </c>
      <c r="AD1123" s="55">
        <f>VLOOKUP($E1123,'NI-Ric_SP'!$C:$AN,MID(AD$1,1,2),FALSE)</f>
        <v>0</v>
      </c>
      <c r="AE1123" s="55">
        <f>VLOOKUP($E1123,'NI-Ric_SP'!$C:$AN,MID(AE$1,1,2),FALSE)</f>
        <v>0</v>
      </c>
      <c r="AF1123" s="55">
        <f>VLOOKUP($E1123,'NI-Ric_SP'!$C:$AN,MID(AF$1,1,2),FALSE)</f>
        <v>0</v>
      </c>
      <c r="AG1123" s="55">
        <f>VLOOKUP($E1123,'NI-Ric_SP'!$C:$AN,MID(AG$1,1,2),FALSE)</f>
        <v>0</v>
      </c>
      <c r="AH1123" s="55">
        <f>VLOOKUP($E1123,'NI-Ric_SP'!$C:$AN,MID(AH$1,1,2),FALSE)</f>
        <v>0</v>
      </c>
      <c r="AI1123" s="55">
        <f>VLOOKUP($E1123,'NI-Ric_SP'!$C:$AN,MID(AI$1,1,2),FALSE)</f>
        <v>0</v>
      </c>
      <c r="AJ1123" s="55">
        <f>VLOOKUP($E1123,'NI-Ric_SP'!$C:$AN,MID(AJ$1,1,2),FALSE)</f>
        <v>0</v>
      </c>
      <c r="AK1123" s="55">
        <f>VLOOKUP($E1123,'NI-Ric_SP'!$C:$AN,MID(AK$1,1,2),FALSE)</f>
        <v>0</v>
      </c>
      <c r="AL1123" s="55">
        <f>VLOOKUP($E1123,'NI-Ric_SP'!$C:$AN,MID(AL$1,1,2),FALSE)</f>
        <v>0</v>
      </c>
      <c r="AM1123" s="56">
        <f>VLOOKUP($E1123,'NI-Ric_SP'!$C:$AN,MID(AM$1,1,2),FALSE)</f>
        <v>0</v>
      </c>
      <c r="AN1123" s="30" t="str">
        <f t="shared" si="17"/>
        <v>20202010020000</v>
      </c>
    </row>
    <row r="1124" spans="1:40" x14ac:dyDescent="0.25">
      <c r="C1124" s="40"/>
      <c r="D1124" s="101" t="s">
        <v>1481</v>
      </c>
      <c r="E1124" s="101" t="s">
        <v>1482</v>
      </c>
      <c r="F1124" s="102" t="s">
        <v>2750</v>
      </c>
      <c r="G1124" s="52"/>
      <c r="H1124" s="52"/>
      <c r="I1124" s="52" t="s">
        <v>1483</v>
      </c>
      <c r="J1124" s="52" t="s">
        <v>1483</v>
      </c>
      <c r="K1124" s="59" t="s">
        <v>111</v>
      </c>
      <c r="L1124" s="62" t="s">
        <v>1455</v>
      </c>
      <c r="M1124" s="52"/>
      <c r="N1124" s="52"/>
      <c r="O1124" s="52"/>
      <c r="P1124" s="76" t="s">
        <v>1484</v>
      </c>
      <c r="Q1124" s="55">
        <f>VLOOKUP(E1124,'NI-Ric_SP'!$C:$AN,12,FALSE)</f>
        <v>0</v>
      </c>
      <c r="R1124" s="55">
        <f>VLOOKUP(E1124,'NI-Ric_SP'!$C:$AN,13,FALSE)</f>
        <v>0</v>
      </c>
      <c r="S1124" s="55">
        <f>VLOOKUP(E1124,'NI-Ric_SP'!$C:$AN,31,FALSE)</f>
        <v>0</v>
      </c>
      <c r="T1124" s="55">
        <f>VLOOKUP(E1124,'NI-Ric_SP'!$C:$AN,32,FALSE)+VLOOKUP(E1124,'NI-Ric_SP'!$C:$AN,33,FALSE)</f>
        <v>0</v>
      </c>
      <c r="U1124" s="55">
        <f>VLOOKUP($E1124,'NI-Ric_SP'!$C:$AN,MID(U$1,1,2),FALSE)</f>
        <v>0</v>
      </c>
      <c r="V1124" s="55">
        <f>VLOOKUP($E1124,'NI-Ric_SP'!$C:$AN,MID(V$1,1,2),FALSE)</f>
        <v>0</v>
      </c>
      <c r="W1124" s="55">
        <f>VLOOKUP($E1124,'NI-Ric_SP'!$C:$AN,MID(W$1,1,2),FALSE)</f>
        <v>0</v>
      </c>
      <c r="X1124" s="55">
        <f>VLOOKUP($E1124,'NI-Ric_SP'!$C:$AN,MID(X$1,1,2),FALSE)</f>
        <v>0</v>
      </c>
      <c r="Y1124" s="55">
        <f>VLOOKUP($E1124,'NI-Ric_SP'!$C:$AN,MID(Y$1,1,2),FALSE)</f>
        <v>0</v>
      </c>
      <c r="Z1124" s="55">
        <f>VLOOKUP($E1124,'NI-Ric_SP'!$C:$AN,MID(Z$1,1,2),FALSE)</f>
        <v>0</v>
      </c>
      <c r="AA1124" s="55">
        <f>VLOOKUP($E1124,'NI-Ric_SP'!$C:$AN,MID(AA$1,1,2),FALSE)</f>
        <v>0</v>
      </c>
      <c r="AB1124" s="55">
        <f>VLOOKUP($E1124,'NI-Ric_SP'!$C:$AN,MID(AB$1,1,2),FALSE)</f>
        <v>0</v>
      </c>
      <c r="AC1124" s="55">
        <f>VLOOKUP($E1124,'NI-Ric_SP'!$C:$AN,MID(AC$1,1,2),FALSE)</f>
        <v>0</v>
      </c>
      <c r="AD1124" s="55">
        <f>VLOOKUP($E1124,'NI-Ric_SP'!$C:$AN,MID(AD$1,1,2),FALSE)</f>
        <v>0</v>
      </c>
      <c r="AE1124" s="55">
        <f>VLOOKUP($E1124,'NI-Ric_SP'!$C:$AN,MID(AE$1,1,2),FALSE)</f>
        <v>0</v>
      </c>
      <c r="AF1124" s="55">
        <f>VLOOKUP($E1124,'NI-Ric_SP'!$C:$AN,MID(AF$1,1,2),FALSE)</f>
        <v>0</v>
      </c>
      <c r="AG1124" s="55">
        <f>VLOOKUP($E1124,'NI-Ric_SP'!$C:$AN,MID(AG$1,1,2),FALSE)</f>
        <v>0</v>
      </c>
      <c r="AH1124" s="55">
        <f>VLOOKUP($E1124,'NI-Ric_SP'!$C:$AN,MID(AH$1,1,2),FALSE)</f>
        <v>0</v>
      </c>
      <c r="AI1124" s="55">
        <f>VLOOKUP($E1124,'NI-Ric_SP'!$C:$AN,MID(AI$1,1,2),FALSE)</f>
        <v>0</v>
      </c>
      <c r="AJ1124" s="55">
        <f>VLOOKUP($E1124,'NI-Ric_SP'!$C:$AN,MID(AJ$1,1,2),FALSE)</f>
        <v>0</v>
      </c>
      <c r="AK1124" s="55">
        <f>VLOOKUP($E1124,'NI-Ric_SP'!$C:$AN,MID(AK$1,1,2),FALSE)</f>
        <v>0</v>
      </c>
      <c r="AL1124" s="55">
        <f>VLOOKUP($E1124,'NI-Ric_SP'!$C:$AN,MID(AL$1,1,2),FALSE)</f>
        <v>0</v>
      </c>
      <c r="AM1124" s="56">
        <f>VLOOKUP($E1124,'NI-Ric_SP'!$C:$AN,MID(AM$1,1,2),FALSE)</f>
        <v>0</v>
      </c>
      <c r="AN1124" s="30" t="str">
        <f t="shared" si="17"/>
        <v>20202010030000</v>
      </c>
    </row>
    <row r="1125" spans="1:40" ht="27" x14ac:dyDescent="0.25">
      <c r="C1125" s="40"/>
      <c r="D1125" s="101" t="s">
        <v>1485</v>
      </c>
      <c r="E1125" s="101" t="s">
        <v>1486</v>
      </c>
      <c r="F1125" s="102" t="s">
        <v>2750</v>
      </c>
      <c r="G1125" s="52" t="s">
        <v>2396</v>
      </c>
      <c r="H1125" s="52"/>
      <c r="I1125" s="52"/>
      <c r="J1125" s="52"/>
      <c r="K1125" s="59" t="s">
        <v>79</v>
      </c>
      <c r="L1125" s="52"/>
      <c r="M1125" s="52"/>
      <c r="N1125" s="52"/>
      <c r="O1125" s="61" t="s">
        <v>1444</v>
      </c>
      <c r="P1125" s="103" t="s">
        <v>1487</v>
      </c>
      <c r="Q1125" s="55">
        <f>VLOOKUP(E1125,'NI-Ric_SP'!$C:$AN,12,FALSE)</f>
        <v>0</v>
      </c>
      <c r="R1125" s="55">
        <f>VLOOKUP(E1125,'NI-Ric_SP'!$C:$AN,13,FALSE)</f>
        <v>0</v>
      </c>
      <c r="S1125" s="55">
        <f>VLOOKUP(E1125,'NI-Ric_SP'!$C:$AN,31,FALSE)</f>
        <v>0</v>
      </c>
      <c r="T1125" s="55">
        <f>VLOOKUP(E1125,'NI-Ric_SP'!$C:$AN,32,FALSE)+VLOOKUP(E1125,'NI-Ric_SP'!$C:$AN,33,FALSE)</f>
        <v>0</v>
      </c>
      <c r="U1125" s="55">
        <f>VLOOKUP($E1125,'NI-Ric_SP'!$C:$AN,MID(U$1,1,2),FALSE)</f>
        <v>0</v>
      </c>
      <c r="V1125" s="55">
        <f>VLOOKUP($E1125,'NI-Ric_SP'!$C:$AN,MID(V$1,1,2),FALSE)</f>
        <v>0</v>
      </c>
      <c r="W1125" s="55">
        <f>VLOOKUP($E1125,'NI-Ric_SP'!$C:$AN,MID(W$1,1,2),FALSE)</f>
        <v>0</v>
      </c>
      <c r="X1125" s="55">
        <f>VLOOKUP($E1125,'NI-Ric_SP'!$C:$AN,MID(X$1,1,2),FALSE)</f>
        <v>0</v>
      </c>
      <c r="Y1125" s="55">
        <f>VLOOKUP($E1125,'NI-Ric_SP'!$C:$AN,MID(Y$1,1,2),FALSE)</f>
        <v>0</v>
      </c>
      <c r="Z1125" s="55">
        <f>VLOOKUP($E1125,'NI-Ric_SP'!$C:$AN,MID(Z$1,1,2),FALSE)</f>
        <v>0</v>
      </c>
      <c r="AA1125" s="55">
        <f>VLOOKUP($E1125,'NI-Ric_SP'!$C:$AN,MID(AA$1,1,2),FALSE)</f>
        <v>0</v>
      </c>
      <c r="AB1125" s="55">
        <f>VLOOKUP($E1125,'NI-Ric_SP'!$C:$AN,MID(AB$1,1,2),FALSE)</f>
        <v>0</v>
      </c>
      <c r="AC1125" s="55">
        <f>VLOOKUP($E1125,'NI-Ric_SP'!$C:$AN,MID(AC$1,1,2),FALSE)</f>
        <v>0</v>
      </c>
      <c r="AD1125" s="55">
        <f>VLOOKUP($E1125,'NI-Ric_SP'!$C:$AN,MID(AD$1,1,2),FALSE)</f>
        <v>0</v>
      </c>
      <c r="AE1125" s="55">
        <f>VLOOKUP($E1125,'NI-Ric_SP'!$C:$AN,MID(AE$1,1,2),FALSE)</f>
        <v>0</v>
      </c>
      <c r="AF1125" s="55">
        <f>VLOOKUP($E1125,'NI-Ric_SP'!$C:$AN,MID(AF$1,1,2),FALSE)</f>
        <v>0</v>
      </c>
      <c r="AG1125" s="55">
        <f>VLOOKUP($E1125,'NI-Ric_SP'!$C:$AN,MID(AG$1,1,2),FALSE)</f>
        <v>0</v>
      </c>
      <c r="AH1125" s="55">
        <f>VLOOKUP($E1125,'NI-Ric_SP'!$C:$AN,MID(AH$1,1,2),FALSE)</f>
        <v>0</v>
      </c>
      <c r="AI1125" s="55">
        <f>VLOOKUP($E1125,'NI-Ric_SP'!$C:$AN,MID(AI$1,1,2),FALSE)</f>
        <v>0</v>
      </c>
      <c r="AJ1125" s="55">
        <f>VLOOKUP($E1125,'NI-Ric_SP'!$C:$AN,MID(AJ$1,1,2),FALSE)</f>
        <v>0</v>
      </c>
      <c r="AK1125" s="55">
        <f>VLOOKUP($E1125,'NI-Ric_SP'!$C:$AN,MID(AK$1,1,2),FALSE)</f>
        <v>0</v>
      </c>
      <c r="AL1125" s="55">
        <f>VLOOKUP($E1125,'NI-Ric_SP'!$C:$AN,MID(AL$1,1,2),FALSE)</f>
        <v>0</v>
      </c>
      <c r="AM1125" s="56">
        <f>VLOOKUP($E1125,'NI-Ric_SP'!$C:$AN,MID(AM$1,1,2),FALSE)</f>
        <v>0</v>
      </c>
      <c r="AN1125" s="30" t="str">
        <f t="shared" si="17"/>
        <v>20202010030010</v>
      </c>
    </row>
    <row r="1126" spans="1:40" ht="27" x14ac:dyDescent="0.25">
      <c r="C1126" s="40"/>
      <c r="D1126" s="101" t="s">
        <v>1488</v>
      </c>
      <c r="E1126" s="101" t="s">
        <v>1489</v>
      </c>
      <c r="F1126" s="102" t="s">
        <v>2750</v>
      </c>
      <c r="G1126" s="52" t="s">
        <v>2396</v>
      </c>
      <c r="H1126" s="52"/>
      <c r="I1126" s="52"/>
      <c r="J1126" s="52"/>
      <c r="K1126" s="59" t="s">
        <v>79</v>
      </c>
      <c r="L1126" s="52"/>
      <c r="M1126" s="52"/>
      <c r="N1126" s="52"/>
      <c r="O1126" s="61" t="s">
        <v>1444</v>
      </c>
      <c r="P1126" s="103" t="s">
        <v>1490</v>
      </c>
      <c r="Q1126" s="55">
        <f>VLOOKUP(E1126,'NI-Ric_SP'!$C:$AN,12,FALSE)</f>
        <v>0</v>
      </c>
      <c r="R1126" s="55">
        <f>VLOOKUP(E1126,'NI-Ric_SP'!$C:$AN,13,FALSE)</f>
        <v>0</v>
      </c>
      <c r="S1126" s="55">
        <f>VLOOKUP(E1126,'NI-Ric_SP'!$C:$AN,31,FALSE)</f>
        <v>0</v>
      </c>
      <c r="T1126" s="55">
        <f>VLOOKUP(E1126,'NI-Ric_SP'!$C:$AN,32,FALSE)+VLOOKUP(E1126,'NI-Ric_SP'!$C:$AN,33,FALSE)</f>
        <v>0</v>
      </c>
      <c r="U1126" s="55">
        <f>VLOOKUP($E1126,'NI-Ric_SP'!$C:$AN,MID(U$1,1,2),FALSE)</f>
        <v>0</v>
      </c>
      <c r="V1126" s="55">
        <f>VLOOKUP($E1126,'NI-Ric_SP'!$C:$AN,MID(V$1,1,2),FALSE)</f>
        <v>0</v>
      </c>
      <c r="W1126" s="55">
        <f>VLOOKUP($E1126,'NI-Ric_SP'!$C:$AN,MID(W$1,1,2),FALSE)</f>
        <v>0</v>
      </c>
      <c r="X1126" s="55">
        <f>VLOOKUP($E1126,'NI-Ric_SP'!$C:$AN,MID(X$1,1,2),FALSE)</f>
        <v>0</v>
      </c>
      <c r="Y1126" s="55">
        <f>VLOOKUP($E1126,'NI-Ric_SP'!$C:$AN,MID(Y$1,1,2),FALSE)</f>
        <v>0</v>
      </c>
      <c r="Z1126" s="55">
        <f>VLOOKUP($E1126,'NI-Ric_SP'!$C:$AN,MID(Z$1,1,2),FALSE)</f>
        <v>0</v>
      </c>
      <c r="AA1126" s="55">
        <f>VLOOKUP($E1126,'NI-Ric_SP'!$C:$AN,MID(AA$1,1,2),FALSE)</f>
        <v>0</v>
      </c>
      <c r="AB1126" s="55">
        <f>VLOOKUP($E1126,'NI-Ric_SP'!$C:$AN,MID(AB$1,1,2),FALSE)</f>
        <v>0</v>
      </c>
      <c r="AC1126" s="55">
        <f>VLOOKUP($E1126,'NI-Ric_SP'!$C:$AN,MID(AC$1,1,2),FALSE)</f>
        <v>0</v>
      </c>
      <c r="AD1126" s="55">
        <f>VLOOKUP($E1126,'NI-Ric_SP'!$C:$AN,MID(AD$1,1,2),FALSE)</f>
        <v>0</v>
      </c>
      <c r="AE1126" s="55">
        <f>VLOOKUP($E1126,'NI-Ric_SP'!$C:$AN,MID(AE$1,1,2),FALSE)</f>
        <v>0</v>
      </c>
      <c r="AF1126" s="55">
        <f>VLOOKUP($E1126,'NI-Ric_SP'!$C:$AN,MID(AF$1,1,2),FALSE)</f>
        <v>0</v>
      </c>
      <c r="AG1126" s="55">
        <f>VLOOKUP($E1126,'NI-Ric_SP'!$C:$AN,MID(AG$1,1,2),FALSE)</f>
        <v>0</v>
      </c>
      <c r="AH1126" s="55">
        <f>VLOOKUP($E1126,'NI-Ric_SP'!$C:$AN,MID(AH$1,1,2),FALSE)</f>
        <v>0</v>
      </c>
      <c r="AI1126" s="55">
        <f>VLOOKUP($E1126,'NI-Ric_SP'!$C:$AN,MID(AI$1,1,2),FALSE)</f>
        <v>0</v>
      </c>
      <c r="AJ1126" s="55">
        <f>VLOOKUP($E1126,'NI-Ric_SP'!$C:$AN,MID(AJ$1,1,2),FALSE)</f>
        <v>0</v>
      </c>
      <c r="AK1126" s="55">
        <f>VLOOKUP($E1126,'NI-Ric_SP'!$C:$AN,MID(AK$1,1,2),FALSE)</f>
        <v>0</v>
      </c>
      <c r="AL1126" s="55">
        <f>VLOOKUP($E1126,'NI-Ric_SP'!$C:$AN,MID(AL$1,1,2),FALSE)</f>
        <v>0</v>
      </c>
      <c r="AM1126" s="56">
        <f>VLOOKUP($E1126,'NI-Ric_SP'!$C:$AN,MID(AM$1,1,2),FALSE)</f>
        <v>0</v>
      </c>
      <c r="AN1126" s="30" t="str">
        <f t="shared" si="17"/>
        <v>20202010030020</v>
      </c>
    </row>
    <row r="1127" spans="1:40" ht="27" x14ac:dyDescent="0.25">
      <c r="C1127" s="40"/>
      <c r="D1127" s="101" t="s">
        <v>1491</v>
      </c>
      <c r="E1127" s="101" t="s">
        <v>1492</v>
      </c>
      <c r="F1127" s="102" t="s">
        <v>2750</v>
      </c>
      <c r="G1127" s="52" t="s">
        <v>2396</v>
      </c>
      <c r="H1127" s="52"/>
      <c r="I1127" s="52"/>
      <c r="J1127" s="52"/>
      <c r="K1127" s="59" t="s">
        <v>79</v>
      </c>
      <c r="L1127" s="52"/>
      <c r="M1127" s="52"/>
      <c r="N1127" s="52"/>
      <c r="O1127" s="61" t="s">
        <v>1444</v>
      </c>
      <c r="P1127" s="103" t="s">
        <v>1493</v>
      </c>
      <c r="Q1127" s="55">
        <f>VLOOKUP(E1127,'NI-Ric_SP'!$C:$AN,12,FALSE)</f>
        <v>0</v>
      </c>
      <c r="R1127" s="55">
        <f>VLOOKUP(E1127,'NI-Ric_SP'!$C:$AN,13,FALSE)</f>
        <v>0</v>
      </c>
      <c r="S1127" s="55">
        <f>VLOOKUP(E1127,'NI-Ric_SP'!$C:$AN,31,FALSE)</f>
        <v>0</v>
      </c>
      <c r="T1127" s="55">
        <f>VLOOKUP(E1127,'NI-Ric_SP'!$C:$AN,32,FALSE)+VLOOKUP(E1127,'NI-Ric_SP'!$C:$AN,33,FALSE)</f>
        <v>0</v>
      </c>
      <c r="U1127" s="55">
        <f>VLOOKUP($E1127,'NI-Ric_SP'!$C:$AN,MID(U$1,1,2),FALSE)</f>
        <v>0</v>
      </c>
      <c r="V1127" s="55">
        <f>VLOOKUP($E1127,'NI-Ric_SP'!$C:$AN,MID(V$1,1,2),FALSE)</f>
        <v>0</v>
      </c>
      <c r="W1127" s="55">
        <f>VLOOKUP($E1127,'NI-Ric_SP'!$C:$AN,MID(W$1,1,2),FALSE)</f>
        <v>0</v>
      </c>
      <c r="X1127" s="55">
        <f>VLOOKUP($E1127,'NI-Ric_SP'!$C:$AN,MID(X$1,1,2),FALSE)</f>
        <v>0</v>
      </c>
      <c r="Y1127" s="55">
        <f>VLOOKUP($E1127,'NI-Ric_SP'!$C:$AN,MID(Y$1,1,2),FALSE)</f>
        <v>0</v>
      </c>
      <c r="Z1127" s="55">
        <f>VLOOKUP($E1127,'NI-Ric_SP'!$C:$AN,MID(Z$1,1,2),FALSE)</f>
        <v>0</v>
      </c>
      <c r="AA1127" s="55">
        <f>VLOOKUP($E1127,'NI-Ric_SP'!$C:$AN,MID(AA$1,1,2),FALSE)</f>
        <v>0</v>
      </c>
      <c r="AB1127" s="55">
        <f>VLOOKUP($E1127,'NI-Ric_SP'!$C:$AN,MID(AB$1,1,2),FALSE)</f>
        <v>0</v>
      </c>
      <c r="AC1127" s="55">
        <f>VLOOKUP($E1127,'NI-Ric_SP'!$C:$AN,MID(AC$1,1,2),FALSE)</f>
        <v>0</v>
      </c>
      <c r="AD1127" s="55">
        <f>VLOOKUP($E1127,'NI-Ric_SP'!$C:$AN,MID(AD$1,1,2),FALSE)</f>
        <v>0</v>
      </c>
      <c r="AE1127" s="55">
        <f>VLOOKUP($E1127,'NI-Ric_SP'!$C:$AN,MID(AE$1,1,2),FALSE)</f>
        <v>0</v>
      </c>
      <c r="AF1127" s="55">
        <f>VLOOKUP($E1127,'NI-Ric_SP'!$C:$AN,MID(AF$1,1,2),FALSE)</f>
        <v>0</v>
      </c>
      <c r="AG1127" s="55">
        <f>VLOOKUP($E1127,'NI-Ric_SP'!$C:$AN,MID(AG$1,1,2),FALSE)</f>
        <v>0</v>
      </c>
      <c r="AH1127" s="55">
        <f>VLOOKUP($E1127,'NI-Ric_SP'!$C:$AN,MID(AH$1,1,2),FALSE)</f>
        <v>0</v>
      </c>
      <c r="AI1127" s="55">
        <f>VLOOKUP($E1127,'NI-Ric_SP'!$C:$AN,MID(AI$1,1,2),FALSE)</f>
        <v>0</v>
      </c>
      <c r="AJ1127" s="55">
        <f>VLOOKUP($E1127,'NI-Ric_SP'!$C:$AN,MID(AJ$1,1,2),FALSE)</f>
        <v>0</v>
      </c>
      <c r="AK1127" s="55">
        <f>VLOOKUP($E1127,'NI-Ric_SP'!$C:$AN,MID(AK$1,1,2),FALSE)</f>
        <v>0</v>
      </c>
      <c r="AL1127" s="55">
        <f>VLOOKUP($E1127,'NI-Ric_SP'!$C:$AN,MID(AL$1,1,2),FALSE)</f>
        <v>0</v>
      </c>
      <c r="AM1127" s="56">
        <f>VLOOKUP($E1127,'NI-Ric_SP'!$C:$AN,MID(AM$1,1,2),FALSE)</f>
        <v>0</v>
      </c>
      <c r="AN1127" s="30" t="str">
        <f t="shared" si="17"/>
        <v>20202010030030</v>
      </c>
    </row>
    <row r="1128" spans="1:40" x14ac:dyDescent="0.25">
      <c r="C1128" s="40"/>
      <c r="D1128" s="101" t="s">
        <v>1494</v>
      </c>
      <c r="E1128" s="101" t="s">
        <v>1495</v>
      </c>
      <c r="F1128" s="102" t="s">
        <v>2750</v>
      </c>
      <c r="G1128" s="52"/>
      <c r="H1128" s="52"/>
      <c r="I1128" s="52" t="s">
        <v>1496</v>
      </c>
      <c r="J1128" s="52" t="s">
        <v>1496</v>
      </c>
      <c r="K1128" s="59" t="s">
        <v>79</v>
      </c>
      <c r="L1128" s="62" t="s">
        <v>1455</v>
      </c>
      <c r="M1128" s="52"/>
      <c r="N1128" s="52"/>
      <c r="O1128" s="61" t="s">
        <v>1444</v>
      </c>
      <c r="P1128" s="76" t="s">
        <v>1497</v>
      </c>
      <c r="Q1128" s="55">
        <f>VLOOKUP(E1128,'NI-Ric_SP'!$C:$AN,12,FALSE)</f>
        <v>0</v>
      </c>
      <c r="R1128" s="55">
        <f>VLOOKUP(E1128,'NI-Ric_SP'!$C:$AN,13,FALSE)</f>
        <v>0</v>
      </c>
      <c r="S1128" s="55">
        <f>VLOOKUP(E1128,'NI-Ric_SP'!$C:$AN,31,FALSE)</f>
        <v>0</v>
      </c>
      <c r="T1128" s="55">
        <f>VLOOKUP(E1128,'NI-Ric_SP'!$C:$AN,32,FALSE)+VLOOKUP(E1128,'NI-Ric_SP'!$C:$AN,33,FALSE)</f>
        <v>0</v>
      </c>
      <c r="U1128" s="55">
        <f>VLOOKUP($E1128,'NI-Ric_SP'!$C:$AN,MID(U$1,1,2),FALSE)</f>
        <v>0</v>
      </c>
      <c r="V1128" s="55">
        <f>VLOOKUP($E1128,'NI-Ric_SP'!$C:$AN,MID(V$1,1,2),FALSE)</f>
        <v>0</v>
      </c>
      <c r="W1128" s="55">
        <f>VLOOKUP($E1128,'NI-Ric_SP'!$C:$AN,MID(W$1,1,2),FALSE)</f>
        <v>0</v>
      </c>
      <c r="X1128" s="55">
        <f>VLOOKUP($E1128,'NI-Ric_SP'!$C:$AN,MID(X$1,1,2),FALSE)</f>
        <v>0</v>
      </c>
      <c r="Y1128" s="55">
        <f>VLOOKUP($E1128,'NI-Ric_SP'!$C:$AN,MID(Y$1,1,2),FALSE)</f>
        <v>0</v>
      </c>
      <c r="Z1128" s="55">
        <f>VLOOKUP($E1128,'NI-Ric_SP'!$C:$AN,MID(Z$1,1,2),FALSE)</f>
        <v>0</v>
      </c>
      <c r="AA1128" s="55">
        <f>VLOOKUP($E1128,'NI-Ric_SP'!$C:$AN,MID(AA$1,1,2),FALSE)</f>
        <v>0</v>
      </c>
      <c r="AB1128" s="55">
        <f>VLOOKUP($E1128,'NI-Ric_SP'!$C:$AN,MID(AB$1,1,2),FALSE)</f>
        <v>0</v>
      </c>
      <c r="AC1128" s="55">
        <f>VLOOKUP($E1128,'NI-Ric_SP'!$C:$AN,MID(AC$1,1,2),FALSE)</f>
        <v>0</v>
      </c>
      <c r="AD1128" s="55">
        <f>VLOOKUP($E1128,'NI-Ric_SP'!$C:$AN,MID(AD$1,1,2),FALSE)</f>
        <v>0</v>
      </c>
      <c r="AE1128" s="55">
        <f>VLOOKUP($E1128,'NI-Ric_SP'!$C:$AN,MID(AE$1,1,2),FALSE)</f>
        <v>0</v>
      </c>
      <c r="AF1128" s="55">
        <f>VLOOKUP($E1128,'NI-Ric_SP'!$C:$AN,MID(AF$1,1,2),FALSE)</f>
        <v>0</v>
      </c>
      <c r="AG1128" s="55">
        <f>VLOOKUP($E1128,'NI-Ric_SP'!$C:$AN,MID(AG$1,1,2),FALSE)</f>
        <v>0</v>
      </c>
      <c r="AH1128" s="55">
        <f>VLOOKUP($E1128,'NI-Ric_SP'!$C:$AN,MID(AH$1,1,2),FALSE)</f>
        <v>0</v>
      </c>
      <c r="AI1128" s="55">
        <f>VLOOKUP($E1128,'NI-Ric_SP'!$C:$AN,MID(AI$1,1,2),FALSE)</f>
        <v>0</v>
      </c>
      <c r="AJ1128" s="55">
        <f>VLOOKUP($E1128,'NI-Ric_SP'!$C:$AN,MID(AJ$1,1,2),FALSE)</f>
        <v>0</v>
      </c>
      <c r="AK1128" s="55">
        <f>VLOOKUP($E1128,'NI-Ric_SP'!$C:$AN,MID(AK$1,1,2),FALSE)</f>
        <v>0</v>
      </c>
      <c r="AL1128" s="55">
        <f>VLOOKUP($E1128,'NI-Ric_SP'!$C:$AN,MID(AL$1,1,2),FALSE)</f>
        <v>0</v>
      </c>
      <c r="AM1128" s="56">
        <f>VLOOKUP($E1128,'NI-Ric_SP'!$C:$AN,MID(AM$1,1,2),FALSE)</f>
        <v>0</v>
      </c>
      <c r="AN1128" s="30" t="str">
        <f t="shared" si="17"/>
        <v>20202010040000</v>
      </c>
    </row>
    <row r="1129" spans="1:40" ht="27" x14ac:dyDescent="0.25">
      <c r="C1129" s="40"/>
      <c r="D1129" s="101" t="s">
        <v>1498</v>
      </c>
      <c r="E1129" s="101" t="s">
        <v>1499</v>
      </c>
      <c r="F1129" s="102" t="s">
        <v>2750</v>
      </c>
      <c r="G1129" s="52"/>
      <c r="H1129" s="52"/>
      <c r="I1129" s="52" t="s">
        <v>1500</v>
      </c>
      <c r="J1129" s="52" t="s">
        <v>1500</v>
      </c>
      <c r="K1129" s="59" t="s">
        <v>79</v>
      </c>
      <c r="L1129" s="62" t="s">
        <v>1455</v>
      </c>
      <c r="M1129" s="52"/>
      <c r="N1129" s="52"/>
      <c r="O1129" s="61" t="s">
        <v>1501</v>
      </c>
      <c r="P1129" s="76" t="s">
        <v>1502</v>
      </c>
      <c r="Q1129" s="55">
        <f>VLOOKUP(E1129,'NI-Ric_SP'!$C:$AN,12,FALSE)</f>
        <v>0</v>
      </c>
      <c r="R1129" s="55">
        <f>VLOOKUP(E1129,'NI-Ric_SP'!$C:$AN,13,FALSE)</f>
        <v>0</v>
      </c>
      <c r="S1129" s="55">
        <f>VLOOKUP(E1129,'NI-Ric_SP'!$C:$AN,31,FALSE)</f>
        <v>0</v>
      </c>
      <c r="T1129" s="55">
        <f>VLOOKUP(E1129,'NI-Ric_SP'!$C:$AN,32,FALSE)+VLOOKUP(E1129,'NI-Ric_SP'!$C:$AN,33,FALSE)</f>
        <v>0</v>
      </c>
      <c r="U1129" s="55">
        <f>VLOOKUP($E1129,'NI-Ric_SP'!$C:$AN,MID(U$1,1,2),FALSE)</f>
        <v>0</v>
      </c>
      <c r="V1129" s="55">
        <f>VLOOKUP($E1129,'NI-Ric_SP'!$C:$AN,MID(V$1,1,2),FALSE)</f>
        <v>0</v>
      </c>
      <c r="W1129" s="55">
        <f>VLOOKUP($E1129,'NI-Ric_SP'!$C:$AN,MID(W$1,1,2),FALSE)</f>
        <v>0</v>
      </c>
      <c r="X1129" s="55">
        <f>VLOOKUP($E1129,'NI-Ric_SP'!$C:$AN,MID(X$1,1,2),FALSE)</f>
        <v>0</v>
      </c>
      <c r="Y1129" s="55">
        <f>VLOOKUP($E1129,'NI-Ric_SP'!$C:$AN,MID(Y$1,1,2),FALSE)</f>
        <v>0</v>
      </c>
      <c r="Z1129" s="55">
        <f>VLOOKUP($E1129,'NI-Ric_SP'!$C:$AN,MID(Z$1,1,2),FALSE)</f>
        <v>0</v>
      </c>
      <c r="AA1129" s="55">
        <f>VLOOKUP($E1129,'NI-Ric_SP'!$C:$AN,MID(AA$1,1,2),FALSE)</f>
        <v>0</v>
      </c>
      <c r="AB1129" s="55">
        <f>VLOOKUP($E1129,'NI-Ric_SP'!$C:$AN,MID(AB$1,1,2),FALSE)</f>
        <v>0</v>
      </c>
      <c r="AC1129" s="55">
        <f>VLOOKUP($E1129,'NI-Ric_SP'!$C:$AN,MID(AC$1,1,2),FALSE)</f>
        <v>0</v>
      </c>
      <c r="AD1129" s="55">
        <f>VLOOKUP($E1129,'NI-Ric_SP'!$C:$AN,MID(AD$1,1,2),FALSE)</f>
        <v>0</v>
      </c>
      <c r="AE1129" s="55">
        <f>VLOOKUP($E1129,'NI-Ric_SP'!$C:$AN,MID(AE$1,1,2),FALSE)</f>
        <v>0</v>
      </c>
      <c r="AF1129" s="55">
        <f>VLOOKUP($E1129,'NI-Ric_SP'!$C:$AN,MID(AF$1,1,2),FALSE)</f>
        <v>0</v>
      </c>
      <c r="AG1129" s="55">
        <f>VLOOKUP($E1129,'NI-Ric_SP'!$C:$AN,MID(AG$1,1,2),FALSE)</f>
        <v>0</v>
      </c>
      <c r="AH1129" s="55">
        <f>VLOOKUP($E1129,'NI-Ric_SP'!$C:$AN,MID(AH$1,1,2),FALSE)</f>
        <v>0</v>
      </c>
      <c r="AI1129" s="55">
        <f>VLOOKUP($E1129,'NI-Ric_SP'!$C:$AN,MID(AI$1,1,2),FALSE)</f>
        <v>0</v>
      </c>
      <c r="AJ1129" s="55">
        <f>VLOOKUP($E1129,'NI-Ric_SP'!$C:$AN,MID(AJ$1,1,2),FALSE)</f>
        <v>0</v>
      </c>
      <c r="AK1129" s="55">
        <f>VLOOKUP($E1129,'NI-Ric_SP'!$C:$AN,MID(AK$1,1,2),FALSE)</f>
        <v>0</v>
      </c>
      <c r="AL1129" s="55">
        <f>VLOOKUP($E1129,'NI-Ric_SP'!$C:$AN,MID(AL$1,1,2),FALSE)</f>
        <v>0</v>
      </c>
      <c r="AM1129" s="56">
        <f>VLOOKUP($E1129,'NI-Ric_SP'!$C:$AN,MID(AM$1,1,2),FALSE)</f>
        <v>0</v>
      </c>
      <c r="AN1129" s="30" t="str">
        <f t="shared" si="17"/>
        <v>20202010050000</v>
      </c>
    </row>
    <row r="1130" spans="1:40" ht="27" x14ac:dyDescent="0.25">
      <c r="C1130" s="40"/>
      <c r="D1130" s="101" t="s">
        <v>1503</v>
      </c>
      <c r="E1130" s="101" t="s">
        <v>1504</v>
      </c>
      <c r="F1130" s="102" t="s">
        <v>2750</v>
      </c>
      <c r="G1130" s="52"/>
      <c r="H1130" s="52"/>
      <c r="I1130" s="52" t="s">
        <v>1505</v>
      </c>
      <c r="J1130" s="52" t="s">
        <v>1505</v>
      </c>
      <c r="K1130" s="59" t="s">
        <v>79</v>
      </c>
      <c r="L1130" s="62" t="s">
        <v>1455</v>
      </c>
      <c r="M1130" s="52"/>
      <c r="N1130" s="52"/>
      <c r="O1130" s="61" t="s">
        <v>1506</v>
      </c>
      <c r="P1130" s="76" t="s">
        <v>1507</v>
      </c>
      <c r="Q1130" s="55">
        <f>VLOOKUP(E1130,'NI-Ric_SP'!$C:$AN,12,FALSE)</f>
        <v>0</v>
      </c>
      <c r="R1130" s="55">
        <f>VLOOKUP(E1130,'NI-Ric_SP'!$C:$AN,13,FALSE)</f>
        <v>0</v>
      </c>
      <c r="S1130" s="55">
        <f>VLOOKUP(E1130,'NI-Ric_SP'!$C:$AN,31,FALSE)</f>
        <v>0</v>
      </c>
      <c r="T1130" s="55">
        <f>VLOOKUP(E1130,'NI-Ric_SP'!$C:$AN,32,FALSE)+VLOOKUP(E1130,'NI-Ric_SP'!$C:$AN,33,FALSE)</f>
        <v>0</v>
      </c>
      <c r="U1130" s="55">
        <f>VLOOKUP($E1130,'NI-Ric_SP'!$C:$AN,MID(U$1,1,2),FALSE)</f>
        <v>0</v>
      </c>
      <c r="V1130" s="55">
        <f>VLOOKUP($E1130,'NI-Ric_SP'!$C:$AN,MID(V$1,1,2),FALSE)</f>
        <v>0</v>
      </c>
      <c r="W1130" s="55">
        <f>VLOOKUP($E1130,'NI-Ric_SP'!$C:$AN,MID(W$1,1,2),FALSE)</f>
        <v>0</v>
      </c>
      <c r="X1130" s="55">
        <f>VLOOKUP($E1130,'NI-Ric_SP'!$C:$AN,MID(X$1,1,2),FALSE)</f>
        <v>0</v>
      </c>
      <c r="Y1130" s="55">
        <f>VLOOKUP($E1130,'NI-Ric_SP'!$C:$AN,MID(Y$1,1,2),FALSE)</f>
        <v>0</v>
      </c>
      <c r="Z1130" s="55">
        <f>VLOOKUP($E1130,'NI-Ric_SP'!$C:$AN,MID(Z$1,1,2),FALSE)</f>
        <v>0</v>
      </c>
      <c r="AA1130" s="55">
        <f>VLOOKUP($E1130,'NI-Ric_SP'!$C:$AN,MID(AA$1,1,2),FALSE)</f>
        <v>0</v>
      </c>
      <c r="AB1130" s="55">
        <f>VLOOKUP($E1130,'NI-Ric_SP'!$C:$AN,MID(AB$1,1,2),FALSE)</f>
        <v>0</v>
      </c>
      <c r="AC1130" s="55">
        <f>VLOOKUP($E1130,'NI-Ric_SP'!$C:$AN,MID(AC$1,1,2),FALSE)</f>
        <v>0</v>
      </c>
      <c r="AD1130" s="55">
        <f>VLOOKUP($E1130,'NI-Ric_SP'!$C:$AN,MID(AD$1,1,2),FALSE)</f>
        <v>0</v>
      </c>
      <c r="AE1130" s="55">
        <f>VLOOKUP($E1130,'NI-Ric_SP'!$C:$AN,MID(AE$1,1,2),FALSE)</f>
        <v>0</v>
      </c>
      <c r="AF1130" s="55">
        <f>VLOOKUP($E1130,'NI-Ric_SP'!$C:$AN,MID(AF$1,1,2),FALSE)</f>
        <v>0</v>
      </c>
      <c r="AG1130" s="55">
        <f>VLOOKUP($E1130,'NI-Ric_SP'!$C:$AN,MID(AG$1,1,2),FALSE)</f>
        <v>0</v>
      </c>
      <c r="AH1130" s="55">
        <f>VLOOKUP($E1130,'NI-Ric_SP'!$C:$AN,MID(AH$1,1,2),FALSE)</f>
        <v>0</v>
      </c>
      <c r="AI1130" s="55">
        <f>VLOOKUP($E1130,'NI-Ric_SP'!$C:$AN,MID(AI$1,1,2),FALSE)</f>
        <v>0</v>
      </c>
      <c r="AJ1130" s="55">
        <f>VLOOKUP($E1130,'NI-Ric_SP'!$C:$AN,MID(AJ$1,1,2),FALSE)</f>
        <v>0</v>
      </c>
      <c r="AK1130" s="55">
        <f>VLOOKUP($E1130,'NI-Ric_SP'!$C:$AN,MID(AK$1,1,2),FALSE)</f>
        <v>0</v>
      </c>
      <c r="AL1130" s="55">
        <f>VLOOKUP($E1130,'NI-Ric_SP'!$C:$AN,MID(AL$1,1,2),FALSE)</f>
        <v>0</v>
      </c>
      <c r="AM1130" s="56">
        <f>VLOOKUP($E1130,'NI-Ric_SP'!$C:$AN,MID(AM$1,1,2),FALSE)</f>
        <v>0</v>
      </c>
      <c r="AN1130" s="30" t="str">
        <f t="shared" si="17"/>
        <v>20202010060000</v>
      </c>
    </row>
    <row r="1131" spans="1:40" x14ac:dyDescent="0.25">
      <c r="C1131" s="40"/>
      <c r="D1131" s="101" t="s">
        <v>1508</v>
      </c>
      <c r="E1131" s="101" t="s">
        <v>1509</v>
      </c>
      <c r="F1131" s="102" t="s">
        <v>2750</v>
      </c>
      <c r="G1131" s="52"/>
      <c r="H1131" s="52"/>
      <c r="I1131" s="52" t="s">
        <v>1510</v>
      </c>
      <c r="J1131" s="52" t="s">
        <v>1510</v>
      </c>
      <c r="K1131" s="59" t="s">
        <v>79</v>
      </c>
      <c r="L1131" s="62" t="s">
        <v>1455</v>
      </c>
      <c r="M1131" s="52"/>
      <c r="N1131" s="52"/>
      <c r="O1131" s="61" t="s">
        <v>1511</v>
      </c>
      <c r="P1131" s="76" t="s">
        <v>1512</v>
      </c>
      <c r="Q1131" s="55">
        <f>VLOOKUP(E1131,'NI-Ric_SP'!$C:$AN,12,FALSE)</f>
        <v>0</v>
      </c>
      <c r="R1131" s="55">
        <f>VLOOKUP(E1131,'NI-Ric_SP'!$C:$AN,13,FALSE)</f>
        <v>0</v>
      </c>
      <c r="S1131" s="55">
        <f>VLOOKUP(E1131,'NI-Ric_SP'!$C:$AN,31,FALSE)</f>
        <v>0</v>
      </c>
      <c r="T1131" s="55">
        <f>VLOOKUP(E1131,'NI-Ric_SP'!$C:$AN,32,FALSE)+VLOOKUP(E1131,'NI-Ric_SP'!$C:$AN,33,FALSE)</f>
        <v>0</v>
      </c>
      <c r="U1131" s="55">
        <f>VLOOKUP($E1131,'NI-Ric_SP'!$C:$AN,MID(U$1,1,2),FALSE)</f>
        <v>0</v>
      </c>
      <c r="V1131" s="55">
        <f>VLOOKUP($E1131,'NI-Ric_SP'!$C:$AN,MID(V$1,1,2),FALSE)</f>
        <v>0</v>
      </c>
      <c r="W1131" s="55">
        <f>VLOOKUP($E1131,'NI-Ric_SP'!$C:$AN,MID(W$1,1,2),FALSE)</f>
        <v>0</v>
      </c>
      <c r="X1131" s="55">
        <f>VLOOKUP($E1131,'NI-Ric_SP'!$C:$AN,MID(X$1,1,2),FALSE)</f>
        <v>0</v>
      </c>
      <c r="Y1131" s="55">
        <f>VLOOKUP($E1131,'NI-Ric_SP'!$C:$AN,MID(Y$1,1,2),FALSE)</f>
        <v>0</v>
      </c>
      <c r="Z1131" s="55">
        <f>VLOOKUP($E1131,'NI-Ric_SP'!$C:$AN,MID(Z$1,1,2),FALSE)</f>
        <v>0</v>
      </c>
      <c r="AA1131" s="55">
        <f>VLOOKUP($E1131,'NI-Ric_SP'!$C:$AN,MID(AA$1,1,2),FALSE)</f>
        <v>0</v>
      </c>
      <c r="AB1131" s="55">
        <f>VLOOKUP($E1131,'NI-Ric_SP'!$C:$AN,MID(AB$1,1,2),FALSE)</f>
        <v>0</v>
      </c>
      <c r="AC1131" s="55">
        <f>VLOOKUP($E1131,'NI-Ric_SP'!$C:$AN,MID(AC$1,1,2),FALSE)</f>
        <v>0</v>
      </c>
      <c r="AD1131" s="55">
        <f>VLOOKUP($E1131,'NI-Ric_SP'!$C:$AN,MID(AD$1,1,2),FALSE)</f>
        <v>0</v>
      </c>
      <c r="AE1131" s="55">
        <f>VLOOKUP($E1131,'NI-Ric_SP'!$C:$AN,MID(AE$1,1,2),FALSE)</f>
        <v>0</v>
      </c>
      <c r="AF1131" s="55">
        <f>VLOOKUP($E1131,'NI-Ric_SP'!$C:$AN,MID(AF$1,1,2),FALSE)</f>
        <v>0</v>
      </c>
      <c r="AG1131" s="55">
        <f>VLOOKUP($E1131,'NI-Ric_SP'!$C:$AN,MID(AG$1,1,2),FALSE)</f>
        <v>0</v>
      </c>
      <c r="AH1131" s="55">
        <f>VLOOKUP($E1131,'NI-Ric_SP'!$C:$AN,MID(AH$1,1,2),FALSE)</f>
        <v>0</v>
      </c>
      <c r="AI1131" s="55">
        <f>VLOOKUP($E1131,'NI-Ric_SP'!$C:$AN,MID(AI$1,1,2),FALSE)</f>
        <v>0</v>
      </c>
      <c r="AJ1131" s="55">
        <f>VLOOKUP($E1131,'NI-Ric_SP'!$C:$AN,MID(AJ$1,1,2),FALSE)</f>
        <v>0</v>
      </c>
      <c r="AK1131" s="55">
        <f>VLOOKUP($E1131,'NI-Ric_SP'!$C:$AN,MID(AK$1,1,2),FALSE)</f>
        <v>0</v>
      </c>
      <c r="AL1131" s="55">
        <f>VLOOKUP($E1131,'NI-Ric_SP'!$C:$AN,MID(AL$1,1,2),FALSE)</f>
        <v>0</v>
      </c>
      <c r="AM1131" s="56">
        <f>VLOOKUP($E1131,'NI-Ric_SP'!$C:$AN,MID(AM$1,1,2),FALSE)</f>
        <v>0</v>
      </c>
      <c r="AN1131" s="30" t="str">
        <f t="shared" si="17"/>
        <v>20202010070000</v>
      </c>
    </row>
    <row r="1132" spans="1:40" x14ac:dyDescent="0.25">
      <c r="A1132" s="30" t="s">
        <v>1394</v>
      </c>
      <c r="C1132" s="40"/>
      <c r="D1132" s="78" t="s">
        <v>1513</v>
      </c>
      <c r="E1132" s="78" t="s">
        <v>1514</v>
      </c>
      <c r="F1132" s="102" t="s">
        <v>2750</v>
      </c>
      <c r="H1132" s="52"/>
      <c r="I1132" s="52"/>
      <c r="J1132" s="52" t="s">
        <v>1515</v>
      </c>
      <c r="K1132" s="59" t="s">
        <v>79</v>
      </c>
      <c r="L1132" s="62" t="s">
        <v>1455</v>
      </c>
      <c r="M1132" s="52"/>
      <c r="N1132" s="52"/>
      <c r="O1132" s="61" t="s">
        <v>1511</v>
      </c>
      <c r="P1132" s="79" t="s">
        <v>1517</v>
      </c>
      <c r="Q1132" s="55">
        <f>VLOOKUP(E1132,'NI-Ric_SP'!$C:$AN,12,FALSE)</f>
        <v>0</v>
      </c>
      <c r="R1132" s="55">
        <f>VLOOKUP(E1132,'NI-Ric_SP'!$C:$AN,13,FALSE)</f>
        <v>0</v>
      </c>
      <c r="S1132" s="55">
        <f>VLOOKUP(E1132,'NI-Ric_SP'!$C:$AN,31,FALSE)</f>
        <v>0</v>
      </c>
      <c r="T1132" s="55">
        <f>VLOOKUP(E1132,'NI-Ric_SP'!$C:$AN,32,FALSE)+VLOOKUP(E1132,'NI-Ric_SP'!$C:$AN,33,FALSE)</f>
        <v>0</v>
      </c>
      <c r="U1132" s="55">
        <f>VLOOKUP($E1132,'NI-Ric_SP'!$C:$AN,MID(U$1,1,2),FALSE)</f>
        <v>0</v>
      </c>
      <c r="V1132" s="55">
        <f>VLOOKUP($E1132,'NI-Ric_SP'!$C:$AN,MID(V$1,1,2),FALSE)</f>
        <v>0</v>
      </c>
      <c r="W1132" s="55">
        <f>VLOOKUP($E1132,'NI-Ric_SP'!$C:$AN,MID(W$1,1,2),FALSE)</f>
        <v>0</v>
      </c>
      <c r="X1132" s="55">
        <f>VLOOKUP($E1132,'NI-Ric_SP'!$C:$AN,MID(X$1,1,2),FALSE)</f>
        <v>0</v>
      </c>
      <c r="Y1132" s="55">
        <f>VLOOKUP($E1132,'NI-Ric_SP'!$C:$AN,MID(Y$1,1,2),FALSE)</f>
        <v>0</v>
      </c>
      <c r="Z1132" s="55">
        <f>VLOOKUP($E1132,'NI-Ric_SP'!$C:$AN,MID(Z$1,1,2),FALSE)</f>
        <v>0</v>
      </c>
      <c r="AA1132" s="55">
        <f>VLOOKUP($E1132,'NI-Ric_SP'!$C:$AN,MID(AA$1,1,2),FALSE)</f>
        <v>0</v>
      </c>
      <c r="AB1132" s="55">
        <f>VLOOKUP($E1132,'NI-Ric_SP'!$C:$AN,MID(AB$1,1,2),FALSE)</f>
        <v>0</v>
      </c>
      <c r="AC1132" s="55">
        <f>VLOOKUP($E1132,'NI-Ric_SP'!$C:$AN,MID(AC$1,1,2),FALSE)</f>
        <v>0</v>
      </c>
      <c r="AD1132" s="55">
        <f>VLOOKUP($E1132,'NI-Ric_SP'!$C:$AN,MID(AD$1,1,2),FALSE)</f>
        <v>0</v>
      </c>
      <c r="AE1132" s="55">
        <f>VLOOKUP($E1132,'NI-Ric_SP'!$C:$AN,MID(AE$1,1,2),FALSE)</f>
        <v>0</v>
      </c>
      <c r="AF1132" s="55">
        <f>VLOOKUP($E1132,'NI-Ric_SP'!$C:$AN,MID(AF$1,1,2),FALSE)</f>
        <v>0</v>
      </c>
      <c r="AG1132" s="55">
        <f>VLOOKUP($E1132,'NI-Ric_SP'!$C:$AN,MID(AG$1,1,2),FALSE)</f>
        <v>0</v>
      </c>
      <c r="AH1132" s="55">
        <f>VLOOKUP($E1132,'NI-Ric_SP'!$C:$AN,MID(AH$1,1,2),FALSE)</f>
        <v>0</v>
      </c>
      <c r="AI1132" s="55">
        <f>VLOOKUP($E1132,'NI-Ric_SP'!$C:$AN,MID(AI$1,1,2),FALSE)</f>
        <v>0</v>
      </c>
      <c r="AJ1132" s="55">
        <f>VLOOKUP($E1132,'NI-Ric_SP'!$C:$AN,MID(AJ$1,1,2),FALSE)</f>
        <v>0</v>
      </c>
      <c r="AK1132" s="55">
        <f>VLOOKUP($E1132,'NI-Ric_SP'!$C:$AN,MID(AK$1,1,2),FALSE)</f>
        <v>0</v>
      </c>
      <c r="AL1132" s="55">
        <f>VLOOKUP($E1132,'NI-Ric_SP'!$C:$AN,MID(AL$1,1,2),FALSE)</f>
        <v>0</v>
      </c>
      <c r="AM1132" s="56">
        <f>VLOOKUP($E1132,'NI-Ric_SP'!$C:$AN,MID(AM$1,1,2),FALSE)</f>
        <v>0</v>
      </c>
      <c r="AN1132" s="30" t="str">
        <f t="shared" si="17"/>
        <v>20202010080000</v>
      </c>
    </row>
    <row r="1133" spans="1:40" x14ac:dyDescent="0.25">
      <c r="C1133" s="40"/>
      <c r="D1133" s="101" t="s">
        <v>1518</v>
      </c>
      <c r="E1133" s="101" t="s">
        <v>1519</v>
      </c>
      <c r="F1133" s="102" t="s">
        <v>2750</v>
      </c>
      <c r="G1133" s="52"/>
      <c r="H1133" s="52"/>
      <c r="I1133" s="52" t="s">
        <v>1520</v>
      </c>
      <c r="J1133" s="52" t="s">
        <v>1520</v>
      </c>
      <c r="K1133" s="59" t="s">
        <v>79</v>
      </c>
      <c r="L1133" s="62" t="s">
        <v>1455</v>
      </c>
      <c r="M1133" s="52"/>
      <c r="N1133" s="52"/>
      <c r="O1133" s="61" t="s">
        <v>1521</v>
      </c>
      <c r="P1133" s="76" t="s">
        <v>1522</v>
      </c>
      <c r="Q1133" s="55">
        <f>VLOOKUP(E1133,'NI-Ric_SP'!$C:$AN,12,FALSE)</f>
        <v>0</v>
      </c>
      <c r="R1133" s="55">
        <f>VLOOKUP(E1133,'NI-Ric_SP'!$C:$AN,13,FALSE)</f>
        <v>0</v>
      </c>
      <c r="S1133" s="55">
        <f>VLOOKUP(E1133,'NI-Ric_SP'!$C:$AN,31,FALSE)</f>
        <v>0</v>
      </c>
      <c r="T1133" s="55">
        <f>VLOOKUP(E1133,'NI-Ric_SP'!$C:$AN,32,FALSE)+VLOOKUP(E1133,'NI-Ric_SP'!$C:$AN,33,FALSE)</f>
        <v>0</v>
      </c>
      <c r="U1133" s="55">
        <f>VLOOKUP($E1133,'NI-Ric_SP'!$C:$AN,MID(U$1,1,2),FALSE)</f>
        <v>0</v>
      </c>
      <c r="V1133" s="55">
        <f>VLOOKUP($E1133,'NI-Ric_SP'!$C:$AN,MID(V$1,1,2),FALSE)</f>
        <v>0</v>
      </c>
      <c r="W1133" s="55">
        <f>VLOOKUP($E1133,'NI-Ric_SP'!$C:$AN,MID(W$1,1,2),FALSE)</f>
        <v>0</v>
      </c>
      <c r="X1133" s="55">
        <f>VLOOKUP($E1133,'NI-Ric_SP'!$C:$AN,MID(X$1,1,2),FALSE)</f>
        <v>0</v>
      </c>
      <c r="Y1133" s="55">
        <f>VLOOKUP($E1133,'NI-Ric_SP'!$C:$AN,MID(Y$1,1,2),FALSE)</f>
        <v>0</v>
      </c>
      <c r="Z1133" s="55">
        <f>VLOOKUP($E1133,'NI-Ric_SP'!$C:$AN,MID(Z$1,1,2),FALSE)</f>
        <v>0</v>
      </c>
      <c r="AA1133" s="55">
        <f>VLOOKUP($E1133,'NI-Ric_SP'!$C:$AN,MID(AA$1,1,2),FALSE)</f>
        <v>0</v>
      </c>
      <c r="AB1133" s="55">
        <f>VLOOKUP($E1133,'NI-Ric_SP'!$C:$AN,MID(AB$1,1,2),FALSE)</f>
        <v>0</v>
      </c>
      <c r="AC1133" s="55">
        <f>VLOOKUP($E1133,'NI-Ric_SP'!$C:$AN,MID(AC$1,1,2),FALSE)</f>
        <v>0</v>
      </c>
      <c r="AD1133" s="55">
        <f>VLOOKUP($E1133,'NI-Ric_SP'!$C:$AN,MID(AD$1,1,2),FALSE)</f>
        <v>0</v>
      </c>
      <c r="AE1133" s="55">
        <f>VLOOKUP($E1133,'NI-Ric_SP'!$C:$AN,MID(AE$1,1,2),FALSE)</f>
        <v>0</v>
      </c>
      <c r="AF1133" s="55">
        <f>VLOOKUP($E1133,'NI-Ric_SP'!$C:$AN,MID(AF$1,1,2),FALSE)</f>
        <v>0</v>
      </c>
      <c r="AG1133" s="55">
        <f>VLOOKUP($E1133,'NI-Ric_SP'!$C:$AN,MID(AG$1,1,2),FALSE)</f>
        <v>0</v>
      </c>
      <c r="AH1133" s="55">
        <f>VLOOKUP($E1133,'NI-Ric_SP'!$C:$AN,MID(AH$1,1,2),FALSE)</f>
        <v>0</v>
      </c>
      <c r="AI1133" s="55">
        <f>VLOOKUP($E1133,'NI-Ric_SP'!$C:$AN,MID(AI$1,1,2),FALSE)</f>
        <v>0</v>
      </c>
      <c r="AJ1133" s="55">
        <f>VLOOKUP($E1133,'NI-Ric_SP'!$C:$AN,MID(AJ$1,1,2),FALSE)</f>
        <v>0</v>
      </c>
      <c r="AK1133" s="55">
        <f>VLOOKUP($E1133,'NI-Ric_SP'!$C:$AN,MID(AK$1,1,2),FALSE)</f>
        <v>0</v>
      </c>
      <c r="AL1133" s="55">
        <f>VLOOKUP($E1133,'NI-Ric_SP'!$C:$AN,MID(AL$1,1,2),FALSE)</f>
        <v>0</v>
      </c>
      <c r="AM1133" s="56">
        <f>VLOOKUP($E1133,'NI-Ric_SP'!$C:$AN,MID(AM$1,1,2),FALSE)</f>
        <v>0</v>
      </c>
      <c r="AN1133" s="30" t="str">
        <f t="shared" si="17"/>
        <v>20202010090000</v>
      </c>
    </row>
    <row r="1134" spans="1:40" x14ac:dyDescent="0.25">
      <c r="A1134" s="30" t="s">
        <v>1394</v>
      </c>
      <c r="C1134" s="40"/>
      <c r="D1134" s="78" t="s">
        <v>1523</v>
      </c>
      <c r="E1134" s="78" t="s">
        <v>1524</v>
      </c>
      <c r="F1134" s="102" t="s">
        <v>2750</v>
      </c>
      <c r="H1134" s="52"/>
      <c r="I1134" s="52"/>
      <c r="J1134" s="52" t="s">
        <v>1525</v>
      </c>
      <c r="K1134" s="59" t="s">
        <v>79</v>
      </c>
      <c r="L1134" s="62" t="s">
        <v>1455</v>
      </c>
      <c r="M1134" s="52"/>
      <c r="N1134" s="52"/>
      <c r="O1134" s="61" t="s">
        <v>1526</v>
      </c>
      <c r="P1134" s="80" t="s">
        <v>1527</v>
      </c>
      <c r="Q1134" s="55">
        <f>VLOOKUP(E1134,'NI-Ric_SP'!$C:$AN,12,FALSE)</f>
        <v>0</v>
      </c>
      <c r="R1134" s="55">
        <f>VLOOKUP(E1134,'NI-Ric_SP'!$C:$AN,13,FALSE)</f>
        <v>0</v>
      </c>
      <c r="S1134" s="55">
        <f>VLOOKUP(E1134,'NI-Ric_SP'!$C:$AN,31,FALSE)</f>
        <v>0</v>
      </c>
      <c r="T1134" s="55">
        <f>VLOOKUP(E1134,'NI-Ric_SP'!$C:$AN,32,FALSE)+VLOOKUP(E1134,'NI-Ric_SP'!$C:$AN,33,FALSE)</f>
        <v>0</v>
      </c>
      <c r="U1134" s="55">
        <f>VLOOKUP($E1134,'NI-Ric_SP'!$C:$AN,MID(U$1,1,2),FALSE)</f>
        <v>0</v>
      </c>
      <c r="V1134" s="55">
        <f>VLOOKUP($E1134,'NI-Ric_SP'!$C:$AN,MID(V$1,1,2),FALSE)</f>
        <v>0</v>
      </c>
      <c r="W1134" s="55">
        <f>VLOOKUP($E1134,'NI-Ric_SP'!$C:$AN,MID(W$1,1,2),FALSE)</f>
        <v>0</v>
      </c>
      <c r="X1134" s="55">
        <f>VLOOKUP($E1134,'NI-Ric_SP'!$C:$AN,MID(X$1,1,2),FALSE)</f>
        <v>0</v>
      </c>
      <c r="Y1134" s="55">
        <f>VLOOKUP($E1134,'NI-Ric_SP'!$C:$AN,MID(Y$1,1,2),FALSE)</f>
        <v>0</v>
      </c>
      <c r="Z1134" s="55">
        <f>VLOOKUP($E1134,'NI-Ric_SP'!$C:$AN,MID(Z$1,1,2),FALSE)</f>
        <v>0</v>
      </c>
      <c r="AA1134" s="55">
        <f>VLOOKUP($E1134,'NI-Ric_SP'!$C:$AN,MID(AA$1,1,2),FALSE)</f>
        <v>0</v>
      </c>
      <c r="AB1134" s="55">
        <f>VLOOKUP($E1134,'NI-Ric_SP'!$C:$AN,MID(AB$1,1,2),FALSE)</f>
        <v>0</v>
      </c>
      <c r="AC1134" s="55">
        <f>VLOOKUP($E1134,'NI-Ric_SP'!$C:$AN,MID(AC$1,1,2),FALSE)</f>
        <v>0</v>
      </c>
      <c r="AD1134" s="55">
        <f>VLOOKUP($E1134,'NI-Ric_SP'!$C:$AN,MID(AD$1,1,2),FALSE)</f>
        <v>0</v>
      </c>
      <c r="AE1134" s="55">
        <f>VLOOKUP($E1134,'NI-Ric_SP'!$C:$AN,MID(AE$1,1,2),FALSE)</f>
        <v>0</v>
      </c>
      <c r="AF1134" s="55">
        <f>VLOOKUP($E1134,'NI-Ric_SP'!$C:$AN,MID(AF$1,1,2),FALSE)</f>
        <v>0</v>
      </c>
      <c r="AG1134" s="55">
        <f>VLOOKUP($E1134,'NI-Ric_SP'!$C:$AN,MID(AG$1,1,2),FALSE)</f>
        <v>0</v>
      </c>
      <c r="AH1134" s="55">
        <f>VLOOKUP($E1134,'NI-Ric_SP'!$C:$AN,MID(AH$1,1,2),FALSE)</f>
        <v>0</v>
      </c>
      <c r="AI1134" s="55">
        <f>VLOOKUP($E1134,'NI-Ric_SP'!$C:$AN,MID(AI$1,1,2),FALSE)</f>
        <v>0</v>
      </c>
      <c r="AJ1134" s="55">
        <f>VLOOKUP($E1134,'NI-Ric_SP'!$C:$AN,MID(AJ$1,1,2),FALSE)</f>
        <v>0</v>
      </c>
      <c r="AK1134" s="55">
        <f>VLOOKUP($E1134,'NI-Ric_SP'!$C:$AN,MID(AK$1,1,2),FALSE)</f>
        <v>0</v>
      </c>
      <c r="AL1134" s="55">
        <f>VLOOKUP($E1134,'NI-Ric_SP'!$C:$AN,MID(AL$1,1,2),FALSE)</f>
        <v>0</v>
      </c>
      <c r="AM1134" s="56">
        <f>VLOOKUP($E1134,'NI-Ric_SP'!$C:$AN,MID(AM$1,1,2),FALSE)</f>
        <v>0</v>
      </c>
      <c r="AN1134" s="30" t="str">
        <f t="shared" si="17"/>
        <v>20202010100000</v>
      </c>
    </row>
    <row r="1135" spans="1:40" x14ac:dyDescent="0.25">
      <c r="C1135" s="40"/>
      <c r="D1135" s="101" t="s">
        <v>1528</v>
      </c>
      <c r="E1135" s="101" t="s">
        <v>1529</v>
      </c>
      <c r="F1135" s="102" t="s">
        <v>2750</v>
      </c>
      <c r="G1135" s="52"/>
      <c r="H1135" s="52"/>
      <c r="I1135" s="52"/>
      <c r="J1135" s="52"/>
      <c r="K1135" s="59" t="s">
        <v>111</v>
      </c>
      <c r="L1135" s="52"/>
      <c r="M1135" s="52"/>
      <c r="N1135" s="52"/>
      <c r="O1135" s="52"/>
      <c r="P1135" s="63" t="s">
        <v>1530</v>
      </c>
      <c r="Q1135" s="55">
        <f>VLOOKUP(E1135,'NI-Ric_SP'!$C:$AN,12,FALSE)</f>
        <v>0</v>
      </c>
      <c r="R1135" s="55">
        <f>VLOOKUP(E1135,'NI-Ric_SP'!$C:$AN,13,FALSE)</f>
        <v>0</v>
      </c>
      <c r="S1135" s="55">
        <f>VLOOKUP(E1135,'NI-Ric_SP'!$C:$AN,31,FALSE)</f>
        <v>0</v>
      </c>
      <c r="T1135" s="55">
        <f>VLOOKUP(E1135,'NI-Ric_SP'!$C:$AN,32,FALSE)+VLOOKUP(E1135,'NI-Ric_SP'!$C:$AN,33,FALSE)</f>
        <v>0</v>
      </c>
      <c r="U1135" s="55">
        <f>VLOOKUP($E1135,'NI-Ric_SP'!$C:$AN,MID(U$1,1,2),FALSE)</f>
        <v>0</v>
      </c>
      <c r="V1135" s="55">
        <f>VLOOKUP($E1135,'NI-Ric_SP'!$C:$AN,MID(V$1,1,2),FALSE)</f>
        <v>0</v>
      </c>
      <c r="W1135" s="55">
        <f>VLOOKUP($E1135,'NI-Ric_SP'!$C:$AN,MID(W$1,1,2),FALSE)</f>
        <v>0</v>
      </c>
      <c r="X1135" s="55">
        <f>VLOOKUP($E1135,'NI-Ric_SP'!$C:$AN,MID(X$1,1,2),FALSE)</f>
        <v>0</v>
      </c>
      <c r="Y1135" s="55">
        <f>VLOOKUP($E1135,'NI-Ric_SP'!$C:$AN,MID(Y$1,1,2),FALSE)</f>
        <v>0</v>
      </c>
      <c r="Z1135" s="55">
        <f>VLOOKUP($E1135,'NI-Ric_SP'!$C:$AN,MID(Z$1,1,2),FALSE)</f>
        <v>0</v>
      </c>
      <c r="AA1135" s="55">
        <f>VLOOKUP($E1135,'NI-Ric_SP'!$C:$AN,MID(AA$1,1,2),FALSE)</f>
        <v>0</v>
      </c>
      <c r="AB1135" s="55">
        <f>VLOOKUP($E1135,'NI-Ric_SP'!$C:$AN,MID(AB$1,1,2),FALSE)</f>
        <v>0</v>
      </c>
      <c r="AC1135" s="55">
        <f>VLOOKUP($E1135,'NI-Ric_SP'!$C:$AN,MID(AC$1,1,2),FALSE)</f>
        <v>0</v>
      </c>
      <c r="AD1135" s="55">
        <f>VLOOKUP($E1135,'NI-Ric_SP'!$C:$AN,MID(AD$1,1,2),FALSE)</f>
        <v>0</v>
      </c>
      <c r="AE1135" s="55">
        <f>VLOOKUP($E1135,'NI-Ric_SP'!$C:$AN,MID(AE$1,1,2),FALSE)</f>
        <v>0</v>
      </c>
      <c r="AF1135" s="55">
        <f>VLOOKUP($E1135,'NI-Ric_SP'!$C:$AN,MID(AF$1,1,2),FALSE)</f>
        <v>0</v>
      </c>
      <c r="AG1135" s="55">
        <f>VLOOKUP($E1135,'NI-Ric_SP'!$C:$AN,MID(AG$1,1,2),FALSE)</f>
        <v>0</v>
      </c>
      <c r="AH1135" s="55">
        <f>VLOOKUP($E1135,'NI-Ric_SP'!$C:$AN,MID(AH$1,1,2),FALSE)</f>
        <v>0</v>
      </c>
      <c r="AI1135" s="55">
        <f>VLOOKUP($E1135,'NI-Ric_SP'!$C:$AN,MID(AI$1,1,2),FALSE)</f>
        <v>0</v>
      </c>
      <c r="AJ1135" s="55">
        <f>VLOOKUP($E1135,'NI-Ric_SP'!$C:$AN,MID(AJ$1,1,2),FALSE)</f>
        <v>0</v>
      </c>
      <c r="AK1135" s="55">
        <f>VLOOKUP($E1135,'NI-Ric_SP'!$C:$AN,MID(AK$1,1,2),FALSE)</f>
        <v>0</v>
      </c>
      <c r="AL1135" s="55">
        <f>VLOOKUP($E1135,'NI-Ric_SP'!$C:$AN,MID(AL$1,1,2),FALSE)</f>
        <v>0</v>
      </c>
      <c r="AM1135" s="56">
        <f>VLOOKUP($E1135,'NI-Ric_SP'!$C:$AN,MID(AM$1,1,2),FALSE)</f>
        <v>0</v>
      </c>
      <c r="AN1135" s="30" t="str">
        <f t="shared" si="17"/>
        <v>20202020000000</v>
      </c>
    </row>
    <row r="1136" spans="1:40" x14ac:dyDescent="0.25">
      <c r="C1136" s="40"/>
      <c r="D1136" s="101" t="s">
        <v>1531</v>
      </c>
      <c r="E1136" s="101" t="s">
        <v>1532</v>
      </c>
      <c r="F1136" s="102" t="s">
        <v>2750</v>
      </c>
      <c r="G1136" s="52"/>
      <c r="H1136" s="52"/>
      <c r="I1136" s="52" t="s">
        <v>1533</v>
      </c>
      <c r="J1136" s="52" t="s">
        <v>1533</v>
      </c>
      <c r="K1136" s="59" t="s">
        <v>79</v>
      </c>
      <c r="L1136" s="62" t="s">
        <v>1534</v>
      </c>
      <c r="M1136" s="52"/>
      <c r="N1136" s="52"/>
      <c r="O1136" s="61" t="s">
        <v>1535</v>
      </c>
      <c r="P1136" s="76" t="s">
        <v>1536</v>
      </c>
      <c r="Q1136" s="55">
        <f>VLOOKUP(E1136,'NI-Ric_SP'!$C:$AN,12,FALSE)</f>
        <v>0</v>
      </c>
      <c r="R1136" s="55">
        <f>VLOOKUP(E1136,'NI-Ric_SP'!$C:$AN,13,FALSE)</f>
        <v>0</v>
      </c>
      <c r="S1136" s="55">
        <f>VLOOKUP(E1136,'NI-Ric_SP'!$C:$AN,31,FALSE)</f>
        <v>0</v>
      </c>
      <c r="T1136" s="55">
        <f>VLOOKUP(E1136,'NI-Ric_SP'!$C:$AN,32,FALSE)+VLOOKUP(E1136,'NI-Ric_SP'!$C:$AN,33,FALSE)</f>
        <v>0</v>
      </c>
      <c r="U1136" s="55">
        <f>VLOOKUP($E1136,'NI-Ric_SP'!$C:$AN,MID(U$1,1,2),FALSE)</f>
        <v>0</v>
      </c>
      <c r="V1136" s="55">
        <f>VLOOKUP($E1136,'NI-Ric_SP'!$C:$AN,MID(V$1,1,2),FALSE)</f>
        <v>0</v>
      </c>
      <c r="W1136" s="55">
        <f>VLOOKUP($E1136,'NI-Ric_SP'!$C:$AN,MID(W$1,1,2),FALSE)</f>
        <v>0</v>
      </c>
      <c r="X1136" s="55">
        <f>VLOOKUP($E1136,'NI-Ric_SP'!$C:$AN,MID(X$1,1,2),FALSE)</f>
        <v>0</v>
      </c>
      <c r="Y1136" s="55">
        <f>VLOOKUP($E1136,'NI-Ric_SP'!$C:$AN,MID(Y$1,1,2),FALSE)</f>
        <v>0</v>
      </c>
      <c r="Z1136" s="55">
        <f>VLOOKUP($E1136,'NI-Ric_SP'!$C:$AN,MID(Z$1,1,2),FALSE)</f>
        <v>0</v>
      </c>
      <c r="AA1136" s="55">
        <f>VLOOKUP($E1136,'NI-Ric_SP'!$C:$AN,MID(AA$1,1,2),FALSE)</f>
        <v>0</v>
      </c>
      <c r="AB1136" s="55">
        <f>VLOOKUP($E1136,'NI-Ric_SP'!$C:$AN,MID(AB$1,1,2),FALSE)</f>
        <v>0</v>
      </c>
      <c r="AC1136" s="55">
        <f>VLOOKUP($E1136,'NI-Ric_SP'!$C:$AN,MID(AC$1,1,2),FALSE)</f>
        <v>0</v>
      </c>
      <c r="AD1136" s="55">
        <f>VLOOKUP($E1136,'NI-Ric_SP'!$C:$AN,MID(AD$1,1,2),FALSE)</f>
        <v>0</v>
      </c>
      <c r="AE1136" s="55">
        <f>VLOOKUP($E1136,'NI-Ric_SP'!$C:$AN,MID(AE$1,1,2),FALSE)</f>
        <v>0</v>
      </c>
      <c r="AF1136" s="55">
        <f>VLOOKUP($E1136,'NI-Ric_SP'!$C:$AN,MID(AF$1,1,2),FALSE)</f>
        <v>0</v>
      </c>
      <c r="AG1136" s="55">
        <f>VLOOKUP($E1136,'NI-Ric_SP'!$C:$AN,MID(AG$1,1,2),FALSE)</f>
        <v>0</v>
      </c>
      <c r="AH1136" s="55">
        <f>VLOOKUP($E1136,'NI-Ric_SP'!$C:$AN,MID(AH$1,1,2),FALSE)</f>
        <v>0</v>
      </c>
      <c r="AI1136" s="55">
        <f>VLOOKUP($E1136,'NI-Ric_SP'!$C:$AN,MID(AI$1,1,2),FALSE)</f>
        <v>0</v>
      </c>
      <c r="AJ1136" s="55">
        <f>VLOOKUP($E1136,'NI-Ric_SP'!$C:$AN,MID(AJ$1,1,2),FALSE)</f>
        <v>0</v>
      </c>
      <c r="AK1136" s="55">
        <f>VLOOKUP($E1136,'NI-Ric_SP'!$C:$AN,MID(AK$1,1,2),FALSE)</f>
        <v>0</v>
      </c>
      <c r="AL1136" s="55">
        <f>VLOOKUP($E1136,'NI-Ric_SP'!$C:$AN,MID(AL$1,1,2),FALSE)</f>
        <v>0</v>
      </c>
      <c r="AM1136" s="56">
        <f>VLOOKUP($E1136,'NI-Ric_SP'!$C:$AN,MID(AM$1,1,2),FALSE)</f>
        <v>0</v>
      </c>
      <c r="AN1136" s="30" t="str">
        <f t="shared" si="17"/>
        <v>20202020010000</v>
      </c>
    </row>
    <row r="1137" spans="1:40" x14ac:dyDescent="0.25">
      <c r="C1137" s="40"/>
      <c r="D1137" s="101" t="s">
        <v>1537</v>
      </c>
      <c r="E1137" s="101" t="s">
        <v>1538</v>
      </c>
      <c r="F1137" s="102" t="s">
        <v>2750</v>
      </c>
      <c r="G1137" s="52"/>
      <c r="H1137" s="52"/>
      <c r="I1137" s="52" t="s">
        <v>1539</v>
      </c>
      <c r="J1137" s="52" t="s">
        <v>1539</v>
      </c>
      <c r="K1137" s="59" t="s">
        <v>79</v>
      </c>
      <c r="L1137" s="62" t="s">
        <v>1540</v>
      </c>
      <c r="M1137" s="52"/>
      <c r="N1137" s="52"/>
      <c r="O1137" s="61" t="s">
        <v>1541</v>
      </c>
      <c r="P1137" s="76" t="s">
        <v>1542</v>
      </c>
      <c r="Q1137" s="55">
        <f>VLOOKUP(E1137,'NI-Ric_SP'!$C:$AN,12,FALSE)</f>
        <v>0</v>
      </c>
      <c r="R1137" s="55">
        <f>VLOOKUP(E1137,'NI-Ric_SP'!$C:$AN,13,FALSE)</f>
        <v>0</v>
      </c>
      <c r="S1137" s="55">
        <f>VLOOKUP(E1137,'NI-Ric_SP'!$C:$AN,31,FALSE)</f>
        <v>0</v>
      </c>
      <c r="T1137" s="55">
        <f>VLOOKUP(E1137,'NI-Ric_SP'!$C:$AN,32,FALSE)+VLOOKUP(E1137,'NI-Ric_SP'!$C:$AN,33,FALSE)</f>
        <v>0</v>
      </c>
      <c r="U1137" s="55">
        <f>VLOOKUP($E1137,'NI-Ric_SP'!$C:$AN,MID(U$1,1,2),FALSE)</f>
        <v>0</v>
      </c>
      <c r="V1137" s="55">
        <f>VLOOKUP($E1137,'NI-Ric_SP'!$C:$AN,MID(V$1,1,2),FALSE)</f>
        <v>0</v>
      </c>
      <c r="W1137" s="55">
        <f>VLOOKUP($E1137,'NI-Ric_SP'!$C:$AN,MID(W$1,1,2),FALSE)</f>
        <v>0</v>
      </c>
      <c r="X1137" s="55">
        <f>VLOOKUP($E1137,'NI-Ric_SP'!$C:$AN,MID(X$1,1,2),FALSE)</f>
        <v>0</v>
      </c>
      <c r="Y1137" s="55">
        <f>VLOOKUP($E1137,'NI-Ric_SP'!$C:$AN,MID(Y$1,1,2),FALSE)</f>
        <v>0</v>
      </c>
      <c r="Z1137" s="55">
        <f>VLOOKUP($E1137,'NI-Ric_SP'!$C:$AN,MID(Z$1,1,2),FALSE)</f>
        <v>0</v>
      </c>
      <c r="AA1137" s="55">
        <f>VLOOKUP($E1137,'NI-Ric_SP'!$C:$AN,MID(AA$1,1,2),FALSE)</f>
        <v>0</v>
      </c>
      <c r="AB1137" s="55">
        <f>VLOOKUP($E1137,'NI-Ric_SP'!$C:$AN,MID(AB$1,1,2),FALSE)</f>
        <v>0</v>
      </c>
      <c r="AC1137" s="55">
        <f>VLOOKUP($E1137,'NI-Ric_SP'!$C:$AN,MID(AC$1,1,2),FALSE)</f>
        <v>0</v>
      </c>
      <c r="AD1137" s="55">
        <f>VLOOKUP($E1137,'NI-Ric_SP'!$C:$AN,MID(AD$1,1,2),FALSE)</f>
        <v>0</v>
      </c>
      <c r="AE1137" s="55">
        <f>VLOOKUP($E1137,'NI-Ric_SP'!$C:$AN,MID(AE$1,1,2),FALSE)</f>
        <v>0</v>
      </c>
      <c r="AF1137" s="55">
        <f>VLOOKUP($E1137,'NI-Ric_SP'!$C:$AN,MID(AF$1,1,2),FALSE)</f>
        <v>0</v>
      </c>
      <c r="AG1137" s="55">
        <f>VLOOKUP($E1137,'NI-Ric_SP'!$C:$AN,MID(AG$1,1,2),FALSE)</f>
        <v>0</v>
      </c>
      <c r="AH1137" s="55">
        <f>VLOOKUP($E1137,'NI-Ric_SP'!$C:$AN,MID(AH$1,1,2),FALSE)</f>
        <v>0</v>
      </c>
      <c r="AI1137" s="55">
        <f>VLOOKUP($E1137,'NI-Ric_SP'!$C:$AN,MID(AI$1,1,2),FALSE)</f>
        <v>0</v>
      </c>
      <c r="AJ1137" s="55">
        <f>VLOOKUP($E1137,'NI-Ric_SP'!$C:$AN,MID(AJ$1,1,2),FALSE)</f>
        <v>0</v>
      </c>
      <c r="AK1137" s="55">
        <f>VLOOKUP($E1137,'NI-Ric_SP'!$C:$AN,MID(AK$1,1,2),FALSE)</f>
        <v>0</v>
      </c>
      <c r="AL1137" s="55">
        <f>VLOOKUP($E1137,'NI-Ric_SP'!$C:$AN,MID(AL$1,1,2),FALSE)</f>
        <v>0</v>
      </c>
      <c r="AM1137" s="56">
        <f>VLOOKUP($E1137,'NI-Ric_SP'!$C:$AN,MID(AM$1,1,2),FALSE)</f>
        <v>0</v>
      </c>
      <c r="AN1137" s="30" t="str">
        <f t="shared" si="17"/>
        <v>20202020020000</v>
      </c>
    </row>
    <row r="1138" spans="1:40" x14ac:dyDescent="0.25">
      <c r="C1138" s="40"/>
      <c r="D1138" s="101" t="s">
        <v>1543</v>
      </c>
      <c r="E1138" s="101" t="s">
        <v>1544</v>
      </c>
      <c r="F1138" s="102" t="s">
        <v>2750</v>
      </c>
      <c r="G1138" s="52"/>
      <c r="H1138" s="52"/>
      <c r="I1138" s="52" t="s">
        <v>1545</v>
      </c>
      <c r="J1138" s="52" t="s">
        <v>1545</v>
      </c>
      <c r="K1138" s="59" t="s">
        <v>79</v>
      </c>
      <c r="L1138" s="62" t="s">
        <v>1546</v>
      </c>
      <c r="M1138" s="52"/>
      <c r="N1138" s="52"/>
      <c r="O1138" s="61" t="s">
        <v>1547</v>
      </c>
      <c r="P1138" s="76" t="s">
        <v>1548</v>
      </c>
      <c r="Q1138" s="55">
        <f>VLOOKUP(E1138,'NI-Ric_SP'!$C:$AN,12,FALSE)</f>
        <v>0</v>
      </c>
      <c r="R1138" s="55">
        <f>VLOOKUP(E1138,'NI-Ric_SP'!$C:$AN,13,FALSE)</f>
        <v>0</v>
      </c>
      <c r="S1138" s="55">
        <f>VLOOKUP(E1138,'NI-Ric_SP'!$C:$AN,31,FALSE)</f>
        <v>0</v>
      </c>
      <c r="T1138" s="55">
        <f>VLOOKUP(E1138,'NI-Ric_SP'!$C:$AN,32,FALSE)+VLOOKUP(E1138,'NI-Ric_SP'!$C:$AN,33,FALSE)</f>
        <v>0</v>
      </c>
      <c r="U1138" s="55">
        <f>VLOOKUP($E1138,'NI-Ric_SP'!$C:$AN,MID(U$1,1,2),FALSE)</f>
        <v>0</v>
      </c>
      <c r="V1138" s="55">
        <f>VLOOKUP($E1138,'NI-Ric_SP'!$C:$AN,MID(V$1,1,2),FALSE)</f>
        <v>0</v>
      </c>
      <c r="W1138" s="55">
        <f>VLOOKUP($E1138,'NI-Ric_SP'!$C:$AN,MID(W$1,1,2),FALSE)</f>
        <v>0</v>
      </c>
      <c r="X1138" s="55">
        <f>VLOOKUP($E1138,'NI-Ric_SP'!$C:$AN,MID(X$1,1,2),FALSE)</f>
        <v>0</v>
      </c>
      <c r="Y1138" s="55">
        <f>VLOOKUP($E1138,'NI-Ric_SP'!$C:$AN,MID(Y$1,1,2),FALSE)</f>
        <v>0</v>
      </c>
      <c r="Z1138" s="55">
        <f>VLOOKUP($E1138,'NI-Ric_SP'!$C:$AN,MID(Z$1,1,2),FALSE)</f>
        <v>0</v>
      </c>
      <c r="AA1138" s="55">
        <f>VLOOKUP($E1138,'NI-Ric_SP'!$C:$AN,MID(AA$1,1,2),FALSE)</f>
        <v>0</v>
      </c>
      <c r="AB1138" s="55">
        <f>VLOOKUP($E1138,'NI-Ric_SP'!$C:$AN,MID(AB$1,1,2),FALSE)</f>
        <v>0</v>
      </c>
      <c r="AC1138" s="55">
        <f>VLOOKUP($E1138,'NI-Ric_SP'!$C:$AN,MID(AC$1,1,2),FALSE)</f>
        <v>0</v>
      </c>
      <c r="AD1138" s="55">
        <f>VLOOKUP($E1138,'NI-Ric_SP'!$C:$AN,MID(AD$1,1,2),FALSE)</f>
        <v>0</v>
      </c>
      <c r="AE1138" s="55">
        <f>VLOOKUP($E1138,'NI-Ric_SP'!$C:$AN,MID(AE$1,1,2),FALSE)</f>
        <v>0</v>
      </c>
      <c r="AF1138" s="55">
        <f>VLOOKUP($E1138,'NI-Ric_SP'!$C:$AN,MID(AF$1,1,2),FALSE)</f>
        <v>0</v>
      </c>
      <c r="AG1138" s="55">
        <f>VLOOKUP($E1138,'NI-Ric_SP'!$C:$AN,MID(AG$1,1,2),FALSE)</f>
        <v>0</v>
      </c>
      <c r="AH1138" s="55">
        <f>VLOOKUP($E1138,'NI-Ric_SP'!$C:$AN,MID(AH$1,1,2),FALSE)</f>
        <v>0</v>
      </c>
      <c r="AI1138" s="55">
        <f>VLOOKUP($E1138,'NI-Ric_SP'!$C:$AN,MID(AI$1,1,2),FALSE)</f>
        <v>0</v>
      </c>
      <c r="AJ1138" s="55">
        <f>VLOOKUP($E1138,'NI-Ric_SP'!$C:$AN,MID(AJ$1,1,2),FALSE)</f>
        <v>0</v>
      </c>
      <c r="AK1138" s="55">
        <f>VLOOKUP($E1138,'NI-Ric_SP'!$C:$AN,MID(AK$1,1,2),FALSE)</f>
        <v>0</v>
      </c>
      <c r="AL1138" s="55">
        <f>VLOOKUP($E1138,'NI-Ric_SP'!$C:$AN,MID(AL$1,1,2),FALSE)</f>
        <v>0</v>
      </c>
      <c r="AM1138" s="56">
        <f>VLOOKUP($E1138,'NI-Ric_SP'!$C:$AN,MID(AM$1,1,2),FALSE)</f>
        <v>0</v>
      </c>
      <c r="AN1138" s="30" t="str">
        <f t="shared" si="17"/>
        <v>20202020030000</v>
      </c>
    </row>
    <row r="1139" spans="1:40" s="83" customFormat="1" ht="27" x14ac:dyDescent="0.25">
      <c r="A1139" s="30" t="s">
        <v>1394</v>
      </c>
      <c r="B1139" s="30"/>
      <c r="C1139" s="40"/>
      <c r="D1139" s="78" t="s">
        <v>1549</v>
      </c>
      <c r="E1139" s="78" t="s">
        <v>1550</v>
      </c>
      <c r="F1139" s="102" t="s">
        <v>2750</v>
      </c>
      <c r="G1139" s="82"/>
      <c r="H1139" s="82"/>
      <c r="J1139" s="52" t="s">
        <v>1551</v>
      </c>
      <c r="K1139" s="59" t="s">
        <v>79</v>
      </c>
      <c r="L1139" s="62" t="s">
        <v>1546</v>
      </c>
      <c r="M1139" s="82"/>
      <c r="N1139" s="82"/>
      <c r="O1139" s="61" t="s">
        <v>1552</v>
      </c>
      <c r="P1139" s="76" t="s">
        <v>1553</v>
      </c>
      <c r="Q1139" s="55">
        <f>VLOOKUP(E1139,'NI-Ric_SP'!$C:$AN,12,FALSE)</f>
        <v>0</v>
      </c>
      <c r="R1139" s="55">
        <f>VLOOKUP(E1139,'NI-Ric_SP'!$C:$AN,13,FALSE)</f>
        <v>0</v>
      </c>
      <c r="S1139" s="55">
        <f>VLOOKUP(E1139,'NI-Ric_SP'!$C:$AN,31,FALSE)</f>
        <v>0</v>
      </c>
      <c r="T1139" s="55">
        <f>VLOOKUP(E1139,'NI-Ric_SP'!$C:$AN,32,FALSE)+VLOOKUP(E1139,'NI-Ric_SP'!$C:$AN,33,FALSE)</f>
        <v>0</v>
      </c>
      <c r="U1139" s="55">
        <f>VLOOKUP($E1139,'NI-Ric_SP'!$C:$AN,MID(U$1,1,2),FALSE)</f>
        <v>0</v>
      </c>
      <c r="V1139" s="55">
        <f>VLOOKUP($E1139,'NI-Ric_SP'!$C:$AN,MID(V$1,1,2),FALSE)</f>
        <v>0</v>
      </c>
      <c r="W1139" s="55">
        <f>VLOOKUP($E1139,'NI-Ric_SP'!$C:$AN,MID(W$1,1,2),FALSE)</f>
        <v>0</v>
      </c>
      <c r="X1139" s="55">
        <f>VLOOKUP($E1139,'NI-Ric_SP'!$C:$AN,MID(X$1,1,2),FALSE)</f>
        <v>0</v>
      </c>
      <c r="Y1139" s="55">
        <f>VLOOKUP($E1139,'NI-Ric_SP'!$C:$AN,MID(Y$1,1,2),FALSE)</f>
        <v>0</v>
      </c>
      <c r="Z1139" s="55">
        <f>VLOOKUP($E1139,'NI-Ric_SP'!$C:$AN,MID(Z$1,1,2),FALSE)</f>
        <v>0</v>
      </c>
      <c r="AA1139" s="55">
        <f>VLOOKUP($E1139,'NI-Ric_SP'!$C:$AN,MID(AA$1,1,2),FALSE)</f>
        <v>0</v>
      </c>
      <c r="AB1139" s="55">
        <f>VLOOKUP($E1139,'NI-Ric_SP'!$C:$AN,MID(AB$1,1,2),FALSE)</f>
        <v>0</v>
      </c>
      <c r="AC1139" s="55">
        <f>VLOOKUP($E1139,'NI-Ric_SP'!$C:$AN,MID(AC$1,1,2),FALSE)</f>
        <v>0</v>
      </c>
      <c r="AD1139" s="55">
        <f>VLOOKUP($E1139,'NI-Ric_SP'!$C:$AN,MID(AD$1,1,2),FALSE)</f>
        <v>0</v>
      </c>
      <c r="AE1139" s="55">
        <f>VLOOKUP($E1139,'NI-Ric_SP'!$C:$AN,MID(AE$1,1,2),FALSE)</f>
        <v>0</v>
      </c>
      <c r="AF1139" s="55">
        <f>VLOOKUP($E1139,'NI-Ric_SP'!$C:$AN,MID(AF$1,1,2),FALSE)</f>
        <v>0</v>
      </c>
      <c r="AG1139" s="55">
        <f>VLOOKUP($E1139,'NI-Ric_SP'!$C:$AN,MID(AG$1,1,2),FALSE)</f>
        <v>0</v>
      </c>
      <c r="AH1139" s="55">
        <f>VLOOKUP($E1139,'NI-Ric_SP'!$C:$AN,MID(AH$1,1,2),FALSE)</f>
        <v>0</v>
      </c>
      <c r="AI1139" s="55">
        <f>VLOOKUP($E1139,'NI-Ric_SP'!$C:$AN,MID(AI$1,1,2),FALSE)</f>
        <v>0</v>
      </c>
      <c r="AJ1139" s="55">
        <f>VLOOKUP($E1139,'NI-Ric_SP'!$C:$AN,MID(AJ$1,1,2),FALSE)</f>
        <v>0</v>
      </c>
      <c r="AK1139" s="55">
        <f>VLOOKUP($E1139,'NI-Ric_SP'!$C:$AN,MID(AK$1,1,2),FALSE)</f>
        <v>0</v>
      </c>
      <c r="AL1139" s="55">
        <f>VLOOKUP($E1139,'NI-Ric_SP'!$C:$AN,MID(AL$1,1,2),FALSE)</f>
        <v>0</v>
      </c>
      <c r="AM1139" s="56">
        <f>VLOOKUP($E1139,'NI-Ric_SP'!$C:$AN,MID(AM$1,1,2),FALSE)</f>
        <v>0</v>
      </c>
      <c r="AN1139" s="30" t="str">
        <f t="shared" si="17"/>
        <v>20202020040000</v>
      </c>
    </row>
    <row r="1140" spans="1:40" x14ac:dyDescent="0.25">
      <c r="C1140" s="40"/>
      <c r="D1140" s="101" t="s">
        <v>1554</v>
      </c>
      <c r="E1140" s="101" t="s">
        <v>1555</v>
      </c>
      <c r="F1140" s="102" t="s">
        <v>2750</v>
      </c>
      <c r="G1140" s="52"/>
      <c r="H1140" s="52"/>
      <c r="I1140" s="52" t="s">
        <v>1556</v>
      </c>
      <c r="J1140" s="52" t="s">
        <v>1556</v>
      </c>
      <c r="K1140" s="59" t="s">
        <v>79</v>
      </c>
      <c r="L1140" s="62" t="s">
        <v>1557</v>
      </c>
      <c r="M1140" s="52"/>
      <c r="N1140" s="52"/>
      <c r="O1140" s="61" t="s">
        <v>1547</v>
      </c>
      <c r="P1140" s="76" t="s">
        <v>2751</v>
      </c>
      <c r="Q1140" s="55">
        <f>VLOOKUP(E1140,'NI-Ric_SP'!$C:$AN,12,FALSE)</f>
        <v>0</v>
      </c>
      <c r="R1140" s="55">
        <f>VLOOKUP(E1140,'NI-Ric_SP'!$C:$AN,13,FALSE)</f>
        <v>0</v>
      </c>
      <c r="S1140" s="55">
        <f>VLOOKUP(E1140,'NI-Ric_SP'!$C:$AN,31,FALSE)</f>
        <v>0</v>
      </c>
      <c r="T1140" s="55">
        <f>VLOOKUP(E1140,'NI-Ric_SP'!$C:$AN,32,FALSE)+VLOOKUP(E1140,'NI-Ric_SP'!$C:$AN,33,FALSE)</f>
        <v>0</v>
      </c>
      <c r="U1140" s="55">
        <f>VLOOKUP($E1140,'NI-Ric_SP'!$C:$AN,MID(U$1,1,2),FALSE)</f>
        <v>0</v>
      </c>
      <c r="V1140" s="55">
        <f>VLOOKUP($E1140,'NI-Ric_SP'!$C:$AN,MID(V$1,1,2),FALSE)</f>
        <v>0</v>
      </c>
      <c r="W1140" s="55">
        <f>VLOOKUP($E1140,'NI-Ric_SP'!$C:$AN,MID(W$1,1,2),FALSE)</f>
        <v>0</v>
      </c>
      <c r="X1140" s="55">
        <f>VLOOKUP($E1140,'NI-Ric_SP'!$C:$AN,MID(X$1,1,2),FALSE)</f>
        <v>0</v>
      </c>
      <c r="Y1140" s="55">
        <f>VLOOKUP($E1140,'NI-Ric_SP'!$C:$AN,MID(Y$1,1,2),FALSE)</f>
        <v>0</v>
      </c>
      <c r="Z1140" s="55">
        <f>VLOOKUP($E1140,'NI-Ric_SP'!$C:$AN,MID(Z$1,1,2),FALSE)</f>
        <v>0</v>
      </c>
      <c r="AA1140" s="55">
        <f>VLOOKUP($E1140,'NI-Ric_SP'!$C:$AN,MID(AA$1,1,2),FALSE)</f>
        <v>0</v>
      </c>
      <c r="AB1140" s="55">
        <f>VLOOKUP($E1140,'NI-Ric_SP'!$C:$AN,MID(AB$1,1,2),FALSE)</f>
        <v>0</v>
      </c>
      <c r="AC1140" s="55">
        <f>VLOOKUP($E1140,'NI-Ric_SP'!$C:$AN,MID(AC$1,1,2),FALSE)</f>
        <v>0</v>
      </c>
      <c r="AD1140" s="55">
        <f>VLOOKUP($E1140,'NI-Ric_SP'!$C:$AN,MID(AD$1,1,2),FALSE)</f>
        <v>0</v>
      </c>
      <c r="AE1140" s="55">
        <f>VLOOKUP($E1140,'NI-Ric_SP'!$C:$AN,MID(AE$1,1,2),FALSE)</f>
        <v>0</v>
      </c>
      <c r="AF1140" s="55">
        <f>VLOOKUP($E1140,'NI-Ric_SP'!$C:$AN,MID(AF$1,1,2),FALSE)</f>
        <v>0</v>
      </c>
      <c r="AG1140" s="55">
        <f>VLOOKUP($E1140,'NI-Ric_SP'!$C:$AN,MID(AG$1,1,2),FALSE)</f>
        <v>0</v>
      </c>
      <c r="AH1140" s="55">
        <f>VLOOKUP($E1140,'NI-Ric_SP'!$C:$AN,MID(AH$1,1,2),FALSE)</f>
        <v>0</v>
      </c>
      <c r="AI1140" s="55">
        <f>VLOOKUP($E1140,'NI-Ric_SP'!$C:$AN,MID(AI$1,1,2),FALSE)</f>
        <v>0</v>
      </c>
      <c r="AJ1140" s="55">
        <f>VLOOKUP($E1140,'NI-Ric_SP'!$C:$AN,MID(AJ$1,1,2),FALSE)</f>
        <v>0</v>
      </c>
      <c r="AK1140" s="55">
        <f>VLOOKUP($E1140,'NI-Ric_SP'!$C:$AN,MID(AK$1,1,2),FALSE)</f>
        <v>0</v>
      </c>
      <c r="AL1140" s="55">
        <f>VLOOKUP($E1140,'NI-Ric_SP'!$C:$AN,MID(AL$1,1,2),FALSE)</f>
        <v>0</v>
      </c>
      <c r="AM1140" s="56">
        <f>VLOOKUP($E1140,'NI-Ric_SP'!$C:$AN,MID(AM$1,1,2),FALSE)</f>
        <v>0</v>
      </c>
      <c r="AN1140" s="30" t="str">
        <f t="shared" si="17"/>
        <v>20202020050000</v>
      </c>
    </row>
    <row r="1141" spans="1:40" ht="27" x14ac:dyDescent="0.25">
      <c r="C1141" s="40"/>
      <c r="D1141" s="101" t="s">
        <v>1559</v>
      </c>
      <c r="E1141" s="101" t="s">
        <v>1560</v>
      </c>
      <c r="F1141" s="102" t="s">
        <v>2750</v>
      </c>
      <c r="G1141" s="52"/>
      <c r="H1141" s="52"/>
      <c r="I1141" s="52" t="s">
        <v>1561</v>
      </c>
      <c r="J1141" s="52" t="s">
        <v>1561</v>
      </c>
      <c r="K1141" s="59" t="s">
        <v>79</v>
      </c>
      <c r="L1141" s="62" t="s">
        <v>1534</v>
      </c>
      <c r="M1141" s="52"/>
      <c r="N1141" s="52"/>
      <c r="O1141" s="61" t="s">
        <v>1552</v>
      </c>
      <c r="P1141" s="76" t="s">
        <v>2752</v>
      </c>
      <c r="Q1141" s="55">
        <f>VLOOKUP(E1141,'NI-Ric_SP'!$C:$AN,12,FALSE)</f>
        <v>0</v>
      </c>
      <c r="R1141" s="55">
        <f>VLOOKUP(E1141,'NI-Ric_SP'!$C:$AN,13,FALSE)</f>
        <v>0</v>
      </c>
      <c r="S1141" s="55">
        <f>VLOOKUP(E1141,'NI-Ric_SP'!$C:$AN,31,FALSE)</f>
        <v>0</v>
      </c>
      <c r="T1141" s="55">
        <f>VLOOKUP(E1141,'NI-Ric_SP'!$C:$AN,32,FALSE)+VLOOKUP(E1141,'NI-Ric_SP'!$C:$AN,33,FALSE)</f>
        <v>0</v>
      </c>
      <c r="U1141" s="55">
        <f>VLOOKUP($E1141,'NI-Ric_SP'!$C:$AN,MID(U$1,1,2),FALSE)</f>
        <v>0</v>
      </c>
      <c r="V1141" s="55">
        <f>VLOOKUP($E1141,'NI-Ric_SP'!$C:$AN,MID(V$1,1,2),FALSE)</f>
        <v>0</v>
      </c>
      <c r="W1141" s="55">
        <f>VLOOKUP($E1141,'NI-Ric_SP'!$C:$AN,MID(W$1,1,2),FALSE)</f>
        <v>0</v>
      </c>
      <c r="X1141" s="55">
        <f>VLOOKUP($E1141,'NI-Ric_SP'!$C:$AN,MID(X$1,1,2),FALSE)</f>
        <v>0</v>
      </c>
      <c r="Y1141" s="55">
        <f>VLOOKUP($E1141,'NI-Ric_SP'!$C:$AN,MID(Y$1,1,2),FALSE)</f>
        <v>0</v>
      </c>
      <c r="Z1141" s="55">
        <f>VLOOKUP($E1141,'NI-Ric_SP'!$C:$AN,MID(Z$1,1,2),FALSE)</f>
        <v>0</v>
      </c>
      <c r="AA1141" s="55">
        <f>VLOOKUP($E1141,'NI-Ric_SP'!$C:$AN,MID(AA$1,1,2),FALSE)</f>
        <v>0</v>
      </c>
      <c r="AB1141" s="55">
        <f>VLOOKUP($E1141,'NI-Ric_SP'!$C:$AN,MID(AB$1,1,2),FALSE)</f>
        <v>0</v>
      </c>
      <c r="AC1141" s="55">
        <f>VLOOKUP($E1141,'NI-Ric_SP'!$C:$AN,MID(AC$1,1,2),FALSE)</f>
        <v>0</v>
      </c>
      <c r="AD1141" s="55">
        <f>VLOOKUP($E1141,'NI-Ric_SP'!$C:$AN,MID(AD$1,1,2),FALSE)</f>
        <v>0</v>
      </c>
      <c r="AE1141" s="55">
        <f>VLOOKUP($E1141,'NI-Ric_SP'!$C:$AN,MID(AE$1,1,2),FALSE)</f>
        <v>0</v>
      </c>
      <c r="AF1141" s="55">
        <f>VLOOKUP($E1141,'NI-Ric_SP'!$C:$AN,MID(AF$1,1,2),FALSE)</f>
        <v>0</v>
      </c>
      <c r="AG1141" s="55">
        <f>VLOOKUP($E1141,'NI-Ric_SP'!$C:$AN,MID(AG$1,1,2),FALSE)</f>
        <v>0</v>
      </c>
      <c r="AH1141" s="55">
        <f>VLOOKUP($E1141,'NI-Ric_SP'!$C:$AN,MID(AH$1,1,2),FALSE)</f>
        <v>0</v>
      </c>
      <c r="AI1141" s="55">
        <f>VLOOKUP($E1141,'NI-Ric_SP'!$C:$AN,MID(AI$1,1,2),FALSE)</f>
        <v>0</v>
      </c>
      <c r="AJ1141" s="55">
        <f>VLOOKUP($E1141,'NI-Ric_SP'!$C:$AN,MID(AJ$1,1,2),FALSE)</f>
        <v>0</v>
      </c>
      <c r="AK1141" s="55">
        <f>VLOOKUP($E1141,'NI-Ric_SP'!$C:$AN,MID(AK$1,1,2),FALSE)</f>
        <v>0</v>
      </c>
      <c r="AL1141" s="55">
        <f>VLOOKUP($E1141,'NI-Ric_SP'!$C:$AN,MID(AL$1,1,2),FALSE)</f>
        <v>0</v>
      </c>
      <c r="AM1141" s="56">
        <f>VLOOKUP($E1141,'NI-Ric_SP'!$C:$AN,MID(AM$1,1,2),FALSE)</f>
        <v>0</v>
      </c>
      <c r="AN1141" s="30" t="str">
        <f t="shared" si="17"/>
        <v>20202020060000</v>
      </c>
    </row>
    <row r="1142" spans="1:40" s="85" customFormat="1" x14ac:dyDescent="0.25">
      <c r="A1142" s="30" t="s">
        <v>1394</v>
      </c>
      <c r="B1142" s="30"/>
      <c r="C1142" s="40"/>
      <c r="D1142" s="78" t="s">
        <v>1563</v>
      </c>
      <c r="E1142" s="78" t="s">
        <v>1564</v>
      </c>
      <c r="F1142" s="102" t="s">
        <v>2750</v>
      </c>
      <c r="G1142" s="52"/>
      <c r="H1142" s="84"/>
      <c r="I1142" s="84"/>
      <c r="J1142" s="52" t="s">
        <v>1565</v>
      </c>
      <c r="K1142" s="59" t="s">
        <v>79</v>
      </c>
      <c r="L1142" s="62" t="s">
        <v>1534</v>
      </c>
      <c r="M1142" s="84"/>
      <c r="N1142" s="84"/>
      <c r="O1142" s="61" t="s">
        <v>1552</v>
      </c>
      <c r="P1142" s="76" t="s">
        <v>1567</v>
      </c>
      <c r="Q1142" s="55">
        <f>VLOOKUP(E1142,'NI-Ric_SP'!$C:$AN,12,FALSE)</f>
        <v>0</v>
      </c>
      <c r="R1142" s="55">
        <f>VLOOKUP(E1142,'NI-Ric_SP'!$C:$AN,13,FALSE)</f>
        <v>0</v>
      </c>
      <c r="S1142" s="55">
        <f>VLOOKUP(E1142,'NI-Ric_SP'!$C:$AN,31,FALSE)</f>
        <v>0</v>
      </c>
      <c r="T1142" s="55">
        <f>VLOOKUP(E1142,'NI-Ric_SP'!$C:$AN,32,FALSE)+VLOOKUP(E1142,'NI-Ric_SP'!$C:$AN,33,FALSE)</f>
        <v>0</v>
      </c>
      <c r="U1142" s="55">
        <f>VLOOKUP($E1142,'NI-Ric_SP'!$C:$AN,MID(U$1,1,2),FALSE)</f>
        <v>0</v>
      </c>
      <c r="V1142" s="55">
        <f>VLOOKUP($E1142,'NI-Ric_SP'!$C:$AN,MID(V$1,1,2),FALSE)</f>
        <v>0</v>
      </c>
      <c r="W1142" s="55">
        <f>VLOOKUP($E1142,'NI-Ric_SP'!$C:$AN,MID(W$1,1,2),FALSE)</f>
        <v>0</v>
      </c>
      <c r="X1142" s="55">
        <f>VLOOKUP($E1142,'NI-Ric_SP'!$C:$AN,MID(X$1,1,2),FALSE)</f>
        <v>0</v>
      </c>
      <c r="Y1142" s="55">
        <f>VLOOKUP($E1142,'NI-Ric_SP'!$C:$AN,MID(Y$1,1,2),FALSE)</f>
        <v>0</v>
      </c>
      <c r="Z1142" s="55">
        <f>VLOOKUP($E1142,'NI-Ric_SP'!$C:$AN,MID(Z$1,1,2),FALSE)</f>
        <v>0</v>
      </c>
      <c r="AA1142" s="55">
        <f>VLOOKUP($E1142,'NI-Ric_SP'!$C:$AN,MID(AA$1,1,2),FALSE)</f>
        <v>0</v>
      </c>
      <c r="AB1142" s="55">
        <f>VLOOKUP($E1142,'NI-Ric_SP'!$C:$AN,MID(AB$1,1,2),FALSE)</f>
        <v>0</v>
      </c>
      <c r="AC1142" s="55">
        <f>VLOOKUP($E1142,'NI-Ric_SP'!$C:$AN,MID(AC$1,1,2),FALSE)</f>
        <v>0</v>
      </c>
      <c r="AD1142" s="55">
        <f>VLOOKUP($E1142,'NI-Ric_SP'!$C:$AN,MID(AD$1,1,2),FALSE)</f>
        <v>0</v>
      </c>
      <c r="AE1142" s="55">
        <f>VLOOKUP($E1142,'NI-Ric_SP'!$C:$AN,MID(AE$1,1,2),FALSE)</f>
        <v>0</v>
      </c>
      <c r="AF1142" s="55">
        <f>VLOOKUP($E1142,'NI-Ric_SP'!$C:$AN,MID(AF$1,1,2),FALSE)</f>
        <v>0</v>
      </c>
      <c r="AG1142" s="55">
        <f>VLOOKUP($E1142,'NI-Ric_SP'!$C:$AN,MID(AG$1,1,2),FALSE)</f>
        <v>0</v>
      </c>
      <c r="AH1142" s="55">
        <f>VLOOKUP($E1142,'NI-Ric_SP'!$C:$AN,MID(AH$1,1,2),FALSE)</f>
        <v>0</v>
      </c>
      <c r="AI1142" s="55">
        <f>VLOOKUP($E1142,'NI-Ric_SP'!$C:$AN,MID(AI$1,1,2),FALSE)</f>
        <v>0</v>
      </c>
      <c r="AJ1142" s="55">
        <f>VLOOKUP($E1142,'NI-Ric_SP'!$C:$AN,MID(AJ$1,1,2),FALSE)</f>
        <v>0</v>
      </c>
      <c r="AK1142" s="55">
        <f>VLOOKUP($E1142,'NI-Ric_SP'!$C:$AN,MID(AK$1,1,2),FALSE)</f>
        <v>0</v>
      </c>
      <c r="AL1142" s="55">
        <f>VLOOKUP($E1142,'NI-Ric_SP'!$C:$AN,MID(AL$1,1,2),FALSE)</f>
        <v>0</v>
      </c>
      <c r="AM1142" s="56">
        <f>VLOOKUP($E1142,'NI-Ric_SP'!$C:$AN,MID(AM$1,1,2),FALSE)</f>
        <v>0</v>
      </c>
      <c r="AN1142" s="30" t="str">
        <f t="shared" si="17"/>
        <v>20202030000000</v>
      </c>
    </row>
    <row r="1143" spans="1:40" s="85" customFormat="1" x14ac:dyDescent="0.25">
      <c r="A1143" s="30" t="s">
        <v>1394</v>
      </c>
      <c r="B1143" s="30"/>
      <c r="C1143" s="40"/>
      <c r="D1143" s="78" t="s">
        <v>1568</v>
      </c>
      <c r="E1143" s="78" t="s">
        <v>1569</v>
      </c>
      <c r="F1143" s="102" t="s">
        <v>2750</v>
      </c>
      <c r="G1143" s="52"/>
      <c r="H1143" s="84"/>
      <c r="I1143" s="84"/>
      <c r="J1143" s="52" t="s">
        <v>1570</v>
      </c>
      <c r="K1143" s="59" t="s">
        <v>79</v>
      </c>
      <c r="L1143" s="62" t="s">
        <v>1534</v>
      </c>
      <c r="M1143" s="84"/>
      <c r="N1143" s="84"/>
      <c r="O1143" s="61" t="s">
        <v>1552</v>
      </c>
      <c r="P1143" s="76" t="s">
        <v>1571</v>
      </c>
      <c r="Q1143" s="55">
        <f>VLOOKUP(E1143,'NI-Ric_SP'!$C:$AN,12,FALSE)</f>
        <v>0</v>
      </c>
      <c r="R1143" s="55">
        <f>VLOOKUP(E1143,'NI-Ric_SP'!$C:$AN,13,FALSE)</f>
        <v>0</v>
      </c>
      <c r="S1143" s="55">
        <f>VLOOKUP(E1143,'NI-Ric_SP'!$C:$AN,31,FALSE)</f>
        <v>0</v>
      </c>
      <c r="T1143" s="55">
        <f>VLOOKUP(E1143,'NI-Ric_SP'!$C:$AN,32,FALSE)+VLOOKUP(E1143,'NI-Ric_SP'!$C:$AN,33,FALSE)</f>
        <v>0</v>
      </c>
      <c r="U1143" s="55">
        <f>VLOOKUP($E1143,'NI-Ric_SP'!$C:$AN,MID(U$1,1,2),FALSE)</f>
        <v>0</v>
      </c>
      <c r="V1143" s="55">
        <f>VLOOKUP($E1143,'NI-Ric_SP'!$C:$AN,MID(V$1,1,2),FALSE)</f>
        <v>0</v>
      </c>
      <c r="W1143" s="55">
        <f>VLOOKUP($E1143,'NI-Ric_SP'!$C:$AN,MID(W$1,1,2),FALSE)</f>
        <v>0</v>
      </c>
      <c r="X1143" s="55">
        <f>VLOOKUP($E1143,'NI-Ric_SP'!$C:$AN,MID(X$1,1,2),FALSE)</f>
        <v>0</v>
      </c>
      <c r="Y1143" s="55">
        <f>VLOOKUP($E1143,'NI-Ric_SP'!$C:$AN,MID(Y$1,1,2),FALSE)</f>
        <v>0</v>
      </c>
      <c r="Z1143" s="55">
        <f>VLOOKUP($E1143,'NI-Ric_SP'!$C:$AN,MID(Z$1,1,2),FALSE)</f>
        <v>0</v>
      </c>
      <c r="AA1143" s="55">
        <f>VLOOKUP($E1143,'NI-Ric_SP'!$C:$AN,MID(AA$1,1,2),FALSE)</f>
        <v>0</v>
      </c>
      <c r="AB1143" s="55">
        <f>VLOOKUP($E1143,'NI-Ric_SP'!$C:$AN,MID(AB$1,1,2),FALSE)</f>
        <v>0</v>
      </c>
      <c r="AC1143" s="55">
        <f>VLOOKUP($E1143,'NI-Ric_SP'!$C:$AN,MID(AC$1,1,2),FALSE)</f>
        <v>0</v>
      </c>
      <c r="AD1143" s="55">
        <f>VLOOKUP($E1143,'NI-Ric_SP'!$C:$AN,MID(AD$1,1,2),FALSE)</f>
        <v>0</v>
      </c>
      <c r="AE1143" s="55">
        <f>VLOOKUP($E1143,'NI-Ric_SP'!$C:$AN,MID(AE$1,1,2),FALSE)</f>
        <v>0</v>
      </c>
      <c r="AF1143" s="55">
        <f>VLOOKUP($E1143,'NI-Ric_SP'!$C:$AN,MID(AF$1,1,2),FALSE)</f>
        <v>0</v>
      </c>
      <c r="AG1143" s="55">
        <f>VLOOKUP($E1143,'NI-Ric_SP'!$C:$AN,MID(AG$1,1,2),FALSE)</f>
        <v>0</v>
      </c>
      <c r="AH1143" s="55">
        <f>VLOOKUP($E1143,'NI-Ric_SP'!$C:$AN,MID(AH$1,1,2),FALSE)</f>
        <v>0</v>
      </c>
      <c r="AI1143" s="55">
        <f>VLOOKUP($E1143,'NI-Ric_SP'!$C:$AN,MID(AI$1,1,2),FALSE)</f>
        <v>0</v>
      </c>
      <c r="AJ1143" s="55">
        <f>VLOOKUP($E1143,'NI-Ric_SP'!$C:$AN,MID(AJ$1,1,2),FALSE)</f>
        <v>0</v>
      </c>
      <c r="AK1143" s="55">
        <f>VLOOKUP($E1143,'NI-Ric_SP'!$C:$AN,MID(AK$1,1,2),FALSE)</f>
        <v>0</v>
      </c>
      <c r="AL1143" s="55">
        <f>VLOOKUP($E1143,'NI-Ric_SP'!$C:$AN,MID(AL$1,1,2),FALSE)</f>
        <v>0</v>
      </c>
      <c r="AM1143" s="56">
        <f>VLOOKUP($E1143,'NI-Ric_SP'!$C:$AN,MID(AM$1,1,2),FALSE)</f>
        <v>0</v>
      </c>
      <c r="AN1143" s="30" t="str">
        <f t="shared" si="17"/>
        <v>20202040000000</v>
      </c>
    </row>
    <row r="1144" spans="1:40" x14ac:dyDescent="0.25">
      <c r="C1144" s="40"/>
      <c r="D1144" s="101" t="s">
        <v>1572</v>
      </c>
      <c r="E1144" s="101" t="s">
        <v>1573</v>
      </c>
      <c r="F1144" s="102" t="s">
        <v>2750</v>
      </c>
      <c r="G1144" s="52"/>
      <c r="H1144" s="52"/>
      <c r="I1144" s="52" t="s">
        <v>1574</v>
      </c>
      <c r="J1144" s="52" t="s">
        <v>1574</v>
      </c>
      <c r="K1144" s="59" t="s">
        <v>79</v>
      </c>
      <c r="L1144" s="62" t="s">
        <v>1575</v>
      </c>
      <c r="M1144" s="52"/>
      <c r="N1144" s="52"/>
      <c r="O1144" s="61" t="s">
        <v>1576</v>
      </c>
      <c r="P1144" s="60" t="s">
        <v>1577</v>
      </c>
      <c r="Q1144" s="55">
        <f>VLOOKUP(E1144,'NI-Ric_SP'!$C:$AN,12,FALSE)</f>
        <v>0</v>
      </c>
      <c r="R1144" s="55">
        <f>VLOOKUP(E1144,'NI-Ric_SP'!$C:$AN,13,FALSE)</f>
        <v>0</v>
      </c>
      <c r="S1144" s="55">
        <f>VLOOKUP(E1144,'NI-Ric_SP'!$C:$AN,31,FALSE)</f>
        <v>0</v>
      </c>
      <c r="T1144" s="55">
        <f>VLOOKUP(E1144,'NI-Ric_SP'!$C:$AN,32,FALSE)+VLOOKUP(E1144,'NI-Ric_SP'!$C:$AN,33,FALSE)</f>
        <v>0</v>
      </c>
      <c r="U1144" s="55">
        <f>VLOOKUP($E1144,'NI-Ric_SP'!$C:$AN,MID(U$1,1,2),FALSE)</f>
        <v>0</v>
      </c>
      <c r="V1144" s="55">
        <f>VLOOKUP($E1144,'NI-Ric_SP'!$C:$AN,MID(V$1,1,2),FALSE)</f>
        <v>0</v>
      </c>
      <c r="W1144" s="55">
        <f>VLOOKUP($E1144,'NI-Ric_SP'!$C:$AN,MID(W$1,1,2),FALSE)</f>
        <v>0</v>
      </c>
      <c r="X1144" s="55">
        <f>VLOOKUP($E1144,'NI-Ric_SP'!$C:$AN,MID(X$1,1,2),FALSE)</f>
        <v>0</v>
      </c>
      <c r="Y1144" s="55">
        <f>VLOOKUP($E1144,'NI-Ric_SP'!$C:$AN,MID(Y$1,1,2),FALSE)</f>
        <v>0</v>
      </c>
      <c r="Z1144" s="55">
        <f>VLOOKUP($E1144,'NI-Ric_SP'!$C:$AN,MID(Z$1,1,2),FALSE)</f>
        <v>0</v>
      </c>
      <c r="AA1144" s="55">
        <f>VLOOKUP($E1144,'NI-Ric_SP'!$C:$AN,MID(AA$1,1,2),FALSE)</f>
        <v>0</v>
      </c>
      <c r="AB1144" s="55">
        <f>VLOOKUP($E1144,'NI-Ric_SP'!$C:$AN,MID(AB$1,1,2),FALSE)</f>
        <v>0</v>
      </c>
      <c r="AC1144" s="55">
        <f>VLOOKUP($E1144,'NI-Ric_SP'!$C:$AN,MID(AC$1,1,2),FALSE)</f>
        <v>0</v>
      </c>
      <c r="AD1144" s="55">
        <f>VLOOKUP($E1144,'NI-Ric_SP'!$C:$AN,MID(AD$1,1,2),FALSE)</f>
        <v>0</v>
      </c>
      <c r="AE1144" s="55">
        <f>VLOOKUP($E1144,'NI-Ric_SP'!$C:$AN,MID(AE$1,1,2),FALSE)</f>
        <v>0</v>
      </c>
      <c r="AF1144" s="55">
        <f>VLOOKUP($E1144,'NI-Ric_SP'!$C:$AN,MID(AF$1,1,2),FALSE)</f>
        <v>0</v>
      </c>
      <c r="AG1144" s="55">
        <f>VLOOKUP($E1144,'NI-Ric_SP'!$C:$AN,MID(AG$1,1,2),FALSE)</f>
        <v>0</v>
      </c>
      <c r="AH1144" s="55">
        <f>VLOOKUP($E1144,'NI-Ric_SP'!$C:$AN,MID(AH$1,1,2),FALSE)</f>
        <v>0</v>
      </c>
      <c r="AI1144" s="55">
        <f>VLOOKUP($E1144,'NI-Ric_SP'!$C:$AN,MID(AI$1,1,2),FALSE)</f>
        <v>0</v>
      </c>
      <c r="AJ1144" s="55">
        <f>VLOOKUP($E1144,'NI-Ric_SP'!$C:$AN,MID(AJ$1,1,2),FALSE)</f>
        <v>0</v>
      </c>
      <c r="AK1144" s="55">
        <f>VLOOKUP($E1144,'NI-Ric_SP'!$C:$AN,MID(AK$1,1,2),FALSE)</f>
        <v>0</v>
      </c>
      <c r="AL1144" s="55">
        <f>VLOOKUP($E1144,'NI-Ric_SP'!$C:$AN,MID(AL$1,1,2),FALSE)</f>
        <v>0</v>
      </c>
      <c r="AM1144" s="56">
        <f>VLOOKUP($E1144,'NI-Ric_SP'!$C:$AN,MID(AM$1,1,2),FALSE)</f>
        <v>0</v>
      </c>
      <c r="AN1144" s="30" t="str">
        <f t="shared" si="17"/>
        <v>20203000000000</v>
      </c>
    </row>
    <row r="1145" spans="1:40" x14ac:dyDescent="0.25">
      <c r="C1145" s="40"/>
      <c r="D1145" s="101" t="s">
        <v>1578</v>
      </c>
      <c r="E1145" s="101" t="s">
        <v>1579</v>
      </c>
      <c r="F1145" s="102" t="s">
        <v>2750</v>
      </c>
      <c r="G1145" s="52"/>
      <c r="H1145" s="52"/>
      <c r="I1145" s="52"/>
      <c r="J1145" s="52"/>
      <c r="K1145" s="59" t="s">
        <v>111</v>
      </c>
      <c r="L1145" s="62" t="s">
        <v>1580</v>
      </c>
      <c r="M1145" s="52"/>
      <c r="N1145" s="52"/>
      <c r="O1145" s="52"/>
      <c r="P1145" s="60" t="s">
        <v>1581</v>
      </c>
      <c r="Q1145" s="55">
        <f>VLOOKUP(E1145,'NI-Ric_SP'!$C:$AN,12,FALSE)</f>
        <v>0</v>
      </c>
      <c r="R1145" s="55">
        <f>VLOOKUP(E1145,'NI-Ric_SP'!$C:$AN,13,FALSE)</f>
        <v>0</v>
      </c>
      <c r="S1145" s="55">
        <f>VLOOKUP(E1145,'NI-Ric_SP'!$C:$AN,31,FALSE)</f>
        <v>0</v>
      </c>
      <c r="T1145" s="55">
        <f>VLOOKUP(E1145,'NI-Ric_SP'!$C:$AN,32,FALSE)+VLOOKUP(E1145,'NI-Ric_SP'!$C:$AN,33,FALSE)</f>
        <v>0</v>
      </c>
      <c r="U1145" s="55">
        <f>VLOOKUP($E1145,'NI-Ric_SP'!$C:$AN,MID(U$1,1,2),FALSE)</f>
        <v>0</v>
      </c>
      <c r="V1145" s="55">
        <f>VLOOKUP($E1145,'NI-Ric_SP'!$C:$AN,MID(V$1,1,2),FALSE)</f>
        <v>0</v>
      </c>
      <c r="W1145" s="55">
        <f>VLOOKUP($E1145,'NI-Ric_SP'!$C:$AN,MID(W$1,1,2),FALSE)</f>
        <v>0</v>
      </c>
      <c r="X1145" s="55">
        <f>VLOOKUP($E1145,'NI-Ric_SP'!$C:$AN,MID(X$1,1,2),FALSE)</f>
        <v>0</v>
      </c>
      <c r="Y1145" s="55">
        <f>VLOOKUP($E1145,'NI-Ric_SP'!$C:$AN,MID(Y$1,1,2),FALSE)</f>
        <v>0</v>
      </c>
      <c r="Z1145" s="55">
        <f>VLOOKUP($E1145,'NI-Ric_SP'!$C:$AN,MID(Z$1,1,2),FALSE)</f>
        <v>0</v>
      </c>
      <c r="AA1145" s="55">
        <f>VLOOKUP($E1145,'NI-Ric_SP'!$C:$AN,MID(AA$1,1,2),FALSE)</f>
        <v>0</v>
      </c>
      <c r="AB1145" s="55">
        <f>VLOOKUP($E1145,'NI-Ric_SP'!$C:$AN,MID(AB$1,1,2),FALSE)</f>
        <v>0</v>
      </c>
      <c r="AC1145" s="55">
        <f>VLOOKUP($E1145,'NI-Ric_SP'!$C:$AN,MID(AC$1,1,2),FALSE)</f>
        <v>0</v>
      </c>
      <c r="AD1145" s="55">
        <f>VLOOKUP($E1145,'NI-Ric_SP'!$C:$AN,MID(AD$1,1,2),FALSE)</f>
        <v>0</v>
      </c>
      <c r="AE1145" s="55">
        <f>VLOOKUP($E1145,'NI-Ric_SP'!$C:$AN,MID(AE$1,1,2),FALSE)</f>
        <v>0</v>
      </c>
      <c r="AF1145" s="55">
        <f>VLOOKUP($E1145,'NI-Ric_SP'!$C:$AN,MID(AF$1,1,2),FALSE)</f>
        <v>0</v>
      </c>
      <c r="AG1145" s="55">
        <f>VLOOKUP($E1145,'NI-Ric_SP'!$C:$AN,MID(AG$1,1,2),FALSE)</f>
        <v>0</v>
      </c>
      <c r="AH1145" s="55">
        <f>VLOOKUP($E1145,'NI-Ric_SP'!$C:$AN,MID(AH$1,1,2),FALSE)</f>
        <v>0</v>
      </c>
      <c r="AI1145" s="55">
        <f>VLOOKUP($E1145,'NI-Ric_SP'!$C:$AN,MID(AI$1,1,2),FALSE)</f>
        <v>0</v>
      </c>
      <c r="AJ1145" s="55">
        <f>VLOOKUP($E1145,'NI-Ric_SP'!$C:$AN,MID(AJ$1,1,2),FALSE)</f>
        <v>0</v>
      </c>
      <c r="AK1145" s="55">
        <f>VLOOKUP($E1145,'NI-Ric_SP'!$C:$AN,MID(AK$1,1,2),FALSE)</f>
        <v>0</v>
      </c>
      <c r="AL1145" s="55">
        <f>VLOOKUP($E1145,'NI-Ric_SP'!$C:$AN,MID(AL$1,1,2),FALSE)</f>
        <v>0</v>
      </c>
      <c r="AM1145" s="56">
        <f>VLOOKUP($E1145,'NI-Ric_SP'!$C:$AN,MID(AM$1,1,2),FALSE)</f>
        <v>0</v>
      </c>
      <c r="AN1145" s="30" t="str">
        <f t="shared" si="17"/>
        <v>20204000000000</v>
      </c>
    </row>
    <row r="1146" spans="1:40" x14ac:dyDescent="0.25">
      <c r="C1146" s="40"/>
      <c r="D1146" s="101" t="s">
        <v>1582</v>
      </c>
      <c r="E1146" s="101" t="s">
        <v>1583</v>
      </c>
      <c r="F1146" s="102" t="s">
        <v>2750</v>
      </c>
      <c r="G1146" s="52" t="s">
        <v>2396</v>
      </c>
      <c r="H1146" s="52"/>
      <c r="I1146" s="52"/>
      <c r="J1146" s="52"/>
      <c r="K1146" s="59" t="s">
        <v>111</v>
      </c>
      <c r="L1146" s="52"/>
      <c r="M1146" s="52"/>
      <c r="N1146" s="52"/>
      <c r="O1146" s="52"/>
      <c r="P1146" s="63" t="s">
        <v>1584</v>
      </c>
      <c r="Q1146" s="55">
        <f>VLOOKUP(E1146,'NI-Ric_SP'!$C:$AN,12,FALSE)</f>
        <v>0</v>
      </c>
      <c r="R1146" s="55">
        <f>VLOOKUP(E1146,'NI-Ric_SP'!$C:$AN,13,FALSE)</f>
        <v>0</v>
      </c>
      <c r="S1146" s="55">
        <f>VLOOKUP(E1146,'NI-Ric_SP'!$C:$AN,31,FALSE)</f>
        <v>0</v>
      </c>
      <c r="T1146" s="55">
        <f>VLOOKUP(E1146,'NI-Ric_SP'!$C:$AN,32,FALSE)+VLOOKUP(E1146,'NI-Ric_SP'!$C:$AN,33,FALSE)</f>
        <v>0</v>
      </c>
      <c r="U1146" s="55">
        <f>VLOOKUP($E1146,'NI-Ric_SP'!$C:$AN,MID(U$1,1,2),FALSE)</f>
        <v>0</v>
      </c>
      <c r="V1146" s="55">
        <f>VLOOKUP($E1146,'NI-Ric_SP'!$C:$AN,MID(V$1,1,2),FALSE)</f>
        <v>0</v>
      </c>
      <c r="W1146" s="55">
        <f>VLOOKUP($E1146,'NI-Ric_SP'!$C:$AN,MID(W$1,1,2),FALSE)</f>
        <v>0</v>
      </c>
      <c r="X1146" s="55">
        <f>VLOOKUP($E1146,'NI-Ric_SP'!$C:$AN,MID(X$1,1,2),FALSE)</f>
        <v>0</v>
      </c>
      <c r="Y1146" s="55">
        <f>VLOOKUP($E1146,'NI-Ric_SP'!$C:$AN,MID(Y$1,1,2),FALSE)</f>
        <v>0</v>
      </c>
      <c r="Z1146" s="55">
        <f>VLOOKUP($E1146,'NI-Ric_SP'!$C:$AN,MID(Z$1,1,2),FALSE)</f>
        <v>0</v>
      </c>
      <c r="AA1146" s="55">
        <f>VLOOKUP($E1146,'NI-Ric_SP'!$C:$AN,MID(AA$1,1,2),FALSE)</f>
        <v>0</v>
      </c>
      <c r="AB1146" s="55">
        <f>VLOOKUP($E1146,'NI-Ric_SP'!$C:$AN,MID(AB$1,1,2),FALSE)</f>
        <v>0</v>
      </c>
      <c r="AC1146" s="55">
        <f>VLOOKUP($E1146,'NI-Ric_SP'!$C:$AN,MID(AC$1,1,2),FALSE)</f>
        <v>0</v>
      </c>
      <c r="AD1146" s="55">
        <f>VLOOKUP($E1146,'NI-Ric_SP'!$C:$AN,MID(AD$1,1,2),FALSE)</f>
        <v>0</v>
      </c>
      <c r="AE1146" s="55">
        <f>VLOOKUP($E1146,'NI-Ric_SP'!$C:$AN,MID(AE$1,1,2),FALSE)</f>
        <v>0</v>
      </c>
      <c r="AF1146" s="55">
        <f>VLOOKUP($E1146,'NI-Ric_SP'!$C:$AN,MID(AF$1,1,2),FALSE)</f>
        <v>0</v>
      </c>
      <c r="AG1146" s="55">
        <f>VLOOKUP($E1146,'NI-Ric_SP'!$C:$AN,MID(AG$1,1,2),FALSE)</f>
        <v>0</v>
      </c>
      <c r="AH1146" s="55">
        <f>VLOOKUP($E1146,'NI-Ric_SP'!$C:$AN,MID(AH$1,1,2),FALSE)</f>
        <v>0</v>
      </c>
      <c r="AI1146" s="55">
        <f>VLOOKUP($E1146,'NI-Ric_SP'!$C:$AN,MID(AI$1,1,2),FALSE)</f>
        <v>0</v>
      </c>
      <c r="AJ1146" s="55">
        <f>VLOOKUP($E1146,'NI-Ric_SP'!$C:$AN,MID(AJ$1,1,2),FALSE)</f>
        <v>0</v>
      </c>
      <c r="AK1146" s="55">
        <f>VLOOKUP($E1146,'NI-Ric_SP'!$C:$AN,MID(AK$1,1,2),FALSE)</f>
        <v>0</v>
      </c>
      <c r="AL1146" s="55">
        <f>VLOOKUP($E1146,'NI-Ric_SP'!$C:$AN,MID(AL$1,1,2),FALSE)</f>
        <v>0</v>
      </c>
      <c r="AM1146" s="56">
        <f>VLOOKUP($E1146,'NI-Ric_SP'!$C:$AN,MID(AM$1,1,2),FALSE)</f>
        <v>0</v>
      </c>
      <c r="AN1146" s="30" t="str">
        <f t="shared" si="17"/>
        <v>20204010000000</v>
      </c>
    </row>
    <row r="1147" spans="1:40" x14ac:dyDescent="0.25">
      <c r="C1147" s="40"/>
      <c r="D1147" s="101" t="s">
        <v>1585</v>
      </c>
      <c r="E1147" s="101" t="s">
        <v>1586</v>
      </c>
      <c r="F1147" s="102" t="s">
        <v>2750</v>
      </c>
      <c r="G1147" s="52" t="s">
        <v>2396</v>
      </c>
      <c r="H1147" s="52"/>
      <c r="I1147" s="52" t="s">
        <v>1587</v>
      </c>
      <c r="J1147" s="52" t="s">
        <v>1587</v>
      </c>
      <c r="K1147" s="59" t="s">
        <v>111</v>
      </c>
      <c r="L1147" s="52"/>
      <c r="M1147" s="52"/>
      <c r="N1147" s="52"/>
      <c r="O1147" s="52"/>
      <c r="P1147" s="76" t="s">
        <v>1588</v>
      </c>
      <c r="Q1147" s="55">
        <f>VLOOKUP(E1147,'NI-Ric_SP'!$C:$AN,12,FALSE)</f>
        <v>0</v>
      </c>
      <c r="R1147" s="55">
        <f>VLOOKUP(E1147,'NI-Ric_SP'!$C:$AN,13,FALSE)</f>
        <v>0</v>
      </c>
      <c r="S1147" s="55">
        <f>VLOOKUP(E1147,'NI-Ric_SP'!$C:$AN,31,FALSE)</f>
        <v>0</v>
      </c>
      <c r="T1147" s="55">
        <f>VLOOKUP(E1147,'NI-Ric_SP'!$C:$AN,32,FALSE)+VLOOKUP(E1147,'NI-Ric_SP'!$C:$AN,33,FALSE)</f>
        <v>0</v>
      </c>
      <c r="U1147" s="55">
        <f>VLOOKUP($E1147,'NI-Ric_SP'!$C:$AN,MID(U$1,1,2),FALSE)</f>
        <v>0</v>
      </c>
      <c r="V1147" s="55">
        <f>VLOOKUP($E1147,'NI-Ric_SP'!$C:$AN,MID(V$1,1,2),FALSE)</f>
        <v>0</v>
      </c>
      <c r="W1147" s="55">
        <f>VLOOKUP($E1147,'NI-Ric_SP'!$C:$AN,MID(W$1,1,2),FALSE)</f>
        <v>0</v>
      </c>
      <c r="X1147" s="55">
        <f>VLOOKUP($E1147,'NI-Ric_SP'!$C:$AN,MID(X$1,1,2),FALSE)</f>
        <v>0</v>
      </c>
      <c r="Y1147" s="55">
        <f>VLOOKUP($E1147,'NI-Ric_SP'!$C:$AN,MID(Y$1,1,2),FALSE)</f>
        <v>0</v>
      </c>
      <c r="Z1147" s="55">
        <f>VLOOKUP($E1147,'NI-Ric_SP'!$C:$AN,MID(Z$1,1,2),FALSE)</f>
        <v>0</v>
      </c>
      <c r="AA1147" s="55">
        <f>VLOOKUP($E1147,'NI-Ric_SP'!$C:$AN,MID(AA$1,1,2),FALSE)</f>
        <v>0</v>
      </c>
      <c r="AB1147" s="55">
        <f>VLOOKUP($E1147,'NI-Ric_SP'!$C:$AN,MID(AB$1,1,2),FALSE)</f>
        <v>0</v>
      </c>
      <c r="AC1147" s="55">
        <f>VLOOKUP($E1147,'NI-Ric_SP'!$C:$AN,MID(AC$1,1,2),FALSE)</f>
        <v>0</v>
      </c>
      <c r="AD1147" s="55">
        <f>VLOOKUP($E1147,'NI-Ric_SP'!$C:$AN,MID(AD$1,1,2),FALSE)</f>
        <v>0</v>
      </c>
      <c r="AE1147" s="55">
        <f>VLOOKUP($E1147,'NI-Ric_SP'!$C:$AN,MID(AE$1,1,2),FALSE)</f>
        <v>0</v>
      </c>
      <c r="AF1147" s="55">
        <f>VLOOKUP($E1147,'NI-Ric_SP'!$C:$AN,MID(AF$1,1,2),FALSE)</f>
        <v>0</v>
      </c>
      <c r="AG1147" s="55">
        <f>VLOOKUP($E1147,'NI-Ric_SP'!$C:$AN,MID(AG$1,1,2),FALSE)</f>
        <v>0</v>
      </c>
      <c r="AH1147" s="55">
        <f>VLOOKUP($E1147,'NI-Ric_SP'!$C:$AN,MID(AH$1,1,2),FALSE)</f>
        <v>0</v>
      </c>
      <c r="AI1147" s="55">
        <f>VLOOKUP($E1147,'NI-Ric_SP'!$C:$AN,MID(AI$1,1,2),FALSE)</f>
        <v>0</v>
      </c>
      <c r="AJ1147" s="55">
        <f>VLOOKUP($E1147,'NI-Ric_SP'!$C:$AN,MID(AJ$1,1,2),FALSE)</f>
        <v>0</v>
      </c>
      <c r="AK1147" s="55">
        <f>VLOOKUP($E1147,'NI-Ric_SP'!$C:$AN,MID(AK$1,1,2),FALSE)</f>
        <v>0</v>
      </c>
      <c r="AL1147" s="55">
        <f>VLOOKUP($E1147,'NI-Ric_SP'!$C:$AN,MID(AL$1,1,2),FALSE)</f>
        <v>0</v>
      </c>
      <c r="AM1147" s="56">
        <f>VLOOKUP($E1147,'NI-Ric_SP'!$C:$AN,MID(AM$1,1,2),FALSE)</f>
        <v>0</v>
      </c>
      <c r="AN1147" s="30" t="str">
        <f t="shared" si="17"/>
        <v>20204010010000</v>
      </c>
    </row>
    <row r="1148" spans="1:40" x14ac:dyDescent="0.25">
      <c r="C1148" s="40"/>
      <c r="D1148" s="101" t="s">
        <v>1589</v>
      </c>
      <c r="E1148" s="101" t="s">
        <v>1590</v>
      </c>
      <c r="F1148" s="102" t="s">
        <v>2750</v>
      </c>
      <c r="G1148" s="52" t="s">
        <v>2396</v>
      </c>
      <c r="H1148" s="52"/>
      <c r="I1148" s="52"/>
      <c r="J1148" s="52"/>
      <c r="K1148" s="59" t="s">
        <v>79</v>
      </c>
      <c r="L1148" s="52"/>
      <c r="M1148" s="52"/>
      <c r="N1148" s="52"/>
      <c r="O1148" s="61" t="s">
        <v>1591</v>
      </c>
      <c r="P1148" s="104" t="s">
        <v>1592</v>
      </c>
      <c r="Q1148" s="55">
        <f>VLOOKUP(E1148,'NI-Ric_SP'!$C:$AN,12,FALSE)</f>
        <v>0</v>
      </c>
      <c r="R1148" s="55">
        <f>VLOOKUP(E1148,'NI-Ric_SP'!$C:$AN,13,FALSE)</f>
        <v>0</v>
      </c>
      <c r="S1148" s="55">
        <f>VLOOKUP(E1148,'NI-Ric_SP'!$C:$AN,31,FALSE)</f>
        <v>0</v>
      </c>
      <c r="T1148" s="55">
        <f>VLOOKUP(E1148,'NI-Ric_SP'!$C:$AN,32,FALSE)+VLOOKUP(E1148,'NI-Ric_SP'!$C:$AN,33,FALSE)</f>
        <v>0</v>
      </c>
      <c r="U1148" s="55">
        <f>VLOOKUP($E1148,'NI-Ric_SP'!$C:$AN,MID(U$1,1,2),FALSE)</f>
        <v>0</v>
      </c>
      <c r="V1148" s="55">
        <f>VLOOKUP($E1148,'NI-Ric_SP'!$C:$AN,MID(V$1,1,2),FALSE)</f>
        <v>0</v>
      </c>
      <c r="W1148" s="55">
        <f>VLOOKUP($E1148,'NI-Ric_SP'!$C:$AN,MID(W$1,1,2),FALSE)</f>
        <v>0</v>
      </c>
      <c r="X1148" s="55">
        <f>VLOOKUP($E1148,'NI-Ric_SP'!$C:$AN,MID(X$1,1,2),FALSE)</f>
        <v>0</v>
      </c>
      <c r="Y1148" s="55">
        <f>VLOOKUP($E1148,'NI-Ric_SP'!$C:$AN,MID(Y$1,1,2),FALSE)</f>
        <v>0</v>
      </c>
      <c r="Z1148" s="55">
        <f>VLOOKUP($E1148,'NI-Ric_SP'!$C:$AN,MID(Z$1,1,2),FALSE)</f>
        <v>0</v>
      </c>
      <c r="AA1148" s="55">
        <f>VLOOKUP($E1148,'NI-Ric_SP'!$C:$AN,MID(AA$1,1,2),FALSE)</f>
        <v>0</v>
      </c>
      <c r="AB1148" s="55">
        <f>VLOOKUP($E1148,'NI-Ric_SP'!$C:$AN,MID(AB$1,1,2),FALSE)</f>
        <v>0</v>
      </c>
      <c r="AC1148" s="55">
        <f>VLOOKUP($E1148,'NI-Ric_SP'!$C:$AN,MID(AC$1,1,2),FALSE)</f>
        <v>0</v>
      </c>
      <c r="AD1148" s="55">
        <f>VLOOKUP($E1148,'NI-Ric_SP'!$C:$AN,MID(AD$1,1,2),FALSE)</f>
        <v>0</v>
      </c>
      <c r="AE1148" s="55">
        <f>VLOOKUP($E1148,'NI-Ric_SP'!$C:$AN,MID(AE$1,1,2),FALSE)</f>
        <v>0</v>
      </c>
      <c r="AF1148" s="55">
        <f>VLOOKUP($E1148,'NI-Ric_SP'!$C:$AN,MID(AF$1,1,2),FALSE)</f>
        <v>0</v>
      </c>
      <c r="AG1148" s="55">
        <f>VLOOKUP($E1148,'NI-Ric_SP'!$C:$AN,MID(AG$1,1,2),FALSE)</f>
        <v>0</v>
      </c>
      <c r="AH1148" s="55">
        <f>VLOOKUP($E1148,'NI-Ric_SP'!$C:$AN,MID(AH$1,1,2),FALSE)</f>
        <v>0</v>
      </c>
      <c r="AI1148" s="55">
        <f>VLOOKUP($E1148,'NI-Ric_SP'!$C:$AN,MID(AI$1,1,2),FALSE)</f>
        <v>0</v>
      </c>
      <c r="AJ1148" s="55">
        <f>VLOOKUP($E1148,'NI-Ric_SP'!$C:$AN,MID(AJ$1,1,2),FALSE)</f>
        <v>0</v>
      </c>
      <c r="AK1148" s="55">
        <f>VLOOKUP($E1148,'NI-Ric_SP'!$C:$AN,MID(AK$1,1,2),FALSE)</f>
        <v>0</v>
      </c>
      <c r="AL1148" s="55">
        <f>VLOOKUP($E1148,'NI-Ric_SP'!$C:$AN,MID(AL$1,1,2),FALSE)</f>
        <v>0</v>
      </c>
      <c r="AM1148" s="56">
        <f>VLOOKUP($E1148,'NI-Ric_SP'!$C:$AN,MID(AM$1,1,2),FALSE)</f>
        <v>0</v>
      </c>
      <c r="AN1148" s="30" t="str">
        <f t="shared" si="17"/>
        <v>20204010010010</v>
      </c>
    </row>
    <row r="1149" spans="1:40" x14ac:dyDescent="0.25">
      <c r="C1149" s="40"/>
      <c r="D1149" s="101" t="s">
        <v>1593</v>
      </c>
      <c r="E1149" s="101" t="s">
        <v>1594</v>
      </c>
      <c r="F1149" s="102" t="s">
        <v>2750</v>
      </c>
      <c r="G1149" s="52" t="s">
        <v>2396</v>
      </c>
      <c r="H1149" s="52"/>
      <c r="I1149" s="52"/>
      <c r="J1149" s="52"/>
      <c r="K1149" s="59" t="s">
        <v>79</v>
      </c>
      <c r="L1149" s="52"/>
      <c r="M1149" s="52"/>
      <c r="N1149" s="52"/>
      <c r="O1149" s="61" t="s">
        <v>1591</v>
      </c>
      <c r="P1149" s="104" t="s">
        <v>1595</v>
      </c>
      <c r="Q1149" s="55">
        <f>VLOOKUP(E1149,'NI-Ric_SP'!$C:$AN,12,FALSE)</f>
        <v>0</v>
      </c>
      <c r="R1149" s="55">
        <f>VLOOKUP(E1149,'NI-Ric_SP'!$C:$AN,13,FALSE)</f>
        <v>0</v>
      </c>
      <c r="S1149" s="55">
        <f>VLOOKUP(E1149,'NI-Ric_SP'!$C:$AN,31,FALSE)</f>
        <v>0</v>
      </c>
      <c r="T1149" s="55">
        <f>VLOOKUP(E1149,'NI-Ric_SP'!$C:$AN,32,FALSE)+VLOOKUP(E1149,'NI-Ric_SP'!$C:$AN,33,FALSE)</f>
        <v>0</v>
      </c>
      <c r="U1149" s="55">
        <f>VLOOKUP($E1149,'NI-Ric_SP'!$C:$AN,MID(U$1,1,2),FALSE)</f>
        <v>0</v>
      </c>
      <c r="V1149" s="55">
        <f>VLOOKUP($E1149,'NI-Ric_SP'!$C:$AN,MID(V$1,1,2),FALSE)</f>
        <v>0</v>
      </c>
      <c r="W1149" s="55">
        <f>VLOOKUP($E1149,'NI-Ric_SP'!$C:$AN,MID(W$1,1,2),FALSE)</f>
        <v>0</v>
      </c>
      <c r="X1149" s="55">
        <f>VLOOKUP($E1149,'NI-Ric_SP'!$C:$AN,MID(X$1,1,2),FALSE)</f>
        <v>0</v>
      </c>
      <c r="Y1149" s="55">
        <f>VLOOKUP($E1149,'NI-Ric_SP'!$C:$AN,MID(Y$1,1,2),FALSE)</f>
        <v>0</v>
      </c>
      <c r="Z1149" s="55">
        <f>VLOOKUP($E1149,'NI-Ric_SP'!$C:$AN,MID(Z$1,1,2),FALSE)</f>
        <v>0</v>
      </c>
      <c r="AA1149" s="55">
        <f>VLOOKUP($E1149,'NI-Ric_SP'!$C:$AN,MID(AA$1,1,2),FALSE)</f>
        <v>0</v>
      </c>
      <c r="AB1149" s="55">
        <f>VLOOKUP($E1149,'NI-Ric_SP'!$C:$AN,MID(AB$1,1,2),FALSE)</f>
        <v>0</v>
      </c>
      <c r="AC1149" s="55">
        <f>VLOOKUP($E1149,'NI-Ric_SP'!$C:$AN,MID(AC$1,1,2),FALSE)</f>
        <v>0</v>
      </c>
      <c r="AD1149" s="55">
        <f>VLOOKUP($E1149,'NI-Ric_SP'!$C:$AN,MID(AD$1,1,2),FALSE)</f>
        <v>0</v>
      </c>
      <c r="AE1149" s="55">
        <f>VLOOKUP($E1149,'NI-Ric_SP'!$C:$AN,MID(AE$1,1,2),FALSE)</f>
        <v>0</v>
      </c>
      <c r="AF1149" s="55">
        <f>VLOOKUP($E1149,'NI-Ric_SP'!$C:$AN,MID(AF$1,1,2),FALSE)</f>
        <v>0</v>
      </c>
      <c r="AG1149" s="55">
        <f>VLOOKUP($E1149,'NI-Ric_SP'!$C:$AN,MID(AG$1,1,2),FALSE)</f>
        <v>0</v>
      </c>
      <c r="AH1149" s="55">
        <f>VLOOKUP($E1149,'NI-Ric_SP'!$C:$AN,MID(AH$1,1,2),FALSE)</f>
        <v>0</v>
      </c>
      <c r="AI1149" s="55">
        <f>VLOOKUP($E1149,'NI-Ric_SP'!$C:$AN,MID(AI$1,1,2),FALSE)</f>
        <v>0</v>
      </c>
      <c r="AJ1149" s="55">
        <f>VLOOKUP($E1149,'NI-Ric_SP'!$C:$AN,MID(AJ$1,1,2),FALSE)</f>
        <v>0</v>
      </c>
      <c r="AK1149" s="55">
        <f>VLOOKUP($E1149,'NI-Ric_SP'!$C:$AN,MID(AK$1,1,2),FALSE)</f>
        <v>0</v>
      </c>
      <c r="AL1149" s="55">
        <f>VLOOKUP($E1149,'NI-Ric_SP'!$C:$AN,MID(AL$1,1,2),FALSE)</f>
        <v>0</v>
      </c>
      <c r="AM1149" s="56">
        <f>VLOOKUP($E1149,'NI-Ric_SP'!$C:$AN,MID(AM$1,1,2),FALSE)</f>
        <v>0</v>
      </c>
      <c r="AN1149" s="30" t="str">
        <f t="shared" si="17"/>
        <v>20204010010020</v>
      </c>
    </row>
    <row r="1150" spans="1:40" x14ac:dyDescent="0.25">
      <c r="C1150" s="40"/>
      <c r="D1150" s="101" t="s">
        <v>1596</v>
      </c>
      <c r="E1150" s="101" t="s">
        <v>1597</v>
      </c>
      <c r="F1150" s="102" t="s">
        <v>2750</v>
      </c>
      <c r="G1150" s="52" t="s">
        <v>2396</v>
      </c>
      <c r="H1150" s="52"/>
      <c r="I1150" s="52" t="s">
        <v>1598</v>
      </c>
      <c r="J1150" s="52" t="s">
        <v>1598</v>
      </c>
      <c r="K1150" s="59" t="s">
        <v>111</v>
      </c>
      <c r="L1150" s="52"/>
      <c r="M1150" s="52"/>
      <c r="N1150" s="52"/>
      <c r="O1150" s="52"/>
      <c r="P1150" s="76" t="s">
        <v>1599</v>
      </c>
      <c r="Q1150" s="55">
        <f>VLOOKUP(E1150,'NI-Ric_SP'!$C:$AN,12,FALSE)</f>
        <v>0</v>
      </c>
      <c r="R1150" s="55">
        <f>VLOOKUP(E1150,'NI-Ric_SP'!$C:$AN,13,FALSE)</f>
        <v>0</v>
      </c>
      <c r="S1150" s="55">
        <f>VLOOKUP(E1150,'NI-Ric_SP'!$C:$AN,31,FALSE)</f>
        <v>0</v>
      </c>
      <c r="T1150" s="55">
        <f>VLOOKUP(E1150,'NI-Ric_SP'!$C:$AN,32,FALSE)+VLOOKUP(E1150,'NI-Ric_SP'!$C:$AN,33,FALSE)</f>
        <v>0</v>
      </c>
      <c r="U1150" s="55">
        <f>VLOOKUP($E1150,'NI-Ric_SP'!$C:$AN,MID(U$1,1,2),FALSE)</f>
        <v>0</v>
      </c>
      <c r="V1150" s="55">
        <f>VLOOKUP($E1150,'NI-Ric_SP'!$C:$AN,MID(V$1,1,2),FALSE)</f>
        <v>0</v>
      </c>
      <c r="W1150" s="55">
        <f>VLOOKUP($E1150,'NI-Ric_SP'!$C:$AN,MID(W$1,1,2),FALSE)</f>
        <v>0</v>
      </c>
      <c r="X1150" s="55">
        <f>VLOOKUP($E1150,'NI-Ric_SP'!$C:$AN,MID(X$1,1,2),FALSE)</f>
        <v>0</v>
      </c>
      <c r="Y1150" s="55">
        <f>VLOOKUP($E1150,'NI-Ric_SP'!$C:$AN,MID(Y$1,1,2),FALSE)</f>
        <v>0</v>
      </c>
      <c r="Z1150" s="55">
        <f>VLOOKUP($E1150,'NI-Ric_SP'!$C:$AN,MID(Z$1,1,2),FALSE)</f>
        <v>0</v>
      </c>
      <c r="AA1150" s="55">
        <f>VLOOKUP($E1150,'NI-Ric_SP'!$C:$AN,MID(AA$1,1,2),FALSE)</f>
        <v>0</v>
      </c>
      <c r="AB1150" s="55">
        <f>VLOOKUP($E1150,'NI-Ric_SP'!$C:$AN,MID(AB$1,1,2),FALSE)</f>
        <v>0</v>
      </c>
      <c r="AC1150" s="55">
        <f>VLOOKUP($E1150,'NI-Ric_SP'!$C:$AN,MID(AC$1,1,2),FALSE)</f>
        <v>0</v>
      </c>
      <c r="AD1150" s="55">
        <f>VLOOKUP($E1150,'NI-Ric_SP'!$C:$AN,MID(AD$1,1,2),FALSE)</f>
        <v>0</v>
      </c>
      <c r="AE1150" s="55">
        <f>VLOOKUP($E1150,'NI-Ric_SP'!$C:$AN,MID(AE$1,1,2),FALSE)</f>
        <v>0</v>
      </c>
      <c r="AF1150" s="55">
        <f>VLOOKUP($E1150,'NI-Ric_SP'!$C:$AN,MID(AF$1,1,2),FALSE)</f>
        <v>0</v>
      </c>
      <c r="AG1150" s="55">
        <f>VLOOKUP($E1150,'NI-Ric_SP'!$C:$AN,MID(AG$1,1,2),FALSE)</f>
        <v>0</v>
      </c>
      <c r="AH1150" s="55">
        <f>VLOOKUP($E1150,'NI-Ric_SP'!$C:$AN,MID(AH$1,1,2),FALSE)</f>
        <v>0</v>
      </c>
      <c r="AI1150" s="55">
        <f>VLOOKUP($E1150,'NI-Ric_SP'!$C:$AN,MID(AI$1,1,2),FALSE)</f>
        <v>0</v>
      </c>
      <c r="AJ1150" s="55">
        <f>VLOOKUP($E1150,'NI-Ric_SP'!$C:$AN,MID(AJ$1,1,2),FALSE)</f>
        <v>0</v>
      </c>
      <c r="AK1150" s="55">
        <f>VLOOKUP($E1150,'NI-Ric_SP'!$C:$AN,MID(AK$1,1,2),FALSE)</f>
        <v>0</v>
      </c>
      <c r="AL1150" s="55">
        <f>VLOOKUP($E1150,'NI-Ric_SP'!$C:$AN,MID(AL$1,1,2),FALSE)</f>
        <v>0</v>
      </c>
      <c r="AM1150" s="56">
        <f>VLOOKUP($E1150,'NI-Ric_SP'!$C:$AN,MID(AM$1,1,2),FALSE)</f>
        <v>0</v>
      </c>
      <c r="AN1150" s="30" t="str">
        <f t="shared" si="17"/>
        <v>20204010020000</v>
      </c>
    </row>
    <row r="1151" spans="1:40" x14ac:dyDescent="0.25">
      <c r="C1151" s="40"/>
      <c r="D1151" s="101" t="s">
        <v>1600</v>
      </c>
      <c r="E1151" s="101" t="s">
        <v>1601</v>
      </c>
      <c r="F1151" s="102" t="s">
        <v>2750</v>
      </c>
      <c r="G1151" s="52" t="s">
        <v>2396</v>
      </c>
      <c r="H1151" s="52"/>
      <c r="I1151" s="52"/>
      <c r="J1151" s="52"/>
      <c r="K1151" s="59" t="s">
        <v>79</v>
      </c>
      <c r="L1151" s="52"/>
      <c r="M1151" s="52"/>
      <c r="N1151" s="52"/>
      <c r="O1151" s="61" t="s">
        <v>1591</v>
      </c>
      <c r="P1151" s="104" t="s">
        <v>1602</v>
      </c>
      <c r="Q1151" s="55">
        <f>VLOOKUP(E1151,'NI-Ric_SP'!$C:$AN,12,FALSE)</f>
        <v>0</v>
      </c>
      <c r="R1151" s="55">
        <f>VLOOKUP(E1151,'NI-Ric_SP'!$C:$AN,13,FALSE)</f>
        <v>0</v>
      </c>
      <c r="S1151" s="55">
        <f>VLOOKUP(E1151,'NI-Ric_SP'!$C:$AN,31,FALSE)</f>
        <v>0</v>
      </c>
      <c r="T1151" s="55">
        <f>VLOOKUP(E1151,'NI-Ric_SP'!$C:$AN,32,FALSE)+VLOOKUP(E1151,'NI-Ric_SP'!$C:$AN,33,FALSE)</f>
        <v>0</v>
      </c>
      <c r="U1151" s="55">
        <f>VLOOKUP($E1151,'NI-Ric_SP'!$C:$AN,MID(U$1,1,2),FALSE)</f>
        <v>0</v>
      </c>
      <c r="V1151" s="55">
        <f>VLOOKUP($E1151,'NI-Ric_SP'!$C:$AN,MID(V$1,1,2),FALSE)</f>
        <v>0</v>
      </c>
      <c r="W1151" s="55">
        <f>VLOOKUP($E1151,'NI-Ric_SP'!$C:$AN,MID(W$1,1,2),FALSE)</f>
        <v>0</v>
      </c>
      <c r="X1151" s="55">
        <f>VLOOKUP($E1151,'NI-Ric_SP'!$C:$AN,MID(X$1,1,2),FALSE)</f>
        <v>0</v>
      </c>
      <c r="Y1151" s="55">
        <f>VLOOKUP($E1151,'NI-Ric_SP'!$C:$AN,MID(Y$1,1,2),FALSE)</f>
        <v>0</v>
      </c>
      <c r="Z1151" s="55">
        <f>VLOOKUP($E1151,'NI-Ric_SP'!$C:$AN,MID(Z$1,1,2),FALSE)</f>
        <v>0</v>
      </c>
      <c r="AA1151" s="55">
        <f>VLOOKUP($E1151,'NI-Ric_SP'!$C:$AN,MID(AA$1,1,2),FALSE)</f>
        <v>0</v>
      </c>
      <c r="AB1151" s="55">
        <f>VLOOKUP($E1151,'NI-Ric_SP'!$C:$AN,MID(AB$1,1,2),FALSE)</f>
        <v>0</v>
      </c>
      <c r="AC1151" s="55">
        <f>VLOOKUP($E1151,'NI-Ric_SP'!$C:$AN,MID(AC$1,1,2),FALSE)</f>
        <v>0</v>
      </c>
      <c r="AD1151" s="55">
        <f>VLOOKUP($E1151,'NI-Ric_SP'!$C:$AN,MID(AD$1,1,2),FALSE)</f>
        <v>0</v>
      </c>
      <c r="AE1151" s="55">
        <f>VLOOKUP($E1151,'NI-Ric_SP'!$C:$AN,MID(AE$1,1,2),FALSE)</f>
        <v>0</v>
      </c>
      <c r="AF1151" s="55">
        <f>VLOOKUP($E1151,'NI-Ric_SP'!$C:$AN,MID(AF$1,1,2),FALSE)</f>
        <v>0</v>
      </c>
      <c r="AG1151" s="55">
        <f>VLOOKUP($E1151,'NI-Ric_SP'!$C:$AN,MID(AG$1,1,2),FALSE)</f>
        <v>0</v>
      </c>
      <c r="AH1151" s="55">
        <f>VLOOKUP($E1151,'NI-Ric_SP'!$C:$AN,MID(AH$1,1,2),FALSE)</f>
        <v>0</v>
      </c>
      <c r="AI1151" s="55">
        <f>VLOOKUP($E1151,'NI-Ric_SP'!$C:$AN,MID(AI$1,1,2),FALSE)</f>
        <v>0</v>
      </c>
      <c r="AJ1151" s="55">
        <f>VLOOKUP($E1151,'NI-Ric_SP'!$C:$AN,MID(AJ$1,1,2),FALSE)</f>
        <v>0</v>
      </c>
      <c r="AK1151" s="55">
        <f>VLOOKUP($E1151,'NI-Ric_SP'!$C:$AN,MID(AK$1,1,2),FALSE)</f>
        <v>0</v>
      </c>
      <c r="AL1151" s="55">
        <f>VLOOKUP($E1151,'NI-Ric_SP'!$C:$AN,MID(AL$1,1,2),FALSE)</f>
        <v>0</v>
      </c>
      <c r="AM1151" s="56">
        <f>VLOOKUP($E1151,'NI-Ric_SP'!$C:$AN,MID(AM$1,1,2),FALSE)</f>
        <v>0</v>
      </c>
      <c r="AN1151" s="30" t="str">
        <f t="shared" si="17"/>
        <v>20204010020010</v>
      </c>
    </row>
    <row r="1152" spans="1:40" x14ac:dyDescent="0.25">
      <c r="C1152" s="40"/>
      <c r="D1152" s="101" t="s">
        <v>1603</v>
      </c>
      <c r="E1152" s="101" t="s">
        <v>1604</v>
      </c>
      <c r="F1152" s="102" t="s">
        <v>2750</v>
      </c>
      <c r="G1152" s="52" t="s">
        <v>2396</v>
      </c>
      <c r="H1152" s="52"/>
      <c r="I1152" s="52"/>
      <c r="J1152" s="52"/>
      <c r="K1152" s="59" t="s">
        <v>79</v>
      </c>
      <c r="L1152" s="52"/>
      <c r="M1152" s="52"/>
      <c r="N1152" s="52"/>
      <c r="O1152" s="61" t="s">
        <v>1591</v>
      </c>
      <c r="P1152" s="104" t="s">
        <v>1605</v>
      </c>
      <c r="Q1152" s="55">
        <f>VLOOKUP(E1152,'NI-Ric_SP'!$C:$AN,12,FALSE)</f>
        <v>0</v>
      </c>
      <c r="R1152" s="55">
        <f>VLOOKUP(E1152,'NI-Ric_SP'!$C:$AN,13,FALSE)</f>
        <v>0</v>
      </c>
      <c r="S1152" s="55">
        <f>VLOOKUP(E1152,'NI-Ric_SP'!$C:$AN,31,FALSE)</f>
        <v>0</v>
      </c>
      <c r="T1152" s="55">
        <f>VLOOKUP(E1152,'NI-Ric_SP'!$C:$AN,32,FALSE)+VLOOKUP(E1152,'NI-Ric_SP'!$C:$AN,33,FALSE)</f>
        <v>0</v>
      </c>
      <c r="U1152" s="55">
        <f>VLOOKUP($E1152,'NI-Ric_SP'!$C:$AN,MID(U$1,1,2),FALSE)</f>
        <v>0</v>
      </c>
      <c r="V1152" s="55">
        <f>VLOOKUP($E1152,'NI-Ric_SP'!$C:$AN,MID(V$1,1,2),FALSE)</f>
        <v>0</v>
      </c>
      <c r="W1152" s="55">
        <f>VLOOKUP($E1152,'NI-Ric_SP'!$C:$AN,MID(W$1,1,2),FALSE)</f>
        <v>0</v>
      </c>
      <c r="X1152" s="55">
        <f>VLOOKUP($E1152,'NI-Ric_SP'!$C:$AN,MID(X$1,1,2),FALSE)</f>
        <v>0</v>
      </c>
      <c r="Y1152" s="55">
        <f>VLOOKUP($E1152,'NI-Ric_SP'!$C:$AN,MID(Y$1,1,2),FALSE)</f>
        <v>0</v>
      </c>
      <c r="Z1152" s="55">
        <f>VLOOKUP($E1152,'NI-Ric_SP'!$C:$AN,MID(Z$1,1,2),FALSE)</f>
        <v>0</v>
      </c>
      <c r="AA1152" s="55">
        <f>VLOOKUP($E1152,'NI-Ric_SP'!$C:$AN,MID(AA$1,1,2),FALSE)</f>
        <v>0</v>
      </c>
      <c r="AB1152" s="55">
        <f>VLOOKUP($E1152,'NI-Ric_SP'!$C:$AN,MID(AB$1,1,2),FALSE)</f>
        <v>0</v>
      </c>
      <c r="AC1152" s="55">
        <f>VLOOKUP($E1152,'NI-Ric_SP'!$C:$AN,MID(AC$1,1,2),FALSE)</f>
        <v>0</v>
      </c>
      <c r="AD1152" s="55">
        <f>VLOOKUP($E1152,'NI-Ric_SP'!$C:$AN,MID(AD$1,1,2),FALSE)</f>
        <v>0</v>
      </c>
      <c r="AE1152" s="55">
        <f>VLOOKUP($E1152,'NI-Ric_SP'!$C:$AN,MID(AE$1,1,2),FALSE)</f>
        <v>0</v>
      </c>
      <c r="AF1152" s="55">
        <f>VLOOKUP($E1152,'NI-Ric_SP'!$C:$AN,MID(AF$1,1,2),FALSE)</f>
        <v>0</v>
      </c>
      <c r="AG1152" s="55">
        <f>VLOOKUP($E1152,'NI-Ric_SP'!$C:$AN,MID(AG$1,1,2),FALSE)</f>
        <v>0</v>
      </c>
      <c r="AH1152" s="55">
        <f>VLOOKUP($E1152,'NI-Ric_SP'!$C:$AN,MID(AH$1,1,2),FALSE)</f>
        <v>0</v>
      </c>
      <c r="AI1152" s="55">
        <f>VLOOKUP($E1152,'NI-Ric_SP'!$C:$AN,MID(AI$1,1,2),FALSE)</f>
        <v>0</v>
      </c>
      <c r="AJ1152" s="55">
        <f>VLOOKUP($E1152,'NI-Ric_SP'!$C:$AN,MID(AJ$1,1,2),FALSE)</f>
        <v>0</v>
      </c>
      <c r="AK1152" s="55">
        <f>VLOOKUP($E1152,'NI-Ric_SP'!$C:$AN,MID(AK$1,1,2),FALSE)</f>
        <v>0</v>
      </c>
      <c r="AL1152" s="55">
        <f>VLOOKUP($E1152,'NI-Ric_SP'!$C:$AN,MID(AL$1,1,2),FALSE)</f>
        <v>0</v>
      </c>
      <c r="AM1152" s="56">
        <f>VLOOKUP($E1152,'NI-Ric_SP'!$C:$AN,MID(AM$1,1,2),FALSE)</f>
        <v>0</v>
      </c>
      <c r="AN1152" s="30" t="str">
        <f t="shared" si="17"/>
        <v>20204010020020</v>
      </c>
    </row>
    <row r="1153" spans="1:40" x14ac:dyDescent="0.25">
      <c r="C1153" s="40"/>
      <c r="D1153" s="101" t="s">
        <v>1606</v>
      </c>
      <c r="E1153" s="101" t="s">
        <v>1607</v>
      </c>
      <c r="F1153" s="102" t="s">
        <v>2750</v>
      </c>
      <c r="G1153" s="52" t="s">
        <v>2396</v>
      </c>
      <c r="H1153" s="52"/>
      <c r="I1153" s="52" t="s">
        <v>1609</v>
      </c>
      <c r="J1153" s="52" t="s">
        <v>1609</v>
      </c>
      <c r="K1153" s="59" t="s">
        <v>111</v>
      </c>
      <c r="L1153" s="52"/>
      <c r="M1153" s="52"/>
      <c r="N1153" s="52"/>
      <c r="O1153" s="52"/>
      <c r="P1153" s="76" t="s">
        <v>1610</v>
      </c>
      <c r="Q1153" s="55">
        <f>VLOOKUP(E1153,'NI-Ric_SP'!$C:$AN,12,FALSE)</f>
        <v>0</v>
      </c>
      <c r="R1153" s="55">
        <f>VLOOKUP(E1153,'NI-Ric_SP'!$C:$AN,13,FALSE)</f>
        <v>0</v>
      </c>
      <c r="S1153" s="55">
        <f>VLOOKUP(E1153,'NI-Ric_SP'!$C:$AN,31,FALSE)</f>
        <v>0</v>
      </c>
      <c r="T1153" s="55">
        <f>VLOOKUP(E1153,'NI-Ric_SP'!$C:$AN,32,FALSE)+VLOOKUP(E1153,'NI-Ric_SP'!$C:$AN,33,FALSE)</f>
        <v>0</v>
      </c>
      <c r="U1153" s="55">
        <f>VLOOKUP($E1153,'NI-Ric_SP'!$C:$AN,MID(U$1,1,2),FALSE)</f>
        <v>0</v>
      </c>
      <c r="V1153" s="55">
        <f>VLOOKUP($E1153,'NI-Ric_SP'!$C:$AN,MID(V$1,1,2),FALSE)</f>
        <v>0</v>
      </c>
      <c r="W1153" s="55">
        <f>VLOOKUP($E1153,'NI-Ric_SP'!$C:$AN,MID(W$1,1,2),FALSE)</f>
        <v>0</v>
      </c>
      <c r="X1153" s="55">
        <f>VLOOKUP($E1153,'NI-Ric_SP'!$C:$AN,MID(X$1,1,2),FALSE)</f>
        <v>0</v>
      </c>
      <c r="Y1153" s="55">
        <f>VLOOKUP($E1153,'NI-Ric_SP'!$C:$AN,MID(Y$1,1,2),FALSE)</f>
        <v>0</v>
      </c>
      <c r="Z1153" s="55">
        <f>VLOOKUP($E1153,'NI-Ric_SP'!$C:$AN,MID(Z$1,1,2),FALSE)</f>
        <v>0</v>
      </c>
      <c r="AA1153" s="55">
        <f>VLOOKUP($E1153,'NI-Ric_SP'!$C:$AN,MID(AA$1,1,2),FALSE)</f>
        <v>0</v>
      </c>
      <c r="AB1153" s="55">
        <f>VLOOKUP($E1153,'NI-Ric_SP'!$C:$AN,MID(AB$1,1,2),FALSE)</f>
        <v>0</v>
      </c>
      <c r="AC1153" s="55">
        <f>VLOOKUP($E1153,'NI-Ric_SP'!$C:$AN,MID(AC$1,1,2),FALSE)</f>
        <v>0</v>
      </c>
      <c r="AD1153" s="55">
        <f>VLOOKUP($E1153,'NI-Ric_SP'!$C:$AN,MID(AD$1,1,2),FALSE)</f>
        <v>0</v>
      </c>
      <c r="AE1153" s="55">
        <f>VLOOKUP($E1153,'NI-Ric_SP'!$C:$AN,MID(AE$1,1,2),FALSE)</f>
        <v>0</v>
      </c>
      <c r="AF1153" s="55">
        <f>VLOOKUP($E1153,'NI-Ric_SP'!$C:$AN,MID(AF$1,1,2),FALSE)</f>
        <v>0</v>
      </c>
      <c r="AG1153" s="55">
        <f>VLOOKUP($E1153,'NI-Ric_SP'!$C:$AN,MID(AG$1,1,2),FALSE)</f>
        <v>0</v>
      </c>
      <c r="AH1153" s="55">
        <f>VLOOKUP($E1153,'NI-Ric_SP'!$C:$AN,MID(AH$1,1,2),FALSE)</f>
        <v>0</v>
      </c>
      <c r="AI1153" s="55">
        <f>VLOOKUP($E1153,'NI-Ric_SP'!$C:$AN,MID(AI$1,1,2),FALSE)</f>
        <v>0</v>
      </c>
      <c r="AJ1153" s="55">
        <f>VLOOKUP($E1153,'NI-Ric_SP'!$C:$AN,MID(AJ$1,1,2),FALSE)</f>
        <v>0</v>
      </c>
      <c r="AK1153" s="55">
        <f>VLOOKUP($E1153,'NI-Ric_SP'!$C:$AN,MID(AK$1,1,2),FALSE)</f>
        <v>0</v>
      </c>
      <c r="AL1153" s="55">
        <f>VLOOKUP($E1153,'NI-Ric_SP'!$C:$AN,MID(AL$1,1,2),FALSE)</f>
        <v>0</v>
      </c>
      <c r="AM1153" s="56">
        <f>VLOOKUP($E1153,'NI-Ric_SP'!$C:$AN,MID(AM$1,1,2),FALSE)</f>
        <v>0</v>
      </c>
      <c r="AN1153" s="30" t="str">
        <f t="shared" si="17"/>
        <v>20204010030000</v>
      </c>
    </row>
    <row r="1154" spans="1:40" x14ac:dyDescent="0.25">
      <c r="C1154" s="40"/>
      <c r="D1154" s="101" t="s">
        <v>1611</v>
      </c>
      <c r="E1154" s="101" t="s">
        <v>1612</v>
      </c>
      <c r="F1154" s="102" t="s">
        <v>2750</v>
      </c>
      <c r="G1154" s="52" t="s">
        <v>1608</v>
      </c>
      <c r="H1154" s="52"/>
      <c r="I1154" s="52"/>
      <c r="J1154" s="52"/>
      <c r="K1154" s="59" t="s">
        <v>79</v>
      </c>
      <c r="L1154" s="52"/>
      <c r="M1154" s="52"/>
      <c r="N1154" s="52"/>
      <c r="O1154" s="61" t="s">
        <v>1591</v>
      </c>
      <c r="P1154" s="104" t="s">
        <v>1613</v>
      </c>
      <c r="Q1154" s="55">
        <f>VLOOKUP(E1154,'NI-Ric_SP'!$C:$AN,12,FALSE)</f>
        <v>0</v>
      </c>
      <c r="R1154" s="55">
        <f>VLOOKUP(E1154,'NI-Ric_SP'!$C:$AN,13,FALSE)</f>
        <v>0</v>
      </c>
      <c r="S1154" s="55">
        <f>VLOOKUP(E1154,'NI-Ric_SP'!$C:$AN,31,FALSE)</f>
        <v>0</v>
      </c>
      <c r="T1154" s="55">
        <f>VLOOKUP(E1154,'NI-Ric_SP'!$C:$AN,32,FALSE)+VLOOKUP(E1154,'NI-Ric_SP'!$C:$AN,33,FALSE)</f>
        <v>0</v>
      </c>
      <c r="U1154" s="55">
        <f>VLOOKUP($E1154,'NI-Ric_SP'!$C:$AN,MID(U$1,1,2),FALSE)</f>
        <v>0</v>
      </c>
      <c r="V1154" s="55">
        <f>VLOOKUP($E1154,'NI-Ric_SP'!$C:$AN,MID(V$1,1,2),FALSE)</f>
        <v>0</v>
      </c>
      <c r="W1154" s="55">
        <f>VLOOKUP($E1154,'NI-Ric_SP'!$C:$AN,MID(W$1,1,2),FALSE)</f>
        <v>0</v>
      </c>
      <c r="X1154" s="55">
        <f>VLOOKUP($E1154,'NI-Ric_SP'!$C:$AN,MID(X$1,1,2),FALSE)</f>
        <v>0</v>
      </c>
      <c r="Y1154" s="55">
        <f>VLOOKUP($E1154,'NI-Ric_SP'!$C:$AN,MID(Y$1,1,2),FALSE)</f>
        <v>0</v>
      </c>
      <c r="Z1154" s="55">
        <f>VLOOKUP($E1154,'NI-Ric_SP'!$C:$AN,MID(Z$1,1,2),FALSE)</f>
        <v>0</v>
      </c>
      <c r="AA1154" s="55">
        <f>VLOOKUP($E1154,'NI-Ric_SP'!$C:$AN,MID(AA$1,1,2),FALSE)</f>
        <v>0</v>
      </c>
      <c r="AB1154" s="55">
        <f>VLOOKUP($E1154,'NI-Ric_SP'!$C:$AN,MID(AB$1,1,2),FALSE)</f>
        <v>0</v>
      </c>
      <c r="AC1154" s="55">
        <f>VLOOKUP($E1154,'NI-Ric_SP'!$C:$AN,MID(AC$1,1,2),FALSE)</f>
        <v>0</v>
      </c>
      <c r="AD1154" s="55">
        <f>VLOOKUP($E1154,'NI-Ric_SP'!$C:$AN,MID(AD$1,1,2),FALSE)</f>
        <v>0</v>
      </c>
      <c r="AE1154" s="55">
        <f>VLOOKUP($E1154,'NI-Ric_SP'!$C:$AN,MID(AE$1,1,2),FALSE)</f>
        <v>0</v>
      </c>
      <c r="AF1154" s="55">
        <f>VLOOKUP($E1154,'NI-Ric_SP'!$C:$AN,MID(AF$1,1,2),FALSE)</f>
        <v>0</v>
      </c>
      <c r="AG1154" s="55">
        <f>VLOOKUP($E1154,'NI-Ric_SP'!$C:$AN,MID(AG$1,1,2),FALSE)</f>
        <v>0</v>
      </c>
      <c r="AH1154" s="55">
        <f>VLOOKUP($E1154,'NI-Ric_SP'!$C:$AN,MID(AH$1,1,2),FALSE)</f>
        <v>0</v>
      </c>
      <c r="AI1154" s="55">
        <f>VLOOKUP($E1154,'NI-Ric_SP'!$C:$AN,MID(AI$1,1,2),FALSE)</f>
        <v>0</v>
      </c>
      <c r="AJ1154" s="55">
        <f>VLOOKUP($E1154,'NI-Ric_SP'!$C:$AN,MID(AJ$1,1,2),FALSE)</f>
        <v>0</v>
      </c>
      <c r="AK1154" s="55">
        <f>VLOOKUP($E1154,'NI-Ric_SP'!$C:$AN,MID(AK$1,1,2),FALSE)</f>
        <v>0</v>
      </c>
      <c r="AL1154" s="55">
        <f>VLOOKUP($E1154,'NI-Ric_SP'!$C:$AN,MID(AL$1,1,2),FALSE)</f>
        <v>0</v>
      </c>
      <c r="AM1154" s="56">
        <f>VLOOKUP($E1154,'NI-Ric_SP'!$C:$AN,MID(AM$1,1,2),FALSE)</f>
        <v>0</v>
      </c>
      <c r="AN1154" s="30" t="str">
        <f t="shared" ref="AN1154:AN1217" si="18">D1154</f>
        <v>20204010030010</v>
      </c>
    </row>
    <row r="1155" spans="1:40" x14ac:dyDescent="0.25">
      <c r="C1155" s="40"/>
      <c r="D1155" s="101" t="s">
        <v>1614</v>
      </c>
      <c r="E1155" s="101" t="s">
        <v>1615</v>
      </c>
      <c r="F1155" s="102" t="s">
        <v>2750</v>
      </c>
      <c r="G1155" s="52" t="s">
        <v>1608</v>
      </c>
      <c r="H1155" s="52"/>
      <c r="I1155" s="52"/>
      <c r="J1155" s="52"/>
      <c r="K1155" s="59" t="s">
        <v>79</v>
      </c>
      <c r="L1155" s="52"/>
      <c r="M1155" s="52"/>
      <c r="N1155" s="52"/>
      <c r="O1155" s="61" t="s">
        <v>1591</v>
      </c>
      <c r="P1155" s="104" t="s">
        <v>1616</v>
      </c>
      <c r="Q1155" s="55">
        <f>VLOOKUP(E1155,'NI-Ric_SP'!$C:$AN,12,FALSE)</f>
        <v>0</v>
      </c>
      <c r="R1155" s="55">
        <f>VLOOKUP(E1155,'NI-Ric_SP'!$C:$AN,13,FALSE)</f>
        <v>0</v>
      </c>
      <c r="S1155" s="55">
        <f>VLOOKUP(E1155,'NI-Ric_SP'!$C:$AN,31,FALSE)</f>
        <v>0</v>
      </c>
      <c r="T1155" s="55">
        <f>VLOOKUP(E1155,'NI-Ric_SP'!$C:$AN,32,FALSE)+VLOOKUP(E1155,'NI-Ric_SP'!$C:$AN,33,FALSE)</f>
        <v>0</v>
      </c>
      <c r="U1155" s="55">
        <f>VLOOKUP($E1155,'NI-Ric_SP'!$C:$AN,MID(U$1,1,2),FALSE)</f>
        <v>0</v>
      </c>
      <c r="V1155" s="55">
        <f>VLOOKUP($E1155,'NI-Ric_SP'!$C:$AN,MID(V$1,1,2),FALSE)</f>
        <v>0</v>
      </c>
      <c r="W1155" s="55">
        <f>VLOOKUP($E1155,'NI-Ric_SP'!$C:$AN,MID(W$1,1,2),FALSE)</f>
        <v>0</v>
      </c>
      <c r="X1155" s="55">
        <f>VLOOKUP($E1155,'NI-Ric_SP'!$C:$AN,MID(X$1,1,2),FALSE)</f>
        <v>0</v>
      </c>
      <c r="Y1155" s="55">
        <f>VLOOKUP($E1155,'NI-Ric_SP'!$C:$AN,MID(Y$1,1,2),FALSE)</f>
        <v>0</v>
      </c>
      <c r="Z1155" s="55">
        <f>VLOOKUP($E1155,'NI-Ric_SP'!$C:$AN,MID(Z$1,1,2),FALSE)</f>
        <v>0</v>
      </c>
      <c r="AA1155" s="55">
        <f>VLOOKUP($E1155,'NI-Ric_SP'!$C:$AN,MID(AA$1,1,2),FALSE)</f>
        <v>0</v>
      </c>
      <c r="AB1155" s="55">
        <f>VLOOKUP($E1155,'NI-Ric_SP'!$C:$AN,MID(AB$1,1,2),FALSE)</f>
        <v>0</v>
      </c>
      <c r="AC1155" s="55">
        <f>VLOOKUP($E1155,'NI-Ric_SP'!$C:$AN,MID(AC$1,1,2),FALSE)</f>
        <v>0</v>
      </c>
      <c r="AD1155" s="55">
        <f>VLOOKUP($E1155,'NI-Ric_SP'!$C:$AN,MID(AD$1,1,2),FALSE)</f>
        <v>0</v>
      </c>
      <c r="AE1155" s="55">
        <f>VLOOKUP($E1155,'NI-Ric_SP'!$C:$AN,MID(AE$1,1,2),FALSE)</f>
        <v>0</v>
      </c>
      <c r="AF1155" s="55">
        <f>VLOOKUP($E1155,'NI-Ric_SP'!$C:$AN,MID(AF$1,1,2),FALSE)</f>
        <v>0</v>
      </c>
      <c r="AG1155" s="55">
        <f>VLOOKUP($E1155,'NI-Ric_SP'!$C:$AN,MID(AG$1,1,2),FALSE)</f>
        <v>0</v>
      </c>
      <c r="AH1155" s="55">
        <f>VLOOKUP($E1155,'NI-Ric_SP'!$C:$AN,MID(AH$1,1,2),FALSE)</f>
        <v>0</v>
      </c>
      <c r="AI1155" s="55">
        <f>VLOOKUP($E1155,'NI-Ric_SP'!$C:$AN,MID(AI$1,1,2),FALSE)</f>
        <v>0</v>
      </c>
      <c r="AJ1155" s="55">
        <f>VLOOKUP($E1155,'NI-Ric_SP'!$C:$AN,MID(AJ$1,1,2),FALSE)</f>
        <v>0</v>
      </c>
      <c r="AK1155" s="55">
        <f>VLOOKUP($E1155,'NI-Ric_SP'!$C:$AN,MID(AK$1,1,2),FALSE)</f>
        <v>0</v>
      </c>
      <c r="AL1155" s="55">
        <f>VLOOKUP($E1155,'NI-Ric_SP'!$C:$AN,MID(AL$1,1,2),FALSE)</f>
        <v>0</v>
      </c>
      <c r="AM1155" s="56">
        <f>VLOOKUP($E1155,'NI-Ric_SP'!$C:$AN,MID(AM$1,1,2),FALSE)</f>
        <v>0</v>
      </c>
      <c r="AN1155" s="30" t="str">
        <f t="shared" si="18"/>
        <v>20204010030020</v>
      </c>
    </row>
    <row r="1156" spans="1:40" ht="12.75" customHeight="1" x14ac:dyDescent="0.25">
      <c r="C1156" s="40"/>
      <c r="D1156" s="101" t="s">
        <v>1617</v>
      </c>
      <c r="E1156" s="101" t="s">
        <v>1618</v>
      </c>
      <c r="F1156" s="102" t="s">
        <v>2750</v>
      </c>
      <c r="G1156" s="52" t="s">
        <v>1608</v>
      </c>
      <c r="H1156" s="52"/>
      <c r="I1156" s="52"/>
      <c r="J1156" s="52"/>
      <c r="K1156" s="59" t="s">
        <v>79</v>
      </c>
      <c r="L1156" s="52"/>
      <c r="M1156" s="52"/>
      <c r="N1156" s="52"/>
      <c r="O1156" s="61" t="s">
        <v>1591</v>
      </c>
      <c r="P1156" s="104" t="s">
        <v>1619</v>
      </c>
      <c r="Q1156" s="55">
        <f>VLOOKUP(E1156,'NI-Ric_SP'!$C:$AN,12,FALSE)</f>
        <v>0</v>
      </c>
      <c r="R1156" s="55">
        <f>VLOOKUP(E1156,'NI-Ric_SP'!$C:$AN,13,FALSE)</f>
        <v>0</v>
      </c>
      <c r="S1156" s="55">
        <f>VLOOKUP(E1156,'NI-Ric_SP'!$C:$AN,31,FALSE)</f>
        <v>0</v>
      </c>
      <c r="T1156" s="55">
        <f>VLOOKUP(E1156,'NI-Ric_SP'!$C:$AN,32,FALSE)+VLOOKUP(E1156,'NI-Ric_SP'!$C:$AN,33,FALSE)</f>
        <v>0</v>
      </c>
      <c r="U1156" s="55">
        <f>VLOOKUP($E1156,'NI-Ric_SP'!$C:$AN,MID(U$1,1,2),FALSE)</f>
        <v>0</v>
      </c>
      <c r="V1156" s="55">
        <f>VLOOKUP($E1156,'NI-Ric_SP'!$C:$AN,MID(V$1,1,2),FALSE)</f>
        <v>0</v>
      </c>
      <c r="W1156" s="55">
        <f>VLOOKUP($E1156,'NI-Ric_SP'!$C:$AN,MID(W$1,1,2),FALSE)</f>
        <v>0</v>
      </c>
      <c r="X1156" s="55">
        <f>VLOOKUP($E1156,'NI-Ric_SP'!$C:$AN,MID(X$1,1,2),FALSE)</f>
        <v>0</v>
      </c>
      <c r="Y1156" s="55">
        <f>VLOOKUP($E1156,'NI-Ric_SP'!$C:$AN,MID(Y$1,1,2),FALSE)</f>
        <v>0</v>
      </c>
      <c r="Z1156" s="55">
        <f>VLOOKUP($E1156,'NI-Ric_SP'!$C:$AN,MID(Z$1,1,2),FALSE)</f>
        <v>0</v>
      </c>
      <c r="AA1156" s="55">
        <f>VLOOKUP($E1156,'NI-Ric_SP'!$C:$AN,MID(AA$1,1,2),FALSE)</f>
        <v>0</v>
      </c>
      <c r="AB1156" s="55">
        <f>VLOOKUP($E1156,'NI-Ric_SP'!$C:$AN,MID(AB$1,1,2),FALSE)</f>
        <v>0</v>
      </c>
      <c r="AC1156" s="55">
        <f>VLOOKUP($E1156,'NI-Ric_SP'!$C:$AN,MID(AC$1,1,2),FALSE)</f>
        <v>0</v>
      </c>
      <c r="AD1156" s="55">
        <f>VLOOKUP($E1156,'NI-Ric_SP'!$C:$AN,MID(AD$1,1,2),FALSE)</f>
        <v>0</v>
      </c>
      <c r="AE1156" s="55">
        <f>VLOOKUP($E1156,'NI-Ric_SP'!$C:$AN,MID(AE$1,1,2),FALSE)</f>
        <v>0</v>
      </c>
      <c r="AF1156" s="55">
        <f>VLOOKUP($E1156,'NI-Ric_SP'!$C:$AN,MID(AF$1,1,2),FALSE)</f>
        <v>0</v>
      </c>
      <c r="AG1156" s="55">
        <f>VLOOKUP($E1156,'NI-Ric_SP'!$C:$AN,MID(AG$1,1,2),FALSE)</f>
        <v>0</v>
      </c>
      <c r="AH1156" s="55">
        <f>VLOOKUP($E1156,'NI-Ric_SP'!$C:$AN,MID(AH$1,1,2),FALSE)</f>
        <v>0</v>
      </c>
      <c r="AI1156" s="55">
        <f>VLOOKUP($E1156,'NI-Ric_SP'!$C:$AN,MID(AI$1,1,2),FALSE)</f>
        <v>0</v>
      </c>
      <c r="AJ1156" s="55">
        <f>VLOOKUP($E1156,'NI-Ric_SP'!$C:$AN,MID(AJ$1,1,2),FALSE)</f>
        <v>0</v>
      </c>
      <c r="AK1156" s="55">
        <f>VLOOKUP($E1156,'NI-Ric_SP'!$C:$AN,MID(AK$1,1,2),FALSE)</f>
        <v>0</v>
      </c>
      <c r="AL1156" s="55">
        <f>VLOOKUP($E1156,'NI-Ric_SP'!$C:$AN,MID(AL$1,1,2),FALSE)</f>
        <v>0</v>
      </c>
      <c r="AM1156" s="56">
        <f>VLOOKUP($E1156,'NI-Ric_SP'!$C:$AN,MID(AM$1,1,2),FALSE)</f>
        <v>0</v>
      </c>
      <c r="AN1156" s="30" t="str">
        <f t="shared" si="18"/>
        <v>20204010030030</v>
      </c>
    </row>
    <row r="1157" spans="1:40" ht="12.75" customHeight="1" x14ac:dyDescent="0.25">
      <c r="C1157" s="40"/>
      <c r="D1157" s="101" t="s">
        <v>1620</v>
      </c>
      <c r="E1157" s="101" t="s">
        <v>1621</v>
      </c>
      <c r="F1157" s="102" t="s">
        <v>2750</v>
      </c>
      <c r="G1157" s="52" t="s">
        <v>1608</v>
      </c>
      <c r="H1157" s="52"/>
      <c r="I1157" s="52"/>
      <c r="J1157" s="52"/>
      <c r="K1157" s="59" t="s">
        <v>79</v>
      </c>
      <c r="L1157" s="52"/>
      <c r="M1157" s="52"/>
      <c r="N1157" s="52"/>
      <c r="O1157" s="61" t="s">
        <v>1591</v>
      </c>
      <c r="P1157" s="104" t="s">
        <v>1622</v>
      </c>
      <c r="Q1157" s="55">
        <f>VLOOKUP(E1157,'NI-Ric_SP'!$C:$AN,12,FALSE)</f>
        <v>0</v>
      </c>
      <c r="R1157" s="55">
        <f>VLOOKUP(E1157,'NI-Ric_SP'!$C:$AN,13,FALSE)</f>
        <v>0</v>
      </c>
      <c r="S1157" s="55">
        <f>VLOOKUP(E1157,'NI-Ric_SP'!$C:$AN,31,FALSE)</f>
        <v>0</v>
      </c>
      <c r="T1157" s="55">
        <f>VLOOKUP(E1157,'NI-Ric_SP'!$C:$AN,32,FALSE)+VLOOKUP(E1157,'NI-Ric_SP'!$C:$AN,33,FALSE)</f>
        <v>0</v>
      </c>
      <c r="U1157" s="55">
        <f>VLOOKUP($E1157,'NI-Ric_SP'!$C:$AN,MID(U$1,1,2),FALSE)</f>
        <v>0</v>
      </c>
      <c r="V1157" s="55">
        <f>VLOOKUP($E1157,'NI-Ric_SP'!$C:$AN,MID(V$1,1,2),FALSE)</f>
        <v>0</v>
      </c>
      <c r="W1157" s="55">
        <f>VLOOKUP($E1157,'NI-Ric_SP'!$C:$AN,MID(W$1,1,2),FALSE)</f>
        <v>0</v>
      </c>
      <c r="X1157" s="55">
        <f>VLOOKUP($E1157,'NI-Ric_SP'!$C:$AN,MID(X$1,1,2),FALSE)</f>
        <v>0</v>
      </c>
      <c r="Y1157" s="55">
        <f>VLOOKUP($E1157,'NI-Ric_SP'!$C:$AN,MID(Y$1,1,2),FALSE)</f>
        <v>0</v>
      </c>
      <c r="Z1157" s="55">
        <f>VLOOKUP($E1157,'NI-Ric_SP'!$C:$AN,MID(Z$1,1,2),FALSE)</f>
        <v>0</v>
      </c>
      <c r="AA1157" s="55">
        <f>VLOOKUP($E1157,'NI-Ric_SP'!$C:$AN,MID(AA$1,1,2),FALSE)</f>
        <v>0</v>
      </c>
      <c r="AB1157" s="55">
        <f>VLOOKUP($E1157,'NI-Ric_SP'!$C:$AN,MID(AB$1,1,2),FALSE)</f>
        <v>0</v>
      </c>
      <c r="AC1157" s="55">
        <f>VLOOKUP($E1157,'NI-Ric_SP'!$C:$AN,MID(AC$1,1,2),FALSE)</f>
        <v>0</v>
      </c>
      <c r="AD1157" s="55">
        <f>VLOOKUP($E1157,'NI-Ric_SP'!$C:$AN,MID(AD$1,1,2),FALSE)</f>
        <v>0</v>
      </c>
      <c r="AE1157" s="55">
        <f>VLOOKUP($E1157,'NI-Ric_SP'!$C:$AN,MID(AE$1,1,2),FALSE)</f>
        <v>0</v>
      </c>
      <c r="AF1157" s="55">
        <f>VLOOKUP($E1157,'NI-Ric_SP'!$C:$AN,MID(AF$1,1,2),FALSE)</f>
        <v>0</v>
      </c>
      <c r="AG1157" s="55">
        <f>VLOOKUP($E1157,'NI-Ric_SP'!$C:$AN,MID(AG$1,1,2),FALSE)</f>
        <v>0</v>
      </c>
      <c r="AH1157" s="55">
        <f>VLOOKUP($E1157,'NI-Ric_SP'!$C:$AN,MID(AH$1,1,2),FALSE)</f>
        <v>0</v>
      </c>
      <c r="AI1157" s="55">
        <f>VLOOKUP($E1157,'NI-Ric_SP'!$C:$AN,MID(AI$1,1,2),FALSE)</f>
        <v>0</v>
      </c>
      <c r="AJ1157" s="55">
        <f>VLOOKUP($E1157,'NI-Ric_SP'!$C:$AN,MID(AJ$1,1,2),FALSE)</f>
        <v>0</v>
      </c>
      <c r="AK1157" s="55">
        <f>VLOOKUP($E1157,'NI-Ric_SP'!$C:$AN,MID(AK$1,1,2),FALSE)</f>
        <v>0</v>
      </c>
      <c r="AL1157" s="55">
        <f>VLOOKUP($E1157,'NI-Ric_SP'!$C:$AN,MID(AL$1,1,2),FALSE)</f>
        <v>0</v>
      </c>
      <c r="AM1157" s="56">
        <f>VLOOKUP($E1157,'NI-Ric_SP'!$C:$AN,MID(AM$1,1,2),FALSE)</f>
        <v>0</v>
      </c>
      <c r="AN1157" s="30" t="str">
        <f t="shared" si="18"/>
        <v>20204010030040</v>
      </c>
    </row>
    <row r="1158" spans="1:40" x14ac:dyDescent="0.25">
      <c r="C1158" s="40"/>
      <c r="D1158" s="101" t="s">
        <v>1623</v>
      </c>
      <c r="E1158" s="101" t="s">
        <v>1624</v>
      </c>
      <c r="F1158" s="102" t="s">
        <v>2750</v>
      </c>
      <c r="G1158" s="52" t="s">
        <v>1608</v>
      </c>
      <c r="H1158" s="52"/>
      <c r="I1158" s="52"/>
      <c r="J1158" s="52"/>
      <c r="K1158" s="59" t="s">
        <v>79</v>
      </c>
      <c r="L1158" s="52"/>
      <c r="M1158" s="52"/>
      <c r="N1158" s="52"/>
      <c r="O1158" s="61" t="s">
        <v>1591</v>
      </c>
      <c r="P1158" s="104" t="s">
        <v>1625</v>
      </c>
      <c r="Q1158" s="55">
        <f>VLOOKUP(E1158,'NI-Ric_SP'!$C:$AN,12,FALSE)</f>
        <v>0</v>
      </c>
      <c r="R1158" s="55">
        <f>VLOOKUP(E1158,'NI-Ric_SP'!$C:$AN,13,FALSE)</f>
        <v>0</v>
      </c>
      <c r="S1158" s="55">
        <f>VLOOKUP(E1158,'NI-Ric_SP'!$C:$AN,31,FALSE)</f>
        <v>0</v>
      </c>
      <c r="T1158" s="55">
        <f>VLOOKUP(E1158,'NI-Ric_SP'!$C:$AN,32,FALSE)+VLOOKUP(E1158,'NI-Ric_SP'!$C:$AN,33,FALSE)</f>
        <v>0</v>
      </c>
      <c r="U1158" s="55">
        <f>VLOOKUP($E1158,'NI-Ric_SP'!$C:$AN,MID(U$1,1,2),FALSE)</f>
        <v>0</v>
      </c>
      <c r="V1158" s="55">
        <f>VLOOKUP($E1158,'NI-Ric_SP'!$C:$AN,MID(V$1,1,2),FALSE)</f>
        <v>0</v>
      </c>
      <c r="W1158" s="55">
        <f>VLOOKUP($E1158,'NI-Ric_SP'!$C:$AN,MID(W$1,1,2),FALSE)</f>
        <v>0</v>
      </c>
      <c r="X1158" s="55">
        <f>VLOOKUP($E1158,'NI-Ric_SP'!$C:$AN,MID(X$1,1,2),FALSE)</f>
        <v>0</v>
      </c>
      <c r="Y1158" s="55">
        <f>VLOOKUP($E1158,'NI-Ric_SP'!$C:$AN,MID(Y$1,1,2),FALSE)</f>
        <v>0</v>
      </c>
      <c r="Z1158" s="55">
        <f>VLOOKUP($E1158,'NI-Ric_SP'!$C:$AN,MID(Z$1,1,2),FALSE)</f>
        <v>0</v>
      </c>
      <c r="AA1158" s="55">
        <f>VLOOKUP($E1158,'NI-Ric_SP'!$C:$AN,MID(AA$1,1,2),FALSE)</f>
        <v>0</v>
      </c>
      <c r="AB1158" s="55">
        <f>VLOOKUP($E1158,'NI-Ric_SP'!$C:$AN,MID(AB$1,1,2),FALSE)</f>
        <v>0</v>
      </c>
      <c r="AC1158" s="55">
        <f>VLOOKUP($E1158,'NI-Ric_SP'!$C:$AN,MID(AC$1,1,2),FALSE)</f>
        <v>0</v>
      </c>
      <c r="AD1158" s="55">
        <f>VLOOKUP($E1158,'NI-Ric_SP'!$C:$AN,MID(AD$1,1,2),FALSE)</f>
        <v>0</v>
      </c>
      <c r="AE1158" s="55">
        <f>VLOOKUP($E1158,'NI-Ric_SP'!$C:$AN,MID(AE$1,1,2),FALSE)</f>
        <v>0</v>
      </c>
      <c r="AF1158" s="55">
        <f>VLOOKUP($E1158,'NI-Ric_SP'!$C:$AN,MID(AF$1,1,2),FALSE)</f>
        <v>0</v>
      </c>
      <c r="AG1158" s="55">
        <f>VLOOKUP($E1158,'NI-Ric_SP'!$C:$AN,MID(AG$1,1,2),FALSE)</f>
        <v>0</v>
      </c>
      <c r="AH1158" s="55">
        <f>VLOOKUP($E1158,'NI-Ric_SP'!$C:$AN,MID(AH$1,1,2),FALSE)</f>
        <v>0</v>
      </c>
      <c r="AI1158" s="55">
        <f>VLOOKUP($E1158,'NI-Ric_SP'!$C:$AN,MID(AI$1,1,2),FALSE)</f>
        <v>0</v>
      </c>
      <c r="AJ1158" s="55">
        <f>VLOOKUP($E1158,'NI-Ric_SP'!$C:$AN,MID(AJ$1,1,2),FALSE)</f>
        <v>0</v>
      </c>
      <c r="AK1158" s="55">
        <f>VLOOKUP($E1158,'NI-Ric_SP'!$C:$AN,MID(AK$1,1,2),FALSE)</f>
        <v>0</v>
      </c>
      <c r="AL1158" s="55">
        <f>VLOOKUP($E1158,'NI-Ric_SP'!$C:$AN,MID(AL$1,1,2),FALSE)</f>
        <v>0</v>
      </c>
      <c r="AM1158" s="56">
        <f>VLOOKUP($E1158,'NI-Ric_SP'!$C:$AN,MID(AM$1,1,2),FALSE)</f>
        <v>0</v>
      </c>
      <c r="AN1158" s="30" t="str">
        <f t="shared" si="18"/>
        <v>20204010030050</v>
      </c>
    </row>
    <row r="1159" spans="1:40" x14ac:dyDescent="0.25">
      <c r="C1159" s="40"/>
      <c r="D1159" s="101" t="s">
        <v>1626</v>
      </c>
      <c r="E1159" s="101" t="s">
        <v>1627</v>
      </c>
      <c r="F1159" s="102" t="s">
        <v>2750</v>
      </c>
      <c r="G1159" s="52" t="s">
        <v>1608</v>
      </c>
      <c r="H1159" s="52"/>
      <c r="I1159" s="86" t="s">
        <v>1609</v>
      </c>
      <c r="J1159" s="52" t="s">
        <v>1609</v>
      </c>
      <c r="K1159" s="59" t="s">
        <v>79</v>
      </c>
      <c r="L1159" s="52"/>
      <c r="M1159" s="52"/>
      <c r="N1159" s="52"/>
      <c r="O1159" s="61" t="s">
        <v>1628</v>
      </c>
      <c r="P1159" s="66" t="s">
        <v>1629</v>
      </c>
      <c r="Q1159" s="55">
        <f>VLOOKUP(E1159,'NI-Ric_SP'!$C:$AN,12,FALSE)</f>
        <v>0</v>
      </c>
      <c r="R1159" s="55">
        <f>VLOOKUP(E1159,'NI-Ric_SP'!$C:$AN,13,FALSE)</f>
        <v>0</v>
      </c>
      <c r="S1159" s="55">
        <f>VLOOKUP(E1159,'NI-Ric_SP'!$C:$AN,31,FALSE)</f>
        <v>0</v>
      </c>
      <c r="T1159" s="55">
        <f>VLOOKUP(E1159,'NI-Ric_SP'!$C:$AN,32,FALSE)+VLOOKUP(E1159,'NI-Ric_SP'!$C:$AN,33,FALSE)</f>
        <v>0</v>
      </c>
      <c r="U1159" s="55">
        <f>VLOOKUP($E1159,'NI-Ric_SP'!$C:$AN,MID(U$1,1,2),FALSE)</f>
        <v>0</v>
      </c>
      <c r="V1159" s="55">
        <f>VLOOKUP($E1159,'NI-Ric_SP'!$C:$AN,MID(V$1,1,2),FALSE)</f>
        <v>0</v>
      </c>
      <c r="W1159" s="55">
        <f>VLOOKUP($E1159,'NI-Ric_SP'!$C:$AN,MID(W$1,1,2),FALSE)</f>
        <v>0</v>
      </c>
      <c r="X1159" s="55">
        <f>VLOOKUP($E1159,'NI-Ric_SP'!$C:$AN,MID(X$1,1,2),FALSE)</f>
        <v>0</v>
      </c>
      <c r="Y1159" s="55">
        <f>VLOOKUP($E1159,'NI-Ric_SP'!$C:$AN,MID(Y$1,1,2),FALSE)</f>
        <v>0</v>
      </c>
      <c r="Z1159" s="55">
        <f>VLOOKUP($E1159,'NI-Ric_SP'!$C:$AN,MID(Z$1,1,2),FALSE)</f>
        <v>0</v>
      </c>
      <c r="AA1159" s="55">
        <f>VLOOKUP($E1159,'NI-Ric_SP'!$C:$AN,MID(AA$1,1,2),FALSE)</f>
        <v>0</v>
      </c>
      <c r="AB1159" s="55">
        <f>VLOOKUP($E1159,'NI-Ric_SP'!$C:$AN,MID(AB$1,1,2),FALSE)</f>
        <v>0</v>
      </c>
      <c r="AC1159" s="55">
        <f>VLOOKUP($E1159,'NI-Ric_SP'!$C:$AN,MID(AC$1,1,2),FALSE)</f>
        <v>0</v>
      </c>
      <c r="AD1159" s="55">
        <f>VLOOKUP($E1159,'NI-Ric_SP'!$C:$AN,MID(AD$1,1,2),FALSE)</f>
        <v>0</v>
      </c>
      <c r="AE1159" s="55">
        <f>VLOOKUP($E1159,'NI-Ric_SP'!$C:$AN,MID(AE$1,1,2),FALSE)</f>
        <v>0</v>
      </c>
      <c r="AF1159" s="55">
        <f>VLOOKUP($E1159,'NI-Ric_SP'!$C:$AN,MID(AF$1,1,2),FALSE)</f>
        <v>0</v>
      </c>
      <c r="AG1159" s="55">
        <f>VLOOKUP($E1159,'NI-Ric_SP'!$C:$AN,MID(AG$1,1,2),FALSE)</f>
        <v>0</v>
      </c>
      <c r="AH1159" s="55">
        <f>VLOOKUP($E1159,'NI-Ric_SP'!$C:$AN,MID(AH$1,1,2),FALSE)</f>
        <v>0</v>
      </c>
      <c r="AI1159" s="55">
        <f>VLOOKUP($E1159,'NI-Ric_SP'!$C:$AN,MID(AI$1,1,2),FALSE)</f>
        <v>0</v>
      </c>
      <c r="AJ1159" s="55">
        <f>VLOOKUP($E1159,'NI-Ric_SP'!$C:$AN,MID(AJ$1,1,2),FALSE)</f>
        <v>0</v>
      </c>
      <c r="AK1159" s="55">
        <f>VLOOKUP($E1159,'NI-Ric_SP'!$C:$AN,MID(AK$1,1,2),FALSE)</f>
        <v>0</v>
      </c>
      <c r="AL1159" s="55">
        <f>VLOOKUP($E1159,'NI-Ric_SP'!$C:$AN,MID(AL$1,1,2),FALSE)</f>
        <v>0</v>
      </c>
      <c r="AM1159" s="56">
        <f>VLOOKUP($E1159,'NI-Ric_SP'!$C:$AN,MID(AM$1,1,2),FALSE)</f>
        <v>0</v>
      </c>
      <c r="AN1159" s="30" t="str">
        <f t="shared" si="18"/>
        <v>20204010030060</v>
      </c>
    </row>
    <row r="1160" spans="1:40" x14ac:dyDescent="0.25">
      <c r="C1160" s="40"/>
      <c r="D1160" s="101" t="s">
        <v>1630</v>
      </c>
      <c r="E1160" s="101" t="s">
        <v>1631</v>
      </c>
      <c r="F1160" s="102" t="s">
        <v>2750</v>
      </c>
      <c r="G1160" s="52" t="s">
        <v>1608</v>
      </c>
      <c r="H1160" s="52"/>
      <c r="I1160" s="86" t="s">
        <v>1609</v>
      </c>
      <c r="J1160" s="52" t="s">
        <v>1609</v>
      </c>
      <c r="K1160" s="59" t="s">
        <v>79</v>
      </c>
      <c r="L1160" s="52"/>
      <c r="M1160" s="52"/>
      <c r="N1160" s="52"/>
      <c r="O1160" s="61" t="s">
        <v>1632</v>
      </c>
      <c r="P1160" s="66" t="s">
        <v>1633</v>
      </c>
      <c r="Q1160" s="55">
        <f>VLOOKUP(E1160,'NI-Ric_SP'!$C:$AN,12,FALSE)</f>
        <v>0</v>
      </c>
      <c r="R1160" s="55">
        <f>VLOOKUP(E1160,'NI-Ric_SP'!$C:$AN,13,FALSE)</f>
        <v>0</v>
      </c>
      <c r="S1160" s="55">
        <f>VLOOKUP(E1160,'NI-Ric_SP'!$C:$AN,31,FALSE)</f>
        <v>0</v>
      </c>
      <c r="T1160" s="55">
        <f>VLOOKUP(E1160,'NI-Ric_SP'!$C:$AN,32,FALSE)+VLOOKUP(E1160,'NI-Ric_SP'!$C:$AN,33,FALSE)</f>
        <v>0</v>
      </c>
      <c r="U1160" s="55">
        <f>VLOOKUP($E1160,'NI-Ric_SP'!$C:$AN,MID(U$1,1,2),FALSE)</f>
        <v>0</v>
      </c>
      <c r="V1160" s="55">
        <f>VLOOKUP($E1160,'NI-Ric_SP'!$C:$AN,MID(V$1,1,2),FALSE)</f>
        <v>0</v>
      </c>
      <c r="W1160" s="55">
        <f>VLOOKUP($E1160,'NI-Ric_SP'!$C:$AN,MID(W$1,1,2),FALSE)</f>
        <v>0</v>
      </c>
      <c r="X1160" s="55">
        <f>VLOOKUP($E1160,'NI-Ric_SP'!$C:$AN,MID(X$1,1,2),FALSE)</f>
        <v>0</v>
      </c>
      <c r="Y1160" s="55">
        <f>VLOOKUP($E1160,'NI-Ric_SP'!$C:$AN,MID(Y$1,1,2),FALSE)</f>
        <v>0</v>
      </c>
      <c r="Z1160" s="55">
        <f>VLOOKUP($E1160,'NI-Ric_SP'!$C:$AN,MID(Z$1,1,2),FALSE)</f>
        <v>0</v>
      </c>
      <c r="AA1160" s="55">
        <f>VLOOKUP($E1160,'NI-Ric_SP'!$C:$AN,MID(AA$1,1,2),FALSE)</f>
        <v>0</v>
      </c>
      <c r="AB1160" s="55">
        <f>VLOOKUP($E1160,'NI-Ric_SP'!$C:$AN,MID(AB$1,1,2),FALSE)</f>
        <v>0</v>
      </c>
      <c r="AC1160" s="55">
        <f>VLOOKUP($E1160,'NI-Ric_SP'!$C:$AN,MID(AC$1,1,2),FALSE)</f>
        <v>0</v>
      </c>
      <c r="AD1160" s="55">
        <f>VLOOKUP($E1160,'NI-Ric_SP'!$C:$AN,MID(AD$1,1,2),FALSE)</f>
        <v>0</v>
      </c>
      <c r="AE1160" s="55">
        <f>VLOOKUP($E1160,'NI-Ric_SP'!$C:$AN,MID(AE$1,1,2),FALSE)</f>
        <v>0</v>
      </c>
      <c r="AF1160" s="55">
        <f>VLOOKUP($E1160,'NI-Ric_SP'!$C:$AN,MID(AF$1,1,2),FALSE)</f>
        <v>0</v>
      </c>
      <c r="AG1160" s="55">
        <f>VLOOKUP($E1160,'NI-Ric_SP'!$C:$AN,MID(AG$1,1,2),FALSE)</f>
        <v>0</v>
      </c>
      <c r="AH1160" s="55">
        <f>VLOOKUP($E1160,'NI-Ric_SP'!$C:$AN,MID(AH$1,1,2),FALSE)</f>
        <v>0</v>
      </c>
      <c r="AI1160" s="55">
        <f>VLOOKUP($E1160,'NI-Ric_SP'!$C:$AN,MID(AI$1,1,2),FALSE)</f>
        <v>0</v>
      </c>
      <c r="AJ1160" s="55">
        <f>VLOOKUP($E1160,'NI-Ric_SP'!$C:$AN,MID(AJ$1,1,2),FALSE)</f>
        <v>0</v>
      </c>
      <c r="AK1160" s="55">
        <f>VLOOKUP($E1160,'NI-Ric_SP'!$C:$AN,MID(AK$1,1,2),FALSE)</f>
        <v>0</v>
      </c>
      <c r="AL1160" s="55">
        <f>VLOOKUP($E1160,'NI-Ric_SP'!$C:$AN,MID(AL$1,1,2),FALSE)</f>
        <v>0</v>
      </c>
      <c r="AM1160" s="56">
        <f>VLOOKUP($E1160,'NI-Ric_SP'!$C:$AN,MID(AM$1,1,2),FALSE)</f>
        <v>0</v>
      </c>
      <c r="AN1160" s="30" t="str">
        <f t="shared" si="18"/>
        <v>20204010030070</v>
      </c>
    </row>
    <row r="1161" spans="1:40" x14ac:dyDescent="0.25">
      <c r="C1161" s="40"/>
      <c r="D1161" s="101" t="s">
        <v>1634</v>
      </c>
      <c r="E1161" s="101" t="s">
        <v>1635</v>
      </c>
      <c r="F1161" s="102" t="s">
        <v>2750</v>
      </c>
      <c r="G1161" s="52"/>
      <c r="H1161" s="52"/>
      <c r="I1161" s="52" t="s">
        <v>1636</v>
      </c>
      <c r="J1161" s="52" t="s">
        <v>1636</v>
      </c>
      <c r="K1161" s="59" t="s">
        <v>1358</v>
      </c>
      <c r="L1161" s="52"/>
      <c r="M1161" s="52"/>
      <c r="N1161" s="52"/>
      <c r="O1161" s="61" t="s">
        <v>1591</v>
      </c>
      <c r="P1161" s="63" t="s">
        <v>1637</v>
      </c>
      <c r="Q1161" s="55">
        <f>VLOOKUP(E1161,'NI-Ric_SP'!$C:$AN,12,FALSE)</f>
        <v>0</v>
      </c>
      <c r="R1161" s="55">
        <f>VLOOKUP(E1161,'NI-Ric_SP'!$C:$AN,13,FALSE)</f>
        <v>0</v>
      </c>
      <c r="S1161" s="55">
        <f>VLOOKUP(E1161,'NI-Ric_SP'!$C:$AN,31,FALSE)</f>
        <v>0</v>
      </c>
      <c r="T1161" s="55">
        <f>VLOOKUP(E1161,'NI-Ric_SP'!$C:$AN,32,FALSE)+VLOOKUP(E1161,'NI-Ric_SP'!$C:$AN,33,FALSE)</f>
        <v>0</v>
      </c>
      <c r="U1161" s="55">
        <f>VLOOKUP($E1161,'NI-Ric_SP'!$C:$AN,MID(U$1,1,2),FALSE)</f>
        <v>0</v>
      </c>
      <c r="V1161" s="55">
        <f>VLOOKUP($E1161,'NI-Ric_SP'!$C:$AN,MID(V$1,1,2),FALSE)</f>
        <v>0</v>
      </c>
      <c r="W1161" s="55">
        <f>VLOOKUP($E1161,'NI-Ric_SP'!$C:$AN,MID(W$1,1,2),FALSE)</f>
        <v>0</v>
      </c>
      <c r="X1161" s="55">
        <f>VLOOKUP($E1161,'NI-Ric_SP'!$C:$AN,MID(X$1,1,2),FALSE)</f>
        <v>0</v>
      </c>
      <c r="Y1161" s="55">
        <f>VLOOKUP($E1161,'NI-Ric_SP'!$C:$AN,MID(Y$1,1,2),FALSE)</f>
        <v>0</v>
      </c>
      <c r="Z1161" s="55">
        <f>VLOOKUP($E1161,'NI-Ric_SP'!$C:$AN,MID(Z$1,1,2),FALSE)</f>
        <v>0</v>
      </c>
      <c r="AA1161" s="55">
        <f>VLOOKUP($E1161,'NI-Ric_SP'!$C:$AN,MID(AA$1,1,2),FALSE)</f>
        <v>0</v>
      </c>
      <c r="AB1161" s="55">
        <f>VLOOKUP($E1161,'NI-Ric_SP'!$C:$AN,MID(AB$1,1,2),FALSE)</f>
        <v>0</v>
      </c>
      <c r="AC1161" s="55">
        <f>VLOOKUP($E1161,'NI-Ric_SP'!$C:$AN,MID(AC$1,1,2),FALSE)</f>
        <v>0</v>
      </c>
      <c r="AD1161" s="55">
        <f>VLOOKUP($E1161,'NI-Ric_SP'!$C:$AN,MID(AD$1,1,2),FALSE)</f>
        <v>0</v>
      </c>
      <c r="AE1161" s="55">
        <f>VLOOKUP($E1161,'NI-Ric_SP'!$C:$AN,MID(AE$1,1,2),FALSE)</f>
        <v>0</v>
      </c>
      <c r="AF1161" s="55">
        <f>VLOOKUP($E1161,'NI-Ric_SP'!$C:$AN,MID(AF$1,1,2),FALSE)</f>
        <v>0</v>
      </c>
      <c r="AG1161" s="55">
        <f>VLOOKUP($E1161,'NI-Ric_SP'!$C:$AN,MID(AG$1,1,2),FALSE)</f>
        <v>0</v>
      </c>
      <c r="AH1161" s="55">
        <f>VLOOKUP($E1161,'NI-Ric_SP'!$C:$AN,MID(AH$1,1,2),FALSE)</f>
        <v>0</v>
      </c>
      <c r="AI1161" s="55">
        <f>VLOOKUP($E1161,'NI-Ric_SP'!$C:$AN,MID(AI$1,1,2),FALSE)</f>
        <v>0</v>
      </c>
      <c r="AJ1161" s="55">
        <f>VLOOKUP($E1161,'NI-Ric_SP'!$C:$AN,MID(AJ$1,1,2),FALSE)</f>
        <v>0</v>
      </c>
      <c r="AK1161" s="55">
        <f>VLOOKUP($E1161,'NI-Ric_SP'!$C:$AN,MID(AK$1,1,2),FALSE)</f>
        <v>0</v>
      </c>
      <c r="AL1161" s="55">
        <f>VLOOKUP($E1161,'NI-Ric_SP'!$C:$AN,MID(AL$1,1,2),FALSE)</f>
        <v>0</v>
      </c>
      <c r="AM1161" s="56">
        <f>VLOOKUP($E1161,'NI-Ric_SP'!$C:$AN,MID(AM$1,1,2),FALSE)</f>
        <v>0</v>
      </c>
      <c r="AN1161" s="30" t="str">
        <f t="shared" si="18"/>
        <v>20204020000000</v>
      </c>
    </row>
    <row r="1162" spans="1:40" ht="27" x14ac:dyDescent="0.25">
      <c r="A1162" s="30" t="s">
        <v>1394</v>
      </c>
      <c r="C1162" s="40"/>
      <c r="D1162" s="87" t="s">
        <v>1638</v>
      </c>
      <c r="E1162" s="87" t="s">
        <v>1639</v>
      </c>
      <c r="F1162" s="102" t="s">
        <v>2750</v>
      </c>
      <c r="G1162" s="52"/>
      <c r="H1162" s="52"/>
      <c r="I1162" s="52"/>
      <c r="J1162" s="52" t="s">
        <v>1640</v>
      </c>
      <c r="K1162" s="59" t="s">
        <v>1358</v>
      </c>
      <c r="L1162" s="52"/>
      <c r="M1162" s="52"/>
      <c r="N1162" s="52"/>
      <c r="O1162" s="61" t="s">
        <v>1591</v>
      </c>
      <c r="P1162" s="76" t="s">
        <v>1642</v>
      </c>
      <c r="Q1162" s="55">
        <f>VLOOKUP(E1162,'NI-Ric_SP'!$C:$AN,12,FALSE)</f>
        <v>0</v>
      </c>
      <c r="R1162" s="55">
        <f>VLOOKUP(E1162,'NI-Ric_SP'!$C:$AN,13,FALSE)</f>
        <v>0</v>
      </c>
      <c r="S1162" s="55">
        <f>VLOOKUP(E1162,'NI-Ric_SP'!$C:$AN,31,FALSE)</f>
        <v>0</v>
      </c>
      <c r="T1162" s="55">
        <f>VLOOKUP(E1162,'NI-Ric_SP'!$C:$AN,32,FALSE)+VLOOKUP(E1162,'NI-Ric_SP'!$C:$AN,33,FALSE)</f>
        <v>0</v>
      </c>
      <c r="U1162" s="55">
        <f>VLOOKUP($E1162,'NI-Ric_SP'!$C:$AN,MID(U$1,1,2),FALSE)</f>
        <v>0</v>
      </c>
      <c r="V1162" s="55">
        <f>VLOOKUP($E1162,'NI-Ric_SP'!$C:$AN,MID(V$1,1,2),FALSE)</f>
        <v>0</v>
      </c>
      <c r="W1162" s="55">
        <f>VLOOKUP($E1162,'NI-Ric_SP'!$C:$AN,MID(W$1,1,2),FALSE)</f>
        <v>0</v>
      </c>
      <c r="X1162" s="55">
        <f>VLOOKUP($E1162,'NI-Ric_SP'!$C:$AN,MID(X$1,1,2),FALSE)</f>
        <v>0</v>
      </c>
      <c r="Y1162" s="55">
        <f>VLOOKUP($E1162,'NI-Ric_SP'!$C:$AN,MID(Y$1,1,2),FALSE)</f>
        <v>0</v>
      </c>
      <c r="Z1162" s="55">
        <f>VLOOKUP($E1162,'NI-Ric_SP'!$C:$AN,MID(Z$1,1,2),FALSE)</f>
        <v>0</v>
      </c>
      <c r="AA1162" s="55">
        <f>VLOOKUP($E1162,'NI-Ric_SP'!$C:$AN,MID(AA$1,1,2),FALSE)</f>
        <v>0</v>
      </c>
      <c r="AB1162" s="55">
        <f>VLOOKUP($E1162,'NI-Ric_SP'!$C:$AN,MID(AB$1,1,2),FALSE)</f>
        <v>0</v>
      </c>
      <c r="AC1162" s="55">
        <f>VLOOKUP($E1162,'NI-Ric_SP'!$C:$AN,MID(AC$1,1,2),FALSE)</f>
        <v>0</v>
      </c>
      <c r="AD1162" s="55">
        <f>VLOOKUP($E1162,'NI-Ric_SP'!$C:$AN,MID(AD$1,1,2),FALSE)</f>
        <v>0</v>
      </c>
      <c r="AE1162" s="55">
        <f>VLOOKUP($E1162,'NI-Ric_SP'!$C:$AN,MID(AE$1,1,2),FALSE)</f>
        <v>0</v>
      </c>
      <c r="AF1162" s="55">
        <f>VLOOKUP($E1162,'NI-Ric_SP'!$C:$AN,MID(AF$1,1,2),FALSE)</f>
        <v>0</v>
      </c>
      <c r="AG1162" s="55">
        <f>VLOOKUP($E1162,'NI-Ric_SP'!$C:$AN,MID(AG$1,1,2),FALSE)</f>
        <v>0</v>
      </c>
      <c r="AH1162" s="55">
        <f>VLOOKUP($E1162,'NI-Ric_SP'!$C:$AN,MID(AH$1,1,2),FALSE)</f>
        <v>0</v>
      </c>
      <c r="AI1162" s="55">
        <f>VLOOKUP($E1162,'NI-Ric_SP'!$C:$AN,MID(AI$1,1,2),FALSE)</f>
        <v>0</v>
      </c>
      <c r="AJ1162" s="55">
        <f>VLOOKUP($E1162,'NI-Ric_SP'!$C:$AN,MID(AJ$1,1,2),FALSE)</f>
        <v>0</v>
      </c>
      <c r="AK1162" s="55">
        <f>VLOOKUP($E1162,'NI-Ric_SP'!$C:$AN,MID(AK$1,1,2),FALSE)</f>
        <v>0</v>
      </c>
      <c r="AL1162" s="55">
        <f>VLOOKUP($E1162,'NI-Ric_SP'!$C:$AN,MID(AL$1,1,2),FALSE)</f>
        <v>0</v>
      </c>
      <c r="AM1162" s="56">
        <f>VLOOKUP($E1162,'NI-Ric_SP'!$C:$AN,MID(AM$1,1,2),FALSE)</f>
        <v>0</v>
      </c>
      <c r="AN1162" s="30" t="str">
        <f t="shared" si="18"/>
        <v>20204030000000</v>
      </c>
    </row>
    <row r="1163" spans="1:40" ht="27" x14ac:dyDescent="0.25">
      <c r="C1163" s="40"/>
      <c r="D1163" s="101" t="s">
        <v>1643</v>
      </c>
      <c r="E1163" s="101" t="s">
        <v>1644</v>
      </c>
      <c r="F1163" s="102" t="s">
        <v>2750</v>
      </c>
      <c r="G1163" s="52" t="s">
        <v>2396</v>
      </c>
      <c r="H1163" s="52"/>
      <c r="I1163" s="52" t="s">
        <v>1645</v>
      </c>
      <c r="J1163" s="52" t="s">
        <v>1645</v>
      </c>
      <c r="K1163" s="59" t="s">
        <v>79</v>
      </c>
      <c r="L1163" s="52"/>
      <c r="M1163" s="52"/>
      <c r="N1163" s="52"/>
      <c r="O1163" s="61" t="s">
        <v>1646</v>
      </c>
      <c r="P1163" s="63" t="s">
        <v>2753</v>
      </c>
      <c r="Q1163" s="55">
        <f>VLOOKUP(E1163,'NI-Ric_SP'!$C:$AN,12,FALSE)</f>
        <v>0</v>
      </c>
      <c r="R1163" s="55">
        <f>VLOOKUP(E1163,'NI-Ric_SP'!$C:$AN,13,FALSE)</f>
        <v>0</v>
      </c>
      <c r="S1163" s="55">
        <f>VLOOKUP(E1163,'NI-Ric_SP'!$C:$AN,31,FALSE)</f>
        <v>0</v>
      </c>
      <c r="T1163" s="55">
        <f>VLOOKUP(E1163,'NI-Ric_SP'!$C:$AN,32,FALSE)+VLOOKUP(E1163,'NI-Ric_SP'!$C:$AN,33,FALSE)</f>
        <v>0</v>
      </c>
      <c r="U1163" s="55">
        <f>VLOOKUP($E1163,'NI-Ric_SP'!$C:$AN,MID(U$1,1,2),FALSE)</f>
        <v>0</v>
      </c>
      <c r="V1163" s="55">
        <f>VLOOKUP($E1163,'NI-Ric_SP'!$C:$AN,MID(V$1,1,2),FALSE)</f>
        <v>0</v>
      </c>
      <c r="W1163" s="55">
        <f>VLOOKUP($E1163,'NI-Ric_SP'!$C:$AN,MID(W$1,1,2),FALSE)</f>
        <v>0</v>
      </c>
      <c r="X1163" s="55">
        <f>VLOOKUP($E1163,'NI-Ric_SP'!$C:$AN,MID(X$1,1,2),FALSE)</f>
        <v>0</v>
      </c>
      <c r="Y1163" s="55">
        <f>VLOOKUP($E1163,'NI-Ric_SP'!$C:$AN,MID(Y$1,1,2),FALSE)</f>
        <v>0</v>
      </c>
      <c r="Z1163" s="55">
        <f>VLOOKUP($E1163,'NI-Ric_SP'!$C:$AN,MID(Z$1,1,2),FALSE)</f>
        <v>0</v>
      </c>
      <c r="AA1163" s="55">
        <f>VLOOKUP($E1163,'NI-Ric_SP'!$C:$AN,MID(AA$1,1,2),FALSE)</f>
        <v>0</v>
      </c>
      <c r="AB1163" s="55">
        <f>VLOOKUP($E1163,'NI-Ric_SP'!$C:$AN,MID(AB$1,1,2),FALSE)</f>
        <v>0</v>
      </c>
      <c r="AC1163" s="55">
        <f>VLOOKUP($E1163,'NI-Ric_SP'!$C:$AN,MID(AC$1,1,2),FALSE)</f>
        <v>0</v>
      </c>
      <c r="AD1163" s="55">
        <f>VLOOKUP($E1163,'NI-Ric_SP'!$C:$AN,MID(AD$1,1,2),FALSE)</f>
        <v>0</v>
      </c>
      <c r="AE1163" s="55">
        <f>VLOOKUP($E1163,'NI-Ric_SP'!$C:$AN,MID(AE$1,1,2),FALSE)</f>
        <v>0</v>
      </c>
      <c r="AF1163" s="55">
        <f>VLOOKUP($E1163,'NI-Ric_SP'!$C:$AN,MID(AF$1,1,2),FALSE)</f>
        <v>0</v>
      </c>
      <c r="AG1163" s="55">
        <f>VLOOKUP($E1163,'NI-Ric_SP'!$C:$AN,MID(AG$1,1,2),FALSE)</f>
        <v>0</v>
      </c>
      <c r="AH1163" s="55">
        <f>VLOOKUP($E1163,'NI-Ric_SP'!$C:$AN,MID(AH$1,1,2),FALSE)</f>
        <v>0</v>
      </c>
      <c r="AI1163" s="55">
        <f>VLOOKUP($E1163,'NI-Ric_SP'!$C:$AN,MID(AI$1,1,2),FALSE)</f>
        <v>0</v>
      </c>
      <c r="AJ1163" s="55">
        <f>VLOOKUP($E1163,'NI-Ric_SP'!$C:$AN,MID(AJ$1,1,2),FALSE)</f>
        <v>0</v>
      </c>
      <c r="AK1163" s="55">
        <f>VLOOKUP($E1163,'NI-Ric_SP'!$C:$AN,MID(AK$1,1,2),FALSE)</f>
        <v>0</v>
      </c>
      <c r="AL1163" s="55">
        <f>VLOOKUP($E1163,'NI-Ric_SP'!$C:$AN,MID(AL$1,1,2),FALSE)</f>
        <v>0</v>
      </c>
      <c r="AM1163" s="56">
        <f>VLOOKUP($E1163,'NI-Ric_SP'!$C:$AN,MID(AM$1,1,2),FALSE)</f>
        <v>0</v>
      </c>
      <c r="AN1163" s="30" t="str">
        <f t="shared" si="18"/>
        <v>20204040000000</v>
      </c>
    </row>
    <row r="1164" spans="1:40" ht="27" x14ac:dyDescent="0.25">
      <c r="A1164" s="30" t="s">
        <v>1394</v>
      </c>
      <c r="C1164" s="40"/>
      <c r="D1164" s="87" t="s">
        <v>1648</v>
      </c>
      <c r="E1164" s="87" t="s">
        <v>1649</v>
      </c>
      <c r="F1164" s="102" t="s">
        <v>2750</v>
      </c>
      <c r="G1164" s="52"/>
      <c r="H1164" s="52"/>
      <c r="I1164" s="52"/>
      <c r="J1164" s="52" t="s">
        <v>1650</v>
      </c>
      <c r="K1164" s="59" t="s">
        <v>79</v>
      </c>
      <c r="L1164" s="88"/>
      <c r="M1164" s="52"/>
      <c r="N1164" s="52"/>
      <c r="O1164" s="61" t="s">
        <v>1646</v>
      </c>
      <c r="P1164" s="76" t="s">
        <v>1651</v>
      </c>
      <c r="Q1164" s="55">
        <f>VLOOKUP(E1164,'NI-Ric_SP'!$C:$AN,12,FALSE)</f>
        <v>0</v>
      </c>
      <c r="R1164" s="55">
        <f>VLOOKUP(E1164,'NI-Ric_SP'!$C:$AN,13,FALSE)</f>
        <v>0</v>
      </c>
      <c r="S1164" s="55">
        <f>VLOOKUP(E1164,'NI-Ric_SP'!$C:$AN,31,FALSE)</f>
        <v>0</v>
      </c>
      <c r="T1164" s="55">
        <f>VLOOKUP(E1164,'NI-Ric_SP'!$C:$AN,32,FALSE)+VLOOKUP(E1164,'NI-Ric_SP'!$C:$AN,33,FALSE)</f>
        <v>0</v>
      </c>
      <c r="U1164" s="55">
        <f>VLOOKUP($E1164,'NI-Ric_SP'!$C:$AN,MID(U$1,1,2),FALSE)</f>
        <v>0</v>
      </c>
      <c r="V1164" s="55">
        <f>VLOOKUP($E1164,'NI-Ric_SP'!$C:$AN,MID(V$1,1,2),FALSE)</f>
        <v>0</v>
      </c>
      <c r="W1164" s="55">
        <f>VLOOKUP($E1164,'NI-Ric_SP'!$C:$AN,MID(W$1,1,2),FALSE)</f>
        <v>0</v>
      </c>
      <c r="X1164" s="55">
        <f>VLOOKUP($E1164,'NI-Ric_SP'!$C:$AN,MID(X$1,1,2),FALSE)</f>
        <v>0</v>
      </c>
      <c r="Y1164" s="55">
        <f>VLOOKUP($E1164,'NI-Ric_SP'!$C:$AN,MID(Y$1,1,2),FALSE)</f>
        <v>0</v>
      </c>
      <c r="Z1164" s="55">
        <f>VLOOKUP($E1164,'NI-Ric_SP'!$C:$AN,MID(Z$1,1,2),FALSE)</f>
        <v>0</v>
      </c>
      <c r="AA1164" s="55">
        <f>VLOOKUP($E1164,'NI-Ric_SP'!$C:$AN,MID(AA$1,1,2),FALSE)</f>
        <v>0</v>
      </c>
      <c r="AB1164" s="55">
        <f>VLOOKUP($E1164,'NI-Ric_SP'!$C:$AN,MID(AB$1,1,2),FALSE)</f>
        <v>0</v>
      </c>
      <c r="AC1164" s="55">
        <f>VLOOKUP($E1164,'NI-Ric_SP'!$C:$AN,MID(AC$1,1,2),FALSE)</f>
        <v>0</v>
      </c>
      <c r="AD1164" s="55">
        <f>VLOOKUP($E1164,'NI-Ric_SP'!$C:$AN,MID(AD$1,1,2),FALSE)</f>
        <v>0</v>
      </c>
      <c r="AE1164" s="55">
        <f>VLOOKUP($E1164,'NI-Ric_SP'!$C:$AN,MID(AE$1,1,2),FALSE)</f>
        <v>0</v>
      </c>
      <c r="AF1164" s="55">
        <f>VLOOKUP($E1164,'NI-Ric_SP'!$C:$AN,MID(AF$1,1,2),FALSE)</f>
        <v>0</v>
      </c>
      <c r="AG1164" s="55">
        <f>VLOOKUP($E1164,'NI-Ric_SP'!$C:$AN,MID(AG$1,1,2),FALSE)</f>
        <v>0</v>
      </c>
      <c r="AH1164" s="55">
        <f>VLOOKUP($E1164,'NI-Ric_SP'!$C:$AN,MID(AH$1,1,2),FALSE)</f>
        <v>0</v>
      </c>
      <c r="AI1164" s="55">
        <f>VLOOKUP($E1164,'NI-Ric_SP'!$C:$AN,MID(AI$1,1,2),FALSE)</f>
        <v>0</v>
      </c>
      <c r="AJ1164" s="55">
        <f>VLOOKUP($E1164,'NI-Ric_SP'!$C:$AN,MID(AJ$1,1,2),FALSE)</f>
        <v>0</v>
      </c>
      <c r="AK1164" s="55">
        <f>VLOOKUP($E1164,'NI-Ric_SP'!$C:$AN,MID(AK$1,1,2),FALSE)</f>
        <v>0</v>
      </c>
      <c r="AL1164" s="55">
        <f>VLOOKUP($E1164,'NI-Ric_SP'!$C:$AN,MID(AL$1,1,2),FALSE)</f>
        <v>0</v>
      </c>
      <c r="AM1164" s="56">
        <f>VLOOKUP($E1164,'NI-Ric_SP'!$C:$AN,MID(AM$1,1,2),FALSE)</f>
        <v>0</v>
      </c>
      <c r="AN1164" s="30" t="str">
        <f t="shared" si="18"/>
        <v>20204050010000</v>
      </c>
    </row>
    <row r="1165" spans="1:40" ht="27" x14ac:dyDescent="0.25">
      <c r="A1165" s="30" t="s">
        <v>1394</v>
      </c>
      <c r="C1165" s="40"/>
      <c r="D1165" s="87" t="s">
        <v>1652</v>
      </c>
      <c r="E1165" s="87" t="s">
        <v>1653</v>
      </c>
      <c r="F1165" s="102" t="s">
        <v>2750</v>
      </c>
      <c r="G1165" s="52"/>
      <c r="H1165" s="52"/>
      <c r="I1165" s="52"/>
      <c r="J1165" s="52" t="s">
        <v>1650</v>
      </c>
      <c r="K1165" s="59" t="s">
        <v>79</v>
      </c>
      <c r="L1165" s="88"/>
      <c r="M1165" s="52"/>
      <c r="N1165" s="52"/>
      <c r="O1165" s="61" t="s">
        <v>1646</v>
      </c>
      <c r="P1165" s="76" t="s">
        <v>1654</v>
      </c>
      <c r="Q1165" s="55">
        <f>VLOOKUP(E1165,'NI-Ric_SP'!$C:$AN,12,FALSE)</f>
        <v>0</v>
      </c>
      <c r="R1165" s="55">
        <f>VLOOKUP(E1165,'NI-Ric_SP'!$C:$AN,13,FALSE)</f>
        <v>0</v>
      </c>
      <c r="S1165" s="55">
        <f>VLOOKUP(E1165,'NI-Ric_SP'!$C:$AN,31,FALSE)</f>
        <v>0</v>
      </c>
      <c r="T1165" s="55">
        <f>VLOOKUP(E1165,'NI-Ric_SP'!$C:$AN,32,FALSE)+VLOOKUP(E1165,'NI-Ric_SP'!$C:$AN,33,FALSE)</f>
        <v>0</v>
      </c>
      <c r="U1165" s="55">
        <f>VLOOKUP($E1165,'NI-Ric_SP'!$C:$AN,MID(U$1,1,2),FALSE)</f>
        <v>0</v>
      </c>
      <c r="V1165" s="55">
        <f>VLOOKUP($E1165,'NI-Ric_SP'!$C:$AN,MID(V$1,1,2),FALSE)</f>
        <v>0</v>
      </c>
      <c r="W1165" s="55">
        <f>VLOOKUP($E1165,'NI-Ric_SP'!$C:$AN,MID(W$1,1,2),FALSE)</f>
        <v>0</v>
      </c>
      <c r="X1165" s="55">
        <f>VLOOKUP($E1165,'NI-Ric_SP'!$C:$AN,MID(X$1,1,2),FALSE)</f>
        <v>0</v>
      </c>
      <c r="Y1165" s="55">
        <f>VLOOKUP($E1165,'NI-Ric_SP'!$C:$AN,MID(Y$1,1,2),FALSE)</f>
        <v>0</v>
      </c>
      <c r="Z1165" s="55">
        <f>VLOOKUP($E1165,'NI-Ric_SP'!$C:$AN,MID(Z$1,1,2),FALSE)</f>
        <v>0</v>
      </c>
      <c r="AA1165" s="55">
        <f>VLOOKUP($E1165,'NI-Ric_SP'!$C:$AN,MID(AA$1,1,2),FALSE)</f>
        <v>0</v>
      </c>
      <c r="AB1165" s="55">
        <f>VLOOKUP($E1165,'NI-Ric_SP'!$C:$AN,MID(AB$1,1,2),FALSE)</f>
        <v>0</v>
      </c>
      <c r="AC1165" s="55">
        <f>VLOOKUP($E1165,'NI-Ric_SP'!$C:$AN,MID(AC$1,1,2),FALSE)</f>
        <v>0</v>
      </c>
      <c r="AD1165" s="55">
        <f>VLOOKUP($E1165,'NI-Ric_SP'!$C:$AN,MID(AD$1,1,2),FALSE)</f>
        <v>0</v>
      </c>
      <c r="AE1165" s="55">
        <f>VLOOKUP($E1165,'NI-Ric_SP'!$C:$AN,MID(AE$1,1,2),FALSE)</f>
        <v>0</v>
      </c>
      <c r="AF1165" s="55">
        <f>VLOOKUP($E1165,'NI-Ric_SP'!$C:$AN,MID(AF$1,1,2),FALSE)</f>
        <v>0</v>
      </c>
      <c r="AG1165" s="55">
        <f>VLOOKUP($E1165,'NI-Ric_SP'!$C:$AN,MID(AG$1,1,2),FALSE)</f>
        <v>0</v>
      </c>
      <c r="AH1165" s="55">
        <f>VLOOKUP($E1165,'NI-Ric_SP'!$C:$AN,MID(AH$1,1,2),FALSE)</f>
        <v>0</v>
      </c>
      <c r="AI1165" s="55">
        <f>VLOOKUP($E1165,'NI-Ric_SP'!$C:$AN,MID(AI$1,1,2),FALSE)</f>
        <v>0</v>
      </c>
      <c r="AJ1165" s="55">
        <f>VLOOKUP($E1165,'NI-Ric_SP'!$C:$AN,MID(AJ$1,1,2),FALSE)</f>
        <v>0</v>
      </c>
      <c r="AK1165" s="55">
        <f>VLOOKUP($E1165,'NI-Ric_SP'!$C:$AN,MID(AK$1,1,2),FALSE)</f>
        <v>0</v>
      </c>
      <c r="AL1165" s="55">
        <f>VLOOKUP($E1165,'NI-Ric_SP'!$C:$AN,MID(AL$1,1,2),FALSE)</f>
        <v>0</v>
      </c>
      <c r="AM1165" s="56">
        <f>VLOOKUP($E1165,'NI-Ric_SP'!$C:$AN,MID(AM$1,1,2),FALSE)</f>
        <v>0</v>
      </c>
      <c r="AN1165" s="30" t="str">
        <f t="shared" si="18"/>
        <v>20204050020000</v>
      </c>
    </row>
    <row r="1166" spans="1:40" ht="27" x14ac:dyDescent="0.25">
      <c r="A1166" s="30" t="s">
        <v>1394</v>
      </c>
      <c r="C1166" s="40"/>
      <c r="D1166" s="87" t="s">
        <v>1655</v>
      </c>
      <c r="E1166" s="87" t="s">
        <v>1656</v>
      </c>
      <c r="F1166" s="102" t="s">
        <v>2750</v>
      </c>
      <c r="G1166" s="52"/>
      <c r="H1166" s="52"/>
      <c r="I1166" s="52"/>
      <c r="J1166" s="52" t="s">
        <v>1650</v>
      </c>
      <c r="K1166" s="59" t="s">
        <v>79</v>
      </c>
      <c r="L1166" s="88"/>
      <c r="M1166" s="52"/>
      <c r="N1166" s="52"/>
      <c r="O1166" s="61" t="s">
        <v>1646</v>
      </c>
      <c r="P1166" s="76" t="s">
        <v>1657</v>
      </c>
      <c r="Q1166" s="55">
        <f>VLOOKUP(E1166,'NI-Ric_SP'!$C:$AN,12,FALSE)</f>
        <v>0</v>
      </c>
      <c r="R1166" s="55">
        <f>VLOOKUP(E1166,'NI-Ric_SP'!$C:$AN,13,FALSE)</f>
        <v>0</v>
      </c>
      <c r="S1166" s="55">
        <f>VLOOKUP(E1166,'NI-Ric_SP'!$C:$AN,31,FALSE)</f>
        <v>0</v>
      </c>
      <c r="T1166" s="55">
        <f>VLOOKUP(E1166,'NI-Ric_SP'!$C:$AN,32,FALSE)+VLOOKUP(E1166,'NI-Ric_SP'!$C:$AN,33,FALSE)</f>
        <v>0</v>
      </c>
      <c r="U1166" s="55">
        <f>VLOOKUP($E1166,'NI-Ric_SP'!$C:$AN,MID(U$1,1,2),FALSE)</f>
        <v>0</v>
      </c>
      <c r="V1166" s="55">
        <f>VLOOKUP($E1166,'NI-Ric_SP'!$C:$AN,MID(V$1,1,2),FALSE)</f>
        <v>0</v>
      </c>
      <c r="W1166" s="55">
        <f>VLOOKUP($E1166,'NI-Ric_SP'!$C:$AN,MID(W$1,1,2),FALSE)</f>
        <v>0</v>
      </c>
      <c r="X1166" s="55">
        <f>VLOOKUP($E1166,'NI-Ric_SP'!$C:$AN,MID(X$1,1,2),FALSE)</f>
        <v>0</v>
      </c>
      <c r="Y1166" s="55">
        <f>VLOOKUP($E1166,'NI-Ric_SP'!$C:$AN,MID(Y$1,1,2),FALSE)</f>
        <v>0</v>
      </c>
      <c r="Z1166" s="55">
        <f>VLOOKUP($E1166,'NI-Ric_SP'!$C:$AN,MID(Z$1,1,2),FALSE)</f>
        <v>0</v>
      </c>
      <c r="AA1166" s="55">
        <f>VLOOKUP($E1166,'NI-Ric_SP'!$C:$AN,MID(AA$1,1,2),FALSE)</f>
        <v>0</v>
      </c>
      <c r="AB1166" s="55">
        <f>VLOOKUP($E1166,'NI-Ric_SP'!$C:$AN,MID(AB$1,1,2),FALSE)</f>
        <v>0</v>
      </c>
      <c r="AC1166" s="55">
        <f>VLOOKUP($E1166,'NI-Ric_SP'!$C:$AN,MID(AC$1,1,2),FALSE)</f>
        <v>0</v>
      </c>
      <c r="AD1166" s="55">
        <f>VLOOKUP($E1166,'NI-Ric_SP'!$C:$AN,MID(AD$1,1,2),FALSE)</f>
        <v>0</v>
      </c>
      <c r="AE1166" s="55">
        <f>VLOOKUP($E1166,'NI-Ric_SP'!$C:$AN,MID(AE$1,1,2),FALSE)</f>
        <v>0</v>
      </c>
      <c r="AF1166" s="55">
        <f>VLOOKUP($E1166,'NI-Ric_SP'!$C:$AN,MID(AF$1,1,2),FALSE)</f>
        <v>0</v>
      </c>
      <c r="AG1166" s="55">
        <f>VLOOKUP($E1166,'NI-Ric_SP'!$C:$AN,MID(AG$1,1,2),FALSE)</f>
        <v>0</v>
      </c>
      <c r="AH1166" s="55">
        <f>VLOOKUP($E1166,'NI-Ric_SP'!$C:$AN,MID(AH$1,1,2),FALSE)</f>
        <v>0</v>
      </c>
      <c r="AI1166" s="55">
        <f>VLOOKUP($E1166,'NI-Ric_SP'!$C:$AN,MID(AI$1,1,2),FALSE)</f>
        <v>0</v>
      </c>
      <c r="AJ1166" s="55">
        <f>VLOOKUP($E1166,'NI-Ric_SP'!$C:$AN,MID(AJ$1,1,2),FALSE)</f>
        <v>0</v>
      </c>
      <c r="AK1166" s="55">
        <f>VLOOKUP($E1166,'NI-Ric_SP'!$C:$AN,MID(AK$1,1,2),FALSE)</f>
        <v>0</v>
      </c>
      <c r="AL1166" s="55">
        <f>VLOOKUP($E1166,'NI-Ric_SP'!$C:$AN,MID(AL$1,1,2),FALSE)</f>
        <v>0</v>
      </c>
      <c r="AM1166" s="56">
        <f>VLOOKUP($E1166,'NI-Ric_SP'!$C:$AN,MID(AM$1,1,2),FALSE)</f>
        <v>0</v>
      </c>
      <c r="AN1166" s="30" t="str">
        <f t="shared" si="18"/>
        <v>20204050030000</v>
      </c>
    </row>
    <row r="1167" spans="1:40" x14ac:dyDescent="0.25">
      <c r="C1167" s="40"/>
      <c r="D1167" s="101" t="s">
        <v>1658</v>
      </c>
      <c r="E1167" s="101" t="s">
        <v>1659</v>
      </c>
      <c r="F1167" s="102" t="s">
        <v>2750</v>
      </c>
      <c r="G1167" s="52"/>
      <c r="H1167" s="52"/>
      <c r="I1167" s="52"/>
      <c r="J1167" s="79"/>
      <c r="K1167" s="59" t="s">
        <v>111</v>
      </c>
      <c r="L1167" s="62" t="s">
        <v>1660</v>
      </c>
      <c r="M1167" s="52"/>
      <c r="N1167" s="52"/>
      <c r="O1167" s="61" t="s">
        <v>1661</v>
      </c>
      <c r="P1167" s="60" t="s">
        <v>1662</v>
      </c>
      <c r="Q1167" s="55">
        <f>VLOOKUP(E1167,'NI-Ric_SP'!$C:$AN,12,FALSE)</f>
        <v>0</v>
      </c>
      <c r="R1167" s="55">
        <f>VLOOKUP(E1167,'NI-Ric_SP'!$C:$AN,13,FALSE)</f>
        <v>0</v>
      </c>
      <c r="S1167" s="55">
        <f>VLOOKUP(E1167,'NI-Ric_SP'!$C:$AN,31,FALSE)</f>
        <v>0</v>
      </c>
      <c r="T1167" s="55">
        <f>VLOOKUP(E1167,'NI-Ric_SP'!$C:$AN,32,FALSE)+VLOOKUP(E1167,'NI-Ric_SP'!$C:$AN,33,FALSE)</f>
        <v>0</v>
      </c>
      <c r="U1167" s="55">
        <f>VLOOKUP($E1167,'NI-Ric_SP'!$C:$AN,MID(U$1,1,2),FALSE)</f>
        <v>0</v>
      </c>
      <c r="V1167" s="55">
        <f>VLOOKUP($E1167,'NI-Ric_SP'!$C:$AN,MID(V$1,1,2),FALSE)</f>
        <v>0</v>
      </c>
      <c r="W1167" s="55">
        <f>VLOOKUP($E1167,'NI-Ric_SP'!$C:$AN,MID(W$1,1,2),FALSE)</f>
        <v>0</v>
      </c>
      <c r="X1167" s="55">
        <f>VLOOKUP($E1167,'NI-Ric_SP'!$C:$AN,MID(X$1,1,2),FALSE)</f>
        <v>0</v>
      </c>
      <c r="Y1167" s="55">
        <f>VLOOKUP($E1167,'NI-Ric_SP'!$C:$AN,MID(Y$1,1,2),FALSE)</f>
        <v>0</v>
      </c>
      <c r="Z1167" s="55">
        <f>VLOOKUP($E1167,'NI-Ric_SP'!$C:$AN,MID(Z$1,1,2),FALSE)</f>
        <v>0</v>
      </c>
      <c r="AA1167" s="55">
        <f>VLOOKUP($E1167,'NI-Ric_SP'!$C:$AN,MID(AA$1,1,2),FALSE)</f>
        <v>0</v>
      </c>
      <c r="AB1167" s="55">
        <f>VLOOKUP($E1167,'NI-Ric_SP'!$C:$AN,MID(AB$1,1,2),FALSE)</f>
        <v>0</v>
      </c>
      <c r="AC1167" s="55">
        <f>VLOOKUP($E1167,'NI-Ric_SP'!$C:$AN,MID(AC$1,1,2),FALSE)</f>
        <v>0</v>
      </c>
      <c r="AD1167" s="55">
        <f>VLOOKUP($E1167,'NI-Ric_SP'!$C:$AN,MID(AD$1,1,2),FALSE)</f>
        <v>0</v>
      </c>
      <c r="AE1167" s="55">
        <f>VLOOKUP($E1167,'NI-Ric_SP'!$C:$AN,MID(AE$1,1,2),FALSE)</f>
        <v>0</v>
      </c>
      <c r="AF1167" s="55">
        <f>VLOOKUP($E1167,'NI-Ric_SP'!$C:$AN,MID(AF$1,1,2),FALSE)</f>
        <v>0</v>
      </c>
      <c r="AG1167" s="55">
        <f>VLOOKUP($E1167,'NI-Ric_SP'!$C:$AN,MID(AG$1,1,2),FALSE)</f>
        <v>0</v>
      </c>
      <c r="AH1167" s="55">
        <f>VLOOKUP($E1167,'NI-Ric_SP'!$C:$AN,MID(AH$1,1,2),FALSE)</f>
        <v>0</v>
      </c>
      <c r="AI1167" s="55">
        <f>VLOOKUP($E1167,'NI-Ric_SP'!$C:$AN,MID(AI$1,1,2),FALSE)</f>
        <v>0</v>
      </c>
      <c r="AJ1167" s="55">
        <f>VLOOKUP($E1167,'NI-Ric_SP'!$C:$AN,MID(AJ$1,1,2),FALSE)</f>
        <v>0</v>
      </c>
      <c r="AK1167" s="55">
        <f>VLOOKUP($E1167,'NI-Ric_SP'!$C:$AN,MID(AK$1,1,2),FALSE)</f>
        <v>0</v>
      </c>
      <c r="AL1167" s="55">
        <f>VLOOKUP($E1167,'NI-Ric_SP'!$C:$AN,MID(AL$1,1,2),FALSE)</f>
        <v>0</v>
      </c>
      <c r="AM1167" s="56">
        <f>VLOOKUP($E1167,'NI-Ric_SP'!$C:$AN,MID(AM$1,1,2),FALSE)</f>
        <v>0</v>
      </c>
      <c r="AN1167" s="30" t="str">
        <f t="shared" si="18"/>
        <v>20205000000000</v>
      </c>
    </row>
    <row r="1168" spans="1:40" x14ac:dyDescent="0.25">
      <c r="C1168" s="40"/>
      <c r="D1168" s="101" t="s">
        <v>1663</v>
      </c>
      <c r="E1168" s="101" t="s">
        <v>1664</v>
      </c>
      <c r="F1168" s="102" t="s">
        <v>2750</v>
      </c>
      <c r="G1168" s="52"/>
      <c r="H1168" s="52"/>
      <c r="I1168" s="52" t="s">
        <v>1665</v>
      </c>
      <c r="J1168" s="52" t="s">
        <v>1665</v>
      </c>
      <c r="K1168" s="59" t="s">
        <v>111</v>
      </c>
      <c r="L1168" s="52"/>
      <c r="M1168" s="52"/>
      <c r="N1168" s="52"/>
      <c r="O1168" s="52"/>
      <c r="P1168" s="63" t="s">
        <v>1666</v>
      </c>
      <c r="Q1168" s="55">
        <f>VLOOKUP(E1168,'NI-Ric_SP'!$C:$AN,12,FALSE)</f>
        <v>0</v>
      </c>
      <c r="R1168" s="55">
        <f>VLOOKUP(E1168,'NI-Ric_SP'!$C:$AN,13,FALSE)</f>
        <v>0</v>
      </c>
      <c r="S1168" s="55">
        <f>VLOOKUP(E1168,'NI-Ric_SP'!$C:$AN,31,FALSE)</f>
        <v>0</v>
      </c>
      <c r="T1168" s="55">
        <f>VLOOKUP(E1168,'NI-Ric_SP'!$C:$AN,32,FALSE)+VLOOKUP(E1168,'NI-Ric_SP'!$C:$AN,33,FALSE)</f>
        <v>0</v>
      </c>
      <c r="U1168" s="55">
        <f>VLOOKUP($E1168,'NI-Ric_SP'!$C:$AN,MID(U$1,1,2),FALSE)</f>
        <v>0</v>
      </c>
      <c r="V1168" s="55">
        <f>VLOOKUP($E1168,'NI-Ric_SP'!$C:$AN,MID(V$1,1,2),FALSE)</f>
        <v>0</v>
      </c>
      <c r="W1168" s="55">
        <f>VLOOKUP($E1168,'NI-Ric_SP'!$C:$AN,MID(W$1,1,2),FALSE)</f>
        <v>0</v>
      </c>
      <c r="X1168" s="55">
        <f>VLOOKUP($E1168,'NI-Ric_SP'!$C:$AN,MID(X$1,1,2),FALSE)</f>
        <v>0</v>
      </c>
      <c r="Y1168" s="55">
        <f>VLOOKUP($E1168,'NI-Ric_SP'!$C:$AN,MID(Y$1,1,2),FALSE)</f>
        <v>0</v>
      </c>
      <c r="Z1168" s="55">
        <f>VLOOKUP($E1168,'NI-Ric_SP'!$C:$AN,MID(Z$1,1,2),FALSE)</f>
        <v>0</v>
      </c>
      <c r="AA1168" s="55">
        <f>VLOOKUP($E1168,'NI-Ric_SP'!$C:$AN,MID(AA$1,1,2),FALSE)</f>
        <v>0</v>
      </c>
      <c r="AB1168" s="55">
        <f>VLOOKUP($E1168,'NI-Ric_SP'!$C:$AN,MID(AB$1,1,2),FALSE)</f>
        <v>0</v>
      </c>
      <c r="AC1168" s="55">
        <f>VLOOKUP($E1168,'NI-Ric_SP'!$C:$AN,MID(AC$1,1,2),FALSE)</f>
        <v>0</v>
      </c>
      <c r="AD1168" s="55">
        <f>VLOOKUP($E1168,'NI-Ric_SP'!$C:$AN,MID(AD$1,1,2),FALSE)</f>
        <v>0</v>
      </c>
      <c r="AE1168" s="55">
        <f>VLOOKUP($E1168,'NI-Ric_SP'!$C:$AN,MID(AE$1,1,2),FALSE)</f>
        <v>0</v>
      </c>
      <c r="AF1168" s="55">
        <f>VLOOKUP($E1168,'NI-Ric_SP'!$C:$AN,MID(AF$1,1,2),FALSE)</f>
        <v>0</v>
      </c>
      <c r="AG1168" s="55">
        <f>VLOOKUP($E1168,'NI-Ric_SP'!$C:$AN,MID(AG$1,1,2),FALSE)</f>
        <v>0</v>
      </c>
      <c r="AH1168" s="55">
        <f>VLOOKUP($E1168,'NI-Ric_SP'!$C:$AN,MID(AH$1,1,2),FALSE)</f>
        <v>0</v>
      </c>
      <c r="AI1168" s="55">
        <f>VLOOKUP($E1168,'NI-Ric_SP'!$C:$AN,MID(AI$1,1,2),FALSE)</f>
        <v>0</v>
      </c>
      <c r="AJ1168" s="55">
        <f>VLOOKUP($E1168,'NI-Ric_SP'!$C:$AN,MID(AJ$1,1,2),FALSE)</f>
        <v>0</v>
      </c>
      <c r="AK1168" s="55">
        <f>VLOOKUP($E1168,'NI-Ric_SP'!$C:$AN,MID(AK$1,1,2),FALSE)</f>
        <v>0</v>
      </c>
      <c r="AL1168" s="55">
        <f>VLOOKUP($E1168,'NI-Ric_SP'!$C:$AN,MID(AL$1,1,2),FALSE)</f>
        <v>0</v>
      </c>
      <c r="AM1168" s="56">
        <f>VLOOKUP($E1168,'NI-Ric_SP'!$C:$AN,MID(AM$1,1,2),FALSE)</f>
        <v>0</v>
      </c>
      <c r="AN1168" s="30" t="str">
        <f t="shared" si="18"/>
        <v>20205010000000</v>
      </c>
    </row>
    <row r="1169" spans="3:40" x14ac:dyDescent="0.25">
      <c r="C1169" s="40"/>
      <c r="D1169" s="101" t="s">
        <v>1667</v>
      </c>
      <c r="E1169" s="101" t="s">
        <v>1668</v>
      </c>
      <c r="F1169" s="102" t="s">
        <v>2750</v>
      </c>
      <c r="G1169" s="52"/>
      <c r="H1169" s="52"/>
      <c r="I1169" s="52"/>
      <c r="J1169" s="52"/>
      <c r="K1169" s="59" t="s">
        <v>79</v>
      </c>
      <c r="L1169" s="52"/>
      <c r="M1169" s="52"/>
      <c r="N1169" s="52"/>
      <c r="O1169" s="52"/>
      <c r="P1169" s="76" t="s">
        <v>1669</v>
      </c>
      <c r="Q1169" s="55">
        <f>VLOOKUP(E1169,'NI-Ric_SP'!$C:$AN,12,FALSE)</f>
        <v>0</v>
      </c>
      <c r="R1169" s="55">
        <f>VLOOKUP(E1169,'NI-Ric_SP'!$C:$AN,13,FALSE)</f>
        <v>0</v>
      </c>
      <c r="S1169" s="55">
        <f>VLOOKUP(E1169,'NI-Ric_SP'!$C:$AN,31,FALSE)</f>
        <v>0</v>
      </c>
      <c r="T1169" s="55">
        <f>VLOOKUP(E1169,'NI-Ric_SP'!$C:$AN,32,FALSE)+VLOOKUP(E1169,'NI-Ric_SP'!$C:$AN,33,FALSE)</f>
        <v>0</v>
      </c>
      <c r="U1169" s="55">
        <f>VLOOKUP($E1169,'NI-Ric_SP'!$C:$AN,MID(U$1,1,2),FALSE)</f>
        <v>0</v>
      </c>
      <c r="V1169" s="55">
        <f>VLOOKUP($E1169,'NI-Ric_SP'!$C:$AN,MID(V$1,1,2),FALSE)</f>
        <v>0</v>
      </c>
      <c r="W1169" s="55">
        <f>VLOOKUP($E1169,'NI-Ric_SP'!$C:$AN,MID(W$1,1,2),FALSE)</f>
        <v>0</v>
      </c>
      <c r="X1169" s="55">
        <f>VLOOKUP($E1169,'NI-Ric_SP'!$C:$AN,MID(X$1,1,2),FALSE)</f>
        <v>0</v>
      </c>
      <c r="Y1169" s="55">
        <f>VLOOKUP($E1169,'NI-Ric_SP'!$C:$AN,MID(Y$1,1,2),FALSE)</f>
        <v>0</v>
      </c>
      <c r="Z1169" s="55">
        <f>VLOOKUP($E1169,'NI-Ric_SP'!$C:$AN,MID(Z$1,1,2),FALSE)</f>
        <v>0</v>
      </c>
      <c r="AA1169" s="55">
        <f>VLOOKUP($E1169,'NI-Ric_SP'!$C:$AN,MID(AA$1,1,2),FALSE)</f>
        <v>0</v>
      </c>
      <c r="AB1169" s="55">
        <f>VLOOKUP($E1169,'NI-Ric_SP'!$C:$AN,MID(AB$1,1,2),FALSE)</f>
        <v>0</v>
      </c>
      <c r="AC1169" s="55">
        <f>VLOOKUP($E1169,'NI-Ric_SP'!$C:$AN,MID(AC$1,1,2),FALSE)</f>
        <v>0</v>
      </c>
      <c r="AD1169" s="55">
        <f>VLOOKUP($E1169,'NI-Ric_SP'!$C:$AN,MID(AD$1,1,2),FALSE)</f>
        <v>0</v>
      </c>
      <c r="AE1169" s="55">
        <f>VLOOKUP($E1169,'NI-Ric_SP'!$C:$AN,MID(AE$1,1,2),FALSE)</f>
        <v>0</v>
      </c>
      <c r="AF1169" s="55">
        <f>VLOOKUP($E1169,'NI-Ric_SP'!$C:$AN,MID(AF$1,1,2),FALSE)</f>
        <v>0</v>
      </c>
      <c r="AG1169" s="55">
        <f>VLOOKUP($E1169,'NI-Ric_SP'!$C:$AN,MID(AG$1,1,2),FALSE)</f>
        <v>0</v>
      </c>
      <c r="AH1169" s="55">
        <f>VLOOKUP($E1169,'NI-Ric_SP'!$C:$AN,MID(AH$1,1,2),FALSE)</f>
        <v>0</v>
      </c>
      <c r="AI1169" s="55">
        <f>VLOOKUP($E1169,'NI-Ric_SP'!$C:$AN,MID(AI$1,1,2),FALSE)</f>
        <v>0</v>
      </c>
      <c r="AJ1169" s="55">
        <f>VLOOKUP($E1169,'NI-Ric_SP'!$C:$AN,MID(AJ$1,1,2),FALSE)</f>
        <v>0</v>
      </c>
      <c r="AK1169" s="55">
        <f>VLOOKUP($E1169,'NI-Ric_SP'!$C:$AN,MID(AK$1,1,2),FALSE)</f>
        <v>0</v>
      </c>
      <c r="AL1169" s="55">
        <f>VLOOKUP($E1169,'NI-Ric_SP'!$C:$AN,MID(AL$1,1,2),FALSE)</f>
        <v>0</v>
      </c>
      <c r="AM1169" s="56">
        <f>VLOOKUP($E1169,'NI-Ric_SP'!$C:$AN,MID(AM$1,1,2),FALSE)</f>
        <v>0</v>
      </c>
      <c r="AN1169" s="30" t="str">
        <f t="shared" si="18"/>
        <v>20205010010000</v>
      </c>
    </row>
    <row r="1170" spans="3:40" x14ac:dyDescent="0.25">
      <c r="C1170" s="40"/>
      <c r="D1170" s="101" t="s">
        <v>1670</v>
      </c>
      <c r="E1170" s="101" t="s">
        <v>1671</v>
      </c>
      <c r="F1170" s="102" t="s">
        <v>2750</v>
      </c>
      <c r="G1170" s="52"/>
      <c r="H1170" s="52"/>
      <c r="I1170" s="52"/>
      <c r="J1170" s="52"/>
      <c r="K1170" s="59" t="s">
        <v>79</v>
      </c>
      <c r="L1170" s="52"/>
      <c r="M1170" s="52"/>
      <c r="N1170" s="52"/>
      <c r="O1170" s="52"/>
      <c r="P1170" s="105" t="s">
        <v>1672</v>
      </c>
      <c r="Q1170" s="55">
        <f>VLOOKUP(E1170,'NI-Ric_SP'!$C:$AN,12,FALSE)</f>
        <v>0</v>
      </c>
      <c r="R1170" s="55">
        <f>VLOOKUP(E1170,'NI-Ric_SP'!$C:$AN,13,FALSE)</f>
        <v>0</v>
      </c>
      <c r="S1170" s="55">
        <f>VLOOKUP(E1170,'NI-Ric_SP'!$C:$AN,31,FALSE)</f>
        <v>0</v>
      </c>
      <c r="T1170" s="55">
        <f>VLOOKUP(E1170,'NI-Ric_SP'!$C:$AN,32,FALSE)+VLOOKUP(E1170,'NI-Ric_SP'!$C:$AN,33,FALSE)</f>
        <v>0</v>
      </c>
      <c r="U1170" s="55">
        <f>VLOOKUP($E1170,'NI-Ric_SP'!$C:$AN,MID(U$1,1,2),FALSE)</f>
        <v>0</v>
      </c>
      <c r="V1170" s="55">
        <f>VLOOKUP($E1170,'NI-Ric_SP'!$C:$AN,MID(V$1,1,2),FALSE)</f>
        <v>0</v>
      </c>
      <c r="W1170" s="55">
        <f>VLOOKUP($E1170,'NI-Ric_SP'!$C:$AN,MID(W$1,1,2),FALSE)</f>
        <v>0</v>
      </c>
      <c r="X1170" s="55">
        <f>VLOOKUP($E1170,'NI-Ric_SP'!$C:$AN,MID(X$1,1,2),FALSE)</f>
        <v>0</v>
      </c>
      <c r="Y1170" s="55">
        <f>VLOOKUP($E1170,'NI-Ric_SP'!$C:$AN,MID(Y$1,1,2),FALSE)</f>
        <v>0</v>
      </c>
      <c r="Z1170" s="55">
        <f>VLOOKUP($E1170,'NI-Ric_SP'!$C:$AN,MID(Z$1,1,2),FALSE)</f>
        <v>0</v>
      </c>
      <c r="AA1170" s="55">
        <f>VLOOKUP($E1170,'NI-Ric_SP'!$C:$AN,MID(AA$1,1,2),FALSE)</f>
        <v>0</v>
      </c>
      <c r="AB1170" s="55">
        <f>VLOOKUP($E1170,'NI-Ric_SP'!$C:$AN,MID(AB$1,1,2),FALSE)</f>
        <v>0</v>
      </c>
      <c r="AC1170" s="55">
        <f>VLOOKUP($E1170,'NI-Ric_SP'!$C:$AN,MID(AC$1,1,2),FALSE)</f>
        <v>0</v>
      </c>
      <c r="AD1170" s="55">
        <f>VLOOKUP($E1170,'NI-Ric_SP'!$C:$AN,MID(AD$1,1,2),FALSE)</f>
        <v>0</v>
      </c>
      <c r="AE1170" s="55">
        <f>VLOOKUP($E1170,'NI-Ric_SP'!$C:$AN,MID(AE$1,1,2),FALSE)</f>
        <v>0</v>
      </c>
      <c r="AF1170" s="55">
        <f>VLOOKUP($E1170,'NI-Ric_SP'!$C:$AN,MID(AF$1,1,2),FALSE)</f>
        <v>0</v>
      </c>
      <c r="AG1170" s="55">
        <f>VLOOKUP($E1170,'NI-Ric_SP'!$C:$AN,MID(AG$1,1,2),FALSE)</f>
        <v>0</v>
      </c>
      <c r="AH1170" s="55">
        <f>VLOOKUP($E1170,'NI-Ric_SP'!$C:$AN,MID(AH$1,1,2),FALSE)</f>
        <v>0</v>
      </c>
      <c r="AI1170" s="55">
        <f>VLOOKUP($E1170,'NI-Ric_SP'!$C:$AN,MID(AI$1,1,2),FALSE)</f>
        <v>0</v>
      </c>
      <c r="AJ1170" s="55">
        <f>VLOOKUP($E1170,'NI-Ric_SP'!$C:$AN,MID(AJ$1,1,2),FALSE)</f>
        <v>0</v>
      </c>
      <c r="AK1170" s="55">
        <f>VLOOKUP($E1170,'NI-Ric_SP'!$C:$AN,MID(AK$1,1,2),FALSE)</f>
        <v>0</v>
      </c>
      <c r="AL1170" s="55">
        <f>VLOOKUP($E1170,'NI-Ric_SP'!$C:$AN,MID(AL$1,1,2),FALSE)</f>
        <v>0</v>
      </c>
      <c r="AM1170" s="56">
        <f>VLOOKUP($E1170,'NI-Ric_SP'!$C:$AN,MID(AM$1,1,2),FALSE)</f>
        <v>0</v>
      </c>
      <c r="AN1170" s="30" t="str">
        <f t="shared" si="18"/>
        <v>20205010020000</v>
      </c>
    </row>
    <row r="1171" spans="3:40" x14ac:dyDescent="0.25">
      <c r="C1171" s="40"/>
      <c r="D1171" s="101" t="s">
        <v>1673</v>
      </c>
      <c r="E1171" s="101" t="s">
        <v>1674</v>
      </c>
      <c r="F1171" s="102" t="s">
        <v>2750</v>
      </c>
      <c r="G1171" s="52"/>
      <c r="H1171" s="52"/>
      <c r="I1171" s="65" t="s">
        <v>1675</v>
      </c>
      <c r="J1171" s="52" t="s">
        <v>1675</v>
      </c>
      <c r="K1171" s="59" t="s">
        <v>79</v>
      </c>
      <c r="L1171" s="52"/>
      <c r="M1171" s="52"/>
      <c r="N1171" s="52"/>
      <c r="O1171" s="52"/>
      <c r="P1171" s="106" t="s">
        <v>1676</v>
      </c>
      <c r="Q1171" s="55">
        <f>VLOOKUP(E1171,'NI-Ric_SP'!$C:$AN,12,FALSE)</f>
        <v>0</v>
      </c>
      <c r="R1171" s="55">
        <f>VLOOKUP(E1171,'NI-Ric_SP'!$C:$AN,13,FALSE)</f>
        <v>0</v>
      </c>
      <c r="S1171" s="55">
        <f>VLOOKUP(E1171,'NI-Ric_SP'!$C:$AN,31,FALSE)</f>
        <v>0</v>
      </c>
      <c r="T1171" s="55">
        <f>VLOOKUP(E1171,'NI-Ric_SP'!$C:$AN,32,FALSE)+VLOOKUP(E1171,'NI-Ric_SP'!$C:$AN,33,FALSE)</f>
        <v>0</v>
      </c>
      <c r="U1171" s="55">
        <f>VLOOKUP($E1171,'NI-Ric_SP'!$C:$AN,MID(U$1,1,2),FALSE)</f>
        <v>0</v>
      </c>
      <c r="V1171" s="55">
        <f>VLOOKUP($E1171,'NI-Ric_SP'!$C:$AN,MID(V$1,1,2),FALSE)</f>
        <v>0</v>
      </c>
      <c r="W1171" s="55">
        <f>VLOOKUP($E1171,'NI-Ric_SP'!$C:$AN,MID(W$1,1,2),FALSE)</f>
        <v>0</v>
      </c>
      <c r="X1171" s="55">
        <f>VLOOKUP($E1171,'NI-Ric_SP'!$C:$AN,MID(X$1,1,2),FALSE)</f>
        <v>0</v>
      </c>
      <c r="Y1171" s="55">
        <f>VLOOKUP($E1171,'NI-Ric_SP'!$C:$AN,MID(Y$1,1,2),FALSE)</f>
        <v>0</v>
      </c>
      <c r="Z1171" s="55">
        <f>VLOOKUP($E1171,'NI-Ric_SP'!$C:$AN,MID(Z$1,1,2),FALSE)</f>
        <v>0</v>
      </c>
      <c r="AA1171" s="55">
        <f>VLOOKUP($E1171,'NI-Ric_SP'!$C:$AN,MID(AA$1,1,2),FALSE)</f>
        <v>0</v>
      </c>
      <c r="AB1171" s="55">
        <f>VLOOKUP($E1171,'NI-Ric_SP'!$C:$AN,MID(AB$1,1,2),FALSE)</f>
        <v>0</v>
      </c>
      <c r="AC1171" s="55">
        <f>VLOOKUP($E1171,'NI-Ric_SP'!$C:$AN,MID(AC$1,1,2),FALSE)</f>
        <v>0</v>
      </c>
      <c r="AD1171" s="55">
        <f>VLOOKUP($E1171,'NI-Ric_SP'!$C:$AN,MID(AD$1,1,2),FALSE)</f>
        <v>0</v>
      </c>
      <c r="AE1171" s="55">
        <f>VLOOKUP($E1171,'NI-Ric_SP'!$C:$AN,MID(AE$1,1,2),FALSE)</f>
        <v>0</v>
      </c>
      <c r="AF1171" s="55">
        <f>VLOOKUP($E1171,'NI-Ric_SP'!$C:$AN,MID(AF$1,1,2),FALSE)</f>
        <v>0</v>
      </c>
      <c r="AG1171" s="55">
        <f>VLOOKUP($E1171,'NI-Ric_SP'!$C:$AN,MID(AG$1,1,2),FALSE)</f>
        <v>0</v>
      </c>
      <c r="AH1171" s="55">
        <f>VLOOKUP($E1171,'NI-Ric_SP'!$C:$AN,MID(AH$1,1,2),FALSE)</f>
        <v>0</v>
      </c>
      <c r="AI1171" s="55">
        <f>VLOOKUP($E1171,'NI-Ric_SP'!$C:$AN,MID(AI$1,1,2),FALSE)</f>
        <v>0</v>
      </c>
      <c r="AJ1171" s="55">
        <f>VLOOKUP($E1171,'NI-Ric_SP'!$C:$AN,MID(AJ$1,1,2),FALSE)</f>
        <v>0</v>
      </c>
      <c r="AK1171" s="55">
        <f>VLOOKUP($E1171,'NI-Ric_SP'!$C:$AN,MID(AK$1,1,2),FALSE)</f>
        <v>0</v>
      </c>
      <c r="AL1171" s="55">
        <f>VLOOKUP($E1171,'NI-Ric_SP'!$C:$AN,MID(AL$1,1,2),FALSE)</f>
        <v>0</v>
      </c>
      <c r="AM1171" s="56">
        <f>VLOOKUP($E1171,'NI-Ric_SP'!$C:$AN,MID(AM$1,1,2),FALSE)</f>
        <v>0</v>
      </c>
      <c r="AN1171" s="30" t="str">
        <f t="shared" si="18"/>
        <v>20205020000000</v>
      </c>
    </row>
    <row r="1172" spans="3:40" x14ac:dyDescent="0.25">
      <c r="C1172" s="40"/>
      <c r="D1172" s="101" t="s">
        <v>1677</v>
      </c>
      <c r="E1172" s="101" t="s">
        <v>1678</v>
      </c>
      <c r="F1172" s="102" t="s">
        <v>2750</v>
      </c>
      <c r="G1172" s="52"/>
      <c r="H1172" s="52"/>
      <c r="I1172" s="52" t="s">
        <v>1679</v>
      </c>
      <c r="J1172" s="52" t="s">
        <v>1679</v>
      </c>
      <c r="K1172" s="59" t="s">
        <v>79</v>
      </c>
      <c r="L1172" s="52"/>
      <c r="M1172" s="52"/>
      <c r="N1172" s="52"/>
      <c r="O1172" s="52"/>
      <c r="P1172" s="106" t="s">
        <v>1680</v>
      </c>
      <c r="Q1172" s="55">
        <f>VLOOKUP(E1172,'NI-Ric_SP'!$C:$AN,12,FALSE)</f>
        <v>0</v>
      </c>
      <c r="R1172" s="55">
        <f>VLOOKUP(E1172,'NI-Ric_SP'!$C:$AN,13,FALSE)</f>
        <v>0</v>
      </c>
      <c r="S1172" s="55">
        <f>VLOOKUP(E1172,'NI-Ric_SP'!$C:$AN,31,FALSE)</f>
        <v>0</v>
      </c>
      <c r="T1172" s="55">
        <f>VLOOKUP(E1172,'NI-Ric_SP'!$C:$AN,32,FALSE)+VLOOKUP(E1172,'NI-Ric_SP'!$C:$AN,33,FALSE)</f>
        <v>0</v>
      </c>
      <c r="U1172" s="55">
        <f>VLOOKUP($E1172,'NI-Ric_SP'!$C:$AN,MID(U$1,1,2),FALSE)</f>
        <v>0</v>
      </c>
      <c r="V1172" s="55">
        <f>VLOOKUP($E1172,'NI-Ric_SP'!$C:$AN,MID(V$1,1,2),FALSE)</f>
        <v>0</v>
      </c>
      <c r="W1172" s="55">
        <f>VLOOKUP($E1172,'NI-Ric_SP'!$C:$AN,MID(W$1,1,2),FALSE)</f>
        <v>0</v>
      </c>
      <c r="X1172" s="55">
        <f>VLOOKUP($E1172,'NI-Ric_SP'!$C:$AN,MID(X$1,1,2),FALSE)</f>
        <v>0</v>
      </c>
      <c r="Y1172" s="55">
        <f>VLOOKUP($E1172,'NI-Ric_SP'!$C:$AN,MID(Y$1,1,2),FALSE)</f>
        <v>0</v>
      </c>
      <c r="Z1172" s="55">
        <f>VLOOKUP($E1172,'NI-Ric_SP'!$C:$AN,MID(Z$1,1,2),FALSE)</f>
        <v>0</v>
      </c>
      <c r="AA1172" s="55">
        <f>VLOOKUP($E1172,'NI-Ric_SP'!$C:$AN,MID(AA$1,1,2),FALSE)</f>
        <v>0</v>
      </c>
      <c r="AB1172" s="55">
        <f>VLOOKUP($E1172,'NI-Ric_SP'!$C:$AN,MID(AB$1,1,2),FALSE)</f>
        <v>0</v>
      </c>
      <c r="AC1172" s="55">
        <f>VLOOKUP($E1172,'NI-Ric_SP'!$C:$AN,MID(AC$1,1,2),FALSE)</f>
        <v>0</v>
      </c>
      <c r="AD1172" s="55">
        <f>VLOOKUP($E1172,'NI-Ric_SP'!$C:$AN,MID(AD$1,1,2),FALSE)</f>
        <v>0</v>
      </c>
      <c r="AE1172" s="55">
        <f>VLOOKUP($E1172,'NI-Ric_SP'!$C:$AN,MID(AE$1,1,2),FALSE)</f>
        <v>0</v>
      </c>
      <c r="AF1172" s="55">
        <f>VLOOKUP($E1172,'NI-Ric_SP'!$C:$AN,MID(AF$1,1,2),FALSE)</f>
        <v>0</v>
      </c>
      <c r="AG1172" s="55">
        <f>VLOOKUP($E1172,'NI-Ric_SP'!$C:$AN,MID(AG$1,1,2),FALSE)</f>
        <v>0</v>
      </c>
      <c r="AH1172" s="55">
        <f>VLOOKUP($E1172,'NI-Ric_SP'!$C:$AN,MID(AH$1,1,2),FALSE)</f>
        <v>0</v>
      </c>
      <c r="AI1172" s="55">
        <f>VLOOKUP($E1172,'NI-Ric_SP'!$C:$AN,MID(AI$1,1,2),FALSE)</f>
        <v>0</v>
      </c>
      <c r="AJ1172" s="55">
        <f>VLOOKUP($E1172,'NI-Ric_SP'!$C:$AN,MID(AJ$1,1,2),FALSE)</f>
        <v>0</v>
      </c>
      <c r="AK1172" s="55">
        <f>VLOOKUP($E1172,'NI-Ric_SP'!$C:$AN,MID(AK$1,1,2),FALSE)</f>
        <v>0</v>
      </c>
      <c r="AL1172" s="55">
        <f>VLOOKUP($E1172,'NI-Ric_SP'!$C:$AN,MID(AL$1,1,2),FALSE)</f>
        <v>0</v>
      </c>
      <c r="AM1172" s="56">
        <f>VLOOKUP($E1172,'NI-Ric_SP'!$C:$AN,MID(AM$1,1,2),FALSE)</f>
        <v>0</v>
      </c>
      <c r="AN1172" s="30" t="str">
        <f t="shared" si="18"/>
        <v>20205030000000</v>
      </c>
    </row>
    <row r="1173" spans="3:40" x14ac:dyDescent="0.25">
      <c r="C1173" s="40"/>
      <c r="D1173" s="101" t="s">
        <v>1681</v>
      </c>
      <c r="E1173" s="101" t="s">
        <v>1682</v>
      </c>
      <c r="F1173" s="102" t="s">
        <v>2750</v>
      </c>
      <c r="G1173" s="52"/>
      <c r="H1173" s="52"/>
      <c r="I1173" s="52" t="s">
        <v>1683</v>
      </c>
      <c r="J1173" s="52" t="s">
        <v>1683</v>
      </c>
      <c r="K1173" s="59" t="s">
        <v>79</v>
      </c>
      <c r="L1173" s="62" t="s">
        <v>1684</v>
      </c>
      <c r="M1173" s="52"/>
      <c r="N1173" s="52"/>
      <c r="O1173" s="61" t="s">
        <v>1685</v>
      </c>
      <c r="P1173" s="60" t="s">
        <v>1686</v>
      </c>
      <c r="Q1173" s="55">
        <f>VLOOKUP(E1173,'NI-Ric_SP'!$C:$AN,12,FALSE)</f>
        <v>0</v>
      </c>
      <c r="R1173" s="55">
        <f>VLOOKUP(E1173,'NI-Ric_SP'!$C:$AN,13,FALSE)</f>
        <v>0</v>
      </c>
      <c r="S1173" s="55">
        <f>VLOOKUP(E1173,'NI-Ric_SP'!$C:$AN,31,FALSE)</f>
        <v>0</v>
      </c>
      <c r="T1173" s="55">
        <f>VLOOKUP(E1173,'NI-Ric_SP'!$C:$AN,32,FALSE)+VLOOKUP(E1173,'NI-Ric_SP'!$C:$AN,33,FALSE)</f>
        <v>0</v>
      </c>
      <c r="U1173" s="55">
        <f>VLOOKUP($E1173,'NI-Ric_SP'!$C:$AN,MID(U$1,1,2),FALSE)</f>
        <v>0</v>
      </c>
      <c r="V1173" s="55">
        <f>VLOOKUP($E1173,'NI-Ric_SP'!$C:$AN,MID(V$1,1,2),FALSE)</f>
        <v>0</v>
      </c>
      <c r="W1173" s="55">
        <f>VLOOKUP($E1173,'NI-Ric_SP'!$C:$AN,MID(W$1,1,2),FALSE)</f>
        <v>0</v>
      </c>
      <c r="X1173" s="55">
        <f>VLOOKUP($E1173,'NI-Ric_SP'!$C:$AN,MID(X$1,1,2),FALSE)</f>
        <v>0</v>
      </c>
      <c r="Y1173" s="55">
        <f>VLOOKUP($E1173,'NI-Ric_SP'!$C:$AN,MID(Y$1,1,2),FALSE)</f>
        <v>0</v>
      </c>
      <c r="Z1173" s="55">
        <f>VLOOKUP($E1173,'NI-Ric_SP'!$C:$AN,MID(Z$1,1,2),FALSE)</f>
        <v>0</v>
      </c>
      <c r="AA1173" s="55">
        <f>VLOOKUP($E1173,'NI-Ric_SP'!$C:$AN,MID(AA$1,1,2),FALSE)</f>
        <v>0</v>
      </c>
      <c r="AB1173" s="55">
        <f>VLOOKUP($E1173,'NI-Ric_SP'!$C:$AN,MID(AB$1,1,2),FALSE)</f>
        <v>0</v>
      </c>
      <c r="AC1173" s="55">
        <f>VLOOKUP($E1173,'NI-Ric_SP'!$C:$AN,MID(AC$1,1,2),FALSE)</f>
        <v>0</v>
      </c>
      <c r="AD1173" s="55">
        <f>VLOOKUP($E1173,'NI-Ric_SP'!$C:$AN,MID(AD$1,1,2),FALSE)</f>
        <v>0</v>
      </c>
      <c r="AE1173" s="55">
        <f>VLOOKUP($E1173,'NI-Ric_SP'!$C:$AN,MID(AE$1,1,2),FALSE)</f>
        <v>0</v>
      </c>
      <c r="AF1173" s="55">
        <f>VLOOKUP($E1173,'NI-Ric_SP'!$C:$AN,MID(AF$1,1,2),FALSE)</f>
        <v>0</v>
      </c>
      <c r="AG1173" s="55">
        <f>VLOOKUP($E1173,'NI-Ric_SP'!$C:$AN,MID(AG$1,1,2),FALSE)</f>
        <v>0</v>
      </c>
      <c r="AH1173" s="55">
        <f>VLOOKUP($E1173,'NI-Ric_SP'!$C:$AN,MID(AH$1,1,2),FALSE)</f>
        <v>0</v>
      </c>
      <c r="AI1173" s="55">
        <f>VLOOKUP($E1173,'NI-Ric_SP'!$C:$AN,MID(AI$1,1,2),FALSE)</f>
        <v>0</v>
      </c>
      <c r="AJ1173" s="55">
        <f>VLOOKUP($E1173,'NI-Ric_SP'!$C:$AN,MID(AJ$1,1,2),FALSE)</f>
        <v>0</v>
      </c>
      <c r="AK1173" s="55">
        <f>VLOOKUP($E1173,'NI-Ric_SP'!$C:$AN,MID(AK$1,1,2),FALSE)</f>
        <v>0</v>
      </c>
      <c r="AL1173" s="55">
        <f>VLOOKUP($E1173,'NI-Ric_SP'!$C:$AN,MID(AL$1,1,2),FALSE)</f>
        <v>0</v>
      </c>
      <c r="AM1173" s="56">
        <f>VLOOKUP($E1173,'NI-Ric_SP'!$C:$AN,MID(AM$1,1,2),FALSE)</f>
        <v>0</v>
      </c>
      <c r="AN1173" s="30" t="str">
        <f t="shared" si="18"/>
        <v>20206000000000</v>
      </c>
    </row>
    <row r="1174" spans="3:40" x14ac:dyDescent="0.25">
      <c r="C1174" s="40"/>
      <c r="D1174" s="101" t="s">
        <v>1687</v>
      </c>
      <c r="E1174" s="101" t="s">
        <v>1688</v>
      </c>
      <c r="F1174" s="102" t="s">
        <v>2750</v>
      </c>
      <c r="G1174" s="52"/>
      <c r="H1174" s="52"/>
      <c r="I1174" s="65"/>
      <c r="J1174" s="52"/>
      <c r="K1174" s="59" t="s">
        <v>111</v>
      </c>
      <c r="L1174" s="62" t="s">
        <v>1689</v>
      </c>
      <c r="M1174" s="52"/>
      <c r="N1174" s="52"/>
      <c r="O1174" s="61"/>
      <c r="P1174" s="60" t="s">
        <v>1690</v>
      </c>
      <c r="Q1174" s="55">
        <f>VLOOKUP(E1174,'NI-Ric_SP'!$C:$AN,12,FALSE)</f>
        <v>0</v>
      </c>
      <c r="R1174" s="55">
        <f>VLOOKUP(E1174,'NI-Ric_SP'!$C:$AN,13,FALSE)</f>
        <v>0</v>
      </c>
      <c r="S1174" s="55">
        <f>VLOOKUP(E1174,'NI-Ric_SP'!$C:$AN,31,FALSE)</f>
        <v>0</v>
      </c>
      <c r="T1174" s="55">
        <f>VLOOKUP(E1174,'NI-Ric_SP'!$C:$AN,32,FALSE)+VLOOKUP(E1174,'NI-Ric_SP'!$C:$AN,33,FALSE)</f>
        <v>0</v>
      </c>
      <c r="U1174" s="55">
        <f>VLOOKUP($E1174,'NI-Ric_SP'!$C:$AN,MID(U$1,1,2),FALSE)</f>
        <v>0</v>
      </c>
      <c r="V1174" s="55">
        <f>VLOOKUP($E1174,'NI-Ric_SP'!$C:$AN,MID(V$1,1,2),FALSE)</f>
        <v>0</v>
      </c>
      <c r="W1174" s="55">
        <f>VLOOKUP($E1174,'NI-Ric_SP'!$C:$AN,MID(W$1,1,2),FALSE)</f>
        <v>0</v>
      </c>
      <c r="X1174" s="55">
        <f>VLOOKUP($E1174,'NI-Ric_SP'!$C:$AN,MID(X$1,1,2),FALSE)</f>
        <v>0</v>
      </c>
      <c r="Y1174" s="55">
        <f>VLOOKUP($E1174,'NI-Ric_SP'!$C:$AN,MID(Y$1,1,2),FALSE)</f>
        <v>0</v>
      </c>
      <c r="Z1174" s="55">
        <f>VLOOKUP($E1174,'NI-Ric_SP'!$C:$AN,MID(Z$1,1,2),FALSE)</f>
        <v>0</v>
      </c>
      <c r="AA1174" s="55">
        <f>VLOOKUP($E1174,'NI-Ric_SP'!$C:$AN,MID(AA$1,1,2),FALSE)</f>
        <v>0</v>
      </c>
      <c r="AB1174" s="55">
        <f>VLOOKUP($E1174,'NI-Ric_SP'!$C:$AN,MID(AB$1,1,2),FALSE)</f>
        <v>0</v>
      </c>
      <c r="AC1174" s="55">
        <f>VLOOKUP($E1174,'NI-Ric_SP'!$C:$AN,MID(AC$1,1,2),FALSE)</f>
        <v>0</v>
      </c>
      <c r="AD1174" s="55">
        <f>VLOOKUP($E1174,'NI-Ric_SP'!$C:$AN,MID(AD$1,1,2),FALSE)</f>
        <v>0</v>
      </c>
      <c r="AE1174" s="55">
        <f>VLOOKUP($E1174,'NI-Ric_SP'!$C:$AN,MID(AE$1,1,2),FALSE)</f>
        <v>0</v>
      </c>
      <c r="AF1174" s="55">
        <f>VLOOKUP($E1174,'NI-Ric_SP'!$C:$AN,MID(AF$1,1,2),FALSE)</f>
        <v>0</v>
      </c>
      <c r="AG1174" s="55">
        <f>VLOOKUP($E1174,'NI-Ric_SP'!$C:$AN,MID(AG$1,1,2),FALSE)</f>
        <v>0</v>
      </c>
      <c r="AH1174" s="55">
        <f>VLOOKUP($E1174,'NI-Ric_SP'!$C:$AN,MID(AH$1,1,2),FALSE)</f>
        <v>0</v>
      </c>
      <c r="AI1174" s="55">
        <f>VLOOKUP($E1174,'NI-Ric_SP'!$C:$AN,MID(AI$1,1,2),FALSE)</f>
        <v>0</v>
      </c>
      <c r="AJ1174" s="55">
        <f>VLOOKUP($E1174,'NI-Ric_SP'!$C:$AN,MID(AJ$1,1,2),FALSE)</f>
        <v>0</v>
      </c>
      <c r="AK1174" s="55">
        <f>VLOOKUP($E1174,'NI-Ric_SP'!$C:$AN,MID(AK$1,1,2),FALSE)</f>
        <v>0</v>
      </c>
      <c r="AL1174" s="55">
        <f>VLOOKUP($E1174,'NI-Ric_SP'!$C:$AN,MID(AL$1,1,2),FALSE)</f>
        <v>0</v>
      </c>
      <c r="AM1174" s="56">
        <f>VLOOKUP($E1174,'NI-Ric_SP'!$C:$AN,MID(AM$1,1,2),FALSE)</f>
        <v>0</v>
      </c>
      <c r="AN1174" s="30" t="str">
        <f t="shared" si="18"/>
        <v>20207000000000</v>
      </c>
    </row>
    <row r="1175" spans="3:40" x14ac:dyDescent="0.25">
      <c r="C1175" s="40"/>
      <c r="D1175" s="101" t="s">
        <v>1691</v>
      </c>
      <c r="E1175" s="101" t="s">
        <v>1692</v>
      </c>
      <c r="F1175" s="102" t="s">
        <v>2750</v>
      </c>
      <c r="G1175" s="52"/>
      <c r="H1175" s="52"/>
      <c r="I1175" s="52"/>
      <c r="J1175" s="52"/>
      <c r="K1175" s="59" t="s">
        <v>79</v>
      </c>
      <c r="L1175" s="52"/>
      <c r="M1175" s="52"/>
      <c r="N1175" s="52"/>
      <c r="O1175" s="61"/>
      <c r="P1175" s="63" t="s">
        <v>1693</v>
      </c>
      <c r="Q1175" s="55">
        <f>VLOOKUP(E1175,'NI-Ric_SP'!$C:$AN,12,FALSE)</f>
        <v>0</v>
      </c>
      <c r="R1175" s="55">
        <f>VLOOKUP(E1175,'NI-Ric_SP'!$C:$AN,13,FALSE)</f>
        <v>0</v>
      </c>
      <c r="S1175" s="55">
        <f>VLOOKUP(E1175,'NI-Ric_SP'!$C:$AN,31,FALSE)</f>
        <v>0</v>
      </c>
      <c r="T1175" s="55">
        <f>VLOOKUP(E1175,'NI-Ric_SP'!$C:$AN,32,FALSE)+VLOOKUP(E1175,'NI-Ric_SP'!$C:$AN,33,FALSE)</f>
        <v>0</v>
      </c>
      <c r="U1175" s="55">
        <f>VLOOKUP($E1175,'NI-Ric_SP'!$C:$AN,MID(U$1,1,2),FALSE)</f>
        <v>0</v>
      </c>
      <c r="V1175" s="55">
        <f>VLOOKUP($E1175,'NI-Ric_SP'!$C:$AN,MID(V$1,1,2),FALSE)</f>
        <v>0</v>
      </c>
      <c r="W1175" s="55">
        <f>VLOOKUP($E1175,'NI-Ric_SP'!$C:$AN,MID(W$1,1,2),FALSE)</f>
        <v>0</v>
      </c>
      <c r="X1175" s="55">
        <f>VLOOKUP($E1175,'NI-Ric_SP'!$C:$AN,MID(X$1,1,2),FALSE)</f>
        <v>0</v>
      </c>
      <c r="Y1175" s="55">
        <f>VLOOKUP($E1175,'NI-Ric_SP'!$C:$AN,MID(Y$1,1,2),FALSE)</f>
        <v>0</v>
      </c>
      <c r="Z1175" s="55">
        <f>VLOOKUP($E1175,'NI-Ric_SP'!$C:$AN,MID(Z$1,1,2),FALSE)</f>
        <v>0</v>
      </c>
      <c r="AA1175" s="55">
        <f>VLOOKUP($E1175,'NI-Ric_SP'!$C:$AN,MID(AA$1,1,2),FALSE)</f>
        <v>0</v>
      </c>
      <c r="AB1175" s="55">
        <f>VLOOKUP($E1175,'NI-Ric_SP'!$C:$AN,MID(AB$1,1,2),FALSE)</f>
        <v>0</v>
      </c>
      <c r="AC1175" s="55">
        <f>VLOOKUP($E1175,'NI-Ric_SP'!$C:$AN,MID(AC$1,1,2),FALSE)</f>
        <v>0</v>
      </c>
      <c r="AD1175" s="55">
        <f>VLOOKUP($E1175,'NI-Ric_SP'!$C:$AN,MID(AD$1,1,2),FALSE)</f>
        <v>0</v>
      </c>
      <c r="AE1175" s="55">
        <f>VLOOKUP($E1175,'NI-Ric_SP'!$C:$AN,MID(AE$1,1,2),FALSE)</f>
        <v>0</v>
      </c>
      <c r="AF1175" s="55">
        <f>VLOOKUP($E1175,'NI-Ric_SP'!$C:$AN,MID(AF$1,1,2),FALSE)</f>
        <v>0</v>
      </c>
      <c r="AG1175" s="55">
        <f>VLOOKUP($E1175,'NI-Ric_SP'!$C:$AN,MID(AG$1,1,2),FALSE)</f>
        <v>0</v>
      </c>
      <c r="AH1175" s="55">
        <f>VLOOKUP($E1175,'NI-Ric_SP'!$C:$AN,MID(AH$1,1,2),FALSE)</f>
        <v>0</v>
      </c>
      <c r="AI1175" s="55">
        <f>VLOOKUP($E1175,'NI-Ric_SP'!$C:$AN,MID(AI$1,1,2),FALSE)</f>
        <v>0</v>
      </c>
      <c r="AJ1175" s="55">
        <f>VLOOKUP($E1175,'NI-Ric_SP'!$C:$AN,MID(AJ$1,1,2),FALSE)</f>
        <v>0</v>
      </c>
      <c r="AK1175" s="55">
        <f>VLOOKUP($E1175,'NI-Ric_SP'!$C:$AN,MID(AK$1,1,2),FALSE)</f>
        <v>0</v>
      </c>
      <c r="AL1175" s="55">
        <f>VLOOKUP($E1175,'NI-Ric_SP'!$C:$AN,MID(AL$1,1,2),FALSE)</f>
        <v>0</v>
      </c>
      <c r="AM1175" s="56">
        <f>VLOOKUP($E1175,'NI-Ric_SP'!$C:$AN,MID(AM$1,1,2),FALSE)</f>
        <v>0</v>
      </c>
      <c r="AN1175" s="30" t="str">
        <f t="shared" si="18"/>
        <v>20207010000000</v>
      </c>
    </row>
    <row r="1176" spans="3:40" x14ac:dyDescent="0.25">
      <c r="C1176" s="40"/>
      <c r="D1176" s="101" t="s">
        <v>1694</v>
      </c>
      <c r="E1176" s="101" t="s">
        <v>1695</v>
      </c>
      <c r="F1176" s="102" t="s">
        <v>2750</v>
      </c>
      <c r="G1176" s="52"/>
      <c r="H1176" s="52"/>
      <c r="I1176" s="52" t="s">
        <v>1696</v>
      </c>
      <c r="J1176" s="52" t="s">
        <v>1696</v>
      </c>
      <c r="K1176" s="59" t="s">
        <v>79</v>
      </c>
      <c r="L1176" s="52"/>
      <c r="M1176" s="52"/>
      <c r="N1176" s="52"/>
      <c r="O1176" s="61" t="s">
        <v>1697</v>
      </c>
      <c r="P1176" s="63" t="s">
        <v>1698</v>
      </c>
      <c r="Q1176" s="55">
        <f>VLOOKUP(E1176,'NI-Ric_SP'!$C:$AN,12,FALSE)</f>
        <v>0</v>
      </c>
      <c r="R1176" s="55">
        <f>VLOOKUP(E1176,'NI-Ric_SP'!$C:$AN,13,FALSE)</f>
        <v>0</v>
      </c>
      <c r="S1176" s="55">
        <f>VLOOKUP(E1176,'NI-Ric_SP'!$C:$AN,31,FALSE)</f>
        <v>0</v>
      </c>
      <c r="T1176" s="55">
        <f>VLOOKUP(E1176,'NI-Ric_SP'!$C:$AN,32,FALSE)+VLOOKUP(E1176,'NI-Ric_SP'!$C:$AN,33,FALSE)</f>
        <v>0</v>
      </c>
      <c r="U1176" s="55">
        <f>VLOOKUP($E1176,'NI-Ric_SP'!$C:$AN,MID(U$1,1,2),FALSE)</f>
        <v>0</v>
      </c>
      <c r="V1176" s="55">
        <f>VLOOKUP($E1176,'NI-Ric_SP'!$C:$AN,MID(V$1,1,2),FALSE)</f>
        <v>0</v>
      </c>
      <c r="W1176" s="55">
        <f>VLOOKUP($E1176,'NI-Ric_SP'!$C:$AN,MID(W$1,1,2),FALSE)</f>
        <v>0</v>
      </c>
      <c r="X1176" s="55">
        <f>VLOOKUP($E1176,'NI-Ric_SP'!$C:$AN,MID(X$1,1,2),FALSE)</f>
        <v>0</v>
      </c>
      <c r="Y1176" s="55">
        <f>VLOOKUP($E1176,'NI-Ric_SP'!$C:$AN,MID(Y$1,1,2),FALSE)</f>
        <v>0</v>
      </c>
      <c r="Z1176" s="55">
        <f>VLOOKUP($E1176,'NI-Ric_SP'!$C:$AN,MID(Z$1,1,2),FALSE)</f>
        <v>0</v>
      </c>
      <c r="AA1176" s="55">
        <f>VLOOKUP($E1176,'NI-Ric_SP'!$C:$AN,MID(AA$1,1,2),FALSE)</f>
        <v>0</v>
      </c>
      <c r="AB1176" s="55">
        <f>VLOOKUP($E1176,'NI-Ric_SP'!$C:$AN,MID(AB$1,1,2),FALSE)</f>
        <v>0</v>
      </c>
      <c r="AC1176" s="55">
        <f>VLOOKUP($E1176,'NI-Ric_SP'!$C:$AN,MID(AC$1,1,2),FALSE)</f>
        <v>0</v>
      </c>
      <c r="AD1176" s="55">
        <f>VLOOKUP($E1176,'NI-Ric_SP'!$C:$AN,MID(AD$1,1,2),FALSE)</f>
        <v>0</v>
      </c>
      <c r="AE1176" s="55">
        <f>VLOOKUP($E1176,'NI-Ric_SP'!$C:$AN,MID(AE$1,1,2),FALSE)</f>
        <v>0</v>
      </c>
      <c r="AF1176" s="55">
        <f>VLOOKUP($E1176,'NI-Ric_SP'!$C:$AN,MID(AF$1,1,2),FALSE)</f>
        <v>0</v>
      </c>
      <c r="AG1176" s="55">
        <f>VLOOKUP($E1176,'NI-Ric_SP'!$C:$AN,MID(AG$1,1,2),FALSE)</f>
        <v>0</v>
      </c>
      <c r="AH1176" s="55">
        <f>VLOOKUP($E1176,'NI-Ric_SP'!$C:$AN,MID(AH$1,1,2),FALSE)</f>
        <v>0</v>
      </c>
      <c r="AI1176" s="55">
        <f>VLOOKUP($E1176,'NI-Ric_SP'!$C:$AN,MID(AI$1,1,2),FALSE)</f>
        <v>0</v>
      </c>
      <c r="AJ1176" s="55">
        <f>VLOOKUP($E1176,'NI-Ric_SP'!$C:$AN,MID(AJ$1,1,2),FALSE)</f>
        <v>0</v>
      </c>
      <c r="AK1176" s="55">
        <f>VLOOKUP($E1176,'NI-Ric_SP'!$C:$AN,MID(AK$1,1,2),FALSE)</f>
        <v>0</v>
      </c>
      <c r="AL1176" s="55">
        <f>VLOOKUP($E1176,'NI-Ric_SP'!$C:$AN,MID(AL$1,1,2),FALSE)</f>
        <v>0</v>
      </c>
      <c r="AM1176" s="56">
        <f>VLOOKUP($E1176,'NI-Ric_SP'!$C:$AN,MID(AM$1,1,2),FALSE)</f>
        <v>0</v>
      </c>
      <c r="AN1176" s="30" t="str">
        <f t="shared" si="18"/>
        <v>20207010010000</v>
      </c>
    </row>
    <row r="1177" spans="3:40" x14ac:dyDescent="0.25">
      <c r="C1177" s="40"/>
      <c r="D1177" s="101" t="s">
        <v>1437</v>
      </c>
      <c r="E1177" s="101" t="s">
        <v>1699</v>
      </c>
      <c r="F1177" s="102" t="s">
        <v>2750</v>
      </c>
      <c r="G1177" s="52"/>
      <c r="H1177" s="52"/>
      <c r="I1177" s="52" t="s">
        <v>1696</v>
      </c>
      <c r="J1177" s="52" t="s">
        <v>1696</v>
      </c>
      <c r="K1177" s="59" t="s">
        <v>79</v>
      </c>
      <c r="L1177" s="52"/>
      <c r="M1177" s="52"/>
      <c r="N1177" s="52"/>
      <c r="O1177" s="61" t="s">
        <v>1697</v>
      </c>
      <c r="P1177" s="63" t="s">
        <v>1700</v>
      </c>
      <c r="Q1177" s="55">
        <f>VLOOKUP(E1177,'NI-Ric_SP'!$C:$AN,12,FALSE)</f>
        <v>0</v>
      </c>
      <c r="R1177" s="55">
        <f>VLOOKUP(E1177,'NI-Ric_SP'!$C:$AN,13,FALSE)</f>
        <v>0</v>
      </c>
      <c r="S1177" s="55">
        <f>VLOOKUP(E1177,'NI-Ric_SP'!$C:$AN,31,FALSE)</f>
        <v>0</v>
      </c>
      <c r="T1177" s="55">
        <f>VLOOKUP(E1177,'NI-Ric_SP'!$C:$AN,32,FALSE)+VLOOKUP(E1177,'NI-Ric_SP'!$C:$AN,33,FALSE)</f>
        <v>0</v>
      </c>
      <c r="U1177" s="55">
        <f>VLOOKUP($E1177,'NI-Ric_SP'!$C:$AN,MID(U$1,1,2),FALSE)</f>
        <v>0</v>
      </c>
      <c r="V1177" s="55">
        <f>VLOOKUP($E1177,'NI-Ric_SP'!$C:$AN,MID(V$1,1,2),FALSE)</f>
        <v>0</v>
      </c>
      <c r="W1177" s="55">
        <f>VLOOKUP($E1177,'NI-Ric_SP'!$C:$AN,MID(W$1,1,2),FALSE)</f>
        <v>0</v>
      </c>
      <c r="X1177" s="55">
        <f>VLOOKUP($E1177,'NI-Ric_SP'!$C:$AN,MID(X$1,1,2),FALSE)</f>
        <v>0</v>
      </c>
      <c r="Y1177" s="55">
        <f>VLOOKUP($E1177,'NI-Ric_SP'!$C:$AN,MID(Y$1,1,2),FALSE)</f>
        <v>0</v>
      </c>
      <c r="Z1177" s="55">
        <f>VLOOKUP($E1177,'NI-Ric_SP'!$C:$AN,MID(Z$1,1,2),FALSE)</f>
        <v>0</v>
      </c>
      <c r="AA1177" s="55">
        <f>VLOOKUP($E1177,'NI-Ric_SP'!$C:$AN,MID(AA$1,1,2),FALSE)</f>
        <v>0</v>
      </c>
      <c r="AB1177" s="55">
        <f>VLOOKUP($E1177,'NI-Ric_SP'!$C:$AN,MID(AB$1,1,2),FALSE)</f>
        <v>0</v>
      </c>
      <c r="AC1177" s="55">
        <f>VLOOKUP($E1177,'NI-Ric_SP'!$C:$AN,MID(AC$1,1,2),FALSE)</f>
        <v>0</v>
      </c>
      <c r="AD1177" s="55">
        <f>VLOOKUP($E1177,'NI-Ric_SP'!$C:$AN,MID(AD$1,1,2),FALSE)</f>
        <v>0</v>
      </c>
      <c r="AE1177" s="55">
        <f>VLOOKUP($E1177,'NI-Ric_SP'!$C:$AN,MID(AE$1,1,2),FALSE)</f>
        <v>0</v>
      </c>
      <c r="AF1177" s="55">
        <f>VLOOKUP($E1177,'NI-Ric_SP'!$C:$AN,MID(AF$1,1,2),FALSE)</f>
        <v>0</v>
      </c>
      <c r="AG1177" s="55">
        <f>VLOOKUP($E1177,'NI-Ric_SP'!$C:$AN,MID(AG$1,1,2),FALSE)</f>
        <v>0</v>
      </c>
      <c r="AH1177" s="55">
        <f>VLOOKUP($E1177,'NI-Ric_SP'!$C:$AN,MID(AH$1,1,2),FALSE)</f>
        <v>0</v>
      </c>
      <c r="AI1177" s="55">
        <f>VLOOKUP($E1177,'NI-Ric_SP'!$C:$AN,MID(AI$1,1,2),FALSE)</f>
        <v>0</v>
      </c>
      <c r="AJ1177" s="55">
        <f>VLOOKUP($E1177,'NI-Ric_SP'!$C:$AN,MID(AJ$1,1,2),FALSE)</f>
        <v>0</v>
      </c>
      <c r="AK1177" s="55">
        <f>VLOOKUP($E1177,'NI-Ric_SP'!$C:$AN,MID(AK$1,1,2),FALSE)</f>
        <v>0</v>
      </c>
      <c r="AL1177" s="55">
        <f>VLOOKUP($E1177,'NI-Ric_SP'!$C:$AN,MID(AL$1,1,2),FALSE)</f>
        <v>0</v>
      </c>
      <c r="AM1177" s="56">
        <f>VLOOKUP($E1177,'NI-Ric_SP'!$C:$AN,MID(AM$1,1,2),FALSE)</f>
        <v>0</v>
      </c>
      <c r="AN1177" s="30" t="str">
        <f t="shared" si="18"/>
        <v>20202005000000</v>
      </c>
    </row>
    <row r="1178" spans="3:40" x14ac:dyDescent="0.25">
      <c r="C1178" s="40"/>
      <c r="D1178" s="101" t="s">
        <v>1701</v>
      </c>
      <c r="E1178" s="101" t="s">
        <v>1702</v>
      </c>
      <c r="F1178" s="102" t="s">
        <v>2750</v>
      </c>
      <c r="G1178" s="52"/>
      <c r="H1178" s="52"/>
      <c r="I1178" s="52" t="s">
        <v>1703</v>
      </c>
      <c r="J1178" s="52" t="s">
        <v>1703</v>
      </c>
      <c r="K1178" s="59" t="s">
        <v>79</v>
      </c>
      <c r="L1178" s="52"/>
      <c r="M1178" s="52"/>
      <c r="N1178" s="52"/>
      <c r="O1178" s="61" t="s">
        <v>1697</v>
      </c>
      <c r="P1178" s="63" t="s">
        <v>1704</v>
      </c>
      <c r="Q1178" s="55">
        <f>VLOOKUP(E1178,'NI-Ric_SP'!$C:$AN,12,FALSE)</f>
        <v>0</v>
      </c>
      <c r="R1178" s="55">
        <f>VLOOKUP(E1178,'NI-Ric_SP'!$C:$AN,13,FALSE)</f>
        <v>0</v>
      </c>
      <c r="S1178" s="55">
        <f>VLOOKUP(E1178,'NI-Ric_SP'!$C:$AN,31,FALSE)</f>
        <v>0</v>
      </c>
      <c r="T1178" s="55">
        <f>VLOOKUP(E1178,'NI-Ric_SP'!$C:$AN,32,FALSE)+VLOOKUP(E1178,'NI-Ric_SP'!$C:$AN,33,FALSE)</f>
        <v>0</v>
      </c>
      <c r="U1178" s="55">
        <f>VLOOKUP($E1178,'NI-Ric_SP'!$C:$AN,MID(U$1,1,2),FALSE)</f>
        <v>0</v>
      </c>
      <c r="V1178" s="55">
        <f>VLOOKUP($E1178,'NI-Ric_SP'!$C:$AN,MID(V$1,1,2),FALSE)</f>
        <v>0</v>
      </c>
      <c r="W1178" s="55">
        <f>VLOOKUP($E1178,'NI-Ric_SP'!$C:$AN,MID(W$1,1,2),FALSE)</f>
        <v>0</v>
      </c>
      <c r="X1178" s="55">
        <f>VLOOKUP($E1178,'NI-Ric_SP'!$C:$AN,MID(X$1,1,2),FALSE)</f>
        <v>0</v>
      </c>
      <c r="Y1178" s="55">
        <f>VLOOKUP($E1178,'NI-Ric_SP'!$C:$AN,MID(Y$1,1,2),FALSE)</f>
        <v>0</v>
      </c>
      <c r="Z1178" s="55">
        <f>VLOOKUP($E1178,'NI-Ric_SP'!$C:$AN,MID(Z$1,1,2),FALSE)</f>
        <v>0</v>
      </c>
      <c r="AA1178" s="55">
        <f>VLOOKUP($E1178,'NI-Ric_SP'!$C:$AN,MID(AA$1,1,2),FALSE)</f>
        <v>0</v>
      </c>
      <c r="AB1178" s="55">
        <f>VLOOKUP($E1178,'NI-Ric_SP'!$C:$AN,MID(AB$1,1,2),FALSE)</f>
        <v>0</v>
      </c>
      <c r="AC1178" s="55">
        <f>VLOOKUP($E1178,'NI-Ric_SP'!$C:$AN,MID(AC$1,1,2),FALSE)</f>
        <v>0</v>
      </c>
      <c r="AD1178" s="55">
        <f>VLOOKUP($E1178,'NI-Ric_SP'!$C:$AN,MID(AD$1,1,2),FALSE)</f>
        <v>0</v>
      </c>
      <c r="AE1178" s="55">
        <f>VLOOKUP($E1178,'NI-Ric_SP'!$C:$AN,MID(AE$1,1,2),FALSE)</f>
        <v>0</v>
      </c>
      <c r="AF1178" s="55">
        <f>VLOOKUP($E1178,'NI-Ric_SP'!$C:$AN,MID(AF$1,1,2),FALSE)</f>
        <v>0</v>
      </c>
      <c r="AG1178" s="55">
        <f>VLOOKUP($E1178,'NI-Ric_SP'!$C:$AN,MID(AG$1,1,2),FALSE)</f>
        <v>0</v>
      </c>
      <c r="AH1178" s="55">
        <f>VLOOKUP($E1178,'NI-Ric_SP'!$C:$AN,MID(AH$1,1,2),FALSE)</f>
        <v>0</v>
      </c>
      <c r="AI1178" s="55">
        <f>VLOOKUP($E1178,'NI-Ric_SP'!$C:$AN,MID(AI$1,1,2),FALSE)</f>
        <v>0</v>
      </c>
      <c r="AJ1178" s="55">
        <f>VLOOKUP($E1178,'NI-Ric_SP'!$C:$AN,MID(AJ$1,1,2),FALSE)</f>
        <v>0</v>
      </c>
      <c r="AK1178" s="55">
        <f>VLOOKUP($E1178,'NI-Ric_SP'!$C:$AN,MID(AK$1,1,2),FALSE)</f>
        <v>0</v>
      </c>
      <c r="AL1178" s="55">
        <f>VLOOKUP($E1178,'NI-Ric_SP'!$C:$AN,MID(AL$1,1,2),FALSE)</f>
        <v>0</v>
      </c>
      <c r="AM1178" s="56">
        <f>VLOOKUP($E1178,'NI-Ric_SP'!$C:$AN,MID(AM$1,1,2),FALSE)</f>
        <v>0</v>
      </c>
      <c r="AN1178" s="30" t="str">
        <f t="shared" si="18"/>
        <v>20207020000000</v>
      </c>
    </row>
    <row r="1179" spans="3:40" x14ac:dyDescent="0.25">
      <c r="C1179" s="40"/>
      <c r="D1179" s="101" t="s">
        <v>1705</v>
      </c>
      <c r="E1179" s="101" t="s">
        <v>1706</v>
      </c>
      <c r="F1179" s="102" t="s">
        <v>2750</v>
      </c>
      <c r="G1179" s="52"/>
      <c r="H1179" s="52"/>
      <c r="I1179" s="52" t="s">
        <v>1707</v>
      </c>
      <c r="J1179" s="52" t="s">
        <v>1707</v>
      </c>
      <c r="K1179" s="59" t="s">
        <v>79</v>
      </c>
      <c r="L1179" s="52"/>
      <c r="M1179" s="52"/>
      <c r="N1179" s="52"/>
      <c r="O1179" s="61" t="s">
        <v>1697</v>
      </c>
      <c r="P1179" s="63" t="s">
        <v>1708</v>
      </c>
      <c r="Q1179" s="55">
        <f>VLOOKUP(E1179,'NI-Ric_SP'!$C:$AN,12,FALSE)</f>
        <v>0</v>
      </c>
      <c r="R1179" s="55">
        <f>VLOOKUP(E1179,'NI-Ric_SP'!$C:$AN,13,FALSE)</f>
        <v>0</v>
      </c>
      <c r="S1179" s="55">
        <f>VLOOKUP(E1179,'NI-Ric_SP'!$C:$AN,31,FALSE)</f>
        <v>0</v>
      </c>
      <c r="T1179" s="55">
        <f>VLOOKUP(E1179,'NI-Ric_SP'!$C:$AN,32,FALSE)+VLOOKUP(E1179,'NI-Ric_SP'!$C:$AN,33,FALSE)</f>
        <v>0</v>
      </c>
      <c r="U1179" s="55">
        <f>VLOOKUP($E1179,'NI-Ric_SP'!$C:$AN,MID(U$1,1,2),FALSE)</f>
        <v>0</v>
      </c>
      <c r="V1179" s="55">
        <f>VLOOKUP($E1179,'NI-Ric_SP'!$C:$AN,MID(V$1,1,2),FALSE)</f>
        <v>0</v>
      </c>
      <c r="W1179" s="55">
        <f>VLOOKUP($E1179,'NI-Ric_SP'!$C:$AN,MID(W$1,1,2),FALSE)</f>
        <v>0</v>
      </c>
      <c r="X1179" s="55">
        <f>VLOOKUP($E1179,'NI-Ric_SP'!$C:$AN,MID(X$1,1,2),FALSE)</f>
        <v>0</v>
      </c>
      <c r="Y1179" s="55">
        <f>VLOOKUP($E1179,'NI-Ric_SP'!$C:$AN,MID(Y$1,1,2),FALSE)</f>
        <v>0</v>
      </c>
      <c r="Z1179" s="55">
        <f>VLOOKUP($E1179,'NI-Ric_SP'!$C:$AN,MID(Z$1,1,2),FALSE)</f>
        <v>0</v>
      </c>
      <c r="AA1179" s="55">
        <f>VLOOKUP($E1179,'NI-Ric_SP'!$C:$AN,MID(AA$1,1,2),FALSE)</f>
        <v>0</v>
      </c>
      <c r="AB1179" s="55">
        <f>VLOOKUP($E1179,'NI-Ric_SP'!$C:$AN,MID(AB$1,1,2),FALSE)</f>
        <v>0</v>
      </c>
      <c r="AC1179" s="55">
        <f>VLOOKUP($E1179,'NI-Ric_SP'!$C:$AN,MID(AC$1,1,2),FALSE)</f>
        <v>0</v>
      </c>
      <c r="AD1179" s="55">
        <f>VLOOKUP($E1179,'NI-Ric_SP'!$C:$AN,MID(AD$1,1,2),FALSE)</f>
        <v>0</v>
      </c>
      <c r="AE1179" s="55">
        <f>VLOOKUP($E1179,'NI-Ric_SP'!$C:$AN,MID(AE$1,1,2),FALSE)</f>
        <v>0</v>
      </c>
      <c r="AF1179" s="55">
        <f>VLOOKUP($E1179,'NI-Ric_SP'!$C:$AN,MID(AF$1,1,2),FALSE)</f>
        <v>0</v>
      </c>
      <c r="AG1179" s="55">
        <f>VLOOKUP($E1179,'NI-Ric_SP'!$C:$AN,MID(AG$1,1,2),FALSE)</f>
        <v>0</v>
      </c>
      <c r="AH1179" s="55">
        <f>VLOOKUP($E1179,'NI-Ric_SP'!$C:$AN,MID(AH$1,1,2),FALSE)</f>
        <v>0</v>
      </c>
      <c r="AI1179" s="55">
        <f>VLOOKUP($E1179,'NI-Ric_SP'!$C:$AN,MID(AI$1,1,2),FALSE)</f>
        <v>0</v>
      </c>
      <c r="AJ1179" s="55">
        <f>VLOOKUP($E1179,'NI-Ric_SP'!$C:$AN,MID(AJ$1,1,2),FALSE)</f>
        <v>0</v>
      </c>
      <c r="AK1179" s="55">
        <f>VLOOKUP($E1179,'NI-Ric_SP'!$C:$AN,MID(AK$1,1,2),FALSE)</f>
        <v>0</v>
      </c>
      <c r="AL1179" s="55">
        <f>VLOOKUP($E1179,'NI-Ric_SP'!$C:$AN,MID(AL$1,1,2),FALSE)</f>
        <v>0</v>
      </c>
      <c r="AM1179" s="56">
        <f>VLOOKUP($E1179,'NI-Ric_SP'!$C:$AN,MID(AM$1,1,2),FALSE)</f>
        <v>0</v>
      </c>
      <c r="AN1179" s="30" t="str">
        <f t="shared" si="18"/>
        <v>20207030000000</v>
      </c>
    </row>
    <row r="1180" spans="3:40" x14ac:dyDescent="0.25">
      <c r="C1180" s="40"/>
      <c r="D1180" s="101" t="s">
        <v>1709</v>
      </c>
      <c r="E1180" s="101" t="s">
        <v>1710</v>
      </c>
      <c r="F1180" s="102" t="s">
        <v>2750</v>
      </c>
      <c r="G1180" s="52"/>
      <c r="H1180" s="52"/>
      <c r="I1180" s="52" t="s">
        <v>1711</v>
      </c>
      <c r="J1180" s="52" t="s">
        <v>1711</v>
      </c>
      <c r="K1180" s="59" t="s">
        <v>79</v>
      </c>
      <c r="L1180" s="52"/>
      <c r="M1180" s="52"/>
      <c r="N1180" s="52"/>
      <c r="O1180" s="61" t="s">
        <v>1697</v>
      </c>
      <c r="P1180" s="63" t="s">
        <v>1712</v>
      </c>
      <c r="Q1180" s="55">
        <f>VLOOKUP(E1180,'NI-Ric_SP'!$C:$AN,12,FALSE)</f>
        <v>0</v>
      </c>
      <c r="R1180" s="55">
        <f>VLOOKUP(E1180,'NI-Ric_SP'!$C:$AN,13,FALSE)</f>
        <v>0</v>
      </c>
      <c r="S1180" s="55">
        <f>VLOOKUP(E1180,'NI-Ric_SP'!$C:$AN,31,FALSE)</f>
        <v>0</v>
      </c>
      <c r="T1180" s="55">
        <f>VLOOKUP(E1180,'NI-Ric_SP'!$C:$AN,32,FALSE)+VLOOKUP(E1180,'NI-Ric_SP'!$C:$AN,33,FALSE)</f>
        <v>0</v>
      </c>
      <c r="U1180" s="55">
        <f>VLOOKUP($E1180,'NI-Ric_SP'!$C:$AN,MID(U$1,1,2),FALSE)</f>
        <v>0</v>
      </c>
      <c r="V1180" s="55">
        <f>VLOOKUP($E1180,'NI-Ric_SP'!$C:$AN,MID(V$1,1,2),FALSE)</f>
        <v>0</v>
      </c>
      <c r="W1180" s="55">
        <f>VLOOKUP($E1180,'NI-Ric_SP'!$C:$AN,MID(W$1,1,2),FALSE)</f>
        <v>0</v>
      </c>
      <c r="X1180" s="55">
        <f>VLOOKUP($E1180,'NI-Ric_SP'!$C:$AN,MID(X$1,1,2),FALSE)</f>
        <v>0</v>
      </c>
      <c r="Y1180" s="55">
        <f>VLOOKUP($E1180,'NI-Ric_SP'!$C:$AN,MID(Y$1,1,2),FALSE)</f>
        <v>0</v>
      </c>
      <c r="Z1180" s="55">
        <f>VLOOKUP($E1180,'NI-Ric_SP'!$C:$AN,MID(Z$1,1,2),FALSE)</f>
        <v>0</v>
      </c>
      <c r="AA1180" s="55">
        <f>VLOOKUP($E1180,'NI-Ric_SP'!$C:$AN,MID(AA$1,1,2),FALSE)</f>
        <v>0</v>
      </c>
      <c r="AB1180" s="55">
        <f>VLOOKUP($E1180,'NI-Ric_SP'!$C:$AN,MID(AB$1,1,2),FALSE)</f>
        <v>0</v>
      </c>
      <c r="AC1180" s="55">
        <f>VLOOKUP($E1180,'NI-Ric_SP'!$C:$AN,MID(AC$1,1,2),FALSE)</f>
        <v>0</v>
      </c>
      <c r="AD1180" s="55">
        <f>VLOOKUP($E1180,'NI-Ric_SP'!$C:$AN,MID(AD$1,1,2),FALSE)</f>
        <v>0</v>
      </c>
      <c r="AE1180" s="55">
        <f>VLOOKUP($E1180,'NI-Ric_SP'!$C:$AN,MID(AE$1,1,2),FALSE)</f>
        <v>0</v>
      </c>
      <c r="AF1180" s="55">
        <f>VLOOKUP($E1180,'NI-Ric_SP'!$C:$AN,MID(AF$1,1,2),FALSE)</f>
        <v>0</v>
      </c>
      <c r="AG1180" s="55">
        <f>VLOOKUP($E1180,'NI-Ric_SP'!$C:$AN,MID(AG$1,1,2),FALSE)</f>
        <v>0</v>
      </c>
      <c r="AH1180" s="55">
        <f>VLOOKUP($E1180,'NI-Ric_SP'!$C:$AN,MID(AH$1,1,2),FALSE)</f>
        <v>0</v>
      </c>
      <c r="AI1180" s="55">
        <f>VLOOKUP($E1180,'NI-Ric_SP'!$C:$AN,MID(AI$1,1,2),FALSE)</f>
        <v>0</v>
      </c>
      <c r="AJ1180" s="55">
        <f>VLOOKUP($E1180,'NI-Ric_SP'!$C:$AN,MID(AJ$1,1,2),FALSE)</f>
        <v>0</v>
      </c>
      <c r="AK1180" s="55">
        <f>VLOOKUP($E1180,'NI-Ric_SP'!$C:$AN,MID(AK$1,1,2),FALSE)</f>
        <v>0</v>
      </c>
      <c r="AL1180" s="55">
        <f>VLOOKUP($E1180,'NI-Ric_SP'!$C:$AN,MID(AL$1,1,2),FALSE)</f>
        <v>0</v>
      </c>
      <c r="AM1180" s="56">
        <f>VLOOKUP($E1180,'NI-Ric_SP'!$C:$AN,MID(AM$1,1,2),FALSE)</f>
        <v>0</v>
      </c>
      <c r="AN1180" s="30" t="str">
        <f t="shared" si="18"/>
        <v>20207040000000</v>
      </c>
    </row>
    <row r="1181" spans="3:40" x14ac:dyDescent="0.25">
      <c r="C1181" s="40"/>
      <c r="D1181" s="101" t="s">
        <v>1713</v>
      </c>
      <c r="E1181" s="101" t="s">
        <v>1714</v>
      </c>
      <c r="F1181" s="102" t="s">
        <v>2750</v>
      </c>
      <c r="G1181" s="52"/>
      <c r="H1181" s="52"/>
      <c r="I1181" s="52"/>
      <c r="J1181" s="79"/>
      <c r="K1181" s="59" t="s">
        <v>111</v>
      </c>
      <c r="L1181" s="52"/>
      <c r="M1181" s="52"/>
      <c r="N1181" s="52"/>
      <c r="O1181" s="52"/>
      <c r="P1181" s="63" t="s">
        <v>1715</v>
      </c>
      <c r="Q1181" s="55">
        <f>VLOOKUP(E1181,'NI-Ric_SP'!$C:$AN,12,FALSE)</f>
        <v>0</v>
      </c>
      <c r="R1181" s="55">
        <f>VLOOKUP(E1181,'NI-Ric_SP'!$C:$AN,13,FALSE)</f>
        <v>0</v>
      </c>
      <c r="S1181" s="55">
        <f>VLOOKUP(E1181,'NI-Ric_SP'!$C:$AN,31,FALSE)</f>
        <v>0</v>
      </c>
      <c r="T1181" s="55">
        <f>VLOOKUP(E1181,'NI-Ric_SP'!$C:$AN,32,FALSE)+VLOOKUP(E1181,'NI-Ric_SP'!$C:$AN,33,FALSE)</f>
        <v>0</v>
      </c>
      <c r="U1181" s="55">
        <f>VLOOKUP($E1181,'NI-Ric_SP'!$C:$AN,MID(U$1,1,2),FALSE)</f>
        <v>0</v>
      </c>
      <c r="V1181" s="55">
        <f>VLOOKUP($E1181,'NI-Ric_SP'!$C:$AN,MID(V$1,1,2),FALSE)</f>
        <v>0</v>
      </c>
      <c r="W1181" s="55">
        <f>VLOOKUP($E1181,'NI-Ric_SP'!$C:$AN,MID(W$1,1,2),FALSE)</f>
        <v>0</v>
      </c>
      <c r="X1181" s="55">
        <f>VLOOKUP($E1181,'NI-Ric_SP'!$C:$AN,MID(X$1,1,2),FALSE)</f>
        <v>0</v>
      </c>
      <c r="Y1181" s="55">
        <f>VLOOKUP($E1181,'NI-Ric_SP'!$C:$AN,MID(Y$1,1,2),FALSE)</f>
        <v>0</v>
      </c>
      <c r="Z1181" s="55">
        <f>VLOOKUP($E1181,'NI-Ric_SP'!$C:$AN,MID(Z$1,1,2),FALSE)</f>
        <v>0</v>
      </c>
      <c r="AA1181" s="55">
        <f>VLOOKUP($E1181,'NI-Ric_SP'!$C:$AN,MID(AA$1,1,2),FALSE)</f>
        <v>0</v>
      </c>
      <c r="AB1181" s="55">
        <f>VLOOKUP($E1181,'NI-Ric_SP'!$C:$AN,MID(AB$1,1,2),FALSE)</f>
        <v>0</v>
      </c>
      <c r="AC1181" s="55">
        <f>VLOOKUP($E1181,'NI-Ric_SP'!$C:$AN,MID(AC$1,1,2),FALSE)</f>
        <v>0</v>
      </c>
      <c r="AD1181" s="55">
        <f>VLOOKUP($E1181,'NI-Ric_SP'!$C:$AN,MID(AD$1,1,2),FALSE)</f>
        <v>0</v>
      </c>
      <c r="AE1181" s="55">
        <f>VLOOKUP($E1181,'NI-Ric_SP'!$C:$AN,MID(AE$1,1,2),FALSE)</f>
        <v>0</v>
      </c>
      <c r="AF1181" s="55">
        <f>VLOOKUP($E1181,'NI-Ric_SP'!$C:$AN,MID(AF$1,1,2),FALSE)</f>
        <v>0</v>
      </c>
      <c r="AG1181" s="55">
        <f>VLOOKUP($E1181,'NI-Ric_SP'!$C:$AN,MID(AG$1,1,2),FALSE)</f>
        <v>0</v>
      </c>
      <c r="AH1181" s="55">
        <f>VLOOKUP($E1181,'NI-Ric_SP'!$C:$AN,MID(AH$1,1,2),FALSE)</f>
        <v>0</v>
      </c>
      <c r="AI1181" s="55">
        <f>VLOOKUP($E1181,'NI-Ric_SP'!$C:$AN,MID(AI$1,1,2),FALSE)</f>
        <v>0</v>
      </c>
      <c r="AJ1181" s="55">
        <f>VLOOKUP($E1181,'NI-Ric_SP'!$C:$AN,MID(AJ$1,1,2),FALSE)</f>
        <v>0</v>
      </c>
      <c r="AK1181" s="55">
        <f>VLOOKUP($E1181,'NI-Ric_SP'!$C:$AN,MID(AK$1,1,2),FALSE)</f>
        <v>0</v>
      </c>
      <c r="AL1181" s="55">
        <f>VLOOKUP($E1181,'NI-Ric_SP'!$C:$AN,MID(AL$1,1,2),FALSE)</f>
        <v>0</v>
      </c>
      <c r="AM1181" s="56">
        <f>VLOOKUP($E1181,'NI-Ric_SP'!$C:$AN,MID(AM$1,1,2),FALSE)</f>
        <v>0</v>
      </c>
      <c r="AN1181" s="30" t="str">
        <f t="shared" si="18"/>
        <v>20207050000000</v>
      </c>
    </row>
    <row r="1182" spans="3:40" x14ac:dyDescent="0.25">
      <c r="C1182" s="40"/>
      <c r="D1182" s="101" t="s">
        <v>1716</v>
      </c>
      <c r="E1182" s="101" t="s">
        <v>1717</v>
      </c>
      <c r="F1182" s="102" t="s">
        <v>2750</v>
      </c>
      <c r="G1182" s="52"/>
      <c r="H1182" s="52"/>
      <c r="I1182" s="52" t="s">
        <v>1718</v>
      </c>
      <c r="J1182" s="52"/>
      <c r="K1182" s="59" t="s">
        <v>111</v>
      </c>
      <c r="L1182" s="52"/>
      <c r="M1182" s="52"/>
      <c r="N1182" s="52"/>
      <c r="O1182" s="61" t="s">
        <v>1697</v>
      </c>
      <c r="P1182" s="60" t="s">
        <v>1719</v>
      </c>
      <c r="Q1182" s="55">
        <f>VLOOKUP(E1182,'NI-Ric_SP'!$C:$AN,12,FALSE)</f>
        <v>0</v>
      </c>
      <c r="R1182" s="55">
        <f>VLOOKUP(E1182,'NI-Ric_SP'!$C:$AN,13,FALSE)</f>
        <v>0</v>
      </c>
      <c r="S1182" s="55">
        <f>VLOOKUP(E1182,'NI-Ric_SP'!$C:$AN,31,FALSE)</f>
        <v>0</v>
      </c>
      <c r="T1182" s="55">
        <f>VLOOKUP(E1182,'NI-Ric_SP'!$C:$AN,32,FALSE)+VLOOKUP(E1182,'NI-Ric_SP'!$C:$AN,33,FALSE)</f>
        <v>0</v>
      </c>
      <c r="U1182" s="55">
        <f>VLOOKUP($E1182,'NI-Ric_SP'!$C:$AN,MID(U$1,1,2),FALSE)</f>
        <v>0</v>
      </c>
      <c r="V1182" s="55">
        <f>VLOOKUP($E1182,'NI-Ric_SP'!$C:$AN,MID(V$1,1,2),FALSE)</f>
        <v>0</v>
      </c>
      <c r="W1182" s="55">
        <f>VLOOKUP($E1182,'NI-Ric_SP'!$C:$AN,MID(W$1,1,2),FALSE)</f>
        <v>0</v>
      </c>
      <c r="X1182" s="55">
        <f>VLOOKUP($E1182,'NI-Ric_SP'!$C:$AN,MID(X$1,1,2),FALSE)</f>
        <v>0</v>
      </c>
      <c r="Y1182" s="55">
        <f>VLOOKUP($E1182,'NI-Ric_SP'!$C:$AN,MID(Y$1,1,2),FALSE)</f>
        <v>0</v>
      </c>
      <c r="Z1182" s="55">
        <f>VLOOKUP($E1182,'NI-Ric_SP'!$C:$AN,MID(Z$1,1,2),FALSE)</f>
        <v>0</v>
      </c>
      <c r="AA1182" s="55">
        <f>VLOOKUP($E1182,'NI-Ric_SP'!$C:$AN,MID(AA$1,1,2),FALSE)</f>
        <v>0</v>
      </c>
      <c r="AB1182" s="55">
        <f>VLOOKUP($E1182,'NI-Ric_SP'!$C:$AN,MID(AB$1,1,2),FALSE)</f>
        <v>0</v>
      </c>
      <c r="AC1182" s="55">
        <f>VLOOKUP($E1182,'NI-Ric_SP'!$C:$AN,MID(AC$1,1,2),FALSE)</f>
        <v>0</v>
      </c>
      <c r="AD1182" s="55">
        <f>VLOOKUP($E1182,'NI-Ric_SP'!$C:$AN,MID(AD$1,1,2),FALSE)</f>
        <v>0</v>
      </c>
      <c r="AE1182" s="55">
        <f>VLOOKUP($E1182,'NI-Ric_SP'!$C:$AN,MID(AE$1,1,2),FALSE)</f>
        <v>0</v>
      </c>
      <c r="AF1182" s="55">
        <f>VLOOKUP($E1182,'NI-Ric_SP'!$C:$AN,MID(AF$1,1,2),FALSE)</f>
        <v>0</v>
      </c>
      <c r="AG1182" s="55">
        <f>VLOOKUP($E1182,'NI-Ric_SP'!$C:$AN,MID(AG$1,1,2),FALSE)</f>
        <v>0</v>
      </c>
      <c r="AH1182" s="55">
        <f>VLOOKUP($E1182,'NI-Ric_SP'!$C:$AN,MID(AH$1,1,2),FALSE)</f>
        <v>0</v>
      </c>
      <c r="AI1182" s="55">
        <f>VLOOKUP($E1182,'NI-Ric_SP'!$C:$AN,MID(AI$1,1,2),FALSE)</f>
        <v>0</v>
      </c>
      <c r="AJ1182" s="55">
        <f>VLOOKUP($E1182,'NI-Ric_SP'!$C:$AN,MID(AJ$1,1,2),FALSE)</f>
        <v>0</v>
      </c>
      <c r="AK1182" s="55">
        <f>VLOOKUP($E1182,'NI-Ric_SP'!$C:$AN,MID(AK$1,1,2),FALSE)</f>
        <v>0</v>
      </c>
      <c r="AL1182" s="55">
        <f>VLOOKUP($E1182,'NI-Ric_SP'!$C:$AN,MID(AL$1,1,2),FALSE)</f>
        <v>0</v>
      </c>
      <c r="AM1182" s="56">
        <f>VLOOKUP($E1182,'NI-Ric_SP'!$C:$AN,MID(AM$1,1,2),FALSE)</f>
        <v>0</v>
      </c>
      <c r="AN1182" s="30" t="str">
        <f t="shared" si="18"/>
        <v>20207050010000</v>
      </c>
    </row>
    <row r="1183" spans="3:40" x14ac:dyDescent="0.25">
      <c r="C1183" s="40"/>
      <c r="D1183" s="101" t="s">
        <v>1720</v>
      </c>
      <c r="E1183" s="101" t="s">
        <v>1721</v>
      </c>
      <c r="F1183" s="102" t="s">
        <v>2750</v>
      </c>
      <c r="G1183" s="52"/>
      <c r="H1183" s="52"/>
      <c r="I1183" s="52"/>
      <c r="J1183" s="52" t="s">
        <v>1722</v>
      </c>
      <c r="K1183" s="59" t="s">
        <v>79</v>
      </c>
      <c r="L1183" s="52"/>
      <c r="M1183" s="52"/>
      <c r="N1183" s="52"/>
      <c r="O1183" s="52"/>
      <c r="P1183" s="103" t="s">
        <v>1723</v>
      </c>
      <c r="Q1183" s="55">
        <f>VLOOKUP(E1183,'NI-Ric_SP'!$C:$AN,12,FALSE)</f>
        <v>0</v>
      </c>
      <c r="R1183" s="55">
        <f>VLOOKUP(E1183,'NI-Ric_SP'!$C:$AN,13,FALSE)</f>
        <v>0</v>
      </c>
      <c r="S1183" s="55">
        <f>VLOOKUP(E1183,'NI-Ric_SP'!$C:$AN,31,FALSE)</f>
        <v>0</v>
      </c>
      <c r="T1183" s="55">
        <f>VLOOKUP(E1183,'NI-Ric_SP'!$C:$AN,32,FALSE)+VLOOKUP(E1183,'NI-Ric_SP'!$C:$AN,33,FALSE)</f>
        <v>0</v>
      </c>
      <c r="U1183" s="55">
        <f>VLOOKUP($E1183,'NI-Ric_SP'!$C:$AN,MID(U$1,1,2),FALSE)</f>
        <v>0</v>
      </c>
      <c r="V1183" s="55">
        <f>VLOOKUP($E1183,'NI-Ric_SP'!$C:$AN,MID(V$1,1,2),FALSE)</f>
        <v>0</v>
      </c>
      <c r="W1183" s="55">
        <f>VLOOKUP($E1183,'NI-Ric_SP'!$C:$AN,MID(W$1,1,2),FALSE)</f>
        <v>0</v>
      </c>
      <c r="X1183" s="55">
        <f>VLOOKUP($E1183,'NI-Ric_SP'!$C:$AN,MID(X$1,1,2),FALSE)</f>
        <v>0</v>
      </c>
      <c r="Y1183" s="55">
        <f>VLOOKUP($E1183,'NI-Ric_SP'!$C:$AN,MID(Y$1,1,2),FALSE)</f>
        <v>0</v>
      </c>
      <c r="Z1183" s="55">
        <f>VLOOKUP($E1183,'NI-Ric_SP'!$C:$AN,MID(Z$1,1,2),FALSE)</f>
        <v>0</v>
      </c>
      <c r="AA1183" s="55">
        <f>VLOOKUP($E1183,'NI-Ric_SP'!$C:$AN,MID(AA$1,1,2),FALSE)</f>
        <v>0</v>
      </c>
      <c r="AB1183" s="55">
        <f>VLOOKUP($E1183,'NI-Ric_SP'!$C:$AN,MID(AB$1,1,2),FALSE)</f>
        <v>0</v>
      </c>
      <c r="AC1183" s="55">
        <f>VLOOKUP($E1183,'NI-Ric_SP'!$C:$AN,MID(AC$1,1,2),FALSE)</f>
        <v>0</v>
      </c>
      <c r="AD1183" s="55">
        <f>VLOOKUP($E1183,'NI-Ric_SP'!$C:$AN,MID(AD$1,1,2),FALSE)</f>
        <v>0</v>
      </c>
      <c r="AE1183" s="55">
        <f>VLOOKUP($E1183,'NI-Ric_SP'!$C:$AN,MID(AE$1,1,2),FALSE)</f>
        <v>0</v>
      </c>
      <c r="AF1183" s="55">
        <f>VLOOKUP($E1183,'NI-Ric_SP'!$C:$AN,MID(AF$1,1,2),FALSE)</f>
        <v>0</v>
      </c>
      <c r="AG1183" s="55">
        <f>VLOOKUP($E1183,'NI-Ric_SP'!$C:$AN,MID(AG$1,1,2),FALSE)</f>
        <v>0</v>
      </c>
      <c r="AH1183" s="55">
        <f>VLOOKUP($E1183,'NI-Ric_SP'!$C:$AN,MID(AH$1,1,2),FALSE)</f>
        <v>0</v>
      </c>
      <c r="AI1183" s="55">
        <f>VLOOKUP($E1183,'NI-Ric_SP'!$C:$AN,MID(AI$1,1,2),FALSE)</f>
        <v>0</v>
      </c>
      <c r="AJ1183" s="55">
        <f>VLOOKUP($E1183,'NI-Ric_SP'!$C:$AN,MID(AJ$1,1,2),FALSE)</f>
        <v>0</v>
      </c>
      <c r="AK1183" s="55">
        <f>VLOOKUP($E1183,'NI-Ric_SP'!$C:$AN,MID(AK$1,1,2),FALSE)</f>
        <v>0</v>
      </c>
      <c r="AL1183" s="55">
        <f>VLOOKUP($E1183,'NI-Ric_SP'!$C:$AN,MID(AL$1,1,2),FALSE)</f>
        <v>0</v>
      </c>
      <c r="AM1183" s="56">
        <f>VLOOKUP($E1183,'NI-Ric_SP'!$C:$AN,MID(AM$1,1,2),FALSE)</f>
        <v>0</v>
      </c>
      <c r="AN1183" s="30" t="str">
        <f t="shared" si="18"/>
        <v>20207050010010</v>
      </c>
    </row>
    <row r="1184" spans="3:40" x14ac:dyDescent="0.25">
      <c r="C1184" s="40"/>
      <c r="D1184" s="101" t="s">
        <v>1724</v>
      </c>
      <c r="E1184" s="101" t="s">
        <v>1725</v>
      </c>
      <c r="F1184" s="102" t="s">
        <v>2750</v>
      </c>
      <c r="G1184" s="52"/>
      <c r="H1184" s="52"/>
      <c r="I1184" s="52"/>
      <c r="J1184" s="52" t="s">
        <v>1722</v>
      </c>
      <c r="K1184" s="59" t="s">
        <v>79</v>
      </c>
      <c r="L1184" s="52"/>
      <c r="M1184" s="52"/>
      <c r="N1184" s="52"/>
      <c r="O1184" s="52"/>
      <c r="P1184" s="103" t="s">
        <v>1726</v>
      </c>
      <c r="Q1184" s="55">
        <f>VLOOKUP(E1184,'NI-Ric_SP'!$C:$AN,12,FALSE)</f>
        <v>0</v>
      </c>
      <c r="R1184" s="55">
        <f>VLOOKUP(E1184,'NI-Ric_SP'!$C:$AN,13,FALSE)</f>
        <v>0</v>
      </c>
      <c r="S1184" s="55">
        <f>VLOOKUP(E1184,'NI-Ric_SP'!$C:$AN,31,FALSE)</f>
        <v>0</v>
      </c>
      <c r="T1184" s="55">
        <f>VLOOKUP(E1184,'NI-Ric_SP'!$C:$AN,32,FALSE)+VLOOKUP(E1184,'NI-Ric_SP'!$C:$AN,33,FALSE)</f>
        <v>0</v>
      </c>
      <c r="U1184" s="55">
        <f>VLOOKUP($E1184,'NI-Ric_SP'!$C:$AN,MID(U$1,1,2),FALSE)</f>
        <v>0</v>
      </c>
      <c r="V1184" s="55">
        <f>VLOOKUP($E1184,'NI-Ric_SP'!$C:$AN,MID(V$1,1,2),FALSE)</f>
        <v>0</v>
      </c>
      <c r="W1184" s="55">
        <f>VLOOKUP($E1184,'NI-Ric_SP'!$C:$AN,MID(W$1,1,2),FALSE)</f>
        <v>0</v>
      </c>
      <c r="X1184" s="55">
        <f>VLOOKUP($E1184,'NI-Ric_SP'!$C:$AN,MID(X$1,1,2),FALSE)</f>
        <v>0</v>
      </c>
      <c r="Y1184" s="55">
        <f>VLOOKUP($E1184,'NI-Ric_SP'!$C:$AN,MID(Y$1,1,2),FALSE)</f>
        <v>0</v>
      </c>
      <c r="Z1184" s="55">
        <f>VLOOKUP($E1184,'NI-Ric_SP'!$C:$AN,MID(Z$1,1,2),FALSE)</f>
        <v>0</v>
      </c>
      <c r="AA1184" s="55">
        <f>VLOOKUP($E1184,'NI-Ric_SP'!$C:$AN,MID(AA$1,1,2),FALSE)</f>
        <v>0</v>
      </c>
      <c r="AB1184" s="55">
        <f>VLOOKUP($E1184,'NI-Ric_SP'!$C:$AN,MID(AB$1,1,2),FALSE)</f>
        <v>0</v>
      </c>
      <c r="AC1184" s="55">
        <f>VLOOKUP($E1184,'NI-Ric_SP'!$C:$AN,MID(AC$1,1,2),FALSE)</f>
        <v>0</v>
      </c>
      <c r="AD1184" s="55">
        <f>VLOOKUP($E1184,'NI-Ric_SP'!$C:$AN,MID(AD$1,1,2),FALSE)</f>
        <v>0</v>
      </c>
      <c r="AE1184" s="55">
        <f>VLOOKUP($E1184,'NI-Ric_SP'!$C:$AN,MID(AE$1,1,2),FALSE)</f>
        <v>0</v>
      </c>
      <c r="AF1184" s="55">
        <f>VLOOKUP($E1184,'NI-Ric_SP'!$C:$AN,MID(AF$1,1,2),FALSE)</f>
        <v>0</v>
      </c>
      <c r="AG1184" s="55">
        <f>VLOOKUP($E1184,'NI-Ric_SP'!$C:$AN,MID(AG$1,1,2),FALSE)</f>
        <v>0</v>
      </c>
      <c r="AH1184" s="55">
        <f>VLOOKUP($E1184,'NI-Ric_SP'!$C:$AN,MID(AH$1,1,2),FALSE)</f>
        <v>0</v>
      </c>
      <c r="AI1184" s="55">
        <f>VLOOKUP($E1184,'NI-Ric_SP'!$C:$AN,MID(AI$1,1,2),FALSE)</f>
        <v>0</v>
      </c>
      <c r="AJ1184" s="55">
        <f>VLOOKUP($E1184,'NI-Ric_SP'!$C:$AN,MID(AJ$1,1,2),FALSE)</f>
        <v>0</v>
      </c>
      <c r="AK1184" s="55">
        <f>VLOOKUP($E1184,'NI-Ric_SP'!$C:$AN,MID(AK$1,1,2),FALSE)</f>
        <v>0</v>
      </c>
      <c r="AL1184" s="55">
        <f>VLOOKUP($E1184,'NI-Ric_SP'!$C:$AN,MID(AL$1,1,2),FALSE)</f>
        <v>0</v>
      </c>
      <c r="AM1184" s="56">
        <f>VLOOKUP($E1184,'NI-Ric_SP'!$C:$AN,MID(AM$1,1,2),FALSE)</f>
        <v>0</v>
      </c>
      <c r="AN1184" s="30" t="str">
        <f t="shared" si="18"/>
        <v>20207050010020</v>
      </c>
    </row>
    <row r="1185" spans="1:40" x14ac:dyDescent="0.25">
      <c r="C1185" s="40"/>
      <c r="D1185" s="101"/>
      <c r="E1185" s="101" t="s">
        <v>1727</v>
      </c>
      <c r="F1185" s="102" t="s">
        <v>2750</v>
      </c>
      <c r="G1185" s="52"/>
      <c r="H1185" s="52"/>
      <c r="I1185" s="52"/>
      <c r="J1185" s="52"/>
      <c r="K1185" s="59" t="s">
        <v>111</v>
      </c>
      <c r="L1185" s="52"/>
      <c r="M1185" s="52"/>
      <c r="N1185" s="52"/>
      <c r="O1185" s="52"/>
      <c r="P1185" s="76" t="s">
        <v>1728</v>
      </c>
      <c r="Q1185" s="55">
        <f>VLOOKUP(E1185,'NI-Ric_SP'!$C:$AN,12,FALSE)</f>
        <v>0</v>
      </c>
      <c r="R1185" s="55">
        <f>VLOOKUP(E1185,'NI-Ric_SP'!$C:$AN,13,FALSE)</f>
        <v>0</v>
      </c>
      <c r="S1185" s="55">
        <f>VLOOKUP(E1185,'NI-Ric_SP'!$C:$AN,31,FALSE)</f>
        <v>0</v>
      </c>
      <c r="T1185" s="55">
        <f>VLOOKUP(E1185,'NI-Ric_SP'!$C:$AN,32,FALSE)+VLOOKUP(E1185,'NI-Ric_SP'!$C:$AN,33,FALSE)</f>
        <v>0</v>
      </c>
      <c r="U1185" s="55">
        <f>VLOOKUP($E1185,'NI-Ric_SP'!$C:$AN,MID(U$1,1,2),FALSE)</f>
        <v>0</v>
      </c>
      <c r="V1185" s="55">
        <f>VLOOKUP($E1185,'NI-Ric_SP'!$C:$AN,MID(V$1,1,2),FALSE)</f>
        <v>0</v>
      </c>
      <c r="W1185" s="55">
        <f>VLOOKUP($E1185,'NI-Ric_SP'!$C:$AN,MID(W$1,1,2),FALSE)</f>
        <v>0</v>
      </c>
      <c r="X1185" s="55">
        <f>VLOOKUP($E1185,'NI-Ric_SP'!$C:$AN,MID(X$1,1,2),FALSE)</f>
        <v>0</v>
      </c>
      <c r="Y1185" s="55">
        <f>VLOOKUP($E1185,'NI-Ric_SP'!$C:$AN,MID(Y$1,1,2),FALSE)</f>
        <v>0</v>
      </c>
      <c r="Z1185" s="55">
        <f>VLOOKUP($E1185,'NI-Ric_SP'!$C:$AN,MID(Z$1,1,2),FALSE)</f>
        <v>0</v>
      </c>
      <c r="AA1185" s="55">
        <f>VLOOKUP($E1185,'NI-Ric_SP'!$C:$AN,MID(AA$1,1,2),FALSE)</f>
        <v>0</v>
      </c>
      <c r="AB1185" s="55">
        <f>VLOOKUP($E1185,'NI-Ric_SP'!$C:$AN,MID(AB$1,1,2),FALSE)</f>
        <v>0</v>
      </c>
      <c r="AC1185" s="55">
        <f>VLOOKUP($E1185,'NI-Ric_SP'!$C:$AN,MID(AC$1,1,2),FALSE)</f>
        <v>0</v>
      </c>
      <c r="AD1185" s="55">
        <f>VLOOKUP($E1185,'NI-Ric_SP'!$C:$AN,MID(AD$1,1,2),FALSE)</f>
        <v>0</v>
      </c>
      <c r="AE1185" s="55">
        <f>VLOOKUP($E1185,'NI-Ric_SP'!$C:$AN,MID(AE$1,1,2),FALSE)</f>
        <v>0</v>
      </c>
      <c r="AF1185" s="55">
        <f>VLOOKUP($E1185,'NI-Ric_SP'!$C:$AN,MID(AF$1,1,2),FALSE)</f>
        <v>0</v>
      </c>
      <c r="AG1185" s="55">
        <f>VLOOKUP($E1185,'NI-Ric_SP'!$C:$AN,MID(AG$1,1,2),FALSE)</f>
        <v>0</v>
      </c>
      <c r="AH1185" s="55">
        <f>VLOOKUP($E1185,'NI-Ric_SP'!$C:$AN,MID(AH$1,1,2),FALSE)</f>
        <v>0</v>
      </c>
      <c r="AI1185" s="55">
        <f>VLOOKUP($E1185,'NI-Ric_SP'!$C:$AN,MID(AI$1,1,2),FALSE)</f>
        <v>0</v>
      </c>
      <c r="AJ1185" s="55">
        <f>VLOOKUP($E1185,'NI-Ric_SP'!$C:$AN,MID(AJ$1,1,2),FALSE)</f>
        <v>0</v>
      </c>
      <c r="AK1185" s="55">
        <f>VLOOKUP($E1185,'NI-Ric_SP'!$C:$AN,MID(AK$1,1,2),FALSE)</f>
        <v>0</v>
      </c>
      <c r="AL1185" s="55">
        <f>VLOOKUP($E1185,'NI-Ric_SP'!$C:$AN,MID(AL$1,1,2),FALSE)</f>
        <v>0</v>
      </c>
      <c r="AM1185" s="56">
        <f>VLOOKUP($E1185,'NI-Ric_SP'!$C:$AN,MID(AM$1,1,2),FALSE)</f>
        <v>0</v>
      </c>
      <c r="AN1185" s="30">
        <f t="shared" si="18"/>
        <v>0</v>
      </c>
    </row>
    <row r="1186" spans="1:40" x14ac:dyDescent="0.25">
      <c r="C1186" s="40"/>
      <c r="D1186" s="101" t="s">
        <v>1729</v>
      </c>
      <c r="E1186" s="101" t="s">
        <v>1730</v>
      </c>
      <c r="F1186" s="102" t="s">
        <v>2750</v>
      </c>
      <c r="G1186" s="52" t="s">
        <v>1608</v>
      </c>
      <c r="H1186" s="52"/>
      <c r="I1186" s="52"/>
      <c r="J1186" s="52"/>
      <c r="K1186" s="59" t="s">
        <v>79</v>
      </c>
      <c r="L1186" s="52"/>
      <c r="M1186" s="52"/>
      <c r="N1186" s="52"/>
      <c r="O1186" s="52"/>
      <c r="P1186" s="103" t="s">
        <v>1731</v>
      </c>
      <c r="Q1186" s="55">
        <f>VLOOKUP(E1186,'NI-Ric_SP'!$C:$AN,12,FALSE)</f>
        <v>0</v>
      </c>
      <c r="R1186" s="55">
        <f>VLOOKUP(E1186,'NI-Ric_SP'!$C:$AN,13,FALSE)</f>
        <v>0</v>
      </c>
      <c r="S1186" s="55">
        <f>VLOOKUP(E1186,'NI-Ric_SP'!$C:$AN,31,FALSE)</f>
        <v>0</v>
      </c>
      <c r="T1186" s="55">
        <f>VLOOKUP(E1186,'NI-Ric_SP'!$C:$AN,32,FALSE)+VLOOKUP(E1186,'NI-Ric_SP'!$C:$AN,33,FALSE)</f>
        <v>0</v>
      </c>
      <c r="U1186" s="55">
        <f>VLOOKUP($E1186,'NI-Ric_SP'!$C:$AN,MID(U$1,1,2),FALSE)</f>
        <v>0</v>
      </c>
      <c r="V1186" s="55">
        <f>VLOOKUP($E1186,'NI-Ric_SP'!$C:$AN,MID(V$1,1,2),FALSE)</f>
        <v>0</v>
      </c>
      <c r="W1186" s="55">
        <f>VLOOKUP($E1186,'NI-Ric_SP'!$C:$AN,MID(W$1,1,2),FALSE)</f>
        <v>0</v>
      </c>
      <c r="X1186" s="55">
        <f>VLOOKUP($E1186,'NI-Ric_SP'!$C:$AN,MID(X$1,1,2),FALSE)</f>
        <v>0</v>
      </c>
      <c r="Y1186" s="55">
        <f>VLOOKUP($E1186,'NI-Ric_SP'!$C:$AN,MID(Y$1,1,2),FALSE)</f>
        <v>0</v>
      </c>
      <c r="Z1186" s="55">
        <f>VLOOKUP($E1186,'NI-Ric_SP'!$C:$AN,MID(Z$1,1,2),FALSE)</f>
        <v>0</v>
      </c>
      <c r="AA1186" s="55">
        <f>VLOOKUP($E1186,'NI-Ric_SP'!$C:$AN,MID(AA$1,1,2),FALSE)</f>
        <v>0</v>
      </c>
      <c r="AB1186" s="55">
        <f>VLOOKUP($E1186,'NI-Ric_SP'!$C:$AN,MID(AB$1,1,2),FALSE)</f>
        <v>0</v>
      </c>
      <c r="AC1186" s="55">
        <f>VLOOKUP($E1186,'NI-Ric_SP'!$C:$AN,MID(AC$1,1,2),FALSE)</f>
        <v>0</v>
      </c>
      <c r="AD1186" s="55">
        <f>VLOOKUP($E1186,'NI-Ric_SP'!$C:$AN,MID(AD$1,1,2),FALSE)</f>
        <v>0</v>
      </c>
      <c r="AE1186" s="55">
        <f>VLOOKUP($E1186,'NI-Ric_SP'!$C:$AN,MID(AE$1,1,2),FALSE)</f>
        <v>0</v>
      </c>
      <c r="AF1186" s="55">
        <f>VLOOKUP($E1186,'NI-Ric_SP'!$C:$AN,MID(AF$1,1,2),FALSE)</f>
        <v>0</v>
      </c>
      <c r="AG1186" s="55">
        <f>VLOOKUP($E1186,'NI-Ric_SP'!$C:$AN,MID(AG$1,1,2),FALSE)</f>
        <v>0</v>
      </c>
      <c r="AH1186" s="55">
        <f>VLOOKUP($E1186,'NI-Ric_SP'!$C:$AN,MID(AH$1,1,2),FALSE)</f>
        <v>0</v>
      </c>
      <c r="AI1186" s="55">
        <f>VLOOKUP($E1186,'NI-Ric_SP'!$C:$AN,MID(AI$1,1,2),FALSE)</f>
        <v>0</v>
      </c>
      <c r="AJ1186" s="55">
        <f>VLOOKUP($E1186,'NI-Ric_SP'!$C:$AN,MID(AJ$1,1,2),FALSE)</f>
        <v>0</v>
      </c>
      <c r="AK1186" s="55">
        <f>VLOOKUP($E1186,'NI-Ric_SP'!$C:$AN,MID(AK$1,1,2),FALSE)</f>
        <v>0</v>
      </c>
      <c r="AL1186" s="55">
        <f>VLOOKUP($E1186,'NI-Ric_SP'!$C:$AN,MID(AL$1,1,2),FALSE)</f>
        <v>0</v>
      </c>
      <c r="AM1186" s="56">
        <f>VLOOKUP($E1186,'NI-Ric_SP'!$C:$AN,MID(AM$1,1,2),FALSE)</f>
        <v>0</v>
      </c>
      <c r="AN1186" s="30" t="str">
        <f t="shared" si="18"/>
        <v>20207050010030</v>
      </c>
    </row>
    <row r="1187" spans="1:40" x14ac:dyDescent="0.25">
      <c r="C1187" s="40"/>
      <c r="D1187" s="101" t="s">
        <v>1732</v>
      </c>
      <c r="E1187" s="101" t="s">
        <v>1733</v>
      </c>
      <c r="F1187" s="102" t="s">
        <v>2750</v>
      </c>
      <c r="G1187" s="52" t="s">
        <v>1608</v>
      </c>
      <c r="H1187" s="52"/>
      <c r="I1187" s="52"/>
      <c r="J1187" s="52"/>
      <c r="K1187" s="59" t="s">
        <v>79</v>
      </c>
      <c r="L1187" s="52"/>
      <c r="M1187" s="52"/>
      <c r="N1187" s="52"/>
      <c r="O1187" s="52"/>
      <c r="P1187" s="103" t="s">
        <v>1734</v>
      </c>
      <c r="Q1187" s="55">
        <f>VLOOKUP(E1187,'NI-Ric_SP'!$C:$AN,12,FALSE)</f>
        <v>0</v>
      </c>
      <c r="R1187" s="55">
        <f>VLOOKUP(E1187,'NI-Ric_SP'!$C:$AN,13,FALSE)</f>
        <v>0</v>
      </c>
      <c r="S1187" s="55">
        <f>VLOOKUP(E1187,'NI-Ric_SP'!$C:$AN,31,FALSE)</f>
        <v>0</v>
      </c>
      <c r="T1187" s="55">
        <f>VLOOKUP(E1187,'NI-Ric_SP'!$C:$AN,32,FALSE)+VLOOKUP(E1187,'NI-Ric_SP'!$C:$AN,33,FALSE)</f>
        <v>0</v>
      </c>
      <c r="U1187" s="55">
        <f>VLOOKUP($E1187,'NI-Ric_SP'!$C:$AN,MID(U$1,1,2),FALSE)</f>
        <v>0</v>
      </c>
      <c r="V1187" s="55">
        <f>VLOOKUP($E1187,'NI-Ric_SP'!$C:$AN,MID(V$1,1,2),FALSE)</f>
        <v>0</v>
      </c>
      <c r="W1187" s="55">
        <f>VLOOKUP($E1187,'NI-Ric_SP'!$C:$AN,MID(W$1,1,2),FALSE)</f>
        <v>0</v>
      </c>
      <c r="X1187" s="55">
        <f>VLOOKUP($E1187,'NI-Ric_SP'!$C:$AN,MID(X$1,1,2),FALSE)</f>
        <v>0</v>
      </c>
      <c r="Y1187" s="55">
        <f>VLOOKUP($E1187,'NI-Ric_SP'!$C:$AN,MID(Y$1,1,2),FALSE)</f>
        <v>0</v>
      </c>
      <c r="Z1187" s="55">
        <f>VLOOKUP($E1187,'NI-Ric_SP'!$C:$AN,MID(Z$1,1,2),FALSE)</f>
        <v>0</v>
      </c>
      <c r="AA1187" s="55">
        <f>VLOOKUP($E1187,'NI-Ric_SP'!$C:$AN,MID(AA$1,1,2),FALSE)</f>
        <v>0</v>
      </c>
      <c r="AB1187" s="55">
        <f>VLOOKUP($E1187,'NI-Ric_SP'!$C:$AN,MID(AB$1,1,2),FALSE)</f>
        <v>0</v>
      </c>
      <c r="AC1187" s="55">
        <f>VLOOKUP($E1187,'NI-Ric_SP'!$C:$AN,MID(AC$1,1,2),FALSE)</f>
        <v>0</v>
      </c>
      <c r="AD1187" s="55">
        <f>VLOOKUP($E1187,'NI-Ric_SP'!$C:$AN,MID(AD$1,1,2),FALSE)</f>
        <v>0</v>
      </c>
      <c r="AE1187" s="55">
        <f>VLOOKUP($E1187,'NI-Ric_SP'!$C:$AN,MID(AE$1,1,2),FALSE)</f>
        <v>0</v>
      </c>
      <c r="AF1187" s="55">
        <f>VLOOKUP($E1187,'NI-Ric_SP'!$C:$AN,MID(AF$1,1,2),FALSE)</f>
        <v>0</v>
      </c>
      <c r="AG1187" s="55">
        <f>VLOOKUP($E1187,'NI-Ric_SP'!$C:$AN,MID(AG$1,1,2),FALSE)</f>
        <v>0</v>
      </c>
      <c r="AH1187" s="55">
        <f>VLOOKUP($E1187,'NI-Ric_SP'!$C:$AN,MID(AH$1,1,2),FALSE)</f>
        <v>0</v>
      </c>
      <c r="AI1187" s="55">
        <f>VLOOKUP($E1187,'NI-Ric_SP'!$C:$AN,MID(AI$1,1,2),FALSE)</f>
        <v>0</v>
      </c>
      <c r="AJ1187" s="55">
        <f>VLOOKUP($E1187,'NI-Ric_SP'!$C:$AN,MID(AJ$1,1,2),FALSE)</f>
        <v>0</v>
      </c>
      <c r="AK1187" s="55">
        <f>VLOOKUP($E1187,'NI-Ric_SP'!$C:$AN,MID(AK$1,1,2),FALSE)</f>
        <v>0</v>
      </c>
      <c r="AL1187" s="55">
        <f>VLOOKUP($E1187,'NI-Ric_SP'!$C:$AN,MID(AL$1,1,2),FALSE)</f>
        <v>0</v>
      </c>
      <c r="AM1187" s="56">
        <f>VLOOKUP($E1187,'NI-Ric_SP'!$C:$AN,MID(AM$1,1,2),FALSE)</f>
        <v>0</v>
      </c>
      <c r="AN1187" s="30" t="str">
        <f t="shared" si="18"/>
        <v>20207050010040</v>
      </c>
    </row>
    <row r="1188" spans="1:40" x14ac:dyDescent="0.25">
      <c r="C1188" s="40"/>
      <c r="D1188" s="101" t="s">
        <v>1735</v>
      </c>
      <c r="E1188" s="101" t="s">
        <v>1736</v>
      </c>
      <c r="F1188" s="102" t="s">
        <v>2750</v>
      </c>
      <c r="G1188" s="52"/>
      <c r="H1188" s="52"/>
      <c r="I1188" s="52"/>
      <c r="J1188" s="52"/>
      <c r="K1188" s="59" t="s">
        <v>79</v>
      </c>
      <c r="L1188" s="52"/>
      <c r="M1188" s="52"/>
      <c r="N1188" s="52"/>
      <c r="O1188" s="52"/>
      <c r="P1188" s="103" t="s">
        <v>1737</v>
      </c>
      <c r="Q1188" s="55">
        <f>VLOOKUP(E1188,'NI-Ric_SP'!$C:$AN,12,FALSE)</f>
        <v>0</v>
      </c>
      <c r="R1188" s="55">
        <f>VLOOKUP(E1188,'NI-Ric_SP'!$C:$AN,13,FALSE)</f>
        <v>0</v>
      </c>
      <c r="S1188" s="55">
        <f>VLOOKUP(E1188,'NI-Ric_SP'!$C:$AN,31,FALSE)</f>
        <v>0</v>
      </c>
      <c r="T1188" s="55">
        <f>VLOOKUP(E1188,'NI-Ric_SP'!$C:$AN,32,FALSE)+VLOOKUP(E1188,'NI-Ric_SP'!$C:$AN,33,FALSE)</f>
        <v>0</v>
      </c>
      <c r="U1188" s="55">
        <f>VLOOKUP($E1188,'NI-Ric_SP'!$C:$AN,MID(U$1,1,2),FALSE)</f>
        <v>0</v>
      </c>
      <c r="V1188" s="55">
        <f>VLOOKUP($E1188,'NI-Ric_SP'!$C:$AN,MID(V$1,1,2),FALSE)</f>
        <v>0</v>
      </c>
      <c r="W1188" s="55">
        <f>VLOOKUP($E1188,'NI-Ric_SP'!$C:$AN,MID(W$1,1,2),FALSE)</f>
        <v>0</v>
      </c>
      <c r="X1188" s="55">
        <f>VLOOKUP($E1188,'NI-Ric_SP'!$C:$AN,MID(X$1,1,2),FALSE)</f>
        <v>0</v>
      </c>
      <c r="Y1188" s="55">
        <f>VLOOKUP($E1188,'NI-Ric_SP'!$C:$AN,MID(Y$1,1,2),FALSE)</f>
        <v>0</v>
      </c>
      <c r="Z1188" s="55">
        <f>VLOOKUP($E1188,'NI-Ric_SP'!$C:$AN,MID(Z$1,1,2),FALSE)</f>
        <v>0</v>
      </c>
      <c r="AA1188" s="55">
        <f>VLOOKUP($E1188,'NI-Ric_SP'!$C:$AN,MID(AA$1,1,2),FALSE)</f>
        <v>0</v>
      </c>
      <c r="AB1188" s="55">
        <f>VLOOKUP($E1188,'NI-Ric_SP'!$C:$AN,MID(AB$1,1,2),FALSE)</f>
        <v>0</v>
      </c>
      <c r="AC1188" s="55">
        <f>VLOOKUP($E1188,'NI-Ric_SP'!$C:$AN,MID(AC$1,1,2),FALSE)</f>
        <v>0</v>
      </c>
      <c r="AD1188" s="55">
        <f>VLOOKUP($E1188,'NI-Ric_SP'!$C:$AN,MID(AD$1,1,2),FALSE)</f>
        <v>0</v>
      </c>
      <c r="AE1188" s="55">
        <f>VLOOKUP($E1188,'NI-Ric_SP'!$C:$AN,MID(AE$1,1,2),FALSE)</f>
        <v>0</v>
      </c>
      <c r="AF1188" s="55">
        <f>VLOOKUP($E1188,'NI-Ric_SP'!$C:$AN,MID(AF$1,1,2),FALSE)</f>
        <v>0</v>
      </c>
      <c r="AG1188" s="55">
        <f>VLOOKUP($E1188,'NI-Ric_SP'!$C:$AN,MID(AG$1,1,2),FALSE)</f>
        <v>0</v>
      </c>
      <c r="AH1188" s="55">
        <f>VLOOKUP($E1188,'NI-Ric_SP'!$C:$AN,MID(AH$1,1,2),FALSE)</f>
        <v>0</v>
      </c>
      <c r="AI1188" s="55">
        <f>VLOOKUP($E1188,'NI-Ric_SP'!$C:$AN,MID(AI$1,1,2),FALSE)</f>
        <v>0</v>
      </c>
      <c r="AJ1188" s="55">
        <f>VLOOKUP($E1188,'NI-Ric_SP'!$C:$AN,MID(AJ$1,1,2),FALSE)</f>
        <v>0</v>
      </c>
      <c r="AK1188" s="55">
        <f>VLOOKUP($E1188,'NI-Ric_SP'!$C:$AN,MID(AK$1,1,2),FALSE)</f>
        <v>0</v>
      </c>
      <c r="AL1188" s="55">
        <f>VLOOKUP($E1188,'NI-Ric_SP'!$C:$AN,MID(AL$1,1,2),FALSE)</f>
        <v>0</v>
      </c>
      <c r="AM1188" s="56">
        <f>VLOOKUP($E1188,'NI-Ric_SP'!$C:$AN,MID(AM$1,1,2),FALSE)</f>
        <v>0</v>
      </c>
      <c r="AN1188" s="30" t="str">
        <f t="shared" si="18"/>
        <v>20207050010050</v>
      </c>
    </row>
    <row r="1189" spans="1:40" x14ac:dyDescent="0.25">
      <c r="C1189" s="40"/>
      <c r="D1189" s="101" t="s">
        <v>1738</v>
      </c>
      <c r="E1189" s="101" t="s">
        <v>1739</v>
      </c>
      <c r="F1189" s="102" t="s">
        <v>2750</v>
      </c>
      <c r="G1189" s="52" t="s">
        <v>1608</v>
      </c>
      <c r="H1189" s="52"/>
      <c r="I1189" s="52"/>
      <c r="J1189" s="52"/>
      <c r="K1189" s="59" t="s">
        <v>79</v>
      </c>
      <c r="L1189" s="52"/>
      <c r="M1189" s="52"/>
      <c r="N1189" s="52"/>
      <c r="O1189" s="52"/>
      <c r="P1189" s="103" t="s">
        <v>1740</v>
      </c>
      <c r="Q1189" s="55">
        <f>VLOOKUP(E1189,'NI-Ric_SP'!$C:$AN,12,FALSE)</f>
        <v>0</v>
      </c>
      <c r="R1189" s="55">
        <f>VLOOKUP(E1189,'NI-Ric_SP'!$C:$AN,13,FALSE)</f>
        <v>0</v>
      </c>
      <c r="S1189" s="55">
        <f>VLOOKUP(E1189,'NI-Ric_SP'!$C:$AN,31,FALSE)</f>
        <v>0</v>
      </c>
      <c r="T1189" s="55">
        <f>VLOOKUP(E1189,'NI-Ric_SP'!$C:$AN,32,FALSE)+VLOOKUP(E1189,'NI-Ric_SP'!$C:$AN,33,FALSE)</f>
        <v>0</v>
      </c>
      <c r="U1189" s="55">
        <f>VLOOKUP($E1189,'NI-Ric_SP'!$C:$AN,MID(U$1,1,2),FALSE)</f>
        <v>0</v>
      </c>
      <c r="V1189" s="55">
        <f>VLOOKUP($E1189,'NI-Ric_SP'!$C:$AN,MID(V$1,1,2),FALSE)</f>
        <v>0</v>
      </c>
      <c r="W1189" s="55">
        <f>VLOOKUP($E1189,'NI-Ric_SP'!$C:$AN,MID(W$1,1,2),FALSE)</f>
        <v>0</v>
      </c>
      <c r="X1189" s="55">
        <f>VLOOKUP($E1189,'NI-Ric_SP'!$C:$AN,MID(X$1,1,2),FALSE)</f>
        <v>0</v>
      </c>
      <c r="Y1189" s="55">
        <f>VLOOKUP($E1189,'NI-Ric_SP'!$C:$AN,MID(Y$1,1,2),FALSE)</f>
        <v>0</v>
      </c>
      <c r="Z1189" s="55">
        <f>VLOOKUP($E1189,'NI-Ric_SP'!$C:$AN,MID(Z$1,1,2),FALSE)</f>
        <v>0</v>
      </c>
      <c r="AA1189" s="55">
        <f>VLOOKUP($E1189,'NI-Ric_SP'!$C:$AN,MID(AA$1,1,2),FALSE)</f>
        <v>0</v>
      </c>
      <c r="AB1189" s="55">
        <f>VLOOKUP($E1189,'NI-Ric_SP'!$C:$AN,MID(AB$1,1,2),FALSE)</f>
        <v>0</v>
      </c>
      <c r="AC1189" s="55">
        <f>VLOOKUP($E1189,'NI-Ric_SP'!$C:$AN,MID(AC$1,1,2),FALSE)</f>
        <v>0</v>
      </c>
      <c r="AD1189" s="55">
        <f>VLOOKUP($E1189,'NI-Ric_SP'!$C:$AN,MID(AD$1,1,2),FALSE)</f>
        <v>0</v>
      </c>
      <c r="AE1189" s="55">
        <f>VLOOKUP($E1189,'NI-Ric_SP'!$C:$AN,MID(AE$1,1,2),FALSE)</f>
        <v>0</v>
      </c>
      <c r="AF1189" s="55">
        <f>VLOOKUP($E1189,'NI-Ric_SP'!$C:$AN,MID(AF$1,1,2),FALSE)</f>
        <v>0</v>
      </c>
      <c r="AG1189" s="55">
        <f>VLOOKUP($E1189,'NI-Ric_SP'!$C:$AN,MID(AG$1,1,2),FALSE)</f>
        <v>0</v>
      </c>
      <c r="AH1189" s="55">
        <f>VLOOKUP($E1189,'NI-Ric_SP'!$C:$AN,MID(AH$1,1,2),FALSE)</f>
        <v>0</v>
      </c>
      <c r="AI1189" s="55">
        <f>VLOOKUP($E1189,'NI-Ric_SP'!$C:$AN,MID(AI$1,1,2),FALSE)</f>
        <v>0</v>
      </c>
      <c r="AJ1189" s="55">
        <f>VLOOKUP($E1189,'NI-Ric_SP'!$C:$AN,MID(AJ$1,1,2),FALSE)</f>
        <v>0</v>
      </c>
      <c r="AK1189" s="55">
        <f>VLOOKUP($E1189,'NI-Ric_SP'!$C:$AN,MID(AK$1,1,2),FALSE)</f>
        <v>0</v>
      </c>
      <c r="AL1189" s="55">
        <f>VLOOKUP($E1189,'NI-Ric_SP'!$C:$AN,MID(AL$1,1,2),FALSE)</f>
        <v>0</v>
      </c>
      <c r="AM1189" s="56">
        <f>VLOOKUP($E1189,'NI-Ric_SP'!$C:$AN,MID(AM$1,1,2),FALSE)</f>
        <v>0</v>
      </c>
      <c r="AN1189" s="30" t="str">
        <f t="shared" si="18"/>
        <v>20207050010060</v>
      </c>
    </row>
    <row r="1190" spans="1:40" x14ac:dyDescent="0.25">
      <c r="A1190" s="30" t="s">
        <v>1394</v>
      </c>
      <c r="C1190" s="40"/>
      <c r="D1190" s="87" t="s">
        <v>1741</v>
      </c>
      <c r="E1190" s="87" t="s">
        <v>1742</v>
      </c>
      <c r="F1190" s="102" t="s">
        <v>2750</v>
      </c>
      <c r="G1190" s="52"/>
      <c r="H1190" s="52"/>
      <c r="I1190" s="52"/>
      <c r="J1190" s="52" t="s">
        <v>1743</v>
      </c>
      <c r="K1190" s="59" t="s">
        <v>79</v>
      </c>
      <c r="L1190" s="52"/>
      <c r="M1190" s="52"/>
      <c r="N1190" s="52"/>
      <c r="O1190" s="52" t="s">
        <v>1697</v>
      </c>
      <c r="P1190" s="76" t="s">
        <v>1744</v>
      </c>
      <c r="Q1190" s="55">
        <f>VLOOKUP(E1190,'NI-Ric_SP'!$C:$AN,12,FALSE)</f>
        <v>0</v>
      </c>
      <c r="R1190" s="55">
        <f>VLOOKUP(E1190,'NI-Ric_SP'!$C:$AN,13,FALSE)</f>
        <v>0</v>
      </c>
      <c r="S1190" s="55">
        <f>VLOOKUP(E1190,'NI-Ric_SP'!$C:$AN,31,FALSE)</f>
        <v>0</v>
      </c>
      <c r="T1190" s="55">
        <f>VLOOKUP(E1190,'NI-Ric_SP'!$C:$AN,32,FALSE)+VLOOKUP(E1190,'NI-Ric_SP'!$C:$AN,33,FALSE)</f>
        <v>0</v>
      </c>
      <c r="U1190" s="55">
        <f>VLOOKUP($E1190,'NI-Ric_SP'!$C:$AN,MID(U$1,1,2),FALSE)</f>
        <v>0</v>
      </c>
      <c r="V1190" s="55">
        <f>VLOOKUP($E1190,'NI-Ric_SP'!$C:$AN,MID(V$1,1,2),FALSE)</f>
        <v>0</v>
      </c>
      <c r="W1190" s="55">
        <f>VLOOKUP($E1190,'NI-Ric_SP'!$C:$AN,MID(W$1,1,2),FALSE)</f>
        <v>0</v>
      </c>
      <c r="X1190" s="55">
        <f>VLOOKUP($E1190,'NI-Ric_SP'!$C:$AN,MID(X$1,1,2),FALSE)</f>
        <v>0</v>
      </c>
      <c r="Y1190" s="55">
        <f>VLOOKUP($E1190,'NI-Ric_SP'!$C:$AN,MID(Y$1,1,2),FALSE)</f>
        <v>0</v>
      </c>
      <c r="Z1190" s="55">
        <f>VLOOKUP($E1190,'NI-Ric_SP'!$C:$AN,MID(Z$1,1,2),FALSE)</f>
        <v>0</v>
      </c>
      <c r="AA1190" s="55">
        <f>VLOOKUP($E1190,'NI-Ric_SP'!$C:$AN,MID(AA$1,1,2),FALSE)</f>
        <v>0</v>
      </c>
      <c r="AB1190" s="55">
        <f>VLOOKUP($E1190,'NI-Ric_SP'!$C:$AN,MID(AB$1,1,2),FALSE)</f>
        <v>0</v>
      </c>
      <c r="AC1190" s="55">
        <f>VLOOKUP($E1190,'NI-Ric_SP'!$C:$AN,MID(AC$1,1,2),FALSE)</f>
        <v>0</v>
      </c>
      <c r="AD1190" s="55">
        <f>VLOOKUP($E1190,'NI-Ric_SP'!$C:$AN,MID(AD$1,1,2),FALSE)</f>
        <v>0</v>
      </c>
      <c r="AE1190" s="55">
        <f>VLOOKUP($E1190,'NI-Ric_SP'!$C:$AN,MID(AE$1,1,2),FALSE)</f>
        <v>0</v>
      </c>
      <c r="AF1190" s="55">
        <f>VLOOKUP($E1190,'NI-Ric_SP'!$C:$AN,MID(AF$1,1,2),FALSE)</f>
        <v>0</v>
      </c>
      <c r="AG1190" s="55">
        <f>VLOOKUP($E1190,'NI-Ric_SP'!$C:$AN,MID(AG$1,1,2),FALSE)</f>
        <v>0</v>
      </c>
      <c r="AH1190" s="55">
        <f>VLOOKUP($E1190,'NI-Ric_SP'!$C:$AN,MID(AH$1,1,2),FALSE)</f>
        <v>0</v>
      </c>
      <c r="AI1190" s="55">
        <f>VLOOKUP($E1190,'NI-Ric_SP'!$C:$AN,MID(AI$1,1,2),FALSE)</f>
        <v>0</v>
      </c>
      <c r="AJ1190" s="55">
        <f>VLOOKUP($E1190,'NI-Ric_SP'!$C:$AN,MID(AJ$1,1,2),FALSE)</f>
        <v>0</v>
      </c>
      <c r="AK1190" s="55">
        <f>VLOOKUP($E1190,'NI-Ric_SP'!$C:$AN,MID(AK$1,1,2),FALSE)</f>
        <v>0</v>
      </c>
      <c r="AL1190" s="55">
        <f>VLOOKUP($E1190,'NI-Ric_SP'!$C:$AN,MID(AL$1,1,2),FALSE)</f>
        <v>0</v>
      </c>
      <c r="AM1190" s="56">
        <f>VLOOKUP($E1190,'NI-Ric_SP'!$C:$AN,MID(AM$1,1,2),FALSE)</f>
        <v>0</v>
      </c>
      <c r="AN1190" s="30" t="str">
        <f t="shared" si="18"/>
        <v>20207050020000</v>
      </c>
    </row>
    <row r="1191" spans="1:40" ht="27" x14ac:dyDescent="0.25">
      <c r="A1191" s="30" t="s">
        <v>1394</v>
      </c>
      <c r="C1191" s="40"/>
      <c r="D1191" s="87" t="s">
        <v>1746</v>
      </c>
      <c r="E1191" s="87" t="s">
        <v>1747</v>
      </c>
      <c r="F1191" s="102" t="s">
        <v>2750</v>
      </c>
      <c r="G1191" s="52"/>
      <c r="H1191" s="52"/>
      <c r="I1191" s="52"/>
      <c r="J1191" s="52"/>
      <c r="K1191" s="59" t="s">
        <v>111</v>
      </c>
      <c r="L1191" s="52"/>
      <c r="M1191" s="52"/>
      <c r="N1191" s="52"/>
      <c r="O1191" s="52" t="s">
        <v>1697</v>
      </c>
      <c r="P1191" s="76" t="s">
        <v>1748</v>
      </c>
      <c r="Q1191" s="55">
        <f>VLOOKUP(E1191,'NI-Ric_SP'!$C:$AN,12,FALSE)</f>
        <v>0</v>
      </c>
      <c r="R1191" s="55">
        <f>VLOOKUP(E1191,'NI-Ric_SP'!$C:$AN,13,FALSE)</f>
        <v>0</v>
      </c>
      <c r="S1191" s="55">
        <f>VLOOKUP(E1191,'NI-Ric_SP'!$C:$AN,31,FALSE)</f>
        <v>0</v>
      </c>
      <c r="T1191" s="55">
        <f>VLOOKUP(E1191,'NI-Ric_SP'!$C:$AN,32,FALSE)+VLOOKUP(E1191,'NI-Ric_SP'!$C:$AN,33,FALSE)</f>
        <v>0</v>
      </c>
      <c r="U1191" s="55">
        <f>VLOOKUP($E1191,'NI-Ric_SP'!$C:$AN,MID(U$1,1,2),FALSE)</f>
        <v>0</v>
      </c>
      <c r="V1191" s="55">
        <f>VLOOKUP($E1191,'NI-Ric_SP'!$C:$AN,MID(V$1,1,2),FALSE)</f>
        <v>0</v>
      </c>
      <c r="W1191" s="55">
        <f>VLOOKUP($E1191,'NI-Ric_SP'!$C:$AN,MID(W$1,1,2),FALSE)</f>
        <v>0</v>
      </c>
      <c r="X1191" s="55">
        <f>VLOOKUP($E1191,'NI-Ric_SP'!$C:$AN,MID(X$1,1,2),FALSE)</f>
        <v>0</v>
      </c>
      <c r="Y1191" s="55">
        <f>VLOOKUP($E1191,'NI-Ric_SP'!$C:$AN,MID(Y$1,1,2),FALSE)</f>
        <v>0</v>
      </c>
      <c r="Z1191" s="55">
        <f>VLOOKUP($E1191,'NI-Ric_SP'!$C:$AN,MID(Z$1,1,2),FALSE)</f>
        <v>0</v>
      </c>
      <c r="AA1191" s="55">
        <f>VLOOKUP($E1191,'NI-Ric_SP'!$C:$AN,MID(AA$1,1,2),FALSE)</f>
        <v>0</v>
      </c>
      <c r="AB1191" s="55">
        <f>VLOOKUP($E1191,'NI-Ric_SP'!$C:$AN,MID(AB$1,1,2),FALSE)</f>
        <v>0</v>
      </c>
      <c r="AC1191" s="55">
        <f>VLOOKUP($E1191,'NI-Ric_SP'!$C:$AN,MID(AC$1,1,2),FALSE)</f>
        <v>0</v>
      </c>
      <c r="AD1191" s="55">
        <f>VLOOKUP($E1191,'NI-Ric_SP'!$C:$AN,MID(AD$1,1,2),FALSE)</f>
        <v>0</v>
      </c>
      <c r="AE1191" s="55">
        <f>VLOOKUP($E1191,'NI-Ric_SP'!$C:$AN,MID(AE$1,1,2),FALSE)</f>
        <v>0</v>
      </c>
      <c r="AF1191" s="55">
        <f>VLOOKUP($E1191,'NI-Ric_SP'!$C:$AN,MID(AF$1,1,2),FALSE)</f>
        <v>0</v>
      </c>
      <c r="AG1191" s="55">
        <f>VLOOKUP($E1191,'NI-Ric_SP'!$C:$AN,MID(AG$1,1,2),FALSE)</f>
        <v>0</v>
      </c>
      <c r="AH1191" s="55">
        <f>VLOOKUP($E1191,'NI-Ric_SP'!$C:$AN,MID(AH$1,1,2),FALSE)</f>
        <v>0</v>
      </c>
      <c r="AI1191" s="55">
        <f>VLOOKUP($E1191,'NI-Ric_SP'!$C:$AN,MID(AI$1,1,2),FALSE)</f>
        <v>0</v>
      </c>
      <c r="AJ1191" s="55">
        <f>VLOOKUP($E1191,'NI-Ric_SP'!$C:$AN,MID(AJ$1,1,2),FALSE)</f>
        <v>0</v>
      </c>
      <c r="AK1191" s="55">
        <f>VLOOKUP($E1191,'NI-Ric_SP'!$C:$AN,MID(AK$1,1,2),FALSE)</f>
        <v>0</v>
      </c>
      <c r="AL1191" s="55">
        <f>VLOOKUP($E1191,'NI-Ric_SP'!$C:$AN,MID(AL$1,1,2),FALSE)</f>
        <v>0</v>
      </c>
      <c r="AM1191" s="56">
        <f>VLOOKUP($E1191,'NI-Ric_SP'!$C:$AN,MID(AM$1,1,2),FALSE)</f>
        <v>0</v>
      </c>
      <c r="AN1191" s="30" t="str">
        <f t="shared" si="18"/>
        <v>20207060000000</v>
      </c>
    </row>
    <row r="1192" spans="1:40" ht="27" x14ac:dyDescent="0.25">
      <c r="A1192" s="30" t="s">
        <v>1394</v>
      </c>
      <c r="C1192" s="40"/>
      <c r="D1192" s="87" t="s">
        <v>1749</v>
      </c>
      <c r="E1192" s="87" t="s">
        <v>1750</v>
      </c>
      <c r="F1192" s="102" t="s">
        <v>2750</v>
      </c>
      <c r="G1192" s="52"/>
      <c r="H1192" s="52"/>
      <c r="I1192" s="52"/>
      <c r="J1192" s="52" t="s">
        <v>1751</v>
      </c>
      <c r="K1192" s="59" t="s">
        <v>79</v>
      </c>
      <c r="L1192" s="52"/>
      <c r="M1192" s="52"/>
      <c r="N1192" s="52"/>
      <c r="O1192" s="52"/>
      <c r="P1192" s="76" t="s">
        <v>1752</v>
      </c>
      <c r="Q1192" s="55">
        <f>VLOOKUP(E1192,'NI-Ric_SP'!$C:$AN,12,FALSE)</f>
        <v>0</v>
      </c>
      <c r="R1192" s="55">
        <f>VLOOKUP(E1192,'NI-Ric_SP'!$C:$AN,13,FALSE)</f>
        <v>0</v>
      </c>
      <c r="S1192" s="55">
        <f>VLOOKUP(E1192,'NI-Ric_SP'!$C:$AN,31,FALSE)</f>
        <v>0</v>
      </c>
      <c r="T1192" s="55">
        <f>VLOOKUP(E1192,'NI-Ric_SP'!$C:$AN,32,FALSE)+VLOOKUP(E1192,'NI-Ric_SP'!$C:$AN,33,FALSE)</f>
        <v>0</v>
      </c>
      <c r="U1192" s="55">
        <f>VLOOKUP($E1192,'NI-Ric_SP'!$C:$AN,MID(U$1,1,2),FALSE)</f>
        <v>0</v>
      </c>
      <c r="V1192" s="55">
        <f>VLOOKUP($E1192,'NI-Ric_SP'!$C:$AN,MID(V$1,1,2),FALSE)</f>
        <v>0</v>
      </c>
      <c r="W1192" s="55">
        <f>VLOOKUP($E1192,'NI-Ric_SP'!$C:$AN,MID(W$1,1,2),FALSE)</f>
        <v>0</v>
      </c>
      <c r="X1192" s="55">
        <f>VLOOKUP($E1192,'NI-Ric_SP'!$C:$AN,MID(X$1,1,2),FALSE)</f>
        <v>0</v>
      </c>
      <c r="Y1192" s="55">
        <f>VLOOKUP($E1192,'NI-Ric_SP'!$C:$AN,MID(Y$1,1,2),FALSE)</f>
        <v>0</v>
      </c>
      <c r="Z1192" s="55">
        <f>VLOOKUP($E1192,'NI-Ric_SP'!$C:$AN,MID(Z$1,1,2),FALSE)</f>
        <v>0</v>
      </c>
      <c r="AA1192" s="55">
        <f>VLOOKUP($E1192,'NI-Ric_SP'!$C:$AN,MID(AA$1,1,2),FALSE)</f>
        <v>0</v>
      </c>
      <c r="AB1192" s="55">
        <f>VLOOKUP($E1192,'NI-Ric_SP'!$C:$AN,MID(AB$1,1,2),FALSE)</f>
        <v>0</v>
      </c>
      <c r="AC1192" s="55">
        <f>VLOOKUP($E1192,'NI-Ric_SP'!$C:$AN,MID(AC$1,1,2),FALSE)</f>
        <v>0</v>
      </c>
      <c r="AD1192" s="55">
        <f>VLOOKUP($E1192,'NI-Ric_SP'!$C:$AN,MID(AD$1,1,2),FALSE)</f>
        <v>0</v>
      </c>
      <c r="AE1192" s="55">
        <f>VLOOKUP($E1192,'NI-Ric_SP'!$C:$AN,MID(AE$1,1,2),FALSE)</f>
        <v>0</v>
      </c>
      <c r="AF1192" s="55">
        <f>VLOOKUP($E1192,'NI-Ric_SP'!$C:$AN,MID(AF$1,1,2),FALSE)</f>
        <v>0</v>
      </c>
      <c r="AG1192" s="55">
        <f>VLOOKUP($E1192,'NI-Ric_SP'!$C:$AN,MID(AG$1,1,2),FALSE)</f>
        <v>0</v>
      </c>
      <c r="AH1192" s="55">
        <f>VLOOKUP($E1192,'NI-Ric_SP'!$C:$AN,MID(AH$1,1,2),FALSE)</f>
        <v>0</v>
      </c>
      <c r="AI1192" s="55">
        <f>VLOOKUP($E1192,'NI-Ric_SP'!$C:$AN,MID(AI$1,1,2),FALSE)</f>
        <v>0</v>
      </c>
      <c r="AJ1192" s="55">
        <f>VLOOKUP($E1192,'NI-Ric_SP'!$C:$AN,MID(AJ$1,1,2),FALSE)</f>
        <v>0</v>
      </c>
      <c r="AK1192" s="55">
        <f>VLOOKUP($E1192,'NI-Ric_SP'!$C:$AN,MID(AK$1,1,2),FALSE)</f>
        <v>0</v>
      </c>
      <c r="AL1192" s="55">
        <f>VLOOKUP($E1192,'NI-Ric_SP'!$C:$AN,MID(AL$1,1,2),FALSE)</f>
        <v>0</v>
      </c>
      <c r="AM1192" s="56">
        <f>VLOOKUP($E1192,'NI-Ric_SP'!$C:$AN,MID(AM$1,1,2),FALSE)</f>
        <v>0</v>
      </c>
      <c r="AN1192" s="30" t="str">
        <f t="shared" si="18"/>
        <v>20207060010000</v>
      </c>
    </row>
    <row r="1193" spans="1:40" x14ac:dyDescent="0.25">
      <c r="A1193" s="30" t="s">
        <v>1394</v>
      </c>
      <c r="C1193" s="40"/>
      <c r="D1193" s="87" t="s">
        <v>1753</v>
      </c>
      <c r="E1193" s="87" t="s">
        <v>1754</v>
      </c>
      <c r="F1193" s="102" t="s">
        <v>2750</v>
      </c>
      <c r="G1193" s="52"/>
      <c r="H1193" s="52"/>
      <c r="I1193" s="52"/>
      <c r="J1193" s="52" t="s">
        <v>1755</v>
      </c>
      <c r="K1193" s="59" t="s">
        <v>79</v>
      </c>
      <c r="L1193" s="52"/>
      <c r="M1193" s="52"/>
      <c r="N1193" s="52"/>
      <c r="O1193" s="52"/>
      <c r="P1193" s="76" t="s">
        <v>1756</v>
      </c>
      <c r="Q1193" s="55">
        <f>VLOOKUP(E1193,'NI-Ric_SP'!$C:$AN,12,FALSE)</f>
        <v>0</v>
      </c>
      <c r="R1193" s="55">
        <f>VLOOKUP(E1193,'NI-Ric_SP'!$C:$AN,13,FALSE)</f>
        <v>0</v>
      </c>
      <c r="S1193" s="55">
        <f>VLOOKUP(E1193,'NI-Ric_SP'!$C:$AN,31,FALSE)</f>
        <v>0</v>
      </c>
      <c r="T1193" s="55">
        <f>VLOOKUP(E1193,'NI-Ric_SP'!$C:$AN,32,FALSE)+VLOOKUP(E1193,'NI-Ric_SP'!$C:$AN,33,FALSE)</f>
        <v>0</v>
      </c>
      <c r="U1193" s="55">
        <f>VLOOKUP($E1193,'NI-Ric_SP'!$C:$AN,MID(U$1,1,2),FALSE)</f>
        <v>0</v>
      </c>
      <c r="V1193" s="55">
        <f>VLOOKUP($E1193,'NI-Ric_SP'!$C:$AN,MID(V$1,1,2),FALSE)</f>
        <v>0</v>
      </c>
      <c r="W1193" s="55">
        <f>VLOOKUP($E1193,'NI-Ric_SP'!$C:$AN,MID(W$1,1,2),FALSE)</f>
        <v>0</v>
      </c>
      <c r="X1193" s="55">
        <f>VLOOKUP($E1193,'NI-Ric_SP'!$C:$AN,MID(X$1,1,2),FALSE)</f>
        <v>0</v>
      </c>
      <c r="Y1193" s="55">
        <f>VLOOKUP($E1193,'NI-Ric_SP'!$C:$AN,MID(Y$1,1,2),FALSE)</f>
        <v>0</v>
      </c>
      <c r="Z1193" s="55">
        <f>VLOOKUP($E1193,'NI-Ric_SP'!$C:$AN,MID(Z$1,1,2),FALSE)</f>
        <v>0</v>
      </c>
      <c r="AA1193" s="55">
        <f>VLOOKUP($E1193,'NI-Ric_SP'!$C:$AN,MID(AA$1,1,2),FALSE)</f>
        <v>0</v>
      </c>
      <c r="AB1193" s="55">
        <f>VLOOKUP($E1193,'NI-Ric_SP'!$C:$AN,MID(AB$1,1,2),FALSE)</f>
        <v>0</v>
      </c>
      <c r="AC1193" s="55">
        <f>VLOOKUP($E1193,'NI-Ric_SP'!$C:$AN,MID(AC$1,1,2),FALSE)</f>
        <v>0</v>
      </c>
      <c r="AD1193" s="55">
        <f>VLOOKUP($E1193,'NI-Ric_SP'!$C:$AN,MID(AD$1,1,2),FALSE)</f>
        <v>0</v>
      </c>
      <c r="AE1193" s="55">
        <f>VLOOKUP($E1193,'NI-Ric_SP'!$C:$AN,MID(AE$1,1,2),FALSE)</f>
        <v>0</v>
      </c>
      <c r="AF1193" s="55">
        <f>VLOOKUP($E1193,'NI-Ric_SP'!$C:$AN,MID(AF$1,1,2),FALSE)</f>
        <v>0</v>
      </c>
      <c r="AG1193" s="55">
        <f>VLOOKUP($E1193,'NI-Ric_SP'!$C:$AN,MID(AG$1,1,2),FALSE)</f>
        <v>0</v>
      </c>
      <c r="AH1193" s="55">
        <f>VLOOKUP($E1193,'NI-Ric_SP'!$C:$AN,MID(AH$1,1,2),FALSE)</f>
        <v>0</v>
      </c>
      <c r="AI1193" s="55">
        <f>VLOOKUP($E1193,'NI-Ric_SP'!$C:$AN,MID(AI$1,1,2),FALSE)</f>
        <v>0</v>
      </c>
      <c r="AJ1193" s="55">
        <f>VLOOKUP($E1193,'NI-Ric_SP'!$C:$AN,MID(AJ$1,1,2),FALSE)</f>
        <v>0</v>
      </c>
      <c r="AK1193" s="55">
        <f>VLOOKUP($E1193,'NI-Ric_SP'!$C:$AN,MID(AK$1,1,2),FALSE)</f>
        <v>0</v>
      </c>
      <c r="AL1193" s="55">
        <f>VLOOKUP($E1193,'NI-Ric_SP'!$C:$AN,MID(AL$1,1,2),FALSE)</f>
        <v>0</v>
      </c>
      <c r="AM1193" s="56">
        <f>VLOOKUP($E1193,'NI-Ric_SP'!$C:$AN,MID(AM$1,1,2),FALSE)</f>
        <v>0</v>
      </c>
      <c r="AN1193" s="30" t="str">
        <f t="shared" si="18"/>
        <v>20207060020000</v>
      </c>
    </row>
    <row r="1194" spans="1:40" x14ac:dyDescent="0.25">
      <c r="C1194" s="40"/>
      <c r="D1194" s="101" t="s">
        <v>1757</v>
      </c>
      <c r="E1194" s="101" t="s">
        <v>1758</v>
      </c>
      <c r="F1194" s="102" t="s">
        <v>2750</v>
      </c>
      <c r="G1194" s="52"/>
      <c r="H1194" s="52"/>
      <c r="I1194" s="52"/>
      <c r="J1194" s="52"/>
      <c r="K1194" s="59" t="s">
        <v>111</v>
      </c>
      <c r="L1194" s="52"/>
      <c r="M1194" s="52"/>
      <c r="N1194" s="52"/>
      <c r="O1194" s="52"/>
      <c r="P1194" s="60" t="s">
        <v>1759</v>
      </c>
      <c r="Q1194" s="55">
        <f>VLOOKUP(E1194,'NI-Ric_SP'!$C:$AN,12,FALSE)</f>
        <v>0</v>
      </c>
      <c r="R1194" s="55">
        <f>VLOOKUP(E1194,'NI-Ric_SP'!$C:$AN,13,FALSE)</f>
        <v>0</v>
      </c>
      <c r="S1194" s="55"/>
      <c r="T1194" s="55"/>
      <c r="U1194" s="55">
        <f>VLOOKUP($E1194,'NI-Ric_SP'!$C:$AN,MID(U$1,1,2),FALSE)</f>
        <v>0</v>
      </c>
      <c r="V1194" s="55">
        <f>VLOOKUP($E1194,'NI-Ric_SP'!$C:$AN,MID(V$1,1,2),FALSE)</f>
        <v>0</v>
      </c>
      <c r="W1194" s="55">
        <f>VLOOKUP($E1194,'NI-Ric_SP'!$C:$AN,MID(W$1,1,2),FALSE)</f>
        <v>0</v>
      </c>
      <c r="X1194" s="55">
        <f>VLOOKUP($E1194,'NI-Ric_SP'!$C:$AN,MID(X$1,1,2),FALSE)</f>
        <v>0</v>
      </c>
      <c r="Y1194" s="55">
        <f>VLOOKUP($E1194,'NI-Ric_SP'!$C:$AN,MID(Y$1,1,2),FALSE)</f>
        <v>0</v>
      </c>
      <c r="Z1194" s="55">
        <f>VLOOKUP($E1194,'NI-Ric_SP'!$C:$AN,MID(Z$1,1,2),FALSE)</f>
        <v>0</v>
      </c>
      <c r="AA1194" s="55">
        <f>VLOOKUP($E1194,'NI-Ric_SP'!$C:$AN,MID(AA$1,1,2),FALSE)</f>
        <v>0</v>
      </c>
      <c r="AB1194" s="55">
        <f>VLOOKUP($E1194,'NI-Ric_SP'!$C:$AN,MID(AB$1,1,2),FALSE)</f>
        <v>0</v>
      </c>
      <c r="AC1194" s="55">
        <f>VLOOKUP($E1194,'NI-Ric_SP'!$C:$AN,MID(AC$1,1,2),FALSE)</f>
        <v>0</v>
      </c>
      <c r="AD1194" s="55">
        <f>VLOOKUP($E1194,'NI-Ric_SP'!$C:$AN,MID(AD$1,1,2),FALSE)</f>
        <v>0</v>
      </c>
      <c r="AE1194" s="55">
        <f>VLOOKUP($E1194,'NI-Ric_SP'!$C:$AN,MID(AE$1,1,2),FALSE)</f>
        <v>0</v>
      </c>
      <c r="AF1194" s="55">
        <f>VLOOKUP($E1194,'NI-Ric_SP'!$C:$AN,MID(AF$1,1,2),FALSE)</f>
        <v>0</v>
      </c>
      <c r="AG1194" s="55">
        <f>VLOOKUP($E1194,'NI-Ric_SP'!$C:$AN,MID(AG$1,1,2),FALSE)</f>
        <v>0</v>
      </c>
      <c r="AH1194" s="55">
        <f>VLOOKUP($E1194,'NI-Ric_SP'!$C:$AN,MID(AH$1,1,2),FALSE)</f>
        <v>0</v>
      </c>
      <c r="AI1194" s="55">
        <f>VLOOKUP($E1194,'NI-Ric_SP'!$C:$AN,MID(AI$1,1,2),FALSE)</f>
        <v>0</v>
      </c>
      <c r="AJ1194" s="55">
        <f>VLOOKUP($E1194,'NI-Ric_SP'!$C:$AN,MID(AJ$1,1,2),FALSE)</f>
        <v>0</v>
      </c>
      <c r="AK1194" s="55">
        <f>VLOOKUP($E1194,'NI-Ric_SP'!$C:$AN,MID(AK$1,1,2),FALSE)</f>
        <v>0</v>
      </c>
      <c r="AL1194" s="55">
        <f>VLOOKUP($E1194,'NI-Ric_SP'!$C:$AN,MID(AL$1,1,2),FALSE)</f>
        <v>0</v>
      </c>
      <c r="AM1194" s="56">
        <f>VLOOKUP($E1194,'NI-Ric_SP'!$C:$AN,MID(AM$1,1,2),FALSE)</f>
        <v>0</v>
      </c>
      <c r="AN1194" s="30" t="str">
        <f t="shared" si="18"/>
        <v>20300000000000</v>
      </c>
    </row>
    <row r="1195" spans="1:40" x14ac:dyDescent="0.25">
      <c r="C1195" s="40"/>
      <c r="D1195" s="101" t="s">
        <v>1760</v>
      </c>
      <c r="E1195" s="101" t="s">
        <v>1761</v>
      </c>
      <c r="F1195" s="102" t="s">
        <v>2750</v>
      </c>
      <c r="G1195" s="52"/>
      <c r="H1195" s="52"/>
      <c r="I1195" s="52" t="s">
        <v>1762</v>
      </c>
      <c r="J1195" s="52" t="s">
        <v>1762</v>
      </c>
      <c r="K1195" s="59" t="s">
        <v>79</v>
      </c>
      <c r="L1195" s="62" t="s">
        <v>1763</v>
      </c>
      <c r="M1195" s="52"/>
      <c r="N1195" s="52"/>
      <c r="O1195" s="61" t="s">
        <v>1764</v>
      </c>
      <c r="P1195" s="63" t="s">
        <v>1099</v>
      </c>
      <c r="Q1195" s="55">
        <f>VLOOKUP(E1195,'NI-Ric_SP'!$C:$AN,12,FALSE)</f>
        <v>0</v>
      </c>
      <c r="R1195" s="55">
        <f>VLOOKUP(E1195,'NI-Ric_SP'!$C:$AN,13,FALSE)</f>
        <v>0</v>
      </c>
      <c r="S1195" s="55"/>
      <c r="T1195" s="55"/>
      <c r="U1195" s="55">
        <f>VLOOKUP($E1195,'NI-Ric_SP'!$C:$AN,MID(U$1,1,2),FALSE)</f>
        <v>0</v>
      </c>
      <c r="V1195" s="55">
        <f>VLOOKUP($E1195,'NI-Ric_SP'!$C:$AN,MID(V$1,1,2),FALSE)</f>
        <v>0</v>
      </c>
      <c r="W1195" s="55">
        <f>VLOOKUP($E1195,'NI-Ric_SP'!$C:$AN,MID(W$1,1,2),FALSE)</f>
        <v>0</v>
      </c>
      <c r="X1195" s="55">
        <f>VLOOKUP($E1195,'NI-Ric_SP'!$C:$AN,MID(X$1,1,2),FALSE)</f>
        <v>0</v>
      </c>
      <c r="Y1195" s="55">
        <f>VLOOKUP($E1195,'NI-Ric_SP'!$C:$AN,MID(Y$1,1,2),FALSE)</f>
        <v>0</v>
      </c>
      <c r="Z1195" s="55">
        <f>VLOOKUP($E1195,'NI-Ric_SP'!$C:$AN,MID(Z$1,1,2),FALSE)</f>
        <v>0</v>
      </c>
      <c r="AA1195" s="55">
        <f>VLOOKUP($E1195,'NI-Ric_SP'!$C:$AN,MID(AA$1,1,2),FALSE)</f>
        <v>0</v>
      </c>
      <c r="AB1195" s="55">
        <f>VLOOKUP($E1195,'NI-Ric_SP'!$C:$AN,MID(AB$1,1,2),FALSE)</f>
        <v>0</v>
      </c>
      <c r="AC1195" s="55">
        <f>VLOOKUP($E1195,'NI-Ric_SP'!$C:$AN,MID(AC$1,1,2),FALSE)</f>
        <v>0</v>
      </c>
      <c r="AD1195" s="55">
        <f>VLOOKUP($E1195,'NI-Ric_SP'!$C:$AN,MID(AD$1,1,2),FALSE)</f>
        <v>0</v>
      </c>
      <c r="AE1195" s="55">
        <f>VLOOKUP($E1195,'NI-Ric_SP'!$C:$AN,MID(AE$1,1,2),FALSE)</f>
        <v>0</v>
      </c>
      <c r="AF1195" s="55">
        <f>VLOOKUP($E1195,'NI-Ric_SP'!$C:$AN,MID(AF$1,1,2),FALSE)</f>
        <v>0</v>
      </c>
      <c r="AG1195" s="55">
        <f>VLOOKUP($E1195,'NI-Ric_SP'!$C:$AN,MID(AG$1,1,2),FALSE)</f>
        <v>0</v>
      </c>
      <c r="AH1195" s="55">
        <f>VLOOKUP($E1195,'NI-Ric_SP'!$C:$AN,MID(AH$1,1,2),FALSE)</f>
        <v>0</v>
      </c>
      <c r="AI1195" s="55">
        <f>VLOOKUP($E1195,'NI-Ric_SP'!$C:$AN,MID(AI$1,1,2),FALSE)</f>
        <v>0</v>
      </c>
      <c r="AJ1195" s="55">
        <f>VLOOKUP($E1195,'NI-Ric_SP'!$C:$AN,MID(AJ$1,1,2),FALSE)</f>
        <v>0</v>
      </c>
      <c r="AK1195" s="55">
        <f>VLOOKUP($E1195,'NI-Ric_SP'!$C:$AN,MID(AK$1,1,2),FALSE)</f>
        <v>0</v>
      </c>
      <c r="AL1195" s="55">
        <f>VLOOKUP($E1195,'NI-Ric_SP'!$C:$AN,MID(AL$1,1,2),FALSE)</f>
        <v>0</v>
      </c>
      <c r="AM1195" s="56">
        <f>VLOOKUP($E1195,'NI-Ric_SP'!$C:$AN,MID(AM$1,1,2),FALSE)</f>
        <v>0</v>
      </c>
      <c r="AN1195" s="30" t="str">
        <f t="shared" si="18"/>
        <v>20301010000000</v>
      </c>
    </row>
    <row r="1196" spans="1:40" x14ac:dyDescent="0.25">
      <c r="C1196" s="40"/>
      <c r="D1196" s="101" t="s">
        <v>1765</v>
      </c>
      <c r="E1196" s="101" t="s">
        <v>1766</v>
      </c>
      <c r="F1196" s="102" t="s">
        <v>2750</v>
      </c>
      <c r="G1196" s="52"/>
      <c r="H1196" s="52"/>
      <c r="I1196" s="52" t="s">
        <v>1762</v>
      </c>
      <c r="J1196" s="52" t="s">
        <v>1762</v>
      </c>
      <c r="K1196" s="59" t="s">
        <v>79</v>
      </c>
      <c r="L1196" s="62" t="s">
        <v>1763</v>
      </c>
      <c r="M1196" s="52"/>
      <c r="N1196" s="52"/>
      <c r="O1196" s="61" t="s">
        <v>1764</v>
      </c>
      <c r="P1196" s="63" t="s">
        <v>1102</v>
      </c>
      <c r="Q1196" s="55">
        <f>VLOOKUP(E1196,'NI-Ric_SP'!$C:$AN,12,FALSE)</f>
        <v>0</v>
      </c>
      <c r="R1196" s="55">
        <f>VLOOKUP(E1196,'NI-Ric_SP'!$C:$AN,13,FALSE)</f>
        <v>0</v>
      </c>
      <c r="S1196" s="55"/>
      <c r="T1196" s="55"/>
      <c r="U1196" s="55">
        <f>VLOOKUP($E1196,'NI-Ric_SP'!$C:$AN,MID(U$1,1,2),FALSE)</f>
        <v>0</v>
      </c>
      <c r="V1196" s="55">
        <f>VLOOKUP($E1196,'NI-Ric_SP'!$C:$AN,MID(V$1,1,2),FALSE)</f>
        <v>0</v>
      </c>
      <c r="W1196" s="55">
        <f>VLOOKUP($E1196,'NI-Ric_SP'!$C:$AN,MID(W$1,1,2),FALSE)</f>
        <v>0</v>
      </c>
      <c r="X1196" s="55">
        <f>VLOOKUP($E1196,'NI-Ric_SP'!$C:$AN,MID(X$1,1,2),FALSE)</f>
        <v>0</v>
      </c>
      <c r="Y1196" s="55">
        <f>VLOOKUP($E1196,'NI-Ric_SP'!$C:$AN,MID(Y$1,1,2),FALSE)</f>
        <v>0</v>
      </c>
      <c r="Z1196" s="55">
        <f>VLOOKUP($E1196,'NI-Ric_SP'!$C:$AN,MID(Z$1,1,2),FALSE)</f>
        <v>0</v>
      </c>
      <c r="AA1196" s="55">
        <f>VLOOKUP($E1196,'NI-Ric_SP'!$C:$AN,MID(AA$1,1,2),FALSE)</f>
        <v>0</v>
      </c>
      <c r="AB1196" s="55">
        <f>VLOOKUP($E1196,'NI-Ric_SP'!$C:$AN,MID(AB$1,1,2),FALSE)</f>
        <v>0</v>
      </c>
      <c r="AC1196" s="55">
        <f>VLOOKUP($E1196,'NI-Ric_SP'!$C:$AN,MID(AC$1,1,2),FALSE)</f>
        <v>0</v>
      </c>
      <c r="AD1196" s="55">
        <f>VLOOKUP($E1196,'NI-Ric_SP'!$C:$AN,MID(AD$1,1,2),FALSE)</f>
        <v>0</v>
      </c>
      <c r="AE1196" s="55">
        <f>VLOOKUP($E1196,'NI-Ric_SP'!$C:$AN,MID(AE$1,1,2),FALSE)</f>
        <v>0</v>
      </c>
      <c r="AF1196" s="55">
        <f>VLOOKUP($E1196,'NI-Ric_SP'!$C:$AN,MID(AF$1,1,2),FALSE)</f>
        <v>0</v>
      </c>
      <c r="AG1196" s="55">
        <f>VLOOKUP($E1196,'NI-Ric_SP'!$C:$AN,MID(AG$1,1,2),FALSE)</f>
        <v>0</v>
      </c>
      <c r="AH1196" s="55">
        <f>VLOOKUP($E1196,'NI-Ric_SP'!$C:$AN,MID(AH$1,1,2),FALSE)</f>
        <v>0</v>
      </c>
      <c r="AI1196" s="55">
        <f>VLOOKUP($E1196,'NI-Ric_SP'!$C:$AN,MID(AI$1,1,2),FALSE)</f>
        <v>0</v>
      </c>
      <c r="AJ1196" s="55">
        <f>VLOOKUP($E1196,'NI-Ric_SP'!$C:$AN,MID(AJ$1,1,2),FALSE)</f>
        <v>0</v>
      </c>
      <c r="AK1196" s="55">
        <f>VLOOKUP($E1196,'NI-Ric_SP'!$C:$AN,MID(AK$1,1,2),FALSE)</f>
        <v>0</v>
      </c>
      <c r="AL1196" s="55">
        <f>VLOOKUP($E1196,'NI-Ric_SP'!$C:$AN,MID(AL$1,1,2),FALSE)</f>
        <v>0</v>
      </c>
      <c r="AM1196" s="56">
        <f>VLOOKUP($E1196,'NI-Ric_SP'!$C:$AN,MID(AM$1,1,2),FALSE)</f>
        <v>0</v>
      </c>
      <c r="AN1196" s="30" t="str">
        <f t="shared" si="18"/>
        <v>20301020000000</v>
      </c>
    </row>
    <row r="1197" spans="1:40" x14ac:dyDescent="0.25">
      <c r="C1197" s="40"/>
      <c r="D1197" s="101" t="s">
        <v>1767</v>
      </c>
      <c r="E1197" s="101" t="s">
        <v>1768</v>
      </c>
      <c r="F1197" s="102" t="s">
        <v>2750</v>
      </c>
      <c r="G1197" s="52"/>
      <c r="H1197" s="52"/>
      <c r="I1197" s="52" t="s">
        <v>1762</v>
      </c>
      <c r="J1197" s="52" t="s">
        <v>1762</v>
      </c>
      <c r="K1197" s="59" t="s">
        <v>79</v>
      </c>
      <c r="L1197" s="62" t="s">
        <v>1763</v>
      </c>
      <c r="M1197" s="52"/>
      <c r="N1197" s="52"/>
      <c r="O1197" s="61" t="s">
        <v>1764</v>
      </c>
      <c r="P1197" s="63" t="s">
        <v>1105</v>
      </c>
      <c r="Q1197" s="55">
        <f>VLOOKUP(E1197,'NI-Ric_SP'!$C:$AN,12,FALSE)</f>
        <v>0</v>
      </c>
      <c r="R1197" s="55">
        <f>VLOOKUP(E1197,'NI-Ric_SP'!$C:$AN,13,FALSE)</f>
        <v>0</v>
      </c>
      <c r="S1197" s="55"/>
      <c r="T1197" s="55"/>
      <c r="U1197" s="55">
        <f>VLOOKUP($E1197,'NI-Ric_SP'!$C:$AN,MID(U$1,1,2),FALSE)</f>
        <v>0</v>
      </c>
      <c r="V1197" s="55">
        <f>VLOOKUP($E1197,'NI-Ric_SP'!$C:$AN,MID(V$1,1,2),FALSE)</f>
        <v>0</v>
      </c>
      <c r="W1197" s="55">
        <f>VLOOKUP($E1197,'NI-Ric_SP'!$C:$AN,MID(W$1,1,2),FALSE)</f>
        <v>0</v>
      </c>
      <c r="X1197" s="55">
        <f>VLOOKUP($E1197,'NI-Ric_SP'!$C:$AN,MID(X$1,1,2),FALSE)</f>
        <v>0</v>
      </c>
      <c r="Y1197" s="55">
        <f>VLOOKUP($E1197,'NI-Ric_SP'!$C:$AN,MID(Y$1,1,2),FALSE)</f>
        <v>0</v>
      </c>
      <c r="Z1197" s="55">
        <f>VLOOKUP($E1197,'NI-Ric_SP'!$C:$AN,MID(Z$1,1,2),FALSE)</f>
        <v>0</v>
      </c>
      <c r="AA1197" s="55">
        <f>VLOOKUP($E1197,'NI-Ric_SP'!$C:$AN,MID(AA$1,1,2),FALSE)</f>
        <v>0</v>
      </c>
      <c r="AB1197" s="55">
        <f>VLOOKUP($E1197,'NI-Ric_SP'!$C:$AN,MID(AB$1,1,2),FALSE)</f>
        <v>0</v>
      </c>
      <c r="AC1197" s="55">
        <f>VLOOKUP($E1197,'NI-Ric_SP'!$C:$AN,MID(AC$1,1,2),FALSE)</f>
        <v>0</v>
      </c>
      <c r="AD1197" s="55">
        <f>VLOOKUP($E1197,'NI-Ric_SP'!$C:$AN,MID(AD$1,1,2),FALSE)</f>
        <v>0</v>
      </c>
      <c r="AE1197" s="55">
        <f>VLOOKUP($E1197,'NI-Ric_SP'!$C:$AN,MID(AE$1,1,2),FALSE)</f>
        <v>0</v>
      </c>
      <c r="AF1197" s="55">
        <f>VLOOKUP($E1197,'NI-Ric_SP'!$C:$AN,MID(AF$1,1,2),FALSE)</f>
        <v>0</v>
      </c>
      <c r="AG1197" s="55">
        <f>VLOOKUP($E1197,'NI-Ric_SP'!$C:$AN,MID(AG$1,1,2),FALSE)</f>
        <v>0</v>
      </c>
      <c r="AH1197" s="55">
        <f>VLOOKUP($E1197,'NI-Ric_SP'!$C:$AN,MID(AH$1,1,2),FALSE)</f>
        <v>0</v>
      </c>
      <c r="AI1197" s="55">
        <f>VLOOKUP($E1197,'NI-Ric_SP'!$C:$AN,MID(AI$1,1,2),FALSE)</f>
        <v>0</v>
      </c>
      <c r="AJ1197" s="55">
        <f>VLOOKUP($E1197,'NI-Ric_SP'!$C:$AN,MID(AJ$1,1,2),FALSE)</f>
        <v>0</v>
      </c>
      <c r="AK1197" s="55">
        <f>VLOOKUP($E1197,'NI-Ric_SP'!$C:$AN,MID(AK$1,1,2),FALSE)</f>
        <v>0</v>
      </c>
      <c r="AL1197" s="55">
        <f>VLOOKUP($E1197,'NI-Ric_SP'!$C:$AN,MID(AL$1,1,2),FALSE)</f>
        <v>0</v>
      </c>
      <c r="AM1197" s="56">
        <f>VLOOKUP($E1197,'NI-Ric_SP'!$C:$AN,MID(AM$1,1,2),FALSE)</f>
        <v>0</v>
      </c>
      <c r="AN1197" s="30" t="str">
        <f t="shared" si="18"/>
        <v>20301030000000</v>
      </c>
    </row>
    <row r="1198" spans="1:40" x14ac:dyDescent="0.25">
      <c r="C1198" s="40"/>
      <c r="D1198" s="101" t="s">
        <v>1769</v>
      </c>
      <c r="E1198" s="101" t="s">
        <v>1770</v>
      </c>
      <c r="F1198" s="102" t="s">
        <v>2750</v>
      </c>
      <c r="G1198" s="52"/>
      <c r="H1198" s="52"/>
      <c r="I1198" s="52" t="s">
        <v>1771</v>
      </c>
      <c r="J1198" s="52" t="s">
        <v>1771</v>
      </c>
      <c r="K1198" s="59" t="s">
        <v>79</v>
      </c>
      <c r="L1198" s="62" t="s">
        <v>1772</v>
      </c>
      <c r="M1198" s="52"/>
      <c r="N1198" s="52"/>
      <c r="O1198" s="61" t="s">
        <v>1773</v>
      </c>
      <c r="P1198" s="63" t="s">
        <v>1774</v>
      </c>
      <c r="Q1198" s="55">
        <f>VLOOKUP(E1198,'NI-Ric_SP'!$C:$AN,12,FALSE)</f>
        <v>0</v>
      </c>
      <c r="R1198" s="55">
        <f>VLOOKUP(E1198,'NI-Ric_SP'!$C:$AN,13,FALSE)</f>
        <v>0</v>
      </c>
      <c r="S1198" s="55"/>
      <c r="T1198" s="55"/>
      <c r="U1198" s="55">
        <f>VLOOKUP($E1198,'NI-Ric_SP'!$C:$AN,MID(U$1,1,2),FALSE)</f>
        <v>0</v>
      </c>
      <c r="V1198" s="55">
        <f>VLOOKUP($E1198,'NI-Ric_SP'!$C:$AN,MID(V$1,1,2),FALSE)</f>
        <v>0</v>
      </c>
      <c r="W1198" s="55">
        <f>VLOOKUP($E1198,'NI-Ric_SP'!$C:$AN,MID(W$1,1,2),FALSE)</f>
        <v>0</v>
      </c>
      <c r="X1198" s="55">
        <f>VLOOKUP($E1198,'NI-Ric_SP'!$C:$AN,MID(X$1,1,2),FALSE)</f>
        <v>0</v>
      </c>
      <c r="Y1198" s="55">
        <f>VLOOKUP($E1198,'NI-Ric_SP'!$C:$AN,MID(Y$1,1,2),FALSE)</f>
        <v>0</v>
      </c>
      <c r="Z1198" s="55">
        <f>VLOOKUP($E1198,'NI-Ric_SP'!$C:$AN,MID(Z$1,1,2),FALSE)</f>
        <v>0</v>
      </c>
      <c r="AA1198" s="55">
        <f>VLOOKUP($E1198,'NI-Ric_SP'!$C:$AN,MID(AA$1,1,2),FALSE)</f>
        <v>0</v>
      </c>
      <c r="AB1198" s="55">
        <f>VLOOKUP($E1198,'NI-Ric_SP'!$C:$AN,MID(AB$1,1,2),FALSE)</f>
        <v>0</v>
      </c>
      <c r="AC1198" s="55">
        <f>VLOOKUP($E1198,'NI-Ric_SP'!$C:$AN,MID(AC$1,1,2),FALSE)</f>
        <v>0</v>
      </c>
      <c r="AD1198" s="55">
        <f>VLOOKUP($E1198,'NI-Ric_SP'!$C:$AN,MID(AD$1,1,2),FALSE)</f>
        <v>0</v>
      </c>
      <c r="AE1198" s="55">
        <f>VLOOKUP($E1198,'NI-Ric_SP'!$C:$AN,MID(AE$1,1,2),FALSE)</f>
        <v>0</v>
      </c>
      <c r="AF1198" s="55">
        <f>VLOOKUP($E1198,'NI-Ric_SP'!$C:$AN,MID(AF$1,1,2),FALSE)</f>
        <v>0</v>
      </c>
      <c r="AG1198" s="55">
        <f>VLOOKUP($E1198,'NI-Ric_SP'!$C:$AN,MID(AG$1,1,2),FALSE)</f>
        <v>0</v>
      </c>
      <c r="AH1198" s="55">
        <f>VLOOKUP($E1198,'NI-Ric_SP'!$C:$AN,MID(AH$1,1,2),FALSE)</f>
        <v>0</v>
      </c>
      <c r="AI1198" s="55">
        <f>VLOOKUP($E1198,'NI-Ric_SP'!$C:$AN,MID(AI$1,1,2),FALSE)</f>
        <v>0</v>
      </c>
      <c r="AJ1198" s="55">
        <f>VLOOKUP($E1198,'NI-Ric_SP'!$C:$AN,MID(AJ$1,1,2),FALSE)</f>
        <v>0</v>
      </c>
      <c r="AK1198" s="55">
        <f>VLOOKUP($E1198,'NI-Ric_SP'!$C:$AN,MID(AK$1,1,2),FALSE)</f>
        <v>0</v>
      </c>
      <c r="AL1198" s="55">
        <f>VLOOKUP($E1198,'NI-Ric_SP'!$C:$AN,MID(AL$1,1,2),FALSE)</f>
        <v>0</v>
      </c>
      <c r="AM1198" s="56">
        <f>VLOOKUP($E1198,'NI-Ric_SP'!$C:$AN,MID(AM$1,1,2),FALSE)</f>
        <v>0</v>
      </c>
      <c r="AN1198" s="30" t="str">
        <f t="shared" si="18"/>
        <v>20302000000000</v>
      </c>
    </row>
    <row r="1199" spans="1:40" x14ac:dyDescent="0.25">
      <c r="C1199" s="40"/>
      <c r="D1199" s="101" t="s">
        <v>1775</v>
      </c>
      <c r="E1199" s="101" t="s">
        <v>1776</v>
      </c>
      <c r="F1199" s="102" t="s">
        <v>2750</v>
      </c>
      <c r="G1199" s="52"/>
      <c r="H1199" s="52"/>
      <c r="I1199" s="52"/>
      <c r="J1199" s="52"/>
      <c r="K1199" s="59" t="s">
        <v>111</v>
      </c>
      <c r="L1199" s="52"/>
      <c r="M1199" s="52"/>
      <c r="N1199" s="52"/>
      <c r="O1199" s="52"/>
      <c r="P1199" s="60" t="s">
        <v>1777</v>
      </c>
      <c r="Q1199" s="55">
        <f>VLOOKUP(E1199,'NI-Ric_SP'!$C:$AN,12,FALSE)</f>
        <v>0</v>
      </c>
      <c r="R1199" s="55">
        <f>VLOOKUP(E1199,'NI-Ric_SP'!$C:$AN,13,FALSE)</f>
        <v>0</v>
      </c>
      <c r="S1199" s="55"/>
      <c r="T1199" s="55"/>
      <c r="U1199" s="55">
        <f>VLOOKUP($E1199,'NI-Ric_SP'!$C:$AN,MID(U$1,1,2),FALSE)</f>
        <v>0</v>
      </c>
      <c r="V1199" s="55">
        <f>VLOOKUP($E1199,'NI-Ric_SP'!$C:$AN,MID(V$1,1,2),FALSE)</f>
        <v>0</v>
      </c>
      <c r="W1199" s="55">
        <f>VLOOKUP($E1199,'NI-Ric_SP'!$C:$AN,MID(W$1,1,2),FALSE)</f>
        <v>0</v>
      </c>
      <c r="X1199" s="55">
        <f>VLOOKUP($E1199,'NI-Ric_SP'!$C:$AN,MID(X$1,1,2),FALSE)</f>
        <v>0</v>
      </c>
      <c r="Y1199" s="55">
        <f>VLOOKUP($E1199,'NI-Ric_SP'!$C:$AN,MID(Y$1,1,2),FALSE)</f>
        <v>0</v>
      </c>
      <c r="Z1199" s="55">
        <f>VLOOKUP($E1199,'NI-Ric_SP'!$C:$AN,MID(Z$1,1,2),FALSE)</f>
        <v>0</v>
      </c>
      <c r="AA1199" s="55">
        <f>VLOOKUP($E1199,'NI-Ric_SP'!$C:$AN,MID(AA$1,1,2),FALSE)</f>
        <v>0</v>
      </c>
      <c r="AB1199" s="55">
        <f>VLOOKUP($E1199,'NI-Ric_SP'!$C:$AN,MID(AB$1,1,2),FALSE)</f>
        <v>0</v>
      </c>
      <c r="AC1199" s="55">
        <f>VLOOKUP($E1199,'NI-Ric_SP'!$C:$AN,MID(AC$1,1,2),FALSE)</f>
        <v>0</v>
      </c>
      <c r="AD1199" s="55">
        <f>VLOOKUP($E1199,'NI-Ric_SP'!$C:$AN,MID(AD$1,1,2),FALSE)</f>
        <v>0</v>
      </c>
      <c r="AE1199" s="55">
        <f>VLOOKUP($E1199,'NI-Ric_SP'!$C:$AN,MID(AE$1,1,2),FALSE)</f>
        <v>0</v>
      </c>
      <c r="AF1199" s="55">
        <f>VLOOKUP($E1199,'NI-Ric_SP'!$C:$AN,MID(AF$1,1,2),FALSE)</f>
        <v>0</v>
      </c>
      <c r="AG1199" s="55">
        <f>VLOOKUP($E1199,'NI-Ric_SP'!$C:$AN,MID(AG$1,1,2),FALSE)</f>
        <v>0</v>
      </c>
      <c r="AH1199" s="55">
        <f>VLOOKUP($E1199,'NI-Ric_SP'!$C:$AN,MID(AH$1,1,2),FALSE)</f>
        <v>0</v>
      </c>
      <c r="AI1199" s="55">
        <f>VLOOKUP($E1199,'NI-Ric_SP'!$C:$AN,MID(AI$1,1,2),FALSE)</f>
        <v>0</v>
      </c>
      <c r="AJ1199" s="55">
        <f>VLOOKUP($E1199,'NI-Ric_SP'!$C:$AN,MID(AJ$1,1,2),FALSE)</f>
        <v>0</v>
      </c>
      <c r="AK1199" s="55">
        <f>VLOOKUP($E1199,'NI-Ric_SP'!$C:$AN,MID(AK$1,1,2),FALSE)</f>
        <v>0</v>
      </c>
      <c r="AL1199" s="55">
        <f>VLOOKUP($E1199,'NI-Ric_SP'!$C:$AN,MID(AL$1,1,2),FALSE)</f>
        <v>0</v>
      </c>
      <c r="AM1199" s="56">
        <f>VLOOKUP($E1199,'NI-Ric_SP'!$C:$AN,MID(AM$1,1,2),FALSE)</f>
        <v>0</v>
      </c>
      <c r="AN1199" s="30" t="str">
        <f t="shared" si="18"/>
        <v>20400000000000</v>
      </c>
    </row>
    <row r="1200" spans="1:40" x14ac:dyDescent="0.25">
      <c r="C1200" s="40"/>
      <c r="D1200" s="101" t="s">
        <v>1778</v>
      </c>
      <c r="E1200" s="101" t="s">
        <v>1779</v>
      </c>
      <c r="F1200" s="102" t="s">
        <v>2750</v>
      </c>
      <c r="G1200" s="65"/>
      <c r="H1200" s="52"/>
      <c r="I1200" s="52" t="s">
        <v>1780</v>
      </c>
      <c r="J1200" s="52" t="s">
        <v>1780</v>
      </c>
      <c r="K1200" s="59" t="s">
        <v>79</v>
      </c>
      <c r="L1200" s="62" t="s">
        <v>1781</v>
      </c>
      <c r="M1200" s="52"/>
      <c r="N1200" s="52"/>
      <c r="O1200" s="61" t="s">
        <v>1782</v>
      </c>
      <c r="P1200" s="107" t="s">
        <v>1783</v>
      </c>
      <c r="Q1200" s="55">
        <f>VLOOKUP(E1200,'NI-Ric_SP'!$C:$AN,12,FALSE)</f>
        <v>0</v>
      </c>
      <c r="R1200" s="55">
        <f>VLOOKUP(E1200,'NI-Ric_SP'!$C:$AN,13,FALSE)</f>
        <v>0</v>
      </c>
      <c r="S1200" s="55"/>
      <c r="T1200" s="55"/>
      <c r="U1200" s="55">
        <f>VLOOKUP($E1200,'NI-Ric_SP'!$C:$AN,MID(U$1,1,2),FALSE)</f>
        <v>0</v>
      </c>
      <c r="V1200" s="55">
        <f>VLOOKUP($E1200,'NI-Ric_SP'!$C:$AN,MID(V$1,1,2),FALSE)</f>
        <v>0</v>
      </c>
      <c r="W1200" s="55">
        <f>VLOOKUP($E1200,'NI-Ric_SP'!$C:$AN,MID(W$1,1,2),FALSE)</f>
        <v>0</v>
      </c>
      <c r="X1200" s="55">
        <f>VLOOKUP($E1200,'NI-Ric_SP'!$C:$AN,MID(X$1,1,2),FALSE)</f>
        <v>0</v>
      </c>
      <c r="Y1200" s="55">
        <f>VLOOKUP($E1200,'NI-Ric_SP'!$C:$AN,MID(Y$1,1,2),FALSE)</f>
        <v>0</v>
      </c>
      <c r="Z1200" s="55">
        <f>VLOOKUP($E1200,'NI-Ric_SP'!$C:$AN,MID(Z$1,1,2),FALSE)</f>
        <v>0</v>
      </c>
      <c r="AA1200" s="55">
        <f>VLOOKUP($E1200,'NI-Ric_SP'!$C:$AN,MID(AA$1,1,2),FALSE)</f>
        <v>0</v>
      </c>
      <c r="AB1200" s="55">
        <f>VLOOKUP($E1200,'NI-Ric_SP'!$C:$AN,MID(AB$1,1,2),FALSE)</f>
        <v>0</v>
      </c>
      <c r="AC1200" s="55">
        <f>VLOOKUP($E1200,'NI-Ric_SP'!$C:$AN,MID(AC$1,1,2),FALSE)</f>
        <v>0</v>
      </c>
      <c r="AD1200" s="55">
        <f>VLOOKUP($E1200,'NI-Ric_SP'!$C:$AN,MID(AD$1,1,2),FALSE)</f>
        <v>0</v>
      </c>
      <c r="AE1200" s="55">
        <f>VLOOKUP($E1200,'NI-Ric_SP'!$C:$AN,MID(AE$1,1,2),FALSE)</f>
        <v>0</v>
      </c>
      <c r="AF1200" s="55">
        <f>VLOOKUP($E1200,'NI-Ric_SP'!$C:$AN,MID(AF$1,1,2),FALSE)</f>
        <v>0</v>
      </c>
      <c r="AG1200" s="55">
        <f>VLOOKUP($E1200,'NI-Ric_SP'!$C:$AN,MID(AG$1,1,2),FALSE)</f>
        <v>0</v>
      </c>
      <c r="AH1200" s="55">
        <f>VLOOKUP($E1200,'NI-Ric_SP'!$C:$AN,MID(AH$1,1,2),FALSE)</f>
        <v>0</v>
      </c>
      <c r="AI1200" s="55">
        <f>VLOOKUP($E1200,'NI-Ric_SP'!$C:$AN,MID(AI$1,1,2),FALSE)</f>
        <v>0</v>
      </c>
      <c r="AJ1200" s="55">
        <f>VLOOKUP($E1200,'NI-Ric_SP'!$C:$AN,MID(AJ$1,1,2),FALSE)</f>
        <v>0</v>
      </c>
      <c r="AK1200" s="55">
        <f>VLOOKUP($E1200,'NI-Ric_SP'!$C:$AN,MID(AK$1,1,2),FALSE)</f>
        <v>0</v>
      </c>
      <c r="AL1200" s="55">
        <f>VLOOKUP($E1200,'NI-Ric_SP'!$C:$AN,MID(AL$1,1,2),FALSE)</f>
        <v>0</v>
      </c>
      <c r="AM1200" s="56">
        <f>VLOOKUP($E1200,'NI-Ric_SP'!$C:$AN,MID(AM$1,1,2),FALSE)</f>
        <v>0</v>
      </c>
      <c r="AN1200" s="30" t="str">
        <f t="shared" si="18"/>
        <v>20401000000000</v>
      </c>
    </row>
    <row r="1201" spans="3:40" x14ac:dyDescent="0.25">
      <c r="C1201" s="40"/>
      <c r="D1201" s="101" t="s">
        <v>1784</v>
      </c>
      <c r="E1201" s="101" t="s">
        <v>1785</v>
      </c>
      <c r="F1201" s="102" t="s">
        <v>2750</v>
      </c>
      <c r="G1201" s="65"/>
      <c r="H1201" s="52"/>
      <c r="I1201" s="52" t="s">
        <v>1786</v>
      </c>
      <c r="J1201" s="52" t="s">
        <v>1786</v>
      </c>
      <c r="K1201" s="59" t="s">
        <v>79</v>
      </c>
      <c r="L1201" s="62" t="s">
        <v>1787</v>
      </c>
      <c r="M1201" s="52"/>
      <c r="N1201" s="52"/>
      <c r="O1201" s="61" t="s">
        <v>1788</v>
      </c>
      <c r="P1201" s="107" t="s">
        <v>1789</v>
      </c>
      <c r="Q1201" s="55">
        <f>VLOOKUP(E1201,'NI-Ric_SP'!$C:$AN,12,FALSE)</f>
        <v>0</v>
      </c>
      <c r="R1201" s="55">
        <f>VLOOKUP(E1201,'NI-Ric_SP'!$C:$AN,13,FALSE)</f>
        <v>0</v>
      </c>
      <c r="S1201" s="55"/>
      <c r="T1201" s="55"/>
      <c r="U1201" s="55">
        <f>VLOOKUP($E1201,'NI-Ric_SP'!$C:$AN,MID(U$1,1,2),FALSE)</f>
        <v>0</v>
      </c>
      <c r="V1201" s="55">
        <f>VLOOKUP($E1201,'NI-Ric_SP'!$C:$AN,MID(V$1,1,2),FALSE)</f>
        <v>0</v>
      </c>
      <c r="W1201" s="55">
        <f>VLOOKUP($E1201,'NI-Ric_SP'!$C:$AN,MID(W$1,1,2),FALSE)</f>
        <v>0</v>
      </c>
      <c r="X1201" s="55">
        <f>VLOOKUP($E1201,'NI-Ric_SP'!$C:$AN,MID(X$1,1,2),FALSE)</f>
        <v>0</v>
      </c>
      <c r="Y1201" s="55">
        <f>VLOOKUP($E1201,'NI-Ric_SP'!$C:$AN,MID(Y$1,1,2),FALSE)</f>
        <v>0</v>
      </c>
      <c r="Z1201" s="55">
        <f>VLOOKUP($E1201,'NI-Ric_SP'!$C:$AN,MID(Z$1,1,2),FALSE)</f>
        <v>0</v>
      </c>
      <c r="AA1201" s="55">
        <f>VLOOKUP($E1201,'NI-Ric_SP'!$C:$AN,MID(AA$1,1,2),FALSE)</f>
        <v>0</v>
      </c>
      <c r="AB1201" s="55">
        <f>VLOOKUP($E1201,'NI-Ric_SP'!$C:$AN,MID(AB$1,1,2),FALSE)</f>
        <v>0</v>
      </c>
      <c r="AC1201" s="55">
        <f>VLOOKUP($E1201,'NI-Ric_SP'!$C:$AN,MID(AC$1,1,2),FALSE)</f>
        <v>0</v>
      </c>
      <c r="AD1201" s="55">
        <f>VLOOKUP($E1201,'NI-Ric_SP'!$C:$AN,MID(AD$1,1,2),FALSE)</f>
        <v>0</v>
      </c>
      <c r="AE1201" s="55">
        <f>VLOOKUP($E1201,'NI-Ric_SP'!$C:$AN,MID(AE$1,1,2),FALSE)</f>
        <v>0</v>
      </c>
      <c r="AF1201" s="55">
        <f>VLOOKUP($E1201,'NI-Ric_SP'!$C:$AN,MID(AF$1,1,2),FALSE)</f>
        <v>0</v>
      </c>
      <c r="AG1201" s="55">
        <f>VLOOKUP($E1201,'NI-Ric_SP'!$C:$AN,MID(AG$1,1,2),FALSE)</f>
        <v>0</v>
      </c>
      <c r="AH1201" s="55">
        <f>VLOOKUP($E1201,'NI-Ric_SP'!$C:$AN,MID(AH$1,1,2),FALSE)</f>
        <v>0</v>
      </c>
      <c r="AI1201" s="55">
        <f>VLOOKUP($E1201,'NI-Ric_SP'!$C:$AN,MID(AI$1,1,2),FALSE)</f>
        <v>0</v>
      </c>
      <c r="AJ1201" s="55">
        <f>VLOOKUP($E1201,'NI-Ric_SP'!$C:$AN,MID(AJ$1,1,2),FALSE)</f>
        <v>0</v>
      </c>
      <c r="AK1201" s="55">
        <f>VLOOKUP($E1201,'NI-Ric_SP'!$C:$AN,MID(AK$1,1,2),FALSE)</f>
        <v>0</v>
      </c>
      <c r="AL1201" s="55">
        <f>VLOOKUP($E1201,'NI-Ric_SP'!$C:$AN,MID(AL$1,1,2),FALSE)</f>
        <v>0</v>
      </c>
      <c r="AM1201" s="56">
        <f>VLOOKUP($E1201,'NI-Ric_SP'!$C:$AN,MID(AM$1,1,2),FALSE)</f>
        <v>0</v>
      </c>
      <c r="AN1201" s="30" t="str">
        <f t="shared" si="18"/>
        <v>20402000000000</v>
      </c>
    </row>
    <row r="1202" spans="3:40" x14ac:dyDescent="0.25">
      <c r="C1202" s="40"/>
      <c r="D1202" s="101" t="s">
        <v>1790</v>
      </c>
      <c r="E1202" s="101" t="s">
        <v>1791</v>
      </c>
      <c r="F1202" s="102" t="s">
        <v>2750</v>
      </c>
      <c r="G1202" s="65"/>
      <c r="H1202" s="52"/>
      <c r="I1202" s="52" t="s">
        <v>1792</v>
      </c>
      <c r="J1202" s="52" t="s">
        <v>1792</v>
      </c>
      <c r="K1202" s="59" t="s">
        <v>79</v>
      </c>
      <c r="L1202" s="62" t="s">
        <v>1793</v>
      </c>
      <c r="M1202" s="52"/>
      <c r="N1202" s="52"/>
      <c r="O1202" s="61" t="s">
        <v>1794</v>
      </c>
      <c r="P1202" s="107" t="s">
        <v>1795</v>
      </c>
      <c r="Q1202" s="55">
        <f>VLOOKUP(E1202,'NI-Ric_SP'!$C:$AN,12,FALSE)</f>
        <v>0</v>
      </c>
      <c r="R1202" s="55">
        <f>VLOOKUP(E1202,'NI-Ric_SP'!$C:$AN,13,FALSE)</f>
        <v>0</v>
      </c>
      <c r="S1202" s="55"/>
      <c r="T1202" s="55"/>
      <c r="U1202" s="55">
        <f>VLOOKUP($E1202,'NI-Ric_SP'!$C:$AN,MID(U$1,1,2),FALSE)</f>
        <v>0</v>
      </c>
      <c r="V1202" s="55">
        <f>VLOOKUP($E1202,'NI-Ric_SP'!$C:$AN,MID(V$1,1,2),FALSE)</f>
        <v>0</v>
      </c>
      <c r="W1202" s="55">
        <f>VLOOKUP($E1202,'NI-Ric_SP'!$C:$AN,MID(W$1,1,2),FALSE)</f>
        <v>0</v>
      </c>
      <c r="X1202" s="55">
        <f>VLOOKUP($E1202,'NI-Ric_SP'!$C:$AN,MID(X$1,1,2),FALSE)</f>
        <v>0</v>
      </c>
      <c r="Y1202" s="55">
        <f>VLOOKUP($E1202,'NI-Ric_SP'!$C:$AN,MID(Y$1,1,2),FALSE)</f>
        <v>0</v>
      </c>
      <c r="Z1202" s="55">
        <f>VLOOKUP($E1202,'NI-Ric_SP'!$C:$AN,MID(Z$1,1,2),FALSE)</f>
        <v>0</v>
      </c>
      <c r="AA1202" s="55">
        <f>VLOOKUP($E1202,'NI-Ric_SP'!$C:$AN,MID(AA$1,1,2),FALSE)</f>
        <v>0</v>
      </c>
      <c r="AB1202" s="55">
        <f>VLOOKUP($E1202,'NI-Ric_SP'!$C:$AN,MID(AB$1,1,2),FALSE)</f>
        <v>0</v>
      </c>
      <c r="AC1202" s="55">
        <f>VLOOKUP($E1202,'NI-Ric_SP'!$C:$AN,MID(AC$1,1,2),FALSE)</f>
        <v>0</v>
      </c>
      <c r="AD1202" s="55">
        <f>VLOOKUP($E1202,'NI-Ric_SP'!$C:$AN,MID(AD$1,1,2),FALSE)</f>
        <v>0</v>
      </c>
      <c r="AE1202" s="55">
        <f>VLOOKUP($E1202,'NI-Ric_SP'!$C:$AN,MID(AE$1,1,2),FALSE)</f>
        <v>0</v>
      </c>
      <c r="AF1202" s="55">
        <f>VLOOKUP($E1202,'NI-Ric_SP'!$C:$AN,MID(AF$1,1,2),FALSE)</f>
        <v>0</v>
      </c>
      <c r="AG1202" s="55">
        <f>VLOOKUP($E1202,'NI-Ric_SP'!$C:$AN,MID(AG$1,1,2),FALSE)</f>
        <v>0</v>
      </c>
      <c r="AH1202" s="55">
        <f>VLOOKUP($E1202,'NI-Ric_SP'!$C:$AN,MID(AH$1,1,2),FALSE)</f>
        <v>0</v>
      </c>
      <c r="AI1202" s="55">
        <f>VLOOKUP($E1202,'NI-Ric_SP'!$C:$AN,MID(AI$1,1,2),FALSE)</f>
        <v>0</v>
      </c>
      <c r="AJ1202" s="55">
        <f>VLOOKUP($E1202,'NI-Ric_SP'!$C:$AN,MID(AJ$1,1,2),FALSE)</f>
        <v>0</v>
      </c>
      <c r="AK1202" s="55">
        <f>VLOOKUP($E1202,'NI-Ric_SP'!$C:$AN,MID(AK$1,1,2),FALSE)</f>
        <v>0</v>
      </c>
      <c r="AL1202" s="55">
        <f>VLOOKUP($E1202,'NI-Ric_SP'!$C:$AN,MID(AL$1,1,2),FALSE)</f>
        <v>0</v>
      </c>
      <c r="AM1202" s="56">
        <f>VLOOKUP($E1202,'NI-Ric_SP'!$C:$AN,MID(AM$1,1,2),FALSE)</f>
        <v>0</v>
      </c>
      <c r="AN1202" s="30" t="str">
        <f t="shared" si="18"/>
        <v>20403000000000</v>
      </c>
    </row>
    <row r="1203" spans="3:40" x14ac:dyDescent="0.25">
      <c r="C1203" s="40"/>
      <c r="D1203" s="101" t="s">
        <v>1796</v>
      </c>
      <c r="E1203" s="101" t="s">
        <v>1797</v>
      </c>
      <c r="F1203" s="102" t="s">
        <v>2750</v>
      </c>
      <c r="G1203" s="65"/>
      <c r="H1203" s="52"/>
      <c r="I1203" s="52" t="s">
        <v>1798</v>
      </c>
      <c r="J1203" s="52" t="s">
        <v>1798</v>
      </c>
      <c r="K1203" s="59" t="s">
        <v>79</v>
      </c>
      <c r="L1203" s="62" t="s">
        <v>1799</v>
      </c>
      <c r="M1203" s="52"/>
      <c r="N1203" s="52"/>
      <c r="O1203" s="61" t="s">
        <v>1800</v>
      </c>
      <c r="P1203" s="107" t="s">
        <v>1801</v>
      </c>
      <c r="Q1203" s="55">
        <f>VLOOKUP(E1203,'NI-Ric_SP'!$C:$AN,12,FALSE)</f>
        <v>0</v>
      </c>
      <c r="R1203" s="55">
        <f>VLOOKUP(E1203,'NI-Ric_SP'!$C:$AN,13,FALSE)</f>
        <v>0</v>
      </c>
      <c r="S1203" s="55"/>
      <c r="T1203" s="55"/>
      <c r="U1203" s="55">
        <f>VLOOKUP($E1203,'NI-Ric_SP'!$C:$AN,MID(U$1,1,2),FALSE)</f>
        <v>0</v>
      </c>
      <c r="V1203" s="55">
        <f>VLOOKUP($E1203,'NI-Ric_SP'!$C:$AN,MID(V$1,1,2),FALSE)</f>
        <v>0</v>
      </c>
      <c r="W1203" s="55">
        <f>VLOOKUP($E1203,'NI-Ric_SP'!$C:$AN,MID(W$1,1,2),FALSE)</f>
        <v>0</v>
      </c>
      <c r="X1203" s="55">
        <f>VLOOKUP($E1203,'NI-Ric_SP'!$C:$AN,MID(X$1,1,2),FALSE)</f>
        <v>0</v>
      </c>
      <c r="Y1203" s="55">
        <f>VLOOKUP($E1203,'NI-Ric_SP'!$C:$AN,MID(Y$1,1,2),FALSE)</f>
        <v>0</v>
      </c>
      <c r="Z1203" s="55">
        <f>VLOOKUP($E1203,'NI-Ric_SP'!$C:$AN,MID(Z$1,1,2),FALSE)</f>
        <v>0</v>
      </c>
      <c r="AA1203" s="55">
        <f>VLOOKUP($E1203,'NI-Ric_SP'!$C:$AN,MID(AA$1,1,2),FALSE)</f>
        <v>0</v>
      </c>
      <c r="AB1203" s="55">
        <f>VLOOKUP($E1203,'NI-Ric_SP'!$C:$AN,MID(AB$1,1,2),FALSE)</f>
        <v>0</v>
      </c>
      <c r="AC1203" s="55">
        <f>VLOOKUP($E1203,'NI-Ric_SP'!$C:$AN,MID(AC$1,1,2),FALSE)</f>
        <v>0</v>
      </c>
      <c r="AD1203" s="55">
        <f>VLOOKUP($E1203,'NI-Ric_SP'!$C:$AN,MID(AD$1,1,2),FALSE)</f>
        <v>0</v>
      </c>
      <c r="AE1203" s="55">
        <f>VLOOKUP($E1203,'NI-Ric_SP'!$C:$AN,MID(AE$1,1,2),FALSE)</f>
        <v>0</v>
      </c>
      <c r="AF1203" s="55">
        <f>VLOOKUP($E1203,'NI-Ric_SP'!$C:$AN,MID(AF$1,1,2),FALSE)</f>
        <v>0</v>
      </c>
      <c r="AG1203" s="55">
        <f>VLOOKUP($E1203,'NI-Ric_SP'!$C:$AN,MID(AG$1,1,2),FALSE)</f>
        <v>0</v>
      </c>
      <c r="AH1203" s="55">
        <f>VLOOKUP($E1203,'NI-Ric_SP'!$C:$AN,MID(AH$1,1,2),FALSE)</f>
        <v>0</v>
      </c>
      <c r="AI1203" s="55">
        <f>VLOOKUP($E1203,'NI-Ric_SP'!$C:$AN,MID(AI$1,1,2),FALSE)</f>
        <v>0</v>
      </c>
      <c r="AJ1203" s="55">
        <f>VLOOKUP($E1203,'NI-Ric_SP'!$C:$AN,MID(AJ$1,1,2),FALSE)</f>
        <v>0</v>
      </c>
      <c r="AK1203" s="55">
        <f>VLOOKUP($E1203,'NI-Ric_SP'!$C:$AN,MID(AK$1,1,2),FALSE)</f>
        <v>0</v>
      </c>
      <c r="AL1203" s="55">
        <f>VLOOKUP($E1203,'NI-Ric_SP'!$C:$AN,MID(AL$1,1,2),FALSE)</f>
        <v>0</v>
      </c>
      <c r="AM1203" s="56">
        <f>VLOOKUP($E1203,'NI-Ric_SP'!$C:$AN,MID(AM$1,1,2),FALSE)</f>
        <v>0</v>
      </c>
      <c r="AN1203" s="30" t="str">
        <f t="shared" si="18"/>
        <v>20404000000000</v>
      </c>
    </row>
    <row r="1204" spans="3:40" x14ac:dyDescent="0.25">
      <c r="C1204" s="40"/>
      <c r="D1204" s="101" t="s">
        <v>1802</v>
      </c>
      <c r="E1204" s="101" t="s">
        <v>1803</v>
      </c>
      <c r="F1204" s="102" t="s">
        <v>2750</v>
      </c>
      <c r="G1204" s="51"/>
      <c r="H1204" s="52"/>
      <c r="I1204" s="52"/>
      <c r="J1204" s="52"/>
      <c r="K1204" s="53" t="s">
        <v>111</v>
      </c>
      <c r="L1204" s="62" t="s">
        <v>1804</v>
      </c>
      <c r="M1204" s="52"/>
      <c r="N1204" s="52"/>
      <c r="O1204" s="52"/>
      <c r="P1204" s="54" t="s">
        <v>1805</v>
      </c>
      <c r="Q1204" s="55">
        <f>VLOOKUP(E1204,'NI-Ric_SP'!$C:$AN,12,FALSE)</f>
        <v>0</v>
      </c>
      <c r="R1204" s="55">
        <f>VLOOKUP(E1204,'NI-Ric_SP'!$C:$AN,13,FALSE)</f>
        <v>0</v>
      </c>
      <c r="S1204" s="55"/>
      <c r="T1204" s="55"/>
      <c r="U1204" s="55">
        <f>VLOOKUP($E1204,'NI-Ric_SP'!$C:$AN,MID(U$1,1,2),FALSE)</f>
        <v>0</v>
      </c>
      <c r="V1204" s="55">
        <f>VLOOKUP($E1204,'NI-Ric_SP'!$C:$AN,MID(V$1,1,2),FALSE)</f>
        <v>0</v>
      </c>
      <c r="W1204" s="55">
        <f>VLOOKUP($E1204,'NI-Ric_SP'!$C:$AN,MID(W$1,1,2),FALSE)</f>
        <v>0</v>
      </c>
      <c r="X1204" s="55">
        <f>VLOOKUP($E1204,'NI-Ric_SP'!$C:$AN,MID(X$1,1,2),FALSE)</f>
        <v>0</v>
      </c>
      <c r="Y1204" s="55">
        <f>VLOOKUP($E1204,'NI-Ric_SP'!$C:$AN,MID(Y$1,1,2),FALSE)</f>
        <v>0</v>
      </c>
      <c r="Z1204" s="55">
        <f>VLOOKUP($E1204,'NI-Ric_SP'!$C:$AN,MID(Z$1,1,2),FALSE)</f>
        <v>0</v>
      </c>
      <c r="AA1204" s="55">
        <f>VLOOKUP($E1204,'NI-Ric_SP'!$C:$AN,MID(AA$1,1,2),FALSE)</f>
        <v>0</v>
      </c>
      <c r="AB1204" s="55">
        <f>VLOOKUP($E1204,'NI-Ric_SP'!$C:$AN,MID(AB$1,1,2),FALSE)</f>
        <v>0</v>
      </c>
      <c r="AC1204" s="55">
        <f>VLOOKUP($E1204,'NI-Ric_SP'!$C:$AN,MID(AC$1,1,2),FALSE)</f>
        <v>0</v>
      </c>
      <c r="AD1204" s="55">
        <f>VLOOKUP($E1204,'NI-Ric_SP'!$C:$AN,MID(AD$1,1,2),FALSE)</f>
        <v>0</v>
      </c>
      <c r="AE1204" s="55">
        <f>VLOOKUP($E1204,'NI-Ric_SP'!$C:$AN,MID(AE$1,1,2),FALSE)</f>
        <v>0</v>
      </c>
      <c r="AF1204" s="55">
        <f>VLOOKUP($E1204,'NI-Ric_SP'!$C:$AN,MID(AF$1,1,2),FALSE)</f>
        <v>0</v>
      </c>
      <c r="AG1204" s="55">
        <f>VLOOKUP($E1204,'NI-Ric_SP'!$C:$AN,MID(AG$1,1,2),FALSE)</f>
        <v>0</v>
      </c>
      <c r="AH1204" s="55">
        <f>VLOOKUP($E1204,'NI-Ric_SP'!$C:$AN,MID(AH$1,1,2),FALSE)</f>
        <v>0</v>
      </c>
      <c r="AI1204" s="55">
        <f>VLOOKUP($E1204,'NI-Ric_SP'!$C:$AN,MID(AI$1,1,2),FALSE)</f>
        <v>0</v>
      </c>
      <c r="AJ1204" s="55">
        <f>VLOOKUP($E1204,'NI-Ric_SP'!$C:$AN,MID(AJ$1,1,2),FALSE)</f>
        <v>0</v>
      </c>
      <c r="AK1204" s="55">
        <f>VLOOKUP($E1204,'NI-Ric_SP'!$C:$AN,MID(AK$1,1,2),FALSE)</f>
        <v>0</v>
      </c>
      <c r="AL1204" s="55">
        <f>VLOOKUP($E1204,'NI-Ric_SP'!$C:$AN,MID(AL$1,1,2),FALSE)</f>
        <v>0</v>
      </c>
      <c r="AM1204" s="56">
        <f>VLOOKUP($E1204,'NI-Ric_SP'!$C:$AN,MID(AM$1,1,2),FALSE)</f>
        <v>0</v>
      </c>
      <c r="AN1204" s="30" t="str">
        <f t="shared" si="18"/>
        <v>30000000000000</v>
      </c>
    </row>
    <row r="1205" spans="3:40" x14ac:dyDescent="0.25">
      <c r="C1205" s="40"/>
      <c r="D1205" s="101" t="s">
        <v>1806</v>
      </c>
      <c r="E1205" s="101" t="s">
        <v>1807</v>
      </c>
      <c r="F1205" s="102" t="s">
        <v>2750</v>
      </c>
      <c r="G1205" s="52"/>
      <c r="H1205" s="52"/>
      <c r="I1205" s="52"/>
      <c r="J1205" s="52"/>
      <c r="K1205" s="59" t="s">
        <v>111</v>
      </c>
      <c r="L1205" s="52"/>
      <c r="M1205" s="52"/>
      <c r="N1205" s="52"/>
      <c r="O1205" s="61" t="s">
        <v>1808</v>
      </c>
      <c r="P1205" s="60" t="s">
        <v>1809</v>
      </c>
      <c r="Q1205" s="55">
        <f>VLOOKUP(E1205,'NI-Ric_SP'!$C:$AN,12,FALSE)</f>
        <v>0</v>
      </c>
      <c r="R1205" s="55">
        <f>VLOOKUP(E1205,'NI-Ric_SP'!$C:$AN,13,FALSE)</f>
        <v>0</v>
      </c>
      <c r="S1205" s="55"/>
      <c r="T1205" s="55"/>
      <c r="U1205" s="55">
        <f>VLOOKUP($E1205,'NI-Ric_SP'!$C:$AN,MID(U$1,1,2),FALSE)</f>
        <v>0</v>
      </c>
      <c r="V1205" s="55">
        <f>VLOOKUP($E1205,'NI-Ric_SP'!$C:$AN,MID(V$1,1,2),FALSE)</f>
        <v>0</v>
      </c>
      <c r="W1205" s="55">
        <f>VLOOKUP($E1205,'NI-Ric_SP'!$C:$AN,MID(W$1,1,2),FALSE)</f>
        <v>0</v>
      </c>
      <c r="X1205" s="55">
        <f>VLOOKUP($E1205,'NI-Ric_SP'!$C:$AN,MID(X$1,1,2),FALSE)</f>
        <v>0</v>
      </c>
      <c r="Y1205" s="55">
        <f>VLOOKUP($E1205,'NI-Ric_SP'!$C:$AN,MID(Y$1,1,2),FALSE)</f>
        <v>0</v>
      </c>
      <c r="Z1205" s="55">
        <f>VLOOKUP($E1205,'NI-Ric_SP'!$C:$AN,MID(Z$1,1,2),FALSE)</f>
        <v>0</v>
      </c>
      <c r="AA1205" s="55">
        <f>VLOOKUP($E1205,'NI-Ric_SP'!$C:$AN,MID(AA$1,1,2),FALSE)</f>
        <v>0</v>
      </c>
      <c r="AB1205" s="55">
        <f>VLOOKUP($E1205,'NI-Ric_SP'!$C:$AN,MID(AB$1,1,2),FALSE)</f>
        <v>0</v>
      </c>
      <c r="AC1205" s="55">
        <f>VLOOKUP($E1205,'NI-Ric_SP'!$C:$AN,MID(AC$1,1,2),FALSE)</f>
        <v>0</v>
      </c>
      <c r="AD1205" s="55">
        <f>VLOOKUP($E1205,'NI-Ric_SP'!$C:$AN,MID(AD$1,1,2),FALSE)</f>
        <v>0</v>
      </c>
      <c r="AE1205" s="55">
        <f>VLOOKUP($E1205,'NI-Ric_SP'!$C:$AN,MID(AE$1,1,2),FALSE)</f>
        <v>0</v>
      </c>
      <c r="AF1205" s="55">
        <f>VLOOKUP($E1205,'NI-Ric_SP'!$C:$AN,MID(AF$1,1,2),FALSE)</f>
        <v>0</v>
      </c>
      <c r="AG1205" s="55">
        <f>VLOOKUP($E1205,'NI-Ric_SP'!$C:$AN,MID(AG$1,1,2),FALSE)</f>
        <v>0</v>
      </c>
      <c r="AH1205" s="55">
        <f>VLOOKUP($E1205,'NI-Ric_SP'!$C:$AN,MID(AH$1,1,2),FALSE)</f>
        <v>0</v>
      </c>
      <c r="AI1205" s="55">
        <f>VLOOKUP($E1205,'NI-Ric_SP'!$C:$AN,MID(AI$1,1,2),FALSE)</f>
        <v>0</v>
      </c>
      <c r="AJ1205" s="55">
        <f>VLOOKUP($E1205,'NI-Ric_SP'!$C:$AN,MID(AJ$1,1,2),FALSE)</f>
        <v>0</v>
      </c>
      <c r="AK1205" s="55">
        <f>VLOOKUP($E1205,'NI-Ric_SP'!$C:$AN,MID(AK$1,1,2),FALSE)</f>
        <v>0</v>
      </c>
      <c r="AL1205" s="55">
        <f>VLOOKUP($E1205,'NI-Ric_SP'!$C:$AN,MID(AL$1,1,2),FALSE)</f>
        <v>0</v>
      </c>
      <c r="AM1205" s="56">
        <f>VLOOKUP($E1205,'NI-Ric_SP'!$C:$AN,MID(AM$1,1,2),FALSE)</f>
        <v>0</v>
      </c>
      <c r="AN1205" s="30" t="str">
        <f t="shared" si="18"/>
        <v>30100000000000</v>
      </c>
    </row>
    <row r="1206" spans="3:40" x14ac:dyDescent="0.25">
      <c r="C1206" s="40"/>
      <c r="D1206" s="101" t="s">
        <v>1810</v>
      </c>
      <c r="E1206" s="101" t="s">
        <v>1811</v>
      </c>
      <c r="F1206" s="102" t="s">
        <v>2750</v>
      </c>
      <c r="G1206" s="52"/>
      <c r="H1206" s="52"/>
      <c r="I1206" s="52" t="s">
        <v>1812</v>
      </c>
      <c r="J1206" s="52" t="s">
        <v>1812</v>
      </c>
      <c r="K1206" s="59" t="s">
        <v>79</v>
      </c>
      <c r="L1206" s="52"/>
      <c r="M1206" s="52"/>
      <c r="N1206" s="52"/>
      <c r="O1206" s="52"/>
      <c r="P1206" s="107" t="s">
        <v>1813</v>
      </c>
      <c r="Q1206" s="55">
        <f>VLOOKUP(E1206,'NI-Ric_SP'!$C:$AN,12,FALSE)</f>
        <v>0</v>
      </c>
      <c r="R1206" s="55">
        <f>VLOOKUP(E1206,'NI-Ric_SP'!$C:$AN,13,FALSE)</f>
        <v>0</v>
      </c>
      <c r="S1206" s="55"/>
      <c r="T1206" s="55"/>
      <c r="U1206" s="55">
        <f>VLOOKUP($E1206,'NI-Ric_SP'!$C:$AN,MID(U$1,1,2),FALSE)</f>
        <v>0</v>
      </c>
      <c r="V1206" s="55">
        <f>VLOOKUP($E1206,'NI-Ric_SP'!$C:$AN,MID(V$1,1,2),FALSE)</f>
        <v>0</v>
      </c>
      <c r="W1206" s="55">
        <f>VLOOKUP($E1206,'NI-Ric_SP'!$C:$AN,MID(W$1,1,2),FALSE)</f>
        <v>0</v>
      </c>
      <c r="X1206" s="55">
        <f>VLOOKUP($E1206,'NI-Ric_SP'!$C:$AN,MID(X$1,1,2),FALSE)</f>
        <v>0</v>
      </c>
      <c r="Y1206" s="55">
        <f>VLOOKUP($E1206,'NI-Ric_SP'!$C:$AN,MID(Y$1,1,2),FALSE)</f>
        <v>0</v>
      </c>
      <c r="Z1206" s="55">
        <f>VLOOKUP($E1206,'NI-Ric_SP'!$C:$AN,MID(Z$1,1,2),FALSE)</f>
        <v>0</v>
      </c>
      <c r="AA1206" s="55">
        <f>VLOOKUP($E1206,'NI-Ric_SP'!$C:$AN,MID(AA$1,1,2),FALSE)</f>
        <v>0</v>
      </c>
      <c r="AB1206" s="55">
        <f>VLOOKUP($E1206,'NI-Ric_SP'!$C:$AN,MID(AB$1,1,2),FALSE)</f>
        <v>0</v>
      </c>
      <c r="AC1206" s="55">
        <f>VLOOKUP($E1206,'NI-Ric_SP'!$C:$AN,MID(AC$1,1,2),FALSE)</f>
        <v>0</v>
      </c>
      <c r="AD1206" s="55">
        <f>VLOOKUP($E1206,'NI-Ric_SP'!$C:$AN,MID(AD$1,1,2),FALSE)</f>
        <v>0</v>
      </c>
      <c r="AE1206" s="55">
        <f>VLOOKUP($E1206,'NI-Ric_SP'!$C:$AN,MID(AE$1,1,2),FALSE)</f>
        <v>0</v>
      </c>
      <c r="AF1206" s="55">
        <f>VLOOKUP($E1206,'NI-Ric_SP'!$C:$AN,MID(AF$1,1,2),FALSE)</f>
        <v>0</v>
      </c>
      <c r="AG1206" s="55">
        <f>VLOOKUP($E1206,'NI-Ric_SP'!$C:$AN,MID(AG$1,1,2),FALSE)</f>
        <v>0</v>
      </c>
      <c r="AH1206" s="55">
        <f>VLOOKUP($E1206,'NI-Ric_SP'!$C:$AN,MID(AH$1,1,2),FALSE)</f>
        <v>0</v>
      </c>
      <c r="AI1206" s="55">
        <f>VLOOKUP($E1206,'NI-Ric_SP'!$C:$AN,MID(AI$1,1,2),FALSE)</f>
        <v>0</v>
      </c>
      <c r="AJ1206" s="55">
        <f>VLOOKUP($E1206,'NI-Ric_SP'!$C:$AN,MID(AJ$1,1,2),FALSE)</f>
        <v>0</v>
      </c>
      <c r="AK1206" s="55">
        <f>VLOOKUP($E1206,'NI-Ric_SP'!$C:$AN,MID(AK$1,1,2),FALSE)</f>
        <v>0</v>
      </c>
      <c r="AL1206" s="55">
        <f>VLOOKUP($E1206,'NI-Ric_SP'!$C:$AN,MID(AL$1,1,2),FALSE)</f>
        <v>0</v>
      </c>
      <c r="AM1206" s="56">
        <f>VLOOKUP($E1206,'NI-Ric_SP'!$C:$AN,MID(AM$1,1,2),FALSE)</f>
        <v>0</v>
      </c>
      <c r="AN1206" s="30" t="str">
        <f t="shared" si="18"/>
        <v>30101000000000</v>
      </c>
    </row>
    <row r="1207" spans="3:40" x14ac:dyDescent="0.25">
      <c r="C1207" s="40"/>
      <c r="D1207" s="101" t="s">
        <v>1814</v>
      </c>
      <c r="E1207" s="101" t="s">
        <v>1815</v>
      </c>
      <c r="F1207" s="102" t="s">
        <v>2750</v>
      </c>
      <c r="G1207" s="52" t="s">
        <v>1608</v>
      </c>
      <c r="H1207" s="52"/>
      <c r="I1207" s="52" t="s">
        <v>1816</v>
      </c>
      <c r="J1207" s="52" t="s">
        <v>1816</v>
      </c>
      <c r="K1207" s="59" t="s">
        <v>111</v>
      </c>
      <c r="L1207" s="52"/>
      <c r="M1207" s="52"/>
      <c r="N1207" s="52"/>
      <c r="O1207" s="52"/>
      <c r="P1207" s="107" t="s">
        <v>1817</v>
      </c>
      <c r="Q1207" s="55">
        <f>VLOOKUP(E1207,'NI-Ric_SP'!$C:$AN,12,FALSE)</f>
        <v>0</v>
      </c>
      <c r="R1207" s="55">
        <f>VLOOKUP(E1207,'NI-Ric_SP'!$C:$AN,13,FALSE)</f>
        <v>0</v>
      </c>
      <c r="S1207" s="55"/>
      <c r="T1207" s="55"/>
      <c r="U1207" s="55">
        <f>VLOOKUP($E1207,'NI-Ric_SP'!$C:$AN,MID(U$1,1,2),FALSE)</f>
        <v>0</v>
      </c>
      <c r="V1207" s="55">
        <f>VLOOKUP($E1207,'NI-Ric_SP'!$C:$AN,MID(V$1,1,2),FALSE)</f>
        <v>0</v>
      </c>
      <c r="W1207" s="55">
        <f>VLOOKUP($E1207,'NI-Ric_SP'!$C:$AN,MID(W$1,1,2),FALSE)</f>
        <v>0</v>
      </c>
      <c r="X1207" s="55">
        <f>VLOOKUP($E1207,'NI-Ric_SP'!$C:$AN,MID(X$1,1,2),FALSE)</f>
        <v>0</v>
      </c>
      <c r="Y1207" s="55">
        <f>VLOOKUP($E1207,'NI-Ric_SP'!$C:$AN,MID(Y$1,1,2),FALSE)</f>
        <v>0</v>
      </c>
      <c r="Z1207" s="55">
        <f>VLOOKUP($E1207,'NI-Ric_SP'!$C:$AN,MID(Z$1,1,2),FALSE)</f>
        <v>0</v>
      </c>
      <c r="AA1207" s="55">
        <f>VLOOKUP($E1207,'NI-Ric_SP'!$C:$AN,MID(AA$1,1,2),FALSE)</f>
        <v>0</v>
      </c>
      <c r="AB1207" s="55">
        <f>VLOOKUP($E1207,'NI-Ric_SP'!$C:$AN,MID(AB$1,1,2),FALSE)</f>
        <v>0</v>
      </c>
      <c r="AC1207" s="55">
        <f>VLOOKUP($E1207,'NI-Ric_SP'!$C:$AN,MID(AC$1,1,2),FALSE)</f>
        <v>0</v>
      </c>
      <c r="AD1207" s="55">
        <f>VLOOKUP($E1207,'NI-Ric_SP'!$C:$AN,MID(AD$1,1,2),FALSE)</f>
        <v>0</v>
      </c>
      <c r="AE1207" s="55">
        <f>VLOOKUP($E1207,'NI-Ric_SP'!$C:$AN,MID(AE$1,1,2),FALSE)</f>
        <v>0</v>
      </c>
      <c r="AF1207" s="55">
        <f>VLOOKUP($E1207,'NI-Ric_SP'!$C:$AN,MID(AF$1,1,2),FALSE)</f>
        <v>0</v>
      </c>
      <c r="AG1207" s="55">
        <f>VLOOKUP($E1207,'NI-Ric_SP'!$C:$AN,MID(AG$1,1,2),FALSE)</f>
        <v>0</v>
      </c>
      <c r="AH1207" s="55">
        <f>VLOOKUP($E1207,'NI-Ric_SP'!$C:$AN,MID(AH$1,1,2),FALSE)</f>
        <v>0</v>
      </c>
      <c r="AI1207" s="55">
        <f>VLOOKUP($E1207,'NI-Ric_SP'!$C:$AN,MID(AI$1,1,2),FALSE)</f>
        <v>0</v>
      </c>
      <c r="AJ1207" s="55">
        <f>VLOOKUP($E1207,'NI-Ric_SP'!$C:$AN,MID(AJ$1,1,2),FALSE)</f>
        <v>0</v>
      </c>
      <c r="AK1207" s="55">
        <f>VLOOKUP($E1207,'NI-Ric_SP'!$C:$AN,MID(AK$1,1,2),FALSE)</f>
        <v>0</v>
      </c>
      <c r="AL1207" s="55">
        <f>VLOOKUP($E1207,'NI-Ric_SP'!$C:$AN,MID(AL$1,1,2),FALSE)</f>
        <v>0</v>
      </c>
      <c r="AM1207" s="56">
        <f>VLOOKUP($E1207,'NI-Ric_SP'!$C:$AN,MID(AM$1,1,2),FALSE)</f>
        <v>0</v>
      </c>
      <c r="AN1207" s="30" t="str">
        <f t="shared" si="18"/>
        <v>30102000000000</v>
      </c>
    </row>
    <row r="1208" spans="3:40" x14ac:dyDescent="0.25">
      <c r="C1208" s="40"/>
      <c r="D1208" s="101" t="s">
        <v>1818</v>
      </c>
      <c r="E1208" s="101" t="s">
        <v>1819</v>
      </c>
      <c r="F1208" s="102" t="s">
        <v>2750</v>
      </c>
      <c r="G1208" s="52" t="s">
        <v>1608</v>
      </c>
      <c r="H1208" s="52"/>
      <c r="I1208" s="52"/>
      <c r="J1208" s="52"/>
      <c r="K1208" s="59" t="s">
        <v>79</v>
      </c>
      <c r="L1208" s="52"/>
      <c r="M1208" s="52"/>
      <c r="N1208" s="52"/>
      <c r="O1208" s="52"/>
      <c r="P1208" s="108" t="s">
        <v>1820</v>
      </c>
      <c r="Q1208" s="55">
        <f>VLOOKUP(E1208,'NI-Ric_SP'!$C:$AN,12,FALSE)</f>
        <v>0</v>
      </c>
      <c r="R1208" s="55">
        <f>VLOOKUP(E1208,'NI-Ric_SP'!$C:$AN,13,FALSE)</f>
        <v>0</v>
      </c>
      <c r="S1208" s="55"/>
      <c r="T1208" s="55"/>
      <c r="U1208" s="55">
        <f>VLOOKUP($E1208,'NI-Ric_SP'!$C:$AN,MID(U$1,1,2),FALSE)</f>
        <v>0</v>
      </c>
      <c r="V1208" s="55">
        <f>VLOOKUP($E1208,'NI-Ric_SP'!$C:$AN,MID(V$1,1,2),FALSE)</f>
        <v>0</v>
      </c>
      <c r="W1208" s="55">
        <f>VLOOKUP($E1208,'NI-Ric_SP'!$C:$AN,MID(W$1,1,2),FALSE)</f>
        <v>0</v>
      </c>
      <c r="X1208" s="55">
        <f>VLOOKUP($E1208,'NI-Ric_SP'!$C:$AN,MID(X$1,1,2),FALSE)</f>
        <v>0</v>
      </c>
      <c r="Y1208" s="55">
        <f>VLOOKUP($E1208,'NI-Ric_SP'!$C:$AN,MID(Y$1,1,2),FALSE)</f>
        <v>0</v>
      </c>
      <c r="Z1208" s="55">
        <f>VLOOKUP($E1208,'NI-Ric_SP'!$C:$AN,MID(Z$1,1,2),FALSE)</f>
        <v>0</v>
      </c>
      <c r="AA1208" s="55">
        <f>VLOOKUP($E1208,'NI-Ric_SP'!$C:$AN,MID(AA$1,1,2),FALSE)</f>
        <v>0</v>
      </c>
      <c r="AB1208" s="55">
        <f>VLOOKUP($E1208,'NI-Ric_SP'!$C:$AN,MID(AB$1,1,2),FALSE)</f>
        <v>0</v>
      </c>
      <c r="AC1208" s="55">
        <f>VLOOKUP($E1208,'NI-Ric_SP'!$C:$AN,MID(AC$1,1,2),FALSE)</f>
        <v>0</v>
      </c>
      <c r="AD1208" s="55">
        <f>VLOOKUP($E1208,'NI-Ric_SP'!$C:$AN,MID(AD$1,1,2),FALSE)</f>
        <v>0</v>
      </c>
      <c r="AE1208" s="55">
        <f>VLOOKUP($E1208,'NI-Ric_SP'!$C:$AN,MID(AE$1,1,2),FALSE)</f>
        <v>0</v>
      </c>
      <c r="AF1208" s="55">
        <f>VLOOKUP($E1208,'NI-Ric_SP'!$C:$AN,MID(AF$1,1,2),FALSE)</f>
        <v>0</v>
      </c>
      <c r="AG1208" s="55">
        <f>VLOOKUP($E1208,'NI-Ric_SP'!$C:$AN,MID(AG$1,1,2),FALSE)</f>
        <v>0</v>
      </c>
      <c r="AH1208" s="55">
        <f>VLOOKUP($E1208,'NI-Ric_SP'!$C:$AN,MID(AH$1,1,2),FALSE)</f>
        <v>0</v>
      </c>
      <c r="AI1208" s="55">
        <f>VLOOKUP($E1208,'NI-Ric_SP'!$C:$AN,MID(AI$1,1,2),FALSE)</f>
        <v>0</v>
      </c>
      <c r="AJ1208" s="55">
        <f>VLOOKUP($E1208,'NI-Ric_SP'!$C:$AN,MID(AJ$1,1,2),FALSE)</f>
        <v>0</v>
      </c>
      <c r="AK1208" s="55">
        <f>VLOOKUP($E1208,'NI-Ric_SP'!$C:$AN,MID(AK$1,1,2),FALSE)</f>
        <v>0</v>
      </c>
      <c r="AL1208" s="55">
        <f>VLOOKUP($E1208,'NI-Ric_SP'!$C:$AN,MID(AL$1,1,2),FALSE)</f>
        <v>0</v>
      </c>
      <c r="AM1208" s="56">
        <f>VLOOKUP($E1208,'NI-Ric_SP'!$C:$AN,MID(AM$1,1,2),FALSE)</f>
        <v>0</v>
      </c>
      <c r="AN1208" s="30" t="str">
        <f t="shared" si="18"/>
        <v>30102010000000</v>
      </c>
    </row>
    <row r="1209" spans="3:40" x14ac:dyDescent="0.25">
      <c r="C1209" s="40"/>
      <c r="D1209" s="101" t="s">
        <v>1821</v>
      </c>
      <c r="E1209" s="101" t="s">
        <v>1822</v>
      </c>
      <c r="F1209" s="102" t="s">
        <v>2750</v>
      </c>
      <c r="G1209" s="52" t="s">
        <v>1608</v>
      </c>
      <c r="H1209" s="52"/>
      <c r="I1209" s="52"/>
      <c r="J1209" s="52"/>
      <c r="K1209" s="59" t="s">
        <v>79</v>
      </c>
      <c r="L1209" s="52"/>
      <c r="M1209" s="52"/>
      <c r="N1209" s="52"/>
      <c r="O1209" s="52"/>
      <c r="P1209" s="109" t="s">
        <v>1823</v>
      </c>
      <c r="Q1209" s="55">
        <f>VLOOKUP(E1209,'NI-Ric_SP'!$C:$AN,12,FALSE)</f>
        <v>0</v>
      </c>
      <c r="R1209" s="55">
        <f>VLOOKUP(E1209,'NI-Ric_SP'!$C:$AN,13,FALSE)</f>
        <v>0</v>
      </c>
      <c r="S1209" s="55"/>
      <c r="T1209" s="55"/>
      <c r="U1209" s="55">
        <f>VLOOKUP($E1209,'NI-Ric_SP'!$C:$AN,MID(U$1,1,2),FALSE)</f>
        <v>0</v>
      </c>
      <c r="V1209" s="55">
        <f>VLOOKUP($E1209,'NI-Ric_SP'!$C:$AN,MID(V$1,1,2),FALSE)</f>
        <v>0</v>
      </c>
      <c r="W1209" s="55">
        <f>VLOOKUP($E1209,'NI-Ric_SP'!$C:$AN,MID(W$1,1,2),FALSE)</f>
        <v>0</v>
      </c>
      <c r="X1209" s="55">
        <f>VLOOKUP($E1209,'NI-Ric_SP'!$C:$AN,MID(X$1,1,2),FALSE)</f>
        <v>0</v>
      </c>
      <c r="Y1209" s="55">
        <f>VLOOKUP($E1209,'NI-Ric_SP'!$C:$AN,MID(Y$1,1,2),FALSE)</f>
        <v>0</v>
      </c>
      <c r="Z1209" s="55">
        <f>VLOOKUP($E1209,'NI-Ric_SP'!$C:$AN,MID(Z$1,1,2),FALSE)</f>
        <v>0</v>
      </c>
      <c r="AA1209" s="55">
        <f>VLOOKUP($E1209,'NI-Ric_SP'!$C:$AN,MID(AA$1,1,2),FALSE)</f>
        <v>0</v>
      </c>
      <c r="AB1209" s="55">
        <f>VLOOKUP($E1209,'NI-Ric_SP'!$C:$AN,MID(AB$1,1,2),FALSE)</f>
        <v>0</v>
      </c>
      <c r="AC1209" s="55">
        <f>VLOOKUP($E1209,'NI-Ric_SP'!$C:$AN,MID(AC$1,1,2),FALSE)</f>
        <v>0</v>
      </c>
      <c r="AD1209" s="55">
        <f>VLOOKUP($E1209,'NI-Ric_SP'!$C:$AN,MID(AD$1,1,2),FALSE)</f>
        <v>0</v>
      </c>
      <c r="AE1209" s="55">
        <f>VLOOKUP($E1209,'NI-Ric_SP'!$C:$AN,MID(AE$1,1,2),FALSE)</f>
        <v>0</v>
      </c>
      <c r="AF1209" s="55">
        <f>VLOOKUP($E1209,'NI-Ric_SP'!$C:$AN,MID(AF$1,1,2),FALSE)</f>
        <v>0</v>
      </c>
      <c r="AG1209" s="55">
        <f>VLOOKUP($E1209,'NI-Ric_SP'!$C:$AN,MID(AG$1,1,2),FALSE)</f>
        <v>0</v>
      </c>
      <c r="AH1209" s="55">
        <f>VLOOKUP($E1209,'NI-Ric_SP'!$C:$AN,MID(AH$1,1,2),FALSE)</f>
        <v>0</v>
      </c>
      <c r="AI1209" s="55">
        <f>VLOOKUP($E1209,'NI-Ric_SP'!$C:$AN,MID(AI$1,1,2),FALSE)</f>
        <v>0</v>
      </c>
      <c r="AJ1209" s="55">
        <f>VLOOKUP($E1209,'NI-Ric_SP'!$C:$AN,MID(AJ$1,1,2),FALSE)</f>
        <v>0</v>
      </c>
      <c r="AK1209" s="55">
        <f>VLOOKUP($E1209,'NI-Ric_SP'!$C:$AN,MID(AK$1,1,2),FALSE)</f>
        <v>0</v>
      </c>
      <c r="AL1209" s="55">
        <f>VLOOKUP($E1209,'NI-Ric_SP'!$C:$AN,MID(AL$1,1,2),FALSE)</f>
        <v>0</v>
      </c>
      <c r="AM1209" s="56">
        <f>VLOOKUP($E1209,'NI-Ric_SP'!$C:$AN,MID(AM$1,1,2),FALSE)</f>
        <v>0</v>
      </c>
      <c r="AN1209" s="30" t="str">
        <f t="shared" si="18"/>
        <v>30102020000000</v>
      </c>
    </row>
    <row r="1210" spans="3:40" x14ac:dyDescent="0.25">
      <c r="C1210" s="40"/>
      <c r="D1210" s="101" t="s">
        <v>1824</v>
      </c>
      <c r="E1210" s="101" t="s">
        <v>1825</v>
      </c>
      <c r="F1210" s="102" t="s">
        <v>2750</v>
      </c>
      <c r="G1210" s="52" t="s">
        <v>1608</v>
      </c>
      <c r="H1210" s="52"/>
      <c r="I1210" s="52"/>
      <c r="J1210" s="52"/>
      <c r="K1210" s="59" t="s">
        <v>79</v>
      </c>
      <c r="L1210" s="52"/>
      <c r="M1210" s="52"/>
      <c r="N1210" s="52"/>
      <c r="O1210" s="52"/>
      <c r="P1210" s="109" t="s">
        <v>1826</v>
      </c>
      <c r="Q1210" s="55">
        <f>VLOOKUP(E1210,'NI-Ric_SP'!$C:$AN,12,FALSE)</f>
        <v>0</v>
      </c>
      <c r="R1210" s="55">
        <f>VLOOKUP(E1210,'NI-Ric_SP'!$C:$AN,13,FALSE)</f>
        <v>0</v>
      </c>
      <c r="S1210" s="55"/>
      <c r="T1210" s="55"/>
      <c r="U1210" s="55">
        <f>VLOOKUP($E1210,'NI-Ric_SP'!$C:$AN,MID(U$1,1,2),FALSE)</f>
        <v>0</v>
      </c>
      <c r="V1210" s="55">
        <f>VLOOKUP($E1210,'NI-Ric_SP'!$C:$AN,MID(V$1,1,2),FALSE)</f>
        <v>0</v>
      </c>
      <c r="W1210" s="55">
        <f>VLOOKUP($E1210,'NI-Ric_SP'!$C:$AN,MID(W$1,1,2),FALSE)</f>
        <v>0</v>
      </c>
      <c r="X1210" s="55">
        <f>VLOOKUP($E1210,'NI-Ric_SP'!$C:$AN,MID(X$1,1,2),FALSE)</f>
        <v>0</v>
      </c>
      <c r="Y1210" s="55">
        <f>VLOOKUP($E1210,'NI-Ric_SP'!$C:$AN,MID(Y$1,1,2),FALSE)</f>
        <v>0</v>
      </c>
      <c r="Z1210" s="55">
        <f>VLOOKUP($E1210,'NI-Ric_SP'!$C:$AN,MID(Z$1,1,2),FALSE)</f>
        <v>0</v>
      </c>
      <c r="AA1210" s="55">
        <f>VLOOKUP($E1210,'NI-Ric_SP'!$C:$AN,MID(AA$1,1,2),FALSE)</f>
        <v>0</v>
      </c>
      <c r="AB1210" s="55">
        <f>VLOOKUP($E1210,'NI-Ric_SP'!$C:$AN,MID(AB$1,1,2),FALSE)</f>
        <v>0</v>
      </c>
      <c r="AC1210" s="55">
        <f>VLOOKUP($E1210,'NI-Ric_SP'!$C:$AN,MID(AC$1,1,2),FALSE)</f>
        <v>0</v>
      </c>
      <c r="AD1210" s="55">
        <f>VLOOKUP($E1210,'NI-Ric_SP'!$C:$AN,MID(AD$1,1,2),FALSE)</f>
        <v>0</v>
      </c>
      <c r="AE1210" s="55">
        <f>VLOOKUP($E1210,'NI-Ric_SP'!$C:$AN,MID(AE$1,1,2),FALSE)</f>
        <v>0</v>
      </c>
      <c r="AF1210" s="55">
        <f>VLOOKUP($E1210,'NI-Ric_SP'!$C:$AN,MID(AF$1,1,2),FALSE)</f>
        <v>0</v>
      </c>
      <c r="AG1210" s="55">
        <f>VLOOKUP($E1210,'NI-Ric_SP'!$C:$AN,MID(AG$1,1,2),FALSE)</f>
        <v>0</v>
      </c>
      <c r="AH1210" s="55">
        <f>VLOOKUP($E1210,'NI-Ric_SP'!$C:$AN,MID(AH$1,1,2),FALSE)</f>
        <v>0</v>
      </c>
      <c r="AI1210" s="55">
        <f>VLOOKUP($E1210,'NI-Ric_SP'!$C:$AN,MID(AI$1,1,2),FALSE)</f>
        <v>0</v>
      </c>
      <c r="AJ1210" s="55">
        <f>VLOOKUP($E1210,'NI-Ric_SP'!$C:$AN,MID(AJ$1,1,2),FALSE)</f>
        <v>0</v>
      </c>
      <c r="AK1210" s="55">
        <f>VLOOKUP($E1210,'NI-Ric_SP'!$C:$AN,MID(AK$1,1,2),FALSE)</f>
        <v>0</v>
      </c>
      <c r="AL1210" s="55">
        <f>VLOOKUP($E1210,'NI-Ric_SP'!$C:$AN,MID(AL$1,1,2),FALSE)</f>
        <v>0</v>
      </c>
      <c r="AM1210" s="56">
        <f>VLOOKUP($E1210,'NI-Ric_SP'!$C:$AN,MID(AM$1,1,2),FALSE)</f>
        <v>0</v>
      </c>
      <c r="AN1210" s="30" t="str">
        <f t="shared" si="18"/>
        <v>30102030000000</v>
      </c>
    </row>
    <row r="1211" spans="3:40" x14ac:dyDescent="0.25">
      <c r="C1211" s="40"/>
      <c r="D1211" s="101" t="s">
        <v>1827</v>
      </c>
      <c r="E1211" s="101" t="s">
        <v>1828</v>
      </c>
      <c r="F1211" s="102" t="s">
        <v>2750</v>
      </c>
      <c r="G1211" s="52"/>
      <c r="H1211" s="52"/>
      <c r="I1211" s="52"/>
      <c r="J1211" s="52"/>
      <c r="K1211" s="59" t="s">
        <v>111</v>
      </c>
      <c r="L1211" s="52"/>
      <c r="M1211" s="52"/>
      <c r="N1211" s="52"/>
      <c r="O1211" s="61" t="s">
        <v>1829</v>
      </c>
      <c r="P1211" s="60" t="s">
        <v>1830</v>
      </c>
      <c r="Q1211" s="55">
        <f>VLOOKUP(E1211,'NI-Ric_SP'!$C:$AN,12,FALSE)</f>
        <v>0</v>
      </c>
      <c r="R1211" s="55">
        <f>VLOOKUP(E1211,'NI-Ric_SP'!$C:$AN,13,FALSE)</f>
        <v>0</v>
      </c>
      <c r="S1211" s="55"/>
      <c r="T1211" s="55"/>
      <c r="U1211" s="55">
        <f>VLOOKUP($E1211,'NI-Ric_SP'!$C:$AN,MID(U$1,1,2),FALSE)</f>
        <v>0</v>
      </c>
      <c r="V1211" s="55">
        <f>VLOOKUP($E1211,'NI-Ric_SP'!$C:$AN,MID(V$1,1,2),FALSE)</f>
        <v>0</v>
      </c>
      <c r="W1211" s="55">
        <f>VLOOKUP($E1211,'NI-Ric_SP'!$C:$AN,MID(W$1,1,2),FALSE)</f>
        <v>0</v>
      </c>
      <c r="X1211" s="55">
        <f>VLOOKUP($E1211,'NI-Ric_SP'!$C:$AN,MID(X$1,1,2),FALSE)</f>
        <v>0</v>
      </c>
      <c r="Y1211" s="55">
        <f>VLOOKUP($E1211,'NI-Ric_SP'!$C:$AN,MID(Y$1,1,2),FALSE)</f>
        <v>0</v>
      </c>
      <c r="Z1211" s="55">
        <f>VLOOKUP($E1211,'NI-Ric_SP'!$C:$AN,MID(Z$1,1,2),FALSE)</f>
        <v>0</v>
      </c>
      <c r="AA1211" s="55">
        <f>VLOOKUP($E1211,'NI-Ric_SP'!$C:$AN,MID(AA$1,1,2),FALSE)</f>
        <v>0</v>
      </c>
      <c r="AB1211" s="55">
        <f>VLOOKUP($E1211,'NI-Ric_SP'!$C:$AN,MID(AB$1,1,2),FALSE)</f>
        <v>0</v>
      </c>
      <c r="AC1211" s="55">
        <f>VLOOKUP($E1211,'NI-Ric_SP'!$C:$AN,MID(AC$1,1,2),FALSE)</f>
        <v>0</v>
      </c>
      <c r="AD1211" s="55">
        <f>VLOOKUP($E1211,'NI-Ric_SP'!$C:$AN,MID(AD$1,1,2),FALSE)</f>
        <v>0</v>
      </c>
      <c r="AE1211" s="55">
        <f>VLOOKUP($E1211,'NI-Ric_SP'!$C:$AN,MID(AE$1,1,2),FALSE)</f>
        <v>0</v>
      </c>
      <c r="AF1211" s="55">
        <f>VLOOKUP($E1211,'NI-Ric_SP'!$C:$AN,MID(AF$1,1,2),FALSE)</f>
        <v>0</v>
      </c>
      <c r="AG1211" s="55">
        <f>VLOOKUP($E1211,'NI-Ric_SP'!$C:$AN,MID(AG$1,1,2),FALSE)</f>
        <v>0</v>
      </c>
      <c r="AH1211" s="55">
        <f>VLOOKUP($E1211,'NI-Ric_SP'!$C:$AN,MID(AH$1,1,2),FALSE)</f>
        <v>0</v>
      </c>
      <c r="AI1211" s="55">
        <f>VLOOKUP($E1211,'NI-Ric_SP'!$C:$AN,MID(AI$1,1,2),FALSE)</f>
        <v>0</v>
      </c>
      <c r="AJ1211" s="55">
        <f>VLOOKUP($E1211,'NI-Ric_SP'!$C:$AN,MID(AJ$1,1,2),FALSE)</f>
        <v>0</v>
      </c>
      <c r="AK1211" s="55">
        <f>VLOOKUP($E1211,'NI-Ric_SP'!$C:$AN,MID(AK$1,1,2),FALSE)</f>
        <v>0</v>
      </c>
      <c r="AL1211" s="55">
        <f>VLOOKUP($E1211,'NI-Ric_SP'!$C:$AN,MID(AL$1,1,2),FALSE)</f>
        <v>0</v>
      </c>
      <c r="AM1211" s="56">
        <f>VLOOKUP($E1211,'NI-Ric_SP'!$C:$AN,MID(AM$1,1,2),FALSE)</f>
        <v>0</v>
      </c>
      <c r="AN1211" s="30" t="str">
        <f t="shared" si="18"/>
        <v>30200000000000</v>
      </c>
    </row>
    <row r="1212" spans="3:40" x14ac:dyDescent="0.25">
      <c r="C1212" s="40"/>
      <c r="D1212" s="101" t="s">
        <v>1831</v>
      </c>
      <c r="E1212" s="101" t="s">
        <v>1832</v>
      </c>
      <c r="F1212" s="102" t="s">
        <v>2750</v>
      </c>
      <c r="G1212" s="52"/>
      <c r="H1212" s="52"/>
      <c r="I1212" s="52" t="s">
        <v>1833</v>
      </c>
      <c r="J1212" s="52" t="s">
        <v>1833</v>
      </c>
      <c r="K1212" s="59" t="s">
        <v>79</v>
      </c>
      <c r="L1212" s="52"/>
      <c r="M1212" s="52"/>
      <c r="N1212" s="52"/>
      <c r="O1212" s="52"/>
      <c r="P1212" s="107" t="s">
        <v>1834</v>
      </c>
      <c r="Q1212" s="55">
        <f>VLOOKUP(E1212,'NI-Ric_SP'!$C:$AN,12,FALSE)</f>
        <v>0</v>
      </c>
      <c r="R1212" s="55">
        <f>VLOOKUP(E1212,'NI-Ric_SP'!$C:$AN,13,FALSE)</f>
        <v>0</v>
      </c>
      <c r="S1212" s="55"/>
      <c r="T1212" s="55"/>
      <c r="U1212" s="55">
        <f>VLOOKUP($E1212,'NI-Ric_SP'!$C:$AN,MID(U$1,1,2),FALSE)</f>
        <v>0</v>
      </c>
      <c r="V1212" s="55">
        <f>VLOOKUP($E1212,'NI-Ric_SP'!$C:$AN,MID(V$1,1,2),FALSE)</f>
        <v>0</v>
      </c>
      <c r="W1212" s="55">
        <f>VLOOKUP($E1212,'NI-Ric_SP'!$C:$AN,MID(W$1,1,2),FALSE)</f>
        <v>0</v>
      </c>
      <c r="X1212" s="55">
        <f>VLOOKUP($E1212,'NI-Ric_SP'!$C:$AN,MID(X$1,1,2),FALSE)</f>
        <v>0</v>
      </c>
      <c r="Y1212" s="55">
        <f>VLOOKUP($E1212,'NI-Ric_SP'!$C:$AN,MID(Y$1,1,2),FALSE)</f>
        <v>0</v>
      </c>
      <c r="Z1212" s="55">
        <f>VLOOKUP($E1212,'NI-Ric_SP'!$C:$AN,MID(Z$1,1,2),FALSE)</f>
        <v>0</v>
      </c>
      <c r="AA1212" s="55">
        <f>VLOOKUP($E1212,'NI-Ric_SP'!$C:$AN,MID(AA$1,1,2),FALSE)</f>
        <v>0</v>
      </c>
      <c r="AB1212" s="55">
        <f>VLOOKUP($E1212,'NI-Ric_SP'!$C:$AN,MID(AB$1,1,2),FALSE)</f>
        <v>0</v>
      </c>
      <c r="AC1212" s="55">
        <f>VLOOKUP($E1212,'NI-Ric_SP'!$C:$AN,MID(AC$1,1,2),FALSE)</f>
        <v>0</v>
      </c>
      <c r="AD1212" s="55">
        <f>VLOOKUP($E1212,'NI-Ric_SP'!$C:$AN,MID(AD$1,1,2),FALSE)</f>
        <v>0</v>
      </c>
      <c r="AE1212" s="55">
        <f>VLOOKUP($E1212,'NI-Ric_SP'!$C:$AN,MID(AE$1,1,2),FALSE)</f>
        <v>0</v>
      </c>
      <c r="AF1212" s="55">
        <f>VLOOKUP($E1212,'NI-Ric_SP'!$C:$AN,MID(AF$1,1,2),FALSE)</f>
        <v>0</v>
      </c>
      <c r="AG1212" s="55">
        <f>VLOOKUP($E1212,'NI-Ric_SP'!$C:$AN,MID(AG$1,1,2),FALSE)</f>
        <v>0</v>
      </c>
      <c r="AH1212" s="55">
        <f>VLOOKUP($E1212,'NI-Ric_SP'!$C:$AN,MID(AH$1,1,2),FALSE)</f>
        <v>0</v>
      </c>
      <c r="AI1212" s="55">
        <f>VLOOKUP($E1212,'NI-Ric_SP'!$C:$AN,MID(AI$1,1,2),FALSE)</f>
        <v>0</v>
      </c>
      <c r="AJ1212" s="55">
        <f>VLOOKUP($E1212,'NI-Ric_SP'!$C:$AN,MID(AJ$1,1,2),FALSE)</f>
        <v>0</v>
      </c>
      <c r="AK1212" s="55">
        <f>VLOOKUP($E1212,'NI-Ric_SP'!$C:$AN,MID(AK$1,1,2),FALSE)</f>
        <v>0</v>
      </c>
      <c r="AL1212" s="55">
        <f>VLOOKUP($E1212,'NI-Ric_SP'!$C:$AN,MID(AL$1,1,2),FALSE)</f>
        <v>0</v>
      </c>
      <c r="AM1212" s="56">
        <f>VLOOKUP($E1212,'NI-Ric_SP'!$C:$AN,MID(AM$1,1,2),FALSE)</f>
        <v>0</v>
      </c>
      <c r="AN1212" s="30" t="str">
        <f t="shared" si="18"/>
        <v>30201000000000</v>
      </c>
    </row>
    <row r="1213" spans="3:40" x14ac:dyDescent="0.25">
      <c r="C1213" s="40"/>
      <c r="D1213" s="101" t="s">
        <v>1835</v>
      </c>
      <c r="E1213" s="101" t="s">
        <v>1836</v>
      </c>
      <c r="F1213" s="102" t="s">
        <v>2750</v>
      </c>
      <c r="G1213" s="52" t="s">
        <v>1608</v>
      </c>
      <c r="H1213" s="52"/>
      <c r="I1213" s="52" t="s">
        <v>1837</v>
      </c>
      <c r="J1213" s="52" t="s">
        <v>1837</v>
      </c>
      <c r="K1213" s="59" t="s">
        <v>79</v>
      </c>
      <c r="L1213" s="52"/>
      <c r="M1213" s="52"/>
      <c r="N1213" s="52"/>
      <c r="O1213" s="52"/>
      <c r="P1213" s="107" t="s">
        <v>1838</v>
      </c>
      <c r="Q1213" s="55">
        <f>VLOOKUP(E1213,'NI-Ric_SP'!$C:$AN,12,FALSE)</f>
        <v>0</v>
      </c>
      <c r="R1213" s="55">
        <f>VLOOKUP(E1213,'NI-Ric_SP'!$C:$AN,13,FALSE)</f>
        <v>0</v>
      </c>
      <c r="S1213" s="55"/>
      <c r="T1213" s="55"/>
      <c r="U1213" s="55">
        <f>VLOOKUP($E1213,'NI-Ric_SP'!$C:$AN,MID(U$1,1,2),FALSE)</f>
        <v>0</v>
      </c>
      <c r="V1213" s="55">
        <f>VLOOKUP($E1213,'NI-Ric_SP'!$C:$AN,MID(V$1,1,2),FALSE)</f>
        <v>0</v>
      </c>
      <c r="W1213" s="55">
        <f>VLOOKUP($E1213,'NI-Ric_SP'!$C:$AN,MID(W$1,1,2),FALSE)</f>
        <v>0</v>
      </c>
      <c r="X1213" s="55">
        <f>VLOOKUP($E1213,'NI-Ric_SP'!$C:$AN,MID(X$1,1,2),FALSE)</f>
        <v>0</v>
      </c>
      <c r="Y1213" s="55">
        <f>VLOOKUP($E1213,'NI-Ric_SP'!$C:$AN,MID(Y$1,1,2),FALSE)</f>
        <v>0</v>
      </c>
      <c r="Z1213" s="55">
        <f>VLOOKUP($E1213,'NI-Ric_SP'!$C:$AN,MID(Z$1,1,2),FALSE)</f>
        <v>0</v>
      </c>
      <c r="AA1213" s="55">
        <f>VLOOKUP($E1213,'NI-Ric_SP'!$C:$AN,MID(AA$1,1,2),FALSE)</f>
        <v>0</v>
      </c>
      <c r="AB1213" s="55">
        <f>VLOOKUP($E1213,'NI-Ric_SP'!$C:$AN,MID(AB$1,1,2),FALSE)</f>
        <v>0</v>
      </c>
      <c r="AC1213" s="55">
        <f>VLOOKUP($E1213,'NI-Ric_SP'!$C:$AN,MID(AC$1,1,2),FALSE)</f>
        <v>0</v>
      </c>
      <c r="AD1213" s="55">
        <f>VLOOKUP($E1213,'NI-Ric_SP'!$C:$AN,MID(AD$1,1,2),FALSE)</f>
        <v>0</v>
      </c>
      <c r="AE1213" s="55">
        <f>VLOOKUP($E1213,'NI-Ric_SP'!$C:$AN,MID(AE$1,1,2),FALSE)</f>
        <v>0</v>
      </c>
      <c r="AF1213" s="55">
        <f>VLOOKUP($E1213,'NI-Ric_SP'!$C:$AN,MID(AF$1,1,2),FALSE)</f>
        <v>0</v>
      </c>
      <c r="AG1213" s="55">
        <f>VLOOKUP($E1213,'NI-Ric_SP'!$C:$AN,MID(AG$1,1,2),FALSE)</f>
        <v>0</v>
      </c>
      <c r="AH1213" s="55">
        <f>VLOOKUP($E1213,'NI-Ric_SP'!$C:$AN,MID(AH$1,1,2),FALSE)</f>
        <v>0</v>
      </c>
      <c r="AI1213" s="55">
        <f>VLOOKUP($E1213,'NI-Ric_SP'!$C:$AN,MID(AI$1,1,2),FALSE)</f>
        <v>0</v>
      </c>
      <c r="AJ1213" s="55">
        <f>VLOOKUP($E1213,'NI-Ric_SP'!$C:$AN,MID(AJ$1,1,2),FALSE)</f>
        <v>0</v>
      </c>
      <c r="AK1213" s="55">
        <f>VLOOKUP($E1213,'NI-Ric_SP'!$C:$AN,MID(AK$1,1,2),FALSE)</f>
        <v>0</v>
      </c>
      <c r="AL1213" s="55">
        <f>VLOOKUP($E1213,'NI-Ric_SP'!$C:$AN,MID(AL$1,1,2),FALSE)</f>
        <v>0</v>
      </c>
      <c r="AM1213" s="56">
        <f>VLOOKUP($E1213,'NI-Ric_SP'!$C:$AN,MID(AM$1,1,2),FALSE)</f>
        <v>0</v>
      </c>
      <c r="AN1213" s="30" t="str">
        <f t="shared" si="18"/>
        <v>30202000000000</v>
      </c>
    </row>
    <row r="1214" spans="3:40" x14ac:dyDescent="0.25">
      <c r="C1214" s="40"/>
      <c r="D1214" s="101" t="s">
        <v>1839</v>
      </c>
      <c r="E1214" s="101" t="s">
        <v>1840</v>
      </c>
      <c r="F1214" s="102" t="s">
        <v>2750</v>
      </c>
      <c r="G1214" s="51"/>
      <c r="H1214" s="52"/>
      <c r="I1214" s="52"/>
      <c r="J1214" s="52"/>
      <c r="K1214" s="53" t="s">
        <v>111</v>
      </c>
      <c r="L1214" s="52"/>
      <c r="M1214" s="52"/>
      <c r="N1214" s="52"/>
      <c r="O1214" s="61"/>
      <c r="P1214" s="54" t="s">
        <v>2754</v>
      </c>
      <c r="Q1214" s="55">
        <f>VLOOKUP(E1214,'NI-Ric_SP'!$C:$AN,12,FALSE)</f>
        <v>0</v>
      </c>
      <c r="R1214" s="55">
        <f>VLOOKUP(E1214,'NI-Ric_SP'!$C:$AN,13,FALSE)</f>
        <v>0</v>
      </c>
      <c r="S1214" s="55"/>
      <c r="T1214" s="55"/>
      <c r="U1214" s="55">
        <f>VLOOKUP($E1214,'NI-Ric_SP'!$C:$AN,MID(U$1,1,2),FALSE)</f>
        <v>0</v>
      </c>
      <c r="V1214" s="55">
        <f>VLOOKUP($E1214,'NI-Ric_SP'!$C:$AN,MID(V$1,1,2),FALSE)</f>
        <v>0</v>
      </c>
      <c r="W1214" s="55">
        <f>VLOOKUP($E1214,'NI-Ric_SP'!$C:$AN,MID(W$1,1,2),FALSE)</f>
        <v>0</v>
      </c>
      <c r="X1214" s="55" t="str">
        <f>VLOOKUP($E1214,'NI-Ric_SP'!$C:$AN,MID(X$1,1,2),FALSE)</f>
        <v/>
      </c>
      <c r="Y1214" s="55">
        <f>VLOOKUP($E1214,'NI-Ric_SP'!$C:$AN,MID(Y$1,1,2),FALSE)</f>
        <v>0</v>
      </c>
      <c r="Z1214" s="55">
        <f>VLOOKUP($E1214,'NI-Ric_SP'!$C:$AN,MID(Z$1,1,2),FALSE)</f>
        <v>0</v>
      </c>
      <c r="AA1214" s="55">
        <f>VLOOKUP($E1214,'NI-Ric_SP'!$C:$AN,MID(AA$1,1,2),FALSE)</f>
        <v>0</v>
      </c>
      <c r="AB1214" s="55">
        <f>VLOOKUP($E1214,'NI-Ric_SP'!$C:$AN,MID(AB$1,1,2),FALSE)</f>
        <v>0</v>
      </c>
      <c r="AC1214" s="55">
        <f>VLOOKUP($E1214,'NI-Ric_SP'!$C:$AN,MID(AC$1,1,2),FALSE)</f>
        <v>0</v>
      </c>
      <c r="AD1214" s="55">
        <f>VLOOKUP($E1214,'NI-Ric_SP'!$C:$AN,MID(AD$1,1,2),FALSE)</f>
        <v>0</v>
      </c>
      <c r="AE1214" s="55">
        <f>VLOOKUP($E1214,'NI-Ric_SP'!$C:$AN,MID(AE$1,1,2),FALSE)</f>
        <v>0</v>
      </c>
      <c r="AF1214" s="55">
        <f>VLOOKUP($E1214,'NI-Ric_SP'!$C:$AN,MID(AF$1,1,2),FALSE)</f>
        <v>0</v>
      </c>
      <c r="AG1214" s="55">
        <f>VLOOKUP($E1214,'NI-Ric_SP'!$C:$AN,MID(AG$1,1,2),FALSE)</f>
        <v>0</v>
      </c>
      <c r="AH1214" s="55">
        <f>VLOOKUP($E1214,'NI-Ric_SP'!$C:$AN,MID(AH$1,1,2),FALSE)</f>
        <v>0</v>
      </c>
      <c r="AI1214" s="55">
        <f>VLOOKUP($E1214,'NI-Ric_SP'!$C:$AN,MID(AI$1,1,2),FALSE)</f>
        <v>0</v>
      </c>
      <c r="AJ1214" s="55">
        <f>VLOOKUP($E1214,'NI-Ric_SP'!$C:$AN,MID(AJ$1,1,2),FALSE)</f>
        <v>0</v>
      </c>
      <c r="AK1214" s="55">
        <f>VLOOKUP($E1214,'NI-Ric_SP'!$C:$AN,MID(AK$1,1,2),FALSE)</f>
        <v>0</v>
      </c>
      <c r="AL1214" s="55">
        <f>VLOOKUP($E1214,'NI-Ric_SP'!$C:$AN,MID(AL$1,1,2),FALSE)</f>
        <v>0</v>
      </c>
      <c r="AM1214" s="56">
        <f>VLOOKUP($E1214,'NI-Ric_SP'!$C:$AN,MID(AM$1,1,2),FALSE)</f>
        <v>0</v>
      </c>
      <c r="AN1214" s="30" t="str">
        <f t="shared" si="18"/>
        <v>40000000000000</v>
      </c>
    </row>
    <row r="1215" spans="3:40" x14ac:dyDescent="0.25">
      <c r="C1215" s="40"/>
      <c r="D1215" s="101" t="s">
        <v>1842</v>
      </c>
      <c r="E1215" s="101" t="s">
        <v>1843</v>
      </c>
      <c r="F1215" s="102" t="s">
        <v>2750</v>
      </c>
      <c r="G1215" s="52"/>
      <c r="H1215" s="52"/>
      <c r="I1215" s="52" t="s">
        <v>1844</v>
      </c>
      <c r="J1215" s="52" t="s">
        <v>1844</v>
      </c>
      <c r="K1215" s="59" t="s">
        <v>79</v>
      </c>
      <c r="L1215" s="52"/>
      <c r="M1215" s="52"/>
      <c r="N1215" s="52"/>
      <c r="O1215" s="61" t="s">
        <v>1845</v>
      </c>
      <c r="P1215" s="107" t="s">
        <v>2755</v>
      </c>
      <c r="Q1215" s="55">
        <f>VLOOKUP(E1215,'NI-Ric_SP'!$C:$AN,12,FALSE)</f>
        <v>0</v>
      </c>
      <c r="R1215" s="55">
        <f>VLOOKUP(E1215,'NI-Ric_SP'!$C:$AN,13,FALSE)</f>
        <v>0</v>
      </c>
      <c r="S1215" s="55"/>
      <c r="T1215" s="55"/>
      <c r="U1215" s="55">
        <f>VLOOKUP($E1215,'NI-Ric_SP'!$C:$AN,MID(U$1,1,2),FALSE)</f>
        <v>0</v>
      </c>
      <c r="V1215" s="55">
        <f>VLOOKUP($E1215,'NI-Ric_SP'!$C:$AN,MID(V$1,1,2),FALSE)</f>
        <v>0</v>
      </c>
      <c r="W1215" s="55">
        <f>VLOOKUP($E1215,'NI-Ric_SP'!$C:$AN,MID(W$1,1,2),FALSE)</f>
        <v>0</v>
      </c>
      <c r="X1215" s="55">
        <f>VLOOKUP($E1215,'NI-Ric_SP'!$C:$AN,MID(X$1,1,2),FALSE)</f>
        <v>0</v>
      </c>
      <c r="Y1215" s="55">
        <f>VLOOKUP($E1215,'NI-Ric_SP'!$C:$AN,MID(Y$1,1,2),FALSE)</f>
        <v>0</v>
      </c>
      <c r="Z1215" s="55">
        <f>VLOOKUP($E1215,'NI-Ric_SP'!$C:$AN,MID(Z$1,1,2),FALSE)</f>
        <v>0</v>
      </c>
      <c r="AA1215" s="55">
        <f>VLOOKUP($E1215,'NI-Ric_SP'!$C:$AN,MID(AA$1,1,2),FALSE)</f>
        <v>0</v>
      </c>
      <c r="AB1215" s="55">
        <f>VLOOKUP($E1215,'NI-Ric_SP'!$C:$AN,MID(AB$1,1,2),FALSE)</f>
        <v>0</v>
      </c>
      <c r="AC1215" s="55">
        <f>VLOOKUP($E1215,'NI-Ric_SP'!$C:$AN,MID(AC$1,1,2),FALSE)</f>
        <v>0</v>
      </c>
      <c r="AD1215" s="55">
        <f>VLOOKUP($E1215,'NI-Ric_SP'!$C:$AN,MID(AD$1,1,2),FALSE)</f>
        <v>0</v>
      </c>
      <c r="AE1215" s="55">
        <f>VLOOKUP($E1215,'NI-Ric_SP'!$C:$AN,MID(AE$1,1,2),FALSE)</f>
        <v>0</v>
      </c>
      <c r="AF1215" s="55">
        <f>VLOOKUP($E1215,'NI-Ric_SP'!$C:$AN,MID(AF$1,1,2),FALSE)</f>
        <v>0</v>
      </c>
      <c r="AG1215" s="55">
        <f>VLOOKUP($E1215,'NI-Ric_SP'!$C:$AN,MID(AG$1,1,2),FALSE)</f>
        <v>0</v>
      </c>
      <c r="AH1215" s="55">
        <f>VLOOKUP($E1215,'NI-Ric_SP'!$C:$AN,MID(AH$1,1,2),FALSE)</f>
        <v>0</v>
      </c>
      <c r="AI1215" s="55">
        <f>VLOOKUP($E1215,'NI-Ric_SP'!$C:$AN,MID(AI$1,1,2),FALSE)</f>
        <v>0</v>
      </c>
      <c r="AJ1215" s="55">
        <f>VLOOKUP($E1215,'NI-Ric_SP'!$C:$AN,MID(AJ$1,1,2),FALSE)</f>
        <v>0</v>
      </c>
      <c r="AK1215" s="55">
        <f>VLOOKUP($E1215,'NI-Ric_SP'!$C:$AN,MID(AK$1,1,2),FALSE)</f>
        <v>0</v>
      </c>
      <c r="AL1215" s="55">
        <f>VLOOKUP($E1215,'NI-Ric_SP'!$C:$AN,MID(AL$1,1,2),FALSE)</f>
        <v>0</v>
      </c>
      <c r="AM1215" s="56">
        <f>VLOOKUP($E1215,'NI-Ric_SP'!$C:$AN,MID(AM$1,1,2),FALSE)</f>
        <v>0</v>
      </c>
      <c r="AN1215" s="30" t="str">
        <f t="shared" si="18"/>
        <v>40100000000000</v>
      </c>
    </row>
    <row r="1216" spans="3:40" x14ac:dyDescent="0.25">
      <c r="C1216" s="40"/>
      <c r="D1216" s="101" t="s">
        <v>1847</v>
      </c>
      <c r="E1216" s="101" t="s">
        <v>1848</v>
      </c>
      <c r="F1216" s="102" t="s">
        <v>2750</v>
      </c>
      <c r="G1216" s="52"/>
      <c r="H1216" s="52"/>
      <c r="I1216" s="52" t="s">
        <v>1849</v>
      </c>
      <c r="J1216" s="52" t="s">
        <v>1849</v>
      </c>
      <c r="K1216" s="59" t="s">
        <v>79</v>
      </c>
      <c r="L1216" s="52"/>
      <c r="M1216" s="52"/>
      <c r="N1216" s="52"/>
      <c r="O1216" s="61" t="s">
        <v>1850</v>
      </c>
      <c r="P1216" s="107" t="s">
        <v>2756</v>
      </c>
      <c r="Q1216" s="55">
        <f>VLOOKUP(E1216,'NI-Ric_SP'!$C:$AN,12,FALSE)</f>
        <v>0</v>
      </c>
      <c r="R1216" s="55">
        <f>VLOOKUP(E1216,'NI-Ric_SP'!$C:$AN,13,FALSE)</f>
        <v>0</v>
      </c>
      <c r="S1216" s="55"/>
      <c r="T1216" s="55"/>
      <c r="U1216" s="55">
        <f>VLOOKUP($E1216,'NI-Ric_SP'!$C:$AN,MID(U$1,1,2),FALSE)</f>
        <v>0</v>
      </c>
      <c r="V1216" s="55">
        <f>VLOOKUP($E1216,'NI-Ric_SP'!$C:$AN,MID(V$1,1,2),FALSE)</f>
        <v>0</v>
      </c>
      <c r="W1216" s="55">
        <f>VLOOKUP($E1216,'NI-Ric_SP'!$C:$AN,MID(W$1,1,2),FALSE)</f>
        <v>0</v>
      </c>
      <c r="X1216" s="55">
        <f>VLOOKUP($E1216,'NI-Ric_SP'!$C:$AN,MID(X$1,1,2),FALSE)</f>
        <v>0</v>
      </c>
      <c r="Y1216" s="55">
        <f>VLOOKUP($E1216,'NI-Ric_SP'!$C:$AN,MID(Y$1,1,2),FALSE)</f>
        <v>0</v>
      </c>
      <c r="Z1216" s="55">
        <f>VLOOKUP($E1216,'NI-Ric_SP'!$C:$AN,MID(Z$1,1,2),FALSE)</f>
        <v>0</v>
      </c>
      <c r="AA1216" s="55">
        <f>VLOOKUP($E1216,'NI-Ric_SP'!$C:$AN,MID(AA$1,1,2),FALSE)</f>
        <v>0</v>
      </c>
      <c r="AB1216" s="55">
        <f>VLOOKUP($E1216,'NI-Ric_SP'!$C:$AN,MID(AB$1,1,2),FALSE)</f>
        <v>0</v>
      </c>
      <c r="AC1216" s="55">
        <f>VLOOKUP($E1216,'NI-Ric_SP'!$C:$AN,MID(AC$1,1,2),FALSE)</f>
        <v>0</v>
      </c>
      <c r="AD1216" s="55">
        <f>VLOOKUP($E1216,'NI-Ric_SP'!$C:$AN,MID(AD$1,1,2),FALSE)</f>
        <v>0</v>
      </c>
      <c r="AE1216" s="55">
        <f>VLOOKUP($E1216,'NI-Ric_SP'!$C:$AN,MID(AE$1,1,2),FALSE)</f>
        <v>0</v>
      </c>
      <c r="AF1216" s="55">
        <f>VLOOKUP($E1216,'NI-Ric_SP'!$C:$AN,MID(AF$1,1,2),FALSE)</f>
        <v>0</v>
      </c>
      <c r="AG1216" s="55">
        <f>VLOOKUP($E1216,'NI-Ric_SP'!$C:$AN,MID(AG$1,1,2),FALSE)</f>
        <v>0</v>
      </c>
      <c r="AH1216" s="55">
        <f>VLOOKUP($E1216,'NI-Ric_SP'!$C:$AN,MID(AH$1,1,2),FALSE)</f>
        <v>0</v>
      </c>
      <c r="AI1216" s="55">
        <f>VLOOKUP($E1216,'NI-Ric_SP'!$C:$AN,MID(AI$1,1,2),FALSE)</f>
        <v>0</v>
      </c>
      <c r="AJ1216" s="55">
        <f>VLOOKUP($E1216,'NI-Ric_SP'!$C:$AN,MID(AJ$1,1,2),FALSE)</f>
        <v>0</v>
      </c>
      <c r="AK1216" s="55">
        <f>VLOOKUP($E1216,'NI-Ric_SP'!$C:$AN,MID(AK$1,1,2),FALSE)</f>
        <v>0</v>
      </c>
      <c r="AL1216" s="55">
        <f>VLOOKUP($E1216,'NI-Ric_SP'!$C:$AN,MID(AL$1,1,2),FALSE)</f>
        <v>0</v>
      </c>
      <c r="AM1216" s="56">
        <f>VLOOKUP($E1216,'NI-Ric_SP'!$C:$AN,MID(AM$1,1,2),FALSE)</f>
        <v>0</v>
      </c>
      <c r="AN1216" s="30" t="str">
        <f t="shared" si="18"/>
        <v>40200000000000</v>
      </c>
    </row>
    <row r="1217" spans="1:40" x14ac:dyDescent="0.25">
      <c r="C1217" s="40"/>
      <c r="D1217" s="101" t="s">
        <v>1852</v>
      </c>
      <c r="E1217" s="101" t="s">
        <v>1853</v>
      </c>
      <c r="F1217" s="102" t="s">
        <v>2750</v>
      </c>
      <c r="G1217" s="52"/>
      <c r="H1217" s="52"/>
      <c r="I1217" s="52" t="s">
        <v>1854</v>
      </c>
      <c r="J1217" s="52" t="s">
        <v>1854</v>
      </c>
      <c r="K1217" s="59" t="s">
        <v>79</v>
      </c>
      <c r="L1217" s="52"/>
      <c r="M1217" s="52"/>
      <c r="N1217" s="52"/>
      <c r="O1217" s="61" t="s">
        <v>1855</v>
      </c>
      <c r="P1217" s="107" t="s">
        <v>2757</v>
      </c>
      <c r="Q1217" s="55">
        <f>VLOOKUP(E1217,'NI-Ric_SP'!$C:$AN,12,FALSE)</f>
        <v>0</v>
      </c>
      <c r="R1217" s="55">
        <f>VLOOKUP(E1217,'NI-Ric_SP'!$C:$AN,13,FALSE)</f>
        <v>0</v>
      </c>
      <c r="S1217" s="55"/>
      <c r="T1217" s="55"/>
      <c r="U1217" s="55">
        <f>VLOOKUP($E1217,'NI-Ric_SP'!$C:$AN,MID(U$1,1,2),FALSE)</f>
        <v>0</v>
      </c>
      <c r="V1217" s="55">
        <f>VLOOKUP($E1217,'NI-Ric_SP'!$C:$AN,MID(V$1,1,2),FALSE)</f>
        <v>0</v>
      </c>
      <c r="W1217" s="55">
        <f>VLOOKUP($E1217,'NI-Ric_SP'!$C:$AN,MID(W$1,1,2),FALSE)</f>
        <v>0</v>
      </c>
      <c r="X1217" s="55">
        <f>VLOOKUP($E1217,'NI-Ric_SP'!$C:$AN,MID(X$1,1,2),FALSE)</f>
        <v>0</v>
      </c>
      <c r="Y1217" s="55">
        <f>VLOOKUP($E1217,'NI-Ric_SP'!$C:$AN,MID(Y$1,1,2),FALSE)</f>
        <v>0</v>
      </c>
      <c r="Z1217" s="55">
        <f>VLOOKUP($E1217,'NI-Ric_SP'!$C:$AN,MID(Z$1,1,2),FALSE)</f>
        <v>0</v>
      </c>
      <c r="AA1217" s="55">
        <f>VLOOKUP($E1217,'NI-Ric_SP'!$C:$AN,MID(AA$1,1,2),FALSE)</f>
        <v>0</v>
      </c>
      <c r="AB1217" s="55">
        <f>VLOOKUP($E1217,'NI-Ric_SP'!$C:$AN,MID(AB$1,1,2),FALSE)</f>
        <v>0</v>
      </c>
      <c r="AC1217" s="55">
        <f>VLOOKUP($E1217,'NI-Ric_SP'!$C:$AN,MID(AC$1,1,2),FALSE)</f>
        <v>0</v>
      </c>
      <c r="AD1217" s="55">
        <f>VLOOKUP($E1217,'NI-Ric_SP'!$C:$AN,MID(AD$1,1,2),FALSE)</f>
        <v>0</v>
      </c>
      <c r="AE1217" s="55">
        <f>VLOOKUP($E1217,'NI-Ric_SP'!$C:$AN,MID(AE$1,1,2),FALSE)</f>
        <v>0</v>
      </c>
      <c r="AF1217" s="55">
        <f>VLOOKUP($E1217,'NI-Ric_SP'!$C:$AN,MID(AF$1,1,2),FALSE)</f>
        <v>0</v>
      </c>
      <c r="AG1217" s="55">
        <f>VLOOKUP($E1217,'NI-Ric_SP'!$C:$AN,MID(AG$1,1,2),FALSE)</f>
        <v>0</v>
      </c>
      <c r="AH1217" s="55">
        <f>VLOOKUP($E1217,'NI-Ric_SP'!$C:$AN,MID(AH$1,1,2),FALSE)</f>
        <v>0</v>
      </c>
      <c r="AI1217" s="55">
        <f>VLOOKUP($E1217,'NI-Ric_SP'!$C:$AN,MID(AI$1,1,2),FALSE)</f>
        <v>0</v>
      </c>
      <c r="AJ1217" s="55">
        <f>VLOOKUP($E1217,'NI-Ric_SP'!$C:$AN,MID(AJ$1,1,2),FALSE)</f>
        <v>0</v>
      </c>
      <c r="AK1217" s="55">
        <f>VLOOKUP($E1217,'NI-Ric_SP'!$C:$AN,MID(AK$1,1,2),FALSE)</f>
        <v>0</v>
      </c>
      <c r="AL1217" s="55">
        <f>VLOOKUP($E1217,'NI-Ric_SP'!$C:$AN,MID(AL$1,1,2),FALSE)</f>
        <v>0</v>
      </c>
      <c r="AM1217" s="56">
        <f>VLOOKUP($E1217,'NI-Ric_SP'!$C:$AN,MID(AM$1,1,2),FALSE)</f>
        <v>0</v>
      </c>
      <c r="AN1217" s="30" t="str">
        <f t="shared" si="18"/>
        <v>40300000000000</v>
      </c>
    </row>
    <row r="1218" spans="1:40" x14ac:dyDescent="0.25">
      <c r="A1218" s="30" t="s">
        <v>1394</v>
      </c>
      <c r="C1218" s="40"/>
      <c r="D1218" s="87" t="s">
        <v>1857</v>
      </c>
      <c r="E1218" s="87" t="s">
        <v>1858</v>
      </c>
      <c r="F1218" s="102" t="s">
        <v>2750</v>
      </c>
      <c r="G1218" s="52"/>
      <c r="H1218" s="52"/>
      <c r="I1218" s="52"/>
      <c r="J1218" s="52" t="s">
        <v>1859</v>
      </c>
      <c r="K1218" s="59" t="s">
        <v>79</v>
      </c>
      <c r="L1218" s="52"/>
      <c r="M1218" s="52"/>
      <c r="N1218" s="52"/>
      <c r="O1218" s="61" t="s">
        <v>1860</v>
      </c>
      <c r="P1218" s="90" t="s">
        <v>1861</v>
      </c>
      <c r="Q1218" s="55">
        <f>VLOOKUP(E1218,'NI-Ric_SP'!$C:$AN,12,FALSE)</f>
        <v>0</v>
      </c>
      <c r="R1218" s="55">
        <f>VLOOKUP(E1218,'NI-Ric_SP'!$C:$AN,13,FALSE)</f>
        <v>0</v>
      </c>
      <c r="S1218" s="55"/>
      <c r="T1218" s="55"/>
      <c r="U1218" s="55">
        <f>VLOOKUP($E1218,'NI-Ric_SP'!$C:$AN,MID(U$1,1,2),FALSE)</f>
        <v>0</v>
      </c>
      <c r="V1218" s="55">
        <f>VLOOKUP($E1218,'NI-Ric_SP'!$C:$AN,MID(V$1,1,2),FALSE)</f>
        <v>0</v>
      </c>
      <c r="W1218" s="55">
        <f>VLOOKUP($E1218,'NI-Ric_SP'!$C:$AN,MID(W$1,1,2),FALSE)</f>
        <v>0</v>
      </c>
      <c r="X1218" s="55">
        <f>VLOOKUP($E1218,'NI-Ric_SP'!$C:$AN,MID(X$1,1,2),FALSE)</f>
        <v>0</v>
      </c>
      <c r="Y1218" s="55">
        <f>VLOOKUP($E1218,'NI-Ric_SP'!$C:$AN,MID(Y$1,1,2),FALSE)</f>
        <v>0</v>
      </c>
      <c r="Z1218" s="55">
        <f>VLOOKUP($E1218,'NI-Ric_SP'!$C:$AN,MID(Z$1,1,2),FALSE)</f>
        <v>0</v>
      </c>
      <c r="AA1218" s="55">
        <f>VLOOKUP($E1218,'NI-Ric_SP'!$C:$AN,MID(AA$1,1,2),FALSE)</f>
        <v>0</v>
      </c>
      <c r="AB1218" s="55">
        <f>VLOOKUP($E1218,'NI-Ric_SP'!$C:$AN,MID(AB$1,1,2),FALSE)</f>
        <v>0</v>
      </c>
      <c r="AC1218" s="55">
        <f>VLOOKUP($E1218,'NI-Ric_SP'!$C:$AN,MID(AC$1,1,2),FALSE)</f>
        <v>0</v>
      </c>
      <c r="AD1218" s="55">
        <f>VLOOKUP($E1218,'NI-Ric_SP'!$C:$AN,MID(AD$1,1,2),FALSE)</f>
        <v>0</v>
      </c>
      <c r="AE1218" s="55">
        <f>VLOOKUP($E1218,'NI-Ric_SP'!$C:$AN,MID(AE$1,1,2),FALSE)</f>
        <v>0</v>
      </c>
      <c r="AF1218" s="55">
        <f>VLOOKUP($E1218,'NI-Ric_SP'!$C:$AN,MID(AF$1,1,2),FALSE)</f>
        <v>0</v>
      </c>
      <c r="AG1218" s="55">
        <f>VLOOKUP($E1218,'NI-Ric_SP'!$C:$AN,MID(AG$1,1,2),FALSE)</f>
        <v>0</v>
      </c>
      <c r="AH1218" s="55">
        <f>VLOOKUP($E1218,'NI-Ric_SP'!$C:$AN,MID(AH$1,1,2),FALSE)</f>
        <v>0</v>
      </c>
      <c r="AI1218" s="55">
        <f>VLOOKUP($E1218,'NI-Ric_SP'!$C:$AN,MID(AI$1,1,2),FALSE)</f>
        <v>0</v>
      </c>
      <c r="AJ1218" s="55">
        <f>VLOOKUP($E1218,'NI-Ric_SP'!$C:$AN,MID(AJ$1,1,2),FALSE)</f>
        <v>0</v>
      </c>
      <c r="AK1218" s="55">
        <f>VLOOKUP($E1218,'NI-Ric_SP'!$C:$AN,MID(AK$1,1,2),FALSE)</f>
        <v>0</v>
      </c>
      <c r="AL1218" s="55">
        <f>VLOOKUP($E1218,'NI-Ric_SP'!$C:$AN,MID(AL$1,1,2),FALSE)</f>
        <v>0</v>
      </c>
      <c r="AM1218" s="56">
        <f>VLOOKUP($E1218,'NI-Ric_SP'!$C:$AN,MID(AM$1,1,2),FALSE)</f>
        <v>0</v>
      </c>
      <c r="AN1218" s="30" t="str">
        <f t="shared" ref="AN1218:AN1281" si="19">D1218</f>
        <v>40400000000000</v>
      </c>
    </row>
    <row r="1219" spans="1:40" x14ac:dyDescent="0.25">
      <c r="C1219" s="40"/>
      <c r="D1219" s="101" t="s">
        <v>1862</v>
      </c>
      <c r="E1219" s="101" t="s">
        <v>1863</v>
      </c>
      <c r="F1219" s="102" t="s">
        <v>2750</v>
      </c>
      <c r="G1219" s="52"/>
      <c r="H1219" s="52"/>
      <c r="I1219" s="52" t="s">
        <v>1864</v>
      </c>
      <c r="J1219" s="52" t="s">
        <v>1864</v>
      </c>
      <c r="K1219" s="59" t="s">
        <v>111</v>
      </c>
      <c r="L1219" s="52"/>
      <c r="M1219" s="52"/>
      <c r="N1219" s="52"/>
      <c r="O1219" s="61" t="s">
        <v>1860</v>
      </c>
      <c r="P1219" s="107" t="s">
        <v>1865</v>
      </c>
      <c r="Q1219" s="55">
        <f>VLOOKUP(E1219,'NI-Ric_SP'!$C:$AN,12,FALSE)</f>
        <v>0</v>
      </c>
      <c r="R1219" s="55">
        <f>VLOOKUP(E1219,'NI-Ric_SP'!$C:$AN,13,FALSE)</f>
        <v>0</v>
      </c>
      <c r="S1219" s="55"/>
      <c r="T1219" s="55"/>
      <c r="U1219" s="55">
        <f>VLOOKUP($E1219,'NI-Ric_SP'!$C:$AN,MID(U$1,1,2),FALSE)</f>
        <v>0</v>
      </c>
      <c r="V1219" s="55">
        <f>VLOOKUP($E1219,'NI-Ric_SP'!$C:$AN,MID(V$1,1,2),FALSE)</f>
        <v>0</v>
      </c>
      <c r="W1219" s="55">
        <f>VLOOKUP($E1219,'NI-Ric_SP'!$C:$AN,MID(W$1,1,2),FALSE)</f>
        <v>0</v>
      </c>
      <c r="X1219" s="55">
        <f>VLOOKUP($E1219,'NI-Ric_SP'!$C:$AN,MID(X$1,1,2),FALSE)</f>
        <v>0</v>
      </c>
      <c r="Y1219" s="55">
        <f>VLOOKUP($E1219,'NI-Ric_SP'!$C:$AN,MID(Y$1,1,2),FALSE)</f>
        <v>0</v>
      </c>
      <c r="Z1219" s="55">
        <f>VLOOKUP($E1219,'NI-Ric_SP'!$C:$AN,MID(Z$1,1,2),FALSE)</f>
        <v>0</v>
      </c>
      <c r="AA1219" s="55">
        <f>VLOOKUP($E1219,'NI-Ric_SP'!$C:$AN,MID(AA$1,1,2),FALSE)</f>
        <v>0</v>
      </c>
      <c r="AB1219" s="55">
        <f>VLOOKUP($E1219,'NI-Ric_SP'!$C:$AN,MID(AB$1,1,2),FALSE)</f>
        <v>0</v>
      </c>
      <c r="AC1219" s="55">
        <f>VLOOKUP($E1219,'NI-Ric_SP'!$C:$AN,MID(AC$1,1,2),FALSE)</f>
        <v>0</v>
      </c>
      <c r="AD1219" s="55">
        <f>VLOOKUP($E1219,'NI-Ric_SP'!$C:$AN,MID(AD$1,1,2),FALSE)</f>
        <v>0</v>
      </c>
      <c r="AE1219" s="55">
        <f>VLOOKUP($E1219,'NI-Ric_SP'!$C:$AN,MID(AE$1,1,2),FALSE)</f>
        <v>0</v>
      </c>
      <c r="AF1219" s="55">
        <f>VLOOKUP($E1219,'NI-Ric_SP'!$C:$AN,MID(AF$1,1,2),FALSE)</f>
        <v>0</v>
      </c>
      <c r="AG1219" s="55">
        <f>VLOOKUP($E1219,'NI-Ric_SP'!$C:$AN,MID(AG$1,1,2),FALSE)</f>
        <v>0</v>
      </c>
      <c r="AH1219" s="55">
        <f>VLOOKUP($E1219,'NI-Ric_SP'!$C:$AN,MID(AH$1,1,2),FALSE)</f>
        <v>0</v>
      </c>
      <c r="AI1219" s="55">
        <f>VLOOKUP($E1219,'NI-Ric_SP'!$C:$AN,MID(AI$1,1,2),FALSE)</f>
        <v>0</v>
      </c>
      <c r="AJ1219" s="55">
        <f>VLOOKUP($E1219,'NI-Ric_SP'!$C:$AN,MID(AJ$1,1,2),FALSE)</f>
        <v>0</v>
      </c>
      <c r="AK1219" s="55">
        <f>VLOOKUP($E1219,'NI-Ric_SP'!$C:$AN,MID(AK$1,1,2),FALSE)</f>
        <v>0</v>
      </c>
      <c r="AL1219" s="55">
        <f>VLOOKUP($E1219,'NI-Ric_SP'!$C:$AN,MID(AL$1,1,2),FALSE)</f>
        <v>0</v>
      </c>
      <c r="AM1219" s="56">
        <f>VLOOKUP($E1219,'NI-Ric_SP'!$C:$AN,MID(AM$1,1,2),FALSE)</f>
        <v>0</v>
      </c>
      <c r="AN1219" s="30" t="str">
        <f t="shared" si="19"/>
        <v>40500000000000</v>
      </c>
    </row>
    <row r="1220" spans="1:40" x14ac:dyDescent="0.25">
      <c r="C1220" s="40"/>
      <c r="D1220" s="101" t="s">
        <v>1866</v>
      </c>
      <c r="E1220" s="101" t="s">
        <v>1867</v>
      </c>
      <c r="F1220" s="102" t="s">
        <v>2750</v>
      </c>
      <c r="G1220" s="52"/>
      <c r="H1220" s="52"/>
      <c r="I1220" s="52"/>
      <c r="J1220" s="52"/>
      <c r="K1220" s="59" t="s">
        <v>111</v>
      </c>
      <c r="L1220" s="52"/>
      <c r="M1220" s="52"/>
      <c r="N1220" s="52"/>
      <c r="O1220" s="52"/>
      <c r="P1220" s="107" t="s">
        <v>1868</v>
      </c>
      <c r="Q1220" s="55">
        <f>VLOOKUP(E1220,'NI-Ric_SP'!$C:$AN,12,FALSE)</f>
        <v>0</v>
      </c>
      <c r="R1220" s="55">
        <f>VLOOKUP(E1220,'NI-Ric_SP'!$C:$AN,13,FALSE)</f>
        <v>0</v>
      </c>
      <c r="S1220" s="55"/>
      <c r="T1220" s="55"/>
      <c r="U1220" s="55">
        <f>VLOOKUP($E1220,'NI-Ric_SP'!$C:$AN,MID(U$1,1,2),FALSE)</f>
        <v>0</v>
      </c>
      <c r="V1220" s="55">
        <f>VLOOKUP($E1220,'NI-Ric_SP'!$C:$AN,MID(V$1,1,2),FALSE)</f>
        <v>0</v>
      </c>
      <c r="W1220" s="55">
        <f>VLOOKUP($E1220,'NI-Ric_SP'!$C:$AN,MID(W$1,1,2),FALSE)</f>
        <v>0</v>
      </c>
      <c r="X1220" s="55">
        <f>VLOOKUP($E1220,'NI-Ric_SP'!$C:$AN,MID(X$1,1,2),FALSE)</f>
        <v>0</v>
      </c>
      <c r="Y1220" s="55">
        <f>VLOOKUP($E1220,'NI-Ric_SP'!$C:$AN,MID(Y$1,1,2),FALSE)</f>
        <v>0</v>
      </c>
      <c r="Z1220" s="55">
        <f>VLOOKUP($E1220,'NI-Ric_SP'!$C:$AN,MID(Z$1,1,2),FALSE)</f>
        <v>0</v>
      </c>
      <c r="AA1220" s="55">
        <f>VLOOKUP($E1220,'NI-Ric_SP'!$C:$AN,MID(AA$1,1,2),FALSE)</f>
        <v>0</v>
      </c>
      <c r="AB1220" s="55">
        <f>VLOOKUP($E1220,'NI-Ric_SP'!$C:$AN,MID(AB$1,1,2),FALSE)</f>
        <v>0</v>
      </c>
      <c r="AC1220" s="55">
        <f>VLOOKUP($E1220,'NI-Ric_SP'!$C:$AN,MID(AC$1,1,2),FALSE)</f>
        <v>0</v>
      </c>
      <c r="AD1220" s="55">
        <f>VLOOKUP($E1220,'NI-Ric_SP'!$C:$AN,MID(AD$1,1,2),FALSE)</f>
        <v>0</v>
      </c>
      <c r="AE1220" s="55">
        <f>VLOOKUP($E1220,'NI-Ric_SP'!$C:$AN,MID(AE$1,1,2),FALSE)</f>
        <v>0</v>
      </c>
      <c r="AF1220" s="55">
        <f>VLOOKUP($E1220,'NI-Ric_SP'!$C:$AN,MID(AF$1,1,2),FALSE)</f>
        <v>0</v>
      </c>
      <c r="AG1220" s="55">
        <f>VLOOKUP($E1220,'NI-Ric_SP'!$C:$AN,MID(AG$1,1,2),FALSE)</f>
        <v>0</v>
      </c>
      <c r="AH1220" s="55">
        <f>VLOOKUP($E1220,'NI-Ric_SP'!$C:$AN,MID(AH$1,1,2),FALSE)</f>
        <v>0</v>
      </c>
      <c r="AI1220" s="55">
        <f>VLOOKUP($E1220,'NI-Ric_SP'!$C:$AN,MID(AI$1,1,2),FALSE)</f>
        <v>0</v>
      </c>
      <c r="AJ1220" s="55">
        <f>VLOOKUP($E1220,'NI-Ric_SP'!$C:$AN,MID(AJ$1,1,2),FALSE)</f>
        <v>0</v>
      </c>
      <c r="AK1220" s="55">
        <f>VLOOKUP($E1220,'NI-Ric_SP'!$C:$AN,MID(AK$1,1,2),FALSE)</f>
        <v>0</v>
      </c>
      <c r="AL1220" s="55">
        <f>VLOOKUP($E1220,'NI-Ric_SP'!$C:$AN,MID(AL$1,1,2),FALSE)</f>
        <v>0</v>
      </c>
      <c r="AM1220" s="56">
        <f>VLOOKUP($E1220,'NI-Ric_SP'!$C:$AN,MID(AM$1,1,2),FALSE)</f>
        <v>0</v>
      </c>
      <c r="AN1220" s="30" t="str">
        <f t="shared" si="19"/>
        <v>40501000000000</v>
      </c>
    </row>
    <row r="1221" spans="1:40" x14ac:dyDescent="0.25">
      <c r="C1221" s="40"/>
      <c r="D1221" s="101" t="s">
        <v>1869</v>
      </c>
      <c r="E1221" s="101" t="s">
        <v>1870</v>
      </c>
      <c r="F1221" s="102" t="s">
        <v>2750</v>
      </c>
      <c r="G1221" s="52"/>
      <c r="H1221" s="52"/>
      <c r="I1221" s="52"/>
      <c r="J1221" s="52"/>
      <c r="K1221" s="59" t="s">
        <v>79</v>
      </c>
      <c r="L1221" s="52"/>
      <c r="M1221" s="52"/>
      <c r="N1221" s="52"/>
      <c r="O1221" s="52"/>
      <c r="P1221" s="108" t="s">
        <v>1871</v>
      </c>
      <c r="Q1221" s="55">
        <f>VLOOKUP(E1221,'NI-Ric_SP'!$C:$AN,12,FALSE)</f>
        <v>0</v>
      </c>
      <c r="R1221" s="55">
        <f>VLOOKUP(E1221,'NI-Ric_SP'!$C:$AN,13,FALSE)</f>
        <v>0</v>
      </c>
      <c r="S1221" s="55"/>
      <c r="T1221" s="55"/>
      <c r="U1221" s="55">
        <f>VLOOKUP($E1221,'NI-Ric_SP'!$C:$AN,MID(U$1,1,2),FALSE)</f>
        <v>0</v>
      </c>
      <c r="V1221" s="55">
        <f>VLOOKUP($E1221,'NI-Ric_SP'!$C:$AN,MID(V$1,1,2),FALSE)</f>
        <v>0</v>
      </c>
      <c r="W1221" s="55">
        <f>VLOOKUP($E1221,'NI-Ric_SP'!$C:$AN,MID(W$1,1,2),FALSE)</f>
        <v>0</v>
      </c>
      <c r="X1221" s="55">
        <f>VLOOKUP($E1221,'NI-Ric_SP'!$C:$AN,MID(X$1,1,2),FALSE)</f>
        <v>0</v>
      </c>
      <c r="Y1221" s="55">
        <f>VLOOKUP($E1221,'NI-Ric_SP'!$C:$AN,MID(Y$1,1,2),FALSE)</f>
        <v>0</v>
      </c>
      <c r="Z1221" s="55">
        <f>VLOOKUP($E1221,'NI-Ric_SP'!$C:$AN,MID(Z$1,1,2),FALSE)</f>
        <v>0</v>
      </c>
      <c r="AA1221" s="55">
        <f>VLOOKUP($E1221,'NI-Ric_SP'!$C:$AN,MID(AA$1,1,2),FALSE)</f>
        <v>0</v>
      </c>
      <c r="AB1221" s="55">
        <f>VLOOKUP($E1221,'NI-Ric_SP'!$C:$AN,MID(AB$1,1,2),FALSE)</f>
        <v>0</v>
      </c>
      <c r="AC1221" s="55">
        <f>VLOOKUP($E1221,'NI-Ric_SP'!$C:$AN,MID(AC$1,1,2),FALSE)</f>
        <v>0</v>
      </c>
      <c r="AD1221" s="55">
        <f>VLOOKUP($E1221,'NI-Ric_SP'!$C:$AN,MID(AD$1,1,2),FALSE)</f>
        <v>0</v>
      </c>
      <c r="AE1221" s="55">
        <f>VLOOKUP($E1221,'NI-Ric_SP'!$C:$AN,MID(AE$1,1,2),FALSE)</f>
        <v>0</v>
      </c>
      <c r="AF1221" s="55">
        <f>VLOOKUP($E1221,'NI-Ric_SP'!$C:$AN,MID(AF$1,1,2),FALSE)</f>
        <v>0</v>
      </c>
      <c r="AG1221" s="55">
        <f>VLOOKUP($E1221,'NI-Ric_SP'!$C:$AN,MID(AG$1,1,2),FALSE)</f>
        <v>0</v>
      </c>
      <c r="AH1221" s="55">
        <f>VLOOKUP($E1221,'NI-Ric_SP'!$C:$AN,MID(AH$1,1,2),FALSE)</f>
        <v>0</v>
      </c>
      <c r="AI1221" s="55">
        <f>VLOOKUP($E1221,'NI-Ric_SP'!$C:$AN,MID(AI$1,1,2),FALSE)</f>
        <v>0</v>
      </c>
      <c r="AJ1221" s="55">
        <f>VLOOKUP($E1221,'NI-Ric_SP'!$C:$AN,MID(AJ$1,1,2),FALSE)</f>
        <v>0</v>
      </c>
      <c r="AK1221" s="55">
        <f>VLOOKUP($E1221,'NI-Ric_SP'!$C:$AN,MID(AK$1,1,2),FALSE)</f>
        <v>0</v>
      </c>
      <c r="AL1221" s="55">
        <f>VLOOKUP($E1221,'NI-Ric_SP'!$C:$AN,MID(AL$1,1,2),FALSE)</f>
        <v>0</v>
      </c>
      <c r="AM1221" s="56">
        <f>VLOOKUP($E1221,'NI-Ric_SP'!$C:$AN,MID(AM$1,1,2),FALSE)</f>
        <v>0</v>
      </c>
      <c r="AN1221" s="30" t="str">
        <f t="shared" si="19"/>
        <v>40501010000000</v>
      </c>
    </row>
    <row r="1222" spans="1:40" x14ac:dyDescent="0.25">
      <c r="C1222" s="40"/>
      <c r="D1222" s="101" t="s">
        <v>1872</v>
      </c>
      <c r="E1222" s="101" t="s">
        <v>1873</v>
      </c>
      <c r="F1222" s="102" t="s">
        <v>2750</v>
      </c>
      <c r="G1222" s="52"/>
      <c r="H1222" s="52"/>
      <c r="I1222" s="52"/>
      <c r="J1222" s="52"/>
      <c r="K1222" s="59" t="s">
        <v>79</v>
      </c>
      <c r="L1222" s="52"/>
      <c r="M1222" s="52"/>
      <c r="N1222" s="52"/>
      <c r="O1222" s="52"/>
      <c r="P1222" s="108" t="s">
        <v>1874</v>
      </c>
      <c r="Q1222" s="55">
        <f>VLOOKUP(E1222,'NI-Ric_SP'!$C:$AN,12,FALSE)</f>
        <v>0</v>
      </c>
      <c r="R1222" s="55">
        <f>VLOOKUP(E1222,'NI-Ric_SP'!$C:$AN,13,FALSE)</f>
        <v>0</v>
      </c>
      <c r="S1222" s="55"/>
      <c r="T1222" s="55"/>
      <c r="U1222" s="55">
        <f>VLOOKUP($E1222,'NI-Ric_SP'!$C:$AN,MID(U$1,1,2),FALSE)</f>
        <v>0</v>
      </c>
      <c r="V1222" s="55">
        <f>VLOOKUP($E1222,'NI-Ric_SP'!$C:$AN,MID(V$1,1,2),FALSE)</f>
        <v>0</v>
      </c>
      <c r="W1222" s="55">
        <f>VLOOKUP($E1222,'NI-Ric_SP'!$C:$AN,MID(W$1,1,2),FALSE)</f>
        <v>0</v>
      </c>
      <c r="X1222" s="55">
        <f>VLOOKUP($E1222,'NI-Ric_SP'!$C:$AN,MID(X$1,1,2),FALSE)</f>
        <v>0</v>
      </c>
      <c r="Y1222" s="55">
        <f>VLOOKUP($E1222,'NI-Ric_SP'!$C:$AN,MID(Y$1,1,2),FALSE)</f>
        <v>0</v>
      </c>
      <c r="Z1222" s="55">
        <f>VLOOKUP($E1222,'NI-Ric_SP'!$C:$AN,MID(Z$1,1,2),FALSE)</f>
        <v>0</v>
      </c>
      <c r="AA1222" s="55">
        <f>VLOOKUP($E1222,'NI-Ric_SP'!$C:$AN,MID(AA$1,1,2),FALSE)</f>
        <v>0</v>
      </c>
      <c r="AB1222" s="55">
        <f>VLOOKUP($E1222,'NI-Ric_SP'!$C:$AN,MID(AB$1,1,2),FALSE)</f>
        <v>0</v>
      </c>
      <c r="AC1222" s="55">
        <f>VLOOKUP($E1222,'NI-Ric_SP'!$C:$AN,MID(AC$1,1,2),FALSE)</f>
        <v>0</v>
      </c>
      <c r="AD1222" s="55">
        <f>VLOOKUP($E1222,'NI-Ric_SP'!$C:$AN,MID(AD$1,1,2),FALSE)</f>
        <v>0</v>
      </c>
      <c r="AE1222" s="55">
        <f>VLOOKUP($E1222,'NI-Ric_SP'!$C:$AN,MID(AE$1,1,2),FALSE)</f>
        <v>0</v>
      </c>
      <c r="AF1222" s="55">
        <f>VLOOKUP($E1222,'NI-Ric_SP'!$C:$AN,MID(AF$1,1,2),FALSE)</f>
        <v>0</v>
      </c>
      <c r="AG1222" s="55">
        <f>VLOOKUP($E1222,'NI-Ric_SP'!$C:$AN,MID(AG$1,1,2),FALSE)</f>
        <v>0</v>
      </c>
      <c r="AH1222" s="55">
        <f>VLOOKUP($E1222,'NI-Ric_SP'!$C:$AN,MID(AH$1,1,2),FALSE)</f>
        <v>0</v>
      </c>
      <c r="AI1222" s="55">
        <f>VLOOKUP($E1222,'NI-Ric_SP'!$C:$AN,MID(AI$1,1,2),FALSE)</f>
        <v>0</v>
      </c>
      <c r="AJ1222" s="55">
        <f>VLOOKUP($E1222,'NI-Ric_SP'!$C:$AN,MID(AJ$1,1,2),FALSE)</f>
        <v>0</v>
      </c>
      <c r="AK1222" s="55">
        <f>VLOOKUP($E1222,'NI-Ric_SP'!$C:$AN,MID(AK$1,1,2),FALSE)</f>
        <v>0</v>
      </c>
      <c r="AL1222" s="55">
        <f>VLOOKUP($E1222,'NI-Ric_SP'!$C:$AN,MID(AL$1,1,2),FALSE)</f>
        <v>0</v>
      </c>
      <c r="AM1222" s="56">
        <f>VLOOKUP($E1222,'NI-Ric_SP'!$C:$AN,MID(AM$1,1,2),FALSE)</f>
        <v>0</v>
      </c>
      <c r="AN1222" s="30" t="str">
        <f t="shared" si="19"/>
        <v>40501020000000</v>
      </c>
    </row>
    <row r="1223" spans="1:40" x14ac:dyDescent="0.25">
      <c r="C1223" s="40"/>
      <c r="D1223" s="101" t="s">
        <v>1875</v>
      </c>
      <c r="E1223" s="101" t="s">
        <v>1876</v>
      </c>
      <c r="F1223" s="102" t="s">
        <v>2750</v>
      </c>
      <c r="G1223" s="52"/>
      <c r="H1223" s="52"/>
      <c r="I1223" s="52"/>
      <c r="J1223" s="52"/>
      <c r="K1223" s="59" t="s">
        <v>79</v>
      </c>
      <c r="L1223" s="52"/>
      <c r="M1223" s="52"/>
      <c r="N1223" s="52"/>
      <c r="O1223" s="52"/>
      <c r="P1223" s="108" t="s">
        <v>1877</v>
      </c>
      <c r="Q1223" s="55">
        <f>VLOOKUP(E1223,'NI-Ric_SP'!$C:$AN,12,FALSE)</f>
        <v>0</v>
      </c>
      <c r="R1223" s="55">
        <f>VLOOKUP(E1223,'NI-Ric_SP'!$C:$AN,13,FALSE)</f>
        <v>0</v>
      </c>
      <c r="S1223" s="55"/>
      <c r="T1223" s="55"/>
      <c r="U1223" s="55">
        <f>VLOOKUP($E1223,'NI-Ric_SP'!$C:$AN,MID(U$1,1,2),FALSE)</f>
        <v>0</v>
      </c>
      <c r="V1223" s="55">
        <f>VLOOKUP($E1223,'NI-Ric_SP'!$C:$AN,MID(V$1,1,2),FALSE)</f>
        <v>0</v>
      </c>
      <c r="W1223" s="55">
        <f>VLOOKUP($E1223,'NI-Ric_SP'!$C:$AN,MID(W$1,1,2),FALSE)</f>
        <v>0</v>
      </c>
      <c r="X1223" s="55">
        <f>VLOOKUP($E1223,'NI-Ric_SP'!$C:$AN,MID(X$1,1,2),FALSE)</f>
        <v>0</v>
      </c>
      <c r="Y1223" s="55">
        <f>VLOOKUP($E1223,'NI-Ric_SP'!$C:$AN,MID(Y$1,1,2),FALSE)</f>
        <v>0</v>
      </c>
      <c r="Z1223" s="55">
        <f>VLOOKUP($E1223,'NI-Ric_SP'!$C:$AN,MID(Z$1,1,2),FALSE)</f>
        <v>0</v>
      </c>
      <c r="AA1223" s="55">
        <f>VLOOKUP($E1223,'NI-Ric_SP'!$C:$AN,MID(AA$1,1,2),FALSE)</f>
        <v>0</v>
      </c>
      <c r="AB1223" s="55">
        <f>VLOOKUP($E1223,'NI-Ric_SP'!$C:$AN,MID(AB$1,1,2),FALSE)</f>
        <v>0</v>
      </c>
      <c r="AC1223" s="55">
        <f>VLOOKUP($E1223,'NI-Ric_SP'!$C:$AN,MID(AC$1,1,2),FALSE)</f>
        <v>0</v>
      </c>
      <c r="AD1223" s="55">
        <f>VLOOKUP($E1223,'NI-Ric_SP'!$C:$AN,MID(AD$1,1,2),FALSE)</f>
        <v>0</v>
      </c>
      <c r="AE1223" s="55">
        <f>VLOOKUP($E1223,'NI-Ric_SP'!$C:$AN,MID(AE$1,1,2),FALSE)</f>
        <v>0</v>
      </c>
      <c r="AF1223" s="55">
        <f>VLOOKUP($E1223,'NI-Ric_SP'!$C:$AN,MID(AF$1,1,2),FALSE)</f>
        <v>0</v>
      </c>
      <c r="AG1223" s="55">
        <f>VLOOKUP($E1223,'NI-Ric_SP'!$C:$AN,MID(AG$1,1,2),FALSE)</f>
        <v>0</v>
      </c>
      <c r="AH1223" s="55">
        <f>VLOOKUP($E1223,'NI-Ric_SP'!$C:$AN,MID(AH$1,1,2),FALSE)</f>
        <v>0</v>
      </c>
      <c r="AI1223" s="55">
        <f>VLOOKUP($E1223,'NI-Ric_SP'!$C:$AN,MID(AI$1,1,2),FALSE)</f>
        <v>0</v>
      </c>
      <c r="AJ1223" s="55">
        <f>VLOOKUP($E1223,'NI-Ric_SP'!$C:$AN,MID(AJ$1,1,2),FALSE)</f>
        <v>0</v>
      </c>
      <c r="AK1223" s="55">
        <f>VLOOKUP($E1223,'NI-Ric_SP'!$C:$AN,MID(AK$1,1,2),FALSE)</f>
        <v>0</v>
      </c>
      <c r="AL1223" s="55">
        <f>VLOOKUP($E1223,'NI-Ric_SP'!$C:$AN,MID(AL$1,1,2),FALSE)</f>
        <v>0</v>
      </c>
      <c r="AM1223" s="56">
        <f>VLOOKUP($E1223,'NI-Ric_SP'!$C:$AN,MID(AM$1,1,2),FALSE)</f>
        <v>0</v>
      </c>
      <c r="AN1223" s="30" t="str">
        <f t="shared" si="19"/>
        <v>40501030000000</v>
      </c>
    </row>
    <row r="1224" spans="1:40" x14ac:dyDescent="0.25">
      <c r="C1224" s="40"/>
      <c r="D1224" s="101" t="s">
        <v>1878</v>
      </c>
      <c r="E1224" s="101" t="s">
        <v>1879</v>
      </c>
      <c r="F1224" s="102" t="s">
        <v>2750</v>
      </c>
      <c r="G1224" s="52"/>
      <c r="H1224" s="52"/>
      <c r="I1224" s="52"/>
      <c r="J1224" s="52"/>
      <c r="K1224" s="59" t="s">
        <v>111</v>
      </c>
      <c r="L1224" s="52"/>
      <c r="M1224" s="52"/>
      <c r="N1224" s="52"/>
      <c r="O1224" s="52"/>
      <c r="P1224" s="107" t="s">
        <v>1880</v>
      </c>
      <c r="Q1224" s="55">
        <f>VLOOKUP(E1224,'NI-Ric_SP'!$C:$AN,12,FALSE)</f>
        <v>0</v>
      </c>
      <c r="R1224" s="55">
        <f>VLOOKUP(E1224,'NI-Ric_SP'!$C:$AN,13,FALSE)</f>
        <v>0</v>
      </c>
      <c r="S1224" s="55"/>
      <c r="T1224" s="55"/>
      <c r="U1224" s="55">
        <f>VLOOKUP($E1224,'NI-Ric_SP'!$C:$AN,MID(U$1,1,2),FALSE)</f>
        <v>0</v>
      </c>
      <c r="V1224" s="55">
        <f>VLOOKUP($E1224,'NI-Ric_SP'!$C:$AN,MID(V$1,1,2),FALSE)</f>
        <v>0</v>
      </c>
      <c r="W1224" s="55">
        <f>VLOOKUP($E1224,'NI-Ric_SP'!$C:$AN,MID(W$1,1,2),FALSE)</f>
        <v>0</v>
      </c>
      <c r="X1224" s="55">
        <f>VLOOKUP($E1224,'NI-Ric_SP'!$C:$AN,MID(X$1,1,2),FALSE)</f>
        <v>0</v>
      </c>
      <c r="Y1224" s="55">
        <f>VLOOKUP($E1224,'NI-Ric_SP'!$C:$AN,MID(Y$1,1,2),FALSE)</f>
        <v>0</v>
      </c>
      <c r="Z1224" s="55">
        <f>VLOOKUP($E1224,'NI-Ric_SP'!$C:$AN,MID(Z$1,1,2),FALSE)</f>
        <v>0</v>
      </c>
      <c r="AA1224" s="55">
        <f>VLOOKUP($E1224,'NI-Ric_SP'!$C:$AN,MID(AA$1,1,2),FALSE)</f>
        <v>0</v>
      </c>
      <c r="AB1224" s="55">
        <f>VLOOKUP($E1224,'NI-Ric_SP'!$C:$AN,MID(AB$1,1,2),FALSE)</f>
        <v>0</v>
      </c>
      <c r="AC1224" s="55">
        <f>VLOOKUP($E1224,'NI-Ric_SP'!$C:$AN,MID(AC$1,1,2),FALSE)</f>
        <v>0</v>
      </c>
      <c r="AD1224" s="55">
        <f>VLOOKUP($E1224,'NI-Ric_SP'!$C:$AN,MID(AD$1,1,2),FALSE)</f>
        <v>0</v>
      </c>
      <c r="AE1224" s="55">
        <f>VLOOKUP($E1224,'NI-Ric_SP'!$C:$AN,MID(AE$1,1,2),FALSE)</f>
        <v>0</v>
      </c>
      <c r="AF1224" s="55">
        <f>VLOOKUP($E1224,'NI-Ric_SP'!$C:$AN,MID(AF$1,1,2),FALSE)</f>
        <v>0</v>
      </c>
      <c r="AG1224" s="55">
        <f>VLOOKUP($E1224,'NI-Ric_SP'!$C:$AN,MID(AG$1,1,2),FALSE)</f>
        <v>0</v>
      </c>
      <c r="AH1224" s="55">
        <f>VLOOKUP($E1224,'NI-Ric_SP'!$C:$AN,MID(AH$1,1,2),FALSE)</f>
        <v>0</v>
      </c>
      <c r="AI1224" s="55">
        <f>VLOOKUP($E1224,'NI-Ric_SP'!$C:$AN,MID(AI$1,1,2),FALSE)</f>
        <v>0</v>
      </c>
      <c r="AJ1224" s="55">
        <f>VLOOKUP($E1224,'NI-Ric_SP'!$C:$AN,MID(AJ$1,1,2),FALSE)</f>
        <v>0</v>
      </c>
      <c r="AK1224" s="55">
        <f>VLOOKUP($E1224,'NI-Ric_SP'!$C:$AN,MID(AK$1,1,2),FALSE)</f>
        <v>0</v>
      </c>
      <c r="AL1224" s="55">
        <f>VLOOKUP($E1224,'NI-Ric_SP'!$C:$AN,MID(AL$1,1,2),FALSE)</f>
        <v>0</v>
      </c>
      <c r="AM1224" s="56">
        <f>VLOOKUP($E1224,'NI-Ric_SP'!$C:$AN,MID(AM$1,1,2),FALSE)</f>
        <v>0</v>
      </c>
      <c r="AN1224" s="30" t="str">
        <f t="shared" si="19"/>
        <v>40502000000000</v>
      </c>
    </row>
    <row r="1225" spans="1:40" x14ac:dyDescent="0.25">
      <c r="C1225" s="40"/>
      <c r="D1225" s="101" t="s">
        <v>1881</v>
      </c>
      <c r="E1225" s="101" t="s">
        <v>1882</v>
      </c>
      <c r="F1225" s="102" t="s">
        <v>2750</v>
      </c>
      <c r="G1225" s="52"/>
      <c r="H1225" s="52"/>
      <c r="I1225" s="52"/>
      <c r="J1225" s="52"/>
      <c r="K1225" s="59" t="s">
        <v>79</v>
      </c>
      <c r="L1225" s="52"/>
      <c r="M1225" s="52"/>
      <c r="N1225" s="52"/>
      <c r="O1225" s="52"/>
      <c r="P1225" s="108" t="s">
        <v>1883</v>
      </c>
      <c r="Q1225" s="55">
        <f>VLOOKUP(E1225,'NI-Ric_SP'!$C:$AN,12,FALSE)</f>
        <v>0</v>
      </c>
      <c r="R1225" s="55">
        <f>VLOOKUP(E1225,'NI-Ric_SP'!$C:$AN,13,FALSE)</f>
        <v>0</v>
      </c>
      <c r="S1225" s="55"/>
      <c r="T1225" s="55"/>
      <c r="U1225" s="55">
        <f>VLOOKUP($E1225,'NI-Ric_SP'!$C:$AN,MID(U$1,1,2),FALSE)</f>
        <v>0</v>
      </c>
      <c r="V1225" s="55">
        <f>VLOOKUP($E1225,'NI-Ric_SP'!$C:$AN,MID(V$1,1,2),FALSE)</f>
        <v>0</v>
      </c>
      <c r="W1225" s="55">
        <f>VLOOKUP($E1225,'NI-Ric_SP'!$C:$AN,MID(W$1,1,2),FALSE)</f>
        <v>0</v>
      </c>
      <c r="X1225" s="55">
        <f>VLOOKUP($E1225,'NI-Ric_SP'!$C:$AN,MID(X$1,1,2),FALSE)</f>
        <v>0</v>
      </c>
      <c r="Y1225" s="55">
        <f>VLOOKUP($E1225,'NI-Ric_SP'!$C:$AN,MID(Y$1,1,2),FALSE)</f>
        <v>0</v>
      </c>
      <c r="Z1225" s="55">
        <f>VLOOKUP($E1225,'NI-Ric_SP'!$C:$AN,MID(Z$1,1,2),FALSE)</f>
        <v>0</v>
      </c>
      <c r="AA1225" s="55">
        <f>VLOOKUP($E1225,'NI-Ric_SP'!$C:$AN,MID(AA$1,1,2),FALSE)</f>
        <v>0</v>
      </c>
      <c r="AB1225" s="55">
        <f>VLOOKUP($E1225,'NI-Ric_SP'!$C:$AN,MID(AB$1,1,2),FALSE)</f>
        <v>0</v>
      </c>
      <c r="AC1225" s="55">
        <f>VLOOKUP($E1225,'NI-Ric_SP'!$C:$AN,MID(AC$1,1,2),FALSE)</f>
        <v>0</v>
      </c>
      <c r="AD1225" s="55">
        <f>VLOOKUP($E1225,'NI-Ric_SP'!$C:$AN,MID(AD$1,1,2),FALSE)</f>
        <v>0</v>
      </c>
      <c r="AE1225" s="55">
        <f>VLOOKUP($E1225,'NI-Ric_SP'!$C:$AN,MID(AE$1,1,2),FALSE)</f>
        <v>0</v>
      </c>
      <c r="AF1225" s="55">
        <f>VLOOKUP($E1225,'NI-Ric_SP'!$C:$AN,MID(AF$1,1,2),FALSE)</f>
        <v>0</v>
      </c>
      <c r="AG1225" s="55">
        <f>VLOOKUP($E1225,'NI-Ric_SP'!$C:$AN,MID(AG$1,1,2),FALSE)</f>
        <v>0</v>
      </c>
      <c r="AH1225" s="55">
        <f>VLOOKUP($E1225,'NI-Ric_SP'!$C:$AN,MID(AH$1,1,2),FALSE)</f>
        <v>0</v>
      </c>
      <c r="AI1225" s="55">
        <f>VLOOKUP($E1225,'NI-Ric_SP'!$C:$AN,MID(AI$1,1,2),FALSE)</f>
        <v>0</v>
      </c>
      <c r="AJ1225" s="55">
        <f>VLOOKUP($E1225,'NI-Ric_SP'!$C:$AN,MID(AJ$1,1,2),FALSE)</f>
        <v>0</v>
      </c>
      <c r="AK1225" s="55">
        <f>VLOOKUP($E1225,'NI-Ric_SP'!$C:$AN,MID(AK$1,1,2),FALSE)</f>
        <v>0</v>
      </c>
      <c r="AL1225" s="55">
        <f>VLOOKUP($E1225,'NI-Ric_SP'!$C:$AN,MID(AL$1,1,2),FALSE)</f>
        <v>0</v>
      </c>
      <c r="AM1225" s="56">
        <f>VLOOKUP($E1225,'NI-Ric_SP'!$C:$AN,MID(AM$1,1,2),FALSE)</f>
        <v>0</v>
      </c>
      <c r="AN1225" s="30" t="str">
        <f t="shared" si="19"/>
        <v>40502010000000</v>
      </c>
    </row>
    <row r="1226" spans="1:40" x14ac:dyDescent="0.25">
      <c r="C1226" s="40"/>
      <c r="D1226" s="101" t="s">
        <v>1884</v>
      </c>
      <c r="E1226" s="101" t="s">
        <v>1885</v>
      </c>
      <c r="F1226" s="102" t="s">
        <v>2750</v>
      </c>
      <c r="G1226" s="52"/>
      <c r="H1226" s="52"/>
      <c r="I1226" s="52"/>
      <c r="J1226" s="52"/>
      <c r="K1226" s="59" t="s">
        <v>79</v>
      </c>
      <c r="L1226" s="52"/>
      <c r="M1226" s="52"/>
      <c r="N1226" s="52"/>
      <c r="O1226" s="52"/>
      <c r="P1226" s="108" t="s">
        <v>1886</v>
      </c>
      <c r="Q1226" s="55">
        <f>VLOOKUP(E1226,'NI-Ric_SP'!$C:$AN,12,FALSE)</f>
        <v>0</v>
      </c>
      <c r="R1226" s="55">
        <f>VLOOKUP(E1226,'NI-Ric_SP'!$C:$AN,13,FALSE)</f>
        <v>0</v>
      </c>
      <c r="S1226" s="55"/>
      <c r="T1226" s="55"/>
      <c r="U1226" s="55">
        <f>VLOOKUP($E1226,'NI-Ric_SP'!$C:$AN,MID(U$1,1,2),FALSE)</f>
        <v>0</v>
      </c>
      <c r="V1226" s="55">
        <f>VLOOKUP($E1226,'NI-Ric_SP'!$C:$AN,MID(V$1,1,2),FALSE)</f>
        <v>0</v>
      </c>
      <c r="W1226" s="55">
        <f>VLOOKUP($E1226,'NI-Ric_SP'!$C:$AN,MID(W$1,1,2),FALSE)</f>
        <v>0</v>
      </c>
      <c r="X1226" s="55">
        <f>VLOOKUP($E1226,'NI-Ric_SP'!$C:$AN,MID(X$1,1,2),FALSE)</f>
        <v>0</v>
      </c>
      <c r="Y1226" s="55">
        <f>VLOOKUP($E1226,'NI-Ric_SP'!$C:$AN,MID(Y$1,1,2),FALSE)</f>
        <v>0</v>
      </c>
      <c r="Z1226" s="55">
        <f>VLOOKUP($E1226,'NI-Ric_SP'!$C:$AN,MID(Z$1,1,2),FALSE)</f>
        <v>0</v>
      </c>
      <c r="AA1226" s="55">
        <f>VLOOKUP($E1226,'NI-Ric_SP'!$C:$AN,MID(AA$1,1,2),FALSE)</f>
        <v>0</v>
      </c>
      <c r="AB1226" s="55">
        <f>VLOOKUP($E1226,'NI-Ric_SP'!$C:$AN,MID(AB$1,1,2),FALSE)</f>
        <v>0</v>
      </c>
      <c r="AC1226" s="55">
        <f>VLOOKUP($E1226,'NI-Ric_SP'!$C:$AN,MID(AC$1,1,2),FALSE)</f>
        <v>0</v>
      </c>
      <c r="AD1226" s="55">
        <f>VLOOKUP($E1226,'NI-Ric_SP'!$C:$AN,MID(AD$1,1,2),FALSE)</f>
        <v>0</v>
      </c>
      <c r="AE1226" s="55">
        <f>VLOOKUP($E1226,'NI-Ric_SP'!$C:$AN,MID(AE$1,1,2),FALSE)</f>
        <v>0</v>
      </c>
      <c r="AF1226" s="55">
        <f>VLOOKUP($E1226,'NI-Ric_SP'!$C:$AN,MID(AF$1,1,2),FALSE)</f>
        <v>0</v>
      </c>
      <c r="AG1226" s="55">
        <f>VLOOKUP($E1226,'NI-Ric_SP'!$C:$AN,MID(AG$1,1,2),FALSE)</f>
        <v>0</v>
      </c>
      <c r="AH1226" s="55">
        <f>VLOOKUP($E1226,'NI-Ric_SP'!$C:$AN,MID(AH$1,1,2),FALSE)</f>
        <v>0</v>
      </c>
      <c r="AI1226" s="55">
        <f>VLOOKUP($E1226,'NI-Ric_SP'!$C:$AN,MID(AI$1,1,2),FALSE)</f>
        <v>0</v>
      </c>
      <c r="AJ1226" s="55">
        <f>VLOOKUP($E1226,'NI-Ric_SP'!$C:$AN,MID(AJ$1,1,2),FALSE)</f>
        <v>0</v>
      </c>
      <c r="AK1226" s="55">
        <f>VLOOKUP($E1226,'NI-Ric_SP'!$C:$AN,MID(AK$1,1,2),FALSE)</f>
        <v>0</v>
      </c>
      <c r="AL1226" s="55">
        <f>VLOOKUP($E1226,'NI-Ric_SP'!$C:$AN,MID(AL$1,1,2),FALSE)</f>
        <v>0</v>
      </c>
      <c r="AM1226" s="56">
        <f>VLOOKUP($E1226,'NI-Ric_SP'!$C:$AN,MID(AM$1,1,2),FALSE)</f>
        <v>0</v>
      </c>
      <c r="AN1226" s="30" t="str">
        <f t="shared" si="19"/>
        <v>40502020000000</v>
      </c>
    </row>
    <row r="1227" spans="1:40" x14ac:dyDescent="0.25">
      <c r="C1227" s="40"/>
      <c r="D1227" s="101" t="s">
        <v>1887</v>
      </c>
      <c r="E1227" s="101" t="s">
        <v>1888</v>
      </c>
      <c r="F1227" s="102" t="s">
        <v>2750</v>
      </c>
      <c r="G1227" s="52"/>
      <c r="H1227" s="52"/>
      <c r="I1227" s="52"/>
      <c r="J1227" s="52"/>
      <c r="K1227" s="59" t="s">
        <v>79</v>
      </c>
      <c r="L1227" s="52"/>
      <c r="M1227" s="52"/>
      <c r="N1227" s="52"/>
      <c r="O1227" s="52"/>
      <c r="P1227" s="108" t="s">
        <v>1889</v>
      </c>
      <c r="Q1227" s="55">
        <f>VLOOKUP(E1227,'NI-Ric_SP'!$C:$AN,12,FALSE)</f>
        <v>0</v>
      </c>
      <c r="R1227" s="55">
        <f>VLOOKUP(E1227,'NI-Ric_SP'!$C:$AN,13,FALSE)</f>
        <v>0</v>
      </c>
      <c r="S1227" s="55"/>
      <c r="T1227" s="55"/>
      <c r="U1227" s="55">
        <f>VLOOKUP($E1227,'NI-Ric_SP'!$C:$AN,MID(U$1,1,2),FALSE)</f>
        <v>0</v>
      </c>
      <c r="V1227" s="55">
        <f>VLOOKUP($E1227,'NI-Ric_SP'!$C:$AN,MID(V$1,1,2),FALSE)</f>
        <v>0</v>
      </c>
      <c r="W1227" s="55">
        <f>VLOOKUP($E1227,'NI-Ric_SP'!$C:$AN,MID(W$1,1,2),FALSE)</f>
        <v>0</v>
      </c>
      <c r="X1227" s="55">
        <f>VLOOKUP($E1227,'NI-Ric_SP'!$C:$AN,MID(X$1,1,2),FALSE)</f>
        <v>0</v>
      </c>
      <c r="Y1227" s="55">
        <f>VLOOKUP($E1227,'NI-Ric_SP'!$C:$AN,MID(Y$1,1,2),FALSE)</f>
        <v>0</v>
      </c>
      <c r="Z1227" s="55">
        <f>VLOOKUP($E1227,'NI-Ric_SP'!$C:$AN,MID(Z$1,1,2),FALSE)</f>
        <v>0</v>
      </c>
      <c r="AA1227" s="55">
        <f>VLOOKUP($E1227,'NI-Ric_SP'!$C:$AN,MID(AA$1,1,2),FALSE)</f>
        <v>0</v>
      </c>
      <c r="AB1227" s="55">
        <f>VLOOKUP($E1227,'NI-Ric_SP'!$C:$AN,MID(AB$1,1,2),FALSE)</f>
        <v>0</v>
      </c>
      <c r="AC1227" s="55">
        <f>VLOOKUP($E1227,'NI-Ric_SP'!$C:$AN,MID(AC$1,1,2),FALSE)</f>
        <v>0</v>
      </c>
      <c r="AD1227" s="55">
        <f>VLOOKUP($E1227,'NI-Ric_SP'!$C:$AN,MID(AD$1,1,2),FALSE)</f>
        <v>0</v>
      </c>
      <c r="AE1227" s="55">
        <f>VLOOKUP($E1227,'NI-Ric_SP'!$C:$AN,MID(AE$1,1,2),FALSE)</f>
        <v>0</v>
      </c>
      <c r="AF1227" s="55">
        <f>VLOOKUP($E1227,'NI-Ric_SP'!$C:$AN,MID(AF$1,1,2),FALSE)</f>
        <v>0</v>
      </c>
      <c r="AG1227" s="55">
        <f>VLOOKUP($E1227,'NI-Ric_SP'!$C:$AN,MID(AG$1,1,2),FALSE)</f>
        <v>0</v>
      </c>
      <c r="AH1227" s="55">
        <f>VLOOKUP($E1227,'NI-Ric_SP'!$C:$AN,MID(AH$1,1,2),FALSE)</f>
        <v>0</v>
      </c>
      <c r="AI1227" s="55">
        <f>VLOOKUP($E1227,'NI-Ric_SP'!$C:$AN,MID(AI$1,1,2),FALSE)</f>
        <v>0</v>
      </c>
      <c r="AJ1227" s="55">
        <f>VLOOKUP($E1227,'NI-Ric_SP'!$C:$AN,MID(AJ$1,1,2),FALSE)</f>
        <v>0</v>
      </c>
      <c r="AK1227" s="55">
        <f>VLOOKUP($E1227,'NI-Ric_SP'!$C:$AN,MID(AK$1,1,2),FALSE)</f>
        <v>0</v>
      </c>
      <c r="AL1227" s="55">
        <f>VLOOKUP($E1227,'NI-Ric_SP'!$C:$AN,MID(AL$1,1,2),FALSE)</f>
        <v>0</v>
      </c>
      <c r="AM1227" s="56">
        <f>VLOOKUP($E1227,'NI-Ric_SP'!$C:$AN,MID(AM$1,1,2),FALSE)</f>
        <v>0</v>
      </c>
      <c r="AN1227" s="30" t="str">
        <f t="shared" si="19"/>
        <v>40502030000000</v>
      </c>
    </row>
    <row r="1228" spans="1:40" x14ac:dyDescent="0.25">
      <c r="C1228" s="40"/>
      <c r="D1228" s="101" t="s">
        <v>1890</v>
      </c>
      <c r="E1228" s="101" t="s">
        <v>1891</v>
      </c>
      <c r="F1228" s="102" t="s">
        <v>2750</v>
      </c>
      <c r="G1228" s="52"/>
      <c r="H1228" s="52"/>
      <c r="I1228" s="52"/>
      <c r="J1228" s="52"/>
      <c r="K1228" s="59" t="s">
        <v>79</v>
      </c>
      <c r="L1228" s="52"/>
      <c r="M1228" s="52"/>
      <c r="N1228" s="52"/>
      <c r="O1228" s="52"/>
      <c r="P1228" s="107" t="s">
        <v>1892</v>
      </c>
      <c r="Q1228" s="55">
        <f>VLOOKUP(E1228,'NI-Ric_SP'!$C:$AN,12,FALSE)</f>
        <v>0</v>
      </c>
      <c r="R1228" s="55">
        <f>VLOOKUP(E1228,'NI-Ric_SP'!$C:$AN,13,FALSE)</f>
        <v>0</v>
      </c>
      <c r="S1228" s="55"/>
      <c r="T1228" s="55"/>
      <c r="U1228" s="55">
        <f>VLOOKUP($E1228,'NI-Ric_SP'!$C:$AN,MID(U$1,1,2),FALSE)</f>
        <v>0</v>
      </c>
      <c r="V1228" s="55">
        <f>VLOOKUP($E1228,'NI-Ric_SP'!$C:$AN,MID(V$1,1,2),FALSE)</f>
        <v>0</v>
      </c>
      <c r="W1228" s="55">
        <f>VLOOKUP($E1228,'NI-Ric_SP'!$C:$AN,MID(W$1,1,2),FALSE)</f>
        <v>0</v>
      </c>
      <c r="X1228" s="55">
        <f>VLOOKUP($E1228,'NI-Ric_SP'!$C:$AN,MID(X$1,1,2),FALSE)</f>
        <v>0</v>
      </c>
      <c r="Y1228" s="55">
        <f>VLOOKUP($E1228,'NI-Ric_SP'!$C:$AN,MID(Y$1,1,2),FALSE)</f>
        <v>0</v>
      </c>
      <c r="Z1228" s="55">
        <f>VLOOKUP($E1228,'NI-Ric_SP'!$C:$AN,MID(Z$1,1,2),FALSE)</f>
        <v>0</v>
      </c>
      <c r="AA1228" s="55">
        <f>VLOOKUP($E1228,'NI-Ric_SP'!$C:$AN,MID(AA$1,1,2),FALSE)</f>
        <v>0</v>
      </c>
      <c r="AB1228" s="55">
        <f>VLOOKUP($E1228,'NI-Ric_SP'!$C:$AN,MID(AB$1,1,2),FALSE)</f>
        <v>0</v>
      </c>
      <c r="AC1228" s="55">
        <f>VLOOKUP($E1228,'NI-Ric_SP'!$C:$AN,MID(AC$1,1,2),FALSE)</f>
        <v>0</v>
      </c>
      <c r="AD1228" s="55">
        <f>VLOOKUP($E1228,'NI-Ric_SP'!$C:$AN,MID(AD$1,1,2),FALSE)</f>
        <v>0</v>
      </c>
      <c r="AE1228" s="55">
        <f>VLOOKUP($E1228,'NI-Ric_SP'!$C:$AN,MID(AE$1,1,2),FALSE)</f>
        <v>0</v>
      </c>
      <c r="AF1228" s="55">
        <f>VLOOKUP($E1228,'NI-Ric_SP'!$C:$AN,MID(AF$1,1,2),FALSE)</f>
        <v>0</v>
      </c>
      <c r="AG1228" s="55">
        <f>VLOOKUP($E1228,'NI-Ric_SP'!$C:$AN,MID(AG$1,1,2),FALSE)</f>
        <v>0</v>
      </c>
      <c r="AH1228" s="55">
        <f>VLOOKUP($E1228,'NI-Ric_SP'!$C:$AN,MID(AH$1,1,2),FALSE)</f>
        <v>0</v>
      </c>
      <c r="AI1228" s="55">
        <f>VLOOKUP($E1228,'NI-Ric_SP'!$C:$AN,MID(AI$1,1,2),FALSE)</f>
        <v>0</v>
      </c>
      <c r="AJ1228" s="55">
        <f>VLOOKUP($E1228,'NI-Ric_SP'!$C:$AN,MID(AJ$1,1,2),FALSE)</f>
        <v>0</v>
      </c>
      <c r="AK1228" s="55">
        <f>VLOOKUP($E1228,'NI-Ric_SP'!$C:$AN,MID(AK$1,1,2),FALSE)</f>
        <v>0</v>
      </c>
      <c r="AL1228" s="55">
        <f>VLOOKUP($E1228,'NI-Ric_SP'!$C:$AN,MID(AL$1,1,2),FALSE)</f>
        <v>0</v>
      </c>
      <c r="AM1228" s="56">
        <f>VLOOKUP($E1228,'NI-Ric_SP'!$C:$AN,MID(AM$1,1,2),FALSE)</f>
        <v>0</v>
      </c>
      <c r="AN1228" s="30" t="str">
        <f t="shared" si="19"/>
        <v>40502040000000</v>
      </c>
    </row>
    <row r="1229" spans="1:40" x14ac:dyDescent="0.25">
      <c r="C1229" s="40"/>
      <c r="D1229" s="101" t="s">
        <v>1893</v>
      </c>
      <c r="E1229" s="101" t="s">
        <v>1894</v>
      </c>
      <c r="F1229" s="102" t="s">
        <v>2750</v>
      </c>
      <c r="G1229" s="52"/>
      <c r="H1229" s="52"/>
      <c r="I1229" s="52"/>
      <c r="J1229" s="52"/>
      <c r="K1229" s="59" t="s">
        <v>111</v>
      </c>
      <c r="L1229" s="52"/>
      <c r="M1229" s="52"/>
      <c r="N1229" s="52"/>
      <c r="O1229" s="52"/>
      <c r="P1229" s="107" t="s">
        <v>1895</v>
      </c>
      <c r="Q1229" s="55">
        <f>VLOOKUP(E1229,'NI-Ric_SP'!$C:$AN,12,FALSE)</f>
        <v>0</v>
      </c>
      <c r="R1229" s="55">
        <f>VLOOKUP(E1229,'NI-Ric_SP'!$C:$AN,13,FALSE)</f>
        <v>0</v>
      </c>
      <c r="S1229" s="55"/>
      <c r="T1229" s="55"/>
      <c r="U1229" s="55">
        <f>VLOOKUP($E1229,'NI-Ric_SP'!$C:$AN,MID(U$1,1,2),FALSE)</f>
        <v>0</v>
      </c>
      <c r="V1229" s="55">
        <f>VLOOKUP($E1229,'NI-Ric_SP'!$C:$AN,MID(V$1,1,2),FALSE)</f>
        <v>0</v>
      </c>
      <c r="W1229" s="55">
        <f>VLOOKUP($E1229,'NI-Ric_SP'!$C:$AN,MID(W$1,1,2),FALSE)</f>
        <v>0</v>
      </c>
      <c r="X1229" s="55">
        <f>VLOOKUP($E1229,'NI-Ric_SP'!$C:$AN,MID(X$1,1,2),FALSE)</f>
        <v>0</v>
      </c>
      <c r="Y1229" s="55">
        <f>VLOOKUP($E1229,'NI-Ric_SP'!$C:$AN,MID(Y$1,1,2),FALSE)</f>
        <v>0</v>
      </c>
      <c r="Z1229" s="55">
        <f>VLOOKUP($E1229,'NI-Ric_SP'!$C:$AN,MID(Z$1,1,2),FALSE)</f>
        <v>0</v>
      </c>
      <c r="AA1229" s="55">
        <f>VLOOKUP($E1229,'NI-Ric_SP'!$C:$AN,MID(AA$1,1,2),FALSE)</f>
        <v>0</v>
      </c>
      <c r="AB1229" s="55">
        <f>VLOOKUP($E1229,'NI-Ric_SP'!$C:$AN,MID(AB$1,1,2),FALSE)</f>
        <v>0</v>
      </c>
      <c r="AC1229" s="55">
        <f>VLOOKUP($E1229,'NI-Ric_SP'!$C:$AN,MID(AC$1,1,2),FALSE)</f>
        <v>0</v>
      </c>
      <c r="AD1229" s="55">
        <f>VLOOKUP($E1229,'NI-Ric_SP'!$C:$AN,MID(AD$1,1,2),FALSE)</f>
        <v>0</v>
      </c>
      <c r="AE1229" s="55">
        <f>VLOOKUP($E1229,'NI-Ric_SP'!$C:$AN,MID(AE$1,1,2),FALSE)</f>
        <v>0</v>
      </c>
      <c r="AF1229" s="55">
        <f>VLOOKUP($E1229,'NI-Ric_SP'!$C:$AN,MID(AF$1,1,2),FALSE)</f>
        <v>0</v>
      </c>
      <c r="AG1229" s="55">
        <f>VLOOKUP($E1229,'NI-Ric_SP'!$C:$AN,MID(AG$1,1,2),FALSE)</f>
        <v>0</v>
      </c>
      <c r="AH1229" s="55">
        <f>VLOOKUP($E1229,'NI-Ric_SP'!$C:$AN,MID(AH$1,1,2),FALSE)</f>
        <v>0</v>
      </c>
      <c r="AI1229" s="55">
        <f>VLOOKUP($E1229,'NI-Ric_SP'!$C:$AN,MID(AI$1,1,2),FALSE)</f>
        <v>0</v>
      </c>
      <c r="AJ1229" s="55">
        <f>VLOOKUP($E1229,'NI-Ric_SP'!$C:$AN,MID(AJ$1,1,2),FALSE)</f>
        <v>0</v>
      </c>
      <c r="AK1229" s="55">
        <f>VLOOKUP($E1229,'NI-Ric_SP'!$C:$AN,MID(AK$1,1,2),FALSE)</f>
        <v>0</v>
      </c>
      <c r="AL1229" s="55">
        <f>VLOOKUP($E1229,'NI-Ric_SP'!$C:$AN,MID(AL$1,1,2),FALSE)</f>
        <v>0</v>
      </c>
      <c r="AM1229" s="56">
        <f>VLOOKUP($E1229,'NI-Ric_SP'!$C:$AN,MID(AM$1,1,2),FALSE)</f>
        <v>0</v>
      </c>
      <c r="AN1229" s="30" t="str">
        <f t="shared" si="19"/>
        <v>40503000000000</v>
      </c>
    </row>
    <row r="1230" spans="1:40" x14ac:dyDescent="0.25">
      <c r="C1230" s="40"/>
      <c r="D1230" s="101" t="s">
        <v>1896</v>
      </c>
      <c r="E1230" s="101" t="s">
        <v>1897</v>
      </c>
      <c r="F1230" s="102" t="s">
        <v>2750</v>
      </c>
      <c r="G1230" s="52"/>
      <c r="H1230" s="52"/>
      <c r="I1230" s="52"/>
      <c r="J1230" s="52"/>
      <c r="K1230" s="59" t="s">
        <v>79</v>
      </c>
      <c r="L1230" s="52"/>
      <c r="M1230" s="52"/>
      <c r="N1230" s="52"/>
      <c r="O1230" s="52"/>
      <c r="P1230" s="108" t="s">
        <v>1898</v>
      </c>
      <c r="Q1230" s="55">
        <f>VLOOKUP(E1230,'NI-Ric_SP'!$C:$AN,12,FALSE)</f>
        <v>0</v>
      </c>
      <c r="R1230" s="55">
        <f>VLOOKUP(E1230,'NI-Ric_SP'!$C:$AN,13,FALSE)</f>
        <v>0</v>
      </c>
      <c r="S1230" s="55"/>
      <c r="T1230" s="55"/>
      <c r="U1230" s="55">
        <f>VLOOKUP($E1230,'NI-Ric_SP'!$C:$AN,MID(U$1,1,2),FALSE)</f>
        <v>0</v>
      </c>
      <c r="V1230" s="55">
        <f>VLOOKUP($E1230,'NI-Ric_SP'!$C:$AN,MID(V$1,1,2),FALSE)</f>
        <v>0</v>
      </c>
      <c r="W1230" s="55">
        <f>VLOOKUP($E1230,'NI-Ric_SP'!$C:$AN,MID(W$1,1,2),FALSE)</f>
        <v>0</v>
      </c>
      <c r="X1230" s="55">
        <f>VLOOKUP($E1230,'NI-Ric_SP'!$C:$AN,MID(X$1,1,2),FALSE)</f>
        <v>0</v>
      </c>
      <c r="Y1230" s="55">
        <f>VLOOKUP($E1230,'NI-Ric_SP'!$C:$AN,MID(Y$1,1,2),FALSE)</f>
        <v>0</v>
      </c>
      <c r="Z1230" s="55">
        <f>VLOOKUP($E1230,'NI-Ric_SP'!$C:$AN,MID(Z$1,1,2),FALSE)</f>
        <v>0</v>
      </c>
      <c r="AA1230" s="55">
        <f>VLOOKUP($E1230,'NI-Ric_SP'!$C:$AN,MID(AA$1,1,2),FALSE)</f>
        <v>0</v>
      </c>
      <c r="AB1230" s="55">
        <f>VLOOKUP($E1230,'NI-Ric_SP'!$C:$AN,MID(AB$1,1,2),FALSE)</f>
        <v>0</v>
      </c>
      <c r="AC1230" s="55">
        <f>VLOOKUP($E1230,'NI-Ric_SP'!$C:$AN,MID(AC$1,1,2),FALSE)</f>
        <v>0</v>
      </c>
      <c r="AD1230" s="55">
        <f>VLOOKUP($E1230,'NI-Ric_SP'!$C:$AN,MID(AD$1,1,2),FALSE)</f>
        <v>0</v>
      </c>
      <c r="AE1230" s="55">
        <f>VLOOKUP($E1230,'NI-Ric_SP'!$C:$AN,MID(AE$1,1,2),FALSE)</f>
        <v>0</v>
      </c>
      <c r="AF1230" s="55">
        <f>VLOOKUP($E1230,'NI-Ric_SP'!$C:$AN,MID(AF$1,1,2),FALSE)</f>
        <v>0</v>
      </c>
      <c r="AG1230" s="55">
        <f>VLOOKUP($E1230,'NI-Ric_SP'!$C:$AN,MID(AG$1,1,2),FALSE)</f>
        <v>0</v>
      </c>
      <c r="AH1230" s="55">
        <f>VLOOKUP($E1230,'NI-Ric_SP'!$C:$AN,MID(AH$1,1,2),FALSE)</f>
        <v>0</v>
      </c>
      <c r="AI1230" s="55">
        <f>VLOOKUP($E1230,'NI-Ric_SP'!$C:$AN,MID(AI$1,1,2),FALSE)</f>
        <v>0</v>
      </c>
      <c r="AJ1230" s="55">
        <f>VLOOKUP($E1230,'NI-Ric_SP'!$C:$AN,MID(AJ$1,1,2),FALSE)</f>
        <v>0</v>
      </c>
      <c r="AK1230" s="55">
        <f>VLOOKUP($E1230,'NI-Ric_SP'!$C:$AN,MID(AK$1,1,2),FALSE)</f>
        <v>0</v>
      </c>
      <c r="AL1230" s="55">
        <f>VLOOKUP($E1230,'NI-Ric_SP'!$C:$AN,MID(AL$1,1,2),FALSE)</f>
        <v>0</v>
      </c>
      <c r="AM1230" s="56">
        <f>VLOOKUP($E1230,'NI-Ric_SP'!$C:$AN,MID(AM$1,1,2),FALSE)</f>
        <v>0</v>
      </c>
      <c r="AN1230" s="30" t="str">
        <f t="shared" si="19"/>
        <v>40503010000000</v>
      </c>
    </row>
    <row r="1231" spans="1:40" x14ac:dyDescent="0.25">
      <c r="C1231" s="40"/>
      <c r="D1231" s="101" t="s">
        <v>1899</v>
      </c>
      <c r="E1231" s="101" t="s">
        <v>1900</v>
      </c>
      <c r="F1231" s="102" t="s">
        <v>2750</v>
      </c>
      <c r="G1231" s="52"/>
      <c r="H1231" s="52"/>
      <c r="I1231" s="52"/>
      <c r="J1231" s="52"/>
      <c r="K1231" s="59" t="s">
        <v>79</v>
      </c>
      <c r="L1231" s="52"/>
      <c r="M1231" s="52"/>
      <c r="N1231" s="52"/>
      <c r="O1231" s="52"/>
      <c r="P1231" s="108" t="s">
        <v>1901</v>
      </c>
      <c r="Q1231" s="55">
        <f>VLOOKUP(E1231,'NI-Ric_SP'!$C:$AN,12,FALSE)</f>
        <v>0</v>
      </c>
      <c r="R1231" s="55">
        <f>VLOOKUP(E1231,'NI-Ric_SP'!$C:$AN,13,FALSE)</f>
        <v>0</v>
      </c>
      <c r="S1231" s="55"/>
      <c r="T1231" s="55"/>
      <c r="U1231" s="55">
        <f>VLOOKUP($E1231,'NI-Ric_SP'!$C:$AN,MID(U$1,1,2),FALSE)</f>
        <v>0</v>
      </c>
      <c r="V1231" s="55">
        <f>VLOOKUP($E1231,'NI-Ric_SP'!$C:$AN,MID(V$1,1,2),FALSE)</f>
        <v>0</v>
      </c>
      <c r="W1231" s="55">
        <f>VLOOKUP($E1231,'NI-Ric_SP'!$C:$AN,MID(W$1,1,2),FALSE)</f>
        <v>0</v>
      </c>
      <c r="X1231" s="55">
        <f>VLOOKUP($E1231,'NI-Ric_SP'!$C:$AN,MID(X$1,1,2),FALSE)</f>
        <v>0</v>
      </c>
      <c r="Y1231" s="55">
        <f>VLOOKUP($E1231,'NI-Ric_SP'!$C:$AN,MID(Y$1,1,2),FALSE)</f>
        <v>0</v>
      </c>
      <c r="Z1231" s="55">
        <f>VLOOKUP($E1231,'NI-Ric_SP'!$C:$AN,MID(Z$1,1,2),FALSE)</f>
        <v>0</v>
      </c>
      <c r="AA1231" s="55">
        <f>VLOOKUP($E1231,'NI-Ric_SP'!$C:$AN,MID(AA$1,1,2),FALSE)</f>
        <v>0</v>
      </c>
      <c r="AB1231" s="55">
        <f>VLOOKUP($E1231,'NI-Ric_SP'!$C:$AN,MID(AB$1,1,2),FALSE)</f>
        <v>0</v>
      </c>
      <c r="AC1231" s="55">
        <f>VLOOKUP($E1231,'NI-Ric_SP'!$C:$AN,MID(AC$1,1,2),FALSE)</f>
        <v>0</v>
      </c>
      <c r="AD1231" s="55">
        <f>VLOOKUP($E1231,'NI-Ric_SP'!$C:$AN,MID(AD$1,1,2),FALSE)</f>
        <v>0</v>
      </c>
      <c r="AE1231" s="55">
        <f>VLOOKUP($E1231,'NI-Ric_SP'!$C:$AN,MID(AE$1,1,2),FALSE)</f>
        <v>0</v>
      </c>
      <c r="AF1231" s="55">
        <f>VLOOKUP($E1231,'NI-Ric_SP'!$C:$AN,MID(AF$1,1,2),FALSE)</f>
        <v>0</v>
      </c>
      <c r="AG1231" s="55">
        <f>VLOOKUP($E1231,'NI-Ric_SP'!$C:$AN,MID(AG$1,1,2),FALSE)</f>
        <v>0</v>
      </c>
      <c r="AH1231" s="55">
        <f>VLOOKUP($E1231,'NI-Ric_SP'!$C:$AN,MID(AH$1,1,2),FALSE)</f>
        <v>0</v>
      </c>
      <c r="AI1231" s="55">
        <f>VLOOKUP($E1231,'NI-Ric_SP'!$C:$AN,MID(AI$1,1,2),FALSE)</f>
        <v>0</v>
      </c>
      <c r="AJ1231" s="55">
        <f>VLOOKUP($E1231,'NI-Ric_SP'!$C:$AN,MID(AJ$1,1,2),FALSE)</f>
        <v>0</v>
      </c>
      <c r="AK1231" s="55">
        <f>VLOOKUP($E1231,'NI-Ric_SP'!$C:$AN,MID(AK$1,1,2),FALSE)</f>
        <v>0</v>
      </c>
      <c r="AL1231" s="55">
        <f>VLOOKUP($E1231,'NI-Ric_SP'!$C:$AN,MID(AL$1,1,2),FALSE)</f>
        <v>0</v>
      </c>
      <c r="AM1231" s="56">
        <f>VLOOKUP($E1231,'NI-Ric_SP'!$C:$AN,MID(AM$1,1,2),FALSE)</f>
        <v>0</v>
      </c>
      <c r="AN1231" s="30" t="str">
        <f t="shared" si="19"/>
        <v>40503020000000</v>
      </c>
    </row>
    <row r="1232" spans="1:40" x14ac:dyDescent="0.25">
      <c r="C1232" s="40"/>
      <c r="D1232" s="101" t="s">
        <v>1902</v>
      </c>
      <c r="E1232" s="101" t="s">
        <v>1903</v>
      </c>
      <c r="F1232" s="102" t="s">
        <v>2750</v>
      </c>
      <c r="G1232" s="52"/>
      <c r="H1232" s="52"/>
      <c r="I1232" s="52"/>
      <c r="J1232" s="52"/>
      <c r="K1232" s="59" t="s">
        <v>79</v>
      </c>
      <c r="L1232" s="52"/>
      <c r="M1232" s="52"/>
      <c r="N1232" s="52"/>
      <c r="O1232" s="52"/>
      <c r="P1232" s="108" t="s">
        <v>1904</v>
      </c>
      <c r="Q1232" s="55">
        <f>VLOOKUP(E1232,'NI-Ric_SP'!$C:$AN,12,FALSE)</f>
        <v>0</v>
      </c>
      <c r="R1232" s="55">
        <f>VLOOKUP(E1232,'NI-Ric_SP'!$C:$AN,13,FALSE)</f>
        <v>0</v>
      </c>
      <c r="S1232" s="55"/>
      <c r="T1232" s="55"/>
      <c r="U1232" s="55">
        <f>VLOOKUP($E1232,'NI-Ric_SP'!$C:$AN,MID(U$1,1,2),FALSE)</f>
        <v>0</v>
      </c>
      <c r="V1232" s="55">
        <f>VLOOKUP($E1232,'NI-Ric_SP'!$C:$AN,MID(V$1,1,2),FALSE)</f>
        <v>0</v>
      </c>
      <c r="W1232" s="55">
        <f>VLOOKUP($E1232,'NI-Ric_SP'!$C:$AN,MID(W$1,1,2),FALSE)</f>
        <v>0</v>
      </c>
      <c r="X1232" s="55">
        <f>VLOOKUP($E1232,'NI-Ric_SP'!$C:$AN,MID(X$1,1,2),FALSE)</f>
        <v>0</v>
      </c>
      <c r="Y1232" s="55">
        <f>VLOOKUP($E1232,'NI-Ric_SP'!$C:$AN,MID(Y$1,1,2),FALSE)</f>
        <v>0</v>
      </c>
      <c r="Z1232" s="55">
        <f>VLOOKUP($E1232,'NI-Ric_SP'!$C:$AN,MID(Z$1,1,2),FALSE)</f>
        <v>0</v>
      </c>
      <c r="AA1232" s="55">
        <f>VLOOKUP($E1232,'NI-Ric_SP'!$C:$AN,MID(AA$1,1,2),FALSE)</f>
        <v>0</v>
      </c>
      <c r="AB1232" s="55">
        <f>VLOOKUP($E1232,'NI-Ric_SP'!$C:$AN,MID(AB$1,1,2),FALSE)</f>
        <v>0</v>
      </c>
      <c r="AC1232" s="55">
        <f>VLOOKUP($E1232,'NI-Ric_SP'!$C:$AN,MID(AC$1,1,2),FALSE)</f>
        <v>0</v>
      </c>
      <c r="AD1232" s="55">
        <f>VLOOKUP($E1232,'NI-Ric_SP'!$C:$AN,MID(AD$1,1,2),FALSE)</f>
        <v>0</v>
      </c>
      <c r="AE1232" s="55">
        <f>VLOOKUP($E1232,'NI-Ric_SP'!$C:$AN,MID(AE$1,1,2),FALSE)</f>
        <v>0</v>
      </c>
      <c r="AF1232" s="55">
        <f>VLOOKUP($E1232,'NI-Ric_SP'!$C:$AN,MID(AF$1,1,2),FALSE)</f>
        <v>0</v>
      </c>
      <c r="AG1232" s="55">
        <f>VLOOKUP($E1232,'NI-Ric_SP'!$C:$AN,MID(AG$1,1,2),FALSE)</f>
        <v>0</v>
      </c>
      <c r="AH1232" s="55">
        <f>VLOOKUP($E1232,'NI-Ric_SP'!$C:$AN,MID(AH$1,1,2),FALSE)</f>
        <v>0</v>
      </c>
      <c r="AI1232" s="55">
        <f>VLOOKUP($E1232,'NI-Ric_SP'!$C:$AN,MID(AI$1,1,2),FALSE)</f>
        <v>0</v>
      </c>
      <c r="AJ1232" s="55">
        <f>VLOOKUP($E1232,'NI-Ric_SP'!$C:$AN,MID(AJ$1,1,2),FALSE)</f>
        <v>0</v>
      </c>
      <c r="AK1232" s="55">
        <f>VLOOKUP($E1232,'NI-Ric_SP'!$C:$AN,MID(AK$1,1,2),FALSE)</f>
        <v>0</v>
      </c>
      <c r="AL1232" s="55">
        <f>VLOOKUP($E1232,'NI-Ric_SP'!$C:$AN,MID(AL$1,1,2),FALSE)</f>
        <v>0</v>
      </c>
      <c r="AM1232" s="56">
        <f>VLOOKUP($E1232,'NI-Ric_SP'!$C:$AN,MID(AM$1,1,2),FALSE)</f>
        <v>0</v>
      </c>
      <c r="AN1232" s="30" t="str">
        <f t="shared" si="19"/>
        <v>40503030000000</v>
      </c>
    </row>
    <row r="1233" spans="3:40" x14ac:dyDescent="0.25">
      <c r="C1233" s="40"/>
      <c r="D1233" s="101" t="s">
        <v>1905</v>
      </c>
      <c r="E1233" s="101" t="s">
        <v>1906</v>
      </c>
      <c r="F1233" s="102" t="s">
        <v>2750</v>
      </c>
      <c r="G1233" s="52"/>
      <c r="H1233" s="52"/>
      <c r="I1233" s="52"/>
      <c r="J1233" s="52"/>
      <c r="K1233" s="59" t="s">
        <v>79</v>
      </c>
      <c r="L1233" s="52"/>
      <c r="M1233" s="52"/>
      <c r="N1233" s="52"/>
      <c r="O1233" s="52"/>
      <c r="P1233" s="108" t="s">
        <v>1907</v>
      </c>
      <c r="Q1233" s="55">
        <f>VLOOKUP(E1233,'NI-Ric_SP'!$C:$AN,12,FALSE)</f>
        <v>0</v>
      </c>
      <c r="R1233" s="55">
        <f>VLOOKUP(E1233,'NI-Ric_SP'!$C:$AN,13,FALSE)</f>
        <v>0</v>
      </c>
      <c r="S1233" s="55"/>
      <c r="T1233" s="55"/>
      <c r="U1233" s="55">
        <f>VLOOKUP($E1233,'NI-Ric_SP'!$C:$AN,MID(U$1,1,2),FALSE)</f>
        <v>0</v>
      </c>
      <c r="V1233" s="55">
        <f>VLOOKUP($E1233,'NI-Ric_SP'!$C:$AN,MID(V$1,1,2),FALSE)</f>
        <v>0</v>
      </c>
      <c r="W1233" s="55">
        <f>VLOOKUP($E1233,'NI-Ric_SP'!$C:$AN,MID(W$1,1,2),FALSE)</f>
        <v>0</v>
      </c>
      <c r="X1233" s="55">
        <f>VLOOKUP($E1233,'NI-Ric_SP'!$C:$AN,MID(X$1,1,2),FALSE)</f>
        <v>0</v>
      </c>
      <c r="Y1233" s="55">
        <f>VLOOKUP($E1233,'NI-Ric_SP'!$C:$AN,MID(Y$1,1,2),FALSE)</f>
        <v>0</v>
      </c>
      <c r="Z1233" s="55">
        <f>VLOOKUP($E1233,'NI-Ric_SP'!$C:$AN,MID(Z$1,1,2),FALSE)</f>
        <v>0</v>
      </c>
      <c r="AA1233" s="55">
        <f>VLOOKUP($E1233,'NI-Ric_SP'!$C:$AN,MID(AA$1,1,2),FALSE)</f>
        <v>0</v>
      </c>
      <c r="AB1233" s="55">
        <f>VLOOKUP($E1233,'NI-Ric_SP'!$C:$AN,MID(AB$1,1,2),FALSE)</f>
        <v>0</v>
      </c>
      <c r="AC1233" s="55">
        <f>VLOOKUP($E1233,'NI-Ric_SP'!$C:$AN,MID(AC$1,1,2),FALSE)</f>
        <v>0</v>
      </c>
      <c r="AD1233" s="55">
        <f>VLOOKUP($E1233,'NI-Ric_SP'!$C:$AN,MID(AD$1,1,2),FALSE)</f>
        <v>0</v>
      </c>
      <c r="AE1233" s="55">
        <f>VLOOKUP($E1233,'NI-Ric_SP'!$C:$AN,MID(AE$1,1,2),FALSE)</f>
        <v>0</v>
      </c>
      <c r="AF1233" s="55">
        <f>VLOOKUP($E1233,'NI-Ric_SP'!$C:$AN,MID(AF$1,1,2),FALSE)</f>
        <v>0</v>
      </c>
      <c r="AG1233" s="55">
        <f>VLOOKUP($E1233,'NI-Ric_SP'!$C:$AN,MID(AG$1,1,2),FALSE)</f>
        <v>0</v>
      </c>
      <c r="AH1233" s="55">
        <f>VLOOKUP($E1233,'NI-Ric_SP'!$C:$AN,MID(AH$1,1,2),FALSE)</f>
        <v>0</v>
      </c>
      <c r="AI1233" s="55">
        <f>VLOOKUP($E1233,'NI-Ric_SP'!$C:$AN,MID(AI$1,1,2),FALSE)</f>
        <v>0</v>
      </c>
      <c r="AJ1233" s="55">
        <f>VLOOKUP($E1233,'NI-Ric_SP'!$C:$AN,MID(AJ$1,1,2),FALSE)</f>
        <v>0</v>
      </c>
      <c r="AK1233" s="55">
        <f>VLOOKUP($E1233,'NI-Ric_SP'!$C:$AN,MID(AK$1,1,2),FALSE)</f>
        <v>0</v>
      </c>
      <c r="AL1233" s="55">
        <f>VLOOKUP($E1233,'NI-Ric_SP'!$C:$AN,MID(AL$1,1,2),FALSE)</f>
        <v>0</v>
      </c>
      <c r="AM1233" s="56">
        <f>VLOOKUP($E1233,'NI-Ric_SP'!$C:$AN,MID(AM$1,1,2),FALSE)</f>
        <v>0</v>
      </c>
      <c r="AN1233" s="30" t="str">
        <f t="shared" si="19"/>
        <v>40503040000000</v>
      </c>
    </row>
    <row r="1234" spans="3:40" x14ac:dyDescent="0.25">
      <c r="C1234" s="40"/>
      <c r="D1234" s="101">
        <v>0</v>
      </c>
      <c r="E1234" s="101" t="s">
        <v>1908</v>
      </c>
      <c r="F1234" s="102" t="s">
        <v>2750</v>
      </c>
      <c r="G1234" s="51"/>
      <c r="H1234" s="52"/>
      <c r="I1234" s="52"/>
      <c r="J1234" s="52"/>
      <c r="K1234" s="53" t="s">
        <v>111</v>
      </c>
      <c r="L1234" s="52"/>
      <c r="M1234" s="52"/>
      <c r="N1234" s="52"/>
      <c r="O1234" s="52"/>
      <c r="P1234" s="110" t="s">
        <v>1909</v>
      </c>
      <c r="Q1234" s="55">
        <f>VLOOKUP(E1234,'NI-Ric_SP'!$C:$AN,12,FALSE)</f>
        <v>0</v>
      </c>
      <c r="R1234" s="55">
        <f>VLOOKUP(E1234,'NI-Ric_SP'!$C:$AN,13,FALSE)</f>
        <v>0</v>
      </c>
      <c r="S1234" s="55"/>
      <c r="T1234" s="55"/>
      <c r="U1234" s="55">
        <f>VLOOKUP($E1234,'NI-Ric_SP'!$C:$AN,MID(U$1,1,2),FALSE)</f>
        <v>0</v>
      </c>
      <c r="V1234" s="55">
        <f>VLOOKUP($E1234,'NI-Ric_SP'!$C:$AN,MID(V$1,1,2),FALSE)</f>
        <v>0</v>
      </c>
      <c r="W1234" s="55">
        <f>VLOOKUP($E1234,'NI-Ric_SP'!$C:$AN,MID(W$1,1,2),FALSE)</f>
        <v>0</v>
      </c>
      <c r="X1234" s="55" t="str">
        <f>VLOOKUP($E1234,'NI-Ric_SP'!$C:$AN,MID(X$1,1,2),FALSE)</f>
        <v/>
      </c>
      <c r="Y1234" s="55">
        <f>VLOOKUP($E1234,'NI-Ric_SP'!$C:$AN,MID(Y$1,1,2),FALSE)</f>
        <v>0</v>
      </c>
      <c r="Z1234" s="55">
        <f>VLOOKUP($E1234,'NI-Ric_SP'!$C:$AN,MID(Z$1,1,2),FALSE)</f>
        <v>0</v>
      </c>
      <c r="AA1234" s="55">
        <f>VLOOKUP($E1234,'NI-Ric_SP'!$C:$AN,MID(AA$1,1,2),FALSE)</f>
        <v>0</v>
      </c>
      <c r="AB1234" s="55">
        <f>VLOOKUP($E1234,'NI-Ric_SP'!$C:$AN,MID(AB$1,1,2),FALSE)</f>
        <v>0</v>
      </c>
      <c r="AC1234" s="55">
        <f>VLOOKUP($E1234,'NI-Ric_SP'!$C:$AN,MID(AC$1,1,2),FALSE)</f>
        <v>0</v>
      </c>
      <c r="AD1234" s="55">
        <f>VLOOKUP($E1234,'NI-Ric_SP'!$C:$AN,MID(AD$1,1,2),FALSE)</f>
        <v>0</v>
      </c>
      <c r="AE1234" s="55">
        <f>VLOOKUP($E1234,'NI-Ric_SP'!$C:$AN,MID(AE$1,1,2),FALSE)</f>
        <v>0</v>
      </c>
      <c r="AF1234" s="55">
        <f>VLOOKUP($E1234,'NI-Ric_SP'!$C:$AN,MID(AF$1,1,2),FALSE)</f>
        <v>0</v>
      </c>
      <c r="AG1234" s="55">
        <f>VLOOKUP($E1234,'NI-Ric_SP'!$C:$AN,MID(AG$1,1,2),FALSE)</f>
        <v>0</v>
      </c>
      <c r="AH1234" s="55">
        <f>VLOOKUP($E1234,'NI-Ric_SP'!$C:$AN,MID(AH$1,1,2),FALSE)</f>
        <v>0</v>
      </c>
      <c r="AI1234" s="55">
        <f>VLOOKUP($E1234,'NI-Ric_SP'!$C:$AN,MID(AI$1,1,2),FALSE)</f>
        <v>0</v>
      </c>
      <c r="AJ1234" s="55">
        <f>VLOOKUP($E1234,'NI-Ric_SP'!$C:$AN,MID(AJ$1,1,2),FALSE)</f>
        <v>0</v>
      </c>
      <c r="AK1234" s="55">
        <f>VLOOKUP($E1234,'NI-Ric_SP'!$C:$AN,MID(AK$1,1,2),FALSE)</f>
        <v>0</v>
      </c>
      <c r="AL1234" s="55">
        <f>VLOOKUP($E1234,'NI-Ric_SP'!$C:$AN,MID(AL$1,1,2),FALSE)</f>
        <v>0</v>
      </c>
      <c r="AM1234" s="56">
        <f>VLOOKUP($E1234,'NI-Ric_SP'!$C:$AN,MID(AM$1,1,2),FALSE)</f>
        <v>0</v>
      </c>
      <c r="AN1234" s="30">
        <f t="shared" si="19"/>
        <v>0</v>
      </c>
    </row>
    <row r="1235" spans="3:40" x14ac:dyDescent="0.25">
      <c r="C1235" s="40"/>
      <c r="D1235" s="101" t="s">
        <v>1910</v>
      </c>
      <c r="E1235" s="101" t="s">
        <v>1911</v>
      </c>
      <c r="F1235" s="102" t="s">
        <v>2750</v>
      </c>
      <c r="G1235" s="51"/>
      <c r="H1235" s="52"/>
      <c r="I1235" s="52"/>
      <c r="J1235" s="52"/>
      <c r="K1235" s="53" t="s">
        <v>111</v>
      </c>
      <c r="L1235" s="52"/>
      <c r="M1235" s="52"/>
      <c r="N1235" s="52"/>
      <c r="O1235" s="52"/>
      <c r="P1235" s="54" t="s">
        <v>1912</v>
      </c>
      <c r="Q1235" s="55">
        <f>VLOOKUP(E1235,'NI-Ric_SP'!$C:$AN,12,FALSE)</f>
        <v>0</v>
      </c>
      <c r="R1235" s="55">
        <f>VLOOKUP(E1235,'NI-Ric_SP'!$C:$AN,13,FALSE)</f>
        <v>0</v>
      </c>
      <c r="S1235" s="55"/>
      <c r="T1235" s="55"/>
      <c r="U1235" s="55">
        <f>VLOOKUP($E1235,'NI-Ric_SP'!$C:$AN,MID(U$1,1,2),FALSE)</f>
        <v>0</v>
      </c>
      <c r="V1235" s="55">
        <f>VLOOKUP($E1235,'NI-Ric_SP'!$C:$AN,MID(V$1,1,2),FALSE)</f>
        <v>0</v>
      </c>
      <c r="W1235" s="55">
        <f>VLOOKUP($E1235,'NI-Ric_SP'!$C:$AN,MID(W$1,1,2),FALSE)</f>
        <v>0</v>
      </c>
      <c r="X1235" s="55">
        <f>VLOOKUP($E1235,'NI-Ric_SP'!$C:$AN,MID(X$1,1,2),FALSE)</f>
        <v>0</v>
      </c>
      <c r="Y1235" s="55">
        <f>VLOOKUP($E1235,'NI-Ric_SP'!$C:$AN,MID(Y$1,1,2),FALSE)</f>
        <v>0</v>
      </c>
      <c r="Z1235" s="55">
        <f>VLOOKUP($E1235,'NI-Ric_SP'!$C:$AN,MID(Z$1,1,2),FALSE)</f>
        <v>0</v>
      </c>
      <c r="AA1235" s="55">
        <f>VLOOKUP($E1235,'NI-Ric_SP'!$C:$AN,MID(AA$1,1,2),FALSE)</f>
        <v>0</v>
      </c>
      <c r="AB1235" s="55">
        <f>VLOOKUP($E1235,'NI-Ric_SP'!$C:$AN,MID(AB$1,1,2),FALSE)</f>
        <v>0</v>
      </c>
      <c r="AC1235" s="55">
        <f>VLOOKUP($E1235,'NI-Ric_SP'!$C:$AN,MID(AC$1,1,2),FALSE)</f>
        <v>0</v>
      </c>
      <c r="AD1235" s="55">
        <f>VLOOKUP($E1235,'NI-Ric_SP'!$C:$AN,MID(AD$1,1,2),FALSE)</f>
        <v>0</v>
      </c>
      <c r="AE1235" s="55">
        <f>VLOOKUP($E1235,'NI-Ric_SP'!$C:$AN,MID(AE$1,1,2),FALSE)</f>
        <v>0</v>
      </c>
      <c r="AF1235" s="55">
        <f>VLOOKUP($E1235,'NI-Ric_SP'!$C:$AN,MID(AF$1,1,2),FALSE)</f>
        <v>0</v>
      </c>
      <c r="AG1235" s="55">
        <f>VLOOKUP($E1235,'NI-Ric_SP'!$C:$AN,MID(AG$1,1,2),FALSE)</f>
        <v>0</v>
      </c>
      <c r="AH1235" s="55">
        <f>VLOOKUP($E1235,'NI-Ric_SP'!$C:$AN,MID(AH$1,1,2),FALSE)</f>
        <v>0</v>
      </c>
      <c r="AI1235" s="55">
        <f>VLOOKUP($E1235,'NI-Ric_SP'!$C:$AN,MID(AI$1,1,2),FALSE)</f>
        <v>0</v>
      </c>
      <c r="AJ1235" s="55">
        <f>VLOOKUP($E1235,'NI-Ric_SP'!$C:$AN,MID(AJ$1,1,2),FALSE)</f>
        <v>0</v>
      </c>
      <c r="AK1235" s="55">
        <f>VLOOKUP($E1235,'NI-Ric_SP'!$C:$AN,MID(AK$1,1,2),FALSE)</f>
        <v>0</v>
      </c>
      <c r="AL1235" s="55">
        <f>VLOOKUP($E1235,'NI-Ric_SP'!$C:$AN,MID(AL$1,1,2),FALSE)</f>
        <v>0</v>
      </c>
      <c r="AM1235" s="56">
        <f>VLOOKUP($E1235,'NI-Ric_SP'!$C:$AN,MID(AM$1,1,2),FALSE)</f>
        <v>0</v>
      </c>
      <c r="AN1235" s="30" t="str">
        <f t="shared" si="19"/>
        <v>50100000000000</v>
      </c>
    </row>
    <row r="1236" spans="3:40" x14ac:dyDescent="0.25">
      <c r="C1236" s="40"/>
      <c r="D1236" s="101" t="s">
        <v>1913</v>
      </c>
      <c r="E1236" s="101" t="s">
        <v>1914</v>
      </c>
      <c r="F1236" s="102" t="s">
        <v>2750</v>
      </c>
      <c r="G1236" s="52"/>
      <c r="H1236" s="52"/>
      <c r="I1236" s="52" t="s">
        <v>1915</v>
      </c>
      <c r="J1236" s="52" t="s">
        <v>1915</v>
      </c>
      <c r="K1236" s="59" t="s">
        <v>79</v>
      </c>
      <c r="L1236" s="62" t="s">
        <v>1916</v>
      </c>
      <c r="M1236" s="52"/>
      <c r="N1236" s="52"/>
      <c r="O1236" s="61" t="s">
        <v>1917</v>
      </c>
      <c r="P1236" s="63" t="s">
        <v>1918</v>
      </c>
      <c r="Q1236" s="55">
        <f>VLOOKUP(E1236,'NI-Ric_SP'!$C:$AN,12,FALSE)</f>
        <v>0</v>
      </c>
      <c r="R1236" s="55">
        <f>VLOOKUP(E1236,'NI-Ric_SP'!$C:$AN,13,FALSE)</f>
        <v>0</v>
      </c>
      <c r="S1236" s="55"/>
      <c r="T1236" s="55"/>
      <c r="U1236" s="55">
        <f>VLOOKUP($E1236,'NI-Ric_SP'!$C:$AN,MID(U$1,1,2),FALSE)</f>
        <v>0</v>
      </c>
      <c r="V1236" s="55">
        <f>VLOOKUP($E1236,'NI-Ric_SP'!$C:$AN,MID(V$1,1,2),FALSE)</f>
        <v>0</v>
      </c>
      <c r="W1236" s="55">
        <f>VLOOKUP($E1236,'NI-Ric_SP'!$C:$AN,MID(W$1,1,2),FALSE)</f>
        <v>0</v>
      </c>
      <c r="X1236" s="55">
        <f>VLOOKUP($E1236,'NI-Ric_SP'!$C:$AN,MID(X$1,1,2),FALSE)</f>
        <v>0</v>
      </c>
      <c r="Y1236" s="55">
        <f>VLOOKUP($E1236,'NI-Ric_SP'!$C:$AN,MID(Y$1,1,2),FALSE)</f>
        <v>0</v>
      </c>
      <c r="Z1236" s="55">
        <f>VLOOKUP($E1236,'NI-Ric_SP'!$C:$AN,MID(Z$1,1,2),FALSE)</f>
        <v>0</v>
      </c>
      <c r="AA1236" s="55">
        <f>VLOOKUP($E1236,'NI-Ric_SP'!$C:$AN,MID(AA$1,1,2),FALSE)</f>
        <v>0</v>
      </c>
      <c r="AB1236" s="55">
        <f>VLOOKUP($E1236,'NI-Ric_SP'!$C:$AN,MID(AB$1,1,2),FALSE)</f>
        <v>0</v>
      </c>
      <c r="AC1236" s="55">
        <f>VLOOKUP($E1236,'NI-Ric_SP'!$C:$AN,MID(AC$1,1,2),FALSE)</f>
        <v>0</v>
      </c>
      <c r="AD1236" s="55">
        <f>VLOOKUP($E1236,'NI-Ric_SP'!$C:$AN,MID(AD$1,1,2),FALSE)</f>
        <v>0</v>
      </c>
      <c r="AE1236" s="55">
        <f>VLOOKUP($E1236,'NI-Ric_SP'!$C:$AN,MID(AE$1,1,2),FALSE)</f>
        <v>0</v>
      </c>
      <c r="AF1236" s="55">
        <f>VLOOKUP($E1236,'NI-Ric_SP'!$C:$AN,MID(AF$1,1,2),FALSE)</f>
        <v>0</v>
      </c>
      <c r="AG1236" s="55">
        <f>VLOOKUP($E1236,'NI-Ric_SP'!$C:$AN,MID(AG$1,1,2),FALSE)</f>
        <v>0</v>
      </c>
      <c r="AH1236" s="55">
        <f>VLOOKUP($E1236,'NI-Ric_SP'!$C:$AN,MID(AH$1,1,2),FALSE)</f>
        <v>0</v>
      </c>
      <c r="AI1236" s="55">
        <f>VLOOKUP($E1236,'NI-Ric_SP'!$C:$AN,MID(AI$1,1,2),FALSE)</f>
        <v>0</v>
      </c>
      <c r="AJ1236" s="55">
        <f>VLOOKUP($E1236,'NI-Ric_SP'!$C:$AN,MID(AJ$1,1,2),FALSE)</f>
        <v>0</v>
      </c>
      <c r="AK1236" s="55">
        <f>VLOOKUP($E1236,'NI-Ric_SP'!$C:$AN,MID(AK$1,1,2),FALSE)</f>
        <v>0</v>
      </c>
      <c r="AL1236" s="55">
        <f>VLOOKUP($E1236,'NI-Ric_SP'!$C:$AN,MID(AL$1,1,2),FALSE)</f>
        <v>0</v>
      </c>
      <c r="AM1236" s="56">
        <f>VLOOKUP($E1236,'NI-Ric_SP'!$C:$AN,MID(AM$1,1,2),FALSE)</f>
        <v>0</v>
      </c>
      <c r="AN1236" s="30" t="str">
        <f t="shared" si="19"/>
        <v>50101000000000</v>
      </c>
    </row>
    <row r="1237" spans="3:40" x14ac:dyDescent="0.25">
      <c r="C1237" s="40"/>
      <c r="D1237" s="101" t="s">
        <v>1919</v>
      </c>
      <c r="E1237" s="101" t="s">
        <v>1920</v>
      </c>
      <c r="F1237" s="102" t="s">
        <v>2750</v>
      </c>
      <c r="G1237" s="52"/>
      <c r="H1237" s="52"/>
      <c r="I1237" s="52"/>
      <c r="J1237" s="52"/>
      <c r="K1237" s="59" t="s">
        <v>111</v>
      </c>
      <c r="L1237" s="52"/>
      <c r="M1237" s="52"/>
      <c r="N1237" s="52"/>
      <c r="O1237" s="52"/>
      <c r="P1237" s="63" t="s">
        <v>1921</v>
      </c>
      <c r="Q1237" s="55">
        <f>VLOOKUP(E1237,'NI-Ric_SP'!$C:$AN,12,FALSE)</f>
        <v>0</v>
      </c>
      <c r="R1237" s="55">
        <f>VLOOKUP(E1237,'NI-Ric_SP'!$C:$AN,13,FALSE)</f>
        <v>0</v>
      </c>
      <c r="S1237" s="55"/>
      <c r="T1237" s="55"/>
      <c r="U1237" s="55">
        <f>VLOOKUP($E1237,'NI-Ric_SP'!$C:$AN,MID(U$1,1,2),FALSE)</f>
        <v>0</v>
      </c>
      <c r="V1237" s="55">
        <f>VLOOKUP($E1237,'NI-Ric_SP'!$C:$AN,MID(V$1,1,2),FALSE)</f>
        <v>0</v>
      </c>
      <c r="W1237" s="55">
        <f>VLOOKUP($E1237,'NI-Ric_SP'!$C:$AN,MID(W$1,1,2),FALSE)</f>
        <v>0</v>
      </c>
      <c r="X1237" s="55">
        <f>VLOOKUP($E1237,'NI-Ric_SP'!$C:$AN,MID(X$1,1,2),FALSE)</f>
        <v>0</v>
      </c>
      <c r="Y1237" s="55">
        <f>VLOOKUP($E1237,'NI-Ric_SP'!$C:$AN,MID(Y$1,1,2),FALSE)</f>
        <v>0</v>
      </c>
      <c r="Z1237" s="55">
        <f>VLOOKUP($E1237,'NI-Ric_SP'!$C:$AN,MID(Z$1,1,2),FALSE)</f>
        <v>0</v>
      </c>
      <c r="AA1237" s="55">
        <f>VLOOKUP($E1237,'NI-Ric_SP'!$C:$AN,MID(AA$1,1,2),FALSE)</f>
        <v>0</v>
      </c>
      <c r="AB1237" s="55">
        <f>VLOOKUP($E1237,'NI-Ric_SP'!$C:$AN,MID(AB$1,1,2),FALSE)</f>
        <v>0</v>
      </c>
      <c r="AC1237" s="55">
        <f>VLOOKUP($E1237,'NI-Ric_SP'!$C:$AN,MID(AC$1,1,2),FALSE)</f>
        <v>0</v>
      </c>
      <c r="AD1237" s="55">
        <f>VLOOKUP($E1237,'NI-Ric_SP'!$C:$AN,MID(AD$1,1,2),FALSE)</f>
        <v>0</v>
      </c>
      <c r="AE1237" s="55">
        <f>VLOOKUP($E1237,'NI-Ric_SP'!$C:$AN,MID(AE$1,1,2),FALSE)</f>
        <v>0</v>
      </c>
      <c r="AF1237" s="55">
        <f>VLOOKUP($E1237,'NI-Ric_SP'!$C:$AN,MID(AF$1,1,2),FALSE)</f>
        <v>0</v>
      </c>
      <c r="AG1237" s="55">
        <f>VLOOKUP($E1237,'NI-Ric_SP'!$C:$AN,MID(AG$1,1,2),FALSE)</f>
        <v>0</v>
      </c>
      <c r="AH1237" s="55">
        <f>VLOOKUP($E1237,'NI-Ric_SP'!$C:$AN,MID(AH$1,1,2),FALSE)</f>
        <v>0</v>
      </c>
      <c r="AI1237" s="55">
        <f>VLOOKUP($E1237,'NI-Ric_SP'!$C:$AN,MID(AI$1,1,2),FALSE)</f>
        <v>0</v>
      </c>
      <c r="AJ1237" s="55">
        <f>VLOOKUP($E1237,'NI-Ric_SP'!$C:$AN,MID(AJ$1,1,2),FALSE)</f>
        <v>0</v>
      </c>
      <c r="AK1237" s="55">
        <f>VLOOKUP($E1237,'NI-Ric_SP'!$C:$AN,MID(AK$1,1,2),FALSE)</f>
        <v>0</v>
      </c>
      <c r="AL1237" s="55">
        <f>VLOOKUP($E1237,'NI-Ric_SP'!$C:$AN,MID(AL$1,1,2),FALSE)</f>
        <v>0</v>
      </c>
      <c r="AM1237" s="56">
        <f>VLOOKUP($E1237,'NI-Ric_SP'!$C:$AN,MID(AM$1,1,2),FALSE)</f>
        <v>0</v>
      </c>
      <c r="AN1237" s="30" t="str">
        <f t="shared" si="19"/>
        <v>50102000000000</v>
      </c>
    </row>
    <row r="1238" spans="3:40" x14ac:dyDescent="0.25">
      <c r="C1238" s="40"/>
      <c r="D1238" s="101" t="s">
        <v>1922</v>
      </c>
      <c r="E1238" s="101" t="s">
        <v>1923</v>
      </c>
      <c r="F1238" s="102" t="s">
        <v>2750</v>
      </c>
      <c r="G1238" s="52"/>
      <c r="H1238" s="52"/>
      <c r="I1238" s="52" t="s">
        <v>1924</v>
      </c>
      <c r="J1238" s="52" t="s">
        <v>1924</v>
      </c>
      <c r="K1238" s="59" t="s">
        <v>79</v>
      </c>
      <c r="L1238" s="62" t="s">
        <v>1925</v>
      </c>
      <c r="M1238" s="52"/>
      <c r="N1238" s="52"/>
      <c r="O1238" s="61" t="s">
        <v>1926</v>
      </c>
      <c r="P1238" s="76" t="s">
        <v>1927</v>
      </c>
      <c r="Q1238" s="55">
        <f>VLOOKUP(E1238,'NI-Ric_SP'!$C:$AN,12,FALSE)</f>
        <v>0</v>
      </c>
      <c r="R1238" s="55">
        <f>VLOOKUP(E1238,'NI-Ric_SP'!$C:$AN,13,FALSE)</f>
        <v>0</v>
      </c>
      <c r="S1238" s="55"/>
      <c r="T1238" s="55"/>
      <c r="U1238" s="55">
        <f>VLOOKUP($E1238,'NI-Ric_SP'!$C:$AN,MID(U$1,1,2),FALSE)</f>
        <v>0</v>
      </c>
      <c r="V1238" s="55">
        <f>VLOOKUP($E1238,'NI-Ric_SP'!$C:$AN,MID(V$1,1,2),FALSE)</f>
        <v>0</v>
      </c>
      <c r="W1238" s="55">
        <f>VLOOKUP($E1238,'NI-Ric_SP'!$C:$AN,MID(W$1,1,2),FALSE)</f>
        <v>0</v>
      </c>
      <c r="X1238" s="55">
        <f>VLOOKUP($E1238,'NI-Ric_SP'!$C:$AN,MID(X$1,1,2),FALSE)</f>
        <v>0</v>
      </c>
      <c r="Y1238" s="55">
        <f>VLOOKUP($E1238,'NI-Ric_SP'!$C:$AN,MID(Y$1,1,2),FALSE)</f>
        <v>0</v>
      </c>
      <c r="Z1238" s="55">
        <f>VLOOKUP($E1238,'NI-Ric_SP'!$C:$AN,MID(Z$1,1,2),FALSE)</f>
        <v>0</v>
      </c>
      <c r="AA1238" s="55">
        <f>VLOOKUP($E1238,'NI-Ric_SP'!$C:$AN,MID(AA$1,1,2),FALSE)</f>
        <v>0</v>
      </c>
      <c r="AB1238" s="55">
        <f>VLOOKUP($E1238,'NI-Ric_SP'!$C:$AN,MID(AB$1,1,2),FALSE)</f>
        <v>0</v>
      </c>
      <c r="AC1238" s="55">
        <f>VLOOKUP($E1238,'NI-Ric_SP'!$C:$AN,MID(AC$1,1,2),FALSE)</f>
        <v>0</v>
      </c>
      <c r="AD1238" s="55">
        <f>VLOOKUP($E1238,'NI-Ric_SP'!$C:$AN,MID(AD$1,1,2),FALSE)</f>
        <v>0</v>
      </c>
      <c r="AE1238" s="55">
        <f>VLOOKUP($E1238,'NI-Ric_SP'!$C:$AN,MID(AE$1,1,2),FALSE)</f>
        <v>0</v>
      </c>
      <c r="AF1238" s="55">
        <f>VLOOKUP($E1238,'NI-Ric_SP'!$C:$AN,MID(AF$1,1,2),FALSE)</f>
        <v>0</v>
      </c>
      <c r="AG1238" s="55">
        <f>VLOOKUP($E1238,'NI-Ric_SP'!$C:$AN,MID(AG$1,1,2),FALSE)</f>
        <v>0</v>
      </c>
      <c r="AH1238" s="55">
        <f>VLOOKUP($E1238,'NI-Ric_SP'!$C:$AN,MID(AH$1,1,2),FALSE)</f>
        <v>0</v>
      </c>
      <c r="AI1238" s="55">
        <f>VLOOKUP($E1238,'NI-Ric_SP'!$C:$AN,MID(AI$1,1,2),FALSE)</f>
        <v>0</v>
      </c>
      <c r="AJ1238" s="55">
        <f>VLOOKUP($E1238,'NI-Ric_SP'!$C:$AN,MID(AJ$1,1,2),FALSE)</f>
        <v>0</v>
      </c>
      <c r="AK1238" s="55">
        <f>VLOOKUP($E1238,'NI-Ric_SP'!$C:$AN,MID(AK$1,1,2),FALSE)</f>
        <v>0</v>
      </c>
      <c r="AL1238" s="55">
        <f>VLOOKUP($E1238,'NI-Ric_SP'!$C:$AN,MID(AL$1,1,2),FALSE)</f>
        <v>0</v>
      </c>
      <c r="AM1238" s="56">
        <f>VLOOKUP($E1238,'NI-Ric_SP'!$C:$AN,MID(AM$1,1,2),FALSE)</f>
        <v>0</v>
      </c>
      <c r="AN1238" s="30" t="str">
        <f t="shared" si="19"/>
        <v>50102010000000</v>
      </c>
    </row>
    <row r="1239" spans="3:40" x14ac:dyDescent="0.25">
      <c r="C1239" s="40"/>
      <c r="D1239" s="101" t="s">
        <v>1928</v>
      </c>
      <c r="E1239" s="101" t="s">
        <v>1929</v>
      </c>
      <c r="F1239" s="102" t="s">
        <v>2750</v>
      </c>
      <c r="G1239" s="52"/>
      <c r="H1239" s="52"/>
      <c r="I1239" s="52"/>
      <c r="J1239" s="52"/>
      <c r="K1239" s="59" t="s">
        <v>111</v>
      </c>
      <c r="L1239" s="62" t="s">
        <v>1930</v>
      </c>
      <c r="M1239" s="52"/>
      <c r="N1239" s="52"/>
      <c r="O1239" s="52"/>
      <c r="P1239" s="76" t="s">
        <v>1931</v>
      </c>
      <c r="Q1239" s="55">
        <f>VLOOKUP(E1239,'NI-Ric_SP'!$C:$AN,12,FALSE)</f>
        <v>0</v>
      </c>
      <c r="R1239" s="55">
        <f>VLOOKUP(E1239,'NI-Ric_SP'!$C:$AN,13,FALSE)</f>
        <v>0</v>
      </c>
      <c r="S1239" s="55"/>
      <c r="T1239" s="55"/>
      <c r="U1239" s="55">
        <f>VLOOKUP($E1239,'NI-Ric_SP'!$C:$AN,MID(U$1,1,2),FALSE)</f>
        <v>0</v>
      </c>
      <c r="V1239" s="55">
        <f>VLOOKUP($E1239,'NI-Ric_SP'!$C:$AN,MID(V$1,1,2),FALSE)</f>
        <v>0</v>
      </c>
      <c r="W1239" s="55">
        <f>VLOOKUP($E1239,'NI-Ric_SP'!$C:$AN,MID(W$1,1,2),FALSE)</f>
        <v>0</v>
      </c>
      <c r="X1239" s="55">
        <f>VLOOKUP($E1239,'NI-Ric_SP'!$C:$AN,MID(X$1,1,2),FALSE)</f>
        <v>0</v>
      </c>
      <c r="Y1239" s="55">
        <f>VLOOKUP($E1239,'NI-Ric_SP'!$C:$AN,MID(Y$1,1,2),FALSE)</f>
        <v>0</v>
      </c>
      <c r="Z1239" s="55">
        <f>VLOOKUP($E1239,'NI-Ric_SP'!$C:$AN,MID(Z$1,1,2),FALSE)</f>
        <v>0</v>
      </c>
      <c r="AA1239" s="55">
        <f>VLOOKUP($E1239,'NI-Ric_SP'!$C:$AN,MID(AA$1,1,2),FALSE)</f>
        <v>0</v>
      </c>
      <c r="AB1239" s="55">
        <f>VLOOKUP($E1239,'NI-Ric_SP'!$C:$AN,MID(AB$1,1,2),FALSE)</f>
        <v>0</v>
      </c>
      <c r="AC1239" s="55">
        <f>VLOOKUP($E1239,'NI-Ric_SP'!$C:$AN,MID(AC$1,1,2),FALSE)</f>
        <v>0</v>
      </c>
      <c r="AD1239" s="55">
        <f>VLOOKUP($E1239,'NI-Ric_SP'!$C:$AN,MID(AD$1,1,2),FALSE)</f>
        <v>0</v>
      </c>
      <c r="AE1239" s="55">
        <f>VLOOKUP($E1239,'NI-Ric_SP'!$C:$AN,MID(AE$1,1,2),FALSE)</f>
        <v>0</v>
      </c>
      <c r="AF1239" s="55">
        <f>VLOOKUP($E1239,'NI-Ric_SP'!$C:$AN,MID(AF$1,1,2),FALSE)</f>
        <v>0</v>
      </c>
      <c r="AG1239" s="55">
        <f>VLOOKUP($E1239,'NI-Ric_SP'!$C:$AN,MID(AG$1,1,2),FALSE)</f>
        <v>0</v>
      </c>
      <c r="AH1239" s="55">
        <f>VLOOKUP($E1239,'NI-Ric_SP'!$C:$AN,MID(AH$1,1,2),FALSE)</f>
        <v>0</v>
      </c>
      <c r="AI1239" s="55">
        <f>VLOOKUP($E1239,'NI-Ric_SP'!$C:$AN,MID(AI$1,1,2),FALSE)</f>
        <v>0</v>
      </c>
      <c r="AJ1239" s="55">
        <f>VLOOKUP($E1239,'NI-Ric_SP'!$C:$AN,MID(AJ$1,1,2),FALSE)</f>
        <v>0</v>
      </c>
      <c r="AK1239" s="55">
        <f>VLOOKUP($E1239,'NI-Ric_SP'!$C:$AN,MID(AK$1,1,2),FALSE)</f>
        <v>0</v>
      </c>
      <c r="AL1239" s="55">
        <f>VLOOKUP($E1239,'NI-Ric_SP'!$C:$AN,MID(AL$1,1,2),FALSE)</f>
        <v>0</v>
      </c>
      <c r="AM1239" s="56">
        <f>VLOOKUP($E1239,'NI-Ric_SP'!$C:$AN,MID(AM$1,1,2),FALSE)</f>
        <v>0</v>
      </c>
      <c r="AN1239" s="30" t="str">
        <f t="shared" si="19"/>
        <v>50102020000000</v>
      </c>
    </row>
    <row r="1240" spans="3:40" ht="13.5" customHeight="1" x14ac:dyDescent="0.25">
      <c r="C1240" s="40"/>
      <c r="D1240" s="101" t="s">
        <v>1932</v>
      </c>
      <c r="E1240" s="101" t="s">
        <v>1933</v>
      </c>
      <c r="F1240" s="102" t="s">
        <v>2750</v>
      </c>
      <c r="G1240" s="52"/>
      <c r="H1240" s="52"/>
      <c r="I1240" s="52" t="s">
        <v>1934</v>
      </c>
      <c r="J1240" s="52" t="s">
        <v>1934</v>
      </c>
      <c r="K1240" s="59" t="s">
        <v>79</v>
      </c>
      <c r="L1240" s="52"/>
      <c r="M1240" s="52"/>
      <c r="N1240" s="52"/>
      <c r="O1240" s="61" t="s">
        <v>1935</v>
      </c>
      <c r="P1240" s="103" t="s">
        <v>1936</v>
      </c>
      <c r="Q1240" s="55">
        <f>VLOOKUP(E1240,'NI-Ric_SP'!$C:$AN,12,FALSE)</f>
        <v>0</v>
      </c>
      <c r="R1240" s="55">
        <f>VLOOKUP(E1240,'NI-Ric_SP'!$C:$AN,13,FALSE)</f>
        <v>0</v>
      </c>
      <c r="S1240" s="55"/>
      <c r="T1240" s="55"/>
      <c r="U1240" s="55">
        <f>VLOOKUP($E1240,'NI-Ric_SP'!$C:$AN,MID(U$1,1,2),FALSE)</f>
        <v>0</v>
      </c>
      <c r="V1240" s="55">
        <f>VLOOKUP($E1240,'NI-Ric_SP'!$C:$AN,MID(V$1,1,2),FALSE)</f>
        <v>0</v>
      </c>
      <c r="W1240" s="55">
        <f>VLOOKUP($E1240,'NI-Ric_SP'!$C:$AN,MID(W$1,1,2),FALSE)</f>
        <v>0</v>
      </c>
      <c r="X1240" s="55">
        <f>VLOOKUP($E1240,'NI-Ric_SP'!$C:$AN,MID(X$1,1,2),FALSE)</f>
        <v>0</v>
      </c>
      <c r="Y1240" s="55">
        <f>VLOOKUP($E1240,'NI-Ric_SP'!$C:$AN,MID(Y$1,1,2),FALSE)</f>
        <v>0</v>
      </c>
      <c r="Z1240" s="55">
        <f>VLOOKUP($E1240,'NI-Ric_SP'!$C:$AN,MID(Z$1,1,2),FALSE)</f>
        <v>0</v>
      </c>
      <c r="AA1240" s="55">
        <f>VLOOKUP($E1240,'NI-Ric_SP'!$C:$AN,MID(AA$1,1,2),FALSE)</f>
        <v>0</v>
      </c>
      <c r="AB1240" s="55">
        <f>VLOOKUP($E1240,'NI-Ric_SP'!$C:$AN,MID(AB$1,1,2),FALSE)</f>
        <v>0</v>
      </c>
      <c r="AC1240" s="55">
        <f>VLOOKUP($E1240,'NI-Ric_SP'!$C:$AN,MID(AC$1,1,2),FALSE)</f>
        <v>0</v>
      </c>
      <c r="AD1240" s="55">
        <f>VLOOKUP($E1240,'NI-Ric_SP'!$C:$AN,MID(AD$1,1,2),FALSE)</f>
        <v>0</v>
      </c>
      <c r="AE1240" s="55">
        <f>VLOOKUP($E1240,'NI-Ric_SP'!$C:$AN,MID(AE$1,1,2),FALSE)</f>
        <v>0</v>
      </c>
      <c r="AF1240" s="55">
        <f>VLOOKUP($E1240,'NI-Ric_SP'!$C:$AN,MID(AF$1,1,2),FALSE)</f>
        <v>0</v>
      </c>
      <c r="AG1240" s="55">
        <f>VLOOKUP($E1240,'NI-Ric_SP'!$C:$AN,MID(AG$1,1,2),FALSE)</f>
        <v>0</v>
      </c>
      <c r="AH1240" s="55">
        <f>VLOOKUP($E1240,'NI-Ric_SP'!$C:$AN,MID(AH$1,1,2),FALSE)</f>
        <v>0</v>
      </c>
      <c r="AI1240" s="55">
        <f>VLOOKUP($E1240,'NI-Ric_SP'!$C:$AN,MID(AI$1,1,2),FALSE)</f>
        <v>0</v>
      </c>
      <c r="AJ1240" s="55">
        <f>VLOOKUP($E1240,'NI-Ric_SP'!$C:$AN,MID(AJ$1,1,2),FALSE)</f>
        <v>0</v>
      </c>
      <c r="AK1240" s="55">
        <f>VLOOKUP($E1240,'NI-Ric_SP'!$C:$AN,MID(AK$1,1,2),FALSE)</f>
        <v>0</v>
      </c>
      <c r="AL1240" s="55">
        <f>VLOOKUP($E1240,'NI-Ric_SP'!$C:$AN,MID(AL$1,1,2),FALSE)</f>
        <v>0</v>
      </c>
      <c r="AM1240" s="56">
        <f>VLOOKUP($E1240,'NI-Ric_SP'!$C:$AN,MID(AM$1,1,2),FALSE)</f>
        <v>0</v>
      </c>
      <c r="AN1240" s="30" t="str">
        <f t="shared" si="19"/>
        <v>50102020010000</v>
      </c>
    </row>
    <row r="1241" spans="3:40" ht="13.5" customHeight="1" x14ac:dyDescent="0.25">
      <c r="C1241" s="40"/>
      <c r="D1241" s="101" t="s">
        <v>1937</v>
      </c>
      <c r="E1241" s="101" t="s">
        <v>1938</v>
      </c>
      <c r="F1241" s="102" t="s">
        <v>2750</v>
      </c>
      <c r="G1241" s="52"/>
      <c r="H1241" s="52"/>
      <c r="I1241" s="52" t="s">
        <v>1939</v>
      </c>
      <c r="J1241" s="52" t="s">
        <v>1939</v>
      </c>
      <c r="K1241" s="59" t="s">
        <v>79</v>
      </c>
      <c r="L1241" s="52"/>
      <c r="M1241" s="52"/>
      <c r="N1241" s="52"/>
      <c r="O1241" s="61" t="s">
        <v>1940</v>
      </c>
      <c r="P1241" s="103" t="s">
        <v>1941</v>
      </c>
      <c r="Q1241" s="55">
        <f>VLOOKUP(E1241,'NI-Ric_SP'!$C:$AN,12,FALSE)</f>
        <v>0</v>
      </c>
      <c r="R1241" s="55">
        <f>VLOOKUP(E1241,'NI-Ric_SP'!$C:$AN,13,FALSE)</f>
        <v>0</v>
      </c>
      <c r="S1241" s="55"/>
      <c r="T1241" s="55"/>
      <c r="U1241" s="55">
        <f>VLOOKUP($E1241,'NI-Ric_SP'!$C:$AN,MID(U$1,1,2),FALSE)</f>
        <v>0</v>
      </c>
      <c r="V1241" s="55">
        <f>VLOOKUP($E1241,'NI-Ric_SP'!$C:$AN,MID(V$1,1,2),FALSE)</f>
        <v>0</v>
      </c>
      <c r="W1241" s="55">
        <f>VLOOKUP($E1241,'NI-Ric_SP'!$C:$AN,MID(W$1,1,2),FALSE)</f>
        <v>0</v>
      </c>
      <c r="X1241" s="55">
        <f>VLOOKUP($E1241,'NI-Ric_SP'!$C:$AN,MID(X$1,1,2),FALSE)</f>
        <v>0</v>
      </c>
      <c r="Y1241" s="55">
        <f>VLOOKUP($E1241,'NI-Ric_SP'!$C:$AN,MID(Y$1,1,2),FALSE)</f>
        <v>0</v>
      </c>
      <c r="Z1241" s="55">
        <f>VLOOKUP($E1241,'NI-Ric_SP'!$C:$AN,MID(Z$1,1,2),FALSE)</f>
        <v>0</v>
      </c>
      <c r="AA1241" s="55">
        <f>VLOOKUP($E1241,'NI-Ric_SP'!$C:$AN,MID(AA$1,1,2),FALSE)</f>
        <v>0</v>
      </c>
      <c r="AB1241" s="55">
        <f>VLOOKUP($E1241,'NI-Ric_SP'!$C:$AN,MID(AB$1,1,2),FALSE)</f>
        <v>0</v>
      </c>
      <c r="AC1241" s="55">
        <f>VLOOKUP($E1241,'NI-Ric_SP'!$C:$AN,MID(AC$1,1,2),FALSE)</f>
        <v>0</v>
      </c>
      <c r="AD1241" s="55">
        <f>VLOOKUP($E1241,'NI-Ric_SP'!$C:$AN,MID(AD$1,1,2),FALSE)</f>
        <v>0</v>
      </c>
      <c r="AE1241" s="55">
        <f>VLOOKUP($E1241,'NI-Ric_SP'!$C:$AN,MID(AE$1,1,2),FALSE)</f>
        <v>0</v>
      </c>
      <c r="AF1241" s="55">
        <f>VLOOKUP($E1241,'NI-Ric_SP'!$C:$AN,MID(AF$1,1,2),FALSE)</f>
        <v>0</v>
      </c>
      <c r="AG1241" s="55">
        <f>VLOOKUP($E1241,'NI-Ric_SP'!$C:$AN,MID(AG$1,1,2),FALSE)</f>
        <v>0</v>
      </c>
      <c r="AH1241" s="55">
        <f>VLOOKUP($E1241,'NI-Ric_SP'!$C:$AN,MID(AH$1,1,2),FALSE)</f>
        <v>0</v>
      </c>
      <c r="AI1241" s="55">
        <f>VLOOKUP($E1241,'NI-Ric_SP'!$C:$AN,MID(AI$1,1,2),FALSE)</f>
        <v>0</v>
      </c>
      <c r="AJ1241" s="55">
        <f>VLOOKUP($E1241,'NI-Ric_SP'!$C:$AN,MID(AJ$1,1,2),FALSE)</f>
        <v>0</v>
      </c>
      <c r="AK1241" s="55">
        <f>VLOOKUP($E1241,'NI-Ric_SP'!$C:$AN,MID(AK$1,1,2),FALSE)</f>
        <v>0</v>
      </c>
      <c r="AL1241" s="55">
        <f>VLOOKUP($E1241,'NI-Ric_SP'!$C:$AN,MID(AL$1,1,2),FALSE)</f>
        <v>0</v>
      </c>
      <c r="AM1241" s="56">
        <f>VLOOKUP($E1241,'NI-Ric_SP'!$C:$AN,MID(AM$1,1,2),FALSE)</f>
        <v>0</v>
      </c>
      <c r="AN1241" s="30" t="str">
        <f t="shared" si="19"/>
        <v>50102020020000</v>
      </c>
    </row>
    <row r="1242" spans="3:40" ht="13.5" customHeight="1" x14ac:dyDescent="0.25">
      <c r="C1242" s="40"/>
      <c r="D1242" s="101" t="s">
        <v>1942</v>
      </c>
      <c r="E1242" s="101" t="s">
        <v>1943</v>
      </c>
      <c r="F1242" s="102" t="s">
        <v>2750</v>
      </c>
      <c r="G1242" s="52"/>
      <c r="H1242" s="52"/>
      <c r="I1242" s="52" t="s">
        <v>1944</v>
      </c>
      <c r="J1242" s="52" t="s">
        <v>1944</v>
      </c>
      <c r="K1242" s="59" t="s">
        <v>79</v>
      </c>
      <c r="L1242" s="52"/>
      <c r="M1242" s="52"/>
      <c r="N1242" s="52"/>
      <c r="O1242" s="61" t="s">
        <v>1945</v>
      </c>
      <c r="P1242" s="103" t="s">
        <v>1946</v>
      </c>
      <c r="Q1242" s="55">
        <f>VLOOKUP(E1242,'NI-Ric_SP'!$C:$AN,12,FALSE)</f>
        <v>0</v>
      </c>
      <c r="R1242" s="55">
        <f>VLOOKUP(E1242,'NI-Ric_SP'!$C:$AN,13,FALSE)</f>
        <v>0</v>
      </c>
      <c r="S1242" s="55"/>
      <c r="T1242" s="55"/>
      <c r="U1242" s="55">
        <f>VLOOKUP($E1242,'NI-Ric_SP'!$C:$AN,MID(U$1,1,2),FALSE)</f>
        <v>0</v>
      </c>
      <c r="V1242" s="55">
        <f>VLOOKUP($E1242,'NI-Ric_SP'!$C:$AN,MID(V$1,1,2),FALSE)</f>
        <v>0</v>
      </c>
      <c r="W1242" s="55">
        <f>VLOOKUP($E1242,'NI-Ric_SP'!$C:$AN,MID(W$1,1,2),FALSE)</f>
        <v>0</v>
      </c>
      <c r="X1242" s="55">
        <f>VLOOKUP($E1242,'NI-Ric_SP'!$C:$AN,MID(X$1,1,2),FALSE)</f>
        <v>0</v>
      </c>
      <c r="Y1242" s="55">
        <f>VLOOKUP($E1242,'NI-Ric_SP'!$C:$AN,MID(Y$1,1,2),FALSE)</f>
        <v>0</v>
      </c>
      <c r="Z1242" s="55">
        <f>VLOOKUP($E1242,'NI-Ric_SP'!$C:$AN,MID(Z$1,1,2),FALSE)</f>
        <v>0</v>
      </c>
      <c r="AA1242" s="55">
        <f>VLOOKUP($E1242,'NI-Ric_SP'!$C:$AN,MID(AA$1,1,2),FALSE)</f>
        <v>0</v>
      </c>
      <c r="AB1242" s="55">
        <f>VLOOKUP($E1242,'NI-Ric_SP'!$C:$AN,MID(AB$1,1,2),FALSE)</f>
        <v>0</v>
      </c>
      <c r="AC1242" s="55">
        <f>VLOOKUP($E1242,'NI-Ric_SP'!$C:$AN,MID(AC$1,1,2),FALSE)</f>
        <v>0</v>
      </c>
      <c r="AD1242" s="55">
        <f>VLOOKUP($E1242,'NI-Ric_SP'!$C:$AN,MID(AD$1,1,2),FALSE)</f>
        <v>0</v>
      </c>
      <c r="AE1242" s="55">
        <f>VLOOKUP($E1242,'NI-Ric_SP'!$C:$AN,MID(AE$1,1,2),FALSE)</f>
        <v>0</v>
      </c>
      <c r="AF1242" s="55">
        <f>VLOOKUP($E1242,'NI-Ric_SP'!$C:$AN,MID(AF$1,1,2),FALSE)</f>
        <v>0</v>
      </c>
      <c r="AG1242" s="55">
        <f>VLOOKUP($E1242,'NI-Ric_SP'!$C:$AN,MID(AG$1,1,2),FALSE)</f>
        <v>0</v>
      </c>
      <c r="AH1242" s="55">
        <f>VLOOKUP($E1242,'NI-Ric_SP'!$C:$AN,MID(AH$1,1,2),FALSE)</f>
        <v>0</v>
      </c>
      <c r="AI1242" s="55">
        <f>VLOOKUP($E1242,'NI-Ric_SP'!$C:$AN,MID(AI$1,1,2),FALSE)</f>
        <v>0</v>
      </c>
      <c r="AJ1242" s="55">
        <f>VLOOKUP($E1242,'NI-Ric_SP'!$C:$AN,MID(AJ$1,1,2),FALSE)</f>
        <v>0</v>
      </c>
      <c r="AK1242" s="55">
        <f>VLOOKUP($E1242,'NI-Ric_SP'!$C:$AN,MID(AK$1,1,2),FALSE)</f>
        <v>0</v>
      </c>
      <c r="AL1242" s="55">
        <f>VLOOKUP($E1242,'NI-Ric_SP'!$C:$AN,MID(AL$1,1,2),FALSE)</f>
        <v>0</v>
      </c>
      <c r="AM1242" s="56">
        <f>VLOOKUP($E1242,'NI-Ric_SP'!$C:$AN,MID(AM$1,1,2),FALSE)</f>
        <v>0</v>
      </c>
      <c r="AN1242" s="30" t="str">
        <f t="shared" si="19"/>
        <v>50102020030000</v>
      </c>
    </row>
    <row r="1243" spans="3:40" x14ac:dyDescent="0.25">
      <c r="C1243" s="40"/>
      <c r="D1243" s="101" t="s">
        <v>1947</v>
      </c>
      <c r="E1243" s="101" t="s">
        <v>1948</v>
      </c>
      <c r="F1243" s="102" t="s">
        <v>2750</v>
      </c>
      <c r="G1243" s="52"/>
      <c r="H1243" s="52"/>
      <c r="I1243" s="52" t="s">
        <v>1949</v>
      </c>
      <c r="J1243" s="52" t="s">
        <v>1949</v>
      </c>
      <c r="K1243" s="59" t="s">
        <v>79</v>
      </c>
      <c r="L1243" s="62" t="s">
        <v>1950</v>
      </c>
      <c r="M1243" s="52"/>
      <c r="N1243" s="52"/>
      <c r="O1243" s="61" t="s">
        <v>1951</v>
      </c>
      <c r="P1243" s="76" t="s">
        <v>1952</v>
      </c>
      <c r="Q1243" s="55">
        <f>VLOOKUP(E1243,'NI-Ric_SP'!$C:$AN,12,FALSE)</f>
        <v>0</v>
      </c>
      <c r="R1243" s="55">
        <f>VLOOKUP(E1243,'NI-Ric_SP'!$C:$AN,13,FALSE)</f>
        <v>0</v>
      </c>
      <c r="S1243" s="55"/>
      <c r="T1243" s="55"/>
      <c r="U1243" s="55">
        <f>VLOOKUP($E1243,'NI-Ric_SP'!$C:$AN,MID(U$1,1,2),FALSE)</f>
        <v>0</v>
      </c>
      <c r="V1243" s="55">
        <f>VLOOKUP($E1243,'NI-Ric_SP'!$C:$AN,MID(V$1,1,2),FALSE)</f>
        <v>0</v>
      </c>
      <c r="W1243" s="55">
        <f>VLOOKUP($E1243,'NI-Ric_SP'!$C:$AN,MID(W$1,1,2),FALSE)</f>
        <v>0</v>
      </c>
      <c r="X1243" s="55">
        <f>VLOOKUP($E1243,'NI-Ric_SP'!$C:$AN,MID(X$1,1,2),FALSE)</f>
        <v>0</v>
      </c>
      <c r="Y1243" s="55">
        <f>VLOOKUP($E1243,'NI-Ric_SP'!$C:$AN,MID(Y$1,1,2),FALSE)</f>
        <v>0</v>
      </c>
      <c r="Z1243" s="55">
        <f>VLOOKUP($E1243,'NI-Ric_SP'!$C:$AN,MID(Z$1,1,2),FALSE)</f>
        <v>0</v>
      </c>
      <c r="AA1243" s="55">
        <f>VLOOKUP($E1243,'NI-Ric_SP'!$C:$AN,MID(AA$1,1,2),FALSE)</f>
        <v>0</v>
      </c>
      <c r="AB1243" s="55">
        <f>VLOOKUP($E1243,'NI-Ric_SP'!$C:$AN,MID(AB$1,1,2),FALSE)</f>
        <v>0</v>
      </c>
      <c r="AC1243" s="55">
        <f>VLOOKUP($E1243,'NI-Ric_SP'!$C:$AN,MID(AC$1,1,2),FALSE)</f>
        <v>0</v>
      </c>
      <c r="AD1243" s="55">
        <f>VLOOKUP($E1243,'NI-Ric_SP'!$C:$AN,MID(AD$1,1,2),FALSE)</f>
        <v>0</v>
      </c>
      <c r="AE1243" s="55">
        <f>VLOOKUP($E1243,'NI-Ric_SP'!$C:$AN,MID(AE$1,1,2),FALSE)</f>
        <v>0</v>
      </c>
      <c r="AF1243" s="55">
        <f>VLOOKUP($E1243,'NI-Ric_SP'!$C:$AN,MID(AF$1,1,2),FALSE)</f>
        <v>0</v>
      </c>
      <c r="AG1243" s="55">
        <f>VLOOKUP($E1243,'NI-Ric_SP'!$C:$AN,MID(AG$1,1,2),FALSE)</f>
        <v>0</v>
      </c>
      <c r="AH1243" s="55">
        <f>VLOOKUP($E1243,'NI-Ric_SP'!$C:$AN,MID(AH$1,1,2),FALSE)</f>
        <v>0</v>
      </c>
      <c r="AI1243" s="55">
        <f>VLOOKUP($E1243,'NI-Ric_SP'!$C:$AN,MID(AI$1,1,2),FALSE)</f>
        <v>0</v>
      </c>
      <c r="AJ1243" s="55">
        <f>VLOOKUP($E1243,'NI-Ric_SP'!$C:$AN,MID(AJ$1,1,2),FALSE)</f>
        <v>0</v>
      </c>
      <c r="AK1243" s="55">
        <f>VLOOKUP($E1243,'NI-Ric_SP'!$C:$AN,MID(AK$1,1,2),FALSE)</f>
        <v>0</v>
      </c>
      <c r="AL1243" s="55">
        <f>VLOOKUP($E1243,'NI-Ric_SP'!$C:$AN,MID(AL$1,1,2),FALSE)</f>
        <v>0</v>
      </c>
      <c r="AM1243" s="56">
        <f>VLOOKUP($E1243,'NI-Ric_SP'!$C:$AN,MID(AM$1,1,2),FALSE)</f>
        <v>0</v>
      </c>
      <c r="AN1243" s="30" t="str">
        <f t="shared" si="19"/>
        <v>50102030000000</v>
      </c>
    </row>
    <row r="1244" spans="3:40" x14ac:dyDescent="0.25">
      <c r="C1244" s="40"/>
      <c r="D1244" s="101" t="s">
        <v>1953</v>
      </c>
      <c r="E1244" s="101" t="s">
        <v>1954</v>
      </c>
      <c r="F1244" s="102" t="s">
        <v>2750</v>
      </c>
      <c r="G1244" s="52"/>
      <c r="H1244" s="52"/>
      <c r="I1244" s="52" t="s">
        <v>1955</v>
      </c>
      <c r="J1244" s="52" t="s">
        <v>1955</v>
      </c>
      <c r="K1244" s="59" t="s">
        <v>79</v>
      </c>
      <c r="L1244" s="62" t="s">
        <v>1956</v>
      </c>
      <c r="M1244" s="52"/>
      <c r="N1244" s="52"/>
      <c r="O1244" s="61" t="s">
        <v>1957</v>
      </c>
      <c r="P1244" s="76" t="s">
        <v>1958</v>
      </c>
      <c r="Q1244" s="55">
        <f>VLOOKUP(E1244,'NI-Ric_SP'!$C:$AN,12,FALSE)</f>
        <v>0</v>
      </c>
      <c r="R1244" s="55">
        <f>VLOOKUP(E1244,'NI-Ric_SP'!$C:$AN,13,FALSE)</f>
        <v>0</v>
      </c>
      <c r="S1244" s="55"/>
      <c r="T1244" s="55"/>
      <c r="U1244" s="55">
        <f>VLOOKUP($E1244,'NI-Ric_SP'!$C:$AN,MID(U$1,1,2),FALSE)</f>
        <v>0</v>
      </c>
      <c r="V1244" s="55">
        <f>VLOOKUP($E1244,'NI-Ric_SP'!$C:$AN,MID(V$1,1,2),FALSE)</f>
        <v>0</v>
      </c>
      <c r="W1244" s="55">
        <f>VLOOKUP($E1244,'NI-Ric_SP'!$C:$AN,MID(W$1,1,2),FALSE)</f>
        <v>0</v>
      </c>
      <c r="X1244" s="55">
        <f>VLOOKUP($E1244,'NI-Ric_SP'!$C:$AN,MID(X$1,1,2),FALSE)</f>
        <v>0</v>
      </c>
      <c r="Y1244" s="55">
        <f>VLOOKUP($E1244,'NI-Ric_SP'!$C:$AN,MID(Y$1,1,2),FALSE)</f>
        <v>0</v>
      </c>
      <c r="Z1244" s="55">
        <f>VLOOKUP($E1244,'NI-Ric_SP'!$C:$AN,MID(Z$1,1,2),FALSE)</f>
        <v>0</v>
      </c>
      <c r="AA1244" s="55">
        <f>VLOOKUP($E1244,'NI-Ric_SP'!$C:$AN,MID(AA$1,1,2),FALSE)</f>
        <v>0</v>
      </c>
      <c r="AB1244" s="55">
        <f>VLOOKUP($E1244,'NI-Ric_SP'!$C:$AN,MID(AB$1,1,2),FALSE)</f>
        <v>0</v>
      </c>
      <c r="AC1244" s="55">
        <f>VLOOKUP($E1244,'NI-Ric_SP'!$C:$AN,MID(AC$1,1,2),FALSE)</f>
        <v>0</v>
      </c>
      <c r="AD1244" s="55">
        <f>VLOOKUP($E1244,'NI-Ric_SP'!$C:$AN,MID(AD$1,1,2),FALSE)</f>
        <v>0</v>
      </c>
      <c r="AE1244" s="55">
        <f>VLOOKUP($E1244,'NI-Ric_SP'!$C:$AN,MID(AE$1,1,2),FALSE)</f>
        <v>0</v>
      </c>
      <c r="AF1244" s="55">
        <f>VLOOKUP($E1244,'NI-Ric_SP'!$C:$AN,MID(AF$1,1,2),FALSE)</f>
        <v>0</v>
      </c>
      <c r="AG1244" s="55">
        <f>VLOOKUP($E1244,'NI-Ric_SP'!$C:$AN,MID(AG$1,1,2),FALSE)</f>
        <v>0</v>
      </c>
      <c r="AH1244" s="55">
        <f>VLOOKUP($E1244,'NI-Ric_SP'!$C:$AN,MID(AH$1,1,2),FALSE)</f>
        <v>0</v>
      </c>
      <c r="AI1244" s="55">
        <f>VLOOKUP($E1244,'NI-Ric_SP'!$C:$AN,MID(AI$1,1,2),FALSE)</f>
        <v>0</v>
      </c>
      <c r="AJ1244" s="55">
        <f>VLOOKUP($E1244,'NI-Ric_SP'!$C:$AN,MID(AJ$1,1,2),FALSE)</f>
        <v>0</v>
      </c>
      <c r="AK1244" s="55">
        <f>VLOOKUP($E1244,'NI-Ric_SP'!$C:$AN,MID(AK$1,1,2),FALSE)</f>
        <v>0</v>
      </c>
      <c r="AL1244" s="55">
        <f>VLOOKUP($E1244,'NI-Ric_SP'!$C:$AN,MID(AL$1,1,2),FALSE)</f>
        <v>0</v>
      </c>
      <c r="AM1244" s="56">
        <f>VLOOKUP($E1244,'NI-Ric_SP'!$C:$AN,MID(AM$1,1,2),FALSE)</f>
        <v>0</v>
      </c>
      <c r="AN1244" s="30" t="str">
        <f t="shared" si="19"/>
        <v>50102040000000</v>
      </c>
    </row>
    <row r="1245" spans="3:40" x14ac:dyDescent="0.25">
      <c r="C1245" s="40"/>
      <c r="D1245" s="101" t="s">
        <v>1959</v>
      </c>
      <c r="E1245" s="101" t="s">
        <v>1960</v>
      </c>
      <c r="F1245" s="102" t="s">
        <v>2750</v>
      </c>
      <c r="G1245" s="52"/>
      <c r="H1245" s="52"/>
      <c r="I1245" s="52" t="s">
        <v>1961</v>
      </c>
      <c r="J1245" s="52" t="s">
        <v>1961</v>
      </c>
      <c r="K1245" s="59" t="s">
        <v>79</v>
      </c>
      <c r="L1245" s="62" t="s">
        <v>1962</v>
      </c>
      <c r="M1245" s="52"/>
      <c r="N1245" s="52"/>
      <c r="O1245" s="61" t="s">
        <v>1963</v>
      </c>
      <c r="P1245" s="76" t="s">
        <v>1964</v>
      </c>
      <c r="Q1245" s="55">
        <f>VLOOKUP(E1245,'NI-Ric_SP'!$C:$AN,12,FALSE)</f>
        <v>0</v>
      </c>
      <c r="R1245" s="55">
        <f>VLOOKUP(E1245,'NI-Ric_SP'!$C:$AN,13,FALSE)</f>
        <v>0</v>
      </c>
      <c r="S1245" s="55"/>
      <c r="T1245" s="55"/>
      <c r="U1245" s="55">
        <f>VLOOKUP($E1245,'NI-Ric_SP'!$C:$AN,MID(U$1,1,2),FALSE)</f>
        <v>0</v>
      </c>
      <c r="V1245" s="55">
        <f>VLOOKUP($E1245,'NI-Ric_SP'!$C:$AN,MID(V$1,1,2),FALSE)</f>
        <v>0</v>
      </c>
      <c r="W1245" s="55">
        <f>VLOOKUP($E1245,'NI-Ric_SP'!$C:$AN,MID(W$1,1,2),FALSE)</f>
        <v>0</v>
      </c>
      <c r="X1245" s="55">
        <f>VLOOKUP($E1245,'NI-Ric_SP'!$C:$AN,MID(X$1,1,2),FALSE)</f>
        <v>0</v>
      </c>
      <c r="Y1245" s="55">
        <f>VLOOKUP($E1245,'NI-Ric_SP'!$C:$AN,MID(Y$1,1,2),FALSE)</f>
        <v>0</v>
      </c>
      <c r="Z1245" s="55">
        <f>VLOOKUP($E1245,'NI-Ric_SP'!$C:$AN,MID(Z$1,1,2),FALSE)</f>
        <v>0</v>
      </c>
      <c r="AA1245" s="55">
        <f>VLOOKUP($E1245,'NI-Ric_SP'!$C:$AN,MID(AA$1,1,2),FALSE)</f>
        <v>0</v>
      </c>
      <c r="AB1245" s="55">
        <f>VLOOKUP($E1245,'NI-Ric_SP'!$C:$AN,MID(AB$1,1,2),FALSE)</f>
        <v>0</v>
      </c>
      <c r="AC1245" s="55">
        <f>VLOOKUP($E1245,'NI-Ric_SP'!$C:$AN,MID(AC$1,1,2),FALSE)</f>
        <v>0</v>
      </c>
      <c r="AD1245" s="55">
        <f>VLOOKUP($E1245,'NI-Ric_SP'!$C:$AN,MID(AD$1,1,2),FALSE)</f>
        <v>0</v>
      </c>
      <c r="AE1245" s="55">
        <f>VLOOKUP($E1245,'NI-Ric_SP'!$C:$AN,MID(AE$1,1,2),FALSE)</f>
        <v>0</v>
      </c>
      <c r="AF1245" s="55">
        <f>VLOOKUP($E1245,'NI-Ric_SP'!$C:$AN,MID(AF$1,1,2),FALSE)</f>
        <v>0</v>
      </c>
      <c r="AG1245" s="55">
        <f>VLOOKUP($E1245,'NI-Ric_SP'!$C:$AN,MID(AG$1,1,2),FALSE)</f>
        <v>0</v>
      </c>
      <c r="AH1245" s="55">
        <f>VLOOKUP($E1245,'NI-Ric_SP'!$C:$AN,MID(AH$1,1,2),FALSE)</f>
        <v>0</v>
      </c>
      <c r="AI1245" s="55">
        <f>VLOOKUP($E1245,'NI-Ric_SP'!$C:$AN,MID(AI$1,1,2),FALSE)</f>
        <v>0</v>
      </c>
      <c r="AJ1245" s="55">
        <f>VLOOKUP($E1245,'NI-Ric_SP'!$C:$AN,MID(AJ$1,1,2),FALSE)</f>
        <v>0</v>
      </c>
      <c r="AK1245" s="55">
        <f>VLOOKUP($E1245,'NI-Ric_SP'!$C:$AN,MID(AK$1,1,2),FALSE)</f>
        <v>0</v>
      </c>
      <c r="AL1245" s="55">
        <f>VLOOKUP($E1245,'NI-Ric_SP'!$C:$AN,MID(AL$1,1,2),FALSE)</f>
        <v>0</v>
      </c>
      <c r="AM1245" s="56">
        <f>VLOOKUP($E1245,'NI-Ric_SP'!$C:$AN,MID(AM$1,1,2),FALSE)</f>
        <v>0</v>
      </c>
      <c r="AN1245" s="30" t="str">
        <f t="shared" si="19"/>
        <v>50102050000000</v>
      </c>
    </row>
    <row r="1246" spans="3:40" x14ac:dyDescent="0.25">
      <c r="C1246" s="40"/>
      <c r="D1246" s="101" t="s">
        <v>1965</v>
      </c>
      <c r="E1246" s="101" t="s">
        <v>1966</v>
      </c>
      <c r="F1246" s="102" t="s">
        <v>2750</v>
      </c>
      <c r="G1246" s="52"/>
      <c r="H1246" s="52"/>
      <c r="I1246" s="52" t="s">
        <v>1967</v>
      </c>
      <c r="J1246" s="52" t="s">
        <v>1967</v>
      </c>
      <c r="K1246" s="59" t="s">
        <v>79</v>
      </c>
      <c r="L1246" s="62" t="s">
        <v>1968</v>
      </c>
      <c r="M1246" s="52"/>
      <c r="N1246" s="52"/>
      <c r="O1246" s="61" t="s">
        <v>1969</v>
      </c>
      <c r="P1246" s="63" t="s">
        <v>1970</v>
      </c>
      <c r="Q1246" s="55">
        <f>VLOOKUP(E1246,'NI-Ric_SP'!$C:$AN,12,FALSE)</f>
        <v>0</v>
      </c>
      <c r="R1246" s="55">
        <f>VLOOKUP(E1246,'NI-Ric_SP'!$C:$AN,13,FALSE)</f>
        <v>0</v>
      </c>
      <c r="S1246" s="55"/>
      <c r="T1246" s="55"/>
      <c r="U1246" s="55">
        <f>VLOOKUP($E1246,'NI-Ric_SP'!$C:$AN,MID(U$1,1,2),FALSE)</f>
        <v>0</v>
      </c>
      <c r="V1246" s="55">
        <f>VLOOKUP($E1246,'NI-Ric_SP'!$C:$AN,MID(V$1,1,2),FALSE)</f>
        <v>0</v>
      </c>
      <c r="W1246" s="55">
        <f>VLOOKUP($E1246,'NI-Ric_SP'!$C:$AN,MID(W$1,1,2),FALSE)</f>
        <v>0</v>
      </c>
      <c r="X1246" s="55">
        <f>VLOOKUP($E1246,'NI-Ric_SP'!$C:$AN,MID(X$1,1,2),FALSE)</f>
        <v>0</v>
      </c>
      <c r="Y1246" s="55">
        <f>VLOOKUP($E1246,'NI-Ric_SP'!$C:$AN,MID(Y$1,1,2),FALSE)</f>
        <v>0</v>
      </c>
      <c r="Z1246" s="55">
        <f>VLOOKUP($E1246,'NI-Ric_SP'!$C:$AN,MID(Z$1,1,2),FALSE)</f>
        <v>0</v>
      </c>
      <c r="AA1246" s="55">
        <f>VLOOKUP($E1246,'NI-Ric_SP'!$C:$AN,MID(AA$1,1,2),FALSE)</f>
        <v>0</v>
      </c>
      <c r="AB1246" s="55">
        <f>VLOOKUP($E1246,'NI-Ric_SP'!$C:$AN,MID(AB$1,1,2),FALSE)</f>
        <v>0</v>
      </c>
      <c r="AC1246" s="55">
        <f>VLOOKUP($E1246,'NI-Ric_SP'!$C:$AN,MID(AC$1,1,2),FALSE)</f>
        <v>0</v>
      </c>
      <c r="AD1246" s="55">
        <f>VLOOKUP($E1246,'NI-Ric_SP'!$C:$AN,MID(AD$1,1,2),FALSE)</f>
        <v>0</v>
      </c>
      <c r="AE1246" s="55">
        <f>VLOOKUP($E1246,'NI-Ric_SP'!$C:$AN,MID(AE$1,1,2),FALSE)</f>
        <v>0</v>
      </c>
      <c r="AF1246" s="55">
        <f>VLOOKUP($E1246,'NI-Ric_SP'!$C:$AN,MID(AF$1,1,2),FALSE)</f>
        <v>0</v>
      </c>
      <c r="AG1246" s="55">
        <f>VLOOKUP($E1246,'NI-Ric_SP'!$C:$AN,MID(AG$1,1,2),FALSE)</f>
        <v>0</v>
      </c>
      <c r="AH1246" s="55">
        <f>VLOOKUP($E1246,'NI-Ric_SP'!$C:$AN,MID(AH$1,1,2),FALSE)</f>
        <v>0</v>
      </c>
      <c r="AI1246" s="55">
        <f>VLOOKUP($E1246,'NI-Ric_SP'!$C:$AN,MID(AI$1,1,2),FALSE)</f>
        <v>0</v>
      </c>
      <c r="AJ1246" s="55">
        <f>VLOOKUP($E1246,'NI-Ric_SP'!$C:$AN,MID(AJ$1,1,2),FALSE)</f>
        <v>0</v>
      </c>
      <c r="AK1246" s="55">
        <f>VLOOKUP($E1246,'NI-Ric_SP'!$C:$AN,MID(AK$1,1,2),FALSE)</f>
        <v>0</v>
      </c>
      <c r="AL1246" s="55">
        <f>VLOOKUP($E1246,'NI-Ric_SP'!$C:$AN,MID(AL$1,1,2),FALSE)</f>
        <v>0</v>
      </c>
      <c r="AM1246" s="56">
        <f>VLOOKUP($E1246,'NI-Ric_SP'!$C:$AN,MID(AM$1,1,2),FALSE)</f>
        <v>0</v>
      </c>
      <c r="AN1246" s="30" t="str">
        <f t="shared" si="19"/>
        <v>50103000000000</v>
      </c>
    </row>
    <row r="1247" spans="3:40" x14ac:dyDescent="0.25">
      <c r="C1247" s="40"/>
      <c r="D1247" s="101" t="s">
        <v>1971</v>
      </c>
      <c r="E1247" s="101" t="s">
        <v>1972</v>
      </c>
      <c r="F1247" s="102" t="s">
        <v>2750</v>
      </c>
      <c r="G1247" s="52"/>
      <c r="H1247" s="52"/>
      <c r="I1247" s="52"/>
      <c r="J1247" s="52"/>
      <c r="K1247" s="59" t="s">
        <v>111</v>
      </c>
      <c r="L1247" s="62" t="s">
        <v>1973</v>
      </c>
      <c r="M1247" s="52"/>
      <c r="N1247" s="52"/>
      <c r="O1247" s="61" t="s">
        <v>1974</v>
      </c>
      <c r="P1247" s="63" t="s">
        <v>1975</v>
      </c>
      <c r="Q1247" s="55">
        <f>VLOOKUP(E1247,'NI-Ric_SP'!$C:$AN,12,FALSE)</f>
        <v>0</v>
      </c>
      <c r="R1247" s="55">
        <f>VLOOKUP(E1247,'NI-Ric_SP'!$C:$AN,13,FALSE)</f>
        <v>0</v>
      </c>
      <c r="S1247" s="55"/>
      <c r="T1247" s="55"/>
      <c r="U1247" s="55">
        <f>VLOOKUP($E1247,'NI-Ric_SP'!$C:$AN,MID(U$1,1,2),FALSE)</f>
        <v>0</v>
      </c>
      <c r="V1247" s="55">
        <f>VLOOKUP($E1247,'NI-Ric_SP'!$C:$AN,MID(V$1,1,2),FALSE)</f>
        <v>0</v>
      </c>
      <c r="W1247" s="55">
        <f>VLOOKUP($E1247,'NI-Ric_SP'!$C:$AN,MID(W$1,1,2),FALSE)</f>
        <v>0</v>
      </c>
      <c r="X1247" s="55">
        <f>VLOOKUP($E1247,'NI-Ric_SP'!$C:$AN,MID(X$1,1,2),FALSE)</f>
        <v>0</v>
      </c>
      <c r="Y1247" s="55">
        <f>VLOOKUP($E1247,'NI-Ric_SP'!$C:$AN,MID(Y$1,1,2),FALSE)</f>
        <v>0</v>
      </c>
      <c r="Z1247" s="55">
        <f>VLOOKUP($E1247,'NI-Ric_SP'!$C:$AN,MID(Z$1,1,2),FALSE)</f>
        <v>0</v>
      </c>
      <c r="AA1247" s="55">
        <f>VLOOKUP($E1247,'NI-Ric_SP'!$C:$AN,MID(AA$1,1,2),FALSE)</f>
        <v>0</v>
      </c>
      <c r="AB1247" s="55">
        <f>VLOOKUP($E1247,'NI-Ric_SP'!$C:$AN,MID(AB$1,1,2),FALSE)</f>
        <v>0</v>
      </c>
      <c r="AC1247" s="55">
        <f>VLOOKUP($E1247,'NI-Ric_SP'!$C:$AN,MID(AC$1,1,2),FALSE)</f>
        <v>0</v>
      </c>
      <c r="AD1247" s="55">
        <f>VLOOKUP($E1247,'NI-Ric_SP'!$C:$AN,MID(AD$1,1,2),FALSE)</f>
        <v>0</v>
      </c>
      <c r="AE1247" s="55">
        <f>VLOOKUP($E1247,'NI-Ric_SP'!$C:$AN,MID(AE$1,1,2),FALSE)</f>
        <v>0</v>
      </c>
      <c r="AF1247" s="55">
        <f>VLOOKUP($E1247,'NI-Ric_SP'!$C:$AN,MID(AF$1,1,2),FALSE)</f>
        <v>0</v>
      </c>
      <c r="AG1247" s="55">
        <f>VLOOKUP($E1247,'NI-Ric_SP'!$C:$AN,MID(AG$1,1,2),FALSE)</f>
        <v>0</v>
      </c>
      <c r="AH1247" s="55">
        <f>VLOOKUP($E1247,'NI-Ric_SP'!$C:$AN,MID(AH$1,1,2),FALSE)</f>
        <v>0</v>
      </c>
      <c r="AI1247" s="55">
        <f>VLOOKUP($E1247,'NI-Ric_SP'!$C:$AN,MID(AI$1,1,2),FALSE)</f>
        <v>0</v>
      </c>
      <c r="AJ1247" s="55">
        <f>VLOOKUP($E1247,'NI-Ric_SP'!$C:$AN,MID(AJ$1,1,2),FALSE)</f>
        <v>0</v>
      </c>
      <c r="AK1247" s="55">
        <f>VLOOKUP($E1247,'NI-Ric_SP'!$C:$AN,MID(AK$1,1,2),FALSE)</f>
        <v>0</v>
      </c>
      <c r="AL1247" s="55">
        <f>VLOOKUP($E1247,'NI-Ric_SP'!$C:$AN,MID(AL$1,1,2),FALSE)</f>
        <v>0</v>
      </c>
      <c r="AM1247" s="56">
        <f>VLOOKUP($E1247,'NI-Ric_SP'!$C:$AN,MID(AM$1,1,2),FALSE)</f>
        <v>0</v>
      </c>
      <c r="AN1247" s="30" t="str">
        <f t="shared" si="19"/>
        <v>50104000000000</v>
      </c>
    </row>
    <row r="1248" spans="3:40" x14ac:dyDescent="0.25">
      <c r="C1248" s="40"/>
      <c r="D1248" s="101" t="s">
        <v>1976</v>
      </c>
      <c r="E1248" s="101" t="s">
        <v>1977</v>
      </c>
      <c r="F1248" s="102" t="s">
        <v>2750</v>
      </c>
      <c r="G1248" s="52"/>
      <c r="H1248" s="52"/>
      <c r="I1248" s="52" t="s">
        <v>1978</v>
      </c>
      <c r="J1248" s="52" t="s">
        <v>1978</v>
      </c>
      <c r="K1248" s="59" t="s">
        <v>79</v>
      </c>
      <c r="L1248" s="52"/>
      <c r="M1248" s="52"/>
      <c r="N1248" s="52"/>
      <c r="O1248" s="52"/>
      <c r="P1248" s="76" t="s">
        <v>1979</v>
      </c>
      <c r="Q1248" s="55">
        <f>VLOOKUP(E1248,'NI-Ric_SP'!$C:$AN,12,FALSE)</f>
        <v>0</v>
      </c>
      <c r="R1248" s="55">
        <f>VLOOKUP(E1248,'NI-Ric_SP'!$C:$AN,13,FALSE)</f>
        <v>0</v>
      </c>
      <c r="S1248" s="55"/>
      <c r="T1248" s="55"/>
      <c r="U1248" s="55">
        <f>VLOOKUP($E1248,'NI-Ric_SP'!$C:$AN,MID(U$1,1,2),FALSE)</f>
        <v>0</v>
      </c>
      <c r="V1248" s="55">
        <f>VLOOKUP($E1248,'NI-Ric_SP'!$C:$AN,MID(V$1,1,2),FALSE)</f>
        <v>0</v>
      </c>
      <c r="W1248" s="55">
        <f>VLOOKUP($E1248,'NI-Ric_SP'!$C:$AN,MID(W$1,1,2),FALSE)</f>
        <v>0</v>
      </c>
      <c r="X1248" s="55">
        <f>VLOOKUP($E1248,'NI-Ric_SP'!$C:$AN,MID(X$1,1,2),FALSE)</f>
        <v>0</v>
      </c>
      <c r="Y1248" s="55">
        <f>VLOOKUP($E1248,'NI-Ric_SP'!$C:$AN,MID(Y$1,1,2),FALSE)</f>
        <v>0</v>
      </c>
      <c r="Z1248" s="55">
        <f>VLOOKUP($E1248,'NI-Ric_SP'!$C:$AN,MID(Z$1,1,2),FALSE)</f>
        <v>0</v>
      </c>
      <c r="AA1248" s="55">
        <f>VLOOKUP($E1248,'NI-Ric_SP'!$C:$AN,MID(AA$1,1,2),FALSE)</f>
        <v>0</v>
      </c>
      <c r="AB1248" s="55">
        <f>VLOOKUP($E1248,'NI-Ric_SP'!$C:$AN,MID(AB$1,1,2),FALSE)</f>
        <v>0</v>
      </c>
      <c r="AC1248" s="55">
        <f>VLOOKUP($E1248,'NI-Ric_SP'!$C:$AN,MID(AC$1,1,2),FALSE)</f>
        <v>0</v>
      </c>
      <c r="AD1248" s="55">
        <f>VLOOKUP($E1248,'NI-Ric_SP'!$C:$AN,MID(AD$1,1,2),FALSE)</f>
        <v>0</v>
      </c>
      <c r="AE1248" s="55">
        <f>VLOOKUP($E1248,'NI-Ric_SP'!$C:$AN,MID(AE$1,1,2),FALSE)</f>
        <v>0</v>
      </c>
      <c r="AF1248" s="55">
        <f>VLOOKUP($E1248,'NI-Ric_SP'!$C:$AN,MID(AF$1,1,2),FALSE)</f>
        <v>0</v>
      </c>
      <c r="AG1248" s="55">
        <f>VLOOKUP($E1248,'NI-Ric_SP'!$C:$AN,MID(AG$1,1,2),FALSE)</f>
        <v>0</v>
      </c>
      <c r="AH1248" s="55">
        <f>VLOOKUP($E1248,'NI-Ric_SP'!$C:$AN,MID(AH$1,1,2),FALSE)</f>
        <v>0</v>
      </c>
      <c r="AI1248" s="55">
        <f>VLOOKUP($E1248,'NI-Ric_SP'!$C:$AN,MID(AI$1,1,2),FALSE)</f>
        <v>0</v>
      </c>
      <c r="AJ1248" s="55">
        <f>VLOOKUP($E1248,'NI-Ric_SP'!$C:$AN,MID(AJ$1,1,2),FALSE)</f>
        <v>0</v>
      </c>
      <c r="AK1248" s="55">
        <f>VLOOKUP($E1248,'NI-Ric_SP'!$C:$AN,MID(AK$1,1,2),FALSE)</f>
        <v>0</v>
      </c>
      <c r="AL1248" s="55">
        <f>VLOOKUP($E1248,'NI-Ric_SP'!$C:$AN,MID(AL$1,1,2),FALSE)</f>
        <v>0</v>
      </c>
      <c r="AM1248" s="56">
        <f>VLOOKUP($E1248,'NI-Ric_SP'!$C:$AN,MID(AM$1,1,2),FALSE)</f>
        <v>0</v>
      </c>
      <c r="AN1248" s="30" t="str">
        <f t="shared" si="19"/>
        <v>50104010000000</v>
      </c>
    </row>
    <row r="1249" spans="3:40" x14ac:dyDescent="0.25">
      <c r="C1249" s="40"/>
      <c r="D1249" s="101" t="s">
        <v>1980</v>
      </c>
      <c r="E1249" s="101" t="s">
        <v>1981</v>
      </c>
      <c r="F1249" s="102" t="s">
        <v>2750</v>
      </c>
      <c r="G1249" s="52"/>
      <c r="H1249" s="52"/>
      <c r="I1249" s="52" t="s">
        <v>1982</v>
      </c>
      <c r="J1249" s="52" t="s">
        <v>1982</v>
      </c>
      <c r="K1249" s="59" t="s">
        <v>79</v>
      </c>
      <c r="L1249" s="52"/>
      <c r="M1249" s="52"/>
      <c r="N1249" s="52"/>
      <c r="O1249" s="52"/>
      <c r="P1249" s="76" t="s">
        <v>1983</v>
      </c>
      <c r="Q1249" s="55">
        <f>VLOOKUP(E1249,'NI-Ric_SP'!$C:$AN,12,FALSE)</f>
        <v>0</v>
      </c>
      <c r="R1249" s="55">
        <f>VLOOKUP(E1249,'NI-Ric_SP'!$C:$AN,13,FALSE)</f>
        <v>0</v>
      </c>
      <c r="S1249" s="55"/>
      <c r="T1249" s="55"/>
      <c r="U1249" s="55">
        <f>VLOOKUP($E1249,'NI-Ric_SP'!$C:$AN,MID(U$1,1,2),FALSE)</f>
        <v>0</v>
      </c>
      <c r="V1249" s="55">
        <f>VLOOKUP($E1249,'NI-Ric_SP'!$C:$AN,MID(V$1,1,2),FALSE)</f>
        <v>0</v>
      </c>
      <c r="W1249" s="55">
        <f>VLOOKUP($E1249,'NI-Ric_SP'!$C:$AN,MID(W$1,1,2),FALSE)</f>
        <v>0</v>
      </c>
      <c r="X1249" s="55">
        <f>VLOOKUP($E1249,'NI-Ric_SP'!$C:$AN,MID(X$1,1,2),FALSE)</f>
        <v>0</v>
      </c>
      <c r="Y1249" s="55">
        <f>VLOOKUP($E1249,'NI-Ric_SP'!$C:$AN,MID(Y$1,1,2),FALSE)</f>
        <v>0</v>
      </c>
      <c r="Z1249" s="55">
        <f>VLOOKUP($E1249,'NI-Ric_SP'!$C:$AN,MID(Z$1,1,2),FALSE)</f>
        <v>0</v>
      </c>
      <c r="AA1249" s="55">
        <f>VLOOKUP($E1249,'NI-Ric_SP'!$C:$AN,MID(AA$1,1,2),FALSE)</f>
        <v>0</v>
      </c>
      <c r="AB1249" s="55">
        <f>VLOOKUP($E1249,'NI-Ric_SP'!$C:$AN,MID(AB$1,1,2),FALSE)</f>
        <v>0</v>
      </c>
      <c r="AC1249" s="55">
        <f>VLOOKUP($E1249,'NI-Ric_SP'!$C:$AN,MID(AC$1,1,2),FALSE)</f>
        <v>0</v>
      </c>
      <c r="AD1249" s="55">
        <f>VLOOKUP($E1249,'NI-Ric_SP'!$C:$AN,MID(AD$1,1,2),FALSE)</f>
        <v>0</v>
      </c>
      <c r="AE1249" s="55">
        <f>VLOOKUP($E1249,'NI-Ric_SP'!$C:$AN,MID(AE$1,1,2),FALSE)</f>
        <v>0</v>
      </c>
      <c r="AF1249" s="55">
        <f>VLOOKUP($E1249,'NI-Ric_SP'!$C:$AN,MID(AF$1,1,2),FALSE)</f>
        <v>0</v>
      </c>
      <c r="AG1249" s="55">
        <f>VLOOKUP($E1249,'NI-Ric_SP'!$C:$AN,MID(AG$1,1,2),FALSE)</f>
        <v>0</v>
      </c>
      <c r="AH1249" s="55">
        <f>VLOOKUP($E1249,'NI-Ric_SP'!$C:$AN,MID(AH$1,1,2),FALSE)</f>
        <v>0</v>
      </c>
      <c r="AI1249" s="55">
        <f>VLOOKUP($E1249,'NI-Ric_SP'!$C:$AN,MID(AI$1,1,2),FALSE)</f>
        <v>0</v>
      </c>
      <c r="AJ1249" s="55">
        <f>VLOOKUP($E1249,'NI-Ric_SP'!$C:$AN,MID(AJ$1,1,2),FALSE)</f>
        <v>0</v>
      </c>
      <c r="AK1249" s="55">
        <f>VLOOKUP($E1249,'NI-Ric_SP'!$C:$AN,MID(AK$1,1,2),FALSE)</f>
        <v>0</v>
      </c>
      <c r="AL1249" s="55">
        <f>VLOOKUP($E1249,'NI-Ric_SP'!$C:$AN,MID(AL$1,1,2),FALSE)</f>
        <v>0</v>
      </c>
      <c r="AM1249" s="56">
        <f>VLOOKUP($E1249,'NI-Ric_SP'!$C:$AN,MID(AM$1,1,2),FALSE)</f>
        <v>0</v>
      </c>
      <c r="AN1249" s="30" t="str">
        <f t="shared" si="19"/>
        <v>50104020000000</v>
      </c>
    </row>
    <row r="1250" spans="3:40" x14ac:dyDescent="0.25">
      <c r="C1250" s="40"/>
      <c r="D1250" s="101" t="s">
        <v>1984</v>
      </c>
      <c r="E1250" s="101" t="s">
        <v>1985</v>
      </c>
      <c r="F1250" s="102" t="s">
        <v>2750</v>
      </c>
      <c r="G1250" s="52"/>
      <c r="H1250" s="52"/>
      <c r="I1250" s="52" t="s">
        <v>1986</v>
      </c>
      <c r="J1250" s="52" t="s">
        <v>1986</v>
      </c>
      <c r="K1250" s="59" t="s">
        <v>79</v>
      </c>
      <c r="L1250" s="52"/>
      <c r="M1250" s="52"/>
      <c r="N1250" s="52"/>
      <c r="O1250" s="52"/>
      <c r="P1250" s="76" t="s">
        <v>1987</v>
      </c>
      <c r="Q1250" s="55">
        <f>VLOOKUP(E1250,'NI-Ric_SP'!$C:$AN,12,FALSE)</f>
        <v>0</v>
      </c>
      <c r="R1250" s="55">
        <f>VLOOKUP(E1250,'NI-Ric_SP'!$C:$AN,13,FALSE)</f>
        <v>0</v>
      </c>
      <c r="S1250" s="55"/>
      <c r="T1250" s="55"/>
      <c r="U1250" s="55">
        <f>VLOOKUP($E1250,'NI-Ric_SP'!$C:$AN,MID(U$1,1,2),FALSE)</f>
        <v>0</v>
      </c>
      <c r="V1250" s="55">
        <f>VLOOKUP($E1250,'NI-Ric_SP'!$C:$AN,MID(V$1,1,2),FALSE)</f>
        <v>0</v>
      </c>
      <c r="W1250" s="55">
        <f>VLOOKUP($E1250,'NI-Ric_SP'!$C:$AN,MID(W$1,1,2),FALSE)</f>
        <v>0</v>
      </c>
      <c r="X1250" s="55">
        <f>VLOOKUP($E1250,'NI-Ric_SP'!$C:$AN,MID(X$1,1,2),FALSE)</f>
        <v>0</v>
      </c>
      <c r="Y1250" s="55">
        <f>VLOOKUP($E1250,'NI-Ric_SP'!$C:$AN,MID(Y$1,1,2),FALSE)</f>
        <v>0</v>
      </c>
      <c r="Z1250" s="55">
        <f>VLOOKUP($E1250,'NI-Ric_SP'!$C:$AN,MID(Z$1,1,2),FALSE)</f>
        <v>0</v>
      </c>
      <c r="AA1250" s="55">
        <f>VLOOKUP($E1250,'NI-Ric_SP'!$C:$AN,MID(AA$1,1,2),FALSE)</f>
        <v>0</v>
      </c>
      <c r="AB1250" s="55">
        <f>VLOOKUP($E1250,'NI-Ric_SP'!$C:$AN,MID(AB$1,1,2),FALSE)</f>
        <v>0</v>
      </c>
      <c r="AC1250" s="55">
        <f>VLOOKUP($E1250,'NI-Ric_SP'!$C:$AN,MID(AC$1,1,2),FALSE)</f>
        <v>0</v>
      </c>
      <c r="AD1250" s="55">
        <f>VLOOKUP($E1250,'NI-Ric_SP'!$C:$AN,MID(AD$1,1,2),FALSE)</f>
        <v>0</v>
      </c>
      <c r="AE1250" s="55">
        <f>VLOOKUP($E1250,'NI-Ric_SP'!$C:$AN,MID(AE$1,1,2),FALSE)</f>
        <v>0</v>
      </c>
      <c r="AF1250" s="55">
        <f>VLOOKUP($E1250,'NI-Ric_SP'!$C:$AN,MID(AF$1,1,2),FALSE)</f>
        <v>0</v>
      </c>
      <c r="AG1250" s="55">
        <f>VLOOKUP($E1250,'NI-Ric_SP'!$C:$AN,MID(AG$1,1,2),FALSE)</f>
        <v>0</v>
      </c>
      <c r="AH1250" s="55">
        <f>VLOOKUP($E1250,'NI-Ric_SP'!$C:$AN,MID(AH$1,1,2),FALSE)</f>
        <v>0</v>
      </c>
      <c r="AI1250" s="55">
        <f>VLOOKUP($E1250,'NI-Ric_SP'!$C:$AN,MID(AI$1,1,2),FALSE)</f>
        <v>0</v>
      </c>
      <c r="AJ1250" s="55">
        <f>VLOOKUP($E1250,'NI-Ric_SP'!$C:$AN,MID(AJ$1,1,2),FALSE)</f>
        <v>0</v>
      </c>
      <c r="AK1250" s="55">
        <f>VLOOKUP($E1250,'NI-Ric_SP'!$C:$AN,MID(AK$1,1,2),FALSE)</f>
        <v>0</v>
      </c>
      <c r="AL1250" s="55">
        <f>VLOOKUP($E1250,'NI-Ric_SP'!$C:$AN,MID(AL$1,1,2),FALSE)</f>
        <v>0</v>
      </c>
      <c r="AM1250" s="56">
        <f>VLOOKUP($E1250,'NI-Ric_SP'!$C:$AN,MID(AM$1,1,2),FALSE)</f>
        <v>0</v>
      </c>
      <c r="AN1250" s="30" t="str">
        <f t="shared" si="19"/>
        <v>50104030000000</v>
      </c>
    </row>
    <row r="1251" spans="3:40" x14ac:dyDescent="0.25">
      <c r="C1251" s="40"/>
      <c r="D1251" s="101" t="s">
        <v>1988</v>
      </c>
      <c r="E1251" s="101" t="s">
        <v>1989</v>
      </c>
      <c r="F1251" s="102" t="s">
        <v>2750</v>
      </c>
      <c r="G1251" s="52"/>
      <c r="H1251" s="52"/>
      <c r="I1251" s="52" t="s">
        <v>1990</v>
      </c>
      <c r="J1251" s="52" t="s">
        <v>1990</v>
      </c>
      <c r="K1251" s="59" t="s">
        <v>79</v>
      </c>
      <c r="L1251" s="52"/>
      <c r="M1251" s="52"/>
      <c r="N1251" s="52"/>
      <c r="O1251" s="52"/>
      <c r="P1251" s="76" t="s">
        <v>1991</v>
      </c>
      <c r="Q1251" s="55">
        <f>VLOOKUP(E1251,'NI-Ric_SP'!$C:$AN,12,FALSE)</f>
        <v>0</v>
      </c>
      <c r="R1251" s="55">
        <f>VLOOKUP(E1251,'NI-Ric_SP'!$C:$AN,13,FALSE)</f>
        <v>0</v>
      </c>
      <c r="S1251" s="55"/>
      <c r="T1251" s="55"/>
      <c r="U1251" s="55">
        <f>VLOOKUP($E1251,'NI-Ric_SP'!$C:$AN,MID(U$1,1,2),FALSE)</f>
        <v>0</v>
      </c>
      <c r="V1251" s="55">
        <f>VLOOKUP($E1251,'NI-Ric_SP'!$C:$AN,MID(V$1,1,2),FALSE)</f>
        <v>0</v>
      </c>
      <c r="W1251" s="55">
        <f>VLOOKUP($E1251,'NI-Ric_SP'!$C:$AN,MID(W$1,1,2),FALSE)</f>
        <v>0</v>
      </c>
      <c r="X1251" s="55">
        <f>VLOOKUP($E1251,'NI-Ric_SP'!$C:$AN,MID(X$1,1,2),FALSE)</f>
        <v>0</v>
      </c>
      <c r="Y1251" s="55">
        <f>VLOOKUP($E1251,'NI-Ric_SP'!$C:$AN,MID(Y$1,1,2),FALSE)</f>
        <v>0</v>
      </c>
      <c r="Z1251" s="55">
        <f>VLOOKUP($E1251,'NI-Ric_SP'!$C:$AN,MID(Z$1,1,2),FALSE)</f>
        <v>0</v>
      </c>
      <c r="AA1251" s="55">
        <f>VLOOKUP($E1251,'NI-Ric_SP'!$C:$AN,MID(AA$1,1,2),FALSE)</f>
        <v>0</v>
      </c>
      <c r="AB1251" s="55">
        <f>VLOOKUP($E1251,'NI-Ric_SP'!$C:$AN,MID(AB$1,1,2),FALSE)</f>
        <v>0</v>
      </c>
      <c r="AC1251" s="55">
        <f>VLOOKUP($E1251,'NI-Ric_SP'!$C:$AN,MID(AC$1,1,2),FALSE)</f>
        <v>0</v>
      </c>
      <c r="AD1251" s="55">
        <f>VLOOKUP($E1251,'NI-Ric_SP'!$C:$AN,MID(AD$1,1,2),FALSE)</f>
        <v>0</v>
      </c>
      <c r="AE1251" s="55">
        <f>VLOOKUP($E1251,'NI-Ric_SP'!$C:$AN,MID(AE$1,1,2),FALSE)</f>
        <v>0</v>
      </c>
      <c r="AF1251" s="55">
        <f>VLOOKUP($E1251,'NI-Ric_SP'!$C:$AN,MID(AF$1,1,2),FALSE)</f>
        <v>0</v>
      </c>
      <c r="AG1251" s="55">
        <f>VLOOKUP($E1251,'NI-Ric_SP'!$C:$AN,MID(AG$1,1,2),FALSE)</f>
        <v>0</v>
      </c>
      <c r="AH1251" s="55">
        <f>VLOOKUP($E1251,'NI-Ric_SP'!$C:$AN,MID(AH$1,1,2),FALSE)</f>
        <v>0</v>
      </c>
      <c r="AI1251" s="55">
        <f>VLOOKUP($E1251,'NI-Ric_SP'!$C:$AN,MID(AI$1,1,2),FALSE)</f>
        <v>0</v>
      </c>
      <c r="AJ1251" s="55">
        <f>VLOOKUP($E1251,'NI-Ric_SP'!$C:$AN,MID(AJ$1,1,2),FALSE)</f>
        <v>0</v>
      </c>
      <c r="AK1251" s="55">
        <f>VLOOKUP($E1251,'NI-Ric_SP'!$C:$AN,MID(AK$1,1,2),FALSE)</f>
        <v>0</v>
      </c>
      <c r="AL1251" s="55">
        <f>VLOOKUP($E1251,'NI-Ric_SP'!$C:$AN,MID(AL$1,1,2),FALSE)</f>
        <v>0</v>
      </c>
      <c r="AM1251" s="56">
        <f>VLOOKUP($E1251,'NI-Ric_SP'!$C:$AN,MID(AM$1,1,2),FALSE)</f>
        <v>0</v>
      </c>
      <c r="AN1251" s="30" t="str">
        <f t="shared" si="19"/>
        <v>50104040000000</v>
      </c>
    </row>
    <row r="1252" spans="3:40" x14ac:dyDescent="0.25">
      <c r="C1252" s="40"/>
      <c r="D1252" s="101" t="s">
        <v>1992</v>
      </c>
      <c r="E1252" s="101" t="s">
        <v>1993</v>
      </c>
      <c r="F1252" s="102" t="s">
        <v>2750</v>
      </c>
      <c r="G1252" s="52"/>
      <c r="H1252" s="52"/>
      <c r="I1252" s="52" t="s">
        <v>1994</v>
      </c>
      <c r="J1252" s="52" t="s">
        <v>1994</v>
      </c>
      <c r="K1252" s="59" t="s">
        <v>79</v>
      </c>
      <c r="L1252" s="52"/>
      <c r="M1252" s="52"/>
      <c r="N1252" s="52"/>
      <c r="O1252" s="52"/>
      <c r="P1252" s="76" t="s">
        <v>1995</v>
      </c>
      <c r="Q1252" s="55">
        <f>VLOOKUP(E1252,'NI-Ric_SP'!$C:$AN,12,FALSE)</f>
        <v>0</v>
      </c>
      <c r="R1252" s="55">
        <f>VLOOKUP(E1252,'NI-Ric_SP'!$C:$AN,13,FALSE)</f>
        <v>0</v>
      </c>
      <c r="S1252" s="55"/>
      <c r="T1252" s="55"/>
      <c r="U1252" s="55">
        <f>VLOOKUP($E1252,'NI-Ric_SP'!$C:$AN,MID(U$1,1,2),FALSE)</f>
        <v>0</v>
      </c>
      <c r="V1252" s="55">
        <f>VLOOKUP($E1252,'NI-Ric_SP'!$C:$AN,MID(V$1,1,2),FALSE)</f>
        <v>0</v>
      </c>
      <c r="W1252" s="55">
        <f>VLOOKUP($E1252,'NI-Ric_SP'!$C:$AN,MID(W$1,1,2),FALSE)</f>
        <v>0</v>
      </c>
      <c r="X1252" s="55">
        <f>VLOOKUP($E1252,'NI-Ric_SP'!$C:$AN,MID(X$1,1,2),FALSE)</f>
        <v>0</v>
      </c>
      <c r="Y1252" s="55">
        <f>VLOOKUP($E1252,'NI-Ric_SP'!$C:$AN,MID(Y$1,1,2),FALSE)</f>
        <v>0</v>
      </c>
      <c r="Z1252" s="55">
        <f>VLOOKUP($E1252,'NI-Ric_SP'!$C:$AN,MID(Z$1,1,2),FALSE)</f>
        <v>0</v>
      </c>
      <c r="AA1252" s="55">
        <f>VLOOKUP($E1252,'NI-Ric_SP'!$C:$AN,MID(AA$1,1,2),FALSE)</f>
        <v>0</v>
      </c>
      <c r="AB1252" s="55">
        <f>VLOOKUP($E1252,'NI-Ric_SP'!$C:$AN,MID(AB$1,1,2),FALSE)</f>
        <v>0</v>
      </c>
      <c r="AC1252" s="55">
        <f>VLOOKUP($E1252,'NI-Ric_SP'!$C:$AN,MID(AC$1,1,2),FALSE)</f>
        <v>0</v>
      </c>
      <c r="AD1252" s="55">
        <f>VLOOKUP($E1252,'NI-Ric_SP'!$C:$AN,MID(AD$1,1,2),FALSE)</f>
        <v>0</v>
      </c>
      <c r="AE1252" s="55">
        <f>VLOOKUP($E1252,'NI-Ric_SP'!$C:$AN,MID(AE$1,1,2),FALSE)</f>
        <v>0</v>
      </c>
      <c r="AF1252" s="55">
        <f>VLOOKUP($E1252,'NI-Ric_SP'!$C:$AN,MID(AF$1,1,2),FALSE)</f>
        <v>0</v>
      </c>
      <c r="AG1252" s="55">
        <f>VLOOKUP($E1252,'NI-Ric_SP'!$C:$AN,MID(AG$1,1,2),FALSE)</f>
        <v>0</v>
      </c>
      <c r="AH1252" s="55">
        <f>VLOOKUP($E1252,'NI-Ric_SP'!$C:$AN,MID(AH$1,1,2),FALSE)</f>
        <v>0</v>
      </c>
      <c r="AI1252" s="55">
        <f>VLOOKUP($E1252,'NI-Ric_SP'!$C:$AN,MID(AI$1,1,2),FALSE)</f>
        <v>0</v>
      </c>
      <c r="AJ1252" s="55">
        <f>VLOOKUP($E1252,'NI-Ric_SP'!$C:$AN,MID(AJ$1,1,2),FALSE)</f>
        <v>0</v>
      </c>
      <c r="AK1252" s="55">
        <f>VLOOKUP($E1252,'NI-Ric_SP'!$C:$AN,MID(AK$1,1,2),FALSE)</f>
        <v>0</v>
      </c>
      <c r="AL1252" s="55">
        <f>VLOOKUP($E1252,'NI-Ric_SP'!$C:$AN,MID(AL$1,1,2),FALSE)</f>
        <v>0</v>
      </c>
      <c r="AM1252" s="56">
        <f>VLOOKUP($E1252,'NI-Ric_SP'!$C:$AN,MID(AM$1,1,2),FALSE)</f>
        <v>0</v>
      </c>
      <c r="AN1252" s="30" t="str">
        <f t="shared" si="19"/>
        <v>50104050000000</v>
      </c>
    </row>
    <row r="1253" spans="3:40" x14ac:dyDescent="0.25">
      <c r="C1253" s="40"/>
      <c r="D1253" s="101" t="s">
        <v>1996</v>
      </c>
      <c r="E1253" s="101" t="s">
        <v>1997</v>
      </c>
      <c r="F1253" s="102" t="s">
        <v>2750</v>
      </c>
      <c r="G1253" s="52"/>
      <c r="H1253" s="52"/>
      <c r="I1253" s="52"/>
      <c r="J1253" s="52"/>
      <c r="K1253" s="59" t="s">
        <v>111</v>
      </c>
      <c r="L1253" s="62" t="s">
        <v>1998</v>
      </c>
      <c r="M1253" s="52"/>
      <c r="N1253" s="52"/>
      <c r="O1253" s="61" t="s">
        <v>1999</v>
      </c>
      <c r="P1253" s="63" t="s">
        <v>2000</v>
      </c>
      <c r="Q1253" s="55">
        <f>VLOOKUP(E1253,'NI-Ric_SP'!$C:$AN,12,FALSE)</f>
        <v>0</v>
      </c>
      <c r="R1253" s="55">
        <f>VLOOKUP(E1253,'NI-Ric_SP'!$C:$AN,13,FALSE)</f>
        <v>0</v>
      </c>
      <c r="S1253" s="55"/>
      <c r="T1253" s="55"/>
      <c r="U1253" s="55">
        <f>VLOOKUP($E1253,'NI-Ric_SP'!$C:$AN,MID(U$1,1,2),FALSE)</f>
        <v>0</v>
      </c>
      <c r="V1253" s="55">
        <f>VLOOKUP($E1253,'NI-Ric_SP'!$C:$AN,MID(V$1,1,2),FALSE)</f>
        <v>0</v>
      </c>
      <c r="W1253" s="55">
        <f>VLOOKUP($E1253,'NI-Ric_SP'!$C:$AN,MID(W$1,1,2),FALSE)</f>
        <v>0</v>
      </c>
      <c r="X1253" s="55">
        <f>VLOOKUP($E1253,'NI-Ric_SP'!$C:$AN,MID(X$1,1,2),FALSE)</f>
        <v>0</v>
      </c>
      <c r="Y1253" s="55">
        <f>VLOOKUP($E1253,'NI-Ric_SP'!$C:$AN,MID(Y$1,1,2),FALSE)</f>
        <v>0</v>
      </c>
      <c r="Z1253" s="55">
        <f>VLOOKUP($E1253,'NI-Ric_SP'!$C:$AN,MID(Z$1,1,2),FALSE)</f>
        <v>0</v>
      </c>
      <c r="AA1253" s="55">
        <f>VLOOKUP($E1253,'NI-Ric_SP'!$C:$AN,MID(AA$1,1,2),FALSE)</f>
        <v>0</v>
      </c>
      <c r="AB1253" s="55">
        <f>VLOOKUP($E1253,'NI-Ric_SP'!$C:$AN,MID(AB$1,1,2),FALSE)</f>
        <v>0</v>
      </c>
      <c r="AC1253" s="55">
        <f>VLOOKUP($E1253,'NI-Ric_SP'!$C:$AN,MID(AC$1,1,2),FALSE)</f>
        <v>0</v>
      </c>
      <c r="AD1253" s="55">
        <f>VLOOKUP($E1253,'NI-Ric_SP'!$C:$AN,MID(AD$1,1,2),FALSE)</f>
        <v>0</v>
      </c>
      <c r="AE1253" s="55">
        <f>VLOOKUP($E1253,'NI-Ric_SP'!$C:$AN,MID(AE$1,1,2),FALSE)</f>
        <v>0</v>
      </c>
      <c r="AF1253" s="55">
        <f>VLOOKUP($E1253,'NI-Ric_SP'!$C:$AN,MID(AF$1,1,2),FALSE)</f>
        <v>0</v>
      </c>
      <c r="AG1253" s="55">
        <f>VLOOKUP($E1253,'NI-Ric_SP'!$C:$AN,MID(AG$1,1,2),FALSE)</f>
        <v>0</v>
      </c>
      <c r="AH1253" s="55">
        <f>VLOOKUP($E1253,'NI-Ric_SP'!$C:$AN,MID(AH$1,1,2),FALSE)</f>
        <v>0</v>
      </c>
      <c r="AI1253" s="55">
        <f>VLOOKUP($E1253,'NI-Ric_SP'!$C:$AN,MID(AI$1,1,2),FALSE)</f>
        <v>0</v>
      </c>
      <c r="AJ1253" s="55">
        <f>VLOOKUP($E1253,'NI-Ric_SP'!$C:$AN,MID(AJ$1,1,2),FALSE)</f>
        <v>0</v>
      </c>
      <c r="AK1253" s="55">
        <f>VLOOKUP($E1253,'NI-Ric_SP'!$C:$AN,MID(AK$1,1,2),FALSE)</f>
        <v>0</v>
      </c>
      <c r="AL1253" s="55">
        <f>VLOOKUP($E1253,'NI-Ric_SP'!$C:$AN,MID(AL$1,1,2),FALSE)</f>
        <v>0</v>
      </c>
      <c r="AM1253" s="56">
        <f>VLOOKUP($E1253,'NI-Ric_SP'!$C:$AN,MID(AM$1,1,2),FALSE)</f>
        <v>0</v>
      </c>
      <c r="AN1253" s="30" t="str">
        <f t="shared" si="19"/>
        <v>50105000000000</v>
      </c>
    </row>
    <row r="1254" spans="3:40" x14ac:dyDescent="0.25">
      <c r="C1254" s="40"/>
      <c r="D1254" s="101" t="s">
        <v>2001</v>
      </c>
      <c r="E1254" s="101" t="s">
        <v>2002</v>
      </c>
      <c r="F1254" s="102" t="s">
        <v>2750</v>
      </c>
      <c r="G1254" s="52"/>
      <c r="H1254" s="52"/>
      <c r="I1254" s="52" t="s">
        <v>2003</v>
      </c>
      <c r="J1254" s="52" t="s">
        <v>2003</v>
      </c>
      <c r="K1254" s="59" t="s">
        <v>79</v>
      </c>
      <c r="L1254" s="65"/>
      <c r="M1254" s="52"/>
      <c r="N1254" s="52"/>
      <c r="O1254" s="52"/>
      <c r="P1254" s="76" t="s">
        <v>2004</v>
      </c>
      <c r="Q1254" s="55">
        <f>VLOOKUP(E1254,'NI-Ric_SP'!$C:$AN,12,FALSE)</f>
        <v>0</v>
      </c>
      <c r="R1254" s="55">
        <f>VLOOKUP(E1254,'NI-Ric_SP'!$C:$AN,13,FALSE)</f>
        <v>0</v>
      </c>
      <c r="S1254" s="55"/>
      <c r="T1254" s="55"/>
      <c r="U1254" s="55">
        <f>VLOOKUP($E1254,'NI-Ric_SP'!$C:$AN,MID(U$1,1,2),FALSE)</f>
        <v>0</v>
      </c>
      <c r="V1254" s="55">
        <f>VLOOKUP($E1254,'NI-Ric_SP'!$C:$AN,MID(V$1,1,2),FALSE)</f>
        <v>0</v>
      </c>
      <c r="W1254" s="55">
        <f>VLOOKUP($E1254,'NI-Ric_SP'!$C:$AN,MID(W$1,1,2),FALSE)</f>
        <v>0</v>
      </c>
      <c r="X1254" s="55">
        <f>VLOOKUP($E1254,'NI-Ric_SP'!$C:$AN,MID(X$1,1,2),FALSE)</f>
        <v>0</v>
      </c>
      <c r="Y1254" s="55">
        <f>VLOOKUP($E1254,'NI-Ric_SP'!$C:$AN,MID(Y$1,1,2),FALSE)</f>
        <v>0</v>
      </c>
      <c r="Z1254" s="55">
        <f>VLOOKUP($E1254,'NI-Ric_SP'!$C:$AN,MID(Z$1,1,2),FALSE)</f>
        <v>0</v>
      </c>
      <c r="AA1254" s="55">
        <f>VLOOKUP($E1254,'NI-Ric_SP'!$C:$AN,MID(AA$1,1,2),FALSE)</f>
        <v>0</v>
      </c>
      <c r="AB1254" s="55">
        <f>VLOOKUP($E1254,'NI-Ric_SP'!$C:$AN,MID(AB$1,1,2),FALSE)</f>
        <v>0</v>
      </c>
      <c r="AC1254" s="55">
        <f>VLOOKUP($E1254,'NI-Ric_SP'!$C:$AN,MID(AC$1,1,2),FALSE)</f>
        <v>0</v>
      </c>
      <c r="AD1254" s="55">
        <f>VLOOKUP($E1254,'NI-Ric_SP'!$C:$AN,MID(AD$1,1,2),FALSE)</f>
        <v>0</v>
      </c>
      <c r="AE1254" s="55">
        <f>VLOOKUP($E1254,'NI-Ric_SP'!$C:$AN,MID(AE$1,1,2),FALSE)</f>
        <v>0</v>
      </c>
      <c r="AF1254" s="55">
        <f>VLOOKUP($E1254,'NI-Ric_SP'!$C:$AN,MID(AF$1,1,2),FALSE)</f>
        <v>0</v>
      </c>
      <c r="AG1254" s="55">
        <f>VLOOKUP($E1254,'NI-Ric_SP'!$C:$AN,MID(AG$1,1,2),FALSE)</f>
        <v>0</v>
      </c>
      <c r="AH1254" s="55">
        <f>VLOOKUP($E1254,'NI-Ric_SP'!$C:$AN,MID(AH$1,1,2),FALSE)</f>
        <v>0</v>
      </c>
      <c r="AI1254" s="55">
        <f>VLOOKUP($E1254,'NI-Ric_SP'!$C:$AN,MID(AI$1,1,2),FALSE)</f>
        <v>0</v>
      </c>
      <c r="AJ1254" s="55">
        <f>VLOOKUP($E1254,'NI-Ric_SP'!$C:$AN,MID(AJ$1,1,2),FALSE)</f>
        <v>0</v>
      </c>
      <c r="AK1254" s="55">
        <f>VLOOKUP($E1254,'NI-Ric_SP'!$C:$AN,MID(AK$1,1,2),FALSE)</f>
        <v>0</v>
      </c>
      <c r="AL1254" s="55">
        <f>VLOOKUP($E1254,'NI-Ric_SP'!$C:$AN,MID(AL$1,1,2),FALSE)</f>
        <v>0</v>
      </c>
      <c r="AM1254" s="56">
        <f>VLOOKUP($E1254,'NI-Ric_SP'!$C:$AN,MID(AM$1,1,2),FALSE)</f>
        <v>0</v>
      </c>
      <c r="AN1254" s="30" t="str">
        <f t="shared" si="19"/>
        <v>50105010000000</v>
      </c>
    </row>
    <row r="1255" spans="3:40" x14ac:dyDescent="0.25">
      <c r="C1255" s="40"/>
      <c r="D1255" s="101" t="s">
        <v>2005</v>
      </c>
      <c r="E1255" s="101" t="s">
        <v>2006</v>
      </c>
      <c r="F1255" s="102" t="s">
        <v>2750</v>
      </c>
      <c r="G1255" s="52"/>
      <c r="H1255" s="52"/>
      <c r="I1255" s="52" t="s">
        <v>2007</v>
      </c>
      <c r="J1255" s="52" t="s">
        <v>2007</v>
      </c>
      <c r="K1255" s="59" t="s">
        <v>79</v>
      </c>
      <c r="L1255" s="52"/>
      <c r="M1255" s="52"/>
      <c r="N1255" s="52"/>
      <c r="O1255" s="52"/>
      <c r="P1255" s="76" t="s">
        <v>2008</v>
      </c>
      <c r="Q1255" s="55">
        <f>VLOOKUP(E1255,'NI-Ric_SP'!$C:$AN,12,FALSE)</f>
        <v>0</v>
      </c>
      <c r="R1255" s="55">
        <f>VLOOKUP(E1255,'NI-Ric_SP'!$C:$AN,13,FALSE)</f>
        <v>0</v>
      </c>
      <c r="S1255" s="55"/>
      <c r="T1255" s="55"/>
      <c r="U1255" s="55">
        <f>VLOOKUP($E1255,'NI-Ric_SP'!$C:$AN,MID(U$1,1,2),FALSE)</f>
        <v>0</v>
      </c>
      <c r="V1255" s="55">
        <f>VLOOKUP($E1255,'NI-Ric_SP'!$C:$AN,MID(V$1,1,2),FALSE)</f>
        <v>0</v>
      </c>
      <c r="W1255" s="55">
        <f>VLOOKUP($E1255,'NI-Ric_SP'!$C:$AN,MID(W$1,1,2),FALSE)</f>
        <v>0</v>
      </c>
      <c r="X1255" s="55">
        <f>VLOOKUP($E1255,'NI-Ric_SP'!$C:$AN,MID(X$1,1,2),FALSE)</f>
        <v>0</v>
      </c>
      <c r="Y1255" s="55">
        <f>VLOOKUP($E1255,'NI-Ric_SP'!$C:$AN,MID(Y$1,1,2),FALSE)</f>
        <v>0</v>
      </c>
      <c r="Z1255" s="55">
        <f>VLOOKUP($E1255,'NI-Ric_SP'!$C:$AN,MID(Z$1,1,2),FALSE)</f>
        <v>0</v>
      </c>
      <c r="AA1255" s="55">
        <f>VLOOKUP($E1255,'NI-Ric_SP'!$C:$AN,MID(AA$1,1,2),FALSE)</f>
        <v>0</v>
      </c>
      <c r="AB1255" s="55">
        <f>VLOOKUP($E1255,'NI-Ric_SP'!$C:$AN,MID(AB$1,1,2),FALSE)</f>
        <v>0</v>
      </c>
      <c r="AC1255" s="55">
        <f>VLOOKUP($E1255,'NI-Ric_SP'!$C:$AN,MID(AC$1,1,2),FALSE)</f>
        <v>0</v>
      </c>
      <c r="AD1255" s="55">
        <f>VLOOKUP($E1255,'NI-Ric_SP'!$C:$AN,MID(AD$1,1,2),FALSE)</f>
        <v>0</v>
      </c>
      <c r="AE1255" s="55">
        <f>VLOOKUP($E1255,'NI-Ric_SP'!$C:$AN,MID(AE$1,1,2),FALSE)</f>
        <v>0</v>
      </c>
      <c r="AF1255" s="55">
        <f>VLOOKUP($E1255,'NI-Ric_SP'!$C:$AN,MID(AF$1,1,2),FALSE)</f>
        <v>0</v>
      </c>
      <c r="AG1255" s="55">
        <f>VLOOKUP($E1255,'NI-Ric_SP'!$C:$AN,MID(AG$1,1,2),FALSE)</f>
        <v>0</v>
      </c>
      <c r="AH1255" s="55">
        <f>VLOOKUP($E1255,'NI-Ric_SP'!$C:$AN,MID(AH$1,1,2),FALSE)</f>
        <v>0</v>
      </c>
      <c r="AI1255" s="55">
        <f>VLOOKUP($E1255,'NI-Ric_SP'!$C:$AN,MID(AI$1,1,2),FALSE)</f>
        <v>0</v>
      </c>
      <c r="AJ1255" s="55">
        <f>VLOOKUP($E1255,'NI-Ric_SP'!$C:$AN,MID(AJ$1,1,2),FALSE)</f>
        <v>0</v>
      </c>
      <c r="AK1255" s="55">
        <f>VLOOKUP($E1255,'NI-Ric_SP'!$C:$AN,MID(AK$1,1,2),FALSE)</f>
        <v>0</v>
      </c>
      <c r="AL1255" s="55">
        <f>VLOOKUP($E1255,'NI-Ric_SP'!$C:$AN,MID(AL$1,1,2),FALSE)</f>
        <v>0</v>
      </c>
      <c r="AM1255" s="56">
        <f>VLOOKUP($E1255,'NI-Ric_SP'!$C:$AN,MID(AM$1,1,2),FALSE)</f>
        <v>0</v>
      </c>
      <c r="AN1255" s="30" t="str">
        <f t="shared" si="19"/>
        <v>50105020000000</v>
      </c>
    </row>
    <row r="1256" spans="3:40" x14ac:dyDescent="0.25">
      <c r="C1256" s="40"/>
      <c r="D1256" s="101" t="s">
        <v>2009</v>
      </c>
      <c r="E1256" s="101" t="s">
        <v>2010</v>
      </c>
      <c r="F1256" s="102" t="s">
        <v>2750</v>
      </c>
      <c r="G1256" s="52"/>
      <c r="H1256" s="52"/>
      <c r="I1256" s="52" t="s">
        <v>2011</v>
      </c>
      <c r="J1256" s="52" t="s">
        <v>2011</v>
      </c>
      <c r="K1256" s="59" t="s">
        <v>79</v>
      </c>
      <c r="L1256" s="52"/>
      <c r="M1256" s="52"/>
      <c r="N1256" s="52"/>
      <c r="O1256" s="52"/>
      <c r="P1256" s="76" t="s">
        <v>2012</v>
      </c>
      <c r="Q1256" s="55">
        <f>VLOOKUP(E1256,'NI-Ric_SP'!$C:$AN,12,FALSE)</f>
        <v>0</v>
      </c>
      <c r="R1256" s="55">
        <f>VLOOKUP(E1256,'NI-Ric_SP'!$C:$AN,13,FALSE)</f>
        <v>0</v>
      </c>
      <c r="S1256" s="55"/>
      <c r="T1256" s="55"/>
      <c r="U1256" s="55">
        <f>VLOOKUP($E1256,'NI-Ric_SP'!$C:$AN,MID(U$1,1,2),FALSE)</f>
        <v>0</v>
      </c>
      <c r="V1256" s="55">
        <f>VLOOKUP($E1256,'NI-Ric_SP'!$C:$AN,MID(V$1,1,2),FALSE)</f>
        <v>0</v>
      </c>
      <c r="W1256" s="55">
        <f>VLOOKUP($E1256,'NI-Ric_SP'!$C:$AN,MID(W$1,1,2),FALSE)</f>
        <v>0</v>
      </c>
      <c r="X1256" s="55">
        <f>VLOOKUP($E1256,'NI-Ric_SP'!$C:$AN,MID(X$1,1,2),FALSE)</f>
        <v>0</v>
      </c>
      <c r="Y1256" s="55">
        <f>VLOOKUP($E1256,'NI-Ric_SP'!$C:$AN,MID(Y$1,1,2),FALSE)</f>
        <v>0</v>
      </c>
      <c r="Z1256" s="55">
        <f>VLOOKUP($E1256,'NI-Ric_SP'!$C:$AN,MID(Z$1,1,2),FALSE)</f>
        <v>0</v>
      </c>
      <c r="AA1256" s="55">
        <f>VLOOKUP($E1256,'NI-Ric_SP'!$C:$AN,MID(AA$1,1,2),FALSE)</f>
        <v>0</v>
      </c>
      <c r="AB1256" s="55">
        <f>VLOOKUP($E1256,'NI-Ric_SP'!$C:$AN,MID(AB$1,1,2),FALSE)</f>
        <v>0</v>
      </c>
      <c r="AC1256" s="55">
        <f>VLOOKUP($E1256,'NI-Ric_SP'!$C:$AN,MID(AC$1,1,2),FALSE)</f>
        <v>0</v>
      </c>
      <c r="AD1256" s="55">
        <f>VLOOKUP($E1256,'NI-Ric_SP'!$C:$AN,MID(AD$1,1,2),FALSE)</f>
        <v>0</v>
      </c>
      <c r="AE1256" s="55">
        <f>VLOOKUP($E1256,'NI-Ric_SP'!$C:$AN,MID(AE$1,1,2),FALSE)</f>
        <v>0</v>
      </c>
      <c r="AF1256" s="55">
        <f>VLOOKUP($E1256,'NI-Ric_SP'!$C:$AN,MID(AF$1,1,2),FALSE)</f>
        <v>0</v>
      </c>
      <c r="AG1256" s="55">
        <f>VLOOKUP($E1256,'NI-Ric_SP'!$C:$AN,MID(AG$1,1,2),FALSE)</f>
        <v>0</v>
      </c>
      <c r="AH1256" s="55">
        <f>VLOOKUP($E1256,'NI-Ric_SP'!$C:$AN,MID(AH$1,1,2),FALSE)</f>
        <v>0</v>
      </c>
      <c r="AI1256" s="55">
        <f>VLOOKUP($E1256,'NI-Ric_SP'!$C:$AN,MID(AI$1,1,2),FALSE)</f>
        <v>0</v>
      </c>
      <c r="AJ1256" s="55">
        <f>VLOOKUP($E1256,'NI-Ric_SP'!$C:$AN,MID(AJ$1,1,2),FALSE)</f>
        <v>0</v>
      </c>
      <c r="AK1256" s="55">
        <f>VLOOKUP($E1256,'NI-Ric_SP'!$C:$AN,MID(AK$1,1,2),FALSE)</f>
        <v>0</v>
      </c>
      <c r="AL1256" s="55">
        <f>VLOOKUP($E1256,'NI-Ric_SP'!$C:$AN,MID(AL$1,1,2),FALSE)</f>
        <v>0</v>
      </c>
      <c r="AM1256" s="56">
        <f>VLOOKUP($E1256,'NI-Ric_SP'!$C:$AN,MID(AM$1,1,2),FALSE)</f>
        <v>0</v>
      </c>
      <c r="AN1256" s="30" t="str">
        <f t="shared" si="19"/>
        <v>50105030000000</v>
      </c>
    </row>
    <row r="1257" spans="3:40" x14ac:dyDescent="0.25">
      <c r="C1257" s="40"/>
      <c r="D1257" s="101" t="s">
        <v>2013</v>
      </c>
      <c r="E1257" s="101" t="s">
        <v>2014</v>
      </c>
      <c r="F1257" s="102" t="s">
        <v>2750</v>
      </c>
      <c r="G1257" s="52"/>
      <c r="H1257" s="52"/>
      <c r="I1257" s="52" t="s">
        <v>2015</v>
      </c>
      <c r="J1257" s="52" t="s">
        <v>2015</v>
      </c>
      <c r="K1257" s="59" t="s">
        <v>79</v>
      </c>
      <c r="L1257" s="62" t="s">
        <v>2016</v>
      </c>
      <c r="M1257" s="52"/>
      <c r="N1257" s="52"/>
      <c r="O1257" s="61" t="s">
        <v>2017</v>
      </c>
      <c r="P1257" s="63" t="s">
        <v>2018</v>
      </c>
      <c r="Q1257" s="55">
        <f>VLOOKUP(E1257,'NI-Ric_SP'!$C:$AN,12,FALSE)</f>
        <v>0</v>
      </c>
      <c r="R1257" s="55">
        <f>VLOOKUP(E1257,'NI-Ric_SP'!$C:$AN,13,FALSE)</f>
        <v>0</v>
      </c>
      <c r="S1257" s="55"/>
      <c r="T1257" s="55"/>
      <c r="U1257" s="55">
        <f>VLOOKUP($E1257,'NI-Ric_SP'!$C:$AN,MID(U$1,1,2),FALSE)</f>
        <v>0</v>
      </c>
      <c r="V1257" s="55">
        <f>VLOOKUP($E1257,'NI-Ric_SP'!$C:$AN,MID(V$1,1,2),FALSE)</f>
        <v>0</v>
      </c>
      <c r="W1257" s="55">
        <f>VLOOKUP($E1257,'NI-Ric_SP'!$C:$AN,MID(W$1,1,2),FALSE)</f>
        <v>0</v>
      </c>
      <c r="X1257" s="55">
        <f>VLOOKUP($E1257,'NI-Ric_SP'!$C:$AN,MID(X$1,1,2),FALSE)</f>
        <v>0</v>
      </c>
      <c r="Y1257" s="55">
        <f>VLOOKUP($E1257,'NI-Ric_SP'!$C:$AN,MID(Y$1,1,2),FALSE)</f>
        <v>0</v>
      </c>
      <c r="Z1257" s="55">
        <f>VLOOKUP($E1257,'NI-Ric_SP'!$C:$AN,MID(Z$1,1,2),FALSE)</f>
        <v>0</v>
      </c>
      <c r="AA1257" s="55">
        <f>VLOOKUP($E1257,'NI-Ric_SP'!$C:$AN,MID(AA$1,1,2),FALSE)</f>
        <v>0</v>
      </c>
      <c r="AB1257" s="55">
        <f>VLOOKUP($E1257,'NI-Ric_SP'!$C:$AN,MID(AB$1,1,2),FALSE)</f>
        <v>0</v>
      </c>
      <c r="AC1257" s="55">
        <f>VLOOKUP($E1257,'NI-Ric_SP'!$C:$AN,MID(AC$1,1,2),FALSE)</f>
        <v>0</v>
      </c>
      <c r="AD1257" s="55">
        <f>VLOOKUP($E1257,'NI-Ric_SP'!$C:$AN,MID(AD$1,1,2),FALSE)</f>
        <v>0</v>
      </c>
      <c r="AE1257" s="55">
        <f>VLOOKUP($E1257,'NI-Ric_SP'!$C:$AN,MID(AE$1,1,2),FALSE)</f>
        <v>0</v>
      </c>
      <c r="AF1257" s="55">
        <f>VLOOKUP($E1257,'NI-Ric_SP'!$C:$AN,MID(AF$1,1,2),FALSE)</f>
        <v>0</v>
      </c>
      <c r="AG1257" s="55">
        <f>VLOOKUP($E1257,'NI-Ric_SP'!$C:$AN,MID(AG$1,1,2),FALSE)</f>
        <v>0</v>
      </c>
      <c r="AH1257" s="55">
        <f>VLOOKUP($E1257,'NI-Ric_SP'!$C:$AN,MID(AH$1,1,2),FALSE)</f>
        <v>0</v>
      </c>
      <c r="AI1257" s="55">
        <f>VLOOKUP($E1257,'NI-Ric_SP'!$C:$AN,MID(AI$1,1,2),FALSE)</f>
        <v>0</v>
      </c>
      <c r="AJ1257" s="55">
        <f>VLOOKUP($E1257,'NI-Ric_SP'!$C:$AN,MID(AJ$1,1,2),FALSE)</f>
        <v>0</v>
      </c>
      <c r="AK1257" s="55">
        <f>VLOOKUP($E1257,'NI-Ric_SP'!$C:$AN,MID(AK$1,1,2),FALSE)</f>
        <v>0</v>
      </c>
      <c r="AL1257" s="55">
        <f>VLOOKUP($E1257,'NI-Ric_SP'!$C:$AN,MID(AL$1,1,2),FALSE)</f>
        <v>0</v>
      </c>
      <c r="AM1257" s="56">
        <f>VLOOKUP($E1257,'NI-Ric_SP'!$C:$AN,MID(AM$1,1,2),FALSE)</f>
        <v>0</v>
      </c>
      <c r="AN1257" s="30" t="str">
        <f t="shared" si="19"/>
        <v>50106000000000</v>
      </c>
    </row>
    <row r="1258" spans="3:40" x14ac:dyDescent="0.25">
      <c r="C1258" s="40"/>
      <c r="D1258" s="101" t="s">
        <v>2019</v>
      </c>
      <c r="E1258" s="101" t="s">
        <v>2020</v>
      </c>
      <c r="F1258" s="102" t="s">
        <v>2750</v>
      </c>
      <c r="G1258" s="52"/>
      <c r="H1258" s="52"/>
      <c r="I1258" s="52" t="s">
        <v>2021</v>
      </c>
      <c r="J1258" s="52" t="s">
        <v>2021</v>
      </c>
      <c r="K1258" s="59" t="s">
        <v>79</v>
      </c>
      <c r="L1258" s="62" t="s">
        <v>2022</v>
      </c>
      <c r="M1258" s="52"/>
      <c r="N1258" s="52"/>
      <c r="O1258" s="61" t="s">
        <v>2023</v>
      </c>
      <c r="P1258" s="63" t="s">
        <v>2024</v>
      </c>
      <c r="Q1258" s="55">
        <f>VLOOKUP(E1258,'NI-Ric_SP'!$C:$AN,12,FALSE)</f>
        <v>0</v>
      </c>
      <c r="R1258" s="55">
        <f>VLOOKUP(E1258,'NI-Ric_SP'!$C:$AN,13,FALSE)</f>
        <v>0</v>
      </c>
      <c r="S1258" s="55"/>
      <c r="T1258" s="55"/>
      <c r="U1258" s="55">
        <f>VLOOKUP($E1258,'NI-Ric_SP'!$C:$AN,MID(U$1,1,2),FALSE)</f>
        <v>0</v>
      </c>
      <c r="V1258" s="55">
        <f>VLOOKUP($E1258,'NI-Ric_SP'!$C:$AN,MID(V$1,1,2),FALSE)</f>
        <v>0</v>
      </c>
      <c r="W1258" s="55">
        <f>VLOOKUP($E1258,'NI-Ric_SP'!$C:$AN,MID(W$1,1,2),FALSE)</f>
        <v>0</v>
      </c>
      <c r="X1258" s="55">
        <f>VLOOKUP($E1258,'NI-Ric_SP'!$C:$AN,MID(X$1,1,2),FALSE)</f>
        <v>0</v>
      </c>
      <c r="Y1258" s="55">
        <f>VLOOKUP($E1258,'NI-Ric_SP'!$C:$AN,MID(Y$1,1,2),FALSE)</f>
        <v>0</v>
      </c>
      <c r="Z1258" s="55">
        <f>VLOOKUP($E1258,'NI-Ric_SP'!$C:$AN,MID(Z$1,1,2),FALSE)</f>
        <v>0</v>
      </c>
      <c r="AA1258" s="55">
        <f>VLOOKUP($E1258,'NI-Ric_SP'!$C:$AN,MID(AA$1,1,2),FALSE)</f>
        <v>0</v>
      </c>
      <c r="AB1258" s="55">
        <f>VLOOKUP($E1258,'NI-Ric_SP'!$C:$AN,MID(AB$1,1,2),FALSE)</f>
        <v>0</v>
      </c>
      <c r="AC1258" s="55">
        <f>VLOOKUP($E1258,'NI-Ric_SP'!$C:$AN,MID(AC$1,1,2),FALSE)</f>
        <v>0</v>
      </c>
      <c r="AD1258" s="55">
        <f>VLOOKUP($E1258,'NI-Ric_SP'!$C:$AN,MID(AD$1,1,2),FALSE)</f>
        <v>0</v>
      </c>
      <c r="AE1258" s="55">
        <f>VLOOKUP($E1258,'NI-Ric_SP'!$C:$AN,MID(AE$1,1,2),FALSE)</f>
        <v>0</v>
      </c>
      <c r="AF1258" s="55">
        <f>VLOOKUP($E1258,'NI-Ric_SP'!$C:$AN,MID(AF$1,1,2),FALSE)</f>
        <v>0</v>
      </c>
      <c r="AG1258" s="55">
        <f>VLOOKUP($E1258,'NI-Ric_SP'!$C:$AN,MID(AG$1,1,2),FALSE)</f>
        <v>0</v>
      </c>
      <c r="AH1258" s="55">
        <f>VLOOKUP($E1258,'NI-Ric_SP'!$C:$AN,MID(AH$1,1,2),FALSE)</f>
        <v>0</v>
      </c>
      <c r="AI1258" s="55">
        <f>VLOOKUP($E1258,'NI-Ric_SP'!$C:$AN,MID(AI$1,1,2),FALSE)</f>
        <v>0</v>
      </c>
      <c r="AJ1258" s="55">
        <f>VLOOKUP($E1258,'NI-Ric_SP'!$C:$AN,MID(AJ$1,1,2),FALSE)</f>
        <v>0</v>
      </c>
      <c r="AK1258" s="55">
        <f>VLOOKUP($E1258,'NI-Ric_SP'!$C:$AN,MID(AK$1,1,2),FALSE)</f>
        <v>0</v>
      </c>
      <c r="AL1258" s="55">
        <f>VLOOKUP($E1258,'NI-Ric_SP'!$C:$AN,MID(AL$1,1,2),FALSE)</f>
        <v>0</v>
      </c>
      <c r="AM1258" s="56">
        <f>VLOOKUP($E1258,'NI-Ric_SP'!$C:$AN,MID(AM$1,1,2),FALSE)</f>
        <v>0</v>
      </c>
      <c r="AN1258" s="30" t="str">
        <f t="shared" si="19"/>
        <v>50107000000000</v>
      </c>
    </row>
    <row r="1259" spans="3:40" x14ac:dyDescent="0.25">
      <c r="C1259" s="40"/>
      <c r="D1259" s="101" t="s">
        <v>2025</v>
      </c>
      <c r="E1259" s="101" t="s">
        <v>2026</v>
      </c>
      <c r="F1259" s="102" t="s">
        <v>2750</v>
      </c>
      <c r="G1259" s="51"/>
      <c r="H1259" s="52"/>
      <c r="I1259" s="52"/>
      <c r="J1259" s="52"/>
      <c r="K1259" s="53" t="s">
        <v>111</v>
      </c>
      <c r="L1259" s="52"/>
      <c r="M1259" s="52"/>
      <c r="N1259" s="52"/>
      <c r="O1259" s="52"/>
      <c r="P1259" s="54" t="s">
        <v>2027</v>
      </c>
      <c r="Q1259" s="55">
        <f>VLOOKUP(E1259,'NI-Ric_SP'!$C:$AN,12,FALSE)</f>
        <v>0</v>
      </c>
      <c r="R1259" s="55">
        <f>VLOOKUP(E1259,'NI-Ric_SP'!$C:$AN,13,FALSE)</f>
        <v>0</v>
      </c>
      <c r="S1259" s="55"/>
      <c r="T1259" s="55"/>
      <c r="U1259" s="55">
        <f>VLOOKUP($E1259,'NI-Ric_SP'!$C:$AN,MID(U$1,1,2),FALSE)</f>
        <v>0</v>
      </c>
      <c r="V1259" s="55">
        <f>VLOOKUP($E1259,'NI-Ric_SP'!$C:$AN,MID(V$1,1,2),FALSE)</f>
        <v>0</v>
      </c>
      <c r="W1259" s="55">
        <f>VLOOKUP($E1259,'NI-Ric_SP'!$C:$AN,MID(W$1,1,2),FALSE)</f>
        <v>0</v>
      </c>
      <c r="X1259" s="55">
        <f>VLOOKUP($E1259,'NI-Ric_SP'!$C:$AN,MID(X$1,1,2),FALSE)</f>
        <v>0</v>
      </c>
      <c r="Y1259" s="55">
        <f>VLOOKUP($E1259,'NI-Ric_SP'!$C:$AN,MID(Y$1,1,2),FALSE)</f>
        <v>0</v>
      </c>
      <c r="Z1259" s="55">
        <f>VLOOKUP($E1259,'NI-Ric_SP'!$C:$AN,MID(Z$1,1,2),FALSE)</f>
        <v>0</v>
      </c>
      <c r="AA1259" s="55">
        <f>VLOOKUP($E1259,'NI-Ric_SP'!$C:$AN,MID(AA$1,1,2),FALSE)</f>
        <v>0</v>
      </c>
      <c r="AB1259" s="55">
        <f>VLOOKUP($E1259,'NI-Ric_SP'!$C:$AN,MID(AB$1,1,2),FALSE)</f>
        <v>0</v>
      </c>
      <c r="AC1259" s="55">
        <f>VLOOKUP($E1259,'NI-Ric_SP'!$C:$AN,MID(AC$1,1,2),FALSE)</f>
        <v>0</v>
      </c>
      <c r="AD1259" s="55">
        <f>VLOOKUP($E1259,'NI-Ric_SP'!$C:$AN,MID(AD$1,1,2),FALSE)</f>
        <v>0</v>
      </c>
      <c r="AE1259" s="55">
        <f>VLOOKUP($E1259,'NI-Ric_SP'!$C:$AN,MID(AE$1,1,2),FALSE)</f>
        <v>0</v>
      </c>
      <c r="AF1259" s="55">
        <f>VLOOKUP($E1259,'NI-Ric_SP'!$C:$AN,MID(AF$1,1,2),FALSE)</f>
        <v>0</v>
      </c>
      <c r="AG1259" s="55">
        <f>VLOOKUP($E1259,'NI-Ric_SP'!$C:$AN,MID(AG$1,1,2),FALSE)</f>
        <v>0</v>
      </c>
      <c r="AH1259" s="55">
        <f>VLOOKUP($E1259,'NI-Ric_SP'!$C:$AN,MID(AH$1,1,2),FALSE)</f>
        <v>0</v>
      </c>
      <c r="AI1259" s="55">
        <f>VLOOKUP($E1259,'NI-Ric_SP'!$C:$AN,MID(AI$1,1,2),FALSE)</f>
        <v>0</v>
      </c>
      <c r="AJ1259" s="55">
        <f>VLOOKUP($E1259,'NI-Ric_SP'!$C:$AN,MID(AJ$1,1,2),FALSE)</f>
        <v>0</v>
      </c>
      <c r="AK1259" s="55">
        <f>VLOOKUP($E1259,'NI-Ric_SP'!$C:$AN,MID(AK$1,1,2),FALSE)</f>
        <v>0</v>
      </c>
      <c r="AL1259" s="55">
        <f>VLOOKUP($E1259,'NI-Ric_SP'!$C:$AN,MID(AL$1,1,2),FALSE)</f>
        <v>0</v>
      </c>
      <c r="AM1259" s="56">
        <f>VLOOKUP($E1259,'NI-Ric_SP'!$C:$AN,MID(AM$1,1,2),FALSE)</f>
        <v>0</v>
      </c>
      <c r="AN1259" s="30" t="str">
        <f t="shared" si="19"/>
        <v>60000000000000</v>
      </c>
    </row>
    <row r="1260" spans="3:40" x14ac:dyDescent="0.25">
      <c r="C1260" s="40"/>
      <c r="D1260" s="101" t="s">
        <v>2028</v>
      </c>
      <c r="E1260" s="101" t="s">
        <v>2029</v>
      </c>
      <c r="F1260" s="102" t="s">
        <v>2750</v>
      </c>
      <c r="G1260" s="52"/>
      <c r="H1260" s="52"/>
      <c r="I1260" s="52" t="s">
        <v>2030</v>
      </c>
      <c r="J1260" s="52" t="s">
        <v>2030</v>
      </c>
      <c r="K1260" s="59" t="s">
        <v>111</v>
      </c>
      <c r="L1260" s="62" t="s">
        <v>2031</v>
      </c>
      <c r="M1260" s="52"/>
      <c r="N1260" s="52"/>
      <c r="O1260" s="61" t="s">
        <v>2032</v>
      </c>
      <c r="P1260" s="60" t="s">
        <v>2033</v>
      </c>
      <c r="Q1260" s="55">
        <f>VLOOKUP(E1260,'NI-Ric_SP'!$C:$AN,12,FALSE)</f>
        <v>0</v>
      </c>
      <c r="R1260" s="55">
        <f>VLOOKUP(E1260,'NI-Ric_SP'!$C:$AN,13,FALSE)</f>
        <v>0</v>
      </c>
      <c r="S1260" s="55"/>
      <c r="T1260" s="55"/>
      <c r="U1260" s="55">
        <f>VLOOKUP($E1260,'NI-Ric_SP'!$C:$AN,MID(U$1,1,2),FALSE)</f>
        <v>0</v>
      </c>
      <c r="V1260" s="55">
        <f>VLOOKUP($E1260,'NI-Ric_SP'!$C:$AN,MID(V$1,1,2),FALSE)</f>
        <v>0</v>
      </c>
      <c r="W1260" s="55">
        <f>VLOOKUP($E1260,'NI-Ric_SP'!$C:$AN,MID(W$1,1,2),FALSE)</f>
        <v>0</v>
      </c>
      <c r="X1260" s="55">
        <f>VLOOKUP($E1260,'NI-Ric_SP'!$C:$AN,MID(X$1,1,2),FALSE)</f>
        <v>0</v>
      </c>
      <c r="Y1260" s="55">
        <f>VLOOKUP($E1260,'NI-Ric_SP'!$C:$AN,MID(Y$1,1,2),FALSE)</f>
        <v>0</v>
      </c>
      <c r="Z1260" s="55">
        <f>VLOOKUP($E1260,'NI-Ric_SP'!$C:$AN,MID(Z$1,1,2),FALSE)</f>
        <v>0</v>
      </c>
      <c r="AA1260" s="55">
        <f>VLOOKUP($E1260,'NI-Ric_SP'!$C:$AN,MID(AA$1,1,2),FALSE)</f>
        <v>0</v>
      </c>
      <c r="AB1260" s="55">
        <f>VLOOKUP($E1260,'NI-Ric_SP'!$C:$AN,MID(AB$1,1,2),FALSE)</f>
        <v>0</v>
      </c>
      <c r="AC1260" s="55">
        <f>VLOOKUP($E1260,'NI-Ric_SP'!$C:$AN,MID(AC$1,1,2),FALSE)</f>
        <v>0</v>
      </c>
      <c r="AD1260" s="55">
        <f>VLOOKUP($E1260,'NI-Ric_SP'!$C:$AN,MID(AD$1,1,2),FALSE)</f>
        <v>0</v>
      </c>
      <c r="AE1260" s="55">
        <f>VLOOKUP($E1260,'NI-Ric_SP'!$C:$AN,MID(AE$1,1,2),FALSE)</f>
        <v>0</v>
      </c>
      <c r="AF1260" s="55">
        <f>VLOOKUP($E1260,'NI-Ric_SP'!$C:$AN,MID(AF$1,1,2),FALSE)</f>
        <v>0</v>
      </c>
      <c r="AG1260" s="55">
        <f>VLOOKUP($E1260,'NI-Ric_SP'!$C:$AN,MID(AG$1,1,2),FALSE)</f>
        <v>0</v>
      </c>
      <c r="AH1260" s="55">
        <f>VLOOKUP($E1260,'NI-Ric_SP'!$C:$AN,MID(AH$1,1,2),FALSE)</f>
        <v>0</v>
      </c>
      <c r="AI1260" s="55">
        <f>VLOOKUP($E1260,'NI-Ric_SP'!$C:$AN,MID(AI$1,1,2),FALSE)</f>
        <v>0</v>
      </c>
      <c r="AJ1260" s="55">
        <f>VLOOKUP($E1260,'NI-Ric_SP'!$C:$AN,MID(AJ$1,1,2),FALSE)</f>
        <v>0</v>
      </c>
      <c r="AK1260" s="55">
        <f>VLOOKUP($E1260,'NI-Ric_SP'!$C:$AN,MID(AK$1,1,2),FALSE)</f>
        <v>0</v>
      </c>
      <c r="AL1260" s="55">
        <f>VLOOKUP($E1260,'NI-Ric_SP'!$C:$AN,MID(AL$1,1,2),FALSE)</f>
        <v>0</v>
      </c>
      <c r="AM1260" s="56">
        <f>VLOOKUP($E1260,'NI-Ric_SP'!$C:$AN,MID(AM$1,1,2),FALSE)</f>
        <v>0</v>
      </c>
      <c r="AN1260" s="30" t="str">
        <f t="shared" si="19"/>
        <v>60100000000000</v>
      </c>
    </row>
    <row r="1261" spans="3:40" x14ac:dyDescent="0.25">
      <c r="C1261" s="40"/>
      <c r="D1261" s="101" t="s">
        <v>2034</v>
      </c>
      <c r="E1261" s="101" t="s">
        <v>2035</v>
      </c>
      <c r="F1261" s="102" t="s">
        <v>2750</v>
      </c>
      <c r="G1261" s="52"/>
      <c r="H1261" s="52"/>
      <c r="I1261" s="52"/>
      <c r="J1261" s="52"/>
      <c r="K1261" s="59" t="s">
        <v>79</v>
      </c>
      <c r="L1261" s="52"/>
      <c r="M1261" s="52"/>
      <c r="N1261" s="52"/>
      <c r="O1261" s="52"/>
      <c r="P1261" s="63" t="s">
        <v>2036</v>
      </c>
      <c r="Q1261" s="55">
        <f>VLOOKUP(E1261,'NI-Ric_SP'!$C:$AN,12,FALSE)</f>
        <v>0</v>
      </c>
      <c r="R1261" s="55">
        <f>VLOOKUP(E1261,'NI-Ric_SP'!$C:$AN,13,FALSE)</f>
        <v>0</v>
      </c>
      <c r="S1261" s="55"/>
      <c r="T1261" s="55"/>
      <c r="U1261" s="55">
        <f>VLOOKUP($E1261,'NI-Ric_SP'!$C:$AN,MID(U$1,1,2),FALSE)</f>
        <v>0</v>
      </c>
      <c r="V1261" s="55">
        <f>VLOOKUP($E1261,'NI-Ric_SP'!$C:$AN,MID(V$1,1,2),FALSE)</f>
        <v>0</v>
      </c>
      <c r="W1261" s="55">
        <f>VLOOKUP($E1261,'NI-Ric_SP'!$C:$AN,MID(W$1,1,2),FALSE)</f>
        <v>0</v>
      </c>
      <c r="X1261" s="55">
        <f>VLOOKUP($E1261,'NI-Ric_SP'!$C:$AN,MID(X$1,1,2),FALSE)</f>
        <v>0</v>
      </c>
      <c r="Y1261" s="55">
        <f>VLOOKUP($E1261,'NI-Ric_SP'!$C:$AN,MID(Y$1,1,2),FALSE)</f>
        <v>0</v>
      </c>
      <c r="Z1261" s="55">
        <f>VLOOKUP($E1261,'NI-Ric_SP'!$C:$AN,MID(Z$1,1,2),FALSE)</f>
        <v>0</v>
      </c>
      <c r="AA1261" s="55">
        <f>VLOOKUP($E1261,'NI-Ric_SP'!$C:$AN,MID(AA$1,1,2),FALSE)</f>
        <v>0</v>
      </c>
      <c r="AB1261" s="55">
        <f>VLOOKUP($E1261,'NI-Ric_SP'!$C:$AN,MID(AB$1,1,2),FALSE)</f>
        <v>0</v>
      </c>
      <c r="AC1261" s="55">
        <f>VLOOKUP($E1261,'NI-Ric_SP'!$C:$AN,MID(AC$1,1,2),FALSE)</f>
        <v>0</v>
      </c>
      <c r="AD1261" s="55">
        <f>VLOOKUP($E1261,'NI-Ric_SP'!$C:$AN,MID(AD$1,1,2),FALSE)</f>
        <v>0</v>
      </c>
      <c r="AE1261" s="55">
        <f>VLOOKUP($E1261,'NI-Ric_SP'!$C:$AN,MID(AE$1,1,2),FALSE)</f>
        <v>0</v>
      </c>
      <c r="AF1261" s="55">
        <f>VLOOKUP($E1261,'NI-Ric_SP'!$C:$AN,MID(AF$1,1,2),FALSE)</f>
        <v>0</v>
      </c>
      <c r="AG1261" s="55">
        <f>VLOOKUP($E1261,'NI-Ric_SP'!$C:$AN,MID(AG$1,1,2),FALSE)</f>
        <v>0</v>
      </c>
      <c r="AH1261" s="55">
        <f>VLOOKUP($E1261,'NI-Ric_SP'!$C:$AN,MID(AH$1,1,2),FALSE)</f>
        <v>0</v>
      </c>
      <c r="AI1261" s="55">
        <f>VLOOKUP($E1261,'NI-Ric_SP'!$C:$AN,MID(AI$1,1,2),FALSE)</f>
        <v>0</v>
      </c>
      <c r="AJ1261" s="55">
        <f>VLOOKUP($E1261,'NI-Ric_SP'!$C:$AN,MID(AJ$1,1,2),FALSE)</f>
        <v>0</v>
      </c>
      <c r="AK1261" s="55">
        <f>VLOOKUP($E1261,'NI-Ric_SP'!$C:$AN,MID(AK$1,1,2),FALSE)</f>
        <v>0</v>
      </c>
      <c r="AL1261" s="55">
        <f>VLOOKUP($E1261,'NI-Ric_SP'!$C:$AN,MID(AL$1,1,2),FALSE)</f>
        <v>0</v>
      </c>
      <c r="AM1261" s="56">
        <f>VLOOKUP($E1261,'NI-Ric_SP'!$C:$AN,MID(AM$1,1,2),FALSE)</f>
        <v>0</v>
      </c>
      <c r="AN1261" s="30" t="str">
        <f t="shared" si="19"/>
        <v>60101000000000</v>
      </c>
    </row>
    <row r="1262" spans="3:40" x14ac:dyDescent="0.25">
      <c r="C1262" s="40"/>
      <c r="D1262" s="101" t="s">
        <v>2037</v>
      </c>
      <c r="E1262" s="101" t="s">
        <v>2038</v>
      </c>
      <c r="F1262" s="102" t="s">
        <v>2750</v>
      </c>
      <c r="G1262" s="52"/>
      <c r="H1262" s="52"/>
      <c r="I1262" s="52"/>
      <c r="J1262" s="52"/>
      <c r="K1262" s="59" t="s">
        <v>79</v>
      </c>
      <c r="L1262" s="52"/>
      <c r="M1262" s="52"/>
      <c r="N1262" s="52"/>
      <c r="O1262" s="52"/>
      <c r="P1262" s="63" t="s">
        <v>2039</v>
      </c>
      <c r="Q1262" s="55">
        <f>VLOOKUP(E1262,'NI-Ric_SP'!$C:$AN,12,FALSE)</f>
        <v>0</v>
      </c>
      <c r="R1262" s="55">
        <f>VLOOKUP(E1262,'NI-Ric_SP'!$C:$AN,13,FALSE)</f>
        <v>0</v>
      </c>
      <c r="S1262" s="55"/>
      <c r="T1262" s="55"/>
      <c r="U1262" s="55">
        <f>VLOOKUP($E1262,'NI-Ric_SP'!$C:$AN,MID(U$1,1,2),FALSE)</f>
        <v>0</v>
      </c>
      <c r="V1262" s="55">
        <f>VLOOKUP($E1262,'NI-Ric_SP'!$C:$AN,MID(V$1,1,2),FALSE)</f>
        <v>0</v>
      </c>
      <c r="W1262" s="55">
        <f>VLOOKUP($E1262,'NI-Ric_SP'!$C:$AN,MID(W$1,1,2),FALSE)</f>
        <v>0</v>
      </c>
      <c r="X1262" s="55">
        <f>VLOOKUP($E1262,'NI-Ric_SP'!$C:$AN,MID(X$1,1,2),FALSE)</f>
        <v>0</v>
      </c>
      <c r="Y1262" s="55">
        <f>VLOOKUP($E1262,'NI-Ric_SP'!$C:$AN,MID(Y$1,1,2),FALSE)</f>
        <v>0</v>
      </c>
      <c r="Z1262" s="55">
        <f>VLOOKUP($E1262,'NI-Ric_SP'!$C:$AN,MID(Z$1,1,2),FALSE)</f>
        <v>0</v>
      </c>
      <c r="AA1262" s="55">
        <f>VLOOKUP($E1262,'NI-Ric_SP'!$C:$AN,MID(AA$1,1,2),FALSE)</f>
        <v>0</v>
      </c>
      <c r="AB1262" s="55">
        <f>VLOOKUP($E1262,'NI-Ric_SP'!$C:$AN,MID(AB$1,1,2),FALSE)</f>
        <v>0</v>
      </c>
      <c r="AC1262" s="55">
        <f>VLOOKUP($E1262,'NI-Ric_SP'!$C:$AN,MID(AC$1,1,2),FALSE)</f>
        <v>0</v>
      </c>
      <c r="AD1262" s="55">
        <f>VLOOKUP($E1262,'NI-Ric_SP'!$C:$AN,MID(AD$1,1,2),FALSE)</f>
        <v>0</v>
      </c>
      <c r="AE1262" s="55">
        <f>VLOOKUP($E1262,'NI-Ric_SP'!$C:$AN,MID(AE$1,1,2),FALSE)</f>
        <v>0</v>
      </c>
      <c r="AF1262" s="55">
        <f>VLOOKUP($E1262,'NI-Ric_SP'!$C:$AN,MID(AF$1,1,2),FALSE)</f>
        <v>0</v>
      </c>
      <c r="AG1262" s="55">
        <f>VLOOKUP($E1262,'NI-Ric_SP'!$C:$AN,MID(AG$1,1,2),FALSE)</f>
        <v>0</v>
      </c>
      <c r="AH1262" s="55">
        <f>VLOOKUP($E1262,'NI-Ric_SP'!$C:$AN,MID(AH$1,1,2),FALSE)</f>
        <v>0</v>
      </c>
      <c r="AI1262" s="55">
        <f>VLOOKUP($E1262,'NI-Ric_SP'!$C:$AN,MID(AI$1,1,2),FALSE)</f>
        <v>0</v>
      </c>
      <c r="AJ1262" s="55">
        <f>VLOOKUP($E1262,'NI-Ric_SP'!$C:$AN,MID(AJ$1,1,2),FALSE)</f>
        <v>0</v>
      </c>
      <c r="AK1262" s="55">
        <f>VLOOKUP($E1262,'NI-Ric_SP'!$C:$AN,MID(AK$1,1,2),FALSE)</f>
        <v>0</v>
      </c>
      <c r="AL1262" s="55">
        <f>VLOOKUP($E1262,'NI-Ric_SP'!$C:$AN,MID(AL$1,1,2),FALSE)</f>
        <v>0</v>
      </c>
      <c r="AM1262" s="56">
        <f>VLOOKUP($E1262,'NI-Ric_SP'!$C:$AN,MID(AM$1,1,2),FALSE)</f>
        <v>0</v>
      </c>
      <c r="AN1262" s="30" t="str">
        <f t="shared" si="19"/>
        <v>60102000000000</v>
      </c>
    </row>
    <row r="1263" spans="3:40" x14ac:dyDescent="0.25">
      <c r="C1263" s="40"/>
      <c r="D1263" s="101" t="s">
        <v>2040</v>
      </c>
      <c r="E1263" s="101" t="s">
        <v>2041</v>
      </c>
      <c r="F1263" s="102" t="s">
        <v>2750</v>
      </c>
      <c r="G1263" s="52"/>
      <c r="H1263" s="52"/>
      <c r="I1263" s="52"/>
      <c r="J1263" s="52"/>
      <c r="K1263" s="59" t="s">
        <v>111</v>
      </c>
      <c r="L1263" s="52"/>
      <c r="M1263" s="52"/>
      <c r="N1263" s="52"/>
      <c r="O1263" s="61" t="s">
        <v>2042</v>
      </c>
      <c r="P1263" s="60" t="s">
        <v>2043</v>
      </c>
      <c r="Q1263" s="55">
        <f>VLOOKUP(E1263,'NI-Ric_SP'!$C:$AN,12,FALSE)</f>
        <v>0</v>
      </c>
      <c r="R1263" s="55">
        <f>VLOOKUP(E1263,'NI-Ric_SP'!$C:$AN,13,FALSE)</f>
        <v>0</v>
      </c>
      <c r="S1263" s="55"/>
      <c r="T1263" s="55"/>
      <c r="U1263" s="55">
        <f>VLOOKUP($E1263,'NI-Ric_SP'!$C:$AN,MID(U$1,1,2),FALSE)</f>
        <v>0</v>
      </c>
      <c r="V1263" s="55">
        <f>VLOOKUP($E1263,'NI-Ric_SP'!$C:$AN,MID(V$1,1,2),FALSE)</f>
        <v>0</v>
      </c>
      <c r="W1263" s="55">
        <f>VLOOKUP($E1263,'NI-Ric_SP'!$C:$AN,MID(W$1,1,2),FALSE)</f>
        <v>0</v>
      </c>
      <c r="X1263" s="55">
        <f>VLOOKUP($E1263,'NI-Ric_SP'!$C:$AN,MID(X$1,1,2),FALSE)</f>
        <v>0</v>
      </c>
      <c r="Y1263" s="55">
        <f>VLOOKUP($E1263,'NI-Ric_SP'!$C:$AN,MID(Y$1,1,2),FALSE)</f>
        <v>0</v>
      </c>
      <c r="Z1263" s="55">
        <f>VLOOKUP($E1263,'NI-Ric_SP'!$C:$AN,MID(Z$1,1,2),FALSE)</f>
        <v>0</v>
      </c>
      <c r="AA1263" s="55">
        <f>VLOOKUP($E1263,'NI-Ric_SP'!$C:$AN,MID(AA$1,1,2),FALSE)</f>
        <v>0</v>
      </c>
      <c r="AB1263" s="55">
        <f>VLOOKUP($E1263,'NI-Ric_SP'!$C:$AN,MID(AB$1,1,2),FALSE)</f>
        <v>0</v>
      </c>
      <c r="AC1263" s="55">
        <f>VLOOKUP($E1263,'NI-Ric_SP'!$C:$AN,MID(AC$1,1,2),FALSE)</f>
        <v>0</v>
      </c>
      <c r="AD1263" s="55">
        <f>VLOOKUP($E1263,'NI-Ric_SP'!$C:$AN,MID(AD$1,1,2),FALSE)</f>
        <v>0</v>
      </c>
      <c r="AE1263" s="55">
        <f>VLOOKUP($E1263,'NI-Ric_SP'!$C:$AN,MID(AE$1,1,2),FALSE)</f>
        <v>0</v>
      </c>
      <c r="AF1263" s="55">
        <f>VLOOKUP($E1263,'NI-Ric_SP'!$C:$AN,MID(AF$1,1,2),FALSE)</f>
        <v>0</v>
      </c>
      <c r="AG1263" s="55">
        <f>VLOOKUP($E1263,'NI-Ric_SP'!$C:$AN,MID(AG$1,1,2),FALSE)</f>
        <v>0</v>
      </c>
      <c r="AH1263" s="55">
        <f>VLOOKUP($E1263,'NI-Ric_SP'!$C:$AN,MID(AH$1,1,2),FALSE)</f>
        <v>0</v>
      </c>
      <c r="AI1263" s="55">
        <f>VLOOKUP($E1263,'NI-Ric_SP'!$C:$AN,MID(AI$1,1,2),FALSE)</f>
        <v>0</v>
      </c>
      <c r="AJ1263" s="55">
        <f>VLOOKUP($E1263,'NI-Ric_SP'!$C:$AN,MID(AJ$1,1,2),FALSE)</f>
        <v>0</v>
      </c>
      <c r="AK1263" s="55">
        <f>VLOOKUP($E1263,'NI-Ric_SP'!$C:$AN,MID(AK$1,1,2),FALSE)</f>
        <v>0</v>
      </c>
      <c r="AL1263" s="55">
        <f>VLOOKUP($E1263,'NI-Ric_SP'!$C:$AN,MID(AL$1,1,2),FALSE)</f>
        <v>0</v>
      </c>
      <c r="AM1263" s="56">
        <f>VLOOKUP($E1263,'NI-Ric_SP'!$C:$AN,MID(AM$1,1,2),FALSE)</f>
        <v>0</v>
      </c>
      <c r="AN1263" s="30" t="str">
        <f t="shared" si="19"/>
        <v>60200000000000</v>
      </c>
    </row>
    <row r="1264" spans="3:40" x14ac:dyDescent="0.25">
      <c r="C1264" s="40"/>
      <c r="D1264" s="101" t="s">
        <v>2044</v>
      </c>
      <c r="E1264" s="101" t="s">
        <v>2045</v>
      </c>
      <c r="F1264" s="102" t="s">
        <v>2750</v>
      </c>
      <c r="G1264" s="52"/>
      <c r="H1264" s="52"/>
      <c r="I1264" s="52" t="s">
        <v>2046</v>
      </c>
      <c r="J1264" s="52" t="s">
        <v>2046</v>
      </c>
      <c r="K1264" s="59" t="s">
        <v>79</v>
      </c>
      <c r="L1264" s="62" t="s">
        <v>2047</v>
      </c>
      <c r="M1264" s="52"/>
      <c r="N1264" s="52"/>
      <c r="O1264" s="52"/>
      <c r="P1264" s="63" t="s">
        <v>2048</v>
      </c>
      <c r="Q1264" s="55">
        <f>VLOOKUP(E1264,'NI-Ric_SP'!$C:$AN,12,FALSE)</f>
        <v>0</v>
      </c>
      <c r="R1264" s="55">
        <f>VLOOKUP(E1264,'NI-Ric_SP'!$C:$AN,13,FALSE)</f>
        <v>0</v>
      </c>
      <c r="S1264" s="55"/>
      <c r="T1264" s="55"/>
      <c r="U1264" s="55">
        <f>VLOOKUP($E1264,'NI-Ric_SP'!$C:$AN,MID(U$1,1,2),FALSE)</f>
        <v>0</v>
      </c>
      <c r="V1264" s="55">
        <f>VLOOKUP($E1264,'NI-Ric_SP'!$C:$AN,MID(V$1,1,2),FALSE)</f>
        <v>0</v>
      </c>
      <c r="W1264" s="55">
        <f>VLOOKUP($E1264,'NI-Ric_SP'!$C:$AN,MID(W$1,1,2),FALSE)</f>
        <v>0</v>
      </c>
      <c r="X1264" s="55">
        <f>VLOOKUP($E1264,'NI-Ric_SP'!$C:$AN,MID(X$1,1,2),FALSE)</f>
        <v>0</v>
      </c>
      <c r="Y1264" s="55">
        <f>VLOOKUP($E1264,'NI-Ric_SP'!$C:$AN,MID(Y$1,1,2),FALSE)</f>
        <v>0</v>
      </c>
      <c r="Z1264" s="55">
        <f>VLOOKUP($E1264,'NI-Ric_SP'!$C:$AN,MID(Z$1,1,2),FALSE)</f>
        <v>0</v>
      </c>
      <c r="AA1264" s="55">
        <f>VLOOKUP($E1264,'NI-Ric_SP'!$C:$AN,MID(AA$1,1,2),FALSE)</f>
        <v>0</v>
      </c>
      <c r="AB1264" s="55">
        <f>VLOOKUP($E1264,'NI-Ric_SP'!$C:$AN,MID(AB$1,1,2),FALSE)</f>
        <v>0</v>
      </c>
      <c r="AC1264" s="55">
        <f>VLOOKUP($E1264,'NI-Ric_SP'!$C:$AN,MID(AC$1,1,2),FALSE)</f>
        <v>0</v>
      </c>
      <c r="AD1264" s="55">
        <f>VLOOKUP($E1264,'NI-Ric_SP'!$C:$AN,MID(AD$1,1,2),FALSE)</f>
        <v>0</v>
      </c>
      <c r="AE1264" s="55">
        <f>VLOOKUP($E1264,'NI-Ric_SP'!$C:$AN,MID(AE$1,1,2),FALSE)</f>
        <v>0</v>
      </c>
      <c r="AF1264" s="55">
        <f>VLOOKUP($E1264,'NI-Ric_SP'!$C:$AN,MID(AF$1,1,2),FALSE)</f>
        <v>0</v>
      </c>
      <c r="AG1264" s="55">
        <f>VLOOKUP($E1264,'NI-Ric_SP'!$C:$AN,MID(AG$1,1,2),FALSE)</f>
        <v>0</v>
      </c>
      <c r="AH1264" s="55">
        <f>VLOOKUP($E1264,'NI-Ric_SP'!$C:$AN,MID(AH$1,1,2),FALSE)</f>
        <v>0</v>
      </c>
      <c r="AI1264" s="55">
        <f>VLOOKUP($E1264,'NI-Ric_SP'!$C:$AN,MID(AI$1,1,2),FALSE)</f>
        <v>0</v>
      </c>
      <c r="AJ1264" s="55">
        <f>VLOOKUP($E1264,'NI-Ric_SP'!$C:$AN,MID(AJ$1,1,2),FALSE)</f>
        <v>0</v>
      </c>
      <c r="AK1264" s="55">
        <f>VLOOKUP($E1264,'NI-Ric_SP'!$C:$AN,MID(AK$1,1,2),FALSE)</f>
        <v>0</v>
      </c>
      <c r="AL1264" s="55">
        <f>VLOOKUP($E1264,'NI-Ric_SP'!$C:$AN,MID(AL$1,1,2),FALSE)</f>
        <v>0</v>
      </c>
      <c r="AM1264" s="56">
        <f>VLOOKUP($E1264,'NI-Ric_SP'!$C:$AN,MID(AM$1,1,2),FALSE)</f>
        <v>0</v>
      </c>
      <c r="AN1264" s="30" t="str">
        <f t="shared" si="19"/>
        <v>60201000000000</v>
      </c>
    </row>
    <row r="1265" spans="1:40" x14ac:dyDescent="0.25">
      <c r="C1265" s="40"/>
      <c r="D1265" s="101" t="s">
        <v>2049</v>
      </c>
      <c r="E1265" s="101" t="s">
        <v>2050</v>
      </c>
      <c r="F1265" s="102" t="s">
        <v>2750</v>
      </c>
      <c r="G1265" s="52"/>
      <c r="H1265" s="52"/>
      <c r="I1265" s="52" t="s">
        <v>2051</v>
      </c>
      <c r="J1265" s="52" t="s">
        <v>2051</v>
      </c>
      <c r="K1265" s="59" t="s">
        <v>79</v>
      </c>
      <c r="L1265" s="62" t="s">
        <v>2052</v>
      </c>
      <c r="M1265" s="52"/>
      <c r="N1265" s="52"/>
      <c r="O1265" s="52"/>
      <c r="P1265" s="63" t="s">
        <v>2053</v>
      </c>
      <c r="Q1265" s="55">
        <f>VLOOKUP(E1265,'NI-Ric_SP'!$C:$AN,12,FALSE)</f>
        <v>0</v>
      </c>
      <c r="R1265" s="55">
        <f>VLOOKUP(E1265,'NI-Ric_SP'!$C:$AN,13,FALSE)</f>
        <v>0</v>
      </c>
      <c r="S1265" s="55"/>
      <c r="T1265" s="55"/>
      <c r="U1265" s="55">
        <f>VLOOKUP($E1265,'NI-Ric_SP'!$C:$AN,MID(U$1,1,2),FALSE)</f>
        <v>0</v>
      </c>
      <c r="V1265" s="55">
        <f>VLOOKUP($E1265,'NI-Ric_SP'!$C:$AN,MID(V$1,1,2),FALSE)</f>
        <v>0</v>
      </c>
      <c r="W1265" s="55">
        <f>VLOOKUP($E1265,'NI-Ric_SP'!$C:$AN,MID(W$1,1,2),FALSE)</f>
        <v>0</v>
      </c>
      <c r="X1265" s="55">
        <f>VLOOKUP($E1265,'NI-Ric_SP'!$C:$AN,MID(X$1,1,2),FALSE)</f>
        <v>0</v>
      </c>
      <c r="Y1265" s="55">
        <f>VLOOKUP($E1265,'NI-Ric_SP'!$C:$AN,MID(Y$1,1,2),FALSE)</f>
        <v>0</v>
      </c>
      <c r="Z1265" s="55">
        <f>VLOOKUP($E1265,'NI-Ric_SP'!$C:$AN,MID(Z$1,1,2),FALSE)</f>
        <v>0</v>
      </c>
      <c r="AA1265" s="55">
        <f>VLOOKUP($E1265,'NI-Ric_SP'!$C:$AN,MID(AA$1,1,2),FALSE)</f>
        <v>0</v>
      </c>
      <c r="AB1265" s="55">
        <f>VLOOKUP($E1265,'NI-Ric_SP'!$C:$AN,MID(AB$1,1,2),FALSE)</f>
        <v>0</v>
      </c>
      <c r="AC1265" s="55">
        <f>VLOOKUP($E1265,'NI-Ric_SP'!$C:$AN,MID(AC$1,1,2),FALSE)</f>
        <v>0</v>
      </c>
      <c r="AD1265" s="55">
        <f>VLOOKUP($E1265,'NI-Ric_SP'!$C:$AN,MID(AD$1,1,2),FALSE)</f>
        <v>0</v>
      </c>
      <c r="AE1265" s="55">
        <f>VLOOKUP($E1265,'NI-Ric_SP'!$C:$AN,MID(AE$1,1,2),FALSE)</f>
        <v>0</v>
      </c>
      <c r="AF1265" s="55">
        <f>VLOOKUP($E1265,'NI-Ric_SP'!$C:$AN,MID(AF$1,1,2),FALSE)</f>
        <v>0</v>
      </c>
      <c r="AG1265" s="55">
        <f>VLOOKUP($E1265,'NI-Ric_SP'!$C:$AN,MID(AG$1,1,2),FALSE)</f>
        <v>0</v>
      </c>
      <c r="AH1265" s="55">
        <f>VLOOKUP($E1265,'NI-Ric_SP'!$C:$AN,MID(AH$1,1,2),FALSE)</f>
        <v>0</v>
      </c>
      <c r="AI1265" s="55">
        <f>VLOOKUP($E1265,'NI-Ric_SP'!$C:$AN,MID(AI$1,1,2),FALSE)</f>
        <v>0</v>
      </c>
      <c r="AJ1265" s="55">
        <f>VLOOKUP($E1265,'NI-Ric_SP'!$C:$AN,MID(AJ$1,1,2),FALSE)</f>
        <v>0</v>
      </c>
      <c r="AK1265" s="55">
        <f>VLOOKUP($E1265,'NI-Ric_SP'!$C:$AN,MID(AK$1,1,2),FALSE)</f>
        <v>0</v>
      </c>
      <c r="AL1265" s="55">
        <f>VLOOKUP($E1265,'NI-Ric_SP'!$C:$AN,MID(AL$1,1,2),FALSE)</f>
        <v>0</v>
      </c>
      <c r="AM1265" s="56">
        <f>VLOOKUP($E1265,'NI-Ric_SP'!$C:$AN,MID(AM$1,1,2),FALSE)</f>
        <v>0</v>
      </c>
      <c r="AN1265" s="30" t="str">
        <f t="shared" si="19"/>
        <v>60202000000000</v>
      </c>
    </row>
    <row r="1266" spans="1:40" x14ac:dyDescent="0.25">
      <c r="C1266" s="40"/>
      <c r="D1266" s="101" t="s">
        <v>2054</v>
      </c>
      <c r="E1266" s="101" t="s">
        <v>2055</v>
      </c>
      <c r="F1266" s="102" t="s">
        <v>2750</v>
      </c>
      <c r="G1266" s="52"/>
      <c r="H1266" s="52"/>
      <c r="I1266" s="52" t="s">
        <v>2056</v>
      </c>
      <c r="J1266" s="52" t="s">
        <v>2056</v>
      </c>
      <c r="K1266" s="59" t="s">
        <v>79</v>
      </c>
      <c r="L1266" s="62" t="s">
        <v>2057</v>
      </c>
      <c r="M1266" s="52"/>
      <c r="N1266" s="52"/>
      <c r="O1266" s="52"/>
      <c r="P1266" s="63" t="s">
        <v>2058</v>
      </c>
      <c r="Q1266" s="55">
        <f>VLOOKUP(E1266,'NI-Ric_SP'!$C:$AN,12,FALSE)</f>
        <v>0</v>
      </c>
      <c r="R1266" s="55">
        <f>VLOOKUP(E1266,'NI-Ric_SP'!$C:$AN,13,FALSE)</f>
        <v>0</v>
      </c>
      <c r="S1266" s="55"/>
      <c r="T1266" s="55"/>
      <c r="U1266" s="55">
        <f>VLOOKUP($E1266,'NI-Ric_SP'!$C:$AN,MID(U$1,1,2),FALSE)</f>
        <v>0</v>
      </c>
      <c r="V1266" s="55">
        <f>VLOOKUP($E1266,'NI-Ric_SP'!$C:$AN,MID(V$1,1,2),FALSE)</f>
        <v>0</v>
      </c>
      <c r="W1266" s="55">
        <f>VLOOKUP($E1266,'NI-Ric_SP'!$C:$AN,MID(W$1,1,2),FALSE)</f>
        <v>0</v>
      </c>
      <c r="X1266" s="55">
        <f>VLOOKUP($E1266,'NI-Ric_SP'!$C:$AN,MID(X$1,1,2),FALSE)</f>
        <v>0</v>
      </c>
      <c r="Y1266" s="55">
        <f>VLOOKUP($E1266,'NI-Ric_SP'!$C:$AN,MID(Y$1,1,2),FALSE)</f>
        <v>0</v>
      </c>
      <c r="Z1266" s="55">
        <f>VLOOKUP($E1266,'NI-Ric_SP'!$C:$AN,MID(Z$1,1,2),FALSE)</f>
        <v>0</v>
      </c>
      <c r="AA1266" s="55">
        <f>VLOOKUP($E1266,'NI-Ric_SP'!$C:$AN,MID(AA$1,1,2),FALSE)</f>
        <v>0</v>
      </c>
      <c r="AB1266" s="55">
        <f>VLOOKUP($E1266,'NI-Ric_SP'!$C:$AN,MID(AB$1,1,2),FALSE)</f>
        <v>0</v>
      </c>
      <c r="AC1266" s="55">
        <f>VLOOKUP($E1266,'NI-Ric_SP'!$C:$AN,MID(AC$1,1,2),FALSE)</f>
        <v>0</v>
      </c>
      <c r="AD1266" s="55">
        <f>VLOOKUP($E1266,'NI-Ric_SP'!$C:$AN,MID(AD$1,1,2),FALSE)</f>
        <v>0</v>
      </c>
      <c r="AE1266" s="55">
        <f>VLOOKUP($E1266,'NI-Ric_SP'!$C:$AN,MID(AE$1,1,2),FALSE)</f>
        <v>0</v>
      </c>
      <c r="AF1266" s="55">
        <f>VLOOKUP($E1266,'NI-Ric_SP'!$C:$AN,MID(AF$1,1,2),FALSE)</f>
        <v>0</v>
      </c>
      <c r="AG1266" s="55">
        <f>VLOOKUP($E1266,'NI-Ric_SP'!$C:$AN,MID(AG$1,1,2),FALSE)</f>
        <v>0</v>
      </c>
      <c r="AH1266" s="55">
        <f>VLOOKUP($E1266,'NI-Ric_SP'!$C:$AN,MID(AH$1,1,2),FALSE)</f>
        <v>0</v>
      </c>
      <c r="AI1266" s="55">
        <f>VLOOKUP($E1266,'NI-Ric_SP'!$C:$AN,MID(AI$1,1,2),FALSE)</f>
        <v>0</v>
      </c>
      <c r="AJ1266" s="55">
        <f>VLOOKUP($E1266,'NI-Ric_SP'!$C:$AN,MID(AJ$1,1,2),FALSE)</f>
        <v>0</v>
      </c>
      <c r="AK1266" s="55">
        <f>VLOOKUP($E1266,'NI-Ric_SP'!$C:$AN,MID(AK$1,1,2),FALSE)</f>
        <v>0</v>
      </c>
      <c r="AL1266" s="55">
        <f>VLOOKUP($E1266,'NI-Ric_SP'!$C:$AN,MID(AL$1,1,2),FALSE)</f>
        <v>0</v>
      </c>
      <c r="AM1266" s="56">
        <f>VLOOKUP($E1266,'NI-Ric_SP'!$C:$AN,MID(AM$1,1,2),FALSE)</f>
        <v>0</v>
      </c>
      <c r="AN1266" s="30" t="str">
        <f t="shared" si="19"/>
        <v>60203000000000</v>
      </c>
    </row>
    <row r="1267" spans="1:40" x14ac:dyDescent="0.25">
      <c r="C1267" s="40"/>
      <c r="D1267" s="101" t="s">
        <v>2059</v>
      </c>
      <c r="E1267" s="101" t="s">
        <v>2060</v>
      </c>
      <c r="F1267" s="102" t="s">
        <v>2750</v>
      </c>
      <c r="G1267" s="52"/>
      <c r="H1267" s="52"/>
      <c r="I1267" s="52" t="s">
        <v>2061</v>
      </c>
      <c r="J1267" s="52" t="s">
        <v>2061</v>
      </c>
      <c r="K1267" s="59" t="s">
        <v>79</v>
      </c>
      <c r="L1267" s="62" t="s">
        <v>2062</v>
      </c>
      <c r="M1267" s="52"/>
      <c r="N1267" s="52"/>
      <c r="O1267" s="52"/>
      <c r="P1267" s="63" t="s">
        <v>2063</v>
      </c>
      <c r="Q1267" s="55">
        <f>VLOOKUP(E1267,'NI-Ric_SP'!$C:$AN,12,FALSE)</f>
        <v>0</v>
      </c>
      <c r="R1267" s="55">
        <f>VLOOKUP(E1267,'NI-Ric_SP'!$C:$AN,13,FALSE)</f>
        <v>0</v>
      </c>
      <c r="S1267" s="55"/>
      <c r="T1267" s="55"/>
      <c r="U1267" s="55">
        <f>VLOOKUP($E1267,'NI-Ric_SP'!$C:$AN,MID(U$1,1,2),FALSE)</f>
        <v>0</v>
      </c>
      <c r="V1267" s="55">
        <f>VLOOKUP($E1267,'NI-Ric_SP'!$C:$AN,MID(V$1,1,2),FALSE)</f>
        <v>0</v>
      </c>
      <c r="W1267" s="55">
        <f>VLOOKUP($E1267,'NI-Ric_SP'!$C:$AN,MID(W$1,1,2),FALSE)</f>
        <v>0</v>
      </c>
      <c r="X1267" s="55">
        <f>VLOOKUP($E1267,'NI-Ric_SP'!$C:$AN,MID(X$1,1,2),FALSE)</f>
        <v>0</v>
      </c>
      <c r="Y1267" s="55">
        <f>VLOOKUP($E1267,'NI-Ric_SP'!$C:$AN,MID(Y$1,1,2),FALSE)</f>
        <v>0</v>
      </c>
      <c r="Z1267" s="55">
        <f>VLOOKUP($E1267,'NI-Ric_SP'!$C:$AN,MID(Z$1,1,2),FALSE)</f>
        <v>0</v>
      </c>
      <c r="AA1267" s="55">
        <f>VLOOKUP($E1267,'NI-Ric_SP'!$C:$AN,MID(AA$1,1,2),FALSE)</f>
        <v>0</v>
      </c>
      <c r="AB1267" s="55">
        <f>VLOOKUP($E1267,'NI-Ric_SP'!$C:$AN,MID(AB$1,1,2),FALSE)</f>
        <v>0</v>
      </c>
      <c r="AC1267" s="55">
        <f>VLOOKUP($E1267,'NI-Ric_SP'!$C:$AN,MID(AC$1,1,2),FALSE)</f>
        <v>0</v>
      </c>
      <c r="AD1267" s="55">
        <f>VLOOKUP($E1267,'NI-Ric_SP'!$C:$AN,MID(AD$1,1,2),FALSE)</f>
        <v>0</v>
      </c>
      <c r="AE1267" s="55">
        <f>VLOOKUP($E1267,'NI-Ric_SP'!$C:$AN,MID(AE$1,1,2),FALSE)</f>
        <v>0</v>
      </c>
      <c r="AF1267" s="55">
        <f>VLOOKUP($E1267,'NI-Ric_SP'!$C:$AN,MID(AF$1,1,2),FALSE)</f>
        <v>0</v>
      </c>
      <c r="AG1267" s="55">
        <f>VLOOKUP($E1267,'NI-Ric_SP'!$C:$AN,MID(AG$1,1,2),FALSE)</f>
        <v>0</v>
      </c>
      <c r="AH1267" s="55">
        <f>VLOOKUP($E1267,'NI-Ric_SP'!$C:$AN,MID(AH$1,1,2),FALSE)</f>
        <v>0</v>
      </c>
      <c r="AI1267" s="55">
        <f>VLOOKUP($E1267,'NI-Ric_SP'!$C:$AN,MID(AI$1,1,2),FALSE)</f>
        <v>0</v>
      </c>
      <c r="AJ1267" s="55">
        <f>VLOOKUP($E1267,'NI-Ric_SP'!$C:$AN,MID(AJ$1,1,2),FALSE)</f>
        <v>0</v>
      </c>
      <c r="AK1267" s="55">
        <f>VLOOKUP($E1267,'NI-Ric_SP'!$C:$AN,MID(AK$1,1,2),FALSE)</f>
        <v>0</v>
      </c>
      <c r="AL1267" s="55">
        <f>VLOOKUP($E1267,'NI-Ric_SP'!$C:$AN,MID(AL$1,1,2),FALSE)</f>
        <v>0</v>
      </c>
      <c r="AM1267" s="56">
        <f>VLOOKUP($E1267,'NI-Ric_SP'!$C:$AN,MID(AM$1,1,2),FALSE)</f>
        <v>0</v>
      </c>
      <c r="AN1267" s="30" t="str">
        <f t="shared" si="19"/>
        <v>60204000000000</v>
      </c>
    </row>
    <row r="1268" spans="1:40" x14ac:dyDescent="0.25">
      <c r="A1268" s="30" t="s">
        <v>1394</v>
      </c>
      <c r="C1268" s="40"/>
      <c r="D1268" s="87" t="s">
        <v>2064</v>
      </c>
      <c r="E1268" s="87" t="s">
        <v>2065</v>
      </c>
      <c r="F1268" s="102" t="s">
        <v>2750</v>
      </c>
      <c r="G1268" s="52"/>
      <c r="H1268" s="52"/>
      <c r="I1268" s="52"/>
      <c r="J1268" s="52" t="s">
        <v>2066</v>
      </c>
      <c r="K1268" s="59" t="s">
        <v>79</v>
      </c>
      <c r="L1268" s="81"/>
      <c r="M1268" s="52"/>
      <c r="N1268" s="52"/>
      <c r="O1268" s="52"/>
      <c r="P1268" s="76" t="s">
        <v>2067</v>
      </c>
      <c r="Q1268" s="55">
        <f>VLOOKUP(E1268,'NI-Ric_SP'!$C:$AN,12,FALSE)</f>
        <v>0</v>
      </c>
      <c r="R1268" s="55">
        <f>VLOOKUP(E1268,'NI-Ric_SP'!$C:$AN,13,FALSE)</f>
        <v>0</v>
      </c>
      <c r="S1268" s="55"/>
      <c r="T1268" s="55"/>
      <c r="U1268" s="55">
        <f>VLOOKUP($E1268,'NI-Ric_SP'!$C:$AN,MID(U$1,1,2),FALSE)</f>
        <v>0</v>
      </c>
      <c r="V1268" s="55">
        <f>VLOOKUP($E1268,'NI-Ric_SP'!$C:$AN,MID(V$1,1,2),FALSE)</f>
        <v>0</v>
      </c>
      <c r="W1268" s="55">
        <f>VLOOKUP($E1268,'NI-Ric_SP'!$C:$AN,MID(W$1,1,2),FALSE)</f>
        <v>0</v>
      </c>
      <c r="X1268" s="55">
        <f>VLOOKUP($E1268,'NI-Ric_SP'!$C:$AN,MID(X$1,1,2),FALSE)</f>
        <v>0</v>
      </c>
      <c r="Y1268" s="55">
        <f>VLOOKUP($E1268,'NI-Ric_SP'!$C:$AN,MID(Y$1,1,2),FALSE)</f>
        <v>0</v>
      </c>
      <c r="Z1268" s="55">
        <f>VLOOKUP($E1268,'NI-Ric_SP'!$C:$AN,MID(Z$1,1,2),FALSE)</f>
        <v>0</v>
      </c>
      <c r="AA1268" s="55">
        <f>VLOOKUP($E1268,'NI-Ric_SP'!$C:$AN,MID(AA$1,1,2),FALSE)</f>
        <v>0</v>
      </c>
      <c r="AB1268" s="55">
        <f>VLOOKUP($E1268,'NI-Ric_SP'!$C:$AN,MID(AB$1,1,2),FALSE)</f>
        <v>0</v>
      </c>
      <c r="AC1268" s="55">
        <f>VLOOKUP($E1268,'NI-Ric_SP'!$C:$AN,MID(AC$1,1,2),FALSE)</f>
        <v>0</v>
      </c>
      <c r="AD1268" s="55">
        <f>VLOOKUP($E1268,'NI-Ric_SP'!$C:$AN,MID(AD$1,1,2),FALSE)</f>
        <v>0</v>
      </c>
      <c r="AE1268" s="55">
        <f>VLOOKUP($E1268,'NI-Ric_SP'!$C:$AN,MID(AE$1,1,2),FALSE)</f>
        <v>0</v>
      </c>
      <c r="AF1268" s="55">
        <f>VLOOKUP($E1268,'NI-Ric_SP'!$C:$AN,MID(AF$1,1,2),FALSE)</f>
        <v>0</v>
      </c>
      <c r="AG1268" s="55">
        <f>VLOOKUP($E1268,'NI-Ric_SP'!$C:$AN,MID(AG$1,1,2),FALSE)</f>
        <v>0</v>
      </c>
      <c r="AH1268" s="55">
        <f>VLOOKUP($E1268,'NI-Ric_SP'!$C:$AN,MID(AH$1,1,2),FALSE)</f>
        <v>0</v>
      </c>
      <c r="AI1268" s="55">
        <f>VLOOKUP($E1268,'NI-Ric_SP'!$C:$AN,MID(AI$1,1,2),FALSE)</f>
        <v>0</v>
      </c>
      <c r="AJ1268" s="55">
        <f>VLOOKUP($E1268,'NI-Ric_SP'!$C:$AN,MID(AJ$1,1,2),FALSE)</f>
        <v>0</v>
      </c>
      <c r="AK1268" s="55">
        <f>VLOOKUP($E1268,'NI-Ric_SP'!$C:$AN,MID(AK$1,1,2),FALSE)</f>
        <v>0</v>
      </c>
      <c r="AL1268" s="55">
        <f>VLOOKUP($E1268,'NI-Ric_SP'!$C:$AN,MID(AL$1,1,2),FALSE)</f>
        <v>0</v>
      </c>
      <c r="AM1268" s="56">
        <f>VLOOKUP($E1268,'NI-Ric_SP'!$C:$AN,MID(AM$1,1,2),FALSE)</f>
        <v>0</v>
      </c>
      <c r="AN1268" s="30" t="str">
        <f t="shared" si="19"/>
        <v>60205000000000</v>
      </c>
    </row>
    <row r="1269" spans="1:40" x14ac:dyDescent="0.25">
      <c r="A1269" s="30" t="s">
        <v>1394</v>
      </c>
      <c r="C1269" s="40"/>
      <c r="D1269" s="87" t="s">
        <v>2068</v>
      </c>
      <c r="E1269" s="87" t="s">
        <v>2069</v>
      </c>
      <c r="F1269" s="102" t="s">
        <v>2750</v>
      </c>
      <c r="G1269" s="52"/>
      <c r="H1269" s="52"/>
      <c r="I1269" s="52"/>
      <c r="J1269" s="52" t="s">
        <v>2070</v>
      </c>
      <c r="K1269" s="59" t="s">
        <v>79</v>
      </c>
      <c r="L1269" s="81"/>
      <c r="M1269" s="52"/>
      <c r="N1269" s="52"/>
      <c r="O1269" s="52"/>
      <c r="P1269" s="76" t="s">
        <v>2071</v>
      </c>
      <c r="Q1269" s="55">
        <f>VLOOKUP(E1269,'NI-Ric_SP'!$C:$AN,12,FALSE)</f>
        <v>0</v>
      </c>
      <c r="R1269" s="55">
        <f>VLOOKUP(E1269,'NI-Ric_SP'!$C:$AN,13,FALSE)</f>
        <v>0</v>
      </c>
      <c r="S1269" s="55"/>
      <c r="T1269" s="55"/>
      <c r="U1269" s="55">
        <f>VLOOKUP($E1269,'NI-Ric_SP'!$C:$AN,MID(U$1,1,2),FALSE)</f>
        <v>0</v>
      </c>
      <c r="V1269" s="55">
        <f>VLOOKUP($E1269,'NI-Ric_SP'!$C:$AN,MID(V$1,1,2),FALSE)</f>
        <v>0</v>
      </c>
      <c r="W1269" s="55">
        <f>VLOOKUP($E1269,'NI-Ric_SP'!$C:$AN,MID(W$1,1,2),FALSE)</f>
        <v>0</v>
      </c>
      <c r="X1269" s="55">
        <f>VLOOKUP($E1269,'NI-Ric_SP'!$C:$AN,MID(X$1,1,2),FALSE)</f>
        <v>0</v>
      </c>
      <c r="Y1269" s="55">
        <f>VLOOKUP($E1269,'NI-Ric_SP'!$C:$AN,MID(Y$1,1,2),FALSE)</f>
        <v>0</v>
      </c>
      <c r="Z1269" s="55">
        <f>VLOOKUP($E1269,'NI-Ric_SP'!$C:$AN,MID(Z$1,1,2),FALSE)</f>
        <v>0</v>
      </c>
      <c r="AA1269" s="55">
        <f>VLOOKUP($E1269,'NI-Ric_SP'!$C:$AN,MID(AA$1,1,2),FALSE)</f>
        <v>0</v>
      </c>
      <c r="AB1269" s="55">
        <f>VLOOKUP($E1269,'NI-Ric_SP'!$C:$AN,MID(AB$1,1,2),FALSE)</f>
        <v>0</v>
      </c>
      <c r="AC1269" s="55">
        <f>VLOOKUP($E1269,'NI-Ric_SP'!$C:$AN,MID(AC$1,1,2),FALSE)</f>
        <v>0</v>
      </c>
      <c r="AD1269" s="55">
        <f>VLOOKUP($E1269,'NI-Ric_SP'!$C:$AN,MID(AD$1,1,2),FALSE)</f>
        <v>0</v>
      </c>
      <c r="AE1269" s="55">
        <f>VLOOKUP($E1269,'NI-Ric_SP'!$C:$AN,MID(AE$1,1,2),FALSE)</f>
        <v>0</v>
      </c>
      <c r="AF1269" s="55">
        <f>VLOOKUP($E1269,'NI-Ric_SP'!$C:$AN,MID(AF$1,1,2),FALSE)</f>
        <v>0</v>
      </c>
      <c r="AG1269" s="55">
        <f>VLOOKUP($E1269,'NI-Ric_SP'!$C:$AN,MID(AG$1,1,2),FALSE)</f>
        <v>0</v>
      </c>
      <c r="AH1269" s="55">
        <f>VLOOKUP($E1269,'NI-Ric_SP'!$C:$AN,MID(AH$1,1,2),FALSE)</f>
        <v>0</v>
      </c>
      <c r="AI1269" s="55">
        <f>VLOOKUP($E1269,'NI-Ric_SP'!$C:$AN,MID(AI$1,1,2),FALSE)</f>
        <v>0</v>
      </c>
      <c r="AJ1269" s="55">
        <f>VLOOKUP($E1269,'NI-Ric_SP'!$C:$AN,MID(AJ$1,1,2),FALSE)</f>
        <v>0</v>
      </c>
      <c r="AK1269" s="55">
        <f>VLOOKUP($E1269,'NI-Ric_SP'!$C:$AN,MID(AK$1,1,2),FALSE)</f>
        <v>0</v>
      </c>
      <c r="AL1269" s="55">
        <f>VLOOKUP($E1269,'NI-Ric_SP'!$C:$AN,MID(AL$1,1,2),FALSE)</f>
        <v>0</v>
      </c>
      <c r="AM1269" s="56">
        <f>VLOOKUP($E1269,'NI-Ric_SP'!$C:$AN,MID(AM$1,1,2),FALSE)</f>
        <v>0</v>
      </c>
      <c r="AN1269" s="30" t="str">
        <f t="shared" si="19"/>
        <v>60206000000000</v>
      </c>
    </row>
    <row r="1270" spans="1:40" x14ac:dyDescent="0.25">
      <c r="C1270" s="40"/>
      <c r="D1270" s="101" t="s">
        <v>2072</v>
      </c>
      <c r="E1270" s="101" t="s">
        <v>2073</v>
      </c>
      <c r="F1270" s="102" t="s">
        <v>2750</v>
      </c>
      <c r="G1270" s="52"/>
      <c r="H1270" s="52"/>
      <c r="I1270" s="52" t="s">
        <v>2074</v>
      </c>
      <c r="J1270" s="52" t="s">
        <v>2074</v>
      </c>
      <c r="K1270" s="59" t="s">
        <v>79</v>
      </c>
      <c r="L1270" s="62" t="s">
        <v>2075</v>
      </c>
      <c r="M1270" s="52"/>
      <c r="N1270" s="52"/>
      <c r="O1270" s="52"/>
      <c r="P1270" s="63" t="s">
        <v>2076</v>
      </c>
      <c r="Q1270" s="55">
        <f>VLOOKUP(E1270,'NI-Ric_SP'!$C:$AN,12,FALSE)</f>
        <v>0</v>
      </c>
      <c r="R1270" s="55">
        <f>VLOOKUP(E1270,'NI-Ric_SP'!$C:$AN,13,FALSE)</f>
        <v>0</v>
      </c>
      <c r="S1270" s="55"/>
      <c r="T1270" s="55"/>
      <c r="U1270" s="55">
        <f>VLOOKUP($E1270,'NI-Ric_SP'!$C:$AN,MID(U$1,1,2),FALSE)</f>
        <v>0</v>
      </c>
      <c r="V1270" s="55">
        <f>VLOOKUP($E1270,'NI-Ric_SP'!$C:$AN,MID(V$1,1,2),FALSE)</f>
        <v>0</v>
      </c>
      <c r="W1270" s="55">
        <f>VLOOKUP($E1270,'NI-Ric_SP'!$C:$AN,MID(W$1,1,2),FALSE)</f>
        <v>0</v>
      </c>
      <c r="X1270" s="55">
        <f>VLOOKUP($E1270,'NI-Ric_SP'!$C:$AN,MID(X$1,1,2),FALSE)</f>
        <v>0</v>
      </c>
      <c r="Y1270" s="55">
        <f>VLOOKUP($E1270,'NI-Ric_SP'!$C:$AN,MID(Y$1,1,2),FALSE)</f>
        <v>0</v>
      </c>
      <c r="Z1270" s="55">
        <f>VLOOKUP($E1270,'NI-Ric_SP'!$C:$AN,MID(Z$1,1,2),FALSE)</f>
        <v>0</v>
      </c>
      <c r="AA1270" s="55">
        <f>VLOOKUP($E1270,'NI-Ric_SP'!$C:$AN,MID(AA$1,1,2),FALSE)</f>
        <v>0</v>
      </c>
      <c r="AB1270" s="55">
        <f>VLOOKUP($E1270,'NI-Ric_SP'!$C:$AN,MID(AB$1,1,2),FALSE)</f>
        <v>0</v>
      </c>
      <c r="AC1270" s="55">
        <f>VLOOKUP($E1270,'NI-Ric_SP'!$C:$AN,MID(AC$1,1,2),FALSE)</f>
        <v>0</v>
      </c>
      <c r="AD1270" s="55">
        <f>VLOOKUP($E1270,'NI-Ric_SP'!$C:$AN,MID(AD$1,1,2),FALSE)</f>
        <v>0</v>
      </c>
      <c r="AE1270" s="55">
        <f>VLOOKUP($E1270,'NI-Ric_SP'!$C:$AN,MID(AE$1,1,2),FALSE)</f>
        <v>0</v>
      </c>
      <c r="AF1270" s="55">
        <f>VLOOKUP($E1270,'NI-Ric_SP'!$C:$AN,MID(AF$1,1,2),FALSE)</f>
        <v>0</v>
      </c>
      <c r="AG1270" s="55">
        <f>VLOOKUP($E1270,'NI-Ric_SP'!$C:$AN,MID(AG$1,1,2),FALSE)</f>
        <v>0</v>
      </c>
      <c r="AH1270" s="55">
        <f>VLOOKUP($E1270,'NI-Ric_SP'!$C:$AN,MID(AH$1,1,2),FALSE)</f>
        <v>0</v>
      </c>
      <c r="AI1270" s="55">
        <f>VLOOKUP($E1270,'NI-Ric_SP'!$C:$AN,MID(AI$1,1,2),FALSE)</f>
        <v>0</v>
      </c>
      <c r="AJ1270" s="55">
        <f>VLOOKUP($E1270,'NI-Ric_SP'!$C:$AN,MID(AJ$1,1,2),FALSE)</f>
        <v>0</v>
      </c>
      <c r="AK1270" s="55">
        <f>VLOOKUP($E1270,'NI-Ric_SP'!$C:$AN,MID(AK$1,1,2),FALSE)</f>
        <v>0</v>
      </c>
      <c r="AL1270" s="55">
        <f>VLOOKUP($E1270,'NI-Ric_SP'!$C:$AN,MID(AL$1,1,2),FALSE)</f>
        <v>0</v>
      </c>
      <c r="AM1270" s="56">
        <f>VLOOKUP($E1270,'NI-Ric_SP'!$C:$AN,MID(AM$1,1,2),FALSE)</f>
        <v>0</v>
      </c>
      <c r="AN1270" s="30" t="str">
        <f t="shared" si="19"/>
        <v>60207000000000</v>
      </c>
    </row>
    <row r="1271" spans="1:40" x14ac:dyDescent="0.25">
      <c r="C1271" s="40"/>
      <c r="D1271" s="101" t="s">
        <v>2077</v>
      </c>
      <c r="E1271" s="101" t="s">
        <v>2078</v>
      </c>
      <c r="F1271" s="102" t="s">
        <v>2750</v>
      </c>
      <c r="G1271" s="52"/>
      <c r="H1271" s="52"/>
      <c r="I1271" s="65"/>
      <c r="J1271" s="52"/>
      <c r="K1271" s="59" t="s">
        <v>111</v>
      </c>
      <c r="L1271" s="52"/>
      <c r="M1271" s="52"/>
      <c r="N1271" s="52"/>
      <c r="O1271" s="61" t="s">
        <v>2079</v>
      </c>
      <c r="P1271" s="60" t="s">
        <v>2080</v>
      </c>
      <c r="Q1271" s="55">
        <f>VLOOKUP(E1271,'NI-Ric_SP'!$C:$AN,12,FALSE)</f>
        <v>0</v>
      </c>
      <c r="R1271" s="55">
        <f>VLOOKUP(E1271,'NI-Ric_SP'!$C:$AN,13,FALSE)</f>
        <v>0</v>
      </c>
      <c r="S1271" s="55"/>
      <c r="T1271" s="55"/>
      <c r="U1271" s="55">
        <f>VLOOKUP($E1271,'NI-Ric_SP'!$C:$AN,MID(U$1,1,2),FALSE)</f>
        <v>0</v>
      </c>
      <c r="V1271" s="55">
        <f>VLOOKUP($E1271,'NI-Ric_SP'!$C:$AN,MID(V$1,1,2),FALSE)</f>
        <v>0</v>
      </c>
      <c r="W1271" s="55">
        <f>VLOOKUP($E1271,'NI-Ric_SP'!$C:$AN,MID(W$1,1,2),FALSE)</f>
        <v>0</v>
      </c>
      <c r="X1271" s="55">
        <f>VLOOKUP($E1271,'NI-Ric_SP'!$C:$AN,MID(X$1,1,2),FALSE)</f>
        <v>0</v>
      </c>
      <c r="Y1271" s="55">
        <f>VLOOKUP($E1271,'NI-Ric_SP'!$C:$AN,MID(Y$1,1,2),FALSE)</f>
        <v>0</v>
      </c>
      <c r="Z1271" s="55">
        <f>VLOOKUP($E1271,'NI-Ric_SP'!$C:$AN,MID(Z$1,1,2),FALSE)</f>
        <v>0</v>
      </c>
      <c r="AA1271" s="55">
        <f>VLOOKUP($E1271,'NI-Ric_SP'!$C:$AN,MID(AA$1,1,2),FALSE)</f>
        <v>0</v>
      </c>
      <c r="AB1271" s="55">
        <f>VLOOKUP($E1271,'NI-Ric_SP'!$C:$AN,MID(AB$1,1,2),FALSE)</f>
        <v>0</v>
      </c>
      <c r="AC1271" s="55">
        <f>VLOOKUP($E1271,'NI-Ric_SP'!$C:$AN,MID(AC$1,1,2),FALSE)</f>
        <v>0</v>
      </c>
      <c r="AD1271" s="55">
        <f>VLOOKUP($E1271,'NI-Ric_SP'!$C:$AN,MID(AD$1,1,2),FALSE)</f>
        <v>0</v>
      </c>
      <c r="AE1271" s="55">
        <f>VLOOKUP($E1271,'NI-Ric_SP'!$C:$AN,MID(AE$1,1,2),FALSE)</f>
        <v>0</v>
      </c>
      <c r="AF1271" s="55">
        <f>VLOOKUP($E1271,'NI-Ric_SP'!$C:$AN,MID(AF$1,1,2),FALSE)</f>
        <v>0</v>
      </c>
      <c r="AG1271" s="55">
        <f>VLOOKUP($E1271,'NI-Ric_SP'!$C:$AN,MID(AG$1,1,2),FALSE)</f>
        <v>0</v>
      </c>
      <c r="AH1271" s="55">
        <f>VLOOKUP($E1271,'NI-Ric_SP'!$C:$AN,MID(AH$1,1,2),FALSE)</f>
        <v>0</v>
      </c>
      <c r="AI1271" s="55">
        <f>VLOOKUP($E1271,'NI-Ric_SP'!$C:$AN,MID(AI$1,1,2),FALSE)</f>
        <v>0</v>
      </c>
      <c r="AJ1271" s="55">
        <f>VLOOKUP($E1271,'NI-Ric_SP'!$C:$AN,MID(AJ$1,1,2),FALSE)</f>
        <v>0</v>
      </c>
      <c r="AK1271" s="55">
        <f>VLOOKUP($E1271,'NI-Ric_SP'!$C:$AN,MID(AK$1,1,2),FALSE)</f>
        <v>0</v>
      </c>
      <c r="AL1271" s="55">
        <f>VLOOKUP($E1271,'NI-Ric_SP'!$C:$AN,MID(AL$1,1,2),FALSE)</f>
        <v>0</v>
      </c>
      <c r="AM1271" s="56">
        <f>VLOOKUP($E1271,'NI-Ric_SP'!$C:$AN,MID(AM$1,1,2),FALSE)</f>
        <v>0</v>
      </c>
      <c r="AN1271" s="30" t="str">
        <f t="shared" si="19"/>
        <v>60300000000000</v>
      </c>
    </row>
    <row r="1272" spans="1:40" x14ac:dyDescent="0.25">
      <c r="C1272" s="40"/>
      <c r="D1272" s="101" t="s">
        <v>2081</v>
      </c>
      <c r="E1272" s="101" t="s">
        <v>2082</v>
      </c>
      <c r="F1272" s="102" t="s">
        <v>2750</v>
      </c>
      <c r="G1272" s="52"/>
      <c r="H1272" s="52"/>
      <c r="I1272" s="52" t="s">
        <v>2083</v>
      </c>
      <c r="J1272" s="52" t="s">
        <v>2083</v>
      </c>
      <c r="K1272" s="59" t="s">
        <v>79</v>
      </c>
      <c r="L1272" s="62" t="s">
        <v>2084</v>
      </c>
      <c r="M1272" s="52"/>
      <c r="N1272" s="52"/>
      <c r="O1272" s="52"/>
      <c r="P1272" s="63" t="s">
        <v>2085</v>
      </c>
      <c r="Q1272" s="55">
        <f>VLOOKUP(E1272,'NI-Ric_SP'!$C:$AN,12,FALSE)</f>
        <v>0</v>
      </c>
      <c r="R1272" s="55">
        <f>VLOOKUP(E1272,'NI-Ric_SP'!$C:$AN,13,FALSE)</f>
        <v>0</v>
      </c>
      <c r="S1272" s="55"/>
      <c r="T1272" s="55"/>
      <c r="U1272" s="55">
        <f>VLOOKUP($E1272,'NI-Ric_SP'!$C:$AN,MID(U$1,1,2),FALSE)</f>
        <v>0</v>
      </c>
      <c r="V1272" s="55">
        <f>VLOOKUP($E1272,'NI-Ric_SP'!$C:$AN,MID(V$1,1,2),FALSE)</f>
        <v>0</v>
      </c>
      <c r="W1272" s="55">
        <f>VLOOKUP($E1272,'NI-Ric_SP'!$C:$AN,MID(W$1,1,2),FALSE)</f>
        <v>0</v>
      </c>
      <c r="X1272" s="55">
        <f>VLOOKUP($E1272,'NI-Ric_SP'!$C:$AN,MID(X$1,1,2),FALSE)</f>
        <v>0</v>
      </c>
      <c r="Y1272" s="55">
        <f>VLOOKUP($E1272,'NI-Ric_SP'!$C:$AN,MID(Y$1,1,2),FALSE)</f>
        <v>0</v>
      </c>
      <c r="Z1272" s="55">
        <f>VLOOKUP($E1272,'NI-Ric_SP'!$C:$AN,MID(Z$1,1,2),FALSE)</f>
        <v>0</v>
      </c>
      <c r="AA1272" s="55">
        <f>VLOOKUP($E1272,'NI-Ric_SP'!$C:$AN,MID(AA$1,1,2),FALSE)</f>
        <v>0</v>
      </c>
      <c r="AB1272" s="55">
        <f>VLOOKUP($E1272,'NI-Ric_SP'!$C:$AN,MID(AB$1,1,2),FALSE)</f>
        <v>0</v>
      </c>
      <c r="AC1272" s="55">
        <f>VLOOKUP($E1272,'NI-Ric_SP'!$C:$AN,MID(AC$1,1,2),FALSE)</f>
        <v>0</v>
      </c>
      <c r="AD1272" s="55" t="str">
        <f>VLOOKUP($E1272,'NI-Ric_SP'!$C:$AN,MID(AD$1,1,2),FALSE)</f>
        <v>DA NASCONDERE</v>
      </c>
      <c r="AE1272" s="55">
        <f>VLOOKUP($E1272,'NI-Ric_SP'!$C:$AN,MID(AE$1,1,2),FALSE)</f>
        <v>0</v>
      </c>
      <c r="AF1272" s="55">
        <f>VLOOKUP($E1272,'NI-Ric_SP'!$C:$AN,MID(AF$1,1,2),FALSE)</f>
        <v>0</v>
      </c>
      <c r="AG1272" s="55">
        <f>VLOOKUP($E1272,'NI-Ric_SP'!$C:$AN,MID(AG$1,1,2),FALSE)</f>
        <v>0</v>
      </c>
      <c r="AH1272" s="55">
        <f>VLOOKUP($E1272,'NI-Ric_SP'!$C:$AN,MID(AH$1,1,2),FALSE)</f>
        <v>0</v>
      </c>
      <c r="AI1272" s="55">
        <f>VLOOKUP($E1272,'NI-Ric_SP'!$C:$AN,MID(AI$1,1,2),FALSE)</f>
        <v>0</v>
      </c>
      <c r="AJ1272" s="55">
        <f>VLOOKUP($E1272,'NI-Ric_SP'!$C:$AN,MID(AJ$1,1,2),FALSE)</f>
        <v>0</v>
      </c>
      <c r="AK1272" s="55">
        <f>VLOOKUP($E1272,'NI-Ric_SP'!$C:$AN,MID(AK$1,1,2),FALSE)</f>
        <v>0</v>
      </c>
      <c r="AL1272" s="55">
        <f>VLOOKUP($E1272,'NI-Ric_SP'!$C:$AN,MID(AL$1,1,2),FALSE)</f>
        <v>0</v>
      </c>
      <c r="AM1272" s="56">
        <f>VLOOKUP($E1272,'NI-Ric_SP'!$C:$AN,MID(AM$1,1,2),FALSE)</f>
        <v>0</v>
      </c>
      <c r="AN1272" s="30" t="str">
        <f t="shared" si="19"/>
        <v>60301000000000</v>
      </c>
    </row>
    <row r="1273" spans="1:40" x14ac:dyDescent="0.25">
      <c r="C1273" s="40"/>
      <c r="D1273" s="101" t="s">
        <v>2086</v>
      </c>
      <c r="E1273" s="101" t="s">
        <v>2087</v>
      </c>
      <c r="F1273" s="102" t="s">
        <v>2750</v>
      </c>
      <c r="G1273" s="52"/>
      <c r="H1273" s="52"/>
      <c r="I1273" s="52" t="s">
        <v>2088</v>
      </c>
      <c r="J1273" s="52" t="s">
        <v>2088</v>
      </c>
      <c r="K1273" s="59" t="s">
        <v>79</v>
      </c>
      <c r="L1273" s="62" t="s">
        <v>2089</v>
      </c>
      <c r="M1273" s="52"/>
      <c r="N1273" s="52"/>
      <c r="O1273" s="52"/>
      <c r="P1273" s="63" t="s">
        <v>2090</v>
      </c>
      <c r="Q1273" s="55">
        <f>VLOOKUP(E1273,'NI-Ric_SP'!$C:$AN,12,FALSE)</f>
        <v>0</v>
      </c>
      <c r="R1273" s="55">
        <f>VLOOKUP(E1273,'NI-Ric_SP'!$C:$AN,13,FALSE)</f>
        <v>0</v>
      </c>
      <c r="S1273" s="55"/>
      <c r="T1273" s="55"/>
      <c r="U1273" s="55">
        <f>VLOOKUP($E1273,'NI-Ric_SP'!$C:$AN,MID(U$1,1,2),FALSE)</f>
        <v>0</v>
      </c>
      <c r="V1273" s="55">
        <f>VLOOKUP($E1273,'NI-Ric_SP'!$C:$AN,MID(V$1,1,2),FALSE)</f>
        <v>0</v>
      </c>
      <c r="W1273" s="55">
        <f>VLOOKUP($E1273,'NI-Ric_SP'!$C:$AN,MID(W$1,1,2),FALSE)</f>
        <v>0</v>
      </c>
      <c r="X1273" s="55">
        <f>VLOOKUP($E1273,'NI-Ric_SP'!$C:$AN,MID(X$1,1,2),FALSE)</f>
        <v>0</v>
      </c>
      <c r="Y1273" s="55">
        <f>VLOOKUP($E1273,'NI-Ric_SP'!$C:$AN,MID(Y$1,1,2),FALSE)</f>
        <v>0</v>
      </c>
      <c r="Z1273" s="55">
        <f>VLOOKUP($E1273,'NI-Ric_SP'!$C:$AN,MID(Z$1,1,2),FALSE)</f>
        <v>0</v>
      </c>
      <c r="AA1273" s="55">
        <f>VLOOKUP($E1273,'NI-Ric_SP'!$C:$AN,MID(AA$1,1,2),FALSE)</f>
        <v>0</v>
      </c>
      <c r="AB1273" s="55">
        <f>VLOOKUP($E1273,'NI-Ric_SP'!$C:$AN,MID(AB$1,1,2),FALSE)</f>
        <v>0</v>
      </c>
      <c r="AC1273" s="55">
        <f>VLOOKUP($E1273,'NI-Ric_SP'!$C:$AN,MID(AC$1,1,2),FALSE)</f>
        <v>0</v>
      </c>
      <c r="AD1273" s="55" t="str">
        <f>VLOOKUP($E1273,'NI-Ric_SP'!$C:$AN,MID(AD$1,1,2),FALSE)</f>
        <v>USO REGIONE</v>
      </c>
      <c r="AE1273" s="55">
        <f>VLOOKUP($E1273,'NI-Ric_SP'!$C:$AN,MID(AE$1,1,2),FALSE)</f>
        <v>0</v>
      </c>
      <c r="AF1273" s="55">
        <f>VLOOKUP($E1273,'NI-Ric_SP'!$C:$AN,MID(AF$1,1,2),FALSE)</f>
        <v>0</v>
      </c>
      <c r="AG1273" s="55">
        <f>VLOOKUP($E1273,'NI-Ric_SP'!$C:$AN,MID(AG$1,1,2),FALSE)</f>
        <v>0</v>
      </c>
      <c r="AH1273" s="55">
        <f>VLOOKUP($E1273,'NI-Ric_SP'!$C:$AN,MID(AH$1,1,2),FALSE)</f>
        <v>0</v>
      </c>
      <c r="AI1273" s="55">
        <f>VLOOKUP($E1273,'NI-Ric_SP'!$C:$AN,MID(AI$1,1,2),FALSE)</f>
        <v>0</v>
      </c>
      <c r="AJ1273" s="55">
        <f>VLOOKUP($E1273,'NI-Ric_SP'!$C:$AN,MID(AJ$1,1,2),FALSE)</f>
        <v>0</v>
      </c>
      <c r="AK1273" s="55">
        <f>VLOOKUP($E1273,'NI-Ric_SP'!$C:$AN,MID(AK$1,1,2),FALSE)</f>
        <v>0</v>
      </c>
      <c r="AL1273" s="55">
        <f>VLOOKUP($E1273,'NI-Ric_SP'!$C:$AN,MID(AL$1,1,2),FALSE)</f>
        <v>0</v>
      </c>
      <c r="AM1273" s="56">
        <f>VLOOKUP($E1273,'NI-Ric_SP'!$C:$AN,MID(AM$1,1,2),FALSE)</f>
        <v>0</v>
      </c>
      <c r="AN1273" s="30" t="str">
        <f t="shared" si="19"/>
        <v>60302000000000</v>
      </c>
    </row>
    <row r="1274" spans="1:40" x14ac:dyDescent="0.25">
      <c r="C1274" s="40"/>
      <c r="D1274" s="101" t="s">
        <v>2091</v>
      </c>
      <c r="E1274" s="101" t="s">
        <v>2092</v>
      </c>
      <c r="F1274" s="102" t="s">
        <v>2750</v>
      </c>
      <c r="G1274" s="52"/>
      <c r="H1274" s="52"/>
      <c r="I1274" s="52" t="s">
        <v>2093</v>
      </c>
      <c r="J1274" s="52" t="s">
        <v>2093</v>
      </c>
      <c r="K1274" s="59" t="s">
        <v>79</v>
      </c>
      <c r="L1274" s="62" t="s">
        <v>2094</v>
      </c>
      <c r="M1274" s="52"/>
      <c r="N1274" s="52"/>
      <c r="O1274" s="52"/>
      <c r="P1274" s="63" t="s">
        <v>2095</v>
      </c>
      <c r="Q1274" s="55">
        <f>VLOOKUP(E1274,'NI-Ric_SP'!$C:$AN,12,FALSE)</f>
        <v>0</v>
      </c>
      <c r="R1274" s="55">
        <f>VLOOKUP(E1274,'NI-Ric_SP'!$C:$AN,13,FALSE)</f>
        <v>0</v>
      </c>
      <c r="S1274" s="55"/>
      <c r="T1274" s="55"/>
      <c r="U1274" s="55">
        <f>VLOOKUP($E1274,'NI-Ric_SP'!$C:$AN,MID(U$1,1,2),FALSE)</f>
        <v>0</v>
      </c>
      <c r="V1274" s="55">
        <f>VLOOKUP($E1274,'NI-Ric_SP'!$C:$AN,MID(V$1,1,2),FALSE)</f>
        <v>0</v>
      </c>
      <c r="W1274" s="55">
        <f>VLOOKUP($E1274,'NI-Ric_SP'!$C:$AN,MID(W$1,1,2),FALSE)</f>
        <v>0</v>
      </c>
      <c r="X1274" s="55">
        <f>VLOOKUP($E1274,'NI-Ric_SP'!$C:$AN,MID(X$1,1,2),FALSE)</f>
        <v>0</v>
      </c>
      <c r="Y1274" s="55">
        <f>VLOOKUP($E1274,'NI-Ric_SP'!$C:$AN,MID(Y$1,1,2),FALSE)</f>
        <v>0</v>
      </c>
      <c r="Z1274" s="55">
        <f>VLOOKUP($E1274,'NI-Ric_SP'!$C:$AN,MID(Z$1,1,2),FALSE)</f>
        <v>0</v>
      </c>
      <c r="AA1274" s="55">
        <f>VLOOKUP($E1274,'NI-Ric_SP'!$C:$AN,MID(AA$1,1,2),FALSE)</f>
        <v>0</v>
      </c>
      <c r="AB1274" s="55">
        <f>VLOOKUP($E1274,'NI-Ric_SP'!$C:$AN,MID(AB$1,1,2),FALSE)</f>
        <v>0</v>
      </c>
      <c r="AC1274" s="55">
        <f>VLOOKUP($E1274,'NI-Ric_SP'!$C:$AN,MID(AC$1,1,2),FALSE)</f>
        <v>0</v>
      </c>
      <c r="AD1274" s="55">
        <f>VLOOKUP($E1274,'NI-Ric_SP'!$C:$AN,MID(AD$1,1,2),FALSE)</f>
        <v>0</v>
      </c>
      <c r="AE1274" s="55">
        <f>VLOOKUP($E1274,'NI-Ric_SP'!$C:$AN,MID(AE$1,1,2),FALSE)</f>
        <v>0</v>
      </c>
      <c r="AF1274" s="55">
        <f>VLOOKUP($E1274,'NI-Ric_SP'!$C:$AN,MID(AF$1,1,2),FALSE)</f>
        <v>0</v>
      </c>
      <c r="AG1274" s="55">
        <f>VLOOKUP($E1274,'NI-Ric_SP'!$C:$AN,MID(AG$1,1,2),FALSE)</f>
        <v>0</v>
      </c>
      <c r="AH1274" s="55">
        <f>VLOOKUP($E1274,'NI-Ric_SP'!$C:$AN,MID(AH$1,1,2),FALSE)</f>
        <v>0</v>
      </c>
      <c r="AI1274" s="55">
        <f>VLOOKUP($E1274,'NI-Ric_SP'!$C:$AN,MID(AI$1,1,2),FALSE)</f>
        <v>0</v>
      </c>
      <c r="AJ1274" s="55">
        <f>VLOOKUP($E1274,'NI-Ric_SP'!$C:$AN,MID(AJ$1,1,2),FALSE)</f>
        <v>0</v>
      </c>
      <c r="AK1274" s="55">
        <f>VLOOKUP($E1274,'NI-Ric_SP'!$C:$AN,MID(AK$1,1,2),FALSE)</f>
        <v>0</v>
      </c>
      <c r="AL1274" s="55">
        <f>VLOOKUP($E1274,'NI-Ric_SP'!$C:$AN,MID(AL$1,1,2),FALSE)</f>
        <v>0</v>
      </c>
      <c r="AM1274" s="56">
        <f>VLOOKUP($E1274,'NI-Ric_SP'!$C:$AN,MID(AM$1,1,2),FALSE)</f>
        <v>0</v>
      </c>
      <c r="AN1274" s="30" t="str">
        <f t="shared" si="19"/>
        <v>60303000000000</v>
      </c>
    </row>
    <row r="1275" spans="1:40" x14ac:dyDescent="0.25">
      <c r="C1275" s="40"/>
      <c r="D1275" s="101" t="s">
        <v>2096</v>
      </c>
      <c r="E1275" s="101" t="s">
        <v>2097</v>
      </c>
      <c r="F1275" s="102" t="s">
        <v>2750</v>
      </c>
      <c r="G1275" s="52"/>
      <c r="H1275" s="52"/>
      <c r="I1275" s="52" t="s">
        <v>2098</v>
      </c>
      <c r="J1275" s="52" t="s">
        <v>2098</v>
      </c>
      <c r="K1275" s="59" t="s">
        <v>79</v>
      </c>
      <c r="L1275" s="62" t="s">
        <v>2099</v>
      </c>
      <c r="M1275" s="52"/>
      <c r="N1275" s="52"/>
      <c r="O1275" s="52"/>
      <c r="P1275" s="63" t="s">
        <v>2100</v>
      </c>
      <c r="Q1275" s="55">
        <f>VLOOKUP(E1275,'NI-Ric_SP'!$C:$AN,12,FALSE)</f>
        <v>0</v>
      </c>
      <c r="R1275" s="55">
        <f>VLOOKUP(E1275,'NI-Ric_SP'!$C:$AN,13,FALSE)</f>
        <v>0</v>
      </c>
      <c r="S1275" s="55"/>
      <c r="T1275" s="55"/>
      <c r="U1275" s="55">
        <f>VLOOKUP($E1275,'NI-Ric_SP'!$C:$AN,MID(U$1,1,2),FALSE)</f>
        <v>0</v>
      </c>
      <c r="V1275" s="55">
        <f>VLOOKUP($E1275,'NI-Ric_SP'!$C:$AN,MID(V$1,1,2),FALSE)</f>
        <v>0</v>
      </c>
      <c r="W1275" s="55">
        <f>VLOOKUP($E1275,'NI-Ric_SP'!$C:$AN,MID(W$1,1,2),FALSE)</f>
        <v>0</v>
      </c>
      <c r="X1275" s="55">
        <f>VLOOKUP($E1275,'NI-Ric_SP'!$C:$AN,MID(X$1,1,2),FALSE)</f>
        <v>0</v>
      </c>
      <c r="Y1275" s="55">
        <f>VLOOKUP($E1275,'NI-Ric_SP'!$C:$AN,MID(Y$1,1,2),FALSE)</f>
        <v>0</v>
      </c>
      <c r="Z1275" s="55">
        <f>VLOOKUP($E1275,'NI-Ric_SP'!$C:$AN,MID(Z$1,1,2),FALSE)</f>
        <v>0</v>
      </c>
      <c r="AA1275" s="55">
        <f>VLOOKUP($E1275,'NI-Ric_SP'!$C:$AN,MID(AA$1,1,2),FALSE)</f>
        <v>0</v>
      </c>
      <c r="AB1275" s="55">
        <f>VLOOKUP($E1275,'NI-Ric_SP'!$C:$AN,MID(AB$1,1,2),FALSE)</f>
        <v>0</v>
      </c>
      <c r="AC1275" s="55">
        <f>VLOOKUP($E1275,'NI-Ric_SP'!$C:$AN,MID(AC$1,1,2),FALSE)</f>
        <v>0</v>
      </c>
      <c r="AD1275" s="55">
        <f>VLOOKUP($E1275,'NI-Ric_SP'!$C:$AN,MID(AD$1,1,2),FALSE)</f>
        <v>0</v>
      </c>
      <c r="AE1275" s="55">
        <f>VLOOKUP($E1275,'NI-Ric_SP'!$C:$AN,MID(AE$1,1,2),FALSE)</f>
        <v>0</v>
      </c>
      <c r="AF1275" s="55">
        <f>VLOOKUP($E1275,'NI-Ric_SP'!$C:$AN,MID(AF$1,1,2),FALSE)</f>
        <v>0</v>
      </c>
      <c r="AG1275" s="55">
        <f>VLOOKUP($E1275,'NI-Ric_SP'!$C:$AN,MID(AG$1,1,2),FALSE)</f>
        <v>0</v>
      </c>
      <c r="AH1275" s="55">
        <f>VLOOKUP($E1275,'NI-Ric_SP'!$C:$AN,MID(AH$1,1,2),FALSE)</f>
        <v>0</v>
      </c>
      <c r="AI1275" s="55">
        <f>VLOOKUP($E1275,'NI-Ric_SP'!$C:$AN,MID(AI$1,1,2),FALSE)</f>
        <v>0</v>
      </c>
      <c r="AJ1275" s="55">
        <f>VLOOKUP($E1275,'NI-Ric_SP'!$C:$AN,MID(AJ$1,1,2),FALSE)</f>
        <v>0</v>
      </c>
      <c r="AK1275" s="55">
        <f>VLOOKUP($E1275,'NI-Ric_SP'!$C:$AN,MID(AK$1,1,2),FALSE)</f>
        <v>0</v>
      </c>
      <c r="AL1275" s="55">
        <f>VLOOKUP($E1275,'NI-Ric_SP'!$C:$AN,MID(AL$1,1,2),FALSE)</f>
        <v>0</v>
      </c>
      <c r="AM1275" s="56">
        <f>VLOOKUP($E1275,'NI-Ric_SP'!$C:$AN,MID(AM$1,1,2),FALSE)</f>
        <v>0</v>
      </c>
      <c r="AN1275" s="30" t="str">
        <f t="shared" si="19"/>
        <v>60304000000000</v>
      </c>
    </row>
    <row r="1276" spans="1:40" x14ac:dyDescent="0.25">
      <c r="C1276" s="40"/>
      <c r="D1276" s="101" t="s">
        <v>2101</v>
      </c>
      <c r="E1276" s="101" t="s">
        <v>2102</v>
      </c>
      <c r="F1276" s="102" t="s">
        <v>2750</v>
      </c>
      <c r="G1276" s="52"/>
      <c r="H1276" s="52"/>
      <c r="I1276" s="52" t="s">
        <v>2103</v>
      </c>
      <c r="J1276" s="52" t="s">
        <v>2103</v>
      </c>
      <c r="K1276" s="59" t="s">
        <v>79</v>
      </c>
      <c r="L1276" s="62" t="s">
        <v>2104</v>
      </c>
      <c r="M1276" s="52"/>
      <c r="N1276" s="52"/>
      <c r="O1276" s="52"/>
      <c r="P1276" s="63" t="s">
        <v>2105</v>
      </c>
      <c r="Q1276" s="55">
        <f>VLOOKUP(E1276,'NI-Ric_SP'!$C:$AN,12,FALSE)</f>
        <v>0</v>
      </c>
      <c r="R1276" s="55">
        <f>VLOOKUP(E1276,'NI-Ric_SP'!$C:$AN,13,FALSE)</f>
        <v>0</v>
      </c>
      <c r="S1276" s="55"/>
      <c r="T1276" s="55"/>
      <c r="U1276" s="55">
        <f>VLOOKUP($E1276,'NI-Ric_SP'!$C:$AN,MID(U$1,1,2),FALSE)</f>
        <v>0</v>
      </c>
      <c r="V1276" s="55">
        <f>VLOOKUP($E1276,'NI-Ric_SP'!$C:$AN,MID(V$1,1,2),FALSE)</f>
        <v>0</v>
      </c>
      <c r="W1276" s="55">
        <f>VLOOKUP($E1276,'NI-Ric_SP'!$C:$AN,MID(W$1,1,2),FALSE)</f>
        <v>0</v>
      </c>
      <c r="X1276" s="55">
        <f>VLOOKUP($E1276,'NI-Ric_SP'!$C:$AN,MID(X$1,1,2),FALSE)</f>
        <v>0</v>
      </c>
      <c r="Y1276" s="55">
        <f>VLOOKUP($E1276,'NI-Ric_SP'!$C:$AN,MID(Y$1,1,2),FALSE)</f>
        <v>0</v>
      </c>
      <c r="Z1276" s="55">
        <f>VLOOKUP($E1276,'NI-Ric_SP'!$C:$AN,MID(Z$1,1,2),FALSE)</f>
        <v>0</v>
      </c>
      <c r="AA1276" s="55">
        <f>VLOOKUP($E1276,'NI-Ric_SP'!$C:$AN,MID(AA$1,1,2),FALSE)</f>
        <v>0</v>
      </c>
      <c r="AB1276" s="55">
        <f>VLOOKUP($E1276,'NI-Ric_SP'!$C:$AN,MID(AB$1,1,2),FALSE)</f>
        <v>0</v>
      </c>
      <c r="AC1276" s="55">
        <f>VLOOKUP($E1276,'NI-Ric_SP'!$C:$AN,MID(AC$1,1,2),FALSE)</f>
        <v>0</v>
      </c>
      <c r="AD1276" s="55">
        <f>VLOOKUP($E1276,'NI-Ric_SP'!$C:$AN,MID(AD$1,1,2),FALSE)</f>
        <v>0</v>
      </c>
      <c r="AE1276" s="55">
        <f>VLOOKUP($E1276,'NI-Ric_SP'!$C:$AN,MID(AE$1,1,2),FALSE)</f>
        <v>0</v>
      </c>
      <c r="AF1276" s="55">
        <f>VLOOKUP($E1276,'NI-Ric_SP'!$C:$AN,MID(AF$1,1,2),FALSE)</f>
        <v>0</v>
      </c>
      <c r="AG1276" s="55">
        <f>VLOOKUP($E1276,'NI-Ric_SP'!$C:$AN,MID(AG$1,1,2),FALSE)</f>
        <v>0</v>
      </c>
      <c r="AH1276" s="55">
        <f>VLOOKUP($E1276,'NI-Ric_SP'!$C:$AN,MID(AH$1,1,2),FALSE)</f>
        <v>0</v>
      </c>
      <c r="AI1276" s="55">
        <f>VLOOKUP($E1276,'NI-Ric_SP'!$C:$AN,MID(AI$1,1,2),FALSE)</f>
        <v>0</v>
      </c>
      <c r="AJ1276" s="55">
        <f>VLOOKUP($E1276,'NI-Ric_SP'!$C:$AN,MID(AJ$1,1,2),FALSE)</f>
        <v>0</v>
      </c>
      <c r="AK1276" s="55">
        <f>VLOOKUP($E1276,'NI-Ric_SP'!$C:$AN,MID(AK$1,1,2),FALSE)</f>
        <v>0</v>
      </c>
      <c r="AL1276" s="55">
        <f>VLOOKUP($E1276,'NI-Ric_SP'!$C:$AN,MID(AL$1,1,2),FALSE)</f>
        <v>0</v>
      </c>
      <c r="AM1276" s="56">
        <f>VLOOKUP($E1276,'NI-Ric_SP'!$C:$AN,MID(AM$1,1,2),FALSE)</f>
        <v>0</v>
      </c>
      <c r="AN1276" s="30" t="str">
        <f t="shared" si="19"/>
        <v>60305000000000</v>
      </c>
    </row>
    <row r="1277" spans="1:40" x14ac:dyDescent="0.25">
      <c r="C1277" s="40"/>
      <c r="D1277" s="101" t="s">
        <v>2106</v>
      </c>
      <c r="E1277" s="101" t="s">
        <v>2107</v>
      </c>
      <c r="F1277" s="102" t="s">
        <v>2750</v>
      </c>
      <c r="G1277" s="52"/>
      <c r="H1277" s="52"/>
      <c r="I1277" s="52" t="s">
        <v>2108</v>
      </c>
      <c r="J1277" s="52" t="s">
        <v>2108</v>
      </c>
      <c r="K1277" s="59" t="s">
        <v>79</v>
      </c>
      <c r="L1277" s="62" t="s">
        <v>2109</v>
      </c>
      <c r="M1277" s="52"/>
      <c r="N1277" s="52"/>
      <c r="O1277" s="52"/>
      <c r="P1277" s="63" t="s">
        <v>2110</v>
      </c>
      <c r="Q1277" s="55">
        <f>VLOOKUP(E1277,'NI-Ric_SP'!$C:$AN,12,FALSE)</f>
        <v>0</v>
      </c>
      <c r="R1277" s="55">
        <f>VLOOKUP(E1277,'NI-Ric_SP'!$C:$AN,13,FALSE)</f>
        <v>0</v>
      </c>
      <c r="S1277" s="55"/>
      <c r="T1277" s="55"/>
      <c r="U1277" s="55">
        <f>VLOOKUP($E1277,'NI-Ric_SP'!$C:$AN,MID(U$1,1,2),FALSE)</f>
        <v>0</v>
      </c>
      <c r="V1277" s="55">
        <f>VLOOKUP($E1277,'NI-Ric_SP'!$C:$AN,MID(V$1,1,2),FALSE)</f>
        <v>0</v>
      </c>
      <c r="W1277" s="55">
        <f>VLOOKUP($E1277,'NI-Ric_SP'!$C:$AN,MID(W$1,1,2),FALSE)</f>
        <v>0</v>
      </c>
      <c r="X1277" s="55">
        <f>VLOOKUP($E1277,'NI-Ric_SP'!$C:$AN,MID(X$1,1,2),FALSE)</f>
        <v>0</v>
      </c>
      <c r="Y1277" s="55">
        <f>VLOOKUP($E1277,'NI-Ric_SP'!$C:$AN,MID(Y$1,1,2),FALSE)</f>
        <v>0</v>
      </c>
      <c r="Z1277" s="55">
        <f>VLOOKUP($E1277,'NI-Ric_SP'!$C:$AN,MID(Z$1,1,2),FALSE)</f>
        <v>0</v>
      </c>
      <c r="AA1277" s="55">
        <f>VLOOKUP($E1277,'NI-Ric_SP'!$C:$AN,MID(AA$1,1,2),FALSE)</f>
        <v>0</v>
      </c>
      <c r="AB1277" s="55">
        <f>VLOOKUP($E1277,'NI-Ric_SP'!$C:$AN,MID(AB$1,1,2),FALSE)</f>
        <v>0</v>
      </c>
      <c r="AC1277" s="55">
        <f>VLOOKUP($E1277,'NI-Ric_SP'!$C:$AN,MID(AC$1,1,2),FALSE)</f>
        <v>0</v>
      </c>
      <c r="AD1277" s="55">
        <f>VLOOKUP($E1277,'NI-Ric_SP'!$C:$AN,MID(AD$1,1,2),FALSE)</f>
        <v>0</v>
      </c>
      <c r="AE1277" s="55">
        <f>VLOOKUP($E1277,'NI-Ric_SP'!$C:$AN,MID(AE$1,1,2),FALSE)</f>
        <v>0</v>
      </c>
      <c r="AF1277" s="55">
        <f>VLOOKUP($E1277,'NI-Ric_SP'!$C:$AN,MID(AF$1,1,2),FALSE)</f>
        <v>0</v>
      </c>
      <c r="AG1277" s="55">
        <f>VLOOKUP($E1277,'NI-Ric_SP'!$C:$AN,MID(AG$1,1,2),FALSE)</f>
        <v>0</v>
      </c>
      <c r="AH1277" s="55">
        <f>VLOOKUP($E1277,'NI-Ric_SP'!$C:$AN,MID(AH$1,1,2),FALSE)</f>
        <v>0</v>
      </c>
      <c r="AI1277" s="55">
        <f>VLOOKUP($E1277,'NI-Ric_SP'!$C:$AN,MID(AI$1,1,2),FALSE)</f>
        <v>0</v>
      </c>
      <c r="AJ1277" s="55">
        <f>VLOOKUP($E1277,'NI-Ric_SP'!$C:$AN,MID(AJ$1,1,2),FALSE)</f>
        <v>0</v>
      </c>
      <c r="AK1277" s="55">
        <f>VLOOKUP($E1277,'NI-Ric_SP'!$C:$AN,MID(AK$1,1,2),FALSE)</f>
        <v>0</v>
      </c>
      <c r="AL1277" s="55">
        <f>VLOOKUP($E1277,'NI-Ric_SP'!$C:$AN,MID(AL$1,1,2),FALSE)</f>
        <v>0</v>
      </c>
      <c r="AM1277" s="56">
        <f>VLOOKUP($E1277,'NI-Ric_SP'!$C:$AN,MID(AM$1,1,2),FALSE)</f>
        <v>0</v>
      </c>
      <c r="AN1277" s="30" t="str">
        <f t="shared" si="19"/>
        <v>60306000000000</v>
      </c>
    </row>
    <row r="1278" spans="1:40" x14ac:dyDescent="0.25">
      <c r="C1278" s="40"/>
      <c r="D1278" s="101" t="s">
        <v>2111</v>
      </c>
      <c r="E1278" s="101" t="s">
        <v>2112</v>
      </c>
      <c r="F1278" s="102" t="s">
        <v>2750</v>
      </c>
      <c r="G1278" s="52"/>
      <c r="H1278" s="52"/>
      <c r="I1278" s="52" t="s">
        <v>2113</v>
      </c>
      <c r="J1278" s="52" t="s">
        <v>2113</v>
      </c>
      <c r="K1278" s="59" t="s">
        <v>79</v>
      </c>
      <c r="L1278" s="62" t="s">
        <v>2114</v>
      </c>
      <c r="M1278" s="52"/>
      <c r="N1278" s="52"/>
      <c r="O1278" s="52"/>
      <c r="P1278" s="63" t="s">
        <v>2115</v>
      </c>
      <c r="Q1278" s="55">
        <f>VLOOKUP(E1278,'NI-Ric_SP'!$C:$AN,12,FALSE)</f>
        <v>0</v>
      </c>
      <c r="R1278" s="55">
        <f>VLOOKUP(E1278,'NI-Ric_SP'!$C:$AN,13,FALSE)</f>
        <v>0</v>
      </c>
      <c r="S1278" s="55"/>
      <c r="T1278" s="55"/>
      <c r="U1278" s="55">
        <f>VLOOKUP($E1278,'NI-Ric_SP'!$C:$AN,MID(U$1,1,2),FALSE)</f>
        <v>0</v>
      </c>
      <c r="V1278" s="55">
        <f>VLOOKUP($E1278,'NI-Ric_SP'!$C:$AN,MID(V$1,1,2),FALSE)</f>
        <v>0</v>
      </c>
      <c r="W1278" s="55">
        <f>VLOOKUP($E1278,'NI-Ric_SP'!$C:$AN,MID(W$1,1,2),FALSE)</f>
        <v>0</v>
      </c>
      <c r="X1278" s="55">
        <f>VLOOKUP($E1278,'NI-Ric_SP'!$C:$AN,MID(X$1,1,2),FALSE)</f>
        <v>0</v>
      </c>
      <c r="Y1278" s="55">
        <f>VLOOKUP($E1278,'NI-Ric_SP'!$C:$AN,MID(Y$1,1,2),FALSE)</f>
        <v>0</v>
      </c>
      <c r="Z1278" s="55">
        <f>VLOOKUP($E1278,'NI-Ric_SP'!$C:$AN,MID(Z$1,1,2),FALSE)</f>
        <v>0</v>
      </c>
      <c r="AA1278" s="55">
        <f>VLOOKUP($E1278,'NI-Ric_SP'!$C:$AN,MID(AA$1,1,2),FALSE)</f>
        <v>0</v>
      </c>
      <c r="AB1278" s="55">
        <f>VLOOKUP($E1278,'NI-Ric_SP'!$C:$AN,MID(AB$1,1,2),FALSE)</f>
        <v>0</v>
      </c>
      <c r="AC1278" s="55">
        <f>VLOOKUP($E1278,'NI-Ric_SP'!$C:$AN,MID(AC$1,1,2),FALSE)</f>
        <v>0</v>
      </c>
      <c r="AD1278" s="55">
        <f>VLOOKUP($E1278,'NI-Ric_SP'!$C:$AN,MID(AD$1,1,2),FALSE)</f>
        <v>0</v>
      </c>
      <c r="AE1278" s="55">
        <f>VLOOKUP($E1278,'NI-Ric_SP'!$C:$AN,MID(AE$1,1,2),FALSE)</f>
        <v>0</v>
      </c>
      <c r="AF1278" s="55">
        <f>VLOOKUP($E1278,'NI-Ric_SP'!$C:$AN,MID(AF$1,1,2),FALSE)</f>
        <v>0</v>
      </c>
      <c r="AG1278" s="55">
        <f>VLOOKUP($E1278,'NI-Ric_SP'!$C:$AN,MID(AG$1,1,2),FALSE)</f>
        <v>0</v>
      </c>
      <c r="AH1278" s="55">
        <f>VLOOKUP($E1278,'NI-Ric_SP'!$C:$AN,MID(AH$1,1,2),FALSE)</f>
        <v>0</v>
      </c>
      <c r="AI1278" s="55">
        <f>VLOOKUP($E1278,'NI-Ric_SP'!$C:$AN,MID(AI$1,1,2),FALSE)</f>
        <v>0</v>
      </c>
      <c r="AJ1278" s="55">
        <f>VLOOKUP($E1278,'NI-Ric_SP'!$C:$AN,MID(AJ$1,1,2),FALSE)</f>
        <v>0</v>
      </c>
      <c r="AK1278" s="55">
        <f>VLOOKUP($E1278,'NI-Ric_SP'!$C:$AN,MID(AK$1,1,2),FALSE)</f>
        <v>0</v>
      </c>
      <c r="AL1278" s="55">
        <f>VLOOKUP($E1278,'NI-Ric_SP'!$C:$AN,MID(AL$1,1,2),FALSE)</f>
        <v>0</v>
      </c>
      <c r="AM1278" s="56">
        <f>VLOOKUP($E1278,'NI-Ric_SP'!$C:$AN,MID(AM$1,1,2),FALSE)</f>
        <v>0</v>
      </c>
      <c r="AN1278" s="30" t="str">
        <f t="shared" si="19"/>
        <v>60307000000000</v>
      </c>
    </row>
    <row r="1279" spans="1:40" ht="27" x14ac:dyDescent="0.25">
      <c r="A1279" s="30" t="s">
        <v>1394</v>
      </c>
      <c r="C1279" s="40"/>
      <c r="D1279" s="87" t="s">
        <v>2117</v>
      </c>
      <c r="E1279" s="87" t="s">
        <v>2118</v>
      </c>
      <c r="F1279" s="102" t="s">
        <v>2750</v>
      </c>
      <c r="H1279" s="52"/>
      <c r="I1279" s="52"/>
      <c r="J1279" s="52" t="s">
        <v>2119</v>
      </c>
      <c r="K1279" s="59" t="s">
        <v>2120</v>
      </c>
      <c r="L1279" s="81"/>
      <c r="M1279" s="52"/>
      <c r="N1279" s="52"/>
      <c r="O1279" s="52"/>
      <c r="P1279" s="76" t="s">
        <v>2121</v>
      </c>
      <c r="Q1279" s="55">
        <f>VLOOKUP(E1279,'NI-Ric_SP'!$C:$AN,12,FALSE)</f>
        <v>0</v>
      </c>
      <c r="R1279" s="55">
        <f>VLOOKUP(E1279,'NI-Ric_SP'!$C:$AN,13,FALSE)</f>
        <v>0</v>
      </c>
      <c r="S1279" s="55"/>
      <c r="T1279" s="55"/>
      <c r="U1279" s="55">
        <f>VLOOKUP($E1279,'NI-Ric_SP'!$C:$AN,MID(U$1,1,2),FALSE)</f>
        <v>0</v>
      </c>
      <c r="V1279" s="55">
        <f>VLOOKUP($E1279,'NI-Ric_SP'!$C:$AN,MID(V$1,1,2),FALSE)</f>
        <v>0</v>
      </c>
      <c r="W1279" s="55">
        <f>VLOOKUP($E1279,'NI-Ric_SP'!$C:$AN,MID(W$1,1,2),FALSE)</f>
        <v>0</v>
      </c>
      <c r="X1279" s="55">
        <f>VLOOKUP($E1279,'NI-Ric_SP'!$C:$AN,MID(X$1,1,2),FALSE)</f>
        <v>0</v>
      </c>
      <c r="Y1279" s="55">
        <f>VLOOKUP($E1279,'NI-Ric_SP'!$C:$AN,MID(Y$1,1,2),FALSE)</f>
        <v>0</v>
      </c>
      <c r="Z1279" s="55">
        <f>VLOOKUP($E1279,'NI-Ric_SP'!$C:$AN,MID(Z$1,1,2),FALSE)</f>
        <v>0</v>
      </c>
      <c r="AA1279" s="55">
        <f>VLOOKUP($E1279,'NI-Ric_SP'!$C:$AN,MID(AA$1,1,2),FALSE)</f>
        <v>0</v>
      </c>
      <c r="AB1279" s="55">
        <f>VLOOKUP($E1279,'NI-Ric_SP'!$C:$AN,MID(AB$1,1,2),FALSE)</f>
        <v>0</v>
      </c>
      <c r="AC1279" s="55">
        <f>VLOOKUP($E1279,'NI-Ric_SP'!$C:$AN,MID(AC$1,1,2),FALSE)</f>
        <v>0</v>
      </c>
      <c r="AD1279" s="55">
        <f>VLOOKUP($E1279,'NI-Ric_SP'!$C:$AN,MID(AD$1,1,2),FALSE)</f>
        <v>0</v>
      </c>
      <c r="AE1279" s="55">
        <f>VLOOKUP($E1279,'NI-Ric_SP'!$C:$AN,MID(AE$1,1,2),FALSE)</f>
        <v>0</v>
      </c>
      <c r="AF1279" s="55">
        <f>VLOOKUP($E1279,'NI-Ric_SP'!$C:$AN,MID(AF$1,1,2),FALSE)</f>
        <v>0</v>
      </c>
      <c r="AG1279" s="55">
        <f>VLOOKUP($E1279,'NI-Ric_SP'!$C:$AN,MID(AG$1,1,2),FALSE)</f>
        <v>0</v>
      </c>
      <c r="AH1279" s="55">
        <f>VLOOKUP($E1279,'NI-Ric_SP'!$C:$AN,MID(AH$1,1,2),FALSE)</f>
        <v>0</v>
      </c>
      <c r="AI1279" s="55">
        <f>VLOOKUP($E1279,'NI-Ric_SP'!$C:$AN,MID(AI$1,1,2),FALSE)</f>
        <v>0</v>
      </c>
      <c r="AJ1279" s="55">
        <f>VLOOKUP($E1279,'NI-Ric_SP'!$C:$AN,MID(AJ$1,1,2),FALSE)</f>
        <v>0</v>
      </c>
      <c r="AK1279" s="55">
        <f>VLOOKUP($E1279,'NI-Ric_SP'!$C:$AN,MID(AK$1,1,2),FALSE)</f>
        <v>0</v>
      </c>
      <c r="AL1279" s="55">
        <f>VLOOKUP($E1279,'NI-Ric_SP'!$C:$AN,MID(AL$1,1,2),FALSE)</f>
        <v>0</v>
      </c>
      <c r="AM1279" s="56">
        <f>VLOOKUP($E1279,'NI-Ric_SP'!$C:$AN,MID(AM$1,1,2),FALSE)</f>
        <v>0</v>
      </c>
      <c r="AN1279" s="30" t="str">
        <f t="shared" si="19"/>
        <v>60308000000000</v>
      </c>
    </row>
    <row r="1280" spans="1:40" x14ac:dyDescent="0.25">
      <c r="C1280" s="40"/>
      <c r="D1280" s="101" t="s">
        <v>2122</v>
      </c>
      <c r="E1280" s="101" t="s">
        <v>2123</v>
      </c>
      <c r="F1280" s="102" t="s">
        <v>2750</v>
      </c>
      <c r="G1280" s="52"/>
      <c r="H1280" s="52"/>
      <c r="I1280" s="52"/>
      <c r="J1280" s="52"/>
      <c r="K1280" s="59" t="s">
        <v>111</v>
      </c>
      <c r="L1280" s="52"/>
      <c r="M1280" s="52"/>
      <c r="N1280" s="52"/>
      <c r="O1280" s="61" t="s">
        <v>2124</v>
      </c>
      <c r="P1280" s="60" t="s">
        <v>2125</v>
      </c>
      <c r="Q1280" s="55">
        <f>VLOOKUP(E1280,'NI-Ric_SP'!$C:$AN,12,FALSE)</f>
        <v>0</v>
      </c>
      <c r="R1280" s="55">
        <f>VLOOKUP(E1280,'NI-Ric_SP'!$C:$AN,13,FALSE)</f>
        <v>0</v>
      </c>
      <c r="S1280" s="55"/>
      <c r="T1280" s="55"/>
      <c r="U1280" s="55">
        <f>VLOOKUP($E1280,'NI-Ric_SP'!$C:$AN,MID(U$1,1,2),FALSE)</f>
        <v>0</v>
      </c>
      <c r="V1280" s="55">
        <f>VLOOKUP($E1280,'NI-Ric_SP'!$C:$AN,MID(V$1,1,2),FALSE)</f>
        <v>0</v>
      </c>
      <c r="W1280" s="55">
        <f>VLOOKUP($E1280,'NI-Ric_SP'!$C:$AN,MID(W$1,1,2),FALSE)</f>
        <v>0</v>
      </c>
      <c r="X1280" s="55">
        <f>VLOOKUP($E1280,'NI-Ric_SP'!$C:$AN,MID(X$1,1,2),FALSE)</f>
        <v>0</v>
      </c>
      <c r="Y1280" s="55">
        <f>VLOOKUP($E1280,'NI-Ric_SP'!$C:$AN,MID(Y$1,1,2),FALSE)</f>
        <v>0</v>
      </c>
      <c r="Z1280" s="55">
        <f>VLOOKUP($E1280,'NI-Ric_SP'!$C:$AN,MID(Z$1,1,2),FALSE)</f>
        <v>0</v>
      </c>
      <c r="AA1280" s="55">
        <f>VLOOKUP($E1280,'NI-Ric_SP'!$C:$AN,MID(AA$1,1,2),FALSE)</f>
        <v>0</v>
      </c>
      <c r="AB1280" s="55">
        <f>VLOOKUP($E1280,'NI-Ric_SP'!$C:$AN,MID(AB$1,1,2),FALSE)</f>
        <v>0</v>
      </c>
      <c r="AC1280" s="55">
        <f>VLOOKUP($E1280,'NI-Ric_SP'!$C:$AN,MID(AC$1,1,2),FALSE)</f>
        <v>0</v>
      </c>
      <c r="AD1280" s="55">
        <f>VLOOKUP($E1280,'NI-Ric_SP'!$C:$AN,MID(AD$1,1,2),FALSE)</f>
        <v>0</v>
      </c>
      <c r="AE1280" s="55">
        <f>VLOOKUP($E1280,'NI-Ric_SP'!$C:$AN,MID(AE$1,1,2),FALSE)</f>
        <v>0</v>
      </c>
      <c r="AF1280" s="55">
        <f>VLOOKUP($E1280,'NI-Ric_SP'!$C:$AN,MID(AF$1,1,2),FALSE)</f>
        <v>0</v>
      </c>
      <c r="AG1280" s="55">
        <f>VLOOKUP($E1280,'NI-Ric_SP'!$C:$AN,MID(AG$1,1,2),FALSE)</f>
        <v>0</v>
      </c>
      <c r="AH1280" s="55">
        <f>VLOOKUP($E1280,'NI-Ric_SP'!$C:$AN,MID(AH$1,1,2),FALSE)</f>
        <v>0</v>
      </c>
      <c r="AI1280" s="55">
        <f>VLOOKUP($E1280,'NI-Ric_SP'!$C:$AN,MID(AI$1,1,2),FALSE)</f>
        <v>0</v>
      </c>
      <c r="AJ1280" s="55">
        <f>VLOOKUP($E1280,'NI-Ric_SP'!$C:$AN,MID(AJ$1,1,2),FALSE)</f>
        <v>0</v>
      </c>
      <c r="AK1280" s="55">
        <f>VLOOKUP($E1280,'NI-Ric_SP'!$C:$AN,MID(AK$1,1,2),FALSE)</f>
        <v>0</v>
      </c>
      <c r="AL1280" s="55">
        <f>VLOOKUP($E1280,'NI-Ric_SP'!$C:$AN,MID(AL$1,1,2),FALSE)</f>
        <v>0</v>
      </c>
      <c r="AM1280" s="56">
        <f>VLOOKUP($E1280,'NI-Ric_SP'!$C:$AN,MID(AM$1,1,2),FALSE)</f>
        <v>0</v>
      </c>
      <c r="AN1280" s="30" t="str">
        <f t="shared" si="19"/>
        <v>60400000000000</v>
      </c>
    </row>
    <row r="1281" spans="1:40" x14ac:dyDescent="0.25">
      <c r="A1281" s="30" t="s">
        <v>1394</v>
      </c>
      <c r="C1281" s="40"/>
      <c r="D1281" s="87" t="s">
        <v>2126</v>
      </c>
      <c r="E1281" s="87" t="s">
        <v>2127</v>
      </c>
      <c r="F1281" s="102" t="s">
        <v>2750</v>
      </c>
      <c r="H1281" s="52"/>
      <c r="I1281" s="52"/>
      <c r="J1281" s="52" t="s">
        <v>2128</v>
      </c>
      <c r="K1281" s="59"/>
      <c r="L1281" s="88"/>
      <c r="M1281" s="52"/>
      <c r="N1281" s="52"/>
      <c r="O1281" s="61"/>
      <c r="P1281" s="63" t="s">
        <v>2129</v>
      </c>
      <c r="Q1281" s="55">
        <f>VLOOKUP(E1281,'NI-Ric_SP'!$C:$AN,12,FALSE)</f>
        <v>0</v>
      </c>
      <c r="R1281" s="55">
        <f>VLOOKUP(E1281,'NI-Ric_SP'!$C:$AN,13,FALSE)</f>
        <v>0</v>
      </c>
      <c r="S1281" s="55"/>
      <c r="T1281" s="55"/>
      <c r="U1281" s="55">
        <f>VLOOKUP($E1281,'NI-Ric_SP'!$C:$AN,MID(U$1,1,2),FALSE)</f>
        <v>0</v>
      </c>
      <c r="V1281" s="55">
        <f>VLOOKUP($E1281,'NI-Ric_SP'!$C:$AN,MID(V$1,1,2),FALSE)</f>
        <v>0</v>
      </c>
      <c r="W1281" s="55">
        <f>VLOOKUP($E1281,'NI-Ric_SP'!$C:$AN,MID(W$1,1,2),FALSE)</f>
        <v>0</v>
      </c>
      <c r="X1281" s="55">
        <f>VLOOKUP($E1281,'NI-Ric_SP'!$C:$AN,MID(X$1,1,2),FALSE)</f>
        <v>0</v>
      </c>
      <c r="Y1281" s="55">
        <f>VLOOKUP($E1281,'NI-Ric_SP'!$C:$AN,MID(Y$1,1,2),FALSE)</f>
        <v>0</v>
      </c>
      <c r="Z1281" s="55">
        <f>VLOOKUP($E1281,'NI-Ric_SP'!$C:$AN,MID(Z$1,1,2),FALSE)</f>
        <v>0</v>
      </c>
      <c r="AA1281" s="55">
        <f>VLOOKUP($E1281,'NI-Ric_SP'!$C:$AN,MID(AA$1,1,2),FALSE)</f>
        <v>0</v>
      </c>
      <c r="AB1281" s="55">
        <f>VLOOKUP($E1281,'NI-Ric_SP'!$C:$AN,MID(AB$1,1,2),FALSE)</f>
        <v>0</v>
      </c>
      <c r="AC1281" s="55">
        <f>VLOOKUP($E1281,'NI-Ric_SP'!$C:$AN,MID(AC$1,1,2),FALSE)</f>
        <v>0</v>
      </c>
      <c r="AD1281" s="55">
        <f>VLOOKUP($E1281,'NI-Ric_SP'!$C:$AN,MID(AD$1,1,2),FALSE)</f>
        <v>0</v>
      </c>
      <c r="AE1281" s="55">
        <f>VLOOKUP($E1281,'NI-Ric_SP'!$C:$AN,MID(AE$1,1,2),FALSE)</f>
        <v>0</v>
      </c>
      <c r="AF1281" s="55">
        <f>VLOOKUP($E1281,'NI-Ric_SP'!$C:$AN,MID(AF$1,1,2),FALSE)</f>
        <v>0</v>
      </c>
      <c r="AG1281" s="55">
        <f>VLOOKUP($E1281,'NI-Ric_SP'!$C:$AN,MID(AG$1,1,2),FALSE)</f>
        <v>0</v>
      </c>
      <c r="AH1281" s="55">
        <f>VLOOKUP($E1281,'NI-Ric_SP'!$C:$AN,MID(AH$1,1,2),FALSE)</f>
        <v>0</v>
      </c>
      <c r="AI1281" s="55">
        <f>VLOOKUP($E1281,'NI-Ric_SP'!$C:$AN,MID(AI$1,1,2),FALSE)</f>
        <v>0</v>
      </c>
      <c r="AJ1281" s="55">
        <f>VLOOKUP($E1281,'NI-Ric_SP'!$C:$AN,MID(AJ$1,1,2),FALSE)</f>
        <v>0</v>
      </c>
      <c r="AK1281" s="55">
        <f>VLOOKUP($E1281,'NI-Ric_SP'!$C:$AN,MID(AK$1,1,2),FALSE)</f>
        <v>0</v>
      </c>
      <c r="AL1281" s="55">
        <f>VLOOKUP($E1281,'NI-Ric_SP'!$C:$AN,MID(AL$1,1,2),FALSE)</f>
        <v>0</v>
      </c>
      <c r="AM1281" s="56">
        <f>VLOOKUP($E1281,'NI-Ric_SP'!$C:$AN,MID(AM$1,1,2),FALSE)</f>
        <v>0</v>
      </c>
      <c r="AN1281" s="30" t="str">
        <f t="shared" si="19"/>
        <v>60401000000000</v>
      </c>
    </row>
    <row r="1282" spans="1:40" x14ac:dyDescent="0.25">
      <c r="C1282" s="40"/>
      <c r="D1282" s="101" t="s">
        <v>2130</v>
      </c>
      <c r="E1282" s="101" t="s">
        <v>2131</v>
      </c>
      <c r="F1282" s="102" t="s">
        <v>2750</v>
      </c>
      <c r="G1282" s="52"/>
      <c r="H1282" s="52"/>
      <c r="I1282" s="52" t="s">
        <v>2132</v>
      </c>
      <c r="J1282" s="52" t="s">
        <v>2132</v>
      </c>
      <c r="K1282" s="59" t="s">
        <v>111</v>
      </c>
      <c r="L1282" s="62" t="s">
        <v>2133</v>
      </c>
      <c r="M1282" s="52"/>
      <c r="N1282" s="52"/>
      <c r="O1282" s="52"/>
      <c r="P1282" s="63" t="s">
        <v>2134</v>
      </c>
      <c r="Q1282" s="55">
        <f>VLOOKUP(E1282,'NI-Ric_SP'!$C:$AN,12,FALSE)</f>
        <v>0</v>
      </c>
      <c r="R1282" s="55">
        <f>VLOOKUP(E1282,'NI-Ric_SP'!$C:$AN,13,FALSE)</f>
        <v>0</v>
      </c>
      <c r="S1282" s="55"/>
      <c r="T1282" s="55"/>
      <c r="U1282" s="55">
        <f>VLOOKUP($E1282,'NI-Ric_SP'!$C:$AN,MID(U$1,1,2),FALSE)</f>
        <v>0</v>
      </c>
      <c r="V1282" s="55">
        <f>VLOOKUP($E1282,'NI-Ric_SP'!$C:$AN,MID(V$1,1,2),FALSE)</f>
        <v>0</v>
      </c>
      <c r="W1282" s="55">
        <f>VLOOKUP($E1282,'NI-Ric_SP'!$C:$AN,MID(W$1,1,2),FALSE)</f>
        <v>0</v>
      </c>
      <c r="X1282" s="55">
        <f>VLOOKUP($E1282,'NI-Ric_SP'!$C:$AN,MID(X$1,1,2),FALSE)</f>
        <v>0</v>
      </c>
      <c r="Y1282" s="55">
        <f>VLOOKUP($E1282,'NI-Ric_SP'!$C:$AN,MID(Y$1,1,2),FALSE)</f>
        <v>0</v>
      </c>
      <c r="Z1282" s="55">
        <f>VLOOKUP($E1282,'NI-Ric_SP'!$C:$AN,MID(Z$1,1,2),FALSE)</f>
        <v>0</v>
      </c>
      <c r="AA1282" s="55">
        <f>VLOOKUP($E1282,'NI-Ric_SP'!$C:$AN,MID(AA$1,1,2),FALSE)</f>
        <v>0</v>
      </c>
      <c r="AB1282" s="55">
        <f>VLOOKUP($E1282,'NI-Ric_SP'!$C:$AN,MID(AB$1,1,2),FALSE)</f>
        <v>0</v>
      </c>
      <c r="AC1282" s="55">
        <f>VLOOKUP($E1282,'NI-Ric_SP'!$C:$AN,MID(AC$1,1,2),FALSE)</f>
        <v>0</v>
      </c>
      <c r="AD1282" s="55">
        <f>VLOOKUP($E1282,'NI-Ric_SP'!$C:$AN,MID(AD$1,1,2),FALSE)</f>
        <v>0</v>
      </c>
      <c r="AE1282" s="55">
        <f>VLOOKUP($E1282,'NI-Ric_SP'!$C:$AN,MID(AE$1,1,2),FALSE)</f>
        <v>0</v>
      </c>
      <c r="AF1282" s="55">
        <f>VLOOKUP($E1282,'NI-Ric_SP'!$C:$AN,MID(AF$1,1,2),FALSE)</f>
        <v>0</v>
      </c>
      <c r="AG1282" s="55">
        <f>VLOOKUP($E1282,'NI-Ric_SP'!$C:$AN,MID(AG$1,1,2),FALSE)</f>
        <v>0</v>
      </c>
      <c r="AH1282" s="55">
        <f>VLOOKUP($E1282,'NI-Ric_SP'!$C:$AN,MID(AH$1,1,2),FALSE)</f>
        <v>0</v>
      </c>
      <c r="AI1282" s="55">
        <f>VLOOKUP($E1282,'NI-Ric_SP'!$C:$AN,MID(AI$1,1,2),FALSE)</f>
        <v>0</v>
      </c>
      <c r="AJ1282" s="55">
        <f>VLOOKUP($E1282,'NI-Ric_SP'!$C:$AN,MID(AJ$1,1,2),FALSE)</f>
        <v>0</v>
      </c>
      <c r="AK1282" s="55">
        <f>VLOOKUP($E1282,'NI-Ric_SP'!$C:$AN,MID(AK$1,1,2),FALSE)</f>
        <v>0</v>
      </c>
      <c r="AL1282" s="55">
        <f>VLOOKUP($E1282,'NI-Ric_SP'!$C:$AN,MID(AL$1,1,2),FALSE)</f>
        <v>0</v>
      </c>
      <c r="AM1282" s="56">
        <f>VLOOKUP($E1282,'NI-Ric_SP'!$C:$AN,MID(AM$1,1,2),FALSE)</f>
        <v>0</v>
      </c>
      <c r="AN1282" s="30" t="str">
        <f t="shared" ref="AN1282:AN1345" si="20">D1282</f>
        <v>60402000000000</v>
      </c>
    </row>
    <row r="1283" spans="1:40" x14ac:dyDescent="0.25">
      <c r="C1283" s="40"/>
      <c r="D1283" s="101" t="s">
        <v>2135</v>
      </c>
      <c r="E1283" s="101" t="s">
        <v>2136</v>
      </c>
      <c r="F1283" s="102" t="s">
        <v>2750</v>
      </c>
      <c r="G1283" s="52"/>
      <c r="H1283" s="52"/>
      <c r="I1283" s="52"/>
      <c r="J1283" s="52"/>
      <c r="K1283" s="59" t="s">
        <v>79</v>
      </c>
      <c r="L1283" s="65"/>
      <c r="M1283" s="52"/>
      <c r="N1283" s="52"/>
      <c r="O1283" s="52"/>
      <c r="P1283" s="76" t="s">
        <v>2137</v>
      </c>
      <c r="Q1283" s="55">
        <f>VLOOKUP(E1283,'NI-Ric_SP'!$C:$AN,12,FALSE)</f>
        <v>0</v>
      </c>
      <c r="R1283" s="55">
        <f>VLOOKUP(E1283,'NI-Ric_SP'!$C:$AN,13,FALSE)</f>
        <v>0</v>
      </c>
      <c r="S1283" s="55"/>
      <c r="T1283" s="55"/>
      <c r="U1283" s="55">
        <f>VLOOKUP($E1283,'NI-Ric_SP'!$C:$AN,MID(U$1,1,2),FALSE)</f>
        <v>0</v>
      </c>
      <c r="V1283" s="55">
        <f>VLOOKUP($E1283,'NI-Ric_SP'!$C:$AN,MID(V$1,1,2),FALSE)</f>
        <v>0</v>
      </c>
      <c r="W1283" s="55">
        <f>VLOOKUP($E1283,'NI-Ric_SP'!$C:$AN,MID(W$1,1,2),FALSE)</f>
        <v>0</v>
      </c>
      <c r="X1283" s="55">
        <f>VLOOKUP($E1283,'NI-Ric_SP'!$C:$AN,MID(X$1,1,2),FALSE)</f>
        <v>0</v>
      </c>
      <c r="Y1283" s="55">
        <f>VLOOKUP($E1283,'NI-Ric_SP'!$C:$AN,MID(Y$1,1,2),FALSE)</f>
        <v>0</v>
      </c>
      <c r="Z1283" s="55">
        <f>VLOOKUP($E1283,'NI-Ric_SP'!$C:$AN,MID(Z$1,1,2),FALSE)</f>
        <v>0</v>
      </c>
      <c r="AA1283" s="55">
        <f>VLOOKUP($E1283,'NI-Ric_SP'!$C:$AN,MID(AA$1,1,2),FALSE)</f>
        <v>0</v>
      </c>
      <c r="AB1283" s="55">
        <f>VLOOKUP($E1283,'NI-Ric_SP'!$C:$AN,MID(AB$1,1,2),FALSE)</f>
        <v>0</v>
      </c>
      <c r="AC1283" s="55">
        <f>VLOOKUP($E1283,'NI-Ric_SP'!$C:$AN,MID(AC$1,1,2),FALSE)</f>
        <v>0</v>
      </c>
      <c r="AD1283" s="55">
        <f>VLOOKUP($E1283,'NI-Ric_SP'!$C:$AN,MID(AD$1,1,2),FALSE)</f>
        <v>0</v>
      </c>
      <c r="AE1283" s="55">
        <f>VLOOKUP($E1283,'NI-Ric_SP'!$C:$AN,MID(AE$1,1,2),FALSE)</f>
        <v>0</v>
      </c>
      <c r="AF1283" s="55">
        <f>VLOOKUP($E1283,'NI-Ric_SP'!$C:$AN,MID(AF$1,1,2),FALSE)</f>
        <v>0</v>
      </c>
      <c r="AG1283" s="55">
        <f>VLOOKUP($E1283,'NI-Ric_SP'!$C:$AN,MID(AG$1,1,2),FALSE)</f>
        <v>0</v>
      </c>
      <c r="AH1283" s="55">
        <f>VLOOKUP($E1283,'NI-Ric_SP'!$C:$AN,MID(AH$1,1,2),FALSE)</f>
        <v>0</v>
      </c>
      <c r="AI1283" s="55">
        <f>VLOOKUP($E1283,'NI-Ric_SP'!$C:$AN,MID(AI$1,1,2),FALSE)</f>
        <v>0</v>
      </c>
      <c r="AJ1283" s="55">
        <f>VLOOKUP($E1283,'NI-Ric_SP'!$C:$AN,MID(AJ$1,1,2),FALSE)</f>
        <v>0</v>
      </c>
      <c r="AK1283" s="55">
        <f>VLOOKUP($E1283,'NI-Ric_SP'!$C:$AN,MID(AK$1,1,2),FALSE)</f>
        <v>0</v>
      </c>
      <c r="AL1283" s="55">
        <f>VLOOKUP($E1283,'NI-Ric_SP'!$C:$AN,MID(AL$1,1,2),FALSE)</f>
        <v>0</v>
      </c>
      <c r="AM1283" s="56">
        <f>VLOOKUP($E1283,'NI-Ric_SP'!$C:$AN,MID(AM$1,1,2),FALSE)</f>
        <v>0</v>
      </c>
      <c r="AN1283" s="30" t="str">
        <f t="shared" si="20"/>
        <v>60402010000000</v>
      </c>
    </row>
    <row r="1284" spans="1:40" x14ac:dyDescent="0.25">
      <c r="C1284" s="40"/>
      <c r="D1284" s="101" t="s">
        <v>2138</v>
      </c>
      <c r="E1284" s="101" t="s">
        <v>2139</v>
      </c>
      <c r="F1284" s="102" t="s">
        <v>2750</v>
      </c>
      <c r="G1284" s="52"/>
      <c r="H1284" s="52"/>
      <c r="I1284" s="52"/>
      <c r="J1284" s="52"/>
      <c r="K1284" s="59" t="s">
        <v>79</v>
      </c>
      <c r="L1284" s="65"/>
      <c r="M1284" s="52"/>
      <c r="N1284" s="52"/>
      <c r="O1284" s="52"/>
      <c r="P1284" s="76" t="s">
        <v>2140</v>
      </c>
      <c r="Q1284" s="55">
        <f>VLOOKUP(E1284,'NI-Ric_SP'!$C:$AN,12,FALSE)</f>
        <v>0</v>
      </c>
      <c r="R1284" s="55">
        <f>VLOOKUP(E1284,'NI-Ric_SP'!$C:$AN,13,FALSE)</f>
        <v>0</v>
      </c>
      <c r="S1284" s="55"/>
      <c r="T1284" s="55"/>
      <c r="U1284" s="55">
        <f>VLOOKUP($E1284,'NI-Ric_SP'!$C:$AN,MID(U$1,1,2),FALSE)</f>
        <v>0</v>
      </c>
      <c r="V1284" s="55">
        <f>VLOOKUP($E1284,'NI-Ric_SP'!$C:$AN,MID(V$1,1,2),FALSE)</f>
        <v>0</v>
      </c>
      <c r="W1284" s="55">
        <f>VLOOKUP($E1284,'NI-Ric_SP'!$C:$AN,MID(W$1,1,2),FALSE)</f>
        <v>0</v>
      </c>
      <c r="X1284" s="55">
        <f>VLOOKUP($E1284,'NI-Ric_SP'!$C:$AN,MID(X$1,1,2),FALSE)</f>
        <v>0</v>
      </c>
      <c r="Y1284" s="55">
        <f>VLOOKUP($E1284,'NI-Ric_SP'!$C:$AN,MID(Y$1,1,2),FALSE)</f>
        <v>0</v>
      </c>
      <c r="Z1284" s="55">
        <f>VLOOKUP($E1284,'NI-Ric_SP'!$C:$AN,MID(Z$1,1,2),FALSE)</f>
        <v>0</v>
      </c>
      <c r="AA1284" s="55">
        <f>VLOOKUP($E1284,'NI-Ric_SP'!$C:$AN,MID(AA$1,1,2),FALSE)</f>
        <v>0</v>
      </c>
      <c r="AB1284" s="55">
        <f>VLOOKUP($E1284,'NI-Ric_SP'!$C:$AN,MID(AB$1,1,2),FALSE)</f>
        <v>0</v>
      </c>
      <c r="AC1284" s="55">
        <f>VLOOKUP($E1284,'NI-Ric_SP'!$C:$AN,MID(AC$1,1,2),FALSE)</f>
        <v>0</v>
      </c>
      <c r="AD1284" s="55">
        <f>VLOOKUP($E1284,'NI-Ric_SP'!$C:$AN,MID(AD$1,1,2),FALSE)</f>
        <v>0</v>
      </c>
      <c r="AE1284" s="55">
        <f>VLOOKUP($E1284,'NI-Ric_SP'!$C:$AN,MID(AE$1,1,2),FALSE)</f>
        <v>0</v>
      </c>
      <c r="AF1284" s="55">
        <f>VLOOKUP($E1284,'NI-Ric_SP'!$C:$AN,MID(AF$1,1,2),FALSE)</f>
        <v>0</v>
      </c>
      <c r="AG1284" s="55">
        <f>VLOOKUP($E1284,'NI-Ric_SP'!$C:$AN,MID(AG$1,1,2),FALSE)</f>
        <v>0</v>
      </c>
      <c r="AH1284" s="55">
        <f>VLOOKUP($E1284,'NI-Ric_SP'!$C:$AN,MID(AH$1,1,2),FALSE)</f>
        <v>0</v>
      </c>
      <c r="AI1284" s="55">
        <f>VLOOKUP($E1284,'NI-Ric_SP'!$C:$AN,MID(AI$1,1,2),FALSE)</f>
        <v>0</v>
      </c>
      <c r="AJ1284" s="55">
        <f>VLOOKUP($E1284,'NI-Ric_SP'!$C:$AN,MID(AJ$1,1,2),FALSE)</f>
        <v>0</v>
      </c>
      <c r="AK1284" s="55">
        <f>VLOOKUP($E1284,'NI-Ric_SP'!$C:$AN,MID(AK$1,1,2),FALSE)</f>
        <v>0</v>
      </c>
      <c r="AL1284" s="55">
        <f>VLOOKUP($E1284,'NI-Ric_SP'!$C:$AN,MID(AL$1,1,2),FALSE)</f>
        <v>0</v>
      </c>
      <c r="AM1284" s="56">
        <f>VLOOKUP($E1284,'NI-Ric_SP'!$C:$AN,MID(AM$1,1,2),FALSE)</f>
        <v>0</v>
      </c>
      <c r="AN1284" s="30" t="str">
        <f t="shared" si="20"/>
        <v>60402020000000</v>
      </c>
    </row>
    <row r="1285" spans="1:40" ht="27" x14ac:dyDescent="0.25">
      <c r="C1285" s="40"/>
      <c r="D1285" s="101" t="s">
        <v>2141</v>
      </c>
      <c r="E1285" s="101" t="s">
        <v>2142</v>
      </c>
      <c r="F1285" s="102" t="s">
        <v>2750</v>
      </c>
      <c r="G1285" s="52"/>
      <c r="H1285" s="52"/>
      <c r="I1285" s="52"/>
      <c r="J1285" s="52"/>
      <c r="K1285" s="59" t="s">
        <v>79</v>
      </c>
      <c r="L1285" s="62"/>
      <c r="M1285" s="52"/>
      <c r="N1285" s="52"/>
      <c r="O1285" s="52"/>
      <c r="P1285" s="76" t="s">
        <v>2143</v>
      </c>
      <c r="Q1285" s="55">
        <f>VLOOKUP(E1285,'NI-Ric_SP'!$C:$AN,12,FALSE)</f>
        <v>0</v>
      </c>
      <c r="R1285" s="55">
        <f>VLOOKUP(E1285,'NI-Ric_SP'!$C:$AN,13,FALSE)</f>
        <v>0</v>
      </c>
      <c r="S1285" s="55"/>
      <c r="T1285" s="55"/>
      <c r="U1285" s="55">
        <f>VLOOKUP($E1285,'NI-Ric_SP'!$C:$AN,MID(U$1,1,2),FALSE)</f>
        <v>0</v>
      </c>
      <c r="V1285" s="55">
        <f>VLOOKUP($E1285,'NI-Ric_SP'!$C:$AN,MID(V$1,1,2),FALSE)</f>
        <v>0</v>
      </c>
      <c r="W1285" s="55">
        <f>VLOOKUP($E1285,'NI-Ric_SP'!$C:$AN,MID(W$1,1,2),FALSE)</f>
        <v>0</v>
      </c>
      <c r="X1285" s="55">
        <f>VLOOKUP($E1285,'NI-Ric_SP'!$C:$AN,MID(X$1,1,2),FALSE)</f>
        <v>0</v>
      </c>
      <c r="Y1285" s="55">
        <f>VLOOKUP($E1285,'NI-Ric_SP'!$C:$AN,MID(Y$1,1,2),FALSE)</f>
        <v>0</v>
      </c>
      <c r="Z1285" s="55">
        <f>VLOOKUP($E1285,'NI-Ric_SP'!$C:$AN,MID(Z$1,1,2),FALSE)</f>
        <v>0</v>
      </c>
      <c r="AA1285" s="55">
        <f>VLOOKUP($E1285,'NI-Ric_SP'!$C:$AN,MID(AA$1,1,2),FALSE)</f>
        <v>0</v>
      </c>
      <c r="AB1285" s="55">
        <f>VLOOKUP($E1285,'NI-Ric_SP'!$C:$AN,MID(AB$1,1,2),FALSE)</f>
        <v>0</v>
      </c>
      <c r="AC1285" s="55">
        <f>VLOOKUP($E1285,'NI-Ric_SP'!$C:$AN,MID(AC$1,1,2),FALSE)</f>
        <v>0</v>
      </c>
      <c r="AD1285" s="55">
        <f>VLOOKUP($E1285,'NI-Ric_SP'!$C:$AN,MID(AD$1,1,2),FALSE)</f>
        <v>0</v>
      </c>
      <c r="AE1285" s="55">
        <f>VLOOKUP($E1285,'NI-Ric_SP'!$C:$AN,MID(AE$1,1,2),FALSE)</f>
        <v>0</v>
      </c>
      <c r="AF1285" s="55">
        <f>VLOOKUP($E1285,'NI-Ric_SP'!$C:$AN,MID(AF$1,1,2),FALSE)</f>
        <v>0</v>
      </c>
      <c r="AG1285" s="55">
        <f>VLOOKUP($E1285,'NI-Ric_SP'!$C:$AN,MID(AG$1,1,2),FALSE)</f>
        <v>0</v>
      </c>
      <c r="AH1285" s="55">
        <f>VLOOKUP($E1285,'NI-Ric_SP'!$C:$AN,MID(AH$1,1,2),FALSE)</f>
        <v>0</v>
      </c>
      <c r="AI1285" s="55">
        <f>VLOOKUP($E1285,'NI-Ric_SP'!$C:$AN,MID(AI$1,1,2),FALSE)</f>
        <v>0</v>
      </c>
      <c r="AJ1285" s="55">
        <f>VLOOKUP($E1285,'NI-Ric_SP'!$C:$AN,MID(AJ$1,1,2),FALSE)</f>
        <v>0</v>
      </c>
      <c r="AK1285" s="55">
        <f>VLOOKUP($E1285,'NI-Ric_SP'!$C:$AN,MID(AK$1,1,2),FALSE)</f>
        <v>0</v>
      </c>
      <c r="AL1285" s="55">
        <f>VLOOKUP($E1285,'NI-Ric_SP'!$C:$AN,MID(AL$1,1,2),FALSE)</f>
        <v>0</v>
      </c>
      <c r="AM1285" s="56">
        <f>VLOOKUP($E1285,'NI-Ric_SP'!$C:$AN,MID(AM$1,1,2),FALSE)</f>
        <v>0</v>
      </c>
      <c r="AN1285" s="30" t="str">
        <f t="shared" si="20"/>
        <v>60402030000000</v>
      </c>
    </row>
    <row r="1286" spans="1:40" x14ac:dyDescent="0.25">
      <c r="C1286" s="40"/>
      <c r="D1286" s="101" t="s">
        <v>2144</v>
      </c>
      <c r="E1286" s="101" t="s">
        <v>2145</v>
      </c>
      <c r="F1286" s="102" t="s">
        <v>2750</v>
      </c>
      <c r="G1286" s="52"/>
      <c r="H1286" s="52"/>
      <c r="I1286" s="52"/>
      <c r="J1286" s="52"/>
      <c r="K1286" s="59" t="s">
        <v>79</v>
      </c>
      <c r="L1286" s="65"/>
      <c r="M1286" s="52"/>
      <c r="N1286" s="52"/>
      <c r="O1286" s="52"/>
      <c r="P1286" s="76" t="s">
        <v>2146</v>
      </c>
      <c r="Q1286" s="55">
        <f>VLOOKUP(E1286,'NI-Ric_SP'!$C:$AN,12,FALSE)</f>
        <v>0</v>
      </c>
      <c r="R1286" s="55">
        <f>VLOOKUP(E1286,'NI-Ric_SP'!$C:$AN,13,FALSE)</f>
        <v>0</v>
      </c>
      <c r="S1286" s="55"/>
      <c r="T1286" s="55"/>
      <c r="U1286" s="55">
        <f>VLOOKUP($E1286,'NI-Ric_SP'!$C:$AN,MID(U$1,1,2),FALSE)</f>
        <v>0</v>
      </c>
      <c r="V1286" s="55">
        <f>VLOOKUP($E1286,'NI-Ric_SP'!$C:$AN,MID(V$1,1,2),FALSE)</f>
        <v>0</v>
      </c>
      <c r="W1286" s="55">
        <f>VLOOKUP($E1286,'NI-Ric_SP'!$C:$AN,MID(W$1,1,2),FALSE)</f>
        <v>0</v>
      </c>
      <c r="X1286" s="55">
        <f>VLOOKUP($E1286,'NI-Ric_SP'!$C:$AN,MID(X$1,1,2),FALSE)</f>
        <v>0</v>
      </c>
      <c r="Y1286" s="55">
        <f>VLOOKUP($E1286,'NI-Ric_SP'!$C:$AN,MID(Y$1,1,2),FALSE)</f>
        <v>0</v>
      </c>
      <c r="Z1286" s="55">
        <f>VLOOKUP($E1286,'NI-Ric_SP'!$C:$AN,MID(Z$1,1,2),FALSE)</f>
        <v>0</v>
      </c>
      <c r="AA1286" s="55">
        <f>VLOOKUP($E1286,'NI-Ric_SP'!$C:$AN,MID(AA$1,1,2),FALSE)</f>
        <v>0</v>
      </c>
      <c r="AB1286" s="55">
        <f>VLOOKUP($E1286,'NI-Ric_SP'!$C:$AN,MID(AB$1,1,2),FALSE)</f>
        <v>0</v>
      </c>
      <c r="AC1286" s="55">
        <f>VLOOKUP($E1286,'NI-Ric_SP'!$C:$AN,MID(AC$1,1,2),FALSE)</f>
        <v>0</v>
      </c>
      <c r="AD1286" s="55">
        <f>VLOOKUP($E1286,'NI-Ric_SP'!$C:$AN,MID(AD$1,1,2),FALSE)</f>
        <v>0</v>
      </c>
      <c r="AE1286" s="55">
        <f>VLOOKUP($E1286,'NI-Ric_SP'!$C:$AN,MID(AE$1,1,2),FALSE)</f>
        <v>0</v>
      </c>
      <c r="AF1286" s="55">
        <f>VLOOKUP($E1286,'NI-Ric_SP'!$C:$AN,MID(AF$1,1,2),FALSE)</f>
        <v>0</v>
      </c>
      <c r="AG1286" s="55">
        <f>VLOOKUP($E1286,'NI-Ric_SP'!$C:$AN,MID(AG$1,1,2),FALSE)</f>
        <v>0</v>
      </c>
      <c r="AH1286" s="55">
        <f>VLOOKUP($E1286,'NI-Ric_SP'!$C:$AN,MID(AH$1,1,2),FALSE)</f>
        <v>0</v>
      </c>
      <c r="AI1286" s="55">
        <f>VLOOKUP($E1286,'NI-Ric_SP'!$C:$AN,MID(AI$1,1,2),FALSE)</f>
        <v>0</v>
      </c>
      <c r="AJ1286" s="55">
        <f>VLOOKUP($E1286,'NI-Ric_SP'!$C:$AN,MID(AJ$1,1,2),FALSE)</f>
        <v>0</v>
      </c>
      <c r="AK1286" s="55">
        <f>VLOOKUP($E1286,'NI-Ric_SP'!$C:$AN,MID(AK$1,1,2),FALSE)</f>
        <v>0</v>
      </c>
      <c r="AL1286" s="55">
        <f>VLOOKUP($E1286,'NI-Ric_SP'!$C:$AN,MID(AL$1,1,2),FALSE)</f>
        <v>0</v>
      </c>
      <c r="AM1286" s="56">
        <f>VLOOKUP($E1286,'NI-Ric_SP'!$C:$AN,MID(AM$1,1,2),FALSE)</f>
        <v>0</v>
      </c>
      <c r="AN1286" s="30" t="str">
        <f t="shared" si="20"/>
        <v>60402040000000</v>
      </c>
    </row>
    <row r="1287" spans="1:40" x14ac:dyDescent="0.25">
      <c r="C1287" s="40"/>
      <c r="D1287" s="101" t="s">
        <v>2147</v>
      </c>
      <c r="E1287" s="101" t="s">
        <v>2148</v>
      </c>
      <c r="F1287" s="102" t="s">
        <v>2750</v>
      </c>
      <c r="G1287" s="52"/>
      <c r="H1287" s="52"/>
      <c r="I1287" s="52" t="s">
        <v>2149</v>
      </c>
      <c r="J1287" s="52" t="s">
        <v>2149</v>
      </c>
      <c r="K1287" s="59" t="s">
        <v>79</v>
      </c>
      <c r="L1287" s="62" t="s">
        <v>2150</v>
      </c>
      <c r="M1287" s="52"/>
      <c r="N1287" s="52"/>
      <c r="O1287" s="52"/>
      <c r="P1287" s="63" t="s">
        <v>2151</v>
      </c>
      <c r="Q1287" s="55">
        <f>VLOOKUP(E1287,'NI-Ric_SP'!$C:$AN,12,FALSE)</f>
        <v>0</v>
      </c>
      <c r="R1287" s="55">
        <f>VLOOKUP(E1287,'NI-Ric_SP'!$C:$AN,13,FALSE)</f>
        <v>0</v>
      </c>
      <c r="S1287" s="55"/>
      <c r="T1287" s="55"/>
      <c r="U1287" s="55">
        <f>VLOOKUP($E1287,'NI-Ric_SP'!$C:$AN,MID(U$1,1,2),FALSE)</f>
        <v>0</v>
      </c>
      <c r="V1287" s="55">
        <f>VLOOKUP($E1287,'NI-Ric_SP'!$C:$AN,MID(V$1,1,2),FALSE)</f>
        <v>0</v>
      </c>
      <c r="W1287" s="55">
        <f>VLOOKUP($E1287,'NI-Ric_SP'!$C:$AN,MID(W$1,1,2),FALSE)</f>
        <v>0</v>
      </c>
      <c r="X1287" s="55">
        <f>VLOOKUP($E1287,'NI-Ric_SP'!$C:$AN,MID(X$1,1,2),FALSE)</f>
        <v>0</v>
      </c>
      <c r="Y1287" s="55">
        <f>VLOOKUP($E1287,'NI-Ric_SP'!$C:$AN,MID(Y$1,1,2),FALSE)</f>
        <v>0</v>
      </c>
      <c r="Z1287" s="55">
        <f>VLOOKUP($E1287,'NI-Ric_SP'!$C:$AN,MID(Z$1,1,2),FALSE)</f>
        <v>0</v>
      </c>
      <c r="AA1287" s="55">
        <f>VLOOKUP($E1287,'NI-Ric_SP'!$C:$AN,MID(AA$1,1,2),FALSE)</f>
        <v>0</v>
      </c>
      <c r="AB1287" s="55">
        <f>VLOOKUP($E1287,'NI-Ric_SP'!$C:$AN,MID(AB$1,1,2),FALSE)</f>
        <v>0</v>
      </c>
      <c r="AC1287" s="55">
        <f>VLOOKUP($E1287,'NI-Ric_SP'!$C:$AN,MID(AC$1,1,2),FALSE)</f>
        <v>0</v>
      </c>
      <c r="AD1287" s="55">
        <f>VLOOKUP($E1287,'NI-Ric_SP'!$C:$AN,MID(AD$1,1,2),FALSE)</f>
        <v>0</v>
      </c>
      <c r="AE1287" s="55">
        <f>VLOOKUP($E1287,'NI-Ric_SP'!$C:$AN,MID(AE$1,1,2),FALSE)</f>
        <v>0</v>
      </c>
      <c r="AF1287" s="55">
        <f>VLOOKUP($E1287,'NI-Ric_SP'!$C:$AN,MID(AF$1,1,2),FALSE)</f>
        <v>0</v>
      </c>
      <c r="AG1287" s="55">
        <f>VLOOKUP($E1287,'NI-Ric_SP'!$C:$AN,MID(AG$1,1,2),FALSE)</f>
        <v>0</v>
      </c>
      <c r="AH1287" s="55">
        <f>VLOOKUP($E1287,'NI-Ric_SP'!$C:$AN,MID(AH$1,1,2),FALSE)</f>
        <v>0</v>
      </c>
      <c r="AI1287" s="55">
        <f>VLOOKUP($E1287,'NI-Ric_SP'!$C:$AN,MID(AI$1,1,2),FALSE)</f>
        <v>0</v>
      </c>
      <c r="AJ1287" s="55">
        <f>VLOOKUP($E1287,'NI-Ric_SP'!$C:$AN,MID(AJ$1,1,2),FALSE)</f>
        <v>0</v>
      </c>
      <c r="AK1287" s="55">
        <f>VLOOKUP($E1287,'NI-Ric_SP'!$C:$AN,MID(AK$1,1,2),FALSE)</f>
        <v>0</v>
      </c>
      <c r="AL1287" s="55">
        <f>VLOOKUP($E1287,'NI-Ric_SP'!$C:$AN,MID(AL$1,1,2),FALSE)</f>
        <v>0</v>
      </c>
      <c r="AM1287" s="56">
        <f>VLOOKUP($E1287,'NI-Ric_SP'!$C:$AN,MID(AM$1,1,2),FALSE)</f>
        <v>0</v>
      </c>
      <c r="AN1287" s="30" t="str">
        <f t="shared" si="20"/>
        <v>60403000000000</v>
      </c>
    </row>
    <row r="1288" spans="1:40" x14ac:dyDescent="0.25">
      <c r="C1288" s="40"/>
      <c r="D1288" s="101" t="s">
        <v>2152</v>
      </c>
      <c r="E1288" s="101" t="s">
        <v>2153</v>
      </c>
      <c r="F1288" s="102" t="s">
        <v>2750</v>
      </c>
      <c r="G1288" s="52"/>
      <c r="H1288" s="52"/>
      <c r="I1288" s="52" t="s">
        <v>2154</v>
      </c>
      <c r="J1288" s="52" t="s">
        <v>2154</v>
      </c>
      <c r="K1288" s="59" t="s">
        <v>111</v>
      </c>
      <c r="L1288" s="62" t="s">
        <v>2155</v>
      </c>
      <c r="M1288" s="52"/>
      <c r="N1288" s="52"/>
      <c r="O1288" s="52"/>
      <c r="P1288" s="63" t="s">
        <v>2156</v>
      </c>
      <c r="Q1288" s="55">
        <f>VLOOKUP(E1288,'NI-Ric_SP'!$C:$AN,12,FALSE)</f>
        <v>0</v>
      </c>
      <c r="R1288" s="55">
        <f>VLOOKUP(E1288,'NI-Ric_SP'!$C:$AN,13,FALSE)</f>
        <v>0</v>
      </c>
      <c r="S1288" s="55"/>
      <c r="T1288" s="55"/>
      <c r="U1288" s="55">
        <f>VLOOKUP($E1288,'NI-Ric_SP'!$C:$AN,MID(U$1,1,2),FALSE)</f>
        <v>0</v>
      </c>
      <c r="V1288" s="55">
        <f>VLOOKUP($E1288,'NI-Ric_SP'!$C:$AN,MID(V$1,1,2),FALSE)</f>
        <v>0</v>
      </c>
      <c r="W1288" s="55">
        <f>VLOOKUP($E1288,'NI-Ric_SP'!$C:$AN,MID(W$1,1,2),FALSE)</f>
        <v>0</v>
      </c>
      <c r="X1288" s="55">
        <f>VLOOKUP($E1288,'NI-Ric_SP'!$C:$AN,MID(X$1,1,2),FALSE)</f>
        <v>0</v>
      </c>
      <c r="Y1288" s="55">
        <f>VLOOKUP($E1288,'NI-Ric_SP'!$C:$AN,MID(Y$1,1,2),FALSE)</f>
        <v>0</v>
      </c>
      <c r="Z1288" s="55">
        <f>VLOOKUP($E1288,'NI-Ric_SP'!$C:$AN,MID(Z$1,1,2),FALSE)</f>
        <v>0</v>
      </c>
      <c r="AA1288" s="55">
        <f>VLOOKUP($E1288,'NI-Ric_SP'!$C:$AN,MID(AA$1,1,2),FALSE)</f>
        <v>0</v>
      </c>
      <c r="AB1288" s="55">
        <f>VLOOKUP($E1288,'NI-Ric_SP'!$C:$AN,MID(AB$1,1,2),FALSE)</f>
        <v>0</v>
      </c>
      <c r="AC1288" s="55">
        <f>VLOOKUP($E1288,'NI-Ric_SP'!$C:$AN,MID(AC$1,1,2),FALSE)</f>
        <v>0</v>
      </c>
      <c r="AD1288" s="55">
        <f>VLOOKUP($E1288,'NI-Ric_SP'!$C:$AN,MID(AD$1,1,2),FALSE)</f>
        <v>0</v>
      </c>
      <c r="AE1288" s="55">
        <f>VLOOKUP($E1288,'NI-Ric_SP'!$C:$AN,MID(AE$1,1,2),FALSE)</f>
        <v>0</v>
      </c>
      <c r="AF1288" s="55">
        <f>VLOOKUP($E1288,'NI-Ric_SP'!$C:$AN,MID(AF$1,1,2),FALSE)</f>
        <v>0</v>
      </c>
      <c r="AG1288" s="55">
        <f>VLOOKUP($E1288,'NI-Ric_SP'!$C:$AN,MID(AG$1,1,2),FALSE)</f>
        <v>0</v>
      </c>
      <c r="AH1288" s="55">
        <f>VLOOKUP($E1288,'NI-Ric_SP'!$C:$AN,MID(AH$1,1,2),FALSE)</f>
        <v>0</v>
      </c>
      <c r="AI1288" s="55">
        <f>VLOOKUP($E1288,'NI-Ric_SP'!$C:$AN,MID(AI$1,1,2),FALSE)</f>
        <v>0</v>
      </c>
      <c r="AJ1288" s="55">
        <f>VLOOKUP($E1288,'NI-Ric_SP'!$C:$AN,MID(AJ$1,1,2),FALSE)</f>
        <v>0</v>
      </c>
      <c r="AK1288" s="55">
        <f>VLOOKUP($E1288,'NI-Ric_SP'!$C:$AN,MID(AK$1,1,2),FALSE)</f>
        <v>0</v>
      </c>
      <c r="AL1288" s="55">
        <f>VLOOKUP($E1288,'NI-Ric_SP'!$C:$AN,MID(AL$1,1,2),FALSE)</f>
        <v>0</v>
      </c>
      <c r="AM1288" s="56">
        <f>VLOOKUP($E1288,'NI-Ric_SP'!$C:$AN,MID(AM$1,1,2),FALSE)</f>
        <v>0</v>
      </c>
      <c r="AN1288" s="30" t="str">
        <f t="shared" si="20"/>
        <v>60404000000000</v>
      </c>
    </row>
    <row r="1289" spans="1:40" x14ac:dyDescent="0.25">
      <c r="C1289" s="40"/>
      <c r="D1289" s="101" t="s">
        <v>2157</v>
      </c>
      <c r="E1289" s="101" t="s">
        <v>2158</v>
      </c>
      <c r="F1289" s="102" t="s">
        <v>2750</v>
      </c>
      <c r="G1289" s="52"/>
      <c r="H1289" s="52"/>
      <c r="I1289" s="52"/>
      <c r="J1289" s="52"/>
      <c r="K1289" s="59" t="s">
        <v>79</v>
      </c>
      <c r="L1289" s="52"/>
      <c r="M1289" s="52"/>
      <c r="N1289" s="52"/>
      <c r="O1289" s="52"/>
      <c r="P1289" s="76" t="s">
        <v>2159</v>
      </c>
      <c r="Q1289" s="55">
        <f>VLOOKUP(E1289,'NI-Ric_SP'!$C:$AN,12,FALSE)</f>
        <v>0</v>
      </c>
      <c r="R1289" s="55">
        <f>VLOOKUP(E1289,'NI-Ric_SP'!$C:$AN,13,FALSE)</f>
        <v>0</v>
      </c>
      <c r="S1289" s="55"/>
      <c r="T1289" s="55"/>
      <c r="U1289" s="55">
        <f>VLOOKUP($E1289,'NI-Ric_SP'!$C:$AN,MID(U$1,1,2),FALSE)</f>
        <v>0</v>
      </c>
      <c r="V1289" s="55">
        <f>VLOOKUP($E1289,'NI-Ric_SP'!$C:$AN,MID(V$1,1,2),FALSE)</f>
        <v>0</v>
      </c>
      <c r="W1289" s="55">
        <f>VLOOKUP($E1289,'NI-Ric_SP'!$C:$AN,MID(W$1,1,2),FALSE)</f>
        <v>0</v>
      </c>
      <c r="X1289" s="55">
        <f>VLOOKUP($E1289,'NI-Ric_SP'!$C:$AN,MID(X$1,1,2),FALSE)</f>
        <v>0</v>
      </c>
      <c r="Y1289" s="55">
        <f>VLOOKUP($E1289,'NI-Ric_SP'!$C:$AN,MID(Y$1,1,2),FALSE)</f>
        <v>0</v>
      </c>
      <c r="Z1289" s="55">
        <f>VLOOKUP($E1289,'NI-Ric_SP'!$C:$AN,MID(Z$1,1,2),FALSE)</f>
        <v>0</v>
      </c>
      <c r="AA1289" s="55">
        <f>VLOOKUP($E1289,'NI-Ric_SP'!$C:$AN,MID(AA$1,1,2),FALSE)</f>
        <v>0</v>
      </c>
      <c r="AB1289" s="55">
        <f>VLOOKUP($E1289,'NI-Ric_SP'!$C:$AN,MID(AB$1,1,2),FALSE)</f>
        <v>0</v>
      </c>
      <c r="AC1289" s="55">
        <f>VLOOKUP($E1289,'NI-Ric_SP'!$C:$AN,MID(AC$1,1,2),FALSE)</f>
        <v>0</v>
      </c>
      <c r="AD1289" s="55">
        <f>VLOOKUP($E1289,'NI-Ric_SP'!$C:$AN,MID(AD$1,1,2),FALSE)</f>
        <v>0</v>
      </c>
      <c r="AE1289" s="55">
        <f>VLOOKUP($E1289,'NI-Ric_SP'!$C:$AN,MID(AE$1,1,2),FALSE)</f>
        <v>0</v>
      </c>
      <c r="AF1289" s="55">
        <f>VLOOKUP($E1289,'NI-Ric_SP'!$C:$AN,MID(AF$1,1,2),FALSE)</f>
        <v>0</v>
      </c>
      <c r="AG1289" s="55">
        <f>VLOOKUP($E1289,'NI-Ric_SP'!$C:$AN,MID(AG$1,1,2),FALSE)</f>
        <v>0</v>
      </c>
      <c r="AH1289" s="55">
        <f>VLOOKUP($E1289,'NI-Ric_SP'!$C:$AN,MID(AH$1,1,2),FALSE)</f>
        <v>0</v>
      </c>
      <c r="AI1289" s="55">
        <f>VLOOKUP($E1289,'NI-Ric_SP'!$C:$AN,MID(AI$1,1,2),FALSE)</f>
        <v>0</v>
      </c>
      <c r="AJ1289" s="55">
        <f>VLOOKUP($E1289,'NI-Ric_SP'!$C:$AN,MID(AJ$1,1,2),FALSE)</f>
        <v>0</v>
      </c>
      <c r="AK1289" s="55">
        <f>VLOOKUP($E1289,'NI-Ric_SP'!$C:$AN,MID(AK$1,1,2),FALSE)</f>
        <v>0</v>
      </c>
      <c r="AL1289" s="55">
        <f>VLOOKUP($E1289,'NI-Ric_SP'!$C:$AN,MID(AL$1,1,2),FALSE)</f>
        <v>0</v>
      </c>
      <c r="AM1289" s="56">
        <f>VLOOKUP($E1289,'NI-Ric_SP'!$C:$AN,MID(AM$1,1,2),FALSE)</f>
        <v>0</v>
      </c>
      <c r="AN1289" s="30" t="str">
        <f t="shared" si="20"/>
        <v>60404010000000</v>
      </c>
    </row>
    <row r="1290" spans="1:40" x14ac:dyDescent="0.25">
      <c r="C1290" s="40"/>
      <c r="D1290" s="101" t="s">
        <v>2160</v>
      </c>
      <c r="E1290" s="101" t="s">
        <v>2161</v>
      </c>
      <c r="F1290" s="102" t="s">
        <v>2750</v>
      </c>
      <c r="G1290" s="52"/>
      <c r="H1290" s="52"/>
      <c r="I1290" s="52"/>
      <c r="J1290" s="52"/>
      <c r="K1290" s="59" t="s">
        <v>79</v>
      </c>
      <c r="L1290" s="52"/>
      <c r="M1290" s="52"/>
      <c r="N1290" s="52"/>
      <c r="O1290" s="52"/>
      <c r="P1290" s="76" t="s">
        <v>2162</v>
      </c>
      <c r="Q1290" s="55">
        <f>VLOOKUP(E1290,'NI-Ric_SP'!$C:$AN,12,FALSE)</f>
        <v>0</v>
      </c>
      <c r="R1290" s="55">
        <f>VLOOKUP(E1290,'NI-Ric_SP'!$C:$AN,13,FALSE)</f>
        <v>0</v>
      </c>
      <c r="S1290" s="55"/>
      <c r="T1290" s="55"/>
      <c r="U1290" s="55">
        <f>VLOOKUP($E1290,'NI-Ric_SP'!$C:$AN,MID(U$1,1,2),FALSE)</f>
        <v>0</v>
      </c>
      <c r="V1290" s="55">
        <f>VLOOKUP($E1290,'NI-Ric_SP'!$C:$AN,MID(V$1,1,2),FALSE)</f>
        <v>0</v>
      </c>
      <c r="W1290" s="55">
        <f>VLOOKUP($E1290,'NI-Ric_SP'!$C:$AN,MID(W$1,1,2),FALSE)</f>
        <v>0</v>
      </c>
      <c r="X1290" s="55">
        <f>VLOOKUP($E1290,'NI-Ric_SP'!$C:$AN,MID(X$1,1,2),FALSE)</f>
        <v>0</v>
      </c>
      <c r="Y1290" s="55">
        <f>VLOOKUP($E1290,'NI-Ric_SP'!$C:$AN,MID(Y$1,1,2),FALSE)</f>
        <v>0</v>
      </c>
      <c r="Z1290" s="55">
        <f>VLOOKUP($E1290,'NI-Ric_SP'!$C:$AN,MID(Z$1,1,2),FALSE)</f>
        <v>0</v>
      </c>
      <c r="AA1290" s="55">
        <f>VLOOKUP($E1290,'NI-Ric_SP'!$C:$AN,MID(AA$1,1,2),FALSE)</f>
        <v>0</v>
      </c>
      <c r="AB1290" s="55">
        <f>VLOOKUP($E1290,'NI-Ric_SP'!$C:$AN,MID(AB$1,1,2),FALSE)</f>
        <v>0</v>
      </c>
      <c r="AC1290" s="55">
        <f>VLOOKUP($E1290,'NI-Ric_SP'!$C:$AN,MID(AC$1,1,2),FALSE)</f>
        <v>0</v>
      </c>
      <c r="AD1290" s="55">
        <f>VLOOKUP($E1290,'NI-Ric_SP'!$C:$AN,MID(AD$1,1,2),FALSE)</f>
        <v>0</v>
      </c>
      <c r="AE1290" s="55">
        <f>VLOOKUP($E1290,'NI-Ric_SP'!$C:$AN,MID(AE$1,1,2),FALSE)</f>
        <v>0</v>
      </c>
      <c r="AF1290" s="55">
        <f>VLOOKUP($E1290,'NI-Ric_SP'!$C:$AN,MID(AF$1,1,2),FALSE)</f>
        <v>0</v>
      </c>
      <c r="AG1290" s="55">
        <f>VLOOKUP($E1290,'NI-Ric_SP'!$C:$AN,MID(AG$1,1,2),FALSE)</f>
        <v>0</v>
      </c>
      <c r="AH1290" s="55">
        <f>VLOOKUP($E1290,'NI-Ric_SP'!$C:$AN,MID(AH$1,1,2),FALSE)</f>
        <v>0</v>
      </c>
      <c r="AI1290" s="55">
        <f>VLOOKUP($E1290,'NI-Ric_SP'!$C:$AN,MID(AI$1,1,2),FALSE)</f>
        <v>0</v>
      </c>
      <c r="AJ1290" s="55">
        <f>VLOOKUP($E1290,'NI-Ric_SP'!$C:$AN,MID(AJ$1,1,2),FALSE)</f>
        <v>0</v>
      </c>
      <c r="AK1290" s="55">
        <f>VLOOKUP($E1290,'NI-Ric_SP'!$C:$AN,MID(AK$1,1,2),FALSE)</f>
        <v>0</v>
      </c>
      <c r="AL1290" s="55">
        <f>VLOOKUP($E1290,'NI-Ric_SP'!$C:$AN,MID(AL$1,1,2),FALSE)</f>
        <v>0</v>
      </c>
      <c r="AM1290" s="56">
        <f>VLOOKUP($E1290,'NI-Ric_SP'!$C:$AN,MID(AM$1,1,2),FALSE)</f>
        <v>0</v>
      </c>
      <c r="AN1290" s="30" t="str">
        <f t="shared" si="20"/>
        <v>60404020000000</v>
      </c>
    </row>
    <row r="1291" spans="1:40" x14ac:dyDescent="0.25">
      <c r="C1291" s="40"/>
      <c r="D1291" s="101" t="s">
        <v>2163</v>
      </c>
      <c r="E1291" s="101" t="s">
        <v>2164</v>
      </c>
      <c r="F1291" s="102" t="s">
        <v>2750</v>
      </c>
      <c r="G1291" s="52"/>
      <c r="H1291" s="52"/>
      <c r="I1291" s="52"/>
      <c r="J1291" s="52"/>
      <c r="K1291" s="59" t="s">
        <v>79</v>
      </c>
      <c r="L1291" s="52"/>
      <c r="M1291" s="52"/>
      <c r="N1291" s="52"/>
      <c r="O1291" s="52"/>
      <c r="P1291" s="76" t="s">
        <v>2165</v>
      </c>
      <c r="Q1291" s="55">
        <f>VLOOKUP(E1291,'NI-Ric_SP'!$C:$AN,12,FALSE)</f>
        <v>0</v>
      </c>
      <c r="R1291" s="55">
        <f>VLOOKUP(E1291,'NI-Ric_SP'!$C:$AN,13,FALSE)</f>
        <v>0</v>
      </c>
      <c r="S1291" s="55"/>
      <c r="T1291" s="55"/>
      <c r="U1291" s="55">
        <f>VLOOKUP($E1291,'NI-Ric_SP'!$C:$AN,MID(U$1,1,2),FALSE)</f>
        <v>0</v>
      </c>
      <c r="V1291" s="55">
        <f>VLOOKUP($E1291,'NI-Ric_SP'!$C:$AN,MID(V$1,1,2),FALSE)</f>
        <v>0</v>
      </c>
      <c r="W1291" s="55">
        <f>VLOOKUP($E1291,'NI-Ric_SP'!$C:$AN,MID(W$1,1,2),FALSE)</f>
        <v>0</v>
      </c>
      <c r="X1291" s="55">
        <f>VLOOKUP($E1291,'NI-Ric_SP'!$C:$AN,MID(X$1,1,2),FALSE)</f>
        <v>0</v>
      </c>
      <c r="Y1291" s="55">
        <f>VLOOKUP($E1291,'NI-Ric_SP'!$C:$AN,MID(Y$1,1,2),FALSE)</f>
        <v>0</v>
      </c>
      <c r="Z1291" s="55">
        <f>VLOOKUP($E1291,'NI-Ric_SP'!$C:$AN,MID(Z$1,1,2),FALSE)</f>
        <v>0</v>
      </c>
      <c r="AA1291" s="55">
        <f>VLOOKUP($E1291,'NI-Ric_SP'!$C:$AN,MID(AA$1,1,2),FALSE)</f>
        <v>0</v>
      </c>
      <c r="AB1291" s="55">
        <f>VLOOKUP($E1291,'NI-Ric_SP'!$C:$AN,MID(AB$1,1,2),FALSE)</f>
        <v>0</v>
      </c>
      <c r="AC1291" s="55">
        <f>VLOOKUP($E1291,'NI-Ric_SP'!$C:$AN,MID(AC$1,1,2),FALSE)</f>
        <v>0</v>
      </c>
      <c r="AD1291" s="55">
        <f>VLOOKUP($E1291,'NI-Ric_SP'!$C:$AN,MID(AD$1,1,2),FALSE)</f>
        <v>0</v>
      </c>
      <c r="AE1291" s="55">
        <f>VLOOKUP($E1291,'NI-Ric_SP'!$C:$AN,MID(AE$1,1,2),FALSE)</f>
        <v>0</v>
      </c>
      <c r="AF1291" s="55">
        <f>VLOOKUP($E1291,'NI-Ric_SP'!$C:$AN,MID(AF$1,1,2),FALSE)</f>
        <v>0</v>
      </c>
      <c r="AG1291" s="55">
        <f>VLOOKUP($E1291,'NI-Ric_SP'!$C:$AN,MID(AG$1,1,2),FALSE)</f>
        <v>0</v>
      </c>
      <c r="AH1291" s="55">
        <f>VLOOKUP($E1291,'NI-Ric_SP'!$C:$AN,MID(AH$1,1,2),FALSE)</f>
        <v>0</v>
      </c>
      <c r="AI1291" s="55">
        <f>VLOOKUP($E1291,'NI-Ric_SP'!$C:$AN,MID(AI$1,1,2),FALSE)</f>
        <v>0</v>
      </c>
      <c r="AJ1291" s="55">
        <f>VLOOKUP($E1291,'NI-Ric_SP'!$C:$AN,MID(AJ$1,1,2),FALSE)</f>
        <v>0</v>
      </c>
      <c r="AK1291" s="55">
        <f>VLOOKUP($E1291,'NI-Ric_SP'!$C:$AN,MID(AK$1,1,2),FALSE)</f>
        <v>0</v>
      </c>
      <c r="AL1291" s="55">
        <f>VLOOKUP($E1291,'NI-Ric_SP'!$C:$AN,MID(AL$1,1,2),FALSE)</f>
        <v>0</v>
      </c>
      <c r="AM1291" s="56">
        <f>VLOOKUP($E1291,'NI-Ric_SP'!$C:$AN,MID(AM$1,1,2),FALSE)</f>
        <v>0</v>
      </c>
      <c r="AN1291" s="30" t="str">
        <f t="shared" si="20"/>
        <v>60404030000000</v>
      </c>
    </row>
    <row r="1292" spans="1:40" x14ac:dyDescent="0.25">
      <c r="C1292" s="40"/>
      <c r="D1292" s="101" t="s">
        <v>2166</v>
      </c>
      <c r="E1292" s="101" t="s">
        <v>2167</v>
      </c>
      <c r="F1292" s="102" t="s">
        <v>2750</v>
      </c>
      <c r="G1292" s="52"/>
      <c r="H1292" s="52"/>
      <c r="I1292" s="52"/>
      <c r="J1292" s="52"/>
      <c r="K1292" s="59" t="s">
        <v>79</v>
      </c>
      <c r="L1292" s="52"/>
      <c r="M1292" s="52"/>
      <c r="N1292" s="52"/>
      <c r="O1292" s="52"/>
      <c r="P1292" s="76" t="s">
        <v>2168</v>
      </c>
      <c r="Q1292" s="55">
        <f>VLOOKUP(E1292,'NI-Ric_SP'!$C:$AN,12,FALSE)</f>
        <v>0</v>
      </c>
      <c r="R1292" s="55">
        <f>VLOOKUP(E1292,'NI-Ric_SP'!$C:$AN,13,FALSE)</f>
        <v>0</v>
      </c>
      <c r="S1292" s="55"/>
      <c r="T1292" s="55"/>
      <c r="U1292" s="55">
        <f>VLOOKUP($E1292,'NI-Ric_SP'!$C:$AN,MID(U$1,1,2),FALSE)</f>
        <v>0</v>
      </c>
      <c r="V1292" s="55">
        <f>VLOOKUP($E1292,'NI-Ric_SP'!$C:$AN,MID(V$1,1,2),FALSE)</f>
        <v>0</v>
      </c>
      <c r="W1292" s="55">
        <f>VLOOKUP($E1292,'NI-Ric_SP'!$C:$AN,MID(W$1,1,2),FALSE)</f>
        <v>0</v>
      </c>
      <c r="X1292" s="55">
        <f>VLOOKUP($E1292,'NI-Ric_SP'!$C:$AN,MID(X$1,1,2),FALSE)</f>
        <v>0</v>
      </c>
      <c r="Y1292" s="55">
        <f>VLOOKUP($E1292,'NI-Ric_SP'!$C:$AN,MID(Y$1,1,2),FALSE)</f>
        <v>0</v>
      </c>
      <c r="Z1292" s="55">
        <f>VLOOKUP($E1292,'NI-Ric_SP'!$C:$AN,MID(Z$1,1,2),FALSE)</f>
        <v>0</v>
      </c>
      <c r="AA1292" s="55">
        <f>VLOOKUP($E1292,'NI-Ric_SP'!$C:$AN,MID(AA$1,1,2),FALSE)</f>
        <v>0</v>
      </c>
      <c r="AB1292" s="55">
        <f>VLOOKUP($E1292,'NI-Ric_SP'!$C:$AN,MID(AB$1,1,2),FALSE)</f>
        <v>0</v>
      </c>
      <c r="AC1292" s="55">
        <f>VLOOKUP($E1292,'NI-Ric_SP'!$C:$AN,MID(AC$1,1,2),FALSE)</f>
        <v>0</v>
      </c>
      <c r="AD1292" s="55">
        <f>VLOOKUP($E1292,'NI-Ric_SP'!$C:$AN,MID(AD$1,1,2),FALSE)</f>
        <v>0</v>
      </c>
      <c r="AE1292" s="55">
        <f>VLOOKUP($E1292,'NI-Ric_SP'!$C:$AN,MID(AE$1,1,2),FALSE)</f>
        <v>0</v>
      </c>
      <c r="AF1292" s="55">
        <f>VLOOKUP($E1292,'NI-Ric_SP'!$C:$AN,MID(AF$1,1,2),FALSE)</f>
        <v>0</v>
      </c>
      <c r="AG1292" s="55">
        <f>VLOOKUP($E1292,'NI-Ric_SP'!$C:$AN,MID(AG$1,1,2),FALSE)</f>
        <v>0</v>
      </c>
      <c r="AH1292" s="55">
        <f>VLOOKUP($E1292,'NI-Ric_SP'!$C:$AN,MID(AH$1,1,2),FALSE)</f>
        <v>0</v>
      </c>
      <c r="AI1292" s="55">
        <f>VLOOKUP($E1292,'NI-Ric_SP'!$C:$AN,MID(AI$1,1,2),FALSE)</f>
        <v>0</v>
      </c>
      <c r="AJ1292" s="55">
        <f>VLOOKUP($E1292,'NI-Ric_SP'!$C:$AN,MID(AJ$1,1,2),FALSE)</f>
        <v>0</v>
      </c>
      <c r="AK1292" s="55">
        <f>VLOOKUP($E1292,'NI-Ric_SP'!$C:$AN,MID(AK$1,1,2),FALSE)</f>
        <v>0</v>
      </c>
      <c r="AL1292" s="55">
        <f>VLOOKUP($E1292,'NI-Ric_SP'!$C:$AN,MID(AL$1,1,2),FALSE)</f>
        <v>0</v>
      </c>
      <c r="AM1292" s="56">
        <f>VLOOKUP($E1292,'NI-Ric_SP'!$C:$AN,MID(AM$1,1,2),FALSE)</f>
        <v>0</v>
      </c>
      <c r="AN1292" s="30" t="str">
        <f t="shared" si="20"/>
        <v>60404040000000</v>
      </c>
    </row>
    <row r="1293" spans="1:40" x14ac:dyDescent="0.25">
      <c r="C1293" s="40"/>
      <c r="D1293" s="101" t="s">
        <v>2169</v>
      </c>
      <c r="E1293" s="101" t="s">
        <v>2170</v>
      </c>
      <c r="F1293" s="102" t="s">
        <v>2750</v>
      </c>
      <c r="G1293" s="52"/>
      <c r="H1293" s="52"/>
      <c r="I1293" s="52"/>
      <c r="J1293" s="52"/>
      <c r="K1293" s="59" t="s">
        <v>79</v>
      </c>
      <c r="L1293" s="52"/>
      <c r="M1293" s="52"/>
      <c r="N1293" s="52"/>
      <c r="O1293" s="52"/>
      <c r="P1293" s="76" t="s">
        <v>2171</v>
      </c>
      <c r="Q1293" s="55">
        <f>VLOOKUP(E1293,'NI-Ric_SP'!$C:$AN,12,FALSE)</f>
        <v>0</v>
      </c>
      <c r="R1293" s="55">
        <f>VLOOKUP(E1293,'NI-Ric_SP'!$C:$AN,13,FALSE)</f>
        <v>0</v>
      </c>
      <c r="S1293" s="55"/>
      <c r="T1293" s="55"/>
      <c r="U1293" s="55">
        <f>VLOOKUP($E1293,'NI-Ric_SP'!$C:$AN,MID(U$1,1,2),FALSE)</f>
        <v>0</v>
      </c>
      <c r="V1293" s="55">
        <f>VLOOKUP($E1293,'NI-Ric_SP'!$C:$AN,MID(V$1,1,2),FALSE)</f>
        <v>0</v>
      </c>
      <c r="W1293" s="55">
        <f>VLOOKUP($E1293,'NI-Ric_SP'!$C:$AN,MID(W$1,1,2),FALSE)</f>
        <v>0</v>
      </c>
      <c r="X1293" s="55">
        <f>VLOOKUP($E1293,'NI-Ric_SP'!$C:$AN,MID(X$1,1,2),FALSE)</f>
        <v>0</v>
      </c>
      <c r="Y1293" s="55">
        <f>VLOOKUP($E1293,'NI-Ric_SP'!$C:$AN,MID(Y$1,1,2),FALSE)</f>
        <v>0</v>
      </c>
      <c r="Z1293" s="55">
        <f>VLOOKUP($E1293,'NI-Ric_SP'!$C:$AN,MID(Z$1,1,2),FALSE)</f>
        <v>0</v>
      </c>
      <c r="AA1293" s="55">
        <f>VLOOKUP($E1293,'NI-Ric_SP'!$C:$AN,MID(AA$1,1,2),FALSE)</f>
        <v>0</v>
      </c>
      <c r="AB1293" s="55">
        <f>VLOOKUP($E1293,'NI-Ric_SP'!$C:$AN,MID(AB$1,1,2),FALSE)</f>
        <v>0</v>
      </c>
      <c r="AC1293" s="55">
        <f>VLOOKUP($E1293,'NI-Ric_SP'!$C:$AN,MID(AC$1,1,2),FALSE)</f>
        <v>0</v>
      </c>
      <c r="AD1293" s="55">
        <f>VLOOKUP($E1293,'NI-Ric_SP'!$C:$AN,MID(AD$1,1,2),FALSE)</f>
        <v>0</v>
      </c>
      <c r="AE1293" s="55">
        <f>VLOOKUP($E1293,'NI-Ric_SP'!$C:$AN,MID(AE$1,1,2),FALSE)</f>
        <v>0</v>
      </c>
      <c r="AF1293" s="55">
        <f>VLOOKUP($E1293,'NI-Ric_SP'!$C:$AN,MID(AF$1,1,2),FALSE)</f>
        <v>0</v>
      </c>
      <c r="AG1293" s="55">
        <f>VLOOKUP($E1293,'NI-Ric_SP'!$C:$AN,MID(AG$1,1,2),FALSE)</f>
        <v>0</v>
      </c>
      <c r="AH1293" s="55">
        <f>VLOOKUP($E1293,'NI-Ric_SP'!$C:$AN,MID(AH$1,1,2),FALSE)</f>
        <v>0</v>
      </c>
      <c r="AI1293" s="55">
        <f>VLOOKUP($E1293,'NI-Ric_SP'!$C:$AN,MID(AI$1,1,2),FALSE)</f>
        <v>0</v>
      </c>
      <c r="AJ1293" s="55">
        <f>VLOOKUP($E1293,'NI-Ric_SP'!$C:$AN,MID(AJ$1,1,2),FALSE)</f>
        <v>0</v>
      </c>
      <c r="AK1293" s="55">
        <f>VLOOKUP($E1293,'NI-Ric_SP'!$C:$AN,MID(AK$1,1,2),FALSE)</f>
        <v>0</v>
      </c>
      <c r="AL1293" s="55">
        <f>VLOOKUP($E1293,'NI-Ric_SP'!$C:$AN,MID(AL$1,1,2),FALSE)</f>
        <v>0</v>
      </c>
      <c r="AM1293" s="56">
        <f>VLOOKUP($E1293,'NI-Ric_SP'!$C:$AN,MID(AM$1,1,2),FALSE)</f>
        <v>0</v>
      </c>
      <c r="AN1293" s="30" t="str">
        <f t="shared" si="20"/>
        <v>60404050000000</v>
      </c>
    </row>
    <row r="1294" spans="1:40" x14ac:dyDescent="0.25">
      <c r="C1294" s="40"/>
      <c r="D1294" s="101" t="s">
        <v>2172</v>
      </c>
      <c r="E1294" s="101" t="s">
        <v>2173</v>
      </c>
      <c r="F1294" s="102" t="s">
        <v>2750</v>
      </c>
      <c r="G1294" s="52"/>
      <c r="H1294" s="52"/>
      <c r="I1294" s="52" t="s">
        <v>2174</v>
      </c>
      <c r="J1294" s="52" t="s">
        <v>2174</v>
      </c>
      <c r="K1294" s="59" t="s">
        <v>79</v>
      </c>
      <c r="L1294" s="62" t="s">
        <v>2175</v>
      </c>
      <c r="M1294" s="52"/>
      <c r="N1294" s="52"/>
      <c r="O1294" s="52"/>
      <c r="P1294" s="63" t="s">
        <v>2176</v>
      </c>
      <c r="Q1294" s="55">
        <f>VLOOKUP(E1294,'NI-Ric_SP'!$C:$AN,12,FALSE)</f>
        <v>0</v>
      </c>
      <c r="R1294" s="55">
        <f>VLOOKUP(E1294,'NI-Ric_SP'!$C:$AN,13,FALSE)</f>
        <v>0</v>
      </c>
      <c r="S1294" s="55"/>
      <c r="T1294" s="55"/>
      <c r="U1294" s="55">
        <f>VLOOKUP($E1294,'NI-Ric_SP'!$C:$AN,MID(U$1,1,2),FALSE)</f>
        <v>0</v>
      </c>
      <c r="V1294" s="55">
        <f>VLOOKUP($E1294,'NI-Ric_SP'!$C:$AN,MID(V$1,1,2),FALSE)</f>
        <v>0</v>
      </c>
      <c r="W1294" s="55">
        <f>VLOOKUP($E1294,'NI-Ric_SP'!$C:$AN,MID(W$1,1,2),FALSE)</f>
        <v>0</v>
      </c>
      <c r="X1294" s="55">
        <f>VLOOKUP($E1294,'NI-Ric_SP'!$C:$AN,MID(X$1,1,2),FALSE)</f>
        <v>0</v>
      </c>
      <c r="Y1294" s="55">
        <f>VLOOKUP($E1294,'NI-Ric_SP'!$C:$AN,MID(Y$1,1,2),FALSE)</f>
        <v>0</v>
      </c>
      <c r="Z1294" s="55">
        <f>VLOOKUP($E1294,'NI-Ric_SP'!$C:$AN,MID(Z$1,1,2),FALSE)</f>
        <v>0</v>
      </c>
      <c r="AA1294" s="55">
        <f>VLOOKUP($E1294,'NI-Ric_SP'!$C:$AN,MID(AA$1,1,2),FALSE)</f>
        <v>0</v>
      </c>
      <c r="AB1294" s="55">
        <f>VLOOKUP($E1294,'NI-Ric_SP'!$C:$AN,MID(AB$1,1,2),FALSE)</f>
        <v>0</v>
      </c>
      <c r="AC1294" s="55">
        <f>VLOOKUP($E1294,'NI-Ric_SP'!$C:$AN,MID(AC$1,1,2),FALSE)</f>
        <v>0</v>
      </c>
      <c r="AD1294" s="55">
        <f>VLOOKUP($E1294,'NI-Ric_SP'!$C:$AN,MID(AD$1,1,2),FALSE)</f>
        <v>0</v>
      </c>
      <c r="AE1294" s="55">
        <f>VLOOKUP($E1294,'NI-Ric_SP'!$C:$AN,MID(AE$1,1,2),FALSE)</f>
        <v>0</v>
      </c>
      <c r="AF1294" s="55">
        <f>VLOOKUP($E1294,'NI-Ric_SP'!$C:$AN,MID(AF$1,1,2),FALSE)</f>
        <v>0</v>
      </c>
      <c r="AG1294" s="55">
        <f>VLOOKUP($E1294,'NI-Ric_SP'!$C:$AN,MID(AG$1,1,2),FALSE)</f>
        <v>0</v>
      </c>
      <c r="AH1294" s="55">
        <f>VLOOKUP($E1294,'NI-Ric_SP'!$C:$AN,MID(AH$1,1,2),FALSE)</f>
        <v>0</v>
      </c>
      <c r="AI1294" s="55">
        <f>VLOOKUP($E1294,'NI-Ric_SP'!$C:$AN,MID(AI$1,1,2),FALSE)</f>
        <v>0</v>
      </c>
      <c r="AJ1294" s="55">
        <f>VLOOKUP($E1294,'NI-Ric_SP'!$C:$AN,MID(AJ$1,1,2),FALSE)</f>
        <v>0</v>
      </c>
      <c r="AK1294" s="55">
        <f>VLOOKUP($E1294,'NI-Ric_SP'!$C:$AN,MID(AK$1,1,2),FALSE)</f>
        <v>0</v>
      </c>
      <c r="AL1294" s="55">
        <f>VLOOKUP($E1294,'NI-Ric_SP'!$C:$AN,MID(AL$1,1,2),FALSE)</f>
        <v>0</v>
      </c>
      <c r="AM1294" s="56">
        <f>VLOOKUP($E1294,'NI-Ric_SP'!$C:$AN,MID(AM$1,1,2),FALSE)</f>
        <v>0</v>
      </c>
      <c r="AN1294" s="30" t="str">
        <f t="shared" si="20"/>
        <v>60405000000000</v>
      </c>
    </row>
    <row r="1295" spans="1:40" x14ac:dyDescent="0.25">
      <c r="C1295" s="40"/>
      <c r="D1295" s="101" t="s">
        <v>2177</v>
      </c>
      <c r="E1295" s="101" t="s">
        <v>2178</v>
      </c>
      <c r="F1295" s="102" t="s">
        <v>2750</v>
      </c>
      <c r="G1295" s="52"/>
      <c r="H1295" s="52"/>
      <c r="I1295" s="52"/>
      <c r="J1295" s="52"/>
      <c r="K1295" s="59" t="s">
        <v>111</v>
      </c>
      <c r="L1295" s="52"/>
      <c r="M1295" s="52"/>
      <c r="N1295" s="52"/>
      <c r="O1295" s="61" t="s">
        <v>2179</v>
      </c>
      <c r="P1295" s="60" t="s">
        <v>2180</v>
      </c>
      <c r="Q1295" s="55">
        <f>VLOOKUP(E1295,'NI-Ric_SP'!$C:$AN,12,FALSE)</f>
        <v>0</v>
      </c>
      <c r="R1295" s="55">
        <f>VLOOKUP(E1295,'NI-Ric_SP'!$C:$AN,13,FALSE)</f>
        <v>0</v>
      </c>
      <c r="S1295" s="55"/>
      <c r="T1295" s="55"/>
      <c r="U1295" s="55">
        <f>VLOOKUP($E1295,'NI-Ric_SP'!$C:$AN,MID(U$1,1,2),FALSE)</f>
        <v>0</v>
      </c>
      <c r="V1295" s="55">
        <f>VLOOKUP($E1295,'NI-Ric_SP'!$C:$AN,MID(V$1,1,2),FALSE)</f>
        <v>0</v>
      </c>
      <c r="W1295" s="55">
        <f>VLOOKUP($E1295,'NI-Ric_SP'!$C:$AN,MID(W$1,1,2),FALSE)</f>
        <v>0</v>
      </c>
      <c r="X1295" s="55">
        <f>VLOOKUP($E1295,'NI-Ric_SP'!$C:$AN,MID(X$1,1,2),FALSE)</f>
        <v>0</v>
      </c>
      <c r="Y1295" s="55">
        <f>VLOOKUP($E1295,'NI-Ric_SP'!$C:$AN,MID(Y$1,1,2),FALSE)</f>
        <v>0</v>
      </c>
      <c r="Z1295" s="55">
        <f>VLOOKUP($E1295,'NI-Ric_SP'!$C:$AN,MID(Z$1,1,2),FALSE)</f>
        <v>0</v>
      </c>
      <c r="AA1295" s="55">
        <f>VLOOKUP($E1295,'NI-Ric_SP'!$C:$AN,MID(AA$1,1,2),FALSE)</f>
        <v>0</v>
      </c>
      <c r="AB1295" s="55">
        <f>VLOOKUP($E1295,'NI-Ric_SP'!$C:$AN,MID(AB$1,1,2),FALSE)</f>
        <v>0</v>
      </c>
      <c r="AC1295" s="55">
        <f>VLOOKUP($E1295,'NI-Ric_SP'!$C:$AN,MID(AC$1,1,2),FALSE)</f>
        <v>0</v>
      </c>
      <c r="AD1295" s="55">
        <f>VLOOKUP($E1295,'NI-Ric_SP'!$C:$AN,MID(AD$1,1,2),FALSE)</f>
        <v>0</v>
      </c>
      <c r="AE1295" s="55">
        <f>VLOOKUP($E1295,'NI-Ric_SP'!$C:$AN,MID(AE$1,1,2),FALSE)</f>
        <v>0</v>
      </c>
      <c r="AF1295" s="55">
        <f>VLOOKUP($E1295,'NI-Ric_SP'!$C:$AN,MID(AF$1,1,2),FALSE)</f>
        <v>0</v>
      </c>
      <c r="AG1295" s="55">
        <f>VLOOKUP($E1295,'NI-Ric_SP'!$C:$AN,MID(AG$1,1,2),FALSE)</f>
        <v>0</v>
      </c>
      <c r="AH1295" s="55">
        <f>VLOOKUP($E1295,'NI-Ric_SP'!$C:$AN,MID(AH$1,1,2),FALSE)</f>
        <v>0</v>
      </c>
      <c r="AI1295" s="55">
        <f>VLOOKUP($E1295,'NI-Ric_SP'!$C:$AN,MID(AI$1,1,2),FALSE)</f>
        <v>0</v>
      </c>
      <c r="AJ1295" s="55">
        <f>VLOOKUP($E1295,'NI-Ric_SP'!$C:$AN,MID(AJ$1,1,2),FALSE)</f>
        <v>0</v>
      </c>
      <c r="AK1295" s="55">
        <f>VLOOKUP($E1295,'NI-Ric_SP'!$C:$AN,MID(AK$1,1,2),FALSE)</f>
        <v>0</v>
      </c>
      <c r="AL1295" s="55">
        <f>VLOOKUP($E1295,'NI-Ric_SP'!$C:$AN,MID(AL$1,1,2),FALSE)</f>
        <v>0</v>
      </c>
      <c r="AM1295" s="56">
        <f>VLOOKUP($E1295,'NI-Ric_SP'!$C:$AN,MID(AM$1,1,2),FALSE)</f>
        <v>0</v>
      </c>
      <c r="AN1295" s="30" t="str">
        <f t="shared" si="20"/>
        <v>60500000000000</v>
      </c>
    </row>
    <row r="1296" spans="1:40" x14ac:dyDescent="0.25">
      <c r="C1296" s="40"/>
      <c r="D1296" s="101" t="s">
        <v>2181</v>
      </c>
      <c r="E1296" s="101" t="s">
        <v>2182</v>
      </c>
      <c r="F1296" s="102" t="s">
        <v>2750</v>
      </c>
      <c r="G1296" s="52"/>
      <c r="H1296" s="52"/>
      <c r="I1296" s="52" t="s">
        <v>2183</v>
      </c>
      <c r="J1296" s="52" t="s">
        <v>2183</v>
      </c>
      <c r="K1296" s="59" t="s">
        <v>111</v>
      </c>
      <c r="L1296" s="62" t="s">
        <v>2184</v>
      </c>
      <c r="M1296" s="52"/>
      <c r="N1296" s="52"/>
      <c r="O1296" s="52"/>
      <c r="P1296" s="111" t="s">
        <v>2185</v>
      </c>
      <c r="Q1296" s="55">
        <f>VLOOKUP(E1296,'NI-Ric_SP'!$C:$AN,12,FALSE)</f>
        <v>0</v>
      </c>
      <c r="R1296" s="55">
        <f>VLOOKUP(E1296,'NI-Ric_SP'!$C:$AN,13,FALSE)</f>
        <v>0</v>
      </c>
      <c r="S1296" s="55"/>
      <c r="T1296" s="55"/>
      <c r="U1296" s="55">
        <f>VLOOKUP($E1296,'NI-Ric_SP'!$C:$AN,MID(U$1,1,2),FALSE)</f>
        <v>0</v>
      </c>
      <c r="V1296" s="55">
        <f>VLOOKUP($E1296,'NI-Ric_SP'!$C:$AN,MID(V$1,1,2),FALSE)</f>
        <v>0</v>
      </c>
      <c r="W1296" s="55">
        <f>VLOOKUP($E1296,'NI-Ric_SP'!$C:$AN,MID(W$1,1,2),FALSE)</f>
        <v>0</v>
      </c>
      <c r="X1296" s="55">
        <f>VLOOKUP($E1296,'NI-Ric_SP'!$C:$AN,MID(X$1,1,2),FALSE)</f>
        <v>0</v>
      </c>
      <c r="Y1296" s="55">
        <f>VLOOKUP($E1296,'NI-Ric_SP'!$C:$AN,MID(Y$1,1,2),FALSE)</f>
        <v>0</v>
      </c>
      <c r="Z1296" s="55">
        <f>VLOOKUP($E1296,'NI-Ric_SP'!$C:$AN,MID(Z$1,1,2),FALSE)</f>
        <v>0</v>
      </c>
      <c r="AA1296" s="55">
        <f>VLOOKUP($E1296,'NI-Ric_SP'!$C:$AN,MID(AA$1,1,2),FALSE)</f>
        <v>0</v>
      </c>
      <c r="AB1296" s="55">
        <f>VLOOKUP($E1296,'NI-Ric_SP'!$C:$AN,MID(AB$1,1,2),FALSE)</f>
        <v>0</v>
      </c>
      <c r="AC1296" s="55">
        <f>VLOOKUP($E1296,'NI-Ric_SP'!$C:$AN,MID(AC$1,1,2),FALSE)</f>
        <v>0</v>
      </c>
      <c r="AD1296" s="55">
        <f>VLOOKUP($E1296,'NI-Ric_SP'!$C:$AN,MID(AD$1,1,2),FALSE)</f>
        <v>0</v>
      </c>
      <c r="AE1296" s="55">
        <f>VLOOKUP($E1296,'NI-Ric_SP'!$C:$AN,MID(AE$1,1,2),FALSE)</f>
        <v>0</v>
      </c>
      <c r="AF1296" s="55">
        <f>VLOOKUP($E1296,'NI-Ric_SP'!$C:$AN,MID(AF$1,1,2),FALSE)</f>
        <v>0</v>
      </c>
      <c r="AG1296" s="55">
        <f>VLOOKUP($E1296,'NI-Ric_SP'!$C:$AN,MID(AG$1,1,2),FALSE)</f>
        <v>0</v>
      </c>
      <c r="AH1296" s="55">
        <f>VLOOKUP($E1296,'NI-Ric_SP'!$C:$AN,MID(AH$1,1,2),FALSE)</f>
        <v>0</v>
      </c>
      <c r="AI1296" s="55">
        <f>VLOOKUP($E1296,'NI-Ric_SP'!$C:$AN,MID(AI$1,1,2),FALSE)</f>
        <v>0</v>
      </c>
      <c r="AJ1296" s="55">
        <f>VLOOKUP($E1296,'NI-Ric_SP'!$C:$AN,MID(AJ$1,1,2),FALSE)</f>
        <v>0</v>
      </c>
      <c r="AK1296" s="55">
        <f>VLOOKUP($E1296,'NI-Ric_SP'!$C:$AN,MID(AK$1,1,2),FALSE)</f>
        <v>0</v>
      </c>
      <c r="AL1296" s="55">
        <f>VLOOKUP($E1296,'NI-Ric_SP'!$C:$AN,MID(AL$1,1,2),FALSE)</f>
        <v>0</v>
      </c>
      <c r="AM1296" s="56">
        <f>VLOOKUP($E1296,'NI-Ric_SP'!$C:$AN,MID(AM$1,1,2),FALSE)</f>
        <v>0</v>
      </c>
      <c r="AN1296" s="30" t="str">
        <f t="shared" si="20"/>
        <v>60501000000000</v>
      </c>
    </row>
    <row r="1297" spans="1:40" x14ac:dyDescent="0.25">
      <c r="C1297" s="40"/>
      <c r="D1297" s="101" t="s">
        <v>2186</v>
      </c>
      <c r="E1297" s="101" t="s">
        <v>2187</v>
      </c>
      <c r="F1297" s="102" t="s">
        <v>2750</v>
      </c>
      <c r="G1297" s="52"/>
      <c r="H1297" s="52"/>
      <c r="I1297" s="52"/>
      <c r="J1297" s="52"/>
      <c r="K1297" s="59" t="s">
        <v>79</v>
      </c>
      <c r="L1297" s="52"/>
      <c r="M1297" s="52"/>
      <c r="N1297" s="52"/>
      <c r="O1297" s="52"/>
      <c r="P1297" s="112" t="s">
        <v>2188</v>
      </c>
      <c r="Q1297" s="55">
        <f>VLOOKUP(E1297,'NI-Ric_SP'!$C:$AN,12,FALSE)</f>
        <v>0</v>
      </c>
      <c r="R1297" s="55">
        <f>VLOOKUP(E1297,'NI-Ric_SP'!$C:$AN,13,FALSE)</f>
        <v>0</v>
      </c>
      <c r="S1297" s="55"/>
      <c r="T1297" s="55"/>
      <c r="U1297" s="55">
        <f>VLOOKUP($E1297,'NI-Ric_SP'!$C:$AN,MID(U$1,1,2),FALSE)</f>
        <v>0</v>
      </c>
      <c r="V1297" s="55">
        <f>VLOOKUP($E1297,'NI-Ric_SP'!$C:$AN,MID(V$1,1,2),FALSE)</f>
        <v>0</v>
      </c>
      <c r="W1297" s="55">
        <f>VLOOKUP($E1297,'NI-Ric_SP'!$C:$AN,MID(W$1,1,2),FALSE)</f>
        <v>0</v>
      </c>
      <c r="X1297" s="55">
        <f>VLOOKUP($E1297,'NI-Ric_SP'!$C:$AN,MID(X$1,1,2),FALSE)</f>
        <v>0</v>
      </c>
      <c r="Y1297" s="55">
        <f>VLOOKUP($E1297,'NI-Ric_SP'!$C:$AN,MID(Y$1,1,2),FALSE)</f>
        <v>0</v>
      </c>
      <c r="Z1297" s="55">
        <f>VLOOKUP($E1297,'NI-Ric_SP'!$C:$AN,MID(Z$1,1,2),FALSE)</f>
        <v>0</v>
      </c>
      <c r="AA1297" s="55">
        <f>VLOOKUP($E1297,'NI-Ric_SP'!$C:$AN,MID(AA$1,1,2),FALSE)</f>
        <v>0</v>
      </c>
      <c r="AB1297" s="55">
        <f>VLOOKUP($E1297,'NI-Ric_SP'!$C:$AN,MID(AB$1,1,2),FALSE)</f>
        <v>0</v>
      </c>
      <c r="AC1297" s="55">
        <f>VLOOKUP($E1297,'NI-Ric_SP'!$C:$AN,MID(AC$1,1,2),FALSE)</f>
        <v>0</v>
      </c>
      <c r="AD1297" s="55">
        <f>VLOOKUP($E1297,'NI-Ric_SP'!$C:$AN,MID(AD$1,1,2),FALSE)</f>
        <v>0</v>
      </c>
      <c r="AE1297" s="55">
        <f>VLOOKUP($E1297,'NI-Ric_SP'!$C:$AN,MID(AE$1,1,2),FALSE)</f>
        <v>0</v>
      </c>
      <c r="AF1297" s="55">
        <f>VLOOKUP($E1297,'NI-Ric_SP'!$C:$AN,MID(AF$1,1,2),FALSE)</f>
        <v>0</v>
      </c>
      <c r="AG1297" s="55">
        <f>VLOOKUP($E1297,'NI-Ric_SP'!$C:$AN,MID(AG$1,1,2),FALSE)</f>
        <v>0</v>
      </c>
      <c r="AH1297" s="55">
        <f>VLOOKUP($E1297,'NI-Ric_SP'!$C:$AN,MID(AH$1,1,2),FALSE)</f>
        <v>0</v>
      </c>
      <c r="AI1297" s="55">
        <f>VLOOKUP($E1297,'NI-Ric_SP'!$C:$AN,MID(AI$1,1,2),FALSE)</f>
        <v>0</v>
      </c>
      <c r="AJ1297" s="55">
        <f>VLOOKUP($E1297,'NI-Ric_SP'!$C:$AN,MID(AJ$1,1,2),FALSE)</f>
        <v>0</v>
      </c>
      <c r="AK1297" s="55">
        <f>VLOOKUP($E1297,'NI-Ric_SP'!$C:$AN,MID(AK$1,1,2),FALSE)</f>
        <v>0</v>
      </c>
      <c r="AL1297" s="55">
        <f>VLOOKUP($E1297,'NI-Ric_SP'!$C:$AN,MID(AL$1,1,2),FALSE)</f>
        <v>0</v>
      </c>
      <c r="AM1297" s="56">
        <f>VLOOKUP($E1297,'NI-Ric_SP'!$C:$AN,MID(AM$1,1,2),FALSE)</f>
        <v>0</v>
      </c>
      <c r="AN1297" s="30" t="str">
        <f t="shared" si="20"/>
        <v>60501010000000</v>
      </c>
    </row>
    <row r="1298" spans="1:40" x14ac:dyDescent="0.25">
      <c r="C1298" s="40"/>
      <c r="D1298" s="101" t="s">
        <v>2189</v>
      </c>
      <c r="E1298" s="101" t="s">
        <v>2190</v>
      </c>
      <c r="F1298" s="102" t="s">
        <v>2750</v>
      </c>
      <c r="G1298" s="52"/>
      <c r="H1298" s="52"/>
      <c r="I1298" s="52"/>
      <c r="J1298" s="52"/>
      <c r="K1298" s="59" t="s">
        <v>79</v>
      </c>
      <c r="L1298" s="52"/>
      <c r="M1298" s="52"/>
      <c r="N1298" s="52"/>
      <c r="O1298" s="52"/>
      <c r="P1298" s="112" t="s">
        <v>2191</v>
      </c>
      <c r="Q1298" s="55">
        <f>VLOOKUP(E1298,'NI-Ric_SP'!$C:$AN,12,FALSE)</f>
        <v>0</v>
      </c>
      <c r="R1298" s="55">
        <f>VLOOKUP(E1298,'NI-Ric_SP'!$C:$AN,13,FALSE)</f>
        <v>0</v>
      </c>
      <c r="S1298" s="55"/>
      <c r="T1298" s="55"/>
      <c r="U1298" s="55">
        <f>VLOOKUP($E1298,'NI-Ric_SP'!$C:$AN,MID(U$1,1,2),FALSE)</f>
        <v>0</v>
      </c>
      <c r="V1298" s="55">
        <f>VLOOKUP($E1298,'NI-Ric_SP'!$C:$AN,MID(V$1,1,2),FALSE)</f>
        <v>0</v>
      </c>
      <c r="W1298" s="55">
        <f>VLOOKUP($E1298,'NI-Ric_SP'!$C:$AN,MID(W$1,1,2),FALSE)</f>
        <v>0</v>
      </c>
      <c r="X1298" s="55">
        <f>VLOOKUP($E1298,'NI-Ric_SP'!$C:$AN,MID(X$1,1,2),FALSE)</f>
        <v>0</v>
      </c>
      <c r="Y1298" s="55">
        <f>VLOOKUP($E1298,'NI-Ric_SP'!$C:$AN,MID(Y$1,1,2),FALSE)</f>
        <v>0</v>
      </c>
      <c r="Z1298" s="55">
        <f>VLOOKUP($E1298,'NI-Ric_SP'!$C:$AN,MID(Z$1,1,2),FALSE)</f>
        <v>0</v>
      </c>
      <c r="AA1298" s="55">
        <f>VLOOKUP($E1298,'NI-Ric_SP'!$C:$AN,MID(AA$1,1,2),FALSE)</f>
        <v>0</v>
      </c>
      <c r="AB1298" s="55">
        <f>VLOOKUP($E1298,'NI-Ric_SP'!$C:$AN,MID(AB$1,1,2),FALSE)</f>
        <v>0</v>
      </c>
      <c r="AC1298" s="55">
        <f>VLOOKUP($E1298,'NI-Ric_SP'!$C:$AN,MID(AC$1,1,2),FALSE)</f>
        <v>0</v>
      </c>
      <c r="AD1298" s="55">
        <f>VLOOKUP($E1298,'NI-Ric_SP'!$C:$AN,MID(AD$1,1,2),FALSE)</f>
        <v>0</v>
      </c>
      <c r="AE1298" s="55">
        <f>VLOOKUP($E1298,'NI-Ric_SP'!$C:$AN,MID(AE$1,1,2),FALSE)</f>
        <v>0</v>
      </c>
      <c r="AF1298" s="55">
        <f>VLOOKUP($E1298,'NI-Ric_SP'!$C:$AN,MID(AF$1,1,2),FALSE)</f>
        <v>0</v>
      </c>
      <c r="AG1298" s="55">
        <f>VLOOKUP($E1298,'NI-Ric_SP'!$C:$AN,MID(AG$1,1,2),FALSE)</f>
        <v>0</v>
      </c>
      <c r="AH1298" s="55">
        <f>VLOOKUP($E1298,'NI-Ric_SP'!$C:$AN,MID(AH$1,1,2),FALSE)</f>
        <v>0</v>
      </c>
      <c r="AI1298" s="55">
        <f>VLOOKUP($E1298,'NI-Ric_SP'!$C:$AN,MID(AI$1,1,2),FALSE)</f>
        <v>0</v>
      </c>
      <c r="AJ1298" s="55">
        <f>VLOOKUP($E1298,'NI-Ric_SP'!$C:$AN,MID(AJ$1,1,2),FALSE)</f>
        <v>0</v>
      </c>
      <c r="AK1298" s="55">
        <f>VLOOKUP($E1298,'NI-Ric_SP'!$C:$AN,MID(AK$1,1,2),FALSE)</f>
        <v>0</v>
      </c>
      <c r="AL1298" s="55">
        <f>VLOOKUP($E1298,'NI-Ric_SP'!$C:$AN,MID(AL$1,1,2),FALSE)</f>
        <v>0</v>
      </c>
      <c r="AM1298" s="56">
        <f>VLOOKUP($E1298,'NI-Ric_SP'!$C:$AN,MID(AM$1,1,2),FALSE)</f>
        <v>0</v>
      </c>
      <c r="AN1298" s="30" t="str">
        <f t="shared" si="20"/>
        <v>60501020000000</v>
      </c>
    </row>
    <row r="1299" spans="1:40" x14ac:dyDescent="0.25">
      <c r="C1299" s="40"/>
      <c r="D1299" s="101" t="s">
        <v>2192</v>
      </c>
      <c r="E1299" s="101" t="s">
        <v>2193</v>
      </c>
      <c r="F1299" s="102" t="s">
        <v>2750</v>
      </c>
      <c r="G1299" s="52"/>
      <c r="H1299" s="52"/>
      <c r="I1299" s="52"/>
      <c r="J1299" s="52"/>
      <c r="K1299" s="59" t="s">
        <v>111</v>
      </c>
      <c r="L1299" s="62" t="s">
        <v>2194</v>
      </c>
      <c r="M1299" s="52"/>
      <c r="N1299" s="52"/>
      <c r="O1299" s="52"/>
      <c r="P1299" s="111" t="s">
        <v>2195</v>
      </c>
      <c r="Q1299" s="55">
        <f>VLOOKUP(E1299,'NI-Ric_SP'!$C:$AN,12,FALSE)</f>
        <v>0</v>
      </c>
      <c r="R1299" s="55">
        <f>VLOOKUP(E1299,'NI-Ric_SP'!$C:$AN,13,FALSE)</f>
        <v>0</v>
      </c>
      <c r="S1299" s="55"/>
      <c r="T1299" s="55"/>
      <c r="U1299" s="55">
        <f>VLOOKUP($E1299,'NI-Ric_SP'!$C:$AN,MID(U$1,1,2),FALSE)</f>
        <v>0</v>
      </c>
      <c r="V1299" s="55">
        <f>VLOOKUP($E1299,'NI-Ric_SP'!$C:$AN,MID(V$1,1,2),FALSE)</f>
        <v>0</v>
      </c>
      <c r="W1299" s="55">
        <f>VLOOKUP($E1299,'NI-Ric_SP'!$C:$AN,MID(W$1,1,2),FALSE)</f>
        <v>0</v>
      </c>
      <c r="X1299" s="55">
        <f>VLOOKUP($E1299,'NI-Ric_SP'!$C:$AN,MID(X$1,1,2),FALSE)</f>
        <v>0</v>
      </c>
      <c r="Y1299" s="55">
        <f>VLOOKUP($E1299,'NI-Ric_SP'!$C:$AN,MID(Y$1,1,2),FALSE)</f>
        <v>0</v>
      </c>
      <c r="Z1299" s="55">
        <f>VLOOKUP($E1299,'NI-Ric_SP'!$C:$AN,MID(Z$1,1,2),FALSE)</f>
        <v>0</v>
      </c>
      <c r="AA1299" s="55">
        <f>VLOOKUP($E1299,'NI-Ric_SP'!$C:$AN,MID(AA$1,1,2),FALSE)</f>
        <v>0</v>
      </c>
      <c r="AB1299" s="55">
        <f>VLOOKUP($E1299,'NI-Ric_SP'!$C:$AN,MID(AB$1,1,2),FALSE)</f>
        <v>0</v>
      </c>
      <c r="AC1299" s="55">
        <f>VLOOKUP($E1299,'NI-Ric_SP'!$C:$AN,MID(AC$1,1,2),FALSE)</f>
        <v>0</v>
      </c>
      <c r="AD1299" s="55">
        <f>VLOOKUP($E1299,'NI-Ric_SP'!$C:$AN,MID(AD$1,1,2),FALSE)</f>
        <v>0</v>
      </c>
      <c r="AE1299" s="55">
        <f>VLOOKUP($E1299,'NI-Ric_SP'!$C:$AN,MID(AE$1,1,2),FALSE)</f>
        <v>0</v>
      </c>
      <c r="AF1299" s="55">
        <f>VLOOKUP($E1299,'NI-Ric_SP'!$C:$AN,MID(AF$1,1,2),FALSE)</f>
        <v>0</v>
      </c>
      <c r="AG1299" s="55">
        <f>VLOOKUP($E1299,'NI-Ric_SP'!$C:$AN,MID(AG$1,1,2),FALSE)</f>
        <v>0</v>
      </c>
      <c r="AH1299" s="55">
        <f>VLOOKUP($E1299,'NI-Ric_SP'!$C:$AN,MID(AH$1,1,2),FALSE)</f>
        <v>0</v>
      </c>
      <c r="AI1299" s="55">
        <f>VLOOKUP($E1299,'NI-Ric_SP'!$C:$AN,MID(AI$1,1,2),FALSE)</f>
        <v>0</v>
      </c>
      <c r="AJ1299" s="55">
        <f>VLOOKUP($E1299,'NI-Ric_SP'!$C:$AN,MID(AJ$1,1,2),FALSE)</f>
        <v>0</v>
      </c>
      <c r="AK1299" s="55">
        <f>VLOOKUP($E1299,'NI-Ric_SP'!$C:$AN,MID(AK$1,1,2),FALSE)</f>
        <v>0</v>
      </c>
      <c r="AL1299" s="55">
        <f>VLOOKUP($E1299,'NI-Ric_SP'!$C:$AN,MID(AL$1,1,2),FALSE)</f>
        <v>0</v>
      </c>
      <c r="AM1299" s="56">
        <f>VLOOKUP($E1299,'NI-Ric_SP'!$C:$AN,MID(AM$1,1,2),FALSE)</f>
        <v>0</v>
      </c>
      <c r="AN1299" s="30" t="str">
        <f t="shared" si="20"/>
        <v>60502010000000</v>
      </c>
    </row>
    <row r="1300" spans="1:40" x14ac:dyDescent="0.25">
      <c r="C1300" s="40"/>
      <c r="D1300" s="101" t="s">
        <v>2196</v>
      </c>
      <c r="E1300" s="101" t="s">
        <v>2197</v>
      </c>
      <c r="F1300" s="102" t="s">
        <v>2750</v>
      </c>
      <c r="G1300" s="52"/>
      <c r="H1300" s="52"/>
      <c r="I1300" s="52" t="s">
        <v>2198</v>
      </c>
      <c r="J1300" s="52" t="s">
        <v>2198</v>
      </c>
      <c r="K1300" s="59" t="s">
        <v>79</v>
      </c>
      <c r="L1300" s="52"/>
      <c r="M1300" s="52"/>
      <c r="N1300" s="52"/>
      <c r="O1300" s="52"/>
      <c r="P1300" s="113" t="s">
        <v>2199</v>
      </c>
      <c r="Q1300" s="55">
        <f>VLOOKUP(E1300,'NI-Ric_SP'!$C:$AN,12,FALSE)</f>
        <v>0</v>
      </c>
      <c r="R1300" s="55">
        <f>VLOOKUP(E1300,'NI-Ric_SP'!$C:$AN,13,FALSE)</f>
        <v>0</v>
      </c>
      <c r="S1300" s="55"/>
      <c r="T1300" s="55"/>
      <c r="U1300" s="55">
        <f>VLOOKUP($E1300,'NI-Ric_SP'!$C:$AN,MID(U$1,1,2),FALSE)</f>
        <v>0</v>
      </c>
      <c r="V1300" s="55">
        <f>VLOOKUP($E1300,'NI-Ric_SP'!$C:$AN,MID(V$1,1,2),FALSE)</f>
        <v>0</v>
      </c>
      <c r="W1300" s="55">
        <f>VLOOKUP($E1300,'NI-Ric_SP'!$C:$AN,MID(W$1,1,2),FALSE)</f>
        <v>0</v>
      </c>
      <c r="X1300" s="55">
        <f>VLOOKUP($E1300,'NI-Ric_SP'!$C:$AN,MID(X$1,1,2),FALSE)</f>
        <v>0</v>
      </c>
      <c r="Y1300" s="55">
        <f>VLOOKUP($E1300,'NI-Ric_SP'!$C:$AN,MID(Y$1,1,2),FALSE)</f>
        <v>0</v>
      </c>
      <c r="Z1300" s="55">
        <f>VLOOKUP($E1300,'NI-Ric_SP'!$C:$AN,MID(Z$1,1,2),FALSE)</f>
        <v>0</v>
      </c>
      <c r="AA1300" s="55">
        <f>VLOOKUP($E1300,'NI-Ric_SP'!$C:$AN,MID(AA$1,1,2),FALSE)</f>
        <v>0</v>
      </c>
      <c r="AB1300" s="55">
        <f>VLOOKUP($E1300,'NI-Ric_SP'!$C:$AN,MID(AB$1,1,2),FALSE)</f>
        <v>0</v>
      </c>
      <c r="AC1300" s="55">
        <f>VLOOKUP($E1300,'NI-Ric_SP'!$C:$AN,MID(AC$1,1,2),FALSE)</f>
        <v>0</v>
      </c>
      <c r="AD1300" s="55">
        <f>VLOOKUP($E1300,'NI-Ric_SP'!$C:$AN,MID(AD$1,1,2),FALSE)</f>
        <v>0</v>
      </c>
      <c r="AE1300" s="55">
        <f>VLOOKUP($E1300,'NI-Ric_SP'!$C:$AN,MID(AE$1,1,2),FALSE)</f>
        <v>0</v>
      </c>
      <c r="AF1300" s="55">
        <f>VLOOKUP($E1300,'NI-Ric_SP'!$C:$AN,MID(AF$1,1,2),FALSE)</f>
        <v>0</v>
      </c>
      <c r="AG1300" s="55">
        <f>VLOOKUP($E1300,'NI-Ric_SP'!$C:$AN,MID(AG$1,1,2),FALSE)</f>
        <v>0</v>
      </c>
      <c r="AH1300" s="55">
        <f>VLOOKUP($E1300,'NI-Ric_SP'!$C:$AN,MID(AH$1,1,2),FALSE)</f>
        <v>0</v>
      </c>
      <c r="AI1300" s="55">
        <f>VLOOKUP($E1300,'NI-Ric_SP'!$C:$AN,MID(AI$1,1,2),FALSE)</f>
        <v>0</v>
      </c>
      <c r="AJ1300" s="55">
        <f>VLOOKUP($E1300,'NI-Ric_SP'!$C:$AN,MID(AJ$1,1,2),FALSE)</f>
        <v>0</v>
      </c>
      <c r="AK1300" s="55">
        <f>VLOOKUP($E1300,'NI-Ric_SP'!$C:$AN,MID(AK$1,1,2),FALSE)</f>
        <v>0</v>
      </c>
      <c r="AL1300" s="55">
        <f>VLOOKUP($E1300,'NI-Ric_SP'!$C:$AN,MID(AL$1,1,2),FALSE)</f>
        <v>0</v>
      </c>
      <c r="AM1300" s="56">
        <f>VLOOKUP($E1300,'NI-Ric_SP'!$C:$AN,MID(AM$1,1,2),FALSE)</f>
        <v>0</v>
      </c>
      <c r="AN1300" s="30" t="str">
        <f t="shared" si="20"/>
        <v>60502010010000</v>
      </c>
    </row>
    <row r="1301" spans="1:40" x14ac:dyDescent="0.25">
      <c r="C1301" s="40"/>
      <c r="D1301" s="101" t="s">
        <v>2200</v>
      </c>
      <c r="E1301" s="101" t="s">
        <v>2201</v>
      </c>
      <c r="F1301" s="102" t="s">
        <v>2750</v>
      </c>
      <c r="G1301" s="52"/>
      <c r="H1301" s="52"/>
      <c r="I1301" s="52" t="s">
        <v>2198</v>
      </c>
      <c r="J1301" s="52" t="s">
        <v>2198</v>
      </c>
      <c r="K1301" s="59" t="s">
        <v>79</v>
      </c>
      <c r="L1301" s="52"/>
      <c r="M1301" s="52"/>
      <c r="N1301" s="52"/>
      <c r="O1301" s="52"/>
      <c r="P1301" s="113" t="s">
        <v>2202</v>
      </c>
      <c r="Q1301" s="55">
        <f>VLOOKUP(E1301,'NI-Ric_SP'!$C:$AN,12,FALSE)</f>
        <v>0</v>
      </c>
      <c r="R1301" s="55">
        <f>VLOOKUP(E1301,'NI-Ric_SP'!$C:$AN,13,FALSE)</f>
        <v>0</v>
      </c>
      <c r="S1301" s="55"/>
      <c r="T1301" s="55"/>
      <c r="U1301" s="55">
        <f>VLOOKUP($E1301,'NI-Ric_SP'!$C:$AN,MID(U$1,1,2),FALSE)</f>
        <v>0</v>
      </c>
      <c r="V1301" s="55">
        <f>VLOOKUP($E1301,'NI-Ric_SP'!$C:$AN,MID(V$1,1,2),FALSE)</f>
        <v>0</v>
      </c>
      <c r="W1301" s="55">
        <f>VLOOKUP($E1301,'NI-Ric_SP'!$C:$AN,MID(W$1,1,2),FALSE)</f>
        <v>0</v>
      </c>
      <c r="X1301" s="55">
        <f>VLOOKUP($E1301,'NI-Ric_SP'!$C:$AN,MID(X$1,1,2),FALSE)</f>
        <v>0</v>
      </c>
      <c r="Y1301" s="55">
        <f>VLOOKUP($E1301,'NI-Ric_SP'!$C:$AN,MID(Y$1,1,2),FALSE)</f>
        <v>0</v>
      </c>
      <c r="Z1301" s="55">
        <f>VLOOKUP($E1301,'NI-Ric_SP'!$C:$AN,MID(Z$1,1,2),FALSE)</f>
        <v>0</v>
      </c>
      <c r="AA1301" s="55">
        <f>VLOOKUP($E1301,'NI-Ric_SP'!$C:$AN,MID(AA$1,1,2),FALSE)</f>
        <v>0</v>
      </c>
      <c r="AB1301" s="55">
        <f>VLOOKUP($E1301,'NI-Ric_SP'!$C:$AN,MID(AB$1,1,2),FALSE)</f>
        <v>0</v>
      </c>
      <c r="AC1301" s="55">
        <f>VLOOKUP($E1301,'NI-Ric_SP'!$C:$AN,MID(AC$1,1,2),FALSE)</f>
        <v>0</v>
      </c>
      <c r="AD1301" s="55">
        <f>VLOOKUP($E1301,'NI-Ric_SP'!$C:$AN,MID(AD$1,1,2),FALSE)</f>
        <v>0</v>
      </c>
      <c r="AE1301" s="55">
        <f>VLOOKUP($E1301,'NI-Ric_SP'!$C:$AN,MID(AE$1,1,2),FALSE)</f>
        <v>0</v>
      </c>
      <c r="AF1301" s="55">
        <f>VLOOKUP($E1301,'NI-Ric_SP'!$C:$AN,MID(AF$1,1,2),FALSE)</f>
        <v>0</v>
      </c>
      <c r="AG1301" s="55">
        <f>VLOOKUP($E1301,'NI-Ric_SP'!$C:$AN,MID(AG$1,1,2),FALSE)</f>
        <v>0</v>
      </c>
      <c r="AH1301" s="55">
        <f>VLOOKUP($E1301,'NI-Ric_SP'!$C:$AN,MID(AH$1,1,2),FALSE)</f>
        <v>0</v>
      </c>
      <c r="AI1301" s="55">
        <f>VLOOKUP($E1301,'NI-Ric_SP'!$C:$AN,MID(AI$1,1,2),FALSE)</f>
        <v>0</v>
      </c>
      <c r="AJ1301" s="55">
        <f>VLOOKUP($E1301,'NI-Ric_SP'!$C:$AN,MID(AJ$1,1,2),FALSE)</f>
        <v>0</v>
      </c>
      <c r="AK1301" s="55">
        <f>VLOOKUP($E1301,'NI-Ric_SP'!$C:$AN,MID(AK$1,1,2),FALSE)</f>
        <v>0</v>
      </c>
      <c r="AL1301" s="55">
        <f>VLOOKUP($E1301,'NI-Ric_SP'!$C:$AN,MID(AL$1,1,2),FALSE)</f>
        <v>0</v>
      </c>
      <c r="AM1301" s="56">
        <f>VLOOKUP($E1301,'NI-Ric_SP'!$C:$AN,MID(AM$1,1,2),FALSE)</f>
        <v>0</v>
      </c>
      <c r="AN1301" s="30" t="str">
        <f t="shared" si="20"/>
        <v>60502010020000</v>
      </c>
    </row>
    <row r="1302" spans="1:40" x14ac:dyDescent="0.25">
      <c r="C1302" s="40"/>
      <c r="D1302" s="101" t="s">
        <v>2203</v>
      </c>
      <c r="E1302" s="101" t="s">
        <v>2204</v>
      </c>
      <c r="F1302" s="102" t="s">
        <v>2750</v>
      </c>
      <c r="G1302" s="52"/>
      <c r="H1302" s="52"/>
      <c r="I1302" s="52" t="s">
        <v>2198</v>
      </c>
      <c r="J1302" s="52" t="s">
        <v>2198</v>
      </c>
      <c r="K1302" s="59" t="s">
        <v>79</v>
      </c>
      <c r="L1302" s="52"/>
      <c r="M1302" s="52"/>
      <c r="N1302" s="52"/>
      <c r="O1302" s="52"/>
      <c r="P1302" s="113" t="s">
        <v>2205</v>
      </c>
      <c r="Q1302" s="55">
        <f>VLOOKUP(E1302,'NI-Ric_SP'!$C:$AN,12,FALSE)</f>
        <v>0</v>
      </c>
      <c r="R1302" s="55">
        <f>VLOOKUP(E1302,'NI-Ric_SP'!$C:$AN,13,FALSE)</f>
        <v>0</v>
      </c>
      <c r="S1302" s="55"/>
      <c r="T1302" s="55"/>
      <c r="U1302" s="55">
        <f>VLOOKUP($E1302,'NI-Ric_SP'!$C:$AN,MID(U$1,1,2),FALSE)</f>
        <v>0</v>
      </c>
      <c r="V1302" s="55">
        <f>VLOOKUP($E1302,'NI-Ric_SP'!$C:$AN,MID(V$1,1,2),FALSE)</f>
        <v>0</v>
      </c>
      <c r="W1302" s="55">
        <f>VLOOKUP($E1302,'NI-Ric_SP'!$C:$AN,MID(W$1,1,2),FALSE)</f>
        <v>0</v>
      </c>
      <c r="X1302" s="55">
        <f>VLOOKUP($E1302,'NI-Ric_SP'!$C:$AN,MID(X$1,1,2),FALSE)</f>
        <v>0</v>
      </c>
      <c r="Y1302" s="55">
        <f>VLOOKUP($E1302,'NI-Ric_SP'!$C:$AN,MID(Y$1,1,2),FALSE)</f>
        <v>0</v>
      </c>
      <c r="Z1302" s="55">
        <f>VLOOKUP($E1302,'NI-Ric_SP'!$C:$AN,MID(Z$1,1,2),FALSE)</f>
        <v>0</v>
      </c>
      <c r="AA1302" s="55">
        <f>VLOOKUP($E1302,'NI-Ric_SP'!$C:$AN,MID(AA$1,1,2),FALSE)</f>
        <v>0</v>
      </c>
      <c r="AB1302" s="55">
        <f>VLOOKUP($E1302,'NI-Ric_SP'!$C:$AN,MID(AB$1,1,2),FALSE)</f>
        <v>0</v>
      </c>
      <c r="AC1302" s="55">
        <f>VLOOKUP($E1302,'NI-Ric_SP'!$C:$AN,MID(AC$1,1,2),FALSE)</f>
        <v>0</v>
      </c>
      <c r="AD1302" s="55">
        <f>VLOOKUP($E1302,'NI-Ric_SP'!$C:$AN,MID(AD$1,1,2),FALSE)</f>
        <v>0</v>
      </c>
      <c r="AE1302" s="55">
        <f>VLOOKUP($E1302,'NI-Ric_SP'!$C:$AN,MID(AE$1,1,2),FALSE)</f>
        <v>0</v>
      </c>
      <c r="AF1302" s="55">
        <f>VLOOKUP($E1302,'NI-Ric_SP'!$C:$AN,MID(AF$1,1,2),FALSE)</f>
        <v>0</v>
      </c>
      <c r="AG1302" s="55">
        <f>VLOOKUP($E1302,'NI-Ric_SP'!$C:$AN,MID(AG$1,1,2),FALSE)</f>
        <v>0</v>
      </c>
      <c r="AH1302" s="55">
        <f>VLOOKUP($E1302,'NI-Ric_SP'!$C:$AN,MID(AH$1,1,2),FALSE)</f>
        <v>0</v>
      </c>
      <c r="AI1302" s="55">
        <f>VLOOKUP($E1302,'NI-Ric_SP'!$C:$AN,MID(AI$1,1,2),FALSE)</f>
        <v>0</v>
      </c>
      <c r="AJ1302" s="55">
        <f>VLOOKUP($E1302,'NI-Ric_SP'!$C:$AN,MID(AJ$1,1,2),FALSE)</f>
        <v>0</v>
      </c>
      <c r="AK1302" s="55">
        <f>VLOOKUP($E1302,'NI-Ric_SP'!$C:$AN,MID(AK$1,1,2),FALSE)</f>
        <v>0</v>
      </c>
      <c r="AL1302" s="55">
        <f>VLOOKUP($E1302,'NI-Ric_SP'!$C:$AN,MID(AL$1,1,2),FALSE)</f>
        <v>0</v>
      </c>
      <c r="AM1302" s="56">
        <f>VLOOKUP($E1302,'NI-Ric_SP'!$C:$AN,MID(AM$1,1,2),FALSE)</f>
        <v>0</v>
      </c>
      <c r="AN1302" s="30" t="str">
        <f t="shared" si="20"/>
        <v>60502010030000</v>
      </c>
    </row>
    <row r="1303" spans="1:40" x14ac:dyDescent="0.25">
      <c r="C1303" s="40"/>
      <c r="D1303" s="101" t="s">
        <v>2206</v>
      </c>
      <c r="E1303" s="101" t="s">
        <v>2207</v>
      </c>
      <c r="F1303" s="102" t="s">
        <v>2750</v>
      </c>
      <c r="G1303" s="52"/>
      <c r="H1303" s="52"/>
      <c r="I1303" s="52" t="s">
        <v>2208</v>
      </c>
      <c r="J1303" s="52" t="s">
        <v>2208</v>
      </c>
      <c r="K1303" s="59" t="s">
        <v>79</v>
      </c>
      <c r="L1303" s="52"/>
      <c r="M1303" s="52"/>
      <c r="N1303" s="52"/>
      <c r="O1303" s="52"/>
      <c r="P1303" s="113" t="s">
        <v>2209</v>
      </c>
      <c r="Q1303" s="55">
        <f>VLOOKUP(E1303,'NI-Ric_SP'!$C:$AN,12,FALSE)</f>
        <v>0</v>
      </c>
      <c r="R1303" s="55">
        <f>VLOOKUP(E1303,'NI-Ric_SP'!$C:$AN,13,FALSE)</f>
        <v>0</v>
      </c>
      <c r="S1303" s="55"/>
      <c r="T1303" s="55"/>
      <c r="U1303" s="55">
        <f>VLOOKUP($E1303,'NI-Ric_SP'!$C:$AN,MID(U$1,1,2),FALSE)</f>
        <v>0</v>
      </c>
      <c r="V1303" s="55">
        <f>VLOOKUP($E1303,'NI-Ric_SP'!$C:$AN,MID(V$1,1,2),FALSE)</f>
        <v>0</v>
      </c>
      <c r="W1303" s="55">
        <f>VLOOKUP($E1303,'NI-Ric_SP'!$C:$AN,MID(W$1,1,2),FALSE)</f>
        <v>0</v>
      </c>
      <c r="X1303" s="55">
        <f>VLOOKUP($E1303,'NI-Ric_SP'!$C:$AN,MID(X$1,1,2),FALSE)</f>
        <v>0</v>
      </c>
      <c r="Y1303" s="55">
        <f>VLOOKUP($E1303,'NI-Ric_SP'!$C:$AN,MID(Y$1,1,2),FALSE)</f>
        <v>0</v>
      </c>
      <c r="Z1303" s="55">
        <f>VLOOKUP($E1303,'NI-Ric_SP'!$C:$AN,MID(Z$1,1,2),FALSE)</f>
        <v>0</v>
      </c>
      <c r="AA1303" s="55">
        <f>VLOOKUP($E1303,'NI-Ric_SP'!$C:$AN,MID(AA$1,1,2),FALSE)</f>
        <v>0</v>
      </c>
      <c r="AB1303" s="55">
        <f>VLOOKUP($E1303,'NI-Ric_SP'!$C:$AN,MID(AB$1,1,2),FALSE)</f>
        <v>0</v>
      </c>
      <c r="AC1303" s="55">
        <f>VLOOKUP($E1303,'NI-Ric_SP'!$C:$AN,MID(AC$1,1,2),FALSE)</f>
        <v>0</v>
      </c>
      <c r="AD1303" s="55">
        <f>VLOOKUP($E1303,'NI-Ric_SP'!$C:$AN,MID(AD$1,1,2),FALSE)</f>
        <v>0</v>
      </c>
      <c r="AE1303" s="55">
        <f>VLOOKUP($E1303,'NI-Ric_SP'!$C:$AN,MID(AE$1,1,2),FALSE)</f>
        <v>0</v>
      </c>
      <c r="AF1303" s="55">
        <f>VLOOKUP($E1303,'NI-Ric_SP'!$C:$AN,MID(AF$1,1,2),FALSE)</f>
        <v>0</v>
      </c>
      <c r="AG1303" s="55">
        <f>VLOOKUP($E1303,'NI-Ric_SP'!$C:$AN,MID(AG$1,1,2),FALSE)</f>
        <v>0</v>
      </c>
      <c r="AH1303" s="55">
        <f>VLOOKUP($E1303,'NI-Ric_SP'!$C:$AN,MID(AH$1,1,2),FALSE)</f>
        <v>0</v>
      </c>
      <c r="AI1303" s="55">
        <f>VLOOKUP($E1303,'NI-Ric_SP'!$C:$AN,MID(AI$1,1,2),FALSE)</f>
        <v>0</v>
      </c>
      <c r="AJ1303" s="55">
        <f>VLOOKUP($E1303,'NI-Ric_SP'!$C:$AN,MID(AJ$1,1,2),FALSE)</f>
        <v>0</v>
      </c>
      <c r="AK1303" s="55">
        <f>VLOOKUP($E1303,'NI-Ric_SP'!$C:$AN,MID(AK$1,1,2),FALSE)</f>
        <v>0</v>
      </c>
      <c r="AL1303" s="55">
        <f>VLOOKUP($E1303,'NI-Ric_SP'!$C:$AN,MID(AL$1,1,2),FALSE)</f>
        <v>0</v>
      </c>
      <c r="AM1303" s="56">
        <f>VLOOKUP($E1303,'NI-Ric_SP'!$C:$AN,MID(AM$1,1,2),FALSE)</f>
        <v>0</v>
      </c>
      <c r="AN1303" s="30" t="str">
        <f t="shared" si="20"/>
        <v>60502010040000</v>
      </c>
    </row>
    <row r="1304" spans="1:40" x14ac:dyDescent="0.25">
      <c r="C1304" s="40"/>
      <c r="D1304" s="101" t="s">
        <v>2210</v>
      </c>
      <c r="E1304" s="101" t="s">
        <v>2211</v>
      </c>
      <c r="F1304" s="102" t="s">
        <v>2750</v>
      </c>
      <c r="G1304" s="52"/>
      <c r="H1304" s="52"/>
      <c r="I1304" s="52" t="s">
        <v>2212</v>
      </c>
      <c r="J1304" s="52" t="s">
        <v>2212</v>
      </c>
      <c r="K1304" s="59" t="s">
        <v>79</v>
      </c>
      <c r="L1304" s="52"/>
      <c r="M1304" s="52"/>
      <c r="N1304" s="52"/>
      <c r="O1304" s="52"/>
      <c r="P1304" s="113" t="s">
        <v>2213</v>
      </c>
      <c r="Q1304" s="55">
        <f>VLOOKUP(E1304,'NI-Ric_SP'!$C:$AN,12,FALSE)</f>
        <v>0</v>
      </c>
      <c r="R1304" s="55">
        <f>VLOOKUP(E1304,'NI-Ric_SP'!$C:$AN,13,FALSE)</f>
        <v>0</v>
      </c>
      <c r="S1304" s="55"/>
      <c r="T1304" s="55"/>
      <c r="U1304" s="55">
        <f>VLOOKUP($E1304,'NI-Ric_SP'!$C:$AN,MID(U$1,1,2),FALSE)</f>
        <v>0</v>
      </c>
      <c r="V1304" s="55">
        <f>VLOOKUP($E1304,'NI-Ric_SP'!$C:$AN,MID(V$1,1,2),FALSE)</f>
        <v>0</v>
      </c>
      <c r="W1304" s="55">
        <f>VLOOKUP($E1304,'NI-Ric_SP'!$C:$AN,MID(W$1,1,2),FALSE)</f>
        <v>0</v>
      </c>
      <c r="X1304" s="55">
        <f>VLOOKUP($E1304,'NI-Ric_SP'!$C:$AN,MID(X$1,1,2),FALSE)</f>
        <v>0</v>
      </c>
      <c r="Y1304" s="55">
        <f>VLOOKUP($E1304,'NI-Ric_SP'!$C:$AN,MID(Y$1,1,2),FALSE)</f>
        <v>0</v>
      </c>
      <c r="Z1304" s="55">
        <f>VLOOKUP($E1304,'NI-Ric_SP'!$C:$AN,MID(Z$1,1,2),FALSE)</f>
        <v>0</v>
      </c>
      <c r="AA1304" s="55">
        <f>VLOOKUP($E1304,'NI-Ric_SP'!$C:$AN,MID(AA$1,1,2),FALSE)</f>
        <v>0</v>
      </c>
      <c r="AB1304" s="55">
        <f>VLOOKUP($E1304,'NI-Ric_SP'!$C:$AN,MID(AB$1,1,2),FALSE)</f>
        <v>0</v>
      </c>
      <c r="AC1304" s="55">
        <f>VLOOKUP($E1304,'NI-Ric_SP'!$C:$AN,MID(AC$1,1,2),FALSE)</f>
        <v>0</v>
      </c>
      <c r="AD1304" s="55">
        <f>VLOOKUP($E1304,'NI-Ric_SP'!$C:$AN,MID(AD$1,1,2),FALSE)</f>
        <v>0</v>
      </c>
      <c r="AE1304" s="55">
        <f>VLOOKUP($E1304,'NI-Ric_SP'!$C:$AN,MID(AE$1,1,2),FALSE)</f>
        <v>0</v>
      </c>
      <c r="AF1304" s="55">
        <f>VLOOKUP($E1304,'NI-Ric_SP'!$C:$AN,MID(AF$1,1,2),FALSE)</f>
        <v>0</v>
      </c>
      <c r="AG1304" s="55">
        <f>VLOOKUP($E1304,'NI-Ric_SP'!$C:$AN,MID(AG$1,1,2),FALSE)</f>
        <v>0</v>
      </c>
      <c r="AH1304" s="55">
        <f>VLOOKUP($E1304,'NI-Ric_SP'!$C:$AN,MID(AH$1,1,2),FALSE)</f>
        <v>0</v>
      </c>
      <c r="AI1304" s="55">
        <f>VLOOKUP($E1304,'NI-Ric_SP'!$C:$AN,MID(AI$1,1,2),FALSE)</f>
        <v>0</v>
      </c>
      <c r="AJ1304" s="55">
        <f>VLOOKUP($E1304,'NI-Ric_SP'!$C:$AN,MID(AJ$1,1,2),FALSE)</f>
        <v>0</v>
      </c>
      <c r="AK1304" s="55">
        <f>VLOOKUP($E1304,'NI-Ric_SP'!$C:$AN,MID(AK$1,1,2),FALSE)</f>
        <v>0</v>
      </c>
      <c r="AL1304" s="55">
        <f>VLOOKUP($E1304,'NI-Ric_SP'!$C:$AN,MID(AL$1,1,2),FALSE)</f>
        <v>0</v>
      </c>
      <c r="AM1304" s="56">
        <f>VLOOKUP($E1304,'NI-Ric_SP'!$C:$AN,MID(AM$1,1,2),FALSE)</f>
        <v>0</v>
      </c>
      <c r="AN1304" s="30" t="str">
        <f t="shared" si="20"/>
        <v>60502010050000</v>
      </c>
    </row>
    <row r="1305" spans="1:40" x14ac:dyDescent="0.25">
      <c r="C1305" s="40"/>
      <c r="D1305" s="101" t="s">
        <v>2214</v>
      </c>
      <c r="E1305" s="101" t="s">
        <v>2215</v>
      </c>
      <c r="F1305" s="102" t="s">
        <v>2750</v>
      </c>
      <c r="G1305" s="52"/>
      <c r="H1305" s="52"/>
      <c r="I1305" s="52"/>
      <c r="J1305" s="52"/>
      <c r="K1305" s="59" t="s">
        <v>79</v>
      </c>
      <c r="L1305" s="62"/>
      <c r="M1305" s="52"/>
      <c r="N1305" s="52"/>
      <c r="O1305" s="52"/>
      <c r="P1305" s="63" t="s">
        <v>2216</v>
      </c>
      <c r="Q1305" s="55">
        <f>VLOOKUP(E1305,'NI-Ric_SP'!$C:$AN,12,FALSE)</f>
        <v>0</v>
      </c>
      <c r="R1305" s="55">
        <f>VLOOKUP(E1305,'NI-Ric_SP'!$C:$AN,13,FALSE)</f>
        <v>0</v>
      </c>
      <c r="S1305" s="55"/>
      <c r="T1305" s="55"/>
      <c r="U1305" s="55">
        <f>VLOOKUP($E1305,'NI-Ric_SP'!$C:$AN,MID(U$1,1,2),FALSE)</f>
        <v>0</v>
      </c>
      <c r="V1305" s="55">
        <f>VLOOKUP($E1305,'NI-Ric_SP'!$C:$AN,MID(V$1,1,2),FALSE)</f>
        <v>0</v>
      </c>
      <c r="W1305" s="55">
        <f>VLOOKUP($E1305,'NI-Ric_SP'!$C:$AN,MID(W$1,1,2),FALSE)</f>
        <v>0</v>
      </c>
      <c r="X1305" s="55">
        <f>VLOOKUP($E1305,'NI-Ric_SP'!$C:$AN,MID(X$1,1,2),FALSE)</f>
        <v>0</v>
      </c>
      <c r="Y1305" s="55">
        <f>VLOOKUP($E1305,'NI-Ric_SP'!$C:$AN,MID(Y$1,1,2),FALSE)</f>
        <v>0</v>
      </c>
      <c r="Z1305" s="55">
        <f>VLOOKUP($E1305,'NI-Ric_SP'!$C:$AN,MID(Z$1,1,2),FALSE)</f>
        <v>0</v>
      </c>
      <c r="AA1305" s="55">
        <f>VLOOKUP($E1305,'NI-Ric_SP'!$C:$AN,MID(AA$1,1,2),FALSE)</f>
        <v>0</v>
      </c>
      <c r="AB1305" s="55">
        <f>VLOOKUP($E1305,'NI-Ric_SP'!$C:$AN,MID(AB$1,1,2),FALSE)</f>
        <v>0</v>
      </c>
      <c r="AC1305" s="55">
        <f>VLOOKUP($E1305,'NI-Ric_SP'!$C:$AN,MID(AC$1,1,2),FALSE)</f>
        <v>0</v>
      </c>
      <c r="AD1305" s="55">
        <f>VLOOKUP($E1305,'NI-Ric_SP'!$C:$AN,MID(AD$1,1,2),FALSE)</f>
        <v>0</v>
      </c>
      <c r="AE1305" s="55">
        <f>VLOOKUP($E1305,'NI-Ric_SP'!$C:$AN,MID(AE$1,1,2),FALSE)</f>
        <v>0</v>
      </c>
      <c r="AF1305" s="55">
        <f>VLOOKUP($E1305,'NI-Ric_SP'!$C:$AN,MID(AF$1,1,2),FALSE)</f>
        <v>0</v>
      </c>
      <c r="AG1305" s="55">
        <f>VLOOKUP($E1305,'NI-Ric_SP'!$C:$AN,MID(AG$1,1,2),FALSE)</f>
        <v>0</v>
      </c>
      <c r="AH1305" s="55">
        <f>VLOOKUP($E1305,'NI-Ric_SP'!$C:$AN,MID(AH$1,1,2),FALSE)</f>
        <v>0</v>
      </c>
      <c r="AI1305" s="55">
        <f>VLOOKUP($E1305,'NI-Ric_SP'!$C:$AN,MID(AI$1,1,2),FALSE)</f>
        <v>0</v>
      </c>
      <c r="AJ1305" s="55">
        <f>VLOOKUP($E1305,'NI-Ric_SP'!$C:$AN,MID(AJ$1,1,2),FALSE)</f>
        <v>0</v>
      </c>
      <c r="AK1305" s="55">
        <f>VLOOKUP($E1305,'NI-Ric_SP'!$C:$AN,MID(AK$1,1,2),FALSE)</f>
        <v>0</v>
      </c>
      <c r="AL1305" s="55">
        <f>VLOOKUP($E1305,'NI-Ric_SP'!$C:$AN,MID(AL$1,1,2),FALSE)</f>
        <v>0</v>
      </c>
      <c r="AM1305" s="56">
        <f>VLOOKUP($E1305,'NI-Ric_SP'!$C:$AN,MID(AM$1,1,2),FALSE)</f>
        <v>0</v>
      </c>
      <c r="AN1305" s="30" t="str">
        <f t="shared" si="20"/>
        <v>60503010000000</v>
      </c>
    </row>
    <row r="1306" spans="1:40" x14ac:dyDescent="0.25">
      <c r="C1306" s="40"/>
      <c r="D1306" s="101" t="s">
        <v>2217</v>
      </c>
      <c r="E1306" s="101" t="s">
        <v>2218</v>
      </c>
      <c r="F1306" s="102" t="s">
        <v>2750</v>
      </c>
      <c r="G1306" s="52"/>
      <c r="H1306" s="52"/>
      <c r="I1306" s="52" t="s">
        <v>2219</v>
      </c>
      <c r="J1306" s="52" t="s">
        <v>2219</v>
      </c>
      <c r="K1306" s="59" t="s">
        <v>79</v>
      </c>
      <c r="L1306" s="81" t="s">
        <v>2220</v>
      </c>
      <c r="M1306" s="52"/>
      <c r="N1306" s="52"/>
      <c r="O1306" s="52"/>
      <c r="P1306" s="63" t="s">
        <v>2221</v>
      </c>
      <c r="Q1306" s="55">
        <f>VLOOKUP(E1306,'NI-Ric_SP'!$C:$AN,12,FALSE)</f>
        <v>0</v>
      </c>
      <c r="R1306" s="55">
        <f>VLOOKUP(E1306,'NI-Ric_SP'!$C:$AN,13,FALSE)</f>
        <v>0</v>
      </c>
      <c r="S1306" s="55"/>
      <c r="T1306" s="55"/>
      <c r="U1306" s="55">
        <f>VLOOKUP($E1306,'NI-Ric_SP'!$C:$AN,MID(U$1,1,2),FALSE)</f>
        <v>0</v>
      </c>
      <c r="V1306" s="55">
        <f>VLOOKUP($E1306,'NI-Ric_SP'!$C:$AN,MID(V$1,1,2),FALSE)</f>
        <v>0</v>
      </c>
      <c r="W1306" s="55">
        <f>VLOOKUP($E1306,'NI-Ric_SP'!$C:$AN,MID(W$1,1,2),FALSE)</f>
        <v>0</v>
      </c>
      <c r="X1306" s="55">
        <f>VLOOKUP($E1306,'NI-Ric_SP'!$C:$AN,MID(X$1,1,2),FALSE)</f>
        <v>0</v>
      </c>
      <c r="Y1306" s="55">
        <f>VLOOKUP($E1306,'NI-Ric_SP'!$C:$AN,MID(Y$1,1,2),FALSE)</f>
        <v>0</v>
      </c>
      <c r="Z1306" s="55">
        <f>VLOOKUP($E1306,'NI-Ric_SP'!$C:$AN,MID(Z$1,1,2),FALSE)</f>
        <v>0</v>
      </c>
      <c r="AA1306" s="55">
        <f>VLOOKUP($E1306,'NI-Ric_SP'!$C:$AN,MID(AA$1,1,2),FALSE)</f>
        <v>0</v>
      </c>
      <c r="AB1306" s="55">
        <f>VLOOKUP($E1306,'NI-Ric_SP'!$C:$AN,MID(AB$1,1,2),FALSE)</f>
        <v>0</v>
      </c>
      <c r="AC1306" s="55">
        <f>VLOOKUP($E1306,'NI-Ric_SP'!$C:$AN,MID(AC$1,1,2),FALSE)</f>
        <v>0</v>
      </c>
      <c r="AD1306" s="55">
        <f>VLOOKUP($E1306,'NI-Ric_SP'!$C:$AN,MID(AD$1,1,2),FALSE)</f>
        <v>0</v>
      </c>
      <c r="AE1306" s="55">
        <f>VLOOKUP($E1306,'NI-Ric_SP'!$C:$AN,MID(AE$1,1,2),FALSE)</f>
        <v>0</v>
      </c>
      <c r="AF1306" s="55">
        <f>VLOOKUP($E1306,'NI-Ric_SP'!$C:$AN,MID(AF$1,1,2),FALSE)</f>
        <v>0</v>
      </c>
      <c r="AG1306" s="55">
        <f>VLOOKUP($E1306,'NI-Ric_SP'!$C:$AN,MID(AG$1,1,2),FALSE)</f>
        <v>0</v>
      </c>
      <c r="AH1306" s="55">
        <f>VLOOKUP($E1306,'NI-Ric_SP'!$C:$AN,MID(AH$1,1,2),FALSE)</f>
        <v>0</v>
      </c>
      <c r="AI1306" s="55">
        <f>VLOOKUP($E1306,'NI-Ric_SP'!$C:$AN,MID(AI$1,1,2),FALSE)</f>
        <v>0</v>
      </c>
      <c r="AJ1306" s="55">
        <f>VLOOKUP($E1306,'NI-Ric_SP'!$C:$AN,MID(AJ$1,1,2),FALSE)</f>
        <v>0</v>
      </c>
      <c r="AK1306" s="55">
        <f>VLOOKUP($E1306,'NI-Ric_SP'!$C:$AN,MID(AK$1,1,2),FALSE)</f>
        <v>0</v>
      </c>
      <c r="AL1306" s="55">
        <f>VLOOKUP($E1306,'NI-Ric_SP'!$C:$AN,MID(AL$1,1,2),FALSE)</f>
        <v>0</v>
      </c>
      <c r="AM1306" s="56">
        <f>VLOOKUP($E1306,'NI-Ric_SP'!$C:$AN,MID(AM$1,1,2),FALSE)</f>
        <v>0</v>
      </c>
      <c r="AN1306" s="30" t="str">
        <f t="shared" si="20"/>
        <v>60503010010000</v>
      </c>
    </row>
    <row r="1307" spans="1:40" x14ac:dyDescent="0.25">
      <c r="C1307" s="40"/>
      <c r="D1307" s="101" t="s">
        <v>2222</v>
      </c>
      <c r="E1307" s="101" t="s">
        <v>2223</v>
      </c>
      <c r="F1307" s="102" t="s">
        <v>2750</v>
      </c>
      <c r="G1307" s="52"/>
      <c r="H1307" s="52"/>
      <c r="I1307" s="52" t="s">
        <v>2219</v>
      </c>
      <c r="J1307" s="52" t="s">
        <v>2219</v>
      </c>
      <c r="K1307" s="59" t="s">
        <v>79</v>
      </c>
      <c r="L1307" s="81" t="s">
        <v>2220</v>
      </c>
      <c r="M1307" s="52"/>
      <c r="N1307" s="52"/>
      <c r="O1307" s="52"/>
      <c r="P1307" s="63" t="s">
        <v>2224</v>
      </c>
      <c r="Q1307" s="55">
        <f>VLOOKUP(E1307,'NI-Ric_SP'!$C:$AN,12,FALSE)</f>
        <v>0</v>
      </c>
      <c r="R1307" s="55">
        <f>VLOOKUP(E1307,'NI-Ric_SP'!$C:$AN,13,FALSE)</f>
        <v>0</v>
      </c>
      <c r="S1307" s="55"/>
      <c r="T1307" s="55"/>
      <c r="U1307" s="55">
        <f>VLOOKUP($E1307,'NI-Ric_SP'!$C:$AN,MID(U$1,1,2),FALSE)</f>
        <v>0</v>
      </c>
      <c r="V1307" s="55">
        <f>VLOOKUP($E1307,'NI-Ric_SP'!$C:$AN,MID(V$1,1,2),FALSE)</f>
        <v>0</v>
      </c>
      <c r="W1307" s="55">
        <f>VLOOKUP($E1307,'NI-Ric_SP'!$C:$AN,MID(W$1,1,2),FALSE)</f>
        <v>0</v>
      </c>
      <c r="X1307" s="55">
        <f>VLOOKUP($E1307,'NI-Ric_SP'!$C:$AN,MID(X$1,1,2),FALSE)</f>
        <v>0</v>
      </c>
      <c r="Y1307" s="55">
        <f>VLOOKUP($E1307,'NI-Ric_SP'!$C:$AN,MID(Y$1,1,2),FALSE)</f>
        <v>0</v>
      </c>
      <c r="Z1307" s="55">
        <f>VLOOKUP($E1307,'NI-Ric_SP'!$C:$AN,MID(Z$1,1,2),FALSE)</f>
        <v>0</v>
      </c>
      <c r="AA1307" s="55">
        <f>VLOOKUP($E1307,'NI-Ric_SP'!$C:$AN,MID(AA$1,1,2),FALSE)</f>
        <v>0</v>
      </c>
      <c r="AB1307" s="55">
        <f>VLOOKUP($E1307,'NI-Ric_SP'!$C:$AN,MID(AB$1,1,2),FALSE)</f>
        <v>0</v>
      </c>
      <c r="AC1307" s="55">
        <f>VLOOKUP($E1307,'NI-Ric_SP'!$C:$AN,MID(AC$1,1,2),FALSE)</f>
        <v>0</v>
      </c>
      <c r="AD1307" s="55">
        <f>VLOOKUP($E1307,'NI-Ric_SP'!$C:$AN,MID(AD$1,1,2),FALSE)</f>
        <v>0</v>
      </c>
      <c r="AE1307" s="55">
        <f>VLOOKUP($E1307,'NI-Ric_SP'!$C:$AN,MID(AE$1,1,2),FALSE)</f>
        <v>0</v>
      </c>
      <c r="AF1307" s="55">
        <f>VLOOKUP($E1307,'NI-Ric_SP'!$C:$AN,MID(AF$1,1,2),FALSE)</f>
        <v>0</v>
      </c>
      <c r="AG1307" s="55">
        <f>VLOOKUP($E1307,'NI-Ric_SP'!$C:$AN,MID(AG$1,1,2),FALSE)</f>
        <v>0</v>
      </c>
      <c r="AH1307" s="55">
        <f>VLOOKUP($E1307,'NI-Ric_SP'!$C:$AN,MID(AH$1,1,2),FALSE)</f>
        <v>0</v>
      </c>
      <c r="AI1307" s="55">
        <f>VLOOKUP($E1307,'NI-Ric_SP'!$C:$AN,MID(AI$1,1,2),FALSE)</f>
        <v>0</v>
      </c>
      <c r="AJ1307" s="55">
        <f>VLOOKUP($E1307,'NI-Ric_SP'!$C:$AN,MID(AJ$1,1,2),FALSE)</f>
        <v>0</v>
      </c>
      <c r="AK1307" s="55">
        <f>VLOOKUP($E1307,'NI-Ric_SP'!$C:$AN,MID(AK$1,1,2),FALSE)</f>
        <v>0</v>
      </c>
      <c r="AL1307" s="55">
        <f>VLOOKUP($E1307,'NI-Ric_SP'!$C:$AN,MID(AL$1,1,2),FALSE)</f>
        <v>0</v>
      </c>
      <c r="AM1307" s="56">
        <f>VLOOKUP($E1307,'NI-Ric_SP'!$C:$AN,MID(AM$1,1,2),FALSE)</f>
        <v>0</v>
      </c>
      <c r="AN1307" s="30" t="str">
        <f t="shared" si="20"/>
        <v>60503010020000</v>
      </c>
    </row>
    <row r="1308" spans="1:40" x14ac:dyDescent="0.25">
      <c r="A1308" s="30" t="s">
        <v>1394</v>
      </c>
      <c r="C1308" s="40"/>
      <c r="D1308" s="93" t="s">
        <v>2225</v>
      </c>
      <c r="E1308" s="93" t="s">
        <v>2226</v>
      </c>
      <c r="F1308" s="102" t="s">
        <v>2750</v>
      </c>
      <c r="H1308" s="52"/>
      <c r="I1308" s="52"/>
      <c r="J1308" s="52" t="s">
        <v>2227</v>
      </c>
      <c r="K1308" s="59" t="s">
        <v>79</v>
      </c>
      <c r="L1308" s="81"/>
      <c r="M1308" s="52"/>
      <c r="N1308" s="52"/>
      <c r="O1308" s="52"/>
      <c r="P1308" s="76" t="s">
        <v>2228</v>
      </c>
      <c r="Q1308" s="55">
        <f>VLOOKUP(E1308,'NI-Ric_SP'!$C:$AN,12,FALSE)</f>
        <v>0</v>
      </c>
      <c r="R1308" s="55">
        <f>VLOOKUP(E1308,'NI-Ric_SP'!$C:$AN,13,FALSE)</f>
        <v>0</v>
      </c>
      <c r="S1308" s="55"/>
      <c r="T1308" s="55"/>
      <c r="U1308" s="55">
        <f>VLOOKUP($E1308,'NI-Ric_SP'!$C:$AN,MID(U$1,1,2),FALSE)</f>
        <v>0</v>
      </c>
      <c r="V1308" s="55">
        <f>VLOOKUP($E1308,'NI-Ric_SP'!$C:$AN,MID(V$1,1,2),FALSE)</f>
        <v>0</v>
      </c>
      <c r="W1308" s="55">
        <f>VLOOKUP($E1308,'NI-Ric_SP'!$C:$AN,MID(W$1,1,2),FALSE)</f>
        <v>0</v>
      </c>
      <c r="X1308" s="55">
        <f>VLOOKUP($E1308,'NI-Ric_SP'!$C:$AN,MID(X$1,1,2),FALSE)</f>
        <v>0</v>
      </c>
      <c r="Y1308" s="55">
        <f>VLOOKUP($E1308,'NI-Ric_SP'!$C:$AN,MID(Y$1,1,2),FALSE)</f>
        <v>0</v>
      </c>
      <c r="Z1308" s="55">
        <f>VLOOKUP($E1308,'NI-Ric_SP'!$C:$AN,MID(Z$1,1,2),FALSE)</f>
        <v>0</v>
      </c>
      <c r="AA1308" s="55">
        <f>VLOOKUP($E1308,'NI-Ric_SP'!$C:$AN,MID(AA$1,1,2),FALSE)</f>
        <v>0</v>
      </c>
      <c r="AB1308" s="55">
        <f>VLOOKUP($E1308,'NI-Ric_SP'!$C:$AN,MID(AB$1,1,2),FALSE)</f>
        <v>0</v>
      </c>
      <c r="AC1308" s="55">
        <f>VLOOKUP($E1308,'NI-Ric_SP'!$C:$AN,MID(AC$1,1,2),FALSE)</f>
        <v>0</v>
      </c>
      <c r="AD1308" s="55">
        <f>VLOOKUP($E1308,'NI-Ric_SP'!$C:$AN,MID(AD$1,1,2),FALSE)</f>
        <v>0</v>
      </c>
      <c r="AE1308" s="55">
        <f>VLOOKUP($E1308,'NI-Ric_SP'!$C:$AN,MID(AE$1,1,2),FALSE)</f>
        <v>0</v>
      </c>
      <c r="AF1308" s="55">
        <f>VLOOKUP($E1308,'NI-Ric_SP'!$C:$AN,MID(AF$1,1,2),FALSE)</f>
        <v>0</v>
      </c>
      <c r="AG1308" s="55">
        <f>VLOOKUP($E1308,'NI-Ric_SP'!$C:$AN,MID(AG$1,1,2),FALSE)</f>
        <v>0</v>
      </c>
      <c r="AH1308" s="55">
        <f>VLOOKUP($E1308,'NI-Ric_SP'!$C:$AN,MID(AH$1,1,2),FALSE)</f>
        <v>0</v>
      </c>
      <c r="AI1308" s="55">
        <f>VLOOKUP($E1308,'NI-Ric_SP'!$C:$AN,MID(AI$1,1,2),FALSE)</f>
        <v>0</v>
      </c>
      <c r="AJ1308" s="55">
        <f>VLOOKUP($E1308,'NI-Ric_SP'!$C:$AN,MID(AJ$1,1,2),FALSE)</f>
        <v>0</v>
      </c>
      <c r="AK1308" s="55">
        <f>VLOOKUP($E1308,'NI-Ric_SP'!$C:$AN,MID(AK$1,1,2),FALSE)</f>
        <v>0</v>
      </c>
      <c r="AL1308" s="55">
        <f>VLOOKUP($E1308,'NI-Ric_SP'!$C:$AN,MID(AL$1,1,2),FALSE)</f>
        <v>0</v>
      </c>
      <c r="AM1308" s="56">
        <f>VLOOKUP($E1308,'NI-Ric_SP'!$C:$AN,MID(AM$1,1,2),FALSE)</f>
        <v>0</v>
      </c>
      <c r="AN1308" s="30" t="str">
        <f t="shared" si="20"/>
        <v>60504010000000</v>
      </c>
    </row>
    <row r="1309" spans="1:40" x14ac:dyDescent="0.25">
      <c r="C1309" s="40"/>
      <c r="D1309" s="101" t="s">
        <v>2229</v>
      </c>
      <c r="E1309" s="101" t="s">
        <v>2230</v>
      </c>
      <c r="F1309" s="102" t="s">
        <v>2750</v>
      </c>
      <c r="G1309" s="51"/>
      <c r="H1309" s="52"/>
      <c r="I1309" s="52"/>
      <c r="J1309" s="52"/>
      <c r="K1309" s="53" t="s">
        <v>111</v>
      </c>
      <c r="L1309" s="52"/>
      <c r="M1309" s="52"/>
      <c r="N1309" s="52"/>
      <c r="O1309" s="52"/>
      <c r="P1309" s="54" t="s">
        <v>2231</v>
      </c>
      <c r="Q1309" s="55">
        <f>VLOOKUP(E1309,'NI-Ric_SP'!$C:$AN,12,FALSE)</f>
        <v>0</v>
      </c>
      <c r="R1309" s="55">
        <f>VLOOKUP(E1309,'NI-Ric_SP'!$C:$AN,13,FALSE)</f>
        <v>0</v>
      </c>
      <c r="S1309" s="55"/>
      <c r="T1309" s="55"/>
      <c r="U1309" s="55">
        <f>VLOOKUP($E1309,'NI-Ric_SP'!$C:$AN,MID(U$1,1,2),FALSE)</f>
        <v>0</v>
      </c>
      <c r="V1309" s="55">
        <f>VLOOKUP($E1309,'NI-Ric_SP'!$C:$AN,MID(V$1,1,2),FALSE)</f>
        <v>0</v>
      </c>
      <c r="W1309" s="55">
        <f>VLOOKUP($E1309,'NI-Ric_SP'!$C:$AN,MID(W$1,1,2),FALSE)</f>
        <v>0</v>
      </c>
      <c r="X1309" s="55">
        <f>VLOOKUP($E1309,'NI-Ric_SP'!$C:$AN,MID(X$1,1,2),FALSE)</f>
        <v>0</v>
      </c>
      <c r="Y1309" s="55">
        <f>VLOOKUP($E1309,'NI-Ric_SP'!$C:$AN,MID(Y$1,1,2),FALSE)</f>
        <v>0</v>
      </c>
      <c r="Z1309" s="55">
        <f>VLOOKUP($E1309,'NI-Ric_SP'!$C:$AN,MID(Z$1,1,2),FALSE)</f>
        <v>0</v>
      </c>
      <c r="AA1309" s="55">
        <f>VLOOKUP($E1309,'NI-Ric_SP'!$C:$AN,MID(AA$1,1,2),FALSE)</f>
        <v>0</v>
      </c>
      <c r="AB1309" s="55">
        <f>VLOOKUP($E1309,'NI-Ric_SP'!$C:$AN,MID(AB$1,1,2),FALSE)</f>
        <v>0</v>
      </c>
      <c r="AC1309" s="55">
        <f>VLOOKUP($E1309,'NI-Ric_SP'!$C:$AN,MID(AC$1,1,2),FALSE)</f>
        <v>0</v>
      </c>
      <c r="AD1309" s="55">
        <f>VLOOKUP($E1309,'NI-Ric_SP'!$C:$AN,MID(AD$1,1,2),FALSE)</f>
        <v>0</v>
      </c>
      <c r="AE1309" s="55">
        <f>VLOOKUP($E1309,'NI-Ric_SP'!$C:$AN,MID(AE$1,1,2),FALSE)</f>
        <v>0</v>
      </c>
      <c r="AF1309" s="55">
        <f>VLOOKUP($E1309,'NI-Ric_SP'!$C:$AN,MID(AF$1,1,2),FALSE)</f>
        <v>0</v>
      </c>
      <c r="AG1309" s="55">
        <f>VLOOKUP($E1309,'NI-Ric_SP'!$C:$AN,MID(AG$1,1,2),FALSE)</f>
        <v>0</v>
      </c>
      <c r="AH1309" s="55">
        <f>VLOOKUP($E1309,'NI-Ric_SP'!$C:$AN,MID(AH$1,1,2),FALSE)</f>
        <v>0</v>
      </c>
      <c r="AI1309" s="55">
        <f>VLOOKUP($E1309,'NI-Ric_SP'!$C:$AN,MID(AI$1,1,2),FALSE)</f>
        <v>0</v>
      </c>
      <c r="AJ1309" s="55">
        <f>VLOOKUP($E1309,'NI-Ric_SP'!$C:$AN,MID(AJ$1,1,2),FALSE)</f>
        <v>0</v>
      </c>
      <c r="AK1309" s="55">
        <f>VLOOKUP($E1309,'NI-Ric_SP'!$C:$AN,MID(AK$1,1,2),FALSE)</f>
        <v>0</v>
      </c>
      <c r="AL1309" s="55">
        <f>VLOOKUP($E1309,'NI-Ric_SP'!$C:$AN,MID(AL$1,1,2),FALSE)</f>
        <v>0</v>
      </c>
      <c r="AM1309" s="56">
        <f>VLOOKUP($E1309,'NI-Ric_SP'!$C:$AN,MID(AM$1,1,2),FALSE)</f>
        <v>0</v>
      </c>
      <c r="AN1309" s="30" t="str">
        <f t="shared" si="20"/>
        <v>60600000000000</v>
      </c>
    </row>
    <row r="1310" spans="1:40" x14ac:dyDescent="0.25">
      <c r="C1310" s="40"/>
      <c r="D1310" s="101" t="s">
        <v>2232</v>
      </c>
      <c r="E1310" s="101" t="s">
        <v>2233</v>
      </c>
      <c r="F1310" s="102" t="s">
        <v>2750</v>
      </c>
      <c r="G1310" s="52"/>
      <c r="H1310" s="52"/>
      <c r="I1310" s="52" t="s">
        <v>2234</v>
      </c>
      <c r="J1310" s="52" t="s">
        <v>2234</v>
      </c>
      <c r="K1310" s="59" t="s">
        <v>111</v>
      </c>
      <c r="L1310" s="62" t="s">
        <v>2235</v>
      </c>
      <c r="M1310" s="52"/>
      <c r="N1310" s="52"/>
      <c r="O1310" s="61" t="s">
        <v>2236</v>
      </c>
      <c r="P1310" s="60" t="s">
        <v>2237</v>
      </c>
      <c r="Q1310" s="55">
        <f>VLOOKUP(E1310,'NI-Ric_SP'!$C:$AN,12,FALSE)</f>
        <v>0</v>
      </c>
      <c r="R1310" s="55">
        <f>VLOOKUP(E1310,'NI-Ric_SP'!$C:$AN,13,FALSE)</f>
        <v>0</v>
      </c>
      <c r="S1310" s="55"/>
      <c r="T1310" s="55"/>
      <c r="U1310" s="55">
        <f>VLOOKUP($E1310,'NI-Ric_SP'!$C:$AN,MID(U$1,1,2),FALSE)</f>
        <v>0</v>
      </c>
      <c r="V1310" s="55">
        <f>VLOOKUP($E1310,'NI-Ric_SP'!$C:$AN,MID(V$1,1,2),FALSE)</f>
        <v>0</v>
      </c>
      <c r="W1310" s="55">
        <f>VLOOKUP($E1310,'NI-Ric_SP'!$C:$AN,MID(W$1,1,2),FALSE)</f>
        <v>0</v>
      </c>
      <c r="X1310" s="55">
        <f>VLOOKUP($E1310,'NI-Ric_SP'!$C:$AN,MID(X$1,1,2),FALSE)</f>
        <v>0</v>
      </c>
      <c r="Y1310" s="55">
        <f>VLOOKUP($E1310,'NI-Ric_SP'!$C:$AN,MID(Y$1,1,2),FALSE)</f>
        <v>0</v>
      </c>
      <c r="Z1310" s="55">
        <f>VLOOKUP($E1310,'NI-Ric_SP'!$C:$AN,MID(Z$1,1,2),FALSE)</f>
        <v>0</v>
      </c>
      <c r="AA1310" s="55">
        <f>VLOOKUP($E1310,'NI-Ric_SP'!$C:$AN,MID(AA$1,1,2),FALSE)</f>
        <v>0</v>
      </c>
      <c r="AB1310" s="55">
        <f>VLOOKUP($E1310,'NI-Ric_SP'!$C:$AN,MID(AB$1,1,2),FALSE)</f>
        <v>0</v>
      </c>
      <c r="AC1310" s="55">
        <f>VLOOKUP($E1310,'NI-Ric_SP'!$C:$AN,MID(AC$1,1,2),FALSE)</f>
        <v>0</v>
      </c>
      <c r="AD1310" s="55">
        <f>VLOOKUP($E1310,'NI-Ric_SP'!$C:$AN,MID(AD$1,1,2),FALSE)</f>
        <v>0</v>
      </c>
      <c r="AE1310" s="55">
        <f>VLOOKUP($E1310,'NI-Ric_SP'!$C:$AN,MID(AE$1,1,2),FALSE)</f>
        <v>0</v>
      </c>
      <c r="AF1310" s="55">
        <f>VLOOKUP($E1310,'NI-Ric_SP'!$C:$AN,MID(AF$1,1,2),FALSE)</f>
        <v>0</v>
      </c>
      <c r="AG1310" s="55">
        <f>VLOOKUP($E1310,'NI-Ric_SP'!$C:$AN,MID(AG$1,1,2),FALSE)</f>
        <v>0</v>
      </c>
      <c r="AH1310" s="55">
        <f>VLOOKUP($E1310,'NI-Ric_SP'!$C:$AN,MID(AH$1,1,2),FALSE)</f>
        <v>0</v>
      </c>
      <c r="AI1310" s="55">
        <f>VLOOKUP($E1310,'NI-Ric_SP'!$C:$AN,MID(AI$1,1,2),FALSE)</f>
        <v>0</v>
      </c>
      <c r="AJ1310" s="55">
        <f>VLOOKUP($E1310,'NI-Ric_SP'!$C:$AN,MID(AJ$1,1,2),FALSE)</f>
        <v>0</v>
      </c>
      <c r="AK1310" s="55">
        <f>VLOOKUP($E1310,'NI-Ric_SP'!$C:$AN,MID(AK$1,1,2),FALSE)</f>
        <v>0</v>
      </c>
      <c r="AL1310" s="55">
        <f>VLOOKUP($E1310,'NI-Ric_SP'!$C:$AN,MID(AL$1,1,2),FALSE)</f>
        <v>0</v>
      </c>
      <c r="AM1310" s="56">
        <f>VLOOKUP($E1310,'NI-Ric_SP'!$C:$AN,MID(AM$1,1,2),FALSE)</f>
        <v>0</v>
      </c>
      <c r="AN1310" s="30" t="str">
        <f t="shared" si="20"/>
        <v>60601000000000</v>
      </c>
    </row>
    <row r="1311" spans="1:40" x14ac:dyDescent="0.25">
      <c r="C1311" s="40"/>
      <c r="D1311" s="101" t="s">
        <v>2238</v>
      </c>
      <c r="E1311" s="101" t="s">
        <v>2239</v>
      </c>
      <c r="F1311" s="102" t="s">
        <v>2750</v>
      </c>
      <c r="G1311" s="52"/>
      <c r="H1311" s="52"/>
      <c r="I1311" s="52"/>
      <c r="J1311" s="52"/>
      <c r="K1311" s="59" t="s">
        <v>79</v>
      </c>
      <c r="L1311" s="52"/>
      <c r="M1311" s="52"/>
      <c r="N1311" s="52"/>
      <c r="O1311" s="52"/>
      <c r="P1311" s="107" t="s">
        <v>2240</v>
      </c>
      <c r="Q1311" s="55">
        <f>VLOOKUP(E1311,'NI-Ric_SP'!$C:$AN,12,FALSE)</f>
        <v>0</v>
      </c>
      <c r="R1311" s="55">
        <f>VLOOKUP(E1311,'NI-Ric_SP'!$C:$AN,13,FALSE)</f>
        <v>0</v>
      </c>
      <c r="S1311" s="55"/>
      <c r="T1311" s="55"/>
      <c r="U1311" s="55">
        <f>VLOOKUP($E1311,'NI-Ric_SP'!$C:$AN,MID(U$1,1,2),FALSE)</f>
        <v>0</v>
      </c>
      <c r="V1311" s="55">
        <f>VLOOKUP($E1311,'NI-Ric_SP'!$C:$AN,MID(V$1,1,2),FALSE)</f>
        <v>0</v>
      </c>
      <c r="W1311" s="55">
        <f>VLOOKUP($E1311,'NI-Ric_SP'!$C:$AN,MID(W$1,1,2),FALSE)</f>
        <v>0</v>
      </c>
      <c r="X1311" s="55">
        <f>VLOOKUP($E1311,'NI-Ric_SP'!$C:$AN,MID(X$1,1,2),FALSE)</f>
        <v>0</v>
      </c>
      <c r="Y1311" s="55">
        <f>VLOOKUP($E1311,'NI-Ric_SP'!$C:$AN,MID(Y$1,1,2),FALSE)</f>
        <v>0</v>
      </c>
      <c r="Z1311" s="55">
        <f>VLOOKUP($E1311,'NI-Ric_SP'!$C:$AN,MID(Z$1,1,2),FALSE)</f>
        <v>0</v>
      </c>
      <c r="AA1311" s="55">
        <f>VLOOKUP($E1311,'NI-Ric_SP'!$C:$AN,MID(AA$1,1,2),FALSE)</f>
        <v>0</v>
      </c>
      <c r="AB1311" s="55">
        <f>VLOOKUP($E1311,'NI-Ric_SP'!$C:$AN,MID(AB$1,1,2),FALSE)</f>
        <v>0</v>
      </c>
      <c r="AC1311" s="55">
        <f>VLOOKUP($E1311,'NI-Ric_SP'!$C:$AN,MID(AC$1,1,2),FALSE)</f>
        <v>0</v>
      </c>
      <c r="AD1311" s="55">
        <f>VLOOKUP($E1311,'NI-Ric_SP'!$C:$AN,MID(AD$1,1,2),FALSE)</f>
        <v>0</v>
      </c>
      <c r="AE1311" s="55">
        <f>VLOOKUP($E1311,'NI-Ric_SP'!$C:$AN,MID(AE$1,1,2),FALSE)</f>
        <v>0</v>
      </c>
      <c r="AF1311" s="55">
        <f>VLOOKUP($E1311,'NI-Ric_SP'!$C:$AN,MID(AF$1,1,2),FALSE)</f>
        <v>0</v>
      </c>
      <c r="AG1311" s="55">
        <f>VLOOKUP($E1311,'NI-Ric_SP'!$C:$AN,MID(AG$1,1,2),FALSE)</f>
        <v>0</v>
      </c>
      <c r="AH1311" s="55">
        <f>VLOOKUP($E1311,'NI-Ric_SP'!$C:$AN,MID(AH$1,1,2),FALSE)</f>
        <v>0</v>
      </c>
      <c r="AI1311" s="55">
        <f>VLOOKUP($E1311,'NI-Ric_SP'!$C:$AN,MID(AI$1,1,2),FALSE)</f>
        <v>0</v>
      </c>
      <c r="AJ1311" s="55">
        <f>VLOOKUP($E1311,'NI-Ric_SP'!$C:$AN,MID(AJ$1,1,2),FALSE)</f>
        <v>0</v>
      </c>
      <c r="AK1311" s="55">
        <f>VLOOKUP($E1311,'NI-Ric_SP'!$C:$AN,MID(AK$1,1,2),FALSE)</f>
        <v>0</v>
      </c>
      <c r="AL1311" s="55">
        <f>VLOOKUP($E1311,'NI-Ric_SP'!$C:$AN,MID(AL$1,1,2),FALSE)</f>
        <v>0</v>
      </c>
      <c r="AM1311" s="56">
        <f>VLOOKUP($E1311,'NI-Ric_SP'!$C:$AN,MID(AM$1,1,2),FALSE)</f>
        <v>0</v>
      </c>
      <c r="AN1311" s="30" t="str">
        <f t="shared" si="20"/>
        <v>60601010000000</v>
      </c>
    </row>
    <row r="1312" spans="1:40" x14ac:dyDescent="0.25">
      <c r="C1312" s="40"/>
      <c r="D1312" s="101" t="s">
        <v>2241</v>
      </c>
      <c r="E1312" s="101" t="s">
        <v>2242</v>
      </c>
      <c r="F1312" s="102" t="s">
        <v>2750</v>
      </c>
      <c r="G1312" s="52"/>
      <c r="H1312" s="52"/>
      <c r="I1312" s="52"/>
      <c r="J1312" s="52"/>
      <c r="K1312" s="59" t="s">
        <v>79</v>
      </c>
      <c r="L1312" s="52"/>
      <c r="M1312" s="52"/>
      <c r="N1312" s="52"/>
      <c r="O1312" s="52"/>
      <c r="P1312" s="107" t="s">
        <v>2243</v>
      </c>
      <c r="Q1312" s="55">
        <f>VLOOKUP(E1312,'NI-Ric_SP'!$C:$AN,12,FALSE)</f>
        <v>0</v>
      </c>
      <c r="R1312" s="55">
        <f>VLOOKUP(E1312,'NI-Ric_SP'!$C:$AN,13,FALSE)</f>
        <v>0</v>
      </c>
      <c r="S1312" s="55"/>
      <c r="T1312" s="55"/>
      <c r="U1312" s="55">
        <f>VLOOKUP($E1312,'NI-Ric_SP'!$C:$AN,MID(U$1,1,2),FALSE)</f>
        <v>0</v>
      </c>
      <c r="V1312" s="55">
        <f>VLOOKUP($E1312,'NI-Ric_SP'!$C:$AN,MID(V$1,1,2),FALSE)</f>
        <v>0</v>
      </c>
      <c r="W1312" s="55">
        <f>VLOOKUP($E1312,'NI-Ric_SP'!$C:$AN,MID(W$1,1,2),FALSE)</f>
        <v>0</v>
      </c>
      <c r="X1312" s="55">
        <f>VLOOKUP($E1312,'NI-Ric_SP'!$C:$AN,MID(X$1,1,2),FALSE)</f>
        <v>0</v>
      </c>
      <c r="Y1312" s="55">
        <f>VLOOKUP($E1312,'NI-Ric_SP'!$C:$AN,MID(Y$1,1,2),FALSE)</f>
        <v>0</v>
      </c>
      <c r="Z1312" s="55">
        <f>VLOOKUP($E1312,'NI-Ric_SP'!$C:$AN,MID(Z$1,1,2),FALSE)</f>
        <v>0</v>
      </c>
      <c r="AA1312" s="55">
        <f>VLOOKUP($E1312,'NI-Ric_SP'!$C:$AN,MID(AA$1,1,2),FALSE)</f>
        <v>0</v>
      </c>
      <c r="AB1312" s="55">
        <f>VLOOKUP($E1312,'NI-Ric_SP'!$C:$AN,MID(AB$1,1,2),FALSE)</f>
        <v>0</v>
      </c>
      <c r="AC1312" s="55">
        <f>VLOOKUP($E1312,'NI-Ric_SP'!$C:$AN,MID(AC$1,1,2),FALSE)</f>
        <v>0</v>
      </c>
      <c r="AD1312" s="55">
        <f>VLOOKUP($E1312,'NI-Ric_SP'!$C:$AN,MID(AD$1,1,2),FALSE)</f>
        <v>0</v>
      </c>
      <c r="AE1312" s="55">
        <f>VLOOKUP($E1312,'NI-Ric_SP'!$C:$AN,MID(AE$1,1,2),FALSE)</f>
        <v>0</v>
      </c>
      <c r="AF1312" s="55">
        <f>VLOOKUP($E1312,'NI-Ric_SP'!$C:$AN,MID(AF$1,1,2),FALSE)</f>
        <v>0</v>
      </c>
      <c r="AG1312" s="55">
        <f>VLOOKUP($E1312,'NI-Ric_SP'!$C:$AN,MID(AG$1,1,2),FALSE)</f>
        <v>0</v>
      </c>
      <c r="AH1312" s="55">
        <f>VLOOKUP($E1312,'NI-Ric_SP'!$C:$AN,MID(AH$1,1,2),FALSE)</f>
        <v>0</v>
      </c>
      <c r="AI1312" s="55">
        <f>VLOOKUP($E1312,'NI-Ric_SP'!$C:$AN,MID(AI$1,1,2),FALSE)</f>
        <v>0</v>
      </c>
      <c r="AJ1312" s="55">
        <f>VLOOKUP($E1312,'NI-Ric_SP'!$C:$AN,MID(AJ$1,1,2),FALSE)</f>
        <v>0</v>
      </c>
      <c r="AK1312" s="55">
        <f>VLOOKUP($E1312,'NI-Ric_SP'!$C:$AN,MID(AK$1,1,2),FALSE)</f>
        <v>0</v>
      </c>
      <c r="AL1312" s="55">
        <f>VLOOKUP($E1312,'NI-Ric_SP'!$C:$AN,MID(AL$1,1,2),FALSE)</f>
        <v>0</v>
      </c>
      <c r="AM1312" s="56">
        <f>VLOOKUP($E1312,'NI-Ric_SP'!$C:$AN,MID(AM$1,1,2),FALSE)</f>
        <v>0</v>
      </c>
      <c r="AN1312" s="30" t="str">
        <f t="shared" si="20"/>
        <v>60601020000000</v>
      </c>
    </row>
    <row r="1313" spans="1:40" x14ac:dyDescent="0.25">
      <c r="C1313" s="40"/>
      <c r="D1313" s="101" t="s">
        <v>2244</v>
      </c>
      <c r="E1313" s="101" t="s">
        <v>2245</v>
      </c>
      <c r="F1313" s="102" t="s">
        <v>2750</v>
      </c>
      <c r="G1313" s="52"/>
      <c r="H1313" s="52"/>
      <c r="I1313" s="52"/>
      <c r="J1313" s="52"/>
      <c r="K1313" s="59" t="s">
        <v>79</v>
      </c>
      <c r="L1313" s="52"/>
      <c r="M1313" s="52"/>
      <c r="N1313" s="52"/>
      <c r="O1313" s="52"/>
      <c r="P1313" s="107" t="s">
        <v>2246</v>
      </c>
      <c r="Q1313" s="55">
        <f>VLOOKUP(E1313,'NI-Ric_SP'!$C:$AN,12,FALSE)</f>
        <v>0</v>
      </c>
      <c r="R1313" s="55">
        <f>VLOOKUP(E1313,'NI-Ric_SP'!$C:$AN,13,FALSE)</f>
        <v>0</v>
      </c>
      <c r="S1313" s="55"/>
      <c r="T1313" s="55"/>
      <c r="U1313" s="55">
        <f>VLOOKUP($E1313,'NI-Ric_SP'!$C:$AN,MID(U$1,1,2),FALSE)</f>
        <v>0</v>
      </c>
      <c r="V1313" s="55">
        <f>VLOOKUP($E1313,'NI-Ric_SP'!$C:$AN,MID(V$1,1,2),FALSE)</f>
        <v>0</v>
      </c>
      <c r="W1313" s="55">
        <f>VLOOKUP($E1313,'NI-Ric_SP'!$C:$AN,MID(W$1,1,2),FALSE)</f>
        <v>0</v>
      </c>
      <c r="X1313" s="55">
        <f>VLOOKUP($E1313,'NI-Ric_SP'!$C:$AN,MID(X$1,1,2),FALSE)</f>
        <v>0</v>
      </c>
      <c r="Y1313" s="55">
        <f>VLOOKUP($E1313,'NI-Ric_SP'!$C:$AN,MID(Y$1,1,2),FALSE)</f>
        <v>0</v>
      </c>
      <c r="Z1313" s="55">
        <f>VLOOKUP($E1313,'NI-Ric_SP'!$C:$AN,MID(Z$1,1,2),FALSE)</f>
        <v>0</v>
      </c>
      <c r="AA1313" s="55">
        <f>VLOOKUP($E1313,'NI-Ric_SP'!$C:$AN,MID(AA$1,1,2),FALSE)</f>
        <v>0</v>
      </c>
      <c r="AB1313" s="55">
        <f>VLOOKUP($E1313,'NI-Ric_SP'!$C:$AN,MID(AB$1,1,2),FALSE)</f>
        <v>0</v>
      </c>
      <c r="AC1313" s="55">
        <f>VLOOKUP($E1313,'NI-Ric_SP'!$C:$AN,MID(AC$1,1,2),FALSE)</f>
        <v>0</v>
      </c>
      <c r="AD1313" s="55">
        <f>VLOOKUP($E1313,'NI-Ric_SP'!$C:$AN,MID(AD$1,1,2),FALSE)</f>
        <v>0</v>
      </c>
      <c r="AE1313" s="55">
        <f>VLOOKUP($E1313,'NI-Ric_SP'!$C:$AN,MID(AE$1,1,2),FALSE)</f>
        <v>0</v>
      </c>
      <c r="AF1313" s="55">
        <f>VLOOKUP($E1313,'NI-Ric_SP'!$C:$AN,MID(AF$1,1,2),FALSE)</f>
        <v>0</v>
      </c>
      <c r="AG1313" s="55">
        <f>VLOOKUP($E1313,'NI-Ric_SP'!$C:$AN,MID(AG$1,1,2),FALSE)</f>
        <v>0</v>
      </c>
      <c r="AH1313" s="55">
        <f>VLOOKUP($E1313,'NI-Ric_SP'!$C:$AN,MID(AH$1,1,2),FALSE)</f>
        <v>0</v>
      </c>
      <c r="AI1313" s="55">
        <f>VLOOKUP($E1313,'NI-Ric_SP'!$C:$AN,MID(AI$1,1,2),FALSE)</f>
        <v>0</v>
      </c>
      <c r="AJ1313" s="55">
        <f>VLOOKUP($E1313,'NI-Ric_SP'!$C:$AN,MID(AJ$1,1,2),FALSE)</f>
        <v>0</v>
      </c>
      <c r="AK1313" s="55">
        <f>VLOOKUP($E1313,'NI-Ric_SP'!$C:$AN,MID(AK$1,1,2),FALSE)</f>
        <v>0</v>
      </c>
      <c r="AL1313" s="55">
        <f>VLOOKUP($E1313,'NI-Ric_SP'!$C:$AN,MID(AL$1,1,2),FALSE)</f>
        <v>0</v>
      </c>
      <c r="AM1313" s="56">
        <f>VLOOKUP($E1313,'NI-Ric_SP'!$C:$AN,MID(AM$1,1,2),FALSE)</f>
        <v>0</v>
      </c>
      <c r="AN1313" s="30" t="str">
        <f t="shared" si="20"/>
        <v>60601030000000</v>
      </c>
    </row>
    <row r="1314" spans="1:40" x14ac:dyDescent="0.25">
      <c r="C1314" s="40"/>
      <c r="D1314" s="101" t="s">
        <v>2247</v>
      </c>
      <c r="E1314" s="101" t="s">
        <v>2248</v>
      </c>
      <c r="F1314" s="102" t="s">
        <v>2750</v>
      </c>
      <c r="G1314" s="52"/>
      <c r="H1314" s="52"/>
      <c r="I1314" s="52" t="s">
        <v>2249</v>
      </c>
      <c r="J1314" s="52" t="s">
        <v>2249</v>
      </c>
      <c r="K1314" s="59" t="s">
        <v>79</v>
      </c>
      <c r="L1314" s="62" t="s">
        <v>2250</v>
      </c>
      <c r="M1314" s="52"/>
      <c r="N1314" s="52"/>
      <c r="O1314" s="61" t="s">
        <v>2251</v>
      </c>
      <c r="P1314" s="60" t="s">
        <v>2252</v>
      </c>
      <c r="Q1314" s="55">
        <f>VLOOKUP(E1314,'NI-Ric_SP'!$C:$AN,12,FALSE)</f>
        <v>0</v>
      </c>
      <c r="R1314" s="55">
        <f>VLOOKUP(E1314,'NI-Ric_SP'!$C:$AN,13,FALSE)</f>
        <v>0</v>
      </c>
      <c r="S1314" s="55"/>
      <c r="T1314" s="55"/>
      <c r="U1314" s="55">
        <f>VLOOKUP($E1314,'NI-Ric_SP'!$C:$AN,MID(U$1,1,2),FALSE)</f>
        <v>0</v>
      </c>
      <c r="V1314" s="55">
        <f>VLOOKUP($E1314,'NI-Ric_SP'!$C:$AN,MID(V$1,1,2),FALSE)</f>
        <v>0</v>
      </c>
      <c r="W1314" s="55">
        <f>VLOOKUP($E1314,'NI-Ric_SP'!$C:$AN,MID(W$1,1,2),FALSE)</f>
        <v>0</v>
      </c>
      <c r="X1314" s="55">
        <f>VLOOKUP($E1314,'NI-Ric_SP'!$C:$AN,MID(X$1,1,2),FALSE)</f>
        <v>0</v>
      </c>
      <c r="Y1314" s="55">
        <f>VLOOKUP($E1314,'NI-Ric_SP'!$C:$AN,MID(Y$1,1,2),FALSE)</f>
        <v>0</v>
      </c>
      <c r="Z1314" s="55">
        <f>VLOOKUP($E1314,'NI-Ric_SP'!$C:$AN,MID(Z$1,1,2),FALSE)</f>
        <v>0</v>
      </c>
      <c r="AA1314" s="55">
        <f>VLOOKUP($E1314,'NI-Ric_SP'!$C:$AN,MID(AA$1,1,2),FALSE)</f>
        <v>0</v>
      </c>
      <c r="AB1314" s="55">
        <f>VLOOKUP($E1314,'NI-Ric_SP'!$C:$AN,MID(AB$1,1,2),FALSE)</f>
        <v>0</v>
      </c>
      <c r="AC1314" s="55">
        <f>VLOOKUP($E1314,'NI-Ric_SP'!$C:$AN,MID(AC$1,1,2),FALSE)</f>
        <v>0</v>
      </c>
      <c r="AD1314" s="55">
        <f>VLOOKUP($E1314,'NI-Ric_SP'!$C:$AN,MID(AD$1,1,2),FALSE)</f>
        <v>0</v>
      </c>
      <c r="AE1314" s="55">
        <f>VLOOKUP($E1314,'NI-Ric_SP'!$C:$AN,MID(AE$1,1,2),FALSE)</f>
        <v>0</v>
      </c>
      <c r="AF1314" s="55">
        <f>VLOOKUP($E1314,'NI-Ric_SP'!$C:$AN,MID(AF$1,1,2),FALSE)</f>
        <v>0</v>
      </c>
      <c r="AG1314" s="55">
        <f>VLOOKUP($E1314,'NI-Ric_SP'!$C:$AN,MID(AG$1,1,2),FALSE)</f>
        <v>0</v>
      </c>
      <c r="AH1314" s="55">
        <f>VLOOKUP($E1314,'NI-Ric_SP'!$C:$AN,MID(AH$1,1,2),FALSE)</f>
        <v>0</v>
      </c>
      <c r="AI1314" s="55">
        <f>VLOOKUP($E1314,'NI-Ric_SP'!$C:$AN,MID(AI$1,1,2),FALSE)</f>
        <v>0</v>
      </c>
      <c r="AJ1314" s="55">
        <f>VLOOKUP($E1314,'NI-Ric_SP'!$C:$AN,MID(AJ$1,1,2),FALSE)</f>
        <v>0</v>
      </c>
      <c r="AK1314" s="55">
        <f>VLOOKUP($E1314,'NI-Ric_SP'!$C:$AN,MID(AK$1,1,2),FALSE)</f>
        <v>0</v>
      </c>
      <c r="AL1314" s="55">
        <f>VLOOKUP($E1314,'NI-Ric_SP'!$C:$AN,MID(AL$1,1,2),FALSE)</f>
        <v>0</v>
      </c>
      <c r="AM1314" s="56">
        <f>VLOOKUP($E1314,'NI-Ric_SP'!$C:$AN,MID(AM$1,1,2),FALSE)</f>
        <v>0</v>
      </c>
      <c r="AN1314" s="30" t="str">
        <f t="shared" si="20"/>
        <v>60602000000000</v>
      </c>
    </row>
    <row r="1315" spans="1:40" x14ac:dyDescent="0.25">
      <c r="A1315" s="30" t="s">
        <v>1394</v>
      </c>
      <c r="C1315" s="40"/>
      <c r="D1315" s="87" t="s">
        <v>2253</v>
      </c>
      <c r="E1315" s="87" t="s">
        <v>2254</v>
      </c>
      <c r="F1315" s="102" t="s">
        <v>2750</v>
      </c>
      <c r="H1315" s="52"/>
      <c r="I1315" s="52"/>
      <c r="J1315" s="52" t="s">
        <v>2255</v>
      </c>
      <c r="K1315" s="59" t="s">
        <v>79</v>
      </c>
      <c r="L1315" s="62"/>
      <c r="M1315" s="52"/>
      <c r="N1315" s="52"/>
      <c r="O1315" s="61" t="s">
        <v>2251</v>
      </c>
      <c r="P1315" s="79" t="s">
        <v>2256</v>
      </c>
      <c r="Q1315" s="55">
        <f>VLOOKUP(E1315,'NI-Ric_SP'!$C:$AN,12,FALSE)</f>
        <v>0</v>
      </c>
      <c r="R1315" s="55">
        <f>VLOOKUP(E1315,'NI-Ric_SP'!$C:$AN,13,FALSE)</f>
        <v>0</v>
      </c>
      <c r="S1315" s="55"/>
      <c r="T1315" s="55"/>
      <c r="U1315" s="55">
        <f>VLOOKUP($E1315,'NI-Ric_SP'!$C:$AN,MID(U$1,1,2),FALSE)</f>
        <v>0</v>
      </c>
      <c r="V1315" s="55">
        <f>VLOOKUP($E1315,'NI-Ric_SP'!$C:$AN,MID(V$1,1,2),FALSE)</f>
        <v>0</v>
      </c>
      <c r="W1315" s="55">
        <f>VLOOKUP($E1315,'NI-Ric_SP'!$C:$AN,MID(W$1,1,2),FALSE)</f>
        <v>0</v>
      </c>
      <c r="X1315" s="55">
        <f>VLOOKUP($E1315,'NI-Ric_SP'!$C:$AN,MID(X$1,1,2),FALSE)</f>
        <v>0</v>
      </c>
      <c r="Y1315" s="55">
        <f>VLOOKUP($E1315,'NI-Ric_SP'!$C:$AN,MID(Y$1,1,2),FALSE)</f>
        <v>0</v>
      </c>
      <c r="Z1315" s="55">
        <f>VLOOKUP($E1315,'NI-Ric_SP'!$C:$AN,MID(Z$1,1,2),FALSE)</f>
        <v>0</v>
      </c>
      <c r="AA1315" s="55">
        <f>VLOOKUP($E1315,'NI-Ric_SP'!$C:$AN,MID(AA$1,1,2),FALSE)</f>
        <v>0</v>
      </c>
      <c r="AB1315" s="55">
        <f>VLOOKUP($E1315,'NI-Ric_SP'!$C:$AN,MID(AB$1,1,2),FALSE)</f>
        <v>0</v>
      </c>
      <c r="AC1315" s="55">
        <f>VLOOKUP($E1315,'NI-Ric_SP'!$C:$AN,MID(AC$1,1,2),FALSE)</f>
        <v>0</v>
      </c>
      <c r="AD1315" s="55">
        <f>VLOOKUP($E1315,'NI-Ric_SP'!$C:$AN,MID(AD$1,1,2),FALSE)</f>
        <v>0</v>
      </c>
      <c r="AE1315" s="55">
        <f>VLOOKUP($E1315,'NI-Ric_SP'!$C:$AN,MID(AE$1,1,2),FALSE)</f>
        <v>0</v>
      </c>
      <c r="AF1315" s="55">
        <f>VLOOKUP($E1315,'NI-Ric_SP'!$C:$AN,MID(AF$1,1,2),FALSE)</f>
        <v>0</v>
      </c>
      <c r="AG1315" s="55">
        <f>VLOOKUP($E1315,'NI-Ric_SP'!$C:$AN,MID(AG$1,1,2),FALSE)</f>
        <v>0</v>
      </c>
      <c r="AH1315" s="55">
        <f>VLOOKUP($E1315,'NI-Ric_SP'!$C:$AN,MID(AH$1,1,2),FALSE)</f>
        <v>0</v>
      </c>
      <c r="AI1315" s="55">
        <f>VLOOKUP($E1315,'NI-Ric_SP'!$C:$AN,MID(AI$1,1,2),FALSE)</f>
        <v>0</v>
      </c>
      <c r="AJ1315" s="55">
        <f>VLOOKUP($E1315,'NI-Ric_SP'!$C:$AN,MID(AJ$1,1,2),FALSE)</f>
        <v>0</v>
      </c>
      <c r="AK1315" s="55">
        <f>VLOOKUP($E1315,'NI-Ric_SP'!$C:$AN,MID(AK$1,1,2),FALSE)</f>
        <v>0</v>
      </c>
      <c r="AL1315" s="55">
        <f>VLOOKUP($E1315,'NI-Ric_SP'!$C:$AN,MID(AL$1,1,2),FALSE)</f>
        <v>0</v>
      </c>
      <c r="AM1315" s="56">
        <f>VLOOKUP($E1315,'NI-Ric_SP'!$C:$AN,MID(AM$1,1,2),FALSE)</f>
        <v>0</v>
      </c>
      <c r="AN1315" s="30" t="str">
        <f t="shared" si="20"/>
        <v>60603000000000</v>
      </c>
    </row>
    <row r="1316" spans="1:40" x14ac:dyDescent="0.25">
      <c r="C1316" s="40"/>
      <c r="D1316" s="101" t="s">
        <v>2257</v>
      </c>
      <c r="E1316" s="101" t="s">
        <v>2258</v>
      </c>
      <c r="F1316" s="102" t="s">
        <v>2750</v>
      </c>
      <c r="G1316" s="51"/>
      <c r="H1316" s="52"/>
      <c r="I1316" s="52"/>
      <c r="J1316" s="52"/>
      <c r="K1316" s="53" t="s">
        <v>111</v>
      </c>
      <c r="L1316" s="52"/>
      <c r="M1316" s="52"/>
      <c r="N1316" s="52"/>
      <c r="O1316" s="52"/>
      <c r="P1316" s="54" t="s">
        <v>2259</v>
      </c>
      <c r="Q1316" s="55">
        <f>VLOOKUP(E1316,'NI-Ric_SP'!$C:$AN,12,FALSE)</f>
        <v>0</v>
      </c>
      <c r="R1316" s="55">
        <f>VLOOKUP(E1316,'NI-Ric_SP'!$C:$AN,13,FALSE)</f>
        <v>0</v>
      </c>
      <c r="S1316" s="55">
        <f>VLOOKUP(E1316,'NI-Ric_SP'!$C:$AN,30,FALSE)</f>
        <v>0</v>
      </c>
      <c r="T1316" s="55">
        <f>VLOOKUP(E1316,'NI-Ric_SP'!$C:$AN,31,FALSE)+VLOOKUP(E1316,'NI-Ric_SP'!$C:$AN,32,FALSE)</f>
        <v>-708</v>
      </c>
      <c r="U1316" s="55">
        <f>VLOOKUP($E1316,'NI-Ric_SP'!$C:$AN,MID(U$1,1,2),FALSE)</f>
        <v>0</v>
      </c>
      <c r="V1316" s="55">
        <f>VLOOKUP($E1316,'NI-Ric_SP'!$C:$AN,MID(V$1,1,2),FALSE)</f>
        <v>0</v>
      </c>
      <c r="W1316" s="55">
        <f>VLOOKUP($E1316,'NI-Ric_SP'!$C:$AN,MID(W$1,1,2),FALSE)</f>
        <v>0</v>
      </c>
      <c r="X1316" s="55">
        <f>VLOOKUP($E1316,'NI-Ric_SP'!$C:$AN,MID(X$1,1,2),FALSE)</f>
        <v>0</v>
      </c>
      <c r="Y1316" s="55">
        <f>VLOOKUP($E1316,'NI-Ric_SP'!$C:$AN,MID(Y$1,1,2),FALSE)</f>
        <v>0</v>
      </c>
      <c r="Z1316" s="55">
        <f>VLOOKUP($E1316,'NI-Ric_SP'!$C:$AN,MID(Z$1,1,2),FALSE)</f>
        <v>0</v>
      </c>
      <c r="AA1316" s="55">
        <f>VLOOKUP($E1316,'NI-Ric_SP'!$C:$AN,MID(AA$1,1,2),FALSE)</f>
        <v>0</v>
      </c>
      <c r="AB1316" s="55">
        <f>VLOOKUP($E1316,'NI-Ric_SP'!$C:$AN,MID(AB$1,1,2),FALSE)</f>
        <v>0</v>
      </c>
      <c r="AC1316" s="55">
        <f>VLOOKUP($E1316,'NI-Ric_SP'!$C:$AN,MID(AC$1,1,2),FALSE)</f>
        <v>0</v>
      </c>
      <c r="AD1316" s="55">
        <f>VLOOKUP($E1316,'NI-Ric_SP'!$C:$AN,MID(AD$1,1,2),FALSE)</f>
        <v>0</v>
      </c>
      <c r="AE1316" s="55">
        <f>VLOOKUP($E1316,'NI-Ric_SP'!$C:$AN,MID(AE$1,1,2),FALSE)</f>
        <v>0</v>
      </c>
      <c r="AF1316" s="55">
        <f>VLOOKUP($E1316,'NI-Ric_SP'!$C:$AN,MID(AF$1,1,2),FALSE)</f>
        <v>0</v>
      </c>
      <c r="AG1316" s="55">
        <f>VLOOKUP($E1316,'NI-Ric_SP'!$C:$AN,MID(AG$1,1,2),FALSE)</f>
        <v>708</v>
      </c>
      <c r="AH1316" s="55">
        <f>VLOOKUP($E1316,'NI-Ric_SP'!$C:$AN,MID(AH$1,1,2),FALSE)</f>
        <v>0</v>
      </c>
      <c r="AI1316" s="55">
        <f>VLOOKUP($E1316,'NI-Ric_SP'!$C:$AN,MID(AI$1,1,2),FALSE)</f>
        <v>0</v>
      </c>
      <c r="AJ1316" s="55">
        <f>VLOOKUP($E1316,'NI-Ric_SP'!$C:$AN,MID(AJ$1,1,2),FALSE)</f>
        <v>0</v>
      </c>
      <c r="AK1316" s="55">
        <f>VLOOKUP($E1316,'NI-Ric_SP'!$C:$AN,MID(AK$1,1,2),FALSE)</f>
        <v>-708</v>
      </c>
      <c r="AL1316" s="55">
        <f>VLOOKUP($E1316,'NI-Ric_SP'!$C:$AN,MID(AL$1,1,2),FALSE)</f>
        <v>0</v>
      </c>
      <c r="AM1316" s="56">
        <f>VLOOKUP($E1316,'NI-Ric_SP'!$C:$AN,MID(AM$1,1,2),FALSE)</f>
        <v>0</v>
      </c>
      <c r="AN1316" s="30" t="str">
        <f t="shared" si="20"/>
        <v>70000000000000</v>
      </c>
    </row>
    <row r="1317" spans="1:40" x14ac:dyDescent="0.25">
      <c r="C1317" s="40"/>
      <c r="D1317" s="101" t="s">
        <v>2260</v>
      </c>
      <c r="E1317" s="101" t="s">
        <v>2261</v>
      </c>
      <c r="F1317" s="102" t="s">
        <v>2750</v>
      </c>
      <c r="G1317" s="52"/>
      <c r="H1317" s="52"/>
      <c r="I1317" s="52" t="s">
        <v>2262</v>
      </c>
      <c r="J1317" s="52" t="s">
        <v>2262</v>
      </c>
      <c r="K1317" s="59" t="s">
        <v>79</v>
      </c>
      <c r="L1317" s="62" t="s">
        <v>2263</v>
      </c>
      <c r="M1317" s="52"/>
      <c r="N1317" s="52"/>
      <c r="O1317" s="61" t="s">
        <v>2264</v>
      </c>
      <c r="P1317" s="60" t="s">
        <v>2265</v>
      </c>
      <c r="Q1317" s="55">
        <f>VLOOKUP(E1317,'NI-Ric_SP'!$C:$AN,12,FALSE)</f>
        <v>0</v>
      </c>
      <c r="R1317" s="55">
        <f>VLOOKUP(E1317,'NI-Ric_SP'!$C:$AN,13,FALSE)</f>
        <v>0</v>
      </c>
      <c r="S1317" s="55">
        <f>VLOOKUP(E1317,'NI-Ric_SP'!$C:$AN,30,FALSE)</f>
        <v>0</v>
      </c>
      <c r="T1317" s="55">
        <f>VLOOKUP(E1317,'NI-Ric_SP'!$C:$AN,31,FALSE)+VLOOKUP(E1317,'NI-Ric_SP'!$C:$AN,32,FALSE)</f>
        <v>0</v>
      </c>
      <c r="U1317" s="55">
        <f>VLOOKUP($E1317,'NI-Ric_SP'!$C:$AN,MID(U$1,1,2),FALSE)</f>
        <v>0</v>
      </c>
      <c r="V1317" s="55">
        <f>VLOOKUP($E1317,'NI-Ric_SP'!$C:$AN,MID(V$1,1,2),FALSE)</f>
        <v>0</v>
      </c>
      <c r="W1317" s="55">
        <f>VLOOKUP($E1317,'NI-Ric_SP'!$C:$AN,MID(W$1,1,2),FALSE)</f>
        <v>0</v>
      </c>
      <c r="X1317" s="55">
        <f>VLOOKUP($E1317,'NI-Ric_SP'!$C:$AN,MID(X$1,1,2),FALSE)</f>
        <v>0</v>
      </c>
      <c r="Y1317" s="55">
        <f>VLOOKUP($E1317,'NI-Ric_SP'!$C:$AN,MID(Y$1,1,2),FALSE)</f>
        <v>0</v>
      </c>
      <c r="Z1317" s="55">
        <f>VLOOKUP($E1317,'NI-Ric_SP'!$C:$AN,MID(Z$1,1,2),FALSE)</f>
        <v>0</v>
      </c>
      <c r="AA1317" s="55">
        <f>VLOOKUP($E1317,'NI-Ric_SP'!$C:$AN,MID(AA$1,1,2),FALSE)</f>
        <v>0</v>
      </c>
      <c r="AB1317" s="55">
        <f>VLOOKUP($E1317,'NI-Ric_SP'!$C:$AN,MID(AB$1,1,2),FALSE)</f>
        <v>0</v>
      </c>
      <c r="AC1317" s="55">
        <f>VLOOKUP($E1317,'NI-Ric_SP'!$C:$AN,MID(AC$1,1,2),FALSE)</f>
        <v>0</v>
      </c>
      <c r="AD1317" s="55">
        <f>VLOOKUP($E1317,'NI-Ric_SP'!$C:$AN,MID(AD$1,1,2),FALSE)</f>
        <v>0</v>
      </c>
      <c r="AE1317" s="55">
        <f>VLOOKUP($E1317,'NI-Ric_SP'!$C:$AN,MID(AE$1,1,2),FALSE)</f>
        <v>0</v>
      </c>
      <c r="AF1317" s="55">
        <f>VLOOKUP($E1317,'NI-Ric_SP'!$C:$AN,MID(AF$1,1,2),FALSE)</f>
        <v>0</v>
      </c>
      <c r="AG1317" s="55">
        <f>VLOOKUP($E1317,'NI-Ric_SP'!$C:$AN,MID(AG$1,1,2),FALSE)</f>
        <v>0</v>
      </c>
      <c r="AH1317" s="55">
        <f>VLOOKUP($E1317,'NI-Ric_SP'!$C:$AN,MID(AH$1,1,2),FALSE)</f>
        <v>0</v>
      </c>
      <c r="AI1317" s="55">
        <f>VLOOKUP($E1317,'NI-Ric_SP'!$C:$AN,MID(AI$1,1,2),FALSE)</f>
        <v>0</v>
      </c>
      <c r="AJ1317" s="55">
        <f>VLOOKUP($E1317,'NI-Ric_SP'!$C:$AN,MID(AJ$1,1,2),FALSE)</f>
        <v>0</v>
      </c>
      <c r="AK1317" s="55">
        <f>VLOOKUP($E1317,'NI-Ric_SP'!$C:$AN,MID(AK$1,1,2),FALSE)</f>
        <v>0</v>
      </c>
      <c r="AL1317" s="55">
        <f>VLOOKUP($E1317,'NI-Ric_SP'!$C:$AN,MID(AL$1,1,2),FALSE)</f>
        <v>0</v>
      </c>
      <c r="AM1317" s="56">
        <f>VLOOKUP($E1317,'NI-Ric_SP'!$C:$AN,MID(AM$1,1,2),FALSE)</f>
        <v>0</v>
      </c>
      <c r="AN1317" s="30" t="str">
        <f t="shared" si="20"/>
        <v>70100000000000</v>
      </c>
    </row>
    <row r="1318" spans="1:40" x14ac:dyDescent="0.25">
      <c r="C1318" s="40"/>
      <c r="D1318" s="101" t="s">
        <v>2266</v>
      </c>
      <c r="E1318" s="101" t="s">
        <v>2267</v>
      </c>
      <c r="F1318" s="102" t="s">
        <v>2750</v>
      </c>
      <c r="G1318" s="52"/>
      <c r="H1318" s="52"/>
      <c r="I1318" s="52"/>
      <c r="J1318" s="52"/>
      <c r="K1318" s="59" t="s">
        <v>111</v>
      </c>
      <c r="L1318" s="62" t="s">
        <v>2268</v>
      </c>
      <c r="M1318" s="52" t="s">
        <v>2269</v>
      </c>
      <c r="N1318" s="52"/>
      <c r="O1318" s="61" t="s">
        <v>2270</v>
      </c>
      <c r="P1318" s="60" t="s">
        <v>2271</v>
      </c>
      <c r="Q1318" s="55">
        <f>VLOOKUP(E1318,'NI-Ric_SP'!$C:$AN,12,FALSE)</f>
        <v>0</v>
      </c>
      <c r="R1318" s="55">
        <f>VLOOKUP(E1318,'NI-Ric_SP'!$C:$AN,13,FALSE)</f>
        <v>0</v>
      </c>
      <c r="S1318" s="55">
        <f>VLOOKUP(E1318,'NI-Ric_SP'!$C:$AN,30,FALSE)</f>
        <v>0</v>
      </c>
      <c r="T1318" s="55">
        <f>VLOOKUP(E1318,'NI-Ric_SP'!$C:$AN,31,FALSE)+VLOOKUP(E1318,'NI-Ric_SP'!$C:$AN,32,FALSE)</f>
        <v>0</v>
      </c>
      <c r="U1318" s="55">
        <f>VLOOKUP($E1318,'NI-Ric_SP'!$C:$AN,MID(U$1,1,2),FALSE)</f>
        <v>0</v>
      </c>
      <c r="V1318" s="55">
        <f>VLOOKUP($E1318,'NI-Ric_SP'!$C:$AN,MID(V$1,1,2),FALSE)</f>
        <v>0</v>
      </c>
      <c r="W1318" s="55">
        <f>VLOOKUP($E1318,'NI-Ric_SP'!$C:$AN,MID(W$1,1,2),FALSE)</f>
        <v>0</v>
      </c>
      <c r="X1318" s="55">
        <f>VLOOKUP($E1318,'NI-Ric_SP'!$C:$AN,MID(X$1,1,2),FALSE)</f>
        <v>0</v>
      </c>
      <c r="Y1318" s="55">
        <f>VLOOKUP($E1318,'NI-Ric_SP'!$C:$AN,MID(Y$1,1,2),FALSE)</f>
        <v>0</v>
      </c>
      <c r="Z1318" s="55">
        <f>VLOOKUP($E1318,'NI-Ric_SP'!$C:$AN,MID(Z$1,1,2),FALSE)</f>
        <v>0</v>
      </c>
      <c r="AA1318" s="55">
        <f>VLOOKUP($E1318,'NI-Ric_SP'!$C:$AN,MID(AA$1,1,2),FALSE)</f>
        <v>0</v>
      </c>
      <c r="AB1318" s="55">
        <f>VLOOKUP($E1318,'NI-Ric_SP'!$C:$AN,MID(AB$1,1,2),FALSE)</f>
        <v>0</v>
      </c>
      <c r="AC1318" s="55">
        <f>VLOOKUP($E1318,'NI-Ric_SP'!$C:$AN,MID(AC$1,1,2),FALSE)</f>
        <v>0</v>
      </c>
      <c r="AD1318" s="55">
        <f>VLOOKUP($E1318,'NI-Ric_SP'!$C:$AN,MID(AD$1,1,2),FALSE)</f>
        <v>0</v>
      </c>
      <c r="AE1318" s="55">
        <f>VLOOKUP($E1318,'NI-Ric_SP'!$C:$AN,MID(AE$1,1,2),FALSE)</f>
        <v>0</v>
      </c>
      <c r="AF1318" s="55">
        <f>VLOOKUP($E1318,'NI-Ric_SP'!$C:$AN,MID(AF$1,1,2),FALSE)</f>
        <v>0</v>
      </c>
      <c r="AG1318" s="55">
        <f>VLOOKUP($E1318,'NI-Ric_SP'!$C:$AN,MID(AG$1,1,2),FALSE)</f>
        <v>0</v>
      </c>
      <c r="AH1318" s="55">
        <f>VLOOKUP($E1318,'NI-Ric_SP'!$C:$AN,MID(AH$1,1,2),FALSE)</f>
        <v>0</v>
      </c>
      <c r="AI1318" s="55">
        <f>VLOOKUP($E1318,'NI-Ric_SP'!$C:$AN,MID(AI$1,1,2),FALSE)</f>
        <v>0</v>
      </c>
      <c r="AJ1318" s="55">
        <f>VLOOKUP($E1318,'NI-Ric_SP'!$C:$AN,MID(AJ$1,1,2),FALSE)</f>
        <v>0</v>
      </c>
      <c r="AK1318" s="55">
        <f>VLOOKUP($E1318,'NI-Ric_SP'!$C:$AN,MID(AK$1,1,2),FALSE)</f>
        <v>0</v>
      </c>
      <c r="AL1318" s="55">
        <f>VLOOKUP($E1318,'NI-Ric_SP'!$C:$AN,MID(AL$1,1,2),FALSE)</f>
        <v>0</v>
      </c>
      <c r="AM1318" s="56">
        <f>VLOOKUP($E1318,'NI-Ric_SP'!$C:$AN,MID(AM$1,1,2),FALSE)</f>
        <v>0</v>
      </c>
      <c r="AN1318" s="30" t="str">
        <f t="shared" si="20"/>
        <v>70200000000000</v>
      </c>
    </row>
    <row r="1319" spans="1:40" x14ac:dyDescent="0.25">
      <c r="C1319" s="40"/>
      <c r="D1319" s="101" t="s">
        <v>2272</v>
      </c>
      <c r="E1319" s="101" t="s">
        <v>2273</v>
      </c>
      <c r="F1319" s="102" t="s">
        <v>2750</v>
      </c>
      <c r="G1319" s="52"/>
      <c r="H1319" s="52"/>
      <c r="I1319" s="52" t="s">
        <v>2274</v>
      </c>
      <c r="J1319" s="52" t="s">
        <v>2274</v>
      </c>
      <c r="K1319" s="59" t="s">
        <v>1358</v>
      </c>
      <c r="L1319" s="52"/>
      <c r="M1319" s="52"/>
      <c r="N1319" s="52"/>
      <c r="O1319" s="52"/>
      <c r="P1319" s="114" t="s">
        <v>2275</v>
      </c>
      <c r="Q1319" s="55">
        <f>VLOOKUP(E1319,'NI-Ric_SP'!$C:$AN,12,FALSE)</f>
        <v>0</v>
      </c>
      <c r="R1319" s="55">
        <f>VLOOKUP(E1319,'NI-Ric_SP'!$C:$AN,13,FALSE)</f>
        <v>0</v>
      </c>
      <c r="S1319" s="55">
        <f>VLOOKUP(E1319,'NI-Ric_SP'!$C:$AN,30,FALSE)</f>
        <v>0</v>
      </c>
      <c r="T1319" s="94">
        <f>VLOOKUP(E1319,'NI-Ric_SP'!$C:$AN,31,FALSE)+VLOOKUP(E1319,'NI-Ric_SP'!$C:$AN,32,FALSE)</f>
        <v>0</v>
      </c>
      <c r="U1319" s="55">
        <f>VLOOKUP($E1319,'NI-Ric_SP'!$C:$AN,MID(U$1,1,2),FALSE)</f>
        <v>0</v>
      </c>
      <c r="V1319" s="55">
        <f>VLOOKUP($E1319,'NI-Ric_SP'!$C:$AN,MID(V$1,1,2),FALSE)</f>
        <v>0</v>
      </c>
      <c r="W1319" s="55">
        <f>VLOOKUP($E1319,'NI-Ric_SP'!$C:$AN,MID(W$1,1,2),FALSE)</f>
        <v>0</v>
      </c>
      <c r="X1319" s="55">
        <f>VLOOKUP($E1319,'NI-Ric_SP'!$C:$AN,MID(X$1,1,2),FALSE)</f>
        <v>0</v>
      </c>
      <c r="Y1319" s="55">
        <f>VLOOKUP($E1319,'NI-Ric_SP'!$C:$AN,MID(Y$1,1,2),FALSE)</f>
        <v>0</v>
      </c>
      <c r="Z1319" s="55">
        <f>VLOOKUP($E1319,'NI-Ric_SP'!$C:$AN,MID(Z$1,1,2),FALSE)</f>
        <v>0</v>
      </c>
      <c r="AA1319" s="55">
        <f>VLOOKUP($E1319,'NI-Ric_SP'!$C:$AN,MID(AA$1,1,2),FALSE)</f>
        <v>0</v>
      </c>
      <c r="AB1319" s="55">
        <f>VLOOKUP($E1319,'NI-Ric_SP'!$C:$AN,MID(AB$1,1,2),FALSE)</f>
        <v>0</v>
      </c>
      <c r="AC1319" s="55">
        <f>VLOOKUP($E1319,'NI-Ric_SP'!$C:$AN,MID(AC$1,1,2),FALSE)</f>
        <v>0</v>
      </c>
      <c r="AD1319" s="55">
        <f>VLOOKUP($E1319,'NI-Ric_SP'!$C:$AN,MID(AD$1,1,2),FALSE)</f>
        <v>0</v>
      </c>
      <c r="AE1319" s="55">
        <f>VLOOKUP($E1319,'NI-Ric_SP'!$C:$AN,MID(AE$1,1,2),FALSE)</f>
        <v>0</v>
      </c>
      <c r="AF1319" s="55">
        <f>VLOOKUP($E1319,'NI-Ric_SP'!$C:$AN,MID(AF$1,1,2),FALSE)</f>
        <v>0</v>
      </c>
      <c r="AG1319" s="55">
        <f>VLOOKUP($E1319,'NI-Ric_SP'!$C:$AN,MID(AG$1,1,2),FALSE)</f>
        <v>0</v>
      </c>
      <c r="AH1319" s="55">
        <f>VLOOKUP($E1319,'NI-Ric_SP'!$C:$AN,MID(AH$1,1,2),FALSE)</f>
        <v>0</v>
      </c>
      <c r="AI1319" s="55">
        <f>VLOOKUP($E1319,'NI-Ric_SP'!$C:$AN,MID(AI$1,1,2),FALSE)</f>
        <v>0</v>
      </c>
      <c r="AJ1319" s="55">
        <f>VLOOKUP($E1319,'NI-Ric_SP'!$C:$AN,MID(AJ$1,1,2),FALSE)</f>
        <v>0</v>
      </c>
      <c r="AK1319" s="55">
        <f>VLOOKUP($E1319,'NI-Ric_SP'!$C:$AN,MID(AK$1,1,2),FALSE)</f>
        <v>0</v>
      </c>
      <c r="AL1319" s="55">
        <f>VLOOKUP($E1319,'NI-Ric_SP'!$C:$AN,MID(AL$1,1,2),FALSE)</f>
        <v>0</v>
      </c>
      <c r="AM1319" s="56">
        <f>VLOOKUP($E1319,'NI-Ric_SP'!$C:$AN,MID(AM$1,1,2),FALSE)</f>
        <v>0</v>
      </c>
      <c r="AN1319" s="30" t="str">
        <f t="shared" si="20"/>
        <v>70201000000000</v>
      </c>
    </row>
    <row r="1320" spans="1:40" x14ac:dyDescent="0.25">
      <c r="C1320" s="40"/>
      <c r="D1320" s="101" t="s">
        <v>2276</v>
      </c>
      <c r="E1320" s="101" t="s">
        <v>2277</v>
      </c>
      <c r="F1320" s="102" t="s">
        <v>2750</v>
      </c>
      <c r="G1320" s="52"/>
      <c r="H1320" s="52"/>
      <c r="I1320" s="52" t="s">
        <v>2278</v>
      </c>
      <c r="J1320" s="52" t="s">
        <v>2278</v>
      </c>
      <c r="K1320" s="59" t="s">
        <v>1358</v>
      </c>
      <c r="L1320" s="52"/>
      <c r="M1320" s="52"/>
      <c r="N1320" s="52"/>
      <c r="O1320" s="52"/>
      <c r="P1320" s="114" t="s">
        <v>2279</v>
      </c>
      <c r="Q1320" s="55">
        <f>VLOOKUP(E1320,'NI-Ric_SP'!$C:$AN,12,FALSE)</f>
        <v>0</v>
      </c>
      <c r="R1320" s="55">
        <f>VLOOKUP(E1320,'NI-Ric_SP'!$C:$AN,13,FALSE)</f>
        <v>0</v>
      </c>
      <c r="S1320" s="55">
        <f>VLOOKUP(E1320,'NI-Ric_SP'!$C:$AN,30,FALSE)</f>
        <v>0</v>
      </c>
      <c r="T1320" s="94">
        <f>VLOOKUP(E1320,'NI-Ric_SP'!$C:$AN,31,FALSE)+VLOOKUP(E1320,'NI-Ric_SP'!$C:$AN,32,FALSE)</f>
        <v>0</v>
      </c>
      <c r="U1320" s="55">
        <f>VLOOKUP($E1320,'NI-Ric_SP'!$C:$AN,MID(U$1,1,2),FALSE)</f>
        <v>0</v>
      </c>
      <c r="V1320" s="55">
        <f>VLOOKUP($E1320,'NI-Ric_SP'!$C:$AN,MID(V$1,1,2),FALSE)</f>
        <v>0</v>
      </c>
      <c r="W1320" s="55">
        <f>VLOOKUP($E1320,'NI-Ric_SP'!$C:$AN,MID(W$1,1,2),FALSE)</f>
        <v>0</v>
      </c>
      <c r="X1320" s="55">
        <f>VLOOKUP($E1320,'NI-Ric_SP'!$C:$AN,MID(X$1,1,2),FALSE)</f>
        <v>0</v>
      </c>
      <c r="Y1320" s="55">
        <f>VLOOKUP($E1320,'NI-Ric_SP'!$C:$AN,MID(Y$1,1,2),FALSE)</f>
        <v>0</v>
      </c>
      <c r="Z1320" s="55">
        <f>VLOOKUP($E1320,'NI-Ric_SP'!$C:$AN,MID(Z$1,1,2),FALSE)</f>
        <v>0</v>
      </c>
      <c r="AA1320" s="55">
        <f>VLOOKUP($E1320,'NI-Ric_SP'!$C:$AN,MID(AA$1,1,2),FALSE)</f>
        <v>0</v>
      </c>
      <c r="AB1320" s="55">
        <f>VLOOKUP($E1320,'NI-Ric_SP'!$C:$AN,MID(AB$1,1,2),FALSE)</f>
        <v>0</v>
      </c>
      <c r="AC1320" s="55">
        <f>VLOOKUP($E1320,'NI-Ric_SP'!$C:$AN,MID(AC$1,1,2),FALSE)</f>
        <v>0</v>
      </c>
      <c r="AD1320" s="55">
        <f>VLOOKUP($E1320,'NI-Ric_SP'!$C:$AN,MID(AD$1,1,2),FALSE)</f>
        <v>0</v>
      </c>
      <c r="AE1320" s="55">
        <f>VLOOKUP($E1320,'NI-Ric_SP'!$C:$AN,MID(AE$1,1,2),FALSE)</f>
        <v>0</v>
      </c>
      <c r="AF1320" s="55">
        <f>VLOOKUP($E1320,'NI-Ric_SP'!$C:$AN,MID(AF$1,1,2),FALSE)</f>
        <v>0</v>
      </c>
      <c r="AG1320" s="55">
        <f>VLOOKUP($E1320,'NI-Ric_SP'!$C:$AN,MID(AG$1,1,2),FALSE)</f>
        <v>0</v>
      </c>
      <c r="AH1320" s="55">
        <f>VLOOKUP($E1320,'NI-Ric_SP'!$C:$AN,MID(AH$1,1,2),FALSE)</f>
        <v>0</v>
      </c>
      <c r="AI1320" s="55">
        <f>VLOOKUP($E1320,'NI-Ric_SP'!$C:$AN,MID(AI$1,1,2),FALSE)</f>
        <v>0</v>
      </c>
      <c r="AJ1320" s="55">
        <f>VLOOKUP($E1320,'NI-Ric_SP'!$C:$AN,MID(AJ$1,1,2),FALSE)</f>
        <v>0</v>
      </c>
      <c r="AK1320" s="55">
        <f>VLOOKUP($E1320,'NI-Ric_SP'!$C:$AN,MID(AK$1,1,2),FALSE)</f>
        <v>0</v>
      </c>
      <c r="AL1320" s="55">
        <f>VLOOKUP($E1320,'NI-Ric_SP'!$C:$AN,MID(AL$1,1,2),FALSE)</f>
        <v>0</v>
      </c>
      <c r="AM1320" s="56">
        <f>VLOOKUP($E1320,'NI-Ric_SP'!$C:$AN,MID(AM$1,1,2),FALSE)</f>
        <v>0</v>
      </c>
      <c r="AN1320" s="30" t="str">
        <f t="shared" si="20"/>
        <v>70202000000000</v>
      </c>
    </row>
    <row r="1321" spans="1:40" x14ac:dyDescent="0.25">
      <c r="C1321" s="40"/>
      <c r="D1321" s="101" t="s">
        <v>2280</v>
      </c>
      <c r="E1321" s="101" t="s">
        <v>2281</v>
      </c>
      <c r="F1321" s="102" t="s">
        <v>2750</v>
      </c>
      <c r="G1321" s="52"/>
      <c r="H1321" s="52"/>
      <c r="I1321" s="52" t="s">
        <v>2282</v>
      </c>
      <c r="J1321" s="52" t="s">
        <v>2282</v>
      </c>
      <c r="K1321" s="59" t="s">
        <v>1358</v>
      </c>
      <c r="L1321" s="52"/>
      <c r="M1321" s="52"/>
      <c r="N1321" s="52"/>
      <c r="O1321" s="52"/>
      <c r="P1321" s="114" t="s">
        <v>2283</v>
      </c>
      <c r="Q1321" s="55">
        <f>VLOOKUP(E1321,'NI-Ric_SP'!$C:$AN,12,FALSE)</f>
        <v>0</v>
      </c>
      <c r="R1321" s="55">
        <f>VLOOKUP(E1321,'NI-Ric_SP'!$C:$AN,13,FALSE)</f>
        <v>0</v>
      </c>
      <c r="S1321" s="55">
        <f>VLOOKUP(E1321,'NI-Ric_SP'!$C:$AN,30,FALSE)</f>
        <v>0</v>
      </c>
      <c r="T1321" s="94">
        <f>VLOOKUP(E1321,'NI-Ric_SP'!$C:$AN,31,FALSE)+VLOOKUP(E1321,'NI-Ric_SP'!$C:$AN,32,FALSE)</f>
        <v>0</v>
      </c>
      <c r="U1321" s="55">
        <f>VLOOKUP($E1321,'NI-Ric_SP'!$C:$AN,MID(U$1,1,2),FALSE)</f>
        <v>0</v>
      </c>
      <c r="V1321" s="55">
        <f>VLOOKUP($E1321,'NI-Ric_SP'!$C:$AN,MID(V$1,1,2),FALSE)</f>
        <v>0</v>
      </c>
      <c r="W1321" s="55">
        <f>VLOOKUP($E1321,'NI-Ric_SP'!$C:$AN,MID(W$1,1,2),FALSE)</f>
        <v>0</v>
      </c>
      <c r="X1321" s="55">
        <f>VLOOKUP($E1321,'NI-Ric_SP'!$C:$AN,MID(X$1,1,2),FALSE)</f>
        <v>0</v>
      </c>
      <c r="Y1321" s="55">
        <f>VLOOKUP($E1321,'NI-Ric_SP'!$C:$AN,MID(Y$1,1,2),FALSE)</f>
        <v>0</v>
      </c>
      <c r="Z1321" s="55">
        <f>VLOOKUP($E1321,'NI-Ric_SP'!$C:$AN,MID(Z$1,1,2),FALSE)</f>
        <v>0</v>
      </c>
      <c r="AA1321" s="55">
        <f>VLOOKUP($E1321,'NI-Ric_SP'!$C:$AN,MID(AA$1,1,2),FALSE)</f>
        <v>0</v>
      </c>
      <c r="AB1321" s="55">
        <f>VLOOKUP($E1321,'NI-Ric_SP'!$C:$AN,MID(AB$1,1,2),FALSE)</f>
        <v>0</v>
      </c>
      <c r="AC1321" s="55">
        <f>VLOOKUP($E1321,'NI-Ric_SP'!$C:$AN,MID(AC$1,1,2),FALSE)</f>
        <v>0</v>
      </c>
      <c r="AD1321" s="55">
        <f>VLOOKUP($E1321,'NI-Ric_SP'!$C:$AN,MID(AD$1,1,2),FALSE)</f>
        <v>0</v>
      </c>
      <c r="AE1321" s="55">
        <f>VLOOKUP($E1321,'NI-Ric_SP'!$C:$AN,MID(AE$1,1,2),FALSE)</f>
        <v>0</v>
      </c>
      <c r="AF1321" s="55">
        <f>VLOOKUP($E1321,'NI-Ric_SP'!$C:$AN,MID(AF$1,1,2),FALSE)</f>
        <v>0</v>
      </c>
      <c r="AG1321" s="55">
        <f>VLOOKUP($E1321,'NI-Ric_SP'!$C:$AN,MID(AG$1,1,2),FALSE)</f>
        <v>0</v>
      </c>
      <c r="AH1321" s="55">
        <f>VLOOKUP($E1321,'NI-Ric_SP'!$C:$AN,MID(AH$1,1,2),FALSE)</f>
        <v>0</v>
      </c>
      <c r="AI1321" s="55">
        <f>VLOOKUP($E1321,'NI-Ric_SP'!$C:$AN,MID(AI$1,1,2),FALSE)</f>
        <v>0</v>
      </c>
      <c r="AJ1321" s="55">
        <f>VLOOKUP($E1321,'NI-Ric_SP'!$C:$AN,MID(AJ$1,1,2),FALSE)</f>
        <v>0</v>
      </c>
      <c r="AK1321" s="55">
        <f>VLOOKUP($E1321,'NI-Ric_SP'!$C:$AN,MID(AK$1,1,2),FALSE)</f>
        <v>0</v>
      </c>
      <c r="AL1321" s="55">
        <f>VLOOKUP($E1321,'NI-Ric_SP'!$C:$AN,MID(AL$1,1,2),FALSE)</f>
        <v>0</v>
      </c>
      <c r="AM1321" s="56">
        <f>VLOOKUP($E1321,'NI-Ric_SP'!$C:$AN,MID(AM$1,1,2),FALSE)</f>
        <v>0</v>
      </c>
      <c r="AN1321" s="30" t="str">
        <f t="shared" si="20"/>
        <v>70203000000000</v>
      </c>
    </row>
    <row r="1322" spans="1:40" x14ac:dyDescent="0.25">
      <c r="C1322" s="40"/>
      <c r="D1322" s="101" t="s">
        <v>2284</v>
      </c>
      <c r="E1322" s="101" t="s">
        <v>2285</v>
      </c>
      <c r="F1322" s="102" t="s">
        <v>2750</v>
      </c>
      <c r="G1322" s="52"/>
      <c r="H1322" s="52"/>
      <c r="I1322" s="52" t="s">
        <v>2286</v>
      </c>
      <c r="J1322" s="52" t="s">
        <v>2286</v>
      </c>
      <c r="K1322" s="59" t="s">
        <v>79</v>
      </c>
      <c r="L1322" s="52"/>
      <c r="M1322" s="52"/>
      <c r="N1322" s="52"/>
      <c r="O1322" s="52"/>
      <c r="P1322" s="114" t="s">
        <v>2287</v>
      </c>
      <c r="Q1322" s="55">
        <f>VLOOKUP(E1322,'NI-Ric_SP'!$C:$AN,12,FALSE)</f>
        <v>0</v>
      </c>
      <c r="R1322" s="55">
        <f>VLOOKUP(E1322,'NI-Ric_SP'!$C:$AN,13,FALSE)</f>
        <v>0</v>
      </c>
      <c r="S1322" s="55">
        <f>VLOOKUP(E1322,'NI-Ric_SP'!$C:$AN,30,FALSE)</f>
        <v>0</v>
      </c>
      <c r="T1322" s="94">
        <f>VLOOKUP(E1322,'NI-Ric_SP'!$C:$AN,31,FALSE)+VLOOKUP(E1322,'NI-Ric_SP'!$C:$AN,32,FALSE)</f>
        <v>0</v>
      </c>
      <c r="U1322" s="55">
        <f>VLOOKUP($E1322,'NI-Ric_SP'!$C:$AN,MID(U$1,1,2),FALSE)</f>
        <v>0</v>
      </c>
      <c r="V1322" s="55">
        <f>VLOOKUP($E1322,'NI-Ric_SP'!$C:$AN,MID(V$1,1,2),FALSE)</f>
        <v>0</v>
      </c>
      <c r="W1322" s="55">
        <f>VLOOKUP($E1322,'NI-Ric_SP'!$C:$AN,MID(W$1,1,2),FALSE)</f>
        <v>0</v>
      </c>
      <c r="X1322" s="55">
        <f>VLOOKUP($E1322,'NI-Ric_SP'!$C:$AN,MID(X$1,1,2),FALSE)</f>
        <v>0</v>
      </c>
      <c r="Y1322" s="55">
        <f>VLOOKUP($E1322,'NI-Ric_SP'!$C:$AN,MID(Y$1,1,2),FALSE)</f>
        <v>0</v>
      </c>
      <c r="Z1322" s="55">
        <f>VLOOKUP($E1322,'NI-Ric_SP'!$C:$AN,MID(Z$1,1,2),FALSE)</f>
        <v>0</v>
      </c>
      <c r="AA1322" s="55">
        <f>VLOOKUP($E1322,'NI-Ric_SP'!$C:$AN,MID(AA$1,1,2),FALSE)</f>
        <v>0</v>
      </c>
      <c r="AB1322" s="55">
        <f>VLOOKUP($E1322,'NI-Ric_SP'!$C:$AN,MID(AB$1,1,2),FALSE)</f>
        <v>0</v>
      </c>
      <c r="AC1322" s="55">
        <f>VLOOKUP($E1322,'NI-Ric_SP'!$C:$AN,MID(AC$1,1,2),FALSE)</f>
        <v>0</v>
      </c>
      <c r="AD1322" s="55">
        <f>VLOOKUP($E1322,'NI-Ric_SP'!$C:$AN,MID(AD$1,1,2),FALSE)</f>
        <v>0</v>
      </c>
      <c r="AE1322" s="55">
        <f>VLOOKUP($E1322,'NI-Ric_SP'!$C:$AN,MID(AE$1,1,2),FALSE)</f>
        <v>0</v>
      </c>
      <c r="AF1322" s="55">
        <f>VLOOKUP($E1322,'NI-Ric_SP'!$C:$AN,MID(AF$1,1,2),FALSE)</f>
        <v>0</v>
      </c>
      <c r="AG1322" s="55">
        <f>VLOOKUP($E1322,'NI-Ric_SP'!$C:$AN,MID(AG$1,1,2),FALSE)</f>
        <v>0</v>
      </c>
      <c r="AH1322" s="55">
        <f>VLOOKUP($E1322,'NI-Ric_SP'!$C:$AN,MID(AH$1,1,2),FALSE)</f>
        <v>0</v>
      </c>
      <c r="AI1322" s="55">
        <f>VLOOKUP($E1322,'NI-Ric_SP'!$C:$AN,MID(AI$1,1,2),FALSE)</f>
        <v>0</v>
      </c>
      <c r="AJ1322" s="55">
        <f>VLOOKUP($E1322,'NI-Ric_SP'!$C:$AN,MID(AJ$1,1,2),FALSE)</f>
        <v>0</v>
      </c>
      <c r="AK1322" s="55">
        <f>VLOOKUP($E1322,'NI-Ric_SP'!$C:$AN,MID(AK$1,1,2),FALSE)</f>
        <v>0</v>
      </c>
      <c r="AL1322" s="55">
        <f>VLOOKUP($E1322,'NI-Ric_SP'!$C:$AN,MID(AL$1,1,2),FALSE)</f>
        <v>0</v>
      </c>
      <c r="AM1322" s="56">
        <f>VLOOKUP($E1322,'NI-Ric_SP'!$C:$AN,MID(AM$1,1,2),FALSE)</f>
        <v>0</v>
      </c>
      <c r="AN1322" s="30" t="str">
        <f t="shared" si="20"/>
        <v>70204000000000</v>
      </c>
    </row>
    <row r="1323" spans="1:40" x14ac:dyDescent="0.25">
      <c r="C1323" s="40"/>
      <c r="D1323" s="101" t="s">
        <v>2288</v>
      </c>
      <c r="E1323" s="101" t="s">
        <v>2289</v>
      </c>
      <c r="F1323" s="102" t="s">
        <v>2750</v>
      </c>
      <c r="G1323" s="52"/>
      <c r="H1323" s="52"/>
      <c r="I1323" s="52" t="s">
        <v>2290</v>
      </c>
      <c r="J1323" s="52" t="s">
        <v>2290</v>
      </c>
      <c r="K1323" s="59" t="s">
        <v>79</v>
      </c>
      <c r="L1323" s="52"/>
      <c r="M1323" s="52"/>
      <c r="N1323" s="52"/>
      <c r="O1323" s="52"/>
      <c r="P1323" s="114" t="s">
        <v>2291</v>
      </c>
      <c r="Q1323" s="55">
        <f>VLOOKUP(E1323,'NI-Ric_SP'!$C:$AN,12,FALSE)</f>
        <v>0</v>
      </c>
      <c r="R1323" s="55">
        <f>VLOOKUP(E1323,'NI-Ric_SP'!$C:$AN,13,FALSE)</f>
        <v>0</v>
      </c>
      <c r="S1323" s="55">
        <f>VLOOKUP(E1323,'NI-Ric_SP'!$C:$AN,30,FALSE)</f>
        <v>0</v>
      </c>
      <c r="T1323" s="94">
        <f>VLOOKUP(E1323,'NI-Ric_SP'!$C:$AN,31,FALSE)+VLOOKUP(E1323,'NI-Ric_SP'!$C:$AN,32,FALSE)</f>
        <v>0</v>
      </c>
      <c r="U1323" s="55">
        <f>VLOOKUP($E1323,'NI-Ric_SP'!$C:$AN,MID(U$1,1,2),FALSE)</f>
        <v>0</v>
      </c>
      <c r="V1323" s="55">
        <f>VLOOKUP($E1323,'NI-Ric_SP'!$C:$AN,MID(V$1,1,2),FALSE)</f>
        <v>0</v>
      </c>
      <c r="W1323" s="55">
        <f>VLOOKUP($E1323,'NI-Ric_SP'!$C:$AN,MID(W$1,1,2),FALSE)</f>
        <v>0</v>
      </c>
      <c r="X1323" s="55">
        <f>VLOOKUP($E1323,'NI-Ric_SP'!$C:$AN,MID(X$1,1,2),FALSE)</f>
        <v>0</v>
      </c>
      <c r="Y1323" s="55">
        <f>VLOOKUP($E1323,'NI-Ric_SP'!$C:$AN,MID(Y$1,1,2),FALSE)</f>
        <v>0</v>
      </c>
      <c r="Z1323" s="55">
        <f>VLOOKUP($E1323,'NI-Ric_SP'!$C:$AN,MID(Z$1,1,2),FALSE)</f>
        <v>0</v>
      </c>
      <c r="AA1323" s="55">
        <f>VLOOKUP($E1323,'NI-Ric_SP'!$C:$AN,MID(AA$1,1,2),FALSE)</f>
        <v>0</v>
      </c>
      <c r="AB1323" s="55">
        <f>VLOOKUP($E1323,'NI-Ric_SP'!$C:$AN,MID(AB$1,1,2),FALSE)</f>
        <v>0</v>
      </c>
      <c r="AC1323" s="55">
        <f>VLOOKUP($E1323,'NI-Ric_SP'!$C:$AN,MID(AC$1,1,2),FALSE)</f>
        <v>0</v>
      </c>
      <c r="AD1323" s="55">
        <f>VLOOKUP($E1323,'NI-Ric_SP'!$C:$AN,MID(AD$1,1,2),FALSE)</f>
        <v>0</v>
      </c>
      <c r="AE1323" s="55">
        <f>VLOOKUP($E1323,'NI-Ric_SP'!$C:$AN,MID(AE$1,1,2),FALSE)</f>
        <v>0</v>
      </c>
      <c r="AF1323" s="55">
        <f>VLOOKUP($E1323,'NI-Ric_SP'!$C:$AN,MID(AF$1,1,2),FALSE)</f>
        <v>0</v>
      </c>
      <c r="AG1323" s="55">
        <f>VLOOKUP($E1323,'NI-Ric_SP'!$C:$AN,MID(AG$1,1,2),FALSE)</f>
        <v>0</v>
      </c>
      <c r="AH1323" s="55">
        <f>VLOOKUP($E1323,'NI-Ric_SP'!$C:$AN,MID(AH$1,1,2),FALSE)</f>
        <v>0</v>
      </c>
      <c r="AI1323" s="55">
        <f>VLOOKUP($E1323,'NI-Ric_SP'!$C:$AN,MID(AI$1,1,2),FALSE)</f>
        <v>0</v>
      </c>
      <c r="AJ1323" s="55">
        <f>VLOOKUP($E1323,'NI-Ric_SP'!$C:$AN,MID(AJ$1,1,2),FALSE)</f>
        <v>0</v>
      </c>
      <c r="AK1323" s="55">
        <f>VLOOKUP($E1323,'NI-Ric_SP'!$C:$AN,MID(AK$1,1,2),FALSE)</f>
        <v>0</v>
      </c>
      <c r="AL1323" s="55">
        <f>VLOOKUP($E1323,'NI-Ric_SP'!$C:$AN,MID(AL$1,1,2),FALSE)</f>
        <v>0</v>
      </c>
      <c r="AM1323" s="56">
        <f>VLOOKUP($E1323,'NI-Ric_SP'!$C:$AN,MID(AM$1,1,2),FALSE)</f>
        <v>0</v>
      </c>
      <c r="AN1323" s="30" t="str">
        <f t="shared" si="20"/>
        <v>70205000000000</v>
      </c>
    </row>
    <row r="1324" spans="1:40" x14ac:dyDescent="0.25">
      <c r="C1324" s="40"/>
      <c r="D1324" s="101" t="s">
        <v>2292</v>
      </c>
      <c r="E1324" s="101" t="s">
        <v>2293</v>
      </c>
      <c r="F1324" s="102" t="s">
        <v>2750</v>
      </c>
      <c r="G1324" s="52"/>
      <c r="H1324" s="52"/>
      <c r="I1324" s="52"/>
      <c r="J1324" s="52"/>
      <c r="K1324" s="59" t="s">
        <v>111</v>
      </c>
      <c r="L1324" s="62" t="s">
        <v>2294</v>
      </c>
      <c r="M1324" s="52" t="s">
        <v>2269</v>
      </c>
      <c r="N1324" s="52"/>
      <c r="O1324" s="61" t="s">
        <v>2295</v>
      </c>
      <c r="P1324" s="60" t="s">
        <v>2296</v>
      </c>
      <c r="Q1324" s="55">
        <f>VLOOKUP(E1324,'NI-Ric_SP'!$C:$AN,12,FALSE)</f>
        <v>0</v>
      </c>
      <c r="R1324" s="55">
        <f>VLOOKUP(E1324,'NI-Ric_SP'!$C:$AN,13,FALSE)</f>
        <v>0</v>
      </c>
      <c r="S1324" s="55">
        <f>VLOOKUP(E1324,'NI-Ric_SP'!$C:$AN,30,FALSE)</f>
        <v>0</v>
      </c>
      <c r="T1324" s="55">
        <f>VLOOKUP(E1324,'NI-Ric_SP'!$C:$AN,31,FALSE)+VLOOKUP(E1324,'NI-Ric_SP'!$C:$AN,32,FALSE)</f>
        <v>0</v>
      </c>
      <c r="U1324" s="55">
        <f>VLOOKUP($E1324,'NI-Ric_SP'!$C:$AN,MID(U$1,1,2),FALSE)</f>
        <v>0</v>
      </c>
      <c r="V1324" s="55">
        <f>VLOOKUP($E1324,'NI-Ric_SP'!$C:$AN,MID(V$1,1,2),FALSE)</f>
        <v>0</v>
      </c>
      <c r="W1324" s="55">
        <f>VLOOKUP($E1324,'NI-Ric_SP'!$C:$AN,MID(W$1,1,2),FALSE)</f>
        <v>0</v>
      </c>
      <c r="X1324" s="55">
        <f>VLOOKUP($E1324,'NI-Ric_SP'!$C:$AN,MID(X$1,1,2),FALSE)</f>
        <v>0</v>
      </c>
      <c r="Y1324" s="55">
        <f>VLOOKUP($E1324,'NI-Ric_SP'!$C:$AN,MID(Y$1,1,2),FALSE)</f>
        <v>0</v>
      </c>
      <c r="Z1324" s="55">
        <f>VLOOKUP($E1324,'NI-Ric_SP'!$C:$AN,MID(Z$1,1,2),FALSE)</f>
        <v>0</v>
      </c>
      <c r="AA1324" s="55">
        <f>VLOOKUP($E1324,'NI-Ric_SP'!$C:$AN,MID(AA$1,1,2),FALSE)</f>
        <v>0</v>
      </c>
      <c r="AB1324" s="55">
        <f>VLOOKUP($E1324,'NI-Ric_SP'!$C:$AN,MID(AB$1,1,2),FALSE)</f>
        <v>0</v>
      </c>
      <c r="AC1324" s="55">
        <f>VLOOKUP($E1324,'NI-Ric_SP'!$C:$AN,MID(AC$1,1,2),FALSE)</f>
        <v>0</v>
      </c>
      <c r="AD1324" s="55">
        <f>VLOOKUP($E1324,'NI-Ric_SP'!$C:$AN,MID(AD$1,1,2),FALSE)</f>
        <v>0</v>
      </c>
      <c r="AE1324" s="55">
        <f>VLOOKUP($E1324,'NI-Ric_SP'!$C:$AN,MID(AE$1,1,2),FALSE)</f>
        <v>0</v>
      </c>
      <c r="AF1324" s="55">
        <f>VLOOKUP($E1324,'NI-Ric_SP'!$C:$AN,MID(AF$1,1,2),FALSE)</f>
        <v>0</v>
      </c>
      <c r="AG1324" s="55">
        <f>VLOOKUP($E1324,'NI-Ric_SP'!$C:$AN,MID(AG$1,1,2),FALSE)</f>
        <v>0</v>
      </c>
      <c r="AH1324" s="55">
        <f>VLOOKUP($E1324,'NI-Ric_SP'!$C:$AN,MID(AH$1,1,2),FALSE)</f>
        <v>0</v>
      </c>
      <c r="AI1324" s="55">
        <f>VLOOKUP($E1324,'NI-Ric_SP'!$C:$AN,MID(AI$1,1,2),FALSE)</f>
        <v>0</v>
      </c>
      <c r="AJ1324" s="55">
        <f>VLOOKUP($E1324,'NI-Ric_SP'!$C:$AN,MID(AJ$1,1,2),FALSE)</f>
        <v>0</v>
      </c>
      <c r="AK1324" s="55">
        <f>VLOOKUP($E1324,'NI-Ric_SP'!$C:$AN,MID(AK$1,1,2),FALSE)</f>
        <v>0</v>
      </c>
      <c r="AL1324" s="55">
        <f>VLOOKUP($E1324,'NI-Ric_SP'!$C:$AN,MID(AL$1,1,2),FALSE)</f>
        <v>0</v>
      </c>
      <c r="AM1324" s="56">
        <f>VLOOKUP($E1324,'NI-Ric_SP'!$C:$AN,MID(AM$1,1,2),FALSE)</f>
        <v>0</v>
      </c>
      <c r="AN1324" s="30" t="str">
        <f t="shared" si="20"/>
        <v>70300000000000</v>
      </c>
    </row>
    <row r="1325" spans="1:40" x14ac:dyDescent="0.25">
      <c r="C1325" s="40"/>
      <c r="D1325" s="101" t="s">
        <v>2297</v>
      </c>
      <c r="E1325" s="101" t="s">
        <v>2298</v>
      </c>
      <c r="F1325" s="102" t="s">
        <v>2750</v>
      </c>
      <c r="G1325" s="52"/>
      <c r="H1325" s="52"/>
      <c r="I1325" s="52" t="s">
        <v>2299</v>
      </c>
      <c r="J1325" s="52" t="s">
        <v>2299</v>
      </c>
      <c r="K1325" s="59" t="s">
        <v>79</v>
      </c>
      <c r="L1325" s="52"/>
      <c r="M1325" s="52"/>
      <c r="N1325" s="52"/>
      <c r="O1325" s="52"/>
      <c r="P1325" s="114" t="s">
        <v>2300</v>
      </c>
      <c r="Q1325" s="55">
        <f>VLOOKUP(E1325,'NI-Ric_SP'!$C:$AN,12,FALSE)</f>
        <v>0</v>
      </c>
      <c r="R1325" s="55">
        <f>VLOOKUP(E1325,'NI-Ric_SP'!$C:$AN,13,FALSE)</f>
        <v>0</v>
      </c>
      <c r="S1325" s="55">
        <f>VLOOKUP(E1325,'NI-Ric_SP'!$C:$AN,30,FALSE)</f>
        <v>0</v>
      </c>
      <c r="T1325" s="94">
        <f>VLOOKUP(E1325,'NI-Ric_SP'!$C:$AN,31,FALSE)+VLOOKUP(E1325,'NI-Ric_SP'!$C:$AN,32,FALSE)</f>
        <v>0</v>
      </c>
      <c r="U1325" s="55">
        <f>VLOOKUP($E1325,'NI-Ric_SP'!$C:$AN,MID(U$1,1,2),FALSE)</f>
        <v>0</v>
      </c>
      <c r="V1325" s="55">
        <f>VLOOKUP($E1325,'NI-Ric_SP'!$C:$AN,MID(V$1,1,2),FALSE)</f>
        <v>0</v>
      </c>
      <c r="W1325" s="55">
        <f>VLOOKUP($E1325,'NI-Ric_SP'!$C:$AN,MID(W$1,1,2),FALSE)</f>
        <v>0</v>
      </c>
      <c r="X1325" s="55">
        <f>VLOOKUP($E1325,'NI-Ric_SP'!$C:$AN,MID(X$1,1,2),FALSE)</f>
        <v>0</v>
      </c>
      <c r="Y1325" s="55">
        <f>VLOOKUP($E1325,'NI-Ric_SP'!$C:$AN,MID(Y$1,1,2),FALSE)</f>
        <v>0</v>
      </c>
      <c r="Z1325" s="55">
        <f>VLOOKUP($E1325,'NI-Ric_SP'!$C:$AN,MID(Z$1,1,2),FALSE)</f>
        <v>0</v>
      </c>
      <c r="AA1325" s="55">
        <f>VLOOKUP($E1325,'NI-Ric_SP'!$C:$AN,MID(AA$1,1,2),FALSE)</f>
        <v>0</v>
      </c>
      <c r="AB1325" s="55">
        <f>VLOOKUP($E1325,'NI-Ric_SP'!$C:$AN,MID(AB$1,1,2),FALSE)</f>
        <v>0</v>
      </c>
      <c r="AC1325" s="55">
        <f>VLOOKUP($E1325,'NI-Ric_SP'!$C:$AN,MID(AC$1,1,2),FALSE)</f>
        <v>0</v>
      </c>
      <c r="AD1325" s="55">
        <f>VLOOKUP($E1325,'NI-Ric_SP'!$C:$AN,MID(AD$1,1,2),FALSE)</f>
        <v>0</v>
      </c>
      <c r="AE1325" s="55">
        <f>VLOOKUP($E1325,'NI-Ric_SP'!$C:$AN,MID(AE$1,1,2),FALSE)</f>
        <v>0</v>
      </c>
      <c r="AF1325" s="55">
        <f>VLOOKUP($E1325,'NI-Ric_SP'!$C:$AN,MID(AF$1,1,2),FALSE)</f>
        <v>0</v>
      </c>
      <c r="AG1325" s="55">
        <f>VLOOKUP($E1325,'NI-Ric_SP'!$C:$AN,MID(AG$1,1,2),FALSE)</f>
        <v>0</v>
      </c>
      <c r="AH1325" s="55">
        <f>VLOOKUP($E1325,'NI-Ric_SP'!$C:$AN,MID(AH$1,1,2),FALSE)</f>
        <v>0</v>
      </c>
      <c r="AI1325" s="55">
        <f>VLOOKUP($E1325,'NI-Ric_SP'!$C:$AN,MID(AI$1,1,2),FALSE)</f>
        <v>0</v>
      </c>
      <c r="AJ1325" s="55">
        <f>VLOOKUP($E1325,'NI-Ric_SP'!$C:$AN,MID(AJ$1,1,2),FALSE)</f>
        <v>0</v>
      </c>
      <c r="AK1325" s="55">
        <f>VLOOKUP($E1325,'NI-Ric_SP'!$C:$AN,MID(AK$1,1,2),FALSE)</f>
        <v>0</v>
      </c>
      <c r="AL1325" s="55">
        <f>VLOOKUP($E1325,'NI-Ric_SP'!$C:$AN,MID(AL$1,1,2),FALSE)</f>
        <v>0</v>
      </c>
      <c r="AM1325" s="56">
        <f>VLOOKUP($E1325,'NI-Ric_SP'!$C:$AN,MID(AM$1,1,2),FALSE)</f>
        <v>0</v>
      </c>
      <c r="AN1325" s="30" t="str">
        <f t="shared" si="20"/>
        <v>70301000000000</v>
      </c>
    </row>
    <row r="1326" spans="1:40" x14ac:dyDescent="0.25">
      <c r="A1326" s="30" t="s">
        <v>1394</v>
      </c>
      <c r="C1326" s="40"/>
      <c r="D1326" s="87" t="s">
        <v>2301</v>
      </c>
      <c r="E1326" s="87" t="s">
        <v>2302</v>
      </c>
      <c r="F1326" s="102" t="s">
        <v>2750</v>
      </c>
      <c r="H1326" s="52"/>
      <c r="I1326" s="52"/>
      <c r="J1326" s="52" t="s">
        <v>2303</v>
      </c>
      <c r="K1326" s="59" t="s">
        <v>79</v>
      </c>
      <c r="L1326" s="52"/>
      <c r="M1326" s="52"/>
      <c r="N1326" s="52"/>
      <c r="O1326" s="52"/>
      <c r="P1326" s="95" t="s">
        <v>2304</v>
      </c>
      <c r="Q1326" s="55">
        <f>VLOOKUP(E1326,'NI-Ric_SP'!$C:$AN,12,FALSE)</f>
        <v>0</v>
      </c>
      <c r="R1326" s="55">
        <f>VLOOKUP(E1326,'NI-Ric_SP'!$C:$AN,13,FALSE)</f>
        <v>0</v>
      </c>
      <c r="S1326" s="55"/>
      <c r="T1326" s="55"/>
      <c r="U1326" s="55">
        <f>VLOOKUP($E1326,'NI-Ric_SP'!$C:$AN,MID(U$1,1,2),FALSE)</f>
        <v>0</v>
      </c>
      <c r="V1326" s="55">
        <f>VLOOKUP($E1326,'NI-Ric_SP'!$C:$AN,MID(V$1,1,2),FALSE)</f>
        <v>0</v>
      </c>
      <c r="W1326" s="55">
        <f>VLOOKUP($E1326,'NI-Ric_SP'!$C:$AN,MID(W$1,1,2),FALSE)</f>
        <v>0</v>
      </c>
      <c r="X1326" s="55">
        <f>VLOOKUP($E1326,'NI-Ric_SP'!$C:$AN,MID(X$1,1,2),FALSE)</f>
        <v>0</v>
      </c>
      <c r="Y1326" s="55">
        <f>VLOOKUP($E1326,'NI-Ric_SP'!$C:$AN,MID(Y$1,1,2),FALSE)</f>
        <v>0</v>
      </c>
      <c r="Z1326" s="55">
        <f>VLOOKUP($E1326,'NI-Ric_SP'!$C:$AN,MID(Z$1,1,2),FALSE)</f>
        <v>0</v>
      </c>
      <c r="AA1326" s="55">
        <f>VLOOKUP($E1326,'NI-Ric_SP'!$C:$AN,MID(AA$1,1,2),FALSE)</f>
        <v>0</v>
      </c>
      <c r="AB1326" s="55">
        <f>VLOOKUP($E1326,'NI-Ric_SP'!$C:$AN,MID(AB$1,1,2),FALSE)</f>
        <v>0</v>
      </c>
      <c r="AC1326" s="55">
        <f>VLOOKUP($E1326,'NI-Ric_SP'!$C:$AN,MID(AC$1,1,2),FALSE)</f>
        <v>0</v>
      </c>
      <c r="AD1326" s="55">
        <f>VLOOKUP($E1326,'NI-Ric_SP'!$C:$AN,MID(AD$1,1,2),FALSE)</f>
        <v>0</v>
      </c>
      <c r="AE1326" s="55">
        <f>VLOOKUP($E1326,'NI-Ric_SP'!$C:$AN,MID(AE$1,1,2),FALSE)</f>
        <v>0</v>
      </c>
      <c r="AF1326" s="55">
        <f>VLOOKUP($E1326,'NI-Ric_SP'!$C:$AN,MID(AF$1,1,2),FALSE)</f>
        <v>0</v>
      </c>
      <c r="AG1326" s="55">
        <f>VLOOKUP($E1326,'NI-Ric_SP'!$C:$AN,MID(AG$1,1,2),FALSE)</f>
        <v>0</v>
      </c>
      <c r="AH1326" s="55">
        <f>VLOOKUP($E1326,'NI-Ric_SP'!$C:$AN,MID(AH$1,1,2),FALSE)</f>
        <v>0</v>
      </c>
      <c r="AI1326" s="55">
        <f>VLOOKUP($E1326,'NI-Ric_SP'!$C:$AN,MID(AI$1,1,2),FALSE)</f>
        <v>0</v>
      </c>
      <c r="AJ1326" s="55">
        <f>VLOOKUP($E1326,'NI-Ric_SP'!$C:$AN,MID(AJ$1,1,2),FALSE)</f>
        <v>0</v>
      </c>
      <c r="AK1326" s="55">
        <f>VLOOKUP($E1326,'NI-Ric_SP'!$C:$AN,MID(AK$1,1,2),FALSE)</f>
        <v>0</v>
      </c>
      <c r="AL1326" s="55">
        <f>VLOOKUP($E1326,'NI-Ric_SP'!$C:$AN,MID(AL$1,1,2),FALSE)</f>
        <v>0</v>
      </c>
      <c r="AM1326" s="56">
        <f>VLOOKUP($E1326,'NI-Ric_SP'!$C:$AN,MID(AM$1,1,2),FALSE)</f>
        <v>0</v>
      </c>
      <c r="AN1326" s="30" t="str">
        <f t="shared" si="20"/>
        <v>70302000000000</v>
      </c>
    </row>
    <row r="1327" spans="1:40" x14ac:dyDescent="0.25">
      <c r="C1327" s="40"/>
      <c r="D1327" s="101" t="s">
        <v>2305</v>
      </c>
      <c r="E1327" s="101" t="s">
        <v>2306</v>
      </c>
      <c r="F1327" s="102" t="s">
        <v>2750</v>
      </c>
      <c r="G1327" s="52"/>
      <c r="H1327" s="52"/>
      <c r="I1327" s="52" t="s">
        <v>2307</v>
      </c>
      <c r="J1327" s="52" t="s">
        <v>2307</v>
      </c>
      <c r="K1327" s="59" t="s">
        <v>79</v>
      </c>
      <c r="L1327" s="52"/>
      <c r="M1327" s="52"/>
      <c r="N1327" s="52"/>
      <c r="O1327" s="52"/>
      <c r="P1327" s="114" t="s">
        <v>2308</v>
      </c>
      <c r="Q1327" s="55">
        <f>VLOOKUP(E1327,'NI-Ric_SP'!$C:$AN,12,FALSE)</f>
        <v>0</v>
      </c>
      <c r="R1327" s="55">
        <f>VLOOKUP(E1327,'NI-Ric_SP'!$C:$AN,13,FALSE)</f>
        <v>0</v>
      </c>
      <c r="S1327" s="55">
        <f>VLOOKUP(E1327,'NI-Ric_SP'!$C:$AN,30,FALSE)</f>
        <v>0</v>
      </c>
      <c r="T1327" s="94">
        <f>VLOOKUP(E1327,'NI-Ric_SP'!$C:$AN,31,FALSE)+VLOOKUP(E1327,'NI-Ric_SP'!$C:$AN,32,FALSE)</f>
        <v>0</v>
      </c>
      <c r="U1327" s="55">
        <f>VLOOKUP($E1327,'NI-Ric_SP'!$C:$AN,MID(U$1,1,2),FALSE)</f>
        <v>0</v>
      </c>
      <c r="V1327" s="55">
        <f>VLOOKUP($E1327,'NI-Ric_SP'!$C:$AN,MID(V$1,1,2),FALSE)</f>
        <v>0</v>
      </c>
      <c r="W1327" s="55">
        <f>VLOOKUP($E1327,'NI-Ric_SP'!$C:$AN,MID(W$1,1,2),FALSE)</f>
        <v>0</v>
      </c>
      <c r="X1327" s="55">
        <f>VLOOKUP($E1327,'NI-Ric_SP'!$C:$AN,MID(X$1,1,2),FALSE)</f>
        <v>0</v>
      </c>
      <c r="Y1327" s="55">
        <f>VLOOKUP($E1327,'NI-Ric_SP'!$C:$AN,MID(Y$1,1,2),FALSE)</f>
        <v>0</v>
      </c>
      <c r="Z1327" s="55">
        <f>VLOOKUP($E1327,'NI-Ric_SP'!$C:$AN,MID(Z$1,1,2),FALSE)</f>
        <v>0</v>
      </c>
      <c r="AA1327" s="55">
        <f>VLOOKUP($E1327,'NI-Ric_SP'!$C:$AN,MID(AA$1,1,2),FALSE)</f>
        <v>0</v>
      </c>
      <c r="AB1327" s="55">
        <f>VLOOKUP($E1327,'NI-Ric_SP'!$C:$AN,MID(AB$1,1,2),FALSE)</f>
        <v>0</v>
      </c>
      <c r="AC1327" s="55">
        <f>VLOOKUP($E1327,'NI-Ric_SP'!$C:$AN,MID(AC$1,1,2),FALSE)</f>
        <v>0</v>
      </c>
      <c r="AD1327" s="55">
        <f>VLOOKUP($E1327,'NI-Ric_SP'!$C:$AN,MID(AD$1,1,2),FALSE)</f>
        <v>0</v>
      </c>
      <c r="AE1327" s="55">
        <f>VLOOKUP($E1327,'NI-Ric_SP'!$C:$AN,MID(AE$1,1,2),FALSE)</f>
        <v>0</v>
      </c>
      <c r="AF1327" s="55">
        <f>VLOOKUP($E1327,'NI-Ric_SP'!$C:$AN,MID(AF$1,1,2),FALSE)</f>
        <v>0</v>
      </c>
      <c r="AG1327" s="55">
        <f>VLOOKUP($E1327,'NI-Ric_SP'!$C:$AN,MID(AG$1,1,2),FALSE)</f>
        <v>0</v>
      </c>
      <c r="AH1327" s="55">
        <f>VLOOKUP($E1327,'NI-Ric_SP'!$C:$AN,MID(AH$1,1,2),FALSE)</f>
        <v>0</v>
      </c>
      <c r="AI1327" s="55">
        <f>VLOOKUP($E1327,'NI-Ric_SP'!$C:$AN,MID(AI$1,1,2),FALSE)</f>
        <v>0</v>
      </c>
      <c r="AJ1327" s="55">
        <f>VLOOKUP($E1327,'NI-Ric_SP'!$C:$AN,MID(AJ$1,1,2),FALSE)</f>
        <v>0</v>
      </c>
      <c r="AK1327" s="55">
        <f>VLOOKUP($E1327,'NI-Ric_SP'!$C:$AN,MID(AK$1,1,2),FALSE)</f>
        <v>0</v>
      </c>
      <c r="AL1327" s="55">
        <f>VLOOKUP($E1327,'NI-Ric_SP'!$C:$AN,MID(AL$1,1,2),FALSE)</f>
        <v>0</v>
      </c>
      <c r="AM1327" s="56">
        <f>VLOOKUP($E1327,'NI-Ric_SP'!$C:$AN,MID(AM$1,1,2),FALSE)</f>
        <v>0</v>
      </c>
      <c r="AN1327" s="30" t="str">
        <f t="shared" si="20"/>
        <v>70303000000000</v>
      </c>
    </row>
    <row r="1328" spans="1:40" x14ac:dyDescent="0.25">
      <c r="C1328" s="40"/>
      <c r="D1328" s="101" t="s">
        <v>2309</v>
      </c>
      <c r="E1328" s="101" t="s">
        <v>2310</v>
      </c>
      <c r="F1328" s="102" t="s">
        <v>2750</v>
      </c>
      <c r="G1328" s="52"/>
      <c r="H1328" s="52"/>
      <c r="I1328" s="52" t="s">
        <v>2311</v>
      </c>
      <c r="J1328" s="52" t="s">
        <v>2311</v>
      </c>
      <c r="K1328" s="59" t="s">
        <v>79</v>
      </c>
      <c r="L1328" s="52"/>
      <c r="M1328" s="52"/>
      <c r="N1328" s="52"/>
      <c r="O1328" s="52"/>
      <c r="P1328" s="114" t="s">
        <v>2312</v>
      </c>
      <c r="Q1328" s="55">
        <f>VLOOKUP(E1328,'NI-Ric_SP'!$C:$AN,12,FALSE)</f>
        <v>0</v>
      </c>
      <c r="R1328" s="55">
        <f>VLOOKUP(E1328,'NI-Ric_SP'!$C:$AN,13,FALSE)</f>
        <v>0</v>
      </c>
      <c r="S1328" s="55">
        <f>VLOOKUP(E1328,'NI-Ric_SP'!$C:$AN,30,FALSE)</f>
        <v>0</v>
      </c>
      <c r="T1328" s="94">
        <f>VLOOKUP(E1328,'NI-Ric_SP'!$C:$AN,31,FALSE)+VLOOKUP(E1328,'NI-Ric_SP'!$C:$AN,32,FALSE)</f>
        <v>0</v>
      </c>
      <c r="U1328" s="55">
        <f>VLOOKUP($E1328,'NI-Ric_SP'!$C:$AN,MID(U$1,1,2),FALSE)</f>
        <v>0</v>
      </c>
      <c r="V1328" s="55">
        <f>VLOOKUP($E1328,'NI-Ric_SP'!$C:$AN,MID(V$1,1,2),FALSE)</f>
        <v>0</v>
      </c>
      <c r="W1328" s="55">
        <f>VLOOKUP($E1328,'NI-Ric_SP'!$C:$AN,MID(W$1,1,2),FALSE)</f>
        <v>0</v>
      </c>
      <c r="X1328" s="55">
        <f>VLOOKUP($E1328,'NI-Ric_SP'!$C:$AN,MID(X$1,1,2),FALSE)</f>
        <v>0</v>
      </c>
      <c r="Y1328" s="55">
        <f>VLOOKUP($E1328,'NI-Ric_SP'!$C:$AN,MID(Y$1,1,2),FALSE)</f>
        <v>0</v>
      </c>
      <c r="Z1328" s="55">
        <f>VLOOKUP($E1328,'NI-Ric_SP'!$C:$AN,MID(Z$1,1,2),FALSE)</f>
        <v>0</v>
      </c>
      <c r="AA1328" s="55">
        <f>VLOOKUP($E1328,'NI-Ric_SP'!$C:$AN,MID(AA$1,1,2),FALSE)</f>
        <v>0</v>
      </c>
      <c r="AB1328" s="55">
        <f>VLOOKUP($E1328,'NI-Ric_SP'!$C:$AN,MID(AB$1,1,2),FALSE)</f>
        <v>0</v>
      </c>
      <c r="AC1328" s="55">
        <f>VLOOKUP($E1328,'NI-Ric_SP'!$C:$AN,MID(AC$1,1,2),FALSE)</f>
        <v>0</v>
      </c>
      <c r="AD1328" s="55">
        <f>VLOOKUP($E1328,'NI-Ric_SP'!$C:$AN,MID(AD$1,1,2),FALSE)</f>
        <v>0</v>
      </c>
      <c r="AE1328" s="55">
        <f>VLOOKUP($E1328,'NI-Ric_SP'!$C:$AN,MID(AE$1,1,2),FALSE)</f>
        <v>0</v>
      </c>
      <c r="AF1328" s="55">
        <f>VLOOKUP($E1328,'NI-Ric_SP'!$C:$AN,MID(AF$1,1,2),FALSE)</f>
        <v>0</v>
      </c>
      <c r="AG1328" s="55">
        <f>VLOOKUP($E1328,'NI-Ric_SP'!$C:$AN,MID(AG$1,1,2),FALSE)</f>
        <v>0</v>
      </c>
      <c r="AH1328" s="55">
        <f>VLOOKUP($E1328,'NI-Ric_SP'!$C:$AN,MID(AH$1,1,2),FALSE)</f>
        <v>0</v>
      </c>
      <c r="AI1328" s="55">
        <f>VLOOKUP($E1328,'NI-Ric_SP'!$C:$AN,MID(AI$1,1,2),FALSE)</f>
        <v>0</v>
      </c>
      <c r="AJ1328" s="55">
        <f>VLOOKUP($E1328,'NI-Ric_SP'!$C:$AN,MID(AJ$1,1,2),FALSE)</f>
        <v>0</v>
      </c>
      <c r="AK1328" s="55">
        <f>VLOOKUP($E1328,'NI-Ric_SP'!$C:$AN,MID(AK$1,1,2),FALSE)</f>
        <v>0</v>
      </c>
      <c r="AL1328" s="55">
        <f>VLOOKUP($E1328,'NI-Ric_SP'!$C:$AN,MID(AL$1,1,2),FALSE)</f>
        <v>0</v>
      </c>
      <c r="AM1328" s="56">
        <f>VLOOKUP($E1328,'NI-Ric_SP'!$C:$AN,MID(AM$1,1,2),FALSE)</f>
        <v>0</v>
      </c>
      <c r="AN1328" s="30" t="str">
        <f t="shared" si="20"/>
        <v>70304000000000</v>
      </c>
    </row>
    <row r="1329" spans="1:40" x14ac:dyDescent="0.25">
      <c r="A1329" s="30" t="s">
        <v>1394</v>
      </c>
      <c r="C1329" s="40"/>
      <c r="D1329" s="87" t="s">
        <v>2313</v>
      </c>
      <c r="E1329" s="87" t="s">
        <v>2314</v>
      </c>
      <c r="F1329" s="102" t="s">
        <v>2750</v>
      </c>
      <c r="H1329" s="52"/>
      <c r="I1329" s="52"/>
      <c r="J1329" s="52" t="s">
        <v>2315</v>
      </c>
      <c r="K1329" s="59" t="s">
        <v>79</v>
      </c>
      <c r="L1329" s="52"/>
      <c r="M1329" s="52"/>
      <c r="N1329" s="52"/>
      <c r="O1329" s="52"/>
      <c r="P1329" s="95" t="s">
        <v>2316</v>
      </c>
      <c r="Q1329" s="55">
        <f>VLOOKUP(E1329,'NI-Ric_SP'!$C:$AN,12,FALSE)</f>
        <v>0</v>
      </c>
      <c r="R1329" s="55">
        <f>VLOOKUP(E1329,'NI-Ric_SP'!$C:$AN,13,FALSE)</f>
        <v>0</v>
      </c>
      <c r="S1329" s="55">
        <f>VLOOKUP(E1329,'NI-Ric_SP'!$C:$AN,30,FALSE)</f>
        <v>0</v>
      </c>
      <c r="T1329" s="94">
        <f>VLOOKUP(E1329,'NI-Ric_SP'!$C:$AN,31,FALSE)+VLOOKUP(E1329,'NI-Ric_SP'!$C:$AN,32,FALSE)</f>
        <v>0</v>
      </c>
      <c r="U1329" s="55">
        <f>VLOOKUP($E1329,'NI-Ric_SP'!$C:$AN,MID(U$1,1,2),FALSE)</f>
        <v>0</v>
      </c>
      <c r="V1329" s="55">
        <f>VLOOKUP($E1329,'NI-Ric_SP'!$C:$AN,MID(V$1,1,2),FALSE)</f>
        <v>0</v>
      </c>
      <c r="W1329" s="55">
        <f>VLOOKUP($E1329,'NI-Ric_SP'!$C:$AN,MID(W$1,1,2),FALSE)</f>
        <v>0</v>
      </c>
      <c r="X1329" s="55">
        <f>VLOOKUP($E1329,'NI-Ric_SP'!$C:$AN,MID(X$1,1,2),FALSE)</f>
        <v>0</v>
      </c>
      <c r="Y1329" s="55">
        <f>VLOOKUP($E1329,'NI-Ric_SP'!$C:$AN,MID(Y$1,1,2),FALSE)</f>
        <v>0</v>
      </c>
      <c r="Z1329" s="55">
        <f>VLOOKUP($E1329,'NI-Ric_SP'!$C:$AN,MID(Z$1,1,2),FALSE)</f>
        <v>0</v>
      </c>
      <c r="AA1329" s="55">
        <f>VLOOKUP($E1329,'NI-Ric_SP'!$C:$AN,MID(AA$1,1,2),FALSE)</f>
        <v>0</v>
      </c>
      <c r="AB1329" s="55">
        <f>VLOOKUP($E1329,'NI-Ric_SP'!$C:$AN,MID(AB$1,1,2),FALSE)</f>
        <v>0</v>
      </c>
      <c r="AC1329" s="55">
        <f>VLOOKUP($E1329,'NI-Ric_SP'!$C:$AN,MID(AC$1,1,2),FALSE)</f>
        <v>0</v>
      </c>
      <c r="AD1329" s="55">
        <f>VLOOKUP($E1329,'NI-Ric_SP'!$C:$AN,MID(AD$1,1,2),FALSE)</f>
        <v>0</v>
      </c>
      <c r="AE1329" s="55">
        <f>VLOOKUP($E1329,'NI-Ric_SP'!$C:$AN,MID(AE$1,1,2),FALSE)</f>
        <v>0</v>
      </c>
      <c r="AF1329" s="55">
        <f>VLOOKUP($E1329,'NI-Ric_SP'!$C:$AN,MID(AF$1,1,2),FALSE)</f>
        <v>0</v>
      </c>
      <c r="AG1329" s="55">
        <f>VLOOKUP($E1329,'NI-Ric_SP'!$C:$AN,MID(AG$1,1,2),FALSE)</f>
        <v>0</v>
      </c>
      <c r="AH1329" s="55">
        <f>VLOOKUP($E1329,'NI-Ric_SP'!$C:$AN,MID(AH$1,1,2),FALSE)</f>
        <v>0</v>
      </c>
      <c r="AI1329" s="55">
        <f>VLOOKUP($E1329,'NI-Ric_SP'!$C:$AN,MID(AI$1,1,2),FALSE)</f>
        <v>0</v>
      </c>
      <c r="AJ1329" s="55">
        <f>VLOOKUP($E1329,'NI-Ric_SP'!$C:$AN,MID(AJ$1,1,2),FALSE)</f>
        <v>0</v>
      </c>
      <c r="AK1329" s="55">
        <f>VLOOKUP($E1329,'NI-Ric_SP'!$C:$AN,MID(AK$1,1,2),FALSE)</f>
        <v>0</v>
      </c>
      <c r="AL1329" s="55">
        <f>VLOOKUP($E1329,'NI-Ric_SP'!$C:$AN,MID(AL$1,1,2),FALSE)</f>
        <v>0</v>
      </c>
      <c r="AM1329" s="56">
        <f>VLOOKUP($E1329,'NI-Ric_SP'!$C:$AN,MID(AM$1,1,2),FALSE)</f>
        <v>0</v>
      </c>
      <c r="AN1329" s="30" t="str">
        <f t="shared" si="20"/>
        <v>70305000000000</v>
      </c>
    </row>
    <row r="1330" spans="1:40" x14ac:dyDescent="0.25">
      <c r="C1330" s="40"/>
      <c r="D1330" s="101" t="s">
        <v>2317</v>
      </c>
      <c r="E1330" s="101" t="s">
        <v>2318</v>
      </c>
      <c r="F1330" s="102" t="s">
        <v>2750</v>
      </c>
      <c r="G1330" s="52"/>
      <c r="H1330" s="52"/>
      <c r="I1330" s="52" t="s">
        <v>2319</v>
      </c>
      <c r="J1330" s="52" t="s">
        <v>2319</v>
      </c>
      <c r="K1330" s="59" t="s">
        <v>79</v>
      </c>
      <c r="L1330" s="52"/>
      <c r="M1330" s="52"/>
      <c r="N1330" s="52"/>
      <c r="O1330" s="52"/>
      <c r="P1330" s="114" t="s">
        <v>2320</v>
      </c>
      <c r="Q1330" s="55">
        <f>VLOOKUP(E1330,'NI-Ric_SP'!$C:$AN,12,FALSE)</f>
        <v>0</v>
      </c>
      <c r="R1330" s="55">
        <f>VLOOKUP(E1330,'NI-Ric_SP'!$C:$AN,13,FALSE)</f>
        <v>0</v>
      </c>
      <c r="S1330" s="55">
        <f>VLOOKUP(E1330,'NI-Ric_SP'!$C:$AN,30,FALSE)</f>
        <v>0</v>
      </c>
      <c r="T1330" s="94">
        <f>VLOOKUP(E1330,'NI-Ric_SP'!$C:$AN,31,FALSE)+VLOOKUP(E1330,'NI-Ric_SP'!$C:$AN,32,FALSE)</f>
        <v>0</v>
      </c>
      <c r="U1330" s="55">
        <f>VLOOKUP($E1330,'NI-Ric_SP'!$C:$AN,MID(U$1,1,2),FALSE)</f>
        <v>0</v>
      </c>
      <c r="V1330" s="55">
        <f>VLOOKUP($E1330,'NI-Ric_SP'!$C:$AN,MID(V$1,1,2),FALSE)</f>
        <v>0</v>
      </c>
      <c r="W1330" s="55">
        <f>VLOOKUP($E1330,'NI-Ric_SP'!$C:$AN,MID(W$1,1,2),FALSE)</f>
        <v>0</v>
      </c>
      <c r="X1330" s="55">
        <f>VLOOKUP($E1330,'NI-Ric_SP'!$C:$AN,MID(X$1,1,2),FALSE)</f>
        <v>0</v>
      </c>
      <c r="Y1330" s="55">
        <f>VLOOKUP($E1330,'NI-Ric_SP'!$C:$AN,MID(Y$1,1,2),FALSE)</f>
        <v>0</v>
      </c>
      <c r="Z1330" s="55">
        <f>VLOOKUP($E1330,'NI-Ric_SP'!$C:$AN,MID(Z$1,1,2),FALSE)</f>
        <v>0</v>
      </c>
      <c r="AA1330" s="55">
        <f>VLOOKUP($E1330,'NI-Ric_SP'!$C:$AN,MID(AA$1,1,2),FALSE)</f>
        <v>0</v>
      </c>
      <c r="AB1330" s="55">
        <f>VLOOKUP($E1330,'NI-Ric_SP'!$C:$AN,MID(AB$1,1,2),FALSE)</f>
        <v>0</v>
      </c>
      <c r="AC1330" s="55">
        <f>VLOOKUP($E1330,'NI-Ric_SP'!$C:$AN,MID(AC$1,1,2),FALSE)</f>
        <v>0</v>
      </c>
      <c r="AD1330" s="55">
        <f>VLOOKUP($E1330,'NI-Ric_SP'!$C:$AN,MID(AD$1,1,2),FALSE)</f>
        <v>0</v>
      </c>
      <c r="AE1330" s="55">
        <f>VLOOKUP($E1330,'NI-Ric_SP'!$C:$AN,MID(AE$1,1,2),FALSE)</f>
        <v>0</v>
      </c>
      <c r="AF1330" s="55">
        <f>VLOOKUP($E1330,'NI-Ric_SP'!$C:$AN,MID(AF$1,1,2),FALSE)</f>
        <v>0</v>
      </c>
      <c r="AG1330" s="55">
        <f>VLOOKUP($E1330,'NI-Ric_SP'!$C:$AN,MID(AG$1,1,2),FALSE)</f>
        <v>0</v>
      </c>
      <c r="AH1330" s="55">
        <f>VLOOKUP($E1330,'NI-Ric_SP'!$C:$AN,MID(AH$1,1,2),FALSE)</f>
        <v>0</v>
      </c>
      <c r="AI1330" s="55">
        <f>VLOOKUP($E1330,'NI-Ric_SP'!$C:$AN,MID(AI$1,1,2),FALSE)</f>
        <v>0</v>
      </c>
      <c r="AJ1330" s="55">
        <f>VLOOKUP($E1330,'NI-Ric_SP'!$C:$AN,MID(AJ$1,1,2),FALSE)</f>
        <v>0</v>
      </c>
      <c r="AK1330" s="55">
        <f>VLOOKUP($E1330,'NI-Ric_SP'!$C:$AN,MID(AK$1,1,2),FALSE)</f>
        <v>0</v>
      </c>
      <c r="AL1330" s="55">
        <f>VLOOKUP($E1330,'NI-Ric_SP'!$C:$AN,MID(AL$1,1,2),FALSE)</f>
        <v>0</v>
      </c>
      <c r="AM1330" s="56">
        <f>VLOOKUP($E1330,'NI-Ric_SP'!$C:$AN,MID(AM$1,1,2),FALSE)</f>
        <v>0</v>
      </c>
      <c r="AN1330" s="30" t="str">
        <f t="shared" si="20"/>
        <v>70306000000000</v>
      </c>
    </row>
    <row r="1331" spans="1:40" x14ac:dyDescent="0.25">
      <c r="A1331" s="30" t="s">
        <v>1394</v>
      </c>
      <c r="C1331" s="40"/>
      <c r="D1331" s="87" t="s">
        <v>2321</v>
      </c>
      <c r="E1331" s="87" t="s">
        <v>2322</v>
      </c>
      <c r="F1331" s="102" t="s">
        <v>2750</v>
      </c>
      <c r="H1331" s="52"/>
      <c r="I1331" s="52"/>
      <c r="J1331" s="52" t="s">
        <v>2323</v>
      </c>
      <c r="K1331" s="59"/>
      <c r="L1331" s="52"/>
      <c r="M1331" s="52"/>
      <c r="N1331" s="52"/>
      <c r="O1331" s="52"/>
      <c r="P1331" s="95" t="s">
        <v>2324</v>
      </c>
      <c r="Q1331" s="55">
        <f>VLOOKUP(E1331,'NI-Ric_SP'!$C:$AN,12,FALSE)</f>
        <v>0</v>
      </c>
      <c r="R1331" s="55">
        <f>VLOOKUP(E1331,'NI-Ric_SP'!$C:$AN,13,FALSE)</f>
        <v>0</v>
      </c>
      <c r="S1331" s="55">
        <f>VLOOKUP(E1331,'NI-Ric_SP'!$C:$AN,30,FALSE)</f>
        <v>0</v>
      </c>
      <c r="T1331" s="94">
        <f>VLOOKUP(E1331,'NI-Ric_SP'!$C:$AN,31,FALSE)+VLOOKUP(E1331,'NI-Ric_SP'!$C:$AN,32,FALSE)</f>
        <v>0</v>
      </c>
      <c r="U1331" s="55">
        <f>VLOOKUP($E1331,'NI-Ric_SP'!$C:$AN,MID(U$1,1,2),FALSE)</f>
        <v>0</v>
      </c>
      <c r="V1331" s="55">
        <f>VLOOKUP($E1331,'NI-Ric_SP'!$C:$AN,MID(V$1,1,2),FALSE)</f>
        <v>0</v>
      </c>
      <c r="W1331" s="55">
        <f>VLOOKUP($E1331,'NI-Ric_SP'!$C:$AN,MID(W$1,1,2),FALSE)</f>
        <v>0</v>
      </c>
      <c r="X1331" s="55">
        <f>VLOOKUP($E1331,'NI-Ric_SP'!$C:$AN,MID(X$1,1,2),FALSE)</f>
        <v>0</v>
      </c>
      <c r="Y1331" s="55">
        <f>VLOOKUP($E1331,'NI-Ric_SP'!$C:$AN,MID(Y$1,1,2),FALSE)</f>
        <v>0</v>
      </c>
      <c r="Z1331" s="55">
        <f>VLOOKUP($E1331,'NI-Ric_SP'!$C:$AN,MID(Z$1,1,2),FALSE)</f>
        <v>0</v>
      </c>
      <c r="AA1331" s="55">
        <f>VLOOKUP($E1331,'NI-Ric_SP'!$C:$AN,MID(AA$1,1,2),FALSE)</f>
        <v>0</v>
      </c>
      <c r="AB1331" s="55">
        <f>VLOOKUP($E1331,'NI-Ric_SP'!$C:$AN,MID(AB$1,1,2),FALSE)</f>
        <v>0</v>
      </c>
      <c r="AC1331" s="55">
        <f>VLOOKUP($E1331,'NI-Ric_SP'!$C:$AN,MID(AC$1,1,2),FALSE)</f>
        <v>0</v>
      </c>
      <c r="AD1331" s="55">
        <f>VLOOKUP($E1331,'NI-Ric_SP'!$C:$AN,MID(AD$1,1,2),FALSE)</f>
        <v>0</v>
      </c>
      <c r="AE1331" s="55">
        <f>VLOOKUP($E1331,'NI-Ric_SP'!$C:$AN,MID(AE$1,1,2),FALSE)</f>
        <v>0</v>
      </c>
      <c r="AF1331" s="55">
        <f>VLOOKUP($E1331,'NI-Ric_SP'!$C:$AN,MID(AF$1,1,2),FALSE)</f>
        <v>0</v>
      </c>
      <c r="AG1331" s="55">
        <f>VLOOKUP($E1331,'NI-Ric_SP'!$C:$AN,MID(AG$1,1,2),FALSE)</f>
        <v>0</v>
      </c>
      <c r="AH1331" s="55">
        <f>VLOOKUP($E1331,'NI-Ric_SP'!$C:$AN,MID(AH$1,1,2),FALSE)</f>
        <v>0</v>
      </c>
      <c r="AI1331" s="55">
        <f>VLOOKUP($E1331,'NI-Ric_SP'!$C:$AN,MID(AI$1,1,2),FALSE)</f>
        <v>0</v>
      </c>
      <c r="AJ1331" s="55">
        <f>VLOOKUP($E1331,'NI-Ric_SP'!$C:$AN,MID(AJ$1,1,2),FALSE)</f>
        <v>0</v>
      </c>
      <c r="AK1331" s="55">
        <f>VLOOKUP($E1331,'NI-Ric_SP'!$C:$AN,MID(AK$1,1,2),FALSE)</f>
        <v>0</v>
      </c>
      <c r="AL1331" s="55">
        <f>VLOOKUP($E1331,'NI-Ric_SP'!$C:$AN,MID(AL$1,1,2),FALSE)</f>
        <v>0</v>
      </c>
      <c r="AM1331" s="56">
        <f>VLOOKUP($E1331,'NI-Ric_SP'!$C:$AN,MID(AM$1,1,2),FALSE)</f>
        <v>0</v>
      </c>
      <c r="AN1331" s="30" t="str">
        <f t="shared" si="20"/>
        <v>70307000000000</v>
      </c>
    </row>
    <row r="1332" spans="1:40" x14ac:dyDescent="0.25">
      <c r="A1332" s="30" t="s">
        <v>1394</v>
      </c>
      <c r="C1332" s="40"/>
      <c r="D1332" s="87" t="s">
        <v>2325</v>
      </c>
      <c r="E1332" s="87" t="s">
        <v>2326</v>
      </c>
      <c r="F1332" s="102" t="s">
        <v>2750</v>
      </c>
      <c r="H1332" s="52"/>
      <c r="I1332" s="52"/>
      <c r="J1332" s="52" t="s">
        <v>2327</v>
      </c>
      <c r="K1332" s="59"/>
      <c r="L1332" s="52"/>
      <c r="M1332" s="52"/>
      <c r="N1332" s="52"/>
      <c r="O1332" s="52"/>
      <c r="P1332" s="95" t="s">
        <v>2328</v>
      </c>
      <c r="Q1332" s="55">
        <f>VLOOKUP(E1332,'NI-Ric_SP'!$C:$AN,12,FALSE)</f>
        <v>0</v>
      </c>
      <c r="R1332" s="55">
        <f>VLOOKUP(E1332,'NI-Ric_SP'!$C:$AN,13,FALSE)</f>
        <v>0</v>
      </c>
      <c r="S1332" s="55">
        <f>VLOOKUP(E1332,'NI-Ric_SP'!$C:$AN,30,FALSE)</f>
        <v>0</v>
      </c>
      <c r="T1332" s="94">
        <f>VLOOKUP(E1332,'NI-Ric_SP'!$C:$AN,31,FALSE)+VLOOKUP(E1332,'NI-Ric_SP'!$C:$AN,32,FALSE)</f>
        <v>0</v>
      </c>
      <c r="U1332" s="55">
        <f>VLOOKUP($E1332,'NI-Ric_SP'!$C:$AN,MID(U$1,1,2),FALSE)</f>
        <v>0</v>
      </c>
      <c r="V1332" s="55">
        <f>VLOOKUP($E1332,'NI-Ric_SP'!$C:$AN,MID(V$1,1,2),FALSE)</f>
        <v>0</v>
      </c>
      <c r="W1332" s="55">
        <f>VLOOKUP($E1332,'NI-Ric_SP'!$C:$AN,MID(W$1,1,2),FALSE)</f>
        <v>0</v>
      </c>
      <c r="X1332" s="55">
        <f>VLOOKUP($E1332,'NI-Ric_SP'!$C:$AN,MID(X$1,1,2),FALSE)</f>
        <v>0</v>
      </c>
      <c r="Y1332" s="55">
        <f>VLOOKUP($E1332,'NI-Ric_SP'!$C:$AN,MID(Y$1,1,2),FALSE)</f>
        <v>0</v>
      </c>
      <c r="Z1332" s="55">
        <f>VLOOKUP($E1332,'NI-Ric_SP'!$C:$AN,MID(Z$1,1,2),FALSE)</f>
        <v>0</v>
      </c>
      <c r="AA1332" s="55">
        <f>VLOOKUP($E1332,'NI-Ric_SP'!$C:$AN,MID(AA$1,1,2),FALSE)</f>
        <v>0</v>
      </c>
      <c r="AB1332" s="55">
        <f>VLOOKUP($E1332,'NI-Ric_SP'!$C:$AN,MID(AB$1,1,2),FALSE)</f>
        <v>0</v>
      </c>
      <c r="AC1332" s="55">
        <f>VLOOKUP($E1332,'NI-Ric_SP'!$C:$AN,MID(AC$1,1,2),FALSE)</f>
        <v>0</v>
      </c>
      <c r="AD1332" s="55">
        <f>VLOOKUP($E1332,'NI-Ric_SP'!$C:$AN,MID(AD$1,1,2),FALSE)</f>
        <v>0</v>
      </c>
      <c r="AE1332" s="55">
        <f>VLOOKUP($E1332,'NI-Ric_SP'!$C:$AN,MID(AE$1,1,2),FALSE)</f>
        <v>0</v>
      </c>
      <c r="AF1332" s="55">
        <f>VLOOKUP($E1332,'NI-Ric_SP'!$C:$AN,MID(AF$1,1,2),FALSE)</f>
        <v>0</v>
      </c>
      <c r="AG1332" s="55">
        <f>VLOOKUP($E1332,'NI-Ric_SP'!$C:$AN,MID(AG$1,1,2),FALSE)</f>
        <v>0</v>
      </c>
      <c r="AH1332" s="55">
        <f>VLOOKUP($E1332,'NI-Ric_SP'!$C:$AN,MID(AH$1,1,2),FALSE)</f>
        <v>0</v>
      </c>
      <c r="AI1332" s="55">
        <f>VLOOKUP($E1332,'NI-Ric_SP'!$C:$AN,MID(AI$1,1,2),FALSE)</f>
        <v>0</v>
      </c>
      <c r="AJ1332" s="55">
        <f>VLOOKUP($E1332,'NI-Ric_SP'!$C:$AN,MID(AJ$1,1,2),FALSE)</f>
        <v>0</v>
      </c>
      <c r="AK1332" s="55">
        <f>VLOOKUP($E1332,'NI-Ric_SP'!$C:$AN,MID(AK$1,1,2),FALSE)</f>
        <v>0</v>
      </c>
      <c r="AL1332" s="55">
        <f>VLOOKUP($E1332,'NI-Ric_SP'!$C:$AN,MID(AL$1,1,2),FALSE)</f>
        <v>0</v>
      </c>
      <c r="AM1332" s="56">
        <f>VLOOKUP($E1332,'NI-Ric_SP'!$C:$AN,MID(AM$1,1,2),FALSE)</f>
        <v>0</v>
      </c>
      <c r="AN1332" s="30" t="str">
        <f t="shared" si="20"/>
        <v>70308000000000</v>
      </c>
    </row>
    <row r="1333" spans="1:40" x14ac:dyDescent="0.25">
      <c r="A1333" s="30" t="s">
        <v>1394</v>
      </c>
      <c r="C1333" s="40"/>
      <c r="D1333" s="87" t="s">
        <v>2329</v>
      </c>
      <c r="E1333" s="87" t="s">
        <v>2330</v>
      </c>
      <c r="F1333" s="102" t="s">
        <v>2750</v>
      </c>
      <c r="H1333" s="52"/>
      <c r="I1333" s="52"/>
      <c r="J1333" s="52" t="s">
        <v>2331</v>
      </c>
      <c r="K1333" s="59"/>
      <c r="L1333" s="52"/>
      <c r="M1333" s="52"/>
      <c r="N1333" s="52"/>
      <c r="O1333" s="52"/>
      <c r="P1333" s="95" t="s">
        <v>2332</v>
      </c>
      <c r="Q1333" s="55">
        <f>VLOOKUP(E1333,'NI-Ric_SP'!$C:$AN,12,FALSE)</f>
        <v>0</v>
      </c>
      <c r="R1333" s="55">
        <f>VLOOKUP(E1333,'NI-Ric_SP'!$C:$AN,13,FALSE)</f>
        <v>0</v>
      </c>
      <c r="S1333" s="55">
        <f>VLOOKUP(E1333,'NI-Ric_SP'!$C:$AN,30,FALSE)</f>
        <v>0</v>
      </c>
      <c r="T1333" s="94">
        <f>VLOOKUP(E1333,'NI-Ric_SP'!$C:$AN,31,FALSE)+VLOOKUP(E1333,'NI-Ric_SP'!$C:$AN,32,FALSE)</f>
        <v>0</v>
      </c>
      <c r="U1333" s="55">
        <f>VLOOKUP($E1333,'NI-Ric_SP'!$C:$AN,MID(U$1,1,2),FALSE)</f>
        <v>0</v>
      </c>
      <c r="V1333" s="55">
        <f>VLOOKUP($E1333,'NI-Ric_SP'!$C:$AN,MID(V$1,1,2),FALSE)</f>
        <v>0</v>
      </c>
      <c r="W1333" s="55">
        <f>VLOOKUP($E1333,'NI-Ric_SP'!$C:$AN,MID(W$1,1,2),FALSE)</f>
        <v>0</v>
      </c>
      <c r="X1333" s="55">
        <f>VLOOKUP($E1333,'NI-Ric_SP'!$C:$AN,MID(X$1,1,2),FALSE)</f>
        <v>0</v>
      </c>
      <c r="Y1333" s="55">
        <f>VLOOKUP($E1333,'NI-Ric_SP'!$C:$AN,MID(Y$1,1,2),FALSE)</f>
        <v>0</v>
      </c>
      <c r="Z1333" s="55">
        <f>VLOOKUP($E1333,'NI-Ric_SP'!$C:$AN,MID(Z$1,1,2),FALSE)</f>
        <v>0</v>
      </c>
      <c r="AA1333" s="55">
        <f>VLOOKUP($E1333,'NI-Ric_SP'!$C:$AN,MID(AA$1,1,2),FALSE)</f>
        <v>0</v>
      </c>
      <c r="AB1333" s="55">
        <f>VLOOKUP($E1333,'NI-Ric_SP'!$C:$AN,MID(AB$1,1,2),FALSE)</f>
        <v>0</v>
      </c>
      <c r="AC1333" s="55">
        <f>VLOOKUP($E1333,'NI-Ric_SP'!$C:$AN,MID(AC$1,1,2),FALSE)</f>
        <v>0</v>
      </c>
      <c r="AD1333" s="55">
        <f>VLOOKUP($E1333,'NI-Ric_SP'!$C:$AN,MID(AD$1,1,2),FALSE)</f>
        <v>0</v>
      </c>
      <c r="AE1333" s="55">
        <f>VLOOKUP($E1333,'NI-Ric_SP'!$C:$AN,MID(AE$1,1,2),FALSE)</f>
        <v>0</v>
      </c>
      <c r="AF1333" s="55">
        <f>VLOOKUP($E1333,'NI-Ric_SP'!$C:$AN,MID(AF$1,1,2),FALSE)</f>
        <v>0</v>
      </c>
      <c r="AG1333" s="55">
        <f>VLOOKUP($E1333,'NI-Ric_SP'!$C:$AN,MID(AG$1,1,2),FALSE)</f>
        <v>0</v>
      </c>
      <c r="AH1333" s="55">
        <f>VLOOKUP($E1333,'NI-Ric_SP'!$C:$AN,MID(AH$1,1,2),FALSE)</f>
        <v>0</v>
      </c>
      <c r="AI1333" s="55">
        <f>VLOOKUP($E1333,'NI-Ric_SP'!$C:$AN,MID(AI$1,1,2),FALSE)</f>
        <v>0</v>
      </c>
      <c r="AJ1333" s="55">
        <f>VLOOKUP($E1333,'NI-Ric_SP'!$C:$AN,MID(AJ$1,1,2),FALSE)</f>
        <v>0</v>
      </c>
      <c r="AK1333" s="55">
        <f>VLOOKUP($E1333,'NI-Ric_SP'!$C:$AN,MID(AK$1,1,2),FALSE)</f>
        <v>0</v>
      </c>
      <c r="AL1333" s="55">
        <f>VLOOKUP($E1333,'NI-Ric_SP'!$C:$AN,MID(AL$1,1,2),FALSE)</f>
        <v>0</v>
      </c>
      <c r="AM1333" s="56">
        <f>VLOOKUP($E1333,'NI-Ric_SP'!$C:$AN,MID(AM$1,1,2),FALSE)</f>
        <v>0</v>
      </c>
      <c r="AN1333" s="30" t="str">
        <f t="shared" si="20"/>
        <v>70309000000000</v>
      </c>
    </row>
    <row r="1334" spans="1:40" x14ac:dyDescent="0.25">
      <c r="C1334" s="40"/>
      <c r="D1334" s="101" t="s">
        <v>2333</v>
      </c>
      <c r="E1334" s="101" t="s">
        <v>2334</v>
      </c>
      <c r="F1334" s="102" t="s">
        <v>2750</v>
      </c>
      <c r="G1334" s="52"/>
      <c r="H1334" s="52"/>
      <c r="I1334" s="52" t="s">
        <v>2331</v>
      </c>
      <c r="J1334" s="52" t="s">
        <v>2335</v>
      </c>
      <c r="K1334" s="59" t="s">
        <v>79</v>
      </c>
      <c r="L1334" s="52"/>
      <c r="M1334" s="52"/>
      <c r="N1334" s="52"/>
      <c r="O1334" s="52"/>
      <c r="P1334" s="114" t="s">
        <v>2336</v>
      </c>
      <c r="Q1334" s="55">
        <f>VLOOKUP(E1334,'NI-Ric_SP'!$C:$AN,12,FALSE)</f>
        <v>0</v>
      </c>
      <c r="R1334" s="55">
        <f>VLOOKUP(E1334,'NI-Ric_SP'!$C:$AN,13,FALSE)</f>
        <v>0</v>
      </c>
      <c r="S1334" s="55">
        <f>VLOOKUP(E1334,'NI-Ric_SP'!$C:$AN,30,FALSE)</f>
        <v>0</v>
      </c>
      <c r="T1334" s="94">
        <f>VLOOKUP(E1334,'NI-Ric_SP'!$C:$AN,31,FALSE)+VLOOKUP(E1334,'NI-Ric_SP'!$C:$AN,32,FALSE)</f>
        <v>0</v>
      </c>
      <c r="U1334" s="55">
        <f>VLOOKUP($E1334,'NI-Ric_SP'!$C:$AN,MID(U$1,1,2),FALSE)</f>
        <v>0</v>
      </c>
      <c r="V1334" s="55">
        <f>VLOOKUP($E1334,'NI-Ric_SP'!$C:$AN,MID(V$1,1,2),FALSE)</f>
        <v>0</v>
      </c>
      <c r="W1334" s="55">
        <f>VLOOKUP($E1334,'NI-Ric_SP'!$C:$AN,MID(W$1,1,2),FALSE)</f>
        <v>0</v>
      </c>
      <c r="X1334" s="55">
        <f>VLOOKUP($E1334,'NI-Ric_SP'!$C:$AN,MID(X$1,1,2),FALSE)</f>
        <v>0</v>
      </c>
      <c r="Y1334" s="55">
        <f>VLOOKUP($E1334,'NI-Ric_SP'!$C:$AN,MID(Y$1,1,2),FALSE)</f>
        <v>0</v>
      </c>
      <c r="Z1334" s="55">
        <f>VLOOKUP($E1334,'NI-Ric_SP'!$C:$AN,MID(Z$1,1,2),FALSE)</f>
        <v>0</v>
      </c>
      <c r="AA1334" s="55">
        <f>VLOOKUP($E1334,'NI-Ric_SP'!$C:$AN,MID(AA$1,1,2),FALSE)</f>
        <v>0</v>
      </c>
      <c r="AB1334" s="55">
        <f>VLOOKUP($E1334,'NI-Ric_SP'!$C:$AN,MID(AB$1,1,2),FALSE)</f>
        <v>0</v>
      </c>
      <c r="AC1334" s="55">
        <f>VLOOKUP($E1334,'NI-Ric_SP'!$C:$AN,MID(AC$1,1,2),FALSE)</f>
        <v>0</v>
      </c>
      <c r="AD1334" s="55">
        <f>VLOOKUP($E1334,'NI-Ric_SP'!$C:$AN,MID(AD$1,1,2),FALSE)</f>
        <v>0</v>
      </c>
      <c r="AE1334" s="55">
        <f>VLOOKUP($E1334,'NI-Ric_SP'!$C:$AN,MID(AE$1,1,2),FALSE)</f>
        <v>0</v>
      </c>
      <c r="AF1334" s="55">
        <f>VLOOKUP($E1334,'NI-Ric_SP'!$C:$AN,MID(AF$1,1,2),FALSE)</f>
        <v>0</v>
      </c>
      <c r="AG1334" s="55">
        <f>VLOOKUP($E1334,'NI-Ric_SP'!$C:$AN,MID(AG$1,1,2),FALSE)</f>
        <v>0</v>
      </c>
      <c r="AH1334" s="55">
        <f>VLOOKUP($E1334,'NI-Ric_SP'!$C:$AN,MID(AH$1,1,2),FALSE)</f>
        <v>0</v>
      </c>
      <c r="AI1334" s="55">
        <f>VLOOKUP($E1334,'NI-Ric_SP'!$C:$AN,MID(AI$1,1,2),FALSE)</f>
        <v>0</v>
      </c>
      <c r="AJ1334" s="55">
        <f>VLOOKUP($E1334,'NI-Ric_SP'!$C:$AN,MID(AJ$1,1,2),FALSE)</f>
        <v>0</v>
      </c>
      <c r="AK1334" s="55">
        <f>VLOOKUP($E1334,'NI-Ric_SP'!$C:$AN,MID(AK$1,1,2),FALSE)</f>
        <v>0</v>
      </c>
      <c r="AL1334" s="55">
        <f>VLOOKUP($E1334,'NI-Ric_SP'!$C:$AN,MID(AL$1,1,2),FALSE)</f>
        <v>0</v>
      </c>
      <c r="AM1334" s="56">
        <f>VLOOKUP($E1334,'NI-Ric_SP'!$C:$AN,MID(AM$1,1,2),FALSE)</f>
        <v>0</v>
      </c>
      <c r="AN1334" s="30" t="str">
        <f t="shared" si="20"/>
        <v>70310010000000</v>
      </c>
    </row>
    <row r="1335" spans="1:40" x14ac:dyDescent="0.25">
      <c r="C1335" s="40"/>
      <c r="D1335" s="115" t="s">
        <v>2337</v>
      </c>
      <c r="E1335" s="115" t="s">
        <v>2338</v>
      </c>
      <c r="F1335" s="102" t="s">
        <v>2750</v>
      </c>
      <c r="G1335" s="52"/>
      <c r="H1335" s="52"/>
      <c r="I1335" s="52" t="s">
        <v>2331</v>
      </c>
      <c r="J1335" s="52" t="s">
        <v>2335</v>
      </c>
      <c r="K1335" s="59" t="s">
        <v>79</v>
      </c>
      <c r="L1335" s="52"/>
      <c r="M1335" s="52"/>
      <c r="N1335" s="52"/>
      <c r="O1335" s="52"/>
      <c r="P1335" s="114" t="s">
        <v>2339</v>
      </c>
      <c r="Q1335" s="55">
        <f>VLOOKUP(E1335,'NI-Ric_SP'!$C:$AN,12,FALSE)</f>
        <v>0</v>
      </c>
      <c r="R1335" s="55">
        <f>VLOOKUP(E1335,'NI-Ric_SP'!$C:$AN,13,FALSE)</f>
        <v>0</v>
      </c>
      <c r="S1335" s="55">
        <f>VLOOKUP(E1335,'NI-Ric_SP'!$C:$AN,30,FALSE)</f>
        <v>0</v>
      </c>
      <c r="T1335" s="94">
        <f>VLOOKUP(E1335,'NI-Ric_SP'!$C:$AN,31,FALSE)+VLOOKUP(E1335,'NI-Ric_SP'!$C:$AN,32,FALSE)</f>
        <v>0</v>
      </c>
      <c r="U1335" s="55">
        <f>VLOOKUP($E1335,'NI-Ric_SP'!$C:$AN,MID(U$1,1,2),FALSE)</f>
        <v>0</v>
      </c>
      <c r="V1335" s="55">
        <f>VLOOKUP($E1335,'NI-Ric_SP'!$C:$AN,MID(V$1,1,2),FALSE)</f>
        <v>0</v>
      </c>
      <c r="W1335" s="55">
        <f>VLOOKUP($E1335,'NI-Ric_SP'!$C:$AN,MID(W$1,1,2),FALSE)</f>
        <v>0</v>
      </c>
      <c r="X1335" s="55">
        <f>VLOOKUP($E1335,'NI-Ric_SP'!$C:$AN,MID(X$1,1,2),FALSE)</f>
        <v>0</v>
      </c>
      <c r="Y1335" s="55">
        <f>VLOOKUP($E1335,'NI-Ric_SP'!$C:$AN,MID(Y$1,1,2),FALSE)</f>
        <v>0</v>
      </c>
      <c r="Z1335" s="55">
        <f>VLOOKUP($E1335,'NI-Ric_SP'!$C:$AN,MID(Z$1,1,2),FALSE)</f>
        <v>0</v>
      </c>
      <c r="AA1335" s="55">
        <f>VLOOKUP($E1335,'NI-Ric_SP'!$C:$AN,MID(AA$1,1,2),FALSE)</f>
        <v>0</v>
      </c>
      <c r="AB1335" s="55">
        <f>VLOOKUP($E1335,'NI-Ric_SP'!$C:$AN,MID(AB$1,1,2),FALSE)</f>
        <v>0</v>
      </c>
      <c r="AC1335" s="55">
        <f>VLOOKUP($E1335,'NI-Ric_SP'!$C:$AN,MID(AC$1,1,2),FALSE)</f>
        <v>0</v>
      </c>
      <c r="AD1335" s="55">
        <f>VLOOKUP($E1335,'NI-Ric_SP'!$C:$AN,MID(AD$1,1,2),FALSE)</f>
        <v>0</v>
      </c>
      <c r="AE1335" s="55">
        <f>VLOOKUP($E1335,'NI-Ric_SP'!$C:$AN,MID(AE$1,1,2),FALSE)</f>
        <v>0</v>
      </c>
      <c r="AF1335" s="55">
        <f>VLOOKUP($E1335,'NI-Ric_SP'!$C:$AN,MID(AF$1,1,2),FALSE)</f>
        <v>0</v>
      </c>
      <c r="AG1335" s="55">
        <f>VLOOKUP($E1335,'NI-Ric_SP'!$C:$AN,MID(AG$1,1,2),FALSE)</f>
        <v>0</v>
      </c>
      <c r="AH1335" s="55">
        <f>VLOOKUP($E1335,'NI-Ric_SP'!$C:$AN,MID(AH$1,1,2),FALSE)</f>
        <v>0</v>
      </c>
      <c r="AI1335" s="55">
        <f>VLOOKUP($E1335,'NI-Ric_SP'!$C:$AN,MID(AI$1,1,2),FALSE)</f>
        <v>0</v>
      </c>
      <c r="AJ1335" s="55">
        <f>VLOOKUP($E1335,'NI-Ric_SP'!$C:$AN,MID(AJ$1,1,2),FALSE)</f>
        <v>0</v>
      </c>
      <c r="AK1335" s="55">
        <f>VLOOKUP($E1335,'NI-Ric_SP'!$C:$AN,MID(AK$1,1,2),FALSE)</f>
        <v>0</v>
      </c>
      <c r="AL1335" s="55">
        <f>VLOOKUP($E1335,'NI-Ric_SP'!$C:$AN,MID(AL$1,1,2),FALSE)</f>
        <v>0</v>
      </c>
      <c r="AM1335" s="56">
        <f>VLOOKUP($E1335,'NI-Ric_SP'!$C:$AN,MID(AM$1,1,2),FALSE)</f>
        <v>0</v>
      </c>
      <c r="AN1335" s="30" t="str">
        <f t="shared" si="20"/>
        <v>70310020000000</v>
      </c>
    </row>
    <row r="1336" spans="1:40" x14ac:dyDescent="0.25">
      <c r="C1336" s="40"/>
      <c r="D1336" s="115" t="s">
        <v>2340</v>
      </c>
      <c r="E1336" s="115" t="s">
        <v>2341</v>
      </c>
      <c r="F1336" s="102" t="s">
        <v>2750</v>
      </c>
      <c r="G1336" s="52"/>
      <c r="H1336" s="52"/>
      <c r="I1336" s="52" t="s">
        <v>2331</v>
      </c>
      <c r="J1336" s="52" t="s">
        <v>2335</v>
      </c>
      <c r="K1336" s="59" t="s">
        <v>79</v>
      </c>
      <c r="L1336" s="52"/>
      <c r="M1336" s="52"/>
      <c r="N1336" s="52"/>
      <c r="O1336" s="52"/>
      <c r="P1336" s="114" t="s">
        <v>2342</v>
      </c>
      <c r="Q1336" s="55">
        <f>VLOOKUP(E1336,'NI-Ric_SP'!$C:$AN,12,FALSE)</f>
        <v>0</v>
      </c>
      <c r="R1336" s="55">
        <f>VLOOKUP(E1336,'NI-Ric_SP'!$C:$AN,13,FALSE)</f>
        <v>0</v>
      </c>
      <c r="S1336" s="55">
        <f>VLOOKUP(E1336,'NI-Ric_SP'!$C:$AN,30,FALSE)</f>
        <v>0</v>
      </c>
      <c r="T1336" s="94">
        <f>VLOOKUP(E1336,'NI-Ric_SP'!$C:$AN,31,FALSE)+VLOOKUP(E1336,'NI-Ric_SP'!$C:$AN,32,FALSE)</f>
        <v>0</v>
      </c>
      <c r="U1336" s="55">
        <f>VLOOKUP($E1336,'NI-Ric_SP'!$C:$AN,MID(U$1,1,2),FALSE)</f>
        <v>0</v>
      </c>
      <c r="V1336" s="55">
        <f>VLOOKUP($E1336,'NI-Ric_SP'!$C:$AN,MID(V$1,1,2),FALSE)</f>
        <v>0</v>
      </c>
      <c r="W1336" s="55">
        <f>VLOOKUP($E1336,'NI-Ric_SP'!$C:$AN,MID(W$1,1,2),FALSE)</f>
        <v>0</v>
      </c>
      <c r="X1336" s="55">
        <f>VLOOKUP($E1336,'NI-Ric_SP'!$C:$AN,MID(X$1,1,2),FALSE)</f>
        <v>0</v>
      </c>
      <c r="Y1336" s="55">
        <f>VLOOKUP($E1336,'NI-Ric_SP'!$C:$AN,MID(Y$1,1,2),FALSE)</f>
        <v>0</v>
      </c>
      <c r="Z1336" s="55">
        <f>VLOOKUP($E1336,'NI-Ric_SP'!$C:$AN,MID(Z$1,1,2),FALSE)</f>
        <v>0</v>
      </c>
      <c r="AA1336" s="55">
        <f>VLOOKUP($E1336,'NI-Ric_SP'!$C:$AN,MID(AA$1,1,2),FALSE)</f>
        <v>0</v>
      </c>
      <c r="AB1336" s="55">
        <f>VLOOKUP($E1336,'NI-Ric_SP'!$C:$AN,MID(AB$1,1,2),FALSE)</f>
        <v>0</v>
      </c>
      <c r="AC1336" s="55">
        <f>VLOOKUP($E1336,'NI-Ric_SP'!$C:$AN,MID(AC$1,1,2),FALSE)</f>
        <v>0</v>
      </c>
      <c r="AD1336" s="55">
        <f>VLOOKUP($E1336,'NI-Ric_SP'!$C:$AN,MID(AD$1,1,2),FALSE)</f>
        <v>0</v>
      </c>
      <c r="AE1336" s="55">
        <f>VLOOKUP($E1336,'NI-Ric_SP'!$C:$AN,MID(AE$1,1,2),FALSE)</f>
        <v>0</v>
      </c>
      <c r="AF1336" s="55">
        <f>VLOOKUP($E1336,'NI-Ric_SP'!$C:$AN,MID(AF$1,1,2),FALSE)</f>
        <v>0</v>
      </c>
      <c r="AG1336" s="55">
        <f>VLOOKUP($E1336,'NI-Ric_SP'!$C:$AN,MID(AG$1,1,2),FALSE)</f>
        <v>0</v>
      </c>
      <c r="AH1336" s="55">
        <f>VLOOKUP($E1336,'NI-Ric_SP'!$C:$AN,MID(AH$1,1,2),FALSE)</f>
        <v>0</v>
      </c>
      <c r="AI1336" s="55">
        <f>VLOOKUP($E1336,'NI-Ric_SP'!$C:$AN,MID(AI$1,1,2),FALSE)</f>
        <v>0</v>
      </c>
      <c r="AJ1336" s="55">
        <f>VLOOKUP($E1336,'NI-Ric_SP'!$C:$AN,MID(AJ$1,1,2),FALSE)</f>
        <v>0</v>
      </c>
      <c r="AK1336" s="55">
        <f>VLOOKUP($E1336,'NI-Ric_SP'!$C:$AN,MID(AK$1,1,2),FALSE)</f>
        <v>0</v>
      </c>
      <c r="AL1336" s="55">
        <f>VLOOKUP($E1336,'NI-Ric_SP'!$C:$AN,MID(AL$1,1,2),FALSE)</f>
        <v>0</v>
      </c>
      <c r="AM1336" s="56">
        <f>VLOOKUP($E1336,'NI-Ric_SP'!$C:$AN,MID(AM$1,1,2),FALSE)</f>
        <v>0</v>
      </c>
      <c r="AN1336" s="30" t="str">
        <f t="shared" si="20"/>
        <v>70310030000000</v>
      </c>
    </row>
    <row r="1337" spans="1:40" x14ac:dyDescent="0.25">
      <c r="C1337" s="40"/>
      <c r="D1337" s="101" t="s">
        <v>2343</v>
      </c>
      <c r="E1337" s="101" t="s">
        <v>2344</v>
      </c>
      <c r="F1337" s="102" t="s">
        <v>2750</v>
      </c>
      <c r="G1337" s="52"/>
      <c r="H1337" s="52"/>
      <c r="I1337" s="52" t="s">
        <v>2345</v>
      </c>
      <c r="J1337" s="52" t="s">
        <v>2345</v>
      </c>
      <c r="K1337" s="59" t="s">
        <v>79</v>
      </c>
      <c r="L1337" s="62" t="s">
        <v>2346</v>
      </c>
      <c r="M1337" s="52"/>
      <c r="N1337" s="52"/>
      <c r="O1337" s="61" t="s">
        <v>2347</v>
      </c>
      <c r="P1337" s="60" t="s">
        <v>2348</v>
      </c>
      <c r="Q1337" s="55">
        <f>VLOOKUP(E1337,'NI-Ric_SP'!$C:$AN,12,FALSE)</f>
        <v>0</v>
      </c>
      <c r="R1337" s="55">
        <f>VLOOKUP(E1337,'NI-Ric_SP'!$C:$AN,13,FALSE)</f>
        <v>0</v>
      </c>
      <c r="S1337" s="55">
        <f>VLOOKUP(E1337,'NI-Ric_SP'!$C:$AN,30,FALSE)</f>
        <v>0</v>
      </c>
      <c r="T1337" s="55">
        <f>VLOOKUP(E1337,'NI-Ric_SP'!$C:$AN,31,FALSE)+VLOOKUP(E1337,'NI-Ric_SP'!$C:$AN,32,FALSE)</f>
        <v>-708</v>
      </c>
      <c r="U1337" s="55">
        <f>VLOOKUP($E1337,'NI-Ric_SP'!$C:$AN,MID(U$1,1,2),FALSE)</f>
        <v>0</v>
      </c>
      <c r="V1337" s="55">
        <f>VLOOKUP($E1337,'NI-Ric_SP'!$C:$AN,MID(V$1,1,2),FALSE)</f>
        <v>0</v>
      </c>
      <c r="W1337" s="55">
        <f>VLOOKUP($E1337,'NI-Ric_SP'!$C:$AN,MID(W$1,1,2),FALSE)</f>
        <v>0</v>
      </c>
      <c r="X1337" s="55">
        <f>VLOOKUP($E1337,'NI-Ric_SP'!$C:$AN,MID(X$1,1,2),FALSE)</f>
        <v>0</v>
      </c>
      <c r="Y1337" s="55">
        <f>VLOOKUP($E1337,'NI-Ric_SP'!$C:$AN,MID(Y$1,1,2),FALSE)</f>
        <v>0</v>
      </c>
      <c r="Z1337" s="55">
        <f>VLOOKUP($E1337,'NI-Ric_SP'!$C:$AN,MID(Z$1,1,2),FALSE)</f>
        <v>0</v>
      </c>
      <c r="AA1337" s="55">
        <f>VLOOKUP($E1337,'NI-Ric_SP'!$C:$AN,MID(AA$1,1,2),FALSE)</f>
        <v>0</v>
      </c>
      <c r="AB1337" s="55">
        <f>VLOOKUP($E1337,'NI-Ric_SP'!$C:$AN,MID(AB$1,1,2),FALSE)</f>
        <v>0</v>
      </c>
      <c r="AC1337" s="55">
        <f>VLOOKUP($E1337,'NI-Ric_SP'!$C:$AN,MID(AC$1,1,2),FALSE)</f>
        <v>0</v>
      </c>
      <c r="AD1337" s="55">
        <f>VLOOKUP($E1337,'NI-Ric_SP'!$C:$AN,MID(AD$1,1,2),FALSE)</f>
        <v>0</v>
      </c>
      <c r="AE1337" s="55">
        <f>VLOOKUP($E1337,'NI-Ric_SP'!$C:$AN,MID(AE$1,1,2),FALSE)</f>
        <v>0</v>
      </c>
      <c r="AF1337" s="55">
        <f>VLOOKUP($E1337,'NI-Ric_SP'!$C:$AN,MID(AF$1,1,2),FALSE)</f>
        <v>0</v>
      </c>
      <c r="AG1337" s="55">
        <f>VLOOKUP($E1337,'NI-Ric_SP'!$C:$AN,MID(AG$1,1,2),FALSE)</f>
        <v>708</v>
      </c>
      <c r="AH1337" s="55">
        <f>VLOOKUP($E1337,'NI-Ric_SP'!$C:$AN,MID(AH$1,1,2),FALSE)</f>
        <v>0</v>
      </c>
      <c r="AI1337" s="55">
        <f>VLOOKUP($E1337,'NI-Ric_SP'!$C:$AN,MID(AI$1,1,2),FALSE)</f>
        <v>0</v>
      </c>
      <c r="AJ1337" s="55">
        <f>VLOOKUP($E1337,'NI-Ric_SP'!$C:$AN,MID(AJ$1,1,2),FALSE)</f>
        <v>0</v>
      </c>
      <c r="AK1337" s="55">
        <f>VLOOKUP($E1337,'NI-Ric_SP'!$C:$AN,MID(AK$1,1,2),FALSE)</f>
        <v>-708</v>
      </c>
      <c r="AL1337" s="55">
        <f>VLOOKUP($E1337,'NI-Ric_SP'!$C:$AN,MID(AL$1,1,2),FALSE)</f>
        <v>0</v>
      </c>
      <c r="AM1337" s="56">
        <f>VLOOKUP($E1337,'NI-Ric_SP'!$C:$AN,MID(AM$1,1,2),FALSE)</f>
        <v>0</v>
      </c>
      <c r="AN1337" s="30" t="str">
        <f t="shared" si="20"/>
        <v>70400000000000</v>
      </c>
    </row>
    <row r="1338" spans="1:40" x14ac:dyDescent="0.25">
      <c r="C1338" s="40"/>
      <c r="D1338" s="101" t="s">
        <v>2349</v>
      </c>
      <c r="E1338" s="101" t="s">
        <v>2350</v>
      </c>
      <c r="F1338" s="102" t="s">
        <v>2750</v>
      </c>
      <c r="G1338" s="52"/>
      <c r="H1338" s="52"/>
      <c r="I1338" s="52"/>
      <c r="J1338" s="52"/>
      <c r="K1338" s="59" t="s">
        <v>111</v>
      </c>
      <c r="L1338" s="62" t="s">
        <v>2351</v>
      </c>
      <c r="M1338" s="52" t="s">
        <v>2352</v>
      </c>
      <c r="N1338" s="52"/>
      <c r="O1338" s="52"/>
      <c r="P1338" s="60" t="s">
        <v>2353</v>
      </c>
      <c r="Q1338" s="55">
        <f>VLOOKUP(E1338,'NI-Ric_SP'!$C:$AN,12,FALSE)</f>
        <v>0</v>
      </c>
      <c r="R1338" s="55">
        <f>VLOOKUP(E1338,'NI-Ric_SP'!$C:$AN,13,FALSE)</f>
        <v>0</v>
      </c>
      <c r="S1338" s="55">
        <f>VLOOKUP(E1338,'NI-Ric_SP'!$C:$AN,30,FALSE)</f>
        <v>0</v>
      </c>
      <c r="T1338" s="55">
        <f>VLOOKUP(E1338,'NI-Ric_SP'!$C:$AN,31,FALSE)+VLOOKUP(E1338,'NI-Ric_SP'!$C:$AN,32,FALSE)</f>
        <v>0</v>
      </c>
      <c r="U1338" s="55">
        <f>VLOOKUP($E1338,'NI-Ric_SP'!$C:$AN,MID(U$1,1,2),FALSE)</f>
        <v>0</v>
      </c>
      <c r="V1338" s="55">
        <f>VLOOKUP($E1338,'NI-Ric_SP'!$C:$AN,MID(V$1,1,2),FALSE)</f>
        <v>0</v>
      </c>
      <c r="W1338" s="55">
        <f>VLOOKUP($E1338,'NI-Ric_SP'!$C:$AN,MID(W$1,1,2),FALSE)</f>
        <v>0</v>
      </c>
      <c r="X1338" s="55">
        <f>VLOOKUP($E1338,'NI-Ric_SP'!$C:$AN,MID(X$1,1,2),FALSE)</f>
        <v>0</v>
      </c>
      <c r="Y1338" s="55">
        <f>VLOOKUP($E1338,'NI-Ric_SP'!$C:$AN,MID(Y$1,1,2),FALSE)</f>
        <v>0</v>
      </c>
      <c r="Z1338" s="55">
        <f>VLOOKUP($E1338,'NI-Ric_SP'!$C:$AN,MID(Z$1,1,2),FALSE)</f>
        <v>0</v>
      </c>
      <c r="AA1338" s="55">
        <f>VLOOKUP($E1338,'NI-Ric_SP'!$C:$AN,MID(AA$1,1,2),FALSE)</f>
        <v>0</v>
      </c>
      <c r="AB1338" s="55">
        <f>VLOOKUP($E1338,'NI-Ric_SP'!$C:$AN,MID(AB$1,1,2),FALSE)</f>
        <v>0</v>
      </c>
      <c r="AC1338" s="55">
        <f>VLOOKUP($E1338,'NI-Ric_SP'!$C:$AN,MID(AC$1,1,2),FALSE)</f>
        <v>0</v>
      </c>
      <c r="AD1338" s="55">
        <f>VLOOKUP($E1338,'NI-Ric_SP'!$C:$AN,MID(AD$1,1,2),FALSE)</f>
        <v>0</v>
      </c>
      <c r="AE1338" s="55">
        <f>VLOOKUP($E1338,'NI-Ric_SP'!$C:$AN,MID(AE$1,1,2),FALSE)</f>
        <v>0</v>
      </c>
      <c r="AF1338" s="55">
        <f>VLOOKUP($E1338,'NI-Ric_SP'!$C:$AN,MID(AF$1,1,2),FALSE)</f>
        <v>0</v>
      </c>
      <c r="AG1338" s="55">
        <f>VLOOKUP($E1338,'NI-Ric_SP'!$C:$AN,MID(AG$1,1,2),FALSE)</f>
        <v>0</v>
      </c>
      <c r="AH1338" s="55">
        <f>VLOOKUP($E1338,'NI-Ric_SP'!$C:$AN,MID(AH$1,1,2),FALSE)</f>
        <v>0</v>
      </c>
      <c r="AI1338" s="55">
        <f>VLOOKUP($E1338,'NI-Ric_SP'!$C:$AN,MID(AI$1,1,2),FALSE)</f>
        <v>0</v>
      </c>
      <c r="AJ1338" s="55">
        <f>VLOOKUP($E1338,'NI-Ric_SP'!$C:$AN,MID(AJ$1,1,2),FALSE)</f>
        <v>0</v>
      </c>
      <c r="AK1338" s="55">
        <f>VLOOKUP($E1338,'NI-Ric_SP'!$C:$AN,MID(AK$1,1,2),FALSE)</f>
        <v>0</v>
      </c>
      <c r="AL1338" s="55">
        <f>VLOOKUP($E1338,'NI-Ric_SP'!$C:$AN,MID(AL$1,1,2),FALSE)</f>
        <v>0</v>
      </c>
      <c r="AM1338" s="56">
        <f>VLOOKUP($E1338,'NI-Ric_SP'!$C:$AN,MID(AM$1,1,2),FALSE)</f>
        <v>0</v>
      </c>
      <c r="AN1338" s="30" t="str">
        <f t="shared" si="20"/>
        <v>70500000000000</v>
      </c>
    </row>
    <row r="1339" spans="1:40" x14ac:dyDescent="0.25">
      <c r="C1339" s="40"/>
      <c r="D1339" s="101" t="s">
        <v>2354</v>
      </c>
      <c r="E1339" s="101" t="s">
        <v>2355</v>
      </c>
      <c r="F1339" s="102" t="s">
        <v>2750</v>
      </c>
      <c r="G1339" s="96"/>
      <c r="H1339" s="52"/>
      <c r="I1339" s="52"/>
      <c r="J1339" s="52"/>
      <c r="K1339" s="59" t="s">
        <v>111</v>
      </c>
      <c r="L1339" s="52"/>
      <c r="M1339" s="52"/>
      <c r="N1339" s="52"/>
      <c r="O1339" s="52"/>
      <c r="P1339" s="63" t="s">
        <v>2356</v>
      </c>
      <c r="Q1339" s="55">
        <f>VLOOKUP(E1339,'NI-Ric_SP'!$C:$AN,12,FALSE)</f>
        <v>0</v>
      </c>
      <c r="R1339" s="55">
        <f>VLOOKUP(E1339,'NI-Ric_SP'!$C:$AN,13,FALSE)</f>
        <v>0</v>
      </c>
      <c r="S1339" s="55">
        <f>VLOOKUP(E1339,'NI-Ric_SP'!$C:$AN,30,FALSE)</f>
        <v>0</v>
      </c>
      <c r="T1339" s="94">
        <f>VLOOKUP(E1339,'NI-Ric_SP'!$C:$AN,31,FALSE)+VLOOKUP(E1339,'NI-Ric_SP'!$C:$AN,32,FALSE)</f>
        <v>0</v>
      </c>
      <c r="U1339" s="55">
        <f>VLOOKUP($E1339,'NI-Ric_SP'!$C:$AN,MID(U$1,1,2),FALSE)</f>
        <v>0</v>
      </c>
      <c r="V1339" s="55">
        <f>VLOOKUP($E1339,'NI-Ric_SP'!$C:$AN,MID(V$1,1,2),FALSE)</f>
        <v>0</v>
      </c>
      <c r="W1339" s="55">
        <f>VLOOKUP($E1339,'NI-Ric_SP'!$C:$AN,MID(W$1,1,2),FALSE)</f>
        <v>0</v>
      </c>
      <c r="X1339" s="55">
        <f>VLOOKUP($E1339,'NI-Ric_SP'!$C:$AN,MID(X$1,1,2),FALSE)</f>
        <v>0</v>
      </c>
      <c r="Y1339" s="55">
        <f>VLOOKUP($E1339,'NI-Ric_SP'!$C:$AN,MID(Y$1,1,2),FALSE)</f>
        <v>0</v>
      </c>
      <c r="Z1339" s="55">
        <f>VLOOKUP($E1339,'NI-Ric_SP'!$C:$AN,MID(Z$1,1,2),FALSE)</f>
        <v>0</v>
      </c>
      <c r="AA1339" s="55">
        <f>VLOOKUP($E1339,'NI-Ric_SP'!$C:$AN,MID(AA$1,1,2),FALSE)</f>
        <v>0</v>
      </c>
      <c r="AB1339" s="55">
        <f>VLOOKUP($E1339,'NI-Ric_SP'!$C:$AN,MID(AB$1,1,2),FALSE)</f>
        <v>0</v>
      </c>
      <c r="AC1339" s="55">
        <f>VLOOKUP($E1339,'NI-Ric_SP'!$C:$AN,MID(AC$1,1,2),FALSE)</f>
        <v>0</v>
      </c>
      <c r="AD1339" s="55">
        <f>VLOOKUP($E1339,'NI-Ric_SP'!$C:$AN,MID(AD$1,1,2),FALSE)</f>
        <v>0</v>
      </c>
      <c r="AE1339" s="55">
        <f>VLOOKUP($E1339,'NI-Ric_SP'!$C:$AN,MID(AE$1,1,2),FALSE)</f>
        <v>0</v>
      </c>
      <c r="AF1339" s="55">
        <f>VLOOKUP($E1339,'NI-Ric_SP'!$C:$AN,MID(AF$1,1,2),FALSE)</f>
        <v>0</v>
      </c>
      <c r="AG1339" s="55">
        <f>VLOOKUP($E1339,'NI-Ric_SP'!$C:$AN,MID(AG$1,1,2),FALSE)</f>
        <v>0</v>
      </c>
      <c r="AH1339" s="55">
        <f>VLOOKUP($E1339,'NI-Ric_SP'!$C:$AN,MID(AH$1,1,2),FALSE)</f>
        <v>0</v>
      </c>
      <c r="AI1339" s="55">
        <f>VLOOKUP($E1339,'NI-Ric_SP'!$C:$AN,MID(AI$1,1,2),FALSE)</f>
        <v>0</v>
      </c>
      <c r="AJ1339" s="55">
        <f>VLOOKUP($E1339,'NI-Ric_SP'!$C:$AN,MID(AJ$1,1,2),FALSE)</f>
        <v>0</v>
      </c>
      <c r="AK1339" s="55">
        <f>VLOOKUP($E1339,'NI-Ric_SP'!$C:$AN,MID(AK$1,1,2),FALSE)</f>
        <v>0</v>
      </c>
      <c r="AL1339" s="55">
        <f>VLOOKUP($E1339,'NI-Ric_SP'!$C:$AN,MID(AL$1,1,2),FALSE)</f>
        <v>0</v>
      </c>
      <c r="AM1339" s="56">
        <f>VLOOKUP($E1339,'NI-Ric_SP'!$C:$AN,MID(AM$1,1,2),FALSE)</f>
        <v>0</v>
      </c>
      <c r="AN1339" s="30" t="str">
        <f t="shared" si="20"/>
        <v>70501000000000</v>
      </c>
    </row>
    <row r="1340" spans="1:40" x14ac:dyDescent="0.25">
      <c r="C1340" s="40"/>
      <c r="D1340" s="101" t="s">
        <v>2357</v>
      </c>
      <c r="E1340" s="101" t="s">
        <v>2358</v>
      </c>
      <c r="F1340" s="102" t="s">
        <v>2750</v>
      </c>
      <c r="G1340" s="96" t="s">
        <v>1608</v>
      </c>
      <c r="H1340" s="52"/>
      <c r="I1340" s="52" t="s">
        <v>2359</v>
      </c>
      <c r="J1340" s="52" t="s">
        <v>2359</v>
      </c>
      <c r="K1340" s="59" t="s">
        <v>111</v>
      </c>
      <c r="L1340" s="52"/>
      <c r="M1340" s="52"/>
      <c r="N1340" s="52"/>
      <c r="O1340" s="52"/>
      <c r="P1340" s="76" t="s">
        <v>2360</v>
      </c>
      <c r="Q1340" s="55">
        <f>VLOOKUP(E1340,'NI-Ric_SP'!$C:$AN,12,FALSE)</f>
        <v>0</v>
      </c>
      <c r="R1340" s="55">
        <f>VLOOKUP(E1340,'NI-Ric_SP'!$C:$AN,13,FALSE)</f>
        <v>0</v>
      </c>
      <c r="S1340" s="55">
        <f>VLOOKUP(E1340,'NI-Ric_SP'!$C:$AN,30,FALSE)</f>
        <v>0</v>
      </c>
      <c r="T1340" s="94">
        <f>VLOOKUP(E1340,'NI-Ric_SP'!$C:$AN,31,FALSE)+VLOOKUP(E1340,'NI-Ric_SP'!$C:$AN,32,FALSE)</f>
        <v>0</v>
      </c>
      <c r="U1340" s="55">
        <f>VLOOKUP($E1340,'NI-Ric_SP'!$C:$AN,MID(U$1,1,2),FALSE)</f>
        <v>0</v>
      </c>
      <c r="V1340" s="55">
        <f>VLOOKUP($E1340,'NI-Ric_SP'!$C:$AN,MID(V$1,1,2),FALSE)</f>
        <v>0</v>
      </c>
      <c r="W1340" s="55">
        <f>VLOOKUP($E1340,'NI-Ric_SP'!$C:$AN,MID(W$1,1,2),FALSE)</f>
        <v>0</v>
      </c>
      <c r="X1340" s="55">
        <f>VLOOKUP($E1340,'NI-Ric_SP'!$C:$AN,MID(X$1,1,2),FALSE)</f>
        <v>0</v>
      </c>
      <c r="Y1340" s="55">
        <f>VLOOKUP($E1340,'NI-Ric_SP'!$C:$AN,MID(Y$1,1,2),FALSE)</f>
        <v>0</v>
      </c>
      <c r="Z1340" s="55">
        <f>VLOOKUP($E1340,'NI-Ric_SP'!$C:$AN,MID(Z$1,1,2),FALSE)</f>
        <v>0</v>
      </c>
      <c r="AA1340" s="55">
        <f>VLOOKUP($E1340,'NI-Ric_SP'!$C:$AN,MID(AA$1,1,2),FALSE)</f>
        <v>0</v>
      </c>
      <c r="AB1340" s="55">
        <f>VLOOKUP($E1340,'NI-Ric_SP'!$C:$AN,MID(AB$1,1,2),FALSE)</f>
        <v>0</v>
      </c>
      <c r="AC1340" s="55">
        <f>VLOOKUP($E1340,'NI-Ric_SP'!$C:$AN,MID(AC$1,1,2),FALSE)</f>
        <v>0</v>
      </c>
      <c r="AD1340" s="55">
        <f>VLOOKUP($E1340,'NI-Ric_SP'!$C:$AN,MID(AD$1,1,2),FALSE)</f>
        <v>0</v>
      </c>
      <c r="AE1340" s="55">
        <f>VLOOKUP($E1340,'NI-Ric_SP'!$C:$AN,MID(AE$1,1,2),FALSE)</f>
        <v>0</v>
      </c>
      <c r="AF1340" s="55">
        <f>VLOOKUP($E1340,'NI-Ric_SP'!$C:$AN,MID(AF$1,1,2),FALSE)</f>
        <v>0</v>
      </c>
      <c r="AG1340" s="55">
        <f>VLOOKUP($E1340,'NI-Ric_SP'!$C:$AN,MID(AG$1,1,2),FALSE)</f>
        <v>0</v>
      </c>
      <c r="AH1340" s="55">
        <f>VLOOKUP($E1340,'NI-Ric_SP'!$C:$AN,MID(AH$1,1,2),FALSE)</f>
        <v>0</v>
      </c>
      <c r="AI1340" s="55">
        <f>VLOOKUP($E1340,'NI-Ric_SP'!$C:$AN,MID(AI$1,1,2),FALSE)</f>
        <v>0</v>
      </c>
      <c r="AJ1340" s="55">
        <f>VLOOKUP($E1340,'NI-Ric_SP'!$C:$AN,MID(AJ$1,1,2),FALSE)</f>
        <v>0</v>
      </c>
      <c r="AK1340" s="55">
        <f>VLOOKUP($E1340,'NI-Ric_SP'!$C:$AN,MID(AK$1,1,2),FALSE)</f>
        <v>0</v>
      </c>
      <c r="AL1340" s="55">
        <f>VLOOKUP($E1340,'NI-Ric_SP'!$C:$AN,MID(AL$1,1,2),FALSE)</f>
        <v>0</v>
      </c>
      <c r="AM1340" s="56">
        <f>VLOOKUP($E1340,'NI-Ric_SP'!$C:$AN,MID(AM$1,1,2),FALSE)</f>
        <v>0</v>
      </c>
      <c r="AN1340" s="30" t="str">
        <f t="shared" si="20"/>
        <v>70501010000000</v>
      </c>
    </row>
    <row r="1341" spans="1:40" x14ac:dyDescent="0.25">
      <c r="C1341" s="40"/>
      <c r="D1341" s="101" t="s">
        <v>2361</v>
      </c>
      <c r="E1341" s="101" t="s">
        <v>2362</v>
      </c>
      <c r="F1341" s="102" t="s">
        <v>2750</v>
      </c>
      <c r="G1341" s="96" t="s">
        <v>1608</v>
      </c>
      <c r="H1341" s="52"/>
      <c r="I1341" s="52"/>
      <c r="J1341" s="52"/>
      <c r="K1341" s="59" t="s">
        <v>1358</v>
      </c>
      <c r="L1341" s="52"/>
      <c r="M1341" s="52"/>
      <c r="N1341" s="52"/>
      <c r="O1341" s="61" t="s">
        <v>2363</v>
      </c>
      <c r="P1341" s="103" t="s">
        <v>2364</v>
      </c>
      <c r="Q1341" s="55">
        <f>VLOOKUP(E1341,'NI-Ric_SP'!$C:$AN,12,FALSE)</f>
        <v>0</v>
      </c>
      <c r="R1341" s="55">
        <f>VLOOKUP(E1341,'NI-Ric_SP'!$C:$AN,13,FALSE)</f>
        <v>0</v>
      </c>
      <c r="S1341" s="55">
        <f>VLOOKUP(E1341,'NI-Ric_SP'!$C:$AN,30,FALSE)</f>
        <v>0</v>
      </c>
      <c r="T1341" s="94">
        <f>VLOOKUP(E1341,'NI-Ric_SP'!$C:$AN,31,FALSE)+VLOOKUP(E1341,'NI-Ric_SP'!$C:$AN,32,FALSE)</f>
        <v>0</v>
      </c>
      <c r="U1341" s="55">
        <f>VLOOKUP($E1341,'NI-Ric_SP'!$C:$AN,MID(U$1,1,2),FALSE)</f>
        <v>0</v>
      </c>
      <c r="V1341" s="55">
        <f>VLOOKUP($E1341,'NI-Ric_SP'!$C:$AN,MID(V$1,1,2),FALSE)</f>
        <v>0</v>
      </c>
      <c r="W1341" s="55">
        <f>VLOOKUP($E1341,'NI-Ric_SP'!$C:$AN,MID(W$1,1,2),FALSE)</f>
        <v>0</v>
      </c>
      <c r="X1341" s="55">
        <f>VLOOKUP($E1341,'NI-Ric_SP'!$C:$AN,MID(X$1,1,2),FALSE)</f>
        <v>0</v>
      </c>
      <c r="Y1341" s="55">
        <f>VLOOKUP($E1341,'NI-Ric_SP'!$C:$AN,MID(Y$1,1,2),FALSE)</f>
        <v>0</v>
      </c>
      <c r="Z1341" s="55">
        <f>VLOOKUP($E1341,'NI-Ric_SP'!$C:$AN,MID(Z$1,1,2),FALSE)</f>
        <v>0</v>
      </c>
      <c r="AA1341" s="55">
        <f>VLOOKUP($E1341,'NI-Ric_SP'!$C:$AN,MID(AA$1,1,2),FALSE)</f>
        <v>0</v>
      </c>
      <c r="AB1341" s="55">
        <f>VLOOKUP($E1341,'NI-Ric_SP'!$C:$AN,MID(AB$1,1,2),FALSE)</f>
        <v>0</v>
      </c>
      <c r="AC1341" s="55">
        <f>VLOOKUP($E1341,'NI-Ric_SP'!$C:$AN,MID(AC$1,1,2),FALSE)</f>
        <v>0</v>
      </c>
      <c r="AD1341" s="55">
        <f>VLOOKUP($E1341,'NI-Ric_SP'!$C:$AN,MID(AD$1,1,2),FALSE)</f>
        <v>0</v>
      </c>
      <c r="AE1341" s="55">
        <f>VLOOKUP($E1341,'NI-Ric_SP'!$C:$AN,MID(AE$1,1,2),FALSE)</f>
        <v>0</v>
      </c>
      <c r="AF1341" s="55">
        <f>VLOOKUP($E1341,'NI-Ric_SP'!$C:$AN,MID(AF$1,1,2),FALSE)</f>
        <v>0</v>
      </c>
      <c r="AG1341" s="55">
        <f>VLOOKUP($E1341,'NI-Ric_SP'!$C:$AN,MID(AG$1,1,2),FALSE)</f>
        <v>0</v>
      </c>
      <c r="AH1341" s="55">
        <f>VLOOKUP($E1341,'NI-Ric_SP'!$C:$AN,MID(AH$1,1,2),FALSE)</f>
        <v>0</v>
      </c>
      <c r="AI1341" s="55">
        <f>VLOOKUP($E1341,'NI-Ric_SP'!$C:$AN,MID(AI$1,1,2),FALSE)</f>
        <v>0</v>
      </c>
      <c r="AJ1341" s="55">
        <f>VLOOKUP($E1341,'NI-Ric_SP'!$C:$AN,MID(AJ$1,1,2),FALSE)</f>
        <v>0</v>
      </c>
      <c r="AK1341" s="55">
        <f>VLOOKUP($E1341,'NI-Ric_SP'!$C:$AN,MID(AK$1,1,2),FALSE)</f>
        <v>0</v>
      </c>
      <c r="AL1341" s="55">
        <f>VLOOKUP($E1341,'NI-Ric_SP'!$C:$AN,MID(AL$1,1,2),FALSE)</f>
        <v>0</v>
      </c>
      <c r="AM1341" s="56">
        <f>VLOOKUP($E1341,'NI-Ric_SP'!$C:$AN,MID(AM$1,1,2),FALSE)</f>
        <v>0</v>
      </c>
      <c r="AN1341" s="30" t="str">
        <f t="shared" si="20"/>
        <v>70501010010000</v>
      </c>
    </row>
    <row r="1342" spans="1:40" x14ac:dyDescent="0.25">
      <c r="C1342" s="40"/>
      <c r="D1342" s="101" t="s">
        <v>2365</v>
      </c>
      <c r="E1342" s="101" t="s">
        <v>2366</v>
      </c>
      <c r="F1342" s="102" t="s">
        <v>2750</v>
      </c>
      <c r="G1342" s="96" t="s">
        <v>1608</v>
      </c>
      <c r="H1342" s="52"/>
      <c r="I1342" s="52"/>
      <c r="J1342" s="52"/>
      <c r="K1342" s="59" t="s">
        <v>1358</v>
      </c>
      <c r="L1342" s="52"/>
      <c r="M1342" s="52"/>
      <c r="N1342" s="52"/>
      <c r="O1342" s="61" t="s">
        <v>2363</v>
      </c>
      <c r="P1342" s="103" t="s">
        <v>2367</v>
      </c>
      <c r="Q1342" s="55">
        <f>VLOOKUP(E1342,'NI-Ric_SP'!$C:$AN,12,FALSE)</f>
        <v>0</v>
      </c>
      <c r="R1342" s="55">
        <f>VLOOKUP(E1342,'NI-Ric_SP'!$C:$AN,13,FALSE)</f>
        <v>0</v>
      </c>
      <c r="S1342" s="55">
        <f>VLOOKUP(E1342,'NI-Ric_SP'!$C:$AN,30,FALSE)</f>
        <v>0</v>
      </c>
      <c r="T1342" s="94">
        <f>VLOOKUP(E1342,'NI-Ric_SP'!$C:$AN,31,FALSE)+VLOOKUP(E1342,'NI-Ric_SP'!$C:$AN,32,FALSE)</f>
        <v>0</v>
      </c>
      <c r="U1342" s="55">
        <f>VLOOKUP($E1342,'NI-Ric_SP'!$C:$AN,MID(U$1,1,2),FALSE)</f>
        <v>0</v>
      </c>
      <c r="V1342" s="55">
        <f>VLOOKUP($E1342,'NI-Ric_SP'!$C:$AN,MID(V$1,1,2),FALSE)</f>
        <v>0</v>
      </c>
      <c r="W1342" s="55">
        <f>VLOOKUP($E1342,'NI-Ric_SP'!$C:$AN,MID(W$1,1,2),FALSE)</f>
        <v>0</v>
      </c>
      <c r="X1342" s="55">
        <f>VLOOKUP($E1342,'NI-Ric_SP'!$C:$AN,MID(X$1,1,2),FALSE)</f>
        <v>0</v>
      </c>
      <c r="Y1342" s="55">
        <f>VLOOKUP($E1342,'NI-Ric_SP'!$C:$AN,MID(Y$1,1,2),FALSE)</f>
        <v>0</v>
      </c>
      <c r="Z1342" s="55">
        <f>VLOOKUP($E1342,'NI-Ric_SP'!$C:$AN,MID(Z$1,1,2),FALSE)</f>
        <v>0</v>
      </c>
      <c r="AA1342" s="55">
        <f>VLOOKUP($E1342,'NI-Ric_SP'!$C:$AN,MID(AA$1,1,2),FALSE)</f>
        <v>0</v>
      </c>
      <c r="AB1342" s="55">
        <f>VLOOKUP($E1342,'NI-Ric_SP'!$C:$AN,MID(AB$1,1,2),FALSE)</f>
        <v>0</v>
      </c>
      <c r="AC1342" s="55">
        <f>VLOOKUP($E1342,'NI-Ric_SP'!$C:$AN,MID(AC$1,1,2),FALSE)</f>
        <v>0</v>
      </c>
      <c r="AD1342" s="55">
        <f>VLOOKUP($E1342,'NI-Ric_SP'!$C:$AN,MID(AD$1,1,2),FALSE)</f>
        <v>0</v>
      </c>
      <c r="AE1342" s="55">
        <f>VLOOKUP($E1342,'NI-Ric_SP'!$C:$AN,MID(AE$1,1,2),FALSE)</f>
        <v>0</v>
      </c>
      <c r="AF1342" s="55">
        <f>VLOOKUP($E1342,'NI-Ric_SP'!$C:$AN,MID(AF$1,1,2),FALSE)</f>
        <v>0</v>
      </c>
      <c r="AG1342" s="55">
        <f>VLOOKUP($E1342,'NI-Ric_SP'!$C:$AN,MID(AG$1,1,2),FALSE)</f>
        <v>0</v>
      </c>
      <c r="AH1342" s="55">
        <f>VLOOKUP($E1342,'NI-Ric_SP'!$C:$AN,MID(AH$1,1,2),FALSE)</f>
        <v>0</v>
      </c>
      <c r="AI1342" s="55">
        <f>VLOOKUP($E1342,'NI-Ric_SP'!$C:$AN,MID(AI$1,1,2),FALSE)</f>
        <v>0</v>
      </c>
      <c r="AJ1342" s="55">
        <f>VLOOKUP($E1342,'NI-Ric_SP'!$C:$AN,MID(AJ$1,1,2),FALSE)</f>
        <v>0</v>
      </c>
      <c r="AK1342" s="55">
        <f>VLOOKUP($E1342,'NI-Ric_SP'!$C:$AN,MID(AK$1,1,2),FALSE)</f>
        <v>0</v>
      </c>
      <c r="AL1342" s="55">
        <f>VLOOKUP($E1342,'NI-Ric_SP'!$C:$AN,MID(AL$1,1,2),FALSE)</f>
        <v>0</v>
      </c>
      <c r="AM1342" s="56">
        <f>VLOOKUP($E1342,'NI-Ric_SP'!$C:$AN,MID(AM$1,1,2),FALSE)</f>
        <v>0</v>
      </c>
      <c r="AN1342" s="30" t="str">
        <f t="shared" si="20"/>
        <v>70501010020000</v>
      </c>
    </row>
    <row r="1343" spans="1:40" x14ac:dyDescent="0.25">
      <c r="C1343" s="40"/>
      <c r="D1343" s="101" t="s">
        <v>2368</v>
      </c>
      <c r="E1343" s="101" t="s">
        <v>2369</v>
      </c>
      <c r="F1343" s="102" t="s">
        <v>2750</v>
      </c>
      <c r="G1343" s="96" t="s">
        <v>1608</v>
      </c>
      <c r="H1343" s="52"/>
      <c r="I1343" s="52"/>
      <c r="J1343" s="52"/>
      <c r="K1343" s="59" t="s">
        <v>1358</v>
      </c>
      <c r="L1343" s="52"/>
      <c r="M1343" s="52"/>
      <c r="N1343" s="52"/>
      <c r="O1343" s="61" t="s">
        <v>2363</v>
      </c>
      <c r="P1343" s="103" t="s">
        <v>2370</v>
      </c>
      <c r="Q1343" s="55">
        <f>VLOOKUP(E1343,'NI-Ric_SP'!$C:$AN,12,FALSE)</f>
        <v>0</v>
      </c>
      <c r="R1343" s="55">
        <f>VLOOKUP(E1343,'NI-Ric_SP'!$C:$AN,13,FALSE)</f>
        <v>0</v>
      </c>
      <c r="S1343" s="55">
        <f>VLOOKUP(E1343,'NI-Ric_SP'!$C:$AN,30,FALSE)</f>
        <v>0</v>
      </c>
      <c r="T1343" s="94">
        <f>VLOOKUP(E1343,'NI-Ric_SP'!$C:$AN,31,FALSE)+VLOOKUP(E1343,'NI-Ric_SP'!$C:$AN,32,FALSE)</f>
        <v>0</v>
      </c>
      <c r="U1343" s="55">
        <f>VLOOKUP($E1343,'NI-Ric_SP'!$C:$AN,MID(U$1,1,2),FALSE)</f>
        <v>0</v>
      </c>
      <c r="V1343" s="55">
        <f>VLOOKUP($E1343,'NI-Ric_SP'!$C:$AN,MID(V$1,1,2),FALSE)</f>
        <v>0</v>
      </c>
      <c r="W1343" s="55">
        <f>VLOOKUP($E1343,'NI-Ric_SP'!$C:$AN,MID(W$1,1,2),FALSE)</f>
        <v>0</v>
      </c>
      <c r="X1343" s="55">
        <f>VLOOKUP($E1343,'NI-Ric_SP'!$C:$AN,MID(X$1,1,2),FALSE)</f>
        <v>0</v>
      </c>
      <c r="Y1343" s="55">
        <f>VLOOKUP($E1343,'NI-Ric_SP'!$C:$AN,MID(Y$1,1,2),FALSE)</f>
        <v>0</v>
      </c>
      <c r="Z1343" s="55">
        <f>VLOOKUP($E1343,'NI-Ric_SP'!$C:$AN,MID(Z$1,1,2),FALSE)</f>
        <v>0</v>
      </c>
      <c r="AA1343" s="55">
        <f>VLOOKUP($E1343,'NI-Ric_SP'!$C:$AN,MID(AA$1,1,2),FALSE)</f>
        <v>0</v>
      </c>
      <c r="AB1343" s="55">
        <f>VLOOKUP($E1343,'NI-Ric_SP'!$C:$AN,MID(AB$1,1,2),FALSE)</f>
        <v>0</v>
      </c>
      <c r="AC1343" s="55">
        <f>VLOOKUP($E1343,'NI-Ric_SP'!$C:$AN,MID(AC$1,1,2),FALSE)</f>
        <v>0</v>
      </c>
      <c r="AD1343" s="55">
        <f>VLOOKUP($E1343,'NI-Ric_SP'!$C:$AN,MID(AD$1,1,2),FALSE)</f>
        <v>0</v>
      </c>
      <c r="AE1343" s="55">
        <f>VLOOKUP($E1343,'NI-Ric_SP'!$C:$AN,MID(AE$1,1,2),FALSE)</f>
        <v>0</v>
      </c>
      <c r="AF1343" s="55">
        <f>VLOOKUP($E1343,'NI-Ric_SP'!$C:$AN,MID(AF$1,1,2),FALSE)</f>
        <v>0</v>
      </c>
      <c r="AG1343" s="55">
        <f>VLOOKUP($E1343,'NI-Ric_SP'!$C:$AN,MID(AG$1,1,2),FALSE)</f>
        <v>0</v>
      </c>
      <c r="AH1343" s="55">
        <f>VLOOKUP($E1343,'NI-Ric_SP'!$C:$AN,MID(AH$1,1,2),FALSE)</f>
        <v>0</v>
      </c>
      <c r="AI1343" s="55">
        <f>VLOOKUP($E1343,'NI-Ric_SP'!$C:$AN,MID(AI$1,1,2),FALSE)</f>
        <v>0</v>
      </c>
      <c r="AJ1343" s="55">
        <f>VLOOKUP($E1343,'NI-Ric_SP'!$C:$AN,MID(AJ$1,1,2),FALSE)</f>
        <v>0</v>
      </c>
      <c r="AK1343" s="55">
        <f>VLOOKUP($E1343,'NI-Ric_SP'!$C:$AN,MID(AK$1,1,2),FALSE)</f>
        <v>0</v>
      </c>
      <c r="AL1343" s="55">
        <f>VLOOKUP($E1343,'NI-Ric_SP'!$C:$AN,MID(AL$1,1,2),FALSE)</f>
        <v>0</v>
      </c>
      <c r="AM1343" s="56">
        <f>VLOOKUP($E1343,'NI-Ric_SP'!$C:$AN,MID(AM$1,1,2),FALSE)</f>
        <v>0</v>
      </c>
      <c r="AN1343" s="30" t="str">
        <f t="shared" si="20"/>
        <v>70501010030000</v>
      </c>
    </row>
    <row r="1344" spans="1:40" x14ac:dyDescent="0.25">
      <c r="C1344" s="40"/>
      <c r="D1344" s="101" t="s">
        <v>2371</v>
      </c>
      <c r="E1344" s="101" t="s">
        <v>2372</v>
      </c>
      <c r="F1344" s="102" t="s">
        <v>2750</v>
      </c>
      <c r="G1344" s="96" t="s">
        <v>1608</v>
      </c>
      <c r="H1344" s="52"/>
      <c r="I1344" s="52"/>
      <c r="J1344" s="52"/>
      <c r="K1344" s="59" t="s">
        <v>1358</v>
      </c>
      <c r="L1344" s="52"/>
      <c r="M1344" s="52"/>
      <c r="N1344" s="52"/>
      <c r="O1344" s="61" t="s">
        <v>2363</v>
      </c>
      <c r="P1344" s="103" t="s">
        <v>2373</v>
      </c>
      <c r="Q1344" s="55">
        <f>VLOOKUP(E1344,'NI-Ric_SP'!$C:$AN,12,FALSE)</f>
        <v>0</v>
      </c>
      <c r="R1344" s="55">
        <f>VLOOKUP(E1344,'NI-Ric_SP'!$C:$AN,13,FALSE)</f>
        <v>0</v>
      </c>
      <c r="S1344" s="55">
        <f>VLOOKUP(E1344,'NI-Ric_SP'!$C:$AN,30,FALSE)</f>
        <v>0</v>
      </c>
      <c r="T1344" s="94">
        <f>VLOOKUP(E1344,'NI-Ric_SP'!$C:$AN,31,FALSE)+VLOOKUP(E1344,'NI-Ric_SP'!$C:$AN,32,FALSE)</f>
        <v>0</v>
      </c>
      <c r="U1344" s="55">
        <f>VLOOKUP($E1344,'NI-Ric_SP'!$C:$AN,MID(U$1,1,2),FALSE)</f>
        <v>0</v>
      </c>
      <c r="V1344" s="55">
        <f>VLOOKUP($E1344,'NI-Ric_SP'!$C:$AN,MID(V$1,1,2),FALSE)</f>
        <v>0</v>
      </c>
      <c r="W1344" s="55">
        <f>VLOOKUP($E1344,'NI-Ric_SP'!$C:$AN,MID(W$1,1,2),FALSE)</f>
        <v>0</v>
      </c>
      <c r="X1344" s="55">
        <f>VLOOKUP($E1344,'NI-Ric_SP'!$C:$AN,MID(X$1,1,2),FALSE)</f>
        <v>0</v>
      </c>
      <c r="Y1344" s="55">
        <f>VLOOKUP($E1344,'NI-Ric_SP'!$C:$AN,MID(Y$1,1,2),FALSE)</f>
        <v>0</v>
      </c>
      <c r="Z1344" s="55">
        <f>VLOOKUP($E1344,'NI-Ric_SP'!$C:$AN,MID(Z$1,1,2),FALSE)</f>
        <v>0</v>
      </c>
      <c r="AA1344" s="55">
        <f>VLOOKUP($E1344,'NI-Ric_SP'!$C:$AN,MID(AA$1,1,2),FALSE)</f>
        <v>0</v>
      </c>
      <c r="AB1344" s="55">
        <f>VLOOKUP($E1344,'NI-Ric_SP'!$C:$AN,MID(AB$1,1,2),FALSE)</f>
        <v>0</v>
      </c>
      <c r="AC1344" s="55">
        <f>VLOOKUP($E1344,'NI-Ric_SP'!$C:$AN,MID(AC$1,1,2),FALSE)</f>
        <v>0</v>
      </c>
      <c r="AD1344" s="55">
        <f>VLOOKUP($E1344,'NI-Ric_SP'!$C:$AN,MID(AD$1,1,2),FALSE)</f>
        <v>0</v>
      </c>
      <c r="AE1344" s="55">
        <f>VLOOKUP($E1344,'NI-Ric_SP'!$C:$AN,MID(AE$1,1,2),FALSE)</f>
        <v>0</v>
      </c>
      <c r="AF1344" s="55">
        <f>VLOOKUP($E1344,'NI-Ric_SP'!$C:$AN,MID(AF$1,1,2),FALSE)</f>
        <v>0</v>
      </c>
      <c r="AG1344" s="55">
        <f>VLOOKUP($E1344,'NI-Ric_SP'!$C:$AN,MID(AG$1,1,2),FALSE)</f>
        <v>0</v>
      </c>
      <c r="AH1344" s="55">
        <f>VLOOKUP($E1344,'NI-Ric_SP'!$C:$AN,MID(AH$1,1,2),FALSE)</f>
        <v>0</v>
      </c>
      <c r="AI1344" s="55">
        <f>VLOOKUP($E1344,'NI-Ric_SP'!$C:$AN,MID(AI$1,1,2),FALSE)</f>
        <v>0</v>
      </c>
      <c r="AJ1344" s="55">
        <f>VLOOKUP($E1344,'NI-Ric_SP'!$C:$AN,MID(AJ$1,1,2),FALSE)</f>
        <v>0</v>
      </c>
      <c r="AK1344" s="55">
        <f>VLOOKUP($E1344,'NI-Ric_SP'!$C:$AN,MID(AK$1,1,2),FALSE)</f>
        <v>0</v>
      </c>
      <c r="AL1344" s="55">
        <f>VLOOKUP($E1344,'NI-Ric_SP'!$C:$AN,MID(AL$1,1,2),FALSE)</f>
        <v>0</v>
      </c>
      <c r="AM1344" s="56">
        <f>VLOOKUP($E1344,'NI-Ric_SP'!$C:$AN,MID(AM$1,1,2),FALSE)</f>
        <v>0</v>
      </c>
      <c r="AN1344" s="30" t="str">
        <f t="shared" si="20"/>
        <v>70501010040000</v>
      </c>
    </row>
    <row r="1345" spans="3:40" x14ac:dyDescent="0.25">
      <c r="C1345" s="40"/>
      <c r="D1345" s="101" t="s">
        <v>2374</v>
      </c>
      <c r="E1345" s="101" t="s">
        <v>2375</v>
      </c>
      <c r="F1345" s="102" t="s">
        <v>2750</v>
      </c>
      <c r="G1345" s="96" t="s">
        <v>1608</v>
      </c>
      <c r="H1345" s="52"/>
      <c r="I1345" s="52"/>
      <c r="J1345" s="52"/>
      <c r="K1345" s="59" t="s">
        <v>1358</v>
      </c>
      <c r="L1345" s="52"/>
      <c r="M1345" s="52"/>
      <c r="N1345" s="52"/>
      <c r="O1345" s="61" t="s">
        <v>2363</v>
      </c>
      <c r="P1345" s="103" t="s">
        <v>2376</v>
      </c>
      <c r="Q1345" s="55">
        <f>VLOOKUP(E1345,'NI-Ric_SP'!$C:$AN,12,FALSE)</f>
        <v>0</v>
      </c>
      <c r="R1345" s="55">
        <f>VLOOKUP(E1345,'NI-Ric_SP'!$C:$AN,13,FALSE)</f>
        <v>0</v>
      </c>
      <c r="S1345" s="55">
        <f>VLOOKUP(E1345,'NI-Ric_SP'!$C:$AN,30,FALSE)</f>
        <v>0</v>
      </c>
      <c r="T1345" s="94">
        <f>VLOOKUP(E1345,'NI-Ric_SP'!$C:$AN,31,FALSE)+VLOOKUP(E1345,'NI-Ric_SP'!$C:$AN,32,FALSE)</f>
        <v>0</v>
      </c>
      <c r="U1345" s="55">
        <f>VLOOKUP($E1345,'NI-Ric_SP'!$C:$AN,MID(U$1,1,2),FALSE)</f>
        <v>0</v>
      </c>
      <c r="V1345" s="55">
        <f>VLOOKUP($E1345,'NI-Ric_SP'!$C:$AN,MID(V$1,1,2),FALSE)</f>
        <v>0</v>
      </c>
      <c r="W1345" s="55">
        <f>VLOOKUP($E1345,'NI-Ric_SP'!$C:$AN,MID(W$1,1,2),FALSE)</f>
        <v>0</v>
      </c>
      <c r="X1345" s="55">
        <f>VLOOKUP($E1345,'NI-Ric_SP'!$C:$AN,MID(X$1,1,2),FALSE)</f>
        <v>0</v>
      </c>
      <c r="Y1345" s="55">
        <f>VLOOKUP($E1345,'NI-Ric_SP'!$C:$AN,MID(Y$1,1,2),FALSE)</f>
        <v>0</v>
      </c>
      <c r="Z1345" s="55">
        <f>VLOOKUP($E1345,'NI-Ric_SP'!$C:$AN,MID(Z$1,1,2),FALSE)</f>
        <v>0</v>
      </c>
      <c r="AA1345" s="55">
        <f>VLOOKUP($E1345,'NI-Ric_SP'!$C:$AN,MID(AA$1,1,2),FALSE)</f>
        <v>0</v>
      </c>
      <c r="AB1345" s="55">
        <f>VLOOKUP($E1345,'NI-Ric_SP'!$C:$AN,MID(AB$1,1,2),FALSE)</f>
        <v>0</v>
      </c>
      <c r="AC1345" s="55">
        <f>VLOOKUP($E1345,'NI-Ric_SP'!$C:$AN,MID(AC$1,1,2),FALSE)</f>
        <v>0</v>
      </c>
      <c r="AD1345" s="55">
        <f>VLOOKUP($E1345,'NI-Ric_SP'!$C:$AN,MID(AD$1,1,2),FALSE)</f>
        <v>0</v>
      </c>
      <c r="AE1345" s="55">
        <f>VLOOKUP($E1345,'NI-Ric_SP'!$C:$AN,MID(AE$1,1,2),FALSE)</f>
        <v>0</v>
      </c>
      <c r="AF1345" s="55">
        <f>VLOOKUP($E1345,'NI-Ric_SP'!$C:$AN,MID(AF$1,1,2),FALSE)</f>
        <v>0</v>
      </c>
      <c r="AG1345" s="55">
        <f>VLOOKUP($E1345,'NI-Ric_SP'!$C:$AN,MID(AG$1,1,2),FALSE)</f>
        <v>0</v>
      </c>
      <c r="AH1345" s="55">
        <f>VLOOKUP($E1345,'NI-Ric_SP'!$C:$AN,MID(AH$1,1,2),FALSE)</f>
        <v>0</v>
      </c>
      <c r="AI1345" s="55">
        <f>VLOOKUP($E1345,'NI-Ric_SP'!$C:$AN,MID(AI$1,1,2),FALSE)</f>
        <v>0</v>
      </c>
      <c r="AJ1345" s="55">
        <f>VLOOKUP($E1345,'NI-Ric_SP'!$C:$AN,MID(AJ$1,1,2),FALSE)</f>
        <v>0</v>
      </c>
      <c r="AK1345" s="55">
        <f>VLOOKUP($E1345,'NI-Ric_SP'!$C:$AN,MID(AK$1,1,2),FALSE)</f>
        <v>0</v>
      </c>
      <c r="AL1345" s="55">
        <f>VLOOKUP($E1345,'NI-Ric_SP'!$C:$AN,MID(AL$1,1,2),FALSE)</f>
        <v>0</v>
      </c>
      <c r="AM1345" s="56">
        <f>VLOOKUP($E1345,'NI-Ric_SP'!$C:$AN,MID(AM$1,1,2),FALSE)</f>
        <v>0</v>
      </c>
      <c r="AN1345" s="30" t="str">
        <f t="shared" si="20"/>
        <v>70501010050000</v>
      </c>
    </row>
    <row r="1346" spans="3:40" ht="27" x14ac:dyDescent="0.25">
      <c r="C1346" s="40"/>
      <c r="D1346" s="101" t="s">
        <v>2380</v>
      </c>
      <c r="E1346" s="101" t="s">
        <v>2381</v>
      </c>
      <c r="F1346" s="102" t="s">
        <v>2750</v>
      </c>
      <c r="G1346" s="96" t="s">
        <v>1608</v>
      </c>
      <c r="H1346" s="52"/>
      <c r="I1346" s="52" t="s">
        <v>2382</v>
      </c>
      <c r="J1346" s="52" t="s">
        <v>2382</v>
      </c>
      <c r="K1346" s="59" t="s">
        <v>1358</v>
      </c>
      <c r="L1346" s="52"/>
      <c r="M1346" s="52"/>
      <c r="N1346" s="52"/>
      <c r="O1346" s="61" t="s">
        <v>2383</v>
      </c>
      <c r="P1346" s="76" t="s">
        <v>2384</v>
      </c>
      <c r="Q1346" s="55">
        <f>VLOOKUP(E1346,'NI-Ric_SP'!$C:$AN,12,FALSE)</f>
        <v>0</v>
      </c>
      <c r="R1346" s="55">
        <f>VLOOKUP(E1346,'NI-Ric_SP'!$C:$AN,13,FALSE)</f>
        <v>0</v>
      </c>
      <c r="S1346" s="55">
        <f>VLOOKUP(E1346,'NI-Ric_SP'!$C:$AN,30,FALSE)</f>
        <v>0</v>
      </c>
      <c r="T1346" s="94">
        <f>VLOOKUP(E1346,'NI-Ric_SP'!$C:$AN,31,FALSE)+VLOOKUP(E1346,'NI-Ric_SP'!$C:$AN,32,FALSE)</f>
        <v>0</v>
      </c>
      <c r="U1346" s="55">
        <f>VLOOKUP($E1346,'NI-Ric_SP'!$C:$AN,MID(U$1,1,2),FALSE)</f>
        <v>0</v>
      </c>
      <c r="V1346" s="55">
        <f>VLOOKUP($E1346,'NI-Ric_SP'!$C:$AN,MID(V$1,1,2),FALSE)</f>
        <v>0</v>
      </c>
      <c r="W1346" s="55">
        <f>VLOOKUP($E1346,'NI-Ric_SP'!$C:$AN,MID(W$1,1,2),FALSE)</f>
        <v>0</v>
      </c>
      <c r="X1346" s="55">
        <f>VLOOKUP($E1346,'NI-Ric_SP'!$C:$AN,MID(X$1,1,2),FALSE)</f>
        <v>0</v>
      </c>
      <c r="Y1346" s="55">
        <f>VLOOKUP($E1346,'NI-Ric_SP'!$C:$AN,MID(Y$1,1,2),FALSE)</f>
        <v>0</v>
      </c>
      <c r="Z1346" s="55">
        <f>VLOOKUP($E1346,'NI-Ric_SP'!$C:$AN,MID(Z$1,1,2),FALSE)</f>
        <v>0</v>
      </c>
      <c r="AA1346" s="55">
        <f>VLOOKUP($E1346,'NI-Ric_SP'!$C:$AN,MID(AA$1,1,2),FALSE)</f>
        <v>0</v>
      </c>
      <c r="AB1346" s="55">
        <f>VLOOKUP($E1346,'NI-Ric_SP'!$C:$AN,MID(AB$1,1,2),FALSE)</f>
        <v>0</v>
      </c>
      <c r="AC1346" s="55">
        <f>VLOOKUP($E1346,'NI-Ric_SP'!$C:$AN,MID(AC$1,1,2),FALSE)</f>
        <v>0</v>
      </c>
      <c r="AD1346" s="55">
        <f>VLOOKUP($E1346,'NI-Ric_SP'!$C:$AN,MID(AD$1,1,2),FALSE)</f>
        <v>0</v>
      </c>
      <c r="AE1346" s="55">
        <f>VLOOKUP($E1346,'NI-Ric_SP'!$C:$AN,MID(AE$1,1,2),FALSE)</f>
        <v>0</v>
      </c>
      <c r="AF1346" s="55">
        <f>VLOOKUP($E1346,'NI-Ric_SP'!$C:$AN,MID(AF$1,1,2),FALSE)</f>
        <v>0</v>
      </c>
      <c r="AG1346" s="55">
        <f>VLOOKUP($E1346,'NI-Ric_SP'!$C:$AN,MID(AG$1,1,2),FALSE)</f>
        <v>0</v>
      </c>
      <c r="AH1346" s="55">
        <f>VLOOKUP($E1346,'NI-Ric_SP'!$C:$AN,MID(AH$1,1,2),FALSE)</f>
        <v>0</v>
      </c>
      <c r="AI1346" s="55">
        <f>VLOOKUP($E1346,'NI-Ric_SP'!$C:$AN,MID(AI$1,1,2),FALSE)</f>
        <v>0</v>
      </c>
      <c r="AJ1346" s="55">
        <f>VLOOKUP($E1346,'NI-Ric_SP'!$C:$AN,MID(AJ$1,1,2),FALSE)</f>
        <v>0</v>
      </c>
      <c r="AK1346" s="55">
        <f>VLOOKUP($E1346,'NI-Ric_SP'!$C:$AN,MID(AK$1,1,2),FALSE)</f>
        <v>0</v>
      </c>
      <c r="AL1346" s="55">
        <f>VLOOKUP($E1346,'NI-Ric_SP'!$C:$AN,MID(AL$1,1,2),FALSE)</f>
        <v>0</v>
      </c>
      <c r="AM1346" s="56">
        <f>VLOOKUP($E1346,'NI-Ric_SP'!$C:$AN,MID(AM$1,1,2),FALSE)</f>
        <v>0</v>
      </c>
      <c r="AN1346" s="30" t="str">
        <f t="shared" ref="AN1346:AN1409" si="21">D1346</f>
        <v>70501020000000</v>
      </c>
    </row>
    <row r="1347" spans="3:40" ht="27" x14ac:dyDescent="0.25">
      <c r="C1347" s="40"/>
      <c r="D1347" s="101" t="s">
        <v>2385</v>
      </c>
      <c r="E1347" s="101" t="s">
        <v>2386</v>
      </c>
      <c r="F1347" s="102" t="s">
        <v>2750</v>
      </c>
      <c r="G1347" s="96" t="s">
        <v>1608</v>
      </c>
      <c r="H1347" s="52"/>
      <c r="I1347" s="52" t="s">
        <v>2387</v>
      </c>
      <c r="J1347" s="52" t="s">
        <v>2387</v>
      </c>
      <c r="K1347" s="59" t="s">
        <v>1358</v>
      </c>
      <c r="L1347" s="52"/>
      <c r="M1347" s="52"/>
      <c r="N1347" s="52"/>
      <c r="O1347" s="61" t="s">
        <v>2388</v>
      </c>
      <c r="P1347" s="76" t="s">
        <v>2389</v>
      </c>
      <c r="Q1347" s="55">
        <f>VLOOKUP(E1347,'NI-Ric_SP'!$C:$AN,12,FALSE)</f>
        <v>0</v>
      </c>
      <c r="R1347" s="55">
        <f>VLOOKUP(E1347,'NI-Ric_SP'!$C:$AN,13,FALSE)</f>
        <v>0</v>
      </c>
      <c r="S1347" s="55">
        <f>VLOOKUP(E1347,'NI-Ric_SP'!$C:$AN,30,FALSE)</f>
        <v>0</v>
      </c>
      <c r="T1347" s="94">
        <f>VLOOKUP(E1347,'NI-Ric_SP'!$C:$AN,31,FALSE)+VLOOKUP(E1347,'NI-Ric_SP'!$C:$AN,32,FALSE)</f>
        <v>0</v>
      </c>
      <c r="U1347" s="55">
        <f>VLOOKUP($E1347,'NI-Ric_SP'!$C:$AN,MID(U$1,1,2),FALSE)</f>
        <v>0</v>
      </c>
      <c r="V1347" s="55">
        <f>VLOOKUP($E1347,'NI-Ric_SP'!$C:$AN,MID(V$1,1,2),FALSE)</f>
        <v>0</v>
      </c>
      <c r="W1347" s="55">
        <f>VLOOKUP($E1347,'NI-Ric_SP'!$C:$AN,MID(W$1,1,2),FALSE)</f>
        <v>0</v>
      </c>
      <c r="X1347" s="55">
        <f>VLOOKUP($E1347,'NI-Ric_SP'!$C:$AN,MID(X$1,1,2),FALSE)</f>
        <v>0</v>
      </c>
      <c r="Y1347" s="55">
        <f>VLOOKUP($E1347,'NI-Ric_SP'!$C:$AN,MID(Y$1,1,2),FALSE)</f>
        <v>0</v>
      </c>
      <c r="Z1347" s="55">
        <f>VLOOKUP($E1347,'NI-Ric_SP'!$C:$AN,MID(Z$1,1,2),FALSE)</f>
        <v>0</v>
      </c>
      <c r="AA1347" s="55">
        <f>VLOOKUP($E1347,'NI-Ric_SP'!$C:$AN,MID(AA$1,1,2),FALSE)</f>
        <v>0</v>
      </c>
      <c r="AB1347" s="55">
        <f>VLOOKUP($E1347,'NI-Ric_SP'!$C:$AN,MID(AB$1,1,2),FALSE)</f>
        <v>0</v>
      </c>
      <c r="AC1347" s="55">
        <f>VLOOKUP($E1347,'NI-Ric_SP'!$C:$AN,MID(AC$1,1,2),FALSE)</f>
        <v>0</v>
      </c>
      <c r="AD1347" s="55">
        <f>VLOOKUP($E1347,'NI-Ric_SP'!$C:$AN,MID(AD$1,1,2),FALSE)</f>
        <v>0</v>
      </c>
      <c r="AE1347" s="55">
        <f>VLOOKUP($E1347,'NI-Ric_SP'!$C:$AN,MID(AE$1,1,2),FALSE)</f>
        <v>0</v>
      </c>
      <c r="AF1347" s="55">
        <f>VLOOKUP($E1347,'NI-Ric_SP'!$C:$AN,MID(AF$1,1,2),FALSE)</f>
        <v>0</v>
      </c>
      <c r="AG1347" s="55">
        <f>VLOOKUP($E1347,'NI-Ric_SP'!$C:$AN,MID(AG$1,1,2),FALSE)</f>
        <v>0</v>
      </c>
      <c r="AH1347" s="55">
        <f>VLOOKUP($E1347,'NI-Ric_SP'!$C:$AN,MID(AH$1,1,2),FALSE)</f>
        <v>0</v>
      </c>
      <c r="AI1347" s="55">
        <f>VLOOKUP($E1347,'NI-Ric_SP'!$C:$AN,MID(AI$1,1,2),FALSE)</f>
        <v>0</v>
      </c>
      <c r="AJ1347" s="55">
        <f>VLOOKUP($E1347,'NI-Ric_SP'!$C:$AN,MID(AJ$1,1,2),FALSE)</f>
        <v>0</v>
      </c>
      <c r="AK1347" s="55">
        <f>VLOOKUP($E1347,'NI-Ric_SP'!$C:$AN,MID(AK$1,1,2),FALSE)</f>
        <v>0</v>
      </c>
      <c r="AL1347" s="55">
        <f>VLOOKUP($E1347,'NI-Ric_SP'!$C:$AN,MID(AL$1,1,2),FALSE)</f>
        <v>0</v>
      </c>
      <c r="AM1347" s="56">
        <f>VLOOKUP($E1347,'NI-Ric_SP'!$C:$AN,MID(AM$1,1,2),FALSE)</f>
        <v>0</v>
      </c>
      <c r="AN1347" s="30" t="str">
        <f t="shared" si="21"/>
        <v>70501030000000</v>
      </c>
    </row>
    <row r="1348" spans="3:40" x14ac:dyDescent="0.25">
      <c r="C1348" s="40"/>
      <c r="D1348" s="101" t="s">
        <v>2390</v>
      </c>
      <c r="E1348" s="101" t="s">
        <v>2391</v>
      </c>
      <c r="F1348" s="102" t="s">
        <v>2750</v>
      </c>
      <c r="G1348" s="96" t="s">
        <v>1608</v>
      </c>
      <c r="H1348" s="52"/>
      <c r="I1348" s="52" t="s">
        <v>2392</v>
      </c>
      <c r="J1348" s="52" t="s">
        <v>2392</v>
      </c>
      <c r="K1348" s="59" t="s">
        <v>111</v>
      </c>
      <c r="L1348" s="52"/>
      <c r="M1348" s="52"/>
      <c r="N1348" s="52"/>
      <c r="O1348" s="61" t="s">
        <v>2363</v>
      </c>
      <c r="P1348" s="76" t="s">
        <v>2393</v>
      </c>
      <c r="Q1348" s="55">
        <f>VLOOKUP(E1348,'NI-Ric_SP'!$C:$AN,12,FALSE)</f>
        <v>0</v>
      </c>
      <c r="R1348" s="55">
        <f>VLOOKUP(E1348,'NI-Ric_SP'!$C:$AN,13,FALSE)</f>
        <v>0</v>
      </c>
      <c r="S1348" s="55">
        <f>VLOOKUP(E1348,'NI-Ric_SP'!$C:$AN,30,FALSE)</f>
        <v>0</v>
      </c>
      <c r="T1348" s="94">
        <f>VLOOKUP(E1348,'NI-Ric_SP'!$C:$AN,31,FALSE)+VLOOKUP(E1348,'NI-Ric_SP'!$C:$AN,32,FALSE)</f>
        <v>0</v>
      </c>
      <c r="U1348" s="55">
        <f>VLOOKUP($E1348,'NI-Ric_SP'!$C:$AN,MID(U$1,1,2),FALSE)</f>
        <v>0</v>
      </c>
      <c r="V1348" s="55">
        <f>VLOOKUP($E1348,'NI-Ric_SP'!$C:$AN,MID(V$1,1,2),FALSE)</f>
        <v>0</v>
      </c>
      <c r="W1348" s="55">
        <f>VLOOKUP($E1348,'NI-Ric_SP'!$C:$AN,MID(W$1,1,2),FALSE)</f>
        <v>0</v>
      </c>
      <c r="X1348" s="55">
        <f>VLOOKUP($E1348,'NI-Ric_SP'!$C:$AN,MID(X$1,1,2),FALSE)</f>
        <v>0</v>
      </c>
      <c r="Y1348" s="55">
        <f>VLOOKUP($E1348,'NI-Ric_SP'!$C:$AN,MID(Y$1,1,2),FALSE)</f>
        <v>0</v>
      </c>
      <c r="Z1348" s="55">
        <f>VLOOKUP($E1348,'NI-Ric_SP'!$C:$AN,MID(Z$1,1,2),FALSE)</f>
        <v>0</v>
      </c>
      <c r="AA1348" s="55">
        <f>VLOOKUP($E1348,'NI-Ric_SP'!$C:$AN,MID(AA$1,1,2),FALSE)</f>
        <v>0</v>
      </c>
      <c r="AB1348" s="55">
        <f>VLOOKUP($E1348,'NI-Ric_SP'!$C:$AN,MID(AB$1,1,2),FALSE)</f>
        <v>0</v>
      </c>
      <c r="AC1348" s="55">
        <f>VLOOKUP($E1348,'NI-Ric_SP'!$C:$AN,MID(AC$1,1,2),FALSE)</f>
        <v>0</v>
      </c>
      <c r="AD1348" s="55">
        <f>VLOOKUP($E1348,'NI-Ric_SP'!$C:$AN,MID(AD$1,1,2),FALSE)</f>
        <v>0</v>
      </c>
      <c r="AE1348" s="55">
        <f>VLOOKUP($E1348,'NI-Ric_SP'!$C:$AN,MID(AE$1,1,2),FALSE)</f>
        <v>0</v>
      </c>
      <c r="AF1348" s="55">
        <f>VLOOKUP($E1348,'NI-Ric_SP'!$C:$AN,MID(AF$1,1,2),FALSE)</f>
        <v>0</v>
      </c>
      <c r="AG1348" s="55">
        <f>VLOOKUP($E1348,'NI-Ric_SP'!$C:$AN,MID(AG$1,1,2),FALSE)</f>
        <v>0</v>
      </c>
      <c r="AH1348" s="55">
        <f>VLOOKUP($E1348,'NI-Ric_SP'!$C:$AN,MID(AH$1,1,2),FALSE)</f>
        <v>0</v>
      </c>
      <c r="AI1348" s="55">
        <f>VLOOKUP($E1348,'NI-Ric_SP'!$C:$AN,MID(AI$1,1,2),FALSE)</f>
        <v>0</v>
      </c>
      <c r="AJ1348" s="55">
        <f>VLOOKUP($E1348,'NI-Ric_SP'!$C:$AN,MID(AJ$1,1,2),FALSE)</f>
        <v>0</v>
      </c>
      <c r="AK1348" s="55">
        <f>VLOOKUP($E1348,'NI-Ric_SP'!$C:$AN,MID(AK$1,1,2),FALSE)</f>
        <v>0</v>
      </c>
      <c r="AL1348" s="55">
        <f>VLOOKUP($E1348,'NI-Ric_SP'!$C:$AN,MID(AL$1,1,2),FALSE)</f>
        <v>0</v>
      </c>
      <c r="AM1348" s="56">
        <f>VLOOKUP($E1348,'NI-Ric_SP'!$C:$AN,MID(AM$1,1,2),FALSE)</f>
        <v>0</v>
      </c>
      <c r="AN1348" s="30" t="str">
        <f t="shared" si="21"/>
        <v>70501040000000</v>
      </c>
    </row>
    <row r="1349" spans="3:40" x14ac:dyDescent="0.25">
      <c r="C1349" s="40"/>
      <c r="D1349" s="101" t="s">
        <v>2394</v>
      </c>
      <c r="E1349" s="101" t="s">
        <v>2395</v>
      </c>
      <c r="F1349" s="102" t="s">
        <v>2750</v>
      </c>
      <c r="G1349" s="96" t="s">
        <v>2396</v>
      </c>
      <c r="H1349" s="52"/>
      <c r="I1349" s="52"/>
      <c r="J1349" s="52"/>
      <c r="K1349" s="59" t="s">
        <v>79</v>
      </c>
      <c r="L1349" s="52"/>
      <c r="M1349" s="52"/>
      <c r="N1349" s="52"/>
      <c r="O1349" s="52"/>
      <c r="P1349" s="116" t="s">
        <v>2397</v>
      </c>
      <c r="Q1349" s="55">
        <f>VLOOKUP(E1349,'NI-Ric_SP'!$C:$AN,12,FALSE)</f>
        <v>0</v>
      </c>
      <c r="R1349" s="55">
        <f>VLOOKUP(E1349,'NI-Ric_SP'!$C:$AN,13,FALSE)</f>
        <v>0</v>
      </c>
      <c r="S1349" s="55">
        <f>VLOOKUP(E1349,'NI-Ric_SP'!$C:$AN,30,FALSE)</f>
        <v>0</v>
      </c>
      <c r="T1349" s="94">
        <f>VLOOKUP(E1349,'NI-Ric_SP'!$C:$AN,31,FALSE)+VLOOKUP(E1349,'NI-Ric_SP'!$C:$AN,32,FALSE)</f>
        <v>0</v>
      </c>
      <c r="U1349" s="55">
        <f>VLOOKUP($E1349,'NI-Ric_SP'!$C:$AN,MID(U$1,1,2),FALSE)</f>
        <v>0</v>
      </c>
      <c r="V1349" s="55">
        <f>VLOOKUP($E1349,'NI-Ric_SP'!$C:$AN,MID(V$1,1,2),FALSE)</f>
        <v>0</v>
      </c>
      <c r="W1349" s="55">
        <f>VLOOKUP($E1349,'NI-Ric_SP'!$C:$AN,MID(W$1,1,2),FALSE)</f>
        <v>0</v>
      </c>
      <c r="X1349" s="55">
        <f>VLOOKUP($E1349,'NI-Ric_SP'!$C:$AN,MID(X$1,1,2),FALSE)</f>
        <v>0</v>
      </c>
      <c r="Y1349" s="55">
        <f>VLOOKUP($E1349,'NI-Ric_SP'!$C:$AN,MID(Y$1,1,2),FALSE)</f>
        <v>0</v>
      </c>
      <c r="Z1349" s="55">
        <f>VLOOKUP($E1349,'NI-Ric_SP'!$C:$AN,MID(Z$1,1,2),FALSE)</f>
        <v>0</v>
      </c>
      <c r="AA1349" s="55">
        <f>VLOOKUP($E1349,'NI-Ric_SP'!$C:$AN,MID(AA$1,1,2),FALSE)</f>
        <v>0</v>
      </c>
      <c r="AB1349" s="55">
        <f>VLOOKUP($E1349,'NI-Ric_SP'!$C:$AN,MID(AB$1,1,2),FALSE)</f>
        <v>0</v>
      </c>
      <c r="AC1349" s="55">
        <f>VLOOKUP($E1349,'NI-Ric_SP'!$C:$AN,MID(AC$1,1,2),FALSE)</f>
        <v>0</v>
      </c>
      <c r="AD1349" s="55">
        <f>VLOOKUP($E1349,'NI-Ric_SP'!$C:$AN,MID(AD$1,1,2),FALSE)</f>
        <v>0</v>
      </c>
      <c r="AE1349" s="55">
        <f>VLOOKUP($E1349,'NI-Ric_SP'!$C:$AN,MID(AE$1,1,2),FALSE)</f>
        <v>0</v>
      </c>
      <c r="AF1349" s="55">
        <f>VLOOKUP($E1349,'NI-Ric_SP'!$C:$AN,MID(AF$1,1,2),FALSE)</f>
        <v>0</v>
      </c>
      <c r="AG1349" s="55">
        <f>VLOOKUP($E1349,'NI-Ric_SP'!$C:$AN,MID(AG$1,1,2),FALSE)</f>
        <v>0</v>
      </c>
      <c r="AH1349" s="55">
        <f>VLOOKUP($E1349,'NI-Ric_SP'!$C:$AN,MID(AH$1,1,2),FALSE)</f>
        <v>0</v>
      </c>
      <c r="AI1349" s="55">
        <f>VLOOKUP($E1349,'NI-Ric_SP'!$C:$AN,MID(AI$1,1,2),FALSE)</f>
        <v>0</v>
      </c>
      <c r="AJ1349" s="55">
        <f>VLOOKUP($E1349,'NI-Ric_SP'!$C:$AN,MID(AJ$1,1,2),FALSE)</f>
        <v>0</v>
      </c>
      <c r="AK1349" s="55">
        <f>VLOOKUP($E1349,'NI-Ric_SP'!$C:$AN,MID(AK$1,1,2),FALSE)</f>
        <v>0</v>
      </c>
      <c r="AL1349" s="55">
        <f>VLOOKUP($E1349,'NI-Ric_SP'!$C:$AN,MID(AL$1,1,2),FALSE)</f>
        <v>0</v>
      </c>
      <c r="AM1349" s="56">
        <f>VLOOKUP($E1349,'NI-Ric_SP'!$C:$AN,MID(AM$1,1,2),FALSE)</f>
        <v>0</v>
      </c>
      <c r="AN1349" s="30" t="str">
        <f t="shared" si="21"/>
        <v>70501040010000</v>
      </c>
    </row>
    <row r="1350" spans="3:40" x14ac:dyDescent="0.25">
      <c r="C1350" s="40"/>
      <c r="D1350" s="101" t="s">
        <v>2398</v>
      </c>
      <c r="E1350" s="101" t="s">
        <v>2399</v>
      </c>
      <c r="F1350" s="102" t="s">
        <v>2750</v>
      </c>
      <c r="G1350" s="96" t="s">
        <v>2396</v>
      </c>
      <c r="H1350" s="52"/>
      <c r="I1350" s="52"/>
      <c r="J1350" s="52"/>
      <c r="K1350" s="59" t="s">
        <v>79</v>
      </c>
      <c r="L1350" s="52"/>
      <c r="M1350" s="52"/>
      <c r="N1350" s="52"/>
      <c r="O1350" s="52"/>
      <c r="P1350" s="116" t="s">
        <v>2400</v>
      </c>
      <c r="Q1350" s="55">
        <f>VLOOKUP(E1350,'NI-Ric_SP'!$C:$AN,12,FALSE)</f>
        <v>0</v>
      </c>
      <c r="R1350" s="55">
        <f>VLOOKUP(E1350,'NI-Ric_SP'!$C:$AN,13,FALSE)</f>
        <v>0</v>
      </c>
      <c r="S1350" s="55">
        <f>VLOOKUP(E1350,'NI-Ric_SP'!$C:$AN,30,FALSE)</f>
        <v>0</v>
      </c>
      <c r="T1350" s="94">
        <f>VLOOKUP(E1350,'NI-Ric_SP'!$C:$AN,31,FALSE)+VLOOKUP(E1350,'NI-Ric_SP'!$C:$AN,32,FALSE)</f>
        <v>0</v>
      </c>
      <c r="U1350" s="55">
        <f>VLOOKUP($E1350,'NI-Ric_SP'!$C:$AN,MID(U$1,1,2),FALSE)</f>
        <v>0</v>
      </c>
      <c r="V1350" s="55">
        <f>VLOOKUP($E1350,'NI-Ric_SP'!$C:$AN,MID(V$1,1,2),FALSE)</f>
        <v>0</v>
      </c>
      <c r="W1350" s="55">
        <f>VLOOKUP($E1350,'NI-Ric_SP'!$C:$AN,MID(W$1,1,2),FALSE)</f>
        <v>0</v>
      </c>
      <c r="X1350" s="55">
        <f>VLOOKUP($E1350,'NI-Ric_SP'!$C:$AN,MID(X$1,1,2),FALSE)</f>
        <v>0</v>
      </c>
      <c r="Y1350" s="55">
        <f>VLOOKUP($E1350,'NI-Ric_SP'!$C:$AN,MID(Y$1,1,2),FALSE)</f>
        <v>0</v>
      </c>
      <c r="Z1350" s="55">
        <f>VLOOKUP($E1350,'NI-Ric_SP'!$C:$AN,MID(Z$1,1,2),FALSE)</f>
        <v>0</v>
      </c>
      <c r="AA1350" s="55">
        <f>VLOOKUP($E1350,'NI-Ric_SP'!$C:$AN,MID(AA$1,1,2),FALSE)</f>
        <v>0</v>
      </c>
      <c r="AB1350" s="55">
        <f>VLOOKUP($E1350,'NI-Ric_SP'!$C:$AN,MID(AB$1,1,2),FALSE)</f>
        <v>0</v>
      </c>
      <c r="AC1350" s="55">
        <f>VLOOKUP($E1350,'NI-Ric_SP'!$C:$AN,MID(AC$1,1,2),FALSE)</f>
        <v>0</v>
      </c>
      <c r="AD1350" s="55">
        <f>VLOOKUP($E1350,'NI-Ric_SP'!$C:$AN,MID(AD$1,1,2),FALSE)</f>
        <v>0</v>
      </c>
      <c r="AE1350" s="55">
        <f>VLOOKUP($E1350,'NI-Ric_SP'!$C:$AN,MID(AE$1,1,2),FALSE)</f>
        <v>0</v>
      </c>
      <c r="AF1350" s="55">
        <f>VLOOKUP($E1350,'NI-Ric_SP'!$C:$AN,MID(AF$1,1,2),FALSE)</f>
        <v>0</v>
      </c>
      <c r="AG1350" s="55">
        <f>VLOOKUP($E1350,'NI-Ric_SP'!$C:$AN,MID(AG$1,1,2),FALSE)</f>
        <v>0</v>
      </c>
      <c r="AH1350" s="55">
        <f>VLOOKUP($E1350,'NI-Ric_SP'!$C:$AN,MID(AH$1,1,2),FALSE)</f>
        <v>0</v>
      </c>
      <c r="AI1350" s="55">
        <f>VLOOKUP($E1350,'NI-Ric_SP'!$C:$AN,MID(AI$1,1,2),FALSE)</f>
        <v>0</v>
      </c>
      <c r="AJ1350" s="55">
        <f>VLOOKUP($E1350,'NI-Ric_SP'!$C:$AN,MID(AJ$1,1,2),FALSE)</f>
        <v>0</v>
      </c>
      <c r="AK1350" s="55">
        <f>VLOOKUP($E1350,'NI-Ric_SP'!$C:$AN,MID(AK$1,1,2),FALSE)</f>
        <v>0</v>
      </c>
      <c r="AL1350" s="55">
        <f>VLOOKUP($E1350,'NI-Ric_SP'!$C:$AN,MID(AL$1,1,2),FALSE)</f>
        <v>0</v>
      </c>
      <c r="AM1350" s="56">
        <f>VLOOKUP($E1350,'NI-Ric_SP'!$C:$AN,MID(AM$1,1,2),FALSE)</f>
        <v>0</v>
      </c>
      <c r="AN1350" s="30" t="str">
        <f t="shared" si="21"/>
        <v>70501040020000</v>
      </c>
    </row>
    <row r="1351" spans="3:40" ht="27" x14ac:dyDescent="0.25">
      <c r="C1351" s="40"/>
      <c r="D1351" s="101" t="s">
        <v>2401</v>
      </c>
      <c r="E1351" s="101" t="s">
        <v>2402</v>
      </c>
      <c r="F1351" s="102" t="s">
        <v>2750</v>
      </c>
      <c r="G1351" s="96" t="s">
        <v>1608</v>
      </c>
      <c r="H1351" s="52"/>
      <c r="I1351" s="65"/>
      <c r="J1351" s="52"/>
      <c r="K1351" s="59" t="s">
        <v>79</v>
      </c>
      <c r="L1351" s="52"/>
      <c r="M1351" s="52"/>
      <c r="N1351" s="52"/>
      <c r="O1351" s="52"/>
      <c r="P1351" s="116" t="s">
        <v>2403</v>
      </c>
      <c r="Q1351" s="55">
        <f>VLOOKUP(E1351,'NI-Ric_SP'!$C:$AN,12,FALSE)</f>
        <v>0</v>
      </c>
      <c r="R1351" s="55">
        <f>VLOOKUP(E1351,'NI-Ric_SP'!$C:$AN,13,FALSE)</f>
        <v>0</v>
      </c>
      <c r="S1351" s="55">
        <f>VLOOKUP(E1351,'NI-Ric_SP'!$C:$AN,30,FALSE)</f>
        <v>0</v>
      </c>
      <c r="T1351" s="94">
        <f>VLOOKUP(E1351,'NI-Ric_SP'!$C:$AN,31,FALSE)+VLOOKUP(E1351,'NI-Ric_SP'!$C:$AN,32,FALSE)</f>
        <v>0</v>
      </c>
      <c r="U1351" s="55">
        <f>VLOOKUP($E1351,'NI-Ric_SP'!$C:$AN,MID(U$1,1,2),FALSE)</f>
        <v>0</v>
      </c>
      <c r="V1351" s="55">
        <f>VLOOKUP($E1351,'NI-Ric_SP'!$C:$AN,MID(V$1,1,2),FALSE)</f>
        <v>0</v>
      </c>
      <c r="W1351" s="55">
        <f>VLOOKUP($E1351,'NI-Ric_SP'!$C:$AN,MID(W$1,1,2),FALSE)</f>
        <v>0</v>
      </c>
      <c r="X1351" s="55">
        <f>VLOOKUP($E1351,'NI-Ric_SP'!$C:$AN,MID(X$1,1,2),FALSE)</f>
        <v>0</v>
      </c>
      <c r="Y1351" s="55">
        <f>VLOOKUP($E1351,'NI-Ric_SP'!$C:$AN,MID(Y$1,1,2),FALSE)</f>
        <v>0</v>
      </c>
      <c r="Z1351" s="55">
        <f>VLOOKUP($E1351,'NI-Ric_SP'!$C:$AN,MID(Z$1,1,2),FALSE)</f>
        <v>0</v>
      </c>
      <c r="AA1351" s="55">
        <f>VLOOKUP($E1351,'NI-Ric_SP'!$C:$AN,MID(AA$1,1,2),FALSE)</f>
        <v>0</v>
      </c>
      <c r="AB1351" s="55">
        <f>VLOOKUP($E1351,'NI-Ric_SP'!$C:$AN,MID(AB$1,1,2),FALSE)</f>
        <v>0</v>
      </c>
      <c r="AC1351" s="55">
        <f>VLOOKUP($E1351,'NI-Ric_SP'!$C:$AN,MID(AC$1,1,2),FALSE)</f>
        <v>0</v>
      </c>
      <c r="AD1351" s="55">
        <f>VLOOKUP($E1351,'NI-Ric_SP'!$C:$AN,MID(AD$1,1,2),FALSE)</f>
        <v>0</v>
      </c>
      <c r="AE1351" s="55">
        <f>VLOOKUP($E1351,'NI-Ric_SP'!$C:$AN,MID(AE$1,1,2),FALSE)</f>
        <v>0</v>
      </c>
      <c r="AF1351" s="55">
        <f>VLOOKUP($E1351,'NI-Ric_SP'!$C:$AN,MID(AF$1,1,2),FALSE)</f>
        <v>0</v>
      </c>
      <c r="AG1351" s="55">
        <f>VLOOKUP($E1351,'NI-Ric_SP'!$C:$AN,MID(AG$1,1,2),FALSE)</f>
        <v>0</v>
      </c>
      <c r="AH1351" s="55">
        <f>VLOOKUP($E1351,'NI-Ric_SP'!$C:$AN,MID(AH$1,1,2),FALSE)</f>
        <v>0</v>
      </c>
      <c r="AI1351" s="55">
        <f>VLOOKUP($E1351,'NI-Ric_SP'!$C:$AN,MID(AI$1,1,2),FALSE)</f>
        <v>0</v>
      </c>
      <c r="AJ1351" s="55">
        <f>VLOOKUP($E1351,'NI-Ric_SP'!$C:$AN,MID(AJ$1,1,2),FALSE)</f>
        <v>0</v>
      </c>
      <c r="AK1351" s="55">
        <f>VLOOKUP($E1351,'NI-Ric_SP'!$C:$AN,MID(AK$1,1,2),FALSE)</f>
        <v>0</v>
      </c>
      <c r="AL1351" s="55">
        <f>VLOOKUP($E1351,'NI-Ric_SP'!$C:$AN,MID(AL$1,1,2),FALSE)</f>
        <v>0</v>
      </c>
      <c r="AM1351" s="56">
        <f>VLOOKUP($E1351,'NI-Ric_SP'!$C:$AN,MID(AM$1,1,2),FALSE)</f>
        <v>0</v>
      </c>
      <c r="AN1351" s="30" t="str">
        <f t="shared" si="21"/>
        <v>70501040030000</v>
      </c>
    </row>
    <row r="1352" spans="3:40" x14ac:dyDescent="0.25">
      <c r="C1352" s="40"/>
      <c r="D1352" s="101" t="s">
        <v>2404</v>
      </c>
      <c r="E1352" s="101" t="s">
        <v>2405</v>
      </c>
      <c r="F1352" s="102" t="s">
        <v>2750</v>
      </c>
      <c r="G1352" s="96" t="s">
        <v>2396</v>
      </c>
      <c r="H1352" s="52"/>
      <c r="I1352" s="52" t="s">
        <v>2406</v>
      </c>
      <c r="J1352" s="52" t="s">
        <v>2406</v>
      </c>
      <c r="K1352" s="59" t="s">
        <v>79</v>
      </c>
      <c r="L1352" s="52"/>
      <c r="M1352" s="52"/>
      <c r="N1352" s="52"/>
      <c r="O1352" s="61" t="s">
        <v>2363</v>
      </c>
      <c r="P1352" s="76" t="s">
        <v>2407</v>
      </c>
      <c r="Q1352" s="55">
        <f>VLOOKUP(E1352,'NI-Ric_SP'!$C:$AN,12,FALSE)</f>
        <v>0</v>
      </c>
      <c r="R1352" s="55">
        <f>VLOOKUP(E1352,'NI-Ric_SP'!$C:$AN,13,FALSE)</f>
        <v>0</v>
      </c>
      <c r="S1352" s="55">
        <f>VLOOKUP(E1352,'NI-Ric_SP'!$C:$AN,30,FALSE)</f>
        <v>0</v>
      </c>
      <c r="T1352" s="94">
        <f>VLOOKUP(E1352,'NI-Ric_SP'!$C:$AN,31,FALSE)+VLOOKUP(E1352,'NI-Ric_SP'!$C:$AN,32,FALSE)</f>
        <v>0</v>
      </c>
      <c r="U1352" s="55">
        <f>VLOOKUP($E1352,'NI-Ric_SP'!$C:$AN,MID(U$1,1,2),FALSE)</f>
        <v>0</v>
      </c>
      <c r="V1352" s="55">
        <f>VLOOKUP($E1352,'NI-Ric_SP'!$C:$AN,MID(V$1,1,2),FALSE)</f>
        <v>0</v>
      </c>
      <c r="W1352" s="55">
        <f>VLOOKUP($E1352,'NI-Ric_SP'!$C:$AN,MID(W$1,1,2),FALSE)</f>
        <v>0</v>
      </c>
      <c r="X1352" s="55">
        <f>VLOOKUP($E1352,'NI-Ric_SP'!$C:$AN,MID(X$1,1,2),FALSE)</f>
        <v>0</v>
      </c>
      <c r="Y1352" s="55">
        <f>VLOOKUP($E1352,'NI-Ric_SP'!$C:$AN,MID(Y$1,1,2),FALSE)</f>
        <v>0</v>
      </c>
      <c r="Z1352" s="55">
        <f>VLOOKUP($E1352,'NI-Ric_SP'!$C:$AN,MID(Z$1,1,2),FALSE)</f>
        <v>0</v>
      </c>
      <c r="AA1352" s="55">
        <f>VLOOKUP($E1352,'NI-Ric_SP'!$C:$AN,MID(AA$1,1,2),FALSE)</f>
        <v>0</v>
      </c>
      <c r="AB1352" s="55">
        <f>VLOOKUP($E1352,'NI-Ric_SP'!$C:$AN,MID(AB$1,1,2),FALSE)</f>
        <v>0</v>
      </c>
      <c r="AC1352" s="55">
        <f>VLOOKUP($E1352,'NI-Ric_SP'!$C:$AN,MID(AC$1,1,2),FALSE)</f>
        <v>0</v>
      </c>
      <c r="AD1352" s="55">
        <f>VLOOKUP($E1352,'NI-Ric_SP'!$C:$AN,MID(AD$1,1,2),FALSE)</f>
        <v>0</v>
      </c>
      <c r="AE1352" s="55">
        <f>VLOOKUP($E1352,'NI-Ric_SP'!$C:$AN,MID(AE$1,1,2),FALSE)</f>
        <v>0</v>
      </c>
      <c r="AF1352" s="55">
        <f>VLOOKUP($E1352,'NI-Ric_SP'!$C:$AN,MID(AF$1,1,2),FALSE)</f>
        <v>0</v>
      </c>
      <c r="AG1352" s="55">
        <f>VLOOKUP($E1352,'NI-Ric_SP'!$C:$AN,MID(AG$1,1,2),FALSE)</f>
        <v>0</v>
      </c>
      <c r="AH1352" s="55">
        <f>VLOOKUP($E1352,'NI-Ric_SP'!$C:$AN,MID(AH$1,1,2),FALSE)</f>
        <v>0</v>
      </c>
      <c r="AI1352" s="55">
        <f>VLOOKUP($E1352,'NI-Ric_SP'!$C:$AN,MID(AI$1,1,2),FALSE)</f>
        <v>0</v>
      </c>
      <c r="AJ1352" s="55">
        <f>VLOOKUP($E1352,'NI-Ric_SP'!$C:$AN,MID(AJ$1,1,2),FALSE)</f>
        <v>0</v>
      </c>
      <c r="AK1352" s="55">
        <f>VLOOKUP($E1352,'NI-Ric_SP'!$C:$AN,MID(AK$1,1,2),FALSE)</f>
        <v>0</v>
      </c>
      <c r="AL1352" s="55">
        <f>VLOOKUP($E1352,'NI-Ric_SP'!$C:$AN,MID(AL$1,1,2),FALSE)</f>
        <v>0</v>
      </c>
      <c r="AM1352" s="56">
        <f>VLOOKUP($E1352,'NI-Ric_SP'!$C:$AN,MID(AM$1,1,2),FALSE)</f>
        <v>0</v>
      </c>
      <c r="AN1352" s="30" t="str">
        <f t="shared" si="21"/>
        <v>70501050000000</v>
      </c>
    </row>
    <row r="1353" spans="3:40" x14ac:dyDescent="0.25">
      <c r="C1353" s="40"/>
      <c r="D1353" s="101" t="s">
        <v>2408</v>
      </c>
      <c r="E1353" s="101" t="s">
        <v>2409</v>
      </c>
      <c r="F1353" s="102" t="s">
        <v>2750</v>
      </c>
      <c r="G1353" s="96" t="s">
        <v>1608</v>
      </c>
      <c r="H1353" s="52"/>
      <c r="I1353" s="52" t="s">
        <v>2410</v>
      </c>
      <c r="J1353" s="52" t="s">
        <v>2410</v>
      </c>
      <c r="K1353" s="59" t="s">
        <v>111</v>
      </c>
      <c r="L1353" s="52"/>
      <c r="M1353" s="52"/>
      <c r="N1353" s="52"/>
      <c r="O1353" s="61" t="s">
        <v>2411</v>
      </c>
      <c r="P1353" s="76" t="s">
        <v>2412</v>
      </c>
      <c r="Q1353" s="55">
        <f>VLOOKUP(E1353,'NI-Ric_SP'!$C:$AN,12,FALSE)</f>
        <v>0</v>
      </c>
      <c r="R1353" s="55">
        <f>VLOOKUP(E1353,'NI-Ric_SP'!$C:$AN,13,FALSE)</f>
        <v>0</v>
      </c>
      <c r="S1353" s="55">
        <f>VLOOKUP(E1353,'NI-Ric_SP'!$C:$AN,30,FALSE)</f>
        <v>0</v>
      </c>
      <c r="T1353" s="94">
        <f>VLOOKUP(E1353,'NI-Ric_SP'!$C:$AN,31,FALSE)+VLOOKUP(E1353,'NI-Ric_SP'!$C:$AN,32,FALSE)</f>
        <v>0</v>
      </c>
      <c r="U1353" s="55">
        <f>VLOOKUP($E1353,'NI-Ric_SP'!$C:$AN,MID(U$1,1,2),FALSE)</f>
        <v>0</v>
      </c>
      <c r="V1353" s="55">
        <f>VLOOKUP($E1353,'NI-Ric_SP'!$C:$AN,MID(V$1,1,2),FALSE)</f>
        <v>0</v>
      </c>
      <c r="W1353" s="55">
        <f>VLOOKUP($E1353,'NI-Ric_SP'!$C:$AN,MID(W$1,1,2),FALSE)</f>
        <v>0</v>
      </c>
      <c r="X1353" s="55">
        <f>VLOOKUP($E1353,'NI-Ric_SP'!$C:$AN,MID(X$1,1,2),FALSE)</f>
        <v>0</v>
      </c>
      <c r="Y1353" s="55">
        <f>VLOOKUP($E1353,'NI-Ric_SP'!$C:$AN,MID(Y$1,1,2),FALSE)</f>
        <v>0</v>
      </c>
      <c r="Z1353" s="55">
        <f>VLOOKUP($E1353,'NI-Ric_SP'!$C:$AN,MID(Z$1,1,2),FALSE)</f>
        <v>0</v>
      </c>
      <c r="AA1353" s="55">
        <f>VLOOKUP($E1353,'NI-Ric_SP'!$C:$AN,MID(AA$1,1,2),FALSE)</f>
        <v>0</v>
      </c>
      <c r="AB1353" s="55">
        <f>VLOOKUP($E1353,'NI-Ric_SP'!$C:$AN,MID(AB$1,1,2),FALSE)</f>
        <v>0</v>
      </c>
      <c r="AC1353" s="55">
        <f>VLOOKUP($E1353,'NI-Ric_SP'!$C:$AN,MID(AC$1,1,2),FALSE)</f>
        <v>0</v>
      </c>
      <c r="AD1353" s="55">
        <f>VLOOKUP($E1353,'NI-Ric_SP'!$C:$AN,MID(AD$1,1,2),FALSE)</f>
        <v>0</v>
      </c>
      <c r="AE1353" s="55">
        <f>VLOOKUP($E1353,'NI-Ric_SP'!$C:$AN,MID(AE$1,1,2),FALSE)</f>
        <v>0</v>
      </c>
      <c r="AF1353" s="55">
        <f>VLOOKUP($E1353,'NI-Ric_SP'!$C:$AN,MID(AF$1,1,2),FALSE)</f>
        <v>0</v>
      </c>
      <c r="AG1353" s="55">
        <f>VLOOKUP($E1353,'NI-Ric_SP'!$C:$AN,MID(AG$1,1,2),FALSE)</f>
        <v>0</v>
      </c>
      <c r="AH1353" s="55">
        <f>VLOOKUP($E1353,'NI-Ric_SP'!$C:$AN,MID(AH$1,1,2),FALSE)</f>
        <v>0</v>
      </c>
      <c r="AI1353" s="55">
        <f>VLOOKUP($E1353,'NI-Ric_SP'!$C:$AN,MID(AI$1,1,2),FALSE)</f>
        <v>0</v>
      </c>
      <c r="AJ1353" s="55">
        <f>VLOOKUP($E1353,'NI-Ric_SP'!$C:$AN,MID(AJ$1,1,2),FALSE)</f>
        <v>0</v>
      </c>
      <c r="AK1353" s="55">
        <f>VLOOKUP($E1353,'NI-Ric_SP'!$C:$AN,MID(AK$1,1,2),FALSE)</f>
        <v>0</v>
      </c>
      <c r="AL1353" s="55">
        <f>VLOOKUP($E1353,'NI-Ric_SP'!$C:$AN,MID(AL$1,1,2),FALSE)</f>
        <v>0</v>
      </c>
      <c r="AM1353" s="56">
        <f>VLOOKUP($E1353,'NI-Ric_SP'!$C:$AN,MID(AM$1,1,2),FALSE)</f>
        <v>0</v>
      </c>
      <c r="AN1353" s="30" t="str">
        <f t="shared" si="21"/>
        <v>70501060000000</v>
      </c>
    </row>
    <row r="1354" spans="3:40" x14ac:dyDescent="0.25">
      <c r="C1354" s="40"/>
      <c r="D1354" s="101" t="s">
        <v>2413</v>
      </c>
      <c r="E1354" s="101" t="s">
        <v>2414</v>
      </c>
      <c r="F1354" s="102" t="s">
        <v>2750</v>
      </c>
      <c r="G1354" s="96" t="s">
        <v>1608</v>
      </c>
      <c r="H1354" s="52"/>
      <c r="I1354" s="52"/>
      <c r="J1354" s="52"/>
      <c r="K1354" s="59" t="s">
        <v>79</v>
      </c>
      <c r="L1354" s="52"/>
      <c r="M1354" s="52"/>
      <c r="N1354" s="52"/>
      <c r="O1354" s="52"/>
      <c r="P1354" s="117" t="s">
        <v>2415</v>
      </c>
      <c r="Q1354" s="55">
        <f>VLOOKUP(E1354,'NI-Ric_SP'!$C:$AN,12,FALSE)</f>
        <v>0</v>
      </c>
      <c r="R1354" s="55">
        <f>VLOOKUP(E1354,'NI-Ric_SP'!$C:$AN,13,FALSE)</f>
        <v>0</v>
      </c>
      <c r="S1354" s="55">
        <f>VLOOKUP(E1354,'NI-Ric_SP'!$C:$AN,30,FALSE)</f>
        <v>0</v>
      </c>
      <c r="T1354" s="94">
        <f>VLOOKUP(E1354,'NI-Ric_SP'!$C:$AN,31,FALSE)+VLOOKUP(E1354,'NI-Ric_SP'!$C:$AN,32,FALSE)</f>
        <v>0</v>
      </c>
      <c r="U1354" s="55">
        <f>VLOOKUP($E1354,'NI-Ric_SP'!$C:$AN,MID(U$1,1,2),FALSE)</f>
        <v>0</v>
      </c>
      <c r="V1354" s="55">
        <f>VLOOKUP($E1354,'NI-Ric_SP'!$C:$AN,MID(V$1,1,2),FALSE)</f>
        <v>0</v>
      </c>
      <c r="W1354" s="55">
        <f>VLOOKUP($E1354,'NI-Ric_SP'!$C:$AN,MID(W$1,1,2),FALSE)</f>
        <v>0</v>
      </c>
      <c r="X1354" s="55">
        <f>VLOOKUP($E1354,'NI-Ric_SP'!$C:$AN,MID(X$1,1,2),FALSE)</f>
        <v>0</v>
      </c>
      <c r="Y1354" s="55">
        <f>VLOOKUP($E1354,'NI-Ric_SP'!$C:$AN,MID(Y$1,1,2),FALSE)</f>
        <v>0</v>
      </c>
      <c r="Z1354" s="55">
        <f>VLOOKUP($E1354,'NI-Ric_SP'!$C:$AN,MID(Z$1,1,2),FALSE)</f>
        <v>0</v>
      </c>
      <c r="AA1354" s="55">
        <f>VLOOKUP($E1354,'NI-Ric_SP'!$C:$AN,MID(AA$1,1,2),FALSE)</f>
        <v>0</v>
      </c>
      <c r="AB1354" s="55">
        <f>VLOOKUP($E1354,'NI-Ric_SP'!$C:$AN,MID(AB$1,1,2),FALSE)</f>
        <v>0</v>
      </c>
      <c r="AC1354" s="55">
        <f>VLOOKUP($E1354,'NI-Ric_SP'!$C:$AN,MID(AC$1,1,2),FALSE)</f>
        <v>0</v>
      </c>
      <c r="AD1354" s="55">
        <f>VLOOKUP($E1354,'NI-Ric_SP'!$C:$AN,MID(AD$1,1,2),FALSE)</f>
        <v>0</v>
      </c>
      <c r="AE1354" s="55">
        <f>VLOOKUP($E1354,'NI-Ric_SP'!$C:$AN,MID(AE$1,1,2),FALSE)</f>
        <v>0</v>
      </c>
      <c r="AF1354" s="55">
        <f>VLOOKUP($E1354,'NI-Ric_SP'!$C:$AN,MID(AF$1,1,2),FALSE)</f>
        <v>0</v>
      </c>
      <c r="AG1354" s="55">
        <f>VLOOKUP($E1354,'NI-Ric_SP'!$C:$AN,MID(AG$1,1,2),FALSE)</f>
        <v>0</v>
      </c>
      <c r="AH1354" s="55">
        <f>VLOOKUP($E1354,'NI-Ric_SP'!$C:$AN,MID(AH$1,1,2),FALSE)</f>
        <v>0</v>
      </c>
      <c r="AI1354" s="55">
        <f>VLOOKUP($E1354,'NI-Ric_SP'!$C:$AN,MID(AI$1,1,2),FALSE)</f>
        <v>0</v>
      </c>
      <c r="AJ1354" s="55">
        <f>VLOOKUP($E1354,'NI-Ric_SP'!$C:$AN,MID(AJ$1,1,2),FALSE)</f>
        <v>0</v>
      </c>
      <c r="AK1354" s="55">
        <f>VLOOKUP($E1354,'NI-Ric_SP'!$C:$AN,MID(AK$1,1,2),FALSE)</f>
        <v>0</v>
      </c>
      <c r="AL1354" s="55">
        <f>VLOOKUP($E1354,'NI-Ric_SP'!$C:$AN,MID(AL$1,1,2),FALSE)</f>
        <v>0</v>
      </c>
      <c r="AM1354" s="56">
        <f>VLOOKUP($E1354,'NI-Ric_SP'!$C:$AN,MID(AM$1,1,2),FALSE)</f>
        <v>0</v>
      </c>
      <c r="AN1354" s="30" t="str">
        <f t="shared" si="21"/>
        <v>70501060010000</v>
      </c>
    </row>
    <row r="1355" spans="3:40" x14ac:dyDescent="0.25">
      <c r="C1355" s="40"/>
      <c r="D1355" s="101" t="s">
        <v>2416</v>
      </c>
      <c r="E1355" s="101" t="s">
        <v>2417</v>
      </c>
      <c r="F1355" s="102" t="s">
        <v>2750</v>
      </c>
      <c r="G1355" s="96" t="s">
        <v>1608</v>
      </c>
      <c r="H1355" s="52"/>
      <c r="I1355" s="52"/>
      <c r="J1355" s="52"/>
      <c r="K1355" s="59" t="s">
        <v>79</v>
      </c>
      <c r="L1355" s="52"/>
      <c r="M1355" s="52"/>
      <c r="N1355" s="52"/>
      <c r="O1355" s="52"/>
      <c r="P1355" s="117" t="s">
        <v>2418</v>
      </c>
      <c r="Q1355" s="55">
        <f>VLOOKUP(E1355,'NI-Ric_SP'!$C:$AN,12,FALSE)</f>
        <v>0</v>
      </c>
      <c r="R1355" s="55">
        <f>VLOOKUP(E1355,'NI-Ric_SP'!$C:$AN,13,FALSE)</f>
        <v>0</v>
      </c>
      <c r="S1355" s="55">
        <f>VLOOKUP(E1355,'NI-Ric_SP'!$C:$AN,30,FALSE)</f>
        <v>0</v>
      </c>
      <c r="T1355" s="94">
        <f>VLOOKUP(E1355,'NI-Ric_SP'!$C:$AN,31,FALSE)+VLOOKUP(E1355,'NI-Ric_SP'!$C:$AN,32,FALSE)</f>
        <v>0</v>
      </c>
      <c r="U1355" s="55">
        <f>VLOOKUP($E1355,'NI-Ric_SP'!$C:$AN,MID(U$1,1,2),FALSE)</f>
        <v>0</v>
      </c>
      <c r="V1355" s="55">
        <f>VLOOKUP($E1355,'NI-Ric_SP'!$C:$AN,MID(V$1,1,2),FALSE)</f>
        <v>0</v>
      </c>
      <c r="W1355" s="55">
        <f>VLOOKUP($E1355,'NI-Ric_SP'!$C:$AN,MID(W$1,1,2),FALSE)</f>
        <v>0</v>
      </c>
      <c r="X1355" s="55">
        <f>VLOOKUP($E1355,'NI-Ric_SP'!$C:$AN,MID(X$1,1,2),FALSE)</f>
        <v>0</v>
      </c>
      <c r="Y1355" s="55">
        <f>VLOOKUP($E1355,'NI-Ric_SP'!$C:$AN,MID(Y$1,1,2),FALSE)</f>
        <v>0</v>
      </c>
      <c r="Z1355" s="55">
        <f>VLOOKUP($E1355,'NI-Ric_SP'!$C:$AN,MID(Z$1,1,2),FALSE)</f>
        <v>0</v>
      </c>
      <c r="AA1355" s="55">
        <f>VLOOKUP($E1355,'NI-Ric_SP'!$C:$AN,MID(AA$1,1,2),FALSE)</f>
        <v>0</v>
      </c>
      <c r="AB1355" s="55">
        <f>VLOOKUP($E1355,'NI-Ric_SP'!$C:$AN,MID(AB$1,1,2),FALSE)</f>
        <v>0</v>
      </c>
      <c r="AC1355" s="55">
        <f>VLOOKUP($E1355,'NI-Ric_SP'!$C:$AN,MID(AC$1,1,2),FALSE)</f>
        <v>0</v>
      </c>
      <c r="AD1355" s="55">
        <f>VLOOKUP($E1355,'NI-Ric_SP'!$C:$AN,MID(AD$1,1,2),FALSE)</f>
        <v>0</v>
      </c>
      <c r="AE1355" s="55">
        <f>VLOOKUP($E1355,'NI-Ric_SP'!$C:$AN,MID(AE$1,1,2),FALSE)</f>
        <v>0</v>
      </c>
      <c r="AF1355" s="55">
        <f>VLOOKUP($E1355,'NI-Ric_SP'!$C:$AN,MID(AF$1,1,2),FALSE)</f>
        <v>0</v>
      </c>
      <c r="AG1355" s="55">
        <f>VLOOKUP($E1355,'NI-Ric_SP'!$C:$AN,MID(AG$1,1,2),FALSE)</f>
        <v>0</v>
      </c>
      <c r="AH1355" s="55">
        <f>VLOOKUP($E1355,'NI-Ric_SP'!$C:$AN,MID(AH$1,1,2),FALSE)</f>
        <v>0</v>
      </c>
      <c r="AI1355" s="55">
        <f>VLOOKUP($E1355,'NI-Ric_SP'!$C:$AN,MID(AI$1,1,2),FALSE)</f>
        <v>0</v>
      </c>
      <c r="AJ1355" s="55">
        <f>VLOOKUP($E1355,'NI-Ric_SP'!$C:$AN,MID(AJ$1,1,2),FALSE)</f>
        <v>0</v>
      </c>
      <c r="AK1355" s="55">
        <f>VLOOKUP($E1355,'NI-Ric_SP'!$C:$AN,MID(AK$1,1,2),FALSE)</f>
        <v>0</v>
      </c>
      <c r="AL1355" s="55">
        <f>VLOOKUP($E1355,'NI-Ric_SP'!$C:$AN,MID(AL$1,1,2),FALSE)</f>
        <v>0</v>
      </c>
      <c r="AM1355" s="56">
        <f>VLOOKUP($E1355,'NI-Ric_SP'!$C:$AN,MID(AM$1,1,2),FALSE)</f>
        <v>0</v>
      </c>
      <c r="AN1355" s="30" t="str">
        <f t="shared" si="21"/>
        <v>70501060020000</v>
      </c>
    </row>
    <row r="1356" spans="3:40" x14ac:dyDescent="0.25">
      <c r="C1356" s="40"/>
      <c r="D1356" s="101" t="s">
        <v>2419</v>
      </c>
      <c r="E1356" s="101" t="s">
        <v>2420</v>
      </c>
      <c r="F1356" s="102" t="s">
        <v>2750</v>
      </c>
      <c r="G1356" s="96" t="s">
        <v>1608</v>
      </c>
      <c r="H1356" s="52"/>
      <c r="I1356" s="52"/>
      <c r="J1356" s="52"/>
      <c r="K1356" s="59" t="s">
        <v>79</v>
      </c>
      <c r="L1356" s="52"/>
      <c r="M1356" s="52"/>
      <c r="N1356" s="52"/>
      <c r="O1356" s="52"/>
      <c r="P1356" s="117" t="s">
        <v>2421</v>
      </c>
      <c r="Q1356" s="55">
        <f>VLOOKUP(E1356,'NI-Ric_SP'!$C:$AN,12,FALSE)</f>
        <v>0</v>
      </c>
      <c r="R1356" s="55">
        <f>VLOOKUP(E1356,'NI-Ric_SP'!$C:$AN,13,FALSE)</f>
        <v>0</v>
      </c>
      <c r="S1356" s="55">
        <f>VLOOKUP(E1356,'NI-Ric_SP'!$C:$AN,30,FALSE)</f>
        <v>0</v>
      </c>
      <c r="T1356" s="94">
        <f>VLOOKUP(E1356,'NI-Ric_SP'!$C:$AN,31,FALSE)+VLOOKUP(E1356,'NI-Ric_SP'!$C:$AN,32,FALSE)</f>
        <v>0</v>
      </c>
      <c r="U1356" s="55">
        <f>VLOOKUP($E1356,'NI-Ric_SP'!$C:$AN,MID(U$1,1,2),FALSE)</f>
        <v>0</v>
      </c>
      <c r="V1356" s="55">
        <f>VLOOKUP($E1356,'NI-Ric_SP'!$C:$AN,MID(V$1,1,2),FALSE)</f>
        <v>0</v>
      </c>
      <c r="W1356" s="55">
        <f>VLOOKUP($E1356,'NI-Ric_SP'!$C:$AN,MID(W$1,1,2),FALSE)</f>
        <v>0</v>
      </c>
      <c r="X1356" s="55">
        <f>VLOOKUP($E1356,'NI-Ric_SP'!$C:$AN,MID(X$1,1,2),FALSE)</f>
        <v>0</v>
      </c>
      <c r="Y1356" s="55">
        <f>VLOOKUP($E1356,'NI-Ric_SP'!$C:$AN,MID(Y$1,1,2),FALSE)</f>
        <v>0</v>
      </c>
      <c r="Z1356" s="55">
        <f>VLOOKUP($E1356,'NI-Ric_SP'!$C:$AN,MID(Z$1,1,2),FALSE)</f>
        <v>0</v>
      </c>
      <c r="AA1356" s="55">
        <f>VLOOKUP($E1356,'NI-Ric_SP'!$C:$AN,MID(AA$1,1,2),FALSE)</f>
        <v>0</v>
      </c>
      <c r="AB1356" s="55">
        <f>VLOOKUP($E1356,'NI-Ric_SP'!$C:$AN,MID(AB$1,1,2),FALSE)</f>
        <v>0</v>
      </c>
      <c r="AC1356" s="55">
        <f>VLOOKUP($E1356,'NI-Ric_SP'!$C:$AN,MID(AC$1,1,2),FALSE)</f>
        <v>0</v>
      </c>
      <c r="AD1356" s="55">
        <f>VLOOKUP($E1356,'NI-Ric_SP'!$C:$AN,MID(AD$1,1,2),FALSE)</f>
        <v>0</v>
      </c>
      <c r="AE1356" s="55">
        <f>VLOOKUP($E1356,'NI-Ric_SP'!$C:$AN,MID(AE$1,1,2),FALSE)</f>
        <v>0</v>
      </c>
      <c r="AF1356" s="55">
        <f>VLOOKUP($E1356,'NI-Ric_SP'!$C:$AN,MID(AF$1,1,2),FALSE)</f>
        <v>0</v>
      </c>
      <c r="AG1356" s="55">
        <f>VLOOKUP($E1356,'NI-Ric_SP'!$C:$AN,MID(AG$1,1,2),FALSE)</f>
        <v>0</v>
      </c>
      <c r="AH1356" s="55">
        <f>VLOOKUP($E1356,'NI-Ric_SP'!$C:$AN,MID(AH$1,1,2),FALSE)</f>
        <v>0</v>
      </c>
      <c r="AI1356" s="55">
        <f>VLOOKUP($E1356,'NI-Ric_SP'!$C:$AN,MID(AI$1,1,2),FALSE)</f>
        <v>0</v>
      </c>
      <c r="AJ1356" s="55">
        <f>VLOOKUP($E1356,'NI-Ric_SP'!$C:$AN,MID(AJ$1,1,2),FALSE)</f>
        <v>0</v>
      </c>
      <c r="AK1356" s="55">
        <f>VLOOKUP($E1356,'NI-Ric_SP'!$C:$AN,MID(AK$1,1,2),FALSE)</f>
        <v>0</v>
      </c>
      <c r="AL1356" s="55">
        <f>VLOOKUP($E1356,'NI-Ric_SP'!$C:$AN,MID(AL$1,1,2),FALSE)</f>
        <v>0</v>
      </c>
      <c r="AM1356" s="56">
        <f>VLOOKUP($E1356,'NI-Ric_SP'!$C:$AN,MID(AM$1,1,2),FALSE)</f>
        <v>0</v>
      </c>
      <c r="AN1356" s="30" t="str">
        <f t="shared" si="21"/>
        <v>70501060030000</v>
      </c>
    </row>
    <row r="1357" spans="3:40" x14ac:dyDescent="0.25">
      <c r="C1357" s="40"/>
      <c r="D1357" s="101" t="s">
        <v>2422</v>
      </c>
      <c r="E1357" s="101" t="s">
        <v>2423</v>
      </c>
      <c r="F1357" s="102" t="s">
        <v>2750</v>
      </c>
      <c r="G1357" s="96" t="s">
        <v>1608</v>
      </c>
      <c r="H1357" s="52"/>
      <c r="I1357" s="52"/>
      <c r="J1357" s="52"/>
      <c r="K1357" s="59" t="s">
        <v>79</v>
      </c>
      <c r="L1357" s="52"/>
      <c r="M1357" s="52"/>
      <c r="N1357" s="52"/>
      <c r="O1357" s="52"/>
      <c r="P1357" s="117" t="s">
        <v>2424</v>
      </c>
      <c r="Q1357" s="55">
        <f>VLOOKUP(E1357,'NI-Ric_SP'!$C:$AN,12,FALSE)</f>
        <v>0</v>
      </c>
      <c r="R1357" s="55">
        <f>VLOOKUP(E1357,'NI-Ric_SP'!$C:$AN,13,FALSE)</f>
        <v>0</v>
      </c>
      <c r="S1357" s="55">
        <f>VLOOKUP(E1357,'NI-Ric_SP'!$C:$AN,30,FALSE)</f>
        <v>0</v>
      </c>
      <c r="T1357" s="94">
        <f>VLOOKUP(E1357,'NI-Ric_SP'!$C:$AN,31,FALSE)+VLOOKUP(E1357,'NI-Ric_SP'!$C:$AN,32,FALSE)</f>
        <v>0</v>
      </c>
      <c r="U1357" s="55">
        <f>VLOOKUP($E1357,'NI-Ric_SP'!$C:$AN,MID(U$1,1,2),FALSE)</f>
        <v>0</v>
      </c>
      <c r="V1357" s="55">
        <f>VLOOKUP($E1357,'NI-Ric_SP'!$C:$AN,MID(V$1,1,2),FALSE)</f>
        <v>0</v>
      </c>
      <c r="W1357" s="55">
        <f>VLOOKUP($E1357,'NI-Ric_SP'!$C:$AN,MID(W$1,1,2),FALSE)</f>
        <v>0</v>
      </c>
      <c r="X1357" s="55">
        <f>VLOOKUP($E1357,'NI-Ric_SP'!$C:$AN,MID(X$1,1,2),FALSE)</f>
        <v>0</v>
      </c>
      <c r="Y1357" s="55">
        <f>VLOOKUP($E1357,'NI-Ric_SP'!$C:$AN,MID(Y$1,1,2),FALSE)</f>
        <v>0</v>
      </c>
      <c r="Z1357" s="55">
        <f>VLOOKUP($E1357,'NI-Ric_SP'!$C:$AN,MID(Z$1,1,2),FALSE)</f>
        <v>0</v>
      </c>
      <c r="AA1357" s="55">
        <f>VLOOKUP($E1357,'NI-Ric_SP'!$C:$AN,MID(AA$1,1,2),FALSE)</f>
        <v>0</v>
      </c>
      <c r="AB1357" s="55">
        <f>VLOOKUP($E1357,'NI-Ric_SP'!$C:$AN,MID(AB$1,1,2),FALSE)</f>
        <v>0</v>
      </c>
      <c r="AC1357" s="55">
        <f>VLOOKUP($E1357,'NI-Ric_SP'!$C:$AN,MID(AC$1,1,2),FALSE)</f>
        <v>0</v>
      </c>
      <c r="AD1357" s="55">
        <f>VLOOKUP($E1357,'NI-Ric_SP'!$C:$AN,MID(AD$1,1,2),FALSE)</f>
        <v>0</v>
      </c>
      <c r="AE1357" s="55">
        <f>VLOOKUP($E1357,'NI-Ric_SP'!$C:$AN,MID(AE$1,1,2),FALSE)</f>
        <v>0</v>
      </c>
      <c r="AF1357" s="55">
        <f>VLOOKUP($E1357,'NI-Ric_SP'!$C:$AN,MID(AF$1,1,2),FALSE)</f>
        <v>0</v>
      </c>
      <c r="AG1357" s="55">
        <f>VLOOKUP($E1357,'NI-Ric_SP'!$C:$AN,MID(AG$1,1,2),FALSE)</f>
        <v>0</v>
      </c>
      <c r="AH1357" s="55">
        <f>VLOOKUP($E1357,'NI-Ric_SP'!$C:$AN,MID(AH$1,1,2),FALSE)</f>
        <v>0</v>
      </c>
      <c r="AI1357" s="55">
        <f>VLOOKUP($E1357,'NI-Ric_SP'!$C:$AN,MID(AI$1,1,2),FALSE)</f>
        <v>0</v>
      </c>
      <c r="AJ1357" s="55">
        <f>VLOOKUP($E1357,'NI-Ric_SP'!$C:$AN,MID(AJ$1,1,2),FALSE)</f>
        <v>0</v>
      </c>
      <c r="AK1357" s="55">
        <f>VLOOKUP($E1357,'NI-Ric_SP'!$C:$AN,MID(AK$1,1,2),FALSE)</f>
        <v>0</v>
      </c>
      <c r="AL1357" s="55">
        <f>VLOOKUP($E1357,'NI-Ric_SP'!$C:$AN,MID(AL$1,1,2),FALSE)</f>
        <v>0</v>
      </c>
      <c r="AM1357" s="56">
        <f>VLOOKUP($E1357,'NI-Ric_SP'!$C:$AN,MID(AM$1,1,2),FALSE)</f>
        <v>0</v>
      </c>
      <c r="AN1357" s="30" t="str">
        <f t="shared" si="21"/>
        <v>70501060040000</v>
      </c>
    </row>
    <row r="1358" spans="3:40" x14ac:dyDescent="0.25">
      <c r="C1358" s="40"/>
      <c r="D1358" s="101" t="s">
        <v>2425</v>
      </c>
      <c r="E1358" s="101" t="s">
        <v>2426</v>
      </c>
      <c r="F1358" s="102" t="s">
        <v>2750</v>
      </c>
      <c r="G1358" s="96" t="s">
        <v>1608</v>
      </c>
      <c r="H1358" s="52"/>
      <c r="I1358" s="52"/>
      <c r="J1358" s="52"/>
      <c r="K1358" s="59" t="s">
        <v>79</v>
      </c>
      <c r="L1358" s="52"/>
      <c r="M1358" s="52"/>
      <c r="N1358" s="52"/>
      <c r="O1358" s="52"/>
      <c r="P1358" s="117" t="s">
        <v>2427</v>
      </c>
      <c r="Q1358" s="55">
        <f>VLOOKUP(E1358,'NI-Ric_SP'!$C:$AN,12,FALSE)</f>
        <v>0</v>
      </c>
      <c r="R1358" s="55">
        <f>VLOOKUP(E1358,'NI-Ric_SP'!$C:$AN,13,FALSE)</f>
        <v>0</v>
      </c>
      <c r="S1358" s="55">
        <f>VLOOKUP(E1358,'NI-Ric_SP'!$C:$AN,30,FALSE)</f>
        <v>0</v>
      </c>
      <c r="T1358" s="94">
        <f>VLOOKUP(E1358,'NI-Ric_SP'!$C:$AN,31,FALSE)+VLOOKUP(E1358,'NI-Ric_SP'!$C:$AN,32,FALSE)</f>
        <v>0</v>
      </c>
      <c r="U1358" s="55">
        <f>VLOOKUP($E1358,'NI-Ric_SP'!$C:$AN,MID(U$1,1,2),FALSE)</f>
        <v>0</v>
      </c>
      <c r="V1358" s="55">
        <f>VLOOKUP($E1358,'NI-Ric_SP'!$C:$AN,MID(V$1,1,2),FALSE)</f>
        <v>0</v>
      </c>
      <c r="W1358" s="55">
        <f>VLOOKUP($E1358,'NI-Ric_SP'!$C:$AN,MID(W$1,1,2),FALSE)</f>
        <v>0</v>
      </c>
      <c r="X1358" s="55">
        <f>VLOOKUP($E1358,'NI-Ric_SP'!$C:$AN,MID(X$1,1,2),FALSE)</f>
        <v>0</v>
      </c>
      <c r="Y1358" s="55">
        <f>VLOOKUP($E1358,'NI-Ric_SP'!$C:$AN,MID(Y$1,1,2),FALSE)</f>
        <v>0</v>
      </c>
      <c r="Z1358" s="55">
        <f>VLOOKUP($E1358,'NI-Ric_SP'!$C:$AN,MID(Z$1,1,2),FALSE)</f>
        <v>0</v>
      </c>
      <c r="AA1358" s="55">
        <f>VLOOKUP($E1358,'NI-Ric_SP'!$C:$AN,MID(AA$1,1,2),FALSE)</f>
        <v>0</v>
      </c>
      <c r="AB1358" s="55">
        <f>VLOOKUP($E1358,'NI-Ric_SP'!$C:$AN,MID(AB$1,1,2),FALSE)</f>
        <v>0</v>
      </c>
      <c r="AC1358" s="55">
        <f>VLOOKUP($E1358,'NI-Ric_SP'!$C:$AN,MID(AC$1,1,2),FALSE)</f>
        <v>0</v>
      </c>
      <c r="AD1358" s="55">
        <f>VLOOKUP($E1358,'NI-Ric_SP'!$C:$AN,MID(AD$1,1,2),FALSE)</f>
        <v>0</v>
      </c>
      <c r="AE1358" s="55">
        <f>VLOOKUP($E1358,'NI-Ric_SP'!$C:$AN,MID(AE$1,1,2),FALSE)</f>
        <v>0</v>
      </c>
      <c r="AF1358" s="55">
        <f>VLOOKUP($E1358,'NI-Ric_SP'!$C:$AN,MID(AF$1,1,2),FALSE)</f>
        <v>0</v>
      </c>
      <c r="AG1358" s="55">
        <f>VLOOKUP($E1358,'NI-Ric_SP'!$C:$AN,MID(AG$1,1,2),FALSE)</f>
        <v>0</v>
      </c>
      <c r="AH1358" s="55">
        <f>VLOOKUP($E1358,'NI-Ric_SP'!$C:$AN,MID(AH$1,1,2),FALSE)</f>
        <v>0</v>
      </c>
      <c r="AI1358" s="55">
        <f>VLOOKUP($E1358,'NI-Ric_SP'!$C:$AN,MID(AI$1,1,2),FALSE)</f>
        <v>0</v>
      </c>
      <c r="AJ1358" s="55">
        <f>VLOOKUP($E1358,'NI-Ric_SP'!$C:$AN,MID(AJ$1,1,2),FALSE)</f>
        <v>0</v>
      </c>
      <c r="AK1358" s="55">
        <f>VLOOKUP($E1358,'NI-Ric_SP'!$C:$AN,MID(AK$1,1,2),FALSE)</f>
        <v>0</v>
      </c>
      <c r="AL1358" s="55">
        <f>VLOOKUP($E1358,'NI-Ric_SP'!$C:$AN,MID(AL$1,1,2),FALSE)</f>
        <v>0</v>
      </c>
      <c r="AM1358" s="56">
        <f>VLOOKUP($E1358,'NI-Ric_SP'!$C:$AN,MID(AM$1,1,2),FALSE)</f>
        <v>0</v>
      </c>
      <c r="AN1358" s="30" t="str">
        <f t="shared" si="21"/>
        <v>70501060050000</v>
      </c>
    </row>
    <row r="1359" spans="3:40" x14ac:dyDescent="0.25">
      <c r="C1359" s="40"/>
      <c r="D1359" s="101" t="s">
        <v>2428</v>
      </c>
      <c r="E1359" s="101" t="s">
        <v>2429</v>
      </c>
      <c r="F1359" s="102" t="s">
        <v>2750</v>
      </c>
      <c r="G1359" s="96" t="s">
        <v>1608</v>
      </c>
      <c r="H1359" s="52"/>
      <c r="I1359" s="118" t="s">
        <v>2410</v>
      </c>
      <c r="J1359" s="52" t="s">
        <v>2410</v>
      </c>
      <c r="K1359" s="59" t="s">
        <v>79</v>
      </c>
      <c r="L1359" s="52"/>
      <c r="M1359" s="52"/>
      <c r="N1359" s="52"/>
      <c r="O1359" s="61" t="s">
        <v>2430</v>
      </c>
      <c r="P1359" s="76" t="s">
        <v>2431</v>
      </c>
      <c r="Q1359" s="55">
        <f>VLOOKUP(E1359,'NI-Ric_SP'!$C:$AN,12,FALSE)</f>
        <v>0</v>
      </c>
      <c r="R1359" s="55">
        <f>VLOOKUP(E1359,'NI-Ric_SP'!$C:$AN,13,FALSE)</f>
        <v>0</v>
      </c>
      <c r="S1359" s="55">
        <f>VLOOKUP(E1359,'NI-Ric_SP'!$C:$AN,30,FALSE)</f>
        <v>0</v>
      </c>
      <c r="T1359" s="94">
        <f>VLOOKUP(E1359,'NI-Ric_SP'!$C:$AN,31,FALSE)+VLOOKUP(E1359,'NI-Ric_SP'!$C:$AN,32,FALSE)</f>
        <v>0</v>
      </c>
      <c r="U1359" s="55">
        <f>VLOOKUP($E1359,'NI-Ric_SP'!$C:$AN,MID(U$1,1,2),FALSE)</f>
        <v>0</v>
      </c>
      <c r="V1359" s="55">
        <f>VLOOKUP($E1359,'NI-Ric_SP'!$C:$AN,MID(V$1,1,2),FALSE)</f>
        <v>0</v>
      </c>
      <c r="W1359" s="55">
        <f>VLOOKUP($E1359,'NI-Ric_SP'!$C:$AN,MID(W$1,1,2),FALSE)</f>
        <v>0</v>
      </c>
      <c r="X1359" s="55">
        <f>VLOOKUP($E1359,'NI-Ric_SP'!$C:$AN,MID(X$1,1,2),FALSE)</f>
        <v>0</v>
      </c>
      <c r="Y1359" s="55">
        <f>VLOOKUP($E1359,'NI-Ric_SP'!$C:$AN,MID(Y$1,1,2),FALSE)</f>
        <v>0</v>
      </c>
      <c r="Z1359" s="55">
        <f>VLOOKUP($E1359,'NI-Ric_SP'!$C:$AN,MID(Z$1,1,2),FALSE)</f>
        <v>0</v>
      </c>
      <c r="AA1359" s="55">
        <f>VLOOKUP($E1359,'NI-Ric_SP'!$C:$AN,MID(AA$1,1,2),FALSE)</f>
        <v>0</v>
      </c>
      <c r="AB1359" s="55">
        <f>VLOOKUP($E1359,'NI-Ric_SP'!$C:$AN,MID(AB$1,1,2),FALSE)</f>
        <v>0</v>
      </c>
      <c r="AC1359" s="55">
        <f>VLOOKUP($E1359,'NI-Ric_SP'!$C:$AN,MID(AC$1,1,2),FALSE)</f>
        <v>0</v>
      </c>
      <c r="AD1359" s="55">
        <f>VLOOKUP($E1359,'NI-Ric_SP'!$C:$AN,MID(AD$1,1,2),FALSE)</f>
        <v>0</v>
      </c>
      <c r="AE1359" s="55">
        <f>VLOOKUP($E1359,'NI-Ric_SP'!$C:$AN,MID(AE$1,1,2),FALSE)</f>
        <v>0</v>
      </c>
      <c r="AF1359" s="55">
        <f>VLOOKUP($E1359,'NI-Ric_SP'!$C:$AN,MID(AF$1,1,2),FALSE)</f>
        <v>0</v>
      </c>
      <c r="AG1359" s="55">
        <f>VLOOKUP($E1359,'NI-Ric_SP'!$C:$AN,MID(AG$1,1,2),FALSE)</f>
        <v>0</v>
      </c>
      <c r="AH1359" s="55">
        <f>VLOOKUP($E1359,'NI-Ric_SP'!$C:$AN,MID(AH$1,1,2),FALSE)</f>
        <v>0</v>
      </c>
      <c r="AI1359" s="55">
        <f>VLOOKUP($E1359,'NI-Ric_SP'!$C:$AN,MID(AI$1,1,2),FALSE)</f>
        <v>0</v>
      </c>
      <c r="AJ1359" s="55">
        <f>VLOOKUP($E1359,'NI-Ric_SP'!$C:$AN,MID(AJ$1,1,2),FALSE)</f>
        <v>0</v>
      </c>
      <c r="AK1359" s="55">
        <f>VLOOKUP($E1359,'NI-Ric_SP'!$C:$AN,MID(AK$1,1,2),FALSE)</f>
        <v>0</v>
      </c>
      <c r="AL1359" s="55">
        <f>VLOOKUP($E1359,'NI-Ric_SP'!$C:$AN,MID(AL$1,1,2),FALSE)</f>
        <v>0</v>
      </c>
      <c r="AM1359" s="56">
        <f>VLOOKUP($E1359,'NI-Ric_SP'!$C:$AN,MID(AM$1,1,2),FALSE)</f>
        <v>0</v>
      </c>
      <c r="AN1359" s="30" t="str">
        <f t="shared" si="21"/>
        <v>70501060060000</v>
      </c>
    </row>
    <row r="1360" spans="3:40" x14ac:dyDescent="0.25">
      <c r="C1360" s="40"/>
      <c r="D1360" s="101" t="s">
        <v>2432</v>
      </c>
      <c r="E1360" s="101" t="s">
        <v>2433</v>
      </c>
      <c r="F1360" s="102" t="s">
        <v>2750</v>
      </c>
      <c r="G1360" s="96" t="s">
        <v>1608</v>
      </c>
      <c r="H1360" s="52"/>
      <c r="I1360" s="118" t="s">
        <v>2410</v>
      </c>
      <c r="J1360" s="52" t="s">
        <v>2410</v>
      </c>
      <c r="K1360" s="59" t="s">
        <v>79</v>
      </c>
      <c r="L1360" s="52"/>
      <c r="M1360" s="52"/>
      <c r="N1360" s="52"/>
      <c r="O1360" s="61" t="s">
        <v>2434</v>
      </c>
      <c r="P1360" s="76" t="s">
        <v>2435</v>
      </c>
      <c r="Q1360" s="55">
        <f>VLOOKUP(E1360,'NI-Ric_SP'!$C:$AN,12,FALSE)</f>
        <v>0</v>
      </c>
      <c r="R1360" s="55">
        <f>VLOOKUP(E1360,'NI-Ric_SP'!$C:$AN,13,FALSE)</f>
        <v>0</v>
      </c>
      <c r="S1360" s="55">
        <f>VLOOKUP(E1360,'NI-Ric_SP'!$C:$AN,30,FALSE)</f>
        <v>0</v>
      </c>
      <c r="T1360" s="94">
        <f>VLOOKUP(E1360,'NI-Ric_SP'!$C:$AN,31,FALSE)+VLOOKUP(E1360,'NI-Ric_SP'!$C:$AN,32,FALSE)</f>
        <v>0</v>
      </c>
      <c r="U1360" s="55">
        <f>VLOOKUP($E1360,'NI-Ric_SP'!$C:$AN,MID(U$1,1,2),FALSE)</f>
        <v>0</v>
      </c>
      <c r="V1360" s="55">
        <f>VLOOKUP($E1360,'NI-Ric_SP'!$C:$AN,MID(V$1,1,2),FALSE)</f>
        <v>0</v>
      </c>
      <c r="W1360" s="55">
        <f>VLOOKUP($E1360,'NI-Ric_SP'!$C:$AN,MID(W$1,1,2),FALSE)</f>
        <v>0</v>
      </c>
      <c r="X1360" s="55">
        <f>VLOOKUP($E1360,'NI-Ric_SP'!$C:$AN,MID(X$1,1,2),FALSE)</f>
        <v>0</v>
      </c>
      <c r="Y1360" s="55">
        <f>VLOOKUP($E1360,'NI-Ric_SP'!$C:$AN,MID(Y$1,1,2),FALSE)</f>
        <v>0</v>
      </c>
      <c r="Z1360" s="55">
        <f>VLOOKUP($E1360,'NI-Ric_SP'!$C:$AN,MID(Z$1,1,2),FALSE)</f>
        <v>0</v>
      </c>
      <c r="AA1360" s="55">
        <f>VLOOKUP($E1360,'NI-Ric_SP'!$C:$AN,MID(AA$1,1,2),FALSE)</f>
        <v>0</v>
      </c>
      <c r="AB1360" s="55">
        <f>VLOOKUP($E1360,'NI-Ric_SP'!$C:$AN,MID(AB$1,1,2),FALSE)</f>
        <v>0</v>
      </c>
      <c r="AC1360" s="55">
        <f>VLOOKUP($E1360,'NI-Ric_SP'!$C:$AN,MID(AC$1,1,2),FALSE)</f>
        <v>0</v>
      </c>
      <c r="AD1360" s="55">
        <f>VLOOKUP($E1360,'NI-Ric_SP'!$C:$AN,MID(AD$1,1,2),FALSE)</f>
        <v>0</v>
      </c>
      <c r="AE1360" s="55">
        <f>VLOOKUP($E1360,'NI-Ric_SP'!$C:$AN,MID(AE$1,1,2),FALSE)</f>
        <v>0</v>
      </c>
      <c r="AF1360" s="55">
        <f>VLOOKUP($E1360,'NI-Ric_SP'!$C:$AN,MID(AF$1,1,2),FALSE)</f>
        <v>0</v>
      </c>
      <c r="AG1360" s="55">
        <f>VLOOKUP($E1360,'NI-Ric_SP'!$C:$AN,MID(AG$1,1,2),FALSE)</f>
        <v>0</v>
      </c>
      <c r="AH1360" s="55">
        <f>VLOOKUP($E1360,'NI-Ric_SP'!$C:$AN,MID(AH$1,1,2),FALSE)</f>
        <v>0</v>
      </c>
      <c r="AI1360" s="55">
        <f>VLOOKUP($E1360,'NI-Ric_SP'!$C:$AN,MID(AI$1,1,2),FALSE)</f>
        <v>0</v>
      </c>
      <c r="AJ1360" s="55">
        <f>VLOOKUP($E1360,'NI-Ric_SP'!$C:$AN,MID(AJ$1,1,2),FALSE)</f>
        <v>0</v>
      </c>
      <c r="AK1360" s="55">
        <f>VLOOKUP($E1360,'NI-Ric_SP'!$C:$AN,MID(AK$1,1,2),FALSE)</f>
        <v>0</v>
      </c>
      <c r="AL1360" s="55">
        <f>VLOOKUP($E1360,'NI-Ric_SP'!$C:$AN,MID(AL$1,1,2),FALSE)</f>
        <v>0</v>
      </c>
      <c r="AM1360" s="56">
        <f>VLOOKUP($E1360,'NI-Ric_SP'!$C:$AN,MID(AM$1,1,2),FALSE)</f>
        <v>0</v>
      </c>
      <c r="AN1360" s="30" t="str">
        <f t="shared" si="21"/>
        <v>70501060070000</v>
      </c>
    </row>
    <row r="1361" spans="1:40" x14ac:dyDescent="0.25">
      <c r="A1361" s="30" t="s">
        <v>1394</v>
      </c>
      <c r="C1361" s="40"/>
      <c r="D1361" s="98" t="s">
        <v>2436</v>
      </c>
      <c r="E1361" s="98" t="s">
        <v>2437</v>
      </c>
      <c r="F1361" s="102" t="s">
        <v>2750</v>
      </c>
      <c r="H1361" s="52"/>
      <c r="I1361" s="52"/>
      <c r="J1361" s="52" t="s">
        <v>2438</v>
      </c>
      <c r="K1361" s="59" t="s">
        <v>79</v>
      </c>
      <c r="L1361" s="52"/>
      <c r="M1361" s="52"/>
      <c r="N1361" s="52"/>
      <c r="O1361" s="61" t="s">
        <v>2434</v>
      </c>
      <c r="P1361" s="79" t="s">
        <v>2439</v>
      </c>
      <c r="Q1361" s="55">
        <f>VLOOKUP(E1361,'NI-Ric_SP'!$C:$AN,12,FALSE)</f>
        <v>0</v>
      </c>
      <c r="R1361" s="55">
        <f>VLOOKUP(E1361,'NI-Ric_SP'!$C:$AN,13,FALSE)</f>
        <v>0</v>
      </c>
      <c r="S1361" s="55">
        <f>VLOOKUP(E1361,'NI-Ric_SP'!$C:$AN,30,FALSE)</f>
        <v>0</v>
      </c>
      <c r="T1361" s="94">
        <f>VLOOKUP(E1361,'NI-Ric_SP'!$C:$AN,31,FALSE)+VLOOKUP(E1361,'NI-Ric_SP'!$C:$AN,32,FALSE)</f>
        <v>0</v>
      </c>
      <c r="U1361" s="55">
        <f>VLOOKUP($E1361,'NI-Ric_SP'!$C:$AN,MID(U$1,1,2),FALSE)</f>
        <v>0</v>
      </c>
      <c r="V1361" s="55">
        <f>VLOOKUP($E1361,'NI-Ric_SP'!$C:$AN,MID(V$1,1,2),FALSE)</f>
        <v>0</v>
      </c>
      <c r="W1361" s="55">
        <f>VLOOKUP($E1361,'NI-Ric_SP'!$C:$AN,MID(W$1,1,2),FALSE)</f>
        <v>0</v>
      </c>
      <c r="X1361" s="55">
        <f>VLOOKUP($E1361,'NI-Ric_SP'!$C:$AN,MID(X$1,1,2),FALSE)</f>
        <v>0</v>
      </c>
      <c r="Y1361" s="55">
        <f>VLOOKUP($E1361,'NI-Ric_SP'!$C:$AN,MID(Y$1,1,2),FALSE)</f>
        <v>0</v>
      </c>
      <c r="Z1361" s="55">
        <f>VLOOKUP($E1361,'NI-Ric_SP'!$C:$AN,MID(Z$1,1,2),FALSE)</f>
        <v>0</v>
      </c>
      <c r="AA1361" s="55">
        <f>VLOOKUP($E1361,'NI-Ric_SP'!$C:$AN,MID(AA$1,1,2),FALSE)</f>
        <v>0</v>
      </c>
      <c r="AB1361" s="55">
        <f>VLOOKUP($E1361,'NI-Ric_SP'!$C:$AN,MID(AB$1,1,2),FALSE)</f>
        <v>0</v>
      </c>
      <c r="AC1361" s="55">
        <f>VLOOKUP($E1361,'NI-Ric_SP'!$C:$AN,MID(AC$1,1,2),FALSE)</f>
        <v>0</v>
      </c>
      <c r="AD1361" s="55">
        <f>VLOOKUP($E1361,'NI-Ric_SP'!$C:$AN,MID(AD$1,1,2),FALSE)</f>
        <v>0</v>
      </c>
      <c r="AE1361" s="55">
        <f>VLOOKUP($E1361,'NI-Ric_SP'!$C:$AN,MID(AE$1,1,2),FALSE)</f>
        <v>0</v>
      </c>
      <c r="AF1361" s="55">
        <f>VLOOKUP($E1361,'NI-Ric_SP'!$C:$AN,MID(AF$1,1,2),FALSE)</f>
        <v>0</v>
      </c>
      <c r="AG1361" s="55">
        <f>VLOOKUP($E1361,'NI-Ric_SP'!$C:$AN,MID(AG$1,1,2),FALSE)</f>
        <v>0</v>
      </c>
      <c r="AH1361" s="55">
        <f>VLOOKUP($E1361,'NI-Ric_SP'!$C:$AN,MID(AH$1,1,2),FALSE)</f>
        <v>0</v>
      </c>
      <c r="AI1361" s="55">
        <f>VLOOKUP($E1361,'NI-Ric_SP'!$C:$AN,MID(AI$1,1,2),FALSE)</f>
        <v>0</v>
      </c>
      <c r="AJ1361" s="55">
        <f>VLOOKUP($E1361,'NI-Ric_SP'!$C:$AN,MID(AJ$1,1,2),FALSE)</f>
        <v>0</v>
      </c>
      <c r="AK1361" s="55">
        <f>VLOOKUP($E1361,'NI-Ric_SP'!$C:$AN,MID(AK$1,1,2),FALSE)</f>
        <v>0</v>
      </c>
      <c r="AL1361" s="55">
        <f>VLOOKUP($E1361,'NI-Ric_SP'!$C:$AN,MID(AL$1,1,2),FALSE)</f>
        <v>0</v>
      </c>
      <c r="AM1361" s="56">
        <f>VLOOKUP($E1361,'NI-Ric_SP'!$C:$AN,MID(AM$1,1,2),FALSE)</f>
        <v>0</v>
      </c>
      <c r="AN1361" s="30" t="str">
        <f t="shared" si="21"/>
        <v>70501070000000</v>
      </c>
    </row>
    <row r="1362" spans="1:40" x14ac:dyDescent="0.25">
      <c r="A1362" s="30" t="s">
        <v>1394</v>
      </c>
      <c r="C1362" s="40"/>
      <c r="D1362" s="98" t="s">
        <v>2440</v>
      </c>
      <c r="E1362" s="98" t="s">
        <v>2441</v>
      </c>
      <c r="F1362" s="102" t="s">
        <v>2750</v>
      </c>
      <c r="H1362" s="52"/>
      <c r="I1362" s="52"/>
      <c r="J1362" s="52" t="s">
        <v>2442</v>
      </c>
      <c r="K1362" s="59" t="s">
        <v>79</v>
      </c>
      <c r="L1362" s="52"/>
      <c r="M1362" s="52"/>
      <c r="N1362" s="52"/>
      <c r="O1362" s="61" t="s">
        <v>2434</v>
      </c>
      <c r="P1362" s="79" t="s">
        <v>2443</v>
      </c>
      <c r="Q1362" s="55">
        <f>VLOOKUP(E1362,'NI-Ric_SP'!$C:$AN,12,FALSE)</f>
        <v>0</v>
      </c>
      <c r="R1362" s="55">
        <f>VLOOKUP(E1362,'NI-Ric_SP'!$C:$AN,13,FALSE)</f>
        <v>0</v>
      </c>
      <c r="S1362" s="55">
        <f>VLOOKUP(E1362,'NI-Ric_SP'!$C:$AN,30,FALSE)</f>
        <v>0</v>
      </c>
      <c r="T1362" s="94">
        <f>VLOOKUP(E1362,'NI-Ric_SP'!$C:$AN,31,FALSE)+VLOOKUP(E1362,'NI-Ric_SP'!$C:$AN,32,FALSE)</f>
        <v>0</v>
      </c>
      <c r="U1362" s="55">
        <f>VLOOKUP($E1362,'NI-Ric_SP'!$C:$AN,MID(U$1,1,2),FALSE)</f>
        <v>0</v>
      </c>
      <c r="V1362" s="55">
        <f>VLOOKUP($E1362,'NI-Ric_SP'!$C:$AN,MID(V$1,1,2),FALSE)</f>
        <v>0</v>
      </c>
      <c r="W1362" s="55">
        <f>VLOOKUP($E1362,'NI-Ric_SP'!$C:$AN,MID(W$1,1,2),FALSE)</f>
        <v>0</v>
      </c>
      <c r="X1362" s="55">
        <f>VLOOKUP($E1362,'NI-Ric_SP'!$C:$AN,MID(X$1,1,2),FALSE)</f>
        <v>0</v>
      </c>
      <c r="Y1362" s="55">
        <f>VLOOKUP($E1362,'NI-Ric_SP'!$C:$AN,MID(Y$1,1,2),FALSE)</f>
        <v>0</v>
      </c>
      <c r="Z1362" s="55">
        <f>VLOOKUP($E1362,'NI-Ric_SP'!$C:$AN,MID(Z$1,1,2),FALSE)</f>
        <v>0</v>
      </c>
      <c r="AA1362" s="55">
        <f>VLOOKUP($E1362,'NI-Ric_SP'!$C:$AN,MID(AA$1,1,2),FALSE)</f>
        <v>0</v>
      </c>
      <c r="AB1362" s="55">
        <f>VLOOKUP($E1362,'NI-Ric_SP'!$C:$AN,MID(AB$1,1,2),FALSE)</f>
        <v>0</v>
      </c>
      <c r="AC1362" s="55">
        <f>VLOOKUP($E1362,'NI-Ric_SP'!$C:$AN,MID(AC$1,1,2),FALSE)</f>
        <v>0</v>
      </c>
      <c r="AD1362" s="55">
        <f>VLOOKUP($E1362,'NI-Ric_SP'!$C:$AN,MID(AD$1,1,2),FALSE)</f>
        <v>0</v>
      </c>
      <c r="AE1362" s="55">
        <f>VLOOKUP($E1362,'NI-Ric_SP'!$C:$AN,MID(AE$1,1,2),FALSE)</f>
        <v>0</v>
      </c>
      <c r="AF1362" s="55">
        <f>VLOOKUP($E1362,'NI-Ric_SP'!$C:$AN,MID(AF$1,1,2),FALSE)</f>
        <v>0</v>
      </c>
      <c r="AG1362" s="55">
        <f>VLOOKUP($E1362,'NI-Ric_SP'!$C:$AN,MID(AG$1,1,2),FALSE)</f>
        <v>0</v>
      </c>
      <c r="AH1362" s="55">
        <f>VLOOKUP($E1362,'NI-Ric_SP'!$C:$AN,MID(AH$1,1,2),FALSE)</f>
        <v>0</v>
      </c>
      <c r="AI1362" s="55">
        <f>VLOOKUP($E1362,'NI-Ric_SP'!$C:$AN,MID(AI$1,1,2),FALSE)</f>
        <v>0</v>
      </c>
      <c r="AJ1362" s="55">
        <f>VLOOKUP($E1362,'NI-Ric_SP'!$C:$AN,MID(AJ$1,1,2),FALSE)</f>
        <v>0</v>
      </c>
      <c r="AK1362" s="55">
        <f>VLOOKUP($E1362,'NI-Ric_SP'!$C:$AN,MID(AK$1,1,2),FALSE)</f>
        <v>0</v>
      </c>
      <c r="AL1362" s="55">
        <f>VLOOKUP($E1362,'NI-Ric_SP'!$C:$AN,MID(AL$1,1,2),FALSE)</f>
        <v>0</v>
      </c>
      <c r="AM1362" s="56">
        <f>VLOOKUP($E1362,'NI-Ric_SP'!$C:$AN,MID(AM$1,1,2),FALSE)</f>
        <v>0</v>
      </c>
      <c r="AN1362" s="30" t="str">
        <f t="shared" si="21"/>
        <v>70501080010000</v>
      </c>
    </row>
    <row r="1363" spans="1:40" x14ac:dyDescent="0.25">
      <c r="A1363" s="30" t="s">
        <v>1394</v>
      </c>
      <c r="C1363" s="40"/>
      <c r="D1363" s="98" t="s">
        <v>2444</v>
      </c>
      <c r="E1363" s="98" t="s">
        <v>2445</v>
      </c>
      <c r="F1363" s="102" t="s">
        <v>2750</v>
      </c>
      <c r="H1363" s="52"/>
      <c r="I1363" s="52"/>
      <c r="J1363" s="52" t="s">
        <v>2442</v>
      </c>
      <c r="K1363" s="59" t="s">
        <v>79</v>
      </c>
      <c r="L1363" s="52"/>
      <c r="M1363" s="52"/>
      <c r="N1363" s="52"/>
      <c r="O1363" s="61" t="s">
        <v>2434</v>
      </c>
      <c r="P1363" s="79" t="s">
        <v>2446</v>
      </c>
      <c r="Q1363" s="55">
        <f>VLOOKUP(E1363,'NI-Ric_SP'!$C:$AN,12,FALSE)</f>
        <v>0</v>
      </c>
      <c r="R1363" s="55">
        <f>VLOOKUP(E1363,'NI-Ric_SP'!$C:$AN,13,FALSE)</f>
        <v>0</v>
      </c>
      <c r="S1363" s="55">
        <f>VLOOKUP(E1363,'NI-Ric_SP'!$C:$AN,30,FALSE)</f>
        <v>0</v>
      </c>
      <c r="T1363" s="94">
        <f>VLOOKUP(E1363,'NI-Ric_SP'!$C:$AN,31,FALSE)+VLOOKUP(E1363,'NI-Ric_SP'!$C:$AN,32,FALSE)</f>
        <v>0</v>
      </c>
      <c r="U1363" s="55">
        <f>VLOOKUP($E1363,'NI-Ric_SP'!$C:$AN,MID(U$1,1,2),FALSE)</f>
        <v>0</v>
      </c>
      <c r="V1363" s="55">
        <f>VLOOKUP($E1363,'NI-Ric_SP'!$C:$AN,MID(V$1,1,2),FALSE)</f>
        <v>0</v>
      </c>
      <c r="W1363" s="55">
        <f>VLOOKUP($E1363,'NI-Ric_SP'!$C:$AN,MID(W$1,1,2),FALSE)</f>
        <v>0</v>
      </c>
      <c r="X1363" s="55">
        <f>VLOOKUP($E1363,'NI-Ric_SP'!$C:$AN,MID(X$1,1,2),FALSE)</f>
        <v>0</v>
      </c>
      <c r="Y1363" s="55">
        <f>VLOOKUP($E1363,'NI-Ric_SP'!$C:$AN,MID(Y$1,1,2),FALSE)</f>
        <v>0</v>
      </c>
      <c r="Z1363" s="55">
        <f>VLOOKUP($E1363,'NI-Ric_SP'!$C:$AN,MID(Z$1,1,2),FALSE)</f>
        <v>0</v>
      </c>
      <c r="AA1363" s="55">
        <f>VLOOKUP($E1363,'NI-Ric_SP'!$C:$AN,MID(AA$1,1,2),FALSE)</f>
        <v>0</v>
      </c>
      <c r="AB1363" s="55">
        <f>VLOOKUP($E1363,'NI-Ric_SP'!$C:$AN,MID(AB$1,1,2),FALSE)</f>
        <v>0</v>
      </c>
      <c r="AC1363" s="55">
        <f>VLOOKUP($E1363,'NI-Ric_SP'!$C:$AN,MID(AC$1,1,2),FALSE)</f>
        <v>0</v>
      </c>
      <c r="AD1363" s="55">
        <f>VLOOKUP($E1363,'NI-Ric_SP'!$C:$AN,MID(AD$1,1,2),FALSE)</f>
        <v>0</v>
      </c>
      <c r="AE1363" s="55">
        <f>VLOOKUP($E1363,'NI-Ric_SP'!$C:$AN,MID(AE$1,1,2),FALSE)</f>
        <v>0</v>
      </c>
      <c r="AF1363" s="55">
        <f>VLOOKUP($E1363,'NI-Ric_SP'!$C:$AN,MID(AF$1,1,2),FALSE)</f>
        <v>0</v>
      </c>
      <c r="AG1363" s="55">
        <f>VLOOKUP($E1363,'NI-Ric_SP'!$C:$AN,MID(AG$1,1,2),FALSE)</f>
        <v>0</v>
      </c>
      <c r="AH1363" s="55">
        <f>VLOOKUP($E1363,'NI-Ric_SP'!$C:$AN,MID(AH$1,1,2),FALSE)</f>
        <v>0</v>
      </c>
      <c r="AI1363" s="55">
        <f>VLOOKUP($E1363,'NI-Ric_SP'!$C:$AN,MID(AI$1,1,2),FALSE)</f>
        <v>0</v>
      </c>
      <c r="AJ1363" s="55">
        <f>VLOOKUP($E1363,'NI-Ric_SP'!$C:$AN,MID(AJ$1,1,2),FALSE)</f>
        <v>0</v>
      </c>
      <c r="AK1363" s="55">
        <f>VLOOKUP($E1363,'NI-Ric_SP'!$C:$AN,MID(AK$1,1,2),FALSE)</f>
        <v>0</v>
      </c>
      <c r="AL1363" s="55">
        <f>VLOOKUP($E1363,'NI-Ric_SP'!$C:$AN,MID(AL$1,1,2),FALSE)</f>
        <v>0</v>
      </c>
      <c r="AM1363" s="56">
        <f>VLOOKUP($E1363,'NI-Ric_SP'!$C:$AN,MID(AM$1,1,2),FALSE)</f>
        <v>0</v>
      </c>
      <c r="AN1363" s="30" t="str">
        <f t="shared" si="21"/>
        <v>70501080020000</v>
      </c>
    </row>
    <row r="1364" spans="1:40" x14ac:dyDescent="0.25">
      <c r="A1364" s="30" t="s">
        <v>1394</v>
      </c>
      <c r="C1364" s="40"/>
      <c r="D1364" s="98" t="s">
        <v>2447</v>
      </c>
      <c r="E1364" s="98" t="s">
        <v>2448</v>
      </c>
      <c r="F1364" s="102" t="s">
        <v>2750</v>
      </c>
      <c r="H1364" s="52"/>
      <c r="I1364" s="52"/>
      <c r="J1364" s="52" t="s">
        <v>2442</v>
      </c>
      <c r="K1364" s="59" t="s">
        <v>79</v>
      </c>
      <c r="L1364" s="52"/>
      <c r="M1364" s="52"/>
      <c r="N1364" s="52"/>
      <c r="O1364" s="61" t="s">
        <v>2434</v>
      </c>
      <c r="P1364" s="79" t="s">
        <v>2449</v>
      </c>
      <c r="Q1364" s="55">
        <f>VLOOKUP(E1364,'NI-Ric_SP'!$C:$AN,12,FALSE)</f>
        <v>0</v>
      </c>
      <c r="R1364" s="55">
        <f>VLOOKUP(E1364,'NI-Ric_SP'!$C:$AN,13,FALSE)</f>
        <v>0</v>
      </c>
      <c r="S1364" s="55">
        <f>VLOOKUP(E1364,'NI-Ric_SP'!$C:$AN,30,FALSE)</f>
        <v>0</v>
      </c>
      <c r="T1364" s="94">
        <f>VLOOKUP(E1364,'NI-Ric_SP'!$C:$AN,31,FALSE)+VLOOKUP(E1364,'NI-Ric_SP'!$C:$AN,32,FALSE)</f>
        <v>0</v>
      </c>
      <c r="U1364" s="55">
        <f>VLOOKUP($E1364,'NI-Ric_SP'!$C:$AN,MID(U$1,1,2),FALSE)</f>
        <v>0</v>
      </c>
      <c r="V1364" s="55">
        <f>VLOOKUP($E1364,'NI-Ric_SP'!$C:$AN,MID(V$1,1,2),FALSE)</f>
        <v>0</v>
      </c>
      <c r="W1364" s="55">
        <f>VLOOKUP($E1364,'NI-Ric_SP'!$C:$AN,MID(W$1,1,2),FALSE)</f>
        <v>0</v>
      </c>
      <c r="X1364" s="55">
        <f>VLOOKUP($E1364,'NI-Ric_SP'!$C:$AN,MID(X$1,1,2),FALSE)</f>
        <v>0</v>
      </c>
      <c r="Y1364" s="55">
        <f>VLOOKUP($E1364,'NI-Ric_SP'!$C:$AN,MID(Y$1,1,2),FALSE)</f>
        <v>0</v>
      </c>
      <c r="Z1364" s="55">
        <f>VLOOKUP($E1364,'NI-Ric_SP'!$C:$AN,MID(Z$1,1,2),FALSE)</f>
        <v>0</v>
      </c>
      <c r="AA1364" s="55">
        <f>VLOOKUP($E1364,'NI-Ric_SP'!$C:$AN,MID(AA$1,1,2),FALSE)</f>
        <v>0</v>
      </c>
      <c r="AB1364" s="55">
        <f>VLOOKUP($E1364,'NI-Ric_SP'!$C:$AN,MID(AB$1,1,2),FALSE)</f>
        <v>0</v>
      </c>
      <c r="AC1364" s="55">
        <f>VLOOKUP($E1364,'NI-Ric_SP'!$C:$AN,MID(AC$1,1,2),FALSE)</f>
        <v>0</v>
      </c>
      <c r="AD1364" s="55">
        <f>VLOOKUP($E1364,'NI-Ric_SP'!$C:$AN,MID(AD$1,1,2),FALSE)</f>
        <v>0</v>
      </c>
      <c r="AE1364" s="55">
        <f>VLOOKUP($E1364,'NI-Ric_SP'!$C:$AN,MID(AE$1,1,2),FALSE)</f>
        <v>0</v>
      </c>
      <c r="AF1364" s="55">
        <f>VLOOKUP($E1364,'NI-Ric_SP'!$C:$AN,MID(AF$1,1,2),FALSE)</f>
        <v>0</v>
      </c>
      <c r="AG1364" s="55">
        <f>VLOOKUP($E1364,'NI-Ric_SP'!$C:$AN,MID(AG$1,1,2),FALSE)</f>
        <v>0</v>
      </c>
      <c r="AH1364" s="55">
        <f>VLOOKUP($E1364,'NI-Ric_SP'!$C:$AN,MID(AH$1,1,2),FALSE)</f>
        <v>0</v>
      </c>
      <c r="AI1364" s="55">
        <f>VLOOKUP($E1364,'NI-Ric_SP'!$C:$AN,MID(AI$1,1,2),FALSE)</f>
        <v>0</v>
      </c>
      <c r="AJ1364" s="55">
        <f>VLOOKUP($E1364,'NI-Ric_SP'!$C:$AN,MID(AJ$1,1,2),FALSE)</f>
        <v>0</v>
      </c>
      <c r="AK1364" s="55">
        <f>VLOOKUP($E1364,'NI-Ric_SP'!$C:$AN,MID(AK$1,1,2),FALSE)</f>
        <v>0</v>
      </c>
      <c r="AL1364" s="55">
        <f>VLOOKUP($E1364,'NI-Ric_SP'!$C:$AN,MID(AL$1,1,2),FALSE)</f>
        <v>0</v>
      </c>
      <c r="AM1364" s="56">
        <f>VLOOKUP($E1364,'NI-Ric_SP'!$C:$AN,MID(AM$1,1,2),FALSE)</f>
        <v>0</v>
      </c>
      <c r="AN1364" s="30" t="str">
        <f t="shared" si="21"/>
        <v>70501080030000</v>
      </c>
    </row>
    <row r="1365" spans="1:40" x14ac:dyDescent="0.25">
      <c r="A1365" s="30" t="s">
        <v>1394</v>
      </c>
      <c r="C1365" s="40"/>
      <c r="D1365" s="98" t="s">
        <v>2450</v>
      </c>
      <c r="E1365" s="98" t="s">
        <v>2451</v>
      </c>
      <c r="F1365" s="102" t="s">
        <v>2750</v>
      </c>
      <c r="H1365" s="52"/>
      <c r="I1365" s="52"/>
      <c r="J1365" s="52" t="s">
        <v>2452</v>
      </c>
      <c r="K1365" s="59" t="s">
        <v>79</v>
      </c>
      <c r="L1365" s="52"/>
      <c r="M1365" s="52"/>
      <c r="N1365" s="52"/>
      <c r="O1365" s="61" t="s">
        <v>2434</v>
      </c>
      <c r="P1365" s="79" t="s">
        <v>2453</v>
      </c>
      <c r="Q1365" s="55">
        <f>VLOOKUP(E1365,'NI-Ric_SP'!$C:$AN,12,FALSE)</f>
        <v>0</v>
      </c>
      <c r="R1365" s="55">
        <f>VLOOKUP(E1365,'NI-Ric_SP'!$C:$AN,13,FALSE)</f>
        <v>0</v>
      </c>
      <c r="S1365" s="55">
        <f>VLOOKUP(E1365,'NI-Ric_SP'!$C:$AN,30,FALSE)</f>
        <v>0</v>
      </c>
      <c r="T1365" s="94">
        <f>VLOOKUP(E1365,'NI-Ric_SP'!$C:$AN,31,FALSE)+VLOOKUP(E1365,'NI-Ric_SP'!$C:$AN,32,FALSE)</f>
        <v>0</v>
      </c>
      <c r="U1365" s="55">
        <f>VLOOKUP($E1365,'NI-Ric_SP'!$C:$AN,MID(U$1,1,2),FALSE)</f>
        <v>0</v>
      </c>
      <c r="V1365" s="55">
        <f>VLOOKUP($E1365,'NI-Ric_SP'!$C:$AN,MID(V$1,1,2),FALSE)</f>
        <v>0</v>
      </c>
      <c r="W1365" s="55">
        <f>VLOOKUP($E1365,'NI-Ric_SP'!$C:$AN,MID(W$1,1,2),FALSE)</f>
        <v>0</v>
      </c>
      <c r="X1365" s="55">
        <f>VLOOKUP($E1365,'NI-Ric_SP'!$C:$AN,MID(X$1,1,2),FALSE)</f>
        <v>0</v>
      </c>
      <c r="Y1365" s="55">
        <f>VLOOKUP($E1365,'NI-Ric_SP'!$C:$AN,MID(Y$1,1,2),FALSE)</f>
        <v>0</v>
      </c>
      <c r="Z1365" s="55">
        <f>VLOOKUP($E1365,'NI-Ric_SP'!$C:$AN,MID(Z$1,1,2),FALSE)</f>
        <v>0</v>
      </c>
      <c r="AA1365" s="55">
        <f>VLOOKUP($E1365,'NI-Ric_SP'!$C:$AN,MID(AA$1,1,2),FALSE)</f>
        <v>0</v>
      </c>
      <c r="AB1365" s="55">
        <f>VLOOKUP($E1365,'NI-Ric_SP'!$C:$AN,MID(AB$1,1,2),FALSE)</f>
        <v>0</v>
      </c>
      <c r="AC1365" s="55">
        <f>VLOOKUP($E1365,'NI-Ric_SP'!$C:$AN,MID(AC$1,1,2),FALSE)</f>
        <v>0</v>
      </c>
      <c r="AD1365" s="55">
        <f>VLOOKUP($E1365,'NI-Ric_SP'!$C:$AN,MID(AD$1,1,2),FALSE)</f>
        <v>0</v>
      </c>
      <c r="AE1365" s="55">
        <f>VLOOKUP($E1365,'NI-Ric_SP'!$C:$AN,MID(AE$1,1,2),FALSE)</f>
        <v>0</v>
      </c>
      <c r="AF1365" s="55">
        <f>VLOOKUP($E1365,'NI-Ric_SP'!$C:$AN,MID(AF$1,1,2),FALSE)</f>
        <v>0</v>
      </c>
      <c r="AG1365" s="55">
        <f>VLOOKUP($E1365,'NI-Ric_SP'!$C:$AN,MID(AG$1,1,2),FALSE)</f>
        <v>0</v>
      </c>
      <c r="AH1365" s="55">
        <f>VLOOKUP($E1365,'NI-Ric_SP'!$C:$AN,MID(AH$1,1,2),FALSE)</f>
        <v>0</v>
      </c>
      <c r="AI1365" s="55">
        <f>VLOOKUP($E1365,'NI-Ric_SP'!$C:$AN,MID(AI$1,1,2),FALSE)</f>
        <v>0</v>
      </c>
      <c r="AJ1365" s="55">
        <f>VLOOKUP($E1365,'NI-Ric_SP'!$C:$AN,MID(AJ$1,1,2),FALSE)</f>
        <v>0</v>
      </c>
      <c r="AK1365" s="55">
        <f>VLOOKUP($E1365,'NI-Ric_SP'!$C:$AN,MID(AK$1,1,2),FALSE)</f>
        <v>0</v>
      </c>
      <c r="AL1365" s="55">
        <f>VLOOKUP($E1365,'NI-Ric_SP'!$C:$AN,MID(AL$1,1,2),FALSE)</f>
        <v>0</v>
      </c>
      <c r="AM1365" s="56">
        <f>VLOOKUP($E1365,'NI-Ric_SP'!$C:$AN,MID(AM$1,1,2),FALSE)</f>
        <v>0</v>
      </c>
      <c r="AN1365" s="30" t="str">
        <f t="shared" si="21"/>
        <v>70501090000000</v>
      </c>
    </row>
    <row r="1366" spans="1:40" x14ac:dyDescent="0.25">
      <c r="C1366" s="40"/>
      <c r="D1366" s="101" t="s">
        <v>2454</v>
      </c>
      <c r="E1366" s="101" t="s">
        <v>2455</v>
      </c>
      <c r="F1366" s="102" t="s">
        <v>2750</v>
      </c>
      <c r="G1366" s="96" t="s">
        <v>1608</v>
      </c>
      <c r="H1366" s="52"/>
      <c r="I1366" s="52" t="s">
        <v>2456</v>
      </c>
      <c r="J1366" s="52" t="s">
        <v>2456</v>
      </c>
      <c r="K1366" s="59" t="s">
        <v>111</v>
      </c>
      <c r="L1366" s="52"/>
      <c r="M1366" s="52"/>
      <c r="N1366" s="52"/>
      <c r="O1366" s="61" t="s">
        <v>2457</v>
      </c>
      <c r="P1366" s="63" t="s">
        <v>2458</v>
      </c>
      <c r="Q1366" s="55">
        <f>VLOOKUP(E1366,'NI-Ric_SP'!$C:$AN,12,FALSE)</f>
        <v>0</v>
      </c>
      <c r="R1366" s="55">
        <f>VLOOKUP(E1366,'NI-Ric_SP'!$C:$AN,13,FALSE)</f>
        <v>0</v>
      </c>
      <c r="S1366" s="55">
        <f>VLOOKUP(E1366,'NI-Ric_SP'!$C:$AN,30,FALSE)</f>
        <v>0</v>
      </c>
      <c r="T1366" s="94">
        <f>VLOOKUP(E1366,'NI-Ric_SP'!$C:$AN,31,FALSE)+VLOOKUP(E1366,'NI-Ric_SP'!$C:$AN,32,FALSE)</f>
        <v>0</v>
      </c>
      <c r="U1366" s="55">
        <f>VLOOKUP($E1366,'NI-Ric_SP'!$C:$AN,MID(U$1,1,2),FALSE)</f>
        <v>0</v>
      </c>
      <c r="V1366" s="55">
        <f>VLOOKUP($E1366,'NI-Ric_SP'!$C:$AN,MID(V$1,1,2),FALSE)</f>
        <v>0</v>
      </c>
      <c r="W1366" s="55">
        <f>VLOOKUP($E1366,'NI-Ric_SP'!$C:$AN,MID(W$1,1,2),FALSE)</f>
        <v>0</v>
      </c>
      <c r="X1366" s="55">
        <f>VLOOKUP($E1366,'NI-Ric_SP'!$C:$AN,MID(X$1,1,2),FALSE)</f>
        <v>0</v>
      </c>
      <c r="Y1366" s="55">
        <f>VLOOKUP($E1366,'NI-Ric_SP'!$C:$AN,MID(Y$1,1,2),FALSE)</f>
        <v>0</v>
      </c>
      <c r="Z1366" s="55">
        <f>VLOOKUP($E1366,'NI-Ric_SP'!$C:$AN,MID(Z$1,1,2),FALSE)</f>
        <v>0</v>
      </c>
      <c r="AA1366" s="55">
        <f>VLOOKUP($E1366,'NI-Ric_SP'!$C:$AN,MID(AA$1,1,2),FALSE)</f>
        <v>0</v>
      </c>
      <c r="AB1366" s="55">
        <f>VLOOKUP($E1366,'NI-Ric_SP'!$C:$AN,MID(AB$1,1,2),FALSE)</f>
        <v>0</v>
      </c>
      <c r="AC1366" s="55">
        <f>VLOOKUP($E1366,'NI-Ric_SP'!$C:$AN,MID(AC$1,1,2),FALSE)</f>
        <v>0</v>
      </c>
      <c r="AD1366" s="55">
        <f>VLOOKUP($E1366,'NI-Ric_SP'!$C:$AN,MID(AD$1,1,2),FALSE)</f>
        <v>0</v>
      </c>
      <c r="AE1366" s="55">
        <f>VLOOKUP($E1366,'NI-Ric_SP'!$C:$AN,MID(AE$1,1,2),FALSE)</f>
        <v>0</v>
      </c>
      <c r="AF1366" s="55">
        <f>VLOOKUP($E1366,'NI-Ric_SP'!$C:$AN,MID(AF$1,1,2),FALSE)</f>
        <v>0</v>
      </c>
      <c r="AG1366" s="55">
        <f>VLOOKUP($E1366,'NI-Ric_SP'!$C:$AN,MID(AG$1,1,2),FALSE)</f>
        <v>0</v>
      </c>
      <c r="AH1366" s="55">
        <f>VLOOKUP($E1366,'NI-Ric_SP'!$C:$AN,MID(AH$1,1,2),FALSE)</f>
        <v>0</v>
      </c>
      <c r="AI1366" s="55">
        <f>VLOOKUP($E1366,'NI-Ric_SP'!$C:$AN,MID(AI$1,1,2),FALSE)</f>
        <v>0</v>
      </c>
      <c r="AJ1366" s="55">
        <f>VLOOKUP($E1366,'NI-Ric_SP'!$C:$AN,MID(AJ$1,1,2),FALSE)</f>
        <v>0</v>
      </c>
      <c r="AK1366" s="55">
        <f>VLOOKUP($E1366,'NI-Ric_SP'!$C:$AN,MID(AK$1,1,2),FALSE)</f>
        <v>0</v>
      </c>
      <c r="AL1366" s="55">
        <f>VLOOKUP($E1366,'NI-Ric_SP'!$C:$AN,MID(AL$1,1,2),FALSE)</f>
        <v>0</v>
      </c>
      <c r="AM1366" s="56">
        <f>VLOOKUP($E1366,'NI-Ric_SP'!$C:$AN,MID(AM$1,1,2),FALSE)</f>
        <v>0</v>
      </c>
      <c r="AN1366" s="30" t="str">
        <f t="shared" si="21"/>
        <v>70502000000000</v>
      </c>
    </row>
    <row r="1367" spans="1:40" ht="27" x14ac:dyDescent="0.25">
      <c r="C1367" s="40"/>
      <c r="D1367" s="101" t="s">
        <v>2459</v>
      </c>
      <c r="E1367" s="101" t="s">
        <v>2460</v>
      </c>
      <c r="F1367" s="102" t="s">
        <v>2750</v>
      </c>
      <c r="G1367" s="96" t="s">
        <v>1608</v>
      </c>
      <c r="H1367" s="52"/>
      <c r="I1367" s="52"/>
      <c r="J1367" s="52"/>
      <c r="K1367" s="59" t="s">
        <v>79</v>
      </c>
      <c r="L1367" s="52"/>
      <c r="M1367" s="52"/>
      <c r="N1367" s="52"/>
      <c r="O1367" s="52"/>
      <c r="P1367" s="76" t="s">
        <v>2461</v>
      </c>
      <c r="Q1367" s="55">
        <f>VLOOKUP(E1367,'NI-Ric_SP'!$C:$AN,12,FALSE)</f>
        <v>0</v>
      </c>
      <c r="R1367" s="55">
        <f>VLOOKUP(E1367,'NI-Ric_SP'!$C:$AN,13,FALSE)</f>
        <v>0</v>
      </c>
      <c r="S1367" s="55">
        <f>VLOOKUP(E1367,'NI-Ric_SP'!$C:$AN,30,FALSE)</f>
        <v>0</v>
      </c>
      <c r="T1367" s="94">
        <f>VLOOKUP(E1367,'NI-Ric_SP'!$C:$AN,31,FALSE)+VLOOKUP(E1367,'NI-Ric_SP'!$C:$AN,32,FALSE)</f>
        <v>0</v>
      </c>
      <c r="U1367" s="55">
        <f>VLOOKUP($E1367,'NI-Ric_SP'!$C:$AN,MID(U$1,1,2),FALSE)</f>
        <v>0</v>
      </c>
      <c r="V1367" s="55">
        <f>VLOOKUP($E1367,'NI-Ric_SP'!$C:$AN,MID(V$1,1,2),FALSE)</f>
        <v>0</v>
      </c>
      <c r="W1367" s="55">
        <f>VLOOKUP($E1367,'NI-Ric_SP'!$C:$AN,MID(W$1,1,2),FALSE)</f>
        <v>0</v>
      </c>
      <c r="X1367" s="55">
        <f>VLOOKUP($E1367,'NI-Ric_SP'!$C:$AN,MID(X$1,1,2),FALSE)</f>
        <v>0</v>
      </c>
      <c r="Y1367" s="55">
        <f>VLOOKUP($E1367,'NI-Ric_SP'!$C:$AN,MID(Y$1,1,2),FALSE)</f>
        <v>0</v>
      </c>
      <c r="Z1367" s="55">
        <f>VLOOKUP($E1367,'NI-Ric_SP'!$C:$AN,MID(Z$1,1,2),FALSE)</f>
        <v>0</v>
      </c>
      <c r="AA1367" s="55">
        <f>VLOOKUP($E1367,'NI-Ric_SP'!$C:$AN,MID(AA$1,1,2),FALSE)</f>
        <v>0</v>
      </c>
      <c r="AB1367" s="55">
        <f>VLOOKUP($E1367,'NI-Ric_SP'!$C:$AN,MID(AB$1,1,2),FALSE)</f>
        <v>0</v>
      </c>
      <c r="AC1367" s="55">
        <f>VLOOKUP($E1367,'NI-Ric_SP'!$C:$AN,MID(AC$1,1,2),FALSE)</f>
        <v>0</v>
      </c>
      <c r="AD1367" s="55">
        <f>VLOOKUP($E1367,'NI-Ric_SP'!$C:$AN,MID(AD$1,1,2),FALSE)</f>
        <v>0</v>
      </c>
      <c r="AE1367" s="55">
        <f>VLOOKUP($E1367,'NI-Ric_SP'!$C:$AN,MID(AE$1,1,2),FALSE)</f>
        <v>0</v>
      </c>
      <c r="AF1367" s="55">
        <f>VLOOKUP($E1367,'NI-Ric_SP'!$C:$AN,MID(AF$1,1,2),FALSE)</f>
        <v>0</v>
      </c>
      <c r="AG1367" s="55">
        <f>VLOOKUP($E1367,'NI-Ric_SP'!$C:$AN,MID(AG$1,1,2),FALSE)</f>
        <v>0</v>
      </c>
      <c r="AH1367" s="55">
        <f>VLOOKUP($E1367,'NI-Ric_SP'!$C:$AN,MID(AH$1,1,2),FALSE)</f>
        <v>0</v>
      </c>
      <c r="AI1367" s="55">
        <f>VLOOKUP($E1367,'NI-Ric_SP'!$C:$AN,MID(AI$1,1,2),FALSE)</f>
        <v>0</v>
      </c>
      <c r="AJ1367" s="55">
        <f>VLOOKUP($E1367,'NI-Ric_SP'!$C:$AN,MID(AJ$1,1,2),FALSE)</f>
        <v>0</v>
      </c>
      <c r="AK1367" s="55">
        <f>VLOOKUP($E1367,'NI-Ric_SP'!$C:$AN,MID(AK$1,1,2),FALSE)</f>
        <v>0</v>
      </c>
      <c r="AL1367" s="55">
        <f>VLOOKUP($E1367,'NI-Ric_SP'!$C:$AN,MID(AL$1,1,2),FALSE)</f>
        <v>0</v>
      </c>
      <c r="AM1367" s="56">
        <f>VLOOKUP($E1367,'NI-Ric_SP'!$C:$AN,MID(AM$1,1,2),FALSE)</f>
        <v>0</v>
      </c>
      <c r="AN1367" s="30" t="str">
        <f t="shared" si="21"/>
        <v>70502010000000</v>
      </c>
    </row>
    <row r="1368" spans="1:40" x14ac:dyDescent="0.25">
      <c r="C1368" s="40"/>
      <c r="D1368" s="101" t="s">
        <v>2462</v>
      </c>
      <c r="E1368" s="101" t="s">
        <v>2463</v>
      </c>
      <c r="F1368" s="102" t="s">
        <v>2750</v>
      </c>
      <c r="G1368" s="96" t="s">
        <v>1608</v>
      </c>
      <c r="H1368" s="52"/>
      <c r="I1368" s="52"/>
      <c r="J1368" s="52"/>
      <c r="K1368" s="59" t="s">
        <v>79</v>
      </c>
      <c r="L1368" s="52"/>
      <c r="M1368" s="52"/>
      <c r="N1368" s="52"/>
      <c r="O1368" s="52"/>
      <c r="P1368" s="76" t="s">
        <v>2464</v>
      </c>
      <c r="Q1368" s="55">
        <f>VLOOKUP(E1368,'NI-Ric_SP'!$C:$AN,12,FALSE)</f>
        <v>0</v>
      </c>
      <c r="R1368" s="55">
        <f>VLOOKUP(E1368,'NI-Ric_SP'!$C:$AN,13,FALSE)</f>
        <v>0</v>
      </c>
      <c r="S1368" s="55">
        <f>VLOOKUP(E1368,'NI-Ric_SP'!$C:$AN,30,FALSE)</f>
        <v>0</v>
      </c>
      <c r="T1368" s="94">
        <f>VLOOKUP(E1368,'NI-Ric_SP'!$C:$AN,31,FALSE)+VLOOKUP(E1368,'NI-Ric_SP'!$C:$AN,32,FALSE)</f>
        <v>0</v>
      </c>
      <c r="U1368" s="55">
        <f>VLOOKUP($E1368,'NI-Ric_SP'!$C:$AN,MID(U$1,1,2),FALSE)</f>
        <v>0</v>
      </c>
      <c r="V1368" s="55">
        <f>VLOOKUP($E1368,'NI-Ric_SP'!$C:$AN,MID(V$1,1,2),FALSE)</f>
        <v>0</v>
      </c>
      <c r="W1368" s="55">
        <f>VLOOKUP($E1368,'NI-Ric_SP'!$C:$AN,MID(W$1,1,2),FALSE)</f>
        <v>0</v>
      </c>
      <c r="X1368" s="55">
        <f>VLOOKUP($E1368,'NI-Ric_SP'!$C:$AN,MID(X$1,1,2),FALSE)</f>
        <v>0</v>
      </c>
      <c r="Y1368" s="55">
        <f>VLOOKUP($E1368,'NI-Ric_SP'!$C:$AN,MID(Y$1,1,2),FALSE)</f>
        <v>0</v>
      </c>
      <c r="Z1368" s="55">
        <f>VLOOKUP($E1368,'NI-Ric_SP'!$C:$AN,MID(Z$1,1,2),FALSE)</f>
        <v>0</v>
      </c>
      <c r="AA1368" s="55">
        <f>VLOOKUP($E1368,'NI-Ric_SP'!$C:$AN,MID(AA$1,1,2),FALSE)</f>
        <v>0</v>
      </c>
      <c r="AB1368" s="55">
        <f>VLOOKUP($E1368,'NI-Ric_SP'!$C:$AN,MID(AB$1,1,2),FALSE)</f>
        <v>0</v>
      </c>
      <c r="AC1368" s="55">
        <f>VLOOKUP($E1368,'NI-Ric_SP'!$C:$AN,MID(AC$1,1,2),FALSE)</f>
        <v>0</v>
      </c>
      <c r="AD1368" s="55">
        <f>VLOOKUP($E1368,'NI-Ric_SP'!$C:$AN,MID(AD$1,1,2),FALSE)</f>
        <v>0</v>
      </c>
      <c r="AE1368" s="55">
        <f>VLOOKUP($E1368,'NI-Ric_SP'!$C:$AN,MID(AE$1,1,2),FALSE)</f>
        <v>0</v>
      </c>
      <c r="AF1368" s="55">
        <f>VLOOKUP($E1368,'NI-Ric_SP'!$C:$AN,MID(AF$1,1,2),FALSE)</f>
        <v>0</v>
      </c>
      <c r="AG1368" s="55">
        <f>VLOOKUP($E1368,'NI-Ric_SP'!$C:$AN,MID(AG$1,1,2),FALSE)</f>
        <v>0</v>
      </c>
      <c r="AH1368" s="55">
        <f>VLOOKUP($E1368,'NI-Ric_SP'!$C:$AN,MID(AH$1,1,2),FALSE)</f>
        <v>0</v>
      </c>
      <c r="AI1368" s="55">
        <f>VLOOKUP($E1368,'NI-Ric_SP'!$C:$AN,MID(AI$1,1,2),FALSE)</f>
        <v>0</v>
      </c>
      <c r="AJ1368" s="55">
        <f>VLOOKUP($E1368,'NI-Ric_SP'!$C:$AN,MID(AJ$1,1,2),FALSE)</f>
        <v>0</v>
      </c>
      <c r="AK1368" s="55">
        <f>VLOOKUP($E1368,'NI-Ric_SP'!$C:$AN,MID(AK$1,1,2),FALSE)</f>
        <v>0</v>
      </c>
      <c r="AL1368" s="55">
        <f>VLOOKUP($E1368,'NI-Ric_SP'!$C:$AN,MID(AL$1,1,2),FALSE)</f>
        <v>0</v>
      </c>
      <c r="AM1368" s="56">
        <f>VLOOKUP($E1368,'NI-Ric_SP'!$C:$AN,MID(AM$1,1,2),FALSE)</f>
        <v>0</v>
      </c>
      <c r="AN1368" s="30" t="str">
        <f t="shared" si="21"/>
        <v>70502020000000</v>
      </c>
    </row>
    <row r="1369" spans="1:40" x14ac:dyDescent="0.25">
      <c r="C1369" s="40"/>
      <c r="D1369" s="101" t="s">
        <v>2465</v>
      </c>
      <c r="E1369" s="101" t="s">
        <v>2466</v>
      </c>
      <c r="F1369" s="102" t="s">
        <v>2750</v>
      </c>
      <c r="G1369" s="96"/>
      <c r="H1369" s="52"/>
      <c r="I1369" s="52" t="s">
        <v>2467</v>
      </c>
      <c r="J1369" s="52"/>
      <c r="K1369" s="59" t="s">
        <v>1358</v>
      </c>
      <c r="L1369" s="52"/>
      <c r="M1369" s="52"/>
      <c r="N1369" s="52"/>
      <c r="O1369" s="61" t="s">
        <v>2468</v>
      </c>
      <c r="P1369" s="63" t="s">
        <v>2469</v>
      </c>
      <c r="Q1369" s="55">
        <f>VLOOKUP(E1369,'NI-Ric_SP'!$C:$AN,12,FALSE)</f>
        <v>0</v>
      </c>
      <c r="R1369" s="55">
        <f>VLOOKUP(E1369,'NI-Ric_SP'!$C:$AN,13,FALSE)</f>
        <v>0</v>
      </c>
      <c r="S1369" s="55">
        <f>VLOOKUP(E1369,'NI-Ric_SP'!$C:$AN,30,FALSE)</f>
        <v>0</v>
      </c>
      <c r="T1369" s="94">
        <f>VLOOKUP(E1369,'NI-Ric_SP'!$C:$AN,31,FALSE)+VLOOKUP(E1369,'NI-Ric_SP'!$C:$AN,32,FALSE)</f>
        <v>0</v>
      </c>
      <c r="U1369" s="55">
        <f>VLOOKUP($E1369,'NI-Ric_SP'!$C:$AN,MID(U$1,1,2),FALSE)</f>
        <v>0</v>
      </c>
      <c r="V1369" s="55">
        <f>VLOOKUP($E1369,'NI-Ric_SP'!$C:$AN,MID(V$1,1,2),FALSE)</f>
        <v>0</v>
      </c>
      <c r="W1369" s="55">
        <f>VLOOKUP($E1369,'NI-Ric_SP'!$C:$AN,MID(W$1,1,2),FALSE)</f>
        <v>0</v>
      </c>
      <c r="X1369" s="55">
        <f>VLOOKUP($E1369,'NI-Ric_SP'!$C:$AN,MID(X$1,1,2),FALSE)</f>
        <v>0</v>
      </c>
      <c r="Y1369" s="55">
        <f>VLOOKUP($E1369,'NI-Ric_SP'!$C:$AN,MID(Y$1,1,2),FALSE)</f>
        <v>0</v>
      </c>
      <c r="Z1369" s="55">
        <f>VLOOKUP($E1369,'NI-Ric_SP'!$C:$AN,MID(Z$1,1,2),FALSE)</f>
        <v>0</v>
      </c>
      <c r="AA1369" s="55">
        <f>VLOOKUP($E1369,'NI-Ric_SP'!$C:$AN,MID(AA$1,1,2),FALSE)</f>
        <v>0</v>
      </c>
      <c r="AB1369" s="55">
        <f>VLOOKUP($E1369,'NI-Ric_SP'!$C:$AN,MID(AB$1,1,2),FALSE)</f>
        <v>0</v>
      </c>
      <c r="AC1369" s="55">
        <f>VLOOKUP($E1369,'NI-Ric_SP'!$C:$AN,MID(AC$1,1,2),FALSE)</f>
        <v>0</v>
      </c>
      <c r="AD1369" s="55">
        <f>VLOOKUP($E1369,'NI-Ric_SP'!$C:$AN,MID(AD$1,1,2),FALSE)</f>
        <v>0</v>
      </c>
      <c r="AE1369" s="55">
        <f>VLOOKUP($E1369,'NI-Ric_SP'!$C:$AN,MID(AE$1,1,2),FALSE)</f>
        <v>0</v>
      </c>
      <c r="AF1369" s="55">
        <f>VLOOKUP($E1369,'NI-Ric_SP'!$C:$AN,MID(AF$1,1,2),FALSE)</f>
        <v>0</v>
      </c>
      <c r="AG1369" s="55">
        <f>VLOOKUP($E1369,'NI-Ric_SP'!$C:$AN,MID(AG$1,1,2),FALSE)</f>
        <v>0</v>
      </c>
      <c r="AH1369" s="55">
        <f>VLOOKUP($E1369,'NI-Ric_SP'!$C:$AN,MID(AH$1,1,2),FALSE)</f>
        <v>0</v>
      </c>
      <c r="AI1369" s="55">
        <f>VLOOKUP($E1369,'NI-Ric_SP'!$C:$AN,MID(AI$1,1,2),FALSE)</f>
        <v>0</v>
      </c>
      <c r="AJ1369" s="55">
        <f>VLOOKUP($E1369,'NI-Ric_SP'!$C:$AN,MID(AJ$1,1,2),FALSE)</f>
        <v>0</v>
      </c>
      <c r="AK1369" s="55">
        <f>VLOOKUP($E1369,'NI-Ric_SP'!$C:$AN,MID(AK$1,1,2),FALSE)</f>
        <v>0</v>
      </c>
      <c r="AL1369" s="55">
        <f>VLOOKUP($E1369,'NI-Ric_SP'!$C:$AN,MID(AL$1,1,2),FALSE)</f>
        <v>0</v>
      </c>
      <c r="AM1369" s="56">
        <f>VLOOKUP($E1369,'NI-Ric_SP'!$C:$AN,MID(AM$1,1,2),FALSE)</f>
        <v>0</v>
      </c>
      <c r="AN1369" s="30" t="str">
        <f t="shared" si="21"/>
        <v>70503000000000</v>
      </c>
    </row>
    <row r="1370" spans="1:40" x14ac:dyDescent="0.25">
      <c r="A1370" s="30" t="s">
        <v>1394</v>
      </c>
      <c r="C1370" s="40"/>
      <c r="D1370" s="98" t="s">
        <v>2470</v>
      </c>
      <c r="E1370" s="98" t="s">
        <v>2471</v>
      </c>
      <c r="F1370" s="102" t="s">
        <v>2750</v>
      </c>
      <c r="H1370" s="52"/>
      <c r="I1370" s="52"/>
      <c r="J1370" s="52" t="s">
        <v>2472</v>
      </c>
      <c r="K1370" s="59" t="s">
        <v>1358</v>
      </c>
      <c r="L1370" s="88"/>
      <c r="M1370" s="52"/>
      <c r="N1370" s="52"/>
      <c r="O1370" s="61"/>
      <c r="P1370" s="79" t="s">
        <v>2473</v>
      </c>
      <c r="Q1370" s="55">
        <f>VLOOKUP(E1370,'NI-Ric_SP'!$C:$AN,12,FALSE)</f>
        <v>0</v>
      </c>
      <c r="R1370" s="55">
        <f>VLOOKUP(E1370,'NI-Ric_SP'!$C:$AN,13,FALSE)</f>
        <v>0</v>
      </c>
      <c r="S1370" s="55">
        <f>VLOOKUP(E1370,'NI-Ric_SP'!$C:$AN,30,FALSE)</f>
        <v>0</v>
      </c>
      <c r="T1370" s="94">
        <f>VLOOKUP(E1370,'NI-Ric_SP'!$C:$AN,31,FALSE)+VLOOKUP(E1370,'NI-Ric_SP'!$C:$AN,32,FALSE)</f>
        <v>0</v>
      </c>
      <c r="U1370" s="55">
        <f>VLOOKUP($E1370,'NI-Ric_SP'!$C:$AN,MID(U$1,1,2),FALSE)</f>
        <v>0</v>
      </c>
      <c r="V1370" s="55">
        <f>VLOOKUP($E1370,'NI-Ric_SP'!$C:$AN,MID(V$1,1,2),FALSE)</f>
        <v>0</v>
      </c>
      <c r="W1370" s="55">
        <f>VLOOKUP($E1370,'NI-Ric_SP'!$C:$AN,MID(W$1,1,2),FALSE)</f>
        <v>0</v>
      </c>
      <c r="X1370" s="55">
        <f>VLOOKUP($E1370,'NI-Ric_SP'!$C:$AN,MID(X$1,1,2),FALSE)</f>
        <v>0</v>
      </c>
      <c r="Y1370" s="55">
        <f>VLOOKUP($E1370,'NI-Ric_SP'!$C:$AN,MID(Y$1,1,2),FALSE)</f>
        <v>0</v>
      </c>
      <c r="Z1370" s="55">
        <f>VLOOKUP($E1370,'NI-Ric_SP'!$C:$AN,MID(Z$1,1,2),FALSE)</f>
        <v>0</v>
      </c>
      <c r="AA1370" s="55">
        <f>VLOOKUP($E1370,'NI-Ric_SP'!$C:$AN,MID(AA$1,1,2),FALSE)</f>
        <v>0</v>
      </c>
      <c r="AB1370" s="55">
        <f>VLOOKUP($E1370,'NI-Ric_SP'!$C:$AN,MID(AB$1,1,2),FALSE)</f>
        <v>0</v>
      </c>
      <c r="AC1370" s="55">
        <f>VLOOKUP($E1370,'NI-Ric_SP'!$C:$AN,MID(AC$1,1,2),FALSE)</f>
        <v>0</v>
      </c>
      <c r="AD1370" s="55">
        <f>VLOOKUP($E1370,'NI-Ric_SP'!$C:$AN,MID(AD$1,1,2),FALSE)</f>
        <v>0</v>
      </c>
      <c r="AE1370" s="55">
        <f>VLOOKUP($E1370,'NI-Ric_SP'!$C:$AN,MID(AE$1,1,2),FALSE)</f>
        <v>0</v>
      </c>
      <c r="AF1370" s="55">
        <f>VLOOKUP($E1370,'NI-Ric_SP'!$C:$AN,MID(AF$1,1,2),FALSE)</f>
        <v>0</v>
      </c>
      <c r="AG1370" s="55">
        <f>VLOOKUP($E1370,'NI-Ric_SP'!$C:$AN,MID(AG$1,1,2),FALSE)</f>
        <v>0</v>
      </c>
      <c r="AH1370" s="55">
        <f>VLOOKUP($E1370,'NI-Ric_SP'!$C:$AN,MID(AH$1,1,2),FALSE)</f>
        <v>0</v>
      </c>
      <c r="AI1370" s="55">
        <f>VLOOKUP($E1370,'NI-Ric_SP'!$C:$AN,MID(AI$1,1,2),FALSE)</f>
        <v>0</v>
      </c>
      <c r="AJ1370" s="55">
        <f>VLOOKUP($E1370,'NI-Ric_SP'!$C:$AN,MID(AJ$1,1,2),FALSE)</f>
        <v>0</v>
      </c>
      <c r="AK1370" s="55">
        <f>VLOOKUP($E1370,'NI-Ric_SP'!$C:$AN,MID(AK$1,1,2),FALSE)</f>
        <v>0</v>
      </c>
      <c r="AL1370" s="55">
        <f>VLOOKUP($E1370,'NI-Ric_SP'!$C:$AN,MID(AL$1,1,2),FALSE)</f>
        <v>0</v>
      </c>
      <c r="AM1370" s="56">
        <f>VLOOKUP($E1370,'NI-Ric_SP'!$C:$AN,MID(AM$1,1,2),FALSE)</f>
        <v>0</v>
      </c>
      <c r="AN1370" s="30" t="str">
        <f t="shared" si="21"/>
        <v>70503010000000</v>
      </c>
    </row>
    <row r="1371" spans="1:40" x14ac:dyDescent="0.25">
      <c r="A1371" s="30" t="s">
        <v>1394</v>
      </c>
      <c r="C1371" s="40"/>
      <c r="D1371" s="98" t="s">
        <v>2474</v>
      </c>
      <c r="E1371" s="98" t="s">
        <v>2475</v>
      </c>
      <c r="F1371" s="102" t="s">
        <v>2750</v>
      </c>
      <c r="H1371" s="52"/>
      <c r="I1371" s="52"/>
      <c r="J1371" s="52" t="s">
        <v>2476</v>
      </c>
      <c r="K1371" s="59" t="s">
        <v>1358</v>
      </c>
      <c r="L1371" s="88"/>
      <c r="M1371" s="52"/>
      <c r="N1371" s="52"/>
      <c r="O1371" s="61"/>
      <c r="P1371" s="79" t="s">
        <v>2477</v>
      </c>
      <c r="Q1371" s="55">
        <f>VLOOKUP(E1371,'NI-Ric_SP'!$C:$AN,12,FALSE)</f>
        <v>0</v>
      </c>
      <c r="R1371" s="55">
        <f>VLOOKUP(E1371,'NI-Ric_SP'!$C:$AN,13,FALSE)</f>
        <v>0</v>
      </c>
      <c r="S1371" s="55">
        <f>VLOOKUP(E1371,'NI-Ric_SP'!$C:$AN,30,FALSE)</f>
        <v>0</v>
      </c>
      <c r="T1371" s="94">
        <f>VLOOKUP(E1371,'NI-Ric_SP'!$C:$AN,31,FALSE)+VLOOKUP(E1371,'NI-Ric_SP'!$C:$AN,32,FALSE)</f>
        <v>0</v>
      </c>
      <c r="U1371" s="55">
        <f>VLOOKUP($E1371,'NI-Ric_SP'!$C:$AN,MID(U$1,1,2),FALSE)</f>
        <v>0</v>
      </c>
      <c r="V1371" s="55">
        <f>VLOOKUP($E1371,'NI-Ric_SP'!$C:$AN,MID(V$1,1,2),FALSE)</f>
        <v>0</v>
      </c>
      <c r="W1371" s="55">
        <f>VLOOKUP($E1371,'NI-Ric_SP'!$C:$AN,MID(W$1,1,2),FALSE)</f>
        <v>0</v>
      </c>
      <c r="X1371" s="55">
        <f>VLOOKUP($E1371,'NI-Ric_SP'!$C:$AN,MID(X$1,1,2),FALSE)</f>
        <v>0</v>
      </c>
      <c r="Y1371" s="55">
        <f>VLOOKUP($E1371,'NI-Ric_SP'!$C:$AN,MID(Y$1,1,2),FALSE)</f>
        <v>0</v>
      </c>
      <c r="Z1371" s="55">
        <f>VLOOKUP($E1371,'NI-Ric_SP'!$C:$AN,MID(Z$1,1,2),FALSE)</f>
        <v>0</v>
      </c>
      <c r="AA1371" s="55">
        <f>VLOOKUP($E1371,'NI-Ric_SP'!$C:$AN,MID(AA$1,1,2),FALSE)</f>
        <v>0</v>
      </c>
      <c r="AB1371" s="55">
        <f>VLOOKUP($E1371,'NI-Ric_SP'!$C:$AN,MID(AB$1,1,2),FALSE)</f>
        <v>0</v>
      </c>
      <c r="AC1371" s="55">
        <f>VLOOKUP($E1371,'NI-Ric_SP'!$C:$AN,MID(AC$1,1,2),FALSE)</f>
        <v>0</v>
      </c>
      <c r="AD1371" s="55">
        <f>VLOOKUP($E1371,'NI-Ric_SP'!$C:$AN,MID(AD$1,1,2),FALSE)</f>
        <v>0</v>
      </c>
      <c r="AE1371" s="55">
        <f>VLOOKUP($E1371,'NI-Ric_SP'!$C:$AN,MID(AE$1,1,2),FALSE)</f>
        <v>0</v>
      </c>
      <c r="AF1371" s="55">
        <f>VLOOKUP($E1371,'NI-Ric_SP'!$C:$AN,MID(AF$1,1,2),FALSE)</f>
        <v>0</v>
      </c>
      <c r="AG1371" s="55">
        <f>VLOOKUP($E1371,'NI-Ric_SP'!$C:$AN,MID(AG$1,1,2),FALSE)</f>
        <v>0</v>
      </c>
      <c r="AH1371" s="55">
        <f>VLOOKUP($E1371,'NI-Ric_SP'!$C:$AN,MID(AH$1,1,2),FALSE)</f>
        <v>0</v>
      </c>
      <c r="AI1371" s="55">
        <f>VLOOKUP($E1371,'NI-Ric_SP'!$C:$AN,MID(AI$1,1,2),FALSE)</f>
        <v>0</v>
      </c>
      <c r="AJ1371" s="55">
        <f>VLOOKUP($E1371,'NI-Ric_SP'!$C:$AN,MID(AJ$1,1,2),FALSE)</f>
        <v>0</v>
      </c>
      <c r="AK1371" s="55">
        <f>VLOOKUP($E1371,'NI-Ric_SP'!$C:$AN,MID(AK$1,1,2),FALSE)</f>
        <v>0</v>
      </c>
      <c r="AL1371" s="55">
        <f>VLOOKUP($E1371,'NI-Ric_SP'!$C:$AN,MID(AL$1,1,2),FALSE)</f>
        <v>0</v>
      </c>
      <c r="AM1371" s="56">
        <f>VLOOKUP($E1371,'NI-Ric_SP'!$C:$AN,MID(AM$1,1,2),FALSE)</f>
        <v>0</v>
      </c>
      <c r="AN1371" s="30" t="str">
        <f t="shared" si="21"/>
        <v>70503020000000</v>
      </c>
    </row>
    <row r="1372" spans="1:40" x14ac:dyDescent="0.25">
      <c r="A1372" s="30" t="s">
        <v>1394</v>
      </c>
      <c r="C1372" s="40"/>
      <c r="D1372" s="98" t="s">
        <v>2478</v>
      </c>
      <c r="E1372" s="98" t="s">
        <v>2479</v>
      </c>
      <c r="F1372" s="102" t="s">
        <v>2750</v>
      </c>
      <c r="H1372" s="52"/>
      <c r="I1372" s="52"/>
      <c r="J1372" s="52" t="s">
        <v>2480</v>
      </c>
      <c r="K1372" s="59" t="s">
        <v>1358</v>
      </c>
      <c r="L1372" s="88"/>
      <c r="M1372" s="52"/>
      <c r="N1372" s="52"/>
      <c r="O1372" s="61"/>
      <c r="P1372" s="79" t="s">
        <v>2481</v>
      </c>
      <c r="Q1372" s="55">
        <f>VLOOKUP(E1372,'NI-Ric_SP'!$C:$AN,12,FALSE)</f>
        <v>0</v>
      </c>
      <c r="R1372" s="55">
        <f>VLOOKUP(E1372,'NI-Ric_SP'!$C:$AN,13,FALSE)</f>
        <v>0</v>
      </c>
      <c r="S1372" s="55">
        <f>VLOOKUP(E1372,'NI-Ric_SP'!$C:$AN,30,FALSE)</f>
        <v>0</v>
      </c>
      <c r="T1372" s="94">
        <f>VLOOKUP(E1372,'NI-Ric_SP'!$C:$AN,31,FALSE)+VLOOKUP(E1372,'NI-Ric_SP'!$C:$AN,32,FALSE)</f>
        <v>0</v>
      </c>
      <c r="U1372" s="55">
        <f>VLOOKUP($E1372,'NI-Ric_SP'!$C:$AN,MID(U$1,1,2),FALSE)</f>
        <v>0</v>
      </c>
      <c r="V1372" s="55">
        <f>VLOOKUP($E1372,'NI-Ric_SP'!$C:$AN,MID(V$1,1,2),FALSE)</f>
        <v>0</v>
      </c>
      <c r="W1372" s="55">
        <f>VLOOKUP($E1372,'NI-Ric_SP'!$C:$AN,MID(W$1,1,2),FALSE)</f>
        <v>0</v>
      </c>
      <c r="X1372" s="55">
        <f>VLOOKUP($E1372,'NI-Ric_SP'!$C:$AN,MID(X$1,1,2),FALSE)</f>
        <v>0</v>
      </c>
      <c r="Y1372" s="55">
        <f>VLOOKUP($E1372,'NI-Ric_SP'!$C:$AN,MID(Y$1,1,2),FALSE)</f>
        <v>0</v>
      </c>
      <c r="Z1372" s="55">
        <f>VLOOKUP($E1372,'NI-Ric_SP'!$C:$AN,MID(Z$1,1,2),FALSE)</f>
        <v>0</v>
      </c>
      <c r="AA1372" s="55">
        <f>VLOOKUP($E1372,'NI-Ric_SP'!$C:$AN,MID(AA$1,1,2),FALSE)</f>
        <v>0</v>
      </c>
      <c r="AB1372" s="55">
        <f>VLOOKUP($E1372,'NI-Ric_SP'!$C:$AN,MID(AB$1,1,2),FALSE)</f>
        <v>0</v>
      </c>
      <c r="AC1372" s="55">
        <f>VLOOKUP($E1372,'NI-Ric_SP'!$C:$AN,MID(AC$1,1,2),FALSE)</f>
        <v>0</v>
      </c>
      <c r="AD1372" s="55">
        <f>VLOOKUP($E1372,'NI-Ric_SP'!$C:$AN,MID(AD$1,1,2),FALSE)</f>
        <v>0</v>
      </c>
      <c r="AE1372" s="55">
        <f>VLOOKUP($E1372,'NI-Ric_SP'!$C:$AN,MID(AE$1,1,2),FALSE)</f>
        <v>0</v>
      </c>
      <c r="AF1372" s="55">
        <f>VLOOKUP($E1372,'NI-Ric_SP'!$C:$AN,MID(AF$1,1,2),FALSE)</f>
        <v>0</v>
      </c>
      <c r="AG1372" s="55">
        <f>VLOOKUP($E1372,'NI-Ric_SP'!$C:$AN,MID(AG$1,1,2),FALSE)</f>
        <v>0</v>
      </c>
      <c r="AH1372" s="55">
        <f>VLOOKUP($E1372,'NI-Ric_SP'!$C:$AN,MID(AH$1,1,2),FALSE)</f>
        <v>0</v>
      </c>
      <c r="AI1372" s="55">
        <f>VLOOKUP($E1372,'NI-Ric_SP'!$C:$AN,MID(AI$1,1,2),FALSE)</f>
        <v>0</v>
      </c>
      <c r="AJ1372" s="55">
        <f>VLOOKUP($E1372,'NI-Ric_SP'!$C:$AN,MID(AJ$1,1,2),FALSE)</f>
        <v>0</v>
      </c>
      <c r="AK1372" s="55">
        <f>VLOOKUP($E1372,'NI-Ric_SP'!$C:$AN,MID(AK$1,1,2),FALSE)</f>
        <v>0</v>
      </c>
      <c r="AL1372" s="55">
        <f>VLOOKUP($E1372,'NI-Ric_SP'!$C:$AN,MID(AL$1,1,2),FALSE)</f>
        <v>0</v>
      </c>
      <c r="AM1372" s="56">
        <f>VLOOKUP($E1372,'NI-Ric_SP'!$C:$AN,MID(AM$1,1,2),FALSE)</f>
        <v>0</v>
      </c>
      <c r="AN1372" s="30" t="str">
        <f t="shared" si="21"/>
        <v>70503030000000</v>
      </c>
    </row>
    <row r="1373" spans="1:40" x14ac:dyDescent="0.25">
      <c r="A1373" s="30" t="s">
        <v>1394</v>
      </c>
      <c r="C1373" s="40"/>
      <c r="D1373" s="98" t="s">
        <v>2482</v>
      </c>
      <c r="E1373" s="98" t="s">
        <v>2483</v>
      </c>
      <c r="F1373" s="102" t="s">
        <v>2750</v>
      </c>
      <c r="H1373" s="52"/>
      <c r="I1373" s="52"/>
      <c r="J1373" s="52" t="s">
        <v>2484</v>
      </c>
      <c r="K1373" s="59" t="s">
        <v>1358</v>
      </c>
      <c r="L1373" s="88"/>
      <c r="M1373" s="52"/>
      <c r="N1373" s="52"/>
      <c r="O1373" s="61"/>
      <c r="P1373" s="79" t="s">
        <v>2485</v>
      </c>
      <c r="Q1373" s="55">
        <f>VLOOKUP(E1373,'NI-Ric_SP'!$C:$AN,12,FALSE)</f>
        <v>0</v>
      </c>
      <c r="R1373" s="55">
        <f>VLOOKUP(E1373,'NI-Ric_SP'!$C:$AN,13,FALSE)</f>
        <v>0</v>
      </c>
      <c r="S1373" s="55">
        <f>VLOOKUP(E1373,'NI-Ric_SP'!$C:$AN,30,FALSE)</f>
        <v>0</v>
      </c>
      <c r="T1373" s="94">
        <f>VLOOKUP(E1373,'NI-Ric_SP'!$C:$AN,31,FALSE)+VLOOKUP(E1373,'NI-Ric_SP'!$C:$AN,32,FALSE)</f>
        <v>0</v>
      </c>
      <c r="U1373" s="55">
        <f>VLOOKUP($E1373,'NI-Ric_SP'!$C:$AN,MID(U$1,1,2),FALSE)</f>
        <v>0</v>
      </c>
      <c r="V1373" s="55">
        <f>VLOOKUP($E1373,'NI-Ric_SP'!$C:$AN,MID(V$1,1,2),FALSE)</f>
        <v>0</v>
      </c>
      <c r="W1373" s="55">
        <f>VLOOKUP($E1373,'NI-Ric_SP'!$C:$AN,MID(W$1,1,2),FALSE)</f>
        <v>0</v>
      </c>
      <c r="X1373" s="55">
        <f>VLOOKUP($E1373,'NI-Ric_SP'!$C:$AN,MID(X$1,1,2),FALSE)</f>
        <v>0</v>
      </c>
      <c r="Y1373" s="55">
        <f>VLOOKUP($E1373,'NI-Ric_SP'!$C:$AN,MID(Y$1,1,2),FALSE)</f>
        <v>0</v>
      </c>
      <c r="Z1373" s="55">
        <f>VLOOKUP($E1373,'NI-Ric_SP'!$C:$AN,MID(Z$1,1,2),FALSE)</f>
        <v>0</v>
      </c>
      <c r="AA1373" s="55">
        <f>VLOOKUP($E1373,'NI-Ric_SP'!$C:$AN,MID(AA$1,1,2),FALSE)</f>
        <v>0</v>
      </c>
      <c r="AB1373" s="55">
        <f>VLOOKUP($E1373,'NI-Ric_SP'!$C:$AN,MID(AB$1,1,2),FALSE)</f>
        <v>0</v>
      </c>
      <c r="AC1373" s="55">
        <f>VLOOKUP($E1373,'NI-Ric_SP'!$C:$AN,MID(AC$1,1,2),FALSE)</f>
        <v>0</v>
      </c>
      <c r="AD1373" s="55">
        <f>VLOOKUP($E1373,'NI-Ric_SP'!$C:$AN,MID(AD$1,1,2),FALSE)</f>
        <v>0</v>
      </c>
      <c r="AE1373" s="55">
        <f>VLOOKUP($E1373,'NI-Ric_SP'!$C:$AN,MID(AE$1,1,2),FALSE)</f>
        <v>0</v>
      </c>
      <c r="AF1373" s="55">
        <f>VLOOKUP($E1373,'NI-Ric_SP'!$C:$AN,MID(AF$1,1,2),FALSE)</f>
        <v>0</v>
      </c>
      <c r="AG1373" s="55">
        <f>VLOOKUP($E1373,'NI-Ric_SP'!$C:$AN,MID(AG$1,1,2),FALSE)</f>
        <v>0</v>
      </c>
      <c r="AH1373" s="55">
        <f>VLOOKUP($E1373,'NI-Ric_SP'!$C:$AN,MID(AH$1,1,2),FALSE)</f>
        <v>0</v>
      </c>
      <c r="AI1373" s="55">
        <f>VLOOKUP($E1373,'NI-Ric_SP'!$C:$AN,MID(AI$1,1,2),FALSE)</f>
        <v>0</v>
      </c>
      <c r="AJ1373" s="55">
        <f>VLOOKUP($E1373,'NI-Ric_SP'!$C:$AN,MID(AJ$1,1,2),FALSE)</f>
        <v>0</v>
      </c>
      <c r="AK1373" s="55">
        <f>VLOOKUP($E1373,'NI-Ric_SP'!$C:$AN,MID(AK$1,1,2),FALSE)</f>
        <v>0</v>
      </c>
      <c r="AL1373" s="55">
        <f>VLOOKUP($E1373,'NI-Ric_SP'!$C:$AN,MID(AL$1,1,2),FALSE)</f>
        <v>0</v>
      </c>
      <c r="AM1373" s="56">
        <f>VLOOKUP($E1373,'NI-Ric_SP'!$C:$AN,MID(AM$1,1,2),FALSE)</f>
        <v>0</v>
      </c>
      <c r="AN1373" s="30" t="str">
        <f t="shared" si="21"/>
        <v>70503040000000</v>
      </c>
    </row>
    <row r="1374" spans="1:40" x14ac:dyDescent="0.25">
      <c r="A1374" s="30" t="s">
        <v>1394</v>
      </c>
      <c r="C1374" s="40"/>
      <c r="D1374" s="98" t="s">
        <v>2486</v>
      </c>
      <c r="E1374" s="98" t="s">
        <v>2487</v>
      </c>
      <c r="F1374" s="102" t="s">
        <v>2750</v>
      </c>
      <c r="H1374" s="52"/>
      <c r="I1374" s="52"/>
      <c r="J1374" s="52" t="s">
        <v>2488</v>
      </c>
      <c r="K1374" s="59" t="s">
        <v>1358</v>
      </c>
      <c r="L1374" s="88"/>
      <c r="M1374" s="52"/>
      <c r="N1374" s="52"/>
      <c r="O1374" s="61"/>
      <c r="P1374" s="79" t="s">
        <v>2489</v>
      </c>
      <c r="Q1374" s="55">
        <f>VLOOKUP(E1374,'NI-Ric_SP'!$C:$AN,12,FALSE)</f>
        <v>0</v>
      </c>
      <c r="R1374" s="55">
        <f>VLOOKUP(E1374,'NI-Ric_SP'!$C:$AN,13,FALSE)</f>
        <v>0</v>
      </c>
      <c r="S1374" s="55">
        <f>VLOOKUP(E1374,'NI-Ric_SP'!$C:$AN,30,FALSE)</f>
        <v>0</v>
      </c>
      <c r="T1374" s="94">
        <f>VLOOKUP(E1374,'NI-Ric_SP'!$C:$AN,31,FALSE)+VLOOKUP(E1374,'NI-Ric_SP'!$C:$AN,32,FALSE)</f>
        <v>0</v>
      </c>
      <c r="U1374" s="55">
        <f>VLOOKUP($E1374,'NI-Ric_SP'!$C:$AN,MID(U$1,1,2),FALSE)</f>
        <v>0</v>
      </c>
      <c r="V1374" s="55">
        <f>VLOOKUP($E1374,'NI-Ric_SP'!$C:$AN,MID(V$1,1,2),FALSE)</f>
        <v>0</v>
      </c>
      <c r="W1374" s="55">
        <f>VLOOKUP($E1374,'NI-Ric_SP'!$C:$AN,MID(W$1,1,2),FALSE)</f>
        <v>0</v>
      </c>
      <c r="X1374" s="55">
        <f>VLOOKUP($E1374,'NI-Ric_SP'!$C:$AN,MID(X$1,1,2),FALSE)</f>
        <v>0</v>
      </c>
      <c r="Y1374" s="55">
        <f>VLOOKUP($E1374,'NI-Ric_SP'!$C:$AN,MID(Y$1,1,2),FALSE)</f>
        <v>0</v>
      </c>
      <c r="Z1374" s="55">
        <f>VLOOKUP($E1374,'NI-Ric_SP'!$C:$AN,MID(Z$1,1,2),FALSE)</f>
        <v>0</v>
      </c>
      <c r="AA1374" s="55">
        <f>VLOOKUP($E1374,'NI-Ric_SP'!$C:$AN,MID(AA$1,1,2),FALSE)</f>
        <v>0</v>
      </c>
      <c r="AB1374" s="55">
        <f>VLOOKUP($E1374,'NI-Ric_SP'!$C:$AN,MID(AB$1,1,2),FALSE)</f>
        <v>0</v>
      </c>
      <c r="AC1374" s="55">
        <f>VLOOKUP($E1374,'NI-Ric_SP'!$C:$AN,MID(AC$1,1,2),FALSE)</f>
        <v>0</v>
      </c>
      <c r="AD1374" s="55">
        <f>VLOOKUP($E1374,'NI-Ric_SP'!$C:$AN,MID(AD$1,1,2),FALSE)</f>
        <v>0</v>
      </c>
      <c r="AE1374" s="55">
        <f>VLOOKUP($E1374,'NI-Ric_SP'!$C:$AN,MID(AE$1,1,2),FALSE)</f>
        <v>0</v>
      </c>
      <c r="AF1374" s="55">
        <f>VLOOKUP($E1374,'NI-Ric_SP'!$C:$AN,MID(AF$1,1,2),FALSE)</f>
        <v>0</v>
      </c>
      <c r="AG1374" s="55">
        <f>VLOOKUP($E1374,'NI-Ric_SP'!$C:$AN,MID(AG$1,1,2),FALSE)</f>
        <v>0</v>
      </c>
      <c r="AH1374" s="55">
        <f>VLOOKUP($E1374,'NI-Ric_SP'!$C:$AN,MID(AH$1,1,2),FALSE)</f>
        <v>0</v>
      </c>
      <c r="AI1374" s="55">
        <f>VLOOKUP($E1374,'NI-Ric_SP'!$C:$AN,MID(AI$1,1,2),FALSE)</f>
        <v>0</v>
      </c>
      <c r="AJ1374" s="55">
        <f>VLOOKUP($E1374,'NI-Ric_SP'!$C:$AN,MID(AJ$1,1,2),FALSE)</f>
        <v>0</v>
      </c>
      <c r="AK1374" s="55">
        <f>VLOOKUP($E1374,'NI-Ric_SP'!$C:$AN,MID(AK$1,1,2),FALSE)</f>
        <v>0</v>
      </c>
      <c r="AL1374" s="55">
        <f>VLOOKUP($E1374,'NI-Ric_SP'!$C:$AN,MID(AL$1,1,2),FALSE)</f>
        <v>0</v>
      </c>
      <c r="AM1374" s="56">
        <f>VLOOKUP($E1374,'NI-Ric_SP'!$C:$AN,MID(AM$1,1,2),FALSE)</f>
        <v>0</v>
      </c>
      <c r="AN1374" s="30" t="str">
        <f t="shared" si="21"/>
        <v>70503050000000</v>
      </c>
    </row>
    <row r="1375" spans="1:40" x14ac:dyDescent="0.25">
      <c r="C1375" s="40"/>
      <c r="D1375" s="101" t="s">
        <v>2490</v>
      </c>
      <c r="E1375" s="101" t="s">
        <v>2491</v>
      </c>
      <c r="F1375" s="102" t="s">
        <v>2750</v>
      </c>
      <c r="G1375" s="52"/>
      <c r="H1375" s="52"/>
      <c r="I1375" s="52"/>
      <c r="J1375" s="52"/>
      <c r="K1375" s="59" t="s">
        <v>111</v>
      </c>
      <c r="L1375" s="62" t="s">
        <v>2492</v>
      </c>
      <c r="M1375" s="52" t="s">
        <v>2269</v>
      </c>
      <c r="N1375" s="52"/>
      <c r="O1375" s="61" t="s">
        <v>2493</v>
      </c>
      <c r="P1375" s="60" t="s">
        <v>2494</v>
      </c>
      <c r="Q1375" s="55">
        <f>VLOOKUP(E1375,'NI-Ric_SP'!$C:$AN,12,FALSE)</f>
        <v>0</v>
      </c>
      <c r="R1375" s="55">
        <f>VLOOKUP(E1375,'NI-Ric_SP'!$C:$AN,13,FALSE)</f>
        <v>0</v>
      </c>
      <c r="S1375" s="55">
        <f>VLOOKUP(E1375,'NI-Ric_SP'!$C:$AN,30,FALSE)</f>
        <v>0</v>
      </c>
      <c r="T1375" s="55">
        <f>VLOOKUP(E1375,'NI-Ric_SP'!$C:$AN,31,FALSE)+VLOOKUP(E1375,'NI-Ric_SP'!$C:$AN,32,FALSE)</f>
        <v>0</v>
      </c>
      <c r="U1375" s="55">
        <f>VLOOKUP($E1375,'NI-Ric_SP'!$C:$AN,MID(U$1,1,2),FALSE)</f>
        <v>0</v>
      </c>
      <c r="V1375" s="55">
        <f>VLOOKUP($E1375,'NI-Ric_SP'!$C:$AN,MID(V$1,1,2),FALSE)</f>
        <v>0</v>
      </c>
      <c r="W1375" s="55">
        <f>VLOOKUP($E1375,'NI-Ric_SP'!$C:$AN,MID(W$1,1,2),FALSE)</f>
        <v>0</v>
      </c>
      <c r="X1375" s="55">
        <f>VLOOKUP($E1375,'NI-Ric_SP'!$C:$AN,MID(X$1,1,2),FALSE)</f>
        <v>0</v>
      </c>
      <c r="Y1375" s="55">
        <f>VLOOKUP($E1375,'NI-Ric_SP'!$C:$AN,MID(Y$1,1,2),FALSE)</f>
        <v>0</v>
      </c>
      <c r="Z1375" s="55">
        <f>VLOOKUP($E1375,'NI-Ric_SP'!$C:$AN,MID(Z$1,1,2),FALSE)</f>
        <v>0</v>
      </c>
      <c r="AA1375" s="55">
        <f>VLOOKUP($E1375,'NI-Ric_SP'!$C:$AN,MID(AA$1,1,2),FALSE)</f>
        <v>0</v>
      </c>
      <c r="AB1375" s="55">
        <f>VLOOKUP($E1375,'NI-Ric_SP'!$C:$AN,MID(AB$1,1,2),FALSE)</f>
        <v>0</v>
      </c>
      <c r="AC1375" s="55">
        <f>VLOOKUP($E1375,'NI-Ric_SP'!$C:$AN,MID(AC$1,1,2),FALSE)</f>
        <v>0</v>
      </c>
      <c r="AD1375" s="55">
        <f>VLOOKUP($E1375,'NI-Ric_SP'!$C:$AN,MID(AD$1,1,2),FALSE)</f>
        <v>0</v>
      </c>
      <c r="AE1375" s="55">
        <f>VLOOKUP($E1375,'NI-Ric_SP'!$C:$AN,MID(AE$1,1,2),FALSE)</f>
        <v>0</v>
      </c>
      <c r="AF1375" s="55">
        <f>VLOOKUP($E1375,'NI-Ric_SP'!$C:$AN,MID(AF$1,1,2),FALSE)</f>
        <v>0</v>
      </c>
      <c r="AG1375" s="55">
        <f>VLOOKUP($E1375,'NI-Ric_SP'!$C:$AN,MID(AG$1,1,2),FALSE)</f>
        <v>0</v>
      </c>
      <c r="AH1375" s="55">
        <f>VLOOKUP($E1375,'NI-Ric_SP'!$C:$AN,MID(AH$1,1,2),FALSE)</f>
        <v>0</v>
      </c>
      <c r="AI1375" s="55">
        <f>VLOOKUP($E1375,'NI-Ric_SP'!$C:$AN,MID(AI$1,1,2),FALSE)</f>
        <v>0</v>
      </c>
      <c r="AJ1375" s="55">
        <f>VLOOKUP($E1375,'NI-Ric_SP'!$C:$AN,MID(AJ$1,1,2),FALSE)</f>
        <v>0</v>
      </c>
      <c r="AK1375" s="55">
        <f>VLOOKUP($E1375,'NI-Ric_SP'!$C:$AN,MID(AK$1,1,2),FALSE)</f>
        <v>0</v>
      </c>
      <c r="AL1375" s="55">
        <f>VLOOKUP($E1375,'NI-Ric_SP'!$C:$AN,MID(AL$1,1,2),FALSE)</f>
        <v>0</v>
      </c>
      <c r="AM1375" s="56">
        <f>VLOOKUP($E1375,'NI-Ric_SP'!$C:$AN,MID(AM$1,1,2),FALSE)</f>
        <v>0</v>
      </c>
      <c r="AN1375" s="30" t="str">
        <f t="shared" si="21"/>
        <v>70600000000000</v>
      </c>
    </row>
    <row r="1376" spans="1:40" x14ac:dyDescent="0.25">
      <c r="C1376" s="40"/>
      <c r="D1376" s="101" t="s">
        <v>2495</v>
      </c>
      <c r="E1376" s="101" t="s">
        <v>2496</v>
      </c>
      <c r="F1376" s="102" t="s">
        <v>2750</v>
      </c>
      <c r="G1376" s="96"/>
      <c r="H1376" s="52"/>
      <c r="I1376" s="52" t="s">
        <v>2497</v>
      </c>
      <c r="J1376" s="52" t="s">
        <v>2497</v>
      </c>
      <c r="K1376" s="59" t="s">
        <v>111</v>
      </c>
      <c r="L1376" s="52"/>
      <c r="M1376" s="52"/>
      <c r="N1376" s="52"/>
      <c r="O1376" s="52"/>
      <c r="P1376" s="63" t="s">
        <v>2498</v>
      </c>
      <c r="Q1376" s="55">
        <f>VLOOKUP(E1376,'NI-Ric_SP'!$C:$AN,12,FALSE)</f>
        <v>0</v>
      </c>
      <c r="R1376" s="55">
        <f>VLOOKUP(E1376,'NI-Ric_SP'!$C:$AN,13,FALSE)</f>
        <v>0</v>
      </c>
      <c r="S1376" s="55">
        <f>VLOOKUP(E1376,'NI-Ric_SP'!$C:$AN,30,FALSE)</f>
        <v>0</v>
      </c>
      <c r="T1376" s="94">
        <f>VLOOKUP(E1376,'NI-Ric_SP'!$C:$AN,31,FALSE)+VLOOKUP(E1376,'NI-Ric_SP'!$C:$AN,32,FALSE)</f>
        <v>0</v>
      </c>
      <c r="U1376" s="55">
        <f>VLOOKUP($E1376,'NI-Ric_SP'!$C:$AN,MID(U$1,1,2),FALSE)</f>
        <v>0</v>
      </c>
      <c r="V1376" s="55">
        <f>VLOOKUP($E1376,'NI-Ric_SP'!$C:$AN,MID(V$1,1,2),FALSE)</f>
        <v>0</v>
      </c>
      <c r="W1376" s="55">
        <f>VLOOKUP($E1376,'NI-Ric_SP'!$C:$AN,MID(W$1,1,2),FALSE)</f>
        <v>0</v>
      </c>
      <c r="X1376" s="55">
        <f>VLOOKUP($E1376,'NI-Ric_SP'!$C:$AN,MID(X$1,1,2),FALSE)</f>
        <v>0</v>
      </c>
      <c r="Y1376" s="55">
        <f>VLOOKUP($E1376,'NI-Ric_SP'!$C:$AN,MID(Y$1,1,2),FALSE)</f>
        <v>0</v>
      </c>
      <c r="Z1376" s="55">
        <f>VLOOKUP($E1376,'NI-Ric_SP'!$C:$AN,MID(Z$1,1,2),FALSE)</f>
        <v>0</v>
      </c>
      <c r="AA1376" s="55">
        <f>VLOOKUP($E1376,'NI-Ric_SP'!$C:$AN,MID(AA$1,1,2),FALSE)</f>
        <v>0</v>
      </c>
      <c r="AB1376" s="55">
        <f>VLOOKUP($E1376,'NI-Ric_SP'!$C:$AN,MID(AB$1,1,2),FALSE)</f>
        <v>0</v>
      </c>
      <c r="AC1376" s="55">
        <f>VLOOKUP($E1376,'NI-Ric_SP'!$C:$AN,MID(AC$1,1,2),FALSE)</f>
        <v>0</v>
      </c>
      <c r="AD1376" s="55">
        <f>VLOOKUP($E1376,'NI-Ric_SP'!$C:$AN,MID(AD$1,1,2),FALSE)</f>
        <v>0</v>
      </c>
      <c r="AE1376" s="55">
        <f>VLOOKUP($E1376,'NI-Ric_SP'!$C:$AN,MID(AE$1,1,2),FALSE)</f>
        <v>0</v>
      </c>
      <c r="AF1376" s="55">
        <f>VLOOKUP($E1376,'NI-Ric_SP'!$C:$AN,MID(AF$1,1,2),FALSE)</f>
        <v>0</v>
      </c>
      <c r="AG1376" s="55">
        <f>VLOOKUP($E1376,'NI-Ric_SP'!$C:$AN,MID(AG$1,1,2),FALSE)</f>
        <v>0</v>
      </c>
      <c r="AH1376" s="55">
        <f>VLOOKUP($E1376,'NI-Ric_SP'!$C:$AN,MID(AH$1,1,2),FALSE)</f>
        <v>0</v>
      </c>
      <c r="AI1376" s="55">
        <f>VLOOKUP($E1376,'NI-Ric_SP'!$C:$AN,MID(AI$1,1,2),FALSE)</f>
        <v>0</v>
      </c>
      <c r="AJ1376" s="55">
        <f>VLOOKUP($E1376,'NI-Ric_SP'!$C:$AN,MID(AJ$1,1,2),FALSE)</f>
        <v>0</v>
      </c>
      <c r="AK1376" s="55">
        <f>VLOOKUP($E1376,'NI-Ric_SP'!$C:$AN,MID(AK$1,1,2),FALSE)</f>
        <v>0</v>
      </c>
      <c r="AL1376" s="55">
        <f>VLOOKUP($E1376,'NI-Ric_SP'!$C:$AN,MID(AL$1,1,2),FALSE)</f>
        <v>0</v>
      </c>
      <c r="AM1376" s="56">
        <f>VLOOKUP($E1376,'NI-Ric_SP'!$C:$AN,MID(AM$1,1,2),FALSE)</f>
        <v>0</v>
      </c>
      <c r="AN1376" s="30" t="str">
        <f t="shared" si="21"/>
        <v>70601000000000</v>
      </c>
    </row>
    <row r="1377" spans="1:40" x14ac:dyDescent="0.25">
      <c r="C1377" s="40"/>
      <c r="D1377" s="101" t="s">
        <v>2499</v>
      </c>
      <c r="E1377" s="101" t="s">
        <v>2500</v>
      </c>
      <c r="F1377" s="102" t="s">
        <v>2750</v>
      </c>
      <c r="G1377" s="96"/>
      <c r="H1377" s="52"/>
      <c r="I1377" s="52"/>
      <c r="J1377" s="52"/>
      <c r="K1377" s="59" t="s">
        <v>79</v>
      </c>
      <c r="L1377" s="52"/>
      <c r="M1377" s="52"/>
      <c r="N1377" s="52"/>
      <c r="O1377" s="52"/>
      <c r="P1377" s="104" t="s">
        <v>2501</v>
      </c>
      <c r="Q1377" s="55">
        <f>VLOOKUP(E1377,'NI-Ric_SP'!$C:$AN,12,FALSE)</f>
        <v>0</v>
      </c>
      <c r="R1377" s="55">
        <f>VLOOKUP(E1377,'NI-Ric_SP'!$C:$AN,13,FALSE)</f>
        <v>0</v>
      </c>
      <c r="S1377" s="55">
        <f>VLOOKUP(E1377,'NI-Ric_SP'!$C:$AN,30,FALSE)</f>
        <v>0</v>
      </c>
      <c r="T1377" s="94">
        <f>VLOOKUP(E1377,'NI-Ric_SP'!$C:$AN,31,FALSE)+VLOOKUP(E1377,'NI-Ric_SP'!$C:$AN,32,FALSE)</f>
        <v>0</v>
      </c>
      <c r="U1377" s="55">
        <f>VLOOKUP($E1377,'NI-Ric_SP'!$C:$AN,MID(U$1,1,2),FALSE)</f>
        <v>0</v>
      </c>
      <c r="V1377" s="55">
        <f>VLOOKUP($E1377,'NI-Ric_SP'!$C:$AN,MID(V$1,1,2),FALSE)</f>
        <v>0</v>
      </c>
      <c r="W1377" s="55">
        <f>VLOOKUP($E1377,'NI-Ric_SP'!$C:$AN,MID(W$1,1,2),FALSE)</f>
        <v>0</v>
      </c>
      <c r="X1377" s="55">
        <f>VLOOKUP($E1377,'NI-Ric_SP'!$C:$AN,MID(X$1,1,2),FALSE)</f>
        <v>0</v>
      </c>
      <c r="Y1377" s="55">
        <f>VLOOKUP($E1377,'NI-Ric_SP'!$C:$AN,MID(Y$1,1,2),FALSE)</f>
        <v>0</v>
      </c>
      <c r="Z1377" s="55">
        <f>VLOOKUP($E1377,'NI-Ric_SP'!$C:$AN,MID(Z$1,1,2),FALSE)</f>
        <v>0</v>
      </c>
      <c r="AA1377" s="55">
        <f>VLOOKUP($E1377,'NI-Ric_SP'!$C:$AN,MID(AA$1,1,2),FALSE)</f>
        <v>0</v>
      </c>
      <c r="AB1377" s="55">
        <f>VLOOKUP($E1377,'NI-Ric_SP'!$C:$AN,MID(AB$1,1,2),FALSE)</f>
        <v>0</v>
      </c>
      <c r="AC1377" s="55">
        <f>VLOOKUP($E1377,'NI-Ric_SP'!$C:$AN,MID(AC$1,1,2),FALSE)</f>
        <v>0</v>
      </c>
      <c r="AD1377" s="55">
        <f>VLOOKUP($E1377,'NI-Ric_SP'!$C:$AN,MID(AD$1,1,2),FALSE)</f>
        <v>0</v>
      </c>
      <c r="AE1377" s="55">
        <f>VLOOKUP($E1377,'NI-Ric_SP'!$C:$AN,MID(AE$1,1,2),FALSE)</f>
        <v>0</v>
      </c>
      <c r="AF1377" s="55">
        <f>VLOOKUP($E1377,'NI-Ric_SP'!$C:$AN,MID(AF$1,1,2),FALSE)</f>
        <v>0</v>
      </c>
      <c r="AG1377" s="55">
        <f>VLOOKUP($E1377,'NI-Ric_SP'!$C:$AN,MID(AG$1,1,2),FALSE)</f>
        <v>0</v>
      </c>
      <c r="AH1377" s="55">
        <f>VLOOKUP($E1377,'NI-Ric_SP'!$C:$AN,MID(AH$1,1,2),FALSE)</f>
        <v>0</v>
      </c>
      <c r="AI1377" s="55">
        <f>VLOOKUP($E1377,'NI-Ric_SP'!$C:$AN,MID(AI$1,1,2),FALSE)</f>
        <v>0</v>
      </c>
      <c r="AJ1377" s="55">
        <f>VLOOKUP($E1377,'NI-Ric_SP'!$C:$AN,MID(AJ$1,1,2),FALSE)</f>
        <v>0</v>
      </c>
      <c r="AK1377" s="55">
        <f>VLOOKUP($E1377,'NI-Ric_SP'!$C:$AN,MID(AK$1,1,2),FALSE)</f>
        <v>0</v>
      </c>
      <c r="AL1377" s="55">
        <f>VLOOKUP($E1377,'NI-Ric_SP'!$C:$AN,MID(AL$1,1,2),FALSE)</f>
        <v>0</v>
      </c>
      <c r="AM1377" s="56">
        <f>VLOOKUP($E1377,'NI-Ric_SP'!$C:$AN,MID(AM$1,1,2),FALSE)</f>
        <v>0</v>
      </c>
      <c r="AN1377" s="30" t="str">
        <f t="shared" si="21"/>
        <v>70601010000000</v>
      </c>
    </row>
    <row r="1378" spans="1:40" x14ac:dyDescent="0.25">
      <c r="C1378" s="40"/>
      <c r="D1378" s="101" t="s">
        <v>2502</v>
      </c>
      <c r="E1378" s="101" t="s">
        <v>2503</v>
      </c>
      <c r="F1378" s="102" t="s">
        <v>2750</v>
      </c>
      <c r="G1378" s="96"/>
      <c r="H1378" s="52"/>
      <c r="I1378" s="52"/>
      <c r="J1378" s="52"/>
      <c r="K1378" s="59" t="s">
        <v>79</v>
      </c>
      <c r="L1378" s="52"/>
      <c r="M1378" s="52"/>
      <c r="N1378" s="52"/>
      <c r="O1378" s="52"/>
      <c r="P1378" s="104" t="s">
        <v>2504</v>
      </c>
      <c r="Q1378" s="55">
        <f>VLOOKUP(E1378,'NI-Ric_SP'!$C:$AN,12,FALSE)</f>
        <v>0</v>
      </c>
      <c r="R1378" s="55">
        <f>VLOOKUP(E1378,'NI-Ric_SP'!$C:$AN,13,FALSE)</f>
        <v>0</v>
      </c>
      <c r="S1378" s="55">
        <f>VLOOKUP(E1378,'NI-Ric_SP'!$C:$AN,30,FALSE)</f>
        <v>0</v>
      </c>
      <c r="T1378" s="94">
        <f>VLOOKUP(E1378,'NI-Ric_SP'!$C:$AN,31,FALSE)+VLOOKUP(E1378,'NI-Ric_SP'!$C:$AN,32,FALSE)</f>
        <v>0</v>
      </c>
      <c r="U1378" s="55">
        <f>VLOOKUP($E1378,'NI-Ric_SP'!$C:$AN,MID(U$1,1,2),FALSE)</f>
        <v>0</v>
      </c>
      <c r="V1378" s="55">
        <f>VLOOKUP($E1378,'NI-Ric_SP'!$C:$AN,MID(V$1,1,2),FALSE)</f>
        <v>0</v>
      </c>
      <c r="W1378" s="55">
        <f>VLOOKUP($E1378,'NI-Ric_SP'!$C:$AN,MID(W$1,1,2),FALSE)</f>
        <v>0</v>
      </c>
      <c r="X1378" s="55">
        <f>VLOOKUP($E1378,'NI-Ric_SP'!$C:$AN,MID(X$1,1,2),FALSE)</f>
        <v>0</v>
      </c>
      <c r="Y1378" s="55">
        <f>VLOOKUP($E1378,'NI-Ric_SP'!$C:$AN,MID(Y$1,1,2),FALSE)</f>
        <v>0</v>
      </c>
      <c r="Z1378" s="55">
        <f>VLOOKUP($E1378,'NI-Ric_SP'!$C:$AN,MID(Z$1,1,2),FALSE)</f>
        <v>0</v>
      </c>
      <c r="AA1378" s="55">
        <f>VLOOKUP($E1378,'NI-Ric_SP'!$C:$AN,MID(AA$1,1,2),FALSE)</f>
        <v>0</v>
      </c>
      <c r="AB1378" s="55">
        <f>VLOOKUP($E1378,'NI-Ric_SP'!$C:$AN,MID(AB$1,1,2),FALSE)</f>
        <v>0</v>
      </c>
      <c r="AC1378" s="55">
        <f>VLOOKUP($E1378,'NI-Ric_SP'!$C:$AN,MID(AC$1,1,2),FALSE)</f>
        <v>0</v>
      </c>
      <c r="AD1378" s="55">
        <f>VLOOKUP($E1378,'NI-Ric_SP'!$C:$AN,MID(AD$1,1,2),FALSE)</f>
        <v>0</v>
      </c>
      <c r="AE1378" s="55">
        <f>VLOOKUP($E1378,'NI-Ric_SP'!$C:$AN,MID(AE$1,1,2),FALSE)</f>
        <v>0</v>
      </c>
      <c r="AF1378" s="55">
        <f>VLOOKUP($E1378,'NI-Ric_SP'!$C:$AN,MID(AF$1,1,2),FALSE)</f>
        <v>0</v>
      </c>
      <c r="AG1378" s="55">
        <f>VLOOKUP($E1378,'NI-Ric_SP'!$C:$AN,MID(AG$1,1,2),FALSE)</f>
        <v>0</v>
      </c>
      <c r="AH1378" s="55">
        <f>VLOOKUP($E1378,'NI-Ric_SP'!$C:$AN,MID(AH$1,1,2),FALSE)</f>
        <v>0</v>
      </c>
      <c r="AI1378" s="55">
        <f>VLOOKUP($E1378,'NI-Ric_SP'!$C:$AN,MID(AI$1,1,2),FALSE)</f>
        <v>0</v>
      </c>
      <c r="AJ1378" s="55">
        <f>VLOOKUP($E1378,'NI-Ric_SP'!$C:$AN,MID(AJ$1,1,2),FALSE)</f>
        <v>0</v>
      </c>
      <c r="AK1378" s="55">
        <f>VLOOKUP($E1378,'NI-Ric_SP'!$C:$AN,MID(AK$1,1,2),FALSE)</f>
        <v>0</v>
      </c>
      <c r="AL1378" s="55">
        <f>VLOOKUP($E1378,'NI-Ric_SP'!$C:$AN,MID(AL$1,1,2),FALSE)</f>
        <v>0</v>
      </c>
      <c r="AM1378" s="56">
        <f>VLOOKUP($E1378,'NI-Ric_SP'!$C:$AN,MID(AM$1,1,2),FALSE)</f>
        <v>0</v>
      </c>
      <c r="AN1378" s="30" t="str">
        <f t="shared" si="21"/>
        <v>70601020000000</v>
      </c>
    </row>
    <row r="1379" spans="1:40" x14ac:dyDescent="0.25">
      <c r="C1379" s="40"/>
      <c r="D1379" s="101" t="s">
        <v>2505</v>
      </c>
      <c r="E1379" s="101" t="s">
        <v>2506</v>
      </c>
      <c r="F1379" s="102" t="s">
        <v>2750</v>
      </c>
      <c r="G1379" s="96"/>
      <c r="H1379" s="52"/>
      <c r="I1379" s="52" t="s">
        <v>2507</v>
      </c>
      <c r="J1379" s="52" t="s">
        <v>2507</v>
      </c>
      <c r="K1379" s="59" t="s">
        <v>79</v>
      </c>
      <c r="L1379" s="52"/>
      <c r="M1379" s="52"/>
      <c r="N1379" s="52"/>
      <c r="O1379" s="52"/>
      <c r="P1379" s="63" t="s">
        <v>2508</v>
      </c>
      <c r="Q1379" s="55">
        <f>VLOOKUP(E1379,'NI-Ric_SP'!$C:$AN,12,FALSE)</f>
        <v>0</v>
      </c>
      <c r="R1379" s="55">
        <f>VLOOKUP(E1379,'NI-Ric_SP'!$C:$AN,13,FALSE)</f>
        <v>0</v>
      </c>
      <c r="S1379" s="55">
        <f>VLOOKUP(E1379,'NI-Ric_SP'!$C:$AN,30,FALSE)</f>
        <v>0</v>
      </c>
      <c r="T1379" s="94">
        <f>VLOOKUP(E1379,'NI-Ric_SP'!$C:$AN,31,FALSE)+VLOOKUP(E1379,'NI-Ric_SP'!$C:$AN,32,FALSE)</f>
        <v>0</v>
      </c>
      <c r="U1379" s="55">
        <f>VLOOKUP($E1379,'NI-Ric_SP'!$C:$AN,MID(U$1,1,2),FALSE)</f>
        <v>0</v>
      </c>
      <c r="V1379" s="55">
        <f>VLOOKUP($E1379,'NI-Ric_SP'!$C:$AN,MID(V$1,1,2),FALSE)</f>
        <v>0</v>
      </c>
      <c r="W1379" s="55">
        <f>VLOOKUP($E1379,'NI-Ric_SP'!$C:$AN,MID(W$1,1,2),FALSE)</f>
        <v>0</v>
      </c>
      <c r="X1379" s="55">
        <f>VLOOKUP($E1379,'NI-Ric_SP'!$C:$AN,MID(X$1,1,2),FALSE)</f>
        <v>0</v>
      </c>
      <c r="Y1379" s="55">
        <f>VLOOKUP($E1379,'NI-Ric_SP'!$C:$AN,MID(Y$1,1,2),FALSE)</f>
        <v>0</v>
      </c>
      <c r="Z1379" s="55">
        <f>VLOOKUP($E1379,'NI-Ric_SP'!$C:$AN,MID(Z$1,1,2),FALSE)</f>
        <v>0</v>
      </c>
      <c r="AA1379" s="55">
        <f>VLOOKUP($E1379,'NI-Ric_SP'!$C:$AN,MID(AA$1,1,2),FALSE)</f>
        <v>0</v>
      </c>
      <c r="AB1379" s="55">
        <f>VLOOKUP($E1379,'NI-Ric_SP'!$C:$AN,MID(AB$1,1,2),FALSE)</f>
        <v>0</v>
      </c>
      <c r="AC1379" s="55">
        <f>VLOOKUP($E1379,'NI-Ric_SP'!$C:$AN,MID(AC$1,1,2),FALSE)</f>
        <v>0</v>
      </c>
      <c r="AD1379" s="55">
        <f>VLOOKUP($E1379,'NI-Ric_SP'!$C:$AN,MID(AD$1,1,2),FALSE)</f>
        <v>0</v>
      </c>
      <c r="AE1379" s="55">
        <f>VLOOKUP($E1379,'NI-Ric_SP'!$C:$AN,MID(AE$1,1,2),FALSE)</f>
        <v>0</v>
      </c>
      <c r="AF1379" s="55">
        <f>VLOOKUP($E1379,'NI-Ric_SP'!$C:$AN,MID(AF$1,1,2),FALSE)</f>
        <v>0</v>
      </c>
      <c r="AG1379" s="55">
        <f>VLOOKUP($E1379,'NI-Ric_SP'!$C:$AN,MID(AG$1,1,2),FALSE)</f>
        <v>0</v>
      </c>
      <c r="AH1379" s="55">
        <f>VLOOKUP($E1379,'NI-Ric_SP'!$C:$AN,MID(AH$1,1,2),FALSE)</f>
        <v>0</v>
      </c>
      <c r="AI1379" s="55">
        <f>VLOOKUP($E1379,'NI-Ric_SP'!$C:$AN,MID(AI$1,1,2),FALSE)</f>
        <v>0</v>
      </c>
      <c r="AJ1379" s="55">
        <f>VLOOKUP($E1379,'NI-Ric_SP'!$C:$AN,MID(AJ$1,1,2),FALSE)</f>
        <v>0</v>
      </c>
      <c r="AK1379" s="55">
        <f>VLOOKUP($E1379,'NI-Ric_SP'!$C:$AN,MID(AK$1,1,2),FALSE)</f>
        <v>0</v>
      </c>
      <c r="AL1379" s="55">
        <f>VLOOKUP($E1379,'NI-Ric_SP'!$C:$AN,MID(AL$1,1,2),FALSE)</f>
        <v>0</v>
      </c>
      <c r="AM1379" s="56">
        <f>VLOOKUP($E1379,'NI-Ric_SP'!$C:$AN,MID(AM$1,1,2),FALSE)</f>
        <v>0</v>
      </c>
      <c r="AN1379" s="30" t="str">
        <f t="shared" si="21"/>
        <v>70602000000000</v>
      </c>
    </row>
    <row r="1380" spans="1:40" x14ac:dyDescent="0.25">
      <c r="C1380" s="40"/>
      <c r="D1380" s="101" t="s">
        <v>2509</v>
      </c>
      <c r="E1380" s="101" t="s">
        <v>2510</v>
      </c>
      <c r="F1380" s="102" t="s">
        <v>2750</v>
      </c>
      <c r="G1380" s="96"/>
      <c r="H1380" s="52"/>
      <c r="I1380" s="52" t="s">
        <v>2511</v>
      </c>
      <c r="J1380" s="52" t="s">
        <v>2511</v>
      </c>
      <c r="K1380" s="59" t="s">
        <v>111</v>
      </c>
      <c r="L1380" s="52"/>
      <c r="M1380" s="52"/>
      <c r="N1380" s="52"/>
      <c r="O1380" s="52"/>
      <c r="P1380" s="63" t="s">
        <v>2512</v>
      </c>
      <c r="Q1380" s="55">
        <f>VLOOKUP(E1380,'NI-Ric_SP'!$C:$AN,12,FALSE)</f>
        <v>0</v>
      </c>
      <c r="R1380" s="55">
        <f>VLOOKUP(E1380,'NI-Ric_SP'!$C:$AN,13,FALSE)</f>
        <v>0</v>
      </c>
      <c r="S1380" s="55">
        <f>VLOOKUP(E1380,'NI-Ric_SP'!$C:$AN,30,FALSE)</f>
        <v>0</v>
      </c>
      <c r="T1380" s="94">
        <f>VLOOKUP(E1380,'NI-Ric_SP'!$C:$AN,31,FALSE)+VLOOKUP(E1380,'NI-Ric_SP'!$C:$AN,32,FALSE)</f>
        <v>0</v>
      </c>
      <c r="U1380" s="55">
        <f>VLOOKUP($E1380,'NI-Ric_SP'!$C:$AN,MID(U$1,1,2),FALSE)</f>
        <v>0</v>
      </c>
      <c r="V1380" s="55">
        <f>VLOOKUP($E1380,'NI-Ric_SP'!$C:$AN,MID(V$1,1,2),FALSE)</f>
        <v>0</v>
      </c>
      <c r="W1380" s="55">
        <f>VLOOKUP($E1380,'NI-Ric_SP'!$C:$AN,MID(W$1,1,2),FALSE)</f>
        <v>0</v>
      </c>
      <c r="X1380" s="55">
        <f>VLOOKUP($E1380,'NI-Ric_SP'!$C:$AN,MID(X$1,1,2),FALSE)</f>
        <v>0</v>
      </c>
      <c r="Y1380" s="55">
        <f>VLOOKUP($E1380,'NI-Ric_SP'!$C:$AN,MID(Y$1,1,2),FALSE)</f>
        <v>0</v>
      </c>
      <c r="Z1380" s="55">
        <f>VLOOKUP($E1380,'NI-Ric_SP'!$C:$AN,MID(Z$1,1,2),FALSE)</f>
        <v>0</v>
      </c>
      <c r="AA1380" s="55">
        <f>VLOOKUP($E1380,'NI-Ric_SP'!$C:$AN,MID(AA$1,1,2),FALSE)</f>
        <v>0</v>
      </c>
      <c r="AB1380" s="55">
        <f>VLOOKUP($E1380,'NI-Ric_SP'!$C:$AN,MID(AB$1,1,2),FALSE)</f>
        <v>0</v>
      </c>
      <c r="AC1380" s="55">
        <f>VLOOKUP($E1380,'NI-Ric_SP'!$C:$AN,MID(AC$1,1,2),FALSE)</f>
        <v>0</v>
      </c>
      <c r="AD1380" s="55">
        <f>VLOOKUP($E1380,'NI-Ric_SP'!$C:$AN,MID(AD$1,1,2),FALSE)</f>
        <v>0</v>
      </c>
      <c r="AE1380" s="55">
        <f>VLOOKUP($E1380,'NI-Ric_SP'!$C:$AN,MID(AE$1,1,2),FALSE)</f>
        <v>0</v>
      </c>
      <c r="AF1380" s="55">
        <f>VLOOKUP($E1380,'NI-Ric_SP'!$C:$AN,MID(AF$1,1,2),FALSE)</f>
        <v>0</v>
      </c>
      <c r="AG1380" s="55">
        <f>VLOOKUP($E1380,'NI-Ric_SP'!$C:$AN,MID(AG$1,1,2),FALSE)</f>
        <v>0</v>
      </c>
      <c r="AH1380" s="55">
        <f>VLOOKUP($E1380,'NI-Ric_SP'!$C:$AN,MID(AH$1,1,2),FALSE)</f>
        <v>0</v>
      </c>
      <c r="AI1380" s="55">
        <f>VLOOKUP($E1380,'NI-Ric_SP'!$C:$AN,MID(AI$1,1,2),FALSE)</f>
        <v>0</v>
      </c>
      <c r="AJ1380" s="55">
        <f>VLOOKUP($E1380,'NI-Ric_SP'!$C:$AN,MID(AJ$1,1,2),FALSE)</f>
        <v>0</v>
      </c>
      <c r="AK1380" s="55">
        <f>VLOOKUP($E1380,'NI-Ric_SP'!$C:$AN,MID(AK$1,1,2),FALSE)</f>
        <v>0</v>
      </c>
      <c r="AL1380" s="55">
        <f>VLOOKUP($E1380,'NI-Ric_SP'!$C:$AN,MID(AL$1,1,2),FALSE)</f>
        <v>0</v>
      </c>
      <c r="AM1380" s="56">
        <f>VLOOKUP($E1380,'NI-Ric_SP'!$C:$AN,MID(AM$1,1,2),FALSE)</f>
        <v>0</v>
      </c>
      <c r="AN1380" s="30" t="str">
        <f t="shared" si="21"/>
        <v>70603000000000</v>
      </c>
    </row>
    <row r="1381" spans="1:40" x14ac:dyDescent="0.25">
      <c r="C1381" s="40"/>
      <c r="D1381" s="101" t="s">
        <v>2513</v>
      </c>
      <c r="E1381" s="101" t="s">
        <v>2514</v>
      </c>
      <c r="F1381" s="102" t="s">
        <v>2750</v>
      </c>
      <c r="G1381" s="96"/>
      <c r="H1381" s="52"/>
      <c r="I1381" s="52"/>
      <c r="J1381" s="52"/>
      <c r="K1381" s="59" t="s">
        <v>79</v>
      </c>
      <c r="L1381" s="52"/>
      <c r="M1381" s="52"/>
      <c r="N1381" s="52"/>
      <c r="O1381" s="52"/>
      <c r="P1381" s="104" t="s">
        <v>2515</v>
      </c>
      <c r="Q1381" s="55">
        <f>VLOOKUP(E1381,'NI-Ric_SP'!$C:$AN,12,FALSE)</f>
        <v>0</v>
      </c>
      <c r="R1381" s="55">
        <f>VLOOKUP(E1381,'NI-Ric_SP'!$C:$AN,13,FALSE)</f>
        <v>0</v>
      </c>
      <c r="S1381" s="55">
        <f>VLOOKUP(E1381,'NI-Ric_SP'!$C:$AN,30,FALSE)</f>
        <v>0</v>
      </c>
      <c r="T1381" s="94">
        <f>VLOOKUP(E1381,'NI-Ric_SP'!$C:$AN,31,FALSE)+VLOOKUP(E1381,'NI-Ric_SP'!$C:$AN,32,FALSE)</f>
        <v>0</v>
      </c>
      <c r="U1381" s="55">
        <f>VLOOKUP($E1381,'NI-Ric_SP'!$C:$AN,MID(U$1,1,2),FALSE)</f>
        <v>0</v>
      </c>
      <c r="V1381" s="55">
        <f>VLOOKUP($E1381,'NI-Ric_SP'!$C:$AN,MID(V$1,1,2),FALSE)</f>
        <v>0</v>
      </c>
      <c r="W1381" s="55">
        <f>VLOOKUP($E1381,'NI-Ric_SP'!$C:$AN,MID(W$1,1,2),FALSE)</f>
        <v>0</v>
      </c>
      <c r="X1381" s="55">
        <f>VLOOKUP($E1381,'NI-Ric_SP'!$C:$AN,MID(X$1,1,2),FALSE)</f>
        <v>0</v>
      </c>
      <c r="Y1381" s="55">
        <f>VLOOKUP($E1381,'NI-Ric_SP'!$C:$AN,MID(Y$1,1,2),FALSE)</f>
        <v>0</v>
      </c>
      <c r="Z1381" s="55">
        <f>VLOOKUP($E1381,'NI-Ric_SP'!$C:$AN,MID(Z$1,1,2),FALSE)</f>
        <v>0</v>
      </c>
      <c r="AA1381" s="55">
        <f>VLOOKUP($E1381,'NI-Ric_SP'!$C:$AN,MID(AA$1,1,2),FALSE)</f>
        <v>0</v>
      </c>
      <c r="AB1381" s="55">
        <f>VLOOKUP($E1381,'NI-Ric_SP'!$C:$AN,MID(AB$1,1,2),FALSE)</f>
        <v>0</v>
      </c>
      <c r="AC1381" s="55">
        <f>VLOOKUP($E1381,'NI-Ric_SP'!$C:$AN,MID(AC$1,1,2),FALSE)</f>
        <v>0</v>
      </c>
      <c r="AD1381" s="55">
        <f>VLOOKUP($E1381,'NI-Ric_SP'!$C:$AN,MID(AD$1,1,2),FALSE)</f>
        <v>0</v>
      </c>
      <c r="AE1381" s="55">
        <f>VLOOKUP($E1381,'NI-Ric_SP'!$C:$AN,MID(AE$1,1,2),FALSE)</f>
        <v>0</v>
      </c>
      <c r="AF1381" s="55">
        <f>VLOOKUP($E1381,'NI-Ric_SP'!$C:$AN,MID(AF$1,1,2),FALSE)</f>
        <v>0</v>
      </c>
      <c r="AG1381" s="55">
        <f>VLOOKUP($E1381,'NI-Ric_SP'!$C:$AN,MID(AG$1,1,2),FALSE)</f>
        <v>0</v>
      </c>
      <c r="AH1381" s="55">
        <f>VLOOKUP($E1381,'NI-Ric_SP'!$C:$AN,MID(AH$1,1,2),FALSE)</f>
        <v>0</v>
      </c>
      <c r="AI1381" s="55">
        <f>VLOOKUP($E1381,'NI-Ric_SP'!$C:$AN,MID(AI$1,1,2),FALSE)</f>
        <v>0</v>
      </c>
      <c r="AJ1381" s="55">
        <f>VLOOKUP($E1381,'NI-Ric_SP'!$C:$AN,MID(AJ$1,1,2),FALSE)</f>
        <v>0</v>
      </c>
      <c r="AK1381" s="55">
        <f>VLOOKUP($E1381,'NI-Ric_SP'!$C:$AN,MID(AK$1,1,2),FALSE)</f>
        <v>0</v>
      </c>
      <c r="AL1381" s="55">
        <f>VLOOKUP($E1381,'NI-Ric_SP'!$C:$AN,MID(AL$1,1,2),FALSE)</f>
        <v>0</v>
      </c>
      <c r="AM1381" s="56">
        <f>VLOOKUP($E1381,'NI-Ric_SP'!$C:$AN,MID(AM$1,1,2),FALSE)</f>
        <v>0</v>
      </c>
      <c r="AN1381" s="30" t="str">
        <f t="shared" si="21"/>
        <v>70603010000000</v>
      </c>
    </row>
    <row r="1382" spans="1:40" x14ac:dyDescent="0.25">
      <c r="C1382" s="40"/>
      <c r="D1382" s="101" t="s">
        <v>2516</v>
      </c>
      <c r="E1382" s="101" t="s">
        <v>2517</v>
      </c>
      <c r="F1382" s="102" t="s">
        <v>2750</v>
      </c>
      <c r="G1382" s="96"/>
      <c r="H1382" s="52"/>
      <c r="I1382" s="52"/>
      <c r="J1382" s="52"/>
      <c r="K1382" s="59" t="s">
        <v>79</v>
      </c>
      <c r="L1382" s="52"/>
      <c r="M1382" s="52"/>
      <c r="N1382" s="52"/>
      <c r="O1382" s="52"/>
      <c r="P1382" s="104" t="s">
        <v>2518</v>
      </c>
      <c r="Q1382" s="55">
        <f>VLOOKUP(E1382,'NI-Ric_SP'!$C:$AN,12,FALSE)</f>
        <v>0</v>
      </c>
      <c r="R1382" s="55">
        <f>VLOOKUP(E1382,'NI-Ric_SP'!$C:$AN,13,FALSE)</f>
        <v>0</v>
      </c>
      <c r="S1382" s="55">
        <f>VLOOKUP(E1382,'NI-Ric_SP'!$C:$AN,30,FALSE)</f>
        <v>0</v>
      </c>
      <c r="T1382" s="94">
        <f>VLOOKUP(E1382,'NI-Ric_SP'!$C:$AN,31,FALSE)+VLOOKUP(E1382,'NI-Ric_SP'!$C:$AN,32,FALSE)</f>
        <v>0</v>
      </c>
      <c r="U1382" s="55">
        <f>VLOOKUP($E1382,'NI-Ric_SP'!$C:$AN,MID(U$1,1,2),FALSE)</f>
        <v>0</v>
      </c>
      <c r="V1382" s="55">
        <f>VLOOKUP($E1382,'NI-Ric_SP'!$C:$AN,MID(V$1,1,2),FALSE)</f>
        <v>0</v>
      </c>
      <c r="W1382" s="55">
        <f>VLOOKUP($E1382,'NI-Ric_SP'!$C:$AN,MID(W$1,1,2),FALSE)</f>
        <v>0</v>
      </c>
      <c r="X1382" s="55">
        <f>VLOOKUP($E1382,'NI-Ric_SP'!$C:$AN,MID(X$1,1,2),FALSE)</f>
        <v>0</v>
      </c>
      <c r="Y1382" s="55">
        <f>VLOOKUP($E1382,'NI-Ric_SP'!$C:$AN,MID(Y$1,1,2),FALSE)</f>
        <v>0</v>
      </c>
      <c r="Z1382" s="55">
        <f>VLOOKUP($E1382,'NI-Ric_SP'!$C:$AN,MID(Z$1,1,2),FALSE)</f>
        <v>0</v>
      </c>
      <c r="AA1382" s="55">
        <f>VLOOKUP($E1382,'NI-Ric_SP'!$C:$AN,MID(AA$1,1,2),FALSE)</f>
        <v>0</v>
      </c>
      <c r="AB1382" s="55">
        <f>VLOOKUP($E1382,'NI-Ric_SP'!$C:$AN,MID(AB$1,1,2),FALSE)</f>
        <v>0</v>
      </c>
      <c r="AC1382" s="55">
        <f>VLOOKUP($E1382,'NI-Ric_SP'!$C:$AN,MID(AC$1,1,2),FALSE)</f>
        <v>0</v>
      </c>
      <c r="AD1382" s="55">
        <f>VLOOKUP($E1382,'NI-Ric_SP'!$C:$AN,MID(AD$1,1,2),FALSE)</f>
        <v>0</v>
      </c>
      <c r="AE1382" s="55">
        <f>VLOOKUP($E1382,'NI-Ric_SP'!$C:$AN,MID(AE$1,1,2),FALSE)</f>
        <v>0</v>
      </c>
      <c r="AF1382" s="55">
        <f>VLOOKUP($E1382,'NI-Ric_SP'!$C:$AN,MID(AF$1,1,2),FALSE)</f>
        <v>0</v>
      </c>
      <c r="AG1382" s="55">
        <f>VLOOKUP($E1382,'NI-Ric_SP'!$C:$AN,MID(AG$1,1,2),FALSE)</f>
        <v>0</v>
      </c>
      <c r="AH1382" s="55">
        <f>VLOOKUP($E1382,'NI-Ric_SP'!$C:$AN,MID(AH$1,1,2),FALSE)</f>
        <v>0</v>
      </c>
      <c r="AI1382" s="55">
        <f>VLOOKUP($E1382,'NI-Ric_SP'!$C:$AN,MID(AI$1,1,2),FALSE)</f>
        <v>0</v>
      </c>
      <c r="AJ1382" s="55">
        <f>VLOOKUP($E1382,'NI-Ric_SP'!$C:$AN,MID(AJ$1,1,2),FALSE)</f>
        <v>0</v>
      </c>
      <c r="AK1382" s="55">
        <f>VLOOKUP($E1382,'NI-Ric_SP'!$C:$AN,MID(AK$1,1,2),FALSE)</f>
        <v>0</v>
      </c>
      <c r="AL1382" s="55">
        <f>VLOOKUP($E1382,'NI-Ric_SP'!$C:$AN,MID(AL$1,1,2),FALSE)</f>
        <v>0</v>
      </c>
      <c r="AM1382" s="56">
        <f>VLOOKUP($E1382,'NI-Ric_SP'!$C:$AN,MID(AM$1,1,2),FALSE)</f>
        <v>0</v>
      </c>
      <c r="AN1382" s="30" t="str">
        <f t="shared" si="21"/>
        <v>70603020000000</v>
      </c>
    </row>
    <row r="1383" spans="1:40" x14ac:dyDescent="0.25">
      <c r="C1383" s="40"/>
      <c r="D1383" s="101" t="s">
        <v>2519</v>
      </c>
      <c r="E1383" s="101" t="s">
        <v>2520</v>
      </c>
      <c r="F1383" s="102" t="s">
        <v>2750</v>
      </c>
      <c r="G1383" s="52"/>
      <c r="H1383" s="52"/>
      <c r="I1383" s="52"/>
      <c r="J1383" s="52"/>
      <c r="K1383" s="59" t="s">
        <v>111</v>
      </c>
      <c r="L1383" s="62" t="s">
        <v>2521</v>
      </c>
      <c r="M1383" s="52" t="s">
        <v>2352</v>
      </c>
      <c r="N1383" s="52"/>
      <c r="O1383" s="61" t="s">
        <v>2522</v>
      </c>
      <c r="P1383" s="60" t="s">
        <v>2523</v>
      </c>
      <c r="Q1383" s="55">
        <f>VLOOKUP(E1383,'NI-Ric_SP'!$C:$AN,12,FALSE)</f>
        <v>0</v>
      </c>
      <c r="R1383" s="55">
        <f>VLOOKUP(E1383,'NI-Ric_SP'!$C:$AN,13,FALSE)</f>
        <v>0</v>
      </c>
      <c r="S1383" s="55">
        <f>VLOOKUP(E1383,'NI-Ric_SP'!$C:$AN,30,FALSE)</f>
        <v>0</v>
      </c>
      <c r="T1383" s="55">
        <f>VLOOKUP(E1383,'NI-Ric_SP'!$C:$AN,31,FALSE)+VLOOKUP(E1383,'NI-Ric_SP'!$C:$AN,32,FALSE)</f>
        <v>0</v>
      </c>
      <c r="U1383" s="55">
        <f>VLOOKUP($E1383,'NI-Ric_SP'!$C:$AN,MID(U$1,1,2),FALSE)</f>
        <v>0</v>
      </c>
      <c r="V1383" s="55">
        <f>VLOOKUP($E1383,'NI-Ric_SP'!$C:$AN,MID(V$1,1,2),FALSE)</f>
        <v>0</v>
      </c>
      <c r="W1383" s="55">
        <f>VLOOKUP($E1383,'NI-Ric_SP'!$C:$AN,MID(W$1,1,2),FALSE)</f>
        <v>0</v>
      </c>
      <c r="X1383" s="55">
        <f>VLOOKUP($E1383,'NI-Ric_SP'!$C:$AN,MID(X$1,1,2),FALSE)</f>
        <v>0</v>
      </c>
      <c r="Y1383" s="55">
        <f>VLOOKUP($E1383,'NI-Ric_SP'!$C:$AN,MID(Y$1,1,2),FALSE)</f>
        <v>0</v>
      </c>
      <c r="Z1383" s="55">
        <f>VLOOKUP($E1383,'NI-Ric_SP'!$C:$AN,MID(Z$1,1,2),FALSE)</f>
        <v>0</v>
      </c>
      <c r="AA1383" s="55">
        <f>VLOOKUP($E1383,'NI-Ric_SP'!$C:$AN,MID(AA$1,1,2),FALSE)</f>
        <v>0</v>
      </c>
      <c r="AB1383" s="55">
        <f>VLOOKUP($E1383,'NI-Ric_SP'!$C:$AN,MID(AB$1,1,2),FALSE)</f>
        <v>0</v>
      </c>
      <c r="AC1383" s="55">
        <f>VLOOKUP($E1383,'NI-Ric_SP'!$C:$AN,MID(AC$1,1,2),FALSE)</f>
        <v>0</v>
      </c>
      <c r="AD1383" s="55">
        <f>VLOOKUP($E1383,'NI-Ric_SP'!$C:$AN,MID(AD$1,1,2),FALSE)</f>
        <v>0</v>
      </c>
      <c r="AE1383" s="55">
        <f>VLOOKUP($E1383,'NI-Ric_SP'!$C:$AN,MID(AE$1,1,2),FALSE)</f>
        <v>0</v>
      </c>
      <c r="AF1383" s="55">
        <f>VLOOKUP($E1383,'NI-Ric_SP'!$C:$AN,MID(AF$1,1,2),FALSE)</f>
        <v>0</v>
      </c>
      <c r="AG1383" s="55">
        <f>VLOOKUP($E1383,'NI-Ric_SP'!$C:$AN,MID(AG$1,1,2),FALSE)</f>
        <v>0</v>
      </c>
      <c r="AH1383" s="55">
        <f>VLOOKUP($E1383,'NI-Ric_SP'!$C:$AN,MID(AH$1,1,2),FALSE)</f>
        <v>0</v>
      </c>
      <c r="AI1383" s="55">
        <f>VLOOKUP($E1383,'NI-Ric_SP'!$C:$AN,MID(AI$1,1,2),FALSE)</f>
        <v>0</v>
      </c>
      <c r="AJ1383" s="55">
        <f>VLOOKUP($E1383,'NI-Ric_SP'!$C:$AN,MID(AJ$1,1,2),FALSE)</f>
        <v>0</v>
      </c>
      <c r="AK1383" s="55">
        <f>VLOOKUP($E1383,'NI-Ric_SP'!$C:$AN,MID(AK$1,1,2),FALSE)</f>
        <v>0</v>
      </c>
      <c r="AL1383" s="55">
        <f>VLOOKUP($E1383,'NI-Ric_SP'!$C:$AN,MID(AL$1,1,2),FALSE)</f>
        <v>0</v>
      </c>
      <c r="AM1383" s="56">
        <f>VLOOKUP($E1383,'NI-Ric_SP'!$C:$AN,MID(AM$1,1,2),FALSE)</f>
        <v>0</v>
      </c>
      <c r="AN1383" s="30" t="str">
        <f t="shared" si="21"/>
        <v>70700000000000</v>
      </c>
    </row>
    <row r="1384" spans="1:40" x14ac:dyDescent="0.25">
      <c r="C1384" s="40"/>
      <c r="D1384" s="101" t="s">
        <v>2524</v>
      </c>
      <c r="E1384" s="101" t="s">
        <v>2525</v>
      </c>
      <c r="F1384" s="102" t="s">
        <v>2750</v>
      </c>
      <c r="G1384" s="52"/>
      <c r="H1384" s="52"/>
      <c r="I1384" s="52" t="s">
        <v>2526</v>
      </c>
      <c r="J1384" s="52"/>
      <c r="K1384" s="59" t="s">
        <v>111</v>
      </c>
      <c r="L1384" s="52"/>
      <c r="M1384" s="52"/>
      <c r="N1384" s="52"/>
      <c r="O1384" s="52"/>
      <c r="P1384" s="63" t="s">
        <v>2527</v>
      </c>
      <c r="Q1384" s="55">
        <f>VLOOKUP(E1384,'NI-Ric_SP'!$C:$AN,12,FALSE)</f>
        <v>0</v>
      </c>
      <c r="R1384" s="55">
        <f>VLOOKUP(E1384,'NI-Ric_SP'!$C:$AN,13,FALSE)</f>
        <v>0</v>
      </c>
      <c r="S1384" s="55">
        <f>VLOOKUP(E1384,'NI-Ric_SP'!$C:$AN,30,FALSE)</f>
        <v>0</v>
      </c>
      <c r="T1384" s="94">
        <f>VLOOKUP(E1384,'NI-Ric_SP'!$C:$AN,31,FALSE)+VLOOKUP(E1384,'NI-Ric_SP'!$C:$AN,32,FALSE)</f>
        <v>0</v>
      </c>
      <c r="U1384" s="55">
        <f>VLOOKUP($E1384,'NI-Ric_SP'!$C:$AN,MID(U$1,1,2),FALSE)</f>
        <v>0</v>
      </c>
      <c r="V1384" s="55">
        <f>VLOOKUP($E1384,'NI-Ric_SP'!$C:$AN,MID(V$1,1,2),FALSE)</f>
        <v>0</v>
      </c>
      <c r="W1384" s="55">
        <f>VLOOKUP($E1384,'NI-Ric_SP'!$C:$AN,MID(W$1,1,2),FALSE)</f>
        <v>0</v>
      </c>
      <c r="X1384" s="55">
        <f>VLOOKUP($E1384,'NI-Ric_SP'!$C:$AN,MID(X$1,1,2),FALSE)</f>
        <v>0</v>
      </c>
      <c r="Y1384" s="55">
        <f>VLOOKUP($E1384,'NI-Ric_SP'!$C:$AN,MID(Y$1,1,2),FALSE)</f>
        <v>0</v>
      </c>
      <c r="Z1384" s="55">
        <f>VLOOKUP($E1384,'NI-Ric_SP'!$C:$AN,MID(Z$1,1,2),FALSE)</f>
        <v>0</v>
      </c>
      <c r="AA1384" s="55">
        <f>VLOOKUP($E1384,'NI-Ric_SP'!$C:$AN,MID(AA$1,1,2),FALSE)</f>
        <v>0</v>
      </c>
      <c r="AB1384" s="55">
        <f>VLOOKUP($E1384,'NI-Ric_SP'!$C:$AN,MID(AB$1,1,2),FALSE)</f>
        <v>0</v>
      </c>
      <c r="AC1384" s="55">
        <f>VLOOKUP($E1384,'NI-Ric_SP'!$C:$AN,MID(AC$1,1,2),FALSE)</f>
        <v>0</v>
      </c>
      <c r="AD1384" s="55">
        <f>VLOOKUP($E1384,'NI-Ric_SP'!$C:$AN,MID(AD$1,1,2),FALSE)</f>
        <v>0</v>
      </c>
      <c r="AE1384" s="55">
        <f>VLOOKUP($E1384,'NI-Ric_SP'!$C:$AN,MID(AE$1,1,2),FALSE)</f>
        <v>0</v>
      </c>
      <c r="AF1384" s="55">
        <f>VLOOKUP($E1384,'NI-Ric_SP'!$C:$AN,MID(AF$1,1,2),FALSE)</f>
        <v>0</v>
      </c>
      <c r="AG1384" s="55">
        <f>VLOOKUP($E1384,'NI-Ric_SP'!$C:$AN,MID(AG$1,1,2),FALSE)</f>
        <v>0</v>
      </c>
      <c r="AH1384" s="55">
        <f>VLOOKUP($E1384,'NI-Ric_SP'!$C:$AN,MID(AH$1,1,2),FALSE)</f>
        <v>0</v>
      </c>
      <c r="AI1384" s="55">
        <f>VLOOKUP($E1384,'NI-Ric_SP'!$C:$AN,MID(AI$1,1,2),FALSE)</f>
        <v>0</v>
      </c>
      <c r="AJ1384" s="55">
        <f>VLOOKUP($E1384,'NI-Ric_SP'!$C:$AN,MID(AJ$1,1,2),FALSE)</f>
        <v>0</v>
      </c>
      <c r="AK1384" s="55">
        <f>VLOOKUP($E1384,'NI-Ric_SP'!$C:$AN,MID(AK$1,1,2),FALSE)</f>
        <v>0</v>
      </c>
      <c r="AL1384" s="55">
        <f>VLOOKUP($E1384,'NI-Ric_SP'!$C:$AN,MID(AL$1,1,2),FALSE)</f>
        <v>0</v>
      </c>
      <c r="AM1384" s="56">
        <f>VLOOKUP($E1384,'NI-Ric_SP'!$C:$AN,MID(AM$1,1,2),FALSE)</f>
        <v>0</v>
      </c>
      <c r="AN1384" s="30" t="str">
        <f t="shared" si="21"/>
        <v>70701010000000</v>
      </c>
    </row>
    <row r="1385" spans="1:40" x14ac:dyDescent="0.25">
      <c r="C1385" s="40"/>
      <c r="D1385" s="101" t="s">
        <v>2528</v>
      </c>
      <c r="E1385" s="101" t="s">
        <v>2529</v>
      </c>
      <c r="F1385" s="102" t="s">
        <v>2750</v>
      </c>
      <c r="G1385" s="52"/>
      <c r="H1385" s="52"/>
      <c r="I1385" s="52"/>
      <c r="J1385" s="52" t="s">
        <v>2530</v>
      </c>
      <c r="K1385" s="59" t="s">
        <v>79</v>
      </c>
      <c r="L1385" s="52"/>
      <c r="M1385" s="52"/>
      <c r="N1385" s="52"/>
      <c r="O1385" s="52"/>
      <c r="P1385" s="119" t="s">
        <v>2531</v>
      </c>
      <c r="Q1385" s="55">
        <f>VLOOKUP(E1385,'NI-Ric_SP'!$C:$AN,12,FALSE)</f>
        <v>0</v>
      </c>
      <c r="R1385" s="55">
        <f>VLOOKUP(E1385,'NI-Ric_SP'!$C:$AN,13,FALSE)</f>
        <v>0</v>
      </c>
      <c r="S1385" s="55">
        <f>VLOOKUP(E1385,'NI-Ric_SP'!$C:$AN,30,FALSE)</f>
        <v>0</v>
      </c>
      <c r="T1385" s="94">
        <f>VLOOKUP(E1385,'NI-Ric_SP'!$C:$AN,31,FALSE)+VLOOKUP(E1385,'NI-Ric_SP'!$C:$AN,32,FALSE)</f>
        <v>0</v>
      </c>
      <c r="U1385" s="55">
        <f>VLOOKUP($E1385,'NI-Ric_SP'!$C:$AN,MID(U$1,1,2),FALSE)</f>
        <v>0</v>
      </c>
      <c r="V1385" s="55">
        <f>VLOOKUP($E1385,'NI-Ric_SP'!$C:$AN,MID(V$1,1,2),FALSE)</f>
        <v>0</v>
      </c>
      <c r="W1385" s="55">
        <f>VLOOKUP($E1385,'NI-Ric_SP'!$C:$AN,MID(W$1,1,2),FALSE)</f>
        <v>0</v>
      </c>
      <c r="X1385" s="55">
        <f>VLOOKUP($E1385,'NI-Ric_SP'!$C:$AN,MID(X$1,1,2),FALSE)</f>
        <v>0</v>
      </c>
      <c r="Y1385" s="55">
        <f>VLOOKUP($E1385,'NI-Ric_SP'!$C:$AN,MID(Y$1,1,2),FALSE)</f>
        <v>0</v>
      </c>
      <c r="Z1385" s="55">
        <f>VLOOKUP($E1385,'NI-Ric_SP'!$C:$AN,MID(Z$1,1,2),FALSE)</f>
        <v>0</v>
      </c>
      <c r="AA1385" s="55">
        <f>VLOOKUP($E1385,'NI-Ric_SP'!$C:$AN,MID(AA$1,1,2),FALSE)</f>
        <v>0</v>
      </c>
      <c r="AB1385" s="55">
        <f>VLOOKUP($E1385,'NI-Ric_SP'!$C:$AN,MID(AB$1,1,2),FALSE)</f>
        <v>0</v>
      </c>
      <c r="AC1385" s="55">
        <f>VLOOKUP($E1385,'NI-Ric_SP'!$C:$AN,MID(AC$1,1,2),FALSE)</f>
        <v>0</v>
      </c>
      <c r="AD1385" s="55">
        <f>VLOOKUP($E1385,'NI-Ric_SP'!$C:$AN,MID(AD$1,1,2),FALSE)</f>
        <v>0</v>
      </c>
      <c r="AE1385" s="55">
        <f>VLOOKUP($E1385,'NI-Ric_SP'!$C:$AN,MID(AE$1,1,2),FALSE)</f>
        <v>0</v>
      </c>
      <c r="AF1385" s="55">
        <f>VLOOKUP($E1385,'NI-Ric_SP'!$C:$AN,MID(AF$1,1,2),FALSE)</f>
        <v>0</v>
      </c>
      <c r="AG1385" s="55">
        <f>VLOOKUP($E1385,'NI-Ric_SP'!$C:$AN,MID(AG$1,1,2),FALSE)</f>
        <v>0</v>
      </c>
      <c r="AH1385" s="55">
        <f>VLOOKUP($E1385,'NI-Ric_SP'!$C:$AN,MID(AH$1,1,2),FALSE)</f>
        <v>0</v>
      </c>
      <c r="AI1385" s="55">
        <f>VLOOKUP($E1385,'NI-Ric_SP'!$C:$AN,MID(AI$1,1,2),FALSE)</f>
        <v>0</v>
      </c>
      <c r="AJ1385" s="55">
        <f>VLOOKUP($E1385,'NI-Ric_SP'!$C:$AN,MID(AJ$1,1,2),FALSE)</f>
        <v>0</v>
      </c>
      <c r="AK1385" s="55">
        <f>VLOOKUP($E1385,'NI-Ric_SP'!$C:$AN,MID(AK$1,1,2),FALSE)</f>
        <v>0</v>
      </c>
      <c r="AL1385" s="55">
        <f>VLOOKUP($E1385,'NI-Ric_SP'!$C:$AN,MID(AL$1,1,2),FALSE)</f>
        <v>0</v>
      </c>
      <c r="AM1385" s="56">
        <f>VLOOKUP($E1385,'NI-Ric_SP'!$C:$AN,MID(AM$1,1,2),FALSE)</f>
        <v>0</v>
      </c>
      <c r="AN1385" s="30" t="str">
        <f t="shared" si="21"/>
        <v>70701010010000</v>
      </c>
    </row>
    <row r="1386" spans="1:40" x14ac:dyDescent="0.25">
      <c r="C1386" s="40"/>
      <c r="D1386" s="101" t="s">
        <v>2532</v>
      </c>
      <c r="E1386" s="101" t="s">
        <v>2533</v>
      </c>
      <c r="F1386" s="102" t="s">
        <v>2750</v>
      </c>
      <c r="G1386" s="52"/>
      <c r="H1386" s="52"/>
      <c r="I1386" s="52"/>
      <c r="J1386" s="52" t="s">
        <v>2530</v>
      </c>
      <c r="K1386" s="59" t="s">
        <v>79</v>
      </c>
      <c r="L1386" s="52"/>
      <c r="M1386" s="52"/>
      <c r="N1386" s="52"/>
      <c r="O1386" s="52"/>
      <c r="P1386" s="119" t="s">
        <v>2534</v>
      </c>
      <c r="Q1386" s="55">
        <f>VLOOKUP(E1386,'NI-Ric_SP'!$C:$AN,12,FALSE)</f>
        <v>0</v>
      </c>
      <c r="R1386" s="55">
        <f>VLOOKUP(E1386,'NI-Ric_SP'!$C:$AN,13,FALSE)</f>
        <v>0</v>
      </c>
      <c r="S1386" s="55">
        <f>VLOOKUP(E1386,'NI-Ric_SP'!$C:$AN,30,FALSE)</f>
        <v>0</v>
      </c>
      <c r="T1386" s="94">
        <f>VLOOKUP(E1386,'NI-Ric_SP'!$C:$AN,31,FALSE)+VLOOKUP(E1386,'NI-Ric_SP'!$C:$AN,32,FALSE)</f>
        <v>0</v>
      </c>
      <c r="U1386" s="55">
        <f>VLOOKUP($E1386,'NI-Ric_SP'!$C:$AN,MID(U$1,1,2),FALSE)</f>
        <v>0</v>
      </c>
      <c r="V1386" s="55">
        <f>VLOOKUP($E1386,'NI-Ric_SP'!$C:$AN,MID(V$1,1,2),FALSE)</f>
        <v>0</v>
      </c>
      <c r="W1386" s="55">
        <f>VLOOKUP($E1386,'NI-Ric_SP'!$C:$AN,MID(W$1,1,2),FALSE)</f>
        <v>0</v>
      </c>
      <c r="X1386" s="55">
        <f>VLOOKUP($E1386,'NI-Ric_SP'!$C:$AN,MID(X$1,1,2),FALSE)</f>
        <v>0</v>
      </c>
      <c r="Y1386" s="55">
        <f>VLOOKUP($E1386,'NI-Ric_SP'!$C:$AN,MID(Y$1,1,2),FALSE)</f>
        <v>0</v>
      </c>
      <c r="Z1386" s="55">
        <f>VLOOKUP($E1386,'NI-Ric_SP'!$C:$AN,MID(Z$1,1,2),FALSE)</f>
        <v>0</v>
      </c>
      <c r="AA1386" s="55">
        <f>VLOOKUP($E1386,'NI-Ric_SP'!$C:$AN,MID(AA$1,1,2),FALSE)</f>
        <v>0</v>
      </c>
      <c r="AB1386" s="55">
        <f>VLOOKUP($E1386,'NI-Ric_SP'!$C:$AN,MID(AB$1,1,2),FALSE)</f>
        <v>0</v>
      </c>
      <c r="AC1386" s="55">
        <f>VLOOKUP($E1386,'NI-Ric_SP'!$C:$AN,MID(AC$1,1,2),FALSE)</f>
        <v>0</v>
      </c>
      <c r="AD1386" s="55">
        <f>VLOOKUP($E1386,'NI-Ric_SP'!$C:$AN,MID(AD$1,1,2),FALSE)</f>
        <v>0</v>
      </c>
      <c r="AE1386" s="55">
        <f>VLOOKUP($E1386,'NI-Ric_SP'!$C:$AN,MID(AE$1,1,2),FALSE)</f>
        <v>0</v>
      </c>
      <c r="AF1386" s="55">
        <f>VLOOKUP($E1386,'NI-Ric_SP'!$C:$AN,MID(AF$1,1,2),FALSE)</f>
        <v>0</v>
      </c>
      <c r="AG1386" s="55">
        <f>VLOOKUP($E1386,'NI-Ric_SP'!$C:$AN,MID(AG$1,1,2),FALSE)</f>
        <v>0</v>
      </c>
      <c r="AH1386" s="55">
        <f>VLOOKUP($E1386,'NI-Ric_SP'!$C:$AN,MID(AH$1,1,2),FALSE)</f>
        <v>0</v>
      </c>
      <c r="AI1386" s="55">
        <f>VLOOKUP($E1386,'NI-Ric_SP'!$C:$AN,MID(AI$1,1,2),FALSE)</f>
        <v>0</v>
      </c>
      <c r="AJ1386" s="55">
        <f>VLOOKUP($E1386,'NI-Ric_SP'!$C:$AN,MID(AJ$1,1,2),FALSE)</f>
        <v>0</v>
      </c>
      <c r="AK1386" s="55">
        <f>VLOOKUP($E1386,'NI-Ric_SP'!$C:$AN,MID(AK$1,1,2),FALSE)</f>
        <v>0</v>
      </c>
      <c r="AL1386" s="55">
        <f>VLOOKUP($E1386,'NI-Ric_SP'!$C:$AN,MID(AL$1,1,2),FALSE)</f>
        <v>0</v>
      </c>
      <c r="AM1386" s="56">
        <f>VLOOKUP($E1386,'NI-Ric_SP'!$C:$AN,MID(AM$1,1,2),FALSE)</f>
        <v>0</v>
      </c>
      <c r="AN1386" s="30" t="str">
        <f t="shared" si="21"/>
        <v>70701010020000</v>
      </c>
    </row>
    <row r="1387" spans="1:40" x14ac:dyDescent="0.25">
      <c r="C1387" s="40"/>
      <c r="D1387" s="101" t="s">
        <v>2535</v>
      </c>
      <c r="E1387" s="101" t="s">
        <v>2536</v>
      </c>
      <c r="F1387" s="102" t="s">
        <v>2750</v>
      </c>
      <c r="G1387" s="52"/>
      <c r="H1387" s="52"/>
      <c r="I1387" s="52"/>
      <c r="J1387" s="52" t="s">
        <v>2530</v>
      </c>
      <c r="K1387" s="59" t="s">
        <v>79</v>
      </c>
      <c r="L1387" s="52"/>
      <c r="M1387" s="52"/>
      <c r="N1387" s="52"/>
      <c r="O1387" s="52"/>
      <c r="P1387" s="119" t="s">
        <v>2537</v>
      </c>
      <c r="Q1387" s="55">
        <f>VLOOKUP(E1387,'NI-Ric_SP'!$C:$AN,12,FALSE)</f>
        <v>0</v>
      </c>
      <c r="R1387" s="55">
        <f>VLOOKUP(E1387,'NI-Ric_SP'!$C:$AN,13,FALSE)</f>
        <v>0</v>
      </c>
      <c r="S1387" s="55">
        <f>VLOOKUP(E1387,'NI-Ric_SP'!$C:$AN,30,FALSE)</f>
        <v>0</v>
      </c>
      <c r="T1387" s="94">
        <f>VLOOKUP(E1387,'NI-Ric_SP'!$C:$AN,31,FALSE)+VLOOKUP(E1387,'NI-Ric_SP'!$C:$AN,32,FALSE)</f>
        <v>0</v>
      </c>
      <c r="U1387" s="55">
        <f>VLOOKUP($E1387,'NI-Ric_SP'!$C:$AN,MID(U$1,1,2),FALSE)</f>
        <v>0</v>
      </c>
      <c r="V1387" s="55">
        <f>VLOOKUP($E1387,'NI-Ric_SP'!$C:$AN,MID(V$1,1,2),FALSE)</f>
        <v>0</v>
      </c>
      <c r="W1387" s="55">
        <f>VLOOKUP($E1387,'NI-Ric_SP'!$C:$AN,MID(W$1,1,2),FALSE)</f>
        <v>0</v>
      </c>
      <c r="X1387" s="55">
        <f>VLOOKUP($E1387,'NI-Ric_SP'!$C:$AN,MID(X$1,1,2),FALSE)</f>
        <v>0</v>
      </c>
      <c r="Y1387" s="55">
        <f>VLOOKUP($E1387,'NI-Ric_SP'!$C:$AN,MID(Y$1,1,2),FALSE)</f>
        <v>0</v>
      </c>
      <c r="Z1387" s="55">
        <f>VLOOKUP($E1387,'NI-Ric_SP'!$C:$AN,MID(Z$1,1,2),FALSE)</f>
        <v>0</v>
      </c>
      <c r="AA1387" s="55">
        <f>VLOOKUP($E1387,'NI-Ric_SP'!$C:$AN,MID(AA$1,1,2),FALSE)</f>
        <v>0</v>
      </c>
      <c r="AB1387" s="55">
        <f>VLOOKUP($E1387,'NI-Ric_SP'!$C:$AN,MID(AB$1,1,2),FALSE)</f>
        <v>0</v>
      </c>
      <c r="AC1387" s="55">
        <f>VLOOKUP($E1387,'NI-Ric_SP'!$C:$AN,MID(AC$1,1,2),FALSE)</f>
        <v>0</v>
      </c>
      <c r="AD1387" s="55">
        <f>VLOOKUP($E1387,'NI-Ric_SP'!$C:$AN,MID(AD$1,1,2),FALSE)</f>
        <v>0</v>
      </c>
      <c r="AE1387" s="55">
        <f>VLOOKUP($E1387,'NI-Ric_SP'!$C:$AN,MID(AE$1,1,2),FALSE)</f>
        <v>0</v>
      </c>
      <c r="AF1387" s="55">
        <f>VLOOKUP($E1387,'NI-Ric_SP'!$C:$AN,MID(AF$1,1,2),FALSE)</f>
        <v>0</v>
      </c>
      <c r="AG1387" s="55">
        <f>VLOOKUP($E1387,'NI-Ric_SP'!$C:$AN,MID(AG$1,1,2),FALSE)</f>
        <v>0</v>
      </c>
      <c r="AH1387" s="55">
        <f>VLOOKUP($E1387,'NI-Ric_SP'!$C:$AN,MID(AH$1,1,2),FALSE)</f>
        <v>0</v>
      </c>
      <c r="AI1387" s="55">
        <f>VLOOKUP($E1387,'NI-Ric_SP'!$C:$AN,MID(AI$1,1,2),FALSE)</f>
        <v>0</v>
      </c>
      <c r="AJ1387" s="55">
        <f>VLOOKUP($E1387,'NI-Ric_SP'!$C:$AN,MID(AJ$1,1,2),FALSE)</f>
        <v>0</v>
      </c>
      <c r="AK1387" s="55">
        <f>VLOOKUP($E1387,'NI-Ric_SP'!$C:$AN,MID(AK$1,1,2),FALSE)</f>
        <v>0</v>
      </c>
      <c r="AL1387" s="55">
        <f>VLOOKUP($E1387,'NI-Ric_SP'!$C:$AN,MID(AL$1,1,2),FALSE)</f>
        <v>0</v>
      </c>
      <c r="AM1387" s="56">
        <f>VLOOKUP($E1387,'NI-Ric_SP'!$C:$AN,MID(AM$1,1,2),FALSE)</f>
        <v>0</v>
      </c>
      <c r="AN1387" s="30" t="str">
        <f t="shared" si="21"/>
        <v>70701010030000</v>
      </c>
    </row>
    <row r="1388" spans="1:40" x14ac:dyDescent="0.25">
      <c r="C1388" s="40"/>
      <c r="D1388" s="101" t="s">
        <v>2538</v>
      </c>
      <c r="E1388" s="101" t="s">
        <v>2539</v>
      </c>
      <c r="F1388" s="102" t="s">
        <v>2750</v>
      </c>
      <c r="G1388" s="52"/>
      <c r="H1388" s="52"/>
      <c r="I1388" s="52"/>
      <c r="J1388" s="52" t="s">
        <v>2530</v>
      </c>
      <c r="K1388" s="59" t="s">
        <v>79</v>
      </c>
      <c r="L1388" s="52"/>
      <c r="M1388" s="52"/>
      <c r="N1388" s="52"/>
      <c r="O1388" s="52"/>
      <c r="P1388" s="119" t="s">
        <v>2540</v>
      </c>
      <c r="Q1388" s="55">
        <f>VLOOKUP(E1388,'NI-Ric_SP'!$C:$AN,12,FALSE)</f>
        <v>0</v>
      </c>
      <c r="R1388" s="55">
        <f>VLOOKUP(E1388,'NI-Ric_SP'!$C:$AN,13,FALSE)</f>
        <v>0</v>
      </c>
      <c r="S1388" s="55">
        <f>VLOOKUP(E1388,'NI-Ric_SP'!$C:$AN,30,FALSE)</f>
        <v>0</v>
      </c>
      <c r="T1388" s="94">
        <f>VLOOKUP(E1388,'NI-Ric_SP'!$C:$AN,31,FALSE)+VLOOKUP(E1388,'NI-Ric_SP'!$C:$AN,32,FALSE)</f>
        <v>0</v>
      </c>
      <c r="U1388" s="55">
        <f>VLOOKUP($E1388,'NI-Ric_SP'!$C:$AN,MID(U$1,1,2),FALSE)</f>
        <v>0</v>
      </c>
      <c r="V1388" s="55">
        <f>VLOOKUP($E1388,'NI-Ric_SP'!$C:$AN,MID(V$1,1,2),FALSE)</f>
        <v>0</v>
      </c>
      <c r="W1388" s="55">
        <f>VLOOKUP($E1388,'NI-Ric_SP'!$C:$AN,MID(W$1,1,2),FALSE)</f>
        <v>0</v>
      </c>
      <c r="X1388" s="55">
        <f>VLOOKUP($E1388,'NI-Ric_SP'!$C:$AN,MID(X$1,1,2),FALSE)</f>
        <v>0</v>
      </c>
      <c r="Y1388" s="55">
        <f>VLOOKUP($E1388,'NI-Ric_SP'!$C:$AN,MID(Y$1,1,2),FALSE)</f>
        <v>0</v>
      </c>
      <c r="Z1388" s="55">
        <f>VLOOKUP($E1388,'NI-Ric_SP'!$C:$AN,MID(Z$1,1,2),FALSE)</f>
        <v>0</v>
      </c>
      <c r="AA1388" s="55">
        <f>VLOOKUP($E1388,'NI-Ric_SP'!$C:$AN,MID(AA$1,1,2),FALSE)</f>
        <v>0</v>
      </c>
      <c r="AB1388" s="55">
        <f>VLOOKUP($E1388,'NI-Ric_SP'!$C:$AN,MID(AB$1,1,2),FALSE)</f>
        <v>0</v>
      </c>
      <c r="AC1388" s="55">
        <f>VLOOKUP($E1388,'NI-Ric_SP'!$C:$AN,MID(AC$1,1,2),FALSE)</f>
        <v>0</v>
      </c>
      <c r="AD1388" s="55">
        <f>VLOOKUP($E1388,'NI-Ric_SP'!$C:$AN,MID(AD$1,1,2),FALSE)</f>
        <v>0</v>
      </c>
      <c r="AE1388" s="55">
        <f>VLOOKUP($E1388,'NI-Ric_SP'!$C:$AN,MID(AE$1,1,2),FALSE)</f>
        <v>0</v>
      </c>
      <c r="AF1388" s="55">
        <f>VLOOKUP($E1388,'NI-Ric_SP'!$C:$AN,MID(AF$1,1,2),FALSE)</f>
        <v>0</v>
      </c>
      <c r="AG1388" s="55">
        <f>VLOOKUP($E1388,'NI-Ric_SP'!$C:$AN,MID(AG$1,1,2),FALSE)</f>
        <v>0</v>
      </c>
      <c r="AH1388" s="55">
        <f>VLOOKUP($E1388,'NI-Ric_SP'!$C:$AN,MID(AH$1,1,2),FALSE)</f>
        <v>0</v>
      </c>
      <c r="AI1388" s="55">
        <f>VLOOKUP($E1388,'NI-Ric_SP'!$C:$AN,MID(AI$1,1,2),FALSE)</f>
        <v>0</v>
      </c>
      <c r="AJ1388" s="55">
        <f>VLOOKUP($E1388,'NI-Ric_SP'!$C:$AN,MID(AJ$1,1,2),FALSE)</f>
        <v>0</v>
      </c>
      <c r="AK1388" s="55">
        <f>VLOOKUP($E1388,'NI-Ric_SP'!$C:$AN,MID(AK$1,1,2),FALSE)</f>
        <v>0</v>
      </c>
      <c r="AL1388" s="55">
        <f>VLOOKUP($E1388,'NI-Ric_SP'!$C:$AN,MID(AL$1,1,2),FALSE)</f>
        <v>0</v>
      </c>
      <c r="AM1388" s="56">
        <f>VLOOKUP($E1388,'NI-Ric_SP'!$C:$AN,MID(AM$1,1,2),FALSE)</f>
        <v>0</v>
      </c>
      <c r="AN1388" s="30" t="str">
        <f t="shared" si="21"/>
        <v>70701010040000</v>
      </c>
    </row>
    <row r="1389" spans="1:40" x14ac:dyDescent="0.25">
      <c r="C1389" s="40"/>
      <c r="D1389" s="101" t="s">
        <v>2541</v>
      </c>
      <c r="E1389" s="101" t="s">
        <v>2542</v>
      </c>
      <c r="F1389" s="102" t="s">
        <v>2750</v>
      </c>
      <c r="G1389" s="52"/>
      <c r="H1389" s="52"/>
      <c r="I1389" s="52"/>
      <c r="J1389" s="52" t="s">
        <v>2530</v>
      </c>
      <c r="K1389" s="59" t="s">
        <v>79</v>
      </c>
      <c r="L1389" s="52"/>
      <c r="M1389" s="52"/>
      <c r="N1389" s="52"/>
      <c r="O1389" s="52"/>
      <c r="P1389" s="119" t="s">
        <v>2543</v>
      </c>
      <c r="Q1389" s="55">
        <f>VLOOKUP(E1389,'NI-Ric_SP'!$C:$AN,12,FALSE)</f>
        <v>0</v>
      </c>
      <c r="R1389" s="55">
        <f>VLOOKUP(E1389,'NI-Ric_SP'!$C:$AN,13,FALSE)</f>
        <v>0</v>
      </c>
      <c r="S1389" s="55">
        <f>VLOOKUP(E1389,'NI-Ric_SP'!$C:$AN,30,FALSE)</f>
        <v>0</v>
      </c>
      <c r="T1389" s="94">
        <f>VLOOKUP(E1389,'NI-Ric_SP'!$C:$AN,31,FALSE)+VLOOKUP(E1389,'NI-Ric_SP'!$C:$AN,32,FALSE)</f>
        <v>0</v>
      </c>
      <c r="U1389" s="55">
        <f>VLOOKUP($E1389,'NI-Ric_SP'!$C:$AN,MID(U$1,1,2),FALSE)</f>
        <v>0</v>
      </c>
      <c r="V1389" s="55">
        <f>VLOOKUP($E1389,'NI-Ric_SP'!$C:$AN,MID(V$1,1,2),FALSE)</f>
        <v>0</v>
      </c>
      <c r="W1389" s="55">
        <f>VLOOKUP($E1389,'NI-Ric_SP'!$C:$AN,MID(W$1,1,2),FALSE)</f>
        <v>0</v>
      </c>
      <c r="X1389" s="55">
        <f>VLOOKUP($E1389,'NI-Ric_SP'!$C:$AN,MID(X$1,1,2),FALSE)</f>
        <v>0</v>
      </c>
      <c r="Y1389" s="55">
        <f>VLOOKUP($E1389,'NI-Ric_SP'!$C:$AN,MID(Y$1,1,2),FALSE)</f>
        <v>0</v>
      </c>
      <c r="Z1389" s="55">
        <f>VLOOKUP($E1389,'NI-Ric_SP'!$C:$AN,MID(Z$1,1,2),FALSE)</f>
        <v>0</v>
      </c>
      <c r="AA1389" s="55">
        <f>VLOOKUP($E1389,'NI-Ric_SP'!$C:$AN,MID(AA$1,1,2),FALSE)</f>
        <v>0</v>
      </c>
      <c r="AB1389" s="55">
        <f>VLOOKUP($E1389,'NI-Ric_SP'!$C:$AN,MID(AB$1,1,2),FALSE)</f>
        <v>0</v>
      </c>
      <c r="AC1389" s="55">
        <f>VLOOKUP($E1389,'NI-Ric_SP'!$C:$AN,MID(AC$1,1,2),FALSE)</f>
        <v>0</v>
      </c>
      <c r="AD1389" s="55">
        <f>VLOOKUP($E1389,'NI-Ric_SP'!$C:$AN,MID(AD$1,1,2),FALSE)</f>
        <v>0</v>
      </c>
      <c r="AE1389" s="55">
        <f>VLOOKUP($E1389,'NI-Ric_SP'!$C:$AN,MID(AE$1,1,2),FALSE)</f>
        <v>0</v>
      </c>
      <c r="AF1389" s="55">
        <f>VLOOKUP($E1389,'NI-Ric_SP'!$C:$AN,MID(AF$1,1,2),FALSE)</f>
        <v>0</v>
      </c>
      <c r="AG1389" s="55">
        <f>VLOOKUP($E1389,'NI-Ric_SP'!$C:$AN,MID(AG$1,1,2),FALSE)</f>
        <v>0</v>
      </c>
      <c r="AH1389" s="55">
        <f>VLOOKUP($E1389,'NI-Ric_SP'!$C:$AN,MID(AH$1,1,2),FALSE)</f>
        <v>0</v>
      </c>
      <c r="AI1389" s="55">
        <f>VLOOKUP($E1389,'NI-Ric_SP'!$C:$AN,MID(AI$1,1,2),FALSE)</f>
        <v>0</v>
      </c>
      <c r="AJ1389" s="55">
        <f>VLOOKUP($E1389,'NI-Ric_SP'!$C:$AN,MID(AJ$1,1,2),FALSE)</f>
        <v>0</v>
      </c>
      <c r="AK1389" s="55">
        <f>VLOOKUP($E1389,'NI-Ric_SP'!$C:$AN,MID(AK$1,1,2),FALSE)</f>
        <v>0</v>
      </c>
      <c r="AL1389" s="55">
        <f>VLOOKUP($E1389,'NI-Ric_SP'!$C:$AN,MID(AL$1,1,2),FALSE)</f>
        <v>0</v>
      </c>
      <c r="AM1389" s="56">
        <f>VLOOKUP($E1389,'NI-Ric_SP'!$C:$AN,MID(AM$1,1,2),FALSE)</f>
        <v>0</v>
      </c>
      <c r="AN1389" s="30" t="str">
        <f t="shared" si="21"/>
        <v>70701010050000</v>
      </c>
    </row>
    <row r="1390" spans="1:40" x14ac:dyDescent="0.25">
      <c r="C1390" s="40"/>
      <c r="D1390" s="101" t="s">
        <v>2544</v>
      </c>
      <c r="E1390" s="101" t="s">
        <v>2545</v>
      </c>
      <c r="F1390" s="102" t="s">
        <v>2750</v>
      </c>
      <c r="G1390" s="52"/>
      <c r="H1390" s="52"/>
      <c r="I1390" s="52"/>
      <c r="J1390" s="52" t="s">
        <v>2530</v>
      </c>
      <c r="K1390" s="59" t="s">
        <v>79</v>
      </c>
      <c r="L1390" s="52"/>
      <c r="M1390" s="52"/>
      <c r="N1390" s="52"/>
      <c r="O1390" s="52"/>
      <c r="P1390" s="119" t="s">
        <v>2546</v>
      </c>
      <c r="Q1390" s="55">
        <f>VLOOKUP(E1390,'NI-Ric_SP'!$C:$AN,12,FALSE)</f>
        <v>0</v>
      </c>
      <c r="R1390" s="55">
        <f>VLOOKUP(E1390,'NI-Ric_SP'!$C:$AN,13,FALSE)</f>
        <v>0</v>
      </c>
      <c r="S1390" s="55">
        <f>VLOOKUP(E1390,'NI-Ric_SP'!$C:$AN,30,FALSE)</f>
        <v>0</v>
      </c>
      <c r="T1390" s="94">
        <f>VLOOKUP(E1390,'NI-Ric_SP'!$C:$AN,31,FALSE)+VLOOKUP(E1390,'NI-Ric_SP'!$C:$AN,32,FALSE)</f>
        <v>0</v>
      </c>
      <c r="U1390" s="55">
        <f>VLOOKUP($E1390,'NI-Ric_SP'!$C:$AN,MID(U$1,1,2),FALSE)</f>
        <v>0</v>
      </c>
      <c r="V1390" s="55">
        <f>VLOOKUP($E1390,'NI-Ric_SP'!$C:$AN,MID(V$1,1,2),FALSE)</f>
        <v>0</v>
      </c>
      <c r="W1390" s="55">
        <f>VLOOKUP($E1390,'NI-Ric_SP'!$C:$AN,MID(W$1,1,2),FALSE)</f>
        <v>0</v>
      </c>
      <c r="X1390" s="55">
        <f>VLOOKUP($E1390,'NI-Ric_SP'!$C:$AN,MID(X$1,1,2),FALSE)</f>
        <v>0</v>
      </c>
      <c r="Y1390" s="55">
        <f>VLOOKUP($E1390,'NI-Ric_SP'!$C:$AN,MID(Y$1,1,2),FALSE)</f>
        <v>0</v>
      </c>
      <c r="Z1390" s="55">
        <f>VLOOKUP($E1390,'NI-Ric_SP'!$C:$AN,MID(Z$1,1,2),FALSE)</f>
        <v>0</v>
      </c>
      <c r="AA1390" s="55">
        <f>VLOOKUP($E1390,'NI-Ric_SP'!$C:$AN,MID(AA$1,1,2),FALSE)</f>
        <v>0</v>
      </c>
      <c r="AB1390" s="55">
        <f>VLOOKUP($E1390,'NI-Ric_SP'!$C:$AN,MID(AB$1,1,2),FALSE)</f>
        <v>0</v>
      </c>
      <c r="AC1390" s="55">
        <f>VLOOKUP($E1390,'NI-Ric_SP'!$C:$AN,MID(AC$1,1,2),FALSE)</f>
        <v>0</v>
      </c>
      <c r="AD1390" s="55">
        <f>VLOOKUP($E1390,'NI-Ric_SP'!$C:$AN,MID(AD$1,1,2),FALSE)</f>
        <v>0</v>
      </c>
      <c r="AE1390" s="55">
        <f>VLOOKUP($E1390,'NI-Ric_SP'!$C:$AN,MID(AE$1,1,2),FALSE)</f>
        <v>0</v>
      </c>
      <c r="AF1390" s="55">
        <f>VLOOKUP($E1390,'NI-Ric_SP'!$C:$AN,MID(AF$1,1,2),FALSE)</f>
        <v>0</v>
      </c>
      <c r="AG1390" s="55">
        <f>VLOOKUP($E1390,'NI-Ric_SP'!$C:$AN,MID(AG$1,1,2),FALSE)</f>
        <v>0</v>
      </c>
      <c r="AH1390" s="55">
        <f>VLOOKUP($E1390,'NI-Ric_SP'!$C:$AN,MID(AH$1,1,2),FALSE)</f>
        <v>0</v>
      </c>
      <c r="AI1390" s="55">
        <f>VLOOKUP($E1390,'NI-Ric_SP'!$C:$AN,MID(AI$1,1,2),FALSE)</f>
        <v>0</v>
      </c>
      <c r="AJ1390" s="55">
        <f>VLOOKUP($E1390,'NI-Ric_SP'!$C:$AN,MID(AJ$1,1,2),FALSE)</f>
        <v>0</v>
      </c>
      <c r="AK1390" s="55">
        <f>VLOOKUP($E1390,'NI-Ric_SP'!$C:$AN,MID(AK$1,1,2),FALSE)</f>
        <v>0</v>
      </c>
      <c r="AL1390" s="55">
        <f>VLOOKUP($E1390,'NI-Ric_SP'!$C:$AN,MID(AL$1,1,2),FALSE)</f>
        <v>0</v>
      </c>
      <c r="AM1390" s="56">
        <f>VLOOKUP($E1390,'NI-Ric_SP'!$C:$AN,MID(AM$1,1,2),FALSE)</f>
        <v>0</v>
      </c>
      <c r="AN1390" s="30" t="str">
        <f t="shared" si="21"/>
        <v>70701010060000</v>
      </c>
    </row>
    <row r="1391" spans="1:40" x14ac:dyDescent="0.25">
      <c r="A1391" s="30" t="s">
        <v>1394</v>
      </c>
      <c r="C1391" s="40"/>
      <c r="D1391" s="98" t="s">
        <v>2547</v>
      </c>
      <c r="E1391" s="98" t="s">
        <v>2548</v>
      </c>
      <c r="F1391" s="102" t="s">
        <v>2750</v>
      </c>
      <c r="H1391" s="52"/>
      <c r="I1391" s="52"/>
      <c r="J1391" s="52" t="s">
        <v>2549</v>
      </c>
      <c r="K1391" s="59" t="s">
        <v>79</v>
      </c>
      <c r="L1391" s="52"/>
      <c r="M1391" s="52"/>
      <c r="N1391" s="52"/>
      <c r="O1391" s="52"/>
      <c r="P1391" s="95" t="s">
        <v>2550</v>
      </c>
      <c r="Q1391" s="55">
        <f>VLOOKUP(E1391,'NI-Ric_SP'!$C:$AN,12,FALSE)</f>
        <v>0</v>
      </c>
      <c r="R1391" s="55">
        <f>VLOOKUP(E1391,'NI-Ric_SP'!$C:$AN,13,FALSE)</f>
        <v>0</v>
      </c>
      <c r="S1391" s="55">
        <f>VLOOKUP(E1391,'NI-Ric_SP'!$C:$AN,30,FALSE)</f>
        <v>0</v>
      </c>
      <c r="T1391" s="94">
        <f>VLOOKUP(E1391,'NI-Ric_SP'!$C:$AN,31,FALSE)+VLOOKUP(E1391,'NI-Ric_SP'!$C:$AN,32,FALSE)</f>
        <v>0</v>
      </c>
      <c r="U1391" s="55">
        <f>VLOOKUP($E1391,'NI-Ric_SP'!$C:$AN,MID(U$1,1,2),FALSE)</f>
        <v>0</v>
      </c>
      <c r="V1391" s="55">
        <f>VLOOKUP($E1391,'NI-Ric_SP'!$C:$AN,MID(V$1,1,2),FALSE)</f>
        <v>0</v>
      </c>
      <c r="W1391" s="55">
        <f>VLOOKUP($E1391,'NI-Ric_SP'!$C:$AN,MID(W$1,1,2),FALSE)</f>
        <v>0</v>
      </c>
      <c r="X1391" s="55">
        <f>VLOOKUP($E1391,'NI-Ric_SP'!$C:$AN,MID(X$1,1,2),FALSE)</f>
        <v>0</v>
      </c>
      <c r="Y1391" s="55">
        <f>VLOOKUP($E1391,'NI-Ric_SP'!$C:$AN,MID(Y$1,1,2),FALSE)</f>
        <v>0</v>
      </c>
      <c r="Z1391" s="55">
        <f>VLOOKUP($E1391,'NI-Ric_SP'!$C:$AN,MID(Z$1,1,2),FALSE)</f>
        <v>0</v>
      </c>
      <c r="AA1391" s="55">
        <f>VLOOKUP($E1391,'NI-Ric_SP'!$C:$AN,MID(AA$1,1,2),FALSE)</f>
        <v>0</v>
      </c>
      <c r="AB1391" s="55">
        <f>VLOOKUP($E1391,'NI-Ric_SP'!$C:$AN,MID(AB$1,1,2),FALSE)</f>
        <v>0</v>
      </c>
      <c r="AC1391" s="55">
        <f>VLOOKUP($E1391,'NI-Ric_SP'!$C:$AN,MID(AC$1,1,2),FALSE)</f>
        <v>0</v>
      </c>
      <c r="AD1391" s="55">
        <f>VLOOKUP($E1391,'NI-Ric_SP'!$C:$AN,MID(AD$1,1,2),FALSE)</f>
        <v>0</v>
      </c>
      <c r="AE1391" s="55">
        <f>VLOOKUP($E1391,'NI-Ric_SP'!$C:$AN,MID(AE$1,1,2),FALSE)</f>
        <v>0</v>
      </c>
      <c r="AF1391" s="55">
        <f>VLOOKUP($E1391,'NI-Ric_SP'!$C:$AN,MID(AF$1,1,2),FALSE)</f>
        <v>0</v>
      </c>
      <c r="AG1391" s="55">
        <f>VLOOKUP($E1391,'NI-Ric_SP'!$C:$AN,MID(AG$1,1,2),FALSE)</f>
        <v>0</v>
      </c>
      <c r="AH1391" s="55">
        <f>VLOOKUP($E1391,'NI-Ric_SP'!$C:$AN,MID(AH$1,1,2),FALSE)</f>
        <v>0</v>
      </c>
      <c r="AI1391" s="55">
        <f>VLOOKUP($E1391,'NI-Ric_SP'!$C:$AN,MID(AI$1,1,2),FALSE)</f>
        <v>0</v>
      </c>
      <c r="AJ1391" s="55">
        <f>VLOOKUP($E1391,'NI-Ric_SP'!$C:$AN,MID(AJ$1,1,2),FALSE)</f>
        <v>0</v>
      </c>
      <c r="AK1391" s="55">
        <f>VLOOKUP($E1391,'NI-Ric_SP'!$C:$AN,MID(AK$1,1,2),FALSE)</f>
        <v>0</v>
      </c>
      <c r="AL1391" s="55">
        <f>VLOOKUP($E1391,'NI-Ric_SP'!$C:$AN,MID(AL$1,1,2),FALSE)</f>
        <v>0</v>
      </c>
      <c r="AM1391" s="56">
        <f>VLOOKUP($E1391,'NI-Ric_SP'!$C:$AN,MID(AM$1,1,2),FALSE)</f>
        <v>0</v>
      </c>
      <c r="AN1391" s="30" t="str">
        <f t="shared" si="21"/>
        <v>70701020000000</v>
      </c>
    </row>
    <row r="1392" spans="1:40" x14ac:dyDescent="0.25">
      <c r="C1392" s="40"/>
      <c r="D1392" s="101" t="s">
        <v>2551</v>
      </c>
      <c r="E1392" s="101" t="s">
        <v>2552</v>
      </c>
      <c r="F1392" s="102" t="s">
        <v>2750</v>
      </c>
      <c r="G1392" s="52"/>
      <c r="H1392" s="52"/>
      <c r="I1392" s="52" t="s">
        <v>2553</v>
      </c>
      <c r="J1392" s="52"/>
      <c r="K1392" s="59" t="s">
        <v>111</v>
      </c>
      <c r="L1392" s="52"/>
      <c r="M1392" s="52"/>
      <c r="N1392" s="52"/>
      <c r="O1392" s="52"/>
      <c r="P1392" s="114" t="s">
        <v>2554</v>
      </c>
      <c r="Q1392" s="55">
        <f>VLOOKUP(E1392,'NI-Ric_SP'!$C:$AN,12,FALSE)</f>
        <v>0</v>
      </c>
      <c r="R1392" s="55">
        <f>VLOOKUP(E1392,'NI-Ric_SP'!$C:$AN,13,FALSE)</f>
        <v>0</v>
      </c>
      <c r="S1392" s="55">
        <f>VLOOKUP(E1392,'NI-Ric_SP'!$C:$AN,30,FALSE)</f>
        <v>0</v>
      </c>
      <c r="T1392" s="94">
        <f>VLOOKUP(E1392,'NI-Ric_SP'!$C:$AN,31,FALSE)+VLOOKUP(E1392,'NI-Ric_SP'!$C:$AN,32,FALSE)</f>
        <v>0</v>
      </c>
      <c r="U1392" s="55">
        <f>VLOOKUP($E1392,'NI-Ric_SP'!$C:$AN,MID(U$1,1,2),FALSE)</f>
        <v>0</v>
      </c>
      <c r="V1392" s="55">
        <f>VLOOKUP($E1392,'NI-Ric_SP'!$C:$AN,MID(V$1,1,2),FALSE)</f>
        <v>0</v>
      </c>
      <c r="W1392" s="55">
        <f>VLOOKUP($E1392,'NI-Ric_SP'!$C:$AN,MID(W$1,1,2),FALSE)</f>
        <v>0</v>
      </c>
      <c r="X1392" s="55">
        <f>VLOOKUP($E1392,'NI-Ric_SP'!$C:$AN,MID(X$1,1,2),FALSE)</f>
        <v>0</v>
      </c>
      <c r="Y1392" s="55">
        <f>VLOOKUP($E1392,'NI-Ric_SP'!$C:$AN,MID(Y$1,1,2),FALSE)</f>
        <v>0</v>
      </c>
      <c r="Z1392" s="55">
        <f>VLOOKUP($E1392,'NI-Ric_SP'!$C:$AN,MID(Z$1,1,2),FALSE)</f>
        <v>0</v>
      </c>
      <c r="AA1392" s="55">
        <f>VLOOKUP($E1392,'NI-Ric_SP'!$C:$AN,MID(AA$1,1,2),FALSE)</f>
        <v>0</v>
      </c>
      <c r="AB1392" s="55">
        <f>VLOOKUP($E1392,'NI-Ric_SP'!$C:$AN,MID(AB$1,1,2),FALSE)</f>
        <v>0</v>
      </c>
      <c r="AC1392" s="55">
        <f>VLOOKUP($E1392,'NI-Ric_SP'!$C:$AN,MID(AC$1,1,2),FALSE)</f>
        <v>0</v>
      </c>
      <c r="AD1392" s="55">
        <f>VLOOKUP($E1392,'NI-Ric_SP'!$C:$AN,MID(AD$1,1,2),FALSE)</f>
        <v>0</v>
      </c>
      <c r="AE1392" s="55">
        <f>VLOOKUP($E1392,'NI-Ric_SP'!$C:$AN,MID(AE$1,1,2),FALSE)</f>
        <v>0</v>
      </c>
      <c r="AF1392" s="55">
        <f>VLOOKUP($E1392,'NI-Ric_SP'!$C:$AN,MID(AF$1,1,2),FALSE)</f>
        <v>0</v>
      </c>
      <c r="AG1392" s="55">
        <f>VLOOKUP($E1392,'NI-Ric_SP'!$C:$AN,MID(AG$1,1,2),FALSE)</f>
        <v>0</v>
      </c>
      <c r="AH1392" s="55">
        <f>VLOOKUP($E1392,'NI-Ric_SP'!$C:$AN,MID(AH$1,1,2),FALSE)</f>
        <v>0</v>
      </c>
      <c r="AI1392" s="55">
        <f>VLOOKUP($E1392,'NI-Ric_SP'!$C:$AN,MID(AI$1,1,2),FALSE)</f>
        <v>0</v>
      </c>
      <c r="AJ1392" s="55">
        <f>VLOOKUP($E1392,'NI-Ric_SP'!$C:$AN,MID(AJ$1,1,2),FALSE)</f>
        <v>0</v>
      </c>
      <c r="AK1392" s="55">
        <f>VLOOKUP($E1392,'NI-Ric_SP'!$C:$AN,MID(AK$1,1,2),FALSE)</f>
        <v>0</v>
      </c>
      <c r="AL1392" s="55">
        <f>VLOOKUP($E1392,'NI-Ric_SP'!$C:$AN,MID(AL$1,1,2),FALSE)</f>
        <v>0</v>
      </c>
      <c r="AM1392" s="56">
        <f>VLOOKUP($E1392,'NI-Ric_SP'!$C:$AN,MID(AM$1,1,2),FALSE)</f>
        <v>0</v>
      </c>
      <c r="AN1392" s="30" t="str">
        <f t="shared" si="21"/>
        <v>70702000000000</v>
      </c>
    </row>
    <row r="1393" spans="1:40" x14ac:dyDescent="0.25">
      <c r="C1393" s="40"/>
      <c r="D1393" s="101" t="s">
        <v>2555</v>
      </c>
      <c r="E1393" s="101" t="s">
        <v>2556</v>
      </c>
      <c r="F1393" s="102" t="s">
        <v>2750</v>
      </c>
      <c r="G1393" s="52"/>
      <c r="H1393" s="52"/>
      <c r="I1393" s="52"/>
      <c r="J1393" s="52" t="s">
        <v>2557</v>
      </c>
      <c r="K1393" s="59" t="s">
        <v>79</v>
      </c>
      <c r="L1393" s="52"/>
      <c r="M1393" s="52"/>
      <c r="N1393" s="52"/>
      <c r="O1393" s="52"/>
      <c r="P1393" s="119" t="s">
        <v>2558</v>
      </c>
      <c r="Q1393" s="55">
        <f>VLOOKUP(E1393,'NI-Ric_SP'!$C:$AN,12,FALSE)</f>
        <v>0</v>
      </c>
      <c r="R1393" s="55">
        <f>VLOOKUP(E1393,'NI-Ric_SP'!$C:$AN,13,FALSE)</f>
        <v>0</v>
      </c>
      <c r="S1393" s="55">
        <f>VLOOKUP(E1393,'NI-Ric_SP'!$C:$AN,30,FALSE)</f>
        <v>0</v>
      </c>
      <c r="T1393" s="94">
        <f>VLOOKUP(E1393,'NI-Ric_SP'!$C:$AN,31,FALSE)+VLOOKUP(E1393,'NI-Ric_SP'!$C:$AN,32,FALSE)</f>
        <v>0</v>
      </c>
      <c r="U1393" s="55">
        <f>VLOOKUP($E1393,'NI-Ric_SP'!$C:$AN,MID(U$1,1,2),FALSE)</f>
        <v>0</v>
      </c>
      <c r="V1393" s="55">
        <f>VLOOKUP($E1393,'NI-Ric_SP'!$C:$AN,MID(V$1,1,2),FALSE)</f>
        <v>0</v>
      </c>
      <c r="W1393" s="55">
        <f>VLOOKUP($E1393,'NI-Ric_SP'!$C:$AN,MID(W$1,1,2),FALSE)</f>
        <v>0</v>
      </c>
      <c r="X1393" s="55">
        <f>VLOOKUP($E1393,'NI-Ric_SP'!$C:$AN,MID(X$1,1,2),FALSE)</f>
        <v>0</v>
      </c>
      <c r="Y1393" s="55">
        <f>VLOOKUP($E1393,'NI-Ric_SP'!$C:$AN,MID(Y$1,1,2),FALSE)</f>
        <v>0</v>
      </c>
      <c r="Z1393" s="55">
        <f>VLOOKUP($E1393,'NI-Ric_SP'!$C:$AN,MID(Z$1,1,2),FALSE)</f>
        <v>0</v>
      </c>
      <c r="AA1393" s="55">
        <f>VLOOKUP($E1393,'NI-Ric_SP'!$C:$AN,MID(AA$1,1,2),FALSE)</f>
        <v>0</v>
      </c>
      <c r="AB1393" s="55">
        <f>VLOOKUP($E1393,'NI-Ric_SP'!$C:$AN,MID(AB$1,1,2),FALSE)</f>
        <v>0</v>
      </c>
      <c r="AC1393" s="55">
        <f>VLOOKUP($E1393,'NI-Ric_SP'!$C:$AN,MID(AC$1,1,2),FALSE)</f>
        <v>0</v>
      </c>
      <c r="AD1393" s="55">
        <f>VLOOKUP($E1393,'NI-Ric_SP'!$C:$AN,MID(AD$1,1,2),FALSE)</f>
        <v>0</v>
      </c>
      <c r="AE1393" s="55">
        <f>VLOOKUP($E1393,'NI-Ric_SP'!$C:$AN,MID(AE$1,1,2),FALSE)</f>
        <v>0</v>
      </c>
      <c r="AF1393" s="55">
        <f>VLOOKUP($E1393,'NI-Ric_SP'!$C:$AN,MID(AF$1,1,2),FALSE)</f>
        <v>0</v>
      </c>
      <c r="AG1393" s="55">
        <f>VLOOKUP($E1393,'NI-Ric_SP'!$C:$AN,MID(AG$1,1,2),FALSE)</f>
        <v>0</v>
      </c>
      <c r="AH1393" s="55">
        <f>VLOOKUP($E1393,'NI-Ric_SP'!$C:$AN,MID(AH$1,1,2),FALSE)</f>
        <v>0</v>
      </c>
      <c r="AI1393" s="55">
        <f>VLOOKUP($E1393,'NI-Ric_SP'!$C:$AN,MID(AI$1,1,2),FALSE)</f>
        <v>0</v>
      </c>
      <c r="AJ1393" s="55">
        <f>VLOOKUP($E1393,'NI-Ric_SP'!$C:$AN,MID(AJ$1,1,2),FALSE)</f>
        <v>0</v>
      </c>
      <c r="AK1393" s="55">
        <f>VLOOKUP($E1393,'NI-Ric_SP'!$C:$AN,MID(AK$1,1,2),FALSE)</f>
        <v>0</v>
      </c>
      <c r="AL1393" s="55">
        <f>VLOOKUP($E1393,'NI-Ric_SP'!$C:$AN,MID(AL$1,1,2),FALSE)</f>
        <v>0</v>
      </c>
      <c r="AM1393" s="56">
        <f>VLOOKUP($E1393,'NI-Ric_SP'!$C:$AN,MID(AM$1,1,2),FALSE)</f>
        <v>0</v>
      </c>
      <c r="AN1393" s="30" t="str">
        <f t="shared" si="21"/>
        <v>70702010010000</v>
      </c>
    </row>
    <row r="1394" spans="1:40" x14ac:dyDescent="0.25">
      <c r="C1394" s="40"/>
      <c r="D1394" s="101" t="s">
        <v>2559</v>
      </c>
      <c r="E1394" s="101" t="s">
        <v>2560</v>
      </c>
      <c r="F1394" s="102" t="s">
        <v>2750</v>
      </c>
      <c r="G1394" s="52"/>
      <c r="H1394" s="52"/>
      <c r="I1394" s="52"/>
      <c r="J1394" s="52" t="s">
        <v>2557</v>
      </c>
      <c r="K1394" s="59" t="s">
        <v>79</v>
      </c>
      <c r="L1394" s="52"/>
      <c r="M1394" s="52"/>
      <c r="N1394" s="52"/>
      <c r="O1394" s="52"/>
      <c r="P1394" s="119" t="s">
        <v>2561</v>
      </c>
      <c r="Q1394" s="55">
        <f>VLOOKUP(E1394,'NI-Ric_SP'!$C:$AN,12,FALSE)</f>
        <v>0</v>
      </c>
      <c r="R1394" s="55">
        <f>VLOOKUP(E1394,'NI-Ric_SP'!$C:$AN,13,FALSE)</f>
        <v>0</v>
      </c>
      <c r="S1394" s="55">
        <f>VLOOKUP(E1394,'NI-Ric_SP'!$C:$AN,30,FALSE)</f>
        <v>0</v>
      </c>
      <c r="T1394" s="94">
        <f>VLOOKUP(E1394,'NI-Ric_SP'!$C:$AN,31,FALSE)+VLOOKUP(E1394,'NI-Ric_SP'!$C:$AN,32,FALSE)</f>
        <v>0</v>
      </c>
      <c r="U1394" s="55">
        <f>VLOOKUP($E1394,'NI-Ric_SP'!$C:$AN,MID(U$1,1,2),FALSE)</f>
        <v>0</v>
      </c>
      <c r="V1394" s="55">
        <f>VLOOKUP($E1394,'NI-Ric_SP'!$C:$AN,MID(V$1,1,2),FALSE)</f>
        <v>0</v>
      </c>
      <c r="W1394" s="55">
        <f>VLOOKUP($E1394,'NI-Ric_SP'!$C:$AN,MID(W$1,1,2),FALSE)</f>
        <v>0</v>
      </c>
      <c r="X1394" s="55">
        <f>VLOOKUP($E1394,'NI-Ric_SP'!$C:$AN,MID(X$1,1,2),FALSE)</f>
        <v>0</v>
      </c>
      <c r="Y1394" s="55">
        <f>VLOOKUP($E1394,'NI-Ric_SP'!$C:$AN,MID(Y$1,1,2),FALSE)</f>
        <v>0</v>
      </c>
      <c r="Z1394" s="55">
        <f>VLOOKUP($E1394,'NI-Ric_SP'!$C:$AN,MID(Z$1,1,2),FALSE)</f>
        <v>0</v>
      </c>
      <c r="AA1394" s="55">
        <f>VLOOKUP($E1394,'NI-Ric_SP'!$C:$AN,MID(AA$1,1,2),FALSE)</f>
        <v>0</v>
      </c>
      <c r="AB1394" s="55">
        <f>VLOOKUP($E1394,'NI-Ric_SP'!$C:$AN,MID(AB$1,1,2),FALSE)</f>
        <v>0</v>
      </c>
      <c r="AC1394" s="55">
        <f>VLOOKUP($E1394,'NI-Ric_SP'!$C:$AN,MID(AC$1,1,2),FALSE)</f>
        <v>0</v>
      </c>
      <c r="AD1394" s="55">
        <f>VLOOKUP($E1394,'NI-Ric_SP'!$C:$AN,MID(AD$1,1,2),FALSE)</f>
        <v>0</v>
      </c>
      <c r="AE1394" s="55">
        <f>VLOOKUP($E1394,'NI-Ric_SP'!$C:$AN,MID(AE$1,1,2),FALSE)</f>
        <v>0</v>
      </c>
      <c r="AF1394" s="55">
        <f>VLOOKUP($E1394,'NI-Ric_SP'!$C:$AN,MID(AF$1,1,2),FALSE)</f>
        <v>0</v>
      </c>
      <c r="AG1394" s="55">
        <f>VLOOKUP($E1394,'NI-Ric_SP'!$C:$AN,MID(AG$1,1,2),FALSE)</f>
        <v>0</v>
      </c>
      <c r="AH1394" s="55">
        <f>VLOOKUP($E1394,'NI-Ric_SP'!$C:$AN,MID(AH$1,1,2),FALSE)</f>
        <v>0</v>
      </c>
      <c r="AI1394" s="55">
        <f>VLOOKUP($E1394,'NI-Ric_SP'!$C:$AN,MID(AI$1,1,2),FALSE)</f>
        <v>0</v>
      </c>
      <c r="AJ1394" s="55">
        <f>VLOOKUP($E1394,'NI-Ric_SP'!$C:$AN,MID(AJ$1,1,2),FALSE)</f>
        <v>0</v>
      </c>
      <c r="AK1394" s="55">
        <f>VLOOKUP($E1394,'NI-Ric_SP'!$C:$AN,MID(AK$1,1,2),FALSE)</f>
        <v>0</v>
      </c>
      <c r="AL1394" s="55">
        <f>VLOOKUP($E1394,'NI-Ric_SP'!$C:$AN,MID(AL$1,1,2),FALSE)</f>
        <v>0</v>
      </c>
      <c r="AM1394" s="56">
        <f>VLOOKUP($E1394,'NI-Ric_SP'!$C:$AN,MID(AM$1,1,2),FALSE)</f>
        <v>0</v>
      </c>
      <c r="AN1394" s="30" t="str">
        <f t="shared" si="21"/>
        <v>70702010020000</v>
      </c>
    </row>
    <row r="1395" spans="1:40" x14ac:dyDescent="0.25">
      <c r="A1395" s="30" t="s">
        <v>1394</v>
      </c>
      <c r="C1395" s="40"/>
      <c r="D1395" s="98" t="s">
        <v>2562</v>
      </c>
      <c r="E1395" s="98" t="s">
        <v>2563</v>
      </c>
      <c r="F1395" s="102" t="s">
        <v>2750</v>
      </c>
      <c r="H1395" s="52"/>
      <c r="I1395" s="52"/>
      <c r="J1395" s="52" t="s">
        <v>2564</v>
      </c>
      <c r="K1395" s="59" t="s">
        <v>79</v>
      </c>
      <c r="L1395" s="52"/>
      <c r="M1395" s="52"/>
      <c r="N1395" s="52"/>
      <c r="O1395" s="52"/>
      <c r="P1395" s="95" t="s">
        <v>2565</v>
      </c>
      <c r="Q1395" s="55">
        <f>VLOOKUP(E1395,'NI-Ric_SP'!$C:$AN,12,FALSE)</f>
        <v>0</v>
      </c>
      <c r="R1395" s="55">
        <f>VLOOKUP(E1395,'NI-Ric_SP'!$C:$AN,13,FALSE)</f>
        <v>0</v>
      </c>
      <c r="S1395" s="55">
        <f>VLOOKUP(E1395,'NI-Ric_SP'!$C:$AN,30,FALSE)</f>
        <v>0</v>
      </c>
      <c r="T1395" s="94">
        <f>VLOOKUP(E1395,'NI-Ric_SP'!$C:$AN,31,FALSE)+VLOOKUP(E1395,'NI-Ric_SP'!$C:$AN,32,FALSE)</f>
        <v>0</v>
      </c>
      <c r="U1395" s="55">
        <f>VLOOKUP($E1395,'NI-Ric_SP'!$C:$AN,MID(U$1,1,2),FALSE)</f>
        <v>0</v>
      </c>
      <c r="V1395" s="55">
        <f>VLOOKUP($E1395,'NI-Ric_SP'!$C:$AN,MID(V$1,1,2),FALSE)</f>
        <v>0</v>
      </c>
      <c r="W1395" s="55">
        <f>VLOOKUP($E1395,'NI-Ric_SP'!$C:$AN,MID(W$1,1,2),FALSE)</f>
        <v>0</v>
      </c>
      <c r="X1395" s="55">
        <f>VLOOKUP($E1395,'NI-Ric_SP'!$C:$AN,MID(X$1,1,2),FALSE)</f>
        <v>0</v>
      </c>
      <c r="Y1395" s="55">
        <f>VLOOKUP($E1395,'NI-Ric_SP'!$C:$AN,MID(Y$1,1,2),FALSE)</f>
        <v>0</v>
      </c>
      <c r="Z1395" s="55">
        <f>VLOOKUP($E1395,'NI-Ric_SP'!$C:$AN,MID(Z$1,1,2),FALSE)</f>
        <v>0</v>
      </c>
      <c r="AA1395" s="55">
        <f>VLOOKUP($E1395,'NI-Ric_SP'!$C:$AN,MID(AA$1,1,2),FALSE)</f>
        <v>0</v>
      </c>
      <c r="AB1395" s="55">
        <f>VLOOKUP($E1395,'NI-Ric_SP'!$C:$AN,MID(AB$1,1,2),FALSE)</f>
        <v>0</v>
      </c>
      <c r="AC1395" s="55">
        <f>VLOOKUP($E1395,'NI-Ric_SP'!$C:$AN,MID(AC$1,1,2),FALSE)</f>
        <v>0</v>
      </c>
      <c r="AD1395" s="55">
        <f>VLOOKUP($E1395,'NI-Ric_SP'!$C:$AN,MID(AD$1,1,2),FALSE)</f>
        <v>0</v>
      </c>
      <c r="AE1395" s="55">
        <f>VLOOKUP($E1395,'NI-Ric_SP'!$C:$AN,MID(AE$1,1,2),FALSE)</f>
        <v>0</v>
      </c>
      <c r="AF1395" s="55">
        <f>VLOOKUP($E1395,'NI-Ric_SP'!$C:$AN,MID(AF$1,1,2),FALSE)</f>
        <v>0</v>
      </c>
      <c r="AG1395" s="55">
        <f>VLOOKUP($E1395,'NI-Ric_SP'!$C:$AN,MID(AG$1,1,2),FALSE)</f>
        <v>0</v>
      </c>
      <c r="AH1395" s="55">
        <f>VLOOKUP($E1395,'NI-Ric_SP'!$C:$AN,MID(AH$1,1,2),FALSE)</f>
        <v>0</v>
      </c>
      <c r="AI1395" s="55">
        <f>VLOOKUP($E1395,'NI-Ric_SP'!$C:$AN,MID(AI$1,1,2),FALSE)</f>
        <v>0</v>
      </c>
      <c r="AJ1395" s="55">
        <f>VLOOKUP($E1395,'NI-Ric_SP'!$C:$AN,MID(AJ$1,1,2),FALSE)</f>
        <v>0</v>
      </c>
      <c r="AK1395" s="55">
        <f>VLOOKUP($E1395,'NI-Ric_SP'!$C:$AN,MID(AK$1,1,2),FALSE)</f>
        <v>0</v>
      </c>
      <c r="AL1395" s="55">
        <f>VLOOKUP($E1395,'NI-Ric_SP'!$C:$AN,MID(AL$1,1,2),FALSE)</f>
        <v>0</v>
      </c>
      <c r="AM1395" s="56">
        <f>VLOOKUP($E1395,'NI-Ric_SP'!$C:$AN,MID(AM$1,1,2),FALSE)</f>
        <v>0</v>
      </c>
      <c r="AN1395" s="30" t="str">
        <f t="shared" si="21"/>
        <v>70702020000000</v>
      </c>
    </row>
    <row r="1396" spans="1:40" x14ac:dyDescent="0.25">
      <c r="C1396" s="40"/>
      <c r="D1396" s="101" t="s">
        <v>2566</v>
      </c>
      <c r="E1396" s="101" t="s">
        <v>2567</v>
      </c>
      <c r="F1396" s="102" t="s">
        <v>2750</v>
      </c>
      <c r="G1396" s="52"/>
      <c r="H1396" s="52"/>
      <c r="I1396" s="52" t="s">
        <v>2568</v>
      </c>
      <c r="J1396" s="52" t="s">
        <v>2568</v>
      </c>
      <c r="K1396" s="59" t="s">
        <v>79</v>
      </c>
      <c r="L1396" s="62" t="s">
        <v>2569</v>
      </c>
      <c r="M1396" s="52"/>
      <c r="N1396" s="52"/>
      <c r="O1396" s="61" t="s">
        <v>2570</v>
      </c>
      <c r="P1396" s="60" t="s">
        <v>2571</v>
      </c>
      <c r="Q1396" s="55">
        <f>VLOOKUP(E1396,'NI-Ric_SP'!$C:$AN,12,FALSE)</f>
        <v>0</v>
      </c>
      <c r="R1396" s="55">
        <f>VLOOKUP(E1396,'NI-Ric_SP'!$C:$AN,13,FALSE)</f>
        <v>0</v>
      </c>
      <c r="S1396" s="55">
        <f>VLOOKUP(E1396,'NI-Ric_SP'!$C:$AN,30,FALSE)</f>
        <v>0</v>
      </c>
      <c r="T1396" s="55">
        <f>VLOOKUP(E1396,'NI-Ric_SP'!$C:$AN,31,FALSE)+VLOOKUP(E1396,'NI-Ric_SP'!$C:$AN,32,FALSE)</f>
        <v>0</v>
      </c>
      <c r="U1396" s="55">
        <f>VLOOKUP($E1396,'NI-Ric_SP'!$C:$AN,MID(U$1,1,2),FALSE)</f>
        <v>0</v>
      </c>
      <c r="V1396" s="55">
        <f>VLOOKUP($E1396,'NI-Ric_SP'!$C:$AN,MID(V$1,1,2),FALSE)</f>
        <v>0</v>
      </c>
      <c r="W1396" s="55">
        <f>VLOOKUP($E1396,'NI-Ric_SP'!$C:$AN,MID(W$1,1,2),FALSE)</f>
        <v>0</v>
      </c>
      <c r="X1396" s="55">
        <f>VLOOKUP($E1396,'NI-Ric_SP'!$C:$AN,MID(X$1,1,2),FALSE)</f>
        <v>0</v>
      </c>
      <c r="Y1396" s="55">
        <f>VLOOKUP($E1396,'NI-Ric_SP'!$C:$AN,MID(Y$1,1,2),FALSE)</f>
        <v>0</v>
      </c>
      <c r="Z1396" s="55">
        <f>VLOOKUP($E1396,'NI-Ric_SP'!$C:$AN,MID(Z$1,1,2),FALSE)</f>
        <v>0</v>
      </c>
      <c r="AA1396" s="55">
        <f>VLOOKUP($E1396,'NI-Ric_SP'!$C:$AN,MID(AA$1,1,2),FALSE)</f>
        <v>0</v>
      </c>
      <c r="AB1396" s="55">
        <f>VLOOKUP($E1396,'NI-Ric_SP'!$C:$AN,MID(AB$1,1,2),FALSE)</f>
        <v>0</v>
      </c>
      <c r="AC1396" s="55">
        <f>VLOOKUP($E1396,'NI-Ric_SP'!$C:$AN,MID(AC$1,1,2),FALSE)</f>
        <v>0</v>
      </c>
      <c r="AD1396" s="55">
        <f>VLOOKUP($E1396,'NI-Ric_SP'!$C:$AN,MID(AD$1,1,2),FALSE)</f>
        <v>0</v>
      </c>
      <c r="AE1396" s="55">
        <f>VLOOKUP($E1396,'NI-Ric_SP'!$C:$AN,MID(AE$1,1,2),FALSE)</f>
        <v>0</v>
      </c>
      <c r="AF1396" s="55">
        <f>VLOOKUP($E1396,'NI-Ric_SP'!$C:$AN,MID(AF$1,1,2),FALSE)</f>
        <v>0</v>
      </c>
      <c r="AG1396" s="55">
        <f>VLOOKUP($E1396,'NI-Ric_SP'!$C:$AN,MID(AG$1,1,2),FALSE)</f>
        <v>0</v>
      </c>
      <c r="AH1396" s="55">
        <f>VLOOKUP($E1396,'NI-Ric_SP'!$C:$AN,MID(AH$1,1,2),FALSE)</f>
        <v>0</v>
      </c>
      <c r="AI1396" s="55">
        <f>VLOOKUP($E1396,'NI-Ric_SP'!$C:$AN,MID(AI$1,1,2),FALSE)</f>
        <v>0</v>
      </c>
      <c r="AJ1396" s="55">
        <f>VLOOKUP($E1396,'NI-Ric_SP'!$C:$AN,MID(AJ$1,1,2),FALSE)</f>
        <v>0</v>
      </c>
      <c r="AK1396" s="55">
        <f>VLOOKUP($E1396,'NI-Ric_SP'!$C:$AN,MID(AK$1,1,2),FALSE)</f>
        <v>0</v>
      </c>
      <c r="AL1396" s="55">
        <f>VLOOKUP($E1396,'NI-Ric_SP'!$C:$AN,MID(AL$1,1,2),FALSE)</f>
        <v>0</v>
      </c>
      <c r="AM1396" s="56">
        <f>VLOOKUP($E1396,'NI-Ric_SP'!$C:$AN,MID(AM$1,1,2),FALSE)</f>
        <v>0</v>
      </c>
      <c r="AN1396" s="30" t="str">
        <f t="shared" si="21"/>
        <v>70800000000000</v>
      </c>
    </row>
    <row r="1397" spans="1:40" x14ac:dyDescent="0.25">
      <c r="C1397" s="40"/>
      <c r="D1397" s="101" t="s">
        <v>2572</v>
      </c>
      <c r="E1397" s="101" t="s">
        <v>2573</v>
      </c>
      <c r="F1397" s="102" t="s">
        <v>2750</v>
      </c>
      <c r="G1397" s="52"/>
      <c r="H1397" s="52"/>
      <c r="I1397" s="52" t="s">
        <v>2574</v>
      </c>
      <c r="J1397" s="52" t="s">
        <v>2574</v>
      </c>
      <c r="K1397" s="59" t="s">
        <v>79</v>
      </c>
      <c r="L1397" s="62" t="s">
        <v>2575</v>
      </c>
      <c r="M1397" s="52" t="s">
        <v>2269</v>
      </c>
      <c r="N1397" s="52"/>
      <c r="O1397" s="61" t="s">
        <v>2576</v>
      </c>
      <c r="P1397" s="60" t="s">
        <v>2577</v>
      </c>
      <c r="Q1397" s="55">
        <f>VLOOKUP(E1397,'NI-Ric_SP'!$C:$AN,12,FALSE)</f>
        <v>0</v>
      </c>
      <c r="R1397" s="55">
        <f>VLOOKUP(E1397,'NI-Ric_SP'!$C:$AN,13,FALSE)</f>
        <v>0</v>
      </c>
      <c r="S1397" s="55">
        <f>VLOOKUP(E1397,'NI-Ric_SP'!$C:$AN,30,FALSE)</f>
        <v>0</v>
      </c>
      <c r="T1397" s="55">
        <f>VLOOKUP(E1397,'NI-Ric_SP'!$C:$AN,31,FALSE)+VLOOKUP(E1397,'NI-Ric_SP'!$C:$AN,32,FALSE)</f>
        <v>0</v>
      </c>
      <c r="U1397" s="55">
        <f>VLOOKUP($E1397,'NI-Ric_SP'!$C:$AN,MID(U$1,1,2),FALSE)</f>
        <v>0</v>
      </c>
      <c r="V1397" s="55">
        <f>VLOOKUP($E1397,'NI-Ric_SP'!$C:$AN,MID(V$1,1,2),FALSE)</f>
        <v>0</v>
      </c>
      <c r="W1397" s="55">
        <f>VLOOKUP($E1397,'NI-Ric_SP'!$C:$AN,MID(W$1,1,2),FALSE)</f>
        <v>0</v>
      </c>
      <c r="X1397" s="55">
        <f>VLOOKUP($E1397,'NI-Ric_SP'!$C:$AN,MID(X$1,1,2),FALSE)</f>
        <v>0</v>
      </c>
      <c r="Y1397" s="55">
        <f>VLOOKUP($E1397,'NI-Ric_SP'!$C:$AN,MID(Y$1,1,2),FALSE)</f>
        <v>0</v>
      </c>
      <c r="Z1397" s="55">
        <f>VLOOKUP($E1397,'NI-Ric_SP'!$C:$AN,MID(Z$1,1,2),FALSE)</f>
        <v>0</v>
      </c>
      <c r="AA1397" s="55">
        <f>VLOOKUP($E1397,'NI-Ric_SP'!$C:$AN,MID(AA$1,1,2),FALSE)</f>
        <v>0</v>
      </c>
      <c r="AB1397" s="55">
        <f>VLOOKUP($E1397,'NI-Ric_SP'!$C:$AN,MID(AB$1,1,2),FALSE)</f>
        <v>0</v>
      </c>
      <c r="AC1397" s="55">
        <f>VLOOKUP($E1397,'NI-Ric_SP'!$C:$AN,MID(AC$1,1,2),FALSE)</f>
        <v>0</v>
      </c>
      <c r="AD1397" s="55">
        <f>VLOOKUP($E1397,'NI-Ric_SP'!$C:$AN,MID(AD$1,1,2),FALSE)</f>
        <v>0</v>
      </c>
      <c r="AE1397" s="55">
        <f>VLOOKUP($E1397,'NI-Ric_SP'!$C:$AN,MID(AE$1,1,2),FALSE)</f>
        <v>0</v>
      </c>
      <c r="AF1397" s="55">
        <f>VLOOKUP($E1397,'NI-Ric_SP'!$C:$AN,MID(AF$1,1,2),FALSE)</f>
        <v>0</v>
      </c>
      <c r="AG1397" s="55">
        <f>VLOOKUP($E1397,'NI-Ric_SP'!$C:$AN,MID(AG$1,1,2),FALSE)</f>
        <v>0</v>
      </c>
      <c r="AH1397" s="55">
        <f>VLOOKUP($E1397,'NI-Ric_SP'!$C:$AN,MID(AH$1,1,2),FALSE)</f>
        <v>0</v>
      </c>
      <c r="AI1397" s="55">
        <f>VLOOKUP($E1397,'NI-Ric_SP'!$C:$AN,MID(AI$1,1,2),FALSE)</f>
        <v>0</v>
      </c>
      <c r="AJ1397" s="55">
        <f>VLOOKUP($E1397,'NI-Ric_SP'!$C:$AN,MID(AJ$1,1,2),FALSE)</f>
        <v>0</v>
      </c>
      <c r="AK1397" s="55">
        <f>VLOOKUP($E1397,'NI-Ric_SP'!$C:$AN,MID(AK$1,1,2),FALSE)</f>
        <v>0</v>
      </c>
      <c r="AL1397" s="55">
        <f>VLOOKUP($E1397,'NI-Ric_SP'!$C:$AN,MID(AL$1,1,2),FALSE)</f>
        <v>0</v>
      </c>
      <c r="AM1397" s="56">
        <f>VLOOKUP($E1397,'NI-Ric_SP'!$C:$AN,MID(AM$1,1,2),FALSE)</f>
        <v>0</v>
      </c>
      <c r="AN1397" s="30" t="str">
        <f t="shared" si="21"/>
        <v>70900000000000</v>
      </c>
    </row>
    <row r="1398" spans="1:40" x14ac:dyDescent="0.25">
      <c r="C1398" s="40"/>
      <c r="D1398" s="101" t="s">
        <v>2578</v>
      </c>
      <c r="E1398" s="101" t="s">
        <v>2579</v>
      </c>
      <c r="F1398" s="102" t="s">
        <v>2750</v>
      </c>
      <c r="G1398" s="52"/>
      <c r="H1398" s="52"/>
      <c r="I1398" s="52" t="s">
        <v>2580</v>
      </c>
      <c r="J1398" s="52" t="s">
        <v>2580</v>
      </c>
      <c r="K1398" s="59" t="s">
        <v>79</v>
      </c>
      <c r="L1398" s="62" t="s">
        <v>2581</v>
      </c>
      <c r="M1398" s="52" t="s">
        <v>2269</v>
      </c>
      <c r="N1398" s="52"/>
      <c r="O1398" s="61" t="s">
        <v>2582</v>
      </c>
      <c r="P1398" s="60" t="s">
        <v>2583</v>
      </c>
      <c r="Q1398" s="55">
        <f>VLOOKUP(E1398,'NI-Ric_SP'!$C:$AN,12,FALSE)</f>
        <v>0</v>
      </c>
      <c r="R1398" s="55">
        <f>VLOOKUP(E1398,'NI-Ric_SP'!$C:$AN,13,FALSE)</f>
        <v>0</v>
      </c>
      <c r="S1398" s="55">
        <f>VLOOKUP(E1398,'NI-Ric_SP'!$C:$AN,30,FALSE)</f>
        <v>0</v>
      </c>
      <c r="T1398" s="55">
        <f>VLOOKUP(E1398,'NI-Ric_SP'!$C:$AN,31,FALSE)+VLOOKUP(E1398,'NI-Ric_SP'!$C:$AN,32,FALSE)</f>
        <v>0</v>
      </c>
      <c r="U1398" s="55">
        <f>VLOOKUP($E1398,'NI-Ric_SP'!$C:$AN,MID(U$1,1,2),FALSE)</f>
        <v>0</v>
      </c>
      <c r="V1398" s="55">
        <f>VLOOKUP($E1398,'NI-Ric_SP'!$C:$AN,MID(V$1,1,2),FALSE)</f>
        <v>0</v>
      </c>
      <c r="W1398" s="55">
        <f>VLOOKUP($E1398,'NI-Ric_SP'!$C:$AN,MID(W$1,1,2),FALSE)</f>
        <v>0</v>
      </c>
      <c r="X1398" s="55">
        <f>VLOOKUP($E1398,'NI-Ric_SP'!$C:$AN,MID(X$1,1,2),FALSE)</f>
        <v>0</v>
      </c>
      <c r="Y1398" s="55">
        <f>VLOOKUP($E1398,'NI-Ric_SP'!$C:$AN,MID(Y$1,1,2),FALSE)</f>
        <v>0</v>
      </c>
      <c r="Z1398" s="55">
        <f>VLOOKUP($E1398,'NI-Ric_SP'!$C:$AN,MID(Z$1,1,2),FALSE)</f>
        <v>0</v>
      </c>
      <c r="AA1398" s="55">
        <f>VLOOKUP($E1398,'NI-Ric_SP'!$C:$AN,MID(AA$1,1,2),FALSE)</f>
        <v>0</v>
      </c>
      <c r="AB1398" s="55">
        <f>VLOOKUP($E1398,'NI-Ric_SP'!$C:$AN,MID(AB$1,1,2),FALSE)</f>
        <v>0</v>
      </c>
      <c r="AC1398" s="55">
        <f>VLOOKUP($E1398,'NI-Ric_SP'!$C:$AN,MID(AC$1,1,2),FALSE)</f>
        <v>0</v>
      </c>
      <c r="AD1398" s="55">
        <f>VLOOKUP($E1398,'NI-Ric_SP'!$C:$AN,MID(AD$1,1,2),FALSE)</f>
        <v>0</v>
      </c>
      <c r="AE1398" s="55">
        <f>VLOOKUP($E1398,'NI-Ric_SP'!$C:$AN,MID(AE$1,1,2),FALSE)</f>
        <v>0</v>
      </c>
      <c r="AF1398" s="55">
        <f>VLOOKUP($E1398,'NI-Ric_SP'!$C:$AN,MID(AF$1,1,2),FALSE)</f>
        <v>0</v>
      </c>
      <c r="AG1398" s="55">
        <f>VLOOKUP($E1398,'NI-Ric_SP'!$C:$AN,MID(AG$1,1,2),FALSE)</f>
        <v>0</v>
      </c>
      <c r="AH1398" s="55">
        <f>VLOOKUP($E1398,'NI-Ric_SP'!$C:$AN,MID(AH$1,1,2),FALSE)</f>
        <v>0</v>
      </c>
      <c r="AI1398" s="55">
        <f>VLOOKUP($E1398,'NI-Ric_SP'!$C:$AN,MID(AI$1,1,2),FALSE)</f>
        <v>0</v>
      </c>
      <c r="AJ1398" s="55">
        <f>VLOOKUP($E1398,'NI-Ric_SP'!$C:$AN,MID(AJ$1,1,2),FALSE)</f>
        <v>0</v>
      </c>
      <c r="AK1398" s="55">
        <f>VLOOKUP($E1398,'NI-Ric_SP'!$C:$AN,MID(AK$1,1,2),FALSE)</f>
        <v>0</v>
      </c>
      <c r="AL1398" s="55">
        <f>VLOOKUP($E1398,'NI-Ric_SP'!$C:$AN,MID(AL$1,1,2),FALSE)</f>
        <v>0</v>
      </c>
      <c r="AM1398" s="56">
        <f>VLOOKUP($E1398,'NI-Ric_SP'!$C:$AN,MID(AM$1,1,2),FALSE)</f>
        <v>0</v>
      </c>
      <c r="AN1398" s="30" t="str">
        <f t="shared" si="21"/>
        <v>71000000000000</v>
      </c>
    </row>
    <row r="1399" spans="1:40" x14ac:dyDescent="0.25">
      <c r="C1399" s="40"/>
      <c r="D1399" s="101" t="s">
        <v>2584</v>
      </c>
      <c r="E1399" s="101" t="s">
        <v>2585</v>
      </c>
      <c r="F1399" s="102" t="s">
        <v>2750</v>
      </c>
      <c r="G1399" s="52"/>
      <c r="H1399" s="52"/>
      <c r="I1399" s="52"/>
      <c r="J1399" s="52"/>
      <c r="K1399" s="59" t="s">
        <v>111</v>
      </c>
      <c r="L1399" s="62" t="s">
        <v>2586</v>
      </c>
      <c r="M1399" s="52"/>
      <c r="N1399" s="52"/>
      <c r="O1399" s="52"/>
      <c r="P1399" s="60" t="s">
        <v>2587</v>
      </c>
      <c r="Q1399" s="55">
        <f>VLOOKUP(E1399,'NI-Ric_SP'!$C:$AN,12,FALSE)</f>
        <v>0</v>
      </c>
      <c r="R1399" s="55">
        <f>VLOOKUP(E1399,'NI-Ric_SP'!$C:$AN,13,FALSE)</f>
        <v>0</v>
      </c>
      <c r="S1399" s="55">
        <f>VLOOKUP(E1399,'NI-Ric_SP'!$C:$AN,30,FALSE)</f>
        <v>0</v>
      </c>
      <c r="T1399" s="55">
        <f>VLOOKUP(E1399,'NI-Ric_SP'!$C:$AN,31,FALSE)+VLOOKUP(E1399,'NI-Ric_SP'!$C:$AN,32,FALSE)</f>
        <v>0</v>
      </c>
      <c r="U1399" s="55">
        <f>VLOOKUP($E1399,'NI-Ric_SP'!$C:$AN,MID(U$1,1,2),FALSE)</f>
        <v>0</v>
      </c>
      <c r="V1399" s="55">
        <f>VLOOKUP($E1399,'NI-Ric_SP'!$C:$AN,MID(V$1,1,2),FALSE)</f>
        <v>0</v>
      </c>
      <c r="W1399" s="55">
        <f>VLOOKUP($E1399,'NI-Ric_SP'!$C:$AN,MID(W$1,1,2),FALSE)</f>
        <v>0</v>
      </c>
      <c r="X1399" s="55">
        <f>VLOOKUP($E1399,'NI-Ric_SP'!$C:$AN,MID(X$1,1,2),FALSE)</f>
        <v>0</v>
      </c>
      <c r="Y1399" s="55">
        <f>VLOOKUP($E1399,'NI-Ric_SP'!$C:$AN,MID(Y$1,1,2),FALSE)</f>
        <v>0</v>
      </c>
      <c r="Z1399" s="55">
        <f>VLOOKUP($E1399,'NI-Ric_SP'!$C:$AN,MID(Z$1,1,2),FALSE)</f>
        <v>0</v>
      </c>
      <c r="AA1399" s="55">
        <f>VLOOKUP($E1399,'NI-Ric_SP'!$C:$AN,MID(AA$1,1,2),FALSE)</f>
        <v>0</v>
      </c>
      <c r="AB1399" s="55">
        <f>VLOOKUP($E1399,'NI-Ric_SP'!$C:$AN,MID(AB$1,1,2),FALSE)</f>
        <v>0</v>
      </c>
      <c r="AC1399" s="55">
        <f>VLOOKUP($E1399,'NI-Ric_SP'!$C:$AN,MID(AC$1,1,2),FALSE)</f>
        <v>0</v>
      </c>
      <c r="AD1399" s="55">
        <f>VLOOKUP($E1399,'NI-Ric_SP'!$C:$AN,MID(AD$1,1,2),FALSE)</f>
        <v>0</v>
      </c>
      <c r="AE1399" s="55">
        <f>VLOOKUP($E1399,'NI-Ric_SP'!$C:$AN,MID(AE$1,1,2),FALSE)</f>
        <v>0</v>
      </c>
      <c r="AF1399" s="55">
        <f>VLOOKUP($E1399,'NI-Ric_SP'!$C:$AN,MID(AF$1,1,2),FALSE)</f>
        <v>0</v>
      </c>
      <c r="AG1399" s="55">
        <f>VLOOKUP($E1399,'NI-Ric_SP'!$C:$AN,MID(AG$1,1,2),FALSE)</f>
        <v>0</v>
      </c>
      <c r="AH1399" s="55">
        <f>VLOOKUP($E1399,'NI-Ric_SP'!$C:$AN,MID(AH$1,1,2),FALSE)</f>
        <v>0</v>
      </c>
      <c r="AI1399" s="55">
        <f>VLOOKUP($E1399,'NI-Ric_SP'!$C:$AN,MID(AI$1,1,2),FALSE)</f>
        <v>0</v>
      </c>
      <c r="AJ1399" s="55">
        <f>VLOOKUP($E1399,'NI-Ric_SP'!$C:$AN,MID(AJ$1,1,2),FALSE)</f>
        <v>0</v>
      </c>
      <c r="AK1399" s="55">
        <f>VLOOKUP($E1399,'NI-Ric_SP'!$C:$AN,MID(AK$1,1,2),FALSE)</f>
        <v>0</v>
      </c>
      <c r="AL1399" s="55">
        <f>VLOOKUP($E1399,'NI-Ric_SP'!$C:$AN,MID(AL$1,1,2),FALSE)</f>
        <v>0</v>
      </c>
      <c r="AM1399" s="56">
        <f>VLOOKUP($E1399,'NI-Ric_SP'!$C:$AN,MID(AM$1,1,2),FALSE)</f>
        <v>0</v>
      </c>
      <c r="AN1399" s="30" t="str">
        <f t="shared" si="21"/>
        <v>71100000000000</v>
      </c>
    </row>
    <row r="1400" spans="1:40" x14ac:dyDescent="0.25">
      <c r="C1400" s="40"/>
      <c r="D1400" s="101" t="s">
        <v>2588</v>
      </c>
      <c r="E1400" s="101" t="s">
        <v>2589</v>
      </c>
      <c r="F1400" s="102" t="s">
        <v>2750</v>
      </c>
      <c r="G1400" s="52"/>
      <c r="H1400" s="52"/>
      <c r="I1400" s="52" t="s">
        <v>2590</v>
      </c>
      <c r="J1400" s="52" t="s">
        <v>2590</v>
      </c>
      <c r="K1400" s="59" t="s">
        <v>111</v>
      </c>
      <c r="L1400" s="52"/>
      <c r="M1400" s="100" t="s">
        <v>2269</v>
      </c>
      <c r="N1400" s="52"/>
      <c r="O1400" s="61" t="s">
        <v>2591</v>
      </c>
      <c r="P1400" s="63" t="s">
        <v>2592</v>
      </c>
      <c r="Q1400" s="55">
        <f>VLOOKUP(E1400,'NI-Ric_SP'!$C:$AN,12,FALSE)</f>
        <v>0</v>
      </c>
      <c r="R1400" s="55">
        <f>VLOOKUP(E1400,'NI-Ric_SP'!$C:$AN,13,FALSE)</f>
        <v>0</v>
      </c>
      <c r="S1400" s="55">
        <f>VLOOKUP(E1400,'NI-Ric_SP'!$C:$AN,30,FALSE)</f>
        <v>0</v>
      </c>
      <c r="T1400" s="94">
        <f>VLOOKUP(E1400,'NI-Ric_SP'!$C:$AN,31,FALSE)+VLOOKUP(E1400,'NI-Ric_SP'!$C:$AN,32,FALSE)</f>
        <v>0</v>
      </c>
      <c r="U1400" s="55">
        <f>VLOOKUP($E1400,'NI-Ric_SP'!$C:$AN,MID(U$1,1,2),FALSE)</f>
        <v>0</v>
      </c>
      <c r="V1400" s="55">
        <f>VLOOKUP($E1400,'NI-Ric_SP'!$C:$AN,MID(V$1,1,2),FALSE)</f>
        <v>0</v>
      </c>
      <c r="W1400" s="55">
        <f>VLOOKUP($E1400,'NI-Ric_SP'!$C:$AN,MID(W$1,1,2),FALSE)</f>
        <v>0</v>
      </c>
      <c r="X1400" s="55">
        <f>VLOOKUP($E1400,'NI-Ric_SP'!$C:$AN,MID(X$1,1,2),FALSE)</f>
        <v>0</v>
      </c>
      <c r="Y1400" s="55">
        <f>VLOOKUP($E1400,'NI-Ric_SP'!$C:$AN,MID(Y$1,1,2),FALSE)</f>
        <v>0</v>
      </c>
      <c r="Z1400" s="55">
        <f>VLOOKUP($E1400,'NI-Ric_SP'!$C:$AN,MID(Z$1,1,2),FALSE)</f>
        <v>0</v>
      </c>
      <c r="AA1400" s="55">
        <f>VLOOKUP($E1400,'NI-Ric_SP'!$C:$AN,MID(AA$1,1,2),FALSE)</f>
        <v>0</v>
      </c>
      <c r="AB1400" s="55">
        <f>VLOOKUP($E1400,'NI-Ric_SP'!$C:$AN,MID(AB$1,1,2),FALSE)</f>
        <v>0</v>
      </c>
      <c r="AC1400" s="55">
        <f>VLOOKUP($E1400,'NI-Ric_SP'!$C:$AN,MID(AC$1,1,2),FALSE)</f>
        <v>0</v>
      </c>
      <c r="AD1400" s="55">
        <f>VLOOKUP($E1400,'NI-Ric_SP'!$C:$AN,MID(AD$1,1,2),FALSE)</f>
        <v>0</v>
      </c>
      <c r="AE1400" s="55">
        <f>VLOOKUP($E1400,'NI-Ric_SP'!$C:$AN,MID(AE$1,1,2),FALSE)</f>
        <v>0</v>
      </c>
      <c r="AF1400" s="55">
        <f>VLOOKUP($E1400,'NI-Ric_SP'!$C:$AN,MID(AF$1,1,2),FALSE)</f>
        <v>0</v>
      </c>
      <c r="AG1400" s="55">
        <f>VLOOKUP($E1400,'NI-Ric_SP'!$C:$AN,MID(AG$1,1,2),FALSE)</f>
        <v>0</v>
      </c>
      <c r="AH1400" s="55">
        <f>VLOOKUP($E1400,'NI-Ric_SP'!$C:$AN,MID(AH$1,1,2),FALSE)</f>
        <v>0</v>
      </c>
      <c r="AI1400" s="55">
        <f>VLOOKUP($E1400,'NI-Ric_SP'!$C:$AN,MID(AI$1,1,2),FALSE)</f>
        <v>0</v>
      </c>
      <c r="AJ1400" s="55">
        <f>VLOOKUP($E1400,'NI-Ric_SP'!$C:$AN,MID(AJ$1,1,2),FALSE)</f>
        <v>0</v>
      </c>
      <c r="AK1400" s="55">
        <f>VLOOKUP($E1400,'NI-Ric_SP'!$C:$AN,MID(AK$1,1,2),FALSE)</f>
        <v>0</v>
      </c>
      <c r="AL1400" s="55">
        <f>VLOOKUP($E1400,'NI-Ric_SP'!$C:$AN,MID(AL$1,1,2),FALSE)</f>
        <v>0</v>
      </c>
      <c r="AM1400" s="56">
        <f>VLOOKUP($E1400,'NI-Ric_SP'!$C:$AN,MID(AM$1,1,2),FALSE)</f>
        <v>0</v>
      </c>
      <c r="AN1400" s="30" t="str">
        <f t="shared" si="21"/>
        <v>71101000000000</v>
      </c>
    </row>
    <row r="1401" spans="1:40" x14ac:dyDescent="0.25">
      <c r="C1401" s="40"/>
      <c r="D1401" s="101" t="s">
        <v>2593</v>
      </c>
      <c r="E1401" s="101" t="s">
        <v>2594</v>
      </c>
      <c r="F1401" s="102" t="s">
        <v>2750</v>
      </c>
      <c r="G1401" s="52"/>
      <c r="H1401" s="52"/>
      <c r="I1401" s="52" t="s">
        <v>2595</v>
      </c>
      <c r="J1401" s="52" t="s">
        <v>2595</v>
      </c>
      <c r="K1401" s="59" t="s">
        <v>111</v>
      </c>
      <c r="L1401" s="52"/>
      <c r="M1401" s="100" t="s">
        <v>2269</v>
      </c>
      <c r="N1401" s="52"/>
      <c r="O1401" s="61" t="s">
        <v>2596</v>
      </c>
      <c r="P1401" s="63" t="s">
        <v>2597</v>
      </c>
      <c r="Q1401" s="55">
        <f>VLOOKUP(E1401,'NI-Ric_SP'!$C:$AN,12,FALSE)</f>
        <v>0</v>
      </c>
      <c r="R1401" s="55">
        <f>VLOOKUP(E1401,'NI-Ric_SP'!$C:$AN,13,FALSE)</f>
        <v>0</v>
      </c>
      <c r="S1401" s="55">
        <f>VLOOKUP(E1401,'NI-Ric_SP'!$C:$AN,30,FALSE)</f>
        <v>0</v>
      </c>
      <c r="T1401" s="94">
        <f>VLOOKUP(E1401,'NI-Ric_SP'!$C:$AN,31,FALSE)+VLOOKUP(E1401,'NI-Ric_SP'!$C:$AN,32,FALSE)</f>
        <v>0</v>
      </c>
      <c r="U1401" s="55">
        <f>VLOOKUP($E1401,'NI-Ric_SP'!$C:$AN,MID(U$1,1,2),FALSE)</f>
        <v>0</v>
      </c>
      <c r="V1401" s="55">
        <f>VLOOKUP($E1401,'NI-Ric_SP'!$C:$AN,MID(V$1,1,2),FALSE)</f>
        <v>0</v>
      </c>
      <c r="W1401" s="55">
        <f>VLOOKUP($E1401,'NI-Ric_SP'!$C:$AN,MID(W$1,1,2),FALSE)</f>
        <v>0</v>
      </c>
      <c r="X1401" s="55">
        <f>VLOOKUP($E1401,'NI-Ric_SP'!$C:$AN,MID(X$1,1,2),FALSE)</f>
        <v>0</v>
      </c>
      <c r="Y1401" s="55">
        <f>VLOOKUP($E1401,'NI-Ric_SP'!$C:$AN,MID(Y$1,1,2),FALSE)</f>
        <v>0</v>
      </c>
      <c r="Z1401" s="55">
        <f>VLOOKUP($E1401,'NI-Ric_SP'!$C:$AN,MID(Z$1,1,2),FALSE)</f>
        <v>0</v>
      </c>
      <c r="AA1401" s="55">
        <f>VLOOKUP($E1401,'NI-Ric_SP'!$C:$AN,MID(AA$1,1,2),FALSE)</f>
        <v>0</v>
      </c>
      <c r="AB1401" s="55">
        <f>VLOOKUP($E1401,'NI-Ric_SP'!$C:$AN,MID(AB$1,1,2),FALSE)</f>
        <v>0</v>
      </c>
      <c r="AC1401" s="55">
        <f>VLOOKUP($E1401,'NI-Ric_SP'!$C:$AN,MID(AC$1,1,2),FALSE)</f>
        <v>0</v>
      </c>
      <c r="AD1401" s="55">
        <f>VLOOKUP($E1401,'NI-Ric_SP'!$C:$AN,MID(AD$1,1,2),FALSE)</f>
        <v>0</v>
      </c>
      <c r="AE1401" s="55">
        <f>VLOOKUP($E1401,'NI-Ric_SP'!$C:$AN,MID(AE$1,1,2),FALSE)</f>
        <v>0</v>
      </c>
      <c r="AF1401" s="55">
        <f>VLOOKUP($E1401,'NI-Ric_SP'!$C:$AN,MID(AF$1,1,2),FALSE)</f>
        <v>0</v>
      </c>
      <c r="AG1401" s="55">
        <f>VLOOKUP($E1401,'NI-Ric_SP'!$C:$AN,MID(AG$1,1,2),FALSE)</f>
        <v>0</v>
      </c>
      <c r="AH1401" s="55">
        <f>VLOOKUP($E1401,'NI-Ric_SP'!$C:$AN,MID(AH$1,1,2),FALSE)</f>
        <v>0</v>
      </c>
      <c r="AI1401" s="55">
        <f>VLOOKUP($E1401,'NI-Ric_SP'!$C:$AN,MID(AI$1,1,2),FALSE)</f>
        <v>0</v>
      </c>
      <c r="AJ1401" s="55">
        <f>VLOOKUP($E1401,'NI-Ric_SP'!$C:$AN,MID(AJ$1,1,2),FALSE)</f>
        <v>0</v>
      </c>
      <c r="AK1401" s="55">
        <f>VLOOKUP($E1401,'NI-Ric_SP'!$C:$AN,MID(AK$1,1,2),FALSE)</f>
        <v>0</v>
      </c>
      <c r="AL1401" s="55">
        <f>VLOOKUP($E1401,'NI-Ric_SP'!$C:$AN,MID(AL$1,1,2),FALSE)</f>
        <v>0</v>
      </c>
      <c r="AM1401" s="56">
        <f>VLOOKUP($E1401,'NI-Ric_SP'!$C:$AN,MID(AM$1,1,2),FALSE)</f>
        <v>0</v>
      </c>
      <c r="AN1401" s="30" t="str">
        <f t="shared" si="21"/>
        <v>71102000000000</v>
      </c>
    </row>
    <row r="1402" spans="1:40" x14ac:dyDescent="0.25">
      <c r="C1402" s="40"/>
      <c r="D1402" s="101" t="s">
        <v>2598</v>
      </c>
      <c r="E1402" s="101" t="s">
        <v>2599</v>
      </c>
      <c r="F1402" s="102" t="s">
        <v>2750</v>
      </c>
      <c r="G1402" s="52"/>
      <c r="H1402" s="52"/>
      <c r="I1402" s="52"/>
      <c r="J1402" s="52"/>
      <c r="K1402" s="59" t="s">
        <v>79</v>
      </c>
      <c r="L1402" s="52"/>
      <c r="M1402" s="52"/>
      <c r="N1402" s="52"/>
      <c r="O1402" s="52"/>
      <c r="P1402" s="108" t="s">
        <v>2600</v>
      </c>
      <c r="Q1402" s="55">
        <f>VLOOKUP(E1402,'NI-Ric_SP'!$C:$AN,12,FALSE)</f>
        <v>0</v>
      </c>
      <c r="R1402" s="55">
        <f>VLOOKUP(E1402,'NI-Ric_SP'!$C:$AN,13,FALSE)</f>
        <v>0</v>
      </c>
      <c r="S1402" s="55">
        <f>VLOOKUP(E1402,'NI-Ric_SP'!$C:$AN,30,FALSE)</f>
        <v>0</v>
      </c>
      <c r="T1402" s="94">
        <f>VLOOKUP(E1402,'NI-Ric_SP'!$C:$AN,31,FALSE)+VLOOKUP(E1402,'NI-Ric_SP'!$C:$AN,32,FALSE)</f>
        <v>0</v>
      </c>
      <c r="U1402" s="55">
        <f>VLOOKUP($E1402,'NI-Ric_SP'!$C:$AN,MID(U$1,1,2),FALSE)</f>
        <v>0</v>
      </c>
      <c r="V1402" s="55">
        <f>VLOOKUP($E1402,'NI-Ric_SP'!$C:$AN,MID(V$1,1,2),FALSE)</f>
        <v>0</v>
      </c>
      <c r="W1402" s="55">
        <f>VLOOKUP($E1402,'NI-Ric_SP'!$C:$AN,MID(W$1,1,2),FALSE)</f>
        <v>0</v>
      </c>
      <c r="X1402" s="55">
        <f>VLOOKUP($E1402,'NI-Ric_SP'!$C:$AN,MID(X$1,1,2),FALSE)</f>
        <v>0</v>
      </c>
      <c r="Y1402" s="55">
        <f>VLOOKUP($E1402,'NI-Ric_SP'!$C:$AN,MID(Y$1,1,2),FALSE)</f>
        <v>0</v>
      </c>
      <c r="Z1402" s="55">
        <f>VLOOKUP($E1402,'NI-Ric_SP'!$C:$AN,MID(Z$1,1,2),FALSE)</f>
        <v>0</v>
      </c>
      <c r="AA1402" s="55">
        <f>VLOOKUP($E1402,'NI-Ric_SP'!$C:$AN,MID(AA$1,1,2),FALSE)</f>
        <v>0</v>
      </c>
      <c r="AB1402" s="55">
        <f>VLOOKUP($E1402,'NI-Ric_SP'!$C:$AN,MID(AB$1,1,2),FALSE)</f>
        <v>0</v>
      </c>
      <c r="AC1402" s="55">
        <f>VLOOKUP($E1402,'NI-Ric_SP'!$C:$AN,MID(AC$1,1,2),FALSE)</f>
        <v>0</v>
      </c>
      <c r="AD1402" s="55">
        <f>VLOOKUP($E1402,'NI-Ric_SP'!$C:$AN,MID(AD$1,1,2),FALSE)</f>
        <v>0</v>
      </c>
      <c r="AE1402" s="55">
        <f>VLOOKUP($E1402,'NI-Ric_SP'!$C:$AN,MID(AE$1,1,2),FALSE)</f>
        <v>0</v>
      </c>
      <c r="AF1402" s="55">
        <f>VLOOKUP($E1402,'NI-Ric_SP'!$C:$AN,MID(AF$1,1,2),FALSE)</f>
        <v>0</v>
      </c>
      <c r="AG1402" s="55">
        <f>VLOOKUP($E1402,'NI-Ric_SP'!$C:$AN,MID(AG$1,1,2),FALSE)</f>
        <v>0</v>
      </c>
      <c r="AH1402" s="55">
        <f>VLOOKUP($E1402,'NI-Ric_SP'!$C:$AN,MID(AH$1,1,2),FALSE)</f>
        <v>0</v>
      </c>
      <c r="AI1402" s="55">
        <f>VLOOKUP($E1402,'NI-Ric_SP'!$C:$AN,MID(AI$1,1,2),FALSE)</f>
        <v>0</v>
      </c>
      <c r="AJ1402" s="55">
        <f>VLOOKUP($E1402,'NI-Ric_SP'!$C:$AN,MID(AJ$1,1,2),FALSE)</f>
        <v>0</v>
      </c>
      <c r="AK1402" s="55">
        <f>VLOOKUP($E1402,'NI-Ric_SP'!$C:$AN,MID(AK$1,1,2),FALSE)</f>
        <v>0</v>
      </c>
      <c r="AL1402" s="55">
        <f>VLOOKUP($E1402,'NI-Ric_SP'!$C:$AN,MID(AL$1,1,2),FALSE)</f>
        <v>0</v>
      </c>
      <c r="AM1402" s="56">
        <f>VLOOKUP($E1402,'NI-Ric_SP'!$C:$AN,MID(AM$1,1,2),FALSE)</f>
        <v>0</v>
      </c>
      <c r="AN1402" s="30" t="str">
        <f t="shared" si="21"/>
        <v>71102010000000</v>
      </c>
    </row>
    <row r="1403" spans="1:40" x14ac:dyDescent="0.25">
      <c r="C1403" s="40"/>
      <c r="D1403" s="101" t="s">
        <v>2601</v>
      </c>
      <c r="E1403" s="101" t="s">
        <v>2602</v>
      </c>
      <c r="F1403" s="102" t="s">
        <v>2750</v>
      </c>
      <c r="G1403" s="52"/>
      <c r="H1403" s="52"/>
      <c r="I1403" s="52"/>
      <c r="J1403" s="52"/>
      <c r="K1403" s="59" t="s">
        <v>79</v>
      </c>
      <c r="L1403" s="52"/>
      <c r="M1403" s="52"/>
      <c r="N1403" s="52"/>
      <c r="O1403" s="52"/>
      <c r="P1403" s="108" t="s">
        <v>2603</v>
      </c>
      <c r="Q1403" s="55">
        <f>VLOOKUP(E1403,'NI-Ric_SP'!$C:$AN,12,FALSE)</f>
        <v>0</v>
      </c>
      <c r="R1403" s="55">
        <f>VLOOKUP(E1403,'NI-Ric_SP'!$C:$AN,13,FALSE)</f>
        <v>0</v>
      </c>
      <c r="S1403" s="55">
        <f>VLOOKUP(E1403,'NI-Ric_SP'!$C:$AN,30,FALSE)</f>
        <v>0</v>
      </c>
      <c r="T1403" s="94">
        <f>VLOOKUP(E1403,'NI-Ric_SP'!$C:$AN,31,FALSE)+VLOOKUP(E1403,'NI-Ric_SP'!$C:$AN,32,FALSE)</f>
        <v>0</v>
      </c>
      <c r="U1403" s="55">
        <f>VLOOKUP($E1403,'NI-Ric_SP'!$C:$AN,MID(U$1,1,2),FALSE)</f>
        <v>0</v>
      </c>
      <c r="V1403" s="55">
        <f>VLOOKUP($E1403,'NI-Ric_SP'!$C:$AN,MID(V$1,1,2),FALSE)</f>
        <v>0</v>
      </c>
      <c r="W1403" s="55">
        <f>VLOOKUP($E1403,'NI-Ric_SP'!$C:$AN,MID(W$1,1,2),FALSE)</f>
        <v>0</v>
      </c>
      <c r="X1403" s="55">
        <f>VLOOKUP($E1403,'NI-Ric_SP'!$C:$AN,MID(X$1,1,2),FALSE)</f>
        <v>0</v>
      </c>
      <c r="Y1403" s="55">
        <f>VLOOKUP($E1403,'NI-Ric_SP'!$C:$AN,MID(Y$1,1,2),FALSE)</f>
        <v>0</v>
      </c>
      <c r="Z1403" s="55">
        <f>VLOOKUP($E1403,'NI-Ric_SP'!$C:$AN,MID(Z$1,1,2),FALSE)</f>
        <v>0</v>
      </c>
      <c r="AA1403" s="55">
        <f>VLOOKUP($E1403,'NI-Ric_SP'!$C:$AN,MID(AA$1,1,2),FALSE)</f>
        <v>0</v>
      </c>
      <c r="AB1403" s="55">
        <f>VLOOKUP($E1403,'NI-Ric_SP'!$C:$AN,MID(AB$1,1,2),FALSE)</f>
        <v>0</v>
      </c>
      <c r="AC1403" s="55">
        <f>VLOOKUP($E1403,'NI-Ric_SP'!$C:$AN,MID(AC$1,1,2),FALSE)</f>
        <v>0</v>
      </c>
      <c r="AD1403" s="55">
        <f>VLOOKUP($E1403,'NI-Ric_SP'!$C:$AN,MID(AD$1,1,2),FALSE)</f>
        <v>0</v>
      </c>
      <c r="AE1403" s="55">
        <f>VLOOKUP($E1403,'NI-Ric_SP'!$C:$AN,MID(AE$1,1,2),FALSE)</f>
        <v>0</v>
      </c>
      <c r="AF1403" s="55">
        <f>VLOOKUP($E1403,'NI-Ric_SP'!$C:$AN,MID(AF$1,1,2),FALSE)</f>
        <v>0</v>
      </c>
      <c r="AG1403" s="55">
        <f>VLOOKUP($E1403,'NI-Ric_SP'!$C:$AN,MID(AG$1,1,2),FALSE)</f>
        <v>0</v>
      </c>
      <c r="AH1403" s="55">
        <f>VLOOKUP($E1403,'NI-Ric_SP'!$C:$AN,MID(AH$1,1,2),FALSE)</f>
        <v>0</v>
      </c>
      <c r="AI1403" s="55">
        <f>VLOOKUP($E1403,'NI-Ric_SP'!$C:$AN,MID(AI$1,1,2),FALSE)</f>
        <v>0</v>
      </c>
      <c r="AJ1403" s="55">
        <f>VLOOKUP($E1403,'NI-Ric_SP'!$C:$AN,MID(AJ$1,1,2),FALSE)</f>
        <v>0</v>
      </c>
      <c r="AK1403" s="55">
        <f>VLOOKUP($E1403,'NI-Ric_SP'!$C:$AN,MID(AK$1,1,2),FALSE)</f>
        <v>0</v>
      </c>
      <c r="AL1403" s="55">
        <f>VLOOKUP($E1403,'NI-Ric_SP'!$C:$AN,MID(AL$1,1,2),FALSE)</f>
        <v>0</v>
      </c>
      <c r="AM1403" s="56">
        <f>VLOOKUP($E1403,'NI-Ric_SP'!$C:$AN,MID(AM$1,1,2),FALSE)</f>
        <v>0</v>
      </c>
      <c r="AN1403" s="30" t="str">
        <f t="shared" si="21"/>
        <v>71102020000000</v>
      </c>
    </row>
    <row r="1404" spans="1:40" x14ac:dyDescent="0.25">
      <c r="C1404" s="40"/>
      <c r="D1404" s="101" t="s">
        <v>2604</v>
      </c>
      <c r="E1404" s="101" t="s">
        <v>2605</v>
      </c>
      <c r="F1404" s="102" t="s">
        <v>2750</v>
      </c>
      <c r="G1404" s="52"/>
      <c r="H1404" s="52"/>
      <c r="I1404" s="52"/>
      <c r="J1404" s="52"/>
      <c r="K1404" s="59" t="s">
        <v>79</v>
      </c>
      <c r="L1404" s="52"/>
      <c r="M1404" s="52"/>
      <c r="N1404" s="52"/>
      <c r="O1404" s="52"/>
      <c r="P1404" s="108" t="s">
        <v>2606</v>
      </c>
      <c r="Q1404" s="55">
        <f>VLOOKUP(E1404,'NI-Ric_SP'!$C:$AN,12,FALSE)</f>
        <v>0</v>
      </c>
      <c r="R1404" s="55">
        <f>VLOOKUP(E1404,'NI-Ric_SP'!$C:$AN,13,FALSE)</f>
        <v>0</v>
      </c>
      <c r="S1404" s="55">
        <f>VLOOKUP(E1404,'NI-Ric_SP'!$C:$AN,30,FALSE)</f>
        <v>0</v>
      </c>
      <c r="T1404" s="94">
        <f>VLOOKUP(E1404,'NI-Ric_SP'!$C:$AN,31,FALSE)+VLOOKUP(E1404,'NI-Ric_SP'!$C:$AN,32,FALSE)</f>
        <v>0</v>
      </c>
      <c r="U1404" s="55">
        <f>VLOOKUP($E1404,'NI-Ric_SP'!$C:$AN,MID(U$1,1,2),FALSE)</f>
        <v>0</v>
      </c>
      <c r="V1404" s="55">
        <f>VLOOKUP($E1404,'NI-Ric_SP'!$C:$AN,MID(V$1,1,2),FALSE)</f>
        <v>0</v>
      </c>
      <c r="W1404" s="55">
        <f>VLOOKUP($E1404,'NI-Ric_SP'!$C:$AN,MID(W$1,1,2),FALSE)</f>
        <v>0</v>
      </c>
      <c r="X1404" s="55">
        <f>VLOOKUP($E1404,'NI-Ric_SP'!$C:$AN,MID(X$1,1,2),FALSE)</f>
        <v>0</v>
      </c>
      <c r="Y1404" s="55">
        <f>VLOOKUP($E1404,'NI-Ric_SP'!$C:$AN,MID(Y$1,1,2),FALSE)</f>
        <v>0</v>
      </c>
      <c r="Z1404" s="55">
        <f>VLOOKUP($E1404,'NI-Ric_SP'!$C:$AN,MID(Z$1,1,2),FALSE)</f>
        <v>0</v>
      </c>
      <c r="AA1404" s="55">
        <f>VLOOKUP($E1404,'NI-Ric_SP'!$C:$AN,MID(AA$1,1,2),FALSE)</f>
        <v>0</v>
      </c>
      <c r="AB1404" s="55">
        <f>VLOOKUP($E1404,'NI-Ric_SP'!$C:$AN,MID(AB$1,1,2),FALSE)</f>
        <v>0</v>
      </c>
      <c r="AC1404" s="55">
        <f>VLOOKUP($E1404,'NI-Ric_SP'!$C:$AN,MID(AC$1,1,2),FALSE)</f>
        <v>0</v>
      </c>
      <c r="AD1404" s="55">
        <f>VLOOKUP($E1404,'NI-Ric_SP'!$C:$AN,MID(AD$1,1,2),FALSE)</f>
        <v>0</v>
      </c>
      <c r="AE1404" s="55">
        <f>VLOOKUP($E1404,'NI-Ric_SP'!$C:$AN,MID(AE$1,1,2),FALSE)</f>
        <v>0</v>
      </c>
      <c r="AF1404" s="55">
        <f>VLOOKUP($E1404,'NI-Ric_SP'!$C:$AN,MID(AF$1,1,2),FALSE)</f>
        <v>0</v>
      </c>
      <c r="AG1404" s="55">
        <f>VLOOKUP($E1404,'NI-Ric_SP'!$C:$AN,MID(AG$1,1,2),FALSE)</f>
        <v>0</v>
      </c>
      <c r="AH1404" s="55">
        <f>VLOOKUP($E1404,'NI-Ric_SP'!$C:$AN,MID(AH$1,1,2),FALSE)</f>
        <v>0</v>
      </c>
      <c r="AI1404" s="55">
        <f>VLOOKUP($E1404,'NI-Ric_SP'!$C:$AN,MID(AI$1,1,2),FALSE)</f>
        <v>0</v>
      </c>
      <c r="AJ1404" s="55">
        <f>VLOOKUP($E1404,'NI-Ric_SP'!$C:$AN,MID(AJ$1,1,2),FALSE)</f>
        <v>0</v>
      </c>
      <c r="AK1404" s="55">
        <f>VLOOKUP($E1404,'NI-Ric_SP'!$C:$AN,MID(AK$1,1,2),FALSE)</f>
        <v>0</v>
      </c>
      <c r="AL1404" s="55">
        <f>VLOOKUP($E1404,'NI-Ric_SP'!$C:$AN,MID(AL$1,1,2),FALSE)</f>
        <v>0</v>
      </c>
      <c r="AM1404" s="56">
        <f>VLOOKUP($E1404,'NI-Ric_SP'!$C:$AN,MID(AM$1,1,2),FALSE)</f>
        <v>0</v>
      </c>
      <c r="AN1404" s="30" t="str">
        <f t="shared" si="21"/>
        <v>71102030000000</v>
      </c>
    </row>
    <row r="1405" spans="1:40" x14ac:dyDescent="0.25">
      <c r="C1405" s="40"/>
      <c r="D1405" s="101" t="s">
        <v>2607</v>
      </c>
      <c r="E1405" s="101" t="s">
        <v>2608</v>
      </c>
      <c r="F1405" s="102" t="s">
        <v>2750</v>
      </c>
      <c r="G1405" s="52"/>
      <c r="H1405" s="52"/>
      <c r="I1405" s="52"/>
      <c r="J1405" s="52"/>
      <c r="K1405" s="59" t="s">
        <v>79</v>
      </c>
      <c r="L1405" s="52"/>
      <c r="M1405" s="52"/>
      <c r="N1405" s="52"/>
      <c r="O1405" s="52"/>
      <c r="P1405" s="108" t="s">
        <v>2609</v>
      </c>
      <c r="Q1405" s="55">
        <f>VLOOKUP(E1405,'NI-Ric_SP'!$C:$AN,12,FALSE)</f>
        <v>0</v>
      </c>
      <c r="R1405" s="55">
        <f>VLOOKUP(E1405,'NI-Ric_SP'!$C:$AN,13,FALSE)</f>
        <v>0</v>
      </c>
      <c r="S1405" s="55">
        <f>VLOOKUP(E1405,'NI-Ric_SP'!$C:$AN,30,FALSE)</f>
        <v>0</v>
      </c>
      <c r="T1405" s="94">
        <f>VLOOKUP(E1405,'NI-Ric_SP'!$C:$AN,31,FALSE)+VLOOKUP(E1405,'NI-Ric_SP'!$C:$AN,32,FALSE)</f>
        <v>0</v>
      </c>
      <c r="U1405" s="55">
        <f>VLOOKUP($E1405,'NI-Ric_SP'!$C:$AN,MID(U$1,1,2),FALSE)</f>
        <v>0</v>
      </c>
      <c r="V1405" s="55">
        <f>VLOOKUP($E1405,'NI-Ric_SP'!$C:$AN,MID(V$1,1,2),FALSE)</f>
        <v>0</v>
      </c>
      <c r="W1405" s="55">
        <f>VLOOKUP($E1405,'NI-Ric_SP'!$C:$AN,MID(W$1,1,2),FALSE)</f>
        <v>0</v>
      </c>
      <c r="X1405" s="55">
        <f>VLOOKUP($E1405,'NI-Ric_SP'!$C:$AN,MID(X$1,1,2),FALSE)</f>
        <v>0</v>
      </c>
      <c r="Y1405" s="55">
        <f>VLOOKUP($E1405,'NI-Ric_SP'!$C:$AN,MID(Y$1,1,2),FALSE)</f>
        <v>0</v>
      </c>
      <c r="Z1405" s="55">
        <f>VLOOKUP($E1405,'NI-Ric_SP'!$C:$AN,MID(Z$1,1,2),FALSE)</f>
        <v>0</v>
      </c>
      <c r="AA1405" s="55">
        <f>VLOOKUP($E1405,'NI-Ric_SP'!$C:$AN,MID(AA$1,1,2),FALSE)</f>
        <v>0</v>
      </c>
      <c r="AB1405" s="55">
        <f>VLOOKUP($E1405,'NI-Ric_SP'!$C:$AN,MID(AB$1,1,2),FALSE)</f>
        <v>0</v>
      </c>
      <c r="AC1405" s="55">
        <f>VLOOKUP($E1405,'NI-Ric_SP'!$C:$AN,MID(AC$1,1,2),FALSE)</f>
        <v>0</v>
      </c>
      <c r="AD1405" s="55">
        <f>VLOOKUP($E1405,'NI-Ric_SP'!$C:$AN,MID(AD$1,1,2),FALSE)</f>
        <v>0</v>
      </c>
      <c r="AE1405" s="55">
        <f>VLOOKUP($E1405,'NI-Ric_SP'!$C:$AN,MID(AE$1,1,2),FALSE)</f>
        <v>0</v>
      </c>
      <c r="AF1405" s="55">
        <f>VLOOKUP($E1405,'NI-Ric_SP'!$C:$AN,MID(AF$1,1,2),FALSE)</f>
        <v>0</v>
      </c>
      <c r="AG1405" s="55">
        <f>VLOOKUP($E1405,'NI-Ric_SP'!$C:$AN,MID(AG$1,1,2),FALSE)</f>
        <v>0</v>
      </c>
      <c r="AH1405" s="55">
        <f>VLOOKUP($E1405,'NI-Ric_SP'!$C:$AN,MID(AH$1,1,2),FALSE)</f>
        <v>0</v>
      </c>
      <c r="AI1405" s="55">
        <f>VLOOKUP($E1405,'NI-Ric_SP'!$C:$AN,MID(AI$1,1,2),FALSE)</f>
        <v>0</v>
      </c>
      <c r="AJ1405" s="55">
        <f>VLOOKUP($E1405,'NI-Ric_SP'!$C:$AN,MID(AJ$1,1,2),FALSE)</f>
        <v>0</v>
      </c>
      <c r="AK1405" s="55">
        <f>VLOOKUP($E1405,'NI-Ric_SP'!$C:$AN,MID(AK$1,1,2),FALSE)</f>
        <v>0</v>
      </c>
      <c r="AL1405" s="55">
        <f>VLOOKUP($E1405,'NI-Ric_SP'!$C:$AN,MID(AL$1,1,2),FALSE)</f>
        <v>0</v>
      </c>
      <c r="AM1405" s="56">
        <f>VLOOKUP($E1405,'NI-Ric_SP'!$C:$AN,MID(AM$1,1,2),FALSE)</f>
        <v>0</v>
      </c>
      <c r="AN1405" s="30" t="str">
        <f t="shared" si="21"/>
        <v>71102040000000</v>
      </c>
    </row>
    <row r="1406" spans="1:40" x14ac:dyDescent="0.25">
      <c r="C1406" s="40"/>
      <c r="D1406" s="101" t="s">
        <v>2610</v>
      </c>
      <c r="E1406" s="101" t="s">
        <v>2611</v>
      </c>
      <c r="F1406" s="102" t="s">
        <v>2750</v>
      </c>
      <c r="G1406" s="52"/>
      <c r="H1406" s="52"/>
      <c r="I1406" s="52"/>
      <c r="J1406" s="52"/>
      <c r="K1406" s="59" t="s">
        <v>79</v>
      </c>
      <c r="L1406" s="52"/>
      <c r="M1406" s="52"/>
      <c r="N1406" s="52"/>
      <c r="O1406" s="52"/>
      <c r="P1406" s="108" t="s">
        <v>2612</v>
      </c>
      <c r="Q1406" s="55">
        <f>VLOOKUP(E1406,'NI-Ric_SP'!$C:$AN,12,FALSE)</f>
        <v>0</v>
      </c>
      <c r="R1406" s="55">
        <f>VLOOKUP(E1406,'NI-Ric_SP'!$C:$AN,13,FALSE)</f>
        <v>0</v>
      </c>
      <c r="S1406" s="55">
        <f>VLOOKUP(E1406,'NI-Ric_SP'!$C:$AN,30,FALSE)</f>
        <v>0</v>
      </c>
      <c r="T1406" s="94">
        <f>VLOOKUP(E1406,'NI-Ric_SP'!$C:$AN,31,FALSE)+VLOOKUP(E1406,'NI-Ric_SP'!$C:$AN,32,FALSE)</f>
        <v>0</v>
      </c>
      <c r="U1406" s="55">
        <f>VLOOKUP($E1406,'NI-Ric_SP'!$C:$AN,MID(U$1,1,2),FALSE)</f>
        <v>0</v>
      </c>
      <c r="V1406" s="55">
        <f>VLOOKUP($E1406,'NI-Ric_SP'!$C:$AN,MID(V$1,1,2),FALSE)</f>
        <v>0</v>
      </c>
      <c r="W1406" s="55">
        <f>VLOOKUP($E1406,'NI-Ric_SP'!$C:$AN,MID(W$1,1,2),FALSE)</f>
        <v>0</v>
      </c>
      <c r="X1406" s="55">
        <f>VLOOKUP($E1406,'NI-Ric_SP'!$C:$AN,MID(X$1,1,2),FALSE)</f>
        <v>0</v>
      </c>
      <c r="Y1406" s="55">
        <f>VLOOKUP($E1406,'NI-Ric_SP'!$C:$AN,MID(Y$1,1,2),FALSE)</f>
        <v>0</v>
      </c>
      <c r="Z1406" s="55">
        <f>VLOOKUP($E1406,'NI-Ric_SP'!$C:$AN,MID(Z$1,1,2),FALSE)</f>
        <v>0</v>
      </c>
      <c r="AA1406" s="55">
        <f>VLOOKUP($E1406,'NI-Ric_SP'!$C:$AN,MID(AA$1,1,2),FALSE)</f>
        <v>0</v>
      </c>
      <c r="AB1406" s="55">
        <f>VLOOKUP($E1406,'NI-Ric_SP'!$C:$AN,MID(AB$1,1,2),FALSE)</f>
        <v>0</v>
      </c>
      <c r="AC1406" s="55">
        <f>VLOOKUP($E1406,'NI-Ric_SP'!$C:$AN,MID(AC$1,1,2),FALSE)</f>
        <v>0</v>
      </c>
      <c r="AD1406" s="55">
        <f>VLOOKUP($E1406,'NI-Ric_SP'!$C:$AN,MID(AD$1,1,2),FALSE)</f>
        <v>0</v>
      </c>
      <c r="AE1406" s="55">
        <f>VLOOKUP($E1406,'NI-Ric_SP'!$C:$AN,MID(AE$1,1,2),FALSE)</f>
        <v>0</v>
      </c>
      <c r="AF1406" s="55">
        <f>VLOOKUP($E1406,'NI-Ric_SP'!$C:$AN,MID(AF$1,1,2),FALSE)</f>
        <v>0</v>
      </c>
      <c r="AG1406" s="55">
        <f>VLOOKUP($E1406,'NI-Ric_SP'!$C:$AN,MID(AG$1,1,2),FALSE)</f>
        <v>0</v>
      </c>
      <c r="AH1406" s="55">
        <f>VLOOKUP($E1406,'NI-Ric_SP'!$C:$AN,MID(AH$1,1,2),FALSE)</f>
        <v>0</v>
      </c>
      <c r="AI1406" s="55">
        <f>VLOOKUP($E1406,'NI-Ric_SP'!$C:$AN,MID(AI$1,1,2),FALSE)</f>
        <v>0</v>
      </c>
      <c r="AJ1406" s="55">
        <f>VLOOKUP($E1406,'NI-Ric_SP'!$C:$AN,MID(AJ$1,1,2),FALSE)</f>
        <v>0</v>
      </c>
      <c r="AK1406" s="55">
        <f>VLOOKUP($E1406,'NI-Ric_SP'!$C:$AN,MID(AK$1,1,2),FALSE)</f>
        <v>0</v>
      </c>
      <c r="AL1406" s="55">
        <f>VLOOKUP($E1406,'NI-Ric_SP'!$C:$AN,MID(AL$1,1,2),FALSE)</f>
        <v>0</v>
      </c>
      <c r="AM1406" s="56">
        <f>VLOOKUP($E1406,'NI-Ric_SP'!$C:$AN,MID(AM$1,1,2),FALSE)</f>
        <v>0</v>
      </c>
      <c r="AN1406" s="30" t="str">
        <f t="shared" si="21"/>
        <v>71102050000000</v>
      </c>
    </row>
    <row r="1407" spans="1:40" x14ac:dyDescent="0.25">
      <c r="C1407" s="40"/>
      <c r="D1407" s="101" t="s">
        <v>2613</v>
      </c>
      <c r="E1407" s="101" t="s">
        <v>2614</v>
      </c>
      <c r="F1407" s="102" t="s">
        <v>2750</v>
      </c>
      <c r="G1407" s="52"/>
      <c r="H1407" s="52"/>
      <c r="I1407" s="52"/>
      <c r="J1407" s="52"/>
      <c r="K1407" s="59" t="s">
        <v>79</v>
      </c>
      <c r="L1407" s="52"/>
      <c r="M1407" s="52"/>
      <c r="N1407" s="52"/>
      <c r="O1407" s="52"/>
      <c r="P1407" s="108" t="s">
        <v>2615</v>
      </c>
      <c r="Q1407" s="55">
        <f>VLOOKUP(E1407,'NI-Ric_SP'!$C:$AN,12,FALSE)</f>
        <v>0</v>
      </c>
      <c r="R1407" s="55">
        <f>VLOOKUP(E1407,'NI-Ric_SP'!$C:$AN,13,FALSE)</f>
        <v>0</v>
      </c>
      <c r="S1407" s="55">
        <f>VLOOKUP(E1407,'NI-Ric_SP'!$C:$AN,30,FALSE)</f>
        <v>0</v>
      </c>
      <c r="T1407" s="94">
        <f>VLOOKUP(E1407,'NI-Ric_SP'!$C:$AN,31,FALSE)+VLOOKUP(E1407,'NI-Ric_SP'!$C:$AN,32,FALSE)</f>
        <v>0</v>
      </c>
      <c r="U1407" s="55">
        <f>VLOOKUP($E1407,'NI-Ric_SP'!$C:$AN,MID(U$1,1,2),FALSE)</f>
        <v>0</v>
      </c>
      <c r="V1407" s="55">
        <f>VLOOKUP($E1407,'NI-Ric_SP'!$C:$AN,MID(V$1,1,2),FALSE)</f>
        <v>0</v>
      </c>
      <c r="W1407" s="55">
        <f>VLOOKUP($E1407,'NI-Ric_SP'!$C:$AN,MID(W$1,1,2),FALSE)</f>
        <v>0</v>
      </c>
      <c r="X1407" s="55">
        <f>VLOOKUP($E1407,'NI-Ric_SP'!$C:$AN,MID(X$1,1,2),FALSE)</f>
        <v>0</v>
      </c>
      <c r="Y1407" s="55">
        <f>VLOOKUP($E1407,'NI-Ric_SP'!$C:$AN,MID(Y$1,1,2),FALSE)</f>
        <v>0</v>
      </c>
      <c r="Z1407" s="55">
        <f>VLOOKUP($E1407,'NI-Ric_SP'!$C:$AN,MID(Z$1,1,2),FALSE)</f>
        <v>0</v>
      </c>
      <c r="AA1407" s="55">
        <f>VLOOKUP($E1407,'NI-Ric_SP'!$C:$AN,MID(AA$1,1,2),FALSE)</f>
        <v>0</v>
      </c>
      <c r="AB1407" s="55">
        <f>VLOOKUP($E1407,'NI-Ric_SP'!$C:$AN,MID(AB$1,1,2),FALSE)</f>
        <v>0</v>
      </c>
      <c r="AC1407" s="55">
        <f>VLOOKUP($E1407,'NI-Ric_SP'!$C:$AN,MID(AC$1,1,2),FALSE)</f>
        <v>0</v>
      </c>
      <c r="AD1407" s="55">
        <f>VLOOKUP($E1407,'NI-Ric_SP'!$C:$AN,MID(AD$1,1,2),FALSE)</f>
        <v>0</v>
      </c>
      <c r="AE1407" s="55">
        <f>VLOOKUP($E1407,'NI-Ric_SP'!$C:$AN,MID(AE$1,1,2),FALSE)</f>
        <v>0</v>
      </c>
      <c r="AF1407" s="55">
        <f>VLOOKUP($E1407,'NI-Ric_SP'!$C:$AN,MID(AF$1,1,2),FALSE)</f>
        <v>0</v>
      </c>
      <c r="AG1407" s="55">
        <f>VLOOKUP($E1407,'NI-Ric_SP'!$C:$AN,MID(AG$1,1,2),FALSE)</f>
        <v>0</v>
      </c>
      <c r="AH1407" s="55">
        <f>VLOOKUP($E1407,'NI-Ric_SP'!$C:$AN,MID(AH$1,1,2),FALSE)</f>
        <v>0</v>
      </c>
      <c r="AI1407" s="55">
        <f>VLOOKUP($E1407,'NI-Ric_SP'!$C:$AN,MID(AI$1,1,2),FALSE)</f>
        <v>0</v>
      </c>
      <c r="AJ1407" s="55">
        <f>VLOOKUP($E1407,'NI-Ric_SP'!$C:$AN,MID(AJ$1,1,2),FALSE)</f>
        <v>0</v>
      </c>
      <c r="AK1407" s="55">
        <f>VLOOKUP($E1407,'NI-Ric_SP'!$C:$AN,MID(AK$1,1,2),FALSE)</f>
        <v>0</v>
      </c>
      <c r="AL1407" s="55">
        <f>VLOOKUP($E1407,'NI-Ric_SP'!$C:$AN,MID(AL$1,1,2),FALSE)</f>
        <v>0</v>
      </c>
      <c r="AM1407" s="56">
        <f>VLOOKUP($E1407,'NI-Ric_SP'!$C:$AN,MID(AM$1,1,2),FALSE)</f>
        <v>0</v>
      </c>
      <c r="AN1407" s="30" t="str">
        <f t="shared" si="21"/>
        <v>71102060000000</v>
      </c>
    </row>
    <row r="1408" spans="1:40" x14ac:dyDescent="0.25">
      <c r="C1408" s="40"/>
      <c r="D1408" s="101" t="s">
        <v>2616</v>
      </c>
      <c r="E1408" s="101" t="s">
        <v>2617</v>
      </c>
      <c r="F1408" s="102" t="s">
        <v>2750</v>
      </c>
      <c r="G1408" s="52"/>
      <c r="H1408" s="52"/>
      <c r="I1408" s="52" t="s">
        <v>2618</v>
      </c>
      <c r="J1408" s="52" t="s">
        <v>2618</v>
      </c>
      <c r="K1408" s="59" t="s">
        <v>79</v>
      </c>
      <c r="L1408" s="52"/>
      <c r="M1408" s="100" t="s">
        <v>2269</v>
      </c>
      <c r="N1408" s="52"/>
      <c r="O1408" s="61" t="s">
        <v>2596</v>
      </c>
      <c r="P1408" s="63" t="s">
        <v>2619</v>
      </c>
      <c r="Q1408" s="55">
        <f>VLOOKUP(E1408,'NI-Ric_SP'!$C:$AN,12,FALSE)</f>
        <v>0</v>
      </c>
      <c r="R1408" s="55">
        <f>VLOOKUP(E1408,'NI-Ric_SP'!$C:$AN,13,FALSE)</f>
        <v>0</v>
      </c>
      <c r="S1408" s="55">
        <f>VLOOKUP(E1408,'NI-Ric_SP'!$C:$AN,30,FALSE)</f>
        <v>0</v>
      </c>
      <c r="T1408" s="94">
        <f>VLOOKUP(E1408,'NI-Ric_SP'!$C:$AN,31,FALSE)+VLOOKUP(E1408,'NI-Ric_SP'!$C:$AN,32,FALSE)</f>
        <v>0</v>
      </c>
      <c r="U1408" s="55">
        <f>VLOOKUP($E1408,'NI-Ric_SP'!$C:$AN,MID(U$1,1,2),FALSE)</f>
        <v>0</v>
      </c>
      <c r="V1408" s="55">
        <f>VLOOKUP($E1408,'NI-Ric_SP'!$C:$AN,MID(V$1,1,2),FALSE)</f>
        <v>0</v>
      </c>
      <c r="W1408" s="55">
        <f>VLOOKUP($E1408,'NI-Ric_SP'!$C:$AN,MID(W$1,1,2),FALSE)</f>
        <v>0</v>
      </c>
      <c r="X1408" s="55">
        <f>VLOOKUP($E1408,'NI-Ric_SP'!$C:$AN,MID(X$1,1,2),FALSE)</f>
        <v>0</v>
      </c>
      <c r="Y1408" s="55">
        <f>VLOOKUP($E1408,'NI-Ric_SP'!$C:$AN,MID(Y$1,1,2),FALSE)</f>
        <v>0</v>
      </c>
      <c r="Z1408" s="55">
        <f>VLOOKUP($E1408,'NI-Ric_SP'!$C:$AN,MID(Z$1,1,2),FALSE)</f>
        <v>0</v>
      </c>
      <c r="AA1408" s="55">
        <f>VLOOKUP($E1408,'NI-Ric_SP'!$C:$AN,MID(AA$1,1,2),FALSE)</f>
        <v>0</v>
      </c>
      <c r="AB1408" s="55">
        <f>VLOOKUP($E1408,'NI-Ric_SP'!$C:$AN,MID(AB$1,1,2),FALSE)</f>
        <v>0</v>
      </c>
      <c r="AC1408" s="55">
        <f>VLOOKUP($E1408,'NI-Ric_SP'!$C:$AN,MID(AC$1,1,2),FALSE)</f>
        <v>0</v>
      </c>
      <c r="AD1408" s="55">
        <f>VLOOKUP($E1408,'NI-Ric_SP'!$C:$AN,MID(AD$1,1,2),FALSE)</f>
        <v>0</v>
      </c>
      <c r="AE1408" s="55">
        <f>VLOOKUP($E1408,'NI-Ric_SP'!$C:$AN,MID(AE$1,1,2),FALSE)</f>
        <v>0</v>
      </c>
      <c r="AF1408" s="55">
        <f>VLOOKUP($E1408,'NI-Ric_SP'!$C:$AN,MID(AF$1,1,2),FALSE)</f>
        <v>0</v>
      </c>
      <c r="AG1408" s="55">
        <f>VLOOKUP($E1408,'NI-Ric_SP'!$C:$AN,MID(AG$1,1,2),FALSE)</f>
        <v>0</v>
      </c>
      <c r="AH1408" s="55">
        <f>VLOOKUP($E1408,'NI-Ric_SP'!$C:$AN,MID(AH$1,1,2),FALSE)</f>
        <v>0</v>
      </c>
      <c r="AI1408" s="55">
        <f>VLOOKUP($E1408,'NI-Ric_SP'!$C:$AN,MID(AI$1,1,2),FALSE)</f>
        <v>0</v>
      </c>
      <c r="AJ1408" s="55">
        <f>VLOOKUP($E1408,'NI-Ric_SP'!$C:$AN,MID(AJ$1,1,2),FALSE)</f>
        <v>0</v>
      </c>
      <c r="AK1408" s="55">
        <f>VLOOKUP($E1408,'NI-Ric_SP'!$C:$AN,MID(AK$1,1,2),FALSE)</f>
        <v>0</v>
      </c>
      <c r="AL1408" s="55">
        <f>VLOOKUP($E1408,'NI-Ric_SP'!$C:$AN,MID(AL$1,1,2),FALSE)</f>
        <v>0</v>
      </c>
      <c r="AM1408" s="56">
        <f>VLOOKUP($E1408,'NI-Ric_SP'!$C:$AN,MID(AM$1,1,2),FALSE)</f>
        <v>0</v>
      </c>
      <c r="AN1408" s="30" t="str">
        <f t="shared" si="21"/>
        <v>71103000000000</v>
      </c>
    </row>
    <row r="1409" spans="3:40" x14ac:dyDescent="0.25">
      <c r="C1409" s="40"/>
      <c r="D1409" s="101" t="s">
        <v>2620</v>
      </c>
      <c r="E1409" s="101" t="s">
        <v>2621</v>
      </c>
      <c r="F1409" s="102" t="s">
        <v>2750</v>
      </c>
      <c r="G1409" s="52"/>
      <c r="H1409" s="52"/>
      <c r="I1409" s="52"/>
      <c r="J1409" s="52"/>
      <c r="K1409" s="59" t="s">
        <v>111</v>
      </c>
      <c r="L1409" s="52"/>
      <c r="M1409" s="52"/>
      <c r="N1409" s="52"/>
      <c r="O1409" s="61"/>
      <c r="P1409" s="63" t="s">
        <v>2623</v>
      </c>
      <c r="Q1409" s="55">
        <f>VLOOKUP(E1409,'NI-Ric_SP'!$C:$AN,12,FALSE)</f>
        <v>0</v>
      </c>
      <c r="R1409" s="55">
        <f>VLOOKUP(E1409,'NI-Ric_SP'!$C:$AN,13,FALSE)</f>
        <v>0</v>
      </c>
      <c r="S1409" s="55">
        <f>VLOOKUP(E1409,'NI-Ric_SP'!$C:$AN,30,FALSE)</f>
        <v>0</v>
      </c>
      <c r="T1409" s="94">
        <f>VLOOKUP(E1409,'NI-Ric_SP'!$C:$AN,31,FALSE)+VLOOKUP(E1409,'NI-Ric_SP'!$C:$AN,32,FALSE)</f>
        <v>0</v>
      </c>
      <c r="U1409" s="55">
        <f>VLOOKUP($E1409,'NI-Ric_SP'!$C:$AN,MID(U$1,1,2),FALSE)</f>
        <v>0</v>
      </c>
      <c r="V1409" s="55">
        <f>VLOOKUP($E1409,'NI-Ric_SP'!$C:$AN,MID(V$1,1,2),FALSE)</f>
        <v>0</v>
      </c>
      <c r="W1409" s="55">
        <f>VLOOKUP($E1409,'NI-Ric_SP'!$C:$AN,MID(W$1,1,2),FALSE)</f>
        <v>0</v>
      </c>
      <c r="X1409" s="55">
        <f>VLOOKUP($E1409,'NI-Ric_SP'!$C:$AN,MID(X$1,1,2),FALSE)</f>
        <v>0</v>
      </c>
      <c r="Y1409" s="55">
        <f>VLOOKUP($E1409,'NI-Ric_SP'!$C:$AN,MID(Y$1,1,2),FALSE)</f>
        <v>0</v>
      </c>
      <c r="Z1409" s="55">
        <f>VLOOKUP($E1409,'NI-Ric_SP'!$C:$AN,MID(Z$1,1,2),FALSE)</f>
        <v>0</v>
      </c>
      <c r="AA1409" s="55">
        <f>VLOOKUP($E1409,'NI-Ric_SP'!$C:$AN,MID(AA$1,1,2),FALSE)</f>
        <v>0</v>
      </c>
      <c r="AB1409" s="55">
        <f>VLOOKUP($E1409,'NI-Ric_SP'!$C:$AN,MID(AB$1,1,2),FALSE)</f>
        <v>0</v>
      </c>
      <c r="AC1409" s="55">
        <f>VLOOKUP($E1409,'NI-Ric_SP'!$C:$AN,MID(AC$1,1,2),FALSE)</f>
        <v>0</v>
      </c>
      <c r="AD1409" s="55">
        <f>VLOOKUP($E1409,'NI-Ric_SP'!$C:$AN,MID(AD$1,1,2),FALSE)</f>
        <v>0</v>
      </c>
      <c r="AE1409" s="55">
        <f>VLOOKUP($E1409,'NI-Ric_SP'!$C:$AN,MID(AE$1,1,2),FALSE)</f>
        <v>0</v>
      </c>
      <c r="AF1409" s="55">
        <f>VLOOKUP($E1409,'NI-Ric_SP'!$C:$AN,MID(AF$1,1,2),FALSE)</f>
        <v>0</v>
      </c>
      <c r="AG1409" s="55">
        <f>VLOOKUP($E1409,'NI-Ric_SP'!$C:$AN,MID(AG$1,1,2),FALSE)</f>
        <v>0</v>
      </c>
      <c r="AH1409" s="55">
        <f>VLOOKUP($E1409,'NI-Ric_SP'!$C:$AN,MID(AH$1,1,2),FALSE)</f>
        <v>0</v>
      </c>
      <c r="AI1409" s="55">
        <f>VLOOKUP($E1409,'NI-Ric_SP'!$C:$AN,MID(AI$1,1,2),FALSE)</f>
        <v>0</v>
      </c>
      <c r="AJ1409" s="55">
        <f>VLOOKUP($E1409,'NI-Ric_SP'!$C:$AN,MID(AJ$1,1,2),FALSE)</f>
        <v>0</v>
      </c>
      <c r="AK1409" s="55">
        <f>VLOOKUP($E1409,'NI-Ric_SP'!$C:$AN,MID(AK$1,1,2),FALSE)</f>
        <v>0</v>
      </c>
      <c r="AL1409" s="55">
        <f>VLOOKUP($E1409,'NI-Ric_SP'!$C:$AN,MID(AL$1,1,2),FALSE)</f>
        <v>0</v>
      </c>
      <c r="AM1409" s="56">
        <f>VLOOKUP($E1409,'NI-Ric_SP'!$C:$AN,MID(AM$1,1,2),FALSE)</f>
        <v>0</v>
      </c>
      <c r="AN1409" s="30" t="str">
        <f t="shared" si="21"/>
        <v>71104000000000</v>
      </c>
    </row>
    <row r="1410" spans="3:40" x14ac:dyDescent="0.25">
      <c r="C1410" s="40"/>
      <c r="D1410" s="101" t="s">
        <v>2624</v>
      </c>
      <c r="E1410" s="101" t="s">
        <v>2625</v>
      </c>
      <c r="F1410" s="102" t="s">
        <v>2750</v>
      </c>
      <c r="G1410" s="52"/>
      <c r="H1410" s="52"/>
      <c r="I1410" s="52" t="s">
        <v>2626</v>
      </c>
      <c r="J1410" s="52" t="s">
        <v>2626</v>
      </c>
      <c r="K1410" s="59" t="s">
        <v>79</v>
      </c>
      <c r="L1410" s="52"/>
      <c r="M1410" s="100" t="s">
        <v>2269</v>
      </c>
      <c r="N1410" s="52"/>
      <c r="O1410" s="61" t="s">
        <v>2596</v>
      </c>
      <c r="P1410" s="120" t="s">
        <v>2627</v>
      </c>
      <c r="Q1410" s="55">
        <f>VLOOKUP(E1410,'NI-Ric_SP'!$C:$AN,12,FALSE)</f>
        <v>0</v>
      </c>
      <c r="R1410" s="55">
        <f>VLOOKUP(E1410,'NI-Ric_SP'!$C:$AN,13,FALSE)</f>
        <v>0</v>
      </c>
      <c r="S1410" s="55">
        <f>VLOOKUP(E1410,'NI-Ric_SP'!$C:$AN,30,FALSE)</f>
        <v>0</v>
      </c>
      <c r="T1410" s="94">
        <f>VLOOKUP(E1410,'NI-Ric_SP'!$C:$AN,31,FALSE)+VLOOKUP(E1410,'NI-Ric_SP'!$C:$AN,32,FALSE)</f>
        <v>0</v>
      </c>
      <c r="U1410" s="55">
        <f>VLOOKUP($E1410,'NI-Ric_SP'!$C:$AN,MID(U$1,1,2),FALSE)</f>
        <v>0</v>
      </c>
      <c r="V1410" s="55">
        <f>VLOOKUP($E1410,'NI-Ric_SP'!$C:$AN,MID(V$1,1,2),FALSE)</f>
        <v>0</v>
      </c>
      <c r="W1410" s="55">
        <f>VLOOKUP($E1410,'NI-Ric_SP'!$C:$AN,MID(W$1,1,2),FALSE)</f>
        <v>0</v>
      </c>
      <c r="X1410" s="55">
        <f>VLOOKUP($E1410,'NI-Ric_SP'!$C:$AN,MID(X$1,1,2),FALSE)</f>
        <v>0</v>
      </c>
      <c r="Y1410" s="55">
        <f>VLOOKUP($E1410,'NI-Ric_SP'!$C:$AN,MID(Y$1,1,2),FALSE)</f>
        <v>0</v>
      </c>
      <c r="Z1410" s="55">
        <f>VLOOKUP($E1410,'NI-Ric_SP'!$C:$AN,MID(Z$1,1,2),FALSE)</f>
        <v>0</v>
      </c>
      <c r="AA1410" s="55">
        <f>VLOOKUP($E1410,'NI-Ric_SP'!$C:$AN,MID(AA$1,1,2),FALSE)</f>
        <v>0</v>
      </c>
      <c r="AB1410" s="55">
        <f>VLOOKUP($E1410,'NI-Ric_SP'!$C:$AN,MID(AB$1,1,2),FALSE)</f>
        <v>0</v>
      </c>
      <c r="AC1410" s="55">
        <f>VLOOKUP($E1410,'NI-Ric_SP'!$C:$AN,MID(AC$1,1,2),FALSE)</f>
        <v>0</v>
      </c>
      <c r="AD1410" s="55">
        <f>VLOOKUP($E1410,'NI-Ric_SP'!$C:$AN,MID(AD$1,1,2),FALSE)</f>
        <v>0</v>
      </c>
      <c r="AE1410" s="55">
        <f>VLOOKUP($E1410,'NI-Ric_SP'!$C:$AN,MID(AE$1,1,2),FALSE)</f>
        <v>0</v>
      </c>
      <c r="AF1410" s="55">
        <f>VLOOKUP($E1410,'NI-Ric_SP'!$C:$AN,MID(AF$1,1,2),FALSE)</f>
        <v>0</v>
      </c>
      <c r="AG1410" s="55">
        <f>VLOOKUP($E1410,'NI-Ric_SP'!$C:$AN,MID(AG$1,1,2),FALSE)</f>
        <v>0</v>
      </c>
      <c r="AH1410" s="55">
        <f>VLOOKUP($E1410,'NI-Ric_SP'!$C:$AN,MID(AH$1,1,2),FALSE)</f>
        <v>0</v>
      </c>
      <c r="AI1410" s="55">
        <f>VLOOKUP($E1410,'NI-Ric_SP'!$C:$AN,MID(AI$1,1,2),FALSE)</f>
        <v>0</v>
      </c>
      <c r="AJ1410" s="55">
        <f>VLOOKUP($E1410,'NI-Ric_SP'!$C:$AN,MID(AJ$1,1,2),FALSE)</f>
        <v>0</v>
      </c>
      <c r="AK1410" s="55">
        <f>VLOOKUP($E1410,'NI-Ric_SP'!$C:$AN,MID(AK$1,1,2),FALSE)</f>
        <v>0</v>
      </c>
      <c r="AL1410" s="55">
        <f>VLOOKUP($E1410,'NI-Ric_SP'!$C:$AN,MID(AL$1,1,2),FALSE)</f>
        <v>0</v>
      </c>
      <c r="AM1410" s="56">
        <f>VLOOKUP($E1410,'NI-Ric_SP'!$C:$AN,MID(AM$1,1,2),FALSE)</f>
        <v>0</v>
      </c>
      <c r="AN1410" s="30" t="str">
        <f t="shared" ref="AN1410:AN1473" si="22">D1410</f>
        <v>71304010000000</v>
      </c>
    </row>
    <row r="1411" spans="3:40" x14ac:dyDescent="0.25">
      <c r="C1411" s="40"/>
      <c r="D1411" s="101" t="s">
        <v>2628</v>
      </c>
      <c r="E1411" s="101" t="s">
        <v>2629</v>
      </c>
      <c r="F1411" s="102" t="s">
        <v>2750</v>
      </c>
      <c r="G1411" s="52"/>
      <c r="H1411" s="52"/>
      <c r="I1411" s="52" t="s">
        <v>2626</v>
      </c>
      <c r="J1411" s="52" t="s">
        <v>2626</v>
      </c>
      <c r="K1411" s="59" t="s">
        <v>79</v>
      </c>
      <c r="L1411" s="52"/>
      <c r="M1411" s="100" t="s">
        <v>2269</v>
      </c>
      <c r="N1411" s="52"/>
      <c r="O1411" s="61" t="s">
        <v>2596</v>
      </c>
      <c r="P1411" s="120" t="s">
        <v>2630</v>
      </c>
      <c r="Q1411" s="55">
        <f>VLOOKUP(E1411,'NI-Ric_SP'!$C:$AN,12,FALSE)</f>
        <v>0</v>
      </c>
      <c r="R1411" s="55">
        <f>VLOOKUP(E1411,'NI-Ric_SP'!$C:$AN,13,FALSE)</f>
        <v>0</v>
      </c>
      <c r="S1411" s="55">
        <f>VLOOKUP(E1411,'NI-Ric_SP'!$C:$AN,30,FALSE)</f>
        <v>0</v>
      </c>
      <c r="T1411" s="94">
        <f>VLOOKUP(E1411,'NI-Ric_SP'!$C:$AN,31,FALSE)+VLOOKUP(E1411,'NI-Ric_SP'!$C:$AN,32,FALSE)</f>
        <v>0</v>
      </c>
      <c r="U1411" s="55">
        <f>VLOOKUP($E1411,'NI-Ric_SP'!$C:$AN,MID(U$1,1,2),FALSE)</f>
        <v>0</v>
      </c>
      <c r="V1411" s="55">
        <f>VLOOKUP($E1411,'NI-Ric_SP'!$C:$AN,MID(V$1,1,2),FALSE)</f>
        <v>0</v>
      </c>
      <c r="W1411" s="55">
        <f>VLOOKUP($E1411,'NI-Ric_SP'!$C:$AN,MID(W$1,1,2),FALSE)</f>
        <v>0</v>
      </c>
      <c r="X1411" s="55">
        <f>VLOOKUP($E1411,'NI-Ric_SP'!$C:$AN,MID(X$1,1,2),FALSE)</f>
        <v>0</v>
      </c>
      <c r="Y1411" s="55">
        <f>VLOOKUP($E1411,'NI-Ric_SP'!$C:$AN,MID(Y$1,1,2),FALSE)</f>
        <v>0</v>
      </c>
      <c r="Z1411" s="55">
        <f>VLOOKUP($E1411,'NI-Ric_SP'!$C:$AN,MID(Z$1,1,2),FALSE)</f>
        <v>0</v>
      </c>
      <c r="AA1411" s="55">
        <f>VLOOKUP($E1411,'NI-Ric_SP'!$C:$AN,MID(AA$1,1,2),FALSE)</f>
        <v>0</v>
      </c>
      <c r="AB1411" s="55">
        <f>VLOOKUP($E1411,'NI-Ric_SP'!$C:$AN,MID(AB$1,1,2),FALSE)</f>
        <v>0</v>
      </c>
      <c r="AC1411" s="55">
        <f>VLOOKUP($E1411,'NI-Ric_SP'!$C:$AN,MID(AC$1,1,2),FALSE)</f>
        <v>0</v>
      </c>
      <c r="AD1411" s="55">
        <f>VLOOKUP($E1411,'NI-Ric_SP'!$C:$AN,MID(AD$1,1,2),FALSE)</f>
        <v>0</v>
      </c>
      <c r="AE1411" s="55">
        <f>VLOOKUP($E1411,'NI-Ric_SP'!$C:$AN,MID(AE$1,1,2),FALSE)</f>
        <v>0</v>
      </c>
      <c r="AF1411" s="55">
        <f>VLOOKUP($E1411,'NI-Ric_SP'!$C:$AN,MID(AF$1,1,2),FALSE)</f>
        <v>0</v>
      </c>
      <c r="AG1411" s="55">
        <f>VLOOKUP($E1411,'NI-Ric_SP'!$C:$AN,MID(AG$1,1,2),FALSE)</f>
        <v>0</v>
      </c>
      <c r="AH1411" s="55">
        <f>VLOOKUP($E1411,'NI-Ric_SP'!$C:$AN,MID(AH$1,1,2),FALSE)</f>
        <v>0</v>
      </c>
      <c r="AI1411" s="55">
        <f>VLOOKUP($E1411,'NI-Ric_SP'!$C:$AN,MID(AI$1,1,2),FALSE)</f>
        <v>0</v>
      </c>
      <c r="AJ1411" s="55">
        <f>VLOOKUP($E1411,'NI-Ric_SP'!$C:$AN,MID(AJ$1,1,2),FALSE)</f>
        <v>0</v>
      </c>
      <c r="AK1411" s="55">
        <f>VLOOKUP($E1411,'NI-Ric_SP'!$C:$AN,MID(AK$1,1,2),FALSE)</f>
        <v>0</v>
      </c>
      <c r="AL1411" s="55">
        <f>VLOOKUP($E1411,'NI-Ric_SP'!$C:$AN,MID(AL$1,1,2),FALSE)</f>
        <v>0</v>
      </c>
      <c r="AM1411" s="56">
        <f>VLOOKUP($E1411,'NI-Ric_SP'!$C:$AN,MID(AM$1,1,2),FALSE)</f>
        <v>0</v>
      </c>
      <c r="AN1411" s="30" t="str">
        <f t="shared" si="22"/>
        <v>71304020000000</v>
      </c>
    </row>
    <row r="1412" spans="3:40" x14ac:dyDescent="0.25">
      <c r="C1412" s="40"/>
      <c r="D1412" s="101" t="s">
        <v>2631</v>
      </c>
      <c r="E1412" s="101" t="s">
        <v>2632</v>
      </c>
      <c r="F1412" s="102" t="s">
        <v>2750</v>
      </c>
      <c r="G1412" s="52"/>
      <c r="H1412" s="52"/>
      <c r="I1412" s="52"/>
      <c r="J1412" s="52"/>
      <c r="K1412" s="59" t="s">
        <v>111</v>
      </c>
      <c r="L1412" s="52"/>
      <c r="M1412" s="52"/>
      <c r="N1412" s="52"/>
      <c r="O1412" s="61"/>
      <c r="P1412" s="120" t="s">
        <v>2633</v>
      </c>
      <c r="Q1412" s="55">
        <f>VLOOKUP(E1412,'NI-Ric_SP'!$C:$AN,12,FALSE)</f>
        <v>0</v>
      </c>
      <c r="R1412" s="55">
        <f>VLOOKUP(E1412,'NI-Ric_SP'!$C:$AN,13,FALSE)</f>
        <v>0</v>
      </c>
      <c r="S1412" s="55">
        <f>VLOOKUP(E1412,'NI-Ric_SP'!$C:$AN,30,FALSE)</f>
        <v>0</v>
      </c>
      <c r="T1412" s="94">
        <f>VLOOKUP(E1412,'NI-Ric_SP'!$C:$AN,31,FALSE)+VLOOKUP(E1412,'NI-Ric_SP'!$C:$AN,32,FALSE)</f>
        <v>0</v>
      </c>
      <c r="U1412" s="55">
        <f>VLOOKUP($E1412,'NI-Ric_SP'!$C:$AN,MID(U$1,1,2),FALSE)</f>
        <v>0</v>
      </c>
      <c r="V1412" s="55">
        <f>VLOOKUP($E1412,'NI-Ric_SP'!$C:$AN,MID(V$1,1,2),FALSE)</f>
        <v>0</v>
      </c>
      <c r="W1412" s="55">
        <f>VLOOKUP($E1412,'NI-Ric_SP'!$C:$AN,MID(W$1,1,2),FALSE)</f>
        <v>0</v>
      </c>
      <c r="X1412" s="55">
        <f>VLOOKUP($E1412,'NI-Ric_SP'!$C:$AN,MID(X$1,1,2),FALSE)</f>
        <v>0</v>
      </c>
      <c r="Y1412" s="55">
        <f>VLOOKUP($E1412,'NI-Ric_SP'!$C:$AN,MID(Y$1,1,2),FALSE)</f>
        <v>0</v>
      </c>
      <c r="Z1412" s="55">
        <f>VLOOKUP($E1412,'NI-Ric_SP'!$C:$AN,MID(Z$1,1,2),FALSE)</f>
        <v>0</v>
      </c>
      <c r="AA1412" s="55">
        <f>VLOOKUP($E1412,'NI-Ric_SP'!$C:$AN,MID(AA$1,1,2),FALSE)</f>
        <v>0</v>
      </c>
      <c r="AB1412" s="55">
        <f>VLOOKUP($E1412,'NI-Ric_SP'!$C:$AN,MID(AB$1,1,2),FALSE)</f>
        <v>0</v>
      </c>
      <c r="AC1412" s="55">
        <f>VLOOKUP($E1412,'NI-Ric_SP'!$C:$AN,MID(AC$1,1,2),FALSE)</f>
        <v>0</v>
      </c>
      <c r="AD1412" s="55">
        <f>VLOOKUP($E1412,'NI-Ric_SP'!$C:$AN,MID(AD$1,1,2),FALSE)</f>
        <v>0</v>
      </c>
      <c r="AE1412" s="55">
        <f>VLOOKUP($E1412,'NI-Ric_SP'!$C:$AN,MID(AE$1,1,2),FALSE)</f>
        <v>0</v>
      </c>
      <c r="AF1412" s="55">
        <f>VLOOKUP($E1412,'NI-Ric_SP'!$C:$AN,MID(AF$1,1,2),FALSE)</f>
        <v>0</v>
      </c>
      <c r="AG1412" s="55">
        <f>VLOOKUP($E1412,'NI-Ric_SP'!$C:$AN,MID(AG$1,1,2),FALSE)</f>
        <v>0</v>
      </c>
      <c r="AH1412" s="55">
        <f>VLOOKUP($E1412,'NI-Ric_SP'!$C:$AN,MID(AH$1,1,2),FALSE)</f>
        <v>0</v>
      </c>
      <c r="AI1412" s="55">
        <f>VLOOKUP($E1412,'NI-Ric_SP'!$C:$AN,MID(AI$1,1,2),FALSE)</f>
        <v>0</v>
      </c>
      <c r="AJ1412" s="55">
        <f>VLOOKUP($E1412,'NI-Ric_SP'!$C:$AN,MID(AJ$1,1,2),FALSE)</f>
        <v>0</v>
      </c>
      <c r="AK1412" s="55">
        <f>VLOOKUP($E1412,'NI-Ric_SP'!$C:$AN,MID(AK$1,1,2),FALSE)</f>
        <v>0</v>
      </c>
      <c r="AL1412" s="55">
        <f>VLOOKUP($E1412,'NI-Ric_SP'!$C:$AN,MID(AL$1,1,2),FALSE)</f>
        <v>0</v>
      </c>
      <c r="AM1412" s="56">
        <f>VLOOKUP($E1412,'NI-Ric_SP'!$C:$AN,MID(AM$1,1,2),FALSE)</f>
        <v>0</v>
      </c>
      <c r="AN1412" s="30" t="str">
        <f t="shared" si="22"/>
        <v>71304030000000</v>
      </c>
    </row>
    <row r="1413" spans="3:40" x14ac:dyDescent="0.25">
      <c r="C1413" s="40"/>
      <c r="D1413" s="101" t="s">
        <v>2634</v>
      </c>
      <c r="E1413" s="101" t="s">
        <v>2635</v>
      </c>
      <c r="F1413" s="102" t="s">
        <v>2750</v>
      </c>
      <c r="G1413" s="52" t="s">
        <v>1608</v>
      </c>
      <c r="H1413" s="52"/>
      <c r="I1413" s="52"/>
      <c r="J1413" s="52"/>
      <c r="K1413" s="59" t="s">
        <v>79</v>
      </c>
      <c r="L1413" s="52"/>
      <c r="M1413" s="52"/>
      <c r="N1413" s="52"/>
      <c r="O1413" s="52"/>
      <c r="P1413" s="108" t="s">
        <v>2636</v>
      </c>
      <c r="Q1413" s="55">
        <f>VLOOKUP(E1413,'NI-Ric_SP'!$C:$AN,12,FALSE)</f>
        <v>0</v>
      </c>
      <c r="R1413" s="55">
        <f>VLOOKUP(E1413,'NI-Ric_SP'!$C:$AN,13,FALSE)</f>
        <v>0</v>
      </c>
      <c r="S1413" s="55">
        <f>VLOOKUP(E1413,'NI-Ric_SP'!$C:$AN,30,FALSE)</f>
        <v>0</v>
      </c>
      <c r="T1413" s="94">
        <f>VLOOKUP(E1413,'NI-Ric_SP'!$C:$AN,31,FALSE)+VLOOKUP(E1413,'NI-Ric_SP'!$C:$AN,32,FALSE)</f>
        <v>0</v>
      </c>
      <c r="U1413" s="55">
        <f>VLOOKUP($E1413,'NI-Ric_SP'!$C:$AN,MID(U$1,1,2),FALSE)</f>
        <v>0</v>
      </c>
      <c r="V1413" s="55">
        <f>VLOOKUP($E1413,'NI-Ric_SP'!$C:$AN,MID(V$1,1,2),FALSE)</f>
        <v>0</v>
      </c>
      <c r="W1413" s="55">
        <f>VLOOKUP($E1413,'NI-Ric_SP'!$C:$AN,MID(W$1,1,2),FALSE)</f>
        <v>0</v>
      </c>
      <c r="X1413" s="55">
        <f>VLOOKUP($E1413,'NI-Ric_SP'!$C:$AN,MID(X$1,1,2),FALSE)</f>
        <v>0</v>
      </c>
      <c r="Y1413" s="55">
        <f>VLOOKUP($E1413,'NI-Ric_SP'!$C:$AN,MID(Y$1,1,2),FALSE)</f>
        <v>0</v>
      </c>
      <c r="Z1413" s="55">
        <f>VLOOKUP($E1413,'NI-Ric_SP'!$C:$AN,MID(Z$1,1,2),FALSE)</f>
        <v>0</v>
      </c>
      <c r="AA1413" s="55">
        <f>VLOOKUP($E1413,'NI-Ric_SP'!$C:$AN,MID(AA$1,1,2),FALSE)</f>
        <v>0</v>
      </c>
      <c r="AB1413" s="55">
        <f>VLOOKUP($E1413,'NI-Ric_SP'!$C:$AN,MID(AB$1,1,2),FALSE)</f>
        <v>0</v>
      </c>
      <c r="AC1413" s="55">
        <f>VLOOKUP($E1413,'NI-Ric_SP'!$C:$AN,MID(AC$1,1,2),FALSE)</f>
        <v>0</v>
      </c>
      <c r="AD1413" s="55">
        <f>VLOOKUP($E1413,'NI-Ric_SP'!$C:$AN,MID(AD$1,1,2),FALSE)</f>
        <v>0</v>
      </c>
      <c r="AE1413" s="55">
        <f>VLOOKUP($E1413,'NI-Ric_SP'!$C:$AN,MID(AE$1,1,2),FALSE)</f>
        <v>0</v>
      </c>
      <c r="AF1413" s="55">
        <f>VLOOKUP($E1413,'NI-Ric_SP'!$C:$AN,MID(AF$1,1,2),FALSE)</f>
        <v>0</v>
      </c>
      <c r="AG1413" s="55">
        <f>VLOOKUP($E1413,'NI-Ric_SP'!$C:$AN,MID(AG$1,1,2),FALSE)</f>
        <v>0</v>
      </c>
      <c r="AH1413" s="55">
        <f>VLOOKUP($E1413,'NI-Ric_SP'!$C:$AN,MID(AH$1,1,2),FALSE)</f>
        <v>0</v>
      </c>
      <c r="AI1413" s="55">
        <f>VLOOKUP($E1413,'NI-Ric_SP'!$C:$AN,MID(AI$1,1,2),FALSE)</f>
        <v>0</v>
      </c>
      <c r="AJ1413" s="55">
        <f>VLOOKUP($E1413,'NI-Ric_SP'!$C:$AN,MID(AJ$1,1,2),FALSE)</f>
        <v>0</v>
      </c>
      <c r="AK1413" s="55">
        <f>VLOOKUP($E1413,'NI-Ric_SP'!$C:$AN,MID(AK$1,1,2),FALSE)</f>
        <v>0</v>
      </c>
      <c r="AL1413" s="55">
        <f>VLOOKUP($E1413,'NI-Ric_SP'!$C:$AN,MID(AL$1,1,2),FALSE)</f>
        <v>0</v>
      </c>
      <c r="AM1413" s="56">
        <f>VLOOKUP($E1413,'NI-Ric_SP'!$C:$AN,MID(AM$1,1,2),FALSE)</f>
        <v>0</v>
      </c>
      <c r="AN1413" s="30" t="str">
        <f t="shared" si="22"/>
        <v>71304030010000</v>
      </c>
    </row>
    <row r="1414" spans="3:40" x14ac:dyDescent="0.25">
      <c r="C1414" s="40"/>
      <c r="D1414" s="101" t="s">
        <v>2637</v>
      </c>
      <c r="E1414" s="101" t="s">
        <v>2638</v>
      </c>
      <c r="F1414" s="102" t="s">
        <v>2750</v>
      </c>
      <c r="G1414" s="52" t="s">
        <v>1608</v>
      </c>
      <c r="H1414" s="52"/>
      <c r="I1414" s="52"/>
      <c r="J1414" s="52"/>
      <c r="K1414" s="59" t="s">
        <v>79</v>
      </c>
      <c r="L1414" s="52"/>
      <c r="M1414" s="52"/>
      <c r="N1414" s="52"/>
      <c r="O1414" s="52"/>
      <c r="P1414" s="108" t="s">
        <v>2639</v>
      </c>
      <c r="Q1414" s="55">
        <f>VLOOKUP(E1414,'NI-Ric_SP'!$C:$AN,12,FALSE)</f>
        <v>0</v>
      </c>
      <c r="R1414" s="55">
        <f>VLOOKUP(E1414,'NI-Ric_SP'!$C:$AN,13,FALSE)</f>
        <v>0</v>
      </c>
      <c r="S1414" s="55">
        <f>VLOOKUP(E1414,'NI-Ric_SP'!$C:$AN,30,FALSE)</f>
        <v>0</v>
      </c>
      <c r="T1414" s="94">
        <f>VLOOKUP(E1414,'NI-Ric_SP'!$C:$AN,31,FALSE)+VLOOKUP(E1414,'NI-Ric_SP'!$C:$AN,32,FALSE)</f>
        <v>0</v>
      </c>
      <c r="U1414" s="55">
        <f>VLOOKUP($E1414,'NI-Ric_SP'!$C:$AN,MID(U$1,1,2),FALSE)</f>
        <v>0</v>
      </c>
      <c r="V1414" s="55">
        <f>VLOOKUP($E1414,'NI-Ric_SP'!$C:$AN,MID(V$1,1,2),FALSE)</f>
        <v>0</v>
      </c>
      <c r="W1414" s="55">
        <f>VLOOKUP($E1414,'NI-Ric_SP'!$C:$AN,MID(W$1,1,2),FALSE)</f>
        <v>0</v>
      </c>
      <c r="X1414" s="55">
        <f>VLOOKUP($E1414,'NI-Ric_SP'!$C:$AN,MID(X$1,1,2),FALSE)</f>
        <v>0</v>
      </c>
      <c r="Y1414" s="55">
        <f>VLOOKUP($E1414,'NI-Ric_SP'!$C:$AN,MID(Y$1,1,2),FALSE)</f>
        <v>0</v>
      </c>
      <c r="Z1414" s="55">
        <f>VLOOKUP($E1414,'NI-Ric_SP'!$C:$AN,MID(Z$1,1,2),FALSE)</f>
        <v>0</v>
      </c>
      <c r="AA1414" s="55">
        <f>VLOOKUP($E1414,'NI-Ric_SP'!$C:$AN,MID(AA$1,1,2),FALSE)</f>
        <v>0</v>
      </c>
      <c r="AB1414" s="55">
        <f>VLOOKUP($E1414,'NI-Ric_SP'!$C:$AN,MID(AB$1,1,2),FALSE)</f>
        <v>0</v>
      </c>
      <c r="AC1414" s="55">
        <f>VLOOKUP($E1414,'NI-Ric_SP'!$C:$AN,MID(AC$1,1,2),FALSE)</f>
        <v>0</v>
      </c>
      <c r="AD1414" s="55">
        <f>VLOOKUP($E1414,'NI-Ric_SP'!$C:$AN,MID(AD$1,1,2),FALSE)</f>
        <v>0</v>
      </c>
      <c r="AE1414" s="55">
        <f>VLOOKUP($E1414,'NI-Ric_SP'!$C:$AN,MID(AE$1,1,2),FALSE)</f>
        <v>0</v>
      </c>
      <c r="AF1414" s="55">
        <f>VLOOKUP($E1414,'NI-Ric_SP'!$C:$AN,MID(AF$1,1,2),FALSE)</f>
        <v>0</v>
      </c>
      <c r="AG1414" s="55">
        <f>VLOOKUP($E1414,'NI-Ric_SP'!$C:$AN,MID(AG$1,1,2),FALSE)</f>
        <v>0</v>
      </c>
      <c r="AH1414" s="55">
        <f>VLOOKUP($E1414,'NI-Ric_SP'!$C:$AN,MID(AH$1,1,2),FALSE)</f>
        <v>0</v>
      </c>
      <c r="AI1414" s="55">
        <f>VLOOKUP($E1414,'NI-Ric_SP'!$C:$AN,MID(AI$1,1,2),FALSE)</f>
        <v>0</v>
      </c>
      <c r="AJ1414" s="55">
        <f>VLOOKUP($E1414,'NI-Ric_SP'!$C:$AN,MID(AJ$1,1,2),FALSE)</f>
        <v>0</v>
      </c>
      <c r="AK1414" s="55">
        <f>VLOOKUP($E1414,'NI-Ric_SP'!$C:$AN,MID(AK$1,1,2),FALSE)</f>
        <v>0</v>
      </c>
      <c r="AL1414" s="55">
        <f>VLOOKUP($E1414,'NI-Ric_SP'!$C:$AN,MID(AL$1,1,2),FALSE)</f>
        <v>0</v>
      </c>
      <c r="AM1414" s="56">
        <f>VLOOKUP($E1414,'NI-Ric_SP'!$C:$AN,MID(AM$1,1,2),FALSE)</f>
        <v>0</v>
      </c>
      <c r="AN1414" s="30" t="str">
        <f t="shared" si="22"/>
        <v>71304030020000</v>
      </c>
    </row>
    <row r="1415" spans="3:40" x14ac:dyDescent="0.25">
      <c r="C1415" s="40"/>
      <c r="D1415" s="101" t="s">
        <v>2640</v>
      </c>
      <c r="E1415" s="101" t="s">
        <v>2641</v>
      </c>
      <c r="F1415" s="102" t="s">
        <v>2750</v>
      </c>
      <c r="G1415" s="52"/>
      <c r="H1415" s="52"/>
      <c r="I1415" s="52"/>
      <c r="J1415" s="52"/>
      <c r="K1415" s="59" t="s">
        <v>79</v>
      </c>
      <c r="L1415" s="52"/>
      <c r="M1415" s="52"/>
      <c r="N1415" s="52"/>
      <c r="O1415" s="52"/>
      <c r="P1415" s="108" t="s">
        <v>2642</v>
      </c>
      <c r="Q1415" s="55">
        <f>VLOOKUP(E1415,'NI-Ric_SP'!$C:$AN,12,FALSE)</f>
        <v>0</v>
      </c>
      <c r="R1415" s="55">
        <f>VLOOKUP(E1415,'NI-Ric_SP'!$C:$AN,13,FALSE)</f>
        <v>0</v>
      </c>
      <c r="S1415" s="55">
        <f>VLOOKUP(E1415,'NI-Ric_SP'!$C:$AN,30,FALSE)</f>
        <v>0</v>
      </c>
      <c r="T1415" s="94">
        <f>VLOOKUP(E1415,'NI-Ric_SP'!$C:$AN,31,FALSE)+VLOOKUP(E1415,'NI-Ric_SP'!$C:$AN,32,FALSE)</f>
        <v>0</v>
      </c>
      <c r="U1415" s="55">
        <f>VLOOKUP($E1415,'NI-Ric_SP'!$C:$AN,MID(U$1,1,2),FALSE)</f>
        <v>0</v>
      </c>
      <c r="V1415" s="55">
        <f>VLOOKUP($E1415,'NI-Ric_SP'!$C:$AN,MID(V$1,1,2),FALSE)</f>
        <v>0</v>
      </c>
      <c r="W1415" s="55">
        <f>VLOOKUP($E1415,'NI-Ric_SP'!$C:$AN,MID(W$1,1,2),FALSE)</f>
        <v>0</v>
      </c>
      <c r="X1415" s="55">
        <f>VLOOKUP($E1415,'NI-Ric_SP'!$C:$AN,MID(X$1,1,2),FALSE)</f>
        <v>0</v>
      </c>
      <c r="Y1415" s="55">
        <f>VLOOKUP($E1415,'NI-Ric_SP'!$C:$AN,MID(Y$1,1,2),FALSE)</f>
        <v>0</v>
      </c>
      <c r="Z1415" s="55">
        <f>VLOOKUP($E1415,'NI-Ric_SP'!$C:$AN,MID(Z$1,1,2),FALSE)</f>
        <v>0</v>
      </c>
      <c r="AA1415" s="55">
        <f>VLOOKUP($E1415,'NI-Ric_SP'!$C:$AN,MID(AA$1,1,2),FALSE)</f>
        <v>0</v>
      </c>
      <c r="AB1415" s="55">
        <f>VLOOKUP($E1415,'NI-Ric_SP'!$C:$AN,MID(AB$1,1,2),FALSE)</f>
        <v>0</v>
      </c>
      <c r="AC1415" s="55">
        <f>VLOOKUP($E1415,'NI-Ric_SP'!$C:$AN,MID(AC$1,1,2),FALSE)</f>
        <v>0</v>
      </c>
      <c r="AD1415" s="55">
        <f>VLOOKUP($E1415,'NI-Ric_SP'!$C:$AN,MID(AD$1,1,2),FALSE)</f>
        <v>0</v>
      </c>
      <c r="AE1415" s="55">
        <f>VLOOKUP($E1415,'NI-Ric_SP'!$C:$AN,MID(AE$1,1,2),FALSE)</f>
        <v>0</v>
      </c>
      <c r="AF1415" s="55">
        <f>VLOOKUP($E1415,'NI-Ric_SP'!$C:$AN,MID(AF$1,1,2),FALSE)</f>
        <v>0</v>
      </c>
      <c r="AG1415" s="55">
        <f>VLOOKUP($E1415,'NI-Ric_SP'!$C:$AN,MID(AG$1,1,2),FALSE)</f>
        <v>0</v>
      </c>
      <c r="AH1415" s="55">
        <f>VLOOKUP($E1415,'NI-Ric_SP'!$C:$AN,MID(AH$1,1,2),FALSE)</f>
        <v>0</v>
      </c>
      <c r="AI1415" s="55">
        <f>VLOOKUP($E1415,'NI-Ric_SP'!$C:$AN,MID(AI$1,1,2),FALSE)</f>
        <v>0</v>
      </c>
      <c r="AJ1415" s="55">
        <f>VLOOKUP($E1415,'NI-Ric_SP'!$C:$AN,MID(AJ$1,1,2),FALSE)</f>
        <v>0</v>
      </c>
      <c r="AK1415" s="55">
        <f>VLOOKUP($E1415,'NI-Ric_SP'!$C:$AN,MID(AK$1,1,2),FALSE)</f>
        <v>0</v>
      </c>
      <c r="AL1415" s="55">
        <f>VLOOKUP($E1415,'NI-Ric_SP'!$C:$AN,MID(AL$1,1,2),FALSE)</f>
        <v>0</v>
      </c>
      <c r="AM1415" s="56">
        <f>VLOOKUP($E1415,'NI-Ric_SP'!$C:$AN,MID(AM$1,1,2),FALSE)</f>
        <v>0</v>
      </c>
      <c r="AN1415" s="30" t="str">
        <f t="shared" si="22"/>
        <v>71304030030000</v>
      </c>
    </row>
    <row r="1416" spans="3:40" x14ac:dyDescent="0.25">
      <c r="C1416" s="40"/>
      <c r="D1416" s="101" t="s">
        <v>2643</v>
      </c>
      <c r="E1416" s="101" t="s">
        <v>2644</v>
      </c>
      <c r="F1416" s="102" t="s">
        <v>2750</v>
      </c>
      <c r="G1416" s="52" t="s">
        <v>1608</v>
      </c>
      <c r="H1416" s="52"/>
      <c r="I1416" s="52"/>
      <c r="J1416" s="52"/>
      <c r="K1416" s="59" t="s">
        <v>79</v>
      </c>
      <c r="L1416" s="52"/>
      <c r="M1416" s="52"/>
      <c r="N1416" s="52"/>
      <c r="O1416" s="52"/>
      <c r="P1416" s="108" t="s">
        <v>2645</v>
      </c>
      <c r="Q1416" s="55">
        <f>VLOOKUP(E1416,'NI-Ric_SP'!$C:$AN,12,FALSE)</f>
        <v>0</v>
      </c>
      <c r="R1416" s="55">
        <f>VLOOKUP(E1416,'NI-Ric_SP'!$C:$AN,13,FALSE)</f>
        <v>0</v>
      </c>
      <c r="S1416" s="55">
        <f>VLOOKUP(E1416,'NI-Ric_SP'!$C:$AN,30,FALSE)</f>
        <v>0</v>
      </c>
      <c r="T1416" s="94">
        <f>VLOOKUP(E1416,'NI-Ric_SP'!$C:$AN,31,FALSE)+VLOOKUP(E1416,'NI-Ric_SP'!$C:$AN,32,FALSE)</f>
        <v>0</v>
      </c>
      <c r="U1416" s="55">
        <f>VLOOKUP($E1416,'NI-Ric_SP'!$C:$AN,MID(U$1,1,2),FALSE)</f>
        <v>0</v>
      </c>
      <c r="V1416" s="55">
        <f>VLOOKUP($E1416,'NI-Ric_SP'!$C:$AN,MID(V$1,1,2),FALSE)</f>
        <v>0</v>
      </c>
      <c r="W1416" s="55">
        <f>VLOOKUP($E1416,'NI-Ric_SP'!$C:$AN,MID(W$1,1,2),FALSE)</f>
        <v>0</v>
      </c>
      <c r="X1416" s="55">
        <f>VLOOKUP($E1416,'NI-Ric_SP'!$C:$AN,MID(X$1,1,2),FALSE)</f>
        <v>0</v>
      </c>
      <c r="Y1416" s="55">
        <f>VLOOKUP($E1416,'NI-Ric_SP'!$C:$AN,MID(Y$1,1,2),FALSE)</f>
        <v>0</v>
      </c>
      <c r="Z1416" s="55">
        <f>VLOOKUP($E1416,'NI-Ric_SP'!$C:$AN,MID(Z$1,1,2),FALSE)</f>
        <v>0</v>
      </c>
      <c r="AA1416" s="55">
        <f>VLOOKUP($E1416,'NI-Ric_SP'!$C:$AN,MID(AA$1,1,2),FALSE)</f>
        <v>0</v>
      </c>
      <c r="AB1416" s="55">
        <f>VLOOKUP($E1416,'NI-Ric_SP'!$C:$AN,MID(AB$1,1,2),FALSE)</f>
        <v>0</v>
      </c>
      <c r="AC1416" s="55">
        <f>VLOOKUP($E1416,'NI-Ric_SP'!$C:$AN,MID(AC$1,1,2),FALSE)</f>
        <v>0</v>
      </c>
      <c r="AD1416" s="55">
        <f>VLOOKUP($E1416,'NI-Ric_SP'!$C:$AN,MID(AD$1,1,2),FALSE)</f>
        <v>0</v>
      </c>
      <c r="AE1416" s="55">
        <f>VLOOKUP($E1416,'NI-Ric_SP'!$C:$AN,MID(AE$1,1,2),FALSE)</f>
        <v>0</v>
      </c>
      <c r="AF1416" s="55">
        <f>VLOOKUP($E1416,'NI-Ric_SP'!$C:$AN,MID(AF$1,1,2),FALSE)</f>
        <v>0</v>
      </c>
      <c r="AG1416" s="55">
        <f>VLOOKUP($E1416,'NI-Ric_SP'!$C:$AN,MID(AG$1,1,2),FALSE)</f>
        <v>0</v>
      </c>
      <c r="AH1416" s="55">
        <f>VLOOKUP($E1416,'NI-Ric_SP'!$C:$AN,MID(AH$1,1,2),FALSE)</f>
        <v>0</v>
      </c>
      <c r="AI1416" s="55">
        <f>VLOOKUP($E1416,'NI-Ric_SP'!$C:$AN,MID(AI$1,1,2),FALSE)</f>
        <v>0</v>
      </c>
      <c r="AJ1416" s="55">
        <f>VLOOKUP($E1416,'NI-Ric_SP'!$C:$AN,MID(AJ$1,1,2),FALSE)</f>
        <v>0</v>
      </c>
      <c r="AK1416" s="55">
        <f>VLOOKUP($E1416,'NI-Ric_SP'!$C:$AN,MID(AK$1,1,2),FALSE)</f>
        <v>0</v>
      </c>
      <c r="AL1416" s="55">
        <f>VLOOKUP($E1416,'NI-Ric_SP'!$C:$AN,MID(AL$1,1,2),FALSE)</f>
        <v>0</v>
      </c>
      <c r="AM1416" s="56">
        <f>VLOOKUP($E1416,'NI-Ric_SP'!$C:$AN,MID(AM$1,1,2),FALSE)</f>
        <v>0</v>
      </c>
      <c r="AN1416" s="30" t="str">
        <f t="shared" si="22"/>
        <v>71304030040000</v>
      </c>
    </row>
    <row r="1417" spans="3:40" x14ac:dyDescent="0.25">
      <c r="C1417" s="40"/>
      <c r="D1417" s="101" t="s">
        <v>2646</v>
      </c>
      <c r="E1417" s="101" t="s">
        <v>2647</v>
      </c>
      <c r="F1417" s="102" t="s">
        <v>2750</v>
      </c>
      <c r="G1417" s="51"/>
      <c r="H1417" s="52"/>
      <c r="I1417" s="52"/>
      <c r="J1417" s="52"/>
      <c r="K1417" s="53" t="s">
        <v>111</v>
      </c>
      <c r="L1417" s="62" t="s">
        <v>2648</v>
      </c>
      <c r="M1417" s="52"/>
      <c r="N1417" s="52"/>
      <c r="O1417" s="52"/>
      <c r="P1417" s="54" t="s">
        <v>2649</v>
      </c>
      <c r="Q1417" s="55">
        <f>VLOOKUP(E1417,'NI-Ric_SP'!$C:$AN,12,FALSE)</f>
        <v>0</v>
      </c>
      <c r="R1417" s="55">
        <f>VLOOKUP(E1417,'NI-Ric_SP'!$C:$AN,13,FALSE)</f>
        <v>0</v>
      </c>
      <c r="S1417" s="55"/>
      <c r="T1417" s="55"/>
      <c r="U1417" s="55">
        <f>VLOOKUP($E1417,'NI-Ric_SP'!$C:$AN,MID(U$1,1,2),FALSE)</f>
        <v>0</v>
      </c>
      <c r="V1417" s="55">
        <f>VLOOKUP($E1417,'NI-Ric_SP'!$C:$AN,MID(V$1,1,2),FALSE)</f>
        <v>0</v>
      </c>
      <c r="W1417" s="55">
        <f>VLOOKUP($E1417,'NI-Ric_SP'!$C:$AN,MID(W$1,1,2),FALSE)</f>
        <v>0</v>
      </c>
      <c r="X1417" s="55">
        <f>VLOOKUP($E1417,'NI-Ric_SP'!$C:$AN,MID(X$1,1,2),FALSE)</f>
        <v>0</v>
      </c>
      <c r="Y1417" s="55">
        <f>VLOOKUP($E1417,'NI-Ric_SP'!$C:$AN,MID(Y$1,1,2),FALSE)</f>
        <v>0</v>
      </c>
      <c r="Z1417" s="55">
        <f>VLOOKUP($E1417,'NI-Ric_SP'!$C:$AN,MID(Z$1,1,2),FALSE)</f>
        <v>0</v>
      </c>
      <c r="AA1417" s="55">
        <f>VLOOKUP($E1417,'NI-Ric_SP'!$C:$AN,MID(AA$1,1,2),FALSE)</f>
        <v>0</v>
      </c>
      <c r="AB1417" s="55">
        <f>VLOOKUP($E1417,'NI-Ric_SP'!$C:$AN,MID(AB$1,1,2),FALSE)</f>
        <v>0</v>
      </c>
      <c r="AC1417" s="55">
        <f>VLOOKUP($E1417,'NI-Ric_SP'!$C:$AN,MID(AC$1,1,2),FALSE)</f>
        <v>0</v>
      </c>
      <c r="AD1417" s="55">
        <f>VLOOKUP($E1417,'NI-Ric_SP'!$C:$AN,MID(AD$1,1,2),FALSE)</f>
        <v>0</v>
      </c>
      <c r="AE1417" s="55">
        <f>VLOOKUP($E1417,'NI-Ric_SP'!$C:$AN,MID(AE$1,1,2),FALSE)</f>
        <v>0</v>
      </c>
      <c r="AF1417" s="55">
        <f>VLOOKUP($E1417,'NI-Ric_SP'!$C:$AN,MID(AF$1,1,2),FALSE)</f>
        <v>0</v>
      </c>
      <c r="AG1417" s="55">
        <f>VLOOKUP($E1417,'NI-Ric_SP'!$C:$AN,MID(AG$1,1,2),FALSE)</f>
        <v>0</v>
      </c>
      <c r="AH1417" s="55">
        <f>VLOOKUP($E1417,'NI-Ric_SP'!$C:$AN,MID(AH$1,1,2),FALSE)</f>
        <v>0</v>
      </c>
      <c r="AI1417" s="55">
        <f>VLOOKUP($E1417,'NI-Ric_SP'!$C:$AN,MID(AI$1,1,2),FALSE)</f>
        <v>0</v>
      </c>
      <c r="AJ1417" s="55">
        <f>VLOOKUP($E1417,'NI-Ric_SP'!$C:$AN,MID(AJ$1,1,2),FALSE)</f>
        <v>0</v>
      </c>
      <c r="AK1417" s="55">
        <f>VLOOKUP($E1417,'NI-Ric_SP'!$C:$AN,MID(AK$1,1,2),FALSE)</f>
        <v>0</v>
      </c>
      <c r="AL1417" s="55">
        <f>VLOOKUP($E1417,'NI-Ric_SP'!$C:$AN,MID(AL$1,1,2),FALSE)</f>
        <v>0</v>
      </c>
      <c r="AM1417" s="56">
        <f>VLOOKUP($E1417,'NI-Ric_SP'!$C:$AN,MID(AM$1,1,2),FALSE)</f>
        <v>0</v>
      </c>
      <c r="AN1417" s="30" t="str">
        <f t="shared" si="22"/>
        <v>80000000000000</v>
      </c>
    </row>
    <row r="1418" spans="3:40" x14ac:dyDescent="0.25">
      <c r="C1418" s="40"/>
      <c r="D1418" s="101" t="s">
        <v>2650</v>
      </c>
      <c r="E1418" s="101" t="s">
        <v>2651</v>
      </c>
      <c r="F1418" s="102" t="s">
        <v>2750</v>
      </c>
      <c r="G1418" s="52"/>
      <c r="H1418" s="52"/>
      <c r="I1418" s="52"/>
      <c r="J1418" s="52"/>
      <c r="K1418" s="59" t="s">
        <v>111</v>
      </c>
      <c r="L1418" s="52"/>
      <c r="M1418" s="52"/>
      <c r="N1418" s="52"/>
      <c r="O1418" s="61" t="s">
        <v>2652</v>
      </c>
      <c r="P1418" s="60" t="s">
        <v>2653</v>
      </c>
      <c r="Q1418" s="55">
        <f>VLOOKUP(E1418,'NI-Ric_SP'!$C:$AN,12,FALSE)</f>
        <v>0</v>
      </c>
      <c r="R1418" s="55">
        <f>VLOOKUP(E1418,'NI-Ric_SP'!$C:$AN,13,FALSE)</f>
        <v>0</v>
      </c>
      <c r="S1418" s="55"/>
      <c r="T1418" s="55"/>
      <c r="U1418" s="55">
        <f>VLOOKUP($E1418,'NI-Ric_SP'!$C:$AN,MID(U$1,1,2),FALSE)</f>
        <v>0</v>
      </c>
      <c r="V1418" s="55">
        <f>VLOOKUP($E1418,'NI-Ric_SP'!$C:$AN,MID(V$1,1,2),FALSE)</f>
        <v>0</v>
      </c>
      <c r="W1418" s="55">
        <f>VLOOKUP($E1418,'NI-Ric_SP'!$C:$AN,MID(W$1,1,2),FALSE)</f>
        <v>0</v>
      </c>
      <c r="X1418" s="55">
        <f>VLOOKUP($E1418,'NI-Ric_SP'!$C:$AN,MID(X$1,1,2),FALSE)</f>
        <v>0</v>
      </c>
      <c r="Y1418" s="55">
        <f>VLOOKUP($E1418,'NI-Ric_SP'!$C:$AN,MID(Y$1,1,2),FALSE)</f>
        <v>0</v>
      </c>
      <c r="Z1418" s="55">
        <f>VLOOKUP($E1418,'NI-Ric_SP'!$C:$AN,MID(Z$1,1,2),FALSE)</f>
        <v>0</v>
      </c>
      <c r="AA1418" s="55">
        <f>VLOOKUP($E1418,'NI-Ric_SP'!$C:$AN,MID(AA$1,1,2),FALSE)</f>
        <v>0</v>
      </c>
      <c r="AB1418" s="55">
        <f>VLOOKUP($E1418,'NI-Ric_SP'!$C:$AN,MID(AB$1,1,2),FALSE)</f>
        <v>0</v>
      </c>
      <c r="AC1418" s="55">
        <f>VLOOKUP($E1418,'NI-Ric_SP'!$C:$AN,MID(AC$1,1,2),FALSE)</f>
        <v>0</v>
      </c>
      <c r="AD1418" s="55">
        <f>VLOOKUP($E1418,'NI-Ric_SP'!$C:$AN,MID(AD$1,1,2),FALSE)</f>
        <v>0</v>
      </c>
      <c r="AE1418" s="55">
        <f>VLOOKUP($E1418,'NI-Ric_SP'!$C:$AN,MID(AE$1,1,2),FALSE)</f>
        <v>0</v>
      </c>
      <c r="AF1418" s="55">
        <f>VLOOKUP($E1418,'NI-Ric_SP'!$C:$AN,MID(AF$1,1,2),FALSE)</f>
        <v>0</v>
      </c>
      <c r="AG1418" s="55">
        <f>VLOOKUP($E1418,'NI-Ric_SP'!$C:$AN,MID(AG$1,1,2),FALSE)</f>
        <v>0</v>
      </c>
      <c r="AH1418" s="55">
        <f>VLOOKUP($E1418,'NI-Ric_SP'!$C:$AN,MID(AH$1,1,2),FALSE)</f>
        <v>0</v>
      </c>
      <c r="AI1418" s="55">
        <f>VLOOKUP($E1418,'NI-Ric_SP'!$C:$AN,MID(AI$1,1,2),FALSE)</f>
        <v>0</v>
      </c>
      <c r="AJ1418" s="55">
        <f>VLOOKUP($E1418,'NI-Ric_SP'!$C:$AN,MID(AJ$1,1,2),FALSE)</f>
        <v>0</v>
      </c>
      <c r="AK1418" s="55">
        <f>VLOOKUP($E1418,'NI-Ric_SP'!$C:$AN,MID(AK$1,1,2),FALSE)</f>
        <v>0</v>
      </c>
      <c r="AL1418" s="55">
        <f>VLOOKUP($E1418,'NI-Ric_SP'!$C:$AN,MID(AL$1,1,2),FALSE)</f>
        <v>0</v>
      </c>
      <c r="AM1418" s="56">
        <f>VLOOKUP($E1418,'NI-Ric_SP'!$C:$AN,MID(AM$1,1,2),FALSE)</f>
        <v>0</v>
      </c>
      <c r="AN1418" s="30" t="str">
        <f t="shared" si="22"/>
        <v>80101000000000</v>
      </c>
    </row>
    <row r="1419" spans="3:40" x14ac:dyDescent="0.25">
      <c r="C1419" s="40"/>
      <c r="D1419" s="101" t="s">
        <v>2654</v>
      </c>
      <c r="E1419" s="101" t="s">
        <v>2655</v>
      </c>
      <c r="F1419" s="102" t="s">
        <v>2750</v>
      </c>
      <c r="G1419" s="52"/>
      <c r="H1419" s="52"/>
      <c r="I1419" s="52" t="s">
        <v>2656</v>
      </c>
      <c r="J1419" s="52" t="s">
        <v>2656</v>
      </c>
      <c r="K1419" s="59" t="s">
        <v>79</v>
      </c>
      <c r="L1419" s="52"/>
      <c r="M1419" s="52"/>
      <c r="N1419" s="52"/>
      <c r="O1419" s="52"/>
      <c r="P1419" s="107" t="s">
        <v>2657</v>
      </c>
      <c r="Q1419" s="55">
        <f>VLOOKUP(E1419,'NI-Ric_SP'!$C:$AN,12,FALSE)</f>
        <v>0</v>
      </c>
      <c r="R1419" s="55">
        <f>VLOOKUP(E1419,'NI-Ric_SP'!$C:$AN,13,FALSE)</f>
        <v>0</v>
      </c>
      <c r="S1419" s="55"/>
      <c r="T1419" s="55"/>
      <c r="U1419" s="55">
        <f>VLOOKUP($E1419,'NI-Ric_SP'!$C:$AN,MID(U$1,1,2),FALSE)</f>
        <v>0</v>
      </c>
      <c r="V1419" s="55">
        <f>VLOOKUP($E1419,'NI-Ric_SP'!$C:$AN,MID(V$1,1,2),FALSE)</f>
        <v>0</v>
      </c>
      <c r="W1419" s="55">
        <f>VLOOKUP($E1419,'NI-Ric_SP'!$C:$AN,MID(W$1,1,2),FALSE)</f>
        <v>0</v>
      </c>
      <c r="X1419" s="55">
        <f>VLOOKUP($E1419,'NI-Ric_SP'!$C:$AN,MID(X$1,1,2),FALSE)</f>
        <v>0</v>
      </c>
      <c r="Y1419" s="55">
        <f>VLOOKUP($E1419,'NI-Ric_SP'!$C:$AN,MID(Y$1,1,2),FALSE)</f>
        <v>0</v>
      </c>
      <c r="Z1419" s="55">
        <f>VLOOKUP($E1419,'NI-Ric_SP'!$C:$AN,MID(Z$1,1,2),FALSE)</f>
        <v>0</v>
      </c>
      <c r="AA1419" s="55">
        <f>VLOOKUP($E1419,'NI-Ric_SP'!$C:$AN,MID(AA$1,1,2),FALSE)</f>
        <v>0</v>
      </c>
      <c r="AB1419" s="55">
        <f>VLOOKUP($E1419,'NI-Ric_SP'!$C:$AN,MID(AB$1,1,2),FALSE)</f>
        <v>0</v>
      </c>
      <c r="AC1419" s="55">
        <f>VLOOKUP($E1419,'NI-Ric_SP'!$C:$AN,MID(AC$1,1,2),FALSE)</f>
        <v>0</v>
      </c>
      <c r="AD1419" s="55">
        <f>VLOOKUP($E1419,'NI-Ric_SP'!$C:$AN,MID(AD$1,1,2),FALSE)</f>
        <v>0</v>
      </c>
      <c r="AE1419" s="55">
        <f>VLOOKUP($E1419,'NI-Ric_SP'!$C:$AN,MID(AE$1,1,2),FALSE)</f>
        <v>0</v>
      </c>
      <c r="AF1419" s="55">
        <f>VLOOKUP($E1419,'NI-Ric_SP'!$C:$AN,MID(AF$1,1,2),FALSE)</f>
        <v>0</v>
      </c>
      <c r="AG1419" s="55">
        <f>VLOOKUP($E1419,'NI-Ric_SP'!$C:$AN,MID(AG$1,1,2),FALSE)</f>
        <v>0</v>
      </c>
      <c r="AH1419" s="55">
        <f>VLOOKUP($E1419,'NI-Ric_SP'!$C:$AN,MID(AH$1,1,2),FALSE)</f>
        <v>0</v>
      </c>
      <c r="AI1419" s="55">
        <f>VLOOKUP($E1419,'NI-Ric_SP'!$C:$AN,MID(AI$1,1,2),FALSE)</f>
        <v>0</v>
      </c>
      <c r="AJ1419" s="55">
        <f>VLOOKUP($E1419,'NI-Ric_SP'!$C:$AN,MID(AJ$1,1,2),FALSE)</f>
        <v>0</v>
      </c>
      <c r="AK1419" s="55">
        <f>VLOOKUP($E1419,'NI-Ric_SP'!$C:$AN,MID(AK$1,1,2),FALSE)</f>
        <v>0</v>
      </c>
      <c r="AL1419" s="55">
        <f>VLOOKUP($E1419,'NI-Ric_SP'!$C:$AN,MID(AL$1,1,2),FALSE)</f>
        <v>0</v>
      </c>
      <c r="AM1419" s="56">
        <f>VLOOKUP($E1419,'NI-Ric_SP'!$C:$AN,MID(AM$1,1,2),FALSE)</f>
        <v>0</v>
      </c>
      <c r="AN1419" s="30" t="str">
        <f t="shared" si="22"/>
        <v>80101010000000</v>
      </c>
    </row>
    <row r="1420" spans="3:40" x14ac:dyDescent="0.25">
      <c r="C1420" s="40"/>
      <c r="D1420" s="101" t="s">
        <v>2658</v>
      </c>
      <c r="E1420" s="101" t="s">
        <v>2659</v>
      </c>
      <c r="F1420" s="102" t="s">
        <v>2750</v>
      </c>
      <c r="G1420" s="52" t="s">
        <v>1608</v>
      </c>
      <c r="H1420" s="52"/>
      <c r="I1420" s="52" t="s">
        <v>2660</v>
      </c>
      <c r="J1420" s="52" t="s">
        <v>2660</v>
      </c>
      <c r="K1420" s="59" t="s">
        <v>111</v>
      </c>
      <c r="L1420" s="52"/>
      <c r="M1420" s="52"/>
      <c r="N1420" s="52"/>
      <c r="O1420" s="52"/>
      <c r="P1420" s="107" t="s">
        <v>2661</v>
      </c>
      <c r="Q1420" s="55">
        <f>VLOOKUP(E1420,'NI-Ric_SP'!$C:$AN,12,FALSE)</f>
        <v>0</v>
      </c>
      <c r="R1420" s="55">
        <f>VLOOKUP(E1420,'NI-Ric_SP'!$C:$AN,13,FALSE)</f>
        <v>0</v>
      </c>
      <c r="S1420" s="55"/>
      <c r="T1420" s="55"/>
      <c r="U1420" s="55">
        <f>VLOOKUP($E1420,'NI-Ric_SP'!$C:$AN,MID(U$1,1,2),FALSE)</f>
        <v>0</v>
      </c>
      <c r="V1420" s="55">
        <f>VLOOKUP($E1420,'NI-Ric_SP'!$C:$AN,MID(V$1,1,2),FALSE)</f>
        <v>0</v>
      </c>
      <c r="W1420" s="55">
        <f>VLOOKUP($E1420,'NI-Ric_SP'!$C:$AN,MID(W$1,1,2),FALSE)</f>
        <v>0</v>
      </c>
      <c r="X1420" s="55">
        <f>VLOOKUP($E1420,'NI-Ric_SP'!$C:$AN,MID(X$1,1,2),FALSE)</f>
        <v>0</v>
      </c>
      <c r="Y1420" s="55">
        <f>VLOOKUP($E1420,'NI-Ric_SP'!$C:$AN,MID(Y$1,1,2),FALSE)</f>
        <v>0</v>
      </c>
      <c r="Z1420" s="55">
        <f>VLOOKUP($E1420,'NI-Ric_SP'!$C:$AN,MID(Z$1,1,2),FALSE)</f>
        <v>0</v>
      </c>
      <c r="AA1420" s="55">
        <f>VLOOKUP($E1420,'NI-Ric_SP'!$C:$AN,MID(AA$1,1,2),FALSE)</f>
        <v>0</v>
      </c>
      <c r="AB1420" s="55">
        <f>VLOOKUP($E1420,'NI-Ric_SP'!$C:$AN,MID(AB$1,1,2),FALSE)</f>
        <v>0</v>
      </c>
      <c r="AC1420" s="55">
        <f>VLOOKUP($E1420,'NI-Ric_SP'!$C:$AN,MID(AC$1,1,2),FALSE)</f>
        <v>0</v>
      </c>
      <c r="AD1420" s="55">
        <f>VLOOKUP($E1420,'NI-Ric_SP'!$C:$AN,MID(AD$1,1,2),FALSE)</f>
        <v>0</v>
      </c>
      <c r="AE1420" s="55">
        <f>VLOOKUP($E1420,'NI-Ric_SP'!$C:$AN,MID(AE$1,1,2),FALSE)</f>
        <v>0</v>
      </c>
      <c r="AF1420" s="55">
        <f>VLOOKUP($E1420,'NI-Ric_SP'!$C:$AN,MID(AF$1,1,2),FALSE)</f>
        <v>0</v>
      </c>
      <c r="AG1420" s="55">
        <f>VLOOKUP($E1420,'NI-Ric_SP'!$C:$AN,MID(AG$1,1,2),FALSE)</f>
        <v>0</v>
      </c>
      <c r="AH1420" s="55">
        <f>VLOOKUP($E1420,'NI-Ric_SP'!$C:$AN,MID(AH$1,1,2),FALSE)</f>
        <v>0</v>
      </c>
      <c r="AI1420" s="55">
        <f>VLOOKUP($E1420,'NI-Ric_SP'!$C:$AN,MID(AI$1,1,2),FALSE)</f>
        <v>0</v>
      </c>
      <c r="AJ1420" s="55">
        <f>VLOOKUP($E1420,'NI-Ric_SP'!$C:$AN,MID(AJ$1,1,2),FALSE)</f>
        <v>0</v>
      </c>
      <c r="AK1420" s="55">
        <f>VLOOKUP($E1420,'NI-Ric_SP'!$C:$AN,MID(AK$1,1,2),FALSE)</f>
        <v>0</v>
      </c>
      <c r="AL1420" s="55">
        <f>VLOOKUP($E1420,'NI-Ric_SP'!$C:$AN,MID(AL$1,1,2),FALSE)</f>
        <v>0</v>
      </c>
      <c r="AM1420" s="56">
        <f>VLOOKUP($E1420,'NI-Ric_SP'!$C:$AN,MID(AM$1,1,2),FALSE)</f>
        <v>0</v>
      </c>
      <c r="AN1420" s="30" t="str">
        <f t="shared" si="22"/>
        <v>80102000000000</v>
      </c>
    </row>
    <row r="1421" spans="3:40" x14ac:dyDescent="0.25">
      <c r="C1421" s="40"/>
      <c r="D1421" s="101" t="s">
        <v>2662</v>
      </c>
      <c r="E1421" s="101" t="s">
        <v>2663</v>
      </c>
      <c r="F1421" s="102" t="s">
        <v>2750</v>
      </c>
      <c r="G1421" s="52" t="s">
        <v>1608</v>
      </c>
      <c r="H1421" s="52"/>
      <c r="I1421" s="52"/>
      <c r="J1421" s="52"/>
      <c r="K1421" s="59" t="s">
        <v>79</v>
      </c>
      <c r="L1421" s="52"/>
      <c r="M1421" s="52"/>
      <c r="N1421" s="52"/>
      <c r="O1421" s="52"/>
      <c r="P1421" s="104" t="s">
        <v>2664</v>
      </c>
      <c r="Q1421" s="55">
        <f>VLOOKUP(E1421,'NI-Ric_SP'!$C:$AN,12,FALSE)</f>
        <v>0</v>
      </c>
      <c r="R1421" s="55">
        <f>VLOOKUP(E1421,'NI-Ric_SP'!$C:$AN,13,FALSE)</f>
        <v>0</v>
      </c>
      <c r="S1421" s="55"/>
      <c r="T1421" s="55"/>
      <c r="U1421" s="55">
        <f>VLOOKUP($E1421,'NI-Ric_SP'!$C:$AN,MID(U$1,1,2),FALSE)</f>
        <v>0</v>
      </c>
      <c r="V1421" s="55">
        <f>VLOOKUP($E1421,'NI-Ric_SP'!$C:$AN,MID(V$1,1,2),FALSE)</f>
        <v>0</v>
      </c>
      <c r="W1421" s="55">
        <f>VLOOKUP($E1421,'NI-Ric_SP'!$C:$AN,MID(W$1,1,2),FALSE)</f>
        <v>0</v>
      </c>
      <c r="X1421" s="55">
        <f>VLOOKUP($E1421,'NI-Ric_SP'!$C:$AN,MID(X$1,1,2),FALSE)</f>
        <v>0</v>
      </c>
      <c r="Y1421" s="55">
        <f>VLOOKUP($E1421,'NI-Ric_SP'!$C:$AN,MID(Y$1,1,2),FALSE)</f>
        <v>0</v>
      </c>
      <c r="Z1421" s="55">
        <f>VLOOKUP($E1421,'NI-Ric_SP'!$C:$AN,MID(Z$1,1,2),FALSE)</f>
        <v>0</v>
      </c>
      <c r="AA1421" s="55">
        <f>VLOOKUP($E1421,'NI-Ric_SP'!$C:$AN,MID(AA$1,1,2),FALSE)</f>
        <v>0</v>
      </c>
      <c r="AB1421" s="55">
        <f>VLOOKUP($E1421,'NI-Ric_SP'!$C:$AN,MID(AB$1,1,2),FALSE)</f>
        <v>0</v>
      </c>
      <c r="AC1421" s="55">
        <f>VLOOKUP($E1421,'NI-Ric_SP'!$C:$AN,MID(AC$1,1,2),FALSE)</f>
        <v>0</v>
      </c>
      <c r="AD1421" s="55">
        <f>VLOOKUP($E1421,'NI-Ric_SP'!$C:$AN,MID(AD$1,1,2),FALSE)</f>
        <v>0</v>
      </c>
      <c r="AE1421" s="55">
        <f>VLOOKUP($E1421,'NI-Ric_SP'!$C:$AN,MID(AE$1,1,2),FALSE)</f>
        <v>0</v>
      </c>
      <c r="AF1421" s="55">
        <f>VLOOKUP($E1421,'NI-Ric_SP'!$C:$AN,MID(AF$1,1,2),FALSE)</f>
        <v>0</v>
      </c>
      <c r="AG1421" s="55">
        <f>VLOOKUP($E1421,'NI-Ric_SP'!$C:$AN,MID(AG$1,1,2),FALSE)</f>
        <v>0</v>
      </c>
      <c r="AH1421" s="55">
        <f>VLOOKUP($E1421,'NI-Ric_SP'!$C:$AN,MID(AH$1,1,2),FALSE)</f>
        <v>0</v>
      </c>
      <c r="AI1421" s="55">
        <f>VLOOKUP($E1421,'NI-Ric_SP'!$C:$AN,MID(AI$1,1,2),FALSE)</f>
        <v>0</v>
      </c>
      <c r="AJ1421" s="55">
        <f>VLOOKUP($E1421,'NI-Ric_SP'!$C:$AN,MID(AJ$1,1,2),FALSE)</f>
        <v>0</v>
      </c>
      <c r="AK1421" s="55">
        <f>VLOOKUP($E1421,'NI-Ric_SP'!$C:$AN,MID(AK$1,1,2),FALSE)</f>
        <v>0</v>
      </c>
      <c r="AL1421" s="55">
        <f>VLOOKUP($E1421,'NI-Ric_SP'!$C:$AN,MID(AL$1,1,2),FALSE)</f>
        <v>0</v>
      </c>
      <c r="AM1421" s="56">
        <f>VLOOKUP($E1421,'NI-Ric_SP'!$C:$AN,MID(AM$1,1,2),FALSE)</f>
        <v>0</v>
      </c>
      <c r="AN1421" s="30" t="str">
        <f t="shared" si="22"/>
        <v>80102010000000</v>
      </c>
    </row>
    <row r="1422" spans="3:40" x14ac:dyDescent="0.25">
      <c r="C1422" s="40"/>
      <c r="D1422" s="101" t="s">
        <v>2665</v>
      </c>
      <c r="E1422" s="101" t="s">
        <v>2666</v>
      </c>
      <c r="F1422" s="102" t="s">
        <v>2750</v>
      </c>
      <c r="G1422" s="52" t="s">
        <v>1608</v>
      </c>
      <c r="H1422" s="52"/>
      <c r="I1422" s="52"/>
      <c r="J1422" s="52"/>
      <c r="K1422" s="59" t="s">
        <v>79</v>
      </c>
      <c r="L1422" s="52"/>
      <c r="M1422" s="52"/>
      <c r="N1422" s="52"/>
      <c r="O1422" s="52"/>
      <c r="P1422" s="104" t="s">
        <v>2667</v>
      </c>
      <c r="Q1422" s="55">
        <f>VLOOKUP(E1422,'NI-Ric_SP'!$C:$AN,12,FALSE)</f>
        <v>0</v>
      </c>
      <c r="R1422" s="55">
        <f>VLOOKUP(E1422,'NI-Ric_SP'!$C:$AN,13,FALSE)</f>
        <v>0</v>
      </c>
      <c r="S1422" s="55"/>
      <c r="T1422" s="55"/>
      <c r="U1422" s="55">
        <f>VLOOKUP($E1422,'NI-Ric_SP'!$C:$AN,MID(U$1,1,2),FALSE)</f>
        <v>0</v>
      </c>
      <c r="V1422" s="55">
        <f>VLOOKUP($E1422,'NI-Ric_SP'!$C:$AN,MID(V$1,1,2),FALSE)</f>
        <v>0</v>
      </c>
      <c r="W1422" s="55">
        <f>VLOOKUP($E1422,'NI-Ric_SP'!$C:$AN,MID(W$1,1,2),FALSE)</f>
        <v>0</v>
      </c>
      <c r="X1422" s="55">
        <f>VLOOKUP($E1422,'NI-Ric_SP'!$C:$AN,MID(X$1,1,2),FALSE)</f>
        <v>0</v>
      </c>
      <c r="Y1422" s="55">
        <f>VLOOKUP($E1422,'NI-Ric_SP'!$C:$AN,MID(Y$1,1,2),FALSE)</f>
        <v>0</v>
      </c>
      <c r="Z1422" s="55">
        <f>VLOOKUP($E1422,'NI-Ric_SP'!$C:$AN,MID(Z$1,1,2),FALSE)</f>
        <v>0</v>
      </c>
      <c r="AA1422" s="55">
        <f>VLOOKUP($E1422,'NI-Ric_SP'!$C:$AN,MID(AA$1,1,2),FALSE)</f>
        <v>0</v>
      </c>
      <c r="AB1422" s="55">
        <f>VLOOKUP($E1422,'NI-Ric_SP'!$C:$AN,MID(AB$1,1,2),FALSE)</f>
        <v>0</v>
      </c>
      <c r="AC1422" s="55">
        <f>VLOOKUP($E1422,'NI-Ric_SP'!$C:$AN,MID(AC$1,1,2),FALSE)</f>
        <v>0</v>
      </c>
      <c r="AD1422" s="55">
        <f>VLOOKUP($E1422,'NI-Ric_SP'!$C:$AN,MID(AD$1,1,2),FALSE)</f>
        <v>0</v>
      </c>
      <c r="AE1422" s="55">
        <f>VLOOKUP($E1422,'NI-Ric_SP'!$C:$AN,MID(AE$1,1,2),FALSE)</f>
        <v>0</v>
      </c>
      <c r="AF1422" s="55">
        <f>VLOOKUP($E1422,'NI-Ric_SP'!$C:$AN,MID(AF$1,1,2),FALSE)</f>
        <v>0</v>
      </c>
      <c r="AG1422" s="55">
        <f>VLOOKUP($E1422,'NI-Ric_SP'!$C:$AN,MID(AG$1,1,2),FALSE)</f>
        <v>0</v>
      </c>
      <c r="AH1422" s="55">
        <f>VLOOKUP($E1422,'NI-Ric_SP'!$C:$AN,MID(AH$1,1,2),FALSE)</f>
        <v>0</v>
      </c>
      <c r="AI1422" s="55">
        <f>VLOOKUP($E1422,'NI-Ric_SP'!$C:$AN,MID(AI$1,1,2),FALSE)</f>
        <v>0</v>
      </c>
      <c r="AJ1422" s="55">
        <f>VLOOKUP($E1422,'NI-Ric_SP'!$C:$AN,MID(AJ$1,1,2),FALSE)</f>
        <v>0</v>
      </c>
      <c r="AK1422" s="55">
        <f>VLOOKUP($E1422,'NI-Ric_SP'!$C:$AN,MID(AK$1,1,2),FALSE)</f>
        <v>0</v>
      </c>
      <c r="AL1422" s="55">
        <f>VLOOKUP($E1422,'NI-Ric_SP'!$C:$AN,MID(AL$1,1,2),FALSE)</f>
        <v>0</v>
      </c>
      <c r="AM1422" s="56">
        <f>VLOOKUP($E1422,'NI-Ric_SP'!$C:$AN,MID(AM$1,1,2),FALSE)</f>
        <v>0</v>
      </c>
      <c r="AN1422" s="30" t="str">
        <f t="shared" si="22"/>
        <v>80102020000000</v>
      </c>
    </row>
    <row r="1423" spans="3:40" x14ac:dyDescent="0.25">
      <c r="C1423" s="40"/>
      <c r="D1423" s="101" t="s">
        <v>2668</v>
      </c>
      <c r="E1423" s="101" t="s">
        <v>2669</v>
      </c>
      <c r="F1423" s="102" t="s">
        <v>2750</v>
      </c>
      <c r="G1423" s="52" t="s">
        <v>1608</v>
      </c>
      <c r="H1423" s="52"/>
      <c r="I1423" s="52"/>
      <c r="J1423" s="52"/>
      <c r="K1423" s="59" t="s">
        <v>79</v>
      </c>
      <c r="L1423" s="52"/>
      <c r="M1423" s="52"/>
      <c r="N1423" s="52"/>
      <c r="O1423" s="52"/>
      <c r="P1423" s="104" t="s">
        <v>2670</v>
      </c>
      <c r="Q1423" s="55">
        <f>VLOOKUP(E1423,'NI-Ric_SP'!$C:$AN,12,FALSE)</f>
        <v>0</v>
      </c>
      <c r="R1423" s="55">
        <f>VLOOKUP(E1423,'NI-Ric_SP'!$C:$AN,13,FALSE)</f>
        <v>0</v>
      </c>
      <c r="S1423" s="55"/>
      <c r="T1423" s="55"/>
      <c r="U1423" s="55">
        <f>VLOOKUP($E1423,'NI-Ric_SP'!$C:$AN,MID(U$1,1,2),FALSE)</f>
        <v>0</v>
      </c>
      <c r="V1423" s="55">
        <f>VLOOKUP($E1423,'NI-Ric_SP'!$C:$AN,MID(V$1,1,2),FALSE)</f>
        <v>0</v>
      </c>
      <c r="W1423" s="55">
        <f>VLOOKUP($E1423,'NI-Ric_SP'!$C:$AN,MID(W$1,1,2),FALSE)</f>
        <v>0</v>
      </c>
      <c r="X1423" s="55">
        <f>VLOOKUP($E1423,'NI-Ric_SP'!$C:$AN,MID(X$1,1,2),FALSE)</f>
        <v>0</v>
      </c>
      <c r="Y1423" s="55">
        <f>VLOOKUP($E1423,'NI-Ric_SP'!$C:$AN,MID(Y$1,1,2),FALSE)</f>
        <v>0</v>
      </c>
      <c r="Z1423" s="55">
        <f>VLOOKUP($E1423,'NI-Ric_SP'!$C:$AN,MID(Z$1,1,2),FALSE)</f>
        <v>0</v>
      </c>
      <c r="AA1423" s="55">
        <f>VLOOKUP($E1423,'NI-Ric_SP'!$C:$AN,MID(AA$1,1,2),FALSE)</f>
        <v>0</v>
      </c>
      <c r="AB1423" s="55">
        <f>VLOOKUP($E1423,'NI-Ric_SP'!$C:$AN,MID(AB$1,1,2),FALSE)</f>
        <v>0</v>
      </c>
      <c r="AC1423" s="55">
        <f>VLOOKUP($E1423,'NI-Ric_SP'!$C:$AN,MID(AC$1,1,2),FALSE)</f>
        <v>0</v>
      </c>
      <c r="AD1423" s="55">
        <f>VLOOKUP($E1423,'NI-Ric_SP'!$C:$AN,MID(AD$1,1,2),FALSE)</f>
        <v>0</v>
      </c>
      <c r="AE1423" s="55">
        <f>VLOOKUP($E1423,'NI-Ric_SP'!$C:$AN,MID(AE$1,1,2),FALSE)</f>
        <v>0</v>
      </c>
      <c r="AF1423" s="55">
        <f>VLOOKUP($E1423,'NI-Ric_SP'!$C:$AN,MID(AF$1,1,2),FALSE)</f>
        <v>0</v>
      </c>
      <c r="AG1423" s="55">
        <f>VLOOKUP($E1423,'NI-Ric_SP'!$C:$AN,MID(AG$1,1,2),FALSE)</f>
        <v>0</v>
      </c>
      <c r="AH1423" s="55">
        <f>VLOOKUP($E1423,'NI-Ric_SP'!$C:$AN,MID(AH$1,1,2),FALSE)</f>
        <v>0</v>
      </c>
      <c r="AI1423" s="55">
        <f>VLOOKUP($E1423,'NI-Ric_SP'!$C:$AN,MID(AI$1,1,2),FALSE)</f>
        <v>0</v>
      </c>
      <c r="AJ1423" s="55">
        <f>VLOOKUP($E1423,'NI-Ric_SP'!$C:$AN,MID(AJ$1,1,2),FALSE)</f>
        <v>0</v>
      </c>
      <c r="AK1423" s="55">
        <f>VLOOKUP($E1423,'NI-Ric_SP'!$C:$AN,MID(AK$1,1,2),FALSE)</f>
        <v>0</v>
      </c>
      <c r="AL1423" s="55">
        <f>VLOOKUP($E1423,'NI-Ric_SP'!$C:$AN,MID(AL$1,1,2),FALSE)</f>
        <v>0</v>
      </c>
      <c r="AM1423" s="56">
        <f>VLOOKUP($E1423,'NI-Ric_SP'!$C:$AN,MID(AM$1,1,2),FALSE)</f>
        <v>0</v>
      </c>
      <c r="AN1423" s="30" t="str">
        <f t="shared" si="22"/>
        <v>80102030000000</v>
      </c>
    </row>
    <row r="1424" spans="3:40" x14ac:dyDescent="0.25">
      <c r="C1424" s="40"/>
      <c r="D1424" s="101" t="s">
        <v>2671</v>
      </c>
      <c r="E1424" s="101" t="s">
        <v>2672</v>
      </c>
      <c r="F1424" s="102" t="s">
        <v>2750</v>
      </c>
      <c r="G1424" s="52" t="s">
        <v>1608</v>
      </c>
      <c r="H1424" s="52"/>
      <c r="I1424" s="52"/>
      <c r="J1424" s="52"/>
      <c r="K1424" s="59" t="s">
        <v>79</v>
      </c>
      <c r="L1424" s="52"/>
      <c r="M1424" s="52"/>
      <c r="N1424" s="52"/>
      <c r="O1424" s="52"/>
      <c r="P1424" s="104" t="s">
        <v>2673</v>
      </c>
      <c r="Q1424" s="55">
        <f>VLOOKUP(E1424,'NI-Ric_SP'!$C:$AN,12,FALSE)</f>
        <v>0</v>
      </c>
      <c r="R1424" s="55">
        <f>VLOOKUP(E1424,'NI-Ric_SP'!$C:$AN,13,FALSE)</f>
        <v>0</v>
      </c>
      <c r="S1424" s="55"/>
      <c r="T1424" s="55"/>
      <c r="U1424" s="55">
        <f>VLOOKUP($E1424,'NI-Ric_SP'!$C:$AN,MID(U$1,1,2),FALSE)</f>
        <v>0</v>
      </c>
      <c r="V1424" s="55">
        <f>VLOOKUP($E1424,'NI-Ric_SP'!$C:$AN,MID(V$1,1,2),FALSE)</f>
        <v>0</v>
      </c>
      <c r="W1424" s="55">
        <f>VLOOKUP($E1424,'NI-Ric_SP'!$C:$AN,MID(W$1,1,2),FALSE)</f>
        <v>0</v>
      </c>
      <c r="X1424" s="55">
        <f>VLOOKUP($E1424,'NI-Ric_SP'!$C:$AN,MID(X$1,1,2),FALSE)</f>
        <v>0</v>
      </c>
      <c r="Y1424" s="55">
        <f>VLOOKUP($E1424,'NI-Ric_SP'!$C:$AN,MID(Y$1,1,2),FALSE)</f>
        <v>0</v>
      </c>
      <c r="Z1424" s="55">
        <f>VLOOKUP($E1424,'NI-Ric_SP'!$C:$AN,MID(Z$1,1,2),FALSE)</f>
        <v>0</v>
      </c>
      <c r="AA1424" s="55">
        <f>VLOOKUP($E1424,'NI-Ric_SP'!$C:$AN,MID(AA$1,1,2),FALSE)</f>
        <v>0</v>
      </c>
      <c r="AB1424" s="55">
        <f>VLOOKUP($E1424,'NI-Ric_SP'!$C:$AN,MID(AB$1,1,2),FALSE)</f>
        <v>0</v>
      </c>
      <c r="AC1424" s="55">
        <f>VLOOKUP($E1424,'NI-Ric_SP'!$C:$AN,MID(AC$1,1,2),FALSE)</f>
        <v>0</v>
      </c>
      <c r="AD1424" s="55">
        <f>VLOOKUP($E1424,'NI-Ric_SP'!$C:$AN,MID(AD$1,1,2),FALSE)</f>
        <v>0</v>
      </c>
      <c r="AE1424" s="55">
        <f>VLOOKUP($E1424,'NI-Ric_SP'!$C:$AN,MID(AE$1,1,2),FALSE)</f>
        <v>0</v>
      </c>
      <c r="AF1424" s="55">
        <f>VLOOKUP($E1424,'NI-Ric_SP'!$C:$AN,MID(AF$1,1,2),FALSE)</f>
        <v>0</v>
      </c>
      <c r="AG1424" s="55">
        <f>VLOOKUP($E1424,'NI-Ric_SP'!$C:$AN,MID(AG$1,1,2),FALSE)</f>
        <v>0</v>
      </c>
      <c r="AH1424" s="55">
        <f>VLOOKUP($E1424,'NI-Ric_SP'!$C:$AN,MID(AH$1,1,2),FALSE)</f>
        <v>0</v>
      </c>
      <c r="AI1424" s="55">
        <f>VLOOKUP($E1424,'NI-Ric_SP'!$C:$AN,MID(AI$1,1,2),FALSE)</f>
        <v>0</v>
      </c>
      <c r="AJ1424" s="55">
        <f>VLOOKUP($E1424,'NI-Ric_SP'!$C:$AN,MID(AJ$1,1,2),FALSE)</f>
        <v>0</v>
      </c>
      <c r="AK1424" s="55">
        <f>VLOOKUP($E1424,'NI-Ric_SP'!$C:$AN,MID(AK$1,1,2),FALSE)</f>
        <v>0</v>
      </c>
      <c r="AL1424" s="55">
        <f>VLOOKUP($E1424,'NI-Ric_SP'!$C:$AN,MID(AL$1,1,2),FALSE)</f>
        <v>0</v>
      </c>
      <c r="AM1424" s="56">
        <f>VLOOKUP($E1424,'NI-Ric_SP'!$C:$AN,MID(AM$1,1,2),FALSE)</f>
        <v>0</v>
      </c>
      <c r="AN1424" s="30" t="str">
        <f t="shared" si="22"/>
        <v>80102040000000</v>
      </c>
    </row>
    <row r="1425" spans="1:40" x14ac:dyDescent="0.25">
      <c r="C1425" s="40"/>
      <c r="D1425" s="101" t="s">
        <v>2674</v>
      </c>
      <c r="E1425" s="101" t="s">
        <v>2675</v>
      </c>
      <c r="F1425" s="102" t="s">
        <v>2750</v>
      </c>
      <c r="G1425" s="52" t="s">
        <v>1608</v>
      </c>
      <c r="H1425" s="52"/>
      <c r="I1425" s="52"/>
      <c r="J1425" s="52"/>
      <c r="K1425" s="59" t="s">
        <v>79</v>
      </c>
      <c r="L1425" s="52"/>
      <c r="M1425" s="52"/>
      <c r="N1425" s="52"/>
      <c r="O1425" s="52"/>
      <c r="P1425" s="104" t="s">
        <v>2676</v>
      </c>
      <c r="Q1425" s="55">
        <f>VLOOKUP(E1425,'NI-Ric_SP'!$C:$AN,12,FALSE)</f>
        <v>0</v>
      </c>
      <c r="R1425" s="55">
        <f>VLOOKUP(E1425,'NI-Ric_SP'!$C:$AN,13,FALSE)</f>
        <v>0</v>
      </c>
      <c r="S1425" s="55"/>
      <c r="T1425" s="55"/>
      <c r="U1425" s="55">
        <f>VLOOKUP($E1425,'NI-Ric_SP'!$C:$AN,MID(U$1,1,2),FALSE)</f>
        <v>0</v>
      </c>
      <c r="V1425" s="55">
        <f>VLOOKUP($E1425,'NI-Ric_SP'!$C:$AN,MID(V$1,1,2),FALSE)</f>
        <v>0</v>
      </c>
      <c r="W1425" s="55">
        <f>VLOOKUP($E1425,'NI-Ric_SP'!$C:$AN,MID(W$1,1,2),FALSE)</f>
        <v>0</v>
      </c>
      <c r="X1425" s="55">
        <f>VLOOKUP($E1425,'NI-Ric_SP'!$C:$AN,MID(X$1,1,2),FALSE)</f>
        <v>0</v>
      </c>
      <c r="Y1425" s="55">
        <f>VLOOKUP($E1425,'NI-Ric_SP'!$C:$AN,MID(Y$1,1,2),FALSE)</f>
        <v>0</v>
      </c>
      <c r="Z1425" s="55">
        <f>VLOOKUP($E1425,'NI-Ric_SP'!$C:$AN,MID(Z$1,1,2),FALSE)</f>
        <v>0</v>
      </c>
      <c r="AA1425" s="55">
        <f>VLOOKUP($E1425,'NI-Ric_SP'!$C:$AN,MID(AA$1,1,2),FALSE)</f>
        <v>0</v>
      </c>
      <c r="AB1425" s="55">
        <f>VLOOKUP($E1425,'NI-Ric_SP'!$C:$AN,MID(AB$1,1,2),FALSE)</f>
        <v>0</v>
      </c>
      <c r="AC1425" s="55">
        <f>VLOOKUP($E1425,'NI-Ric_SP'!$C:$AN,MID(AC$1,1,2),FALSE)</f>
        <v>0</v>
      </c>
      <c r="AD1425" s="55">
        <f>VLOOKUP($E1425,'NI-Ric_SP'!$C:$AN,MID(AD$1,1,2),FALSE)</f>
        <v>0</v>
      </c>
      <c r="AE1425" s="55">
        <f>VLOOKUP($E1425,'NI-Ric_SP'!$C:$AN,MID(AE$1,1,2),FALSE)</f>
        <v>0</v>
      </c>
      <c r="AF1425" s="55">
        <f>VLOOKUP($E1425,'NI-Ric_SP'!$C:$AN,MID(AF$1,1,2),FALSE)</f>
        <v>0</v>
      </c>
      <c r="AG1425" s="55">
        <f>VLOOKUP($E1425,'NI-Ric_SP'!$C:$AN,MID(AG$1,1,2),FALSE)</f>
        <v>0</v>
      </c>
      <c r="AH1425" s="55">
        <f>VLOOKUP($E1425,'NI-Ric_SP'!$C:$AN,MID(AH$1,1,2),FALSE)</f>
        <v>0</v>
      </c>
      <c r="AI1425" s="55">
        <f>VLOOKUP($E1425,'NI-Ric_SP'!$C:$AN,MID(AI$1,1,2),FALSE)</f>
        <v>0</v>
      </c>
      <c r="AJ1425" s="55">
        <f>VLOOKUP($E1425,'NI-Ric_SP'!$C:$AN,MID(AJ$1,1,2),FALSE)</f>
        <v>0</v>
      </c>
      <c r="AK1425" s="55">
        <f>VLOOKUP($E1425,'NI-Ric_SP'!$C:$AN,MID(AK$1,1,2),FALSE)</f>
        <v>0</v>
      </c>
      <c r="AL1425" s="55">
        <f>VLOOKUP($E1425,'NI-Ric_SP'!$C:$AN,MID(AL$1,1,2),FALSE)</f>
        <v>0</v>
      </c>
      <c r="AM1425" s="56">
        <f>VLOOKUP($E1425,'NI-Ric_SP'!$C:$AN,MID(AM$1,1,2),FALSE)</f>
        <v>0</v>
      </c>
      <c r="AN1425" s="30" t="str">
        <f t="shared" si="22"/>
        <v>80102050000000</v>
      </c>
    </row>
    <row r="1426" spans="1:40" x14ac:dyDescent="0.25">
      <c r="C1426" s="40"/>
      <c r="D1426" s="101" t="s">
        <v>2677</v>
      </c>
      <c r="E1426" s="101" t="s">
        <v>2678</v>
      </c>
      <c r="F1426" s="102" t="s">
        <v>2750</v>
      </c>
      <c r="G1426" s="52"/>
      <c r="H1426" s="52"/>
      <c r="I1426" s="52"/>
      <c r="J1426" s="52"/>
      <c r="K1426" s="59" t="s">
        <v>111</v>
      </c>
      <c r="L1426" s="52"/>
      <c r="M1426" s="52"/>
      <c r="N1426" s="52"/>
      <c r="O1426" s="61" t="s">
        <v>2679</v>
      </c>
      <c r="P1426" s="60" t="s">
        <v>2680</v>
      </c>
      <c r="Q1426" s="55">
        <f>VLOOKUP(E1426,'NI-Ric_SP'!$C:$AN,12,FALSE)</f>
        <v>0</v>
      </c>
      <c r="R1426" s="55">
        <f>VLOOKUP(E1426,'NI-Ric_SP'!$C:$AN,13,FALSE)</f>
        <v>0</v>
      </c>
      <c r="S1426" s="55"/>
      <c r="T1426" s="55"/>
      <c r="U1426" s="55">
        <f>VLOOKUP($E1426,'NI-Ric_SP'!$C:$AN,MID(U$1,1,2),FALSE)</f>
        <v>0</v>
      </c>
      <c r="V1426" s="55">
        <f>VLOOKUP($E1426,'NI-Ric_SP'!$C:$AN,MID(V$1,1,2),FALSE)</f>
        <v>0</v>
      </c>
      <c r="W1426" s="55">
        <f>VLOOKUP($E1426,'NI-Ric_SP'!$C:$AN,MID(W$1,1,2),FALSE)</f>
        <v>0</v>
      </c>
      <c r="X1426" s="55">
        <f>VLOOKUP($E1426,'NI-Ric_SP'!$C:$AN,MID(X$1,1,2),FALSE)</f>
        <v>0</v>
      </c>
      <c r="Y1426" s="55">
        <f>VLOOKUP($E1426,'NI-Ric_SP'!$C:$AN,MID(Y$1,1,2),FALSE)</f>
        <v>0</v>
      </c>
      <c r="Z1426" s="55">
        <f>VLOOKUP($E1426,'NI-Ric_SP'!$C:$AN,MID(Z$1,1,2),FALSE)</f>
        <v>0</v>
      </c>
      <c r="AA1426" s="55">
        <f>VLOOKUP($E1426,'NI-Ric_SP'!$C:$AN,MID(AA$1,1,2),FALSE)</f>
        <v>0</v>
      </c>
      <c r="AB1426" s="55">
        <f>VLOOKUP($E1426,'NI-Ric_SP'!$C:$AN,MID(AB$1,1,2),FALSE)</f>
        <v>0</v>
      </c>
      <c r="AC1426" s="55">
        <f>VLOOKUP($E1426,'NI-Ric_SP'!$C:$AN,MID(AC$1,1,2),FALSE)</f>
        <v>0</v>
      </c>
      <c r="AD1426" s="55">
        <f>VLOOKUP($E1426,'NI-Ric_SP'!$C:$AN,MID(AD$1,1,2),FALSE)</f>
        <v>0</v>
      </c>
      <c r="AE1426" s="55">
        <f>VLOOKUP($E1426,'NI-Ric_SP'!$C:$AN,MID(AE$1,1,2),FALSE)</f>
        <v>0</v>
      </c>
      <c r="AF1426" s="55">
        <f>VLOOKUP($E1426,'NI-Ric_SP'!$C:$AN,MID(AF$1,1,2),FALSE)</f>
        <v>0</v>
      </c>
      <c r="AG1426" s="55">
        <f>VLOOKUP($E1426,'NI-Ric_SP'!$C:$AN,MID(AG$1,1,2),FALSE)</f>
        <v>0</v>
      </c>
      <c r="AH1426" s="55">
        <f>VLOOKUP($E1426,'NI-Ric_SP'!$C:$AN,MID(AH$1,1,2),FALSE)</f>
        <v>0</v>
      </c>
      <c r="AI1426" s="55">
        <f>VLOOKUP($E1426,'NI-Ric_SP'!$C:$AN,MID(AI$1,1,2),FALSE)</f>
        <v>0</v>
      </c>
      <c r="AJ1426" s="55">
        <f>VLOOKUP($E1426,'NI-Ric_SP'!$C:$AN,MID(AJ$1,1,2),FALSE)</f>
        <v>0</v>
      </c>
      <c r="AK1426" s="55">
        <f>VLOOKUP($E1426,'NI-Ric_SP'!$C:$AN,MID(AK$1,1,2),FALSE)</f>
        <v>0</v>
      </c>
      <c r="AL1426" s="55">
        <f>VLOOKUP($E1426,'NI-Ric_SP'!$C:$AN,MID(AL$1,1,2),FALSE)</f>
        <v>0</v>
      </c>
      <c r="AM1426" s="56">
        <f>VLOOKUP($E1426,'NI-Ric_SP'!$C:$AN,MID(AM$1,1,2),FALSE)</f>
        <v>0</v>
      </c>
      <c r="AN1426" s="30" t="str">
        <f t="shared" si="22"/>
        <v>80200000000000</v>
      </c>
    </row>
    <row r="1427" spans="1:40" x14ac:dyDescent="0.25">
      <c r="C1427" s="40"/>
      <c r="D1427" s="101" t="s">
        <v>2681</v>
      </c>
      <c r="E1427" s="101" t="s">
        <v>2682</v>
      </c>
      <c r="F1427" s="102" t="s">
        <v>2750</v>
      </c>
      <c r="G1427" s="52"/>
      <c r="H1427" s="52"/>
      <c r="I1427" s="52" t="s">
        <v>2683</v>
      </c>
      <c r="J1427" s="52" t="s">
        <v>2683</v>
      </c>
      <c r="K1427" s="59" t="s">
        <v>79</v>
      </c>
      <c r="L1427" s="52"/>
      <c r="M1427" s="52"/>
      <c r="N1427" s="52"/>
      <c r="O1427" s="52"/>
      <c r="P1427" s="107" t="s">
        <v>2684</v>
      </c>
      <c r="Q1427" s="55">
        <f>VLOOKUP(E1427,'NI-Ric_SP'!$C:$AN,12,FALSE)</f>
        <v>0</v>
      </c>
      <c r="R1427" s="55">
        <f>VLOOKUP(E1427,'NI-Ric_SP'!$C:$AN,13,FALSE)</f>
        <v>0</v>
      </c>
      <c r="S1427" s="55"/>
      <c r="T1427" s="55"/>
      <c r="U1427" s="55">
        <f>VLOOKUP($E1427,'NI-Ric_SP'!$C:$AN,MID(U$1,1,2),FALSE)</f>
        <v>0</v>
      </c>
      <c r="V1427" s="55">
        <f>VLOOKUP($E1427,'NI-Ric_SP'!$C:$AN,MID(V$1,1,2),FALSE)</f>
        <v>0</v>
      </c>
      <c r="W1427" s="55">
        <f>VLOOKUP($E1427,'NI-Ric_SP'!$C:$AN,MID(W$1,1,2),FALSE)</f>
        <v>0</v>
      </c>
      <c r="X1427" s="55">
        <f>VLOOKUP($E1427,'NI-Ric_SP'!$C:$AN,MID(X$1,1,2),FALSE)</f>
        <v>0</v>
      </c>
      <c r="Y1427" s="55">
        <f>VLOOKUP($E1427,'NI-Ric_SP'!$C:$AN,MID(Y$1,1,2),FALSE)</f>
        <v>0</v>
      </c>
      <c r="Z1427" s="55">
        <f>VLOOKUP($E1427,'NI-Ric_SP'!$C:$AN,MID(Z$1,1,2),FALSE)</f>
        <v>0</v>
      </c>
      <c r="AA1427" s="55">
        <f>VLOOKUP($E1427,'NI-Ric_SP'!$C:$AN,MID(AA$1,1,2),FALSE)</f>
        <v>0</v>
      </c>
      <c r="AB1427" s="55">
        <f>VLOOKUP($E1427,'NI-Ric_SP'!$C:$AN,MID(AB$1,1,2),FALSE)</f>
        <v>0</v>
      </c>
      <c r="AC1427" s="55">
        <f>VLOOKUP($E1427,'NI-Ric_SP'!$C:$AN,MID(AC$1,1,2),FALSE)</f>
        <v>0</v>
      </c>
      <c r="AD1427" s="55">
        <f>VLOOKUP($E1427,'NI-Ric_SP'!$C:$AN,MID(AD$1,1,2),FALSE)</f>
        <v>0</v>
      </c>
      <c r="AE1427" s="55">
        <f>VLOOKUP($E1427,'NI-Ric_SP'!$C:$AN,MID(AE$1,1,2),FALSE)</f>
        <v>0</v>
      </c>
      <c r="AF1427" s="55">
        <f>VLOOKUP($E1427,'NI-Ric_SP'!$C:$AN,MID(AF$1,1,2),FALSE)</f>
        <v>0</v>
      </c>
      <c r="AG1427" s="55">
        <f>VLOOKUP($E1427,'NI-Ric_SP'!$C:$AN,MID(AG$1,1,2),FALSE)</f>
        <v>0</v>
      </c>
      <c r="AH1427" s="55">
        <f>VLOOKUP($E1427,'NI-Ric_SP'!$C:$AN,MID(AH$1,1,2),FALSE)</f>
        <v>0</v>
      </c>
      <c r="AI1427" s="55">
        <f>VLOOKUP($E1427,'NI-Ric_SP'!$C:$AN,MID(AI$1,1,2),FALSE)</f>
        <v>0</v>
      </c>
      <c r="AJ1427" s="55">
        <f>VLOOKUP($E1427,'NI-Ric_SP'!$C:$AN,MID(AJ$1,1,2),FALSE)</f>
        <v>0</v>
      </c>
      <c r="AK1427" s="55">
        <f>VLOOKUP($E1427,'NI-Ric_SP'!$C:$AN,MID(AK$1,1,2),FALSE)</f>
        <v>0</v>
      </c>
      <c r="AL1427" s="55">
        <f>VLOOKUP($E1427,'NI-Ric_SP'!$C:$AN,MID(AL$1,1,2),FALSE)</f>
        <v>0</v>
      </c>
      <c r="AM1427" s="56">
        <f>VLOOKUP($E1427,'NI-Ric_SP'!$C:$AN,MID(AM$1,1,2),FALSE)</f>
        <v>0</v>
      </c>
      <c r="AN1427" s="30" t="str">
        <f t="shared" si="22"/>
        <v>80201000000000</v>
      </c>
    </row>
    <row r="1428" spans="1:40" ht="13.5" customHeight="1" x14ac:dyDescent="0.25">
      <c r="A1428" s="30" t="s">
        <v>1394</v>
      </c>
      <c r="C1428" s="40"/>
      <c r="D1428" s="98" t="s">
        <v>2689</v>
      </c>
      <c r="E1428" s="98" t="s">
        <v>2690</v>
      </c>
      <c r="F1428" s="102" t="s">
        <v>2750</v>
      </c>
      <c r="H1428" s="52"/>
      <c r="I1428" s="52"/>
      <c r="J1428" s="52" t="s">
        <v>2691</v>
      </c>
      <c r="K1428" s="59" t="s">
        <v>79</v>
      </c>
      <c r="L1428" s="52"/>
      <c r="M1428" s="52"/>
      <c r="N1428" s="52"/>
      <c r="O1428" s="52"/>
      <c r="P1428" s="79" t="s">
        <v>2692</v>
      </c>
      <c r="Q1428" s="55">
        <f>VLOOKUP(E1428,'NI-Ric_SP'!$C:$AN,12,FALSE)</f>
        <v>0</v>
      </c>
      <c r="R1428" s="55">
        <f>VLOOKUP(E1428,'NI-Ric_SP'!$C:$AN,13,FALSE)</f>
        <v>0</v>
      </c>
      <c r="S1428" s="55"/>
      <c r="T1428" s="55"/>
      <c r="U1428" s="55">
        <f>VLOOKUP($E1428,'NI-Ric_SP'!$C:$AN,MID(U$1,1,2),FALSE)</f>
        <v>0</v>
      </c>
      <c r="V1428" s="55">
        <f>VLOOKUP($E1428,'NI-Ric_SP'!$C:$AN,MID(V$1,1,2),FALSE)</f>
        <v>0</v>
      </c>
      <c r="W1428" s="55">
        <f>VLOOKUP($E1428,'NI-Ric_SP'!$C:$AN,MID(W$1,1,2),FALSE)</f>
        <v>0</v>
      </c>
      <c r="X1428" s="55">
        <f>VLOOKUP($E1428,'NI-Ric_SP'!$C:$AN,MID(X$1,1,2),FALSE)</f>
        <v>0</v>
      </c>
      <c r="Y1428" s="55">
        <f>VLOOKUP($E1428,'NI-Ric_SP'!$C:$AN,MID(Y$1,1,2),FALSE)</f>
        <v>0</v>
      </c>
      <c r="Z1428" s="55">
        <f>VLOOKUP($E1428,'NI-Ric_SP'!$C:$AN,MID(Z$1,1,2),FALSE)</f>
        <v>0</v>
      </c>
      <c r="AA1428" s="55">
        <f>VLOOKUP($E1428,'NI-Ric_SP'!$C:$AN,MID(AA$1,1,2),FALSE)</f>
        <v>0</v>
      </c>
      <c r="AB1428" s="55">
        <f>VLOOKUP($E1428,'NI-Ric_SP'!$C:$AN,MID(AB$1,1,2),FALSE)</f>
        <v>0</v>
      </c>
      <c r="AC1428" s="55">
        <f>VLOOKUP($E1428,'NI-Ric_SP'!$C:$AN,MID(AC$1,1,2),FALSE)</f>
        <v>0</v>
      </c>
      <c r="AD1428" s="55">
        <f>VLOOKUP($E1428,'NI-Ric_SP'!$C:$AN,MID(AD$1,1,2),FALSE)</f>
        <v>0</v>
      </c>
      <c r="AE1428" s="55">
        <f>VLOOKUP($E1428,'NI-Ric_SP'!$C:$AN,MID(AE$1,1,2),FALSE)</f>
        <v>0</v>
      </c>
      <c r="AF1428" s="55">
        <f>VLOOKUP($E1428,'NI-Ric_SP'!$C:$AN,MID(AF$1,1,2),FALSE)</f>
        <v>0</v>
      </c>
      <c r="AG1428" s="55">
        <f>VLOOKUP($E1428,'NI-Ric_SP'!$C:$AN,MID(AG$1,1,2),FALSE)</f>
        <v>0</v>
      </c>
      <c r="AH1428" s="55">
        <f>VLOOKUP($E1428,'NI-Ric_SP'!$C:$AN,MID(AH$1,1,2),FALSE)</f>
        <v>0</v>
      </c>
      <c r="AI1428" s="55">
        <f>VLOOKUP($E1428,'NI-Ric_SP'!$C:$AN,MID(AI$1,1,2),FALSE)</f>
        <v>0</v>
      </c>
      <c r="AJ1428" s="55">
        <f>VLOOKUP($E1428,'NI-Ric_SP'!$C:$AN,MID(AJ$1,1,2),FALSE)</f>
        <v>0</v>
      </c>
      <c r="AK1428" s="55">
        <f>VLOOKUP($E1428,'NI-Ric_SP'!$C:$AN,MID(AK$1,1,2),FALSE)</f>
        <v>0</v>
      </c>
      <c r="AL1428" s="55">
        <f>VLOOKUP($E1428,'NI-Ric_SP'!$C:$AN,MID(AL$1,1,2),FALSE)</f>
        <v>0</v>
      </c>
      <c r="AM1428" s="56">
        <f>VLOOKUP($E1428,'NI-Ric_SP'!$C:$AN,MID(AM$1,1,2),FALSE)</f>
        <v>0</v>
      </c>
      <c r="AN1428" s="30" t="str">
        <f t="shared" si="22"/>
        <v>80203000000000</v>
      </c>
    </row>
    <row r="1429" spans="1:40" x14ac:dyDescent="0.25">
      <c r="C1429" s="40"/>
      <c r="D1429" s="101" t="s">
        <v>2685</v>
      </c>
      <c r="E1429" s="101" t="s">
        <v>2686</v>
      </c>
      <c r="F1429" s="102" t="s">
        <v>2750</v>
      </c>
      <c r="G1429" s="52" t="s">
        <v>1608</v>
      </c>
      <c r="H1429" s="52"/>
      <c r="I1429" s="52" t="s">
        <v>2687</v>
      </c>
      <c r="J1429" s="52" t="s">
        <v>2687</v>
      </c>
      <c r="K1429" s="59" t="s">
        <v>79</v>
      </c>
      <c r="L1429" s="52"/>
      <c r="M1429" s="52"/>
      <c r="N1429" s="52"/>
      <c r="O1429" s="52"/>
      <c r="P1429" s="107" t="s">
        <v>2688</v>
      </c>
      <c r="Q1429" s="55">
        <f>VLOOKUP(E1429,'NI-Ric_SP'!$C:$AN,12,FALSE)</f>
        <v>0</v>
      </c>
      <c r="R1429" s="55">
        <f>VLOOKUP(E1429,'NI-Ric_SP'!$C:$AN,13,FALSE)</f>
        <v>0</v>
      </c>
      <c r="S1429" s="55"/>
      <c r="T1429" s="55"/>
      <c r="U1429" s="55">
        <f>VLOOKUP($E1429,'NI-Ric_SP'!$C:$AN,MID(U$1,1,2),FALSE)</f>
        <v>0</v>
      </c>
      <c r="V1429" s="55">
        <f>VLOOKUP($E1429,'NI-Ric_SP'!$C:$AN,MID(V$1,1,2),FALSE)</f>
        <v>0</v>
      </c>
      <c r="W1429" s="55">
        <f>VLOOKUP($E1429,'NI-Ric_SP'!$C:$AN,MID(W$1,1,2),FALSE)</f>
        <v>0</v>
      </c>
      <c r="X1429" s="55">
        <f>VLOOKUP($E1429,'NI-Ric_SP'!$C:$AN,MID(X$1,1,2),FALSE)</f>
        <v>0</v>
      </c>
      <c r="Y1429" s="55">
        <f>VLOOKUP($E1429,'NI-Ric_SP'!$C:$AN,MID(Y$1,1,2),FALSE)</f>
        <v>0</v>
      </c>
      <c r="Z1429" s="55">
        <f>VLOOKUP($E1429,'NI-Ric_SP'!$C:$AN,MID(Z$1,1,2),FALSE)</f>
        <v>0</v>
      </c>
      <c r="AA1429" s="55">
        <f>VLOOKUP($E1429,'NI-Ric_SP'!$C:$AN,MID(AA$1,1,2),FALSE)</f>
        <v>0</v>
      </c>
      <c r="AB1429" s="55">
        <f>VLOOKUP($E1429,'NI-Ric_SP'!$C:$AN,MID(AB$1,1,2),FALSE)</f>
        <v>0</v>
      </c>
      <c r="AC1429" s="55">
        <f>VLOOKUP($E1429,'NI-Ric_SP'!$C:$AN,MID(AC$1,1,2),FALSE)</f>
        <v>0</v>
      </c>
      <c r="AD1429" s="55">
        <f>VLOOKUP($E1429,'NI-Ric_SP'!$C:$AN,MID(AD$1,1,2),FALSE)</f>
        <v>0</v>
      </c>
      <c r="AE1429" s="55">
        <f>VLOOKUP($E1429,'NI-Ric_SP'!$C:$AN,MID(AE$1,1,2),FALSE)</f>
        <v>0</v>
      </c>
      <c r="AF1429" s="55">
        <f>VLOOKUP($E1429,'NI-Ric_SP'!$C:$AN,MID(AF$1,1,2),FALSE)</f>
        <v>0</v>
      </c>
      <c r="AG1429" s="55">
        <f>VLOOKUP($E1429,'NI-Ric_SP'!$C:$AN,MID(AG$1,1,2),FALSE)</f>
        <v>0</v>
      </c>
      <c r="AH1429" s="55">
        <f>VLOOKUP($E1429,'NI-Ric_SP'!$C:$AN,MID(AH$1,1,2),FALSE)</f>
        <v>0</v>
      </c>
      <c r="AI1429" s="55">
        <f>VLOOKUP($E1429,'NI-Ric_SP'!$C:$AN,MID(AI$1,1,2),FALSE)</f>
        <v>0</v>
      </c>
      <c r="AJ1429" s="55">
        <f>VLOOKUP($E1429,'NI-Ric_SP'!$C:$AN,MID(AJ$1,1,2),FALSE)</f>
        <v>0</v>
      </c>
      <c r="AK1429" s="55">
        <f>VLOOKUP($E1429,'NI-Ric_SP'!$C:$AN,MID(AK$1,1,2),FALSE)</f>
        <v>0</v>
      </c>
      <c r="AL1429" s="55">
        <f>VLOOKUP($E1429,'NI-Ric_SP'!$C:$AN,MID(AL$1,1,2),FALSE)</f>
        <v>0</v>
      </c>
      <c r="AM1429" s="56">
        <f>VLOOKUP($E1429,'NI-Ric_SP'!$C:$AN,MID(AM$1,1,2),FALSE)</f>
        <v>0</v>
      </c>
      <c r="AN1429" s="30" t="str">
        <f t="shared" si="22"/>
        <v>80202000000000</v>
      </c>
    </row>
    <row r="1430" spans="1:40" x14ac:dyDescent="0.25">
      <c r="C1430" s="40"/>
      <c r="D1430" s="101" t="s">
        <v>2693</v>
      </c>
      <c r="E1430" s="101" t="s">
        <v>2694</v>
      </c>
      <c r="F1430" s="102" t="s">
        <v>2750</v>
      </c>
      <c r="G1430" s="51"/>
      <c r="H1430" s="52"/>
      <c r="I1430" s="52"/>
      <c r="J1430" s="52"/>
      <c r="K1430" s="53" t="s">
        <v>111</v>
      </c>
      <c r="L1430" s="52"/>
      <c r="M1430" s="52"/>
      <c r="N1430" s="52"/>
      <c r="O1430" s="52"/>
      <c r="P1430" s="54" t="s">
        <v>2695</v>
      </c>
      <c r="Q1430" s="55">
        <f>VLOOKUP(E1430,'NI-Ric_SP'!$C:$AN,12,FALSE)</f>
        <v>0</v>
      </c>
      <c r="R1430" s="55">
        <f>VLOOKUP(E1430,'NI-Ric_SP'!$C:$AN,13,FALSE)</f>
        <v>0</v>
      </c>
      <c r="S1430" s="55"/>
      <c r="T1430" s="55"/>
      <c r="U1430" s="55">
        <f>VLOOKUP($E1430,'NI-Ric_SP'!$C:$AN,MID(U$1,1,2),FALSE)</f>
        <v>0</v>
      </c>
      <c r="V1430" s="55">
        <f>VLOOKUP($E1430,'NI-Ric_SP'!$C:$AN,MID(V$1,1,2),FALSE)</f>
        <v>0</v>
      </c>
      <c r="W1430" s="55">
        <f>VLOOKUP($E1430,'NI-Ric_SP'!$C:$AN,MID(W$1,1,2),FALSE)</f>
        <v>0</v>
      </c>
      <c r="X1430" s="55" t="str">
        <f>VLOOKUP($E1430,'NI-Ric_SP'!$C:$AN,MID(X$1,1,2),FALSE)</f>
        <v/>
      </c>
      <c r="Y1430" s="55">
        <f>VLOOKUP($E1430,'NI-Ric_SP'!$C:$AN,MID(Y$1,1,2),FALSE)</f>
        <v>0</v>
      </c>
      <c r="Z1430" s="55">
        <f>VLOOKUP($E1430,'NI-Ric_SP'!$C:$AN,MID(Z$1,1,2),FALSE)</f>
        <v>0</v>
      </c>
      <c r="AA1430" s="55">
        <f>VLOOKUP($E1430,'NI-Ric_SP'!$C:$AN,MID(AA$1,1,2),FALSE)</f>
        <v>0</v>
      </c>
      <c r="AB1430" s="55">
        <f>VLOOKUP($E1430,'NI-Ric_SP'!$C:$AN,MID(AB$1,1,2),FALSE)</f>
        <v>0</v>
      </c>
      <c r="AC1430" s="55">
        <f>VLOOKUP($E1430,'NI-Ric_SP'!$C:$AN,MID(AC$1,1,2),FALSE)</f>
        <v>0</v>
      </c>
      <c r="AD1430" s="55">
        <f>VLOOKUP($E1430,'NI-Ric_SP'!$C:$AN,MID(AD$1,1,2),FALSE)</f>
        <v>0</v>
      </c>
      <c r="AE1430" s="55">
        <f>VLOOKUP($E1430,'NI-Ric_SP'!$C:$AN,MID(AE$1,1,2),FALSE)</f>
        <v>0</v>
      </c>
      <c r="AF1430" s="55">
        <f>VLOOKUP($E1430,'NI-Ric_SP'!$C:$AN,MID(AF$1,1,2),FALSE)</f>
        <v>0</v>
      </c>
      <c r="AG1430" s="55">
        <f>VLOOKUP($E1430,'NI-Ric_SP'!$C:$AN,MID(AG$1,1,2),FALSE)</f>
        <v>0</v>
      </c>
      <c r="AH1430" s="55">
        <f>VLOOKUP($E1430,'NI-Ric_SP'!$C:$AN,MID(AH$1,1,2),FALSE)</f>
        <v>0</v>
      </c>
      <c r="AI1430" s="55">
        <f>VLOOKUP($E1430,'NI-Ric_SP'!$C:$AN,MID(AI$1,1,2),FALSE)</f>
        <v>0</v>
      </c>
      <c r="AJ1430" s="55">
        <f>VLOOKUP($E1430,'NI-Ric_SP'!$C:$AN,MID(AJ$1,1,2),FALSE)</f>
        <v>0</v>
      </c>
      <c r="AK1430" s="55">
        <f>VLOOKUP($E1430,'NI-Ric_SP'!$C:$AN,MID(AK$1,1,2),FALSE)</f>
        <v>0</v>
      </c>
      <c r="AL1430" s="55">
        <f>VLOOKUP($E1430,'NI-Ric_SP'!$C:$AN,MID(AL$1,1,2),FALSE)</f>
        <v>0</v>
      </c>
      <c r="AM1430" s="56">
        <f>VLOOKUP($E1430,'NI-Ric_SP'!$C:$AN,MID(AM$1,1,2),FALSE)</f>
        <v>0</v>
      </c>
      <c r="AN1430" s="30" t="str">
        <f t="shared" si="22"/>
        <v>90000000000000</v>
      </c>
    </row>
    <row r="1431" spans="1:40" x14ac:dyDescent="0.25">
      <c r="C1431" s="40"/>
      <c r="D1431" s="101" t="s">
        <v>2696</v>
      </c>
      <c r="E1431" s="101" t="s">
        <v>2697</v>
      </c>
      <c r="F1431" s="102" t="s">
        <v>2750</v>
      </c>
      <c r="G1431" s="65"/>
      <c r="H1431" s="52"/>
      <c r="I1431" s="52" t="s">
        <v>2698</v>
      </c>
      <c r="J1431" s="52" t="s">
        <v>2698</v>
      </c>
      <c r="K1431" s="59" t="s">
        <v>79</v>
      </c>
      <c r="L1431" s="52"/>
      <c r="M1431" s="52"/>
      <c r="N1431" s="52"/>
      <c r="O1431" s="61" t="s">
        <v>2699</v>
      </c>
      <c r="P1431" s="107" t="s">
        <v>2700</v>
      </c>
      <c r="Q1431" s="55">
        <f>VLOOKUP(E1431,'NI-Ric_SP'!$C:$AN,12,FALSE)</f>
        <v>0</v>
      </c>
      <c r="R1431" s="55">
        <f>VLOOKUP(E1431,'NI-Ric_SP'!$C:$AN,13,FALSE)</f>
        <v>0</v>
      </c>
      <c r="S1431" s="55"/>
      <c r="T1431" s="55"/>
      <c r="U1431" s="55">
        <f>VLOOKUP($E1431,'NI-Ric_SP'!$C:$AN,MID(U$1,1,2),FALSE)</f>
        <v>0</v>
      </c>
      <c r="V1431" s="55">
        <f>VLOOKUP($E1431,'NI-Ric_SP'!$C:$AN,MID(V$1,1,2),FALSE)</f>
        <v>0</v>
      </c>
      <c r="W1431" s="55">
        <f>VLOOKUP($E1431,'NI-Ric_SP'!$C:$AN,MID(W$1,1,2),FALSE)</f>
        <v>0</v>
      </c>
      <c r="X1431" s="55">
        <f>VLOOKUP($E1431,'NI-Ric_SP'!$C:$AN,MID(X$1,1,2),FALSE)</f>
        <v>0</v>
      </c>
      <c r="Y1431" s="55">
        <f>VLOOKUP($E1431,'NI-Ric_SP'!$C:$AN,MID(Y$1,1,2),FALSE)</f>
        <v>0</v>
      </c>
      <c r="Z1431" s="55">
        <f>VLOOKUP($E1431,'NI-Ric_SP'!$C:$AN,MID(Z$1,1,2),FALSE)</f>
        <v>0</v>
      </c>
      <c r="AA1431" s="55">
        <f>VLOOKUP($E1431,'NI-Ric_SP'!$C:$AN,MID(AA$1,1,2),FALSE)</f>
        <v>0</v>
      </c>
      <c r="AB1431" s="55">
        <f>VLOOKUP($E1431,'NI-Ric_SP'!$C:$AN,MID(AB$1,1,2),FALSE)</f>
        <v>0</v>
      </c>
      <c r="AC1431" s="55">
        <f>VLOOKUP($E1431,'NI-Ric_SP'!$C:$AN,MID(AC$1,1,2),FALSE)</f>
        <v>0</v>
      </c>
      <c r="AD1431" s="55">
        <f>VLOOKUP($E1431,'NI-Ric_SP'!$C:$AN,MID(AD$1,1,2),FALSE)</f>
        <v>0</v>
      </c>
      <c r="AE1431" s="55">
        <f>VLOOKUP($E1431,'NI-Ric_SP'!$C:$AN,MID(AE$1,1,2),FALSE)</f>
        <v>0</v>
      </c>
      <c r="AF1431" s="55">
        <f>VLOOKUP($E1431,'NI-Ric_SP'!$C:$AN,MID(AF$1,1,2),FALSE)</f>
        <v>0</v>
      </c>
      <c r="AG1431" s="55">
        <f>VLOOKUP($E1431,'NI-Ric_SP'!$C:$AN,MID(AG$1,1,2),FALSE)</f>
        <v>0</v>
      </c>
      <c r="AH1431" s="55">
        <f>VLOOKUP($E1431,'NI-Ric_SP'!$C:$AN,MID(AH$1,1,2),FALSE)</f>
        <v>0</v>
      </c>
      <c r="AI1431" s="55">
        <f>VLOOKUP($E1431,'NI-Ric_SP'!$C:$AN,MID(AI$1,1,2),FALSE)</f>
        <v>0</v>
      </c>
      <c r="AJ1431" s="55">
        <f>VLOOKUP($E1431,'NI-Ric_SP'!$C:$AN,MID(AJ$1,1,2),FALSE)</f>
        <v>0</v>
      </c>
      <c r="AK1431" s="55">
        <f>VLOOKUP($E1431,'NI-Ric_SP'!$C:$AN,MID(AK$1,1,2),FALSE)</f>
        <v>0</v>
      </c>
      <c r="AL1431" s="55">
        <f>VLOOKUP($E1431,'NI-Ric_SP'!$C:$AN,MID(AL$1,1,2),FALSE)</f>
        <v>0</v>
      </c>
      <c r="AM1431" s="56">
        <f>VLOOKUP($E1431,'NI-Ric_SP'!$C:$AN,MID(AM$1,1,2),FALSE)</f>
        <v>0</v>
      </c>
      <c r="AN1431" s="30" t="str">
        <f t="shared" si="22"/>
        <v>90100000000000</v>
      </c>
    </row>
    <row r="1432" spans="1:40" x14ac:dyDescent="0.25">
      <c r="C1432" s="40"/>
      <c r="D1432" s="101" t="s">
        <v>2701</v>
      </c>
      <c r="E1432" s="101" t="s">
        <v>2702</v>
      </c>
      <c r="F1432" s="102" t="s">
        <v>2750</v>
      </c>
      <c r="G1432" s="65"/>
      <c r="H1432" s="52"/>
      <c r="I1432" s="52" t="s">
        <v>2703</v>
      </c>
      <c r="J1432" s="52" t="s">
        <v>2703</v>
      </c>
      <c r="K1432" s="59" t="s">
        <v>79</v>
      </c>
      <c r="L1432" s="52"/>
      <c r="M1432" s="52"/>
      <c r="N1432" s="52"/>
      <c r="O1432" s="61" t="s">
        <v>2704</v>
      </c>
      <c r="P1432" s="107" t="s">
        <v>2705</v>
      </c>
      <c r="Q1432" s="55">
        <f>VLOOKUP(E1432,'NI-Ric_SP'!$C:$AN,12,FALSE)</f>
        <v>0</v>
      </c>
      <c r="R1432" s="55">
        <f>VLOOKUP(E1432,'NI-Ric_SP'!$C:$AN,13,FALSE)</f>
        <v>0</v>
      </c>
      <c r="S1432" s="55"/>
      <c r="T1432" s="55"/>
      <c r="U1432" s="55">
        <f>VLOOKUP($E1432,'NI-Ric_SP'!$C:$AN,MID(U$1,1,2),FALSE)</f>
        <v>0</v>
      </c>
      <c r="V1432" s="55">
        <f>VLOOKUP($E1432,'NI-Ric_SP'!$C:$AN,MID(V$1,1,2),FALSE)</f>
        <v>0</v>
      </c>
      <c r="W1432" s="55">
        <f>VLOOKUP($E1432,'NI-Ric_SP'!$C:$AN,MID(W$1,1,2),FALSE)</f>
        <v>0</v>
      </c>
      <c r="X1432" s="55">
        <f>VLOOKUP($E1432,'NI-Ric_SP'!$C:$AN,MID(X$1,1,2),FALSE)</f>
        <v>0</v>
      </c>
      <c r="Y1432" s="55">
        <f>VLOOKUP($E1432,'NI-Ric_SP'!$C:$AN,MID(Y$1,1,2),FALSE)</f>
        <v>0</v>
      </c>
      <c r="Z1432" s="55">
        <f>VLOOKUP($E1432,'NI-Ric_SP'!$C:$AN,MID(Z$1,1,2),FALSE)</f>
        <v>0</v>
      </c>
      <c r="AA1432" s="55">
        <f>VLOOKUP($E1432,'NI-Ric_SP'!$C:$AN,MID(AA$1,1,2),FALSE)</f>
        <v>0</v>
      </c>
      <c r="AB1432" s="55">
        <f>VLOOKUP($E1432,'NI-Ric_SP'!$C:$AN,MID(AB$1,1,2),FALSE)</f>
        <v>0</v>
      </c>
      <c r="AC1432" s="55">
        <f>VLOOKUP($E1432,'NI-Ric_SP'!$C:$AN,MID(AC$1,1,2),FALSE)</f>
        <v>0</v>
      </c>
      <c r="AD1432" s="55">
        <f>VLOOKUP($E1432,'NI-Ric_SP'!$C:$AN,MID(AD$1,1,2),FALSE)</f>
        <v>0</v>
      </c>
      <c r="AE1432" s="55">
        <f>VLOOKUP($E1432,'NI-Ric_SP'!$C:$AN,MID(AE$1,1,2),FALSE)</f>
        <v>0</v>
      </c>
      <c r="AF1432" s="55">
        <f>VLOOKUP($E1432,'NI-Ric_SP'!$C:$AN,MID(AF$1,1,2),FALSE)</f>
        <v>0</v>
      </c>
      <c r="AG1432" s="55">
        <f>VLOOKUP($E1432,'NI-Ric_SP'!$C:$AN,MID(AG$1,1,2),FALSE)</f>
        <v>0</v>
      </c>
      <c r="AH1432" s="55">
        <f>VLOOKUP($E1432,'NI-Ric_SP'!$C:$AN,MID(AH$1,1,2),FALSE)</f>
        <v>0</v>
      </c>
      <c r="AI1432" s="55">
        <f>VLOOKUP($E1432,'NI-Ric_SP'!$C:$AN,MID(AI$1,1,2),FALSE)</f>
        <v>0</v>
      </c>
      <c r="AJ1432" s="55">
        <f>VLOOKUP($E1432,'NI-Ric_SP'!$C:$AN,MID(AJ$1,1,2),FALSE)</f>
        <v>0</v>
      </c>
      <c r="AK1432" s="55">
        <f>VLOOKUP($E1432,'NI-Ric_SP'!$C:$AN,MID(AK$1,1,2),FALSE)</f>
        <v>0</v>
      </c>
      <c r="AL1432" s="55">
        <f>VLOOKUP($E1432,'NI-Ric_SP'!$C:$AN,MID(AL$1,1,2),FALSE)</f>
        <v>0</v>
      </c>
      <c r="AM1432" s="56">
        <f>VLOOKUP($E1432,'NI-Ric_SP'!$C:$AN,MID(AM$1,1,2),FALSE)</f>
        <v>0</v>
      </c>
      <c r="AN1432" s="30" t="str">
        <f t="shared" si="22"/>
        <v>90200000000000</v>
      </c>
    </row>
    <row r="1433" spans="1:40" x14ac:dyDescent="0.25">
      <c r="C1433" s="40"/>
      <c r="D1433" s="101" t="s">
        <v>2706</v>
      </c>
      <c r="E1433" s="101" t="s">
        <v>2707</v>
      </c>
      <c r="F1433" s="102" t="s">
        <v>2750</v>
      </c>
      <c r="G1433" s="65"/>
      <c r="H1433" s="52"/>
      <c r="I1433" s="52" t="s">
        <v>2708</v>
      </c>
      <c r="J1433" s="52" t="s">
        <v>2708</v>
      </c>
      <c r="K1433" s="59" t="s">
        <v>79</v>
      </c>
      <c r="L1433" s="52"/>
      <c r="M1433" s="52"/>
      <c r="N1433" s="52"/>
      <c r="O1433" s="61" t="s">
        <v>2709</v>
      </c>
      <c r="P1433" s="107" t="s">
        <v>2710</v>
      </c>
      <c r="Q1433" s="55">
        <f>VLOOKUP(E1433,'NI-Ric_SP'!$C:$AN,12,FALSE)</f>
        <v>0</v>
      </c>
      <c r="R1433" s="55">
        <f>VLOOKUP(E1433,'NI-Ric_SP'!$C:$AN,13,FALSE)</f>
        <v>0</v>
      </c>
      <c r="S1433" s="55"/>
      <c r="T1433" s="55"/>
      <c r="U1433" s="55">
        <f>VLOOKUP($E1433,'NI-Ric_SP'!$C:$AN,MID(U$1,1,2),FALSE)</f>
        <v>0</v>
      </c>
      <c r="V1433" s="55">
        <f>VLOOKUP($E1433,'NI-Ric_SP'!$C:$AN,MID(V$1,1,2),FALSE)</f>
        <v>0</v>
      </c>
      <c r="W1433" s="55">
        <f>VLOOKUP($E1433,'NI-Ric_SP'!$C:$AN,MID(W$1,1,2),FALSE)</f>
        <v>0</v>
      </c>
      <c r="X1433" s="55">
        <f>VLOOKUP($E1433,'NI-Ric_SP'!$C:$AN,MID(X$1,1,2),FALSE)</f>
        <v>0</v>
      </c>
      <c r="Y1433" s="55">
        <f>VLOOKUP($E1433,'NI-Ric_SP'!$C:$AN,MID(Y$1,1,2),FALSE)</f>
        <v>0</v>
      </c>
      <c r="Z1433" s="55">
        <f>VLOOKUP($E1433,'NI-Ric_SP'!$C:$AN,MID(Z$1,1,2),FALSE)</f>
        <v>0</v>
      </c>
      <c r="AA1433" s="55">
        <f>VLOOKUP($E1433,'NI-Ric_SP'!$C:$AN,MID(AA$1,1,2),FALSE)</f>
        <v>0</v>
      </c>
      <c r="AB1433" s="55">
        <f>VLOOKUP($E1433,'NI-Ric_SP'!$C:$AN,MID(AB$1,1,2),FALSE)</f>
        <v>0</v>
      </c>
      <c r="AC1433" s="55">
        <f>VLOOKUP($E1433,'NI-Ric_SP'!$C:$AN,MID(AC$1,1,2),FALSE)</f>
        <v>0</v>
      </c>
      <c r="AD1433" s="55">
        <f>VLOOKUP($E1433,'NI-Ric_SP'!$C:$AN,MID(AD$1,1,2),FALSE)</f>
        <v>0</v>
      </c>
      <c r="AE1433" s="55">
        <f>VLOOKUP($E1433,'NI-Ric_SP'!$C:$AN,MID(AE$1,1,2),FALSE)</f>
        <v>0</v>
      </c>
      <c r="AF1433" s="55">
        <f>VLOOKUP($E1433,'NI-Ric_SP'!$C:$AN,MID(AF$1,1,2),FALSE)</f>
        <v>0</v>
      </c>
      <c r="AG1433" s="55">
        <f>VLOOKUP($E1433,'NI-Ric_SP'!$C:$AN,MID(AG$1,1,2),FALSE)</f>
        <v>0</v>
      </c>
      <c r="AH1433" s="55">
        <f>VLOOKUP($E1433,'NI-Ric_SP'!$C:$AN,MID(AH$1,1,2),FALSE)</f>
        <v>0</v>
      </c>
      <c r="AI1433" s="55">
        <f>VLOOKUP($E1433,'NI-Ric_SP'!$C:$AN,MID(AI$1,1,2),FALSE)</f>
        <v>0</v>
      </c>
      <c r="AJ1433" s="55">
        <f>VLOOKUP($E1433,'NI-Ric_SP'!$C:$AN,MID(AJ$1,1,2),FALSE)</f>
        <v>0</v>
      </c>
      <c r="AK1433" s="55">
        <f>VLOOKUP($E1433,'NI-Ric_SP'!$C:$AN,MID(AK$1,1,2),FALSE)</f>
        <v>0</v>
      </c>
      <c r="AL1433" s="55">
        <f>VLOOKUP($E1433,'NI-Ric_SP'!$C:$AN,MID(AL$1,1,2),FALSE)</f>
        <v>0</v>
      </c>
      <c r="AM1433" s="56">
        <f>VLOOKUP($E1433,'NI-Ric_SP'!$C:$AN,MID(AM$1,1,2),FALSE)</f>
        <v>0</v>
      </c>
      <c r="AN1433" s="30" t="str">
        <f t="shared" si="22"/>
        <v>90300000000000</v>
      </c>
    </row>
    <row r="1434" spans="1:40" x14ac:dyDescent="0.25">
      <c r="A1434" s="30" t="s">
        <v>1394</v>
      </c>
      <c r="C1434" s="40"/>
      <c r="D1434" s="98" t="s">
        <v>2711</v>
      </c>
      <c r="E1434" s="98" t="s">
        <v>2712</v>
      </c>
      <c r="F1434" s="102" t="s">
        <v>2750</v>
      </c>
      <c r="H1434" s="52"/>
      <c r="I1434" s="52"/>
      <c r="J1434" s="52" t="s">
        <v>2713</v>
      </c>
      <c r="K1434" s="59" t="s">
        <v>79</v>
      </c>
      <c r="L1434" s="52"/>
      <c r="M1434" s="52"/>
      <c r="N1434" s="52"/>
      <c r="O1434" s="61" t="s">
        <v>2714</v>
      </c>
      <c r="P1434" s="79" t="s">
        <v>2715</v>
      </c>
      <c r="Q1434" s="55">
        <f>VLOOKUP(E1434,'NI-Ric_SP'!$C:$AN,12,FALSE)</f>
        <v>0</v>
      </c>
      <c r="R1434" s="55">
        <f>VLOOKUP(E1434,'NI-Ric_SP'!$C:$AN,13,FALSE)</f>
        <v>0</v>
      </c>
      <c r="S1434" s="55">
        <f>VLOOKUP(E1434,'NI-Ric_SP'!$C:$AN,30,FALSE)</f>
        <v>0</v>
      </c>
      <c r="T1434" s="94">
        <f>VLOOKUP(E1434,'NI-Ric_SP'!$C:$AN,31,FALSE)+VLOOKUP(E1434,'NI-Ric_SP'!$C:$AN,32,FALSE)</f>
        <v>0</v>
      </c>
      <c r="U1434" s="55">
        <f>VLOOKUP($E1434,'NI-Ric_SP'!$C:$AN,MID(U$1,1,2),FALSE)</f>
        <v>0</v>
      </c>
      <c r="V1434" s="55">
        <f>VLOOKUP($E1434,'NI-Ric_SP'!$C:$AN,MID(V$1,1,2),FALSE)</f>
        <v>0</v>
      </c>
      <c r="W1434" s="55">
        <f>VLOOKUP($E1434,'NI-Ric_SP'!$C:$AN,MID(W$1,1,2),FALSE)</f>
        <v>0</v>
      </c>
      <c r="X1434" s="55">
        <f>VLOOKUP($E1434,'NI-Ric_SP'!$C:$AN,MID(X$1,1,2),FALSE)</f>
        <v>0</v>
      </c>
      <c r="Y1434" s="55">
        <f>VLOOKUP($E1434,'NI-Ric_SP'!$C:$AN,MID(Y$1,1,2),FALSE)</f>
        <v>0</v>
      </c>
      <c r="Z1434" s="55">
        <f>VLOOKUP($E1434,'NI-Ric_SP'!$C:$AN,MID(Z$1,1,2),FALSE)</f>
        <v>0</v>
      </c>
      <c r="AA1434" s="55">
        <f>VLOOKUP($E1434,'NI-Ric_SP'!$C:$AN,MID(AA$1,1,2),FALSE)</f>
        <v>0</v>
      </c>
      <c r="AB1434" s="55">
        <f>VLOOKUP($E1434,'NI-Ric_SP'!$C:$AN,MID(AB$1,1,2),FALSE)</f>
        <v>0</v>
      </c>
      <c r="AC1434" s="55">
        <f>VLOOKUP($E1434,'NI-Ric_SP'!$C:$AN,MID(AC$1,1,2),FALSE)</f>
        <v>0</v>
      </c>
      <c r="AD1434" s="55">
        <f>VLOOKUP($E1434,'NI-Ric_SP'!$C:$AN,MID(AD$1,1,2),FALSE)</f>
        <v>0</v>
      </c>
      <c r="AE1434" s="55">
        <f>VLOOKUP($E1434,'NI-Ric_SP'!$C:$AN,MID(AE$1,1,2),FALSE)</f>
        <v>0</v>
      </c>
      <c r="AF1434" s="55">
        <f>VLOOKUP($E1434,'NI-Ric_SP'!$C:$AN,MID(AF$1,1,2),FALSE)</f>
        <v>0</v>
      </c>
      <c r="AG1434" s="55">
        <f>VLOOKUP($E1434,'NI-Ric_SP'!$C:$AN,MID(AG$1,1,2),FALSE)</f>
        <v>0</v>
      </c>
      <c r="AH1434" s="55">
        <f>VLOOKUP($E1434,'NI-Ric_SP'!$C:$AN,MID(AH$1,1,2),FALSE)</f>
        <v>0</v>
      </c>
      <c r="AI1434" s="55">
        <f>VLOOKUP($E1434,'NI-Ric_SP'!$C:$AN,MID(AI$1,1,2),FALSE)</f>
        <v>0</v>
      </c>
      <c r="AJ1434" s="55">
        <f>VLOOKUP($E1434,'NI-Ric_SP'!$C:$AN,MID(AJ$1,1,2),FALSE)</f>
        <v>0</v>
      </c>
      <c r="AK1434" s="55">
        <f>VLOOKUP($E1434,'NI-Ric_SP'!$C:$AN,MID(AK$1,1,2),FALSE)</f>
        <v>0</v>
      </c>
      <c r="AL1434" s="55">
        <f>VLOOKUP($E1434,'NI-Ric_SP'!$C:$AN,MID(AL$1,1,2),FALSE)</f>
        <v>0</v>
      </c>
      <c r="AM1434" s="56">
        <f>VLOOKUP($E1434,'NI-Ric_SP'!$C:$AN,MID(AM$1,1,2),FALSE)</f>
        <v>0</v>
      </c>
      <c r="AN1434" s="30" t="str">
        <f t="shared" si="22"/>
        <v>90400000000000</v>
      </c>
    </row>
    <row r="1435" spans="1:40" x14ac:dyDescent="0.25">
      <c r="C1435" s="40"/>
      <c r="D1435" s="101" t="s">
        <v>2716</v>
      </c>
      <c r="E1435" s="101" t="s">
        <v>2717</v>
      </c>
      <c r="F1435" s="102" t="s">
        <v>2750</v>
      </c>
      <c r="G1435" s="65"/>
      <c r="H1435" s="52"/>
      <c r="I1435" s="52" t="s">
        <v>2718</v>
      </c>
      <c r="J1435" s="52" t="s">
        <v>2718</v>
      </c>
      <c r="K1435" s="59" t="s">
        <v>111</v>
      </c>
      <c r="L1435" s="52"/>
      <c r="M1435" s="52"/>
      <c r="N1435" s="52"/>
      <c r="O1435" s="61" t="s">
        <v>2714</v>
      </c>
      <c r="P1435" s="107" t="s">
        <v>2719</v>
      </c>
      <c r="Q1435" s="55">
        <f>VLOOKUP(E1435,'NI-Ric_SP'!$C:$AN,12,FALSE)</f>
        <v>0</v>
      </c>
      <c r="R1435" s="55">
        <f>VLOOKUP(E1435,'NI-Ric_SP'!$C:$AN,13,FALSE)</f>
        <v>0</v>
      </c>
      <c r="S1435" s="55"/>
      <c r="T1435" s="55"/>
      <c r="U1435" s="55">
        <f>VLOOKUP($E1435,'NI-Ric_SP'!$C:$AN,MID(U$1,1,2),FALSE)</f>
        <v>0</v>
      </c>
      <c r="V1435" s="55">
        <f>VLOOKUP($E1435,'NI-Ric_SP'!$C:$AN,MID(V$1,1,2),FALSE)</f>
        <v>0</v>
      </c>
      <c r="W1435" s="55">
        <f>VLOOKUP($E1435,'NI-Ric_SP'!$C:$AN,MID(W$1,1,2),FALSE)</f>
        <v>0</v>
      </c>
      <c r="X1435" s="55">
        <f>VLOOKUP($E1435,'NI-Ric_SP'!$C:$AN,MID(X$1,1,2),FALSE)</f>
        <v>0</v>
      </c>
      <c r="Y1435" s="55">
        <f>VLOOKUP($E1435,'NI-Ric_SP'!$C:$AN,MID(Y$1,1,2),FALSE)</f>
        <v>0</v>
      </c>
      <c r="Z1435" s="55">
        <f>VLOOKUP($E1435,'NI-Ric_SP'!$C:$AN,MID(Z$1,1,2),FALSE)</f>
        <v>0</v>
      </c>
      <c r="AA1435" s="55">
        <f>VLOOKUP($E1435,'NI-Ric_SP'!$C:$AN,MID(AA$1,1,2),FALSE)</f>
        <v>0</v>
      </c>
      <c r="AB1435" s="55">
        <f>VLOOKUP($E1435,'NI-Ric_SP'!$C:$AN,MID(AB$1,1,2),FALSE)</f>
        <v>0</v>
      </c>
      <c r="AC1435" s="55">
        <f>VLOOKUP($E1435,'NI-Ric_SP'!$C:$AN,MID(AC$1,1,2),FALSE)</f>
        <v>0</v>
      </c>
      <c r="AD1435" s="55">
        <f>VLOOKUP($E1435,'NI-Ric_SP'!$C:$AN,MID(AD$1,1,2),FALSE)</f>
        <v>0</v>
      </c>
      <c r="AE1435" s="55">
        <f>VLOOKUP($E1435,'NI-Ric_SP'!$C:$AN,MID(AE$1,1,2),FALSE)</f>
        <v>0</v>
      </c>
      <c r="AF1435" s="55">
        <f>VLOOKUP($E1435,'NI-Ric_SP'!$C:$AN,MID(AF$1,1,2),FALSE)</f>
        <v>0</v>
      </c>
      <c r="AG1435" s="55">
        <f>VLOOKUP($E1435,'NI-Ric_SP'!$C:$AN,MID(AG$1,1,2),FALSE)</f>
        <v>0</v>
      </c>
      <c r="AH1435" s="55">
        <f>VLOOKUP($E1435,'NI-Ric_SP'!$C:$AN,MID(AH$1,1,2),FALSE)</f>
        <v>0</v>
      </c>
      <c r="AI1435" s="55">
        <f>VLOOKUP($E1435,'NI-Ric_SP'!$C:$AN,MID(AI$1,1,2),FALSE)</f>
        <v>0</v>
      </c>
      <c r="AJ1435" s="55">
        <f>VLOOKUP($E1435,'NI-Ric_SP'!$C:$AN,MID(AJ$1,1,2),FALSE)</f>
        <v>0</v>
      </c>
      <c r="AK1435" s="55">
        <f>VLOOKUP($E1435,'NI-Ric_SP'!$C:$AN,MID(AK$1,1,2),FALSE)</f>
        <v>0</v>
      </c>
      <c r="AL1435" s="55">
        <f>VLOOKUP($E1435,'NI-Ric_SP'!$C:$AN,MID(AL$1,1,2),FALSE)</f>
        <v>0</v>
      </c>
      <c r="AM1435" s="56">
        <f>VLOOKUP($E1435,'NI-Ric_SP'!$C:$AN,MID(AM$1,1,2),FALSE)</f>
        <v>0</v>
      </c>
      <c r="AN1435" s="30" t="str">
        <f t="shared" si="22"/>
        <v>90500000000000</v>
      </c>
    </row>
    <row r="1436" spans="1:40" x14ac:dyDescent="0.25">
      <c r="C1436" s="40"/>
      <c r="D1436" s="101" t="s">
        <v>2720</v>
      </c>
      <c r="E1436" s="101" t="s">
        <v>2721</v>
      </c>
      <c r="F1436" s="102" t="s">
        <v>2750</v>
      </c>
      <c r="G1436" s="52"/>
      <c r="H1436" s="52"/>
      <c r="I1436" s="52"/>
      <c r="J1436" s="52"/>
      <c r="K1436" s="59" t="s">
        <v>111</v>
      </c>
      <c r="L1436" s="52"/>
      <c r="M1436" s="52"/>
      <c r="N1436" s="52"/>
      <c r="O1436" s="52"/>
      <c r="P1436" s="107" t="s">
        <v>2722</v>
      </c>
      <c r="Q1436" s="55">
        <f>VLOOKUP(E1436,'NI-Ric_SP'!$C:$AN,12,FALSE)</f>
        <v>0</v>
      </c>
      <c r="R1436" s="55">
        <f>VLOOKUP(E1436,'NI-Ric_SP'!$C:$AN,13,FALSE)</f>
        <v>0</v>
      </c>
      <c r="S1436" s="55"/>
      <c r="T1436" s="55"/>
      <c r="U1436" s="55">
        <f>VLOOKUP($E1436,'NI-Ric_SP'!$C:$AN,MID(U$1,1,2),FALSE)</f>
        <v>0</v>
      </c>
      <c r="V1436" s="55">
        <f>VLOOKUP($E1436,'NI-Ric_SP'!$C:$AN,MID(V$1,1,2),FALSE)</f>
        <v>0</v>
      </c>
      <c r="W1436" s="55">
        <f>VLOOKUP($E1436,'NI-Ric_SP'!$C:$AN,MID(W$1,1,2),FALSE)</f>
        <v>0</v>
      </c>
      <c r="X1436" s="55">
        <f>VLOOKUP($E1436,'NI-Ric_SP'!$C:$AN,MID(X$1,1,2),FALSE)</f>
        <v>0</v>
      </c>
      <c r="Y1436" s="55">
        <f>VLOOKUP($E1436,'NI-Ric_SP'!$C:$AN,MID(Y$1,1,2),FALSE)</f>
        <v>0</v>
      </c>
      <c r="Z1436" s="55">
        <f>VLOOKUP($E1436,'NI-Ric_SP'!$C:$AN,MID(Z$1,1,2),FALSE)</f>
        <v>0</v>
      </c>
      <c r="AA1436" s="55">
        <f>VLOOKUP($E1436,'NI-Ric_SP'!$C:$AN,MID(AA$1,1,2),FALSE)</f>
        <v>0</v>
      </c>
      <c r="AB1436" s="55">
        <f>VLOOKUP($E1436,'NI-Ric_SP'!$C:$AN,MID(AB$1,1,2),FALSE)</f>
        <v>0</v>
      </c>
      <c r="AC1436" s="55">
        <f>VLOOKUP($E1436,'NI-Ric_SP'!$C:$AN,MID(AC$1,1,2),FALSE)</f>
        <v>0</v>
      </c>
      <c r="AD1436" s="55">
        <f>VLOOKUP($E1436,'NI-Ric_SP'!$C:$AN,MID(AD$1,1,2),FALSE)</f>
        <v>0</v>
      </c>
      <c r="AE1436" s="55">
        <f>VLOOKUP($E1436,'NI-Ric_SP'!$C:$AN,MID(AE$1,1,2),FALSE)</f>
        <v>0</v>
      </c>
      <c r="AF1436" s="55">
        <f>VLOOKUP($E1436,'NI-Ric_SP'!$C:$AN,MID(AF$1,1,2),FALSE)</f>
        <v>0</v>
      </c>
      <c r="AG1436" s="55">
        <f>VLOOKUP($E1436,'NI-Ric_SP'!$C:$AN,MID(AG$1,1,2),FALSE)</f>
        <v>0</v>
      </c>
      <c r="AH1436" s="55">
        <f>VLOOKUP($E1436,'NI-Ric_SP'!$C:$AN,MID(AH$1,1,2),FALSE)</f>
        <v>0</v>
      </c>
      <c r="AI1436" s="55">
        <f>VLOOKUP($E1436,'NI-Ric_SP'!$C:$AN,MID(AI$1,1,2),FALSE)</f>
        <v>0</v>
      </c>
      <c r="AJ1436" s="55">
        <f>VLOOKUP($E1436,'NI-Ric_SP'!$C:$AN,MID(AJ$1,1,2),FALSE)</f>
        <v>0</v>
      </c>
      <c r="AK1436" s="55">
        <f>VLOOKUP($E1436,'NI-Ric_SP'!$C:$AN,MID(AK$1,1,2),FALSE)</f>
        <v>0</v>
      </c>
      <c r="AL1436" s="55">
        <f>VLOOKUP($E1436,'NI-Ric_SP'!$C:$AN,MID(AL$1,1,2),FALSE)</f>
        <v>0</v>
      </c>
      <c r="AM1436" s="56">
        <f>VLOOKUP($E1436,'NI-Ric_SP'!$C:$AN,MID(AM$1,1,2),FALSE)</f>
        <v>0</v>
      </c>
      <c r="AN1436" s="30" t="str">
        <f t="shared" si="22"/>
        <v>90501010000000</v>
      </c>
    </row>
    <row r="1437" spans="1:40" x14ac:dyDescent="0.25">
      <c r="C1437" s="40"/>
      <c r="D1437" s="101" t="s">
        <v>2723</v>
      </c>
      <c r="E1437" s="101" t="s">
        <v>2724</v>
      </c>
      <c r="F1437" s="102" t="s">
        <v>2750</v>
      </c>
      <c r="G1437" s="52"/>
      <c r="H1437" s="52"/>
      <c r="I1437" s="52"/>
      <c r="J1437" s="52"/>
      <c r="K1437" s="59" t="s">
        <v>79</v>
      </c>
      <c r="L1437" s="52"/>
      <c r="M1437" s="52"/>
      <c r="N1437" s="52"/>
      <c r="O1437" s="52"/>
      <c r="P1437" s="108" t="s">
        <v>1871</v>
      </c>
      <c r="Q1437" s="55">
        <f>VLOOKUP(E1437,'NI-Ric_SP'!$C:$AN,12,FALSE)</f>
        <v>0</v>
      </c>
      <c r="R1437" s="55">
        <f>VLOOKUP(E1437,'NI-Ric_SP'!$C:$AN,13,FALSE)</f>
        <v>0</v>
      </c>
      <c r="S1437" s="55"/>
      <c r="T1437" s="55"/>
      <c r="U1437" s="55">
        <f>VLOOKUP($E1437,'NI-Ric_SP'!$C:$AN,MID(U$1,1,2),FALSE)</f>
        <v>0</v>
      </c>
      <c r="V1437" s="55">
        <f>VLOOKUP($E1437,'NI-Ric_SP'!$C:$AN,MID(V$1,1,2),FALSE)</f>
        <v>0</v>
      </c>
      <c r="W1437" s="55">
        <f>VLOOKUP($E1437,'NI-Ric_SP'!$C:$AN,MID(W$1,1,2),FALSE)</f>
        <v>0</v>
      </c>
      <c r="X1437" s="55">
        <f>VLOOKUP($E1437,'NI-Ric_SP'!$C:$AN,MID(X$1,1,2),FALSE)</f>
        <v>0</v>
      </c>
      <c r="Y1437" s="55">
        <f>VLOOKUP($E1437,'NI-Ric_SP'!$C:$AN,MID(Y$1,1,2),FALSE)</f>
        <v>0</v>
      </c>
      <c r="Z1437" s="55">
        <f>VLOOKUP($E1437,'NI-Ric_SP'!$C:$AN,MID(Z$1,1,2),FALSE)</f>
        <v>0</v>
      </c>
      <c r="AA1437" s="55">
        <f>VLOOKUP($E1437,'NI-Ric_SP'!$C:$AN,MID(AA$1,1,2),FALSE)</f>
        <v>0</v>
      </c>
      <c r="AB1437" s="55">
        <f>VLOOKUP($E1437,'NI-Ric_SP'!$C:$AN,MID(AB$1,1,2),FALSE)</f>
        <v>0</v>
      </c>
      <c r="AC1437" s="55">
        <f>VLOOKUP($E1437,'NI-Ric_SP'!$C:$AN,MID(AC$1,1,2),FALSE)</f>
        <v>0</v>
      </c>
      <c r="AD1437" s="55">
        <f>VLOOKUP($E1437,'NI-Ric_SP'!$C:$AN,MID(AD$1,1,2),FALSE)</f>
        <v>0</v>
      </c>
      <c r="AE1437" s="55">
        <f>VLOOKUP($E1437,'NI-Ric_SP'!$C:$AN,MID(AE$1,1,2),FALSE)</f>
        <v>0</v>
      </c>
      <c r="AF1437" s="55">
        <f>VLOOKUP($E1437,'NI-Ric_SP'!$C:$AN,MID(AF$1,1,2),FALSE)</f>
        <v>0</v>
      </c>
      <c r="AG1437" s="55">
        <f>VLOOKUP($E1437,'NI-Ric_SP'!$C:$AN,MID(AG$1,1,2),FALSE)</f>
        <v>0</v>
      </c>
      <c r="AH1437" s="55">
        <f>VLOOKUP($E1437,'NI-Ric_SP'!$C:$AN,MID(AH$1,1,2),FALSE)</f>
        <v>0</v>
      </c>
      <c r="AI1437" s="55">
        <f>VLOOKUP($E1437,'NI-Ric_SP'!$C:$AN,MID(AI$1,1,2),FALSE)</f>
        <v>0</v>
      </c>
      <c r="AJ1437" s="55">
        <f>VLOOKUP($E1437,'NI-Ric_SP'!$C:$AN,MID(AJ$1,1,2),FALSE)</f>
        <v>0</v>
      </c>
      <c r="AK1437" s="55">
        <f>VLOOKUP($E1437,'NI-Ric_SP'!$C:$AN,MID(AK$1,1,2),FALSE)</f>
        <v>0</v>
      </c>
      <c r="AL1437" s="55">
        <f>VLOOKUP($E1437,'NI-Ric_SP'!$C:$AN,MID(AL$1,1,2),FALSE)</f>
        <v>0</v>
      </c>
      <c r="AM1437" s="56">
        <f>VLOOKUP($E1437,'NI-Ric_SP'!$C:$AN,MID(AM$1,1,2),FALSE)</f>
        <v>0</v>
      </c>
      <c r="AN1437" s="30" t="str">
        <f t="shared" si="22"/>
        <v>90501010010000</v>
      </c>
    </row>
    <row r="1438" spans="1:40" x14ac:dyDescent="0.25">
      <c r="C1438" s="40"/>
      <c r="D1438" s="101" t="s">
        <v>2725</v>
      </c>
      <c r="E1438" s="101" t="s">
        <v>2726</v>
      </c>
      <c r="F1438" s="102" t="s">
        <v>2750</v>
      </c>
      <c r="G1438" s="52"/>
      <c r="H1438" s="52"/>
      <c r="I1438" s="52"/>
      <c r="J1438" s="52"/>
      <c r="K1438" s="59" t="s">
        <v>79</v>
      </c>
      <c r="L1438" s="52"/>
      <c r="M1438" s="52"/>
      <c r="N1438" s="52"/>
      <c r="O1438" s="52"/>
      <c r="P1438" s="108" t="s">
        <v>1874</v>
      </c>
      <c r="Q1438" s="55">
        <f>VLOOKUP(E1438,'NI-Ric_SP'!$C:$AN,12,FALSE)</f>
        <v>0</v>
      </c>
      <c r="R1438" s="55">
        <f>VLOOKUP(E1438,'NI-Ric_SP'!$C:$AN,13,FALSE)</f>
        <v>0</v>
      </c>
      <c r="S1438" s="55"/>
      <c r="T1438" s="55"/>
      <c r="U1438" s="55">
        <f>VLOOKUP($E1438,'NI-Ric_SP'!$C:$AN,MID(U$1,1,2),FALSE)</f>
        <v>0</v>
      </c>
      <c r="V1438" s="55">
        <f>VLOOKUP($E1438,'NI-Ric_SP'!$C:$AN,MID(V$1,1,2),FALSE)</f>
        <v>0</v>
      </c>
      <c r="W1438" s="55">
        <f>VLOOKUP($E1438,'NI-Ric_SP'!$C:$AN,MID(W$1,1,2),FALSE)</f>
        <v>0</v>
      </c>
      <c r="X1438" s="55">
        <f>VLOOKUP($E1438,'NI-Ric_SP'!$C:$AN,MID(X$1,1,2),FALSE)</f>
        <v>0</v>
      </c>
      <c r="Y1438" s="55">
        <f>VLOOKUP($E1438,'NI-Ric_SP'!$C:$AN,MID(Y$1,1,2),FALSE)</f>
        <v>0</v>
      </c>
      <c r="Z1438" s="55">
        <f>VLOOKUP($E1438,'NI-Ric_SP'!$C:$AN,MID(Z$1,1,2),FALSE)</f>
        <v>0</v>
      </c>
      <c r="AA1438" s="55">
        <f>VLOOKUP($E1438,'NI-Ric_SP'!$C:$AN,MID(AA$1,1,2),FALSE)</f>
        <v>0</v>
      </c>
      <c r="AB1438" s="55">
        <f>VLOOKUP($E1438,'NI-Ric_SP'!$C:$AN,MID(AB$1,1,2),FALSE)</f>
        <v>0</v>
      </c>
      <c r="AC1438" s="55">
        <f>VLOOKUP($E1438,'NI-Ric_SP'!$C:$AN,MID(AC$1,1,2),FALSE)</f>
        <v>0</v>
      </c>
      <c r="AD1438" s="55">
        <f>VLOOKUP($E1438,'NI-Ric_SP'!$C:$AN,MID(AD$1,1,2),FALSE)</f>
        <v>0</v>
      </c>
      <c r="AE1438" s="55">
        <f>VLOOKUP($E1438,'NI-Ric_SP'!$C:$AN,MID(AE$1,1,2),FALSE)</f>
        <v>0</v>
      </c>
      <c r="AF1438" s="55">
        <f>VLOOKUP($E1438,'NI-Ric_SP'!$C:$AN,MID(AF$1,1,2),FALSE)</f>
        <v>0</v>
      </c>
      <c r="AG1438" s="55">
        <f>VLOOKUP($E1438,'NI-Ric_SP'!$C:$AN,MID(AG$1,1,2),FALSE)</f>
        <v>0</v>
      </c>
      <c r="AH1438" s="55">
        <f>VLOOKUP($E1438,'NI-Ric_SP'!$C:$AN,MID(AH$1,1,2),FALSE)</f>
        <v>0</v>
      </c>
      <c r="AI1438" s="55">
        <f>VLOOKUP($E1438,'NI-Ric_SP'!$C:$AN,MID(AI$1,1,2),FALSE)</f>
        <v>0</v>
      </c>
      <c r="AJ1438" s="55">
        <f>VLOOKUP($E1438,'NI-Ric_SP'!$C:$AN,MID(AJ$1,1,2),FALSE)</f>
        <v>0</v>
      </c>
      <c r="AK1438" s="55">
        <f>VLOOKUP($E1438,'NI-Ric_SP'!$C:$AN,MID(AK$1,1,2),FALSE)</f>
        <v>0</v>
      </c>
      <c r="AL1438" s="55">
        <f>VLOOKUP($E1438,'NI-Ric_SP'!$C:$AN,MID(AL$1,1,2),FALSE)</f>
        <v>0</v>
      </c>
      <c r="AM1438" s="56">
        <f>VLOOKUP($E1438,'NI-Ric_SP'!$C:$AN,MID(AM$1,1,2),FALSE)</f>
        <v>0</v>
      </c>
      <c r="AN1438" s="30" t="str">
        <f t="shared" si="22"/>
        <v>90501010020000</v>
      </c>
    </row>
    <row r="1439" spans="1:40" x14ac:dyDescent="0.25">
      <c r="C1439" s="40"/>
      <c r="D1439" s="101" t="s">
        <v>2727</v>
      </c>
      <c r="E1439" s="101" t="s">
        <v>2728</v>
      </c>
      <c r="F1439" s="102" t="s">
        <v>2750</v>
      </c>
      <c r="G1439" s="52"/>
      <c r="H1439" s="52"/>
      <c r="I1439" s="52"/>
      <c r="J1439" s="52"/>
      <c r="K1439" s="59" t="s">
        <v>79</v>
      </c>
      <c r="L1439" s="52"/>
      <c r="M1439" s="52"/>
      <c r="N1439" s="52"/>
      <c r="O1439" s="52"/>
      <c r="P1439" s="108" t="s">
        <v>1877</v>
      </c>
      <c r="Q1439" s="55">
        <f>VLOOKUP(E1439,'NI-Ric_SP'!$C:$AN,12,FALSE)</f>
        <v>0</v>
      </c>
      <c r="R1439" s="55">
        <f>VLOOKUP(E1439,'NI-Ric_SP'!$C:$AN,13,FALSE)</f>
        <v>0</v>
      </c>
      <c r="S1439" s="55"/>
      <c r="T1439" s="55"/>
      <c r="U1439" s="55">
        <f>VLOOKUP($E1439,'NI-Ric_SP'!$C:$AN,MID(U$1,1,2),FALSE)</f>
        <v>0</v>
      </c>
      <c r="V1439" s="55">
        <f>VLOOKUP($E1439,'NI-Ric_SP'!$C:$AN,MID(V$1,1,2),FALSE)</f>
        <v>0</v>
      </c>
      <c r="W1439" s="55">
        <f>VLOOKUP($E1439,'NI-Ric_SP'!$C:$AN,MID(W$1,1,2),FALSE)</f>
        <v>0</v>
      </c>
      <c r="X1439" s="55">
        <f>VLOOKUP($E1439,'NI-Ric_SP'!$C:$AN,MID(X$1,1,2),FALSE)</f>
        <v>0</v>
      </c>
      <c r="Y1439" s="55">
        <f>VLOOKUP($E1439,'NI-Ric_SP'!$C:$AN,MID(Y$1,1,2),FALSE)</f>
        <v>0</v>
      </c>
      <c r="Z1439" s="55">
        <f>VLOOKUP($E1439,'NI-Ric_SP'!$C:$AN,MID(Z$1,1,2),FALSE)</f>
        <v>0</v>
      </c>
      <c r="AA1439" s="55">
        <f>VLOOKUP($E1439,'NI-Ric_SP'!$C:$AN,MID(AA$1,1,2),FALSE)</f>
        <v>0</v>
      </c>
      <c r="AB1439" s="55">
        <f>VLOOKUP($E1439,'NI-Ric_SP'!$C:$AN,MID(AB$1,1,2),FALSE)</f>
        <v>0</v>
      </c>
      <c r="AC1439" s="55">
        <f>VLOOKUP($E1439,'NI-Ric_SP'!$C:$AN,MID(AC$1,1,2),FALSE)</f>
        <v>0</v>
      </c>
      <c r="AD1439" s="55">
        <f>VLOOKUP($E1439,'NI-Ric_SP'!$C:$AN,MID(AD$1,1,2),FALSE)</f>
        <v>0</v>
      </c>
      <c r="AE1439" s="55">
        <f>VLOOKUP($E1439,'NI-Ric_SP'!$C:$AN,MID(AE$1,1,2),FALSE)</f>
        <v>0</v>
      </c>
      <c r="AF1439" s="55">
        <f>VLOOKUP($E1439,'NI-Ric_SP'!$C:$AN,MID(AF$1,1,2),FALSE)</f>
        <v>0</v>
      </c>
      <c r="AG1439" s="55">
        <f>VLOOKUP($E1439,'NI-Ric_SP'!$C:$AN,MID(AG$1,1,2),FALSE)</f>
        <v>0</v>
      </c>
      <c r="AH1439" s="55">
        <f>VLOOKUP($E1439,'NI-Ric_SP'!$C:$AN,MID(AH$1,1,2),FALSE)</f>
        <v>0</v>
      </c>
      <c r="AI1439" s="55">
        <f>VLOOKUP($E1439,'NI-Ric_SP'!$C:$AN,MID(AI$1,1,2),FALSE)</f>
        <v>0</v>
      </c>
      <c r="AJ1439" s="55">
        <f>VLOOKUP($E1439,'NI-Ric_SP'!$C:$AN,MID(AJ$1,1,2),FALSE)</f>
        <v>0</v>
      </c>
      <c r="AK1439" s="55">
        <f>VLOOKUP($E1439,'NI-Ric_SP'!$C:$AN,MID(AK$1,1,2),FALSE)</f>
        <v>0</v>
      </c>
      <c r="AL1439" s="55">
        <f>VLOOKUP($E1439,'NI-Ric_SP'!$C:$AN,MID(AL$1,1,2),FALSE)</f>
        <v>0</v>
      </c>
      <c r="AM1439" s="56">
        <f>VLOOKUP($E1439,'NI-Ric_SP'!$C:$AN,MID(AM$1,1,2),FALSE)</f>
        <v>0</v>
      </c>
      <c r="AN1439" s="30" t="str">
        <f t="shared" si="22"/>
        <v>90501010030000</v>
      </c>
    </row>
    <row r="1440" spans="1:40" x14ac:dyDescent="0.25">
      <c r="C1440" s="40"/>
      <c r="D1440" s="101" t="s">
        <v>2729</v>
      </c>
      <c r="E1440" s="101" t="s">
        <v>2730</v>
      </c>
      <c r="F1440" s="102" t="s">
        <v>2750</v>
      </c>
      <c r="G1440" s="52"/>
      <c r="H1440" s="52"/>
      <c r="I1440" s="52"/>
      <c r="J1440" s="52"/>
      <c r="K1440" s="59" t="s">
        <v>111</v>
      </c>
      <c r="L1440" s="52"/>
      <c r="M1440" s="52"/>
      <c r="N1440" s="52"/>
      <c r="O1440" s="52"/>
      <c r="P1440" s="107" t="s">
        <v>2731</v>
      </c>
      <c r="Q1440" s="55">
        <f>VLOOKUP(E1440,'NI-Ric_SP'!$C:$AN,12,FALSE)</f>
        <v>0</v>
      </c>
      <c r="R1440" s="55">
        <f>VLOOKUP(E1440,'NI-Ric_SP'!$C:$AN,13,FALSE)</f>
        <v>0</v>
      </c>
      <c r="S1440" s="55"/>
      <c r="T1440" s="55"/>
      <c r="U1440" s="55">
        <f>VLOOKUP($E1440,'NI-Ric_SP'!$C:$AN,MID(U$1,1,2),FALSE)</f>
        <v>0</v>
      </c>
      <c r="V1440" s="55">
        <f>VLOOKUP($E1440,'NI-Ric_SP'!$C:$AN,MID(V$1,1,2),FALSE)</f>
        <v>0</v>
      </c>
      <c r="W1440" s="55">
        <f>VLOOKUP($E1440,'NI-Ric_SP'!$C:$AN,MID(W$1,1,2),FALSE)</f>
        <v>0</v>
      </c>
      <c r="X1440" s="55">
        <f>VLOOKUP($E1440,'NI-Ric_SP'!$C:$AN,MID(X$1,1,2),FALSE)</f>
        <v>0</v>
      </c>
      <c r="Y1440" s="55">
        <f>VLOOKUP($E1440,'NI-Ric_SP'!$C:$AN,MID(Y$1,1,2),FALSE)</f>
        <v>0</v>
      </c>
      <c r="Z1440" s="55">
        <f>VLOOKUP($E1440,'NI-Ric_SP'!$C:$AN,MID(Z$1,1,2),FALSE)</f>
        <v>0</v>
      </c>
      <c r="AA1440" s="55">
        <f>VLOOKUP($E1440,'NI-Ric_SP'!$C:$AN,MID(AA$1,1,2),FALSE)</f>
        <v>0</v>
      </c>
      <c r="AB1440" s="55">
        <f>VLOOKUP($E1440,'NI-Ric_SP'!$C:$AN,MID(AB$1,1,2),FALSE)</f>
        <v>0</v>
      </c>
      <c r="AC1440" s="55">
        <f>VLOOKUP($E1440,'NI-Ric_SP'!$C:$AN,MID(AC$1,1,2),FALSE)</f>
        <v>0</v>
      </c>
      <c r="AD1440" s="55">
        <f>VLOOKUP($E1440,'NI-Ric_SP'!$C:$AN,MID(AD$1,1,2),FALSE)</f>
        <v>0</v>
      </c>
      <c r="AE1440" s="55">
        <f>VLOOKUP($E1440,'NI-Ric_SP'!$C:$AN,MID(AE$1,1,2),FALSE)</f>
        <v>0</v>
      </c>
      <c r="AF1440" s="55">
        <f>VLOOKUP($E1440,'NI-Ric_SP'!$C:$AN,MID(AF$1,1,2),FALSE)</f>
        <v>0</v>
      </c>
      <c r="AG1440" s="55">
        <f>VLOOKUP($E1440,'NI-Ric_SP'!$C:$AN,MID(AG$1,1,2),FALSE)</f>
        <v>0</v>
      </c>
      <c r="AH1440" s="55">
        <f>VLOOKUP($E1440,'NI-Ric_SP'!$C:$AN,MID(AH$1,1,2),FALSE)</f>
        <v>0</v>
      </c>
      <c r="AI1440" s="55">
        <f>VLOOKUP($E1440,'NI-Ric_SP'!$C:$AN,MID(AI$1,1,2),FALSE)</f>
        <v>0</v>
      </c>
      <c r="AJ1440" s="55">
        <f>VLOOKUP($E1440,'NI-Ric_SP'!$C:$AN,MID(AJ$1,1,2),FALSE)</f>
        <v>0</v>
      </c>
      <c r="AK1440" s="55">
        <f>VLOOKUP($E1440,'NI-Ric_SP'!$C:$AN,MID(AK$1,1,2),FALSE)</f>
        <v>0</v>
      </c>
      <c r="AL1440" s="55">
        <f>VLOOKUP($E1440,'NI-Ric_SP'!$C:$AN,MID(AL$1,1,2),FALSE)</f>
        <v>0</v>
      </c>
      <c r="AM1440" s="56">
        <f>VLOOKUP($E1440,'NI-Ric_SP'!$C:$AN,MID(AM$1,1,2),FALSE)</f>
        <v>0</v>
      </c>
      <c r="AN1440" s="30" t="str">
        <f t="shared" si="22"/>
        <v>90502020000000</v>
      </c>
    </row>
    <row r="1441" spans="3:40" x14ac:dyDescent="0.25">
      <c r="C1441" s="40"/>
      <c r="D1441" s="101" t="s">
        <v>2732</v>
      </c>
      <c r="E1441" s="101" t="s">
        <v>2733</v>
      </c>
      <c r="F1441" s="102" t="s">
        <v>2750</v>
      </c>
      <c r="G1441" s="52"/>
      <c r="H1441" s="52"/>
      <c r="I1441" s="52"/>
      <c r="J1441" s="52"/>
      <c r="K1441" s="59" t="s">
        <v>79</v>
      </c>
      <c r="L1441" s="52"/>
      <c r="M1441" s="52"/>
      <c r="N1441" s="52"/>
      <c r="O1441" s="52"/>
      <c r="P1441" s="108" t="s">
        <v>1883</v>
      </c>
      <c r="Q1441" s="55">
        <f>VLOOKUP(E1441,'NI-Ric_SP'!$C:$AN,12,FALSE)</f>
        <v>0</v>
      </c>
      <c r="R1441" s="55">
        <f>VLOOKUP(E1441,'NI-Ric_SP'!$C:$AN,13,FALSE)</f>
        <v>0</v>
      </c>
      <c r="S1441" s="55"/>
      <c r="T1441" s="55"/>
      <c r="U1441" s="55">
        <f>VLOOKUP($E1441,'NI-Ric_SP'!$C:$AN,MID(U$1,1,2),FALSE)</f>
        <v>0</v>
      </c>
      <c r="V1441" s="55">
        <f>VLOOKUP($E1441,'NI-Ric_SP'!$C:$AN,MID(V$1,1,2),FALSE)</f>
        <v>0</v>
      </c>
      <c r="W1441" s="55">
        <f>VLOOKUP($E1441,'NI-Ric_SP'!$C:$AN,MID(W$1,1,2),FALSE)</f>
        <v>0</v>
      </c>
      <c r="X1441" s="55">
        <f>VLOOKUP($E1441,'NI-Ric_SP'!$C:$AN,MID(X$1,1,2),FALSE)</f>
        <v>0</v>
      </c>
      <c r="Y1441" s="55">
        <f>VLOOKUP($E1441,'NI-Ric_SP'!$C:$AN,MID(Y$1,1,2),FALSE)</f>
        <v>0</v>
      </c>
      <c r="Z1441" s="55">
        <f>VLOOKUP($E1441,'NI-Ric_SP'!$C:$AN,MID(Z$1,1,2),FALSE)</f>
        <v>0</v>
      </c>
      <c r="AA1441" s="55">
        <f>VLOOKUP($E1441,'NI-Ric_SP'!$C:$AN,MID(AA$1,1,2),FALSE)</f>
        <v>0</v>
      </c>
      <c r="AB1441" s="55">
        <f>VLOOKUP($E1441,'NI-Ric_SP'!$C:$AN,MID(AB$1,1,2),FALSE)</f>
        <v>0</v>
      </c>
      <c r="AC1441" s="55">
        <f>VLOOKUP($E1441,'NI-Ric_SP'!$C:$AN,MID(AC$1,1,2),FALSE)</f>
        <v>0</v>
      </c>
      <c r="AD1441" s="55">
        <f>VLOOKUP($E1441,'NI-Ric_SP'!$C:$AN,MID(AD$1,1,2),FALSE)</f>
        <v>0</v>
      </c>
      <c r="AE1441" s="55">
        <f>VLOOKUP($E1441,'NI-Ric_SP'!$C:$AN,MID(AE$1,1,2),FALSE)</f>
        <v>0</v>
      </c>
      <c r="AF1441" s="55">
        <f>VLOOKUP($E1441,'NI-Ric_SP'!$C:$AN,MID(AF$1,1,2),FALSE)</f>
        <v>0</v>
      </c>
      <c r="AG1441" s="55">
        <f>VLOOKUP($E1441,'NI-Ric_SP'!$C:$AN,MID(AG$1,1,2),FALSE)</f>
        <v>0</v>
      </c>
      <c r="AH1441" s="55">
        <f>VLOOKUP($E1441,'NI-Ric_SP'!$C:$AN,MID(AH$1,1,2),FALSE)</f>
        <v>0</v>
      </c>
      <c r="AI1441" s="55">
        <f>VLOOKUP($E1441,'NI-Ric_SP'!$C:$AN,MID(AI$1,1,2),FALSE)</f>
        <v>0</v>
      </c>
      <c r="AJ1441" s="55">
        <f>VLOOKUP($E1441,'NI-Ric_SP'!$C:$AN,MID(AJ$1,1,2),FALSE)</f>
        <v>0</v>
      </c>
      <c r="AK1441" s="55">
        <f>VLOOKUP($E1441,'NI-Ric_SP'!$C:$AN,MID(AK$1,1,2),FALSE)</f>
        <v>0</v>
      </c>
      <c r="AL1441" s="55">
        <f>VLOOKUP($E1441,'NI-Ric_SP'!$C:$AN,MID(AL$1,1,2),FALSE)</f>
        <v>0</v>
      </c>
      <c r="AM1441" s="56">
        <f>VLOOKUP($E1441,'NI-Ric_SP'!$C:$AN,MID(AM$1,1,2),FALSE)</f>
        <v>0</v>
      </c>
      <c r="AN1441" s="30" t="str">
        <f t="shared" si="22"/>
        <v>90502020010000</v>
      </c>
    </row>
    <row r="1442" spans="3:40" x14ac:dyDescent="0.25">
      <c r="C1442" s="40"/>
      <c r="D1442" s="101" t="s">
        <v>2734</v>
      </c>
      <c r="E1442" s="101" t="s">
        <v>2735</v>
      </c>
      <c r="F1442" s="102" t="s">
        <v>2750</v>
      </c>
      <c r="G1442" s="52"/>
      <c r="H1442" s="52"/>
      <c r="I1442" s="52"/>
      <c r="J1442" s="52"/>
      <c r="K1442" s="59" t="s">
        <v>79</v>
      </c>
      <c r="L1442" s="52"/>
      <c r="M1442" s="52"/>
      <c r="N1442" s="52"/>
      <c r="O1442" s="52"/>
      <c r="P1442" s="108" t="s">
        <v>1886</v>
      </c>
      <c r="Q1442" s="55">
        <f>VLOOKUP(E1442,'NI-Ric_SP'!$C:$AN,12,FALSE)</f>
        <v>0</v>
      </c>
      <c r="R1442" s="55">
        <f>VLOOKUP(E1442,'NI-Ric_SP'!$C:$AN,13,FALSE)</f>
        <v>0</v>
      </c>
      <c r="S1442" s="55"/>
      <c r="T1442" s="55"/>
      <c r="U1442" s="55">
        <f>VLOOKUP($E1442,'NI-Ric_SP'!$C:$AN,MID(U$1,1,2),FALSE)</f>
        <v>0</v>
      </c>
      <c r="V1442" s="55">
        <f>VLOOKUP($E1442,'NI-Ric_SP'!$C:$AN,MID(V$1,1,2),FALSE)</f>
        <v>0</v>
      </c>
      <c r="W1442" s="55">
        <f>VLOOKUP($E1442,'NI-Ric_SP'!$C:$AN,MID(W$1,1,2),FALSE)</f>
        <v>0</v>
      </c>
      <c r="X1442" s="55">
        <f>VLOOKUP($E1442,'NI-Ric_SP'!$C:$AN,MID(X$1,1,2),FALSE)</f>
        <v>0</v>
      </c>
      <c r="Y1442" s="55">
        <f>VLOOKUP($E1442,'NI-Ric_SP'!$C:$AN,MID(Y$1,1,2),FALSE)</f>
        <v>0</v>
      </c>
      <c r="Z1442" s="55">
        <f>VLOOKUP($E1442,'NI-Ric_SP'!$C:$AN,MID(Z$1,1,2),FALSE)</f>
        <v>0</v>
      </c>
      <c r="AA1442" s="55">
        <f>VLOOKUP($E1442,'NI-Ric_SP'!$C:$AN,MID(AA$1,1,2),FALSE)</f>
        <v>0</v>
      </c>
      <c r="AB1442" s="55">
        <f>VLOOKUP($E1442,'NI-Ric_SP'!$C:$AN,MID(AB$1,1,2),FALSE)</f>
        <v>0</v>
      </c>
      <c r="AC1442" s="55">
        <f>VLOOKUP($E1442,'NI-Ric_SP'!$C:$AN,MID(AC$1,1,2),FALSE)</f>
        <v>0</v>
      </c>
      <c r="AD1442" s="55">
        <f>VLOOKUP($E1442,'NI-Ric_SP'!$C:$AN,MID(AD$1,1,2),FALSE)</f>
        <v>0</v>
      </c>
      <c r="AE1442" s="55">
        <f>VLOOKUP($E1442,'NI-Ric_SP'!$C:$AN,MID(AE$1,1,2),FALSE)</f>
        <v>0</v>
      </c>
      <c r="AF1442" s="55">
        <f>VLOOKUP($E1442,'NI-Ric_SP'!$C:$AN,MID(AF$1,1,2),FALSE)</f>
        <v>0</v>
      </c>
      <c r="AG1442" s="55">
        <f>VLOOKUP($E1442,'NI-Ric_SP'!$C:$AN,MID(AG$1,1,2),FALSE)</f>
        <v>0</v>
      </c>
      <c r="AH1442" s="55">
        <f>VLOOKUP($E1442,'NI-Ric_SP'!$C:$AN,MID(AH$1,1,2),FALSE)</f>
        <v>0</v>
      </c>
      <c r="AI1442" s="55">
        <f>VLOOKUP($E1442,'NI-Ric_SP'!$C:$AN,MID(AI$1,1,2),FALSE)</f>
        <v>0</v>
      </c>
      <c r="AJ1442" s="55">
        <f>VLOOKUP($E1442,'NI-Ric_SP'!$C:$AN,MID(AJ$1,1,2),FALSE)</f>
        <v>0</v>
      </c>
      <c r="AK1442" s="55">
        <f>VLOOKUP($E1442,'NI-Ric_SP'!$C:$AN,MID(AK$1,1,2),FALSE)</f>
        <v>0</v>
      </c>
      <c r="AL1442" s="55">
        <f>VLOOKUP($E1442,'NI-Ric_SP'!$C:$AN,MID(AL$1,1,2),FALSE)</f>
        <v>0</v>
      </c>
      <c r="AM1442" s="56">
        <f>VLOOKUP($E1442,'NI-Ric_SP'!$C:$AN,MID(AM$1,1,2),FALSE)</f>
        <v>0</v>
      </c>
      <c r="AN1442" s="30" t="str">
        <f t="shared" si="22"/>
        <v>90502020020000</v>
      </c>
    </row>
    <row r="1443" spans="3:40" x14ac:dyDescent="0.25">
      <c r="C1443" s="40"/>
      <c r="D1443" s="101" t="s">
        <v>2736</v>
      </c>
      <c r="E1443" s="101" t="s">
        <v>2737</v>
      </c>
      <c r="F1443" s="102" t="s">
        <v>2750</v>
      </c>
      <c r="G1443" s="52"/>
      <c r="H1443" s="52"/>
      <c r="I1443" s="52"/>
      <c r="J1443" s="52"/>
      <c r="K1443" s="59" t="s">
        <v>79</v>
      </c>
      <c r="L1443" s="52"/>
      <c r="M1443" s="52"/>
      <c r="N1443" s="52"/>
      <c r="O1443" s="52"/>
      <c r="P1443" s="108" t="s">
        <v>1889</v>
      </c>
      <c r="Q1443" s="55">
        <f>VLOOKUP(E1443,'NI-Ric_SP'!$C:$AN,12,FALSE)</f>
        <v>0</v>
      </c>
      <c r="R1443" s="55">
        <f>VLOOKUP(E1443,'NI-Ric_SP'!$C:$AN,13,FALSE)</f>
        <v>0</v>
      </c>
      <c r="S1443" s="55"/>
      <c r="T1443" s="55"/>
      <c r="U1443" s="55">
        <f>VLOOKUP($E1443,'NI-Ric_SP'!$C:$AN,MID(U$1,1,2),FALSE)</f>
        <v>0</v>
      </c>
      <c r="V1443" s="55">
        <f>VLOOKUP($E1443,'NI-Ric_SP'!$C:$AN,MID(V$1,1,2),FALSE)</f>
        <v>0</v>
      </c>
      <c r="W1443" s="55">
        <f>VLOOKUP($E1443,'NI-Ric_SP'!$C:$AN,MID(W$1,1,2),FALSE)</f>
        <v>0</v>
      </c>
      <c r="X1443" s="55">
        <f>VLOOKUP($E1443,'NI-Ric_SP'!$C:$AN,MID(X$1,1,2),FALSE)</f>
        <v>0</v>
      </c>
      <c r="Y1443" s="55">
        <f>VLOOKUP($E1443,'NI-Ric_SP'!$C:$AN,MID(Y$1,1,2),FALSE)</f>
        <v>0</v>
      </c>
      <c r="Z1443" s="55">
        <f>VLOOKUP($E1443,'NI-Ric_SP'!$C:$AN,MID(Z$1,1,2),FALSE)</f>
        <v>0</v>
      </c>
      <c r="AA1443" s="55">
        <f>VLOOKUP($E1443,'NI-Ric_SP'!$C:$AN,MID(AA$1,1,2),FALSE)</f>
        <v>0</v>
      </c>
      <c r="AB1443" s="55">
        <f>VLOOKUP($E1443,'NI-Ric_SP'!$C:$AN,MID(AB$1,1,2),FALSE)</f>
        <v>0</v>
      </c>
      <c r="AC1443" s="55">
        <f>VLOOKUP($E1443,'NI-Ric_SP'!$C:$AN,MID(AC$1,1,2),FALSE)</f>
        <v>0</v>
      </c>
      <c r="AD1443" s="55">
        <f>VLOOKUP($E1443,'NI-Ric_SP'!$C:$AN,MID(AD$1,1,2),FALSE)</f>
        <v>0</v>
      </c>
      <c r="AE1443" s="55">
        <f>VLOOKUP($E1443,'NI-Ric_SP'!$C:$AN,MID(AE$1,1,2),FALSE)</f>
        <v>0</v>
      </c>
      <c r="AF1443" s="55">
        <f>VLOOKUP($E1443,'NI-Ric_SP'!$C:$AN,MID(AF$1,1,2),FALSE)</f>
        <v>0</v>
      </c>
      <c r="AG1443" s="55">
        <f>VLOOKUP($E1443,'NI-Ric_SP'!$C:$AN,MID(AG$1,1,2),FALSE)</f>
        <v>0</v>
      </c>
      <c r="AH1443" s="55">
        <f>VLOOKUP($E1443,'NI-Ric_SP'!$C:$AN,MID(AH$1,1,2),FALSE)</f>
        <v>0</v>
      </c>
      <c r="AI1443" s="55">
        <f>VLOOKUP($E1443,'NI-Ric_SP'!$C:$AN,MID(AI$1,1,2),FALSE)</f>
        <v>0</v>
      </c>
      <c r="AJ1443" s="55">
        <f>VLOOKUP($E1443,'NI-Ric_SP'!$C:$AN,MID(AJ$1,1,2),FALSE)</f>
        <v>0</v>
      </c>
      <c r="AK1443" s="55">
        <f>VLOOKUP($E1443,'NI-Ric_SP'!$C:$AN,MID(AK$1,1,2),FALSE)</f>
        <v>0</v>
      </c>
      <c r="AL1443" s="55">
        <f>VLOOKUP($E1443,'NI-Ric_SP'!$C:$AN,MID(AL$1,1,2),FALSE)</f>
        <v>0</v>
      </c>
      <c r="AM1443" s="56">
        <f>VLOOKUP($E1443,'NI-Ric_SP'!$C:$AN,MID(AM$1,1,2),FALSE)</f>
        <v>0</v>
      </c>
      <c r="AN1443" s="30" t="str">
        <f t="shared" si="22"/>
        <v>90502020030000</v>
      </c>
    </row>
    <row r="1444" spans="3:40" x14ac:dyDescent="0.25">
      <c r="C1444" s="40"/>
      <c r="D1444" s="101" t="s">
        <v>2738</v>
      </c>
      <c r="E1444" s="101" t="s">
        <v>2739</v>
      </c>
      <c r="F1444" s="102" t="s">
        <v>2750</v>
      </c>
      <c r="G1444" s="52"/>
      <c r="H1444" s="52"/>
      <c r="I1444" s="52"/>
      <c r="J1444" s="52"/>
      <c r="K1444" s="59" t="s">
        <v>79</v>
      </c>
      <c r="L1444" s="52"/>
      <c r="M1444" s="52"/>
      <c r="N1444" s="52"/>
      <c r="O1444" s="52"/>
      <c r="P1444" s="107" t="s">
        <v>1892</v>
      </c>
      <c r="Q1444" s="55">
        <f>VLOOKUP(E1444,'NI-Ric_SP'!$C:$AN,12,FALSE)</f>
        <v>0</v>
      </c>
      <c r="R1444" s="55">
        <f>VLOOKUP(E1444,'NI-Ric_SP'!$C:$AN,13,FALSE)</f>
        <v>0</v>
      </c>
      <c r="S1444" s="55"/>
      <c r="T1444" s="55"/>
      <c r="U1444" s="55">
        <f>VLOOKUP($E1444,'NI-Ric_SP'!$C:$AN,MID(U$1,1,2),FALSE)</f>
        <v>0</v>
      </c>
      <c r="V1444" s="55">
        <f>VLOOKUP($E1444,'NI-Ric_SP'!$C:$AN,MID(V$1,1,2),FALSE)</f>
        <v>0</v>
      </c>
      <c r="W1444" s="55">
        <f>VLOOKUP($E1444,'NI-Ric_SP'!$C:$AN,MID(W$1,1,2),FALSE)</f>
        <v>0</v>
      </c>
      <c r="X1444" s="55">
        <f>VLOOKUP($E1444,'NI-Ric_SP'!$C:$AN,MID(X$1,1,2),FALSE)</f>
        <v>0</v>
      </c>
      <c r="Y1444" s="55">
        <f>VLOOKUP($E1444,'NI-Ric_SP'!$C:$AN,MID(Y$1,1,2),FALSE)</f>
        <v>0</v>
      </c>
      <c r="Z1444" s="55">
        <f>VLOOKUP($E1444,'NI-Ric_SP'!$C:$AN,MID(Z$1,1,2),FALSE)</f>
        <v>0</v>
      </c>
      <c r="AA1444" s="55">
        <f>VLOOKUP($E1444,'NI-Ric_SP'!$C:$AN,MID(AA$1,1,2),FALSE)</f>
        <v>0</v>
      </c>
      <c r="AB1444" s="55">
        <f>VLOOKUP($E1444,'NI-Ric_SP'!$C:$AN,MID(AB$1,1,2),FALSE)</f>
        <v>0</v>
      </c>
      <c r="AC1444" s="55">
        <f>VLOOKUP($E1444,'NI-Ric_SP'!$C:$AN,MID(AC$1,1,2),FALSE)</f>
        <v>0</v>
      </c>
      <c r="AD1444" s="55">
        <f>VLOOKUP($E1444,'NI-Ric_SP'!$C:$AN,MID(AD$1,1,2),FALSE)</f>
        <v>0</v>
      </c>
      <c r="AE1444" s="55">
        <f>VLOOKUP($E1444,'NI-Ric_SP'!$C:$AN,MID(AE$1,1,2),FALSE)</f>
        <v>0</v>
      </c>
      <c r="AF1444" s="55">
        <f>VLOOKUP($E1444,'NI-Ric_SP'!$C:$AN,MID(AF$1,1,2),FALSE)</f>
        <v>0</v>
      </c>
      <c r="AG1444" s="55">
        <f>VLOOKUP($E1444,'NI-Ric_SP'!$C:$AN,MID(AG$1,1,2),FALSE)</f>
        <v>0</v>
      </c>
      <c r="AH1444" s="55">
        <f>VLOOKUP($E1444,'NI-Ric_SP'!$C:$AN,MID(AH$1,1,2),FALSE)</f>
        <v>0</v>
      </c>
      <c r="AI1444" s="55">
        <f>VLOOKUP($E1444,'NI-Ric_SP'!$C:$AN,MID(AI$1,1,2),FALSE)</f>
        <v>0</v>
      </c>
      <c r="AJ1444" s="55">
        <f>VLOOKUP($E1444,'NI-Ric_SP'!$C:$AN,MID(AJ$1,1,2),FALSE)</f>
        <v>0</v>
      </c>
      <c r="AK1444" s="55">
        <f>VLOOKUP($E1444,'NI-Ric_SP'!$C:$AN,MID(AK$1,1,2),FALSE)</f>
        <v>0</v>
      </c>
      <c r="AL1444" s="55">
        <f>VLOOKUP($E1444,'NI-Ric_SP'!$C:$AN,MID(AL$1,1,2),FALSE)</f>
        <v>0</v>
      </c>
      <c r="AM1444" s="56">
        <f>VLOOKUP($E1444,'NI-Ric_SP'!$C:$AN,MID(AM$1,1,2),FALSE)</f>
        <v>0</v>
      </c>
      <c r="AN1444" s="30" t="str">
        <f t="shared" si="22"/>
        <v>90502020040000</v>
      </c>
    </row>
    <row r="1445" spans="3:40" x14ac:dyDescent="0.25">
      <c r="C1445" s="40"/>
      <c r="D1445" s="101" t="s">
        <v>2740</v>
      </c>
      <c r="E1445" s="101" t="s">
        <v>2741</v>
      </c>
      <c r="F1445" s="102" t="s">
        <v>2750</v>
      </c>
      <c r="G1445" s="52"/>
      <c r="H1445" s="52"/>
      <c r="I1445" s="52"/>
      <c r="J1445" s="52"/>
      <c r="K1445" s="59" t="s">
        <v>111</v>
      </c>
      <c r="L1445" s="52"/>
      <c r="M1445" s="52"/>
      <c r="N1445" s="52"/>
      <c r="O1445" s="52"/>
      <c r="P1445" s="107" t="s">
        <v>1895</v>
      </c>
      <c r="Q1445" s="55">
        <f>VLOOKUP(E1445,'NI-Ric_SP'!$C:$AN,12,FALSE)</f>
        <v>0</v>
      </c>
      <c r="R1445" s="55">
        <f>VLOOKUP(E1445,'NI-Ric_SP'!$C:$AN,13,FALSE)</f>
        <v>0</v>
      </c>
      <c r="S1445" s="55"/>
      <c r="T1445" s="55"/>
      <c r="U1445" s="55">
        <f>VLOOKUP($E1445,'NI-Ric_SP'!$C:$AN,MID(U$1,1,2),FALSE)</f>
        <v>0</v>
      </c>
      <c r="V1445" s="55">
        <f>VLOOKUP($E1445,'NI-Ric_SP'!$C:$AN,MID(V$1,1,2),FALSE)</f>
        <v>0</v>
      </c>
      <c r="W1445" s="55">
        <f>VLOOKUP($E1445,'NI-Ric_SP'!$C:$AN,MID(W$1,1,2),FALSE)</f>
        <v>0</v>
      </c>
      <c r="X1445" s="55">
        <f>VLOOKUP($E1445,'NI-Ric_SP'!$C:$AN,MID(X$1,1,2),FALSE)</f>
        <v>0</v>
      </c>
      <c r="Y1445" s="55">
        <f>VLOOKUP($E1445,'NI-Ric_SP'!$C:$AN,MID(Y$1,1,2),FALSE)</f>
        <v>0</v>
      </c>
      <c r="Z1445" s="55">
        <f>VLOOKUP($E1445,'NI-Ric_SP'!$C:$AN,MID(Z$1,1,2),FALSE)</f>
        <v>0</v>
      </c>
      <c r="AA1445" s="55">
        <f>VLOOKUP($E1445,'NI-Ric_SP'!$C:$AN,MID(AA$1,1,2),FALSE)</f>
        <v>0</v>
      </c>
      <c r="AB1445" s="55">
        <f>VLOOKUP($E1445,'NI-Ric_SP'!$C:$AN,MID(AB$1,1,2),FALSE)</f>
        <v>0</v>
      </c>
      <c r="AC1445" s="55">
        <f>VLOOKUP($E1445,'NI-Ric_SP'!$C:$AN,MID(AC$1,1,2),FALSE)</f>
        <v>0</v>
      </c>
      <c r="AD1445" s="55">
        <f>VLOOKUP($E1445,'NI-Ric_SP'!$C:$AN,MID(AD$1,1,2),FALSE)</f>
        <v>0</v>
      </c>
      <c r="AE1445" s="55">
        <f>VLOOKUP($E1445,'NI-Ric_SP'!$C:$AN,MID(AE$1,1,2),FALSE)</f>
        <v>0</v>
      </c>
      <c r="AF1445" s="55">
        <f>VLOOKUP($E1445,'NI-Ric_SP'!$C:$AN,MID(AF$1,1,2),FALSE)</f>
        <v>0</v>
      </c>
      <c r="AG1445" s="55">
        <f>VLOOKUP($E1445,'NI-Ric_SP'!$C:$AN,MID(AG$1,1,2),FALSE)</f>
        <v>0</v>
      </c>
      <c r="AH1445" s="55">
        <f>VLOOKUP($E1445,'NI-Ric_SP'!$C:$AN,MID(AH$1,1,2),FALSE)</f>
        <v>0</v>
      </c>
      <c r="AI1445" s="55">
        <f>VLOOKUP($E1445,'NI-Ric_SP'!$C:$AN,MID(AI$1,1,2),FALSE)</f>
        <v>0</v>
      </c>
      <c r="AJ1445" s="55">
        <f>VLOOKUP($E1445,'NI-Ric_SP'!$C:$AN,MID(AJ$1,1,2),FALSE)</f>
        <v>0</v>
      </c>
      <c r="AK1445" s="55">
        <f>VLOOKUP($E1445,'NI-Ric_SP'!$C:$AN,MID(AK$1,1,2),FALSE)</f>
        <v>0</v>
      </c>
      <c r="AL1445" s="55">
        <f>VLOOKUP($E1445,'NI-Ric_SP'!$C:$AN,MID(AL$1,1,2),FALSE)</f>
        <v>0</v>
      </c>
      <c r="AM1445" s="56">
        <f>VLOOKUP($E1445,'NI-Ric_SP'!$C:$AN,MID(AM$1,1,2),FALSE)</f>
        <v>0</v>
      </c>
      <c r="AN1445" s="30" t="str">
        <f t="shared" si="22"/>
        <v>90503030000000</v>
      </c>
    </row>
    <row r="1446" spans="3:40" x14ac:dyDescent="0.25">
      <c r="C1446" s="40"/>
      <c r="D1446" s="101" t="s">
        <v>2742</v>
      </c>
      <c r="E1446" s="101" t="s">
        <v>2743</v>
      </c>
      <c r="F1446" s="102" t="s">
        <v>2750</v>
      </c>
      <c r="G1446" s="52"/>
      <c r="H1446" s="52"/>
      <c r="I1446" s="52"/>
      <c r="J1446" s="52"/>
      <c r="K1446" s="59" t="s">
        <v>79</v>
      </c>
      <c r="L1446" s="52"/>
      <c r="M1446" s="52"/>
      <c r="N1446" s="52"/>
      <c r="O1446" s="52"/>
      <c r="P1446" s="108" t="s">
        <v>1898</v>
      </c>
      <c r="Q1446" s="55">
        <f>VLOOKUP(E1446,'NI-Ric_SP'!$C:$AN,12,FALSE)</f>
        <v>0</v>
      </c>
      <c r="R1446" s="55">
        <f>VLOOKUP(E1446,'NI-Ric_SP'!$C:$AN,13,FALSE)</f>
        <v>0</v>
      </c>
      <c r="S1446" s="55"/>
      <c r="T1446" s="55"/>
      <c r="U1446" s="55">
        <f>VLOOKUP($E1446,'NI-Ric_SP'!$C:$AN,MID(U$1,1,2),FALSE)</f>
        <v>0</v>
      </c>
      <c r="V1446" s="55">
        <f>VLOOKUP($E1446,'NI-Ric_SP'!$C:$AN,MID(V$1,1,2),FALSE)</f>
        <v>0</v>
      </c>
      <c r="W1446" s="55">
        <f>VLOOKUP($E1446,'NI-Ric_SP'!$C:$AN,MID(W$1,1,2),FALSE)</f>
        <v>0</v>
      </c>
      <c r="X1446" s="55">
        <f>VLOOKUP($E1446,'NI-Ric_SP'!$C:$AN,MID(X$1,1,2),FALSE)</f>
        <v>0</v>
      </c>
      <c r="Y1446" s="55">
        <f>VLOOKUP($E1446,'NI-Ric_SP'!$C:$AN,MID(Y$1,1,2),FALSE)</f>
        <v>0</v>
      </c>
      <c r="Z1446" s="55">
        <f>VLOOKUP($E1446,'NI-Ric_SP'!$C:$AN,MID(Z$1,1,2),FALSE)</f>
        <v>0</v>
      </c>
      <c r="AA1446" s="55">
        <f>VLOOKUP($E1446,'NI-Ric_SP'!$C:$AN,MID(AA$1,1,2),FALSE)</f>
        <v>0</v>
      </c>
      <c r="AB1446" s="55">
        <f>VLOOKUP($E1446,'NI-Ric_SP'!$C:$AN,MID(AB$1,1,2),FALSE)</f>
        <v>0</v>
      </c>
      <c r="AC1446" s="55">
        <f>VLOOKUP($E1446,'NI-Ric_SP'!$C:$AN,MID(AC$1,1,2),FALSE)</f>
        <v>0</v>
      </c>
      <c r="AD1446" s="55">
        <f>VLOOKUP($E1446,'NI-Ric_SP'!$C:$AN,MID(AD$1,1,2),FALSE)</f>
        <v>0</v>
      </c>
      <c r="AE1446" s="55">
        <f>VLOOKUP($E1446,'NI-Ric_SP'!$C:$AN,MID(AE$1,1,2),FALSE)</f>
        <v>0</v>
      </c>
      <c r="AF1446" s="55">
        <f>VLOOKUP($E1446,'NI-Ric_SP'!$C:$AN,MID(AF$1,1,2),FALSE)</f>
        <v>0</v>
      </c>
      <c r="AG1446" s="55">
        <f>VLOOKUP($E1446,'NI-Ric_SP'!$C:$AN,MID(AG$1,1,2),FALSE)</f>
        <v>0</v>
      </c>
      <c r="AH1446" s="55">
        <f>VLOOKUP($E1446,'NI-Ric_SP'!$C:$AN,MID(AH$1,1,2),FALSE)</f>
        <v>0</v>
      </c>
      <c r="AI1446" s="55">
        <f>VLOOKUP($E1446,'NI-Ric_SP'!$C:$AN,MID(AI$1,1,2),FALSE)</f>
        <v>0</v>
      </c>
      <c r="AJ1446" s="55">
        <f>VLOOKUP($E1446,'NI-Ric_SP'!$C:$AN,MID(AJ$1,1,2),FALSE)</f>
        <v>0</v>
      </c>
      <c r="AK1446" s="55">
        <f>VLOOKUP($E1446,'NI-Ric_SP'!$C:$AN,MID(AK$1,1,2),FALSE)</f>
        <v>0</v>
      </c>
      <c r="AL1446" s="55">
        <f>VLOOKUP($E1446,'NI-Ric_SP'!$C:$AN,MID(AL$1,1,2),FALSE)</f>
        <v>0</v>
      </c>
      <c r="AM1446" s="56">
        <f>VLOOKUP($E1446,'NI-Ric_SP'!$C:$AN,MID(AM$1,1,2),FALSE)</f>
        <v>0</v>
      </c>
      <c r="AN1446" s="30" t="str">
        <f t="shared" si="22"/>
        <v>90503030010010</v>
      </c>
    </row>
    <row r="1447" spans="3:40" x14ac:dyDescent="0.25">
      <c r="C1447" s="40"/>
      <c r="D1447" s="101" t="s">
        <v>2744</v>
      </c>
      <c r="E1447" s="101" t="s">
        <v>2745</v>
      </c>
      <c r="F1447" s="102" t="s">
        <v>2750</v>
      </c>
      <c r="G1447" s="52"/>
      <c r="H1447" s="52"/>
      <c r="I1447" s="52"/>
      <c r="J1447" s="52"/>
      <c r="K1447" s="59" t="s">
        <v>79</v>
      </c>
      <c r="L1447" s="52"/>
      <c r="M1447" s="52"/>
      <c r="N1447" s="52"/>
      <c r="O1447" s="52"/>
      <c r="P1447" s="108" t="s">
        <v>1901</v>
      </c>
      <c r="Q1447" s="55">
        <f>VLOOKUP(E1447,'NI-Ric_SP'!$C:$AN,12,FALSE)</f>
        <v>0</v>
      </c>
      <c r="R1447" s="55">
        <f>VLOOKUP(E1447,'NI-Ric_SP'!$C:$AN,13,FALSE)</f>
        <v>0</v>
      </c>
      <c r="S1447" s="55"/>
      <c r="T1447" s="55"/>
      <c r="U1447" s="55">
        <f>VLOOKUP($E1447,'NI-Ric_SP'!$C:$AN,MID(U$1,1,2),FALSE)</f>
        <v>0</v>
      </c>
      <c r="V1447" s="55">
        <f>VLOOKUP($E1447,'NI-Ric_SP'!$C:$AN,MID(V$1,1,2),FALSE)</f>
        <v>0</v>
      </c>
      <c r="W1447" s="55">
        <f>VLOOKUP($E1447,'NI-Ric_SP'!$C:$AN,MID(W$1,1,2),FALSE)</f>
        <v>0</v>
      </c>
      <c r="X1447" s="55">
        <f>VLOOKUP($E1447,'NI-Ric_SP'!$C:$AN,MID(X$1,1,2),FALSE)</f>
        <v>0</v>
      </c>
      <c r="Y1447" s="55">
        <f>VLOOKUP($E1447,'NI-Ric_SP'!$C:$AN,MID(Y$1,1,2),FALSE)</f>
        <v>0</v>
      </c>
      <c r="Z1447" s="55">
        <f>VLOOKUP($E1447,'NI-Ric_SP'!$C:$AN,MID(Z$1,1,2),FALSE)</f>
        <v>0</v>
      </c>
      <c r="AA1447" s="55">
        <f>VLOOKUP($E1447,'NI-Ric_SP'!$C:$AN,MID(AA$1,1,2),FALSE)</f>
        <v>0</v>
      </c>
      <c r="AB1447" s="55">
        <f>VLOOKUP($E1447,'NI-Ric_SP'!$C:$AN,MID(AB$1,1,2),FALSE)</f>
        <v>0</v>
      </c>
      <c r="AC1447" s="55">
        <f>VLOOKUP($E1447,'NI-Ric_SP'!$C:$AN,MID(AC$1,1,2),FALSE)</f>
        <v>0</v>
      </c>
      <c r="AD1447" s="55">
        <f>VLOOKUP($E1447,'NI-Ric_SP'!$C:$AN,MID(AD$1,1,2),FALSE)</f>
        <v>0</v>
      </c>
      <c r="AE1447" s="55">
        <f>VLOOKUP($E1447,'NI-Ric_SP'!$C:$AN,MID(AE$1,1,2),FALSE)</f>
        <v>0</v>
      </c>
      <c r="AF1447" s="55">
        <f>VLOOKUP($E1447,'NI-Ric_SP'!$C:$AN,MID(AF$1,1,2),FALSE)</f>
        <v>0</v>
      </c>
      <c r="AG1447" s="55">
        <f>VLOOKUP($E1447,'NI-Ric_SP'!$C:$AN,MID(AG$1,1,2),FALSE)</f>
        <v>0</v>
      </c>
      <c r="AH1447" s="55">
        <f>VLOOKUP($E1447,'NI-Ric_SP'!$C:$AN,MID(AH$1,1,2),FALSE)</f>
        <v>0</v>
      </c>
      <c r="AI1447" s="55">
        <f>VLOOKUP($E1447,'NI-Ric_SP'!$C:$AN,MID(AI$1,1,2),FALSE)</f>
        <v>0</v>
      </c>
      <c r="AJ1447" s="55">
        <f>VLOOKUP($E1447,'NI-Ric_SP'!$C:$AN,MID(AJ$1,1,2),FALSE)</f>
        <v>0</v>
      </c>
      <c r="AK1447" s="55">
        <f>VLOOKUP($E1447,'NI-Ric_SP'!$C:$AN,MID(AK$1,1,2),FALSE)</f>
        <v>0</v>
      </c>
      <c r="AL1447" s="55">
        <f>VLOOKUP($E1447,'NI-Ric_SP'!$C:$AN,MID(AL$1,1,2),FALSE)</f>
        <v>0</v>
      </c>
      <c r="AM1447" s="56">
        <f>VLOOKUP($E1447,'NI-Ric_SP'!$C:$AN,MID(AM$1,1,2),FALSE)</f>
        <v>0</v>
      </c>
      <c r="AN1447" s="30" t="str">
        <f t="shared" si="22"/>
        <v>90503030020010</v>
      </c>
    </row>
    <row r="1448" spans="3:40" x14ac:dyDescent="0.25">
      <c r="C1448" s="40"/>
      <c r="D1448" s="101" t="s">
        <v>2746</v>
      </c>
      <c r="E1448" s="101" t="s">
        <v>2747</v>
      </c>
      <c r="F1448" s="102" t="s">
        <v>2750</v>
      </c>
      <c r="G1448" s="52"/>
      <c r="H1448" s="52"/>
      <c r="I1448" s="52"/>
      <c r="J1448" s="52"/>
      <c r="K1448" s="59" t="s">
        <v>79</v>
      </c>
      <c r="L1448" s="52"/>
      <c r="M1448" s="52"/>
      <c r="N1448" s="52"/>
      <c r="O1448" s="52"/>
      <c r="P1448" s="108" t="s">
        <v>1904</v>
      </c>
      <c r="Q1448" s="55">
        <f>VLOOKUP(E1448,'NI-Ric_SP'!$C:$AN,12,FALSE)</f>
        <v>0</v>
      </c>
      <c r="R1448" s="55">
        <f>VLOOKUP(E1448,'NI-Ric_SP'!$C:$AN,13,FALSE)</f>
        <v>0</v>
      </c>
      <c r="S1448" s="55"/>
      <c r="T1448" s="55"/>
      <c r="U1448" s="55">
        <f>VLOOKUP($E1448,'NI-Ric_SP'!$C:$AN,MID(U$1,1,2),FALSE)</f>
        <v>0</v>
      </c>
      <c r="V1448" s="55">
        <f>VLOOKUP($E1448,'NI-Ric_SP'!$C:$AN,MID(V$1,1,2),FALSE)</f>
        <v>0</v>
      </c>
      <c r="W1448" s="55">
        <f>VLOOKUP($E1448,'NI-Ric_SP'!$C:$AN,MID(W$1,1,2),FALSE)</f>
        <v>0</v>
      </c>
      <c r="X1448" s="55">
        <f>VLOOKUP($E1448,'NI-Ric_SP'!$C:$AN,MID(X$1,1,2),FALSE)</f>
        <v>0</v>
      </c>
      <c r="Y1448" s="55">
        <f>VLOOKUP($E1448,'NI-Ric_SP'!$C:$AN,MID(Y$1,1,2),FALSE)</f>
        <v>0</v>
      </c>
      <c r="Z1448" s="55">
        <f>VLOOKUP($E1448,'NI-Ric_SP'!$C:$AN,MID(Z$1,1,2),FALSE)</f>
        <v>0</v>
      </c>
      <c r="AA1448" s="55">
        <f>VLOOKUP($E1448,'NI-Ric_SP'!$C:$AN,MID(AA$1,1,2),FALSE)</f>
        <v>0</v>
      </c>
      <c r="AB1448" s="55">
        <f>VLOOKUP($E1448,'NI-Ric_SP'!$C:$AN,MID(AB$1,1,2),FALSE)</f>
        <v>0</v>
      </c>
      <c r="AC1448" s="55">
        <f>VLOOKUP($E1448,'NI-Ric_SP'!$C:$AN,MID(AC$1,1,2),FALSE)</f>
        <v>0</v>
      </c>
      <c r="AD1448" s="55">
        <f>VLOOKUP($E1448,'NI-Ric_SP'!$C:$AN,MID(AD$1,1,2),FALSE)</f>
        <v>0</v>
      </c>
      <c r="AE1448" s="55">
        <f>VLOOKUP($E1448,'NI-Ric_SP'!$C:$AN,MID(AE$1,1,2),FALSE)</f>
        <v>0</v>
      </c>
      <c r="AF1448" s="55">
        <f>VLOOKUP($E1448,'NI-Ric_SP'!$C:$AN,MID(AF$1,1,2),FALSE)</f>
        <v>0</v>
      </c>
      <c r="AG1448" s="55">
        <f>VLOOKUP($E1448,'NI-Ric_SP'!$C:$AN,MID(AG$1,1,2),FALSE)</f>
        <v>0</v>
      </c>
      <c r="AH1448" s="55">
        <f>VLOOKUP($E1448,'NI-Ric_SP'!$C:$AN,MID(AH$1,1,2),FALSE)</f>
        <v>0</v>
      </c>
      <c r="AI1448" s="55">
        <f>VLOOKUP($E1448,'NI-Ric_SP'!$C:$AN,MID(AI$1,1,2),FALSE)</f>
        <v>0</v>
      </c>
      <c r="AJ1448" s="55">
        <f>VLOOKUP($E1448,'NI-Ric_SP'!$C:$AN,MID(AJ$1,1,2),FALSE)</f>
        <v>0</v>
      </c>
      <c r="AK1448" s="55">
        <f>VLOOKUP($E1448,'NI-Ric_SP'!$C:$AN,MID(AK$1,1,2),FALSE)</f>
        <v>0</v>
      </c>
      <c r="AL1448" s="55">
        <f>VLOOKUP($E1448,'NI-Ric_SP'!$C:$AN,MID(AL$1,1,2),FALSE)</f>
        <v>0</v>
      </c>
      <c r="AM1448" s="56">
        <f>VLOOKUP($E1448,'NI-Ric_SP'!$C:$AN,MID(AM$1,1,2),FALSE)</f>
        <v>0</v>
      </c>
      <c r="AN1448" s="30" t="str">
        <f t="shared" si="22"/>
        <v>90503030030010</v>
      </c>
    </row>
    <row r="1449" spans="3:40" x14ac:dyDescent="0.25">
      <c r="C1449" s="40"/>
      <c r="D1449" s="101" t="s">
        <v>2748</v>
      </c>
      <c r="E1449" s="101" t="s">
        <v>2749</v>
      </c>
      <c r="F1449" s="102" t="s">
        <v>2750</v>
      </c>
      <c r="G1449" s="52"/>
      <c r="H1449" s="52"/>
      <c r="I1449" s="52"/>
      <c r="J1449" s="52"/>
      <c r="K1449" s="59" t="s">
        <v>79</v>
      </c>
      <c r="L1449" s="52"/>
      <c r="M1449" s="52"/>
      <c r="N1449" s="52"/>
      <c r="O1449" s="52"/>
      <c r="P1449" s="108" t="s">
        <v>1907</v>
      </c>
      <c r="Q1449" s="55">
        <f>VLOOKUP(E1449,'NI-Ric_SP'!$C:$AN,12,FALSE)</f>
        <v>0</v>
      </c>
      <c r="R1449" s="55">
        <f>VLOOKUP(E1449,'NI-Ric_SP'!$C:$AN,13,FALSE)</f>
        <v>0</v>
      </c>
      <c r="S1449" s="55"/>
      <c r="T1449" s="55"/>
      <c r="U1449" s="55">
        <f>VLOOKUP($E1449,'NI-Ric_SP'!$C:$AN,MID(U$1,1,2),FALSE)</f>
        <v>0</v>
      </c>
      <c r="V1449" s="55">
        <f>VLOOKUP($E1449,'NI-Ric_SP'!$C:$AN,MID(V$1,1,2),FALSE)</f>
        <v>0</v>
      </c>
      <c r="W1449" s="55">
        <f>VLOOKUP($E1449,'NI-Ric_SP'!$C:$AN,MID(W$1,1,2),FALSE)</f>
        <v>0</v>
      </c>
      <c r="X1449" s="55">
        <f>VLOOKUP($E1449,'NI-Ric_SP'!$C:$AN,MID(X$1,1,2),FALSE)</f>
        <v>0</v>
      </c>
      <c r="Y1449" s="55">
        <f>VLOOKUP($E1449,'NI-Ric_SP'!$C:$AN,MID(Y$1,1,2),FALSE)</f>
        <v>0</v>
      </c>
      <c r="Z1449" s="55">
        <f>VLOOKUP($E1449,'NI-Ric_SP'!$C:$AN,MID(Z$1,1,2),FALSE)</f>
        <v>0</v>
      </c>
      <c r="AA1449" s="55">
        <f>VLOOKUP($E1449,'NI-Ric_SP'!$C:$AN,MID(AA$1,1,2),FALSE)</f>
        <v>0</v>
      </c>
      <c r="AB1449" s="55">
        <f>VLOOKUP($E1449,'NI-Ric_SP'!$C:$AN,MID(AB$1,1,2),FALSE)</f>
        <v>0</v>
      </c>
      <c r="AC1449" s="55">
        <f>VLOOKUP($E1449,'NI-Ric_SP'!$C:$AN,MID(AC$1,1,2),FALSE)</f>
        <v>0</v>
      </c>
      <c r="AD1449" s="55">
        <f>VLOOKUP($E1449,'NI-Ric_SP'!$C:$AN,MID(AD$1,1,2),FALSE)</f>
        <v>0</v>
      </c>
      <c r="AE1449" s="55">
        <f>VLOOKUP($E1449,'NI-Ric_SP'!$C:$AN,MID(AE$1,1,2),FALSE)</f>
        <v>0</v>
      </c>
      <c r="AF1449" s="55">
        <f>VLOOKUP($E1449,'NI-Ric_SP'!$C:$AN,MID(AF$1,1,2),FALSE)</f>
        <v>0</v>
      </c>
      <c r="AG1449" s="55">
        <f>VLOOKUP($E1449,'NI-Ric_SP'!$C:$AN,MID(AG$1,1,2),FALSE)</f>
        <v>0</v>
      </c>
      <c r="AH1449" s="55">
        <f>VLOOKUP($E1449,'NI-Ric_SP'!$C:$AN,MID(AH$1,1,2),FALSE)</f>
        <v>0</v>
      </c>
      <c r="AI1449" s="55">
        <f>VLOOKUP($E1449,'NI-Ric_SP'!$C:$AN,MID(AI$1,1,2),FALSE)</f>
        <v>0</v>
      </c>
      <c r="AJ1449" s="55">
        <f>VLOOKUP($E1449,'NI-Ric_SP'!$C:$AN,MID(AJ$1,1,2),FALSE)</f>
        <v>0</v>
      </c>
      <c r="AK1449" s="55">
        <f>VLOOKUP($E1449,'NI-Ric_SP'!$C:$AN,MID(AK$1,1,2),FALSE)</f>
        <v>0</v>
      </c>
      <c r="AL1449" s="55">
        <f>VLOOKUP($E1449,'NI-Ric_SP'!$C:$AN,MID(AL$1,1,2),FALSE)</f>
        <v>0</v>
      </c>
      <c r="AM1449" s="56">
        <f>VLOOKUP($E1449,'NI-Ric_SP'!$C:$AN,MID(AM$1,1,2),FALSE)</f>
        <v>0</v>
      </c>
      <c r="AN1449" s="30" t="str">
        <f t="shared" si="22"/>
        <v>90503030040010</v>
      </c>
    </row>
    <row r="1450" spans="3:40" x14ac:dyDescent="0.25">
      <c r="C1450" s="40"/>
      <c r="D1450" s="121">
        <v>0</v>
      </c>
      <c r="E1450" s="121" t="s">
        <v>109</v>
      </c>
      <c r="F1450" s="122" t="s">
        <v>2758</v>
      </c>
      <c r="G1450" s="51"/>
      <c r="H1450" s="65"/>
      <c r="I1450" s="65"/>
      <c r="J1450" s="65"/>
      <c r="K1450" s="53" t="s">
        <v>111</v>
      </c>
      <c r="L1450" s="65"/>
      <c r="M1450" s="65"/>
      <c r="N1450" s="65"/>
      <c r="O1450" s="44"/>
      <c r="P1450" s="110" t="s">
        <v>112</v>
      </c>
      <c r="Q1450" s="55">
        <f>VLOOKUP(E1450,'NI-Soc_SP'!$C:$AN,12,FALSE)</f>
        <v>0</v>
      </c>
      <c r="R1450" s="55">
        <f>VLOOKUP(E1450,'NI-Soc_SP'!$C:$AN,13,FALSE)</f>
        <v>0</v>
      </c>
      <c r="S1450" s="55"/>
      <c r="T1450" s="55"/>
      <c r="U1450" s="55">
        <f>VLOOKUP($E1450,'NI-Soc_SP'!$C:$AN,MID(U$1,1,2),FALSE)</f>
        <v>0</v>
      </c>
      <c r="V1450" s="55">
        <f>VLOOKUP($E1450,'NI-Soc_SP'!$C:$AN,MID(V$1,1,2),FALSE)</f>
        <v>0</v>
      </c>
      <c r="W1450" s="55">
        <f>VLOOKUP($E1450,'NI-Soc_SP'!$C:$AN,MID(W$1,1,2),FALSE)</f>
        <v>0</v>
      </c>
      <c r="X1450" s="55" t="str">
        <f>VLOOKUP($E1450,'NI-Soc_SP'!$C:$AN,MID(X$1,1,2),FALSE)</f>
        <v/>
      </c>
      <c r="Y1450" s="55">
        <f>VLOOKUP($E1450,'NI-Soc_SP'!$C:$AN,MID(Y$1,1,2),FALSE)</f>
        <v>0</v>
      </c>
      <c r="Z1450" s="55">
        <f>VLOOKUP($E1450,'NI-Soc_SP'!$C:$AN,MID(Z$1,1,2),FALSE)</f>
        <v>0</v>
      </c>
      <c r="AA1450" s="55">
        <f>VLOOKUP($E1450,'NI-Soc_SP'!$C:$AN,MID(AA$1,1,2),FALSE)</f>
        <v>0</v>
      </c>
      <c r="AB1450" s="55">
        <f>VLOOKUP($E1450,'NI-Soc_SP'!$C:$AN,MID(AB$1,1,2),FALSE)</f>
        <v>0</v>
      </c>
      <c r="AC1450" s="55">
        <f>VLOOKUP($E1450,'NI-Soc_SP'!$C:$AN,MID(AC$1,1,2),FALSE)</f>
        <v>0</v>
      </c>
      <c r="AD1450" s="55">
        <f>VLOOKUP($E1450,'NI-Soc_SP'!$C:$AN,MID(AD$1,1,2),FALSE)</f>
        <v>0</v>
      </c>
      <c r="AE1450" s="55">
        <f>VLOOKUP($E1450,'NI-Soc_SP'!$C:$AN,MID(AE$1,1,2),FALSE)</f>
        <v>0</v>
      </c>
      <c r="AF1450" s="55">
        <f>VLOOKUP($E1450,'NI-Soc_SP'!$C:$AN,MID(AF$1,1,2),FALSE)</f>
        <v>0</v>
      </c>
      <c r="AG1450" s="55">
        <f>VLOOKUP($E1450,'NI-Soc_SP'!$C:$AN,MID(AG$1,1,2),FALSE)</f>
        <v>0</v>
      </c>
      <c r="AH1450" s="55">
        <f>VLOOKUP($E1450,'NI-Soc_SP'!$C:$AN,MID(AH$1,1,2),FALSE)</f>
        <v>0</v>
      </c>
      <c r="AI1450" s="55">
        <f>VLOOKUP($E1450,'NI-Soc_SP'!$C:$AN,MID(AI$1,1,2),FALSE)</f>
        <v>0</v>
      </c>
      <c r="AJ1450" s="55">
        <f>VLOOKUP($E1450,'NI-Soc_SP'!$C:$AN,MID(AJ$1,1,2),FALSE)</f>
        <v>0</v>
      </c>
      <c r="AK1450" s="55">
        <f>VLOOKUP($E1450,'NI-Soc_SP'!$C:$AN,MID(AK$1,1,2),FALSE)</f>
        <v>0</v>
      </c>
      <c r="AL1450" s="55">
        <f>VLOOKUP($E1450,'NI-Soc_SP'!$C:$AN,MID(AL$1,1,2),FALSE)</f>
        <v>0</v>
      </c>
      <c r="AM1450" s="56">
        <f>VLOOKUP($E1450,'NI-Soc_SP'!$C:$AN,MID(AM$1,1,2),FALSE)</f>
        <v>0</v>
      </c>
      <c r="AN1450" s="30">
        <f t="shared" si="22"/>
        <v>0</v>
      </c>
    </row>
    <row r="1451" spans="3:40" x14ac:dyDescent="0.25">
      <c r="C1451" s="40"/>
      <c r="D1451" s="121" t="s">
        <v>113</v>
      </c>
      <c r="E1451" s="121" t="s">
        <v>114</v>
      </c>
      <c r="F1451" s="122" t="s">
        <v>2758</v>
      </c>
      <c r="G1451" s="51"/>
      <c r="H1451" s="52"/>
      <c r="I1451" s="52"/>
      <c r="J1451" s="52"/>
      <c r="K1451" s="53" t="s">
        <v>111</v>
      </c>
      <c r="L1451" s="52"/>
      <c r="M1451" s="52"/>
      <c r="N1451" s="52"/>
      <c r="O1451" s="52"/>
      <c r="P1451" s="54" t="s">
        <v>115</v>
      </c>
      <c r="Q1451" s="55">
        <f>VLOOKUP(E1451,'NI-Soc_SP'!$C:$AN,12,FALSE)</f>
        <v>0</v>
      </c>
      <c r="R1451" s="55">
        <f>VLOOKUP(E1451,'NI-Soc_SP'!$C:$AN,13,FALSE)</f>
        <v>0</v>
      </c>
      <c r="S1451" s="55"/>
      <c r="T1451" s="55"/>
      <c r="U1451" s="55">
        <f>VLOOKUP($E1451,'NI-Soc_SP'!$C:$AN,MID(U$1,1,2),FALSE)</f>
        <v>0</v>
      </c>
      <c r="V1451" s="55">
        <f>VLOOKUP($E1451,'NI-Soc_SP'!$C:$AN,MID(V$1,1,2),FALSE)</f>
        <v>0</v>
      </c>
      <c r="W1451" s="55">
        <f>VLOOKUP($E1451,'NI-Soc_SP'!$C:$AN,MID(W$1,1,2),FALSE)</f>
        <v>0</v>
      </c>
      <c r="X1451" s="55">
        <f>VLOOKUP($E1451,'NI-Soc_SP'!$C:$AN,MID(X$1,1,2),FALSE)</f>
        <v>0</v>
      </c>
      <c r="Y1451" s="55">
        <f>VLOOKUP($E1451,'NI-Soc_SP'!$C:$AN,MID(Y$1,1,2),FALSE)</f>
        <v>0</v>
      </c>
      <c r="Z1451" s="55">
        <f>VLOOKUP($E1451,'NI-Soc_SP'!$C:$AN,MID(Z$1,1,2),FALSE)</f>
        <v>0</v>
      </c>
      <c r="AA1451" s="55">
        <f>VLOOKUP($E1451,'NI-Soc_SP'!$C:$AN,MID(AA$1,1,2),FALSE)</f>
        <v>0</v>
      </c>
      <c r="AB1451" s="55">
        <f>VLOOKUP($E1451,'NI-Soc_SP'!$C:$AN,MID(AB$1,1,2),FALSE)</f>
        <v>0</v>
      </c>
      <c r="AC1451" s="55">
        <f>VLOOKUP($E1451,'NI-Soc_SP'!$C:$AN,MID(AC$1,1,2),FALSE)</f>
        <v>0</v>
      </c>
      <c r="AD1451" s="55">
        <f>VLOOKUP($E1451,'NI-Soc_SP'!$C:$AN,MID(AD$1,1,2),FALSE)</f>
        <v>0</v>
      </c>
      <c r="AE1451" s="55">
        <f>VLOOKUP($E1451,'NI-Soc_SP'!$C:$AN,MID(AE$1,1,2),FALSE)</f>
        <v>0</v>
      </c>
      <c r="AF1451" s="55">
        <f>VLOOKUP($E1451,'NI-Soc_SP'!$C:$AN,MID(AF$1,1,2),FALSE)</f>
        <v>0</v>
      </c>
      <c r="AG1451" s="55">
        <f>VLOOKUP($E1451,'NI-Soc_SP'!$C:$AN,MID(AG$1,1,2),FALSE)</f>
        <v>0</v>
      </c>
      <c r="AH1451" s="55">
        <f>VLOOKUP($E1451,'NI-Soc_SP'!$C:$AN,MID(AH$1,1,2),FALSE)</f>
        <v>0</v>
      </c>
      <c r="AI1451" s="55">
        <f>VLOOKUP($E1451,'NI-Soc_SP'!$C:$AN,MID(AI$1,1,2),FALSE)</f>
        <v>0</v>
      </c>
      <c r="AJ1451" s="55">
        <f>VLOOKUP($E1451,'NI-Soc_SP'!$C:$AN,MID(AJ$1,1,2),FALSE)</f>
        <v>0</v>
      </c>
      <c r="AK1451" s="55">
        <f>VLOOKUP($E1451,'NI-Soc_SP'!$C:$AN,MID(AK$1,1,2),FALSE)</f>
        <v>0</v>
      </c>
      <c r="AL1451" s="55">
        <f>VLOOKUP($E1451,'NI-Soc_SP'!$C:$AN,MID(AL$1,1,2),FALSE)</f>
        <v>0</v>
      </c>
      <c r="AM1451" s="56">
        <f>VLOOKUP($E1451,'NI-Soc_SP'!$C:$AN,MID(AM$1,1,2),FALSE)</f>
        <v>0</v>
      </c>
      <c r="AN1451" s="30" t="str">
        <f t="shared" si="22"/>
        <v>10000000000000</v>
      </c>
    </row>
    <row r="1452" spans="3:40" x14ac:dyDescent="0.25">
      <c r="C1452" s="40"/>
      <c r="D1452" s="121" t="s">
        <v>116</v>
      </c>
      <c r="E1452" s="121" t="s">
        <v>117</v>
      </c>
      <c r="F1452" s="122" t="s">
        <v>2758</v>
      </c>
      <c r="G1452" s="52"/>
      <c r="H1452" s="52"/>
      <c r="I1452" s="52"/>
      <c r="J1452" s="52"/>
      <c r="K1452" s="59" t="s">
        <v>111</v>
      </c>
      <c r="L1452" s="52"/>
      <c r="M1452" s="52"/>
      <c r="N1452" s="52"/>
      <c r="O1452" s="52"/>
      <c r="P1452" s="60" t="s">
        <v>118</v>
      </c>
      <c r="Q1452" s="55">
        <f>VLOOKUP(E1452,'NI-Soc_SP'!$C:$AN,12,FALSE)</f>
        <v>0</v>
      </c>
      <c r="R1452" s="55">
        <f>VLOOKUP(E1452,'NI-Soc_SP'!$C:$AN,13,FALSE)</f>
        <v>0</v>
      </c>
      <c r="S1452" s="55"/>
      <c r="T1452" s="55"/>
      <c r="U1452" s="55">
        <f>VLOOKUP($E1452,'NI-Soc_SP'!$C:$AN,MID(U$1,1,2),FALSE)</f>
        <v>0</v>
      </c>
      <c r="V1452" s="55">
        <f>VLOOKUP($E1452,'NI-Soc_SP'!$C:$AN,MID(V$1,1,2),FALSE)</f>
        <v>0</v>
      </c>
      <c r="W1452" s="55">
        <f>VLOOKUP($E1452,'NI-Soc_SP'!$C:$AN,MID(W$1,1,2),FALSE)</f>
        <v>0</v>
      </c>
      <c r="X1452" s="55" t="str">
        <f>VLOOKUP($E1452,'NI-Soc_SP'!$C:$AN,MID(X$1,1,2),FALSE)</f>
        <v/>
      </c>
      <c r="Y1452" s="55">
        <f>VLOOKUP($E1452,'NI-Soc_SP'!$C:$AN,MID(Y$1,1,2),FALSE)</f>
        <v>0</v>
      </c>
      <c r="Z1452" s="55">
        <f>VLOOKUP($E1452,'NI-Soc_SP'!$C:$AN,MID(Z$1,1,2),FALSE)</f>
        <v>0</v>
      </c>
      <c r="AA1452" s="55">
        <f>VLOOKUP($E1452,'NI-Soc_SP'!$C:$AN,MID(AA$1,1,2),FALSE)</f>
        <v>0</v>
      </c>
      <c r="AB1452" s="55">
        <f>VLOOKUP($E1452,'NI-Soc_SP'!$C:$AN,MID(AB$1,1,2),FALSE)</f>
        <v>0</v>
      </c>
      <c r="AC1452" s="55">
        <f>VLOOKUP($E1452,'NI-Soc_SP'!$C:$AN,MID(AC$1,1,2),FALSE)</f>
        <v>0</v>
      </c>
      <c r="AD1452" s="55">
        <f>VLOOKUP($E1452,'NI-Soc_SP'!$C:$AN,MID(AD$1,1,2),FALSE)</f>
        <v>0</v>
      </c>
      <c r="AE1452" s="55">
        <f>VLOOKUP($E1452,'NI-Soc_SP'!$C:$AN,MID(AE$1,1,2),FALSE)</f>
        <v>0</v>
      </c>
      <c r="AF1452" s="55">
        <f>VLOOKUP($E1452,'NI-Soc_SP'!$C:$AN,MID(AF$1,1,2),FALSE)</f>
        <v>0</v>
      </c>
      <c r="AG1452" s="55">
        <f>VLOOKUP($E1452,'NI-Soc_SP'!$C:$AN,MID(AG$1,1,2),FALSE)</f>
        <v>0</v>
      </c>
      <c r="AH1452" s="55">
        <f>VLOOKUP($E1452,'NI-Soc_SP'!$C:$AN,MID(AH$1,1,2),FALSE)</f>
        <v>0</v>
      </c>
      <c r="AI1452" s="55" t="str">
        <f>VLOOKUP($E1452,'NI-Soc_SP'!$C:$AN,MID(AI$1,1,2),FALSE)</f>
        <v>Quadratura Giroconti imm. immat. in corso concluse</v>
      </c>
      <c r="AJ1452" s="55">
        <f>VLOOKUP($E1452,'NI-Soc_SP'!$C:$AN,MID(AJ$1,1,2),FALSE)</f>
        <v>0</v>
      </c>
      <c r="AK1452" s="55">
        <f>VLOOKUP($E1452,'NI-Soc_SP'!$C:$AN,MID(AK$1,1,2),FALSE)</f>
        <v>0</v>
      </c>
      <c r="AL1452" s="55">
        <f>VLOOKUP($E1452,'NI-Soc_SP'!$C:$AN,MID(AL$1,1,2),FALSE)</f>
        <v>0</v>
      </c>
      <c r="AM1452" s="56">
        <f>VLOOKUP($E1452,'NI-Soc_SP'!$C:$AN,MID(AM$1,1,2),FALSE)</f>
        <v>0</v>
      </c>
      <c r="AN1452" s="30" t="str">
        <f t="shared" si="22"/>
        <v>10100000000000</v>
      </c>
    </row>
    <row r="1453" spans="3:40" x14ac:dyDescent="0.25">
      <c r="C1453" s="40"/>
      <c r="D1453" s="121" t="s">
        <v>119</v>
      </c>
      <c r="E1453" s="121" t="s">
        <v>120</v>
      </c>
      <c r="F1453" s="122" t="s">
        <v>2758</v>
      </c>
      <c r="G1453" s="52"/>
      <c r="H1453" s="52"/>
      <c r="I1453" s="52"/>
      <c r="J1453" s="52"/>
      <c r="K1453" s="59" t="s">
        <v>111</v>
      </c>
      <c r="L1453" s="52"/>
      <c r="M1453" s="52"/>
      <c r="N1453" s="52"/>
      <c r="O1453" s="61" t="s">
        <v>121</v>
      </c>
      <c r="P1453" s="60" t="s">
        <v>122</v>
      </c>
      <c r="Q1453" s="55">
        <f>VLOOKUP(E1453,'NI-Soc_SP'!$C:$AN,12,FALSE)</f>
        <v>0</v>
      </c>
      <c r="R1453" s="55">
        <f>VLOOKUP(E1453,'NI-Soc_SP'!$C:$AN,13,FALSE)</f>
        <v>0</v>
      </c>
      <c r="S1453" s="55"/>
      <c r="T1453" s="55"/>
      <c r="U1453" s="55">
        <f>VLOOKUP($E1453,'NI-Soc_SP'!$C:$AN,MID(U$1,1,2),FALSE)</f>
        <v>0</v>
      </c>
      <c r="V1453" s="55">
        <f>VLOOKUP($E1453,'NI-Soc_SP'!$C:$AN,MID(V$1,1,2),FALSE)</f>
        <v>0</v>
      </c>
      <c r="W1453" s="55">
        <f>VLOOKUP($E1453,'NI-Soc_SP'!$C:$AN,MID(W$1,1,2),FALSE)</f>
        <v>0</v>
      </c>
      <c r="X1453" s="55">
        <f>VLOOKUP($E1453,'NI-Soc_SP'!$C:$AN,MID(X$1,1,2),FALSE)</f>
        <v>0</v>
      </c>
      <c r="Y1453" s="55">
        <f>VLOOKUP($E1453,'NI-Soc_SP'!$C:$AN,MID(Y$1,1,2),FALSE)</f>
        <v>0</v>
      </c>
      <c r="Z1453" s="55">
        <f>VLOOKUP($E1453,'NI-Soc_SP'!$C:$AN,MID(Z$1,1,2),FALSE)</f>
        <v>0</v>
      </c>
      <c r="AA1453" s="55">
        <f>VLOOKUP($E1453,'NI-Soc_SP'!$C:$AN,MID(AA$1,1,2),FALSE)</f>
        <v>0</v>
      </c>
      <c r="AB1453" s="55">
        <f>VLOOKUP($E1453,'NI-Soc_SP'!$C:$AN,MID(AB$1,1,2),FALSE)</f>
        <v>0</v>
      </c>
      <c r="AC1453" s="55">
        <f>VLOOKUP($E1453,'NI-Soc_SP'!$C:$AN,MID(AC$1,1,2),FALSE)</f>
        <v>0</v>
      </c>
      <c r="AD1453" s="55">
        <f>VLOOKUP($E1453,'NI-Soc_SP'!$C:$AN,MID(AD$1,1,2),FALSE)</f>
        <v>0</v>
      </c>
      <c r="AE1453" s="55">
        <f>VLOOKUP($E1453,'NI-Soc_SP'!$C:$AN,MID(AE$1,1,2),FALSE)</f>
        <v>0</v>
      </c>
      <c r="AF1453" s="55">
        <f>VLOOKUP($E1453,'NI-Soc_SP'!$C:$AN,MID(AF$1,1,2),FALSE)</f>
        <v>0</v>
      </c>
      <c r="AG1453" s="55">
        <f>VLOOKUP($E1453,'NI-Soc_SP'!$C:$AN,MID(AG$1,1,2),FALSE)</f>
        <v>0</v>
      </c>
      <c r="AH1453" s="55">
        <f>VLOOKUP($E1453,'NI-Soc_SP'!$C:$AN,MID(AH$1,1,2),FALSE)</f>
        <v>0</v>
      </c>
      <c r="AI1453" s="55">
        <f>VLOOKUP($E1453,'NI-Soc_SP'!$C:$AN,MID(AI$1,1,2),FALSE)</f>
        <v>0</v>
      </c>
      <c r="AJ1453" s="55">
        <f>VLOOKUP($E1453,'NI-Soc_SP'!$C:$AN,MID(AJ$1,1,2),FALSE)</f>
        <v>0</v>
      </c>
      <c r="AK1453" s="55">
        <f>VLOOKUP($E1453,'NI-Soc_SP'!$C:$AN,MID(AK$1,1,2),FALSE)</f>
        <v>0</v>
      </c>
      <c r="AL1453" s="55">
        <f>VLOOKUP($E1453,'NI-Soc_SP'!$C:$AN,MID(AL$1,1,2),FALSE)</f>
        <v>0</v>
      </c>
      <c r="AM1453" s="56">
        <f>VLOOKUP($E1453,'NI-Soc_SP'!$C:$AN,MID(AM$1,1,2),FALSE)</f>
        <v>0</v>
      </c>
      <c r="AN1453" s="30" t="str">
        <f t="shared" si="22"/>
        <v>10101000000000</v>
      </c>
    </row>
    <row r="1454" spans="3:40" x14ac:dyDescent="0.25">
      <c r="C1454" s="40"/>
      <c r="D1454" s="121" t="s">
        <v>123</v>
      </c>
      <c r="E1454" s="121" t="s">
        <v>124</v>
      </c>
      <c r="F1454" s="122" t="s">
        <v>2758</v>
      </c>
      <c r="G1454" s="52"/>
      <c r="H1454" s="52"/>
      <c r="I1454" s="52" t="s">
        <v>125</v>
      </c>
      <c r="J1454" s="52"/>
      <c r="K1454" s="59" t="s">
        <v>111</v>
      </c>
      <c r="L1454" s="62" t="s">
        <v>126</v>
      </c>
      <c r="M1454" s="52"/>
      <c r="N1454" s="52"/>
      <c r="O1454" s="52"/>
      <c r="P1454" s="54" t="s">
        <v>127</v>
      </c>
      <c r="Q1454" s="55">
        <f>VLOOKUP(E1454,'NI-Soc_SP'!$C:$AN,12,FALSE)</f>
        <v>0</v>
      </c>
      <c r="R1454" s="55">
        <f>VLOOKUP(E1454,'NI-Soc_SP'!$C:$AN,13,FALSE)</f>
        <v>0</v>
      </c>
      <c r="S1454" s="55"/>
      <c r="T1454" s="55"/>
      <c r="U1454" s="55">
        <f>VLOOKUP($E1454,'NI-Soc_SP'!$C:$AN,MID(U$1,1,2),FALSE)</f>
        <v>0</v>
      </c>
      <c r="V1454" s="55">
        <f>VLOOKUP($E1454,'NI-Soc_SP'!$C:$AN,MID(V$1,1,2),FALSE)</f>
        <v>0</v>
      </c>
      <c r="W1454" s="55">
        <f>VLOOKUP($E1454,'NI-Soc_SP'!$C:$AN,MID(W$1,1,2),FALSE)</f>
        <v>0</v>
      </c>
      <c r="X1454" s="55">
        <f>VLOOKUP($E1454,'NI-Soc_SP'!$C:$AN,MID(X$1,1,2),FALSE)</f>
        <v>0</v>
      </c>
      <c r="Y1454" s="55">
        <f>VLOOKUP($E1454,'NI-Soc_SP'!$C:$AN,MID(Y$1,1,2),FALSE)</f>
        <v>0</v>
      </c>
      <c r="Z1454" s="55">
        <f>VLOOKUP($E1454,'NI-Soc_SP'!$C:$AN,MID(Z$1,1,2),FALSE)</f>
        <v>0</v>
      </c>
      <c r="AA1454" s="55">
        <f>VLOOKUP($E1454,'NI-Soc_SP'!$C:$AN,MID(AA$1,1,2),FALSE)</f>
        <v>0</v>
      </c>
      <c r="AB1454" s="55">
        <f>VLOOKUP($E1454,'NI-Soc_SP'!$C:$AN,MID(AB$1,1,2),FALSE)</f>
        <v>0</v>
      </c>
      <c r="AC1454" s="55">
        <f>VLOOKUP($E1454,'NI-Soc_SP'!$C:$AN,MID(AC$1,1,2),FALSE)</f>
        <v>0</v>
      </c>
      <c r="AD1454" s="55">
        <f>VLOOKUP($E1454,'NI-Soc_SP'!$C:$AN,MID(AD$1,1,2),FALSE)</f>
        <v>0</v>
      </c>
      <c r="AE1454" s="55">
        <f>VLOOKUP($E1454,'NI-Soc_SP'!$C:$AN,MID(AE$1,1,2),FALSE)</f>
        <v>0</v>
      </c>
      <c r="AF1454" s="55">
        <f>VLOOKUP($E1454,'NI-Soc_SP'!$C:$AN,MID(AF$1,1,2),FALSE)</f>
        <v>0</v>
      </c>
      <c r="AG1454" s="55">
        <f>VLOOKUP($E1454,'NI-Soc_SP'!$C:$AN,MID(AG$1,1,2),FALSE)</f>
        <v>0</v>
      </c>
      <c r="AH1454" s="55">
        <f>VLOOKUP($E1454,'NI-Soc_SP'!$C:$AN,MID(AH$1,1,2),FALSE)</f>
        <v>0</v>
      </c>
      <c r="AI1454" s="55">
        <f>VLOOKUP($E1454,'NI-Soc_SP'!$C:$AN,MID(AI$1,1,2),FALSE)</f>
        <v>0</v>
      </c>
      <c r="AJ1454" s="55">
        <f>VLOOKUP($E1454,'NI-Soc_SP'!$C:$AN,MID(AJ$1,1,2),FALSE)</f>
        <v>0</v>
      </c>
      <c r="AK1454" s="55">
        <f>VLOOKUP($E1454,'NI-Soc_SP'!$C:$AN,MID(AK$1,1,2),FALSE)</f>
        <v>0</v>
      </c>
      <c r="AL1454" s="55">
        <f>VLOOKUP($E1454,'NI-Soc_SP'!$C:$AN,MID(AL$1,1,2),FALSE)</f>
        <v>0</v>
      </c>
      <c r="AM1454" s="56">
        <f>VLOOKUP($E1454,'NI-Soc_SP'!$C:$AN,MID(AM$1,1,2),FALSE)</f>
        <v>0</v>
      </c>
      <c r="AN1454" s="30" t="str">
        <f t="shared" si="22"/>
        <v>10101010000000</v>
      </c>
    </row>
    <row r="1455" spans="3:40" x14ac:dyDescent="0.25">
      <c r="C1455" s="40"/>
      <c r="D1455" s="121" t="s">
        <v>128</v>
      </c>
      <c r="E1455" s="121" t="s">
        <v>129</v>
      </c>
      <c r="F1455" s="122" t="s">
        <v>2758</v>
      </c>
      <c r="G1455" s="52"/>
      <c r="H1455" s="52"/>
      <c r="I1455" s="52"/>
      <c r="J1455" s="52"/>
      <c r="K1455" s="59" t="s">
        <v>79</v>
      </c>
      <c r="L1455" s="52"/>
      <c r="M1455" s="52"/>
      <c r="N1455" s="52"/>
      <c r="O1455" s="52"/>
      <c r="P1455" s="63" t="s">
        <v>130</v>
      </c>
      <c r="Q1455" s="55">
        <f>VLOOKUP(E1455,'NI-Soc_SP'!$C:$AN,12,FALSE)</f>
        <v>0</v>
      </c>
      <c r="R1455" s="55">
        <f>VLOOKUP(E1455,'NI-Soc_SP'!$C:$AN,13,FALSE)</f>
        <v>0</v>
      </c>
      <c r="S1455" s="55"/>
      <c r="T1455" s="55"/>
      <c r="U1455" s="55">
        <f>VLOOKUP($E1455,'NI-Soc_SP'!$C:$AN,MID(U$1,1,2),FALSE)</f>
        <v>0</v>
      </c>
      <c r="V1455" s="55">
        <f>VLOOKUP($E1455,'NI-Soc_SP'!$C:$AN,MID(V$1,1,2),FALSE)</f>
        <v>0</v>
      </c>
      <c r="W1455" s="55">
        <f>VLOOKUP($E1455,'NI-Soc_SP'!$C:$AN,MID(W$1,1,2),FALSE)</f>
        <v>0</v>
      </c>
      <c r="X1455" s="55">
        <f>VLOOKUP($E1455,'NI-Soc_SP'!$C:$AN,MID(X$1,1,2),FALSE)</f>
        <v>0</v>
      </c>
      <c r="Y1455" s="55">
        <f>VLOOKUP($E1455,'NI-Soc_SP'!$C:$AN,MID(Y$1,1,2),FALSE)</f>
        <v>0</v>
      </c>
      <c r="Z1455" s="55">
        <f>VLOOKUP($E1455,'NI-Soc_SP'!$C:$AN,MID(Z$1,1,2),FALSE)</f>
        <v>0</v>
      </c>
      <c r="AA1455" s="55">
        <f>VLOOKUP($E1455,'NI-Soc_SP'!$C:$AN,MID(AA$1,1,2),FALSE)</f>
        <v>0</v>
      </c>
      <c r="AB1455" s="55">
        <f>VLOOKUP($E1455,'NI-Soc_SP'!$C:$AN,MID(AB$1,1,2),FALSE)</f>
        <v>0</v>
      </c>
      <c r="AC1455" s="55">
        <f>VLOOKUP($E1455,'NI-Soc_SP'!$C:$AN,MID(AC$1,1,2),FALSE)</f>
        <v>0</v>
      </c>
      <c r="AD1455" s="55">
        <f>VLOOKUP($E1455,'NI-Soc_SP'!$C:$AN,MID(AD$1,1,2),FALSE)</f>
        <v>0</v>
      </c>
      <c r="AE1455" s="55">
        <f>VLOOKUP($E1455,'NI-Soc_SP'!$C:$AN,MID(AE$1,1,2),FALSE)</f>
        <v>0</v>
      </c>
      <c r="AF1455" s="55">
        <f>VLOOKUP($E1455,'NI-Soc_SP'!$C:$AN,MID(AF$1,1,2),FALSE)</f>
        <v>0</v>
      </c>
      <c r="AG1455" s="55">
        <f>VLOOKUP($E1455,'NI-Soc_SP'!$C:$AN,MID(AG$1,1,2),FALSE)</f>
        <v>0</v>
      </c>
      <c r="AH1455" s="55">
        <f>VLOOKUP($E1455,'NI-Soc_SP'!$C:$AN,MID(AH$1,1,2),FALSE)</f>
        <v>0</v>
      </c>
      <c r="AI1455" s="55">
        <f>VLOOKUP($E1455,'NI-Soc_SP'!$C:$AN,MID(AI$1,1,2),FALSE)</f>
        <v>0</v>
      </c>
      <c r="AJ1455" s="55">
        <f>VLOOKUP($E1455,'NI-Soc_SP'!$C:$AN,MID(AJ$1,1,2),FALSE)</f>
        <v>0</v>
      </c>
      <c r="AK1455" s="55">
        <f>VLOOKUP($E1455,'NI-Soc_SP'!$C:$AN,MID(AK$1,1,2),FALSE)</f>
        <v>0</v>
      </c>
      <c r="AL1455" s="55">
        <f>VLOOKUP($E1455,'NI-Soc_SP'!$C:$AN,MID(AL$1,1,2),FALSE)</f>
        <v>0</v>
      </c>
      <c r="AM1455" s="56">
        <f>VLOOKUP($E1455,'NI-Soc_SP'!$C:$AN,MID(AM$1,1,2),FALSE)</f>
        <v>0</v>
      </c>
      <c r="AN1455" s="30" t="str">
        <f t="shared" si="22"/>
        <v>10101010010000</v>
      </c>
    </row>
    <row r="1456" spans="3:40" x14ac:dyDescent="0.25">
      <c r="C1456" s="40"/>
      <c r="D1456" s="121" t="s">
        <v>131</v>
      </c>
      <c r="E1456" s="121" t="s">
        <v>132</v>
      </c>
      <c r="F1456" s="122" t="s">
        <v>2758</v>
      </c>
      <c r="G1456" s="52"/>
      <c r="H1456" s="52"/>
      <c r="I1456" s="52"/>
      <c r="J1456" s="52"/>
      <c r="K1456" s="59" t="s">
        <v>79</v>
      </c>
      <c r="L1456" s="52"/>
      <c r="M1456" s="52"/>
      <c r="N1456" s="52"/>
      <c r="O1456" s="52"/>
      <c r="P1456" s="63" t="s">
        <v>133</v>
      </c>
      <c r="Q1456" s="55">
        <f>VLOOKUP(E1456,'NI-Soc_SP'!$C:$AN,12,FALSE)</f>
        <v>0</v>
      </c>
      <c r="R1456" s="55">
        <f>VLOOKUP(E1456,'NI-Soc_SP'!$C:$AN,13,FALSE)</f>
        <v>0</v>
      </c>
      <c r="S1456" s="55"/>
      <c r="T1456" s="55"/>
      <c r="U1456" s="55">
        <f>VLOOKUP($E1456,'NI-Soc_SP'!$C:$AN,MID(U$1,1,2),FALSE)</f>
        <v>0</v>
      </c>
      <c r="V1456" s="55">
        <f>VLOOKUP($E1456,'NI-Soc_SP'!$C:$AN,MID(V$1,1,2),FALSE)</f>
        <v>0</v>
      </c>
      <c r="W1456" s="55">
        <f>VLOOKUP($E1456,'NI-Soc_SP'!$C:$AN,MID(W$1,1,2),FALSE)</f>
        <v>0</v>
      </c>
      <c r="X1456" s="55">
        <f>VLOOKUP($E1456,'NI-Soc_SP'!$C:$AN,MID(X$1,1,2),FALSE)</f>
        <v>0</v>
      </c>
      <c r="Y1456" s="55">
        <f>VLOOKUP($E1456,'NI-Soc_SP'!$C:$AN,MID(Y$1,1,2),FALSE)</f>
        <v>0</v>
      </c>
      <c r="Z1456" s="55">
        <f>VLOOKUP($E1456,'NI-Soc_SP'!$C:$AN,MID(Z$1,1,2),FALSE)</f>
        <v>0</v>
      </c>
      <c r="AA1456" s="55">
        <f>VLOOKUP($E1456,'NI-Soc_SP'!$C:$AN,MID(AA$1,1,2),FALSE)</f>
        <v>0</v>
      </c>
      <c r="AB1456" s="55">
        <f>VLOOKUP($E1456,'NI-Soc_SP'!$C:$AN,MID(AB$1,1,2),FALSE)</f>
        <v>0</v>
      </c>
      <c r="AC1456" s="55">
        <f>VLOOKUP($E1456,'NI-Soc_SP'!$C:$AN,MID(AC$1,1,2),FALSE)</f>
        <v>0</v>
      </c>
      <c r="AD1456" s="55">
        <f>VLOOKUP($E1456,'NI-Soc_SP'!$C:$AN,MID(AD$1,1,2),FALSE)</f>
        <v>0</v>
      </c>
      <c r="AE1456" s="55">
        <f>VLOOKUP($E1456,'NI-Soc_SP'!$C:$AN,MID(AE$1,1,2),FALSE)</f>
        <v>0</v>
      </c>
      <c r="AF1456" s="55">
        <f>VLOOKUP($E1456,'NI-Soc_SP'!$C:$AN,MID(AF$1,1,2),FALSE)</f>
        <v>0</v>
      </c>
      <c r="AG1456" s="55">
        <f>VLOOKUP($E1456,'NI-Soc_SP'!$C:$AN,MID(AG$1,1,2),FALSE)</f>
        <v>0</v>
      </c>
      <c r="AH1456" s="55">
        <f>VLOOKUP($E1456,'NI-Soc_SP'!$C:$AN,MID(AH$1,1,2),FALSE)</f>
        <v>0</v>
      </c>
      <c r="AI1456" s="55">
        <f>VLOOKUP($E1456,'NI-Soc_SP'!$C:$AN,MID(AI$1,1,2),FALSE)</f>
        <v>0</v>
      </c>
      <c r="AJ1456" s="55">
        <f>VLOOKUP($E1456,'NI-Soc_SP'!$C:$AN,MID(AJ$1,1,2),FALSE)</f>
        <v>0</v>
      </c>
      <c r="AK1456" s="55">
        <f>VLOOKUP($E1456,'NI-Soc_SP'!$C:$AN,MID(AK$1,1,2),FALSE)</f>
        <v>0</v>
      </c>
      <c r="AL1456" s="55">
        <f>VLOOKUP($E1456,'NI-Soc_SP'!$C:$AN,MID(AL$1,1,2),FALSE)</f>
        <v>0</v>
      </c>
      <c r="AM1456" s="56">
        <f>VLOOKUP($E1456,'NI-Soc_SP'!$C:$AN,MID(AM$1,1,2),FALSE)</f>
        <v>0</v>
      </c>
      <c r="AN1456" s="30" t="str">
        <f t="shared" si="22"/>
        <v>10101010020000</v>
      </c>
    </row>
    <row r="1457" spans="3:40" x14ac:dyDescent="0.25">
      <c r="C1457" s="40"/>
      <c r="D1457" s="121" t="s">
        <v>134</v>
      </c>
      <c r="E1457" s="121" t="s">
        <v>135</v>
      </c>
      <c r="F1457" s="122" t="s">
        <v>2758</v>
      </c>
      <c r="G1457" s="52"/>
      <c r="H1457" s="52"/>
      <c r="I1457" s="52" t="s">
        <v>136</v>
      </c>
      <c r="J1457" s="52"/>
      <c r="K1457" s="59" t="s">
        <v>111</v>
      </c>
      <c r="L1457" s="62" t="s">
        <v>137</v>
      </c>
      <c r="M1457" s="52"/>
      <c r="N1457" s="52"/>
      <c r="O1457" s="52"/>
      <c r="P1457" s="54" t="s">
        <v>138</v>
      </c>
      <c r="Q1457" s="55">
        <f>VLOOKUP(E1457,'NI-Soc_SP'!$C:$AN,12,FALSE)</f>
        <v>0</v>
      </c>
      <c r="R1457" s="55">
        <f>VLOOKUP(E1457,'NI-Soc_SP'!$C:$AN,13,FALSE)</f>
        <v>0</v>
      </c>
      <c r="S1457" s="55"/>
      <c r="T1457" s="55"/>
      <c r="U1457" s="55">
        <f>VLOOKUP($E1457,'NI-Soc_SP'!$C:$AN,MID(U$1,1,2),FALSE)</f>
        <v>0</v>
      </c>
      <c r="V1457" s="55">
        <f>VLOOKUP($E1457,'NI-Soc_SP'!$C:$AN,MID(V$1,1,2),FALSE)</f>
        <v>0</v>
      </c>
      <c r="W1457" s="55">
        <f>VLOOKUP($E1457,'NI-Soc_SP'!$C:$AN,MID(W$1,1,2),FALSE)</f>
        <v>0</v>
      </c>
      <c r="X1457" s="55">
        <f>VLOOKUP($E1457,'NI-Soc_SP'!$C:$AN,MID(X$1,1,2),FALSE)</f>
        <v>0</v>
      </c>
      <c r="Y1457" s="55">
        <f>VLOOKUP($E1457,'NI-Soc_SP'!$C:$AN,MID(Y$1,1,2),FALSE)</f>
        <v>0</v>
      </c>
      <c r="Z1457" s="55">
        <f>VLOOKUP($E1457,'NI-Soc_SP'!$C:$AN,MID(Z$1,1,2),FALSE)</f>
        <v>0</v>
      </c>
      <c r="AA1457" s="55">
        <f>VLOOKUP($E1457,'NI-Soc_SP'!$C:$AN,MID(AA$1,1,2),FALSE)</f>
        <v>0</v>
      </c>
      <c r="AB1457" s="55">
        <f>VLOOKUP($E1457,'NI-Soc_SP'!$C:$AN,MID(AB$1,1,2),FALSE)</f>
        <v>0</v>
      </c>
      <c r="AC1457" s="55">
        <f>VLOOKUP($E1457,'NI-Soc_SP'!$C:$AN,MID(AC$1,1,2),FALSE)</f>
        <v>0</v>
      </c>
      <c r="AD1457" s="55">
        <f>VLOOKUP($E1457,'NI-Soc_SP'!$C:$AN,MID(AD$1,1,2),FALSE)</f>
        <v>0</v>
      </c>
      <c r="AE1457" s="55">
        <f>VLOOKUP($E1457,'NI-Soc_SP'!$C:$AN,MID(AE$1,1,2),FALSE)</f>
        <v>0</v>
      </c>
      <c r="AF1457" s="55">
        <f>VLOOKUP($E1457,'NI-Soc_SP'!$C:$AN,MID(AF$1,1,2),FALSE)</f>
        <v>0</v>
      </c>
      <c r="AG1457" s="55">
        <f>VLOOKUP($E1457,'NI-Soc_SP'!$C:$AN,MID(AG$1,1,2),FALSE)</f>
        <v>0</v>
      </c>
      <c r="AH1457" s="55">
        <f>VLOOKUP($E1457,'NI-Soc_SP'!$C:$AN,MID(AH$1,1,2),FALSE)</f>
        <v>0</v>
      </c>
      <c r="AI1457" s="55">
        <f>VLOOKUP($E1457,'NI-Soc_SP'!$C:$AN,MID(AI$1,1,2),FALSE)</f>
        <v>0</v>
      </c>
      <c r="AJ1457" s="55">
        <f>VLOOKUP($E1457,'NI-Soc_SP'!$C:$AN,MID(AJ$1,1,2),FALSE)</f>
        <v>0</v>
      </c>
      <c r="AK1457" s="55">
        <f>VLOOKUP($E1457,'NI-Soc_SP'!$C:$AN,MID(AK$1,1,2),FALSE)</f>
        <v>0</v>
      </c>
      <c r="AL1457" s="55">
        <f>VLOOKUP($E1457,'NI-Soc_SP'!$C:$AN,MID(AL$1,1,2),FALSE)</f>
        <v>0</v>
      </c>
      <c r="AM1457" s="56">
        <f>VLOOKUP($E1457,'NI-Soc_SP'!$C:$AN,MID(AM$1,1,2),FALSE)</f>
        <v>0</v>
      </c>
      <c r="AN1457" s="30" t="str">
        <f t="shared" si="22"/>
        <v>10101020000000</v>
      </c>
    </row>
    <row r="1458" spans="3:40" x14ac:dyDescent="0.25">
      <c r="C1458" s="40"/>
      <c r="D1458" s="121" t="s">
        <v>139</v>
      </c>
      <c r="E1458" s="121" t="s">
        <v>140</v>
      </c>
      <c r="F1458" s="122" t="s">
        <v>2758</v>
      </c>
      <c r="G1458" s="52"/>
      <c r="H1458" s="52"/>
      <c r="I1458" s="52"/>
      <c r="J1458" s="52"/>
      <c r="K1458" s="59" t="s">
        <v>79</v>
      </c>
      <c r="L1458" s="52"/>
      <c r="M1458" s="52"/>
      <c r="N1458" s="52"/>
      <c r="O1458" s="52"/>
      <c r="P1458" s="63" t="s">
        <v>141</v>
      </c>
      <c r="Q1458" s="55"/>
      <c r="R1458" s="55"/>
      <c r="S1458" s="55"/>
      <c r="T1458" s="55"/>
      <c r="U1458" s="55"/>
      <c r="V1458" s="55"/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5"/>
      <c r="AI1458" s="55"/>
      <c r="AJ1458" s="55"/>
      <c r="AK1458" s="55"/>
      <c r="AL1458" s="55"/>
      <c r="AM1458" s="56"/>
      <c r="AN1458" s="30" t="str">
        <f t="shared" si="22"/>
        <v>10101020010000</v>
      </c>
    </row>
    <row r="1459" spans="3:40" x14ac:dyDescent="0.25">
      <c r="C1459" s="40"/>
      <c r="D1459" s="121" t="s">
        <v>142</v>
      </c>
      <c r="E1459" s="121" t="s">
        <v>143</v>
      </c>
      <c r="F1459" s="122" t="s">
        <v>2758</v>
      </c>
      <c r="G1459" s="52"/>
      <c r="H1459" s="52"/>
      <c r="I1459" s="52"/>
      <c r="J1459" s="52"/>
      <c r="K1459" s="59" t="s">
        <v>79</v>
      </c>
      <c r="L1459" s="52"/>
      <c r="M1459" s="52"/>
      <c r="N1459" s="52"/>
      <c r="O1459" s="52"/>
      <c r="P1459" s="63" t="s">
        <v>144</v>
      </c>
      <c r="Q1459" s="55">
        <f>VLOOKUP(E1459,'NI-Soc_SP'!$C:$AN,12,FALSE)</f>
        <v>0</v>
      </c>
      <c r="R1459" s="55">
        <f>VLOOKUP(E1459,'NI-Soc_SP'!$C:$AN,13,FALSE)</f>
        <v>0</v>
      </c>
      <c r="S1459" s="55"/>
      <c r="T1459" s="55"/>
      <c r="U1459" s="55">
        <f>VLOOKUP($E1459,'NI-Soc_SP'!$C:$AN,MID(U$1,1,2),FALSE)</f>
        <v>0</v>
      </c>
      <c r="V1459" s="55">
        <f>VLOOKUP($E1459,'NI-Soc_SP'!$C:$AN,MID(V$1,1,2),FALSE)</f>
        <v>0</v>
      </c>
      <c r="W1459" s="55">
        <f>VLOOKUP($E1459,'NI-Soc_SP'!$C:$AN,MID(W$1,1,2),FALSE)</f>
        <v>0</v>
      </c>
      <c r="X1459" s="55">
        <f>VLOOKUP($E1459,'NI-Soc_SP'!$C:$AN,MID(X$1,1,2),FALSE)</f>
        <v>0</v>
      </c>
      <c r="Y1459" s="55">
        <f>VLOOKUP($E1459,'NI-Soc_SP'!$C:$AN,MID(Y$1,1,2),FALSE)</f>
        <v>0</v>
      </c>
      <c r="Z1459" s="55">
        <f>VLOOKUP($E1459,'NI-Soc_SP'!$C:$AN,MID(Z$1,1,2),FALSE)</f>
        <v>0</v>
      </c>
      <c r="AA1459" s="55">
        <f>VLOOKUP($E1459,'NI-Soc_SP'!$C:$AN,MID(AA$1,1,2),FALSE)</f>
        <v>0</v>
      </c>
      <c r="AB1459" s="55">
        <f>VLOOKUP($E1459,'NI-Soc_SP'!$C:$AN,MID(AB$1,1,2),FALSE)</f>
        <v>0</v>
      </c>
      <c r="AC1459" s="55">
        <f>VLOOKUP($E1459,'NI-Soc_SP'!$C:$AN,MID(AC$1,1,2),FALSE)</f>
        <v>0</v>
      </c>
      <c r="AD1459" s="55">
        <f>VLOOKUP($E1459,'NI-Soc_SP'!$C:$AN,MID(AD$1,1,2),FALSE)</f>
        <v>0</v>
      </c>
      <c r="AE1459" s="55">
        <f>VLOOKUP($E1459,'NI-Soc_SP'!$C:$AN,MID(AE$1,1,2),FALSE)</f>
        <v>0</v>
      </c>
      <c r="AF1459" s="55">
        <f>VLOOKUP($E1459,'NI-Soc_SP'!$C:$AN,MID(AF$1,1,2),FALSE)</f>
        <v>0</v>
      </c>
      <c r="AG1459" s="55">
        <f>VLOOKUP($E1459,'NI-Soc_SP'!$C:$AN,MID(AG$1,1,2),FALSE)</f>
        <v>0</v>
      </c>
      <c r="AH1459" s="55">
        <f>VLOOKUP($E1459,'NI-Soc_SP'!$C:$AN,MID(AH$1,1,2),FALSE)</f>
        <v>0</v>
      </c>
      <c r="AI1459" s="55">
        <f>VLOOKUP($E1459,'NI-Soc_SP'!$C:$AN,MID(AI$1,1,2),FALSE)</f>
        <v>0</v>
      </c>
      <c r="AJ1459" s="55">
        <f>VLOOKUP($E1459,'NI-Soc_SP'!$C:$AN,MID(AJ$1,1,2),FALSE)</f>
        <v>0</v>
      </c>
      <c r="AK1459" s="55">
        <f>VLOOKUP($E1459,'NI-Soc_SP'!$C:$AN,MID(AK$1,1,2),FALSE)</f>
        <v>0</v>
      </c>
      <c r="AL1459" s="55">
        <f>VLOOKUP($E1459,'NI-Soc_SP'!$C:$AN,MID(AL$1,1,2),FALSE)</f>
        <v>0</v>
      </c>
      <c r="AM1459" s="56">
        <f>VLOOKUP($E1459,'NI-Soc_SP'!$C:$AN,MID(AM$1,1,2),FALSE)</f>
        <v>0</v>
      </c>
      <c r="AN1459" s="30" t="str">
        <f t="shared" si="22"/>
        <v>10101020020000</v>
      </c>
    </row>
    <row r="1460" spans="3:40" x14ac:dyDescent="0.25">
      <c r="C1460" s="40"/>
      <c r="D1460" s="121" t="s">
        <v>145</v>
      </c>
      <c r="E1460" s="121" t="s">
        <v>146</v>
      </c>
      <c r="F1460" s="122" t="s">
        <v>2758</v>
      </c>
      <c r="G1460" s="52"/>
      <c r="H1460" s="52"/>
      <c r="I1460" s="52"/>
      <c r="J1460" s="52"/>
      <c r="K1460" s="59" t="s">
        <v>111</v>
      </c>
      <c r="L1460" s="52"/>
      <c r="M1460" s="52"/>
      <c r="N1460" s="52"/>
      <c r="O1460" s="61" t="s">
        <v>147</v>
      </c>
      <c r="P1460" s="60" t="s">
        <v>148</v>
      </c>
      <c r="Q1460" s="55">
        <f>VLOOKUP(E1460,'NI-Soc_SP'!$C:$AN,12,FALSE)</f>
        <v>0</v>
      </c>
      <c r="R1460" s="55">
        <f>VLOOKUP(E1460,'NI-Soc_SP'!$C:$AN,13,FALSE)</f>
        <v>0</v>
      </c>
      <c r="S1460" s="55"/>
      <c r="T1460" s="55"/>
      <c r="U1460" s="55">
        <f>VLOOKUP($E1460,'NI-Soc_SP'!$C:$AN,MID(U$1,1,2),FALSE)</f>
        <v>0</v>
      </c>
      <c r="V1460" s="55">
        <f>VLOOKUP($E1460,'NI-Soc_SP'!$C:$AN,MID(V$1,1,2),FALSE)</f>
        <v>0</v>
      </c>
      <c r="W1460" s="55">
        <f>VLOOKUP($E1460,'NI-Soc_SP'!$C:$AN,MID(W$1,1,2),FALSE)</f>
        <v>0</v>
      </c>
      <c r="X1460" s="55">
        <f>VLOOKUP($E1460,'NI-Soc_SP'!$C:$AN,MID(X$1,1,2),FALSE)</f>
        <v>0</v>
      </c>
      <c r="Y1460" s="55">
        <f>VLOOKUP($E1460,'NI-Soc_SP'!$C:$AN,MID(Y$1,1,2),FALSE)</f>
        <v>0</v>
      </c>
      <c r="Z1460" s="55">
        <f>VLOOKUP($E1460,'NI-Soc_SP'!$C:$AN,MID(Z$1,1,2),FALSE)</f>
        <v>0</v>
      </c>
      <c r="AA1460" s="55">
        <f>VLOOKUP($E1460,'NI-Soc_SP'!$C:$AN,MID(AA$1,1,2),FALSE)</f>
        <v>0</v>
      </c>
      <c r="AB1460" s="55">
        <f>VLOOKUP($E1460,'NI-Soc_SP'!$C:$AN,MID(AB$1,1,2),FALSE)</f>
        <v>0</v>
      </c>
      <c r="AC1460" s="55">
        <f>VLOOKUP($E1460,'NI-Soc_SP'!$C:$AN,MID(AC$1,1,2),FALSE)</f>
        <v>0</v>
      </c>
      <c r="AD1460" s="55">
        <f>VLOOKUP($E1460,'NI-Soc_SP'!$C:$AN,MID(AD$1,1,2),FALSE)</f>
        <v>0</v>
      </c>
      <c r="AE1460" s="55">
        <f>VLOOKUP($E1460,'NI-Soc_SP'!$C:$AN,MID(AE$1,1,2),FALSE)</f>
        <v>0</v>
      </c>
      <c r="AF1460" s="55">
        <f>VLOOKUP($E1460,'NI-Soc_SP'!$C:$AN,MID(AF$1,1,2),FALSE)</f>
        <v>0</v>
      </c>
      <c r="AG1460" s="55">
        <f>VLOOKUP($E1460,'NI-Soc_SP'!$C:$AN,MID(AG$1,1,2),FALSE)</f>
        <v>0</v>
      </c>
      <c r="AH1460" s="55">
        <f>VLOOKUP($E1460,'NI-Soc_SP'!$C:$AN,MID(AH$1,1,2),FALSE)</f>
        <v>0</v>
      </c>
      <c r="AI1460" s="55">
        <f>VLOOKUP($E1460,'NI-Soc_SP'!$C:$AN,MID(AI$1,1,2),FALSE)</f>
        <v>0</v>
      </c>
      <c r="AJ1460" s="55">
        <f>VLOOKUP($E1460,'NI-Soc_SP'!$C:$AN,MID(AJ$1,1,2),FALSE)</f>
        <v>0</v>
      </c>
      <c r="AK1460" s="55">
        <f>VLOOKUP($E1460,'NI-Soc_SP'!$C:$AN,MID(AK$1,1,2),FALSE)</f>
        <v>0</v>
      </c>
      <c r="AL1460" s="55">
        <f>VLOOKUP($E1460,'NI-Soc_SP'!$C:$AN,MID(AL$1,1,2),FALSE)</f>
        <v>0</v>
      </c>
      <c r="AM1460" s="56">
        <f>VLOOKUP($E1460,'NI-Soc_SP'!$C:$AN,MID(AM$1,1,2),FALSE)</f>
        <v>0</v>
      </c>
      <c r="AN1460" s="30" t="str">
        <f t="shared" si="22"/>
        <v>10102000000000</v>
      </c>
    </row>
    <row r="1461" spans="3:40" x14ac:dyDescent="0.25">
      <c r="C1461" s="40"/>
      <c r="D1461" s="121" t="s">
        <v>149</v>
      </c>
      <c r="E1461" s="121" t="s">
        <v>150</v>
      </c>
      <c r="F1461" s="122" t="s">
        <v>2758</v>
      </c>
      <c r="G1461" s="52"/>
      <c r="H1461" s="52"/>
      <c r="I1461" s="52" t="s">
        <v>151</v>
      </c>
      <c r="J1461" s="52"/>
      <c r="K1461" s="59" t="s">
        <v>111</v>
      </c>
      <c r="L1461" s="62" t="s">
        <v>152</v>
      </c>
      <c r="M1461" s="52"/>
      <c r="N1461" s="52"/>
      <c r="O1461" s="52"/>
      <c r="P1461" s="54" t="s">
        <v>153</v>
      </c>
      <c r="Q1461" s="55">
        <f>VLOOKUP(E1461,'NI-Soc_SP'!$C:$AN,12,FALSE)</f>
        <v>0</v>
      </c>
      <c r="R1461" s="55">
        <f>VLOOKUP(E1461,'NI-Soc_SP'!$C:$AN,13,FALSE)</f>
        <v>0</v>
      </c>
      <c r="S1461" s="55"/>
      <c r="T1461" s="55"/>
      <c r="U1461" s="55">
        <f>VLOOKUP($E1461,'NI-Soc_SP'!$C:$AN,MID(U$1,1,2),FALSE)</f>
        <v>0</v>
      </c>
      <c r="V1461" s="55">
        <f>VLOOKUP($E1461,'NI-Soc_SP'!$C:$AN,MID(V$1,1,2),FALSE)</f>
        <v>0</v>
      </c>
      <c r="W1461" s="55">
        <f>VLOOKUP($E1461,'NI-Soc_SP'!$C:$AN,MID(W$1,1,2),FALSE)</f>
        <v>0</v>
      </c>
      <c r="X1461" s="55">
        <f>VLOOKUP($E1461,'NI-Soc_SP'!$C:$AN,MID(X$1,1,2),FALSE)</f>
        <v>0</v>
      </c>
      <c r="Y1461" s="55">
        <f>VLOOKUP($E1461,'NI-Soc_SP'!$C:$AN,MID(Y$1,1,2),FALSE)</f>
        <v>0</v>
      </c>
      <c r="Z1461" s="55">
        <f>VLOOKUP($E1461,'NI-Soc_SP'!$C:$AN,MID(Z$1,1,2),FALSE)</f>
        <v>0</v>
      </c>
      <c r="AA1461" s="55">
        <f>VLOOKUP($E1461,'NI-Soc_SP'!$C:$AN,MID(AA$1,1,2),FALSE)</f>
        <v>0</v>
      </c>
      <c r="AB1461" s="55">
        <f>VLOOKUP($E1461,'NI-Soc_SP'!$C:$AN,MID(AB$1,1,2),FALSE)</f>
        <v>0</v>
      </c>
      <c r="AC1461" s="55">
        <f>VLOOKUP($E1461,'NI-Soc_SP'!$C:$AN,MID(AC$1,1,2),FALSE)</f>
        <v>0</v>
      </c>
      <c r="AD1461" s="55">
        <f>VLOOKUP($E1461,'NI-Soc_SP'!$C:$AN,MID(AD$1,1,2),FALSE)</f>
        <v>0</v>
      </c>
      <c r="AE1461" s="55">
        <f>VLOOKUP($E1461,'NI-Soc_SP'!$C:$AN,MID(AE$1,1,2),FALSE)</f>
        <v>0</v>
      </c>
      <c r="AF1461" s="55">
        <f>VLOOKUP($E1461,'NI-Soc_SP'!$C:$AN,MID(AF$1,1,2),FALSE)</f>
        <v>0</v>
      </c>
      <c r="AG1461" s="55">
        <f>VLOOKUP($E1461,'NI-Soc_SP'!$C:$AN,MID(AG$1,1,2),FALSE)</f>
        <v>0</v>
      </c>
      <c r="AH1461" s="55">
        <f>VLOOKUP($E1461,'NI-Soc_SP'!$C:$AN,MID(AH$1,1,2),FALSE)</f>
        <v>0</v>
      </c>
      <c r="AI1461" s="55">
        <f>VLOOKUP($E1461,'NI-Soc_SP'!$C:$AN,MID(AI$1,1,2),FALSE)</f>
        <v>0</v>
      </c>
      <c r="AJ1461" s="55">
        <f>VLOOKUP($E1461,'NI-Soc_SP'!$C:$AN,MID(AJ$1,1,2),FALSE)</f>
        <v>0</v>
      </c>
      <c r="AK1461" s="55">
        <f>VLOOKUP($E1461,'NI-Soc_SP'!$C:$AN,MID(AK$1,1,2),FALSE)</f>
        <v>0</v>
      </c>
      <c r="AL1461" s="55">
        <f>VLOOKUP($E1461,'NI-Soc_SP'!$C:$AN,MID(AL$1,1,2),FALSE)</f>
        <v>0</v>
      </c>
      <c r="AM1461" s="56">
        <f>VLOOKUP($E1461,'NI-Soc_SP'!$C:$AN,MID(AM$1,1,2),FALSE)</f>
        <v>0</v>
      </c>
      <c r="AN1461" s="30" t="str">
        <f t="shared" si="22"/>
        <v>10102010000000</v>
      </c>
    </row>
    <row r="1462" spans="3:40" x14ac:dyDescent="0.25">
      <c r="C1462" s="40"/>
      <c r="D1462" s="121" t="s">
        <v>154</v>
      </c>
      <c r="E1462" s="121" t="s">
        <v>155</v>
      </c>
      <c r="F1462" s="122" t="s">
        <v>2758</v>
      </c>
      <c r="G1462" s="52"/>
      <c r="H1462" s="52"/>
      <c r="I1462" s="52"/>
      <c r="J1462" s="52"/>
      <c r="K1462" s="59" t="s">
        <v>79</v>
      </c>
      <c r="L1462" s="52"/>
      <c r="M1462" s="52"/>
      <c r="N1462" s="52"/>
      <c r="O1462" s="52"/>
      <c r="P1462" s="63" t="s">
        <v>156</v>
      </c>
      <c r="Q1462" s="55">
        <f>VLOOKUP(E1462,'NI-Soc_SP'!$C:$AN,12,FALSE)</f>
        <v>0</v>
      </c>
      <c r="R1462" s="55">
        <f>VLOOKUP(E1462,'NI-Soc_SP'!$C:$AN,13,FALSE)</f>
        <v>0</v>
      </c>
      <c r="S1462" s="55"/>
      <c r="T1462" s="55"/>
      <c r="U1462" s="55">
        <f>VLOOKUP($E1462,'NI-Soc_SP'!$C:$AN,MID(U$1,1,2),FALSE)</f>
        <v>0</v>
      </c>
      <c r="V1462" s="55">
        <f>VLOOKUP($E1462,'NI-Soc_SP'!$C:$AN,MID(V$1,1,2),FALSE)</f>
        <v>0</v>
      </c>
      <c r="W1462" s="55">
        <f>VLOOKUP($E1462,'NI-Soc_SP'!$C:$AN,MID(W$1,1,2),FALSE)</f>
        <v>0</v>
      </c>
      <c r="X1462" s="55">
        <f>VLOOKUP($E1462,'NI-Soc_SP'!$C:$AN,MID(X$1,1,2),FALSE)</f>
        <v>0</v>
      </c>
      <c r="Y1462" s="55">
        <f>VLOOKUP($E1462,'NI-Soc_SP'!$C:$AN,MID(Y$1,1,2),FALSE)</f>
        <v>0</v>
      </c>
      <c r="Z1462" s="55">
        <f>VLOOKUP($E1462,'NI-Soc_SP'!$C:$AN,MID(Z$1,1,2),FALSE)</f>
        <v>0</v>
      </c>
      <c r="AA1462" s="55">
        <f>VLOOKUP($E1462,'NI-Soc_SP'!$C:$AN,MID(AA$1,1,2),FALSE)</f>
        <v>0</v>
      </c>
      <c r="AB1462" s="55">
        <f>VLOOKUP($E1462,'NI-Soc_SP'!$C:$AN,MID(AB$1,1,2),FALSE)</f>
        <v>0</v>
      </c>
      <c r="AC1462" s="55">
        <f>VLOOKUP($E1462,'NI-Soc_SP'!$C:$AN,MID(AC$1,1,2),FALSE)</f>
        <v>0</v>
      </c>
      <c r="AD1462" s="55">
        <f>VLOOKUP($E1462,'NI-Soc_SP'!$C:$AN,MID(AD$1,1,2),FALSE)</f>
        <v>0</v>
      </c>
      <c r="AE1462" s="55">
        <f>VLOOKUP($E1462,'NI-Soc_SP'!$C:$AN,MID(AE$1,1,2),FALSE)</f>
        <v>0</v>
      </c>
      <c r="AF1462" s="55">
        <f>VLOOKUP($E1462,'NI-Soc_SP'!$C:$AN,MID(AF$1,1,2),FALSE)</f>
        <v>0</v>
      </c>
      <c r="AG1462" s="55">
        <f>VLOOKUP($E1462,'NI-Soc_SP'!$C:$AN,MID(AG$1,1,2),FALSE)</f>
        <v>0</v>
      </c>
      <c r="AH1462" s="55">
        <f>VLOOKUP($E1462,'NI-Soc_SP'!$C:$AN,MID(AH$1,1,2),FALSE)</f>
        <v>0</v>
      </c>
      <c r="AI1462" s="55">
        <f>VLOOKUP($E1462,'NI-Soc_SP'!$C:$AN,MID(AI$1,1,2),FALSE)</f>
        <v>0</v>
      </c>
      <c r="AJ1462" s="55">
        <f>VLOOKUP($E1462,'NI-Soc_SP'!$C:$AN,MID(AJ$1,1,2),FALSE)</f>
        <v>0</v>
      </c>
      <c r="AK1462" s="55">
        <f>VLOOKUP($E1462,'NI-Soc_SP'!$C:$AN,MID(AK$1,1,2),FALSE)</f>
        <v>0</v>
      </c>
      <c r="AL1462" s="55">
        <f>VLOOKUP($E1462,'NI-Soc_SP'!$C:$AN,MID(AL$1,1,2),FALSE)</f>
        <v>0</v>
      </c>
      <c r="AM1462" s="56">
        <f>VLOOKUP($E1462,'NI-Soc_SP'!$C:$AN,MID(AM$1,1,2),FALSE)</f>
        <v>0</v>
      </c>
      <c r="AN1462" s="30" t="str">
        <f t="shared" si="22"/>
        <v>10102010010000</v>
      </c>
    </row>
    <row r="1463" spans="3:40" x14ac:dyDescent="0.25">
      <c r="C1463" s="40"/>
      <c r="D1463" s="121" t="s">
        <v>157</v>
      </c>
      <c r="E1463" s="121" t="s">
        <v>158</v>
      </c>
      <c r="F1463" s="122" t="s">
        <v>2758</v>
      </c>
      <c r="G1463" s="52"/>
      <c r="H1463" s="52"/>
      <c r="I1463" s="52"/>
      <c r="J1463" s="52"/>
      <c r="K1463" s="59" t="s">
        <v>79</v>
      </c>
      <c r="L1463" s="52"/>
      <c r="M1463" s="52"/>
      <c r="N1463" s="52"/>
      <c r="O1463" s="52"/>
      <c r="P1463" s="63" t="s">
        <v>159</v>
      </c>
      <c r="Q1463" s="55">
        <f>VLOOKUP(E1463,'NI-Soc_SP'!$C:$AN,12,FALSE)</f>
        <v>0</v>
      </c>
      <c r="R1463" s="55">
        <f>VLOOKUP(E1463,'NI-Soc_SP'!$C:$AN,13,FALSE)</f>
        <v>0</v>
      </c>
      <c r="S1463" s="55"/>
      <c r="T1463" s="55"/>
      <c r="U1463" s="55">
        <f>VLOOKUP($E1463,'NI-Soc_SP'!$C:$AN,MID(U$1,1,2),FALSE)</f>
        <v>0</v>
      </c>
      <c r="V1463" s="55">
        <f>VLOOKUP($E1463,'NI-Soc_SP'!$C:$AN,MID(V$1,1,2),FALSE)</f>
        <v>0</v>
      </c>
      <c r="W1463" s="55">
        <f>VLOOKUP($E1463,'NI-Soc_SP'!$C:$AN,MID(W$1,1,2),FALSE)</f>
        <v>0</v>
      </c>
      <c r="X1463" s="55">
        <f>VLOOKUP($E1463,'NI-Soc_SP'!$C:$AN,MID(X$1,1,2),FALSE)</f>
        <v>0</v>
      </c>
      <c r="Y1463" s="55">
        <f>VLOOKUP($E1463,'NI-Soc_SP'!$C:$AN,MID(Y$1,1,2),FALSE)</f>
        <v>0</v>
      </c>
      <c r="Z1463" s="55">
        <f>VLOOKUP($E1463,'NI-Soc_SP'!$C:$AN,MID(Z$1,1,2),FALSE)</f>
        <v>0</v>
      </c>
      <c r="AA1463" s="55">
        <f>VLOOKUP($E1463,'NI-Soc_SP'!$C:$AN,MID(AA$1,1,2),FALSE)</f>
        <v>0</v>
      </c>
      <c r="AB1463" s="55">
        <f>VLOOKUP($E1463,'NI-Soc_SP'!$C:$AN,MID(AB$1,1,2),FALSE)</f>
        <v>0</v>
      </c>
      <c r="AC1463" s="55">
        <f>VLOOKUP($E1463,'NI-Soc_SP'!$C:$AN,MID(AC$1,1,2),FALSE)</f>
        <v>0</v>
      </c>
      <c r="AD1463" s="55">
        <f>VLOOKUP($E1463,'NI-Soc_SP'!$C:$AN,MID(AD$1,1,2),FALSE)</f>
        <v>0</v>
      </c>
      <c r="AE1463" s="55">
        <f>VLOOKUP($E1463,'NI-Soc_SP'!$C:$AN,MID(AE$1,1,2),FALSE)</f>
        <v>0</v>
      </c>
      <c r="AF1463" s="55">
        <f>VLOOKUP($E1463,'NI-Soc_SP'!$C:$AN,MID(AF$1,1,2),FALSE)</f>
        <v>0</v>
      </c>
      <c r="AG1463" s="55">
        <f>VLOOKUP($E1463,'NI-Soc_SP'!$C:$AN,MID(AG$1,1,2),FALSE)</f>
        <v>0</v>
      </c>
      <c r="AH1463" s="55">
        <f>VLOOKUP($E1463,'NI-Soc_SP'!$C:$AN,MID(AH$1,1,2),FALSE)</f>
        <v>0</v>
      </c>
      <c r="AI1463" s="55">
        <f>VLOOKUP($E1463,'NI-Soc_SP'!$C:$AN,MID(AI$1,1,2),FALSE)</f>
        <v>0</v>
      </c>
      <c r="AJ1463" s="55">
        <f>VLOOKUP($E1463,'NI-Soc_SP'!$C:$AN,MID(AJ$1,1,2),FALSE)</f>
        <v>0</v>
      </c>
      <c r="AK1463" s="55">
        <f>VLOOKUP($E1463,'NI-Soc_SP'!$C:$AN,MID(AK$1,1,2),FALSE)</f>
        <v>0</v>
      </c>
      <c r="AL1463" s="55">
        <f>VLOOKUP($E1463,'NI-Soc_SP'!$C:$AN,MID(AL$1,1,2),FALSE)</f>
        <v>0</v>
      </c>
      <c r="AM1463" s="56">
        <f>VLOOKUP($E1463,'NI-Soc_SP'!$C:$AN,MID(AM$1,1,2),FALSE)</f>
        <v>0</v>
      </c>
      <c r="AN1463" s="30" t="str">
        <f t="shared" si="22"/>
        <v>10102010020000</v>
      </c>
    </row>
    <row r="1464" spans="3:40" x14ac:dyDescent="0.25">
      <c r="C1464" s="40"/>
      <c r="D1464" s="121" t="s">
        <v>160</v>
      </c>
      <c r="E1464" s="121" t="s">
        <v>161</v>
      </c>
      <c r="F1464" s="122" t="s">
        <v>2758</v>
      </c>
      <c r="G1464" s="52"/>
      <c r="H1464" s="52"/>
      <c r="I1464" s="52" t="s">
        <v>162</v>
      </c>
      <c r="J1464" s="52"/>
      <c r="K1464" s="59" t="s">
        <v>111</v>
      </c>
      <c r="L1464" s="62" t="s">
        <v>163</v>
      </c>
      <c r="M1464" s="52"/>
      <c r="N1464" s="52"/>
      <c r="O1464" s="52"/>
      <c r="P1464" s="54" t="s">
        <v>164</v>
      </c>
      <c r="Q1464" s="55">
        <f>VLOOKUP(E1464,'NI-Soc_SP'!$C:$AN,12,FALSE)</f>
        <v>0</v>
      </c>
      <c r="R1464" s="55">
        <f>VLOOKUP(E1464,'NI-Soc_SP'!$C:$AN,13,FALSE)</f>
        <v>0</v>
      </c>
      <c r="S1464" s="55"/>
      <c r="T1464" s="55"/>
      <c r="U1464" s="55">
        <f>VLOOKUP($E1464,'NI-Soc_SP'!$C:$AN,MID(U$1,1,2),FALSE)</f>
        <v>0</v>
      </c>
      <c r="V1464" s="55">
        <f>VLOOKUP($E1464,'NI-Soc_SP'!$C:$AN,MID(V$1,1,2),FALSE)</f>
        <v>0</v>
      </c>
      <c r="W1464" s="55">
        <f>VLOOKUP($E1464,'NI-Soc_SP'!$C:$AN,MID(W$1,1,2),FALSE)</f>
        <v>0</v>
      </c>
      <c r="X1464" s="55">
        <f>VLOOKUP($E1464,'NI-Soc_SP'!$C:$AN,MID(X$1,1,2),FALSE)</f>
        <v>0</v>
      </c>
      <c r="Y1464" s="55">
        <f>VLOOKUP($E1464,'NI-Soc_SP'!$C:$AN,MID(Y$1,1,2),FALSE)</f>
        <v>0</v>
      </c>
      <c r="Z1464" s="55">
        <f>VLOOKUP($E1464,'NI-Soc_SP'!$C:$AN,MID(Z$1,1,2),FALSE)</f>
        <v>0</v>
      </c>
      <c r="AA1464" s="55">
        <f>VLOOKUP($E1464,'NI-Soc_SP'!$C:$AN,MID(AA$1,1,2),FALSE)</f>
        <v>0</v>
      </c>
      <c r="AB1464" s="55">
        <f>VLOOKUP($E1464,'NI-Soc_SP'!$C:$AN,MID(AB$1,1,2),FALSE)</f>
        <v>0</v>
      </c>
      <c r="AC1464" s="55">
        <f>VLOOKUP($E1464,'NI-Soc_SP'!$C:$AN,MID(AC$1,1,2),FALSE)</f>
        <v>0</v>
      </c>
      <c r="AD1464" s="55">
        <f>VLOOKUP($E1464,'NI-Soc_SP'!$C:$AN,MID(AD$1,1,2),FALSE)</f>
        <v>0</v>
      </c>
      <c r="AE1464" s="55">
        <f>VLOOKUP($E1464,'NI-Soc_SP'!$C:$AN,MID(AE$1,1,2),FALSE)</f>
        <v>0</v>
      </c>
      <c r="AF1464" s="55">
        <f>VLOOKUP($E1464,'NI-Soc_SP'!$C:$AN,MID(AF$1,1,2),FALSE)</f>
        <v>0</v>
      </c>
      <c r="AG1464" s="55">
        <f>VLOOKUP($E1464,'NI-Soc_SP'!$C:$AN,MID(AG$1,1,2),FALSE)</f>
        <v>0</v>
      </c>
      <c r="AH1464" s="55">
        <f>VLOOKUP($E1464,'NI-Soc_SP'!$C:$AN,MID(AH$1,1,2),FALSE)</f>
        <v>0</v>
      </c>
      <c r="AI1464" s="55">
        <f>VLOOKUP($E1464,'NI-Soc_SP'!$C:$AN,MID(AI$1,1,2),FALSE)</f>
        <v>0</v>
      </c>
      <c r="AJ1464" s="55">
        <f>VLOOKUP($E1464,'NI-Soc_SP'!$C:$AN,MID(AJ$1,1,2),FALSE)</f>
        <v>0</v>
      </c>
      <c r="AK1464" s="55">
        <f>VLOOKUP($E1464,'NI-Soc_SP'!$C:$AN,MID(AK$1,1,2),FALSE)</f>
        <v>0</v>
      </c>
      <c r="AL1464" s="55">
        <f>VLOOKUP($E1464,'NI-Soc_SP'!$C:$AN,MID(AL$1,1,2),FALSE)</f>
        <v>0</v>
      </c>
      <c r="AM1464" s="56">
        <f>VLOOKUP($E1464,'NI-Soc_SP'!$C:$AN,MID(AM$1,1,2),FALSE)</f>
        <v>0</v>
      </c>
      <c r="AN1464" s="30" t="str">
        <f t="shared" si="22"/>
        <v>10102020000000</v>
      </c>
    </row>
    <row r="1465" spans="3:40" x14ac:dyDescent="0.25">
      <c r="C1465" s="40"/>
      <c r="D1465" s="121" t="s">
        <v>165</v>
      </c>
      <c r="E1465" s="121" t="s">
        <v>166</v>
      </c>
      <c r="F1465" s="122" t="s">
        <v>2758</v>
      </c>
      <c r="G1465" s="52"/>
      <c r="H1465" s="52"/>
      <c r="I1465" s="52"/>
      <c r="J1465" s="52"/>
      <c r="K1465" s="59" t="s">
        <v>79</v>
      </c>
      <c r="L1465" s="52"/>
      <c r="M1465" s="52"/>
      <c r="N1465" s="52"/>
      <c r="O1465" s="52"/>
      <c r="P1465" s="63" t="s">
        <v>167</v>
      </c>
      <c r="Q1465" s="55">
        <f>VLOOKUP(E1465,'NI-Soc_SP'!$C:$AN,12,FALSE)</f>
        <v>0</v>
      </c>
      <c r="R1465" s="55">
        <f>VLOOKUP(E1465,'NI-Soc_SP'!$C:$AN,13,FALSE)</f>
        <v>0</v>
      </c>
      <c r="S1465" s="55"/>
      <c r="T1465" s="55"/>
      <c r="U1465" s="55">
        <f>VLOOKUP($E1465,'NI-Soc_SP'!$C:$AN,MID(U$1,1,2),FALSE)</f>
        <v>0</v>
      </c>
      <c r="V1465" s="55">
        <f>VLOOKUP($E1465,'NI-Soc_SP'!$C:$AN,MID(V$1,1,2),FALSE)</f>
        <v>0</v>
      </c>
      <c r="W1465" s="55">
        <f>VLOOKUP($E1465,'NI-Soc_SP'!$C:$AN,MID(W$1,1,2),FALSE)</f>
        <v>0</v>
      </c>
      <c r="X1465" s="55">
        <f>VLOOKUP($E1465,'NI-Soc_SP'!$C:$AN,MID(X$1,1,2),FALSE)</f>
        <v>0</v>
      </c>
      <c r="Y1465" s="55">
        <f>VLOOKUP($E1465,'NI-Soc_SP'!$C:$AN,MID(Y$1,1,2),FALSE)</f>
        <v>0</v>
      </c>
      <c r="Z1465" s="55">
        <f>VLOOKUP($E1465,'NI-Soc_SP'!$C:$AN,MID(Z$1,1,2),FALSE)</f>
        <v>0</v>
      </c>
      <c r="AA1465" s="55">
        <f>VLOOKUP($E1465,'NI-Soc_SP'!$C:$AN,MID(AA$1,1,2),FALSE)</f>
        <v>0</v>
      </c>
      <c r="AB1465" s="55">
        <f>VLOOKUP($E1465,'NI-Soc_SP'!$C:$AN,MID(AB$1,1,2),FALSE)</f>
        <v>0</v>
      </c>
      <c r="AC1465" s="55">
        <f>VLOOKUP($E1465,'NI-Soc_SP'!$C:$AN,MID(AC$1,1,2),FALSE)</f>
        <v>0</v>
      </c>
      <c r="AD1465" s="55">
        <f>VLOOKUP($E1465,'NI-Soc_SP'!$C:$AN,MID(AD$1,1,2),FALSE)</f>
        <v>0</v>
      </c>
      <c r="AE1465" s="55">
        <f>VLOOKUP($E1465,'NI-Soc_SP'!$C:$AN,MID(AE$1,1,2),FALSE)</f>
        <v>0</v>
      </c>
      <c r="AF1465" s="55">
        <f>VLOOKUP($E1465,'NI-Soc_SP'!$C:$AN,MID(AF$1,1,2),FALSE)</f>
        <v>0</v>
      </c>
      <c r="AG1465" s="55">
        <f>VLOOKUP($E1465,'NI-Soc_SP'!$C:$AN,MID(AG$1,1,2),FALSE)</f>
        <v>0</v>
      </c>
      <c r="AH1465" s="55">
        <f>VLOOKUP($E1465,'NI-Soc_SP'!$C:$AN,MID(AH$1,1,2),FALSE)</f>
        <v>0</v>
      </c>
      <c r="AI1465" s="55">
        <f>VLOOKUP($E1465,'NI-Soc_SP'!$C:$AN,MID(AI$1,1,2),FALSE)</f>
        <v>0</v>
      </c>
      <c r="AJ1465" s="55">
        <f>VLOOKUP($E1465,'NI-Soc_SP'!$C:$AN,MID(AJ$1,1,2),FALSE)</f>
        <v>0</v>
      </c>
      <c r="AK1465" s="55">
        <f>VLOOKUP($E1465,'NI-Soc_SP'!$C:$AN,MID(AK$1,1,2),FALSE)</f>
        <v>0</v>
      </c>
      <c r="AL1465" s="55">
        <f>VLOOKUP($E1465,'NI-Soc_SP'!$C:$AN,MID(AL$1,1,2),FALSE)</f>
        <v>0</v>
      </c>
      <c r="AM1465" s="56">
        <f>VLOOKUP($E1465,'NI-Soc_SP'!$C:$AN,MID(AM$1,1,2),FALSE)</f>
        <v>0</v>
      </c>
      <c r="AN1465" s="30" t="str">
        <f t="shared" si="22"/>
        <v>10102020010000</v>
      </c>
    </row>
    <row r="1466" spans="3:40" x14ac:dyDescent="0.25">
      <c r="C1466" s="40"/>
      <c r="D1466" s="121" t="s">
        <v>168</v>
      </c>
      <c r="E1466" s="121" t="s">
        <v>169</v>
      </c>
      <c r="F1466" s="122" t="s">
        <v>2758</v>
      </c>
      <c r="G1466" s="52"/>
      <c r="H1466" s="52"/>
      <c r="I1466" s="52"/>
      <c r="J1466" s="52"/>
      <c r="K1466" s="59" t="s">
        <v>79</v>
      </c>
      <c r="L1466" s="52"/>
      <c r="M1466" s="52"/>
      <c r="N1466" s="52"/>
      <c r="O1466" s="52"/>
      <c r="P1466" s="63" t="s">
        <v>170</v>
      </c>
      <c r="Q1466" s="55">
        <f>VLOOKUP(E1466,'NI-Soc_SP'!$C:$AN,12,FALSE)</f>
        <v>0</v>
      </c>
      <c r="R1466" s="55">
        <f>VLOOKUP(E1466,'NI-Soc_SP'!$C:$AN,13,FALSE)</f>
        <v>0</v>
      </c>
      <c r="S1466" s="55"/>
      <c r="T1466" s="55"/>
      <c r="U1466" s="55">
        <f>VLOOKUP($E1466,'NI-Soc_SP'!$C:$AN,MID(U$1,1,2),FALSE)</f>
        <v>0</v>
      </c>
      <c r="V1466" s="55">
        <f>VLOOKUP($E1466,'NI-Soc_SP'!$C:$AN,MID(V$1,1,2),FALSE)</f>
        <v>0</v>
      </c>
      <c r="W1466" s="55">
        <f>VLOOKUP($E1466,'NI-Soc_SP'!$C:$AN,MID(W$1,1,2),FALSE)</f>
        <v>0</v>
      </c>
      <c r="X1466" s="55">
        <f>VLOOKUP($E1466,'NI-Soc_SP'!$C:$AN,MID(X$1,1,2),FALSE)</f>
        <v>0</v>
      </c>
      <c r="Y1466" s="55">
        <f>VLOOKUP($E1466,'NI-Soc_SP'!$C:$AN,MID(Y$1,1,2),FALSE)</f>
        <v>0</v>
      </c>
      <c r="Z1466" s="55">
        <f>VLOOKUP($E1466,'NI-Soc_SP'!$C:$AN,MID(Z$1,1,2),FALSE)</f>
        <v>0</v>
      </c>
      <c r="AA1466" s="55">
        <f>VLOOKUP($E1466,'NI-Soc_SP'!$C:$AN,MID(AA$1,1,2),FALSE)</f>
        <v>0</v>
      </c>
      <c r="AB1466" s="55">
        <f>VLOOKUP($E1466,'NI-Soc_SP'!$C:$AN,MID(AB$1,1,2),FALSE)</f>
        <v>0</v>
      </c>
      <c r="AC1466" s="55">
        <f>VLOOKUP($E1466,'NI-Soc_SP'!$C:$AN,MID(AC$1,1,2),FALSE)</f>
        <v>0</v>
      </c>
      <c r="AD1466" s="55">
        <f>VLOOKUP($E1466,'NI-Soc_SP'!$C:$AN,MID(AD$1,1,2),FALSE)</f>
        <v>0</v>
      </c>
      <c r="AE1466" s="55">
        <f>VLOOKUP($E1466,'NI-Soc_SP'!$C:$AN,MID(AE$1,1,2),FALSE)</f>
        <v>0</v>
      </c>
      <c r="AF1466" s="55">
        <f>VLOOKUP($E1466,'NI-Soc_SP'!$C:$AN,MID(AF$1,1,2),FALSE)</f>
        <v>0</v>
      </c>
      <c r="AG1466" s="55">
        <f>VLOOKUP($E1466,'NI-Soc_SP'!$C:$AN,MID(AG$1,1,2),FALSE)</f>
        <v>0</v>
      </c>
      <c r="AH1466" s="55">
        <f>VLOOKUP($E1466,'NI-Soc_SP'!$C:$AN,MID(AH$1,1,2),FALSE)</f>
        <v>0</v>
      </c>
      <c r="AI1466" s="55">
        <f>VLOOKUP($E1466,'NI-Soc_SP'!$C:$AN,MID(AI$1,1,2),FALSE)</f>
        <v>0</v>
      </c>
      <c r="AJ1466" s="55">
        <f>VLOOKUP($E1466,'NI-Soc_SP'!$C:$AN,MID(AJ$1,1,2),FALSE)</f>
        <v>0</v>
      </c>
      <c r="AK1466" s="55">
        <f>VLOOKUP($E1466,'NI-Soc_SP'!$C:$AN,MID(AK$1,1,2),FALSE)</f>
        <v>0</v>
      </c>
      <c r="AL1466" s="55">
        <f>VLOOKUP($E1466,'NI-Soc_SP'!$C:$AN,MID(AL$1,1,2),FALSE)</f>
        <v>0</v>
      </c>
      <c r="AM1466" s="56">
        <f>VLOOKUP($E1466,'NI-Soc_SP'!$C:$AN,MID(AM$1,1,2),FALSE)</f>
        <v>0</v>
      </c>
      <c r="AN1466" s="30" t="str">
        <f t="shared" si="22"/>
        <v>10102020020000</v>
      </c>
    </row>
    <row r="1467" spans="3:40" x14ac:dyDescent="0.25">
      <c r="C1467" s="40"/>
      <c r="D1467" s="121" t="s">
        <v>171</v>
      </c>
      <c r="E1467" s="121" t="s">
        <v>172</v>
      </c>
      <c r="F1467" s="122" t="s">
        <v>2758</v>
      </c>
      <c r="G1467" s="52"/>
      <c r="H1467" s="52"/>
      <c r="I1467" s="52"/>
      <c r="J1467" s="52"/>
      <c r="K1467" s="59" t="s">
        <v>111</v>
      </c>
      <c r="L1467" s="52"/>
      <c r="M1467" s="52"/>
      <c r="N1467" s="52"/>
      <c r="O1467" s="61" t="s">
        <v>173</v>
      </c>
      <c r="P1467" s="60" t="s">
        <v>174</v>
      </c>
      <c r="Q1467" s="55">
        <f>VLOOKUP(E1467,'NI-Soc_SP'!$C:$AN,12,FALSE)</f>
        <v>0</v>
      </c>
      <c r="R1467" s="55">
        <f>VLOOKUP(E1467,'NI-Soc_SP'!$C:$AN,13,FALSE)</f>
        <v>0</v>
      </c>
      <c r="S1467" s="55"/>
      <c r="T1467" s="55"/>
      <c r="U1467" s="55">
        <f>VLOOKUP($E1467,'NI-Soc_SP'!$C:$AN,MID(U$1,1,2),FALSE)</f>
        <v>0</v>
      </c>
      <c r="V1467" s="55">
        <f>VLOOKUP($E1467,'NI-Soc_SP'!$C:$AN,MID(V$1,1,2),FALSE)</f>
        <v>0</v>
      </c>
      <c r="W1467" s="55">
        <f>VLOOKUP($E1467,'NI-Soc_SP'!$C:$AN,MID(W$1,1,2),FALSE)</f>
        <v>0</v>
      </c>
      <c r="X1467" s="55">
        <f>VLOOKUP($E1467,'NI-Soc_SP'!$C:$AN,MID(X$1,1,2),FALSE)</f>
        <v>0</v>
      </c>
      <c r="Y1467" s="55">
        <f>VLOOKUP($E1467,'NI-Soc_SP'!$C:$AN,MID(Y$1,1,2),FALSE)</f>
        <v>0</v>
      </c>
      <c r="Z1467" s="55">
        <f>VLOOKUP($E1467,'NI-Soc_SP'!$C:$AN,MID(Z$1,1,2),FALSE)</f>
        <v>0</v>
      </c>
      <c r="AA1467" s="55">
        <f>VLOOKUP($E1467,'NI-Soc_SP'!$C:$AN,MID(AA$1,1,2),FALSE)</f>
        <v>0</v>
      </c>
      <c r="AB1467" s="55">
        <f>VLOOKUP($E1467,'NI-Soc_SP'!$C:$AN,MID(AB$1,1,2),FALSE)</f>
        <v>0</v>
      </c>
      <c r="AC1467" s="55">
        <f>VLOOKUP($E1467,'NI-Soc_SP'!$C:$AN,MID(AC$1,1,2),FALSE)</f>
        <v>0</v>
      </c>
      <c r="AD1467" s="55">
        <f>VLOOKUP($E1467,'NI-Soc_SP'!$C:$AN,MID(AD$1,1,2),FALSE)</f>
        <v>0</v>
      </c>
      <c r="AE1467" s="55">
        <f>VLOOKUP($E1467,'NI-Soc_SP'!$C:$AN,MID(AE$1,1,2),FALSE)</f>
        <v>0</v>
      </c>
      <c r="AF1467" s="55">
        <f>VLOOKUP($E1467,'NI-Soc_SP'!$C:$AN,MID(AF$1,1,2),FALSE)</f>
        <v>0</v>
      </c>
      <c r="AG1467" s="55">
        <f>VLOOKUP($E1467,'NI-Soc_SP'!$C:$AN,MID(AG$1,1,2),FALSE)</f>
        <v>0</v>
      </c>
      <c r="AH1467" s="55">
        <f>VLOOKUP($E1467,'NI-Soc_SP'!$C:$AN,MID(AH$1,1,2),FALSE)</f>
        <v>0</v>
      </c>
      <c r="AI1467" s="55">
        <f>VLOOKUP($E1467,'NI-Soc_SP'!$C:$AN,MID(AI$1,1,2),FALSE)</f>
        <v>0</v>
      </c>
      <c r="AJ1467" s="55">
        <f>VLOOKUP($E1467,'NI-Soc_SP'!$C:$AN,MID(AJ$1,1,2),FALSE)</f>
        <v>0</v>
      </c>
      <c r="AK1467" s="55">
        <f>VLOOKUP($E1467,'NI-Soc_SP'!$C:$AN,MID(AK$1,1,2),FALSE)</f>
        <v>0</v>
      </c>
      <c r="AL1467" s="55">
        <f>VLOOKUP($E1467,'NI-Soc_SP'!$C:$AN,MID(AL$1,1,2),FALSE)</f>
        <v>0</v>
      </c>
      <c r="AM1467" s="56">
        <f>VLOOKUP($E1467,'NI-Soc_SP'!$C:$AN,MID(AM$1,1,2),FALSE)</f>
        <v>0</v>
      </c>
      <c r="AN1467" s="30" t="str">
        <f t="shared" si="22"/>
        <v>10103000000000</v>
      </c>
    </row>
    <row r="1468" spans="3:40" ht="27" x14ac:dyDescent="0.25">
      <c r="C1468" s="40"/>
      <c r="D1468" s="121" t="s">
        <v>175</v>
      </c>
      <c r="E1468" s="121" t="s">
        <v>176</v>
      </c>
      <c r="F1468" s="122" t="s">
        <v>2758</v>
      </c>
      <c r="G1468" s="52"/>
      <c r="H1468" s="52"/>
      <c r="I1468" s="52" t="s">
        <v>177</v>
      </c>
      <c r="J1468" s="52"/>
      <c r="K1468" s="59" t="s">
        <v>111</v>
      </c>
      <c r="L1468" s="62" t="s">
        <v>178</v>
      </c>
      <c r="M1468" s="52"/>
      <c r="N1468" s="52"/>
      <c r="O1468" s="52"/>
      <c r="P1468" s="54" t="s">
        <v>179</v>
      </c>
      <c r="Q1468" s="55">
        <f>VLOOKUP(E1468,'NI-Soc_SP'!$C:$AN,12,FALSE)</f>
        <v>0</v>
      </c>
      <c r="R1468" s="55">
        <f>VLOOKUP(E1468,'NI-Soc_SP'!$C:$AN,13,FALSE)</f>
        <v>0</v>
      </c>
      <c r="S1468" s="55"/>
      <c r="T1468" s="55"/>
      <c r="U1468" s="55">
        <f>VLOOKUP($E1468,'NI-Soc_SP'!$C:$AN,MID(U$1,1,2),FALSE)</f>
        <v>0</v>
      </c>
      <c r="V1468" s="55">
        <f>VLOOKUP($E1468,'NI-Soc_SP'!$C:$AN,MID(V$1,1,2),FALSE)</f>
        <v>0</v>
      </c>
      <c r="W1468" s="55">
        <f>VLOOKUP($E1468,'NI-Soc_SP'!$C:$AN,MID(W$1,1,2),FALSE)</f>
        <v>0</v>
      </c>
      <c r="X1468" s="55">
        <f>VLOOKUP($E1468,'NI-Soc_SP'!$C:$AN,MID(X$1,1,2),FALSE)</f>
        <v>0</v>
      </c>
      <c r="Y1468" s="55">
        <f>VLOOKUP($E1468,'NI-Soc_SP'!$C:$AN,MID(Y$1,1,2),FALSE)</f>
        <v>0</v>
      </c>
      <c r="Z1468" s="55">
        <f>VLOOKUP($E1468,'NI-Soc_SP'!$C:$AN,MID(Z$1,1,2),FALSE)</f>
        <v>0</v>
      </c>
      <c r="AA1468" s="55">
        <f>VLOOKUP($E1468,'NI-Soc_SP'!$C:$AN,MID(AA$1,1,2),FALSE)</f>
        <v>0</v>
      </c>
      <c r="AB1468" s="55">
        <f>VLOOKUP($E1468,'NI-Soc_SP'!$C:$AN,MID(AB$1,1,2),FALSE)</f>
        <v>0</v>
      </c>
      <c r="AC1468" s="55">
        <f>VLOOKUP($E1468,'NI-Soc_SP'!$C:$AN,MID(AC$1,1,2),FALSE)</f>
        <v>0</v>
      </c>
      <c r="AD1468" s="55">
        <f>VLOOKUP($E1468,'NI-Soc_SP'!$C:$AN,MID(AD$1,1,2),FALSE)</f>
        <v>0</v>
      </c>
      <c r="AE1468" s="55">
        <f>VLOOKUP($E1468,'NI-Soc_SP'!$C:$AN,MID(AE$1,1,2),FALSE)</f>
        <v>0</v>
      </c>
      <c r="AF1468" s="55">
        <f>VLOOKUP($E1468,'NI-Soc_SP'!$C:$AN,MID(AF$1,1,2),FALSE)</f>
        <v>0</v>
      </c>
      <c r="AG1468" s="55">
        <f>VLOOKUP($E1468,'NI-Soc_SP'!$C:$AN,MID(AG$1,1,2),FALSE)</f>
        <v>0</v>
      </c>
      <c r="AH1468" s="55">
        <f>VLOOKUP($E1468,'NI-Soc_SP'!$C:$AN,MID(AH$1,1,2),FALSE)</f>
        <v>0</v>
      </c>
      <c r="AI1468" s="55">
        <f>VLOOKUP($E1468,'NI-Soc_SP'!$C:$AN,MID(AI$1,1,2),FALSE)</f>
        <v>0</v>
      </c>
      <c r="AJ1468" s="55">
        <f>VLOOKUP($E1468,'NI-Soc_SP'!$C:$AN,MID(AJ$1,1,2),FALSE)</f>
        <v>0</v>
      </c>
      <c r="AK1468" s="55">
        <f>VLOOKUP($E1468,'NI-Soc_SP'!$C:$AN,MID(AK$1,1,2),FALSE)</f>
        <v>0</v>
      </c>
      <c r="AL1468" s="55">
        <f>VLOOKUP($E1468,'NI-Soc_SP'!$C:$AN,MID(AL$1,1,2),FALSE)</f>
        <v>0</v>
      </c>
      <c r="AM1468" s="56">
        <f>VLOOKUP($E1468,'NI-Soc_SP'!$C:$AN,MID(AM$1,1,2),FALSE)</f>
        <v>0</v>
      </c>
      <c r="AN1468" s="30" t="str">
        <f t="shared" si="22"/>
        <v>10103010000000</v>
      </c>
    </row>
    <row r="1469" spans="3:40" x14ac:dyDescent="0.25">
      <c r="C1469" s="40"/>
      <c r="D1469" s="121" t="s">
        <v>180</v>
      </c>
      <c r="E1469" s="121" t="s">
        <v>181</v>
      </c>
      <c r="F1469" s="122" t="s">
        <v>2758</v>
      </c>
      <c r="G1469" s="52"/>
      <c r="H1469" s="52"/>
      <c r="I1469" s="52"/>
      <c r="J1469" s="52"/>
      <c r="K1469" s="59" t="s">
        <v>79</v>
      </c>
      <c r="L1469" s="52"/>
      <c r="M1469" s="52"/>
      <c r="N1469" s="52"/>
      <c r="O1469" s="52"/>
      <c r="P1469" s="63" t="s">
        <v>182</v>
      </c>
      <c r="Q1469" s="55">
        <f>VLOOKUP(E1469,'NI-Soc_SP'!$C:$AN,12,FALSE)</f>
        <v>0</v>
      </c>
      <c r="R1469" s="55">
        <f>VLOOKUP(E1469,'NI-Soc_SP'!$C:$AN,13,FALSE)</f>
        <v>0</v>
      </c>
      <c r="S1469" s="55"/>
      <c r="T1469" s="55"/>
      <c r="U1469" s="55">
        <f>VLOOKUP($E1469,'NI-Soc_SP'!$C:$AN,MID(U$1,1,2),FALSE)</f>
        <v>0</v>
      </c>
      <c r="V1469" s="55">
        <f>VLOOKUP($E1469,'NI-Soc_SP'!$C:$AN,MID(V$1,1,2),FALSE)</f>
        <v>0</v>
      </c>
      <c r="W1469" s="55">
        <f>VLOOKUP($E1469,'NI-Soc_SP'!$C:$AN,MID(W$1,1,2),FALSE)</f>
        <v>0</v>
      </c>
      <c r="X1469" s="55">
        <f>VLOOKUP($E1469,'NI-Soc_SP'!$C:$AN,MID(X$1,1,2),FALSE)</f>
        <v>0</v>
      </c>
      <c r="Y1469" s="55">
        <f>VLOOKUP($E1469,'NI-Soc_SP'!$C:$AN,MID(Y$1,1,2),FALSE)</f>
        <v>0</v>
      </c>
      <c r="Z1469" s="55">
        <f>VLOOKUP($E1469,'NI-Soc_SP'!$C:$AN,MID(Z$1,1,2),FALSE)</f>
        <v>0</v>
      </c>
      <c r="AA1469" s="55">
        <f>VLOOKUP($E1469,'NI-Soc_SP'!$C:$AN,MID(AA$1,1,2),FALSE)</f>
        <v>0</v>
      </c>
      <c r="AB1469" s="55">
        <f>VLOOKUP($E1469,'NI-Soc_SP'!$C:$AN,MID(AB$1,1,2),FALSE)</f>
        <v>0</v>
      </c>
      <c r="AC1469" s="55">
        <f>VLOOKUP($E1469,'NI-Soc_SP'!$C:$AN,MID(AC$1,1,2),FALSE)</f>
        <v>0</v>
      </c>
      <c r="AD1469" s="55">
        <f>VLOOKUP($E1469,'NI-Soc_SP'!$C:$AN,MID(AD$1,1,2),FALSE)</f>
        <v>0</v>
      </c>
      <c r="AE1469" s="55">
        <f>VLOOKUP($E1469,'NI-Soc_SP'!$C:$AN,MID(AE$1,1,2),FALSE)</f>
        <v>0</v>
      </c>
      <c r="AF1469" s="55">
        <f>VLOOKUP($E1469,'NI-Soc_SP'!$C:$AN,MID(AF$1,1,2),FALSE)</f>
        <v>0</v>
      </c>
      <c r="AG1469" s="55">
        <f>VLOOKUP($E1469,'NI-Soc_SP'!$C:$AN,MID(AG$1,1,2),FALSE)</f>
        <v>0</v>
      </c>
      <c r="AH1469" s="55">
        <f>VLOOKUP($E1469,'NI-Soc_SP'!$C:$AN,MID(AH$1,1,2),FALSE)</f>
        <v>0</v>
      </c>
      <c r="AI1469" s="55">
        <f>VLOOKUP($E1469,'NI-Soc_SP'!$C:$AN,MID(AI$1,1,2),FALSE)</f>
        <v>0</v>
      </c>
      <c r="AJ1469" s="55">
        <f>VLOOKUP($E1469,'NI-Soc_SP'!$C:$AN,MID(AJ$1,1,2),FALSE)</f>
        <v>0</v>
      </c>
      <c r="AK1469" s="55">
        <f>VLOOKUP($E1469,'NI-Soc_SP'!$C:$AN,MID(AK$1,1,2),FALSE)</f>
        <v>0</v>
      </c>
      <c r="AL1469" s="55">
        <f>VLOOKUP($E1469,'NI-Soc_SP'!$C:$AN,MID(AL$1,1,2),FALSE)</f>
        <v>0</v>
      </c>
      <c r="AM1469" s="56">
        <f>VLOOKUP($E1469,'NI-Soc_SP'!$C:$AN,MID(AM$1,1,2),FALSE)</f>
        <v>0</v>
      </c>
      <c r="AN1469" s="30" t="str">
        <f t="shared" si="22"/>
        <v>10103010010010</v>
      </c>
    </row>
    <row r="1470" spans="3:40" x14ac:dyDescent="0.25">
      <c r="C1470" s="40"/>
      <c r="D1470" s="121" t="s">
        <v>183</v>
      </c>
      <c r="E1470" s="121" t="s">
        <v>184</v>
      </c>
      <c r="F1470" s="122" t="s">
        <v>2758</v>
      </c>
      <c r="G1470" s="52"/>
      <c r="H1470" s="52"/>
      <c r="I1470" s="52"/>
      <c r="J1470" s="52"/>
      <c r="K1470" s="59" t="s">
        <v>79</v>
      </c>
      <c r="L1470" s="52"/>
      <c r="M1470" s="52"/>
      <c r="N1470" s="52"/>
      <c r="O1470" s="52"/>
      <c r="P1470" s="63" t="s">
        <v>185</v>
      </c>
      <c r="Q1470" s="55">
        <f>VLOOKUP(E1470,'NI-Soc_SP'!$C:$AN,12,FALSE)</f>
        <v>0</v>
      </c>
      <c r="R1470" s="55">
        <f>VLOOKUP(E1470,'NI-Soc_SP'!$C:$AN,13,FALSE)</f>
        <v>0</v>
      </c>
      <c r="S1470" s="55"/>
      <c r="T1470" s="55"/>
      <c r="U1470" s="55">
        <f>VLOOKUP($E1470,'NI-Soc_SP'!$C:$AN,MID(U$1,1,2),FALSE)</f>
        <v>0</v>
      </c>
      <c r="V1470" s="55">
        <f>VLOOKUP($E1470,'NI-Soc_SP'!$C:$AN,MID(V$1,1,2),FALSE)</f>
        <v>0</v>
      </c>
      <c r="W1470" s="55">
        <f>VLOOKUP($E1470,'NI-Soc_SP'!$C:$AN,MID(W$1,1,2),FALSE)</f>
        <v>0</v>
      </c>
      <c r="X1470" s="55">
        <f>VLOOKUP($E1470,'NI-Soc_SP'!$C:$AN,MID(X$1,1,2),FALSE)</f>
        <v>0</v>
      </c>
      <c r="Y1470" s="55">
        <f>VLOOKUP($E1470,'NI-Soc_SP'!$C:$AN,MID(Y$1,1,2),FALSE)</f>
        <v>0</v>
      </c>
      <c r="Z1470" s="55">
        <f>VLOOKUP($E1470,'NI-Soc_SP'!$C:$AN,MID(Z$1,1,2),FALSE)</f>
        <v>0</v>
      </c>
      <c r="AA1470" s="55">
        <f>VLOOKUP($E1470,'NI-Soc_SP'!$C:$AN,MID(AA$1,1,2),FALSE)</f>
        <v>0</v>
      </c>
      <c r="AB1470" s="55">
        <f>VLOOKUP($E1470,'NI-Soc_SP'!$C:$AN,MID(AB$1,1,2),FALSE)</f>
        <v>0</v>
      </c>
      <c r="AC1470" s="55">
        <f>VLOOKUP($E1470,'NI-Soc_SP'!$C:$AN,MID(AC$1,1,2),FALSE)</f>
        <v>0</v>
      </c>
      <c r="AD1470" s="55">
        <f>VLOOKUP($E1470,'NI-Soc_SP'!$C:$AN,MID(AD$1,1,2),FALSE)</f>
        <v>0</v>
      </c>
      <c r="AE1470" s="55">
        <f>VLOOKUP($E1470,'NI-Soc_SP'!$C:$AN,MID(AE$1,1,2),FALSE)</f>
        <v>0</v>
      </c>
      <c r="AF1470" s="55">
        <f>VLOOKUP($E1470,'NI-Soc_SP'!$C:$AN,MID(AF$1,1,2),FALSE)</f>
        <v>0</v>
      </c>
      <c r="AG1470" s="55">
        <f>VLOOKUP($E1470,'NI-Soc_SP'!$C:$AN,MID(AG$1,1,2),FALSE)</f>
        <v>0</v>
      </c>
      <c r="AH1470" s="55">
        <f>VLOOKUP($E1470,'NI-Soc_SP'!$C:$AN,MID(AH$1,1,2),FALSE)</f>
        <v>0</v>
      </c>
      <c r="AI1470" s="55">
        <f>VLOOKUP($E1470,'NI-Soc_SP'!$C:$AN,MID(AI$1,1,2),FALSE)</f>
        <v>0</v>
      </c>
      <c r="AJ1470" s="55">
        <f>VLOOKUP($E1470,'NI-Soc_SP'!$C:$AN,MID(AJ$1,1,2),FALSE)</f>
        <v>0</v>
      </c>
      <c r="AK1470" s="55">
        <f>VLOOKUP($E1470,'NI-Soc_SP'!$C:$AN,MID(AK$1,1,2),FALSE)</f>
        <v>0</v>
      </c>
      <c r="AL1470" s="55">
        <f>VLOOKUP($E1470,'NI-Soc_SP'!$C:$AN,MID(AL$1,1,2),FALSE)</f>
        <v>0</v>
      </c>
      <c r="AM1470" s="56">
        <f>VLOOKUP($E1470,'NI-Soc_SP'!$C:$AN,MID(AM$1,1,2),FALSE)</f>
        <v>0</v>
      </c>
      <c r="AN1470" s="30" t="str">
        <f t="shared" si="22"/>
        <v>10103010010020</v>
      </c>
    </row>
    <row r="1471" spans="3:40" x14ac:dyDescent="0.25">
      <c r="C1471" s="40"/>
      <c r="D1471" s="121" t="s">
        <v>186</v>
      </c>
      <c r="E1471" s="121" t="s">
        <v>187</v>
      </c>
      <c r="F1471" s="122" t="s">
        <v>2758</v>
      </c>
      <c r="G1471" s="52"/>
      <c r="H1471" s="52"/>
      <c r="I1471" s="52"/>
      <c r="J1471" s="52"/>
      <c r="K1471" s="59" t="s">
        <v>79</v>
      </c>
      <c r="L1471" s="52"/>
      <c r="M1471" s="52"/>
      <c r="N1471" s="52"/>
      <c r="O1471" s="52"/>
      <c r="P1471" s="64" t="s">
        <v>188</v>
      </c>
      <c r="Q1471" s="55">
        <f>VLOOKUP(E1471,'NI-Soc_SP'!$C:$AN,12,FALSE)</f>
        <v>0</v>
      </c>
      <c r="R1471" s="55">
        <f>VLOOKUP(E1471,'NI-Soc_SP'!$C:$AN,13,FALSE)</f>
        <v>0</v>
      </c>
      <c r="S1471" s="55"/>
      <c r="T1471" s="55"/>
      <c r="U1471" s="55">
        <f>VLOOKUP($E1471,'NI-Soc_SP'!$C:$AN,MID(U$1,1,2),FALSE)</f>
        <v>0</v>
      </c>
      <c r="V1471" s="55">
        <f>VLOOKUP($E1471,'NI-Soc_SP'!$C:$AN,MID(V$1,1,2),FALSE)</f>
        <v>0</v>
      </c>
      <c r="W1471" s="55">
        <f>VLOOKUP($E1471,'NI-Soc_SP'!$C:$AN,MID(W$1,1,2),FALSE)</f>
        <v>0</v>
      </c>
      <c r="X1471" s="55">
        <f>VLOOKUP($E1471,'NI-Soc_SP'!$C:$AN,MID(X$1,1,2),FALSE)</f>
        <v>0</v>
      </c>
      <c r="Y1471" s="55">
        <f>VLOOKUP($E1471,'NI-Soc_SP'!$C:$AN,MID(Y$1,1,2),FALSE)</f>
        <v>0</v>
      </c>
      <c r="Z1471" s="55">
        <f>VLOOKUP($E1471,'NI-Soc_SP'!$C:$AN,MID(Z$1,1,2),FALSE)</f>
        <v>0</v>
      </c>
      <c r="AA1471" s="55">
        <f>VLOOKUP($E1471,'NI-Soc_SP'!$C:$AN,MID(AA$1,1,2),FALSE)</f>
        <v>0</v>
      </c>
      <c r="AB1471" s="55">
        <f>VLOOKUP($E1471,'NI-Soc_SP'!$C:$AN,MID(AB$1,1,2),FALSE)</f>
        <v>0</v>
      </c>
      <c r="AC1471" s="55">
        <f>VLOOKUP($E1471,'NI-Soc_SP'!$C:$AN,MID(AC$1,1,2),FALSE)</f>
        <v>0</v>
      </c>
      <c r="AD1471" s="55">
        <f>VLOOKUP($E1471,'NI-Soc_SP'!$C:$AN,MID(AD$1,1,2),FALSE)</f>
        <v>0</v>
      </c>
      <c r="AE1471" s="55">
        <f>VLOOKUP($E1471,'NI-Soc_SP'!$C:$AN,MID(AE$1,1,2),FALSE)</f>
        <v>0</v>
      </c>
      <c r="AF1471" s="55">
        <f>VLOOKUP($E1471,'NI-Soc_SP'!$C:$AN,MID(AF$1,1,2),FALSE)</f>
        <v>0</v>
      </c>
      <c r="AG1471" s="55">
        <f>VLOOKUP($E1471,'NI-Soc_SP'!$C:$AN,MID(AG$1,1,2),FALSE)</f>
        <v>0</v>
      </c>
      <c r="AH1471" s="55">
        <f>VLOOKUP($E1471,'NI-Soc_SP'!$C:$AN,MID(AH$1,1,2),FALSE)</f>
        <v>0</v>
      </c>
      <c r="AI1471" s="55">
        <f>VLOOKUP($E1471,'NI-Soc_SP'!$C:$AN,MID(AI$1,1,2),FALSE)</f>
        <v>0</v>
      </c>
      <c r="AJ1471" s="55">
        <f>VLOOKUP($E1471,'NI-Soc_SP'!$C:$AN,MID(AJ$1,1,2),FALSE)</f>
        <v>0</v>
      </c>
      <c r="AK1471" s="55">
        <f>VLOOKUP($E1471,'NI-Soc_SP'!$C:$AN,MID(AK$1,1,2),FALSE)</f>
        <v>0</v>
      </c>
      <c r="AL1471" s="55">
        <f>VLOOKUP($E1471,'NI-Soc_SP'!$C:$AN,MID(AL$1,1,2),FALSE)</f>
        <v>0</v>
      </c>
      <c r="AM1471" s="56">
        <f>VLOOKUP($E1471,'NI-Soc_SP'!$C:$AN,MID(AM$1,1,2),FALSE)</f>
        <v>0</v>
      </c>
      <c r="AN1471" s="30" t="str">
        <f t="shared" si="22"/>
        <v>10103010020010</v>
      </c>
    </row>
    <row r="1472" spans="3:40" x14ac:dyDescent="0.25">
      <c r="C1472" s="40"/>
      <c r="D1472" s="121" t="s">
        <v>189</v>
      </c>
      <c r="E1472" s="121" t="s">
        <v>190</v>
      </c>
      <c r="F1472" s="122" t="s">
        <v>2758</v>
      </c>
      <c r="G1472" s="52"/>
      <c r="H1472" s="52"/>
      <c r="I1472" s="52"/>
      <c r="J1472" s="52"/>
      <c r="K1472" s="59" t="s">
        <v>79</v>
      </c>
      <c r="L1472" s="52"/>
      <c r="M1472" s="52"/>
      <c r="N1472" s="52"/>
      <c r="O1472" s="52"/>
      <c r="P1472" s="64" t="s">
        <v>191</v>
      </c>
      <c r="Q1472" s="55">
        <f>VLOOKUP(E1472,'NI-Soc_SP'!$C:$AN,12,FALSE)</f>
        <v>0</v>
      </c>
      <c r="R1472" s="55">
        <f>VLOOKUP(E1472,'NI-Soc_SP'!$C:$AN,13,FALSE)</f>
        <v>0</v>
      </c>
      <c r="S1472" s="55"/>
      <c r="T1472" s="55"/>
      <c r="U1472" s="55">
        <f>VLOOKUP($E1472,'NI-Soc_SP'!$C:$AN,MID(U$1,1,2),FALSE)</f>
        <v>0</v>
      </c>
      <c r="V1472" s="55">
        <f>VLOOKUP($E1472,'NI-Soc_SP'!$C:$AN,MID(V$1,1,2),FALSE)</f>
        <v>0</v>
      </c>
      <c r="W1472" s="55">
        <f>VLOOKUP($E1472,'NI-Soc_SP'!$C:$AN,MID(W$1,1,2),FALSE)</f>
        <v>0</v>
      </c>
      <c r="X1472" s="55">
        <f>VLOOKUP($E1472,'NI-Soc_SP'!$C:$AN,MID(X$1,1,2),FALSE)</f>
        <v>0</v>
      </c>
      <c r="Y1472" s="55">
        <f>VLOOKUP($E1472,'NI-Soc_SP'!$C:$AN,MID(Y$1,1,2),FALSE)</f>
        <v>0</v>
      </c>
      <c r="Z1472" s="55">
        <f>VLOOKUP($E1472,'NI-Soc_SP'!$C:$AN,MID(Z$1,1,2),FALSE)</f>
        <v>0</v>
      </c>
      <c r="AA1472" s="55">
        <f>VLOOKUP($E1472,'NI-Soc_SP'!$C:$AN,MID(AA$1,1,2),FALSE)</f>
        <v>0</v>
      </c>
      <c r="AB1472" s="55">
        <f>VLOOKUP($E1472,'NI-Soc_SP'!$C:$AN,MID(AB$1,1,2),FALSE)</f>
        <v>0</v>
      </c>
      <c r="AC1472" s="55">
        <f>VLOOKUP($E1472,'NI-Soc_SP'!$C:$AN,MID(AC$1,1,2),FALSE)</f>
        <v>0</v>
      </c>
      <c r="AD1472" s="55">
        <f>VLOOKUP($E1472,'NI-Soc_SP'!$C:$AN,MID(AD$1,1,2),FALSE)</f>
        <v>0</v>
      </c>
      <c r="AE1472" s="55">
        <f>VLOOKUP($E1472,'NI-Soc_SP'!$C:$AN,MID(AE$1,1,2),FALSE)</f>
        <v>0</v>
      </c>
      <c r="AF1472" s="55">
        <f>VLOOKUP($E1472,'NI-Soc_SP'!$C:$AN,MID(AF$1,1,2),FALSE)</f>
        <v>0</v>
      </c>
      <c r="AG1472" s="55">
        <f>VLOOKUP($E1472,'NI-Soc_SP'!$C:$AN,MID(AG$1,1,2),FALSE)</f>
        <v>0</v>
      </c>
      <c r="AH1472" s="55">
        <f>VLOOKUP($E1472,'NI-Soc_SP'!$C:$AN,MID(AH$1,1,2),FALSE)</f>
        <v>0</v>
      </c>
      <c r="AI1472" s="55">
        <f>VLOOKUP($E1472,'NI-Soc_SP'!$C:$AN,MID(AI$1,1,2),FALSE)</f>
        <v>0</v>
      </c>
      <c r="AJ1472" s="55">
        <f>VLOOKUP($E1472,'NI-Soc_SP'!$C:$AN,MID(AJ$1,1,2),FALSE)</f>
        <v>0</v>
      </c>
      <c r="AK1472" s="55">
        <f>VLOOKUP($E1472,'NI-Soc_SP'!$C:$AN,MID(AK$1,1,2),FALSE)</f>
        <v>0</v>
      </c>
      <c r="AL1472" s="55">
        <f>VLOOKUP($E1472,'NI-Soc_SP'!$C:$AN,MID(AL$1,1,2),FALSE)</f>
        <v>0</v>
      </c>
      <c r="AM1472" s="56">
        <f>VLOOKUP($E1472,'NI-Soc_SP'!$C:$AN,MID(AM$1,1,2),FALSE)</f>
        <v>0</v>
      </c>
      <c r="AN1472" s="30" t="str">
        <f t="shared" si="22"/>
        <v>10103010020020</v>
      </c>
    </row>
    <row r="1473" spans="3:40" ht="27" x14ac:dyDescent="0.25">
      <c r="C1473" s="40"/>
      <c r="D1473" s="121" t="s">
        <v>192</v>
      </c>
      <c r="E1473" s="121" t="s">
        <v>193</v>
      </c>
      <c r="F1473" s="122" t="s">
        <v>2758</v>
      </c>
      <c r="G1473" s="52"/>
      <c r="H1473" s="52"/>
      <c r="I1473" s="52" t="s">
        <v>194</v>
      </c>
      <c r="J1473" s="52"/>
      <c r="K1473" s="59" t="s">
        <v>111</v>
      </c>
      <c r="L1473" s="62" t="s">
        <v>195</v>
      </c>
      <c r="M1473" s="52"/>
      <c r="N1473" s="52"/>
      <c r="O1473" s="52"/>
      <c r="P1473" s="54" t="s">
        <v>196</v>
      </c>
      <c r="Q1473" s="55">
        <f>VLOOKUP(E1473,'NI-Soc_SP'!$C:$AN,12,FALSE)</f>
        <v>0</v>
      </c>
      <c r="R1473" s="55">
        <f>VLOOKUP(E1473,'NI-Soc_SP'!$C:$AN,13,FALSE)</f>
        <v>0</v>
      </c>
      <c r="S1473" s="55"/>
      <c r="T1473" s="55"/>
      <c r="U1473" s="55">
        <f>VLOOKUP($E1473,'NI-Soc_SP'!$C:$AN,MID(U$1,1,2),FALSE)</f>
        <v>0</v>
      </c>
      <c r="V1473" s="55">
        <f>VLOOKUP($E1473,'NI-Soc_SP'!$C:$AN,MID(V$1,1,2),FALSE)</f>
        <v>0</v>
      </c>
      <c r="W1473" s="55">
        <f>VLOOKUP($E1473,'NI-Soc_SP'!$C:$AN,MID(W$1,1,2),FALSE)</f>
        <v>0</v>
      </c>
      <c r="X1473" s="55">
        <f>VLOOKUP($E1473,'NI-Soc_SP'!$C:$AN,MID(X$1,1,2),FALSE)</f>
        <v>0</v>
      </c>
      <c r="Y1473" s="55">
        <f>VLOOKUP($E1473,'NI-Soc_SP'!$C:$AN,MID(Y$1,1,2),FALSE)</f>
        <v>0</v>
      </c>
      <c r="Z1473" s="55">
        <f>VLOOKUP($E1473,'NI-Soc_SP'!$C:$AN,MID(Z$1,1,2),FALSE)</f>
        <v>0</v>
      </c>
      <c r="AA1473" s="55">
        <f>VLOOKUP($E1473,'NI-Soc_SP'!$C:$AN,MID(AA$1,1,2),FALSE)</f>
        <v>0</v>
      </c>
      <c r="AB1473" s="55">
        <f>VLOOKUP($E1473,'NI-Soc_SP'!$C:$AN,MID(AB$1,1,2),FALSE)</f>
        <v>0</v>
      </c>
      <c r="AC1473" s="55">
        <f>VLOOKUP($E1473,'NI-Soc_SP'!$C:$AN,MID(AC$1,1,2),FALSE)</f>
        <v>0</v>
      </c>
      <c r="AD1473" s="55">
        <f>VLOOKUP($E1473,'NI-Soc_SP'!$C:$AN,MID(AD$1,1,2),FALSE)</f>
        <v>0</v>
      </c>
      <c r="AE1473" s="55">
        <f>VLOOKUP($E1473,'NI-Soc_SP'!$C:$AN,MID(AE$1,1,2),FALSE)</f>
        <v>0</v>
      </c>
      <c r="AF1473" s="55">
        <f>VLOOKUP($E1473,'NI-Soc_SP'!$C:$AN,MID(AF$1,1,2),FALSE)</f>
        <v>0</v>
      </c>
      <c r="AG1473" s="55">
        <f>VLOOKUP($E1473,'NI-Soc_SP'!$C:$AN,MID(AG$1,1,2),FALSE)</f>
        <v>0</v>
      </c>
      <c r="AH1473" s="55">
        <f>VLOOKUP($E1473,'NI-Soc_SP'!$C:$AN,MID(AH$1,1,2),FALSE)</f>
        <v>0</v>
      </c>
      <c r="AI1473" s="55">
        <f>VLOOKUP($E1473,'NI-Soc_SP'!$C:$AN,MID(AI$1,1,2),FALSE)</f>
        <v>0</v>
      </c>
      <c r="AJ1473" s="55">
        <f>VLOOKUP($E1473,'NI-Soc_SP'!$C:$AN,MID(AJ$1,1,2),FALSE)</f>
        <v>0</v>
      </c>
      <c r="AK1473" s="55">
        <f>VLOOKUP($E1473,'NI-Soc_SP'!$C:$AN,MID(AK$1,1,2),FALSE)</f>
        <v>0</v>
      </c>
      <c r="AL1473" s="55">
        <f>VLOOKUP($E1473,'NI-Soc_SP'!$C:$AN,MID(AL$1,1,2),FALSE)</f>
        <v>0</v>
      </c>
      <c r="AM1473" s="56">
        <f>VLOOKUP($E1473,'NI-Soc_SP'!$C:$AN,MID(AM$1,1,2),FALSE)</f>
        <v>0</v>
      </c>
      <c r="AN1473" s="30" t="str">
        <f t="shared" si="22"/>
        <v>10103020000000</v>
      </c>
    </row>
    <row r="1474" spans="3:40" x14ac:dyDescent="0.25">
      <c r="C1474" s="40"/>
      <c r="D1474" s="121" t="s">
        <v>197</v>
      </c>
      <c r="E1474" s="121" t="s">
        <v>198</v>
      </c>
      <c r="F1474" s="122" t="s">
        <v>2758</v>
      </c>
      <c r="G1474" s="52"/>
      <c r="H1474" s="52"/>
      <c r="I1474" s="52"/>
      <c r="J1474" s="52"/>
      <c r="K1474" s="59" t="s">
        <v>79</v>
      </c>
      <c r="L1474" s="52"/>
      <c r="M1474" s="52"/>
      <c r="N1474" s="52"/>
      <c r="O1474" s="52"/>
      <c r="P1474" s="63" t="s">
        <v>199</v>
      </c>
      <c r="Q1474" s="55">
        <f>VLOOKUP(E1474,'NI-Soc_SP'!$C:$AN,12,FALSE)</f>
        <v>0</v>
      </c>
      <c r="R1474" s="55">
        <f>VLOOKUP(E1474,'NI-Soc_SP'!$C:$AN,13,FALSE)</f>
        <v>0</v>
      </c>
      <c r="S1474" s="55"/>
      <c r="T1474" s="55"/>
      <c r="U1474" s="55">
        <f>VLOOKUP($E1474,'NI-Soc_SP'!$C:$AN,MID(U$1,1,2),FALSE)</f>
        <v>0</v>
      </c>
      <c r="V1474" s="55">
        <f>VLOOKUP($E1474,'NI-Soc_SP'!$C:$AN,MID(V$1,1,2),FALSE)</f>
        <v>0</v>
      </c>
      <c r="W1474" s="55">
        <f>VLOOKUP($E1474,'NI-Soc_SP'!$C:$AN,MID(W$1,1,2),FALSE)</f>
        <v>0</v>
      </c>
      <c r="X1474" s="55">
        <f>VLOOKUP($E1474,'NI-Soc_SP'!$C:$AN,MID(X$1,1,2),FALSE)</f>
        <v>0</v>
      </c>
      <c r="Y1474" s="55">
        <f>VLOOKUP($E1474,'NI-Soc_SP'!$C:$AN,MID(Y$1,1,2),FALSE)</f>
        <v>0</v>
      </c>
      <c r="Z1474" s="55">
        <f>VLOOKUP($E1474,'NI-Soc_SP'!$C:$AN,MID(Z$1,1,2),FALSE)</f>
        <v>0</v>
      </c>
      <c r="AA1474" s="55">
        <f>VLOOKUP($E1474,'NI-Soc_SP'!$C:$AN,MID(AA$1,1,2),FALSE)</f>
        <v>0</v>
      </c>
      <c r="AB1474" s="55">
        <f>VLOOKUP($E1474,'NI-Soc_SP'!$C:$AN,MID(AB$1,1,2),FALSE)</f>
        <v>0</v>
      </c>
      <c r="AC1474" s="55">
        <f>VLOOKUP($E1474,'NI-Soc_SP'!$C:$AN,MID(AC$1,1,2),FALSE)</f>
        <v>0</v>
      </c>
      <c r="AD1474" s="55">
        <f>VLOOKUP($E1474,'NI-Soc_SP'!$C:$AN,MID(AD$1,1,2),FALSE)</f>
        <v>0</v>
      </c>
      <c r="AE1474" s="55">
        <f>VLOOKUP($E1474,'NI-Soc_SP'!$C:$AN,MID(AE$1,1,2),FALSE)</f>
        <v>0</v>
      </c>
      <c r="AF1474" s="55">
        <f>VLOOKUP($E1474,'NI-Soc_SP'!$C:$AN,MID(AF$1,1,2),FALSE)</f>
        <v>0</v>
      </c>
      <c r="AG1474" s="55">
        <f>VLOOKUP($E1474,'NI-Soc_SP'!$C:$AN,MID(AG$1,1,2),FALSE)</f>
        <v>0</v>
      </c>
      <c r="AH1474" s="55">
        <f>VLOOKUP($E1474,'NI-Soc_SP'!$C:$AN,MID(AH$1,1,2),FALSE)</f>
        <v>0</v>
      </c>
      <c r="AI1474" s="55">
        <f>VLOOKUP($E1474,'NI-Soc_SP'!$C:$AN,MID(AI$1,1,2),FALSE)</f>
        <v>0</v>
      </c>
      <c r="AJ1474" s="55">
        <f>VLOOKUP($E1474,'NI-Soc_SP'!$C:$AN,MID(AJ$1,1,2),FALSE)</f>
        <v>0</v>
      </c>
      <c r="AK1474" s="55">
        <f>VLOOKUP($E1474,'NI-Soc_SP'!$C:$AN,MID(AK$1,1,2),FALSE)</f>
        <v>0</v>
      </c>
      <c r="AL1474" s="55">
        <f>VLOOKUP($E1474,'NI-Soc_SP'!$C:$AN,MID(AL$1,1,2),FALSE)</f>
        <v>0</v>
      </c>
      <c r="AM1474" s="56">
        <f>VLOOKUP($E1474,'NI-Soc_SP'!$C:$AN,MID(AM$1,1,2),FALSE)</f>
        <v>0</v>
      </c>
      <c r="AN1474" s="30" t="str">
        <f t="shared" ref="AN1474:AN1537" si="23">D1474</f>
        <v>10103020010010</v>
      </c>
    </row>
    <row r="1475" spans="3:40" x14ac:dyDescent="0.25">
      <c r="C1475" s="40"/>
      <c r="D1475" s="121" t="s">
        <v>200</v>
      </c>
      <c r="E1475" s="121" t="s">
        <v>201</v>
      </c>
      <c r="F1475" s="122" t="s">
        <v>2758</v>
      </c>
      <c r="G1475" s="52"/>
      <c r="H1475" s="52"/>
      <c r="I1475" s="52"/>
      <c r="J1475" s="52"/>
      <c r="K1475" s="59" t="s">
        <v>79</v>
      </c>
      <c r="L1475" s="52"/>
      <c r="M1475" s="52"/>
      <c r="N1475" s="52"/>
      <c r="O1475" s="52"/>
      <c r="P1475" s="63" t="s">
        <v>202</v>
      </c>
      <c r="Q1475" s="55">
        <f>VLOOKUP(E1475,'NI-Soc_SP'!$C:$AN,12,FALSE)</f>
        <v>0</v>
      </c>
      <c r="R1475" s="55">
        <f>VLOOKUP(E1475,'NI-Soc_SP'!$C:$AN,13,FALSE)</f>
        <v>0</v>
      </c>
      <c r="S1475" s="55"/>
      <c r="T1475" s="55"/>
      <c r="U1475" s="55">
        <f>VLOOKUP($E1475,'NI-Soc_SP'!$C:$AN,MID(U$1,1,2),FALSE)</f>
        <v>0</v>
      </c>
      <c r="V1475" s="55">
        <f>VLOOKUP($E1475,'NI-Soc_SP'!$C:$AN,MID(V$1,1,2),FALSE)</f>
        <v>0</v>
      </c>
      <c r="W1475" s="55">
        <f>VLOOKUP($E1475,'NI-Soc_SP'!$C:$AN,MID(W$1,1,2),FALSE)</f>
        <v>0</v>
      </c>
      <c r="X1475" s="55">
        <f>VLOOKUP($E1475,'NI-Soc_SP'!$C:$AN,MID(X$1,1,2),FALSE)</f>
        <v>0</v>
      </c>
      <c r="Y1475" s="55">
        <f>VLOOKUP($E1475,'NI-Soc_SP'!$C:$AN,MID(Y$1,1,2),FALSE)</f>
        <v>0</v>
      </c>
      <c r="Z1475" s="55">
        <f>VLOOKUP($E1475,'NI-Soc_SP'!$C:$AN,MID(Z$1,1,2),FALSE)</f>
        <v>0</v>
      </c>
      <c r="AA1475" s="55">
        <f>VLOOKUP($E1475,'NI-Soc_SP'!$C:$AN,MID(AA$1,1,2),FALSE)</f>
        <v>0</v>
      </c>
      <c r="AB1475" s="55">
        <f>VLOOKUP($E1475,'NI-Soc_SP'!$C:$AN,MID(AB$1,1,2),FALSE)</f>
        <v>0</v>
      </c>
      <c r="AC1475" s="55">
        <f>VLOOKUP($E1475,'NI-Soc_SP'!$C:$AN,MID(AC$1,1,2),FALSE)</f>
        <v>0</v>
      </c>
      <c r="AD1475" s="55">
        <f>VLOOKUP($E1475,'NI-Soc_SP'!$C:$AN,MID(AD$1,1,2),FALSE)</f>
        <v>0</v>
      </c>
      <c r="AE1475" s="55">
        <f>VLOOKUP($E1475,'NI-Soc_SP'!$C:$AN,MID(AE$1,1,2),FALSE)</f>
        <v>0</v>
      </c>
      <c r="AF1475" s="55">
        <f>VLOOKUP($E1475,'NI-Soc_SP'!$C:$AN,MID(AF$1,1,2),FALSE)</f>
        <v>0</v>
      </c>
      <c r="AG1475" s="55">
        <f>VLOOKUP($E1475,'NI-Soc_SP'!$C:$AN,MID(AG$1,1,2),FALSE)</f>
        <v>0</v>
      </c>
      <c r="AH1475" s="55">
        <f>VLOOKUP($E1475,'NI-Soc_SP'!$C:$AN,MID(AH$1,1,2),FALSE)</f>
        <v>0</v>
      </c>
      <c r="AI1475" s="55">
        <f>VLOOKUP($E1475,'NI-Soc_SP'!$C:$AN,MID(AI$1,1,2),FALSE)</f>
        <v>0</v>
      </c>
      <c r="AJ1475" s="55">
        <f>VLOOKUP($E1475,'NI-Soc_SP'!$C:$AN,MID(AJ$1,1,2),FALSE)</f>
        <v>0</v>
      </c>
      <c r="AK1475" s="55">
        <f>VLOOKUP($E1475,'NI-Soc_SP'!$C:$AN,MID(AK$1,1,2),FALSE)</f>
        <v>0</v>
      </c>
      <c r="AL1475" s="55">
        <f>VLOOKUP($E1475,'NI-Soc_SP'!$C:$AN,MID(AL$1,1,2),FALSE)</f>
        <v>0</v>
      </c>
      <c r="AM1475" s="56">
        <f>VLOOKUP($E1475,'NI-Soc_SP'!$C:$AN,MID(AM$1,1,2),FALSE)</f>
        <v>0</v>
      </c>
      <c r="AN1475" s="30" t="str">
        <f t="shared" si="23"/>
        <v>10103020010020</v>
      </c>
    </row>
    <row r="1476" spans="3:40" x14ac:dyDescent="0.25">
      <c r="C1476" s="40"/>
      <c r="D1476" s="121" t="s">
        <v>203</v>
      </c>
      <c r="E1476" s="121" t="s">
        <v>204</v>
      </c>
      <c r="F1476" s="122" t="s">
        <v>2758</v>
      </c>
      <c r="G1476" s="52"/>
      <c r="H1476" s="52"/>
      <c r="I1476" s="52"/>
      <c r="J1476" s="52"/>
      <c r="K1476" s="59" t="s">
        <v>79</v>
      </c>
      <c r="L1476" s="52"/>
      <c r="M1476" s="52"/>
      <c r="N1476" s="52"/>
      <c r="O1476" s="52"/>
      <c r="P1476" s="64" t="s">
        <v>205</v>
      </c>
      <c r="Q1476" s="55">
        <f>VLOOKUP(E1476,'NI-Soc_SP'!$C:$AN,12,FALSE)</f>
        <v>0</v>
      </c>
      <c r="R1476" s="55">
        <f>VLOOKUP(E1476,'NI-Soc_SP'!$C:$AN,13,FALSE)</f>
        <v>0</v>
      </c>
      <c r="S1476" s="55"/>
      <c r="T1476" s="55"/>
      <c r="U1476" s="55">
        <f>VLOOKUP($E1476,'NI-Soc_SP'!$C:$AN,MID(U$1,1,2),FALSE)</f>
        <v>0</v>
      </c>
      <c r="V1476" s="55">
        <f>VLOOKUP($E1476,'NI-Soc_SP'!$C:$AN,MID(V$1,1,2),FALSE)</f>
        <v>0</v>
      </c>
      <c r="W1476" s="55">
        <f>VLOOKUP($E1476,'NI-Soc_SP'!$C:$AN,MID(W$1,1,2),FALSE)</f>
        <v>0</v>
      </c>
      <c r="X1476" s="55">
        <f>VLOOKUP($E1476,'NI-Soc_SP'!$C:$AN,MID(X$1,1,2),FALSE)</f>
        <v>0</v>
      </c>
      <c r="Y1476" s="55">
        <f>VLOOKUP($E1476,'NI-Soc_SP'!$C:$AN,MID(Y$1,1,2),FALSE)</f>
        <v>0</v>
      </c>
      <c r="Z1476" s="55">
        <f>VLOOKUP($E1476,'NI-Soc_SP'!$C:$AN,MID(Z$1,1,2),FALSE)</f>
        <v>0</v>
      </c>
      <c r="AA1476" s="55">
        <f>VLOOKUP($E1476,'NI-Soc_SP'!$C:$AN,MID(AA$1,1,2),FALSE)</f>
        <v>0</v>
      </c>
      <c r="AB1476" s="55">
        <f>VLOOKUP($E1476,'NI-Soc_SP'!$C:$AN,MID(AB$1,1,2),FALSE)</f>
        <v>0</v>
      </c>
      <c r="AC1476" s="55">
        <f>VLOOKUP($E1476,'NI-Soc_SP'!$C:$AN,MID(AC$1,1,2),FALSE)</f>
        <v>0</v>
      </c>
      <c r="AD1476" s="55">
        <f>VLOOKUP($E1476,'NI-Soc_SP'!$C:$AN,MID(AD$1,1,2),FALSE)</f>
        <v>0</v>
      </c>
      <c r="AE1476" s="55">
        <f>VLOOKUP($E1476,'NI-Soc_SP'!$C:$AN,MID(AE$1,1,2),FALSE)</f>
        <v>0</v>
      </c>
      <c r="AF1476" s="55">
        <f>VLOOKUP($E1476,'NI-Soc_SP'!$C:$AN,MID(AF$1,1,2),FALSE)</f>
        <v>0</v>
      </c>
      <c r="AG1476" s="55">
        <f>VLOOKUP($E1476,'NI-Soc_SP'!$C:$AN,MID(AG$1,1,2),FALSE)</f>
        <v>0</v>
      </c>
      <c r="AH1476" s="55">
        <f>VLOOKUP($E1476,'NI-Soc_SP'!$C:$AN,MID(AH$1,1,2),FALSE)</f>
        <v>0</v>
      </c>
      <c r="AI1476" s="55">
        <f>VLOOKUP($E1476,'NI-Soc_SP'!$C:$AN,MID(AI$1,1,2),FALSE)</f>
        <v>0</v>
      </c>
      <c r="AJ1476" s="55">
        <f>VLOOKUP($E1476,'NI-Soc_SP'!$C:$AN,MID(AJ$1,1,2),FALSE)</f>
        <v>0</v>
      </c>
      <c r="AK1476" s="55">
        <f>VLOOKUP($E1476,'NI-Soc_SP'!$C:$AN,MID(AK$1,1,2),FALSE)</f>
        <v>0</v>
      </c>
      <c r="AL1476" s="55">
        <f>VLOOKUP($E1476,'NI-Soc_SP'!$C:$AN,MID(AL$1,1,2),FALSE)</f>
        <v>0</v>
      </c>
      <c r="AM1476" s="56">
        <f>VLOOKUP($E1476,'NI-Soc_SP'!$C:$AN,MID(AM$1,1,2),FALSE)</f>
        <v>0</v>
      </c>
      <c r="AN1476" s="30" t="str">
        <f t="shared" si="23"/>
        <v>10103020020010</v>
      </c>
    </row>
    <row r="1477" spans="3:40" x14ac:dyDescent="0.25">
      <c r="C1477" s="40"/>
      <c r="D1477" s="121" t="s">
        <v>206</v>
      </c>
      <c r="E1477" s="121" t="s">
        <v>207</v>
      </c>
      <c r="F1477" s="122" t="s">
        <v>2758</v>
      </c>
      <c r="G1477" s="52"/>
      <c r="H1477" s="52"/>
      <c r="I1477" s="52"/>
      <c r="J1477" s="52"/>
      <c r="K1477" s="59" t="s">
        <v>79</v>
      </c>
      <c r="L1477" s="52"/>
      <c r="M1477" s="52"/>
      <c r="N1477" s="52"/>
      <c r="O1477" s="52"/>
      <c r="P1477" s="64" t="s">
        <v>208</v>
      </c>
      <c r="Q1477" s="55">
        <f>VLOOKUP(E1477,'NI-Soc_SP'!$C:$AN,12,FALSE)</f>
        <v>0</v>
      </c>
      <c r="R1477" s="55">
        <f>VLOOKUP(E1477,'NI-Soc_SP'!$C:$AN,13,FALSE)</f>
        <v>0</v>
      </c>
      <c r="S1477" s="55"/>
      <c r="T1477" s="55"/>
      <c r="U1477" s="55">
        <f>VLOOKUP($E1477,'NI-Soc_SP'!$C:$AN,MID(U$1,1,2),FALSE)</f>
        <v>0</v>
      </c>
      <c r="V1477" s="55">
        <f>VLOOKUP($E1477,'NI-Soc_SP'!$C:$AN,MID(V$1,1,2),FALSE)</f>
        <v>0</v>
      </c>
      <c r="W1477" s="55">
        <f>VLOOKUP($E1477,'NI-Soc_SP'!$C:$AN,MID(W$1,1,2),FALSE)</f>
        <v>0</v>
      </c>
      <c r="X1477" s="55">
        <f>VLOOKUP($E1477,'NI-Soc_SP'!$C:$AN,MID(X$1,1,2),FALSE)</f>
        <v>0</v>
      </c>
      <c r="Y1477" s="55">
        <f>VLOOKUP($E1477,'NI-Soc_SP'!$C:$AN,MID(Y$1,1,2),FALSE)</f>
        <v>0</v>
      </c>
      <c r="Z1477" s="55">
        <f>VLOOKUP($E1477,'NI-Soc_SP'!$C:$AN,MID(Z$1,1,2),FALSE)</f>
        <v>0</v>
      </c>
      <c r="AA1477" s="55">
        <f>VLOOKUP($E1477,'NI-Soc_SP'!$C:$AN,MID(AA$1,1,2),FALSE)</f>
        <v>0</v>
      </c>
      <c r="AB1477" s="55">
        <f>VLOOKUP($E1477,'NI-Soc_SP'!$C:$AN,MID(AB$1,1,2),FALSE)</f>
        <v>0</v>
      </c>
      <c r="AC1477" s="55">
        <f>VLOOKUP($E1477,'NI-Soc_SP'!$C:$AN,MID(AC$1,1,2),FALSE)</f>
        <v>0</v>
      </c>
      <c r="AD1477" s="55">
        <f>VLOOKUP($E1477,'NI-Soc_SP'!$C:$AN,MID(AD$1,1,2),FALSE)</f>
        <v>0</v>
      </c>
      <c r="AE1477" s="55">
        <f>VLOOKUP($E1477,'NI-Soc_SP'!$C:$AN,MID(AE$1,1,2),FALSE)</f>
        <v>0</v>
      </c>
      <c r="AF1477" s="55">
        <f>VLOOKUP($E1477,'NI-Soc_SP'!$C:$AN,MID(AF$1,1,2),FALSE)</f>
        <v>0</v>
      </c>
      <c r="AG1477" s="55">
        <f>VLOOKUP($E1477,'NI-Soc_SP'!$C:$AN,MID(AG$1,1,2),FALSE)</f>
        <v>0</v>
      </c>
      <c r="AH1477" s="55">
        <f>VLOOKUP($E1477,'NI-Soc_SP'!$C:$AN,MID(AH$1,1,2),FALSE)</f>
        <v>0</v>
      </c>
      <c r="AI1477" s="55">
        <f>VLOOKUP($E1477,'NI-Soc_SP'!$C:$AN,MID(AI$1,1,2),FALSE)</f>
        <v>0</v>
      </c>
      <c r="AJ1477" s="55">
        <f>VLOOKUP($E1477,'NI-Soc_SP'!$C:$AN,MID(AJ$1,1,2),FALSE)</f>
        <v>0</v>
      </c>
      <c r="AK1477" s="55">
        <f>VLOOKUP($E1477,'NI-Soc_SP'!$C:$AN,MID(AK$1,1,2),FALSE)</f>
        <v>0</v>
      </c>
      <c r="AL1477" s="55">
        <f>VLOOKUP($E1477,'NI-Soc_SP'!$C:$AN,MID(AL$1,1,2),FALSE)</f>
        <v>0</v>
      </c>
      <c r="AM1477" s="56">
        <f>VLOOKUP($E1477,'NI-Soc_SP'!$C:$AN,MID(AM$1,1,2),FALSE)</f>
        <v>0</v>
      </c>
      <c r="AN1477" s="30" t="str">
        <f t="shared" si="23"/>
        <v>10103020020020</v>
      </c>
    </row>
    <row r="1478" spans="3:40" x14ac:dyDescent="0.25">
      <c r="C1478" s="40"/>
      <c r="D1478" s="121" t="s">
        <v>209</v>
      </c>
      <c r="E1478" s="121" t="s">
        <v>210</v>
      </c>
      <c r="F1478" s="122" t="s">
        <v>2758</v>
      </c>
      <c r="G1478" s="52"/>
      <c r="H1478" s="52"/>
      <c r="I1478" s="52" t="s">
        <v>211</v>
      </c>
      <c r="J1478" s="52"/>
      <c r="K1478" s="59" t="s">
        <v>111</v>
      </c>
      <c r="L1478" s="62" t="s">
        <v>178</v>
      </c>
      <c r="M1478" s="52"/>
      <c r="N1478" s="52"/>
      <c r="O1478" s="52"/>
      <c r="P1478" s="54" t="s">
        <v>212</v>
      </c>
      <c r="Q1478" s="55">
        <f>VLOOKUP(E1478,'NI-Soc_SP'!$C:$AN,12,FALSE)</f>
        <v>0</v>
      </c>
      <c r="R1478" s="55">
        <f>VLOOKUP(E1478,'NI-Soc_SP'!$C:$AN,13,FALSE)</f>
        <v>0</v>
      </c>
      <c r="S1478" s="55"/>
      <c r="T1478" s="55"/>
      <c r="U1478" s="55">
        <f>VLOOKUP($E1478,'NI-Soc_SP'!$C:$AN,MID(U$1,1,2),FALSE)</f>
        <v>0</v>
      </c>
      <c r="V1478" s="55">
        <f>VLOOKUP($E1478,'NI-Soc_SP'!$C:$AN,MID(V$1,1,2),FALSE)</f>
        <v>0</v>
      </c>
      <c r="W1478" s="55">
        <f>VLOOKUP($E1478,'NI-Soc_SP'!$C:$AN,MID(W$1,1,2),FALSE)</f>
        <v>0</v>
      </c>
      <c r="X1478" s="55">
        <f>VLOOKUP($E1478,'NI-Soc_SP'!$C:$AN,MID(X$1,1,2),FALSE)</f>
        <v>0</v>
      </c>
      <c r="Y1478" s="55">
        <f>VLOOKUP($E1478,'NI-Soc_SP'!$C:$AN,MID(Y$1,1,2),FALSE)</f>
        <v>0</v>
      </c>
      <c r="Z1478" s="55">
        <f>VLOOKUP($E1478,'NI-Soc_SP'!$C:$AN,MID(Z$1,1,2),FALSE)</f>
        <v>0</v>
      </c>
      <c r="AA1478" s="55">
        <f>VLOOKUP($E1478,'NI-Soc_SP'!$C:$AN,MID(AA$1,1,2),FALSE)</f>
        <v>0</v>
      </c>
      <c r="AB1478" s="55">
        <f>VLOOKUP($E1478,'NI-Soc_SP'!$C:$AN,MID(AB$1,1,2),FALSE)</f>
        <v>0</v>
      </c>
      <c r="AC1478" s="55">
        <f>VLOOKUP($E1478,'NI-Soc_SP'!$C:$AN,MID(AC$1,1,2),FALSE)</f>
        <v>0</v>
      </c>
      <c r="AD1478" s="55">
        <f>VLOOKUP($E1478,'NI-Soc_SP'!$C:$AN,MID(AD$1,1,2),FALSE)</f>
        <v>0</v>
      </c>
      <c r="AE1478" s="55">
        <f>VLOOKUP($E1478,'NI-Soc_SP'!$C:$AN,MID(AE$1,1,2),FALSE)</f>
        <v>0</v>
      </c>
      <c r="AF1478" s="55">
        <f>VLOOKUP($E1478,'NI-Soc_SP'!$C:$AN,MID(AF$1,1,2),FALSE)</f>
        <v>0</v>
      </c>
      <c r="AG1478" s="55">
        <f>VLOOKUP($E1478,'NI-Soc_SP'!$C:$AN,MID(AG$1,1,2),FALSE)</f>
        <v>0</v>
      </c>
      <c r="AH1478" s="55">
        <f>VLOOKUP($E1478,'NI-Soc_SP'!$C:$AN,MID(AH$1,1,2),FALSE)</f>
        <v>0</v>
      </c>
      <c r="AI1478" s="55">
        <f>VLOOKUP($E1478,'NI-Soc_SP'!$C:$AN,MID(AI$1,1,2),FALSE)</f>
        <v>0</v>
      </c>
      <c r="AJ1478" s="55">
        <f>VLOOKUP($E1478,'NI-Soc_SP'!$C:$AN,MID(AJ$1,1,2),FALSE)</f>
        <v>0</v>
      </c>
      <c r="AK1478" s="55">
        <f>VLOOKUP($E1478,'NI-Soc_SP'!$C:$AN,MID(AK$1,1,2),FALSE)</f>
        <v>0</v>
      </c>
      <c r="AL1478" s="55">
        <f>VLOOKUP($E1478,'NI-Soc_SP'!$C:$AN,MID(AL$1,1,2),FALSE)</f>
        <v>0</v>
      </c>
      <c r="AM1478" s="56">
        <f>VLOOKUP($E1478,'NI-Soc_SP'!$C:$AN,MID(AM$1,1,2),FALSE)</f>
        <v>0</v>
      </c>
      <c r="AN1478" s="30" t="str">
        <f t="shared" si="23"/>
        <v>10103030000000</v>
      </c>
    </row>
    <row r="1479" spans="3:40" x14ac:dyDescent="0.25">
      <c r="C1479" s="40"/>
      <c r="D1479" s="121" t="s">
        <v>213</v>
      </c>
      <c r="E1479" s="121" t="s">
        <v>214</v>
      </c>
      <c r="F1479" s="122" t="s">
        <v>2758</v>
      </c>
      <c r="G1479" s="52"/>
      <c r="H1479" s="52"/>
      <c r="I1479" s="52"/>
      <c r="J1479" s="52"/>
      <c r="K1479" s="59" t="s">
        <v>79</v>
      </c>
      <c r="L1479" s="52"/>
      <c r="M1479" s="52"/>
      <c r="N1479" s="52"/>
      <c r="O1479" s="52"/>
      <c r="P1479" s="63" t="s">
        <v>215</v>
      </c>
      <c r="Q1479" s="55">
        <f>VLOOKUP(E1479,'NI-Soc_SP'!$C:$AN,12,FALSE)</f>
        <v>0</v>
      </c>
      <c r="R1479" s="55">
        <f>VLOOKUP(E1479,'NI-Soc_SP'!$C:$AN,13,FALSE)</f>
        <v>0</v>
      </c>
      <c r="S1479" s="55"/>
      <c r="T1479" s="55"/>
      <c r="U1479" s="55">
        <f>VLOOKUP($E1479,'NI-Soc_SP'!$C:$AN,MID(U$1,1,2),FALSE)</f>
        <v>0</v>
      </c>
      <c r="V1479" s="55">
        <f>VLOOKUP($E1479,'NI-Soc_SP'!$C:$AN,MID(V$1,1,2),FALSE)</f>
        <v>0</v>
      </c>
      <c r="W1479" s="55">
        <f>VLOOKUP($E1479,'NI-Soc_SP'!$C:$AN,MID(W$1,1,2),FALSE)</f>
        <v>0</v>
      </c>
      <c r="X1479" s="55">
        <f>VLOOKUP($E1479,'NI-Soc_SP'!$C:$AN,MID(X$1,1,2),FALSE)</f>
        <v>0</v>
      </c>
      <c r="Y1479" s="55">
        <f>VLOOKUP($E1479,'NI-Soc_SP'!$C:$AN,MID(Y$1,1,2),FALSE)</f>
        <v>0</v>
      </c>
      <c r="Z1479" s="55">
        <f>VLOOKUP($E1479,'NI-Soc_SP'!$C:$AN,MID(Z$1,1,2),FALSE)</f>
        <v>0</v>
      </c>
      <c r="AA1479" s="55">
        <f>VLOOKUP($E1479,'NI-Soc_SP'!$C:$AN,MID(AA$1,1,2),FALSE)</f>
        <v>0</v>
      </c>
      <c r="AB1479" s="55">
        <f>VLOOKUP($E1479,'NI-Soc_SP'!$C:$AN,MID(AB$1,1,2),FALSE)</f>
        <v>0</v>
      </c>
      <c r="AC1479" s="55">
        <f>VLOOKUP($E1479,'NI-Soc_SP'!$C:$AN,MID(AC$1,1,2),FALSE)</f>
        <v>0</v>
      </c>
      <c r="AD1479" s="55">
        <f>VLOOKUP($E1479,'NI-Soc_SP'!$C:$AN,MID(AD$1,1,2),FALSE)</f>
        <v>0</v>
      </c>
      <c r="AE1479" s="55">
        <f>VLOOKUP($E1479,'NI-Soc_SP'!$C:$AN,MID(AE$1,1,2),FALSE)</f>
        <v>0</v>
      </c>
      <c r="AF1479" s="55">
        <f>VLOOKUP($E1479,'NI-Soc_SP'!$C:$AN,MID(AF$1,1,2),FALSE)</f>
        <v>0</v>
      </c>
      <c r="AG1479" s="55">
        <f>VLOOKUP($E1479,'NI-Soc_SP'!$C:$AN,MID(AG$1,1,2),FALSE)</f>
        <v>0</v>
      </c>
      <c r="AH1479" s="55">
        <f>VLOOKUP($E1479,'NI-Soc_SP'!$C:$AN,MID(AH$1,1,2),FALSE)</f>
        <v>0</v>
      </c>
      <c r="AI1479" s="55">
        <f>VLOOKUP($E1479,'NI-Soc_SP'!$C:$AN,MID(AI$1,1,2),FALSE)</f>
        <v>0</v>
      </c>
      <c r="AJ1479" s="55">
        <f>VLOOKUP($E1479,'NI-Soc_SP'!$C:$AN,MID(AJ$1,1,2),FALSE)</f>
        <v>0</v>
      </c>
      <c r="AK1479" s="55">
        <f>VLOOKUP($E1479,'NI-Soc_SP'!$C:$AN,MID(AK$1,1,2),FALSE)</f>
        <v>0</v>
      </c>
      <c r="AL1479" s="55">
        <f>VLOOKUP($E1479,'NI-Soc_SP'!$C:$AN,MID(AL$1,1,2),FALSE)</f>
        <v>0</v>
      </c>
      <c r="AM1479" s="56">
        <f>VLOOKUP($E1479,'NI-Soc_SP'!$C:$AN,MID(AM$1,1,2),FALSE)</f>
        <v>0</v>
      </c>
      <c r="AN1479" s="30" t="str">
        <f t="shared" si="23"/>
        <v>10103030010010</v>
      </c>
    </row>
    <row r="1480" spans="3:40" x14ac:dyDescent="0.25">
      <c r="C1480" s="40"/>
      <c r="D1480" s="121" t="s">
        <v>216</v>
      </c>
      <c r="E1480" s="121" t="s">
        <v>217</v>
      </c>
      <c r="F1480" s="122" t="s">
        <v>2758</v>
      </c>
      <c r="G1480" s="52"/>
      <c r="H1480" s="52"/>
      <c r="I1480" s="52"/>
      <c r="J1480" s="52"/>
      <c r="K1480" s="59" t="s">
        <v>79</v>
      </c>
      <c r="L1480" s="52"/>
      <c r="M1480" s="52"/>
      <c r="N1480" s="52"/>
      <c r="O1480" s="52"/>
      <c r="P1480" s="63" t="s">
        <v>218</v>
      </c>
      <c r="Q1480" s="55">
        <f>VLOOKUP(E1480,'NI-Soc_SP'!$C:$AN,12,FALSE)</f>
        <v>0</v>
      </c>
      <c r="R1480" s="55">
        <f>VLOOKUP(E1480,'NI-Soc_SP'!$C:$AN,13,FALSE)</f>
        <v>0</v>
      </c>
      <c r="S1480" s="55"/>
      <c r="T1480" s="55"/>
      <c r="U1480" s="55">
        <f>VLOOKUP($E1480,'NI-Soc_SP'!$C:$AN,MID(U$1,1,2),FALSE)</f>
        <v>0</v>
      </c>
      <c r="V1480" s="55">
        <f>VLOOKUP($E1480,'NI-Soc_SP'!$C:$AN,MID(V$1,1,2),FALSE)</f>
        <v>0</v>
      </c>
      <c r="W1480" s="55">
        <f>VLOOKUP($E1480,'NI-Soc_SP'!$C:$AN,MID(W$1,1,2),FALSE)</f>
        <v>0</v>
      </c>
      <c r="X1480" s="55">
        <f>VLOOKUP($E1480,'NI-Soc_SP'!$C:$AN,MID(X$1,1,2),FALSE)</f>
        <v>0</v>
      </c>
      <c r="Y1480" s="55">
        <f>VLOOKUP($E1480,'NI-Soc_SP'!$C:$AN,MID(Y$1,1,2),FALSE)</f>
        <v>0</v>
      </c>
      <c r="Z1480" s="55">
        <f>VLOOKUP($E1480,'NI-Soc_SP'!$C:$AN,MID(Z$1,1,2),FALSE)</f>
        <v>0</v>
      </c>
      <c r="AA1480" s="55">
        <f>VLOOKUP($E1480,'NI-Soc_SP'!$C:$AN,MID(AA$1,1,2),FALSE)</f>
        <v>0</v>
      </c>
      <c r="AB1480" s="55">
        <f>VLOOKUP($E1480,'NI-Soc_SP'!$C:$AN,MID(AB$1,1,2),FALSE)</f>
        <v>0</v>
      </c>
      <c r="AC1480" s="55">
        <f>VLOOKUP($E1480,'NI-Soc_SP'!$C:$AN,MID(AC$1,1,2),FALSE)</f>
        <v>0</v>
      </c>
      <c r="AD1480" s="55">
        <f>VLOOKUP($E1480,'NI-Soc_SP'!$C:$AN,MID(AD$1,1,2),FALSE)</f>
        <v>0</v>
      </c>
      <c r="AE1480" s="55">
        <f>VLOOKUP($E1480,'NI-Soc_SP'!$C:$AN,MID(AE$1,1,2),FALSE)</f>
        <v>0</v>
      </c>
      <c r="AF1480" s="55">
        <f>VLOOKUP($E1480,'NI-Soc_SP'!$C:$AN,MID(AF$1,1,2),FALSE)</f>
        <v>0</v>
      </c>
      <c r="AG1480" s="55">
        <f>VLOOKUP($E1480,'NI-Soc_SP'!$C:$AN,MID(AG$1,1,2),FALSE)</f>
        <v>0</v>
      </c>
      <c r="AH1480" s="55">
        <f>VLOOKUP($E1480,'NI-Soc_SP'!$C:$AN,MID(AH$1,1,2),FALSE)</f>
        <v>0</v>
      </c>
      <c r="AI1480" s="55">
        <f>VLOOKUP($E1480,'NI-Soc_SP'!$C:$AN,MID(AI$1,1,2),FALSE)</f>
        <v>0</v>
      </c>
      <c r="AJ1480" s="55">
        <f>VLOOKUP($E1480,'NI-Soc_SP'!$C:$AN,MID(AJ$1,1,2),FALSE)</f>
        <v>0</v>
      </c>
      <c r="AK1480" s="55">
        <f>VLOOKUP($E1480,'NI-Soc_SP'!$C:$AN,MID(AK$1,1,2),FALSE)</f>
        <v>0</v>
      </c>
      <c r="AL1480" s="55">
        <f>VLOOKUP($E1480,'NI-Soc_SP'!$C:$AN,MID(AL$1,1,2),FALSE)</f>
        <v>0</v>
      </c>
      <c r="AM1480" s="56">
        <f>VLOOKUP($E1480,'NI-Soc_SP'!$C:$AN,MID(AM$1,1,2),FALSE)</f>
        <v>0</v>
      </c>
      <c r="AN1480" s="30" t="str">
        <f t="shared" si="23"/>
        <v>10103030010020</v>
      </c>
    </row>
    <row r="1481" spans="3:40" x14ac:dyDescent="0.25">
      <c r="C1481" s="40"/>
      <c r="D1481" s="121" t="s">
        <v>219</v>
      </c>
      <c r="E1481" s="121" t="s">
        <v>220</v>
      </c>
      <c r="F1481" s="122" t="s">
        <v>2758</v>
      </c>
      <c r="G1481" s="52"/>
      <c r="H1481" s="52"/>
      <c r="I1481" s="52"/>
      <c r="J1481" s="52"/>
      <c r="K1481" s="59" t="s">
        <v>79</v>
      </c>
      <c r="L1481" s="52"/>
      <c r="M1481" s="52"/>
      <c r="N1481" s="52"/>
      <c r="O1481" s="52"/>
      <c r="P1481" s="64" t="s">
        <v>221</v>
      </c>
      <c r="Q1481" s="55">
        <f>VLOOKUP(E1481,'NI-Soc_SP'!$C:$AN,12,FALSE)</f>
        <v>0</v>
      </c>
      <c r="R1481" s="55">
        <f>VLOOKUP(E1481,'NI-Soc_SP'!$C:$AN,13,FALSE)</f>
        <v>0</v>
      </c>
      <c r="S1481" s="55"/>
      <c r="T1481" s="55"/>
      <c r="U1481" s="55">
        <f>VLOOKUP($E1481,'NI-Soc_SP'!$C:$AN,MID(U$1,1,2),FALSE)</f>
        <v>0</v>
      </c>
      <c r="V1481" s="55">
        <f>VLOOKUP($E1481,'NI-Soc_SP'!$C:$AN,MID(V$1,1,2),FALSE)</f>
        <v>0</v>
      </c>
      <c r="W1481" s="55">
        <f>VLOOKUP($E1481,'NI-Soc_SP'!$C:$AN,MID(W$1,1,2),FALSE)</f>
        <v>0</v>
      </c>
      <c r="X1481" s="55">
        <f>VLOOKUP($E1481,'NI-Soc_SP'!$C:$AN,MID(X$1,1,2),FALSE)</f>
        <v>0</v>
      </c>
      <c r="Y1481" s="55">
        <f>VLOOKUP($E1481,'NI-Soc_SP'!$C:$AN,MID(Y$1,1,2),FALSE)</f>
        <v>0</v>
      </c>
      <c r="Z1481" s="55">
        <f>VLOOKUP($E1481,'NI-Soc_SP'!$C:$AN,MID(Z$1,1,2),FALSE)</f>
        <v>0</v>
      </c>
      <c r="AA1481" s="55">
        <f>VLOOKUP($E1481,'NI-Soc_SP'!$C:$AN,MID(AA$1,1,2),FALSE)</f>
        <v>0</v>
      </c>
      <c r="AB1481" s="55">
        <f>VLOOKUP($E1481,'NI-Soc_SP'!$C:$AN,MID(AB$1,1,2),FALSE)</f>
        <v>0</v>
      </c>
      <c r="AC1481" s="55">
        <f>VLOOKUP($E1481,'NI-Soc_SP'!$C:$AN,MID(AC$1,1,2),FALSE)</f>
        <v>0</v>
      </c>
      <c r="AD1481" s="55">
        <f>VLOOKUP($E1481,'NI-Soc_SP'!$C:$AN,MID(AD$1,1,2),FALSE)</f>
        <v>0</v>
      </c>
      <c r="AE1481" s="55">
        <f>VLOOKUP($E1481,'NI-Soc_SP'!$C:$AN,MID(AE$1,1,2),FALSE)</f>
        <v>0</v>
      </c>
      <c r="AF1481" s="55">
        <f>VLOOKUP($E1481,'NI-Soc_SP'!$C:$AN,MID(AF$1,1,2),FALSE)</f>
        <v>0</v>
      </c>
      <c r="AG1481" s="55">
        <f>VLOOKUP($E1481,'NI-Soc_SP'!$C:$AN,MID(AG$1,1,2),FALSE)</f>
        <v>0</v>
      </c>
      <c r="AH1481" s="55">
        <f>VLOOKUP($E1481,'NI-Soc_SP'!$C:$AN,MID(AH$1,1,2),FALSE)</f>
        <v>0</v>
      </c>
      <c r="AI1481" s="55">
        <f>VLOOKUP($E1481,'NI-Soc_SP'!$C:$AN,MID(AI$1,1,2),FALSE)</f>
        <v>0</v>
      </c>
      <c r="AJ1481" s="55">
        <f>VLOOKUP($E1481,'NI-Soc_SP'!$C:$AN,MID(AJ$1,1,2),FALSE)</f>
        <v>0</v>
      </c>
      <c r="AK1481" s="55">
        <f>VLOOKUP($E1481,'NI-Soc_SP'!$C:$AN,MID(AK$1,1,2),FALSE)</f>
        <v>0</v>
      </c>
      <c r="AL1481" s="55">
        <f>VLOOKUP($E1481,'NI-Soc_SP'!$C:$AN,MID(AL$1,1,2),FALSE)</f>
        <v>0</v>
      </c>
      <c r="AM1481" s="56">
        <f>VLOOKUP($E1481,'NI-Soc_SP'!$C:$AN,MID(AM$1,1,2),FALSE)</f>
        <v>0</v>
      </c>
      <c r="AN1481" s="30" t="str">
        <f t="shared" si="23"/>
        <v>10103030020010</v>
      </c>
    </row>
    <row r="1482" spans="3:40" x14ac:dyDescent="0.25">
      <c r="C1482" s="40"/>
      <c r="D1482" s="121" t="s">
        <v>222</v>
      </c>
      <c r="E1482" s="121" t="s">
        <v>223</v>
      </c>
      <c r="F1482" s="122" t="s">
        <v>2758</v>
      </c>
      <c r="G1482" s="52"/>
      <c r="H1482" s="52"/>
      <c r="I1482" s="52"/>
      <c r="J1482" s="52"/>
      <c r="K1482" s="59" t="s">
        <v>79</v>
      </c>
      <c r="L1482" s="52"/>
      <c r="M1482" s="52"/>
      <c r="N1482" s="52"/>
      <c r="O1482" s="52"/>
      <c r="P1482" s="64" t="s">
        <v>224</v>
      </c>
      <c r="Q1482" s="55">
        <f>VLOOKUP(E1482,'NI-Soc_SP'!$C:$AN,12,FALSE)</f>
        <v>0</v>
      </c>
      <c r="R1482" s="55">
        <f>VLOOKUP(E1482,'NI-Soc_SP'!$C:$AN,13,FALSE)</f>
        <v>0</v>
      </c>
      <c r="S1482" s="55"/>
      <c r="T1482" s="55"/>
      <c r="U1482" s="55">
        <f>VLOOKUP($E1482,'NI-Soc_SP'!$C:$AN,MID(U$1,1,2),FALSE)</f>
        <v>0</v>
      </c>
      <c r="V1482" s="55">
        <f>VLOOKUP($E1482,'NI-Soc_SP'!$C:$AN,MID(V$1,1,2),FALSE)</f>
        <v>0</v>
      </c>
      <c r="W1482" s="55">
        <f>VLOOKUP($E1482,'NI-Soc_SP'!$C:$AN,MID(W$1,1,2),FALSE)</f>
        <v>0</v>
      </c>
      <c r="X1482" s="55">
        <f>VLOOKUP($E1482,'NI-Soc_SP'!$C:$AN,MID(X$1,1,2),FALSE)</f>
        <v>0</v>
      </c>
      <c r="Y1482" s="55">
        <f>VLOOKUP($E1482,'NI-Soc_SP'!$C:$AN,MID(Y$1,1,2),FALSE)</f>
        <v>0</v>
      </c>
      <c r="Z1482" s="55">
        <f>VLOOKUP($E1482,'NI-Soc_SP'!$C:$AN,MID(Z$1,1,2),FALSE)</f>
        <v>0</v>
      </c>
      <c r="AA1482" s="55">
        <f>VLOOKUP($E1482,'NI-Soc_SP'!$C:$AN,MID(AA$1,1,2),FALSE)</f>
        <v>0</v>
      </c>
      <c r="AB1482" s="55">
        <f>VLOOKUP($E1482,'NI-Soc_SP'!$C:$AN,MID(AB$1,1,2),FALSE)</f>
        <v>0</v>
      </c>
      <c r="AC1482" s="55">
        <f>VLOOKUP($E1482,'NI-Soc_SP'!$C:$AN,MID(AC$1,1,2),FALSE)</f>
        <v>0</v>
      </c>
      <c r="AD1482" s="55">
        <f>VLOOKUP($E1482,'NI-Soc_SP'!$C:$AN,MID(AD$1,1,2),FALSE)</f>
        <v>0</v>
      </c>
      <c r="AE1482" s="55">
        <f>VLOOKUP($E1482,'NI-Soc_SP'!$C:$AN,MID(AE$1,1,2),FALSE)</f>
        <v>0</v>
      </c>
      <c r="AF1482" s="55">
        <f>VLOOKUP($E1482,'NI-Soc_SP'!$C:$AN,MID(AF$1,1,2),FALSE)</f>
        <v>0</v>
      </c>
      <c r="AG1482" s="55">
        <f>VLOOKUP($E1482,'NI-Soc_SP'!$C:$AN,MID(AG$1,1,2),FALSE)</f>
        <v>0</v>
      </c>
      <c r="AH1482" s="55">
        <f>VLOOKUP($E1482,'NI-Soc_SP'!$C:$AN,MID(AH$1,1,2),FALSE)</f>
        <v>0</v>
      </c>
      <c r="AI1482" s="55">
        <f>VLOOKUP($E1482,'NI-Soc_SP'!$C:$AN,MID(AI$1,1,2),FALSE)</f>
        <v>0</v>
      </c>
      <c r="AJ1482" s="55">
        <f>VLOOKUP($E1482,'NI-Soc_SP'!$C:$AN,MID(AJ$1,1,2),FALSE)</f>
        <v>0</v>
      </c>
      <c r="AK1482" s="55">
        <f>VLOOKUP($E1482,'NI-Soc_SP'!$C:$AN,MID(AK$1,1,2),FALSE)</f>
        <v>0</v>
      </c>
      <c r="AL1482" s="55">
        <f>VLOOKUP($E1482,'NI-Soc_SP'!$C:$AN,MID(AL$1,1,2),FALSE)</f>
        <v>0</v>
      </c>
      <c r="AM1482" s="56">
        <f>VLOOKUP($E1482,'NI-Soc_SP'!$C:$AN,MID(AM$1,1,2),FALSE)</f>
        <v>0</v>
      </c>
      <c r="AN1482" s="30" t="str">
        <f t="shared" si="23"/>
        <v>10103030020020</v>
      </c>
    </row>
    <row r="1483" spans="3:40" ht="27" x14ac:dyDescent="0.25">
      <c r="C1483" s="40"/>
      <c r="D1483" s="121" t="s">
        <v>225</v>
      </c>
      <c r="E1483" s="121" t="s">
        <v>226</v>
      </c>
      <c r="F1483" s="122" t="s">
        <v>2758</v>
      </c>
      <c r="G1483" s="52"/>
      <c r="H1483" s="52"/>
      <c r="I1483" s="52" t="s">
        <v>227</v>
      </c>
      <c r="J1483" s="52"/>
      <c r="K1483" s="59" t="s">
        <v>111</v>
      </c>
      <c r="L1483" s="62" t="s">
        <v>195</v>
      </c>
      <c r="M1483" s="52"/>
      <c r="N1483" s="52"/>
      <c r="O1483" s="52"/>
      <c r="P1483" s="54" t="s">
        <v>228</v>
      </c>
      <c r="Q1483" s="55">
        <f>VLOOKUP(E1483,'NI-Soc_SP'!$C:$AN,12,FALSE)</f>
        <v>0</v>
      </c>
      <c r="R1483" s="55">
        <f>VLOOKUP(E1483,'NI-Soc_SP'!$C:$AN,13,FALSE)</f>
        <v>0</v>
      </c>
      <c r="S1483" s="55"/>
      <c r="T1483" s="55"/>
      <c r="U1483" s="55">
        <f>VLOOKUP($E1483,'NI-Soc_SP'!$C:$AN,MID(U$1,1,2),FALSE)</f>
        <v>0</v>
      </c>
      <c r="V1483" s="55">
        <f>VLOOKUP($E1483,'NI-Soc_SP'!$C:$AN,MID(V$1,1,2),FALSE)</f>
        <v>0</v>
      </c>
      <c r="W1483" s="55">
        <f>VLOOKUP($E1483,'NI-Soc_SP'!$C:$AN,MID(W$1,1,2),FALSE)</f>
        <v>0</v>
      </c>
      <c r="X1483" s="55">
        <f>VLOOKUP($E1483,'NI-Soc_SP'!$C:$AN,MID(X$1,1,2),FALSE)</f>
        <v>0</v>
      </c>
      <c r="Y1483" s="55">
        <f>VLOOKUP($E1483,'NI-Soc_SP'!$C:$AN,MID(Y$1,1,2),FALSE)</f>
        <v>0</v>
      </c>
      <c r="Z1483" s="55">
        <f>VLOOKUP($E1483,'NI-Soc_SP'!$C:$AN,MID(Z$1,1,2),FALSE)</f>
        <v>0</v>
      </c>
      <c r="AA1483" s="55">
        <f>VLOOKUP($E1483,'NI-Soc_SP'!$C:$AN,MID(AA$1,1,2),FALSE)</f>
        <v>0</v>
      </c>
      <c r="AB1483" s="55">
        <f>VLOOKUP($E1483,'NI-Soc_SP'!$C:$AN,MID(AB$1,1,2),FALSE)</f>
        <v>0</v>
      </c>
      <c r="AC1483" s="55">
        <f>VLOOKUP($E1483,'NI-Soc_SP'!$C:$AN,MID(AC$1,1,2),FALSE)</f>
        <v>0</v>
      </c>
      <c r="AD1483" s="55">
        <f>VLOOKUP($E1483,'NI-Soc_SP'!$C:$AN,MID(AD$1,1,2),FALSE)</f>
        <v>0</v>
      </c>
      <c r="AE1483" s="55">
        <f>VLOOKUP($E1483,'NI-Soc_SP'!$C:$AN,MID(AE$1,1,2),FALSE)</f>
        <v>0</v>
      </c>
      <c r="AF1483" s="55">
        <f>VLOOKUP($E1483,'NI-Soc_SP'!$C:$AN,MID(AF$1,1,2),FALSE)</f>
        <v>0</v>
      </c>
      <c r="AG1483" s="55">
        <f>VLOOKUP($E1483,'NI-Soc_SP'!$C:$AN,MID(AG$1,1,2),FALSE)</f>
        <v>0</v>
      </c>
      <c r="AH1483" s="55">
        <f>VLOOKUP($E1483,'NI-Soc_SP'!$C:$AN,MID(AH$1,1,2),FALSE)</f>
        <v>0</v>
      </c>
      <c r="AI1483" s="55">
        <f>VLOOKUP($E1483,'NI-Soc_SP'!$C:$AN,MID(AI$1,1,2),FALSE)</f>
        <v>0</v>
      </c>
      <c r="AJ1483" s="55">
        <f>VLOOKUP($E1483,'NI-Soc_SP'!$C:$AN,MID(AJ$1,1,2),FALSE)</f>
        <v>0</v>
      </c>
      <c r="AK1483" s="55">
        <f>VLOOKUP($E1483,'NI-Soc_SP'!$C:$AN,MID(AK$1,1,2),FALSE)</f>
        <v>0</v>
      </c>
      <c r="AL1483" s="55">
        <f>VLOOKUP($E1483,'NI-Soc_SP'!$C:$AN,MID(AL$1,1,2),FALSE)</f>
        <v>0</v>
      </c>
      <c r="AM1483" s="56">
        <f>VLOOKUP($E1483,'NI-Soc_SP'!$C:$AN,MID(AM$1,1,2),FALSE)</f>
        <v>0</v>
      </c>
      <c r="AN1483" s="30" t="str">
        <f t="shared" si="23"/>
        <v>10103040000000</v>
      </c>
    </row>
    <row r="1484" spans="3:40" x14ac:dyDescent="0.25">
      <c r="C1484" s="40"/>
      <c r="D1484" s="121" t="s">
        <v>229</v>
      </c>
      <c r="E1484" s="121" t="s">
        <v>230</v>
      </c>
      <c r="F1484" s="122" t="s">
        <v>2758</v>
      </c>
      <c r="G1484" s="52"/>
      <c r="H1484" s="52"/>
      <c r="I1484" s="52"/>
      <c r="J1484" s="52"/>
      <c r="K1484" s="59" t="s">
        <v>79</v>
      </c>
      <c r="L1484" s="52"/>
      <c r="M1484" s="52"/>
      <c r="N1484" s="52"/>
      <c r="O1484" s="52"/>
      <c r="P1484" s="63" t="s">
        <v>231</v>
      </c>
      <c r="Q1484" s="55">
        <f>VLOOKUP(E1484,'NI-Soc_SP'!$C:$AN,12,FALSE)</f>
        <v>0</v>
      </c>
      <c r="R1484" s="55">
        <f>VLOOKUP(E1484,'NI-Soc_SP'!$C:$AN,13,FALSE)</f>
        <v>0</v>
      </c>
      <c r="S1484" s="55"/>
      <c r="T1484" s="55"/>
      <c r="U1484" s="55">
        <f>VLOOKUP($E1484,'NI-Soc_SP'!$C:$AN,MID(U$1,1,2),FALSE)</f>
        <v>0</v>
      </c>
      <c r="V1484" s="55">
        <f>VLOOKUP($E1484,'NI-Soc_SP'!$C:$AN,MID(V$1,1,2),FALSE)</f>
        <v>0</v>
      </c>
      <c r="W1484" s="55">
        <f>VLOOKUP($E1484,'NI-Soc_SP'!$C:$AN,MID(W$1,1,2),FALSE)</f>
        <v>0</v>
      </c>
      <c r="X1484" s="55">
        <f>VLOOKUP($E1484,'NI-Soc_SP'!$C:$AN,MID(X$1,1,2),FALSE)</f>
        <v>0</v>
      </c>
      <c r="Y1484" s="55">
        <f>VLOOKUP($E1484,'NI-Soc_SP'!$C:$AN,MID(Y$1,1,2),FALSE)</f>
        <v>0</v>
      </c>
      <c r="Z1484" s="55">
        <f>VLOOKUP($E1484,'NI-Soc_SP'!$C:$AN,MID(Z$1,1,2),FALSE)</f>
        <v>0</v>
      </c>
      <c r="AA1484" s="55">
        <f>VLOOKUP($E1484,'NI-Soc_SP'!$C:$AN,MID(AA$1,1,2),FALSE)</f>
        <v>0</v>
      </c>
      <c r="AB1484" s="55">
        <f>VLOOKUP($E1484,'NI-Soc_SP'!$C:$AN,MID(AB$1,1,2),FALSE)</f>
        <v>0</v>
      </c>
      <c r="AC1484" s="55">
        <f>VLOOKUP($E1484,'NI-Soc_SP'!$C:$AN,MID(AC$1,1,2),FALSE)</f>
        <v>0</v>
      </c>
      <c r="AD1484" s="55">
        <f>VLOOKUP($E1484,'NI-Soc_SP'!$C:$AN,MID(AD$1,1,2),FALSE)</f>
        <v>0</v>
      </c>
      <c r="AE1484" s="55">
        <f>VLOOKUP($E1484,'NI-Soc_SP'!$C:$AN,MID(AE$1,1,2),FALSE)</f>
        <v>0</v>
      </c>
      <c r="AF1484" s="55">
        <f>VLOOKUP($E1484,'NI-Soc_SP'!$C:$AN,MID(AF$1,1,2),FALSE)</f>
        <v>0</v>
      </c>
      <c r="AG1484" s="55">
        <f>VLOOKUP($E1484,'NI-Soc_SP'!$C:$AN,MID(AG$1,1,2),FALSE)</f>
        <v>0</v>
      </c>
      <c r="AH1484" s="55">
        <f>VLOOKUP($E1484,'NI-Soc_SP'!$C:$AN,MID(AH$1,1,2),FALSE)</f>
        <v>0</v>
      </c>
      <c r="AI1484" s="55">
        <f>VLOOKUP($E1484,'NI-Soc_SP'!$C:$AN,MID(AI$1,1,2),FALSE)</f>
        <v>0</v>
      </c>
      <c r="AJ1484" s="55">
        <f>VLOOKUP($E1484,'NI-Soc_SP'!$C:$AN,MID(AJ$1,1,2),FALSE)</f>
        <v>0</v>
      </c>
      <c r="AK1484" s="55">
        <f>VLOOKUP($E1484,'NI-Soc_SP'!$C:$AN,MID(AK$1,1,2),FALSE)</f>
        <v>0</v>
      </c>
      <c r="AL1484" s="55">
        <f>VLOOKUP($E1484,'NI-Soc_SP'!$C:$AN,MID(AL$1,1,2),FALSE)</f>
        <v>0</v>
      </c>
      <c r="AM1484" s="56">
        <f>VLOOKUP($E1484,'NI-Soc_SP'!$C:$AN,MID(AM$1,1,2),FALSE)</f>
        <v>0</v>
      </c>
      <c r="AN1484" s="30" t="str">
        <f t="shared" si="23"/>
        <v>10103040010010</v>
      </c>
    </row>
    <row r="1485" spans="3:40" x14ac:dyDescent="0.25">
      <c r="C1485" s="40"/>
      <c r="D1485" s="121" t="s">
        <v>232</v>
      </c>
      <c r="E1485" s="121" t="s">
        <v>233</v>
      </c>
      <c r="F1485" s="122" t="s">
        <v>2758</v>
      </c>
      <c r="G1485" s="52"/>
      <c r="H1485" s="52"/>
      <c r="I1485" s="52"/>
      <c r="J1485" s="52"/>
      <c r="K1485" s="59" t="s">
        <v>79</v>
      </c>
      <c r="L1485" s="52"/>
      <c r="M1485" s="52"/>
      <c r="N1485" s="52"/>
      <c r="O1485" s="52"/>
      <c r="P1485" s="63" t="s">
        <v>234</v>
      </c>
      <c r="Q1485" s="55">
        <f>VLOOKUP(E1485,'NI-Soc_SP'!$C:$AN,12,FALSE)</f>
        <v>0</v>
      </c>
      <c r="R1485" s="55">
        <f>VLOOKUP(E1485,'NI-Soc_SP'!$C:$AN,13,FALSE)</f>
        <v>0</v>
      </c>
      <c r="S1485" s="55"/>
      <c r="T1485" s="55"/>
      <c r="U1485" s="55">
        <f>VLOOKUP($E1485,'NI-Soc_SP'!$C:$AN,MID(U$1,1,2),FALSE)</f>
        <v>0</v>
      </c>
      <c r="V1485" s="55">
        <f>VLOOKUP($E1485,'NI-Soc_SP'!$C:$AN,MID(V$1,1,2),FALSE)</f>
        <v>0</v>
      </c>
      <c r="W1485" s="55">
        <f>VLOOKUP($E1485,'NI-Soc_SP'!$C:$AN,MID(W$1,1,2),FALSE)</f>
        <v>0</v>
      </c>
      <c r="X1485" s="55">
        <f>VLOOKUP($E1485,'NI-Soc_SP'!$C:$AN,MID(X$1,1,2),FALSE)</f>
        <v>0</v>
      </c>
      <c r="Y1485" s="55">
        <f>VLOOKUP($E1485,'NI-Soc_SP'!$C:$AN,MID(Y$1,1,2),FALSE)</f>
        <v>0</v>
      </c>
      <c r="Z1485" s="55">
        <f>VLOOKUP($E1485,'NI-Soc_SP'!$C:$AN,MID(Z$1,1,2),FALSE)</f>
        <v>0</v>
      </c>
      <c r="AA1485" s="55">
        <f>VLOOKUP($E1485,'NI-Soc_SP'!$C:$AN,MID(AA$1,1,2),FALSE)</f>
        <v>0</v>
      </c>
      <c r="AB1485" s="55">
        <f>VLOOKUP($E1485,'NI-Soc_SP'!$C:$AN,MID(AB$1,1,2),FALSE)</f>
        <v>0</v>
      </c>
      <c r="AC1485" s="55">
        <f>VLOOKUP($E1485,'NI-Soc_SP'!$C:$AN,MID(AC$1,1,2),FALSE)</f>
        <v>0</v>
      </c>
      <c r="AD1485" s="55">
        <f>VLOOKUP($E1485,'NI-Soc_SP'!$C:$AN,MID(AD$1,1,2),FALSE)</f>
        <v>0</v>
      </c>
      <c r="AE1485" s="55">
        <f>VLOOKUP($E1485,'NI-Soc_SP'!$C:$AN,MID(AE$1,1,2),FALSE)</f>
        <v>0</v>
      </c>
      <c r="AF1485" s="55">
        <f>VLOOKUP($E1485,'NI-Soc_SP'!$C:$AN,MID(AF$1,1,2),FALSE)</f>
        <v>0</v>
      </c>
      <c r="AG1485" s="55">
        <f>VLOOKUP($E1485,'NI-Soc_SP'!$C:$AN,MID(AG$1,1,2),FALSE)</f>
        <v>0</v>
      </c>
      <c r="AH1485" s="55">
        <f>VLOOKUP($E1485,'NI-Soc_SP'!$C:$AN,MID(AH$1,1,2),FALSE)</f>
        <v>0</v>
      </c>
      <c r="AI1485" s="55">
        <f>VLOOKUP($E1485,'NI-Soc_SP'!$C:$AN,MID(AI$1,1,2),FALSE)</f>
        <v>0</v>
      </c>
      <c r="AJ1485" s="55">
        <f>VLOOKUP($E1485,'NI-Soc_SP'!$C:$AN,MID(AJ$1,1,2),FALSE)</f>
        <v>0</v>
      </c>
      <c r="AK1485" s="55">
        <f>VLOOKUP($E1485,'NI-Soc_SP'!$C:$AN,MID(AK$1,1,2),FALSE)</f>
        <v>0</v>
      </c>
      <c r="AL1485" s="55">
        <f>VLOOKUP($E1485,'NI-Soc_SP'!$C:$AN,MID(AL$1,1,2),FALSE)</f>
        <v>0</v>
      </c>
      <c r="AM1485" s="56">
        <f>VLOOKUP($E1485,'NI-Soc_SP'!$C:$AN,MID(AM$1,1,2),FALSE)</f>
        <v>0</v>
      </c>
      <c r="AN1485" s="30" t="str">
        <f t="shared" si="23"/>
        <v>10103040010020</v>
      </c>
    </row>
    <row r="1486" spans="3:40" x14ac:dyDescent="0.25">
      <c r="C1486" s="40"/>
      <c r="D1486" s="121" t="s">
        <v>235</v>
      </c>
      <c r="E1486" s="121" t="s">
        <v>236</v>
      </c>
      <c r="F1486" s="122" t="s">
        <v>2758</v>
      </c>
      <c r="G1486" s="52"/>
      <c r="H1486" s="52"/>
      <c r="I1486" s="52"/>
      <c r="J1486" s="52"/>
      <c r="K1486" s="59" t="s">
        <v>79</v>
      </c>
      <c r="L1486" s="52"/>
      <c r="M1486" s="52"/>
      <c r="N1486" s="52"/>
      <c r="O1486" s="52"/>
      <c r="P1486" s="64" t="s">
        <v>237</v>
      </c>
      <c r="Q1486" s="55">
        <f>VLOOKUP(E1486,'NI-Soc_SP'!$C:$AN,12,FALSE)</f>
        <v>0</v>
      </c>
      <c r="R1486" s="55">
        <f>VLOOKUP(E1486,'NI-Soc_SP'!$C:$AN,13,FALSE)</f>
        <v>0</v>
      </c>
      <c r="S1486" s="55"/>
      <c r="T1486" s="55"/>
      <c r="U1486" s="55">
        <f>VLOOKUP($E1486,'NI-Soc_SP'!$C:$AN,MID(U$1,1,2),FALSE)</f>
        <v>0</v>
      </c>
      <c r="V1486" s="55">
        <f>VLOOKUP($E1486,'NI-Soc_SP'!$C:$AN,MID(V$1,1,2),FALSE)</f>
        <v>0</v>
      </c>
      <c r="W1486" s="55">
        <f>VLOOKUP($E1486,'NI-Soc_SP'!$C:$AN,MID(W$1,1,2),FALSE)</f>
        <v>0</v>
      </c>
      <c r="X1486" s="55">
        <f>VLOOKUP($E1486,'NI-Soc_SP'!$C:$AN,MID(X$1,1,2),FALSE)</f>
        <v>0</v>
      </c>
      <c r="Y1486" s="55">
        <f>VLOOKUP($E1486,'NI-Soc_SP'!$C:$AN,MID(Y$1,1,2),FALSE)</f>
        <v>0</v>
      </c>
      <c r="Z1486" s="55">
        <f>VLOOKUP($E1486,'NI-Soc_SP'!$C:$AN,MID(Z$1,1,2),FALSE)</f>
        <v>0</v>
      </c>
      <c r="AA1486" s="55">
        <f>VLOOKUP($E1486,'NI-Soc_SP'!$C:$AN,MID(AA$1,1,2),FALSE)</f>
        <v>0</v>
      </c>
      <c r="AB1486" s="55">
        <f>VLOOKUP($E1486,'NI-Soc_SP'!$C:$AN,MID(AB$1,1,2),FALSE)</f>
        <v>0</v>
      </c>
      <c r="AC1486" s="55">
        <f>VLOOKUP($E1486,'NI-Soc_SP'!$C:$AN,MID(AC$1,1,2),FALSE)</f>
        <v>0</v>
      </c>
      <c r="AD1486" s="55">
        <f>VLOOKUP($E1486,'NI-Soc_SP'!$C:$AN,MID(AD$1,1,2),FALSE)</f>
        <v>0</v>
      </c>
      <c r="AE1486" s="55">
        <f>VLOOKUP($E1486,'NI-Soc_SP'!$C:$AN,MID(AE$1,1,2),FALSE)</f>
        <v>0</v>
      </c>
      <c r="AF1486" s="55">
        <f>VLOOKUP($E1486,'NI-Soc_SP'!$C:$AN,MID(AF$1,1,2),FALSE)</f>
        <v>0</v>
      </c>
      <c r="AG1486" s="55">
        <f>VLOOKUP($E1486,'NI-Soc_SP'!$C:$AN,MID(AG$1,1,2),FALSE)</f>
        <v>0</v>
      </c>
      <c r="AH1486" s="55">
        <f>VLOOKUP($E1486,'NI-Soc_SP'!$C:$AN,MID(AH$1,1,2),FALSE)</f>
        <v>0</v>
      </c>
      <c r="AI1486" s="55">
        <f>VLOOKUP($E1486,'NI-Soc_SP'!$C:$AN,MID(AI$1,1,2),FALSE)</f>
        <v>0</v>
      </c>
      <c r="AJ1486" s="55">
        <f>VLOOKUP($E1486,'NI-Soc_SP'!$C:$AN,MID(AJ$1,1,2),FALSE)</f>
        <v>0</v>
      </c>
      <c r="AK1486" s="55">
        <f>VLOOKUP($E1486,'NI-Soc_SP'!$C:$AN,MID(AK$1,1,2),FALSE)</f>
        <v>0</v>
      </c>
      <c r="AL1486" s="55">
        <f>VLOOKUP($E1486,'NI-Soc_SP'!$C:$AN,MID(AL$1,1,2),FALSE)</f>
        <v>0</v>
      </c>
      <c r="AM1486" s="56">
        <f>VLOOKUP($E1486,'NI-Soc_SP'!$C:$AN,MID(AM$1,1,2),FALSE)</f>
        <v>0</v>
      </c>
      <c r="AN1486" s="30" t="str">
        <f t="shared" si="23"/>
        <v>10103040020010</v>
      </c>
    </row>
    <row r="1487" spans="3:40" x14ac:dyDescent="0.25">
      <c r="C1487" s="40"/>
      <c r="D1487" s="121" t="s">
        <v>238</v>
      </c>
      <c r="E1487" s="121" t="s">
        <v>239</v>
      </c>
      <c r="F1487" s="122" t="s">
        <v>2758</v>
      </c>
      <c r="G1487" s="52"/>
      <c r="H1487" s="52"/>
      <c r="I1487" s="52"/>
      <c r="J1487" s="52"/>
      <c r="K1487" s="59" t="s">
        <v>79</v>
      </c>
      <c r="L1487" s="52"/>
      <c r="M1487" s="52"/>
      <c r="N1487" s="52"/>
      <c r="O1487" s="52"/>
      <c r="P1487" s="64" t="s">
        <v>240</v>
      </c>
      <c r="Q1487" s="55">
        <f>VLOOKUP(E1487,'NI-Soc_SP'!$C:$AN,12,FALSE)</f>
        <v>0</v>
      </c>
      <c r="R1487" s="55">
        <f>VLOOKUP(E1487,'NI-Soc_SP'!$C:$AN,13,FALSE)</f>
        <v>0</v>
      </c>
      <c r="S1487" s="55"/>
      <c r="T1487" s="55"/>
      <c r="U1487" s="55">
        <f>VLOOKUP($E1487,'NI-Soc_SP'!$C:$AN,MID(U$1,1,2),FALSE)</f>
        <v>0</v>
      </c>
      <c r="V1487" s="55">
        <f>VLOOKUP($E1487,'NI-Soc_SP'!$C:$AN,MID(V$1,1,2),FALSE)</f>
        <v>0</v>
      </c>
      <c r="W1487" s="55">
        <f>VLOOKUP($E1487,'NI-Soc_SP'!$C:$AN,MID(W$1,1,2),FALSE)</f>
        <v>0</v>
      </c>
      <c r="X1487" s="55">
        <f>VLOOKUP($E1487,'NI-Soc_SP'!$C:$AN,MID(X$1,1,2),FALSE)</f>
        <v>0</v>
      </c>
      <c r="Y1487" s="55">
        <f>VLOOKUP($E1487,'NI-Soc_SP'!$C:$AN,MID(Y$1,1,2),FALSE)</f>
        <v>0</v>
      </c>
      <c r="Z1487" s="55">
        <f>VLOOKUP($E1487,'NI-Soc_SP'!$C:$AN,MID(Z$1,1,2),FALSE)</f>
        <v>0</v>
      </c>
      <c r="AA1487" s="55">
        <f>VLOOKUP($E1487,'NI-Soc_SP'!$C:$AN,MID(AA$1,1,2),FALSE)</f>
        <v>0</v>
      </c>
      <c r="AB1487" s="55">
        <f>VLOOKUP($E1487,'NI-Soc_SP'!$C:$AN,MID(AB$1,1,2),FALSE)</f>
        <v>0</v>
      </c>
      <c r="AC1487" s="55">
        <f>VLOOKUP($E1487,'NI-Soc_SP'!$C:$AN,MID(AC$1,1,2),FALSE)</f>
        <v>0</v>
      </c>
      <c r="AD1487" s="55">
        <f>VLOOKUP($E1487,'NI-Soc_SP'!$C:$AN,MID(AD$1,1,2),FALSE)</f>
        <v>0</v>
      </c>
      <c r="AE1487" s="55">
        <f>VLOOKUP($E1487,'NI-Soc_SP'!$C:$AN,MID(AE$1,1,2),FALSE)</f>
        <v>0</v>
      </c>
      <c r="AF1487" s="55">
        <f>VLOOKUP($E1487,'NI-Soc_SP'!$C:$AN,MID(AF$1,1,2),FALSE)</f>
        <v>0</v>
      </c>
      <c r="AG1487" s="55">
        <f>VLOOKUP($E1487,'NI-Soc_SP'!$C:$AN,MID(AG$1,1,2),FALSE)</f>
        <v>0</v>
      </c>
      <c r="AH1487" s="55">
        <f>VLOOKUP($E1487,'NI-Soc_SP'!$C:$AN,MID(AH$1,1,2),FALSE)</f>
        <v>0</v>
      </c>
      <c r="AI1487" s="55">
        <f>VLOOKUP($E1487,'NI-Soc_SP'!$C:$AN,MID(AI$1,1,2),FALSE)</f>
        <v>0</v>
      </c>
      <c r="AJ1487" s="55">
        <f>VLOOKUP($E1487,'NI-Soc_SP'!$C:$AN,MID(AJ$1,1,2),FALSE)</f>
        <v>0</v>
      </c>
      <c r="AK1487" s="55">
        <f>VLOOKUP($E1487,'NI-Soc_SP'!$C:$AN,MID(AK$1,1,2),FALSE)</f>
        <v>0</v>
      </c>
      <c r="AL1487" s="55">
        <f>VLOOKUP($E1487,'NI-Soc_SP'!$C:$AN,MID(AL$1,1,2),FALSE)</f>
        <v>0</v>
      </c>
      <c r="AM1487" s="56">
        <f>VLOOKUP($E1487,'NI-Soc_SP'!$C:$AN,MID(AM$1,1,2),FALSE)</f>
        <v>0</v>
      </c>
      <c r="AN1487" s="30" t="str">
        <f t="shared" si="23"/>
        <v>10103040020020</v>
      </c>
    </row>
    <row r="1488" spans="3:40" x14ac:dyDescent="0.25">
      <c r="C1488" s="40"/>
      <c r="D1488" s="121" t="s">
        <v>241</v>
      </c>
      <c r="E1488" s="121" t="s">
        <v>242</v>
      </c>
      <c r="F1488" s="122" t="s">
        <v>2758</v>
      </c>
      <c r="G1488" s="52"/>
      <c r="H1488" s="52"/>
      <c r="I1488" s="52" t="s">
        <v>243</v>
      </c>
      <c r="J1488" s="52"/>
      <c r="K1488" s="59" t="s">
        <v>111</v>
      </c>
      <c r="L1488" s="62" t="s">
        <v>244</v>
      </c>
      <c r="M1488" s="52"/>
      <c r="N1488" s="52"/>
      <c r="O1488" s="61" t="s">
        <v>245</v>
      </c>
      <c r="P1488" s="60" t="s">
        <v>246</v>
      </c>
      <c r="Q1488" s="55">
        <f>VLOOKUP(E1488,'NI-Soc_SP'!$C:$AN,12,FALSE)</f>
        <v>0</v>
      </c>
      <c r="R1488" s="55">
        <f>VLOOKUP(E1488,'NI-Soc_SP'!$C:$AN,13,FALSE)</f>
        <v>0</v>
      </c>
      <c r="S1488" s="55"/>
      <c r="T1488" s="55"/>
      <c r="U1488" s="55">
        <f>VLOOKUP($E1488,'NI-Soc_SP'!$C:$AN,MID(U$1,1,2),FALSE)</f>
        <v>0</v>
      </c>
      <c r="V1488" s="55">
        <f>VLOOKUP($E1488,'NI-Soc_SP'!$C:$AN,MID(V$1,1,2),FALSE)</f>
        <v>0</v>
      </c>
      <c r="W1488" s="55">
        <f>VLOOKUP($E1488,'NI-Soc_SP'!$C:$AN,MID(W$1,1,2),FALSE)</f>
        <v>0</v>
      </c>
      <c r="X1488" s="55">
        <f>VLOOKUP($E1488,'NI-Soc_SP'!$C:$AN,MID(X$1,1,2),FALSE)</f>
        <v>0</v>
      </c>
      <c r="Y1488" s="55">
        <f>VLOOKUP($E1488,'NI-Soc_SP'!$C:$AN,MID(Y$1,1,2),FALSE)</f>
        <v>0</v>
      </c>
      <c r="Z1488" s="55">
        <f>VLOOKUP($E1488,'NI-Soc_SP'!$C:$AN,MID(Z$1,1,2),FALSE)</f>
        <v>0</v>
      </c>
      <c r="AA1488" s="55">
        <f>VLOOKUP($E1488,'NI-Soc_SP'!$C:$AN,MID(AA$1,1,2),FALSE)</f>
        <v>0</v>
      </c>
      <c r="AB1488" s="55">
        <f>VLOOKUP($E1488,'NI-Soc_SP'!$C:$AN,MID(AB$1,1,2),FALSE)</f>
        <v>0</v>
      </c>
      <c r="AC1488" s="55">
        <f>VLOOKUP($E1488,'NI-Soc_SP'!$C:$AN,MID(AC$1,1,2),FALSE)</f>
        <v>0</v>
      </c>
      <c r="AD1488" s="55">
        <f>VLOOKUP($E1488,'NI-Soc_SP'!$C:$AN,MID(AD$1,1,2),FALSE)</f>
        <v>0</v>
      </c>
      <c r="AE1488" s="55">
        <f>VLOOKUP($E1488,'NI-Soc_SP'!$C:$AN,MID(AE$1,1,2),FALSE)</f>
        <v>0</v>
      </c>
      <c r="AF1488" s="55">
        <f>VLOOKUP($E1488,'NI-Soc_SP'!$C:$AN,MID(AF$1,1,2),FALSE)</f>
        <v>0</v>
      </c>
      <c r="AG1488" s="55">
        <f>VLOOKUP($E1488,'NI-Soc_SP'!$C:$AN,MID(AG$1,1,2),FALSE)</f>
        <v>0</v>
      </c>
      <c r="AH1488" s="55">
        <f>VLOOKUP($E1488,'NI-Soc_SP'!$C:$AN,MID(AH$1,1,2),FALSE)</f>
        <v>0</v>
      </c>
      <c r="AI1488" s="55">
        <f>VLOOKUP($E1488,'NI-Soc_SP'!$C:$AN,MID(AI$1,1,2),FALSE)</f>
        <v>0</v>
      </c>
      <c r="AJ1488" s="55">
        <f>VLOOKUP($E1488,'NI-Soc_SP'!$C:$AN,MID(AJ$1,1,2),FALSE)</f>
        <v>0</v>
      </c>
      <c r="AK1488" s="55">
        <f>VLOOKUP($E1488,'NI-Soc_SP'!$C:$AN,MID(AK$1,1,2),FALSE)</f>
        <v>0</v>
      </c>
      <c r="AL1488" s="55">
        <f>VLOOKUP($E1488,'NI-Soc_SP'!$C:$AN,MID(AL$1,1,2),FALSE)</f>
        <v>0</v>
      </c>
      <c r="AM1488" s="56">
        <f>VLOOKUP($E1488,'NI-Soc_SP'!$C:$AN,MID(AM$1,1,2),FALSE)</f>
        <v>0</v>
      </c>
      <c r="AN1488" s="30" t="str">
        <f t="shared" si="23"/>
        <v>10104000000000</v>
      </c>
    </row>
    <row r="1489" spans="3:40" x14ac:dyDescent="0.25">
      <c r="C1489" s="40"/>
      <c r="D1489" s="121" t="s">
        <v>247</v>
      </c>
      <c r="E1489" s="121" t="s">
        <v>248</v>
      </c>
      <c r="F1489" s="122" t="s">
        <v>2758</v>
      </c>
      <c r="G1489" s="52"/>
      <c r="H1489" s="52"/>
      <c r="I1489" s="52"/>
      <c r="J1489" s="52"/>
      <c r="K1489" s="59" t="s">
        <v>79</v>
      </c>
      <c r="L1489" s="52"/>
      <c r="M1489" s="52"/>
      <c r="N1489" s="52"/>
      <c r="O1489" s="52"/>
      <c r="P1489" s="63" t="s">
        <v>249</v>
      </c>
      <c r="Q1489" s="55">
        <f>VLOOKUP(E1489,'NI-Soc_SP'!$C:$AN,12,FALSE)</f>
        <v>0</v>
      </c>
      <c r="R1489" s="55">
        <f>VLOOKUP(E1489,'NI-Soc_SP'!$C:$AN,13,FALSE)</f>
        <v>0</v>
      </c>
      <c r="S1489" s="55"/>
      <c r="T1489" s="55"/>
      <c r="U1489" s="55">
        <f>VLOOKUP($E1489,'NI-Soc_SP'!$C:$AN,MID(U$1,1,2),FALSE)</f>
        <v>0</v>
      </c>
      <c r="V1489" s="55">
        <f>VLOOKUP($E1489,'NI-Soc_SP'!$C:$AN,MID(V$1,1,2),FALSE)</f>
        <v>0</v>
      </c>
      <c r="W1489" s="55">
        <f>VLOOKUP($E1489,'NI-Soc_SP'!$C:$AN,MID(W$1,1,2),FALSE)</f>
        <v>0</v>
      </c>
      <c r="X1489" s="55">
        <f>VLOOKUP($E1489,'NI-Soc_SP'!$C:$AN,MID(X$1,1,2),FALSE)</f>
        <v>0</v>
      </c>
      <c r="Y1489" s="55">
        <f>VLOOKUP($E1489,'NI-Soc_SP'!$C:$AN,MID(Y$1,1,2),FALSE)</f>
        <v>0</v>
      </c>
      <c r="Z1489" s="55">
        <f>VLOOKUP($E1489,'NI-Soc_SP'!$C:$AN,MID(Z$1,1,2),FALSE)</f>
        <v>0</v>
      </c>
      <c r="AA1489" s="55">
        <f>VLOOKUP($E1489,'NI-Soc_SP'!$C:$AN,MID(AA$1,1,2),FALSE)</f>
        <v>0</v>
      </c>
      <c r="AB1489" s="55">
        <f>VLOOKUP($E1489,'NI-Soc_SP'!$C:$AN,MID(AB$1,1,2),FALSE)</f>
        <v>0</v>
      </c>
      <c r="AC1489" s="55">
        <f>VLOOKUP($E1489,'NI-Soc_SP'!$C:$AN,MID(AC$1,1,2),FALSE)</f>
        <v>0</v>
      </c>
      <c r="AD1489" s="55">
        <f>VLOOKUP($E1489,'NI-Soc_SP'!$C:$AN,MID(AD$1,1,2),FALSE)</f>
        <v>0</v>
      </c>
      <c r="AE1489" s="55">
        <f>VLOOKUP($E1489,'NI-Soc_SP'!$C:$AN,MID(AE$1,1,2),FALSE)</f>
        <v>0</v>
      </c>
      <c r="AF1489" s="55">
        <f>VLOOKUP($E1489,'NI-Soc_SP'!$C:$AN,MID(AF$1,1,2),FALSE)</f>
        <v>0</v>
      </c>
      <c r="AG1489" s="55">
        <f>VLOOKUP($E1489,'NI-Soc_SP'!$C:$AN,MID(AG$1,1,2),FALSE)</f>
        <v>0</v>
      </c>
      <c r="AH1489" s="55">
        <f>VLOOKUP($E1489,'NI-Soc_SP'!$C:$AN,MID(AH$1,1,2),FALSE)</f>
        <v>0</v>
      </c>
      <c r="AI1489" s="55">
        <f>VLOOKUP($E1489,'NI-Soc_SP'!$C:$AN,MID(AI$1,1,2),FALSE)</f>
        <v>0</v>
      </c>
      <c r="AJ1489" s="55">
        <f>VLOOKUP($E1489,'NI-Soc_SP'!$C:$AN,MID(AJ$1,1,2),FALSE)</f>
        <v>0</v>
      </c>
      <c r="AK1489" s="55">
        <f>VLOOKUP($E1489,'NI-Soc_SP'!$C:$AN,MID(AK$1,1,2),FALSE)</f>
        <v>0</v>
      </c>
      <c r="AL1489" s="55">
        <f>VLOOKUP($E1489,'NI-Soc_SP'!$C:$AN,MID(AL$1,1,2),FALSE)</f>
        <v>0</v>
      </c>
      <c r="AM1489" s="56">
        <f>VLOOKUP($E1489,'NI-Soc_SP'!$C:$AN,MID(AM$1,1,2),FALSE)</f>
        <v>0</v>
      </c>
      <c r="AN1489" s="30" t="str">
        <f t="shared" si="23"/>
        <v>10104010000000</v>
      </c>
    </row>
    <row r="1490" spans="3:40" x14ac:dyDescent="0.25">
      <c r="C1490" s="40"/>
      <c r="D1490" s="121" t="s">
        <v>250</v>
      </c>
      <c r="E1490" s="121" t="s">
        <v>251</v>
      </c>
      <c r="F1490" s="122" t="s">
        <v>2758</v>
      </c>
      <c r="G1490" s="52"/>
      <c r="H1490" s="52"/>
      <c r="I1490" s="52"/>
      <c r="J1490" s="52"/>
      <c r="K1490" s="59" t="s">
        <v>79</v>
      </c>
      <c r="L1490" s="52"/>
      <c r="M1490" s="52"/>
      <c r="N1490" s="52"/>
      <c r="O1490" s="52"/>
      <c r="P1490" s="63" t="s">
        <v>252</v>
      </c>
      <c r="Q1490" s="55">
        <f>VLOOKUP(E1490,'NI-Soc_SP'!$C:$AN,12,FALSE)</f>
        <v>0</v>
      </c>
      <c r="R1490" s="55">
        <f>VLOOKUP(E1490,'NI-Soc_SP'!$C:$AN,13,FALSE)</f>
        <v>0</v>
      </c>
      <c r="S1490" s="55"/>
      <c r="T1490" s="55"/>
      <c r="U1490" s="55">
        <f>VLOOKUP($E1490,'NI-Soc_SP'!$C:$AN,MID(U$1,1,2),FALSE)</f>
        <v>0</v>
      </c>
      <c r="V1490" s="55">
        <f>VLOOKUP($E1490,'NI-Soc_SP'!$C:$AN,MID(V$1,1,2),FALSE)</f>
        <v>0</v>
      </c>
      <c r="W1490" s="55">
        <f>VLOOKUP($E1490,'NI-Soc_SP'!$C:$AN,MID(W$1,1,2),FALSE)</f>
        <v>0</v>
      </c>
      <c r="X1490" s="55">
        <f>VLOOKUP($E1490,'NI-Soc_SP'!$C:$AN,MID(X$1,1,2),FALSE)</f>
        <v>0</v>
      </c>
      <c r="Y1490" s="55">
        <f>VLOOKUP($E1490,'NI-Soc_SP'!$C:$AN,MID(Y$1,1,2),FALSE)</f>
        <v>0</v>
      </c>
      <c r="Z1490" s="55">
        <f>VLOOKUP($E1490,'NI-Soc_SP'!$C:$AN,MID(Z$1,1,2),FALSE)</f>
        <v>0</v>
      </c>
      <c r="AA1490" s="55">
        <f>VLOOKUP($E1490,'NI-Soc_SP'!$C:$AN,MID(AA$1,1,2),FALSE)</f>
        <v>0</v>
      </c>
      <c r="AB1490" s="55">
        <f>VLOOKUP($E1490,'NI-Soc_SP'!$C:$AN,MID(AB$1,1,2),FALSE)</f>
        <v>0</v>
      </c>
      <c r="AC1490" s="55">
        <f>VLOOKUP($E1490,'NI-Soc_SP'!$C:$AN,MID(AC$1,1,2),FALSE)</f>
        <v>0</v>
      </c>
      <c r="AD1490" s="55">
        <f>VLOOKUP($E1490,'NI-Soc_SP'!$C:$AN,MID(AD$1,1,2),FALSE)</f>
        <v>0</v>
      </c>
      <c r="AE1490" s="55">
        <f>VLOOKUP($E1490,'NI-Soc_SP'!$C:$AN,MID(AE$1,1,2),FALSE)</f>
        <v>0</v>
      </c>
      <c r="AF1490" s="55">
        <f>VLOOKUP($E1490,'NI-Soc_SP'!$C:$AN,MID(AF$1,1,2),FALSE)</f>
        <v>0</v>
      </c>
      <c r="AG1490" s="55">
        <f>VLOOKUP($E1490,'NI-Soc_SP'!$C:$AN,MID(AG$1,1,2),FALSE)</f>
        <v>0</v>
      </c>
      <c r="AH1490" s="55">
        <f>VLOOKUP($E1490,'NI-Soc_SP'!$C:$AN,MID(AH$1,1,2),FALSE)</f>
        <v>0</v>
      </c>
      <c r="AI1490" s="55">
        <f>VLOOKUP($E1490,'NI-Soc_SP'!$C:$AN,MID(AI$1,1,2),FALSE)</f>
        <v>0</v>
      </c>
      <c r="AJ1490" s="55">
        <f>VLOOKUP($E1490,'NI-Soc_SP'!$C:$AN,MID(AJ$1,1,2),FALSE)</f>
        <v>0</v>
      </c>
      <c r="AK1490" s="55">
        <f>VLOOKUP($E1490,'NI-Soc_SP'!$C:$AN,MID(AK$1,1,2),FALSE)</f>
        <v>0</v>
      </c>
      <c r="AL1490" s="55">
        <f>VLOOKUP($E1490,'NI-Soc_SP'!$C:$AN,MID(AL$1,1,2),FALSE)</f>
        <v>0</v>
      </c>
      <c r="AM1490" s="56">
        <f>VLOOKUP($E1490,'NI-Soc_SP'!$C:$AN,MID(AM$1,1,2),FALSE)</f>
        <v>0</v>
      </c>
      <c r="AN1490" s="30" t="str">
        <f t="shared" si="23"/>
        <v>10104020000000</v>
      </c>
    </row>
    <row r="1491" spans="3:40" x14ac:dyDescent="0.25">
      <c r="C1491" s="40"/>
      <c r="D1491" s="121" t="s">
        <v>253</v>
      </c>
      <c r="E1491" s="121" t="s">
        <v>254</v>
      </c>
      <c r="F1491" s="122" t="s">
        <v>2758</v>
      </c>
      <c r="G1491" s="52"/>
      <c r="H1491" s="52"/>
      <c r="I1491" s="52"/>
      <c r="J1491" s="52"/>
      <c r="K1491" s="59" t="s">
        <v>111</v>
      </c>
      <c r="L1491" s="62"/>
      <c r="M1491" s="52"/>
      <c r="N1491" s="52"/>
      <c r="O1491" s="61" t="s">
        <v>255</v>
      </c>
      <c r="P1491" s="60" t="s">
        <v>256</v>
      </c>
      <c r="Q1491" s="55">
        <f>VLOOKUP(E1491,'NI-Soc_SP'!$C:$AN,12,FALSE)</f>
        <v>0</v>
      </c>
      <c r="R1491" s="55">
        <f>VLOOKUP(E1491,'NI-Soc_SP'!$C:$AN,13,FALSE)</f>
        <v>0</v>
      </c>
      <c r="S1491" s="55"/>
      <c r="T1491" s="55"/>
      <c r="U1491" s="55">
        <f>VLOOKUP($E1491,'NI-Soc_SP'!$C:$AN,MID(U$1,1,2),FALSE)</f>
        <v>0</v>
      </c>
      <c r="V1491" s="55">
        <f>VLOOKUP($E1491,'NI-Soc_SP'!$C:$AN,MID(V$1,1,2),FALSE)</f>
        <v>0</v>
      </c>
      <c r="W1491" s="55">
        <f>VLOOKUP($E1491,'NI-Soc_SP'!$C:$AN,MID(W$1,1,2),FALSE)</f>
        <v>0</v>
      </c>
      <c r="X1491" s="55">
        <f>VLOOKUP($E1491,'NI-Soc_SP'!$C:$AN,MID(X$1,1,2),FALSE)</f>
        <v>0</v>
      </c>
      <c r="Y1491" s="55">
        <f>VLOOKUP($E1491,'NI-Soc_SP'!$C:$AN,MID(Y$1,1,2),FALSE)</f>
        <v>0</v>
      </c>
      <c r="Z1491" s="55">
        <f>VLOOKUP($E1491,'NI-Soc_SP'!$C:$AN,MID(Z$1,1,2),FALSE)</f>
        <v>0</v>
      </c>
      <c r="AA1491" s="55">
        <f>VLOOKUP($E1491,'NI-Soc_SP'!$C:$AN,MID(AA$1,1,2),FALSE)</f>
        <v>0</v>
      </c>
      <c r="AB1491" s="55">
        <f>VLOOKUP($E1491,'NI-Soc_SP'!$C:$AN,MID(AB$1,1,2),FALSE)</f>
        <v>0</v>
      </c>
      <c r="AC1491" s="55">
        <f>VLOOKUP($E1491,'NI-Soc_SP'!$C:$AN,MID(AC$1,1,2),FALSE)</f>
        <v>0</v>
      </c>
      <c r="AD1491" s="55">
        <f>VLOOKUP($E1491,'NI-Soc_SP'!$C:$AN,MID(AD$1,1,2),FALSE)</f>
        <v>0</v>
      </c>
      <c r="AE1491" s="55">
        <f>VLOOKUP($E1491,'NI-Soc_SP'!$C:$AN,MID(AE$1,1,2),FALSE)</f>
        <v>0</v>
      </c>
      <c r="AF1491" s="55">
        <f>VLOOKUP($E1491,'NI-Soc_SP'!$C:$AN,MID(AF$1,1,2),FALSE)</f>
        <v>0</v>
      </c>
      <c r="AG1491" s="55">
        <f>VLOOKUP($E1491,'NI-Soc_SP'!$C:$AN,MID(AG$1,1,2),FALSE)</f>
        <v>0</v>
      </c>
      <c r="AH1491" s="55">
        <f>VLOOKUP($E1491,'NI-Soc_SP'!$C:$AN,MID(AH$1,1,2),FALSE)</f>
        <v>0</v>
      </c>
      <c r="AI1491" s="55">
        <f>VLOOKUP($E1491,'NI-Soc_SP'!$C:$AN,MID(AI$1,1,2),FALSE)</f>
        <v>0</v>
      </c>
      <c r="AJ1491" s="55">
        <f>VLOOKUP($E1491,'NI-Soc_SP'!$C:$AN,MID(AJ$1,1,2),FALSE)</f>
        <v>0</v>
      </c>
      <c r="AK1491" s="55">
        <f>VLOOKUP($E1491,'NI-Soc_SP'!$C:$AN,MID(AK$1,1,2),FALSE)</f>
        <v>0</v>
      </c>
      <c r="AL1491" s="55">
        <f>VLOOKUP($E1491,'NI-Soc_SP'!$C:$AN,MID(AL$1,1,2),FALSE)</f>
        <v>0</v>
      </c>
      <c r="AM1491" s="56">
        <f>VLOOKUP($E1491,'NI-Soc_SP'!$C:$AN,MID(AM$1,1,2),FALSE)</f>
        <v>0</v>
      </c>
      <c r="AN1491" s="30" t="str">
        <f t="shared" si="23"/>
        <v>10105000000000</v>
      </c>
    </row>
    <row r="1492" spans="3:40" x14ac:dyDescent="0.25">
      <c r="C1492" s="40"/>
      <c r="D1492" s="121" t="s">
        <v>257</v>
      </c>
      <c r="E1492" s="121" t="s">
        <v>258</v>
      </c>
      <c r="F1492" s="122" t="s">
        <v>2758</v>
      </c>
      <c r="G1492" s="52"/>
      <c r="H1492" s="52"/>
      <c r="I1492" s="52" t="s">
        <v>259</v>
      </c>
      <c r="J1492" s="52"/>
      <c r="K1492" s="59" t="s">
        <v>111</v>
      </c>
      <c r="L1492" s="62" t="s">
        <v>260</v>
      </c>
      <c r="M1492" s="52"/>
      <c r="N1492" s="52"/>
      <c r="O1492" s="52"/>
      <c r="P1492" s="54" t="s">
        <v>261</v>
      </c>
      <c r="Q1492" s="55">
        <f>VLOOKUP(E1492,'NI-Soc_SP'!$C:$AN,12,FALSE)</f>
        <v>0</v>
      </c>
      <c r="R1492" s="55">
        <f>VLOOKUP(E1492,'NI-Soc_SP'!$C:$AN,13,FALSE)</f>
        <v>0</v>
      </c>
      <c r="S1492" s="55"/>
      <c r="T1492" s="55"/>
      <c r="U1492" s="55">
        <f>VLOOKUP($E1492,'NI-Soc_SP'!$C:$AN,MID(U$1,1,2),FALSE)</f>
        <v>0</v>
      </c>
      <c r="V1492" s="55">
        <f>VLOOKUP($E1492,'NI-Soc_SP'!$C:$AN,MID(V$1,1,2),FALSE)</f>
        <v>0</v>
      </c>
      <c r="W1492" s="55">
        <f>VLOOKUP($E1492,'NI-Soc_SP'!$C:$AN,MID(W$1,1,2),FALSE)</f>
        <v>0</v>
      </c>
      <c r="X1492" s="55">
        <f>VLOOKUP($E1492,'NI-Soc_SP'!$C:$AN,MID(X$1,1,2),FALSE)</f>
        <v>0</v>
      </c>
      <c r="Y1492" s="55">
        <f>VLOOKUP($E1492,'NI-Soc_SP'!$C:$AN,MID(Y$1,1,2),FALSE)</f>
        <v>0</v>
      </c>
      <c r="Z1492" s="55">
        <f>VLOOKUP($E1492,'NI-Soc_SP'!$C:$AN,MID(Z$1,1,2),FALSE)</f>
        <v>0</v>
      </c>
      <c r="AA1492" s="55">
        <f>VLOOKUP($E1492,'NI-Soc_SP'!$C:$AN,MID(AA$1,1,2),FALSE)</f>
        <v>0</v>
      </c>
      <c r="AB1492" s="55">
        <f>VLOOKUP($E1492,'NI-Soc_SP'!$C:$AN,MID(AB$1,1,2),FALSE)</f>
        <v>0</v>
      </c>
      <c r="AC1492" s="55">
        <f>VLOOKUP($E1492,'NI-Soc_SP'!$C:$AN,MID(AC$1,1,2),FALSE)</f>
        <v>0</v>
      </c>
      <c r="AD1492" s="55">
        <f>VLOOKUP($E1492,'NI-Soc_SP'!$C:$AN,MID(AD$1,1,2),FALSE)</f>
        <v>0</v>
      </c>
      <c r="AE1492" s="55">
        <f>VLOOKUP($E1492,'NI-Soc_SP'!$C:$AN,MID(AE$1,1,2),FALSE)</f>
        <v>0</v>
      </c>
      <c r="AF1492" s="55">
        <f>VLOOKUP($E1492,'NI-Soc_SP'!$C:$AN,MID(AF$1,1,2),FALSE)</f>
        <v>0</v>
      </c>
      <c r="AG1492" s="55">
        <f>VLOOKUP($E1492,'NI-Soc_SP'!$C:$AN,MID(AG$1,1,2),FALSE)</f>
        <v>0</v>
      </c>
      <c r="AH1492" s="55">
        <f>VLOOKUP($E1492,'NI-Soc_SP'!$C:$AN,MID(AH$1,1,2),FALSE)</f>
        <v>0</v>
      </c>
      <c r="AI1492" s="55">
        <f>VLOOKUP($E1492,'NI-Soc_SP'!$C:$AN,MID(AI$1,1,2),FALSE)</f>
        <v>0</v>
      </c>
      <c r="AJ1492" s="55">
        <f>VLOOKUP($E1492,'NI-Soc_SP'!$C:$AN,MID(AJ$1,1,2),FALSE)</f>
        <v>0</v>
      </c>
      <c r="AK1492" s="55">
        <f>VLOOKUP($E1492,'NI-Soc_SP'!$C:$AN,MID(AK$1,1,2),FALSE)</f>
        <v>0</v>
      </c>
      <c r="AL1492" s="55">
        <f>VLOOKUP($E1492,'NI-Soc_SP'!$C:$AN,MID(AL$1,1,2),FALSE)</f>
        <v>0</v>
      </c>
      <c r="AM1492" s="56">
        <f>VLOOKUP($E1492,'NI-Soc_SP'!$C:$AN,MID(AM$1,1,2),FALSE)</f>
        <v>0</v>
      </c>
      <c r="AN1492" s="30" t="str">
        <f t="shared" si="23"/>
        <v>10105010000000</v>
      </c>
    </row>
    <row r="1493" spans="3:40" x14ac:dyDescent="0.25">
      <c r="C1493" s="40"/>
      <c r="D1493" s="121" t="s">
        <v>262</v>
      </c>
      <c r="E1493" s="121" t="s">
        <v>263</v>
      </c>
      <c r="F1493" s="122" t="s">
        <v>2758</v>
      </c>
      <c r="G1493" s="52"/>
      <c r="H1493" s="52"/>
      <c r="I1493" s="52"/>
      <c r="J1493" s="52"/>
      <c r="K1493" s="59" t="s">
        <v>79</v>
      </c>
      <c r="L1493" s="52"/>
      <c r="M1493" s="52"/>
      <c r="N1493" s="52"/>
      <c r="O1493" s="52"/>
      <c r="P1493" s="63" t="s">
        <v>264</v>
      </c>
      <c r="Q1493" s="55">
        <f>VLOOKUP(E1493,'NI-Soc_SP'!$C:$AN,12,FALSE)</f>
        <v>0</v>
      </c>
      <c r="R1493" s="55">
        <f>VLOOKUP(E1493,'NI-Soc_SP'!$C:$AN,13,FALSE)</f>
        <v>0</v>
      </c>
      <c r="S1493" s="55"/>
      <c r="T1493" s="55"/>
      <c r="U1493" s="55">
        <f>VLOOKUP($E1493,'NI-Soc_SP'!$C:$AN,MID(U$1,1,2),FALSE)</f>
        <v>0</v>
      </c>
      <c r="V1493" s="55">
        <f>VLOOKUP($E1493,'NI-Soc_SP'!$C:$AN,MID(V$1,1,2),FALSE)</f>
        <v>0</v>
      </c>
      <c r="W1493" s="55">
        <f>VLOOKUP($E1493,'NI-Soc_SP'!$C:$AN,MID(W$1,1,2),FALSE)</f>
        <v>0</v>
      </c>
      <c r="X1493" s="55">
        <f>VLOOKUP($E1493,'NI-Soc_SP'!$C:$AN,MID(X$1,1,2),FALSE)</f>
        <v>0</v>
      </c>
      <c r="Y1493" s="55">
        <f>VLOOKUP($E1493,'NI-Soc_SP'!$C:$AN,MID(Y$1,1,2),FALSE)</f>
        <v>0</v>
      </c>
      <c r="Z1493" s="55">
        <f>VLOOKUP($E1493,'NI-Soc_SP'!$C:$AN,MID(Z$1,1,2),FALSE)</f>
        <v>0</v>
      </c>
      <c r="AA1493" s="55">
        <f>VLOOKUP($E1493,'NI-Soc_SP'!$C:$AN,MID(AA$1,1,2),FALSE)</f>
        <v>0</v>
      </c>
      <c r="AB1493" s="55">
        <f>VLOOKUP($E1493,'NI-Soc_SP'!$C:$AN,MID(AB$1,1,2),FALSE)</f>
        <v>0</v>
      </c>
      <c r="AC1493" s="55">
        <f>VLOOKUP($E1493,'NI-Soc_SP'!$C:$AN,MID(AC$1,1,2),FALSE)</f>
        <v>0</v>
      </c>
      <c r="AD1493" s="55">
        <f>VLOOKUP($E1493,'NI-Soc_SP'!$C:$AN,MID(AD$1,1,2),FALSE)</f>
        <v>0</v>
      </c>
      <c r="AE1493" s="55">
        <f>VLOOKUP($E1493,'NI-Soc_SP'!$C:$AN,MID(AE$1,1,2),FALSE)</f>
        <v>0</v>
      </c>
      <c r="AF1493" s="55">
        <f>VLOOKUP($E1493,'NI-Soc_SP'!$C:$AN,MID(AF$1,1,2),FALSE)</f>
        <v>0</v>
      </c>
      <c r="AG1493" s="55">
        <f>VLOOKUP($E1493,'NI-Soc_SP'!$C:$AN,MID(AG$1,1,2),FALSE)</f>
        <v>0</v>
      </c>
      <c r="AH1493" s="55">
        <f>VLOOKUP($E1493,'NI-Soc_SP'!$C:$AN,MID(AH$1,1,2),FALSE)</f>
        <v>0</v>
      </c>
      <c r="AI1493" s="55">
        <f>VLOOKUP($E1493,'NI-Soc_SP'!$C:$AN,MID(AI$1,1,2),FALSE)</f>
        <v>0</v>
      </c>
      <c r="AJ1493" s="55">
        <f>VLOOKUP($E1493,'NI-Soc_SP'!$C:$AN,MID(AJ$1,1,2),FALSE)</f>
        <v>0</v>
      </c>
      <c r="AK1493" s="55">
        <f>VLOOKUP($E1493,'NI-Soc_SP'!$C:$AN,MID(AK$1,1,2),FALSE)</f>
        <v>0</v>
      </c>
      <c r="AL1493" s="55">
        <f>VLOOKUP($E1493,'NI-Soc_SP'!$C:$AN,MID(AL$1,1,2),FALSE)</f>
        <v>0</v>
      </c>
      <c r="AM1493" s="56">
        <f>VLOOKUP($E1493,'NI-Soc_SP'!$C:$AN,MID(AM$1,1,2),FALSE)</f>
        <v>0</v>
      </c>
      <c r="AN1493" s="30" t="str">
        <f t="shared" si="23"/>
        <v>10105010010010</v>
      </c>
    </row>
    <row r="1494" spans="3:40" x14ac:dyDescent="0.25">
      <c r="C1494" s="40"/>
      <c r="D1494" s="121" t="s">
        <v>265</v>
      </c>
      <c r="E1494" s="121" t="s">
        <v>266</v>
      </c>
      <c r="F1494" s="122" t="s">
        <v>2758</v>
      </c>
      <c r="G1494" s="52"/>
      <c r="H1494" s="52"/>
      <c r="I1494" s="52"/>
      <c r="J1494" s="52"/>
      <c r="K1494" s="59" t="s">
        <v>79</v>
      </c>
      <c r="L1494" s="52"/>
      <c r="M1494" s="52"/>
      <c r="N1494" s="52"/>
      <c r="O1494" s="52"/>
      <c r="P1494" s="63" t="s">
        <v>267</v>
      </c>
      <c r="Q1494" s="55">
        <f>VLOOKUP(E1494,'NI-Soc_SP'!$C:$AN,12,FALSE)</f>
        <v>0</v>
      </c>
      <c r="R1494" s="55">
        <f>VLOOKUP(E1494,'NI-Soc_SP'!$C:$AN,13,FALSE)</f>
        <v>0</v>
      </c>
      <c r="S1494" s="55"/>
      <c r="T1494" s="55"/>
      <c r="U1494" s="55">
        <f>VLOOKUP($E1494,'NI-Soc_SP'!$C:$AN,MID(U$1,1,2),FALSE)</f>
        <v>0</v>
      </c>
      <c r="V1494" s="55">
        <f>VLOOKUP($E1494,'NI-Soc_SP'!$C:$AN,MID(V$1,1,2),FALSE)</f>
        <v>0</v>
      </c>
      <c r="W1494" s="55">
        <f>VLOOKUP($E1494,'NI-Soc_SP'!$C:$AN,MID(W$1,1,2),FALSE)</f>
        <v>0</v>
      </c>
      <c r="X1494" s="55">
        <f>VLOOKUP($E1494,'NI-Soc_SP'!$C:$AN,MID(X$1,1,2),FALSE)</f>
        <v>0</v>
      </c>
      <c r="Y1494" s="55">
        <f>VLOOKUP($E1494,'NI-Soc_SP'!$C:$AN,MID(Y$1,1,2),FALSE)</f>
        <v>0</v>
      </c>
      <c r="Z1494" s="55">
        <f>VLOOKUP($E1494,'NI-Soc_SP'!$C:$AN,MID(Z$1,1,2),FALSE)</f>
        <v>0</v>
      </c>
      <c r="AA1494" s="55">
        <f>VLOOKUP($E1494,'NI-Soc_SP'!$C:$AN,MID(AA$1,1,2),FALSE)</f>
        <v>0</v>
      </c>
      <c r="AB1494" s="55">
        <f>VLOOKUP($E1494,'NI-Soc_SP'!$C:$AN,MID(AB$1,1,2),FALSE)</f>
        <v>0</v>
      </c>
      <c r="AC1494" s="55">
        <f>VLOOKUP($E1494,'NI-Soc_SP'!$C:$AN,MID(AC$1,1,2),FALSE)</f>
        <v>0</v>
      </c>
      <c r="AD1494" s="55">
        <f>VLOOKUP($E1494,'NI-Soc_SP'!$C:$AN,MID(AD$1,1,2),FALSE)</f>
        <v>0</v>
      </c>
      <c r="AE1494" s="55">
        <f>VLOOKUP($E1494,'NI-Soc_SP'!$C:$AN,MID(AE$1,1,2),FALSE)</f>
        <v>0</v>
      </c>
      <c r="AF1494" s="55">
        <f>VLOOKUP($E1494,'NI-Soc_SP'!$C:$AN,MID(AF$1,1,2),FALSE)</f>
        <v>0</v>
      </c>
      <c r="AG1494" s="55">
        <f>VLOOKUP($E1494,'NI-Soc_SP'!$C:$AN,MID(AG$1,1,2),FALSE)</f>
        <v>0</v>
      </c>
      <c r="AH1494" s="55">
        <f>VLOOKUP($E1494,'NI-Soc_SP'!$C:$AN,MID(AH$1,1,2),FALSE)</f>
        <v>0</v>
      </c>
      <c r="AI1494" s="55">
        <f>VLOOKUP($E1494,'NI-Soc_SP'!$C:$AN,MID(AI$1,1,2),FALSE)</f>
        <v>0</v>
      </c>
      <c r="AJ1494" s="55">
        <f>VLOOKUP($E1494,'NI-Soc_SP'!$C:$AN,MID(AJ$1,1,2),FALSE)</f>
        <v>0</v>
      </c>
      <c r="AK1494" s="55">
        <f>VLOOKUP($E1494,'NI-Soc_SP'!$C:$AN,MID(AK$1,1,2),FALSE)</f>
        <v>0</v>
      </c>
      <c r="AL1494" s="55">
        <f>VLOOKUP($E1494,'NI-Soc_SP'!$C:$AN,MID(AL$1,1,2),FALSE)</f>
        <v>0</v>
      </c>
      <c r="AM1494" s="56">
        <f>VLOOKUP($E1494,'NI-Soc_SP'!$C:$AN,MID(AM$1,1,2),FALSE)</f>
        <v>0</v>
      </c>
      <c r="AN1494" s="30" t="str">
        <f t="shared" si="23"/>
        <v>10105010010020</v>
      </c>
    </row>
    <row r="1495" spans="3:40" x14ac:dyDescent="0.25">
      <c r="C1495" s="40"/>
      <c r="D1495" s="121" t="s">
        <v>268</v>
      </c>
      <c r="E1495" s="121" t="s">
        <v>269</v>
      </c>
      <c r="F1495" s="122" t="s">
        <v>2758</v>
      </c>
      <c r="G1495" s="52"/>
      <c r="H1495" s="52"/>
      <c r="I1495" s="52"/>
      <c r="J1495" s="52"/>
      <c r="K1495" s="59" t="s">
        <v>79</v>
      </c>
      <c r="L1495" s="52"/>
      <c r="M1495" s="52"/>
      <c r="N1495" s="52"/>
      <c r="O1495" s="52"/>
      <c r="P1495" s="63" t="s">
        <v>270</v>
      </c>
      <c r="Q1495" s="55">
        <f>VLOOKUP(E1495,'NI-Soc_SP'!$C:$AN,12,FALSE)</f>
        <v>0</v>
      </c>
      <c r="R1495" s="55">
        <f>VLOOKUP(E1495,'NI-Soc_SP'!$C:$AN,13,FALSE)</f>
        <v>0</v>
      </c>
      <c r="S1495" s="55"/>
      <c r="T1495" s="55"/>
      <c r="U1495" s="55">
        <f>VLOOKUP($E1495,'NI-Soc_SP'!$C:$AN,MID(U$1,1,2),FALSE)</f>
        <v>0</v>
      </c>
      <c r="V1495" s="55">
        <f>VLOOKUP($E1495,'NI-Soc_SP'!$C:$AN,MID(V$1,1,2),FALSE)</f>
        <v>0</v>
      </c>
      <c r="W1495" s="55">
        <f>VLOOKUP($E1495,'NI-Soc_SP'!$C:$AN,MID(W$1,1,2),FALSE)</f>
        <v>0</v>
      </c>
      <c r="X1495" s="55">
        <f>VLOOKUP($E1495,'NI-Soc_SP'!$C:$AN,MID(X$1,1,2),FALSE)</f>
        <v>0</v>
      </c>
      <c r="Y1495" s="55">
        <f>VLOOKUP($E1495,'NI-Soc_SP'!$C:$AN,MID(Y$1,1,2),FALSE)</f>
        <v>0</v>
      </c>
      <c r="Z1495" s="55">
        <f>VLOOKUP($E1495,'NI-Soc_SP'!$C:$AN,MID(Z$1,1,2),FALSE)</f>
        <v>0</v>
      </c>
      <c r="AA1495" s="55">
        <f>VLOOKUP($E1495,'NI-Soc_SP'!$C:$AN,MID(AA$1,1,2),FALSE)</f>
        <v>0</v>
      </c>
      <c r="AB1495" s="55">
        <f>VLOOKUP($E1495,'NI-Soc_SP'!$C:$AN,MID(AB$1,1,2),FALSE)</f>
        <v>0</v>
      </c>
      <c r="AC1495" s="55">
        <f>VLOOKUP($E1495,'NI-Soc_SP'!$C:$AN,MID(AC$1,1,2),FALSE)</f>
        <v>0</v>
      </c>
      <c r="AD1495" s="55">
        <f>VLOOKUP($E1495,'NI-Soc_SP'!$C:$AN,MID(AD$1,1,2),FALSE)</f>
        <v>0</v>
      </c>
      <c r="AE1495" s="55">
        <f>VLOOKUP($E1495,'NI-Soc_SP'!$C:$AN,MID(AE$1,1,2),FALSE)</f>
        <v>0</v>
      </c>
      <c r="AF1495" s="55">
        <f>VLOOKUP($E1495,'NI-Soc_SP'!$C:$AN,MID(AF$1,1,2),FALSE)</f>
        <v>0</v>
      </c>
      <c r="AG1495" s="55">
        <f>VLOOKUP($E1495,'NI-Soc_SP'!$C:$AN,MID(AG$1,1,2),FALSE)</f>
        <v>0</v>
      </c>
      <c r="AH1495" s="55">
        <f>VLOOKUP($E1495,'NI-Soc_SP'!$C:$AN,MID(AH$1,1,2),FALSE)</f>
        <v>0</v>
      </c>
      <c r="AI1495" s="55">
        <f>VLOOKUP($E1495,'NI-Soc_SP'!$C:$AN,MID(AI$1,1,2),FALSE)</f>
        <v>0</v>
      </c>
      <c r="AJ1495" s="55">
        <f>VLOOKUP($E1495,'NI-Soc_SP'!$C:$AN,MID(AJ$1,1,2),FALSE)</f>
        <v>0</v>
      </c>
      <c r="AK1495" s="55">
        <f>VLOOKUP($E1495,'NI-Soc_SP'!$C:$AN,MID(AK$1,1,2),FALSE)</f>
        <v>0</v>
      </c>
      <c r="AL1495" s="55">
        <f>VLOOKUP($E1495,'NI-Soc_SP'!$C:$AN,MID(AL$1,1,2),FALSE)</f>
        <v>0</v>
      </c>
      <c r="AM1495" s="56">
        <f>VLOOKUP($E1495,'NI-Soc_SP'!$C:$AN,MID(AM$1,1,2),FALSE)</f>
        <v>0</v>
      </c>
      <c r="AN1495" s="30" t="str">
        <f t="shared" si="23"/>
        <v>10105010020010</v>
      </c>
    </row>
    <row r="1496" spans="3:40" x14ac:dyDescent="0.25">
      <c r="C1496" s="40"/>
      <c r="D1496" s="121" t="s">
        <v>271</v>
      </c>
      <c r="E1496" s="121" t="s">
        <v>272</v>
      </c>
      <c r="F1496" s="122" t="s">
        <v>2758</v>
      </c>
      <c r="G1496" s="52"/>
      <c r="H1496" s="52"/>
      <c r="I1496" s="52"/>
      <c r="J1496" s="52"/>
      <c r="K1496" s="59" t="s">
        <v>79</v>
      </c>
      <c r="L1496" s="52"/>
      <c r="M1496" s="52"/>
      <c r="N1496" s="52"/>
      <c r="O1496" s="52"/>
      <c r="P1496" s="63" t="s">
        <v>273</v>
      </c>
      <c r="Q1496" s="55">
        <f>VLOOKUP(E1496,'NI-Soc_SP'!$C:$AN,12,FALSE)</f>
        <v>0</v>
      </c>
      <c r="R1496" s="55">
        <f>VLOOKUP(E1496,'NI-Soc_SP'!$C:$AN,13,FALSE)</f>
        <v>0</v>
      </c>
      <c r="S1496" s="55"/>
      <c r="T1496" s="55"/>
      <c r="U1496" s="55">
        <f>VLOOKUP($E1496,'NI-Soc_SP'!$C:$AN,MID(U$1,1,2),FALSE)</f>
        <v>0</v>
      </c>
      <c r="V1496" s="55">
        <f>VLOOKUP($E1496,'NI-Soc_SP'!$C:$AN,MID(V$1,1,2),FALSE)</f>
        <v>0</v>
      </c>
      <c r="W1496" s="55">
        <f>VLOOKUP($E1496,'NI-Soc_SP'!$C:$AN,MID(W$1,1,2),FALSE)</f>
        <v>0</v>
      </c>
      <c r="X1496" s="55">
        <f>VLOOKUP($E1496,'NI-Soc_SP'!$C:$AN,MID(X$1,1,2),FALSE)</f>
        <v>0</v>
      </c>
      <c r="Y1496" s="55">
        <f>VLOOKUP($E1496,'NI-Soc_SP'!$C:$AN,MID(Y$1,1,2),FALSE)</f>
        <v>0</v>
      </c>
      <c r="Z1496" s="55">
        <f>VLOOKUP($E1496,'NI-Soc_SP'!$C:$AN,MID(Z$1,1,2),FALSE)</f>
        <v>0</v>
      </c>
      <c r="AA1496" s="55">
        <f>VLOOKUP($E1496,'NI-Soc_SP'!$C:$AN,MID(AA$1,1,2),FALSE)</f>
        <v>0</v>
      </c>
      <c r="AB1496" s="55">
        <f>VLOOKUP($E1496,'NI-Soc_SP'!$C:$AN,MID(AB$1,1,2),FALSE)</f>
        <v>0</v>
      </c>
      <c r="AC1496" s="55">
        <f>VLOOKUP($E1496,'NI-Soc_SP'!$C:$AN,MID(AC$1,1,2),FALSE)</f>
        <v>0</v>
      </c>
      <c r="AD1496" s="55">
        <f>VLOOKUP($E1496,'NI-Soc_SP'!$C:$AN,MID(AD$1,1,2),FALSE)</f>
        <v>0</v>
      </c>
      <c r="AE1496" s="55">
        <f>VLOOKUP($E1496,'NI-Soc_SP'!$C:$AN,MID(AE$1,1,2),FALSE)</f>
        <v>0</v>
      </c>
      <c r="AF1496" s="55">
        <f>VLOOKUP($E1496,'NI-Soc_SP'!$C:$AN,MID(AF$1,1,2),FALSE)</f>
        <v>0</v>
      </c>
      <c r="AG1496" s="55">
        <f>VLOOKUP($E1496,'NI-Soc_SP'!$C:$AN,MID(AG$1,1,2),FALSE)</f>
        <v>0</v>
      </c>
      <c r="AH1496" s="55">
        <f>VLOOKUP($E1496,'NI-Soc_SP'!$C:$AN,MID(AH$1,1,2),FALSE)</f>
        <v>0</v>
      </c>
      <c r="AI1496" s="55">
        <f>VLOOKUP($E1496,'NI-Soc_SP'!$C:$AN,MID(AI$1,1,2),FALSE)</f>
        <v>0</v>
      </c>
      <c r="AJ1496" s="55">
        <f>VLOOKUP($E1496,'NI-Soc_SP'!$C:$AN,MID(AJ$1,1,2),FALSE)</f>
        <v>0</v>
      </c>
      <c r="AK1496" s="55">
        <f>VLOOKUP($E1496,'NI-Soc_SP'!$C:$AN,MID(AK$1,1,2),FALSE)</f>
        <v>0</v>
      </c>
      <c r="AL1496" s="55">
        <f>VLOOKUP($E1496,'NI-Soc_SP'!$C:$AN,MID(AL$1,1,2),FALSE)</f>
        <v>0</v>
      </c>
      <c r="AM1496" s="56">
        <f>VLOOKUP($E1496,'NI-Soc_SP'!$C:$AN,MID(AM$1,1,2),FALSE)</f>
        <v>0</v>
      </c>
      <c r="AN1496" s="30" t="str">
        <f t="shared" si="23"/>
        <v>10105010020020</v>
      </c>
    </row>
    <row r="1497" spans="3:40" x14ac:dyDescent="0.25">
      <c r="C1497" s="40"/>
      <c r="D1497" s="121" t="s">
        <v>274</v>
      </c>
      <c r="E1497" s="121" t="s">
        <v>275</v>
      </c>
      <c r="F1497" s="122" t="s">
        <v>2758</v>
      </c>
      <c r="G1497" s="52"/>
      <c r="H1497" s="52"/>
      <c r="I1497" s="52"/>
      <c r="J1497" s="52"/>
      <c r="K1497" s="59" t="s">
        <v>79</v>
      </c>
      <c r="L1497" s="52"/>
      <c r="M1497" s="52"/>
      <c r="N1497" s="52"/>
      <c r="O1497" s="52"/>
      <c r="P1497" s="63" t="s">
        <v>276</v>
      </c>
      <c r="Q1497" s="55">
        <f>VLOOKUP(E1497,'NI-Soc_SP'!$C:$AN,12,FALSE)</f>
        <v>0</v>
      </c>
      <c r="R1497" s="55">
        <f>VLOOKUP(E1497,'NI-Soc_SP'!$C:$AN,13,FALSE)</f>
        <v>0</v>
      </c>
      <c r="S1497" s="55"/>
      <c r="T1497" s="55"/>
      <c r="U1497" s="55">
        <f>VLOOKUP($E1497,'NI-Soc_SP'!$C:$AN,MID(U$1,1,2),FALSE)</f>
        <v>0</v>
      </c>
      <c r="V1497" s="55">
        <f>VLOOKUP($E1497,'NI-Soc_SP'!$C:$AN,MID(V$1,1,2),FALSE)</f>
        <v>0</v>
      </c>
      <c r="W1497" s="55">
        <f>VLOOKUP($E1497,'NI-Soc_SP'!$C:$AN,MID(W$1,1,2),FALSE)</f>
        <v>0</v>
      </c>
      <c r="X1497" s="55">
        <f>VLOOKUP($E1497,'NI-Soc_SP'!$C:$AN,MID(X$1,1,2),FALSE)</f>
        <v>0</v>
      </c>
      <c r="Y1497" s="55">
        <f>VLOOKUP($E1497,'NI-Soc_SP'!$C:$AN,MID(Y$1,1,2),FALSE)</f>
        <v>0</v>
      </c>
      <c r="Z1497" s="55">
        <f>VLOOKUP($E1497,'NI-Soc_SP'!$C:$AN,MID(Z$1,1,2),FALSE)</f>
        <v>0</v>
      </c>
      <c r="AA1497" s="55">
        <f>VLOOKUP($E1497,'NI-Soc_SP'!$C:$AN,MID(AA$1,1,2),FALSE)</f>
        <v>0</v>
      </c>
      <c r="AB1497" s="55">
        <f>VLOOKUP($E1497,'NI-Soc_SP'!$C:$AN,MID(AB$1,1,2),FALSE)</f>
        <v>0</v>
      </c>
      <c r="AC1497" s="55">
        <f>VLOOKUP($E1497,'NI-Soc_SP'!$C:$AN,MID(AC$1,1,2),FALSE)</f>
        <v>0</v>
      </c>
      <c r="AD1497" s="55">
        <f>VLOOKUP($E1497,'NI-Soc_SP'!$C:$AN,MID(AD$1,1,2),FALSE)</f>
        <v>0</v>
      </c>
      <c r="AE1497" s="55">
        <f>VLOOKUP($E1497,'NI-Soc_SP'!$C:$AN,MID(AE$1,1,2),FALSE)</f>
        <v>0</v>
      </c>
      <c r="AF1497" s="55">
        <f>VLOOKUP($E1497,'NI-Soc_SP'!$C:$AN,MID(AF$1,1,2),FALSE)</f>
        <v>0</v>
      </c>
      <c r="AG1497" s="55">
        <f>VLOOKUP($E1497,'NI-Soc_SP'!$C:$AN,MID(AG$1,1,2),FALSE)</f>
        <v>0</v>
      </c>
      <c r="AH1497" s="55">
        <f>VLOOKUP($E1497,'NI-Soc_SP'!$C:$AN,MID(AH$1,1,2),FALSE)</f>
        <v>0</v>
      </c>
      <c r="AI1497" s="55">
        <f>VLOOKUP($E1497,'NI-Soc_SP'!$C:$AN,MID(AI$1,1,2),FALSE)</f>
        <v>0</v>
      </c>
      <c r="AJ1497" s="55">
        <f>VLOOKUP($E1497,'NI-Soc_SP'!$C:$AN,MID(AJ$1,1,2),FALSE)</f>
        <v>0</v>
      </c>
      <c r="AK1497" s="55">
        <f>VLOOKUP($E1497,'NI-Soc_SP'!$C:$AN,MID(AK$1,1,2),FALSE)</f>
        <v>0</v>
      </c>
      <c r="AL1497" s="55">
        <f>VLOOKUP($E1497,'NI-Soc_SP'!$C:$AN,MID(AL$1,1,2),FALSE)</f>
        <v>0</v>
      </c>
      <c r="AM1497" s="56">
        <f>VLOOKUP($E1497,'NI-Soc_SP'!$C:$AN,MID(AM$1,1,2),FALSE)</f>
        <v>0</v>
      </c>
      <c r="AN1497" s="30" t="str">
        <f t="shared" si="23"/>
        <v>10105010030010</v>
      </c>
    </row>
    <row r="1498" spans="3:40" x14ac:dyDescent="0.25">
      <c r="C1498" s="40"/>
      <c r="D1498" s="121" t="s">
        <v>277</v>
      </c>
      <c r="E1498" s="121" t="s">
        <v>278</v>
      </c>
      <c r="F1498" s="122" t="s">
        <v>2758</v>
      </c>
      <c r="G1498" s="52"/>
      <c r="H1498" s="52"/>
      <c r="I1498" s="52"/>
      <c r="J1498" s="52"/>
      <c r="K1498" s="59" t="s">
        <v>79</v>
      </c>
      <c r="L1498" s="52"/>
      <c r="M1498" s="52"/>
      <c r="N1498" s="52"/>
      <c r="O1498" s="52"/>
      <c r="P1498" s="63" t="s">
        <v>279</v>
      </c>
      <c r="Q1498" s="55">
        <f>VLOOKUP(E1498,'NI-Soc_SP'!$C:$AN,12,FALSE)</f>
        <v>0</v>
      </c>
      <c r="R1498" s="55">
        <f>VLOOKUP(E1498,'NI-Soc_SP'!$C:$AN,13,FALSE)</f>
        <v>0</v>
      </c>
      <c r="S1498" s="55"/>
      <c r="T1498" s="55"/>
      <c r="U1498" s="55">
        <f>VLOOKUP($E1498,'NI-Soc_SP'!$C:$AN,MID(U$1,1,2),FALSE)</f>
        <v>0</v>
      </c>
      <c r="V1498" s="55">
        <f>VLOOKUP($E1498,'NI-Soc_SP'!$C:$AN,MID(V$1,1,2),FALSE)</f>
        <v>0</v>
      </c>
      <c r="W1498" s="55">
        <f>VLOOKUP($E1498,'NI-Soc_SP'!$C:$AN,MID(W$1,1,2),FALSE)</f>
        <v>0</v>
      </c>
      <c r="X1498" s="55">
        <f>VLOOKUP($E1498,'NI-Soc_SP'!$C:$AN,MID(X$1,1,2),FALSE)</f>
        <v>0</v>
      </c>
      <c r="Y1498" s="55">
        <f>VLOOKUP($E1498,'NI-Soc_SP'!$C:$AN,MID(Y$1,1,2),FALSE)</f>
        <v>0</v>
      </c>
      <c r="Z1498" s="55">
        <f>VLOOKUP($E1498,'NI-Soc_SP'!$C:$AN,MID(Z$1,1,2),FALSE)</f>
        <v>0</v>
      </c>
      <c r="AA1498" s="55">
        <f>VLOOKUP($E1498,'NI-Soc_SP'!$C:$AN,MID(AA$1,1,2),FALSE)</f>
        <v>0</v>
      </c>
      <c r="AB1498" s="55">
        <f>VLOOKUP($E1498,'NI-Soc_SP'!$C:$AN,MID(AB$1,1,2),FALSE)</f>
        <v>0</v>
      </c>
      <c r="AC1498" s="55">
        <f>VLOOKUP($E1498,'NI-Soc_SP'!$C:$AN,MID(AC$1,1,2),FALSE)</f>
        <v>0</v>
      </c>
      <c r="AD1498" s="55">
        <f>VLOOKUP($E1498,'NI-Soc_SP'!$C:$AN,MID(AD$1,1,2),FALSE)</f>
        <v>0</v>
      </c>
      <c r="AE1498" s="55">
        <f>VLOOKUP($E1498,'NI-Soc_SP'!$C:$AN,MID(AE$1,1,2),FALSE)</f>
        <v>0</v>
      </c>
      <c r="AF1498" s="55">
        <f>VLOOKUP($E1498,'NI-Soc_SP'!$C:$AN,MID(AF$1,1,2),FALSE)</f>
        <v>0</v>
      </c>
      <c r="AG1498" s="55">
        <f>VLOOKUP($E1498,'NI-Soc_SP'!$C:$AN,MID(AG$1,1,2),FALSE)</f>
        <v>0</v>
      </c>
      <c r="AH1498" s="55">
        <f>VLOOKUP($E1498,'NI-Soc_SP'!$C:$AN,MID(AH$1,1,2),FALSE)</f>
        <v>0</v>
      </c>
      <c r="AI1498" s="55">
        <f>VLOOKUP($E1498,'NI-Soc_SP'!$C:$AN,MID(AI$1,1,2),FALSE)</f>
        <v>0</v>
      </c>
      <c r="AJ1498" s="55">
        <f>VLOOKUP($E1498,'NI-Soc_SP'!$C:$AN,MID(AJ$1,1,2),FALSE)</f>
        <v>0</v>
      </c>
      <c r="AK1498" s="55">
        <f>VLOOKUP($E1498,'NI-Soc_SP'!$C:$AN,MID(AK$1,1,2),FALSE)</f>
        <v>0</v>
      </c>
      <c r="AL1498" s="55">
        <f>VLOOKUP($E1498,'NI-Soc_SP'!$C:$AN,MID(AL$1,1,2),FALSE)</f>
        <v>0</v>
      </c>
      <c r="AM1498" s="56">
        <f>VLOOKUP($E1498,'NI-Soc_SP'!$C:$AN,MID(AM$1,1,2),FALSE)</f>
        <v>0</v>
      </c>
      <c r="AN1498" s="30" t="str">
        <f t="shared" si="23"/>
        <v>10105010030020</v>
      </c>
    </row>
    <row r="1499" spans="3:40" x14ac:dyDescent="0.25">
      <c r="C1499" s="40"/>
      <c r="D1499" s="121" t="s">
        <v>280</v>
      </c>
      <c r="E1499" s="121" t="s">
        <v>281</v>
      </c>
      <c r="F1499" s="122" t="s">
        <v>2758</v>
      </c>
      <c r="G1499" s="52"/>
      <c r="H1499" s="52"/>
      <c r="I1499" s="52"/>
      <c r="J1499" s="52"/>
      <c r="K1499" s="59" t="s">
        <v>79</v>
      </c>
      <c r="L1499" s="52"/>
      <c r="M1499" s="52"/>
      <c r="N1499" s="52"/>
      <c r="O1499" s="52"/>
      <c r="P1499" s="63" t="s">
        <v>282</v>
      </c>
      <c r="Q1499" s="55">
        <f>VLOOKUP(E1499,'NI-Soc_SP'!$C:$AN,12,FALSE)</f>
        <v>0</v>
      </c>
      <c r="R1499" s="55">
        <f>VLOOKUP(E1499,'NI-Soc_SP'!$C:$AN,13,FALSE)</f>
        <v>0</v>
      </c>
      <c r="S1499" s="55"/>
      <c r="T1499" s="55"/>
      <c r="U1499" s="55">
        <f>VLOOKUP($E1499,'NI-Soc_SP'!$C:$AN,MID(U$1,1,2),FALSE)</f>
        <v>0</v>
      </c>
      <c r="V1499" s="55">
        <f>VLOOKUP($E1499,'NI-Soc_SP'!$C:$AN,MID(V$1,1,2),FALSE)</f>
        <v>0</v>
      </c>
      <c r="W1499" s="55">
        <f>VLOOKUP($E1499,'NI-Soc_SP'!$C:$AN,MID(W$1,1,2),FALSE)</f>
        <v>0</v>
      </c>
      <c r="X1499" s="55">
        <f>VLOOKUP($E1499,'NI-Soc_SP'!$C:$AN,MID(X$1,1,2),FALSE)</f>
        <v>0</v>
      </c>
      <c r="Y1499" s="55">
        <f>VLOOKUP($E1499,'NI-Soc_SP'!$C:$AN,MID(Y$1,1,2),FALSE)</f>
        <v>0</v>
      </c>
      <c r="Z1499" s="55">
        <f>VLOOKUP($E1499,'NI-Soc_SP'!$C:$AN,MID(Z$1,1,2),FALSE)</f>
        <v>0</v>
      </c>
      <c r="AA1499" s="55">
        <f>VLOOKUP($E1499,'NI-Soc_SP'!$C:$AN,MID(AA$1,1,2),FALSE)</f>
        <v>0</v>
      </c>
      <c r="AB1499" s="55">
        <f>VLOOKUP($E1499,'NI-Soc_SP'!$C:$AN,MID(AB$1,1,2),FALSE)</f>
        <v>0</v>
      </c>
      <c r="AC1499" s="55">
        <f>VLOOKUP($E1499,'NI-Soc_SP'!$C:$AN,MID(AC$1,1,2),FALSE)</f>
        <v>0</v>
      </c>
      <c r="AD1499" s="55">
        <f>VLOOKUP($E1499,'NI-Soc_SP'!$C:$AN,MID(AD$1,1,2),FALSE)</f>
        <v>0</v>
      </c>
      <c r="AE1499" s="55">
        <f>VLOOKUP($E1499,'NI-Soc_SP'!$C:$AN,MID(AE$1,1,2),FALSE)</f>
        <v>0</v>
      </c>
      <c r="AF1499" s="55">
        <f>VLOOKUP($E1499,'NI-Soc_SP'!$C:$AN,MID(AF$1,1,2),FALSE)</f>
        <v>0</v>
      </c>
      <c r="AG1499" s="55">
        <f>VLOOKUP($E1499,'NI-Soc_SP'!$C:$AN,MID(AG$1,1,2),FALSE)</f>
        <v>0</v>
      </c>
      <c r="AH1499" s="55">
        <f>VLOOKUP($E1499,'NI-Soc_SP'!$C:$AN,MID(AH$1,1,2),FALSE)</f>
        <v>0</v>
      </c>
      <c r="AI1499" s="55">
        <f>VLOOKUP($E1499,'NI-Soc_SP'!$C:$AN,MID(AI$1,1,2),FALSE)</f>
        <v>0</v>
      </c>
      <c r="AJ1499" s="55">
        <f>VLOOKUP($E1499,'NI-Soc_SP'!$C:$AN,MID(AJ$1,1,2),FALSE)</f>
        <v>0</v>
      </c>
      <c r="AK1499" s="55">
        <f>VLOOKUP($E1499,'NI-Soc_SP'!$C:$AN,MID(AK$1,1,2),FALSE)</f>
        <v>0</v>
      </c>
      <c r="AL1499" s="55">
        <f>VLOOKUP($E1499,'NI-Soc_SP'!$C:$AN,MID(AL$1,1,2),FALSE)</f>
        <v>0</v>
      </c>
      <c r="AM1499" s="56">
        <f>VLOOKUP($E1499,'NI-Soc_SP'!$C:$AN,MID(AM$1,1,2),FALSE)</f>
        <v>0</v>
      </c>
      <c r="AN1499" s="30" t="str">
        <f t="shared" si="23"/>
        <v>10105010040010</v>
      </c>
    </row>
    <row r="1500" spans="3:40" x14ac:dyDescent="0.25">
      <c r="C1500" s="40"/>
      <c r="D1500" s="121" t="s">
        <v>283</v>
      </c>
      <c r="E1500" s="121" t="s">
        <v>284</v>
      </c>
      <c r="F1500" s="122" t="s">
        <v>2758</v>
      </c>
      <c r="G1500" s="52"/>
      <c r="H1500" s="52"/>
      <c r="I1500" s="52"/>
      <c r="J1500" s="52"/>
      <c r="K1500" s="59" t="s">
        <v>79</v>
      </c>
      <c r="L1500" s="52"/>
      <c r="M1500" s="52"/>
      <c r="N1500" s="52"/>
      <c r="O1500" s="52"/>
      <c r="P1500" s="63" t="s">
        <v>285</v>
      </c>
      <c r="Q1500" s="55">
        <f>VLOOKUP(E1500,'NI-Soc_SP'!$C:$AN,12,FALSE)</f>
        <v>0</v>
      </c>
      <c r="R1500" s="55">
        <f>VLOOKUP(E1500,'NI-Soc_SP'!$C:$AN,13,FALSE)</f>
        <v>0</v>
      </c>
      <c r="S1500" s="55"/>
      <c r="T1500" s="55"/>
      <c r="U1500" s="55">
        <f>VLOOKUP($E1500,'NI-Soc_SP'!$C:$AN,MID(U$1,1,2),FALSE)</f>
        <v>0</v>
      </c>
      <c r="V1500" s="55">
        <f>VLOOKUP($E1500,'NI-Soc_SP'!$C:$AN,MID(V$1,1,2),FALSE)</f>
        <v>0</v>
      </c>
      <c r="W1500" s="55">
        <f>VLOOKUP($E1500,'NI-Soc_SP'!$C:$AN,MID(W$1,1,2),FALSE)</f>
        <v>0</v>
      </c>
      <c r="X1500" s="55">
        <f>VLOOKUP($E1500,'NI-Soc_SP'!$C:$AN,MID(X$1,1,2),FALSE)</f>
        <v>0</v>
      </c>
      <c r="Y1500" s="55">
        <f>VLOOKUP($E1500,'NI-Soc_SP'!$C:$AN,MID(Y$1,1,2),FALSE)</f>
        <v>0</v>
      </c>
      <c r="Z1500" s="55">
        <f>VLOOKUP($E1500,'NI-Soc_SP'!$C:$AN,MID(Z$1,1,2),FALSE)</f>
        <v>0</v>
      </c>
      <c r="AA1500" s="55">
        <f>VLOOKUP($E1500,'NI-Soc_SP'!$C:$AN,MID(AA$1,1,2),FALSE)</f>
        <v>0</v>
      </c>
      <c r="AB1500" s="55">
        <f>VLOOKUP($E1500,'NI-Soc_SP'!$C:$AN,MID(AB$1,1,2),FALSE)</f>
        <v>0</v>
      </c>
      <c r="AC1500" s="55">
        <f>VLOOKUP($E1500,'NI-Soc_SP'!$C:$AN,MID(AC$1,1,2),FALSE)</f>
        <v>0</v>
      </c>
      <c r="AD1500" s="55">
        <f>VLOOKUP($E1500,'NI-Soc_SP'!$C:$AN,MID(AD$1,1,2),FALSE)</f>
        <v>0</v>
      </c>
      <c r="AE1500" s="55">
        <f>VLOOKUP($E1500,'NI-Soc_SP'!$C:$AN,MID(AE$1,1,2),FALSE)</f>
        <v>0</v>
      </c>
      <c r="AF1500" s="55">
        <f>VLOOKUP($E1500,'NI-Soc_SP'!$C:$AN,MID(AF$1,1,2),FALSE)</f>
        <v>0</v>
      </c>
      <c r="AG1500" s="55">
        <f>VLOOKUP($E1500,'NI-Soc_SP'!$C:$AN,MID(AG$1,1,2),FALSE)</f>
        <v>0</v>
      </c>
      <c r="AH1500" s="55">
        <f>VLOOKUP($E1500,'NI-Soc_SP'!$C:$AN,MID(AH$1,1,2),FALSE)</f>
        <v>0</v>
      </c>
      <c r="AI1500" s="55">
        <f>VLOOKUP($E1500,'NI-Soc_SP'!$C:$AN,MID(AI$1,1,2),FALSE)</f>
        <v>0</v>
      </c>
      <c r="AJ1500" s="55">
        <f>VLOOKUP($E1500,'NI-Soc_SP'!$C:$AN,MID(AJ$1,1,2),FALSE)</f>
        <v>0</v>
      </c>
      <c r="AK1500" s="55">
        <f>VLOOKUP($E1500,'NI-Soc_SP'!$C:$AN,MID(AK$1,1,2),FALSE)</f>
        <v>0</v>
      </c>
      <c r="AL1500" s="55">
        <f>VLOOKUP($E1500,'NI-Soc_SP'!$C:$AN,MID(AL$1,1,2),FALSE)</f>
        <v>0</v>
      </c>
      <c r="AM1500" s="56">
        <f>VLOOKUP($E1500,'NI-Soc_SP'!$C:$AN,MID(AM$1,1,2),FALSE)</f>
        <v>0</v>
      </c>
      <c r="AN1500" s="30" t="str">
        <f t="shared" si="23"/>
        <v>10105010040020</v>
      </c>
    </row>
    <row r="1501" spans="3:40" x14ac:dyDescent="0.25">
      <c r="C1501" s="40"/>
      <c r="D1501" s="121" t="s">
        <v>286</v>
      </c>
      <c r="E1501" s="121" t="s">
        <v>287</v>
      </c>
      <c r="F1501" s="122" t="s">
        <v>2758</v>
      </c>
      <c r="G1501" s="52"/>
      <c r="H1501" s="52"/>
      <c r="I1501" s="52" t="s">
        <v>288</v>
      </c>
      <c r="J1501" s="52"/>
      <c r="K1501" s="59" t="s">
        <v>111</v>
      </c>
      <c r="L1501" s="62" t="s">
        <v>289</v>
      </c>
      <c r="M1501" s="52"/>
      <c r="N1501" s="52"/>
      <c r="O1501" s="52"/>
      <c r="P1501" s="54" t="s">
        <v>290</v>
      </c>
      <c r="Q1501" s="55">
        <f>VLOOKUP(E1501,'NI-Soc_SP'!$C:$AN,12,FALSE)</f>
        <v>0</v>
      </c>
      <c r="R1501" s="55">
        <f>VLOOKUP(E1501,'NI-Soc_SP'!$C:$AN,13,FALSE)</f>
        <v>0</v>
      </c>
      <c r="S1501" s="55"/>
      <c r="T1501" s="55"/>
      <c r="U1501" s="55">
        <f>VLOOKUP($E1501,'NI-Soc_SP'!$C:$AN,MID(U$1,1,2),FALSE)</f>
        <v>0</v>
      </c>
      <c r="V1501" s="55">
        <f>VLOOKUP($E1501,'NI-Soc_SP'!$C:$AN,MID(V$1,1,2),FALSE)</f>
        <v>0</v>
      </c>
      <c r="W1501" s="55">
        <f>VLOOKUP($E1501,'NI-Soc_SP'!$C:$AN,MID(W$1,1,2),FALSE)</f>
        <v>0</v>
      </c>
      <c r="X1501" s="55">
        <f>VLOOKUP($E1501,'NI-Soc_SP'!$C:$AN,MID(X$1,1,2),FALSE)</f>
        <v>0</v>
      </c>
      <c r="Y1501" s="55">
        <f>VLOOKUP($E1501,'NI-Soc_SP'!$C:$AN,MID(Y$1,1,2),FALSE)</f>
        <v>0</v>
      </c>
      <c r="Z1501" s="55">
        <f>VLOOKUP($E1501,'NI-Soc_SP'!$C:$AN,MID(Z$1,1,2),FALSE)</f>
        <v>0</v>
      </c>
      <c r="AA1501" s="55">
        <f>VLOOKUP($E1501,'NI-Soc_SP'!$C:$AN,MID(AA$1,1,2),FALSE)</f>
        <v>0</v>
      </c>
      <c r="AB1501" s="55">
        <f>VLOOKUP($E1501,'NI-Soc_SP'!$C:$AN,MID(AB$1,1,2),FALSE)</f>
        <v>0</v>
      </c>
      <c r="AC1501" s="55">
        <f>VLOOKUP($E1501,'NI-Soc_SP'!$C:$AN,MID(AC$1,1,2),FALSE)</f>
        <v>0</v>
      </c>
      <c r="AD1501" s="55">
        <f>VLOOKUP($E1501,'NI-Soc_SP'!$C:$AN,MID(AD$1,1,2),FALSE)</f>
        <v>0</v>
      </c>
      <c r="AE1501" s="55">
        <f>VLOOKUP($E1501,'NI-Soc_SP'!$C:$AN,MID(AE$1,1,2),FALSE)</f>
        <v>0</v>
      </c>
      <c r="AF1501" s="55">
        <f>VLOOKUP($E1501,'NI-Soc_SP'!$C:$AN,MID(AF$1,1,2),FALSE)</f>
        <v>0</v>
      </c>
      <c r="AG1501" s="55">
        <f>VLOOKUP($E1501,'NI-Soc_SP'!$C:$AN,MID(AG$1,1,2),FALSE)</f>
        <v>0</v>
      </c>
      <c r="AH1501" s="55">
        <f>VLOOKUP($E1501,'NI-Soc_SP'!$C:$AN,MID(AH$1,1,2),FALSE)</f>
        <v>0</v>
      </c>
      <c r="AI1501" s="55">
        <f>VLOOKUP($E1501,'NI-Soc_SP'!$C:$AN,MID(AI$1,1,2),FALSE)</f>
        <v>0</v>
      </c>
      <c r="AJ1501" s="55">
        <f>VLOOKUP($E1501,'NI-Soc_SP'!$C:$AN,MID(AJ$1,1,2),FALSE)</f>
        <v>0</v>
      </c>
      <c r="AK1501" s="55">
        <f>VLOOKUP($E1501,'NI-Soc_SP'!$C:$AN,MID(AK$1,1,2),FALSE)</f>
        <v>0</v>
      </c>
      <c r="AL1501" s="55">
        <f>VLOOKUP($E1501,'NI-Soc_SP'!$C:$AN,MID(AL$1,1,2),FALSE)</f>
        <v>0</v>
      </c>
      <c r="AM1501" s="56">
        <f>VLOOKUP($E1501,'NI-Soc_SP'!$C:$AN,MID(AM$1,1,2),FALSE)</f>
        <v>0</v>
      </c>
      <c r="AN1501" s="30" t="str">
        <f t="shared" si="23"/>
        <v>10105020000000</v>
      </c>
    </row>
    <row r="1502" spans="3:40" x14ac:dyDescent="0.25">
      <c r="C1502" s="40"/>
      <c r="D1502" s="121" t="s">
        <v>291</v>
      </c>
      <c r="E1502" s="121" t="s">
        <v>292</v>
      </c>
      <c r="F1502" s="122" t="s">
        <v>2758</v>
      </c>
      <c r="G1502" s="52"/>
      <c r="H1502" s="52"/>
      <c r="I1502" s="52"/>
      <c r="J1502" s="52"/>
      <c r="K1502" s="59" t="s">
        <v>79</v>
      </c>
      <c r="L1502" s="52"/>
      <c r="M1502" s="52"/>
      <c r="N1502" s="52"/>
      <c r="O1502" s="52"/>
      <c r="P1502" s="63" t="s">
        <v>293</v>
      </c>
      <c r="Q1502" s="55">
        <f>VLOOKUP(E1502,'NI-Soc_SP'!$C:$AN,12,FALSE)</f>
        <v>0</v>
      </c>
      <c r="R1502" s="55">
        <f>VLOOKUP(E1502,'NI-Soc_SP'!$C:$AN,13,FALSE)</f>
        <v>0</v>
      </c>
      <c r="S1502" s="55"/>
      <c r="T1502" s="55"/>
      <c r="U1502" s="55">
        <f>VLOOKUP($E1502,'NI-Soc_SP'!$C:$AN,MID(U$1,1,2),FALSE)</f>
        <v>0</v>
      </c>
      <c r="V1502" s="55">
        <f>VLOOKUP($E1502,'NI-Soc_SP'!$C:$AN,MID(V$1,1,2),FALSE)</f>
        <v>0</v>
      </c>
      <c r="W1502" s="55">
        <f>VLOOKUP($E1502,'NI-Soc_SP'!$C:$AN,MID(W$1,1,2),FALSE)</f>
        <v>0</v>
      </c>
      <c r="X1502" s="55">
        <f>VLOOKUP($E1502,'NI-Soc_SP'!$C:$AN,MID(X$1,1,2),FALSE)</f>
        <v>0</v>
      </c>
      <c r="Y1502" s="55">
        <f>VLOOKUP($E1502,'NI-Soc_SP'!$C:$AN,MID(Y$1,1,2),FALSE)</f>
        <v>0</v>
      </c>
      <c r="Z1502" s="55">
        <f>VLOOKUP($E1502,'NI-Soc_SP'!$C:$AN,MID(Z$1,1,2),FALSE)</f>
        <v>0</v>
      </c>
      <c r="AA1502" s="55">
        <f>VLOOKUP($E1502,'NI-Soc_SP'!$C:$AN,MID(AA$1,1,2),FALSE)</f>
        <v>0</v>
      </c>
      <c r="AB1502" s="55">
        <f>VLOOKUP($E1502,'NI-Soc_SP'!$C:$AN,MID(AB$1,1,2),FALSE)</f>
        <v>0</v>
      </c>
      <c r="AC1502" s="55">
        <f>VLOOKUP($E1502,'NI-Soc_SP'!$C:$AN,MID(AC$1,1,2),FALSE)</f>
        <v>0</v>
      </c>
      <c r="AD1502" s="55">
        <f>VLOOKUP($E1502,'NI-Soc_SP'!$C:$AN,MID(AD$1,1,2),FALSE)</f>
        <v>0</v>
      </c>
      <c r="AE1502" s="55">
        <f>VLOOKUP($E1502,'NI-Soc_SP'!$C:$AN,MID(AE$1,1,2),FALSE)</f>
        <v>0</v>
      </c>
      <c r="AF1502" s="55">
        <f>VLOOKUP($E1502,'NI-Soc_SP'!$C:$AN,MID(AF$1,1,2),FALSE)</f>
        <v>0</v>
      </c>
      <c r="AG1502" s="55">
        <f>VLOOKUP($E1502,'NI-Soc_SP'!$C:$AN,MID(AG$1,1,2),FALSE)</f>
        <v>0</v>
      </c>
      <c r="AH1502" s="55">
        <f>VLOOKUP($E1502,'NI-Soc_SP'!$C:$AN,MID(AH$1,1,2),FALSE)</f>
        <v>0</v>
      </c>
      <c r="AI1502" s="55">
        <f>VLOOKUP($E1502,'NI-Soc_SP'!$C:$AN,MID(AI$1,1,2),FALSE)</f>
        <v>0</v>
      </c>
      <c r="AJ1502" s="55">
        <f>VLOOKUP($E1502,'NI-Soc_SP'!$C:$AN,MID(AJ$1,1,2),FALSE)</f>
        <v>0</v>
      </c>
      <c r="AK1502" s="55">
        <f>VLOOKUP($E1502,'NI-Soc_SP'!$C:$AN,MID(AK$1,1,2),FALSE)</f>
        <v>0</v>
      </c>
      <c r="AL1502" s="55">
        <f>VLOOKUP($E1502,'NI-Soc_SP'!$C:$AN,MID(AL$1,1,2),FALSE)</f>
        <v>0</v>
      </c>
      <c r="AM1502" s="56">
        <f>VLOOKUP($E1502,'NI-Soc_SP'!$C:$AN,MID(AM$1,1,2),FALSE)</f>
        <v>0</v>
      </c>
      <c r="AN1502" s="30" t="str">
        <f t="shared" si="23"/>
        <v>10105020010010</v>
      </c>
    </row>
    <row r="1503" spans="3:40" x14ac:dyDescent="0.25">
      <c r="C1503" s="40"/>
      <c r="D1503" s="121" t="s">
        <v>294</v>
      </c>
      <c r="E1503" s="121" t="s">
        <v>295</v>
      </c>
      <c r="F1503" s="122" t="s">
        <v>2758</v>
      </c>
      <c r="G1503" s="52"/>
      <c r="H1503" s="52"/>
      <c r="I1503" s="52"/>
      <c r="J1503" s="52"/>
      <c r="K1503" s="59" t="s">
        <v>79</v>
      </c>
      <c r="L1503" s="52"/>
      <c r="M1503" s="52"/>
      <c r="N1503" s="52"/>
      <c r="O1503" s="52"/>
      <c r="P1503" s="63" t="s">
        <v>296</v>
      </c>
      <c r="Q1503" s="55">
        <f>VLOOKUP(E1503,'NI-Soc_SP'!$C:$AN,12,FALSE)</f>
        <v>0</v>
      </c>
      <c r="R1503" s="55">
        <f>VLOOKUP(E1503,'NI-Soc_SP'!$C:$AN,13,FALSE)</f>
        <v>0</v>
      </c>
      <c r="S1503" s="55"/>
      <c r="T1503" s="55"/>
      <c r="U1503" s="55">
        <f>VLOOKUP($E1503,'NI-Soc_SP'!$C:$AN,MID(U$1,1,2),FALSE)</f>
        <v>0</v>
      </c>
      <c r="V1503" s="55">
        <f>VLOOKUP($E1503,'NI-Soc_SP'!$C:$AN,MID(V$1,1,2),FALSE)</f>
        <v>0</v>
      </c>
      <c r="W1503" s="55">
        <f>VLOOKUP($E1503,'NI-Soc_SP'!$C:$AN,MID(W$1,1,2),FALSE)</f>
        <v>0</v>
      </c>
      <c r="X1503" s="55">
        <f>VLOOKUP($E1503,'NI-Soc_SP'!$C:$AN,MID(X$1,1,2),FALSE)</f>
        <v>0</v>
      </c>
      <c r="Y1503" s="55">
        <f>VLOOKUP($E1503,'NI-Soc_SP'!$C:$AN,MID(Y$1,1,2),FALSE)</f>
        <v>0</v>
      </c>
      <c r="Z1503" s="55">
        <f>VLOOKUP($E1503,'NI-Soc_SP'!$C:$AN,MID(Z$1,1,2),FALSE)</f>
        <v>0</v>
      </c>
      <c r="AA1503" s="55">
        <f>VLOOKUP($E1503,'NI-Soc_SP'!$C:$AN,MID(AA$1,1,2),FALSE)</f>
        <v>0</v>
      </c>
      <c r="AB1503" s="55">
        <f>VLOOKUP($E1503,'NI-Soc_SP'!$C:$AN,MID(AB$1,1,2),FALSE)</f>
        <v>0</v>
      </c>
      <c r="AC1503" s="55">
        <f>VLOOKUP($E1503,'NI-Soc_SP'!$C:$AN,MID(AC$1,1,2),FALSE)</f>
        <v>0</v>
      </c>
      <c r="AD1503" s="55">
        <f>VLOOKUP($E1503,'NI-Soc_SP'!$C:$AN,MID(AD$1,1,2),FALSE)</f>
        <v>0</v>
      </c>
      <c r="AE1503" s="55">
        <f>VLOOKUP($E1503,'NI-Soc_SP'!$C:$AN,MID(AE$1,1,2),FALSE)</f>
        <v>0</v>
      </c>
      <c r="AF1503" s="55">
        <f>VLOOKUP($E1503,'NI-Soc_SP'!$C:$AN,MID(AF$1,1,2),FALSE)</f>
        <v>0</v>
      </c>
      <c r="AG1503" s="55">
        <f>VLOOKUP($E1503,'NI-Soc_SP'!$C:$AN,MID(AG$1,1,2),FALSE)</f>
        <v>0</v>
      </c>
      <c r="AH1503" s="55">
        <f>VLOOKUP($E1503,'NI-Soc_SP'!$C:$AN,MID(AH$1,1,2),FALSE)</f>
        <v>0</v>
      </c>
      <c r="AI1503" s="55">
        <f>VLOOKUP($E1503,'NI-Soc_SP'!$C:$AN,MID(AI$1,1,2),FALSE)</f>
        <v>0</v>
      </c>
      <c r="AJ1503" s="55">
        <f>VLOOKUP($E1503,'NI-Soc_SP'!$C:$AN,MID(AJ$1,1,2),FALSE)</f>
        <v>0</v>
      </c>
      <c r="AK1503" s="55">
        <f>VLOOKUP($E1503,'NI-Soc_SP'!$C:$AN,MID(AK$1,1,2),FALSE)</f>
        <v>0</v>
      </c>
      <c r="AL1503" s="55">
        <f>VLOOKUP($E1503,'NI-Soc_SP'!$C:$AN,MID(AL$1,1,2),FALSE)</f>
        <v>0</v>
      </c>
      <c r="AM1503" s="56">
        <f>VLOOKUP($E1503,'NI-Soc_SP'!$C:$AN,MID(AM$1,1,2),FALSE)</f>
        <v>0</v>
      </c>
      <c r="AN1503" s="30" t="str">
        <f t="shared" si="23"/>
        <v>10105020010020</v>
      </c>
    </row>
    <row r="1504" spans="3:40" x14ac:dyDescent="0.25">
      <c r="C1504" s="40"/>
      <c r="D1504" s="121" t="s">
        <v>297</v>
      </c>
      <c r="E1504" s="121" t="s">
        <v>298</v>
      </c>
      <c r="F1504" s="122" t="s">
        <v>2758</v>
      </c>
      <c r="G1504" s="52"/>
      <c r="H1504" s="52"/>
      <c r="I1504" s="52"/>
      <c r="J1504" s="52"/>
      <c r="K1504" s="59" t="s">
        <v>79</v>
      </c>
      <c r="L1504" s="52"/>
      <c r="M1504" s="52"/>
      <c r="N1504" s="52"/>
      <c r="O1504" s="52"/>
      <c r="P1504" s="63" t="s">
        <v>299</v>
      </c>
      <c r="Q1504" s="55">
        <f>VLOOKUP(E1504,'NI-Soc_SP'!$C:$AN,12,FALSE)</f>
        <v>0</v>
      </c>
      <c r="R1504" s="55">
        <f>VLOOKUP(E1504,'NI-Soc_SP'!$C:$AN,13,FALSE)</f>
        <v>0</v>
      </c>
      <c r="S1504" s="55"/>
      <c r="T1504" s="55"/>
      <c r="U1504" s="55">
        <f>VLOOKUP($E1504,'NI-Soc_SP'!$C:$AN,MID(U$1,1,2),FALSE)</f>
        <v>0</v>
      </c>
      <c r="V1504" s="55">
        <f>VLOOKUP($E1504,'NI-Soc_SP'!$C:$AN,MID(V$1,1,2),FALSE)</f>
        <v>0</v>
      </c>
      <c r="W1504" s="55">
        <f>VLOOKUP($E1504,'NI-Soc_SP'!$C:$AN,MID(W$1,1,2),FALSE)</f>
        <v>0</v>
      </c>
      <c r="X1504" s="55">
        <f>VLOOKUP($E1504,'NI-Soc_SP'!$C:$AN,MID(X$1,1,2),FALSE)</f>
        <v>0</v>
      </c>
      <c r="Y1504" s="55">
        <f>VLOOKUP($E1504,'NI-Soc_SP'!$C:$AN,MID(Y$1,1,2),FALSE)</f>
        <v>0</v>
      </c>
      <c r="Z1504" s="55">
        <f>VLOOKUP($E1504,'NI-Soc_SP'!$C:$AN,MID(Z$1,1,2),FALSE)</f>
        <v>0</v>
      </c>
      <c r="AA1504" s="55">
        <f>VLOOKUP($E1504,'NI-Soc_SP'!$C:$AN,MID(AA$1,1,2),FALSE)</f>
        <v>0</v>
      </c>
      <c r="AB1504" s="55">
        <f>VLOOKUP($E1504,'NI-Soc_SP'!$C:$AN,MID(AB$1,1,2),FALSE)</f>
        <v>0</v>
      </c>
      <c r="AC1504" s="55">
        <f>VLOOKUP($E1504,'NI-Soc_SP'!$C:$AN,MID(AC$1,1,2),FALSE)</f>
        <v>0</v>
      </c>
      <c r="AD1504" s="55">
        <f>VLOOKUP($E1504,'NI-Soc_SP'!$C:$AN,MID(AD$1,1,2),FALSE)</f>
        <v>0</v>
      </c>
      <c r="AE1504" s="55">
        <f>VLOOKUP($E1504,'NI-Soc_SP'!$C:$AN,MID(AE$1,1,2),FALSE)</f>
        <v>0</v>
      </c>
      <c r="AF1504" s="55">
        <f>VLOOKUP($E1504,'NI-Soc_SP'!$C:$AN,MID(AF$1,1,2),FALSE)</f>
        <v>0</v>
      </c>
      <c r="AG1504" s="55">
        <f>VLOOKUP($E1504,'NI-Soc_SP'!$C:$AN,MID(AG$1,1,2),FALSE)</f>
        <v>0</v>
      </c>
      <c r="AH1504" s="55">
        <f>VLOOKUP($E1504,'NI-Soc_SP'!$C:$AN,MID(AH$1,1,2),FALSE)</f>
        <v>0</v>
      </c>
      <c r="AI1504" s="55">
        <f>VLOOKUP($E1504,'NI-Soc_SP'!$C:$AN,MID(AI$1,1,2),FALSE)</f>
        <v>0</v>
      </c>
      <c r="AJ1504" s="55">
        <f>VLOOKUP($E1504,'NI-Soc_SP'!$C:$AN,MID(AJ$1,1,2),FALSE)</f>
        <v>0</v>
      </c>
      <c r="AK1504" s="55">
        <f>VLOOKUP($E1504,'NI-Soc_SP'!$C:$AN,MID(AK$1,1,2),FALSE)</f>
        <v>0</v>
      </c>
      <c r="AL1504" s="55">
        <f>VLOOKUP($E1504,'NI-Soc_SP'!$C:$AN,MID(AL$1,1,2),FALSE)</f>
        <v>0</v>
      </c>
      <c r="AM1504" s="56">
        <f>VLOOKUP($E1504,'NI-Soc_SP'!$C:$AN,MID(AM$1,1,2),FALSE)</f>
        <v>0</v>
      </c>
      <c r="AN1504" s="30" t="str">
        <f t="shared" si="23"/>
        <v>10105020020010</v>
      </c>
    </row>
    <row r="1505" spans="3:40" x14ac:dyDescent="0.25">
      <c r="C1505" s="40"/>
      <c r="D1505" s="121" t="s">
        <v>300</v>
      </c>
      <c r="E1505" s="121" t="s">
        <v>301</v>
      </c>
      <c r="F1505" s="122" t="s">
        <v>2758</v>
      </c>
      <c r="G1505" s="52"/>
      <c r="H1505" s="52"/>
      <c r="I1505" s="52"/>
      <c r="J1505" s="52"/>
      <c r="K1505" s="59" t="s">
        <v>79</v>
      </c>
      <c r="L1505" s="52"/>
      <c r="M1505" s="52"/>
      <c r="N1505" s="52"/>
      <c r="O1505" s="52"/>
      <c r="P1505" s="63" t="s">
        <v>302</v>
      </c>
      <c r="Q1505" s="55">
        <f>VLOOKUP(E1505,'NI-Soc_SP'!$C:$AN,12,FALSE)</f>
        <v>0</v>
      </c>
      <c r="R1505" s="55">
        <f>VLOOKUP(E1505,'NI-Soc_SP'!$C:$AN,13,FALSE)</f>
        <v>0</v>
      </c>
      <c r="S1505" s="55"/>
      <c r="T1505" s="55"/>
      <c r="U1505" s="55">
        <f>VLOOKUP($E1505,'NI-Soc_SP'!$C:$AN,MID(U$1,1,2),FALSE)</f>
        <v>0</v>
      </c>
      <c r="V1505" s="55">
        <f>VLOOKUP($E1505,'NI-Soc_SP'!$C:$AN,MID(V$1,1,2),FALSE)</f>
        <v>0</v>
      </c>
      <c r="W1505" s="55">
        <f>VLOOKUP($E1505,'NI-Soc_SP'!$C:$AN,MID(W$1,1,2),FALSE)</f>
        <v>0</v>
      </c>
      <c r="X1505" s="55">
        <f>VLOOKUP($E1505,'NI-Soc_SP'!$C:$AN,MID(X$1,1,2),FALSE)</f>
        <v>0</v>
      </c>
      <c r="Y1505" s="55">
        <f>VLOOKUP($E1505,'NI-Soc_SP'!$C:$AN,MID(Y$1,1,2),FALSE)</f>
        <v>0</v>
      </c>
      <c r="Z1505" s="55">
        <f>VLOOKUP($E1505,'NI-Soc_SP'!$C:$AN,MID(Z$1,1,2),FALSE)</f>
        <v>0</v>
      </c>
      <c r="AA1505" s="55">
        <f>VLOOKUP($E1505,'NI-Soc_SP'!$C:$AN,MID(AA$1,1,2),FALSE)</f>
        <v>0</v>
      </c>
      <c r="AB1505" s="55">
        <f>VLOOKUP($E1505,'NI-Soc_SP'!$C:$AN,MID(AB$1,1,2),FALSE)</f>
        <v>0</v>
      </c>
      <c r="AC1505" s="55">
        <f>VLOOKUP($E1505,'NI-Soc_SP'!$C:$AN,MID(AC$1,1,2),FALSE)</f>
        <v>0</v>
      </c>
      <c r="AD1505" s="55">
        <f>VLOOKUP($E1505,'NI-Soc_SP'!$C:$AN,MID(AD$1,1,2),FALSE)</f>
        <v>0</v>
      </c>
      <c r="AE1505" s="55">
        <f>VLOOKUP($E1505,'NI-Soc_SP'!$C:$AN,MID(AE$1,1,2),FALSE)</f>
        <v>0</v>
      </c>
      <c r="AF1505" s="55">
        <f>VLOOKUP($E1505,'NI-Soc_SP'!$C:$AN,MID(AF$1,1,2),FALSE)</f>
        <v>0</v>
      </c>
      <c r="AG1505" s="55">
        <f>VLOOKUP($E1505,'NI-Soc_SP'!$C:$AN,MID(AG$1,1,2),FALSE)</f>
        <v>0</v>
      </c>
      <c r="AH1505" s="55">
        <f>VLOOKUP($E1505,'NI-Soc_SP'!$C:$AN,MID(AH$1,1,2),FALSE)</f>
        <v>0</v>
      </c>
      <c r="AI1505" s="55">
        <f>VLOOKUP($E1505,'NI-Soc_SP'!$C:$AN,MID(AI$1,1,2),FALSE)</f>
        <v>0</v>
      </c>
      <c r="AJ1505" s="55">
        <f>VLOOKUP($E1505,'NI-Soc_SP'!$C:$AN,MID(AJ$1,1,2),FALSE)</f>
        <v>0</v>
      </c>
      <c r="AK1505" s="55">
        <f>VLOOKUP($E1505,'NI-Soc_SP'!$C:$AN,MID(AK$1,1,2),FALSE)</f>
        <v>0</v>
      </c>
      <c r="AL1505" s="55">
        <f>VLOOKUP($E1505,'NI-Soc_SP'!$C:$AN,MID(AL$1,1,2),FALSE)</f>
        <v>0</v>
      </c>
      <c r="AM1505" s="56">
        <f>VLOOKUP($E1505,'NI-Soc_SP'!$C:$AN,MID(AM$1,1,2),FALSE)</f>
        <v>0</v>
      </c>
      <c r="AN1505" s="30" t="str">
        <f t="shared" si="23"/>
        <v>10105020020020</v>
      </c>
    </row>
    <row r="1506" spans="3:40" x14ac:dyDescent="0.25">
      <c r="C1506" s="40"/>
      <c r="D1506" s="121" t="s">
        <v>303</v>
      </c>
      <c r="E1506" s="121" t="s">
        <v>304</v>
      </c>
      <c r="F1506" s="122" t="s">
        <v>2758</v>
      </c>
      <c r="G1506" s="52"/>
      <c r="H1506" s="52"/>
      <c r="I1506" s="52"/>
      <c r="J1506" s="52"/>
      <c r="K1506" s="59" t="s">
        <v>79</v>
      </c>
      <c r="L1506" s="52"/>
      <c r="M1506" s="52"/>
      <c r="N1506" s="52"/>
      <c r="O1506" s="52"/>
      <c r="P1506" s="63" t="s">
        <v>305</v>
      </c>
      <c r="Q1506" s="55">
        <f>VLOOKUP(E1506,'NI-Soc_SP'!$C:$AN,12,FALSE)</f>
        <v>0</v>
      </c>
      <c r="R1506" s="55">
        <f>VLOOKUP(E1506,'NI-Soc_SP'!$C:$AN,13,FALSE)</f>
        <v>0</v>
      </c>
      <c r="S1506" s="55"/>
      <c r="T1506" s="55"/>
      <c r="U1506" s="55">
        <f>VLOOKUP($E1506,'NI-Soc_SP'!$C:$AN,MID(U$1,1,2),FALSE)</f>
        <v>0</v>
      </c>
      <c r="V1506" s="55">
        <f>VLOOKUP($E1506,'NI-Soc_SP'!$C:$AN,MID(V$1,1,2),FALSE)</f>
        <v>0</v>
      </c>
      <c r="W1506" s="55">
        <f>VLOOKUP($E1506,'NI-Soc_SP'!$C:$AN,MID(W$1,1,2),FALSE)</f>
        <v>0</v>
      </c>
      <c r="X1506" s="55">
        <f>VLOOKUP($E1506,'NI-Soc_SP'!$C:$AN,MID(X$1,1,2),FALSE)</f>
        <v>0</v>
      </c>
      <c r="Y1506" s="55">
        <f>VLOOKUP($E1506,'NI-Soc_SP'!$C:$AN,MID(Y$1,1,2),FALSE)</f>
        <v>0</v>
      </c>
      <c r="Z1506" s="55">
        <f>VLOOKUP($E1506,'NI-Soc_SP'!$C:$AN,MID(Z$1,1,2),FALSE)</f>
        <v>0</v>
      </c>
      <c r="AA1506" s="55">
        <f>VLOOKUP($E1506,'NI-Soc_SP'!$C:$AN,MID(AA$1,1,2),FALSE)</f>
        <v>0</v>
      </c>
      <c r="AB1506" s="55">
        <f>VLOOKUP($E1506,'NI-Soc_SP'!$C:$AN,MID(AB$1,1,2),FALSE)</f>
        <v>0</v>
      </c>
      <c r="AC1506" s="55">
        <f>VLOOKUP($E1506,'NI-Soc_SP'!$C:$AN,MID(AC$1,1,2),FALSE)</f>
        <v>0</v>
      </c>
      <c r="AD1506" s="55">
        <f>VLOOKUP($E1506,'NI-Soc_SP'!$C:$AN,MID(AD$1,1,2),FALSE)</f>
        <v>0</v>
      </c>
      <c r="AE1506" s="55">
        <f>VLOOKUP($E1506,'NI-Soc_SP'!$C:$AN,MID(AE$1,1,2),FALSE)</f>
        <v>0</v>
      </c>
      <c r="AF1506" s="55">
        <f>VLOOKUP($E1506,'NI-Soc_SP'!$C:$AN,MID(AF$1,1,2),FALSE)</f>
        <v>0</v>
      </c>
      <c r="AG1506" s="55">
        <f>VLOOKUP($E1506,'NI-Soc_SP'!$C:$AN,MID(AG$1,1,2),FALSE)</f>
        <v>0</v>
      </c>
      <c r="AH1506" s="55">
        <f>VLOOKUP($E1506,'NI-Soc_SP'!$C:$AN,MID(AH$1,1,2),FALSE)</f>
        <v>0</v>
      </c>
      <c r="AI1506" s="55">
        <f>VLOOKUP($E1506,'NI-Soc_SP'!$C:$AN,MID(AI$1,1,2),FALSE)</f>
        <v>0</v>
      </c>
      <c r="AJ1506" s="55">
        <f>VLOOKUP($E1506,'NI-Soc_SP'!$C:$AN,MID(AJ$1,1,2),FALSE)</f>
        <v>0</v>
      </c>
      <c r="AK1506" s="55">
        <f>VLOOKUP($E1506,'NI-Soc_SP'!$C:$AN,MID(AK$1,1,2),FALSE)</f>
        <v>0</v>
      </c>
      <c r="AL1506" s="55">
        <f>VLOOKUP($E1506,'NI-Soc_SP'!$C:$AN,MID(AL$1,1,2),FALSE)</f>
        <v>0</v>
      </c>
      <c r="AM1506" s="56">
        <f>VLOOKUP($E1506,'NI-Soc_SP'!$C:$AN,MID(AM$1,1,2),FALSE)</f>
        <v>0</v>
      </c>
      <c r="AN1506" s="30" t="str">
        <f t="shared" si="23"/>
        <v>10105020030010</v>
      </c>
    </row>
    <row r="1507" spans="3:40" x14ac:dyDescent="0.25">
      <c r="C1507" s="40"/>
      <c r="D1507" s="121" t="s">
        <v>306</v>
      </c>
      <c r="E1507" s="121" t="s">
        <v>307</v>
      </c>
      <c r="F1507" s="122" t="s">
        <v>2758</v>
      </c>
      <c r="G1507" s="52"/>
      <c r="H1507" s="52"/>
      <c r="I1507" s="52"/>
      <c r="J1507" s="52"/>
      <c r="K1507" s="59" t="s">
        <v>79</v>
      </c>
      <c r="L1507" s="52"/>
      <c r="M1507" s="52"/>
      <c r="N1507" s="52"/>
      <c r="O1507" s="52"/>
      <c r="P1507" s="63" t="s">
        <v>308</v>
      </c>
      <c r="Q1507" s="55">
        <f>VLOOKUP(E1507,'NI-Soc_SP'!$C:$AN,12,FALSE)</f>
        <v>0</v>
      </c>
      <c r="R1507" s="55">
        <f>VLOOKUP(E1507,'NI-Soc_SP'!$C:$AN,13,FALSE)</f>
        <v>0</v>
      </c>
      <c r="S1507" s="55"/>
      <c r="T1507" s="55"/>
      <c r="U1507" s="55">
        <f>VLOOKUP($E1507,'NI-Soc_SP'!$C:$AN,MID(U$1,1,2),FALSE)</f>
        <v>0</v>
      </c>
      <c r="V1507" s="55">
        <f>VLOOKUP($E1507,'NI-Soc_SP'!$C:$AN,MID(V$1,1,2),FALSE)</f>
        <v>0</v>
      </c>
      <c r="W1507" s="55">
        <f>VLOOKUP($E1507,'NI-Soc_SP'!$C:$AN,MID(W$1,1,2),FALSE)</f>
        <v>0</v>
      </c>
      <c r="X1507" s="55">
        <f>VLOOKUP($E1507,'NI-Soc_SP'!$C:$AN,MID(X$1,1,2),FALSE)</f>
        <v>0</v>
      </c>
      <c r="Y1507" s="55">
        <f>VLOOKUP($E1507,'NI-Soc_SP'!$C:$AN,MID(Y$1,1,2),FALSE)</f>
        <v>0</v>
      </c>
      <c r="Z1507" s="55">
        <f>VLOOKUP($E1507,'NI-Soc_SP'!$C:$AN,MID(Z$1,1,2),FALSE)</f>
        <v>0</v>
      </c>
      <c r="AA1507" s="55">
        <f>VLOOKUP($E1507,'NI-Soc_SP'!$C:$AN,MID(AA$1,1,2),FALSE)</f>
        <v>0</v>
      </c>
      <c r="AB1507" s="55">
        <f>VLOOKUP($E1507,'NI-Soc_SP'!$C:$AN,MID(AB$1,1,2),FALSE)</f>
        <v>0</v>
      </c>
      <c r="AC1507" s="55">
        <f>VLOOKUP($E1507,'NI-Soc_SP'!$C:$AN,MID(AC$1,1,2),FALSE)</f>
        <v>0</v>
      </c>
      <c r="AD1507" s="55">
        <f>VLOOKUP($E1507,'NI-Soc_SP'!$C:$AN,MID(AD$1,1,2),FALSE)</f>
        <v>0</v>
      </c>
      <c r="AE1507" s="55">
        <f>VLOOKUP($E1507,'NI-Soc_SP'!$C:$AN,MID(AE$1,1,2),FALSE)</f>
        <v>0</v>
      </c>
      <c r="AF1507" s="55">
        <f>VLOOKUP($E1507,'NI-Soc_SP'!$C:$AN,MID(AF$1,1,2),FALSE)</f>
        <v>0</v>
      </c>
      <c r="AG1507" s="55">
        <f>VLOOKUP($E1507,'NI-Soc_SP'!$C:$AN,MID(AG$1,1,2),FALSE)</f>
        <v>0</v>
      </c>
      <c r="AH1507" s="55">
        <f>VLOOKUP($E1507,'NI-Soc_SP'!$C:$AN,MID(AH$1,1,2),FALSE)</f>
        <v>0</v>
      </c>
      <c r="AI1507" s="55">
        <f>VLOOKUP($E1507,'NI-Soc_SP'!$C:$AN,MID(AI$1,1,2),FALSE)</f>
        <v>0</v>
      </c>
      <c r="AJ1507" s="55">
        <f>VLOOKUP($E1507,'NI-Soc_SP'!$C:$AN,MID(AJ$1,1,2),FALSE)</f>
        <v>0</v>
      </c>
      <c r="AK1507" s="55">
        <f>VLOOKUP($E1507,'NI-Soc_SP'!$C:$AN,MID(AK$1,1,2),FALSE)</f>
        <v>0</v>
      </c>
      <c r="AL1507" s="55">
        <f>VLOOKUP($E1507,'NI-Soc_SP'!$C:$AN,MID(AL$1,1,2),FALSE)</f>
        <v>0</v>
      </c>
      <c r="AM1507" s="56">
        <f>VLOOKUP($E1507,'NI-Soc_SP'!$C:$AN,MID(AM$1,1,2),FALSE)</f>
        <v>0</v>
      </c>
      <c r="AN1507" s="30" t="str">
        <f t="shared" si="23"/>
        <v>10105020030020</v>
      </c>
    </row>
    <row r="1508" spans="3:40" x14ac:dyDescent="0.25">
      <c r="C1508" s="40"/>
      <c r="D1508" s="121" t="s">
        <v>309</v>
      </c>
      <c r="E1508" s="121" t="s">
        <v>310</v>
      </c>
      <c r="F1508" s="122" t="s">
        <v>2758</v>
      </c>
      <c r="G1508" s="52"/>
      <c r="H1508" s="52"/>
      <c r="I1508" s="52" t="s">
        <v>311</v>
      </c>
      <c r="J1508" s="52"/>
      <c r="K1508" s="59" t="s">
        <v>111</v>
      </c>
      <c r="L1508" s="62" t="s">
        <v>260</v>
      </c>
      <c r="M1508" s="52"/>
      <c r="N1508" s="52"/>
      <c r="O1508" s="52"/>
      <c r="P1508" s="54" t="s">
        <v>312</v>
      </c>
      <c r="Q1508" s="55">
        <f>VLOOKUP(E1508,'NI-Soc_SP'!$C:$AN,12,FALSE)</f>
        <v>0</v>
      </c>
      <c r="R1508" s="55">
        <f>VLOOKUP(E1508,'NI-Soc_SP'!$C:$AN,13,FALSE)</f>
        <v>0</v>
      </c>
      <c r="S1508" s="55"/>
      <c r="T1508" s="55"/>
      <c r="U1508" s="55">
        <f>VLOOKUP($E1508,'NI-Soc_SP'!$C:$AN,MID(U$1,1,2),FALSE)</f>
        <v>0</v>
      </c>
      <c r="V1508" s="55">
        <f>VLOOKUP($E1508,'NI-Soc_SP'!$C:$AN,MID(V$1,1,2),FALSE)</f>
        <v>0</v>
      </c>
      <c r="W1508" s="55">
        <f>VLOOKUP($E1508,'NI-Soc_SP'!$C:$AN,MID(W$1,1,2),FALSE)</f>
        <v>0</v>
      </c>
      <c r="X1508" s="55">
        <f>VLOOKUP($E1508,'NI-Soc_SP'!$C:$AN,MID(X$1,1,2),FALSE)</f>
        <v>0</v>
      </c>
      <c r="Y1508" s="55">
        <f>VLOOKUP($E1508,'NI-Soc_SP'!$C:$AN,MID(Y$1,1,2),FALSE)</f>
        <v>0</v>
      </c>
      <c r="Z1508" s="55">
        <f>VLOOKUP($E1508,'NI-Soc_SP'!$C:$AN,MID(Z$1,1,2),FALSE)</f>
        <v>0</v>
      </c>
      <c r="AA1508" s="55">
        <f>VLOOKUP($E1508,'NI-Soc_SP'!$C:$AN,MID(AA$1,1,2),FALSE)</f>
        <v>0</v>
      </c>
      <c r="AB1508" s="55">
        <f>VLOOKUP($E1508,'NI-Soc_SP'!$C:$AN,MID(AB$1,1,2),FALSE)</f>
        <v>0</v>
      </c>
      <c r="AC1508" s="55">
        <f>VLOOKUP($E1508,'NI-Soc_SP'!$C:$AN,MID(AC$1,1,2),FALSE)</f>
        <v>0</v>
      </c>
      <c r="AD1508" s="55">
        <f>VLOOKUP($E1508,'NI-Soc_SP'!$C:$AN,MID(AD$1,1,2),FALSE)</f>
        <v>0</v>
      </c>
      <c r="AE1508" s="55">
        <f>VLOOKUP($E1508,'NI-Soc_SP'!$C:$AN,MID(AE$1,1,2),FALSE)</f>
        <v>0</v>
      </c>
      <c r="AF1508" s="55">
        <f>VLOOKUP($E1508,'NI-Soc_SP'!$C:$AN,MID(AF$1,1,2),FALSE)</f>
        <v>0</v>
      </c>
      <c r="AG1508" s="55">
        <f>VLOOKUP($E1508,'NI-Soc_SP'!$C:$AN,MID(AG$1,1,2),FALSE)</f>
        <v>0</v>
      </c>
      <c r="AH1508" s="55">
        <f>VLOOKUP($E1508,'NI-Soc_SP'!$C:$AN,MID(AH$1,1,2),FALSE)</f>
        <v>0</v>
      </c>
      <c r="AI1508" s="55">
        <f>VLOOKUP($E1508,'NI-Soc_SP'!$C:$AN,MID(AI$1,1,2),FALSE)</f>
        <v>0</v>
      </c>
      <c r="AJ1508" s="55">
        <f>VLOOKUP($E1508,'NI-Soc_SP'!$C:$AN,MID(AJ$1,1,2),FALSE)</f>
        <v>0</v>
      </c>
      <c r="AK1508" s="55">
        <f>VLOOKUP($E1508,'NI-Soc_SP'!$C:$AN,MID(AK$1,1,2),FALSE)</f>
        <v>0</v>
      </c>
      <c r="AL1508" s="55">
        <f>VLOOKUP($E1508,'NI-Soc_SP'!$C:$AN,MID(AL$1,1,2),FALSE)</f>
        <v>0</v>
      </c>
      <c r="AM1508" s="56">
        <f>VLOOKUP($E1508,'NI-Soc_SP'!$C:$AN,MID(AM$1,1,2),FALSE)</f>
        <v>0</v>
      </c>
      <c r="AN1508" s="30" t="str">
        <f t="shared" si="23"/>
        <v>10105030000000</v>
      </c>
    </row>
    <row r="1509" spans="3:40" x14ac:dyDescent="0.25">
      <c r="C1509" s="40"/>
      <c r="D1509" s="121" t="s">
        <v>313</v>
      </c>
      <c r="E1509" s="121" t="s">
        <v>314</v>
      </c>
      <c r="F1509" s="122" t="s">
        <v>2758</v>
      </c>
      <c r="G1509" s="52"/>
      <c r="H1509" s="52"/>
      <c r="I1509" s="52"/>
      <c r="J1509" s="52"/>
      <c r="K1509" s="59" t="s">
        <v>79</v>
      </c>
      <c r="L1509" s="52"/>
      <c r="M1509" s="52"/>
      <c r="N1509" s="52"/>
      <c r="O1509" s="52"/>
      <c r="P1509" s="63" t="s">
        <v>315</v>
      </c>
      <c r="Q1509" s="55">
        <f>VLOOKUP(E1509,'NI-Soc_SP'!$C:$AN,12,FALSE)</f>
        <v>0</v>
      </c>
      <c r="R1509" s="55">
        <f>VLOOKUP(E1509,'NI-Soc_SP'!$C:$AN,13,FALSE)</f>
        <v>0</v>
      </c>
      <c r="S1509" s="55"/>
      <c r="T1509" s="55"/>
      <c r="U1509" s="55">
        <f>VLOOKUP($E1509,'NI-Soc_SP'!$C:$AN,MID(U$1,1,2),FALSE)</f>
        <v>0</v>
      </c>
      <c r="V1509" s="55">
        <f>VLOOKUP($E1509,'NI-Soc_SP'!$C:$AN,MID(V$1,1,2),FALSE)</f>
        <v>0</v>
      </c>
      <c r="W1509" s="55">
        <f>VLOOKUP($E1509,'NI-Soc_SP'!$C:$AN,MID(W$1,1,2),FALSE)</f>
        <v>0</v>
      </c>
      <c r="X1509" s="55">
        <f>VLOOKUP($E1509,'NI-Soc_SP'!$C:$AN,MID(X$1,1,2),FALSE)</f>
        <v>0</v>
      </c>
      <c r="Y1509" s="55">
        <f>VLOOKUP($E1509,'NI-Soc_SP'!$C:$AN,MID(Y$1,1,2),FALSE)</f>
        <v>0</v>
      </c>
      <c r="Z1509" s="55">
        <f>VLOOKUP($E1509,'NI-Soc_SP'!$C:$AN,MID(Z$1,1,2),FALSE)</f>
        <v>0</v>
      </c>
      <c r="AA1509" s="55">
        <f>VLOOKUP($E1509,'NI-Soc_SP'!$C:$AN,MID(AA$1,1,2),FALSE)</f>
        <v>0</v>
      </c>
      <c r="AB1509" s="55">
        <f>VLOOKUP($E1509,'NI-Soc_SP'!$C:$AN,MID(AB$1,1,2),FALSE)</f>
        <v>0</v>
      </c>
      <c r="AC1509" s="55">
        <f>VLOOKUP($E1509,'NI-Soc_SP'!$C:$AN,MID(AC$1,1,2),FALSE)</f>
        <v>0</v>
      </c>
      <c r="AD1509" s="55">
        <f>VLOOKUP($E1509,'NI-Soc_SP'!$C:$AN,MID(AD$1,1,2),FALSE)</f>
        <v>0</v>
      </c>
      <c r="AE1509" s="55">
        <f>VLOOKUP($E1509,'NI-Soc_SP'!$C:$AN,MID(AE$1,1,2),FALSE)</f>
        <v>0</v>
      </c>
      <c r="AF1509" s="55">
        <f>VLOOKUP($E1509,'NI-Soc_SP'!$C:$AN,MID(AF$1,1,2),FALSE)</f>
        <v>0</v>
      </c>
      <c r="AG1509" s="55">
        <f>VLOOKUP($E1509,'NI-Soc_SP'!$C:$AN,MID(AG$1,1,2),FALSE)</f>
        <v>0</v>
      </c>
      <c r="AH1509" s="55">
        <f>VLOOKUP($E1509,'NI-Soc_SP'!$C:$AN,MID(AH$1,1,2),FALSE)</f>
        <v>0</v>
      </c>
      <c r="AI1509" s="55">
        <f>VLOOKUP($E1509,'NI-Soc_SP'!$C:$AN,MID(AI$1,1,2),FALSE)</f>
        <v>0</v>
      </c>
      <c r="AJ1509" s="55">
        <f>VLOOKUP($E1509,'NI-Soc_SP'!$C:$AN,MID(AJ$1,1,2),FALSE)</f>
        <v>0</v>
      </c>
      <c r="AK1509" s="55">
        <f>VLOOKUP($E1509,'NI-Soc_SP'!$C:$AN,MID(AK$1,1,2),FALSE)</f>
        <v>0</v>
      </c>
      <c r="AL1509" s="55">
        <f>VLOOKUP($E1509,'NI-Soc_SP'!$C:$AN,MID(AL$1,1,2),FALSE)</f>
        <v>0</v>
      </c>
      <c r="AM1509" s="56">
        <f>VLOOKUP($E1509,'NI-Soc_SP'!$C:$AN,MID(AM$1,1,2),FALSE)</f>
        <v>0</v>
      </c>
      <c r="AN1509" s="30" t="str">
        <f t="shared" si="23"/>
        <v>10105030010000</v>
      </c>
    </row>
    <row r="1510" spans="3:40" x14ac:dyDescent="0.25">
      <c r="C1510" s="40"/>
      <c r="D1510" s="121" t="s">
        <v>316</v>
      </c>
      <c r="E1510" s="121" t="s">
        <v>317</v>
      </c>
      <c r="F1510" s="122" t="s">
        <v>2758</v>
      </c>
      <c r="G1510" s="52"/>
      <c r="H1510" s="52"/>
      <c r="I1510" s="52"/>
      <c r="J1510" s="52"/>
      <c r="K1510" s="59" t="s">
        <v>79</v>
      </c>
      <c r="L1510" s="52"/>
      <c r="M1510" s="52"/>
      <c r="N1510" s="52"/>
      <c r="O1510" s="52"/>
      <c r="P1510" s="63" t="s">
        <v>318</v>
      </c>
      <c r="Q1510" s="55">
        <f>VLOOKUP(E1510,'NI-Soc_SP'!$C:$AN,12,FALSE)</f>
        <v>0</v>
      </c>
      <c r="R1510" s="55">
        <f>VLOOKUP(E1510,'NI-Soc_SP'!$C:$AN,13,FALSE)</f>
        <v>0</v>
      </c>
      <c r="S1510" s="55"/>
      <c r="T1510" s="55"/>
      <c r="U1510" s="55">
        <f>VLOOKUP($E1510,'NI-Soc_SP'!$C:$AN,MID(U$1,1,2),FALSE)</f>
        <v>0</v>
      </c>
      <c r="V1510" s="55">
        <f>VLOOKUP($E1510,'NI-Soc_SP'!$C:$AN,MID(V$1,1,2),FALSE)</f>
        <v>0</v>
      </c>
      <c r="W1510" s="55">
        <f>VLOOKUP($E1510,'NI-Soc_SP'!$C:$AN,MID(W$1,1,2),FALSE)</f>
        <v>0</v>
      </c>
      <c r="X1510" s="55">
        <f>VLOOKUP($E1510,'NI-Soc_SP'!$C:$AN,MID(X$1,1,2),FALSE)</f>
        <v>0</v>
      </c>
      <c r="Y1510" s="55">
        <f>VLOOKUP($E1510,'NI-Soc_SP'!$C:$AN,MID(Y$1,1,2),FALSE)</f>
        <v>0</v>
      </c>
      <c r="Z1510" s="55">
        <f>VLOOKUP($E1510,'NI-Soc_SP'!$C:$AN,MID(Z$1,1,2),FALSE)</f>
        <v>0</v>
      </c>
      <c r="AA1510" s="55">
        <f>VLOOKUP($E1510,'NI-Soc_SP'!$C:$AN,MID(AA$1,1,2),FALSE)</f>
        <v>0</v>
      </c>
      <c r="AB1510" s="55">
        <f>VLOOKUP($E1510,'NI-Soc_SP'!$C:$AN,MID(AB$1,1,2),FALSE)</f>
        <v>0</v>
      </c>
      <c r="AC1510" s="55">
        <f>VLOOKUP($E1510,'NI-Soc_SP'!$C:$AN,MID(AC$1,1,2),FALSE)</f>
        <v>0</v>
      </c>
      <c r="AD1510" s="55">
        <f>VLOOKUP($E1510,'NI-Soc_SP'!$C:$AN,MID(AD$1,1,2),FALSE)</f>
        <v>0</v>
      </c>
      <c r="AE1510" s="55">
        <f>VLOOKUP($E1510,'NI-Soc_SP'!$C:$AN,MID(AE$1,1,2),FALSE)</f>
        <v>0</v>
      </c>
      <c r="AF1510" s="55">
        <f>VLOOKUP($E1510,'NI-Soc_SP'!$C:$AN,MID(AF$1,1,2),FALSE)</f>
        <v>0</v>
      </c>
      <c r="AG1510" s="55">
        <f>VLOOKUP($E1510,'NI-Soc_SP'!$C:$AN,MID(AG$1,1,2),FALSE)</f>
        <v>0</v>
      </c>
      <c r="AH1510" s="55">
        <f>VLOOKUP($E1510,'NI-Soc_SP'!$C:$AN,MID(AH$1,1,2),FALSE)</f>
        <v>0</v>
      </c>
      <c r="AI1510" s="55">
        <f>VLOOKUP($E1510,'NI-Soc_SP'!$C:$AN,MID(AI$1,1,2),FALSE)</f>
        <v>0</v>
      </c>
      <c r="AJ1510" s="55">
        <f>VLOOKUP($E1510,'NI-Soc_SP'!$C:$AN,MID(AJ$1,1,2),FALSE)</f>
        <v>0</v>
      </c>
      <c r="AK1510" s="55">
        <f>VLOOKUP($E1510,'NI-Soc_SP'!$C:$AN,MID(AK$1,1,2),FALSE)</f>
        <v>0</v>
      </c>
      <c r="AL1510" s="55">
        <f>VLOOKUP($E1510,'NI-Soc_SP'!$C:$AN,MID(AL$1,1,2),FALSE)</f>
        <v>0</v>
      </c>
      <c r="AM1510" s="56">
        <f>VLOOKUP($E1510,'NI-Soc_SP'!$C:$AN,MID(AM$1,1,2),FALSE)</f>
        <v>0</v>
      </c>
      <c r="AN1510" s="30" t="str">
        <f t="shared" si="23"/>
        <v>10105030020000</v>
      </c>
    </row>
    <row r="1511" spans="3:40" x14ac:dyDescent="0.25">
      <c r="C1511" s="40"/>
      <c r="D1511" s="121" t="s">
        <v>319</v>
      </c>
      <c r="E1511" s="121" t="s">
        <v>320</v>
      </c>
      <c r="F1511" s="122" t="s">
        <v>2758</v>
      </c>
      <c r="G1511" s="52"/>
      <c r="H1511" s="52"/>
      <c r="I1511" s="52" t="s">
        <v>321</v>
      </c>
      <c r="J1511" s="52"/>
      <c r="K1511" s="59" t="s">
        <v>111</v>
      </c>
      <c r="L1511" s="62" t="s">
        <v>289</v>
      </c>
      <c r="M1511" s="52"/>
      <c r="N1511" s="52"/>
      <c r="O1511" s="52"/>
      <c r="P1511" s="54" t="s">
        <v>322</v>
      </c>
      <c r="Q1511" s="55">
        <f>VLOOKUP(E1511,'NI-Soc_SP'!$C:$AN,12,FALSE)</f>
        <v>0</v>
      </c>
      <c r="R1511" s="55">
        <f>VLOOKUP(E1511,'NI-Soc_SP'!$C:$AN,13,FALSE)</f>
        <v>0</v>
      </c>
      <c r="S1511" s="55"/>
      <c r="T1511" s="55"/>
      <c r="U1511" s="55">
        <f>VLOOKUP($E1511,'NI-Soc_SP'!$C:$AN,MID(U$1,1,2),FALSE)</f>
        <v>0</v>
      </c>
      <c r="V1511" s="55">
        <f>VLOOKUP($E1511,'NI-Soc_SP'!$C:$AN,MID(V$1,1,2),FALSE)</f>
        <v>0</v>
      </c>
      <c r="W1511" s="55">
        <f>VLOOKUP($E1511,'NI-Soc_SP'!$C:$AN,MID(W$1,1,2),FALSE)</f>
        <v>0</v>
      </c>
      <c r="X1511" s="55">
        <f>VLOOKUP($E1511,'NI-Soc_SP'!$C:$AN,MID(X$1,1,2),FALSE)</f>
        <v>0</v>
      </c>
      <c r="Y1511" s="55">
        <f>VLOOKUP($E1511,'NI-Soc_SP'!$C:$AN,MID(Y$1,1,2),FALSE)</f>
        <v>0</v>
      </c>
      <c r="Z1511" s="55">
        <f>VLOOKUP($E1511,'NI-Soc_SP'!$C:$AN,MID(Z$1,1,2),FALSE)</f>
        <v>0</v>
      </c>
      <c r="AA1511" s="55">
        <f>VLOOKUP($E1511,'NI-Soc_SP'!$C:$AN,MID(AA$1,1,2),FALSE)</f>
        <v>0</v>
      </c>
      <c r="AB1511" s="55">
        <f>VLOOKUP($E1511,'NI-Soc_SP'!$C:$AN,MID(AB$1,1,2),FALSE)</f>
        <v>0</v>
      </c>
      <c r="AC1511" s="55">
        <f>VLOOKUP($E1511,'NI-Soc_SP'!$C:$AN,MID(AC$1,1,2),FALSE)</f>
        <v>0</v>
      </c>
      <c r="AD1511" s="55">
        <f>VLOOKUP($E1511,'NI-Soc_SP'!$C:$AN,MID(AD$1,1,2),FALSE)</f>
        <v>0</v>
      </c>
      <c r="AE1511" s="55">
        <f>VLOOKUP($E1511,'NI-Soc_SP'!$C:$AN,MID(AE$1,1,2),FALSE)</f>
        <v>0</v>
      </c>
      <c r="AF1511" s="55">
        <f>VLOOKUP($E1511,'NI-Soc_SP'!$C:$AN,MID(AF$1,1,2),FALSE)</f>
        <v>0</v>
      </c>
      <c r="AG1511" s="55">
        <f>VLOOKUP($E1511,'NI-Soc_SP'!$C:$AN,MID(AG$1,1,2),FALSE)</f>
        <v>0</v>
      </c>
      <c r="AH1511" s="55">
        <f>VLOOKUP($E1511,'NI-Soc_SP'!$C:$AN,MID(AH$1,1,2),FALSE)</f>
        <v>0</v>
      </c>
      <c r="AI1511" s="55">
        <f>VLOOKUP($E1511,'NI-Soc_SP'!$C:$AN,MID(AI$1,1,2),FALSE)</f>
        <v>0</v>
      </c>
      <c r="AJ1511" s="55">
        <f>VLOOKUP($E1511,'NI-Soc_SP'!$C:$AN,MID(AJ$1,1,2),FALSE)</f>
        <v>0</v>
      </c>
      <c r="AK1511" s="55">
        <f>VLOOKUP($E1511,'NI-Soc_SP'!$C:$AN,MID(AK$1,1,2),FALSE)</f>
        <v>0</v>
      </c>
      <c r="AL1511" s="55">
        <f>VLOOKUP($E1511,'NI-Soc_SP'!$C:$AN,MID(AL$1,1,2),FALSE)</f>
        <v>0</v>
      </c>
      <c r="AM1511" s="56">
        <f>VLOOKUP($E1511,'NI-Soc_SP'!$C:$AN,MID(AM$1,1,2),FALSE)</f>
        <v>0</v>
      </c>
      <c r="AN1511" s="30" t="str">
        <f t="shared" si="23"/>
        <v>10105040000000</v>
      </c>
    </row>
    <row r="1512" spans="3:40" x14ac:dyDescent="0.25">
      <c r="C1512" s="40"/>
      <c r="D1512" s="121" t="s">
        <v>323</v>
      </c>
      <c r="E1512" s="121" t="s">
        <v>324</v>
      </c>
      <c r="F1512" s="122" t="s">
        <v>2758</v>
      </c>
      <c r="G1512" s="52"/>
      <c r="H1512" s="52"/>
      <c r="I1512" s="52"/>
      <c r="J1512" s="52"/>
      <c r="K1512" s="59" t="s">
        <v>79</v>
      </c>
      <c r="L1512" s="52"/>
      <c r="M1512" s="52"/>
      <c r="N1512" s="52"/>
      <c r="O1512" s="52"/>
      <c r="P1512" s="63" t="s">
        <v>325</v>
      </c>
      <c r="Q1512" s="55">
        <f>VLOOKUP(E1512,'NI-Soc_SP'!$C:$AN,12,FALSE)</f>
        <v>0</v>
      </c>
      <c r="R1512" s="55">
        <f>VLOOKUP(E1512,'NI-Soc_SP'!$C:$AN,13,FALSE)</f>
        <v>0</v>
      </c>
      <c r="S1512" s="55"/>
      <c r="T1512" s="55"/>
      <c r="U1512" s="55">
        <f>VLOOKUP($E1512,'NI-Soc_SP'!$C:$AN,MID(U$1,1,2),FALSE)</f>
        <v>0</v>
      </c>
      <c r="V1512" s="55">
        <f>VLOOKUP($E1512,'NI-Soc_SP'!$C:$AN,MID(V$1,1,2),FALSE)</f>
        <v>0</v>
      </c>
      <c r="W1512" s="55">
        <f>VLOOKUP($E1512,'NI-Soc_SP'!$C:$AN,MID(W$1,1,2),FALSE)</f>
        <v>0</v>
      </c>
      <c r="X1512" s="55">
        <f>VLOOKUP($E1512,'NI-Soc_SP'!$C:$AN,MID(X$1,1,2),FALSE)</f>
        <v>0</v>
      </c>
      <c r="Y1512" s="55">
        <f>VLOOKUP($E1512,'NI-Soc_SP'!$C:$AN,MID(Y$1,1,2),FALSE)</f>
        <v>0</v>
      </c>
      <c r="Z1512" s="55">
        <f>VLOOKUP($E1512,'NI-Soc_SP'!$C:$AN,MID(Z$1,1,2),FALSE)</f>
        <v>0</v>
      </c>
      <c r="AA1512" s="55">
        <f>VLOOKUP($E1512,'NI-Soc_SP'!$C:$AN,MID(AA$1,1,2),FALSE)</f>
        <v>0</v>
      </c>
      <c r="AB1512" s="55">
        <f>VLOOKUP($E1512,'NI-Soc_SP'!$C:$AN,MID(AB$1,1,2),FALSE)</f>
        <v>0</v>
      </c>
      <c r="AC1512" s="55">
        <f>VLOOKUP($E1512,'NI-Soc_SP'!$C:$AN,MID(AC$1,1,2),FALSE)</f>
        <v>0</v>
      </c>
      <c r="AD1512" s="55">
        <f>VLOOKUP($E1512,'NI-Soc_SP'!$C:$AN,MID(AD$1,1,2),FALSE)</f>
        <v>0</v>
      </c>
      <c r="AE1512" s="55">
        <f>VLOOKUP($E1512,'NI-Soc_SP'!$C:$AN,MID(AE$1,1,2),FALSE)</f>
        <v>0</v>
      </c>
      <c r="AF1512" s="55">
        <f>VLOOKUP($E1512,'NI-Soc_SP'!$C:$AN,MID(AF$1,1,2),FALSE)</f>
        <v>0</v>
      </c>
      <c r="AG1512" s="55">
        <f>VLOOKUP($E1512,'NI-Soc_SP'!$C:$AN,MID(AG$1,1,2),FALSE)</f>
        <v>0</v>
      </c>
      <c r="AH1512" s="55">
        <f>VLOOKUP($E1512,'NI-Soc_SP'!$C:$AN,MID(AH$1,1,2),FALSE)</f>
        <v>0</v>
      </c>
      <c r="AI1512" s="55">
        <f>VLOOKUP($E1512,'NI-Soc_SP'!$C:$AN,MID(AI$1,1,2),FALSE)</f>
        <v>0</v>
      </c>
      <c r="AJ1512" s="55">
        <f>VLOOKUP($E1512,'NI-Soc_SP'!$C:$AN,MID(AJ$1,1,2),FALSE)</f>
        <v>0</v>
      </c>
      <c r="AK1512" s="55">
        <f>VLOOKUP($E1512,'NI-Soc_SP'!$C:$AN,MID(AK$1,1,2),FALSE)</f>
        <v>0</v>
      </c>
      <c r="AL1512" s="55">
        <f>VLOOKUP($E1512,'NI-Soc_SP'!$C:$AN,MID(AL$1,1,2),FALSE)</f>
        <v>0</v>
      </c>
      <c r="AM1512" s="56">
        <f>VLOOKUP($E1512,'NI-Soc_SP'!$C:$AN,MID(AM$1,1,2),FALSE)</f>
        <v>0</v>
      </c>
      <c r="AN1512" s="30" t="str">
        <f t="shared" si="23"/>
        <v>10105040010000</v>
      </c>
    </row>
    <row r="1513" spans="3:40" x14ac:dyDescent="0.25">
      <c r="C1513" s="40"/>
      <c r="D1513" s="121" t="s">
        <v>326</v>
      </c>
      <c r="E1513" s="121" t="s">
        <v>327</v>
      </c>
      <c r="F1513" s="122" t="s">
        <v>2758</v>
      </c>
      <c r="G1513" s="52"/>
      <c r="H1513" s="52"/>
      <c r="I1513" s="52"/>
      <c r="J1513" s="52"/>
      <c r="K1513" s="59" t="s">
        <v>79</v>
      </c>
      <c r="L1513" s="52"/>
      <c r="M1513" s="52"/>
      <c r="N1513" s="52"/>
      <c r="O1513" s="52"/>
      <c r="P1513" s="63" t="s">
        <v>328</v>
      </c>
      <c r="Q1513" s="55">
        <f>VLOOKUP(E1513,'NI-Soc_SP'!$C:$AN,12,FALSE)</f>
        <v>0</v>
      </c>
      <c r="R1513" s="55">
        <f>VLOOKUP(E1513,'NI-Soc_SP'!$C:$AN,13,FALSE)</f>
        <v>0</v>
      </c>
      <c r="S1513" s="55"/>
      <c r="T1513" s="55"/>
      <c r="U1513" s="55">
        <f>VLOOKUP($E1513,'NI-Soc_SP'!$C:$AN,MID(U$1,1,2),FALSE)</f>
        <v>0</v>
      </c>
      <c r="V1513" s="55">
        <f>VLOOKUP($E1513,'NI-Soc_SP'!$C:$AN,MID(V$1,1,2),FALSE)</f>
        <v>0</v>
      </c>
      <c r="W1513" s="55">
        <f>VLOOKUP($E1513,'NI-Soc_SP'!$C:$AN,MID(W$1,1,2),FALSE)</f>
        <v>0</v>
      </c>
      <c r="X1513" s="55">
        <f>VLOOKUP($E1513,'NI-Soc_SP'!$C:$AN,MID(X$1,1,2),FALSE)</f>
        <v>0</v>
      </c>
      <c r="Y1513" s="55">
        <f>VLOOKUP($E1513,'NI-Soc_SP'!$C:$AN,MID(Y$1,1,2),FALSE)</f>
        <v>0</v>
      </c>
      <c r="Z1513" s="55">
        <f>VLOOKUP($E1513,'NI-Soc_SP'!$C:$AN,MID(Z$1,1,2),FALSE)</f>
        <v>0</v>
      </c>
      <c r="AA1513" s="55">
        <f>VLOOKUP($E1513,'NI-Soc_SP'!$C:$AN,MID(AA$1,1,2),FALSE)</f>
        <v>0</v>
      </c>
      <c r="AB1513" s="55">
        <f>VLOOKUP($E1513,'NI-Soc_SP'!$C:$AN,MID(AB$1,1,2),FALSE)</f>
        <v>0</v>
      </c>
      <c r="AC1513" s="55">
        <f>VLOOKUP($E1513,'NI-Soc_SP'!$C:$AN,MID(AC$1,1,2),FALSE)</f>
        <v>0</v>
      </c>
      <c r="AD1513" s="55">
        <f>VLOOKUP($E1513,'NI-Soc_SP'!$C:$AN,MID(AD$1,1,2),FALSE)</f>
        <v>0</v>
      </c>
      <c r="AE1513" s="55">
        <f>VLOOKUP($E1513,'NI-Soc_SP'!$C:$AN,MID(AE$1,1,2),FALSE)</f>
        <v>0</v>
      </c>
      <c r="AF1513" s="55">
        <f>VLOOKUP($E1513,'NI-Soc_SP'!$C:$AN,MID(AF$1,1,2),FALSE)</f>
        <v>0</v>
      </c>
      <c r="AG1513" s="55">
        <f>VLOOKUP($E1513,'NI-Soc_SP'!$C:$AN,MID(AG$1,1,2),FALSE)</f>
        <v>0</v>
      </c>
      <c r="AH1513" s="55">
        <f>VLOOKUP($E1513,'NI-Soc_SP'!$C:$AN,MID(AH$1,1,2),FALSE)</f>
        <v>0</v>
      </c>
      <c r="AI1513" s="55">
        <f>VLOOKUP($E1513,'NI-Soc_SP'!$C:$AN,MID(AI$1,1,2),FALSE)</f>
        <v>0</v>
      </c>
      <c r="AJ1513" s="55">
        <f>VLOOKUP($E1513,'NI-Soc_SP'!$C:$AN,MID(AJ$1,1,2),FALSE)</f>
        <v>0</v>
      </c>
      <c r="AK1513" s="55">
        <f>VLOOKUP($E1513,'NI-Soc_SP'!$C:$AN,MID(AK$1,1,2),FALSE)</f>
        <v>0</v>
      </c>
      <c r="AL1513" s="55">
        <f>VLOOKUP($E1513,'NI-Soc_SP'!$C:$AN,MID(AL$1,1,2),FALSE)</f>
        <v>0</v>
      </c>
      <c r="AM1513" s="56">
        <f>VLOOKUP($E1513,'NI-Soc_SP'!$C:$AN,MID(AM$1,1,2),FALSE)</f>
        <v>0</v>
      </c>
      <c r="AN1513" s="30" t="str">
        <f t="shared" si="23"/>
        <v>10105040020000</v>
      </c>
    </row>
    <row r="1514" spans="3:40" x14ac:dyDescent="0.25">
      <c r="C1514" s="40"/>
      <c r="D1514" s="121" t="s">
        <v>329</v>
      </c>
      <c r="E1514" s="121" t="s">
        <v>330</v>
      </c>
      <c r="F1514" s="122" t="s">
        <v>2758</v>
      </c>
      <c r="G1514" s="52"/>
      <c r="H1514" s="52"/>
      <c r="I1514" s="52" t="s">
        <v>331</v>
      </c>
      <c r="J1514" s="52"/>
      <c r="K1514" s="59" t="s">
        <v>111</v>
      </c>
      <c r="L1514" s="62" t="s">
        <v>260</v>
      </c>
      <c r="M1514" s="52"/>
      <c r="N1514" s="52"/>
      <c r="O1514" s="52"/>
      <c r="P1514" s="54" t="s">
        <v>332</v>
      </c>
      <c r="Q1514" s="55">
        <f>VLOOKUP(E1514,'NI-Soc_SP'!$C:$AN,12,FALSE)</f>
        <v>0</v>
      </c>
      <c r="R1514" s="55">
        <f>VLOOKUP(E1514,'NI-Soc_SP'!$C:$AN,13,FALSE)</f>
        <v>0</v>
      </c>
      <c r="S1514" s="55"/>
      <c r="T1514" s="55"/>
      <c r="U1514" s="55">
        <f>VLOOKUP($E1514,'NI-Soc_SP'!$C:$AN,MID(U$1,1,2),FALSE)</f>
        <v>0</v>
      </c>
      <c r="V1514" s="55">
        <f>VLOOKUP($E1514,'NI-Soc_SP'!$C:$AN,MID(V$1,1,2),FALSE)</f>
        <v>0</v>
      </c>
      <c r="W1514" s="55">
        <f>VLOOKUP($E1514,'NI-Soc_SP'!$C:$AN,MID(W$1,1,2),FALSE)</f>
        <v>0</v>
      </c>
      <c r="X1514" s="55">
        <f>VLOOKUP($E1514,'NI-Soc_SP'!$C:$AN,MID(X$1,1,2),FALSE)</f>
        <v>0</v>
      </c>
      <c r="Y1514" s="55">
        <f>VLOOKUP($E1514,'NI-Soc_SP'!$C:$AN,MID(Y$1,1,2),FALSE)</f>
        <v>0</v>
      </c>
      <c r="Z1514" s="55">
        <f>VLOOKUP($E1514,'NI-Soc_SP'!$C:$AN,MID(Z$1,1,2),FALSE)</f>
        <v>0</v>
      </c>
      <c r="AA1514" s="55">
        <f>VLOOKUP($E1514,'NI-Soc_SP'!$C:$AN,MID(AA$1,1,2),FALSE)</f>
        <v>0</v>
      </c>
      <c r="AB1514" s="55">
        <f>VLOOKUP($E1514,'NI-Soc_SP'!$C:$AN,MID(AB$1,1,2),FALSE)</f>
        <v>0</v>
      </c>
      <c r="AC1514" s="55">
        <f>VLOOKUP($E1514,'NI-Soc_SP'!$C:$AN,MID(AC$1,1,2),FALSE)</f>
        <v>0</v>
      </c>
      <c r="AD1514" s="55">
        <f>VLOOKUP($E1514,'NI-Soc_SP'!$C:$AN,MID(AD$1,1,2),FALSE)</f>
        <v>0</v>
      </c>
      <c r="AE1514" s="55">
        <f>VLOOKUP($E1514,'NI-Soc_SP'!$C:$AN,MID(AE$1,1,2),FALSE)</f>
        <v>0</v>
      </c>
      <c r="AF1514" s="55">
        <f>VLOOKUP($E1514,'NI-Soc_SP'!$C:$AN,MID(AF$1,1,2),FALSE)</f>
        <v>0</v>
      </c>
      <c r="AG1514" s="55">
        <f>VLOOKUP($E1514,'NI-Soc_SP'!$C:$AN,MID(AG$1,1,2),FALSE)</f>
        <v>0</v>
      </c>
      <c r="AH1514" s="55">
        <f>VLOOKUP($E1514,'NI-Soc_SP'!$C:$AN,MID(AH$1,1,2),FALSE)</f>
        <v>0</v>
      </c>
      <c r="AI1514" s="55">
        <f>VLOOKUP($E1514,'NI-Soc_SP'!$C:$AN,MID(AI$1,1,2),FALSE)</f>
        <v>0</v>
      </c>
      <c r="AJ1514" s="55">
        <f>VLOOKUP($E1514,'NI-Soc_SP'!$C:$AN,MID(AJ$1,1,2),FALSE)</f>
        <v>0</v>
      </c>
      <c r="AK1514" s="55">
        <f>VLOOKUP($E1514,'NI-Soc_SP'!$C:$AN,MID(AK$1,1,2),FALSE)</f>
        <v>0</v>
      </c>
      <c r="AL1514" s="55">
        <f>VLOOKUP($E1514,'NI-Soc_SP'!$C:$AN,MID(AL$1,1,2),FALSE)</f>
        <v>0</v>
      </c>
      <c r="AM1514" s="56">
        <f>VLOOKUP($E1514,'NI-Soc_SP'!$C:$AN,MID(AM$1,1,2),FALSE)</f>
        <v>0</v>
      </c>
      <c r="AN1514" s="30" t="str">
        <f t="shared" si="23"/>
        <v>10105050000000</v>
      </c>
    </row>
    <row r="1515" spans="3:40" x14ac:dyDescent="0.25">
      <c r="C1515" s="40"/>
      <c r="D1515" s="121" t="s">
        <v>333</v>
      </c>
      <c r="E1515" s="121" t="s">
        <v>334</v>
      </c>
      <c r="F1515" s="122" t="s">
        <v>2758</v>
      </c>
      <c r="G1515" s="52"/>
      <c r="H1515" s="52"/>
      <c r="I1515" s="52"/>
      <c r="J1515" s="52"/>
      <c r="K1515" s="59" t="s">
        <v>79</v>
      </c>
      <c r="L1515" s="52"/>
      <c r="M1515" s="52"/>
      <c r="N1515" s="52"/>
      <c r="O1515" s="52"/>
      <c r="P1515" s="63" t="s">
        <v>335</v>
      </c>
      <c r="Q1515" s="55">
        <f>VLOOKUP(E1515,'NI-Soc_SP'!$C:$AN,12,FALSE)</f>
        <v>0</v>
      </c>
      <c r="R1515" s="55">
        <f>VLOOKUP(E1515,'NI-Soc_SP'!$C:$AN,13,FALSE)</f>
        <v>0</v>
      </c>
      <c r="S1515" s="55"/>
      <c r="T1515" s="55"/>
      <c r="U1515" s="55">
        <f>VLOOKUP($E1515,'NI-Soc_SP'!$C:$AN,MID(U$1,1,2),FALSE)</f>
        <v>0</v>
      </c>
      <c r="V1515" s="55">
        <f>VLOOKUP($E1515,'NI-Soc_SP'!$C:$AN,MID(V$1,1,2),FALSE)</f>
        <v>0</v>
      </c>
      <c r="W1515" s="55">
        <f>VLOOKUP($E1515,'NI-Soc_SP'!$C:$AN,MID(W$1,1,2),FALSE)</f>
        <v>0</v>
      </c>
      <c r="X1515" s="55">
        <f>VLOOKUP($E1515,'NI-Soc_SP'!$C:$AN,MID(X$1,1,2),FALSE)</f>
        <v>0</v>
      </c>
      <c r="Y1515" s="55">
        <f>VLOOKUP($E1515,'NI-Soc_SP'!$C:$AN,MID(Y$1,1,2),FALSE)</f>
        <v>0</v>
      </c>
      <c r="Z1515" s="55">
        <f>VLOOKUP($E1515,'NI-Soc_SP'!$C:$AN,MID(Z$1,1,2),FALSE)</f>
        <v>0</v>
      </c>
      <c r="AA1515" s="55">
        <f>VLOOKUP($E1515,'NI-Soc_SP'!$C:$AN,MID(AA$1,1,2),FALSE)</f>
        <v>0</v>
      </c>
      <c r="AB1515" s="55">
        <f>VLOOKUP($E1515,'NI-Soc_SP'!$C:$AN,MID(AB$1,1,2),FALSE)</f>
        <v>0</v>
      </c>
      <c r="AC1515" s="55">
        <f>VLOOKUP($E1515,'NI-Soc_SP'!$C:$AN,MID(AC$1,1,2),FALSE)</f>
        <v>0</v>
      </c>
      <c r="AD1515" s="55">
        <f>VLOOKUP($E1515,'NI-Soc_SP'!$C:$AN,MID(AD$1,1,2),FALSE)</f>
        <v>0</v>
      </c>
      <c r="AE1515" s="55">
        <f>VLOOKUP($E1515,'NI-Soc_SP'!$C:$AN,MID(AE$1,1,2),FALSE)</f>
        <v>0</v>
      </c>
      <c r="AF1515" s="55">
        <f>VLOOKUP($E1515,'NI-Soc_SP'!$C:$AN,MID(AF$1,1,2),FALSE)</f>
        <v>0</v>
      </c>
      <c r="AG1515" s="55">
        <f>VLOOKUP($E1515,'NI-Soc_SP'!$C:$AN,MID(AG$1,1,2),FALSE)</f>
        <v>0</v>
      </c>
      <c r="AH1515" s="55">
        <f>VLOOKUP($E1515,'NI-Soc_SP'!$C:$AN,MID(AH$1,1,2),FALSE)</f>
        <v>0</v>
      </c>
      <c r="AI1515" s="55">
        <f>VLOOKUP($E1515,'NI-Soc_SP'!$C:$AN,MID(AI$1,1,2),FALSE)</f>
        <v>0</v>
      </c>
      <c r="AJ1515" s="55">
        <f>VLOOKUP($E1515,'NI-Soc_SP'!$C:$AN,MID(AJ$1,1,2),FALSE)</f>
        <v>0</v>
      </c>
      <c r="AK1515" s="55">
        <f>VLOOKUP($E1515,'NI-Soc_SP'!$C:$AN,MID(AK$1,1,2),FALSE)</f>
        <v>0</v>
      </c>
      <c r="AL1515" s="55">
        <f>VLOOKUP($E1515,'NI-Soc_SP'!$C:$AN,MID(AL$1,1,2),FALSE)</f>
        <v>0</v>
      </c>
      <c r="AM1515" s="56">
        <f>VLOOKUP($E1515,'NI-Soc_SP'!$C:$AN,MID(AM$1,1,2),FALSE)</f>
        <v>0</v>
      </c>
      <c r="AN1515" s="30" t="str">
        <f t="shared" si="23"/>
        <v>10105050010000</v>
      </c>
    </row>
    <row r="1516" spans="3:40" x14ac:dyDescent="0.25">
      <c r="C1516" s="40"/>
      <c r="D1516" s="121" t="s">
        <v>336</v>
      </c>
      <c r="E1516" s="121" t="s">
        <v>337</v>
      </c>
      <c r="F1516" s="122" t="s">
        <v>2758</v>
      </c>
      <c r="G1516" s="52"/>
      <c r="H1516" s="52"/>
      <c r="I1516" s="52"/>
      <c r="J1516" s="52"/>
      <c r="K1516" s="59" t="s">
        <v>79</v>
      </c>
      <c r="L1516" s="52"/>
      <c r="M1516" s="52"/>
      <c r="N1516" s="52"/>
      <c r="O1516" s="52"/>
      <c r="P1516" s="63" t="s">
        <v>338</v>
      </c>
      <c r="Q1516" s="55">
        <f>VLOOKUP(E1516,'NI-Soc_SP'!$C:$AN,12,FALSE)</f>
        <v>0</v>
      </c>
      <c r="R1516" s="55">
        <f>VLOOKUP(E1516,'NI-Soc_SP'!$C:$AN,13,FALSE)</f>
        <v>0</v>
      </c>
      <c r="S1516" s="55"/>
      <c r="T1516" s="55"/>
      <c r="U1516" s="55">
        <f>VLOOKUP($E1516,'NI-Soc_SP'!$C:$AN,MID(U$1,1,2),FALSE)</f>
        <v>0</v>
      </c>
      <c r="V1516" s="55">
        <f>VLOOKUP($E1516,'NI-Soc_SP'!$C:$AN,MID(V$1,1,2),FALSE)</f>
        <v>0</v>
      </c>
      <c r="W1516" s="55">
        <f>VLOOKUP($E1516,'NI-Soc_SP'!$C:$AN,MID(W$1,1,2),FALSE)</f>
        <v>0</v>
      </c>
      <c r="X1516" s="55">
        <f>VLOOKUP($E1516,'NI-Soc_SP'!$C:$AN,MID(X$1,1,2),FALSE)</f>
        <v>0</v>
      </c>
      <c r="Y1516" s="55">
        <f>VLOOKUP($E1516,'NI-Soc_SP'!$C:$AN,MID(Y$1,1,2),FALSE)</f>
        <v>0</v>
      </c>
      <c r="Z1516" s="55">
        <f>VLOOKUP($E1516,'NI-Soc_SP'!$C:$AN,MID(Z$1,1,2),FALSE)</f>
        <v>0</v>
      </c>
      <c r="AA1516" s="55">
        <f>VLOOKUP($E1516,'NI-Soc_SP'!$C:$AN,MID(AA$1,1,2),FALSE)</f>
        <v>0</v>
      </c>
      <c r="AB1516" s="55">
        <f>VLOOKUP($E1516,'NI-Soc_SP'!$C:$AN,MID(AB$1,1,2),FALSE)</f>
        <v>0</v>
      </c>
      <c r="AC1516" s="55">
        <f>VLOOKUP($E1516,'NI-Soc_SP'!$C:$AN,MID(AC$1,1,2),FALSE)</f>
        <v>0</v>
      </c>
      <c r="AD1516" s="55">
        <f>VLOOKUP($E1516,'NI-Soc_SP'!$C:$AN,MID(AD$1,1,2),FALSE)</f>
        <v>0</v>
      </c>
      <c r="AE1516" s="55">
        <f>VLOOKUP($E1516,'NI-Soc_SP'!$C:$AN,MID(AE$1,1,2),FALSE)</f>
        <v>0</v>
      </c>
      <c r="AF1516" s="55">
        <f>VLOOKUP($E1516,'NI-Soc_SP'!$C:$AN,MID(AF$1,1,2),FALSE)</f>
        <v>0</v>
      </c>
      <c r="AG1516" s="55">
        <f>VLOOKUP($E1516,'NI-Soc_SP'!$C:$AN,MID(AG$1,1,2),FALSE)</f>
        <v>0</v>
      </c>
      <c r="AH1516" s="55">
        <f>VLOOKUP($E1516,'NI-Soc_SP'!$C:$AN,MID(AH$1,1,2),FALSE)</f>
        <v>0</v>
      </c>
      <c r="AI1516" s="55">
        <f>VLOOKUP($E1516,'NI-Soc_SP'!$C:$AN,MID(AI$1,1,2),FALSE)</f>
        <v>0</v>
      </c>
      <c r="AJ1516" s="55">
        <f>VLOOKUP($E1516,'NI-Soc_SP'!$C:$AN,MID(AJ$1,1,2),FALSE)</f>
        <v>0</v>
      </c>
      <c r="AK1516" s="55">
        <f>VLOOKUP($E1516,'NI-Soc_SP'!$C:$AN,MID(AK$1,1,2),FALSE)</f>
        <v>0</v>
      </c>
      <c r="AL1516" s="55">
        <f>VLOOKUP($E1516,'NI-Soc_SP'!$C:$AN,MID(AL$1,1,2),FALSE)</f>
        <v>0</v>
      </c>
      <c r="AM1516" s="56">
        <f>VLOOKUP($E1516,'NI-Soc_SP'!$C:$AN,MID(AM$1,1,2),FALSE)</f>
        <v>0</v>
      </c>
      <c r="AN1516" s="30" t="str">
        <f t="shared" si="23"/>
        <v>10105050020000</v>
      </c>
    </row>
    <row r="1517" spans="3:40" x14ac:dyDescent="0.25">
      <c r="C1517" s="40"/>
      <c r="D1517" s="121" t="s">
        <v>339</v>
      </c>
      <c r="E1517" s="121" t="s">
        <v>340</v>
      </c>
      <c r="F1517" s="122" t="s">
        <v>2758</v>
      </c>
      <c r="G1517" s="52"/>
      <c r="H1517" s="52"/>
      <c r="I1517" s="52" t="s">
        <v>341</v>
      </c>
      <c r="J1517" s="52"/>
      <c r="K1517" s="59" t="s">
        <v>111</v>
      </c>
      <c r="L1517" s="62" t="s">
        <v>289</v>
      </c>
      <c r="M1517" s="52"/>
      <c r="N1517" s="52"/>
      <c r="O1517" s="52"/>
      <c r="P1517" s="54" t="s">
        <v>342</v>
      </c>
      <c r="Q1517" s="55">
        <f>VLOOKUP(E1517,'NI-Soc_SP'!$C:$AN,12,FALSE)</f>
        <v>0</v>
      </c>
      <c r="R1517" s="55">
        <f>VLOOKUP(E1517,'NI-Soc_SP'!$C:$AN,13,FALSE)</f>
        <v>0</v>
      </c>
      <c r="S1517" s="55"/>
      <c r="T1517" s="55"/>
      <c r="U1517" s="55">
        <f>VLOOKUP($E1517,'NI-Soc_SP'!$C:$AN,MID(U$1,1,2),FALSE)</f>
        <v>0</v>
      </c>
      <c r="V1517" s="55">
        <f>VLOOKUP($E1517,'NI-Soc_SP'!$C:$AN,MID(V$1,1,2),FALSE)</f>
        <v>0</v>
      </c>
      <c r="W1517" s="55">
        <f>VLOOKUP($E1517,'NI-Soc_SP'!$C:$AN,MID(W$1,1,2),FALSE)</f>
        <v>0</v>
      </c>
      <c r="X1517" s="55">
        <f>VLOOKUP($E1517,'NI-Soc_SP'!$C:$AN,MID(X$1,1,2),FALSE)</f>
        <v>0</v>
      </c>
      <c r="Y1517" s="55">
        <f>VLOOKUP($E1517,'NI-Soc_SP'!$C:$AN,MID(Y$1,1,2),FALSE)</f>
        <v>0</v>
      </c>
      <c r="Z1517" s="55">
        <f>VLOOKUP($E1517,'NI-Soc_SP'!$C:$AN,MID(Z$1,1,2),FALSE)</f>
        <v>0</v>
      </c>
      <c r="AA1517" s="55">
        <f>VLOOKUP($E1517,'NI-Soc_SP'!$C:$AN,MID(AA$1,1,2),FALSE)</f>
        <v>0</v>
      </c>
      <c r="AB1517" s="55">
        <f>VLOOKUP($E1517,'NI-Soc_SP'!$C:$AN,MID(AB$1,1,2),FALSE)</f>
        <v>0</v>
      </c>
      <c r="AC1517" s="55">
        <f>VLOOKUP($E1517,'NI-Soc_SP'!$C:$AN,MID(AC$1,1,2),FALSE)</f>
        <v>0</v>
      </c>
      <c r="AD1517" s="55">
        <f>VLOOKUP($E1517,'NI-Soc_SP'!$C:$AN,MID(AD$1,1,2),FALSE)</f>
        <v>0</v>
      </c>
      <c r="AE1517" s="55">
        <f>VLOOKUP($E1517,'NI-Soc_SP'!$C:$AN,MID(AE$1,1,2),FALSE)</f>
        <v>0</v>
      </c>
      <c r="AF1517" s="55">
        <f>VLOOKUP($E1517,'NI-Soc_SP'!$C:$AN,MID(AF$1,1,2),FALSE)</f>
        <v>0</v>
      </c>
      <c r="AG1517" s="55">
        <f>VLOOKUP($E1517,'NI-Soc_SP'!$C:$AN,MID(AG$1,1,2),FALSE)</f>
        <v>0</v>
      </c>
      <c r="AH1517" s="55">
        <f>VLOOKUP($E1517,'NI-Soc_SP'!$C:$AN,MID(AH$1,1,2),FALSE)</f>
        <v>0</v>
      </c>
      <c r="AI1517" s="55">
        <f>VLOOKUP($E1517,'NI-Soc_SP'!$C:$AN,MID(AI$1,1,2),FALSE)</f>
        <v>0</v>
      </c>
      <c r="AJ1517" s="55">
        <f>VLOOKUP($E1517,'NI-Soc_SP'!$C:$AN,MID(AJ$1,1,2),FALSE)</f>
        <v>0</v>
      </c>
      <c r="AK1517" s="55">
        <f>VLOOKUP($E1517,'NI-Soc_SP'!$C:$AN,MID(AK$1,1,2),FALSE)</f>
        <v>0</v>
      </c>
      <c r="AL1517" s="55">
        <f>VLOOKUP($E1517,'NI-Soc_SP'!$C:$AN,MID(AL$1,1,2),FALSE)</f>
        <v>0</v>
      </c>
      <c r="AM1517" s="56">
        <f>VLOOKUP($E1517,'NI-Soc_SP'!$C:$AN,MID(AM$1,1,2),FALSE)</f>
        <v>0</v>
      </c>
      <c r="AN1517" s="30" t="str">
        <f t="shared" si="23"/>
        <v>10105060000000</v>
      </c>
    </row>
    <row r="1518" spans="3:40" x14ac:dyDescent="0.25">
      <c r="C1518" s="40"/>
      <c r="D1518" s="121" t="s">
        <v>343</v>
      </c>
      <c r="E1518" s="121" t="s">
        <v>344</v>
      </c>
      <c r="F1518" s="122" t="s">
        <v>2758</v>
      </c>
      <c r="G1518" s="52"/>
      <c r="H1518" s="52"/>
      <c r="I1518" s="52"/>
      <c r="J1518" s="52"/>
      <c r="K1518" s="59" t="s">
        <v>79</v>
      </c>
      <c r="L1518" s="52"/>
      <c r="M1518" s="52"/>
      <c r="N1518" s="52"/>
      <c r="O1518" s="52"/>
      <c r="P1518" s="63" t="s">
        <v>345</v>
      </c>
      <c r="Q1518" s="55">
        <f>VLOOKUP(E1518,'NI-Soc_SP'!$C:$AN,12,FALSE)</f>
        <v>0</v>
      </c>
      <c r="R1518" s="55">
        <f>VLOOKUP(E1518,'NI-Soc_SP'!$C:$AN,13,FALSE)</f>
        <v>0</v>
      </c>
      <c r="S1518" s="55"/>
      <c r="T1518" s="55"/>
      <c r="U1518" s="55">
        <f>VLOOKUP($E1518,'NI-Soc_SP'!$C:$AN,MID(U$1,1,2),FALSE)</f>
        <v>0</v>
      </c>
      <c r="V1518" s="55">
        <f>VLOOKUP($E1518,'NI-Soc_SP'!$C:$AN,MID(V$1,1,2),FALSE)</f>
        <v>0</v>
      </c>
      <c r="W1518" s="55">
        <f>VLOOKUP($E1518,'NI-Soc_SP'!$C:$AN,MID(W$1,1,2),FALSE)</f>
        <v>0</v>
      </c>
      <c r="X1518" s="55">
        <f>VLOOKUP($E1518,'NI-Soc_SP'!$C:$AN,MID(X$1,1,2),FALSE)</f>
        <v>0</v>
      </c>
      <c r="Y1518" s="55">
        <f>VLOOKUP($E1518,'NI-Soc_SP'!$C:$AN,MID(Y$1,1,2),FALSE)</f>
        <v>0</v>
      </c>
      <c r="Z1518" s="55">
        <f>VLOOKUP($E1518,'NI-Soc_SP'!$C:$AN,MID(Z$1,1,2),FALSE)</f>
        <v>0</v>
      </c>
      <c r="AA1518" s="55">
        <f>VLOOKUP($E1518,'NI-Soc_SP'!$C:$AN,MID(AA$1,1,2),FALSE)</f>
        <v>0</v>
      </c>
      <c r="AB1518" s="55">
        <f>VLOOKUP($E1518,'NI-Soc_SP'!$C:$AN,MID(AB$1,1,2),FALSE)</f>
        <v>0</v>
      </c>
      <c r="AC1518" s="55">
        <f>VLOOKUP($E1518,'NI-Soc_SP'!$C:$AN,MID(AC$1,1,2),FALSE)</f>
        <v>0</v>
      </c>
      <c r="AD1518" s="55">
        <f>VLOOKUP($E1518,'NI-Soc_SP'!$C:$AN,MID(AD$1,1,2),FALSE)</f>
        <v>0</v>
      </c>
      <c r="AE1518" s="55">
        <f>VLOOKUP($E1518,'NI-Soc_SP'!$C:$AN,MID(AE$1,1,2),FALSE)</f>
        <v>0</v>
      </c>
      <c r="AF1518" s="55">
        <f>VLOOKUP($E1518,'NI-Soc_SP'!$C:$AN,MID(AF$1,1,2),FALSE)</f>
        <v>0</v>
      </c>
      <c r="AG1518" s="55">
        <f>VLOOKUP($E1518,'NI-Soc_SP'!$C:$AN,MID(AG$1,1,2),FALSE)</f>
        <v>0</v>
      </c>
      <c r="AH1518" s="55">
        <f>VLOOKUP($E1518,'NI-Soc_SP'!$C:$AN,MID(AH$1,1,2),FALSE)</f>
        <v>0</v>
      </c>
      <c r="AI1518" s="55">
        <f>VLOOKUP($E1518,'NI-Soc_SP'!$C:$AN,MID(AI$1,1,2),FALSE)</f>
        <v>0</v>
      </c>
      <c r="AJ1518" s="55">
        <f>VLOOKUP($E1518,'NI-Soc_SP'!$C:$AN,MID(AJ$1,1,2),FALSE)</f>
        <v>0</v>
      </c>
      <c r="AK1518" s="55">
        <f>VLOOKUP($E1518,'NI-Soc_SP'!$C:$AN,MID(AK$1,1,2),FALSE)</f>
        <v>0</v>
      </c>
      <c r="AL1518" s="55">
        <f>VLOOKUP($E1518,'NI-Soc_SP'!$C:$AN,MID(AL$1,1,2),FALSE)</f>
        <v>0</v>
      </c>
      <c r="AM1518" s="56">
        <f>VLOOKUP($E1518,'NI-Soc_SP'!$C:$AN,MID(AM$1,1,2),FALSE)</f>
        <v>0</v>
      </c>
      <c r="AN1518" s="30" t="str">
        <f t="shared" si="23"/>
        <v>10105060010000</v>
      </c>
    </row>
    <row r="1519" spans="3:40" x14ac:dyDescent="0.25">
      <c r="C1519" s="40"/>
      <c r="D1519" s="121" t="s">
        <v>346</v>
      </c>
      <c r="E1519" s="121" t="s">
        <v>347</v>
      </c>
      <c r="F1519" s="122" t="s">
        <v>2758</v>
      </c>
      <c r="G1519" s="52"/>
      <c r="H1519" s="52"/>
      <c r="I1519" s="52"/>
      <c r="J1519" s="52"/>
      <c r="K1519" s="59" t="s">
        <v>79</v>
      </c>
      <c r="L1519" s="52"/>
      <c r="M1519" s="52"/>
      <c r="N1519" s="52"/>
      <c r="O1519" s="52"/>
      <c r="P1519" s="63" t="s">
        <v>348</v>
      </c>
      <c r="Q1519" s="55">
        <f>VLOOKUP(E1519,'NI-Soc_SP'!$C:$AN,12,FALSE)</f>
        <v>0</v>
      </c>
      <c r="R1519" s="55">
        <f>VLOOKUP(E1519,'NI-Soc_SP'!$C:$AN,13,FALSE)</f>
        <v>0</v>
      </c>
      <c r="S1519" s="55"/>
      <c r="T1519" s="55"/>
      <c r="U1519" s="55">
        <f>VLOOKUP($E1519,'NI-Soc_SP'!$C:$AN,MID(U$1,1,2),FALSE)</f>
        <v>0</v>
      </c>
      <c r="V1519" s="55">
        <f>VLOOKUP($E1519,'NI-Soc_SP'!$C:$AN,MID(V$1,1,2),FALSE)</f>
        <v>0</v>
      </c>
      <c r="W1519" s="55">
        <f>VLOOKUP($E1519,'NI-Soc_SP'!$C:$AN,MID(W$1,1,2),FALSE)</f>
        <v>0</v>
      </c>
      <c r="X1519" s="55">
        <f>VLOOKUP($E1519,'NI-Soc_SP'!$C:$AN,MID(X$1,1,2),FALSE)</f>
        <v>0</v>
      </c>
      <c r="Y1519" s="55">
        <f>VLOOKUP($E1519,'NI-Soc_SP'!$C:$AN,MID(Y$1,1,2),FALSE)</f>
        <v>0</v>
      </c>
      <c r="Z1519" s="55">
        <f>VLOOKUP($E1519,'NI-Soc_SP'!$C:$AN,MID(Z$1,1,2),FALSE)</f>
        <v>0</v>
      </c>
      <c r="AA1519" s="55">
        <f>VLOOKUP($E1519,'NI-Soc_SP'!$C:$AN,MID(AA$1,1,2),FALSE)</f>
        <v>0</v>
      </c>
      <c r="AB1519" s="55">
        <f>VLOOKUP($E1519,'NI-Soc_SP'!$C:$AN,MID(AB$1,1,2),FALSE)</f>
        <v>0</v>
      </c>
      <c r="AC1519" s="55">
        <f>VLOOKUP($E1519,'NI-Soc_SP'!$C:$AN,MID(AC$1,1,2),FALSE)</f>
        <v>0</v>
      </c>
      <c r="AD1519" s="55">
        <f>VLOOKUP($E1519,'NI-Soc_SP'!$C:$AN,MID(AD$1,1,2),FALSE)</f>
        <v>0</v>
      </c>
      <c r="AE1519" s="55">
        <f>VLOOKUP($E1519,'NI-Soc_SP'!$C:$AN,MID(AE$1,1,2),FALSE)</f>
        <v>0</v>
      </c>
      <c r="AF1519" s="55">
        <f>VLOOKUP($E1519,'NI-Soc_SP'!$C:$AN,MID(AF$1,1,2),FALSE)</f>
        <v>0</v>
      </c>
      <c r="AG1519" s="55">
        <f>VLOOKUP($E1519,'NI-Soc_SP'!$C:$AN,MID(AG$1,1,2),FALSE)</f>
        <v>0</v>
      </c>
      <c r="AH1519" s="55">
        <f>VLOOKUP($E1519,'NI-Soc_SP'!$C:$AN,MID(AH$1,1,2),FALSE)</f>
        <v>0</v>
      </c>
      <c r="AI1519" s="55">
        <f>VLOOKUP($E1519,'NI-Soc_SP'!$C:$AN,MID(AI$1,1,2),FALSE)</f>
        <v>0</v>
      </c>
      <c r="AJ1519" s="55">
        <f>VLOOKUP($E1519,'NI-Soc_SP'!$C:$AN,MID(AJ$1,1,2),FALSE)</f>
        <v>0</v>
      </c>
      <c r="AK1519" s="55">
        <f>VLOOKUP($E1519,'NI-Soc_SP'!$C:$AN,MID(AK$1,1,2),FALSE)</f>
        <v>0</v>
      </c>
      <c r="AL1519" s="55">
        <f>VLOOKUP($E1519,'NI-Soc_SP'!$C:$AN,MID(AL$1,1,2),FALSE)</f>
        <v>0</v>
      </c>
      <c r="AM1519" s="56">
        <f>VLOOKUP($E1519,'NI-Soc_SP'!$C:$AN,MID(AM$1,1,2),FALSE)</f>
        <v>0</v>
      </c>
      <c r="AN1519" s="30" t="str">
        <f t="shared" si="23"/>
        <v>10105060020000</v>
      </c>
    </row>
    <row r="1520" spans="3:40" x14ac:dyDescent="0.25">
      <c r="C1520" s="40"/>
      <c r="D1520" s="121" t="s">
        <v>349</v>
      </c>
      <c r="E1520" s="121" t="s">
        <v>350</v>
      </c>
      <c r="F1520" s="122" t="s">
        <v>2758</v>
      </c>
      <c r="G1520" s="52"/>
      <c r="H1520" s="52"/>
      <c r="I1520" s="52" t="s">
        <v>351</v>
      </c>
      <c r="J1520" s="52"/>
      <c r="K1520" s="59" t="s">
        <v>111</v>
      </c>
      <c r="L1520" s="62" t="s">
        <v>260</v>
      </c>
      <c r="M1520" s="52"/>
      <c r="N1520" s="52"/>
      <c r="O1520" s="52"/>
      <c r="P1520" s="54" t="s">
        <v>352</v>
      </c>
      <c r="Q1520" s="55">
        <f>VLOOKUP(E1520,'NI-Soc_SP'!$C:$AN,12,FALSE)</f>
        <v>0</v>
      </c>
      <c r="R1520" s="55">
        <f>VLOOKUP(E1520,'NI-Soc_SP'!$C:$AN,13,FALSE)</f>
        <v>0</v>
      </c>
      <c r="S1520" s="55"/>
      <c r="T1520" s="55"/>
      <c r="U1520" s="55">
        <f>VLOOKUP($E1520,'NI-Soc_SP'!$C:$AN,MID(U$1,1,2),FALSE)</f>
        <v>0</v>
      </c>
      <c r="V1520" s="55">
        <f>VLOOKUP($E1520,'NI-Soc_SP'!$C:$AN,MID(V$1,1,2),FALSE)</f>
        <v>0</v>
      </c>
      <c r="W1520" s="55">
        <f>VLOOKUP($E1520,'NI-Soc_SP'!$C:$AN,MID(W$1,1,2),FALSE)</f>
        <v>0</v>
      </c>
      <c r="X1520" s="55">
        <f>VLOOKUP($E1520,'NI-Soc_SP'!$C:$AN,MID(X$1,1,2),FALSE)</f>
        <v>0</v>
      </c>
      <c r="Y1520" s="55">
        <f>VLOOKUP($E1520,'NI-Soc_SP'!$C:$AN,MID(Y$1,1,2),FALSE)</f>
        <v>0</v>
      </c>
      <c r="Z1520" s="55">
        <f>VLOOKUP($E1520,'NI-Soc_SP'!$C:$AN,MID(Z$1,1,2),FALSE)</f>
        <v>0</v>
      </c>
      <c r="AA1520" s="55">
        <f>VLOOKUP($E1520,'NI-Soc_SP'!$C:$AN,MID(AA$1,1,2),FALSE)</f>
        <v>0</v>
      </c>
      <c r="AB1520" s="55">
        <f>VLOOKUP($E1520,'NI-Soc_SP'!$C:$AN,MID(AB$1,1,2),FALSE)</f>
        <v>0</v>
      </c>
      <c r="AC1520" s="55">
        <f>VLOOKUP($E1520,'NI-Soc_SP'!$C:$AN,MID(AC$1,1,2),FALSE)</f>
        <v>0</v>
      </c>
      <c r="AD1520" s="55">
        <f>VLOOKUP($E1520,'NI-Soc_SP'!$C:$AN,MID(AD$1,1,2),FALSE)</f>
        <v>0</v>
      </c>
      <c r="AE1520" s="55">
        <f>VLOOKUP($E1520,'NI-Soc_SP'!$C:$AN,MID(AE$1,1,2),FALSE)</f>
        <v>0</v>
      </c>
      <c r="AF1520" s="55">
        <f>VLOOKUP($E1520,'NI-Soc_SP'!$C:$AN,MID(AF$1,1,2),FALSE)</f>
        <v>0</v>
      </c>
      <c r="AG1520" s="55">
        <f>VLOOKUP($E1520,'NI-Soc_SP'!$C:$AN,MID(AG$1,1,2),FALSE)</f>
        <v>0</v>
      </c>
      <c r="AH1520" s="55">
        <f>VLOOKUP($E1520,'NI-Soc_SP'!$C:$AN,MID(AH$1,1,2),FALSE)</f>
        <v>0</v>
      </c>
      <c r="AI1520" s="55">
        <f>VLOOKUP($E1520,'NI-Soc_SP'!$C:$AN,MID(AI$1,1,2),FALSE)</f>
        <v>0</v>
      </c>
      <c r="AJ1520" s="55">
        <f>VLOOKUP($E1520,'NI-Soc_SP'!$C:$AN,MID(AJ$1,1,2),FALSE)</f>
        <v>0</v>
      </c>
      <c r="AK1520" s="55">
        <f>VLOOKUP($E1520,'NI-Soc_SP'!$C:$AN,MID(AK$1,1,2),FALSE)</f>
        <v>0</v>
      </c>
      <c r="AL1520" s="55">
        <f>VLOOKUP($E1520,'NI-Soc_SP'!$C:$AN,MID(AL$1,1,2),FALSE)</f>
        <v>0</v>
      </c>
      <c r="AM1520" s="56">
        <f>VLOOKUP($E1520,'NI-Soc_SP'!$C:$AN,MID(AM$1,1,2),FALSE)</f>
        <v>0</v>
      </c>
      <c r="AN1520" s="30" t="str">
        <f t="shared" si="23"/>
        <v>10105070000000</v>
      </c>
    </row>
    <row r="1521" spans="3:40" x14ac:dyDescent="0.25">
      <c r="C1521" s="40"/>
      <c r="D1521" s="121" t="s">
        <v>353</v>
      </c>
      <c r="E1521" s="121" t="s">
        <v>354</v>
      </c>
      <c r="F1521" s="122" t="s">
        <v>2758</v>
      </c>
      <c r="G1521" s="52"/>
      <c r="H1521" s="52"/>
      <c r="I1521" s="52"/>
      <c r="J1521" s="52"/>
      <c r="K1521" s="59" t="s">
        <v>79</v>
      </c>
      <c r="L1521" s="52"/>
      <c r="M1521" s="52"/>
      <c r="N1521" s="52"/>
      <c r="O1521" s="52"/>
      <c r="P1521" s="63" t="s">
        <v>355</v>
      </c>
      <c r="Q1521" s="55">
        <f>VLOOKUP(E1521,'NI-Soc_SP'!$C:$AN,12,FALSE)</f>
        <v>0</v>
      </c>
      <c r="R1521" s="55">
        <f>VLOOKUP(E1521,'NI-Soc_SP'!$C:$AN,13,FALSE)</f>
        <v>0</v>
      </c>
      <c r="S1521" s="55"/>
      <c r="T1521" s="55"/>
      <c r="U1521" s="55">
        <f>VLOOKUP($E1521,'NI-Soc_SP'!$C:$AN,MID(U$1,1,2),FALSE)</f>
        <v>0</v>
      </c>
      <c r="V1521" s="55">
        <f>VLOOKUP($E1521,'NI-Soc_SP'!$C:$AN,MID(V$1,1,2),FALSE)</f>
        <v>0</v>
      </c>
      <c r="W1521" s="55">
        <f>VLOOKUP($E1521,'NI-Soc_SP'!$C:$AN,MID(W$1,1,2),FALSE)</f>
        <v>0</v>
      </c>
      <c r="X1521" s="55">
        <f>VLOOKUP($E1521,'NI-Soc_SP'!$C:$AN,MID(X$1,1,2),FALSE)</f>
        <v>0</v>
      </c>
      <c r="Y1521" s="55">
        <f>VLOOKUP($E1521,'NI-Soc_SP'!$C:$AN,MID(Y$1,1,2),FALSE)</f>
        <v>0</v>
      </c>
      <c r="Z1521" s="55">
        <f>VLOOKUP($E1521,'NI-Soc_SP'!$C:$AN,MID(Z$1,1,2),FALSE)</f>
        <v>0</v>
      </c>
      <c r="AA1521" s="55">
        <f>VLOOKUP($E1521,'NI-Soc_SP'!$C:$AN,MID(AA$1,1,2),FALSE)</f>
        <v>0</v>
      </c>
      <c r="AB1521" s="55">
        <f>VLOOKUP($E1521,'NI-Soc_SP'!$C:$AN,MID(AB$1,1,2),FALSE)</f>
        <v>0</v>
      </c>
      <c r="AC1521" s="55">
        <f>VLOOKUP($E1521,'NI-Soc_SP'!$C:$AN,MID(AC$1,1,2),FALSE)</f>
        <v>0</v>
      </c>
      <c r="AD1521" s="55">
        <f>VLOOKUP($E1521,'NI-Soc_SP'!$C:$AN,MID(AD$1,1,2),FALSE)</f>
        <v>0</v>
      </c>
      <c r="AE1521" s="55">
        <f>VLOOKUP($E1521,'NI-Soc_SP'!$C:$AN,MID(AE$1,1,2),FALSE)</f>
        <v>0</v>
      </c>
      <c r="AF1521" s="55">
        <f>VLOOKUP($E1521,'NI-Soc_SP'!$C:$AN,MID(AF$1,1,2),FALSE)</f>
        <v>0</v>
      </c>
      <c r="AG1521" s="55">
        <f>VLOOKUP($E1521,'NI-Soc_SP'!$C:$AN,MID(AG$1,1,2),FALSE)</f>
        <v>0</v>
      </c>
      <c r="AH1521" s="55">
        <f>VLOOKUP($E1521,'NI-Soc_SP'!$C:$AN,MID(AH$1,1,2),FALSE)</f>
        <v>0</v>
      </c>
      <c r="AI1521" s="55">
        <f>VLOOKUP($E1521,'NI-Soc_SP'!$C:$AN,MID(AI$1,1,2),FALSE)</f>
        <v>0</v>
      </c>
      <c r="AJ1521" s="55">
        <f>VLOOKUP($E1521,'NI-Soc_SP'!$C:$AN,MID(AJ$1,1,2),FALSE)</f>
        <v>0</v>
      </c>
      <c r="AK1521" s="55">
        <f>VLOOKUP($E1521,'NI-Soc_SP'!$C:$AN,MID(AK$1,1,2),FALSE)</f>
        <v>0</v>
      </c>
      <c r="AL1521" s="55">
        <f>VLOOKUP($E1521,'NI-Soc_SP'!$C:$AN,MID(AL$1,1,2),FALSE)</f>
        <v>0</v>
      </c>
      <c r="AM1521" s="56">
        <f>VLOOKUP($E1521,'NI-Soc_SP'!$C:$AN,MID(AM$1,1,2),FALSE)</f>
        <v>0</v>
      </c>
      <c r="AN1521" s="30" t="str">
        <f t="shared" si="23"/>
        <v>10105070010010</v>
      </c>
    </row>
    <row r="1522" spans="3:40" x14ac:dyDescent="0.25">
      <c r="C1522" s="40"/>
      <c r="D1522" s="121" t="s">
        <v>356</v>
      </c>
      <c r="E1522" s="121" t="s">
        <v>357</v>
      </c>
      <c r="F1522" s="122" t="s">
        <v>2758</v>
      </c>
      <c r="G1522" s="52"/>
      <c r="H1522" s="52"/>
      <c r="I1522" s="52"/>
      <c r="J1522" s="52"/>
      <c r="K1522" s="59" t="s">
        <v>79</v>
      </c>
      <c r="L1522" s="52"/>
      <c r="M1522" s="52"/>
      <c r="N1522" s="52"/>
      <c r="O1522" s="52"/>
      <c r="P1522" s="63" t="s">
        <v>358</v>
      </c>
      <c r="Q1522" s="55">
        <f>VLOOKUP(E1522,'NI-Soc_SP'!$C:$AN,12,FALSE)</f>
        <v>0</v>
      </c>
      <c r="R1522" s="55">
        <f>VLOOKUP(E1522,'NI-Soc_SP'!$C:$AN,13,FALSE)</f>
        <v>0</v>
      </c>
      <c r="S1522" s="55"/>
      <c r="T1522" s="55"/>
      <c r="U1522" s="55">
        <f>VLOOKUP($E1522,'NI-Soc_SP'!$C:$AN,MID(U$1,1,2),FALSE)</f>
        <v>0</v>
      </c>
      <c r="V1522" s="55">
        <f>VLOOKUP($E1522,'NI-Soc_SP'!$C:$AN,MID(V$1,1,2),FALSE)</f>
        <v>0</v>
      </c>
      <c r="W1522" s="55">
        <f>VLOOKUP($E1522,'NI-Soc_SP'!$C:$AN,MID(W$1,1,2),FALSE)</f>
        <v>0</v>
      </c>
      <c r="X1522" s="55">
        <f>VLOOKUP($E1522,'NI-Soc_SP'!$C:$AN,MID(X$1,1,2),FALSE)</f>
        <v>0</v>
      </c>
      <c r="Y1522" s="55">
        <f>VLOOKUP($E1522,'NI-Soc_SP'!$C:$AN,MID(Y$1,1,2),FALSE)</f>
        <v>0</v>
      </c>
      <c r="Z1522" s="55">
        <f>VLOOKUP($E1522,'NI-Soc_SP'!$C:$AN,MID(Z$1,1,2),FALSE)</f>
        <v>0</v>
      </c>
      <c r="AA1522" s="55">
        <f>VLOOKUP($E1522,'NI-Soc_SP'!$C:$AN,MID(AA$1,1,2),FALSE)</f>
        <v>0</v>
      </c>
      <c r="AB1522" s="55">
        <f>VLOOKUP($E1522,'NI-Soc_SP'!$C:$AN,MID(AB$1,1,2),FALSE)</f>
        <v>0</v>
      </c>
      <c r="AC1522" s="55">
        <f>VLOOKUP($E1522,'NI-Soc_SP'!$C:$AN,MID(AC$1,1,2),FALSE)</f>
        <v>0</v>
      </c>
      <c r="AD1522" s="55">
        <f>VLOOKUP($E1522,'NI-Soc_SP'!$C:$AN,MID(AD$1,1,2),FALSE)</f>
        <v>0</v>
      </c>
      <c r="AE1522" s="55">
        <f>VLOOKUP($E1522,'NI-Soc_SP'!$C:$AN,MID(AE$1,1,2),FALSE)</f>
        <v>0</v>
      </c>
      <c r="AF1522" s="55">
        <f>VLOOKUP($E1522,'NI-Soc_SP'!$C:$AN,MID(AF$1,1,2),FALSE)</f>
        <v>0</v>
      </c>
      <c r="AG1522" s="55">
        <f>VLOOKUP($E1522,'NI-Soc_SP'!$C:$AN,MID(AG$1,1,2),FALSE)</f>
        <v>0</v>
      </c>
      <c r="AH1522" s="55">
        <f>VLOOKUP($E1522,'NI-Soc_SP'!$C:$AN,MID(AH$1,1,2),FALSE)</f>
        <v>0</v>
      </c>
      <c r="AI1522" s="55">
        <f>VLOOKUP($E1522,'NI-Soc_SP'!$C:$AN,MID(AI$1,1,2),FALSE)</f>
        <v>0</v>
      </c>
      <c r="AJ1522" s="55">
        <f>VLOOKUP($E1522,'NI-Soc_SP'!$C:$AN,MID(AJ$1,1,2),FALSE)</f>
        <v>0</v>
      </c>
      <c r="AK1522" s="55">
        <f>VLOOKUP($E1522,'NI-Soc_SP'!$C:$AN,MID(AK$1,1,2),FALSE)</f>
        <v>0</v>
      </c>
      <c r="AL1522" s="55">
        <f>VLOOKUP($E1522,'NI-Soc_SP'!$C:$AN,MID(AL$1,1,2),FALSE)</f>
        <v>0</v>
      </c>
      <c r="AM1522" s="56">
        <f>VLOOKUP($E1522,'NI-Soc_SP'!$C:$AN,MID(AM$1,1,2),FALSE)</f>
        <v>0</v>
      </c>
      <c r="AN1522" s="30" t="str">
        <f t="shared" si="23"/>
        <v>10105070010020</v>
      </c>
    </row>
    <row r="1523" spans="3:40" x14ac:dyDescent="0.25">
      <c r="C1523" s="40"/>
      <c r="D1523" s="121" t="s">
        <v>359</v>
      </c>
      <c r="E1523" s="121" t="s">
        <v>360</v>
      </c>
      <c r="F1523" s="122" t="s">
        <v>2758</v>
      </c>
      <c r="G1523" s="52"/>
      <c r="H1523" s="52"/>
      <c r="I1523" s="52"/>
      <c r="J1523" s="52"/>
      <c r="K1523" s="59" t="s">
        <v>79</v>
      </c>
      <c r="L1523" s="52"/>
      <c r="M1523" s="52"/>
      <c r="N1523" s="52"/>
      <c r="O1523" s="52"/>
      <c r="P1523" s="63" t="s">
        <v>361</v>
      </c>
      <c r="Q1523" s="55">
        <f>VLOOKUP(E1523,'NI-Soc_SP'!$C:$AN,12,FALSE)</f>
        <v>0</v>
      </c>
      <c r="R1523" s="55">
        <f>VLOOKUP(E1523,'NI-Soc_SP'!$C:$AN,13,FALSE)</f>
        <v>0</v>
      </c>
      <c r="S1523" s="55"/>
      <c r="T1523" s="55"/>
      <c r="U1523" s="55">
        <f>VLOOKUP($E1523,'NI-Soc_SP'!$C:$AN,MID(U$1,1,2),FALSE)</f>
        <v>0</v>
      </c>
      <c r="V1523" s="55">
        <f>VLOOKUP($E1523,'NI-Soc_SP'!$C:$AN,MID(V$1,1,2),FALSE)</f>
        <v>0</v>
      </c>
      <c r="W1523" s="55">
        <f>VLOOKUP($E1523,'NI-Soc_SP'!$C:$AN,MID(W$1,1,2),FALSE)</f>
        <v>0</v>
      </c>
      <c r="X1523" s="55">
        <f>VLOOKUP($E1523,'NI-Soc_SP'!$C:$AN,MID(X$1,1,2),FALSE)</f>
        <v>0</v>
      </c>
      <c r="Y1523" s="55">
        <f>VLOOKUP($E1523,'NI-Soc_SP'!$C:$AN,MID(Y$1,1,2),FALSE)</f>
        <v>0</v>
      </c>
      <c r="Z1523" s="55">
        <f>VLOOKUP($E1523,'NI-Soc_SP'!$C:$AN,MID(Z$1,1,2),FALSE)</f>
        <v>0</v>
      </c>
      <c r="AA1523" s="55">
        <f>VLOOKUP($E1523,'NI-Soc_SP'!$C:$AN,MID(AA$1,1,2),FALSE)</f>
        <v>0</v>
      </c>
      <c r="AB1523" s="55">
        <f>VLOOKUP($E1523,'NI-Soc_SP'!$C:$AN,MID(AB$1,1,2),FALSE)</f>
        <v>0</v>
      </c>
      <c r="AC1523" s="55">
        <f>VLOOKUP($E1523,'NI-Soc_SP'!$C:$AN,MID(AC$1,1,2),FALSE)</f>
        <v>0</v>
      </c>
      <c r="AD1523" s="55">
        <f>VLOOKUP($E1523,'NI-Soc_SP'!$C:$AN,MID(AD$1,1,2),FALSE)</f>
        <v>0</v>
      </c>
      <c r="AE1523" s="55">
        <f>VLOOKUP($E1523,'NI-Soc_SP'!$C:$AN,MID(AE$1,1,2),FALSE)</f>
        <v>0</v>
      </c>
      <c r="AF1523" s="55">
        <f>VLOOKUP($E1523,'NI-Soc_SP'!$C:$AN,MID(AF$1,1,2),FALSE)</f>
        <v>0</v>
      </c>
      <c r="AG1523" s="55">
        <f>VLOOKUP($E1523,'NI-Soc_SP'!$C:$AN,MID(AG$1,1,2),FALSE)</f>
        <v>0</v>
      </c>
      <c r="AH1523" s="55">
        <f>VLOOKUP($E1523,'NI-Soc_SP'!$C:$AN,MID(AH$1,1,2),FALSE)</f>
        <v>0</v>
      </c>
      <c r="AI1523" s="55">
        <f>VLOOKUP($E1523,'NI-Soc_SP'!$C:$AN,MID(AI$1,1,2),FALSE)</f>
        <v>0</v>
      </c>
      <c r="AJ1523" s="55">
        <f>VLOOKUP($E1523,'NI-Soc_SP'!$C:$AN,MID(AJ$1,1,2),FALSE)</f>
        <v>0</v>
      </c>
      <c r="AK1523" s="55">
        <f>VLOOKUP($E1523,'NI-Soc_SP'!$C:$AN,MID(AK$1,1,2),FALSE)</f>
        <v>0</v>
      </c>
      <c r="AL1523" s="55">
        <f>VLOOKUP($E1523,'NI-Soc_SP'!$C:$AN,MID(AL$1,1,2),FALSE)</f>
        <v>0</v>
      </c>
      <c r="AM1523" s="56">
        <f>VLOOKUP($E1523,'NI-Soc_SP'!$C:$AN,MID(AM$1,1,2),FALSE)</f>
        <v>0</v>
      </c>
      <c r="AN1523" s="30" t="str">
        <f t="shared" si="23"/>
        <v>10105070020010</v>
      </c>
    </row>
    <row r="1524" spans="3:40" x14ac:dyDescent="0.25">
      <c r="C1524" s="40"/>
      <c r="D1524" s="121" t="s">
        <v>362</v>
      </c>
      <c r="E1524" s="121" t="s">
        <v>363</v>
      </c>
      <c r="F1524" s="122" t="s">
        <v>2758</v>
      </c>
      <c r="G1524" s="52"/>
      <c r="H1524" s="52"/>
      <c r="I1524" s="52"/>
      <c r="J1524" s="52"/>
      <c r="K1524" s="59" t="s">
        <v>79</v>
      </c>
      <c r="L1524" s="52"/>
      <c r="M1524" s="52"/>
      <c r="N1524" s="52"/>
      <c r="O1524" s="52"/>
      <c r="P1524" s="63" t="s">
        <v>364</v>
      </c>
      <c r="Q1524" s="55">
        <f>VLOOKUP(E1524,'NI-Soc_SP'!$C:$AN,12,FALSE)</f>
        <v>0</v>
      </c>
      <c r="R1524" s="55">
        <f>VLOOKUP(E1524,'NI-Soc_SP'!$C:$AN,13,FALSE)</f>
        <v>0</v>
      </c>
      <c r="S1524" s="55"/>
      <c r="T1524" s="55"/>
      <c r="U1524" s="55">
        <f>VLOOKUP($E1524,'NI-Soc_SP'!$C:$AN,MID(U$1,1,2),FALSE)</f>
        <v>0</v>
      </c>
      <c r="V1524" s="55">
        <f>VLOOKUP($E1524,'NI-Soc_SP'!$C:$AN,MID(V$1,1,2),FALSE)</f>
        <v>0</v>
      </c>
      <c r="W1524" s="55">
        <f>VLOOKUP($E1524,'NI-Soc_SP'!$C:$AN,MID(W$1,1,2),FALSE)</f>
        <v>0</v>
      </c>
      <c r="X1524" s="55">
        <f>VLOOKUP($E1524,'NI-Soc_SP'!$C:$AN,MID(X$1,1,2),FALSE)</f>
        <v>0</v>
      </c>
      <c r="Y1524" s="55">
        <f>VLOOKUP($E1524,'NI-Soc_SP'!$C:$AN,MID(Y$1,1,2),FALSE)</f>
        <v>0</v>
      </c>
      <c r="Z1524" s="55">
        <f>VLOOKUP($E1524,'NI-Soc_SP'!$C:$AN,MID(Z$1,1,2),FALSE)</f>
        <v>0</v>
      </c>
      <c r="AA1524" s="55">
        <f>VLOOKUP($E1524,'NI-Soc_SP'!$C:$AN,MID(AA$1,1,2),FALSE)</f>
        <v>0</v>
      </c>
      <c r="AB1524" s="55">
        <f>VLOOKUP($E1524,'NI-Soc_SP'!$C:$AN,MID(AB$1,1,2),FALSE)</f>
        <v>0</v>
      </c>
      <c r="AC1524" s="55">
        <f>VLOOKUP($E1524,'NI-Soc_SP'!$C:$AN,MID(AC$1,1,2),FALSE)</f>
        <v>0</v>
      </c>
      <c r="AD1524" s="55">
        <f>VLOOKUP($E1524,'NI-Soc_SP'!$C:$AN,MID(AD$1,1,2),FALSE)</f>
        <v>0</v>
      </c>
      <c r="AE1524" s="55">
        <f>VLOOKUP($E1524,'NI-Soc_SP'!$C:$AN,MID(AE$1,1,2),FALSE)</f>
        <v>0</v>
      </c>
      <c r="AF1524" s="55">
        <f>VLOOKUP($E1524,'NI-Soc_SP'!$C:$AN,MID(AF$1,1,2),FALSE)</f>
        <v>0</v>
      </c>
      <c r="AG1524" s="55">
        <f>VLOOKUP($E1524,'NI-Soc_SP'!$C:$AN,MID(AG$1,1,2),FALSE)</f>
        <v>0</v>
      </c>
      <c r="AH1524" s="55">
        <f>VLOOKUP($E1524,'NI-Soc_SP'!$C:$AN,MID(AH$1,1,2),FALSE)</f>
        <v>0</v>
      </c>
      <c r="AI1524" s="55">
        <f>VLOOKUP($E1524,'NI-Soc_SP'!$C:$AN,MID(AI$1,1,2),FALSE)</f>
        <v>0</v>
      </c>
      <c r="AJ1524" s="55">
        <f>VLOOKUP($E1524,'NI-Soc_SP'!$C:$AN,MID(AJ$1,1,2),FALSE)</f>
        <v>0</v>
      </c>
      <c r="AK1524" s="55">
        <f>VLOOKUP($E1524,'NI-Soc_SP'!$C:$AN,MID(AK$1,1,2),FALSE)</f>
        <v>0</v>
      </c>
      <c r="AL1524" s="55">
        <f>VLOOKUP($E1524,'NI-Soc_SP'!$C:$AN,MID(AL$1,1,2),FALSE)</f>
        <v>0</v>
      </c>
      <c r="AM1524" s="56">
        <f>VLOOKUP($E1524,'NI-Soc_SP'!$C:$AN,MID(AM$1,1,2),FALSE)</f>
        <v>0</v>
      </c>
      <c r="AN1524" s="30" t="str">
        <f t="shared" si="23"/>
        <v>10105070020020</v>
      </c>
    </row>
    <row r="1525" spans="3:40" x14ac:dyDescent="0.25">
      <c r="C1525" s="40"/>
      <c r="D1525" s="121" t="s">
        <v>365</v>
      </c>
      <c r="E1525" s="121" t="s">
        <v>366</v>
      </c>
      <c r="F1525" s="122" t="s">
        <v>2758</v>
      </c>
      <c r="G1525" s="52"/>
      <c r="H1525" s="52"/>
      <c r="I1525" s="52" t="s">
        <v>367</v>
      </c>
      <c r="J1525" s="52"/>
      <c r="K1525" s="59" t="s">
        <v>111</v>
      </c>
      <c r="L1525" s="62" t="s">
        <v>289</v>
      </c>
      <c r="M1525" s="52"/>
      <c r="N1525" s="52"/>
      <c r="O1525" s="52"/>
      <c r="P1525" s="54" t="s">
        <v>368</v>
      </c>
      <c r="Q1525" s="55">
        <f>VLOOKUP(E1525,'NI-Soc_SP'!$C:$AN,12,FALSE)</f>
        <v>0</v>
      </c>
      <c r="R1525" s="55">
        <f>VLOOKUP(E1525,'NI-Soc_SP'!$C:$AN,13,FALSE)</f>
        <v>0</v>
      </c>
      <c r="S1525" s="55"/>
      <c r="T1525" s="55"/>
      <c r="U1525" s="55">
        <f>VLOOKUP($E1525,'NI-Soc_SP'!$C:$AN,MID(U$1,1,2),FALSE)</f>
        <v>0</v>
      </c>
      <c r="V1525" s="55">
        <f>VLOOKUP($E1525,'NI-Soc_SP'!$C:$AN,MID(V$1,1,2),FALSE)</f>
        <v>0</v>
      </c>
      <c r="W1525" s="55">
        <f>VLOOKUP($E1525,'NI-Soc_SP'!$C:$AN,MID(W$1,1,2),FALSE)</f>
        <v>0</v>
      </c>
      <c r="X1525" s="55">
        <f>VLOOKUP($E1525,'NI-Soc_SP'!$C:$AN,MID(X$1,1,2),FALSE)</f>
        <v>0</v>
      </c>
      <c r="Y1525" s="55">
        <f>VLOOKUP($E1525,'NI-Soc_SP'!$C:$AN,MID(Y$1,1,2),FALSE)</f>
        <v>0</v>
      </c>
      <c r="Z1525" s="55">
        <f>VLOOKUP($E1525,'NI-Soc_SP'!$C:$AN,MID(Z$1,1,2),FALSE)</f>
        <v>0</v>
      </c>
      <c r="AA1525" s="55">
        <f>VLOOKUP($E1525,'NI-Soc_SP'!$C:$AN,MID(AA$1,1,2),FALSE)</f>
        <v>0</v>
      </c>
      <c r="AB1525" s="55">
        <f>VLOOKUP($E1525,'NI-Soc_SP'!$C:$AN,MID(AB$1,1,2),FALSE)</f>
        <v>0</v>
      </c>
      <c r="AC1525" s="55">
        <f>VLOOKUP($E1525,'NI-Soc_SP'!$C:$AN,MID(AC$1,1,2),FALSE)</f>
        <v>0</v>
      </c>
      <c r="AD1525" s="55">
        <f>VLOOKUP($E1525,'NI-Soc_SP'!$C:$AN,MID(AD$1,1,2),FALSE)</f>
        <v>0</v>
      </c>
      <c r="AE1525" s="55">
        <f>VLOOKUP($E1525,'NI-Soc_SP'!$C:$AN,MID(AE$1,1,2),FALSE)</f>
        <v>0</v>
      </c>
      <c r="AF1525" s="55">
        <f>VLOOKUP($E1525,'NI-Soc_SP'!$C:$AN,MID(AF$1,1,2),FALSE)</f>
        <v>0</v>
      </c>
      <c r="AG1525" s="55">
        <f>VLOOKUP($E1525,'NI-Soc_SP'!$C:$AN,MID(AG$1,1,2),FALSE)</f>
        <v>0</v>
      </c>
      <c r="AH1525" s="55">
        <f>VLOOKUP($E1525,'NI-Soc_SP'!$C:$AN,MID(AH$1,1,2),FALSE)</f>
        <v>0</v>
      </c>
      <c r="AI1525" s="55">
        <f>VLOOKUP($E1525,'NI-Soc_SP'!$C:$AN,MID(AI$1,1,2),FALSE)</f>
        <v>0</v>
      </c>
      <c r="AJ1525" s="55">
        <f>VLOOKUP($E1525,'NI-Soc_SP'!$C:$AN,MID(AJ$1,1,2),FALSE)</f>
        <v>0</v>
      </c>
      <c r="AK1525" s="55">
        <f>VLOOKUP($E1525,'NI-Soc_SP'!$C:$AN,MID(AK$1,1,2),FALSE)</f>
        <v>0</v>
      </c>
      <c r="AL1525" s="55">
        <f>VLOOKUP($E1525,'NI-Soc_SP'!$C:$AN,MID(AL$1,1,2),FALSE)</f>
        <v>0</v>
      </c>
      <c r="AM1525" s="56">
        <f>VLOOKUP($E1525,'NI-Soc_SP'!$C:$AN,MID(AM$1,1,2),FALSE)</f>
        <v>0</v>
      </c>
      <c r="AN1525" s="30" t="str">
        <f t="shared" si="23"/>
        <v>10105080000000</v>
      </c>
    </row>
    <row r="1526" spans="3:40" x14ac:dyDescent="0.25">
      <c r="C1526" s="40"/>
      <c r="D1526" s="121" t="s">
        <v>369</v>
      </c>
      <c r="E1526" s="121" t="s">
        <v>370</v>
      </c>
      <c r="F1526" s="122" t="s">
        <v>2758</v>
      </c>
      <c r="G1526" s="52"/>
      <c r="H1526" s="52"/>
      <c r="I1526" s="52"/>
      <c r="J1526" s="52"/>
      <c r="K1526" s="59" t="s">
        <v>79</v>
      </c>
      <c r="L1526" s="52"/>
      <c r="M1526" s="52"/>
      <c r="N1526" s="52"/>
      <c r="O1526" s="52"/>
      <c r="P1526" s="63" t="s">
        <v>371</v>
      </c>
      <c r="Q1526" s="55">
        <f>VLOOKUP(E1526,'NI-Soc_SP'!$C:$AN,12,FALSE)</f>
        <v>0</v>
      </c>
      <c r="R1526" s="55">
        <f>VLOOKUP(E1526,'NI-Soc_SP'!$C:$AN,13,FALSE)</f>
        <v>0</v>
      </c>
      <c r="S1526" s="55"/>
      <c r="T1526" s="55"/>
      <c r="U1526" s="55">
        <f>VLOOKUP($E1526,'NI-Soc_SP'!$C:$AN,MID(U$1,1,2),FALSE)</f>
        <v>0</v>
      </c>
      <c r="V1526" s="55">
        <f>VLOOKUP($E1526,'NI-Soc_SP'!$C:$AN,MID(V$1,1,2),FALSE)</f>
        <v>0</v>
      </c>
      <c r="W1526" s="55">
        <f>VLOOKUP($E1526,'NI-Soc_SP'!$C:$AN,MID(W$1,1,2),FALSE)</f>
        <v>0</v>
      </c>
      <c r="X1526" s="55">
        <f>VLOOKUP($E1526,'NI-Soc_SP'!$C:$AN,MID(X$1,1,2),FALSE)</f>
        <v>0</v>
      </c>
      <c r="Y1526" s="55">
        <f>VLOOKUP($E1526,'NI-Soc_SP'!$C:$AN,MID(Y$1,1,2),FALSE)</f>
        <v>0</v>
      </c>
      <c r="Z1526" s="55">
        <f>VLOOKUP($E1526,'NI-Soc_SP'!$C:$AN,MID(Z$1,1,2),FALSE)</f>
        <v>0</v>
      </c>
      <c r="AA1526" s="55">
        <f>VLOOKUP($E1526,'NI-Soc_SP'!$C:$AN,MID(AA$1,1,2),FALSE)</f>
        <v>0</v>
      </c>
      <c r="AB1526" s="55">
        <f>VLOOKUP($E1526,'NI-Soc_SP'!$C:$AN,MID(AB$1,1,2),FALSE)</f>
        <v>0</v>
      </c>
      <c r="AC1526" s="55">
        <f>VLOOKUP($E1526,'NI-Soc_SP'!$C:$AN,MID(AC$1,1,2),FALSE)</f>
        <v>0</v>
      </c>
      <c r="AD1526" s="55">
        <f>VLOOKUP($E1526,'NI-Soc_SP'!$C:$AN,MID(AD$1,1,2),FALSE)</f>
        <v>0</v>
      </c>
      <c r="AE1526" s="55">
        <f>VLOOKUP($E1526,'NI-Soc_SP'!$C:$AN,MID(AE$1,1,2),FALSE)</f>
        <v>0</v>
      </c>
      <c r="AF1526" s="55">
        <f>VLOOKUP($E1526,'NI-Soc_SP'!$C:$AN,MID(AF$1,1,2),FALSE)</f>
        <v>0</v>
      </c>
      <c r="AG1526" s="55">
        <f>VLOOKUP($E1526,'NI-Soc_SP'!$C:$AN,MID(AG$1,1,2),FALSE)</f>
        <v>0</v>
      </c>
      <c r="AH1526" s="55">
        <f>VLOOKUP($E1526,'NI-Soc_SP'!$C:$AN,MID(AH$1,1,2),FALSE)</f>
        <v>0</v>
      </c>
      <c r="AI1526" s="55">
        <f>VLOOKUP($E1526,'NI-Soc_SP'!$C:$AN,MID(AI$1,1,2),FALSE)</f>
        <v>0</v>
      </c>
      <c r="AJ1526" s="55">
        <f>VLOOKUP($E1526,'NI-Soc_SP'!$C:$AN,MID(AJ$1,1,2),FALSE)</f>
        <v>0</v>
      </c>
      <c r="AK1526" s="55">
        <f>VLOOKUP($E1526,'NI-Soc_SP'!$C:$AN,MID(AK$1,1,2),FALSE)</f>
        <v>0</v>
      </c>
      <c r="AL1526" s="55">
        <f>VLOOKUP($E1526,'NI-Soc_SP'!$C:$AN,MID(AL$1,1,2),FALSE)</f>
        <v>0</v>
      </c>
      <c r="AM1526" s="56">
        <f>VLOOKUP($E1526,'NI-Soc_SP'!$C:$AN,MID(AM$1,1,2),FALSE)</f>
        <v>0</v>
      </c>
      <c r="AN1526" s="30" t="str">
        <f t="shared" si="23"/>
        <v>10105080010010</v>
      </c>
    </row>
    <row r="1527" spans="3:40" x14ac:dyDescent="0.25">
      <c r="C1527" s="40"/>
      <c r="D1527" s="121" t="s">
        <v>372</v>
      </c>
      <c r="E1527" s="121" t="s">
        <v>373</v>
      </c>
      <c r="F1527" s="122" t="s">
        <v>2758</v>
      </c>
      <c r="G1527" s="52"/>
      <c r="H1527" s="52"/>
      <c r="I1527" s="52"/>
      <c r="J1527" s="52"/>
      <c r="K1527" s="59" t="s">
        <v>79</v>
      </c>
      <c r="L1527" s="52"/>
      <c r="M1527" s="52"/>
      <c r="N1527" s="52"/>
      <c r="O1527" s="52"/>
      <c r="P1527" s="63" t="s">
        <v>374</v>
      </c>
      <c r="Q1527" s="55">
        <f>VLOOKUP(E1527,'NI-Soc_SP'!$C:$AN,12,FALSE)</f>
        <v>0</v>
      </c>
      <c r="R1527" s="55">
        <f>VLOOKUP(E1527,'NI-Soc_SP'!$C:$AN,13,FALSE)</f>
        <v>0</v>
      </c>
      <c r="S1527" s="55"/>
      <c r="T1527" s="55"/>
      <c r="U1527" s="55">
        <f>VLOOKUP($E1527,'NI-Soc_SP'!$C:$AN,MID(U$1,1,2),FALSE)</f>
        <v>0</v>
      </c>
      <c r="V1527" s="55">
        <f>VLOOKUP($E1527,'NI-Soc_SP'!$C:$AN,MID(V$1,1,2),FALSE)</f>
        <v>0</v>
      </c>
      <c r="W1527" s="55">
        <f>VLOOKUP($E1527,'NI-Soc_SP'!$C:$AN,MID(W$1,1,2),FALSE)</f>
        <v>0</v>
      </c>
      <c r="X1527" s="55">
        <f>VLOOKUP($E1527,'NI-Soc_SP'!$C:$AN,MID(X$1,1,2),FALSE)</f>
        <v>0</v>
      </c>
      <c r="Y1527" s="55">
        <f>VLOOKUP($E1527,'NI-Soc_SP'!$C:$AN,MID(Y$1,1,2),FALSE)</f>
        <v>0</v>
      </c>
      <c r="Z1527" s="55">
        <f>VLOOKUP($E1527,'NI-Soc_SP'!$C:$AN,MID(Z$1,1,2),FALSE)</f>
        <v>0</v>
      </c>
      <c r="AA1527" s="55">
        <f>VLOOKUP($E1527,'NI-Soc_SP'!$C:$AN,MID(AA$1,1,2),FALSE)</f>
        <v>0</v>
      </c>
      <c r="AB1527" s="55">
        <f>VLOOKUP($E1527,'NI-Soc_SP'!$C:$AN,MID(AB$1,1,2),FALSE)</f>
        <v>0</v>
      </c>
      <c r="AC1527" s="55">
        <f>VLOOKUP($E1527,'NI-Soc_SP'!$C:$AN,MID(AC$1,1,2),FALSE)</f>
        <v>0</v>
      </c>
      <c r="AD1527" s="55">
        <f>VLOOKUP($E1527,'NI-Soc_SP'!$C:$AN,MID(AD$1,1,2),FALSE)</f>
        <v>0</v>
      </c>
      <c r="AE1527" s="55">
        <f>VLOOKUP($E1527,'NI-Soc_SP'!$C:$AN,MID(AE$1,1,2),FALSE)</f>
        <v>0</v>
      </c>
      <c r="AF1527" s="55">
        <f>VLOOKUP($E1527,'NI-Soc_SP'!$C:$AN,MID(AF$1,1,2),FALSE)</f>
        <v>0</v>
      </c>
      <c r="AG1527" s="55">
        <f>VLOOKUP($E1527,'NI-Soc_SP'!$C:$AN,MID(AG$1,1,2),FALSE)</f>
        <v>0</v>
      </c>
      <c r="AH1527" s="55">
        <f>VLOOKUP($E1527,'NI-Soc_SP'!$C:$AN,MID(AH$1,1,2),FALSE)</f>
        <v>0</v>
      </c>
      <c r="AI1527" s="55">
        <f>VLOOKUP($E1527,'NI-Soc_SP'!$C:$AN,MID(AI$1,1,2),FALSE)</f>
        <v>0</v>
      </c>
      <c r="AJ1527" s="55">
        <f>VLOOKUP($E1527,'NI-Soc_SP'!$C:$AN,MID(AJ$1,1,2),FALSE)</f>
        <v>0</v>
      </c>
      <c r="AK1527" s="55">
        <f>VLOOKUP($E1527,'NI-Soc_SP'!$C:$AN,MID(AK$1,1,2),FALSE)</f>
        <v>0</v>
      </c>
      <c r="AL1527" s="55">
        <f>VLOOKUP($E1527,'NI-Soc_SP'!$C:$AN,MID(AL$1,1,2),FALSE)</f>
        <v>0</v>
      </c>
      <c r="AM1527" s="56">
        <f>VLOOKUP($E1527,'NI-Soc_SP'!$C:$AN,MID(AM$1,1,2),FALSE)</f>
        <v>0</v>
      </c>
      <c r="AN1527" s="30" t="str">
        <f t="shared" si="23"/>
        <v>10105080010020</v>
      </c>
    </row>
    <row r="1528" spans="3:40" x14ac:dyDescent="0.25">
      <c r="C1528" s="40"/>
      <c r="D1528" s="121" t="s">
        <v>375</v>
      </c>
      <c r="E1528" s="121" t="s">
        <v>376</v>
      </c>
      <c r="F1528" s="122" t="s">
        <v>2758</v>
      </c>
      <c r="G1528" s="52"/>
      <c r="H1528" s="52"/>
      <c r="I1528" s="52"/>
      <c r="J1528" s="52"/>
      <c r="K1528" s="59" t="s">
        <v>79</v>
      </c>
      <c r="L1528" s="52"/>
      <c r="M1528" s="52"/>
      <c r="N1528" s="52"/>
      <c r="O1528" s="52"/>
      <c r="P1528" s="63" t="s">
        <v>377</v>
      </c>
      <c r="Q1528" s="55">
        <f>VLOOKUP(E1528,'NI-Soc_SP'!$C:$AN,12,FALSE)</f>
        <v>0</v>
      </c>
      <c r="R1528" s="55">
        <f>VLOOKUP(E1528,'NI-Soc_SP'!$C:$AN,13,FALSE)</f>
        <v>0</v>
      </c>
      <c r="S1528" s="55"/>
      <c r="T1528" s="55"/>
      <c r="U1528" s="55">
        <f>VLOOKUP($E1528,'NI-Soc_SP'!$C:$AN,MID(U$1,1,2),FALSE)</f>
        <v>0</v>
      </c>
      <c r="V1528" s="55">
        <f>VLOOKUP($E1528,'NI-Soc_SP'!$C:$AN,MID(V$1,1,2),FALSE)</f>
        <v>0</v>
      </c>
      <c r="W1528" s="55">
        <f>VLOOKUP($E1528,'NI-Soc_SP'!$C:$AN,MID(W$1,1,2),FALSE)</f>
        <v>0</v>
      </c>
      <c r="X1528" s="55">
        <f>VLOOKUP($E1528,'NI-Soc_SP'!$C:$AN,MID(X$1,1,2),FALSE)</f>
        <v>0</v>
      </c>
      <c r="Y1528" s="55">
        <f>VLOOKUP($E1528,'NI-Soc_SP'!$C:$AN,MID(Y$1,1,2),FALSE)</f>
        <v>0</v>
      </c>
      <c r="Z1528" s="55">
        <f>VLOOKUP($E1528,'NI-Soc_SP'!$C:$AN,MID(Z$1,1,2),FALSE)</f>
        <v>0</v>
      </c>
      <c r="AA1528" s="55">
        <f>VLOOKUP($E1528,'NI-Soc_SP'!$C:$AN,MID(AA$1,1,2),FALSE)</f>
        <v>0</v>
      </c>
      <c r="AB1528" s="55">
        <f>VLOOKUP($E1528,'NI-Soc_SP'!$C:$AN,MID(AB$1,1,2),FALSE)</f>
        <v>0</v>
      </c>
      <c r="AC1528" s="55">
        <f>VLOOKUP($E1528,'NI-Soc_SP'!$C:$AN,MID(AC$1,1,2),FALSE)</f>
        <v>0</v>
      </c>
      <c r="AD1528" s="55">
        <f>VLOOKUP($E1528,'NI-Soc_SP'!$C:$AN,MID(AD$1,1,2),FALSE)</f>
        <v>0</v>
      </c>
      <c r="AE1528" s="55">
        <f>VLOOKUP($E1528,'NI-Soc_SP'!$C:$AN,MID(AE$1,1,2),FALSE)</f>
        <v>0</v>
      </c>
      <c r="AF1528" s="55">
        <f>VLOOKUP($E1528,'NI-Soc_SP'!$C:$AN,MID(AF$1,1,2),FALSE)</f>
        <v>0</v>
      </c>
      <c r="AG1528" s="55">
        <f>VLOOKUP($E1528,'NI-Soc_SP'!$C:$AN,MID(AG$1,1,2),FALSE)</f>
        <v>0</v>
      </c>
      <c r="AH1528" s="55">
        <f>VLOOKUP($E1528,'NI-Soc_SP'!$C:$AN,MID(AH$1,1,2),FALSE)</f>
        <v>0</v>
      </c>
      <c r="AI1528" s="55">
        <f>VLOOKUP($E1528,'NI-Soc_SP'!$C:$AN,MID(AI$1,1,2),FALSE)</f>
        <v>0</v>
      </c>
      <c r="AJ1528" s="55">
        <f>VLOOKUP($E1528,'NI-Soc_SP'!$C:$AN,MID(AJ$1,1,2),FALSE)</f>
        <v>0</v>
      </c>
      <c r="AK1528" s="55">
        <f>VLOOKUP($E1528,'NI-Soc_SP'!$C:$AN,MID(AK$1,1,2),FALSE)</f>
        <v>0</v>
      </c>
      <c r="AL1528" s="55">
        <f>VLOOKUP($E1528,'NI-Soc_SP'!$C:$AN,MID(AL$1,1,2),FALSE)</f>
        <v>0</v>
      </c>
      <c r="AM1528" s="56">
        <f>VLOOKUP($E1528,'NI-Soc_SP'!$C:$AN,MID(AM$1,1,2),FALSE)</f>
        <v>0</v>
      </c>
      <c r="AN1528" s="30" t="str">
        <f t="shared" si="23"/>
        <v>10105080020010</v>
      </c>
    </row>
    <row r="1529" spans="3:40" x14ac:dyDescent="0.25">
      <c r="C1529" s="40"/>
      <c r="D1529" s="121" t="s">
        <v>378</v>
      </c>
      <c r="E1529" s="121" t="s">
        <v>379</v>
      </c>
      <c r="F1529" s="122" t="s">
        <v>2758</v>
      </c>
      <c r="G1529" s="52"/>
      <c r="H1529" s="52"/>
      <c r="I1529" s="52"/>
      <c r="J1529" s="52"/>
      <c r="K1529" s="59" t="s">
        <v>79</v>
      </c>
      <c r="L1529" s="52"/>
      <c r="M1529" s="52"/>
      <c r="N1529" s="52"/>
      <c r="O1529" s="52"/>
      <c r="P1529" s="63" t="s">
        <v>380</v>
      </c>
      <c r="Q1529" s="55">
        <f>VLOOKUP(E1529,'NI-Soc_SP'!$C:$AN,12,FALSE)</f>
        <v>0</v>
      </c>
      <c r="R1529" s="55">
        <f>VLOOKUP(E1529,'NI-Soc_SP'!$C:$AN,13,FALSE)</f>
        <v>0</v>
      </c>
      <c r="S1529" s="55"/>
      <c r="T1529" s="55"/>
      <c r="U1529" s="55">
        <f>VLOOKUP($E1529,'NI-Soc_SP'!$C:$AN,MID(U$1,1,2),FALSE)</f>
        <v>0</v>
      </c>
      <c r="V1529" s="55">
        <f>VLOOKUP($E1529,'NI-Soc_SP'!$C:$AN,MID(V$1,1,2),FALSE)</f>
        <v>0</v>
      </c>
      <c r="W1529" s="55">
        <f>VLOOKUP($E1529,'NI-Soc_SP'!$C:$AN,MID(W$1,1,2),FALSE)</f>
        <v>0</v>
      </c>
      <c r="X1529" s="55">
        <f>VLOOKUP($E1529,'NI-Soc_SP'!$C:$AN,MID(X$1,1,2),FALSE)</f>
        <v>0</v>
      </c>
      <c r="Y1529" s="55">
        <f>VLOOKUP($E1529,'NI-Soc_SP'!$C:$AN,MID(Y$1,1,2),FALSE)</f>
        <v>0</v>
      </c>
      <c r="Z1529" s="55">
        <f>VLOOKUP($E1529,'NI-Soc_SP'!$C:$AN,MID(Z$1,1,2),FALSE)</f>
        <v>0</v>
      </c>
      <c r="AA1529" s="55">
        <f>VLOOKUP($E1529,'NI-Soc_SP'!$C:$AN,MID(AA$1,1,2),FALSE)</f>
        <v>0</v>
      </c>
      <c r="AB1529" s="55">
        <f>VLOOKUP($E1529,'NI-Soc_SP'!$C:$AN,MID(AB$1,1,2),FALSE)</f>
        <v>0</v>
      </c>
      <c r="AC1529" s="55">
        <f>VLOOKUP($E1529,'NI-Soc_SP'!$C:$AN,MID(AC$1,1,2),FALSE)</f>
        <v>0</v>
      </c>
      <c r="AD1529" s="55">
        <f>VLOOKUP($E1529,'NI-Soc_SP'!$C:$AN,MID(AD$1,1,2),FALSE)</f>
        <v>0</v>
      </c>
      <c r="AE1529" s="55">
        <f>VLOOKUP($E1529,'NI-Soc_SP'!$C:$AN,MID(AE$1,1,2),FALSE)</f>
        <v>0</v>
      </c>
      <c r="AF1529" s="55">
        <f>VLOOKUP($E1529,'NI-Soc_SP'!$C:$AN,MID(AF$1,1,2),FALSE)</f>
        <v>0</v>
      </c>
      <c r="AG1529" s="55">
        <f>VLOOKUP($E1529,'NI-Soc_SP'!$C:$AN,MID(AG$1,1,2),FALSE)</f>
        <v>0</v>
      </c>
      <c r="AH1529" s="55">
        <f>VLOOKUP($E1529,'NI-Soc_SP'!$C:$AN,MID(AH$1,1,2),FALSE)</f>
        <v>0</v>
      </c>
      <c r="AI1529" s="55">
        <f>VLOOKUP($E1529,'NI-Soc_SP'!$C:$AN,MID(AI$1,1,2),FALSE)</f>
        <v>0</v>
      </c>
      <c r="AJ1529" s="55">
        <f>VLOOKUP($E1529,'NI-Soc_SP'!$C:$AN,MID(AJ$1,1,2),FALSE)</f>
        <v>0</v>
      </c>
      <c r="AK1529" s="55">
        <f>VLOOKUP($E1529,'NI-Soc_SP'!$C:$AN,MID(AK$1,1,2),FALSE)</f>
        <v>0</v>
      </c>
      <c r="AL1529" s="55">
        <f>VLOOKUP($E1529,'NI-Soc_SP'!$C:$AN,MID(AL$1,1,2),FALSE)</f>
        <v>0</v>
      </c>
      <c r="AM1529" s="56">
        <f>VLOOKUP($E1529,'NI-Soc_SP'!$C:$AN,MID(AM$1,1,2),FALSE)</f>
        <v>0</v>
      </c>
      <c r="AN1529" s="30" t="str">
        <f t="shared" si="23"/>
        <v>10105080020020</v>
      </c>
    </row>
    <row r="1530" spans="3:40" x14ac:dyDescent="0.25">
      <c r="C1530" s="40"/>
      <c r="D1530" s="121" t="s">
        <v>381</v>
      </c>
      <c r="E1530" s="121" t="s">
        <v>382</v>
      </c>
      <c r="F1530" s="122" t="s">
        <v>2758</v>
      </c>
      <c r="G1530" s="52"/>
      <c r="H1530" s="52"/>
      <c r="I1530" s="52"/>
      <c r="J1530" s="52"/>
      <c r="K1530" s="59" t="s">
        <v>111</v>
      </c>
      <c r="L1530" s="52"/>
      <c r="M1530" s="52"/>
      <c r="N1530" s="52"/>
      <c r="O1530" s="52"/>
      <c r="P1530" s="60" t="s">
        <v>383</v>
      </c>
      <c r="Q1530" s="55">
        <f>-VLOOKUP(E1530,'NI-Soc_SP'!$C:$AN,12,FALSE)</f>
        <v>0</v>
      </c>
      <c r="R1530" s="55">
        <f>-VLOOKUP(E1530,'NI-Soc_SP'!$C:$AN,13,FALSE)</f>
        <v>0</v>
      </c>
      <c r="S1530" s="55"/>
      <c r="T1530" s="55"/>
      <c r="U1530" s="55">
        <f>VLOOKUP($E1530,'NI-Soc_SP'!$C:$AN,MID(U$1,1,2),FALSE)</f>
        <v>0</v>
      </c>
      <c r="V1530" s="55">
        <f>VLOOKUP($E1530,'NI-Soc_SP'!$C:$AN,MID(V$1,1,2),FALSE)</f>
        <v>0</v>
      </c>
      <c r="W1530" s="55">
        <f>VLOOKUP($E1530,'NI-Soc_SP'!$C:$AN,MID(W$1,1,2),FALSE)</f>
        <v>0</v>
      </c>
      <c r="X1530" s="55">
        <f>VLOOKUP($E1530,'NI-Soc_SP'!$C:$AN,MID(X$1,1,2),FALSE)</f>
        <v>0</v>
      </c>
      <c r="Y1530" s="55">
        <f>VLOOKUP($E1530,'NI-Soc_SP'!$C:$AN,MID(Y$1,1,2),FALSE)</f>
        <v>0</v>
      </c>
      <c r="Z1530" s="55">
        <f>VLOOKUP($E1530,'NI-Soc_SP'!$C:$AN,MID(Z$1,1,2),FALSE)</f>
        <v>0</v>
      </c>
      <c r="AA1530" s="55">
        <f>VLOOKUP($E1530,'NI-Soc_SP'!$C:$AN,MID(AA$1,1,2),FALSE)</f>
        <v>0</v>
      </c>
      <c r="AB1530" s="55">
        <f>VLOOKUP($E1530,'NI-Soc_SP'!$C:$AN,MID(AB$1,1,2),FALSE)</f>
        <v>0</v>
      </c>
      <c r="AC1530" s="55">
        <f>VLOOKUP($E1530,'NI-Soc_SP'!$C:$AN,MID(AC$1,1,2),FALSE)</f>
        <v>0</v>
      </c>
      <c r="AD1530" s="55">
        <f>VLOOKUP($E1530,'NI-Soc_SP'!$C:$AN,MID(AD$1,1,2),FALSE)</f>
        <v>0</v>
      </c>
      <c r="AE1530" s="55">
        <f>VLOOKUP($E1530,'NI-Soc_SP'!$C:$AN,MID(AE$1,1,2),FALSE)</f>
        <v>0</v>
      </c>
      <c r="AF1530" s="55">
        <f>VLOOKUP($E1530,'NI-Soc_SP'!$C:$AN,MID(AF$1,1,2),FALSE)</f>
        <v>0</v>
      </c>
      <c r="AG1530" s="55">
        <f>VLOOKUP($E1530,'NI-Soc_SP'!$C:$AN,MID(AG$1,1,2),FALSE)</f>
        <v>0</v>
      </c>
      <c r="AH1530" s="55">
        <f>VLOOKUP($E1530,'NI-Soc_SP'!$C:$AN,MID(AH$1,1,2),FALSE)</f>
        <v>0</v>
      </c>
      <c r="AI1530" s="55">
        <f>VLOOKUP($E1530,'NI-Soc_SP'!$C:$AN,MID(AI$1,1,2),FALSE)</f>
        <v>0</v>
      </c>
      <c r="AJ1530" s="55">
        <f>VLOOKUP($E1530,'NI-Soc_SP'!$C:$AN,MID(AJ$1,1,2),FALSE)</f>
        <v>0</v>
      </c>
      <c r="AK1530" s="55">
        <f>VLOOKUP($E1530,'NI-Soc_SP'!$C:$AN,MID(AK$1,1,2),FALSE)</f>
        <v>0</v>
      </c>
      <c r="AL1530" s="55">
        <f>VLOOKUP($E1530,'NI-Soc_SP'!$C:$AN,MID(AL$1,1,2),FALSE)</f>
        <v>0</v>
      </c>
      <c r="AM1530" s="56">
        <f>VLOOKUP($E1530,'NI-Soc_SP'!$C:$AN,MID(AM$1,1,2),FALSE)</f>
        <v>0</v>
      </c>
      <c r="AN1530" s="30" t="str">
        <f t="shared" si="23"/>
        <v>10106000000000</v>
      </c>
    </row>
    <row r="1531" spans="3:40" x14ac:dyDescent="0.25">
      <c r="C1531" s="40"/>
      <c r="D1531" s="121" t="s">
        <v>384</v>
      </c>
      <c r="E1531" s="121" t="s">
        <v>385</v>
      </c>
      <c r="F1531" s="122" t="s">
        <v>2758</v>
      </c>
      <c r="G1531" s="52"/>
      <c r="H1531" s="52"/>
      <c r="I1531" s="52" t="s">
        <v>386</v>
      </c>
      <c r="J1531" s="52"/>
      <c r="K1531" s="59" t="s">
        <v>111</v>
      </c>
      <c r="L1531" s="62" t="s">
        <v>387</v>
      </c>
      <c r="M1531" s="52"/>
      <c r="N1531" s="52"/>
      <c r="O1531" s="61" t="s">
        <v>121</v>
      </c>
      <c r="P1531" s="60" t="s">
        <v>388</v>
      </c>
      <c r="Q1531" s="55">
        <f>-VLOOKUP(E1531,'NI-Soc_SP'!$C:$AN,12,FALSE)</f>
        <v>0</v>
      </c>
      <c r="R1531" s="55">
        <f>-VLOOKUP(E1531,'NI-Soc_SP'!$C:$AN,13,FALSE)</f>
        <v>0</v>
      </c>
      <c r="S1531" s="55"/>
      <c r="T1531" s="55"/>
      <c r="U1531" s="55">
        <f>VLOOKUP($E1531,'NI-Soc_SP'!$C:$AN,MID(U$1,1,2),FALSE)</f>
        <v>0</v>
      </c>
      <c r="V1531" s="55">
        <f>VLOOKUP($E1531,'NI-Soc_SP'!$C:$AN,MID(V$1,1,2),FALSE)</f>
        <v>0</v>
      </c>
      <c r="W1531" s="55">
        <f>VLOOKUP($E1531,'NI-Soc_SP'!$C:$AN,MID(W$1,1,2),FALSE)</f>
        <v>0</v>
      </c>
      <c r="X1531" s="55">
        <f>VLOOKUP($E1531,'NI-Soc_SP'!$C:$AN,MID(X$1,1,2),FALSE)</f>
        <v>0</v>
      </c>
      <c r="Y1531" s="55">
        <f>VLOOKUP($E1531,'NI-Soc_SP'!$C:$AN,MID(Y$1,1,2),FALSE)</f>
        <v>0</v>
      </c>
      <c r="Z1531" s="55">
        <f>VLOOKUP($E1531,'NI-Soc_SP'!$C:$AN,MID(Z$1,1,2),FALSE)</f>
        <v>0</v>
      </c>
      <c r="AA1531" s="55">
        <f>VLOOKUP($E1531,'NI-Soc_SP'!$C:$AN,MID(AA$1,1,2),FALSE)</f>
        <v>0</v>
      </c>
      <c r="AB1531" s="55">
        <f>VLOOKUP($E1531,'NI-Soc_SP'!$C:$AN,MID(AB$1,1,2),FALSE)</f>
        <v>0</v>
      </c>
      <c r="AC1531" s="55">
        <f>VLOOKUP($E1531,'NI-Soc_SP'!$C:$AN,MID(AC$1,1,2),FALSE)</f>
        <v>0</v>
      </c>
      <c r="AD1531" s="55">
        <f>VLOOKUP($E1531,'NI-Soc_SP'!$C:$AN,MID(AD$1,1,2),FALSE)</f>
        <v>0</v>
      </c>
      <c r="AE1531" s="55">
        <f>VLOOKUP($E1531,'NI-Soc_SP'!$C:$AN,MID(AE$1,1,2),FALSE)</f>
        <v>0</v>
      </c>
      <c r="AF1531" s="55">
        <f>VLOOKUP($E1531,'NI-Soc_SP'!$C:$AN,MID(AF$1,1,2),FALSE)</f>
        <v>0</v>
      </c>
      <c r="AG1531" s="55">
        <f>VLOOKUP($E1531,'NI-Soc_SP'!$C:$AN,MID(AG$1,1,2),FALSE)</f>
        <v>0</v>
      </c>
      <c r="AH1531" s="55">
        <f>VLOOKUP($E1531,'NI-Soc_SP'!$C:$AN,MID(AH$1,1,2),FALSE)</f>
        <v>0</v>
      </c>
      <c r="AI1531" s="55">
        <f>VLOOKUP($E1531,'NI-Soc_SP'!$C:$AN,MID(AI$1,1,2),FALSE)</f>
        <v>0</v>
      </c>
      <c r="AJ1531" s="55">
        <f>VLOOKUP($E1531,'NI-Soc_SP'!$C:$AN,MID(AJ$1,1,2),FALSE)</f>
        <v>0</v>
      </c>
      <c r="AK1531" s="55">
        <f>VLOOKUP($E1531,'NI-Soc_SP'!$C:$AN,MID(AK$1,1,2),FALSE)</f>
        <v>0</v>
      </c>
      <c r="AL1531" s="55">
        <f>VLOOKUP($E1531,'NI-Soc_SP'!$C:$AN,MID(AL$1,1,2),FALSE)</f>
        <v>0</v>
      </c>
      <c r="AM1531" s="56">
        <f>VLOOKUP($E1531,'NI-Soc_SP'!$C:$AN,MID(AM$1,1,2),FALSE)</f>
        <v>0</v>
      </c>
      <c r="AN1531" s="30" t="str">
        <f t="shared" si="23"/>
        <v>10106010000000</v>
      </c>
    </row>
    <row r="1532" spans="3:40" x14ac:dyDescent="0.25">
      <c r="C1532" s="40"/>
      <c r="D1532" s="121" t="s">
        <v>389</v>
      </c>
      <c r="E1532" s="121" t="s">
        <v>390</v>
      </c>
      <c r="F1532" s="122" t="s">
        <v>2758</v>
      </c>
      <c r="G1532" s="52"/>
      <c r="H1532" s="52"/>
      <c r="I1532" s="52"/>
      <c r="J1532" s="52"/>
      <c r="K1532" s="59" t="s">
        <v>79</v>
      </c>
      <c r="L1532" s="52"/>
      <c r="M1532" s="52"/>
      <c r="N1532" s="52"/>
      <c r="O1532" s="52"/>
      <c r="P1532" s="63" t="s">
        <v>391</v>
      </c>
      <c r="Q1532" s="55">
        <f>-VLOOKUP(E1532,'NI-Soc_SP'!$C:$AN,12,FALSE)</f>
        <v>0</v>
      </c>
      <c r="R1532" s="55">
        <f>-VLOOKUP(E1532,'NI-Soc_SP'!$C:$AN,13,FALSE)</f>
        <v>0</v>
      </c>
      <c r="S1532" s="55"/>
      <c r="T1532" s="55"/>
      <c r="U1532" s="55">
        <f>VLOOKUP($E1532,'NI-Soc_SP'!$C:$AN,MID(U$1,1,2),FALSE)</f>
        <v>0</v>
      </c>
      <c r="V1532" s="55">
        <f>VLOOKUP($E1532,'NI-Soc_SP'!$C:$AN,MID(V$1,1,2),FALSE)</f>
        <v>0</v>
      </c>
      <c r="W1532" s="55">
        <f>VLOOKUP($E1532,'NI-Soc_SP'!$C:$AN,MID(W$1,1,2),FALSE)</f>
        <v>0</v>
      </c>
      <c r="X1532" s="55">
        <f>VLOOKUP($E1532,'NI-Soc_SP'!$C:$AN,MID(X$1,1,2),FALSE)</f>
        <v>0</v>
      </c>
      <c r="Y1532" s="55">
        <f>VLOOKUP($E1532,'NI-Soc_SP'!$C:$AN,MID(Y$1,1,2),FALSE)</f>
        <v>0</v>
      </c>
      <c r="Z1532" s="55">
        <f>VLOOKUP($E1532,'NI-Soc_SP'!$C:$AN,MID(Z$1,1,2),FALSE)</f>
        <v>0</v>
      </c>
      <c r="AA1532" s="55">
        <f>VLOOKUP($E1532,'NI-Soc_SP'!$C:$AN,MID(AA$1,1,2),FALSE)</f>
        <v>0</v>
      </c>
      <c r="AB1532" s="55">
        <f>VLOOKUP($E1532,'NI-Soc_SP'!$C:$AN,MID(AB$1,1,2),FALSE)</f>
        <v>0</v>
      </c>
      <c r="AC1532" s="55">
        <f>VLOOKUP($E1532,'NI-Soc_SP'!$C:$AN,MID(AC$1,1,2),FALSE)</f>
        <v>0</v>
      </c>
      <c r="AD1532" s="55">
        <f>VLOOKUP($E1532,'NI-Soc_SP'!$C:$AN,MID(AD$1,1,2),FALSE)</f>
        <v>0</v>
      </c>
      <c r="AE1532" s="55">
        <f>VLOOKUP($E1532,'NI-Soc_SP'!$C:$AN,MID(AE$1,1,2),FALSE)</f>
        <v>0</v>
      </c>
      <c r="AF1532" s="55">
        <f>VLOOKUP($E1532,'NI-Soc_SP'!$C:$AN,MID(AF$1,1,2),FALSE)</f>
        <v>0</v>
      </c>
      <c r="AG1532" s="55">
        <f>VLOOKUP($E1532,'NI-Soc_SP'!$C:$AN,MID(AG$1,1,2),FALSE)</f>
        <v>0</v>
      </c>
      <c r="AH1532" s="55">
        <f>VLOOKUP($E1532,'NI-Soc_SP'!$C:$AN,MID(AH$1,1,2),FALSE)</f>
        <v>0</v>
      </c>
      <c r="AI1532" s="55">
        <f>VLOOKUP($E1532,'NI-Soc_SP'!$C:$AN,MID(AI$1,1,2),FALSE)</f>
        <v>0</v>
      </c>
      <c r="AJ1532" s="55">
        <f>VLOOKUP($E1532,'NI-Soc_SP'!$C:$AN,MID(AJ$1,1,2),FALSE)</f>
        <v>0</v>
      </c>
      <c r="AK1532" s="55">
        <f>VLOOKUP($E1532,'NI-Soc_SP'!$C:$AN,MID(AK$1,1,2),FALSE)</f>
        <v>0</v>
      </c>
      <c r="AL1532" s="55">
        <f>VLOOKUP($E1532,'NI-Soc_SP'!$C:$AN,MID(AL$1,1,2),FALSE)</f>
        <v>0</v>
      </c>
      <c r="AM1532" s="56">
        <f>VLOOKUP($E1532,'NI-Soc_SP'!$C:$AN,MID(AM$1,1,2),FALSE)</f>
        <v>0</v>
      </c>
      <c r="AN1532" s="30" t="str">
        <f t="shared" si="23"/>
        <v>10106010010000</v>
      </c>
    </row>
    <row r="1533" spans="3:40" x14ac:dyDescent="0.25">
      <c r="C1533" s="40"/>
      <c r="D1533" s="121" t="s">
        <v>392</v>
      </c>
      <c r="E1533" s="121" t="s">
        <v>393</v>
      </c>
      <c r="F1533" s="122" t="s">
        <v>2758</v>
      </c>
      <c r="G1533" s="52"/>
      <c r="H1533" s="52"/>
      <c r="I1533" s="52"/>
      <c r="J1533" s="52"/>
      <c r="K1533" s="59" t="s">
        <v>79</v>
      </c>
      <c r="L1533" s="52"/>
      <c r="M1533" s="52"/>
      <c r="N1533" s="52"/>
      <c r="O1533" s="52"/>
      <c r="P1533" s="63" t="s">
        <v>394</v>
      </c>
      <c r="Q1533" s="55">
        <f>-VLOOKUP(E1533,'NI-Soc_SP'!$C:$AN,12,FALSE)</f>
        <v>0</v>
      </c>
      <c r="R1533" s="55">
        <f>-VLOOKUP(E1533,'NI-Soc_SP'!$C:$AN,13,FALSE)</f>
        <v>0</v>
      </c>
      <c r="S1533" s="55"/>
      <c r="T1533" s="55"/>
      <c r="U1533" s="55">
        <f>VLOOKUP($E1533,'NI-Soc_SP'!$C:$AN,MID(U$1,1,2),FALSE)</f>
        <v>0</v>
      </c>
      <c r="V1533" s="55">
        <f>VLOOKUP($E1533,'NI-Soc_SP'!$C:$AN,MID(V$1,1,2),FALSE)</f>
        <v>0</v>
      </c>
      <c r="W1533" s="55">
        <f>VLOOKUP($E1533,'NI-Soc_SP'!$C:$AN,MID(W$1,1,2),FALSE)</f>
        <v>0</v>
      </c>
      <c r="X1533" s="55">
        <f>VLOOKUP($E1533,'NI-Soc_SP'!$C:$AN,MID(X$1,1,2),FALSE)</f>
        <v>0</v>
      </c>
      <c r="Y1533" s="55">
        <f>VLOOKUP($E1533,'NI-Soc_SP'!$C:$AN,MID(Y$1,1,2),FALSE)</f>
        <v>0</v>
      </c>
      <c r="Z1533" s="55">
        <f>VLOOKUP($E1533,'NI-Soc_SP'!$C:$AN,MID(Z$1,1,2),FALSE)</f>
        <v>0</v>
      </c>
      <c r="AA1533" s="55">
        <f>VLOOKUP($E1533,'NI-Soc_SP'!$C:$AN,MID(AA$1,1,2),FALSE)</f>
        <v>0</v>
      </c>
      <c r="AB1533" s="55">
        <f>VLOOKUP($E1533,'NI-Soc_SP'!$C:$AN,MID(AB$1,1,2),FALSE)</f>
        <v>0</v>
      </c>
      <c r="AC1533" s="55">
        <f>VLOOKUP($E1533,'NI-Soc_SP'!$C:$AN,MID(AC$1,1,2),FALSE)</f>
        <v>0</v>
      </c>
      <c r="AD1533" s="55">
        <f>VLOOKUP($E1533,'NI-Soc_SP'!$C:$AN,MID(AD$1,1,2),FALSE)</f>
        <v>0</v>
      </c>
      <c r="AE1533" s="55">
        <f>VLOOKUP($E1533,'NI-Soc_SP'!$C:$AN,MID(AE$1,1,2),FALSE)</f>
        <v>0</v>
      </c>
      <c r="AF1533" s="55">
        <f>VLOOKUP($E1533,'NI-Soc_SP'!$C:$AN,MID(AF$1,1,2),FALSE)</f>
        <v>0</v>
      </c>
      <c r="AG1533" s="55">
        <f>VLOOKUP($E1533,'NI-Soc_SP'!$C:$AN,MID(AG$1,1,2),FALSE)</f>
        <v>0</v>
      </c>
      <c r="AH1533" s="55">
        <f>VLOOKUP($E1533,'NI-Soc_SP'!$C:$AN,MID(AH$1,1,2),FALSE)</f>
        <v>0</v>
      </c>
      <c r="AI1533" s="55">
        <f>VLOOKUP($E1533,'NI-Soc_SP'!$C:$AN,MID(AI$1,1,2),FALSE)</f>
        <v>0</v>
      </c>
      <c r="AJ1533" s="55">
        <f>VLOOKUP($E1533,'NI-Soc_SP'!$C:$AN,MID(AJ$1,1,2),FALSE)</f>
        <v>0</v>
      </c>
      <c r="AK1533" s="55">
        <f>VLOOKUP($E1533,'NI-Soc_SP'!$C:$AN,MID(AK$1,1,2),FALSE)</f>
        <v>0</v>
      </c>
      <c r="AL1533" s="55">
        <f>VLOOKUP($E1533,'NI-Soc_SP'!$C:$AN,MID(AL$1,1,2),FALSE)</f>
        <v>0</v>
      </c>
      <c r="AM1533" s="56">
        <f>VLOOKUP($E1533,'NI-Soc_SP'!$C:$AN,MID(AM$1,1,2),FALSE)</f>
        <v>0</v>
      </c>
      <c r="AN1533" s="30" t="str">
        <f t="shared" si="23"/>
        <v>10106010020000</v>
      </c>
    </row>
    <row r="1534" spans="3:40" x14ac:dyDescent="0.25">
      <c r="C1534" s="40"/>
      <c r="D1534" s="121" t="s">
        <v>395</v>
      </c>
      <c r="E1534" s="121" t="s">
        <v>396</v>
      </c>
      <c r="F1534" s="122" t="s">
        <v>2758</v>
      </c>
      <c r="G1534" s="52"/>
      <c r="H1534" s="52"/>
      <c r="I1534" s="52" t="s">
        <v>397</v>
      </c>
      <c r="J1534" s="52"/>
      <c r="K1534" s="59" t="s">
        <v>111</v>
      </c>
      <c r="L1534" s="62" t="s">
        <v>398</v>
      </c>
      <c r="M1534" s="52"/>
      <c r="N1534" s="52"/>
      <c r="O1534" s="61" t="s">
        <v>147</v>
      </c>
      <c r="P1534" s="60" t="s">
        <v>399</v>
      </c>
      <c r="Q1534" s="55">
        <f>-VLOOKUP(E1534,'NI-Soc_SP'!$C:$AN,12,FALSE)</f>
        <v>0</v>
      </c>
      <c r="R1534" s="55">
        <f>-VLOOKUP(E1534,'NI-Soc_SP'!$C:$AN,13,FALSE)</f>
        <v>0</v>
      </c>
      <c r="S1534" s="55"/>
      <c r="T1534" s="55"/>
      <c r="U1534" s="55">
        <f>VLOOKUP($E1534,'NI-Soc_SP'!$C:$AN,MID(U$1,1,2),FALSE)</f>
        <v>0</v>
      </c>
      <c r="V1534" s="55">
        <f>VLOOKUP($E1534,'NI-Soc_SP'!$C:$AN,MID(V$1,1,2),FALSE)</f>
        <v>0</v>
      </c>
      <c r="W1534" s="55">
        <f>VLOOKUP($E1534,'NI-Soc_SP'!$C:$AN,MID(W$1,1,2),FALSE)</f>
        <v>0</v>
      </c>
      <c r="X1534" s="55">
        <f>VLOOKUP($E1534,'NI-Soc_SP'!$C:$AN,MID(X$1,1,2),FALSE)</f>
        <v>0</v>
      </c>
      <c r="Y1534" s="55">
        <f>VLOOKUP($E1534,'NI-Soc_SP'!$C:$AN,MID(Y$1,1,2),FALSE)</f>
        <v>0</v>
      </c>
      <c r="Z1534" s="55">
        <f>VLOOKUP($E1534,'NI-Soc_SP'!$C:$AN,MID(Z$1,1,2),FALSE)</f>
        <v>0</v>
      </c>
      <c r="AA1534" s="55">
        <f>VLOOKUP($E1534,'NI-Soc_SP'!$C:$AN,MID(AA$1,1,2),FALSE)</f>
        <v>0</v>
      </c>
      <c r="AB1534" s="55">
        <f>VLOOKUP($E1534,'NI-Soc_SP'!$C:$AN,MID(AB$1,1,2),FALSE)</f>
        <v>0</v>
      </c>
      <c r="AC1534" s="55">
        <f>VLOOKUP($E1534,'NI-Soc_SP'!$C:$AN,MID(AC$1,1,2),FALSE)</f>
        <v>0</v>
      </c>
      <c r="AD1534" s="55">
        <f>VLOOKUP($E1534,'NI-Soc_SP'!$C:$AN,MID(AD$1,1,2),FALSE)</f>
        <v>0</v>
      </c>
      <c r="AE1534" s="55">
        <f>VLOOKUP($E1534,'NI-Soc_SP'!$C:$AN,MID(AE$1,1,2),FALSE)</f>
        <v>0</v>
      </c>
      <c r="AF1534" s="55">
        <f>VLOOKUP($E1534,'NI-Soc_SP'!$C:$AN,MID(AF$1,1,2),FALSE)</f>
        <v>0</v>
      </c>
      <c r="AG1534" s="55">
        <f>VLOOKUP($E1534,'NI-Soc_SP'!$C:$AN,MID(AG$1,1,2),FALSE)</f>
        <v>0</v>
      </c>
      <c r="AH1534" s="55">
        <f>VLOOKUP($E1534,'NI-Soc_SP'!$C:$AN,MID(AH$1,1,2),FALSE)</f>
        <v>0</v>
      </c>
      <c r="AI1534" s="55">
        <f>VLOOKUP($E1534,'NI-Soc_SP'!$C:$AN,MID(AI$1,1,2),FALSE)</f>
        <v>0</v>
      </c>
      <c r="AJ1534" s="55">
        <f>VLOOKUP($E1534,'NI-Soc_SP'!$C:$AN,MID(AJ$1,1,2),FALSE)</f>
        <v>0</v>
      </c>
      <c r="AK1534" s="55">
        <f>VLOOKUP($E1534,'NI-Soc_SP'!$C:$AN,MID(AK$1,1,2),FALSE)</f>
        <v>0</v>
      </c>
      <c r="AL1534" s="55">
        <f>VLOOKUP($E1534,'NI-Soc_SP'!$C:$AN,MID(AL$1,1,2),FALSE)</f>
        <v>0</v>
      </c>
      <c r="AM1534" s="56">
        <f>VLOOKUP($E1534,'NI-Soc_SP'!$C:$AN,MID(AM$1,1,2),FALSE)</f>
        <v>0</v>
      </c>
      <c r="AN1534" s="30" t="str">
        <f t="shared" si="23"/>
        <v>10106020000000</v>
      </c>
    </row>
    <row r="1535" spans="3:40" x14ac:dyDescent="0.25">
      <c r="C1535" s="40"/>
      <c r="D1535" s="121" t="s">
        <v>400</v>
      </c>
      <c r="E1535" s="121" t="s">
        <v>401</v>
      </c>
      <c r="F1535" s="122" t="s">
        <v>2758</v>
      </c>
      <c r="G1535" s="52"/>
      <c r="H1535" s="52"/>
      <c r="I1535" s="52"/>
      <c r="J1535" s="52"/>
      <c r="K1535" s="59" t="s">
        <v>79</v>
      </c>
      <c r="L1535" s="52"/>
      <c r="M1535" s="52"/>
      <c r="N1535" s="52"/>
      <c r="O1535" s="52"/>
      <c r="P1535" s="63" t="s">
        <v>402</v>
      </c>
      <c r="Q1535" s="55">
        <f>-VLOOKUP(E1535,'NI-Soc_SP'!$C:$AN,12,FALSE)</f>
        <v>0</v>
      </c>
      <c r="R1535" s="55">
        <f>-VLOOKUP(E1535,'NI-Soc_SP'!$C:$AN,13,FALSE)</f>
        <v>0</v>
      </c>
      <c r="S1535" s="55"/>
      <c r="T1535" s="55"/>
      <c r="U1535" s="55">
        <f>VLOOKUP($E1535,'NI-Soc_SP'!$C:$AN,MID(U$1,1,2),FALSE)</f>
        <v>0</v>
      </c>
      <c r="V1535" s="55">
        <f>VLOOKUP($E1535,'NI-Soc_SP'!$C:$AN,MID(V$1,1,2),FALSE)</f>
        <v>0</v>
      </c>
      <c r="W1535" s="55">
        <f>VLOOKUP($E1535,'NI-Soc_SP'!$C:$AN,MID(W$1,1,2),FALSE)</f>
        <v>0</v>
      </c>
      <c r="X1535" s="55">
        <f>VLOOKUP($E1535,'NI-Soc_SP'!$C:$AN,MID(X$1,1,2),FALSE)</f>
        <v>0</v>
      </c>
      <c r="Y1535" s="55">
        <f>VLOOKUP($E1535,'NI-Soc_SP'!$C:$AN,MID(Y$1,1,2),FALSE)</f>
        <v>0</v>
      </c>
      <c r="Z1535" s="55">
        <f>VLOOKUP($E1535,'NI-Soc_SP'!$C:$AN,MID(Z$1,1,2),FALSE)</f>
        <v>0</v>
      </c>
      <c r="AA1535" s="55">
        <f>VLOOKUP($E1535,'NI-Soc_SP'!$C:$AN,MID(AA$1,1,2),FALSE)</f>
        <v>0</v>
      </c>
      <c r="AB1535" s="55">
        <f>VLOOKUP($E1535,'NI-Soc_SP'!$C:$AN,MID(AB$1,1,2),FALSE)</f>
        <v>0</v>
      </c>
      <c r="AC1535" s="55">
        <f>VLOOKUP($E1535,'NI-Soc_SP'!$C:$AN,MID(AC$1,1,2),FALSE)</f>
        <v>0</v>
      </c>
      <c r="AD1535" s="55">
        <f>VLOOKUP($E1535,'NI-Soc_SP'!$C:$AN,MID(AD$1,1,2),FALSE)</f>
        <v>0</v>
      </c>
      <c r="AE1535" s="55">
        <f>VLOOKUP($E1535,'NI-Soc_SP'!$C:$AN,MID(AE$1,1,2),FALSE)</f>
        <v>0</v>
      </c>
      <c r="AF1535" s="55">
        <f>VLOOKUP($E1535,'NI-Soc_SP'!$C:$AN,MID(AF$1,1,2),FALSE)</f>
        <v>0</v>
      </c>
      <c r="AG1535" s="55">
        <f>VLOOKUP($E1535,'NI-Soc_SP'!$C:$AN,MID(AG$1,1,2),FALSE)</f>
        <v>0</v>
      </c>
      <c r="AH1535" s="55">
        <f>VLOOKUP($E1535,'NI-Soc_SP'!$C:$AN,MID(AH$1,1,2),FALSE)</f>
        <v>0</v>
      </c>
      <c r="AI1535" s="55">
        <f>VLOOKUP($E1535,'NI-Soc_SP'!$C:$AN,MID(AI$1,1,2),FALSE)</f>
        <v>0</v>
      </c>
      <c r="AJ1535" s="55">
        <f>VLOOKUP($E1535,'NI-Soc_SP'!$C:$AN,MID(AJ$1,1,2),FALSE)</f>
        <v>0</v>
      </c>
      <c r="AK1535" s="55">
        <f>VLOOKUP($E1535,'NI-Soc_SP'!$C:$AN,MID(AK$1,1,2),FALSE)</f>
        <v>0</v>
      </c>
      <c r="AL1535" s="55">
        <f>VLOOKUP($E1535,'NI-Soc_SP'!$C:$AN,MID(AL$1,1,2),FALSE)</f>
        <v>0</v>
      </c>
      <c r="AM1535" s="56">
        <f>VLOOKUP($E1535,'NI-Soc_SP'!$C:$AN,MID(AM$1,1,2),FALSE)</f>
        <v>0</v>
      </c>
      <c r="AN1535" s="30" t="str">
        <f t="shared" si="23"/>
        <v>10106020010000</v>
      </c>
    </row>
    <row r="1536" spans="3:40" x14ac:dyDescent="0.25">
      <c r="C1536" s="40"/>
      <c r="D1536" s="121" t="s">
        <v>403</v>
      </c>
      <c r="E1536" s="121" t="s">
        <v>404</v>
      </c>
      <c r="F1536" s="122" t="s">
        <v>2758</v>
      </c>
      <c r="G1536" s="52"/>
      <c r="H1536" s="52"/>
      <c r="I1536" s="52"/>
      <c r="J1536" s="52"/>
      <c r="K1536" s="59" t="s">
        <v>79</v>
      </c>
      <c r="L1536" s="52"/>
      <c r="M1536" s="52"/>
      <c r="N1536" s="52"/>
      <c r="O1536" s="52"/>
      <c r="P1536" s="63" t="s">
        <v>405</v>
      </c>
      <c r="Q1536" s="55">
        <f>-VLOOKUP(E1536,'NI-Soc_SP'!$C:$AN,12,FALSE)</f>
        <v>0</v>
      </c>
      <c r="R1536" s="55">
        <f>-VLOOKUP(E1536,'NI-Soc_SP'!$C:$AN,13,FALSE)</f>
        <v>0</v>
      </c>
      <c r="S1536" s="55"/>
      <c r="T1536" s="55"/>
      <c r="U1536" s="55">
        <f>VLOOKUP($E1536,'NI-Soc_SP'!$C:$AN,MID(U$1,1,2),FALSE)</f>
        <v>0</v>
      </c>
      <c r="V1536" s="55">
        <f>VLOOKUP($E1536,'NI-Soc_SP'!$C:$AN,MID(V$1,1,2),FALSE)</f>
        <v>0</v>
      </c>
      <c r="W1536" s="55">
        <f>VLOOKUP($E1536,'NI-Soc_SP'!$C:$AN,MID(W$1,1,2),FALSE)</f>
        <v>0</v>
      </c>
      <c r="X1536" s="55">
        <f>VLOOKUP($E1536,'NI-Soc_SP'!$C:$AN,MID(X$1,1,2),FALSE)</f>
        <v>0</v>
      </c>
      <c r="Y1536" s="55">
        <f>VLOOKUP($E1536,'NI-Soc_SP'!$C:$AN,MID(Y$1,1,2),FALSE)</f>
        <v>0</v>
      </c>
      <c r="Z1536" s="55">
        <f>VLOOKUP($E1536,'NI-Soc_SP'!$C:$AN,MID(Z$1,1,2),FALSE)</f>
        <v>0</v>
      </c>
      <c r="AA1536" s="55">
        <f>VLOOKUP($E1536,'NI-Soc_SP'!$C:$AN,MID(AA$1,1,2),FALSE)</f>
        <v>0</v>
      </c>
      <c r="AB1536" s="55">
        <f>VLOOKUP($E1536,'NI-Soc_SP'!$C:$AN,MID(AB$1,1,2),FALSE)</f>
        <v>0</v>
      </c>
      <c r="AC1536" s="55">
        <f>VLOOKUP($E1536,'NI-Soc_SP'!$C:$AN,MID(AC$1,1,2),FALSE)</f>
        <v>0</v>
      </c>
      <c r="AD1536" s="55">
        <f>VLOOKUP($E1536,'NI-Soc_SP'!$C:$AN,MID(AD$1,1,2),FALSE)</f>
        <v>0</v>
      </c>
      <c r="AE1536" s="55">
        <f>VLOOKUP($E1536,'NI-Soc_SP'!$C:$AN,MID(AE$1,1,2),FALSE)</f>
        <v>0</v>
      </c>
      <c r="AF1536" s="55">
        <f>VLOOKUP($E1536,'NI-Soc_SP'!$C:$AN,MID(AF$1,1,2),FALSE)</f>
        <v>0</v>
      </c>
      <c r="AG1536" s="55">
        <f>VLOOKUP($E1536,'NI-Soc_SP'!$C:$AN,MID(AG$1,1,2),FALSE)</f>
        <v>0</v>
      </c>
      <c r="AH1536" s="55">
        <f>VLOOKUP($E1536,'NI-Soc_SP'!$C:$AN,MID(AH$1,1,2),FALSE)</f>
        <v>0</v>
      </c>
      <c r="AI1536" s="55">
        <f>VLOOKUP($E1536,'NI-Soc_SP'!$C:$AN,MID(AI$1,1,2),FALSE)</f>
        <v>0</v>
      </c>
      <c r="AJ1536" s="55">
        <f>VLOOKUP($E1536,'NI-Soc_SP'!$C:$AN,MID(AJ$1,1,2),FALSE)</f>
        <v>0</v>
      </c>
      <c r="AK1536" s="55">
        <f>VLOOKUP($E1536,'NI-Soc_SP'!$C:$AN,MID(AK$1,1,2),FALSE)</f>
        <v>0</v>
      </c>
      <c r="AL1536" s="55">
        <f>VLOOKUP($E1536,'NI-Soc_SP'!$C:$AN,MID(AL$1,1,2),FALSE)</f>
        <v>0</v>
      </c>
      <c r="AM1536" s="56">
        <f>VLOOKUP($E1536,'NI-Soc_SP'!$C:$AN,MID(AM$1,1,2),FALSE)</f>
        <v>0</v>
      </c>
      <c r="AN1536" s="30" t="str">
        <f t="shared" si="23"/>
        <v>10106020020000</v>
      </c>
    </row>
    <row r="1537" spans="3:40" x14ac:dyDescent="0.25">
      <c r="C1537" s="40"/>
      <c r="D1537" s="121" t="s">
        <v>406</v>
      </c>
      <c r="E1537" s="121" t="s">
        <v>407</v>
      </c>
      <c r="F1537" s="122" t="s">
        <v>2758</v>
      </c>
      <c r="G1537" s="52"/>
      <c r="H1537" s="52"/>
      <c r="I1537" s="52" t="s">
        <v>408</v>
      </c>
      <c r="J1537" s="52"/>
      <c r="K1537" s="59" t="s">
        <v>111</v>
      </c>
      <c r="L1537" s="62" t="s">
        <v>409</v>
      </c>
      <c r="M1537" s="52"/>
      <c r="N1537" s="52"/>
      <c r="O1537" s="61" t="s">
        <v>173</v>
      </c>
      <c r="P1537" s="60" t="s">
        <v>410</v>
      </c>
      <c r="Q1537" s="55">
        <f>-VLOOKUP(E1537,'NI-Soc_SP'!$C:$AN,12,FALSE)</f>
        <v>0</v>
      </c>
      <c r="R1537" s="55">
        <f>-VLOOKUP(E1537,'NI-Soc_SP'!$C:$AN,13,FALSE)</f>
        <v>0</v>
      </c>
      <c r="S1537" s="55"/>
      <c r="T1537" s="55"/>
      <c r="U1537" s="55">
        <f>VLOOKUP($E1537,'NI-Soc_SP'!$C:$AN,MID(U$1,1,2),FALSE)</f>
        <v>0</v>
      </c>
      <c r="V1537" s="55">
        <f>VLOOKUP($E1537,'NI-Soc_SP'!$C:$AN,MID(V$1,1,2),FALSE)</f>
        <v>0</v>
      </c>
      <c r="W1537" s="55">
        <f>VLOOKUP($E1537,'NI-Soc_SP'!$C:$AN,MID(W$1,1,2),FALSE)</f>
        <v>0</v>
      </c>
      <c r="X1537" s="55">
        <f>VLOOKUP($E1537,'NI-Soc_SP'!$C:$AN,MID(X$1,1,2),FALSE)</f>
        <v>0</v>
      </c>
      <c r="Y1537" s="55">
        <f>VLOOKUP($E1537,'NI-Soc_SP'!$C:$AN,MID(Y$1,1,2),FALSE)</f>
        <v>0</v>
      </c>
      <c r="Z1537" s="55">
        <f>VLOOKUP($E1537,'NI-Soc_SP'!$C:$AN,MID(Z$1,1,2),FALSE)</f>
        <v>0</v>
      </c>
      <c r="AA1537" s="55">
        <f>VLOOKUP($E1537,'NI-Soc_SP'!$C:$AN,MID(AA$1,1,2),FALSE)</f>
        <v>0</v>
      </c>
      <c r="AB1537" s="55">
        <f>VLOOKUP($E1537,'NI-Soc_SP'!$C:$AN,MID(AB$1,1,2),FALSE)</f>
        <v>0</v>
      </c>
      <c r="AC1537" s="55">
        <f>VLOOKUP($E1537,'NI-Soc_SP'!$C:$AN,MID(AC$1,1,2),FALSE)</f>
        <v>0</v>
      </c>
      <c r="AD1537" s="55">
        <f>VLOOKUP($E1537,'NI-Soc_SP'!$C:$AN,MID(AD$1,1,2),FALSE)</f>
        <v>0</v>
      </c>
      <c r="AE1537" s="55">
        <f>VLOOKUP($E1537,'NI-Soc_SP'!$C:$AN,MID(AE$1,1,2),FALSE)</f>
        <v>0</v>
      </c>
      <c r="AF1537" s="55">
        <f>VLOOKUP($E1537,'NI-Soc_SP'!$C:$AN,MID(AF$1,1,2),FALSE)</f>
        <v>0</v>
      </c>
      <c r="AG1537" s="55">
        <f>VLOOKUP($E1537,'NI-Soc_SP'!$C:$AN,MID(AG$1,1,2),FALSE)</f>
        <v>0</v>
      </c>
      <c r="AH1537" s="55">
        <f>VLOOKUP($E1537,'NI-Soc_SP'!$C:$AN,MID(AH$1,1,2),FALSE)</f>
        <v>0</v>
      </c>
      <c r="AI1537" s="55">
        <f>VLOOKUP($E1537,'NI-Soc_SP'!$C:$AN,MID(AI$1,1,2),FALSE)</f>
        <v>0</v>
      </c>
      <c r="AJ1537" s="55">
        <f>VLOOKUP($E1537,'NI-Soc_SP'!$C:$AN,MID(AJ$1,1,2),FALSE)</f>
        <v>0</v>
      </c>
      <c r="AK1537" s="55">
        <f>VLOOKUP($E1537,'NI-Soc_SP'!$C:$AN,MID(AK$1,1,2),FALSE)</f>
        <v>0</v>
      </c>
      <c r="AL1537" s="55">
        <f>VLOOKUP($E1537,'NI-Soc_SP'!$C:$AN,MID(AL$1,1,2),FALSE)</f>
        <v>0</v>
      </c>
      <c r="AM1537" s="56">
        <f>VLOOKUP($E1537,'NI-Soc_SP'!$C:$AN,MID(AM$1,1,2),FALSE)</f>
        <v>0</v>
      </c>
      <c r="AN1537" s="30" t="str">
        <f t="shared" si="23"/>
        <v>10106030000000</v>
      </c>
    </row>
    <row r="1538" spans="3:40" x14ac:dyDescent="0.25">
      <c r="C1538" s="40"/>
      <c r="D1538" s="121" t="s">
        <v>411</v>
      </c>
      <c r="E1538" s="121" t="s">
        <v>412</v>
      </c>
      <c r="F1538" s="122" t="s">
        <v>2758</v>
      </c>
      <c r="G1538" s="52"/>
      <c r="H1538" s="52"/>
      <c r="I1538" s="52"/>
      <c r="J1538" s="52"/>
      <c r="K1538" s="59" t="s">
        <v>79</v>
      </c>
      <c r="L1538" s="52"/>
      <c r="M1538" s="52"/>
      <c r="N1538" s="52"/>
      <c r="O1538" s="52"/>
      <c r="P1538" s="63" t="s">
        <v>413</v>
      </c>
      <c r="Q1538" s="55">
        <f>-VLOOKUP(E1538,'NI-Soc_SP'!$C:$AN,12,FALSE)</f>
        <v>0</v>
      </c>
      <c r="R1538" s="55">
        <f>-VLOOKUP(E1538,'NI-Soc_SP'!$C:$AN,13,FALSE)</f>
        <v>0</v>
      </c>
      <c r="S1538" s="55"/>
      <c r="T1538" s="55"/>
      <c r="U1538" s="55">
        <f>VLOOKUP($E1538,'NI-Soc_SP'!$C:$AN,MID(U$1,1,2),FALSE)</f>
        <v>0</v>
      </c>
      <c r="V1538" s="55">
        <f>VLOOKUP($E1538,'NI-Soc_SP'!$C:$AN,MID(V$1,1,2),FALSE)</f>
        <v>0</v>
      </c>
      <c r="W1538" s="55">
        <f>VLOOKUP($E1538,'NI-Soc_SP'!$C:$AN,MID(W$1,1,2),FALSE)</f>
        <v>0</v>
      </c>
      <c r="X1538" s="55">
        <f>VLOOKUP($E1538,'NI-Soc_SP'!$C:$AN,MID(X$1,1,2),FALSE)</f>
        <v>0</v>
      </c>
      <c r="Y1538" s="55">
        <f>VLOOKUP($E1538,'NI-Soc_SP'!$C:$AN,MID(Y$1,1,2),FALSE)</f>
        <v>0</v>
      </c>
      <c r="Z1538" s="55">
        <f>VLOOKUP($E1538,'NI-Soc_SP'!$C:$AN,MID(Z$1,1,2),FALSE)</f>
        <v>0</v>
      </c>
      <c r="AA1538" s="55">
        <f>VLOOKUP($E1538,'NI-Soc_SP'!$C:$AN,MID(AA$1,1,2),FALSE)</f>
        <v>0</v>
      </c>
      <c r="AB1538" s="55">
        <f>VLOOKUP($E1538,'NI-Soc_SP'!$C:$AN,MID(AB$1,1,2),FALSE)</f>
        <v>0</v>
      </c>
      <c r="AC1538" s="55">
        <f>VLOOKUP($E1538,'NI-Soc_SP'!$C:$AN,MID(AC$1,1,2),FALSE)</f>
        <v>0</v>
      </c>
      <c r="AD1538" s="55">
        <f>VLOOKUP($E1538,'NI-Soc_SP'!$C:$AN,MID(AD$1,1,2),FALSE)</f>
        <v>0</v>
      </c>
      <c r="AE1538" s="55">
        <f>VLOOKUP($E1538,'NI-Soc_SP'!$C:$AN,MID(AE$1,1,2),FALSE)</f>
        <v>0</v>
      </c>
      <c r="AF1538" s="55">
        <f>VLOOKUP($E1538,'NI-Soc_SP'!$C:$AN,MID(AF$1,1,2),FALSE)</f>
        <v>0</v>
      </c>
      <c r="AG1538" s="55">
        <f>VLOOKUP($E1538,'NI-Soc_SP'!$C:$AN,MID(AG$1,1,2),FALSE)</f>
        <v>0</v>
      </c>
      <c r="AH1538" s="55">
        <f>VLOOKUP($E1538,'NI-Soc_SP'!$C:$AN,MID(AH$1,1,2),FALSE)</f>
        <v>0</v>
      </c>
      <c r="AI1538" s="55">
        <f>VLOOKUP($E1538,'NI-Soc_SP'!$C:$AN,MID(AI$1,1,2),FALSE)</f>
        <v>0</v>
      </c>
      <c r="AJ1538" s="55">
        <f>VLOOKUP($E1538,'NI-Soc_SP'!$C:$AN,MID(AJ$1,1,2),FALSE)</f>
        <v>0</v>
      </c>
      <c r="AK1538" s="55">
        <f>VLOOKUP($E1538,'NI-Soc_SP'!$C:$AN,MID(AK$1,1,2),FALSE)</f>
        <v>0</v>
      </c>
      <c r="AL1538" s="55">
        <f>VLOOKUP($E1538,'NI-Soc_SP'!$C:$AN,MID(AL$1,1,2),FALSE)</f>
        <v>0</v>
      </c>
      <c r="AM1538" s="56">
        <f>VLOOKUP($E1538,'NI-Soc_SP'!$C:$AN,MID(AM$1,1,2),FALSE)</f>
        <v>0</v>
      </c>
      <c r="AN1538" s="30" t="str">
        <f t="shared" ref="AN1538:AN1601" si="24">D1538</f>
        <v>10106030010000</v>
      </c>
    </row>
    <row r="1539" spans="3:40" x14ac:dyDescent="0.25">
      <c r="C1539" s="40"/>
      <c r="D1539" s="121" t="s">
        <v>414</v>
      </c>
      <c r="E1539" s="121" t="s">
        <v>415</v>
      </c>
      <c r="F1539" s="122" t="s">
        <v>2758</v>
      </c>
      <c r="G1539" s="52"/>
      <c r="H1539" s="52"/>
      <c r="I1539" s="52"/>
      <c r="J1539" s="52"/>
      <c r="K1539" s="59" t="s">
        <v>79</v>
      </c>
      <c r="L1539" s="52"/>
      <c r="M1539" s="52"/>
      <c r="N1539" s="52"/>
      <c r="O1539" s="52"/>
      <c r="P1539" s="63" t="s">
        <v>416</v>
      </c>
      <c r="Q1539" s="55">
        <f>-VLOOKUP(E1539,'NI-Soc_SP'!$C:$AN,12,FALSE)</f>
        <v>0</v>
      </c>
      <c r="R1539" s="55">
        <f>-VLOOKUP(E1539,'NI-Soc_SP'!$C:$AN,13,FALSE)</f>
        <v>0</v>
      </c>
      <c r="S1539" s="55"/>
      <c r="T1539" s="55"/>
      <c r="U1539" s="55">
        <f>VLOOKUP($E1539,'NI-Soc_SP'!$C:$AN,MID(U$1,1,2),FALSE)</f>
        <v>0</v>
      </c>
      <c r="V1539" s="55">
        <f>VLOOKUP($E1539,'NI-Soc_SP'!$C:$AN,MID(V$1,1,2),FALSE)</f>
        <v>0</v>
      </c>
      <c r="W1539" s="55">
        <f>VLOOKUP($E1539,'NI-Soc_SP'!$C:$AN,MID(W$1,1,2),FALSE)</f>
        <v>0</v>
      </c>
      <c r="X1539" s="55">
        <f>VLOOKUP($E1539,'NI-Soc_SP'!$C:$AN,MID(X$1,1,2),FALSE)</f>
        <v>0</v>
      </c>
      <c r="Y1539" s="55">
        <f>VLOOKUP($E1539,'NI-Soc_SP'!$C:$AN,MID(Y$1,1,2),FALSE)</f>
        <v>0</v>
      </c>
      <c r="Z1539" s="55">
        <f>VLOOKUP($E1539,'NI-Soc_SP'!$C:$AN,MID(Z$1,1,2),FALSE)</f>
        <v>0</v>
      </c>
      <c r="AA1539" s="55">
        <f>VLOOKUP($E1539,'NI-Soc_SP'!$C:$AN,MID(AA$1,1,2),FALSE)</f>
        <v>0</v>
      </c>
      <c r="AB1539" s="55">
        <f>VLOOKUP($E1539,'NI-Soc_SP'!$C:$AN,MID(AB$1,1,2),FALSE)</f>
        <v>0</v>
      </c>
      <c r="AC1539" s="55">
        <f>VLOOKUP($E1539,'NI-Soc_SP'!$C:$AN,MID(AC$1,1,2),FALSE)</f>
        <v>0</v>
      </c>
      <c r="AD1539" s="55">
        <f>VLOOKUP($E1539,'NI-Soc_SP'!$C:$AN,MID(AD$1,1,2),FALSE)</f>
        <v>0</v>
      </c>
      <c r="AE1539" s="55">
        <f>VLOOKUP($E1539,'NI-Soc_SP'!$C:$AN,MID(AE$1,1,2),FALSE)</f>
        <v>0</v>
      </c>
      <c r="AF1539" s="55">
        <f>VLOOKUP($E1539,'NI-Soc_SP'!$C:$AN,MID(AF$1,1,2),FALSE)</f>
        <v>0</v>
      </c>
      <c r="AG1539" s="55">
        <f>VLOOKUP($E1539,'NI-Soc_SP'!$C:$AN,MID(AG$1,1,2),FALSE)</f>
        <v>0</v>
      </c>
      <c r="AH1539" s="55">
        <f>VLOOKUP($E1539,'NI-Soc_SP'!$C:$AN,MID(AH$1,1,2),FALSE)</f>
        <v>0</v>
      </c>
      <c r="AI1539" s="55">
        <f>VLOOKUP($E1539,'NI-Soc_SP'!$C:$AN,MID(AI$1,1,2),FALSE)</f>
        <v>0</v>
      </c>
      <c r="AJ1539" s="55">
        <f>VLOOKUP($E1539,'NI-Soc_SP'!$C:$AN,MID(AJ$1,1,2),FALSE)</f>
        <v>0</v>
      </c>
      <c r="AK1539" s="55">
        <f>VLOOKUP($E1539,'NI-Soc_SP'!$C:$AN,MID(AK$1,1,2),FALSE)</f>
        <v>0</v>
      </c>
      <c r="AL1539" s="55">
        <f>VLOOKUP($E1539,'NI-Soc_SP'!$C:$AN,MID(AL$1,1,2),FALSE)</f>
        <v>0</v>
      </c>
      <c r="AM1539" s="56">
        <f>VLOOKUP($E1539,'NI-Soc_SP'!$C:$AN,MID(AM$1,1,2),FALSE)</f>
        <v>0</v>
      </c>
      <c r="AN1539" s="30" t="str">
        <f t="shared" si="24"/>
        <v>10106030020000</v>
      </c>
    </row>
    <row r="1540" spans="3:40" x14ac:dyDescent="0.25">
      <c r="C1540" s="40"/>
      <c r="D1540" s="121" t="s">
        <v>417</v>
      </c>
      <c r="E1540" s="121" t="s">
        <v>418</v>
      </c>
      <c r="F1540" s="122" t="s">
        <v>2758</v>
      </c>
      <c r="G1540" s="52"/>
      <c r="H1540" s="52"/>
      <c r="I1540" s="52" t="s">
        <v>419</v>
      </c>
      <c r="J1540" s="52"/>
      <c r="K1540" s="59" t="s">
        <v>111</v>
      </c>
      <c r="L1540" s="62" t="s">
        <v>420</v>
      </c>
      <c r="M1540" s="52"/>
      <c r="N1540" s="52"/>
      <c r="O1540" s="61" t="s">
        <v>255</v>
      </c>
      <c r="P1540" s="60" t="s">
        <v>421</v>
      </c>
      <c r="Q1540" s="55">
        <f>-VLOOKUP(E1540,'NI-Soc_SP'!$C:$AN,12,FALSE)</f>
        <v>0</v>
      </c>
      <c r="R1540" s="55">
        <f>-VLOOKUP(E1540,'NI-Soc_SP'!$C:$AN,13,FALSE)</f>
        <v>0</v>
      </c>
      <c r="S1540" s="55"/>
      <c r="T1540" s="55"/>
      <c r="U1540" s="55">
        <f>VLOOKUP($E1540,'NI-Soc_SP'!$C:$AN,MID(U$1,1,2),FALSE)</f>
        <v>0</v>
      </c>
      <c r="V1540" s="55">
        <f>VLOOKUP($E1540,'NI-Soc_SP'!$C:$AN,MID(V$1,1,2),FALSE)</f>
        <v>0</v>
      </c>
      <c r="W1540" s="55">
        <f>VLOOKUP($E1540,'NI-Soc_SP'!$C:$AN,MID(W$1,1,2),FALSE)</f>
        <v>0</v>
      </c>
      <c r="X1540" s="55">
        <f>VLOOKUP($E1540,'NI-Soc_SP'!$C:$AN,MID(X$1,1,2),FALSE)</f>
        <v>0</v>
      </c>
      <c r="Y1540" s="55">
        <f>VLOOKUP($E1540,'NI-Soc_SP'!$C:$AN,MID(Y$1,1,2),FALSE)</f>
        <v>0</v>
      </c>
      <c r="Z1540" s="55">
        <f>VLOOKUP($E1540,'NI-Soc_SP'!$C:$AN,MID(Z$1,1,2),FALSE)</f>
        <v>0</v>
      </c>
      <c r="AA1540" s="55">
        <f>VLOOKUP($E1540,'NI-Soc_SP'!$C:$AN,MID(AA$1,1,2),FALSE)</f>
        <v>0</v>
      </c>
      <c r="AB1540" s="55">
        <f>VLOOKUP($E1540,'NI-Soc_SP'!$C:$AN,MID(AB$1,1,2),FALSE)</f>
        <v>0</v>
      </c>
      <c r="AC1540" s="55">
        <f>VLOOKUP($E1540,'NI-Soc_SP'!$C:$AN,MID(AC$1,1,2),FALSE)</f>
        <v>0</v>
      </c>
      <c r="AD1540" s="55">
        <f>VLOOKUP($E1540,'NI-Soc_SP'!$C:$AN,MID(AD$1,1,2),FALSE)</f>
        <v>0</v>
      </c>
      <c r="AE1540" s="55">
        <f>VLOOKUP($E1540,'NI-Soc_SP'!$C:$AN,MID(AE$1,1,2),FALSE)</f>
        <v>0</v>
      </c>
      <c r="AF1540" s="55">
        <f>VLOOKUP($E1540,'NI-Soc_SP'!$C:$AN,MID(AF$1,1,2),FALSE)</f>
        <v>0</v>
      </c>
      <c r="AG1540" s="55">
        <f>VLOOKUP($E1540,'NI-Soc_SP'!$C:$AN,MID(AG$1,1,2),FALSE)</f>
        <v>0</v>
      </c>
      <c r="AH1540" s="55">
        <f>VLOOKUP($E1540,'NI-Soc_SP'!$C:$AN,MID(AH$1,1,2),FALSE)</f>
        <v>0</v>
      </c>
      <c r="AI1540" s="55">
        <f>VLOOKUP($E1540,'NI-Soc_SP'!$C:$AN,MID(AI$1,1,2),FALSE)</f>
        <v>0</v>
      </c>
      <c r="AJ1540" s="55">
        <f>VLOOKUP($E1540,'NI-Soc_SP'!$C:$AN,MID(AJ$1,1,2),FALSE)</f>
        <v>0</v>
      </c>
      <c r="AK1540" s="55">
        <f>VLOOKUP($E1540,'NI-Soc_SP'!$C:$AN,MID(AK$1,1,2),FALSE)</f>
        <v>0</v>
      </c>
      <c r="AL1540" s="55">
        <f>VLOOKUP($E1540,'NI-Soc_SP'!$C:$AN,MID(AL$1,1,2),FALSE)</f>
        <v>0</v>
      </c>
      <c r="AM1540" s="56">
        <f>VLOOKUP($E1540,'NI-Soc_SP'!$C:$AN,MID(AM$1,1,2),FALSE)</f>
        <v>0</v>
      </c>
      <c r="AN1540" s="30" t="str">
        <f t="shared" si="24"/>
        <v>10106040000000</v>
      </c>
    </row>
    <row r="1541" spans="3:40" x14ac:dyDescent="0.25">
      <c r="C1541" s="40"/>
      <c r="D1541" s="121" t="s">
        <v>422</v>
      </c>
      <c r="E1541" s="121" t="s">
        <v>423</v>
      </c>
      <c r="F1541" s="122" t="s">
        <v>2758</v>
      </c>
      <c r="G1541" s="52"/>
      <c r="H1541" s="52"/>
      <c r="I1541" s="52"/>
      <c r="J1541" s="52"/>
      <c r="K1541" s="59" t="s">
        <v>79</v>
      </c>
      <c r="L1541" s="52"/>
      <c r="M1541" s="52"/>
      <c r="N1541" s="52"/>
      <c r="O1541" s="52"/>
      <c r="P1541" s="63" t="s">
        <v>424</v>
      </c>
      <c r="Q1541" s="55">
        <f>-VLOOKUP(E1541,'NI-Soc_SP'!$C:$AN,12,FALSE)</f>
        <v>0</v>
      </c>
      <c r="R1541" s="55">
        <f>-VLOOKUP(E1541,'NI-Soc_SP'!$C:$AN,13,FALSE)</f>
        <v>0</v>
      </c>
      <c r="S1541" s="55"/>
      <c r="T1541" s="55"/>
      <c r="U1541" s="55">
        <f>VLOOKUP($E1541,'NI-Soc_SP'!$C:$AN,MID(U$1,1,2),FALSE)</f>
        <v>0</v>
      </c>
      <c r="V1541" s="55">
        <f>VLOOKUP($E1541,'NI-Soc_SP'!$C:$AN,MID(V$1,1,2),FALSE)</f>
        <v>0</v>
      </c>
      <c r="W1541" s="55">
        <f>VLOOKUP($E1541,'NI-Soc_SP'!$C:$AN,MID(W$1,1,2),FALSE)</f>
        <v>0</v>
      </c>
      <c r="X1541" s="55">
        <f>VLOOKUP($E1541,'NI-Soc_SP'!$C:$AN,MID(X$1,1,2),FALSE)</f>
        <v>0</v>
      </c>
      <c r="Y1541" s="55">
        <f>VLOOKUP($E1541,'NI-Soc_SP'!$C:$AN,MID(Y$1,1,2),FALSE)</f>
        <v>0</v>
      </c>
      <c r="Z1541" s="55">
        <f>VLOOKUP($E1541,'NI-Soc_SP'!$C:$AN,MID(Z$1,1,2),FALSE)</f>
        <v>0</v>
      </c>
      <c r="AA1541" s="55">
        <f>VLOOKUP($E1541,'NI-Soc_SP'!$C:$AN,MID(AA$1,1,2),FALSE)</f>
        <v>0</v>
      </c>
      <c r="AB1541" s="55">
        <f>VLOOKUP($E1541,'NI-Soc_SP'!$C:$AN,MID(AB$1,1,2),FALSE)</f>
        <v>0</v>
      </c>
      <c r="AC1541" s="55">
        <f>VLOOKUP($E1541,'NI-Soc_SP'!$C:$AN,MID(AC$1,1,2),FALSE)</f>
        <v>0</v>
      </c>
      <c r="AD1541" s="55">
        <f>VLOOKUP($E1541,'NI-Soc_SP'!$C:$AN,MID(AD$1,1,2),FALSE)</f>
        <v>0</v>
      </c>
      <c r="AE1541" s="55">
        <f>VLOOKUP($E1541,'NI-Soc_SP'!$C:$AN,MID(AE$1,1,2),FALSE)</f>
        <v>0</v>
      </c>
      <c r="AF1541" s="55">
        <f>VLOOKUP($E1541,'NI-Soc_SP'!$C:$AN,MID(AF$1,1,2),FALSE)</f>
        <v>0</v>
      </c>
      <c r="AG1541" s="55">
        <f>VLOOKUP($E1541,'NI-Soc_SP'!$C:$AN,MID(AG$1,1,2),FALSE)</f>
        <v>0</v>
      </c>
      <c r="AH1541" s="55">
        <f>VLOOKUP($E1541,'NI-Soc_SP'!$C:$AN,MID(AH$1,1,2),FALSE)</f>
        <v>0</v>
      </c>
      <c r="AI1541" s="55">
        <f>VLOOKUP($E1541,'NI-Soc_SP'!$C:$AN,MID(AI$1,1,2),FALSE)</f>
        <v>0</v>
      </c>
      <c r="AJ1541" s="55">
        <f>VLOOKUP($E1541,'NI-Soc_SP'!$C:$AN,MID(AJ$1,1,2),FALSE)</f>
        <v>0</v>
      </c>
      <c r="AK1541" s="55">
        <f>VLOOKUP($E1541,'NI-Soc_SP'!$C:$AN,MID(AK$1,1,2),FALSE)</f>
        <v>0</v>
      </c>
      <c r="AL1541" s="55">
        <f>VLOOKUP($E1541,'NI-Soc_SP'!$C:$AN,MID(AL$1,1,2),FALSE)</f>
        <v>0</v>
      </c>
      <c r="AM1541" s="56">
        <f>VLOOKUP($E1541,'NI-Soc_SP'!$C:$AN,MID(AM$1,1,2),FALSE)</f>
        <v>0</v>
      </c>
      <c r="AN1541" s="30" t="str">
        <f t="shared" si="24"/>
        <v>10106040010000</v>
      </c>
    </row>
    <row r="1542" spans="3:40" x14ac:dyDescent="0.25">
      <c r="C1542" s="40"/>
      <c r="D1542" s="121" t="s">
        <v>425</v>
      </c>
      <c r="E1542" s="121" t="s">
        <v>426</v>
      </c>
      <c r="F1542" s="122" t="s">
        <v>2758</v>
      </c>
      <c r="G1542" s="52"/>
      <c r="H1542" s="52"/>
      <c r="I1542" s="52"/>
      <c r="J1542" s="52"/>
      <c r="K1542" s="59" t="s">
        <v>79</v>
      </c>
      <c r="L1542" s="52"/>
      <c r="M1542" s="52"/>
      <c r="N1542" s="52"/>
      <c r="O1542" s="52"/>
      <c r="P1542" s="63" t="s">
        <v>427</v>
      </c>
      <c r="Q1542" s="55">
        <f>-VLOOKUP(E1542,'NI-Soc_SP'!$C:$AN,12,FALSE)</f>
        <v>0</v>
      </c>
      <c r="R1542" s="55">
        <f>-VLOOKUP(E1542,'NI-Soc_SP'!$C:$AN,13,FALSE)</f>
        <v>0</v>
      </c>
      <c r="S1542" s="55"/>
      <c r="T1542" s="55"/>
      <c r="U1542" s="55">
        <f>VLOOKUP($E1542,'NI-Soc_SP'!$C:$AN,MID(U$1,1,2),FALSE)</f>
        <v>0</v>
      </c>
      <c r="V1542" s="55">
        <f>VLOOKUP($E1542,'NI-Soc_SP'!$C:$AN,MID(V$1,1,2),FALSE)</f>
        <v>0</v>
      </c>
      <c r="W1542" s="55">
        <f>VLOOKUP($E1542,'NI-Soc_SP'!$C:$AN,MID(W$1,1,2),FALSE)</f>
        <v>0</v>
      </c>
      <c r="X1542" s="55">
        <f>VLOOKUP($E1542,'NI-Soc_SP'!$C:$AN,MID(X$1,1,2),FALSE)</f>
        <v>0</v>
      </c>
      <c r="Y1542" s="55">
        <f>VLOOKUP($E1542,'NI-Soc_SP'!$C:$AN,MID(Y$1,1,2),FALSE)</f>
        <v>0</v>
      </c>
      <c r="Z1542" s="55">
        <f>VLOOKUP($E1542,'NI-Soc_SP'!$C:$AN,MID(Z$1,1,2),FALSE)</f>
        <v>0</v>
      </c>
      <c r="AA1542" s="55">
        <f>VLOOKUP($E1542,'NI-Soc_SP'!$C:$AN,MID(AA$1,1,2),FALSE)</f>
        <v>0</v>
      </c>
      <c r="AB1542" s="55">
        <f>VLOOKUP($E1542,'NI-Soc_SP'!$C:$AN,MID(AB$1,1,2),FALSE)</f>
        <v>0</v>
      </c>
      <c r="AC1542" s="55">
        <f>VLOOKUP($E1542,'NI-Soc_SP'!$C:$AN,MID(AC$1,1,2),FALSE)</f>
        <v>0</v>
      </c>
      <c r="AD1542" s="55">
        <f>VLOOKUP($E1542,'NI-Soc_SP'!$C:$AN,MID(AD$1,1,2),FALSE)</f>
        <v>0</v>
      </c>
      <c r="AE1542" s="55">
        <f>VLOOKUP($E1542,'NI-Soc_SP'!$C:$AN,MID(AE$1,1,2),FALSE)</f>
        <v>0</v>
      </c>
      <c r="AF1542" s="55">
        <f>VLOOKUP($E1542,'NI-Soc_SP'!$C:$AN,MID(AF$1,1,2),FALSE)</f>
        <v>0</v>
      </c>
      <c r="AG1542" s="55">
        <f>VLOOKUP($E1542,'NI-Soc_SP'!$C:$AN,MID(AG$1,1,2),FALSE)</f>
        <v>0</v>
      </c>
      <c r="AH1542" s="55">
        <f>VLOOKUP($E1542,'NI-Soc_SP'!$C:$AN,MID(AH$1,1,2),FALSE)</f>
        <v>0</v>
      </c>
      <c r="AI1542" s="55">
        <f>VLOOKUP($E1542,'NI-Soc_SP'!$C:$AN,MID(AI$1,1,2),FALSE)</f>
        <v>0</v>
      </c>
      <c r="AJ1542" s="55">
        <f>VLOOKUP($E1542,'NI-Soc_SP'!$C:$AN,MID(AJ$1,1,2),FALSE)</f>
        <v>0</v>
      </c>
      <c r="AK1542" s="55">
        <f>VLOOKUP($E1542,'NI-Soc_SP'!$C:$AN,MID(AK$1,1,2),FALSE)</f>
        <v>0</v>
      </c>
      <c r="AL1542" s="55">
        <f>VLOOKUP($E1542,'NI-Soc_SP'!$C:$AN,MID(AL$1,1,2),FALSE)</f>
        <v>0</v>
      </c>
      <c r="AM1542" s="56">
        <f>VLOOKUP($E1542,'NI-Soc_SP'!$C:$AN,MID(AM$1,1,2),FALSE)</f>
        <v>0</v>
      </c>
      <c r="AN1542" s="30" t="str">
        <f t="shared" si="24"/>
        <v>10106040020000</v>
      </c>
    </row>
    <row r="1543" spans="3:40" x14ac:dyDescent="0.25">
      <c r="C1543" s="40"/>
      <c r="D1543" s="121" t="s">
        <v>428</v>
      </c>
      <c r="E1543" s="121" t="s">
        <v>429</v>
      </c>
      <c r="F1543" s="122" t="s">
        <v>2758</v>
      </c>
      <c r="G1543" s="52"/>
      <c r="H1543" s="52"/>
      <c r="I1543" s="52"/>
      <c r="J1543" s="52"/>
      <c r="K1543" s="59" t="s">
        <v>111</v>
      </c>
      <c r="L1543" s="52"/>
      <c r="M1543" s="52"/>
      <c r="N1543" s="52"/>
      <c r="O1543" s="52"/>
      <c r="P1543" s="60" t="s">
        <v>430</v>
      </c>
      <c r="Q1543" s="55">
        <f>VLOOKUP(E1543,'NI-Soc_SP'!$C:$AN,12,FALSE)</f>
        <v>0</v>
      </c>
      <c r="R1543" s="55">
        <f>VLOOKUP(E1543,'NI-Soc_SP'!$C:$AN,13,FALSE)</f>
        <v>0</v>
      </c>
      <c r="S1543" s="55"/>
      <c r="T1543" s="55"/>
      <c r="U1543" s="55">
        <f>VLOOKUP($E1543,'NI-Soc_SP'!$C:$AN,MID(U$1,1,2),FALSE)</f>
        <v>0</v>
      </c>
      <c r="V1543" s="55">
        <f>VLOOKUP($E1543,'NI-Soc_SP'!$C:$AN,MID(V$1,1,2),FALSE)</f>
        <v>0</v>
      </c>
      <c r="W1543" s="55">
        <f>VLOOKUP($E1543,'NI-Soc_SP'!$C:$AN,MID(W$1,1,2),FALSE)</f>
        <v>0</v>
      </c>
      <c r="X1543" s="55" t="str">
        <f>VLOOKUP($E1543,'NI-Soc_SP'!$C:$AN,MID(X$1,1,2),FALSE)</f>
        <v/>
      </c>
      <c r="Y1543" s="55">
        <f>VLOOKUP($E1543,'NI-Soc_SP'!$C:$AN,MID(Y$1,1,2),FALSE)</f>
        <v>0</v>
      </c>
      <c r="Z1543" s="55">
        <f>VLOOKUP($E1543,'NI-Soc_SP'!$C:$AN,MID(Z$1,1,2),FALSE)</f>
        <v>0</v>
      </c>
      <c r="AA1543" s="55">
        <f>VLOOKUP($E1543,'NI-Soc_SP'!$C:$AN,MID(AA$1,1,2),FALSE)</f>
        <v>0</v>
      </c>
      <c r="AB1543" s="55">
        <f>VLOOKUP($E1543,'NI-Soc_SP'!$C:$AN,MID(AB$1,1,2),FALSE)</f>
        <v>0</v>
      </c>
      <c r="AC1543" s="55">
        <f>VLOOKUP($E1543,'NI-Soc_SP'!$C:$AN,MID(AC$1,1,2),FALSE)</f>
        <v>0</v>
      </c>
      <c r="AD1543" s="55">
        <f>VLOOKUP($E1543,'NI-Soc_SP'!$C:$AN,MID(AD$1,1,2),FALSE)</f>
        <v>0</v>
      </c>
      <c r="AE1543" s="55">
        <f>VLOOKUP($E1543,'NI-Soc_SP'!$C:$AN,MID(AE$1,1,2),FALSE)</f>
        <v>0</v>
      </c>
      <c r="AF1543" s="55">
        <f>VLOOKUP($E1543,'NI-Soc_SP'!$C:$AN,MID(AF$1,1,2),FALSE)</f>
        <v>0</v>
      </c>
      <c r="AG1543" s="55">
        <f>VLOOKUP($E1543,'NI-Soc_SP'!$C:$AN,MID(AG$1,1,2),FALSE)</f>
        <v>0</v>
      </c>
      <c r="AH1543" s="55">
        <f>VLOOKUP($E1543,'NI-Soc_SP'!$C:$AN,MID(AH$1,1,2),FALSE)</f>
        <v>0</v>
      </c>
      <c r="AI1543" s="55" t="str">
        <f>VLOOKUP($E1543,'NI-Soc_SP'!$C:$AN,MID(AI$1,1,2),FALSE)</f>
        <v>Quadratura Giroconti imm. mat. in corso concluse</v>
      </c>
      <c r="AJ1543" s="55">
        <f>VLOOKUP($E1543,'NI-Soc_SP'!$C:$AN,MID(AJ$1,1,2),FALSE)</f>
        <v>0</v>
      </c>
      <c r="AK1543" s="55">
        <f>VLOOKUP($E1543,'NI-Soc_SP'!$C:$AN,MID(AK$1,1,2),FALSE)</f>
        <v>0</v>
      </c>
      <c r="AL1543" s="55">
        <f>VLOOKUP($E1543,'NI-Soc_SP'!$C:$AN,MID(AL$1,1,2),FALSE)</f>
        <v>0</v>
      </c>
      <c r="AM1543" s="56">
        <f>VLOOKUP($E1543,'NI-Soc_SP'!$C:$AN,MID(AM$1,1,2),FALSE)</f>
        <v>0</v>
      </c>
      <c r="AN1543" s="30" t="str">
        <f t="shared" si="24"/>
        <v>10200000000000</v>
      </c>
    </row>
    <row r="1544" spans="3:40" x14ac:dyDescent="0.25">
      <c r="C1544" s="40"/>
      <c r="D1544" s="121" t="s">
        <v>431</v>
      </c>
      <c r="E1544" s="121" t="s">
        <v>432</v>
      </c>
      <c r="F1544" s="122" t="s">
        <v>2758</v>
      </c>
      <c r="G1544" s="52"/>
      <c r="H1544" s="52"/>
      <c r="I1544" s="52"/>
      <c r="J1544" s="52"/>
      <c r="K1544" s="59" t="s">
        <v>111</v>
      </c>
      <c r="L1544" s="62" t="s">
        <v>433</v>
      </c>
      <c r="M1544" s="52"/>
      <c r="N1544" s="52"/>
      <c r="O1544" s="52"/>
      <c r="P1544" s="60" t="s">
        <v>434</v>
      </c>
      <c r="Q1544" s="55">
        <f>VLOOKUP(E1544,'NI-Soc_SP'!$C:$AN,12,FALSE)</f>
        <v>0</v>
      </c>
      <c r="R1544" s="55">
        <f>VLOOKUP(E1544,'NI-Soc_SP'!$C:$AN,13,FALSE)</f>
        <v>0</v>
      </c>
      <c r="S1544" s="55"/>
      <c r="T1544" s="55"/>
      <c r="U1544" s="55">
        <f>VLOOKUP($E1544,'NI-Soc_SP'!$C:$AN,MID(U$1,1,2),FALSE)</f>
        <v>0</v>
      </c>
      <c r="V1544" s="55">
        <f>VLOOKUP($E1544,'NI-Soc_SP'!$C:$AN,MID(V$1,1,2),FALSE)</f>
        <v>0</v>
      </c>
      <c r="W1544" s="55">
        <f>VLOOKUP($E1544,'NI-Soc_SP'!$C:$AN,MID(W$1,1,2),FALSE)</f>
        <v>0</v>
      </c>
      <c r="X1544" s="55">
        <f>VLOOKUP($E1544,'NI-Soc_SP'!$C:$AN,MID(X$1,1,2),FALSE)</f>
        <v>0</v>
      </c>
      <c r="Y1544" s="55">
        <f>VLOOKUP($E1544,'NI-Soc_SP'!$C:$AN,MID(Y$1,1,2),FALSE)</f>
        <v>0</v>
      </c>
      <c r="Z1544" s="55">
        <f>VLOOKUP($E1544,'NI-Soc_SP'!$C:$AN,MID(Z$1,1,2),FALSE)</f>
        <v>0</v>
      </c>
      <c r="AA1544" s="55">
        <f>VLOOKUP($E1544,'NI-Soc_SP'!$C:$AN,MID(AA$1,1,2),FALSE)</f>
        <v>0</v>
      </c>
      <c r="AB1544" s="55">
        <f>VLOOKUP($E1544,'NI-Soc_SP'!$C:$AN,MID(AB$1,1,2),FALSE)</f>
        <v>0</v>
      </c>
      <c r="AC1544" s="55">
        <f>VLOOKUP($E1544,'NI-Soc_SP'!$C:$AN,MID(AC$1,1,2),FALSE)</f>
        <v>0</v>
      </c>
      <c r="AD1544" s="55">
        <f>VLOOKUP($E1544,'NI-Soc_SP'!$C:$AN,MID(AD$1,1,2),FALSE)</f>
        <v>0</v>
      </c>
      <c r="AE1544" s="55">
        <f>VLOOKUP($E1544,'NI-Soc_SP'!$C:$AN,MID(AE$1,1,2),FALSE)</f>
        <v>0</v>
      </c>
      <c r="AF1544" s="55">
        <f>VLOOKUP($E1544,'NI-Soc_SP'!$C:$AN,MID(AF$1,1,2),FALSE)</f>
        <v>0</v>
      </c>
      <c r="AG1544" s="55">
        <f>VLOOKUP($E1544,'NI-Soc_SP'!$C:$AN,MID(AG$1,1,2),FALSE)</f>
        <v>0</v>
      </c>
      <c r="AH1544" s="55">
        <f>VLOOKUP($E1544,'NI-Soc_SP'!$C:$AN,MID(AH$1,1,2),FALSE)</f>
        <v>0</v>
      </c>
      <c r="AI1544" s="55">
        <f>VLOOKUP($E1544,'NI-Soc_SP'!$C:$AN,MID(AI$1,1,2),FALSE)</f>
        <v>0</v>
      </c>
      <c r="AJ1544" s="55">
        <f>VLOOKUP($E1544,'NI-Soc_SP'!$C:$AN,MID(AJ$1,1,2),FALSE)</f>
        <v>0</v>
      </c>
      <c r="AK1544" s="55">
        <f>VLOOKUP($E1544,'NI-Soc_SP'!$C:$AN,MID(AK$1,1,2),FALSE)</f>
        <v>0</v>
      </c>
      <c r="AL1544" s="55">
        <f>VLOOKUP($E1544,'NI-Soc_SP'!$C:$AN,MID(AL$1,1,2),FALSE)</f>
        <v>0</v>
      </c>
      <c r="AM1544" s="56">
        <f>VLOOKUP($E1544,'NI-Soc_SP'!$C:$AN,MID(AM$1,1,2),FALSE)</f>
        <v>0</v>
      </c>
      <c r="AN1544" s="30" t="str">
        <f t="shared" si="24"/>
        <v>10201000000000</v>
      </c>
    </row>
    <row r="1545" spans="3:40" x14ac:dyDescent="0.25">
      <c r="C1545" s="40"/>
      <c r="D1545" s="121" t="s">
        <v>435</v>
      </c>
      <c r="E1545" s="121" t="s">
        <v>436</v>
      </c>
      <c r="F1545" s="122" t="s">
        <v>2758</v>
      </c>
      <c r="G1545" s="52"/>
      <c r="H1545" s="52"/>
      <c r="I1545" s="52" t="s">
        <v>437</v>
      </c>
      <c r="J1545" s="52"/>
      <c r="K1545" s="59" t="s">
        <v>111</v>
      </c>
      <c r="L1545" s="52"/>
      <c r="M1545" s="52"/>
      <c r="N1545" s="52"/>
      <c r="O1545" s="61" t="s">
        <v>438</v>
      </c>
      <c r="P1545" s="60" t="s">
        <v>439</v>
      </c>
      <c r="Q1545" s="55">
        <f>VLOOKUP(E1545,'NI-Soc_SP'!$C:$AN,12,FALSE)</f>
        <v>0</v>
      </c>
      <c r="R1545" s="55">
        <f>VLOOKUP(E1545,'NI-Soc_SP'!$C:$AN,13,FALSE)</f>
        <v>0</v>
      </c>
      <c r="S1545" s="55"/>
      <c r="T1545" s="55"/>
      <c r="U1545" s="55">
        <f>VLOOKUP($E1545,'NI-Soc_SP'!$C:$AN,MID(U$1,1,2),FALSE)</f>
        <v>0</v>
      </c>
      <c r="V1545" s="55">
        <f>VLOOKUP($E1545,'NI-Soc_SP'!$C:$AN,MID(V$1,1,2),FALSE)</f>
        <v>0</v>
      </c>
      <c r="W1545" s="55">
        <f>VLOOKUP($E1545,'NI-Soc_SP'!$C:$AN,MID(W$1,1,2),FALSE)</f>
        <v>0</v>
      </c>
      <c r="X1545" s="55">
        <f>VLOOKUP($E1545,'NI-Soc_SP'!$C:$AN,MID(X$1,1,2),FALSE)</f>
        <v>0</v>
      </c>
      <c r="Y1545" s="55">
        <f>VLOOKUP($E1545,'NI-Soc_SP'!$C:$AN,MID(Y$1,1,2),FALSE)</f>
        <v>0</v>
      </c>
      <c r="Z1545" s="55">
        <f>VLOOKUP($E1545,'NI-Soc_SP'!$C:$AN,MID(Z$1,1,2),FALSE)</f>
        <v>0</v>
      </c>
      <c r="AA1545" s="55">
        <f>VLOOKUP($E1545,'NI-Soc_SP'!$C:$AN,MID(AA$1,1,2),FALSE)</f>
        <v>0</v>
      </c>
      <c r="AB1545" s="55">
        <f>VLOOKUP($E1545,'NI-Soc_SP'!$C:$AN,MID(AB$1,1,2),FALSE)</f>
        <v>0</v>
      </c>
      <c r="AC1545" s="55">
        <f>VLOOKUP($E1545,'NI-Soc_SP'!$C:$AN,MID(AC$1,1,2),FALSE)</f>
        <v>0</v>
      </c>
      <c r="AD1545" s="55">
        <f>VLOOKUP($E1545,'NI-Soc_SP'!$C:$AN,MID(AD$1,1,2),FALSE)</f>
        <v>0</v>
      </c>
      <c r="AE1545" s="55">
        <f>VLOOKUP($E1545,'NI-Soc_SP'!$C:$AN,MID(AE$1,1,2),FALSE)</f>
        <v>0</v>
      </c>
      <c r="AF1545" s="55">
        <f>VLOOKUP($E1545,'NI-Soc_SP'!$C:$AN,MID(AF$1,1,2),FALSE)</f>
        <v>0</v>
      </c>
      <c r="AG1545" s="55">
        <f>VLOOKUP($E1545,'NI-Soc_SP'!$C:$AN,MID(AG$1,1,2),FALSE)</f>
        <v>0</v>
      </c>
      <c r="AH1545" s="55">
        <f>VLOOKUP($E1545,'NI-Soc_SP'!$C:$AN,MID(AH$1,1,2),FALSE)</f>
        <v>0</v>
      </c>
      <c r="AI1545" s="55">
        <f>VLOOKUP($E1545,'NI-Soc_SP'!$C:$AN,MID(AI$1,1,2),FALSE)</f>
        <v>0</v>
      </c>
      <c r="AJ1545" s="55">
        <f>VLOOKUP($E1545,'NI-Soc_SP'!$C:$AN,MID(AJ$1,1,2),FALSE)</f>
        <v>0</v>
      </c>
      <c r="AK1545" s="55">
        <f>VLOOKUP($E1545,'NI-Soc_SP'!$C:$AN,MID(AK$1,1,2),FALSE)</f>
        <v>0</v>
      </c>
      <c r="AL1545" s="55">
        <f>VLOOKUP($E1545,'NI-Soc_SP'!$C:$AN,MID(AL$1,1,2),FALSE)</f>
        <v>0</v>
      </c>
      <c r="AM1545" s="56">
        <f>VLOOKUP($E1545,'NI-Soc_SP'!$C:$AN,MID(AM$1,1,2),FALSE)</f>
        <v>0</v>
      </c>
      <c r="AN1545" s="30" t="str">
        <f t="shared" si="24"/>
        <v>10201010000000</v>
      </c>
    </row>
    <row r="1546" spans="3:40" x14ac:dyDescent="0.25">
      <c r="C1546" s="40"/>
      <c r="D1546" s="121" t="s">
        <v>440</v>
      </c>
      <c r="E1546" s="121" t="s">
        <v>441</v>
      </c>
      <c r="F1546" s="122" t="s">
        <v>2758</v>
      </c>
      <c r="G1546" s="52"/>
      <c r="H1546" s="52"/>
      <c r="I1546" s="52"/>
      <c r="J1546" s="52"/>
      <c r="K1546" s="59" t="s">
        <v>79</v>
      </c>
      <c r="L1546" s="52"/>
      <c r="M1546" s="52"/>
      <c r="N1546" s="52"/>
      <c r="O1546" s="52"/>
      <c r="P1546" s="63" t="s">
        <v>442</v>
      </c>
      <c r="Q1546" s="55">
        <f>VLOOKUP(E1546,'NI-Soc_SP'!$C:$AN,12,FALSE)</f>
        <v>0</v>
      </c>
      <c r="R1546" s="55">
        <f>VLOOKUP(E1546,'NI-Soc_SP'!$C:$AN,13,FALSE)</f>
        <v>0</v>
      </c>
      <c r="S1546" s="55"/>
      <c r="T1546" s="55"/>
      <c r="U1546" s="55">
        <f>VLOOKUP($E1546,'NI-Soc_SP'!$C:$AN,MID(U$1,1,2),FALSE)</f>
        <v>0</v>
      </c>
      <c r="V1546" s="55">
        <f>VLOOKUP($E1546,'NI-Soc_SP'!$C:$AN,MID(V$1,1,2),FALSE)</f>
        <v>0</v>
      </c>
      <c r="W1546" s="55">
        <f>VLOOKUP($E1546,'NI-Soc_SP'!$C:$AN,MID(W$1,1,2),FALSE)</f>
        <v>0</v>
      </c>
      <c r="X1546" s="55">
        <f>VLOOKUP($E1546,'NI-Soc_SP'!$C:$AN,MID(X$1,1,2),FALSE)</f>
        <v>0</v>
      </c>
      <c r="Y1546" s="55">
        <f>VLOOKUP($E1546,'NI-Soc_SP'!$C:$AN,MID(Y$1,1,2),FALSE)</f>
        <v>0</v>
      </c>
      <c r="Z1546" s="55">
        <f>VLOOKUP($E1546,'NI-Soc_SP'!$C:$AN,MID(Z$1,1,2),FALSE)</f>
        <v>0</v>
      </c>
      <c r="AA1546" s="55">
        <f>VLOOKUP($E1546,'NI-Soc_SP'!$C:$AN,MID(AA$1,1,2),FALSE)</f>
        <v>0</v>
      </c>
      <c r="AB1546" s="55">
        <f>VLOOKUP($E1546,'NI-Soc_SP'!$C:$AN,MID(AB$1,1,2),FALSE)</f>
        <v>0</v>
      </c>
      <c r="AC1546" s="55">
        <f>VLOOKUP($E1546,'NI-Soc_SP'!$C:$AN,MID(AC$1,1,2),FALSE)</f>
        <v>0</v>
      </c>
      <c r="AD1546" s="55">
        <f>VLOOKUP($E1546,'NI-Soc_SP'!$C:$AN,MID(AD$1,1,2),FALSE)</f>
        <v>0</v>
      </c>
      <c r="AE1546" s="55">
        <f>VLOOKUP($E1546,'NI-Soc_SP'!$C:$AN,MID(AE$1,1,2),FALSE)</f>
        <v>0</v>
      </c>
      <c r="AF1546" s="55">
        <f>VLOOKUP($E1546,'NI-Soc_SP'!$C:$AN,MID(AF$1,1,2),FALSE)</f>
        <v>0</v>
      </c>
      <c r="AG1546" s="55">
        <f>VLOOKUP($E1546,'NI-Soc_SP'!$C:$AN,MID(AG$1,1,2),FALSE)</f>
        <v>0</v>
      </c>
      <c r="AH1546" s="55">
        <f>VLOOKUP($E1546,'NI-Soc_SP'!$C:$AN,MID(AH$1,1,2),FALSE)</f>
        <v>0</v>
      </c>
      <c r="AI1546" s="55">
        <f>VLOOKUP($E1546,'NI-Soc_SP'!$C:$AN,MID(AI$1,1,2),FALSE)</f>
        <v>0</v>
      </c>
      <c r="AJ1546" s="55">
        <f>VLOOKUP($E1546,'NI-Soc_SP'!$C:$AN,MID(AJ$1,1,2),FALSE)</f>
        <v>0</v>
      </c>
      <c r="AK1546" s="55">
        <f>VLOOKUP($E1546,'NI-Soc_SP'!$C:$AN,MID(AK$1,1,2),FALSE)</f>
        <v>0</v>
      </c>
      <c r="AL1546" s="55">
        <f>VLOOKUP($E1546,'NI-Soc_SP'!$C:$AN,MID(AL$1,1,2),FALSE)</f>
        <v>0</v>
      </c>
      <c r="AM1546" s="56">
        <f>VLOOKUP($E1546,'NI-Soc_SP'!$C:$AN,MID(AM$1,1,2),FALSE)</f>
        <v>0</v>
      </c>
      <c r="AN1546" s="30" t="str">
        <f t="shared" si="24"/>
        <v>10201010010010</v>
      </c>
    </row>
    <row r="1547" spans="3:40" x14ac:dyDescent="0.25">
      <c r="C1547" s="40"/>
      <c r="D1547" s="121" t="s">
        <v>443</v>
      </c>
      <c r="E1547" s="121" t="s">
        <v>444</v>
      </c>
      <c r="F1547" s="122" t="s">
        <v>2758</v>
      </c>
      <c r="G1547" s="52"/>
      <c r="H1547" s="52"/>
      <c r="I1547" s="52"/>
      <c r="J1547" s="52"/>
      <c r="K1547" s="59" t="s">
        <v>79</v>
      </c>
      <c r="L1547" s="52"/>
      <c r="M1547" s="52"/>
      <c r="N1547" s="52"/>
      <c r="O1547" s="52"/>
      <c r="P1547" s="63" t="s">
        <v>445</v>
      </c>
      <c r="Q1547" s="55">
        <f>VLOOKUP(E1547,'NI-Soc_SP'!$C:$AN,12,FALSE)</f>
        <v>0</v>
      </c>
      <c r="R1547" s="55">
        <f>VLOOKUP(E1547,'NI-Soc_SP'!$C:$AN,13,FALSE)</f>
        <v>0</v>
      </c>
      <c r="S1547" s="55"/>
      <c r="T1547" s="55"/>
      <c r="U1547" s="55">
        <f>VLOOKUP($E1547,'NI-Soc_SP'!$C:$AN,MID(U$1,1,2),FALSE)</f>
        <v>0</v>
      </c>
      <c r="V1547" s="55">
        <f>VLOOKUP($E1547,'NI-Soc_SP'!$C:$AN,MID(V$1,1,2),FALSE)</f>
        <v>0</v>
      </c>
      <c r="W1547" s="55">
        <f>VLOOKUP($E1547,'NI-Soc_SP'!$C:$AN,MID(W$1,1,2),FALSE)</f>
        <v>0</v>
      </c>
      <c r="X1547" s="55">
        <f>VLOOKUP($E1547,'NI-Soc_SP'!$C:$AN,MID(X$1,1,2),FALSE)</f>
        <v>0</v>
      </c>
      <c r="Y1547" s="55">
        <f>VLOOKUP($E1547,'NI-Soc_SP'!$C:$AN,MID(Y$1,1,2),FALSE)</f>
        <v>0</v>
      </c>
      <c r="Z1547" s="55">
        <f>VLOOKUP($E1547,'NI-Soc_SP'!$C:$AN,MID(Z$1,1,2),FALSE)</f>
        <v>0</v>
      </c>
      <c r="AA1547" s="55">
        <f>VLOOKUP($E1547,'NI-Soc_SP'!$C:$AN,MID(AA$1,1,2),FALSE)</f>
        <v>0</v>
      </c>
      <c r="AB1547" s="55">
        <f>VLOOKUP($E1547,'NI-Soc_SP'!$C:$AN,MID(AB$1,1,2),FALSE)</f>
        <v>0</v>
      </c>
      <c r="AC1547" s="55">
        <f>VLOOKUP($E1547,'NI-Soc_SP'!$C:$AN,MID(AC$1,1,2),FALSE)</f>
        <v>0</v>
      </c>
      <c r="AD1547" s="55">
        <f>VLOOKUP($E1547,'NI-Soc_SP'!$C:$AN,MID(AD$1,1,2),FALSE)</f>
        <v>0</v>
      </c>
      <c r="AE1547" s="55">
        <f>VLOOKUP($E1547,'NI-Soc_SP'!$C:$AN,MID(AE$1,1,2),FALSE)</f>
        <v>0</v>
      </c>
      <c r="AF1547" s="55">
        <f>VLOOKUP($E1547,'NI-Soc_SP'!$C:$AN,MID(AF$1,1,2),FALSE)</f>
        <v>0</v>
      </c>
      <c r="AG1547" s="55">
        <f>VLOOKUP($E1547,'NI-Soc_SP'!$C:$AN,MID(AG$1,1,2),FALSE)</f>
        <v>0</v>
      </c>
      <c r="AH1547" s="55">
        <f>VLOOKUP($E1547,'NI-Soc_SP'!$C:$AN,MID(AH$1,1,2),FALSE)</f>
        <v>0</v>
      </c>
      <c r="AI1547" s="55">
        <f>VLOOKUP($E1547,'NI-Soc_SP'!$C:$AN,MID(AI$1,1,2),FALSE)</f>
        <v>0</v>
      </c>
      <c r="AJ1547" s="55">
        <f>VLOOKUP($E1547,'NI-Soc_SP'!$C:$AN,MID(AJ$1,1,2),FALSE)</f>
        <v>0</v>
      </c>
      <c r="AK1547" s="55">
        <f>VLOOKUP($E1547,'NI-Soc_SP'!$C:$AN,MID(AK$1,1,2),FALSE)</f>
        <v>0</v>
      </c>
      <c r="AL1547" s="55">
        <f>VLOOKUP($E1547,'NI-Soc_SP'!$C:$AN,MID(AL$1,1,2),FALSE)</f>
        <v>0</v>
      </c>
      <c r="AM1547" s="56">
        <f>VLOOKUP($E1547,'NI-Soc_SP'!$C:$AN,MID(AM$1,1,2),FALSE)</f>
        <v>0</v>
      </c>
      <c r="AN1547" s="30" t="str">
        <f t="shared" si="24"/>
        <v>10201010010020</v>
      </c>
    </row>
    <row r="1548" spans="3:40" x14ac:dyDescent="0.25">
      <c r="C1548" s="40"/>
      <c r="D1548" s="121" t="s">
        <v>446</v>
      </c>
      <c r="E1548" s="121" t="s">
        <v>447</v>
      </c>
      <c r="F1548" s="122" t="s">
        <v>2758</v>
      </c>
      <c r="G1548" s="52"/>
      <c r="H1548" s="52"/>
      <c r="I1548" s="52"/>
      <c r="J1548" s="52"/>
      <c r="K1548" s="59" t="s">
        <v>79</v>
      </c>
      <c r="L1548" s="52"/>
      <c r="M1548" s="52"/>
      <c r="N1548" s="52"/>
      <c r="O1548" s="52"/>
      <c r="P1548" s="63" t="s">
        <v>448</v>
      </c>
      <c r="Q1548" s="55">
        <f>VLOOKUP(E1548,'NI-Soc_SP'!$C:$AN,12,FALSE)</f>
        <v>0</v>
      </c>
      <c r="R1548" s="55">
        <f>VLOOKUP(E1548,'NI-Soc_SP'!$C:$AN,13,FALSE)</f>
        <v>0</v>
      </c>
      <c r="S1548" s="55"/>
      <c r="T1548" s="55"/>
      <c r="U1548" s="55">
        <f>VLOOKUP($E1548,'NI-Soc_SP'!$C:$AN,MID(U$1,1,2),FALSE)</f>
        <v>0</v>
      </c>
      <c r="V1548" s="55">
        <f>VLOOKUP($E1548,'NI-Soc_SP'!$C:$AN,MID(V$1,1,2),FALSE)</f>
        <v>0</v>
      </c>
      <c r="W1548" s="55">
        <f>VLOOKUP($E1548,'NI-Soc_SP'!$C:$AN,MID(W$1,1,2),FALSE)</f>
        <v>0</v>
      </c>
      <c r="X1548" s="55">
        <f>VLOOKUP($E1548,'NI-Soc_SP'!$C:$AN,MID(X$1,1,2),FALSE)</f>
        <v>0</v>
      </c>
      <c r="Y1548" s="55">
        <f>VLOOKUP($E1548,'NI-Soc_SP'!$C:$AN,MID(Y$1,1,2),FALSE)</f>
        <v>0</v>
      </c>
      <c r="Z1548" s="55">
        <f>VLOOKUP($E1548,'NI-Soc_SP'!$C:$AN,MID(Z$1,1,2),FALSE)</f>
        <v>0</v>
      </c>
      <c r="AA1548" s="55">
        <f>VLOOKUP($E1548,'NI-Soc_SP'!$C:$AN,MID(AA$1,1,2),FALSE)</f>
        <v>0</v>
      </c>
      <c r="AB1548" s="55">
        <f>VLOOKUP($E1548,'NI-Soc_SP'!$C:$AN,MID(AB$1,1,2),FALSE)</f>
        <v>0</v>
      </c>
      <c r="AC1548" s="55">
        <f>VLOOKUP($E1548,'NI-Soc_SP'!$C:$AN,MID(AC$1,1,2),FALSE)</f>
        <v>0</v>
      </c>
      <c r="AD1548" s="55">
        <f>VLOOKUP($E1548,'NI-Soc_SP'!$C:$AN,MID(AD$1,1,2),FALSE)</f>
        <v>0</v>
      </c>
      <c r="AE1548" s="55">
        <f>VLOOKUP($E1548,'NI-Soc_SP'!$C:$AN,MID(AE$1,1,2),FALSE)</f>
        <v>0</v>
      </c>
      <c r="AF1548" s="55">
        <f>VLOOKUP($E1548,'NI-Soc_SP'!$C:$AN,MID(AF$1,1,2),FALSE)</f>
        <v>0</v>
      </c>
      <c r="AG1548" s="55">
        <f>VLOOKUP($E1548,'NI-Soc_SP'!$C:$AN,MID(AG$1,1,2),FALSE)</f>
        <v>0</v>
      </c>
      <c r="AH1548" s="55">
        <f>VLOOKUP($E1548,'NI-Soc_SP'!$C:$AN,MID(AH$1,1,2),FALSE)</f>
        <v>0</v>
      </c>
      <c r="AI1548" s="55">
        <f>VLOOKUP($E1548,'NI-Soc_SP'!$C:$AN,MID(AI$1,1,2),FALSE)</f>
        <v>0</v>
      </c>
      <c r="AJ1548" s="55">
        <f>VLOOKUP($E1548,'NI-Soc_SP'!$C:$AN,MID(AJ$1,1,2),FALSE)</f>
        <v>0</v>
      </c>
      <c r="AK1548" s="55">
        <f>VLOOKUP($E1548,'NI-Soc_SP'!$C:$AN,MID(AK$1,1,2),FALSE)</f>
        <v>0</v>
      </c>
      <c r="AL1548" s="55">
        <f>VLOOKUP($E1548,'NI-Soc_SP'!$C:$AN,MID(AL$1,1,2),FALSE)</f>
        <v>0</v>
      </c>
      <c r="AM1548" s="56">
        <f>VLOOKUP($E1548,'NI-Soc_SP'!$C:$AN,MID(AM$1,1,2),FALSE)</f>
        <v>0</v>
      </c>
      <c r="AN1548" s="30" t="str">
        <f t="shared" si="24"/>
        <v>10201010020010</v>
      </c>
    </row>
    <row r="1549" spans="3:40" x14ac:dyDescent="0.25">
      <c r="C1549" s="40"/>
      <c r="D1549" s="121" t="s">
        <v>449</v>
      </c>
      <c r="E1549" s="121" t="s">
        <v>450</v>
      </c>
      <c r="F1549" s="122" t="s">
        <v>2758</v>
      </c>
      <c r="G1549" s="52"/>
      <c r="H1549" s="52"/>
      <c r="I1549" s="52"/>
      <c r="J1549" s="52"/>
      <c r="K1549" s="59" t="s">
        <v>79</v>
      </c>
      <c r="L1549" s="52"/>
      <c r="M1549" s="52"/>
      <c r="N1549" s="52"/>
      <c r="O1549" s="52"/>
      <c r="P1549" s="63" t="s">
        <v>451</v>
      </c>
      <c r="Q1549" s="55">
        <f>VLOOKUP(E1549,'NI-Soc_SP'!$C:$AN,12,FALSE)</f>
        <v>0</v>
      </c>
      <c r="R1549" s="55">
        <f>VLOOKUP(E1549,'NI-Soc_SP'!$C:$AN,13,FALSE)</f>
        <v>0</v>
      </c>
      <c r="S1549" s="55"/>
      <c r="T1549" s="55"/>
      <c r="U1549" s="55">
        <f>VLOOKUP($E1549,'NI-Soc_SP'!$C:$AN,MID(U$1,1,2),FALSE)</f>
        <v>0</v>
      </c>
      <c r="V1549" s="55">
        <f>VLOOKUP($E1549,'NI-Soc_SP'!$C:$AN,MID(V$1,1,2),FALSE)</f>
        <v>0</v>
      </c>
      <c r="W1549" s="55">
        <f>VLOOKUP($E1549,'NI-Soc_SP'!$C:$AN,MID(W$1,1,2),FALSE)</f>
        <v>0</v>
      </c>
      <c r="X1549" s="55">
        <f>VLOOKUP($E1549,'NI-Soc_SP'!$C:$AN,MID(X$1,1,2),FALSE)</f>
        <v>0</v>
      </c>
      <c r="Y1549" s="55">
        <f>VLOOKUP($E1549,'NI-Soc_SP'!$C:$AN,MID(Y$1,1,2),FALSE)</f>
        <v>0</v>
      </c>
      <c r="Z1549" s="55">
        <f>VLOOKUP($E1549,'NI-Soc_SP'!$C:$AN,MID(Z$1,1,2),FALSE)</f>
        <v>0</v>
      </c>
      <c r="AA1549" s="55">
        <f>VLOOKUP($E1549,'NI-Soc_SP'!$C:$AN,MID(AA$1,1,2),FALSE)</f>
        <v>0</v>
      </c>
      <c r="AB1549" s="55">
        <f>VLOOKUP($E1549,'NI-Soc_SP'!$C:$AN,MID(AB$1,1,2),FALSE)</f>
        <v>0</v>
      </c>
      <c r="AC1549" s="55">
        <f>VLOOKUP($E1549,'NI-Soc_SP'!$C:$AN,MID(AC$1,1,2),FALSE)</f>
        <v>0</v>
      </c>
      <c r="AD1549" s="55">
        <f>VLOOKUP($E1549,'NI-Soc_SP'!$C:$AN,MID(AD$1,1,2),FALSE)</f>
        <v>0</v>
      </c>
      <c r="AE1549" s="55">
        <f>VLOOKUP($E1549,'NI-Soc_SP'!$C:$AN,MID(AE$1,1,2),FALSE)</f>
        <v>0</v>
      </c>
      <c r="AF1549" s="55">
        <f>VLOOKUP($E1549,'NI-Soc_SP'!$C:$AN,MID(AF$1,1,2),FALSE)</f>
        <v>0</v>
      </c>
      <c r="AG1549" s="55">
        <f>VLOOKUP($E1549,'NI-Soc_SP'!$C:$AN,MID(AG$1,1,2),FALSE)</f>
        <v>0</v>
      </c>
      <c r="AH1549" s="55">
        <f>VLOOKUP($E1549,'NI-Soc_SP'!$C:$AN,MID(AH$1,1,2),FALSE)</f>
        <v>0</v>
      </c>
      <c r="AI1549" s="55">
        <f>VLOOKUP($E1549,'NI-Soc_SP'!$C:$AN,MID(AI$1,1,2),FALSE)</f>
        <v>0</v>
      </c>
      <c r="AJ1549" s="55">
        <f>VLOOKUP($E1549,'NI-Soc_SP'!$C:$AN,MID(AJ$1,1,2),FALSE)</f>
        <v>0</v>
      </c>
      <c r="AK1549" s="55">
        <f>VLOOKUP($E1549,'NI-Soc_SP'!$C:$AN,MID(AK$1,1,2),FALSE)</f>
        <v>0</v>
      </c>
      <c r="AL1549" s="55">
        <f>VLOOKUP($E1549,'NI-Soc_SP'!$C:$AN,MID(AL$1,1,2),FALSE)</f>
        <v>0</v>
      </c>
      <c r="AM1549" s="56">
        <f>VLOOKUP($E1549,'NI-Soc_SP'!$C:$AN,MID(AM$1,1,2),FALSE)</f>
        <v>0</v>
      </c>
      <c r="AN1549" s="30" t="str">
        <f t="shared" si="24"/>
        <v>10201010020020</v>
      </c>
    </row>
    <row r="1550" spans="3:40" x14ac:dyDescent="0.25">
      <c r="C1550" s="40"/>
      <c r="D1550" s="121" t="s">
        <v>452</v>
      </c>
      <c r="E1550" s="121" t="s">
        <v>453</v>
      </c>
      <c r="F1550" s="122" t="s">
        <v>2758</v>
      </c>
      <c r="G1550" s="52"/>
      <c r="H1550" s="52"/>
      <c r="I1550" s="52"/>
      <c r="J1550" s="52"/>
      <c r="K1550" s="59" t="s">
        <v>79</v>
      </c>
      <c r="L1550" s="52"/>
      <c r="M1550" s="52"/>
      <c r="N1550" s="52"/>
      <c r="O1550" s="52"/>
      <c r="P1550" s="63" t="s">
        <v>454</v>
      </c>
      <c r="Q1550" s="55">
        <f>VLOOKUP(E1550,'NI-Soc_SP'!$C:$AN,12,FALSE)</f>
        <v>0</v>
      </c>
      <c r="R1550" s="55">
        <f>VLOOKUP(E1550,'NI-Soc_SP'!$C:$AN,13,FALSE)</f>
        <v>0</v>
      </c>
      <c r="S1550" s="55"/>
      <c r="T1550" s="55"/>
      <c r="U1550" s="55">
        <f>VLOOKUP($E1550,'NI-Soc_SP'!$C:$AN,MID(U$1,1,2),FALSE)</f>
        <v>0</v>
      </c>
      <c r="V1550" s="55">
        <f>VLOOKUP($E1550,'NI-Soc_SP'!$C:$AN,MID(V$1,1,2),FALSE)</f>
        <v>0</v>
      </c>
      <c r="W1550" s="55">
        <f>VLOOKUP($E1550,'NI-Soc_SP'!$C:$AN,MID(W$1,1,2),FALSE)</f>
        <v>0</v>
      </c>
      <c r="X1550" s="55">
        <f>VLOOKUP($E1550,'NI-Soc_SP'!$C:$AN,MID(X$1,1,2),FALSE)</f>
        <v>0</v>
      </c>
      <c r="Y1550" s="55">
        <f>VLOOKUP($E1550,'NI-Soc_SP'!$C:$AN,MID(Y$1,1,2),FALSE)</f>
        <v>0</v>
      </c>
      <c r="Z1550" s="55">
        <f>VLOOKUP($E1550,'NI-Soc_SP'!$C:$AN,MID(Z$1,1,2),FALSE)</f>
        <v>0</v>
      </c>
      <c r="AA1550" s="55">
        <f>VLOOKUP($E1550,'NI-Soc_SP'!$C:$AN,MID(AA$1,1,2),FALSE)</f>
        <v>0</v>
      </c>
      <c r="AB1550" s="55">
        <f>VLOOKUP($E1550,'NI-Soc_SP'!$C:$AN,MID(AB$1,1,2),FALSE)</f>
        <v>0</v>
      </c>
      <c r="AC1550" s="55">
        <f>VLOOKUP($E1550,'NI-Soc_SP'!$C:$AN,MID(AC$1,1,2),FALSE)</f>
        <v>0</v>
      </c>
      <c r="AD1550" s="55">
        <f>VLOOKUP($E1550,'NI-Soc_SP'!$C:$AN,MID(AD$1,1,2),FALSE)</f>
        <v>0</v>
      </c>
      <c r="AE1550" s="55">
        <f>VLOOKUP($E1550,'NI-Soc_SP'!$C:$AN,MID(AE$1,1,2),FALSE)</f>
        <v>0</v>
      </c>
      <c r="AF1550" s="55">
        <f>VLOOKUP($E1550,'NI-Soc_SP'!$C:$AN,MID(AF$1,1,2),FALSE)</f>
        <v>0</v>
      </c>
      <c r="AG1550" s="55">
        <f>VLOOKUP($E1550,'NI-Soc_SP'!$C:$AN,MID(AG$1,1,2),FALSE)</f>
        <v>0</v>
      </c>
      <c r="AH1550" s="55">
        <f>VLOOKUP($E1550,'NI-Soc_SP'!$C:$AN,MID(AH$1,1,2),FALSE)</f>
        <v>0</v>
      </c>
      <c r="AI1550" s="55">
        <f>VLOOKUP($E1550,'NI-Soc_SP'!$C:$AN,MID(AI$1,1,2),FALSE)</f>
        <v>0</v>
      </c>
      <c r="AJ1550" s="55">
        <f>VLOOKUP($E1550,'NI-Soc_SP'!$C:$AN,MID(AJ$1,1,2),FALSE)</f>
        <v>0</v>
      </c>
      <c r="AK1550" s="55">
        <f>VLOOKUP($E1550,'NI-Soc_SP'!$C:$AN,MID(AK$1,1,2),FALSE)</f>
        <v>0</v>
      </c>
      <c r="AL1550" s="55">
        <f>VLOOKUP($E1550,'NI-Soc_SP'!$C:$AN,MID(AL$1,1,2),FALSE)</f>
        <v>0</v>
      </c>
      <c r="AM1550" s="56">
        <f>VLOOKUP($E1550,'NI-Soc_SP'!$C:$AN,MID(AM$1,1,2),FALSE)</f>
        <v>0</v>
      </c>
      <c r="AN1550" s="30" t="str">
        <f t="shared" si="24"/>
        <v>10201010030010</v>
      </c>
    </row>
    <row r="1551" spans="3:40" x14ac:dyDescent="0.25">
      <c r="C1551" s="40"/>
      <c r="D1551" s="121" t="s">
        <v>455</v>
      </c>
      <c r="E1551" s="121" t="s">
        <v>456</v>
      </c>
      <c r="F1551" s="122" t="s">
        <v>2758</v>
      </c>
      <c r="G1551" s="52"/>
      <c r="H1551" s="52"/>
      <c r="I1551" s="52"/>
      <c r="J1551" s="52"/>
      <c r="K1551" s="59" t="s">
        <v>79</v>
      </c>
      <c r="L1551" s="52"/>
      <c r="M1551" s="52"/>
      <c r="N1551" s="52"/>
      <c r="O1551" s="52"/>
      <c r="P1551" s="63" t="s">
        <v>457</v>
      </c>
      <c r="Q1551" s="55">
        <f>VLOOKUP(E1551,'NI-Soc_SP'!$C:$AN,12,FALSE)</f>
        <v>0</v>
      </c>
      <c r="R1551" s="55">
        <f>VLOOKUP(E1551,'NI-Soc_SP'!$C:$AN,13,FALSE)</f>
        <v>0</v>
      </c>
      <c r="S1551" s="55"/>
      <c r="T1551" s="55"/>
      <c r="U1551" s="55">
        <f>VLOOKUP($E1551,'NI-Soc_SP'!$C:$AN,MID(U$1,1,2),FALSE)</f>
        <v>0</v>
      </c>
      <c r="V1551" s="55">
        <f>VLOOKUP($E1551,'NI-Soc_SP'!$C:$AN,MID(V$1,1,2),FALSE)</f>
        <v>0</v>
      </c>
      <c r="W1551" s="55">
        <f>VLOOKUP($E1551,'NI-Soc_SP'!$C:$AN,MID(W$1,1,2),FALSE)</f>
        <v>0</v>
      </c>
      <c r="X1551" s="55">
        <f>VLOOKUP($E1551,'NI-Soc_SP'!$C:$AN,MID(X$1,1,2),FALSE)</f>
        <v>0</v>
      </c>
      <c r="Y1551" s="55">
        <f>VLOOKUP($E1551,'NI-Soc_SP'!$C:$AN,MID(Y$1,1,2),FALSE)</f>
        <v>0</v>
      </c>
      <c r="Z1551" s="55">
        <f>VLOOKUP($E1551,'NI-Soc_SP'!$C:$AN,MID(Z$1,1,2),FALSE)</f>
        <v>0</v>
      </c>
      <c r="AA1551" s="55">
        <f>VLOOKUP($E1551,'NI-Soc_SP'!$C:$AN,MID(AA$1,1,2),FALSE)</f>
        <v>0</v>
      </c>
      <c r="AB1551" s="55">
        <f>VLOOKUP($E1551,'NI-Soc_SP'!$C:$AN,MID(AB$1,1,2),FALSE)</f>
        <v>0</v>
      </c>
      <c r="AC1551" s="55">
        <f>VLOOKUP($E1551,'NI-Soc_SP'!$C:$AN,MID(AC$1,1,2),FALSE)</f>
        <v>0</v>
      </c>
      <c r="AD1551" s="55">
        <f>VLOOKUP($E1551,'NI-Soc_SP'!$C:$AN,MID(AD$1,1,2),FALSE)</f>
        <v>0</v>
      </c>
      <c r="AE1551" s="55">
        <f>VLOOKUP($E1551,'NI-Soc_SP'!$C:$AN,MID(AE$1,1,2),FALSE)</f>
        <v>0</v>
      </c>
      <c r="AF1551" s="55">
        <f>VLOOKUP($E1551,'NI-Soc_SP'!$C:$AN,MID(AF$1,1,2),FALSE)</f>
        <v>0</v>
      </c>
      <c r="AG1551" s="55">
        <f>VLOOKUP($E1551,'NI-Soc_SP'!$C:$AN,MID(AG$1,1,2),FALSE)</f>
        <v>0</v>
      </c>
      <c r="AH1551" s="55">
        <f>VLOOKUP($E1551,'NI-Soc_SP'!$C:$AN,MID(AH$1,1,2),FALSE)</f>
        <v>0</v>
      </c>
      <c r="AI1551" s="55">
        <f>VLOOKUP($E1551,'NI-Soc_SP'!$C:$AN,MID(AI$1,1,2),FALSE)</f>
        <v>0</v>
      </c>
      <c r="AJ1551" s="55">
        <f>VLOOKUP($E1551,'NI-Soc_SP'!$C:$AN,MID(AJ$1,1,2),FALSE)</f>
        <v>0</v>
      </c>
      <c r="AK1551" s="55">
        <f>VLOOKUP($E1551,'NI-Soc_SP'!$C:$AN,MID(AK$1,1,2),FALSE)</f>
        <v>0</v>
      </c>
      <c r="AL1551" s="55">
        <f>VLOOKUP($E1551,'NI-Soc_SP'!$C:$AN,MID(AL$1,1,2),FALSE)</f>
        <v>0</v>
      </c>
      <c r="AM1551" s="56">
        <f>VLOOKUP($E1551,'NI-Soc_SP'!$C:$AN,MID(AM$1,1,2),FALSE)</f>
        <v>0</v>
      </c>
      <c r="AN1551" s="30" t="str">
        <f t="shared" si="24"/>
        <v>10201010030020</v>
      </c>
    </row>
    <row r="1552" spans="3:40" x14ac:dyDescent="0.25">
      <c r="C1552" s="40"/>
      <c r="D1552" s="121" t="s">
        <v>458</v>
      </c>
      <c r="E1552" s="121" t="s">
        <v>459</v>
      </c>
      <c r="F1552" s="122" t="s">
        <v>2758</v>
      </c>
      <c r="G1552" s="52"/>
      <c r="H1552" s="52"/>
      <c r="I1552" s="52" t="s">
        <v>460</v>
      </c>
      <c r="J1552" s="52"/>
      <c r="K1552" s="59" t="s">
        <v>111</v>
      </c>
      <c r="L1552" s="52"/>
      <c r="M1552" s="52"/>
      <c r="N1552" s="52"/>
      <c r="O1552" s="61" t="s">
        <v>461</v>
      </c>
      <c r="P1552" s="60" t="s">
        <v>462</v>
      </c>
      <c r="Q1552" s="55">
        <f>VLOOKUP(E1552,'NI-Soc_SP'!$C:$AN,12,FALSE)</f>
        <v>0</v>
      </c>
      <c r="R1552" s="55">
        <f>VLOOKUP(E1552,'NI-Soc_SP'!$C:$AN,13,FALSE)</f>
        <v>0</v>
      </c>
      <c r="S1552" s="55"/>
      <c r="T1552" s="55"/>
      <c r="U1552" s="55">
        <f>VLOOKUP($E1552,'NI-Soc_SP'!$C:$AN,MID(U$1,1,2),FALSE)</f>
        <v>0</v>
      </c>
      <c r="V1552" s="55">
        <f>VLOOKUP($E1552,'NI-Soc_SP'!$C:$AN,MID(V$1,1,2),FALSE)</f>
        <v>0</v>
      </c>
      <c r="W1552" s="55">
        <f>VLOOKUP($E1552,'NI-Soc_SP'!$C:$AN,MID(W$1,1,2),FALSE)</f>
        <v>0</v>
      </c>
      <c r="X1552" s="55">
        <f>VLOOKUP($E1552,'NI-Soc_SP'!$C:$AN,MID(X$1,1,2),FALSE)</f>
        <v>0</v>
      </c>
      <c r="Y1552" s="55">
        <f>VLOOKUP($E1552,'NI-Soc_SP'!$C:$AN,MID(Y$1,1,2),FALSE)</f>
        <v>0</v>
      </c>
      <c r="Z1552" s="55">
        <f>VLOOKUP($E1552,'NI-Soc_SP'!$C:$AN,MID(Z$1,1,2),FALSE)</f>
        <v>0</v>
      </c>
      <c r="AA1552" s="55">
        <f>VLOOKUP($E1552,'NI-Soc_SP'!$C:$AN,MID(AA$1,1,2),FALSE)</f>
        <v>0</v>
      </c>
      <c r="AB1552" s="55">
        <f>VLOOKUP($E1552,'NI-Soc_SP'!$C:$AN,MID(AB$1,1,2),FALSE)</f>
        <v>0</v>
      </c>
      <c r="AC1552" s="55">
        <f>VLOOKUP($E1552,'NI-Soc_SP'!$C:$AN,MID(AC$1,1,2),FALSE)</f>
        <v>0</v>
      </c>
      <c r="AD1552" s="55">
        <f>VLOOKUP($E1552,'NI-Soc_SP'!$C:$AN,MID(AD$1,1,2),FALSE)</f>
        <v>0</v>
      </c>
      <c r="AE1552" s="55">
        <f>VLOOKUP($E1552,'NI-Soc_SP'!$C:$AN,MID(AE$1,1,2),FALSE)</f>
        <v>0</v>
      </c>
      <c r="AF1552" s="55">
        <f>VLOOKUP($E1552,'NI-Soc_SP'!$C:$AN,MID(AF$1,1,2),FALSE)</f>
        <v>0</v>
      </c>
      <c r="AG1552" s="55">
        <f>VLOOKUP($E1552,'NI-Soc_SP'!$C:$AN,MID(AG$1,1,2),FALSE)</f>
        <v>0</v>
      </c>
      <c r="AH1552" s="55">
        <f>VLOOKUP($E1552,'NI-Soc_SP'!$C:$AN,MID(AH$1,1,2),FALSE)</f>
        <v>0</v>
      </c>
      <c r="AI1552" s="55">
        <f>VLOOKUP($E1552,'NI-Soc_SP'!$C:$AN,MID(AI$1,1,2),FALSE)</f>
        <v>0</v>
      </c>
      <c r="AJ1552" s="55">
        <f>VLOOKUP($E1552,'NI-Soc_SP'!$C:$AN,MID(AJ$1,1,2),FALSE)</f>
        <v>0</v>
      </c>
      <c r="AK1552" s="55">
        <f>VLOOKUP($E1552,'NI-Soc_SP'!$C:$AN,MID(AK$1,1,2),FALSE)</f>
        <v>0</v>
      </c>
      <c r="AL1552" s="55">
        <f>VLOOKUP($E1552,'NI-Soc_SP'!$C:$AN,MID(AL$1,1,2),FALSE)</f>
        <v>0</v>
      </c>
      <c r="AM1552" s="56">
        <f>VLOOKUP($E1552,'NI-Soc_SP'!$C:$AN,MID(AM$1,1,2),FALSE)</f>
        <v>0</v>
      </c>
      <c r="AN1552" s="30" t="str">
        <f t="shared" si="24"/>
        <v>10201020000000</v>
      </c>
    </row>
    <row r="1553" spans="3:40" x14ac:dyDescent="0.25">
      <c r="C1553" s="40"/>
      <c r="D1553" s="121" t="s">
        <v>463</v>
      </c>
      <c r="E1553" s="121" t="s">
        <v>464</v>
      </c>
      <c r="F1553" s="122" t="s">
        <v>2758</v>
      </c>
      <c r="G1553" s="52"/>
      <c r="H1553" s="52"/>
      <c r="I1553" s="52"/>
      <c r="J1553" s="52"/>
      <c r="K1553" s="59" t="s">
        <v>79</v>
      </c>
      <c r="L1553" s="52"/>
      <c r="M1553" s="52"/>
      <c r="N1553" s="52"/>
      <c r="O1553" s="52"/>
      <c r="P1553" s="63" t="s">
        <v>465</v>
      </c>
      <c r="Q1553" s="55">
        <f>VLOOKUP(E1553,'NI-Soc_SP'!$C:$AN,12,FALSE)</f>
        <v>0</v>
      </c>
      <c r="R1553" s="55">
        <f>VLOOKUP(E1553,'NI-Soc_SP'!$C:$AN,13,FALSE)</f>
        <v>0</v>
      </c>
      <c r="S1553" s="55"/>
      <c r="T1553" s="55"/>
      <c r="U1553" s="55">
        <f>VLOOKUP($E1553,'NI-Soc_SP'!$C:$AN,MID(U$1,1,2),FALSE)</f>
        <v>0</v>
      </c>
      <c r="V1553" s="55">
        <f>VLOOKUP($E1553,'NI-Soc_SP'!$C:$AN,MID(V$1,1,2),FALSE)</f>
        <v>0</v>
      </c>
      <c r="W1553" s="55">
        <f>VLOOKUP($E1553,'NI-Soc_SP'!$C:$AN,MID(W$1,1,2),FALSE)</f>
        <v>0</v>
      </c>
      <c r="X1553" s="55">
        <f>VLOOKUP($E1553,'NI-Soc_SP'!$C:$AN,MID(X$1,1,2),FALSE)</f>
        <v>0</v>
      </c>
      <c r="Y1553" s="55">
        <f>VLOOKUP($E1553,'NI-Soc_SP'!$C:$AN,MID(Y$1,1,2),FALSE)</f>
        <v>0</v>
      </c>
      <c r="Z1553" s="55">
        <f>VLOOKUP($E1553,'NI-Soc_SP'!$C:$AN,MID(Z$1,1,2),FALSE)</f>
        <v>0</v>
      </c>
      <c r="AA1553" s="55">
        <f>VLOOKUP($E1553,'NI-Soc_SP'!$C:$AN,MID(AA$1,1,2),FALSE)</f>
        <v>0</v>
      </c>
      <c r="AB1553" s="55">
        <f>VLOOKUP($E1553,'NI-Soc_SP'!$C:$AN,MID(AB$1,1,2),FALSE)</f>
        <v>0</v>
      </c>
      <c r="AC1553" s="55">
        <f>VLOOKUP($E1553,'NI-Soc_SP'!$C:$AN,MID(AC$1,1,2),FALSE)</f>
        <v>0</v>
      </c>
      <c r="AD1553" s="55">
        <f>VLOOKUP($E1553,'NI-Soc_SP'!$C:$AN,MID(AD$1,1,2),FALSE)</f>
        <v>0</v>
      </c>
      <c r="AE1553" s="55">
        <f>VLOOKUP($E1553,'NI-Soc_SP'!$C:$AN,MID(AE$1,1,2),FALSE)</f>
        <v>0</v>
      </c>
      <c r="AF1553" s="55">
        <f>VLOOKUP($E1553,'NI-Soc_SP'!$C:$AN,MID(AF$1,1,2),FALSE)</f>
        <v>0</v>
      </c>
      <c r="AG1553" s="55">
        <f>VLOOKUP($E1553,'NI-Soc_SP'!$C:$AN,MID(AG$1,1,2),FALSE)</f>
        <v>0</v>
      </c>
      <c r="AH1553" s="55">
        <f>VLOOKUP($E1553,'NI-Soc_SP'!$C:$AN,MID(AH$1,1,2),FALSE)</f>
        <v>0</v>
      </c>
      <c r="AI1553" s="55">
        <f>VLOOKUP($E1553,'NI-Soc_SP'!$C:$AN,MID(AI$1,1,2),FALSE)</f>
        <v>0</v>
      </c>
      <c r="AJ1553" s="55">
        <f>VLOOKUP($E1553,'NI-Soc_SP'!$C:$AN,MID(AJ$1,1,2),FALSE)</f>
        <v>0</v>
      </c>
      <c r="AK1553" s="55">
        <f>VLOOKUP($E1553,'NI-Soc_SP'!$C:$AN,MID(AK$1,1,2),FALSE)</f>
        <v>0</v>
      </c>
      <c r="AL1553" s="55">
        <f>VLOOKUP($E1553,'NI-Soc_SP'!$C:$AN,MID(AL$1,1,2),FALSE)</f>
        <v>0</v>
      </c>
      <c r="AM1553" s="56">
        <f>VLOOKUP($E1553,'NI-Soc_SP'!$C:$AN,MID(AM$1,1,2),FALSE)</f>
        <v>0</v>
      </c>
      <c r="AN1553" s="30" t="str">
        <f t="shared" si="24"/>
        <v>10201020010010</v>
      </c>
    </row>
    <row r="1554" spans="3:40" x14ac:dyDescent="0.25">
      <c r="C1554" s="40"/>
      <c r="D1554" s="121" t="s">
        <v>466</v>
      </c>
      <c r="E1554" s="121" t="s">
        <v>467</v>
      </c>
      <c r="F1554" s="122" t="s">
        <v>2758</v>
      </c>
      <c r="G1554" s="52"/>
      <c r="H1554" s="52"/>
      <c r="I1554" s="52"/>
      <c r="J1554" s="52"/>
      <c r="K1554" s="59" t="s">
        <v>79</v>
      </c>
      <c r="L1554" s="52"/>
      <c r="M1554" s="52"/>
      <c r="N1554" s="52"/>
      <c r="O1554" s="52"/>
      <c r="P1554" s="63" t="s">
        <v>468</v>
      </c>
      <c r="Q1554" s="55">
        <f>VLOOKUP(E1554,'NI-Soc_SP'!$C:$AN,12,FALSE)</f>
        <v>0</v>
      </c>
      <c r="R1554" s="55">
        <f>VLOOKUP(E1554,'NI-Soc_SP'!$C:$AN,13,FALSE)</f>
        <v>0</v>
      </c>
      <c r="S1554" s="55"/>
      <c r="T1554" s="55"/>
      <c r="U1554" s="55">
        <f>VLOOKUP($E1554,'NI-Soc_SP'!$C:$AN,MID(U$1,1,2),FALSE)</f>
        <v>0</v>
      </c>
      <c r="V1554" s="55">
        <f>VLOOKUP($E1554,'NI-Soc_SP'!$C:$AN,MID(V$1,1,2),FALSE)</f>
        <v>0</v>
      </c>
      <c r="W1554" s="55">
        <f>VLOOKUP($E1554,'NI-Soc_SP'!$C:$AN,MID(W$1,1,2),FALSE)</f>
        <v>0</v>
      </c>
      <c r="X1554" s="55">
        <f>VLOOKUP($E1554,'NI-Soc_SP'!$C:$AN,MID(X$1,1,2),FALSE)</f>
        <v>0</v>
      </c>
      <c r="Y1554" s="55">
        <f>VLOOKUP($E1554,'NI-Soc_SP'!$C:$AN,MID(Y$1,1,2),FALSE)</f>
        <v>0</v>
      </c>
      <c r="Z1554" s="55">
        <f>VLOOKUP($E1554,'NI-Soc_SP'!$C:$AN,MID(Z$1,1,2),FALSE)</f>
        <v>0</v>
      </c>
      <c r="AA1554" s="55">
        <f>VLOOKUP($E1554,'NI-Soc_SP'!$C:$AN,MID(AA$1,1,2),FALSE)</f>
        <v>0</v>
      </c>
      <c r="AB1554" s="55">
        <f>VLOOKUP($E1554,'NI-Soc_SP'!$C:$AN,MID(AB$1,1,2),FALSE)</f>
        <v>0</v>
      </c>
      <c r="AC1554" s="55">
        <f>VLOOKUP($E1554,'NI-Soc_SP'!$C:$AN,MID(AC$1,1,2),FALSE)</f>
        <v>0</v>
      </c>
      <c r="AD1554" s="55">
        <f>VLOOKUP($E1554,'NI-Soc_SP'!$C:$AN,MID(AD$1,1,2),FALSE)</f>
        <v>0</v>
      </c>
      <c r="AE1554" s="55">
        <f>VLOOKUP($E1554,'NI-Soc_SP'!$C:$AN,MID(AE$1,1,2),FALSE)</f>
        <v>0</v>
      </c>
      <c r="AF1554" s="55">
        <f>VLOOKUP($E1554,'NI-Soc_SP'!$C:$AN,MID(AF$1,1,2),FALSE)</f>
        <v>0</v>
      </c>
      <c r="AG1554" s="55">
        <f>VLOOKUP($E1554,'NI-Soc_SP'!$C:$AN,MID(AG$1,1,2),FALSE)</f>
        <v>0</v>
      </c>
      <c r="AH1554" s="55">
        <f>VLOOKUP($E1554,'NI-Soc_SP'!$C:$AN,MID(AH$1,1,2),FALSE)</f>
        <v>0</v>
      </c>
      <c r="AI1554" s="55">
        <f>VLOOKUP($E1554,'NI-Soc_SP'!$C:$AN,MID(AI$1,1,2),FALSE)</f>
        <v>0</v>
      </c>
      <c r="AJ1554" s="55">
        <f>VLOOKUP($E1554,'NI-Soc_SP'!$C:$AN,MID(AJ$1,1,2),FALSE)</f>
        <v>0</v>
      </c>
      <c r="AK1554" s="55">
        <f>VLOOKUP($E1554,'NI-Soc_SP'!$C:$AN,MID(AK$1,1,2),FALSE)</f>
        <v>0</v>
      </c>
      <c r="AL1554" s="55">
        <f>VLOOKUP($E1554,'NI-Soc_SP'!$C:$AN,MID(AL$1,1,2),FALSE)</f>
        <v>0</v>
      </c>
      <c r="AM1554" s="56">
        <f>VLOOKUP($E1554,'NI-Soc_SP'!$C:$AN,MID(AM$1,1,2),FALSE)</f>
        <v>0</v>
      </c>
      <c r="AN1554" s="30" t="str">
        <f t="shared" si="24"/>
        <v>10201020010020</v>
      </c>
    </row>
    <row r="1555" spans="3:40" x14ac:dyDescent="0.25">
      <c r="C1555" s="40"/>
      <c r="D1555" s="121" t="s">
        <v>469</v>
      </c>
      <c r="E1555" s="121" t="s">
        <v>470</v>
      </c>
      <c r="F1555" s="122" t="s">
        <v>2758</v>
      </c>
      <c r="G1555" s="52"/>
      <c r="H1555" s="52"/>
      <c r="I1555" s="52"/>
      <c r="J1555" s="52"/>
      <c r="K1555" s="59" t="s">
        <v>79</v>
      </c>
      <c r="L1555" s="52"/>
      <c r="M1555" s="52"/>
      <c r="N1555" s="52"/>
      <c r="O1555" s="52"/>
      <c r="P1555" s="63" t="s">
        <v>471</v>
      </c>
      <c r="Q1555" s="55">
        <f>VLOOKUP(E1555,'NI-Soc_SP'!$C:$AN,12,FALSE)</f>
        <v>0</v>
      </c>
      <c r="R1555" s="55">
        <f>VLOOKUP(E1555,'NI-Soc_SP'!$C:$AN,13,FALSE)</f>
        <v>0</v>
      </c>
      <c r="S1555" s="55"/>
      <c r="T1555" s="55"/>
      <c r="U1555" s="55">
        <f>VLOOKUP($E1555,'NI-Soc_SP'!$C:$AN,MID(U$1,1,2),FALSE)</f>
        <v>0</v>
      </c>
      <c r="V1555" s="55">
        <f>VLOOKUP($E1555,'NI-Soc_SP'!$C:$AN,MID(V$1,1,2),FALSE)</f>
        <v>0</v>
      </c>
      <c r="W1555" s="55">
        <f>VLOOKUP($E1555,'NI-Soc_SP'!$C:$AN,MID(W$1,1,2),FALSE)</f>
        <v>0</v>
      </c>
      <c r="X1555" s="55">
        <f>VLOOKUP($E1555,'NI-Soc_SP'!$C:$AN,MID(X$1,1,2),FALSE)</f>
        <v>0</v>
      </c>
      <c r="Y1555" s="55">
        <f>VLOOKUP($E1555,'NI-Soc_SP'!$C:$AN,MID(Y$1,1,2),FALSE)</f>
        <v>0</v>
      </c>
      <c r="Z1555" s="55">
        <f>VLOOKUP($E1555,'NI-Soc_SP'!$C:$AN,MID(Z$1,1,2),FALSE)</f>
        <v>0</v>
      </c>
      <c r="AA1555" s="55">
        <f>VLOOKUP($E1555,'NI-Soc_SP'!$C:$AN,MID(AA$1,1,2),FALSE)</f>
        <v>0</v>
      </c>
      <c r="AB1555" s="55">
        <f>VLOOKUP($E1555,'NI-Soc_SP'!$C:$AN,MID(AB$1,1,2),FALSE)</f>
        <v>0</v>
      </c>
      <c r="AC1555" s="55">
        <f>VLOOKUP($E1555,'NI-Soc_SP'!$C:$AN,MID(AC$1,1,2),FALSE)</f>
        <v>0</v>
      </c>
      <c r="AD1555" s="55">
        <f>VLOOKUP($E1555,'NI-Soc_SP'!$C:$AN,MID(AD$1,1,2),FALSE)</f>
        <v>0</v>
      </c>
      <c r="AE1555" s="55">
        <f>VLOOKUP($E1555,'NI-Soc_SP'!$C:$AN,MID(AE$1,1,2),FALSE)</f>
        <v>0</v>
      </c>
      <c r="AF1555" s="55">
        <f>VLOOKUP($E1555,'NI-Soc_SP'!$C:$AN,MID(AF$1,1,2),FALSE)</f>
        <v>0</v>
      </c>
      <c r="AG1555" s="55">
        <f>VLOOKUP($E1555,'NI-Soc_SP'!$C:$AN,MID(AG$1,1,2),FALSE)</f>
        <v>0</v>
      </c>
      <c r="AH1555" s="55">
        <f>VLOOKUP($E1555,'NI-Soc_SP'!$C:$AN,MID(AH$1,1,2),FALSE)</f>
        <v>0</v>
      </c>
      <c r="AI1555" s="55">
        <f>VLOOKUP($E1555,'NI-Soc_SP'!$C:$AN,MID(AI$1,1,2),FALSE)</f>
        <v>0</v>
      </c>
      <c r="AJ1555" s="55">
        <f>VLOOKUP($E1555,'NI-Soc_SP'!$C:$AN,MID(AJ$1,1,2),FALSE)</f>
        <v>0</v>
      </c>
      <c r="AK1555" s="55">
        <f>VLOOKUP($E1555,'NI-Soc_SP'!$C:$AN,MID(AK$1,1,2),FALSE)</f>
        <v>0</v>
      </c>
      <c r="AL1555" s="55">
        <f>VLOOKUP($E1555,'NI-Soc_SP'!$C:$AN,MID(AL$1,1,2),FALSE)</f>
        <v>0</v>
      </c>
      <c r="AM1555" s="56">
        <f>VLOOKUP($E1555,'NI-Soc_SP'!$C:$AN,MID(AM$1,1,2),FALSE)</f>
        <v>0</v>
      </c>
      <c r="AN1555" s="30" t="str">
        <f t="shared" si="24"/>
        <v>10201020020010</v>
      </c>
    </row>
    <row r="1556" spans="3:40" x14ac:dyDescent="0.25">
      <c r="C1556" s="40"/>
      <c r="D1556" s="121" t="s">
        <v>472</v>
      </c>
      <c r="E1556" s="121" t="s">
        <v>473</v>
      </c>
      <c r="F1556" s="122" t="s">
        <v>2758</v>
      </c>
      <c r="G1556" s="52"/>
      <c r="H1556" s="52"/>
      <c r="I1556" s="52"/>
      <c r="J1556" s="52"/>
      <c r="K1556" s="59" t="s">
        <v>79</v>
      </c>
      <c r="L1556" s="52"/>
      <c r="M1556" s="52"/>
      <c r="N1556" s="52"/>
      <c r="O1556" s="52"/>
      <c r="P1556" s="63" t="s">
        <v>474</v>
      </c>
      <c r="Q1556" s="55">
        <f>VLOOKUP(E1556,'NI-Soc_SP'!$C:$AN,12,FALSE)</f>
        <v>0</v>
      </c>
      <c r="R1556" s="55">
        <f>VLOOKUP(E1556,'NI-Soc_SP'!$C:$AN,13,FALSE)</f>
        <v>0</v>
      </c>
      <c r="S1556" s="55"/>
      <c r="T1556" s="55"/>
      <c r="U1556" s="55">
        <f>VLOOKUP($E1556,'NI-Soc_SP'!$C:$AN,MID(U$1,1,2),FALSE)</f>
        <v>0</v>
      </c>
      <c r="V1556" s="55">
        <f>VLOOKUP($E1556,'NI-Soc_SP'!$C:$AN,MID(V$1,1,2),FALSE)</f>
        <v>0</v>
      </c>
      <c r="W1556" s="55">
        <f>VLOOKUP($E1556,'NI-Soc_SP'!$C:$AN,MID(W$1,1,2),FALSE)</f>
        <v>0</v>
      </c>
      <c r="X1556" s="55">
        <f>VLOOKUP($E1556,'NI-Soc_SP'!$C:$AN,MID(X$1,1,2),FALSE)</f>
        <v>0</v>
      </c>
      <c r="Y1556" s="55">
        <f>VLOOKUP($E1556,'NI-Soc_SP'!$C:$AN,MID(Y$1,1,2),FALSE)</f>
        <v>0</v>
      </c>
      <c r="Z1556" s="55">
        <f>VLOOKUP($E1556,'NI-Soc_SP'!$C:$AN,MID(Z$1,1,2),FALSE)</f>
        <v>0</v>
      </c>
      <c r="AA1556" s="55">
        <f>VLOOKUP($E1556,'NI-Soc_SP'!$C:$AN,MID(AA$1,1,2),FALSE)</f>
        <v>0</v>
      </c>
      <c r="AB1556" s="55">
        <f>VLOOKUP($E1556,'NI-Soc_SP'!$C:$AN,MID(AB$1,1,2),FALSE)</f>
        <v>0</v>
      </c>
      <c r="AC1556" s="55">
        <f>VLOOKUP($E1556,'NI-Soc_SP'!$C:$AN,MID(AC$1,1,2),FALSE)</f>
        <v>0</v>
      </c>
      <c r="AD1556" s="55">
        <f>VLOOKUP($E1556,'NI-Soc_SP'!$C:$AN,MID(AD$1,1,2),FALSE)</f>
        <v>0</v>
      </c>
      <c r="AE1556" s="55">
        <f>VLOOKUP($E1556,'NI-Soc_SP'!$C:$AN,MID(AE$1,1,2),FALSE)</f>
        <v>0</v>
      </c>
      <c r="AF1556" s="55">
        <f>VLOOKUP($E1556,'NI-Soc_SP'!$C:$AN,MID(AF$1,1,2),FALSE)</f>
        <v>0</v>
      </c>
      <c r="AG1556" s="55">
        <f>VLOOKUP($E1556,'NI-Soc_SP'!$C:$AN,MID(AG$1,1,2),FALSE)</f>
        <v>0</v>
      </c>
      <c r="AH1556" s="55">
        <f>VLOOKUP($E1556,'NI-Soc_SP'!$C:$AN,MID(AH$1,1,2),FALSE)</f>
        <v>0</v>
      </c>
      <c r="AI1556" s="55">
        <f>VLOOKUP($E1556,'NI-Soc_SP'!$C:$AN,MID(AI$1,1,2),FALSE)</f>
        <v>0</v>
      </c>
      <c r="AJ1556" s="55">
        <f>VLOOKUP($E1556,'NI-Soc_SP'!$C:$AN,MID(AJ$1,1,2),FALSE)</f>
        <v>0</v>
      </c>
      <c r="AK1556" s="55">
        <f>VLOOKUP($E1556,'NI-Soc_SP'!$C:$AN,MID(AK$1,1,2),FALSE)</f>
        <v>0</v>
      </c>
      <c r="AL1556" s="55">
        <f>VLOOKUP($E1556,'NI-Soc_SP'!$C:$AN,MID(AL$1,1,2),FALSE)</f>
        <v>0</v>
      </c>
      <c r="AM1556" s="56">
        <f>VLOOKUP($E1556,'NI-Soc_SP'!$C:$AN,MID(AM$1,1,2),FALSE)</f>
        <v>0</v>
      </c>
      <c r="AN1556" s="30" t="str">
        <f t="shared" si="24"/>
        <v>10201020020020</v>
      </c>
    </row>
    <row r="1557" spans="3:40" x14ac:dyDescent="0.25">
      <c r="C1557" s="40"/>
      <c r="D1557" s="121" t="s">
        <v>475</v>
      </c>
      <c r="E1557" s="121" t="s">
        <v>476</v>
      </c>
      <c r="F1557" s="122" t="s">
        <v>2758</v>
      </c>
      <c r="G1557" s="52"/>
      <c r="H1557" s="52"/>
      <c r="I1557" s="52"/>
      <c r="J1557" s="52"/>
      <c r="K1557" s="59" t="s">
        <v>79</v>
      </c>
      <c r="L1557" s="52"/>
      <c r="M1557" s="52"/>
      <c r="N1557" s="52"/>
      <c r="O1557" s="52"/>
      <c r="P1557" s="63" t="s">
        <v>477</v>
      </c>
      <c r="Q1557" s="55">
        <f>VLOOKUP(E1557,'NI-Soc_SP'!$C:$AN,12,FALSE)</f>
        <v>0</v>
      </c>
      <c r="R1557" s="55">
        <f>VLOOKUP(E1557,'NI-Soc_SP'!$C:$AN,13,FALSE)</f>
        <v>0</v>
      </c>
      <c r="S1557" s="55"/>
      <c r="T1557" s="55"/>
      <c r="U1557" s="55">
        <f>VLOOKUP($E1557,'NI-Soc_SP'!$C:$AN,MID(U$1,1,2),FALSE)</f>
        <v>0</v>
      </c>
      <c r="V1557" s="55">
        <f>VLOOKUP($E1557,'NI-Soc_SP'!$C:$AN,MID(V$1,1,2),FALSE)</f>
        <v>0</v>
      </c>
      <c r="W1557" s="55">
        <f>VLOOKUP($E1557,'NI-Soc_SP'!$C:$AN,MID(W$1,1,2),FALSE)</f>
        <v>0</v>
      </c>
      <c r="X1557" s="55">
        <f>VLOOKUP($E1557,'NI-Soc_SP'!$C:$AN,MID(X$1,1,2),FALSE)</f>
        <v>0</v>
      </c>
      <c r="Y1557" s="55">
        <f>VLOOKUP($E1557,'NI-Soc_SP'!$C:$AN,MID(Y$1,1,2),FALSE)</f>
        <v>0</v>
      </c>
      <c r="Z1557" s="55">
        <f>VLOOKUP($E1557,'NI-Soc_SP'!$C:$AN,MID(Z$1,1,2),FALSE)</f>
        <v>0</v>
      </c>
      <c r="AA1557" s="55">
        <f>VLOOKUP($E1557,'NI-Soc_SP'!$C:$AN,MID(AA$1,1,2),FALSE)</f>
        <v>0</v>
      </c>
      <c r="AB1557" s="55">
        <f>VLOOKUP($E1557,'NI-Soc_SP'!$C:$AN,MID(AB$1,1,2),FALSE)</f>
        <v>0</v>
      </c>
      <c r="AC1557" s="55">
        <f>VLOOKUP($E1557,'NI-Soc_SP'!$C:$AN,MID(AC$1,1,2),FALSE)</f>
        <v>0</v>
      </c>
      <c r="AD1557" s="55">
        <f>VLOOKUP($E1557,'NI-Soc_SP'!$C:$AN,MID(AD$1,1,2),FALSE)</f>
        <v>0</v>
      </c>
      <c r="AE1557" s="55">
        <f>VLOOKUP($E1557,'NI-Soc_SP'!$C:$AN,MID(AE$1,1,2),FALSE)</f>
        <v>0</v>
      </c>
      <c r="AF1557" s="55">
        <f>VLOOKUP($E1557,'NI-Soc_SP'!$C:$AN,MID(AF$1,1,2),FALSE)</f>
        <v>0</v>
      </c>
      <c r="AG1557" s="55">
        <f>VLOOKUP($E1557,'NI-Soc_SP'!$C:$AN,MID(AG$1,1,2),FALSE)</f>
        <v>0</v>
      </c>
      <c r="AH1557" s="55">
        <f>VLOOKUP($E1557,'NI-Soc_SP'!$C:$AN,MID(AH$1,1,2),FALSE)</f>
        <v>0</v>
      </c>
      <c r="AI1557" s="55">
        <f>VLOOKUP($E1557,'NI-Soc_SP'!$C:$AN,MID(AI$1,1,2),FALSE)</f>
        <v>0</v>
      </c>
      <c r="AJ1557" s="55">
        <f>VLOOKUP($E1557,'NI-Soc_SP'!$C:$AN,MID(AJ$1,1,2),FALSE)</f>
        <v>0</v>
      </c>
      <c r="AK1557" s="55">
        <f>VLOOKUP($E1557,'NI-Soc_SP'!$C:$AN,MID(AK$1,1,2),FALSE)</f>
        <v>0</v>
      </c>
      <c r="AL1557" s="55">
        <f>VLOOKUP($E1557,'NI-Soc_SP'!$C:$AN,MID(AL$1,1,2),FALSE)</f>
        <v>0</v>
      </c>
      <c r="AM1557" s="56">
        <f>VLOOKUP($E1557,'NI-Soc_SP'!$C:$AN,MID(AM$1,1,2),FALSE)</f>
        <v>0</v>
      </c>
      <c r="AN1557" s="30" t="str">
        <f t="shared" si="24"/>
        <v>10201020030010</v>
      </c>
    </row>
    <row r="1558" spans="3:40" x14ac:dyDescent="0.25">
      <c r="C1558" s="40"/>
      <c r="D1558" s="121" t="s">
        <v>478</v>
      </c>
      <c r="E1558" s="121" t="s">
        <v>479</v>
      </c>
      <c r="F1558" s="122" t="s">
        <v>2758</v>
      </c>
      <c r="G1558" s="52"/>
      <c r="H1558" s="52"/>
      <c r="I1558" s="52"/>
      <c r="J1558" s="52"/>
      <c r="K1558" s="59" t="s">
        <v>79</v>
      </c>
      <c r="L1558" s="52"/>
      <c r="M1558" s="52"/>
      <c r="N1558" s="52"/>
      <c r="O1558" s="52"/>
      <c r="P1558" s="63" t="s">
        <v>480</v>
      </c>
      <c r="Q1558" s="55">
        <f>VLOOKUP(E1558,'NI-Soc_SP'!$C:$AN,12,FALSE)</f>
        <v>0</v>
      </c>
      <c r="R1558" s="55">
        <f>VLOOKUP(E1558,'NI-Soc_SP'!$C:$AN,13,FALSE)</f>
        <v>0</v>
      </c>
      <c r="S1558" s="55"/>
      <c r="T1558" s="55"/>
      <c r="U1558" s="55">
        <f>VLOOKUP($E1558,'NI-Soc_SP'!$C:$AN,MID(U$1,1,2),FALSE)</f>
        <v>0</v>
      </c>
      <c r="V1558" s="55">
        <f>VLOOKUP($E1558,'NI-Soc_SP'!$C:$AN,MID(V$1,1,2),FALSE)</f>
        <v>0</v>
      </c>
      <c r="W1558" s="55">
        <f>VLOOKUP($E1558,'NI-Soc_SP'!$C:$AN,MID(W$1,1,2),FALSE)</f>
        <v>0</v>
      </c>
      <c r="X1558" s="55">
        <f>VLOOKUP($E1558,'NI-Soc_SP'!$C:$AN,MID(X$1,1,2),FALSE)</f>
        <v>0</v>
      </c>
      <c r="Y1558" s="55">
        <f>VLOOKUP($E1558,'NI-Soc_SP'!$C:$AN,MID(Y$1,1,2),FALSE)</f>
        <v>0</v>
      </c>
      <c r="Z1558" s="55">
        <f>VLOOKUP($E1558,'NI-Soc_SP'!$C:$AN,MID(Z$1,1,2),FALSE)</f>
        <v>0</v>
      </c>
      <c r="AA1558" s="55">
        <f>VLOOKUP($E1558,'NI-Soc_SP'!$C:$AN,MID(AA$1,1,2),FALSE)</f>
        <v>0</v>
      </c>
      <c r="AB1558" s="55">
        <f>VLOOKUP($E1558,'NI-Soc_SP'!$C:$AN,MID(AB$1,1,2),FALSE)</f>
        <v>0</v>
      </c>
      <c r="AC1558" s="55">
        <f>VLOOKUP($E1558,'NI-Soc_SP'!$C:$AN,MID(AC$1,1,2),FALSE)</f>
        <v>0</v>
      </c>
      <c r="AD1558" s="55">
        <f>VLOOKUP($E1558,'NI-Soc_SP'!$C:$AN,MID(AD$1,1,2),FALSE)</f>
        <v>0</v>
      </c>
      <c r="AE1558" s="55">
        <f>VLOOKUP($E1558,'NI-Soc_SP'!$C:$AN,MID(AE$1,1,2),FALSE)</f>
        <v>0</v>
      </c>
      <c r="AF1558" s="55">
        <f>VLOOKUP($E1558,'NI-Soc_SP'!$C:$AN,MID(AF$1,1,2),FALSE)</f>
        <v>0</v>
      </c>
      <c r="AG1558" s="55">
        <f>VLOOKUP($E1558,'NI-Soc_SP'!$C:$AN,MID(AG$1,1,2),FALSE)</f>
        <v>0</v>
      </c>
      <c r="AH1558" s="55">
        <f>VLOOKUP($E1558,'NI-Soc_SP'!$C:$AN,MID(AH$1,1,2),FALSE)</f>
        <v>0</v>
      </c>
      <c r="AI1558" s="55">
        <f>VLOOKUP($E1558,'NI-Soc_SP'!$C:$AN,MID(AI$1,1,2),FALSE)</f>
        <v>0</v>
      </c>
      <c r="AJ1558" s="55">
        <f>VLOOKUP($E1558,'NI-Soc_SP'!$C:$AN,MID(AJ$1,1,2),FALSE)</f>
        <v>0</v>
      </c>
      <c r="AK1558" s="55">
        <f>VLOOKUP($E1558,'NI-Soc_SP'!$C:$AN,MID(AK$1,1,2),FALSE)</f>
        <v>0</v>
      </c>
      <c r="AL1558" s="55">
        <f>VLOOKUP($E1558,'NI-Soc_SP'!$C:$AN,MID(AL$1,1,2),FALSE)</f>
        <v>0</v>
      </c>
      <c r="AM1558" s="56">
        <f>VLOOKUP($E1558,'NI-Soc_SP'!$C:$AN,MID(AM$1,1,2),FALSE)</f>
        <v>0</v>
      </c>
      <c r="AN1558" s="30" t="str">
        <f t="shared" si="24"/>
        <v>10201020030020</v>
      </c>
    </row>
    <row r="1559" spans="3:40" x14ac:dyDescent="0.25">
      <c r="C1559" s="40"/>
      <c r="D1559" s="121" t="s">
        <v>481</v>
      </c>
      <c r="E1559" s="121" t="s">
        <v>482</v>
      </c>
      <c r="F1559" s="122" t="s">
        <v>2758</v>
      </c>
      <c r="G1559" s="52"/>
      <c r="H1559" s="52"/>
      <c r="I1559" s="52"/>
      <c r="J1559" s="52"/>
      <c r="K1559" s="59" t="s">
        <v>111</v>
      </c>
      <c r="L1559" s="52"/>
      <c r="M1559" s="52"/>
      <c r="N1559" s="52"/>
      <c r="O1559" s="52"/>
      <c r="P1559" s="60" t="s">
        <v>483</v>
      </c>
      <c r="Q1559" s="55">
        <f>VLOOKUP(E1559,'NI-Soc_SP'!$C:$AN,12,FALSE)</f>
        <v>0</v>
      </c>
      <c r="R1559" s="55">
        <f>VLOOKUP(E1559,'NI-Soc_SP'!$C:$AN,13,FALSE)</f>
        <v>0</v>
      </c>
      <c r="S1559" s="55"/>
      <c r="T1559" s="55"/>
      <c r="U1559" s="55">
        <f>VLOOKUP($E1559,'NI-Soc_SP'!$C:$AN,MID(U$1,1,2),FALSE)</f>
        <v>0</v>
      </c>
      <c r="V1559" s="55">
        <f>VLOOKUP($E1559,'NI-Soc_SP'!$C:$AN,MID(V$1,1,2),FALSE)</f>
        <v>0</v>
      </c>
      <c r="W1559" s="55">
        <f>VLOOKUP($E1559,'NI-Soc_SP'!$C:$AN,MID(W$1,1,2),FALSE)</f>
        <v>0</v>
      </c>
      <c r="X1559" s="55">
        <f>VLOOKUP($E1559,'NI-Soc_SP'!$C:$AN,MID(X$1,1,2),FALSE)</f>
        <v>0</v>
      </c>
      <c r="Y1559" s="55">
        <f>VLOOKUP($E1559,'NI-Soc_SP'!$C:$AN,MID(Y$1,1,2),FALSE)</f>
        <v>0</v>
      </c>
      <c r="Z1559" s="55">
        <f>VLOOKUP($E1559,'NI-Soc_SP'!$C:$AN,MID(Z$1,1,2),FALSE)</f>
        <v>0</v>
      </c>
      <c r="AA1559" s="55">
        <f>VLOOKUP($E1559,'NI-Soc_SP'!$C:$AN,MID(AA$1,1,2),FALSE)</f>
        <v>0</v>
      </c>
      <c r="AB1559" s="55">
        <f>VLOOKUP($E1559,'NI-Soc_SP'!$C:$AN,MID(AB$1,1,2),FALSE)</f>
        <v>0</v>
      </c>
      <c r="AC1559" s="55">
        <f>VLOOKUP($E1559,'NI-Soc_SP'!$C:$AN,MID(AC$1,1,2),FALSE)</f>
        <v>0</v>
      </c>
      <c r="AD1559" s="55">
        <f>VLOOKUP($E1559,'NI-Soc_SP'!$C:$AN,MID(AD$1,1,2),FALSE)</f>
        <v>0</v>
      </c>
      <c r="AE1559" s="55">
        <f>VLOOKUP($E1559,'NI-Soc_SP'!$C:$AN,MID(AE$1,1,2),FALSE)</f>
        <v>0</v>
      </c>
      <c r="AF1559" s="55">
        <f>VLOOKUP($E1559,'NI-Soc_SP'!$C:$AN,MID(AF$1,1,2),FALSE)</f>
        <v>0</v>
      </c>
      <c r="AG1559" s="55">
        <f>VLOOKUP($E1559,'NI-Soc_SP'!$C:$AN,MID(AG$1,1,2),FALSE)</f>
        <v>0</v>
      </c>
      <c r="AH1559" s="55">
        <f>VLOOKUP($E1559,'NI-Soc_SP'!$C:$AN,MID(AH$1,1,2),FALSE)</f>
        <v>0</v>
      </c>
      <c r="AI1559" s="55">
        <f>VLOOKUP($E1559,'NI-Soc_SP'!$C:$AN,MID(AI$1,1,2),FALSE)</f>
        <v>0</v>
      </c>
      <c r="AJ1559" s="55">
        <f>VLOOKUP($E1559,'NI-Soc_SP'!$C:$AN,MID(AJ$1,1,2),FALSE)</f>
        <v>0</v>
      </c>
      <c r="AK1559" s="55">
        <f>VLOOKUP($E1559,'NI-Soc_SP'!$C:$AN,MID(AK$1,1,2),FALSE)</f>
        <v>0</v>
      </c>
      <c r="AL1559" s="55">
        <f>VLOOKUP($E1559,'NI-Soc_SP'!$C:$AN,MID(AL$1,1,2),FALSE)</f>
        <v>0</v>
      </c>
      <c r="AM1559" s="56">
        <f>VLOOKUP($E1559,'NI-Soc_SP'!$C:$AN,MID(AM$1,1,2),FALSE)</f>
        <v>0</v>
      </c>
      <c r="AN1559" s="30" t="str">
        <f t="shared" si="24"/>
        <v>10202000000000</v>
      </c>
    </row>
    <row r="1560" spans="3:40" x14ac:dyDescent="0.25">
      <c r="C1560" s="40"/>
      <c r="D1560" s="121" t="s">
        <v>484</v>
      </c>
      <c r="E1560" s="121" t="s">
        <v>485</v>
      </c>
      <c r="F1560" s="122" t="s">
        <v>2758</v>
      </c>
      <c r="G1560" s="52"/>
      <c r="H1560" s="52"/>
      <c r="I1560" s="52"/>
      <c r="J1560" s="52"/>
      <c r="K1560" s="59" t="s">
        <v>111</v>
      </c>
      <c r="L1560" s="52"/>
      <c r="M1560" s="52"/>
      <c r="N1560" s="52"/>
      <c r="O1560" s="61" t="s">
        <v>486</v>
      </c>
      <c r="P1560" s="54" t="s">
        <v>487</v>
      </c>
      <c r="Q1560" s="55">
        <f>VLOOKUP(E1560,'NI-Soc_SP'!$C:$AN,12,FALSE)</f>
        <v>0</v>
      </c>
      <c r="R1560" s="55">
        <f>VLOOKUP(E1560,'NI-Soc_SP'!$C:$AN,13,FALSE)</f>
        <v>0</v>
      </c>
      <c r="S1560" s="55"/>
      <c r="T1560" s="55"/>
      <c r="U1560" s="55">
        <f>VLOOKUP($E1560,'NI-Soc_SP'!$C:$AN,MID(U$1,1,2),FALSE)</f>
        <v>0</v>
      </c>
      <c r="V1560" s="55">
        <f>VLOOKUP($E1560,'NI-Soc_SP'!$C:$AN,MID(V$1,1,2),FALSE)</f>
        <v>0</v>
      </c>
      <c r="W1560" s="55">
        <f>VLOOKUP($E1560,'NI-Soc_SP'!$C:$AN,MID(W$1,1,2),FALSE)</f>
        <v>0</v>
      </c>
      <c r="X1560" s="55">
        <f>VLOOKUP($E1560,'NI-Soc_SP'!$C:$AN,MID(X$1,1,2),FALSE)</f>
        <v>0</v>
      </c>
      <c r="Y1560" s="55">
        <f>VLOOKUP($E1560,'NI-Soc_SP'!$C:$AN,MID(Y$1,1,2),FALSE)</f>
        <v>0</v>
      </c>
      <c r="Z1560" s="55">
        <f>VLOOKUP($E1560,'NI-Soc_SP'!$C:$AN,MID(Z$1,1,2),FALSE)</f>
        <v>0</v>
      </c>
      <c r="AA1560" s="55">
        <f>VLOOKUP($E1560,'NI-Soc_SP'!$C:$AN,MID(AA$1,1,2),FALSE)</f>
        <v>0</v>
      </c>
      <c r="AB1560" s="55">
        <f>VLOOKUP($E1560,'NI-Soc_SP'!$C:$AN,MID(AB$1,1,2),FALSE)</f>
        <v>0</v>
      </c>
      <c r="AC1560" s="55">
        <f>VLOOKUP($E1560,'NI-Soc_SP'!$C:$AN,MID(AC$1,1,2),FALSE)</f>
        <v>0</v>
      </c>
      <c r="AD1560" s="55">
        <f>VLOOKUP($E1560,'NI-Soc_SP'!$C:$AN,MID(AD$1,1,2),FALSE)</f>
        <v>0</v>
      </c>
      <c r="AE1560" s="55">
        <f>VLOOKUP($E1560,'NI-Soc_SP'!$C:$AN,MID(AE$1,1,2),FALSE)</f>
        <v>0</v>
      </c>
      <c r="AF1560" s="55">
        <f>VLOOKUP($E1560,'NI-Soc_SP'!$C:$AN,MID(AF$1,1,2),FALSE)</f>
        <v>0</v>
      </c>
      <c r="AG1560" s="55">
        <f>VLOOKUP($E1560,'NI-Soc_SP'!$C:$AN,MID(AG$1,1,2),FALSE)</f>
        <v>0</v>
      </c>
      <c r="AH1560" s="55">
        <f>VLOOKUP($E1560,'NI-Soc_SP'!$C:$AN,MID(AH$1,1,2),FALSE)</f>
        <v>0</v>
      </c>
      <c r="AI1560" s="55">
        <f>VLOOKUP($E1560,'NI-Soc_SP'!$C:$AN,MID(AI$1,1,2),FALSE)</f>
        <v>0</v>
      </c>
      <c r="AJ1560" s="55">
        <f>VLOOKUP($E1560,'NI-Soc_SP'!$C:$AN,MID(AJ$1,1,2),FALSE)</f>
        <v>0</v>
      </c>
      <c r="AK1560" s="55">
        <f>VLOOKUP($E1560,'NI-Soc_SP'!$C:$AN,MID(AK$1,1,2),FALSE)</f>
        <v>0</v>
      </c>
      <c r="AL1560" s="55">
        <f>VLOOKUP($E1560,'NI-Soc_SP'!$C:$AN,MID(AL$1,1,2),FALSE)</f>
        <v>0</v>
      </c>
      <c r="AM1560" s="56">
        <f>VLOOKUP($E1560,'NI-Soc_SP'!$C:$AN,MID(AM$1,1,2),FALSE)</f>
        <v>0</v>
      </c>
      <c r="AN1560" s="30" t="str">
        <f t="shared" si="24"/>
        <v>10202010000000</v>
      </c>
    </row>
    <row r="1561" spans="3:40" x14ac:dyDescent="0.25">
      <c r="C1561" s="40"/>
      <c r="D1561" s="121" t="s">
        <v>488</v>
      </c>
      <c r="E1561" s="121" t="s">
        <v>489</v>
      </c>
      <c r="F1561" s="122" t="s">
        <v>2758</v>
      </c>
      <c r="G1561" s="52"/>
      <c r="H1561" s="52"/>
      <c r="I1561" s="52" t="s">
        <v>490</v>
      </c>
      <c r="J1561" s="52"/>
      <c r="K1561" s="59" t="s">
        <v>111</v>
      </c>
      <c r="L1561" s="62" t="s">
        <v>491</v>
      </c>
      <c r="M1561" s="52"/>
      <c r="N1561" s="52"/>
      <c r="O1561" s="65"/>
      <c r="P1561" s="54" t="s">
        <v>492</v>
      </c>
      <c r="Q1561" s="55">
        <f>VLOOKUP(E1561,'NI-Soc_SP'!$C:$AN,12,FALSE)</f>
        <v>0</v>
      </c>
      <c r="R1561" s="55">
        <f>VLOOKUP(E1561,'NI-Soc_SP'!$C:$AN,13,FALSE)</f>
        <v>0</v>
      </c>
      <c r="S1561" s="55"/>
      <c r="T1561" s="55"/>
      <c r="U1561" s="55">
        <f>VLOOKUP($E1561,'NI-Soc_SP'!$C:$AN,MID(U$1,1,2),FALSE)</f>
        <v>0</v>
      </c>
      <c r="V1561" s="55">
        <f>VLOOKUP($E1561,'NI-Soc_SP'!$C:$AN,MID(V$1,1,2),FALSE)</f>
        <v>0</v>
      </c>
      <c r="W1561" s="55">
        <f>VLOOKUP($E1561,'NI-Soc_SP'!$C:$AN,MID(W$1,1,2),FALSE)</f>
        <v>0</v>
      </c>
      <c r="X1561" s="55">
        <f>VLOOKUP($E1561,'NI-Soc_SP'!$C:$AN,MID(X$1,1,2),FALSE)</f>
        <v>0</v>
      </c>
      <c r="Y1561" s="55">
        <f>VLOOKUP($E1561,'NI-Soc_SP'!$C:$AN,MID(Y$1,1,2),FALSE)</f>
        <v>0</v>
      </c>
      <c r="Z1561" s="55">
        <f>VLOOKUP($E1561,'NI-Soc_SP'!$C:$AN,MID(Z$1,1,2),FALSE)</f>
        <v>0</v>
      </c>
      <c r="AA1561" s="55">
        <f>VLOOKUP($E1561,'NI-Soc_SP'!$C:$AN,MID(AA$1,1,2),FALSE)</f>
        <v>0</v>
      </c>
      <c r="AB1561" s="55">
        <f>VLOOKUP($E1561,'NI-Soc_SP'!$C:$AN,MID(AB$1,1,2),FALSE)</f>
        <v>0</v>
      </c>
      <c r="AC1561" s="55">
        <f>VLOOKUP($E1561,'NI-Soc_SP'!$C:$AN,MID(AC$1,1,2),FALSE)</f>
        <v>0</v>
      </c>
      <c r="AD1561" s="55">
        <f>VLOOKUP($E1561,'NI-Soc_SP'!$C:$AN,MID(AD$1,1,2),FALSE)</f>
        <v>0</v>
      </c>
      <c r="AE1561" s="55">
        <f>VLOOKUP($E1561,'NI-Soc_SP'!$C:$AN,MID(AE$1,1,2),FALSE)</f>
        <v>0</v>
      </c>
      <c r="AF1561" s="55">
        <f>VLOOKUP($E1561,'NI-Soc_SP'!$C:$AN,MID(AF$1,1,2),FALSE)</f>
        <v>0</v>
      </c>
      <c r="AG1561" s="55">
        <f>VLOOKUP($E1561,'NI-Soc_SP'!$C:$AN,MID(AG$1,1,2),FALSE)</f>
        <v>0</v>
      </c>
      <c r="AH1561" s="55">
        <f>VLOOKUP($E1561,'NI-Soc_SP'!$C:$AN,MID(AH$1,1,2),FALSE)</f>
        <v>0</v>
      </c>
      <c r="AI1561" s="55">
        <f>VLOOKUP($E1561,'NI-Soc_SP'!$C:$AN,MID(AI$1,1,2),FALSE)</f>
        <v>0</v>
      </c>
      <c r="AJ1561" s="55">
        <f>VLOOKUP($E1561,'NI-Soc_SP'!$C:$AN,MID(AJ$1,1,2),FALSE)</f>
        <v>0</v>
      </c>
      <c r="AK1561" s="55">
        <f>VLOOKUP($E1561,'NI-Soc_SP'!$C:$AN,MID(AK$1,1,2),FALSE)</f>
        <v>0</v>
      </c>
      <c r="AL1561" s="55">
        <f>VLOOKUP($E1561,'NI-Soc_SP'!$C:$AN,MID(AL$1,1,2),FALSE)</f>
        <v>0</v>
      </c>
      <c r="AM1561" s="56">
        <f>VLOOKUP($E1561,'NI-Soc_SP'!$C:$AN,MID(AM$1,1,2),FALSE)</f>
        <v>0</v>
      </c>
      <c r="AN1561" s="30" t="str">
        <f t="shared" si="24"/>
        <v>10202010010000</v>
      </c>
    </row>
    <row r="1562" spans="3:40" x14ac:dyDescent="0.25">
      <c r="C1562" s="40"/>
      <c r="D1562" s="121" t="s">
        <v>493</v>
      </c>
      <c r="E1562" s="121" t="s">
        <v>494</v>
      </c>
      <c r="F1562" s="122" t="s">
        <v>2758</v>
      </c>
      <c r="G1562" s="52"/>
      <c r="H1562" s="52"/>
      <c r="I1562" s="52"/>
      <c r="J1562" s="52"/>
      <c r="K1562" s="59" t="s">
        <v>79</v>
      </c>
      <c r="L1562" s="52"/>
      <c r="M1562" s="52"/>
      <c r="N1562" s="52"/>
      <c r="O1562" s="52"/>
      <c r="P1562" s="63" t="s">
        <v>495</v>
      </c>
      <c r="Q1562" s="55">
        <f>VLOOKUP(E1562,'NI-Soc_SP'!$C:$AN,12,FALSE)</f>
        <v>0</v>
      </c>
      <c r="R1562" s="55">
        <f>VLOOKUP(E1562,'NI-Soc_SP'!$C:$AN,13,FALSE)</f>
        <v>0</v>
      </c>
      <c r="S1562" s="55"/>
      <c r="T1562" s="55"/>
      <c r="U1562" s="55">
        <f>VLOOKUP($E1562,'NI-Soc_SP'!$C:$AN,MID(U$1,1,2),FALSE)</f>
        <v>0</v>
      </c>
      <c r="V1562" s="55">
        <f>VLOOKUP($E1562,'NI-Soc_SP'!$C:$AN,MID(V$1,1,2),FALSE)</f>
        <v>0</v>
      </c>
      <c r="W1562" s="55">
        <f>VLOOKUP($E1562,'NI-Soc_SP'!$C:$AN,MID(W$1,1,2),FALSE)</f>
        <v>0</v>
      </c>
      <c r="X1562" s="55">
        <f>VLOOKUP($E1562,'NI-Soc_SP'!$C:$AN,MID(X$1,1,2),FALSE)</f>
        <v>0</v>
      </c>
      <c r="Y1562" s="55">
        <f>VLOOKUP($E1562,'NI-Soc_SP'!$C:$AN,MID(Y$1,1,2),FALSE)</f>
        <v>0</v>
      </c>
      <c r="Z1562" s="55">
        <f>VLOOKUP($E1562,'NI-Soc_SP'!$C:$AN,MID(Z$1,1,2),FALSE)</f>
        <v>0</v>
      </c>
      <c r="AA1562" s="55">
        <f>VLOOKUP($E1562,'NI-Soc_SP'!$C:$AN,MID(AA$1,1,2),FALSE)</f>
        <v>0</v>
      </c>
      <c r="AB1562" s="55">
        <f>VLOOKUP($E1562,'NI-Soc_SP'!$C:$AN,MID(AB$1,1,2),FALSE)</f>
        <v>0</v>
      </c>
      <c r="AC1562" s="55">
        <f>VLOOKUP($E1562,'NI-Soc_SP'!$C:$AN,MID(AC$1,1,2),FALSE)</f>
        <v>0</v>
      </c>
      <c r="AD1562" s="55">
        <f>VLOOKUP($E1562,'NI-Soc_SP'!$C:$AN,MID(AD$1,1,2),FALSE)</f>
        <v>0</v>
      </c>
      <c r="AE1562" s="55">
        <f>VLOOKUP($E1562,'NI-Soc_SP'!$C:$AN,MID(AE$1,1,2),FALSE)</f>
        <v>0</v>
      </c>
      <c r="AF1562" s="55">
        <f>VLOOKUP($E1562,'NI-Soc_SP'!$C:$AN,MID(AF$1,1,2),FALSE)</f>
        <v>0</v>
      </c>
      <c r="AG1562" s="55">
        <f>VLOOKUP($E1562,'NI-Soc_SP'!$C:$AN,MID(AG$1,1,2),FALSE)</f>
        <v>0</v>
      </c>
      <c r="AH1562" s="55">
        <f>VLOOKUP($E1562,'NI-Soc_SP'!$C:$AN,MID(AH$1,1,2),FALSE)</f>
        <v>0</v>
      </c>
      <c r="AI1562" s="55">
        <f>VLOOKUP($E1562,'NI-Soc_SP'!$C:$AN,MID(AI$1,1,2),FALSE)</f>
        <v>0</v>
      </c>
      <c r="AJ1562" s="55">
        <f>VLOOKUP($E1562,'NI-Soc_SP'!$C:$AN,MID(AJ$1,1,2),FALSE)</f>
        <v>0</v>
      </c>
      <c r="AK1562" s="55">
        <f>VLOOKUP($E1562,'NI-Soc_SP'!$C:$AN,MID(AK$1,1,2),FALSE)</f>
        <v>0</v>
      </c>
      <c r="AL1562" s="55">
        <f>VLOOKUP($E1562,'NI-Soc_SP'!$C:$AN,MID(AL$1,1,2),FALSE)</f>
        <v>0</v>
      </c>
      <c r="AM1562" s="56">
        <f>VLOOKUP($E1562,'NI-Soc_SP'!$C:$AN,MID(AM$1,1,2),FALSE)</f>
        <v>0</v>
      </c>
      <c r="AN1562" s="30" t="str">
        <f t="shared" si="24"/>
        <v>10202010010010</v>
      </c>
    </row>
    <row r="1563" spans="3:40" x14ac:dyDescent="0.25">
      <c r="C1563" s="40"/>
      <c r="D1563" s="121" t="s">
        <v>496</v>
      </c>
      <c r="E1563" s="121" t="s">
        <v>497</v>
      </c>
      <c r="F1563" s="122" t="s">
        <v>2758</v>
      </c>
      <c r="G1563" s="52"/>
      <c r="H1563" s="52"/>
      <c r="I1563" s="52"/>
      <c r="J1563" s="52"/>
      <c r="K1563" s="59" t="s">
        <v>79</v>
      </c>
      <c r="L1563" s="52"/>
      <c r="M1563" s="52"/>
      <c r="N1563" s="52"/>
      <c r="O1563" s="52"/>
      <c r="P1563" s="63" t="s">
        <v>498</v>
      </c>
      <c r="Q1563" s="55">
        <f>VLOOKUP(E1563,'NI-Soc_SP'!$C:$AN,12,FALSE)</f>
        <v>0</v>
      </c>
      <c r="R1563" s="55">
        <f>VLOOKUP(E1563,'NI-Soc_SP'!$C:$AN,13,FALSE)</f>
        <v>0</v>
      </c>
      <c r="S1563" s="55"/>
      <c r="T1563" s="55"/>
      <c r="U1563" s="55">
        <f>VLOOKUP($E1563,'NI-Soc_SP'!$C:$AN,MID(U$1,1,2),FALSE)</f>
        <v>0</v>
      </c>
      <c r="V1563" s="55">
        <f>VLOOKUP($E1563,'NI-Soc_SP'!$C:$AN,MID(V$1,1,2),FALSE)</f>
        <v>0</v>
      </c>
      <c r="W1563" s="55">
        <f>VLOOKUP($E1563,'NI-Soc_SP'!$C:$AN,MID(W$1,1,2),FALSE)</f>
        <v>0</v>
      </c>
      <c r="X1563" s="55">
        <f>VLOOKUP($E1563,'NI-Soc_SP'!$C:$AN,MID(X$1,1,2),FALSE)</f>
        <v>0</v>
      </c>
      <c r="Y1563" s="55">
        <f>VLOOKUP($E1563,'NI-Soc_SP'!$C:$AN,MID(Y$1,1,2),FALSE)</f>
        <v>0</v>
      </c>
      <c r="Z1563" s="55">
        <f>VLOOKUP($E1563,'NI-Soc_SP'!$C:$AN,MID(Z$1,1,2),FALSE)</f>
        <v>0</v>
      </c>
      <c r="AA1563" s="55">
        <f>VLOOKUP($E1563,'NI-Soc_SP'!$C:$AN,MID(AA$1,1,2),FALSE)</f>
        <v>0</v>
      </c>
      <c r="AB1563" s="55">
        <f>VLOOKUP($E1563,'NI-Soc_SP'!$C:$AN,MID(AB$1,1,2),FALSE)</f>
        <v>0</v>
      </c>
      <c r="AC1563" s="55">
        <f>VLOOKUP($E1563,'NI-Soc_SP'!$C:$AN,MID(AC$1,1,2),FALSE)</f>
        <v>0</v>
      </c>
      <c r="AD1563" s="55">
        <f>VLOOKUP($E1563,'NI-Soc_SP'!$C:$AN,MID(AD$1,1,2),FALSE)</f>
        <v>0</v>
      </c>
      <c r="AE1563" s="55">
        <f>VLOOKUP($E1563,'NI-Soc_SP'!$C:$AN,MID(AE$1,1,2),FALSE)</f>
        <v>0</v>
      </c>
      <c r="AF1563" s="55">
        <f>VLOOKUP($E1563,'NI-Soc_SP'!$C:$AN,MID(AF$1,1,2),FALSE)</f>
        <v>0</v>
      </c>
      <c r="AG1563" s="55">
        <f>VLOOKUP($E1563,'NI-Soc_SP'!$C:$AN,MID(AG$1,1,2),FALSE)</f>
        <v>0</v>
      </c>
      <c r="AH1563" s="55">
        <f>VLOOKUP($E1563,'NI-Soc_SP'!$C:$AN,MID(AH$1,1,2),FALSE)</f>
        <v>0</v>
      </c>
      <c r="AI1563" s="55">
        <f>VLOOKUP($E1563,'NI-Soc_SP'!$C:$AN,MID(AI$1,1,2),FALSE)</f>
        <v>0</v>
      </c>
      <c r="AJ1563" s="55">
        <f>VLOOKUP($E1563,'NI-Soc_SP'!$C:$AN,MID(AJ$1,1,2),FALSE)</f>
        <v>0</v>
      </c>
      <c r="AK1563" s="55">
        <f>VLOOKUP($E1563,'NI-Soc_SP'!$C:$AN,MID(AK$1,1,2),FALSE)</f>
        <v>0</v>
      </c>
      <c r="AL1563" s="55">
        <f>VLOOKUP($E1563,'NI-Soc_SP'!$C:$AN,MID(AL$1,1,2),FALSE)</f>
        <v>0</v>
      </c>
      <c r="AM1563" s="56">
        <f>VLOOKUP($E1563,'NI-Soc_SP'!$C:$AN,MID(AM$1,1,2),FALSE)</f>
        <v>0</v>
      </c>
      <c r="AN1563" s="30" t="str">
        <f t="shared" si="24"/>
        <v>10202010010020</v>
      </c>
    </row>
    <row r="1564" spans="3:40" x14ac:dyDescent="0.25">
      <c r="C1564" s="40"/>
      <c r="D1564" s="121" t="s">
        <v>499</v>
      </c>
      <c r="E1564" s="121" t="s">
        <v>500</v>
      </c>
      <c r="F1564" s="122" t="s">
        <v>2758</v>
      </c>
      <c r="G1564" s="52"/>
      <c r="H1564" s="52"/>
      <c r="I1564" s="52"/>
      <c r="J1564" s="52"/>
      <c r="K1564" s="59" t="s">
        <v>79</v>
      </c>
      <c r="L1564" s="52"/>
      <c r="M1564" s="52"/>
      <c r="N1564" s="52"/>
      <c r="O1564" s="52"/>
      <c r="P1564" s="63" t="s">
        <v>501</v>
      </c>
      <c r="Q1564" s="55">
        <f>VLOOKUP(E1564,'NI-Soc_SP'!$C:$AN,12,FALSE)</f>
        <v>0</v>
      </c>
      <c r="R1564" s="55">
        <f>VLOOKUP(E1564,'NI-Soc_SP'!$C:$AN,13,FALSE)</f>
        <v>0</v>
      </c>
      <c r="S1564" s="55"/>
      <c r="T1564" s="55"/>
      <c r="U1564" s="55">
        <f>VLOOKUP($E1564,'NI-Soc_SP'!$C:$AN,MID(U$1,1,2),FALSE)</f>
        <v>0</v>
      </c>
      <c r="V1564" s="55">
        <f>VLOOKUP($E1564,'NI-Soc_SP'!$C:$AN,MID(V$1,1,2),FALSE)</f>
        <v>0</v>
      </c>
      <c r="W1564" s="55">
        <f>VLOOKUP($E1564,'NI-Soc_SP'!$C:$AN,MID(W$1,1,2),FALSE)</f>
        <v>0</v>
      </c>
      <c r="X1564" s="55">
        <f>VLOOKUP($E1564,'NI-Soc_SP'!$C:$AN,MID(X$1,1,2),FALSE)</f>
        <v>0</v>
      </c>
      <c r="Y1564" s="55">
        <f>VLOOKUP($E1564,'NI-Soc_SP'!$C:$AN,MID(Y$1,1,2),FALSE)</f>
        <v>0</v>
      </c>
      <c r="Z1564" s="55">
        <f>VLOOKUP($E1564,'NI-Soc_SP'!$C:$AN,MID(Z$1,1,2),FALSE)</f>
        <v>0</v>
      </c>
      <c r="AA1564" s="55">
        <f>VLOOKUP($E1564,'NI-Soc_SP'!$C:$AN,MID(AA$1,1,2),FALSE)</f>
        <v>0</v>
      </c>
      <c r="AB1564" s="55">
        <f>VLOOKUP($E1564,'NI-Soc_SP'!$C:$AN,MID(AB$1,1,2),FALSE)</f>
        <v>0</v>
      </c>
      <c r="AC1564" s="55">
        <f>VLOOKUP($E1564,'NI-Soc_SP'!$C:$AN,MID(AC$1,1,2),FALSE)</f>
        <v>0</v>
      </c>
      <c r="AD1564" s="55">
        <f>VLOOKUP($E1564,'NI-Soc_SP'!$C:$AN,MID(AD$1,1,2),FALSE)</f>
        <v>0</v>
      </c>
      <c r="AE1564" s="55">
        <f>VLOOKUP($E1564,'NI-Soc_SP'!$C:$AN,MID(AE$1,1,2),FALSE)</f>
        <v>0</v>
      </c>
      <c r="AF1564" s="55">
        <f>VLOOKUP($E1564,'NI-Soc_SP'!$C:$AN,MID(AF$1,1,2),FALSE)</f>
        <v>0</v>
      </c>
      <c r="AG1564" s="55">
        <f>VLOOKUP($E1564,'NI-Soc_SP'!$C:$AN,MID(AG$1,1,2),FALSE)</f>
        <v>0</v>
      </c>
      <c r="AH1564" s="55">
        <f>VLOOKUP($E1564,'NI-Soc_SP'!$C:$AN,MID(AH$1,1,2),FALSE)</f>
        <v>0</v>
      </c>
      <c r="AI1564" s="55">
        <f>VLOOKUP($E1564,'NI-Soc_SP'!$C:$AN,MID(AI$1,1,2),FALSE)</f>
        <v>0</v>
      </c>
      <c r="AJ1564" s="55">
        <f>VLOOKUP($E1564,'NI-Soc_SP'!$C:$AN,MID(AJ$1,1,2),FALSE)</f>
        <v>0</v>
      </c>
      <c r="AK1564" s="55">
        <f>VLOOKUP($E1564,'NI-Soc_SP'!$C:$AN,MID(AK$1,1,2),FALSE)</f>
        <v>0</v>
      </c>
      <c r="AL1564" s="55">
        <f>VLOOKUP($E1564,'NI-Soc_SP'!$C:$AN,MID(AL$1,1,2),FALSE)</f>
        <v>0</v>
      </c>
      <c r="AM1564" s="56">
        <f>VLOOKUP($E1564,'NI-Soc_SP'!$C:$AN,MID(AM$1,1,2),FALSE)</f>
        <v>0</v>
      </c>
      <c r="AN1564" s="30" t="str">
        <f t="shared" si="24"/>
        <v>10202010010030</v>
      </c>
    </row>
    <row r="1565" spans="3:40" x14ac:dyDescent="0.25">
      <c r="C1565" s="40"/>
      <c r="D1565" s="121" t="s">
        <v>502</v>
      </c>
      <c r="E1565" s="121" t="s">
        <v>503</v>
      </c>
      <c r="F1565" s="122" t="s">
        <v>2758</v>
      </c>
      <c r="G1565" s="52"/>
      <c r="H1565" s="52"/>
      <c r="I1565" s="52"/>
      <c r="J1565" s="52"/>
      <c r="K1565" s="59" t="s">
        <v>79</v>
      </c>
      <c r="L1565" s="52"/>
      <c r="M1565" s="52"/>
      <c r="N1565" s="52"/>
      <c r="O1565" s="52"/>
      <c r="P1565" s="63" t="s">
        <v>504</v>
      </c>
      <c r="Q1565" s="55">
        <f>VLOOKUP(E1565,'NI-Soc_SP'!$C:$AN,12,FALSE)</f>
        <v>0</v>
      </c>
      <c r="R1565" s="55">
        <f>VLOOKUP(E1565,'NI-Soc_SP'!$C:$AN,13,FALSE)</f>
        <v>0</v>
      </c>
      <c r="S1565" s="55"/>
      <c r="T1565" s="55"/>
      <c r="U1565" s="55">
        <f>VLOOKUP($E1565,'NI-Soc_SP'!$C:$AN,MID(U$1,1,2),FALSE)</f>
        <v>0</v>
      </c>
      <c r="V1565" s="55">
        <f>VLOOKUP($E1565,'NI-Soc_SP'!$C:$AN,MID(V$1,1,2),FALSE)</f>
        <v>0</v>
      </c>
      <c r="W1565" s="55">
        <f>VLOOKUP($E1565,'NI-Soc_SP'!$C:$AN,MID(W$1,1,2),FALSE)</f>
        <v>0</v>
      </c>
      <c r="X1565" s="55">
        <f>VLOOKUP($E1565,'NI-Soc_SP'!$C:$AN,MID(X$1,1,2),FALSE)</f>
        <v>0</v>
      </c>
      <c r="Y1565" s="55">
        <f>VLOOKUP($E1565,'NI-Soc_SP'!$C:$AN,MID(Y$1,1,2),FALSE)</f>
        <v>0</v>
      </c>
      <c r="Z1565" s="55">
        <f>VLOOKUP($E1565,'NI-Soc_SP'!$C:$AN,MID(Z$1,1,2),FALSE)</f>
        <v>0</v>
      </c>
      <c r="AA1565" s="55">
        <f>VLOOKUP($E1565,'NI-Soc_SP'!$C:$AN,MID(AA$1,1,2),FALSE)</f>
        <v>0</v>
      </c>
      <c r="AB1565" s="55">
        <f>VLOOKUP($E1565,'NI-Soc_SP'!$C:$AN,MID(AB$1,1,2),FALSE)</f>
        <v>0</v>
      </c>
      <c r="AC1565" s="55">
        <f>VLOOKUP($E1565,'NI-Soc_SP'!$C:$AN,MID(AC$1,1,2),FALSE)</f>
        <v>0</v>
      </c>
      <c r="AD1565" s="55">
        <f>VLOOKUP($E1565,'NI-Soc_SP'!$C:$AN,MID(AD$1,1,2),FALSE)</f>
        <v>0</v>
      </c>
      <c r="AE1565" s="55">
        <f>VLOOKUP($E1565,'NI-Soc_SP'!$C:$AN,MID(AE$1,1,2),FALSE)</f>
        <v>0</v>
      </c>
      <c r="AF1565" s="55">
        <f>VLOOKUP($E1565,'NI-Soc_SP'!$C:$AN,MID(AF$1,1,2),FALSE)</f>
        <v>0</v>
      </c>
      <c r="AG1565" s="55">
        <f>VLOOKUP($E1565,'NI-Soc_SP'!$C:$AN,MID(AG$1,1,2),FALSE)</f>
        <v>0</v>
      </c>
      <c r="AH1565" s="55">
        <f>VLOOKUP($E1565,'NI-Soc_SP'!$C:$AN,MID(AH$1,1,2),FALSE)</f>
        <v>0</v>
      </c>
      <c r="AI1565" s="55">
        <f>VLOOKUP($E1565,'NI-Soc_SP'!$C:$AN,MID(AI$1,1,2),FALSE)</f>
        <v>0</v>
      </c>
      <c r="AJ1565" s="55">
        <f>VLOOKUP($E1565,'NI-Soc_SP'!$C:$AN,MID(AJ$1,1,2),FALSE)</f>
        <v>0</v>
      </c>
      <c r="AK1565" s="55">
        <f>VLOOKUP($E1565,'NI-Soc_SP'!$C:$AN,MID(AK$1,1,2),FALSE)</f>
        <v>0</v>
      </c>
      <c r="AL1565" s="55">
        <f>VLOOKUP($E1565,'NI-Soc_SP'!$C:$AN,MID(AL$1,1,2),FALSE)</f>
        <v>0</v>
      </c>
      <c r="AM1565" s="56">
        <f>VLOOKUP($E1565,'NI-Soc_SP'!$C:$AN,MID(AM$1,1,2),FALSE)</f>
        <v>0</v>
      </c>
      <c r="AN1565" s="30" t="str">
        <f t="shared" si="24"/>
        <v>10202010010040</v>
      </c>
    </row>
    <row r="1566" spans="3:40" x14ac:dyDescent="0.25">
      <c r="C1566" s="40"/>
      <c r="D1566" s="121" t="s">
        <v>505</v>
      </c>
      <c r="E1566" s="121" t="s">
        <v>506</v>
      </c>
      <c r="F1566" s="122" t="s">
        <v>2758</v>
      </c>
      <c r="G1566" s="52"/>
      <c r="H1566" s="52"/>
      <c r="I1566" s="52" t="s">
        <v>507</v>
      </c>
      <c r="J1566" s="52"/>
      <c r="K1566" s="59" t="s">
        <v>111</v>
      </c>
      <c r="L1566" s="62" t="s">
        <v>508</v>
      </c>
      <c r="M1566" s="52"/>
      <c r="N1566" s="52"/>
      <c r="O1566" s="52"/>
      <c r="P1566" s="54" t="s">
        <v>509</v>
      </c>
      <c r="Q1566" s="55">
        <f>VLOOKUP(E1566,'NI-Soc_SP'!$C:$AN,12,FALSE)</f>
        <v>0</v>
      </c>
      <c r="R1566" s="55">
        <f>VLOOKUP(E1566,'NI-Soc_SP'!$C:$AN,13,FALSE)</f>
        <v>0</v>
      </c>
      <c r="S1566" s="55"/>
      <c r="T1566" s="55"/>
      <c r="U1566" s="55">
        <f>VLOOKUP($E1566,'NI-Soc_SP'!$C:$AN,MID(U$1,1,2),FALSE)</f>
        <v>0</v>
      </c>
      <c r="V1566" s="55">
        <f>VLOOKUP($E1566,'NI-Soc_SP'!$C:$AN,MID(V$1,1,2),FALSE)</f>
        <v>0</v>
      </c>
      <c r="W1566" s="55">
        <f>VLOOKUP($E1566,'NI-Soc_SP'!$C:$AN,MID(W$1,1,2),FALSE)</f>
        <v>0</v>
      </c>
      <c r="X1566" s="55">
        <f>VLOOKUP($E1566,'NI-Soc_SP'!$C:$AN,MID(X$1,1,2),FALSE)</f>
        <v>0</v>
      </c>
      <c r="Y1566" s="55">
        <f>VLOOKUP($E1566,'NI-Soc_SP'!$C:$AN,MID(Y$1,1,2),FALSE)</f>
        <v>0</v>
      </c>
      <c r="Z1566" s="55">
        <f>VLOOKUP($E1566,'NI-Soc_SP'!$C:$AN,MID(Z$1,1,2),FALSE)</f>
        <v>0</v>
      </c>
      <c r="AA1566" s="55">
        <f>VLOOKUP($E1566,'NI-Soc_SP'!$C:$AN,MID(AA$1,1,2),FALSE)</f>
        <v>0</v>
      </c>
      <c r="AB1566" s="55">
        <f>VLOOKUP($E1566,'NI-Soc_SP'!$C:$AN,MID(AB$1,1,2),FALSE)</f>
        <v>0</v>
      </c>
      <c r="AC1566" s="55">
        <f>VLOOKUP($E1566,'NI-Soc_SP'!$C:$AN,MID(AC$1,1,2),FALSE)</f>
        <v>0</v>
      </c>
      <c r="AD1566" s="55">
        <f>VLOOKUP($E1566,'NI-Soc_SP'!$C:$AN,MID(AD$1,1,2),FALSE)</f>
        <v>0</v>
      </c>
      <c r="AE1566" s="55">
        <f>VLOOKUP($E1566,'NI-Soc_SP'!$C:$AN,MID(AE$1,1,2),FALSE)</f>
        <v>0</v>
      </c>
      <c r="AF1566" s="55">
        <f>VLOOKUP($E1566,'NI-Soc_SP'!$C:$AN,MID(AF$1,1,2),FALSE)</f>
        <v>0</v>
      </c>
      <c r="AG1566" s="55">
        <f>VLOOKUP($E1566,'NI-Soc_SP'!$C:$AN,MID(AG$1,1,2),FALSE)</f>
        <v>0</v>
      </c>
      <c r="AH1566" s="55">
        <f>VLOOKUP($E1566,'NI-Soc_SP'!$C:$AN,MID(AH$1,1,2),FALSE)</f>
        <v>0</v>
      </c>
      <c r="AI1566" s="55">
        <f>VLOOKUP($E1566,'NI-Soc_SP'!$C:$AN,MID(AI$1,1,2),FALSE)</f>
        <v>0</v>
      </c>
      <c r="AJ1566" s="55">
        <f>VLOOKUP($E1566,'NI-Soc_SP'!$C:$AN,MID(AJ$1,1,2),FALSE)</f>
        <v>0</v>
      </c>
      <c r="AK1566" s="55">
        <f>VLOOKUP($E1566,'NI-Soc_SP'!$C:$AN,MID(AK$1,1,2),FALSE)</f>
        <v>0</v>
      </c>
      <c r="AL1566" s="55">
        <f>VLOOKUP($E1566,'NI-Soc_SP'!$C:$AN,MID(AL$1,1,2),FALSE)</f>
        <v>0</v>
      </c>
      <c r="AM1566" s="56">
        <f>VLOOKUP($E1566,'NI-Soc_SP'!$C:$AN,MID(AM$1,1,2),FALSE)</f>
        <v>0</v>
      </c>
      <c r="AN1566" s="30" t="str">
        <f t="shared" si="24"/>
        <v>10202010020000</v>
      </c>
    </row>
    <row r="1567" spans="3:40" x14ac:dyDescent="0.25">
      <c r="C1567" s="40"/>
      <c r="D1567" s="121" t="s">
        <v>510</v>
      </c>
      <c r="E1567" s="121" t="s">
        <v>511</v>
      </c>
      <c r="F1567" s="122" t="s">
        <v>2758</v>
      </c>
      <c r="G1567" s="52"/>
      <c r="H1567" s="52"/>
      <c r="I1567" s="52"/>
      <c r="J1567" s="52"/>
      <c r="K1567" s="59" t="s">
        <v>79</v>
      </c>
      <c r="L1567" s="52"/>
      <c r="M1567" s="52"/>
      <c r="N1567" s="52"/>
      <c r="O1567" s="52"/>
      <c r="P1567" s="63" t="s">
        <v>512</v>
      </c>
      <c r="Q1567" s="55">
        <f>VLOOKUP(E1567,'NI-Soc_SP'!$C:$AN,12,FALSE)</f>
        <v>0</v>
      </c>
      <c r="R1567" s="55">
        <f>VLOOKUP(E1567,'NI-Soc_SP'!$C:$AN,13,FALSE)</f>
        <v>0</v>
      </c>
      <c r="S1567" s="55"/>
      <c r="T1567" s="55"/>
      <c r="U1567" s="55">
        <f>VLOOKUP($E1567,'NI-Soc_SP'!$C:$AN,MID(U$1,1,2),FALSE)</f>
        <v>0</v>
      </c>
      <c r="V1567" s="55">
        <f>VLOOKUP($E1567,'NI-Soc_SP'!$C:$AN,MID(V$1,1,2),FALSE)</f>
        <v>0</v>
      </c>
      <c r="W1567" s="55">
        <f>VLOOKUP($E1567,'NI-Soc_SP'!$C:$AN,MID(W$1,1,2),FALSE)</f>
        <v>0</v>
      </c>
      <c r="X1567" s="55">
        <f>VLOOKUP($E1567,'NI-Soc_SP'!$C:$AN,MID(X$1,1,2),FALSE)</f>
        <v>0</v>
      </c>
      <c r="Y1567" s="55">
        <f>VLOOKUP($E1567,'NI-Soc_SP'!$C:$AN,MID(Y$1,1,2),FALSE)</f>
        <v>0</v>
      </c>
      <c r="Z1567" s="55">
        <f>VLOOKUP($E1567,'NI-Soc_SP'!$C:$AN,MID(Z$1,1,2),FALSE)</f>
        <v>0</v>
      </c>
      <c r="AA1567" s="55">
        <f>VLOOKUP($E1567,'NI-Soc_SP'!$C:$AN,MID(AA$1,1,2),FALSE)</f>
        <v>0</v>
      </c>
      <c r="AB1567" s="55">
        <f>VLOOKUP($E1567,'NI-Soc_SP'!$C:$AN,MID(AB$1,1,2),FALSE)</f>
        <v>0</v>
      </c>
      <c r="AC1567" s="55">
        <f>VLOOKUP($E1567,'NI-Soc_SP'!$C:$AN,MID(AC$1,1,2),FALSE)</f>
        <v>0</v>
      </c>
      <c r="AD1567" s="55">
        <f>VLOOKUP($E1567,'NI-Soc_SP'!$C:$AN,MID(AD$1,1,2),FALSE)</f>
        <v>0</v>
      </c>
      <c r="AE1567" s="55">
        <f>VLOOKUP($E1567,'NI-Soc_SP'!$C:$AN,MID(AE$1,1,2),FALSE)</f>
        <v>0</v>
      </c>
      <c r="AF1567" s="55">
        <f>VLOOKUP($E1567,'NI-Soc_SP'!$C:$AN,MID(AF$1,1,2),FALSE)</f>
        <v>0</v>
      </c>
      <c r="AG1567" s="55">
        <f>VLOOKUP($E1567,'NI-Soc_SP'!$C:$AN,MID(AG$1,1,2),FALSE)</f>
        <v>0</v>
      </c>
      <c r="AH1567" s="55">
        <f>VLOOKUP($E1567,'NI-Soc_SP'!$C:$AN,MID(AH$1,1,2),FALSE)</f>
        <v>0</v>
      </c>
      <c r="AI1567" s="55">
        <f>VLOOKUP($E1567,'NI-Soc_SP'!$C:$AN,MID(AI$1,1,2),FALSE)</f>
        <v>0</v>
      </c>
      <c r="AJ1567" s="55">
        <f>VLOOKUP($E1567,'NI-Soc_SP'!$C:$AN,MID(AJ$1,1,2),FALSE)</f>
        <v>0</v>
      </c>
      <c r="AK1567" s="55">
        <f>VLOOKUP($E1567,'NI-Soc_SP'!$C:$AN,MID(AK$1,1,2),FALSE)</f>
        <v>0</v>
      </c>
      <c r="AL1567" s="55">
        <f>VLOOKUP($E1567,'NI-Soc_SP'!$C:$AN,MID(AL$1,1,2),FALSE)</f>
        <v>0</v>
      </c>
      <c r="AM1567" s="56">
        <f>VLOOKUP($E1567,'NI-Soc_SP'!$C:$AN,MID(AM$1,1,2),FALSE)</f>
        <v>0</v>
      </c>
      <c r="AN1567" s="30" t="str">
        <f t="shared" si="24"/>
        <v>10202010020010</v>
      </c>
    </row>
    <row r="1568" spans="3:40" x14ac:dyDescent="0.25">
      <c r="C1568" s="40"/>
      <c r="D1568" s="121" t="s">
        <v>513</v>
      </c>
      <c r="E1568" s="121" t="s">
        <v>514</v>
      </c>
      <c r="F1568" s="122" t="s">
        <v>2758</v>
      </c>
      <c r="G1568" s="52"/>
      <c r="H1568" s="52"/>
      <c r="I1568" s="52"/>
      <c r="J1568" s="52"/>
      <c r="K1568" s="59" t="s">
        <v>79</v>
      </c>
      <c r="L1568" s="52"/>
      <c r="M1568" s="52"/>
      <c r="N1568" s="52"/>
      <c r="O1568" s="52"/>
      <c r="P1568" s="63" t="s">
        <v>515</v>
      </c>
      <c r="Q1568" s="55">
        <f>VLOOKUP(E1568,'NI-Soc_SP'!$C:$AN,12,FALSE)</f>
        <v>0</v>
      </c>
      <c r="R1568" s="55">
        <f>VLOOKUP(E1568,'NI-Soc_SP'!$C:$AN,13,FALSE)</f>
        <v>0</v>
      </c>
      <c r="S1568" s="55"/>
      <c r="T1568" s="55"/>
      <c r="U1568" s="55">
        <f>VLOOKUP($E1568,'NI-Soc_SP'!$C:$AN,MID(U$1,1,2),FALSE)</f>
        <v>0</v>
      </c>
      <c r="V1568" s="55">
        <f>VLOOKUP($E1568,'NI-Soc_SP'!$C:$AN,MID(V$1,1,2),FALSE)</f>
        <v>0</v>
      </c>
      <c r="W1568" s="55">
        <f>VLOOKUP($E1568,'NI-Soc_SP'!$C:$AN,MID(W$1,1,2),FALSE)</f>
        <v>0</v>
      </c>
      <c r="X1568" s="55">
        <f>VLOOKUP($E1568,'NI-Soc_SP'!$C:$AN,MID(X$1,1,2),FALSE)</f>
        <v>0</v>
      </c>
      <c r="Y1568" s="55">
        <f>VLOOKUP($E1568,'NI-Soc_SP'!$C:$AN,MID(Y$1,1,2),FALSE)</f>
        <v>0</v>
      </c>
      <c r="Z1568" s="55">
        <f>VLOOKUP($E1568,'NI-Soc_SP'!$C:$AN,MID(Z$1,1,2),FALSE)</f>
        <v>0</v>
      </c>
      <c r="AA1568" s="55">
        <f>VLOOKUP($E1568,'NI-Soc_SP'!$C:$AN,MID(AA$1,1,2),FALSE)</f>
        <v>0</v>
      </c>
      <c r="AB1568" s="55">
        <f>VLOOKUP($E1568,'NI-Soc_SP'!$C:$AN,MID(AB$1,1,2),FALSE)</f>
        <v>0</v>
      </c>
      <c r="AC1568" s="55">
        <f>VLOOKUP($E1568,'NI-Soc_SP'!$C:$AN,MID(AC$1,1,2),FALSE)</f>
        <v>0</v>
      </c>
      <c r="AD1568" s="55">
        <f>VLOOKUP($E1568,'NI-Soc_SP'!$C:$AN,MID(AD$1,1,2),FALSE)</f>
        <v>0</v>
      </c>
      <c r="AE1568" s="55">
        <f>VLOOKUP($E1568,'NI-Soc_SP'!$C:$AN,MID(AE$1,1,2),FALSE)</f>
        <v>0</v>
      </c>
      <c r="AF1568" s="55">
        <f>VLOOKUP($E1568,'NI-Soc_SP'!$C:$AN,MID(AF$1,1,2),FALSE)</f>
        <v>0</v>
      </c>
      <c r="AG1568" s="55">
        <f>VLOOKUP($E1568,'NI-Soc_SP'!$C:$AN,MID(AG$1,1,2),FALSE)</f>
        <v>0</v>
      </c>
      <c r="AH1568" s="55">
        <f>VLOOKUP($E1568,'NI-Soc_SP'!$C:$AN,MID(AH$1,1,2),FALSE)</f>
        <v>0</v>
      </c>
      <c r="AI1568" s="55">
        <f>VLOOKUP($E1568,'NI-Soc_SP'!$C:$AN,MID(AI$1,1,2),FALSE)</f>
        <v>0</v>
      </c>
      <c r="AJ1568" s="55">
        <f>VLOOKUP($E1568,'NI-Soc_SP'!$C:$AN,MID(AJ$1,1,2),FALSE)</f>
        <v>0</v>
      </c>
      <c r="AK1568" s="55">
        <f>VLOOKUP($E1568,'NI-Soc_SP'!$C:$AN,MID(AK$1,1,2),FALSE)</f>
        <v>0</v>
      </c>
      <c r="AL1568" s="55">
        <f>VLOOKUP($E1568,'NI-Soc_SP'!$C:$AN,MID(AL$1,1,2),FALSE)</f>
        <v>0</v>
      </c>
      <c r="AM1568" s="56">
        <f>VLOOKUP($E1568,'NI-Soc_SP'!$C:$AN,MID(AM$1,1,2),FALSE)</f>
        <v>0</v>
      </c>
      <c r="AN1568" s="30" t="str">
        <f t="shared" si="24"/>
        <v>10202010020020</v>
      </c>
    </row>
    <row r="1569" spans="3:40" x14ac:dyDescent="0.25">
      <c r="C1569" s="40"/>
      <c r="D1569" s="121" t="s">
        <v>516</v>
      </c>
      <c r="E1569" s="121" t="s">
        <v>517</v>
      </c>
      <c r="F1569" s="122" t="s">
        <v>2758</v>
      </c>
      <c r="G1569" s="52"/>
      <c r="H1569" s="52"/>
      <c r="I1569" s="52"/>
      <c r="J1569" s="52"/>
      <c r="K1569" s="59" t="s">
        <v>79</v>
      </c>
      <c r="L1569" s="52"/>
      <c r="M1569" s="52"/>
      <c r="N1569" s="52"/>
      <c r="O1569" s="52"/>
      <c r="P1569" s="63" t="s">
        <v>518</v>
      </c>
      <c r="Q1569" s="55">
        <f>VLOOKUP(E1569,'NI-Soc_SP'!$C:$AN,12,FALSE)</f>
        <v>0</v>
      </c>
      <c r="R1569" s="55">
        <f>VLOOKUP(E1569,'NI-Soc_SP'!$C:$AN,13,FALSE)</f>
        <v>0</v>
      </c>
      <c r="S1569" s="55"/>
      <c r="T1569" s="55"/>
      <c r="U1569" s="55">
        <f>VLOOKUP($E1569,'NI-Soc_SP'!$C:$AN,MID(U$1,1,2),FALSE)</f>
        <v>0</v>
      </c>
      <c r="V1569" s="55">
        <f>VLOOKUP($E1569,'NI-Soc_SP'!$C:$AN,MID(V$1,1,2),FALSE)</f>
        <v>0</v>
      </c>
      <c r="W1569" s="55">
        <f>VLOOKUP($E1569,'NI-Soc_SP'!$C:$AN,MID(W$1,1,2),FALSE)</f>
        <v>0</v>
      </c>
      <c r="X1569" s="55">
        <f>VLOOKUP($E1569,'NI-Soc_SP'!$C:$AN,MID(X$1,1,2),FALSE)</f>
        <v>0</v>
      </c>
      <c r="Y1569" s="55">
        <f>VLOOKUP($E1569,'NI-Soc_SP'!$C:$AN,MID(Y$1,1,2),FALSE)</f>
        <v>0</v>
      </c>
      <c r="Z1569" s="55">
        <f>VLOOKUP($E1569,'NI-Soc_SP'!$C:$AN,MID(Z$1,1,2),FALSE)</f>
        <v>0</v>
      </c>
      <c r="AA1569" s="55">
        <f>VLOOKUP($E1569,'NI-Soc_SP'!$C:$AN,MID(AA$1,1,2),FALSE)</f>
        <v>0</v>
      </c>
      <c r="AB1569" s="55">
        <f>VLOOKUP($E1569,'NI-Soc_SP'!$C:$AN,MID(AB$1,1,2),FALSE)</f>
        <v>0</v>
      </c>
      <c r="AC1569" s="55">
        <f>VLOOKUP($E1569,'NI-Soc_SP'!$C:$AN,MID(AC$1,1,2),FALSE)</f>
        <v>0</v>
      </c>
      <c r="AD1569" s="55">
        <f>VLOOKUP($E1569,'NI-Soc_SP'!$C:$AN,MID(AD$1,1,2),FALSE)</f>
        <v>0</v>
      </c>
      <c r="AE1569" s="55">
        <f>VLOOKUP($E1569,'NI-Soc_SP'!$C:$AN,MID(AE$1,1,2),FALSE)</f>
        <v>0</v>
      </c>
      <c r="AF1569" s="55">
        <f>VLOOKUP($E1569,'NI-Soc_SP'!$C:$AN,MID(AF$1,1,2),FALSE)</f>
        <v>0</v>
      </c>
      <c r="AG1569" s="55">
        <f>VLOOKUP($E1569,'NI-Soc_SP'!$C:$AN,MID(AG$1,1,2),FALSE)</f>
        <v>0</v>
      </c>
      <c r="AH1569" s="55">
        <f>VLOOKUP($E1569,'NI-Soc_SP'!$C:$AN,MID(AH$1,1,2),FALSE)</f>
        <v>0</v>
      </c>
      <c r="AI1569" s="55">
        <f>VLOOKUP($E1569,'NI-Soc_SP'!$C:$AN,MID(AI$1,1,2),FALSE)</f>
        <v>0</v>
      </c>
      <c r="AJ1569" s="55">
        <f>VLOOKUP($E1569,'NI-Soc_SP'!$C:$AN,MID(AJ$1,1,2),FALSE)</f>
        <v>0</v>
      </c>
      <c r="AK1569" s="55">
        <f>VLOOKUP($E1569,'NI-Soc_SP'!$C:$AN,MID(AK$1,1,2),FALSE)</f>
        <v>0</v>
      </c>
      <c r="AL1569" s="55">
        <f>VLOOKUP($E1569,'NI-Soc_SP'!$C:$AN,MID(AL$1,1,2),FALSE)</f>
        <v>0</v>
      </c>
      <c r="AM1569" s="56">
        <f>VLOOKUP($E1569,'NI-Soc_SP'!$C:$AN,MID(AM$1,1,2),FALSE)</f>
        <v>0</v>
      </c>
      <c r="AN1569" s="30" t="str">
        <f t="shared" si="24"/>
        <v>10202010020030</v>
      </c>
    </row>
    <row r="1570" spans="3:40" x14ac:dyDescent="0.25">
      <c r="C1570" s="40"/>
      <c r="D1570" s="121" t="s">
        <v>519</v>
      </c>
      <c r="E1570" s="121" t="s">
        <v>520</v>
      </c>
      <c r="F1570" s="122" t="s">
        <v>2758</v>
      </c>
      <c r="G1570" s="52"/>
      <c r="H1570" s="52"/>
      <c r="I1570" s="52"/>
      <c r="J1570" s="52"/>
      <c r="K1570" s="59" t="s">
        <v>79</v>
      </c>
      <c r="L1570" s="52"/>
      <c r="M1570" s="52"/>
      <c r="N1570" s="52"/>
      <c r="O1570" s="52"/>
      <c r="P1570" s="63" t="s">
        <v>521</v>
      </c>
      <c r="Q1570" s="55">
        <f>VLOOKUP(E1570,'NI-Soc_SP'!$C:$AN,12,FALSE)</f>
        <v>0</v>
      </c>
      <c r="R1570" s="55">
        <f>VLOOKUP(E1570,'NI-Soc_SP'!$C:$AN,13,FALSE)</f>
        <v>0</v>
      </c>
      <c r="S1570" s="55"/>
      <c r="T1570" s="55"/>
      <c r="U1570" s="55">
        <f>VLOOKUP($E1570,'NI-Soc_SP'!$C:$AN,MID(U$1,1,2),FALSE)</f>
        <v>0</v>
      </c>
      <c r="V1570" s="55">
        <f>VLOOKUP($E1570,'NI-Soc_SP'!$C:$AN,MID(V$1,1,2),FALSE)</f>
        <v>0</v>
      </c>
      <c r="W1570" s="55">
        <f>VLOOKUP($E1570,'NI-Soc_SP'!$C:$AN,MID(W$1,1,2),FALSE)</f>
        <v>0</v>
      </c>
      <c r="X1570" s="55">
        <f>VLOOKUP($E1570,'NI-Soc_SP'!$C:$AN,MID(X$1,1,2),FALSE)</f>
        <v>0</v>
      </c>
      <c r="Y1570" s="55">
        <f>VLOOKUP($E1570,'NI-Soc_SP'!$C:$AN,MID(Y$1,1,2),FALSE)</f>
        <v>0</v>
      </c>
      <c r="Z1570" s="55">
        <f>VLOOKUP($E1570,'NI-Soc_SP'!$C:$AN,MID(Z$1,1,2),FALSE)</f>
        <v>0</v>
      </c>
      <c r="AA1570" s="55">
        <f>VLOOKUP($E1570,'NI-Soc_SP'!$C:$AN,MID(AA$1,1,2),FALSE)</f>
        <v>0</v>
      </c>
      <c r="AB1570" s="55">
        <f>VLOOKUP($E1570,'NI-Soc_SP'!$C:$AN,MID(AB$1,1,2),FALSE)</f>
        <v>0</v>
      </c>
      <c r="AC1570" s="55">
        <f>VLOOKUP($E1570,'NI-Soc_SP'!$C:$AN,MID(AC$1,1,2),FALSE)</f>
        <v>0</v>
      </c>
      <c r="AD1570" s="55">
        <f>VLOOKUP($E1570,'NI-Soc_SP'!$C:$AN,MID(AD$1,1,2),FALSE)</f>
        <v>0</v>
      </c>
      <c r="AE1570" s="55">
        <f>VLOOKUP($E1570,'NI-Soc_SP'!$C:$AN,MID(AE$1,1,2),FALSE)</f>
        <v>0</v>
      </c>
      <c r="AF1570" s="55">
        <f>VLOOKUP($E1570,'NI-Soc_SP'!$C:$AN,MID(AF$1,1,2),FALSE)</f>
        <v>0</v>
      </c>
      <c r="AG1570" s="55">
        <f>VLOOKUP($E1570,'NI-Soc_SP'!$C:$AN,MID(AG$1,1,2),FALSE)</f>
        <v>0</v>
      </c>
      <c r="AH1570" s="55">
        <f>VLOOKUP($E1570,'NI-Soc_SP'!$C:$AN,MID(AH$1,1,2),FALSE)</f>
        <v>0</v>
      </c>
      <c r="AI1570" s="55">
        <f>VLOOKUP($E1570,'NI-Soc_SP'!$C:$AN,MID(AI$1,1,2),FALSE)</f>
        <v>0</v>
      </c>
      <c r="AJ1570" s="55">
        <f>VLOOKUP($E1570,'NI-Soc_SP'!$C:$AN,MID(AJ$1,1,2),FALSE)</f>
        <v>0</v>
      </c>
      <c r="AK1570" s="55">
        <f>VLOOKUP($E1570,'NI-Soc_SP'!$C:$AN,MID(AK$1,1,2),FALSE)</f>
        <v>0</v>
      </c>
      <c r="AL1570" s="55">
        <f>VLOOKUP($E1570,'NI-Soc_SP'!$C:$AN,MID(AL$1,1,2),FALSE)</f>
        <v>0</v>
      </c>
      <c r="AM1570" s="56">
        <f>VLOOKUP($E1570,'NI-Soc_SP'!$C:$AN,MID(AM$1,1,2),FALSE)</f>
        <v>0</v>
      </c>
      <c r="AN1570" s="30" t="str">
        <f t="shared" si="24"/>
        <v>10202010020040</v>
      </c>
    </row>
    <row r="1571" spans="3:40" x14ac:dyDescent="0.25">
      <c r="C1571" s="40"/>
      <c r="D1571" s="121" t="s">
        <v>522</v>
      </c>
      <c r="E1571" s="121" t="s">
        <v>523</v>
      </c>
      <c r="F1571" s="122" t="s">
        <v>2758</v>
      </c>
      <c r="G1571" s="52"/>
      <c r="H1571" s="52"/>
      <c r="I1571" s="52"/>
      <c r="J1571" s="52"/>
      <c r="K1571" s="59" t="s">
        <v>111</v>
      </c>
      <c r="L1571" s="52"/>
      <c r="M1571" s="52"/>
      <c r="N1571" s="52"/>
      <c r="O1571" s="61" t="s">
        <v>524</v>
      </c>
      <c r="P1571" s="54" t="s">
        <v>525</v>
      </c>
      <c r="Q1571" s="55">
        <f>VLOOKUP(E1571,'NI-Soc_SP'!$C:$AN,12,FALSE)</f>
        <v>0</v>
      </c>
      <c r="R1571" s="55">
        <f>VLOOKUP(E1571,'NI-Soc_SP'!$C:$AN,13,FALSE)</f>
        <v>0</v>
      </c>
      <c r="S1571" s="55"/>
      <c r="T1571" s="55"/>
      <c r="U1571" s="55">
        <f>VLOOKUP($E1571,'NI-Soc_SP'!$C:$AN,MID(U$1,1,2),FALSE)</f>
        <v>0</v>
      </c>
      <c r="V1571" s="55">
        <f>VLOOKUP($E1571,'NI-Soc_SP'!$C:$AN,MID(V$1,1,2),FALSE)</f>
        <v>0</v>
      </c>
      <c r="W1571" s="55">
        <f>VLOOKUP($E1571,'NI-Soc_SP'!$C:$AN,MID(W$1,1,2),FALSE)</f>
        <v>0</v>
      </c>
      <c r="X1571" s="55">
        <f>VLOOKUP($E1571,'NI-Soc_SP'!$C:$AN,MID(X$1,1,2),FALSE)</f>
        <v>0</v>
      </c>
      <c r="Y1571" s="55">
        <f>VLOOKUP($E1571,'NI-Soc_SP'!$C:$AN,MID(Y$1,1,2),FALSE)</f>
        <v>0</v>
      </c>
      <c r="Z1571" s="55">
        <f>VLOOKUP($E1571,'NI-Soc_SP'!$C:$AN,MID(Z$1,1,2),FALSE)</f>
        <v>0</v>
      </c>
      <c r="AA1571" s="55">
        <f>VLOOKUP($E1571,'NI-Soc_SP'!$C:$AN,MID(AA$1,1,2),FALSE)</f>
        <v>0</v>
      </c>
      <c r="AB1571" s="55">
        <f>VLOOKUP($E1571,'NI-Soc_SP'!$C:$AN,MID(AB$1,1,2),FALSE)</f>
        <v>0</v>
      </c>
      <c r="AC1571" s="55">
        <f>VLOOKUP($E1571,'NI-Soc_SP'!$C:$AN,MID(AC$1,1,2),FALSE)</f>
        <v>0</v>
      </c>
      <c r="AD1571" s="55">
        <f>VLOOKUP($E1571,'NI-Soc_SP'!$C:$AN,MID(AD$1,1,2),FALSE)</f>
        <v>0</v>
      </c>
      <c r="AE1571" s="55">
        <f>VLOOKUP($E1571,'NI-Soc_SP'!$C:$AN,MID(AE$1,1,2),FALSE)</f>
        <v>0</v>
      </c>
      <c r="AF1571" s="55">
        <f>VLOOKUP($E1571,'NI-Soc_SP'!$C:$AN,MID(AF$1,1,2),FALSE)</f>
        <v>0</v>
      </c>
      <c r="AG1571" s="55">
        <f>VLOOKUP($E1571,'NI-Soc_SP'!$C:$AN,MID(AG$1,1,2),FALSE)</f>
        <v>0</v>
      </c>
      <c r="AH1571" s="55">
        <f>VLOOKUP($E1571,'NI-Soc_SP'!$C:$AN,MID(AH$1,1,2),FALSE)</f>
        <v>0</v>
      </c>
      <c r="AI1571" s="55">
        <f>VLOOKUP($E1571,'NI-Soc_SP'!$C:$AN,MID(AI$1,1,2),FALSE)</f>
        <v>0</v>
      </c>
      <c r="AJ1571" s="55">
        <f>VLOOKUP($E1571,'NI-Soc_SP'!$C:$AN,MID(AJ$1,1,2),FALSE)</f>
        <v>0</v>
      </c>
      <c r="AK1571" s="55">
        <f>VLOOKUP($E1571,'NI-Soc_SP'!$C:$AN,MID(AK$1,1,2),FALSE)</f>
        <v>0</v>
      </c>
      <c r="AL1571" s="55">
        <f>VLOOKUP($E1571,'NI-Soc_SP'!$C:$AN,MID(AL$1,1,2),FALSE)</f>
        <v>0</v>
      </c>
      <c r="AM1571" s="56">
        <f>VLOOKUP($E1571,'NI-Soc_SP'!$C:$AN,MID(AM$1,1,2),FALSE)</f>
        <v>0</v>
      </c>
      <c r="AN1571" s="30" t="str">
        <f t="shared" si="24"/>
        <v>10202020000000</v>
      </c>
    </row>
    <row r="1572" spans="3:40" x14ac:dyDescent="0.25">
      <c r="C1572" s="40"/>
      <c r="D1572" s="121" t="s">
        <v>526</v>
      </c>
      <c r="E1572" s="121" t="s">
        <v>527</v>
      </c>
      <c r="F1572" s="122" t="s">
        <v>2758</v>
      </c>
      <c r="G1572" s="52"/>
      <c r="H1572" s="52"/>
      <c r="I1572" s="52" t="s">
        <v>528</v>
      </c>
      <c r="J1572" s="52"/>
      <c r="K1572" s="59" t="s">
        <v>111</v>
      </c>
      <c r="L1572" s="62" t="s">
        <v>491</v>
      </c>
      <c r="M1572" s="52"/>
      <c r="N1572" s="52"/>
      <c r="O1572" s="52"/>
      <c r="P1572" s="54" t="s">
        <v>529</v>
      </c>
      <c r="Q1572" s="55">
        <f>VLOOKUP(E1572,'NI-Soc_SP'!$C:$AN,12,FALSE)</f>
        <v>0</v>
      </c>
      <c r="R1572" s="55">
        <f>VLOOKUP(E1572,'NI-Soc_SP'!$C:$AN,13,FALSE)</f>
        <v>0</v>
      </c>
      <c r="S1572" s="55"/>
      <c r="T1572" s="55"/>
      <c r="U1572" s="55">
        <f>VLOOKUP($E1572,'NI-Soc_SP'!$C:$AN,MID(U$1,1,2),FALSE)</f>
        <v>0</v>
      </c>
      <c r="V1572" s="55">
        <f>VLOOKUP($E1572,'NI-Soc_SP'!$C:$AN,MID(V$1,1,2),FALSE)</f>
        <v>0</v>
      </c>
      <c r="W1572" s="55">
        <f>VLOOKUP($E1572,'NI-Soc_SP'!$C:$AN,MID(W$1,1,2),FALSE)</f>
        <v>0</v>
      </c>
      <c r="X1572" s="55">
        <f>VLOOKUP($E1572,'NI-Soc_SP'!$C:$AN,MID(X$1,1,2),FALSE)</f>
        <v>0</v>
      </c>
      <c r="Y1572" s="55">
        <f>VLOOKUP($E1572,'NI-Soc_SP'!$C:$AN,MID(Y$1,1,2),FALSE)</f>
        <v>0</v>
      </c>
      <c r="Z1572" s="55">
        <f>VLOOKUP($E1572,'NI-Soc_SP'!$C:$AN,MID(Z$1,1,2),FALSE)</f>
        <v>0</v>
      </c>
      <c r="AA1572" s="55">
        <f>VLOOKUP($E1572,'NI-Soc_SP'!$C:$AN,MID(AA$1,1,2),FALSE)</f>
        <v>0</v>
      </c>
      <c r="AB1572" s="55">
        <f>VLOOKUP($E1572,'NI-Soc_SP'!$C:$AN,MID(AB$1,1,2),FALSE)</f>
        <v>0</v>
      </c>
      <c r="AC1572" s="55">
        <f>VLOOKUP($E1572,'NI-Soc_SP'!$C:$AN,MID(AC$1,1,2),FALSE)</f>
        <v>0</v>
      </c>
      <c r="AD1572" s="55">
        <f>VLOOKUP($E1572,'NI-Soc_SP'!$C:$AN,MID(AD$1,1,2),FALSE)</f>
        <v>0</v>
      </c>
      <c r="AE1572" s="55">
        <f>VLOOKUP($E1572,'NI-Soc_SP'!$C:$AN,MID(AE$1,1,2),FALSE)</f>
        <v>0</v>
      </c>
      <c r="AF1572" s="55">
        <f>VLOOKUP($E1572,'NI-Soc_SP'!$C:$AN,MID(AF$1,1,2),FALSE)</f>
        <v>0</v>
      </c>
      <c r="AG1572" s="55">
        <f>VLOOKUP($E1572,'NI-Soc_SP'!$C:$AN,MID(AG$1,1,2),FALSE)</f>
        <v>0</v>
      </c>
      <c r="AH1572" s="55">
        <f>VLOOKUP($E1572,'NI-Soc_SP'!$C:$AN,MID(AH$1,1,2),FALSE)</f>
        <v>0</v>
      </c>
      <c r="AI1572" s="55">
        <f>VLOOKUP($E1572,'NI-Soc_SP'!$C:$AN,MID(AI$1,1,2),FALSE)</f>
        <v>0</v>
      </c>
      <c r="AJ1572" s="55">
        <f>VLOOKUP($E1572,'NI-Soc_SP'!$C:$AN,MID(AJ$1,1,2),FALSE)</f>
        <v>0</v>
      </c>
      <c r="AK1572" s="55">
        <f>VLOOKUP($E1572,'NI-Soc_SP'!$C:$AN,MID(AK$1,1,2),FALSE)</f>
        <v>0</v>
      </c>
      <c r="AL1572" s="55">
        <f>VLOOKUP($E1572,'NI-Soc_SP'!$C:$AN,MID(AL$1,1,2),FALSE)</f>
        <v>0</v>
      </c>
      <c r="AM1572" s="56">
        <f>VLOOKUP($E1572,'NI-Soc_SP'!$C:$AN,MID(AM$1,1,2),FALSE)</f>
        <v>0</v>
      </c>
      <c r="AN1572" s="30" t="str">
        <f t="shared" si="24"/>
        <v>10202020010000</v>
      </c>
    </row>
    <row r="1573" spans="3:40" x14ac:dyDescent="0.25">
      <c r="C1573" s="40"/>
      <c r="D1573" s="121" t="s">
        <v>530</v>
      </c>
      <c r="E1573" s="121" t="s">
        <v>531</v>
      </c>
      <c r="F1573" s="122" t="s">
        <v>2758</v>
      </c>
      <c r="G1573" s="52"/>
      <c r="H1573" s="52"/>
      <c r="I1573" s="52"/>
      <c r="J1573" s="52"/>
      <c r="K1573" s="59" t="s">
        <v>79</v>
      </c>
      <c r="L1573" s="52"/>
      <c r="M1573" s="52"/>
      <c r="N1573" s="52"/>
      <c r="O1573" s="52"/>
      <c r="P1573" s="63" t="s">
        <v>532</v>
      </c>
      <c r="Q1573" s="55">
        <f>VLOOKUP(E1573,'NI-Soc_SP'!$C:$AN,12,FALSE)</f>
        <v>0</v>
      </c>
      <c r="R1573" s="55">
        <f>VLOOKUP(E1573,'NI-Soc_SP'!$C:$AN,13,FALSE)</f>
        <v>0</v>
      </c>
      <c r="S1573" s="55"/>
      <c r="T1573" s="55"/>
      <c r="U1573" s="55">
        <f>VLOOKUP($E1573,'NI-Soc_SP'!$C:$AN,MID(U$1,1,2),FALSE)</f>
        <v>0</v>
      </c>
      <c r="V1573" s="55">
        <f>VLOOKUP($E1573,'NI-Soc_SP'!$C:$AN,MID(V$1,1,2),FALSE)</f>
        <v>0</v>
      </c>
      <c r="W1573" s="55">
        <f>VLOOKUP($E1573,'NI-Soc_SP'!$C:$AN,MID(W$1,1,2),FALSE)</f>
        <v>0</v>
      </c>
      <c r="X1573" s="55">
        <f>VLOOKUP($E1573,'NI-Soc_SP'!$C:$AN,MID(X$1,1,2),FALSE)</f>
        <v>0</v>
      </c>
      <c r="Y1573" s="55">
        <f>VLOOKUP($E1573,'NI-Soc_SP'!$C:$AN,MID(Y$1,1,2),FALSE)</f>
        <v>0</v>
      </c>
      <c r="Z1573" s="55">
        <f>VLOOKUP($E1573,'NI-Soc_SP'!$C:$AN,MID(Z$1,1,2),FALSE)</f>
        <v>0</v>
      </c>
      <c r="AA1573" s="55">
        <f>VLOOKUP($E1573,'NI-Soc_SP'!$C:$AN,MID(AA$1,1,2),FALSE)</f>
        <v>0</v>
      </c>
      <c r="AB1573" s="55">
        <f>VLOOKUP($E1573,'NI-Soc_SP'!$C:$AN,MID(AB$1,1,2),FALSE)</f>
        <v>0</v>
      </c>
      <c r="AC1573" s="55">
        <f>VLOOKUP($E1573,'NI-Soc_SP'!$C:$AN,MID(AC$1,1,2),FALSE)</f>
        <v>0</v>
      </c>
      <c r="AD1573" s="55">
        <f>VLOOKUP($E1573,'NI-Soc_SP'!$C:$AN,MID(AD$1,1,2),FALSE)</f>
        <v>0</v>
      </c>
      <c r="AE1573" s="55">
        <f>VLOOKUP($E1573,'NI-Soc_SP'!$C:$AN,MID(AE$1,1,2),FALSE)</f>
        <v>0</v>
      </c>
      <c r="AF1573" s="55">
        <f>VLOOKUP($E1573,'NI-Soc_SP'!$C:$AN,MID(AF$1,1,2),FALSE)</f>
        <v>0</v>
      </c>
      <c r="AG1573" s="55">
        <f>VLOOKUP($E1573,'NI-Soc_SP'!$C:$AN,MID(AG$1,1,2),FALSE)</f>
        <v>0</v>
      </c>
      <c r="AH1573" s="55">
        <f>VLOOKUP($E1573,'NI-Soc_SP'!$C:$AN,MID(AH$1,1,2),FALSE)</f>
        <v>0</v>
      </c>
      <c r="AI1573" s="55">
        <f>VLOOKUP($E1573,'NI-Soc_SP'!$C:$AN,MID(AI$1,1,2),FALSE)</f>
        <v>0</v>
      </c>
      <c r="AJ1573" s="55">
        <f>VLOOKUP($E1573,'NI-Soc_SP'!$C:$AN,MID(AJ$1,1,2),FALSE)</f>
        <v>0</v>
      </c>
      <c r="AK1573" s="55">
        <f>VLOOKUP($E1573,'NI-Soc_SP'!$C:$AN,MID(AK$1,1,2),FALSE)</f>
        <v>0</v>
      </c>
      <c r="AL1573" s="55">
        <f>VLOOKUP($E1573,'NI-Soc_SP'!$C:$AN,MID(AL$1,1,2),FALSE)</f>
        <v>0</v>
      </c>
      <c r="AM1573" s="56">
        <f>VLOOKUP($E1573,'NI-Soc_SP'!$C:$AN,MID(AM$1,1,2),FALSE)</f>
        <v>0</v>
      </c>
      <c r="AN1573" s="30" t="str">
        <f t="shared" si="24"/>
        <v>10202020010010</v>
      </c>
    </row>
    <row r="1574" spans="3:40" x14ac:dyDescent="0.25">
      <c r="C1574" s="40"/>
      <c r="D1574" s="121" t="s">
        <v>533</v>
      </c>
      <c r="E1574" s="121" t="s">
        <v>534</v>
      </c>
      <c r="F1574" s="122" t="s">
        <v>2758</v>
      </c>
      <c r="G1574" s="52"/>
      <c r="H1574" s="52"/>
      <c r="I1574" s="52"/>
      <c r="J1574" s="52"/>
      <c r="K1574" s="59" t="s">
        <v>79</v>
      </c>
      <c r="L1574" s="52"/>
      <c r="M1574" s="52"/>
      <c r="N1574" s="52"/>
      <c r="O1574" s="52"/>
      <c r="P1574" s="63" t="s">
        <v>535</v>
      </c>
      <c r="Q1574" s="55">
        <f>VLOOKUP(E1574,'NI-Soc_SP'!$C:$AN,12,FALSE)</f>
        <v>0</v>
      </c>
      <c r="R1574" s="55">
        <f>VLOOKUP(E1574,'NI-Soc_SP'!$C:$AN,13,FALSE)</f>
        <v>0</v>
      </c>
      <c r="S1574" s="55"/>
      <c r="T1574" s="55"/>
      <c r="U1574" s="55">
        <f>VLOOKUP($E1574,'NI-Soc_SP'!$C:$AN,MID(U$1,1,2),FALSE)</f>
        <v>0</v>
      </c>
      <c r="V1574" s="55">
        <f>VLOOKUP($E1574,'NI-Soc_SP'!$C:$AN,MID(V$1,1,2),FALSE)</f>
        <v>0</v>
      </c>
      <c r="W1574" s="55">
        <f>VLOOKUP($E1574,'NI-Soc_SP'!$C:$AN,MID(W$1,1,2),FALSE)</f>
        <v>0</v>
      </c>
      <c r="X1574" s="55">
        <f>VLOOKUP($E1574,'NI-Soc_SP'!$C:$AN,MID(X$1,1,2),FALSE)</f>
        <v>0</v>
      </c>
      <c r="Y1574" s="55">
        <f>VLOOKUP($E1574,'NI-Soc_SP'!$C:$AN,MID(Y$1,1,2),FALSE)</f>
        <v>0</v>
      </c>
      <c r="Z1574" s="55">
        <f>VLOOKUP($E1574,'NI-Soc_SP'!$C:$AN,MID(Z$1,1,2),FALSE)</f>
        <v>0</v>
      </c>
      <c r="AA1574" s="55">
        <f>VLOOKUP($E1574,'NI-Soc_SP'!$C:$AN,MID(AA$1,1,2),FALSE)</f>
        <v>0</v>
      </c>
      <c r="AB1574" s="55">
        <f>VLOOKUP($E1574,'NI-Soc_SP'!$C:$AN,MID(AB$1,1,2),FALSE)</f>
        <v>0</v>
      </c>
      <c r="AC1574" s="55">
        <f>VLOOKUP($E1574,'NI-Soc_SP'!$C:$AN,MID(AC$1,1,2),FALSE)</f>
        <v>0</v>
      </c>
      <c r="AD1574" s="55">
        <f>VLOOKUP($E1574,'NI-Soc_SP'!$C:$AN,MID(AD$1,1,2),FALSE)</f>
        <v>0</v>
      </c>
      <c r="AE1574" s="55">
        <f>VLOOKUP($E1574,'NI-Soc_SP'!$C:$AN,MID(AE$1,1,2),FALSE)</f>
        <v>0</v>
      </c>
      <c r="AF1574" s="55">
        <f>VLOOKUP($E1574,'NI-Soc_SP'!$C:$AN,MID(AF$1,1,2),FALSE)</f>
        <v>0</v>
      </c>
      <c r="AG1574" s="55">
        <f>VLOOKUP($E1574,'NI-Soc_SP'!$C:$AN,MID(AG$1,1,2),FALSE)</f>
        <v>0</v>
      </c>
      <c r="AH1574" s="55">
        <f>VLOOKUP($E1574,'NI-Soc_SP'!$C:$AN,MID(AH$1,1,2),FALSE)</f>
        <v>0</v>
      </c>
      <c r="AI1574" s="55">
        <f>VLOOKUP($E1574,'NI-Soc_SP'!$C:$AN,MID(AI$1,1,2),FALSE)</f>
        <v>0</v>
      </c>
      <c r="AJ1574" s="55">
        <f>VLOOKUP($E1574,'NI-Soc_SP'!$C:$AN,MID(AJ$1,1,2),FALSE)</f>
        <v>0</v>
      </c>
      <c r="AK1574" s="55">
        <f>VLOOKUP($E1574,'NI-Soc_SP'!$C:$AN,MID(AK$1,1,2),FALSE)</f>
        <v>0</v>
      </c>
      <c r="AL1574" s="55">
        <f>VLOOKUP($E1574,'NI-Soc_SP'!$C:$AN,MID(AL$1,1,2),FALSE)</f>
        <v>0</v>
      </c>
      <c r="AM1574" s="56">
        <f>VLOOKUP($E1574,'NI-Soc_SP'!$C:$AN,MID(AM$1,1,2),FALSE)</f>
        <v>0</v>
      </c>
      <c r="AN1574" s="30" t="str">
        <f t="shared" si="24"/>
        <v>10202020010020</v>
      </c>
    </row>
    <row r="1575" spans="3:40" x14ac:dyDescent="0.25">
      <c r="C1575" s="40"/>
      <c r="D1575" s="121" t="s">
        <v>536</v>
      </c>
      <c r="E1575" s="121" t="s">
        <v>537</v>
      </c>
      <c r="F1575" s="122" t="s">
        <v>2758</v>
      </c>
      <c r="G1575" s="52"/>
      <c r="H1575" s="52"/>
      <c r="I1575" s="52"/>
      <c r="J1575" s="52"/>
      <c r="K1575" s="59" t="s">
        <v>79</v>
      </c>
      <c r="L1575" s="52"/>
      <c r="M1575" s="52"/>
      <c r="N1575" s="52"/>
      <c r="O1575" s="52"/>
      <c r="P1575" s="63" t="s">
        <v>538</v>
      </c>
      <c r="Q1575" s="55">
        <f>VLOOKUP(E1575,'NI-Soc_SP'!$C:$AN,12,FALSE)</f>
        <v>0</v>
      </c>
      <c r="R1575" s="55">
        <f>VLOOKUP(E1575,'NI-Soc_SP'!$C:$AN,13,FALSE)</f>
        <v>0</v>
      </c>
      <c r="S1575" s="55"/>
      <c r="T1575" s="55"/>
      <c r="U1575" s="55">
        <f>VLOOKUP($E1575,'NI-Soc_SP'!$C:$AN,MID(U$1,1,2),FALSE)</f>
        <v>0</v>
      </c>
      <c r="V1575" s="55">
        <f>VLOOKUP($E1575,'NI-Soc_SP'!$C:$AN,MID(V$1,1,2),FALSE)</f>
        <v>0</v>
      </c>
      <c r="W1575" s="55">
        <f>VLOOKUP($E1575,'NI-Soc_SP'!$C:$AN,MID(W$1,1,2),FALSE)</f>
        <v>0</v>
      </c>
      <c r="X1575" s="55">
        <f>VLOOKUP($E1575,'NI-Soc_SP'!$C:$AN,MID(X$1,1,2),FALSE)</f>
        <v>0</v>
      </c>
      <c r="Y1575" s="55">
        <f>VLOOKUP($E1575,'NI-Soc_SP'!$C:$AN,MID(Y$1,1,2),FALSE)</f>
        <v>0</v>
      </c>
      <c r="Z1575" s="55">
        <f>VLOOKUP($E1575,'NI-Soc_SP'!$C:$AN,MID(Z$1,1,2),FALSE)</f>
        <v>0</v>
      </c>
      <c r="AA1575" s="55">
        <f>VLOOKUP($E1575,'NI-Soc_SP'!$C:$AN,MID(AA$1,1,2),FALSE)</f>
        <v>0</v>
      </c>
      <c r="AB1575" s="55">
        <f>VLOOKUP($E1575,'NI-Soc_SP'!$C:$AN,MID(AB$1,1,2),FALSE)</f>
        <v>0</v>
      </c>
      <c r="AC1575" s="55">
        <f>VLOOKUP($E1575,'NI-Soc_SP'!$C:$AN,MID(AC$1,1,2),FALSE)</f>
        <v>0</v>
      </c>
      <c r="AD1575" s="55">
        <f>VLOOKUP($E1575,'NI-Soc_SP'!$C:$AN,MID(AD$1,1,2),FALSE)</f>
        <v>0</v>
      </c>
      <c r="AE1575" s="55">
        <f>VLOOKUP($E1575,'NI-Soc_SP'!$C:$AN,MID(AE$1,1,2),FALSE)</f>
        <v>0</v>
      </c>
      <c r="AF1575" s="55">
        <f>VLOOKUP($E1575,'NI-Soc_SP'!$C:$AN,MID(AF$1,1,2),FALSE)</f>
        <v>0</v>
      </c>
      <c r="AG1575" s="55">
        <f>VLOOKUP($E1575,'NI-Soc_SP'!$C:$AN,MID(AG$1,1,2),FALSE)</f>
        <v>0</v>
      </c>
      <c r="AH1575" s="55">
        <f>VLOOKUP($E1575,'NI-Soc_SP'!$C:$AN,MID(AH$1,1,2),FALSE)</f>
        <v>0</v>
      </c>
      <c r="AI1575" s="55">
        <f>VLOOKUP($E1575,'NI-Soc_SP'!$C:$AN,MID(AI$1,1,2),FALSE)</f>
        <v>0</v>
      </c>
      <c r="AJ1575" s="55">
        <f>VLOOKUP($E1575,'NI-Soc_SP'!$C:$AN,MID(AJ$1,1,2),FALSE)</f>
        <v>0</v>
      </c>
      <c r="AK1575" s="55">
        <f>VLOOKUP($E1575,'NI-Soc_SP'!$C:$AN,MID(AK$1,1,2),FALSE)</f>
        <v>0</v>
      </c>
      <c r="AL1575" s="55">
        <f>VLOOKUP($E1575,'NI-Soc_SP'!$C:$AN,MID(AL$1,1,2),FALSE)</f>
        <v>0</v>
      </c>
      <c r="AM1575" s="56">
        <f>VLOOKUP($E1575,'NI-Soc_SP'!$C:$AN,MID(AM$1,1,2),FALSE)</f>
        <v>0</v>
      </c>
      <c r="AN1575" s="30" t="str">
        <f t="shared" si="24"/>
        <v>10202020010030</v>
      </c>
    </row>
    <row r="1576" spans="3:40" x14ac:dyDescent="0.25">
      <c r="C1576" s="40"/>
      <c r="D1576" s="121" t="s">
        <v>539</v>
      </c>
      <c r="E1576" s="121" t="s">
        <v>540</v>
      </c>
      <c r="F1576" s="122" t="s">
        <v>2758</v>
      </c>
      <c r="G1576" s="52"/>
      <c r="H1576" s="52"/>
      <c r="I1576" s="52"/>
      <c r="J1576" s="52"/>
      <c r="K1576" s="59" t="s">
        <v>79</v>
      </c>
      <c r="L1576" s="52"/>
      <c r="M1576" s="52"/>
      <c r="N1576" s="52"/>
      <c r="O1576" s="52"/>
      <c r="P1576" s="63" t="s">
        <v>541</v>
      </c>
      <c r="Q1576" s="55">
        <f>VLOOKUP(E1576,'NI-Soc_SP'!$C:$AN,12,FALSE)</f>
        <v>0</v>
      </c>
      <c r="R1576" s="55">
        <f>VLOOKUP(E1576,'NI-Soc_SP'!$C:$AN,13,FALSE)</f>
        <v>0</v>
      </c>
      <c r="S1576" s="55"/>
      <c r="T1576" s="55"/>
      <c r="U1576" s="55">
        <f>VLOOKUP($E1576,'NI-Soc_SP'!$C:$AN,MID(U$1,1,2),FALSE)</f>
        <v>0</v>
      </c>
      <c r="V1576" s="55">
        <f>VLOOKUP($E1576,'NI-Soc_SP'!$C:$AN,MID(V$1,1,2),FALSE)</f>
        <v>0</v>
      </c>
      <c r="W1576" s="55">
        <f>VLOOKUP($E1576,'NI-Soc_SP'!$C:$AN,MID(W$1,1,2),FALSE)</f>
        <v>0</v>
      </c>
      <c r="X1576" s="55">
        <f>VLOOKUP($E1576,'NI-Soc_SP'!$C:$AN,MID(X$1,1,2),FALSE)</f>
        <v>0</v>
      </c>
      <c r="Y1576" s="55">
        <f>VLOOKUP($E1576,'NI-Soc_SP'!$C:$AN,MID(Y$1,1,2),FALSE)</f>
        <v>0</v>
      </c>
      <c r="Z1576" s="55">
        <f>VLOOKUP($E1576,'NI-Soc_SP'!$C:$AN,MID(Z$1,1,2),FALSE)</f>
        <v>0</v>
      </c>
      <c r="AA1576" s="55">
        <f>VLOOKUP($E1576,'NI-Soc_SP'!$C:$AN,MID(AA$1,1,2),FALSE)</f>
        <v>0</v>
      </c>
      <c r="AB1576" s="55">
        <f>VLOOKUP($E1576,'NI-Soc_SP'!$C:$AN,MID(AB$1,1,2),FALSE)</f>
        <v>0</v>
      </c>
      <c r="AC1576" s="55">
        <f>VLOOKUP($E1576,'NI-Soc_SP'!$C:$AN,MID(AC$1,1,2),FALSE)</f>
        <v>0</v>
      </c>
      <c r="AD1576" s="55">
        <f>VLOOKUP($E1576,'NI-Soc_SP'!$C:$AN,MID(AD$1,1,2),FALSE)</f>
        <v>0</v>
      </c>
      <c r="AE1576" s="55">
        <f>VLOOKUP($E1576,'NI-Soc_SP'!$C:$AN,MID(AE$1,1,2),FALSE)</f>
        <v>0</v>
      </c>
      <c r="AF1576" s="55">
        <f>VLOOKUP($E1576,'NI-Soc_SP'!$C:$AN,MID(AF$1,1,2),FALSE)</f>
        <v>0</v>
      </c>
      <c r="AG1576" s="55">
        <f>VLOOKUP($E1576,'NI-Soc_SP'!$C:$AN,MID(AG$1,1,2),FALSE)</f>
        <v>0</v>
      </c>
      <c r="AH1576" s="55">
        <f>VLOOKUP($E1576,'NI-Soc_SP'!$C:$AN,MID(AH$1,1,2),FALSE)</f>
        <v>0</v>
      </c>
      <c r="AI1576" s="55">
        <f>VLOOKUP($E1576,'NI-Soc_SP'!$C:$AN,MID(AI$1,1,2),FALSE)</f>
        <v>0</v>
      </c>
      <c r="AJ1576" s="55">
        <f>VLOOKUP($E1576,'NI-Soc_SP'!$C:$AN,MID(AJ$1,1,2),FALSE)</f>
        <v>0</v>
      </c>
      <c r="AK1576" s="55">
        <f>VLOOKUP($E1576,'NI-Soc_SP'!$C:$AN,MID(AK$1,1,2),FALSE)</f>
        <v>0</v>
      </c>
      <c r="AL1576" s="55">
        <f>VLOOKUP($E1576,'NI-Soc_SP'!$C:$AN,MID(AL$1,1,2),FALSE)</f>
        <v>0</v>
      </c>
      <c r="AM1576" s="56">
        <f>VLOOKUP($E1576,'NI-Soc_SP'!$C:$AN,MID(AM$1,1,2),FALSE)</f>
        <v>0</v>
      </c>
      <c r="AN1576" s="30" t="str">
        <f t="shared" si="24"/>
        <v>10202020010040</v>
      </c>
    </row>
    <row r="1577" spans="3:40" x14ac:dyDescent="0.25">
      <c r="C1577" s="40"/>
      <c r="D1577" s="121" t="s">
        <v>542</v>
      </c>
      <c r="E1577" s="121" t="s">
        <v>543</v>
      </c>
      <c r="F1577" s="122" t="s">
        <v>2758</v>
      </c>
      <c r="G1577" s="52"/>
      <c r="H1577" s="52"/>
      <c r="I1577" s="52" t="s">
        <v>544</v>
      </c>
      <c r="J1577" s="52"/>
      <c r="K1577" s="59" t="s">
        <v>111</v>
      </c>
      <c r="L1577" s="62" t="s">
        <v>508</v>
      </c>
      <c r="M1577" s="52"/>
      <c r="N1577" s="52"/>
      <c r="O1577" s="52"/>
      <c r="P1577" s="54" t="s">
        <v>545</v>
      </c>
      <c r="Q1577" s="55">
        <f>VLOOKUP(E1577,'NI-Soc_SP'!$C:$AN,12,FALSE)</f>
        <v>0</v>
      </c>
      <c r="R1577" s="55">
        <f>VLOOKUP(E1577,'NI-Soc_SP'!$C:$AN,13,FALSE)</f>
        <v>0</v>
      </c>
      <c r="S1577" s="55"/>
      <c r="T1577" s="55"/>
      <c r="U1577" s="55">
        <f>VLOOKUP($E1577,'NI-Soc_SP'!$C:$AN,MID(U$1,1,2),FALSE)</f>
        <v>0</v>
      </c>
      <c r="V1577" s="55">
        <f>VLOOKUP($E1577,'NI-Soc_SP'!$C:$AN,MID(V$1,1,2),FALSE)</f>
        <v>0</v>
      </c>
      <c r="W1577" s="55">
        <f>VLOOKUP($E1577,'NI-Soc_SP'!$C:$AN,MID(W$1,1,2),FALSE)</f>
        <v>0</v>
      </c>
      <c r="X1577" s="55">
        <f>VLOOKUP($E1577,'NI-Soc_SP'!$C:$AN,MID(X$1,1,2),FALSE)</f>
        <v>0</v>
      </c>
      <c r="Y1577" s="55">
        <f>VLOOKUP($E1577,'NI-Soc_SP'!$C:$AN,MID(Y$1,1,2),FALSE)</f>
        <v>0</v>
      </c>
      <c r="Z1577" s="55">
        <f>VLOOKUP($E1577,'NI-Soc_SP'!$C:$AN,MID(Z$1,1,2),FALSE)</f>
        <v>0</v>
      </c>
      <c r="AA1577" s="55">
        <f>VLOOKUP($E1577,'NI-Soc_SP'!$C:$AN,MID(AA$1,1,2),FALSE)</f>
        <v>0</v>
      </c>
      <c r="AB1577" s="55">
        <f>VLOOKUP($E1577,'NI-Soc_SP'!$C:$AN,MID(AB$1,1,2),FALSE)</f>
        <v>0</v>
      </c>
      <c r="AC1577" s="55">
        <f>VLOOKUP($E1577,'NI-Soc_SP'!$C:$AN,MID(AC$1,1,2),FALSE)</f>
        <v>0</v>
      </c>
      <c r="AD1577" s="55">
        <f>VLOOKUP($E1577,'NI-Soc_SP'!$C:$AN,MID(AD$1,1,2),FALSE)</f>
        <v>0</v>
      </c>
      <c r="AE1577" s="55">
        <f>VLOOKUP($E1577,'NI-Soc_SP'!$C:$AN,MID(AE$1,1,2),FALSE)</f>
        <v>0</v>
      </c>
      <c r="AF1577" s="55">
        <f>VLOOKUP($E1577,'NI-Soc_SP'!$C:$AN,MID(AF$1,1,2),FALSE)</f>
        <v>0</v>
      </c>
      <c r="AG1577" s="55">
        <f>VLOOKUP($E1577,'NI-Soc_SP'!$C:$AN,MID(AG$1,1,2),FALSE)</f>
        <v>0</v>
      </c>
      <c r="AH1577" s="55">
        <f>VLOOKUP($E1577,'NI-Soc_SP'!$C:$AN,MID(AH$1,1,2),FALSE)</f>
        <v>0</v>
      </c>
      <c r="AI1577" s="55">
        <f>VLOOKUP($E1577,'NI-Soc_SP'!$C:$AN,MID(AI$1,1,2),FALSE)</f>
        <v>0</v>
      </c>
      <c r="AJ1577" s="55">
        <f>VLOOKUP($E1577,'NI-Soc_SP'!$C:$AN,MID(AJ$1,1,2),FALSE)</f>
        <v>0</v>
      </c>
      <c r="AK1577" s="55">
        <f>VLOOKUP($E1577,'NI-Soc_SP'!$C:$AN,MID(AK$1,1,2),FALSE)</f>
        <v>0</v>
      </c>
      <c r="AL1577" s="55">
        <f>VLOOKUP($E1577,'NI-Soc_SP'!$C:$AN,MID(AL$1,1,2),FALSE)</f>
        <v>0</v>
      </c>
      <c r="AM1577" s="56">
        <f>VLOOKUP($E1577,'NI-Soc_SP'!$C:$AN,MID(AM$1,1,2),FALSE)</f>
        <v>0</v>
      </c>
      <c r="AN1577" s="30" t="str">
        <f t="shared" si="24"/>
        <v>10202020020000</v>
      </c>
    </row>
    <row r="1578" spans="3:40" x14ac:dyDescent="0.25">
      <c r="C1578" s="40"/>
      <c r="D1578" s="121" t="s">
        <v>546</v>
      </c>
      <c r="E1578" s="121" t="s">
        <v>547</v>
      </c>
      <c r="F1578" s="122" t="s">
        <v>2758</v>
      </c>
      <c r="G1578" s="52"/>
      <c r="H1578" s="52"/>
      <c r="I1578" s="52"/>
      <c r="J1578" s="52"/>
      <c r="K1578" s="59" t="s">
        <v>79</v>
      </c>
      <c r="L1578" s="52"/>
      <c r="M1578" s="52"/>
      <c r="N1578" s="52"/>
      <c r="O1578" s="52"/>
      <c r="P1578" s="63" t="s">
        <v>548</v>
      </c>
      <c r="Q1578" s="55">
        <f>VLOOKUP(E1578,'NI-Soc_SP'!$C:$AN,12,FALSE)</f>
        <v>0</v>
      </c>
      <c r="R1578" s="55">
        <f>VLOOKUP(E1578,'NI-Soc_SP'!$C:$AN,13,FALSE)</f>
        <v>0</v>
      </c>
      <c r="S1578" s="55"/>
      <c r="T1578" s="55"/>
      <c r="U1578" s="55">
        <f>VLOOKUP($E1578,'NI-Soc_SP'!$C:$AN,MID(U$1,1,2),FALSE)</f>
        <v>0</v>
      </c>
      <c r="V1578" s="55">
        <f>VLOOKUP($E1578,'NI-Soc_SP'!$C:$AN,MID(V$1,1,2),FALSE)</f>
        <v>0</v>
      </c>
      <c r="W1578" s="55">
        <f>VLOOKUP($E1578,'NI-Soc_SP'!$C:$AN,MID(W$1,1,2),FALSE)</f>
        <v>0</v>
      </c>
      <c r="X1578" s="55">
        <f>VLOOKUP($E1578,'NI-Soc_SP'!$C:$AN,MID(X$1,1,2),FALSE)</f>
        <v>0</v>
      </c>
      <c r="Y1578" s="55">
        <f>VLOOKUP($E1578,'NI-Soc_SP'!$C:$AN,MID(Y$1,1,2),FALSE)</f>
        <v>0</v>
      </c>
      <c r="Z1578" s="55">
        <f>VLOOKUP($E1578,'NI-Soc_SP'!$C:$AN,MID(Z$1,1,2),FALSE)</f>
        <v>0</v>
      </c>
      <c r="AA1578" s="55">
        <f>VLOOKUP($E1578,'NI-Soc_SP'!$C:$AN,MID(AA$1,1,2),FALSE)</f>
        <v>0</v>
      </c>
      <c r="AB1578" s="55">
        <f>VLOOKUP($E1578,'NI-Soc_SP'!$C:$AN,MID(AB$1,1,2),FALSE)</f>
        <v>0</v>
      </c>
      <c r="AC1578" s="55">
        <f>VLOOKUP($E1578,'NI-Soc_SP'!$C:$AN,MID(AC$1,1,2),FALSE)</f>
        <v>0</v>
      </c>
      <c r="AD1578" s="55">
        <f>VLOOKUP($E1578,'NI-Soc_SP'!$C:$AN,MID(AD$1,1,2),FALSE)</f>
        <v>0</v>
      </c>
      <c r="AE1578" s="55">
        <f>VLOOKUP($E1578,'NI-Soc_SP'!$C:$AN,MID(AE$1,1,2),FALSE)</f>
        <v>0</v>
      </c>
      <c r="AF1578" s="55">
        <f>VLOOKUP($E1578,'NI-Soc_SP'!$C:$AN,MID(AF$1,1,2),FALSE)</f>
        <v>0</v>
      </c>
      <c r="AG1578" s="55">
        <f>VLOOKUP($E1578,'NI-Soc_SP'!$C:$AN,MID(AG$1,1,2),FALSE)</f>
        <v>0</v>
      </c>
      <c r="AH1578" s="55">
        <f>VLOOKUP($E1578,'NI-Soc_SP'!$C:$AN,MID(AH$1,1,2),FALSE)</f>
        <v>0</v>
      </c>
      <c r="AI1578" s="55">
        <f>VLOOKUP($E1578,'NI-Soc_SP'!$C:$AN,MID(AI$1,1,2),FALSE)</f>
        <v>0</v>
      </c>
      <c r="AJ1578" s="55">
        <f>VLOOKUP($E1578,'NI-Soc_SP'!$C:$AN,MID(AJ$1,1,2),FALSE)</f>
        <v>0</v>
      </c>
      <c r="AK1578" s="55">
        <f>VLOOKUP($E1578,'NI-Soc_SP'!$C:$AN,MID(AK$1,1,2),FALSE)</f>
        <v>0</v>
      </c>
      <c r="AL1578" s="55">
        <f>VLOOKUP($E1578,'NI-Soc_SP'!$C:$AN,MID(AL$1,1,2),FALSE)</f>
        <v>0</v>
      </c>
      <c r="AM1578" s="56">
        <f>VLOOKUP($E1578,'NI-Soc_SP'!$C:$AN,MID(AM$1,1,2),FALSE)</f>
        <v>0</v>
      </c>
      <c r="AN1578" s="30" t="str">
        <f t="shared" si="24"/>
        <v>10202020020010</v>
      </c>
    </row>
    <row r="1579" spans="3:40" x14ac:dyDescent="0.25">
      <c r="C1579" s="40"/>
      <c r="D1579" s="121" t="s">
        <v>549</v>
      </c>
      <c r="E1579" s="121" t="s">
        <v>550</v>
      </c>
      <c r="F1579" s="122" t="s">
        <v>2758</v>
      </c>
      <c r="G1579" s="52"/>
      <c r="H1579" s="52"/>
      <c r="I1579" s="52"/>
      <c r="J1579" s="52"/>
      <c r="K1579" s="59" t="s">
        <v>79</v>
      </c>
      <c r="L1579" s="52"/>
      <c r="M1579" s="52"/>
      <c r="N1579" s="52"/>
      <c r="O1579" s="52"/>
      <c r="P1579" s="63" t="s">
        <v>551</v>
      </c>
      <c r="Q1579" s="55">
        <f>VLOOKUP(E1579,'NI-Soc_SP'!$C:$AN,12,FALSE)</f>
        <v>0</v>
      </c>
      <c r="R1579" s="55">
        <f>VLOOKUP(E1579,'NI-Soc_SP'!$C:$AN,13,FALSE)</f>
        <v>0</v>
      </c>
      <c r="S1579" s="55"/>
      <c r="T1579" s="55"/>
      <c r="U1579" s="55">
        <f>VLOOKUP($E1579,'NI-Soc_SP'!$C:$AN,MID(U$1,1,2),FALSE)</f>
        <v>0</v>
      </c>
      <c r="V1579" s="55">
        <f>VLOOKUP($E1579,'NI-Soc_SP'!$C:$AN,MID(V$1,1,2),FALSE)</f>
        <v>0</v>
      </c>
      <c r="W1579" s="55">
        <f>VLOOKUP($E1579,'NI-Soc_SP'!$C:$AN,MID(W$1,1,2),FALSE)</f>
        <v>0</v>
      </c>
      <c r="X1579" s="55">
        <f>VLOOKUP($E1579,'NI-Soc_SP'!$C:$AN,MID(X$1,1,2),FALSE)</f>
        <v>0</v>
      </c>
      <c r="Y1579" s="55">
        <f>VLOOKUP($E1579,'NI-Soc_SP'!$C:$AN,MID(Y$1,1,2),FALSE)</f>
        <v>0</v>
      </c>
      <c r="Z1579" s="55">
        <f>VLOOKUP($E1579,'NI-Soc_SP'!$C:$AN,MID(Z$1,1,2),FALSE)</f>
        <v>0</v>
      </c>
      <c r="AA1579" s="55">
        <f>VLOOKUP($E1579,'NI-Soc_SP'!$C:$AN,MID(AA$1,1,2),FALSE)</f>
        <v>0</v>
      </c>
      <c r="AB1579" s="55">
        <f>VLOOKUP($E1579,'NI-Soc_SP'!$C:$AN,MID(AB$1,1,2),FALSE)</f>
        <v>0</v>
      </c>
      <c r="AC1579" s="55">
        <f>VLOOKUP($E1579,'NI-Soc_SP'!$C:$AN,MID(AC$1,1,2),FALSE)</f>
        <v>0</v>
      </c>
      <c r="AD1579" s="55">
        <f>VLOOKUP($E1579,'NI-Soc_SP'!$C:$AN,MID(AD$1,1,2),FALSE)</f>
        <v>0</v>
      </c>
      <c r="AE1579" s="55">
        <f>VLOOKUP($E1579,'NI-Soc_SP'!$C:$AN,MID(AE$1,1,2),FALSE)</f>
        <v>0</v>
      </c>
      <c r="AF1579" s="55">
        <f>VLOOKUP($E1579,'NI-Soc_SP'!$C:$AN,MID(AF$1,1,2),FALSE)</f>
        <v>0</v>
      </c>
      <c r="AG1579" s="55">
        <f>VLOOKUP($E1579,'NI-Soc_SP'!$C:$AN,MID(AG$1,1,2),FALSE)</f>
        <v>0</v>
      </c>
      <c r="AH1579" s="55">
        <f>VLOOKUP($E1579,'NI-Soc_SP'!$C:$AN,MID(AH$1,1,2),FALSE)</f>
        <v>0</v>
      </c>
      <c r="AI1579" s="55">
        <f>VLOOKUP($E1579,'NI-Soc_SP'!$C:$AN,MID(AI$1,1,2),FALSE)</f>
        <v>0</v>
      </c>
      <c r="AJ1579" s="55">
        <f>VLOOKUP($E1579,'NI-Soc_SP'!$C:$AN,MID(AJ$1,1,2),FALSE)</f>
        <v>0</v>
      </c>
      <c r="AK1579" s="55">
        <f>VLOOKUP($E1579,'NI-Soc_SP'!$C:$AN,MID(AK$1,1,2),FALSE)</f>
        <v>0</v>
      </c>
      <c r="AL1579" s="55">
        <f>VLOOKUP($E1579,'NI-Soc_SP'!$C:$AN,MID(AL$1,1,2),FALSE)</f>
        <v>0</v>
      </c>
      <c r="AM1579" s="56">
        <f>VLOOKUP($E1579,'NI-Soc_SP'!$C:$AN,MID(AM$1,1,2),FALSE)</f>
        <v>0</v>
      </c>
      <c r="AN1579" s="30" t="str">
        <f t="shared" si="24"/>
        <v>10202020020020</v>
      </c>
    </row>
    <row r="1580" spans="3:40" x14ac:dyDescent="0.25">
      <c r="C1580" s="40"/>
      <c r="D1580" s="121" t="s">
        <v>552</v>
      </c>
      <c r="E1580" s="121" t="s">
        <v>553</v>
      </c>
      <c r="F1580" s="122" t="s">
        <v>2758</v>
      </c>
      <c r="G1580" s="52"/>
      <c r="H1580" s="52"/>
      <c r="I1580" s="52"/>
      <c r="J1580" s="52"/>
      <c r="K1580" s="59" t="s">
        <v>79</v>
      </c>
      <c r="L1580" s="52"/>
      <c r="M1580" s="52"/>
      <c r="N1580" s="52"/>
      <c r="O1580" s="52"/>
      <c r="P1580" s="63" t="s">
        <v>554</v>
      </c>
      <c r="Q1580" s="55">
        <f>VLOOKUP(E1580,'NI-Soc_SP'!$C:$AN,12,FALSE)</f>
        <v>0</v>
      </c>
      <c r="R1580" s="55">
        <f>VLOOKUP(E1580,'NI-Soc_SP'!$C:$AN,13,FALSE)</f>
        <v>0</v>
      </c>
      <c r="S1580" s="55"/>
      <c r="T1580" s="55"/>
      <c r="U1580" s="55">
        <f>VLOOKUP($E1580,'NI-Soc_SP'!$C:$AN,MID(U$1,1,2),FALSE)</f>
        <v>0</v>
      </c>
      <c r="V1580" s="55">
        <f>VLOOKUP($E1580,'NI-Soc_SP'!$C:$AN,MID(V$1,1,2),FALSE)</f>
        <v>0</v>
      </c>
      <c r="W1580" s="55">
        <f>VLOOKUP($E1580,'NI-Soc_SP'!$C:$AN,MID(W$1,1,2),FALSE)</f>
        <v>0</v>
      </c>
      <c r="X1580" s="55">
        <f>VLOOKUP($E1580,'NI-Soc_SP'!$C:$AN,MID(X$1,1,2),FALSE)</f>
        <v>0</v>
      </c>
      <c r="Y1580" s="55">
        <f>VLOOKUP($E1580,'NI-Soc_SP'!$C:$AN,MID(Y$1,1,2),FALSE)</f>
        <v>0</v>
      </c>
      <c r="Z1580" s="55">
        <f>VLOOKUP($E1580,'NI-Soc_SP'!$C:$AN,MID(Z$1,1,2),FALSE)</f>
        <v>0</v>
      </c>
      <c r="AA1580" s="55">
        <f>VLOOKUP($E1580,'NI-Soc_SP'!$C:$AN,MID(AA$1,1,2),FALSE)</f>
        <v>0</v>
      </c>
      <c r="AB1580" s="55">
        <f>VLOOKUP($E1580,'NI-Soc_SP'!$C:$AN,MID(AB$1,1,2),FALSE)</f>
        <v>0</v>
      </c>
      <c r="AC1580" s="55">
        <f>VLOOKUP($E1580,'NI-Soc_SP'!$C:$AN,MID(AC$1,1,2),FALSE)</f>
        <v>0</v>
      </c>
      <c r="AD1580" s="55">
        <f>VLOOKUP($E1580,'NI-Soc_SP'!$C:$AN,MID(AD$1,1,2),FALSE)</f>
        <v>0</v>
      </c>
      <c r="AE1580" s="55">
        <f>VLOOKUP($E1580,'NI-Soc_SP'!$C:$AN,MID(AE$1,1,2),FALSE)</f>
        <v>0</v>
      </c>
      <c r="AF1580" s="55">
        <f>VLOOKUP($E1580,'NI-Soc_SP'!$C:$AN,MID(AF$1,1,2),FALSE)</f>
        <v>0</v>
      </c>
      <c r="AG1580" s="55">
        <f>VLOOKUP($E1580,'NI-Soc_SP'!$C:$AN,MID(AG$1,1,2),FALSE)</f>
        <v>0</v>
      </c>
      <c r="AH1580" s="55">
        <f>VLOOKUP($E1580,'NI-Soc_SP'!$C:$AN,MID(AH$1,1,2),FALSE)</f>
        <v>0</v>
      </c>
      <c r="AI1580" s="55">
        <f>VLOOKUP($E1580,'NI-Soc_SP'!$C:$AN,MID(AI$1,1,2),FALSE)</f>
        <v>0</v>
      </c>
      <c r="AJ1580" s="55">
        <f>VLOOKUP($E1580,'NI-Soc_SP'!$C:$AN,MID(AJ$1,1,2),FALSE)</f>
        <v>0</v>
      </c>
      <c r="AK1580" s="55">
        <f>VLOOKUP($E1580,'NI-Soc_SP'!$C:$AN,MID(AK$1,1,2),FALSE)</f>
        <v>0</v>
      </c>
      <c r="AL1580" s="55">
        <f>VLOOKUP($E1580,'NI-Soc_SP'!$C:$AN,MID(AL$1,1,2),FALSE)</f>
        <v>0</v>
      </c>
      <c r="AM1580" s="56">
        <f>VLOOKUP($E1580,'NI-Soc_SP'!$C:$AN,MID(AM$1,1,2),FALSE)</f>
        <v>0</v>
      </c>
      <c r="AN1580" s="30" t="str">
        <f t="shared" si="24"/>
        <v>10202020020030</v>
      </c>
    </row>
    <row r="1581" spans="3:40" x14ac:dyDescent="0.25">
      <c r="C1581" s="40"/>
      <c r="D1581" s="121" t="s">
        <v>555</v>
      </c>
      <c r="E1581" s="121" t="s">
        <v>556</v>
      </c>
      <c r="F1581" s="122" t="s">
        <v>2758</v>
      </c>
      <c r="G1581" s="52"/>
      <c r="H1581" s="52"/>
      <c r="I1581" s="52"/>
      <c r="J1581" s="52"/>
      <c r="K1581" s="59" t="s">
        <v>79</v>
      </c>
      <c r="L1581" s="52"/>
      <c r="M1581" s="52"/>
      <c r="N1581" s="52"/>
      <c r="O1581" s="52"/>
      <c r="P1581" s="63" t="s">
        <v>557</v>
      </c>
      <c r="Q1581" s="55">
        <f>VLOOKUP(E1581,'NI-Soc_SP'!$C:$AN,12,FALSE)</f>
        <v>0</v>
      </c>
      <c r="R1581" s="55">
        <f>VLOOKUP(E1581,'NI-Soc_SP'!$C:$AN,13,FALSE)</f>
        <v>0</v>
      </c>
      <c r="S1581" s="55"/>
      <c r="T1581" s="55"/>
      <c r="U1581" s="55">
        <f>VLOOKUP($E1581,'NI-Soc_SP'!$C:$AN,MID(U$1,1,2),FALSE)</f>
        <v>0</v>
      </c>
      <c r="V1581" s="55">
        <f>VLOOKUP($E1581,'NI-Soc_SP'!$C:$AN,MID(V$1,1,2),FALSE)</f>
        <v>0</v>
      </c>
      <c r="W1581" s="55">
        <f>VLOOKUP($E1581,'NI-Soc_SP'!$C:$AN,MID(W$1,1,2),FALSE)</f>
        <v>0</v>
      </c>
      <c r="X1581" s="55">
        <f>VLOOKUP($E1581,'NI-Soc_SP'!$C:$AN,MID(X$1,1,2),FALSE)</f>
        <v>0</v>
      </c>
      <c r="Y1581" s="55">
        <f>VLOOKUP($E1581,'NI-Soc_SP'!$C:$AN,MID(Y$1,1,2),FALSE)</f>
        <v>0</v>
      </c>
      <c r="Z1581" s="55">
        <f>VLOOKUP($E1581,'NI-Soc_SP'!$C:$AN,MID(Z$1,1,2),FALSE)</f>
        <v>0</v>
      </c>
      <c r="AA1581" s="55">
        <f>VLOOKUP($E1581,'NI-Soc_SP'!$C:$AN,MID(AA$1,1,2),FALSE)</f>
        <v>0</v>
      </c>
      <c r="AB1581" s="55">
        <f>VLOOKUP($E1581,'NI-Soc_SP'!$C:$AN,MID(AB$1,1,2),FALSE)</f>
        <v>0</v>
      </c>
      <c r="AC1581" s="55">
        <f>VLOOKUP($E1581,'NI-Soc_SP'!$C:$AN,MID(AC$1,1,2),FALSE)</f>
        <v>0</v>
      </c>
      <c r="AD1581" s="55">
        <f>VLOOKUP($E1581,'NI-Soc_SP'!$C:$AN,MID(AD$1,1,2),FALSE)</f>
        <v>0</v>
      </c>
      <c r="AE1581" s="55">
        <f>VLOOKUP($E1581,'NI-Soc_SP'!$C:$AN,MID(AE$1,1,2),FALSE)</f>
        <v>0</v>
      </c>
      <c r="AF1581" s="55">
        <f>VLOOKUP($E1581,'NI-Soc_SP'!$C:$AN,MID(AF$1,1,2),FALSE)</f>
        <v>0</v>
      </c>
      <c r="AG1581" s="55">
        <f>VLOOKUP($E1581,'NI-Soc_SP'!$C:$AN,MID(AG$1,1,2),FALSE)</f>
        <v>0</v>
      </c>
      <c r="AH1581" s="55">
        <f>VLOOKUP($E1581,'NI-Soc_SP'!$C:$AN,MID(AH$1,1,2),FALSE)</f>
        <v>0</v>
      </c>
      <c r="AI1581" s="55">
        <f>VLOOKUP($E1581,'NI-Soc_SP'!$C:$AN,MID(AI$1,1,2),FALSE)</f>
        <v>0</v>
      </c>
      <c r="AJ1581" s="55">
        <f>VLOOKUP($E1581,'NI-Soc_SP'!$C:$AN,MID(AJ$1,1,2),FALSE)</f>
        <v>0</v>
      </c>
      <c r="AK1581" s="55">
        <f>VLOOKUP($E1581,'NI-Soc_SP'!$C:$AN,MID(AK$1,1,2),FALSE)</f>
        <v>0</v>
      </c>
      <c r="AL1581" s="55">
        <f>VLOOKUP($E1581,'NI-Soc_SP'!$C:$AN,MID(AL$1,1,2),FALSE)</f>
        <v>0</v>
      </c>
      <c r="AM1581" s="56">
        <f>VLOOKUP($E1581,'NI-Soc_SP'!$C:$AN,MID(AM$1,1,2),FALSE)</f>
        <v>0</v>
      </c>
      <c r="AN1581" s="30" t="str">
        <f t="shared" si="24"/>
        <v>10202020020040</v>
      </c>
    </row>
    <row r="1582" spans="3:40" x14ac:dyDescent="0.25">
      <c r="C1582" s="40"/>
      <c r="D1582" s="121" t="s">
        <v>558</v>
      </c>
      <c r="E1582" s="121" t="s">
        <v>559</v>
      </c>
      <c r="F1582" s="122" t="s">
        <v>2758</v>
      </c>
      <c r="G1582" s="52"/>
      <c r="H1582" s="52"/>
      <c r="I1582" s="52"/>
      <c r="J1582" s="52"/>
      <c r="K1582" s="59" t="s">
        <v>111</v>
      </c>
      <c r="L1582" s="52"/>
      <c r="M1582" s="52"/>
      <c r="N1582" s="52"/>
      <c r="O1582" s="61" t="s">
        <v>560</v>
      </c>
      <c r="P1582" s="60" t="s">
        <v>561</v>
      </c>
      <c r="Q1582" s="55">
        <f>VLOOKUP(E1582,'NI-Soc_SP'!$C:$AN,12,FALSE)</f>
        <v>0</v>
      </c>
      <c r="R1582" s="55">
        <f>VLOOKUP(E1582,'NI-Soc_SP'!$C:$AN,13,FALSE)</f>
        <v>0</v>
      </c>
      <c r="S1582" s="55"/>
      <c r="T1582" s="55"/>
      <c r="U1582" s="55">
        <f>VLOOKUP($E1582,'NI-Soc_SP'!$C:$AN,MID(U$1,1,2),FALSE)</f>
        <v>0</v>
      </c>
      <c r="V1582" s="55">
        <f>VLOOKUP($E1582,'NI-Soc_SP'!$C:$AN,MID(V$1,1,2),FALSE)</f>
        <v>0</v>
      </c>
      <c r="W1582" s="55">
        <f>VLOOKUP($E1582,'NI-Soc_SP'!$C:$AN,MID(W$1,1,2),FALSE)</f>
        <v>0</v>
      </c>
      <c r="X1582" s="55">
        <f>VLOOKUP($E1582,'NI-Soc_SP'!$C:$AN,MID(X$1,1,2),FALSE)</f>
        <v>0</v>
      </c>
      <c r="Y1582" s="55">
        <f>VLOOKUP($E1582,'NI-Soc_SP'!$C:$AN,MID(Y$1,1,2),FALSE)</f>
        <v>0</v>
      </c>
      <c r="Z1582" s="55">
        <f>VLOOKUP($E1582,'NI-Soc_SP'!$C:$AN,MID(Z$1,1,2),FALSE)</f>
        <v>0</v>
      </c>
      <c r="AA1582" s="55">
        <f>VLOOKUP($E1582,'NI-Soc_SP'!$C:$AN,MID(AA$1,1,2),FALSE)</f>
        <v>0</v>
      </c>
      <c r="AB1582" s="55">
        <f>VLOOKUP($E1582,'NI-Soc_SP'!$C:$AN,MID(AB$1,1,2),FALSE)</f>
        <v>0</v>
      </c>
      <c r="AC1582" s="55">
        <f>VLOOKUP($E1582,'NI-Soc_SP'!$C:$AN,MID(AC$1,1,2),FALSE)</f>
        <v>0</v>
      </c>
      <c r="AD1582" s="55">
        <f>VLOOKUP($E1582,'NI-Soc_SP'!$C:$AN,MID(AD$1,1,2),FALSE)</f>
        <v>0</v>
      </c>
      <c r="AE1582" s="55">
        <f>VLOOKUP($E1582,'NI-Soc_SP'!$C:$AN,MID(AE$1,1,2),FALSE)</f>
        <v>0</v>
      </c>
      <c r="AF1582" s="55">
        <f>VLOOKUP($E1582,'NI-Soc_SP'!$C:$AN,MID(AF$1,1,2),FALSE)</f>
        <v>0</v>
      </c>
      <c r="AG1582" s="55">
        <f>VLOOKUP($E1582,'NI-Soc_SP'!$C:$AN,MID(AG$1,1,2),FALSE)</f>
        <v>0</v>
      </c>
      <c r="AH1582" s="55">
        <f>VLOOKUP($E1582,'NI-Soc_SP'!$C:$AN,MID(AH$1,1,2),FALSE)</f>
        <v>0</v>
      </c>
      <c r="AI1582" s="55">
        <f>VLOOKUP($E1582,'NI-Soc_SP'!$C:$AN,MID(AI$1,1,2),FALSE)</f>
        <v>0</v>
      </c>
      <c r="AJ1582" s="55">
        <f>VLOOKUP($E1582,'NI-Soc_SP'!$C:$AN,MID(AJ$1,1,2),FALSE)</f>
        <v>0</v>
      </c>
      <c r="AK1582" s="55">
        <f>VLOOKUP($E1582,'NI-Soc_SP'!$C:$AN,MID(AK$1,1,2),FALSE)</f>
        <v>0</v>
      </c>
      <c r="AL1582" s="55">
        <f>VLOOKUP($E1582,'NI-Soc_SP'!$C:$AN,MID(AL$1,1,2),FALSE)</f>
        <v>0</v>
      </c>
      <c r="AM1582" s="56">
        <f>VLOOKUP($E1582,'NI-Soc_SP'!$C:$AN,MID(AM$1,1,2),FALSE)</f>
        <v>0</v>
      </c>
      <c r="AN1582" s="30" t="str">
        <f t="shared" si="24"/>
        <v>10203000000000</v>
      </c>
    </row>
    <row r="1583" spans="3:40" x14ac:dyDescent="0.25">
      <c r="C1583" s="40"/>
      <c r="D1583" s="121" t="s">
        <v>562</v>
      </c>
      <c r="E1583" s="121" t="s">
        <v>563</v>
      </c>
      <c r="F1583" s="122" t="s">
        <v>2758</v>
      </c>
      <c r="G1583" s="52"/>
      <c r="H1583" s="52"/>
      <c r="I1583" s="52" t="s">
        <v>564</v>
      </c>
      <c r="J1583" s="52"/>
      <c r="K1583" s="59" t="s">
        <v>111</v>
      </c>
      <c r="L1583" s="62" t="s">
        <v>565</v>
      </c>
      <c r="M1583" s="52"/>
      <c r="N1583" s="52"/>
      <c r="O1583" s="52"/>
      <c r="P1583" s="54" t="s">
        <v>566</v>
      </c>
      <c r="Q1583" s="55">
        <f>VLOOKUP(E1583,'NI-Soc_SP'!$C:$AN,12,FALSE)</f>
        <v>0</v>
      </c>
      <c r="R1583" s="55">
        <f>VLOOKUP(E1583,'NI-Soc_SP'!$C:$AN,13,FALSE)</f>
        <v>0</v>
      </c>
      <c r="S1583" s="55"/>
      <c r="T1583" s="55"/>
      <c r="U1583" s="55">
        <f>VLOOKUP($E1583,'NI-Soc_SP'!$C:$AN,MID(U$1,1,2),FALSE)</f>
        <v>0</v>
      </c>
      <c r="V1583" s="55">
        <f>VLOOKUP($E1583,'NI-Soc_SP'!$C:$AN,MID(V$1,1,2),FALSE)</f>
        <v>0</v>
      </c>
      <c r="W1583" s="55">
        <f>VLOOKUP($E1583,'NI-Soc_SP'!$C:$AN,MID(W$1,1,2),FALSE)</f>
        <v>0</v>
      </c>
      <c r="X1583" s="55">
        <f>VLOOKUP($E1583,'NI-Soc_SP'!$C:$AN,MID(X$1,1,2),FALSE)</f>
        <v>0</v>
      </c>
      <c r="Y1583" s="55">
        <f>VLOOKUP($E1583,'NI-Soc_SP'!$C:$AN,MID(Y$1,1,2),FALSE)</f>
        <v>0</v>
      </c>
      <c r="Z1583" s="55">
        <f>VLOOKUP($E1583,'NI-Soc_SP'!$C:$AN,MID(Z$1,1,2),FALSE)</f>
        <v>0</v>
      </c>
      <c r="AA1583" s="55">
        <f>VLOOKUP($E1583,'NI-Soc_SP'!$C:$AN,MID(AA$1,1,2),FALSE)</f>
        <v>0</v>
      </c>
      <c r="AB1583" s="55">
        <f>VLOOKUP($E1583,'NI-Soc_SP'!$C:$AN,MID(AB$1,1,2),FALSE)</f>
        <v>0</v>
      </c>
      <c r="AC1583" s="55">
        <f>VLOOKUP($E1583,'NI-Soc_SP'!$C:$AN,MID(AC$1,1,2),FALSE)</f>
        <v>0</v>
      </c>
      <c r="AD1583" s="55">
        <f>VLOOKUP($E1583,'NI-Soc_SP'!$C:$AN,MID(AD$1,1,2),FALSE)</f>
        <v>0</v>
      </c>
      <c r="AE1583" s="55">
        <f>VLOOKUP($E1583,'NI-Soc_SP'!$C:$AN,MID(AE$1,1,2),FALSE)</f>
        <v>0</v>
      </c>
      <c r="AF1583" s="55">
        <f>VLOOKUP($E1583,'NI-Soc_SP'!$C:$AN,MID(AF$1,1,2),FALSE)</f>
        <v>0</v>
      </c>
      <c r="AG1583" s="55">
        <f>VLOOKUP($E1583,'NI-Soc_SP'!$C:$AN,MID(AG$1,1,2),FALSE)</f>
        <v>0</v>
      </c>
      <c r="AH1583" s="55">
        <f>VLOOKUP($E1583,'NI-Soc_SP'!$C:$AN,MID(AH$1,1,2),FALSE)</f>
        <v>0</v>
      </c>
      <c r="AI1583" s="55">
        <f>VLOOKUP($E1583,'NI-Soc_SP'!$C:$AN,MID(AI$1,1,2),FALSE)</f>
        <v>0</v>
      </c>
      <c r="AJ1583" s="55">
        <f>VLOOKUP($E1583,'NI-Soc_SP'!$C:$AN,MID(AJ$1,1,2),FALSE)</f>
        <v>0</v>
      </c>
      <c r="AK1583" s="55">
        <f>VLOOKUP($E1583,'NI-Soc_SP'!$C:$AN,MID(AK$1,1,2),FALSE)</f>
        <v>0</v>
      </c>
      <c r="AL1583" s="55">
        <f>VLOOKUP($E1583,'NI-Soc_SP'!$C:$AN,MID(AL$1,1,2),FALSE)</f>
        <v>0</v>
      </c>
      <c r="AM1583" s="56">
        <f>VLOOKUP($E1583,'NI-Soc_SP'!$C:$AN,MID(AM$1,1,2),FALSE)</f>
        <v>0</v>
      </c>
      <c r="AN1583" s="30" t="str">
        <f t="shared" si="24"/>
        <v>10203010000000</v>
      </c>
    </row>
    <row r="1584" spans="3:40" x14ac:dyDescent="0.25">
      <c r="C1584" s="40"/>
      <c r="D1584" s="121" t="s">
        <v>567</v>
      </c>
      <c r="E1584" s="121" t="s">
        <v>568</v>
      </c>
      <c r="F1584" s="122" t="s">
        <v>2758</v>
      </c>
      <c r="G1584" s="52"/>
      <c r="H1584" s="52"/>
      <c r="I1584" s="52"/>
      <c r="J1584" s="52"/>
      <c r="K1584" s="59" t="s">
        <v>79</v>
      </c>
      <c r="L1584" s="52"/>
      <c r="M1584" s="52"/>
      <c r="N1584" s="52"/>
      <c r="O1584" s="52"/>
      <c r="P1584" s="63" t="s">
        <v>569</v>
      </c>
      <c r="Q1584" s="55">
        <f>VLOOKUP(E1584,'NI-Soc_SP'!$C:$AN,12,FALSE)</f>
        <v>0</v>
      </c>
      <c r="R1584" s="55">
        <f>VLOOKUP(E1584,'NI-Soc_SP'!$C:$AN,13,FALSE)</f>
        <v>0</v>
      </c>
      <c r="S1584" s="55"/>
      <c r="T1584" s="55"/>
      <c r="U1584" s="55">
        <f>VLOOKUP($E1584,'NI-Soc_SP'!$C:$AN,MID(U$1,1,2),FALSE)</f>
        <v>0</v>
      </c>
      <c r="V1584" s="55">
        <f>VLOOKUP($E1584,'NI-Soc_SP'!$C:$AN,MID(V$1,1,2),FALSE)</f>
        <v>0</v>
      </c>
      <c r="W1584" s="55">
        <f>VLOOKUP($E1584,'NI-Soc_SP'!$C:$AN,MID(W$1,1,2),FALSE)</f>
        <v>0</v>
      </c>
      <c r="X1584" s="55">
        <f>VLOOKUP($E1584,'NI-Soc_SP'!$C:$AN,MID(X$1,1,2),FALSE)</f>
        <v>0</v>
      </c>
      <c r="Y1584" s="55">
        <f>VLOOKUP($E1584,'NI-Soc_SP'!$C:$AN,MID(Y$1,1,2),FALSE)</f>
        <v>0</v>
      </c>
      <c r="Z1584" s="55">
        <f>VLOOKUP($E1584,'NI-Soc_SP'!$C:$AN,MID(Z$1,1,2),FALSE)</f>
        <v>0</v>
      </c>
      <c r="AA1584" s="55">
        <f>VLOOKUP($E1584,'NI-Soc_SP'!$C:$AN,MID(AA$1,1,2),FALSE)</f>
        <v>0</v>
      </c>
      <c r="AB1584" s="55">
        <f>VLOOKUP($E1584,'NI-Soc_SP'!$C:$AN,MID(AB$1,1,2),FALSE)</f>
        <v>0</v>
      </c>
      <c r="AC1584" s="55">
        <f>VLOOKUP($E1584,'NI-Soc_SP'!$C:$AN,MID(AC$1,1,2),FALSE)</f>
        <v>0</v>
      </c>
      <c r="AD1584" s="55">
        <f>VLOOKUP($E1584,'NI-Soc_SP'!$C:$AN,MID(AD$1,1,2),FALSE)</f>
        <v>0</v>
      </c>
      <c r="AE1584" s="55">
        <f>VLOOKUP($E1584,'NI-Soc_SP'!$C:$AN,MID(AE$1,1,2),FALSE)</f>
        <v>0</v>
      </c>
      <c r="AF1584" s="55">
        <f>VLOOKUP($E1584,'NI-Soc_SP'!$C:$AN,MID(AF$1,1,2),FALSE)</f>
        <v>0</v>
      </c>
      <c r="AG1584" s="55">
        <f>VLOOKUP($E1584,'NI-Soc_SP'!$C:$AN,MID(AG$1,1,2),FALSE)</f>
        <v>0</v>
      </c>
      <c r="AH1584" s="55">
        <f>VLOOKUP($E1584,'NI-Soc_SP'!$C:$AN,MID(AH$1,1,2),FALSE)</f>
        <v>0</v>
      </c>
      <c r="AI1584" s="55">
        <f>VLOOKUP($E1584,'NI-Soc_SP'!$C:$AN,MID(AI$1,1,2),FALSE)</f>
        <v>0</v>
      </c>
      <c r="AJ1584" s="55">
        <f>VLOOKUP($E1584,'NI-Soc_SP'!$C:$AN,MID(AJ$1,1,2),FALSE)</f>
        <v>0</v>
      </c>
      <c r="AK1584" s="55">
        <f>VLOOKUP($E1584,'NI-Soc_SP'!$C:$AN,MID(AK$1,1,2),FALSE)</f>
        <v>0</v>
      </c>
      <c r="AL1584" s="55">
        <f>VLOOKUP($E1584,'NI-Soc_SP'!$C:$AN,MID(AL$1,1,2),FALSE)</f>
        <v>0</v>
      </c>
      <c r="AM1584" s="56">
        <f>VLOOKUP($E1584,'NI-Soc_SP'!$C:$AN,MID(AM$1,1,2),FALSE)</f>
        <v>0</v>
      </c>
      <c r="AN1584" s="30" t="str">
        <f t="shared" si="24"/>
        <v>10203010010010</v>
      </c>
    </row>
    <row r="1585" spans="3:40" x14ac:dyDescent="0.25">
      <c r="C1585" s="40"/>
      <c r="D1585" s="121" t="s">
        <v>570</v>
      </c>
      <c r="E1585" s="121" t="s">
        <v>571</v>
      </c>
      <c r="F1585" s="122" t="s">
        <v>2758</v>
      </c>
      <c r="G1585" s="52"/>
      <c r="H1585" s="52"/>
      <c r="I1585" s="52"/>
      <c r="J1585" s="52"/>
      <c r="K1585" s="59" t="s">
        <v>79</v>
      </c>
      <c r="L1585" s="52"/>
      <c r="M1585" s="52"/>
      <c r="N1585" s="52"/>
      <c r="O1585" s="52"/>
      <c r="P1585" s="63" t="s">
        <v>572</v>
      </c>
      <c r="Q1585" s="55">
        <f>VLOOKUP(E1585,'NI-Soc_SP'!$C:$AN,12,FALSE)</f>
        <v>0</v>
      </c>
      <c r="R1585" s="55">
        <f>VLOOKUP(E1585,'NI-Soc_SP'!$C:$AN,13,FALSE)</f>
        <v>0</v>
      </c>
      <c r="S1585" s="55"/>
      <c r="T1585" s="55"/>
      <c r="U1585" s="55">
        <f>VLOOKUP($E1585,'NI-Soc_SP'!$C:$AN,MID(U$1,1,2),FALSE)</f>
        <v>0</v>
      </c>
      <c r="V1585" s="55">
        <f>VLOOKUP($E1585,'NI-Soc_SP'!$C:$AN,MID(V$1,1,2),FALSE)</f>
        <v>0</v>
      </c>
      <c r="W1585" s="55">
        <f>VLOOKUP($E1585,'NI-Soc_SP'!$C:$AN,MID(W$1,1,2),FALSE)</f>
        <v>0</v>
      </c>
      <c r="X1585" s="55">
        <f>VLOOKUP($E1585,'NI-Soc_SP'!$C:$AN,MID(X$1,1,2),FALSE)</f>
        <v>0</v>
      </c>
      <c r="Y1585" s="55">
        <f>VLOOKUP($E1585,'NI-Soc_SP'!$C:$AN,MID(Y$1,1,2),FALSE)</f>
        <v>0</v>
      </c>
      <c r="Z1585" s="55">
        <f>VLOOKUP($E1585,'NI-Soc_SP'!$C:$AN,MID(Z$1,1,2),FALSE)</f>
        <v>0</v>
      </c>
      <c r="AA1585" s="55">
        <f>VLOOKUP($E1585,'NI-Soc_SP'!$C:$AN,MID(AA$1,1,2),FALSE)</f>
        <v>0</v>
      </c>
      <c r="AB1585" s="55">
        <f>VLOOKUP($E1585,'NI-Soc_SP'!$C:$AN,MID(AB$1,1,2),FALSE)</f>
        <v>0</v>
      </c>
      <c r="AC1585" s="55">
        <f>VLOOKUP($E1585,'NI-Soc_SP'!$C:$AN,MID(AC$1,1,2),FALSE)</f>
        <v>0</v>
      </c>
      <c r="AD1585" s="55">
        <f>VLOOKUP($E1585,'NI-Soc_SP'!$C:$AN,MID(AD$1,1,2),FALSE)</f>
        <v>0</v>
      </c>
      <c r="AE1585" s="55">
        <f>VLOOKUP($E1585,'NI-Soc_SP'!$C:$AN,MID(AE$1,1,2),FALSE)</f>
        <v>0</v>
      </c>
      <c r="AF1585" s="55">
        <f>VLOOKUP($E1585,'NI-Soc_SP'!$C:$AN,MID(AF$1,1,2),FALSE)</f>
        <v>0</v>
      </c>
      <c r="AG1585" s="55">
        <f>VLOOKUP($E1585,'NI-Soc_SP'!$C:$AN,MID(AG$1,1,2),FALSE)</f>
        <v>0</v>
      </c>
      <c r="AH1585" s="55">
        <f>VLOOKUP($E1585,'NI-Soc_SP'!$C:$AN,MID(AH$1,1,2),FALSE)</f>
        <v>0</v>
      </c>
      <c r="AI1585" s="55">
        <f>VLOOKUP($E1585,'NI-Soc_SP'!$C:$AN,MID(AI$1,1,2),FALSE)</f>
        <v>0</v>
      </c>
      <c r="AJ1585" s="55">
        <f>VLOOKUP($E1585,'NI-Soc_SP'!$C:$AN,MID(AJ$1,1,2),FALSE)</f>
        <v>0</v>
      </c>
      <c r="AK1585" s="55">
        <f>VLOOKUP($E1585,'NI-Soc_SP'!$C:$AN,MID(AK$1,1,2),FALSE)</f>
        <v>0</v>
      </c>
      <c r="AL1585" s="55">
        <f>VLOOKUP($E1585,'NI-Soc_SP'!$C:$AN,MID(AL$1,1,2),FALSE)</f>
        <v>0</v>
      </c>
      <c r="AM1585" s="56">
        <f>VLOOKUP($E1585,'NI-Soc_SP'!$C:$AN,MID(AM$1,1,2),FALSE)</f>
        <v>0</v>
      </c>
      <c r="AN1585" s="30" t="str">
        <f t="shared" si="24"/>
        <v>10203010010020</v>
      </c>
    </row>
    <row r="1586" spans="3:40" x14ac:dyDescent="0.25">
      <c r="C1586" s="40"/>
      <c r="D1586" s="121" t="s">
        <v>573</v>
      </c>
      <c r="E1586" s="121" t="s">
        <v>574</v>
      </c>
      <c r="F1586" s="122" t="s">
        <v>2758</v>
      </c>
      <c r="G1586" s="52"/>
      <c r="H1586" s="52"/>
      <c r="I1586" s="52"/>
      <c r="J1586" s="52"/>
      <c r="K1586" s="59" t="s">
        <v>79</v>
      </c>
      <c r="L1586" s="52"/>
      <c r="M1586" s="52"/>
      <c r="N1586" s="52"/>
      <c r="O1586" s="52"/>
      <c r="P1586" s="63" t="s">
        <v>575</v>
      </c>
      <c r="Q1586" s="55">
        <f>VLOOKUP(E1586,'NI-Soc_SP'!$C:$AN,12,FALSE)</f>
        <v>0</v>
      </c>
      <c r="R1586" s="55">
        <f>VLOOKUP(E1586,'NI-Soc_SP'!$C:$AN,13,FALSE)</f>
        <v>0</v>
      </c>
      <c r="S1586" s="55"/>
      <c r="T1586" s="55"/>
      <c r="U1586" s="55">
        <f>VLOOKUP($E1586,'NI-Soc_SP'!$C:$AN,MID(U$1,1,2),FALSE)</f>
        <v>0</v>
      </c>
      <c r="V1586" s="55">
        <f>VLOOKUP($E1586,'NI-Soc_SP'!$C:$AN,MID(V$1,1,2),FALSE)</f>
        <v>0</v>
      </c>
      <c r="W1586" s="55">
        <f>VLOOKUP($E1586,'NI-Soc_SP'!$C:$AN,MID(W$1,1,2),FALSE)</f>
        <v>0</v>
      </c>
      <c r="X1586" s="55">
        <f>VLOOKUP($E1586,'NI-Soc_SP'!$C:$AN,MID(X$1,1,2),FALSE)</f>
        <v>0</v>
      </c>
      <c r="Y1586" s="55">
        <f>VLOOKUP($E1586,'NI-Soc_SP'!$C:$AN,MID(Y$1,1,2),FALSE)</f>
        <v>0</v>
      </c>
      <c r="Z1586" s="55">
        <f>VLOOKUP($E1586,'NI-Soc_SP'!$C:$AN,MID(Z$1,1,2),FALSE)</f>
        <v>0</v>
      </c>
      <c r="AA1586" s="55">
        <f>VLOOKUP($E1586,'NI-Soc_SP'!$C:$AN,MID(AA$1,1,2),FALSE)</f>
        <v>0</v>
      </c>
      <c r="AB1586" s="55">
        <f>VLOOKUP($E1586,'NI-Soc_SP'!$C:$AN,MID(AB$1,1,2),FALSE)</f>
        <v>0</v>
      </c>
      <c r="AC1586" s="55">
        <f>VLOOKUP($E1586,'NI-Soc_SP'!$C:$AN,MID(AC$1,1,2),FALSE)</f>
        <v>0</v>
      </c>
      <c r="AD1586" s="55">
        <f>VLOOKUP($E1586,'NI-Soc_SP'!$C:$AN,MID(AD$1,1,2),FALSE)</f>
        <v>0</v>
      </c>
      <c r="AE1586" s="55">
        <f>VLOOKUP($E1586,'NI-Soc_SP'!$C:$AN,MID(AE$1,1,2),FALSE)</f>
        <v>0</v>
      </c>
      <c r="AF1586" s="55">
        <f>VLOOKUP($E1586,'NI-Soc_SP'!$C:$AN,MID(AF$1,1,2),FALSE)</f>
        <v>0</v>
      </c>
      <c r="AG1586" s="55">
        <f>VLOOKUP($E1586,'NI-Soc_SP'!$C:$AN,MID(AG$1,1,2),FALSE)</f>
        <v>0</v>
      </c>
      <c r="AH1586" s="55">
        <f>VLOOKUP($E1586,'NI-Soc_SP'!$C:$AN,MID(AH$1,1,2),FALSE)</f>
        <v>0</v>
      </c>
      <c r="AI1586" s="55">
        <f>VLOOKUP($E1586,'NI-Soc_SP'!$C:$AN,MID(AI$1,1,2),FALSE)</f>
        <v>0</v>
      </c>
      <c r="AJ1586" s="55">
        <f>VLOOKUP($E1586,'NI-Soc_SP'!$C:$AN,MID(AJ$1,1,2),FALSE)</f>
        <v>0</v>
      </c>
      <c r="AK1586" s="55">
        <f>VLOOKUP($E1586,'NI-Soc_SP'!$C:$AN,MID(AK$1,1,2),FALSE)</f>
        <v>0</v>
      </c>
      <c r="AL1586" s="55">
        <f>VLOOKUP($E1586,'NI-Soc_SP'!$C:$AN,MID(AL$1,1,2),FALSE)</f>
        <v>0</v>
      </c>
      <c r="AM1586" s="56">
        <f>VLOOKUP($E1586,'NI-Soc_SP'!$C:$AN,MID(AM$1,1,2),FALSE)</f>
        <v>0</v>
      </c>
      <c r="AN1586" s="30" t="str">
        <f t="shared" si="24"/>
        <v>10203010020010</v>
      </c>
    </row>
    <row r="1587" spans="3:40" x14ac:dyDescent="0.25">
      <c r="C1587" s="40"/>
      <c r="D1587" s="121" t="s">
        <v>576</v>
      </c>
      <c r="E1587" s="121" t="s">
        <v>577</v>
      </c>
      <c r="F1587" s="122" t="s">
        <v>2758</v>
      </c>
      <c r="G1587" s="52"/>
      <c r="H1587" s="52"/>
      <c r="I1587" s="52"/>
      <c r="J1587" s="52"/>
      <c r="K1587" s="59" t="s">
        <v>79</v>
      </c>
      <c r="L1587" s="52"/>
      <c r="M1587" s="52"/>
      <c r="N1587" s="52"/>
      <c r="O1587" s="52"/>
      <c r="P1587" s="63" t="s">
        <v>578</v>
      </c>
      <c r="Q1587" s="55">
        <f>VLOOKUP(E1587,'NI-Soc_SP'!$C:$AN,12,FALSE)</f>
        <v>0</v>
      </c>
      <c r="R1587" s="55">
        <f>VLOOKUP(E1587,'NI-Soc_SP'!$C:$AN,13,FALSE)</f>
        <v>0</v>
      </c>
      <c r="S1587" s="55"/>
      <c r="T1587" s="55"/>
      <c r="U1587" s="55">
        <f>VLOOKUP($E1587,'NI-Soc_SP'!$C:$AN,MID(U$1,1,2),FALSE)</f>
        <v>0</v>
      </c>
      <c r="V1587" s="55">
        <f>VLOOKUP($E1587,'NI-Soc_SP'!$C:$AN,MID(V$1,1,2),FALSE)</f>
        <v>0</v>
      </c>
      <c r="W1587" s="55">
        <f>VLOOKUP($E1587,'NI-Soc_SP'!$C:$AN,MID(W$1,1,2),FALSE)</f>
        <v>0</v>
      </c>
      <c r="X1587" s="55">
        <f>VLOOKUP($E1587,'NI-Soc_SP'!$C:$AN,MID(X$1,1,2),FALSE)</f>
        <v>0</v>
      </c>
      <c r="Y1587" s="55">
        <f>VLOOKUP($E1587,'NI-Soc_SP'!$C:$AN,MID(Y$1,1,2),FALSE)</f>
        <v>0</v>
      </c>
      <c r="Z1587" s="55">
        <f>VLOOKUP($E1587,'NI-Soc_SP'!$C:$AN,MID(Z$1,1,2),FALSE)</f>
        <v>0</v>
      </c>
      <c r="AA1587" s="55">
        <f>VLOOKUP($E1587,'NI-Soc_SP'!$C:$AN,MID(AA$1,1,2),FALSE)</f>
        <v>0</v>
      </c>
      <c r="AB1587" s="55">
        <f>VLOOKUP($E1587,'NI-Soc_SP'!$C:$AN,MID(AB$1,1,2),FALSE)</f>
        <v>0</v>
      </c>
      <c r="AC1587" s="55">
        <f>VLOOKUP($E1587,'NI-Soc_SP'!$C:$AN,MID(AC$1,1,2),FALSE)</f>
        <v>0</v>
      </c>
      <c r="AD1587" s="55">
        <f>VLOOKUP($E1587,'NI-Soc_SP'!$C:$AN,MID(AD$1,1,2),FALSE)</f>
        <v>0</v>
      </c>
      <c r="AE1587" s="55">
        <f>VLOOKUP($E1587,'NI-Soc_SP'!$C:$AN,MID(AE$1,1,2),FALSE)</f>
        <v>0</v>
      </c>
      <c r="AF1587" s="55">
        <f>VLOOKUP($E1587,'NI-Soc_SP'!$C:$AN,MID(AF$1,1,2),FALSE)</f>
        <v>0</v>
      </c>
      <c r="AG1587" s="55">
        <f>VLOOKUP($E1587,'NI-Soc_SP'!$C:$AN,MID(AG$1,1,2),FALSE)</f>
        <v>0</v>
      </c>
      <c r="AH1587" s="55">
        <f>VLOOKUP($E1587,'NI-Soc_SP'!$C:$AN,MID(AH$1,1,2),FALSE)</f>
        <v>0</v>
      </c>
      <c r="AI1587" s="55">
        <f>VLOOKUP($E1587,'NI-Soc_SP'!$C:$AN,MID(AI$1,1,2),FALSE)</f>
        <v>0</v>
      </c>
      <c r="AJ1587" s="55">
        <f>VLOOKUP($E1587,'NI-Soc_SP'!$C:$AN,MID(AJ$1,1,2),FALSE)</f>
        <v>0</v>
      </c>
      <c r="AK1587" s="55">
        <f>VLOOKUP($E1587,'NI-Soc_SP'!$C:$AN,MID(AK$1,1,2),FALSE)</f>
        <v>0</v>
      </c>
      <c r="AL1587" s="55">
        <f>VLOOKUP($E1587,'NI-Soc_SP'!$C:$AN,MID(AL$1,1,2),FALSE)</f>
        <v>0</v>
      </c>
      <c r="AM1587" s="56">
        <f>VLOOKUP($E1587,'NI-Soc_SP'!$C:$AN,MID(AM$1,1,2),FALSE)</f>
        <v>0</v>
      </c>
      <c r="AN1587" s="30" t="str">
        <f t="shared" si="24"/>
        <v>10203010020020</v>
      </c>
    </row>
    <row r="1588" spans="3:40" x14ac:dyDescent="0.25">
      <c r="C1588" s="40"/>
      <c r="D1588" s="121" t="s">
        <v>579</v>
      </c>
      <c r="E1588" s="121" t="s">
        <v>580</v>
      </c>
      <c r="F1588" s="122" t="s">
        <v>2758</v>
      </c>
      <c r="G1588" s="52"/>
      <c r="H1588" s="52"/>
      <c r="I1588" s="52"/>
      <c r="J1588" s="52"/>
      <c r="K1588" s="59" t="s">
        <v>79</v>
      </c>
      <c r="L1588" s="52"/>
      <c r="M1588" s="52"/>
      <c r="N1588" s="52"/>
      <c r="O1588" s="52"/>
      <c r="P1588" s="63" t="s">
        <v>581</v>
      </c>
      <c r="Q1588" s="55">
        <f>VLOOKUP(E1588,'NI-Soc_SP'!$C:$AN,12,FALSE)</f>
        <v>0</v>
      </c>
      <c r="R1588" s="55">
        <f>VLOOKUP(E1588,'NI-Soc_SP'!$C:$AN,13,FALSE)</f>
        <v>0</v>
      </c>
      <c r="S1588" s="55"/>
      <c r="T1588" s="55"/>
      <c r="U1588" s="55">
        <f>VLOOKUP($E1588,'NI-Soc_SP'!$C:$AN,MID(U$1,1,2),FALSE)</f>
        <v>0</v>
      </c>
      <c r="V1588" s="55">
        <f>VLOOKUP($E1588,'NI-Soc_SP'!$C:$AN,MID(V$1,1,2),FALSE)</f>
        <v>0</v>
      </c>
      <c r="W1588" s="55">
        <f>VLOOKUP($E1588,'NI-Soc_SP'!$C:$AN,MID(W$1,1,2),FALSE)</f>
        <v>0</v>
      </c>
      <c r="X1588" s="55">
        <f>VLOOKUP($E1588,'NI-Soc_SP'!$C:$AN,MID(X$1,1,2),FALSE)</f>
        <v>0</v>
      </c>
      <c r="Y1588" s="55">
        <f>VLOOKUP($E1588,'NI-Soc_SP'!$C:$AN,MID(Y$1,1,2),FALSE)</f>
        <v>0</v>
      </c>
      <c r="Z1588" s="55">
        <f>VLOOKUP($E1588,'NI-Soc_SP'!$C:$AN,MID(Z$1,1,2),FALSE)</f>
        <v>0</v>
      </c>
      <c r="AA1588" s="55">
        <f>VLOOKUP($E1588,'NI-Soc_SP'!$C:$AN,MID(AA$1,1,2),FALSE)</f>
        <v>0</v>
      </c>
      <c r="AB1588" s="55">
        <f>VLOOKUP($E1588,'NI-Soc_SP'!$C:$AN,MID(AB$1,1,2),FALSE)</f>
        <v>0</v>
      </c>
      <c r="AC1588" s="55">
        <f>VLOOKUP($E1588,'NI-Soc_SP'!$C:$AN,MID(AC$1,1,2),FALSE)</f>
        <v>0</v>
      </c>
      <c r="AD1588" s="55">
        <f>VLOOKUP($E1588,'NI-Soc_SP'!$C:$AN,MID(AD$1,1,2),FALSE)</f>
        <v>0</v>
      </c>
      <c r="AE1588" s="55">
        <f>VLOOKUP($E1588,'NI-Soc_SP'!$C:$AN,MID(AE$1,1,2),FALSE)</f>
        <v>0</v>
      </c>
      <c r="AF1588" s="55">
        <f>VLOOKUP($E1588,'NI-Soc_SP'!$C:$AN,MID(AF$1,1,2),FALSE)</f>
        <v>0</v>
      </c>
      <c r="AG1588" s="55">
        <f>VLOOKUP($E1588,'NI-Soc_SP'!$C:$AN,MID(AG$1,1,2),FALSE)</f>
        <v>0</v>
      </c>
      <c r="AH1588" s="55">
        <f>VLOOKUP($E1588,'NI-Soc_SP'!$C:$AN,MID(AH$1,1,2),FALSE)</f>
        <v>0</v>
      </c>
      <c r="AI1588" s="55">
        <f>VLOOKUP($E1588,'NI-Soc_SP'!$C:$AN,MID(AI$1,1,2),FALSE)</f>
        <v>0</v>
      </c>
      <c r="AJ1588" s="55">
        <f>VLOOKUP($E1588,'NI-Soc_SP'!$C:$AN,MID(AJ$1,1,2),FALSE)</f>
        <v>0</v>
      </c>
      <c r="AK1588" s="55">
        <f>VLOOKUP($E1588,'NI-Soc_SP'!$C:$AN,MID(AK$1,1,2),FALSE)</f>
        <v>0</v>
      </c>
      <c r="AL1588" s="55">
        <f>VLOOKUP($E1588,'NI-Soc_SP'!$C:$AN,MID(AL$1,1,2),FALSE)</f>
        <v>0</v>
      </c>
      <c r="AM1588" s="56">
        <f>VLOOKUP($E1588,'NI-Soc_SP'!$C:$AN,MID(AM$1,1,2),FALSE)</f>
        <v>0</v>
      </c>
      <c r="AN1588" s="30" t="str">
        <f t="shared" si="24"/>
        <v>10203010030010</v>
      </c>
    </row>
    <row r="1589" spans="3:40" x14ac:dyDescent="0.25">
      <c r="C1589" s="40"/>
      <c r="D1589" s="121" t="s">
        <v>582</v>
      </c>
      <c r="E1589" s="121" t="s">
        <v>583</v>
      </c>
      <c r="F1589" s="122" t="s">
        <v>2758</v>
      </c>
      <c r="G1589" s="52"/>
      <c r="H1589" s="52"/>
      <c r="I1589" s="52"/>
      <c r="J1589" s="52"/>
      <c r="K1589" s="59" t="s">
        <v>79</v>
      </c>
      <c r="L1589" s="52"/>
      <c r="M1589" s="52"/>
      <c r="N1589" s="52"/>
      <c r="O1589" s="52"/>
      <c r="P1589" s="63" t="s">
        <v>584</v>
      </c>
      <c r="Q1589" s="55">
        <f>VLOOKUP(E1589,'NI-Soc_SP'!$C:$AN,12,FALSE)</f>
        <v>0</v>
      </c>
      <c r="R1589" s="55">
        <f>VLOOKUP(E1589,'NI-Soc_SP'!$C:$AN,13,FALSE)</f>
        <v>0</v>
      </c>
      <c r="S1589" s="55"/>
      <c r="T1589" s="55"/>
      <c r="U1589" s="55">
        <f>VLOOKUP($E1589,'NI-Soc_SP'!$C:$AN,MID(U$1,1,2),FALSE)</f>
        <v>0</v>
      </c>
      <c r="V1589" s="55">
        <f>VLOOKUP($E1589,'NI-Soc_SP'!$C:$AN,MID(V$1,1,2),FALSE)</f>
        <v>0</v>
      </c>
      <c r="W1589" s="55">
        <f>VLOOKUP($E1589,'NI-Soc_SP'!$C:$AN,MID(W$1,1,2),FALSE)</f>
        <v>0</v>
      </c>
      <c r="X1589" s="55">
        <f>VLOOKUP($E1589,'NI-Soc_SP'!$C:$AN,MID(X$1,1,2),FALSE)</f>
        <v>0</v>
      </c>
      <c r="Y1589" s="55">
        <f>VLOOKUP($E1589,'NI-Soc_SP'!$C:$AN,MID(Y$1,1,2),FALSE)</f>
        <v>0</v>
      </c>
      <c r="Z1589" s="55">
        <f>VLOOKUP($E1589,'NI-Soc_SP'!$C:$AN,MID(Z$1,1,2),FALSE)</f>
        <v>0</v>
      </c>
      <c r="AA1589" s="55">
        <f>VLOOKUP($E1589,'NI-Soc_SP'!$C:$AN,MID(AA$1,1,2),FALSE)</f>
        <v>0</v>
      </c>
      <c r="AB1589" s="55">
        <f>VLOOKUP($E1589,'NI-Soc_SP'!$C:$AN,MID(AB$1,1,2),FALSE)</f>
        <v>0</v>
      </c>
      <c r="AC1589" s="55">
        <f>VLOOKUP($E1589,'NI-Soc_SP'!$C:$AN,MID(AC$1,1,2),FALSE)</f>
        <v>0</v>
      </c>
      <c r="AD1589" s="55">
        <f>VLOOKUP($E1589,'NI-Soc_SP'!$C:$AN,MID(AD$1,1,2),FALSE)</f>
        <v>0</v>
      </c>
      <c r="AE1589" s="55">
        <f>VLOOKUP($E1589,'NI-Soc_SP'!$C:$AN,MID(AE$1,1,2),FALSE)</f>
        <v>0</v>
      </c>
      <c r="AF1589" s="55">
        <f>VLOOKUP($E1589,'NI-Soc_SP'!$C:$AN,MID(AF$1,1,2),FALSE)</f>
        <v>0</v>
      </c>
      <c r="AG1589" s="55">
        <f>VLOOKUP($E1589,'NI-Soc_SP'!$C:$AN,MID(AG$1,1,2),FALSE)</f>
        <v>0</v>
      </c>
      <c r="AH1589" s="55">
        <f>VLOOKUP($E1589,'NI-Soc_SP'!$C:$AN,MID(AH$1,1,2),FALSE)</f>
        <v>0</v>
      </c>
      <c r="AI1589" s="55">
        <f>VLOOKUP($E1589,'NI-Soc_SP'!$C:$AN,MID(AI$1,1,2),FALSE)</f>
        <v>0</v>
      </c>
      <c r="AJ1589" s="55">
        <f>VLOOKUP($E1589,'NI-Soc_SP'!$C:$AN,MID(AJ$1,1,2),FALSE)</f>
        <v>0</v>
      </c>
      <c r="AK1589" s="55">
        <f>VLOOKUP($E1589,'NI-Soc_SP'!$C:$AN,MID(AK$1,1,2),FALSE)</f>
        <v>0</v>
      </c>
      <c r="AL1589" s="55">
        <f>VLOOKUP($E1589,'NI-Soc_SP'!$C:$AN,MID(AL$1,1,2),FALSE)</f>
        <v>0</v>
      </c>
      <c r="AM1589" s="56">
        <f>VLOOKUP($E1589,'NI-Soc_SP'!$C:$AN,MID(AM$1,1,2),FALSE)</f>
        <v>0</v>
      </c>
      <c r="AN1589" s="30" t="str">
        <f t="shared" si="24"/>
        <v>10203010030020</v>
      </c>
    </row>
    <row r="1590" spans="3:40" x14ac:dyDescent="0.25">
      <c r="C1590" s="40"/>
      <c r="D1590" s="121" t="s">
        <v>585</v>
      </c>
      <c r="E1590" s="121" t="s">
        <v>586</v>
      </c>
      <c r="F1590" s="122" t="s">
        <v>2758</v>
      </c>
      <c r="G1590" s="52"/>
      <c r="H1590" s="52"/>
      <c r="I1590" s="52"/>
      <c r="J1590" s="52"/>
      <c r="K1590" s="59" t="s">
        <v>79</v>
      </c>
      <c r="L1590" s="52"/>
      <c r="M1590" s="52"/>
      <c r="N1590" s="52"/>
      <c r="O1590" s="52"/>
      <c r="P1590" s="63" t="s">
        <v>587</v>
      </c>
      <c r="Q1590" s="55">
        <f>VLOOKUP(E1590,'NI-Soc_SP'!$C:$AN,12,FALSE)</f>
        <v>0</v>
      </c>
      <c r="R1590" s="55">
        <f>VLOOKUP(E1590,'NI-Soc_SP'!$C:$AN,13,FALSE)</f>
        <v>0</v>
      </c>
      <c r="S1590" s="55"/>
      <c r="T1590" s="55"/>
      <c r="U1590" s="55">
        <f>VLOOKUP($E1590,'NI-Soc_SP'!$C:$AN,MID(U$1,1,2),FALSE)</f>
        <v>0</v>
      </c>
      <c r="V1590" s="55">
        <f>VLOOKUP($E1590,'NI-Soc_SP'!$C:$AN,MID(V$1,1,2),FALSE)</f>
        <v>0</v>
      </c>
      <c r="W1590" s="55">
        <f>VLOOKUP($E1590,'NI-Soc_SP'!$C:$AN,MID(W$1,1,2),FALSE)</f>
        <v>0</v>
      </c>
      <c r="X1590" s="55">
        <f>VLOOKUP($E1590,'NI-Soc_SP'!$C:$AN,MID(X$1,1,2),FALSE)</f>
        <v>0</v>
      </c>
      <c r="Y1590" s="55">
        <f>VLOOKUP($E1590,'NI-Soc_SP'!$C:$AN,MID(Y$1,1,2),FALSE)</f>
        <v>0</v>
      </c>
      <c r="Z1590" s="55">
        <f>VLOOKUP($E1590,'NI-Soc_SP'!$C:$AN,MID(Z$1,1,2),FALSE)</f>
        <v>0</v>
      </c>
      <c r="AA1590" s="55">
        <f>VLOOKUP($E1590,'NI-Soc_SP'!$C:$AN,MID(AA$1,1,2),FALSE)</f>
        <v>0</v>
      </c>
      <c r="AB1590" s="55">
        <f>VLOOKUP($E1590,'NI-Soc_SP'!$C:$AN,MID(AB$1,1,2),FALSE)</f>
        <v>0</v>
      </c>
      <c r="AC1590" s="55">
        <f>VLOOKUP($E1590,'NI-Soc_SP'!$C:$AN,MID(AC$1,1,2),FALSE)</f>
        <v>0</v>
      </c>
      <c r="AD1590" s="55">
        <f>VLOOKUP($E1590,'NI-Soc_SP'!$C:$AN,MID(AD$1,1,2),FALSE)</f>
        <v>0</v>
      </c>
      <c r="AE1590" s="55">
        <f>VLOOKUP($E1590,'NI-Soc_SP'!$C:$AN,MID(AE$1,1,2),FALSE)</f>
        <v>0</v>
      </c>
      <c r="AF1590" s="55">
        <f>VLOOKUP($E1590,'NI-Soc_SP'!$C:$AN,MID(AF$1,1,2),FALSE)</f>
        <v>0</v>
      </c>
      <c r="AG1590" s="55">
        <f>VLOOKUP($E1590,'NI-Soc_SP'!$C:$AN,MID(AG$1,1,2),FALSE)</f>
        <v>0</v>
      </c>
      <c r="AH1590" s="55">
        <f>VLOOKUP($E1590,'NI-Soc_SP'!$C:$AN,MID(AH$1,1,2),FALSE)</f>
        <v>0</v>
      </c>
      <c r="AI1590" s="55">
        <f>VLOOKUP($E1590,'NI-Soc_SP'!$C:$AN,MID(AI$1,1,2),FALSE)</f>
        <v>0</v>
      </c>
      <c r="AJ1590" s="55">
        <f>VLOOKUP($E1590,'NI-Soc_SP'!$C:$AN,MID(AJ$1,1,2),FALSE)</f>
        <v>0</v>
      </c>
      <c r="AK1590" s="55">
        <f>VLOOKUP($E1590,'NI-Soc_SP'!$C:$AN,MID(AK$1,1,2),FALSE)</f>
        <v>0</v>
      </c>
      <c r="AL1590" s="55">
        <f>VLOOKUP($E1590,'NI-Soc_SP'!$C:$AN,MID(AL$1,1,2),FALSE)</f>
        <v>0</v>
      </c>
      <c r="AM1590" s="56">
        <f>VLOOKUP($E1590,'NI-Soc_SP'!$C:$AN,MID(AM$1,1,2),FALSE)</f>
        <v>0</v>
      </c>
      <c r="AN1590" s="30" t="str">
        <f t="shared" si="24"/>
        <v>10203010040010</v>
      </c>
    </row>
    <row r="1591" spans="3:40" x14ac:dyDescent="0.25">
      <c r="C1591" s="40"/>
      <c r="D1591" s="121" t="s">
        <v>588</v>
      </c>
      <c r="E1591" s="121" t="s">
        <v>589</v>
      </c>
      <c r="F1591" s="122" t="s">
        <v>2758</v>
      </c>
      <c r="G1591" s="52"/>
      <c r="H1591" s="52"/>
      <c r="I1591" s="52"/>
      <c r="J1591" s="52"/>
      <c r="K1591" s="59" t="s">
        <v>79</v>
      </c>
      <c r="L1591" s="52"/>
      <c r="M1591" s="52"/>
      <c r="N1591" s="52"/>
      <c r="O1591" s="52"/>
      <c r="P1591" s="63" t="s">
        <v>590</v>
      </c>
      <c r="Q1591" s="55">
        <f>VLOOKUP(E1591,'NI-Soc_SP'!$C:$AN,12,FALSE)</f>
        <v>0</v>
      </c>
      <c r="R1591" s="55">
        <f>VLOOKUP(E1591,'NI-Soc_SP'!$C:$AN,13,FALSE)</f>
        <v>0</v>
      </c>
      <c r="S1591" s="55"/>
      <c r="T1591" s="55"/>
      <c r="U1591" s="55">
        <f>VLOOKUP($E1591,'NI-Soc_SP'!$C:$AN,MID(U$1,1,2),FALSE)</f>
        <v>0</v>
      </c>
      <c r="V1591" s="55">
        <f>VLOOKUP($E1591,'NI-Soc_SP'!$C:$AN,MID(V$1,1,2),FALSE)</f>
        <v>0</v>
      </c>
      <c r="W1591" s="55">
        <f>VLOOKUP($E1591,'NI-Soc_SP'!$C:$AN,MID(W$1,1,2),FALSE)</f>
        <v>0</v>
      </c>
      <c r="X1591" s="55">
        <f>VLOOKUP($E1591,'NI-Soc_SP'!$C:$AN,MID(X$1,1,2),FALSE)</f>
        <v>0</v>
      </c>
      <c r="Y1591" s="55">
        <f>VLOOKUP($E1591,'NI-Soc_SP'!$C:$AN,MID(Y$1,1,2),FALSE)</f>
        <v>0</v>
      </c>
      <c r="Z1591" s="55">
        <f>VLOOKUP($E1591,'NI-Soc_SP'!$C:$AN,MID(Z$1,1,2),FALSE)</f>
        <v>0</v>
      </c>
      <c r="AA1591" s="55">
        <f>VLOOKUP($E1591,'NI-Soc_SP'!$C:$AN,MID(AA$1,1,2),FALSE)</f>
        <v>0</v>
      </c>
      <c r="AB1591" s="55">
        <f>VLOOKUP($E1591,'NI-Soc_SP'!$C:$AN,MID(AB$1,1,2),FALSE)</f>
        <v>0</v>
      </c>
      <c r="AC1591" s="55">
        <f>VLOOKUP($E1591,'NI-Soc_SP'!$C:$AN,MID(AC$1,1,2),FALSE)</f>
        <v>0</v>
      </c>
      <c r="AD1591" s="55">
        <f>VLOOKUP($E1591,'NI-Soc_SP'!$C:$AN,MID(AD$1,1,2),FALSE)</f>
        <v>0</v>
      </c>
      <c r="AE1591" s="55">
        <f>VLOOKUP($E1591,'NI-Soc_SP'!$C:$AN,MID(AE$1,1,2),FALSE)</f>
        <v>0</v>
      </c>
      <c r="AF1591" s="55">
        <f>VLOOKUP($E1591,'NI-Soc_SP'!$C:$AN,MID(AF$1,1,2),FALSE)</f>
        <v>0</v>
      </c>
      <c r="AG1591" s="55">
        <f>VLOOKUP($E1591,'NI-Soc_SP'!$C:$AN,MID(AG$1,1,2),FALSE)</f>
        <v>0</v>
      </c>
      <c r="AH1591" s="55">
        <f>VLOOKUP($E1591,'NI-Soc_SP'!$C:$AN,MID(AH$1,1,2),FALSE)</f>
        <v>0</v>
      </c>
      <c r="AI1591" s="55">
        <f>VLOOKUP($E1591,'NI-Soc_SP'!$C:$AN,MID(AI$1,1,2),FALSE)</f>
        <v>0</v>
      </c>
      <c r="AJ1591" s="55">
        <f>VLOOKUP($E1591,'NI-Soc_SP'!$C:$AN,MID(AJ$1,1,2),FALSE)</f>
        <v>0</v>
      </c>
      <c r="AK1591" s="55">
        <f>VLOOKUP($E1591,'NI-Soc_SP'!$C:$AN,MID(AK$1,1,2),FALSE)</f>
        <v>0</v>
      </c>
      <c r="AL1591" s="55">
        <f>VLOOKUP($E1591,'NI-Soc_SP'!$C:$AN,MID(AL$1,1,2),FALSE)</f>
        <v>0</v>
      </c>
      <c r="AM1591" s="56">
        <f>VLOOKUP($E1591,'NI-Soc_SP'!$C:$AN,MID(AM$1,1,2),FALSE)</f>
        <v>0</v>
      </c>
      <c r="AN1591" s="30" t="str">
        <f t="shared" si="24"/>
        <v>10203010040020</v>
      </c>
    </row>
    <row r="1592" spans="3:40" x14ac:dyDescent="0.25">
      <c r="C1592" s="40"/>
      <c r="D1592" s="121" t="s">
        <v>591</v>
      </c>
      <c r="E1592" s="121" t="s">
        <v>592</v>
      </c>
      <c r="F1592" s="122" t="s">
        <v>2758</v>
      </c>
      <c r="G1592" s="52"/>
      <c r="H1592" s="52"/>
      <c r="I1592" s="52"/>
      <c r="J1592" s="52"/>
      <c r="K1592" s="59" t="s">
        <v>79</v>
      </c>
      <c r="L1592" s="52"/>
      <c r="M1592" s="52"/>
      <c r="N1592" s="52"/>
      <c r="O1592" s="52"/>
      <c r="P1592" s="63" t="s">
        <v>593</v>
      </c>
      <c r="Q1592" s="55">
        <f>VLOOKUP(E1592,'NI-Soc_SP'!$C:$AN,12,FALSE)</f>
        <v>0</v>
      </c>
      <c r="R1592" s="55">
        <f>VLOOKUP(E1592,'NI-Soc_SP'!$C:$AN,13,FALSE)</f>
        <v>0</v>
      </c>
      <c r="S1592" s="55"/>
      <c r="T1592" s="55"/>
      <c r="U1592" s="55">
        <f>VLOOKUP($E1592,'NI-Soc_SP'!$C:$AN,MID(U$1,1,2),FALSE)</f>
        <v>0</v>
      </c>
      <c r="V1592" s="55">
        <f>VLOOKUP($E1592,'NI-Soc_SP'!$C:$AN,MID(V$1,1,2),FALSE)</f>
        <v>0</v>
      </c>
      <c r="W1592" s="55">
        <f>VLOOKUP($E1592,'NI-Soc_SP'!$C:$AN,MID(W$1,1,2),FALSE)</f>
        <v>0</v>
      </c>
      <c r="X1592" s="55">
        <f>VLOOKUP($E1592,'NI-Soc_SP'!$C:$AN,MID(X$1,1,2),FALSE)</f>
        <v>0</v>
      </c>
      <c r="Y1592" s="55">
        <f>VLOOKUP($E1592,'NI-Soc_SP'!$C:$AN,MID(Y$1,1,2),FALSE)</f>
        <v>0</v>
      </c>
      <c r="Z1592" s="55">
        <f>VLOOKUP($E1592,'NI-Soc_SP'!$C:$AN,MID(Z$1,1,2),FALSE)</f>
        <v>0</v>
      </c>
      <c r="AA1592" s="55">
        <f>VLOOKUP($E1592,'NI-Soc_SP'!$C:$AN,MID(AA$1,1,2),FALSE)</f>
        <v>0</v>
      </c>
      <c r="AB1592" s="55">
        <f>VLOOKUP($E1592,'NI-Soc_SP'!$C:$AN,MID(AB$1,1,2),FALSE)</f>
        <v>0</v>
      </c>
      <c r="AC1592" s="55">
        <f>VLOOKUP($E1592,'NI-Soc_SP'!$C:$AN,MID(AC$1,1,2),FALSE)</f>
        <v>0</v>
      </c>
      <c r="AD1592" s="55">
        <f>VLOOKUP($E1592,'NI-Soc_SP'!$C:$AN,MID(AD$1,1,2),FALSE)</f>
        <v>0</v>
      </c>
      <c r="AE1592" s="55">
        <f>VLOOKUP($E1592,'NI-Soc_SP'!$C:$AN,MID(AE$1,1,2),FALSE)</f>
        <v>0</v>
      </c>
      <c r="AF1592" s="55">
        <f>VLOOKUP($E1592,'NI-Soc_SP'!$C:$AN,MID(AF$1,1,2),FALSE)</f>
        <v>0</v>
      </c>
      <c r="AG1592" s="55">
        <f>VLOOKUP($E1592,'NI-Soc_SP'!$C:$AN,MID(AG$1,1,2),FALSE)</f>
        <v>0</v>
      </c>
      <c r="AH1592" s="55">
        <f>VLOOKUP($E1592,'NI-Soc_SP'!$C:$AN,MID(AH$1,1,2),FALSE)</f>
        <v>0</v>
      </c>
      <c r="AI1592" s="55">
        <f>VLOOKUP($E1592,'NI-Soc_SP'!$C:$AN,MID(AI$1,1,2),FALSE)</f>
        <v>0</v>
      </c>
      <c r="AJ1592" s="55">
        <f>VLOOKUP($E1592,'NI-Soc_SP'!$C:$AN,MID(AJ$1,1,2),FALSE)</f>
        <v>0</v>
      </c>
      <c r="AK1592" s="55">
        <f>VLOOKUP($E1592,'NI-Soc_SP'!$C:$AN,MID(AK$1,1,2),FALSE)</f>
        <v>0</v>
      </c>
      <c r="AL1592" s="55">
        <f>VLOOKUP($E1592,'NI-Soc_SP'!$C:$AN,MID(AL$1,1,2),FALSE)</f>
        <v>0</v>
      </c>
      <c r="AM1592" s="56">
        <f>VLOOKUP($E1592,'NI-Soc_SP'!$C:$AN,MID(AM$1,1,2),FALSE)</f>
        <v>0</v>
      </c>
      <c r="AN1592" s="30" t="str">
        <f t="shared" si="24"/>
        <v>10203010050010</v>
      </c>
    </row>
    <row r="1593" spans="3:40" x14ac:dyDescent="0.25">
      <c r="C1593" s="40"/>
      <c r="D1593" s="121" t="s">
        <v>594</v>
      </c>
      <c r="E1593" s="121" t="s">
        <v>595</v>
      </c>
      <c r="F1593" s="122" t="s">
        <v>2758</v>
      </c>
      <c r="G1593" s="52"/>
      <c r="H1593" s="52"/>
      <c r="I1593" s="52"/>
      <c r="J1593" s="52"/>
      <c r="K1593" s="59" t="s">
        <v>79</v>
      </c>
      <c r="L1593" s="52"/>
      <c r="M1593" s="52"/>
      <c r="N1593" s="52"/>
      <c r="O1593" s="52"/>
      <c r="P1593" s="63" t="s">
        <v>596</v>
      </c>
      <c r="Q1593" s="55">
        <f>VLOOKUP(E1593,'NI-Soc_SP'!$C:$AN,12,FALSE)</f>
        <v>0</v>
      </c>
      <c r="R1593" s="55">
        <f>VLOOKUP(E1593,'NI-Soc_SP'!$C:$AN,13,FALSE)</f>
        <v>0</v>
      </c>
      <c r="S1593" s="55"/>
      <c r="T1593" s="55"/>
      <c r="U1593" s="55">
        <f>VLOOKUP($E1593,'NI-Soc_SP'!$C:$AN,MID(U$1,1,2),FALSE)</f>
        <v>0</v>
      </c>
      <c r="V1593" s="55">
        <f>VLOOKUP($E1593,'NI-Soc_SP'!$C:$AN,MID(V$1,1,2),FALSE)</f>
        <v>0</v>
      </c>
      <c r="W1593" s="55">
        <f>VLOOKUP($E1593,'NI-Soc_SP'!$C:$AN,MID(W$1,1,2),FALSE)</f>
        <v>0</v>
      </c>
      <c r="X1593" s="55">
        <f>VLOOKUP($E1593,'NI-Soc_SP'!$C:$AN,MID(X$1,1,2),FALSE)</f>
        <v>0</v>
      </c>
      <c r="Y1593" s="55">
        <f>VLOOKUP($E1593,'NI-Soc_SP'!$C:$AN,MID(Y$1,1,2),FALSE)</f>
        <v>0</v>
      </c>
      <c r="Z1593" s="55">
        <f>VLOOKUP($E1593,'NI-Soc_SP'!$C:$AN,MID(Z$1,1,2),FALSE)</f>
        <v>0</v>
      </c>
      <c r="AA1593" s="55">
        <f>VLOOKUP($E1593,'NI-Soc_SP'!$C:$AN,MID(AA$1,1,2),FALSE)</f>
        <v>0</v>
      </c>
      <c r="AB1593" s="55">
        <f>VLOOKUP($E1593,'NI-Soc_SP'!$C:$AN,MID(AB$1,1,2),FALSE)</f>
        <v>0</v>
      </c>
      <c r="AC1593" s="55">
        <f>VLOOKUP($E1593,'NI-Soc_SP'!$C:$AN,MID(AC$1,1,2),FALSE)</f>
        <v>0</v>
      </c>
      <c r="AD1593" s="55">
        <f>VLOOKUP($E1593,'NI-Soc_SP'!$C:$AN,MID(AD$1,1,2),FALSE)</f>
        <v>0</v>
      </c>
      <c r="AE1593" s="55">
        <f>VLOOKUP($E1593,'NI-Soc_SP'!$C:$AN,MID(AE$1,1,2),FALSE)</f>
        <v>0</v>
      </c>
      <c r="AF1593" s="55">
        <f>VLOOKUP($E1593,'NI-Soc_SP'!$C:$AN,MID(AF$1,1,2),FALSE)</f>
        <v>0</v>
      </c>
      <c r="AG1593" s="55">
        <f>VLOOKUP($E1593,'NI-Soc_SP'!$C:$AN,MID(AG$1,1,2),FALSE)</f>
        <v>0</v>
      </c>
      <c r="AH1593" s="55">
        <f>VLOOKUP($E1593,'NI-Soc_SP'!$C:$AN,MID(AH$1,1,2),FALSE)</f>
        <v>0</v>
      </c>
      <c r="AI1593" s="55">
        <f>VLOOKUP($E1593,'NI-Soc_SP'!$C:$AN,MID(AI$1,1,2),FALSE)</f>
        <v>0</v>
      </c>
      <c r="AJ1593" s="55">
        <f>VLOOKUP($E1593,'NI-Soc_SP'!$C:$AN,MID(AJ$1,1,2),FALSE)</f>
        <v>0</v>
      </c>
      <c r="AK1593" s="55">
        <f>VLOOKUP($E1593,'NI-Soc_SP'!$C:$AN,MID(AK$1,1,2),FALSE)</f>
        <v>0</v>
      </c>
      <c r="AL1593" s="55">
        <f>VLOOKUP($E1593,'NI-Soc_SP'!$C:$AN,MID(AL$1,1,2),FALSE)</f>
        <v>0</v>
      </c>
      <c r="AM1593" s="56">
        <f>VLOOKUP($E1593,'NI-Soc_SP'!$C:$AN,MID(AM$1,1,2),FALSE)</f>
        <v>0</v>
      </c>
      <c r="AN1593" s="30" t="str">
        <f t="shared" si="24"/>
        <v>10203010050020</v>
      </c>
    </row>
    <row r="1594" spans="3:40" x14ac:dyDescent="0.25">
      <c r="C1594" s="40"/>
      <c r="D1594" s="121" t="s">
        <v>597</v>
      </c>
      <c r="E1594" s="121" t="s">
        <v>598</v>
      </c>
      <c r="F1594" s="122" t="s">
        <v>2758</v>
      </c>
      <c r="G1594" s="52"/>
      <c r="H1594" s="52"/>
      <c r="I1594" s="52"/>
      <c r="J1594" s="52"/>
      <c r="K1594" s="59" t="s">
        <v>79</v>
      </c>
      <c r="L1594" s="52"/>
      <c r="M1594" s="52"/>
      <c r="N1594" s="52"/>
      <c r="O1594" s="52"/>
      <c r="P1594" s="63" t="s">
        <v>599</v>
      </c>
      <c r="Q1594" s="55">
        <f>VLOOKUP(E1594,'NI-Soc_SP'!$C:$AN,12,FALSE)</f>
        <v>0</v>
      </c>
      <c r="R1594" s="55">
        <f>VLOOKUP(E1594,'NI-Soc_SP'!$C:$AN,13,FALSE)</f>
        <v>0</v>
      </c>
      <c r="S1594" s="55"/>
      <c r="T1594" s="55"/>
      <c r="U1594" s="55">
        <f>VLOOKUP($E1594,'NI-Soc_SP'!$C:$AN,MID(U$1,1,2),FALSE)</f>
        <v>0</v>
      </c>
      <c r="V1594" s="55">
        <f>VLOOKUP($E1594,'NI-Soc_SP'!$C:$AN,MID(V$1,1,2),FALSE)</f>
        <v>0</v>
      </c>
      <c r="W1594" s="55">
        <f>VLOOKUP($E1594,'NI-Soc_SP'!$C:$AN,MID(W$1,1,2),FALSE)</f>
        <v>0</v>
      </c>
      <c r="X1594" s="55">
        <f>VLOOKUP($E1594,'NI-Soc_SP'!$C:$AN,MID(X$1,1,2),FALSE)</f>
        <v>0</v>
      </c>
      <c r="Y1594" s="55">
        <f>VLOOKUP($E1594,'NI-Soc_SP'!$C:$AN,MID(Y$1,1,2),FALSE)</f>
        <v>0</v>
      </c>
      <c r="Z1594" s="55">
        <f>VLOOKUP($E1594,'NI-Soc_SP'!$C:$AN,MID(Z$1,1,2),FALSE)</f>
        <v>0</v>
      </c>
      <c r="AA1594" s="55">
        <f>VLOOKUP($E1594,'NI-Soc_SP'!$C:$AN,MID(AA$1,1,2),FALSE)</f>
        <v>0</v>
      </c>
      <c r="AB1594" s="55">
        <f>VLOOKUP($E1594,'NI-Soc_SP'!$C:$AN,MID(AB$1,1,2),FALSE)</f>
        <v>0</v>
      </c>
      <c r="AC1594" s="55">
        <f>VLOOKUP($E1594,'NI-Soc_SP'!$C:$AN,MID(AC$1,1,2),FALSE)</f>
        <v>0</v>
      </c>
      <c r="AD1594" s="55">
        <f>VLOOKUP($E1594,'NI-Soc_SP'!$C:$AN,MID(AD$1,1,2),FALSE)</f>
        <v>0</v>
      </c>
      <c r="AE1594" s="55">
        <f>VLOOKUP($E1594,'NI-Soc_SP'!$C:$AN,MID(AE$1,1,2),FALSE)</f>
        <v>0</v>
      </c>
      <c r="AF1594" s="55">
        <f>VLOOKUP($E1594,'NI-Soc_SP'!$C:$AN,MID(AF$1,1,2),FALSE)</f>
        <v>0</v>
      </c>
      <c r="AG1594" s="55">
        <f>VLOOKUP($E1594,'NI-Soc_SP'!$C:$AN,MID(AG$1,1,2),FALSE)</f>
        <v>0</v>
      </c>
      <c r="AH1594" s="55">
        <f>VLOOKUP($E1594,'NI-Soc_SP'!$C:$AN,MID(AH$1,1,2),FALSE)</f>
        <v>0</v>
      </c>
      <c r="AI1594" s="55">
        <f>VLOOKUP($E1594,'NI-Soc_SP'!$C:$AN,MID(AI$1,1,2),FALSE)</f>
        <v>0</v>
      </c>
      <c r="AJ1594" s="55">
        <f>VLOOKUP($E1594,'NI-Soc_SP'!$C:$AN,MID(AJ$1,1,2),FALSE)</f>
        <v>0</v>
      </c>
      <c r="AK1594" s="55">
        <f>VLOOKUP($E1594,'NI-Soc_SP'!$C:$AN,MID(AK$1,1,2),FALSE)</f>
        <v>0</v>
      </c>
      <c r="AL1594" s="55">
        <f>VLOOKUP($E1594,'NI-Soc_SP'!$C:$AN,MID(AL$1,1,2),FALSE)</f>
        <v>0</v>
      </c>
      <c r="AM1594" s="56">
        <f>VLOOKUP($E1594,'NI-Soc_SP'!$C:$AN,MID(AM$1,1,2),FALSE)</f>
        <v>0</v>
      </c>
      <c r="AN1594" s="30" t="str">
        <f t="shared" si="24"/>
        <v>10203010060010</v>
      </c>
    </row>
    <row r="1595" spans="3:40" x14ac:dyDescent="0.25">
      <c r="C1595" s="40"/>
      <c r="D1595" s="121" t="s">
        <v>600</v>
      </c>
      <c r="E1595" s="121" t="s">
        <v>601</v>
      </c>
      <c r="F1595" s="122" t="s">
        <v>2758</v>
      </c>
      <c r="G1595" s="52"/>
      <c r="H1595" s="52"/>
      <c r="I1595" s="52"/>
      <c r="J1595" s="52"/>
      <c r="K1595" s="59" t="s">
        <v>79</v>
      </c>
      <c r="L1595" s="52"/>
      <c r="M1595" s="52"/>
      <c r="N1595" s="52"/>
      <c r="O1595" s="52"/>
      <c r="P1595" s="63" t="s">
        <v>602</v>
      </c>
      <c r="Q1595" s="55">
        <f>VLOOKUP(E1595,'NI-Soc_SP'!$C:$AN,12,FALSE)</f>
        <v>0</v>
      </c>
      <c r="R1595" s="55">
        <f>VLOOKUP(E1595,'NI-Soc_SP'!$C:$AN,13,FALSE)</f>
        <v>0</v>
      </c>
      <c r="S1595" s="55"/>
      <c r="T1595" s="55"/>
      <c r="U1595" s="55">
        <f>VLOOKUP($E1595,'NI-Soc_SP'!$C:$AN,MID(U$1,1,2),FALSE)</f>
        <v>0</v>
      </c>
      <c r="V1595" s="55">
        <f>VLOOKUP($E1595,'NI-Soc_SP'!$C:$AN,MID(V$1,1,2),FALSE)</f>
        <v>0</v>
      </c>
      <c r="W1595" s="55">
        <f>VLOOKUP($E1595,'NI-Soc_SP'!$C:$AN,MID(W$1,1,2),FALSE)</f>
        <v>0</v>
      </c>
      <c r="X1595" s="55">
        <f>VLOOKUP($E1595,'NI-Soc_SP'!$C:$AN,MID(X$1,1,2),FALSE)</f>
        <v>0</v>
      </c>
      <c r="Y1595" s="55">
        <f>VLOOKUP($E1595,'NI-Soc_SP'!$C:$AN,MID(Y$1,1,2),FALSE)</f>
        <v>0</v>
      </c>
      <c r="Z1595" s="55">
        <f>VLOOKUP($E1595,'NI-Soc_SP'!$C:$AN,MID(Z$1,1,2),FALSE)</f>
        <v>0</v>
      </c>
      <c r="AA1595" s="55">
        <f>VLOOKUP($E1595,'NI-Soc_SP'!$C:$AN,MID(AA$1,1,2),FALSE)</f>
        <v>0</v>
      </c>
      <c r="AB1595" s="55">
        <f>VLOOKUP($E1595,'NI-Soc_SP'!$C:$AN,MID(AB$1,1,2),FALSE)</f>
        <v>0</v>
      </c>
      <c r="AC1595" s="55">
        <f>VLOOKUP($E1595,'NI-Soc_SP'!$C:$AN,MID(AC$1,1,2),FALSE)</f>
        <v>0</v>
      </c>
      <c r="AD1595" s="55">
        <f>VLOOKUP($E1595,'NI-Soc_SP'!$C:$AN,MID(AD$1,1,2),FALSE)</f>
        <v>0</v>
      </c>
      <c r="AE1595" s="55">
        <f>VLOOKUP($E1595,'NI-Soc_SP'!$C:$AN,MID(AE$1,1,2),FALSE)</f>
        <v>0</v>
      </c>
      <c r="AF1595" s="55">
        <f>VLOOKUP($E1595,'NI-Soc_SP'!$C:$AN,MID(AF$1,1,2),FALSE)</f>
        <v>0</v>
      </c>
      <c r="AG1595" s="55">
        <f>VLOOKUP($E1595,'NI-Soc_SP'!$C:$AN,MID(AG$1,1,2),FALSE)</f>
        <v>0</v>
      </c>
      <c r="AH1595" s="55">
        <f>VLOOKUP($E1595,'NI-Soc_SP'!$C:$AN,MID(AH$1,1,2),FALSE)</f>
        <v>0</v>
      </c>
      <c r="AI1595" s="55">
        <f>VLOOKUP($E1595,'NI-Soc_SP'!$C:$AN,MID(AI$1,1,2),FALSE)</f>
        <v>0</v>
      </c>
      <c r="AJ1595" s="55">
        <f>VLOOKUP($E1595,'NI-Soc_SP'!$C:$AN,MID(AJ$1,1,2),FALSE)</f>
        <v>0</v>
      </c>
      <c r="AK1595" s="55">
        <f>VLOOKUP($E1595,'NI-Soc_SP'!$C:$AN,MID(AK$1,1,2),FALSE)</f>
        <v>0</v>
      </c>
      <c r="AL1595" s="55">
        <f>VLOOKUP($E1595,'NI-Soc_SP'!$C:$AN,MID(AL$1,1,2),FALSE)</f>
        <v>0</v>
      </c>
      <c r="AM1595" s="56">
        <f>VLOOKUP($E1595,'NI-Soc_SP'!$C:$AN,MID(AM$1,1,2),FALSE)</f>
        <v>0</v>
      </c>
      <c r="AN1595" s="30" t="str">
        <f t="shared" si="24"/>
        <v>10203010060020</v>
      </c>
    </row>
    <row r="1596" spans="3:40" x14ac:dyDescent="0.25">
      <c r="C1596" s="40"/>
      <c r="D1596" s="121" t="s">
        <v>603</v>
      </c>
      <c r="E1596" s="121" t="s">
        <v>604</v>
      </c>
      <c r="F1596" s="122" t="s">
        <v>2758</v>
      </c>
      <c r="G1596" s="52"/>
      <c r="H1596" s="52"/>
      <c r="I1596" s="52"/>
      <c r="J1596" s="52"/>
      <c r="K1596" s="59" t="s">
        <v>79</v>
      </c>
      <c r="L1596" s="52"/>
      <c r="M1596" s="52"/>
      <c r="N1596" s="52"/>
      <c r="O1596" s="52"/>
      <c r="P1596" s="63" t="s">
        <v>605</v>
      </c>
      <c r="Q1596" s="55">
        <f>VLOOKUP(E1596,'NI-Soc_SP'!$C:$AN,12,FALSE)</f>
        <v>0</v>
      </c>
      <c r="R1596" s="55">
        <f>VLOOKUP(E1596,'NI-Soc_SP'!$C:$AN,13,FALSE)</f>
        <v>0</v>
      </c>
      <c r="S1596" s="55"/>
      <c r="T1596" s="55"/>
      <c r="U1596" s="55">
        <f>VLOOKUP($E1596,'NI-Soc_SP'!$C:$AN,MID(U$1,1,2),FALSE)</f>
        <v>0</v>
      </c>
      <c r="V1596" s="55">
        <f>VLOOKUP($E1596,'NI-Soc_SP'!$C:$AN,MID(V$1,1,2),FALSE)</f>
        <v>0</v>
      </c>
      <c r="W1596" s="55">
        <f>VLOOKUP($E1596,'NI-Soc_SP'!$C:$AN,MID(W$1,1,2),FALSE)</f>
        <v>0</v>
      </c>
      <c r="X1596" s="55">
        <f>VLOOKUP($E1596,'NI-Soc_SP'!$C:$AN,MID(X$1,1,2),FALSE)</f>
        <v>0</v>
      </c>
      <c r="Y1596" s="55">
        <f>VLOOKUP($E1596,'NI-Soc_SP'!$C:$AN,MID(Y$1,1,2),FALSE)</f>
        <v>0</v>
      </c>
      <c r="Z1596" s="55">
        <f>VLOOKUP($E1596,'NI-Soc_SP'!$C:$AN,MID(Z$1,1,2),FALSE)</f>
        <v>0</v>
      </c>
      <c r="AA1596" s="55">
        <f>VLOOKUP($E1596,'NI-Soc_SP'!$C:$AN,MID(AA$1,1,2),FALSE)</f>
        <v>0</v>
      </c>
      <c r="AB1596" s="55">
        <f>VLOOKUP($E1596,'NI-Soc_SP'!$C:$AN,MID(AB$1,1,2),FALSE)</f>
        <v>0</v>
      </c>
      <c r="AC1596" s="55">
        <f>VLOOKUP($E1596,'NI-Soc_SP'!$C:$AN,MID(AC$1,1,2),FALSE)</f>
        <v>0</v>
      </c>
      <c r="AD1596" s="55">
        <f>VLOOKUP($E1596,'NI-Soc_SP'!$C:$AN,MID(AD$1,1,2),FALSE)</f>
        <v>0</v>
      </c>
      <c r="AE1596" s="55">
        <f>VLOOKUP($E1596,'NI-Soc_SP'!$C:$AN,MID(AE$1,1,2),FALSE)</f>
        <v>0</v>
      </c>
      <c r="AF1596" s="55">
        <f>VLOOKUP($E1596,'NI-Soc_SP'!$C:$AN,MID(AF$1,1,2),FALSE)</f>
        <v>0</v>
      </c>
      <c r="AG1596" s="55">
        <f>VLOOKUP($E1596,'NI-Soc_SP'!$C:$AN,MID(AG$1,1,2),FALSE)</f>
        <v>0</v>
      </c>
      <c r="AH1596" s="55">
        <f>VLOOKUP($E1596,'NI-Soc_SP'!$C:$AN,MID(AH$1,1,2),FALSE)</f>
        <v>0</v>
      </c>
      <c r="AI1596" s="55">
        <f>VLOOKUP($E1596,'NI-Soc_SP'!$C:$AN,MID(AI$1,1,2),FALSE)</f>
        <v>0</v>
      </c>
      <c r="AJ1596" s="55">
        <f>VLOOKUP($E1596,'NI-Soc_SP'!$C:$AN,MID(AJ$1,1,2),FALSE)</f>
        <v>0</v>
      </c>
      <c r="AK1596" s="55">
        <f>VLOOKUP($E1596,'NI-Soc_SP'!$C:$AN,MID(AK$1,1,2),FALSE)</f>
        <v>0</v>
      </c>
      <c r="AL1596" s="55">
        <f>VLOOKUP($E1596,'NI-Soc_SP'!$C:$AN,MID(AL$1,1,2),FALSE)</f>
        <v>0</v>
      </c>
      <c r="AM1596" s="56">
        <f>VLOOKUP($E1596,'NI-Soc_SP'!$C:$AN,MID(AM$1,1,2),FALSE)</f>
        <v>0</v>
      </c>
      <c r="AN1596" s="30" t="str">
        <f t="shared" si="24"/>
        <v>10203010070010</v>
      </c>
    </row>
    <row r="1597" spans="3:40" x14ac:dyDescent="0.25">
      <c r="C1597" s="40"/>
      <c r="D1597" s="121" t="s">
        <v>606</v>
      </c>
      <c r="E1597" s="121" t="s">
        <v>607</v>
      </c>
      <c r="F1597" s="122" t="s">
        <v>2758</v>
      </c>
      <c r="G1597" s="52"/>
      <c r="H1597" s="52"/>
      <c r="I1597" s="52"/>
      <c r="J1597" s="52"/>
      <c r="K1597" s="59" t="s">
        <v>79</v>
      </c>
      <c r="L1597" s="52"/>
      <c r="M1597" s="52"/>
      <c r="N1597" s="52"/>
      <c r="O1597" s="52"/>
      <c r="P1597" s="63" t="s">
        <v>608</v>
      </c>
      <c r="Q1597" s="55">
        <f>VLOOKUP(E1597,'NI-Soc_SP'!$C:$AN,12,FALSE)</f>
        <v>0</v>
      </c>
      <c r="R1597" s="55">
        <f>VLOOKUP(E1597,'NI-Soc_SP'!$C:$AN,13,FALSE)</f>
        <v>0</v>
      </c>
      <c r="S1597" s="55"/>
      <c r="T1597" s="55"/>
      <c r="U1597" s="55">
        <f>VLOOKUP($E1597,'NI-Soc_SP'!$C:$AN,MID(U$1,1,2),FALSE)</f>
        <v>0</v>
      </c>
      <c r="V1597" s="55">
        <f>VLOOKUP($E1597,'NI-Soc_SP'!$C:$AN,MID(V$1,1,2),FALSE)</f>
        <v>0</v>
      </c>
      <c r="W1597" s="55">
        <f>VLOOKUP($E1597,'NI-Soc_SP'!$C:$AN,MID(W$1,1,2),FALSE)</f>
        <v>0</v>
      </c>
      <c r="X1597" s="55">
        <f>VLOOKUP($E1597,'NI-Soc_SP'!$C:$AN,MID(X$1,1,2),FALSE)</f>
        <v>0</v>
      </c>
      <c r="Y1597" s="55">
        <f>VLOOKUP($E1597,'NI-Soc_SP'!$C:$AN,MID(Y$1,1,2),FALSE)</f>
        <v>0</v>
      </c>
      <c r="Z1597" s="55">
        <f>VLOOKUP($E1597,'NI-Soc_SP'!$C:$AN,MID(Z$1,1,2),FALSE)</f>
        <v>0</v>
      </c>
      <c r="AA1597" s="55">
        <f>VLOOKUP($E1597,'NI-Soc_SP'!$C:$AN,MID(AA$1,1,2),FALSE)</f>
        <v>0</v>
      </c>
      <c r="AB1597" s="55">
        <f>VLOOKUP($E1597,'NI-Soc_SP'!$C:$AN,MID(AB$1,1,2),FALSE)</f>
        <v>0</v>
      </c>
      <c r="AC1597" s="55">
        <f>VLOOKUP($E1597,'NI-Soc_SP'!$C:$AN,MID(AC$1,1,2),FALSE)</f>
        <v>0</v>
      </c>
      <c r="AD1597" s="55">
        <f>VLOOKUP($E1597,'NI-Soc_SP'!$C:$AN,MID(AD$1,1,2),FALSE)</f>
        <v>0</v>
      </c>
      <c r="AE1597" s="55">
        <f>VLOOKUP($E1597,'NI-Soc_SP'!$C:$AN,MID(AE$1,1,2),FALSE)</f>
        <v>0</v>
      </c>
      <c r="AF1597" s="55">
        <f>VLOOKUP($E1597,'NI-Soc_SP'!$C:$AN,MID(AF$1,1,2),FALSE)</f>
        <v>0</v>
      </c>
      <c r="AG1597" s="55">
        <f>VLOOKUP($E1597,'NI-Soc_SP'!$C:$AN,MID(AG$1,1,2),FALSE)</f>
        <v>0</v>
      </c>
      <c r="AH1597" s="55">
        <f>VLOOKUP($E1597,'NI-Soc_SP'!$C:$AN,MID(AH$1,1,2),FALSE)</f>
        <v>0</v>
      </c>
      <c r="AI1597" s="55">
        <f>VLOOKUP($E1597,'NI-Soc_SP'!$C:$AN,MID(AI$1,1,2),FALSE)</f>
        <v>0</v>
      </c>
      <c r="AJ1597" s="55">
        <f>VLOOKUP($E1597,'NI-Soc_SP'!$C:$AN,MID(AJ$1,1,2),FALSE)</f>
        <v>0</v>
      </c>
      <c r="AK1597" s="55">
        <f>VLOOKUP($E1597,'NI-Soc_SP'!$C:$AN,MID(AK$1,1,2),FALSE)</f>
        <v>0</v>
      </c>
      <c r="AL1597" s="55">
        <f>VLOOKUP($E1597,'NI-Soc_SP'!$C:$AN,MID(AL$1,1,2),FALSE)</f>
        <v>0</v>
      </c>
      <c r="AM1597" s="56">
        <f>VLOOKUP($E1597,'NI-Soc_SP'!$C:$AN,MID(AM$1,1,2),FALSE)</f>
        <v>0</v>
      </c>
      <c r="AN1597" s="30" t="str">
        <f t="shared" si="24"/>
        <v>10203010070020</v>
      </c>
    </row>
    <row r="1598" spans="3:40" x14ac:dyDescent="0.25">
      <c r="C1598" s="40"/>
      <c r="D1598" s="121" t="s">
        <v>609</v>
      </c>
      <c r="E1598" s="121" t="s">
        <v>610</v>
      </c>
      <c r="F1598" s="122" t="s">
        <v>2758</v>
      </c>
      <c r="G1598" s="52"/>
      <c r="H1598" s="52"/>
      <c r="I1598" s="52" t="s">
        <v>611</v>
      </c>
      <c r="J1598" s="52"/>
      <c r="K1598" s="59" t="s">
        <v>111</v>
      </c>
      <c r="L1598" s="62" t="s">
        <v>612</v>
      </c>
      <c r="M1598" s="52"/>
      <c r="N1598" s="52"/>
      <c r="O1598" s="52"/>
      <c r="P1598" s="54" t="s">
        <v>613</v>
      </c>
      <c r="Q1598" s="55">
        <f>VLOOKUP(E1598,'NI-Soc_SP'!$C:$AN,12,FALSE)</f>
        <v>0</v>
      </c>
      <c r="R1598" s="55">
        <f>VLOOKUP(E1598,'NI-Soc_SP'!$C:$AN,13,FALSE)</f>
        <v>0</v>
      </c>
      <c r="S1598" s="55"/>
      <c r="T1598" s="55"/>
      <c r="U1598" s="55">
        <f>VLOOKUP($E1598,'NI-Soc_SP'!$C:$AN,MID(U$1,1,2),FALSE)</f>
        <v>0</v>
      </c>
      <c r="V1598" s="55">
        <f>VLOOKUP($E1598,'NI-Soc_SP'!$C:$AN,MID(V$1,1,2),FALSE)</f>
        <v>0</v>
      </c>
      <c r="W1598" s="55">
        <f>VLOOKUP($E1598,'NI-Soc_SP'!$C:$AN,MID(W$1,1,2),FALSE)</f>
        <v>0</v>
      </c>
      <c r="X1598" s="55">
        <f>VLOOKUP($E1598,'NI-Soc_SP'!$C:$AN,MID(X$1,1,2),FALSE)</f>
        <v>0</v>
      </c>
      <c r="Y1598" s="55">
        <f>VLOOKUP($E1598,'NI-Soc_SP'!$C:$AN,MID(Y$1,1,2),FALSE)</f>
        <v>0</v>
      </c>
      <c r="Z1598" s="55">
        <f>VLOOKUP($E1598,'NI-Soc_SP'!$C:$AN,MID(Z$1,1,2),FALSE)</f>
        <v>0</v>
      </c>
      <c r="AA1598" s="55">
        <f>VLOOKUP($E1598,'NI-Soc_SP'!$C:$AN,MID(AA$1,1,2),FALSE)</f>
        <v>0</v>
      </c>
      <c r="AB1598" s="55">
        <f>VLOOKUP($E1598,'NI-Soc_SP'!$C:$AN,MID(AB$1,1,2),FALSE)</f>
        <v>0</v>
      </c>
      <c r="AC1598" s="55">
        <f>VLOOKUP($E1598,'NI-Soc_SP'!$C:$AN,MID(AC$1,1,2),FALSE)</f>
        <v>0</v>
      </c>
      <c r="AD1598" s="55">
        <f>VLOOKUP($E1598,'NI-Soc_SP'!$C:$AN,MID(AD$1,1,2),FALSE)</f>
        <v>0</v>
      </c>
      <c r="AE1598" s="55">
        <f>VLOOKUP($E1598,'NI-Soc_SP'!$C:$AN,MID(AE$1,1,2),FALSE)</f>
        <v>0</v>
      </c>
      <c r="AF1598" s="55">
        <f>VLOOKUP($E1598,'NI-Soc_SP'!$C:$AN,MID(AF$1,1,2),FALSE)</f>
        <v>0</v>
      </c>
      <c r="AG1598" s="55">
        <f>VLOOKUP($E1598,'NI-Soc_SP'!$C:$AN,MID(AG$1,1,2),FALSE)</f>
        <v>0</v>
      </c>
      <c r="AH1598" s="55">
        <f>VLOOKUP($E1598,'NI-Soc_SP'!$C:$AN,MID(AH$1,1,2),FALSE)</f>
        <v>0</v>
      </c>
      <c r="AI1598" s="55">
        <f>VLOOKUP($E1598,'NI-Soc_SP'!$C:$AN,MID(AI$1,1,2),FALSE)</f>
        <v>0</v>
      </c>
      <c r="AJ1598" s="55">
        <f>VLOOKUP($E1598,'NI-Soc_SP'!$C:$AN,MID(AJ$1,1,2),FALSE)</f>
        <v>0</v>
      </c>
      <c r="AK1598" s="55">
        <f>VLOOKUP($E1598,'NI-Soc_SP'!$C:$AN,MID(AK$1,1,2),FALSE)</f>
        <v>0</v>
      </c>
      <c r="AL1598" s="55">
        <f>VLOOKUP($E1598,'NI-Soc_SP'!$C:$AN,MID(AL$1,1,2),FALSE)</f>
        <v>0</v>
      </c>
      <c r="AM1598" s="56">
        <f>VLOOKUP($E1598,'NI-Soc_SP'!$C:$AN,MID(AM$1,1,2),FALSE)</f>
        <v>0</v>
      </c>
      <c r="AN1598" s="30" t="str">
        <f t="shared" si="24"/>
        <v>10203020000000</v>
      </c>
    </row>
    <row r="1599" spans="3:40" x14ac:dyDescent="0.25">
      <c r="C1599" s="40"/>
      <c r="D1599" s="121" t="s">
        <v>614</v>
      </c>
      <c r="E1599" s="121" t="s">
        <v>615</v>
      </c>
      <c r="F1599" s="122" t="s">
        <v>2758</v>
      </c>
      <c r="G1599" s="52"/>
      <c r="H1599" s="52"/>
      <c r="I1599" s="52"/>
      <c r="J1599" s="52"/>
      <c r="K1599" s="59" t="s">
        <v>79</v>
      </c>
      <c r="L1599" s="52"/>
      <c r="M1599" s="52"/>
      <c r="N1599" s="52"/>
      <c r="O1599" s="52"/>
      <c r="P1599" s="63" t="s">
        <v>616</v>
      </c>
      <c r="Q1599" s="55">
        <f>VLOOKUP(E1599,'NI-Soc_SP'!$C:$AN,12,FALSE)</f>
        <v>0</v>
      </c>
      <c r="R1599" s="55">
        <f>VLOOKUP(E1599,'NI-Soc_SP'!$C:$AN,13,FALSE)</f>
        <v>0</v>
      </c>
      <c r="S1599" s="55"/>
      <c r="T1599" s="55"/>
      <c r="U1599" s="55">
        <f>VLOOKUP($E1599,'NI-Soc_SP'!$C:$AN,MID(U$1,1,2),FALSE)</f>
        <v>0</v>
      </c>
      <c r="V1599" s="55">
        <f>VLOOKUP($E1599,'NI-Soc_SP'!$C:$AN,MID(V$1,1,2),FALSE)</f>
        <v>0</v>
      </c>
      <c r="W1599" s="55">
        <f>VLOOKUP($E1599,'NI-Soc_SP'!$C:$AN,MID(W$1,1,2),FALSE)</f>
        <v>0</v>
      </c>
      <c r="X1599" s="55">
        <f>VLOOKUP($E1599,'NI-Soc_SP'!$C:$AN,MID(X$1,1,2),FALSE)</f>
        <v>0</v>
      </c>
      <c r="Y1599" s="55">
        <f>VLOOKUP($E1599,'NI-Soc_SP'!$C:$AN,MID(Y$1,1,2),FALSE)</f>
        <v>0</v>
      </c>
      <c r="Z1599" s="55">
        <f>VLOOKUP($E1599,'NI-Soc_SP'!$C:$AN,MID(Z$1,1,2),FALSE)</f>
        <v>0</v>
      </c>
      <c r="AA1599" s="55">
        <f>VLOOKUP($E1599,'NI-Soc_SP'!$C:$AN,MID(AA$1,1,2),FALSE)</f>
        <v>0</v>
      </c>
      <c r="AB1599" s="55">
        <f>VLOOKUP($E1599,'NI-Soc_SP'!$C:$AN,MID(AB$1,1,2),FALSE)</f>
        <v>0</v>
      </c>
      <c r="AC1599" s="55">
        <f>VLOOKUP($E1599,'NI-Soc_SP'!$C:$AN,MID(AC$1,1,2),FALSE)</f>
        <v>0</v>
      </c>
      <c r="AD1599" s="55">
        <f>VLOOKUP($E1599,'NI-Soc_SP'!$C:$AN,MID(AD$1,1,2),FALSE)</f>
        <v>0</v>
      </c>
      <c r="AE1599" s="55">
        <f>VLOOKUP($E1599,'NI-Soc_SP'!$C:$AN,MID(AE$1,1,2),FALSE)</f>
        <v>0</v>
      </c>
      <c r="AF1599" s="55">
        <f>VLOOKUP($E1599,'NI-Soc_SP'!$C:$AN,MID(AF$1,1,2),FALSE)</f>
        <v>0</v>
      </c>
      <c r="AG1599" s="55">
        <f>VLOOKUP($E1599,'NI-Soc_SP'!$C:$AN,MID(AG$1,1,2),FALSE)</f>
        <v>0</v>
      </c>
      <c r="AH1599" s="55">
        <f>VLOOKUP($E1599,'NI-Soc_SP'!$C:$AN,MID(AH$1,1,2),FALSE)</f>
        <v>0</v>
      </c>
      <c r="AI1599" s="55">
        <f>VLOOKUP($E1599,'NI-Soc_SP'!$C:$AN,MID(AI$1,1,2),FALSE)</f>
        <v>0</v>
      </c>
      <c r="AJ1599" s="55">
        <f>VLOOKUP($E1599,'NI-Soc_SP'!$C:$AN,MID(AJ$1,1,2),FALSE)</f>
        <v>0</v>
      </c>
      <c r="AK1599" s="55">
        <f>VLOOKUP($E1599,'NI-Soc_SP'!$C:$AN,MID(AK$1,1,2),FALSE)</f>
        <v>0</v>
      </c>
      <c r="AL1599" s="55">
        <f>VLOOKUP($E1599,'NI-Soc_SP'!$C:$AN,MID(AL$1,1,2),FALSE)</f>
        <v>0</v>
      </c>
      <c r="AM1599" s="56">
        <f>VLOOKUP($E1599,'NI-Soc_SP'!$C:$AN,MID(AM$1,1,2),FALSE)</f>
        <v>0</v>
      </c>
      <c r="AN1599" s="30" t="str">
        <f t="shared" si="24"/>
        <v>10203020010010</v>
      </c>
    </row>
    <row r="1600" spans="3:40" x14ac:dyDescent="0.25">
      <c r="C1600" s="40"/>
      <c r="D1600" s="121" t="s">
        <v>617</v>
      </c>
      <c r="E1600" s="121" t="s">
        <v>618</v>
      </c>
      <c r="F1600" s="122" t="s">
        <v>2758</v>
      </c>
      <c r="G1600" s="52"/>
      <c r="H1600" s="52"/>
      <c r="I1600" s="52"/>
      <c r="J1600" s="52"/>
      <c r="K1600" s="59" t="s">
        <v>79</v>
      </c>
      <c r="L1600" s="52"/>
      <c r="M1600" s="52"/>
      <c r="N1600" s="52"/>
      <c r="O1600" s="52"/>
      <c r="P1600" s="63" t="s">
        <v>619</v>
      </c>
      <c r="Q1600" s="55">
        <f>VLOOKUP(E1600,'NI-Soc_SP'!$C:$AN,12,FALSE)</f>
        <v>0</v>
      </c>
      <c r="R1600" s="55">
        <f>VLOOKUP(E1600,'NI-Soc_SP'!$C:$AN,13,FALSE)</f>
        <v>0</v>
      </c>
      <c r="S1600" s="55"/>
      <c r="T1600" s="55"/>
      <c r="U1600" s="55">
        <f>VLOOKUP($E1600,'NI-Soc_SP'!$C:$AN,MID(U$1,1,2),FALSE)</f>
        <v>0</v>
      </c>
      <c r="V1600" s="55">
        <f>VLOOKUP($E1600,'NI-Soc_SP'!$C:$AN,MID(V$1,1,2),FALSE)</f>
        <v>0</v>
      </c>
      <c r="W1600" s="55">
        <f>VLOOKUP($E1600,'NI-Soc_SP'!$C:$AN,MID(W$1,1,2),FALSE)</f>
        <v>0</v>
      </c>
      <c r="X1600" s="55">
        <f>VLOOKUP($E1600,'NI-Soc_SP'!$C:$AN,MID(X$1,1,2),FALSE)</f>
        <v>0</v>
      </c>
      <c r="Y1600" s="55">
        <f>VLOOKUP($E1600,'NI-Soc_SP'!$C:$AN,MID(Y$1,1,2),FALSE)</f>
        <v>0</v>
      </c>
      <c r="Z1600" s="55">
        <f>VLOOKUP($E1600,'NI-Soc_SP'!$C:$AN,MID(Z$1,1,2),FALSE)</f>
        <v>0</v>
      </c>
      <c r="AA1600" s="55">
        <f>VLOOKUP($E1600,'NI-Soc_SP'!$C:$AN,MID(AA$1,1,2),FALSE)</f>
        <v>0</v>
      </c>
      <c r="AB1600" s="55">
        <f>VLOOKUP($E1600,'NI-Soc_SP'!$C:$AN,MID(AB$1,1,2),FALSE)</f>
        <v>0</v>
      </c>
      <c r="AC1600" s="55">
        <f>VLOOKUP($E1600,'NI-Soc_SP'!$C:$AN,MID(AC$1,1,2),FALSE)</f>
        <v>0</v>
      </c>
      <c r="AD1600" s="55">
        <f>VLOOKUP($E1600,'NI-Soc_SP'!$C:$AN,MID(AD$1,1,2),FALSE)</f>
        <v>0</v>
      </c>
      <c r="AE1600" s="55">
        <f>VLOOKUP($E1600,'NI-Soc_SP'!$C:$AN,MID(AE$1,1,2),FALSE)</f>
        <v>0</v>
      </c>
      <c r="AF1600" s="55">
        <f>VLOOKUP($E1600,'NI-Soc_SP'!$C:$AN,MID(AF$1,1,2),FALSE)</f>
        <v>0</v>
      </c>
      <c r="AG1600" s="55">
        <f>VLOOKUP($E1600,'NI-Soc_SP'!$C:$AN,MID(AG$1,1,2),FALSE)</f>
        <v>0</v>
      </c>
      <c r="AH1600" s="55">
        <f>VLOOKUP($E1600,'NI-Soc_SP'!$C:$AN,MID(AH$1,1,2),FALSE)</f>
        <v>0</v>
      </c>
      <c r="AI1600" s="55">
        <f>VLOOKUP($E1600,'NI-Soc_SP'!$C:$AN,MID(AI$1,1,2),FALSE)</f>
        <v>0</v>
      </c>
      <c r="AJ1600" s="55">
        <f>VLOOKUP($E1600,'NI-Soc_SP'!$C:$AN,MID(AJ$1,1,2),FALSE)</f>
        <v>0</v>
      </c>
      <c r="AK1600" s="55">
        <f>VLOOKUP($E1600,'NI-Soc_SP'!$C:$AN,MID(AK$1,1,2),FALSE)</f>
        <v>0</v>
      </c>
      <c r="AL1600" s="55">
        <f>VLOOKUP($E1600,'NI-Soc_SP'!$C:$AN,MID(AL$1,1,2),FALSE)</f>
        <v>0</v>
      </c>
      <c r="AM1600" s="56">
        <f>VLOOKUP($E1600,'NI-Soc_SP'!$C:$AN,MID(AM$1,1,2),FALSE)</f>
        <v>0</v>
      </c>
      <c r="AN1600" s="30" t="str">
        <f t="shared" si="24"/>
        <v>10203020010020</v>
      </c>
    </row>
    <row r="1601" spans="3:40" x14ac:dyDescent="0.25">
      <c r="C1601" s="40"/>
      <c r="D1601" s="121" t="s">
        <v>620</v>
      </c>
      <c r="E1601" s="121" t="s">
        <v>621</v>
      </c>
      <c r="F1601" s="122" t="s">
        <v>2758</v>
      </c>
      <c r="G1601" s="52"/>
      <c r="H1601" s="52"/>
      <c r="I1601" s="52"/>
      <c r="J1601" s="52"/>
      <c r="K1601" s="59" t="s">
        <v>79</v>
      </c>
      <c r="L1601" s="52"/>
      <c r="M1601" s="52"/>
      <c r="N1601" s="52"/>
      <c r="O1601" s="52"/>
      <c r="P1601" s="63" t="s">
        <v>622</v>
      </c>
      <c r="Q1601" s="55">
        <f>VLOOKUP(E1601,'NI-Soc_SP'!$C:$AN,12,FALSE)</f>
        <v>0</v>
      </c>
      <c r="R1601" s="55">
        <f>VLOOKUP(E1601,'NI-Soc_SP'!$C:$AN,13,FALSE)</f>
        <v>0</v>
      </c>
      <c r="S1601" s="55"/>
      <c r="T1601" s="55"/>
      <c r="U1601" s="55">
        <f>VLOOKUP($E1601,'NI-Soc_SP'!$C:$AN,MID(U$1,1,2),FALSE)</f>
        <v>0</v>
      </c>
      <c r="V1601" s="55">
        <f>VLOOKUP($E1601,'NI-Soc_SP'!$C:$AN,MID(V$1,1,2),FALSE)</f>
        <v>0</v>
      </c>
      <c r="W1601" s="55">
        <f>VLOOKUP($E1601,'NI-Soc_SP'!$C:$AN,MID(W$1,1,2),FALSE)</f>
        <v>0</v>
      </c>
      <c r="X1601" s="55">
        <f>VLOOKUP($E1601,'NI-Soc_SP'!$C:$AN,MID(X$1,1,2),FALSE)</f>
        <v>0</v>
      </c>
      <c r="Y1601" s="55">
        <f>VLOOKUP($E1601,'NI-Soc_SP'!$C:$AN,MID(Y$1,1,2),FALSE)</f>
        <v>0</v>
      </c>
      <c r="Z1601" s="55">
        <f>VLOOKUP($E1601,'NI-Soc_SP'!$C:$AN,MID(Z$1,1,2),FALSE)</f>
        <v>0</v>
      </c>
      <c r="AA1601" s="55">
        <f>VLOOKUP($E1601,'NI-Soc_SP'!$C:$AN,MID(AA$1,1,2),FALSE)</f>
        <v>0</v>
      </c>
      <c r="AB1601" s="55">
        <f>VLOOKUP($E1601,'NI-Soc_SP'!$C:$AN,MID(AB$1,1,2),FALSE)</f>
        <v>0</v>
      </c>
      <c r="AC1601" s="55">
        <f>VLOOKUP($E1601,'NI-Soc_SP'!$C:$AN,MID(AC$1,1,2),FALSE)</f>
        <v>0</v>
      </c>
      <c r="AD1601" s="55">
        <f>VLOOKUP($E1601,'NI-Soc_SP'!$C:$AN,MID(AD$1,1,2),FALSE)</f>
        <v>0</v>
      </c>
      <c r="AE1601" s="55">
        <f>VLOOKUP($E1601,'NI-Soc_SP'!$C:$AN,MID(AE$1,1,2),FALSE)</f>
        <v>0</v>
      </c>
      <c r="AF1601" s="55">
        <f>VLOOKUP($E1601,'NI-Soc_SP'!$C:$AN,MID(AF$1,1,2),FALSE)</f>
        <v>0</v>
      </c>
      <c r="AG1601" s="55">
        <f>VLOOKUP($E1601,'NI-Soc_SP'!$C:$AN,MID(AG$1,1,2),FALSE)</f>
        <v>0</v>
      </c>
      <c r="AH1601" s="55">
        <f>VLOOKUP($E1601,'NI-Soc_SP'!$C:$AN,MID(AH$1,1,2),FALSE)</f>
        <v>0</v>
      </c>
      <c r="AI1601" s="55">
        <f>VLOOKUP($E1601,'NI-Soc_SP'!$C:$AN,MID(AI$1,1,2),FALSE)</f>
        <v>0</v>
      </c>
      <c r="AJ1601" s="55">
        <f>VLOOKUP($E1601,'NI-Soc_SP'!$C:$AN,MID(AJ$1,1,2),FALSE)</f>
        <v>0</v>
      </c>
      <c r="AK1601" s="55">
        <f>VLOOKUP($E1601,'NI-Soc_SP'!$C:$AN,MID(AK$1,1,2),FALSE)</f>
        <v>0</v>
      </c>
      <c r="AL1601" s="55">
        <f>VLOOKUP($E1601,'NI-Soc_SP'!$C:$AN,MID(AL$1,1,2),FALSE)</f>
        <v>0</v>
      </c>
      <c r="AM1601" s="56">
        <f>VLOOKUP($E1601,'NI-Soc_SP'!$C:$AN,MID(AM$1,1,2),FALSE)</f>
        <v>0</v>
      </c>
      <c r="AN1601" s="30" t="str">
        <f t="shared" si="24"/>
        <v>10203020020010</v>
      </c>
    </row>
    <row r="1602" spans="3:40" x14ac:dyDescent="0.25">
      <c r="C1602" s="40"/>
      <c r="D1602" s="121" t="s">
        <v>623</v>
      </c>
      <c r="E1602" s="121" t="s">
        <v>624</v>
      </c>
      <c r="F1602" s="122" t="s">
        <v>2758</v>
      </c>
      <c r="G1602" s="52"/>
      <c r="H1602" s="52"/>
      <c r="I1602" s="52"/>
      <c r="J1602" s="52"/>
      <c r="K1602" s="59" t="s">
        <v>79</v>
      </c>
      <c r="L1602" s="52"/>
      <c r="M1602" s="52"/>
      <c r="N1602" s="52"/>
      <c r="O1602" s="52"/>
      <c r="P1602" s="63" t="s">
        <v>625</v>
      </c>
      <c r="Q1602" s="55">
        <f>VLOOKUP(E1602,'NI-Soc_SP'!$C:$AN,12,FALSE)</f>
        <v>0</v>
      </c>
      <c r="R1602" s="55">
        <f>VLOOKUP(E1602,'NI-Soc_SP'!$C:$AN,13,FALSE)</f>
        <v>0</v>
      </c>
      <c r="S1602" s="55"/>
      <c r="T1602" s="55"/>
      <c r="U1602" s="55">
        <f>VLOOKUP($E1602,'NI-Soc_SP'!$C:$AN,MID(U$1,1,2),FALSE)</f>
        <v>0</v>
      </c>
      <c r="V1602" s="55">
        <f>VLOOKUP($E1602,'NI-Soc_SP'!$C:$AN,MID(V$1,1,2),FALSE)</f>
        <v>0</v>
      </c>
      <c r="W1602" s="55">
        <f>VLOOKUP($E1602,'NI-Soc_SP'!$C:$AN,MID(W$1,1,2),FALSE)</f>
        <v>0</v>
      </c>
      <c r="X1602" s="55">
        <f>VLOOKUP($E1602,'NI-Soc_SP'!$C:$AN,MID(X$1,1,2),FALSE)</f>
        <v>0</v>
      </c>
      <c r="Y1602" s="55">
        <f>VLOOKUP($E1602,'NI-Soc_SP'!$C:$AN,MID(Y$1,1,2),FALSE)</f>
        <v>0</v>
      </c>
      <c r="Z1602" s="55">
        <f>VLOOKUP($E1602,'NI-Soc_SP'!$C:$AN,MID(Z$1,1,2),FALSE)</f>
        <v>0</v>
      </c>
      <c r="AA1602" s="55">
        <f>VLOOKUP($E1602,'NI-Soc_SP'!$C:$AN,MID(AA$1,1,2),FALSE)</f>
        <v>0</v>
      </c>
      <c r="AB1602" s="55">
        <f>VLOOKUP($E1602,'NI-Soc_SP'!$C:$AN,MID(AB$1,1,2),FALSE)</f>
        <v>0</v>
      </c>
      <c r="AC1602" s="55">
        <f>VLOOKUP($E1602,'NI-Soc_SP'!$C:$AN,MID(AC$1,1,2),FALSE)</f>
        <v>0</v>
      </c>
      <c r="AD1602" s="55">
        <f>VLOOKUP($E1602,'NI-Soc_SP'!$C:$AN,MID(AD$1,1,2),FALSE)</f>
        <v>0</v>
      </c>
      <c r="AE1602" s="55">
        <f>VLOOKUP($E1602,'NI-Soc_SP'!$C:$AN,MID(AE$1,1,2),FALSE)</f>
        <v>0</v>
      </c>
      <c r="AF1602" s="55">
        <f>VLOOKUP($E1602,'NI-Soc_SP'!$C:$AN,MID(AF$1,1,2),FALSE)</f>
        <v>0</v>
      </c>
      <c r="AG1602" s="55">
        <f>VLOOKUP($E1602,'NI-Soc_SP'!$C:$AN,MID(AG$1,1,2),FALSE)</f>
        <v>0</v>
      </c>
      <c r="AH1602" s="55">
        <f>VLOOKUP($E1602,'NI-Soc_SP'!$C:$AN,MID(AH$1,1,2),FALSE)</f>
        <v>0</v>
      </c>
      <c r="AI1602" s="55">
        <f>VLOOKUP($E1602,'NI-Soc_SP'!$C:$AN,MID(AI$1,1,2),FALSE)</f>
        <v>0</v>
      </c>
      <c r="AJ1602" s="55">
        <f>VLOOKUP($E1602,'NI-Soc_SP'!$C:$AN,MID(AJ$1,1,2),FALSE)</f>
        <v>0</v>
      </c>
      <c r="AK1602" s="55">
        <f>VLOOKUP($E1602,'NI-Soc_SP'!$C:$AN,MID(AK$1,1,2),FALSE)</f>
        <v>0</v>
      </c>
      <c r="AL1602" s="55">
        <f>VLOOKUP($E1602,'NI-Soc_SP'!$C:$AN,MID(AL$1,1,2),FALSE)</f>
        <v>0</v>
      </c>
      <c r="AM1602" s="56">
        <f>VLOOKUP($E1602,'NI-Soc_SP'!$C:$AN,MID(AM$1,1,2),FALSE)</f>
        <v>0</v>
      </c>
      <c r="AN1602" s="30" t="str">
        <f t="shared" ref="AN1602:AN1665" si="25">D1602</f>
        <v>10203020020020</v>
      </c>
    </row>
    <row r="1603" spans="3:40" x14ac:dyDescent="0.25">
      <c r="C1603" s="40"/>
      <c r="D1603" s="121" t="s">
        <v>626</v>
      </c>
      <c r="E1603" s="121" t="s">
        <v>627</v>
      </c>
      <c r="F1603" s="122" t="s">
        <v>2758</v>
      </c>
      <c r="G1603" s="52"/>
      <c r="H1603" s="52"/>
      <c r="I1603" s="52"/>
      <c r="J1603" s="52"/>
      <c r="K1603" s="59" t="s">
        <v>79</v>
      </c>
      <c r="L1603" s="52"/>
      <c r="M1603" s="52"/>
      <c r="N1603" s="52"/>
      <c r="O1603" s="52"/>
      <c r="P1603" s="63" t="s">
        <v>628</v>
      </c>
      <c r="Q1603" s="55">
        <f>VLOOKUP(E1603,'NI-Soc_SP'!$C:$AN,12,FALSE)</f>
        <v>0</v>
      </c>
      <c r="R1603" s="55">
        <f>VLOOKUP(E1603,'NI-Soc_SP'!$C:$AN,13,FALSE)</f>
        <v>0</v>
      </c>
      <c r="S1603" s="55"/>
      <c r="T1603" s="55"/>
      <c r="U1603" s="55">
        <f>VLOOKUP($E1603,'NI-Soc_SP'!$C:$AN,MID(U$1,1,2),FALSE)</f>
        <v>0</v>
      </c>
      <c r="V1603" s="55">
        <f>VLOOKUP($E1603,'NI-Soc_SP'!$C:$AN,MID(V$1,1,2),FALSE)</f>
        <v>0</v>
      </c>
      <c r="W1603" s="55">
        <f>VLOOKUP($E1603,'NI-Soc_SP'!$C:$AN,MID(W$1,1,2),FALSE)</f>
        <v>0</v>
      </c>
      <c r="X1603" s="55">
        <f>VLOOKUP($E1603,'NI-Soc_SP'!$C:$AN,MID(X$1,1,2),FALSE)</f>
        <v>0</v>
      </c>
      <c r="Y1603" s="55">
        <f>VLOOKUP($E1603,'NI-Soc_SP'!$C:$AN,MID(Y$1,1,2),FALSE)</f>
        <v>0</v>
      </c>
      <c r="Z1603" s="55">
        <f>VLOOKUP($E1603,'NI-Soc_SP'!$C:$AN,MID(Z$1,1,2),FALSE)</f>
        <v>0</v>
      </c>
      <c r="AA1603" s="55">
        <f>VLOOKUP($E1603,'NI-Soc_SP'!$C:$AN,MID(AA$1,1,2),FALSE)</f>
        <v>0</v>
      </c>
      <c r="AB1603" s="55">
        <f>VLOOKUP($E1603,'NI-Soc_SP'!$C:$AN,MID(AB$1,1,2),FALSE)</f>
        <v>0</v>
      </c>
      <c r="AC1603" s="55">
        <f>VLOOKUP($E1603,'NI-Soc_SP'!$C:$AN,MID(AC$1,1,2),FALSE)</f>
        <v>0</v>
      </c>
      <c r="AD1603" s="55">
        <f>VLOOKUP($E1603,'NI-Soc_SP'!$C:$AN,MID(AD$1,1,2),FALSE)</f>
        <v>0</v>
      </c>
      <c r="AE1603" s="55">
        <f>VLOOKUP($E1603,'NI-Soc_SP'!$C:$AN,MID(AE$1,1,2),FALSE)</f>
        <v>0</v>
      </c>
      <c r="AF1603" s="55">
        <f>VLOOKUP($E1603,'NI-Soc_SP'!$C:$AN,MID(AF$1,1,2),FALSE)</f>
        <v>0</v>
      </c>
      <c r="AG1603" s="55">
        <f>VLOOKUP($E1603,'NI-Soc_SP'!$C:$AN,MID(AG$1,1,2),FALSE)</f>
        <v>0</v>
      </c>
      <c r="AH1603" s="55">
        <f>VLOOKUP($E1603,'NI-Soc_SP'!$C:$AN,MID(AH$1,1,2),FALSE)</f>
        <v>0</v>
      </c>
      <c r="AI1603" s="55">
        <f>VLOOKUP($E1603,'NI-Soc_SP'!$C:$AN,MID(AI$1,1,2),FALSE)</f>
        <v>0</v>
      </c>
      <c r="AJ1603" s="55">
        <f>VLOOKUP($E1603,'NI-Soc_SP'!$C:$AN,MID(AJ$1,1,2),FALSE)</f>
        <v>0</v>
      </c>
      <c r="AK1603" s="55">
        <f>VLOOKUP($E1603,'NI-Soc_SP'!$C:$AN,MID(AK$1,1,2),FALSE)</f>
        <v>0</v>
      </c>
      <c r="AL1603" s="55">
        <f>VLOOKUP($E1603,'NI-Soc_SP'!$C:$AN,MID(AL$1,1,2),FALSE)</f>
        <v>0</v>
      </c>
      <c r="AM1603" s="56">
        <f>VLOOKUP($E1603,'NI-Soc_SP'!$C:$AN,MID(AM$1,1,2),FALSE)</f>
        <v>0</v>
      </c>
      <c r="AN1603" s="30" t="str">
        <f t="shared" si="25"/>
        <v>10203020030010</v>
      </c>
    </row>
    <row r="1604" spans="3:40" x14ac:dyDescent="0.25">
      <c r="C1604" s="40"/>
      <c r="D1604" s="121" t="s">
        <v>629</v>
      </c>
      <c r="E1604" s="121" t="s">
        <v>630</v>
      </c>
      <c r="F1604" s="122" t="s">
        <v>2758</v>
      </c>
      <c r="G1604" s="52"/>
      <c r="H1604" s="52"/>
      <c r="I1604" s="52"/>
      <c r="J1604" s="52"/>
      <c r="K1604" s="59" t="s">
        <v>79</v>
      </c>
      <c r="L1604" s="52"/>
      <c r="M1604" s="52"/>
      <c r="N1604" s="52"/>
      <c r="O1604" s="52"/>
      <c r="P1604" s="63" t="s">
        <v>631</v>
      </c>
      <c r="Q1604" s="55">
        <f>VLOOKUP(E1604,'NI-Soc_SP'!$C:$AN,12,FALSE)</f>
        <v>0</v>
      </c>
      <c r="R1604" s="55">
        <f>VLOOKUP(E1604,'NI-Soc_SP'!$C:$AN,13,FALSE)</f>
        <v>0</v>
      </c>
      <c r="S1604" s="55"/>
      <c r="T1604" s="55"/>
      <c r="U1604" s="55">
        <f>VLOOKUP($E1604,'NI-Soc_SP'!$C:$AN,MID(U$1,1,2),FALSE)</f>
        <v>0</v>
      </c>
      <c r="V1604" s="55">
        <f>VLOOKUP($E1604,'NI-Soc_SP'!$C:$AN,MID(V$1,1,2),FALSE)</f>
        <v>0</v>
      </c>
      <c r="W1604" s="55">
        <f>VLOOKUP($E1604,'NI-Soc_SP'!$C:$AN,MID(W$1,1,2),FALSE)</f>
        <v>0</v>
      </c>
      <c r="X1604" s="55">
        <f>VLOOKUP($E1604,'NI-Soc_SP'!$C:$AN,MID(X$1,1,2),FALSE)</f>
        <v>0</v>
      </c>
      <c r="Y1604" s="55">
        <f>VLOOKUP($E1604,'NI-Soc_SP'!$C:$AN,MID(Y$1,1,2),FALSE)</f>
        <v>0</v>
      </c>
      <c r="Z1604" s="55">
        <f>VLOOKUP($E1604,'NI-Soc_SP'!$C:$AN,MID(Z$1,1,2),FALSE)</f>
        <v>0</v>
      </c>
      <c r="AA1604" s="55">
        <f>VLOOKUP($E1604,'NI-Soc_SP'!$C:$AN,MID(AA$1,1,2),FALSE)</f>
        <v>0</v>
      </c>
      <c r="AB1604" s="55">
        <f>VLOOKUP($E1604,'NI-Soc_SP'!$C:$AN,MID(AB$1,1,2),FALSE)</f>
        <v>0</v>
      </c>
      <c r="AC1604" s="55">
        <f>VLOOKUP($E1604,'NI-Soc_SP'!$C:$AN,MID(AC$1,1,2),FALSE)</f>
        <v>0</v>
      </c>
      <c r="AD1604" s="55">
        <f>VLOOKUP($E1604,'NI-Soc_SP'!$C:$AN,MID(AD$1,1,2),FALSE)</f>
        <v>0</v>
      </c>
      <c r="AE1604" s="55">
        <f>VLOOKUP($E1604,'NI-Soc_SP'!$C:$AN,MID(AE$1,1,2),FALSE)</f>
        <v>0</v>
      </c>
      <c r="AF1604" s="55">
        <f>VLOOKUP($E1604,'NI-Soc_SP'!$C:$AN,MID(AF$1,1,2),FALSE)</f>
        <v>0</v>
      </c>
      <c r="AG1604" s="55">
        <f>VLOOKUP($E1604,'NI-Soc_SP'!$C:$AN,MID(AG$1,1,2),FALSE)</f>
        <v>0</v>
      </c>
      <c r="AH1604" s="55">
        <f>VLOOKUP($E1604,'NI-Soc_SP'!$C:$AN,MID(AH$1,1,2),FALSE)</f>
        <v>0</v>
      </c>
      <c r="AI1604" s="55">
        <f>VLOOKUP($E1604,'NI-Soc_SP'!$C:$AN,MID(AI$1,1,2),FALSE)</f>
        <v>0</v>
      </c>
      <c r="AJ1604" s="55">
        <f>VLOOKUP($E1604,'NI-Soc_SP'!$C:$AN,MID(AJ$1,1,2),FALSE)</f>
        <v>0</v>
      </c>
      <c r="AK1604" s="55">
        <f>VLOOKUP($E1604,'NI-Soc_SP'!$C:$AN,MID(AK$1,1,2),FALSE)</f>
        <v>0</v>
      </c>
      <c r="AL1604" s="55">
        <f>VLOOKUP($E1604,'NI-Soc_SP'!$C:$AN,MID(AL$1,1,2),FALSE)</f>
        <v>0</v>
      </c>
      <c r="AM1604" s="56">
        <f>VLOOKUP($E1604,'NI-Soc_SP'!$C:$AN,MID(AM$1,1,2),FALSE)</f>
        <v>0</v>
      </c>
      <c r="AN1604" s="30" t="str">
        <f t="shared" si="25"/>
        <v>10203020030020</v>
      </c>
    </row>
    <row r="1605" spans="3:40" x14ac:dyDescent="0.25">
      <c r="C1605" s="40"/>
      <c r="D1605" s="121" t="s">
        <v>632</v>
      </c>
      <c r="E1605" s="121" t="s">
        <v>633</v>
      </c>
      <c r="F1605" s="122" t="s">
        <v>2758</v>
      </c>
      <c r="G1605" s="52"/>
      <c r="H1605" s="52"/>
      <c r="I1605" s="52"/>
      <c r="J1605" s="52"/>
      <c r="K1605" s="59" t="s">
        <v>79</v>
      </c>
      <c r="L1605" s="52"/>
      <c r="M1605" s="52"/>
      <c r="N1605" s="52"/>
      <c r="O1605" s="52"/>
      <c r="P1605" s="63" t="s">
        <v>634</v>
      </c>
      <c r="Q1605" s="55">
        <f>VLOOKUP(E1605,'NI-Soc_SP'!$C:$AN,12,FALSE)</f>
        <v>0</v>
      </c>
      <c r="R1605" s="55">
        <f>VLOOKUP(E1605,'NI-Soc_SP'!$C:$AN,13,FALSE)</f>
        <v>0</v>
      </c>
      <c r="S1605" s="55"/>
      <c r="T1605" s="55"/>
      <c r="U1605" s="55">
        <f>VLOOKUP($E1605,'NI-Soc_SP'!$C:$AN,MID(U$1,1,2),FALSE)</f>
        <v>0</v>
      </c>
      <c r="V1605" s="55">
        <f>VLOOKUP($E1605,'NI-Soc_SP'!$C:$AN,MID(V$1,1,2),FALSE)</f>
        <v>0</v>
      </c>
      <c r="W1605" s="55">
        <f>VLOOKUP($E1605,'NI-Soc_SP'!$C:$AN,MID(W$1,1,2),FALSE)</f>
        <v>0</v>
      </c>
      <c r="X1605" s="55">
        <f>VLOOKUP($E1605,'NI-Soc_SP'!$C:$AN,MID(X$1,1,2),FALSE)</f>
        <v>0</v>
      </c>
      <c r="Y1605" s="55">
        <f>VLOOKUP($E1605,'NI-Soc_SP'!$C:$AN,MID(Y$1,1,2),FALSE)</f>
        <v>0</v>
      </c>
      <c r="Z1605" s="55">
        <f>VLOOKUP($E1605,'NI-Soc_SP'!$C:$AN,MID(Z$1,1,2),FALSE)</f>
        <v>0</v>
      </c>
      <c r="AA1605" s="55">
        <f>VLOOKUP($E1605,'NI-Soc_SP'!$C:$AN,MID(AA$1,1,2),FALSE)</f>
        <v>0</v>
      </c>
      <c r="AB1605" s="55">
        <f>VLOOKUP($E1605,'NI-Soc_SP'!$C:$AN,MID(AB$1,1,2),FALSE)</f>
        <v>0</v>
      </c>
      <c r="AC1605" s="55">
        <f>VLOOKUP($E1605,'NI-Soc_SP'!$C:$AN,MID(AC$1,1,2),FALSE)</f>
        <v>0</v>
      </c>
      <c r="AD1605" s="55">
        <f>VLOOKUP($E1605,'NI-Soc_SP'!$C:$AN,MID(AD$1,1,2),FALSE)</f>
        <v>0</v>
      </c>
      <c r="AE1605" s="55">
        <f>VLOOKUP($E1605,'NI-Soc_SP'!$C:$AN,MID(AE$1,1,2),FALSE)</f>
        <v>0</v>
      </c>
      <c r="AF1605" s="55">
        <f>VLOOKUP($E1605,'NI-Soc_SP'!$C:$AN,MID(AF$1,1,2),FALSE)</f>
        <v>0</v>
      </c>
      <c r="AG1605" s="55">
        <f>VLOOKUP($E1605,'NI-Soc_SP'!$C:$AN,MID(AG$1,1,2),FALSE)</f>
        <v>0</v>
      </c>
      <c r="AH1605" s="55">
        <f>VLOOKUP($E1605,'NI-Soc_SP'!$C:$AN,MID(AH$1,1,2),FALSE)</f>
        <v>0</v>
      </c>
      <c r="AI1605" s="55">
        <f>VLOOKUP($E1605,'NI-Soc_SP'!$C:$AN,MID(AI$1,1,2),FALSE)</f>
        <v>0</v>
      </c>
      <c r="AJ1605" s="55">
        <f>VLOOKUP($E1605,'NI-Soc_SP'!$C:$AN,MID(AJ$1,1,2),FALSE)</f>
        <v>0</v>
      </c>
      <c r="AK1605" s="55">
        <f>VLOOKUP($E1605,'NI-Soc_SP'!$C:$AN,MID(AK$1,1,2),FALSE)</f>
        <v>0</v>
      </c>
      <c r="AL1605" s="55">
        <f>VLOOKUP($E1605,'NI-Soc_SP'!$C:$AN,MID(AL$1,1,2),FALSE)</f>
        <v>0</v>
      </c>
      <c r="AM1605" s="56">
        <f>VLOOKUP($E1605,'NI-Soc_SP'!$C:$AN,MID(AM$1,1,2),FALSE)</f>
        <v>0</v>
      </c>
      <c r="AN1605" s="30" t="str">
        <f t="shared" si="25"/>
        <v>10203020040010</v>
      </c>
    </row>
    <row r="1606" spans="3:40" x14ac:dyDescent="0.25">
      <c r="C1606" s="40"/>
      <c r="D1606" s="121" t="s">
        <v>635</v>
      </c>
      <c r="E1606" s="121" t="s">
        <v>636</v>
      </c>
      <c r="F1606" s="122" t="s">
        <v>2758</v>
      </c>
      <c r="G1606" s="52"/>
      <c r="H1606" s="52"/>
      <c r="I1606" s="52"/>
      <c r="J1606" s="52"/>
      <c r="K1606" s="59" t="s">
        <v>79</v>
      </c>
      <c r="L1606" s="52"/>
      <c r="M1606" s="52"/>
      <c r="N1606" s="52"/>
      <c r="O1606" s="52"/>
      <c r="P1606" s="63" t="s">
        <v>637</v>
      </c>
      <c r="Q1606" s="55">
        <f>VLOOKUP(E1606,'NI-Soc_SP'!$C:$AN,12,FALSE)</f>
        <v>0</v>
      </c>
      <c r="R1606" s="55">
        <f>VLOOKUP(E1606,'NI-Soc_SP'!$C:$AN,13,FALSE)</f>
        <v>0</v>
      </c>
      <c r="S1606" s="55"/>
      <c r="T1606" s="55"/>
      <c r="U1606" s="55">
        <f>VLOOKUP($E1606,'NI-Soc_SP'!$C:$AN,MID(U$1,1,2),FALSE)</f>
        <v>0</v>
      </c>
      <c r="V1606" s="55">
        <f>VLOOKUP($E1606,'NI-Soc_SP'!$C:$AN,MID(V$1,1,2),FALSE)</f>
        <v>0</v>
      </c>
      <c r="W1606" s="55">
        <f>VLOOKUP($E1606,'NI-Soc_SP'!$C:$AN,MID(W$1,1,2),FALSE)</f>
        <v>0</v>
      </c>
      <c r="X1606" s="55">
        <f>VLOOKUP($E1606,'NI-Soc_SP'!$C:$AN,MID(X$1,1,2),FALSE)</f>
        <v>0</v>
      </c>
      <c r="Y1606" s="55">
        <f>VLOOKUP($E1606,'NI-Soc_SP'!$C:$AN,MID(Y$1,1,2),FALSE)</f>
        <v>0</v>
      </c>
      <c r="Z1606" s="55">
        <f>VLOOKUP($E1606,'NI-Soc_SP'!$C:$AN,MID(Z$1,1,2),FALSE)</f>
        <v>0</v>
      </c>
      <c r="AA1606" s="55">
        <f>VLOOKUP($E1606,'NI-Soc_SP'!$C:$AN,MID(AA$1,1,2),FALSE)</f>
        <v>0</v>
      </c>
      <c r="AB1606" s="55">
        <f>VLOOKUP($E1606,'NI-Soc_SP'!$C:$AN,MID(AB$1,1,2),FALSE)</f>
        <v>0</v>
      </c>
      <c r="AC1606" s="55">
        <f>VLOOKUP($E1606,'NI-Soc_SP'!$C:$AN,MID(AC$1,1,2),FALSE)</f>
        <v>0</v>
      </c>
      <c r="AD1606" s="55">
        <f>VLOOKUP($E1606,'NI-Soc_SP'!$C:$AN,MID(AD$1,1,2),FALSE)</f>
        <v>0</v>
      </c>
      <c r="AE1606" s="55">
        <f>VLOOKUP($E1606,'NI-Soc_SP'!$C:$AN,MID(AE$1,1,2),FALSE)</f>
        <v>0</v>
      </c>
      <c r="AF1606" s="55">
        <f>VLOOKUP($E1606,'NI-Soc_SP'!$C:$AN,MID(AF$1,1,2),FALSE)</f>
        <v>0</v>
      </c>
      <c r="AG1606" s="55">
        <f>VLOOKUP($E1606,'NI-Soc_SP'!$C:$AN,MID(AG$1,1,2),FALSE)</f>
        <v>0</v>
      </c>
      <c r="AH1606" s="55">
        <f>VLOOKUP($E1606,'NI-Soc_SP'!$C:$AN,MID(AH$1,1,2),FALSE)</f>
        <v>0</v>
      </c>
      <c r="AI1606" s="55">
        <f>VLOOKUP($E1606,'NI-Soc_SP'!$C:$AN,MID(AI$1,1,2),FALSE)</f>
        <v>0</v>
      </c>
      <c r="AJ1606" s="55">
        <f>VLOOKUP($E1606,'NI-Soc_SP'!$C:$AN,MID(AJ$1,1,2),FALSE)</f>
        <v>0</v>
      </c>
      <c r="AK1606" s="55">
        <f>VLOOKUP($E1606,'NI-Soc_SP'!$C:$AN,MID(AK$1,1,2),FALSE)</f>
        <v>0</v>
      </c>
      <c r="AL1606" s="55">
        <f>VLOOKUP($E1606,'NI-Soc_SP'!$C:$AN,MID(AL$1,1,2),FALSE)</f>
        <v>0</v>
      </c>
      <c r="AM1606" s="56">
        <f>VLOOKUP($E1606,'NI-Soc_SP'!$C:$AN,MID(AM$1,1,2),FALSE)</f>
        <v>0</v>
      </c>
      <c r="AN1606" s="30" t="str">
        <f t="shared" si="25"/>
        <v>10203020040020</v>
      </c>
    </row>
    <row r="1607" spans="3:40" x14ac:dyDescent="0.25">
      <c r="C1607" s="40"/>
      <c r="D1607" s="121" t="s">
        <v>638</v>
      </c>
      <c r="E1607" s="121" t="s">
        <v>639</v>
      </c>
      <c r="F1607" s="122" t="s">
        <v>2758</v>
      </c>
      <c r="G1607" s="52"/>
      <c r="H1607" s="52"/>
      <c r="I1607" s="52"/>
      <c r="J1607" s="52"/>
      <c r="K1607" s="59" t="s">
        <v>79</v>
      </c>
      <c r="L1607" s="52"/>
      <c r="M1607" s="52"/>
      <c r="N1607" s="52"/>
      <c r="O1607" s="52"/>
      <c r="P1607" s="63" t="s">
        <v>640</v>
      </c>
      <c r="Q1607" s="55">
        <f>VLOOKUP(E1607,'NI-Soc_SP'!$C:$AN,12,FALSE)</f>
        <v>0</v>
      </c>
      <c r="R1607" s="55">
        <f>VLOOKUP(E1607,'NI-Soc_SP'!$C:$AN,13,FALSE)</f>
        <v>0</v>
      </c>
      <c r="S1607" s="55"/>
      <c r="T1607" s="55"/>
      <c r="U1607" s="55">
        <f>VLOOKUP($E1607,'NI-Soc_SP'!$C:$AN,MID(U$1,1,2),FALSE)</f>
        <v>0</v>
      </c>
      <c r="V1607" s="55">
        <f>VLOOKUP($E1607,'NI-Soc_SP'!$C:$AN,MID(V$1,1,2),FALSE)</f>
        <v>0</v>
      </c>
      <c r="W1607" s="55">
        <f>VLOOKUP($E1607,'NI-Soc_SP'!$C:$AN,MID(W$1,1,2),FALSE)</f>
        <v>0</v>
      </c>
      <c r="X1607" s="55">
        <f>VLOOKUP($E1607,'NI-Soc_SP'!$C:$AN,MID(X$1,1,2),FALSE)</f>
        <v>0</v>
      </c>
      <c r="Y1607" s="55">
        <f>VLOOKUP($E1607,'NI-Soc_SP'!$C:$AN,MID(Y$1,1,2),FALSE)</f>
        <v>0</v>
      </c>
      <c r="Z1607" s="55">
        <f>VLOOKUP($E1607,'NI-Soc_SP'!$C:$AN,MID(Z$1,1,2),FALSE)</f>
        <v>0</v>
      </c>
      <c r="AA1607" s="55">
        <f>VLOOKUP($E1607,'NI-Soc_SP'!$C:$AN,MID(AA$1,1,2),FALSE)</f>
        <v>0</v>
      </c>
      <c r="AB1607" s="55">
        <f>VLOOKUP($E1607,'NI-Soc_SP'!$C:$AN,MID(AB$1,1,2),FALSE)</f>
        <v>0</v>
      </c>
      <c r="AC1607" s="55">
        <f>VLOOKUP($E1607,'NI-Soc_SP'!$C:$AN,MID(AC$1,1,2),FALSE)</f>
        <v>0</v>
      </c>
      <c r="AD1607" s="55">
        <f>VLOOKUP($E1607,'NI-Soc_SP'!$C:$AN,MID(AD$1,1,2),FALSE)</f>
        <v>0</v>
      </c>
      <c r="AE1607" s="55">
        <f>VLOOKUP($E1607,'NI-Soc_SP'!$C:$AN,MID(AE$1,1,2),FALSE)</f>
        <v>0</v>
      </c>
      <c r="AF1607" s="55">
        <f>VLOOKUP($E1607,'NI-Soc_SP'!$C:$AN,MID(AF$1,1,2),FALSE)</f>
        <v>0</v>
      </c>
      <c r="AG1607" s="55">
        <f>VLOOKUP($E1607,'NI-Soc_SP'!$C:$AN,MID(AG$1,1,2),FALSE)</f>
        <v>0</v>
      </c>
      <c r="AH1607" s="55">
        <f>VLOOKUP($E1607,'NI-Soc_SP'!$C:$AN,MID(AH$1,1,2),FALSE)</f>
        <v>0</v>
      </c>
      <c r="AI1607" s="55">
        <f>VLOOKUP($E1607,'NI-Soc_SP'!$C:$AN,MID(AI$1,1,2),FALSE)</f>
        <v>0</v>
      </c>
      <c r="AJ1607" s="55">
        <f>VLOOKUP($E1607,'NI-Soc_SP'!$C:$AN,MID(AJ$1,1,2),FALSE)</f>
        <v>0</v>
      </c>
      <c r="AK1607" s="55">
        <f>VLOOKUP($E1607,'NI-Soc_SP'!$C:$AN,MID(AK$1,1,2),FALSE)</f>
        <v>0</v>
      </c>
      <c r="AL1607" s="55">
        <f>VLOOKUP($E1607,'NI-Soc_SP'!$C:$AN,MID(AL$1,1,2),FALSE)</f>
        <v>0</v>
      </c>
      <c r="AM1607" s="56">
        <f>VLOOKUP($E1607,'NI-Soc_SP'!$C:$AN,MID(AM$1,1,2),FALSE)</f>
        <v>0</v>
      </c>
      <c r="AN1607" s="30" t="str">
        <f t="shared" si="25"/>
        <v>10203020050010</v>
      </c>
    </row>
    <row r="1608" spans="3:40" x14ac:dyDescent="0.25">
      <c r="C1608" s="40"/>
      <c r="D1608" s="121" t="s">
        <v>641</v>
      </c>
      <c r="E1608" s="121" t="s">
        <v>642</v>
      </c>
      <c r="F1608" s="122" t="s">
        <v>2758</v>
      </c>
      <c r="G1608" s="52"/>
      <c r="H1608" s="52"/>
      <c r="I1608" s="52"/>
      <c r="J1608" s="52"/>
      <c r="K1608" s="59" t="s">
        <v>79</v>
      </c>
      <c r="L1608" s="52"/>
      <c r="M1608" s="52"/>
      <c r="N1608" s="52"/>
      <c r="O1608" s="52"/>
      <c r="P1608" s="63" t="s">
        <v>643</v>
      </c>
      <c r="Q1608" s="55">
        <f>VLOOKUP(E1608,'NI-Soc_SP'!$C:$AN,12,FALSE)</f>
        <v>0</v>
      </c>
      <c r="R1608" s="55">
        <f>VLOOKUP(E1608,'NI-Soc_SP'!$C:$AN,13,FALSE)</f>
        <v>0</v>
      </c>
      <c r="S1608" s="55"/>
      <c r="T1608" s="55"/>
      <c r="U1608" s="55">
        <f>VLOOKUP($E1608,'NI-Soc_SP'!$C:$AN,MID(U$1,1,2),FALSE)</f>
        <v>0</v>
      </c>
      <c r="V1608" s="55">
        <f>VLOOKUP($E1608,'NI-Soc_SP'!$C:$AN,MID(V$1,1,2),FALSE)</f>
        <v>0</v>
      </c>
      <c r="W1608" s="55">
        <f>VLOOKUP($E1608,'NI-Soc_SP'!$C:$AN,MID(W$1,1,2),FALSE)</f>
        <v>0</v>
      </c>
      <c r="X1608" s="55">
        <f>VLOOKUP($E1608,'NI-Soc_SP'!$C:$AN,MID(X$1,1,2),FALSE)</f>
        <v>0</v>
      </c>
      <c r="Y1608" s="55">
        <f>VLOOKUP($E1608,'NI-Soc_SP'!$C:$AN,MID(Y$1,1,2),FALSE)</f>
        <v>0</v>
      </c>
      <c r="Z1608" s="55">
        <f>VLOOKUP($E1608,'NI-Soc_SP'!$C:$AN,MID(Z$1,1,2),FALSE)</f>
        <v>0</v>
      </c>
      <c r="AA1608" s="55">
        <f>VLOOKUP($E1608,'NI-Soc_SP'!$C:$AN,MID(AA$1,1,2),FALSE)</f>
        <v>0</v>
      </c>
      <c r="AB1608" s="55">
        <f>VLOOKUP($E1608,'NI-Soc_SP'!$C:$AN,MID(AB$1,1,2),FALSE)</f>
        <v>0</v>
      </c>
      <c r="AC1608" s="55">
        <f>VLOOKUP($E1608,'NI-Soc_SP'!$C:$AN,MID(AC$1,1,2),FALSE)</f>
        <v>0</v>
      </c>
      <c r="AD1608" s="55">
        <f>VLOOKUP($E1608,'NI-Soc_SP'!$C:$AN,MID(AD$1,1,2),FALSE)</f>
        <v>0</v>
      </c>
      <c r="AE1608" s="55">
        <f>VLOOKUP($E1608,'NI-Soc_SP'!$C:$AN,MID(AE$1,1,2),FALSE)</f>
        <v>0</v>
      </c>
      <c r="AF1608" s="55">
        <f>VLOOKUP($E1608,'NI-Soc_SP'!$C:$AN,MID(AF$1,1,2),FALSE)</f>
        <v>0</v>
      </c>
      <c r="AG1608" s="55">
        <f>VLOOKUP($E1608,'NI-Soc_SP'!$C:$AN,MID(AG$1,1,2),FALSE)</f>
        <v>0</v>
      </c>
      <c r="AH1608" s="55">
        <f>VLOOKUP($E1608,'NI-Soc_SP'!$C:$AN,MID(AH$1,1,2),FALSE)</f>
        <v>0</v>
      </c>
      <c r="AI1608" s="55">
        <f>VLOOKUP($E1608,'NI-Soc_SP'!$C:$AN,MID(AI$1,1,2),FALSE)</f>
        <v>0</v>
      </c>
      <c r="AJ1608" s="55">
        <f>VLOOKUP($E1608,'NI-Soc_SP'!$C:$AN,MID(AJ$1,1,2),FALSE)</f>
        <v>0</v>
      </c>
      <c r="AK1608" s="55">
        <f>VLOOKUP($E1608,'NI-Soc_SP'!$C:$AN,MID(AK$1,1,2),FALSE)</f>
        <v>0</v>
      </c>
      <c r="AL1608" s="55">
        <f>VLOOKUP($E1608,'NI-Soc_SP'!$C:$AN,MID(AL$1,1,2),FALSE)</f>
        <v>0</v>
      </c>
      <c r="AM1608" s="56">
        <f>VLOOKUP($E1608,'NI-Soc_SP'!$C:$AN,MID(AM$1,1,2),FALSE)</f>
        <v>0</v>
      </c>
      <c r="AN1608" s="30" t="str">
        <f t="shared" si="25"/>
        <v>10203020050020</v>
      </c>
    </row>
    <row r="1609" spans="3:40" x14ac:dyDescent="0.25">
      <c r="C1609" s="40"/>
      <c r="D1609" s="121" t="s">
        <v>644</v>
      </c>
      <c r="E1609" s="121" t="s">
        <v>645</v>
      </c>
      <c r="F1609" s="122" t="s">
        <v>2758</v>
      </c>
      <c r="G1609" s="52"/>
      <c r="H1609" s="52"/>
      <c r="I1609" s="52"/>
      <c r="J1609" s="52"/>
      <c r="K1609" s="59" t="s">
        <v>79</v>
      </c>
      <c r="L1609" s="52"/>
      <c r="M1609" s="52"/>
      <c r="N1609" s="52"/>
      <c r="O1609" s="52"/>
      <c r="P1609" s="63" t="s">
        <v>646</v>
      </c>
      <c r="Q1609" s="55">
        <f>VLOOKUP(E1609,'NI-Soc_SP'!$C:$AN,12,FALSE)</f>
        <v>0</v>
      </c>
      <c r="R1609" s="55">
        <f>VLOOKUP(E1609,'NI-Soc_SP'!$C:$AN,13,FALSE)</f>
        <v>0</v>
      </c>
      <c r="S1609" s="55"/>
      <c r="T1609" s="55"/>
      <c r="U1609" s="55">
        <f>VLOOKUP($E1609,'NI-Soc_SP'!$C:$AN,MID(U$1,1,2),FALSE)</f>
        <v>0</v>
      </c>
      <c r="V1609" s="55">
        <f>VLOOKUP($E1609,'NI-Soc_SP'!$C:$AN,MID(V$1,1,2),FALSE)</f>
        <v>0</v>
      </c>
      <c r="W1609" s="55">
        <f>VLOOKUP($E1609,'NI-Soc_SP'!$C:$AN,MID(W$1,1,2),FALSE)</f>
        <v>0</v>
      </c>
      <c r="X1609" s="55">
        <f>VLOOKUP($E1609,'NI-Soc_SP'!$C:$AN,MID(X$1,1,2),FALSE)</f>
        <v>0</v>
      </c>
      <c r="Y1609" s="55">
        <f>VLOOKUP($E1609,'NI-Soc_SP'!$C:$AN,MID(Y$1,1,2),FALSE)</f>
        <v>0</v>
      </c>
      <c r="Z1609" s="55">
        <f>VLOOKUP($E1609,'NI-Soc_SP'!$C:$AN,MID(Z$1,1,2),FALSE)</f>
        <v>0</v>
      </c>
      <c r="AA1609" s="55">
        <f>VLOOKUP($E1609,'NI-Soc_SP'!$C:$AN,MID(AA$1,1,2),FALSE)</f>
        <v>0</v>
      </c>
      <c r="AB1609" s="55">
        <f>VLOOKUP($E1609,'NI-Soc_SP'!$C:$AN,MID(AB$1,1,2),FALSE)</f>
        <v>0</v>
      </c>
      <c r="AC1609" s="55">
        <f>VLOOKUP($E1609,'NI-Soc_SP'!$C:$AN,MID(AC$1,1,2),FALSE)</f>
        <v>0</v>
      </c>
      <c r="AD1609" s="55">
        <f>VLOOKUP($E1609,'NI-Soc_SP'!$C:$AN,MID(AD$1,1,2),FALSE)</f>
        <v>0</v>
      </c>
      <c r="AE1609" s="55">
        <f>VLOOKUP($E1609,'NI-Soc_SP'!$C:$AN,MID(AE$1,1,2),FALSE)</f>
        <v>0</v>
      </c>
      <c r="AF1609" s="55">
        <f>VLOOKUP($E1609,'NI-Soc_SP'!$C:$AN,MID(AF$1,1,2),FALSE)</f>
        <v>0</v>
      </c>
      <c r="AG1609" s="55">
        <f>VLOOKUP($E1609,'NI-Soc_SP'!$C:$AN,MID(AG$1,1,2),FALSE)</f>
        <v>0</v>
      </c>
      <c r="AH1609" s="55">
        <f>VLOOKUP($E1609,'NI-Soc_SP'!$C:$AN,MID(AH$1,1,2),FALSE)</f>
        <v>0</v>
      </c>
      <c r="AI1609" s="55">
        <f>VLOOKUP($E1609,'NI-Soc_SP'!$C:$AN,MID(AI$1,1,2),FALSE)</f>
        <v>0</v>
      </c>
      <c r="AJ1609" s="55">
        <f>VLOOKUP($E1609,'NI-Soc_SP'!$C:$AN,MID(AJ$1,1,2),FALSE)</f>
        <v>0</v>
      </c>
      <c r="AK1609" s="55">
        <f>VLOOKUP($E1609,'NI-Soc_SP'!$C:$AN,MID(AK$1,1,2),FALSE)</f>
        <v>0</v>
      </c>
      <c r="AL1609" s="55">
        <f>VLOOKUP($E1609,'NI-Soc_SP'!$C:$AN,MID(AL$1,1,2),FALSE)</f>
        <v>0</v>
      </c>
      <c r="AM1609" s="56">
        <f>VLOOKUP($E1609,'NI-Soc_SP'!$C:$AN,MID(AM$1,1,2),FALSE)</f>
        <v>0</v>
      </c>
      <c r="AN1609" s="30" t="str">
        <f t="shared" si="25"/>
        <v>10203020060010</v>
      </c>
    </row>
    <row r="1610" spans="3:40" x14ac:dyDescent="0.25">
      <c r="C1610" s="40"/>
      <c r="D1610" s="121" t="s">
        <v>647</v>
      </c>
      <c r="E1610" s="121" t="s">
        <v>648</v>
      </c>
      <c r="F1610" s="122" t="s">
        <v>2758</v>
      </c>
      <c r="G1610" s="52"/>
      <c r="H1610" s="52"/>
      <c r="I1610" s="52"/>
      <c r="J1610" s="52"/>
      <c r="K1610" s="59" t="s">
        <v>79</v>
      </c>
      <c r="L1610" s="52"/>
      <c r="M1610" s="52"/>
      <c r="N1610" s="52"/>
      <c r="O1610" s="52"/>
      <c r="P1610" s="63" t="s">
        <v>649</v>
      </c>
      <c r="Q1610" s="55">
        <f>VLOOKUP(E1610,'NI-Soc_SP'!$C:$AN,12,FALSE)</f>
        <v>0</v>
      </c>
      <c r="R1610" s="55">
        <f>VLOOKUP(E1610,'NI-Soc_SP'!$C:$AN,13,FALSE)</f>
        <v>0</v>
      </c>
      <c r="S1610" s="55"/>
      <c r="T1610" s="55"/>
      <c r="U1610" s="55">
        <f>VLOOKUP($E1610,'NI-Soc_SP'!$C:$AN,MID(U$1,1,2),FALSE)</f>
        <v>0</v>
      </c>
      <c r="V1610" s="55">
        <f>VLOOKUP($E1610,'NI-Soc_SP'!$C:$AN,MID(V$1,1,2),FALSE)</f>
        <v>0</v>
      </c>
      <c r="W1610" s="55">
        <f>VLOOKUP($E1610,'NI-Soc_SP'!$C:$AN,MID(W$1,1,2),FALSE)</f>
        <v>0</v>
      </c>
      <c r="X1610" s="55">
        <f>VLOOKUP($E1610,'NI-Soc_SP'!$C:$AN,MID(X$1,1,2),FALSE)</f>
        <v>0</v>
      </c>
      <c r="Y1610" s="55">
        <f>VLOOKUP($E1610,'NI-Soc_SP'!$C:$AN,MID(Y$1,1,2),FALSE)</f>
        <v>0</v>
      </c>
      <c r="Z1610" s="55">
        <f>VLOOKUP($E1610,'NI-Soc_SP'!$C:$AN,MID(Z$1,1,2),FALSE)</f>
        <v>0</v>
      </c>
      <c r="AA1610" s="55">
        <f>VLOOKUP($E1610,'NI-Soc_SP'!$C:$AN,MID(AA$1,1,2),FALSE)</f>
        <v>0</v>
      </c>
      <c r="AB1610" s="55">
        <f>VLOOKUP($E1610,'NI-Soc_SP'!$C:$AN,MID(AB$1,1,2),FALSE)</f>
        <v>0</v>
      </c>
      <c r="AC1610" s="55">
        <f>VLOOKUP($E1610,'NI-Soc_SP'!$C:$AN,MID(AC$1,1,2),FALSE)</f>
        <v>0</v>
      </c>
      <c r="AD1610" s="55">
        <f>VLOOKUP($E1610,'NI-Soc_SP'!$C:$AN,MID(AD$1,1,2),FALSE)</f>
        <v>0</v>
      </c>
      <c r="AE1610" s="55">
        <f>VLOOKUP($E1610,'NI-Soc_SP'!$C:$AN,MID(AE$1,1,2),FALSE)</f>
        <v>0</v>
      </c>
      <c r="AF1610" s="55">
        <f>VLOOKUP($E1610,'NI-Soc_SP'!$C:$AN,MID(AF$1,1,2),FALSE)</f>
        <v>0</v>
      </c>
      <c r="AG1610" s="55">
        <f>VLOOKUP($E1610,'NI-Soc_SP'!$C:$AN,MID(AG$1,1,2),FALSE)</f>
        <v>0</v>
      </c>
      <c r="AH1610" s="55">
        <f>VLOOKUP($E1610,'NI-Soc_SP'!$C:$AN,MID(AH$1,1,2),FALSE)</f>
        <v>0</v>
      </c>
      <c r="AI1610" s="55">
        <f>VLOOKUP($E1610,'NI-Soc_SP'!$C:$AN,MID(AI$1,1,2),FALSE)</f>
        <v>0</v>
      </c>
      <c r="AJ1610" s="55">
        <f>VLOOKUP($E1610,'NI-Soc_SP'!$C:$AN,MID(AJ$1,1,2),FALSE)</f>
        <v>0</v>
      </c>
      <c r="AK1610" s="55">
        <f>VLOOKUP($E1610,'NI-Soc_SP'!$C:$AN,MID(AK$1,1,2),FALSE)</f>
        <v>0</v>
      </c>
      <c r="AL1610" s="55">
        <f>VLOOKUP($E1610,'NI-Soc_SP'!$C:$AN,MID(AL$1,1,2),FALSE)</f>
        <v>0</v>
      </c>
      <c r="AM1610" s="56">
        <f>VLOOKUP($E1610,'NI-Soc_SP'!$C:$AN,MID(AM$1,1,2),FALSE)</f>
        <v>0</v>
      </c>
      <c r="AN1610" s="30" t="str">
        <f t="shared" si="25"/>
        <v>10203020060020</v>
      </c>
    </row>
    <row r="1611" spans="3:40" x14ac:dyDescent="0.25">
      <c r="C1611" s="40"/>
      <c r="D1611" s="121" t="s">
        <v>650</v>
      </c>
      <c r="E1611" s="121" t="s">
        <v>651</v>
      </c>
      <c r="F1611" s="122" t="s">
        <v>2758</v>
      </c>
      <c r="G1611" s="52"/>
      <c r="H1611" s="52"/>
      <c r="I1611" s="52"/>
      <c r="J1611" s="52"/>
      <c r="K1611" s="59" t="s">
        <v>79</v>
      </c>
      <c r="L1611" s="52"/>
      <c r="M1611" s="52"/>
      <c r="N1611" s="52"/>
      <c r="O1611" s="52"/>
      <c r="P1611" s="63" t="s">
        <v>652</v>
      </c>
      <c r="Q1611" s="55">
        <f>VLOOKUP(E1611,'NI-Soc_SP'!$C:$AN,12,FALSE)</f>
        <v>0</v>
      </c>
      <c r="R1611" s="55">
        <f>VLOOKUP(E1611,'NI-Soc_SP'!$C:$AN,13,FALSE)</f>
        <v>0</v>
      </c>
      <c r="S1611" s="55"/>
      <c r="T1611" s="55"/>
      <c r="U1611" s="55">
        <f>VLOOKUP($E1611,'NI-Soc_SP'!$C:$AN,MID(U$1,1,2),FALSE)</f>
        <v>0</v>
      </c>
      <c r="V1611" s="55">
        <f>VLOOKUP($E1611,'NI-Soc_SP'!$C:$AN,MID(V$1,1,2),FALSE)</f>
        <v>0</v>
      </c>
      <c r="W1611" s="55">
        <f>VLOOKUP($E1611,'NI-Soc_SP'!$C:$AN,MID(W$1,1,2),FALSE)</f>
        <v>0</v>
      </c>
      <c r="X1611" s="55">
        <f>VLOOKUP($E1611,'NI-Soc_SP'!$C:$AN,MID(X$1,1,2),FALSE)</f>
        <v>0</v>
      </c>
      <c r="Y1611" s="55">
        <f>VLOOKUP($E1611,'NI-Soc_SP'!$C:$AN,MID(Y$1,1,2),FALSE)</f>
        <v>0</v>
      </c>
      <c r="Z1611" s="55">
        <f>VLOOKUP($E1611,'NI-Soc_SP'!$C:$AN,MID(Z$1,1,2),FALSE)</f>
        <v>0</v>
      </c>
      <c r="AA1611" s="55">
        <f>VLOOKUP($E1611,'NI-Soc_SP'!$C:$AN,MID(AA$1,1,2),FALSE)</f>
        <v>0</v>
      </c>
      <c r="AB1611" s="55">
        <f>VLOOKUP($E1611,'NI-Soc_SP'!$C:$AN,MID(AB$1,1,2),FALSE)</f>
        <v>0</v>
      </c>
      <c r="AC1611" s="55">
        <f>VLOOKUP($E1611,'NI-Soc_SP'!$C:$AN,MID(AC$1,1,2),FALSE)</f>
        <v>0</v>
      </c>
      <c r="AD1611" s="55">
        <f>VLOOKUP($E1611,'NI-Soc_SP'!$C:$AN,MID(AD$1,1,2),FALSE)</f>
        <v>0</v>
      </c>
      <c r="AE1611" s="55">
        <f>VLOOKUP($E1611,'NI-Soc_SP'!$C:$AN,MID(AE$1,1,2),FALSE)</f>
        <v>0</v>
      </c>
      <c r="AF1611" s="55">
        <f>VLOOKUP($E1611,'NI-Soc_SP'!$C:$AN,MID(AF$1,1,2),FALSE)</f>
        <v>0</v>
      </c>
      <c r="AG1611" s="55">
        <f>VLOOKUP($E1611,'NI-Soc_SP'!$C:$AN,MID(AG$1,1,2),FALSE)</f>
        <v>0</v>
      </c>
      <c r="AH1611" s="55">
        <f>VLOOKUP($E1611,'NI-Soc_SP'!$C:$AN,MID(AH$1,1,2),FALSE)</f>
        <v>0</v>
      </c>
      <c r="AI1611" s="55">
        <f>VLOOKUP($E1611,'NI-Soc_SP'!$C:$AN,MID(AI$1,1,2),FALSE)</f>
        <v>0</v>
      </c>
      <c r="AJ1611" s="55">
        <f>VLOOKUP($E1611,'NI-Soc_SP'!$C:$AN,MID(AJ$1,1,2),FALSE)</f>
        <v>0</v>
      </c>
      <c r="AK1611" s="55">
        <f>VLOOKUP($E1611,'NI-Soc_SP'!$C:$AN,MID(AK$1,1,2),FALSE)</f>
        <v>0</v>
      </c>
      <c r="AL1611" s="55">
        <f>VLOOKUP($E1611,'NI-Soc_SP'!$C:$AN,MID(AL$1,1,2),FALSE)</f>
        <v>0</v>
      </c>
      <c r="AM1611" s="56">
        <f>VLOOKUP($E1611,'NI-Soc_SP'!$C:$AN,MID(AM$1,1,2),FALSE)</f>
        <v>0</v>
      </c>
      <c r="AN1611" s="30" t="str">
        <f t="shared" si="25"/>
        <v>10203020070010</v>
      </c>
    </row>
    <row r="1612" spans="3:40" x14ac:dyDescent="0.25">
      <c r="C1612" s="40"/>
      <c r="D1612" s="121" t="s">
        <v>653</v>
      </c>
      <c r="E1612" s="121" t="s">
        <v>654</v>
      </c>
      <c r="F1612" s="122" t="s">
        <v>2758</v>
      </c>
      <c r="G1612" s="52"/>
      <c r="H1612" s="52"/>
      <c r="I1612" s="52"/>
      <c r="J1612" s="52"/>
      <c r="K1612" s="59" t="s">
        <v>79</v>
      </c>
      <c r="L1612" s="52"/>
      <c r="M1612" s="52"/>
      <c r="N1612" s="52"/>
      <c r="O1612" s="52"/>
      <c r="P1612" s="63" t="s">
        <v>655</v>
      </c>
      <c r="Q1612" s="55">
        <f>VLOOKUP(E1612,'NI-Soc_SP'!$C:$AN,12,FALSE)</f>
        <v>0</v>
      </c>
      <c r="R1612" s="55">
        <f>VLOOKUP(E1612,'NI-Soc_SP'!$C:$AN,13,FALSE)</f>
        <v>0</v>
      </c>
      <c r="S1612" s="55"/>
      <c r="T1612" s="55"/>
      <c r="U1612" s="55">
        <f>VLOOKUP($E1612,'NI-Soc_SP'!$C:$AN,MID(U$1,1,2),FALSE)</f>
        <v>0</v>
      </c>
      <c r="V1612" s="55">
        <f>VLOOKUP($E1612,'NI-Soc_SP'!$C:$AN,MID(V$1,1,2),FALSE)</f>
        <v>0</v>
      </c>
      <c r="W1612" s="55">
        <f>VLOOKUP($E1612,'NI-Soc_SP'!$C:$AN,MID(W$1,1,2),FALSE)</f>
        <v>0</v>
      </c>
      <c r="X1612" s="55">
        <f>VLOOKUP($E1612,'NI-Soc_SP'!$C:$AN,MID(X$1,1,2),FALSE)</f>
        <v>0</v>
      </c>
      <c r="Y1612" s="55">
        <f>VLOOKUP($E1612,'NI-Soc_SP'!$C:$AN,MID(Y$1,1,2),FALSE)</f>
        <v>0</v>
      </c>
      <c r="Z1612" s="55">
        <f>VLOOKUP($E1612,'NI-Soc_SP'!$C:$AN,MID(Z$1,1,2),FALSE)</f>
        <v>0</v>
      </c>
      <c r="AA1612" s="55">
        <f>VLOOKUP($E1612,'NI-Soc_SP'!$C:$AN,MID(AA$1,1,2),FALSE)</f>
        <v>0</v>
      </c>
      <c r="AB1612" s="55">
        <f>VLOOKUP($E1612,'NI-Soc_SP'!$C:$AN,MID(AB$1,1,2),FALSE)</f>
        <v>0</v>
      </c>
      <c r="AC1612" s="55">
        <f>VLOOKUP($E1612,'NI-Soc_SP'!$C:$AN,MID(AC$1,1,2),FALSE)</f>
        <v>0</v>
      </c>
      <c r="AD1612" s="55">
        <f>VLOOKUP($E1612,'NI-Soc_SP'!$C:$AN,MID(AD$1,1,2),FALSE)</f>
        <v>0</v>
      </c>
      <c r="AE1612" s="55">
        <f>VLOOKUP($E1612,'NI-Soc_SP'!$C:$AN,MID(AE$1,1,2),FALSE)</f>
        <v>0</v>
      </c>
      <c r="AF1612" s="55">
        <f>VLOOKUP($E1612,'NI-Soc_SP'!$C:$AN,MID(AF$1,1,2),FALSE)</f>
        <v>0</v>
      </c>
      <c r="AG1612" s="55">
        <f>VLOOKUP($E1612,'NI-Soc_SP'!$C:$AN,MID(AG$1,1,2),FALSE)</f>
        <v>0</v>
      </c>
      <c r="AH1612" s="55">
        <f>VLOOKUP($E1612,'NI-Soc_SP'!$C:$AN,MID(AH$1,1,2),FALSE)</f>
        <v>0</v>
      </c>
      <c r="AI1612" s="55">
        <f>VLOOKUP($E1612,'NI-Soc_SP'!$C:$AN,MID(AI$1,1,2),FALSE)</f>
        <v>0</v>
      </c>
      <c r="AJ1612" s="55">
        <f>VLOOKUP($E1612,'NI-Soc_SP'!$C:$AN,MID(AJ$1,1,2),FALSE)</f>
        <v>0</v>
      </c>
      <c r="AK1612" s="55">
        <f>VLOOKUP($E1612,'NI-Soc_SP'!$C:$AN,MID(AK$1,1,2),FALSE)</f>
        <v>0</v>
      </c>
      <c r="AL1612" s="55">
        <f>VLOOKUP($E1612,'NI-Soc_SP'!$C:$AN,MID(AL$1,1,2),FALSE)</f>
        <v>0</v>
      </c>
      <c r="AM1612" s="56">
        <f>VLOOKUP($E1612,'NI-Soc_SP'!$C:$AN,MID(AM$1,1,2),FALSE)</f>
        <v>0</v>
      </c>
      <c r="AN1612" s="30" t="str">
        <f t="shared" si="25"/>
        <v>10203020070020</v>
      </c>
    </row>
    <row r="1613" spans="3:40" x14ac:dyDescent="0.25">
      <c r="C1613" s="40"/>
      <c r="D1613" s="121" t="s">
        <v>656</v>
      </c>
      <c r="E1613" s="121" t="s">
        <v>657</v>
      </c>
      <c r="F1613" s="122" t="s">
        <v>2758</v>
      </c>
      <c r="G1613" s="52"/>
      <c r="H1613" s="52"/>
      <c r="I1613" s="52"/>
      <c r="J1613" s="52"/>
      <c r="K1613" s="59" t="s">
        <v>111</v>
      </c>
      <c r="L1613" s="52"/>
      <c r="M1613" s="52"/>
      <c r="N1613" s="52"/>
      <c r="O1613" s="61" t="s">
        <v>658</v>
      </c>
      <c r="P1613" s="60" t="s">
        <v>659</v>
      </c>
      <c r="Q1613" s="55">
        <f>VLOOKUP(E1613,'NI-Soc_SP'!$C:$AN,12,FALSE)</f>
        <v>0</v>
      </c>
      <c r="R1613" s="55">
        <f>VLOOKUP(E1613,'NI-Soc_SP'!$C:$AN,13,FALSE)</f>
        <v>0</v>
      </c>
      <c r="S1613" s="55"/>
      <c r="T1613" s="55"/>
      <c r="U1613" s="55">
        <f>VLOOKUP($E1613,'NI-Soc_SP'!$C:$AN,MID(U$1,1,2),FALSE)</f>
        <v>0</v>
      </c>
      <c r="V1613" s="55">
        <f>VLOOKUP($E1613,'NI-Soc_SP'!$C:$AN,MID(V$1,1,2),FALSE)</f>
        <v>0</v>
      </c>
      <c r="W1613" s="55">
        <f>VLOOKUP($E1613,'NI-Soc_SP'!$C:$AN,MID(W$1,1,2),FALSE)</f>
        <v>0</v>
      </c>
      <c r="X1613" s="55">
        <f>VLOOKUP($E1613,'NI-Soc_SP'!$C:$AN,MID(X$1,1,2),FALSE)</f>
        <v>0</v>
      </c>
      <c r="Y1613" s="55">
        <f>VLOOKUP($E1613,'NI-Soc_SP'!$C:$AN,MID(Y$1,1,2),FALSE)</f>
        <v>0</v>
      </c>
      <c r="Z1613" s="55">
        <f>VLOOKUP($E1613,'NI-Soc_SP'!$C:$AN,MID(Z$1,1,2),FALSE)</f>
        <v>0</v>
      </c>
      <c r="AA1613" s="55">
        <f>VLOOKUP($E1613,'NI-Soc_SP'!$C:$AN,MID(AA$1,1,2),FALSE)</f>
        <v>0</v>
      </c>
      <c r="AB1613" s="55">
        <f>VLOOKUP($E1613,'NI-Soc_SP'!$C:$AN,MID(AB$1,1,2),FALSE)</f>
        <v>0</v>
      </c>
      <c r="AC1613" s="55">
        <f>VLOOKUP($E1613,'NI-Soc_SP'!$C:$AN,MID(AC$1,1,2),FALSE)</f>
        <v>0</v>
      </c>
      <c r="AD1613" s="55">
        <f>VLOOKUP($E1613,'NI-Soc_SP'!$C:$AN,MID(AD$1,1,2),FALSE)</f>
        <v>0</v>
      </c>
      <c r="AE1613" s="55">
        <f>VLOOKUP($E1613,'NI-Soc_SP'!$C:$AN,MID(AE$1,1,2),FALSE)</f>
        <v>0</v>
      </c>
      <c r="AF1613" s="55">
        <f>VLOOKUP($E1613,'NI-Soc_SP'!$C:$AN,MID(AF$1,1,2),FALSE)</f>
        <v>0</v>
      </c>
      <c r="AG1613" s="55">
        <f>VLOOKUP($E1613,'NI-Soc_SP'!$C:$AN,MID(AG$1,1,2),FALSE)</f>
        <v>0</v>
      </c>
      <c r="AH1613" s="55">
        <f>VLOOKUP($E1613,'NI-Soc_SP'!$C:$AN,MID(AH$1,1,2),FALSE)</f>
        <v>0</v>
      </c>
      <c r="AI1613" s="55">
        <f>VLOOKUP($E1613,'NI-Soc_SP'!$C:$AN,MID(AI$1,1,2),FALSE)</f>
        <v>0</v>
      </c>
      <c r="AJ1613" s="55">
        <f>VLOOKUP($E1613,'NI-Soc_SP'!$C:$AN,MID(AJ$1,1,2),FALSE)</f>
        <v>0</v>
      </c>
      <c r="AK1613" s="55">
        <f>VLOOKUP($E1613,'NI-Soc_SP'!$C:$AN,MID(AK$1,1,2),FALSE)</f>
        <v>0</v>
      </c>
      <c r="AL1613" s="55">
        <f>VLOOKUP($E1613,'NI-Soc_SP'!$C:$AN,MID(AL$1,1,2),FALSE)</f>
        <v>0</v>
      </c>
      <c r="AM1613" s="56">
        <f>VLOOKUP($E1613,'NI-Soc_SP'!$C:$AN,MID(AM$1,1,2),FALSE)</f>
        <v>0</v>
      </c>
      <c r="AN1613" s="30" t="str">
        <f t="shared" si="25"/>
        <v>10204000000000</v>
      </c>
    </row>
    <row r="1614" spans="3:40" x14ac:dyDescent="0.25">
      <c r="C1614" s="40"/>
      <c r="D1614" s="121" t="s">
        <v>660</v>
      </c>
      <c r="E1614" s="121" t="s">
        <v>661</v>
      </c>
      <c r="F1614" s="122" t="s">
        <v>2758</v>
      </c>
      <c r="G1614" s="52"/>
      <c r="H1614" s="52"/>
      <c r="I1614" s="52" t="s">
        <v>662</v>
      </c>
      <c r="J1614" s="52"/>
      <c r="K1614" s="59" t="s">
        <v>111</v>
      </c>
      <c r="L1614" s="62" t="s">
        <v>663</v>
      </c>
      <c r="M1614" s="52"/>
      <c r="N1614" s="52"/>
      <c r="O1614" s="52"/>
      <c r="P1614" s="54" t="s">
        <v>664</v>
      </c>
      <c r="Q1614" s="55">
        <f>VLOOKUP(E1614,'NI-Soc_SP'!$C:$AN,12,FALSE)</f>
        <v>0</v>
      </c>
      <c r="R1614" s="55">
        <f>VLOOKUP(E1614,'NI-Soc_SP'!$C:$AN,13,FALSE)</f>
        <v>0</v>
      </c>
      <c r="S1614" s="55"/>
      <c r="T1614" s="55"/>
      <c r="U1614" s="55">
        <f>VLOOKUP($E1614,'NI-Soc_SP'!$C:$AN,MID(U$1,1,2),FALSE)</f>
        <v>0</v>
      </c>
      <c r="V1614" s="55">
        <f>VLOOKUP($E1614,'NI-Soc_SP'!$C:$AN,MID(V$1,1,2),FALSE)</f>
        <v>0</v>
      </c>
      <c r="W1614" s="55">
        <f>VLOOKUP($E1614,'NI-Soc_SP'!$C:$AN,MID(W$1,1,2),FALSE)</f>
        <v>0</v>
      </c>
      <c r="X1614" s="55">
        <f>VLOOKUP($E1614,'NI-Soc_SP'!$C:$AN,MID(X$1,1,2),FALSE)</f>
        <v>0</v>
      </c>
      <c r="Y1614" s="55">
        <f>VLOOKUP($E1614,'NI-Soc_SP'!$C:$AN,MID(Y$1,1,2),FALSE)</f>
        <v>0</v>
      </c>
      <c r="Z1614" s="55">
        <f>VLOOKUP($E1614,'NI-Soc_SP'!$C:$AN,MID(Z$1,1,2),FALSE)</f>
        <v>0</v>
      </c>
      <c r="AA1614" s="55">
        <f>VLOOKUP($E1614,'NI-Soc_SP'!$C:$AN,MID(AA$1,1,2),FALSE)</f>
        <v>0</v>
      </c>
      <c r="AB1614" s="55">
        <f>VLOOKUP($E1614,'NI-Soc_SP'!$C:$AN,MID(AB$1,1,2),FALSE)</f>
        <v>0</v>
      </c>
      <c r="AC1614" s="55">
        <f>VLOOKUP($E1614,'NI-Soc_SP'!$C:$AN,MID(AC$1,1,2),FALSE)</f>
        <v>0</v>
      </c>
      <c r="AD1614" s="55">
        <f>VLOOKUP($E1614,'NI-Soc_SP'!$C:$AN,MID(AD$1,1,2),FALSE)</f>
        <v>0</v>
      </c>
      <c r="AE1614" s="55">
        <f>VLOOKUP($E1614,'NI-Soc_SP'!$C:$AN,MID(AE$1,1,2),FALSE)</f>
        <v>0</v>
      </c>
      <c r="AF1614" s="55">
        <f>VLOOKUP($E1614,'NI-Soc_SP'!$C:$AN,MID(AF$1,1,2),FALSE)</f>
        <v>0</v>
      </c>
      <c r="AG1614" s="55">
        <f>VLOOKUP($E1614,'NI-Soc_SP'!$C:$AN,MID(AG$1,1,2),FALSE)</f>
        <v>0</v>
      </c>
      <c r="AH1614" s="55">
        <f>VLOOKUP($E1614,'NI-Soc_SP'!$C:$AN,MID(AH$1,1,2),FALSE)</f>
        <v>0</v>
      </c>
      <c r="AI1614" s="55">
        <f>VLOOKUP($E1614,'NI-Soc_SP'!$C:$AN,MID(AI$1,1,2),FALSE)</f>
        <v>0</v>
      </c>
      <c r="AJ1614" s="55">
        <f>VLOOKUP($E1614,'NI-Soc_SP'!$C:$AN,MID(AJ$1,1,2),FALSE)</f>
        <v>0</v>
      </c>
      <c r="AK1614" s="55">
        <f>VLOOKUP($E1614,'NI-Soc_SP'!$C:$AN,MID(AK$1,1,2),FALSE)</f>
        <v>0</v>
      </c>
      <c r="AL1614" s="55">
        <f>VLOOKUP($E1614,'NI-Soc_SP'!$C:$AN,MID(AL$1,1,2),FALSE)</f>
        <v>0</v>
      </c>
      <c r="AM1614" s="56">
        <f>VLOOKUP($E1614,'NI-Soc_SP'!$C:$AN,MID(AM$1,1,2),FALSE)</f>
        <v>0</v>
      </c>
      <c r="AN1614" s="30" t="str">
        <f t="shared" si="25"/>
        <v>10204010000000</v>
      </c>
    </row>
    <row r="1615" spans="3:40" x14ac:dyDescent="0.25">
      <c r="C1615" s="40"/>
      <c r="D1615" s="121" t="s">
        <v>665</v>
      </c>
      <c r="E1615" s="121" t="s">
        <v>666</v>
      </c>
      <c r="F1615" s="122" t="s">
        <v>2758</v>
      </c>
      <c r="G1615" s="52"/>
      <c r="H1615" s="52"/>
      <c r="I1615" s="52"/>
      <c r="J1615" s="52"/>
      <c r="K1615" s="59" t="s">
        <v>79</v>
      </c>
      <c r="L1615" s="52"/>
      <c r="M1615" s="52"/>
      <c r="N1615" s="52"/>
      <c r="O1615" s="52"/>
      <c r="P1615" s="66" t="s">
        <v>667</v>
      </c>
      <c r="Q1615" s="55">
        <f>VLOOKUP(E1615,'NI-Soc_SP'!$C:$AN,12,FALSE)</f>
        <v>0</v>
      </c>
      <c r="R1615" s="55">
        <f>VLOOKUP(E1615,'NI-Soc_SP'!$C:$AN,13,FALSE)</f>
        <v>0</v>
      </c>
      <c r="S1615" s="55"/>
      <c r="T1615" s="55"/>
      <c r="U1615" s="55">
        <f>VLOOKUP($E1615,'NI-Soc_SP'!$C:$AN,MID(U$1,1,2),FALSE)</f>
        <v>0</v>
      </c>
      <c r="V1615" s="55">
        <f>VLOOKUP($E1615,'NI-Soc_SP'!$C:$AN,MID(V$1,1,2),FALSE)</f>
        <v>0</v>
      </c>
      <c r="W1615" s="55">
        <f>VLOOKUP($E1615,'NI-Soc_SP'!$C:$AN,MID(W$1,1,2),FALSE)</f>
        <v>0</v>
      </c>
      <c r="X1615" s="55">
        <f>VLOOKUP($E1615,'NI-Soc_SP'!$C:$AN,MID(X$1,1,2),FALSE)</f>
        <v>0</v>
      </c>
      <c r="Y1615" s="55">
        <f>VLOOKUP($E1615,'NI-Soc_SP'!$C:$AN,MID(Y$1,1,2),FALSE)</f>
        <v>0</v>
      </c>
      <c r="Z1615" s="55">
        <f>VLOOKUP($E1615,'NI-Soc_SP'!$C:$AN,MID(Z$1,1,2),FALSE)</f>
        <v>0</v>
      </c>
      <c r="AA1615" s="55">
        <f>VLOOKUP($E1615,'NI-Soc_SP'!$C:$AN,MID(AA$1,1,2),FALSE)</f>
        <v>0</v>
      </c>
      <c r="AB1615" s="55">
        <f>VLOOKUP($E1615,'NI-Soc_SP'!$C:$AN,MID(AB$1,1,2),FALSE)</f>
        <v>0</v>
      </c>
      <c r="AC1615" s="55">
        <f>VLOOKUP($E1615,'NI-Soc_SP'!$C:$AN,MID(AC$1,1,2),FALSE)</f>
        <v>0</v>
      </c>
      <c r="AD1615" s="55">
        <f>VLOOKUP($E1615,'NI-Soc_SP'!$C:$AN,MID(AD$1,1,2),FALSE)</f>
        <v>0</v>
      </c>
      <c r="AE1615" s="55">
        <f>VLOOKUP($E1615,'NI-Soc_SP'!$C:$AN,MID(AE$1,1,2),FALSE)</f>
        <v>0</v>
      </c>
      <c r="AF1615" s="55">
        <f>VLOOKUP($E1615,'NI-Soc_SP'!$C:$AN,MID(AF$1,1,2),FALSE)</f>
        <v>0</v>
      </c>
      <c r="AG1615" s="55">
        <f>VLOOKUP($E1615,'NI-Soc_SP'!$C:$AN,MID(AG$1,1,2),FALSE)</f>
        <v>0</v>
      </c>
      <c r="AH1615" s="55">
        <f>VLOOKUP($E1615,'NI-Soc_SP'!$C:$AN,MID(AH$1,1,2),FALSE)</f>
        <v>0</v>
      </c>
      <c r="AI1615" s="55">
        <f>VLOOKUP($E1615,'NI-Soc_SP'!$C:$AN,MID(AI$1,1,2),FALSE)</f>
        <v>0</v>
      </c>
      <c r="AJ1615" s="55">
        <f>VLOOKUP($E1615,'NI-Soc_SP'!$C:$AN,MID(AJ$1,1,2),FALSE)</f>
        <v>0</v>
      </c>
      <c r="AK1615" s="55">
        <f>VLOOKUP($E1615,'NI-Soc_SP'!$C:$AN,MID(AK$1,1,2),FALSE)</f>
        <v>0</v>
      </c>
      <c r="AL1615" s="55">
        <f>VLOOKUP($E1615,'NI-Soc_SP'!$C:$AN,MID(AL$1,1,2),FALSE)</f>
        <v>0</v>
      </c>
      <c r="AM1615" s="56">
        <f>VLOOKUP($E1615,'NI-Soc_SP'!$C:$AN,MID(AM$1,1,2),FALSE)</f>
        <v>0</v>
      </c>
      <c r="AN1615" s="30" t="str">
        <f t="shared" si="25"/>
        <v>10204010010010</v>
      </c>
    </row>
    <row r="1616" spans="3:40" x14ac:dyDescent="0.25">
      <c r="C1616" s="40"/>
      <c r="D1616" s="121" t="s">
        <v>668</v>
      </c>
      <c r="E1616" s="121" t="s">
        <v>669</v>
      </c>
      <c r="F1616" s="122" t="s">
        <v>2758</v>
      </c>
      <c r="G1616" s="52"/>
      <c r="H1616" s="52"/>
      <c r="I1616" s="52"/>
      <c r="J1616" s="52"/>
      <c r="K1616" s="59" t="s">
        <v>79</v>
      </c>
      <c r="L1616" s="52"/>
      <c r="M1616" s="52"/>
      <c r="N1616" s="52"/>
      <c r="O1616" s="52"/>
      <c r="P1616" s="66" t="s">
        <v>670</v>
      </c>
      <c r="Q1616" s="55">
        <f>VLOOKUP(E1616,'NI-Soc_SP'!$C:$AN,12,FALSE)</f>
        <v>0</v>
      </c>
      <c r="R1616" s="55">
        <f>VLOOKUP(E1616,'NI-Soc_SP'!$C:$AN,13,FALSE)</f>
        <v>0</v>
      </c>
      <c r="S1616" s="55"/>
      <c r="T1616" s="55"/>
      <c r="U1616" s="55">
        <f>VLOOKUP($E1616,'NI-Soc_SP'!$C:$AN,MID(U$1,1,2),FALSE)</f>
        <v>0</v>
      </c>
      <c r="V1616" s="55">
        <f>VLOOKUP($E1616,'NI-Soc_SP'!$C:$AN,MID(V$1,1,2),FALSE)</f>
        <v>0</v>
      </c>
      <c r="W1616" s="55">
        <f>VLOOKUP($E1616,'NI-Soc_SP'!$C:$AN,MID(W$1,1,2),FALSE)</f>
        <v>0</v>
      </c>
      <c r="X1616" s="55">
        <f>VLOOKUP($E1616,'NI-Soc_SP'!$C:$AN,MID(X$1,1,2),FALSE)</f>
        <v>0</v>
      </c>
      <c r="Y1616" s="55">
        <f>VLOOKUP($E1616,'NI-Soc_SP'!$C:$AN,MID(Y$1,1,2),FALSE)</f>
        <v>0</v>
      </c>
      <c r="Z1616" s="55">
        <f>VLOOKUP($E1616,'NI-Soc_SP'!$C:$AN,MID(Z$1,1,2),FALSE)</f>
        <v>0</v>
      </c>
      <c r="AA1616" s="55">
        <f>VLOOKUP($E1616,'NI-Soc_SP'!$C:$AN,MID(AA$1,1,2),FALSE)</f>
        <v>0</v>
      </c>
      <c r="AB1616" s="55">
        <f>VLOOKUP($E1616,'NI-Soc_SP'!$C:$AN,MID(AB$1,1,2),FALSE)</f>
        <v>0</v>
      </c>
      <c r="AC1616" s="55">
        <f>VLOOKUP($E1616,'NI-Soc_SP'!$C:$AN,MID(AC$1,1,2),FALSE)</f>
        <v>0</v>
      </c>
      <c r="AD1616" s="55">
        <f>VLOOKUP($E1616,'NI-Soc_SP'!$C:$AN,MID(AD$1,1,2),FALSE)</f>
        <v>0</v>
      </c>
      <c r="AE1616" s="55">
        <f>VLOOKUP($E1616,'NI-Soc_SP'!$C:$AN,MID(AE$1,1,2),FALSE)</f>
        <v>0</v>
      </c>
      <c r="AF1616" s="55">
        <f>VLOOKUP($E1616,'NI-Soc_SP'!$C:$AN,MID(AF$1,1,2),FALSE)</f>
        <v>0</v>
      </c>
      <c r="AG1616" s="55">
        <f>VLOOKUP($E1616,'NI-Soc_SP'!$C:$AN,MID(AG$1,1,2),FALSE)</f>
        <v>0</v>
      </c>
      <c r="AH1616" s="55">
        <f>VLOOKUP($E1616,'NI-Soc_SP'!$C:$AN,MID(AH$1,1,2),FALSE)</f>
        <v>0</v>
      </c>
      <c r="AI1616" s="55">
        <f>VLOOKUP($E1616,'NI-Soc_SP'!$C:$AN,MID(AI$1,1,2),FALSE)</f>
        <v>0</v>
      </c>
      <c r="AJ1616" s="55">
        <f>VLOOKUP($E1616,'NI-Soc_SP'!$C:$AN,MID(AJ$1,1,2),FALSE)</f>
        <v>0</v>
      </c>
      <c r="AK1616" s="55">
        <f>VLOOKUP($E1616,'NI-Soc_SP'!$C:$AN,MID(AK$1,1,2),FALSE)</f>
        <v>0</v>
      </c>
      <c r="AL1616" s="55">
        <f>VLOOKUP($E1616,'NI-Soc_SP'!$C:$AN,MID(AL$1,1,2),FALSE)</f>
        <v>0</v>
      </c>
      <c r="AM1616" s="56">
        <f>VLOOKUP($E1616,'NI-Soc_SP'!$C:$AN,MID(AM$1,1,2),FALSE)</f>
        <v>0</v>
      </c>
      <c r="AN1616" s="30" t="str">
        <f t="shared" si="25"/>
        <v>10204010010020</v>
      </c>
    </row>
    <row r="1617" spans="3:40" x14ac:dyDescent="0.25">
      <c r="C1617" s="40"/>
      <c r="D1617" s="121" t="s">
        <v>671</v>
      </c>
      <c r="E1617" s="121" t="s">
        <v>672</v>
      </c>
      <c r="F1617" s="122" t="s">
        <v>2758</v>
      </c>
      <c r="G1617" s="52"/>
      <c r="H1617" s="52"/>
      <c r="I1617" s="52"/>
      <c r="J1617" s="52"/>
      <c r="K1617" s="59" t="s">
        <v>79</v>
      </c>
      <c r="L1617" s="52"/>
      <c r="M1617" s="52"/>
      <c r="N1617" s="52"/>
      <c r="O1617" s="52"/>
      <c r="P1617" s="66" t="s">
        <v>673</v>
      </c>
      <c r="Q1617" s="55">
        <f>VLOOKUP(E1617,'NI-Soc_SP'!$C:$AN,12,FALSE)</f>
        <v>0</v>
      </c>
      <c r="R1617" s="55">
        <f>VLOOKUP(E1617,'NI-Soc_SP'!$C:$AN,13,FALSE)</f>
        <v>0</v>
      </c>
      <c r="S1617" s="55"/>
      <c r="T1617" s="55"/>
      <c r="U1617" s="55">
        <f>VLOOKUP($E1617,'NI-Soc_SP'!$C:$AN,MID(U$1,1,2),FALSE)</f>
        <v>0</v>
      </c>
      <c r="V1617" s="55">
        <f>VLOOKUP($E1617,'NI-Soc_SP'!$C:$AN,MID(V$1,1,2),FALSE)</f>
        <v>0</v>
      </c>
      <c r="W1617" s="55">
        <f>VLOOKUP($E1617,'NI-Soc_SP'!$C:$AN,MID(W$1,1,2),FALSE)</f>
        <v>0</v>
      </c>
      <c r="X1617" s="55">
        <f>VLOOKUP($E1617,'NI-Soc_SP'!$C:$AN,MID(X$1,1,2),FALSE)</f>
        <v>0</v>
      </c>
      <c r="Y1617" s="55">
        <f>VLOOKUP($E1617,'NI-Soc_SP'!$C:$AN,MID(Y$1,1,2),FALSE)</f>
        <v>0</v>
      </c>
      <c r="Z1617" s="55">
        <f>VLOOKUP($E1617,'NI-Soc_SP'!$C:$AN,MID(Z$1,1,2),FALSE)</f>
        <v>0</v>
      </c>
      <c r="AA1617" s="55">
        <f>VLOOKUP($E1617,'NI-Soc_SP'!$C:$AN,MID(AA$1,1,2),FALSE)</f>
        <v>0</v>
      </c>
      <c r="AB1617" s="55">
        <f>VLOOKUP($E1617,'NI-Soc_SP'!$C:$AN,MID(AB$1,1,2),FALSE)</f>
        <v>0</v>
      </c>
      <c r="AC1617" s="55">
        <f>VLOOKUP($E1617,'NI-Soc_SP'!$C:$AN,MID(AC$1,1,2),FALSE)</f>
        <v>0</v>
      </c>
      <c r="AD1617" s="55">
        <f>VLOOKUP($E1617,'NI-Soc_SP'!$C:$AN,MID(AD$1,1,2),FALSE)</f>
        <v>0</v>
      </c>
      <c r="AE1617" s="55">
        <f>VLOOKUP($E1617,'NI-Soc_SP'!$C:$AN,MID(AE$1,1,2),FALSE)</f>
        <v>0</v>
      </c>
      <c r="AF1617" s="55">
        <f>VLOOKUP($E1617,'NI-Soc_SP'!$C:$AN,MID(AF$1,1,2),FALSE)</f>
        <v>0</v>
      </c>
      <c r="AG1617" s="55">
        <f>VLOOKUP($E1617,'NI-Soc_SP'!$C:$AN,MID(AG$1,1,2),FALSE)</f>
        <v>0</v>
      </c>
      <c r="AH1617" s="55">
        <f>VLOOKUP($E1617,'NI-Soc_SP'!$C:$AN,MID(AH$1,1,2),FALSE)</f>
        <v>0</v>
      </c>
      <c r="AI1617" s="55">
        <f>VLOOKUP($E1617,'NI-Soc_SP'!$C:$AN,MID(AI$1,1,2),FALSE)</f>
        <v>0</v>
      </c>
      <c r="AJ1617" s="55">
        <f>VLOOKUP($E1617,'NI-Soc_SP'!$C:$AN,MID(AJ$1,1,2),FALSE)</f>
        <v>0</v>
      </c>
      <c r="AK1617" s="55">
        <f>VLOOKUP($E1617,'NI-Soc_SP'!$C:$AN,MID(AK$1,1,2),FALSE)</f>
        <v>0</v>
      </c>
      <c r="AL1617" s="55">
        <f>VLOOKUP($E1617,'NI-Soc_SP'!$C:$AN,MID(AL$1,1,2),FALSE)</f>
        <v>0</v>
      </c>
      <c r="AM1617" s="56">
        <f>VLOOKUP($E1617,'NI-Soc_SP'!$C:$AN,MID(AM$1,1,2),FALSE)</f>
        <v>0</v>
      </c>
      <c r="AN1617" s="30" t="str">
        <f t="shared" si="25"/>
        <v>10204010020010</v>
      </c>
    </row>
    <row r="1618" spans="3:40" x14ac:dyDescent="0.25">
      <c r="C1618" s="40"/>
      <c r="D1618" s="121" t="s">
        <v>674</v>
      </c>
      <c r="E1618" s="121" t="s">
        <v>675</v>
      </c>
      <c r="F1618" s="122" t="s">
        <v>2758</v>
      </c>
      <c r="G1618" s="52"/>
      <c r="H1618" s="52"/>
      <c r="I1618" s="52"/>
      <c r="J1618" s="52"/>
      <c r="K1618" s="59" t="s">
        <v>79</v>
      </c>
      <c r="L1618" s="52"/>
      <c r="M1618" s="52"/>
      <c r="N1618" s="52"/>
      <c r="O1618" s="52"/>
      <c r="P1618" s="66" t="s">
        <v>676</v>
      </c>
      <c r="Q1618" s="55">
        <f>VLOOKUP(E1618,'NI-Soc_SP'!$C:$AN,12,FALSE)</f>
        <v>0</v>
      </c>
      <c r="R1618" s="55">
        <f>VLOOKUP(E1618,'NI-Soc_SP'!$C:$AN,13,FALSE)</f>
        <v>0</v>
      </c>
      <c r="S1618" s="55"/>
      <c r="T1618" s="55"/>
      <c r="U1618" s="55">
        <f>VLOOKUP($E1618,'NI-Soc_SP'!$C:$AN,MID(U$1,1,2),FALSE)</f>
        <v>0</v>
      </c>
      <c r="V1618" s="55">
        <f>VLOOKUP($E1618,'NI-Soc_SP'!$C:$AN,MID(V$1,1,2),FALSE)</f>
        <v>0</v>
      </c>
      <c r="W1618" s="55">
        <f>VLOOKUP($E1618,'NI-Soc_SP'!$C:$AN,MID(W$1,1,2),FALSE)</f>
        <v>0</v>
      </c>
      <c r="X1618" s="55">
        <f>VLOOKUP($E1618,'NI-Soc_SP'!$C:$AN,MID(X$1,1,2),FALSE)</f>
        <v>0</v>
      </c>
      <c r="Y1618" s="55">
        <f>VLOOKUP($E1618,'NI-Soc_SP'!$C:$AN,MID(Y$1,1,2),FALSE)</f>
        <v>0</v>
      </c>
      <c r="Z1618" s="55">
        <f>VLOOKUP($E1618,'NI-Soc_SP'!$C:$AN,MID(Z$1,1,2),FALSE)</f>
        <v>0</v>
      </c>
      <c r="AA1618" s="55">
        <f>VLOOKUP($E1618,'NI-Soc_SP'!$C:$AN,MID(AA$1,1,2),FALSE)</f>
        <v>0</v>
      </c>
      <c r="AB1618" s="55">
        <f>VLOOKUP($E1618,'NI-Soc_SP'!$C:$AN,MID(AB$1,1,2),FALSE)</f>
        <v>0</v>
      </c>
      <c r="AC1618" s="55">
        <f>VLOOKUP($E1618,'NI-Soc_SP'!$C:$AN,MID(AC$1,1,2),FALSE)</f>
        <v>0</v>
      </c>
      <c r="AD1618" s="55">
        <f>VLOOKUP($E1618,'NI-Soc_SP'!$C:$AN,MID(AD$1,1,2),FALSE)</f>
        <v>0</v>
      </c>
      <c r="AE1618" s="55">
        <f>VLOOKUP($E1618,'NI-Soc_SP'!$C:$AN,MID(AE$1,1,2),FALSE)</f>
        <v>0</v>
      </c>
      <c r="AF1618" s="55">
        <f>VLOOKUP($E1618,'NI-Soc_SP'!$C:$AN,MID(AF$1,1,2),FALSE)</f>
        <v>0</v>
      </c>
      <c r="AG1618" s="55">
        <f>VLOOKUP($E1618,'NI-Soc_SP'!$C:$AN,MID(AG$1,1,2),FALSE)</f>
        <v>0</v>
      </c>
      <c r="AH1618" s="55">
        <f>VLOOKUP($E1618,'NI-Soc_SP'!$C:$AN,MID(AH$1,1,2),FALSE)</f>
        <v>0</v>
      </c>
      <c r="AI1618" s="55">
        <f>VLOOKUP($E1618,'NI-Soc_SP'!$C:$AN,MID(AI$1,1,2),FALSE)</f>
        <v>0</v>
      </c>
      <c r="AJ1618" s="55">
        <f>VLOOKUP($E1618,'NI-Soc_SP'!$C:$AN,MID(AJ$1,1,2),FALSE)</f>
        <v>0</v>
      </c>
      <c r="AK1618" s="55">
        <f>VLOOKUP($E1618,'NI-Soc_SP'!$C:$AN,MID(AK$1,1,2),FALSE)</f>
        <v>0</v>
      </c>
      <c r="AL1618" s="55">
        <f>VLOOKUP($E1618,'NI-Soc_SP'!$C:$AN,MID(AL$1,1,2),FALSE)</f>
        <v>0</v>
      </c>
      <c r="AM1618" s="56">
        <f>VLOOKUP($E1618,'NI-Soc_SP'!$C:$AN,MID(AM$1,1,2),FALSE)</f>
        <v>0</v>
      </c>
      <c r="AN1618" s="30" t="str">
        <f t="shared" si="25"/>
        <v>10204010020020</v>
      </c>
    </row>
    <row r="1619" spans="3:40" x14ac:dyDescent="0.25">
      <c r="C1619" s="40"/>
      <c r="D1619" s="121" t="s">
        <v>677</v>
      </c>
      <c r="E1619" s="121" t="s">
        <v>678</v>
      </c>
      <c r="F1619" s="122" t="s">
        <v>2758</v>
      </c>
      <c r="G1619" s="52"/>
      <c r="H1619" s="52"/>
      <c r="I1619" s="52"/>
      <c r="J1619" s="52"/>
      <c r="K1619" s="59" t="s">
        <v>79</v>
      </c>
      <c r="L1619" s="52"/>
      <c r="M1619" s="52"/>
      <c r="N1619" s="52"/>
      <c r="O1619" s="52"/>
      <c r="P1619" s="63" t="s">
        <v>679</v>
      </c>
      <c r="Q1619" s="55">
        <f>VLOOKUP(E1619,'NI-Soc_SP'!$C:$AN,12,FALSE)</f>
        <v>0</v>
      </c>
      <c r="R1619" s="55">
        <f>VLOOKUP(E1619,'NI-Soc_SP'!$C:$AN,13,FALSE)</f>
        <v>0</v>
      </c>
      <c r="S1619" s="55"/>
      <c r="T1619" s="55"/>
      <c r="U1619" s="55">
        <f>VLOOKUP($E1619,'NI-Soc_SP'!$C:$AN,MID(U$1,1,2),FALSE)</f>
        <v>0</v>
      </c>
      <c r="V1619" s="55">
        <f>VLOOKUP($E1619,'NI-Soc_SP'!$C:$AN,MID(V$1,1,2),FALSE)</f>
        <v>0</v>
      </c>
      <c r="W1619" s="55">
        <f>VLOOKUP($E1619,'NI-Soc_SP'!$C:$AN,MID(W$1,1,2),FALSE)</f>
        <v>0</v>
      </c>
      <c r="X1619" s="55">
        <f>VLOOKUP($E1619,'NI-Soc_SP'!$C:$AN,MID(X$1,1,2),FALSE)</f>
        <v>0</v>
      </c>
      <c r="Y1619" s="55">
        <f>VLOOKUP($E1619,'NI-Soc_SP'!$C:$AN,MID(Y$1,1,2),FALSE)</f>
        <v>0</v>
      </c>
      <c r="Z1619" s="55">
        <f>VLOOKUP($E1619,'NI-Soc_SP'!$C:$AN,MID(Z$1,1,2),FALSE)</f>
        <v>0</v>
      </c>
      <c r="AA1619" s="55">
        <f>VLOOKUP($E1619,'NI-Soc_SP'!$C:$AN,MID(AA$1,1,2),FALSE)</f>
        <v>0</v>
      </c>
      <c r="AB1619" s="55">
        <f>VLOOKUP($E1619,'NI-Soc_SP'!$C:$AN,MID(AB$1,1,2),FALSE)</f>
        <v>0</v>
      </c>
      <c r="AC1619" s="55">
        <f>VLOOKUP($E1619,'NI-Soc_SP'!$C:$AN,MID(AC$1,1,2),FALSE)</f>
        <v>0</v>
      </c>
      <c r="AD1619" s="55">
        <f>VLOOKUP($E1619,'NI-Soc_SP'!$C:$AN,MID(AD$1,1,2),FALSE)</f>
        <v>0</v>
      </c>
      <c r="AE1619" s="55">
        <f>VLOOKUP($E1619,'NI-Soc_SP'!$C:$AN,MID(AE$1,1,2),FALSE)</f>
        <v>0</v>
      </c>
      <c r="AF1619" s="55">
        <f>VLOOKUP($E1619,'NI-Soc_SP'!$C:$AN,MID(AF$1,1,2),FALSE)</f>
        <v>0</v>
      </c>
      <c r="AG1619" s="55">
        <f>VLOOKUP($E1619,'NI-Soc_SP'!$C:$AN,MID(AG$1,1,2),FALSE)</f>
        <v>0</v>
      </c>
      <c r="AH1619" s="55">
        <f>VLOOKUP($E1619,'NI-Soc_SP'!$C:$AN,MID(AH$1,1,2),FALSE)</f>
        <v>0</v>
      </c>
      <c r="AI1619" s="55">
        <f>VLOOKUP($E1619,'NI-Soc_SP'!$C:$AN,MID(AI$1,1,2),FALSE)</f>
        <v>0</v>
      </c>
      <c r="AJ1619" s="55">
        <f>VLOOKUP($E1619,'NI-Soc_SP'!$C:$AN,MID(AJ$1,1,2),FALSE)</f>
        <v>0</v>
      </c>
      <c r="AK1619" s="55">
        <f>VLOOKUP($E1619,'NI-Soc_SP'!$C:$AN,MID(AK$1,1,2),FALSE)</f>
        <v>0</v>
      </c>
      <c r="AL1619" s="55">
        <f>VLOOKUP($E1619,'NI-Soc_SP'!$C:$AN,MID(AL$1,1,2),FALSE)</f>
        <v>0</v>
      </c>
      <c r="AM1619" s="56">
        <f>VLOOKUP($E1619,'NI-Soc_SP'!$C:$AN,MID(AM$1,1,2),FALSE)</f>
        <v>0</v>
      </c>
      <c r="AN1619" s="30" t="str">
        <f t="shared" si="25"/>
        <v>10204010030010</v>
      </c>
    </row>
    <row r="1620" spans="3:40" x14ac:dyDescent="0.25">
      <c r="C1620" s="40"/>
      <c r="D1620" s="121" t="s">
        <v>680</v>
      </c>
      <c r="E1620" s="121" t="s">
        <v>681</v>
      </c>
      <c r="F1620" s="122" t="s">
        <v>2758</v>
      </c>
      <c r="G1620" s="52"/>
      <c r="H1620" s="52"/>
      <c r="I1620" s="52"/>
      <c r="J1620" s="52"/>
      <c r="K1620" s="59" t="s">
        <v>79</v>
      </c>
      <c r="L1620" s="52"/>
      <c r="M1620" s="52"/>
      <c r="N1620" s="52"/>
      <c r="O1620" s="52"/>
      <c r="P1620" s="63" t="s">
        <v>682</v>
      </c>
      <c r="Q1620" s="55">
        <f>VLOOKUP(E1620,'NI-Soc_SP'!$C:$AN,12,FALSE)</f>
        <v>0</v>
      </c>
      <c r="R1620" s="55">
        <f>VLOOKUP(E1620,'NI-Soc_SP'!$C:$AN,13,FALSE)</f>
        <v>0</v>
      </c>
      <c r="S1620" s="55"/>
      <c r="T1620" s="55"/>
      <c r="U1620" s="55">
        <f>VLOOKUP($E1620,'NI-Soc_SP'!$C:$AN,MID(U$1,1,2),FALSE)</f>
        <v>0</v>
      </c>
      <c r="V1620" s="55">
        <f>VLOOKUP($E1620,'NI-Soc_SP'!$C:$AN,MID(V$1,1,2),FALSE)</f>
        <v>0</v>
      </c>
      <c r="W1620" s="55">
        <f>VLOOKUP($E1620,'NI-Soc_SP'!$C:$AN,MID(W$1,1,2),FALSE)</f>
        <v>0</v>
      </c>
      <c r="X1620" s="55">
        <f>VLOOKUP($E1620,'NI-Soc_SP'!$C:$AN,MID(X$1,1,2),FALSE)</f>
        <v>0</v>
      </c>
      <c r="Y1620" s="55">
        <f>VLOOKUP($E1620,'NI-Soc_SP'!$C:$AN,MID(Y$1,1,2),FALSE)</f>
        <v>0</v>
      </c>
      <c r="Z1620" s="55">
        <f>VLOOKUP($E1620,'NI-Soc_SP'!$C:$AN,MID(Z$1,1,2),FALSE)</f>
        <v>0</v>
      </c>
      <c r="AA1620" s="55">
        <f>VLOOKUP($E1620,'NI-Soc_SP'!$C:$AN,MID(AA$1,1,2),FALSE)</f>
        <v>0</v>
      </c>
      <c r="AB1620" s="55">
        <f>VLOOKUP($E1620,'NI-Soc_SP'!$C:$AN,MID(AB$1,1,2),FALSE)</f>
        <v>0</v>
      </c>
      <c r="AC1620" s="55">
        <f>VLOOKUP($E1620,'NI-Soc_SP'!$C:$AN,MID(AC$1,1,2),FALSE)</f>
        <v>0</v>
      </c>
      <c r="AD1620" s="55">
        <f>VLOOKUP($E1620,'NI-Soc_SP'!$C:$AN,MID(AD$1,1,2),FALSE)</f>
        <v>0</v>
      </c>
      <c r="AE1620" s="55">
        <f>VLOOKUP($E1620,'NI-Soc_SP'!$C:$AN,MID(AE$1,1,2),FALSE)</f>
        <v>0</v>
      </c>
      <c r="AF1620" s="55">
        <f>VLOOKUP($E1620,'NI-Soc_SP'!$C:$AN,MID(AF$1,1,2),FALSE)</f>
        <v>0</v>
      </c>
      <c r="AG1620" s="55">
        <f>VLOOKUP($E1620,'NI-Soc_SP'!$C:$AN,MID(AG$1,1,2),FALSE)</f>
        <v>0</v>
      </c>
      <c r="AH1620" s="55">
        <f>VLOOKUP($E1620,'NI-Soc_SP'!$C:$AN,MID(AH$1,1,2),FALSE)</f>
        <v>0</v>
      </c>
      <c r="AI1620" s="55">
        <f>VLOOKUP($E1620,'NI-Soc_SP'!$C:$AN,MID(AI$1,1,2),FALSE)</f>
        <v>0</v>
      </c>
      <c r="AJ1620" s="55">
        <f>VLOOKUP($E1620,'NI-Soc_SP'!$C:$AN,MID(AJ$1,1,2),FALSE)</f>
        <v>0</v>
      </c>
      <c r="AK1620" s="55">
        <f>VLOOKUP($E1620,'NI-Soc_SP'!$C:$AN,MID(AK$1,1,2),FALSE)</f>
        <v>0</v>
      </c>
      <c r="AL1620" s="55">
        <f>VLOOKUP($E1620,'NI-Soc_SP'!$C:$AN,MID(AL$1,1,2),FALSE)</f>
        <v>0</v>
      </c>
      <c r="AM1620" s="56">
        <f>VLOOKUP($E1620,'NI-Soc_SP'!$C:$AN,MID(AM$1,1,2),FALSE)</f>
        <v>0</v>
      </c>
      <c r="AN1620" s="30" t="str">
        <f t="shared" si="25"/>
        <v>10204010030020</v>
      </c>
    </row>
    <row r="1621" spans="3:40" x14ac:dyDescent="0.25">
      <c r="C1621" s="40"/>
      <c r="D1621" s="121" t="s">
        <v>683</v>
      </c>
      <c r="E1621" s="121" t="s">
        <v>684</v>
      </c>
      <c r="F1621" s="122" t="s">
        <v>2758</v>
      </c>
      <c r="G1621" s="52"/>
      <c r="H1621" s="52"/>
      <c r="I1621" s="52" t="s">
        <v>685</v>
      </c>
      <c r="J1621" s="52"/>
      <c r="K1621" s="59" t="s">
        <v>111</v>
      </c>
      <c r="L1621" s="62" t="s">
        <v>686</v>
      </c>
      <c r="M1621" s="52"/>
      <c r="N1621" s="52"/>
      <c r="O1621" s="52"/>
      <c r="P1621" s="54" t="s">
        <v>687</v>
      </c>
      <c r="Q1621" s="55">
        <f>VLOOKUP(E1621,'NI-Soc_SP'!$C:$AN,12,FALSE)</f>
        <v>0</v>
      </c>
      <c r="R1621" s="55">
        <f>VLOOKUP(E1621,'NI-Soc_SP'!$C:$AN,13,FALSE)</f>
        <v>0</v>
      </c>
      <c r="S1621" s="55"/>
      <c r="T1621" s="55"/>
      <c r="U1621" s="55">
        <f>VLOOKUP($E1621,'NI-Soc_SP'!$C:$AN,MID(U$1,1,2),FALSE)</f>
        <v>0</v>
      </c>
      <c r="V1621" s="55">
        <f>VLOOKUP($E1621,'NI-Soc_SP'!$C:$AN,MID(V$1,1,2),FALSE)</f>
        <v>0</v>
      </c>
      <c r="W1621" s="55">
        <f>VLOOKUP($E1621,'NI-Soc_SP'!$C:$AN,MID(W$1,1,2),FALSE)</f>
        <v>0</v>
      </c>
      <c r="X1621" s="55">
        <f>VLOOKUP($E1621,'NI-Soc_SP'!$C:$AN,MID(X$1,1,2),FALSE)</f>
        <v>0</v>
      </c>
      <c r="Y1621" s="55">
        <f>VLOOKUP($E1621,'NI-Soc_SP'!$C:$AN,MID(Y$1,1,2),FALSE)</f>
        <v>0</v>
      </c>
      <c r="Z1621" s="55">
        <f>VLOOKUP($E1621,'NI-Soc_SP'!$C:$AN,MID(Z$1,1,2),FALSE)</f>
        <v>0</v>
      </c>
      <c r="AA1621" s="55">
        <f>VLOOKUP($E1621,'NI-Soc_SP'!$C:$AN,MID(AA$1,1,2),FALSE)</f>
        <v>0</v>
      </c>
      <c r="AB1621" s="55">
        <f>VLOOKUP($E1621,'NI-Soc_SP'!$C:$AN,MID(AB$1,1,2),FALSE)</f>
        <v>0</v>
      </c>
      <c r="AC1621" s="55">
        <f>VLOOKUP($E1621,'NI-Soc_SP'!$C:$AN,MID(AC$1,1,2),FALSE)</f>
        <v>0</v>
      </c>
      <c r="AD1621" s="55">
        <f>VLOOKUP($E1621,'NI-Soc_SP'!$C:$AN,MID(AD$1,1,2),FALSE)</f>
        <v>0</v>
      </c>
      <c r="AE1621" s="55">
        <f>VLOOKUP($E1621,'NI-Soc_SP'!$C:$AN,MID(AE$1,1,2),FALSE)</f>
        <v>0</v>
      </c>
      <c r="AF1621" s="55">
        <f>VLOOKUP($E1621,'NI-Soc_SP'!$C:$AN,MID(AF$1,1,2),FALSE)</f>
        <v>0</v>
      </c>
      <c r="AG1621" s="55">
        <f>VLOOKUP($E1621,'NI-Soc_SP'!$C:$AN,MID(AG$1,1,2),FALSE)</f>
        <v>0</v>
      </c>
      <c r="AH1621" s="55">
        <f>VLOOKUP($E1621,'NI-Soc_SP'!$C:$AN,MID(AH$1,1,2),FALSE)</f>
        <v>0</v>
      </c>
      <c r="AI1621" s="55">
        <f>VLOOKUP($E1621,'NI-Soc_SP'!$C:$AN,MID(AI$1,1,2),FALSE)</f>
        <v>0</v>
      </c>
      <c r="AJ1621" s="55">
        <f>VLOOKUP($E1621,'NI-Soc_SP'!$C:$AN,MID(AJ$1,1,2),FALSE)</f>
        <v>0</v>
      </c>
      <c r="AK1621" s="55">
        <f>VLOOKUP($E1621,'NI-Soc_SP'!$C:$AN,MID(AK$1,1,2),FALSE)</f>
        <v>0</v>
      </c>
      <c r="AL1621" s="55">
        <f>VLOOKUP($E1621,'NI-Soc_SP'!$C:$AN,MID(AL$1,1,2),FALSE)</f>
        <v>0</v>
      </c>
      <c r="AM1621" s="56">
        <f>VLOOKUP($E1621,'NI-Soc_SP'!$C:$AN,MID(AM$1,1,2),FALSE)</f>
        <v>0</v>
      </c>
      <c r="AN1621" s="30" t="str">
        <f t="shared" si="25"/>
        <v>10204020000000</v>
      </c>
    </row>
    <row r="1622" spans="3:40" x14ac:dyDescent="0.25">
      <c r="C1622" s="40"/>
      <c r="D1622" s="121" t="s">
        <v>688</v>
      </c>
      <c r="E1622" s="121" t="s">
        <v>689</v>
      </c>
      <c r="F1622" s="122" t="s">
        <v>2758</v>
      </c>
      <c r="G1622" s="52"/>
      <c r="H1622" s="52"/>
      <c r="I1622" s="52"/>
      <c r="J1622" s="52"/>
      <c r="K1622" s="59" t="s">
        <v>79</v>
      </c>
      <c r="L1622" s="52"/>
      <c r="M1622" s="52"/>
      <c r="N1622" s="52"/>
      <c r="O1622" s="52"/>
      <c r="P1622" s="66" t="s">
        <v>690</v>
      </c>
      <c r="Q1622" s="55">
        <f>VLOOKUP(E1622,'NI-Soc_SP'!$C:$AN,12,FALSE)</f>
        <v>0</v>
      </c>
      <c r="R1622" s="55">
        <f>VLOOKUP(E1622,'NI-Soc_SP'!$C:$AN,13,FALSE)</f>
        <v>0</v>
      </c>
      <c r="S1622" s="55"/>
      <c r="T1622" s="55"/>
      <c r="U1622" s="55">
        <f>VLOOKUP($E1622,'NI-Soc_SP'!$C:$AN,MID(U$1,1,2),FALSE)</f>
        <v>0</v>
      </c>
      <c r="V1622" s="55">
        <f>VLOOKUP($E1622,'NI-Soc_SP'!$C:$AN,MID(V$1,1,2),FALSE)</f>
        <v>0</v>
      </c>
      <c r="W1622" s="55">
        <f>VLOOKUP($E1622,'NI-Soc_SP'!$C:$AN,MID(W$1,1,2),FALSE)</f>
        <v>0</v>
      </c>
      <c r="X1622" s="55">
        <f>VLOOKUP($E1622,'NI-Soc_SP'!$C:$AN,MID(X$1,1,2),FALSE)</f>
        <v>0</v>
      </c>
      <c r="Y1622" s="55">
        <f>VLOOKUP($E1622,'NI-Soc_SP'!$C:$AN,MID(Y$1,1,2),FALSE)</f>
        <v>0</v>
      </c>
      <c r="Z1622" s="55">
        <f>VLOOKUP($E1622,'NI-Soc_SP'!$C:$AN,MID(Z$1,1,2),FALSE)</f>
        <v>0</v>
      </c>
      <c r="AA1622" s="55">
        <f>VLOOKUP($E1622,'NI-Soc_SP'!$C:$AN,MID(AA$1,1,2),FALSE)</f>
        <v>0</v>
      </c>
      <c r="AB1622" s="55">
        <f>VLOOKUP($E1622,'NI-Soc_SP'!$C:$AN,MID(AB$1,1,2),FALSE)</f>
        <v>0</v>
      </c>
      <c r="AC1622" s="55">
        <f>VLOOKUP($E1622,'NI-Soc_SP'!$C:$AN,MID(AC$1,1,2),FALSE)</f>
        <v>0</v>
      </c>
      <c r="AD1622" s="55">
        <f>VLOOKUP($E1622,'NI-Soc_SP'!$C:$AN,MID(AD$1,1,2),FALSE)</f>
        <v>0</v>
      </c>
      <c r="AE1622" s="55">
        <f>VLOOKUP($E1622,'NI-Soc_SP'!$C:$AN,MID(AE$1,1,2),FALSE)</f>
        <v>0</v>
      </c>
      <c r="AF1622" s="55">
        <f>VLOOKUP($E1622,'NI-Soc_SP'!$C:$AN,MID(AF$1,1,2),FALSE)</f>
        <v>0</v>
      </c>
      <c r="AG1622" s="55">
        <f>VLOOKUP($E1622,'NI-Soc_SP'!$C:$AN,MID(AG$1,1,2),FALSE)</f>
        <v>0</v>
      </c>
      <c r="AH1622" s="55">
        <f>VLOOKUP($E1622,'NI-Soc_SP'!$C:$AN,MID(AH$1,1,2),FALSE)</f>
        <v>0</v>
      </c>
      <c r="AI1622" s="55">
        <f>VLOOKUP($E1622,'NI-Soc_SP'!$C:$AN,MID(AI$1,1,2),FALSE)</f>
        <v>0</v>
      </c>
      <c r="AJ1622" s="55">
        <f>VLOOKUP($E1622,'NI-Soc_SP'!$C:$AN,MID(AJ$1,1,2),FALSE)</f>
        <v>0</v>
      </c>
      <c r="AK1622" s="55">
        <f>VLOOKUP($E1622,'NI-Soc_SP'!$C:$AN,MID(AK$1,1,2),FALSE)</f>
        <v>0</v>
      </c>
      <c r="AL1622" s="55">
        <f>VLOOKUP($E1622,'NI-Soc_SP'!$C:$AN,MID(AL$1,1,2),FALSE)</f>
        <v>0</v>
      </c>
      <c r="AM1622" s="56">
        <f>VLOOKUP($E1622,'NI-Soc_SP'!$C:$AN,MID(AM$1,1,2),FALSE)</f>
        <v>0</v>
      </c>
      <c r="AN1622" s="30" t="str">
        <f t="shared" si="25"/>
        <v>10204020010010</v>
      </c>
    </row>
    <row r="1623" spans="3:40" x14ac:dyDescent="0.25">
      <c r="C1623" s="40"/>
      <c r="D1623" s="121" t="s">
        <v>691</v>
      </c>
      <c r="E1623" s="121" t="s">
        <v>692</v>
      </c>
      <c r="F1623" s="122" t="s">
        <v>2758</v>
      </c>
      <c r="G1623" s="52"/>
      <c r="H1623" s="52"/>
      <c r="I1623" s="52"/>
      <c r="J1623" s="52"/>
      <c r="K1623" s="59" t="s">
        <v>79</v>
      </c>
      <c r="L1623" s="52"/>
      <c r="M1623" s="52"/>
      <c r="N1623" s="52"/>
      <c r="O1623" s="52"/>
      <c r="P1623" s="66" t="s">
        <v>693</v>
      </c>
      <c r="Q1623" s="55">
        <f>VLOOKUP(E1623,'NI-Soc_SP'!$C:$AN,12,FALSE)</f>
        <v>0</v>
      </c>
      <c r="R1623" s="55">
        <f>VLOOKUP(E1623,'NI-Soc_SP'!$C:$AN,13,FALSE)</f>
        <v>0</v>
      </c>
      <c r="S1623" s="55"/>
      <c r="T1623" s="55"/>
      <c r="U1623" s="55">
        <f>VLOOKUP($E1623,'NI-Soc_SP'!$C:$AN,MID(U$1,1,2),FALSE)</f>
        <v>0</v>
      </c>
      <c r="V1623" s="55">
        <f>VLOOKUP($E1623,'NI-Soc_SP'!$C:$AN,MID(V$1,1,2),FALSE)</f>
        <v>0</v>
      </c>
      <c r="W1623" s="55">
        <f>VLOOKUP($E1623,'NI-Soc_SP'!$C:$AN,MID(W$1,1,2),FALSE)</f>
        <v>0</v>
      </c>
      <c r="X1623" s="55">
        <f>VLOOKUP($E1623,'NI-Soc_SP'!$C:$AN,MID(X$1,1,2),FALSE)</f>
        <v>0</v>
      </c>
      <c r="Y1623" s="55">
        <f>VLOOKUP($E1623,'NI-Soc_SP'!$C:$AN,MID(Y$1,1,2),FALSE)</f>
        <v>0</v>
      </c>
      <c r="Z1623" s="55">
        <f>VLOOKUP($E1623,'NI-Soc_SP'!$C:$AN,MID(Z$1,1,2),FALSE)</f>
        <v>0</v>
      </c>
      <c r="AA1623" s="55">
        <f>VLOOKUP($E1623,'NI-Soc_SP'!$C:$AN,MID(AA$1,1,2),FALSE)</f>
        <v>0</v>
      </c>
      <c r="AB1623" s="55">
        <f>VLOOKUP($E1623,'NI-Soc_SP'!$C:$AN,MID(AB$1,1,2),FALSE)</f>
        <v>0</v>
      </c>
      <c r="AC1623" s="55">
        <f>VLOOKUP($E1623,'NI-Soc_SP'!$C:$AN,MID(AC$1,1,2),FALSE)</f>
        <v>0</v>
      </c>
      <c r="AD1623" s="55">
        <f>VLOOKUP($E1623,'NI-Soc_SP'!$C:$AN,MID(AD$1,1,2),FALSE)</f>
        <v>0</v>
      </c>
      <c r="AE1623" s="55">
        <f>VLOOKUP($E1623,'NI-Soc_SP'!$C:$AN,MID(AE$1,1,2),FALSE)</f>
        <v>0</v>
      </c>
      <c r="AF1623" s="55">
        <f>VLOOKUP($E1623,'NI-Soc_SP'!$C:$AN,MID(AF$1,1,2),FALSE)</f>
        <v>0</v>
      </c>
      <c r="AG1623" s="55">
        <f>VLOOKUP($E1623,'NI-Soc_SP'!$C:$AN,MID(AG$1,1,2),FALSE)</f>
        <v>0</v>
      </c>
      <c r="AH1623" s="55">
        <f>VLOOKUP($E1623,'NI-Soc_SP'!$C:$AN,MID(AH$1,1,2),FALSE)</f>
        <v>0</v>
      </c>
      <c r="AI1623" s="55">
        <f>VLOOKUP($E1623,'NI-Soc_SP'!$C:$AN,MID(AI$1,1,2),FALSE)</f>
        <v>0</v>
      </c>
      <c r="AJ1623" s="55">
        <f>VLOOKUP($E1623,'NI-Soc_SP'!$C:$AN,MID(AJ$1,1,2),FALSE)</f>
        <v>0</v>
      </c>
      <c r="AK1623" s="55">
        <f>VLOOKUP($E1623,'NI-Soc_SP'!$C:$AN,MID(AK$1,1,2),FALSE)</f>
        <v>0</v>
      </c>
      <c r="AL1623" s="55">
        <f>VLOOKUP($E1623,'NI-Soc_SP'!$C:$AN,MID(AL$1,1,2),FALSE)</f>
        <v>0</v>
      </c>
      <c r="AM1623" s="56">
        <f>VLOOKUP($E1623,'NI-Soc_SP'!$C:$AN,MID(AM$1,1,2),FALSE)</f>
        <v>0</v>
      </c>
      <c r="AN1623" s="30" t="str">
        <f t="shared" si="25"/>
        <v>10204020010020</v>
      </c>
    </row>
    <row r="1624" spans="3:40" x14ac:dyDescent="0.25">
      <c r="C1624" s="40"/>
      <c r="D1624" s="121" t="s">
        <v>694</v>
      </c>
      <c r="E1624" s="121" t="s">
        <v>695</v>
      </c>
      <c r="F1624" s="122" t="s">
        <v>2758</v>
      </c>
      <c r="G1624" s="52"/>
      <c r="H1624" s="52"/>
      <c r="I1624" s="52"/>
      <c r="J1624" s="52"/>
      <c r="K1624" s="59" t="s">
        <v>79</v>
      </c>
      <c r="L1624" s="52"/>
      <c r="M1624" s="52"/>
      <c r="N1624" s="52"/>
      <c r="O1624" s="52"/>
      <c r="P1624" s="66" t="s">
        <v>696</v>
      </c>
      <c r="Q1624" s="55">
        <f>VLOOKUP(E1624,'NI-Soc_SP'!$C:$AN,12,FALSE)</f>
        <v>0</v>
      </c>
      <c r="R1624" s="55">
        <f>VLOOKUP(E1624,'NI-Soc_SP'!$C:$AN,13,FALSE)</f>
        <v>0</v>
      </c>
      <c r="S1624" s="55"/>
      <c r="T1624" s="55"/>
      <c r="U1624" s="55">
        <f>VLOOKUP($E1624,'NI-Soc_SP'!$C:$AN,MID(U$1,1,2),FALSE)</f>
        <v>0</v>
      </c>
      <c r="V1624" s="55">
        <f>VLOOKUP($E1624,'NI-Soc_SP'!$C:$AN,MID(V$1,1,2),FALSE)</f>
        <v>0</v>
      </c>
      <c r="W1624" s="55">
        <f>VLOOKUP($E1624,'NI-Soc_SP'!$C:$AN,MID(W$1,1,2),FALSE)</f>
        <v>0</v>
      </c>
      <c r="X1624" s="55">
        <f>VLOOKUP($E1624,'NI-Soc_SP'!$C:$AN,MID(X$1,1,2),FALSE)</f>
        <v>0</v>
      </c>
      <c r="Y1624" s="55">
        <f>VLOOKUP($E1624,'NI-Soc_SP'!$C:$AN,MID(Y$1,1,2),FALSE)</f>
        <v>0</v>
      </c>
      <c r="Z1624" s="55">
        <f>VLOOKUP($E1624,'NI-Soc_SP'!$C:$AN,MID(Z$1,1,2),FALSE)</f>
        <v>0</v>
      </c>
      <c r="AA1624" s="55">
        <f>VLOOKUP($E1624,'NI-Soc_SP'!$C:$AN,MID(AA$1,1,2),FALSE)</f>
        <v>0</v>
      </c>
      <c r="AB1624" s="55">
        <f>VLOOKUP($E1624,'NI-Soc_SP'!$C:$AN,MID(AB$1,1,2),FALSE)</f>
        <v>0</v>
      </c>
      <c r="AC1624" s="55">
        <f>VLOOKUP($E1624,'NI-Soc_SP'!$C:$AN,MID(AC$1,1,2),FALSE)</f>
        <v>0</v>
      </c>
      <c r="AD1624" s="55">
        <f>VLOOKUP($E1624,'NI-Soc_SP'!$C:$AN,MID(AD$1,1,2),FALSE)</f>
        <v>0</v>
      </c>
      <c r="AE1624" s="55">
        <f>VLOOKUP($E1624,'NI-Soc_SP'!$C:$AN,MID(AE$1,1,2),FALSE)</f>
        <v>0</v>
      </c>
      <c r="AF1624" s="55">
        <f>VLOOKUP($E1624,'NI-Soc_SP'!$C:$AN,MID(AF$1,1,2),FALSE)</f>
        <v>0</v>
      </c>
      <c r="AG1624" s="55">
        <f>VLOOKUP($E1624,'NI-Soc_SP'!$C:$AN,MID(AG$1,1,2),FALSE)</f>
        <v>0</v>
      </c>
      <c r="AH1624" s="55">
        <f>VLOOKUP($E1624,'NI-Soc_SP'!$C:$AN,MID(AH$1,1,2),FALSE)</f>
        <v>0</v>
      </c>
      <c r="AI1624" s="55">
        <f>VLOOKUP($E1624,'NI-Soc_SP'!$C:$AN,MID(AI$1,1,2),FALSE)</f>
        <v>0</v>
      </c>
      <c r="AJ1624" s="55">
        <f>VLOOKUP($E1624,'NI-Soc_SP'!$C:$AN,MID(AJ$1,1,2),FALSE)</f>
        <v>0</v>
      </c>
      <c r="AK1624" s="55">
        <f>VLOOKUP($E1624,'NI-Soc_SP'!$C:$AN,MID(AK$1,1,2),FALSE)</f>
        <v>0</v>
      </c>
      <c r="AL1624" s="55">
        <f>VLOOKUP($E1624,'NI-Soc_SP'!$C:$AN,MID(AL$1,1,2),FALSE)</f>
        <v>0</v>
      </c>
      <c r="AM1624" s="56">
        <f>VLOOKUP($E1624,'NI-Soc_SP'!$C:$AN,MID(AM$1,1,2),FALSE)</f>
        <v>0</v>
      </c>
      <c r="AN1624" s="30" t="str">
        <f t="shared" si="25"/>
        <v>10204020020010</v>
      </c>
    </row>
    <row r="1625" spans="3:40" x14ac:dyDescent="0.25">
      <c r="C1625" s="40"/>
      <c r="D1625" s="121" t="s">
        <v>697</v>
      </c>
      <c r="E1625" s="121" t="s">
        <v>698</v>
      </c>
      <c r="F1625" s="122" t="s">
        <v>2758</v>
      </c>
      <c r="G1625" s="52"/>
      <c r="H1625" s="52"/>
      <c r="I1625" s="52"/>
      <c r="J1625" s="52"/>
      <c r="K1625" s="59" t="s">
        <v>79</v>
      </c>
      <c r="L1625" s="52"/>
      <c r="M1625" s="52"/>
      <c r="N1625" s="52"/>
      <c r="O1625" s="52"/>
      <c r="P1625" s="66" t="s">
        <v>699</v>
      </c>
      <c r="Q1625" s="55">
        <f>VLOOKUP(E1625,'NI-Soc_SP'!$C:$AN,12,FALSE)</f>
        <v>0</v>
      </c>
      <c r="R1625" s="55">
        <f>VLOOKUP(E1625,'NI-Soc_SP'!$C:$AN,13,FALSE)</f>
        <v>0</v>
      </c>
      <c r="S1625" s="55"/>
      <c r="T1625" s="55"/>
      <c r="U1625" s="55">
        <f>VLOOKUP($E1625,'NI-Soc_SP'!$C:$AN,MID(U$1,1,2),FALSE)</f>
        <v>0</v>
      </c>
      <c r="V1625" s="55">
        <f>VLOOKUP($E1625,'NI-Soc_SP'!$C:$AN,MID(V$1,1,2),FALSE)</f>
        <v>0</v>
      </c>
      <c r="W1625" s="55">
        <f>VLOOKUP($E1625,'NI-Soc_SP'!$C:$AN,MID(W$1,1,2),FALSE)</f>
        <v>0</v>
      </c>
      <c r="X1625" s="55">
        <f>VLOOKUP($E1625,'NI-Soc_SP'!$C:$AN,MID(X$1,1,2),FALSE)</f>
        <v>0</v>
      </c>
      <c r="Y1625" s="55">
        <f>VLOOKUP($E1625,'NI-Soc_SP'!$C:$AN,MID(Y$1,1,2),FALSE)</f>
        <v>0</v>
      </c>
      <c r="Z1625" s="55">
        <f>VLOOKUP($E1625,'NI-Soc_SP'!$C:$AN,MID(Z$1,1,2),FALSE)</f>
        <v>0</v>
      </c>
      <c r="AA1625" s="55">
        <f>VLOOKUP($E1625,'NI-Soc_SP'!$C:$AN,MID(AA$1,1,2),FALSE)</f>
        <v>0</v>
      </c>
      <c r="AB1625" s="55">
        <f>VLOOKUP($E1625,'NI-Soc_SP'!$C:$AN,MID(AB$1,1,2),FALSE)</f>
        <v>0</v>
      </c>
      <c r="AC1625" s="55">
        <f>VLOOKUP($E1625,'NI-Soc_SP'!$C:$AN,MID(AC$1,1,2),FALSE)</f>
        <v>0</v>
      </c>
      <c r="AD1625" s="55">
        <f>VLOOKUP($E1625,'NI-Soc_SP'!$C:$AN,MID(AD$1,1,2),FALSE)</f>
        <v>0</v>
      </c>
      <c r="AE1625" s="55">
        <f>VLOOKUP($E1625,'NI-Soc_SP'!$C:$AN,MID(AE$1,1,2),FALSE)</f>
        <v>0</v>
      </c>
      <c r="AF1625" s="55">
        <f>VLOOKUP($E1625,'NI-Soc_SP'!$C:$AN,MID(AF$1,1,2),FALSE)</f>
        <v>0</v>
      </c>
      <c r="AG1625" s="55">
        <f>VLOOKUP($E1625,'NI-Soc_SP'!$C:$AN,MID(AG$1,1,2),FALSE)</f>
        <v>0</v>
      </c>
      <c r="AH1625" s="55">
        <f>VLOOKUP($E1625,'NI-Soc_SP'!$C:$AN,MID(AH$1,1,2),FALSE)</f>
        <v>0</v>
      </c>
      <c r="AI1625" s="55">
        <f>VLOOKUP($E1625,'NI-Soc_SP'!$C:$AN,MID(AI$1,1,2),FALSE)</f>
        <v>0</v>
      </c>
      <c r="AJ1625" s="55">
        <f>VLOOKUP($E1625,'NI-Soc_SP'!$C:$AN,MID(AJ$1,1,2),FALSE)</f>
        <v>0</v>
      </c>
      <c r="AK1625" s="55">
        <f>VLOOKUP($E1625,'NI-Soc_SP'!$C:$AN,MID(AK$1,1,2),FALSE)</f>
        <v>0</v>
      </c>
      <c r="AL1625" s="55">
        <f>VLOOKUP($E1625,'NI-Soc_SP'!$C:$AN,MID(AL$1,1,2),FALSE)</f>
        <v>0</v>
      </c>
      <c r="AM1625" s="56">
        <f>VLOOKUP($E1625,'NI-Soc_SP'!$C:$AN,MID(AM$1,1,2),FALSE)</f>
        <v>0</v>
      </c>
      <c r="AN1625" s="30" t="str">
        <f t="shared" si="25"/>
        <v>10204020020020</v>
      </c>
    </row>
    <row r="1626" spans="3:40" x14ac:dyDescent="0.25">
      <c r="C1626" s="40"/>
      <c r="D1626" s="121" t="s">
        <v>700</v>
      </c>
      <c r="E1626" s="121" t="s">
        <v>701</v>
      </c>
      <c r="F1626" s="122" t="s">
        <v>2758</v>
      </c>
      <c r="G1626" s="52"/>
      <c r="H1626" s="52"/>
      <c r="I1626" s="52"/>
      <c r="J1626" s="52"/>
      <c r="K1626" s="59" t="s">
        <v>79</v>
      </c>
      <c r="L1626" s="52"/>
      <c r="M1626" s="52"/>
      <c r="N1626" s="52"/>
      <c r="O1626" s="52"/>
      <c r="P1626" s="63" t="s">
        <v>702</v>
      </c>
      <c r="Q1626" s="55">
        <f>VLOOKUP(E1626,'NI-Soc_SP'!$C:$AN,12,FALSE)</f>
        <v>0</v>
      </c>
      <c r="R1626" s="55">
        <f>VLOOKUP(E1626,'NI-Soc_SP'!$C:$AN,13,FALSE)</f>
        <v>0</v>
      </c>
      <c r="S1626" s="55"/>
      <c r="T1626" s="55"/>
      <c r="U1626" s="55">
        <f>VLOOKUP($E1626,'NI-Soc_SP'!$C:$AN,MID(U$1,1,2),FALSE)</f>
        <v>0</v>
      </c>
      <c r="V1626" s="55">
        <f>VLOOKUP($E1626,'NI-Soc_SP'!$C:$AN,MID(V$1,1,2),FALSE)</f>
        <v>0</v>
      </c>
      <c r="W1626" s="55">
        <f>VLOOKUP($E1626,'NI-Soc_SP'!$C:$AN,MID(W$1,1,2),FALSE)</f>
        <v>0</v>
      </c>
      <c r="X1626" s="55">
        <f>VLOOKUP($E1626,'NI-Soc_SP'!$C:$AN,MID(X$1,1,2),FALSE)</f>
        <v>0</v>
      </c>
      <c r="Y1626" s="55">
        <f>VLOOKUP($E1626,'NI-Soc_SP'!$C:$AN,MID(Y$1,1,2),FALSE)</f>
        <v>0</v>
      </c>
      <c r="Z1626" s="55">
        <f>VLOOKUP($E1626,'NI-Soc_SP'!$C:$AN,MID(Z$1,1,2),FALSE)</f>
        <v>0</v>
      </c>
      <c r="AA1626" s="55">
        <f>VLOOKUP($E1626,'NI-Soc_SP'!$C:$AN,MID(AA$1,1,2),FALSE)</f>
        <v>0</v>
      </c>
      <c r="AB1626" s="55">
        <f>VLOOKUP($E1626,'NI-Soc_SP'!$C:$AN,MID(AB$1,1,2),FALSE)</f>
        <v>0</v>
      </c>
      <c r="AC1626" s="55">
        <f>VLOOKUP($E1626,'NI-Soc_SP'!$C:$AN,MID(AC$1,1,2),FALSE)</f>
        <v>0</v>
      </c>
      <c r="AD1626" s="55">
        <f>VLOOKUP($E1626,'NI-Soc_SP'!$C:$AN,MID(AD$1,1,2),FALSE)</f>
        <v>0</v>
      </c>
      <c r="AE1626" s="55">
        <f>VLOOKUP($E1626,'NI-Soc_SP'!$C:$AN,MID(AE$1,1,2),FALSE)</f>
        <v>0</v>
      </c>
      <c r="AF1626" s="55">
        <f>VLOOKUP($E1626,'NI-Soc_SP'!$C:$AN,MID(AF$1,1,2),FALSE)</f>
        <v>0</v>
      </c>
      <c r="AG1626" s="55">
        <f>VLOOKUP($E1626,'NI-Soc_SP'!$C:$AN,MID(AG$1,1,2),FALSE)</f>
        <v>0</v>
      </c>
      <c r="AH1626" s="55">
        <f>VLOOKUP($E1626,'NI-Soc_SP'!$C:$AN,MID(AH$1,1,2),FALSE)</f>
        <v>0</v>
      </c>
      <c r="AI1626" s="55">
        <f>VLOOKUP($E1626,'NI-Soc_SP'!$C:$AN,MID(AI$1,1,2),FALSE)</f>
        <v>0</v>
      </c>
      <c r="AJ1626" s="55">
        <f>VLOOKUP($E1626,'NI-Soc_SP'!$C:$AN,MID(AJ$1,1,2),FALSE)</f>
        <v>0</v>
      </c>
      <c r="AK1626" s="55">
        <f>VLOOKUP($E1626,'NI-Soc_SP'!$C:$AN,MID(AK$1,1,2),FALSE)</f>
        <v>0</v>
      </c>
      <c r="AL1626" s="55">
        <f>VLOOKUP($E1626,'NI-Soc_SP'!$C:$AN,MID(AL$1,1,2),FALSE)</f>
        <v>0</v>
      </c>
      <c r="AM1626" s="56">
        <f>VLOOKUP($E1626,'NI-Soc_SP'!$C:$AN,MID(AM$1,1,2),FALSE)</f>
        <v>0</v>
      </c>
      <c r="AN1626" s="30" t="str">
        <f t="shared" si="25"/>
        <v>10204020030010</v>
      </c>
    </row>
    <row r="1627" spans="3:40" x14ac:dyDescent="0.25">
      <c r="C1627" s="40"/>
      <c r="D1627" s="121" t="s">
        <v>703</v>
      </c>
      <c r="E1627" s="121" t="s">
        <v>704</v>
      </c>
      <c r="F1627" s="122" t="s">
        <v>2758</v>
      </c>
      <c r="G1627" s="52"/>
      <c r="H1627" s="52"/>
      <c r="I1627" s="52"/>
      <c r="J1627" s="52"/>
      <c r="K1627" s="59" t="s">
        <v>79</v>
      </c>
      <c r="L1627" s="52"/>
      <c r="M1627" s="52"/>
      <c r="N1627" s="52"/>
      <c r="O1627" s="52"/>
      <c r="P1627" s="63" t="s">
        <v>705</v>
      </c>
      <c r="Q1627" s="55">
        <f>VLOOKUP(E1627,'NI-Soc_SP'!$C:$AN,12,FALSE)</f>
        <v>0</v>
      </c>
      <c r="R1627" s="55">
        <f>VLOOKUP(E1627,'NI-Soc_SP'!$C:$AN,13,FALSE)</f>
        <v>0</v>
      </c>
      <c r="S1627" s="55"/>
      <c r="T1627" s="55"/>
      <c r="U1627" s="55">
        <f>VLOOKUP($E1627,'NI-Soc_SP'!$C:$AN,MID(U$1,1,2),FALSE)</f>
        <v>0</v>
      </c>
      <c r="V1627" s="55">
        <f>VLOOKUP($E1627,'NI-Soc_SP'!$C:$AN,MID(V$1,1,2),FALSE)</f>
        <v>0</v>
      </c>
      <c r="W1627" s="55">
        <f>VLOOKUP($E1627,'NI-Soc_SP'!$C:$AN,MID(W$1,1,2),FALSE)</f>
        <v>0</v>
      </c>
      <c r="X1627" s="55">
        <f>VLOOKUP($E1627,'NI-Soc_SP'!$C:$AN,MID(X$1,1,2),FALSE)</f>
        <v>0</v>
      </c>
      <c r="Y1627" s="55">
        <f>VLOOKUP($E1627,'NI-Soc_SP'!$C:$AN,MID(Y$1,1,2),FALSE)</f>
        <v>0</v>
      </c>
      <c r="Z1627" s="55">
        <f>VLOOKUP($E1627,'NI-Soc_SP'!$C:$AN,MID(Z$1,1,2),FALSE)</f>
        <v>0</v>
      </c>
      <c r="AA1627" s="55">
        <f>VLOOKUP($E1627,'NI-Soc_SP'!$C:$AN,MID(AA$1,1,2),FALSE)</f>
        <v>0</v>
      </c>
      <c r="AB1627" s="55">
        <f>VLOOKUP($E1627,'NI-Soc_SP'!$C:$AN,MID(AB$1,1,2),FALSE)</f>
        <v>0</v>
      </c>
      <c r="AC1627" s="55">
        <f>VLOOKUP($E1627,'NI-Soc_SP'!$C:$AN,MID(AC$1,1,2),FALSE)</f>
        <v>0</v>
      </c>
      <c r="AD1627" s="55">
        <f>VLOOKUP($E1627,'NI-Soc_SP'!$C:$AN,MID(AD$1,1,2),FALSE)</f>
        <v>0</v>
      </c>
      <c r="AE1627" s="55">
        <f>VLOOKUP($E1627,'NI-Soc_SP'!$C:$AN,MID(AE$1,1,2),FALSE)</f>
        <v>0</v>
      </c>
      <c r="AF1627" s="55">
        <f>VLOOKUP($E1627,'NI-Soc_SP'!$C:$AN,MID(AF$1,1,2),FALSE)</f>
        <v>0</v>
      </c>
      <c r="AG1627" s="55">
        <f>VLOOKUP($E1627,'NI-Soc_SP'!$C:$AN,MID(AG$1,1,2),FALSE)</f>
        <v>0</v>
      </c>
      <c r="AH1627" s="55">
        <f>VLOOKUP($E1627,'NI-Soc_SP'!$C:$AN,MID(AH$1,1,2),FALSE)</f>
        <v>0</v>
      </c>
      <c r="AI1627" s="55">
        <f>VLOOKUP($E1627,'NI-Soc_SP'!$C:$AN,MID(AI$1,1,2),FALSE)</f>
        <v>0</v>
      </c>
      <c r="AJ1627" s="55">
        <f>VLOOKUP($E1627,'NI-Soc_SP'!$C:$AN,MID(AJ$1,1,2),FALSE)</f>
        <v>0</v>
      </c>
      <c r="AK1627" s="55">
        <f>VLOOKUP($E1627,'NI-Soc_SP'!$C:$AN,MID(AK$1,1,2),FALSE)</f>
        <v>0</v>
      </c>
      <c r="AL1627" s="55">
        <f>VLOOKUP($E1627,'NI-Soc_SP'!$C:$AN,MID(AL$1,1,2),FALSE)</f>
        <v>0</v>
      </c>
      <c r="AM1627" s="56">
        <f>VLOOKUP($E1627,'NI-Soc_SP'!$C:$AN,MID(AM$1,1,2),FALSE)</f>
        <v>0</v>
      </c>
      <c r="AN1627" s="30" t="str">
        <f t="shared" si="25"/>
        <v>10204020030020</v>
      </c>
    </row>
    <row r="1628" spans="3:40" x14ac:dyDescent="0.25">
      <c r="C1628" s="40"/>
      <c r="D1628" s="121" t="s">
        <v>706</v>
      </c>
      <c r="E1628" s="121" t="s">
        <v>707</v>
      </c>
      <c r="F1628" s="122" t="s">
        <v>2758</v>
      </c>
      <c r="G1628" s="52"/>
      <c r="H1628" s="52"/>
      <c r="I1628" s="52"/>
      <c r="J1628" s="52"/>
      <c r="K1628" s="59" t="s">
        <v>111</v>
      </c>
      <c r="L1628" s="52"/>
      <c r="M1628" s="52"/>
      <c r="N1628" s="52"/>
      <c r="O1628" s="61" t="s">
        <v>708</v>
      </c>
      <c r="P1628" s="60" t="s">
        <v>709</v>
      </c>
      <c r="Q1628" s="55">
        <f>VLOOKUP(E1628,'NI-Soc_SP'!$C:$AN,12,FALSE)</f>
        <v>0</v>
      </c>
      <c r="R1628" s="55">
        <f>VLOOKUP(E1628,'NI-Soc_SP'!$C:$AN,13,FALSE)</f>
        <v>0</v>
      </c>
      <c r="S1628" s="55"/>
      <c r="T1628" s="55"/>
      <c r="U1628" s="55">
        <f>VLOOKUP($E1628,'NI-Soc_SP'!$C:$AN,MID(U$1,1,2),FALSE)</f>
        <v>0</v>
      </c>
      <c r="V1628" s="55">
        <f>VLOOKUP($E1628,'NI-Soc_SP'!$C:$AN,MID(V$1,1,2),FALSE)</f>
        <v>0</v>
      </c>
      <c r="W1628" s="55">
        <f>VLOOKUP($E1628,'NI-Soc_SP'!$C:$AN,MID(W$1,1,2),FALSE)</f>
        <v>0</v>
      </c>
      <c r="X1628" s="55">
        <f>VLOOKUP($E1628,'NI-Soc_SP'!$C:$AN,MID(X$1,1,2),FALSE)</f>
        <v>0</v>
      </c>
      <c r="Y1628" s="55">
        <f>VLOOKUP($E1628,'NI-Soc_SP'!$C:$AN,MID(Y$1,1,2),FALSE)</f>
        <v>0</v>
      </c>
      <c r="Z1628" s="55">
        <f>VLOOKUP($E1628,'NI-Soc_SP'!$C:$AN,MID(Z$1,1,2),FALSE)</f>
        <v>0</v>
      </c>
      <c r="AA1628" s="55">
        <f>VLOOKUP($E1628,'NI-Soc_SP'!$C:$AN,MID(AA$1,1,2),FALSE)</f>
        <v>0</v>
      </c>
      <c r="AB1628" s="55">
        <f>VLOOKUP($E1628,'NI-Soc_SP'!$C:$AN,MID(AB$1,1,2),FALSE)</f>
        <v>0</v>
      </c>
      <c r="AC1628" s="55">
        <f>VLOOKUP($E1628,'NI-Soc_SP'!$C:$AN,MID(AC$1,1,2),FALSE)</f>
        <v>0</v>
      </c>
      <c r="AD1628" s="55">
        <f>VLOOKUP($E1628,'NI-Soc_SP'!$C:$AN,MID(AD$1,1,2),FALSE)</f>
        <v>0</v>
      </c>
      <c r="AE1628" s="55">
        <f>VLOOKUP($E1628,'NI-Soc_SP'!$C:$AN,MID(AE$1,1,2),FALSE)</f>
        <v>0</v>
      </c>
      <c r="AF1628" s="55">
        <f>VLOOKUP($E1628,'NI-Soc_SP'!$C:$AN,MID(AF$1,1,2),FALSE)</f>
        <v>0</v>
      </c>
      <c r="AG1628" s="55">
        <f>VLOOKUP($E1628,'NI-Soc_SP'!$C:$AN,MID(AG$1,1,2),FALSE)</f>
        <v>0</v>
      </c>
      <c r="AH1628" s="55">
        <f>VLOOKUP($E1628,'NI-Soc_SP'!$C:$AN,MID(AH$1,1,2),FALSE)</f>
        <v>0</v>
      </c>
      <c r="AI1628" s="55">
        <f>VLOOKUP($E1628,'NI-Soc_SP'!$C:$AN,MID(AI$1,1,2),FALSE)</f>
        <v>0</v>
      </c>
      <c r="AJ1628" s="55">
        <f>VLOOKUP($E1628,'NI-Soc_SP'!$C:$AN,MID(AJ$1,1,2),FALSE)</f>
        <v>0</v>
      </c>
      <c r="AK1628" s="55">
        <f>VLOOKUP($E1628,'NI-Soc_SP'!$C:$AN,MID(AK$1,1,2),FALSE)</f>
        <v>0</v>
      </c>
      <c r="AL1628" s="55">
        <f>VLOOKUP($E1628,'NI-Soc_SP'!$C:$AN,MID(AL$1,1,2),FALSE)</f>
        <v>0</v>
      </c>
      <c r="AM1628" s="56">
        <f>VLOOKUP($E1628,'NI-Soc_SP'!$C:$AN,MID(AM$1,1,2),FALSE)</f>
        <v>0</v>
      </c>
      <c r="AN1628" s="30" t="str">
        <f t="shared" si="25"/>
        <v>10205000000000</v>
      </c>
    </row>
    <row r="1629" spans="3:40" x14ac:dyDescent="0.25">
      <c r="C1629" s="40"/>
      <c r="D1629" s="121" t="s">
        <v>710</v>
      </c>
      <c r="E1629" s="121" t="s">
        <v>711</v>
      </c>
      <c r="F1629" s="122" t="s">
        <v>2758</v>
      </c>
      <c r="G1629" s="52"/>
      <c r="H1629" s="52"/>
      <c r="I1629" s="52" t="s">
        <v>712</v>
      </c>
      <c r="J1629" s="52"/>
      <c r="K1629" s="59" t="s">
        <v>111</v>
      </c>
      <c r="L1629" s="62" t="s">
        <v>713</v>
      </c>
      <c r="M1629" s="52"/>
      <c r="N1629" s="52"/>
      <c r="O1629" s="52"/>
      <c r="P1629" s="54" t="s">
        <v>714</v>
      </c>
      <c r="Q1629" s="55">
        <f>VLOOKUP(E1629,'NI-Soc_SP'!$C:$AN,12,FALSE)</f>
        <v>0</v>
      </c>
      <c r="R1629" s="55">
        <f>VLOOKUP(E1629,'NI-Soc_SP'!$C:$AN,13,FALSE)</f>
        <v>0</v>
      </c>
      <c r="S1629" s="55"/>
      <c r="T1629" s="55"/>
      <c r="U1629" s="55">
        <f>VLOOKUP($E1629,'NI-Soc_SP'!$C:$AN,MID(U$1,1,2),FALSE)</f>
        <v>0</v>
      </c>
      <c r="V1629" s="55">
        <f>VLOOKUP($E1629,'NI-Soc_SP'!$C:$AN,MID(V$1,1,2),FALSE)</f>
        <v>0</v>
      </c>
      <c r="W1629" s="55">
        <f>VLOOKUP($E1629,'NI-Soc_SP'!$C:$AN,MID(W$1,1,2),FALSE)</f>
        <v>0</v>
      </c>
      <c r="X1629" s="55">
        <f>VLOOKUP($E1629,'NI-Soc_SP'!$C:$AN,MID(X$1,1,2),FALSE)</f>
        <v>0</v>
      </c>
      <c r="Y1629" s="55">
        <f>VLOOKUP($E1629,'NI-Soc_SP'!$C:$AN,MID(Y$1,1,2),FALSE)</f>
        <v>0</v>
      </c>
      <c r="Z1629" s="55">
        <f>VLOOKUP($E1629,'NI-Soc_SP'!$C:$AN,MID(Z$1,1,2),FALSE)</f>
        <v>0</v>
      </c>
      <c r="AA1629" s="55">
        <f>VLOOKUP($E1629,'NI-Soc_SP'!$C:$AN,MID(AA$1,1,2),FALSE)</f>
        <v>0</v>
      </c>
      <c r="AB1629" s="55">
        <f>VLOOKUP($E1629,'NI-Soc_SP'!$C:$AN,MID(AB$1,1,2),FALSE)</f>
        <v>0</v>
      </c>
      <c r="AC1629" s="55">
        <f>VLOOKUP($E1629,'NI-Soc_SP'!$C:$AN,MID(AC$1,1,2),FALSE)</f>
        <v>0</v>
      </c>
      <c r="AD1629" s="55">
        <f>VLOOKUP($E1629,'NI-Soc_SP'!$C:$AN,MID(AD$1,1,2),FALSE)</f>
        <v>0</v>
      </c>
      <c r="AE1629" s="55">
        <f>VLOOKUP($E1629,'NI-Soc_SP'!$C:$AN,MID(AE$1,1,2),FALSE)</f>
        <v>0</v>
      </c>
      <c r="AF1629" s="55">
        <f>VLOOKUP($E1629,'NI-Soc_SP'!$C:$AN,MID(AF$1,1,2),FALSE)</f>
        <v>0</v>
      </c>
      <c r="AG1629" s="55">
        <f>VLOOKUP($E1629,'NI-Soc_SP'!$C:$AN,MID(AG$1,1,2),FALSE)</f>
        <v>0</v>
      </c>
      <c r="AH1629" s="55">
        <f>VLOOKUP($E1629,'NI-Soc_SP'!$C:$AN,MID(AH$1,1,2),FALSE)</f>
        <v>0</v>
      </c>
      <c r="AI1629" s="55">
        <f>VLOOKUP($E1629,'NI-Soc_SP'!$C:$AN,MID(AI$1,1,2),FALSE)</f>
        <v>0</v>
      </c>
      <c r="AJ1629" s="55">
        <f>VLOOKUP($E1629,'NI-Soc_SP'!$C:$AN,MID(AJ$1,1,2),FALSE)</f>
        <v>0</v>
      </c>
      <c r="AK1629" s="55">
        <f>VLOOKUP($E1629,'NI-Soc_SP'!$C:$AN,MID(AK$1,1,2),FALSE)</f>
        <v>0</v>
      </c>
      <c r="AL1629" s="55">
        <f>VLOOKUP($E1629,'NI-Soc_SP'!$C:$AN,MID(AL$1,1,2),FALSE)</f>
        <v>0</v>
      </c>
      <c r="AM1629" s="56">
        <f>VLOOKUP($E1629,'NI-Soc_SP'!$C:$AN,MID(AM$1,1,2),FALSE)</f>
        <v>0</v>
      </c>
      <c r="AN1629" s="30" t="str">
        <f t="shared" si="25"/>
        <v>10205010000000</v>
      </c>
    </row>
    <row r="1630" spans="3:40" x14ac:dyDescent="0.25">
      <c r="C1630" s="40"/>
      <c r="D1630" s="121" t="s">
        <v>715</v>
      </c>
      <c r="E1630" s="121" t="s">
        <v>716</v>
      </c>
      <c r="F1630" s="122" t="s">
        <v>2758</v>
      </c>
      <c r="G1630" s="52"/>
      <c r="H1630" s="52"/>
      <c r="I1630" s="52"/>
      <c r="J1630" s="52"/>
      <c r="K1630" s="59" t="s">
        <v>79</v>
      </c>
      <c r="L1630" s="52"/>
      <c r="M1630" s="52"/>
      <c r="N1630" s="52"/>
      <c r="O1630" s="52"/>
      <c r="P1630" s="63" t="s">
        <v>717</v>
      </c>
      <c r="Q1630" s="55">
        <f>VLOOKUP(E1630,'NI-Soc_SP'!$C:$AN,12,FALSE)</f>
        <v>0</v>
      </c>
      <c r="R1630" s="55">
        <f>VLOOKUP(E1630,'NI-Soc_SP'!$C:$AN,13,FALSE)</f>
        <v>0</v>
      </c>
      <c r="S1630" s="55"/>
      <c r="T1630" s="55"/>
      <c r="U1630" s="55">
        <f>VLOOKUP($E1630,'NI-Soc_SP'!$C:$AN,MID(U$1,1,2),FALSE)</f>
        <v>0</v>
      </c>
      <c r="V1630" s="55">
        <f>VLOOKUP($E1630,'NI-Soc_SP'!$C:$AN,MID(V$1,1,2),FALSE)</f>
        <v>0</v>
      </c>
      <c r="W1630" s="55">
        <f>VLOOKUP($E1630,'NI-Soc_SP'!$C:$AN,MID(W$1,1,2),FALSE)</f>
        <v>0</v>
      </c>
      <c r="X1630" s="55">
        <f>VLOOKUP($E1630,'NI-Soc_SP'!$C:$AN,MID(X$1,1,2),FALSE)</f>
        <v>0</v>
      </c>
      <c r="Y1630" s="55">
        <f>VLOOKUP($E1630,'NI-Soc_SP'!$C:$AN,MID(Y$1,1,2),FALSE)</f>
        <v>0</v>
      </c>
      <c r="Z1630" s="55">
        <f>VLOOKUP($E1630,'NI-Soc_SP'!$C:$AN,MID(Z$1,1,2),FALSE)</f>
        <v>0</v>
      </c>
      <c r="AA1630" s="55">
        <f>VLOOKUP($E1630,'NI-Soc_SP'!$C:$AN,MID(AA$1,1,2),FALSE)</f>
        <v>0</v>
      </c>
      <c r="AB1630" s="55">
        <f>VLOOKUP($E1630,'NI-Soc_SP'!$C:$AN,MID(AB$1,1,2),FALSE)</f>
        <v>0</v>
      </c>
      <c r="AC1630" s="55">
        <f>VLOOKUP($E1630,'NI-Soc_SP'!$C:$AN,MID(AC$1,1,2),FALSE)</f>
        <v>0</v>
      </c>
      <c r="AD1630" s="55">
        <f>VLOOKUP($E1630,'NI-Soc_SP'!$C:$AN,MID(AD$1,1,2),FALSE)</f>
        <v>0</v>
      </c>
      <c r="AE1630" s="55">
        <f>VLOOKUP($E1630,'NI-Soc_SP'!$C:$AN,MID(AE$1,1,2),FALSE)</f>
        <v>0</v>
      </c>
      <c r="AF1630" s="55">
        <f>VLOOKUP($E1630,'NI-Soc_SP'!$C:$AN,MID(AF$1,1,2),FALSE)</f>
        <v>0</v>
      </c>
      <c r="AG1630" s="55">
        <f>VLOOKUP($E1630,'NI-Soc_SP'!$C:$AN,MID(AG$1,1,2),FALSE)</f>
        <v>0</v>
      </c>
      <c r="AH1630" s="55">
        <f>VLOOKUP($E1630,'NI-Soc_SP'!$C:$AN,MID(AH$1,1,2),FALSE)</f>
        <v>0</v>
      </c>
      <c r="AI1630" s="55">
        <f>VLOOKUP($E1630,'NI-Soc_SP'!$C:$AN,MID(AI$1,1,2),FALSE)</f>
        <v>0</v>
      </c>
      <c r="AJ1630" s="55">
        <f>VLOOKUP($E1630,'NI-Soc_SP'!$C:$AN,MID(AJ$1,1,2),FALSE)</f>
        <v>0</v>
      </c>
      <c r="AK1630" s="55">
        <f>VLOOKUP($E1630,'NI-Soc_SP'!$C:$AN,MID(AK$1,1,2),FALSE)</f>
        <v>0</v>
      </c>
      <c r="AL1630" s="55">
        <f>VLOOKUP($E1630,'NI-Soc_SP'!$C:$AN,MID(AL$1,1,2),FALSE)</f>
        <v>0</v>
      </c>
      <c r="AM1630" s="56">
        <f>VLOOKUP($E1630,'NI-Soc_SP'!$C:$AN,MID(AM$1,1,2),FALSE)</f>
        <v>0</v>
      </c>
      <c r="AN1630" s="30" t="str">
        <f t="shared" si="25"/>
        <v>10205010010010</v>
      </c>
    </row>
    <row r="1631" spans="3:40" x14ac:dyDescent="0.25">
      <c r="C1631" s="40"/>
      <c r="D1631" s="121" t="s">
        <v>718</v>
      </c>
      <c r="E1631" s="121" t="s">
        <v>719</v>
      </c>
      <c r="F1631" s="122" t="s">
        <v>2758</v>
      </c>
      <c r="G1631" s="52"/>
      <c r="H1631" s="52"/>
      <c r="I1631" s="52"/>
      <c r="J1631" s="52"/>
      <c r="K1631" s="59" t="s">
        <v>79</v>
      </c>
      <c r="L1631" s="52"/>
      <c r="M1631" s="52"/>
      <c r="N1631" s="52"/>
      <c r="O1631" s="52"/>
      <c r="P1631" s="63" t="s">
        <v>720</v>
      </c>
      <c r="Q1631" s="55">
        <f>VLOOKUP(E1631,'NI-Soc_SP'!$C:$AN,12,FALSE)</f>
        <v>0</v>
      </c>
      <c r="R1631" s="55">
        <f>VLOOKUP(E1631,'NI-Soc_SP'!$C:$AN,13,FALSE)</f>
        <v>0</v>
      </c>
      <c r="S1631" s="55"/>
      <c r="T1631" s="55"/>
      <c r="U1631" s="55">
        <f>VLOOKUP($E1631,'NI-Soc_SP'!$C:$AN,MID(U$1,1,2),FALSE)</f>
        <v>0</v>
      </c>
      <c r="V1631" s="55">
        <f>VLOOKUP($E1631,'NI-Soc_SP'!$C:$AN,MID(V$1,1,2),FALSE)</f>
        <v>0</v>
      </c>
      <c r="W1631" s="55">
        <f>VLOOKUP($E1631,'NI-Soc_SP'!$C:$AN,MID(W$1,1,2),FALSE)</f>
        <v>0</v>
      </c>
      <c r="X1631" s="55">
        <f>VLOOKUP($E1631,'NI-Soc_SP'!$C:$AN,MID(X$1,1,2),FALSE)</f>
        <v>0</v>
      </c>
      <c r="Y1631" s="55">
        <f>VLOOKUP($E1631,'NI-Soc_SP'!$C:$AN,MID(Y$1,1,2),FALSE)</f>
        <v>0</v>
      </c>
      <c r="Z1631" s="55">
        <f>VLOOKUP($E1631,'NI-Soc_SP'!$C:$AN,MID(Z$1,1,2),FALSE)</f>
        <v>0</v>
      </c>
      <c r="AA1631" s="55">
        <f>VLOOKUP($E1631,'NI-Soc_SP'!$C:$AN,MID(AA$1,1,2),FALSE)</f>
        <v>0</v>
      </c>
      <c r="AB1631" s="55">
        <f>VLOOKUP($E1631,'NI-Soc_SP'!$C:$AN,MID(AB$1,1,2),FALSE)</f>
        <v>0</v>
      </c>
      <c r="AC1631" s="55">
        <f>VLOOKUP($E1631,'NI-Soc_SP'!$C:$AN,MID(AC$1,1,2),FALSE)</f>
        <v>0</v>
      </c>
      <c r="AD1631" s="55">
        <f>VLOOKUP($E1631,'NI-Soc_SP'!$C:$AN,MID(AD$1,1,2),FALSE)</f>
        <v>0</v>
      </c>
      <c r="AE1631" s="55">
        <f>VLOOKUP($E1631,'NI-Soc_SP'!$C:$AN,MID(AE$1,1,2),FALSE)</f>
        <v>0</v>
      </c>
      <c r="AF1631" s="55">
        <f>VLOOKUP($E1631,'NI-Soc_SP'!$C:$AN,MID(AF$1,1,2),FALSE)</f>
        <v>0</v>
      </c>
      <c r="AG1631" s="55">
        <f>VLOOKUP($E1631,'NI-Soc_SP'!$C:$AN,MID(AG$1,1,2),FALSE)</f>
        <v>0</v>
      </c>
      <c r="AH1631" s="55">
        <f>VLOOKUP($E1631,'NI-Soc_SP'!$C:$AN,MID(AH$1,1,2),FALSE)</f>
        <v>0</v>
      </c>
      <c r="AI1631" s="55">
        <f>VLOOKUP($E1631,'NI-Soc_SP'!$C:$AN,MID(AI$1,1,2),FALSE)</f>
        <v>0</v>
      </c>
      <c r="AJ1631" s="55">
        <f>VLOOKUP($E1631,'NI-Soc_SP'!$C:$AN,MID(AJ$1,1,2),FALSE)</f>
        <v>0</v>
      </c>
      <c r="AK1631" s="55">
        <f>VLOOKUP($E1631,'NI-Soc_SP'!$C:$AN,MID(AK$1,1,2),FALSE)</f>
        <v>0</v>
      </c>
      <c r="AL1631" s="55">
        <f>VLOOKUP($E1631,'NI-Soc_SP'!$C:$AN,MID(AL$1,1,2),FALSE)</f>
        <v>0</v>
      </c>
      <c r="AM1631" s="56">
        <f>VLOOKUP($E1631,'NI-Soc_SP'!$C:$AN,MID(AM$1,1,2),FALSE)</f>
        <v>0</v>
      </c>
      <c r="AN1631" s="30" t="str">
        <f t="shared" si="25"/>
        <v>10205010010020</v>
      </c>
    </row>
    <row r="1632" spans="3:40" x14ac:dyDescent="0.25">
      <c r="C1632" s="40"/>
      <c r="D1632" s="121" t="s">
        <v>721</v>
      </c>
      <c r="E1632" s="121" t="s">
        <v>722</v>
      </c>
      <c r="F1632" s="122" t="s">
        <v>2758</v>
      </c>
      <c r="G1632" s="52"/>
      <c r="H1632" s="52"/>
      <c r="I1632" s="52"/>
      <c r="J1632" s="52"/>
      <c r="K1632" s="59" t="s">
        <v>79</v>
      </c>
      <c r="L1632" s="52"/>
      <c r="M1632" s="52"/>
      <c r="N1632" s="52"/>
      <c r="O1632" s="52"/>
      <c r="P1632" s="63" t="s">
        <v>723</v>
      </c>
      <c r="Q1632" s="55">
        <f>VLOOKUP(E1632,'NI-Soc_SP'!$C:$AN,12,FALSE)</f>
        <v>0</v>
      </c>
      <c r="R1632" s="55">
        <f>VLOOKUP(E1632,'NI-Soc_SP'!$C:$AN,13,FALSE)</f>
        <v>0</v>
      </c>
      <c r="S1632" s="55"/>
      <c r="T1632" s="55"/>
      <c r="U1632" s="55">
        <f>VLOOKUP($E1632,'NI-Soc_SP'!$C:$AN,MID(U$1,1,2),FALSE)</f>
        <v>0</v>
      </c>
      <c r="V1632" s="55">
        <f>VLOOKUP($E1632,'NI-Soc_SP'!$C:$AN,MID(V$1,1,2),FALSE)</f>
        <v>0</v>
      </c>
      <c r="W1632" s="55">
        <f>VLOOKUP($E1632,'NI-Soc_SP'!$C:$AN,MID(W$1,1,2),FALSE)</f>
        <v>0</v>
      </c>
      <c r="X1632" s="55">
        <f>VLOOKUP($E1632,'NI-Soc_SP'!$C:$AN,MID(X$1,1,2),FALSE)</f>
        <v>0</v>
      </c>
      <c r="Y1632" s="55">
        <f>VLOOKUP($E1632,'NI-Soc_SP'!$C:$AN,MID(Y$1,1,2),FALSE)</f>
        <v>0</v>
      </c>
      <c r="Z1632" s="55">
        <f>VLOOKUP($E1632,'NI-Soc_SP'!$C:$AN,MID(Z$1,1,2),FALSE)</f>
        <v>0</v>
      </c>
      <c r="AA1632" s="55">
        <f>VLOOKUP($E1632,'NI-Soc_SP'!$C:$AN,MID(AA$1,1,2),FALSE)</f>
        <v>0</v>
      </c>
      <c r="AB1632" s="55">
        <f>VLOOKUP($E1632,'NI-Soc_SP'!$C:$AN,MID(AB$1,1,2),FALSE)</f>
        <v>0</v>
      </c>
      <c r="AC1632" s="55">
        <f>VLOOKUP($E1632,'NI-Soc_SP'!$C:$AN,MID(AC$1,1,2),FALSE)</f>
        <v>0</v>
      </c>
      <c r="AD1632" s="55">
        <f>VLOOKUP($E1632,'NI-Soc_SP'!$C:$AN,MID(AD$1,1,2),FALSE)</f>
        <v>0</v>
      </c>
      <c r="AE1632" s="55">
        <f>VLOOKUP($E1632,'NI-Soc_SP'!$C:$AN,MID(AE$1,1,2),FALSE)</f>
        <v>0</v>
      </c>
      <c r="AF1632" s="55">
        <f>VLOOKUP($E1632,'NI-Soc_SP'!$C:$AN,MID(AF$1,1,2),FALSE)</f>
        <v>0</v>
      </c>
      <c r="AG1632" s="55">
        <f>VLOOKUP($E1632,'NI-Soc_SP'!$C:$AN,MID(AG$1,1,2),FALSE)</f>
        <v>0</v>
      </c>
      <c r="AH1632" s="55">
        <f>VLOOKUP($E1632,'NI-Soc_SP'!$C:$AN,MID(AH$1,1,2),FALSE)</f>
        <v>0</v>
      </c>
      <c r="AI1632" s="55">
        <f>VLOOKUP($E1632,'NI-Soc_SP'!$C:$AN,MID(AI$1,1,2),FALSE)</f>
        <v>0</v>
      </c>
      <c r="AJ1632" s="55">
        <f>VLOOKUP($E1632,'NI-Soc_SP'!$C:$AN,MID(AJ$1,1,2),FALSE)</f>
        <v>0</v>
      </c>
      <c r="AK1632" s="55">
        <f>VLOOKUP($E1632,'NI-Soc_SP'!$C:$AN,MID(AK$1,1,2),FALSE)</f>
        <v>0</v>
      </c>
      <c r="AL1632" s="55">
        <f>VLOOKUP($E1632,'NI-Soc_SP'!$C:$AN,MID(AL$1,1,2),FALSE)</f>
        <v>0</v>
      </c>
      <c r="AM1632" s="56">
        <f>VLOOKUP($E1632,'NI-Soc_SP'!$C:$AN,MID(AM$1,1,2),FALSE)</f>
        <v>0</v>
      </c>
      <c r="AN1632" s="30" t="str">
        <f t="shared" si="25"/>
        <v>10205010020010</v>
      </c>
    </row>
    <row r="1633" spans="3:40" x14ac:dyDescent="0.25">
      <c r="C1633" s="40"/>
      <c r="D1633" s="121" t="s">
        <v>724</v>
      </c>
      <c r="E1633" s="121" t="s">
        <v>725</v>
      </c>
      <c r="F1633" s="122" t="s">
        <v>2758</v>
      </c>
      <c r="G1633" s="52"/>
      <c r="H1633" s="52"/>
      <c r="I1633" s="52"/>
      <c r="J1633" s="52"/>
      <c r="K1633" s="59" t="s">
        <v>79</v>
      </c>
      <c r="L1633" s="52"/>
      <c r="M1633" s="52"/>
      <c r="N1633" s="52"/>
      <c r="O1633" s="52"/>
      <c r="P1633" s="63" t="s">
        <v>726</v>
      </c>
      <c r="Q1633" s="55">
        <f>VLOOKUP(E1633,'NI-Soc_SP'!$C:$AN,12,FALSE)</f>
        <v>0</v>
      </c>
      <c r="R1633" s="55">
        <f>VLOOKUP(E1633,'NI-Soc_SP'!$C:$AN,13,FALSE)</f>
        <v>0</v>
      </c>
      <c r="S1633" s="55"/>
      <c r="T1633" s="55"/>
      <c r="U1633" s="55">
        <f>VLOOKUP($E1633,'NI-Soc_SP'!$C:$AN,MID(U$1,1,2),FALSE)</f>
        <v>0</v>
      </c>
      <c r="V1633" s="55">
        <f>VLOOKUP($E1633,'NI-Soc_SP'!$C:$AN,MID(V$1,1,2),FALSE)</f>
        <v>0</v>
      </c>
      <c r="W1633" s="55">
        <f>VLOOKUP($E1633,'NI-Soc_SP'!$C:$AN,MID(W$1,1,2),FALSE)</f>
        <v>0</v>
      </c>
      <c r="X1633" s="55">
        <f>VLOOKUP($E1633,'NI-Soc_SP'!$C:$AN,MID(X$1,1,2),FALSE)</f>
        <v>0</v>
      </c>
      <c r="Y1633" s="55">
        <f>VLOOKUP($E1633,'NI-Soc_SP'!$C:$AN,MID(Y$1,1,2),FALSE)</f>
        <v>0</v>
      </c>
      <c r="Z1633" s="55">
        <f>VLOOKUP($E1633,'NI-Soc_SP'!$C:$AN,MID(Z$1,1,2),FALSE)</f>
        <v>0</v>
      </c>
      <c r="AA1633" s="55">
        <f>VLOOKUP($E1633,'NI-Soc_SP'!$C:$AN,MID(AA$1,1,2),FALSE)</f>
        <v>0</v>
      </c>
      <c r="AB1633" s="55">
        <f>VLOOKUP($E1633,'NI-Soc_SP'!$C:$AN,MID(AB$1,1,2),FALSE)</f>
        <v>0</v>
      </c>
      <c r="AC1633" s="55">
        <f>VLOOKUP($E1633,'NI-Soc_SP'!$C:$AN,MID(AC$1,1,2),FALSE)</f>
        <v>0</v>
      </c>
      <c r="AD1633" s="55">
        <f>VLOOKUP($E1633,'NI-Soc_SP'!$C:$AN,MID(AD$1,1,2),FALSE)</f>
        <v>0</v>
      </c>
      <c r="AE1633" s="55">
        <f>VLOOKUP($E1633,'NI-Soc_SP'!$C:$AN,MID(AE$1,1,2),FALSE)</f>
        <v>0</v>
      </c>
      <c r="AF1633" s="55">
        <f>VLOOKUP($E1633,'NI-Soc_SP'!$C:$AN,MID(AF$1,1,2),FALSE)</f>
        <v>0</v>
      </c>
      <c r="AG1633" s="55">
        <f>VLOOKUP($E1633,'NI-Soc_SP'!$C:$AN,MID(AG$1,1,2),FALSE)</f>
        <v>0</v>
      </c>
      <c r="AH1633" s="55">
        <f>VLOOKUP($E1633,'NI-Soc_SP'!$C:$AN,MID(AH$1,1,2),FALSE)</f>
        <v>0</v>
      </c>
      <c r="AI1633" s="55">
        <f>VLOOKUP($E1633,'NI-Soc_SP'!$C:$AN,MID(AI$1,1,2),FALSE)</f>
        <v>0</v>
      </c>
      <c r="AJ1633" s="55">
        <f>VLOOKUP($E1633,'NI-Soc_SP'!$C:$AN,MID(AJ$1,1,2),FALSE)</f>
        <v>0</v>
      </c>
      <c r="AK1633" s="55">
        <f>VLOOKUP($E1633,'NI-Soc_SP'!$C:$AN,MID(AK$1,1,2),FALSE)</f>
        <v>0</v>
      </c>
      <c r="AL1633" s="55">
        <f>VLOOKUP($E1633,'NI-Soc_SP'!$C:$AN,MID(AL$1,1,2),FALSE)</f>
        <v>0</v>
      </c>
      <c r="AM1633" s="56">
        <f>VLOOKUP($E1633,'NI-Soc_SP'!$C:$AN,MID(AM$1,1,2),FALSE)</f>
        <v>0</v>
      </c>
      <c r="AN1633" s="30" t="str">
        <f t="shared" si="25"/>
        <v>10205010020020</v>
      </c>
    </row>
    <row r="1634" spans="3:40" x14ac:dyDescent="0.25">
      <c r="C1634" s="40"/>
      <c r="D1634" s="121" t="s">
        <v>727</v>
      </c>
      <c r="E1634" s="121" t="s">
        <v>728</v>
      </c>
      <c r="F1634" s="122" t="s">
        <v>2758</v>
      </c>
      <c r="G1634" s="52"/>
      <c r="H1634" s="52"/>
      <c r="I1634" s="52"/>
      <c r="J1634" s="52"/>
      <c r="K1634" s="59" t="s">
        <v>79</v>
      </c>
      <c r="L1634" s="52"/>
      <c r="M1634" s="52"/>
      <c r="N1634" s="52"/>
      <c r="O1634" s="52"/>
      <c r="P1634" s="63" t="s">
        <v>729</v>
      </c>
      <c r="Q1634" s="55">
        <f>VLOOKUP(E1634,'NI-Soc_SP'!$C:$AN,12,FALSE)</f>
        <v>0</v>
      </c>
      <c r="R1634" s="55">
        <f>VLOOKUP(E1634,'NI-Soc_SP'!$C:$AN,13,FALSE)</f>
        <v>0</v>
      </c>
      <c r="S1634" s="55"/>
      <c r="T1634" s="55"/>
      <c r="U1634" s="55">
        <f>VLOOKUP($E1634,'NI-Soc_SP'!$C:$AN,MID(U$1,1,2),FALSE)</f>
        <v>0</v>
      </c>
      <c r="V1634" s="55">
        <f>VLOOKUP($E1634,'NI-Soc_SP'!$C:$AN,MID(V$1,1,2),FALSE)</f>
        <v>0</v>
      </c>
      <c r="W1634" s="55">
        <f>VLOOKUP($E1634,'NI-Soc_SP'!$C:$AN,MID(W$1,1,2),FALSE)</f>
        <v>0</v>
      </c>
      <c r="X1634" s="55">
        <f>VLOOKUP($E1634,'NI-Soc_SP'!$C:$AN,MID(X$1,1,2),FALSE)</f>
        <v>0</v>
      </c>
      <c r="Y1634" s="55">
        <f>VLOOKUP($E1634,'NI-Soc_SP'!$C:$AN,MID(Y$1,1,2),FALSE)</f>
        <v>0</v>
      </c>
      <c r="Z1634" s="55">
        <f>VLOOKUP($E1634,'NI-Soc_SP'!$C:$AN,MID(Z$1,1,2),FALSE)</f>
        <v>0</v>
      </c>
      <c r="AA1634" s="55">
        <f>VLOOKUP($E1634,'NI-Soc_SP'!$C:$AN,MID(AA$1,1,2),FALSE)</f>
        <v>0</v>
      </c>
      <c r="AB1634" s="55">
        <f>VLOOKUP($E1634,'NI-Soc_SP'!$C:$AN,MID(AB$1,1,2),FALSE)</f>
        <v>0</v>
      </c>
      <c r="AC1634" s="55">
        <f>VLOOKUP($E1634,'NI-Soc_SP'!$C:$AN,MID(AC$1,1,2),FALSE)</f>
        <v>0</v>
      </c>
      <c r="AD1634" s="55">
        <f>VLOOKUP($E1634,'NI-Soc_SP'!$C:$AN,MID(AD$1,1,2),FALSE)</f>
        <v>0</v>
      </c>
      <c r="AE1634" s="55">
        <f>VLOOKUP($E1634,'NI-Soc_SP'!$C:$AN,MID(AE$1,1,2),FALSE)</f>
        <v>0</v>
      </c>
      <c r="AF1634" s="55">
        <f>VLOOKUP($E1634,'NI-Soc_SP'!$C:$AN,MID(AF$1,1,2),FALSE)</f>
        <v>0</v>
      </c>
      <c r="AG1634" s="55">
        <f>VLOOKUP($E1634,'NI-Soc_SP'!$C:$AN,MID(AG$1,1,2),FALSE)</f>
        <v>0</v>
      </c>
      <c r="AH1634" s="55">
        <f>VLOOKUP($E1634,'NI-Soc_SP'!$C:$AN,MID(AH$1,1,2),FALSE)</f>
        <v>0</v>
      </c>
      <c r="AI1634" s="55">
        <f>VLOOKUP($E1634,'NI-Soc_SP'!$C:$AN,MID(AI$1,1,2),FALSE)</f>
        <v>0</v>
      </c>
      <c r="AJ1634" s="55">
        <f>VLOOKUP($E1634,'NI-Soc_SP'!$C:$AN,MID(AJ$1,1,2),FALSE)</f>
        <v>0</v>
      </c>
      <c r="AK1634" s="55">
        <f>VLOOKUP($E1634,'NI-Soc_SP'!$C:$AN,MID(AK$1,1,2),FALSE)</f>
        <v>0</v>
      </c>
      <c r="AL1634" s="55">
        <f>VLOOKUP($E1634,'NI-Soc_SP'!$C:$AN,MID(AL$1,1,2),FALSE)</f>
        <v>0</v>
      </c>
      <c r="AM1634" s="56">
        <f>VLOOKUP($E1634,'NI-Soc_SP'!$C:$AN,MID(AM$1,1,2),FALSE)</f>
        <v>0</v>
      </c>
      <c r="AN1634" s="30" t="str">
        <f t="shared" si="25"/>
        <v>10205010030010</v>
      </c>
    </row>
    <row r="1635" spans="3:40" x14ac:dyDescent="0.25">
      <c r="C1635" s="40"/>
      <c r="D1635" s="121" t="s">
        <v>730</v>
      </c>
      <c r="E1635" s="121" t="s">
        <v>731</v>
      </c>
      <c r="F1635" s="122" t="s">
        <v>2758</v>
      </c>
      <c r="G1635" s="52"/>
      <c r="H1635" s="52"/>
      <c r="I1635" s="52"/>
      <c r="J1635" s="52"/>
      <c r="K1635" s="59" t="s">
        <v>79</v>
      </c>
      <c r="L1635" s="52"/>
      <c r="M1635" s="52"/>
      <c r="N1635" s="52"/>
      <c r="O1635" s="52"/>
      <c r="P1635" s="63" t="s">
        <v>732</v>
      </c>
      <c r="Q1635" s="55">
        <f>VLOOKUP(E1635,'NI-Soc_SP'!$C:$AN,12,FALSE)</f>
        <v>0</v>
      </c>
      <c r="R1635" s="55">
        <f>VLOOKUP(E1635,'NI-Soc_SP'!$C:$AN,13,FALSE)</f>
        <v>0</v>
      </c>
      <c r="S1635" s="55"/>
      <c r="T1635" s="55"/>
      <c r="U1635" s="55">
        <f>VLOOKUP($E1635,'NI-Soc_SP'!$C:$AN,MID(U$1,1,2),FALSE)</f>
        <v>0</v>
      </c>
      <c r="V1635" s="55">
        <f>VLOOKUP($E1635,'NI-Soc_SP'!$C:$AN,MID(V$1,1,2),FALSE)</f>
        <v>0</v>
      </c>
      <c r="W1635" s="55">
        <f>VLOOKUP($E1635,'NI-Soc_SP'!$C:$AN,MID(W$1,1,2),FALSE)</f>
        <v>0</v>
      </c>
      <c r="X1635" s="55">
        <f>VLOOKUP($E1635,'NI-Soc_SP'!$C:$AN,MID(X$1,1,2),FALSE)</f>
        <v>0</v>
      </c>
      <c r="Y1635" s="55">
        <f>VLOOKUP($E1635,'NI-Soc_SP'!$C:$AN,MID(Y$1,1,2),FALSE)</f>
        <v>0</v>
      </c>
      <c r="Z1635" s="55">
        <f>VLOOKUP($E1635,'NI-Soc_SP'!$C:$AN,MID(Z$1,1,2),FALSE)</f>
        <v>0</v>
      </c>
      <c r="AA1635" s="55">
        <f>VLOOKUP($E1635,'NI-Soc_SP'!$C:$AN,MID(AA$1,1,2),FALSE)</f>
        <v>0</v>
      </c>
      <c r="AB1635" s="55">
        <f>VLOOKUP($E1635,'NI-Soc_SP'!$C:$AN,MID(AB$1,1,2),FALSE)</f>
        <v>0</v>
      </c>
      <c r="AC1635" s="55">
        <f>VLOOKUP($E1635,'NI-Soc_SP'!$C:$AN,MID(AC$1,1,2),FALSE)</f>
        <v>0</v>
      </c>
      <c r="AD1635" s="55">
        <f>VLOOKUP($E1635,'NI-Soc_SP'!$C:$AN,MID(AD$1,1,2),FALSE)</f>
        <v>0</v>
      </c>
      <c r="AE1635" s="55">
        <f>VLOOKUP($E1635,'NI-Soc_SP'!$C:$AN,MID(AE$1,1,2),FALSE)</f>
        <v>0</v>
      </c>
      <c r="AF1635" s="55">
        <f>VLOOKUP($E1635,'NI-Soc_SP'!$C:$AN,MID(AF$1,1,2),FALSE)</f>
        <v>0</v>
      </c>
      <c r="AG1635" s="55">
        <f>VLOOKUP($E1635,'NI-Soc_SP'!$C:$AN,MID(AG$1,1,2),FALSE)</f>
        <v>0</v>
      </c>
      <c r="AH1635" s="55">
        <f>VLOOKUP($E1635,'NI-Soc_SP'!$C:$AN,MID(AH$1,1,2),FALSE)</f>
        <v>0</v>
      </c>
      <c r="AI1635" s="55">
        <f>VLOOKUP($E1635,'NI-Soc_SP'!$C:$AN,MID(AI$1,1,2),FALSE)</f>
        <v>0</v>
      </c>
      <c r="AJ1635" s="55">
        <f>VLOOKUP($E1635,'NI-Soc_SP'!$C:$AN,MID(AJ$1,1,2),FALSE)</f>
        <v>0</v>
      </c>
      <c r="AK1635" s="55">
        <f>VLOOKUP($E1635,'NI-Soc_SP'!$C:$AN,MID(AK$1,1,2),FALSE)</f>
        <v>0</v>
      </c>
      <c r="AL1635" s="55">
        <f>VLOOKUP($E1635,'NI-Soc_SP'!$C:$AN,MID(AL$1,1,2),FALSE)</f>
        <v>0</v>
      </c>
      <c r="AM1635" s="56">
        <f>VLOOKUP($E1635,'NI-Soc_SP'!$C:$AN,MID(AM$1,1,2),FALSE)</f>
        <v>0</v>
      </c>
      <c r="AN1635" s="30" t="str">
        <f t="shared" si="25"/>
        <v>10205010030020</v>
      </c>
    </row>
    <row r="1636" spans="3:40" x14ac:dyDescent="0.25">
      <c r="C1636" s="40"/>
      <c r="D1636" s="121" t="s">
        <v>733</v>
      </c>
      <c r="E1636" s="121" t="s">
        <v>734</v>
      </c>
      <c r="F1636" s="122" t="s">
        <v>2758</v>
      </c>
      <c r="G1636" s="52"/>
      <c r="H1636" s="52"/>
      <c r="I1636" s="52"/>
      <c r="J1636" s="52"/>
      <c r="K1636" s="59" t="s">
        <v>79</v>
      </c>
      <c r="L1636" s="52"/>
      <c r="M1636" s="52"/>
      <c r="N1636" s="52"/>
      <c r="O1636" s="52"/>
      <c r="P1636" s="63" t="s">
        <v>735</v>
      </c>
      <c r="Q1636" s="55">
        <f>VLOOKUP(E1636,'NI-Soc_SP'!$C:$AN,12,FALSE)</f>
        <v>0</v>
      </c>
      <c r="R1636" s="55">
        <f>VLOOKUP(E1636,'NI-Soc_SP'!$C:$AN,13,FALSE)</f>
        <v>0</v>
      </c>
      <c r="S1636" s="55"/>
      <c r="T1636" s="55"/>
      <c r="U1636" s="55">
        <f>VLOOKUP($E1636,'NI-Soc_SP'!$C:$AN,MID(U$1,1,2),FALSE)</f>
        <v>0</v>
      </c>
      <c r="V1636" s="55">
        <f>VLOOKUP($E1636,'NI-Soc_SP'!$C:$AN,MID(V$1,1,2),FALSE)</f>
        <v>0</v>
      </c>
      <c r="W1636" s="55">
        <f>VLOOKUP($E1636,'NI-Soc_SP'!$C:$AN,MID(W$1,1,2),FALSE)</f>
        <v>0</v>
      </c>
      <c r="X1636" s="55">
        <f>VLOOKUP($E1636,'NI-Soc_SP'!$C:$AN,MID(X$1,1,2),FALSE)</f>
        <v>0</v>
      </c>
      <c r="Y1636" s="55">
        <f>VLOOKUP($E1636,'NI-Soc_SP'!$C:$AN,MID(Y$1,1,2),FALSE)</f>
        <v>0</v>
      </c>
      <c r="Z1636" s="55">
        <f>VLOOKUP($E1636,'NI-Soc_SP'!$C:$AN,MID(Z$1,1,2),FALSE)</f>
        <v>0</v>
      </c>
      <c r="AA1636" s="55">
        <f>VLOOKUP($E1636,'NI-Soc_SP'!$C:$AN,MID(AA$1,1,2),FALSE)</f>
        <v>0</v>
      </c>
      <c r="AB1636" s="55">
        <f>VLOOKUP($E1636,'NI-Soc_SP'!$C:$AN,MID(AB$1,1,2),FALSE)</f>
        <v>0</v>
      </c>
      <c r="AC1636" s="55">
        <f>VLOOKUP($E1636,'NI-Soc_SP'!$C:$AN,MID(AC$1,1,2),FALSE)</f>
        <v>0</v>
      </c>
      <c r="AD1636" s="55">
        <f>VLOOKUP($E1636,'NI-Soc_SP'!$C:$AN,MID(AD$1,1,2),FALSE)</f>
        <v>0</v>
      </c>
      <c r="AE1636" s="55">
        <f>VLOOKUP($E1636,'NI-Soc_SP'!$C:$AN,MID(AE$1,1,2),FALSE)</f>
        <v>0</v>
      </c>
      <c r="AF1636" s="55">
        <f>VLOOKUP($E1636,'NI-Soc_SP'!$C:$AN,MID(AF$1,1,2),FALSE)</f>
        <v>0</v>
      </c>
      <c r="AG1636" s="55">
        <f>VLOOKUP($E1636,'NI-Soc_SP'!$C:$AN,MID(AG$1,1,2),FALSE)</f>
        <v>0</v>
      </c>
      <c r="AH1636" s="55">
        <f>VLOOKUP($E1636,'NI-Soc_SP'!$C:$AN,MID(AH$1,1,2),FALSE)</f>
        <v>0</v>
      </c>
      <c r="AI1636" s="55">
        <f>VLOOKUP($E1636,'NI-Soc_SP'!$C:$AN,MID(AI$1,1,2),FALSE)</f>
        <v>0</v>
      </c>
      <c r="AJ1636" s="55">
        <f>VLOOKUP($E1636,'NI-Soc_SP'!$C:$AN,MID(AJ$1,1,2),FALSE)</f>
        <v>0</v>
      </c>
      <c r="AK1636" s="55">
        <f>VLOOKUP($E1636,'NI-Soc_SP'!$C:$AN,MID(AK$1,1,2),FALSE)</f>
        <v>0</v>
      </c>
      <c r="AL1636" s="55">
        <f>VLOOKUP($E1636,'NI-Soc_SP'!$C:$AN,MID(AL$1,1,2),FALSE)</f>
        <v>0</v>
      </c>
      <c r="AM1636" s="56">
        <f>VLOOKUP($E1636,'NI-Soc_SP'!$C:$AN,MID(AM$1,1,2),FALSE)</f>
        <v>0</v>
      </c>
      <c r="AN1636" s="30" t="str">
        <f t="shared" si="25"/>
        <v>10205010040010</v>
      </c>
    </row>
    <row r="1637" spans="3:40" x14ac:dyDescent="0.25">
      <c r="C1637" s="40"/>
      <c r="D1637" s="121" t="s">
        <v>736</v>
      </c>
      <c r="E1637" s="121" t="s">
        <v>737</v>
      </c>
      <c r="F1637" s="122" t="s">
        <v>2758</v>
      </c>
      <c r="G1637" s="52"/>
      <c r="H1637" s="52"/>
      <c r="I1637" s="52"/>
      <c r="J1637" s="52"/>
      <c r="K1637" s="59" t="s">
        <v>79</v>
      </c>
      <c r="L1637" s="52"/>
      <c r="M1637" s="52"/>
      <c r="N1637" s="52"/>
      <c r="O1637" s="52"/>
      <c r="P1637" s="63" t="s">
        <v>738</v>
      </c>
      <c r="Q1637" s="55">
        <f>VLOOKUP(E1637,'NI-Soc_SP'!$C:$AN,12,FALSE)</f>
        <v>0</v>
      </c>
      <c r="R1637" s="55">
        <f>VLOOKUP(E1637,'NI-Soc_SP'!$C:$AN,13,FALSE)</f>
        <v>0</v>
      </c>
      <c r="S1637" s="55"/>
      <c r="T1637" s="55"/>
      <c r="U1637" s="55">
        <f>VLOOKUP($E1637,'NI-Soc_SP'!$C:$AN,MID(U$1,1,2),FALSE)</f>
        <v>0</v>
      </c>
      <c r="V1637" s="55">
        <f>VLOOKUP($E1637,'NI-Soc_SP'!$C:$AN,MID(V$1,1,2),FALSE)</f>
        <v>0</v>
      </c>
      <c r="W1637" s="55">
        <f>VLOOKUP($E1637,'NI-Soc_SP'!$C:$AN,MID(W$1,1,2),FALSE)</f>
        <v>0</v>
      </c>
      <c r="X1637" s="55">
        <f>VLOOKUP($E1637,'NI-Soc_SP'!$C:$AN,MID(X$1,1,2),FALSE)</f>
        <v>0</v>
      </c>
      <c r="Y1637" s="55">
        <f>VLOOKUP($E1637,'NI-Soc_SP'!$C:$AN,MID(Y$1,1,2),FALSE)</f>
        <v>0</v>
      </c>
      <c r="Z1637" s="55">
        <f>VLOOKUP($E1637,'NI-Soc_SP'!$C:$AN,MID(Z$1,1,2),FALSE)</f>
        <v>0</v>
      </c>
      <c r="AA1637" s="55">
        <f>VLOOKUP($E1637,'NI-Soc_SP'!$C:$AN,MID(AA$1,1,2),FALSE)</f>
        <v>0</v>
      </c>
      <c r="AB1637" s="55">
        <f>VLOOKUP($E1637,'NI-Soc_SP'!$C:$AN,MID(AB$1,1,2),FALSE)</f>
        <v>0</v>
      </c>
      <c r="AC1637" s="55">
        <f>VLOOKUP($E1637,'NI-Soc_SP'!$C:$AN,MID(AC$1,1,2),FALSE)</f>
        <v>0</v>
      </c>
      <c r="AD1637" s="55">
        <f>VLOOKUP($E1637,'NI-Soc_SP'!$C:$AN,MID(AD$1,1,2),FALSE)</f>
        <v>0</v>
      </c>
      <c r="AE1637" s="55">
        <f>VLOOKUP($E1637,'NI-Soc_SP'!$C:$AN,MID(AE$1,1,2),FALSE)</f>
        <v>0</v>
      </c>
      <c r="AF1637" s="55">
        <f>VLOOKUP($E1637,'NI-Soc_SP'!$C:$AN,MID(AF$1,1,2),FALSE)</f>
        <v>0</v>
      </c>
      <c r="AG1637" s="55">
        <f>VLOOKUP($E1637,'NI-Soc_SP'!$C:$AN,MID(AG$1,1,2),FALSE)</f>
        <v>0</v>
      </c>
      <c r="AH1637" s="55">
        <f>VLOOKUP($E1637,'NI-Soc_SP'!$C:$AN,MID(AH$1,1,2),FALSE)</f>
        <v>0</v>
      </c>
      <c r="AI1637" s="55">
        <f>VLOOKUP($E1637,'NI-Soc_SP'!$C:$AN,MID(AI$1,1,2),FALSE)</f>
        <v>0</v>
      </c>
      <c r="AJ1637" s="55">
        <f>VLOOKUP($E1637,'NI-Soc_SP'!$C:$AN,MID(AJ$1,1,2),FALSE)</f>
        <v>0</v>
      </c>
      <c r="AK1637" s="55">
        <f>VLOOKUP($E1637,'NI-Soc_SP'!$C:$AN,MID(AK$1,1,2),FALSE)</f>
        <v>0</v>
      </c>
      <c r="AL1637" s="55">
        <f>VLOOKUP($E1637,'NI-Soc_SP'!$C:$AN,MID(AL$1,1,2),FALSE)</f>
        <v>0</v>
      </c>
      <c r="AM1637" s="56">
        <f>VLOOKUP($E1637,'NI-Soc_SP'!$C:$AN,MID(AM$1,1,2),FALSE)</f>
        <v>0</v>
      </c>
      <c r="AN1637" s="30" t="str">
        <f t="shared" si="25"/>
        <v>10205010040020</v>
      </c>
    </row>
    <row r="1638" spans="3:40" x14ac:dyDescent="0.25">
      <c r="C1638" s="40"/>
      <c r="D1638" s="121" t="s">
        <v>739</v>
      </c>
      <c r="E1638" s="121" t="s">
        <v>740</v>
      </c>
      <c r="F1638" s="122" t="s">
        <v>2758</v>
      </c>
      <c r="G1638" s="52"/>
      <c r="H1638" s="52"/>
      <c r="I1638" s="52" t="s">
        <v>741</v>
      </c>
      <c r="J1638" s="52"/>
      <c r="K1638" s="59" t="s">
        <v>111</v>
      </c>
      <c r="L1638" s="62" t="s">
        <v>742</v>
      </c>
      <c r="M1638" s="52"/>
      <c r="N1638" s="52"/>
      <c r="O1638" s="52"/>
      <c r="P1638" s="54" t="s">
        <v>743</v>
      </c>
      <c r="Q1638" s="55">
        <f>VLOOKUP(E1638,'NI-Soc_SP'!$C:$AN,12,FALSE)</f>
        <v>0</v>
      </c>
      <c r="R1638" s="55">
        <f>VLOOKUP(E1638,'NI-Soc_SP'!$C:$AN,13,FALSE)</f>
        <v>0</v>
      </c>
      <c r="S1638" s="55"/>
      <c r="T1638" s="55"/>
      <c r="U1638" s="55">
        <f>VLOOKUP($E1638,'NI-Soc_SP'!$C:$AN,MID(U$1,1,2),FALSE)</f>
        <v>0</v>
      </c>
      <c r="V1638" s="55">
        <f>VLOOKUP($E1638,'NI-Soc_SP'!$C:$AN,MID(V$1,1,2),FALSE)</f>
        <v>0</v>
      </c>
      <c r="W1638" s="55">
        <f>VLOOKUP($E1638,'NI-Soc_SP'!$C:$AN,MID(W$1,1,2),FALSE)</f>
        <v>0</v>
      </c>
      <c r="X1638" s="55">
        <f>VLOOKUP($E1638,'NI-Soc_SP'!$C:$AN,MID(X$1,1,2),FALSE)</f>
        <v>0</v>
      </c>
      <c r="Y1638" s="55">
        <f>VLOOKUP($E1638,'NI-Soc_SP'!$C:$AN,MID(Y$1,1,2),FALSE)</f>
        <v>0</v>
      </c>
      <c r="Z1638" s="55">
        <f>VLOOKUP($E1638,'NI-Soc_SP'!$C:$AN,MID(Z$1,1,2),FALSE)</f>
        <v>0</v>
      </c>
      <c r="AA1638" s="55">
        <f>VLOOKUP($E1638,'NI-Soc_SP'!$C:$AN,MID(AA$1,1,2),FALSE)</f>
        <v>0</v>
      </c>
      <c r="AB1638" s="55">
        <f>VLOOKUP($E1638,'NI-Soc_SP'!$C:$AN,MID(AB$1,1,2),FALSE)</f>
        <v>0</v>
      </c>
      <c r="AC1638" s="55">
        <f>VLOOKUP($E1638,'NI-Soc_SP'!$C:$AN,MID(AC$1,1,2),FALSE)</f>
        <v>0</v>
      </c>
      <c r="AD1638" s="55">
        <f>VLOOKUP($E1638,'NI-Soc_SP'!$C:$AN,MID(AD$1,1,2),FALSE)</f>
        <v>0</v>
      </c>
      <c r="AE1638" s="55">
        <f>VLOOKUP($E1638,'NI-Soc_SP'!$C:$AN,MID(AE$1,1,2),FALSE)</f>
        <v>0</v>
      </c>
      <c r="AF1638" s="55">
        <f>VLOOKUP($E1638,'NI-Soc_SP'!$C:$AN,MID(AF$1,1,2),FALSE)</f>
        <v>0</v>
      </c>
      <c r="AG1638" s="55">
        <f>VLOOKUP($E1638,'NI-Soc_SP'!$C:$AN,MID(AG$1,1,2),FALSE)</f>
        <v>0</v>
      </c>
      <c r="AH1638" s="55">
        <f>VLOOKUP($E1638,'NI-Soc_SP'!$C:$AN,MID(AH$1,1,2),FALSE)</f>
        <v>0</v>
      </c>
      <c r="AI1638" s="55">
        <f>VLOOKUP($E1638,'NI-Soc_SP'!$C:$AN,MID(AI$1,1,2),FALSE)</f>
        <v>0</v>
      </c>
      <c r="AJ1638" s="55">
        <f>VLOOKUP($E1638,'NI-Soc_SP'!$C:$AN,MID(AJ$1,1,2),FALSE)</f>
        <v>0</v>
      </c>
      <c r="AK1638" s="55">
        <f>VLOOKUP($E1638,'NI-Soc_SP'!$C:$AN,MID(AK$1,1,2),FALSE)</f>
        <v>0</v>
      </c>
      <c r="AL1638" s="55">
        <f>VLOOKUP($E1638,'NI-Soc_SP'!$C:$AN,MID(AL$1,1,2),FALSE)</f>
        <v>0</v>
      </c>
      <c r="AM1638" s="56">
        <f>VLOOKUP($E1638,'NI-Soc_SP'!$C:$AN,MID(AM$1,1,2),FALSE)</f>
        <v>0</v>
      </c>
      <c r="AN1638" s="30" t="str">
        <f t="shared" si="25"/>
        <v>10205020000000</v>
      </c>
    </row>
    <row r="1639" spans="3:40" x14ac:dyDescent="0.25">
      <c r="C1639" s="40"/>
      <c r="D1639" s="121" t="s">
        <v>744</v>
      </c>
      <c r="E1639" s="121" t="s">
        <v>745</v>
      </c>
      <c r="F1639" s="122" t="s">
        <v>2758</v>
      </c>
      <c r="G1639" s="52"/>
      <c r="H1639" s="52"/>
      <c r="I1639" s="52"/>
      <c r="J1639" s="52"/>
      <c r="K1639" s="59" t="s">
        <v>79</v>
      </c>
      <c r="L1639" s="52"/>
      <c r="M1639" s="52"/>
      <c r="N1639" s="52"/>
      <c r="O1639" s="52"/>
      <c r="P1639" s="63" t="s">
        <v>746</v>
      </c>
      <c r="Q1639" s="55">
        <f>VLOOKUP(E1639,'NI-Soc_SP'!$C:$AN,12,FALSE)</f>
        <v>0</v>
      </c>
      <c r="R1639" s="55">
        <f>VLOOKUP(E1639,'NI-Soc_SP'!$C:$AN,13,FALSE)</f>
        <v>0</v>
      </c>
      <c r="S1639" s="55"/>
      <c r="T1639" s="55"/>
      <c r="U1639" s="55">
        <f>VLOOKUP($E1639,'NI-Soc_SP'!$C:$AN,MID(U$1,1,2),FALSE)</f>
        <v>0</v>
      </c>
      <c r="V1639" s="55">
        <f>VLOOKUP($E1639,'NI-Soc_SP'!$C:$AN,MID(V$1,1,2),FALSE)</f>
        <v>0</v>
      </c>
      <c r="W1639" s="55">
        <f>VLOOKUP($E1639,'NI-Soc_SP'!$C:$AN,MID(W$1,1,2),FALSE)</f>
        <v>0</v>
      </c>
      <c r="X1639" s="55">
        <f>VLOOKUP($E1639,'NI-Soc_SP'!$C:$AN,MID(X$1,1,2),FALSE)</f>
        <v>0</v>
      </c>
      <c r="Y1639" s="55">
        <f>VLOOKUP($E1639,'NI-Soc_SP'!$C:$AN,MID(Y$1,1,2),FALSE)</f>
        <v>0</v>
      </c>
      <c r="Z1639" s="55">
        <f>VLOOKUP($E1639,'NI-Soc_SP'!$C:$AN,MID(Z$1,1,2),FALSE)</f>
        <v>0</v>
      </c>
      <c r="AA1639" s="55">
        <f>VLOOKUP($E1639,'NI-Soc_SP'!$C:$AN,MID(AA$1,1,2),FALSE)</f>
        <v>0</v>
      </c>
      <c r="AB1639" s="55">
        <f>VLOOKUP($E1639,'NI-Soc_SP'!$C:$AN,MID(AB$1,1,2),FALSE)</f>
        <v>0</v>
      </c>
      <c r="AC1639" s="55">
        <f>VLOOKUP($E1639,'NI-Soc_SP'!$C:$AN,MID(AC$1,1,2),FALSE)</f>
        <v>0</v>
      </c>
      <c r="AD1639" s="55">
        <f>VLOOKUP($E1639,'NI-Soc_SP'!$C:$AN,MID(AD$1,1,2),FALSE)</f>
        <v>0</v>
      </c>
      <c r="AE1639" s="55">
        <f>VLOOKUP($E1639,'NI-Soc_SP'!$C:$AN,MID(AE$1,1,2),FALSE)</f>
        <v>0</v>
      </c>
      <c r="AF1639" s="55">
        <f>VLOOKUP($E1639,'NI-Soc_SP'!$C:$AN,MID(AF$1,1,2),FALSE)</f>
        <v>0</v>
      </c>
      <c r="AG1639" s="55">
        <f>VLOOKUP($E1639,'NI-Soc_SP'!$C:$AN,MID(AG$1,1,2),FALSE)</f>
        <v>0</v>
      </c>
      <c r="AH1639" s="55">
        <f>VLOOKUP($E1639,'NI-Soc_SP'!$C:$AN,MID(AH$1,1,2),FALSE)</f>
        <v>0</v>
      </c>
      <c r="AI1639" s="55">
        <f>VLOOKUP($E1639,'NI-Soc_SP'!$C:$AN,MID(AI$1,1,2),FALSE)</f>
        <v>0</v>
      </c>
      <c r="AJ1639" s="55">
        <f>VLOOKUP($E1639,'NI-Soc_SP'!$C:$AN,MID(AJ$1,1,2),FALSE)</f>
        <v>0</v>
      </c>
      <c r="AK1639" s="55">
        <f>VLOOKUP($E1639,'NI-Soc_SP'!$C:$AN,MID(AK$1,1,2),FALSE)</f>
        <v>0</v>
      </c>
      <c r="AL1639" s="55">
        <f>VLOOKUP($E1639,'NI-Soc_SP'!$C:$AN,MID(AL$1,1,2),FALSE)</f>
        <v>0</v>
      </c>
      <c r="AM1639" s="56">
        <f>VLOOKUP($E1639,'NI-Soc_SP'!$C:$AN,MID(AM$1,1,2),FALSE)</f>
        <v>0</v>
      </c>
      <c r="AN1639" s="30" t="str">
        <f t="shared" si="25"/>
        <v>10205020010010</v>
      </c>
    </row>
    <row r="1640" spans="3:40" x14ac:dyDescent="0.25">
      <c r="C1640" s="40"/>
      <c r="D1640" s="121" t="s">
        <v>747</v>
      </c>
      <c r="E1640" s="121" t="s">
        <v>748</v>
      </c>
      <c r="F1640" s="122" t="s">
        <v>2758</v>
      </c>
      <c r="G1640" s="52"/>
      <c r="H1640" s="52"/>
      <c r="I1640" s="52"/>
      <c r="J1640" s="52"/>
      <c r="K1640" s="59" t="s">
        <v>79</v>
      </c>
      <c r="L1640" s="52"/>
      <c r="M1640" s="52"/>
      <c r="N1640" s="52"/>
      <c r="O1640" s="52"/>
      <c r="P1640" s="63" t="s">
        <v>749</v>
      </c>
      <c r="Q1640" s="55">
        <f>VLOOKUP(E1640,'NI-Soc_SP'!$C:$AN,12,FALSE)</f>
        <v>0</v>
      </c>
      <c r="R1640" s="55">
        <f>VLOOKUP(E1640,'NI-Soc_SP'!$C:$AN,13,FALSE)</f>
        <v>0</v>
      </c>
      <c r="S1640" s="55"/>
      <c r="T1640" s="55"/>
      <c r="U1640" s="55">
        <f>VLOOKUP($E1640,'NI-Soc_SP'!$C:$AN,MID(U$1,1,2),FALSE)</f>
        <v>0</v>
      </c>
      <c r="V1640" s="55">
        <f>VLOOKUP($E1640,'NI-Soc_SP'!$C:$AN,MID(V$1,1,2),FALSE)</f>
        <v>0</v>
      </c>
      <c r="W1640" s="55">
        <f>VLOOKUP($E1640,'NI-Soc_SP'!$C:$AN,MID(W$1,1,2),FALSE)</f>
        <v>0</v>
      </c>
      <c r="X1640" s="55">
        <f>VLOOKUP($E1640,'NI-Soc_SP'!$C:$AN,MID(X$1,1,2),FALSE)</f>
        <v>0</v>
      </c>
      <c r="Y1640" s="55">
        <f>VLOOKUP($E1640,'NI-Soc_SP'!$C:$AN,MID(Y$1,1,2),FALSE)</f>
        <v>0</v>
      </c>
      <c r="Z1640" s="55">
        <f>VLOOKUP($E1640,'NI-Soc_SP'!$C:$AN,MID(Z$1,1,2),FALSE)</f>
        <v>0</v>
      </c>
      <c r="AA1640" s="55">
        <f>VLOOKUP($E1640,'NI-Soc_SP'!$C:$AN,MID(AA$1,1,2),FALSE)</f>
        <v>0</v>
      </c>
      <c r="AB1640" s="55">
        <f>VLOOKUP($E1640,'NI-Soc_SP'!$C:$AN,MID(AB$1,1,2),FALSE)</f>
        <v>0</v>
      </c>
      <c r="AC1640" s="55">
        <f>VLOOKUP($E1640,'NI-Soc_SP'!$C:$AN,MID(AC$1,1,2),FALSE)</f>
        <v>0</v>
      </c>
      <c r="AD1640" s="55">
        <f>VLOOKUP($E1640,'NI-Soc_SP'!$C:$AN,MID(AD$1,1,2),FALSE)</f>
        <v>0</v>
      </c>
      <c r="AE1640" s="55">
        <f>VLOOKUP($E1640,'NI-Soc_SP'!$C:$AN,MID(AE$1,1,2),FALSE)</f>
        <v>0</v>
      </c>
      <c r="AF1640" s="55">
        <f>VLOOKUP($E1640,'NI-Soc_SP'!$C:$AN,MID(AF$1,1,2),FALSE)</f>
        <v>0</v>
      </c>
      <c r="AG1640" s="55">
        <f>VLOOKUP($E1640,'NI-Soc_SP'!$C:$AN,MID(AG$1,1,2),FALSE)</f>
        <v>0</v>
      </c>
      <c r="AH1640" s="55">
        <f>VLOOKUP($E1640,'NI-Soc_SP'!$C:$AN,MID(AH$1,1,2),FALSE)</f>
        <v>0</v>
      </c>
      <c r="AI1640" s="55">
        <f>VLOOKUP($E1640,'NI-Soc_SP'!$C:$AN,MID(AI$1,1,2),FALSE)</f>
        <v>0</v>
      </c>
      <c r="AJ1640" s="55">
        <f>VLOOKUP($E1640,'NI-Soc_SP'!$C:$AN,MID(AJ$1,1,2),FALSE)</f>
        <v>0</v>
      </c>
      <c r="AK1640" s="55">
        <f>VLOOKUP($E1640,'NI-Soc_SP'!$C:$AN,MID(AK$1,1,2),FALSE)</f>
        <v>0</v>
      </c>
      <c r="AL1640" s="55">
        <f>VLOOKUP($E1640,'NI-Soc_SP'!$C:$AN,MID(AL$1,1,2),FALSE)</f>
        <v>0</v>
      </c>
      <c r="AM1640" s="56">
        <f>VLOOKUP($E1640,'NI-Soc_SP'!$C:$AN,MID(AM$1,1,2),FALSE)</f>
        <v>0</v>
      </c>
      <c r="AN1640" s="30" t="str">
        <f t="shared" si="25"/>
        <v>10205020010020</v>
      </c>
    </row>
    <row r="1641" spans="3:40" x14ac:dyDescent="0.25">
      <c r="C1641" s="40"/>
      <c r="D1641" s="121" t="s">
        <v>750</v>
      </c>
      <c r="E1641" s="121" t="s">
        <v>751</v>
      </c>
      <c r="F1641" s="122" t="s">
        <v>2758</v>
      </c>
      <c r="G1641" s="52"/>
      <c r="H1641" s="52"/>
      <c r="I1641" s="52"/>
      <c r="J1641" s="52"/>
      <c r="K1641" s="59" t="s">
        <v>79</v>
      </c>
      <c r="L1641" s="52"/>
      <c r="M1641" s="52"/>
      <c r="N1641" s="52"/>
      <c r="O1641" s="52"/>
      <c r="P1641" s="63" t="s">
        <v>752</v>
      </c>
      <c r="Q1641" s="55">
        <f>VLOOKUP(E1641,'NI-Soc_SP'!$C:$AN,12,FALSE)</f>
        <v>0</v>
      </c>
      <c r="R1641" s="55">
        <f>VLOOKUP(E1641,'NI-Soc_SP'!$C:$AN,13,FALSE)</f>
        <v>0</v>
      </c>
      <c r="S1641" s="55"/>
      <c r="T1641" s="55"/>
      <c r="U1641" s="55">
        <f>VLOOKUP($E1641,'NI-Soc_SP'!$C:$AN,MID(U$1,1,2),FALSE)</f>
        <v>0</v>
      </c>
      <c r="V1641" s="55">
        <f>VLOOKUP($E1641,'NI-Soc_SP'!$C:$AN,MID(V$1,1,2),FALSE)</f>
        <v>0</v>
      </c>
      <c r="W1641" s="55">
        <f>VLOOKUP($E1641,'NI-Soc_SP'!$C:$AN,MID(W$1,1,2),FALSE)</f>
        <v>0</v>
      </c>
      <c r="X1641" s="55">
        <f>VLOOKUP($E1641,'NI-Soc_SP'!$C:$AN,MID(X$1,1,2),FALSE)</f>
        <v>0</v>
      </c>
      <c r="Y1641" s="55">
        <f>VLOOKUP($E1641,'NI-Soc_SP'!$C:$AN,MID(Y$1,1,2),FALSE)</f>
        <v>0</v>
      </c>
      <c r="Z1641" s="55">
        <f>VLOOKUP($E1641,'NI-Soc_SP'!$C:$AN,MID(Z$1,1,2),FALSE)</f>
        <v>0</v>
      </c>
      <c r="AA1641" s="55">
        <f>VLOOKUP($E1641,'NI-Soc_SP'!$C:$AN,MID(AA$1,1,2),FALSE)</f>
        <v>0</v>
      </c>
      <c r="AB1641" s="55">
        <f>VLOOKUP($E1641,'NI-Soc_SP'!$C:$AN,MID(AB$1,1,2),FALSE)</f>
        <v>0</v>
      </c>
      <c r="AC1641" s="55">
        <f>VLOOKUP($E1641,'NI-Soc_SP'!$C:$AN,MID(AC$1,1,2),FALSE)</f>
        <v>0</v>
      </c>
      <c r="AD1641" s="55">
        <f>VLOOKUP($E1641,'NI-Soc_SP'!$C:$AN,MID(AD$1,1,2),FALSE)</f>
        <v>0</v>
      </c>
      <c r="AE1641" s="55">
        <f>VLOOKUP($E1641,'NI-Soc_SP'!$C:$AN,MID(AE$1,1,2),FALSE)</f>
        <v>0</v>
      </c>
      <c r="AF1641" s="55">
        <f>VLOOKUP($E1641,'NI-Soc_SP'!$C:$AN,MID(AF$1,1,2),FALSE)</f>
        <v>0</v>
      </c>
      <c r="AG1641" s="55">
        <f>VLOOKUP($E1641,'NI-Soc_SP'!$C:$AN,MID(AG$1,1,2),FALSE)</f>
        <v>0</v>
      </c>
      <c r="AH1641" s="55">
        <f>VLOOKUP($E1641,'NI-Soc_SP'!$C:$AN,MID(AH$1,1,2),FALSE)</f>
        <v>0</v>
      </c>
      <c r="AI1641" s="55">
        <f>VLOOKUP($E1641,'NI-Soc_SP'!$C:$AN,MID(AI$1,1,2),FALSE)</f>
        <v>0</v>
      </c>
      <c r="AJ1641" s="55">
        <f>VLOOKUP($E1641,'NI-Soc_SP'!$C:$AN,MID(AJ$1,1,2),FALSE)</f>
        <v>0</v>
      </c>
      <c r="AK1641" s="55">
        <f>VLOOKUP($E1641,'NI-Soc_SP'!$C:$AN,MID(AK$1,1,2),FALSE)</f>
        <v>0</v>
      </c>
      <c r="AL1641" s="55">
        <f>VLOOKUP($E1641,'NI-Soc_SP'!$C:$AN,MID(AL$1,1,2),FALSE)</f>
        <v>0</v>
      </c>
      <c r="AM1641" s="56">
        <f>VLOOKUP($E1641,'NI-Soc_SP'!$C:$AN,MID(AM$1,1,2),FALSE)</f>
        <v>0</v>
      </c>
      <c r="AN1641" s="30" t="str">
        <f t="shared" si="25"/>
        <v>10205020020010</v>
      </c>
    </row>
    <row r="1642" spans="3:40" x14ac:dyDescent="0.25">
      <c r="C1642" s="40"/>
      <c r="D1642" s="121" t="s">
        <v>753</v>
      </c>
      <c r="E1642" s="121" t="s">
        <v>754</v>
      </c>
      <c r="F1642" s="122" t="s">
        <v>2758</v>
      </c>
      <c r="G1642" s="52"/>
      <c r="H1642" s="52"/>
      <c r="I1642" s="52"/>
      <c r="J1642" s="52"/>
      <c r="K1642" s="59" t="s">
        <v>79</v>
      </c>
      <c r="L1642" s="52"/>
      <c r="M1642" s="52"/>
      <c r="N1642" s="52"/>
      <c r="O1642" s="52"/>
      <c r="P1642" s="63" t="s">
        <v>755</v>
      </c>
      <c r="Q1642" s="55">
        <f>VLOOKUP(E1642,'NI-Soc_SP'!$C:$AN,12,FALSE)</f>
        <v>0</v>
      </c>
      <c r="R1642" s="55">
        <f>VLOOKUP(E1642,'NI-Soc_SP'!$C:$AN,13,FALSE)</f>
        <v>0</v>
      </c>
      <c r="S1642" s="55"/>
      <c r="T1642" s="55"/>
      <c r="U1642" s="55">
        <f>VLOOKUP($E1642,'NI-Soc_SP'!$C:$AN,MID(U$1,1,2),FALSE)</f>
        <v>0</v>
      </c>
      <c r="V1642" s="55">
        <f>VLOOKUP($E1642,'NI-Soc_SP'!$C:$AN,MID(V$1,1,2),FALSE)</f>
        <v>0</v>
      </c>
      <c r="W1642" s="55">
        <f>VLOOKUP($E1642,'NI-Soc_SP'!$C:$AN,MID(W$1,1,2),FALSE)</f>
        <v>0</v>
      </c>
      <c r="X1642" s="55">
        <f>VLOOKUP($E1642,'NI-Soc_SP'!$C:$AN,MID(X$1,1,2),FALSE)</f>
        <v>0</v>
      </c>
      <c r="Y1642" s="55">
        <f>VLOOKUP($E1642,'NI-Soc_SP'!$C:$AN,MID(Y$1,1,2),FALSE)</f>
        <v>0</v>
      </c>
      <c r="Z1642" s="55">
        <f>VLOOKUP($E1642,'NI-Soc_SP'!$C:$AN,MID(Z$1,1,2),FALSE)</f>
        <v>0</v>
      </c>
      <c r="AA1642" s="55">
        <f>VLOOKUP($E1642,'NI-Soc_SP'!$C:$AN,MID(AA$1,1,2),FALSE)</f>
        <v>0</v>
      </c>
      <c r="AB1642" s="55">
        <f>VLOOKUP($E1642,'NI-Soc_SP'!$C:$AN,MID(AB$1,1,2),FALSE)</f>
        <v>0</v>
      </c>
      <c r="AC1642" s="55">
        <f>VLOOKUP($E1642,'NI-Soc_SP'!$C:$AN,MID(AC$1,1,2),FALSE)</f>
        <v>0</v>
      </c>
      <c r="AD1642" s="55">
        <f>VLOOKUP($E1642,'NI-Soc_SP'!$C:$AN,MID(AD$1,1,2),FALSE)</f>
        <v>0</v>
      </c>
      <c r="AE1642" s="55">
        <f>VLOOKUP($E1642,'NI-Soc_SP'!$C:$AN,MID(AE$1,1,2),FALSE)</f>
        <v>0</v>
      </c>
      <c r="AF1642" s="55">
        <f>VLOOKUP($E1642,'NI-Soc_SP'!$C:$AN,MID(AF$1,1,2),FALSE)</f>
        <v>0</v>
      </c>
      <c r="AG1642" s="55">
        <f>VLOOKUP($E1642,'NI-Soc_SP'!$C:$AN,MID(AG$1,1,2),FALSE)</f>
        <v>0</v>
      </c>
      <c r="AH1642" s="55">
        <f>VLOOKUP($E1642,'NI-Soc_SP'!$C:$AN,MID(AH$1,1,2),FALSE)</f>
        <v>0</v>
      </c>
      <c r="AI1642" s="55">
        <f>VLOOKUP($E1642,'NI-Soc_SP'!$C:$AN,MID(AI$1,1,2),FALSE)</f>
        <v>0</v>
      </c>
      <c r="AJ1642" s="55">
        <f>VLOOKUP($E1642,'NI-Soc_SP'!$C:$AN,MID(AJ$1,1,2),FALSE)</f>
        <v>0</v>
      </c>
      <c r="AK1642" s="55">
        <f>VLOOKUP($E1642,'NI-Soc_SP'!$C:$AN,MID(AK$1,1,2),FALSE)</f>
        <v>0</v>
      </c>
      <c r="AL1642" s="55">
        <f>VLOOKUP($E1642,'NI-Soc_SP'!$C:$AN,MID(AL$1,1,2),FALSE)</f>
        <v>0</v>
      </c>
      <c r="AM1642" s="56">
        <f>VLOOKUP($E1642,'NI-Soc_SP'!$C:$AN,MID(AM$1,1,2),FALSE)</f>
        <v>0</v>
      </c>
      <c r="AN1642" s="30" t="str">
        <f t="shared" si="25"/>
        <v>10205020020020</v>
      </c>
    </row>
    <row r="1643" spans="3:40" x14ac:dyDescent="0.25">
      <c r="C1643" s="40"/>
      <c r="D1643" s="121" t="s">
        <v>756</v>
      </c>
      <c r="E1643" s="121" t="s">
        <v>757</v>
      </c>
      <c r="F1643" s="122" t="s">
        <v>2758</v>
      </c>
      <c r="G1643" s="52"/>
      <c r="H1643" s="52"/>
      <c r="I1643" s="52"/>
      <c r="J1643" s="52"/>
      <c r="K1643" s="59" t="s">
        <v>79</v>
      </c>
      <c r="L1643" s="52"/>
      <c r="M1643" s="52"/>
      <c r="N1643" s="52"/>
      <c r="O1643" s="52"/>
      <c r="P1643" s="63" t="s">
        <v>758</v>
      </c>
      <c r="Q1643" s="55">
        <f>VLOOKUP(E1643,'NI-Soc_SP'!$C:$AN,12,FALSE)</f>
        <v>0</v>
      </c>
      <c r="R1643" s="55">
        <f>VLOOKUP(E1643,'NI-Soc_SP'!$C:$AN,13,FALSE)</f>
        <v>0</v>
      </c>
      <c r="S1643" s="55"/>
      <c r="T1643" s="55"/>
      <c r="U1643" s="55">
        <f>VLOOKUP($E1643,'NI-Soc_SP'!$C:$AN,MID(U$1,1,2),FALSE)</f>
        <v>0</v>
      </c>
      <c r="V1643" s="55">
        <f>VLOOKUP($E1643,'NI-Soc_SP'!$C:$AN,MID(V$1,1,2),FALSE)</f>
        <v>0</v>
      </c>
      <c r="W1643" s="55">
        <f>VLOOKUP($E1643,'NI-Soc_SP'!$C:$AN,MID(W$1,1,2),FALSE)</f>
        <v>0</v>
      </c>
      <c r="X1643" s="55">
        <f>VLOOKUP($E1643,'NI-Soc_SP'!$C:$AN,MID(X$1,1,2),FALSE)</f>
        <v>0</v>
      </c>
      <c r="Y1643" s="55">
        <f>VLOOKUP($E1643,'NI-Soc_SP'!$C:$AN,MID(Y$1,1,2),FALSE)</f>
        <v>0</v>
      </c>
      <c r="Z1643" s="55">
        <f>VLOOKUP($E1643,'NI-Soc_SP'!$C:$AN,MID(Z$1,1,2),FALSE)</f>
        <v>0</v>
      </c>
      <c r="AA1643" s="55">
        <f>VLOOKUP($E1643,'NI-Soc_SP'!$C:$AN,MID(AA$1,1,2),FALSE)</f>
        <v>0</v>
      </c>
      <c r="AB1643" s="55">
        <f>VLOOKUP($E1643,'NI-Soc_SP'!$C:$AN,MID(AB$1,1,2),FALSE)</f>
        <v>0</v>
      </c>
      <c r="AC1643" s="55">
        <f>VLOOKUP($E1643,'NI-Soc_SP'!$C:$AN,MID(AC$1,1,2),FALSE)</f>
        <v>0</v>
      </c>
      <c r="AD1643" s="55">
        <f>VLOOKUP($E1643,'NI-Soc_SP'!$C:$AN,MID(AD$1,1,2),FALSE)</f>
        <v>0</v>
      </c>
      <c r="AE1643" s="55">
        <f>VLOOKUP($E1643,'NI-Soc_SP'!$C:$AN,MID(AE$1,1,2),FALSE)</f>
        <v>0</v>
      </c>
      <c r="AF1643" s="55">
        <f>VLOOKUP($E1643,'NI-Soc_SP'!$C:$AN,MID(AF$1,1,2),FALSE)</f>
        <v>0</v>
      </c>
      <c r="AG1643" s="55">
        <f>VLOOKUP($E1643,'NI-Soc_SP'!$C:$AN,MID(AG$1,1,2),FALSE)</f>
        <v>0</v>
      </c>
      <c r="AH1643" s="55">
        <f>VLOOKUP($E1643,'NI-Soc_SP'!$C:$AN,MID(AH$1,1,2),FALSE)</f>
        <v>0</v>
      </c>
      <c r="AI1643" s="55">
        <f>VLOOKUP($E1643,'NI-Soc_SP'!$C:$AN,MID(AI$1,1,2),FALSE)</f>
        <v>0</v>
      </c>
      <c r="AJ1643" s="55">
        <f>VLOOKUP($E1643,'NI-Soc_SP'!$C:$AN,MID(AJ$1,1,2),FALSE)</f>
        <v>0</v>
      </c>
      <c r="AK1643" s="55">
        <f>VLOOKUP($E1643,'NI-Soc_SP'!$C:$AN,MID(AK$1,1,2),FALSE)</f>
        <v>0</v>
      </c>
      <c r="AL1643" s="55">
        <f>VLOOKUP($E1643,'NI-Soc_SP'!$C:$AN,MID(AL$1,1,2),FALSE)</f>
        <v>0</v>
      </c>
      <c r="AM1643" s="56">
        <f>VLOOKUP($E1643,'NI-Soc_SP'!$C:$AN,MID(AM$1,1,2),FALSE)</f>
        <v>0</v>
      </c>
      <c r="AN1643" s="30" t="str">
        <f t="shared" si="25"/>
        <v>10205020030010</v>
      </c>
    </row>
    <row r="1644" spans="3:40" x14ac:dyDescent="0.25">
      <c r="C1644" s="40"/>
      <c r="D1644" s="121" t="s">
        <v>759</v>
      </c>
      <c r="E1644" s="121" t="s">
        <v>760</v>
      </c>
      <c r="F1644" s="122" t="s">
        <v>2758</v>
      </c>
      <c r="G1644" s="52"/>
      <c r="H1644" s="52"/>
      <c r="I1644" s="52"/>
      <c r="J1644" s="52"/>
      <c r="K1644" s="59" t="s">
        <v>79</v>
      </c>
      <c r="L1644" s="52"/>
      <c r="M1644" s="52"/>
      <c r="N1644" s="52"/>
      <c r="O1644" s="52"/>
      <c r="P1644" s="63" t="s">
        <v>761</v>
      </c>
      <c r="Q1644" s="55">
        <f>VLOOKUP(E1644,'NI-Soc_SP'!$C:$AN,12,FALSE)</f>
        <v>0</v>
      </c>
      <c r="R1644" s="55">
        <f>VLOOKUP(E1644,'NI-Soc_SP'!$C:$AN,13,FALSE)</f>
        <v>0</v>
      </c>
      <c r="S1644" s="55"/>
      <c r="T1644" s="55"/>
      <c r="U1644" s="55">
        <f>VLOOKUP($E1644,'NI-Soc_SP'!$C:$AN,MID(U$1,1,2),FALSE)</f>
        <v>0</v>
      </c>
      <c r="V1644" s="55">
        <f>VLOOKUP($E1644,'NI-Soc_SP'!$C:$AN,MID(V$1,1,2),FALSE)</f>
        <v>0</v>
      </c>
      <c r="W1644" s="55">
        <f>VLOOKUP($E1644,'NI-Soc_SP'!$C:$AN,MID(W$1,1,2),FALSE)</f>
        <v>0</v>
      </c>
      <c r="X1644" s="55">
        <f>VLOOKUP($E1644,'NI-Soc_SP'!$C:$AN,MID(X$1,1,2),FALSE)</f>
        <v>0</v>
      </c>
      <c r="Y1644" s="55">
        <f>VLOOKUP($E1644,'NI-Soc_SP'!$C:$AN,MID(Y$1,1,2),FALSE)</f>
        <v>0</v>
      </c>
      <c r="Z1644" s="55">
        <f>VLOOKUP($E1644,'NI-Soc_SP'!$C:$AN,MID(Z$1,1,2),FALSE)</f>
        <v>0</v>
      </c>
      <c r="AA1644" s="55">
        <f>VLOOKUP($E1644,'NI-Soc_SP'!$C:$AN,MID(AA$1,1,2),FALSE)</f>
        <v>0</v>
      </c>
      <c r="AB1644" s="55">
        <f>VLOOKUP($E1644,'NI-Soc_SP'!$C:$AN,MID(AB$1,1,2),FALSE)</f>
        <v>0</v>
      </c>
      <c r="AC1644" s="55">
        <f>VLOOKUP($E1644,'NI-Soc_SP'!$C:$AN,MID(AC$1,1,2),FALSE)</f>
        <v>0</v>
      </c>
      <c r="AD1644" s="55">
        <f>VLOOKUP($E1644,'NI-Soc_SP'!$C:$AN,MID(AD$1,1,2),FALSE)</f>
        <v>0</v>
      </c>
      <c r="AE1644" s="55">
        <f>VLOOKUP($E1644,'NI-Soc_SP'!$C:$AN,MID(AE$1,1,2),FALSE)</f>
        <v>0</v>
      </c>
      <c r="AF1644" s="55">
        <f>VLOOKUP($E1644,'NI-Soc_SP'!$C:$AN,MID(AF$1,1,2),FALSE)</f>
        <v>0</v>
      </c>
      <c r="AG1644" s="55">
        <f>VLOOKUP($E1644,'NI-Soc_SP'!$C:$AN,MID(AG$1,1,2),FALSE)</f>
        <v>0</v>
      </c>
      <c r="AH1644" s="55">
        <f>VLOOKUP($E1644,'NI-Soc_SP'!$C:$AN,MID(AH$1,1,2),FALSE)</f>
        <v>0</v>
      </c>
      <c r="AI1644" s="55">
        <f>VLOOKUP($E1644,'NI-Soc_SP'!$C:$AN,MID(AI$1,1,2),FALSE)</f>
        <v>0</v>
      </c>
      <c r="AJ1644" s="55">
        <f>VLOOKUP($E1644,'NI-Soc_SP'!$C:$AN,MID(AJ$1,1,2),FALSE)</f>
        <v>0</v>
      </c>
      <c r="AK1644" s="55">
        <f>VLOOKUP($E1644,'NI-Soc_SP'!$C:$AN,MID(AK$1,1,2),FALSE)</f>
        <v>0</v>
      </c>
      <c r="AL1644" s="55">
        <f>VLOOKUP($E1644,'NI-Soc_SP'!$C:$AN,MID(AL$1,1,2),FALSE)</f>
        <v>0</v>
      </c>
      <c r="AM1644" s="56">
        <f>VLOOKUP($E1644,'NI-Soc_SP'!$C:$AN,MID(AM$1,1,2),FALSE)</f>
        <v>0</v>
      </c>
      <c r="AN1644" s="30" t="str">
        <f t="shared" si="25"/>
        <v>10205020030020</v>
      </c>
    </row>
    <row r="1645" spans="3:40" x14ac:dyDescent="0.25">
      <c r="C1645" s="40"/>
      <c r="D1645" s="121" t="s">
        <v>762</v>
      </c>
      <c r="E1645" s="121" t="s">
        <v>763</v>
      </c>
      <c r="F1645" s="122" t="s">
        <v>2758</v>
      </c>
      <c r="G1645" s="52"/>
      <c r="H1645" s="52"/>
      <c r="I1645" s="52"/>
      <c r="J1645" s="52"/>
      <c r="K1645" s="59" t="s">
        <v>79</v>
      </c>
      <c r="L1645" s="52"/>
      <c r="M1645" s="52"/>
      <c r="N1645" s="52"/>
      <c r="O1645" s="52"/>
      <c r="P1645" s="63" t="s">
        <v>764</v>
      </c>
      <c r="Q1645" s="55">
        <f>VLOOKUP(E1645,'NI-Soc_SP'!$C:$AN,12,FALSE)</f>
        <v>0</v>
      </c>
      <c r="R1645" s="55">
        <f>VLOOKUP(E1645,'NI-Soc_SP'!$C:$AN,13,FALSE)</f>
        <v>0</v>
      </c>
      <c r="S1645" s="55"/>
      <c r="T1645" s="55"/>
      <c r="U1645" s="55">
        <f>VLOOKUP($E1645,'NI-Soc_SP'!$C:$AN,MID(U$1,1,2),FALSE)</f>
        <v>0</v>
      </c>
      <c r="V1645" s="55">
        <f>VLOOKUP($E1645,'NI-Soc_SP'!$C:$AN,MID(V$1,1,2),FALSE)</f>
        <v>0</v>
      </c>
      <c r="W1645" s="55">
        <f>VLOOKUP($E1645,'NI-Soc_SP'!$C:$AN,MID(W$1,1,2),FALSE)</f>
        <v>0</v>
      </c>
      <c r="X1645" s="55">
        <f>VLOOKUP($E1645,'NI-Soc_SP'!$C:$AN,MID(X$1,1,2),FALSE)</f>
        <v>0</v>
      </c>
      <c r="Y1645" s="55">
        <f>VLOOKUP($E1645,'NI-Soc_SP'!$C:$AN,MID(Y$1,1,2),FALSE)</f>
        <v>0</v>
      </c>
      <c r="Z1645" s="55">
        <f>VLOOKUP($E1645,'NI-Soc_SP'!$C:$AN,MID(Z$1,1,2),FALSE)</f>
        <v>0</v>
      </c>
      <c r="AA1645" s="55">
        <f>VLOOKUP($E1645,'NI-Soc_SP'!$C:$AN,MID(AA$1,1,2),FALSE)</f>
        <v>0</v>
      </c>
      <c r="AB1645" s="55">
        <f>VLOOKUP($E1645,'NI-Soc_SP'!$C:$AN,MID(AB$1,1,2),FALSE)</f>
        <v>0</v>
      </c>
      <c r="AC1645" s="55">
        <f>VLOOKUP($E1645,'NI-Soc_SP'!$C:$AN,MID(AC$1,1,2),FALSE)</f>
        <v>0</v>
      </c>
      <c r="AD1645" s="55">
        <f>VLOOKUP($E1645,'NI-Soc_SP'!$C:$AN,MID(AD$1,1,2),FALSE)</f>
        <v>0</v>
      </c>
      <c r="AE1645" s="55">
        <f>VLOOKUP($E1645,'NI-Soc_SP'!$C:$AN,MID(AE$1,1,2),FALSE)</f>
        <v>0</v>
      </c>
      <c r="AF1645" s="55">
        <f>VLOOKUP($E1645,'NI-Soc_SP'!$C:$AN,MID(AF$1,1,2),FALSE)</f>
        <v>0</v>
      </c>
      <c r="AG1645" s="55">
        <f>VLOOKUP($E1645,'NI-Soc_SP'!$C:$AN,MID(AG$1,1,2),FALSE)</f>
        <v>0</v>
      </c>
      <c r="AH1645" s="55">
        <f>VLOOKUP($E1645,'NI-Soc_SP'!$C:$AN,MID(AH$1,1,2),FALSE)</f>
        <v>0</v>
      </c>
      <c r="AI1645" s="55">
        <f>VLOOKUP($E1645,'NI-Soc_SP'!$C:$AN,MID(AI$1,1,2),FALSE)</f>
        <v>0</v>
      </c>
      <c r="AJ1645" s="55">
        <f>VLOOKUP($E1645,'NI-Soc_SP'!$C:$AN,MID(AJ$1,1,2),FALSE)</f>
        <v>0</v>
      </c>
      <c r="AK1645" s="55">
        <f>VLOOKUP($E1645,'NI-Soc_SP'!$C:$AN,MID(AK$1,1,2),FALSE)</f>
        <v>0</v>
      </c>
      <c r="AL1645" s="55">
        <f>VLOOKUP($E1645,'NI-Soc_SP'!$C:$AN,MID(AL$1,1,2),FALSE)</f>
        <v>0</v>
      </c>
      <c r="AM1645" s="56">
        <f>VLOOKUP($E1645,'NI-Soc_SP'!$C:$AN,MID(AM$1,1,2),FALSE)</f>
        <v>0</v>
      </c>
      <c r="AN1645" s="30" t="str">
        <f t="shared" si="25"/>
        <v>10205020040010</v>
      </c>
    </row>
    <row r="1646" spans="3:40" x14ac:dyDescent="0.25">
      <c r="C1646" s="40"/>
      <c r="D1646" s="121" t="s">
        <v>765</v>
      </c>
      <c r="E1646" s="121" t="s">
        <v>766</v>
      </c>
      <c r="F1646" s="122" t="s">
        <v>2758</v>
      </c>
      <c r="G1646" s="52"/>
      <c r="H1646" s="52"/>
      <c r="I1646" s="52"/>
      <c r="J1646" s="52"/>
      <c r="K1646" s="59" t="s">
        <v>79</v>
      </c>
      <c r="L1646" s="52"/>
      <c r="M1646" s="52"/>
      <c r="N1646" s="52"/>
      <c r="O1646" s="52"/>
      <c r="P1646" s="63" t="s">
        <v>767</v>
      </c>
      <c r="Q1646" s="55">
        <f>VLOOKUP(E1646,'NI-Soc_SP'!$C:$AN,12,FALSE)</f>
        <v>0</v>
      </c>
      <c r="R1646" s="55">
        <f>VLOOKUP(E1646,'NI-Soc_SP'!$C:$AN,13,FALSE)</f>
        <v>0</v>
      </c>
      <c r="S1646" s="55"/>
      <c r="T1646" s="55"/>
      <c r="U1646" s="55">
        <f>VLOOKUP($E1646,'NI-Soc_SP'!$C:$AN,MID(U$1,1,2),FALSE)</f>
        <v>0</v>
      </c>
      <c r="V1646" s="55">
        <f>VLOOKUP($E1646,'NI-Soc_SP'!$C:$AN,MID(V$1,1,2),FALSE)</f>
        <v>0</v>
      </c>
      <c r="W1646" s="55">
        <f>VLOOKUP($E1646,'NI-Soc_SP'!$C:$AN,MID(W$1,1,2),FALSE)</f>
        <v>0</v>
      </c>
      <c r="X1646" s="55">
        <f>VLOOKUP($E1646,'NI-Soc_SP'!$C:$AN,MID(X$1,1,2),FALSE)</f>
        <v>0</v>
      </c>
      <c r="Y1646" s="55">
        <f>VLOOKUP($E1646,'NI-Soc_SP'!$C:$AN,MID(Y$1,1,2),FALSE)</f>
        <v>0</v>
      </c>
      <c r="Z1646" s="55">
        <f>VLOOKUP($E1646,'NI-Soc_SP'!$C:$AN,MID(Z$1,1,2),FALSE)</f>
        <v>0</v>
      </c>
      <c r="AA1646" s="55">
        <f>VLOOKUP($E1646,'NI-Soc_SP'!$C:$AN,MID(AA$1,1,2),FALSE)</f>
        <v>0</v>
      </c>
      <c r="AB1646" s="55">
        <f>VLOOKUP($E1646,'NI-Soc_SP'!$C:$AN,MID(AB$1,1,2),FALSE)</f>
        <v>0</v>
      </c>
      <c r="AC1646" s="55">
        <f>VLOOKUP($E1646,'NI-Soc_SP'!$C:$AN,MID(AC$1,1,2),FALSE)</f>
        <v>0</v>
      </c>
      <c r="AD1646" s="55">
        <f>VLOOKUP($E1646,'NI-Soc_SP'!$C:$AN,MID(AD$1,1,2),FALSE)</f>
        <v>0</v>
      </c>
      <c r="AE1646" s="55">
        <f>VLOOKUP($E1646,'NI-Soc_SP'!$C:$AN,MID(AE$1,1,2),FALSE)</f>
        <v>0</v>
      </c>
      <c r="AF1646" s="55">
        <f>VLOOKUP($E1646,'NI-Soc_SP'!$C:$AN,MID(AF$1,1,2),FALSE)</f>
        <v>0</v>
      </c>
      <c r="AG1646" s="55">
        <f>VLOOKUP($E1646,'NI-Soc_SP'!$C:$AN,MID(AG$1,1,2),FALSE)</f>
        <v>0</v>
      </c>
      <c r="AH1646" s="55">
        <f>VLOOKUP($E1646,'NI-Soc_SP'!$C:$AN,MID(AH$1,1,2),FALSE)</f>
        <v>0</v>
      </c>
      <c r="AI1646" s="55">
        <f>VLOOKUP($E1646,'NI-Soc_SP'!$C:$AN,MID(AI$1,1,2),FALSE)</f>
        <v>0</v>
      </c>
      <c r="AJ1646" s="55">
        <f>VLOOKUP($E1646,'NI-Soc_SP'!$C:$AN,MID(AJ$1,1,2),FALSE)</f>
        <v>0</v>
      </c>
      <c r="AK1646" s="55">
        <f>VLOOKUP($E1646,'NI-Soc_SP'!$C:$AN,MID(AK$1,1,2),FALSE)</f>
        <v>0</v>
      </c>
      <c r="AL1646" s="55">
        <f>VLOOKUP($E1646,'NI-Soc_SP'!$C:$AN,MID(AL$1,1,2),FALSE)</f>
        <v>0</v>
      </c>
      <c r="AM1646" s="56">
        <f>VLOOKUP($E1646,'NI-Soc_SP'!$C:$AN,MID(AM$1,1,2),FALSE)</f>
        <v>0</v>
      </c>
      <c r="AN1646" s="30" t="str">
        <f t="shared" si="25"/>
        <v>10205020040020</v>
      </c>
    </row>
    <row r="1647" spans="3:40" x14ac:dyDescent="0.25">
      <c r="C1647" s="40"/>
      <c r="D1647" s="121" t="s">
        <v>768</v>
      </c>
      <c r="E1647" s="121" t="s">
        <v>769</v>
      </c>
      <c r="F1647" s="122" t="s">
        <v>2758</v>
      </c>
      <c r="G1647" s="52"/>
      <c r="H1647" s="52"/>
      <c r="I1647" s="52"/>
      <c r="J1647" s="52"/>
      <c r="K1647" s="59" t="s">
        <v>111</v>
      </c>
      <c r="L1647" s="52"/>
      <c r="M1647" s="52"/>
      <c r="N1647" s="52"/>
      <c r="O1647" s="61" t="s">
        <v>770</v>
      </c>
      <c r="P1647" s="60" t="s">
        <v>771</v>
      </c>
      <c r="Q1647" s="55">
        <f>VLOOKUP(E1647,'NI-Soc_SP'!$C:$AN,12,FALSE)</f>
        <v>0</v>
      </c>
      <c r="R1647" s="55">
        <f>VLOOKUP(E1647,'NI-Soc_SP'!$C:$AN,13,FALSE)</f>
        <v>0</v>
      </c>
      <c r="S1647" s="55"/>
      <c r="T1647" s="55"/>
      <c r="U1647" s="55">
        <f>VLOOKUP($E1647,'NI-Soc_SP'!$C:$AN,MID(U$1,1,2),FALSE)</f>
        <v>0</v>
      </c>
      <c r="V1647" s="55">
        <f>VLOOKUP($E1647,'NI-Soc_SP'!$C:$AN,MID(V$1,1,2),FALSE)</f>
        <v>0</v>
      </c>
      <c r="W1647" s="55">
        <f>VLOOKUP($E1647,'NI-Soc_SP'!$C:$AN,MID(W$1,1,2),FALSE)</f>
        <v>0</v>
      </c>
      <c r="X1647" s="55">
        <f>VLOOKUP($E1647,'NI-Soc_SP'!$C:$AN,MID(X$1,1,2),FALSE)</f>
        <v>0</v>
      </c>
      <c r="Y1647" s="55">
        <f>VLOOKUP($E1647,'NI-Soc_SP'!$C:$AN,MID(Y$1,1,2),FALSE)</f>
        <v>0</v>
      </c>
      <c r="Z1647" s="55">
        <f>VLOOKUP($E1647,'NI-Soc_SP'!$C:$AN,MID(Z$1,1,2),FALSE)</f>
        <v>0</v>
      </c>
      <c r="AA1647" s="55">
        <f>VLOOKUP($E1647,'NI-Soc_SP'!$C:$AN,MID(AA$1,1,2),FALSE)</f>
        <v>0</v>
      </c>
      <c r="AB1647" s="55">
        <f>VLOOKUP($E1647,'NI-Soc_SP'!$C:$AN,MID(AB$1,1,2),FALSE)</f>
        <v>0</v>
      </c>
      <c r="AC1647" s="55">
        <f>VLOOKUP($E1647,'NI-Soc_SP'!$C:$AN,MID(AC$1,1,2),FALSE)</f>
        <v>0</v>
      </c>
      <c r="AD1647" s="55">
        <f>VLOOKUP($E1647,'NI-Soc_SP'!$C:$AN,MID(AD$1,1,2),FALSE)</f>
        <v>0</v>
      </c>
      <c r="AE1647" s="55">
        <f>VLOOKUP($E1647,'NI-Soc_SP'!$C:$AN,MID(AE$1,1,2),FALSE)</f>
        <v>0</v>
      </c>
      <c r="AF1647" s="55">
        <f>VLOOKUP($E1647,'NI-Soc_SP'!$C:$AN,MID(AF$1,1,2),FALSE)</f>
        <v>0</v>
      </c>
      <c r="AG1647" s="55">
        <f>VLOOKUP($E1647,'NI-Soc_SP'!$C:$AN,MID(AG$1,1,2),FALSE)</f>
        <v>0</v>
      </c>
      <c r="AH1647" s="55">
        <f>VLOOKUP($E1647,'NI-Soc_SP'!$C:$AN,MID(AH$1,1,2),FALSE)</f>
        <v>0</v>
      </c>
      <c r="AI1647" s="55">
        <f>VLOOKUP($E1647,'NI-Soc_SP'!$C:$AN,MID(AI$1,1,2),FALSE)</f>
        <v>0</v>
      </c>
      <c r="AJ1647" s="55">
        <f>VLOOKUP($E1647,'NI-Soc_SP'!$C:$AN,MID(AJ$1,1,2),FALSE)</f>
        <v>0</v>
      </c>
      <c r="AK1647" s="55">
        <f>VLOOKUP($E1647,'NI-Soc_SP'!$C:$AN,MID(AK$1,1,2),FALSE)</f>
        <v>0</v>
      </c>
      <c r="AL1647" s="55">
        <f>VLOOKUP($E1647,'NI-Soc_SP'!$C:$AN,MID(AL$1,1,2),FALSE)</f>
        <v>0</v>
      </c>
      <c r="AM1647" s="56">
        <f>VLOOKUP($E1647,'NI-Soc_SP'!$C:$AN,MID(AM$1,1,2),FALSE)</f>
        <v>0</v>
      </c>
      <c r="AN1647" s="30" t="str">
        <f t="shared" si="25"/>
        <v>10206000000000</v>
      </c>
    </row>
    <row r="1648" spans="3:40" x14ac:dyDescent="0.25">
      <c r="C1648" s="40"/>
      <c r="D1648" s="121" t="s">
        <v>772</v>
      </c>
      <c r="E1648" s="121" t="s">
        <v>773</v>
      </c>
      <c r="F1648" s="122" t="s">
        <v>2758</v>
      </c>
      <c r="G1648" s="52"/>
      <c r="H1648" s="52"/>
      <c r="I1648" s="52" t="s">
        <v>774</v>
      </c>
      <c r="J1648" s="52"/>
      <c r="K1648" s="59" t="s">
        <v>111</v>
      </c>
      <c r="L1648" s="62" t="s">
        <v>775</v>
      </c>
      <c r="M1648" s="52"/>
      <c r="N1648" s="52"/>
      <c r="O1648" s="52"/>
      <c r="P1648" s="54" t="s">
        <v>776</v>
      </c>
      <c r="Q1648" s="55">
        <f>VLOOKUP(E1648,'NI-Soc_SP'!$C:$AN,12,FALSE)</f>
        <v>0</v>
      </c>
      <c r="R1648" s="55">
        <f>VLOOKUP(E1648,'NI-Soc_SP'!$C:$AN,13,FALSE)</f>
        <v>0</v>
      </c>
      <c r="S1648" s="55"/>
      <c r="T1648" s="55"/>
      <c r="U1648" s="55">
        <f>VLOOKUP($E1648,'NI-Soc_SP'!$C:$AN,MID(U$1,1,2),FALSE)</f>
        <v>0</v>
      </c>
      <c r="V1648" s="55">
        <f>VLOOKUP($E1648,'NI-Soc_SP'!$C:$AN,MID(V$1,1,2),FALSE)</f>
        <v>0</v>
      </c>
      <c r="W1648" s="55">
        <f>VLOOKUP($E1648,'NI-Soc_SP'!$C:$AN,MID(W$1,1,2),FALSE)</f>
        <v>0</v>
      </c>
      <c r="X1648" s="55">
        <f>VLOOKUP($E1648,'NI-Soc_SP'!$C:$AN,MID(X$1,1,2),FALSE)</f>
        <v>0</v>
      </c>
      <c r="Y1648" s="55">
        <f>VLOOKUP($E1648,'NI-Soc_SP'!$C:$AN,MID(Y$1,1,2),FALSE)</f>
        <v>0</v>
      </c>
      <c r="Z1648" s="55">
        <f>VLOOKUP($E1648,'NI-Soc_SP'!$C:$AN,MID(Z$1,1,2),FALSE)</f>
        <v>0</v>
      </c>
      <c r="AA1648" s="55">
        <f>VLOOKUP($E1648,'NI-Soc_SP'!$C:$AN,MID(AA$1,1,2),FALSE)</f>
        <v>0</v>
      </c>
      <c r="AB1648" s="55">
        <f>VLOOKUP($E1648,'NI-Soc_SP'!$C:$AN,MID(AB$1,1,2),FALSE)</f>
        <v>0</v>
      </c>
      <c r="AC1648" s="55">
        <f>VLOOKUP($E1648,'NI-Soc_SP'!$C:$AN,MID(AC$1,1,2),FALSE)</f>
        <v>0</v>
      </c>
      <c r="AD1648" s="55">
        <f>VLOOKUP($E1648,'NI-Soc_SP'!$C:$AN,MID(AD$1,1,2),FALSE)</f>
        <v>0</v>
      </c>
      <c r="AE1648" s="55">
        <f>VLOOKUP($E1648,'NI-Soc_SP'!$C:$AN,MID(AE$1,1,2),FALSE)</f>
        <v>0</v>
      </c>
      <c r="AF1648" s="55">
        <f>VLOOKUP($E1648,'NI-Soc_SP'!$C:$AN,MID(AF$1,1,2),FALSE)</f>
        <v>0</v>
      </c>
      <c r="AG1648" s="55">
        <f>VLOOKUP($E1648,'NI-Soc_SP'!$C:$AN,MID(AG$1,1,2),FALSE)</f>
        <v>0</v>
      </c>
      <c r="AH1648" s="55">
        <f>VLOOKUP($E1648,'NI-Soc_SP'!$C:$AN,MID(AH$1,1,2),FALSE)</f>
        <v>0</v>
      </c>
      <c r="AI1648" s="55">
        <f>VLOOKUP($E1648,'NI-Soc_SP'!$C:$AN,MID(AI$1,1,2),FALSE)</f>
        <v>0</v>
      </c>
      <c r="AJ1648" s="55">
        <f>VLOOKUP($E1648,'NI-Soc_SP'!$C:$AN,MID(AJ$1,1,2),FALSE)</f>
        <v>0</v>
      </c>
      <c r="AK1648" s="55">
        <f>VLOOKUP($E1648,'NI-Soc_SP'!$C:$AN,MID(AK$1,1,2),FALSE)</f>
        <v>0</v>
      </c>
      <c r="AL1648" s="55">
        <f>VLOOKUP($E1648,'NI-Soc_SP'!$C:$AN,MID(AL$1,1,2),FALSE)</f>
        <v>0</v>
      </c>
      <c r="AM1648" s="56">
        <f>VLOOKUP($E1648,'NI-Soc_SP'!$C:$AN,MID(AM$1,1,2),FALSE)</f>
        <v>0</v>
      </c>
      <c r="AN1648" s="30" t="str">
        <f t="shared" si="25"/>
        <v>10206010000000</v>
      </c>
    </row>
    <row r="1649" spans="3:40" x14ac:dyDescent="0.25">
      <c r="C1649" s="40"/>
      <c r="D1649" s="121" t="s">
        <v>777</v>
      </c>
      <c r="E1649" s="121" t="s">
        <v>778</v>
      </c>
      <c r="F1649" s="122" t="s">
        <v>2758</v>
      </c>
      <c r="G1649" s="52"/>
      <c r="H1649" s="52"/>
      <c r="I1649" s="52"/>
      <c r="J1649" s="52"/>
      <c r="K1649" s="59" t="s">
        <v>79</v>
      </c>
      <c r="L1649" s="52"/>
      <c r="M1649" s="52"/>
      <c r="N1649" s="52"/>
      <c r="O1649" s="52"/>
      <c r="P1649" s="63" t="s">
        <v>779</v>
      </c>
      <c r="Q1649" s="55">
        <f>VLOOKUP(E1649,'NI-Soc_SP'!$C:$AN,12,FALSE)</f>
        <v>0</v>
      </c>
      <c r="R1649" s="55">
        <f>VLOOKUP(E1649,'NI-Soc_SP'!$C:$AN,13,FALSE)</f>
        <v>0</v>
      </c>
      <c r="S1649" s="55"/>
      <c r="T1649" s="55"/>
      <c r="U1649" s="55">
        <f>VLOOKUP($E1649,'NI-Soc_SP'!$C:$AN,MID(U$1,1,2),FALSE)</f>
        <v>0</v>
      </c>
      <c r="V1649" s="55">
        <f>VLOOKUP($E1649,'NI-Soc_SP'!$C:$AN,MID(V$1,1,2),FALSE)</f>
        <v>0</v>
      </c>
      <c r="W1649" s="55">
        <f>VLOOKUP($E1649,'NI-Soc_SP'!$C:$AN,MID(W$1,1,2),FALSE)</f>
        <v>0</v>
      </c>
      <c r="X1649" s="55">
        <f>VLOOKUP($E1649,'NI-Soc_SP'!$C:$AN,MID(X$1,1,2),FALSE)</f>
        <v>0</v>
      </c>
      <c r="Y1649" s="55">
        <f>VLOOKUP($E1649,'NI-Soc_SP'!$C:$AN,MID(Y$1,1,2),FALSE)</f>
        <v>0</v>
      </c>
      <c r="Z1649" s="55">
        <f>VLOOKUP($E1649,'NI-Soc_SP'!$C:$AN,MID(Z$1,1,2),FALSE)</f>
        <v>0</v>
      </c>
      <c r="AA1649" s="55">
        <f>VLOOKUP($E1649,'NI-Soc_SP'!$C:$AN,MID(AA$1,1,2),FALSE)</f>
        <v>0</v>
      </c>
      <c r="AB1649" s="55">
        <f>VLOOKUP($E1649,'NI-Soc_SP'!$C:$AN,MID(AB$1,1,2),FALSE)</f>
        <v>0</v>
      </c>
      <c r="AC1649" s="55">
        <f>VLOOKUP($E1649,'NI-Soc_SP'!$C:$AN,MID(AC$1,1,2),FALSE)</f>
        <v>0</v>
      </c>
      <c r="AD1649" s="55">
        <f>VLOOKUP($E1649,'NI-Soc_SP'!$C:$AN,MID(AD$1,1,2),FALSE)</f>
        <v>0</v>
      </c>
      <c r="AE1649" s="55">
        <f>VLOOKUP($E1649,'NI-Soc_SP'!$C:$AN,MID(AE$1,1,2),FALSE)</f>
        <v>0</v>
      </c>
      <c r="AF1649" s="55">
        <f>VLOOKUP($E1649,'NI-Soc_SP'!$C:$AN,MID(AF$1,1,2),FALSE)</f>
        <v>0</v>
      </c>
      <c r="AG1649" s="55">
        <f>VLOOKUP($E1649,'NI-Soc_SP'!$C:$AN,MID(AG$1,1,2),FALSE)</f>
        <v>0</v>
      </c>
      <c r="AH1649" s="55">
        <f>VLOOKUP($E1649,'NI-Soc_SP'!$C:$AN,MID(AH$1,1,2),FALSE)</f>
        <v>0</v>
      </c>
      <c r="AI1649" s="55">
        <f>VLOOKUP($E1649,'NI-Soc_SP'!$C:$AN,MID(AI$1,1,2),FALSE)</f>
        <v>0</v>
      </c>
      <c r="AJ1649" s="55">
        <f>VLOOKUP($E1649,'NI-Soc_SP'!$C:$AN,MID(AJ$1,1,2),FALSE)</f>
        <v>0</v>
      </c>
      <c r="AK1649" s="55">
        <f>VLOOKUP($E1649,'NI-Soc_SP'!$C:$AN,MID(AK$1,1,2),FALSE)</f>
        <v>0</v>
      </c>
      <c r="AL1649" s="55">
        <f>VLOOKUP($E1649,'NI-Soc_SP'!$C:$AN,MID(AL$1,1,2),FALSE)</f>
        <v>0</v>
      </c>
      <c r="AM1649" s="56">
        <f>VLOOKUP($E1649,'NI-Soc_SP'!$C:$AN,MID(AM$1,1,2),FALSE)</f>
        <v>0</v>
      </c>
      <c r="AN1649" s="30" t="str">
        <f t="shared" si="25"/>
        <v>10206010010010</v>
      </c>
    </row>
    <row r="1650" spans="3:40" x14ac:dyDescent="0.25">
      <c r="C1650" s="40"/>
      <c r="D1650" s="121" t="s">
        <v>780</v>
      </c>
      <c r="E1650" s="121" t="s">
        <v>781</v>
      </c>
      <c r="F1650" s="122" t="s">
        <v>2758</v>
      </c>
      <c r="G1650" s="52"/>
      <c r="H1650" s="52"/>
      <c r="I1650" s="52"/>
      <c r="J1650" s="52"/>
      <c r="K1650" s="59" t="s">
        <v>79</v>
      </c>
      <c r="L1650" s="52"/>
      <c r="M1650" s="52"/>
      <c r="N1650" s="52"/>
      <c r="O1650" s="52"/>
      <c r="P1650" s="63" t="s">
        <v>782</v>
      </c>
      <c r="Q1650" s="55">
        <f>VLOOKUP(E1650,'NI-Soc_SP'!$C:$AN,12,FALSE)</f>
        <v>0</v>
      </c>
      <c r="R1650" s="55">
        <f>VLOOKUP(E1650,'NI-Soc_SP'!$C:$AN,13,FALSE)</f>
        <v>0</v>
      </c>
      <c r="S1650" s="55"/>
      <c r="T1650" s="55"/>
      <c r="U1650" s="55">
        <f>VLOOKUP($E1650,'NI-Soc_SP'!$C:$AN,MID(U$1,1,2),FALSE)</f>
        <v>0</v>
      </c>
      <c r="V1650" s="55">
        <f>VLOOKUP($E1650,'NI-Soc_SP'!$C:$AN,MID(V$1,1,2),FALSE)</f>
        <v>0</v>
      </c>
      <c r="W1650" s="55">
        <f>VLOOKUP($E1650,'NI-Soc_SP'!$C:$AN,MID(W$1,1,2),FALSE)</f>
        <v>0</v>
      </c>
      <c r="X1650" s="55">
        <f>VLOOKUP($E1650,'NI-Soc_SP'!$C:$AN,MID(X$1,1,2),FALSE)</f>
        <v>0</v>
      </c>
      <c r="Y1650" s="55">
        <f>VLOOKUP($E1650,'NI-Soc_SP'!$C:$AN,MID(Y$1,1,2),FALSE)</f>
        <v>0</v>
      </c>
      <c r="Z1650" s="55">
        <f>VLOOKUP($E1650,'NI-Soc_SP'!$C:$AN,MID(Z$1,1,2),FALSE)</f>
        <v>0</v>
      </c>
      <c r="AA1650" s="55">
        <f>VLOOKUP($E1650,'NI-Soc_SP'!$C:$AN,MID(AA$1,1,2),FALSE)</f>
        <v>0</v>
      </c>
      <c r="AB1650" s="55">
        <f>VLOOKUP($E1650,'NI-Soc_SP'!$C:$AN,MID(AB$1,1,2),FALSE)</f>
        <v>0</v>
      </c>
      <c r="AC1650" s="55">
        <f>VLOOKUP($E1650,'NI-Soc_SP'!$C:$AN,MID(AC$1,1,2),FALSE)</f>
        <v>0</v>
      </c>
      <c r="AD1650" s="55">
        <f>VLOOKUP($E1650,'NI-Soc_SP'!$C:$AN,MID(AD$1,1,2),FALSE)</f>
        <v>0</v>
      </c>
      <c r="AE1650" s="55">
        <f>VLOOKUP($E1650,'NI-Soc_SP'!$C:$AN,MID(AE$1,1,2),FALSE)</f>
        <v>0</v>
      </c>
      <c r="AF1650" s="55">
        <f>VLOOKUP($E1650,'NI-Soc_SP'!$C:$AN,MID(AF$1,1,2),FALSE)</f>
        <v>0</v>
      </c>
      <c r="AG1650" s="55">
        <f>VLOOKUP($E1650,'NI-Soc_SP'!$C:$AN,MID(AG$1,1,2),FALSE)</f>
        <v>0</v>
      </c>
      <c r="AH1650" s="55">
        <f>VLOOKUP($E1650,'NI-Soc_SP'!$C:$AN,MID(AH$1,1,2),FALSE)</f>
        <v>0</v>
      </c>
      <c r="AI1650" s="55">
        <f>VLOOKUP($E1650,'NI-Soc_SP'!$C:$AN,MID(AI$1,1,2),FALSE)</f>
        <v>0</v>
      </c>
      <c r="AJ1650" s="55">
        <f>VLOOKUP($E1650,'NI-Soc_SP'!$C:$AN,MID(AJ$1,1,2),FALSE)</f>
        <v>0</v>
      </c>
      <c r="AK1650" s="55">
        <f>VLOOKUP($E1650,'NI-Soc_SP'!$C:$AN,MID(AK$1,1,2),FALSE)</f>
        <v>0</v>
      </c>
      <c r="AL1650" s="55">
        <f>VLOOKUP($E1650,'NI-Soc_SP'!$C:$AN,MID(AL$1,1,2),FALSE)</f>
        <v>0</v>
      </c>
      <c r="AM1650" s="56">
        <f>VLOOKUP($E1650,'NI-Soc_SP'!$C:$AN,MID(AM$1,1,2),FALSE)</f>
        <v>0</v>
      </c>
      <c r="AN1650" s="30" t="str">
        <f t="shared" si="25"/>
        <v>10206010010020</v>
      </c>
    </row>
    <row r="1651" spans="3:40" x14ac:dyDescent="0.25">
      <c r="C1651" s="40"/>
      <c r="D1651" s="121" t="s">
        <v>783</v>
      </c>
      <c r="E1651" s="121" t="s">
        <v>784</v>
      </c>
      <c r="F1651" s="122" t="s">
        <v>2758</v>
      </c>
      <c r="G1651" s="52"/>
      <c r="H1651" s="52"/>
      <c r="I1651" s="52"/>
      <c r="J1651" s="52"/>
      <c r="K1651" s="59" t="s">
        <v>79</v>
      </c>
      <c r="L1651" s="52"/>
      <c r="M1651" s="52"/>
      <c r="N1651" s="52"/>
      <c r="O1651" s="52"/>
      <c r="P1651" s="63" t="s">
        <v>785</v>
      </c>
      <c r="Q1651" s="55">
        <f>VLOOKUP(E1651,'NI-Soc_SP'!$C:$AN,12,FALSE)</f>
        <v>0</v>
      </c>
      <c r="R1651" s="55">
        <f>VLOOKUP(E1651,'NI-Soc_SP'!$C:$AN,13,FALSE)</f>
        <v>0</v>
      </c>
      <c r="S1651" s="55"/>
      <c r="T1651" s="55"/>
      <c r="U1651" s="55">
        <f>VLOOKUP($E1651,'NI-Soc_SP'!$C:$AN,MID(U$1,1,2),FALSE)</f>
        <v>0</v>
      </c>
      <c r="V1651" s="55">
        <f>VLOOKUP($E1651,'NI-Soc_SP'!$C:$AN,MID(V$1,1,2),FALSE)</f>
        <v>0</v>
      </c>
      <c r="W1651" s="55">
        <f>VLOOKUP($E1651,'NI-Soc_SP'!$C:$AN,MID(W$1,1,2),FALSE)</f>
        <v>0</v>
      </c>
      <c r="X1651" s="55">
        <f>VLOOKUP($E1651,'NI-Soc_SP'!$C:$AN,MID(X$1,1,2),FALSE)</f>
        <v>0</v>
      </c>
      <c r="Y1651" s="55">
        <f>VLOOKUP($E1651,'NI-Soc_SP'!$C:$AN,MID(Y$1,1,2),FALSE)</f>
        <v>0</v>
      </c>
      <c r="Z1651" s="55">
        <f>VLOOKUP($E1651,'NI-Soc_SP'!$C:$AN,MID(Z$1,1,2),FALSE)</f>
        <v>0</v>
      </c>
      <c r="AA1651" s="55">
        <f>VLOOKUP($E1651,'NI-Soc_SP'!$C:$AN,MID(AA$1,1,2),FALSE)</f>
        <v>0</v>
      </c>
      <c r="AB1651" s="55">
        <f>VLOOKUP($E1651,'NI-Soc_SP'!$C:$AN,MID(AB$1,1,2),FALSE)</f>
        <v>0</v>
      </c>
      <c r="AC1651" s="55">
        <f>VLOOKUP($E1651,'NI-Soc_SP'!$C:$AN,MID(AC$1,1,2),FALSE)</f>
        <v>0</v>
      </c>
      <c r="AD1651" s="55">
        <f>VLOOKUP($E1651,'NI-Soc_SP'!$C:$AN,MID(AD$1,1,2),FALSE)</f>
        <v>0</v>
      </c>
      <c r="AE1651" s="55">
        <f>VLOOKUP($E1651,'NI-Soc_SP'!$C:$AN,MID(AE$1,1,2),FALSE)</f>
        <v>0</v>
      </c>
      <c r="AF1651" s="55">
        <f>VLOOKUP($E1651,'NI-Soc_SP'!$C:$AN,MID(AF$1,1,2),FALSE)</f>
        <v>0</v>
      </c>
      <c r="AG1651" s="55">
        <f>VLOOKUP($E1651,'NI-Soc_SP'!$C:$AN,MID(AG$1,1,2),FALSE)</f>
        <v>0</v>
      </c>
      <c r="AH1651" s="55">
        <f>VLOOKUP($E1651,'NI-Soc_SP'!$C:$AN,MID(AH$1,1,2),FALSE)</f>
        <v>0</v>
      </c>
      <c r="AI1651" s="55">
        <f>VLOOKUP($E1651,'NI-Soc_SP'!$C:$AN,MID(AI$1,1,2),FALSE)</f>
        <v>0</v>
      </c>
      <c r="AJ1651" s="55">
        <f>VLOOKUP($E1651,'NI-Soc_SP'!$C:$AN,MID(AJ$1,1,2),FALSE)</f>
        <v>0</v>
      </c>
      <c r="AK1651" s="55">
        <f>VLOOKUP($E1651,'NI-Soc_SP'!$C:$AN,MID(AK$1,1,2),FALSE)</f>
        <v>0</v>
      </c>
      <c r="AL1651" s="55">
        <f>VLOOKUP($E1651,'NI-Soc_SP'!$C:$AN,MID(AL$1,1,2),FALSE)</f>
        <v>0</v>
      </c>
      <c r="AM1651" s="56">
        <f>VLOOKUP($E1651,'NI-Soc_SP'!$C:$AN,MID(AM$1,1,2),FALSE)</f>
        <v>0</v>
      </c>
      <c r="AN1651" s="30" t="str">
        <f t="shared" si="25"/>
        <v>10206010020010</v>
      </c>
    </row>
    <row r="1652" spans="3:40" x14ac:dyDescent="0.25">
      <c r="C1652" s="40"/>
      <c r="D1652" s="121" t="s">
        <v>786</v>
      </c>
      <c r="E1652" s="121" t="s">
        <v>787</v>
      </c>
      <c r="F1652" s="122" t="s">
        <v>2758</v>
      </c>
      <c r="G1652" s="52"/>
      <c r="H1652" s="52"/>
      <c r="I1652" s="52"/>
      <c r="J1652" s="52"/>
      <c r="K1652" s="59" t="s">
        <v>79</v>
      </c>
      <c r="L1652" s="52"/>
      <c r="M1652" s="52"/>
      <c r="N1652" s="52"/>
      <c r="O1652" s="52"/>
      <c r="P1652" s="63" t="s">
        <v>788</v>
      </c>
      <c r="Q1652" s="55">
        <f>VLOOKUP(E1652,'NI-Soc_SP'!$C:$AN,12,FALSE)</f>
        <v>0</v>
      </c>
      <c r="R1652" s="55">
        <f>VLOOKUP(E1652,'NI-Soc_SP'!$C:$AN,13,FALSE)</f>
        <v>0</v>
      </c>
      <c r="S1652" s="55"/>
      <c r="T1652" s="55"/>
      <c r="U1652" s="55">
        <f>VLOOKUP($E1652,'NI-Soc_SP'!$C:$AN,MID(U$1,1,2),FALSE)</f>
        <v>0</v>
      </c>
      <c r="V1652" s="55">
        <f>VLOOKUP($E1652,'NI-Soc_SP'!$C:$AN,MID(V$1,1,2),FALSE)</f>
        <v>0</v>
      </c>
      <c r="W1652" s="55">
        <f>VLOOKUP($E1652,'NI-Soc_SP'!$C:$AN,MID(W$1,1,2),FALSE)</f>
        <v>0</v>
      </c>
      <c r="X1652" s="55">
        <f>VLOOKUP($E1652,'NI-Soc_SP'!$C:$AN,MID(X$1,1,2),FALSE)</f>
        <v>0</v>
      </c>
      <c r="Y1652" s="55">
        <f>VLOOKUP($E1652,'NI-Soc_SP'!$C:$AN,MID(Y$1,1,2),FALSE)</f>
        <v>0</v>
      </c>
      <c r="Z1652" s="55">
        <f>VLOOKUP($E1652,'NI-Soc_SP'!$C:$AN,MID(Z$1,1,2),FALSE)</f>
        <v>0</v>
      </c>
      <c r="AA1652" s="55">
        <f>VLOOKUP($E1652,'NI-Soc_SP'!$C:$AN,MID(AA$1,1,2),FALSE)</f>
        <v>0</v>
      </c>
      <c r="AB1652" s="55">
        <f>VLOOKUP($E1652,'NI-Soc_SP'!$C:$AN,MID(AB$1,1,2),FALSE)</f>
        <v>0</v>
      </c>
      <c r="AC1652" s="55">
        <f>VLOOKUP($E1652,'NI-Soc_SP'!$C:$AN,MID(AC$1,1,2),FALSE)</f>
        <v>0</v>
      </c>
      <c r="AD1652" s="55">
        <f>VLOOKUP($E1652,'NI-Soc_SP'!$C:$AN,MID(AD$1,1,2),FALSE)</f>
        <v>0</v>
      </c>
      <c r="AE1652" s="55">
        <f>VLOOKUP($E1652,'NI-Soc_SP'!$C:$AN,MID(AE$1,1,2),FALSE)</f>
        <v>0</v>
      </c>
      <c r="AF1652" s="55">
        <f>VLOOKUP($E1652,'NI-Soc_SP'!$C:$AN,MID(AF$1,1,2),FALSE)</f>
        <v>0</v>
      </c>
      <c r="AG1652" s="55">
        <f>VLOOKUP($E1652,'NI-Soc_SP'!$C:$AN,MID(AG$1,1,2),FALSE)</f>
        <v>0</v>
      </c>
      <c r="AH1652" s="55">
        <f>VLOOKUP($E1652,'NI-Soc_SP'!$C:$AN,MID(AH$1,1,2),FALSE)</f>
        <v>0</v>
      </c>
      <c r="AI1652" s="55">
        <f>VLOOKUP($E1652,'NI-Soc_SP'!$C:$AN,MID(AI$1,1,2),FALSE)</f>
        <v>0</v>
      </c>
      <c r="AJ1652" s="55">
        <f>VLOOKUP($E1652,'NI-Soc_SP'!$C:$AN,MID(AJ$1,1,2),FALSE)</f>
        <v>0</v>
      </c>
      <c r="AK1652" s="55">
        <f>VLOOKUP($E1652,'NI-Soc_SP'!$C:$AN,MID(AK$1,1,2),FALSE)</f>
        <v>0</v>
      </c>
      <c r="AL1652" s="55">
        <f>VLOOKUP($E1652,'NI-Soc_SP'!$C:$AN,MID(AL$1,1,2),FALSE)</f>
        <v>0</v>
      </c>
      <c r="AM1652" s="56">
        <f>VLOOKUP($E1652,'NI-Soc_SP'!$C:$AN,MID(AM$1,1,2),FALSE)</f>
        <v>0</v>
      </c>
      <c r="AN1652" s="30" t="str">
        <f t="shared" si="25"/>
        <v>10206010020020</v>
      </c>
    </row>
    <row r="1653" spans="3:40" x14ac:dyDescent="0.25">
      <c r="C1653" s="40"/>
      <c r="D1653" s="121" t="s">
        <v>789</v>
      </c>
      <c r="E1653" s="121" t="s">
        <v>790</v>
      </c>
      <c r="F1653" s="122" t="s">
        <v>2758</v>
      </c>
      <c r="G1653" s="52"/>
      <c r="H1653" s="52"/>
      <c r="I1653" s="52"/>
      <c r="J1653" s="52"/>
      <c r="K1653" s="59" t="s">
        <v>79</v>
      </c>
      <c r="L1653" s="52"/>
      <c r="M1653" s="52"/>
      <c r="N1653" s="52"/>
      <c r="O1653" s="52"/>
      <c r="P1653" s="63" t="s">
        <v>791</v>
      </c>
      <c r="Q1653" s="55">
        <f>VLOOKUP(E1653,'NI-Soc_SP'!$C:$AN,12,FALSE)</f>
        <v>0</v>
      </c>
      <c r="R1653" s="55">
        <f>VLOOKUP(E1653,'NI-Soc_SP'!$C:$AN,13,FALSE)</f>
        <v>0</v>
      </c>
      <c r="S1653" s="55"/>
      <c r="T1653" s="55"/>
      <c r="U1653" s="55">
        <f>VLOOKUP($E1653,'NI-Soc_SP'!$C:$AN,MID(U$1,1,2),FALSE)</f>
        <v>0</v>
      </c>
      <c r="V1653" s="55">
        <f>VLOOKUP($E1653,'NI-Soc_SP'!$C:$AN,MID(V$1,1,2),FALSE)</f>
        <v>0</v>
      </c>
      <c r="W1653" s="55">
        <f>VLOOKUP($E1653,'NI-Soc_SP'!$C:$AN,MID(W$1,1,2),FALSE)</f>
        <v>0</v>
      </c>
      <c r="X1653" s="55">
        <f>VLOOKUP($E1653,'NI-Soc_SP'!$C:$AN,MID(X$1,1,2),FALSE)</f>
        <v>0</v>
      </c>
      <c r="Y1653" s="55">
        <f>VLOOKUP($E1653,'NI-Soc_SP'!$C:$AN,MID(Y$1,1,2),FALSE)</f>
        <v>0</v>
      </c>
      <c r="Z1653" s="55">
        <f>VLOOKUP($E1653,'NI-Soc_SP'!$C:$AN,MID(Z$1,1,2),FALSE)</f>
        <v>0</v>
      </c>
      <c r="AA1653" s="55">
        <f>VLOOKUP($E1653,'NI-Soc_SP'!$C:$AN,MID(AA$1,1,2),FALSE)</f>
        <v>0</v>
      </c>
      <c r="AB1653" s="55">
        <f>VLOOKUP($E1653,'NI-Soc_SP'!$C:$AN,MID(AB$1,1,2),FALSE)</f>
        <v>0</v>
      </c>
      <c r="AC1653" s="55">
        <f>VLOOKUP($E1653,'NI-Soc_SP'!$C:$AN,MID(AC$1,1,2),FALSE)</f>
        <v>0</v>
      </c>
      <c r="AD1653" s="55">
        <f>VLOOKUP($E1653,'NI-Soc_SP'!$C:$AN,MID(AD$1,1,2),FALSE)</f>
        <v>0</v>
      </c>
      <c r="AE1653" s="55">
        <f>VLOOKUP($E1653,'NI-Soc_SP'!$C:$AN,MID(AE$1,1,2),FALSE)</f>
        <v>0</v>
      </c>
      <c r="AF1653" s="55">
        <f>VLOOKUP($E1653,'NI-Soc_SP'!$C:$AN,MID(AF$1,1,2),FALSE)</f>
        <v>0</v>
      </c>
      <c r="AG1653" s="55">
        <f>VLOOKUP($E1653,'NI-Soc_SP'!$C:$AN,MID(AG$1,1,2),FALSE)</f>
        <v>0</v>
      </c>
      <c r="AH1653" s="55">
        <f>VLOOKUP($E1653,'NI-Soc_SP'!$C:$AN,MID(AH$1,1,2),FALSE)</f>
        <v>0</v>
      </c>
      <c r="AI1653" s="55">
        <f>VLOOKUP($E1653,'NI-Soc_SP'!$C:$AN,MID(AI$1,1,2),FALSE)</f>
        <v>0</v>
      </c>
      <c r="AJ1653" s="55">
        <f>VLOOKUP($E1653,'NI-Soc_SP'!$C:$AN,MID(AJ$1,1,2),FALSE)</f>
        <v>0</v>
      </c>
      <c r="AK1653" s="55">
        <f>VLOOKUP($E1653,'NI-Soc_SP'!$C:$AN,MID(AK$1,1,2),FALSE)</f>
        <v>0</v>
      </c>
      <c r="AL1653" s="55">
        <f>VLOOKUP($E1653,'NI-Soc_SP'!$C:$AN,MID(AL$1,1,2),FALSE)</f>
        <v>0</v>
      </c>
      <c r="AM1653" s="56">
        <f>VLOOKUP($E1653,'NI-Soc_SP'!$C:$AN,MID(AM$1,1,2),FALSE)</f>
        <v>0</v>
      </c>
      <c r="AN1653" s="30" t="str">
        <f t="shared" si="25"/>
        <v>10206010030010</v>
      </c>
    </row>
    <row r="1654" spans="3:40" x14ac:dyDescent="0.25">
      <c r="C1654" s="40"/>
      <c r="D1654" s="121" t="s">
        <v>792</v>
      </c>
      <c r="E1654" s="121" t="s">
        <v>793</v>
      </c>
      <c r="F1654" s="122" t="s">
        <v>2758</v>
      </c>
      <c r="G1654" s="52"/>
      <c r="H1654" s="52"/>
      <c r="I1654" s="52"/>
      <c r="J1654" s="52"/>
      <c r="K1654" s="59" t="s">
        <v>79</v>
      </c>
      <c r="L1654" s="52"/>
      <c r="M1654" s="52"/>
      <c r="N1654" s="52"/>
      <c r="O1654" s="52"/>
      <c r="P1654" s="63" t="s">
        <v>794</v>
      </c>
      <c r="Q1654" s="55">
        <f>VLOOKUP(E1654,'NI-Soc_SP'!$C:$AN,12,FALSE)</f>
        <v>0</v>
      </c>
      <c r="R1654" s="55">
        <f>VLOOKUP(E1654,'NI-Soc_SP'!$C:$AN,13,FALSE)</f>
        <v>0</v>
      </c>
      <c r="S1654" s="55"/>
      <c r="T1654" s="55"/>
      <c r="U1654" s="55">
        <f>VLOOKUP($E1654,'NI-Soc_SP'!$C:$AN,MID(U$1,1,2),FALSE)</f>
        <v>0</v>
      </c>
      <c r="V1654" s="55">
        <f>VLOOKUP($E1654,'NI-Soc_SP'!$C:$AN,MID(V$1,1,2),FALSE)</f>
        <v>0</v>
      </c>
      <c r="W1654" s="55">
        <f>VLOOKUP($E1654,'NI-Soc_SP'!$C:$AN,MID(W$1,1,2),FALSE)</f>
        <v>0</v>
      </c>
      <c r="X1654" s="55">
        <f>VLOOKUP($E1654,'NI-Soc_SP'!$C:$AN,MID(X$1,1,2),FALSE)</f>
        <v>0</v>
      </c>
      <c r="Y1654" s="55">
        <f>VLOOKUP($E1654,'NI-Soc_SP'!$C:$AN,MID(Y$1,1,2),FALSE)</f>
        <v>0</v>
      </c>
      <c r="Z1654" s="55">
        <f>VLOOKUP($E1654,'NI-Soc_SP'!$C:$AN,MID(Z$1,1,2),FALSE)</f>
        <v>0</v>
      </c>
      <c r="AA1654" s="55">
        <f>VLOOKUP($E1654,'NI-Soc_SP'!$C:$AN,MID(AA$1,1,2),FALSE)</f>
        <v>0</v>
      </c>
      <c r="AB1654" s="55">
        <f>VLOOKUP($E1654,'NI-Soc_SP'!$C:$AN,MID(AB$1,1,2),FALSE)</f>
        <v>0</v>
      </c>
      <c r="AC1654" s="55">
        <f>VLOOKUP($E1654,'NI-Soc_SP'!$C:$AN,MID(AC$1,1,2),FALSE)</f>
        <v>0</v>
      </c>
      <c r="AD1654" s="55">
        <f>VLOOKUP($E1654,'NI-Soc_SP'!$C:$AN,MID(AD$1,1,2),FALSE)</f>
        <v>0</v>
      </c>
      <c r="AE1654" s="55">
        <f>VLOOKUP($E1654,'NI-Soc_SP'!$C:$AN,MID(AE$1,1,2),FALSE)</f>
        <v>0</v>
      </c>
      <c r="AF1654" s="55">
        <f>VLOOKUP($E1654,'NI-Soc_SP'!$C:$AN,MID(AF$1,1,2),FALSE)</f>
        <v>0</v>
      </c>
      <c r="AG1654" s="55">
        <f>VLOOKUP($E1654,'NI-Soc_SP'!$C:$AN,MID(AG$1,1,2),FALSE)</f>
        <v>0</v>
      </c>
      <c r="AH1654" s="55">
        <f>VLOOKUP($E1654,'NI-Soc_SP'!$C:$AN,MID(AH$1,1,2),FALSE)</f>
        <v>0</v>
      </c>
      <c r="AI1654" s="55">
        <f>VLOOKUP($E1654,'NI-Soc_SP'!$C:$AN,MID(AI$1,1,2),FALSE)</f>
        <v>0</v>
      </c>
      <c r="AJ1654" s="55">
        <f>VLOOKUP($E1654,'NI-Soc_SP'!$C:$AN,MID(AJ$1,1,2),FALSE)</f>
        <v>0</v>
      </c>
      <c r="AK1654" s="55">
        <f>VLOOKUP($E1654,'NI-Soc_SP'!$C:$AN,MID(AK$1,1,2),FALSE)</f>
        <v>0</v>
      </c>
      <c r="AL1654" s="55">
        <f>VLOOKUP($E1654,'NI-Soc_SP'!$C:$AN,MID(AL$1,1,2),FALSE)</f>
        <v>0</v>
      </c>
      <c r="AM1654" s="56">
        <f>VLOOKUP($E1654,'NI-Soc_SP'!$C:$AN,MID(AM$1,1,2),FALSE)</f>
        <v>0</v>
      </c>
      <c r="AN1654" s="30" t="str">
        <f t="shared" si="25"/>
        <v>10206010030020</v>
      </c>
    </row>
    <row r="1655" spans="3:40" x14ac:dyDescent="0.25">
      <c r="C1655" s="40"/>
      <c r="D1655" s="121" t="s">
        <v>795</v>
      </c>
      <c r="E1655" s="121" t="s">
        <v>796</v>
      </c>
      <c r="F1655" s="122" t="s">
        <v>2758</v>
      </c>
      <c r="G1655" s="52"/>
      <c r="H1655" s="52"/>
      <c r="I1655" s="52"/>
      <c r="J1655" s="52"/>
      <c r="K1655" s="59" t="s">
        <v>79</v>
      </c>
      <c r="L1655" s="52"/>
      <c r="M1655" s="52"/>
      <c r="N1655" s="52"/>
      <c r="O1655" s="52"/>
      <c r="P1655" s="63" t="s">
        <v>797</v>
      </c>
      <c r="Q1655" s="55">
        <f>VLOOKUP(E1655,'NI-Soc_SP'!$C:$AN,12,FALSE)</f>
        <v>0</v>
      </c>
      <c r="R1655" s="55">
        <f>VLOOKUP(E1655,'NI-Soc_SP'!$C:$AN,13,FALSE)</f>
        <v>0</v>
      </c>
      <c r="S1655" s="55"/>
      <c r="T1655" s="55"/>
      <c r="U1655" s="55">
        <f>VLOOKUP($E1655,'NI-Soc_SP'!$C:$AN,MID(U$1,1,2),FALSE)</f>
        <v>0</v>
      </c>
      <c r="V1655" s="55">
        <f>VLOOKUP($E1655,'NI-Soc_SP'!$C:$AN,MID(V$1,1,2),FALSE)</f>
        <v>0</v>
      </c>
      <c r="W1655" s="55">
        <f>VLOOKUP($E1655,'NI-Soc_SP'!$C:$AN,MID(W$1,1,2),FALSE)</f>
        <v>0</v>
      </c>
      <c r="X1655" s="55">
        <f>VLOOKUP($E1655,'NI-Soc_SP'!$C:$AN,MID(X$1,1,2),FALSE)</f>
        <v>0</v>
      </c>
      <c r="Y1655" s="55">
        <f>VLOOKUP($E1655,'NI-Soc_SP'!$C:$AN,MID(Y$1,1,2),FALSE)</f>
        <v>0</v>
      </c>
      <c r="Z1655" s="55">
        <f>VLOOKUP($E1655,'NI-Soc_SP'!$C:$AN,MID(Z$1,1,2),FALSE)</f>
        <v>0</v>
      </c>
      <c r="AA1655" s="55">
        <f>VLOOKUP($E1655,'NI-Soc_SP'!$C:$AN,MID(AA$1,1,2),FALSE)</f>
        <v>0</v>
      </c>
      <c r="AB1655" s="55">
        <f>VLOOKUP($E1655,'NI-Soc_SP'!$C:$AN,MID(AB$1,1,2),FALSE)</f>
        <v>0</v>
      </c>
      <c r="AC1655" s="55">
        <f>VLOOKUP($E1655,'NI-Soc_SP'!$C:$AN,MID(AC$1,1,2),FALSE)</f>
        <v>0</v>
      </c>
      <c r="AD1655" s="55">
        <f>VLOOKUP($E1655,'NI-Soc_SP'!$C:$AN,MID(AD$1,1,2),FALSE)</f>
        <v>0</v>
      </c>
      <c r="AE1655" s="55">
        <f>VLOOKUP($E1655,'NI-Soc_SP'!$C:$AN,MID(AE$1,1,2),FALSE)</f>
        <v>0</v>
      </c>
      <c r="AF1655" s="55">
        <f>VLOOKUP($E1655,'NI-Soc_SP'!$C:$AN,MID(AF$1,1,2),FALSE)</f>
        <v>0</v>
      </c>
      <c r="AG1655" s="55">
        <f>VLOOKUP($E1655,'NI-Soc_SP'!$C:$AN,MID(AG$1,1,2),FALSE)</f>
        <v>0</v>
      </c>
      <c r="AH1655" s="55">
        <f>VLOOKUP($E1655,'NI-Soc_SP'!$C:$AN,MID(AH$1,1,2),FALSE)</f>
        <v>0</v>
      </c>
      <c r="AI1655" s="55">
        <f>VLOOKUP($E1655,'NI-Soc_SP'!$C:$AN,MID(AI$1,1,2),FALSE)</f>
        <v>0</v>
      </c>
      <c r="AJ1655" s="55">
        <f>VLOOKUP($E1655,'NI-Soc_SP'!$C:$AN,MID(AJ$1,1,2),FALSE)</f>
        <v>0</v>
      </c>
      <c r="AK1655" s="55">
        <f>VLOOKUP($E1655,'NI-Soc_SP'!$C:$AN,MID(AK$1,1,2),FALSE)</f>
        <v>0</v>
      </c>
      <c r="AL1655" s="55">
        <f>VLOOKUP($E1655,'NI-Soc_SP'!$C:$AN,MID(AL$1,1,2),FALSE)</f>
        <v>0</v>
      </c>
      <c r="AM1655" s="56">
        <f>VLOOKUP($E1655,'NI-Soc_SP'!$C:$AN,MID(AM$1,1,2),FALSE)</f>
        <v>0</v>
      </c>
      <c r="AN1655" s="30" t="str">
        <f t="shared" si="25"/>
        <v>10206010040010</v>
      </c>
    </row>
    <row r="1656" spans="3:40" x14ac:dyDescent="0.25">
      <c r="C1656" s="40"/>
      <c r="D1656" s="121" t="s">
        <v>798</v>
      </c>
      <c r="E1656" s="121" t="s">
        <v>799</v>
      </c>
      <c r="F1656" s="122" t="s">
        <v>2758</v>
      </c>
      <c r="G1656" s="52"/>
      <c r="H1656" s="52"/>
      <c r="I1656" s="52"/>
      <c r="J1656" s="52"/>
      <c r="K1656" s="59" t="s">
        <v>79</v>
      </c>
      <c r="L1656" s="52"/>
      <c r="M1656" s="52"/>
      <c r="N1656" s="52"/>
      <c r="O1656" s="52"/>
      <c r="P1656" s="63" t="s">
        <v>800</v>
      </c>
      <c r="Q1656" s="55">
        <f>VLOOKUP(E1656,'NI-Soc_SP'!$C:$AN,12,FALSE)</f>
        <v>0</v>
      </c>
      <c r="R1656" s="55">
        <f>VLOOKUP(E1656,'NI-Soc_SP'!$C:$AN,13,FALSE)</f>
        <v>0</v>
      </c>
      <c r="S1656" s="55"/>
      <c r="T1656" s="55"/>
      <c r="U1656" s="55">
        <f>VLOOKUP($E1656,'NI-Soc_SP'!$C:$AN,MID(U$1,1,2),FALSE)</f>
        <v>0</v>
      </c>
      <c r="V1656" s="55">
        <f>VLOOKUP($E1656,'NI-Soc_SP'!$C:$AN,MID(V$1,1,2),FALSE)</f>
        <v>0</v>
      </c>
      <c r="W1656" s="55">
        <f>VLOOKUP($E1656,'NI-Soc_SP'!$C:$AN,MID(W$1,1,2),FALSE)</f>
        <v>0</v>
      </c>
      <c r="X1656" s="55">
        <f>VLOOKUP($E1656,'NI-Soc_SP'!$C:$AN,MID(X$1,1,2),FALSE)</f>
        <v>0</v>
      </c>
      <c r="Y1656" s="55">
        <f>VLOOKUP($E1656,'NI-Soc_SP'!$C:$AN,MID(Y$1,1,2),FALSE)</f>
        <v>0</v>
      </c>
      <c r="Z1656" s="55">
        <f>VLOOKUP($E1656,'NI-Soc_SP'!$C:$AN,MID(Z$1,1,2),FALSE)</f>
        <v>0</v>
      </c>
      <c r="AA1656" s="55">
        <f>VLOOKUP($E1656,'NI-Soc_SP'!$C:$AN,MID(AA$1,1,2),FALSE)</f>
        <v>0</v>
      </c>
      <c r="AB1656" s="55">
        <f>VLOOKUP($E1656,'NI-Soc_SP'!$C:$AN,MID(AB$1,1,2),FALSE)</f>
        <v>0</v>
      </c>
      <c r="AC1656" s="55">
        <f>VLOOKUP($E1656,'NI-Soc_SP'!$C:$AN,MID(AC$1,1,2),FALSE)</f>
        <v>0</v>
      </c>
      <c r="AD1656" s="55">
        <f>VLOOKUP($E1656,'NI-Soc_SP'!$C:$AN,MID(AD$1,1,2),FALSE)</f>
        <v>0</v>
      </c>
      <c r="AE1656" s="55">
        <f>VLOOKUP($E1656,'NI-Soc_SP'!$C:$AN,MID(AE$1,1,2),FALSE)</f>
        <v>0</v>
      </c>
      <c r="AF1656" s="55">
        <f>VLOOKUP($E1656,'NI-Soc_SP'!$C:$AN,MID(AF$1,1,2),FALSE)</f>
        <v>0</v>
      </c>
      <c r="AG1656" s="55">
        <f>VLOOKUP($E1656,'NI-Soc_SP'!$C:$AN,MID(AG$1,1,2),FALSE)</f>
        <v>0</v>
      </c>
      <c r="AH1656" s="55">
        <f>VLOOKUP($E1656,'NI-Soc_SP'!$C:$AN,MID(AH$1,1,2),FALSE)</f>
        <v>0</v>
      </c>
      <c r="AI1656" s="55">
        <f>VLOOKUP($E1656,'NI-Soc_SP'!$C:$AN,MID(AI$1,1,2),FALSE)</f>
        <v>0</v>
      </c>
      <c r="AJ1656" s="55">
        <f>VLOOKUP($E1656,'NI-Soc_SP'!$C:$AN,MID(AJ$1,1,2),FALSE)</f>
        <v>0</v>
      </c>
      <c r="AK1656" s="55">
        <f>VLOOKUP($E1656,'NI-Soc_SP'!$C:$AN,MID(AK$1,1,2),FALSE)</f>
        <v>0</v>
      </c>
      <c r="AL1656" s="55">
        <f>VLOOKUP($E1656,'NI-Soc_SP'!$C:$AN,MID(AL$1,1,2),FALSE)</f>
        <v>0</v>
      </c>
      <c r="AM1656" s="56">
        <f>VLOOKUP($E1656,'NI-Soc_SP'!$C:$AN,MID(AM$1,1,2),FALSE)</f>
        <v>0</v>
      </c>
      <c r="AN1656" s="30" t="str">
        <f t="shared" si="25"/>
        <v>10206010040020</v>
      </c>
    </row>
    <row r="1657" spans="3:40" x14ac:dyDescent="0.25">
      <c r="C1657" s="40"/>
      <c r="D1657" s="121" t="s">
        <v>801</v>
      </c>
      <c r="E1657" s="121" t="s">
        <v>802</v>
      </c>
      <c r="F1657" s="122" t="s">
        <v>2758</v>
      </c>
      <c r="G1657" s="52"/>
      <c r="H1657" s="52"/>
      <c r="I1657" s="52"/>
      <c r="J1657" s="52"/>
      <c r="K1657" s="59" t="s">
        <v>79</v>
      </c>
      <c r="L1657" s="52"/>
      <c r="M1657" s="52"/>
      <c r="N1657" s="52"/>
      <c r="O1657" s="52"/>
      <c r="P1657" s="63" t="s">
        <v>803</v>
      </c>
      <c r="Q1657" s="55">
        <f>VLOOKUP(E1657,'NI-Soc_SP'!$C:$AN,12,FALSE)</f>
        <v>0</v>
      </c>
      <c r="R1657" s="55">
        <f>VLOOKUP(E1657,'NI-Soc_SP'!$C:$AN,13,FALSE)</f>
        <v>0</v>
      </c>
      <c r="S1657" s="55"/>
      <c r="T1657" s="55"/>
      <c r="U1657" s="55">
        <f>VLOOKUP($E1657,'NI-Soc_SP'!$C:$AN,MID(U$1,1,2),FALSE)</f>
        <v>0</v>
      </c>
      <c r="V1657" s="55">
        <f>VLOOKUP($E1657,'NI-Soc_SP'!$C:$AN,MID(V$1,1,2),FALSE)</f>
        <v>0</v>
      </c>
      <c r="W1657" s="55">
        <f>VLOOKUP($E1657,'NI-Soc_SP'!$C:$AN,MID(W$1,1,2),FALSE)</f>
        <v>0</v>
      </c>
      <c r="X1657" s="55">
        <f>VLOOKUP($E1657,'NI-Soc_SP'!$C:$AN,MID(X$1,1,2),FALSE)</f>
        <v>0</v>
      </c>
      <c r="Y1657" s="55">
        <f>VLOOKUP($E1657,'NI-Soc_SP'!$C:$AN,MID(Y$1,1,2),FALSE)</f>
        <v>0</v>
      </c>
      <c r="Z1657" s="55">
        <f>VLOOKUP($E1657,'NI-Soc_SP'!$C:$AN,MID(Z$1,1,2),FALSE)</f>
        <v>0</v>
      </c>
      <c r="AA1657" s="55">
        <f>VLOOKUP($E1657,'NI-Soc_SP'!$C:$AN,MID(AA$1,1,2),FALSE)</f>
        <v>0</v>
      </c>
      <c r="AB1657" s="55">
        <f>VLOOKUP($E1657,'NI-Soc_SP'!$C:$AN,MID(AB$1,1,2),FALSE)</f>
        <v>0</v>
      </c>
      <c r="AC1657" s="55">
        <f>VLOOKUP($E1657,'NI-Soc_SP'!$C:$AN,MID(AC$1,1,2),FALSE)</f>
        <v>0</v>
      </c>
      <c r="AD1657" s="55">
        <f>VLOOKUP($E1657,'NI-Soc_SP'!$C:$AN,MID(AD$1,1,2),FALSE)</f>
        <v>0</v>
      </c>
      <c r="AE1657" s="55">
        <f>VLOOKUP($E1657,'NI-Soc_SP'!$C:$AN,MID(AE$1,1,2),FALSE)</f>
        <v>0</v>
      </c>
      <c r="AF1657" s="55">
        <f>VLOOKUP($E1657,'NI-Soc_SP'!$C:$AN,MID(AF$1,1,2),FALSE)</f>
        <v>0</v>
      </c>
      <c r="AG1657" s="55">
        <f>VLOOKUP($E1657,'NI-Soc_SP'!$C:$AN,MID(AG$1,1,2),FALSE)</f>
        <v>0</v>
      </c>
      <c r="AH1657" s="55">
        <f>VLOOKUP($E1657,'NI-Soc_SP'!$C:$AN,MID(AH$1,1,2),FALSE)</f>
        <v>0</v>
      </c>
      <c r="AI1657" s="55">
        <f>VLOOKUP($E1657,'NI-Soc_SP'!$C:$AN,MID(AI$1,1,2),FALSE)</f>
        <v>0</v>
      </c>
      <c r="AJ1657" s="55">
        <f>VLOOKUP($E1657,'NI-Soc_SP'!$C:$AN,MID(AJ$1,1,2),FALSE)</f>
        <v>0</v>
      </c>
      <c r="AK1657" s="55">
        <f>VLOOKUP($E1657,'NI-Soc_SP'!$C:$AN,MID(AK$1,1,2),FALSE)</f>
        <v>0</v>
      </c>
      <c r="AL1657" s="55">
        <f>VLOOKUP($E1657,'NI-Soc_SP'!$C:$AN,MID(AL$1,1,2),FALSE)</f>
        <v>0</v>
      </c>
      <c r="AM1657" s="56">
        <f>VLOOKUP($E1657,'NI-Soc_SP'!$C:$AN,MID(AM$1,1,2),FALSE)</f>
        <v>0</v>
      </c>
      <c r="AN1657" s="30" t="str">
        <f t="shared" si="25"/>
        <v>10206010050010</v>
      </c>
    </row>
    <row r="1658" spans="3:40" x14ac:dyDescent="0.25">
      <c r="C1658" s="40"/>
      <c r="D1658" s="121" t="s">
        <v>804</v>
      </c>
      <c r="E1658" s="121" t="s">
        <v>805</v>
      </c>
      <c r="F1658" s="122" t="s">
        <v>2758</v>
      </c>
      <c r="G1658" s="52"/>
      <c r="H1658" s="52"/>
      <c r="I1658" s="52"/>
      <c r="J1658" s="52"/>
      <c r="K1658" s="59" t="s">
        <v>79</v>
      </c>
      <c r="L1658" s="52"/>
      <c r="M1658" s="52"/>
      <c r="N1658" s="52"/>
      <c r="O1658" s="52"/>
      <c r="P1658" s="63" t="s">
        <v>806</v>
      </c>
      <c r="Q1658" s="55">
        <f>VLOOKUP(E1658,'NI-Soc_SP'!$C:$AN,12,FALSE)</f>
        <v>0</v>
      </c>
      <c r="R1658" s="55">
        <f>VLOOKUP(E1658,'NI-Soc_SP'!$C:$AN,13,FALSE)</f>
        <v>0</v>
      </c>
      <c r="S1658" s="55"/>
      <c r="T1658" s="55"/>
      <c r="U1658" s="55">
        <f>VLOOKUP($E1658,'NI-Soc_SP'!$C:$AN,MID(U$1,1,2),FALSE)</f>
        <v>0</v>
      </c>
      <c r="V1658" s="55">
        <f>VLOOKUP($E1658,'NI-Soc_SP'!$C:$AN,MID(V$1,1,2),FALSE)</f>
        <v>0</v>
      </c>
      <c r="W1658" s="55">
        <f>VLOOKUP($E1658,'NI-Soc_SP'!$C:$AN,MID(W$1,1,2),FALSE)</f>
        <v>0</v>
      </c>
      <c r="X1658" s="55">
        <f>VLOOKUP($E1658,'NI-Soc_SP'!$C:$AN,MID(X$1,1,2),FALSE)</f>
        <v>0</v>
      </c>
      <c r="Y1658" s="55">
        <f>VLOOKUP($E1658,'NI-Soc_SP'!$C:$AN,MID(Y$1,1,2),FALSE)</f>
        <v>0</v>
      </c>
      <c r="Z1658" s="55">
        <f>VLOOKUP($E1658,'NI-Soc_SP'!$C:$AN,MID(Z$1,1,2),FALSE)</f>
        <v>0</v>
      </c>
      <c r="AA1658" s="55">
        <f>VLOOKUP($E1658,'NI-Soc_SP'!$C:$AN,MID(AA$1,1,2),FALSE)</f>
        <v>0</v>
      </c>
      <c r="AB1658" s="55">
        <f>VLOOKUP($E1658,'NI-Soc_SP'!$C:$AN,MID(AB$1,1,2),FALSE)</f>
        <v>0</v>
      </c>
      <c r="AC1658" s="55">
        <f>VLOOKUP($E1658,'NI-Soc_SP'!$C:$AN,MID(AC$1,1,2),FALSE)</f>
        <v>0</v>
      </c>
      <c r="AD1658" s="55">
        <f>VLOOKUP($E1658,'NI-Soc_SP'!$C:$AN,MID(AD$1,1,2),FALSE)</f>
        <v>0</v>
      </c>
      <c r="AE1658" s="55">
        <f>VLOOKUP($E1658,'NI-Soc_SP'!$C:$AN,MID(AE$1,1,2),FALSE)</f>
        <v>0</v>
      </c>
      <c r="AF1658" s="55">
        <f>VLOOKUP($E1658,'NI-Soc_SP'!$C:$AN,MID(AF$1,1,2),FALSE)</f>
        <v>0</v>
      </c>
      <c r="AG1658" s="55">
        <f>VLOOKUP($E1658,'NI-Soc_SP'!$C:$AN,MID(AG$1,1,2),FALSE)</f>
        <v>0</v>
      </c>
      <c r="AH1658" s="55">
        <f>VLOOKUP($E1658,'NI-Soc_SP'!$C:$AN,MID(AH$1,1,2),FALSE)</f>
        <v>0</v>
      </c>
      <c r="AI1658" s="55">
        <f>VLOOKUP($E1658,'NI-Soc_SP'!$C:$AN,MID(AI$1,1,2),FALSE)</f>
        <v>0</v>
      </c>
      <c r="AJ1658" s="55">
        <f>VLOOKUP($E1658,'NI-Soc_SP'!$C:$AN,MID(AJ$1,1,2),FALSE)</f>
        <v>0</v>
      </c>
      <c r="AK1658" s="55">
        <f>VLOOKUP($E1658,'NI-Soc_SP'!$C:$AN,MID(AK$1,1,2),FALSE)</f>
        <v>0</v>
      </c>
      <c r="AL1658" s="55">
        <f>VLOOKUP($E1658,'NI-Soc_SP'!$C:$AN,MID(AL$1,1,2),FALSE)</f>
        <v>0</v>
      </c>
      <c r="AM1658" s="56">
        <f>VLOOKUP($E1658,'NI-Soc_SP'!$C:$AN,MID(AM$1,1,2),FALSE)</f>
        <v>0</v>
      </c>
      <c r="AN1658" s="30" t="str">
        <f t="shared" si="25"/>
        <v>10206010050020</v>
      </c>
    </row>
    <row r="1659" spans="3:40" x14ac:dyDescent="0.25">
      <c r="C1659" s="40"/>
      <c r="D1659" s="121" t="s">
        <v>807</v>
      </c>
      <c r="E1659" s="121" t="s">
        <v>808</v>
      </c>
      <c r="F1659" s="122" t="s">
        <v>2758</v>
      </c>
      <c r="G1659" s="52"/>
      <c r="H1659" s="52"/>
      <c r="I1659" s="52" t="s">
        <v>809</v>
      </c>
      <c r="J1659" s="52"/>
      <c r="K1659" s="59" t="s">
        <v>111</v>
      </c>
      <c r="L1659" s="62" t="s">
        <v>810</v>
      </c>
      <c r="M1659" s="52"/>
      <c r="N1659" s="52"/>
      <c r="O1659" s="52"/>
      <c r="P1659" s="54" t="s">
        <v>811</v>
      </c>
      <c r="Q1659" s="55">
        <f>VLOOKUP(E1659,'NI-Soc_SP'!$C:$AN,12,FALSE)</f>
        <v>0</v>
      </c>
      <c r="R1659" s="55">
        <f>VLOOKUP(E1659,'NI-Soc_SP'!$C:$AN,13,FALSE)</f>
        <v>0</v>
      </c>
      <c r="S1659" s="55"/>
      <c r="T1659" s="55"/>
      <c r="U1659" s="55">
        <f>VLOOKUP($E1659,'NI-Soc_SP'!$C:$AN,MID(U$1,1,2),FALSE)</f>
        <v>0</v>
      </c>
      <c r="V1659" s="55">
        <f>VLOOKUP($E1659,'NI-Soc_SP'!$C:$AN,MID(V$1,1,2),FALSE)</f>
        <v>0</v>
      </c>
      <c r="W1659" s="55">
        <f>VLOOKUP($E1659,'NI-Soc_SP'!$C:$AN,MID(W$1,1,2),FALSE)</f>
        <v>0</v>
      </c>
      <c r="X1659" s="55">
        <f>VLOOKUP($E1659,'NI-Soc_SP'!$C:$AN,MID(X$1,1,2),FALSE)</f>
        <v>0</v>
      </c>
      <c r="Y1659" s="55">
        <f>VLOOKUP($E1659,'NI-Soc_SP'!$C:$AN,MID(Y$1,1,2),FALSE)</f>
        <v>0</v>
      </c>
      <c r="Z1659" s="55">
        <f>VLOOKUP($E1659,'NI-Soc_SP'!$C:$AN,MID(Z$1,1,2),FALSE)</f>
        <v>0</v>
      </c>
      <c r="AA1659" s="55">
        <f>VLOOKUP($E1659,'NI-Soc_SP'!$C:$AN,MID(AA$1,1,2),FALSE)</f>
        <v>0</v>
      </c>
      <c r="AB1659" s="55">
        <f>VLOOKUP($E1659,'NI-Soc_SP'!$C:$AN,MID(AB$1,1,2),FALSE)</f>
        <v>0</v>
      </c>
      <c r="AC1659" s="55">
        <f>VLOOKUP($E1659,'NI-Soc_SP'!$C:$AN,MID(AC$1,1,2),FALSE)</f>
        <v>0</v>
      </c>
      <c r="AD1659" s="55">
        <f>VLOOKUP($E1659,'NI-Soc_SP'!$C:$AN,MID(AD$1,1,2),FALSE)</f>
        <v>0</v>
      </c>
      <c r="AE1659" s="55">
        <f>VLOOKUP($E1659,'NI-Soc_SP'!$C:$AN,MID(AE$1,1,2),FALSE)</f>
        <v>0</v>
      </c>
      <c r="AF1659" s="55">
        <f>VLOOKUP($E1659,'NI-Soc_SP'!$C:$AN,MID(AF$1,1,2),FALSE)</f>
        <v>0</v>
      </c>
      <c r="AG1659" s="55">
        <f>VLOOKUP($E1659,'NI-Soc_SP'!$C:$AN,MID(AG$1,1,2),FALSE)</f>
        <v>0</v>
      </c>
      <c r="AH1659" s="55">
        <f>VLOOKUP($E1659,'NI-Soc_SP'!$C:$AN,MID(AH$1,1,2),FALSE)</f>
        <v>0</v>
      </c>
      <c r="AI1659" s="55">
        <f>VLOOKUP($E1659,'NI-Soc_SP'!$C:$AN,MID(AI$1,1,2),FALSE)</f>
        <v>0</v>
      </c>
      <c r="AJ1659" s="55">
        <f>VLOOKUP($E1659,'NI-Soc_SP'!$C:$AN,MID(AJ$1,1,2),FALSE)</f>
        <v>0</v>
      </c>
      <c r="AK1659" s="55">
        <f>VLOOKUP($E1659,'NI-Soc_SP'!$C:$AN,MID(AK$1,1,2),FALSE)</f>
        <v>0</v>
      </c>
      <c r="AL1659" s="55">
        <f>VLOOKUP($E1659,'NI-Soc_SP'!$C:$AN,MID(AL$1,1,2),FALSE)</f>
        <v>0</v>
      </c>
      <c r="AM1659" s="56">
        <f>VLOOKUP($E1659,'NI-Soc_SP'!$C:$AN,MID(AM$1,1,2),FALSE)</f>
        <v>0</v>
      </c>
      <c r="AN1659" s="30" t="str">
        <f t="shared" si="25"/>
        <v>10206020000000</v>
      </c>
    </row>
    <row r="1660" spans="3:40" x14ac:dyDescent="0.25">
      <c r="C1660" s="40"/>
      <c r="D1660" s="121" t="s">
        <v>812</v>
      </c>
      <c r="E1660" s="121" t="s">
        <v>813</v>
      </c>
      <c r="F1660" s="122" t="s">
        <v>2758</v>
      </c>
      <c r="G1660" s="52"/>
      <c r="H1660" s="52"/>
      <c r="I1660" s="52"/>
      <c r="J1660" s="52"/>
      <c r="K1660" s="59" t="s">
        <v>79</v>
      </c>
      <c r="L1660" s="52"/>
      <c r="M1660" s="52"/>
      <c r="N1660" s="52"/>
      <c r="O1660" s="52"/>
      <c r="P1660" s="63" t="s">
        <v>814</v>
      </c>
      <c r="Q1660" s="55">
        <f>VLOOKUP(E1660,'NI-Soc_SP'!$C:$AN,12,FALSE)</f>
        <v>0</v>
      </c>
      <c r="R1660" s="55">
        <f>VLOOKUP(E1660,'NI-Soc_SP'!$C:$AN,13,FALSE)</f>
        <v>0</v>
      </c>
      <c r="S1660" s="55"/>
      <c r="T1660" s="55"/>
      <c r="U1660" s="55">
        <f>VLOOKUP($E1660,'NI-Soc_SP'!$C:$AN,MID(U$1,1,2),FALSE)</f>
        <v>0</v>
      </c>
      <c r="V1660" s="55">
        <f>VLOOKUP($E1660,'NI-Soc_SP'!$C:$AN,MID(V$1,1,2),FALSE)</f>
        <v>0</v>
      </c>
      <c r="W1660" s="55">
        <f>VLOOKUP($E1660,'NI-Soc_SP'!$C:$AN,MID(W$1,1,2),FALSE)</f>
        <v>0</v>
      </c>
      <c r="X1660" s="55">
        <f>VLOOKUP($E1660,'NI-Soc_SP'!$C:$AN,MID(X$1,1,2),FALSE)</f>
        <v>0</v>
      </c>
      <c r="Y1660" s="55">
        <f>VLOOKUP($E1660,'NI-Soc_SP'!$C:$AN,MID(Y$1,1,2),FALSE)</f>
        <v>0</v>
      </c>
      <c r="Z1660" s="55">
        <f>VLOOKUP($E1660,'NI-Soc_SP'!$C:$AN,MID(Z$1,1,2),FALSE)</f>
        <v>0</v>
      </c>
      <c r="AA1660" s="55">
        <f>VLOOKUP($E1660,'NI-Soc_SP'!$C:$AN,MID(AA$1,1,2),FALSE)</f>
        <v>0</v>
      </c>
      <c r="AB1660" s="55">
        <f>VLOOKUP($E1660,'NI-Soc_SP'!$C:$AN,MID(AB$1,1,2),FALSE)</f>
        <v>0</v>
      </c>
      <c r="AC1660" s="55">
        <f>VLOOKUP($E1660,'NI-Soc_SP'!$C:$AN,MID(AC$1,1,2),FALSE)</f>
        <v>0</v>
      </c>
      <c r="AD1660" s="55">
        <f>VLOOKUP($E1660,'NI-Soc_SP'!$C:$AN,MID(AD$1,1,2),FALSE)</f>
        <v>0</v>
      </c>
      <c r="AE1660" s="55">
        <f>VLOOKUP($E1660,'NI-Soc_SP'!$C:$AN,MID(AE$1,1,2),FALSE)</f>
        <v>0</v>
      </c>
      <c r="AF1660" s="55">
        <f>VLOOKUP($E1660,'NI-Soc_SP'!$C:$AN,MID(AF$1,1,2),FALSE)</f>
        <v>0</v>
      </c>
      <c r="AG1660" s="55">
        <f>VLOOKUP($E1660,'NI-Soc_SP'!$C:$AN,MID(AG$1,1,2),FALSE)</f>
        <v>0</v>
      </c>
      <c r="AH1660" s="55">
        <f>VLOOKUP($E1660,'NI-Soc_SP'!$C:$AN,MID(AH$1,1,2),FALSE)</f>
        <v>0</v>
      </c>
      <c r="AI1660" s="55">
        <f>VLOOKUP($E1660,'NI-Soc_SP'!$C:$AN,MID(AI$1,1,2),FALSE)</f>
        <v>0</v>
      </c>
      <c r="AJ1660" s="55">
        <f>VLOOKUP($E1660,'NI-Soc_SP'!$C:$AN,MID(AJ$1,1,2),FALSE)</f>
        <v>0</v>
      </c>
      <c r="AK1660" s="55">
        <f>VLOOKUP($E1660,'NI-Soc_SP'!$C:$AN,MID(AK$1,1,2),FALSE)</f>
        <v>0</v>
      </c>
      <c r="AL1660" s="55">
        <f>VLOOKUP($E1660,'NI-Soc_SP'!$C:$AN,MID(AL$1,1,2),FALSE)</f>
        <v>0</v>
      </c>
      <c r="AM1660" s="56">
        <f>VLOOKUP($E1660,'NI-Soc_SP'!$C:$AN,MID(AM$1,1,2),FALSE)</f>
        <v>0</v>
      </c>
      <c r="AN1660" s="30" t="str">
        <f t="shared" si="25"/>
        <v>10206020010010</v>
      </c>
    </row>
    <row r="1661" spans="3:40" x14ac:dyDescent="0.25">
      <c r="C1661" s="40"/>
      <c r="D1661" s="121" t="s">
        <v>815</v>
      </c>
      <c r="E1661" s="121" t="s">
        <v>816</v>
      </c>
      <c r="F1661" s="122" t="s">
        <v>2758</v>
      </c>
      <c r="G1661" s="52"/>
      <c r="H1661" s="52"/>
      <c r="I1661" s="52"/>
      <c r="J1661" s="52"/>
      <c r="K1661" s="59" t="s">
        <v>79</v>
      </c>
      <c r="L1661" s="52"/>
      <c r="M1661" s="52"/>
      <c r="N1661" s="52"/>
      <c r="O1661" s="52"/>
      <c r="P1661" s="63" t="s">
        <v>817</v>
      </c>
      <c r="Q1661" s="55">
        <f>VLOOKUP(E1661,'NI-Soc_SP'!$C:$AN,12,FALSE)</f>
        <v>0</v>
      </c>
      <c r="R1661" s="55">
        <f>VLOOKUP(E1661,'NI-Soc_SP'!$C:$AN,13,FALSE)</f>
        <v>0</v>
      </c>
      <c r="S1661" s="55"/>
      <c r="T1661" s="55"/>
      <c r="U1661" s="55">
        <f>VLOOKUP($E1661,'NI-Soc_SP'!$C:$AN,MID(U$1,1,2),FALSE)</f>
        <v>0</v>
      </c>
      <c r="V1661" s="55">
        <f>VLOOKUP($E1661,'NI-Soc_SP'!$C:$AN,MID(V$1,1,2),FALSE)</f>
        <v>0</v>
      </c>
      <c r="W1661" s="55">
        <f>VLOOKUP($E1661,'NI-Soc_SP'!$C:$AN,MID(W$1,1,2),FALSE)</f>
        <v>0</v>
      </c>
      <c r="X1661" s="55">
        <f>VLOOKUP($E1661,'NI-Soc_SP'!$C:$AN,MID(X$1,1,2),FALSE)</f>
        <v>0</v>
      </c>
      <c r="Y1661" s="55">
        <f>VLOOKUP($E1661,'NI-Soc_SP'!$C:$AN,MID(Y$1,1,2),FALSE)</f>
        <v>0</v>
      </c>
      <c r="Z1661" s="55">
        <f>VLOOKUP($E1661,'NI-Soc_SP'!$C:$AN,MID(Z$1,1,2),FALSE)</f>
        <v>0</v>
      </c>
      <c r="AA1661" s="55">
        <f>VLOOKUP($E1661,'NI-Soc_SP'!$C:$AN,MID(AA$1,1,2),FALSE)</f>
        <v>0</v>
      </c>
      <c r="AB1661" s="55">
        <f>VLOOKUP($E1661,'NI-Soc_SP'!$C:$AN,MID(AB$1,1,2),FALSE)</f>
        <v>0</v>
      </c>
      <c r="AC1661" s="55">
        <f>VLOOKUP($E1661,'NI-Soc_SP'!$C:$AN,MID(AC$1,1,2),FALSE)</f>
        <v>0</v>
      </c>
      <c r="AD1661" s="55">
        <f>VLOOKUP($E1661,'NI-Soc_SP'!$C:$AN,MID(AD$1,1,2),FALSE)</f>
        <v>0</v>
      </c>
      <c r="AE1661" s="55">
        <f>VLOOKUP($E1661,'NI-Soc_SP'!$C:$AN,MID(AE$1,1,2),FALSE)</f>
        <v>0</v>
      </c>
      <c r="AF1661" s="55">
        <f>VLOOKUP($E1661,'NI-Soc_SP'!$C:$AN,MID(AF$1,1,2),FALSE)</f>
        <v>0</v>
      </c>
      <c r="AG1661" s="55">
        <f>VLOOKUP($E1661,'NI-Soc_SP'!$C:$AN,MID(AG$1,1,2),FALSE)</f>
        <v>0</v>
      </c>
      <c r="AH1661" s="55">
        <f>VLOOKUP($E1661,'NI-Soc_SP'!$C:$AN,MID(AH$1,1,2),FALSE)</f>
        <v>0</v>
      </c>
      <c r="AI1661" s="55">
        <f>VLOOKUP($E1661,'NI-Soc_SP'!$C:$AN,MID(AI$1,1,2),FALSE)</f>
        <v>0</v>
      </c>
      <c r="AJ1661" s="55">
        <f>VLOOKUP($E1661,'NI-Soc_SP'!$C:$AN,MID(AJ$1,1,2),FALSE)</f>
        <v>0</v>
      </c>
      <c r="AK1661" s="55">
        <f>VLOOKUP($E1661,'NI-Soc_SP'!$C:$AN,MID(AK$1,1,2),FALSE)</f>
        <v>0</v>
      </c>
      <c r="AL1661" s="55">
        <f>VLOOKUP($E1661,'NI-Soc_SP'!$C:$AN,MID(AL$1,1,2),FALSE)</f>
        <v>0</v>
      </c>
      <c r="AM1661" s="56">
        <f>VLOOKUP($E1661,'NI-Soc_SP'!$C:$AN,MID(AM$1,1,2),FALSE)</f>
        <v>0</v>
      </c>
      <c r="AN1661" s="30" t="str">
        <f t="shared" si="25"/>
        <v>10206020010020</v>
      </c>
    </row>
    <row r="1662" spans="3:40" x14ac:dyDescent="0.25">
      <c r="C1662" s="40"/>
      <c r="D1662" s="121" t="s">
        <v>818</v>
      </c>
      <c r="E1662" s="121" t="s">
        <v>819</v>
      </c>
      <c r="F1662" s="122" t="s">
        <v>2758</v>
      </c>
      <c r="G1662" s="52"/>
      <c r="H1662" s="52"/>
      <c r="I1662" s="52"/>
      <c r="J1662" s="52"/>
      <c r="K1662" s="59" t="s">
        <v>79</v>
      </c>
      <c r="L1662" s="52"/>
      <c r="M1662" s="52"/>
      <c r="N1662" s="52"/>
      <c r="O1662" s="52"/>
      <c r="P1662" s="63" t="s">
        <v>820</v>
      </c>
      <c r="Q1662" s="55">
        <f>VLOOKUP(E1662,'NI-Soc_SP'!$C:$AN,12,FALSE)</f>
        <v>0</v>
      </c>
      <c r="R1662" s="55">
        <f>VLOOKUP(E1662,'NI-Soc_SP'!$C:$AN,13,FALSE)</f>
        <v>0</v>
      </c>
      <c r="S1662" s="55"/>
      <c r="T1662" s="55"/>
      <c r="U1662" s="55">
        <f>VLOOKUP($E1662,'NI-Soc_SP'!$C:$AN,MID(U$1,1,2),FALSE)</f>
        <v>0</v>
      </c>
      <c r="V1662" s="55">
        <f>VLOOKUP($E1662,'NI-Soc_SP'!$C:$AN,MID(V$1,1,2),FALSE)</f>
        <v>0</v>
      </c>
      <c r="W1662" s="55">
        <f>VLOOKUP($E1662,'NI-Soc_SP'!$C:$AN,MID(W$1,1,2),FALSE)</f>
        <v>0</v>
      </c>
      <c r="X1662" s="55">
        <f>VLOOKUP($E1662,'NI-Soc_SP'!$C:$AN,MID(X$1,1,2),FALSE)</f>
        <v>0</v>
      </c>
      <c r="Y1662" s="55">
        <f>VLOOKUP($E1662,'NI-Soc_SP'!$C:$AN,MID(Y$1,1,2),FALSE)</f>
        <v>0</v>
      </c>
      <c r="Z1662" s="55">
        <f>VLOOKUP($E1662,'NI-Soc_SP'!$C:$AN,MID(Z$1,1,2),FALSE)</f>
        <v>0</v>
      </c>
      <c r="AA1662" s="55">
        <f>VLOOKUP($E1662,'NI-Soc_SP'!$C:$AN,MID(AA$1,1,2),FALSE)</f>
        <v>0</v>
      </c>
      <c r="AB1662" s="55">
        <f>VLOOKUP($E1662,'NI-Soc_SP'!$C:$AN,MID(AB$1,1,2),FALSE)</f>
        <v>0</v>
      </c>
      <c r="AC1662" s="55">
        <f>VLOOKUP($E1662,'NI-Soc_SP'!$C:$AN,MID(AC$1,1,2),FALSE)</f>
        <v>0</v>
      </c>
      <c r="AD1662" s="55">
        <f>VLOOKUP($E1662,'NI-Soc_SP'!$C:$AN,MID(AD$1,1,2),FALSE)</f>
        <v>0</v>
      </c>
      <c r="AE1662" s="55">
        <f>VLOOKUP($E1662,'NI-Soc_SP'!$C:$AN,MID(AE$1,1,2),FALSE)</f>
        <v>0</v>
      </c>
      <c r="AF1662" s="55">
        <f>VLOOKUP($E1662,'NI-Soc_SP'!$C:$AN,MID(AF$1,1,2),FALSE)</f>
        <v>0</v>
      </c>
      <c r="AG1662" s="55">
        <f>VLOOKUP($E1662,'NI-Soc_SP'!$C:$AN,MID(AG$1,1,2),FALSE)</f>
        <v>0</v>
      </c>
      <c r="AH1662" s="55">
        <f>VLOOKUP($E1662,'NI-Soc_SP'!$C:$AN,MID(AH$1,1,2),FALSE)</f>
        <v>0</v>
      </c>
      <c r="AI1662" s="55">
        <f>VLOOKUP($E1662,'NI-Soc_SP'!$C:$AN,MID(AI$1,1,2),FALSE)</f>
        <v>0</v>
      </c>
      <c r="AJ1662" s="55">
        <f>VLOOKUP($E1662,'NI-Soc_SP'!$C:$AN,MID(AJ$1,1,2),FALSE)</f>
        <v>0</v>
      </c>
      <c r="AK1662" s="55">
        <f>VLOOKUP($E1662,'NI-Soc_SP'!$C:$AN,MID(AK$1,1,2),FALSE)</f>
        <v>0</v>
      </c>
      <c r="AL1662" s="55">
        <f>VLOOKUP($E1662,'NI-Soc_SP'!$C:$AN,MID(AL$1,1,2),FALSE)</f>
        <v>0</v>
      </c>
      <c r="AM1662" s="56">
        <f>VLOOKUP($E1662,'NI-Soc_SP'!$C:$AN,MID(AM$1,1,2),FALSE)</f>
        <v>0</v>
      </c>
      <c r="AN1662" s="30" t="str">
        <f t="shared" si="25"/>
        <v>10206020020010</v>
      </c>
    </row>
    <row r="1663" spans="3:40" x14ac:dyDescent="0.25">
      <c r="C1663" s="40"/>
      <c r="D1663" s="121" t="s">
        <v>821</v>
      </c>
      <c r="E1663" s="121" t="s">
        <v>822</v>
      </c>
      <c r="F1663" s="122" t="s">
        <v>2758</v>
      </c>
      <c r="G1663" s="52"/>
      <c r="H1663" s="52"/>
      <c r="I1663" s="52"/>
      <c r="J1663" s="52"/>
      <c r="K1663" s="59" t="s">
        <v>79</v>
      </c>
      <c r="L1663" s="52"/>
      <c r="M1663" s="52"/>
      <c r="N1663" s="52"/>
      <c r="O1663" s="52"/>
      <c r="P1663" s="63" t="s">
        <v>823</v>
      </c>
      <c r="Q1663" s="55">
        <f>VLOOKUP(E1663,'NI-Soc_SP'!$C:$AN,12,FALSE)</f>
        <v>0</v>
      </c>
      <c r="R1663" s="55">
        <f>VLOOKUP(E1663,'NI-Soc_SP'!$C:$AN,13,FALSE)</f>
        <v>0</v>
      </c>
      <c r="S1663" s="55"/>
      <c r="T1663" s="55"/>
      <c r="U1663" s="55">
        <f>VLOOKUP($E1663,'NI-Soc_SP'!$C:$AN,MID(U$1,1,2),FALSE)</f>
        <v>0</v>
      </c>
      <c r="V1663" s="55">
        <f>VLOOKUP($E1663,'NI-Soc_SP'!$C:$AN,MID(V$1,1,2),FALSE)</f>
        <v>0</v>
      </c>
      <c r="W1663" s="55">
        <f>VLOOKUP($E1663,'NI-Soc_SP'!$C:$AN,MID(W$1,1,2),FALSE)</f>
        <v>0</v>
      </c>
      <c r="X1663" s="55">
        <f>VLOOKUP($E1663,'NI-Soc_SP'!$C:$AN,MID(X$1,1,2),FALSE)</f>
        <v>0</v>
      </c>
      <c r="Y1663" s="55">
        <f>VLOOKUP($E1663,'NI-Soc_SP'!$C:$AN,MID(Y$1,1,2),FALSE)</f>
        <v>0</v>
      </c>
      <c r="Z1663" s="55">
        <f>VLOOKUP($E1663,'NI-Soc_SP'!$C:$AN,MID(Z$1,1,2),FALSE)</f>
        <v>0</v>
      </c>
      <c r="AA1663" s="55">
        <f>VLOOKUP($E1663,'NI-Soc_SP'!$C:$AN,MID(AA$1,1,2),FALSE)</f>
        <v>0</v>
      </c>
      <c r="AB1663" s="55">
        <f>VLOOKUP($E1663,'NI-Soc_SP'!$C:$AN,MID(AB$1,1,2),FALSE)</f>
        <v>0</v>
      </c>
      <c r="AC1663" s="55">
        <f>VLOOKUP($E1663,'NI-Soc_SP'!$C:$AN,MID(AC$1,1,2),FALSE)</f>
        <v>0</v>
      </c>
      <c r="AD1663" s="55">
        <f>VLOOKUP($E1663,'NI-Soc_SP'!$C:$AN,MID(AD$1,1,2),FALSE)</f>
        <v>0</v>
      </c>
      <c r="AE1663" s="55">
        <f>VLOOKUP($E1663,'NI-Soc_SP'!$C:$AN,MID(AE$1,1,2),FALSE)</f>
        <v>0</v>
      </c>
      <c r="AF1663" s="55">
        <f>VLOOKUP($E1663,'NI-Soc_SP'!$C:$AN,MID(AF$1,1,2),FALSE)</f>
        <v>0</v>
      </c>
      <c r="AG1663" s="55">
        <f>VLOOKUP($E1663,'NI-Soc_SP'!$C:$AN,MID(AG$1,1,2),FALSE)</f>
        <v>0</v>
      </c>
      <c r="AH1663" s="55">
        <f>VLOOKUP($E1663,'NI-Soc_SP'!$C:$AN,MID(AH$1,1,2),FALSE)</f>
        <v>0</v>
      </c>
      <c r="AI1663" s="55">
        <f>VLOOKUP($E1663,'NI-Soc_SP'!$C:$AN,MID(AI$1,1,2),FALSE)</f>
        <v>0</v>
      </c>
      <c r="AJ1663" s="55">
        <f>VLOOKUP($E1663,'NI-Soc_SP'!$C:$AN,MID(AJ$1,1,2),FALSE)</f>
        <v>0</v>
      </c>
      <c r="AK1663" s="55">
        <f>VLOOKUP($E1663,'NI-Soc_SP'!$C:$AN,MID(AK$1,1,2),FALSE)</f>
        <v>0</v>
      </c>
      <c r="AL1663" s="55">
        <f>VLOOKUP($E1663,'NI-Soc_SP'!$C:$AN,MID(AL$1,1,2),FALSE)</f>
        <v>0</v>
      </c>
      <c r="AM1663" s="56">
        <f>VLOOKUP($E1663,'NI-Soc_SP'!$C:$AN,MID(AM$1,1,2),FALSE)</f>
        <v>0</v>
      </c>
      <c r="AN1663" s="30" t="str">
        <f t="shared" si="25"/>
        <v>10206020020020</v>
      </c>
    </row>
    <row r="1664" spans="3:40" x14ac:dyDescent="0.25">
      <c r="C1664" s="40"/>
      <c r="D1664" s="121" t="s">
        <v>824</v>
      </c>
      <c r="E1664" s="121" t="s">
        <v>825</v>
      </c>
      <c r="F1664" s="122" t="s">
        <v>2758</v>
      </c>
      <c r="G1664" s="52"/>
      <c r="H1664" s="52"/>
      <c r="I1664" s="52"/>
      <c r="J1664" s="52"/>
      <c r="K1664" s="59" t="s">
        <v>79</v>
      </c>
      <c r="L1664" s="52"/>
      <c r="M1664" s="52"/>
      <c r="N1664" s="52"/>
      <c r="O1664" s="52"/>
      <c r="P1664" s="63" t="s">
        <v>826</v>
      </c>
      <c r="Q1664" s="55">
        <f>VLOOKUP(E1664,'NI-Soc_SP'!$C:$AN,12,FALSE)</f>
        <v>0</v>
      </c>
      <c r="R1664" s="55">
        <f>VLOOKUP(E1664,'NI-Soc_SP'!$C:$AN,13,FALSE)</f>
        <v>0</v>
      </c>
      <c r="S1664" s="55"/>
      <c r="T1664" s="55"/>
      <c r="U1664" s="55">
        <f>VLOOKUP($E1664,'NI-Soc_SP'!$C:$AN,MID(U$1,1,2),FALSE)</f>
        <v>0</v>
      </c>
      <c r="V1664" s="55">
        <f>VLOOKUP($E1664,'NI-Soc_SP'!$C:$AN,MID(V$1,1,2),FALSE)</f>
        <v>0</v>
      </c>
      <c r="W1664" s="55">
        <f>VLOOKUP($E1664,'NI-Soc_SP'!$C:$AN,MID(W$1,1,2),FALSE)</f>
        <v>0</v>
      </c>
      <c r="X1664" s="55">
        <f>VLOOKUP($E1664,'NI-Soc_SP'!$C:$AN,MID(X$1,1,2),FALSE)</f>
        <v>0</v>
      </c>
      <c r="Y1664" s="55">
        <f>VLOOKUP($E1664,'NI-Soc_SP'!$C:$AN,MID(Y$1,1,2),FALSE)</f>
        <v>0</v>
      </c>
      <c r="Z1664" s="55">
        <f>VLOOKUP($E1664,'NI-Soc_SP'!$C:$AN,MID(Z$1,1,2),FALSE)</f>
        <v>0</v>
      </c>
      <c r="AA1664" s="55">
        <f>VLOOKUP($E1664,'NI-Soc_SP'!$C:$AN,MID(AA$1,1,2),FALSE)</f>
        <v>0</v>
      </c>
      <c r="AB1664" s="55">
        <f>VLOOKUP($E1664,'NI-Soc_SP'!$C:$AN,MID(AB$1,1,2),FALSE)</f>
        <v>0</v>
      </c>
      <c r="AC1664" s="55">
        <f>VLOOKUP($E1664,'NI-Soc_SP'!$C:$AN,MID(AC$1,1,2),FALSE)</f>
        <v>0</v>
      </c>
      <c r="AD1664" s="55">
        <f>VLOOKUP($E1664,'NI-Soc_SP'!$C:$AN,MID(AD$1,1,2),FALSE)</f>
        <v>0</v>
      </c>
      <c r="AE1664" s="55">
        <f>VLOOKUP($E1664,'NI-Soc_SP'!$C:$AN,MID(AE$1,1,2),FALSE)</f>
        <v>0</v>
      </c>
      <c r="AF1664" s="55">
        <f>VLOOKUP($E1664,'NI-Soc_SP'!$C:$AN,MID(AF$1,1,2),FALSE)</f>
        <v>0</v>
      </c>
      <c r="AG1664" s="55">
        <f>VLOOKUP($E1664,'NI-Soc_SP'!$C:$AN,MID(AG$1,1,2),FALSE)</f>
        <v>0</v>
      </c>
      <c r="AH1664" s="55">
        <f>VLOOKUP($E1664,'NI-Soc_SP'!$C:$AN,MID(AH$1,1,2),FALSE)</f>
        <v>0</v>
      </c>
      <c r="AI1664" s="55">
        <f>VLOOKUP($E1664,'NI-Soc_SP'!$C:$AN,MID(AI$1,1,2),FALSE)</f>
        <v>0</v>
      </c>
      <c r="AJ1664" s="55">
        <f>VLOOKUP($E1664,'NI-Soc_SP'!$C:$AN,MID(AJ$1,1,2),FALSE)</f>
        <v>0</v>
      </c>
      <c r="AK1664" s="55">
        <f>VLOOKUP($E1664,'NI-Soc_SP'!$C:$AN,MID(AK$1,1,2),FALSE)</f>
        <v>0</v>
      </c>
      <c r="AL1664" s="55">
        <f>VLOOKUP($E1664,'NI-Soc_SP'!$C:$AN,MID(AL$1,1,2),FALSE)</f>
        <v>0</v>
      </c>
      <c r="AM1664" s="56">
        <f>VLOOKUP($E1664,'NI-Soc_SP'!$C:$AN,MID(AM$1,1,2),FALSE)</f>
        <v>0</v>
      </c>
      <c r="AN1664" s="30" t="str">
        <f t="shared" si="25"/>
        <v>10206020030010</v>
      </c>
    </row>
    <row r="1665" spans="3:40" x14ac:dyDescent="0.25">
      <c r="C1665" s="40"/>
      <c r="D1665" s="121" t="s">
        <v>827</v>
      </c>
      <c r="E1665" s="121" t="s">
        <v>828</v>
      </c>
      <c r="F1665" s="122" t="s">
        <v>2758</v>
      </c>
      <c r="G1665" s="52"/>
      <c r="H1665" s="52"/>
      <c r="I1665" s="52"/>
      <c r="J1665" s="52"/>
      <c r="K1665" s="59" t="s">
        <v>79</v>
      </c>
      <c r="L1665" s="52"/>
      <c r="M1665" s="52"/>
      <c r="N1665" s="52"/>
      <c r="O1665" s="52"/>
      <c r="P1665" s="63" t="s">
        <v>829</v>
      </c>
      <c r="Q1665" s="55">
        <f>VLOOKUP(E1665,'NI-Soc_SP'!$C:$AN,12,FALSE)</f>
        <v>0</v>
      </c>
      <c r="R1665" s="55">
        <f>VLOOKUP(E1665,'NI-Soc_SP'!$C:$AN,13,FALSE)</f>
        <v>0</v>
      </c>
      <c r="S1665" s="55"/>
      <c r="T1665" s="55"/>
      <c r="U1665" s="55">
        <f>VLOOKUP($E1665,'NI-Soc_SP'!$C:$AN,MID(U$1,1,2),FALSE)</f>
        <v>0</v>
      </c>
      <c r="V1665" s="55">
        <f>VLOOKUP($E1665,'NI-Soc_SP'!$C:$AN,MID(V$1,1,2),FALSE)</f>
        <v>0</v>
      </c>
      <c r="W1665" s="55">
        <f>VLOOKUP($E1665,'NI-Soc_SP'!$C:$AN,MID(W$1,1,2),FALSE)</f>
        <v>0</v>
      </c>
      <c r="X1665" s="55">
        <f>VLOOKUP($E1665,'NI-Soc_SP'!$C:$AN,MID(X$1,1,2),FALSE)</f>
        <v>0</v>
      </c>
      <c r="Y1665" s="55">
        <f>VLOOKUP($E1665,'NI-Soc_SP'!$C:$AN,MID(Y$1,1,2),FALSE)</f>
        <v>0</v>
      </c>
      <c r="Z1665" s="55">
        <f>VLOOKUP($E1665,'NI-Soc_SP'!$C:$AN,MID(Z$1,1,2),FALSE)</f>
        <v>0</v>
      </c>
      <c r="AA1665" s="55">
        <f>VLOOKUP($E1665,'NI-Soc_SP'!$C:$AN,MID(AA$1,1,2),FALSE)</f>
        <v>0</v>
      </c>
      <c r="AB1665" s="55">
        <f>VLOOKUP($E1665,'NI-Soc_SP'!$C:$AN,MID(AB$1,1,2),FALSE)</f>
        <v>0</v>
      </c>
      <c r="AC1665" s="55">
        <f>VLOOKUP($E1665,'NI-Soc_SP'!$C:$AN,MID(AC$1,1,2),FALSE)</f>
        <v>0</v>
      </c>
      <c r="AD1665" s="55">
        <f>VLOOKUP($E1665,'NI-Soc_SP'!$C:$AN,MID(AD$1,1,2),FALSE)</f>
        <v>0</v>
      </c>
      <c r="AE1665" s="55">
        <f>VLOOKUP($E1665,'NI-Soc_SP'!$C:$AN,MID(AE$1,1,2),FALSE)</f>
        <v>0</v>
      </c>
      <c r="AF1665" s="55">
        <f>VLOOKUP($E1665,'NI-Soc_SP'!$C:$AN,MID(AF$1,1,2),FALSE)</f>
        <v>0</v>
      </c>
      <c r="AG1665" s="55">
        <f>VLOOKUP($E1665,'NI-Soc_SP'!$C:$AN,MID(AG$1,1,2),FALSE)</f>
        <v>0</v>
      </c>
      <c r="AH1665" s="55">
        <f>VLOOKUP($E1665,'NI-Soc_SP'!$C:$AN,MID(AH$1,1,2),FALSE)</f>
        <v>0</v>
      </c>
      <c r="AI1665" s="55">
        <f>VLOOKUP($E1665,'NI-Soc_SP'!$C:$AN,MID(AI$1,1,2),FALSE)</f>
        <v>0</v>
      </c>
      <c r="AJ1665" s="55">
        <f>VLOOKUP($E1665,'NI-Soc_SP'!$C:$AN,MID(AJ$1,1,2),FALSE)</f>
        <v>0</v>
      </c>
      <c r="AK1665" s="55">
        <f>VLOOKUP($E1665,'NI-Soc_SP'!$C:$AN,MID(AK$1,1,2),FALSE)</f>
        <v>0</v>
      </c>
      <c r="AL1665" s="55">
        <f>VLOOKUP($E1665,'NI-Soc_SP'!$C:$AN,MID(AL$1,1,2),FALSE)</f>
        <v>0</v>
      </c>
      <c r="AM1665" s="56">
        <f>VLOOKUP($E1665,'NI-Soc_SP'!$C:$AN,MID(AM$1,1,2),FALSE)</f>
        <v>0</v>
      </c>
      <c r="AN1665" s="30" t="str">
        <f t="shared" si="25"/>
        <v>10206020030020</v>
      </c>
    </row>
    <row r="1666" spans="3:40" x14ac:dyDescent="0.25">
      <c r="C1666" s="40"/>
      <c r="D1666" s="121" t="s">
        <v>830</v>
      </c>
      <c r="E1666" s="121" t="s">
        <v>831</v>
      </c>
      <c r="F1666" s="122" t="s">
        <v>2758</v>
      </c>
      <c r="G1666" s="52"/>
      <c r="H1666" s="52"/>
      <c r="I1666" s="52"/>
      <c r="J1666" s="52"/>
      <c r="K1666" s="59" t="s">
        <v>79</v>
      </c>
      <c r="L1666" s="52"/>
      <c r="M1666" s="52"/>
      <c r="N1666" s="52"/>
      <c r="O1666" s="52"/>
      <c r="P1666" s="63" t="s">
        <v>832</v>
      </c>
      <c r="Q1666" s="55">
        <f>VLOOKUP(E1666,'NI-Soc_SP'!$C:$AN,12,FALSE)</f>
        <v>0</v>
      </c>
      <c r="R1666" s="55">
        <f>VLOOKUP(E1666,'NI-Soc_SP'!$C:$AN,13,FALSE)</f>
        <v>0</v>
      </c>
      <c r="S1666" s="55"/>
      <c r="T1666" s="55"/>
      <c r="U1666" s="55">
        <f>VLOOKUP($E1666,'NI-Soc_SP'!$C:$AN,MID(U$1,1,2),FALSE)</f>
        <v>0</v>
      </c>
      <c r="V1666" s="55">
        <f>VLOOKUP($E1666,'NI-Soc_SP'!$C:$AN,MID(V$1,1,2),FALSE)</f>
        <v>0</v>
      </c>
      <c r="W1666" s="55">
        <f>VLOOKUP($E1666,'NI-Soc_SP'!$C:$AN,MID(W$1,1,2),FALSE)</f>
        <v>0</v>
      </c>
      <c r="X1666" s="55">
        <f>VLOOKUP($E1666,'NI-Soc_SP'!$C:$AN,MID(X$1,1,2),FALSE)</f>
        <v>0</v>
      </c>
      <c r="Y1666" s="55">
        <f>VLOOKUP($E1666,'NI-Soc_SP'!$C:$AN,MID(Y$1,1,2),FALSE)</f>
        <v>0</v>
      </c>
      <c r="Z1666" s="55">
        <f>VLOOKUP($E1666,'NI-Soc_SP'!$C:$AN,MID(Z$1,1,2),FALSE)</f>
        <v>0</v>
      </c>
      <c r="AA1666" s="55">
        <f>VLOOKUP($E1666,'NI-Soc_SP'!$C:$AN,MID(AA$1,1,2),FALSE)</f>
        <v>0</v>
      </c>
      <c r="AB1666" s="55">
        <f>VLOOKUP($E1666,'NI-Soc_SP'!$C:$AN,MID(AB$1,1,2),FALSE)</f>
        <v>0</v>
      </c>
      <c r="AC1666" s="55">
        <f>VLOOKUP($E1666,'NI-Soc_SP'!$C:$AN,MID(AC$1,1,2),FALSE)</f>
        <v>0</v>
      </c>
      <c r="AD1666" s="55">
        <f>VLOOKUP($E1666,'NI-Soc_SP'!$C:$AN,MID(AD$1,1,2),FALSE)</f>
        <v>0</v>
      </c>
      <c r="AE1666" s="55">
        <f>VLOOKUP($E1666,'NI-Soc_SP'!$C:$AN,MID(AE$1,1,2),FALSE)</f>
        <v>0</v>
      </c>
      <c r="AF1666" s="55">
        <f>VLOOKUP($E1666,'NI-Soc_SP'!$C:$AN,MID(AF$1,1,2),FALSE)</f>
        <v>0</v>
      </c>
      <c r="AG1666" s="55">
        <f>VLOOKUP($E1666,'NI-Soc_SP'!$C:$AN,MID(AG$1,1,2),FALSE)</f>
        <v>0</v>
      </c>
      <c r="AH1666" s="55">
        <f>VLOOKUP($E1666,'NI-Soc_SP'!$C:$AN,MID(AH$1,1,2),FALSE)</f>
        <v>0</v>
      </c>
      <c r="AI1666" s="55">
        <f>VLOOKUP($E1666,'NI-Soc_SP'!$C:$AN,MID(AI$1,1,2),FALSE)</f>
        <v>0</v>
      </c>
      <c r="AJ1666" s="55">
        <f>VLOOKUP($E1666,'NI-Soc_SP'!$C:$AN,MID(AJ$1,1,2),FALSE)</f>
        <v>0</v>
      </c>
      <c r="AK1666" s="55">
        <f>VLOOKUP($E1666,'NI-Soc_SP'!$C:$AN,MID(AK$1,1,2),FALSE)</f>
        <v>0</v>
      </c>
      <c r="AL1666" s="55">
        <f>VLOOKUP($E1666,'NI-Soc_SP'!$C:$AN,MID(AL$1,1,2),FALSE)</f>
        <v>0</v>
      </c>
      <c r="AM1666" s="56">
        <f>VLOOKUP($E1666,'NI-Soc_SP'!$C:$AN,MID(AM$1,1,2),FALSE)</f>
        <v>0</v>
      </c>
      <c r="AN1666" s="30" t="str">
        <f t="shared" ref="AN1666:AN1729" si="26">D1666</f>
        <v>10206020040010</v>
      </c>
    </row>
    <row r="1667" spans="3:40" x14ac:dyDescent="0.25">
      <c r="C1667" s="40"/>
      <c r="D1667" s="121" t="s">
        <v>833</v>
      </c>
      <c r="E1667" s="121" t="s">
        <v>834</v>
      </c>
      <c r="F1667" s="122" t="s">
        <v>2758</v>
      </c>
      <c r="G1667" s="52"/>
      <c r="H1667" s="52"/>
      <c r="I1667" s="52"/>
      <c r="J1667" s="52"/>
      <c r="K1667" s="59" t="s">
        <v>79</v>
      </c>
      <c r="L1667" s="52"/>
      <c r="M1667" s="52"/>
      <c r="N1667" s="52"/>
      <c r="O1667" s="52"/>
      <c r="P1667" s="63" t="s">
        <v>835</v>
      </c>
      <c r="Q1667" s="55">
        <f>VLOOKUP(E1667,'NI-Soc_SP'!$C:$AN,12,FALSE)</f>
        <v>0</v>
      </c>
      <c r="R1667" s="55">
        <f>VLOOKUP(E1667,'NI-Soc_SP'!$C:$AN,13,FALSE)</f>
        <v>0</v>
      </c>
      <c r="S1667" s="55"/>
      <c r="T1667" s="55"/>
      <c r="U1667" s="55">
        <f>VLOOKUP($E1667,'NI-Soc_SP'!$C:$AN,MID(U$1,1,2),FALSE)</f>
        <v>0</v>
      </c>
      <c r="V1667" s="55">
        <f>VLOOKUP($E1667,'NI-Soc_SP'!$C:$AN,MID(V$1,1,2),FALSE)</f>
        <v>0</v>
      </c>
      <c r="W1667" s="55">
        <f>VLOOKUP($E1667,'NI-Soc_SP'!$C:$AN,MID(W$1,1,2),FALSE)</f>
        <v>0</v>
      </c>
      <c r="X1667" s="55">
        <f>VLOOKUP($E1667,'NI-Soc_SP'!$C:$AN,MID(X$1,1,2),FALSE)</f>
        <v>0</v>
      </c>
      <c r="Y1667" s="55">
        <f>VLOOKUP($E1667,'NI-Soc_SP'!$C:$AN,MID(Y$1,1,2),FALSE)</f>
        <v>0</v>
      </c>
      <c r="Z1667" s="55">
        <f>VLOOKUP($E1667,'NI-Soc_SP'!$C:$AN,MID(Z$1,1,2),FALSE)</f>
        <v>0</v>
      </c>
      <c r="AA1667" s="55">
        <f>VLOOKUP($E1667,'NI-Soc_SP'!$C:$AN,MID(AA$1,1,2),FALSE)</f>
        <v>0</v>
      </c>
      <c r="AB1667" s="55">
        <f>VLOOKUP($E1667,'NI-Soc_SP'!$C:$AN,MID(AB$1,1,2),FALSE)</f>
        <v>0</v>
      </c>
      <c r="AC1667" s="55">
        <f>VLOOKUP($E1667,'NI-Soc_SP'!$C:$AN,MID(AC$1,1,2),FALSE)</f>
        <v>0</v>
      </c>
      <c r="AD1667" s="55">
        <f>VLOOKUP($E1667,'NI-Soc_SP'!$C:$AN,MID(AD$1,1,2),FALSE)</f>
        <v>0</v>
      </c>
      <c r="AE1667" s="55">
        <f>VLOOKUP($E1667,'NI-Soc_SP'!$C:$AN,MID(AE$1,1,2),FALSE)</f>
        <v>0</v>
      </c>
      <c r="AF1667" s="55">
        <f>VLOOKUP($E1667,'NI-Soc_SP'!$C:$AN,MID(AF$1,1,2),FALSE)</f>
        <v>0</v>
      </c>
      <c r="AG1667" s="55">
        <f>VLOOKUP($E1667,'NI-Soc_SP'!$C:$AN,MID(AG$1,1,2),FALSE)</f>
        <v>0</v>
      </c>
      <c r="AH1667" s="55">
        <f>VLOOKUP($E1667,'NI-Soc_SP'!$C:$AN,MID(AH$1,1,2),FALSE)</f>
        <v>0</v>
      </c>
      <c r="AI1667" s="55">
        <f>VLOOKUP($E1667,'NI-Soc_SP'!$C:$AN,MID(AI$1,1,2),FALSE)</f>
        <v>0</v>
      </c>
      <c r="AJ1667" s="55">
        <f>VLOOKUP($E1667,'NI-Soc_SP'!$C:$AN,MID(AJ$1,1,2),FALSE)</f>
        <v>0</v>
      </c>
      <c r="AK1667" s="55">
        <f>VLOOKUP($E1667,'NI-Soc_SP'!$C:$AN,MID(AK$1,1,2),FALSE)</f>
        <v>0</v>
      </c>
      <c r="AL1667" s="55">
        <f>VLOOKUP($E1667,'NI-Soc_SP'!$C:$AN,MID(AL$1,1,2),FALSE)</f>
        <v>0</v>
      </c>
      <c r="AM1667" s="56">
        <f>VLOOKUP($E1667,'NI-Soc_SP'!$C:$AN,MID(AM$1,1,2),FALSE)</f>
        <v>0</v>
      </c>
      <c r="AN1667" s="30" t="str">
        <f t="shared" si="26"/>
        <v>10206020040020</v>
      </c>
    </row>
    <row r="1668" spans="3:40" x14ac:dyDescent="0.25">
      <c r="C1668" s="40"/>
      <c r="D1668" s="121" t="s">
        <v>836</v>
      </c>
      <c r="E1668" s="121" t="s">
        <v>837</v>
      </c>
      <c r="F1668" s="122" t="s">
        <v>2758</v>
      </c>
      <c r="G1668" s="52"/>
      <c r="H1668" s="52"/>
      <c r="I1668" s="52"/>
      <c r="J1668" s="52"/>
      <c r="K1668" s="59" t="s">
        <v>79</v>
      </c>
      <c r="L1668" s="52"/>
      <c r="M1668" s="52"/>
      <c r="N1668" s="52"/>
      <c r="O1668" s="52"/>
      <c r="P1668" s="63" t="s">
        <v>838</v>
      </c>
      <c r="Q1668" s="55">
        <f>VLOOKUP(E1668,'NI-Soc_SP'!$C:$AN,12,FALSE)</f>
        <v>0</v>
      </c>
      <c r="R1668" s="55">
        <f>VLOOKUP(E1668,'NI-Soc_SP'!$C:$AN,13,FALSE)</f>
        <v>0</v>
      </c>
      <c r="S1668" s="55"/>
      <c r="T1668" s="55"/>
      <c r="U1668" s="55">
        <f>VLOOKUP($E1668,'NI-Soc_SP'!$C:$AN,MID(U$1,1,2),FALSE)</f>
        <v>0</v>
      </c>
      <c r="V1668" s="55">
        <f>VLOOKUP($E1668,'NI-Soc_SP'!$C:$AN,MID(V$1,1,2),FALSE)</f>
        <v>0</v>
      </c>
      <c r="W1668" s="55">
        <f>VLOOKUP($E1668,'NI-Soc_SP'!$C:$AN,MID(W$1,1,2),FALSE)</f>
        <v>0</v>
      </c>
      <c r="X1668" s="55">
        <f>VLOOKUP($E1668,'NI-Soc_SP'!$C:$AN,MID(X$1,1,2),FALSE)</f>
        <v>0</v>
      </c>
      <c r="Y1668" s="55">
        <f>VLOOKUP($E1668,'NI-Soc_SP'!$C:$AN,MID(Y$1,1,2),FALSE)</f>
        <v>0</v>
      </c>
      <c r="Z1668" s="55">
        <f>VLOOKUP($E1668,'NI-Soc_SP'!$C:$AN,MID(Z$1,1,2),FALSE)</f>
        <v>0</v>
      </c>
      <c r="AA1668" s="55">
        <f>VLOOKUP($E1668,'NI-Soc_SP'!$C:$AN,MID(AA$1,1,2),FALSE)</f>
        <v>0</v>
      </c>
      <c r="AB1668" s="55">
        <f>VLOOKUP($E1668,'NI-Soc_SP'!$C:$AN,MID(AB$1,1,2),FALSE)</f>
        <v>0</v>
      </c>
      <c r="AC1668" s="55">
        <f>VLOOKUP($E1668,'NI-Soc_SP'!$C:$AN,MID(AC$1,1,2),FALSE)</f>
        <v>0</v>
      </c>
      <c r="AD1668" s="55">
        <f>VLOOKUP($E1668,'NI-Soc_SP'!$C:$AN,MID(AD$1,1,2),FALSE)</f>
        <v>0</v>
      </c>
      <c r="AE1668" s="55">
        <f>VLOOKUP($E1668,'NI-Soc_SP'!$C:$AN,MID(AE$1,1,2),FALSE)</f>
        <v>0</v>
      </c>
      <c r="AF1668" s="55">
        <f>VLOOKUP($E1668,'NI-Soc_SP'!$C:$AN,MID(AF$1,1,2),FALSE)</f>
        <v>0</v>
      </c>
      <c r="AG1668" s="55">
        <f>VLOOKUP($E1668,'NI-Soc_SP'!$C:$AN,MID(AG$1,1,2),FALSE)</f>
        <v>0</v>
      </c>
      <c r="AH1668" s="55">
        <f>VLOOKUP($E1668,'NI-Soc_SP'!$C:$AN,MID(AH$1,1,2),FALSE)</f>
        <v>0</v>
      </c>
      <c r="AI1668" s="55">
        <f>VLOOKUP($E1668,'NI-Soc_SP'!$C:$AN,MID(AI$1,1,2),FALSE)</f>
        <v>0</v>
      </c>
      <c r="AJ1668" s="55">
        <f>VLOOKUP($E1668,'NI-Soc_SP'!$C:$AN,MID(AJ$1,1,2),FALSE)</f>
        <v>0</v>
      </c>
      <c r="AK1668" s="55">
        <f>VLOOKUP($E1668,'NI-Soc_SP'!$C:$AN,MID(AK$1,1,2),FALSE)</f>
        <v>0</v>
      </c>
      <c r="AL1668" s="55">
        <f>VLOOKUP($E1668,'NI-Soc_SP'!$C:$AN,MID(AL$1,1,2),FALSE)</f>
        <v>0</v>
      </c>
      <c r="AM1668" s="56">
        <f>VLOOKUP($E1668,'NI-Soc_SP'!$C:$AN,MID(AM$1,1,2),FALSE)</f>
        <v>0</v>
      </c>
      <c r="AN1668" s="30" t="str">
        <f t="shared" si="26"/>
        <v>10206020050010</v>
      </c>
    </row>
    <row r="1669" spans="3:40" x14ac:dyDescent="0.25">
      <c r="C1669" s="40"/>
      <c r="D1669" s="121" t="s">
        <v>839</v>
      </c>
      <c r="E1669" s="121" t="s">
        <v>840</v>
      </c>
      <c r="F1669" s="122" t="s">
        <v>2758</v>
      </c>
      <c r="G1669" s="52"/>
      <c r="H1669" s="52"/>
      <c r="I1669" s="52"/>
      <c r="J1669" s="52"/>
      <c r="K1669" s="59" t="s">
        <v>79</v>
      </c>
      <c r="L1669" s="52"/>
      <c r="M1669" s="52"/>
      <c r="N1669" s="52"/>
      <c r="O1669" s="52"/>
      <c r="P1669" s="63" t="s">
        <v>841</v>
      </c>
      <c r="Q1669" s="55">
        <f>VLOOKUP(E1669,'NI-Soc_SP'!$C:$AN,12,FALSE)</f>
        <v>0</v>
      </c>
      <c r="R1669" s="55">
        <f>VLOOKUP(E1669,'NI-Soc_SP'!$C:$AN,13,FALSE)</f>
        <v>0</v>
      </c>
      <c r="S1669" s="55"/>
      <c r="T1669" s="55"/>
      <c r="U1669" s="55">
        <f>VLOOKUP($E1669,'NI-Soc_SP'!$C:$AN,MID(U$1,1,2),FALSE)</f>
        <v>0</v>
      </c>
      <c r="V1669" s="55">
        <f>VLOOKUP($E1669,'NI-Soc_SP'!$C:$AN,MID(V$1,1,2),FALSE)</f>
        <v>0</v>
      </c>
      <c r="W1669" s="55">
        <f>VLOOKUP($E1669,'NI-Soc_SP'!$C:$AN,MID(W$1,1,2),FALSE)</f>
        <v>0</v>
      </c>
      <c r="X1669" s="55">
        <f>VLOOKUP($E1669,'NI-Soc_SP'!$C:$AN,MID(X$1,1,2),FALSE)</f>
        <v>0</v>
      </c>
      <c r="Y1669" s="55">
        <f>VLOOKUP($E1669,'NI-Soc_SP'!$C:$AN,MID(Y$1,1,2),FALSE)</f>
        <v>0</v>
      </c>
      <c r="Z1669" s="55">
        <f>VLOOKUP($E1669,'NI-Soc_SP'!$C:$AN,MID(Z$1,1,2),FALSE)</f>
        <v>0</v>
      </c>
      <c r="AA1669" s="55">
        <f>VLOOKUP($E1669,'NI-Soc_SP'!$C:$AN,MID(AA$1,1,2),FALSE)</f>
        <v>0</v>
      </c>
      <c r="AB1669" s="55">
        <f>VLOOKUP($E1669,'NI-Soc_SP'!$C:$AN,MID(AB$1,1,2),FALSE)</f>
        <v>0</v>
      </c>
      <c r="AC1669" s="55">
        <f>VLOOKUP($E1669,'NI-Soc_SP'!$C:$AN,MID(AC$1,1,2),FALSE)</f>
        <v>0</v>
      </c>
      <c r="AD1669" s="55">
        <f>VLOOKUP($E1669,'NI-Soc_SP'!$C:$AN,MID(AD$1,1,2),FALSE)</f>
        <v>0</v>
      </c>
      <c r="AE1669" s="55">
        <f>VLOOKUP($E1669,'NI-Soc_SP'!$C:$AN,MID(AE$1,1,2),FALSE)</f>
        <v>0</v>
      </c>
      <c r="AF1669" s="55">
        <f>VLOOKUP($E1669,'NI-Soc_SP'!$C:$AN,MID(AF$1,1,2),FALSE)</f>
        <v>0</v>
      </c>
      <c r="AG1669" s="55">
        <f>VLOOKUP($E1669,'NI-Soc_SP'!$C:$AN,MID(AG$1,1,2),FALSE)</f>
        <v>0</v>
      </c>
      <c r="AH1669" s="55">
        <f>VLOOKUP($E1669,'NI-Soc_SP'!$C:$AN,MID(AH$1,1,2),FALSE)</f>
        <v>0</v>
      </c>
      <c r="AI1669" s="55">
        <f>VLOOKUP($E1669,'NI-Soc_SP'!$C:$AN,MID(AI$1,1,2),FALSE)</f>
        <v>0</v>
      </c>
      <c r="AJ1669" s="55">
        <f>VLOOKUP($E1669,'NI-Soc_SP'!$C:$AN,MID(AJ$1,1,2),FALSE)</f>
        <v>0</v>
      </c>
      <c r="AK1669" s="55">
        <f>VLOOKUP($E1669,'NI-Soc_SP'!$C:$AN,MID(AK$1,1,2),FALSE)</f>
        <v>0</v>
      </c>
      <c r="AL1669" s="55">
        <f>VLOOKUP($E1669,'NI-Soc_SP'!$C:$AN,MID(AL$1,1,2),FALSE)</f>
        <v>0</v>
      </c>
      <c r="AM1669" s="56">
        <f>VLOOKUP($E1669,'NI-Soc_SP'!$C:$AN,MID(AM$1,1,2),FALSE)</f>
        <v>0</v>
      </c>
      <c r="AN1669" s="30" t="str">
        <f t="shared" si="26"/>
        <v>10206020050020</v>
      </c>
    </row>
    <row r="1670" spans="3:40" x14ac:dyDescent="0.25">
      <c r="C1670" s="40"/>
      <c r="D1670" s="121" t="s">
        <v>842</v>
      </c>
      <c r="E1670" s="121" t="s">
        <v>843</v>
      </c>
      <c r="F1670" s="122" t="s">
        <v>2758</v>
      </c>
      <c r="G1670" s="52"/>
      <c r="H1670" s="52"/>
      <c r="I1670" s="52" t="s">
        <v>844</v>
      </c>
      <c r="J1670" s="52"/>
      <c r="K1670" s="59" t="s">
        <v>111</v>
      </c>
      <c r="L1670" s="52"/>
      <c r="M1670" s="52"/>
      <c r="N1670" s="52"/>
      <c r="O1670" s="61" t="s">
        <v>845</v>
      </c>
      <c r="P1670" s="60" t="s">
        <v>846</v>
      </c>
      <c r="Q1670" s="55">
        <f>VLOOKUP(E1670,'NI-Soc_SP'!$C:$AN,12,FALSE)</f>
        <v>0</v>
      </c>
      <c r="R1670" s="55">
        <f>VLOOKUP(E1670,'NI-Soc_SP'!$C:$AN,13,FALSE)</f>
        <v>0</v>
      </c>
      <c r="S1670" s="55"/>
      <c r="T1670" s="55"/>
      <c r="U1670" s="55">
        <f>VLOOKUP($E1670,'NI-Soc_SP'!$C:$AN,MID(U$1,1,2),FALSE)</f>
        <v>0</v>
      </c>
      <c r="V1670" s="55">
        <f>VLOOKUP($E1670,'NI-Soc_SP'!$C:$AN,MID(V$1,1,2),FALSE)</f>
        <v>0</v>
      </c>
      <c r="W1670" s="55">
        <f>VLOOKUP($E1670,'NI-Soc_SP'!$C:$AN,MID(W$1,1,2),FALSE)</f>
        <v>0</v>
      </c>
      <c r="X1670" s="55">
        <f>VLOOKUP($E1670,'NI-Soc_SP'!$C:$AN,MID(X$1,1,2),FALSE)</f>
        <v>0</v>
      </c>
      <c r="Y1670" s="55">
        <f>VLOOKUP($E1670,'NI-Soc_SP'!$C:$AN,MID(Y$1,1,2),FALSE)</f>
        <v>0</v>
      </c>
      <c r="Z1670" s="55">
        <f>VLOOKUP($E1670,'NI-Soc_SP'!$C:$AN,MID(Z$1,1,2),FALSE)</f>
        <v>0</v>
      </c>
      <c r="AA1670" s="55">
        <f>VLOOKUP($E1670,'NI-Soc_SP'!$C:$AN,MID(AA$1,1,2),FALSE)</f>
        <v>0</v>
      </c>
      <c r="AB1670" s="55">
        <f>VLOOKUP($E1670,'NI-Soc_SP'!$C:$AN,MID(AB$1,1,2),FALSE)</f>
        <v>0</v>
      </c>
      <c r="AC1670" s="55">
        <f>VLOOKUP($E1670,'NI-Soc_SP'!$C:$AN,MID(AC$1,1,2),FALSE)</f>
        <v>0</v>
      </c>
      <c r="AD1670" s="55">
        <f>VLOOKUP($E1670,'NI-Soc_SP'!$C:$AN,MID(AD$1,1,2),FALSE)</f>
        <v>0</v>
      </c>
      <c r="AE1670" s="55">
        <f>VLOOKUP($E1670,'NI-Soc_SP'!$C:$AN,MID(AE$1,1,2),FALSE)</f>
        <v>0</v>
      </c>
      <c r="AF1670" s="55">
        <f>VLOOKUP($E1670,'NI-Soc_SP'!$C:$AN,MID(AF$1,1,2),FALSE)</f>
        <v>0</v>
      </c>
      <c r="AG1670" s="55">
        <f>VLOOKUP($E1670,'NI-Soc_SP'!$C:$AN,MID(AG$1,1,2),FALSE)</f>
        <v>0</v>
      </c>
      <c r="AH1670" s="55">
        <f>VLOOKUP($E1670,'NI-Soc_SP'!$C:$AN,MID(AH$1,1,2),FALSE)</f>
        <v>0</v>
      </c>
      <c r="AI1670" s="55">
        <f>VLOOKUP($E1670,'NI-Soc_SP'!$C:$AN,MID(AI$1,1,2),FALSE)</f>
        <v>0</v>
      </c>
      <c r="AJ1670" s="55">
        <f>VLOOKUP($E1670,'NI-Soc_SP'!$C:$AN,MID(AJ$1,1,2),FALSE)</f>
        <v>0</v>
      </c>
      <c r="AK1670" s="55">
        <f>VLOOKUP($E1670,'NI-Soc_SP'!$C:$AN,MID(AK$1,1,2),FALSE)</f>
        <v>0</v>
      </c>
      <c r="AL1670" s="55">
        <f>VLOOKUP($E1670,'NI-Soc_SP'!$C:$AN,MID(AL$1,1,2),FALSE)</f>
        <v>0</v>
      </c>
      <c r="AM1670" s="56">
        <f>VLOOKUP($E1670,'NI-Soc_SP'!$C:$AN,MID(AM$1,1,2),FALSE)</f>
        <v>0</v>
      </c>
      <c r="AN1670" s="30" t="str">
        <f t="shared" si="26"/>
        <v>10207000000000</v>
      </c>
    </row>
    <row r="1671" spans="3:40" x14ac:dyDescent="0.25">
      <c r="C1671" s="40"/>
      <c r="D1671" s="121" t="s">
        <v>847</v>
      </c>
      <c r="E1671" s="121" t="s">
        <v>848</v>
      </c>
      <c r="F1671" s="122" t="s">
        <v>2758</v>
      </c>
      <c r="G1671" s="52"/>
      <c r="H1671" s="52"/>
      <c r="I1671" s="52"/>
      <c r="J1671" s="52"/>
      <c r="K1671" s="59" t="s">
        <v>111</v>
      </c>
      <c r="L1671" s="62" t="s">
        <v>849</v>
      </c>
      <c r="M1671" s="52"/>
      <c r="N1671" s="52"/>
      <c r="O1671" s="52"/>
      <c r="P1671" s="54" t="s">
        <v>850</v>
      </c>
      <c r="Q1671" s="55">
        <f>VLOOKUP(E1671,'NI-Soc_SP'!$C:$AN,12,FALSE)</f>
        <v>0</v>
      </c>
      <c r="R1671" s="55">
        <f>VLOOKUP(E1671,'NI-Soc_SP'!$C:$AN,13,FALSE)</f>
        <v>0</v>
      </c>
      <c r="S1671" s="55"/>
      <c r="T1671" s="55"/>
      <c r="U1671" s="55">
        <f>VLOOKUP($E1671,'NI-Soc_SP'!$C:$AN,MID(U$1,1,2),FALSE)</f>
        <v>0</v>
      </c>
      <c r="V1671" s="55">
        <f>VLOOKUP($E1671,'NI-Soc_SP'!$C:$AN,MID(V$1,1,2),FALSE)</f>
        <v>0</v>
      </c>
      <c r="W1671" s="55">
        <f>VLOOKUP($E1671,'NI-Soc_SP'!$C:$AN,MID(W$1,1,2),FALSE)</f>
        <v>0</v>
      </c>
      <c r="X1671" s="55">
        <f>VLOOKUP($E1671,'NI-Soc_SP'!$C:$AN,MID(X$1,1,2),FALSE)</f>
        <v>0</v>
      </c>
      <c r="Y1671" s="55">
        <f>VLOOKUP($E1671,'NI-Soc_SP'!$C:$AN,MID(Y$1,1,2),FALSE)</f>
        <v>0</v>
      </c>
      <c r="Z1671" s="55">
        <f>VLOOKUP($E1671,'NI-Soc_SP'!$C:$AN,MID(Z$1,1,2),FALSE)</f>
        <v>0</v>
      </c>
      <c r="AA1671" s="55">
        <f>VLOOKUP($E1671,'NI-Soc_SP'!$C:$AN,MID(AA$1,1,2),FALSE)</f>
        <v>0</v>
      </c>
      <c r="AB1671" s="55">
        <f>VLOOKUP($E1671,'NI-Soc_SP'!$C:$AN,MID(AB$1,1,2),FALSE)</f>
        <v>0</v>
      </c>
      <c r="AC1671" s="55">
        <f>VLOOKUP($E1671,'NI-Soc_SP'!$C:$AN,MID(AC$1,1,2),FALSE)</f>
        <v>0</v>
      </c>
      <c r="AD1671" s="55">
        <f>VLOOKUP($E1671,'NI-Soc_SP'!$C:$AN,MID(AD$1,1,2),FALSE)</f>
        <v>0</v>
      </c>
      <c r="AE1671" s="55">
        <f>VLOOKUP($E1671,'NI-Soc_SP'!$C:$AN,MID(AE$1,1,2),FALSE)</f>
        <v>0</v>
      </c>
      <c r="AF1671" s="55">
        <f>VLOOKUP($E1671,'NI-Soc_SP'!$C:$AN,MID(AF$1,1,2),FALSE)</f>
        <v>0</v>
      </c>
      <c r="AG1671" s="55">
        <f>VLOOKUP($E1671,'NI-Soc_SP'!$C:$AN,MID(AG$1,1,2),FALSE)</f>
        <v>0</v>
      </c>
      <c r="AH1671" s="55">
        <f>VLOOKUP($E1671,'NI-Soc_SP'!$C:$AN,MID(AH$1,1,2),FALSE)</f>
        <v>0</v>
      </c>
      <c r="AI1671" s="55">
        <f>VLOOKUP($E1671,'NI-Soc_SP'!$C:$AN,MID(AI$1,1,2),FALSE)</f>
        <v>0</v>
      </c>
      <c r="AJ1671" s="55">
        <f>VLOOKUP($E1671,'NI-Soc_SP'!$C:$AN,MID(AJ$1,1,2),FALSE)</f>
        <v>0</v>
      </c>
      <c r="AK1671" s="55">
        <f>VLOOKUP($E1671,'NI-Soc_SP'!$C:$AN,MID(AK$1,1,2),FALSE)</f>
        <v>0</v>
      </c>
      <c r="AL1671" s="55">
        <f>VLOOKUP($E1671,'NI-Soc_SP'!$C:$AN,MID(AL$1,1,2),FALSE)</f>
        <v>0</v>
      </c>
      <c r="AM1671" s="56">
        <f>VLOOKUP($E1671,'NI-Soc_SP'!$C:$AN,MID(AM$1,1,2),FALSE)</f>
        <v>0</v>
      </c>
      <c r="AN1671" s="30" t="str">
        <f t="shared" si="26"/>
        <v>10207010000000</v>
      </c>
    </row>
    <row r="1672" spans="3:40" x14ac:dyDescent="0.25">
      <c r="C1672" s="40"/>
      <c r="D1672" s="121" t="s">
        <v>851</v>
      </c>
      <c r="E1672" s="121" t="s">
        <v>852</v>
      </c>
      <c r="F1672" s="122" t="s">
        <v>2758</v>
      </c>
      <c r="G1672" s="52"/>
      <c r="H1672" s="52"/>
      <c r="I1672" s="52"/>
      <c r="J1672" s="52"/>
      <c r="K1672" s="59" t="s">
        <v>79</v>
      </c>
      <c r="L1672" s="52"/>
      <c r="M1672" s="52"/>
      <c r="N1672" s="52"/>
      <c r="O1672" s="52"/>
      <c r="P1672" s="63" t="s">
        <v>853</v>
      </c>
      <c r="Q1672" s="55">
        <f>VLOOKUP(E1672,'NI-Soc_SP'!$C:$AN,12,FALSE)</f>
        <v>0</v>
      </c>
      <c r="R1672" s="55">
        <f>VLOOKUP(E1672,'NI-Soc_SP'!$C:$AN,13,FALSE)</f>
        <v>0</v>
      </c>
      <c r="S1672" s="55"/>
      <c r="T1672" s="55"/>
      <c r="U1672" s="55">
        <f>VLOOKUP($E1672,'NI-Soc_SP'!$C:$AN,MID(U$1,1,2),FALSE)</f>
        <v>0</v>
      </c>
      <c r="V1672" s="55">
        <f>VLOOKUP($E1672,'NI-Soc_SP'!$C:$AN,MID(V$1,1,2),FALSE)</f>
        <v>0</v>
      </c>
      <c r="W1672" s="55">
        <f>VLOOKUP($E1672,'NI-Soc_SP'!$C:$AN,MID(W$1,1,2),FALSE)</f>
        <v>0</v>
      </c>
      <c r="X1672" s="55">
        <f>VLOOKUP($E1672,'NI-Soc_SP'!$C:$AN,MID(X$1,1,2),FALSE)</f>
        <v>0</v>
      </c>
      <c r="Y1672" s="55">
        <f>VLOOKUP($E1672,'NI-Soc_SP'!$C:$AN,MID(Y$1,1,2),FALSE)</f>
        <v>0</v>
      </c>
      <c r="Z1672" s="55">
        <f>VLOOKUP($E1672,'NI-Soc_SP'!$C:$AN,MID(Z$1,1,2),FALSE)</f>
        <v>0</v>
      </c>
      <c r="AA1672" s="55">
        <f>VLOOKUP($E1672,'NI-Soc_SP'!$C:$AN,MID(AA$1,1,2),FALSE)</f>
        <v>0</v>
      </c>
      <c r="AB1672" s="55">
        <f>VLOOKUP($E1672,'NI-Soc_SP'!$C:$AN,MID(AB$1,1,2),FALSE)</f>
        <v>0</v>
      </c>
      <c r="AC1672" s="55">
        <f>VLOOKUP($E1672,'NI-Soc_SP'!$C:$AN,MID(AC$1,1,2),FALSE)</f>
        <v>0</v>
      </c>
      <c r="AD1672" s="55">
        <f>VLOOKUP($E1672,'NI-Soc_SP'!$C:$AN,MID(AD$1,1,2),FALSE)</f>
        <v>0</v>
      </c>
      <c r="AE1672" s="55">
        <f>VLOOKUP($E1672,'NI-Soc_SP'!$C:$AN,MID(AE$1,1,2),FALSE)</f>
        <v>0</v>
      </c>
      <c r="AF1672" s="55">
        <f>VLOOKUP($E1672,'NI-Soc_SP'!$C:$AN,MID(AF$1,1,2),FALSE)</f>
        <v>0</v>
      </c>
      <c r="AG1672" s="55">
        <f>VLOOKUP($E1672,'NI-Soc_SP'!$C:$AN,MID(AG$1,1,2),FALSE)</f>
        <v>0</v>
      </c>
      <c r="AH1672" s="55">
        <f>VLOOKUP($E1672,'NI-Soc_SP'!$C:$AN,MID(AH$1,1,2),FALSE)</f>
        <v>0</v>
      </c>
      <c r="AI1672" s="55">
        <f>VLOOKUP($E1672,'NI-Soc_SP'!$C:$AN,MID(AI$1,1,2),FALSE)</f>
        <v>0</v>
      </c>
      <c r="AJ1672" s="55">
        <f>VLOOKUP($E1672,'NI-Soc_SP'!$C:$AN,MID(AJ$1,1,2),FALSE)</f>
        <v>0</v>
      </c>
      <c r="AK1672" s="55">
        <f>VLOOKUP($E1672,'NI-Soc_SP'!$C:$AN,MID(AK$1,1,2),FALSE)</f>
        <v>0</v>
      </c>
      <c r="AL1672" s="55">
        <f>VLOOKUP($E1672,'NI-Soc_SP'!$C:$AN,MID(AL$1,1,2),FALSE)</f>
        <v>0</v>
      </c>
      <c r="AM1672" s="56">
        <f>VLOOKUP($E1672,'NI-Soc_SP'!$C:$AN,MID(AM$1,1,2),FALSE)</f>
        <v>0</v>
      </c>
      <c r="AN1672" s="30" t="str">
        <f t="shared" si="26"/>
        <v>10207010010000</v>
      </c>
    </row>
    <row r="1673" spans="3:40" x14ac:dyDescent="0.25">
      <c r="C1673" s="40"/>
      <c r="D1673" s="121" t="s">
        <v>854</v>
      </c>
      <c r="E1673" s="121" t="s">
        <v>855</v>
      </c>
      <c r="F1673" s="122" t="s">
        <v>2758</v>
      </c>
      <c r="G1673" s="52"/>
      <c r="H1673" s="52"/>
      <c r="I1673" s="52"/>
      <c r="J1673" s="52"/>
      <c r="K1673" s="59" t="s">
        <v>111</v>
      </c>
      <c r="L1673" s="52"/>
      <c r="M1673" s="52"/>
      <c r="N1673" s="52"/>
      <c r="O1673" s="61" t="s">
        <v>856</v>
      </c>
      <c r="P1673" s="60" t="s">
        <v>857</v>
      </c>
      <c r="Q1673" s="55">
        <f>VLOOKUP(E1673,'NI-Soc_SP'!$C:$AN,12,FALSE)</f>
        <v>0</v>
      </c>
      <c r="R1673" s="55">
        <f>VLOOKUP(E1673,'NI-Soc_SP'!$C:$AN,13,FALSE)</f>
        <v>0</v>
      </c>
      <c r="S1673" s="55"/>
      <c r="T1673" s="55"/>
      <c r="U1673" s="55">
        <f>VLOOKUP($E1673,'NI-Soc_SP'!$C:$AN,MID(U$1,1,2),FALSE)</f>
        <v>0</v>
      </c>
      <c r="V1673" s="55">
        <f>VLOOKUP($E1673,'NI-Soc_SP'!$C:$AN,MID(V$1,1,2),FALSE)</f>
        <v>0</v>
      </c>
      <c r="W1673" s="55">
        <f>VLOOKUP($E1673,'NI-Soc_SP'!$C:$AN,MID(W$1,1,2),FALSE)</f>
        <v>0</v>
      </c>
      <c r="X1673" s="55">
        <f>VLOOKUP($E1673,'NI-Soc_SP'!$C:$AN,MID(X$1,1,2),FALSE)</f>
        <v>0</v>
      </c>
      <c r="Y1673" s="55">
        <f>VLOOKUP($E1673,'NI-Soc_SP'!$C:$AN,MID(Y$1,1,2),FALSE)</f>
        <v>0</v>
      </c>
      <c r="Z1673" s="55">
        <f>VLOOKUP($E1673,'NI-Soc_SP'!$C:$AN,MID(Z$1,1,2),FALSE)</f>
        <v>0</v>
      </c>
      <c r="AA1673" s="55">
        <f>VLOOKUP($E1673,'NI-Soc_SP'!$C:$AN,MID(AA$1,1,2),FALSE)</f>
        <v>0</v>
      </c>
      <c r="AB1673" s="55">
        <f>VLOOKUP($E1673,'NI-Soc_SP'!$C:$AN,MID(AB$1,1,2),FALSE)</f>
        <v>0</v>
      </c>
      <c r="AC1673" s="55">
        <f>VLOOKUP($E1673,'NI-Soc_SP'!$C:$AN,MID(AC$1,1,2),FALSE)</f>
        <v>0</v>
      </c>
      <c r="AD1673" s="55">
        <f>VLOOKUP($E1673,'NI-Soc_SP'!$C:$AN,MID(AD$1,1,2),FALSE)</f>
        <v>0</v>
      </c>
      <c r="AE1673" s="55">
        <f>VLOOKUP($E1673,'NI-Soc_SP'!$C:$AN,MID(AE$1,1,2),FALSE)</f>
        <v>0</v>
      </c>
      <c r="AF1673" s="55">
        <f>VLOOKUP($E1673,'NI-Soc_SP'!$C:$AN,MID(AF$1,1,2),FALSE)</f>
        <v>0</v>
      </c>
      <c r="AG1673" s="55">
        <f>VLOOKUP($E1673,'NI-Soc_SP'!$C:$AN,MID(AG$1,1,2),FALSE)</f>
        <v>0</v>
      </c>
      <c r="AH1673" s="55">
        <f>VLOOKUP($E1673,'NI-Soc_SP'!$C:$AN,MID(AH$1,1,2),FALSE)</f>
        <v>0</v>
      </c>
      <c r="AI1673" s="55">
        <f>VLOOKUP($E1673,'NI-Soc_SP'!$C:$AN,MID(AI$1,1,2),FALSE)</f>
        <v>0</v>
      </c>
      <c r="AJ1673" s="55">
        <f>VLOOKUP($E1673,'NI-Soc_SP'!$C:$AN,MID(AJ$1,1,2),FALSE)</f>
        <v>0</v>
      </c>
      <c r="AK1673" s="55">
        <f>VLOOKUP($E1673,'NI-Soc_SP'!$C:$AN,MID(AK$1,1,2),FALSE)</f>
        <v>0</v>
      </c>
      <c r="AL1673" s="55">
        <f>VLOOKUP($E1673,'NI-Soc_SP'!$C:$AN,MID(AL$1,1,2),FALSE)</f>
        <v>0</v>
      </c>
      <c r="AM1673" s="56">
        <f>VLOOKUP($E1673,'NI-Soc_SP'!$C:$AN,MID(AM$1,1,2),FALSE)</f>
        <v>0</v>
      </c>
      <c r="AN1673" s="30" t="str">
        <f t="shared" si="26"/>
        <v>10208000000000</v>
      </c>
    </row>
    <row r="1674" spans="3:40" x14ac:dyDescent="0.25">
      <c r="C1674" s="40"/>
      <c r="D1674" s="121" t="s">
        <v>858</v>
      </c>
      <c r="E1674" s="121" t="s">
        <v>859</v>
      </c>
      <c r="F1674" s="122" t="s">
        <v>2758</v>
      </c>
      <c r="G1674" s="52"/>
      <c r="H1674" s="52"/>
      <c r="I1674" s="52" t="s">
        <v>860</v>
      </c>
      <c r="J1674" s="52"/>
      <c r="K1674" s="59" t="s">
        <v>111</v>
      </c>
      <c r="L1674" s="62" t="s">
        <v>861</v>
      </c>
      <c r="M1674" s="52"/>
      <c r="N1674" s="52"/>
      <c r="O1674" s="52"/>
      <c r="P1674" s="54" t="s">
        <v>862</v>
      </c>
      <c r="Q1674" s="55">
        <f>VLOOKUP(E1674,'NI-Soc_SP'!$C:$AN,12,FALSE)</f>
        <v>0</v>
      </c>
      <c r="R1674" s="55">
        <f>VLOOKUP(E1674,'NI-Soc_SP'!$C:$AN,13,FALSE)</f>
        <v>0</v>
      </c>
      <c r="S1674" s="55"/>
      <c r="T1674" s="55"/>
      <c r="U1674" s="55">
        <f>VLOOKUP($E1674,'NI-Soc_SP'!$C:$AN,MID(U$1,1,2),FALSE)</f>
        <v>0</v>
      </c>
      <c r="V1674" s="55">
        <f>VLOOKUP($E1674,'NI-Soc_SP'!$C:$AN,MID(V$1,1,2),FALSE)</f>
        <v>0</v>
      </c>
      <c r="W1674" s="55">
        <f>VLOOKUP($E1674,'NI-Soc_SP'!$C:$AN,MID(W$1,1,2),FALSE)</f>
        <v>0</v>
      </c>
      <c r="X1674" s="55">
        <f>VLOOKUP($E1674,'NI-Soc_SP'!$C:$AN,MID(X$1,1,2),FALSE)</f>
        <v>0</v>
      </c>
      <c r="Y1674" s="55">
        <f>VLOOKUP($E1674,'NI-Soc_SP'!$C:$AN,MID(Y$1,1,2),FALSE)</f>
        <v>0</v>
      </c>
      <c r="Z1674" s="55">
        <f>VLOOKUP($E1674,'NI-Soc_SP'!$C:$AN,MID(Z$1,1,2),FALSE)</f>
        <v>0</v>
      </c>
      <c r="AA1674" s="55">
        <f>VLOOKUP($E1674,'NI-Soc_SP'!$C:$AN,MID(AA$1,1,2),FALSE)</f>
        <v>0</v>
      </c>
      <c r="AB1674" s="55">
        <f>VLOOKUP($E1674,'NI-Soc_SP'!$C:$AN,MID(AB$1,1,2),FALSE)</f>
        <v>0</v>
      </c>
      <c r="AC1674" s="55">
        <f>VLOOKUP($E1674,'NI-Soc_SP'!$C:$AN,MID(AC$1,1,2),FALSE)</f>
        <v>0</v>
      </c>
      <c r="AD1674" s="55">
        <f>VLOOKUP($E1674,'NI-Soc_SP'!$C:$AN,MID(AD$1,1,2),FALSE)</f>
        <v>0</v>
      </c>
      <c r="AE1674" s="55">
        <f>VLOOKUP($E1674,'NI-Soc_SP'!$C:$AN,MID(AE$1,1,2),FALSE)</f>
        <v>0</v>
      </c>
      <c r="AF1674" s="55">
        <f>VLOOKUP($E1674,'NI-Soc_SP'!$C:$AN,MID(AF$1,1,2),FALSE)</f>
        <v>0</v>
      </c>
      <c r="AG1674" s="55">
        <f>VLOOKUP($E1674,'NI-Soc_SP'!$C:$AN,MID(AG$1,1,2),FALSE)</f>
        <v>0</v>
      </c>
      <c r="AH1674" s="55">
        <f>VLOOKUP($E1674,'NI-Soc_SP'!$C:$AN,MID(AH$1,1,2),FALSE)</f>
        <v>0</v>
      </c>
      <c r="AI1674" s="55">
        <f>VLOOKUP($E1674,'NI-Soc_SP'!$C:$AN,MID(AI$1,1,2),FALSE)</f>
        <v>0</v>
      </c>
      <c r="AJ1674" s="55">
        <f>VLOOKUP($E1674,'NI-Soc_SP'!$C:$AN,MID(AJ$1,1,2),FALSE)</f>
        <v>0</v>
      </c>
      <c r="AK1674" s="55">
        <f>VLOOKUP($E1674,'NI-Soc_SP'!$C:$AN,MID(AK$1,1,2),FALSE)</f>
        <v>0</v>
      </c>
      <c r="AL1674" s="55">
        <f>VLOOKUP($E1674,'NI-Soc_SP'!$C:$AN,MID(AL$1,1,2),FALSE)</f>
        <v>0</v>
      </c>
      <c r="AM1674" s="56">
        <f>VLOOKUP($E1674,'NI-Soc_SP'!$C:$AN,MID(AM$1,1,2),FALSE)</f>
        <v>0</v>
      </c>
      <c r="AN1674" s="30" t="str">
        <f t="shared" si="26"/>
        <v>10208010000000</v>
      </c>
    </row>
    <row r="1675" spans="3:40" x14ac:dyDescent="0.25">
      <c r="C1675" s="40"/>
      <c r="D1675" s="121" t="s">
        <v>863</v>
      </c>
      <c r="E1675" s="121" t="s">
        <v>864</v>
      </c>
      <c r="F1675" s="122" t="s">
        <v>2758</v>
      </c>
      <c r="G1675" s="52"/>
      <c r="H1675" s="52"/>
      <c r="I1675" s="52"/>
      <c r="J1675" s="52"/>
      <c r="K1675" s="59" t="s">
        <v>79</v>
      </c>
      <c r="L1675" s="52"/>
      <c r="M1675" s="52"/>
      <c r="N1675" s="52"/>
      <c r="O1675" s="52"/>
      <c r="P1675" s="64" t="s">
        <v>865</v>
      </c>
      <c r="Q1675" s="55">
        <f>VLOOKUP(E1675,'NI-Soc_SP'!$C:$AN,12,FALSE)</f>
        <v>0</v>
      </c>
      <c r="R1675" s="55">
        <f>VLOOKUP(E1675,'NI-Soc_SP'!$C:$AN,13,FALSE)</f>
        <v>0</v>
      </c>
      <c r="S1675" s="55"/>
      <c r="T1675" s="55"/>
      <c r="U1675" s="55">
        <f>VLOOKUP($E1675,'NI-Soc_SP'!$C:$AN,MID(U$1,1,2),FALSE)</f>
        <v>0</v>
      </c>
      <c r="V1675" s="55">
        <f>VLOOKUP($E1675,'NI-Soc_SP'!$C:$AN,MID(V$1,1,2),FALSE)</f>
        <v>0</v>
      </c>
      <c r="W1675" s="55">
        <f>VLOOKUP($E1675,'NI-Soc_SP'!$C:$AN,MID(W$1,1,2),FALSE)</f>
        <v>0</v>
      </c>
      <c r="X1675" s="55">
        <f>VLOOKUP($E1675,'NI-Soc_SP'!$C:$AN,MID(X$1,1,2),FALSE)</f>
        <v>0</v>
      </c>
      <c r="Y1675" s="55">
        <f>VLOOKUP($E1675,'NI-Soc_SP'!$C:$AN,MID(Y$1,1,2),FALSE)</f>
        <v>0</v>
      </c>
      <c r="Z1675" s="55">
        <f>VLOOKUP($E1675,'NI-Soc_SP'!$C:$AN,MID(Z$1,1,2),FALSE)</f>
        <v>0</v>
      </c>
      <c r="AA1675" s="55">
        <f>VLOOKUP($E1675,'NI-Soc_SP'!$C:$AN,MID(AA$1,1,2),FALSE)</f>
        <v>0</v>
      </c>
      <c r="AB1675" s="55">
        <f>VLOOKUP($E1675,'NI-Soc_SP'!$C:$AN,MID(AB$1,1,2),FALSE)</f>
        <v>0</v>
      </c>
      <c r="AC1675" s="55">
        <f>VLOOKUP($E1675,'NI-Soc_SP'!$C:$AN,MID(AC$1,1,2),FALSE)</f>
        <v>0</v>
      </c>
      <c r="AD1675" s="55">
        <f>VLOOKUP($E1675,'NI-Soc_SP'!$C:$AN,MID(AD$1,1,2),FALSE)</f>
        <v>0</v>
      </c>
      <c r="AE1675" s="55">
        <f>VLOOKUP($E1675,'NI-Soc_SP'!$C:$AN,MID(AE$1,1,2),FALSE)</f>
        <v>0</v>
      </c>
      <c r="AF1675" s="55">
        <f>VLOOKUP($E1675,'NI-Soc_SP'!$C:$AN,MID(AF$1,1,2),FALSE)</f>
        <v>0</v>
      </c>
      <c r="AG1675" s="55">
        <f>VLOOKUP($E1675,'NI-Soc_SP'!$C:$AN,MID(AG$1,1,2),FALSE)</f>
        <v>0</v>
      </c>
      <c r="AH1675" s="55">
        <f>VLOOKUP($E1675,'NI-Soc_SP'!$C:$AN,MID(AH$1,1,2),FALSE)</f>
        <v>0</v>
      </c>
      <c r="AI1675" s="55">
        <f>VLOOKUP($E1675,'NI-Soc_SP'!$C:$AN,MID(AI$1,1,2),FALSE)</f>
        <v>0</v>
      </c>
      <c r="AJ1675" s="55">
        <f>VLOOKUP($E1675,'NI-Soc_SP'!$C:$AN,MID(AJ$1,1,2),FALSE)</f>
        <v>0</v>
      </c>
      <c r="AK1675" s="55">
        <f>VLOOKUP($E1675,'NI-Soc_SP'!$C:$AN,MID(AK$1,1,2),FALSE)</f>
        <v>0</v>
      </c>
      <c r="AL1675" s="55">
        <f>VLOOKUP($E1675,'NI-Soc_SP'!$C:$AN,MID(AL$1,1,2),FALSE)</f>
        <v>0</v>
      </c>
      <c r="AM1675" s="56">
        <f>VLOOKUP($E1675,'NI-Soc_SP'!$C:$AN,MID(AM$1,1,2),FALSE)</f>
        <v>0</v>
      </c>
      <c r="AN1675" s="30" t="str">
        <f t="shared" si="26"/>
        <v>10208010010010</v>
      </c>
    </row>
    <row r="1676" spans="3:40" x14ac:dyDescent="0.25">
      <c r="C1676" s="40"/>
      <c r="D1676" s="121" t="s">
        <v>866</v>
      </c>
      <c r="E1676" s="121" t="s">
        <v>867</v>
      </c>
      <c r="F1676" s="122" t="s">
        <v>2758</v>
      </c>
      <c r="G1676" s="52"/>
      <c r="H1676" s="52"/>
      <c r="I1676" s="52"/>
      <c r="J1676" s="52"/>
      <c r="K1676" s="59" t="s">
        <v>79</v>
      </c>
      <c r="L1676" s="52"/>
      <c r="M1676" s="52"/>
      <c r="N1676" s="52"/>
      <c r="O1676" s="52"/>
      <c r="P1676" s="64" t="s">
        <v>868</v>
      </c>
      <c r="Q1676" s="55">
        <f>VLOOKUP(E1676,'NI-Soc_SP'!$C:$AN,12,FALSE)</f>
        <v>0</v>
      </c>
      <c r="R1676" s="55">
        <f>VLOOKUP(E1676,'NI-Soc_SP'!$C:$AN,13,FALSE)</f>
        <v>0</v>
      </c>
      <c r="S1676" s="55"/>
      <c r="T1676" s="55"/>
      <c r="U1676" s="55">
        <f>VLOOKUP($E1676,'NI-Soc_SP'!$C:$AN,MID(U$1,1,2),FALSE)</f>
        <v>0</v>
      </c>
      <c r="V1676" s="55">
        <f>VLOOKUP($E1676,'NI-Soc_SP'!$C:$AN,MID(V$1,1,2),FALSE)</f>
        <v>0</v>
      </c>
      <c r="W1676" s="55">
        <f>VLOOKUP($E1676,'NI-Soc_SP'!$C:$AN,MID(W$1,1,2),FALSE)</f>
        <v>0</v>
      </c>
      <c r="X1676" s="55">
        <f>VLOOKUP($E1676,'NI-Soc_SP'!$C:$AN,MID(X$1,1,2),FALSE)</f>
        <v>0</v>
      </c>
      <c r="Y1676" s="55">
        <f>VLOOKUP($E1676,'NI-Soc_SP'!$C:$AN,MID(Y$1,1,2),FALSE)</f>
        <v>0</v>
      </c>
      <c r="Z1676" s="55">
        <f>VLOOKUP($E1676,'NI-Soc_SP'!$C:$AN,MID(Z$1,1,2),FALSE)</f>
        <v>0</v>
      </c>
      <c r="AA1676" s="55">
        <f>VLOOKUP($E1676,'NI-Soc_SP'!$C:$AN,MID(AA$1,1,2),FALSE)</f>
        <v>0</v>
      </c>
      <c r="AB1676" s="55">
        <f>VLOOKUP($E1676,'NI-Soc_SP'!$C:$AN,MID(AB$1,1,2),FALSE)</f>
        <v>0</v>
      </c>
      <c r="AC1676" s="55">
        <f>VLOOKUP($E1676,'NI-Soc_SP'!$C:$AN,MID(AC$1,1,2),FALSE)</f>
        <v>0</v>
      </c>
      <c r="AD1676" s="55">
        <f>VLOOKUP($E1676,'NI-Soc_SP'!$C:$AN,MID(AD$1,1,2),FALSE)</f>
        <v>0</v>
      </c>
      <c r="AE1676" s="55">
        <f>VLOOKUP($E1676,'NI-Soc_SP'!$C:$AN,MID(AE$1,1,2),FALSE)</f>
        <v>0</v>
      </c>
      <c r="AF1676" s="55">
        <f>VLOOKUP($E1676,'NI-Soc_SP'!$C:$AN,MID(AF$1,1,2),FALSE)</f>
        <v>0</v>
      </c>
      <c r="AG1676" s="55">
        <f>VLOOKUP($E1676,'NI-Soc_SP'!$C:$AN,MID(AG$1,1,2),FALSE)</f>
        <v>0</v>
      </c>
      <c r="AH1676" s="55">
        <f>VLOOKUP($E1676,'NI-Soc_SP'!$C:$AN,MID(AH$1,1,2),FALSE)</f>
        <v>0</v>
      </c>
      <c r="AI1676" s="55">
        <f>VLOOKUP($E1676,'NI-Soc_SP'!$C:$AN,MID(AI$1,1,2),FALSE)</f>
        <v>0</v>
      </c>
      <c r="AJ1676" s="55">
        <f>VLOOKUP($E1676,'NI-Soc_SP'!$C:$AN,MID(AJ$1,1,2),FALSE)</f>
        <v>0</v>
      </c>
      <c r="AK1676" s="55">
        <f>VLOOKUP($E1676,'NI-Soc_SP'!$C:$AN,MID(AK$1,1,2),FALSE)</f>
        <v>0</v>
      </c>
      <c r="AL1676" s="55">
        <f>VLOOKUP($E1676,'NI-Soc_SP'!$C:$AN,MID(AL$1,1,2),FALSE)</f>
        <v>0</v>
      </c>
      <c r="AM1676" s="56">
        <f>VLOOKUP($E1676,'NI-Soc_SP'!$C:$AN,MID(AM$1,1,2),FALSE)</f>
        <v>0</v>
      </c>
      <c r="AN1676" s="30" t="str">
        <f t="shared" si="26"/>
        <v>10208010010020</v>
      </c>
    </row>
    <row r="1677" spans="3:40" x14ac:dyDescent="0.25">
      <c r="C1677" s="40"/>
      <c r="D1677" s="121" t="s">
        <v>869</v>
      </c>
      <c r="E1677" s="121" t="s">
        <v>870</v>
      </c>
      <c r="F1677" s="122" t="s">
        <v>2758</v>
      </c>
      <c r="G1677" s="52"/>
      <c r="H1677" s="52"/>
      <c r="I1677" s="52"/>
      <c r="J1677" s="52"/>
      <c r="K1677" s="59" t="s">
        <v>79</v>
      </c>
      <c r="L1677" s="52"/>
      <c r="M1677" s="52"/>
      <c r="N1677" s="52"/>
      <c r="O1677" s="52"/>
      <c r="P1677" s="66" t="s">
        <v>871</v>
      </c>
      <c r="Q1677" s="55">
        <f>VLOOKUP(E1677,'NI-Soc_SP'!$C:$AN,12,FALSE)</f>
        <v>0</v>
      </c>
      <c r="R1677" s="55">
        <f>VLOOKUP(E1677,'NI-Soc_SP'!$C:$AN,13,FALSE)</f>
        <v>0</v>
      </c>
      <c r="S1677" s="55"/>
      <c r="T1677" s="55"/>
      <c r="U1677" s="55">
        <f>VLOOKUP($E1677,'NI-Soc_SP'!$C:$AN,MID(U$1,1,2),FALSE)</f>
        <v>0</v>
      </c>
      <c r="V1677" s="55">
        <f>VLOOKUP($E1677,'NI-Soc_SP'!$C:$AN,MID(V$1,1,2),FALSE)</f>
        <v>0</v>
      </c>
      <c r="W1677" s="55">
        <f>VLOOKUP($E1677,'NI-Soc_SP'!$C:$AN,MID(W$1,1,2),FALSE)</f>
        <v>0</v>
      </c>
      <c r="X1677" s="55">
        <f>VLOOKUP($E1677,'NI-Soc_SP'!$C:$AN,MID(X$1,1,2),FALSE)</f>
        <v>0</v>
      </c>
      <c r="Y1677" s="55">
        <f>VLOOKUP($E1677,'NI-Soc_SP'!$C:$AN,MID(Y$1,1,2),FALSE)</f>
        <v>0</v>
      </c>
      <c r="Z1677" s="55">
        <f>VLOOKUP($E1677,'NI-Soc_SP'!$C:$AN,MID(Z$1,1,2),FALSE)</f>
        <v>0</v>
      </c>
      <c r="AA1677" s="55">
        <f>VLOOKUP($E1677,'NI-Soc_SP'!$C:$AN,MID(AA$1,1,2),FALSE)</f>
        <v>0</v>
      </c>
      <c r="AB1677" s="55">
        <f>VLOOKUP($E1677,'NI-Soc_SP'!$C:$AN,MID(AB$1,1,2),FALSE)</f>
        <v>0</v>
      </c>
      <c r="AC1677" s="55">
        <f>VLOOKUP($E1677,'NI-Soc_SP'!$C:$AN,MID(AC$1,1,2),FALSE)</f>
        <v>0</v>
      </c>
      <c r="AD1677" s="55">
        <f>VLOOKUP($E1677,'NI-Soc_SP'!$C:$AN,MID(AD$1,1,2),FALSE)</f>
        <v>0</v>
      </c>
      <c r="AE1677" s="55">
        <f>VLOOKUP($E1677,'NI-Soc_SP'!$C:$AN,MID(AE$1,1,2),FALSE)</f>
        <v>0</v>
      </c>
      <c r="AF1677" s="55">
        <f>VLOOKUP($E1677,'NI-Soc_SP'!$C:$AN,MID(AF$1,1,2),FALSE)</f>
        <v>0</v>
      </c>
      <c r="AG1677" s="55">
        <f>VLOOKUP($E1677,'NI-Soc_SP'!$C:$AN,MID(AG$1,1,2),FALSE)</f>
        <v>0</v>
      </c>
      <c r="AH1677" s="55">
        <f>VLOOKUP($E1677,'NI-Soc_SP'!$C:$AN,MID(AH$1,1,2),FALSE)</f>
        <v>0</v>
      </c>
      <c r="AI1677" s="55">
        <f>VLOOKUP($E1677,'NI-Soc_SP'!$C:$AN,MID(AI$1,1,2),FALSE)</f>
        <v>0</v>
      </c>
      <c r="AJ1677" s="55">
        <f>VLOOKUP($E1677,'NI-Soc_SP'!$C:$AN,MID(AJ$1,1,2),FALSE)</f>
        <v>0</v>
      </c>
      <c r="AK1677" s="55">
        <f>VLOOKUP($E1677,'NI-Soc_SP'!$C:$AN,MID(AK$1,1,2),FALSE)</f>
        <v>0</v>
      </c>
      <c r="AL1677" s="55">
        <f>VLOOKUP($E1677,'NI-Soc_SP'!$C:$AN,MID(AL$1,1,2),FALSE)</f>
        <v>0</v>
      </c>
      <c r="AM1677" s="56">
        <f>VLOOKUP($E1677,'NI-Soc_SP'!$C:$AN,MID(AM$1,1,2),FALSE)</f>
        <v>0</v>
      </c>
      <c r="AN1677" s="30" t="str">
        <f t="shared" si="26"/>
        <v>10208010020010</v>
      </c>
    </row>
    <row r="1678" spans="3:40" x14ac:dyDescent="0.25">
      <c r="C1678" s="40"/>
      <c r="D1678" s="121" t="s">
        <v>872</v>
      </c>
      <c r="E1678" s="121" t="s">
        <v>873</v>
      </c>
      <c r="F1678" s="122" t="s">
        <v>2758</v>
      </c>
      <c r="G1678" s="52"/>
      <c r="H1678" s="52"/>
      <c r="I1678" s="52"/>
      <c r="J1678" s="52"/>
      <c r="K1678" s="59" t="s">
        <v>79</v>
      </c>
      <c r="L1678" s="52"/>
      <c r="M1678" s="52"/>
      <c r="N1678" s="52"/>
      <c r="O1678" s="52"/>
      <c r="P1678" s="66" t="s">
        <v>874</v>
      </c>
      <c r="Q1678" s="55">
        <f>VLOOKUP(E1678,'NI-Soc_SP'!$C:$AN,12,FALSE)</f>
        <v>0</v>
      </c>
      <c r="R1678" s="55">
        <f>VLOOKUP(E1678,'NI-Soc_SP'!$C:$AN,13,FALSE)</f>
        <v>0</v>
      </c>
      <c r="S1678" s="55"/>
      <c r="T1678" s="55"/>
      <c r="U1678" s="55">
        <f>VLOOKUP($E1678,'NI-Soc_SP'!$C:$AN,MID(U$1,1,2),FALSE)</f>
        <v>0</v>
      </c>
      <c r="V1678" s="55">
        <f>VLOOKUP($E1678,'NI-Soc_SP'!$C:$AN,MID(V$1,1,2),FALSE)</f>
        <v>0</v>
      </c>
      <c r="W1678" s="55">
        <f>VLOOKUP($E1678,'NI-Soc_SP'!$C:$AN,MID(W$1,1,2),FALSE)</f>
        <v>0</v>
      </c>
      <c r="X1678" s="55">
        <f>VLOOKUP($E1678,'NI-Soc_SP'!$C:$AN,MID(X$1,1,2),FALSE)</f>
        <v>0</v>
      </c>
      <c r="Y1678" s="55">
        <f>VLOOKUP($E1678,'NI-Soc_SP'!$C:$AN,MID(Y$1,1,2),FALSE)</f>
        <v>0</v>
      </c>
      <c r="Z1678" s="55">
        <f>VLOOKUP($E1678,'NI-Soc_SP'!$C:$AN,MID(Z$1,1,2),FALSE)</f>
        <v>0</v>
      </c>
      <c r="AA1678" s="55">
        <f>VLOOKUP($E1678,'NI-Soc_SP'!$C:$AN,MID(AA$1,1,2),FALSE)</f>
        <v>0</v>
      </c>
      <c r="AB1678" s="55">
        <f>VLOOKUP($E1678,'NI-Soc_SP'!$C:$AN,MID(AB$1,1,2),FALSE)</f>
        <v>0</v>
      </c>
      <c r="AC1678" s="55">
        <f>VLOOKUP($E1678,'NI-Soc_SP'!$C:$AN,MID(AC$1,1,2),FALSE)</f>
        <v>0</v>
      </c>
      <c r="AD1678" s="55">
        <f>VLOOKUP($E1678,'NI-Soc_SP'!$C:$AN,MID(AD$1,1,2),FALSE)</f>
        <v>0</v>
      </c>
      <c r="AE1678" s="55">
        <f>VLOOKUP($E1678,'NI-Soc_SP'!$C:$AN,MID(AE$1,1,2),FALSE)</f>
        <v>0</v>
      </c>
      <c r="AF1678" s="55">
        <f>VLOOKUP($E1678,'NI-Soc_SP'!$C:$AN,MID(AF$1,1,2),FALSE)</f>
        <v>0</v>
      </c>
      <c r="AG1678" s="55">
        <f>VLOOKUP($E1678,'NI-Soc_SP'!$C:$AN,MID(AG$1,1,2),FALSE)</f>
        <v>0</v>
      </c>
      <c r="AH1678" s="55">
        <f>VLOOKUP($E1678,'NI-Soc_SP'!$C:$AN,MID(AH$1,1,2),FALSE)</f>
        <v>0</v>
      </c>
      <c r="AI1678" s="55">
        <f>VLOOKUP($E1678,'NI-Soc_SP'!$C:$AN,MID(AI$1,1,2),FALSE)</f>
        <v>0</v>
      </c>
      <c r="AJ1678" s="55">
        <f>VLOOKUP($E1678,'NI-Soc_SP'!$C:$AN,MID(AJ$1,1,2),FALSE)</f>
        <v>0</v>
      </c>
      <c r="AK1678" s="55">
        <f>VLOOKUP($E1678,'NI-Soc_SP'!$C:$AN,MID(AK$1,1,2),FALSE)</f>
        <v>0</v>
      </c>
      <c r="AL1678" s="55">
        <f>VLOOKUP($E1678,'NI-Soc_SP'!$C:$AN,MID(AL$1,1,2),FALSE)</f>
        <v>0</v>
      </c>
      <c r="AM1678" s="56">
        <f>VLOOKUP($E1678,'NI-Soc_SP'!$C:$AN,MID(AM$1,1,2),FALSE)</f>
        <v>0</v>
      </c>
      <c r="AN1678" s="30" t="str">
        <f t="shared" si="26"/>
        <v>10208010020020</v>
      </c>
    </row>
    <row r="1679" spans="3:40" x14ac:dyDescent="0.25">
      <c r="C1679" s="40"/>
      <c r="D1679" s="121" t="s">
        <v>875</v>
      </c>
      <c r="E1679" s="121" t="s">
        <v>876</v>
      </c>
      <c r="F1679" s="122" t="s">
        <v>2758</v>
      </c>
      <c r="G1679" s="52"/>
      <c r="H1679" s="52"/>
      <c r="I1679" s="52"/>
      <c r="J1679" s="52"/>
      <c r="K1679" s="59" t="s">
        <v>79</v>
      </c>
      <c r="L1679" s="52"/>
      <c r="M1679" s="52"/>
      <c r="N1679" s="52"/>
      <c r="O1679" s="52"/>
      <c r="P1679" s="66" t="s">
        <v>877</v>
      </c>
      <c r="Q1679" s="55">
        <f>VLOOKUP(E1679,'NI-Soc_SP'!$C:$AN,12,FALSE)</f>
        <v>0</v>
      </c>
      <c r="R1679" s="55">
        <f>VLOOKUP(E1679,'NI-Soc_SP'!$C:$AN,13,FALSE)</f>
        <v>0</v>
      </c>
      <c r="S1679" s="55"/>
      <c r="T1679" s="55"/>
      <c r="U1679" s="55">
        <f>VLOOKUP($E1679,'NI-Soc_SP'!$C:$AN,MID(U$1,1,2),FALSE)</f>
        <v>0</v>
      </c>
      <c r="V1679" s="55">
        <f>VLOOKUP($E1679,'NI-Soc_SP'!$C:$AN,MID(V$1,1,2),FALSE)</f>
        <v>0</v>
      </c>
      <c r="W1679" s="55">
        <f>VLOOKUP($E1679,'NI-Soc_SP'!$C:$AN,MID(W$1,1,2),FALSE)</f>
        <v>0</v>
      </c>
      <c r="X1679" s="55">
        <f>VLOOKUP($E1679,'NI-Soc_SP'!$C:$AN,MID(X$1,1,2),FALSE)</f>
        <v>0</v>
      </c>
      <c r="Y1679" s="55">
        <f>VLOOKUP($E1679,'NI-Soc_SP'!$C:$AN,MID(Y$1,1,2),FALSE)</f>
        <v>0</v>
      </c>
      <c r="Z1679" s="55">
        <f>VLOOKUP($E1679,'NI-Soc_SP'!$C:$AN,MID(Z$1,1,2),FALSE)</f>
        <v>0</v>
      </c>
      <c r="AA1679" s="55">
        <f>VLOOKUP($E1679,'NI-Soc_SP'!$C:$AN,MID(AA$1,1,2),FALSE)</f>
        <v>0</v>
      </c>
      <c r="AB1679" s="55">
        <f>VLOOKUP($E1679,'NI-Soc_SP'!$C:$AN,MID(AB$1,1,2),FALSE)</f>
        <v>0</v>
      </c>
      <c r="AC1679" s="55">
        <f>VLOOKUP($E1679,'NI-Soc_SP'!$C:$AN,MID(AC$1,1,2),FALSE)</f>
        <v>0</v>
      </c>
      <c r="AD1679" s="55">
        <f>VLOOKUP($E1679,'NI-Soc_SP'!$C:$AN,MID(AD$1,1,2),FALSE)</f>
        <v>0</v>
      </c>
      <c r="AE1679" s="55">
        <f>VLOOKUP($E1679,'NI-Soc_SP'!$C:$AN,MID(AE$1,1,2),FALSE)</f>
        <v>0</v>
      </c>
      <c r="AF1679" s="55">
        <f>VLOOKUP($E1679,'NI-Soc_SP'!$C:$AN,MID(AF$1,1,2),FALSE)</f>
        <v>0</v>
      </c>
      <c r="AG1679" s="55">
        <f>VLOOKUP($E1679,'NI-Soc_SP'!$C:$AN,MID(AG$1,1,2),FALSE)</f>
        <v>0</v>
      </c>
      <c r="AH1679" s="55">
        <f>VLOOKUP($E1679,'NI-Soc_SP'!$C:$AN,MID(AH$1,1,2),FALSE)</f>
        <v>0</v>
      </c>
      <c r="AI1679" s="55">
        <f>VLOOKUP($E1679,'NI-Soc_SP'!$C:$AN,MID(AI$1,1,2),FALSE)</f>
        <v>0</v>
      </c>
      <c r="AJ1679" s="55">
        <f>VLOOKUP($E1679,'NI-Soc_SP'!$C:$AN,MID(AJ$1,1,2),FALSE)</f>
        <v>0</v>
      </c>
      <c r="AK1679" s="55">
        <f>VLOOKUP($E1679,'NI-Soc_SP'!$C:$AN,MID(AK$1,1,2),FALSE)</f>
        <v>0</v>
      </c>
      <c r="AL1679" s="55">
        <f>VLOOKUP($E1679,'NI-Soc_SP'!$C:$AN,MID(AL$1,1,2),FALSE)</f>
        <v>0</v>
      </c>
      <c r="AM1679" s="56">
        <f>VLOOKUP($E1679,'NI-Soc_SP'!$C:$AN,MID(AM$1,1,2),FALSE)</f>
        <v>0</v>
      </c>
      <c r="AN1679" s="30" t="str">
        <f t="shared" si="26"/>
        <v>10208010030010</v>
      </c>
    </row>
    <row r="1680" spans="3:40" x14ac:dyDescent="0.25">
      <c r="C1680" s="40"/>
      <c r="D1680" s="121" t="s">
        <v>878</v>
      </c>
      <c r="E1680" s="121" t="s">
        <v>879</v>
      </c>
      <c r="F1680" s="122" t="s">
        <v>2758</v>
      </c>
      <c r="G1680" s="52"/>
      <c r="H1680" s="52"/>
      <c r="I1680" s="52"/>
      <c r="J1680" s="52"/>
      <c r="K1680" s="59" t="s">
        <v>79</v>
      </c>
      <c r="L1680" s="52"/>
      <c r="M1680" s="52"/>
      <c r="N1680" s="52"/>
      <c r="O1680" s="52"/>
      <c r="P1680" s="66" t="s">
        <v>880</v>
      </c>
      <c r="Q1680" s="55">
        <f>VLOOKUP(E1680,'NI-Soc_SP'!$C:$AN,12,FALSE)</f>
        <v>0</v>
      </c>
      <c r="R1680" s="55">
        <f>VLOOKUP(E1680,'NI-Soc_SP'!$C:$AN,13,FALSE)</f>
        <v>0</v>
      </c>
      <c r="S1680" s="55"/>
      <c r="T1680" s="55"/>
      <c r="U1680" s="55">
        <f>VLOOKUP($E1680,'NI-Soc_SP'!$C:$AN,MID(U$1,1,2),FALSE)</f>
        <v>0</v>
      </c>
      <c r="V1680" s="55">
        <f>VLOOKUP($E1680,'NI-Soc_SP'!$C:$AN,MID(V$1,1,2),FALSE)</f>
        <v>0</v>
      </c>
      <c r="W1680" s="55">
        <f>VLOOKUP($E1680,'NI-Soc_SP'!$C:$AN,MID(W$1,1,2),FALSE)</f>
        <v>0</v>
      </c>
      <c r="X1680" s="55">
        <f>VLOOKUP($E1680,'NI-Soc_SP'!$C:$AN,MID(X$1,1,2),FALSE)</f>
        <v>0</v>
      </c>
      <c r="Y1680" s="55">
        <f>VLOOKUP($E1680,'NI-Soc_SP'!$C:$AN,MID(Y$1,1,2),FALSE)</f>
        <v>0</v>
      </c>
      <c r="Z1680" s="55">
        <f>VLOOKUP($E1680,'NI-Soc_SP'!$C:$AN,MID(Z$1,1,2),FALSE)</f>
        <v>0</v>
      </c>
      <c r="AA1680" s="55">
        <f>VLOOKUP($E1680,'NI-Soc_SP'!$C:$AN,MID(AA$1,1,2),FALSE)</f>
        <v>0</v>
      </c>
      <c r="AB1680" s="55">
        <f>VLOOKUP($E1680,'NI-Soc_SP'!$C:$AN,MID(AB$1,1,2),FALSE)</f>
        <v>0</v>
      </c>
      <c r="AC1680" s="55">
        <f>VLOOKUP($E1680,'NI-Soc_SP'!$C:$AN,MID(AC$1,1,2),FALSE)</f>
        <v>0</v>
      </c>
      <c r="AD1680" s="55">
        <f>VLOOKUP($E1680,'NI-Soc_SP'!$C:$AN,MID(AD$1,1,2),FALSE)</f>
        <v>0</v>
      </c>
      <c r="AE1680" s="55">
        <f>VLOOKUP($E1680,'NI-Soc_SP'!$C:$AN,MID(AE$1,1,2),FALSE)</f>
        <v>0</v>
      </c>
      <c r="AF1680" s="55">
        <f>VLOOKUP($E1680,'NI-Soc_SP'!$C:$AN,MID(AF$1,1,2),FALSE)</f>
        <v>0</v>
      </c>
      <c r="AG1680" s="55">
        <f>VLOOKUP($E1680,'NI-Soc_SP'!$C:$AN,MID(AG$1,1,2),FALSE)</f>
        <v>0</v>
      </c>
      <c r="AH1680" s="55">
        <f>VLOOKUP($E1680,'NI-Soc_SP'!$C:$AN,MID(AH$1,1,2),FALSE)</f>
        <v>0</v>
      </c>
      <c r="AI1680" s="55">
        <f>VLOOKUP($E1680,'NI-Soc_SP'!$C:$AN,MID(AI$1,1,2),FALSE)</f>
        <v>0</v>
      </c>
      <c r="AJ1680" s="55">
        <f>VLOOKUP($E1680,'NI-Soc_SP'!$C:$AN,MID(AJ$1,1,2),FALSE)</f>
        <v>0</v>
      </c>
      <c r="AK1680" s="55">
        <f>VLOOKUP($E1680,'NI-Soc_SP'!$C:$AN,MID(AK$1,1,2),FALSE)</f>
        <v>0</v>
      </c>
      <c r="AL1680" s="55">
        <f>VLOOKUP($E1680,'NI-Soc_SP'!$C:$AN,MID(AL$1,1,2),FALSE)</f>
        <v>0</v>
      </c>
      <c r="AM1680" s="56">
        <f>VLOOKUP($E1680,'NI-Soc_SP'!$C:$AN,MID(AM$1,1,2),FALSE)</f>
        <v>0</v>
      </c>
      <c r="AN1680" s="30" t="str">
        <f t="shared" si="26"/>
        <v>10208010030020</v>
      </c>
    </row>
    <row r="1681" spans="3:40" x14ac:dyDescent="0.25">
      <c r="C1681" s="40"/>
      <c r="D1681" s="121" t="s">
        <v>881</v>
      </c>
      <c r="E1681" s="121" t="s">
        <v>882</v>
      </c>
      <c r="F1681" s="122" t="s">
        <v>2758</v>
      </c>
      <c r="G1681" s="52"/>
      <c r="H1681" s="52"/>
      <c r="I1681" s="52"/>
      <c r="J1681" s="52"/>
      <c r="K1681" s="59" t="s">
        <v>79</v>
      </c>
      <c r="L1681" s="52"/>
      <c r="M1681" s="52"/>
      <c r="N1681" s="52"/>
      <c r="O1681" s="52"/>
      <c r="P1681" s="64" t="s">
        <v>883</v>
      </c>
      <c r="Q1681" s="55">
        <f>VLOOKUP(E1681,'NI-Soc_SP'!$C:$AN,12,FALSE)</f>
        <v>0</v>
      </c>
      <c r="R1681" s="55">
        <f>VLOOKUP(E1681,'NI-Soc_SP'!$C:$AN,13,FALSE)</f>
        <v>0</v>
      </c>
      <c r="S1681" s="55"/>
      <c r="T1681" s="55"/>
      <c r="U1681" s="55">
        <f>VLOOKUP($E1681,'NI-Soc_SP'!$C:$AN,MID(U$1,1,2),FALSE)</f>
        <v>0</v>
      </c>
      <c r="V1681" s="55">
        <f>VLOOKUP($E1681,'NI-Soc_SP'!$C:$AN,MID(V$1,1,2),FALSE)</f>
        <v>0</v>
      </c>
      <c r="W1681" s="55">
        <f>VLOOKUP($E1681,'NI-Soc_SP'!$C:$AN,MID(W$1,1,2),FALSE)</f>
        <v>0</v>
      </c>
      <c r="X1681" s="55">
        <f>VLOOKUP($E1681,'NI-Soc_SP'!$C:$AN,MID(X$1,1,2),FALSE)</f>
        <v>0</v>
      </c>
      <c r="Y1681" s="55">
        <f>VLOOKUP($E1681,'NI-Soc_SP'!$C:$AN,MID(Y$1,1,2),FALSE)</f>
        <v>0</v>
      </c>
      <c r="Z1681" s="55">
        <f>VLOOKUP($E1681,'NI-Soc_SP'!$C:$AN,MID(Z$1,1,2),FALSE)</f>
        <v>0</v>
      </c>
      <c r="AA1681" s="55">
        <f>VLOOKUP($E1681,'NI-Soc_SP'!$C:$AN,MID(AA$1,1,2),FALSE)</f>
        <v>0</v>
      </c>
      <c r="AB1681" s="55">
        <f>VLOOKUP($E1681,'NI-Soc_SP'!$C:$AN,MID(AB$1,1,2),FALSE)</f>
        <v>0</v>
      </c>
      <c r="AC1681" s="55">
        <f>VLOOKUP($E1681,'NI-Soc_SP'!$C:$AN,MID(AC$1,1,2),FALSE)</f>
        <v>0</v>
      </c>
      <c r="AD1681" s="55">
        <f>VLOOKUP($E1681,'NI-Soc_SP'!$C:$AN,MID(AD$1,1,2),FALSE)</f>
        <v>0</v>
      </c>
      <c r="AE1681" s="55">
        <f>VLOOKUP($E1681,'NI-Soc_SP'!$C:$AN,MID(AE$1,1,2),FALSE)</f>
        <v>0</v>
      </c>
      <c r="AF1681" s="55">
        <f>VLOOKUP($E1681,'NI-Soc_SP'!$C:$AN,MID(AF$1,1,2),FALSE)</f>
        <v>0</v>
      </c>
      <c r="AG1681" s="55">
        <f>VLOOKUP($E1681,'NI-Soc_SP'!$C:$AN,MID(AG$1,1,2),FALSE)</f>
        <v>0</v>
      </c>
      <c r="AH1681" s="55">
        <f>VLOOKUP($E1681,'NI-Soc_SP'!$C:$AN,MID(AH$1,1,2),FALSE)</f>
        <v>0</v>
      </c>
      <c r="AI1681" s="55">
        <f>VLOOKUP($E1681,'NI-Soc_SP'!$C:$AN,MID(AI$1,1,2),FALSE)</f>
        <v>0</v>
      </c>
      <c r="AJ1681" s="55">
        <f>VLOOKUP($E1681,'NI-Soc_SP'!$C:$AN,MID(AJ$1,1,2),FALSE)</f>
        <v>0</v>
      </c>
      <c r="AK1681" s="55">
        <f>VLOOKUP($E1681,'NI-Soc_SP'!$C:$AN,MID(AK$1,1,2),FALSE)</f>
        <v>0</v>
      </c>
      <c r="AL1681" s="55">
        <f>VLOOKUP($E1681,'NI-Soc_SP'!$C:$AN,MID(AL$1,1,2),FALSE)</f>
        <v>0</v>
      </c>
      <c r="AM1681" s="56">
        <f>VLOOKUP($E1681,'NI-Soc_SP'!$C:$AN,MID(AM$1,1,2),FALSE)</f>
        <v>0</v>
      </c>
      <c r="AN1681" s="30" t="str">
        <f t="shared" si="26"/>
        <v>10208010040010</v>
      </c>
    </row>
    <row r="1682" spans="3:40" x14ac:dyDescent="0.25">
      <c r="C1682" s="40"/>
      <c r="D1682" s="121" t="s">
        <v>884</v>
      </c>
      <c r="E1682" s="121" t="s">
        <v>885</v>
      </c>
      <c r="F1682" s="122" t="s">
        <v>2758</v>
      </c>
      <c r="G1682" s="52"/>
      <c r="H1682" s="52"/>
      <c r="I1682" s="52"/>
      <c r="J1682" s="52"/>
      <c r="K1682" s="59" t="s">
        <v>79</v>
      </c>
      <c r="L1682" s="52"/>
      <c r="M1682" s="52"/>
      <c r="N1682" s="52"/>
      <c r="O1682" s="52"/>
      <c r="P1682" s="64" t="s">
        <v>886</v>
      </c>
      <c r="Q1682" s="55">
        <f>VLOOKUP(E1682,'NI-Soc_SP'!$C:$AN,12,FALSE)</f>
        <v>0</v>
      </c>
      <c r="R1682" s="55">
        <f>VLOOKUP(E1682,'NI-Soc_SP'!$C:$AN,13,FALSE)</f>
        <v>0</v>
      </c>
      <c r="S1682" s="55"/>
      <c r="T1682" s="55"/>
      <c r="U1682" s="55">
        <f>VLOOKUP($E1682,'NI-Soc_SP'!$C:$AN,MID(U$1,1,2),FALSE)</f>
        <v>0</v>
      </c>
      <c r="V1682" s="55">
        <f>VLOOKUP($E1682,'NI-Soc_SP'!$C:$AN,MID(V$1,1,2),FALSE)</f>
        <v>0</v>
      </c>
      <c r="W1682" s="55">
        <f>VLOOKUP($E1682,'NI-Soc_SP'!$C:$AN,MID(W$1,1,2),FALSE)</f>
        <v>0</v>
      </c>
      <c r="X1682" s="55">
        <f>VLOOKUP($E1682,'NI-Soc_SP'!$C:$AN,MID(X$1,1,2),FALSE)</f>
        <v>0</v>
      </c>
      <c r="Y1682" s="55">
        <f>VLOOKUP($E1682,'NI-Soc_SP'!$C:$AN,MID(Y$1,1,2),FALSE)</f>
        <v>0</v>
      </c>
      <c r="Z1682" s="55">
        <f>VLOOKUP($E1682,'NI-Soc_SP'!$C:$AN,MID(Z$1,1,2),FALSE)</f>
        <v>0</v>
      </c>
      <c r="AA1682" s="55">
        <f>VLOOKUP($E1682,'NI-Soc_SP'!$C:$AN,MID(AA$1,1,2),FALSE)</f>
        <v>0</v>
      </c>
      <c r="AB1682" s="55">
        <f>VLOOKUP($E1682,'NI-Soc_SP'!$C:$AN,MID(AB$1,1,2),FALSE)</f>
        <v>0</v>
      </c>
      <c r="AC1682" s="55">
        <f>VLOOKUP($E1682,'NI-Soc_SP'!$C:$AN,MID(AC$1,1,2),FALSE)</f>
        <v>0</v>
      </c>
      <c r="AD1682" s="55">
        <f>VLOOKUP($E1682,'NI-Soc_SP'!$C:$AN,MID(AD$1,1,2),FALSE)</f>
        <v>0</v>
      </c>
      <c r="AE1682" s="55">
        <f>VLOOKUP($E1682,'NI-Soc_SP'!$C:$AN,MID(AE$1,1,2),FALSE)</f>
        <v>0</v>
      </c>
      <c r="AF1682" s="55">
        <f>VLOOKUP($E1682,'NI-Soc_SP'!$C:$AN,MID(AF$1,1,2),FALSE)</f>
        <v>0</v>
      </c>
      <c r="AG1682" s="55">
        <f>VLOOKUP($E1682,'NI-Soc_SP'!$C:$AN,MID(AG$1,1,2),FALSE)</f>
        <v>0</v>
      </c>
      <c r="AH1682" s="55">
        <f>VLOOKUP($E1682,'NI-Soc_SP'!$C:$AN,MID(AH$1,1,2),FALSE)</f>
        <v>0</v>
      </c>
      <c r="AI1682" s="55">
        <f>VLOOKUP($E1682,'NI-Soc_SP'!$C:$AN,MID(AI$1,1,2),FALSE)</f>
        <v>0</v>
      </c>
      <c r="AJ1682" s="55">
        <f>VLOOKUP($E1682,'NI-Soc_SP'!$C:$AN,MID(AJ$1,1,2),FALSE)</f>
        <v>0</v>
      </c>
      <c r="AK1682" s="55">
        <f>VLOOKUP($E1682,'NI-Soc_SP'!$C:$AN,MID(AK$1,1,2),FALSE)</f>
        <v>0</v>
      </c>
      <c r="AL1682" s="55">
        <f>VLOOKUP($E1682,'NI-Soc_SP'!$C:$AN,MID(AL$1,1,2),FALSE)</f>
        <v>0</v>
      </c>
      <c r="AM1682" s="56">
        <f>VLOOKUP($E1682,'NI-Soc_SP'!$C:$AN,MID(AM$1,1,2),FALSE)</f>
        <v>0</v>
      </c>
      <c r="AN1682" s="30" t="str">
        <f t="shared" si="26"/>
        <v>10208010040020</v>
      </c>
    </row>
    <row r="1683" spans="3:40" x14ac:dyDescent="0.25">
      <c r="C1683" s="40"/>
      <c r="D1683" s="121" t="s">
        <v>887</v>
      </c>
      <c r="E1683" s="121" t="s">
        <v>888</v>
      </c>
      <c r="F1683" s="122" t="s">
        <v>2758</v>
      </c>
      <c r="G1683" s="52"/>
      <c r="H1683" s="52"/>
      <c r="I1683" s="52"/>
      <c r="J1683" s="52"/>
      <c r="K1683" s="59" t="s">
        <v>79</v>
      </c>
      <c r="L1683" s="52"/>
      <c r="M1683" s="52"/>
      <c r="N1683" s="52"/>
      <c r="O1683" s="52"/>
      <c r="P1683" s="64" t="s">
        <v>889</v>
      </c>
      <c r="Q1683" s="55">
        <f>VLOOKUP(E1683,'NI-Soc_SP'!$C:$AN,12,FALSE)</f>
        <v>0</v>
      </c>
      <c r="R1683" s="55">
        <f>VLOOKUP(E1683,'NI-Soc_SP'!$C:$AN,13,FALSE)</f>
        <v>0</v>
      </c>
      <c r="S1683" s="55"/>
      <c r="T1683" s="55"/>
      <c r="U1683" s="55">
        <f>VLOOKUP($E1683,'NI-Soc_SP'!$C:$AN,MID(U$1,1,2),FALSE)</f>
        <v>0</v>
      </c>
      <c r="V1683" s="55">
        <f>VLOOKUP($E1683,'NI-Soc_SP'!$C:$AN,MID(V$1,1,2),FALSE)</f>
        <v>0</v>
      </c>
      <c r="W1683" s="55">
        <f>VLOOKUP($E1683,'NI-Soc_SP'!$C:$AN,MID(W$1,1,2),FALSE)</f>
        <v>0</v>
      </c>
      <c r="X1683" s="55">
        <f>VLOOKUP($E1683,'NI-Soc_SP'!$C:$AN,MID(X$1,1,2),FALSE)</f>
        <v>0</v>
      </c>
      <c r="Y1683" s="55">
        <f>VLOOKUP($E1683,'NI-Soc_SP'!$C:$AN,MID(Y$1,1,2),FALSE)</f>
        <v>0</v>
      </c>
      <c r="Z1683" s="55">
        <f>VLOOKUP($E1683,'NI-Soc_SP'!$C:$AN,MID(Z$1,1,2),FALSE)</f>
        <v>0</v>
      </c>
      <c r="AA1683" s="55">
        <f>VLOOKUP($E1683,'NI-Soc_SP'!$C:$AN,MID(AA$1,1,2),FALSE)</f>
        <v>0</v>
      </c>
      <c r="AB1683" s="55">
        <f>VLOOKUP($E1683,'NI-Soc_SP'!$C:$AN,MID(AB$1,1,2),FALSE)</f>
        <v>0</v>
      </c>
      <c r="AC1683" s="55">
        <f>VLOOKUP($E1683,'NI-Soc_SP'!$C:$AN,MID(AC$1,1,2),FALSE)</f>
        <v>0</v>
      </c>
      <c r="AD1683" s="55">
        <f>VLOOKUP($E1683,'NI-Soc_SP'!$C:$AN,MID(AD$1,1,2),FALSE)</f>
        <v>0</v>
      </c>
      <c r="AE1683" s="55">
        <f>VLOOKUP($E1683,'NI-Soc_SP'!$C:$AN,MID(AE$1,1,2),FALSE)</f>
        <v>0</v>
      </c>
      <c r="AF1683" s="55">
        <f>VLOOKUP($E1683,'NI-Soc_SP'!$C:$AN,MID(AF$1,1,2),FALSE)</f>
        <v>0</v>
      </c>
      <c r="AG1683" s="55">
        <f>VLOOKUP($E1683,'NI-Soc_SP'!$C:$AN,MID(AG$1,1,2),FALSE)</f>
        <v>0</v>
      </c>
      <c r="AH1683" s="55">
        <f>VLOOKUP($E1683,'NI-Soc_SP'!$C:$AN,MID(AH$1,1,2),FALSE)</f>
        <v>0</v>
      </c>
      <c r="AI1683" s="55">
        <f>VLOOKUP($E1683,'NI-Soc_SP'!$C:$AN,MID(AI$1,1,2),FALSE)</f>
        <v>0</v>
      </c>
      <c r="AJ1683" s="55">
        <f>VLOOKUP($E1683,'NI-Soc_SP'!$C:$AN,MID(AJ$1,1,2),FALSE)</f>
        <v>0</v>
      </c>
      <c r="AK1683" s="55">
        <f>VLOOKUP($E1683,'NI-Soc_SP'!$C:$AN,MID(AK$1,1,2),FALSE)</f>
        <v>0</v>
      </c>
      <c r="AL1683" s="55">
        <f>VLOOKUP($E1683,'NI-Soc_SP'!$C:$AN,MID(AL$1,1,2),FALSE)</f>
        <v>0</v>
      </c>
      <c r="AM1683" s="56">
        <f>VLOOKUP($E1683,'NI-Soc_SP'!$C:$AN,MID(AM$1,1,2),FALSE)</f>
        <v>0</v>
      </c>
      <c r="AN1683" s="30" t="str">
        <f t="shared" si="26"/>
        <v>10208010050010</v>
      </c>
    </row>
    <row r="1684" spans="3:40" x14ac:dyDescent="0.25">
      <c r="C1684" s="40"/>
      <c r="D1684" s="121" t="s">
        <v>890</v>
      </c>
      <c r="E1684" s="121" t="s">
        <v>891</v>
      </c>
      <c r="F1684" s="122" t="s">
        <v>2758</v>
      </c>
      <c r="G1684" s="52"/>
      <c r="H1684" s="52"/>
      <c r="I1684" s="52"/>
      <c r="J1684" s="52"/>
      <c r="K1684" s="59" t="s">
        <v>79</v>
      </c>
      <c r="L1684" s="52"/>
      <c r="M1684" s="52"/>
      <c r="N1684" s="52"/>
      <c r="O1684" s="52"/>
      <c r="P1684" s="64" t="s">
        <v>892</v>
      </c>
      <c r="Q1684" s="55">
        <f>VLOOKUP(E1684,'NI-Soc_SP'!$C:$AN,12,FALSE)</f>
        <v>0</v>
      </c>
      <c r="R1684" s="55">
        <f>VLOOKUP(E1684,'NI-Soc_SP'!$C:$AN,13,FALSE)</f>
        <v>0</v>
      </c>
      <c r="S1684" s="55"/>
      <c r="T1684" s="55"/>
      <c r="U1684" s="55">
        <f>VLOOKUP($E1684,'NI-Soc_SP'!$C:$AN,MID(U$1,1,2),FALSE)</f>
        <v>0</v>
      </c>
      <c r="V1684" s="55">
        <f>VLOOKUP($E1684,'NI-Soc_SP'!$C:$AN,MID(V$1,1,2),FALSE)</f>
        <v>0</v>
      </c>
      <c r="W1684" s="55">
        <f>VLOOKUP($E1684,'NI-Soc_SP'!$C:$AN,MID(W$1,1,2),FALSE)</f>
        <v>0</v>
      </c>
      <c r="X1684" s="55">
        <f>VLOOKUP($E1684,'NI-Soc_SP'!$C:$AN,MID(X$1,1,2),FALSE)</f>
        <v>0</v>
      </c>
      <c r="Y1684" s="55">
        <f>VLOOKUP($E1684,'NI-Soc_SP'!$C:$AN,MID(Y$1,1,2),FALSE)</f>
        <v>0</v>
      </c>
      <c r="Z1684" s="55">
        <f>VLOOKUP($E1684,'NI-Soc_SP'!$C:$AN,MID(Z$1,1,2),FALSE)</f>
        <v>0</v>
      </c>
      <c r="AA1684" s="55">
        <f>VLOOKUP($E1684,'NI-Soc_SP'!$C:$AN,MID(AA$1,1,2),FALSE)</f>
        <v>0</v>
      </c>
      <c r="AB1684" s="55">
        <f>VLOOKUP($E1684,'NI-Soc_SP'!$C:$AN,MID(AB$1,1,2),FALSE)</f>
        <v>0</v>
      </c>
      <c r="AC1684" s="55">
        <f>VLOOKUP($E1684,'NI-Soc_SP'!$C:$AN,MID(AC$1,1,2),FALSE)</f>
        <v>0</v>
      </c>
      <c r="AD1684" s="55">
        <f>VLOOKUP($E1684,'NI-Soc_SP'!$C:$AN,MID(AD$1,1,2),FALSE)</f>
        <v>0</v>
      </c>
      <c r="AE1684" s="55">
        <f>VLOOKUP($E1684,'NI-Soc_SP'!$C:$AN,MID(AE$1,1,2),FALSE)</f>
        <v>0</v>
      </c>
      <c r="AF1684" s="55">
        <f>VLOOKUP($E1684,'NI-Soc_SP'!$C:$AN,MID(AF$1,1,2),FALSE)</f>
        <v>0</v>
      </c>
      <c r="AG1684" s="55">
        <f>VLOOKUP($E1684,'NI-Soc_SP'!$C:$AN,MID(AG$1,1,2),FALSE)</f>
        <v>0</v>
      </c>
      <c r="AH1684" s="55">
        <f>VLOOKUP($E1684,'NI-Soc_SP'!$C:$AN,MID(AH$1,1,2),FALSE)</f>
        <v>0</v>
      </c>
      <c r="AI1684" s="55">
        <f>VLOOKUP($E1684,'NI-Soc_SP'!$C:$AN,MID(AI$1,1,2),FALSE)</f>
        <v>0</v>
      </c>
      <c r="AJ1684" s="55">
        <f>VLOOKUP($E1684,'NI-Soc_SP'!$C:$AN,MID(AJ$1,1,2),FALSE)</f>
        <v>0</v>
      </c>
      <c r="AK1684" s="55">
        <f>VLOOKUP($E1684,'NI-Soc_SP'!$C:$AN,MID(AK$1,1,2),FALSE)</f>
        <v>0</v>
      </c>
      <c r="AL1684" s="55">
        <f>VLOOKUP($E1684,'NI-Soc_SP'!$C:$AN,MID(AL$1,1,2),FALSE)</f>
        <v>0</v>
      </c>
      <c r="AM1684" s="56">
        <f>VLOOKUP($E1684,'NI-Soc_SP'!$C:$AN,MID(AM$1,1,2),FALSE)</f>
        <v>0</v>
      </c>
      <c r="AN1684" s="30" t="str">
        <f t="shared" si="26"/>
        <v>10208010050020</v>
      </c>
    </row>
    <row r="1685" spans="3:40" x14ac:dyDescent="0.25">
      <c r="C1685" s="40"/>
      <c r="D1685" s="121" t="s">
        <v>893</v>
      </c>
      <c r="E1685" s="121" t="s">
        <v>894</v>
      </c>
      <c r="F1685" s="122" t="s">
        <v>2758</v>
      </c>
      <c r="G1685" s="52"/>
      <c r="H1685" s="52"/>
      <c r="I1685" s="52"/>
      <c r="J1685" s="52"/>
      <c r="K1685" s="59" t="s">
        <v>79</v>
      </c>
      <c r="L1685" s="52"/>
      <c r="M1685" s="52"/>
      <c r="N1685" s="52"/>
      <c r="O1685" s="52"/>
      <c r="P1685" s="63" t="s">
        <v>895</v>
      </c>
      <c r="Q1685" s="55">
        <f>VLOOKUP(E1685,'NI-Soc_SP'!$C:$AN,12,FALSE)</f>
        <v>0</v>
      </c>
      <c r="R1685" s="55">
        <f>VLOOKUP(E1685,'NI-Soc_SP'!$C:$AN,13,FALSE)</f>
        <v>0</v>
      </c>
      <c r="S1685" s="55"/>
      <c r="T1685" s="55"/>
      <c r="U1685" s="55">
        <f>VLOOKUP($E1685,'NI-Soc_SP'!$C:$AN,MID(U$1,1,2),FALSE)</f>
        <v>0</v>
      </c>
      <c r="V1685" s="55">
        <f>VLOOKUP($E1685,'NI-Soc_SP'!$C:$AN,MID(V$1,1,2),FALSE)</f>
        <v>0</v>
      </c>
      <c r="W1685" s="55">
        <f>VLOOKUP($E1685,'NI-Soc_SP'!$C:$AN,MID(W$1,1,2),FALSE)</f>
        <v>0</v>
      </c>
      <c r="X1685" s="55">
        <f>VLOOKUP($E1685,'NI-Soc_SP'!$C:$AN,MID(X$1,1,2),FALSE)</f>
        <v>0</v>
      </c>
      <c r="Y1685" s="55">
        <f>VLOOKUP($E1685,'NI-Soc_SP'!$C:$AN,MID(Y$1,1,2),FALSE)</f>
        <v>0</v>
      </c>
      <c r="Z1685" s="55">
        <f>VLOOKUP($E1685,'NI-Soc_SP'!$C:$AN,MID(Z$1,1,2),FALSE)</f>
        <v>0</v>
      </c>
      <c r="AA1685" s="55">
        <f>VLOOKUP($E1685,'NI-Soc_SP'!$C:$AN,MID(AA$1,1,2),FALSE)</f>
        <v>0</v>
      </c>
      <c r="AB1685" s="55">
        <f>VLOOKUP($E1685,'NI-Soc_SP'!$C:$AN,MID(AB$1,1,2),FALSE)</f>
        <v>0</v>
      </c>
      <c r="AC1685" s="55">
        <f>VLOOKUP($E1685,'NI-Soc_SP'!$C:$AN,MID(AC$1,1,2),FALSE)</f>
        <v>0</v>
      </c>
      <c r="AD1685" s="55">
        <f>VLOOKUP($E1685,'NI-Soc_SP'!$C:$AN,MID(AD$1,1,2),FALSE)</f>
        <v>0</v>
      </c>
      <c r="AE1685" s="55">
        <f>VLOOKUP($E1685,'NI-Soc_SP'!$C:$AN,MID(AE$1,1,2),FALSE)</f>
        <v>0</v>
      </c>
      <c r="AF1685" s="55">
        <f>VLOOKUP($E1685,'NI-Soc_SP'!$C:$AN,MID(AF$1,1,2),FALSE)</f>
        <v>0</v>
      </c>
      <c r="AG1685" s="55">
        <f>VLOOKUP($E1685,'NI-Soc_SP'!$C:$AN,MID(AG$1,1,2),FALSE)</f>
        <v>0</v>
      </c>
      <c r="AH1685" s="55">
        <f>VLOOKUP($E1685,'NI-Soc_SP'!$C:$AN,MID(AH$1,1,2),FALSE)</f>
        <v>0</v>
      </c>
      <c r="AI1685" s="55">
        <f>VLOOKUP($E1685,'NI-Soc_SP'!$C:$AN,MID(AI$1,1,2),FALSE)</f>
        <v>0</v>
      </c>
      <c r="AJ1685" s="55">
        <f>VLOOKUP($E1685,'NI-Soc_SP'!$C:$AN,MID(AJ$1,1,2),FALSE)</f>
        <v>0</v>
      </c>
      <c r="AK1685" s="55">
        <f>VLOOKUP($E1685,'NI-Soc_SP'!$C:$AN,MID(AK$1,1,2),FALSE)</f>
        <v>0</v>
      </c>
      <c r="AL1685" s="55">
        <f>VLOOKUP($E1685,'NI-Soc_SP'!$C:$AN,MID(AL$1,1,2),FALSE)</f>
        <v>0</v>
      </c>
      <c r="AM1685" s="56">
        <f>VLOOKUP($E1685,'NI-Soc_SP'!$C:$AN,MID(AM$1,1,2),FALSE)</f>
        <v>0</v>
      </c>
      <c r="AN1685" s="30" t="str">
        <f t="shared" si="26"/>
        <v>10208010060010</v>
      </c>
    </row>
    <row r="1686" spans="3:40" x14ac:dyDescent="0.25">
      <c r="C1686" s="40"/>
      <c r="D1686" s="121" t="s">
        <v>896</v>
      </c>
      <c r="E1686" s="121" t="s">
        <v>897</v>
      </c>
      <c r="F1686" s="122" t="s">
        <v>2758</v>
      </c>
      <c r="G1686" s="52"/>
      <c r="H1686" s="52"/>
      <c r="I1686" s="52"/>
      <c r="J1686" s="52"/>
      <c r="K1686" s="59" t="s">
        <v>79</v>
      </c>
      <c r="L1686" s="52"/>
      <c r="M1686" s="52"/>
      <c r="N1686" s="52"/>
      <c r="O1686" s="52"/>
      <c r="P1686" s="63" t="s">
        <v>898</v>
      </c>
      <c r="Q1686" s="55">
        <f>VLOOKUP(E1686,'NI-Soc_SP'!$C:$AN,12,FALSE)</f>
        <v>0</v>
      </c>
      <c r="R1686" s="55">
        <f>VLOOKUP(E1686,'NI-Soc_SP'!$C:$AN,13,FALSE)</f>
        <v>0</v>
      </c>
      <c r="S1686" s="55"/>
      <c r="T1686" s="55"/>
      <c r="U1686" s="55">
        <f>VLOOKUP($E1686,'NI-Soc_SP'!$C:$AN,MID(U$1,1,2),FALSE)</f>
        <v>0</v>
      </c>
      <c r="V1686" s="55">
        <f>VLOOKUP($E1686,'NI-Soc_SP'!$C:$AN,MID(V$1,1,2),FALSE)</f>
        <v>0</v>
      </c>
      <c r="W1686" s="55">
        <f>VLOOKUP($E1686,'NI-Soc_SP'!$C:$AN,MID(W$1,1,2),FALSE)</f>
        <v>0</v>
      </c>
      <c r="X1686" s="55">
        <f>VLOOKUP($E1686,'NI-Soc_SP'!$C:$AN,MID(X$1,1,2),FALSE)</f>
        <v>0</v>
      </c>
      <c r="Y1686" s="55">
        <f>VLOOKUP($E1686,'NI-Soc_SP'!$C:$AN,MID(Y$1,1,2),FALSE)</f>
        <v>0</v>
      </c>
      <c r="Z1686" s="55">
        <f>VLOOKUP($E1686,'NI-Soc_SP'!$C:$AN,MID(Z$1,1,2),FALSE)</f>
        <v>0</v>
      </c>
      <c r="AA1686" s="55">
        <f>VLOOKUP($E1686,'NI-Soc_SP'!$C:$AN,MID(AA$1,1,2),FALSE)</f>
        <v>0</v>
      </c>
      <c r="AB1686" s="55">
        <f>VLOOKUP($E1686,'NI-Soc_SP'!$C:$AN,MID(AB$1,1,2),FALSE)</f>
        <v>0</v>
      </c>
      <c r="AC1686" s="55">
        <f>VLOOKUP($E1686,'NI-Soc_SP'!$C:$AN,MID(AC$1,1,2),FALSE)</f>
        <v>0</v>
      </c>
      <c r="AD1686" s="55">
        <f>VLOOKUP($E1686,'NI-Soc_SP'!$C:$AN,MID(AD$1,1,2),FALSE)</f>
        <v>0</v>
      </c>
      <c r="AE1686" s="55">
        <f>VLOOKUP($E1686,'NI-Soc_SP'!$C:$AN,MID(AE$1,1,2),FALSE)</f>
        <v>0</v>
      </c>
      <c r="AF1686" s="55">
        <f>VLOOKUP($E1686,'NI-Soc_SP'!$C:$AN,MID(AF$1,1,2),FALSE)</f>
        <v>0</v>
      </c>
      <c r="AG1686" s="55">
        <f>VLOOKUP($E1686,'NI-Soc_SP'!$C:$AN,MID(AG$1,1,2),FALSE)</f>
        <v>0</v>
      </c>
      <c r="AH1686" s="55">
        <f>VLOOKUP($E1686,'NI-Soc_SP'!$C:$AN,MID(AH$1,1,2),FALSE)</f>
        <v>0</v>
      </c>
      <c r="AI1686" s="55">
        <f>VLOOKUP($E1686,'NI-Soc_SP'!$C:$AN,MID(AI$1,1,2),FALSE)</f>
        <v>0</v>
      </c>
      <c r="AJ1686" s="55">
        <f>VLOOKUP($E1686,'NI-Soc_SP'!$C:$AN,MID(AJ$1,1,2),FALSE)</f>
        <v>0</v>
      </c>
      <c r="AK1686" s="55">
        <f>VLOOKUP($E1686,'NI-Soc_SP'!$C:$AN,MID(AK$1,1,2),FALSE)</f>
        <v>0</v>
      </c>
      <c r="AL1686" s="55">
        <f>VLOOKUP($E1686,'NI-Soc_SP'!$C:$AN,MID(AL$1,1,2),FALSE)</f>
        <v>0</v>
      </c>
      <c r="AM1686" s="56">
        <f>VLOOKUP($E1686,'NI-Soc_SP'!$C:$AN,MID(AM$1,1,2),FALSE)</f>
        <v>0</v>
      </c>
      <c r="AN1686" s="30" t="str">
        <f t="shared" si="26"/>
        <v>10208010060020</v>
      </c>
    </row>
    <row r="1687" spans="3:40" x14ac:dyDescent="0.25">
      <c r="C1687" s="40"/>
      <c r="D1687" s="121" t="s">
        <v>899</v>
      </c>
      <c r="E1687" s="121" t="s">
        <v>900</v>
      </c>
      <c r="F1687" s="122" t="s">
        <v>2758</v>
      </c>
      <c r="G1687" s="52"/>
      <c r="H1687" s="52"/>
      <c r="I1687" s="52" t="s">
        <v>901</v>
      </c>
      <c r="J1687" s="52"/>
      <c r="K1687" s="59" t="s">
        <v>111</v>
      </c>
      <c r="L1687" s="62" t="s">
        <v>902</v>
      </c>
      <c r="M1687" s="52"/>
      <c r="N1687" s="52"/>
      <c r="O1687" s="52"/>
      <c r="P1687" s="54" t="s">
        <v>903</v>
      </c>
      <c r="Q1687" s="55">
        <f>VLOOKUP(E1687,'NI-Soc_SP'!$C:$AN,12,FALSE)</f>
        <v>0</v>
      </c>
      <c r="R1687" s="55">
        <f>VLOOKUP(E1687,'NI-Soc_SP'!$C:$AN,13,FALSE)</f>
        <v>0</v>
      </c>
      <c r="S1687" s="55"/>
      <c r="T1687" s="55"/>
      <c r="U1687" s="55">
        <f>VLOOKUP($E1687,'NI-Soc_SP'!$C:$AN,MID(U$1,1,2),FALSE)</f>
        <v>0</v>
      </c>
      <c r="V1687" s="55">
        <f>VLOOKUP($E1687,'NI-Soc_SP'!$C:$AN,MID(V$1,1,2),FALSE)</f>
        <v>0</v>
      </c>
      <c r="W1687" s="55">
        <f>VLOOKUP($E1687,'NI-Soc_SP'!$C:$AN,MID(W$1,1,2),FALSE)</f>
        <v>0</v>
      </c>
      <c r="X1687" s="55">
        <f>VLOOKUP($E1687,'NI-Soc_SP'!$C:$AN,MID(X$1,1,2),FALSE)</f>
        <v>0</v>
      </c>
      <c r="Y1687" s="55">
        <f>VLOOKUP($E1687,'NI-Soc_SP'!$C:$AN,MID(Y$1,1,2),FALSE)</f>
        <v>0</v>
      </c>
      <c r="Z1687" s="55">
        <f>VLOOKUP($E1687,'NI-Soc_SP'!$C:$AN,MID(Z$1,1,2),FALSE)</f>
        <v>0</v>
      </c>
      <c r="AA1687" s="55">
        <f>VLOOKUP($E1687,'NI-Soc_SP'!$C:$AN,MID(AA$1,1,2),FALSE)</f>
        <v>0</v>
      </c>
      <c r="AB1687" s="55">
        <f>VLOOKUP($E1687,'NI-Soc_SP'!$C:$AN,MID(AB$1,1,2),FALSE)</f>
        <v>0</v>
      </c>
      <c r="AC1687" s="55">
        <f>VLOOKUP($E1687,'NI-Soc_SP'!$C:$AN,MID(AC$1,1,2),FALSE)</f>
        <v>0</v>
      </c>
      <c r="AD1687" s="55">
        <f>VLOOKUP($E1687,'NI-Soc_SP'!$C:$AN,MID(AD$1,1,2),FALSE)</f>
        <v>0</v>
      </c>
      <c r="AE1687" s="55">
        <f>VLOOKUP($E1687,'NI-Soc_SP'!$C:$AN,MID(AE$1,1,2),FALSE)</f>
        <v>0</v>
      </c>
      <c r="AF1687" s="55">
        <f>VLOOKUP($E1687,'NI-Soc_SP'!$C:$AN,MID(AF$1,1,2),FALSE)</f>
        <v>0</v>
      </c>
      <c r="AG1687" s="55">
        <f>VLOOKUP($E1687,'NI-Soc_SP'!$C:$AN,MID(AG$1,1,2),FALSE)</f>
        <v>0</v>
      </c>
      <c r="AH1687" s="55">
        <f>VLOOKUP($E1687,'NI-Soc_SP'!$C:$AN,MID(AH$1,1,2),FALSE)</f>
        <v>0</v>
      </c>
      <c r="AI1687" s="55">
        <f>VLOOKUP($E1687,'NI-Soc_SP'!$C:$AN,MID(AI$1,1,2),FALSE)</f>
        <v>0</v>
      </c>
      <c r="AJ1687" s="55">
        <f>VLOOKUP($E1687,'NI-Soc_SP'!$C:$AN,MID(AJ$1,1,2),FALSE)</f>
        <v>0</v>
      </c>
      <c r="AK1687" s="55">
        <f>VLOOKUP($E1687,'NI-Soc_SP'!$C:$AN,MID(AK$1,1,2),FALSE)</f>
        <v>0</v>
      </c>
      <c r="AL1687" s="55">
        <f>VLOOKUP($E1687,'NI-Soc_SP'!$C:$AN,MID(AL$1,1,2),FALSE)</f>
        <v>0</v>
      </c>
      <c r="AM1687" s="56">
        <f>VLOOKUP($E1687,'NI-Soc_SP'!$C:$AN,MID(AM$1,1,2),FALSE)</f>
        <v>0</v>
      </c>
      <c r="AN1687" s="30" t="str">
        <f t="shared" si="26"/>
        <v>10208020000000</v>
      </c>
    </row>
    <row r="1688" spans="3:40" x14ac:dyDescent="0.25">
      <c r="C1688" s="40"/>
      <c r="D1688" s="121" t="s">
        <v>904</v>
      </c>
      <c r="E1688" s="121" t="s">
        <v>905</v>
      </c>
      <c r="F1688" s="122" t="s">
        <v>2758</v>
      </c>
      <c r="G1688" s="52"/>
      <c r="H1688" s="52"/>
      <c r="I1688" s="52"/>
      <c r="J1688" s="52"/>
      <c r="K1688" s="59" t="s">
        <v>79</v>
      </c>
      <c r="L1688" s="52"/>
      <c r="M1688" s="52"/>
      <c r="N1688" s="52"/>
      <c r="O1688" s="52"/>
      <c r="P1688" s="64" t="s">
        <v>906</v>
      </c>
      <c r="Q1688" s="55">
        <f>VLOOKUP(E1688,'NI-Soc_SP'!$C:$AN,12,FALSE)</f>
        <v>0</v>
      </c>
      <c r="R1688" s="55">
        <f>VLOOKUP(E1688,'NI-Soc_SP'!$C:$AN,13,FALSE)</f>
        <v>0</v>
      </c>
      <c r="S1688" s="55"/>
      <c r="T1688" s="55"/>
      <c r="U1688" s="55">
        <f>VLOOKUP($E1688,'NI-Soc_SP'!$C:$AN,MID(U$1,1,2),FALSE)</f>
        <v>0</v>
      </c>
      <c r="V1688" s="55">
        <f>VLOOKUP($E1688,'NI-Soc_SP'!$C:$AN,MID(V$1,1,2),FALSE)</f>
        <v>0</v>
      </c>
      <c r="W1688" s="55">
        <f>VLOOKUP($E1688,'NI-Soc_SP'!$C:$AN,MID(W$1,1,2),FALSE)</f>
        <v>0</v>
      </c>
      <c r="X1688" s="55">
        <f>VLOOKUP($E1688,'NI-Soc_SP'!$C:$AN,MID(X$1,1,2),FALSE)</f>
        <v>0</v>
      </c>
      <c r="Y1688" s="55">
        <f>VLOOKUP($E1688,'NI-Soc_SP'!$C:$AN,MID(Y$1,1,2),FALSE)</f>
        <v>0</v>
      </c>
      <c r="Z1688" s="55">
        <f>VLOOKUP($E1688,'NI-Soc_SP'!$C:$AN,MID(Z$1,1,2),FALSE)</f>
        <v>0</v>
      </c>
      <c r="AA1688" s="55">
        <f>VLOOKUP($E1688,'NI-Soc_SP'!$C:$AN,MID(AA$1,1,2),FALSE)</f>
        <v>0</v>
      </c>
      <c r="AB1688" s="55">
        <f>VLOOKUP($E1688,'NI-Soc_SP'!$C:$AN,MID(AB$1,1,2),FALSE)</f>
        <v>0</v>
      </c>
      <c r="AC1688" s="55">
        <f>VLOOKUP($E1688,'NI-Soc_SP'!$C:$AN,MID(AC$1,1,2),FALSE)</f>
        <v>0</v>
      </c>
      <c r="AD1688" s="55">
        <f>VLOOKUP($E1688,'NI-Soc_SP'!$C:$AN,MID(AD$1,1,2),FALSE)</f>
        <v>0</v>
      </c>
      <c r="AE1688" s="55">
        <f>VLOOKUP($E1688,'NI-Soc_SP'!$C:$AN,MID(AE$1,1,2),FALSE)</f>
        <v>0</v>
      </c>
      <c r="AF1688" s="55">
        <f>VLOOKUP($E1688,'NI-Soc_SP'!$C:$AN,MID(AF$1,1,2),FALSE)</f>
        <v>0</v>
      </c>
      <c r="AG1688" s="55">
        <f>VLOOKUP($E1688,'NI-Soc_SP'!$C:$AN,MID(AG$1,1,2),FALSE)</f>
        <v>0</v>
      </c>
      <c r="AH1688" s="55">
        <f>VLOOKUP($E1688,'NI-Soc_SP'!$C:$AN,MID(AH$1,1,2),FALSE)</f>
        <v>0</v>
      </c>
      <c r="AI1688" s="55">
        <f>VLOOKUP($E1688,'NI-Soc_SP'!$C:$AN,MID(AI$1,1,2),FALSE)</f>
        <v>0</v>
      </c>
      <c r="AJ1688" s="55">
        <f>VLOOKUP($E1688,'NI-Soc_SP'!$C:$AN,MID(AJ$1,1,2),FALSE)</f>
        <v>0</v>
      </c>
      <c r="AK1688" s="55">
        <f>VLOOKUP($E1688,'NI-Soc_SP'!$C:$AN,MID(AK$1,1,2),FALSE)</f>
        <v>0</v>
      </c>
      <c r="AL1688" s="55">
        <f>VLOOKUP($E1688,'NI-Soc_SP'!$C:$AN,MID(AL$1,1,2),FALSE)</f>
        <v>0</v>
      </c>
      <c r="AM1688" s="56">
        <f>VLOOKUP($E1688,'NI-Soc_SP'!$C:$AN,MID(AM$1,1,2),FALSE)</f>
        <v>0</v>
      </c>
      <c r="AN1688" s="30" t="str">
        <f t="shared" si="26"/>
        <v>10208020010010</v>
      </c>
    </row>
    <row r="1689" spans="3:40" x14ac:dyDescent="0.25">
      <c r="C1689" s="40"/>
      <c r="D1689" s="121" t="s">
        <v>907</v>
      </c>
      <c r="E1689" s="121" t="s">
        <v>908</v>
      </c>
      <c r="F1689" s="122" t="s">
        <v>2758</v>
      </c>
      <c r="G1689" s="52"/>
      <c r="H1689" s="52"/>
      <c r="I1689" s="52"/>
      <c r="J1689" s="52"/>
      <c r="K1689" s="59" t="s">
        <v>79</v>
      </c>
      <c r="L1689" s="52"/>
      <c r="M1689" s="52"/>
      <c r="N1689" s="52"/>
      <c r="O1689" s="52"/>
      <c r="P1689" s="64" t="s">
        <v>909</v>
      </c>
      <c r="Q1689" s="55">
        <f>VLOOKUP(E1689,'NI-Soc_SP'!$C:$AN,12,FALSE)</f>
        <v>0</v>
      </c>
      <c r="R1689" s="55">
        <f>VLOOKUP(E1689,'NI-Soc_SP'!$C:$AN,13,FALSE)</f>
        <v>0</v>
      </c>
      <c r="S1689" s="55"/>
      <c r="T1689" s="55"/>
      <c r="U1689" s="55">
        <f>VLOOKUP($E1689,'NI-Soc_SP'!$C:$AN,MID(U$1,1,2),FALSE)</f>
        <v>0</v>
      </c>
      <c r="V1689" s="55">
        <f>VLOOKUP($E1689,'NI-Soc_SP'!$C:$AN,MID(V$1,1,2),FALSE)</f>
        <v>0</v>
      </c>
      <c r="W1689" s="55">
        <f>VLOOKUP($E1689,'NI-Soc_SP'!$C:$AN,MID(W$1,1,2),FALSE)</f>
        <v>0</v>
      </c>
      <c r="X1689" s="55">
        <f>VLOOKUP($E1689,'NI-Soc_SP'!$C:$AN,MID(X$1,1,2),FALSE)</f>
        <v>0</v>
      </c>
      <c r="Y1689" s="55">
        <f>VLOOKUP($E1689,'NI-Soc_SP'!$C:$AN,MID(Y$1,1,2),FALSE)</f>
        <v>0</v>
      </c>
      <c r="Z1689" s="55">
        <f>VLOOKUP($E1689,'NI-Soc_SP'!$C:$AN,MID(Z$1,1,2),FALSE)</f>
        <v>0</v>
      </c>
      <c r="AA1689" s="55">
        <f>VLOOKUP($E1689,'NI-Soc_SP'!$C:$AN,MID(AA$1,1,2),FALSE)</f>
        <v>0</v>
      </c>
      <c r="AB1689" s="55">
        <f>VLOOKUP($E1689,'NI-Soc_SP'!$C:$AN,MID(AB$1,1,2),FALSE)</f>
        <v>0</v>
      </c>
      <c r="AC1689" s="55">
        <f>VLOOKUP($E1689,'NI-Soc_SP'!$C:$AN,MID(AC$1,1,2),FALSE)</f>
        <v>0</v>
      </c>
      <c r="AD1689" s="55">
        <f>VLOOKUP($E1689,'NI-Soc_SP'!$C:$AN,MID(AD$1,1,2),FALSE)</f>
        <v>0</v>
      </c>
      <c r="AE1689" s="55">
        <f>VLOOKUP($E1689,'NI-Soc_SP'!$C:$AN,MID(AE$1,1,2),FALSE)</f>
        <v>0</v>
      </c>
      <c r="AF1689" s="55">
        <f>VLOOKUP($E1689,'NI-Soc_SP'!$C:$AN,MID(AF$1,1,2),FALSE)</f>
        <v>0</v>
      </c>
      <c r="AG1689" s="55">
        <f>VLOOKUP($E1689,'NI-Soc_SP'!$C:$AN,MID(AG$1,1,2),FALSE)</f>
        <v>0</v>
      </c>
      <c r="AH1689" s="55">
        <f>VLOOKUP($E1689,'NI-Soc_SP'!$C:$AN,MID(AH$1,1,2),FALSE)</f>
        <v>0</v>
      </c>
      <c r="AI1689" s="55">
        <f>VLOOKUP($E1689,'NI-Soc_SP'!$C:$AN,MID(AI$1,1,2),FALSE)</f>
        <v>0</v>
      </c>
      <c r="AJ1689" s="55">
        <f>VLOOKUP($E1689,'NI-Soc_SP'!$C:$AN,MID(AJ$1,1,2),FALSE)</f>
        <v>0</v>
      </c>
      <c r="AK1689" s="55">
        <f>VLOOKUP($E1689,'NI-Soc_SP'!$C:$AN,MID(AK$1,1,2),FALSE)</f>
        <v>0</v>
      </c>
      <c r="AL1689" s="55">
        <f>VLOOKUP($E1689,'NI-Soc_SP'!$C:$AN,MID(AL$1,1,2),FALSE)</f>
        <v>0</v>
      </c>
      <c r="AM1689" s="56">
        <f>VLOOKUP($E1689,'NI-Soc_SP'!$C:$AN,MID(AM$1,1,2),FALSE)</f>
        <v>0</v>
      </c>
      <c r="AN1689" s="30" t="str">
        <f t="shared" si="26"/>
        <v>10208020010020</v>
      </c>
    </row>
    <row r="1690" spans="3:40" x14ac:dyDescent="0.25">
      <c r="C1690" s="40"/>
      <c r="D1690" s="121" t="s">
        <v>910</v>
      </c>
      <c r="E1690" s="121" t="s">
        <v>911</v>
      </c>
      <c r="F1690" s="122" t="s">
        <v>2758</v>
      </c>
      <c r="G1690" s="52"/>
      <c r="H1690" s="52"/>
      <c r="I1690" s="52"/>
      <c r="J1690" s="52"/>
      <c r="K1690" s="59" t="s">
        <v>79</v>
      </c>
      <c r="L1690" s="52"/>
      <c r="M1690" s="52"/>
      <c r="N1690" s="52"/>
      <c r="O1690" s="52"/>
      <c r="P1690" s="66" t="s">
        <v>912</v>
      </c>
      <c r="Q1690" s="55">
        <f>VLOOKUP(E1690,'NI-Soc_SP'!$C:$AN,12,FALSE)</f>
        <v>0</v>
      </c>
      <c r="R1690" s="55">
        <f>VLOOKUP(E1690,'NI-Soc_SP'!$C:$AN,13,FALSE)</f>
        <v>0</v>
      </c>
      <c r="S1690" s="55"/>
      <c r="T1690" s="55"/>
      <c r="U1690" s="55">
        <f>VLOOKUP($E1690,'NI-Soc_SP'!$C:$AN,MID(U$1,1,2),FALSE)</f>
        <v>0</v>
      </c>
      <c r="V1690" s="55">
        <f>VLOOKUP($E1690,'NI-Soc_SP'!$C:$AN,MID(V$1,1,2),FALSE)</f>
        <v>0</v>
      </c>
      <c r="W1690" s="55">
        <f>VLOOKUP($E1690,'NI-Soc_SP'!$C:$AN,MID(W$1,1,2),FALSE)</f>
        <v>0</v>
      </c>
      <c r="X1690" s="55">
        <f>VLOOKUP($E1690,'NI-Soc_SP'!$C:$AN,MID(X$1,1,2),FALSE)</f>
        <v>0</v>
      </c>
      <c r="Y1690" s="55">
        <f>VLOOKUP($E1690,'NI-Soc_SP'!$C:$AN,MID(Y$1,1,2),FALSE)</f>
        <v>0</v>
      </c>
      <c r="Z1690" s="55">
        <f>VLOOKUP($E1690,'NI-Soc_SP'!$C:$AN,MID(Z$1,1,2),FALSE)</f>
        <v>0</v>
      </c>
      <c r="AA1690" s="55">
        <f>VLOOKUP($E1690,'NI-Soc_SP'!$C:$AN,MID(AA$1,1,2),FALSE)</f>
        <v>0</v>
      </c>
      <c r="AB1690" s="55">
        <f>VLOOKUP($E1690,'NI-Soc_SP'!$C:$AN,MID(AB$1,1,2),FALSE)</f>
        <v>0</v>
      </c>
      <c r="AC1690" s="55">
        <f>VLOOKUP($E1690,'NI-Soc_SP'!$C:$AN,MID(AC$1,1,2),FALSE)</f>
        <v>0</v>
      </c>
      <c r="AD1690" s="55">
        <f>VLOOKUP($E1690,'NI-Soc_SP'!$C:$AN,MID(AD$1,1,2),FALSE)</f>
        <v>0</v>
      </c>
      <c r="AE1690" s="55">
        <f>VLOOKUP($E1690,'NI-Soc_SP'!$C:$AN,MID(AE$1,1,2),FALSE)</f>
        <v>0</v>
      </c>
      <c r="AF1690" s="55">
        <f>VLOOKUP($E1690,'NI-Soc_SP'!$C:$AN,MID(AF$1,1,2),FALSE)</f>
        <v>0</v>
      </c>
      <c r="AG1690" s="55">
        <f>VLOOKUP($E1690,'NI-Soc_SP'!$C:$AN,MID(AG$1,1,2),FALSE)</f>
        <v>0</v>
      </c>
      <c r="AH1690" s="55">
        <f>VLOOKUP($E1690,'NI-Soc_SP'!$C:$AN,MID(AH$1,1,2),FALSE)</f>
        <v>0</v>
      </c>
      <c r="AI1690" s="55">
        <f>VLOOKUP($E1690,'NI-Soc_SP'!$C:$AN,MID(AI$1,1,2),FALSE)</f>
        <v>0</v>
      </c>
      <c r="AJ1690" s="55">
        <f>VLOOKUP($E1690,'NI-Soc_SP'!$C:$AN,MID(AJ$1,1,2),FALSE)</f>
        <v>0</v>
      </c>
      <c r="AK1690" s="55">
        <f>VLOOKUP($E1690,'NI-Soc_SP'!$C:$AN,MID(AK$1,1,2),FALSE)</f>
        <v>0</v>
      </c>
      <c r="AL1690" s="55">
        <f>VLOOKUP($E1690,'NI-Soc_SP'!$C:$AN,MID(AL$1,1,2),FALSE)</f>
        <v>0</v>
      </c>
      <c r="AM1690" s="56">
        <f>VLOOKUP($E1690,'NI-Soc_SP'!$C:$AN,MID(AM$1,1,2),FALSE)</f>
        <v>0</v>
      </c>
      <c r="AN1690" s="30" t="str">
        <f t="shared" si="26"/>
        <v>10208020020010</v>
      </c>
    </row>
    <row r="1691" spans="3:40" x14ac:dyDescent="0.25">
      <c r="C1691" s="40"/>
      <c r="D1691" s="121" t="s">
        <v>913</v>
      </c>
      <c r="E1691" s="121" t="s">
        <v>914</v>
      </c>
      <c r="F1691" s="122" t="s">
        <v>2758</v>
      </c>
      <c r="G1691" s="52"/>
      <c r="H1691" s="52"/>
      <c r="I1691" s="52"/>
      <c r="J1691" s="52"/>
      <c r="K1691" s="59" t="s">
        <v>79</v>
      </c>
      <c r="L1691" s="52"/>
      <c r="M1691" s="52"/>
      <c r="N1691" s="52"/>
      <c r="O1691" s="52"/>
      <c r="P1691" s="66" t="s">
        <v>915</v>
      </c>
      <c r="Q1691" s="55">
        <f>VLOOKUP(E1691,'NI-Soc_SP'!$C:$AN,12,FALSE)</f>
        <v>0</v>
      </c>
      <c r="R1691" s="55">
        <f>VLOOKUP(E1691,'NI-Soc_SP'!$C:$AN,13,FALSE)</f>
        <v>0</v>
      </c>
      <c r="S1691" s="55"/>
      <c r="T1691" s="55"/>
      <c r="U1691" s="55">
        <f>VLOOKUP($E1691,'NI-Soc_SP'!$C:$AN,MID(U$1,1,2),FALSE)</f>
        <v>0</v>
      </c>
      <c r="V1691" s="55">
        <f>VLOOKUP($E1691,'NI-Soc_SP'!$C:$AN,MID(V$1,1,2),FALSE)</f>
        <v>0</v>
      </c>
      <c r="W1691" s="55">
        <f>VLOOKUP($E1691,'NI-Soc_SP'!$C:$AN,MID(W$1,1,2),FALSE)</f>
        <v>0</v>
      </c>
      <c r="X1691" s="55">
        <f>VLOOKUP($E1691,'NI-Soc_SP'!$C:$AN,MID(X$1,1,2),FALSE)</f>
        <v>0</v>
      </c>
      <c r="Y1691" s="55">
        <f>VLOOKUP($E1691,'NI-Soc_SP'!$C:$AN,MID(Y$1,1,2),FALSE)</f>
        <v>0</v>
      </c>
      <c r="Z1691" s="55">
        <f>VLOOKUP($E1691,'NI-Soc_SP'!$C:$AN,MID(Z$1,1,2),FALSE)</f>
        <v>0</v>
      </c>
      <c r="AA1691" s="55">
        <f>VLOOKUP($E1691,'NI-Soc_SP'!$C:$AN,MID(AA$1,1,2),FALSE)</f>
        <v>0</v>
      </c>
      <c r="AB1691" s="55">
        <f>VLOOKUP($E1691,'NI-Soc_SP'!$C:$AN,MID(AB$1,1,2),FALSE)</f>
        <v>0</v>
      </c>
      <c r="AC1691" s="55">
        <f>VLOOKUP($E1691,'NI-Soc_SP'!$C:$AN,MID(AC$1,1,2),FALSE)</f>
        <v>0</v>
      </c>
      <c r="AD1691" s="55">
        <f>VLOOKUP($E1691,'NI-Soc_SP'!$C:$AN,MID(AD$1,1,2),FALSE)</f>
        <v>0</v>
      </c>
      <c r="AE1691" s="55">
        <f>VLOOKUP($E1691,'NI-Soc_SP'!$C:$AN,MID(AE$1,1,2),FALSE)</f>
        <v>0</v>
      </c>
      <c r="AF1691" s="55">
        <f>VLOOKUP($E1691,'NI-Soc_SP'!$C:$AN,MID(AF$1,1,2),FALSE)</f>
        <v>0</v>
      </c>
      <c r="AG1691" s="55">
        <f>VLOOKUP($E1691,'NI-Soc_SP'!$C:$AN,MID(AG$1,1,2),FALSE)</f>
        <v>0</v>
      </c>
      <c r="AH1691" s="55">
        <f>VLOOKUP($E1691,'NI-Soc_SP'!$C:$AN,MID(AH$1,1,2),FALSE)</f>
        <v>0</v>
      </c>
      <c r="AI1691" s="55">
        <f>VLOOKUP($E1691,'NI-Soc_SP'!$C:$AN,MID(AI$1,1,2),FALSE)</f>
        <v>0</v>
      </c>
      <c r="AJ1691" s="55">
        <f>VLOOKUP($E1691,'NI-Soc_SP'!$C:$AN,MID(AJ$1,1,2),FALSE)</f>
        <v>0</v>
      </c>
      <c r="AK1691" s="55">
        <f>VLOOKUP($E1691,'NI-Soc_SP'!$C:$AN,MID(AK$1,1,2),FALSE)</f>
        <v>0</v>
      </c>
      <c r="AL1691" s="55">
        <f>VLOOKUP($E1691,'NI-Soc_SP'!$C:$AN,MID(AL$1,1,2),FALSE)</f>
        <v>0</v>
      </c>
      <c r="AM1691" s="56">
        <f>VLOOKUP($E1691,'NI-Soc_SP'!$C:$AN,MID(AM$1,1,2),FALSE)</f>
        <v>0</v>
      </c>
      <c r="AN1691" s="30" t="str">
        <f t="shared" si="26"/>
        <v>10208020020020</v>
      </c>
    </row>
    <row r="1692" spans="3:40" x14ac:dyDescent="0.25">
      <c r="C1692" s="40"/>
      <c r="D1692" s="121" t="s">
        <v>916</v>
      </c>
      <c r="E1692" s="121" t="s">
        <v>917</v>
      </c>
      <c r="F1692" s="122" t="s">
        <v>2758</v>
      </c>
      <c r="G1692" s="52"/>
      <c r="H1692" s="52"/>
      <c r="I1692" s="52"/>
      <c r="J1692" s="52"/>
      <c r="K1692" s="59" t="s">
        <v>79</v>
      </c>
      <c r="L1692" s="52"/>
      <c r="M1692" s="52"/>
      <c r="N1692" s="52"/>
      <c r="O1692" s="52"/>
      <c r="P1692" s="66" t="s">
        <v>918</v>
      </c>
      <c r="Q1692" s="55">
        <f>VLOOKUP(E1692,'NI-Soc_SP'!$C:$AN,12,FALSE)</f>
        <v>0</v>
      </c>
      <c r="R1692" s="55">
        <f>VLOOKUP(E1692,'NI-Soc_SP'!$C:$AN,13,FALSE)</f>
        <v>0</v>
      </c>
      <c r="S1692" s="55"/>
      <c r="T1692" s="55"/>
      <c r="U1692" s="55">
        <f>VLOOKUP($E1692,'NI-Soc_SP'!$C:$AN,MID(U$1,1,2),FALSE)</f>
        <v>0</v>
      </c>
      <c r="V1692" s="55">
        <f>VLOOKUP($E1692,'NI-Soc_SP'!$C:$AN,MID(V$1,1,2),FALSE)</f>
        <v>0</v>
      </c>
      <c r="W1692" s="55">
        <f>VLOOKUP($E1692,'NI-Soc_SP'!$C:$AN,MID(W$1,1,2),FALSE)</f>
        <v>0</v>
      </c>
      <c r="X1692" s="55">
        <f>VLOOKUP($E1692,'NI-Soc_SP'!$C:$AN,MID(X$1,1,2),FALSE)</f>
        <v>0</v>
      </c>
      <c r="Y1692" s="55">
        <f>VLOOKUP($E1692,'NI-Soc_SP'!$C:$AN,MID(Y$1,1,2),FALSE)</f>
        <v>0</v>
      </c>
      <c r="Z1692" s="55">
        <f>VLOOKUP($E1692,'NI-Soc_SP'!$C:$AN,MID(Z$1,1,2),FALSE)</f>
        <v>0</v>
      </c>
      <c r="AA1692" s="55">
        <f>VLOOKUP($E1692,'NI-Soc_SP'!$C:$AN,MID(AA$1,1,2),FALSE)</f>
        <v>0</v>
      </c>
      <c r="AB1692" s="55">
        <f>VLOOKUP($E1692,'NI-Soc_SP'!$C:$AN,MID(AB$1,1,2),FALSE)</f>
        <v>0</v>
      </c>
      <c r="AC1692" s="55">
        <f>VLOOKUP($E1692,'NI-Soc_SP'!$C:$AN,MID(AC$1,1,2),FALSE)</f>
        <v>0</v>
      </c>
      <c r="AD1692" s="55">
        <f>VLOOKUP($E1692,'NI-Soc_SP'!$C:$AN,MID(AD$1,1,2),FALSE)</f>
        <v>0</v>
      </c>
      <c r="AE1692" s="55">
        <f>VLOOKUP($E1692,'NI-Soc_SP'!$C:$AN,MID(AE$1,1,2),FALSE)</f>
        <v>0</v>
      </c>
      <c r="AF1692" s="55">
        <f>VLOOKUP($E1692,'NI-Soc_SP'!$C:$AN,MID(AF$1,1,2),FALSE)</f>
        <v>0</v>
      </c>
      <c r="AG1692" s="55">
        <f>VLOOKUP($E1692,'NI-Soc_SP'!$C:$AN,MID(AG$1,1,2),FALSE)</f>
        <v>0</v>
      </c>
      <c r="AH1692" s="55">
        <f>VLOOKUP($E1692,'NI-Soc_SP'!$C:$AN,MID(AH$1,1,2),FALSE)</f>
        <v>0</v>
      </c>
      <c r="AI1692" s="55">
        <f>VLOOKUP($E1692,'NI-Soc_SP'!$C:$AN,MID(AI$1,1,2),FALSE)</f>
        <v>0</v>
      </c>
      <c r="AJ1692" s="55">
        <f>VLOOKUP($E1692,'NI-Soc_SP'!$C:$AN,MID(AJ$1,1,2),FALSE)</f>
        <v>0</v>
      </c>
      <c r="AK1692" s="55">
        <f>VLOOKUP($E1692,'NI-Soc_SP'!$C:$AN,MID(AK$1,1,2),FALSE)</f>
        <v>0</v>
      </c>
      <c r="AL1692" s="55">
        <f>VLOOKUP($E1692,'NI-Soc_SP'!$C:$AN,MID(AL$1,1,2),FALSE)</f>
        <v>0</v>
      </c>
      <c r="AM1692" s="56">
        <f>VLOOKUP($E1692,'NI-Soc_SP'!$C:$AN,MID(AM$1,1,2),FALSE)</f>
        <v>0</v>
      </c>
      <c r="AN1692" s="30" t="str">
        <f t="shared" si="26"/>
        <v>10208020030010</v>
      </c>
    </row>
    <row r="1693" spans="3:40" x14ac:dyDescent="0.25">
      <c r="C1693" s="40"/>
      <c r="D1693" s="121" t="s">
        <v>919</v>
      </c>
      <c r="E1693" s="121" t="s">
        <v>920</v>
      </c>
      <c r="F1693" s="122" t="s">
        <v>2758</v>
      </c>
      <c r="G1693" s="52"/>
      <c r="H1693" s="52"/>
      <c r="I1693" s="52"/>
      <c r="J1693" s="52"/>
      <c r="K1693" s="59" t="s">
        <v>79</v>
      </c>
      <c r="L1693" s="52"/>
      <c r="M1693" s="52"/>
      <c r="N1693" s="52"/>
      <c r="O1693" s="52"/>
      <c r="P1693" s="66" t="s">
        <v>921</v>
      </c>
      <c r="Q1693" s="55">
        <f>VLOOKUP(E1693,'NI-Soc_SP'!$C:$AN,12,FALSE)</f>
        <v>0</v>
      </c>
      <c r="R1693" s="55">
        <f>VLOOKUP(E1693,'NI-Soc_SP'!$C:$AN,13,FALSE)</f>
        <v>0</v>
      </c>
      <c r="S1693" s="55"/>
      <c r="T1693" s="55"/>
      <c r="U1693" s="55">
        <f>VLOOKUP($E1693,'NI-Soc_SP'!$C:$AN,MID(U$1,1,2),FALSE)</f>
        <v>0</v>
      </c>
      <c r="V1693" s="55">
        <f>VLOOKUP($E1693,'NI-Soc_SP'!$C:$AN,MID(V$1,1,2),FALSE)</f>
        <v>0</v>
      </c>
      <c r="W1693" s="55">
        <f>VLOOKUP($E1693,'NI-Soc_SP'!$C:$AN,MID(W$1,1,2),FALSE)</f>
        <v>0</v>
      </c>
      <c r="X1693" s="55">
        <f>VLOOKUP($E1693,'NI-Soc_SP'!$C:$AN,MID(X$1,1,2),FALSE)</f>
        <v>0</v>
      </c>
      <c r="Y1693" s="55">
        <f>VLOOKUP($E1693,'NI-Soc_SP'!$C:$AN,MID(Y$1,1,2),FALSE)</f>
        <v>0</v>
      </c>
      <c r="Z1693" s="55">
        <f>VLOOKUP($E1693,'NI-Soc_SP'!$C:$AN,MID(Z$1,1,2),FALSE)</f>
        <v>0</v>
      </c>
      <c r="AA1693" s="55">
        <f>VLOOKUP($E1693,'NI-Soc_SP'!$C:$AN,MID(AA$1,1,2),FALSE)</f>
        <v>0</v>
      </c>
      <c r="AB1693" s="55">
        <f>VLOOKUP($E1693,'NI-Soc_SP'!$C:$AN,MID(AB$1,1,2),FALSE)</f>
        <v>0</v>
      </c>
      <c r="AC1693" s="55">
        <f>VLOOKUP($E1693,'NI-Soc_SP'!$C:$AN,MID(AC$1,1,2),FALSE)</f>
        <v>0</v>
      </c>
      <c r="AD1693" s="55">
        <f>VLOOKUP($E1693,'NI-Soc_SP'!$C:$AN,MID(AD$1,1,2),FALSE)</f>
        <v>0</v>
      </c>
      <c r="AE1693" s="55">
        <f>VLOOKUP($E1693,'NI-Soc_SP'!$C:$AN,MID(AE$1,1,2),FALSE)</f>
        <v>0</v>
      </c>
      <c r="AF1693" s="55">
        <f>VLOOKUP($E1693,'NI-Soc_SP'!$C:$AN,MID(AF$1,1,2),FALSE)</f>
        <v>0</v>
      </c>
      <c r="AG1693" s="55">
        <f>VLOOKUP($E1693,'NI-Soc_SP'!$C:$AN,MID(AG$1,1,2),FALSE)</f>
        <v>0</v>
      </c>
      <c r="AH1693" s="55">
        <f>VLOOKUP($E1693,'NI-Soc_SP'!$C:$AN,MID(AH$1,1,2),FALSE)</f>
        <v>0</v>
      </c>
      <c r="AI1693" s="55">
        <f>VLOOKUP($E1693,'NI-Soc_SP'!$C:$AN,MID(AI$1,1,2),FALSE)</f>
        <v>0</v>
      </c>
      <c r="AJ1693" s="55">
        <f>VLOOKUP($E1693,'NI-Soc_SP'!$C:$AN,MID(AJ$1,1,2),FALSE)</f>
        <v>0</v>
      </c>
      <c r="AK1693" s="55">
        <f>VLOOKUP($E1693,'NI-Soc_SP'!$C:$AN,MID(AK$1,1,2),FALSE)</f>
        <v>0</v>
      </c>
      <c r="AL1693" s="55">
        <f>VLOOKUP($E1693,'NI-Soc_SP'!$C:$AN,MID(AL$1,1,2),FALSE)</f>
        <v>0</v>
      </c>
      <c r="AM1693" s="56">
        <f>VLOOKUP($E1693,'NI-Soc_SP'!$C:$AN,MID(AM$1,1,2),FALSE)</f>
        <v>0</v>
      </c>
      <c r="AN1693" s="30" t="str">
        <f t="shared" si="26"/>
        <v>10208020030020</v>
      </c>
    </row>
    <row r="1694" spans="3:40" x14ac:dyDescent="0.25">
      <c r="C1694" s="40"/>
      <c r="D1694" s="121" t="s">
        <v>922</v>
      </c>
      <c r="E1694" s="121" t="s">
        <v>923</v>
      </c>
      <c r="F1694" s="122" t="s">
        <v>2758</v>
      </c>
      <c r="G1694" s="52"/>
      <c r="H1694" s="52"/>
      <c r="I1694" s="52"/>
      <c r="J1694" s="52"/>
      <c r="K1694" s="59" t="s">
        <v>79</v>
      </c>
      <c r="L1694" s="52"/>
      <c r="M1694" s="52"/>
      <c r="N1694" s="52"/>
      <c r="O1694" s="52"/>
      <c r="P1694" s="64" t="s">
        <v>924</v>
      </c>
      <c r="Q1694" s="55">
        <f>VLOOKUP(E1694,'NI-Soc_SP'!$C:$AN,12,FALSE)</f>
        <v>0</v>
      </c>
      <c r="R1694" s="55">
        <f>VLOOKUP(E1694,'NI-Soc_SP'!$C:$AN,13,FALSE)</f>
        <v>0</v>
      </c>
      <c r="S1694" s="55"/>
      <c r="T1694" s="55"/>
      <c r="U1694" s="55">
        <f>VLOOKUP($E1694,'NI-Soc_SP'!$C:$AN,MID(U$1,1,2),FALSE)</f>
        <v>0</v>
      </c>
      <c r="V1694" s="55">
        <f>VLOOKUP($E1694,'NI-Soc_SP'!$C:$AN,MID(V$1,1,2),FALSE)</f>
        <v>0</v>
      </c>
      <c r="W1694" s="55">
        <f>VLOOKUP($E1694,'NI-Soc_SP'!$C:$AN,MID(W$1,1,2),FALSE)</f>
        <v>0</v>
      </c>
      <c r="X1694" s="55">
        <f>VLOOKUP($E1694,'NI-Soc_SP'!$C:$AN,MID(X$1,1,2),FALSE)</f>
        <v>0</v>
      </c>
      <c r="Y1694" s="55">
        <f>VLOOKUP($E1694,'NI-Soc_SP'!$C:$AN,MID(Y$1,1,2),FALSE)</f>
        <v>0</v>
      </c>
      <c r="Z1694" s="55">
        <f>VLOOKUP($E1694,'NI-Soc_SP'!$C:$AN,MID(Z$1,1,2),FALSE)</f>
        <v>0</v>
      </c>
      <c r="AA1694" s="55">
        <f>VLOOKUP($E1694,'NI-Soc_SP'!$C:$AN,MID(AA$1,1,2),FALSE)</f>
        <v>0</v>
      </c>
      <c r="AB1694" s="55">
        <f>VLOOKUP($E1694,'NI-Soc_SP'!$C:$AN,MID(AB$1,1,2),FALSE)</f>
        <v>0</v>
      </c>
      <c r="AC1694" s="55">
        <f>VLOOKUP($E1694,'NI-Soc_SP'!$C:$AN,MID(AC$1,1,2),FALSE)</f>
        <v>0</v>
      </c>
      <c r="AD1694" s="55">
        <f>VLOOKUP($E1694,'NI-Soc_SP'!$C:$AN,MID(AD$1,1,2),FALSE)</f>
        <v>0</v>
      </c>
      <c r="AE1694" s="55">
        <f>VLOOKUP($E1694,'NI-Soc_SP'!$C:$AN,MID(AE$1,1,2),FALSE)</f>
        <v>0</v>
      </c>
      <c r="AF1694" s="55">
        <f>VLOOKUP($E1694,'NI-Soc_SP'!$C:$AN,MID(AF$1,1,2),FALSE)</f>
        <v>0</v>
      </c>
      <c r="AG1694" s="55">
        <f>VLOOKUP($E1694,'NI-Soc_SP'!$C:$AN,MID(AG$1,1,2),FALSE)</f>
        <v>0</v>
      </c>
      <c r="AH1694" s="55">
        <f>VLOOKUP($E1694,'NI-Soc_SP'!$C:$AN,MID(AH$1,1,2),FALSE)</f>
        <v>0</v>
      </c>
      <c r="AI1694" s="55">
        <f>VLOOKUP($E1694,'NI-Soc_SP'!$C:$AN,MID(AI$1,1,2),FALSE)</f>
        <v>0</v>
      </c>
      <c r="AJ1694" s="55">
        <f>VLOOKUP($E1694,'NI-Soc_SP'!$C:$AN,MID(AJ$1,1,2),FALSE)</f>
        <v>0</v>
      </c>
      <c r="AK1694" s="55">
        <f>VLOOKUP($E1694,'NI-Soc_SP'!$C:$AN,MID(AK$1,1,2),FALSE)</f>
        <v>0</v>
      </c>
      <c r="AL1694" s="55">
        <f>VLOOKUP($E1694,'NI-Soc_SP'!$C:$AN,MID(AL$1,1,2),FALSE)</f>
        <v>0</v>
      </c>
      <c r="AM1694" s="56">
        <f>VLOOKUP($E1694,'NI-Soc_SP'!$C:$AN,MID(AM$1,1,2),FALSE)</f>
        <v>0</v>
      </c>
      <c r="AN1694" s="30" t="str">
        <f t="shared" si="26"/>
        <v>10208020040010</v>
      </c>
    </row>
    <row r="1695" spans="3:40" x14ac:dyDescent="0.25">
      <c r="C1695" s="40"/>
      <c r="D1695" s="121" t="s">
        <v>925</v>
      </c>
      <c r="E1695" s="121" t="s">
        <v>926</v>
      </c>
      <c r="F1695" s="122" t="s">
        <v>2758</v>
      </c>
      <c r="G1695" s="52"/>
      <c r="H1695" s="52"/>
      <c r="I1695" s="52"/>
      <c r="J1695" s="52"/>
      <c r="K1695" s="59" t="s">
        <v>79</v>
      </c>
      <c r="L1695" s="52"/>
      <c r="M1695" s="52"/>
      <c r="N1695" s="52"/>
      <c r="O1695" s="52"/>
      <c r="P1695" s="64" t="s">
        <v>927</v>
      </c>
      <c r="Q1695" s="55">
        <f>VLOOKUP(E1695,'NI-Soc_SP'!$C:$AN,12,FALSE)</f>
        <v>0</v>
      </c>
      <c r="R1695" s="55">
        <f>VLOOKUP(E1695,'NI-Soc_SP'!$C:$AN,13,FALSE)</f>
        <v>0</v>
      </c>
      <c r="S1695" s="55"/>
      <c r="T1695" s="55"/>
      <c r="U1695" s="55">
        <f>VLOOKUP($E1695,'NI-Soc_SP'!$C:$AN,MID(U$1,1,2),FALSE)</f>
        <v>0</v>
      </c>
      <c r="V1695" s="55">
        <f>VLOOKUP($E1695,'NI-Soc_SP'!$C:$AN,MID(V$1,1,2),FALSE)</f>
        <v>0</v>
      </c>
      <c r="W1695" s="55">
        <f>VLOOKUP($E1695,'NI-Soc_SP'!$C:$AN,MID(W$1,1,2),FALSE)</f>
        <v>0</v>
      </c>
      <c r="X1695" s="55">
        <f>VLOOKUP($E1695,'NI-Soc_SP'!$C:$AN,MID(X$1,1,2),FALSE)</f>
        <v>0</v>
      </c>
      <c r="Y1695" s="55">
        <f>VLOOKUP($E1695,'NI-Soc_SP'!$C:$AN,MID(Y$1,1,2),FALSE)</f>
        <v>0</v>
      </c>
      <c r="Z1695" s="55">
        <f>VLOOKUP($E1695,'NI-Soc_SP'!$C:$AN,MID(Z$1,1,2),FALSE)</f>
        <v>0</v>
      </c>
      <c r="AA1695" s="55">
        <f>VLOOKUP($E1695,'NI-Soc_SP'!$C:$AN,MID(AA$1,1,2),FALSE)</f>
        <v>0</v>
      </c>
      <c r="AB1695" s="55">
        <f>VLOOKUP($E1695,'NI-Soc_SP'!$C:$AN,MID(AB$1,1,2),FALSE)</f>
        <v>0</v>
      </c>
      <c r="AC1695" s="55">
        <f>VLOOKUP($E1695,'NI-Soc_SP'!$C:$AN,MID(AC$1,1,2),FALSE)</f>
        <v>0</v>
      </c>
      <c r="AD1695" s="55">
        <f>VLOOKUP($E1695,'NI-Soc_SP'!$C:$AN,MID(AD$1,1,2),FALSE)</f>
        <v>0</v>
      </c>
      <c r="AE1695" s="55">
        <f>VLOOKUP($E1695,'NI-Soc_SP'!$C:$AN,MID(AE$1,1,2),FALSE)</f>
        <v>0</v>
      </c>
      <c r="AF1695" s="55">
        <f>VLOOKUP($E1695,'NI-Soc_SP'!$C:$AN,MID(AF$1,1,2),FALSE)</f>
        <v>0</v>
      </c>
      <c r="AG1695" s="55">
        <f>VLOOKUP($E1695,'NI-Soc_SP'!$C:$AN,MID(AG$1,1,2),FALSE)</f>
        <v>0</v>
      </c>
      <c r="AH1695" s="55">
        <f>VLOOKUP($E1695,'NI-Soc_SP'!$C:$AN,MID(AH$1,1,2),FALSE)</f>
        <v>0</v>
      </c>
      <c r="AI1695" s="55">
        <f>VLOOKUP($E1695,'NI-Soc_SP'!$C:$AN,MID(AI$1,1,2),FALSE)</f>
        <v>0</v>
      </c>
      <c r="AJ1695" s="55">
        <f>VLOOKUP($E1695,'NI-Soc_SP'!$C:$AN,MID(AJ$1,1,2),FALSE)</f>
        <v>0</v>
      </c>
      <c r="AK1695" s="55">
        <f>VLOOKUP($E1695,'NI-Soc_SP'!$C:$AN,MID(AK$1,1,2),FALSE)</f>
        <v>0</v>
      </c>
      <c r="AL1695" s="55">
        <f>VLOOKUP($E1695,'NI-Soc_SP'!$C:$AN,MID(AL$1,1,2),FALSE)</f>
        <v>0</v>
      </c>
      <c r="AM1695" s="56">
        <f>VLOOKUP($E1695,'NI-Soc_SP'!$C:$AN,MID(AM$1,1,2),FALSE)</f>
        <v>0</v>
      </c>
      <c r="AN1695" s="30" t="str">
        <f t="shared" si="26"/>
        <v>10208020040020</v>
      </c>
    </row>
    <row r="1696" spans="3:40" x14ac:dyDescent="0.25">
      <c r="C1696" s="40"/>
      <c r="D1696" s="121" t="s">
        <v>928</v>
      </c>
      <c r="E1696" s="121" t="s">
        <v>929</v>
      </c>
      <c r="F1696" s="122" t="s">
        <v>2758</v>
      </c>
      <c r="G1696" s="52"/>
      <c r="H1696" s="52"/>
      <c r="I1696" s="52"/>
      <c r="J1696" s="52"/>
      <c r="K1696" s="59" t="s">
        <v>79</v>
      </c>
      <c r="L1696" s="52"/>
      <c r="M1696" s="52"/>
      <c r="N1696" s="52"/>
      <c r="O1696" s="52"/>
      <c r="P1696" s="64" t="s">
        <v>930</v>
      </c>
      <c r="Q1696" s="55">
        <f>VLOOKUP(E1696,'NI-Soc_SP'!$C:$AN,12,FALSE)</f>
        <v>0</v>
      </c>
      <c r="R1696" s="55">
        <f>VLOOKUP(E1696,'NI-Soc_SP'!$C:$AN,13,FALSE)</f>
        <v>0</v>
      </c>
      <c r="S1696" s="55"/>
      <c r="T1696" s="55"/>
      <c r="U1696" s="55">
        <f>VLOOKUP($E1696,'NI-Soc_SP'!$C:$AN,MID(U$1,1,2),FALSE)</f>
        <v>0</v>
      </c>
      <c r="V1696" s="55">
        <f>VLOOKUP($E1696,'NI-Soc_SP'!$C:$AN,MID(V$1,1,2),FALSE)</f>
        <v>0</v>
      </c>
      <c r="W1696" s="55">
        <f>VLOOKUP($E1696,'NI-Soc_SP'!$C:$AN,MID(W$1,1,2),FALSE)</f>
        <v>0</v>
      </c>
      <c r="X1696" s="55">
        <f>VLOOKUP($E1696,'NI-Soc_SP'!$C:$AN,MID(X$1,1,2),FALSE)</f>
        <v>0</v>
      </c>
      <c r="Y1696" s="55">
        <f>VLOOKUP($E1696,'NI-Soc_SP'!$C:$AN,MID(Y$1,1,2),FALSE)</f>
        <v>0</v>
      </c>
      <c r="Z1696" s="55">
        <f>VLOOKUP($E1696,'NI-Soc_SP'!$C:$AN,MID(Z$1,1,2),FALSE)</f>
        <v>0</v>
      </c>
      <c r="AA1696" s="55">
        <f>VLOOKUP($E1696,'NI-Soc_SP'!$C:$AN,MID(AA$1,1,2),FALSE)</f>
        <v>0</v>
      </c>
      <c r="AB1696" s="55">
        <f>VLOOKUP($E1696,'NI-Soc_SP'!$C:$AN,MID(AB$1,1,2),FALSE)</f>
        <v>0</v>
      </c>
      <c r="AC1696" s="55">
        <f>VLOOKUP($E1696,'NI-Soc_SP'!$C:$AN,MID(AC$1,1,2),FALSE)</f>
        <v>0</v>
      </c>
      <c r="AD1696" s="55">
        <f>VLOOKUP($E1696,'NI-Soc_SP'!$C:$AN,MID(AD$1,1,2),FALSE)</f>
        <v>0</v>
      </c>
      <c r="AE1696" s="55">
        <f>VLOOKUP($E1696,'NI-Soc_SP'!$C:$AN,MID(AE$1,1,2),FALSE)</f>
        <v>0</v>
      </c>
      <c r="AF1696" s="55">
        <f>VLOOKUP($E1696,'NI-Soc_SP'!$C:$AN,MID(AF$1,1,2),FALSE)</f>
        <v>0</v>
      </c>
      <c r="AG1696" s="55">
        <f>VLOOKUP($E1696,'NI-Soc_SP'!$C:$AN,MID(AG$1,1,2),FALSE)</f>
        <v>0</v>
      </c>
      <c r="AH1696" s="55">
        <f>VLOOKUP($E1696,'NI-Soc_SP'!$C:$AN,MID(AH$1,1,2),FALSE)</f>
        <v>0</v>
      </c>
      <c r="AI1696" s="55">
        <f>VLOOKUP($E1696,'NI-Soc_SP'!$C:$AN,MID(AI$1,1,2),FALSE)</f>
        <v>0</v>
      </c>
      <c r="AJ1696" s="55">
        <f>VLOOKUP($E1696,'NI-Soc_SP'!$C:$AN,MID(AJ$1,1,2),FALSE)</f>
        <v>0</v>
      </c>
      <c r="AK1696" s="55">
        <f>VLOOKUP($E1696,'NI-Soc_SP'!$C:$AN,MID(AK$1,1,2),FALSE)</f>
        <v>0</v>
      </c>
      <c r="AL1696" s="55">
        <f>VLOOKUP($E1696,'NI-Soc_SP'!$C:$AN,MID(AL$1,1,2),FALSE)</f>
        <v>0</v>
      </c>
      <c r="AM1696" s="56">
        <f>VLOOKUP($E1696,'NI-Soc_SP'!$C:$AN,MID(AM$1,1,2),FALSE)</f>
        <v>0</v>
      </c>
      <c r="AN1696" s="30" t="str">
        <f t="shared" si="26"/>
        <v>10208020050010</v>
      </c>
    </row>
    <row r="1697" spans="3:40" x14ac:dyDescent="0.25">
      <c r="C1697" s="40"/>
      <c r="D1697" s="121" t="s">
        <v>931</v>
      </c>
      <c r="E1697" s="121" t="s">
        <v>932</v>
      </c>
      <c r="F1697" s="122" t="s">
        <v>2758</v>
      </c>
      <c r="G1697" s="52"/>
      <c r="H1697" s="52"/>
      <c r="I1697" s="52"/>
      <c r="J1697" s="52"/>
      <c r="K1697" s="59" t="s">
        <v>79</v>
      </c>
      <c r="L1697" s="52"/>
      <c r="M1697" s="52"/>
      <c r="N1697" s="52"/>
      <c r="O1697" s="52"/>
      <c r="P1697" s="64" t="s">
        <v>933</v>
      </c>
      <c r="Q1697" s="55">
        <f>VLOOKUP(E1697,'NI-Soc_SP'!$C:$AN,12,FALSE)</f>
        <v>0</v>
      </c>
      <c r="R1697" s="55">
        <f>VLOOKUP(E1697,'NI-Soc_SP'!$C:$AN,13,FALSE)</f>
        <v>0</v>
      </c>
      <c r="S1697" s="55"/>
      <c r="T1697" s="55"/>
      <c r="U1697" s="55">
        <f>VLOOKUP($E1697,'NI-Soc_SP'!$C:$AN,MID(U$1,1,2),FALSE)</f>
        <v>0</v>
      </c>
      <c r="V1697" s="55">
        <f>VLOOKUP($E1697,'NI-Soc_SP'!$C:$AN,MID(V$1,1,2),FALSE)</f>
        <v>0</v>
      </c>
      <c r="W1697" s="55">
        <f>VLOOKUP($E1697,'NI-Soc_SP'!$C:$AN,MID(W$1,1,2),FALSE)</f>
        <v>0</v>
      </c>
      <c r="X1697" s="55">
        <f>VLOOKUP($E1697,'NI-Soc_SP'!$C:$AN,MID(X$1,1,2),FALSE)</f>
        <v>0</v>
      </c>
      <c r="Y1697" s="55">
        <f>VLOOKUP($E1697,'NI-Soc_SP'!$C:$AN,MID(Y$1,1,2),FALSE)</f>
        <v>0</v>
      </c>
      <c r="Z1697" s="55">
        <f>VLOOKUP($E1697,'NI-Soc_SP'!$C:$AN,MID(Z$1,1,2),FALSE)</f>
        <v>0</v>
      </c>
      <c r="AA1697" s="55">
        <f>VLOOKUP($E1697,'NI-Soc_SP'!$C:$AN,MID(AA$1,1,2),FALSE)</f>
        <v>0</v>
      </c>
      <c r="AB1697" s="55">
        <f>VLOOKUP($E1697,'NI-Soc_SP'!$C:$AN,MID(AB$1,1,2),FALSE)</f>
        <v>0</v>
      </c>
      <c r="AC1697" s="55">
        <f>VLOOKUP($E1697,'NI-Soc_SP'!$C:$AN,MID(AC$1,1,2),FALSE)</f>
        <v>0</v>
      </c>
      <c r="AD1697" s="55">
        <f>VLOOKUP($E1697,'NI-Soc_SP'!$C:$AN,MID(AD$1,1,2),FALSE)</f>
        <v>0</v>
      </c>
      <c r="AE1697" s="55">
        <f>VLOOKUP($E1697,'NI-Soc_SP'!$C:$AN,MID(AE$1,1,2),FALSE)</f>
        <v>0</v>
      </c>
      <c r="AF1697" s="55">
        <f>VLOOKUP($E1697,'NI-Soc_SP'!$C:$AN,MID(AF$1,1,2),FALSE)</f>
        <v>0</v>
      </c>
      <c r="AG1697" s="55">
        <f>VLOOKUP($E1697,'NI-Soc_SP'!$C:$AN,MID(AG$1,1,2),FALSE)</f>
        <v>0</v>
      </c>
      <c r="AH1697" s="55">
        <f>VLOOKUP($E1697,'NI-Soc_SP'!$C:$AN,MID(AH$1,1,2),FALSE)</f>
        <v>0</v>
      </c>
      <c r="AI1697" s="55">
        <f>VLOOKUP($E1697,'NI-Soc_SP'!$C:$AN,MID(AI$1,1,2),FALSE)</f>
        <v>0</v>
      </c>
      <c r="AJ1697" s="55">
        <f>VLOOKUP($E1697,'NI-Soc_SP'!$C:$AN,MID(AJ$1,1,2),FALSE)</f>
        <v>0</v>
      </c>
      <c r="AK1697" s="55">
        <f>VLOOKUP($E1697,'NI-Soc_SP'!$C:$AN,MID(AK$1,1,2),FALSE)</f>
        <v>0</v>
      </c>
      <c r="AL1697" s="55">
        <f>VLOOKUP($E1697,'NI-Soc_SP'!$C:$AN,MID(AL$1,1,2),FALSE)</f>
        <v>0</v>
      </c>
      <c r="AM1697" s="56">
        <f>VLOOKUP($E1697,'NI-Soc_SP'!$C:$AN,MID(AM$1,1,2),FALSE)</f>
        <v>0</v>
      </c>
      <c r="AN1697" s="30" t="str">
        <f t="shared" si="26"/>
        <v>10208020050020</v>
      </c>
    </row>
    <row r="1698" spans="3:40" x14ac:dyDescent="0.25">
      <c r="C1698" s="40"/>
      <c r="D1698" s="121" t="s">
        <v>934</v>
      </c>
      <c r="E1698" s="121" t="s">
        <v>935</v>
      </c>
      <c r="F1698" s="122" t="s">
        <v>2758</v>
      </c>
      <c r="G1698" s="52"/>
      <c r="H1698" s="52"/>
      <c r="I1698" s="52"/>
      <c r="J1698" s="52"/>
      <c r="K1698" s="59" t="s">
        <v>79</v>
      </c>
      <c r="L1698" s="52"/>
      <c r="M1698" s="52"/>
      <c r="N1698" s="52"/>
      <c r="O1698" s="52"/>
      <c r="P1698" s="63" t="s">
        <v>936</v>
      </c>
      <c r="Q1698" s="55">
        <f>VLOOKUP(E1698,'NI-Soc_SP'!$C:$AN,12,FALSE)</f>
        <v>0</v>
      </c>
      <c r="R1698" s="55">
        <f>VLOOKUP(E1698,'NI-Soc_SP'!$C:$AN,13,FALSE)</f>
        <v>0</v>
      </c>
      <c r="S1698" s="55"/>
      <c r="T1698" s="55"/>
      <c r="U1698" s="55">
        <f>VLOOKUP($E1698,'NI-Soc_SP'!$C:$AN,MID(U$1,1,2),FALSE)</f>
        <v>0</v>
      </c>
      <c r="V1698" s="55">
        <f>VLOOKUP($E1698,'NI-Soc_SP'!$C:$AN,MID(V$1,1,2),FALSE)</f>
        <v>0</v>
      </c>
      <c r="W1698" s="55">
        <f>VLOOKUP($E1698,'NI-Soc_SP'!$C:$AN,MID(W$1,1,2),FALSE)</f>
        <v>0</v>
      </c>
      <c r="X1698" s="55">
        <f>VLOOKUP($E1698,'NI-Soc_SP'!$C:$AN,MID(X$1,1,2),FALSE)</f>
        <v>0</v>
      </c>
      <c r="Y1698" s="55">
        <f>VLOOKUP($E1698,'NI-Soc_SP'!$C:$AN,MID(Y$1,1,2),FALSE)</f>
        <v>0</v>
      </c>
      <c r="Z1698" s="55">
        <f>VLOOKUP($E1698,'NI-Soc_SP'!$C:$AN,MID(Z$1,1,2),FALSE)</f>
        <v>0</v>
      </c>
      <c r="AA1698" s="55">
        <f>VLOOKUP($E1698,'NI-Soc_SP'!$C:$AN,MID(AA$1,1,2),FALSE)</f>
        <v>0</v>
      </c>
      <c r="AB1698" s="55">
        <f>VLOOKUP($E1698,'NI-Soc_SP'!$C:$AN,MID(AB$1,1,2),FALSE)</f>
        <v>0</v>
      </c>
      <c r="AC1698" s="55">
        <f>VLOOKUP($E1698,'NI-Soc_SP'!$C:$AN,MID(AC$1,1,2),FALSE)</f>
        <v>0</v>
      </c>
      <c r="AD1698" s="55">
        <f>VLOOKUP($E1698,'NI-Soc_SP'!$C:$AN,MID(AD$1,1,2),FALSE)</f>
        <v>0</v>
      </c>
      <c r="AE1698" s="55">
        <f>VLOOKUP($E1698,'NI-Soc_SP'!$C:$AN,MID(AE$1,1,2),FALSE)</f>
        <v>0</v>
      </c>
      <c r="AF1698" s="55">
        <f>VLOOKUP($E1698,'NI-Soc_SP'!$C:$AN,MID(AF$1,1,2),FALSE)</f>
        <v>0</v>
      </c>
      <c r="AG1698" s="55">
        <f>VLOOKUP($E1698,'NI-Soc_SP'!$C:$AN,MID(AG$1,1,2),FALSE)</f>
        <v>0</v>
      </c>
      <c r="AH1698" s="55">
        <f>VLOOKUP($E1698,'NI-Soc_SP'!$C:$AN,MID(AH$1,1,2),FALSE)</f>
        <v>0</v>
      </c>
      <c r="AI1698" s="55">
        <f>VLOOKUP($E1698,'NI-Soc_SP'!$C:$AN,MID(AI$1,1,2),FALSE)</f>
        <v>0</v>
      </c>
      <c r="AJ1698" s="55">
        <f>VLOOKUP($E1698,'NI-Soc_SP'!$C:$AN,MID(AJ$1,1,2),FALSE)</f>
        <v>0</v>
      </c>
      <c r="AK1698" s="55">
        <f>VLOOKUP($E1698,'NI-Soc_SP'!$C:$AN,MID(AK$1,1,2),FALSE)</f>
        <v>0</v>
      </c>
      <c r="AL1698" s="55">
        <f>VLOOKUP($E1698,'NI-Soc_SP'!$C:$AN,MID(AL$1,1,2),FALSE)</f>
        <v>0</v>
      </c>
      <c r="AM1698" s="56">
        <f>VLOOKUP($E1698,'NI-Soc_SP'!$C:$AN,MID(AM$1,1,2),FALSE)</f>
        <v>0</v>
      </c>
      <c r="AN1698" s="30" t="str">
        <f t="shared" si="26"/>
        <v>10208020060010</v>
      </c>
    </row>
    <row r="1699" spans="3:40" x14ac:dyDescent="0.25">
      <c r="C1699" s="40"/>
      <c r="D1699" s="121" t="s">
        <v>937</v>
      </c>
      <c r="E1699" s="121" t="s">
        <v>938</v>
      </c>
      <c r="F1699" s="122" t="s">
        <v>2758</v>
      </c>
      <c r="G1699" s="52"/>
      <c r="H1699" s="52"/>
      <c r="I1699" s="52"/>
      <c r="J1699" s="52"/>
      <c r="K1699" s="59" t="s">
        <v>79</v>
      </c>
      <c r="L1699" s="52"/>
      <c r="M1699" s="52"/>
      <c r="N1699" s="52"/>
      <c r="O1699" s="52"/>
      <c r="P1699" s="63" t="s">
        <v>939</v>
      </c>
      <c r="Q1699" s="55">
        <f>VLOOKUP(E1699,'NI-Soc_SP'!$C:$AN,12,FALSE)</f>
        <v>0</v>
      </c>
      <c r="R1699" s="55">
        <f>VLOOKUP(E1699,'NI-Soc_SP'!$C:$AN,13,FALSE)</f>
        <v>0</v>
      </c>
      <c r="S1699" s="55"/>
      <c r="T1699" s="55"/>
      <c r="U1699" s="55">
        <f>VLOOKUP($E1699,'NI-Soc_SP'!$C:$AN,MID(U$1,1,2),FALSE)</f>
        <v>0</v>
      </c>
      <c r="V1699" s="55">
        <f>VLOOKUP($E1699,'NI-Soc_SP'!$C:$AN,MID(V$1,1,2),FALSE)</f>
        <v>0</v>
      </c>
      <c r="W1699" s="55">
        <f>VLOOKUP($E1699,'NI-Soc_SP'!$C:$AN,MID(W$1,1,2),FALSE)</f>
        <v>0</v>
      </c>
      <c r="X1699" s="55">
        <f>VLOOKUP($E1699,'NI-Soc_SP'!$C:$AN,MID(X$1,1,2),FALSE)</f>
        <v>0</v>
      </c>
      <c r="Y1699" s="55">
        <f>VLOOKUP($E1699,'NI-Soc_SP'!$C:$AN,MID(Y$1,1,2),FALSE)</f>
        <v>0</v>
      </c>
      <c r="Z1699" s="55">
        <f>VLOOKUP($E1699,'NI-Soc_SP'!$C:$AN,MID(Z$1,1,2),FALSE)</f>
        <v>0</v>
      </c>
      <c r="AA1699" s="55">
        <f>VLOOKUP($E1699,'NI-Soc_SP'!$C:$AN,MID(AA$1,1,2),FALSE)</f>
        <v>0</v>
      </c>
      <c r="AB1699" s="55">
        <f>VLOOKUP($E1699,'NI-Soc_SP'!$C:$AN,MID(AB$1,1,2),FALSE)</f>
        <v>0</v>
      </c>
      <c r="AC1699" s="55">
        <f>VLOOKUP($E1699,'NI-Soc_SP'!$C:$AN,MID(AC$1,1,2),FALSE)</f>
        <v>0</v>
      </c>
      <c r="AD1699" s="55">
        <f>VLOOKUP($E1699,'NI-Soc_SP'!$C:$AN,MID(AD$1,1,2),FALSE)</f>
        <v>0</v>
      </c>
      <c r="AE1699" s="55">
        <f>VLOOKUP($E1699,'NI-Soc_SP'!$C:$AN,MID(AE$1,1,2),FALSE)</f>
        <v>0</v>
      </c>
      <c r="AF1699" s="55">
        <f>VLOOKUP($E1699,'NI-Soc_SP'!$C:$AN,MID(AF$1,1,2),FALSE)</f>
        <v>0</v>
      </c>
      <c r="AG1699" s="55">
        <f>VLOOKUP($E1699,'NI-Soc_SP'!$C:$AN,MID(AG$1,1,2),FALSE)</f>
        <v>0</v>
      </c>
      <c r="AH1699" s="55">
        <f>VLOOKUP($E1699,'NI-Soc_SP'!$C:$AN,MID(AH$1,1,2),FALSE)</f>
        <v>0</v>
      </c>
      <c r="AI1699" s="55">
        <f>VLOOKUP($E1699,'NI-Soc_SP'!$C:$AN,MID(AI$1,1,2),FALSE)</f>
        <v>0</v>
      </c>
      <c r="AJ1699" s="55">
        <f>VLOOKUP($E1699,'NI-Soc_SP'!$C:$AN,MID(AJ$1,1,2),FALSE)</f>
        <v>0</v>
      </c>
      <c r="AK1699" s="55">
        <f>VLOOKUP($E1699,'NI-Soc_SP'!$C:$AN,MID(AK$1,1,2),FALSE)</f>
        <v>0</v>
      </c>
      <c r="AL1699" s="55">
        <f>VLOOKUP($E1699,'NI-Soc_SP'!$C:$AN,MID(AL$1,1,2),FALSE)</f>
        <v>0</v>
      </c>
      <c r="AM1699" s="56">
        <f>VLOOKUP($E1699,'NI-Soc_SP'!$C:$AN,MID(AM$1,1,2),FALSE)</f>
        <v>0</v>
      </c>
      <c r="AN1699" s="30" t="str">
        <f t="shared" si="26"/>
        <v>10208020060020</v>
      </c>
    </row>
    <row r="1700" spans="3:40" x14ac:dyDescent="0.25">
      <c r="C1700" s="40"/>
      <c r="D1700" s="121" t="s">
        <v>940</v>
      </c>
      <c r="E1700" s="121" t="s">
        <v>941</v>
      </c>
      <c r="F1700" s="122" t="s">
        <v>2758</v>
      </c>
      <c r="G1700" s="52"/>
      <c r="H1700" s="52"/>
      <c r="I1700" s="52" t="s">
        <v>942</v>
      </c>
      <c r="J1700" s="52"/>
      <c r="K1700" s="59" t="s">
        <v>111</v>
      </c>
      <c r="L1700" s="62" t="s">
        <v>943</v>
      </c>
      <c r="M1700" s="52"/>
      <c r="N1700" s="52"/>
      <c r="O1700" s="61" t="s">
        <v>944</v>
      </c>
      <c r="P1700" s="60" t="s">
        <v>945</v>
      </c>
      <c r="Q1700" s="55">
        <f>VLOOKUP(E1700,'NI-Soc_SP'!$C:$AN,12,FALSE)</f>
        <v>0</v>
      </c>
      <c r="R1700" s="55">
        <f>VLOOKUP(E1700,'NI-Soc_SP'!$C:$AN,13,FALSE)</f>
        <v>0</v>
      </c>
      <c r="S1700" s="55"/>
      <c r="T1700" s="55"/>
      <c r="U1700" s="55">
        <f>VLOOKUP($E1700,'NI-Soc_SP'!$C:$AN,MID(U$1,1,2),FALSE)</f>
        <v>0</v>
      </c>
      <c r="V1700" s="55">
        <f>VLOOKUP($E1700,'NI-Soc_SP'!$C:$AN,MID(V$1,1,2),FALSE)</f>
        <v>0</v>
      </c>
      <c r="W1700" s="55">
        <f>VLOOKUP($E1700,'NI-Soc_SP'!$C:$AN,MID(W$1,1,2),FALSE)</f>
        <v>0</v>
      </c>
      <c r="X1700" s="55">
        <f>VLOOKUP($E1700,'NI-Soc_SP'!$C:$AN,MID(X$1,1,2),FALSE)</f>
        <v>0</v>
      </c>
      <c r="Y1700" s="55">
        <f>VLOOKUP($E1700,'NI-Soc_SP'!$C:$AN,MID(Y$1,1,2),FALSE)</f>
        <v>0</v>
      </c>
      <c r="Z1700" s="55">
        <f>VLOOKUP($E1700,'NI-Soc_SP'!$C:$AN,MID(Z$1,1,2),FALSE)</f>
        <v>0</v>
      </c>
      <c r="AA1700" s="55">
        <f>VLOOKUP($E1700,'NI-Soc_SP'!$C:$AN,MID(AA$1,1,2),FALSE)</f>
        <v>0</v>
      </c>
      <c r="AB1700" s="55">
        <f>VLOOKUP($E1700,'NI-Soc_SP'!$C:$AN,MID(AB$1,1,2),FALSE)</f>
        <v>0</v>
      </c>
      <c r="AC1700" s="55">
        <f>VLOOKUP($E1700,'NI-Soc_SP'!$C:$AN,MID(AC$1,1,2),FALSE)</f>
        <v>0</v>
      </c>
      <c r="AD1700" s="55">
        <f>VLOOKUP($E1700,'NI-Soc_SP'!$C:$AN,MID(AD$1,1,2),FALSE)</f>
        <v>0</v>
      </c>
      <c r="AE1700" s="55">
        <f>VLOOKUP($E1700,'NI-Soc_SP'!$C:$AN,MID(AE$1,1,2),FALSE)</f>
        <v>0</v>
      </c>
      <c r="AF1700" s="55">
        <f>VLOOKUP($E1700,'NI-Soc_SP'!$C:$AN,MID(AF$1,1,2),FALSE)</f>
        <v>0</v>
      </c>
      <c r="AG1700" s="55">
        <f>VLOOKUP($E1700,'NI-Soc_SP'!$C:$AN,MID(AG$1,1,2),FALSE)</f>
        <v>0</v>
      </c>
      <c r="AH1700" s="55">
        <f>VLOOKUP($E1700,'NI-Soc_SP'!$C:$AN,MID(AH$1,1,2),FALSE)</f>
        <v>0</v>
      </c>
      <c r="AI1700" s="55">
        <f>VLOOKUP($E1700,'NI-Soc_SP'!$C:$AN,MID(AI$1,1,2),FALSE)</f>
        <v>0</v>
      </c>
      <c r="AJ1700" s="55">
        <f>VLOOKUP($E1700,'NI-Soc_SP'!$C:$AN,MID(AJ$1,1,2),FALSE)</f>
        <v>0</v>
      </c>
      <c r="AK1700" s="55">
        <f>VLOOKUP($E1700,'NI-Soc_SP'!$C:$AN,MID(AK$1,1,2),FALSE)</f>
        <v>0</v>
      </c>
      <c r="AL1700" s="55">
        <f>VLOOKUP($E1700,'NI-Soc_SP'!$C:$AN,MID(AL$1,1,2),FALSE)</f>
        <v>0</v>
      </c>
      <c r="AM1700" s="56">
        <f>VLOOKUP($E1700,'NI-Soc_SP'!$C:$AN,MID(AM$1,1,2),FALSE)</f>
        <v>0</v>
      </c>
      <c r="AN1700" s="30" t="str">
        <f t="shared" si="26"/>
        <v>10209000000000</v>
      </c>
    </row>
    <row r="1701" spans="3:40" x14ac:dyDescent="0.25">
      <c r="C1701" s="40"/>
      <c r="D1701" s="121" t="s">
        <v>946</v>
      </c>
      <c r="E1701" s="121" t="s">
        <v>947</v>
      </c>
      <c r="F1701" s="122" t="s">
        <v>2758</v>
      </c>
      <c r="G1701" s="52"/>
      <c r="H1701" s="52"/>
      <c r="I1701" s="52"/>
      <c r="J1701" s="52"/>
      <c r="K1701" s="59" t="s">
        <v>79</v>
      </c>
      <c r="L1701" s="52"/>
      <c r="M1701" s="52"/>
      <c r="N1701" s="52"/>
      <c r="O1701" s="52"/>
      <c r="P1701" s="64" t="s">
        <v>948</v>
      </c>
      <c r="Q1701" s="55">
        <f>VLOOKUP(E1701,'NI-Soc_SP'!$C:$AN,12,FALSE)</f>
        <v>0</v>
      </c>
      <c r="R1701" s="55">
        <f>VLOOKUP(E1701,'NI-Soc_SP'!$C:$AN,13,FALSE)</f>
        <v>0</v>
      </c>
      <c r="S1701" s="55"/>
      <c r="T1701" s="55"/>
      <c r="U1701" s="55">
        <f>VLOOKUP($E1701,'NI-Soc_SP'!$C:$AN,MID(U$1,1,2),FALSE)</f>
        <v>0</v>
      </c>
      <c r="V1701" s="55">
        <f>VLOOKUP($E1701,'NI-Soc_SP'!$C:$AN,MID(V$1,1,2),FALSE)</f>
        <v>0</v>
      </c>
      <c r="W1701" s="55">
        <f>VLOOKUP($E1701,'NI-Soc_SP'!$C:$AN,MID(W$1,1,2),FALSE)</f>
        <v>0</v>
      </c>
      <c r="X1701" s="55">
        <f>VLOOKUP($E1701,'NI-Soc_SP'!$C:$AN,MID(X$1,1,2),FALSE)</f>
        <v>0</v>
      </c>
      <c r="Y1701" s="55">
        <f>VLOOKUP($E1701,'NI-Soc_SP'!$C:$AN,MID(Y$1,1,2),FALSE)</f>
        <v>0</v>
      </c>
      <c r="Z1701" s="55">
        <f>VLOOKUP($E1701,'NI-Soc_SP'!$C:$AN,MID(Z$1,1,2),FALSE)</f>
        <v>0</v>
      </c>
      <c r="AA1701" s="55">
        <f>VLOOKUP($E1701,'NI-Soc_SP'!$C:$AN,MID(AA$1,1,2),FALSE)</f>
        <v>0</v>
      </c>
      <c r="AB1701" s="55">
        <f>VLOOKUP($E1701,'NI-Soc_SP'!$C:$AN,MID(AB$1,1,2),FALSE)</f>
        <v>0</v>
      </c>
      <c r="AC1701" s="55">
        <f>VLOOKUP($E1701,'NI-Soc_SP'!$C:$AN,MID(AC$1,1,2),FALSE)</f>
        <v>0</v>
      </c>
      <c r="AD1701" s="55">
        <f>VLOOKUP($E1701,'NI-Soc_SP'!$C:$AN,MID(AD$1,1,2),FALSE)</f>
        <v>0</v>
      </c>
      <c r="AE1701" s="55">
        <f>VLOOKUP($E1701,'NI-Soc_SP'!$C:$AN,MID(AE$1,1,2),FALSE)</f>
        <v>0</v>
      </c>
      <c r="AF1701" s="55">
        <f>VLOOKUP($E1701,'NI-Soc_SP'!$C:$AN,MID(AF$1,1,2),FALSE)</f>
        <v>0</v>
      </c>
      <c r="AG1701" s="55">
        <f>VLOOKUP($E1701,'NI-Soc_SP'!$C:$AN,MID(AG$1,1,2),FALSE)</f>
        <v>0</v>
      </c>
      <c r="AH1701" s="55">
        <f>VLOOKUP($E1701,'NI-Soc_SP'!$C:$AN,MID(AH$1,1,2),FALSE)</f>
        <v>0</v>
      </c>
      <c r="AI1701" s="55">
        <f>VLOOKUP($E1701,'NI-Soc_SP'!$C:$AN,MID(AI$1,1,2),FALSE)</f>
        <v>0</v>
      </c>
      <c r="AJ1701" s="55">
        <f>VLOOKUP($E1701,'NI-Soc_SP'!$C:$AN,MID(AJ$1,1,2),FALSE)</f>
        <v>0</v>
      </c>
      <c r="AK1701" s="55">
        <f>VLOOKUP($E1701,'NI-Soc_SP'!$C:$AN,MID(AK$1,1,2),FALSE)</f>
        <v>0</v>
      </c>
      <c r="AL1701" s="55">
        <f>VLOOKUP($E1701,'NI-Soc_SP'!$C:$AN,MID(AL$1,1,2),FALSE)</f>
        <v>0</v>
      </c>
      <c r="AM1701" s="56">
        <f>VLOOKUP($E1701,'NI-Soc_SP'!$C:$AN,MID(AM$1,1,2),FALSE)</f>
        <v>0</v>
      </c>
      <c r="AN1701" s="30" t="str">
        <f t="shared" si="26"/>
        <v>10209010000000</v>
      </c>
    </row>
    <row r="1702" spans="3:40" x14ac:dyDescent="0.25">
      <c r="C1702" s="40"/>
      <c r="D1702" s="121" t="s">
        <v>949</v>
      </c>
      <c r="E1702" s="121" t="s">
        <v>950</v>
      </c>
      <c r="F1702" s="122" t="s">
        <v>2758</v>
      </c>
      <c r="G1702" s="52"/>
      <c r="H1702" s="52"/>
      <c r="I1702" s="52"/>
      <c r="J1702" s="52"/>
      <c r="K1702" s="59" t="s">
        <v>79</v>
      </c>
      <c r="L1702" s="52"/>
      <c r="M1702" s="52"/>
      <c r="N1702" s="52"/>
      <c r="O1702" s="52"/>
      <c r="P1702" s="64" t="s">
        <v>951</v>
      </c>
      <c r="Q1702" s="55">
        <f>VLOOKUP(E1702,'NI-Soc_SP'!$C:$AN,12,FALSE)</f>
        <v>0</v>
      </c>
      <c r="R1702" s="55">
        <f>VLOOKUP(E1702,'NI-Soc_SP'!$C:$AN,13,FALSE)</f>
        <v>0</v>
      </c>
      <c r="S1702" s="55"/>
      <c r="T1702" s="55"/>
      <c r="U1702" s="55">
        <f>VLOOKUP($E1702,'NI-Soc_SP'!$C:$AN,MID(U$1,1,2),FALSE)</f>
        <v>0</v>
      </c>
      <c r="V1702" s="55">
        <f>VLOOKUP($E1702,'NI-Soc_SP'!$C:$AN,MID(V$1,1,2),FALSE)</f>
        <v>0</v>
      </c>
      <c r="W1702" s="55">
        <f>VLOOKUP($E1702,'NI-Soc_SP'!$C:$AN,MID(W$1,1,2),FALSE)</f>
        <v>0</v>
      </c>
      <c r="X1702" s="55">
        <f>VLOOKUP($E1702,'NI-Soc_SP'!$C:$AN,MID(X$1,1,2),FALSE)</f>
        <v>0</v>
      </c>
      <c r="Y1702" s="55">
        <f>VLOOKUP($E1702,'NI-Soc_SP'!$C:$AN,MID(Y$1,1,2),FALSE)</f>
        <v>0</v>
      </c>
      <c r="Z1702" s="55">
        <f>VLOOKUP($E1702,'NI-Soc_SP'!$C:$AN,MID(Z$1,1,2),FALSE)</f>
        <v>0</v>
      </c>
      <c r="AA1702" s="55">
        <f>VLOOKUP($E1702,'NI-Soc_SP'!$C:$AN,MID(AA$1,1,2),FALSE)</f>
        <v>0</v>
      </c>
      <c r="AB1702" s="55">
        <f>VLOOKUP($E1702,'NI-Soc_SP'!$C:$AN,MID(AB$1,1,2),FALSE)</f>
        <v>0</v>
      </c>
      <c r="AC1702" s="55">
        <f>VLOOKUP($E1702,'NI-Soc_SP'!$C:$AN,MID(AC$1,1,2),FALSE)</f>
        <v>0</v>
      </c>
      <c r="AD1702" s="55">
        <f>VLOOKUP($E1702,'NI-Soc_SP'!$C:$AN,MID(AD$1,1,2),FALSE)</f>
        <v>0</v>
      </c>
      <c r="AE1702" s="55">
        <f>VLOOKUP($E1702,'NI-Soc_SP'!$C:$AN,MID(AE$1,1,2),FALSE)</f>
        <v>0</v>
      </c>
      <c r="AF1702" s="55">
        <f>VLOOKUP($E1702,'NI-Soc_SP'!$C:$AN,MID(AF$1,1,2),FALSE)</f>
        <v>0</v>
      </c>
      <c r="AG1702" s="55">
        <f>VLOOKUP($E1702,'NI-Soc_SP'!$C:$AN,MID(AG$1,1,2),FALSE)</f>
        <v>0</v>
      </c>
      <c r="AH1702" s="55">
        <f>VLOOKUP($E1702,'NI-Soc_SP'!$C:$AN,MID(AH$1,1,2),FALSE)</f>
        <v>0</v>
      </c>
      <c r="AI1702" s="55">
        <f>VLOOKUP($E1702,'NI-Soc_SP'!$C:$AN,MID(AI$1,1,2),FALSE)</f>
        <v>0</v>
      </c>
      <c r="AJ1702" s="55">
        <f>VLOOKUP($E1702,'NI-Soc_SP'!$C:$AN,MID(AJ$1,1,2),FALSE)</f>
        <v>0</v>
      </c>
      <c r="AK1702" s="55">
        <f>VLOOKUP($E1702,'NI-Soc_SP'!$C:$AN,MID(AK$1,1,2),FALSE)</f>
        <v>0</v>
      </c>
      <c r="AL1702" s="55">
        <f>VLOOKUP($E1702,'NI-Soc_SP'!$C:$AN,MID(AL$1,1,2),FALSE)</f>
        <v>0</v>
      </c>
      <c r="AM1702" s="56">
        <f>VLOOKUP($E1702,'NI-Soc_SP'!$C:$AN,MID(AM$1,1,2),FALSE)</f>
        <v>0</v>
      </c>
      <c r="AN1702" s="30" t="str">
        <f t="shared" si="26"/>
        <v>10209020000000</v>
      </c>
    </row>
    <row r="1703" spans="3:40" x14ac:dyDescent="0.25">
      <c r="C1703" s="40"/>
      <c r="D1703" s="121" t="s">
        <v>952</v>
      </c>
      <c r="E1703" s="121" t="s">
        <v>953</v>
      </c>
      <c r="F1703" s="122" t="s">
        <v>2758</v>
      </c>
      <c r="G1703" s="52"/>
      <c r="H1703" s="52"/>
      <c r="I1703" s="52"/>
      <c r="J1703" s="52"/>
      <c r="K1703" s="59" t="s">
        <v>79</v>
      </c>
      <c r="L1703" s="52"/>
      <c r="M1703" s="52"/>
      <c r="N1703" s="52"/>
      <c r="O1703" s="52"/>
      <c r="P1703" s="63" t="s">
        <v>954</v>
      </c>
      <c r="Q1703" s="55">
        <f>VLOOKUP(E1703,'NI-Soc_SP'!$C:$AN,12,FALSE)</f>
        <v>0</v>
      </c>
      <c r="R1703" s="55">
        <f>VLOOKUP(E1703,'NI-Soc_SP'!$C:$AN,13,FALSE)</f>
        <v>0</v>
      </c>
      <c r="S1703" s="55"/>
      <c r="T1703" s="55"/>
      <c r="U1703" s="55">
        <f>VLOOKUP($E1703,'NI-Soc_SP'!$C:$AN,MID(U$1,1,2),FALSE)</f>
        <v>0</v>
      </c>
      <c r="V1703" s="55">
        <f>VLOOKUP($E1703,'NI-Soc_SP'!$C:$AN,MID(V$1,1,2),FALSE)</f>
        <v>0</v>
      </c>
      <c r="W1703" s="55">
        <f>VLOOKUP($E1703,'NI-Soc_SP'!$C:$AN,MID(W$1,1,2),FALSE)</f>
        <v>0</v>
      </c>
      <c r="X1703" s="55">
        <f>VLOOKUP($E1703,'NI-Soc_SP'!$C:$AN,MID(X$1,1,2),FALSE)</f>
        <v>0</v>
      </c>
      <c r="Y1703" s="55">
        <f>VLOOKUP($E1703,'NI-Soc_SP'!$C:$AN,MID(Y$1,1,2),FALSE)</f>
        <v>0</v>
      </c>
      <c r="Z1703" s="55">
        <f>VLOOKUP($E1703,'NI-Soc_SP'!$C:$AN,MID(Z$1,1,2),FALSE)</f>
        <v>0</v>
      </c>
      <c r="AA1703" s="55">
        <f>VLOOKUP($E1703,'NI-Soc_SP'!$C:$AN,MID(AA$1,1,2),FALSE)</f>
        <v>0</v>
      </c>
      <c r="AB1703" s="55">
        <f>VLOOKUP($E1703,'NI-Soc_SP'!$C:$AN,MID(AB$1,1,2),FALSE)</f>
        <v>0</v>
      </c>
      <c r="AC1703" s="55">
        <f>VLOOKUP($E1703,'NI-Soc_SP'!$C:$AN,MID(AC$1,1,2),FALSE)</f>
        <v>0</v>
      </c>
      <c r="AD1703" s="55">
        <f>VLOOKUP($E1703,'NI-Soc_SP'!$C:$AN,MID(AD$1,1,2),FALSE)</f>
        <v>0</v>
      </c>
      <c r="AE1703" s="55">
        <f>VLOOKUP($E1703,'NI-Soc_SP'!$C:$AN,MID(AE$1,1,2),FALSE)</f>
        <v>0</v>
      </c>
      <c r="AF1703" s="55">
        <f>VLOOKUP($E1703,'NI-Soc_SP'!$C:$AN,MID(AF$1,1,2),FALSE)</f>
        <v>0</v>
      </c>
      <c r="AG1703" s="55">
        <f>VLOOKUP($E1703,'NI-Soc_SP'!$C:$AN,MID(AG$1,1,2),FALSE)</f>
        <v>0</v>
      </c>
      <c r="AH1703" s="55">
        <f>VLOOKUP($E1703,'NI-Soc_SP'!$C:$AN,MID(AH$1,1,2),FALSE)</f>
        <v>0</v>
      </c>
      <c r="AI1703" s="55">
        <f>VLOOKUP($E1703,'NI-Soc_SP'!$C:$AN,MID(AI$1,1,2),FALSE)</f>
        <v>0</v>
      </c>
      <c r="AJ1703" s="55">
        <f>VLOOKUP($E1703,'NI-Soc_SP'!$C:$AN,MID(AJ$1,1,2),FALSE)</f>
        <v>0</v>
      </c>
      <c r="AK1703" s="55">
        <f>VLOOKUP($E1703,'NI-Soc_SP'!$C:$AN,MID(AK$1,1,2),FALSE)</f>
        <v>0</v>
      </c>
      <c r="AL1703" s="55">
        <f>VLOOKUP($E1703,'NI-Soc_SP'!$C:$AN,MID(AL$1,1,2),FALSE)</f>
        <v>0</v>
      </c>
      <c r="AM1703" s="56">
        <f>VLOOKUP($E1703,'NI-Soc_SP'!$C:$AN,MID(AM$1,1,2),FALSE)</f>
        <v>0</v>
      </c>
      <c r="AN1703" s="30" t="str">
        <f t="shared" si="26"/>
        <v>10209030000000</v>
      </c>
    </row>
    <row r="1704" spans="3:40" x14ac:dyDescent="0.25">
      <c r="C1704" s="40"/>
      <c r="D1704" s="121" t="s">
        <v>955</v>
      </c>
      <c r="E1704" s="121" t="s">
        <v>956</v>
      </c>
      <c r="F1704" s="122" t="s">
        <v>2758</v>
      </c>
      <c r="G1704" s="52"/>
      <c r="H1704" s="52"/>
      <c r="I1704" s="52"/>
      <c r="J1704" s="52"/>
      <c r="K1704" s="59" t="s">
        <v>111</v>
      </c>
      <c r="L1704" s="52"/>
      <c r="M1704" s="52"/>
      <c r="N1704" s="52"/>
      <c r="O1704" s="52"/>
      <c r="P1704" s="60" t="s">
        <v>957</v>
      </c>
      <c r="Q1704" s="55">
        <f>-VLOOKUP(E1704,'NI-Soc_SP'!$C:$AN,12,FALSE)</f>
        <v>0</v>
      </c>
      <c r="R1704" s="55">
        <f>-VLOOKUP(E1704,'NI-Soc_SP'!$C:$AN,13,FALSE)</f>
        <v>0</v>
      </c>
      <c r="S1704" s="55"/>
      <c r="T1704" s="55"/>
      <c r="U1704" s="55">
        <f>VLOOKUP($E1704,'NI-Soc_SP'!$C:$AN,MID(U$1,1,2),FALSE)</f>
        <v>0</v>
      </c>
      <c r="V1704" s="55">
        <f>VLOOKUP($E1704,'NI-Soc_SP'!$C:$AN,MID(V$1,1,2),FALSE)</f>
        <v>0</v>
      </c>
      <c r="W1704" s="55">
        <f>VLOOKUP($E1704,'NI-Soc_SP'!$C:$AN,MID(W$1,1,2),FALSE)</f>
        <v>0</v>
      </c>
      <c r="X1704" s="55">
        <f>VLOOKUP($E1704,'NI-Soc_SP'!$C:$AN,MID(X$1,1,2),FALSE)</f>
        <v>0</v>
      </c>
      <c r="Y1704" s="55">
        <f>VLOOKUP($E1704,'NI-Soc_SP'!$C:$AN,MID(Y$1,1,2),FALSE)</f>
        <v>0</v>
      </c>
      <c r="Z1704" s="55">
        <f>VLOOKUP($E1704,'NI-Soc_SP'!$C:$AN,MID(Z$1,1,2),FALSE)</f>
        <v>0</v>
      </c>
      <c r="AA1704" s="55">
        <f>VLOOKUP($E1704,'NI-Soc_SP'!$C:$AN,MID(AA$1,1,2),FALSE)</f>
        <v>0</v>
      </c>
      <c r="AB1704" s="55">
        <f>VLOOKUP($E1704,'NI-Soc_SP'!$C:$AN,MID(AB$1,1,2),FALSE)</f>
        <v>0</v>
      </c>
      <c r="AC1704" s="55">
        <f>VLOOKUP($E1704,'NI-Soc_SP'!$C:$AN,MID(AC$1,1,2),FALSE)</f>
        <v>0</v>
      </c>
      <c r="AD1704" s="55">
        <f>VLOOKUP($E1704,'NI-Soc_SP'!$C:$AN,MID(AD$1,1,2),FALSE)</f>
        <v>0</v>
      </c>
      <c r="AE1704" s="55">
        <f>VLOOKUP($E1704,'NI-Soc_SP'!$C:$AN,MID(AE$1,1,2),FALSE)</f>
        <v>0</v>
      </c>
      <c r="AF1704" s="55">
        <f>VLOOKUP($E1704,'NI-Soc_SP'!$C:$AN,MID(AF$1,1,2),FALSE)</f>
        <v>0</v>
      </c>
      <c r="AG1704" s="55">
        <f>VLOOKUP($E1704,'NI-Soc_SP'!$C:$AN,MID(AG$1,1,2),FALSE)</f>
        <v>0</v>
      </c>
      <c r="AH1704" s="55">
        <f>VLOOKUP($E1704,'NI-Soc_SP'!$C:$AN,MID(AH$1,1,2),FALSE)</f>
        <v>0</v>
      </c>
      <c r="AI1704" s="55">
        <f>VLOOKUP($E1704,'NI-Soc_SP'!$C:$AN,MID(AI$1,1,2),FALSE)</f>
        <v>0</v>
      </c>
      <c r="AJ1704" s="55">
        <f>VLOOKUP($E1704,'NI-Soc_SP'!$C:$AN,MID(AJ$1,1,2),FALSE)</f>
        <v>0</v>
      </c>
      <c r="AK1704" s="55">
        <f>VLOOKUP($E1704,'NI-Soc_SP'!$C:$AN,MID(AK$1,1,2),FALSE)</f>
        <v>0</v>
      </c>
      <c r="AL1704" s="55">
        <f>VLOOKUP($E1704,'NI-Soc_SP'!$C:$AN,MID(AL$1,1,2),FALSE)</f>
        <v>0</v>
      </c>
      <c r="AM1704" s="56">
        <f>VLOOKUP($E1704,'NI-Soc_SP'!$C:$AN,MID(AM$1,1,2),FALSE)</f>
        <v>0</v>
      </c>
      <c r="AN1704" s="30" t="str">
        <f t="shared" si="26"/>
        <v>10210000000000</v>
      </c>
    </row>
    <row r="1705" spans="3:40" x14ac:dyDescent="0.25">
      <c r="C1705" s="40"/>
      <c r="D1705" s="121" t="s">
        <v>958</v>
      </c>
      <c r="E1705" s="121" t="s">
        <v>959</v>
      </c>
      <c r="F1705" s="122" t="s">
        <v>2758</v>
      </c>
      <c r="G1705" s="52"/>
      <c r="H1705" s="52"/>
      <c r="I1705" s="52" t="s">
        <v>960</v>
      </c>
      <c r="J1705" s="52"/>
      <c r="K1705" s="59" t="s">
        <v>111</v>
      </c>
      <c r="L1705" s="62" t="s">
        <v>961</v>
      </c>
      <c r="M1705" s="52"/>
      <c r="N1705" s="52"/>
      <c r="O1705" s="52"/>
      <c r="P1705" s="60" t="s">
        <v>962</v>
      </c>
      <c r="Q1705" s="55">
        <f>-VLOOKUP(E1705,'NI-Soc_SP'!$C:$AN,12,FALSE)</f>
        <v>0</v>
      </c>
      <c r="R1705" s="55">
        <f>-VLOOKUP(E1705,'NI-Soc_SP'!$C:$AN,13,FALSE)</f>
        <v>0</v>
      </c>
      <c r="S1705" s="55"/>
      <c r="T1705" s="55"/>
      <c r="U1705" s="55">
        <f>VLOOKUP($E1705,'NI-Soc_SP'!$C:$AN,MID(U$1,1,2),FALSE)</f>
        <v>0</v>
      </c>
      <c r="V1705" s="55">
        <f>VLOOKUP($E1705,'NI-Soc_SP'!$C:$AN,MID(V$1,1,2),FALSE)</f>
        <v>0</v>
      </c>
      <c r="W1705" s="55">
        <f>VLOOKUP($E1705,'NI-Soc_SP'!$C:$AN,MID(W$1,1,2),FALSE)</f>
        <v>0</v>
      </c>
      <c r="X1705" s="55">
        <f>VLOOKUP($E1705,'NI-Soc_SP'!$C:$AN,MID(X$1,1,2),FALSE)</f>
        <v>0</v>
      </c>
      <c r="Y1705" s="55">
        <f>VLOOKUP($E1705,'NI-Soc_SP'!$C:$AN,MID(Y$1,1,2),FALSE)</f>
        <v>0</v>
      </c>
      <c r="Z1705" s="55">
        <f>VLOOKUP($E1705,'NI-Soc_SP'!$C:$AN,MID(Z$1,1,2),FALSE)</f>
        <v>0</v>
      </c>
      <c r="AA1705" s="55">
        <f>VLOOKUP($E1705,'NI-Soc_SP'!$C:$AN,MID(AA$1,1,2),FALSE)</f>
        <v>0</v>
      </c>
      <c r="AB1705" s="55">
        <f>VLOOKUP($E1705,'NI-Soc_SP'!$C:$AN,MID(AB$1,1,2),FALSE)</f>
        <v>0</v>
      </c>
      <c r="AC1705" s="55">
        <f>VLOOKUP($E1705,'NI-Soc_SP'!$C:$AN,MID(AC$1,1,2),FALSE)</f>
        <v>0</v>
      </c>
      <c r="AD1705" s="55">
        <f>VLOOKUP($E1705,'NI-Soc_SP'!$C:$AN,MID(AD$1,1,2),FALSE)</f>
        <v>0</v>
      </c>
      <c r="AE1705" s="55">
        <f>VLOOKUP($E1705,'NI-Soc_SP'!$C:$AN,MID(AE$1,1,2),FALSE)</f>
        <v>0</v>
      </c>
      <c r="AF1705" s="55">
        <f>VLOOKUP($E1705,'NI-Soc_SP'!$C:$AN,MID(AF$1,1,2),FALSE)</f>
        <v>0</v>
      </c>
      <c r="AG1705" s="55">
        <f>VLOOKUP($E1705,'NI-Soc_SP'!$C:$AN,MID(AG$1,1,2),FALSE)</f>
        <v>0</v>
      </c>
      <c r="AH1705" s="55">
        <f>VLOOKUP($E1705,'NI-Soc_SP'!$C:$AN,MID(AH$1,1,2),FALSE)</f>
        <v>0</v>
      </c>
      <c r="AI1705" s="55">
        <f>VLOOKUP($E1705,'NI-Soc_SP'!$C:$AN,MID(AI$1,1,2),FALSE)</f>
        <v>0</v>
      </c>
      <c r="AJ1705" s="55">
        <f>VLOOKUP($E1705,'NI-Soc_SP'!$C:$AN,MID(AJ$1,1,2),FALSE)</f>
        <v>0</v>
      </c>
      <c r="AK1705" s="55">
        <f>VLOOKUP($E1705,'NI-Soc_SP'!$C:$AN,MID(AK$1,1,2),FALSE)</f>
        <v>0</v>
      </c>
      <c r="AL1705" s="55">
        <f>VLOOKUP($E1705,'NI-Soc_SP'!$C:$AN,MID(AL$1,1,2),FALSE)</f>
        <v>0</v>
      </c>
      <c r="AM1705" s="56">
        <f>VLOOKUP($E1705,'NI-Soc_SP'!$C:$AN,MID(AM$1,1,2),FALSE)</f>
        <v>0</v>
      </c>
      <c r="AN1705" s="30" t="str">
        <f t="shared" si="26"/>
        <v>10210010000000</v>
      </c>
    </row>
    <row r="1706" spans="3:40" x14ac:dyDescent="0.25">
      <c r="C1706" s="40"/>
      <c r="D1706" s="121" t="s">
        <v>963</v>
      </c>
      <c r="E1706" s="121" t="s">
        <v>964</v>
      </c>
      <c r="F1706" s="122" t="s">
        <v>2758</v>
      </c>
      <c r="G1706" s="52"/>
      <c r="H1706" s="52"/>
      <c r="I1706" s="52"/>
      <c r="J1706" s="52"/>
      <c r="K1706" s="59" t="s">
        <v>79</v>
      </c>
      <c r="L1706" s="52"/>
      <c r="M1706" s="52"/>
      <c r="N1706" s="52"/>
      <c r="O1706" s="61" t="s">
        <v>438</v>
      </c>
      <c r="P1706" s="63" t="s">
        <v>965</v>
      </c>
      <c r="Q1706" s="55">
        <f>-VLOOKUP(E1706,'NI-Soc_SP'!$C:$AN,12,FALSE)</f>
        <v>0</v>
      </c>
      <c r="R1706" s="55">
        <f>-VLOOKUP(E1706,'NI-Soc_SP'!$C:$AN,13,FALSE)</f>
        <v>0</v>
      </c>
      <c r="S1706" s="55"/>
      <c r="T1706" s="55"/>
      <c r="U1706" s="55">
        <f>VLOOKUP($E1706,'NI-Soc_SP'!$C:$AN,MID(U$1,1,2),FALSE)</f>
        <v>0</v>
      </c>
      <c r="V1706" s="55">
        <f>VLOOKUP($E1706,'NI-Soc_SP'!$C:$AN,MID(V$1,1,2),FALSE)</f>
        <v>0</v>
      </c>
      <c r="W1706" s="55">
        <f>VLOOKUP($E1706,'NI-Soc_SP'!$C:$AN,MID(W$1,1,2),FALSE)</f>
        <v>0</v>
      </c>
      <c r="X1706" s="55">
        <f>VLOOKUP($E1706,'NI-Soc_SP'!$C:$AN,MID(X$1,1,2),FALSE)</f>
        <v>0</v>
      </c>
      <c r="Y1706" s="55">
        <f>VLOOKUP($E1706,'NI-Soc_SP'!$C:$AN,MID(Y$1,1,2),FALSE)</f>
        <v>0</v>
      </c>
      <c r="Z1706" s="55">
        <f>VLOOKUP($E1706,'NI-Soc_SP'!$C:$AN,MID(Z$1,1,2),FALSE)</f>
        <v>0</v>
      </c>
      <c r="AA1706" s="55">
        <f>VLOOKUP($E1706,'NI-Soc_SP'!$C:$AN,MID(AA$1,1,2),FALSE)</f>
        <v>0</v>
      </c>
      <c r="AB1706" s="55">
        <f>VLOOKUP($E1706,'NI-Soc_SP'!$C:$AN,MID(AB$1,1,2),FALSE)</f>
        <v>0</v>
      </c>
      <c r="AC1706" s="55">
        <f>VLOOKUP($E1706,'NI-Soc_SP'!$C:$AN,MID(AC$1,1,2),FALSE)</f>
        <v>0</v>
      </c>
      <c r="AD1706" s="55">
        <f>VLOOKUP($E1706,'NI-Soc_SP'!$C:$AN,MID(AD$1,1,2),FALSE)</f>
        <v>0</v>
      </c>
      <c r="AE1706" s="55">
        <f>VLOOKUP($E1706,'NI-Soc_SP'!$C:$AN,MID(AE$1,1,2),FALSE)</f>
        <v>0</v>
      </c>
      <c r="AF1706" s="55">
        <f>VLOOKUP($E1706,'NI-Soc_SP'!$C:$AN,MID(AF$1,1,2),FALSE)</f>
        <v>0</v>
      </c>
      <c r="AG1706" s="55">
        <f>VLOOKUP($E1706,'NI-Soc_SP'!$C:$AN,MID(AG$1,1,2),FALSE)</f>
        <v>0</v>
      </c>
      <c r="AH1706" s="55">
        <f>VLOOKUP($E1706,'NI-Soc_SP'!$C:$AN,MID(AH$1,1,2),FALSE)</f>
        <v>0</v>
      </c>
      <c r="AI1706" s="55">
        <f>VLOOKUP($E1706,'NI-Soc_SP'!$C:$AN,MID(AI$1,1,2),FALSE)</f>
        <v>0</v>
      </c>
      <c r="AJ1706" s="55">
        <f>VLOOKUP($E1706,'NI-Soc_SP'!$C:$AN,MID(AJ$1,1,2),FALSE)</f>
        <v>0</v>
      </c>
      <c r="AK1706" s="55">
        <f>VLOOKUP($E1706,'NI-Soc_SP'!$C:$AN,MID(AK$1,1,2),FALSE)</f>
        <v>0</v>
      </c>
      <c r="AL1706" s="55">
        <f>VLOOKUP($E1706,'NI-Soc_SP'!$C:$AN,MID(AL$1,1,2),FALSE)</f>
        <v>0</v>
      </c>
      <c r="AM1706" s="56">
        <f>VLOOKUP($E1706,'NI-Soc_SP'!$C:$AN,MID(AM$1,1,2),FALSE)</f>
        <v>0</v>
      </c>
      <c r="AN1706" s="30" t="str">
        <f t="shared" si="26"/>
        <v>10210010010010</v>
      </c>
    </row>
    <row r="1707" spans="3:40" x14ac:dyDescent="0.25">
      <c r="C1707" s="40"/>
      <c r="D1707" s="121" t="s">
        <v>966</v>
      </c>
      <c r="E1707" s="121" t="s">
        <v>967</v>
      </c>
      <c r="F1707" s="122" t="s">
        <v>2758</v>
      </c>
      <c r="G1707" s="52"/>
      <c r="H1707" s="52"/>
      <c r="I1707" s="52"/>
      <c r="J1707" s="52"/>
      <c r="K1707" s="59" t="s">
        <v>79</v>
      </c>
      <c r="L1707" s="52"/>
      <c r="M1707" s="52"/>
      <c r="N1707" s="52"/>
      <c r="O1707" s="61" t="s">
        <v>438</v>
      </c>
      <c r="P1707" s="63" t="s">
        <v>968</v>
      </c>
      <c r="Q1707" s="55">
        <f>-VLOOKUP(E1707,'NI-Soc_SP'!$C:$AN,12,FALSE)</f>
        <v>0</v>
      </c>
      <c r="R1707" s="55">
        <f>-VLOOKUP(E1707,'NI-Soc_SP'!$C:$AN,13,FALSE)</f>
        <v>0</v>
      </c>
      <c r="S1707" s="55"/>
      <c r="T1707" s="55"/>
      <c r="U1707" s="55">
        <f>VLOOKUP($E1707,'NI-Soc_SP'!$C:$AN,MID(U$1,1,2),FALSE)</f>
        <v>0</v>
      </c>
      <c r="V1707" s="55">
        <f>VLOOKUP($E1707,'NI-Soc_SP'!$C:$AN,MID(V$1,1,2),FALSE)</f>
        <v>0</v>
      </c>
      <c r="W1707" s="55">
        <f>VLOOKUP($E1707,'NI-Soc_SP'!$C:$AN,MID(W$1,1,2),FALSE)</f>
        <v>0</v>
      </c>
      <c r="X1707" s="55">
        <f>VLOOKUP($E1707,'NI-Soc_SP'!$C:$AN,MID(X$1,1,2),FALSE)</f>
        <v>0</v>
      </c>
      <c r="Y1707" s="55">
        <f>VLOOKUP($E1707,'NI-Soc_SP'!$C:$AN,MID(Y$1,1,2),FALSE)</f>
        <v>0</v>
      </c>
      <c r="Z1707" s="55">
        <f>VLOOKUP($E1707,'NI-Soc_SP'!$C:$AN,MID(Z$1,1,2),FALSE)</f>
        <v>0</v>
      </c>
      <c r="AA1707" s="55">
        <f>VLOOKUP($E1707,'NI-Soc_SP'!$C:$AN,MID(AA$1,1,2),FALSE)</f>
        <v>0</v>
      </c>
      <c r="AB1707" s="55">
        <f>VLOOKUP($E1707,'NI-Soc_SP'!$C:$AN,MID(AB$1,1,2),FALSE)</f>
        <v>0</v>
      </c>
      <c r="AC1707" s="55">
        <f>VLOOKUP($E1707,'NI-Soc_SP'!$C:$AN,MID(AC$1,1,2),FALSE)</f>
        <v>0</v>
      </c>
      <c r="AD1707" s="55">
        <f>VLOOKUP($E1707,'NI-Soc_SP'!$C:$AN,MID(AD$1,1,2),FALSE)</f>
        <v>0</v>
      </c>
      <c r="AE1707" s="55">
        <f>VLOOKUP($E1707,'NI-Soc_SP'!$C:$AN,MID(AE$1,1,2),FALSE)</f>
        <v>0</v>
      </c>
      <c r="AF1707" s="55">
        <f>VLOOKUP($E1707,'NI-Soc_SP'!$C:$AN,MID(AF$1,1,2),FALSE)</f>
        <v>0</v>
      </c>
      <c r="AG1707" s="55">
        <f>VLOOKUP($E1707,'NI-Soc_SP'!$C:$AN,MID(AG$1,1,2),FALSE)</f>
        <v>0</v>
      </c>
      <c r="AH1707" s="55">
        <f>VLOOKUP($E1707,'NI-Soc_SP'!$C:$AN,MID(AH$1,1,2),FALSE)</f>
        <v>0</v>
      </c>
      <c r="AI1707" s="55">
        <f>VLOOKUP($E1707,'NI-Soc_SP'!$C:$AN,MID(AI$1,1,2),FALSE)</f>
        <v>0</v>
      </c>
      <c r="AJ1707" s="55">
        <f>VLOOKUP($E1707,'NI-Soc_SP'!$C:$AN,MID(AJ$1,1,2),FALSE)</f>
        <v>0</v>
      </c>
      <c r="AK1707" s="55">
        <f>VLOOKUP($E1707,'NI-Soc_SP'!$C:$AN,MID(AK$1,1,2),FALSE)</f>
        <v>0</v>
      </c>
      <c r="AL1707" s="55">
        <f>VLOOKUP($E1707,'NI-Soc_SP'!$C:$AN,MID(AL$1,1,2),FALSE)</f>
        <v>0</v>
      </c>
      <c r="AM1707" s="56">
        <f>VLOOKUP($E1707,'NI-Soc_SP'!$C:$AN,MID(AM$1,1,2),FALSE)</f>
        <v>0</v>
      </c>
      <c r="AN1707" s="30" t="str">
        <f t="shared" si="26"/>
        <v>10210010010020</v>
      </c>
    </row>
    <row r="1708" spans="3:40" x14ac:dyDescent="0.25">
      <c r="C1708" s="40"/>
      <c r="D1708" s="121" t="s">
        <v>969</v>
      </c>
      <c r="E1708" s="121" t="s">
        <v>970</v>
      </c>
      <c r="F1708" s="122" t="s">
        <v>2758</v>
      </c>
      <c r="G1708" s="52"/>
      <c r="H1708" s="52"/>
      <c r="I1708" s="52"/>
      <c r="J1708" s="52"/>
      <c r="K1708" s="59" t="s">
        <v>79</v>
      </c>
      <c r="L1708" s="52"/>
      <c r="M1708" s="52"/>
      <c r="N1708" s="52"/>
      <c r="O1708" s="61" t="s">
        <v>461</v>
      </c>
      <c r="P1708" s="63" t="s">
        <v>971</v>
      </c>
      <c r="Q1708" s="55">
        <f>-VLOOKUP(E1708,'NI-Soc_SP'!$C:$AN,12,FALSE)</f>
        <v>0</v>
      </c>
      <c r="R1708" s="55">
        <f>-VLOOKUP(E1708,'NI-Soc_SP'!$C:$AN,13,FALSE)</f>
        <v>0</v>
      </c>
      <c r="S1708" s="55"/>
      <c r="T1708" s="55"/>
      <c r="U1708" s="55">
        <f>VLOOKUP($E1708,'NI-Soc_SP'!$C:$AN,MID(U$1,1,2),FALSE)</f>
        <v>0</v>
      </c>
      <c r="V1708" s="55">
        <f>VLOOKUP($E1708,'NI-Soc_SP'!$C:$AN,MID(V$1,1,2),FALSE)</f>
        <v>0</v>
      </c>
      <c r="W1708" s="55">
        <f>VLOOKUP($E1708,'NI-Soc_SP'!$C:$AN,MID(W$1,1,2),FALSE)</f>
        <v>0</v>
      </c>
      <c r="X1708" s="55">
        <f>VLOOKUP($E1708,'NI-Soc_SP'!$C:$AN,MID(X$1,1,2),FALSE)</f>
        <v>0</v>
      </c>
      <c r="Y1708" s="55">
        <f>VLOOKUP($E1708,'NI-Soc_SP'!$C:$AN,MID(Y$1,1,2),FALSE)</f>
        <v>0</v>
      </c>
      <c r="Z1708" s="55">
        <f>VLOOKUP($E1708,'NI-Soc_SP'!$C:$AN,MID(Z$1,1,2),FALSE)</f>
        <v>0</v>
      </c>
      <c r="AA1708" s="55">
        <f>VLOOKUP($E1708,'NI-Soc_SP'!$C:$AN,MID(AA$1,1,2),FALSE)</f>
        <v>0</v>
      </c>
      <c r="AB1708" s="55">
        <f>VLOOKUP($E1708,'NI-Soc_SP'!$C:$AN,MID(AB$1,1,2),FALSE)</f>
        <v>0</v>
      </c>
      <c r="AC1708" s="55">
        <f>VLOOKUP($E1708,'NI-Soc_SP'!$C:$AN,MID(AC$1,1,2),FALSE)</f>
        <v>0</v>
      </c>
      <c r="AD1708" s="55">
        <f>VLOOKUP($E1708,'NI-Soc_SP'!$C:$AN,MID(AD$1,1,2),FALSE)</f>
        <v>0</v>
      </c>
      <c r="AE1708" s="55">
        <f>VLOOKUP($E1708,'NI-Soc_SP'!$C:$AN,MID(AE$1,1,2),FALSE)</f>
        <v>0</v>
      </c>
      <c r="AF1708" s="55">
        <f>VLOOKUP($E1708,'NI-Soc_SP'!$C:$AN,MID(AF$1,1,2),FALSE)</f>
        <v>0</v>
      </c>
      <c r="AG1708" s="55">
        <f>VLOOKUP($E1708,'NI-Soc_SP'!$C:$AN,MID(AG$1,1,2),FALSE)</f>
        <v>0</v>
      </c>
      <c r="AH1708" s="55">
        <f>VLOOKUP($E1708,'NI-Soc_SP'!$C:$AN,MID(AH$1,1,2),FALSE)</f>
        <v>0</v>
      </c>
      <c r="AI1708" s="55">
        <f>VLOOKUP($E1708,'NI-Soc_SP'!$C:$AN,MID(AI$1,1,2),FALSE)</f>
        <v>0</v>
      </c>
      <c r="AJ1708" s="55">
        <f>VLOOKUP($E1708,'NI-Soc_SP'!$C:$AN,MID(AJ$1,1,2),FALSE)</f>
        <v>0</v>
      </c>
      <c r="AK1708" s="55">
        <f>VLOOKUP($E1708,'NI-Soc_SP'!$C:$AN,MID(AK$1,1,2),FALSE)</f>
        <v>0</v>
      </c>
      <c r="AL1708" s="55">
        <f>VLOOKUP($E1708,'NI-Soc_SP'!$C:$AN,MID(AL$1,1,2),FALSE)</f>
        <v>0</v>
      </c>
      <c r="AM1708" s="56">
        <f>VLOOKUP($E1708,'NI-Soc_SP'!$C:$AN,MID(AM$1,1,2),FALSE)</f>
        <v>0</v>
      </c>
      <c r="AN1708" s="30" t="str">
        <f t="shared" si="26"/>
        <v>10210010020010</v>
      </c>
    </row>
    <row r="1709" spans="3:40" x14ac:dyDescent="0.25">
      <c r="C1709" s="40"/>
      <c r="D1709" s="121" t="s">
        <v>972</v>
      </c>
      <c r="E1709" s="121" t="s">
        <v>973</v>
      </c>
      <c r="F1709" s="122" t="s">
        <v>2758</v>
      </c>
      <c r="G1709" s="52"/>
      <c r="H1709" s="52"/>
      <c r="I1709" s="52"/>
      <c r="J1709" s="52"/>
      <c r="K1709" s="59" t="s">
        <v>79</v>
      </c>
      <c r="L1709" s="52"/>
      <c r="M1709" s="52"/>
      <c r="N1709" s="52"/>
      <c r="O1709" s="61" t="s">
        <v>461</v>
      </c>
      <c r="P1709" s="63" t="s">
        <v>974</v>
      </c>
      <c r="Q1709" s="55">
        <f>-VLOOKUP(E1709,'NI-Soc_SP'!$C:$AN,12,FALSE)</f>
        <v>0</v>
      </c>
      <c r="R1709" s="55">
        <f>-VLOOKUP(E1709,'NI-Soc_SP'!$C:$AN,13,FALSE)</f>
        <v>0</v>
      </c>
      <c r="S1709" s="55"/>
      <c r="T1709" s="55"/>
      <c r="U1709" s="55">
        <f>VLOOKUP($E1709,'NI-Soc_SP'!$C:$AN,MID(U$1,1,2),FALSE)</f>
        <v>0</v>
      </c>
      <c r="V1709" s="55">
        <f>VLOOKUP($E1709,'NI-Soc_SP'!$C:$AN,MID(V$1,1,2),FALSE)</f>
        <v>0</v>
      </c>
      <c r="W1709" s="55">
        <f>VLOOKUP($E1709,'NI-Soc_SP'!$C:$AN,MID(W$1,1,2),FALSE)</f>
        <v>0</v>
      </c>
      <c r="X1709" s="55">
        <f>VLOOKUP($E1709,'NI-Soc_SP'!$C:$AN,MID(X$1,1,2),FALSE)</f>
        <v>0</v>
      </c>
      <c r="Y1709" s="55">
        <f>VLOOKUP($E1709,'NI-Soc_SP'!$C:$AN,MID(Y$1,1,2),FALSE)</f>
        <v>0</v>
      </c>
      <c r="Z1709" s="55">
        <f>VLOOKUP($E1709,'NI-Soc_SP'!$C:$AN,MID(Z$1,1,2),FALSE)</f>
        <v>0</v>
      </c>
      <c r="AA1709" s="55">
        <f>VLOOKUP($E1709,'NI-Soc_SP'!$C:$AN,MID(AA$1,1,2),FALSE)</f>
        <v>0</v>
      </c>
      <c r="AB1709" s="55">
        <f>VLOOKUP($E1709,'NI-Soc_SP'!$C:$AN,MID(AB$1,1,2),FALSE)</f>
        <v>0</v>
      </c>
      <c r="AC1709" s="55">
        <f>VLOOKUP($E1709,'NI-Soc_SP'!$C:$AN,MID(AC$1,1,2),FALSE)</f>
        <v>0</v>
      </c>
      <c r="AD1709" s="55">
        <f>VLOOKUP($E1709,'NI-Soc_SP'!$C:$AN,MID(AD$1,1,2),FALSE)</f>
        <v>0</v>
      </c>
      <c r="AE1709" s="55">
        <f>VLOOKUP($E1709,'NI-Soc_SP'!$C:$AN,MID(AE$1,1,2),FALSE)</f>
        <v>0</v>
      </c>
      <c r="AF1709" s="55">
        <f>VLOOKUP($E1709,'NI-Soc_SP'!$C:$AN,MID(AF$1,1,2),FALSE)</f>
        <v>0</v>
      </c>
      <c r="AG1709" s="55">
        <f>VLOOKUP($E1709,'NI-Soc_SP'!$C:$AN,MID(AG$1,1,2),FALSE)</f>
        <v>0</v>
      </c>
      <c r="AH1709" s="55">
        <f>VLOOKUP($E1709,'NI-Soc_SP'!$C:$AN,MID(AH$1,1,2),FALSE)</f>
        <v>0</v>
      </c>
      <c r="AI1709" s="55">
        <f>VLOOKUP($E1709,'NI-Soc_SP'!$C:$AN,MID(AI$1,1,2),FALSE)</f>
        <v>0</v>
      </c>
      <c r="AJ1709" s="55">
        <f>VLOOKUP($E1709,'NI-Soc_SP'!$C:$AN,MID(AJ$1,1,2),FALSE)</f>
        <v>0</v>
      </c>
      <c r="AK1709" s="55">
        <f>VLOOKUP($E1709,'NI-Soc_SP'!$C:$AN,MID(AK$1,1,2),FALSE)</f>
        <v>0</v>
      </c>
      <c r="AL1709" s="55">
        <f>VLOOKUP($E1709,'NI-Soc_SP'!$C:$AN,MID(AL$1,1,2),FALSE)</f>
        <v>0</v>
      </c>
      <c r="AM1709" s="56">
        <f>VLOOKUP($E1709,'NI-Soc_SP'!$C:$AN,MID(AM$1,1,2),FALSE)</f>
        <v>0</v>
      </c>
      <c r="AN1709" s="30" t="str">
        <f t="shared" si="26"/>
        <v>10210010020020</v>
      </c>
    </row>
    <row r="1710" spans="3:40" x14ac:dyDescent="0.25">
      <c r="C1710" s="40"/>
      <c r="D1710" s="121" t="s">
        <v>975</v>
      </c>
      <c r="E1710" s="121" t="s">
        <v>976</v>
      </c>
      <c r="F1710" s="122" t="s">
        <v>2758</v>
      </c>
      <c r="G1710" s="52"/>
      <c r="H1710" s="52"/>
      <c r="I1710" s="52" t="s">
        <v>977</v>
      </c>
      <c r="J1710" s="52"/>
      <c r="K1710" s="59" t="s">
        <v>111</v>
      </c>
      <c r="L1710" s="62" t="s">
        <v>978</v>
      </c>
      <c r="M1710" s="52"/>
      <c r="N1710" s="52"/>
      <c r="O1710" s="52"/>
      <c r="P1710" s="60" t="s">
        <v>979</v>
      </c>
      <c r="Q1710" s="55">
        <f>-VLOOKUP(E1710,'NI-Soc_SP'!$C:$AN,12,FALSE)</f>
        <v>0</v>
      </c>
      <c r="R1710" s="55">
        <f>-VLOOKUP(E1710,'NI-Soc_SP'!$C:$AN,13,FALSE)</f>
        <v>0</v>
      </c>
      <c r="S1710" s="55"/>
      <c r="T1710" s="55"/>
      <c r="U1710" s="55">
        <f>VLOOKUP($E1710,'NI-Soc_SP'!$C:$AN,MID(U$1,1,2),FALSE)</f>
        <v>0</v>
      </c>
      <c r="V1710" s="55">
        <f>VLOOKUP($E1710,'NI-Soc_SP'!$C:$AN,MID(V$1,1,2),FALSE)</f>
        <v>0</v>
      </c>
      <c r="W1710" s="55">
        <f>VLOOKUP($E1710,'NI-Soc_SP'!$C:$AN,MID(W$1,1,2),FALSE)</f>
        <v>0</v>
      </c>
      <c r="X1710" s="55">
        <f>VLOOKUP($E1710,'NI-Soc_SP'!$C:$AN,MID(X$1,1,2),FALSE)</f>
        <v>0</v>
      </c>
      <c r="Y1710" s="55">
        <f>VLOOKUP($E1710,'NI-Soc_SP'!$C:$AN,MID(Y$1,1,2),FALSE)</f>
        <v>0</v>
      </c>
      <c r="Z1710" s="55">
        <f>VLOOKUP($E1710,'NI-Soc_SP'!$C:$AN,MID(Z$1,1,2),FALSE)</f>
        <v>0</v>
      </c>
      <c r="AA1710" s="55">
        <f>VLOOKUP($E1710,'NI-Soc_SP'!$C:$AN,MID(AA$1,1,2),FALSE)</f>
        <v>0</v>
      </c>
      <c r="AB1710" s="55">
        <f>VLOOKUP($E1710,'NI-Soc_SP'!$C:$AN,MID(AB$1,1,2),FALSE)</f>
        <v>0</v>
      </c>
      <c r="AC1710" s="55">
        <f>VLOOKUP($E1710,'NI-Soc_SP'!$C:$AN,MID(AC$1,1,2),FALSE)</f>
        <v>0</v>
      </c>
      <c r="AD1710" s="55">
        <f>VLOOKUP($E1710,'NI-Soc_SP'!$C:$AN,MID(AD$1,1,2),FALSE)</f>
        <v>0</v>
      </c>
      <c r="AE1710" s="55">
        <f>VLOOKUP($E1710,'NI-Soc_SP'!$C:$AN,MID(AE$1,1,2),FALSE)</f>
        <v>0</v>
      </c>
      <c r="AF1710" s="55">
        <f>VLOOKUP($E1710,'NI-Soc_SP'!$C:$AN,MID(AF$1,1,2),FALSE)</f>
        <v>0</v>
      </c>
      <c r="AG1710" s="55">
        <f>VLOOKUP($E1710,'NI-Soc_SP'!$C:$AN,MID(AG$1,1,2),FALSE)</f>
        <v>0</v>
      </c>
      <c r="AH1710" s="55">
        <f>VLOOKUP($E1710,'NI-Soc_SP'!$C:$AN,MID(AH$1,1,2),FALSE)</f>
        <v>0</v>
      </c>
      <c r="AI1710" s="55">
        <f>VLOOKUP($E1710,'NI-Soc_SP'!$C:$AN,MID(AI$1,1,2),FALSE)</f>
        <v>0</v>
      </c>
      <c r="AJ1710" s="55">
        <f>VLOOKUP($E1710,'NI-Soc_SP'!$C:$AN,MID(AJ$1,1,2),FALSE)</f>
        <v>0</v>
      </c>
      <c r="AK1710" s="55">
        <f>VLOOKUP($E1710,'NI-Soc_SP'!$C:$AN,MID(AK$1,1,2),FALSE)</f>
        <v>0</v>
      </c>
      <c r="AL1710" s="55">
        <f>VLOOKUP($E1710,'NI-Soc_SP'!$C:$AN,MID(AL$1,1,2),FALSE)</f>
        <v>0</v>
      </c>
      <c r="AM1710" s="56">
        <f>VLOOKUP($E1710,'NI-Soc_SP'!$C:$AN,MID(AM$1,1,2),FALSE)</f>
        <v>0</v>
      </c>
      <c r="AN1710" s="30" t="str">
        <f t="shared" si="26"/>
        <v>10210020000000</v>
      </c>
    </row>
    <row r="1711" spans="3:40" x14ac:dyDescent="0.25">
      <c r="C1711" s="40"/>
      <c r="D1711" s="121" t="s">
        <v>980</v>
      </c>
      <c r="E1711" s="121" t="s">
        <v>981</v>
      </c>
      <c r="F1711" s="122" t="s">
        <v>2758</v>
      </c>
      <c r="G1711" s="52"/>
      <c r="H1711" s="52"/>
      <c r="I1711" s="52"/>
      <c r="J1711" s="52"/>
      <c r="K1711" s="59" t="s">
        <v>79</v>
      </c>
      <c r="L1711" s="52"/>
      <c r="M1711" s="52"/>
      <c r="N1711" s="52"/>
      <c r="O1711" s="61" t="s">
        <v>486</v>
      </c>
      <c r="P1711" s="63" t="s">
        <v>982</v>
      </c>
      <c r="Q1711" s="55">
        <f>-VLOOKUP(E1711,'NI-Soc_SP'!$C:$AN,12,FALSE)</f>
        <v>0</v>
      </c>
      <c r="R1711" s="55">
        <f>-VLOOKUP(E1711,'NI-Soc_SP'!$C:$AN,13,FALSE)</f>
        <v>0</v>
      </c>
      <c r="S1711" s="55"/>
      <c r="T1711" s="55"/>
      <c r="U1711" s="55">
        <f>VLOOKUP($E1711,'NI-Soc_SP'!$C:$AN,MID(U$1,1,2),FALSE)</f>
        <v>0</v>
      </c>
      <c r="V1711" s="55">
        <f>VLOOKUP($E1711,'NI-Soc_SP'!$C:$AN,MID(V$1,1,2),FALSE)</f>
        <v>0</v>
      </c>
      <c r="W1711" s="55">
        <f>VLOOKUP($E1711,'NI-Soc_SP'!$C:$AN,MID(W$1,1,2),FALSE)</f>
        <v>0</v>
      </c>
      <c r="X1711" s="55">
        <f>VLOOKUP($E1711,'NI-Soc_SP'!$C:$AN,MID(X$1,1,2),FALSE)</f>
        <v>0</v>
      </c>
      <c r="Y1711" s="55">
        <f>VLOOKUP($E1711,'NI-Soc_SP'!$C:$AN,MID(Y$1,1,2),FALSE)</f>
        <v>0</v>
      </c>
      <c r="Z1711" s="55">
        <f>VLOOKUP($E1711,'NI-Soc_SP'!$C:$AN,MID(Z$1,1,2),FALSE)</f>
        <v>0</v>
      </c>
      <c r="AA1711" s="55">
        <f>VLOOKUP($E1711,'NI-Soc_SP'!$C:$AN,MID(AA$1,1,2),FALSE)</f>
        <v>0</v>
      </c>
      <c r="AB1711" s="55">
        <f>VLOOKUP($E1711,'NI-Soc_SP'!$C:$AN,MID(AB$1,1,2),FALSE)</f>
        <v>0</v>
      </c>
      <c r="AC1711" s="55">
        <f>VLOOKUP($E1711,'NI-Soc_SP'!$C:$AN,MID(AC$1,1,2),FALSE)</f>
        <v>0</v>
      </c>
      <c r="AD1711" s="55">
        <f>VLOOKUP($E1711,'NI-Soc_SP'!$C:$AN,MID(AD$1,1,2),FALSE)</f>
        <v>0</v>
      </c>
      <c r="AE1711" s="55">
        <f>VLOOKUP($E1711,'NI-Soc_SP'!$C:$AN,MID(AE$1,1,2),FALSE)</f>
        <v>0</v>
      </c>
      <c r="AF1711" s="55">
        <f>VLOOKUP($E1711,'NI-Soc_SP'!$C:$AN,MID(AF$1,1,2),FALSE)</f>
        <v>0</v>
      </c>
      <c r="AG1711" s="55">
        <f>VLOOKUP($E1711,'NI-Soc_SP'!$C:$AN,MID(AG$1,1,2),FALSE)</f>
        <v>0</v>
      </c>
      <c r="AH1711" s="55">
        <f>VLOOKUP($E1711,'NI-Soc_SP'!$C:$AN,MID(AH$1,1,2),FALSE)</f>
        <v>0</v>
      </c>
      <c r="AI1711" s="55">
        <f>VLOOKUP($E1711,'NI-Soc_SP'!$C:$AN,MID(AI$1,1,2),FALSE)</f>
        <v>0</v>
      </c>
      <c r="AJ1711" s="55">
        <f>VLOOKUP($E1711,'NI-Soc_SP'!$C:$AN,MID(AJ$1,1,2),FALSE)</f>
        <v>0</v>
      </c>
      <c r="AK1711" s="55">
        <f>VLOOKUP($E1711,'NI-Soc_SP'!$C:$AN,MID(AK$1,1,2),FALSE)</f>
        <v>0</v>
      </c>
      <c r="AL1711" s="55">
        <f>VLOOKUP($E1711,'NI-Soc_SP'!$C:$AN,MID(AL$1,1,2),FALSE)</f>
        <v>0</v>
      </c>
      <c r="AM1711" s="56">
        <f>VLOOKUP($E1711,'NI-Soc_SP'!$C:$AN,MID(AM$1,1,2),FALSE)</f>
        <v>0</v>
      </c>
      <c r="AN1711" s="30" t="str">
        <f t="shared" si="26"/>
        <v>10210020010010</v>
      </c>
    </row>
    <row r="1712" spans="3:40" x14ac:dyDescent="0.25">
      <c r="C1712" s="40"/>
      <c r="D1712" s="121" t="s">
        <v>983</v>
      </c>
      <c r="E1712" s="121" t="s">
        <v>984</v>
      </c>
      <c r="F1712" s="122" t="s">
        <v>2758</v>
      </c>
      <c r="G1712" s="52"/>
      <c r="H1712" s="52"/>
      <c r="I1712" s="52"/>
      <c r="J1712" s="52"/>
      <c r="K1712" s="59" t="s">
        <v>79</v>
      </c>
      <c r="L1712" s="52"/>
      <c r="M1712" s="52"/>
      <c r="N1712" s="52"/>
      <c r="O1712" s="61" t="s">
        <v>486</v>
      </c>
      <c r="P1712" s="63" t="s">
        <v>985</v>
      </c>
      <c r="Q1712" s="55">
        <f>-VLOOKUP(E1712,'NI-Soc_SP'!$C:$AN,12,FALSE)</f>
        <v>0</v>
      </c>
      <c r="R1712" s="55">
        <f>-VLOOKUP(E1712,'NI-Soc_SP'!$C:$AN,13,FALSE)</f>
        <v>0</v>
      </c>
      <c r="S1712" s="55"/>
      <c r="T1712" s="55"/>
      <c r="U1712" s="55">
        <f>VLOOKUP($E1712,'NI-Soc_SP'!$C:$AN,MID(U$1,1,2),FALSE)</f>
        <v>0</v>
      </c>
      <c r="V1712" s="55">
        <f>VLOOKUP($E1712,'NI-Soc_SP'!$C:$AN,MID(V$1,1,2),FALSE)</f>
        <v>0</v>
      </c>
      <c r="W1712" s="55">
        <f>VLOOKUP($E1712,'NI-Soc_SP'!$C:$AN,MID(W$1,1,2),FALSE)</f>
        <v>0</v>
      </c>
      <c r="X1712" s="55">
        <f>VLOOKUP($E1712,'NI-Soc_SP'!$C:$AN,MID(X$1,1,2),FALSE)</f>
        <v>0</v>
      </c>
      <c r="Y1712" s="55">
        <f>VLOOKUP($E1712,'NI-Soc_SP'!$C:$AN,MID(Y$1,1,2),FALSE)</f>
        <v>0</v>
      </c>
      <c r="Z1712" s="55">
        <f>VLOOKUP($E1712,'NI-Soc_SP'!$C:$AN,MID(Z$1,1,2),FALSE)</f>
        <v>0</v>
      </c>
      <c r="AA1712" s="55">
        <f>VLOOKUP($E1712,'NI-Soc_SP'!$C:$AN,MID(AA$1,1,2),FALSE)</f>
        <v>0</v>
      </c>
      <c r="AB1712" s="55">
        <f>VLOOKUP($E1712,'NI-Soc_SP'!$C:$AN,MID(AB$1,1,2),FALSE)</f>
        <v>0</v>
      </c>
      <c r="AC1712" s="55">
        <f>VLOOKUP($E1712,'NI-Soc_SP'!$C:$AN,MID(AC$1,1,2),FALSE)</f>
        <v>0</v>
      </c>
      <c r="AD1712" s="55">
        <f>VLOOKUP($E1712,'NI-Soc_SP'!$C:$AN,MID(AD$1,1,2),FALSE)</f>
        <v>0</v>
      </c>
      <c r="AE1712" s="55">
        <f>VLOOKUP($E1712,'NI-Soc_SP'!$C:$AN,MID(AE$1,1,2),FALSE)</f>
        <v>0</v>
      </c>
      <c r="AF1712" s="55">
        <f>VLOOKUP($E1712,'NI-Soc_SP'!$C:$AN,MID(AF$1,1,2),FALSE)</f>
        <v>0</v>
      </c>
      <c r="AG1712" s="55">
        <f>VLOOKUP($E1712,'NI-Soc_SP'!$C:$AN,MID(AG$1,1,2),FALSE)</f>
        <v>0</v>
      </c>
      <c r="AH1712" s="55">
        <f>VLOOKUP($E1712,'NI-Soc_SP'!$C:$AN,MID(AH$1,1,2),FALSE)</f>
        <v>0</v>
      </c>
      <c r="AI1712" s="55">
        <f>VLOOKUP($E1712,'NI-Soc_SP'!$C:$AN,MID(AI$1,1,2),FALSE)</f>
        <v>0</v>
      </c>
      <c r="AJ1712" s="55">
        <f>VLOOKUP($E1712,'NI-Soc_SP'!$C:$AN,MID(AJ$1,1,2),FALSE)</f>
        <v>0</v>
      </c>
      <c r="AK1712" s="55">
        <f>VLOOKUP($E1712,'NI-Soc_SP'!$C:$AN,MID(AK$1,1,2),FALSE)</f>
        <v>0</v>
      </c>
      <c r="AL1712" s="55">
        <f>VLOOKUP($E1712,'NI-Soc_SP'!$C:$AN,MID(AL$1,1,2),FALSE)</f>
        <v>0</v>
      </c>
      <c r="AM1712" s="56">
        <f>VLOOKUP($E1712,'NI-Soc_SP'!$C:$AN,MID(AM$1,1,2),FALSE)</f>
        <v>0</v>
      </c>
      <c r="AN1712" s="30" t="str">
        <f t="shared" si="26"/>
        <v>10210020010020</v>
      </c>
    </row>
    <row r="1713" spans="3:40" x14ac:dyDescent="0.25">
      <c r="C1713" s="40"/>
      <c r="D1713" s="121" t="s">
        <v>986</v>
      </c>
      <c r="E1713" s="121" t="s">
        <v>987</v>
      </c>
      <c r="F1713" s="122" t="s">
        <v>2758</v>
      </c>
      <c r="G1713" s="52"/>
      <c r="H1713" s="52"/>
      <c r="I1713" s="52"/>
      <c r="J1713" s="52"/>
      <c r="K1713" s="59" t="s">
        <v>79</v>
      </c>
      <c r="L1713" s="52"/>
      <c r="M1713" s="52"/>
      <c r="N1713" s="52"/>
      <c r="O1713" s="61" t="s">
        <v>524</v>
      </c>
      <c r="P1713" s="63" t="s">
        <v>988</v>
      </c>
      <c r="Q1713" s="55">
        <f>-VLOOKUP(E1713,'NI-Soc_SP'!$C:$AN,12,FALSE)</f>
        <v>0</v>
      </c>
      <c r="R1713" s="55">
        <f>-VLOOKUP(E1713,'NI-Soc_SP'!$C:$AN,13,FALSE)</f>
        <v>0</v>
      </c>
      <c r="S1713" s="55"/>
      <c r="T1713" s="55"/>
      <c r="U1713" s="55">
        <f>VLOOKUP($E1713,'NI-Soc_SP'!$C:$AN,MID(U$1,1,2),FALSE)</f>
        <v>0</v>
      </c>
      <c r="V1713" s="55">
        <f>VLOOKUP($E1713,'NI-Soc_SP'!$C:$AN,MID(V$1,1,2),FALSE)</f>
        <v>0</v>
      </c>
      <c r="W1713" s="55">
        <f>VLOOKUP($E1713,'NI-Soc_SP'!$C:$AN,MID(W$1,1,2),FALSE)</f>
        <v>0</v>
      </c>
      <c r="X1713" s="55">
        <f>VLOOKUP($E1713,'NI-Soc_SP'!$C:$AN,MID(X$1,1,2),FALSE)</f>
        <v>0</v>
      </c>
      <c r="Y1713" s="55">
        <f>VLOOKUP($E1713,'NI-Soc_SP'!$C:$AN,MID(Y$1,1,2),FALSE)</f>
        <v>0</v>
      </c>
      <c r="Z1713" s="55">
        <f>VLOOKUP($E1713,'NI-Soc_SP'!$C:$AN,MID(Z$1,1,2),FALSE)</f>
        <v>0</v>
      </c>
      <c r="AA1713" s="55">
        <f>VLOOKUP($E1713,'NI-Soc_SP'!$C:$AN,MID(AA$1,1,2),FALSE)</f>
        <v>0</v>
      </c>
      <c r="AB1713" s="55">
        <f>VLOOKUP($E1713,'NI-Soc_SP'!$C:$AN,MID(AB$1,1,2),FALSE)</f>
        <v>0</v>
      </c>
      <c r="AC1713" s="55">
        <f>VLOOKUP($E1713,'NI-Soc_SP'!$C:$AN,MID(AC$1,1,2),FALSE)</f>
        <v>0</v>
      </c>
      <c r="AD1713" s="55">
        <f>VLOOKUP($E1713,'NI-Soc_SP'!$C:$AN,MID(AD$1,1,2),FALSE)</f>
        <v>0</v>
      </c>
      <c r="AE1713" s="55">
        <f>VLOOKUP($E1713,'NI-Soc_SP'!$C:$AN,MID(AE$1,1,2),FALSE)</f>
        <v>0</v>
      </c>
      <c r="AF1713" s="55">
        <f>VLOOKUP($E1713,'NI-Soc_SP'!$C:$AN,MID(AF$1,1,2),FALSE)</f>
        <v>0</v>
      </c>
      <c r="AG1713" s="55">
        <f>VLOOKUP($E1713,'NI-Soc_SP'!$C:$AN,MID(AG$1,1,2),FALSE)</f>
        <v>0</v>
      </c>
      <c r="AH1713" s="55">
        <f>VLOOKUP($E1713,'NI-Soc_SP'!$C:$AN,MID(AH$1,1,2),FALSE)</f>
        <v>0</v>
      </c>
      <c r="AI1713" s="55">
        <f>VLOOKUP($E1713,'NI-Soc_SP'!$C:$AN,MID(AI$1,1,2),FALSE)</f>
        <v>0</v>
      </c>
      <c r="AJ1713" s="55">
        <f>VLOOKUP($E1713,'NI-Soc_SP'!$C:$AN,MID(AJ$1,1,2),FALSE)</f>
        <v>0</v>
      </c>
      <c r="AK1713" s="55">
        <f>VLOOKUP($E1713,'NI-Soc_SP'!$C:$AN,MID(AK$1,1,2),FALSE)</f>
        <v>0</v>
      </c>
      <c r="AL1713" s="55">
        <f>VLOOKUP($E1713,'NI-Soc_SP'!$C:$AN,MID(AL$1,1,2),FALSE)</f>
        <v>0</v>
      </c>
      <c r="AM1713" s="56">
        <f>VLOOKUP($E1713,'NI-Soc_SP'!$C:$AN,MID(AM$1,1,2),FALSE)</f>
        <v>0</v>
      </c>
      <c r="AN1713" s="30" t="str">
        <f t="shared" si="26"/>
        <v>10210020020010</v>
      </c>
    </row>
    <row r="1714" spans="3:40" x14ac:dyDescent="0.25">
      <c r="C1714" s="40"/>
      <c r="D1714" s="121" t="s">
        <v>989</v>
      </c>
      <c r="E1714" s="121" t="s">
        <v>990</v>
      </c>
      <c r="F1714" s="122" t="s">
        <v>2758</v>
      </c>
      <c r="G1714" s="52"/>
      <c r="H1714" s="52"/>
      <c r="I1714" s="52"/>
      <c r="J1714" s="52"/>
      <c r="K1714" s="59" t="s">
        <v>79</v>
      </c>
      <c r="L1714" s="52"/>
      <c r="M1714" s="52"/>
      <c r="N1714" s="52"/>
      <c r="O1714" s="61" t="s">
        <v>524</v>
      </c>
      <c r="P1714" s="63" t="s">
        <v>991</v>
      </c>
      <c r="Q1714" s="55">
        <f>-VLOOKUP(E1714,'NI-Soc_SP'!$C:$AN,12,FALSE)</f>
        <v>0</v>
      </c>
      <c r="R1714" s="55">
        <f>-VLOOKUP(E1714,'NI-Soc_SP'!$C:$AN,13,FALSE)</f>
        <v>0</v>
      </c>
      <c r="S1714" s="55"/>
      <c r="T1714" s="55"/>
      <c r="U1714" s="55">
        <f>VLOOKUP($E1714,'NI-Soc_SP'!$C:$AN,MID(U$1,1,2),FALSE)</f>
        <v>0</v>
      </c>
      <c r="V1714" s="55">
        <f>VLOOKUP($E1714,'NI-Soc_SP'!$C:$AN,MID(V$1,1,2),FALSE)</f>
        <v>0</v>
      </c>
      <c r="W1714" s="55">
        <f>VLOOKUP($E1714,'NI-Soc_SP'!$C:$AN,MID(W$1,1,2),FALSE)</f>
        <v>0</v>
      </c>
      <c r="X1714" s="55">
        <f>VLOOKUP($E1714,'NI-Soc_SP'!$C:$AN,MID(X$1,1,2),FALSE)</f>
        <v>0</v>
      </c>
      <c r="Y1714" s="55">
        <f>VLOOKUP($E1714,'NI-Soc_SP'!$C:$AN,MID(Y$1,1,2),FALSE)</f>
        <v>0</v>
      </c>
      <c r="Z1714" s="55">
        <f>VLOOKUP($E1714,'NI-Soc_SP'!$C:$AN,MID(Z$1,1,2),FALSE)</f>
        <v>0</v>
      </c>
      <c r="AA1714" s="55">
        <f>VLOOKUP($E1714,'NI-Soc_SP'!$C:$AN,MID(AA$1,1,2),FALSE)</f>
        <v>0</v>
      </c>
      <c r="AB1714" s="55">
        <f>VLOOKUP($E1714,'NI-Soc_SP'!$C:$AN,MID(AB$1,1,2),FALSE)</f>
        <v>0</v>
      </c>
      <c r="AC1714" s="55">
        <f>VLOOKUP($E1714,'NI-Soc_SP'!$C:$AN,MID(AC$1,1,2),FALSE)</f>
        <v>0</v>
      </c>
      <c r="AD1714" s="55">
        <f>VLOOKUP($E1714,'NI-Soc_SP'!$C:$AN,MID(AD$1,1,2),FALSE)</f>
        <v>0</v>
      </c>
      <c r="AE1714" s="55">
        <f>VLOOKUP($E1714,'NI-Soc_SP'!$C:$AN,MID(AE$1,1,2),FALSE)</f>
        <v>0</v>
      </c>
      <c r="AF1714" s="55">
        <f>VLOOKUP($E1714,'NI-Soc_SP'!$C:$AN,MID(AF$1,1,2),FALSE)</f>
        <v>0</v>
      </c>
      <c r="AG1714" s="55">
        <f>VLOOKUP($E1714,'NI-Soc_SP'!$C:$AN,MID(AG$1,1,2),FALSE)</f>
        <v>0</v>
      </c>
      <c r="AH1714" s="55">
        <f>VLOOKUP($E1714,'NI-Soc_SP'!$C:$AN,MID(AH$1,1,2),FALSE)</f>
        <v>0</v>
      </c>
      <c r="AI1714" s="55">
        <f>VLOOKUP($E1714,'NI-Soc_SP'!$C:$AN,MID(AI$1,1,2),FALSE)</f>
        <v>0</v>
      </c>
      <c r="AJ1714" s="55">
        <f>VLOOKUP($E1714,'NI-Soc_SP'!$C:$AN,MID(AJ$1,1,2),FALSE)</f>
        <v>0</v>
      </c>
      <c r="AK1714" s="55">
        <f>VLOOKUP($E1714,'NI-Soc_SP'!$C:$AN,MID(AK$1,1,2),FALSE)</f>
        <v>0</v>
      </c>
      <c r="AL1714" s="55">
        <f>VLOOKUP($E1714,'NI-Soc_SP'!$C:$AN,MID(AL$1,1,2),FALSE)</f>
        <v>0</v>
      </c>
      <c r="AM1714" s="56">
        <f>VLOOKUP($E1714,'NI-Soc_SP'!$C:$AN,MID(AM$1,1,2),FALSE)</f>
        <v>0</v>
      </c>
      <c r="AN1714" s="30" t="str">
        <f t="shared" si="26"/>
        <v>10210020020020</v>
      </c>
    </row>
    <row r="1715" spans="3:40" x14ac:dyDescent="0.25">
      <c r="C1715" s="40"/>
      <c r="D1715" s="121" t="s">
        <v>992</v>
      </c>
      <c r="E1715" s="121" t="s">
        <v>993</v>
      </c>
      <c r="F1715" s="122" t="s">
        <v>2758</v>
      </c>
      <c r="G1715" s="52"/>
      <c r="H1715" s="52"/>
      <c r="I1715" s="52" t="s">
        <v>994</v>
      </c>
      <c r="J1715" s="52"/>
      <c r="K1715" s="59" t="s">
        <v>111</v>
      </c>
      <c r="L1715" s="62" t="s">
        <v>995</v>
      </c>
      <c r="M1715" s="52"/>
      <c r="N1715" s="52"/>
      <c r="O1715" s="61" t="s">
        <v>560</v>
      </c>
      <c r="P1715" s="60" t="s">
        <v>996</v>
      </c>
      <c r="Q1715" s="55">
        <f>-VLOOKUP(E1715,'NI-Soc_SP'!$C:$AN,12,FALSE)</f>
        <v>0</v>
      </c>
      <c r="R1715" s="55">
        <f>-VLOOKUP(E1715,'NI-Soc_SP'!$C:$AN,13,FALSE)</f>
        <v>0</v>
      </c>
      <c r="S1715" s="55"/>
      <c r="T1715" s="55"/>
      <c r="U1715" s="55">
        <f>VLOOKUP($E1715,'NI-Soc_SP'!$C:$AN,MID(U$1,1,2),FALSE)</f>
        <v>0</v>
      </c>
      <c r="V1715" s="55">
        <f>VLOOKUP($E1715,'NI-Soc_SP'!$C:$AN,MID(V$1,1,2),FALSE)</f>
        <v>0</v>
      </c>
      <c r="W1715" s="55">
        <f>VLOOKUP($E1715,'NI-Soc_SP'!$C:$AN,MID(W$1,1,2),FALSE)</f>
        <v>0</v>
      </c>
      <c r="X1715" s="55">
        <f>VLOOKUP($E1715,'NI-Soc_SP'!$C:$AN,MID(X$1,1,2),FALSE)</f>
        <v>0</v>
      </c>
      <c r="Y1715" s="55">
        <f>VLOOKUP($E1715,'NI-Soc_SP'!$C:$AN,MID(Y$1,1,2),FALSE)</f>
        <v>0</v>
      </c>
      <c r="Z1715" s="55">
        <f>VLOOKUP($E1715,'NI-Soc_SP'!$C:$AN,MID(Z$1,1,2),FALSE)</f>
        <v>0</v>
      </c>
      <c r="AA1715" s="55">
        <f>VLOOKUP($E1715,'NI-Soc_SP'!$C:$AN,MID(AA$1,1,2),FALSE)</f>
        <v>0</v>
      </c>
      <c r="AB1715" s="55">
        <f>VLOOKUP($E1715,'NI-Soc_SP'!$C:$AN,MID(AB$1,1,2),FALSE)</f>
        <v>0</v>
      </c>
      <c r="AC1715" s="55">
        <f>VLOOKUP($E1715,'NI-Soc_SP'!$C:$AN,MID(AC$1,1,2),FALSE)</f>
        <v>0</v>
      </c>
      <c r="AD1715" s="55">
        <f>VLOOKUP($E1715,'NI-Soc_SP'!$C:$AN,MID(AD$1,1,2),FALSE)</f>
        <v>0</v>
      </c>
      <c r="AE1715" s="55">
        <f>VLOOKUP($E1715,'NI-Soc_SP'!$C:$AN,MID(AE$1,1,2),FALSE)</f>
        <v>0</v>
      </c>
      <c r="AF1715" s="55">
        <f>VLOOKUP($E1715,'NI-Soc_SP'!$C:$AN,MID(AF$1,1,2),FALSE)</f>
        <v>0</v>
      </c>
      <c r="AG1715" s="55">
        <f>VLOOKUP($E1715,'NI-Soc_SP'!$C:$AN,MID(AG$1,1,2),FALSE)</f>
        <v>0</v>
      </c>
      <c r="AH1715" s="55">
        <f>VLOOKUP($E1715,'NI-Soc_SP'!$C:$AN,MID(AH$1,1,2),FALSE)</f>
        <v>0</v>
      </c>
      <c r="AI1715" s="55">
        <f>VLOOKUP($E1715,'NI-Soc_SP'!$C:$AN,MID(AI$1,1,2),FALSE)</f>
        <v>0</v>
      </c>
      <c r="AJ1715" s="55">
        <f>VLOOKUP($E1715,'NI-Soc_SP'!$C:$AN,MID(AJ$1,1,2),FALSE)</f>
        <v>0</v>
      </c>
      <c r="AK1715" s="55">
        <f>VLOOKUP($E1715,'NI-Soc_SP'!$C:$AN,MID(AK$1,1,2),FALSE)</f>
        <v>0</v>
      </c>
      <c r="AL1715" s="55">
        <f>VLOOKUP($E1715,'NI-Soc_SP'!$C:$AN,MID(AL$1,1,2),FALSE)</f>
        <v>0</v>
      </c>
      <c r="AM1715" s="56">
        <f>VLOOKUP($E1715,'NI-Soc_SP'!$C:$AN,MID(AM$1,1,2),FALSE)</f>
        <v>0</v>
      </c>
      <c r="AN1715" s="30" t="str">
        <f t="shared" si="26"/>
        <v>10210030000000</v>
      </c>
    </row>
    <row r="1716" spans="3:40" x14ac:dyDescent="0.25">
      <c r="C1716" s="40"/>
      <c r="D1716" s="121" t="s">
        <v>997</v>
      </c>
      <c r="E1716" s="121" t="s">
        <v>998</v>
      </c>
      <c r="F1716" s="122" t="s">
        <v>2758</v>
      </c>
      <c r="G1716" s="52"/>
      <c r="H1716" s="52"/>
      <c r="I1716" s="52"/>
      <c r="J1716" s="52"/>
      <c r="K1716" s="59" t="s">
        <v>79</v>
      </c>
      <c r="L1716" s="52"/>
      <c r="M1716" s="52"/>
      <c r="N1716" s="52"/>
      <c r="O1716" s="52"/>
      <c r="P1716" s="63" t="s">
        <v>999</v>
      </c>
      <c r="Q1716" s="55">
        <f>-VLOOKUP(E1716,'NI-Soc_SP'!$C:$AN,12,FALSE)</f>
        <v>0</v>
      </c>
      <c r="R1716" s="55">
        <f>-VLOOKUP(E1716,'NI-Soc_SP'!$C:$AN,13,FALSE)</f>
        <v>0</v>
      </c>
      <c r="S1716" s="55"/>
      <c r="T1716" s="55"/>
      <c r="U1716" s="55">
        <f>VLOOKUP($E1716,'NI-Soc_SP'!$C:$AN,MID(U$1,1,2),FALSE)</f>
        <v>0</v>
      </c>
      <c r="V1716" s="55">
        <f>VLOOKUP($E1716,'NI-Soc_SP'!$C:$AN,MID(V$1,1,2),FALSE)</f>
        <v>0</v>
      </c>
      <c r="W1716" s="55">
        <f>VLOOKUP($E1716,'NI-Soc_SP'!$C:$AN,MID(W$1,1,2),FALSE)</f>
        <v>0</v>
      </c>
      <c r="X1716" s="55">
        <f>VLOOKUP($E1716,'NI-Soc_SP'!$C:$AN,MID(X$1,1,2),FALSE)</f>
        <v>0</v>
      </c>
      <c r="Y1716" s="55">
        <f>VLOOKUP($E1716,'NI-Soc_SP'!$C:$AN,MID(Y$1,1,2),FALSE)</f>
        <v>0</v>
      </c>
      <c r="Z1716" s="55">
        <f>VLOOKUP($E1716,'NI-Soc_SP'!$C:$AN,MID(Z$1,1,2),FALSE)</f>
        <v>0</v>
      </c>
      <c r="AA1716" s="55">
        <f>VLOOKUP($E1716,'NI-Soc_SP'!$C:$AN,MID(AA$1,1,2),FALSE)</f>
        <v>0</v>
      </c>
      <c r="AB1716" s="55">
        <f>VLOOKUP($E1716,'NI-Soc_SP'!$C:$AN,MID(AB$1,1,2),FALSE)</f>
        <v>0</v>
      </c>
      <c r="AC1716" s="55">
        <f>VLOOKUP($E1716,'NI-Soc_SP'!$C:$AN,MID(AC$1,1,2),FALSE)</f>
        <v>0</v>
      </c>
      <c r="AD1716" s="55">
        <f>VLOOKUP($E1716,'NI-Soc_SP'!$C:$AN,MID(AD$1,1,2),FALSE)</f>
        <v>0</v>
      </c>
      <c r="AE1716" s="55">
        <f>VLOOKUP($E1716,'NI-Soc_SP'!$C:$AN,MID(AE$1,1,2),FALSE)</f>
        <v>0</v>
      </c>
      <c r="AF1716" s="55">
        <f>VLOOKUP($E1716,'NI-Soc_SP'!$C:$AN,MID(AF$1,1,2),FALSE)</f>
        <v>0</v>
      </c>
      <c r="AG1716" s="55">
        <f>VLOOKUP($E1716,'NI-Soc_SP'!$C:$AN,MID(AG$1,1,2),FALSE)</f>
        <v>0</v>
      </c>
      <c r="AH1716" s="55">
        <f>VLOOKUP($E1716,'NI-Soc_SP'!$C:$AN,MID(AH$1,1,2),FALSE)</f>
        <v>0</v>
      </c>
      <c r="AI1716" s="55">
        <f>VLOOKUP($E1716,'NI-Soc_SP'!$C:$AN,MID(AI$1,1,2),FALSE)</f>
        <v>0</v>
      </c>
      <c r="AJ1716" s="55">
        <f>VLOOKUP($E1716,'NI-Soc_SP'!$C:$AN,MID(AJ$1,1,2),FALSE)</f>
        <v>0</v>
      </c>
      <c r="AK1716" s="55">
        <f>VLOOKUP($E1716,'NI-Soc_SP'!$C:$AN,MID(AK$1,1,2),FALSE)</f>
        <v>0</v>
      </c>
      <c r="AL1716" s="55">
        <f>VLOOKUP($E1716,'NI-Soc_SP'!$C:$AN,MID(AL$1,1,2),FALSE)</f>
        <v>0</v>
      </c>
      <c r="AM1716" s="56">
        <f>VLOOKUP($E1716,'NI-Soc_SP'!$C:$AN,MID(AM$1,1,2),FALSE)</f>
        <v>0</v>
      </c>
      <c r="AN1716" s="30" t="str">
        <f t="shared" si="26"/>
        <v>10210030010000</v>
      </c>
    </row>
    <row r="1717" spans="3:40" x14ac:dyDescent="0.25">
      <c r="C1717" s="40"/>
      <c r="D1717" s="121" t="s">
        <v>1000</v>
      </c>
      <c r="E1717" s="121" t="s">
        <v>1001</v>
      </c>
      <c r="F1717" s="122" t="s">
        <v>2758</v>
      </c>
      <c r="G1717" s="52"/>
      <c r="H1717" s="52"/>
      <c r="I1717" s="52"/>
      <c r="J1717" s="52"/>
      <c r="K1717" s="59" t="s">
        <v>79</v>
      </c>
      <c r="L1717" s="52"/>
      <c r="M1717" s="52"/>
      <c r="N1717" s="52"/>
      <c r="O1717" s="52"/>
      <c r="P1717" s="63" t="s">
        <v>1002</v>
      </c>
      <c r="Q1717" s="55">
        <f>-VLOOKUP(E1717,'NI-Soc_SP'!$C:$AN,12,FALSE)</f>
        <v>0</v>
      </c>
      <c r="R1717" s="55">
        <f>-VLOOKUP(E1717,'NI-Soc_SP'!$C:$AN,13,FALSE)</f>
        <v>0</v>
      </c>
      <c r="S1717" s="55"/>
      <c r="T1717" s="55"/>
      <c r="U1717" s="55">
        <f>VLOOKUP($E1717,'NI-Soc_SP'!$C:$AN,MID(U$1,1,2),FALSE)</f>
        <v>0</v>
      </c>
      <c r="V1717" s="55">
        <f>VLOOKUP($E1717,'NI-Soc_SP'!$C:$AN,MID(V$1,1,2),FALSE)</f>
        <v>0</v>
      </c>
      <c r="W1717" s="55">
        <f>VLOOKUP($E1717,'NI-Soc_SP'!$C:$AN,MID(W$1,1,2),FALSE)</f>
        <v>0</v>
      </c>
      <c r="X1717" s="55">
        <f>VLOOKUP($E1717,'NI-Soc_SP'!$C:$AN,MID(X$1,1,2),FALSE)</f>
        <v>0</v>
      </c>
      <c r="Y1717" s="55">
        <f>VLOOKUP($E1717,'NI-Soc_SP'!$C:$AN,MID(Y$1,1,2),FALSE)</f>
        <v>0</v>
      </c>
      <c r="Z1717" s="55">
        <f>VLOOKUP($E1717,'NI-Soc_SP'!$C:$AN,MID(Z$1,1,2),FALSE)</f>
        <v>0</v>
      </c>
      <c r="AA1717" s="55">
        <f>VLOOKUP($E1717,'NI-Soc_SP'!$C:$AN,MID(AA$1,1,2),FALSE)</f>
        <v>0</v>
      </c>
      <c r="AB1717" s="55">
        <f>VLOOKUP($E1717,'NI-Soc_SP'!$C:$AN,MID(AB$1,1,2),FALSE)</f>
        <v>0</v>
      </c>
      <c r="AC1717" s="55">
        <f>VLOOKUP($E1717,'NI-Soc_SP'!$C:$AN,MID(AC$1,1,2),FALSE)</f>
        <v>0</v>
      </c>
      <c r="AD1717" s="55">
        <f>VLOOKUP($E1717,'NI-Soc_SP'!$C:$AN,MID(AD$1,1,2),FALSE)</f>
        <v>0</v>
      </c>
      <c r="AE1717" s="55">
        <f>VLOOKUP($E1717,'NI-Soc_SP'!$C:$AN,MID(AE$1,1,2),FALSE)</f>
        <v>0</v>
      </c>
      <c r="AF1717" s="55">
        <f>VLOOKUP($E1717,'NI-Soc_SP'!$C:$AN,MID(AF$1,1,2),FALSE)</f>
        <v>0</v>
      </c>
      <c r="AG1717" s="55">
        <f>VLOOKUP($E1717,'NI-Soc_SP'!$C:$AN,MID(AG$1,1,2),FALSE)</f>
        <v>0</v>
      </c>
      <c r="AH1717" s="55">
        <f>VLOOKUP($E1717,'NI-Soc_SP'!$C:$AN,MID(AH$1,1,2),FALSE)</f>
        <v>0</v>
      </c>
      <c r="AI1717" s="55">
        <f>VLOOKUP($E1717,'NI-Soc_SP'!$C:$AN,MID(AI$1,1,2),FALSE)</f>
        <v>0</v>
      </c>
      <c r="AJ1717" s="55">
        <f>VLOOKUP($E1717,'NI-Soc_SP'!$C:$AN,MID(AJ$1,1,2),FALSE)</f>
        <v>0</v>
      </c>
      <c r="AK1717" s="55">
        <f>VLOOKUP($E1717,'NI-Soc_SP'!$C:$AN,MID(AK$1,1,2),FALSE)</f>
        <v>0</v>
      </c>
      <c r="AL1717" s="55">
        <f>VLOOKUP($E1717,'NI-Soc_SP'!$C:$AN,MID(AL$1,1,2),FALSE)</f>
        <v>0</v>
      </c>
      <c r="AM1717" s="56">
        <f>VLOOKUP($E1717,'NI-Soc_SP'!$C:$AN,MID(AM$1,1,2),FALSE)</f>
        <v>0</v>
      </c>
      <c r="AN1717" s="30" t="str">
        <f t="shared" si="26"/>
        <v>10210030020000</v>
      </c>
    </row>
    <row r="1718" spans="3:40" x14ac:dyDescent="0.25">
      <c r="C1718" s="40"/>
      <c r="D1718" s="121" t="s">
        <v>1003</v>
      </c>
      <c r="E1718" s="121" t="s">
        <v>1004</v>
      </c>
      <c r="F1718" s="122" t="s">
        <v>2758</v>
      </c>
      <c r="G1718" s="52"/>
      <c r="H1718" s="52"/>
      <c r="I1718" s="52" t="s">
        <v>1005</v>
      </c>
      <c r="J1718" s="52"/>
      <c r="K1718" s="59" t="s">
        <v>111</v>
      </c>
      <c r="L1718" s="62" t="s">
        <v>1006</v>
      </c>
      <c r="M1718" s="52"/>
      <c r="N1718" s="52"/>
      <c r="O1718" s="61" t="s">
        <v>658</v>
      </c>
      <c r="P1718" s="60" t="s">
        <v>1007</v>
      </c>
      <c r="Q1718" s="55">
        <f>-VLOOKUP(E1718,'NI-Soc_SP'!$C:$AN,12,FALSE)</f>
        <v>0</v>
      </c>
      <c r="R1718" s="55">
        <f>-VLOOKUP(E1718,'NI-Soc_SP'!$C:$AN,13,FALSE)</f>
        <v>0</v>
      </c>
      <c r="S1718" s="55"/>
      <c r="T1718" s="55"/>
      <c r="U1718" s="55">
        <f>VLOOKUP($E1718,'NI-Soc_SP'!$C:$AN,MID(U$1,1,2),FALSE)</f>
        <v>0</v>
      </c>
      <c r="V1718" s="55">
        <f>VLOOKUP($E1718,'NI-Soc_SP'!$C:$AN,MID(V$1,1,2),FALSE)</f>
        <v>0</v>
      </c>
      <c r="W1718" s="55">
        <f>VLOOKUP($E1718,'NI-Soc_SP'!$C:$AN,MID(W$1,1,2),FALSE)</f>
        <v>0</v>
      </c>
      <c r="X1718" s="55">
        <f>VLOOKUP($E1718,'NI-Soc_SP'!$C:$AN,MID(X$1,1,2),FALSE)</f>
        <v>0</v>
      </c>
      <c r="Y1718" s="55">
        <f>VLOOKUP($E1718,'NI-Soc_SP'!$C:$AN,MID(Y$1,1,2),FALSE)</f>
        <v>0</v>
      </c>
      <c r="Z1718" s="55">
        <f>VLOOKUP($E1718,'NI-Soc_SP'!$C:$AN,MID(Z$1,1,2),FALSE)</f>
        <v>0</v>
      </c>
      <c r="AA1718" s="55">
        <f>VLOOKUP($E1718,'NI-Soc_SP'!$C:$AN,MID(AA$1,1,2),FALSE)</f>
        <v>0</v>
      </c>
      <c r="AB1718" s="55">
        <f>VLOOKUP($E1718,'NI-Soc_SP'!$C:$AN,MID(AB$1,1,2),FALSE)</f>
        <v>0</v>
      </c>
      <c r="AC1718" s="55">
        <f>VLOOKUP($E1718,'NI-Soc_SP'!$C:$AN,MID(AC$1,1,2),FALSE)</f>
        <v>0</v>
      </c>
      <c r="AD1718" s="55">
        <f>VLOOKUP($E1718,'NI-Soc_SP'!$C:$AN,MID(AD$1,1,2),FALSE)</f>
        <v>0</v>
      </c>
      <c r="AE1718" s="55">
        <f>VLOOKUP($E1718,'NI-Soc_SP'!$C:$AN,MID(AE$1,1,2),FALSE)</f>
        <v>0</v>
      </c>
      <c r="AF1718" s="55">
        <f>VLOOKUP($E1718,'NI-Soc_SP'!$C:$AN,MID(AF$1,1,2),FALSE)</f>
        <v>0</v>
      </c>
      <c r="AG1718" s="55">
        <f>VLOOKUP($E1718,'NI-Soc_SP'!$C:$AN,MID(AG$1,1,2),FALSE)</f>
        <v>0</v>
      </c>
      <c r="AH1718" s="55">
        <f>VLOOKUP($E1718,'NI-Soc_SP'!$C:$AN,MID(AH$1,1,2),FALSE)</f>
        <v>0</v>
      </c>
      <c r="AI1718" s="55">
        <f>VLOOKUP($E1718,'NI-Soc_SP'!$C:$AN,MID(AI$1,1,2),FALSE)</f>
        <v>0</v>
      </c>
      <c r="AJ1718" s="55">
        <f>VLOOKUP($E1718,'NI-Soc_SP'!$C:$AN,MID(AJ$1,1,2),FALSE)</f>
        <v>0</v>
      </c>
      <c r="AK1718" s="55">
        <f>VLOOKUP($E1718,'NI-Soc_SP'!$C:$AN,MID(AK$1,1,2),FALSE)</f>
        <v>0</v>
      </c>
      <c r="AL1718" s="55">
        <f>VLOOKUP($E1718,'NI-Soc_SP'!$C:$AN,MID(AL$1,1,2),FALSE)</f>
        <v>0</v>
      </c>
      <c r="AM1718" s="56">
        <f>VLOOKUP($E1718,'NI-Soc_SP'!$C:$AN,MID(AM$1,1,2),FALSE)</f>
        <v>0</v>
      </c>
      <c r="AN1718" s="30" t="str">
        <f t="shared" si="26"/>
        <v>10210040000000</v>
      </c>
    </row>
    <row r="1719" spans="3:40" x14ac:dyDescent="0.25">
      <c r="C1719" s="40"/>
      <c r="D1719" s="121" t="s">
        <v>1008</v>
      </c>
      <c r="E1719" s="121" t="s">
        <v>1009</v>
      </c>
      <c r="F1719" s="122" t="s">
        <v>2758</v>
      </c>
      <c r="G1719" s="52"/>
      <c r="H1719" s="52"/>
      <c r="I1719" s="52"/>
      <c r="J1719" s="52"/>
      <c r="K1719" s="59" t="s">
        <v>79</v>
      </c>
      <c r="L1719" s="52"/>
      <c r="M1719" s="52"/>
      <c r="N1719" s="52"/>
      <c r="O1719" s="52"/>
      <c r="P1719" s="63" t="s">
        <v>1010</v>
      </c>
      <c r="Q1719" s="55">
        <f>-VLOOKUP(E1719,'NI-Soc_SP'!$C:$AN,12,FALSE)</f>
        <v>0</v>
      </c>
      <c r="R1719" s="55">
        <f>-VLOOKUP(E1719,'NI-Soc_SP'!$C:$AN,13,FALSE)</f>
        <v>0</v>
      </c>
      <c r="S1719" s="55"/>
      <c r="T1719" s="55"/>
      <c r="U1719" s="55">
        <f>VLOOKUP($E1719,'NI-Soc_SP'!$C:$AN,MID(U$1,1,2),FALSE)</f>
        <v>0</v>
      </c>
      <c r="V1719" s="55">
        <f>VLOOKUP($E1719,'NI-Soc_SP'!$C:$AN,MID(V$1,1,2),FALSE)</f>
        <v>0</v>
      </c>
      <c r="W1719" s="55">
        <f>VLOOKUP($E1719,'NI-Soc_SP'!$C:$AN,MID(W$1,1,2),FALSE)</f>
        <v>0</v>
      </c>
      <c r="X1719" s="55">
        <f>VLOOKUP($E1719,'NI-Soc_SP'!$C:$AN,MID(X$1,1,2),FALSE)</f>
        <v>0</v>
      </c>
      <c r="Y1719" s="55">
        <f>VLOOKUP($E1719,'NI-Soc_SP'!$C:$AN,MID(Y$1,1,2),FALSE)</f>
        <v>0</v>
      </c>
      <c r="Z1719" s="55">
        <f>VLOOKUP($E1719,'NI-Soc_SP'!$C:$AN,MID(Z$1,1,2),FALSE)</f>
        <v>0</v>
      </c>
      <c r="AA1719" s="55">
        <f>VLOOKUP($E1719,'NI-Soc_SP'!$C:$AN,MID(AA$1,1,2),FALSE)</f>
        <v>0</v>
      </c>
      <c r="AB1719" s="55">
        <f>VLOOKUP($E1719,'NI-Soc_SP'!$C:$AN,MID(AB$1,1,2),FALSE)</f>
        <v>0</v>
      </c>
      <c r="AC1719" s="55">
        <f>VLOOKUP($E1719,'NI-Soc_SP'!$C:$AN,MID(AC$1,1,2),FALSE)</f>
        <v>0</v>
      </c>
      <c r="AD1719" s="55">
        <f>VLOOKUP($E1719,'NI-Soc_SP'!$C:$AN,MID(AD$1,1,2),FALSE)</f>
        <v>0</v>
      </c>
      <c r="AE1719" s="55">
        <f>VLOOKUP($E1719,'NI-Soc_SP'!$C:$AN,MID(AE$1,1,2),FALSE)</f>
        <v>0</v>
      </c>
      <c r="AF1719" s="55">
        <f>VLOOKUP($E1719,'NI-Soc_SP'!$C:$AN,MID(AF$1,1,2),FALSE)</f>
        <v>0</v>
      </c>
      <c r="AG1719" s="55">
        <f>VLOOKUP($E1719,'NI-Soc_SP'!$C:$AN,MID(AG$1,1,2),FALSE)</f>
        <v>0</v>
      </c>
      <c r="AH1719" s="55">
        <f>VLOOKUP($E1719,'NI-Soc_SP'!$C:$AN,MID(AH$1,1,2),FALSE)</f>
        <v>0</v>
      </c>
      <c r="AI1719" s="55">
        <f>VLOOKUP($E1719,'NI-Soc_SP'!$C:$AN,MID(AI$1,1,2),FALSE)</f>
        <v>0</v>
      </c>
      <c r="AJ1719" s="55">
        <f>VLOOKUP($E1719,'NI-Soc_SP'!$C:$AN,MID(AJ$1,1,2),FALSE)</f>
        <v>0</v>
      </c>
      <c r="AK1719" s="55">
        <f>VLOOKUP($E1719,'NI-Soc_SP'!$C:$AN,MID(AK$1,1,2),FALSE)</f>
        <v>0</v>
      </c>
      <c r="AL1719" s="55">
        <f>VLOOKUP($E1719,'NI-Soc_SP'!$C:$AN,MID(AL$1,1,2),FALSE)</f>
        <v>0</v>
      </c>
      <c r="AM1719" s="56">
        <f>VLOOKUP($E1719,'NI-Soc_SP'!$C:$AN,MID(AM$1,1,2),FALSE)</f>
        <v>0</v>
      </c>
      <c r="AN1719" s="30" t="str">
        <f t="shared" si="26"/>
        <v>10210040010010</v>
      </c>
    </row>
    <row r="1720" spans="3:40" x14ac:dyDescent="0.25">
      <c r="C1720" s="40"/>
      <c r="D1720" s="121" t="s">
        <v>1011</v>
      </c>
      <c r="E1720" s="121" t="s">
        <v>1012</v>
      </c>
      <c r="F1720" s="122" t="s">
        <v>2758</v>
      </c>
      <c r="G1720" s="52"/>
      <c r="H1720" s="52"/>
      <c r="I1720" s="52"/>
      <c r="J1720" s="52"/>
      <c r="K1720" s="59" t="s">
        <v>79</v>
      </c>
      <c r="L1720" s="52"/>
      <c r="M1720" s="52"/>
      <c r="N1720" s="52"/>
      <c r="O1720" s="52"/>
      <c r="P1720" s="63" t="s">
        <v>1013</v>
      </c>
      <c r="Q1720" s="55">
        <f>-VLOOKUP(E1720,'NI-Soc_SP'!$C:$AN,12,FALSE)</f>
        <v>0</v>
      </c>
      <c r="R1720" s="55">
        <f>-VLOOKUP(E1720,'NI-Soc_SP'!$C:$AN,13,FALSE)</f>
        <v>0</v>
      </c>
      <c r="S1720" s="55"/>
      <c r="T1720" s="55"/>
      <c r="U1720" s="55">
        <f>VLOOKUP($E1720,'NI-Soc_SP'!$C:$AN,MID(U$1,1,2),FALSE)</f>
        <v>0</v>
      </c>
      <c r="V1720" s="55">
        <f>VLOOKUP($E1720,'NI-Soc_SP'!$C:$AN,MID(V$1,1,2),FALSE)</f>
        <v>0</v>
      </c>
      <c r="W1720" s="55">
        <f>VLOOKUP($E1720,'NI-Soc_SP'!$C:$AN,MID(W$1,1,2),FALSE)</f>
        <v>0</v>
      </c>
      <c r="X1720" s="55">
        <f>VLOOKUP($E1720,'NI-Soc_SP'!$C:$AN,MID(X$1,1,2),FALSE)</f>
        <v>0</v>
      </c>
      <c r="Y1720" s="55">
        <f>VLOOKUP($E1720,'NI-Soc_SP'!$C:$AN,MID(Y$1,1,2),FALSE)</f>
        <v>0</v>
      </c>
      <c r="Z1720" s="55">
        <f>VLOOKUP($E1720,'NI-Soc_SP'!$C:$AN,MID(Z$1,1,2),FALSE)</f>
        <v>0</v>
      </c>
      <c r="AA1720" s="55">
        <f>VLOOKUP($E1720,'NI-Soc_SP'!$C:$AN,MID(AA$1,1,2),FALSE)</f>
        <v>0</v>
      </c>
      <c r="AB1720" s="55">
        <f>VLOOKUP($E1720,'NI-Soc_SP'!$C:$AN,MID(AB$1,1,2),FALSE)</f>
        <v>0</v>
      </c>
      <c r="AC1720" s="55">
        <f>VLOOKUP($E1720,'NI-Soc_SP'!$C:$AN,MID(AC$1,1,2),FALSE)</f>
        <v>0</v>
      </c>
      <c r="AD1720" s="55">
        <f>VLOOKUP($E1720,'NI-Soc_SP'!$C:$AN,MID(AD$1,1,2),FALSE)</f>
        <v>0</v>
      </c>
      <c r="AE1720" s="55">
        <f>VLOOKUP($E1720,'NI-Soc_SP'!$C:$AN,MID(AE$1,1,2),FALSE)</f>
        <v>0</v>
      </c>
      <c r="AF1720" s="55">
        <f>VLOOKUP($E1720,'NI-Soc_SP'!$C:$AN,MID(AF$1,1,2),FALSE)</f>
        <v>0</v>
      </c>
      <c r="AG1720" s="55">
        <f>VLOOKUP($E1720,'NI-Soc_SP'!$C:$AN,MID(AG$1,1,2),FALSE)</f>
        <v>0</v>
      </c>
      <c r="AH1720" s="55">
        <f>VLOOKUP($E1720,'NI-Soc_SP'!$C:$AN,MID(AH$1,1,2),FALSE)</f>
        <v>0</v>
      </c>
      <c r="AI1720" s="55">
        <f>VLOOKUP($E1720,'NI-Soc_SP'!$C:$AN,MID(AI$1,1,2),FALSE)</f>
        <v>0</v>
      </c>
      <c r="AJ1720" s="55">
        <f>VLOOKUP($E1720,'NI-Soc_SP'!$C:$AN,MID(AJ$1,1,2),FALSE)</f>
        <v>0</v>
      </c>
      <c r="AK1720" s="55">
        <f>VLOOKUP($E1720,'NI-Soc_SP'!$C:$AN,MID(AK$1,1,2),FALSE)</f>
        <v>0</v>
      </c>
      <c r="AL1720" s="55">
        <f>VLOOKUP($E1720,'NI-Soc_SP'!$C:$AN,MID(AL$1,1,2),FALSE)</f>
        <v>0</v>
      </c>
      <c r="AM1720" s="56">
        <f>VLOOKUP($E1720,'NI-Soc_SP'!$C:$AN,MID(AM$1,1,2),FALSE)</f>
        <v>0</v>
      </c>
      <c r="AN1720" s="30" t="str">
        <f t="shared" si="26"/>
        <v>10210040010020</v>
      </c>
    </row>
    <row r="1721" spans="3:40" x14ac:dyDescent="0.25">
      <c r="C1721" s="40"/>
      <c r="D1721" s="121" t="s">
        <v>1014</v>
      </c>
      <c r="E1721" s="121" t="s">
        <v>1015</v>
      </c>
      <c r="F1721" s="122" t="s">
        <v>2758</v>
      </c>
      <c r="G1721" s="52"/>
      <c r="H1721" s="52"/>
      <c r="I1721" s="52"/>
      <c r="J1721" s="52"/>
      <c r="K1721" s="59" t="s">
        <v>79</v>
      </c>
      <c r="L1721" s="52"/>
      <c r="M1721" s="52"/>
      <c r="N1721" s="52"/>
      <c r="O1721" s="52"/>
      <c r="P1721" s="63" t="s">
        <v>1016</v>
      </c>
      <c r="Q1721" s="55">
        <f>-VLOOKUP(E1721,'NI-Soc_SP'!$C:$AN,12,FALSE)</f>
        <v>0</v>
      </c>
      <c r="R1721" s="55">
        <f>-VLOOKUP(E1721,'NI-Soc_SP'!$C:$AN,13,FALSE)</f>
        <v>0</v>
      </c>
      <c r="S1721" s="55"/>
      <c r="T1721" s="55"/>
      <c r="U1721" s="55">
        <f>VLOOKUP($E1721,'NI-Soc_SP'!$C:$AN,MID(U$1,1,2),FALSE)</f>
        <v>0</v>
      </c>
      <c r="V1721" s="55">
        <f>VLOOKUP($E1721,'NI-Soc_SP'!$C:$AN,MID(V$1,1,2),FALSE)</f>
        <v>0</v>
      </c>
      <c r="W1721" s="55">
        <f>VLOOKUP($E1721,'NI-Soc_SP'!$C:$AN,MID(W$1,1,2),FALSE)</f>
        <v>0</v>
      </c>
      <c r="X1721" s="55">
        <f>VLOOKUP($E1721,'NI-Soc_SP'!$C:$AN,MID(X$1,1,2),FALSE)</f>
        <v>0</v>
      </c>
      <c r="Y1721" s="55">
        <f>VLOOKUP($E1721,'NI-Soc_SP'!$C:$AN,MID(Y$1,1,2),FALSE)</f>
        <v>0</v>
      </c>
      <c r="Z1721" s="55">
        <f>VLOOKUP($E1721,'NI-Soc_SP'!$C:$AN,MID(Z$1,1,2),FALSE)</f>
        <v>0</v>
      </c>
      <c r="AA1721" s="55">
        <f>VLOOKUP($E1721,'NI-Soc_SP'!$C:$AN,MID(AA$1,1,2),FALSE)</f>
        <v>0</v>
      </c>
      <c r="AB1721" s="55">
        <f>VLOOKUP($E1721,'NI-Soc_SP'!$C:$AN,MID(AB$1,1,2),FALSE)</f>
        <v>0</v>
      </c>
      <c r="AC1721" s="55">
        <f>VLOOKUP($E1721,'NI-Soc_SP'!$C:$AN,MID(AC$1,1,2),FALSE)</f>
        <v>0</v>
      </c>
      <c r="AD1721" s="55">
        <f>VLOOKUP($E1721,'NI-Soc_SP'!$C:$AN,MID(AD$1,1,2),FALSE)</f>
        <v>0</v>
      </c>
      <c r="AE1721" s="55">
        <f>VLOOKUP($E1721,'NI-Soc_SP'!$C:$AN,MID(AE$1,1,2),FALSE)</f>
        <v>0</v>
      </c>
      <c r="AF1721" s="55">
        <f>VLOOKUP($E1721,'NI-Soc_SP'!$C:$AN,MID(AF$1,1,2),FALSE)</f>
        <v>0</v>
      </c>
      <c r="AG1721" s="55">
        <f>VLOOKUP($E1721,'NI-Soc_SP'!$C:$AN,MID(AG$1,1,2),FALSE)</f>
        <v>0</v>
      </c>
      <c r="AH1721" s="55">
        <f>VLOOKUP($E1721,'NI-Soc_SP'!$C:$AN,MID(AH$1,1,2),FALSE)</f>
        <v>0</v>
      </c>
      <c r="AI1721" s="55">
        <f>VLOOKUP($E1721,'NI-Soc_SP'!$C:$AN,MID(AI$1,1,2),FALSE)</f>
        <v>0</v>
      </c>
      <c r="AJ1721" s="55">
        <f>VLOOKUP($E1721,'NI-Soc_SP'!$C:$AN,MID(AJ$1,1,2),FALSE)</f>
        <v>0</v>
      </c>
      <c r="AK1721" s="55">
        <f>VLOOKUP($E1721,'NI-Soc_SP'!$C:$AN,MID(AK$1,1,2),FALSE)</f>
        <v>0</v>
      </c>
      <c r="AL1721" s="55">
        <f>VLOOKUP($E1721,'NI-Soc_SP'!$C:$AN,MID(AL$1,1,2),FALSE)</f>
        <v>0</v>
      </c>
      <c r="AM1721" s="56">
        <f>VLOOKUP($E1721,'NI-Soc_SP'!$C:$AN,MID(AM$1,1,2),FALSE)</f>
        <v>0</v>
      </c>
      <c r="AN1721" s="30" t="str">
        <f t="shared" si="26"/>
        <v>10210040020010</v>
      </c>
    </row>
    <row r="1722" spans="3:40" x14ac:dyDescent="0.25">
      <c r="C1722" s="40"/>
      <c r="D1722" s="121" t="s">
        <v>1017</v>
      </c>
      <c r="E1722" s="121" t="s">
        <v>1018</v>
      </c>
      <c r="F1722" s="122" t="s">
        <v>2758</v>
      </c>
      <c r="G1722" s="52"/>
      <c r="H1722" s="52"/>
      <c r="I1722" s="52"/>
      <c r="J1722" s="52"/>
      <c r="K1722" s="59" t="s">
        <v>79</v>
      </c>
      <c r="L1722" s="52"/>
      <c r="M1722" s="52"/>
      <c r="N1722" s="52"/>
      <c r="O1722" s="52"/>
      <c r="P1722" s="63" t="s">
        <v>1019</v>
      </c>
      <c r="Q1722" s="55">
        <f>-VLOOKUP(E1722,'NI-Soc_SP'!$C:$AN,12,FALSE)</f>
        <v>0</v>
      </c>
      <c r="R1722" s="55">
        <f>-VLOOKUP(E1722,'NI-Soc_SP'!$C:$AN,13,FALSE)</f>
        <v>0</v>
      </c>
      <c r="S1722" s="55"/>
      <c r="T1722" s="55"/>
      <c r="U1722" s="55">
        <f>VLOOKUP($E1722,'NI-Soc_SP'!$C:$AN,MID(U$1,1,2),FALSE)</f>
        <v>0</v>
      </c>
      <c r="V1722" s="55">
        <f>VLOOKUP($E1722,'NI-Soc_SP'!$C:$AN,MID(V$1,1,2),FALSE)</f>
        <v>0</v>
      </c>
      <c r="W1722" s="55">
        <f>VLOOKUP($E1722,'NI-Soc_SP'!$C:$AN,MID(W$1,1,2),FALSE)</f>
        <v>0</v>
      </c>
      <c r="X1722" s="55">
        <f>VLOOKUP($E1722,'NI-Soc_SP'!$C:$AN,MID(X$1,1,2),FALSE)</f>
        <v>0</v>
      </c>
      <c r="Y1722" s="55">
        <f>VLOOKUP($E1722,'NI-Soc_SP'!$C:$AN,MID(Y$1,1,2),FALSE)</f>
        <v>0</v>
      </c>
      <c r="Z1722" s="55">
        <f>VLOOKUP($E1722,'NI-Soc_SP'!$C:$AN,MID(Z$1,1,2),FALSE)</f>
        <v>0</v>
      </c>
      <c r="AA1722" s="55">
        <f>VLOOKUP($E1722,'NI-Soc_SP'!$C:$AN,MID(AA$1,1,2),FALSE)</f>
        <v>0</v>
      </c>
      <c r="AB1722" s="55">
        <f>VLOOKUP($E1722,'NI-Soc_SP'!$C:$AN,MID(AB$1,1,2),FALSE)</f>
        <v>0</v>
      </c>
      <c r="AC1722" s="55">
        <f>VLOOKUP($E1722,'NI-Soc_SP'!$C:$AN,MID(AC$1,1,2),FALSE)</f>
        <v>0</v>
      </c>
      <c r="AD1722" s="55">
        <f>VLOOKUP($E1722,'NI-Soc_SP'!$C:$AN,MID(AD$1,1,2),FALSE)</f>
        <v>0</v>
      </c>
      <c r="AE1722" s="55">
        <f>VLOOKUP($E1722,'NI-Soc_SP'!$C:$AN,MID(AE$1,1,2),FALSE)</f>
        <v>0</v>
      </c>
      <c r="AF1722" s="55">
        <f>VLOOKUP($E1722,'NI-Soc_SP'!$C:$AN,MID(AF$1,1,2),FALSE)</f>
        <v>0</v>
      </c>
      <c r="AG1722" s="55">
        <f>VLOOKUP($E1722,'NI-Soc_SP'!$C:$AN,MID(AG$1,1,2),FALSE)</f>
        <v>0</v>
      </c>
      <c r="AH1722" s="55">
        <f>VLOOKUP($E1722,'NI-Soc_SP'!$C:$AN,MID(AH$1,1,2),FALSE)</f>
        <v>0</v>
      </c>
      <c r="AI1722" s="55">
        <f>VLOOKUP($E1722,'NI-Soc_SP'!$C:$AN,MID(AI$1,1,2),FALSE)</f>
        <v>0</v>
      </c>
      <c r="AJ1722" s="55">
        <f>VLOOKUP($E1722,'NI-Soc_SP'!$C:$AN,MID(AJ$1,1,2),FALSE)</f>
        <v>0</v>
      </c>
      <c r="AK1722" s="55">
        <f>VLOOKUP($E1722,'NI-Soc_SP'!$C:$AN,MID(AK$1,1,2),FALSE)</f>
        <v>0</v>
      </c>
      <c r="AL1722" s="55">
        <f>VLOOKUP($E1722,'NI-Soc_SP'!$C:$AN,MID(AL$1,1,2),FALSE)</f>
        <v>0</v>
      </c>
      <c r="AM1722" s="56">
        <f>VLOOKUP($E1722,'NI-Soc_SP'!$C:$AN,MID(AM$1,1,2),FALSE)</f>
        <v>0</v>
      </c>
      <c r="AN1722" s="30" t="str">
        <f t="shared" si="26"/>
        <v>10210040020020</v>
      </c>
    </row>
    <row r="1723" spans="3:40" x14ac:dyDescent="0.25">
      <c r="C1723" s="40"/>
      <c r="D1723" s="121" t="s">
        <v>1020</v>
      </c>
      <c r="E1723" s="121" t="s">
        <v>1021</v>
      </c>
      <c r="F1723" s="122" t="s">
        <v>2758</v>
      </c>
      <c r="G1723" s="52"/>
      <c r="H1723" s="52"/>
      <c r="I1723" s="52" t="s">
        <v>1022</v>
      </c>
      <c r="J1723" s="52"/>
      <c r="K1723" s="59" t="s">
        <v>111</v>
      </c>
      <c r="L1723" s="62" t="s">
        <v>1023</v>
      </c>
      <c r="M1723" s="52"/>
      <c r="N1723" s="52"/>
      <c r="O1723" s="61" t="s">
        <v>708</v>
      </c>
      <c r="P1723" s="60" t="s">
        <v>1024</v>
      </c>
      <c r="Q1723" s="55">
        <f>-VLOOKUP(E1723,'NI-Soc_SP'!$C:$AN,12,FALSE)</f>
        <v>0</v>
      </c>
      <c r="R1723" s="55">
        <f>-VLOOKUP(E1723,'NI-Soc_SP'!$C:$AN,13,FALSE)</f>
        <v>0</v>
      </c>
      <c r="S1723" s="55"/>
      <c r="T1723" s="55"/>
      <c r="U1723" s="55">
        <f>VLOOKUP($E1723,'NI-Soc_SP'!$C:$AN,MID(U$1,1,2),FALSE)</f>
        <v>0</v>
      </c>
      <c r="V1723" s="55">
        <f>VLOOKUP($E1723,'NI-Soc_SP'!$C:$AN,MID(V$1,1,2),FALSE)</f>
        <v>0</v>
      </c>
      <c r="W1723" s="55">
        <f>VLOOKUP($E1723,'NI-Soc_SP'!$C:$AN,MID(W$1,1,2),FALSE)</f>
        <v>0</v>
      </c>
      <c r="X1723" s="55">
        <f>VLOOKUP($E1723,'NI-Soc_SP'!$C:$AN,MID(X$1,1,2),FALSE)</f>
        <v>0</v>
      </c>
      <c r="Y1723" s="55">
        <f>VLOOKUP($E1723,'NI-Soc_SP'!$C:$AN,MID(Y$1,1,2),FALSE)</f>
        <v>0</v>
      </c>
      <c r="Z1723" s="55">
        <f>VLOOKUP($E1723,'NI-Soc_SP'!$C:$AN,MID(Z$1,1,2),FALSE)</f>
        <v>0</v>
      </c>
      <c r="AA1723" s="55">
        <f>VLOOKUP($E1723,'NI-Soc_SP'!$C:$AN,MID(AA$1,1,2),FALSE)</f>
        <v>0</v>
      </c>
      <c r="AB1723" s="55">
        <f>VLOOKUP($E1723,'NI-Soc_SP'!$C:$AN,MID(AB$1,1,2),FALSE)</f>
        <v>0</v>
      </c>
      <c r="AC1723" s="55">
        <f>VLOOKUP($E1723,'NI-Soc_SP'!$C:$AN,MID(AC$1,1,2),FALSE)</f>
        <v>0</v>
      </c>
      <c r="AD1723" s="55">
        <f>VLOOKUP($E1723,'NI-Soc_SP'!$C:$AN,MID(AD$1,1,2),FALSE)</f>
        <v>0</v>
      </c>
      <c r="AE1723" s="55">
        <f>VLOOKUP($E1723,'NI-Soc_SP'!$C:$AN,MID(AE$1,1,2),FALSE)</f>
        <v>0</v>
      </c>
      <c r="AF1723" s="55">
        <f>VLOOKUP($E1723,'NI-Soc_SP'!$C:$AN,MID(AF$1,1,2),FALSE)</f>
        <v>0</v>
      </c>
      <c r="AG1723" s="55">
        <f>VLOOKUP($E1723,'NI-Soc_SP'!$C:$AN,MID(AG$1,1,2),FALSE)</f>
        <v>0</v>
      </c>
      <c r="AH1723" s="55">
        <f>VLOOKUP($E1723,'NI-Soc_SP'!$C:$AN,MID(AH$1,1,2),FALSE)</f>
        <v>0</v>
      </c>
      <c r="AI1723" s="55">
        <f>VLOOKUP($E1723,'NI-Soc_SP'!$C:$AN,MID(AI$1,1,2),FALSE)</f>
        <v>0</v>
      </c>
      <c r="AJ1723" s="55">
        <f>VLOOKUP($E1723,'NI-Soc_SP'!$C:$AN,MID(AJ$1,1,2),FALSE)</f>
        <v>0</v>
      </c>
      <c r="AK1723" s="55">
        <f>VLOOKUP($E1723,'NI-Soc_SP'!$C:$AN,MID(AK$1,1,2),FALSE)</f>
        <v>0</v>
      </c>
      <c r="AL1723" s="55">
        <f>VLOOKUP($E1723,'NI-Soc_SP'!$C:$AN,MID(AL$1,1,2),FALSE)</f>
        <v>0</v>
      </c>
      <c r="AM1723" s="56">
        <f>VLOOKUP($E1723,'NI-Soc_SP'!$C:$AN,MID(AM$1,1,2),FALSE)</f>
        <v>0</v>
      </c>
      <c r="AN1723" s="30" t="str">
        <f t="shared" si="26"/>
        <v>10210050000000</v>
      </c>
    </row>
    <row r="1724" spans="3:40" x14ac:dyDescent="0.25">
      <c r="C1724" s="40"/>
      <c r="D1724" s="121" t="s">
        <v>1025</v>
      </c>
      <c r="E1724" s="121" t="s">
        <v>1026</v>
      </c>
      <c r="F1724" s="122" t="s">
        <v>2758</v>
      </c>
      <c r="G1724" s="52"/>
      <c r="H1724" s="52"/>
      <c r="I1724" s="52"/>
      <c r="J1724" s="52"/>
      <c r="K1724" s="59" t="s">
        <v>79</v>
      </c>
      <c r="L1724" s="52"/>
      <c r="M1724" s="52"/>
      <c r="N1724" s="52"/>
      <c r="O1724" s="52"/>
      <c r="P1724" s="63" t="s">
        <v>1027</v>
      </c>
      <c r="Q1724" s="55">
        <f>-VLOOKUP(E1724,'NI-Soc_SP'!$C:$AN,12,FALSE)</f>
        <v>0</v>
      </c>
      <c r="R1724" s="55">
        <f>-VLOOKUP(E1724,'NI-Soc_SP'!$C:$AN,13,FALSE)</f>
        <v>0</v>
      </c>
      <c r="S1724" s="55"/>
      <c r="T1724" s="55"/>
      <c r="U1724" s="55">
        <f>VLOOKUP($E1724,'NI-Soc_SP'!$C:$AN,MID(U$1,1,2),FALSE)</f>
        <v>0</v>
      </c>
      <c r="V1724" s="55">
        <f>VLOOKUP($E1724,'NI-Soc_SP'!$C:$AN,MID(V$1,1,2),FALSE)</f>
        <v>0</v>
      </c>
      <c r="W1724" s="55">
        <f>VLOOKUP($E1724,'NI-Soc_SP'!$C:$AN,MID(W$1,1,2),FALSE)</f>
        <v>0</v>
      </c>
      <c r="X1724" s="55">
        <f>VLOOKUP($E1724,'NI-Soc_SP'!$C:$AN,MID(X$1,1,2),FALSE)</f>
        <v>0</v>
      </c>
      <c r="Y1724" s="55">
        <f>VLOOKUP($E1724,'NI-Soc_SP'!$C:$AN,MID(Y$1,1,2),FALSE)</f>
        <v>0</v>
      </c>
      <c r="Z1724" s="55">
        <f>VLOOKUP($E1724,'NI-Soc_SP'!$C:$AN,MID(Z$1,1,2),FALSE)</f>
        <v>0</v>
      </c>
      <c r="AA1724" s="55">
        <f>VLOOKUP($E1724,'NI-Soc_SP'!$C:$AN,MID(AA$1,1,2),FALSE)</f>
        <v>0</v>
      </c>
      <c r="AB1724" s="55">
        <f>VLOOKUP($E1724,'NI-Soc_SP'!$C:$AN,MID(AB$1,1,2),FALSE)</f>
        <v>0</v>
      </c>
      <c r="AC1724" s="55">
        <f>VLOOKUP($E1724,'NI-Soc_SP'!$C:$AN,MID(AC$1,1,2),FALSE)</f>
        <v>0</v>
      </c>
      <c r="AD1724" s="55">
        <f>VLOOKUP($E1724,'NI-Soc_SP'!$C:$AN,MID(AD$1,1,2),FALSE)</f>
        <v>0</v>
      </c>
      <c r="AE1724" s="55">
        <f>VLOOKUP($E1724,'NI-Soc_SP'!$C:$AN,MID(AE$1,1,2),FALSE)</f>
        <v>0</v>
      </c>
      <c r="AF1724" s="55">
        <f>VLOOKUP($E1724,'NI-Soc_SP'!$C:$AN,MID(AF$1,1,2),FALSE)</f>
        <v>0</v>
      </c>
      <c r="AG1724" s="55">
        <f>VLOOKUP($E1724,'NI-Soc_SP'!$C:$AN,MID(AG$1,1,2),FALSE)</f>
        <v>0</v>
      </c>
      <c r="AH1724" s="55">
        <f>VLOOKUP($E1724,'NI-Soc_SP'!$C:$AN,MID(AH$1,1,2),FALSE)</f>
        <v>0</v>
      </c>
      <c r="AI1724" s="55">
        <f>VLOOKUP($E1724,'NI-Soc_SP'!$C:$AN,MID(AI$1,1,2),FALSE)</f>
        <v>0</v>
      </c>
      <c r="AJ1724" s="55">
        <f>VLOOKUP($E1724,'NI-Soc_SP'!$C:$AN,MID(AJ$1,1,2),FALSE)</f>
        <v>0</v>
      </c>
      <c r="AK1724" s="55">
        <f>VLOOKUP($E1724,'NI-Soc_SP'!$C:$AN,MID(AK$1,1,2),FALSE)</f>
        <v>0</v>
      </c>
      <c r="AL1724" s="55">
        <f>VLOOKUP($E1724,'NI-Soc_SP'!$C:$AN,MID(AL$1,1,2),FALSE)</f>
        <v>0</v>
      </c>
      <c r="AM1724" s="56">
        <f>VLOOKUP($E1724,'NI-Soc_SP'!$C:$AN,MID(AM$1,1,2),FALSE)</f>
        <v>0</v>
      </c>
      <c r="AN1724" s="30" t="str">
        <f t="shared" si="26"/>
        <v>10210050010000</v>
      </c>
    </row>
    <row r="1725" spans="3:40" x14ac:dyDescent="0.25">
      <c r="C1725" s="40"/>
      <c r="D1725" s="121" t="s">
        <v>1028</v>
      </c>
      <c r="E1725" s="121" t="s">
        <v>1029</v>
      </c>
      <c r="F1725" s="122" t="s">
        <v>2758</v>
      </c>
      <c r="G1725" s="52"/>
      <c r="H1725" s="52"/>
      <c r="I1725" s="52"/>
      <c r="J1725" s="52"/>
      <c r="K1725" s="59" t="s">
        <v>79</v>
      </c>
      <c r="L1725" s="52"/>
      <c r="M1725" s="52"/>
      <c r="N1725" s="52"/>
      <c r="O1725" s="52"/>
      <c r="P1725" s="63" t="s">
        <v>1030</v>
      </c>
      <c r="Q1725" s="55">
        <f>-VLOOKUP(E1725,'NI-Soc_SP'!$C:$AN,12,FALSE)</f>
        <v>0</v>
      </c>
      <c r="R1725" s="55">
        <f>-VLOOKUP(E1725,'NI-Soc_SP'!$C:$AN,13,FALSE)</f>
        <v>0</v>
      </c>
      <c r="S1725" s="55"/>
      <c r="T1725" s="55"/>
      <c r="U1725" s="55">
        <f>VLOOKUP($E1725,'NI-Soc_SP'!$C:$AN,MID(U$1,1,2),FALSE)</f>
        <v>0</v>
      </c>
      <c r="V1725" s="55">
        <f>VLOOKUP($E1725,'NI-Soc_SP'!$C:$AN,MID(V$1,1,2),FALSE)</f>
        <v>0</v>
      </c>
      <c r="W1725" s="55">
        <f>VLOOKUP($E1725,'NI-Soc_SP'!$C:$AN,MID(W$1,1,2),FALSE)</f>
        <v>0</v>
      </c>
      <c r="X1725" s="55">
        <f>VLOOKUP($E1725,'NI-Soc_SP'!$C:$AN,MID(X$1,1,2),FALSE)</f>
        <v>0</v>
      </c>
      <c r="Y1725" s="55">
        <f>VLOOKUP($E1725,'NI-Soc_SP'!$C:$AN,MID(Y$1,1,2),FALSE)</f>
        <v>0</v>
      </c>
      <c r="Z1725" s="55">
        <f>VLOOKUP($E1725,'NI-Soc_SP'!$C:$AN,MID(Z$1,1,2),FALSE)</f>
        <v>0</v>
      </c>
      <c r="AA1725" s="55">
        <f>VLOOKUP($E1725,'NI-Soc_SP'!$C:$AN,MID(AA$1,1,2),FALSE)</f>
        <v>0</v>
      </c>
      <c r="AB1725" s="55">
        <f>VLOOKUP($E1725,'NI-Soc_SP'!$C:$AN,MID(AB$1,1,2),FALSE)</f>
        <v>0</v>
      </c>
      <c r="AC1725" s="55">
        <f>VLOOKUP($E1725,'NI-Soc_SP'!$C:$AN,MID(AC$1,1,2),FALSE)</f>
        <v>0</v>
      </c>
      <c r="AD1725" s="55">
        <f>VLOOKUP($E1725,'NI-Soc_SP'!$C:$AN,MID(AD$1,1,2),FALSE)</f>
        <v>0</v>
      </c>
      <c r="AE1725" s="55">
        <f>VLOOKUP($E1725,'NI-Soc_SP'!$C:$AN,MID(AE$1,1,2),FALSE)</f>
        <v>0</v>
      </c>
      <c r="AF1725" s="55">
        <f>VLOOKUP($E1725,'NI-Soc_SP'!$C:$AN,MID(AF$1,1,2),FALSE)</f>
        <v>0</v>
      </c>
      <c r="AG1725" s="55">
        <f>VLOOKUP($E1725,'NI-Soc_SP'!$C:$AN,MID(AG$1,1,2),FALSE)</f>
        <v>0</v>
      </c>
      <c r="AH1725" s="55">
        <f>VLOOKUP($E1725,'NI-Soc_SP'!$C:$AN,MID(AH$1,1,2),FALSE)</f>
        <v>0</v>
      </c>
      <c r="AI1725" s="55">
        <f>VLOOKUP($E1725,'NI-Soc_SP'!$C:$AN,MID(AI$1,1,2),FALSE)</f>
        <v>0</v>
      </c>
      <c r="AJ1725" s="55">
        <f>VLOOKUP($E1725,'NI-Soc_SP'!$C:$AN,MID(AJ$1,1,2),FALSE)</f>
        <v>0</v>
      </c>
      <c r="AK1725" s="55">
        <f>VLOOKUP($E1725,'NI-Soc_SP'!$C:$AN,MID(AK$1,1,2),FALSE)</f>
        <v>0</v>
      </c>
      <c r="AL1725" s="55">
        <f>VLOOKUP($E1725,'NI-Soc_SP'!$C:$AN,MID(AL$1,1,2),FALSE)</f>
        <v>0</v>
      </c>
      <c r="AM1725" s="56">
        <f>VLOOKUP($E1725,'NI-Soc_SP'!$C:$AN,MID(AM$1,1,2),FALSE)</f>
        <v>0</v>
      </c>
      <c r="AN1725" s="30" t="str">
        <f t="shared" si="26"/>
        <v>10210050020000</v>
      </c>
    </row>
    <row r="1726" spans="3:40" x14ac:dyDescent="0.25">
      <c r="C1726" s="40"/>
      <c r="D1726" s="121" t="s">
        <v>1031</v>
      </c>
      <c r="E1726" s="121" t="s">
        <v>1032</v>
      </c>
      <c r="F1726" s="122" t="s">
        <v>2758</v>
      </c>
      <c r="G1726" s="52"/>
      <c r="H1726" s="52"/>
      <c r="I1726" s="52" t="s">
        <v>1033</v>
      </c>
      <c r="J1726" s="52"/>
      <c r="K1726" s="59" t="s">
        <v>111</v>
      </c>
      <c r="L1726" s="62" t="s">
        <v>1034</v>
      </c>
      <c r="M1726" s="52"/>
      <c r="N1726" s="52"/>
      <c r="O1726" s="61" t="s">
        <v>770</v>
      </c>
      <c r="P1726" s="60" t="s">
        <v>1035</v>
      </c>
      <c r="Q1726" s="55">
        <f>-VLOOKUP(E1726,'NI-Soc_SP'!$C:$AN,12,FALSE)</f>
        <v>0</v>
      </c>
      <c r="R1726" s="55">
        <f>-VLOOKUP(E1726,'NI-Soc_SP'!$C:$AN,13,FALSE)</f>
        <v>0</v>
      </c>
      <c r="S1726" s="55"/>
      <c r="T1726" s="55"/>
      <c r="U1726" s="55">
        <f>VLOOKUP($E1726,'NI-Soc_SP'!$C:$AN,MID(U$1,1,2),FALSE)</f>
        <v>0</v>
      </c>
      <c r="V1726" s="55">
        <f>VLOOKUP($E1726,'NI-Soc_SP'!$C:$AN,MID(V$1,1,2),FALSE)</f>
        <v>0</v>
      </c>
      <c r="W1726" s="55">
        <f>VLOOKUP($E1726,'NI-Soc_SP'!$C:$AN,MID(W$1,1,2),FALSE)</f>
        <v>0</v>
      </c>
      <c r="X1726" s="55">
        <f>VLOOKUP($E1726,'NI-Soc_SP'!$C:$AN,MID(X$1,1,2),FALSE)</f>
        <v>0</v>
      </c>
      <c r="Y1726" s="55">
        <f>VLOOKUP($E1726,'NI-Soc_SP'!$C:$AN,MID(Y$1,1,2),FALSE)</f>
        <v>0</v>
      </c>
      <c r="Z1726" s="55">
        <f>VLOOKUP($E1726,'NI-Soc_SP'!$C:$AN,MID(Z$1,1,2),FALSE)</f>
        <v>0</v>
      </c>
      <c r="AA1726" s="55">
        <f>VLOOKUP($E1726,'NI-Soc_SP'!$C:$AN,MID(AA$1,1,2),FALSE)</f>
        <v>0</v>
      </c>
      <c r="AB1726" s="55">
        <f>VLOOKUP($E1726,'NI-Soc_SP'!$C:$AN,MID(AB$1,1,2),FALSE)</f>
        <v>0</v>
      </c>
      <c r="AC1726" s="55">
        <f>VLOOKUP($E1726,'NI-Soc_SP'!$C:$AN,MID(AC$1,1,2),FALSE)</f>
        <v>0</v>
      </c>
      <c r="AD1726" s="55">
        <f>VLOOKUP($E1726,'NI-Soc_SP'!$C:$AN,MID(AD$1,1,2),FALSE)</f>
        <v>0</v>
      </c>
      <c r="AE1726" s="55">
        <f>VLOOKUP($E1726,'NI-Soc_SP'!$C:$AN,MID(AE$1,1,2),FALSE)</f>
        <v>0</v>
      </c>
      <c r="AF1726" s="55">
        <f>VLOOKUP($E1726,'NI-Soc_SP'!$C:$AN,MID(AF$1,1,2),FALSE)</f>
        <v>0</v>
      </c>
      <c r="AG1726" s="55">
        <f>VLOOKUP($E1726,'NI-Soc_SP'!$C:$AN,MID(AG$1,1,2),FALSE)</f>
        <v>0</v>
      </c>
      <c r="AH1726" s="55">
        <f>VLOOKUP($E1726,'NI-Soc_SP'!$C:$AN,MID(AH$1,1,2),FALSE)</f>
        <v>0</v>
      </c>
      <c r="AI1726" s="55">
        <f>VLOOKUP($E1726,'NI-Soc_SP'!$C:$AN,MID(AI$1,1,2),FALSE)</f>
        <v>0</v>
      </c>
      <c r="AJ1726" s="55">
        <f>VLOOKUP($E1726,'NI-Soc_SP'!$C:$AN,MID(AJ$1,1,2),FALSE)</f>
        <v>0</v>
      </c>
      <c r="AK1726" s="55">
        <f>VLOOKUP($E1726,'NI-Soc_SP'!$C:$AN,MID(AK$1,1,2),FALSE)</f>
        <v>0</v>
      </c>
      <c r="AL1726" s="55">
        <f>VLOOKUP($E1726,'NI-Soc_SP'!$C:$AN,MID(AL$1,1,2),FALSE)</f>
        <v>0</v>
      </c>
      <c r="AM1726" s="56">
        <f>VLOOKUP($E1726,'NI-Soc_SP'!$C:$AN,MID(AM$1,1,2),FALSE)</f>
        <v>0</v>
      </c>
      <c r="AN1726" s="30" t="str">
        <f t="shared" si="26"/>
        <v>10210060000000</v>
      </c>
    </row>
    <row r="1727" spans="3:40" x14ac:dyDescent="0.25">
      <c r="C1727" s="40"/>
      <c r="D1727" s="121" t="s">
        <v>1036</v>
      </c>
      <c r="E1727" s="121" t="s">
        <v>1037</v>
      </c>
      <c r="F1727" s="122" t="s">
        <v>2758</v>
      </c>
      <c r="G1727" s="52"/>
      <c r="H1727" s="52"/>
      <c r="I1727" s="52"/>
      <c r="J1727" s="52"/>
      <c r="K1727" s="59" t="s">
        <v>79</v>
      </c>
      <c r="L1727" s="52"/>
      <c r="M1727" s="52"/>
      <c r="N1727" s="52"/>
      <c r="O1727" s="52"/>
      <c r="P1727" s="63" t="s">
        <v>1038</v>
      </c>
      <c r="Q1727" s="55">
        <f>-VLOOKUP(E1727,'NI-Soc_SP'!$C:$AN,12,FALSE)</f>
        <v>0</v>
      </c>
      <c r="R1727" s="55">
        <f>-VLOOKUP(E1727,'NI-Soc_SP'!$C:$AN,13,FALSE)</f>
        <v>0</v>
      </c>
      <c r="S1727" s="55"/>
      <c r="T1727" s="55"/>
      <c r="U1727" s="55">
        <f>VLOOKUP($E1727,'NI-Soc_SP'!$C:$AN,MID(U$1,1,2),FALSE)</f>
        <v>0</v>
      </c>
      <c r="V1727" s="55">
        <f>VLOOKUP($E1727,'NI-Soc_SP'!$C:$AN,MID(V$1,1,2),FALSE)</f>
        <v>0</v>
      </c>
      <c r="W1727" s="55">
        <f>VLOOKUP($E1727,'NI-Soc_SP'!$C:$AN,MID(W$1,1,2),FALSE)</f>
        <v>0</v>
      </c>
      <c r="X1727" s="55">
        <f>VLOOKUP($E1727,'NI-Soc_SP'!$C:$AN,MID(X$1,1,2),FALSE)</f>
        <v>0</v>
      </c>
      <c r="Y1727" s="55">
        <f>VLOOKUP($E1727,'NI-Soc_SP'!$C:$AN,MID(Y$1,1,2),FALSE)</f>
        <v>0</v>
      </c>
      <c r="Z1727" s="55">
        <f>VLOOKUP($E1727,'NI-Soc_SP'!$C:$AN,MID(Z$1,1,2),FALSE)</f>
        <v>0</v>
      </c>
      <c r="AA1727" s="55">
        <f>VLOOKUP($E1727,'NI-Soc_SP'!$C:$AN,MID(AA$1,1,2),FALSE)</f>
        <v>0</v>
      </c>
      <c r="AB1727" s="55">
        <f>VLOOKUP($E1727,'NI-Soc_SP'!$C:$AN,MID(AB$1,1,2),FALSE)</f>
        <v>0</v>
      </c>
      <c r="AC1727" s="55">
        <f>VLOOKUP($E1727,'NI-Soc_SP'!$C:$AN,MID(AC$1,1,2),FALSE)</f>
        <v>0</v>
      </c>
      <c r="AD1727" s="55">
        <f>VLOOKUP($E1727,'NI-Soc_SP'!$C:$AN,MID(AD$1,1,2),FALSE)</f>
        <v>0</v>
      </c>
      <c r="AE1727" s="55">
        <f>VLOOKUP($E1727,'NI-Soc_SP'!$C:$AN,MID(AE$1,1,2),FALSE)</f>
        <v>0</v>
      </c>
      <c r="AF1727" s="55">
        <f>VLOOKUP($E1727,'NI-Soc_SP'!$C:$AN,MID(AF$1,1,2),FALSE)</f>
        <v>0</v>
      </c>
      <c r="AG1727" s="55">
        <f>VLOOKUP($E1727,'NI-Soc_SP'!$C:$AN,MID(AG$1,1,2),FALSE)</f>
        <v>0</v>
      </c>
      <c r="AH1727" s="55">
        <f>VLOOKUP($E1727,'NI-Soc_SP'!$C:$AN,MID(AH$1,1,2),FALSE)</f>
        <v>0</v>
      </c>
      <c r="AI1727" s="55">
        <f>VLOOKUP($E1727,'NI-Soc_SP'!$C:$AN,MID(AI$1,1,2),FALSE)</f>
        <v>0</v>
      </c>
      <c r="AJ1727" s="55">
        <f>VLOOKUP($E1727,'NI-Soc_SP'!$C:$AN,MID(AJ$1,1,2),FALSE)</f>
        <v>0</v>
      </c>
      <c r="AK1727" s="55">
        <f>VLOOKUP($E1727,'NI-Soc_SP'!$C:$AN,MID(AK$1,1,2),FALSE)</f>
        <v>0</v>
      </c>
      <c r="AL1727" s="55">
        <f>VLOOKUP($E1727,'NI-Soc_SP'!$C:$AN,MID(AL$1,1,2),FALSE)</f>
        <v>0</v>
      </c>
      <c r="AM1727" s="56">
        <f>VLOOKUP($E1727,'NI-Soc_SP'!$C:$AN,MID(AM$1,1,2),FALSE)</f>
        <v>0</v>
      </c>
      <c r="AN1727" s="30" t="str">
        <f t="shared" si="26"/>
        <v>10210060010000</v>
      </c>
    </row>
    <row r="1728" spans="3:40" x14ac:dyDescent="0.25">
      <c r="C1728" s="40"/>
      <c r="D1728" s="121" t="s">
        <v>1039</v>
      </c>
      <c r="E1728" s="121" t="s">
        <v>1040</v>
      </c>
      <c r="F1728" s="122" t="s">
        <v>2758</v>
      </c>
      <c r="G1728" s="52"/>
      <c r="H1728" s="52"/>
      <c r="I1728" s="52"/>
      <c r="J1728" s="52"/>
      <c r="K1728" s="59" t="s">
        <v>79</v>
      </c>
      <c r="L1728" s="52"/>
      <c r="M1728" s="52"/>
      <c r="N1728" s="52"/>
      <c r="O1728" s="52"/>
      <c r="P1728" s="63" t="s">
        <v>1041</v>
      </c>
      <c r="Q1728" s="55">
        <f>-VLOOKUP(E1728,'NI-Soc_SP'!$C:$AN,12,FALSE)</f>
        <v>0</v>
      </c>
      <c r="R1728" s="55">
        <f>-VLOOKUP(E1728,'NI-Soc_SP'!$C:$AN,13,FALSE)</f>
        <v>0</v>
      </c>
      <c r="S1728" s="55"/>
      <c r="T1728" s="55"/>
      <c r="U1728" s="55">
        <f>VLOOKUP($E1728,'NI-Soc_SP'!$C:$AN,MID(U$1,1,2),FALSE)</f>
        <v>0</v>
      </c>
      <c r="V1728" s="55">
        <f>VLOOKUP($E1728,'NI-Soc_SP'!$C:$AN,MID(V$1,1,2),FALSE)</f>
        <v>0</v>
      </c>
      <c r="W1728" s="55">
        <f>VLOOKUP($E1728,'NI-Soc_SP'!$C:$AN,MID(W$1,1,2),FALSE)</f>
        <v>0</v>
      </c>
      <c r="X1728" s="55">
        <f>VLOOKUP($E1728,'NI-Soc_SP'!$C:$AN,MID(X$1,1,2),FALSE)</f>
        <v>0</v>
      </c>
      <c r="Y1728" s="55">
        <f>VLOOKUP($E1728,'NI-Soc_SP'!$C:$AN,MID(Y$1,1,2),FALSE)</f>
        <v>0</v>
      </c>
      <c r="Z1728" s="55">
        <f>VLOOKUP($E1728,'NI-Soc_SP'!$C:$AN,MID(Z$1,1,2),FALSE)</f>
        <v>0</v>
      </c>
      <c r="AA1728" s="55">
        <f>VLOOKUP($E1728,'NI-Soc_SP'!$C:$AN,MID(AA$1,1,2),FALSE)</f>
        <v>0</v>
      </c>
      <c r="AB1728" s="55">
        <f>VLOOKUP($E1728,'NI-Soc_SP'!$C:$AN,MID(AB$1,1,2),FALSE)</f>
        <v>0</v>
      </c>
      <c r="AC1728" s="55">
        <f>VLOOKUP($E1728,'NI-Soc_SP'!$C:$AN,MID(AC$1,1,2),FALSE)</f>
        <v>0</v>
      </c>
      <c r="AD1728" s="55">
        <f>VLOOKUP($E1728,'NI-Soc_SP'!$C:$AN,MID(AD$1,1,2),FALSE)</f>
        <v>0</v>
      </c>
      <c r="AE1728" s="55">
        <f>VLOOKUP($E1728,'NI-Soc_SP'!$C:$AN,MID(AE$1,1,2),FALSE)</f>
        <v>0</v>
      </c>
      <c r="AF1728" s="55">
        <f>VLOOKUP($E1728,'NI-Soc_SP'!$C:$AN,MID(AF$1,1,2),FALSE)</f>
        <v>0</v>
      </c>
      <c r="AG1728" s="55">
        <f>VLOOKUP($E1728,'NI-Soc_SP'!$C:$AN,MID(AG$1,1,2),FALSE)</f>
        <v>0</v>
      </c>
      <c r="AH1728" s="55">
        <f>VLOOKUP($E1728,'NI-Soc_SP'!$C:$AN,MID(AH$1,1,2),FALSE)</f>
        <v>0</v>
      </c>
      <c r="AI1728" s="55">
        <f>VLOOKUP($E1728,'NI-Soc_SP'!$C:$AN,MID(AI$1,1,2),FALSE)</f>
        <v>0</v>
      </c>
      <c r="AJ1728" s="55">
        <f>VLOOKUP($E1728,'NI-Soc_SP'!$C:$AN,MID(AJ$1,1,2),FALSE)</f>
        <v>0</v>
      </c>
      <c r="AK1728" s="55">
        <f>VLOOKUP($E1728,'NI-Soc_SP'!$C:$AN,MID(AK$1,1,2),FALSE)</f>
        <v>0</v>
      </c>
      <c r="AL1728" s="55">
        <f>VLOOKUP($E1728,'NI-Soc_SP'!$C:$AN,MID(AL$1,1,2),FALSE)</f>
        <v>0</v>
      </c>
      <c r="AM1728" s="56">
        <f>VLOOKUP($E1728,'NI-Soc_SP'!$C:$AN,MID(AM$1,1,2),FALSE)</f>
        <v>0</v>
      </c>
      <c r="AN1728" s="30" t="str">
        <f t="shared" si="26"/>
        <v>10210060020000</v>
      </c>
    </row>
    <row r="1729" spans="3:40" x14ac:dyDescent="0.25">
      <c r="C1729" s="40"/>
      <c r="D1729" s="121" t="s">
        <v>1042</v>
      </c>
      <c r="E1729" s="121" t="s">
        <v>1043</v>
      </c>
      <c r="F1729" s="122" t="s">
        <v>2758</v>
      </c>
      <c r="G1729" s="52"/>
      <c r="H1729" s="52"/>
      <c r="I1729" s="52" t="s">
        <v>1044</v>
      </c>
      <c r="J1729" s="52"/>
      <c r="K1729" s="59" t="s">
        <v>111</v>
      </c>
      <c r="L1729" s="62" t="s">
        <v>1045</v>
      </c>
      <c r="M1729" s="52"/>
      <c r="N1729" s="52"/>
      <c r="O1729" s="61" t="s">
        <v>845</v>
      </c>
      <c r="P1729" s="60" t="s">
        <v>1046</v>
      </c>
      <c r="Q1729" s="55">
        <f>-VLOOKUP(E1729,'NI-Soc_SP'!$C:$AN,12,FALSE)</f>
        <v>0</v>
      </c>
      <c r="R1729" s="55">
        <f>-VLOOKUP(E1729,'NI-Soc_SP'!$C:$AN,13,FALSE)</f>
        <v>0</v>
      </c>
      <c r="S1729" s="55"/>
      <c r="T1729" s="55"/>
      <c r="U1729" s="55">
        <f>VLOOKUP($E1729,'NI-Soc_SP'!$C:$AN,MID(U$1,1,2),FALSE)</f>
        <v>0</v>
      </c>
      <c r="V1729" s="55">
        <f>VLOOKUP($E1729,'NI-Soc_SP'!$C:$AN,MID(V$1,1,2),FALSE)</f>
        <v>0</v>
      </c>
      <c r="W1729" s="55">
        <f>VLOOKUP($E1729,'NI-Soc_SP'!$C:$AN,MID(W$1,1,2),FALSE)</f>
        <v>0</v>
      </c>
      <c r="X1729" s="55">
        <f>VLOOKUP($E1729,'NI-Soc_SP'!$C:$AN,MID(X$1,1,2),FALSE)</f>
        <v>0</v>
      </c>
      <c r="Y1729" s="55">
        <f>VLOOKUP($E1729,'NI-Soc_SP'!$C:$AN,MID(Y$1,1,2),FALSE)</f>
        <v>0</v>
      </c>
      <c r="Z1729" s="55">
        <f>VLOOKUP($E1729,'NI-Soc_SP'!$C:$AN,MID(Z$1,1,2),FALSE)</f>
        <v>0</v>
      </c>
      <c r="AA1729" s="55">
        <f>VLOOKUP($E1729,'NI-Soc_SP'!$C:$AN,MID(AA$1,1,2),FALSE)</f>
        <v>0</v>
      </c>
      <c r="AB1729" s="55">
        <f>VLOOKUP($E1729,'NI-Soc_SP'!$C:$AN,MID(AB$1,1,2),FALSE)</f>
        <v>0</v>
      </c>
      <c r="AC1729" s="55">
        <f>VLOOKUP($E1729,'NI-Soc_SP'!$C:$AN,MID(AC$1,1,2),FALSE)</f>
        <v>0</v>
      </c>
      <c r="AD1729" s="55">
        <f>VLOOKUP($E1729,'NI-Soc_SP'!$C:$AN,MID(AD$1,1,2),FALSE)</f>
        <v>0</v>
      </c>
      <c r="AE1729" s="55">
        <f>VLOOKUP($E1729,'NI-Soc_SP'!$C:$AN,MID(AE$1,1,2),FALSE)</f>
        <v>0</v>
      </c>
      <c r="AF1729" s="55">
        <f>VLOOKUP($E1729,'NI-Soc_SP'!$C:$AN,MID(AF$1,1,2),FALSE)</f>
        <v>0</v>
      </c>
      <c r="AG1729" s="55">
        <f>VLOOKUP($E1729,'NI-Soc_SP'!$C:$AN,MID(AG$1,1,2),FALSE)</f>
        <v>0</v>
      </c>
      <c r="AH1729" s="55">
        <f>VLOOKUP($E1729,'NI-Soc_SP'!$C:$AN,MID(AH$1,1,2),FALSE)</f>
        <v>0</v>
      </c>
      <c r="AI1729" s="55">
        <f>VLOOKUP($E1729,'NI-Soc_SP'!$C:$AN,MID(AI$1,1,2),FALSE)</f>
        <v>0</v>
      </c>
      <c r="AJ1729" s="55">
        <f>VLOOKUP($E1729,'NI-Soc_SP'!$C:$AN,MID(AJ$1,1,2),FALSE)</f>
        <v>0</v>
      </c>
      <c r="AK1729" s="55">
        <f>VLOOKUP($E1729,'NI-Soc_SP'!$C:$AN,MID(AK$1,1,2),FALSE)</f>
        <v>0</v>
      </c>
      <c r="AL1729" s="55">
        <f>VLOOKUP($E1729,'NI-Soc_SP'!$C:$AN,MID(AL$1,1,2),FALSE)</f>
        <v>0</v>
      </c>
      <c r="AM1729" s="56">
        <f>VLOOKUP($E1729,'NI-Soc_SP'!$C:$AN,MID(AM$1,1,2),FALSE)</f>
        <v>0</v>
      </c>
      <c r="AN1729" s="30" t="str">
        <f t="shared" si="26"/>
        <v>10210070000000</v>
      </c>
    </row>
    <row r="1730" spans="3:40" x14ac:dyDescent="0.25">
      <c r="C1730" s="40"/>
      <c r="D1730" s="121" t="s">
        <v>1047</v>
      </c>
      <c r="E1730" s="121" t="s">
        <v>1048</v>
      </c>
      <c r="F1730" s="122" t="s">
        <v>2758</v>
      </c>
      <c r="G1730" s="52"/>
      <c r="H1730" s="52"/>
      <c r="I1730" s="52"/>
      <c r="J1730" s="52"/>
      <c r="K1730" s="59" t="s">
        <v>79</v>
      </c>
      <c r="L1730" s="52"/>
      <c r="M1730" s="52"/>
      <c r="N1730" s="52"/>
      <c r="O1730" s="52"/>
      <c r="P1730" s="63" t="s">
        <v>1049</v>
      </c>
      <c r="Q1730" s="55">
        <f>-VLOOKUP(E1730,'NI-Soc_SP'!$C:$AN,12,FALSE)</f>
        <v>0</v>
      </c>
      <c r="R1730" s="55">
        <f>-VLOOKUP(E1730,'NI-Soc_SP'!$C:$AN,13,FALSE)</f>
        <v>0</v>
      </c>
      <c r="S1730" s="55"/>
      <c r="T1730" s="55"/>
      <c r="U1730" s="55">
        <f>VLOOKUP($E1730,'NI-Soc_SP'!$C:$AN,MID(U$1,1,2),FALSE)</f>
        <v>0</v>
      </c>
      <c r="V1730" s="55">
        <f>VLOOKUP($E1730,'NI-Soc_SP'!$C:$AN,MID(V$1,1,2),FALSE)</f>
        <v>0</v>
      </c>
      <c r="W1730" s="55">
        <f>VLOOKUP($E1730,'NI-Soc_SP'!$C:$AN,MID(W$1,1,2),FALSE)</f>
        <v>0</v>
      </c>
      <c r="X1730" s="55">
        <f>VLOOKUP($E1730,'NI-Soc_SP'!$C:$AN,MID(X$1,1,2),FALSE)</f>
        <v>0</v>
      </c>
      <c r="Y1730" s="55">
        <f>VLOOKUP($E1730,'NI-Soc_SP'!$C:$AN,MID(Y$1,1,2),FALSE)</f>
        <v>0</v>
      </c>
      <c r="Z1730" s="55">
        <f>VLOOKUP($E1730,'NI-Soc_SP'!$C:$AN,MID(Z$1,1,2),FALSE)</f>
        <v>0</v>
      </c>
      <c r="AA1730" s="55">
        <f>VLOOKUP($E1730,'NI-Soc_SP'!$C:$AN,MID(AA$1,1,2),FALSE)</f>
        <v>0</v>
      </c>
      <c r="AB1730" s="55">
        <f>VLOOKUP($E1730,'NI-Soc_SP'!$C:$AN,MID(AB$1,1,2),FALSE)</f>
        <v>0</v>
      </c>
      <c r="AC1730" s="55">
        <f>VLOOKUP($E1730,'NI-Soc_SP'!$C:$AN,MID(AC$1,1,2),FALSE)</f>
        <v>0</v>
      </c>
      <c r="AD1730" s="55">
        <f>VLOOKUP($E1730,'NI-Soc_SP'!$C:$AN,MID(AD$1,1,2),FALSE)</f>
        <v>0</v>
      </c>
      <c r="AE1730" s="55">
        <f>VLOOKUP($E1730,'NI-Soc_SP'!$C:$AN,MID(AE$1,1,2),FALSE)</f>
        <v>0</v>
      </c>
      <c r="AF1730" s="55">
        <f>VLOOKUP($E1730,'NI-Soc_SP'!$C:$AN,MID(AF$1,1,2),FALSE)</f>
        <v>0</v>
      </c>
      <c r="AG1730" s="55">
        <f>VLOOKUP($E1730,'NI-Soc_SP'!$C:$AN,MID(AG$1,1,2),FALSE)</f>
        <v>0</v>
      </c>
      <c r="AH1730" s="55">
        <f>VLOOKUP($E1730,'NI-Soc_SP'!$C:$AN,MID(AH$1,1,2),FALSE)</f>
        <v>0</v>
      </c>
      <c r="AI1730" s="55">
        <f>VLOOKUP($E1730,'NI-Soc_SP'!$C:$AN,MID(AI$1,1,2),FALSE)</f>
        <v>0</v>
      </c>
      <c r="AJ1730" s="55">
        <f>VLOOKUP($E1730,'NI-Soc_SP'!$C:$AN,MID(AJ$1,1,2),FALSE)</f>
        <v>0</v>
      </c>
      <c r="AK1730" s="55">
        <f>VLOOKUP($E1730,'NI-Soc_SP'!$C:$AN,MID(AK$1,1,2),FALSE)</f>
        <v>0</v>
      </c>
      <c r="AL1730" s="55">
        <f>VLOOKUP($E1730,'NI-Soc_SP'!$C:$AN,MID(AL$1,1,2),FALSE)</f>
        <v>0</v>
      </c>
      <c r="AM1730" s="56">
        <f>VLOOKUP($E1730,'NI-Soc_SP'!$C:$AN,MID(AM$1,1,2),FALSE)</f>
        <v>0</v>
      </c>
      <c r="AN1730" s="30" t="str">
        <f t="shared" ref="AN1730:AN1793" si="27">D1730</f>
        <v>10210070010000</v>
      </c>
    </row>
    <row r="1731" spans="3:40" x14ac:dyDescent="0.25">
      <c r="C1731" s="40"/>
      <c r="D1731" s="121" t="s">
        <v>1050</v>
      </c>
      <c r="E1731" s="121" t="s">
        <v>1051</v>
      </c>
      <c r="F1731" s="122" t="s">
        <v>2758</v>
      </c>
      <c r="G1731" s="52"/>
      <c r="H1731" s="52"/>
      <c r="I1731" s="52" t="s">
        <v>1052</v>
      </c>
      <c r="J1731" s="52"/>
      <c r="K1731" s="59" t="s">
        <v>111</v>
      </c>
      <c r="L1731" s="62" t="s">
        <v>1053</v>
      </c>
      <c r="M1731" s="52"/>
      <c r="N1731" s="52"/>
      <c r="O1731" s="61" t="s">
        <v>856</v>
      </c>
      <c r="P1731" s="60" t="s">
        <v>1054</v>
      </c>
      <c r="Q1731" s="55">
        <f>-VLOOKUP(E1731,'NI-Soc_SP'!$C:$AN,12,FALSE)</f>
        <v>0</v>
      </c>
      <c r="R1731" s="55">
        <f>-VLOOKUP(E1731,'NI-Soc_SP'!$C:$AN,13,FALSE)</f>
        <v>0</v>
      </c>
      <c r="S1731" s="55"/>
      <c r="T1731" s="55"/>
      <c r="U1731" s="55">
        <f>VLOOKUP($E1731,'NI-Soc_SP'!$C:$AN,MID(U$1,1,2),FALSE)</f>
        <v>0</v>
      </c>
      <c r="V1731" s="55">
        <f>VLOOKUP($E1731,'NI-Soc_SP'!$C:$AN,MID(V$1,1,2),FALSE)</f>
        <v>0</v>
      </c>
      <c r="W1731" s="55">
        <f>VLOOKUP($E1731,'NI-Soc_SP'!$C:$AN,MID(W$1,1,2),FALSE)</f>
        <v>0</v>
      </c>
      <c r="X1731" s="55">
        <f>VLOOKUP($E1731,'NI-Soc_SP'!$C:$AN,MID(X$1,1,2),FALSE)</f>
        <v>0</v>
      </c>
      <c r="Y1731" s="55">
        <f>VLOOKUP($E1731,'NI-Soc_SP'!$C:$AN,MID(Y$1,1,2),FALSE)</f>
        <v>0</v>
      </c>
      <c r="Z1731" s="55">
        <f>VLOOKUP($E1731,'NI-Soc_SP'!$C:$AN,MID(Z$1,1,2),FALSE)</f>
        <v>0</v>
      </c>
      <c r="AA1731" s="55">
        <f>VLOOKUP($E1731,'NI-Soc_SP'!$C:$AN,MID(AA$1,1,2),FALSE)</f>
        <v>0</v>
      </c>
      <c r="AB1731" s="55">
        <f>VLOOKUP($E1731,'NI-Soc_SP'!$C:$AN,MID(AB$1,1,2),FALSE)</f>
        <v>0</v>
      </c>
      <c r="AC1731" s="55">
        <f>VLOOKUP($E1731,'NI-Soc_SP'!$C:$AN,MID(AC$1,1,2),FALSE)</f>
        <v>0</v>
      </c>
      <c r="AD1731" s="55">
        <f>VLOOKUP($E1731,'NI-Soc_SP'!$C:$AN,MID(AD$1,1,2),FALSE)</f>
        <v>0</v>
      </c>
      <c r="AE1731" s="55">
        <f>VLOOKUP($E1731,'NI-Soc_SP'!$C:$AN,MID(AE$1,1,2),FALSE)</f>
        <v>0</v>
      </c>
      <c r="AF1731" s="55">
        <f>VLOOKUP($E1731,'NI-Soc_SP'!$C:$AN,MID(AF$1,1,2),FALSE)</f>
        <v>0</v>
      </c>
      <c r="AG1731" s="55">
        <f>VLOOKUP($E1731,'NI-Soc_SP'!$C:$AN,MID(AG$1,1,2),FALSE)</f>
        <v>0</v>
      </c>
      <c r="AH1731" s="55">
        <f>VLOOKUP($E1731,'NI-Soc_SP'!$C:$AN,MID(AH$1,1,2),FALSE)</f>
        <v>0</v>
      </c>
      <c r="AI1731" s="55">
        <f>VLOOKUP($E1731,'NI-Soc_SP'!$C:$AN,MID(AI$1,1,2),FALSE)</f>
        <v>0</v>
      </c>
      <c r="AJ1731" s="55">
        <f>VLOOKUP($E1731,'NI-Soc_SP'!$C:$AN,MID(AJ$1,1,2),FALSE)</f>
        <v>0</v>
      </c>
      <c r="AK1731" s="55">
        <f>VLOOKUP($E1731,'NI-Soc_SP'!$C:$AN,MID(AK$1,1,2),FALSE)</f>
        <v>0</v>
      </c>
      <c r="AL1731" s="55">
        <f>VLOOKUP($E1731,'NI-Soc_SP'!$C:$AN,MID(AL$1,1,2),FALSE)</f>
        <v>0</v>
      </c>
      <c r="AM1731" s="56">
        <f>VLOOKUP($E1731,'NI-Soc_SP'!$C:$AN,MID(AM$1,1,2),FALSE)</f>
        <v>0</v>
      </c>
      <c r="AN1731" s="30" t="str">
        <f t="shared" si="27"/>
        <v>10210080000000</v>
      </c>
    </row>
    <row r="1732" spans="3:40" x14ac:dyDescent="0.25">
      <c r="C1732" s="40"/>
      <c r="D1732" s="121" t="s">
        <v>1055</v>
      </c>
      <c r="E1732" s="121" t="s">
        <v>1056</v>
      </c>
      <c r="F1732" s="122" t="s">
        <v>2758</v>
      </c>
      <c r="G1732" s="52"/>
      <c r="H1732" s="52"/>
      <c r="I1732" s="52"/>
      <c r="J1732" s="52"/>
      <c r="K1732" s="59" t="s">
        <v>79</v>
      </c>
      <c r="L1732" s="52"/>
      <c r="M1732" s="52"/>
      <c r="N1732" s="52"/>
      <c r="O1732" s="52"/>
      <c r="P1732" s="63" t="s">
        <v>1057</v>
      </c>
      <c r="Q1732" s="55">
        <f>-VLOOKUP(E1732,'NI-Soc_SP'!$C:$AN,12,FALSE)</f>
        <v>0</v>
      </c>
      <c r="R1732" s="55">
        <f>-VLOOKUP(E1732,'NI-Soc_SP'!$C:$AN,13,FALSE)</f>
        <v>0</v>
      </c>
      <c r="S1732" s="55"/>
      <c r="T1732" s="55"/>
      <c r="U1732" s="55">
        <f>VLOOKUP($E1732,'NI-Soc_SP'!$C:$AN,MID(U$1,1,2),FALSE)</f>
        <v>0</v>
      </c>
      <c r="V1732" s="55">
        <f>VLOOKUP($E1732,'NI-Soc_SP'!$C:$AN,MID(V$1,1,2),FALSE)</f>
        <v>0</v>
      </c>
      <c r="W1732" s="55">
        <f>VLOOKUP($E1732,'NI-Soc_SP'!$C:$AN,MID(W$1,1,2),FALSE)</f>
        <v>0</v>
      </c>
      <c r="X1732" s="55">
        <f>VLOOKUP($E1732,'NI-Soc_SP'!$C:$AN,MID(X$1,1,2),FALSE)</f>
        <v>0</v>
      </c>
      <c r="Y1732" s="55">
        <f>VLOOKUP($E1732,'NI-Soc_SP'!$C:$AN,MID(Y$1,1,2),FALSE)</f>
        <v>0</v>
      </c>
      <c r="Z1732" s="55">
        <f>VLOOKUP($E1732,'NI-Soc_SP'!$C:$AN,MID(Z$1,1,2),FALSE)</f>
        <v>0</v>
      </c>
      <c r="AA1732" s="55">
        <f>VLOOKUP($E1732,'NI-Soc_SP'!$C:$AN,MID(AA$1,1,2),FALSE)</f>
        <v>0</v>
      </c>
      <c r="AB1732" s="55">
        <f>VLOOKUP($E1732,'NI-Soc_SP'!$C:$AN,MID(AB$1,1,2),FALSE)</f>
        <v>0</v>
      </c>
      <c r="AC1732" s="55">
        <f>VLOOKUP($E1732,'NI-Soc_SP'!$C:$AN,MID(AC$1,1,2),FALSE)</f>
        <v>0</v>
      </c>
      <c r="AD1732" s="55">
        <f>VLOOKUP($E1732,'NI-Soc_SP'!$C:$AN,MID(AD$1,1,2),FALSE)</f>
        <v>0</v>
      </c>
      <c r="AE1732" s="55">
        <f>VLOOKUP($E1732,'NI-Soc_SP'!$C:$AN,MID(AE$1,1,2),FALSE)</f>
        <v>0</v>
      </c>
      <c r="AF1732" s="55">
        <f>VLOOKUP($E1732,'NI-Soc_SP'!$C:$AN,MID(AF$1,1,2),FALSE)</f>
        <v>0</v>
      </c>
      <c r="AG1732" s="55">
        <f>VLOOKUP($E1732,'NI-Soc_SP'!$C:$AN,MID(AG$1,1,2),FALSE)</f>
        <v>0</v>
      </c>
      <c r="AH1732" s="55">
        <f>VLOOKUP($E1732,'NI-Soc_SP'!$C:$AN,MID(AH$1,1,2),FALSE)</f>
        <v>0</v>
      </c>
      <c r="AI1732" s="55">
        <f>VLOOKUP($E1732,'NI-Soc_SP'!$C:$AN,MID(AI$1,1,2),FALSE)</f>
        <v>0</v>
      </c>
      <c r="AJ1732" s="55">
        <f>VLOOKUP($E1732,'NI-Soc_SP'!$C:$AN,MID(AJ$1,1,2),FALSE)</f>
        <v>0</v>
      </c>
      <c r="AK1732" s="55">
        <f>VLOOKUP($E1732,'NI-Soc_SP'!$C:$AN,MID(AK$1,1,2),FALSE)</f>
        <v>0</v>
      </c>
      <c r="AL1732" s="55">
        <f>VLOOKUP($E1732,'NI-Soc_SP'!$C:$AN,MID(AL$1,1,2),FALSE)</f>
        <v>0</v>
      </c>
      <c r="AM1732" s="56">
        <f>VLOOKUP($E1732,'NI-Soc_SP'!$C:$AN,MID(AM$1,1,2),FALSE)</f>
        <v>0</v>
      </c>
      <c r="AN1732" s="30" t="str">
        <f t="shared" si="27"/>
        <v>10210080010000</v>
      </c>
    </row>
    <row r="1733" spans="3:40" x14ac:dyDescent="0.25">
      <c r="C1733" s="40"/>
      <c r="D1733" s="121" t="s">
        <v>1058</v>
      </c>
      <c r="E1733" s="121" t="s">
        <v>1059</v>
      </c>
      <c r="F1733" s="122" t="s">
        <v>2758</v>
      </c>
      <c r="G1733" s="52"/>
      <c r="H1733" s="52"/>
      <c r="I1733" s="52"/>
      <c r="J1733" s="52"/>
      <c r="K1733" s="59" t="s">
        <v>79</v>
      </c>
      <c r="L1733" s="52"/>
      <c r="M1733" s="52"/>
      <c r="N1733" s="52"/>
      <c r="O1733" s="52"/>
      <c r="P1733" s="63" t="s">
        <v>1060</v>
      </c>
      <c r="Q1733" s="55">
        <f>-VLOOKUP(E1733,'NI-Soc_SP'!$C:$AN,12,FALSE)</f>
        <v>0</v>
      </c>
      <c r="R1733" s="55">
        <f>-VLOOKUP(E1733,'NI-Soc_SP'!$C:$AN,13,FALSE)</f>
        <v>0</v>
      </c>
      <c r="S1733" s="55"/>
      <c r="T1733" s="55"/>
      <c r="U1733" s="55">
        <f>VLOOKUP($E1733,'NI-Soc_SP'!$C:$AN,MID(U$1,1,2),FALSE)</f>
        <v>0</v>
      </c>
      <c r="V1733" s="55">
        <f>VLOOKUP($E1733,'NI-Soc_SP'!$C:$AN,MID(V$1,1,2),FALSE)</f>
        <v>0</v>
      </c>
      <c r="W1733" s="55">
        <f>VLOOKUP($E1733,'NI-Soc_SP'!$C:$AN,MID(W$1,1,2),FALSE)</f>
        <v>0</v>
      </c>
      <c r="X1733" s="55">
        <f>VLOOKUP($E1733,'NI-Soc_SP'!$C:$AN,MID(X$1,1,2),FALSE)</f>
        <v>0</v>
      </c>
      <c r="Y1733" s="55">
        <f>VLOOKUP($E1733,'NI-Soc_SP'!$C:$AN,MID(Y$1,1,2),FALSE)</f>
        <v>0</v>
      </c>
      <c r="Z1733" s="55">
        <f>VLOOKUP($E1733,'NI-Soc_SP'!$C:$AN,MID(Z$1,1,2),FALSE)</f>
        <v>0</v>
      </c>
      <c r="AA1733" s="55">
        <f>VLOOKUP($E1733,'NI-Soc_SP'!$C:$AN,MID(AA$1,1,2),FALSE)</f>
        <v>0</v>
      </c>
      <c r="AB1733" s="55">
        <f>VLOOKUP($E1733,'NI-Soc_SP'!$C:$AN,MID(AB$1,1,2),FALSE)</f>
        <v>0</v>
      </c>
      <c r="AC1733" s="55">
        <f>VLOOKUP($E1733,'NI-Soc_SP'!$C:$AN,MID(AC$1,1,2),FALSE)</f>
        <v>0</v>
      </c>
      <c r="AD1733" s="55">
        <f>VLOOKUP($E1733,'NI-Soc_SP'!$C:$AN,MID(AD$1,1,2),FALSE)</f>
        <v>0</v>
      </c>
      <c r="AE1733" s="55">
        <f>VLOOKUP($E1733,'NI-Soc_SP'!$C:$AN,MID(AE$1,1,2),FALSE)</f>
        <v>0</v>
      </c>
      <c r="AF1733" s="55">
        <f>VLOOKUP($E1733,'NI-Soc_SP'!$C:$AN,MID(AF$1,1,2),FALSE)</f>
        <v>0</v>
      </c>
      <c r="AG1733" s="55">
        <f>VLOOKUP($E1733,'NI-Soc_SP'!$C:$AN,MID(AG$1,1,2),FALSE)</f>
        <v>0</v>
      </c>
      <c r="AH1733" s="55">
        <f>VLOOKUP($E1733,'NI-Soc_SP'!$C:$AN,MID(AH$1,1,2),FALSE)</f>
        <v>0</v>
      </c>
      <c r="AI1733" s="55">
        <f>VLOOKUP($E1733,'NI-Soc_SP'!$C:$AN,MID(AI$1,1,2),FALSE)</f>
        <v>0</v>
      </c>
      <c r="AJ1733" s="55">
        <f>VLOOKUP($E1733,'NI-Soc_SP'!$C:$AN,MID(AJ$1,1,2),FALSE)</f>
        <v>0</v>
      </c>
      <c r="AK1733" s="55">
        <f>VLOOKUP($E1733,'NI-Soc_SP'!$C:$AN,MID(AK$1,1,2),FALSE)</f>
        <v>0</v>
      </c>
      <c r="AL1733" s="55">
        <f>VLOOKUP($E1733,'NI-Soc_SP'!$C:$AN,MID(AL$1,1,2),FALSE)</f>
        <v>0</v>
      </c>
      <c r="AM1733" s="56">
        <f>VLOOKUP($E1733,'NI-Soc_SP'!$C:$AN,MID(AM$1,1,2),FALSE)</f>
        <v>0</v>
      </c>
      <c r="AN1733" s="30" t="str">
        <f t="shared" si="27"/>
        <v>10210080020000</v>
      </c>
    </row>
    <row r="1734" spans="3:40" x14ac:dyDescent="0.25">
      <c r="C1734" s="40"/>
      <c r="D1734" s="121" t="s">
        <v>1061</v>
      </c>
      <c r="E1734" s="121" t="s">
        <v>1062</v>
      </c>
      <c r="F1734" s="122" t="s">
        <v>2758</v>
      </c>
      <c r="G1734" s="52"/>
      <c r="H1734" s="52"/>
      <c r="I1734" s="52"/>
      <c r="J1734" s="52"/>
      <c r="K1734" s="59" t="s">
        <v>111</v>
      </c>
      <c r="L1734" s="52"/>
      <c r="M1734" s="52"/>
      <c r="N1734" s="52"/>
      <c r="O1734" s="52"/>
      <c r="P1734" s="60" t="s">
        <v>1063</v>
      </c>
      <c r="Q1734" s="55">
        <f>VLOOKUP(E1734,'NI-Soc_SP'!$C:$AN,12,FALSE)</f>
        <v>0</v>
      </c>
      <c r="R1734" s="55">
        <f>VLOOKUP(E1734,'NI-Soc_SP'!$C:$AN,13,FALSE)</f>
        <v>0</v>
      </c>
      <c r="S1734" s="55"/>
      <c r="T1734" s="55"/>
      <c r="U1734" s="55">
        <f>VLOOKUP($E1734,'NI-Soc_SP'!$C:$AN,MID(U$1,1,2),FALSE)</f>
        <v>0</v>
      </c>
      <c r="V1734" s="55">
        <f>VLOOKUP($E1734,'NI-Soc_SP'!$C:$AN,MID(V$1,1,2),FALSE)</f>
        <v>0</v>
      </c>
      <c r="W1734" s="55">
        <f>VLOOKUP($E1734,'NI-Soc_SP'!$C:$AN,MID(W$1,1,2),FALSE)</f>
        <v>0</v>
      </c>
      <c r="X1734" s="55">
        <f>VLOOKUP($E1734,'NI-Soc_SP'!$C:$AN,MID(X$1,1,2),FALSE)</f>
        <v>0</v>
      </c>
      <c r="Y1734" s="55">
        <f>VLOOKUP($E1734,'NI-Soc_SP'!$C:$AN,MID(Y$1,1,2),FALSE)</f>
        <v>0</v>
      </c>
      <c r="Z1734" s="55">
        <f>VLOOKUP($E1734,'NI-Soc_SP'!$C:$AN,MID(Z$1,1,2),FALSE)</f>
        <v>0</v>
      </c>
      <c r="AA1734" s="55">
        <f>VLOOKUP($E1734,'NI-Soc_SP'!$C:$AN,MID(AA$1,1,2),FALSE)</f>
        <v>0</v>
      </c>
      <c r="AB1734" s="55">
        <f>VLOOKUP($E1734,'NI-Soc_SP'!$C:$AN,MID(AB$1,1,2),FALSE)</f>
        <v>0</v>
      </c>
      <c r="AC1734" s="55">
        <f>VLOOKUP($E1734,'NI-Soc_SP'!$C:$AN,MID(AC$1,1,2),FALSE)</f>
        <v>0</v>
      </c>
      <c r="AD1734" s="55">
        <f>VLOOKUP($E1734,'NI-Soc_SP'!$C:$AN,MID(AD$1,1,2),FALSE)</f>
        <v>0</v>
      </c>
      <c r="AE1734" s="55">
        <f>VLOOKUP($E1734,'NI-Soc_SP'!$C:$AN,MID(AE$1,1,2),FALSE)</f>
        <v>0</v>
      </c>
      <c r="AF1734" s="55">
        <f>VLOOKUP($E1734,'NI-Soc_SP'!$C:$AN,MID(AF$1,1,2),FALSE)</f>
        <v>0</v>
      </c>
      <c r="AG1734" s="55">
        <f>VLOOKUP($E1734,'NI-Soc_SP'!$C:$AN,MID(AG$1,1,2),FALSE)</f>
        <v>0</v>
      </c>
      <c r="AH1734" s="55">
        <f>VLOOKUP($E1734,'NI-Soc_SP'!$C:$AN,MID(AH$1,1,2),FALSE)</f>
        <v>0</v>
      </c>
      <c r="AI1734" s="55">
        <f>VLOOKUP($E1734,'NI-Soc_SP'!$C:$AN,MID(AI$1,1,2),FALSE)</f>
        <v>0</v>
      </c>
      <c r="AJ1734" s="55">
        <f>VLOOKUP($E1734,'NI-Soc_SP'!$C:$AN,MID(AJ$1,1,2),FALSE)</f>
        <v>0</v>
      </c>
      <c r="AK1734" s="55">
        <f>VLOOKUP($E1734,'NI-Soc_SP'!$C:$AN,MID(AK$1,1,2),FALSE)</f>
        <v>0</v>
      </c>
      <c r="AL1734" s="55">
        <f>VLOOKUP($E1734,'NI-Soc_SP'!$C:$AN,MID(AL$1,1,2),FALSE)</f>
        <v>0</v>
      </c>
      <c r="AM1734" s="56">
        <f>VLOOKUP($E1734,'NI-Soc_SP'!$C:$AN,MID(AM$1,1,2),FALSE)</f>
        <v>0</v>
      </c>
      <c r="AN1734" s="30" t="str">
        <f t="shared" si="27"/>
        <v>10300000000000</v>
      </c>
    </row>
    <row r="1735" spans="3:40" x14ac:dyDescent="0.25">
      <c r="C1735" s="40"/>
      <c r="D1735" s="121" t="s">
        <v>1064</v>
      </c>
      <c r="E1735" s="121" t="s">
        <v>1065</v>
      </c>
      <c r="F1735" s="122" t="s">
        <v>2758</v>
      </c>
      <c r="G1735" s="52"/>
      <c r="H1735" s="52"/>
      <c r="I1735" s="52"/>
      <c r="J1735" s="52"/>
      <c r="K1735" s="59" t="s">
        <v>111</v>
      </c>
      <c r="L1735" s="62" t="s">
        <v>1066</v>
      </c>
      <c r="M1735" s="52"/>
      <c r="N1735" s="52"/>
      <c r="O1735" s="52"/>
      <c r="P1735" s="54" t="s">
        <v>1067</v>
      </c>
      <c r="Q1735" s="55">
        <f>VLOOKUP(E1735,'NI-Soc_SP'!$C:$AN,12,FALSE)</f>
        <v>0</v>
      </c>
      <c r="R1735" s="55">
        <f>VLOOKUP(E1735,'NI-Soc_SP'!$C:$AN,13,FALSE)</f>
        <v>0</v>
      </c>
      <c r="S1735" s="55">
        <f>VLOOKUP(E1735,'NI-Soc_SP'!$C:$AN,31,FALSE)</f>
        <v>0</v>
      </c>
      <c r="T1735" s="55">
        <f>VLOOKUP(E1735,'NI-Soc_SP'!$C:$AN,32,FALSE)+VLOOKUP(E1735,'NI-Soc_SP'!$C:$AN,33,FALSE)</f>
        <v>0</v>
      </c>
      <c r="U1735" s="55">
        <f>VLOOKUP($E1735,'NI-Soc_SP'!$C:$AN,MID(U$1,1,2),FALSE)</f>
        <v>0</v>
      </c>
      <c r="V1735" s="55">
        <f>VLOOKUP($E1735,'NI-Soc_SP'!$C:$AN,MID(V$1,1,2),FALSE)</f>
        <v>0</v>
      </c>
      <c r="W1735" s="55">
        <f>VLOOKUP($E1735,'NI-Soc_SP'!$C:$AN,MID(W$1,1,2),FALSE)</f>
        <v>0</v>
      </c>
      <c r="X1735" s="55">
        <f>VLOOKUP($E1735,'NI-Soc_SP'!$C:$AN,MID(X$1,1,2),FALSE)</f>
        <v>0</v>
      </c>
      <c r="Y1735" s="55">
        <f>VLOOKUP($E1735,'NI-Soc_SP'!$C:$AN,MID(Y$1,1,2),FALSE)</f>
        <v>0</v>
      </c>
      <c r="Z1735" s="55">
        <f>VLOOKUP($E1735,'NI-Soc_SP'!$C:$AN,MID(Z$1,1,2),FALSE)</f>
        <v>0</v>
      </c>
      <c r="AA1735" s="55">
        <f>VLOOKUP($E1735,'NI-Soc_SP'!$C:$AN,MID(AA$1,1,2),FALSE)</f>
        <v>0</v>
      </c>
      <c r="AB1735" s="55">
        <f>VLOOKUP($E1735,'NI-Soc_SP'!$C:$AN,MID(AB$1,1,2),FALSE)</f>
        <v>0</v>
      </c>
      <c r="AC1735" s="55">
        <f>VLOOKUP($E1735,'NI-Soc_SP'!$C:$AN,MID(AC$1,1,2),FALSE)</f>
        <v>0</v>
      </c>
      <c r="AD1735" s="55">
        <f>VLOOKUP($E1735,'NI-Soc_SP'!$C:$AN,MID(AD$1,1,2),FALSE)</f>
        <v>0</v>
      </c>
      <c r="AE1735" s="55">
        <f>VLOOKUP($E1735,'NI-Soc_SP'!$C:$AN,MID(AE$1,1,2),FALSE)</f>
        <v>0</v>
      </c>
      <c r="AF1735" s="55">
        <f>VLOOKUP($E1735,'NI-Soc_SP'!$C:$AN,MID(AF$1,1,2),FALSE)</f>
        <v>0</v>
      </c>
      <c r="AG1735" s="55">
        <f>VLOOKUP($E1735,'NI-Soc_SP'!$C:$AN,MID(AG$1,1,2),FALSE)</f>
        <v>0</v>
      </c>
      <c r="AH1735" s="55">
        <f>VLOOKUP($E1735,'NI-Soc_SP'!$C:$AN,MID(AH$1,1,2),FALSE)</f>
        <v>0</v>
      </c>
      <c r="AI1735" s="55">
        <f>VLOOKUP($E1735,'NI-Soc_SP'!$C:$AN,MID(AI$1,1,2),FALSE)</f>
        <v>0</v>
      </c>
      <c r="AJ1735" s="55">
        <f>VLOOKUP($E1735,'NI-Soc_SP'!$C:$AN,MID(AJ$1,1,2),FALSE)</f>
        <v>0</v>
      </c>
      <c r="AK1735" s="55">
        <f>VLOOKUP($E1735,'NI-Soc_SP'!$C:$AN,MID(AK$1,1,2),FALSE)</f>
        <v>0</v>
      </c>
      <c r="AL1735" s="55">
        <f>VLOOKUP($E1735,'NI-Soc_SP'!$C:$AN,MID(AL$1,1,2),FALSE)</f>
        <v>0</v>
      </c>
      <c r="AM1735" s="56">
        <f>VLOOKUP($E1735,'NI-Soc_SP'!$C:$AN,MID(AM$1,1,2),FALSE)</f>
        <v>0</v>
      </c>
      <c r="AN1735" s="30" t="str">
        <f t="shared" si="27"/>
        <v>10301000000000</v>
      </c>
    </row>
    <row r="1736" spans="3:40" x14ac:dyDescent="0.25">
      <c r="C1736" s="40"/>
      <c r="D1736" s="121" t="s">
        <v>1068</v>
      </c>
      <c r="E1736" s="121" t="s">
        <v>1069</v>
      </c>
      <c r="F1736" s="122" t="s">
        <v>2758</v>
      </c>
      <c r="G1736" s="52"/>
      <c r="H1736" s="52"/>
      <c r="I1736" s="52" t="s">
        <v>1070</v>
      </c>
      <c r="J1736" s="52"/>
      <c r="K1736" s="59" t="s">
        <v>79</v>
      </c>
      <c r="L1736" s="52"/>
      <c r="M1736" s="52"/>
      <c r="N1736" s="52"/>
      <c r="O1736" s="61" t="s">
        <v>1071</v>
      </c>
      <c r="P1736" s="64" t="s">
        <v>1072</v>
      </c>
      <c r="Q1736" s="55">
        <f>VLOOKUP(E1736,'NI-Soc_SP'!$C:$AN,12,FALSE)</f>
        <v>0</v>
      </c>
      <c r="R1736" s="55">
        <f>VLOOKUP(E1736,'NI-Soc_SP'!$C:$AN,13,FALSE)</f>
        <v>0</v>
      </c>
      <c r="S1736" s="55">
        <f>VLOOKUP(E1736,'NI-Soc_SP'!$C:$AN,31,FALSE)</f>
        <v>0</v>
      </c>
      <c r="T1736" s="55">
        <f>VLOOKUP(E1736,'NI-Soc_SP'!$C:$AN,32,FALSE)+VLOOKUP(E1736,'NI-Soc_SP'!$C:$AN,33,FALSE)</f>
        <v>0</v>
      </c>
      <c r="U1736" s="55">
        <f>VLOOKUP($E1736,'NI-Soc_SP'!$C:$AN,MID(U$1,1,2),FALSE)</f>
        <v>0</v>
      </c>
      <c r="V1736" s="55">
        <f>VLOOKUP($E1736,'NI-Soc_SP'!$C:$AN,MID(V$1,1,2),FALSE)</f>
        <v>0</v>
      </c>
      <c r="W1736" s="55">
        <f>VLOOKUP($E1736,'NI-Soc_SP'!$C:$AN,MID(W$1,1,2),FALSE)</f>
        <v>0</v>
      </c>
      <c r="X1736" s="55">
        <f>VLOOKUP($E1736,'NI-Soc_SP'!$C:$AN,MID(X$1,1,2),FALSE)</f>
        <v>0</v>
      </c>
      <c r="Y1736" s="55">
        <f>VLOOKUP($E1736,'NI-Soc_SP'!$C:$AN,MID(Y$1,1,2),FALSE)</f>
        <v>0</v>
      </c>
      <c r="Z1736" s="55">
        <f>VLOOKUP($E1736,'NI-Soc_SP'!$C:$AN,MID(Z$1,1,2),FALSE)</f>
        <v>0</v>
      </c>
      <c r="AA1736" s="55">
        <f>VLOOKUP($E1736,'NI-Soc_SP'!$C:$AN,MID(AA$1,1,2),FALSE)</f>
        <v>0</v>
      </c>
      <c r="AB1736" s="55">
        <f>VLOOKUP($E1736,'NI-Soc_SP'!$C:$AN,MID(AB$1,1,2),FALSE)</f>
        <v>0</v>
      </c>
      <c r="AC1736" s="55">
        <f>VLOOKUP($E1736,'NI-Soc_SP'!$C:$AN,MID(AC$1,1,2),FALSE)</f>
        <v>0</v>
      </c>
      <c r="AD1736" s="55">
        <f>VLOOKUP($E1736,'NI-Soc_SP'!$C:$AN,MID(AD$1,1,2),FALSE)</f>
        <v>0</v>
      </c>
      <c r="AE1736" s="55">
        <f>VLOOKUP($E1736,'NI-Soc_SP'!$C:$AN,MID(AE$1,1,2),FALSE)</f>
        <v>0</v>
      </c>
      <c r="AF1736" s="55">
        <f>VLOOKUP($E1736,'NI-Soc_SP'!$C:$AN,MID(AF$1,1,2),FALSE)</f>
        <v>0</v>
      </c>
      <c r="AG1736" s="55">
        <f>VLOOKUP($E1736,'NI-Soc_SP'!$C:$AN,MID(AG$1,1,2),FALSE)</f>
        <v>0</v>
      </c>
      <c r="AH1736" s="55">
        <f>VLOOKUP($E1736,'NI-Soc_SP'!$C:$AN,MID(AH$1,1,2),FALSE)</f>
        <v>0</v>
      </c>
      <c r="AI1736" s="55">
        <f>VLOOKUP($E1736,'NI-Soc_SP'!$C:$AN,MID(AI$1,1,2),FALSE)</f>
        <v>0</v>
      </c>
      <c r="AJ1736" s="55">
        <f>VLOOKUP($E1736,'NI-Soc_SP'!$C:$AN,MID(AJ$1,1,2),FALSE)</f>
        <v>0</v>
      </c>
      <c r="AK1736" s="55">
        <f>VLOOKUP($E1736,'NI-Soc_SP'!$C:$AN,MID(AK$1,1,2),FALSE)</f>
        <v>0</v>
      </c>
      <c r="AL1736" s="55">
        <f>VLOOKUP($E1736,'NI-Soc_SP'!$C:$AN,MID(AL$1,1,2),FALSE)</f>
        <v>0</v>
      </c>
      <c r="AM1736" s="56">
        <f>VLOOKUP($E1736,'NI-Soc_SP'!$C:$AN,MID(AM$1,1,2),FALSE)</f>
        <v>0</v>
      </c>
      <c r="AN1736" s="30" t="str">
        <f t="shared" si="27"/>
        <v>10301010000000</v>
      </c>
    </row>
    <row r="1737" spans="3:40" x14ac:dyDescent="0.25">
      <c r="C1737" s="40"/>
      <c r="D1737" s="121" t="s">
        <v>1073</v>
      </c>
      <c r="E1737" s="121" t="s">
        <v>1074</v>
      </c>
      <c r="F1737" s="122" t="s">
        <v>2758</v>
      </c>
      <c r="G1737" s="52"/>
      <c r="H1737" s="52"/>
      <c r="I1737" s="52" t="s">
        <v>1075</v>
      </c>
      <c r="J1737" s="52"/>
      <c r="K1737" s="59" t="s">
        <v>79</v>
      </c>
      <c r="L1737" s="52"/>
      <c r="M1737" s="52"/>
      <c r="N1737" s="52"/>
      <c r="O1737" s="61" t="s">
        <v>1076</v>
      </c>
      <c r="P1737" s="64" t="s">
        <v>1077</v>
      </c>
      <c r="Q1737" s="55">
        <f>VLOOKUP(E1737,'NI-Soc_SP'!$C:$AN,12,FALSE)</f>
        <v>0</v>
      </c>
      <c r="R1737" s="55">
        <f>VLOOKUP(E1737,'NI-Soc_SP'!$C:$AN,13,FALSE)</f>
        <v>0</v>
      </c>
      <c r="S1737" s="55">
        <f>VLOOKUP(E1737,'NI-Soc_SP'!$C:$AN,31,FALSE)</f>
        <v>0</v>
      </c>
      <c r="T1737" s="55">
        <f>VLOOKUP(E1737,'NI-Soc_SP'!$C:$AN,32,FALSE)+VLOOKUP(E1737,'NI-Soc_SP'!$C:$AN,33,FALSE)</f>
        <v>0</v>
      </c>
      <c r="U1737" s="55">
        <f>VLOOKUP($E1737,'NI-Soc_SP'!$C:$AN,MID(U$1,1,2),FALSE)</f>
        <v>0</v>
      </c>
      <c r="V1737" s="55">
        <f>VLOOKUP($E1737,'NI-Soc_SP'!$C:$AN,MID(V$1,1,2),FALSE)</f>
        <v>0</v>
      </c>
      <c r="W1737" s="55">
        <f>VLOOKUP($E1737,'NI-Soc_SP'!$C:$AN,MID(W$1,1,2),FALSE)</f>
        <v>0</v>
      </c>
      <c r="X1737" s="55">
        <f>VLOOKUP($E1737,'NI-Soc_SP'!$C:$AN,MID(X$1,1,2),FALSE)</f>
        <v>0</v>
      </c>
      <c r="Y1737" s="55">
        <f>VLOOKUP($E1737,'NI-Soc_SP'!$C:$AN,MID(Y$1,1,2),FALSE)</f>
        <v>0</v>
      </c>
      <c r="Z1737" s="55">
        <f>VLOOKUP($E1737,'NI-Soc_SP'!$C:$AN,MID(Z$1,1,2),FALSE)</f>
        <v>0</v>
      </c>
      <c r="AA1737" s="55">
        <f>VLOOKUP($E1737,'NI-Soc_SP'!$C:$AN,MID(AA$1,1,2),FALSE)</f>
        <v>0</v>
      </c>
      <c r="AB1737" s="55">
        <f>VLOOKUP($E1737,'NI-Soc_SP'!$C:$AN,MID(AB$1,1,2),FALSE)</f>
        <v>0</v>
      </c>
      <c r="AC1737" s="55">
        <f>VLOOKUP($E1737,'NI-Soc_SP'!$C:$AN,MID(AC$1,1,2),FALSE)</f>
        <v>0</v>
      </c>
      <c r="AD1737" s="55">
        <f>VLOOKUP($E1737,'NI-Soc_SP'!$C:$AN,MID(AD$1,1,2),FALSE)</f>
        <v>0</v>
      </c>
      <c r="AE1737" s="55">
        <f>VLOOKUP($E1737,'NI-Soc_SP'!$C:$AN,MID(AE$1,1,2),FALSE)</f>
        <v>0</v>
      </c>
      <c r="AF1737" s="55">
        <f>VLOOKUP($E1737,'NI-Soc_SP'!$C:$AN,MID(AF$1,1,2),FALSE)</f>
        <v>0</v>
      </c>
      <c r="AG1737" s="55">
        <f>VLOOKUP($E1737,'NI-Soc_SP'!$C:$AN,MID(AG$1,1,2),FALSE)</f>
        <v>0</v>
      </c>
      <c r="AH1737" s="55">
        <f>VLOOKUP($E1737,'NI-Soc_SP'!$C:$AN,MID(AH$1,1,2),FALSE)</f>
        <v>0</v>
      </c>
      <c r="AI1737" s="55">
        <f>VLOOKUP($E1737,'NI-Soc_SP'!$C:$AN,MID(AI$1,1,2),FALSE)</f>
        <v>0</v>
      </c>
      <c r="AJ1737" s="55">
        <f>VLOOKUP($E1737,'NI-Soc_SP'!$C:$AN,MID(AJ$1,1,2),FALSE)</f>
        <v>0</v>
      </c>
      <c r="AK1737" s="55">
        <f>VLOOKUP($E1737,'NI-Soc_SP'!$C:$AN,MID(AK$1,1,2),FALSE)</f>
        <v>0</v>
      </c>
      <c r="AL1737" s="55">
        <f>VLOOKUP($E1737,'NI-Soc_SP'!$C:$AN,MID(AL$1,1,2),FALSE)</f>
        <v>0</v>
      </c>
      <c r="AM1737" s="56">
        <f>VLOOKUP($E1737,'NI-Soc_SP'!$C:$AN,MID(AM$1,1,2),FALSE)</f>
        <v>0</v>
      </c>
      <c r="AN1737" s="30" t="str">
        <f t="shared" si="27"/>
        <v>10301020000000</v>
      </c>
    </row>
    <row r="1738" spans="3:40" x14ac:dyDescent="0.25">
      <c r="C1738" s="40"/>
      <c r="D1738" s="121" t="s">
        <v>1078</v>
      </c>
      <c r="E1738" s="121" t="s">
        <v>1079</v>
      </c>
      <c r="F1738" s="122" t="s">
        <v>2758</v>
      </c>
      <c r="G1738" s="52"/>
      <c r="H1738" s="52"/>
      <c r="I1738" s="52" t="s">
        <v>1080</v>
      </c>
      <c r="J1738" s="52"/>
      <c r="K1738" s="59" t="s">
        <v>79</v>
      </c>
      <c r="L1738" s="52"/>
      <c r="M1738" s="52"/>
      <c r="N1738" s="52"/>
      <c r="O1738" s="61" t="s">
        <v>1081</v>
      </c>
      <c r="P1738" s="64" t="s">
        <v>1082</v>
      </c>
      <c r="Q1738" s="55">
        <f>VLOOKUP(E1738,'NI-Soc_SP'!$C:$AN,12,FALSE)</f>
        <v>0</v>
      </c>
      <c r="R1738" s="55">
        <f>VLOOKUP(E1738,'NI-Soc_SP'!$C:$AN,13,FALSE)</f>
        <v>0</v>
      </c>
      <c r="S1738" s="55">
        <f>VLOOKUP(E1738,'NI-Soc_SP'!$C:$AN,31,FALSE)</f>
        <v>0</v>
      </c>
      <c r="T1738" s="55">
        <f>VLOOKUP(E1738,'NI-Soc_SP'!$C:$AN,32,FALSE)+VLOOKUP(E1738,'NI-Soc_SP'!$C:$AN,33,FALSE)</f>
        <v>0</v>
      </c>
      <c r="U1738" s="55">
        <f>VLOOKUP($E1738,'NI-Soc_SP'!$C:$AN,MID(U$1,1,2),FALSE)</f>
        <v>0</v>
      </c>
      <c r="V1738" s="55">
        <f>VLOOKUP($E1738,'NI-Soc_SP'!$C:$AN,MID(V$1,1,2),FALSE)</f>
        <v>0</v>
      </c>
      <c r="W1738" s="55">
        <f>VLOOKUP($E1738,'NI-Soc_SP'!$C:$AN,MID(W$1,1,2),FALSE)</f>
        <v>0</v>
      </c>
      <c r="X1738" s="55">
        <f>VLOOKUP($E1738,'NI-Soc_SP'!$C:$AN,MID(X$1,1,2),FALSE)</f>
        <v>0</v>
      </c>
      <c r="Y1738" s="55">
        <f>VLOOKUP($E1738,'NI-Soc_SP'!$C:$AN,MID(Y$1,1,2),FALSE)</f>
        <v>0</v>
      </c>
      <c r="Z1738" s="55">
        <f>VLOOKUP($E1738,'NI-Soc_SP'!$C:$AN,MID(Z$1,1,2),FALSE)</f>
        <v>0</v>
      </c>
      <c r="AA1738" s="55">
        <f>VLOOKUP($E1738,'NI-Soc_SP'!$C:$AN,MID(AA$1,1,2),FALSE)</f>
        <v>0</v>
      </c>
      <c r="AB1738" s="55">
        <f>VLOOKUP($E1738,'NI-Soc_SP'!$C:$AN,MID(AB$1,1,2),FALSE)</f>
        <v>0</v>
      </c>
      <c r="AC1738" s="55">
        <f>VLOOKUP($E1738,'NI-Soc_SP'!$C:$AN,MID(AC$1,1,2),FALSE)</f>
        <v>0</v>
      </c>
      <c r="AD1738" s="55">
        <f>VLOOKUP($E1738,'NI-Soc_SP'!$C:$AN,MID(AD$1,1,2),FALSE)</f>
        <v>0</v>
      </c>
      <c r="AE1738" s="55">
        <f>VLOOKUP($E1738,'NI-Soc_SP'!$C:$AN,MID(AE$1,1,2),FALSE)</f>
        <v>0</v>
      </c>
      <c r="AF1738" s="55">
        <f>VLOOKUP($E1738,'NI-Soc_SP'!$C:$AN,MID(AF$1,1,2),FALSE)</f>
        <v>0</v>
      </c>
      <c r="AG1738" s="55">
        <f>VLOOKUP($E1738,'NI-Soc_SP'!$C:$AN,MID(AG$1,1,2),FALSE)</f>
        <v>0</v>
      </c>
      <c r="AH1738" s="55">
        <f>VLOOKUP($E1738,'NI-Soc_SP'!$C:$AN,MID(AH$1,1,2),FALSE)</f>
        <v>0</v>
      </c>
      <c r="AI1738" s="55">
        <f>VLOOKUP($E1738,'NI-Soc_SP'!$C:$AN,MID(AI$1,1,2),FALSE)</f>
        <v>0</v>
      </c>
      <c r="AJ1738" s="55">
        <f>VLOOKUP($E1738,'NI-Soc_SP'!$C:$AN,MID(AJ$1,1,2),FALSE)</f>
        <v>0</v>
      </c>
      <c r="AK1738" s="55">
        <f>VLOOKUP($E1738,'NI-Soc_SP'!$C:$AN,MID(AK$1,1,2),FALSE)</f>
        <v>0</v>
      </c>
      <c r="AL1738" s="55">
        <f>VLOOKUP($E1738,'NI-Soc_SP'!$C:$AN,MID(AL$1,1,2),FALSE)</f>
        <v>0</v>
      </c>
      <c r="AM1738" s="56">
        <f>VLOOKUP($E1738,'NI-Soc_SP'!$C:$AN,MID(AM$1,1,2),FALSE)</f>
        <v>0</v>
      </c>
      <c r="AN1738" s="30" t="str">
        <f t="shared" si="27"/>
        <v>10301030000000</v>
      </c>
    </row>
    <row r="1739" spans="3:40" x14ac:dyDescent="0.25">
      <c r="C1739" s="40"/>
      <c r="D1739" s="121" t="s">
        <v>1083</v>
      </c>
      <c r="E1739" s="121" t="s">
        <v>1084</v>
      </c>
      <c r="F1739" s="122" t="s">
        <v>2758</v>
      </c>
      <c r="G1739" s="52"/>
      <c r="H1739" s="52"/>
      <c r="I1739" s="52" t="s">
        <v>1085</v>
      </c>
      <c r="J1739" s="52"/>
      <c r="K1739" s="59" t="s">
        <v>79</v>
      </c>
      <c r="L1739" s="52"/>
      <c r="M1739" s="52"/>
      <c r="N1739" s="52"/>
      <c r="O1739" s="61" t="s">
        <v>1086</v>
      </c>
      <c r="P1739" s="64" t="s">
        <v>1087</v>
      </c>
      <c r="Q1739" s="55">
        <f>VLOOKUP(E1739,'NI-Soc_SP'!$C:$AN,12,FALSE)</f>
        <v>0</v>
      </c>
      <c r="R1739" s="55">
        <f>VLOOKUP(E1739,'NI-Soc_SP'!$C:$AN,13,FALSE)</f>
        <v>0</v>
      </c>
      <c r="S1739" s="55">
        <f>VLOOKUP(E1739,'NI-Soc_SP'!$C:$AN,31,FALSE)</f>
        <v>0</v>
      </c>
      <c r="T1739" s="55">
        <f>VLOOKUP(E1739,'NI-Soc_SP'!$C:$AN,32,FALSE)+VLOOKUP(E1739,'NI-Soc_SP'!$C:$AN,33,FALSE)</f>
        <v>0</v>
      </c>
      <c r="U1739" s="55">
        <f>VLOOKUP($E1739,'NI-Soc_SP'!$C:$AN,MID(U$1,1,2),FALSE)</f>
        <v>0</v>
      </c>
      <c r="V1739" s="55">
        <f>VLOOKUP($E1739,'NI-Soc_SP'!$C:$AN,MID(V$1,1,2),FALSE)</f>
        <v>0</v>
      </c>
      <c r="W1739" s="55">
        <f>VLOOKUP($E1739,'NI-Soc_SP'!$C:$AN,MID(W$1,1,2),FALSE)</f>
        <v>0</v>
      </c>
      <c r="X1739" s="55">
        <f>VLOOKUP($E1739,'NI-Soc_SP'!$C:$AN,MID(X$1,1,2),FALSE)</f>
        <v>0</v>
      </c>
      <c r="Y1739" s="55">
        <f>VLOOKUP($E1739,'NI-Soc_SP'!$C:$AN,MID(Y$1,1,2),FALSE)</f>
        <v>0</v>
      </c>
      <c r="Z1739" s="55">
        <f>VLOOKUP($E1739,'NI-Soc_SP'!$C:$AN,MID(Z$1,1,2),FALSE)</f>
        <v>0</v>
      </c>
      <c r="AA1739" s="55">
        <f>VLOOKUP($E1739,'NI-Soc_SP'!$C:$AN,MID(AA$1,1,2),FALSE)</f>
        <v>0</v>
      </c>
      <c r="AB1739" s="55">
        <f>VLOOKUP($E1739,'NI-Soc_SP'!$C:$AN,MID(AB$1,1,2),FALSE)</f>
        <v>0</v>
      </c>
      <c r="AC1739" s="55">
        <f>VLOOKUP($E1739,'NI-Soc_SP'!$C:$AN,MID(AC$1,1,2),FALSE)</f>
        <v>0</v>
      </c>
      <c r="AD1739" s="55">
        <f>VLOOKUP($E1739,'NI-Soc_SP'!$C:$AN,MID(AD$1,1,2),FALSE)</f>
        <v>0</v>
      </c>
      <c r="AE1739" s="55">
        <f>VLOOKUP($E1739,'NI-Soc_SP'!$C:$AN,MID(AE$1,1,2),FALSE)</f>
        <v>0</v>
      </c>
      <c r="AF1739" s="55">
        <f>VLOOKUP($E1739,'NI-Soc_SP'!$C:$AN,MID(AF$1,1,2),FALSE)</f>
        <v>0</v>
      </c>
      <c r="AG1739" s="55">
        <f>VLOOKUP($E1739,'NI-Soc_SP'!$C:$AN,MID(AG$1,1,2),FALSE)</f>
        <v>0</v>
      </c>
      <c r="AH1739" s="55">
        <f>VLOOKUP($E1739,'NI-Soc_SP'!$C:$AN,MID(AH$1,1,2),FALSE)</f>
        <v>0</v>
      </c>
      <c r="AI1739" s="55">
        <f>VLOOKUP($E1739,'NI-Soc_SP'!$C:$AN,MID(AI$1,1,2),FALSE)</f>
        <v>0</v>
      </c>
      <c r="AJ1739" s="55">
        <f>VLOOKUP($E1739,'NI-Soc_SP'!$C:$AN,MID(AJ$1,1,2),FALSE)</f>
        <v>0</v>
      </c>
      <c r="AK1739" s="55">
        <f>VLOOKUP($E1739,'NI-Soc_SP'!$C:$AN,MID(AK$1,1,2),FALSE)</f>
        <v>0</v>
      </c>
      <c r="AL1739" s="55">
        <f>VLOOKUP($E1739,'NI-Soc_SP'!$C:$AN,MID(AL$1,1,2),FALSE)</f>
        <v>0</v>
      </c>
      <c r="AM1739" s="56">
        <f>VLOOKUP($E1739,'NI-Soc_SP'!$C:$AN,MID(AM$1,1,2),FALSE)</f>
        <v>0</v>
      </c>
      <c r="AN1739" s="30" t="str">
        <f t="shared" si="27"/>
        <v>10301040000000</v>
      </c>
    </row>
    <row r="1740" spans="3:40" x14ac:dyDescent="0.25">
      <c r="C1740" s="40"/>
      <c r="D1740" s="121" t="s">
        <v>1088</v>
      </c>
      <c r="E1740" s="121" t="s">
        <v>1089</v>
      </c>
      <c r="F1740" s="122" t="s">
        <v>2758</v>
      </c>
      <c r="G1740" s="52"/>
      <c r="H1740" s="52"/>
      <c r="I1740" s="52"/>
      <c r="J1740" s="52"/>
      <c r="K1740" s="59" t="s">
        <v>111</v>
      </c>
      <c r="L1740" s="62" t="s">
        <v>1090</v>
      </c>
      <c r="M1740" s="52"/>
      <c r="N1740" s="52"/>
      <c r="O1740" s="52"/>
      <c r="P1740" s="54" t="s">
        <v>1091</v>
      </c>
      <c r="Q1740" s="55">
        <f>VLOOKUP(E1740,'NI-Soc_SP'!$C:$AN,12,FALSE)</f>
        <v>0</v>
      </c>
      <c r="R1740" s="55">
        <f>VLOOKUP(E1740,'NI-Soc_SP'!$C:$AN,13,FALSE)</f>
        <v>0</v>
      </c>
      <c r="S1740" s="55"/>
      <c r="T1740" s="55"/>
      <c r="U1740" s="55">
        <f>VLOOKUP($E1740,'NI-Soc_SP'!$C:$AN,MID(U$1,1,2),FALSE)</f>
        <v>0</v>
      </c>
      <c r="V1740" s="55">
        <f>VLOOKUP($E1740,'NI-Soc_SP'!$C:$AN,MID(V$1,1,2),FALSE)</f>
        <v>0</v>
      </c>
      <c r="W1740" s="55">
        <f>VLOOKUP($E1740,'NI-Soc_SP'!$C:$AN,MID(W$1,1,2),FALSE)</f>
        <v>0</v>
      </c>
      <c r="X1740" s="55">
        <f>VLOOKUP($E1740,'NI-Soc_SP'!$C:$AN,MID(X$1,1,2),FALSE)</f>
        <v>0</v>
      </c>
      <c r="Y1740" s="55">
        <f>VLOOKUP($E1740,'NI-Soc_SP'!$C:$AN,MID(Y$1,1,2),FALSE)</f>
        <v>0</v>
      </c>
      <c r="Z1740" s="55">
        <f>VLOOKUP($E1740,'NI-Soc_SP'!$C:$AN,MID(Z$1,1,2),FALSE)</f>
        <v>0</v>
      </c>
      <c r="AA1740" s="55">
        <f>VLOOKUP($E1740,'NI-Soc_SP'!$C:$AN,MID(AA$1,1,2),FALSE)</f>
        <v>0</v>
      </c>
      <c r="AB1740" s="55">
        <f>VLOOKUP($E1740,'NI-Soc_SP'!$C:$AN,MID(AB$1,1,2),FALSE)</f>
        <v>0</v>
      </c>
      <c r="AC1740" s="55">
        <f>VLOOKUP($E1740,'NI-Soc_SP'!$C:$AN,MID(AC$1,1,2),FALSE)</f>
        <v>0</v>
      </c>
      <c r="AD1740" s="55">
        <f>VLOOKUP($E1740,'NI-Soc_SP'!$C:$AN,MID(AD$1,1,2),FALSE)</f>
        <v>0</v>
      </c>
      <c r="AE1740" s="55">
        <f>VLOOKUP($E1740,'NI-Soc_SP'!$C:$AN,MID(AE$1,1,2),FALSE)</f>
        <v>0</v>
      </c>
      <c r="AF1740" s="55">
        <f>VLOOKUP($E1740,'NI-Soc_SP'!$C:$AN,MID(AF$1,1,2),FALSE)</f>
        <v>0</v>
      </c>
      <c r="AG1740" s="55">
        <f>VLOOKUP($E1740,'NI-Soc_SP'!$C:$AN,MID(AG$1,1,2),FALSE)</f>
        <v>0</v>
      </c>
      <c r="AH1740" s="55">
        <f>VLOOKUP($E1740,'NI-Soc_SP'!$C:$AN,MID(AH$1,1,2),FALSE)</f>
        <v>0</v>
      </c>
      <c r="AI1740" s="55">
        <f>VLOOKUP($E1740,'NI-Soc_SP'!$C:$AN,MID(AI$1,1,2),FALSE)</f>
        <v>0</v>
      </c>
      <c r="AJ1740" s="55">
        <f>VLOOKUP($E1740,'NI-Soc_SP'!$C:$AN,MID(AJ$1,1,2),FALSE)</f>
        <v>0</v>
      </c>
      <c r="AK1740" s="55">
        <f>VLOOKUP($E1740,'NI-Soc_SP'!$C:$AN,MID(AK$1,1,2),FALSE)</f>
        <v>0</v>
      </c>
      <c r="AL1740" s="55">
        <f>VLOOKUP($E1740,'NI-Soc_SP'!$C:$AN,MID(AL$1,1,2),FALSE)</f>
        <v>0</v>
      </c>
      <c r="AM1740" s="56">
        <f>VLOOKUP($E1740,'NI-Soc_SP'!$C:$AN,MID(AM$1,1,2),FALSE)</f>
        <v>0</v>
      </c>
      <c r="AN1740" s="30" t="str">
        <f t="shared" si="27"/>
        <v>10302000000000</v>
      </c>
    </row>
    <row r="1741" spans="3:40" x14ac:dyDescent="0.25">
      <c r="C1741" s="40"/>
      <c r="D1741" s="121" t="s">
        <v>1092</v>
      </c>
      <c r="E1741" s="121" t="s">
        <v>1093</v>
      </c>
      <c r="F1741" s="122" t="s">
        <v>2758</v>
      </c>
      <c r="G1741" s="52"/>
      <c r="H1741" s="52"/>
      <c r="I1741" s="52" t="s">
        <v>1094</v>
      </c>
      <c r="J1741" s="52"/>
      <c r="K1741" s="59" t="s">
        <v>111</v>
      </c>
      <c r="L1741" s="52"/>
      <c r="M1741" s="52"/>
      <c r="N1741" s="52"/>
      <c r="O1741" s="61" t="s">
        <v>1095</v>
      </c>
      <c r="P1741" s="54" t="s">
        <v>1096</v>
      </c>
      <c r="Q1741" s="55">
        <f>VLOOKUP(E1741,'NI-Soc_SP'!$C:$AN,12,FALSE)</f>
        <v>0</v>
      </c>
      <c r="R1741" s="55">
        <f>VLOOKUP(E1741,'NI-Soc_SP'!$C:$AN,13,FALSE)</f>
        <v>0</v>
      </c>
      <c r="S1741" s="55"/>
      <c r="T1741" s="55"/>
      <c r="U1741" s="55">
        <f>VLOOKUP($E1741,'NI-Soc_SP'!$C:$AN,MID(U$1,1,2),FALSE)</f>
        <v>0</v>
      </c>
      <c r="V1741" s="55">
        <f>VLOOKUP($E1741,'NI-Soc_SP'!$C:$AN,MID(V$1,1,2),FALSE)</f>
        <v>0</v>
      </c>
      <c r="W1741" s="55">
        <f>VLOOKUP($E1741,'NI-Soc_SP'!$C:$AN,MID(W$1,1,2),FALSE)</f>
        <v>0</v>
      </c>
      <c r="X1741" s="55">
        <f>VLOOKUP($E1741,'NI-Soc_SP'!$C:$AN,MID(X$1,1,2),FALSE)</f>
        <v>0</v>
      </c>
      <c r="Y1741" s="55">
        <f>VLOOKUP($E1741,'NI-Soc_SP'!$C:$AN,MID(Y$1,1,2),FALSE)</f>
        <v>0</v>
      </c>
      <c r="Z1741" s="55">
        <f>VLOOKUP($E1741,'NI-Soc_SP'!$C:$AN,MID(Z$1,1,2),FALSE)</f>
        <v>0</v>
      </c>
      <c r="AA1741" s="55">
        <f>VLOOKUP($E1741,'NI-Soc_SP'!$C:$AN,MID(AA$1,1,2),FALSE)</f>
        <v>0</v>
      </c>
      <c r="AB1741" s="55">
        <f>VLOOKUP($E1741,'NI-Soc_SP'!$C:$AN,MID(AB$1,1,2),FALSE)</f>
        <v>0</v>
      </c>
      <c r="AC1741" s="55">
        <f>VLOOKUP($E1741,'NI-Soc_SP'!$C:$AN,MID(AC$1,1,2),FALSE)</f>
        <v>0</v>
      </c>
      <c r="AD1741" s="55">
        <f>VLOOKUP($E1741,'NI-Soc_SP'!$C:$AN,MID(AD$1,1,2),FALSE)</f>
        <v>0</v>
      </c>
      <c r="AE1741" s="55">
        <f>VLOOKUP($E1741,'NI-Soc_SP'!$C:$AN,MID(AE$1,1,2),FALSE)</f>
        <v>0</v>
      </c>
      <c r="AF1741" s="55">
        <f>VLOOKUP($E1741,'NI-Soc_SP'!$C:$AN,MID(AF$1,1,2),FALSE)</f>
        <v>0</v>
      </c>
      <c r="AG1741" s="55">
        <f>VLOOKUP($E1741,'NI-Soc_SP'!$C:$AN,MID(AG$1,1,2),FALSE)</f>
        <v>0</v>
      </c>
      <c r="AH1741" s="55">
        <f>VLOOKUP($E1741,'NI-Soc_SP'!$C:$AN,MID(AH$1,1,2),FALSE)</f>
        <v>0</v>
      </c>
      <c r="AI1741" s="55">
        <f>VLOOKUP($E1741,'NI-Soc_SP'!$C:$AN,MID(AI$1,1,2),FALSE)</f>
        <v>0</v>
      </c>
      <c r="AJ1741" s="55">
        <f>VLOOKUP($E1741,'NI-Soc_SP'!$C:$AN,MID(AJ$1,1,2),FALSE)</f>
        <v>0</v>
      </c>
      <c r="AK1741" s="55">
        <f>VLOOKUP($E1741,'NI-Soc_SP'!$C:$AN,MID(AK$1,1,2),FALSE)</f>
        <v>0</v>
      </c>
      <c r="AL1741" s="55">
        <f>VLOOKUP($E1741,'NI-Soc_SP'!$C:$AN,MID(AL$1,1,2),FALSE)</f>
        <v>0</v>
      </c>
      <c r="AM1741" s="56">
        <f>VLOOKUP($E1741,'NI-Soc_SP'!$C:$AN,MID(AM$1,1,2),FALSE)</f>
        <v>0</v>
      </c>
      <c r="AN1741" s="30" t="str">
        <f t="shared" si="27"/>
        <v>10302010000000</v>
      </c>
    </row>
    <row r="1742" spans="3:40" x14ac:dyDescent="0.25">
      <c r="C1742" s="40"/>
      <c r="D1742" s="121" t="s">
        <v>1097</v>
      </c>
      <c r="E1742" s="121" t="s">
        <v>1098</v>
      </c>
      <c r="F1742" s="122" t="s">
        <v>2758</v>
      </c>
      <c r="G1742" s="52"/>
      <c r="H1742" s="52"/>
      <c r="I1742" s="52"/>
      <c r="J1742" s="52"/>
      <c r="K1742" s="59" t="s">
        <v>79</v>
      </c>
      <c r="L1742" s="52"/>
      <c r="M1742" s="52"/>
      <c r="N1742" s="52"/>
      <c r="O1742" s="61"/>
      <c r="P1742" s="63" t="s">
        <v>1099</v>
      </c>
      <c r="Q1742" s="55">
        <f>VLOOKUP(E1742,'NI-Soc_SP'!$C:$AN,12,FALSE)</f>
        <v>0</v>
      </c>
      <c r="R1742" s="55">
        <f>VLOOKUP(E1742,'NI-Soc_SP'!$C:$AN,13,FALSE)</f>
        <v>0</v>
      </c>
      <c r="S1742" s="55"/>
      <c r="T1742" s="55"/>
      <c r="U1742" s="55">
        <f>VLOOKUP($E1742,'NI-Soc_SP'!$C:$AN,MID(U$1,1,2),FALSE)</f>
        <v>0</v>
      </c>
      <c r="V1742" s="55">
        <f>VLOOKUP($E1742,'NI-Soc_SP'!$C:$AN,MID(V$1,1,2),FALSE)</f>
        <v>0</v>
      </c>
      <c r="W1742" s="55">
        <f>VLOOKUP($E1742,'NI-Soc_SP'!$C:$AN,MID(W$1,1,2),FALSE)</f>
        <v>0</v>
      </c>
      <c r="X1742" s="55">
        <f>VLOOKUP($E1742,'NI-Soc_SP'!$C:$AN,MID(X$1,1,2),FALSE)</f>
        <v>0</v>
      </c>
      <c r="Y1742" s="55">
        <f>VLOOKUP($E1742,'NI-Soc_SP'!$C:$AN,MID(Y$1,1,2),FALSE)</f>
        <v>0</v>
      </c>
      <c r="Z1742" s="55">
        <f>VLOOKUP($E1742,'NI-Soc_SP'!$C:$AN,MID(Z$1,1,2),FALSE)</f>
        <v>0</v>
      </c>
      <c r="AA1742" s="55">
        <f>VLOOKUP($E1742,'NI-Soc_SP'!$C:$AN,MID(AA$1,1,2),FALSE)</f>
        <v>0</v>
      </c>
      <c r="AB1742" s="55">
        <f>VLOOKUP($E1742,'NI-Soc_SP'!$C:$AN,MID(AB$1,1,2),FALSE)</f>
        <v>0</v>
      </c>
      <c r="AC1742" s="55">
        <f>VLOOKUP($E1742,'NI-Soc_SP'!$C:$AN,MID(AC$1,1,2),FALSE)</f>
        <v>0</v>
      </c>
      <c r="AD1742" s="55">
        <f>VLOOKUP($E1742,'NI-Soc_SP'!$C:$AN,MID(AD$1,1,2),FALSE)</f>
        <v>0</v>
      </c>
      <c r="AE1742" s="55">
        <f>VLOOKUP($E1742,'NI-Soc_SP'!$C:$AN,MID(AE$1,1,2),FALSE)</f>
        <v>0</v>
      </c>
      <c r="AF1742" s="55">
        <f>VLOOKUP($E1742,'NI-Soc_SP'!$C:$AN,MID(AF$1,1,2),FALSE)</f>
        <v>0</v>
      </c>
      <c r="AG1742" s="55">
        <f>VLOOKUP($E1742,'NI-Soc_SP'!$C:$AN,MID(AG$1,1,2),FALSE)</f>
        <v>0</v>
      </c>
      <c r="AH1742" s="55">
        <f>VLOOKUP($E1742,'NI-Soc_SP'!$C:$AN,MID(AH$1,1,2),FALSE)</f>
        <v>0</v>
      </c>
      <c r="AI1742" s="55" t="str">
        <f>VLOOKUP($E1742,'NI-Soc_SP'!$C:$AN,MID(AI$1,1,2),FALSE)</f>
        <v>OK</v>
      </c>
      <c r="AJ1742" s="55">
        <f>VLOOKUP($E1742,'NI-Soc_SP'!$C:$AN,MID(AJ$1,1,2),FALSE)</f>
        <v>0</v>
      </c>
      <c r="AK1742" s="55">
        <f>VLOOKUP($E1742,'NI-Soc_SP'!$C:$AN,MID(AK$1,1,2),FALSE)</f>
        <v>0</v>
      </c>
      <c r="AL1742" s="55">
        <f>VLOOKUP($E1742,'NI-Soc_SP'!$C:$AN,MID(AL$1,1,2),FALSE)</f>
        <v>0</v>
      </c>
      <c r="AM1742" s="56">
        <f>VLOOKUP($E1742,'NI-Soc_SP'!$C:$AN,MID(AM$1,1,2),FALSE)</f>
        <v>0</v>
      </c>
      <c r="AN1742" s="30" t="str">
        <f t="shared" si="27"/>
        <v>10302010010000</v>
      </c>
    </row>
    <row r="1743" spans="3:40" x14ac:dyDescent="0.25">
      <c r="C1743" s="40"/>
      <c r="D1743" s="121" t="s">
        <v>1100</v>
      </c>
      <c r="E1743" s="121" t="s">
        <v>1101</v>
      </c>
      <c r="F1743" s="122" t="s">
        <v>2758</v>
      </c>
      <c r="G1743" s="52"/>
      <c r="H1743" s="52"/>
      <c r="I1743" s="52"/>
      <c r="J1743" s="52"/>
      <c r="K1743" s="59" t="s">
        <v>79</v>
      </c>
      <c r="L1743" s="52"/>
      <c r="M1743" s="52"/>
      <c r="N1743" s="52"/>
      <c r="O1743" s="61"/>
      <c r="P1743" s="63" t="s">
        <v>1102</v>
      </c>
      <c r="Q1743" s="55">
        <f>VLOOKUP(E1743,'NI-Soc_SP'!$C:$AN,12,FALSE)</f>
        <v>0</v>
      </c>
      <c r="R1743" s="55">
        <f>VLOOKUP(E1743,'NI-Soc_SP'!$C:$AN,13,FALSE)</f>
        <v>0</v>
      </c>
      <c r="S1743" s="55"/>
      <c r="T1743" s="55"/>
      <c r="U1743" s="55">
        <f>VLOOKUP($E1743,'NI-Soc_SP'!$C:$AN,MID(U$1,1,2),FALSE)</f>
        <v>0</v>
      </c>
      <c r="V1743" s="55">
        <f>VLOOKUP($E1743,'NI-Soc_SP'!$C:$AN,MID(V$1,1,2),FALSE)</f>
        <v>0</v>
      </c>
      <c r="W1743" s="55">
        <f>VLOOKUP($E1743,'NI-Soc_SP'!$C:$AN,MID(W$1,1,2),FALSE)</f>
        <v>0</v>
      </c>
      <c r="X1743" s="55">
        <f>VLOOKUP($E1743,'NI-Soc_SP'!$C:$AN,MID(X$1,1,2),FALSE)</f>
        <v>0</v>
      </c>
      <c r="Y1743" s="55">
        <f>VLOOKUP($E1743,'NI-Soc_SP'!$C:$AN,MID(Y$1,1,2),FALSE)</f>
        <v>0</v>
      </c>
      <c r="Z1743" s="55">
        <f>VLOOKUP($E1743,'NI-Soc_SP'!$C:$AN,MID(Z$1,1,2),FALSE)</f>
        <v>0</v>
      </c>
      <c r="AA1743" s="55">
        <f>VLOOKUP($E1743,'NI-Soc_SP'!$C:$AN,MID(AA$1,1,2),FALSE)</f>
        <v>0</v>
      </c>
      <c r="AB1743" s="55">
        <f>VLOOKUP($E1743,'NI-Soc_SP'!$C:$AN,MID(AB$1,1,2),FALSE)</f>
        <v>0</v>
      </c>
      <c r="AC1743" s="55">
        <f>VLOOKUP($E1743,'NI-Soc_SP'!$C:$AN,MID(AC$1,1,2),FALSE)</f>
        <v>0</v>
      </c>
      <c r="AD1743" s="55">
        <f>VLOOKUP($E1743,'NI-Soc_SP'!$C:$AN,MID(AD$1,1,2),FALSE)</f>
        <v>0</v>
      </c>
      <c r="AE1743" s="55">
        <f>VLOOKUP($E1743,'NI-Soc_SP'!$C:$AN,MID(AE$1,1,2),FALSE)</f>
        <v>0</v>
      </c>
      <c r="AF1743" s="55">
        <f>VLOOKUP($E1743,'NI-Soc_SP'!$C:$AN,MID(AF$1,1,2),FALSE)</f>
        <v>0</v>
      </c>
      <c r="AG1743" s="55">
        <f>VLOOKUP($E1743,'NI-Soc_SP'!$C:$AN,MID(AG$1,1,2),FALSE)</f>
        <v>0</v>
      </c>
      <c r="AH1743" s="55">
        <f>VLOOKUP($E1743,'NI-Soc_SP'!$C:$AN,MID(AH$1,1,2),FALSE)</f>
        <v>0</v>
      </c>
      <c r="AI1743" s="55" t="str">
        <f>VLOOKUP($E1743,'NI-Soc_SP'!$C:$AN,MID(AI$1,1,2),FALSE)</f>
        <v>OK</v>
      </c>
      <c r="AJ1743" s="55">
        <f>VLOOKUP($E1743,'NI-Soc_SP'!$C:$AN,MID(AJ$1,1,2),FALSE)</f>
        <v>0</v>
      </c>
      <c r="AK1743" s="55">
        <f>VLOOKUP($E1743,'NI-Soc_SP'!$C:$AN,MID(AK$1,1,2),FALSE)</f>
        <v>0</v>
      </c>
      <c r="AL1743" s="55">
        <f>VLOOKUP($E1743,'NI-Soc_SP'!$C:$AN,MID(AL$1,1,2),FALSE)</f>
        <v>0</v>
      </c>
      <c r="AM1743" s="56">
        <f>VLOOKUP($E1743,'NI-Soc_SP'!$C:$AN,MID(AM$1,1,2),FALSE)</f>
        <v>0</v>
      </c>
      <c r="AN1743" s="30" t="str">
        <f t="shared" si="27"/>
        <v>10302010020000</v>
      </c>
    </row>
    <row r="1744" spans="3:40" x14ac:dyDescent="0.25">
      <c r="C1744" s="40"/>
      <c r="D1744" s="121" t="s">
        <v>1103</v>
      </c>
      <c r="E1744" s="121" t="s">
        <v>1104</v>
      </c>
      <c r="F1744" s="122" t="s">
        <v>2758</v>
      </c>
      <c r="G1744" s="52"/>
      <c r="H1744" s="52"/>
      <c r="I1744" s="52"/>
      <c r="J1744" s="52"/>
      <c r="K1744" s="59" t="s">
        <v>79</v>
      </c>
      <c r="L1744" s="52"/>
      <c r="M1744" s="52"/>
      <c r="N1744" s="52"/>
      <c r="O1744" s="52"/>
      <c r="P1744" s="63" t="s">
        <v>1105</v>
      </c>
      <c r="Q1744" s="55">
        <f>VLOOKUP(E1744,'NI-Soc_SP'!$C:$AN,12,FALSE)</f>
        <v>0</v>
      </c>
      <c r="R1744" s="55">
        <f>VLOOKUP(E1744,'NI-Soc_SP'!$C:$AN,13,FALSE)</f>
        <v>0</v>
      </c>
      <c r="S1744" s="55"/>
      <c r="T1744" s="55"/>
      <c r="U1744" s="55">
        <f>VLOOKUP($E1744,'NI-Soc_SP'!$C:$AN,MID(U$1,1,2),FALSE)</f>
        <v>0</v>
      </c>
      <c r="V1744" s="55">
        <f>VLOOKUP($E1744,'NI-Soc_SP'!$C:$AN,MID(V$1,1,2),FALSE)</f>
        <v>0</v>
      </c>
      <c r="W1744" s="55">
        <f>VLOOKUP($E1744,'NI-Soc_SP'!$C:$AN,MID(W$1,1,2),FALSE)</f>
        <v>0</v>
      </c>
      <c r="X1744" s="55">
        <f>VLOOKUP($E1744,'NI-Soc_SP'!$C:$AN,MID(X$1,1,2),FALSE)</f>
        <v>0</v>
      </c>
      <c r="Y1744" s="55">
        <f>VLOOKUP($E1744,'NI-Soc_SP'!$C:$AN,MID(Y$1,1,2),FALSE)</f>
        <v>0</v>
      </c>
      <c r="Z1744" s="55">
        <f>VLOOKUP($E1744,'NI-Soc_SP'!$C:$AN,MID(Z$1,1,2),FALSE)</f>
        <v>0</v>
      </c>
      <c r="AA1744" s="55">
        <f>VLOOKUP($E1744,'NI-Soc_SP'!$C:$AN,MID(AA$1,1,2),FALSE)</f>
        <v>0</v>
      </c>
      <c r="AB1744" s="55">
        <f>VLOOKUP($E1744,'NI-Soc_SP'!$C:$AN,MID(AB$1,1,2),FALSE)</f>
        <v>0</v>
      </c>
      <c r="AC1744" s="55">
        <f>VLOOKUP($E1744,'NI-Soc_SP'!$C:$AN,MID(AC$1,1,2),FALSE)</f>
        <v>0</v>
      </c>
      <c r="AD1744" s="55">
        <f>VLOOKUP($E1744,'NI-Soc_SP'!$C:$AN,MID(AD$1,1,2),FALSE)</f>
        <v>0</v>
      </c>
      <c r="AE1744" s="55">
        <f>VLOOKUP($E1744,'NI-Soc_SP'!$C:$AN,MID(AE$1,1,2),FALSE)</f>
        <v>0</v>
      </c>
      <c r="AF1744" s="55">
        <f>VLOOKUP($E1744,'NI-Soc_SP'!$C:$AN,MID(AF$1,1,2),FALSE)</f>
        <v>0</v>
      </c>
      <c r="AG1744" s="55">
        <f>VLOOKUP($E1744,'NI-Soc_SP'!$C:$AN,MID(AG$1,1,2),FALSE)</f>
        <v>0</v>
      </c>
      <c r="AH1744" s="55">
        <f>VLOOKUP($E1744,'NI-Soc_SP'!$C:$AN,MID(AH$1,1,2),FALSE)</f>
        <v>0</v>
      </c>
      <c r="AI1744" s="55" t="str">
        <f>VLOOKUP($E1744,'NI-Soc_SP'!$C:$AN,MID(AI$1,1,2),FALSE)</f>
        <v>OK</v>
      </c>
      <c r="AJ1744" s="55">
        <f>VLOOKUP($E1744,'NI-Soc_SP'!$C:$AN,MID(AJ$1,1,2),FALSE)</f>
        <v>0</v>
      </c>
      <c r="AK1744" s="55">
        <f>VLOOKUP($E1744,'NI-Soc_SP'!$C:$AN,MID(AK$1,1,2),FALSE)</f>
        <v>0</v>
      </c>
      <c r="AL1744" s="55">
        <f>VLOOKUP($E1744,'NI-Soc_SP'!$C:$AN,MID(AL$1,1,2),FALSE)</f>
        <v>0</v>
      </c>
      <c r="AM1744" s="56">
        <f>VLOOKUP($E1744,'NI-Soc_SP'!$C:$AN,MID(AM$1,1,2),FALSE)</f>
        <v>0</v>
      </c>
      <c r="AN1744" s="30" t="str">
        <f t="shared" si="27"/>
        <v>10302010030000</v>
      </c>
    </row>
    <row r="1745" spans="3:40" x14ac:dyDescent="0.25">
      <c r="C1745" s="40"/>
      <c r="D1745" s="121" t="s">
        <v>1106</v>
      </c>
      <c r="E1745" s="121" t="s">
        <v>1107</v>
      </c>
      <c r="F1745" s="122" t="s">
        <v>2758</v>
      </c>
      <c r="G1745" s="52"/>
      <c r="H1745" s="52"/>
      <c r="I1745" s="52"/>
      <c r="J1745" s="52"/>
      <c r="K1745" s="59" t="s">
        <v>111</v>
      </c>
      <c r="L1745" s="52"/>
      <c r="M1745" s="52"/>
      <c r="N1745" s="52"/>
      <c r="O1745" s="61" t="s">
        <v>1108</v>
      </c>
      <c r="P1745" s="54" t="s">
        <v>1109</v>
      </c>
      <c r="Q1745" s="55">
        <f>VLOOKUP(E1745,'NI-Soc_SP'!$C:$AN,12,FALSE)</f>
        <v>0</v>
      </c>
      <c r="R1745" s="55">
        <f>VLOOKUP(E1745,'NI-Soc_SP'!$C:$AN,13,FALSE)</f>
        <v>0</v>
      </c>
      <c r="S1745" s="55"/>
      <c r="T1745" s="55"/>
      <c r="U1745" s="55">
        <f>VLOOKUP($E1745,'NI-Soc_SP'!$C:$AN,MID(U$1,1,2),FALSE)</f>
        <v>0</v>
      </c>
      <c r="V1745" s="55">
        <f>VLOOKUP($E1745,'NI-Soc_SP'!$C:$AN,MID(V$1,1,2),FALSE)</f>
        <v>0</v>
      </c>
      <c r="W1745" s="55">
        <f>VLOOKUP($E1745,'NI-Soc_SP'!$C:$AN,MID(W$1,1,2),FALSE)</f>
        <v>0</v>
      </c>
      <c r="X1745" s="55">
        <f>VLOOKUP($E1745,'NI-Soc_SP'!$C:$AN,MID(X$1,1,2),FALSE)</f>
        <v>0</v>
      </c>
      <c r="Y1745" s="55">
        <f>VLOOKUP($E1745,'NI-Soc_SP'!$C:$AN,MID(Y$1,1,2),FALSE)</f>
        <v>0</v>
      </c>
      <c r="Z1745" s="55">
        <f>VLOOKUP($E1745,'NI-Soc_SP'!$C:$AN,MID(Z$1,1,2),FALSE)</f>
        <v>0</v>
      </c>
      <c r="AA1745" s="55">
        <f>VLOOKUP($E1745,'NI-Soc_SP'!$C:$AN,MID(AA$1,1,2),FALSE)</f>
        <v>0</v>
      </c>
      <c r="AB1745" s="55">
        <f>VLOOKUP($E1745,'NI-Soc_SP'!$C:$AN,MID(AB$1,1,2),FALSE)</f>
        <v>0</v>
      </c>
      <c r="AC1745" s="55">
        <f>VLOOKUP($E1745,'NI-Soc_SP'!$C:$AN,MID(AC$1,1,2),FALSE)</f>
        <v>0</v>
      </c>
      <c r="AD1745" s="55">
        <f>VLOOKUP($E1745,'NI-Soc_SP'!$C:$AN,MID(AD$1,1,2),FALSE)</f>
        <v>0</v>
      </c>
      <c r="AE1745" s="55">
        <f>VLOOKUP($E1745,'NI-Soc_SP'!$C:$AN,MID(AE$1,1,2),FALSE)</f>
        <v>0</v>
      </c>
      <c r="AF1745" s="55">
        <f>VLOOKUP($E1745,'NI-Soc_SP'!$C:$AN,MID(AF$1,1,2),FALSE)</f>
        <v>0</v>
      </c>
      <c r="AG1745" s="55">
        <f>VLOOKUP($E1745,'NI-Soc_SP'!$C:$AN,MID(AG$1,1,2),FALSE)</f>
        <v>0</v>
      </c>
      <c r="AH1745" s="55">
        <f>VLOOKUP($E1745,'NI-Soc_SP'!$C:$AN,MID(AH$1,1,2),FALSE)</f>
        <v>0</v>
      </c>
      <c r="AI1745" s="55">
        <f>VLOOKUP($E1745,'NI-Soc_SP'!$C:$AN,MID(AI$1,1,2),FALSE)</f>
        <v>0</v>
      </c>
      <c r="AJ1745" s="55">
        <f>VLOOKUP($E1745,'NI-Soc_SP'!$C:$AN,MID(AJ$1,1,2),FALSE)</f>
        <v>0</v>
      </c>
      <c r="AK1745" s="55">
        <f>VLOOKUP($E1745,'NI-Soc_SP'!$C:$AN,MID(AK$1,1,2),FALSE)</f>
        <v>0</v>
      </c>
      <c r="AL1745" s="55">
        <f>VLOOKUP($E1745,'NI-Soc_SP'!$C:$AN,MID(AL$1,1,2),FALSE)</f>
        <v>0</v>
      </c>
      <c r="AM1745" s="56">
        <f>VLOOKUP($E1745,'NI-Soc_SP'!$C:$AN,MID(AM$1,1,2),FALSE)</f>
        <v>0</v>
      </c>
      <c r="AN1745" s="30" t="str">
        <f t="shared" si="27"/>
        <v>10302020000000</v>
      </c>
    </row>
    <row r="1746" spans="3:40" x14ac:dyDescent="0.25">
      <c r="C1746" s="40"/>
      <c r="D1746" s="121" t="s">
        <v>1110</v>
      </c>
      <c r="E1746" s="121" t="s">
        <v>1111</v>
      </c>
      <c r="F1746" s="122" t="s">
        <v>2758</v>
      </c>
      <c r="G1746" s="52"/>
      <c r="H1746" s="52"/>
      <c r="I1746" s="52" t="s">
        <v>1112</v>
      </c>
      <c r="J1746" s="52"/>
      <c r="K1746" s="59" t="s">
        <v>79</v>
      </c>
      <c r="L1746" s="52"/>
      <c r="M1746" s="52"/>
      <c r="N1746" s="52"/>
      <c r="O1746" s="52"/>
      <c r="P1746" s="63" t="s">
        <v>1113</v>
      </c>
      <c r="Q1746" s="55">
        <f>VLOOKUP(E1746,'NI-Soc_SP'!$C:$AN,12,FALSE)</f>
        <v>0</v>
      </c>
      <c r="R1746" s="55">
        <f>VLOOKUP(E1746,'NI-Soc_SP'!$C:$AN,13,FALSE)</f>
        <v>0</v>
      </c>
      <c r="S1746" s="55"/>
      <c r="T1746" s="55"/>
      <c r="U1746" s="55">
        <f>VLOOKUP($E1746,'NI-Soc_SP'!$C:$AN,MID(U$1,1,2),FALSE)</f>
        <v>0</v>
      </c>
      <c r="V1746" s="55">
        <f>VLOOKUP($E1746,'NI-Soc_SP'!$C:$AN,MID(V$1,1,2),FALSE)</f>
        <v>0</v>
      </c>
      <c r="W1746" s="55">
        <f>VLOOKUP($E1746,'NI-Soc_SP'!$C:$AN,MID(W$1,1,2),FALSE)</f>
        <v>0</v>
      </c>
      <c r="X1746" s="55">
        <f>VLOOKUP($E1746,'NI-Soc_SP'!$C:$AN,MID(X$1,1,2),FALSE)</f>
        <v>0</v>
      </c>
      <c r="Y1746" s="55">
        <f>VLOOKUP($E1746,'NI-Soc_SP'!$C:$AN,MID(Y$1,1,2),FALSE)</f>
        <v>0</v>
      </c>
      <c r="Z1746" s="55">
        <f>VLOOKUP($E1746,'NI-Soc_SP'!$C:$AN,MID(Z$1,1,2),FALSE)</f>
        <v>0</v>
      </c>
      <c r="AA1746" s="55">
        <f>VLOOKUP($E1746,'NI-Soc_SP'!$C:$AN,MID(AA$1,1,2),FALSE)</f>
        <v>0</v>
      </c>
      <c r="AB1746" s="55">
        <f>VLOOKUP($E1746,'NI-Soc_SP'!$C:$AN,MID(AB$1,1,2),FALSE)</f>
        <v>0</v>
      </c>
      <c r="AC1746" s="55">
        <f>VLOOKUP($E1746,'NI-Soc_SP'!$C:$AN,MID(AC$1,1,2),FALSE)</f>
        <v>0</v>
      </c>
      <c r="AD1746" s="55">
        <f>VLOOKUP($E1746,'NI-Soc_SP'!$C:$AN,MID(AD$1,1,2),FALSE)</f>
        <v>0</v>
      </c>
      <c r="AE1746" s="55">
        <f>VLOOKUP($E1746,'NI-Soc_SP'!$C:$AN,MID(AE$1,1,2),FALSE)</f>
        <v>0</v>
      </c>
      <c r="AF1746" s="55">
        <f>VLOOKUP($E1746,'NI-Soc_SP'!$C:$AN,MID(AF$1,1,2),FALSE)</f>
        <v>0</v>
      </c>
      <c r="AG1746" s="55">
        <f>VLOOKUP($E1746,'NI-Soc_SP'!$C:$AN,MID(AG$1,1,2),FALSE)</f>
        <v>0</v>
      </c>
      <c r="AH1746" s="55">
        <f>VLOOKUP($E1746,'NI-Soc_SP'!$C:$AN,MID(AH$1,1,2),FALSE)</f>
        <v>0</v>
      </c>
      <c r="AI1746" s="55">
        <f>VLOOKUP($E1746,'NI-Soc_SP'!$C:$AN,MID(AI$1,1,2),FALSE)</f>
        <v>0</v>
      </c>
      <c r="AJ1746" s="55">
        <f>VLOOKUP($E1746,'NI-Soc_SP'!$C:$AN,MID(AJ$1,1,2),FALSE)</f>
        <v>0</v>
      </c>
      <c r="AK1746" s="55">
        <f>VLOOKUP($E1746,'NI-Soc_SP'!$C:$AN,MID(AK$1,1,2),FALSE)</f>
        <v>0</v>
      </c>
      <c r="AL1746" s="55">
        <f>VLOOKUP($E1746,'NI-Soc_SP'!$C:$AN,MID(AL$1,1,2),FALSE)</f>
        <v>0</v>
      </c>
      <c r="AM1746" s="56">
        <f>VLOOKUP($E1746,'NI-Soc_SP'!$C:$AN,MID(AM$1,1,2),FALSE)</f>
        <v>0</v>
      </c>
      <c r="AN1746" s="30" t="str">
        <f t="shared" si="27"/>
        <v>10302020010000</v>
      </c>
    </row>
    <row r="1747" spans="3:40" x14ac:dyDescent="0.25">
      <c r="C1747" s="40"/>
      <c r="D1747" s="121" t="s">
        <v>1114</v>
      </c>
      <c r="E1747" s="121" t="s">
        <v>1115</v>
      </c>
      <c r="F1747" s="122" t="s">
        <v>2758</v>
      </c>
      <c r="G1747" s="52"/>
      <c r="H1747" s="52"/>
      <c r="I1747" s="52" t="s">
        <v>1116</v>
      </c>
      <c r="J1747" s="52"/>
      <c r="K1747" s="59" t="s">
        <v>79</v>
      </c>
      <c r="L1747" s="52"/>
      <c r="M1747" s="52"/>
      <c r="N1747" s="52"/>
      <c r="O1747" s="52"/>
      <c r="P1747" s="63" t="s">
        <v>1117</v>
      </c>
      <c r="Q1747" s="55">
        <f>VLOOKUP(E1747,'NI-Soc_SP'!$C:$AN,12,FALSE)</f>
        <v>0</v>
      </c>
      <c r="R1747" s="55">
        <f>VLOOKUP(E1747,'NI-Soc_SP'!$C:$AN,13,FALSE)</f>
        <v>0</v>
      </c>
      <c r="S1747" s="55"/>
      <c r="T1747" s="55"/>
      <c r="U1747" s="55">
        <f>VLOOKUP($E1747,'NI-Soc_SP'!$C:$AN,MID(U$1,1,2),FALSE)</f>
        <v>0</v>
      </c>
      <c r="V1747" s="55">
        <f>VLOOKUP($E1747,'NI-Soc_SP'!$C:$AN,MID(V$1,1,2),FALSE)</f>
        <v>0</v>
      </c>
      <c r="W1747" s="55">
        <f>VLOOKUP($E1747,'NI-Soc_SP'!$C:$AN,MID(W$1,1,2),FALSE)</f>
        <v>0</v>
      </c>
      <c r="X1747" s="55">
        <f>VLOOKUP($E1747,'NI-Soc_SP'!$C:$AN,MID(X$1,1,2),FALSE)</f>
        <v>0</v>
      </c>
      <c r="Y1747" s="55">
        <f>VLOOKUP($E1747,'NI-Soc_SP'!$C:$AN,MID(Y$1,1,2),FALSE)</f>
        <v>0</v>
      </c>
      <c r="Z1747" s="55">
        <f>VLOOKUP($E1747,'NI-Soc_SP'!$C:$AN,MID(Z$1,1,2),FALSE)</f>
        <v>0</v>
      </c>
      <c r="AA1747" s="55">
        <f>VLOOKUP($E1747,'NI-Soc_SP'!$C:$AN,MID(AA$1,1,2),FALSE)</f>
        <v>0</v>
      </c>
      <c r="AB1747" s="55">
        <f>VLOOKUP($E1747,'NI-Soc_SP'!$C:$AN,MID(AB$1,1,2),FALSE)</f>
        <v>0</v>
      </c>
      <c r="AC1747" s="55">
        <f>VLOOKUP($E1747,'NI-Soc_SP'!$C:$AN,MID(AC$1,1,2),FALSE)</f>
        <v>0</v>
      </c>
      <c r="AD1747" s="55">
        <f>VLOOKUP($E1747,'NI-Soc_SP'!$C:$AN,MID(AD$1,1,2),FALSE)</f>
        <v>0</v>
      </c>
      <c r="AE1747" s="55">
        <f>VLOOKUP($E1747,'NI-Soc_SP'!$C:$AN,MID(AE$1,1,2),FALSE)</f>
        <v>0</v>
      </c>
      <c r="AF1747" s="55">
        <f>VLOOKUP($E1747,'NI-Soc_SP'!$C:$AN,MID(AF$1,1,2),FALSE)</f>
        <v>0</v>
      </c>
      <c r="AG1747" s="55">
        <f>VLOOKUP($E1747,'NI-Soc_SP'!$C:$AN,MID(AG$1,1,2),FALSE)</f>
        <v>0</v>
      </c>
      <c r="AH1747" s="55">
        <f>VLOOKUP($E1747,'NI-Soc_SP'!$C:$AN,MID(AH$1,1,2),FALSE)</f>
        <v>0</v>
      </c>
      <c r="AI1747" s="55">
        <f>VLOOKUP($E1747,'NI-Soc_SP'!$C:$AN,MID(AI$1,1,2),FALSE)</f>
        <v>0</v>
      </c>
      <c r="AJ1747" s="55">
        <f>VLOOKUP($E1747,'NI-Soc_SP'!$C:$AN,MID(AJ$1,1,2),FALSE)</f>
        <v>0</v>
      </c>
      <c r="AK1747" s="55">
        <f>VLOOKUP($E1747,'NI-Soc_SP'!$C:$AN,MID(AK$1,1,2),FALSE)</f>
        <v>0</v>
      </c>
      <c r="AL1747" s="55">
        <f>VLOOKUP($E1747,'NI-Soc_SP'!$C:$AN,MID(AL$1,1,2),FALSE)</f>
        <v>0</v>
      </c>
      <c r="AM1747" s="56">
        <f>VLOOKUP($E1747,'NI-Soc_SP'!$C:$AN,MID(AM$1,1,2),FALSE)</f>
        <v>0</v>
      </c>
      <c r="AN1747" s="30" t="str">
        <f t="shared" si="27"/>
        <v>10302020020000</v>
      </c>
    </row>
    <row r="1748" spans="3:40" x14ac:dyDescent="0.25">
      <c r="C1748" s="40"/>
      <c r="D1748" s="121" t="s">
        <v>1118</v>
      </c>
      <c r="E1748" s="121" t="s">
        <v>1119</v>
      </c>
      <c r="F1748" s="122" t="s">
        <v>2758</v>
      </c>
      <c r="G1748" s="52"/>
      <c r="H1748" s="52"/>
      <c r="I1748" s="52" t="s">
        <v>1120</v>
      </c>
      <c r="J1748" s="52"/>
      <c r="K1748" s="59" t="s">
        <v>79</v>
      </c>
      <c r="L1748" s="52"/>
      <c r="M1748" s="52"/>
      <c r="N1748" s="52"/>
      <c r="O1748" s="52"/>
      <c r="P1748" s="63" t="s">
        <v>1121</v>
      </c>
      <c r="Q1748" s="55">
        <f>VLOOKUP(E1748,'NI-Soc_SP'!$C:$AN,12,FALSE)</f>
        <v>0</v>
      </c>
      <c r="R1748" s="55">
        <f>VLOOKUP(E1748,'NI-Soc_SP'!$C:$AN,13,FALSE)</f>
        <v>0</v>
      </c>
      <c r="S1748" s="55"/>
      <c r="T1748" s="55"/>
      <c r="U1748" s="55">
        <f>VLOOKUP($E1748,'NI-Soc_SP'!$C:$AN,MID(U$1,1,2),FALSE)</f>
        <v>0</v>
      </c>
      <c r="V1748" s="55">
        <f>VLOOKUP($E1748,'NI-Soc_SP'!$C:$AN,MID(V$1,1,2),FALSE)</f>
        <v>0</v>
      </c>
      <c r="W1748" s="55">
        <f>VLOOKUP($E1748,'NI-Soc_SP'!$C:$AN,MID(W$1,1,2),FALSE)</f>
        <v>0</v>
      </c>
      <c r="X1748" s="55">
        <f>VLOOKUP($E1748,'NI-Soc_SP'!$C:$AN,MID(X$1,1,2),FALSE)</f>
        <v>0</v>
      </c>
      <c r="Y1748" s="55">
        <f>VLOOKUP($E1748,'NI-Soc_SP'!$C:$AN,MID(Y$1,1,2),FALSE)</f>
        <v>0</v>
      </c>
      <c r="Z1748" s="55">
        <f>VLOOKUP($E1748,'NI-Soc_SP'!$C:$AN,MID(Z$1,1,2),FALSE)</f>
        <v>0</v>
      </c>
      <c r="AA1748" s="55">
        <f>VLOOKUP($E1748,'NI-Soc_SP'!$C:$AN,MID(AA$1,1,2),FALSE)</f>
        <v>0</v>
      </c>
      <c r="AB1748" s="55">
        <f>VLOOKUP($E1748,'NI-Soc_SP'!$C:$AN,MID(AB$1,1,2),FALSE)</f>
        <v>0</v>
      </c>
      <c r="AC1748" s="55">
        <f>VLOOKUP($E1748,'NI-Soc_SP'!$C:$AN,MID(AC$1,1,2),FALSE)</f>
        <v>0</v>
      </c>
      <c r="AD1748" s="55">
        <f>VLOOKUP($E1748,'NI-Soc_SP'!$C:$AN,MID(AD$1,1,2),FALSE)</f>
        <v>0</v>
      </c>
      <c r="AE1748" s="55">
        <f>VLOOKUP($E1748,'NI-Soc_SP'!$C:$AN,MID(AE$1,1,2),FALSE)</f>
        <v>0</v>
      </c>
      <c r="AF1748" s="55">
        <f>VLOOKUP($E1748,'NI-Soc_SP'!$C:$AN,MID(AF$1,1,2),FALSE)</f>
        <v>0</v>
      </c>
      <c r="AG1748" s="55">
        <f>VLOOKUP($E1748,'NI-Soc_SP'!$C:$AN,MID(AG$1,1,2),FALSE)</f>
        <v>0</v>
      </c>
      <c r="AH1748" s="55">
        <f>VLOOKUP($E1748,'NI-Soc_SP'!$C:$AN,MID(AH$1,1,2),FALSE)</f>
        <v>0</v>
      </c>
      <c r="AI1748" s="55">
        <f>VLOOKUP($E1748,'NI-Soc_SP'!$C:$AN,MID(AI$1,1,2),FALSE)</f>
        <v>0</v>
      </c>
      <c r="AJ1748" s="55">
        <f>VLOOKUP($E1748,'NI-Soc_SP'!$C:$AN,MID(AJ$1,1,2),FALSE)</f>
        <v>0</v>
      </c>
      <c r="AK1748" s="55">
        <f>VLOOKUP($E1748,'NI-Soc_SP'!$C:$AN,MID(AK$1,1,2),FALSE)</f>
        <v>0</v>
      </c>
      <c r="AL1748" s="55">
        <f>VLOOKUP($E1748,'NI-Soc_SP'!$C:$AN,MID(AL$1,1,2),FALSE)</f>
        <v>0</v>
      </c>
      <c r="AM1748" s="56">
        <f>VLOOKUP($E1748,'NI-Soc_SP'!$C:$AN,MID(AM$1,1,2),FALSE)</f>
        <v>0</v>
      </c>
      <c r="AN1748" s="30" t="str">
        <f t="shared" si="27"/>
        <v>10302020030000</v>
      </c>
    </row>
    <row r="1749" spans="3:40" x14ac:dyDescent="0.25">
      <c r="C1749" s="40"/>
      <c r="D1749" s="121" t="s">
        <v>1122</v>
      </c>
      <c r="E1749" s="121" t="s">
        <v>1123</v>
      </c>
      <c r="F1749" s="122" t="s">
        <v>2758</v>
      </c>
      <c r="G1749" s="52"/>
      <c r="H1749" s="52"/>
      <c r="I1749" s="52" t="s">
        <v>1124</v>
      </c>
      <c r="J1749" s="52"/>
      <c r="K1749" s="59" t="s">
        <v>79</v>
      </c>
      <c r="L1749" s="52"/>
      <c r="M1749" s="52"/>
      <c r="N1749" s="52"/>
      <c r="O1749" s="52"/>
      <c r="P1749" s="63" t="s">
        <v>1125</v>
      </c>
      <c r="Q1749" s="55">
        <f>VLOOKUP(E1749,'NI-Soc_SP'!$C:$AN,12,FALSE)</f>
        <v>0</v>
      </c>
      <c r="R1749" s="55">
        <f>VLOOKUP(E1749,'NI-Soc_SP'!$C:$AN,13,FALSE)</f>
        <v>0</v>
      </c>
      <c r="S1749" s="55"/>
      <c r="T1749" s="55"/>
      <c r="U1749" s="55">
        <f>VLOOKUP($E1749,'NI-Soc_SP'!$C:$AN,MID(U$1,1,2),FALSE)</f>
        <v>0</v>
      </c>
      <c r="V1749" s="55">
        <f>VLOOKUP($E1749,'NI-Soc_SP'!$C:$AN,MID(V$1,1,2),FALSE)</f>
        <v>0</v>
      </c>
      <c r="W1749" s="55">
        <f>VLOOKUP($E1749,'NI-Soc_SP'!$C:$AN,MID(W$1,1,2),FALSE)</f>
        <v>0</v>
      </c>
      <c r="X1749" s="55">
        <f>VLOOKUP($E1749,'NI-Soc_SP'!$C:$AN,MID(X$1,1,2),FALSE)</f>
        <v>0</v>
      </c>
      <c r="Y1749" s="55">
        <f>VLOOKUP($E1749,'NI-Soc_SP'!$C:$AN,MID(Y$1,1,2),FALSE)</f>
        <v>0</v>
      </c>
      <c r="Z1749" s="55">
        <f>VLOOKUP($E1749,'NI-Soc_SP'!$C:$AN,MID(Z$1,1,2),FALSE)</f>
        <v>0</v>
      </c>
      <c r="AA1749" s="55">
        <f>VLOOKUP($E1749,'NI-Soc_SP'!$C:$AN,MID(AA$1,1,2),FALSE)</f>
        <v>0</v>
      </c>
      <c r="AB1749" s="55">
        <f>VLOOKUP($E1749,'NI-Soc_SP'!$C:$AN,MID(AB$1,1,2),FALSE)</f>
        <v>0</v>
      </c>
      <c r="AC1749" s="55">
        <f>VLOOKUP($E1749,'NI-Soc_SP'!$C:$AN,MID(AC$1,1,2),FALSE)</f>
        <v>0</v>
      </c>
      <c r="AD1749" s="55">
        <f>VLOOKUP($E1749,'NI-Soc_SP'!$C:$AN,MID(AD$1,1,2),FALSE)</f>
        <v>0</v>
      </c>
      <c r="AE1749" s="55">
        <f>VLOOKUP($E1749,'NI-Soc_SP'!$C:$AN,MID(AE$1,1,2),FALSE)</f>
        <v>0</v>
      </c>
      <c r="AF1749" s="55">
        <f>VLOOKUP($E1749,'NI-Soc_SP'!$C:$AN,MID(AF$1,1,2),FALSE)</f>
        <v>0</v>
      </c>
      <c r="AG1749" s="55">
        <f>VLOOKUP($E1749,'NI-Soc_SP'!$C:$AN,MID(AG$1,1,2),FALSE)</f>
        <v>0</v>
      </c>
      <c r="AH1749" s="55">
        <f>VLOOKUP($E1749,'NI-Soc_SP'!$C:$AN,MID(AH$1,1,2),FALSE)</f>
        <v>0</v>
      </c>
      <c r="AI1749" s="55">
        <f>VLOOKUP($E1749,'NI-Soc_SP'!$C:$AN,MID(AI$1,1,2),FALSE)</f>
        <v>0</v>
      </c>
      <c r="AJ1749" s="55">
        <f>VLOOKUP($E1749,'NI-Soc_SP'!$C:$AN,MID(AJ$1,1,2),FALSE)</f>
        <v>0</v>
      </c>
      <c r="AK1749" s="55">
        <f>VLOOKUP($E1749,'NI-Soc_SP'!$C:$AN,MID(AK$1,1,2),FALSE)</f>
        <v>0</v>
      </c>
      <c r="AL1749" s="55">
        <f>VLOOKUP($E1749,'NI-Soc_SP'!$C:$AN,MID(AL$1,1,2),FALSE)</f>
        <v>0</v>
      </c>
      <c r="AM1749" s="56">
        <f>VLOOKUP($E1749,'NI-Soc_SP'!$C:$AN,MID(AM$1,1,2),FALSE)</f>
        <v>0</v>
      </c>
      <c r="AN1749" s="30" t="str">
        <f t="shared" si="27"/>
        <v>10302020040000</v>
      </c>
    </row>
    <row r="1750" spans="3:40" x14ac:dyDescent="0.25">
      <c r="C1750" s="40"/>
      <c r="D1750" s="121" t="s">
        <v>1126</v>
      </c>
      <c r="E1750" s="121" t="s">
        <v>1127</v>
      </c>
      <c r="F1750" s="122" t="s">
        <v>2758</v>
      </c>
      <c r="G1750" s="51"/>
      <c r="H1750" s="52"/>
      <c r="I1750" s="52"/>
      <c r="J1750" s="52"/>
      <c r="K1750" s="53" t="s">
        <v>111</v>
      </c>
      <c r="L1750" s="52"/>
      <c r="M1750" s="52"/>
      <c r="N1750" s="52"/>
      <c r="O1750" s="52"/>
      <c r="P1750" s="54" t="s">
        <v>1128</v>
      </c>
      <c r="Q1750" s="55">
        <f>VLOOKUP(E1750,'NI-Soc_SP'!$C:$AN,12,FALSE)</f>
        <v>0</v>
      </c>
      <c r="R1750" s="55">
        <f>VLOOKUP(E1750,'NI-Soc_SP'!$C:$AN,13,FALSE)</f>
        <v>0</v>
      </c>
      <c r="S1750" s="55"/>
      <c r="T1750" s="55"/>
      <c r="U1750" s="55">
        <f>VLOOKUP($E1750,'NI-Soc_SP'!$C:$AN,MID(U$1,1,2),FALSE)</f>
        <v>0</v>
      </c>
      <c r="V1750" s="55">
        <f>VLOOKUP($E1750,'NI-Soc_SP'!$C:$AN,MID(V$1,1,2),FALSE)</f>
        <v>0</v>
      </c>
      <c r="W1750" s="55">
        <f>VLOOKUP($E1750,'NI-Soc_SP'!$C:$AN,MID(W$1,1,2),FALSE)</f>
        <v>0</v>
      </c>
      <c r="X1750" s="55">
        <f>VLOOKUP($E1750,'NI-Soc_SP'!$C:$AN,MID(X$1,1,2),FALSE)</f>
        <v>0</v>
      </c>
      <c r="Y1750" s="55">
        <f>VLOOKUP($E1750,'NI-Soc_SP'!$C:$AN,MID(Y$1,1,2),FALSE)</f>
        <v>0</v>
      </c>
      <c r="Z1750" s="55">
        <f>VLOOKUP($E1750,'NI-Soc_SP'!$C:$AN,MID(Z$1,1,2),FALSE)</f>
        <v>0</v>
      </c>
      <c r="AA1750" s="55">
        <f>VLOOKUP($E1750,'NI-Soc_SP'!$C:$AN,MID(AA$1,1,2),FALSE)</f>
        <v>0</v>
      </c>
      <c r="AB1750" s="55">
        <f>VLOOKUP($E1750,'NI-Soc_SP'!$C:$AN,MID(AB$1,1,2),FALSE)</f>
        <v>0</v>
      </c>
      <c r="AC1750" s="55">
        <f>VLOOKUP($E1750,'NI-Soc_SP'!$C:$AN,MID(AC$1,1,2),FALSE)</f>
        <v>0</v>
      </c>
      <c r="AD1750" s="55">
        <f>VLOOKUP($E1750,'NI-Soc_SP'!$C:$AN,MID(AD$1,1,2),FALSE)</f>
        <v>0</v>
      </c>
      <c r="AE1750" s="55">
        <f>VLOOKUP($E1750,'NI-Soc_SP'!$C:$AN,MID(AE$1,1,2),FALSE)</f>
        <v>0</v>
      </c>
      <c r="AF1750" s="55">
        <f>VLOOKUP($E1750,'NI-Soc_SP'!$C:$AN,MID(AF$1,1,2),FALSE)</f>
        <v>0</v>
      </c>
      <c r="AG1750" s="55">
        <f>VLOOKUP($E1750,'NI-Soc_SP'!$C:$AN,MID(AG$1,1,2),FALSE)</f>
        <v>0</v>
      </c>
      <c r="AH1750" s="55">
        <f>VLOOKUP($E1750,'NI-Soc_SP'!$C:$AN,MID(AH$1,1,2),FALSE)</f>
        <v>0</v>
      </c>
      <c r="AI1750" s="55">
        <f>VLOOKUP($E1750,'NI-Soc_SP'!$C:$AN,MID(AI$1,1,2),FALSE)</f>
        <v>0</v>
      </c>
      <c r="AJ1750" s="55">
        <f>VLOOKUP($E1750,'NI-Soc_SP'!$C:$AN,MID(AJ$1,1,2),FALSE)</f>
        <v>0</v>
      </c>
      <c r="AK1750" s="55">
        <f>VLOOKUP($E1750,'NI-Soc_SP'!$C:$AN,MID(AK$1,1,2),FALSE)</f>
        <v>0</v>
      </c>
      <c r="AL1750" s="55">
        <f>VLOOKUP($E1750,'NI-Soc_SP'!$C:$AN,MID(AL$1,1,2),FALSE)</f>
        <v>0</v>
      </c>
      <c r="AM1750" s="56">
        <f>VLOOKUP($E1750,'NI-Soc_SP'!$C:$AN,MID(AM$1,1,2),FALSE)</f>
        <v>0</v>
      </c>
      <c r="AN1750" s="30" t="str">
        <f t="shared" si="27"/>
        <v>20000000000000</v>
      </c>
    </row>
    <row r="1751" spans="3:40" x14ac:dyDescent="0.25">
      <c r="C1751" s="40"/>
      <c r="D1751" s="121" t="s">
        <v>1129</v>
      </c>
      <c r="E1751" s="121" t="s">
        <v>1130</v>
      </c>
      <c r="F1751" s="122" t="s">
        <v>2758</v>
      </c>
      <c r="G1751" s="52"/>
      <c r="H1751" s="52"/>
      <c r="I1751" s="52"/>
      <c r="J1751" s="52"/>
      <c r="K1751" s="59" t="s">
        <v>111</v>
      </c>
      <c r="L1751" s="52"/>
      <c r="M1751" s="52"/>
      <c r="N1751" s="52"/>
      <c r="O1751" s="52"/>
      <c r="P1751" s="60" t="s">
        <v>1131</v>
      </c>
      <c r="Q1751" s="55">
        <f>VLOOKUP(E1751,'NI-Soc_SP'!$C:$AN,12,FALSE)</f>
        <v>0</v>
      </c>
      <c r="R1751" s="55">
        <f>VLOOKUP(E1751,'NI-Soc_SP'!$C:$AN,13,FALSE)</f>
        <v>0</v>
      </c>
      <c r="S1751" s="55"/>
      <c r="T1751" s="55"/>
      <c r="U1751" s="55">
        <f>VLOOKUP($E1751,'NI-Soc_SP'!$C:$AN,MID(U$1,1,2),FALSE)</f>
        <v>0</v>
      </c>
      <c r="V1751" s="55">
        <f>VLOOKUP($E1751,'NI-Soc_SP'!$C:$AN,MID(V$1,1,2),FALSE)</f>
        <v>0</v>
      </c>
      <c r="W1751" s="55">
        <f>VLOOKUP($E1751,'NI-Soc_SP'!$C:$AN,MID(W$1,1,2),FALSE)</f>
        <v>0</v>
      </c>
      <c r="X1751" s="55">
        <f>VLOOKUP($E1751,'NI-Soc_SP'!$C:$AN,MID(X$1,1,2),FALSE)</f>
        <v>0</v>
      </c>
      <c r="Y1751" s="55">
        <f>VLOOKUP($E1751,'NI-Soc_SP'!$C:$AN,MID(Y$1,1,2),FALSE)</f>
        <v>0</v>
      </c>
      <c r="Z1751" s="55">
        <f>VLOOKUP($E1751,'NI-Soc_SP'!$C:$AN,MID(Z$1,1,2),FALSE)</f>
        <v>0</v>
      </c>
      <c r="AA1751" s="55">
        <f>VLOOKUP($E1751,'NI-Soc_SP'!$C:$AN,MID(AA$1,1,2),FALSE)</f>
        <v>0</v>
      </c>
      <c r="AB1751" s="55">
        <f>VLOOKUP($E1751,'NI-Soc_SP'!$C:$AN,MID(AB$1,1,2),FALSE)</f>
        <v>0</v>
      </c>
      <c r="AC1751" s="55">
        <f>VLOOKUP($E1751,'NI-Soc_SP'!$C:$AN,MID(AC$1,1,2),FALSE)</f>
        <v>0</v>
      </c>
      <c r="AD1751" s="55">
        <f>VLOOKUP($E1751,'NI-Soc_SP'!$C:$AN,MID(AD$1,1,2),FALSE)</f>
        <v>0</v>
      </c>
      <c r="AE1751" s="55">
        <f>VLOOKUP($E1751,'NI-Soc_SP'!$C:$AN,MID(AE$1,1,2),FALSE)</f>
        <v>0</v>
      </c>
      <c r="AF1751" s="55">
        <f>VLOOKUP($E1751,'NI-Soc_SP'!$C:$AN,MID(AF$1,1,2),FALSE)</f>
        <v>0</v>
      </c>
      <c r="AG1751" s="55">
        <f>VLOOKUP($E1751,'NI-Soc_SP'!$C:$AN,MID(AG$1,1,2),FALSE)</f>
        <v>0</v>
      </c>
      <c r="AH1751" s="55">
        <f>VLOOKUP($E1751,'NI-Soc_SP'!$C:$AN,MID(AH$1,1,2),FALSE)</f>
        <v>0</v>
      </c>
      <c r="AI1751" s="55">
        <f>VLOOKUP($E1751,'NI-Soc_SP'!$C:$AN,MID(AI$1,1,2),FALSE)</f>
        <v>0</v>
      </c>
      <c r="AJ1751" s="55">
        <f>VLOOKUP($E1751,'NI-Soc_SP'!$C:$AN,MID(AJ$1,1,2),FALSE)</f>
        <v>0</v>
      </c>
      <c r="AK1751" s="55">
        <f>VLOOKUP($E1751,'NI-Soc_SP'!$C:$AN,MID(AK$1,1,2),FALSE)</f>
        <v>0</v>
      </c>
      <c r="AL1751" s="55">
        <f>VLOOKUP($E1751,'NI-Soc_SP'!$C:$AN,MID(AL$1,1,2),FALSE)</f>
        <v>0</v>
      </c>
      <c r="AM1751" s="56">
        <f>VLOOKUP($E1751,'NI-Soc_SP'!$C:$AN,MID(AM$1,1,2),FALSE)</f>
        <v>0</v>
      </c>
      <c r="AN1751" s="30" t="str">
        <f t="shared" si="27"/>
        <v>20100000000000</v>
      </c>
    </row>
    <row r="1752" spans="3:40" x14ac:dyDescent="0.25">
      <c r="C1752" s="40"/>
      <c r="D1752" s="121" t="s">
        <v>1132</v>
      </c>
      <c r="E1752" s="121" t="s">
        <v>1133</v>
      </c>
      <c r="F1752" s="122" t="s">
        <v>2758</v>
      </c>
      <c r="G1752" s="52"/>
      <c r="H1752" s="52"/>
      <c r="I1752" s="52"/>
      <c r="J1752" s="52"/>
      <c r="K1752" s="59" t="s">
        <v>111</v>
      </c>
      <c r="L1752" s="62" t="s">
        <v>1134</v>
      </c>
      <c r="M1752" s="52"/>
      <c r="N1752" s="52"/>
      <c r="O1752" s="52"/>
      <c r="P1752" s="54" t="s">
        <v>1135</v>
      </c>
      <c r="Q1752" s="55">
        <f>VLOOKUP(E1752,'NI-Soc_SP'!$C:$AN,12,FALSE)</f>
        <v>0</v>
      </c>
      <c r="R1752" s="55">
        <f>VLOOKUP(E1752,'NI-Soc_SP'!$C:$AN,13,FALSE)</f>
        <v>0</v>
      </c>
      <c r="S1752" s="55"/>
      <c r="T1752" s="55"/>
      <c r="U1752" s="55">
        <f>VLOOKUP($E1752,'NI-Soc_SP'!$C:$AN,MID(U$1,1,2),FALSE)</f>
        <v>0</v>
      </c>
      <c r="V1752" s="55">
        <f>VLOOKUP($E1752,'NI-Soc_SP'!$C:$AN,MID(V$1,1,2),FALSE)</f>
        <v>0</v>
      </c>
      <c r="W1752" s="55">
        <f>VLOOKUP($E1752,'NI-Soc_SP'!$C:$AN,MID(W$1,1,2),FALSE)</f>
        <v>0</v>
      </c>
      <c r="X1752" s="55">
        <f>VLOOKUP($E1752,'NI-Soc_SP'!$C:$AN,MID(X$1,1,2),FALSE)</f>
        <v>0</v>
      </c>
      <c r="Y1752" s="55">
        <f>VLOOKUP($E1752,'NI-Soc_SP'!$C:$AN,MID(Y$1,1,2),FALSE)</f>
        <v>0</v>
      </c>
      <c r="Z1752" s="55">
        <f>VLOOKUP($E1752,'NI-Soc_SP'!$C:$AN,MID(Z$1,1,2),FALSE)</f>
        <v>0</v>
      </c>
      <c r="AA1752" s="55">
        <f>VLOOKUP($E1752,'NI-Soc_SP'!$C:$AN,MID(AA$1,1,2),FALSE)</f>
        <v>0</v>
      </c>
      <c r="AB1752" s="55">
        <f>VLOOKUP($E1752,'NI-Soc_SP'!$C:$AN,MID(AB$1,1,2),FALSE)</f>
        <v>0</v>
      </c>
      <c r="AC1752" s="55">
        <f>VLOOKUP($E1752,'NI-Soc_SP'!$C:$AN,MID(AC$1,1,2),FALSE)</f>
        <v>0</v>
      </c>
      <c r="AD1752" s="55">
        <f>VLOOKUP($E1752,'NI-Soc_SP'!$C:$AN,MID(AD$1,1,2),FALSE)</f>
        <v>0</v>
      </c>
      <c r="AE1752" s="55">
        <f>VLOOKUP($E1752,'NI-Soc_SP'!$C:$AN,MID(AE$1,1,2),FALSE)</f>
        <v>0</v>
      </c>
      <c r="AF1752" s="55">
        <f>VLOOKUP($E1752,'NI-Soc_SP'!$C:$AN,MID(AF$1,1,2),FALSE)</f>
        <v>0</v>
      </c>
      <c r="AG1752" s="55">
        <f>VLOOKUP($E1752,'NI-Soc_SP'!$C:$AN,MID(AG$1,1,2),FALSE)</f>
        <v>0</v>
      </c>
      <c r="AH1752" s="55">
        <f>VLOOKUP($E1752,'NI-Soc_SP'!$C:$AN,MID(AH$1,1,2),FALSE)</f>
        <v>0</v>
      </c>
      <c r="AI1752" s="55">
        <f>VLOOKUP($E1752,'NI-Soc_SP'!$C:$AN,MID(AI$1,1,2),FALSE)</f>
        <v>0</v>
      </c>
      <c r="AJ1752" s="55">
        <f>VLOOKUP($E1752,'NI-Soc_SP'!$C:$AN,MID(AJ$1,1,2),FALSE)</f>
        <v>0</v>
      </c>
      <c r="AK1752" s="55">
        <f>VLOOKUP($E1752,'NI-Soc_SP'!$C:$AN,MID(AK$1,1,2),FALSE)</f>
        <v>0</v>
      </c>
      <c r="AL1752" s="55">
        <f>VLOOKUP($E1752,'NI-Soc_SP'!$C:$AN,MID(AL$1,1,2),FALSE)</f>
        <v>0</v>
      </c>
      <c r="AM1752" s="56">
        <f>VLOOKUP($E1752,'NI-Soc_SP'!$C:$AN,MID(AM$1,1,2),FALSE)</f>
        <v>0</v>
      </c>
      <c r="AN1752" s="30" t="str">
        <f t="shared" si="27"/>
        <v>20101000000000</v>
      </c>
    </row>
    <row r="1753" spans="3:40" x14ac:dyDescent="0.25">
      <c r="C1753" s="40"/>
      <c r="D1753" s="121" t="s">
        <v>1136</v>
      </c>
      <c r="E1753" s="121" t="s">
        <v>1137</v>
      </c>
      <c r="F1753" s="122" t="s">
        <v>2758</v>
      </c>
      <c r="G1753" s="69"/>
      <c r="H1753" s="52"/>
      <c r="I1753" s="52"/>
      <c r="J1753" s="52"/>
      <c r="K1753" s="69" t="s">
        <v>111</v>
      </c>
      <c r="L1753" s="52"/>
      <c r="M1753" s="52"/>
      <c r="N1753" s="52"/>
      <c r="O1753" s="61"/>
      <c r="P1753" s="70" t="s">
        <v>1138</v>
      </c>
      <c r="Q1753" s="55">
        <f>VLOOKUP(E1753,'NI-Soc_SP'!$C:$AN,12,FALSE)</f>
        <v>0</v>
      </c>
      <c r="R1753" s="55">
        <f>VLOOKUP(E1753,'NI-Soc_SP'!$C:$AN,13,FALSE)</f>
        <v>0</v>
      </c>
      <c r="S1753" s="55"/>
      <c r="T1753" s="55"/>
      <c r="U1753" s="55">
        <f>VLOOKUP($E1753,'NI-Soc_SP'!$C:$AN,MID(U$1,1,2),FALSE)</f>
        <v>0</v>
      </c>
      <c r="V1753" s="55">
        <f>VLOOKUP($E1753,'NI-Soc_SP'!$C:$AN,MID(V$1,1,2),FALSE)</f>
        <v>0</v>
      </c>
      <c r="W1753" s="55">
        <f>VLOOKUP($E1753,'NI-Soc_SP'!$C:$AN,MID(W$1,1,2),FALSE)</f>
        <v>0</v>
      </c>
      <c r="X1753" s="55">
        <f>VLOOKUP($E1753,'NI-Soc_SP'!$C:$AN,MID(X$1,1,2),FALSE)</f>
        <v>0</v>
      </c>
      <c r="Y1753" s="55">
        <f>VLOOKUP($E1753,'NI-Soc_SP'!$C:$AN,MID(Y$1,1,2),FALSE)</f>
        <v>0</v>
      </c>
      <c r="Z1753" s="55">
        <f>VLOOKUP($E1753,'NI-Soc_SP'!$C:$AN,MID(Z$1,1,2),FALSE)</f>
        <v>0</v>
      </c>
      <c r="AA1753" s="55">
        <f>VLOOKUP($E1753,'NI-Soc_SP'!$C:$AN,MID(AA$1,1,2),FALSE)</f>
        <v>0</v>
      </c>
      <c r="AB1753" s="55">
        <f>VLOOKUP($E1753,'NI-Soc_SP'!$C:$AN,MID(AB$1,1,2),FALSE)</f>
        <v>0</v>
      </c>
      <c r="AC1753" s="55">
        <f>VLOOKUP($E1753,'NI-Soc_SP'!$C:$AN,MID(AC$1,1,2),FALSE)</f>
        <v>0</v>
      </c>
      <c r="AD1753" s="55">
        <f>VLOOKUP($E1753,'NI-Soc_SP'!$C:$AN,MID(AD$1,1,2),FALSE)</f>
        <v>0</v>
      </c>
      <c r="AE1753" s="55">
        <f>VLOOKUP($E1753,'NI-Soc_SP'!$C:$AN,MID(AE$1,1,2),FALSE)</f>
        <v>0</v>
      </c>
      <c r="AF1753" s="55">
        <f>VLOOKUP($E1753,'NI-Soc_SP'!$C:$AN,MID(AF$1,1,2),FALSE)</f>
        <v>0</v>
      </c>
      <c r="AG1753" s="55">
        <f>VLOOKUP($E1753,'NI-Soc_SP'!$C:$AN,MID(AG$1,1,2),FALSE)</f>
        <v>0</v>
      </c>
      <c r="AH1753" s="55">
        <f>VLOOKUP($E1753,'NI-Soc_SP'!$C:$AN,MID(AH$1,1,2),FALSE)</f>
        <v>0</v>
      </c>
      <c r="AI1753" s="55">
        <f>VLOOKUP($E1753,'NI-Soc_SP'!$C:$AN,MID(AI$1,1,2),FALSE)</f>
        <v>0</v>
      </c>
      <c r="AJ1753" s="55">
        <f>VLOOKUP($E1753,'NI-Soc_SP'!$C:$AN,MID(AJ$1,1,2),FALSE)</f>
        <v>0</v>
      </c>
      <c r="AK1753" s="55">
        <f>VLOOKUP($E1753,'NI-Soc_SP'!$C:$AN,MID(AK$1,1,2),FALSE)</f>
        <v>0</v>
      </c>
      <c r="AL1753" s="55">
        <f>VLOOKUP($E1753,'NI-Soc_SP'!$C:$AN,MID(AL$1,1,2),FALSE)</f>
        <v>0</v>
      </c>
      <c r="AM1753" s="56">
        <f>VLOOKUP($E1753,'NI-Soc_SP'!$C:$AN,MID(AM$1,1,2),FALSE)</f>
        <v>0</v>
      </c>
      <c r="AN1753" s="30" t="str">
        <f t="shared" si="27"/>
        <v>20101010000000</v>
      </c>
    </row>
    <row r="1754" spans="3:40" x14ac:dyDescent="0.25">
      <c r="C1754" s="40"/>
      <c r="D1754" s="121" t="s">
        <v>1139</v>
      </c>
      <c r="E1754" s="121" t="s">
        <v>1140</v>
      </c>
      <c r="F1754" s="122" t="s">
        <v>2758</v>
      </c>
      <c r="G1754" s="69"/>
      <c r="H1754" s="52"/>
      <c r="I1754" s="52"/>
      <c r="J1754" s="52"/>
      <c r="K1754" s="69" t="s">
        <v>111</v>
      </c>
      <c r="L1754" s="52"/>
      <c r="M1754" s="52"/>
      <c r="N1754" s="52"/>
      <c r="O1754" s="61"/>
      <c r="P1754" s="70" t="s">
        <v>1141</v>
      </c>
      <c r="Q1754" s="55">
        <f>VLOOKUP(E1754,'NI-Soc_SP'!$C:$AN,12,FALSE)</f>
        <v>0</v>
      </c>
      <c r="R1754" s="55">
        <f>VLOOKUP(E1754,'NI-Soc_SP'!$C:$AN,13,FALSE)</f>
        <v>0</v>
      </c>
      <c r="S1754" s="55"/>
      <c r="T1754" s="55"/>
      <c r="U1754" s="55">
        <f>VLOOKUP($E1754,'NI-Soc_SP'!$C:$AN,MID(U$1,1,2),FALSE)</f>
        <v>0</v>
      </c>
      <c r="V1754" s="55">
        <f>VLOOKUP($E1754,'NI-Soc_SP'!$C:$AN,MID(V$1,1,2),FALSE)</f>
        <v>0</v>
      </c>
      <c r="W1754" s="55">
        <f>VLOOKUP($E1754,'NI-Soc_SP'!$C:$AN,MID(W$1,1,2),FALSE)</f>
        <v>0</v>
      </c>
      <c r="X1754" s="55">
        <f>VLOOKUP($E1754,'NI-Soc_SP'!$C:$AN,MID(X$1,1,2),FALSE)</f>
        <v>0</v>
      </c>
      <c r="Y1754" s="55">
        <f>VLOOKUP($E1754,'NI-Soc_SP'!$C:$AN,MID(Y$1,1,2),FALSE)</f>
        <v>0</v>
      </c>
      <c r="Z1754" s="55">
        <f>VLOOKUP($E1754,'NI-Soc_SP'!$C:$AN,MID(Z$1,1,2),FALSE)</f>
        <v>0</v>
      </c>
      <c r="AA1754" s="55">
        <f>VLOOKUP($E1754,'NI-Soc_SP'!$C:$AN,MID(AA$1,1,2),FALSE)</f>
        <v>0</v>
      </c>
      <c r="AB1754" s="55">
        <f>VLOOKUP($E1754,'NI-Soc_SP'!$C:$AN,MID(AB$1,1,2),FALSE)</f>
        <v>0</v>
      </c>
      <c r="AC1754" s="55">
        <f>VLOOKUP($E1754,'NI-Soc_SP'!$C:$AN,MID(AC$1,1,2),FALSE)</f>
        <v>0</v>
      </c>
      <c r="AD1754" s="55">
        <f>VLOOKUP($E1754,'NI-Soc_SP'!$C:$AN,MID(AD$1,1,2),FALSE)</f>
        <v>0</v>
      </c>
      <c r="AE1754" s="55">
        <f>VLOOKUP($E1754,'NI-Soc_SP'!$C:$AN,MID(AE$1,1,2),FALSE)</f>
        <v>0</v>
      </c>
      <c r="AF1754" s="55">
        <f>VLOOKUP($E1754,'NI-Soc_SP'!$C:$AN,MID(AF$1,1,2),FALSE)</f>
        <v>0</v>
      </c>
      <c r="AG1754" s="55">
        <f>VLOOKUP($E1754,'NI-Soc_SP'!$C:$AN,MID(AG$1,1,2),FALSE)</f>
        <v>0</v>
      </c>
      <c r="AH1754" s="55">
        <f>VLOOKUP($E1754,'NI-Soc_SP'!$C:$AN,MID(AH$1,1,2),FALSE)</f>
        <v>0</v>
      </c>
      <c r="AI1754" s="55">
        <f>VLOOKUP($E1754,'NI-Soc_SP'!$C:$AN,MID(AI$1,1,2),FALSE)</f>
        <v>0</v>
      </c>
      <c r="AJ1754" s="55">
        <f>VLOOKUP($E1754,'NI-Soc_SP'!$C:$AN,MID(AJ$1,1,2),FALSE)</f>
        <v>0</v>
      </c>
      <c r="AK1754" s="55">
        <f>VLOOKUP($E1754,'NI-Soc_SP'!$C:$AN,MID(AK$1,1,2),FALSE)</f>
        <v>0</v>
      </c>
      <c r="AL1754" s="55">
        <f>VLOOKUP($E1754,'NI-Soc_SP'!$C:$AN,MID(AL$1,1,2),FALSE)</f>
        <v>0</v>
      </c>
      <c r="AM1754" s="56">
        <f>VLOOKUP($E1754,'NI-Soc_SP'!$C:$AN,MID(AM$1,1,2),FALSE)</f>
        <v>0</v>
      </c>
      <c r="AN1754" s="30" t="str">
        <f t="shared" si="27"/>
        <v>20101010010000</v>
      </c>
    </row>
    <row r="1755" spans="3:40" x14ac:dyDescent="0.25">
      <c r="C1755" s="40"/>
      <c r="D1755" s="121" t="s">
        <v>1142</v>
      </c>
      <c r="E1755" s="121" t="s">
        <v>1143</v>
      </c>
      <c r="F1755" s="122" t="s">
        <v>2758</v>
      </c>
      <c r="G1755" s="69"/>
      <c r="H1755" s="52"/>
      <c r="I1755" s="52" t="s">
        <v>1144</v>
      </c>
      <c r="J1755" s="52"/>
      <c r="K1755" s="69" t="s">
        <v>79</v>
      </c>
      <c r="L1755" s="52"/>
      <c r="M1755" s="52"/>
      <c r="N1755" s="52"/>
      <c r="O1755" s="61" t="s">
        <v>1145</v>
      </c>
      <c r="P1755" s="70" t="s">
        <v>1146</v>
      </c>
      <c r="Q1755" s="55">
        <f>VLOOKUP(E1755,'NI-Soc_SP'!$C:$AN,12,FALSE)</f>
        <v>0</v>
      </c>
      <c r="R1755" s="55">
        <f>VLOOKUP(E1755,'NI-Soc_SP'!$C:$AN,13,FALSE)</f>
        <v>0</v>
      </c>
      <c r="S1755" s="55"/>
      <c r="T1755" s="55"/>
      <c r="U1755" s="55">
        <f>VLOOKUP($E1755,'NI-Soc_SP'!$C:$AN,MID(U$1,1,2),FALSE)</f>
        <v>0</v>
      </c>
      <c r="V1755" s="55">
        <f>VLOOKUP($E1755,'NI-Soc_SP'!$C:$AN,MID(V$1,1,2),FALSE)</f>
        <v>0</v>
      </c>
      <c r="W1755" s="55">
        <f>VLOOKUP($E1755,'NI-Soc_SP'!$C:$AN,MID(W$1,1,2),FALSE)</f>
        <v>0</v>
      </c>
      <c r="X1755" s="55">
        <f>VLOOKUP($E1755,'NI-Soc_SP'!$C:$AN,MID(X$1,1,2),FALSE)</f>
        <v>0</v>
      </c>
      <c r="Y1755" s="55">
        <f>VLOOKUP($E1755,'NI-Soc_SP'!$C:$AN,MID(Y$1,1,2),FALSE)</f>
        <v>0</v>
      </c>
      <c r="Z1755" s="55">
        <f>VLOOKUP($E1755,'NI-Soc_SP'!$C:$AN,MID(Z$1,1,2),FALSE)</f>
        <v>0</v>
      </c>
      <c r="AA1755" s="55">
        <f>VLOOKUP($E1755,'NI-Soc_SP'!$C:$AN,MID(AA$1,1,2),FALSE)</f>
        <v>0</v>
      </c>
      <c r="AB1755" s="55">
        <f>VLOOKUP($E1755,'NI-Soc_SP'!$C:$AN,MID(AB$1,1,2),FALSE)</f>
        <v>0</v>
      </c>
      <c r="AC1755" s="55">
        <f>VLOOKUP($E1755,'NI-Soc_SP'!$C:$AN,MID(AC$1,1,2),FALSE)</f>
        <v>0</v>
      </c>
      <c r="AD1755" s="55">
        <f>VLOOKUP($E1755,'NI-Soc_SP'!$C:$AN,MID(AD$1,1,2),FALSE)</f>
        <v>0</v>
      </c>
      <c r="AE1755" s="55">
        <f>VLOOKUP($E1755,'NI-Soc_SP'!$C:$AN,MID(AE$1,1,2),FALSE)</f>
        <v>0</v>
      </c>
      <c r="AF1755" s="55">
        <f>VLOOKUP($E1755,'NI-Soc_SP'!$C:$AN,MID(AF$1,1,2),FALSE)</f>
        <v>0</v>
      </c>
      <c r="AG1755" s="55">
        <f>VLOOKUP($E1755,'NI-Soc_SP'!$C:$AN,MID(AG$1,1,2),FALSE)</f>
        <v>0</v>
      </c>
      <c r="AH1755" s="55">
        <f>VLOOKUP($E1755,'NI-Soc_SP'!$C:$AN,MID(AH$1,1,2),FALSE)</f>
        <v>0</v>
      </c>
      <c r="AI1755" s="55">
        <f>VLOOKUP($E1755,'NI-Soc_SP'!$C:$AN,MID(AI$1,1,2),FALSE)</f>
        <v>0</v>
      </c>
      <c r="AJ1755" s="55">
        <f>VLOOKUP($E1755,'NI-Soc_SP'!$C:$AN,MID(AJ$1,1,2),FALSE)</f>
        <v>0</v>
      </c>
      <c r="AK1755" s="55">
        <f>VLOOKUP($E1755,'NI-Soc_SP'!$C:$AN,MID(AK$1,1,2),FALSE)</f>
        <v>0</v>
      </c>
      <c r="AL1755" s="55">
        <f>VLOOKUP($E1755,'NI-Soc_SP'!$C:$AN,MID(AL$1,1,2),FALSE)</f>
        <v>0</v>
      </c>
      <c r="AM1755" s="56">
        <f>VLOOKUP($E1755,'NI-Soc_SP'!$C:$AN,MID(AM$1,1,2),FALSE)</f>
        <v>0</v>
      </c>
      <c r="AN1755" s="30" t="str">
        <f t="shared" si="27"/>
        <v>20101010010010</v>
      </c>
    </row>
    <row r="1756" spans="3:40" x14ac:dyDescent="0.25">
      <c r="C1756" s="40"/>
      <c r="D1756" s="121" t="s">
        <v>1147</v>
      </c>
      <c r="E1756" s="121" t="s">
        <v>1148</v>
      </c>
      <c r="F1756" s="122" t="s">
        <v>2758</v>
      </c>
      <c r="G1756" s="69"/>
      <c r="H1756" s="52"/>
      <c r="I1756" s="52" t="s">
        <v>1144</v>
      </c>
      <c r="J1756" s="52"/>
      <c r="K1756" s="69" t="s">
        <v>79</v>
      </c>
      <c r="L1756" s="52"/>
      <c r="M1756" s="52"/>
      <c r="N1756" s="52"/>
      <c r="O1756" s="61" t="s">
        <v>1145</v>
      </c>
      <c r="P1756" s="70" t="s">
        <v>1149</v>
      </c>
      <c r="Q1756" s="55">
        <f>VLOOKUP(E1756,'NI-Soc_SP'!$C:$AN,12,FALSE)</f>
        <v>0</v>
      </c>
      <c r="R1756" s="55">
        <f>VLOOKUP(E1756,'NI-Soc_SP'!$C:$AN,13,FALSE)</f>
        <v>0</v>
      </c>
      <c r="S1756" s="55"/>
      <c r="T1756" s="55"/>
      <c r="U1756" s="55">
        <f>VLOOKUP($E1756,'NI-Soc_SP'!$C:$AN,MID(U$1,1,2),FALSE)</f>
        <v>0</v>
      </c>
      <c r="V1756" s="55">
        <f>VLOOKUP($E1756,'NI-Soc_SP'!$C:$AN,MID(V$1,1,2),FALSE)</f>
        <v>0</v>
      </c>
      <c r="W1756" s="55">
        <f>VLOOKUP($E1756,'NI-Soc_SP'!$C:$AN,MID(W$1,1,2),FALSE)</f>
        <v>0</v>
      </c>
      <c r="X1756" s="55">
        <f>VLOOKUP($E1756,'NI-Soc_SP'!$C:$AN,MID(X$1,1,2),FALSE)</f>
        <v>0</v>
      </c>
      <c r="Y1756" s="55">
        <f>VLOOKUP($E1756,'NI-Soc_SP'!$C:$AN,MID(Y$1,1,2),FALSE)</f>
        <v>0</v>
      </c>
      <c r="Z1756" s="55">
        <f>VLOOKUP($E1756,'NI-Soc_SP'!$C:$AN,MID(Z$1,1,2),FALSE)</f>
        <v>0</v>
      </c>
      <c r="AA1756" s="55">
        <f>VLOOKUP($E1756,'NI-Soc_SP'!$C:$AN,MID(AA$1,1,2),FALSE)</f>
        <v>0</v>
      </c>
      <c r="AB1756" s="55">
        <f>VLOOKUP($E1756,'NI-Soc_SP'!$C:$AN,MID(AB$1,1,2),FALSE)</f>
        <v>0</v>
      </c>
      <c r="AC1756" s="55">
        <f>VLOOKUP($E1756,'NI-Soc_SP'!$C:$AN,MID(AC$1,1,2),FALSE)</f>
        <v>0</v>
      </c>
      <c r="AD1756" s="55">
        <f>VLOOKUP($E1756,'NI-Soc_SP'!$C:$AN,MID(AD$1,1,2),FALSE)</f>
        <v>0</v>
      </c>
      <c r="AE1756" s="55">
        <f>VLOOKUP($E1756,'NI-Soc_SP'!$C:$AN,MID(AE$1,1,2),FALSE)</f>
        <v>0</v>
      </c>
      <c r="AF1756" s="55">
        <f>VLOOKUP($E1756,'NI-Soc_SP'!$C:$AN,MID(AF$1,1,2),FALSE)</f>
        <v>0</v>
      </c>
      <c r="AG1756" s="55">
        <f>VLOOKUP($E1756,'NI-Soc_SP'!$C:$AN,MID(AG$1,1,2),FALSE)</f>
        <v>0</v>
      </c>
      <c r="AH1756" s="55">
        <f>VLOOKUP($E1756,'NI-Soc_SP'!$C:$AN,MID(AH$1,1,2),FALSE)</f>
        <v>0</v>
      </c>
      <c r="AI1756" s="55">
        <f>VLOOKUP($E1756,'NI-Soc_SP'!$C:$AN,MID(AI$1,1,2),FALSE)</f>
        <v>0</v>
      </c>
      <c r="AJ1756" s="55">
        <f>VLOOKUP($E1756,'NI-Soc_SP'!$C:$AN,MID(AJ$1,1,2),FALSE)</f>
        <v>0</v>
      </c>
      <c r="AK1756" s="55">
        <f>VLOOKUP($E1756,'NI-Soc_SP'!$C:$AN,MID(AK$1,1,2),FALSE)</f>
        <v>0</v>
      </c>
      <c r="AL1756" s="55">
        <f>VLOOKUP($E1756,'NI-Soc_SP'!$C:$AN,MID(AL$1,1,2),FALSE)</f>
        <v>0</v>
      </c>
      <c r="AM1756" s="56">
        <f>VLOOKUP($E1756,'NI-Soc_SP'!$C:$AN,MID(AM$1,1,2),FALSE)</f>
        <v>0</v>
      </c>
      <c r="AN1756" s="30" t="str">
        <f t="shared" si="27"/>
        <v>20101010010020</v>
      </c>
    </row>
    <row r="1757" spans="3:40" x14ac:dyDescent="0.25">
      <c r="C1757" s="40"/>
      <c r="D1757" s="121" t="s">
        <v>1150</v>
      </c>
      <c r="E1757" s="121" t="s">
        <v>1151</v>
      </c>
      <c r="F1757" s="122" t="s">
        <v>2758</v>
      </c>
      <c r="G1757" s="69"/>
      <c r="H1757" s="52"/>
      <c r="I1757" s="52" t="s">
        <v>1144</v>
      </c>
      <c r="J1757" s="52"/>
      <c r="K1757" s="69" t="s">
        <v>79</v>
      </c>
      <c r="L1757" s="52"/>
      <c r="M1757" s="52"/>
      <c r="N1757" s="52"/>
      <c r="O1757" s="61" t="s">
        <v>1145</v>
      </c>
      <c r="P1757" s="70" t="s">
        <v>1152</v>
      </c>
      <c r="Q1757" s="55">
        <f>VLOOKUP(E1757,'NI-Soc_SP'!$C:$AN,12,FALSE)</f>
        <v>0</v>
      </c>
      <c r="R1757" s="55">
        <f>VLOOKUP(E1757,'NI-Soc_SP'!$C:$AN,13,FALSE)</f>
        <v>0</v>
      </c>
      <c r="S1757" s="55"/>
      <c r="T1757" s="55"/>
      <c r="U1757" s="55">
        <f>VLOOKUP($E1757,'NI-Soc_SP'!$C:$AN,MID(U$1,1,2),FALSE)</f>
        <v>0</v>
      </c>
      <c r="V1757" s="55">
        <f>VLOOKUP($E1757,'NI-Soc_SP'!$C:$AN,MID(V$1,1,2),FALSE)</f>
        <v>0</v>
      </c>
      <c r="W1757" s="55">
        <f>VLOOKUP($E1757,'NI-Soc_SP'!$C:$AN,MID(W$1,1,2),FALSE)</f>
        <v>0</v>
      </c>
      <c r="X1757" s="55">
        <f>VLOOKUP($E1757,'NI-Soc_SP'!$C:$AN,MID(X$1,1,2),FALSE)</f>
        <v>0</v>
      </c>
      <c r="Y1757" s="55">
        <f>VLOOKUP($E1757,'NI-Soc_SP'!$C:$AN,MID(Y$1,1,2),FALSE)</f>
        <v>0</v>
      </c>
      <c r="Z1757" s="55">
        <f>VLOOKUP($E1757,'NI-Soc_SP'!$C:$AN,MID(Z$1,1,2),FALSE)</f>
        <v>0</v>
      </c>
      <c r="AA1757" s="55">
        <f>VLOOKUP($E1757,'NI-Soc_SP'!$C:$AN,MID(AA$1,1,2),FALSE)</f>
        <v>0</v>
      </c>
      <c r="AB1757" s="55">
        <f>VLOOKUP($E1757,'NI-Soc_SP'!$C:$AN,MID(AB$1,1,2),FALSE)</f>
        <v>0</v>
      </c>
      <c r="AC1757" s="55">
        <f>VLOOKUP($E1757,'NI-Soc_SP'!$C:$AN,MID(AC$1,1,2),FALSE)</f>
        <v>0</v>
      </c>
      <c r="AD1757" s="55">
        <f>VLOOKUP($E1757,'NI-Soc_SP'!$C:$AN,MID(AD$1,1,2),FALSE)</f>
        <v>0</v>
      </c>
      <c r="AE1757" s="55">
        <f>VLOOKUP($E1757,'NI-Soc_SP'!$C:$AN,MID(AE$1,1,2),FALSE)</f>
        <v>0</v>
      </c>
      <c r="AF1757" s="55">
        <f>VLOOKUP($E1757,'NI-Soc_SP'!$C:$AN,MID(AF$1,1,2),FALSE)</f>
        <v>0</v>
      </c>
      <c r="AG1757" s="55">
        <f>VLOOKUP($E1757,'NI-Soc_SP'!$C:$AN,MID(AG$1,1,2),FALSE)</f>
        <v>0</v>
      </c>
      <c r="AH1757" s="55">
        <f>VLOOKUP($E1757,'NI-Soc_SP'!$C:$AN,MID(AH$1,1,2),FALSE)</f>
        <v>0</v>
      </c>
      <c r="AI1757" s="55">
        <f>VLOOKUP($E1757,'NI-Soc_SP'!$C:$AN,MID(AI$1,1,2),FALSE)</f>
        <v>0</v>
      </c>
      <c r="AJ1757" s="55">
        <f>VLOOKUP($E1757,'NI-Soc_SP'!$C:$AN,MID(AJ$1,1,2),FALSE)</f>
        <v>0</v>
      </c>
      <c r="AK1757" s="55">
        <f>VLOOKUP($E1757,'NI-Soc_SP'!$C:$AN,MID(AK$1,1,2),FALSE)</f>
        <v>0</v>
      </c>
      <c r="AL1757" s="55">
        <f>VLOOKUP($E1757,'NI-Soc_SP'!$C:$AN,MID(AL$1,1,2),FALSE)</f>
        <v>0</v>
      </c>
      <c r="AM1757" s="56">
        <f>VLOOKUP($E1757,'NI-Soc_SP'!$C:$AN,MID(AM$1,1,2),FALSE)</f>
        <v>0</v>
      </c>
      <c r="AN1757" s="30" t="str">
        <f t="shared" si="27"/>
        <v>20101010010030</v>
      </c>
    </row>
    <row r="1758" spans="3:40" x14ac:dyDescent="0.25">
      <c r="C1758" s="40"/>
      <c r="D1758" s="121" t="s">
        <v>1153</v>
      </c>
      <c r="E1758" s="121" t="s">
        <v>1154</v>
      </c>
      <c r="F1758" s="122" t="s">
        <v>2758</v>
      </c>
      <c r="G1758" s="69"/>
      <c r="H1758" s="52"/>
      <c r="I1758" s="52" t="s">
        <v>1144</v>
      </c>
      <c r="J1758" s="52"/>
      <c r="K1758" s="69" t="s">
        <v>79</v>
      </c>
      <c r="L1758" s="52"/>
      <c r="M1758" s="52"/>
      <c r="N1758" s="52"/>
      <c r="O1758" s="61" t="s">
        <v>1145</v>
      </c>
      <c r="P1758" s="70" t="s">
        <v>1155</v>
      </c>
      <c r="Q1758" s="55">
        <f>VLOOKUP(E1758,'NI-Soc_SP'!$C:$AN,12,FALSE)</f>
        <v>0</v>
      </c>
      <c r="R1758" s="55">
        <f>VLOOKUP(E1758,'NI-Soc_SP'!$C:$AN,13,FALSE)</f>
        <v>0</v>
      </c>
      <c r="S1758" s="55"/>
      <c r="T1758" s="55"/>
      <c r="U1758" s="55">
        <f>VLOOKUP($E1758,'NI-Soc_SP'!$C:$AN,MID(U$1,1,2),FALSE)</f>
        <v>0</v>
      </c>
      <c r="V1758" s="55">
        <f>VLOOKUP($E1758,'NI-Soc_SP'!$C:$AN,MID(V$1,1,2),FALSE)</f>
        <v>0</v>
      </c>
      <c r="W1758" s="55">
        <f>VLOOKUP($E1758,'NI-Soc_SP'!$C:$AN,MID(W$1,1,2),FALSE)</f>
        <v>0</v>
      </c>
      <c r="X1758" s="55">
        <f>VLOOKUP($E1758,'NI-Soc_SP'!$C:$AN,MID(X$1,1,2),FALSE)</f>
        <v>0</v>
      </c>
      <c r="Y1758" s="55">
        <f>VLOOKUP($E1758,'NI-Soc_SP'!$C:$AN,MID(Y$1,1,2),FALSE)</f>
        <v>0</v>
      </c>
      <c r="Z1758" s="55">
        <f>VLOOKUP($E1758,'NI-Soc_SP'!$C:$AN,MID(Z$1,1,2),FALSE)</f>
        <v>0</v>
      </c>
      <c r="AA1758" s="55">
        <f>VLOOKUP($E1758,'NI-Soc_SP'!$C:$AN,MID(AA$1,1,2),FALSE)</f>
        <v>0</v>
      </c>
      <c r="AB1758" s="55">
        <f>VLOOKUP($E1758,'NI-Soc_SP'!$C:$AN,MID(AB$1,1,2),FALSE)</f>
        <v>0</v>
      </c>
      <c r="AC1758" s="55">
        <f>VLOOKUP($E1758,'NI-Soc_SP'!$C:$AN,MID(AC$1,1,2),FALSE)</f>
        <v>0</v>
      </c>
      <c r="AD1758" s="55">
        <f>VLOOKUP($E1758,'NI-Soc_SP'!$C:$AN,MID(AD$1,1,2),FALSE)</f>
        <v>0</v>
      </c>
      <c r="AE1758" s="55">
        <f>VLOOKUP($E1758,'NI-Soc_SP'!$C:$AN,MID(AE$1,1,2),FALSE)</f>
        <v>0</v>
      </c>
      <c r="AF1758" s="55">
        <f>VLOOKUP($E1758,'NI-Soc_SP'!$C:$AN,MID(AF$1,1,2),FALSE)</f>
        <v>0</v>
      </c>
      <c r="AG1758" s="55">
        <f>VLOOKUP($E1758,'NI-Soc_SP'!$C:$AN,MID(AG$1,1,2),FALSE)</f>
        <v>0</v>
      </c>
      <c r="AH1758" s="55">
        <f>VLOOKUP($E1758,'NI-Soc_SP'!$C:$AN,MID(AH$1,1,2),FALSE)</f>
        <v>0</v>
      </c>
      <c r="AI1758" s="55">
        <f>VLOOKUP($E1758,'NI-Soc_SP'!$C:$AN,MID(AI$1,1,2),FALSE)</f>
        <v>0</v>
      </c>
      <c r="AJ1758" s="55">
        <f>VLOOKUP($E1758,'NI-Soc_SP'!$C:$AN,MID(AJ$1,1,2),FALSE)</f>
        <v>0</v>
      </c>
      <c r="AK1758" s="55">
        <f>VLOOKUP($E1758,'NI-Soc_SP'!$C:$AN,MID(AK$1,1,2),FALSE)</f>
        <v>0</v>
      </c>
      <c r="AL1758" s="55">
        <f>VLOOKUP($E1758,'NI-Soc_SP'!$C:$AN,MID(AL$1,1,2),FALSE)</f>
        <v>0</v>
      </c>
      <c r="AM1758" s="56">
        <f>VLOOKUP($E1758,'NI-Soc_SP'!$C:$AN,MID(AM$1,1,2),FALSE)</f>
        <v>0</v>
      </c>
      <c r="AN1758" s="30" t="str">
        <f t="shared" si="27"/>
        <v>20101010010040</v>
      </c>
    </row>
    <row r="1759" spans="3:40" x14ac:dyDescent="0.25">
      <c r="C1759" s="40"/>
      <c r="D1759" s="121" t="s">
        <v>1156</v>
      </c>
      <c r="E1759" s="121" t="s">
        <v>1157</v>
      </c>
      <c r="F1759" s="122" t="s">
        <v>2758</v>
      </c>
      <c r="G1759" s="69"/>
      <c r="H1759" s="52"/>
      <c r="I1759" s="52" t="s">
        <v>1144</v>
      </c>
      <c r="J1759" s="52"/>
      <c r="K1759" s="69" t="s">
        <v>79</v>
      </c>
      <c r="L1759" s="52"/>
      <c r="M1759" s="52"/>
      <c r="N1759" s="52"/>
      <c r="O1759" s="61" t="s">
        <v>1145</v>
      </c>
      <c r="P1759" s="70" t="s">
        <v>1158</v>
      </c>
      <c r="Q1759" s="55">
        <f>VLOOKUP(E1759,'NI-Soc_SP'!$C:$AN,12,FALSE)</f>
        <v>0</v>
      </c>
      <c r="R1759" s="55">
        <f>VLOOKUP(E1759,'NI-Soc_SP'!$C:$AN,13,FALSE)</f>
        <v>0</v>
      </c>
      <c r="S1759" s="55"/>
      <c r="T1759" s="55"/>
      <c r="U1759" s="55">
        <f>VLOOKUP($E1759,'NI-Soc_SP'!$C:$AN,MID(U$1,1,2),FALSE)</f>
        <v>0</v>
      </c>
      <c r="V1759" s="55">
        <f>VLOOKUP($E1759,'NI-Soc_SP'!$C:$AN,MID(V$1,1,2),FALSE)</f>
        <v>0</v>
      </c>
      <c r="W1759" s="55">
        <f>VLOOKUP($E1759,'NI-Soc_SP'!$C:$AN,MID(W$1,1,2),FALSE)</f>
        <v>0</v>
      </c>
      <c r="X1759" s="55">
        <f>VLOOKUP($E1759,'NI-Soc_SP'!$C:$AN,MID(X$1,1,2),FALSE)</f>
        <v>0</v>
      </c>
      <c r="Y1759" s="55">
        <f>VLOOKUP($E1759,'NI-Soc_SP'!$C:$AN,MID(Y$1,1,2),FALSE)</f>
        <v>0</v>
      </c>
      <c r="Z1759" s="55">
        <f>VLOOKUP($E1759,'NI-Soc_SP'!$C:$AN,MID(Z$1,1,2),FALSE)</f>
        <v>0</v>
      </c>
      <c r="AA1759" s="55">
        <f>VLOOKUP($E1759,'NI-Soc_SP'!$C:$AN,MID(AA$1,1,2),FALSE)</f>
        <v>0</v>
      </c>
      <c r="AB1759" s="55">
        <f>VLOOKUP($E1759,'NI-Soc_SP'!$C:$AN,MID(AB$1,1,2),FALSE)</f>
        <v>0</v>
      </c>
      <c r="AC1759" s="55">
        <f>VLOOKUP($E1759,'NI-Soc_SP'!$C:$AN,MID(AC$1,1,2),FALSE)</f>
        <v>0</v>
      </c>
      <c r="AD1759" s="55">
        <f>VLOOKUP($E1759,'NI-Soc_SP'!$C:$AN,MID(AD$1,1,2),FALSE)</f>
        <v>0</v>
      </c>
      <c r="AE1759" s="55">
        <f>VLOOKUP($E1759,'NI-Soc_SP'!$C:$AN,MID(AE$1,1,2),FALSE)</f>
        <v>0</v>
      </c>
      <c r="AF1759" s="55">
        <f>VLOOKUP($E1759,'NI-Soc_SP'!$C:$AN,MID(AF$1,1,2),FALSE)</f>
        <v>0</v>
      </c>
      <c r="AG1759" s="55">
        <f>VLOOKUP($E1759,'NI-Soc_SP'!$C:$AN,MID(AG$1,1,2),FALSE)</f>
        <v>0</v>
      </c>
      <c r="AH1759" s="55">
        <f>VLOOKUP($E1759,'NI-Soc_SP'!$C:$AN,MID(AH$1,1,2),FALSE)</f>
        <v>0</v>
      </c>
      <c r="AI1759" s="55">
        <f>VLOOKUP($E1759,'NI-Soc_SP'!$C:$AN,MID(AI$1,1,2),FALSE)</f>
        <v>0</v>
      </c>
      <c r="AJ1759" s="55">
        <f>VLOOKUP($E1759,'NI-Soc_SP'!$C:$AN,MID(AJ$1,1,2),FALSE)</f>
        <v>0</v>
      </c>
      <c r="AK1759" s="55">
        <f>VLOOKUP($E1759,'NI-Soc_SP'!$C:$AN,MID(AK$1,1,2),FALSE)</f>
        <v>0</v>
      </c>
      <c r="AL1759" s="55">
        <f>VLOOKUP($E1759,'NI-Soc_SP'!$C:$AN,MID(AL$1,1,2),FALSE)</f>
        <v>0</v>
      </c>
      <c r="AM1759" s="56">
        <f>VLOOKUP($E1759,'NI-Soc_SP'!$C:$AN,MID(AM$1,1,2),FALSE)</f>
        <v>0</v>
      </c>
      <c r="AN1759" s="30" t="str">
        <f t="shared" si="27"/>
        <v>20101010010050</v>
      </c>
    </row>
    <row r="1760" spans="3:40" x14ac:dyDescent="0.25">
      <c r="C1760" s="40"/>
      <c r="D1760" s="121" t="s">
        <v>1159</v>
      </c>
      <c r="E1760" s="121" t="s">
        <v>1160</v>
      </c>
      <c r="F1760" s="122" t="s">
        <v>2758</v>
      </c>
      <c r="G1760" s="69"/>
      <c r="H1760" s="52"/>
      <c r="I1760" s="52" t="s">
        <v>1144</v>
      </c>
      <c r="J1760" s="52"/>
      <c r="K1760" s="69" t="s">
        <v>79</v>
      </c>
      <c r="L1760" s="52"/>
      <c r="M1760" s="52"/>
      <c r="N1760" s="52"/>
      <c r="O1760" s="61" t="s">
        <v>1145</v>
      </c>
      <c r="P1760" s="70" t="s">
        <v>1161</v>
      </c>
      <c r="Q1760" s="55">
        <f>VLOOKUP(E1760,'NI-Soc_SP'!$C:$AN,12,FALSE)</f>
        <v>0</v>
      </c>
      <c r="R1760" s="55">
        <f>VLOOKUP(E1760,'NI-Soc_SP'!$C:$AN,13,FALSE)</f>
        <v>0</v>
      </c>
      <c r="S1760" s="55"/>
      <c r="T1760" s="55"/>
      <c r="U1760" s="55">
        <f>VLOOKUP($E1760,'NI-Soc_SP'!$C:$AN,MID(U$1,1,2),FALSE)</f>
        <v>0</v>
      </c>
      <c r="V1760" s="55">
        <f>VLOOKUP($E1760,'NI-Soc_SP'!$C:$AN,MID(V$1,1,2),FALSE)</f>
        <v>0</v>
      </c>
      <c r="W1760" s="55">
        <f>VLOOKUP($E1760,'NI-Soc_SP'!$C:$AN,MID(W$1,1,2),FALSE)</f>
        <v>0</v>
      </c>
      <c r="X1760" s="55">
        <f>VLOOKUP($E1760,'NI-Soc_SP'!$C:$AN,MID(X$1,1,2),FALSE)</f>
        <v>0</v>
      </c>
      <c r="Y1760" s="55">
        <f>VLOOKUP($E1760,'NI-Soc_SP'!$C:$AN,MID(Y$1,1,2),FALSE)</f>
        <v>0</v>
      </c>
      <c r="Z1760" s="55">
        <f>VLOOKUP($E1760,'NI-Soc_SP'!$C:$AN,MID(Z$1,1,2),FALSE)</f>
        <v>0</v>
      </c>
      <c r="AA1760" s="55">
        <f>VLOOKUP($E1760,'NI-Soc_SP'!$C:$AN,MID(AA$1,1,2),FALSE)</f>
        <v>0</v>
      </c>
      <c r="AB1760" s="55">
        <f>VLOOKUP($E1760,'NI-Soc_SP'!$C:$AN,MID(AB$1,1,2),FALSE)</f>
        <v>0</v>
      </c>
      <c r="AC1760" s="55">
        <f>VLOOKUP($E1760,'NI-Soc_SP'!$C:$AN,MID(AC$1,1,2),FALSE)</f>
        <v>0</v>
      </c>
      <c r="AD1760" s="55">
        <f>VLOOKUP($E1760,'NI-Soc_SP'!$C:$AN,MID(AD$1,1,2),FALSE)</f>
        <v>0</v>
      </c>
      <c r="AE1760" s="55">
        <f>VLOOKUP($E1760,'NI-Soc_SP'!$C:$AN,MID(AE$1,1,2),FALSE)</f>
        <v>0</v>
      </c>
      <c r="AF1760" s="55">
        <f>VLOOKUP($E1760,'NI-Soc_SP'!$C:$AN,MID(AF$1,1,2),FALSE)</f>
        <v>0</v>
      </c>
      <c r="AG1760" s="55">
        <f>VLOOKUP($E1760,'NI-Soc_SP'!$C:$AN,MID(AG$1,1,2),FALSE)</f>
        <v>0</v>
      </c>
      <c r="AH1760" s="55">
        <f>VLOOKUP($E1760,'NI-Soc_SP'!$C:$AN,MID(AH$1,1,2),FALSE)</f>
        <v>0</v>
      </c>
      <c r="AI1760" s="55">
        <f>VLOOKUP($E1760,'NI-Soc_SP'!$C:$AN,MID(AI$1,1,2),FALSE)</f>
        <v>0</v>
      </c>
      <c r="AJ1760" s="55">
        <f>VLOOKUP($E1760,'NI-Soc_SP'!$C:$AN,MID(AJ$1,1,2),FALSE)</f>
        <v>0</v>
      </c>
      <c r="AK1760" s="55">
        <f>VLOOKUP($E1760,'NI-Soc_SP'!$C:$AN,MID(AK$1,1,2),FALSE)</f>
        <v>0</v>
      </c>
      <c r="AL1760" s="55">
        <f>VLOOKUP($E1760,'NI-Soc_SP'!$C:$AN,MID(AL$1,1,2),FALSE)</f>
        <v>0</v>
      </c>
      <c r="AM1760" s="56">
        <f>VLOOKUP($E1760,'NI-Soc_SP'!$C:$AN,MID(AM$1,1,2),FALSE)</f>
        <v>0</v>
      </c>
      <c r="AN1760" s="30" t="str">
        <f t="shared" si="27"/>
        <v>20101010010060</v>
      </c>
    </row>
    <row r="1761" spans="3:40" x14ac:dyDescent="0.25">
      <c r="C1761" s="40"/>
      <c r="D1761" s="121" t="s">
        <v>1162</v>
      </c>
      <c r="E1761" s="121" t="s">
        <v>1163</v>
      </c>
      <c r="F1761" s="122" t="s">
        <v>2758</v>
      </c>
      <c r="G1761" s="69"/>
      <c r="H1761" s="52"/>
      <c r="I1761" s="52" t="s">
        <v>1144</v>
      </c>
      <c r="J1761" s="52"/>
      <c r="K1761" s="69" t="s">
        <v>79</v>
      </c>
      <c r="L1761" s="52"/>
      <c r="M1761" s="52"/>
      <c r="N1761" s="52"/>
      <c r="O1761" s="61" t="s">
        <v>1145</v>
      </c>
      <c r="P1761" s="70" t="s">
        <v>1164</v>
      </c>
      <c r="Q1761" s="55">
        <f>VLOOKUP(E1761,'NI-Soc_SP'!$C:$AN,12,FALSE)</f>
        <v>0</v>
      </c>
      <c r="R1761" s="55">
        <f>VLOOKUP(E1761,'NI-Soc_SP'!$C:$AN,13,FALSE)</f>
        <v>0</v>
      </c>
      <c r="S1761" s="55"/>
      <c r="T1761" s="55"/>
      <c r="U1761" s="55">
        <f>VLOOKUP($E1761,'NI-Soc_SP'!$C:$AN,MID(U$1,1,2),FALSE)</f>
        <v>0</v>
      </c>
      <c r="V1761" s="55">
        <f>VLOOKUP($E1761,'NI-Soc_SP'!$C:$AN,MID(V$1,1,2),FALSE)</f>
        <v>0</v>
      </c>
      <c r="W1761" s="55">
        <f>VLOOKUP($E1761,'NI-Soc_SP'!$C:$AN,MID(W$1,1,2),FALSE)</f>
        <v>0</v>
      </c>
      <c r="X1761" s="55">
        <f>VLOOKUP($E1761,'NI-Soc_SP'!$C:$AN,MID(X$1,1,2),FALSE)</f>
        <v>0</v>
      </c>
      <c r="Y1761" s="55">
        <f>VLOOKUP($E1761,'NI-Soc_SP'!$C:$AN,MID(Y$1,1,2),FALSE)</f>
        <v>0</v>
      </c>
      <c r="Z1761" s="55">
        <f>VLOOKUP($E1761,'NI-Soc_SP'!$C:$AN,MID(Z$1,1,2),FALSE)</f>
        <v>0</v>
      </c>
      <c r="AA1761" s="55">
        <f>VLOOKUP($E1761,'NI-Soc_SP'!$C:$AN,MID(AA$1,1,2),FALSE)</f>
        <v>0</v>
      </c>
      <c r="AB1761" s="55">
        <f>VLOOKUP($E1761,'NI-Soc_SP'!$C:$AN,MID(AB$1,1,2),FALSE)</f>
        <v>0</v>
      </c>
      <c r="AC1761" s="55">
        <f>VLOOKUP($E1761,'NI-Soc_SP'!$C:$AN,MID(AC$1,1,2),FALSE)</f>
        <v>0</v>
      </c>
      <c r="AD1761" s="55">
        <f>VLOOKUP($E1761,'NI-Soc_SP'!$C:$AN,MID(AD$1,1,2),FALSE)</f>
        <v>0</v>
      </c>
      <c r="AE1761" s="55">
        <f>VLOOKUP($E1761,'NI-Soc_SP'!$C:$AN,MID(AE$1,1,2),FALSE)</f>
        <v>0</v>
      </c>
      <c r="AF1761" s="55">
        <f>VLOOKUP($E1761,'NI-Soc_SP'!$C:$AN,MID(AF$1,1,2),FALSE)</f>
        <v>0</v>
      </c>
      <c r="AG1761" s="55">
        <f>VLOOKUP($E1761,'NI-Soc_SP'!$C:$AN,MID(AG$1,1,2),FALSE)</f>
        <v>0</v>
      </c>
      <c r="AH1761" s="55">
        <f>VLOOKUP($E1761,'NI-Soc_SP'!$C:$AN,MID(AH$1,1,2),FALSE)</f>
        <v>0</v>
      </c>
      <c r="AI1761" s="55">
        <f>VLOOKUP($E1761,'NI-Soc_SP'!$C:$AN,MID(AI$1,1,2),FALSE)</f>
        <v>0</v>
      </c>
      <c r="AJ1761" s="55">
        <f>VLOOKUP($E1761,'NI-Soc_SP'!$C:$AN,MID(AJ$1,1,2),FALSE)</f>
        <v>0</v>
      </c>
      <c r="AK1761" s="55">
        <f>VLOOKUP($E1761,'NI-Soc_SP'!$C:$AN,MID(AK$1,1,2),FALSE)</f>
        <v>0</v>
      </c>
      <c r="AL1761" s="55">
        <f>VLOOKUP($E1761,'NI-Soc_SP'!$C:$AN,MID(AL$1,1,2),FALSE)</f>
        <v>0</v>
      </c>
      <c r="AM1761" s="56">
        <f>VLOOKUP($E1761,'NI-Soc_SP'!$C:$AN,MID(AM$1,1,2),FALSE)</f>
        <v>0</v>
      </c>
      <c r="AN1761" s="30" t="str">
        <f t="shared" si="27"/>
        <v>20101010010070</v>
      </c>
    </row>
    <row r="1762" spans="3:40" x14ac:dyDescent="0.25">
      <c r="C1762" s="40"/>
      <c r="D1762" s="121" t="s">
        <v>1165</v>
      </c>
      <c r="E1762" s="121" t="s">
        <v>1166</v>
      </c>
      <c r="F1762" s="122" t="s">
        <v>2758</v>
      </c>
      <c r="G1762" s="69"/>
      <c r="H1762" s="52"/>
      <c r="I1762" s="52" t="s">
        <v>1144</v>
      </c>
      <c r="J1762" s="52"/>
      <c r="K1762" s="69" t="s">
        <v>79</v>
      </c>
      <c r="L1762" s="52"/>
      <c r="M1762" s="52"/>
      <c r="N1762" s="52"/>
      <c r="O1762" s="61" t="s">
        <v>1145</v>
      </c>
      <c r="P1762" s="70" t="s">
        <v>1167</v>
      </c>
      <c r="Q1762" s="55">
        <f>VLOOKUP(E1762,'NI-Soc_SP'!$C:$AN,12,FALSE)</f>
        <v>0</v>
      </c>
      <c r="R1762" s="55">
        <f>VLOOKUP(E1762,'NI-Soc_SP'!$C:$AN,13,FALSE)</f>
        <v>0</v>
      </c>
      <c r="S1762" s="55"/>
      <c r="T1762" s="55"/>
      <c r="U1762" s="55">
        <f>VLOOKUP($E1762,'NI-Soc_SP'!$C:$AN,MID(U$1,1,2),FALSE)</f>
        <v>0</v>
      </c>
      <c r="V1762" s="55">
        <f>VLOOKUP($E1762,'NI-Soc_SP'!$C:$AN,MID(V$1,1,2),FALSE)</f>
        <v>0</v>
      </c>
      <c r="W1762" s="55">
        <f>VLOOKUP($E1762,'NI-Soc_SP'!$C:$AN,MID(W$1,1,2),FALSE)</f>
        <v>0</v>
      </c>
      <c r="X1762" s="55">
        <f>VLOOKUP($E1762,'NI-Soc_SP'!$C:$AN,MID(X$1,1,2),FALSE)</f>
        <v>0</v>
      </c>
      <c r="Y1762" s="55">
        <f>VLOOKUP($E1762,'NI-Soc_SP'!$C:$AN,MID(Y$1,1,2),FALSE)</f>
        <v>0</v>
      </c>
      <c r="Z1762" s="55">
        <f>VLOOKUP($E1762,'NI-Soc_SP'!$C:$AN,MID(Z$1,1,2),FALSE)</f>
        <v>0</v>
      </c>
      <c r="AA1762" s="55">
        <f>VLOOKUP($E1762,'NI-Soc_SP'!$C:$AN,MID(AA$1,1,2),FALSE)</f>
        <v>0</v>
      </c>
      <c r="AB1762" s="55">
        <f>VLOOKUP($E1762,'NI-Soc_SP'!$C:$AN,MID(AB$1,1,2),FALSE)</f>
        <v>0</v>
      </c>
      <c r="AC1762" s="55">
        <f>VLOOKUP($E1762,'NI-Soc_SP'!$C:$AN,MID(AC$1,1,2),FALSE)</f>
        <v>0</v>
      </c>
      <c r="AD1762" s="55">
        <f>VLOOKUP($E1762,'NI-Soc_SP'!$C:$AN,MID(AD$1,1,2),FALSE)</f>
        <v>0</v>
      </c>
      <c r="AE1762" s="55">
        <f>VLOOKUP($E1762,'NI-Soc_SP'!$C:$AN,MID(AE$1,1,2),FALSE)</f>
        <v>0</v>
      </c>
      <c r="AF1762" s="55">
        <f>VLOOKUP($E1762,'NI-Soc_SP'!$C:$AN,MID(AF$1,1,2),FALSE)</f>
        <v>0</v>
      </c>
      <c r="AG1762" s="55">
        <f>VLOOKUP($E1762,'NI-Soc_SP'!$C:$AN,MID(AG$1,1,2),FALSE)</f>
        <v>0</v>
      </c>
      <c r="AH1762" s="55">
        <f>VLOOKUP($E1762,'NI-Soc_SP'!$C:$AN,MID(AH$1,1,2),FALSE)</f>
        <v>0</v>
      </c>
      <c r="AI1762" s="55">
        <f>VLOOKUP($E1762,'NI-Soc_SP'!$C:$AN,MID(AI$1,1,2),FALSE)</f>
        <v>0</v>
      </c>
      <c r="AJ1762" s="55">
        <f>VLOOKUP($E1762,'NI-Soc_SP'!$C:$AN,MID(AJ$1,1,2),FALSE)</f>
        <v>0</v>
      </c>
      <c r="AK1762" s="55">
        <f>VLOOKUP($E1762,'NI-Soc_SP'!$C:$AN,MID(AK$1,1,2),FALSE)</f>
        <v>0</v>
      </c>
      <c r="AL1762" s="55">
        <f>VLOOKUP($E1762,'NI-Soc_SP'!$C:$AN,MID(AL$1,1,2),FALSE)</f>
        <v>0</v>
      </c>
      <c r="AM1762" s="56">
        <f>VLOOKUP($E1762,'NI-Soc_SP'!$C:$AN,MID(AM$1,1,2),FALSE)</f>
        <v>0</v>
      </c>
      <c r="AN1762" s="30" t="str">
        <f t="shared" si="27"/>
        <v>20101010010080</v>
      </c>
    </row>
    <row r="1763" spans="3:40" x14ac:dyDescent="0.25">
      <c r="C1763" s="40"/>
      <c r="D1763" s="121" t="s">
        <v>1168</v>
      </c>
      <c r="E1763" s="121" t="s">
        <v>1169</v>
      </c>
      <c r="F1763" s="122" t="s">
        <v>2758</v>
      </c>
      <c r="G1763" s="69"/>
      <c r="H1763" s="52"/>
      <c r="I1763" s="52" t="s">
        <v>1144</v>
      </c>
      <c r="J1763" s="52"/>
      <c r="K1763" s="69" t="s">
        <v>79</v>
      </c>
      <c r="L1763" s="52"/>
      <c r="M1763" s="52"/>
      <c r="N1763" s="52"/>
      <c r="O1763" s="61" t="s">
        <v>1145</v>
      </c>
      <c r="P1763" s="70" t="s">
        <v>1170</v>
      </c>
      <c r="Q1763" s="55">
        <f>VLOOKUP(E1763,'NI-Soc_SP'!$C:$AN,12,FALSE)</f>
        <v>0</v>
      </c>
      <c r="R1763" s="55">
        <f>VLOOKUP(E1763,'NI-Soc_SP'!$C:$AN,13,FALSE)</f>
        <v>0</v>
      </c>
      <c r="S1763" s="55"/>
      <c r="T1763" s="55"/>
      <c r="U1763" s="55">
        <f>VLOOKUP($E1763,'NI-Soc_SP'!$C:$AN,MID(U$1,1,2),FALSE)</f>
        <v>0</v>
      </c>
      <c r="V1763" s="55">
        <f>VLOOKUP($E1763,'NI-Soc_SP'!$C:$AN,MID(V$1,1,2),FALSE)</f>
        <v>0</v>
      </c>
      <c r="W1763" s="55">
        <f>VLOOKUP($E1763,'NI-Soc_SP'!$C:$AN,MID(W$1,1,2),FALSE)</f>
        <v>0</v>
      </c>
      <c r="X1763" s="55">
        <f>VLOOKUP($E1763,'NI-Soc_SP'!$C:$AN,MID(X$1,1,2),FALSE)</f>
        <v>0</v>
      </c>
      <c r="Y1763" s="55">
        <f>VLOOKUP($E1763,'NI-Soc_SP'!$C:$AN,MID(Y$1,1,2),FALSE)</f>
        <v>0</v>
      </c>
      <c r="Z1763" s="55">
        <f>VLOOKUP($E1763,'NI-Soc_SP'!$C:$AN,MID(Z$1,1,2),FALSE)</f>
        <v>0</v>
      </c>
      <c r="AA1763" s="55">
        <f>VLOOKUP($E1763,'NI-Soc_SP'!$C:$AN,MID(AA$1,1,2),FALSE)</f>
        <v>0</v>
      </c>
      <c r="AB1763" s="55">
        <f>VLOOKUP($E1763,'NI-Soc_SP'!$C:$AN,MID(AB$1,1,2),FALSE)</f>
        <v>0</v>
      </c>
      <c r="AC1763" s="55">
        <f>VLOOKUP($E1763,'NI-Soc_SP'!$C:$AN,MID(AC$1,1,2),FALSE)</f>
        <v>0</v>
      </c>
      <c r="AD1763" s="55">
        <f>VLOOKUP($E1763,'NI-Soc_SP'!$C:$AN,MID(AD$1,1,2),FALSE)</f>
        <v>0</v>
      </c>
      <c r="AE1763" s="55">
        <f>VLOOKUP($E1763,'NI-Soc_SP'!$C:$AN,MID(AE$1,1,2),FALSE)</f>
        <v>0</v>
      </c>
      <c r="AF1763" s="55">
        <f>VLOOKUP($E1763,'NI-Soc_SP'!$C:$AN,MID(AF$1,1,2),FALSE)</f>
        <v>0</v>
      </c>
      <c r="AG1763" s="55">
        <f>VLOOKUP($E1763,'NI-Soc_SP'!$C:$AN,MID(AG$1,1,2),FALSE)</f>
        <v>0</v>
      </c>
      <c r="AH1763" s="55">
        <f>VLOOKUP($E1763,'NI-Soc_SP'!$C:$AN,MID(AH$1,1,2),FALSE)</f>
        <v>0</v>
      </c>
      <c r="AI1763" s="55">
        <f>VLOOKUP($E1763,'NI-Soc_SP'!$C:$AN,MID(AI$1,1,2),FALSE)</f>
        <v>0</v>
      </c>
      <c r="AJ1763" s="55">
        <f>VLOOKUP($E1763,'NI-Soc_SP'!$C:$AN,MID(AJ$1,1,2),FALSE)</f>
        <v>0</v>
      </c>
      <c r="AK1763" s="55">
        <f>VLOOKUP($E1763,'NI-Soc_SP'!$C:$AN,MID(AK$1,1,2),FALSE)</f>
        <v>0</v>
      </c>
      <c r="AL1763" s="55">
        <f>VLOOKUP($E1763,'NI-Soc_SP'!$C:$AN,MID(AL$1,1,2),FALSE)</f>
        <v>0</v>
      </c>
      <c r="AM1763" s="56">
        <f>VLOOKUP($E1763,'NI-Soc_SP'!$C:$AN,MID(AM$1,1,2),FALSE)</f>
        <v>0</v>
      </c>
      <c r="AN1763" s="30" t="str">
        <f t="shared" si="27"/>
        <v>20101010010090</v>
      </c>
    </row>
    <row r="1764" spans="3:40" x14ac:dyDescent="0.25">
      <c r="C1764" s="40"/>
      <c r="D1764" s="121" t="s">
        <v>1171</v>
      </c>
      <c r="E1764" s="121" t="s">
        <v>1172</v>
      </c>
      <c r="F1764" s="122" t="s">
        <v>2758</v>
      </c>
      <c r="G1764" s="69"/>
      <c r="H1764" s="52"/>
      <c r="I1764" s="52" t="s">
        <v>1144</v>
      </c>
      <c r="J1764" s="52"/>
      <c r="K1764" s="69" t="s">
        <v>79</v>
      </c>
      <c r="L1764" s="52"/>
      <c r="M1764" s="52"/>
      <c r="N1764" s="52"/>
      <c r="O1764" s="61" t="s">
        <v>1145</v>
      </c>
      <c r="P1764" s="71" t="s">
        <v>1173</v>
      </c>
      <c r="Q1764" s="55">
        <f>VLOOKUP(E1764,'NI-Soc_SP'!$C:$AN,12,FALSE)</f>
        <v>0</v>
      </c>
      <c r="R1764" s="55">
        <f>VLOOKUP(E1764,'NI-Soc_SP'!$C:$AN,13,FALSE)</f>
        <v>0</v>
      </c>
      <c r="S1764" s="55"/>
      <c r="T1764" s="55"/>
      <c r="U1764" s="55">
        <f>VLOOKUP($E1764,'NI-Soc_SP'!$C:$AN,MID(U$1,1,2),FALSE)</f>
        <v>0</v>
      </c>
      <c r="V1764" s="55">
        <f>VLOOKUP($E1764,'NI-Soc_SP'!$C:$AN,MID(V$1,1,2),FALSE)</f>
        <v>0</v>
      </c>
      <c r="W1764" s="55">
        <f>VLOOKUP($E1764,'NI-Soc_SP'!$C:$AN,MID(W$1,1,2),FALSE)</f>
        <v>0</v>
      </c>
      <c r="X1764" s="55">
        <f>VLOOKUP($E1764,'NI-Soc_SP'!$C:$AN,MID(X$1,1,2),FALSE)</f>
        <v>0</v>
      </c>
      <c r="Y1764" s="55">
        <f>VLOOKUP($E1764,'NI-Soc_SP'!$C:$AN,MID(Y$1,1,2),FALSE)</f>
        <v>0</v>
      </c>
      <c r="Z1764" s="55">
        <f>VLOOKUP($E1764,'NI-Soc_SP'!$C:$AN,MID(Z$1,1,2),FALSE)</f>
        <v>0</v>
      </c>
      <c r="AA1764" s="55">
        <f>VLOOKUP($E1764,'NI-Soc_SP'!$C:$AN,MID(AA$1,1,2),FALSE)</f>
        <v>0</v>
      </c>
      <c r="AB1764" s="55">
        <f>VLOOKUP($E1764,'NI-Soc_SP'!$C:$AN,MID(AB$1,1,2),FALSE)</f>
        <v>0</v>
      </c>
      <c r="AC1764" s="55">
        <f>VLOOKUP($E1764,'NI-Soc_SP'!$C:$AN,MID(AC$1,1,2),FALSE)</f>
        <v>0</v>
      </c>
      <c r="AD1764" s="55">
        <f>VLOOKUP($E1764,'NI-Soc_SP'!$C:$AN,MID(AD$1,1,2),FALSE)</f>
        <v>0</v>
      </c>
      <c r="AE1764" s="55">
        <f>VLOOKUP($E1764,'NI-Soc_SP'!$C:$AN,MID(AE$1,1,2),FALSE)</f>
        <v>0</v>
      </c>
      <c r="AF1764" s="55">
        <f>VLOOKUP($E1764,'NI-Soc_SP'!$C:$AN,MID(AF$1,1,2),FALSE)</f>
        <v>0</v>
      </c>
      <c r="AG1764" s="55">
        <f>VLOOKUP($E1764,'NI-Soc_SP'!$C:$AN,MID(AG$1,1,2),FALSE)</f>
        <v>0</v>
      </c>
      <c r="AH1764" s="55">
        <f>VLOOKUP($E1764,'NI-Soc_SP'!$C:$AN,MID(AH$1,1,2),FALSE)</f>
        <v>0</v>
      </c>
      <c r="AI1764" s="55">
        <f>VLOOKUP($E1764,'NI-Soc_SP'!$C:$AN,MID(AI$1,1,2),FALSE)</f>
        <v>0</v>
      </c>
      <c r="AJ1764" s="55">
        <f>VLOOKUP($E1764,'NI-Soc_SP'!$C:$AN,MID(AJ$1,1,2),FALSE)</f>
        <v>0</v>
      </c>
      <c r="AK1764" s="55">
        <f>VLOOKUP($E1764,'NI-Soc_SP'!$C:$AN,MID(AK$1,1,2),FALSE)</f>
        <v>0</v>
      </c>
      <c r="AL1764" s="55">
        <f>VLOOKUP($E1764,'NI-Soc_SP'!$C:$AN,MID(AL$1,1,2),FALSE)</f>
        <v>0</v>
      </c>
      <c r="AM1764" s="56">
        <f>VLOOKUP($E1764,'NI-Soc_SP'!$C:$AN,MID(AM$1,1,2),FALSE)</f>
        <v>0</v>
      </c>
      <c r="AN1764" s="30" t="str">
        <f t="shared" si="27"/>
        <v>20101010010100</v>
      </c>
    </row>
    <row r="1765" spans="3:40" x14ac:dyDescent="0.25">
      <c r="C1765" s="40"/>
      <c r="D1765" s="121" t="s">
        <v>1174</v>
      </c>
      <c r="E1765" s="121" t="s">
        <v>1175</v>
      </c>
      <c r="F1765" s="122" t="s">
        <v>2758</v>
      </c>
      <c r="G1765" s="69"/>
      <c r="H1765" s="52"/>
      <c r="I1765" s="52" t="s">
        <v>1144</v>
      </c>
      <c r="J1765" s="52"/>
      <c r="K1765" s="69" t="s">
        <v>79</v>
      </c>
      <c r="L1765" s="52"/>
      <c r="M1765" s="52"/>
      <c r="N1765" s="52"/>
      <c r="O1765" s="61" t="s">
        <v>1145</v>
      </c>
      <c r="P1765" s="71" t="s">
        <v>1176</v>
      </c>
      <c r="Q1765" s="55">
        <f>VLOOKUP(E1765,'NI-Soc_SP'!$C:$AN,12,FALSE)</f>
        <v>0</v>
      </c>
      <c r="R1765" s="55">
        <f>VLOOKUP(E1765,'NI-Soc_SP'!$C:$AN,13,FALSE)</f>
        <v>0</v>
      </c>
      <c r="S1765" s="55"/>
      <c r="T1765" s="55"/>
      <c r="U1765" s="55">
        <f>VLOOKUP($E1765,'NI-Soc_SP'!$C:$AN,MID(U$1,1,2),FALSE)</f>
        <v>0</v>
      </c>
      <c r="V1765" s="55">
        <f>VLOOKUP($E1765,'NI-Soc_SP'!$C:$AN,MID(V$1,1,2),FALSE)</f>
        <v>0</v>
      </c>
      <c r="W1765" s="55">
        <f>VLOOKUP($E1765,'NI-Soc_SP'!$C:$AN,MID(W$1,1,2),FALSE)</f>
        <v>0</v>
      </c>
      <c r="X1765" s="55">
        <f>VLOOKUP($E1765,'NI-Soc_SP'!$C:$AN,MID(X$1,1,2),FALSE)</f>
        <v>0</v>
      </c>
      <c r="Y1765" s="55">
        <f>VLOOKUP($E1765,'NI-Soc_SP'!$C:$AN,MID(Y$1,1,2),FALSE)</f>
        <v>0</v>
      </c>
      <c r="Z1765" s="55">
        <f>VLOOKUP($E1765,'NI-Soc_SP'!$C:$AN,MID(Z$1,1,2),FALSE)</f>
        <v>0</v>
      </c>
      <c r="AA1765" s="55">
        <f>VLOOKUP($E1765,'NI-Soc_SP'!$C:$AN,MID(AA$1,1,2),FALSE)</f>
        <v>0</v>
      </c>
      <c r="AB1765" s="55">
        <f>VLOOKUP($E1765,'NI-Soc_SP'!$C:$AN,MID(AB$1,1,2),FALSE)</f>
        <v>0</v>
      </c>
      <c r="AC1765" s="55">
        <f>VLOOKUP($E1765,'NI-Soc_SP'!$C:$AN,MID(AC$1,1,2),FALSE)</f>
        <v>0</v>
      </c>
      <c r="AD1765" s="55">
        <f>VLOOKUP($E1765,'NI-Soc_SP'!$C:$AN,MID(AD$1,1,2),FALSE)</f>
        <v>0</v>
      </c>
      <c r="AE1765" s="55">
        <f>VLOOKUP($E1765,'NI-Soc_SP'!$C:$AN,MID(AE$1,1,2),FALSE)</f>
        <v>0</v>
      </c>
      <c r="AF1765" s="55">
        <f>VLOOKUP($E1765,'NI-Soc_SP'!$C:$AN,MID(AF$1,1,2),FALSE)</f>
        <v>0</v>
      </c>
      <c r="AG1765" s="55">
        <f>VLOOKUP($E1765,'NI-Soc_SP'!$C:$AN,MID(AG$1,1,2),FALSE)</f>
        <v>0</v>
      </c>
      <c r="AH1765" s="55">
        <f>VLOOKUP($E1765,'NI-Soc_SP'!$C:$AN,MID(AH$1,1,2),FALSE)</f>
        <v>0</v>
      </c>
      <c r="AI1765" s="55">
        <f>VLOOKUP($E1765,'NI-Soc_SP'!$C:$AN,MID(AI$1,1,2),FALSE)</f>
        <v>0</v>
      </c>
      <c r="AJ1765" s="55">
        <f>VLOOKUP($E1765,'NI-Soc_SP'!$C:$AN,MID(AJ$1,1,2),FALSE)</f>
        <v>0</v>
      </c>
      <c r="AK1765" s="55">
        <f>VLOOKUP($E1765,'NI-Soc_SP'!$C:$AN,MID(AK$1,1,2),FALSE)</f>
        <v>0</v>
      </c>
      <c r="AL1765" s="55">
        <f>VLOOKUP($E1765,'NI-Soc_SP'!$C:$AN,MID(AL$1,1,2),FALSE)</f>
        <v>0</v>
      </c>
      <c r="AM1765" s="56">
        <f>VLOOKUP($E1765,'NI-Soc_SP'!$C:$AN,MID(AM$1,1,2),FALSE)</f>
        <v>0</v>
      </c>
      <c r="AN1765" s="30" t="str">
        <f t="shared" si="27"/>
        <v>20101010010110</v>
      </c>
    </row>
    <row r="1766" spans="3:40" x14ac:dyDescent="0.25">
      <c r="C1766" s="40"/>
      <c r="D1766" s="121" t="s">
        <v>1177</v>
      </c>
      <c r="E1766" s="121" t="s">
        <v>1178</v>
      </c>
      <c r="F1766" s="122" t="s">
        <v>2758</v>
      </c>
      <c r="G1766" s="69"/>
      <c r="H1766" s="52"/>
      <c r="I1766" s="52" t="s">
        <v>1144</v>
      </c>
      <c r="J1766" s="52"/>
      <c r="K1766" s="69" t="s">
        <v>79</v>
      </c>
      <c r="L1766" s="52"/>
      <c r="M1766" s="52"/>
      <c r="N1766" s="52"/>
      <c r="O1766" s="61" t="s">
        <v>1145</v>
      </c>
      <c r="P1766" s="71" t="s">
        <v>1179</v>
      </c>
      <c r="Q1766" s="55">
        <f>VLOOKUP(E1766,'NI-Soc_SP'!$C:$AN,12,FALSE)</f>
        <v>0</v>
      </c>
      <c r="R1766" s="55">
        <f>VLOOKUP(E1766,'NI-Soc_SP'!$C:$AN,13,FALSE)</f>
        <v>0</v>
      </c>
      <c r="S1766" s="55"/>
      <c r="T1766" s="55"/>
      <c r="U1766" s="55">
        <f>VLOOKUP($E1766,'NI-Soc_SP'!$C:$AN,MID(U$1,1,2),FALSE)</f>
        <v>0</v>
      </c>
      <c r="V1766" s="55">
        <f>VLOOKUP($E1766,'NI-Soc_SP'!$C:$AN,MID(V$1,1,2),FALSE)</f>
        <v>0</v>
      </c>
      <c r="W1766" s="55">
        <f>VLOOKUP($E1766,'NI-Soc_SP'!$C:$AN,MID(W$1,1,2),FALSE)</f>
        <v>0</v>
      </c>
      <c r="X1766" s="55">
        <f>VLOOKUP($E1766,'NI-Soc_SP'!$C:$AN,MID(X$1,1,2),FALSE)</f>
        <v>0</v>
      </c>
      <c r="Y1766" s="55">
        <f>VLOOKUP($E1766,'NI-Soc_SP'!$C:$AN,MID(Y$1,1,2),FALSE)</f>
        <v>0</v>
      </c>
      <c r="Z1766" s="55">
        <f>VLOOKUP($E1766,'NI-Soc_SP'!$C:$AN,MID(Z$1,1,2),FALSE)</f>
        <v>0</v>
      </c>
      <c r="AA1766" s="55">
        <f>VLOOKUP($E1766,'NI-Soc_SP'!$C:$AN,MID(AA$1,1,2),FALSE)</f>
        <v>0</v>
      </c>
      <c r="AB1766" s="55">
        <f>VLOOKUP($E1766,'NI-Soc_SP'!$C:$AN,MID(AB$1,1,2),FALSE)</f>
        <v>0</v>
      </c>
      <c r="AC1766" s="55">
        <f>VLOOKUP($E1766,'NI-Soc_SP'!$C:$AN,MID(AC$1,1,2),FALSE)</f>
        <v>0</v>
      </c>
      <c r="AD1766" s="55">
        <f>VLOOKUP($E1766,'NI-Soc_SP'!$C:$AN,MID(AD$1,1,2),FALSE)</f>
        <v>0</v>
      </c>
      <c r="AE1766" s="55">
        <f>VLOOKUP($E1766,'NI-Soc_SP'!$C:$AN,MID(AE$1,1,2),FALSE)</f>
        <v>0</v>
      </c>
      <c r="AF1766" s="55">
        <f>VLOOKUP($E1766,'NI-Soc_SP'!$C:$AN,MID(AF$1,1,2),FALSE)</f>
        <v>0</v>
      </c>
      <c r="AG1766" s="55">
        <f>VLOOKUP($E1766,'NI-Soc_SP'!$C:$AN,MID(AG$1,1,2),FALSE)</f>
        <v>0</v>
      </c>
      <c r="AH1766" s="55">
        <f>VLOOKUP($E1766,'NI-Soc_SP'!$C:$AN,MID(AH$1,1,2),FALSE)</f>
        <v>0</v>
      </c>
      <c r="AI1766" s="55">
        <f>VLOOKUP($E1766,'NI-Soc_SP'!$C:$AN,MID(AI$1,1,2),FALSE)</f>
        <v>0</v>
      </c>
      <c r="AJ1766" s="55">
        <f>VLOOKUP($E1766,'NI-Soc_SP'!$C:$AN,MID(AJ$1,1,2),FALSE)</f>
        <v>0</v>
      </c>
      <c r="AK1766" s="55">
        <f>VLOOKUP($E1766,'NI-Soc_SP'!$C:$AN,MID(AK$1,1,2),FALSE)</f>
        <v>0</v>
      </c>
      <c r="AL1766" s="55">
        <f>VLOOKUP($E1766,'NI-Soc_SP'!$C:$AN,MID(AL$1,1,2),FALSE)</f>
        <v>0</v>
      </c>
      <c r="AM1766" s="56">
        <f>VLOOKUP($E1766,'NI-Soc_SP'!$C:$AN,MID(AM$1,1,2),FALSE)</f>
        <v>0</v>
      </c>
      <c r="AN1766" s="30" t="str">
        <f t="shared" si="27"/>
        <v>20101010010120</v>
      </c>
    </row>
    <row r="1767" spans="3:40" x14ac:dyDescent="0.25">
      <c r="C1767" s="40"/>
      <c r="D1767" s="121" t="s">
        <v>1180</v>
      </c>
      <c r="E1767" s="121" t="s">
        <v>1181</v>
      </c>
      <c r="F1767" s="122" t="s">
        <v>2758</v>
      </c>
      <c r="G1767" s="69"/>
      <c r="H1767" s="52"/>
      <c r="I1767" s="52" t="s">
        <v>1144</v>
      </c>
      <c r="J1767" s="52"/>
      <c r="K1767" s="69" t="s">
        <v>79</v>
      </c>
      <c r="L1767" s="52"/>
      <c r="M1767" s="52"/>
      <c r="N1767" s="52"/>
      <c r="O1767" s="61" t="s">
        <v>1145</v>
      </c>
      <c r="P1767" s="70" t="s">
        <v>1182</v>
      </c>
      <c r="Q1767" s="55">
        <f>VLOOKUP(E1767,'NI-Soc_SP'!$C:$AN,12,FALSE)</f>
        <v>0</v>
      </c>
      <c r="R1767" s="55">
        <f>VLOOKUP(E1767,'NI-Soc_SP'!$C:$AN,13,FALSE)</f>
        <v>0</v>
      </c>
      <c r="S1767" s="55"/>
      <c r="T1767" s="55"/>
      <c r="U1767" s="55">
        <f>VLOOKUP($E1767,'NI-Soc_SP'!$C:$AN,MID(U$1,1,2),FALSE)</f>
        <v>0</v>
      </c>
      <c r="V1767" s="55">
        <f>VLOOKUP($E1767,'NI-Soc_SP'!$C:$AN,MID(V$1,1,2),FALSE)</f>
        <v>0</v>
      </c>
      <c r="W1767" s="55">
        <f>VLOOKUP($E1767,'NI-Soc_SP'!$C:$AN,MID(W$1,1,2),FALSE)</f>
        <v>0</v>
      </c>
      <c r="X1767" s="55">
        <f>VLOOKUP($E1767,'NI-Soc_SP'!$C:$AN,MID(X$1,1,2),FALSE)</f>
        <v>0</v>
      </c>
      <c r="Y1767" s="55">
        <f>VLOOKUP($E1767,'NI-Soc_SP'!$C:$AN,MID(Y$1,1,2),FALSE)</f>
        <v>0</v>
      </c>
      <c r="Z1767" s="55">
        <f>VLOOKUP($E1767,'NI-Soc_SP'!$C:$AN,MID(Z$1,1,2),FALSE)</f>
        <v>0</v>
      </c>
      <c r="AA1767" s="55">
        <f>VLOOKUP($E1767,'NI-Soc_SP'!$C:$AN,MID(AA$1,1,2),FALSE)</f>
        <v>0</v>
      </c>
      <c r="AB1767" s="55">
        <f>VLOOKUP($E1767,'NI-Soc_SP'!$C:$AN,MID(AB$1,1,2),FALSE)</f>
        <v>0</v>
      </c>
      <c r="AC1767" s="55">
        <f>VLOOKUP($E1767,'NI-Soc_SP'!$C:$AN,MID(AC$1,1,2),FALSE)</f>
        <v>0</v>
      </c>
      <c r="AD1767" s="55">
        <f>VLOOKUP($E1767,'NI-Soc_SP'!$C:$AN,MID(AD$1,1,2),FALSE)</f>
        <v>0</v>
      </c>
      <c r="AE1767" s="55">
        <f>VLOOKUP($E1767,'NI-Soc_SP'!$C:$AN,MID(AE$1,1,2),FALSE)</f>
        <v>0</v>
      </c>
      <c r="AF1767" s="55">
        <f>VLOOKUP($E1767,'NI-Soc_SP'!$C:$AN,MID(AF$1,1,2),FALSE)</f>
        <v>0</v>
      </c>
      <c r="AG1767" s="55">
        <f>VLOOKUP($E1767,'NI-Soc_SP'!$C:$AN,MID(AG$1,1,2),FALSE)</f>
        <v>0</v>
      </c>
      <c r="AH1767" s="55">
        <f>VLOOKUP($E1767,'NI-Soc_SP'!$C:$AN,MID(AH$1,1,2),FALSE)</f>
        <v>0</v>
      </c>
      <c r="AI1767" s="55">
        <f>VLOOKUP($E1767,'NI-Soc_SP'!$C:$AN,MID(AI$1,1,2),FALSE)</f>
        <v>0</v>
      </c>
      <c r="AJ1767" s="55">
        <f>VLOOKUP($E1767,'NI-Soc_SP'!$C:$AN,MID(AJ$1,1,2),FALSE)</f>
        <v>0</v>
      </c>
      <c r="AK1767" s="55">
        <f>VLOOKUP($E1767,'NI-Soc_SP'!$C:$AN,MID(AK$1,1,2),FALSE)</f>
        <v>0</v>
      </c>
      <c r="AL1767" s="55">
        <f>VLOOKUP($E1767,'NI-Soc_SP'!$C:$AN,MID(AL$1,1,2),FALSE)</f>
        <v>0</v>
      </c>
      <c r="AM1767" s="56">
        <f>VLOOKUP($E1767,'NI-Soc_SP'!$C:$AN,MID(AM$1,1,2),FALSE)</f>
        <v>0</v>
      </c>
      <c r="AN1767" s="30" t="str">
        <f t="shared" si="27"/>
        <v>20101010010130</v>
      </c>
    </row>
    <row r="1768" spans="3:40" x14ac:dyDescent="0.25">
      <c r="C1768" s="40"/>
      <c r="D1768" s="121" t="s">
        <v>1183</v>
      </c>
      <c r="E1768" s="121" t="s">
        <v>1184</v>
      </c>
      <c r="F1768" s="122" t="s">
        <v>2758</v>
      </c>
      <c r="G1768" s="69"/>
      <c r="H1768" s="52"/>
      <c r="I1768" s="52" t="s">
        <v>1144</v>
      </c>
      <c r="J1768" s="52"/>
      <c r="K1768" s="69" t="s">
        <v>79</v>
      </c>
      <c r="L1768" s="52"/>
      <c r="M1768" s="52"/>
      <c r="N1768" s="52"/>
      <c r="O1768" s="61" t="s">
        <v>1145</v>
      </c>
      <c r="P1768" s="70" t="s">
        <v>1185</v>
      </c>
      <c r="Q1768" s="55">
        <f>VLOOKUP(E1768,'NI-Soc_SP'!$C:$AN,12,FALSE)</f>
        <v>0</v>
      </c>
      <c r="R1768" s="55">
        <f>VLOOKUP(E1768,'NI-Soc_SP'!$C:$AN,13,FALSE)</f>
        <v>0</v>
      </c>
      <c r="S1768" s="55"/>
      <c r="T1768" s="55"/>
      <c r="U1768" s="55">
        <f>VLOOKUP($E1768,'NI-Soc_SP'!$C:$AN,MID(U$1,1,2),FALSE)</f>
        <v>0</v>
      </c>
      <c r="V1768" s="55">
        <f>VLOOKUP($E1768,'NI-Soc_SP'!$C:$AN,MID(V$1,1,2),FALSE)</f>
        <v>0</v>
      </c>
      <c r="W1768" s="55">
        <f>VLOOKUP($E1768,'NI-Soc_SP'!$C:$AN,MID(W$1,1,2),FALSE)</f>
        <v>0</v>
      </c>
      <c r="X1768" s="55">
        <f>VLOOKUP($E1768,'NI-Soc_SP'!$C:$AN,MID(X$1,1,2),FALSE)</f>
        <v>0</v>
      </c>
      <c r="Y1768" s="55">
        <f>VLOOKUP($E1768,'NI-Soc_SP'!$C:$AN,MID(Y$1,1,2),FALSE)</f>
        <v>0</v>
      </c>
      <c r="Z1768" s="55">
        <f>VLOOKUP($E1768,'NI-Soc_SP'!$C:$AN,MID(Z$1,1,2),FALSE)</f>
        <v>0</v>
      </c>
      <c r="AA1768" s="55">
        <f>VLOOKUP($E1768,'NI-Soc_SP'!$C:$AN,MID(AA$1,1,2),FALSE)</f>
        <v>0</v>
      </c>
      <c r="AB1768" s="55">
        <f>VLOOKUP($E1768,'NI-Soc_SP'!$C:$AN,MID(AB$1,1,2),FALSE)</f>
        <v>0</v>
      </c>
      <c r="AC1768" s="55">
        <f>VLOOKUP($E1768,'NI-Soc_SP'!$C:$AN,MID(AC$1,1,2),FALSE)</f>
        <v>0</v>
      </c>
      <c r="AD1768" s="55">
        <f>VLOOKUP($E1768,'NI-Soc_SP'!$C:$AN,MID(AD$1,1,2),FALSE)</f>
        <v>0</v>
      </c>
      <c r="AE1768" s="55">
        <f>VLOOKUP($E1768,'NI-Soc_SP'!$C:$AN,MID(AE$1,1,2),FALSE)</f>
        <v>0</v>
      </c>
      <c r="AF1768" s="55">
        <f>VLOOKUP($E1768,'NI-Soc_SP'!$C:$AN,MID(AF$1,1,2),FALSE)</f>
        <v>0</v>
      </c>
      <c r="AG1768" s="55">
        <f>VLOOKUP($E1768,'NI-Soc_SP'!$C:$AN,MID(AG$1,1,2),FALSE)</f>
        <v>0</v>
      </c>
      <c r="AH1768" s="55">
        <f>VLOOKUP($E1768,'NI-Soc_SP'!$C:$AN,MID(AH$1,1,2),FALSE)</f>
        <v>0</v>
      </c>
      <c r="AI1768" s="55">
        <f>VLOOKUP($E1768,'NI-Soc_SP'!$C:$AN,MID(AI$1,1,2),FALSE)</f>
        <v>0</v>
      </c>
      <c r="AJ1768" s="55">
        <f>VLOOKUP($E1768,'NI-Soc_SP'!$C:$AN,MID(AJ$1,1,2),FALSE)</f>
        <v>0</v>
      </c>
      <c r="AK1768" s="55">
        <f>VLOOKUP($E1768,'NI-Soc_SP'!$C:$AN,MID(AK$1,1,2),FALSE)</f>
        <v>0</v>
      </c>
      <c r="AL1768" s="55">
        <f>VLOOKUP($E1768,'NI-Soc_SP'!$C:$AN,MID(AL$1,1,2),FALSE)</f>
        <v>0</v>
      </c>
      <c r="AM1768" s="56">
        <f>VLOOKUP($E1768,'NI-Soc_SP'!$C:$AN,MID(AM$1,1,2),FALSE)</f>
        <v>0</v>
      </c>
      <c r="AN1768" s="30" t="str">
        <f t="shared" si="27"/>
        <v>20101010010140</v>
      </c>
    </row>
    <row r="1769" spans="3:40" x14ac:dyDescent="0.25">
      <c r="C1769" s="40"/>
      <c r="D1769" s="121" t="s">
        <v>1186</v>
      </c>
      <c r="E1769" s="121" t="s">
        <v>1187</v>
      </c>
      <c r="F1769" s="122" t="s">
        <v>2758</v>
      </c>
      <c r="G1769" s="69"/>
      <c r="H1769" s="52"/>
      <c r="I1769" s="52" t="s">
        <v>1144</v>
      </c>
      <c r="J1769" s="52"/>
      <c r="K1769" s="69" t="s">
        <v>79</v>
      </c>
      <c r="L1769" s="52"/>
      <c r="M1769" s="52"/>
      <c r="N1769" s="52"/>
      <c r="O1769" s="61" t="s">
        <v>1145</v>
      </c>
      <c r="P1769" s="70" t="s">
        <v>1188</v>
      </c>
      <c r="Q1769" s="55">
        <f>VLOOKUP(E1769,'NI-Soc_SP'!$C:$AN,12,FALSE)</f>
        <v>0</v>
      </c>
      <c r="R1769" s="55">
        <f>VLOOKUP(E1769,'NI-Soc_SP'!$C:$AN,13,FALSE)</f>
        <v>0</v>
      </c>
      <c r="S1769" s="55"/>
      <c r="T1769" s="55"/>
      <c r="U1769" s="55">
        <f>VLOOKUP($E1769,'NI-Soc_SP'!$C:$AN,MID(U$1,1,2),FALSE)</f>
        <v>0</v>
      </c>
      <c r="V1769" s="55">
        <f>VLOOKUP($E1769,'NI-Soc_SP'!$C:$AN,MID(V$1,1,2),FALSE)</f>
        <v>0</v>
      </c>
      <c r="W1769" s="55">
        <f>VLOOKUP($E1769,'NI-Soc_SP'!$C:$AN,MID(W$1,1,2),FALSE)</f>
        <v>0</v>
      </c>
      <c r="X1769" s="55">
        <f>VLOOKUP($E1769,'NI-Soc_SP'!$C:$AN,MID(X$1,1,2),FALSE)</f>
        <v>0</v>
      </c>
      <c r="Y1769" s="55">
        <f>VLOOKUP($E1769,'NI-Soc_SP'!$C:$AN,MID(Y$1,1,2),FALSE)</f>
        <v>0</v>
      </c>
      <c r="Z1769" s="55">
        <f>VLOOKUP($E1769,'NI-Soc_SP'!$C:$AN,MID(Z$1,1,2),FALSE)</f>
        <v>0</v>
      </c>
      <c r="AA1769" s="55">
        <f>VLOOKUP($E1769,'NI-Soc_SP'!$C:$AN,MID(AA$1,1,2),FALSE)</f>
        <v>0</v>
      </c>
      <c r="AB1769" s="55">
        <f>VLOOKUP($E1769,'NI-Soc_SP'!$C:$AN,MID(AB$1,1,2),FALSE)</f>
        <v>0</v>
      </c>
      <c r="AC1769" s="55">
        <f>VLOOKUP($E1769,'NI-Soc_SP'!$C:$AN,MID(AC$1,1,2),FALSE)</f>
        <v>0</v>
      </c>
      <c r="AD1769" s="55">
        <f>VLOOKUP($E1769,'NI-Soc_SP'!$C:$AN,MID(AD$1,1,2),FALSE)</f>
        <v>0</v>
      </c>
      <c r="AE1769" s="55">
        <f>VLOOKUP($E1769,'NI-Soc_SP'!$C:$AN,MID(AE$1,1,2),FALSE)</f>
        <v>0</v>
      </c>
      <c r="AF1769" s="55">
        <f>VLOOKUP($E1769,'NI-Soc_SP'!$C:$AN,MID(AF$1,1,2),FALSE)</f>
        <v>0</v>
      </c>
      <c r="AG1769" s="55">
        <f>VLOOKUP($E1769,'NI-Soc_SP'!$C:$AN,MID(AG$1,1,2),FALSE)</f>
        <v>0</v>
      </c>
      <c r="AH1769" s="55">
        <f>VLOOKUP($E1769,'NI-Soc_SP'!$C:$AN,MID(AH$1,1,2),FALSE)</f>
        <v>0</v>
      </c>
      <c r="AI1769" s="55">
        <f>VLOOKUP($E1769,'NI-Soc_SP'!$C:$AN,MID(AI$1,1,2),FALSE)</f>
        <v>0</v>
      </c>
      <c r="AJ1769" s="55">
        <f>VLOOKUP($E1769,'NI-Soc_SP'!$C:$AN,MID(AJ$1,1,2),FALSE)</f>
        <v>0</v>
      </c>
      <c r="AK1769" s="55">
        <f>VLOOKUP($E1769,'NI-Soc_SP'!$C:$AN,MID(AK$1,1,2),FALSE)</f>
        <v>0</v>
      </c>
      <c r="AL1769" s="55">
        <f>VLOOKUP($E1769,'NI-Soc_SP'!$C:$AN,MID(AL$1,1,2),FALSE)</f>
        <v>0</v>
      </c>
      <c r="AM1769" s="56">
        <f>VLOOKUP($E1769,'NI-Soc_SP'!$C:$AN,MID(AM$1,1,2),FALSE)</f>
        <v>0</v>
      </c>
      <c r="AN1769" s="30" t="str">
        <f t="shared" si="27"/>
        <v>20101010010150</v>
      </c>
    </row>
    <row r="1770" spans="3:40" x14ac:dyDescent="0.25">
      <c r="C1770" s="40"/>
      <c r="D1770" s="121" t="s">
        <v>1189</v>
      </c>
      <c r="E1770" s="121" t="s">
        <v>1190</v>
      </c>
      <c r="F1770" s="122" t="s">
        <v>2758</v>
      </c>
      <c r="G1770" s="69"/>
      <c r="H1770" s="52"/>
      <c r="I1770" s="52" t="s">
        <v>1144</v>
      </c>
      <c r="J1770" s="52"/>
      <c r="K1770" s="69" t="s">
        <v>79</v>
      </c>
      <c r="L1770" s="52"/>
      <c r="M1770" s="52"/>
      <c r="N1770" s="52"/>
      <c r="O1770" s="61" t="s">
        <v>1145</v>
      </c>
      <c r="P1770" s="70" t="s">
        <v>1191</v>
      </c>
      <c r="Q1770" s="55">
        <f>VLOOKUP(E1770,'NI-Soc_SP'!$C:$AN,12,FALSE)</f>
        <v>0</v>
      </c>
      <c r="R1770" s="55">
        <f>VLOOKUP(E1770,'NI-Soc_SP'!$C:$AN,13,FALSE)</f>
        <v>0</v>
      </c>
      <c r="S1770" s="55"/>
      <c r="T1770" s="55"/>
      <c r="U1770" s="55">
        <f>VLOOKUP($E1770,'NI-Soc_SP'!$C:$AN,MID(U$1,1,2),FALSE)</f>
        <v>0</v>
      </c>
      <c r="V1770" s="55">
        <f>VLOOKUP($E1770,'NI-Soc_SP'!$C:$AN,MID(V$1,1,2),FALSE)</f>
        <v>0</v>
      </c>
      <c r="W1770" s="55">
        <f>VLOOKUP($E1770,'NI-Soc_SP'!$C:$AN,MID(W$1,1,2),FALSE)</f>
        <v>0</v>
      </c>
      <c r="X1770" s="55">
        <f>VLOOKUP($E1770,'NI-Soc_SP'!$C:$AN,MID(X$1,1,2),FALSE)</f>
        <v>0</v>
      </c>
      <c r="Y1770" s="55">
        <f>VLOOKUP($E1770,'NI-Soc_SP'!$C:$AN,MID(Y$1,1,2),FALSE)</f>
        <v>0</v>
      </c>
      <c r="Z1770" s="55">
        <f>VLOOKUP($E1770,'NI-Soc_SP'!$C:$AN,MID(Z$1,1,2),FALSE)</f>
        <v>0</v>
      </c>
      <c r="AA1770" s="55">
        <f>VLOOKUP($E1770,'NI-Soc_SP'!$C:$AN,MID(AA$1,1,2),FALSE)</f>
        <v>0</v>
      </c>
      <c r="AB1770" s="55">
        <f>VLOOKUP($E1770,'NI-Soc_SP'!$C:$AN,MID(AB$1,1,2),FALSE)</f>
        <v>0</v>
      </c>
      <c r="AC1770" s="55">
        <f>VLOOKUP($E1770,'NI-Soc_SP'!$C:$AN,MID(AC$1,1,2),FALSE)</f>
        <v>0</v>
      </c>
      <c r="AD1770" s="55">
        <f>VLOOKUP($E1770,'NI-Soc_SP'!$C:$AN,MID(AD$1,1,2),FALSE)</f>
        <v>0</v>
      </c>
      <c r="AE1770" s="55">
        <f>VLOOKUP($E1770,'NI-Soc_SP'!$C:$AN,MID(AE$1,1,2),FALSE)</f>
        <v>0</v>
      </c>
      <c r="AF1770" s="55">
        <f>VLOOKUP($E1770,'NI-Soc_SP'!$C:$AN,MID(AF$1,1,2),FALSE)</f>
        <v>0</v>
      </c>
      <c r="AG1770" s="55">
        <f>VLOOKUP($E1770,'NI-Soc_SP'!$C:$AN,MID(AG$1,1,2),FALSE)</f>
        <v>0</v>
      </c>
      <c r="AH1770" s="55">
        <f>VLOOKUP($E1770,'NI-Soc_SP'!$C:$AN,MID(AH$1,1,2),FALSE)</f>
        <v>0</v>
      </c>
      <c r="AI1770" s="55">
        <f>VLOOKUP($E1770,'NI-Soc_SP'!$C:$AN,MID(AI$1,1,2),FALSE)</f>
        <v>0</v>
      </c>
      <c r="AJ1770" s="55">
        <f>VLOOKUP($E1770,'NI-Soc_SP'!$C:$AN,MID(AJ$1,1,2),FALSE)</f>
        <v>0</v>
      </c>
      <c r="AK1770" s="55">
        <f>VLOOKUP($E1770,'NI-Soc_SP'!$C:$AN,MID(AK$1,1,2),FALSE)</f>
        <v>0</v>
      </c>
      <c r="AL1770" s="55">
        <f>VLOOKUP($E1770,'NI-Soc_SP'!$C:$AN,MID(AL$1,1,2),FALSE)</f>
        <v>0</v>
      </c>
      <c r="AM1770" s="56">
        <f>VLOOKUP($E1770,'NI-Soc_SP'!$C:$AN,MID(AM$1,1,2),FALSE)</f>
        <v>0</v>
      </c>
      <c r="AN1770" s="30" t="str">
        <f t="shared" si="27"/>
        <v>20101010010160</v>
      </c>
    </row>
    <row r="1771" spans="3:40" x14ac:dyDescent="0.25">
      <c r="C1771" s="40"/>
      <c r="D1771" s="121" t="s">
        <v>1192</v>
      </c>
      <c r="E1771" s="121" t="s">
        <v>1193</v>
      </c>
      <c r="F1771" s="122" t="s">
        <v>2758</v>
      </c>
      <c r="G1771" s="69"/>
      <c r="H1771" s="52"/>
      <c r="I1771" s="52" t="s">
        <v>1144</v>
      </c>
      <c r="J1771" s="52"/>
      <c r="K1771" s="69" t="s">
        <v>79</v>
      </c>
      <c r="L1771" s="52"/>
      <c r="M1771" s="52"/>
      <c r="N1771" s="52"/>
      <c r="O1771" s="61" t="s">
        <v>1145</v>
      </c>
      <c r="P1771" s="70" t="s">
        <v>1194</v>
      </c>
      <c r="Q1771" s="55">
        <f>VLOOKUP(E1771,'NI-Soc_SP'!$C:$AN,12,FALSE)</f>
        <v>0</v>
      </c>
      <c r="R1771" s="55">
        <f>VLOOKUP(E1771,'NI-Soc_SP'!$C:$AN,13,FALSE)</f>
        <v>0</v>
      </c>
      <c r="S1771" s="55"/>
      <c r="T1771" s="55"/>
      <c r="U1771" s="55">
        <f>VLOOKUP($E1771,'NI-Soc_SP'!$C:$AN,MID(U$1,1,2),FALSE)</f>
        <v>0</v>
      </c>
      <c r="V1771" s="55">
        <f>VLOOKUP($E1771,'NI-Soc_SP'!$C:$AN,MID(V$1,1,2),FALSE)</f>
        <v>0</v>
      </c>
      <c r="W1771" s="55">
        <f>VLOOKUP($E1771,'NI-Soc_SP'!$C:$AN,MID(W$1,1,2),FALSE)</f>
        <v>0</v>
      </c>
      <c r="X1771" s="55">
        <f>VLOOKUP($E1771,'NI-Soc_SP'!$C:$AN,MID(X$1,1,2),FALSE)</f>
        <v>0</v>
      </c>
      <c r="Y1771" s="55">
        <f>VLOOKUP($E1771,'NI-Soc_SP'!$C:$AN,MID(Y$1,1,2),FALSE)</f>
        <v>0</v>
      </c>
      <c r="Z1771" s="55">
        <f>VLOOKUP($E1771,'NI-Soc_SP'!$C:$AN,MID(Z$1,1,2),FALSE)</f>
        <v>0</v>
      </c>
      <c r="AA1771" s="55">
        <f>VLOOKUP($E1771,'NI-Soc_SP'!$C:$AN,MID(AA$1,1,2),FALSE)</f>
        <v>0</v>
      </c>
      <c r="AB1771" s="55">
        <f>VLOOKUP($E1771,'NI-Soc_SP'!$C:$AN,MID(AB$1,1,2),FALSE)</f>
        <v>0</v>
      </c>
      <c r="AC1771" s="55">
        <f>VLOOKUP($E1771,'NI-Soc_SP'!$C:$AN,MID(AC$1,1,2),FALSE)</f>
        <v>0</v>
      </c>
      <c r="AD1771" s="55">
        <f>VLOOKUP($E1771,'NI-Soc_SP'!$C:$AN,MID(AD$1,1,2),FALSE)</f>
        <v>0</v>
      </c>
      <c r="AE1771" s="55">
        <f>VLOOKUP($E1771,'NI-Soc_SP'!$C:$AN,MID(AE$1,1,2),FALSE)</f>
        <v>0</v>
      </c>
      <c r="AF1771" s="55">
        <f>VLOOKUP($E1771,'NI-Soc_SP'!$C:$AN,MID(AF$1,1,2),FALSE)</f>
        <v>0</v>
      </c>
      <c r="AG1771" s="55">
        <f>VLOOKUP($E1771,'NI-Soc_SP'!$C:$AN,MID(AG$1,1,2),FALSE)</f>
        <v>0</v>
      </c>
      <c r="AH1771" s="55">
        <f>VLOOKUP($E1771,'NI-Soc_SP'!$C:$AN,MID(AH$1,1,2),FALSE)</f>
        <v>0</v>
      </c>
      <c r="AI1771" s="55">
        <f>VLOOKUP($E1771,'NI-Soc_SP'!$C:$AN,MID(AI$1,1,2),FALSE)</f>
        <v>0</v>
      </c>
      <c r="AJ1771" s="55">
        <f>VLOOKUP($E1771,'NI-Soc_SP'!$C:$AN,MID(AJ$1,1,2),FALSE)</f>
        <v>0</v>
      </c>
      <c r="AK1771" s="55">
        <f>VLOOKUP($E1771,'NI-Soc_SP'!$C:$AN,MID(AK$1,1,2),FALSE)</f>
        <v>0</v>
      </c>
      <c r="AL1771" s="55">
        <f>VLOOKUP($E1771,'NI-Soc_SP'!$C:$AN,MID(AL$1,1,2),FALSE)</f>
        <v>0</v>
      </c>
      <c r="AM1771" s="56">
        <f>VLOOKUP($E1771,'NI-Soc_SP'!$C:$AN,MID(AM$1,1,2),FALSE)</f>
        <v>0</v>
      </c>
      <c r="AN1771" s="30" t="str">
        <f t="shared" si="27"/>
        <v>20101010010170</v>
      </c>
    </row>
    <row r="1772" spans="3:40" ht="27" x14ac:dyDescent="0.25">
      <c r="C1772" s="40"/>
      <c r="D1772" s="121" t="s">
        <v>1195</v>
      </c>
      <c r="E1772" s="121" t="s">
        <v>1196</v>
      </c>
      <c r="F1772" s="122" t="s">
        <v>2758</v>
      </c>
      <c r="G1772" s="69"/>
      <c r="H1772" s="52"/>
      <c r="I1772" s="52" t="s">
        <v>1144</v>
      </c>
      <c r="J1772" s="52"/>
      <c r="K1772" s="69" t="s">
        <v>79</v>
      </c>
      <c r="L1772" s="52"/>
      <c r="M1772" s="52"/>
      <c r="N1772" s="52"/>
      <c r="O1772" s="61" t="s">
        <v>1145</v>
      </c>
      <c r="P1772" s="70" t="s">
        <v>1197</v>
      </c>
      <c r="Q1772" s="55">
        <f>VLOOKUP(E1772,'NI-Soc_SP'!$C:$AN,12,FALSE)</f>
        <v>0</v>
      </c>
      <c r="R1772" s="55">
        <f>VLOOKUP(E1772,'NI-Soc_SP'!$C:$AN,13,FALSE)</f>
        <v>0</v>
      </c>
      <c r="S1772" s="55"/>
      <c r="T1772" s="55"/>
      <c r="U1772" s="55">
        <f>VLOOKUP($E1772,'NI-Soc_SP'!$C:$AN,MID(U$1,1,2),FALSE)</f>
        <v>0</v>
      </c>
      <c r="V1772" s="55">
        <f>VLOOKUP($E1772,'NI-Soc_SP'!$C:$AN,MID(V$1,1,2),FALSE)</f>
        <v>0</v>
      </c>
      <c r="W1772" s="55">
        <f>VLOOKUP($E1772,'NI-Soc_SP'!$C:$AN,MID(W$1,1,2),FALSE)</f>
        <v>0</v>
      </c>
      <c r="X1772" s="55">
        <f>VLOOKUP($E1772,'NI-Soc_SP'!$C:$AN,MID(X$1,1,2),FALSE)</f>
        <v>0</v>
      </c>
      <c r="Y1772" s="55">
        <f>VLOOKUP($E1772,'NI-Soc_SP'!$C:$AN,MID(Y$1,1,2),FALSE)</f>
        <v>0</v>
      </c>
      <c r="Z1772" s="55">
        <f>VLOOKUP($E1772,'NI-Soc_SP'!$C:$AN,MID(Z$1,1,2),FALSE)</f>
        <v>0</v>
      </c>
      <c r="AA1772" s="55">
        <f>VLOOKUP($E1772,'NI-Soc_SP'!$C:$AN,MID(AA$1,1,2),FALSE)</f>
        <v>0</v>
      </c>
      <c r="AB1772" s="55">
        <f>VLOOKUP($E1772,'NI-Soc_SP'!$C:$AN,MID(AB$1,1,2),FALSE)</f>
        <v>0</v>
      </c>
      <c r="AC1772" s="55">
        <f>VLOOKUP($E1772,'NI-Soc_SP'!$C:$AN,MID(AC$1,1,2),FALSE)</f>
        <v>0</v>
      </c>
      <c r="AD1772" s="55">
        <f>VLOOKUP($E1772,'NI-Soc_SP'!$C:$AN,MID(AD$1,1,2),FALSE)</f>
        <v>0</v>
      </c>
      <c r="AE1772" s="55">
        <f>VLOOKUP($E1772,'NI-Soc_SP'!$C:$AN,MID(AE$1,1,2),FALSE)</f>
        <v>0</v>
      </c>
      <c r="AF1772" s="55">
        <f>VLOOKUP($E1772,'NI-Soc_SP'!$C:$AN,MID(AF$1,1,2),FALSE)</f>
        <v>0</v>
      </c>
      <c r="AG1772" s="55">
        <f>VLOOKUP($E1772,'NI-Soc_SP'!$C:$AN,MID(AG$1,1,2),FALSE)</f>
        <v>0</v>
      </c>
      <c r="AH1772" s="55">
        <f>VLOOKUP($E1772,'NI-Soc_SP'!$C:$AN,MID(AH$1,1,2),FALSE)</f>
        <v>0</v>
      </c>
      <c r="AI1772" s="55">
        <f>VLOOKUP($E1772,'NI-Soc_SP'!$C:$AN,MID(AI$1,1,2),FALSE)</f>
        <v>0</v>
      </c>
      <c r="AJ1772" s="55">
        <f>VLOOKUP($E1772,'NI-Soc_SP'!$C:$AN,MID(AJ$1,1,2),FALSE)</f>
        <v>0</v>
      </c>
      <c r="AK1772" s="55">
        <f>VLOOKUP($E1772,'NI-Soc_SP'!$C:$AN,MID(AK$1,1,2),FALSE)</f>
        <v>0</v>
      </c>
      <c r="AL1772" s="55">
        <f>VLOOKUP($E1772,'NI-Soc_SP'!$C:$AN,MID(AL$1,1,2),FALSE)</f>
        <v>0</v>
      </c>
      <c r="AM1772" s="56">
        <f>VLOOKUP($E1772,'NI-Soc_SP'!$C:$AN,MID(AM$1,1,2),FALSE)</f>
        <v>0</v>
      </c>
      <c r="AN1772" s="30" t="str">
        <f t="shared" si="27"/>
        <v>20101010010180</v>
      </c>
    </row>
    <row r="1773" spans="3:40" ht="27" x14ac:dyDescent="0.25">
      <c r="C1773" s="40"/>
      <c r="D1773" s="121" t="s">
        <v>1198</v>
      </c>
      <c r="E1773" s="121" t="s">
        <v>1199</v>
      </c>
      <c r="F1773" s="122" t="s">
        <v>2758</v>
      </c>
      <c r="G1773" s="69"/>
      <c r="H1773" s="52"/>
      <c r="I1773" s="52" t="s">
        <v>1144</v>
      </c>
      <c r="J1773" s="52"/>
      <c r="K1773" s="69" t="s">
        <v>79</v>
      </c>
      <c r="L1773" s="52"/>
      <c r="M1773" s="52"/>
      <c r="N1773" s="52"/>
      <c r="O1773" s="61" t="s">
        <v>1145</v>
      </c>
      <c r="P1773" s="72" t="s">
        <v>1200</v>
      </c>
      <c r="Q1773" s="55">
        <f>VLOOKUP(E1773,'NI-Soc_SP'!$C:$AN,12,FALSE)</f>
        <v>0</v>
      </c>
      <c r="R1773" s="55">
        <f>VLOOKUP(E1773,'NI-Soc_SP'!$C:$AN,13,FALSE)</f>
        <v>0</v>
      </c>
      <c r="S1773" s="55"/>
      <c r="T1773" s="55"/>
      <c r="U1773" s="55">
        <f>VLOOKUP($E1773,'NI-Soc_SP'!$C:$AN,MID(U$1,1,2),FALSE)</f>
        <v>0</v>
      </c>
      <c r="V1773" s="55">
        <f>VLOOKUP($E1773,'NI-Soc_SP'!$C:$AN,MID(V$1,1,2),FALSE)</f>
        <v>0</v>
      </c>
      <c r="W1773" s="55">
        <f>VLOOKUP($E1773,'NI-Soc_SP'!$C:$AN,MID(W$1,1,2),FALSE)</f>
        <v>0</v>
      </c>
      <c r="X1773" s="55">
        <f>VLOOKUP($E1773,'NI-Soc_SP'!$C:$AN,MID(X$1,1,2),FALSE)</f>
        <v>0</v>
      </c>
      <c r="Y1773" s="55">
        <f>VLOOKUP($E1773,'NI-Soc_SP'!$C:$AN,MID(Y$1,1,2),FALSE)</f>
        <v>0</v>
      </c>
      <c r="Z1773" s="55">
        <f>VLOOKUP($E1773,'NI-Soc_SP'!$C:$AN,MID(Z$1,1,2),FALSE)</f>
        <v>0</v>
      </c>
      <c r="AA1773" s="55">
        <f>VLOOKUP($E1773,'NI-Soc_SP'!$C:$AN,MID(AA$1,1,2),FALSE)</f>
        <v>0</v>
      </c>
      <c r="AB1773" s="55">
        <f>VLOOKUP($E1773,'NI-Soc_SP'!$C:$AN,MID(AB$1,1,2),FALSE)</f>
        <v>0</v>
      </c>
      <c r="AC1773" s="55">
        <f>VLOOKUP($E1773,'NI-Soc_SP'!$C:$AN,MID(AC$1,1,2),FALSE)</f>
        <v>0</v>
      </c>
      <c r="AD1773" s="55">
        <f>VLOOKUP($E1773,'NI-Soc_SP'!$C:$AN,MID(AD$1,1,2),FALSE)</f>
        <v>0</v>
      </c>
      <c r="AE1773" s="55">
        <f>VLOOKUP($E1773,'NI-Soc_SP'!$C:$AN,MID(AE$1,1,2),FALSE)</f>
        <v>0</v>
      </c>
      <c r="AF1773" s="55">
        <f>VLOOKUP($E1773,'NI-Soc_SP'!$C:$AN,MID(AF$1,1,2),FALSE)</f>
        <v>0</v>
      </c>
      <c r="AG1773" s="55">
        <f>VLOOKUP($E1773,'NI-Soc_SP'!$C:$AN,MID(AG$1,1,2),FALSE)</f>
        <v>0</v>
      </c>
      <c r="AH1773" s="55">
        <f>VLOOKUP($E1773,'NI-Soc_SP'!$C:$AN,MID(AH$1,1,2),FALSE)</f>
        <v>0</v>
      </c>
      <c r="AI1773" s="55">
        <f>VLOOKUP($E1773,'NI-Soc_SP'!$C:$AN,MID(AI$1,1,2),FALSE)</f>
        <v>0</v>
      </c>
      <c r="AJ1773" s="55">
        <f>VLOOKUP($E1773,'NI-Soc_SP'!$C:$AN,MID(AJ$1,1,2),FALSE)</f>
        <v>0</v>
      </c>
      <c r="AK1773" s="55">
        <f>VLOOKUP($E1773,'NI-Soc_SP'!$C:$AN,MID(AK$1,1,2),FALSE)</f>
        <v>0</v>
      </c>
      <c r="AL1773" s="55">
        <f>VLOOKUP($E1773,'NI-Soc_SP'!$C:$AN,MID(AL$1,1,2),FALSE)</f>
        <v>0</v>
      </c>
      <c r="AM1773" s="56">
        <f>VLOOKUP($E1773,'NI-Soc_SP'!$C:$AN,MID(AM$1,1,2),FALSE)</f>
        <v>0</v>
      </c>
      <c r="AN1773" s="30" t="str">
        <f t="shared" si="27"/>
        <v>20101010010190</v>
      </c>
    </row>
    <row r="1774" spans="3:40" ht="27" x14ac:dyDescent="0.25">
      <c r="C1774" s="40"/>
      <c r="D1774" s="121" t="s">
        <v>1201</v>
      </c>
      <c r="E1774" s="121" t="s">
        <v>1202</v>
      </c>
      <c r="F1774" s="122" t="s">
        <v>2758</v>
      </c>
      <c r="G1774" s="69"/>
      <c r="H1774" s="52"/>
      <c r="I1774" s="52" t="s">
        <v>1144</v>
      </c>
      <c r="J1774" s="52"/>
      <c r="K1774" s="69" t="s">
        <v>79</v>
      </c>
      <c r="L1774" s="52"/>
      <c r="M1774" s="52"/>
      <c r="N1774" s="52"/>
      <c r="O1774" s="61" t="s">
        <v>1145</v>
      </c>
      <c r="P1774" s="71" t="s">
        <v>1203</v>
      </c>
      <c r="Q1774" s="55">
        <f>VLOOKUP(E1774,'NI-Soc_SP'!$C:$AN,12,FALSE)</f>
        <v>0</v>
      </c>
      <c r="R1774" s="55">
        <f>VLOOKUP(E1774,'NI-Soc_SP'!$C:$AN,13,FALSE)</f>
        <v>0</v>
      </c>
      <c r="S1774" s="55"/>
      <c r="T1774" s="55"/>
      <c r="U1774" s="55">
        <f>VLOOKUP($E1774,'NI-Soc_SP'!$C:$AN,MID(U$1,1,2),FALSE)</f>
        <v>0</v>
      </c>
      <c r="V1774" s="55">
        <f>VLOOKUP($E1774,'NI-Soc_SP'!$C:$AN,MID(V$1,1,2),FALSE)</f>
        <v>0</v>
      </c>
      <c r="W1774" s="55">
        <f>VLOOKUP($E1774,'NI-Soc_SP'!$C:$AN,MID(W$1,1,2),FALSE)</f>
        <v>0</v>
      </c>
      <c r="X1774" s="55">
        <f>VLOOKUP($E1774,'NI-Soc_SP'!$C:$AN,MID(X$1,1,2),FALSE)</f>
        <v>0</v>
      </c>
      <c r="Y1774" s="55">
        <f>VLOOKUP($E1774,'NI-Soc_SP'!$C:$AN,MID(Y$1,1,2),FALSE)</f>
        <v>0</v>
      </c>
      <c r="Z1774" s="55">
        <f>VLOOKUP($E1774,'NI-Soc_SP'!$C:$AN,MID(Z$1,1,2),FALSE)</f>
        <v>0</v>
      </c>
      <c r="AA1774" s="55">
        <f>VLOOKUP($E1774,'NI-Soc_SP'!$C:$AN,MID(AA$1,1,2),FALSE)</f>
        <v>0</v>
      </c>
      <c r="AB1774" s="55">
        <f>VLOOKUP($E1774,'NI-Soc_SP'!$C:$AN,MID(AB$1,1,2),FALSE)</f>
        <v>0</v>
      </c>
      <c r="AC1774" s="55">
        <f>VLOOKUP($E1774,'NI-Soc_SP'!$C:$AN,MID(AC$1,1,2),FALSE)</f>
        <v>0</v>
      </c>
      <c r="AD1774" s="55">
        <f>VLOOKUP($E1774,'NI-Soc_SP'!$C:$AN,MID(AD$1,1,2),FALSE)</f>
        <v>0</v>
      </c>
      <c r="AE1774" s="55">
        <f>VLOOKUP($E1774,'NI-Soc_SP'!$C:$AN,MID(AE$1,1,2),FALSE)</f>
        <v>0</v>
      </c>
      <c r="AF1774" s="55">
        <f>VLOOKUP($E1774,'NI-Soc_SP'!$C:$AN,MID(AF$1,1,2),FALSE)</f>
        <v>0</v>
      </c>
      <c r="AG1774" s="55">
        <f>VLOOKUP($E1774,'NI-Soc_SP'!$C:$AN,MID(AG$1,1,2),FALSE)</f>
        <v>0</v>
      </c>
      <c r="AH1774" s="55">
        <f>VLOOKUP($E1774,'NI-Soc_SP'!$C:$AN,MID(AH$1,1,2),FALSE)</f>
        <v>0</v>
      </c>
      <c r="AI1774" s="55">
        <f>VLOOKUP($E1774,'NI-Soc_SP'!$C:$AN,MID(AI$1,1,2),FALSE)</f>
        <v>0</v>
      </c>
      <c r="AJ1774" s="55">
        <f>VLOOKUP($E1774,'NI-Soc_SP'!$C:$AN,MID(AJ$1,1,2),FALSE)</f>
        <v>0</v>
      </c>
      <c r="AK1774" s="55">
        <f>VLOOKUP($E1774,'NI-Soc_SP'!$C:$AN,MID(AK$1,1,2),FALSE)</f>
        <v>0</v>
      </c>
      <c r="AL1774" s="55">
        <f>VLOOKUP($E1774,'NI-Soc_SP'!$C:$AN,MID(AL$1,1,2),FALSE)</f>
        <v>0</v>
      </c>
      <c r="AM1774" s="56">
        <f>VLOOKUP($E1774,'NI-Soc_SP'!$C:$AN,MID(AM$1,1,2),FALSE)</f>
        <v>0</v>
      </c>
      <c r="AN1774" s="30" t="str">
        <f t="shared" si="27"/>
        <v>20101010010200</v>
      </c>
    </row>
    <row r="1775" spans="3:40" x14ac:dyDescent="0.25">
      <c r="C1775" s="40"/>
      <c r="D1775" s="121" t="s">
        <v>1204</v>
      </c>
      <c r="E1775" s="121" t="s">
        <v>1205</v>
      </c>
      <c r="F1775" s="122" t="s">
        <v>2758</v>
      </c>
      <c r="G1775" s="69"/>
      <c r="H1775" s="52"/>
      <c r="I1775" s="52" t="s">
        <v>1144</v>
      </c>
      <c r="J1775" s="52"/>
      <c r="K1775" s="69" t="s">
        <v>79</v>
      </c>
      <c r="L1775" s="52"/>
      <c r="M1775" s="52"/>
      <c r="N1775" s="52"/>
      <c r="O1775" s="61" t="s">
        <v>1145</v>
      </c>
      <c r="P1775" s="70" t="s">
        <v>1206</v>
      </c>
      <c r="Q1775" s="55">
        <f>VLOOKUP(E1775,'NI-Soc_SP'!$C:$AN,12,FALSE)</f>
        <v>0</v>
      </c>
      <c r="R1775" s="55">
        <f>VLOOKUP(E1775,'NI-Soc_SP'!$C:$AN,13,FALSE)</f>
        <v>0</v>
      </c>
      <c r="S1775" s="55"/>
      <c r="T1775" s="55"/>
      <c r="U1775" s="55">
        <f>VLOOKUP($E1775,'NI-Soc_SP'!$C:$AN,MID(U$1,1,2),FALSE)</f>
        <v>0</v>
      </c>
      <c r="V1775" s="55">
        <f>VLOOKUP($E1775,'NI-Soc_SP'!$C:$AN,MID(V$1,1,2),FALSE)</f>
        <v>0</v>
      </c>
      <c r="W1775" s="55">
        <f>VLOOKUP($E1775,'NI-Soc_SP'!$C:$AN,MID(W$1,1,2),FALSE)</f>
        <v>0</v>
      </c>
      <c r="X1775" s="55">
        <f>VLOOKUP($E1775,'NI-Soc_SP'!$C:$AN,MID(X$1,1,2),FALSE)</f>
        <v>0</v>
      </c>
      <c r="Y1775" s="55">
        <f>VLOOKUP($E1775,'NI-Soc_SP'!$C:$AN,MID(Y$1,1,2),FALSE)</f>
        <v>0</v>
      </c>
      <c r="Z1775" s="55">
        <f>VLOOKUP($E1775,'NI-Soc_SP'!$C:$AN,MID(Z$1,1,2),FALSE)</f>
        <v>0</v>
      </c>
      <c r="AA1775" s="55">
        <f>VLOOKUP($E1775,'NI-Soc_SP'!$C:$AN,MID(AA$1,1,2),FALSE)</f>
        <v>0</v>
      </c>
      <c r="AB1775" s="55">
        <f>VLOOKUP($E1775,'NI-Soc_SP'!$C:$AN,MID(AB$1,1,2),FALSE)</f>
        <v>0</v>
      </c>
      <c r="AC1775" s="55">
        <f>VLOOKUP($E1775,'NI-Soc_SP'!$C:$AN,MID(AC$1,1,2),FALSE)</f>
        <v>0</v>
      </c>
      <c r="AD1775" s="55">
        <f>VLOOKUP($E1775,'NI-Soc_SP'!$C:$AN,MID(AD$1,1,2),FALSE)</f>
        <v>0</v>
      </c>
      <c r="AE1775" s="55">
        <f>VLOOKUP($E1775,'NI-Soc_SP'!$C:$AN,MID(AE$1,1,2),FALSE)</f>
        <v>0</v>
      </c>
      <c r="AF1775" s="55">
        <f>VLOOKUP($E1775,'NI-Soc_SP'!$C:$AN,MID(AF$1,1,2),FALSE)</f>
        <v>0</v>
      </c>
      <c r="AG1775" s="55">
        <f>VLOOKUP($E1775,'NI-Soc_SP'!$C:$AN,MID(AG$1,1,2),FALSE)</f>
        <v>0</v>
      </c>
      <c r="AH1775" s="55">
        <f>VLOOKUP($E1775,'NI-Soc_SP'!$C:$AN,MID(AH$1,1,2),FALSE)</f>
        <v>0</v>
      </c>
      <c r="AI1775" s="55">
        <f>VLOOKUP($E1775,'NI-Soc_SP'!$C:$AN,MID(AI$1,1,2),FALSE)</f>
        <v>0</v>
      </c>
      <c r="AJ1775" s="55">
        <f>VLOOKUP($E1775,'NI-Soc_SP'!$C:$AN,MID(AJ$1,1,2),FALSE)</f>
        <v>0</v>
      </c>
      <c r="AK1775" s="55">
        <f>VLOOKUP($E1775,'NI-Soc_SP'!$C:$AN,MID(AK$1,1,2),FALSE)</f>
        <v>0</v>
      </c>
      <c r="AL1775" s="55">
        <f>VLOOKUP($E1775,'NI-Soc_SP'!$C:$AN,MID(AL$1,1,2),FALSE)</f>
        <v>0</v>
      </c>
      <c r="AM1775" s="56">
        <f>VLOOKUP($E1775,'NI-Soc_SP'!$C:$AN,MID(AM$1,1,2),FALSE)</f>
        <v>0</v>
      </c>
      <c r="AN1775" s="30" t="str">
        <f t="shared" si="27"/>
        <v>20101010010210</v>
      </c>
    </row>
    <row r="1776" spans="3:40" x14ac:dyDescent="0.25">
      <c r="C1776" s="40"/>
      <c r="D1776" s="121" t="s">
        <v>1207</v>
      </c>
      <c r="E1776" s="121" t="s">
        <v>1208</v>
      </c>
      <c r="F1776" s="122" t="s">
        <v>2758</v>
      </c>
      <c r="G1776" s="69"/>
      <c r="H1776" s="52"/>
      <c r="I1776" s="52" t="s">
        <v>1144</v>
      </c>
      <c r="J1776" s="52"/>
      <c r="K1776" s="69" t="s">
        <v>79</v>
      </c>
      <c r="L1776" s="52"/>
      <c r="M1776" s="52"/>
      <c r="N1776" s="52"/>
      <c r="O1776" s="61" t="s">
        <v>1145</v>
      </c>
      <c r="P1776" s="70" t="s">
        <v>1209</v>
      </c>
      <c r="Q1776" s="55">
        <f>VLOOKUP(E1776,'NI-Soc_SP'!$C:$AN,12,FALSE)</f>
        <v>0</v>
      </c>
      <c r="R1776" s="55">
        <f>VLOOKUP(E1776,'NI-Soc_SP'!$C:$AN,13,FALSE)</f>
        <v>0</v>
      </c>
      <c r="S1776" s="55"/>
      <c r="T1776" s="55"/>
      <c r="U1776" s="55">
        <f>VLOOKUP($E1776,'NI-Soc_SP'!$C:$AN,MID(U$1,1,2),FALSE)</f>
        <v>0</v>
      </c>
      <c r="V1776" s="55">
        <f>VLOOKUP($E1776,'NI-Soc_SP'!$C:$AN,MID(V$1,1,2),FALSE)</f>
        <v>0</v>
      </c>
      <c r="W1776" s="55">
        <f>VLOOKUP($E1776,'NI-Soc_SP'!$C:$AN,MID(W$1,1,2),FALSE)</f>
        <v>0</v>
      </c>
      <c r="X1776" s="55">
        <f>VLOOKUP($E1776,'NI-Soc_SP'!$C:$AN,MID(X$1,1,2),FALSE)</f>
        <v>0</v>
      </c>
      <c r="Y1776" s="55">
        <f>VLOOKUP($E1776,'NI-Soc_SP'!$C:$AN,MID(Y$1,1,2),FALSE)</f>
        <v>0</v>
      </c>
      <c r="Z1776" s="55">
        <f>VLOOKUP($E1776,'NI-Soc_SP'!$C:$AN,MID(Z$1,1,2),FALSE)</f>
        <v>0</v>
      </c>
      <c r="AA1776" s="55">
        <f>VLOOKUP($E1776,'NI-Soc_SP'!$C:$AN,MID(AA$1,1,2),FALSE)</f>
        <v>0</v>
      </c>
      <c r="AB1776" s="55">
        <f>VLOOKUP($E1776,'NI-Soc_SP'!$C:$AN,MID(AB$1,1,2),FALSE)</f>
        <v>0</v>
      </c>
      <c r="AC1776" s="55">
        <f>VLOOKUP($E1776,'NI-Soc_SP'!$C:$AN,MID(AC$1,1,2),FALSE)</f>
        <v>0</v>
      </c>
      <c r="AD1776" s="55">
        <f>VLOOKUP($E1776,'NI-Soc_SP'!$C:$AN,MID(AD$1,1,2),FALSE)</f>
        <v>0</v>
      </c>
      <c r="AE1776" s="55">
        <f>VLOOKUP($E1776,'NI-Soc_SP'!$C:$AN,MID(AE$1,1,2),FALSE)</f>
        <v>0</v>
      </c>
      <c r="AF1776" s="55">
        <f>VLOOKUP($E1776,'NI-Soc_SP'!$C:$AN,MID(AF$1,1,2),FALSE)</f>
        <v>0</v>
      </c>
      <c r="AG1776" s="55">
        <f>VLOOKUP($E1776,'NI-Soc_SP'!$C:$AN,MID(AG$1,1,2),FALSE)</f>
        <v>0</v>
      </c>
      <c r="AH1776" s="55">
        <f>VLOOKUP($E1776,'NI-Soc_SP'!$C:$AN,MID(AH$1,1,2),FALSE)</f>
        <v>0</v>
      </c>
      <c r="AI1776" s="55">
        <f>VLOOKUP($E1776,'NI-Soc_SP'!$C:$AN,MID(AI$1,1,2),FALSE)</f>
        <v>0</v>
      </c>
      <c r="AJ1776" s="55">
        <f>VLOOKUP($E1776,'NI-Soc_SP'!$C:$AN,MID(AJ$1,1,2),FALSE)</f>
        <v>0</v>
      </c>
      <c r="AK1776" s="55">
        <f>VLOOKUP($E1776,'NI-Soc_SP'!$C:$AN,MID(AK$1,1,2),FALSE)</f>
        <v>0</v>
      </c>
      <c r="AL1776" s="55">
        <f>VLOOKUP($E1776,'NI-Soc_SP'!$C:$AN,MID(AL$1,1,2),FALSE)</f>
        <v>0</v>
      </c>
      <c r="AM1776" s="56">
        <f>VLOOKUP($E1776,'NI-Soc_SP'!$C:$AN,MID(AM$1,1,2),FALSE)</f>
        <v>0</v>
      </c>
      <c r="AN1776" s="30" t="str">
        <f t="shared" si="27"/>
        <v>20101010010220</v>
      </c>
    </row>
    <row r="1777" spans="3:40" x14ac:dyDescent="0.25">
      <c r="C1777" s="40"/>
      <c r="D1777" s="121" t="s">
        <v>1210</v>
      </c>
      <c r="E1777" s="121" t="s">
        <v>1211</v>
      </c>
      <c r="F1777" s="122" t="s">
        <v>2758</v>
      </c>
      <c r="G1777" s="69"/>
      <c r="H1777" s="52"/>
      <c r="I1777" s="52" t="s">
        <v>1212</v>
      </c>
      <c r="J1777" s="52"/>
      <c r="K1777" s="69" t="s">
        <v>79</v>
      </c>
      <c r="L1777" s="52"/>
      <c r="M1777" s="52"/>
      <c r="N1777" s="52"/>
      <c r="O1777" s="61" t="s">
        <v>1145</v>
      </c>
      <c r="P1777" s="70" t="s">
        <v>1213</v>
      </c>
      <c r="Q1777" s="55">
        <f>VLOOKUP(E1777,'NI-Soc_SP'!$C:$AN,12,FALSE)</f>
        <v>0</v>
      </c>
      <c r="R1777" s="55">
        <f>VLOOKUP(E1777,'NI-Soc_SP'!$C:$AN,13,FALSE)</f>
        <v>0</v>
      </c>
      <c r="S1777" s="55"/>
      <c r="T1777" s="55"/>
      <c r="U1777" s="55">
        <f>VLOOKUP($E1777,'NI-Soc_SP'!$C:$AN,MID(U$1,1,2),FALSE)</f>
        <v>0</v>
      </c>
      <c r="V1777" s="55">
        <f>VLOOKUP($E1777,'NI-Soc_SP'!$C:$AN,MID(V$1,1,2),FALSE)</f>
        <v>0</v>
      </c>
      <c r="W1777" s="55">
        <f>VLOOKUP($E1777,'NI-Soc_SP'!$C:$AN,MID(W$1,1,2),FALSE)</f>
        <v>0</v>
      </c>
      <c r="X1777" s="55">
        <f>VLOOKUP($E1777,'NI-Soc_SP'!$C:$AN,MID(X$1,1,2),FALSE)</f>
        <v>0</v>
      </c>
      <c r="Y1777" s="55">
        <f>VLOOKUP($E1777,'NI-Soc_SP'!$C:$AN,MID(Y$1,1,2),FALSE)</f>
        <v>0</v>
      </c>
      <c r="Z1777" s="55">
        <f>VLOOKUP($E1777,'NI-Soc_SP'!$C:$AN,MID(Z$1,1,2),FALSE)</f>
        <v>0</v>
      </c>
      <c r="AA1777" s="55">
        <f>VLOOKUP($E1777,'NI-Soc_SP'!$C:$AN,MID(AA$1,1,2),FALSE)</f>
        <v>0</v>
      </c>
      <c r="AB1777" s="55">
        <f>VLOOKUP($E1777,'NI-Soc_SP'!$C:$AN,MID(AB$1,1,2),FALSE)</f>
        <v>0</v>
      </c>
      <c r="AC1777" s="55">
        <f>VLOOKUP($E1777,'NI-Soc_SP'!$C:$AN,MID(AC$1,1,2),FALSE)</f>
        <v>0</v>
      </c>
      <c r="AD1777" s="55">
        <f>VLOOKUP($E1777,'NI-Soc_SP'!$C:$AN,MID(AD$1,1,2),FALSE)</f>
        <v>0</v>
      </c>
      <c r="AE1777" s="55">
        <f>VLOOKUP($E1777,'NI-Soc_SP'!$C:$AN,MID(AE$1,1,2),FALSE)</f>
        <v>0</v>
      </c>
      <c r="AF1777" s="55">
        <f>VLOOKUP($E1777,'NI-Soc_SP'!$C:$AN,MID(AF$1,1,2),FALSE)</f>
        <v>0</v>
      </c>
      <c r="AG1777" s="55">
        <f>VLOOKUP($E1777,'NI-Soc_SP'!$C:$AN,MID(AG$1,1,2),FALSE)</f>
        <v>0</v>
      </c>
      <c r="AH1777" s="55">
        <f>VLOOKUP($E1777,'NI-Soc_SP'!$C:$AN,MID(AH$1,1,2),FALSE)</f>
        <v>0</v>
      </c>
      <c r="AI1777" s="55">
        <f>VLOOKUP($E1777,'NI-Soc_SP'!$C:$AN,MID(AI$1,1,2),FALSE)</f>
        <v>0</v>
      </c>
      <c r="AJ1777" s="55">
        <f>VLOOKUP($E1777,'NI-Soc_SP'!$C:$AN,MID(AJ$1,1,2),FALSE)</f>
        <v>0</v>
      </c>
      <c r="AK1777" s="55">
        <f>VLOOKUP($E1777,'NI-Soc_SP'!$C:$AN,MID(AK$1,1,2),FALSE)</f>
        <v>0</v>
      </c>
      <c r="AL1777" s="55">
        <f>VLOOKUP($E1777,'NI-Soc_SP'!$C:$AN,MID(AL$1,1,2),FALSE)</f>
        <v>0</v>
      </c>
      <c r="AM1777" s="56">
        <f>VLOOKUP($E1777,'NI-Soc_SP'!$C:$AN,MID(AM$1,1,2),FALSE)</f>
        <v>0</v>
      </c>
      <c r="AN1777" s="30" t="str">
        <f t="shared" si="27"/>
        <v>20101010040010</v>
      </c>
    </row>
    <row r="1778" spans="3:40" x14ac:dyDescent="0.25">
      <c r="C1778" s="40"/>
      <c r="D1778" s="121" t="s">
        <v>1214</v>
      </c>
      <c r="E1778" s="121" t="s">
        <v>1215</v>
      </c>
      <c r="F1778" s="122" t="s">
        <v>2758</v>
      </c>
      <c r="G1778" s="69"/>
      <c r="H1778" s="52"/>
      <c r="I1778" s="52" t="s">
        <v>1216</v>
      </c>
      <c r="J1778" s="52"/>
      <c r="K1778" s="69" t="s">
        <v>79</v>
      </c>
      <c r="L1778" s="52"/>
      <c r="M1778" s="52"/>
      <c r="N1778" s="52"/>
      <c r="O1778" s="61" t="s">
        <v>1145</v>
      </c>
      <c r="P1778" s="71" t="s">
        <v>1217</v>
      </c>
      <c r="Q1778" s="55">
        <f>VLOOKUP(E1778,'NI-Soc_SP'!$C:$AN,12,FALSE)</f>
        <v>0</v>
      </c>
      <c r="R1778" s="55">
        <f>VLOOKUP(E1778,'NI-Soc_SP'!$C:$AN,13,FALSE)</f>
        <v>0</v>
      </c>
      <c r="S1778" s="55"/>
      <c r="T1778" s="55"/>
      <c r="U1778" s="55">
        <f>VLOOKUP($E1778,'NI-Soc_SP'!$C:$AN,MID(U$1,1,2),FALSE)</f>
        <v>0</v>
      </c>
      <c r="V1778" s="55">
        <f>VLOOKUP($E1778,'NI-Soc_SP'!$C:$AN,MID(V$1,1,2),FALSE)</f>
        <v>0</v>
      </c>
      <c r="W1778" s="55">
        <f>VLOOKUP($E1778,'NI-Soc_SP'!$C:$AN,MID(W$1,1,2),FALSE)</f>
        <v>0</v>
      </c>
      <c r="X1778" s="55">
        <f>VLOOKUP($E1778,'NI-Soc_SP'!$C:$AN,MID(X$1,1,2),FALSE)</f>
        <v>0</v>
      </c>
      <c r="Y1778" s="55">
        <f>VLOOKUP($E1778,'NI-Soc_SP'!$C:$AN,MID(Y$1,1,2),FALSE)</f>
        <v>0</v>
      </c>
      <c r="Z1778" s="55">
        <f>VLOOKUP($E1778,'NI-Soc_SP'!$C:$AN,MID(Z$1,1,2),FALSE)</f>
        <v>0</v>
      </c>
      <c r="AA1778" s="55">
        <f>VLOOKUP($E1778,'NI-Soc_SP'!$C:$AN,MID(AA$1,1,2),FALSE)</f>
        <v>0</v>
      </c>
      <c r="AB1778" s="55">
        <f>VLOOKUP($E1778,'NI-Soc_SP'!$C:$AN,MID(AB$1,1,2),FALSE)</f>
        <v>0</v>
      </c>
      <c r="AC1778" s="55">
        <f>VLOOKUP($E1778,'NI-Soc_SP'!$C:$AN,MID(AC$1,1,2),FALSE)</f>
        <v>0</v>
      </c>
      <c r="AD1778" s="55">
        <f>VLOOKUP($E1778,'NI-Soc_SP'!$C:$AN,MID(AD$1,1,2),FALSE)</f>
        <v>0</v>
      </c>
      <c r="AE1778" s="55">
        <f>VLOOKUP($E1778,'NI-Soc_SP'!$C:$AN,MID(AE$1,1,2),FALSE)</f>
        <v>0</v>
      </c>
      <c r="AF1778" s="55">
        <f>VLOOKUP($E1778,'NI-Soc_SP'!$C:$AN,MID(AF$1,1,2),FALSE)</f>
        <v>0</v>
      </c>
      <c r="AG1778" s="55">
        <f>VLOOKUP($E1778,'NI-Soc_SP'!$C:$AN,MID(AG$1,1,2),FALSE)</f>
        <v>0</v>
      </c>
      <c r="AH1778" s="55">
        <f>VLOOKUP($E1778,'NI-Soc_SP'!$C:$AN,MID(AH$1,1,2),FALSE)</f>
        <v>0</v>
      </c>
      <c r="AI1778" s="55">
        <f>VLOOKUP($E1778,'NI-Soc_SP'!$C:$AN,MID(AI$1,1,2),FALSE)</f>
        <v>0</v>
      </c>
      <c r="AJ1778" s="55">
        <f>VLOOKUP($E1778,'NI-Soc_SP'!$C:$AN,MID(AJ$1,1,2),FALSE)</f>
        <v>0</v>
      </c>
      <c r="AK1778" s="55">
        <f>VLOOKUP($E1778,'NI-Soc_SP'!$C:$AN,MID(AK$1,1,2),FALSE)</f>
        <v>0</v>
      </c>
      <c r="AL1778" s="55">
        <f>VLOOKUP($E1778,'NI-Soc_SP'!$C:$AN,MID(AL$1,1,2),FALSE)</f>
        <v>0</v>
      </c>
      <c r="AM1778" s="56">
        <f>VLOOKUP($E1778,'NI-Soc_SP'!$C:$AN,MID(AM$1,1,2),FALSE)</f>
        <v>0</v>
      </c>
      <c r="AN1778" s="30" t="str">
        <f t="shared" si="27"/>
        <v>20101010030010</v>
      </c>
    </row>
    <row r="1779" spans="3:40" ht="27" x14ac:dyDescent="0.25">
      <c r="C1779" s="40"/>
      <c r="D1779" s="121" t="s">
        <v>1218</v>
      </c>
      <c r="E1779" s="121" t="s">
        <v>1219</v>
      </c>
      <c r="F1779" s="122" t="s">
        <v>2758</v>
      </c>
      <c r="G1779" s="69"/>
      <c r="H1779" s="52"/>
      <c r="I1779" s="52" t="s">
        <v>1216</v>
      </c>
      <c r="J1779" s="52"/>
      <c r="K1779" s="69" t="s">
        <v>79</v>
      </c>
      <c r="L1779" s="52"/>
      <c r="M1779" s="52"/>
      <c r="N1779" s="52"/>
      <c r="O1779" s="61" t="s">
        <v>1145</v>
      </c>
      <c r="P1779" s="70" t="s">
        <v>1220</v>
      </c>
      <c r="Q1779" s="55">
        <f>VLOOKUP(E1779,'NI-Soc_SP'!$C:$AN,12,FALSE)</f>
        <v>0</v>
      </c>
      <c r="R1779" s="55">
        <f>VLOOKUP(E1779,'NI-Soc_SP'!$C:$AN,13,FALSE)</f>
        <v>0</v>
      </c>
      <c r="S1779" s="55"/>
      <c r="T1779" s="55"/>
      <c r="U1779" s="55">
        <f>VLOOKUP($E1779,'NI-Soc_SP'!$C:$AN,MID(U$1,1,2),FALSE)</f>
        <v>0</v>
      </c>
      <c r="V1779" s="55">
        <f>VLOOKUP($E1779,'NI-Soc_SP'!$C:$AN,MID(V$1,1,2),FALSE)</f>
        <v>0</v>
      </c>
      <c r="W1779" s="55">
        <f>VLOOKUP($E1779,'NI-Soc_SP'!$C:$AN,MID(W$1,1,2),FALSE)</f>
        <v>0</v>
      </c>
      <c r="X1779" s="55">
        <f>VLOOKUP($E1779,'NI-Soc_SP'!$C:$AN,MID(X$1,1,2),FALSE)</f>
        <v>0</v>
      </c>
      <c r="Y1779" s="55">
        <f>VLOOKUP($E1779,'NI-Soc_SP'!$C:$AN,MID(Y$1,1,2),FALSE)</f>
        <v>0</v>
      </c>
      <c r="Z1779" s="55">
        <f>VLOOKUP($E1779,'NI-Soc_SP'!$C:$AN,MID(Z$1,1,2),FALSE)</f>
        <v>0</v>
      </c>
      <c r="AA1779" s="55">
        <f>VLOOKUP($E1779,'NI-Soc_SP'!$C:$AN,MID(AA$1,1,2),FALSE)</f>
        <v>0</v>
      </c>
      <c r="AB1779" s="55">
        <f>VLOOKUP($E1779,'NI-Soc_SP'!$C:$AN,MID(AB$1,1,2),FALSE)</f>
        <v>0</v>
      </c>
      <c r="AC1779" s="55">
        <f>VLOOKUP($E1779,'NI-Soc_SP'!$C:$AN,MID(AC$1,1,2),FALSE)</f>
        <v>0</v>
      </c>
      <c r="AD1779" s="55">
        <f>VLOOKUP($E1779,'NI-Soc_SP'!$C:$AN,MID(AD$1,1,2),FALSE)</f>
        <v>0</v>
      </c>
      <c r="AE1779" s="55">
        <f>VLOOKUP($E1779,'NI-Soc_SP'!$C:$AN,MID(AE$1,1,2),FALSE)</f>
        <v>0</v>
      </c>
      <c r="AF1779" s="55">
        <f>VLOOKUP($E1779,'NI-Soc_SP'!$C:$AN,MID(AF$1,1,2),FALSE)</f>
        <v>0</v>
      </c>
      <c r="AG1779" s="55">
        <f>VLOOKUP($E1779,'NI-Soc_SP'!$C:$AN,MID(AG$1,1,2),FALSE)</f>
        <v>0</v>
      </c>
      <c r="AH1779" s="55">
        <f>VLOOKUP($E1779,'NI-Soc_SP'!$C:$AN,MID(AH$1,1,2),FALSE)</f>
        <v>0</v>
      </c>
      <c r="AI1779" s="55">
        <f>VLOOKUP($E1779,'NI-Soc_SP'!$C:$AN,MID(AI$1,1,2),FALSE)</f>
        <v>0</v>
      </c>
      <c r="AJ1779" s="55">
        <f>VLOOKUP($E1779,'NI-Soc_SP'!$C:$AN,MID(AJ$1,1,2),FALSE)</f>
        <v>0</v>
      </c>
      <c r="AK1779" s="55">
        <f>VLOOKUP($E1779,'NI-Soc_SP'!$C:$AN,MID(AK$1,1,2),FALSE)</f>
        <v>0</v>
      </c>
      <c r="AL1779" s="55">
        <f>VLOOKUP($E1779,'NI-Soc_SP'!$C:$AN,MID(AL$1,1,2),FALSE)</f>
        <v>0</v>
      </c>
      <c r="AM1779" s="56">
        <f>VLOOKUP($E1779,'NI-Soc_SP'!$C:$AN,MID(AM$1,1,2),FALSE)</f>
        <v>0</v>
      </c>
      <c r="AN1779" s="30" t="str">
        <f t="shared" si="27"/>
        <v>20101010030020</v>
      </c>
    </row>
    <row r="1780" spans="3:40" x14ac:dyDescent="0.25">
      <c r="C1780" s="40"/>
      <c r="D1780" s="121" t="s">
        <v>1221</v>
      </c>
      <c r="E1780" s="121" t="s">
        <v>1222</v>
      </c>
      <c r="F1780" s="122" t="s">
        <v>2758</v>
      </c>
      <c r="G1780" s="69"/>
      <c r="H1780" s="52"/>
      <c r="I1780" s="52" t="s">
        <v>1223</v>
      </c>
      <c r="J1780" s="52"/>
      <c r="K1780" s="69" t="s">
        <v>79</v>
      </c>
      <c r="L1780" s="52"/>
      <c r="M1780" s="52"/>
      <c r="N1780" s="52"/>
      <c r="O1780" s="61" t="s">
        <v>1145</v>
      </c>
      <c r="P1780" s="71" t="s">
        <v>1224</v>
      </c>
      <c r="Q1780" s="55">
        <f>VLOOKUP(E1780,'NI-Soc_SP'!$C:$AN,12,FALSE)</f>
        <v>0</v>
      </c>
      <c r="R1780" s="55">
        <f>VLOOKUP(E1780,'NI-Soc_SP'!$C:$AN,13,FALSE)</f>
        <v>0</v>
      </c>
      <c r="S1780" s="55"/>
      <c r="T1780" s="55"/>
      <c r="U1780" s="55">
        <f>VLOOKUP($E1780,'NI-Soc_SP'!$C:$AN,MID(U$1,1,2),FALSE)</f>
        <v>0</v>
      </c>
      <c r="V1780" s="55">
        <f>VLOOKUP($E1780,'NI-Soc_SP'!$C:$AN,MID(V$1,1,2),FALSE)</f>
        <v>0</v>
      </c>
      <c r="W1780" s="55">
        <f>VLOOKUP($E1780,'NI-Soc_SP'!$C:$AN,MID(W$1,1,2),FALSE)</f>
        <v>0</v>
      </c>
      <c r="X1780" s="55">
        <f>VLOOKUP($E1780,'NI-Soc_SP'!$C:$AN,MID(X$1,1,2),FALSE)</f>
        <v>0</v>
      </c>
      <c r="Y1780" s="55">
        <f>VLOOKUP($E1780,'NI-Soc_SP'!$C:$AN,MID(Y$1,1,2),FALSE)</f>
        <v>0</v>
      </c>
      <c r="Z1780" s="55">
        <f>VLOOKUP($E1780,'NI-Soc_SP'!$C:$AN,MID(Z$1,1,2),FALSE)</f>
        <v>0</v>
      </c>
      <c r="AA1780" s="55">
        <f>VLOOKUP($E1780,'NI-Soc_SP'!$C:$AN,MID(AA$1,1,2),FALSE)</f>
        <v>0</v>
      </c>
      <c r="AB1780" s="55">
        <f>VLOOKUP($E1780,'NI-Soc_SP'!$C:$AN,MID(AB$1,1,2),FALSE)</f>
        <v>0</v>
      </c>
      <c r="AC1780" s="55">
        <f>VLOOKUP($E1780,'NI-Soc_SP'!$C:$AN,MID(AC$1,1,2),FALSE)</f>
        <v>0</v>
      </c>
      <c r="AD1780" s="55">
        <f>VLOOKUP($E1780,'NI-Soc_SP'!$C:$AN,MID(AD$1,1,2),FALSE)</f>
        <v>0</v>
      </c>
      <c r="AE1780" s="55">
        <f>VLOOKUP($E1780,'NI-Soc_SP'!$C:$AN,MID(AE$1,1,2),FALSE)</f>
        <v>0</v>
      </c>
      <c r="AF1780" s="55">
        <f>VLOOKUP($E1780,'NI-Soc_SP'!$C:$AN,MID(AF$1,1,2),FALSE)</f>
        <v>0</v>
      </c>
      <c r="AG1780" s="55">
        <f>VLOOKUP($E1780,'NI-Soc_SP'!$C:$AN,MID(AG$1,1,2),FALSE)</f>
        <v>0</v>
      </c>
      <c r="AH1780" s="55">
        <f>VLOOKUP($E1780,'NI-Soc_SP'!$C:$AN,MID(AH$1,1,2),FALSE)</f>
        <v>0</v>
      </c>
      <c r="AI1780" s="55">
        <f>VLOOKUP($E1780,'NI-Soc_SP'!$C:$AN,MID(AI$1,1,2),FALSE)</f>
        <v>0</v>
      </c>
      <c r="AJ1780" s="55">
        <f>VLOOKUP($E1780,'NI-Soc_SP'!$C:$AN,MID(AJ$1,1,2),FALSE)</f>
        <v>0</v>
      </c>
      <c r="AK1780" s="55">
        <f>VLOOKUP($E1780,'NI-Soc_SP'!$C:$AN,MID(AK$1,1,2),FALSE)</f>
        <v>0</v>
      </c>
      <c r="AL1780" s="55">
        <f>VLOOKUP($E1780,'NI-Soc_SP'!$C:$AN,MID(AL$1,1,2),FALSE)</f>
        <v>0</v>
      </c>
      <c r="AM1780" s="56">
        <f>VLOOKUP($E1780,'NI-Soc_SP'!$C:$AN,MID(AM$1,1,2),FALSE)</f>
        <v>0</v>
      </c>
      <c r="AN1780" s="30" t="str">
        <f t="shared" si="27"/>
        <v>20101010060010</v>
      </c>
    </row>
    <row r="1781" spans="3:40" ht="27" x14ac:dyDescent="0.25">
      <c r="C1781" s="40"/>
      <c r="D1781" s="121" t="s">
        <v>1225</v>
      </c>
      <c r="E1781" s="121" t="s">
        <v>1226</v>
      </c>
      <c r="F1781" s="122" t="s">
        <v>2758</v>
      </c>
      <c r="G1781" s="69"/>
      <c r="H1781" s="52"/>
      <c r="I1781" s="52" t="s">
        <v>1216</v>
      </c>
      <c r="J1781" s="52"/>
      <c r="K1781" s="69" t="s">
        <v>79</v>
      </c>
      <c r="L1781" s="52"/>
      <c r="M1781" s="52"/>
      <c r="N1781" s="52"/>
      <c r="O1781" s="61" t="s">
        <v>1145</v>
      </c>
      <c r="P1781" s="71" t="s">
        <v>1227</v>
      </c>
      <c r="Q1781" s="55">
        <f>VLOOKUP(E1781,'NI-Soc_SP'!$C:$AN,12,FALSE)</f>
        <v>0</v>
      </c>
      <c r="R1781" s="55">
        <f>VLOOKUP(E1781,'NI-Soc_SP'!$C:$AN,13,FALSE)</f>
        <v>0</v>
      </c>
      <c r="S1781" s="55"/>
      <c r="T1781" s="55"/>
      <c r="U1781" s="55">
        <f>VLOOKUP($E1781,'NI-Soc_SP'!$C:$AN,MID(U$1,1,2),FALSE)</f>
        <v>0</v>
      </c>
      <c r="V1781" s="55">
        <f>VLOOKUP($E1781,'NI-Soc_SP'!$C:$AN,MID(V$1,1,2),FALSE)</f>
        <v>0</v>
      </c>
      <c r="W1781" s="55">
        <f>VLOOKUP($E1781,'NI-Soc_SP'!$C:$AN,MID(W$1,1,2),FALSE)</f>
        <v>0</v>
      </c>
      <c r="X1781" s="55">
        <f>VLOOKUP($E1781,'NI-Soc_SP'!$C:$AN,MID(X$1,1,2),FALSE)</f>
        <v>0</v>
      </c>
      <c r="Y1781" s="55">
        <f>VLOOKUP($E1781,'NI-Soc_SP'!$C:$AN,MID(Y$1,1,2),FALSE)</f>
        <v>0</v>
      </c>
      <c r="Z1781" s="55">
        <f>VLOOKUP($E1781,'NI-Soc_SP'!$C:$AN,MID(Z$1,1,2),FALSE)</f>
        <v>0</v>
      </c>
      <c r="AA1781" s="55">
        <f>VLOOKUP($E1781,'NI-Soc_SP'!$C:$AN,MID(AA$1,1,2),FALSE)</f>
        <v>0</v>
      </c>
      <c r="AB1781" s="55">
        <f>VLOOKUP($E1781,'NI-Soc_SP'!$C:$AN,MID(AB$1,1,2),FALSE)</f>
        <v>0</v>
      </c>
      <c r="AC1781" s="55">
        <f>VLOOKUP($E1781,'NI-Soc_SP'!$C:$AN,MID(AC$1,1,2),FALSE)</f>
        <v>0</v>
      </c>
      <c r="AD1781" s="55">
        <f>VLOOKUP($E1781,'NI-Soc_SP'!$C:$AN,MID(AD$1,1,2),FALSE)</f>
        <v>0</v>
      </c>
      <c r="AE1781" s="55">
        <f>VLOOKUP($E1781,'NI-Soc_SP'!$C:$AN,MID(AE$1,1,2),FALSE)</f>
        <v>0</v>
      </c>
      <c r="AF1781" s="55">
        <f>VLOOKUP($E1781,'NI-Soc_SP'!$C:$AN,MID(AF$1,1,2),FALSE)</f>
        <v>0</v>
      </c>
      <c r="AG1781" s="55">
        <f>VLOOKUP($E1781,'NI-Soc_SP'!$C:$AN,MID(AG$1,1,2),FALSE)</f>
        <v>0</v>
      </c>
      <c r="AH1781" s="55">
        <f>VLOOKUP($E1781,'NI-Soc_SP'!$C:$AN,MID(AH$1,1,2),FALSE)</f>
        <v>0</v>
      </c>
      <c r="AI1781" s="55">
        <f>VLOOKUP($E1781,'NI-Soc_SP'!$C:$AN,MID(AI$1,1,2),FALSE)</f>
        <v>0</v>
      </c>
      <c r="AJ1781" s="55">
        <f>VLOOKUP($E1781,'NI-Soc_SP'!$C:$AN,MID(AJ$1,1,2),FALSE)</f>
        <v>0</v>
      </c>
      <c r="AK1781" s="55">
        <f>VLOOKUP($E1781,'NI-Soc_SP'!$C:$AN,MID(AK$1,1,2),FALSE)</f>
        <v>0</v>
      </c>
      <c r="AL1781" s="55">
        <f>VLOOKUP($E1781,'NI-Soc_SP'!$C:$AN,MID(AL$1,1,2),FALSE)</f>
        <v>0</v>
      </c>
      <c r="AM1781" s="56">
        <f>VLOOKUP($E1781,'NI-Soc_SP'!$C:$AN,MID(AM$1,1,2),FALSE)</f>
        <v>0</v>
      </c>
      <c r="AN1781" s="30" t="str">
        <f t="shared" si="27"/>
        <v>20101010030030</v>
      </c>
    </row>
    <row r="1782" spans="3:40" x14ac:dyDescent="0.25">
      <c r="C1782" s="40"/>
      <c r="D1782" s="121" t="s">
        <v>1228</v>
      </c>
      <c r="E1782" s="121" t="s">
        <v>1229</v>
      </c>
      <c r="F1782" s="122" t="s">
        <v>2758</v>
      </c>
      <c r="G1782" s="69"/>
      <c r="H1782" s="52"/>
      <c r="I1782" s="52" t="s">
        <v>1216</v>
      </c>
      <c r="J1782" s="52"/>
      <c r="K1782" s="69" t="s">
        <v>79</v>
      </c>
      <c r="L1782" s="52"/>
      <c r="M1782" s="52"/>
      <c r="N1782" s="52"/>
      <c r="O1782" s="61" t="s">
        <v>1145</v>
      </c>
      <c r="P1782" s="71" t="s">
        <v>1230</v>
      </c>
      <c r="Q1782" s="55">
        <f>VLOOKUP(E1782,'NI-Soc_SP'!$C:$AN,12,FALSE)</f>
        <v>0</v>
      </c>
      <c r="R1782" s="55">
        <f>VLOOKUP(E1782,'NI-Soc_SP'!$C:$AN,13,FALSE)</f>
        <v>0</v>
      </c>
      <c r="S1782" s="55"/>
      <c r="T1782" s="55"/>
      <c r="U1782" s="55">
        <f>VLOOKUP($E1782,'NI-Soc_SP'!$C:$AN,MID(U$1,1,2),FALSE)</f>
        <v>0</v>
      </c>
      <c r="V1782" s="55">
        <f>VLOOKUP($E1782,'NI-Soc_SP'!$C:$AN,MID(V$1,1,2),FALSE)</f>
        <v>0</v>
      </c>
      <c r="W1782" s="55">
        <f>VLOOKUP($E1782,'NI-Soc_SP'!$C:$AN,MID(W$1,1,2),FALSE)</f>
        <v>0</v>
      </c>
      <c r="X1782" s="55">
        <f>VLOOKUP($E1782,'NI-Soc_SP'!$C:$AN,MID(X$1,1,2),FALSE)</f>
        <v>0</v>
      </c>
      <c r="Y1782" s="55">
        <f>VLOOKUP($E1782,'NI-Soc_SP'!$C:$AN,MID(Y$1,1,2),FALSE)</f>
        <v>0</v>
      </c>
      <c r="Z1782" s="55">
        <f>VLOOKUP($E1782,'NI-Soc_SP'!$C:$AN,MID(Z$1,1,2),FALSE)</f>
        <v>0</v>
      </c>
      <c r="AA1782" s="55">
        <f>VLOOKUP($E1782,'NI-Soc_SP'!$C:$AN,MID(AA$1,1,2),FALSE)</f>
        <v>0</v>
      </c>
      <c r="AB1782" s="55">
        <f>VLOOKUP($E1782,'NI-Soc_SP'!$C:$AN,MID(AB$1,1,2),FALSE)</f>
        <v>0</v>
      </c>
      <c r="AC1782" s="55">
        <f>VLOOKUP($E1782,'NI-Soc_SP'!$C:$AN,MID(AC$1,1,2),FALSE)</f>
        <v>0</v>
      </c>
      <c r="AD1782" s="55">
        <f>VLOOKUP($E1782,'NI-Soc_SP'!$C:$AN,MID(AD$1,1,2),FALSE)</f>
        <v>0</v>
      </c>
      <c r="AE1782" s="55">
        <f>VLOOKUP($E1782,'NI-Soc_SP'!$C:$AN,MID(AE$1,1,2),FALSE)</f>
        <v>0</v>
      </c>
      <c r="AF1782" s="55">
        <f>VLOOKUP($E1782,'NI-Soc_SP'!$C:$AN,MID(AF$1,1,2),FALSE)</f>
        <v>0</v>
      </c>
      <c r="AG1782" s="55">
        <f>VLOOKUP($E1782,'NI-Soc_SP'!$C:$AN,MID(AG$1,1,2),FALSE)</f>
        <v>0</v>
      </c>
      <c r="AH1782" s="55">
        <f>VLOOKUP($E1782,'NI-Soc_SP'!$C:$AN,MID(AH$1,1,2),FALSE)</f>
        <v>0</v>
      </c>
      <c r="AI1782" s="55">
        <f>VLOOKUP($E1782,'NI-Soc_SP'!$C:$AN,MID(AI$1,1,2),FALSE)</f>
        <v>0</v>
      </c>
      <c r="AJ1782" s="55">
        <f>VLOOKUP($E1782,'NI-Soc_SP'!$C:$AN,MID(AJ$1,1,2),FALSE)</f>
        <v>0</v>
      </c>
      <c r="AK1782" s="55">
        <f>VLOOKUP($E1782,'NI-Soc_SP'!$C:$AN,MID(AK$1,1,2),FALSE)</f>
        <v>0</v>
      </c>
      <c r="AL1782" s="55">
        <f>VLOOKUP($E1782,'NI-Soc_SP'!$C:$AN,MID(AL$1,1,2),FALSE)</f>
        <v>0</v>
      </c>
      <c r="AM1782" s="56">
        <f>VLOOKUP($E1782,'NI-Soc_SP'!$C:$AN,MID(AM$1,1,2),FALSE)</f>
        <v>0</v>
      </c>
      <c r="AN1782" s="30" t="str">
        <f t="shared" si="27"/>
        <v>20101010030040</v>
      </c>
    </row>
    <row r="1783" spans="3:40" x14ac:dyDescent="0.25">
      <c r="C1783" s="40"/>
      <c r="D1783" s="121" t="s">
        <v>1231</v>
      </c>
      <c r="E1783" s="121" t="s">
        <v>1232</v>
      </c>
      <c r="F1783" s="122" t="s">
        <v>2758</v>
      </c>
      <c r="G1783" s="69"/>
      <c r="H1783" s="52"/>
      <c r="I1783" s="52" t="s">
        <v>1216</v>
      </c>
      <c r="J1783" s="52"/>
      <c r="K1783" s="69" t="s">
        <v>79</v>
      </c>
      <c r="L1783" s="52"/>
      <c r="M1783" s="52"/>
      <c r="N1783" s="52"/>
      <c r="O1783" s="61" t="s">
        <v>1145</v>
      </c>
      <c r="P1783" s="70" t="s">
        <v>1233</v>
      </c>
      <c r="Q1783" s="55">
        <f>VLOOKUP(E1783,'NI-Soc_SP'!$C:$AN,12,FALSE)</f>
        <v>0</v>
      </c>
      <c r="R1783" s="55">
        <f>VLOOKUP(E1783,'NI-Soc_SP'!$C:$AN,13,FALSE)</f>
        <v>0</v>
      </c>
      <c r="S1783" s="55"/>
      <c r="T1783" s="55"/>
      <c r="U1783" s="55">
        <f>VLOOKUP($E1783,'NI-Soc_SP'!$C:$AN,MID(U$1,1,2),FALSE)</f>
        <v>0</v>
      </c>
      <c r="V1783" s="55">
        <f>VLOOKUP($E1783,'NI-Soc_SP'!$C:$AN,MID(V$1,1,2),FALSE)</f>
        <v>0</v>
      </c>
      <c r="W1783" s="55">
        <f>VLOOKUP($E1783,'NI-Soc_SP'!$C:$AN,MID(W$1,1,2),FALSE)</f>
        <v>0</v>
      </c>
      <c r="X1783" s="55">
        <f>VLOOKUP($E1783,'NI-Soc_SP'!$C:$AN,MID(X$1,1,2),FALSE)</f>
        <v>0</v>
      </c>
      <c r="Y1783" s="55">
        <f>VLOOKUP($E1783,'NI-Soc_SP'!$C:$AN,MID(Y$1,1,2),FALSE)</f>
        <v>0</v>
      </c>
      <c r="Z1783" s="55">
        <f>VLOOKUP($E1783,'NI-Soc_SP'!$C:$AN,MID(Z$1,1,2),FALSE)</f>
        <v>0</v>
      </c>
      <c r="AA1783" s="55">
        <f>VLOOKUP($E1783,'NI-Soc_SP'!$C:$AN,MID(AA$1,1,2),FALSE)</f>
        <v>0</v>
      </c>
      <c r="AB1783" s="55">
        <f>VLOOKUP($E1783,'NI-Soc_SP'!$C:$AN,MID(AB$1,1,2),FALSE)</f>
        <v>0</v>
      </c>
      <c r="AC1783" s="55">
        <f>VLOOKUP($E1783,'NI-Soc_SP'!$C:$AN,MID(AC$1,1,2),FALSE)</f>
        <v>0</v>
      </c>
      <c r="AD1783" s="55">
        <f>VLOOKUP($E1783,'NI-Soc_SP'!$C:$AN,MID(AD$1,1,2),FALSE)</f>
        <v>0</v>
      </c>
      <c r="AE1783" s="55">
        <f>VLOOKUP($E1783,'NI-Soc_SP'!$C:$AN,MID(AE$1,1,2),FALSE)</f>
        <v>0</v>
      </c>
      <c r="AF1783" s="55">
        <f>VLOOKUP($E1783,'NI-Soc_SP'!$C:$AN,MID(AF$1,1,2),FALSE)</f>
        <v>0</v>
      </c>
      <c r="AG1783" s="55">
        <f>VLOOKUP($E1783,'NI-Soc_SP'!$C:$AN,MID(AG$1,1,2),FALSE)</f>
        <v>0</v>
      </c>
      <c r="AH1783" s="55">
        <f>VLOOKUP($E1783,'NI-Soc_SP'!$C:$AN,MID(AH$1,1,2),FALSE)</f>
        <v>0</v>
      </c>
      <c r="AI1783" s="55">
        <f>VLOOKUP($E1783,'NI-Soc_SP'!$C:$AN,MID(AI$1,1,2),FALSE)</f>
        <v>0</v>
      </c>
      <c r="AJ1783" s="55">
        <f>VLOOKUP($E1783,'NI-Soc_SP'!$C:$AN,MID(AJ$1,1,2),FALSE)</f>
        <v>0</v>
      </c>
      <c r="AK1783" s="55">
        <f>VLOOKUP($E1783,'NI-Soc_SP'!$C:$AN,MID(AK$1,1,2),FALSE)</f>
        <v>0</v>
      </c>
      <c r="AL1783" s="55">
        <f>VLOOKUP($E1783,'NI-Soc_SP'!$C:$AN,MID(AL$1,1,2),FALSE)</f>
        <v>0</v>
      </c>
      <c r="AM1783" s="56">
        <f>VLOOKUP($E1783,'NI-Soc_SP'!$C:$AN,MID(AM$1,1,2),FALSE)</f>
        <v>0</v>
      </c>
      <c r="AN1783" s="30" t="str">
        <f t="shared" si="27"/>
        <v>20101010030050</v>
      </c>
    </row>
    <row r="1784" spans="3:40" x14ac:dyDescent="0.25">
      <c r="C1784" s="40"/>
      <c r="D1784" s="121" t="s">
        <v>1234</v>
      </c>
      <c r="E1784" s="121" t="s">
        <v>1235</v>
      </c>
      <c r="F1784" s="122" t="s">
        <v>2758</v>
      </c>
      <c r="G1784" s="69"/>
      <c r="H1784" s="52"/>
      <c r="I1784" s="52" t="s">
        <v>1216</v>
      </c>
      <c r="J1784" s="52"/>
      <c r="K1784" s="69" t="s">
        <v>79</v>
      </c>
      <c r="L1784" s="52"/>
      <c r="M1784" s="52"/>
      <c r="N1784" s="52"/>
      <c r="O1784" s="61" t="s">
        <v>1145</v>
      </c>
      <c r="P1784" s="70" t="s">
        <v>1236</v>
      </c>
      <c r="Q1784" s="55">
        <f>VLOOKUP(E1784,'NI-Soc_SP'!$C:$AN,12,FALSE)</f>
        <v>0</v>
      </c>
      <c r="R1784" s="55">
        <f>VLOOKUP(E1784,'NI-Soc_SP'!$C:$AN,13,FALSE)</f>
        <v>0</v>
      </c>
      <c r="S1784" s="55"/>
      <c r="T1784" s="55"/>
      <c r="U1784" s="55">
        <f>VLOOKUP($E1784,'NI-Soc_SP'!$C:$AN,MID(U$1,1,2),FALSE)</f>
        <v>0</v>
      </c>
      <c r="V1784" s="55">
        <f>VLOOKUP($E1784,'NI-Soc_SP'!$C:$AN,MID(V$1,1,2),FALSE)</f>
        <v>0</v>
      </c>
      <c r="W1784" s="55">
        <f>VLOOKUP($E1784,'NI-Soc_SP'!$C:$AN,MID(W$1,1,2),FALSE)</f>
        <v>0</v>
      </c>
      <c r="X1784" s="55">
        <f>VLOOKUP($E1784,'NI-Soc_SP'!$C:$AN,MID(X$1,1,2),FALSE)</f>
        <v>0</v>
      </c>
      <c r="Y1784" s="55">
        <f>VLOOKUP($E1784,'NI-Soc_SP'!$C:$AN,MID(Y$1,1,2),FALSE)</f>
        <v>0</v>
      </c>
      <c r="Z1784" s="55">
        <f>VLOOKUP($E1784,'NI-Soc_SP'!$C:$AN,MID(Z$1,1,2),FALSE)</f>
        <v>0</v>
      </c>
      <c r="AA1784" s="55">
        <f>VLOOKUP($E1784,'NI-Soc_SP'!$C:$AN,MID(AA$1,1,2),FALSE)</f>
        <v>0</v>
      </c>
      <c r="AB1784" s="55">
        <f>VLOOKUP($E1784,'NI-Soc_SP'!$C:$AN,MID(AB$1,1,2),FALSE)</f>
        <v>0</v>
      </c>
      <c r="AC1784" s="55">
        <f>VLOOKUP($E1784,'NI-Soc_SP'!$C:$AN,MID(AC$1,1,2),FALSE)</f>
        <v>0</v>
      </c>
      <c r="AD1784" s="55">
        <f>VLOOKUP($E1784,'NI-Soc_SP'!$C:$AN,MID(AD$1,1,2),FALSE)</f>
        <v>0</v>
      </c>
      <c r="AE1784" s="55">
        <f>VLOOKUP($E1784,'NI-Soc_SP'!$C:$AN,MID(AE$1,1,2),FALSE)</f>
        <v>0</v>
      </c>
      <c r="AF1784" s="55">
        <f>VLOOKUP($E1784,'NI-Soc_SP'!$C:$AN,MID(AF$1,1,2),FALSE)</f>
        <v>0</v>
      </c>
      <c r="AG1784" s="55">
        <f>VLOOKUP($E1784,'NI-Soc_SP'!$C:$AN,MID(AG$1,1,2),FALSE)</f>
        <v>0</v>
      </c>
      <c r="AH1784" s="55">
        <f>VLOOKUP($E1784,'NI-Soc_SP'!$C:$AN,MID(AH$1,1,2),FALSE)</f>
        <v>0</v>
      </c>
      <c r="AI1784" s="55">
        <f>VLOOKUP($E1784,'NI-Soc_SP'!$C:$AN,MID(AI$1,1,2),FALSE)</f>
        <v>0</v>
      </c>
      <c r="AJ1784" s="55">
        <f>VLOOKUP($E1784,'NI-Soc_SP'!$C:$AN,MID(AJ$1,1,2),FALSE)</f>
        <v>0</v>
      </c>
      <c r="AK1784" s="55">
        <f>VLOOKUP($E1784,'NI-Soc_SP'!$C:$AN,MID(AK$1,1,2),FALSE)</f>
        <v>0</v>
      </c>
      <c r="AL1784" s="55">
        <f>VLOOKUP($E1784,'NI-Soc_SP'!$C:$AN,MID(AL$1,1,2),FALSE)</f>
        <v>0</v>
      </c>
      <c r="AM1784" s="56">
        <f>VLOOKUP($E1784,'NI-Soc_SP'!$C:$AN,MID(AM$1,1,2),FALSE)</f>
        <v>0</v>
      </c>
      <c r="AN1784" s="30" t="str">
        <f t="shared" si="27"/>
        <v>20101010030060</v>
      </c>
    </row>
    <row r="1785" spans="3:40" x14ac:dyDescent="0.25">
      <c r="C1785" s="40"/>
      <c r="D1785" s="121" t="s">
        <v>1237</v>
      </c>
      <c r="E1785" s="121" t="s">
        <v>1238</v>
      </c>
      <c r="F1785" s="122" t="s">
        <v>2758</v>
      </c>
      <c r="G1785" s="69"/>
      <c r="H1785" s="52"/>
      <c r="I1785" s="52" t="s">
        <v>1239</v>
      </c>
      <c r="J1785" s="52"/>
      <c r="K1785" s="69" t="s">
        <v>79</v>
      </c>
      <c r="L1785" s="52"/>
      <c r="M1785" s="52"/>
      <c r="N1785" s="52"/>
      <c r="O1785" s="61" t="s">
        <v>1145</v>
      </c>
      <c r="P1785" s="70" t="s">
        <v>1240</v>
      </c>
      <c r="Q1785" s="55">
        <f>VLOOKUP(E1785,'NI-Soc_SP'!$C:$AN,12,FALSE)</f>
        <v>0</v>
      </c>
      <c r="R1785" s="55">
        <f>VLOOKUP(E1785,'NI-Soc_SP'!$C:$AN,13,FALSE)</f>
        <v>0</v>
      </c>
      <c r="S1785" s="55"/>
      <c r="T1785" s="55"/>
      <c r="U1785" s="55">
        <f>VLOOKUP($E1785,'NI-Soc_SP'!$C:$AN,MID(U$1,1,2),FALSE)</f>
        <v>0</v>
      </c>
      <c r="V1785" s="55">
        <f>VLOOKUP($E1785,'NI-Soc_SP'!$C:$AN,MID(V$1,1,2),FALSE)</f>
        <v>0</v>
      </c>
      <c r="W1785" s="55">
        <f>VLOOKUP($E1785,'NI-Soc_SP'!$C:$AN,MID(W$1,1,2),FALSE)</f>
        <v>0</v>
      </c>
      <c r="X1785" s="55">
        <f>VLOOKUP($E1785,'NI-Soc_SP'!$C:$AN,MID(X$1,1,2),FALSE)</f>
        <v>0</v>
      </c>
      <c r="Y1785" s="55">
        <f>VLOOKUP($E1785,'NI-Soc_SP'!$C:$AN,MID(Y$1,1,2),FALSE)</f>
        <v>0</v>
      </c>
      <c r="Z1785" s="55">
        <f>VLOOKUP($E1785,'NI-Soc_SP'!$C:$AN,MID(Z$1,1,2),FALSE)</f>
        <v>0</v>
      </c>
      <c r="AA1785" s="55">
        <f>VLOOKUP($E1785,'NI-Soc_SP'!$C:$AN,MID(AA$1,1,2),FALSE)</f>
        <v>0</v>
      </c>
      <c r="AB1785" s="55">
        <f>VLOOKUP($E1785,'NI-Soc_SP'!$C:$AN,MID(AB$1,1,2),FALSE)</f>
        <v>0</v>
      </c>
      <c r="AC1785" s="55">
        <f>VLOOKUP($E1785,'NI-Soc_SP'!$C:$AN,MID(AC$1,1,2),FALSE)</f>
        <v>0</v>
      </c>
      <c r="AD1785" s="55">
        <f>VLOOKUP($E1785,'NI-Soc_SP'!$C:$AN,MID(AD$1,1,2),FALSE)</f>
        <v>0</v>
      </c>
      <c r="AE1785" s="55">
        <f>VLOOKUP($E1785,'NI-Soc_SP'!$C:$AN,MID(AE$1,1,2),FALSE)</f>
        <v>0</v>
      </c>
      <c r="AF1785" s="55">
        <f>VLOOKUP($E1785,'NI-Soc_SP'!$C:$AN,MID(AF$1,1,2),FALSE)</f>
        <v>0</v>
      </c>
      <c r="AG1785" s="55">
        <f>VLOOKUP($E1785,'NI-Soc_SP'!$C:$AN,MID(AG$1,1,2),FALSE)</f>
        <v>0</v>
      </c>
      <c r="AH1785" s="55">
        <f>VLOOKUP($E1785,'NI-Soc_SP'!$C:$AN,MID(AH$1,1,2),FALSE)</f>
        <v>0</v>
      </c>
      <c r="AI1785" s="55">
        <f>VLOOKUP($E1785,'NI-Soc_SP'!$C:$AN,MID(AI$1,1,2),FALSE)</f>
        <v>0</v>
      </c>
      <c r="AJ1785" s="55">
        <f>VLOOKUP($E1785,'NI-Soc_SP'!$C:$AN,MID(AJ$1,1,2),FALSE)</f>
        <v>0</v>
      </c>
      <c r="AK1785" s="55">
        <f>VLOOKUP($E1785,'NI-Soc_SP'!$C:$AN,MID(AK$1,1,2),FALSE)</f>
        <v>0</v>
      </c>
      <c r="AL1785" s="55">
        <f>VLOOKUP($E1785,'NI-Soc_SP'!$C:$AN,MID(AL$1,1,2),FALSE)</f>
        <v>0</v>
      </c>
      <c r="AM1785" s="56">
        <f>VLOOKUP($E1785,'NI-Soc_SP'!$C:$AN,MID(AM$1,1,2),FALSE)</f>
        <v>0</v>
      </c>
      <c r="AN1785" s="30" t="str">
        <f t="shared" si="27"/>
        <v>20101010070020</v>
      </c>
    </row>
    <row r="1786" spans="3:40" x14ac:dyDescent="0.25">
      <c r="C1786" s="40"/>
      <c r="D1786" s="121" t="s">
        <v>1241</v>
      </c>
      <c r="E1786" s="121" t="s">
        <v>1242</v>
      </c>
      <c r="F1786" s="122" t="s">
        <v>2758</v>
      </c>
      <c r="G1786" s="69"/>
      <c r="H1786" s="52"/>
      <c r="I1786" s="52" t="s">
        <v>1216</v>
      </c>
      <c r="J1786" s="52"/>
      <c r="K1786" s="69" t="s">
        <v>79</v>
      </c>
      <c r="L1786" s="52"/>
      <c r="M1786" s="52"/>
      <c r="N1786" s="52"/>
      <c r="O1786" s="61" t="s">
        <v>1145</v>
      </c>
      <c r="P1786" s="70" t="s">
        <v>1243</v>
      </c>
      <c r="Q1786" s="55">
        <f>VLOOKUP(E1786,'NI-Soc_SP'!$C:$AN,12,FALSE)</f>
        <v>0</v>
      </c>
      <c r="R1786" s="55">
        <f>VLOOKUP(E1786,'NI-Soc_SP'!$C:$AN,13,FALSE)</f>
        <v>0</v>
      </c>
      <c r="S1786" s="55"/>
      <c r="T1786" s="55"/>
      <c r="U1786" s="55">
        <f>VLOOKUP($E1786,'NI-Soc_SP'!$C:$AN,MID(U$1,1,2),FALSE)</f>
        <v>0</v>
      </c>
      <c r="V1786" s="55">
        <f>VLOOKUP($E1786,'NI-Soc_SP'!$C:$AN,MID(V$1,1,2),FALSE)</f>
        <v>0</v>
      </c>
      <c r="W1786" s="55">
        <f>VLOOKUP($E1786,'NI-Soc_SP'!$C:$AN,MID(W$1,1,2),FALSE)</f>
        <v>0</v>
      </c>
      <c r="X1786" s="55">
        <f>VLOOKUP($E1786,'NI-Soc_SP'!$C:$AN,MID(X$1,1,2),FALSE)</f>
        <v>0</v>
      </c>
      <c r="Y1786" s="55">
        <f>VLOOKUP($E1786,'NI-Soc_SP'!$C:$AN,MID(Y$1,1,2),FALSE)</f>
        <v>0</v>
      </c>
      <c r="Z1786" s="55">
        <f>VLOOKUP($E1786,'NI-Soc_SP'!$C:$AN,MID(Z$1,1,2),FALSE)</f>
        <v>0</v>
      </c>
      <c r="AA1786" s="55">
        <f>VLOOKUP($E1786,'NI-Soc_SP'!$C:$AN,MID(AA$1,1,2),FALSE)</f>
        <v>0</v>
      </c>
      <c r="AB1786" s="55">
        <f>VLOOKUP($E1786,'NI-Soc_SP'!$C:$AN,MID(AB$1,1,2),FALSE)</f>
        <v>0</v>
      </c>
      <c r="AC1786" s="55">
        <f>VLOOKUP($E1786,'NI-Soc_SP'!$C:$AN,MID(AC$1,1,2),FALSE)</f>
        <v>0</v>
      </c>
      <c r="AD1786" s="55">
        <f>VLOOKUP($E1786,'NI-Soc_SP'!$C:$AN,MID(AD$1,1,2),FALSE)</f>
        <v>0</v>
      </c>
      <c r="AE1786" s="55">
        <f>VLOOKUP($E1786,'NI-Soc_SP'!$C:$AN,MID(AE$1,1,2),FALSE)</f>
        <v>0</v>
      </c>
      <c r="AF1786" s="55">
        <f>VLOOKUP($E1786,'NI-Soc_SP'!$C:$AN,MID(AF$1,1,2),FALSE)</f>
        <v>0</v>
      </c>
      <c r="AG1786" s="55">
        <f>VLOOKUP($E1786,'NI-Soc_SP'!$C:$AN,MID(AG$1,1,2),FALSE)</f>
        <v>0</v>
      </c>
      <c r="AH1786" s="55">
        <f>VLOOKUP($E1786,'NI-Soc_SP'!$C:$AN,MID(AH$1,1,2),FALSE)</f>
        <v>0</v>
      </c>
      <c r="AI1786" s="55">
        <f>VLOOKUP($E1786,'NI-Soc_SP'!$C:$AN,MID(AI$1,1,2),FALSE)</f>
        <v>0</v>
      </c>
      <c r="AJ1786" s="55">
        <f>VLOOKUP($E1786,'NI-Soc_SP'!$C:$AN,MID(AJ$1,1,2),FALSE)</f>
        <v>0</v>
      </c>
      <c r="AK1786" s="55">
        <f>VLOOKUP($E1786,'NI-Soc_SP'!$C:$AN,MID(AK$1,1,2),FALSE)</f>
        <v>0</v>
      </c>
      <c r="AL1786" s="55">
        <f>VLOOKUP($E1786,'NI-Soc_SP'!$C:$AN,MID(AL$1,1,2),FALSE)</f>
        <v>0</v>
      </c>
      <c r="AM1786" s="56">
        <f>VLOOKUP($E1786,'NI-Soc_SP'!$C:$AN,MID(AM$1,1,2),FALSE)</f>
        <v>0</v>
      </c>
      <c r="AN1786" s="30" t="str">
        <f t="shared" si="27"/>
        <v>20101010030070</v>
      </c>
    </row>
    <row r="1787" spans="3:40" x14ac:dyDescent="0.25">
      <c r="C1787" s="40"/>
      <c r="D1787" s="121" t="s">
        <v>1244</v>
      </c>
      <c r="E1787" s="121" t="s">
        <v>1245</v>
      </c>
      <c r="F1787" s="122" t="s">
        <v>2758</v>
      </c>
      <c r="G1787" s="69"/>
      <c r="H1787" s="52"/>
      <c r="I1787" s="52" t="s">
        <v>1216</v>
      </c>
      <c r="J1787" s="52"/>
      <c r="K1787" s="69" t="s">
        <v>79</v>
      </c>
      <c r="L1787" s="52"/>
      <c r="M1787" s="52"/>
      <c r="N1787" s="52"/>
      <c r="O1787" s="61" t="s">
        <v>1145</v>
      </c>
      <c r="P1787" s="71" t="s">
        <v>1246</v>
      </c>
      <c r="Q1787" s="55">
        <f>VLOOKUP(E1787,'NI-Soc_SP'!$C:$AN,12,FALSE)</f>
        <v>0</v>
      </c>
      <c r="R1787" s="55">
        <f>VLOOKUP(E1787,'NI-Soc_SP'!$C:$AN,13,FALSE)</f>
        <v>0</v>
      </c>
      <c r="S1787" s="55"/>
      <c r="T1787" s="55"/>
      <c r="U1787" s="55">
        <f>VLOOKUP($E1787,'NI-Soc_SP'!$C:$AN,MID(U$1,1,2),FALSE)</f>
        <v>0</v>
      </c>
      <c r="V1787" s="55">
        <f>VLOOKUP($E1787,'NI-Soc_SP'!$C:$AN,MID(V$1,1,2),FALSE)</f>
        <v>0</v>
      </c>
      <c r="W1787" s="55">
        <f>VLOOKUP($E1787,'NI-Soc_SP'!$C:$AN,MID(W$1,1,2),FALSE)</f>
        <v>0</v>
      </c>
      <c r="X1787" s="55">
        <f>VLOOKUP($E1787,'NI-Soc_SP'!$C:$AN,MID(X$1,1,2),FALSE)</f>
        <v>0</v>
      </c>
      <c r="Y1787" s="55">
        <f>VLOOKUP($E1787,'NI-Soc_SP'!$C:$AN,MID(Y$1,1,2),FALSE)</f>
        <v>0</v>
      </c>
      <c r="Z1787" s="55">
        <f>VLOOKUP($E1787,'NI-Soc_SP'!$C:$AN,MID(Z$1,1,2),FALSE)</f>
        <v>0</v>
      </c>
      <c r="AA1787" s="55">
        <f>VLOOKUP($E1787,'NI-Soc_SP'!$C:$AN,MID(AA$1,1,2),FALSE)</f>
        <v>0</v>
      </c>
      <c r="AB1787" s="55">
        <f>VLOOKUP($E1787,'NI-Soc_SP'!$C:$AN,MID(AB$1,1,2),FALSE)</f>
        <v>0</v>
      </c>
      <c r="AC1787" s="55">
        <f>VLOOKUP($E1787,'NI-Soc_SP'!$C:$AN,MID(AC$1,1,2),FALSE)</f>
        <v>0</v>
      </c>
      <c r="AD1787" s="55">
        <f>VLOOKUP($E1787,'NI-Soc_SP'!$C:$AN,MID(AD$1,1,2),FALSE)</f>
        <v>0</v>
      </c>
      <c r="AE1787" s="55">
        <f>VLOOKUP($E1787,'NI-Soc_SP'!$C:$AN,MID(AE$1,1,2),FALSE)</f>
        <v>0</v>
      </c>
      <c r="AF1787" s="55">
        <f>VLOOKUP($E1787,'NI-Soc_SP'!$C:$AN,MID(AF$1,1,2),FALSE)</f>
        <v>0</v>
      </c>
      <c r="AG1787" s="55">
        <f>VLOOKUP($E1787,'NI-Soc_SP'!$C:$AN,MID(AG$1,1,2),FALSE)</f>
        <v>0</v>
      </c>
      <c r="AH1787" s="55">
        <f>VLOOKUP($E1787,'NI-Soc_SP'!$C:$AN,MID(AH$1,1,2),FALSE)</f>
        <v>0</v>
      </c>
      <c r="AI1787" s="55">
        <f>VLOOKUP($E1787,'NI-Soc_SP'!$C:$AN,MID(AI$1,1,2),FALSE)</f>
        <v>0</v>
      </c>
      <c r="AJ1787" s="55">
        <f>VLOOKUP($E1787,'NI-Soc_SP'!$C:$AN,MID(AJ$1,1,2),FALSE)</f>
        <v>0</v>
      </c>
      <c r="AK1787" s="55">
        <f>VLOOKUP($E1787,'NI-Soc_SP'!$C:$AN,MID(AK$1,1,2),FALSE)</f>
        <v>0</v>
      </c>
      <c r="AL1787" s="55">
        <f>VLOOKUP($E1787,'NI-Soc_SP'!$C:$AN,MID(AL$1,1,2),FALSE)</f>
        <v>0</v>
      </c>
      <c r="AM1787" s="56">
        <f>VLOOKUP($E1787,'NI-Soc_SP'!$C:$AN,MID(AM$1,1,2),FALSE)</f>
        <v>0</v>
      </c>
      <c r="AN1787" s="30" t="str">
        <f t="shared" si="27"/>
        <v>20101010030080</v>
      </c>
    </row>
    <row r="1788" spans="3:40" ht="27" x14ac:dyDescent="0.25">
      <c r="C1788" s="40"/>
      <c r="D1788" s="121" t="s">
        <v>1247</v>
      </c>
      <c r="E1788" s="121" t="s">
        <v>1248</v>
      </c>
      <c r="F1788" s="122" t="s">
        <v>2758</v>
      </c>
      <c r="G1788" s="69"/>
      <c r="H1788" s="52"/>
      <c r="I1788" s="52" t="s">
        <v>1216</v>
      </c>
      <c r="J1788" s="52"/>
      <c r="K1788" s="69" t="s">
        <v>79</v>
      </c>
      <c r="L1788" s="52"/>
      <c r="M1788" s="52"/>
      <c r="N1788" s="52"/>
      <c r="O1788" s="61" t="s">
        <v>1145</v>
      </c>
      <c r="P1788" s="70" t="s">
        <v>1249</v>
      </c>
      <c r="Q1788" s="55">
        <f>VLOOKUP(E1788,'NI-Soc_SP'!$C:$AN,12,FALSE)</f>
        <v>0</v>
      </c>
      <c r="R1788" s="55">
        <f>VLOOKUP(E1788,'NI-Soc_SP'!$C:$AN,13,FALSE)</f>
        <v>0</v>
      </c>
      <c r="S1788" s="55"/>
      <c r="T1788" s="55"/>
      <c r="U1788" s="55">
        <f>VLOOKUP($E1788,'NI-Soc_SP'!$C:$AN,MID(U$1,1,2),FALSE)</f>
        <v>0</v>
      </c>
      <c r="V1788" s="55">
        <f>VLOOKUP($E1788,'NI-Soc_SP'!$C:$AN,MID(V$1,1,2),FALSE)</f>
        <v>0</v>
      </c>
      <c r="W1788" s="55">
        <f>VLOOKUP($E1788,'NI-Soc_SP'!$C:$AN,MID(W$1,1,2),FALSE)</f>
        <v>0</v>
      </c>
      <c r="X1788" s="55">
        <f>VLOOKUP($E1788,'NI-Soc_SP'!$C:$AN,MID(X$1,1,2),FALSE)</f>
        <v>0</v>
      </c>
      <c r="Y1788" s="55">
        <f>VLOOKUP($E1788,'NI-Soc_SP'!$C:$AN,MID(Y$1,1,2),FALSE)</f>
        <v>0</v>
      </c>
      <c r="Z1788" s="55">
        <f>VLOOKUP($E1788,'NI-Soc_SP'!$C:$AN,MID(Z$1,1,2),FALSE)</f>
        <v>0</v>
      </c>
      <c r="AA1788" s="55">
        <f>VLOOKUP($E1788,'NI-Soc_SP'!$C:$AN,MID(AA$1,1,2),FALSE)</f>
        <v>0</v>
      </c>
      <c r="AB1788" s="55">
        <f>VLOOKUP($E1788,'NI-Soc_SP'!$C:$AN,MID(AB$1,1,2),FALSE)</f>
        <v>0</v>
      </c>
      <c r="AC1788" s="55">
        <f>VLOOKUP($E1788,'NI-Soc_SP'!$C:$AN,MID(AC$1,1,2),FALSE)</f>
        <v>0</v>
      </c>
      <c r="AD1788" s="55">
        <f>VLOOKUP($E1788,'NI-Soc_SP'!$C:$AN,MID(AD$1,1,2),FALSE)</f>
        <v>0</v>
      </c>
      <c r="AE1788" s="55">
        <f>VLOOKUP($E1788,'NI-Soc_SP'!$C:$AN,MID(AE$1,1,2),FALSE)</f>
        <v>0</v>
      </c>
      <c r="AF1788" s="55">
        <f>VLOOKUP($E1788,'NI-Soc_SP'!$C:$AN,MID(AF$1,1,2),FALSE)</f>
        <v>0</v>
      </c>
      <c r="AG1788" s="55">
        <f>VLOOKUP($E1788,'NI-Soc_SP'!$C:$AN,MID(AG$1,1,2),FALSE)</f>
        <v>0</v>
      </c>
      <c r="AH1788" s="55">
        <f>VLOOKUP($E1788,'NI-Soc_SP'!$C:$AN,MID(AH$1,1,2),FALSE)</f>
        <v>0</v>
      </c>
      <c r="AI1788" s="55">
        <f>VLOOKUP($E1788,'NI-Soc_SP'!$C:$AN,MID(AI$1,1,2),FALSE)</f>
        <v>0</v>
      </c>
      <c r="AJ1788" s="55">
        <f>VLOOKUP($E1788,'NI-Soc_SP'!$C:$AN,MID(AJ$1,1,2),FALSE)</f>
        <v>0</v>
      </c>
      <c r="AK1788" s="55">
        <f>VLOOKUP($E1788,'NI-Soc_SP'!$C:$AN,MID(AK$1,1,2),FALSE)</f>
        <v>0</v>
      </c>
      <c r="AL1788" s="55">
        <f>VLOOKUP($E1788,'NI-Soc_SP'!$C:$AN,MID(AL$1,1,2),FALSE)</f>
        <v>0</v>
      </c>
      <c r="AM1788" s="56">
        <f>VLOOKUP($E1788,'NI-Soc_SP'!$C:$AN,MID(AM$1,1,2),FALSE)</f>
        <v>0</v>
      </c>
      <c r="AN1788" s="30" t="str">
        <f t="shared" si="27"/>
        <v>20101010030090</v>
      </c>
    </row>
    <row r="1789" spans="3:40" x14ac:dyDescent="0.25">
      <c r="C1789" s="40"/>
      <c r="D1789" s="121" t="s">
        <v>1250</v>
      </c>
      <c r="E1789" s="121" t="s">
        <v>1251</v>
      </c>
      <c r="F1789" s="122" t="s">
        <v>2758</v>
      </c>
      <c r="G1789" s="69"/>
      <c r="H1789" s="52"/>
      <c r="I1789" s="52" t="s">
        <v>1216</v>
      </c>
      <c r="J1789" s="52"/>
      <c r="K1789" s="69" t="s">
        <v>79</v>
      </c>
      <c r="L1789" s="52"/>
      <c r="M1789" s="52"/>
      <c r="N1789" s="52"/>
      <c r="O1789" s="61" t="s">
        <v>1145</v>
      </c>
      <c r="P1789" s="73" t="s">
        <v>1252</v>
      </c>
      <c r="Q1789" s="55">
        <f>VLOOKUP(E1789,'NI-Soc_SP'!$C:$AN,12,FALSE)</f>
        <v>0</v>
      </c>
      <c r="R1789" s="55">
        <f>VLOOKUP(E1789,'NI-Soc_SP'!$C:$AN,13,FALSE)</f>
        <v>0</v>
      </c>
      <c r="S1789" s="55"/>
      <c r="T1789" s="55"/>
      <c r="U1789" s="55">
        <f>VLOOKUP($E1789,'NI-Soc_SP'!$C:$AN,MID(U$1,1,2),FALSE)</f>
        <v>0</v>
      </c>
      <c r="V1789" s="55">
        <f>VLOOKUP($E1789,'NI-Soc_SP'!$C:$AN,MID(V$1,1,2),FALSE)</f>
        <v>0</v>
      </c>
      <c r="W1789" s="55">
        <f>VLOOKUP($E1789,'NI-Soc_SP'!$C:$AN,MID(W$1,1,2),FALSE)</f>
        <v>0</v>
      </c>
      <c r="X1789" s="55">
        <f>VLOOKUP($E1789,'NI-Soc_SP'!$C:$AN,MID(X$1,1,2),FALSE)</f>
        <v>0</v>
      </c>
      <c r="Y1789" s="55">
        <f>VLOOKUP($E1789,'NI-Soc_SP'!$C:$AN,MID(Y$1,1,2),FALSE)</f>
        <v>0</v>
      </c>
      <c r="Z1789" s="55">
        <f>VLOOKUP($E1789,'NI-Soc_SP'!$C:$AN,MID(Z$1,1,2),FALSE)</f>
        <v>0</v>
      </c>
      <c r="AA1789" s="55">
        <f>VLOOKUP($E1789,'NI-Soc_SP'!$C:$AN,MID(AA$1,1,2),FALSE)</f>
        <v>0</v>
      </c>
      <c r="AB1789" s="55">
        <f>VLOOKUP($E1789,'NI-Soc_SP'!$C:$AN,MID(AB$1,1,2),FALSE)</f>
        <v>0</v>
      </c>
      <c r="AC1789" s="55">
        <f>VLOOKUP($E1789,'NI-Soc_SP'!$C:$AN,MID(AC$1,1,2),FALSE)</f>
        <v>0</v>
      </c>
      <c r="AD1789" s="55">
        <f>VLOOKUP($E1789,'NI-Soc_SP'!$C:$AN,MID(AD$1,1,2),FALSE)</f>
        <v>0</v>
      </c>
      <c r="AE1789" s="55">
        <f>VLOOKUP($E1789,'NI-Soc_SP'!$C:$AN,MID(AE$1,1,2),FALSE)</f>
        <v>0</v>
      </c>
      <c r="AF1789" s="55">
        <f>VLOOKUP($E1789,'NI-Soc_SP'!$C:$AN,MID(AF$1,1,2),FALSE)</f>
        <v>0</v>
      </c>
      <c r="AG1789" s="55">
        <f>VLOOKUP($E1789,'NI-Soc_SP'!$C:$AN,MID(AG$1,1,2),FALSE)</f>
        <v>0</v>
      </c>
      <c r="AH1789" s="55">
        <f>VLOOKUP($E1789,'NI-Soc_SP'!$C:$AN,MID(AH$1,1,2),FALSE)</f>
        <v>0</v>
      </c>
      <c r="AI1789" s="55">
        <f>VLOOKUP($E1789,'NI-Soc_SP'!$C:$AN,MID(AI$1,1,2),FALSE)</f>
        <v>0</v>
      </c>
      <c r="AJ1789" s="55">
        <f>VLOOKUP($E1789,'NI-Soc_SP'!$C:$AN,MID(AJ$1,1,2),FALSE)</f>
        <v>0</v>
      </c>
      <c r="AK1789" s="55">
        <f>VLOOKUP($E1789,'NI-Soc_SP'!$C:$AN,MID(AK$1,1,2),FALSE)</f>
        <v>0</v>
      </c>
      <c r="AL1789" s="55">
        <f>VLOOKUP($E1789,'NI-Soc_SP'!$C:$AN,MID(AL$1,1,2),FALSE)</f>
        <v>0</v>
      </c>
      <c r="AM1789" s="56">
        <f>VLOOKUP($E1789,'NI-Soc_SP'!$C:$AN,MID(AM$1,1,2),FALSE)</f>
        <v>0</v>
      </c>
      <c r="AN1789" s="30" t="str">
        <f t="shared" si="27"/>
        <v>20101010030100</v>
      </c>
    </row>
    <row r="1790" spans="3:40" x14ac:dyDescent="0.25">
      <c r="C1790" s="40"/>
      <c r="D1790" s="121" t="s">
        <v>1253</v>
      </c>
      <c r="E1790" s="121" t="s">
        <v>1254</v>
      </c>
      <c r="F1790" s="122" t="s">
        <v>2758</v>
      </c>
      <c r="G1790" s="69"/>
      <c r="H1790" s="52"/>
      <c r="I1790" s="52" t="s">
        <v>1216</v>
      </c>
      <c r="J1790" s="52"/>
      <c r="K1790" s="69" t="s">
        <v>79</v>
      </c>
      <c r="L1790" s="52"/>
      <c r="M1790" s="52"/>
      <c r="N1790" s="52"/>
      <c r="O1790" s="61" t="s">
        <v>1145</v>
      </c>
      <c r="P1790" s="73" t="s">
        <v>1255</v>
      </c>
      <c r="Q1790" s="55">
        <f>VLOOKUP(E1790,'NI-Soc_SP'!$C:$AN,12,FALSE)</f>
        <v>0</v>
      </c>
      <c r="R1790" s="55">
        <f>VLOOKUP(E1790,'NI-Soc_SP'!$C:$AN,13,FALSE)</f>
        <v>0</v>
      </c>
      <c r="S1790" s="55"/>
      <c r="T1790" s="55"/>
      <c r="U1790" s="55">
        <f>VLOOKUP($E1790,'NI-Soc_SP'!$C:$AN,MID(U$1,1,2),FALSE)</f>
        <v>0</v>
      </c>
      <c r="V1790" s="55">
        <f>VLOOKUP($E1790,'NI-Soc_SP'!$C:$AN,MID(V$1,1,2),FALSE)</f>
        <v>0</v>
      </c>
      <c r="W1790" s="55">
        <f>VLOOKUP($E1790,'NI-Soc_SP'!$C:$AN,MID(W$1,1,2),FALSE)</f>
        <v>0</v>
      </c>
      <c r="X1790" s="55">
        <f>VLOOKUP($E1790,'NI-Soc_SP'!$C:$AN,MID(X$1,1,2),FALSE)</f>
        <v>0</v>
      </c>
      <c r="Y1790" s="55">
        <f>VLOOKUP($E1790,'NI-Soc_SP'!$C:$AN,MID(Y$1,1,2),FALSE)</f>
        <v>0</v>
      </c>
      <c r="Z1790" s="55">
        <f>VLOOKUP($E1790,'NI-Soc_SP'!$C:$AN,MID(Z$1,1,2),FALSE)</f>
        <v>0</v>
      </c>
      <c r="AA1790" s="55">
        <f>VLOOKUP($E1790,'NI-Soc_SP'!$C:$AN,MID(AA$1,1,2),FALSE)</f>
        <v>0</v>
      </c>
      <c r="AB1790" s="55">
        <f>VLOOKUP($E1790,'NI-Soc_SP'!$C:$AN,MID(AB$1,1,2),FALSE)</f>
        <v>0</v>
      </c>
      <c r="AC1790" s="55">
        <f>VLOOKUP($E1790,'NI-Soc_SP'!$C:$AN,MID(AC$1,1,2),FALSE)</f>
        <v>0</v>
      </c>
      <c r="AD1790" s="55">
        <f>VLOOKUP($E1790,'NI-Soc_SP'!$C:$AN,MID(AD$1,1,2),FALSE)</f>
        <v>0</v>
      </c>
      <c r="AE1790" s="55">
        <f>VLOOKUP($E1790,'NI-Soc_SP'!$C:$AN,MID(AE$1,1,2),FALSE)</f>
        <v>0</v>
      </c>
      <c r="AF1790" s="55">
        <f>VLOOKUP($E1790,'NI-Soc_SP'!$C:$AN,MID(AF$1,1,2),FALSE)</f>
        <v>0</v>
      </c>
      <c r="AG1790" s="55">
        <f>VLOOKUP($E1790,'NI-Soc_SP'!$C:$AN,MID(AG$1,1,2),FALSE)</f>
        <v>0</v>
      </c>
      <c r="AH1790" s="55">
        <f>VLOOKUP($E1790,'NI-Soc_SP'!$C:$AN,MID(AH$1,1,2),FALSE)</f>
        <v>0</v>
      </c>
      <c r="AI1790" s="55">
        <f>VLOOKUP($E1790,'NI-Soc_SP'!$C:$AN,MID(AI$1,1,2),FALSE)</f>
        <v>0</v>
      </c>
      <c r="AJ1790" s="55">
        <f>VLOOKUP($E1790,'NI-Soc_SP'!$C:$AN,MID(AJ$1,1,2),FALSE)</f>
        <v>0</v>
      </c>
      <c r="AK1790" s="55">
        <f>VLOOKUP($E1790,'NI-Soc_SP'!$C:$AN,MID(AK$1,1,2),FALSE)</f>
        <v>0</v>
      </c>
      <c r="AL1790" s="55">
        <f>VLOOKUP($E1790,'NI-Soc_SP'!$C:$AN,MID(AL$1,1,2),FALSE)</f>
        <v>0</v>
      </c>
      <c r="AM1790" s="56">
        <f>VLOOKUP($E1790,'NI-Soc_SP'!$C:$AN,MID(AM$1,1,2),FALSE)</f>
        <v>0</v>
      </c>
      <c r="AN1790" s="30" t="str">
        <f t="shared" si="27"/>
        <v>20101010030110</v>
      </c>
    </row>
    <row r="1791" spans="3:40" x14ac:dyDescent="0.25">
      <c r="C1791" s="40"/>
      <c r="D1791" s="121" t="s">
        <v>1256</v>
      </c>
      <c r="E1791" s="121" t="s">
        <v>1257</v>
      </c>
      <c r="F1791" s="122" t="s">
        <v>2758</v>
      </c>
      <c r="G1791" s="69"/>
      <c r="H1791" s="52"/>
      <c r="I1791" s="52" t="s">
        <v>1258</v>
      </c>
      <c r="J1791" s="52"/>
      <c r="K1791" s="69" t="s">
        <v>79</v>
      </c>
      <c r="L1791" s="52"/>
      <c r="M1791" s="52"/>
      <c r="N1791" s="52"/>
      <c r="O1791" s="61" t="s">
        <v>1145</v>
      </c>
      <c r="P1791" s="74" t="s">
        <v>1259</v>
      </c>
      <c r="Q1791" s="55">
        <f>VLOOKUP(E1791,'NI-Soc_SP'!$C:$AN,12,FALSE)</f>
        <v>0</v>
      </c>
      <c r="R1791" s="55">
        <f>VLOOKUP(E1791,'NI-Soc_SP'!$C:$AN,13,FALSE)</f>
        <v>0</v>
      </c>
      <c r="S1791" s="55"/>
      <c r="T1791" s="55"/>
      <c r="U1791" s="55">
        <f>VLOOKUP($E1791,'NI-Soc_SP'!$C:$AN,MID(U$1,1,2),FALSE)</f>
        <v>0</v>
      </c>
      <c r="V1791" s="55">
        <f>VLOOKUP($E1791,'NI-Soc_SP'!$C:$AN,MID(V$1,1,2),FALSE)</f>
        <v>0</v>
      </c>
      <c r="W1791" s="55">
        <f>VLOOKUP($E1791,'NI-Soc_SP'!$C:$AN,MID(W$1,1,2),FALSE)</f>
        <v>0</v>
      </c>
      <c r="X1791" s="55">
        <f>VLOOKUP($E1791,'NI-Soc_SP'!$C:$AN,MID(X$1,1,2),FALSE)</f>
        <v>0</v>
      </c>
      <c r="Y1791" s="55">
        <f>VLOOKUP($E1791,'NI-Soc_SP'!$C:$AN,MID(Y$1,1,2),FALSE)</f>
        <v>0</v>
      </c>
      <c r="Z1791" s="55">
        <f>VLOOKUP($E1791,'NI-Soc_SP'!$C:$AN,MID(Z$1,1,2),FALSE)</f>
        <v>0</v>
      </c>
      <c r="AA1791" s="55">
        <f>VLOOKUP($E1791,'NI-Soc_SP'!$C:$AN,MID(AA$1,1,2),FALSE)</f>
        <v>0</v>
      </c>
      <c r="AB1791" s="55">
        <f>VLOOKUP($E1791,'NI-Soc_SP'!$C:$AN,MID(AB$1,1,2),FALSE)</f>
        <v>0</v>
      </c>
      <c r="AC1791" s="55">
        <f>VLOOKUP($E1791,'NI-Soc_SP'!$C:$AN,MID(AC$1,1,2),FALSE)</f>
        <v>0</v>
      </c>
      <c r="AD1791" s="55">
        <f>VLOOKUP($E1791,'NI-Soc_SP'!$C:$AN,MID(AD$1,1,2),FALSE)</f>
        <v>0</v>
      </c>
      <c r="AE1791" s="55">
        <f>VLOOKUP($E1791,'NI-Soc_SP'!$C:$AN,MID(AE$1,1,2),FALSE)</f>
        <v>0</v>
      </c>
      <c r="AF1791" s="55">
        <f>VLOOKUP($E1791,'NI-Soc_SP'!$C:$AN,MID(AF$1,1,2),FALSE)</f>
        <v>0</v>
      </c>
      <c r="AG1791" s="55">
        <f>VLOOKUP($E1791,'NI-Soc_SP'!$C:$AN,MID(AG$1,1,2),FALSE)</f>
        <v>0</v>
      </c>
      <c r="AH1791" s="55">
        <f>VLOOKUP($E1791,'NI-Soc_SP'!$C:$AN,MID(AH$1,1,2),FALSE)</f>
        <v>0</v>
      </c>
      <c r="AI1791" s="55">
        <f>VLOOKUP($E1791,'NI-Soc_SP'!$C:$AN,MID(AI$1,1,2),FALSE)</f>
        <v>0</v>
      </c>
      <c r="AJ1791" s="55">
        <f>VLOOKUP($E1791,'NI-Soc_SP'!$C:$AN,MID(AJ$1,1,2),FALSE)</f>
        <v>0</v>
      </c>
      <c r="AK1791" s="55">
        <f>VLOOKUP($E1791,'NI-Soc_SP'!$C:$AN,MID(AK$1,1,2),FALSE)</f>
        <v>0</v>
      </c>
      <c r="AL1791" s="55">
        <f>VLOOKUP($E1791,'NI-Soc_SP'!$C:$AN,MID(AL$1,1,2),FALSE)</f>
        <v>0</v>
      </c>
      <c r="AM1791" s="56">
        <f>VLOOKUP($E1791,'NI-Soc_SP'!$C:$AN,MID(AM$1,1,2),FALSE)</f>
        <v>0</v>
      </c>
      <c r="AN1791" s="30" t="str">
        <f t="shared" si="27"/>
        <v>20101010050010</v>
      </c>
    </row>
    <row r="1792" spans="3:40" x14ac:dyDescent="0.25">
      <c r="C1792" s="40"/>
      <c r="D1792" s="121" t="s">
        <v>1260</v>
      </c>
      <c r="E1792" s="121" t="s">
        <v>1261</v>
      </c>
      <c r="F1792" s="122" t="s">
        <v>2758</v>
      </c>
      <c r="G1792" s="69"/>
      <c r="H1792" s="52"/>
      <c r="I1792" s="52" t="s">
        <v>1258</v>
      </c>
      <c r="J1792" s="52"/>
      <c r="K1792" s="69" t="s">
        <v>79</v>
      </c>
      <c r="L1792" s="52"/>
      <c r="M1792" s="52"/>
      <c r="N1792" s="52"/>
      <c r="O1792" s="61" t="s">
        <v>1145</v>
      </c>
      <c r="P1792" s="74" t="s">
        <v>1262</v>
      </c>
      <c r="Q1792" s="55">
        <f>VLOOKUP(E1792,'NI-Soc_SP'!$C:$AN,12,FALSE)</f>
        <v>0</v>
      </c>
      <c r="R1792" s="55">
        <f>VLOOKUP(E1792,'NI-Soc_SP'!$C:$AN,13,FALSE)</f>
        <v>0</v>
      </c>
      <c r="S1792" s="55"/>
      <c r="T1792" s="55"/>
      <c r="U1792" s="55">
        <f>VLOOKUP($E1792,'NI-Soc_SP'!$C:$AN,MID(U$1,1,2),FALSE)</f>
        <v>0</v>
      </c>
      <c r="V1792" s="55">
        <f>VLOOKUP($E1792,'NI-Soc_SP'!$C:$AN,MID(V$1,1,2),FALSE)</f>
        <v>0</v>
      </c>
      <c r="W1792" s="55">
        <f>VLOOKUP($E1792,'NI-Soc_SP'!$C:$AN,MID(W$1,1,2),FALSE)</f>
        <v>0</v>
      </c>
      <c r="X1792" s="55">
        <f>VLOOKUP($E1792,'NI-Soc_SP'!$C:$AN,MID(X$1,1,2),FALSE)</f>
        <v>0</v>
      </c>
      <c r="Y1792" s="55">
        <f>VLOOKUP($E1792,'NI-Soc_SP'!$C:$AN,MID(Y$1,1,2),FALSE)</f>
        <v>0</v>
      </c>
      <c r="Z1792" s="55">
        <f>VLOOKUP($E1792,'NI-Soc_SP'!$C:$AN,MID(Z$1,1,2),FALSE)</f>
        <v>0</v>
      </c>
      <c r="AA1792" s="55">
        <f>VLOOKUP($E1792,'NI-Soc_SP'!$C:$AN,MID(AA$1,1,2),FALSE)</f>
        <v>0</v>
      </c>
      <c r="AB1792" s="55">
        <f>VLOOKUP($E1792,'NI-Soc_SP'!$C:$AN,MID(AB$1,1,2),FALSE)</f>
        <v>0</v>
      </c>
      <c r="AC1792" s="55">
        <f>VLOOKUP($E1792,'NI-Soc_SP'!$C:$AN,MID(AC$1,1,2),FALSE)</f>
        <v>0</v>
      </c>
      <c r="AD1792" s="55">
        <f>VLOOKUP($E1792,'NI-Soc_SP'!$C:$AN,MID(AD$1,1,2),FALSE)</f>
        <v>0</v>
      </c>
      <c r="AE1792" s="55">
        <f>VLOOKUP($E1792,'NI-Soc_SP'!$C:$AN,MID(AE$1,1,2),FALSE)</f>
        <v>0</v>
      </c>
      <c r="AF1792" s="55">
        <f>VLOOKUP($E1792,'NI-Soc_SP'!$C:$AN,MID(AF$1,1,2),FALSE)</f>
        <v>0</v>
      </c>
      <c r="AG1792" s="55">
        <f>VLOOKUP($E1792,'NI-Soc_SP'!$C:$AN,MID(AG$1,1,2),FALSE)</f>
        <v>0</v>
      </c>
      <c r="AH1792" s="55">
        <f>VLOOKUP($E1792,'NI-Soc_SP'!$C:$AN,MID(AH$1,1,2),FALSE)</f>
        <v>0</v>
      </c>
      <c r="AI1792" s="55">
        <f>VLOOKUP($E1792,'NI-Soc_SP'!$C:$AN,MID(AI$1,1,2),FALSE)</f>
        <v>0</v>
      </c>
      <c r="AJ1792" s="55">
        <f>VLOOKUP($E1792,'NI-Soc_SP'!$C:$AN,MID(AJ$1,1,2),FALSE)</f>
        <v>0</v>
      </c>
      <c r="AK1792" s="55">
        <f>VLOOKUP($E1792,'NI-Soc_SP'!$C:$AN,MID(AK$1,1,2),FALSE)</f>
        <v>0</v>
      </c>
      <c r="AL1792" s="55">
        <f>VLOOKUP($E1792,'NI-Soc_SP'!$C:$AN,MID(AL$1,1,2),FALSE)</f>
        <v>0</v>
      </c>
      <c r="AM1792" s="56">
        <f>VLOOKUP($E1792,'NI-Soc_SP'!$C:$AN,MID(AM$1,1,2),FALSE)</f>
        <v>0</v>
      </c>
      <c r="AN1792" s="30" t="str">
        <f t="shared" si="27"/>
        <v>20101010050020</v>
      </c>
    </row>
    <row r="1793" spans="3:40" x14ac:dyDescent="0.25">
      <c r="C1793" s="40"/>
      <c r="D1793" s="121" t="s">
        <v>1263</v>
      </c>
      <c r="E1793" s="121" t="s">
        <v>1264</v>
      </c>
      <c r="F1793" s="122" t="s">
        <v>2758</v>
      </c>
      <c r="G1793" s="69"/>
      <c r="H1793" s="52"/>
      <c r="I1793" s="52" t="s">
        <v>1239</v>
      </c>
      <c r="J1793" s="52"/>
      <c r="K1793" s="69" t="s">
        <v>79</v>
      </c>
      <c r="L1793" s="52"/>
      <c r="M1793" s="52"/>
      <c r="N1793" s="52"/>
      <c r="O1793" s="61" t="s">
        <v>1145</v>
      </c>
      <c r="P1793" s="71" t="s">
        <v>1265</v>
      </c>
      <c r="Q1793" s="55">
        <f>VLOOKUP(E1793,'NI-Soc_SP'!$C:$AN,12,FALSE)</f>
        <v>0</v>
      </c>
      <c r="R1793" s="55">
        <f>VLOOKUP(E1793,'NI-Soc_SP'!$C:$AN,13,FALSE)</f>
        <v>0</v>
      </c>
      <c r="S1793" s="55"/>
      <c r="T1793" s="55"/>
      <c r="U1793" s="55">
        <f>VLOOKUP($E1793,'NI-Soc_SP'!$C:$AN,MID(U$1,1,2),FALSE)</f>
        <v>0</v>
      </c>
      <c r="V1793" s="55">
        <f>VLOOKUP($E1793,'NI-Soc_SP'!$C:$AN,MID(V$1,1,2),FALSE)</f>
        <v>0</v>
      </c>
      <c r="W1793" s="55">
        <f>VLOOKUP($E1793,'NI-Soc_SP'!$C:$AN,MID(W$1,1,2),FALSE)</f>
        <v>0</v>
      </c>
      <c r="X1793" s="55">
        <f>VLOOKUP($E1793,'NI-Soc_SP'!$C:$AN,MID(X$1,1,2),FALSE)</f>
        <v>0</v>
      </c>
      <c r="Y1793" s="55">
        <f>VLOOKUP($E1793,'NI-Soc_SP'!$C:$AN,MID(Y$1,1,2),FALSE)</f>
        <v>0</v>
      </c>
      <c r="Z1793" s="55">
        <f>VLOOKUP($E1793,'NI-Soc_SP'!$C:$AN,MID(Z$1,1,2),FALSE)</f>
        <v>0</v>
      </c>
      <c r="AA1793" s="55">
        <f>VLOOKUP($E1793,'NI-Soc_SP'!$C:$AN,MID(AA$1,1,2),FALSE)</f>
        <v>0</v>
      </c>
      <c r="AB1793" s="55">
        <f>VLOOKUP($E1793,'NI-Soc_SP'!$C:$AN,MID(AB$1,1,2),FALSE)</f>
        <v>0</v>
      </c>
      <c r="AC1793" s="55">
        <f>VLOOKUP($E1793,'NI-Soc_SP'!$C:$AN,MID(AC$1,1,2),FALSE)</f>
        <v>0</v>
      </c>
      <c r="AD1793" s="55">
        <f>VLOOKUP($E1793,'NI-Soc_SP'!$C:$AN,MID(AD$1,1,2),FALSE)</f>
        <v>0</v>
      </c>
      <c r="AE1793" s="55">
        <f>VLOOKUP($E1793,'NI-Soc_SP'!$C:$AN,MID(AE$1,1,2),FALSE)</f>
        <v>0</v>
      </c>
      <c r="AF1793" s="55">
        <f>VLOOKUP($E1793,'NI-Soc_SP'!$C:$AN,MID(AF$1,1,2),FALSE)</f>
        <v>0</v>
      </c>
      <c r="AG1793" s="55">
        <f>VLOOKUP($E1793,'NI-Soc_SP'!$C:$AN,MID(AG$1,1,2),FALSE)</f>
        <v>0</v>
      </c>
      <c r="AH1793" s="55">
        <f>VLOOKUP($E1793,'NI-Soc_SP'!$C:$AN,MID(AH$1,1,2),FALSE)</f>
        <v>0</v>
      </c>
      <c r="AI1793" s="55">
        <f>VLOOKUP($E1793,'NI-Soc_SP'!$C:$AN,MID(AI$1,1,2),FALSE)</f>
        <v>0</v>
      </c>
      <c r="AJ1793" s="55">
        <f>VLOOKUP($E1793,'NI-Soc_SP'!$C:$AN,MID(AJ$1,1,2),FALSE)</f>
        <v>0</v>
      </c>
      <c r="AK1793" s="55">
        <f>VLOOKUP($E1793,'NI-Soc_SP'!$C:$AN,MID(AK$1,1,2),FALSE)</f>
        <v>0</v>
      </c>
      <c r="AL1793" s="55">
        <f>VLOOKUP($E1793,'NI-Soc_SP'!$C:$AN,MID(AL$1,1,2),FALSE)</f>
        <v>0</v>
      </c>
      <c r="AM1793" s="56">
        <f>VLOOKUP($E1793,'NI-Soc_SP'!$C:$AN,MID(AM$1,1,2),FALSE)</f>
        <v>0</v>
      </c>
      <c r="AN1793" s="30" t="str">
        <f t="shared" si="27"/>
        <v>20101010070010</v>
      </c>
    </row>
    <row r="1794" spans="3:40" x14ac:dyDescent="0.25">
      <c r="C1794" s="40"/>
      <c r="D1794" s="121" t="s">
        <v>1266</v>
      </c>
      <c r="E1794" s="121" t="s">
        <v>1267</v>
      </c>
      <c r="F1794" s="122" t="s">
        <v>2758</v>
      </c>
      <c r="G1794" s="69"/>
      <c r="H1794" s="52"/>
      <c r="I1794" s="52" t="s">
        <v>1268</v>
      </c>
      <c r="J1794" s="52"/>
      <c r="K1794" s="69" t="s">
        <v>79</v>
      </c>
      <c r="L1794" s="52"/>
      <c r="M1794" s="52"/>
      <c r="N1794" s="52"/>
      <c r="O1794" s="61" t="s">
        <v>1145</v>
      </c>
      <c r="P1794" s="74" t="s">
        <v>1269</v>
      </c>
      <c r="Q1794" s="55">
        <f>VLOOKUP(E1794,'NI-Soc_SP'!$C:$AN,12,FALSE)</f>
        <v>0</v>
      </c>
      <c r="R1794" s="55">
        <f>VLOOKUP(E1794,'NI-Soc_SP'!$C:$AN,13,FALSE)</f>
        <v>0</v>
      </c>
      <c r="S1794" s="55"/>
      <c r="T1794" s="55"/>
      <c r="U1794" s="55">
        <f>VLOOKUP($E1794,'NI-Soc_SP'!$C:$AN,MID(U$1,1,2),FALSE)</f>
        <v>0</v>
      </c>
      <c r="V1794" s="55">
        <f>VLOOKUP($E1794,'NI-Soc_SP'!$C:$AN,MID(V$1,1,2),FALSE)</f>
        <v>0</v>
      </c>
      <c r="W1794" s="55">
        <f>VLOOKUP($E1794,'NI-Soc_SP'!$C:$AN,MID(W$1,1,2),FALSE)</f>
        <v>0</v>
      </c>
      <c r="X1794" s="55">
        <f>VLOOKUP($E1794,'NI-Soc_SP'!$C:$AN,MID(X$1,1,2),FALSE)</f>
        <v>0</v>
      </c>
      <c r="Y1794" s="55">
        <f>VLOOKUP($E1794,'NI-Soc_SP'!$C:$AN,MID(Y$1,1,2),FALSE)</f>
        <v>0</v>
      </c>
      <c r="Z1794" s="55">
        <f>VLOOKUP($E1794,'NI-Soc_SP'!$C:$AN,MID(Z$1,1,2),FALSE)</f>
        <v>0</v>
      </c>
      <c r="AA1794" s="55">
        <f>VLOOKUP($E1794,'NI-Soc_SP'!$C:$AN,MID(AA$1,1,2),FALSE)</f>
        <v>0</v>
      </c>
      <c r="AB1794" s="55">
        <f>VLOOKUP($E1794,'NI-Soc_SP'!$C:$AN,MID(AB$1,1,2),FALSE)</f>
        <v>0</v>
      </c>
      <c r="AC1794" s="55">
        <f>VLOOKUP($E1794,'NI-Soc_SP'!$C:$AN,MID(AC$1,1,2),FALSE)</f>
        <v>0</v>
      </c>
      <c r="AD1794" s="55">
        <f>VLOOKUP($E1794,'NI-Soc_SP'!$C:$AN,MID(AD$1,1,2),FALSE)</f>
        <v>0</v>
      </c>
      <c r="AE1794" s="55">
        <f>VLOOKUP($E1794,'NI-Soc_SP'!$C:$AN,MID(AE$1,1,2),FALSE)</f>
        <v>0</v>
      </c>
      <c r="AF1794" s="55">
        <f>VLOOKUP($E1794,'NI-Soc_SP'!$C:$AN,MID(AF$1,1,2),FALSE)</f>
        <v>0</v>
      </c>
      <c r="AG1794" s="55">
        <f>VLOOKUP($E1794,'NI-Soc_SP'!$C:$AN,MID(AG$1,1,2),FALSE)</f>
        <v>0</v>
      </c>
      <c r="AH1794" s="55">
        <f>VLOOKUP($E1794,'NI-Soc_SP'!$C:$AN,MID(AH$1,1,2),FALSE)</f>
        <v>0</v>
      </c>
      <c r="AI1794" s="55">
        <f>VLOOKUP($E1794,'NI-Soc_SP'!$C:$AN,MID(AI$1,1,2),FALSE)</f>
        <v>0</v>
      </c>
      <c r="AJ1794" s="55">
        <f>VLOOKUP($E1794,'NI-Soc_SP'!$C:$AN,MID(AJ$1,1,2),FALSE)</f>
        <v>0</v>
      </c>
      <c r="AK1794" s="55">
        <f>VLOOKUP($E1794,'NI-Soc_SP'!$C:$AN,MID(AK$1,1,2),FALSE)</f>
        <v>0</v>
      </c>
      <c r="AL1794" s="55">
        <f>VLOOKUP($E1794,'NI-Soc_SP'!$C:$AN,MID(AL$1,1,2),FALSE)</f>
        <v>0</v>
      </c>
      <c r="AM1794" s="56">
        <f>VLOOKUP($E1794,'NI-Soc_SP'!$C:$AN,MID(AM$1,1,2),FALSE)</f>
        <v>0</v>
      </c>
      <c r="AN1794" s="30" t="str">
        <f t="shared" ref="AN1794:AN1857" si="28">D1794</f>
        <v>20101010020010</v>
      </c>
    </row>
    <row r="1795" spans="3:40" x14ac:dyDescent="0.25">
      <c r="C1795" s="40"/>
      <c r="D1795" s="121" t="s">
        <v>1270</v>
      </c>
      <c r="E1795" s="121" t="s">
        <v>1271</v>
      </c>
      <c r="F1795" s="122" t="s">
        <v>2758</v>
      </c>
      <c r="G1795" s="69"/>
      <c r="H1795" s="52"/>
      <c r="I1795" s="52" t="s">
        <v>1268</v>
      </c>
      <c r="J1795" s="52"/>
      <c r="K1795" s="69" t="s">
        <v>79</v>
      </c>
      <c r="L1795" s="52"/>
      <c r="M1795" s="52"/>
      <c r="N1795" s="52"/>
      <c r="O1795" s="61" t="s">
        <v>1145</v>
      </c>
      <c r="P1795" s="70" t="s">
        <v>1272</v>
      </c>
      <c r="Q1795" s="55">
        <f>VLOOKUP(E1795,'NI-Soc_SP'!$C:$AN,12,FALSE)</f>
        <v>0</v>
      </c>
      <c r="R1795" s="55">
        <f>VLOOKUP(E1795,'NI-Soc_SP'!$C:$AN,13,FALSE)</f>
        <v>0</v>
      </c>
      <c r="S1795" s="55"/>
      <c r="T1795" s="55"/>
      <c r="U1795" s="55">
        <f>VLOOKUP($E1795,'NI-Soc_SP'!$C:$AN,MID(U$1,1,2),FALSE)</f>
        <v>0</v>
      </c>
      <c r="V1795" s="55">
        <f>VLOOKUP($E1795,'NI-Soc_SP'!$C:$AN,MID(V$1,1,2),FALSE)</f>
        <v>0</v>
      </c>
      <c r="W1795" s="55">
        <f>VLOOKUP($E1795,'NI-Soc_SP'!$C:$AN,MID(W$1,1,2),FALSE)</f>
        <v>0</v>
      </c>
      <c r="X1795" s="55">
        <f>VLOOKUP($E1795,'NI-Soc_SP'!$C:$AN,MID(X$1,1,2),FALSE)</f>
        <v>0</v>
      </c>
      <c r="Y1795" s="55">
        <f>VLOOKUP($E1795,'NI-Soc_SP'!$C:$AN,MID(Y$1,1,2),FALSE)</f>
        <v>0</v>
      </c>
      <c r="Z1795" s="55">
        <f>VLOOKUP($E1795,'NI-Soc_SP'!$C:$AN,MID(Z$1,1,2),FALSE)</f>
        <v>0</v>
      </c>
      <c r="AA1795" s="55">
        <f>VLOOKUP($E1795,'NI-Soc_SP'!$C:$AN,MID(AA$1,1,2),FALSE)</f>
        <v>0</v>
      </c>
      <c r="AB1795" s="55">
        <f>VLOOKUP($E1795,'NI-Soc_SP'!$C:$AN,MID(AB$1,1,2),FALSE)</f>
        <v>0</v>
      </c>
      <c r="AC1795" s="55">
        <f>VLOOKUP($E1795,'NI-Soc_SP'!$C:$AN,MID(AC$1,1,2),FALSE)</f>
        <v>0</v>
      </c>
      <c r="AD1795" s="55">
        <f>VLOOKUP($E1795,'NI-Soc_SP'!$C:$AN,MID(AD$1,1,2),FALSE)</f>
        <v>0</v>
      </c>
      <c r="AE1795" s="55">
        <f>VLOOKUP($E1795,'NI-Soc_SP'!$C:$AN,MID(AE$1,1,2),FALSE)</f>
        <v>0</v>
      </c>
      <c r="AF1795" s="55">
        <f>VLOOKUP($E1795,'NI-Soc_SP'!$C:$AN,MID(AF$1,1,2),FALSE)</f>
        <v>0</v>
      </c>
      <c r="AG1795" s="55">
        <f>VLOOKUP($E1795,'NI-Soc_SP'!$C:$AN,MID(AG$1,1,2),FALSE)</f>
        <v>0</v>
      </c>
      <c r="AH1795" s="55">
        <f>VLOOKUP($E1795,'NI-Soc_SP'!$C:$AN,MID(AH$1,1,2),FALSE)</f>
        <v>0</v>
      </c>
      <c r="AI1795" s="55">
        <f>VLOOKUP($E1795,'NI-Soc_SP'!$C:$AN,MID(AI$1,1,2),FALSE)</f>
        <v>0</v>
      </c>
      <c r="AJ1795" s="55">
        <f>VLOOKUP($E1795,'NI-Soc_SP'!$C:$AN,MID(AJ$1,1,2),FALSE)</f>
        <v>0</v>
      </c>
      <c r="AK1795" s="55">
        <f>VLOOKUP($E1795,'NI-Soc_SP'!$C:$AN,MID(AK$1,1,2),FALSE)</f>
        <v>0</v>
      </c>
      <c r="AL1795" s="55">
        <f>VLOOKUP($E1795,'NI-Soc_SP'!$C:$AN,MID(AL$1,1,2),FALSE)</f>
        <v>0</v>
      </c>
      <c r="AM1795" s="56">
        <f>VLOOKUP($E1795,'NI-Soc_SP'!$C:$AN,MID(AM$1,1,2),FALSE)</f>
        <v>0</v>
      </c>
      <c r="AN1795" s="30" t="str">
        <f t="shared" si="28"/>
        <v>20101010020020</v>
      </c>
    </row>
    <row r="1796" spans="3:40" x14ac:dyDescent="0.25">
      <c r="C1796" s="40"/>
      <c r="D1796" s="121" t="s">
        <v>1273</v>
      </c>
      <c r="E1796" s="121" t="s">
        <v>1274</v>
      </c>
      <c r="F1796" s="122" t="s">
        <v>2758</v>
      </c>
      <c r="G1796" s="69"/>
      <c r="H1796" s="52"/>
      <c r="I1796" s="52" t="s">
        <v>1268</v>
      </c>
      <c r="J1796" s="52"/>
      <c r="K1796" s="69" t="s">
        <v>79</v>
      </c>
      <c r="L1796" s="52"/>
      <c r="M1796" s="52"/>
      <c r="N1796" s="52"/>
      <c r="O1796" s="61" t="s">
        <v>1145</v>
      </c>
      <c r="P1796" s="70" t="s">
        <v>1275</v>
      </c>
      <c r="Q1796" s="55">
        <f>VLOOKUP(E1796,'NI-Soc_SP'!$C:$AN,12,FALSE)</f>
        <v>0</v>
      </c>
      <c r="R1796" s="55">
        <f>VLOOKUP(E1796,'NI-Soc_SP'!$C:$AN,13,FALSE)</f>
        <v>0</v>
      </c>
      <c r="S1796" s="55"/>
      <c r="T1796" s="55"/>
      <c r="U1796" s="55">
        <f>VLOOKUP($E1796,'NI-Soc_SP'!$C:$AN,MID(U$1,1,2),FALSE)</f>
        <v>0</v>
      </c>
      <c r="V1796" s="55">
        <f>VLOOKUP($E1796,'NI-Soc_SP'!$C:$AN,MID(V$1,1,2),FALSE)</f>
        <v>0</v>
      </c>
      <c r="W1796" s="55">
        <f>VLOOKUP($E1796,'NI-Soc_SP'!$C:$AN,MID(W$1,1,2),FALSE)</f>
        <v>0</v>
      </c>
      <c r="X1796" s="55">
        <f>VLOOKUP($E1796,'NI-Soc_SP'!$C:$AN,MID(X$1,1,2),FALSE)</f>
        <v>0</v>
      </c>
      <c r="Y1796" s="55">
        <f>VLOOKUP($E1796,'NI-Soc_SP'!$C:$AN,MID(Y$1,1,2),FALSE)</f>
        <v>0</v>
      </c>
      <c r="Z1796" s="55">
        <f>VLOOKUP($E1796,'NI-Soc_SP'!$C:$AN,MID(Z$1,1,2),FALSE)</f>
        <v>0</v>
      </c>
      <c r="AA1796" s="55">
        <f>VLOOKUP($E1796,'NI-Soc_SP'!$C:$AN,MID(AA$1,1,2),FALSE)</f>
        <v>0</v>
      </c>
      <c r="AB1796" s="55">
        <f>VLOOKUP($E1796,'NI-Soc_SP'!$C:$AN,MID(AB$1,1,2),FALSE)</f>
        <v>0</v>
      </c>
      <c r="AC1796" s="55">
        <f>VLOOKUP($E1796,'NI-Soc_SP'!$C:$AN,MID(AC$1,1,2),FALSE)</f>
        <v>0</v>
      </c>
      <c r="AD1796" s="55">
        <f>VLOOKUP($E1796,'NI-Soc_SP'!$C:$AN,MID(AD$1,1,2),FALSE)</f>
        <v>0</v>
      </c>
      <c r="AE1796" s="55">
        <f>VLOOKUP($E1796,'NI-Soc_SP'!$C:$AN,MID(AE$1,1,2),FALSE)</f>
        <v>0</v>
      </c>
      <c r="AF1796" s="55">
        <f>VLOOKUP($E1796,'NI-Soc_SP'!$C:$AN,MID(AF$1,1,2),FALSE)</f>
        <v>0</v>
      </c>
      <c r="AG1796" s="55">
        <f>VLOOKUP($E1796,'NI-Soc_SP'!$C:$AN,MID(AG$1,1,2),FALSE)</f>
        <v>0</v>
      </c>
      <c r="AH1796" s="55">
        <f>VLOOKUP($E1796,'NI-Soc_SP'!$C:$AN,MID(AH$1,1,2),FALSE)</f>
        <v>0</v>
      </c>
      <c r="AI1796" s="55">
        <f>VLOOKUP($E1796,'NI-Soc_SP'!$C:$AN,MID(AI$1,1,2),FALSE)</f>
        <v>0</v>
      </c>
      <c r="AJ1796" s="55">
        <f>VLOOKUP($E1796,'NI-Soc_SP'!$C:$AN,MID(AJ$1,1,2),FALSE)</f>
        <v>0</v>
      </c>
      <c r="AK1796" s="55">
        <f>VLOOKUP($E1796,'NI-Soc_SP'!$C:$AN,MID(AK$1,1,2),FALSE)</f>
        <v>0</v>
      </c>
      <c r="AL1796" s="55">
        <f>VLOOKUP($E1796,'NI-Soc_SP'!$C:$AN,MID(AL$1,1,2),FALSE)</f>
        <v>0</v>
      </c>
      <c r="AM1796" s="56">
        <f>VLOOKUP($E1796,'NI-Soc_SP'!$C:$AN,MID(AM$1,1,2),FALSE)</f>
        <v>0</v>
      </c>
      <c r="AN1796" s="30" t="str">
        <f t="shared" si="28"/>
        <v>20101010020030</v>
      </c>
    </row>
    <row r="1797" spans="3:40" x14ac:dyDescent="0.25">
      <c r="C1797" s="40"/>
      <c r="D1797" s="121" t="s">
        <v>1276</v>
      </c>
      <c r="E1797" s="121" t="s">
        <v>1277</v>
      </c>
      <c r="F1797" s="122" t="s">
        <v>2758</v>
      </c>
      <c r="G1797" s="52"/>
      <c r="H1797" s="52"/>
      <c r="I1797" s="52" t="s">
        <v>1278</v>
      </c>
      <c r="J1797" s="52"/>
      <c r="K1797" s="59" t="s">
        <v>79</v>
      </c>
      <c r="L1797" s="62"/>
      <c r="M1797" s="52"/>
      <c r="N1797" s="52"/>
      <c r="O1797" s="61" t="s">
        <v>1145</v>
      </c>
      <c r="P1797" s="60" t="s">
        <v>1279</v>
      </c>
      <c r="Q1797" s="55">
        <f>VLOOKUP(E1797,'NI-Soc_SP'!$C:$AN,12,FALSE)</f>
        <v>0</v>
      </c>
      <c r="R1797" s="55">
        <f>VLOOKUP(E1797,'NI-Soc_SP'!$C:$AN,13,FALSE)</f>
        <v>0</v>
      </c>
      <c r="S1797" s="55"/>
      <c r="T1797" s="55"/>
      <c r="U1797" s="55">
        <f>VLOOKUP($E1797,'NI-Soc_SP'!$C:$AN,MID(U$1,1,2),FALSE)</f>
        <v>0</v>
      </c>
      <c r="V1797" s="55">
        <f>VLOOKUP($E1797,'NI-Soc_SP'!$C:$AN,MID(V$1,1,2),FALSE)</f>
        <v>0</v>
      </c>
      <c r="W1797" s="55">
        <f>VLOOKUP($E1797,'NI-Soc_SP'!$C:$AN,MID(W$1,1,2),FALSE)</f>
        <v>0</v>
      </c>
      <c r="X1797" s="55">
        <f>VLOOKUP($E1797,'NI-Soc_SP'!$C:$AN,MID(X$1,1,2),FALSE)</f>
        <v>0</v>
      </c>
      <c r="Y1797" s="55">
        <f>VLOOKUP($E1797,'NI-Soc_SP'!$C:$AN,MID(Y$1,1,2),FALSE)</f>
        <v>0</v>
      </c>
      <c r="Z1797" s="55">
        <f>VLOOKUP($E1797,'NI-Soc_SP'!$C:$AN,MID(Z$1,1,2),FALSE)</f>
        <v>0</v>
      </c>
      <c r="AA1797" s="55">
        <f>VLOOKUP($E1797,'NI-Soc_SP'!$C:$AN,MID(AA$1,1,2),FALSE)</f>
        <v>0</v>
      </c>
      <c r="AB1797" s="55">
        <f>VLOOKUP($E1797,'NI-Soc_SP'!$C:$AN,MID(AB$1,1,2),FALSE)</f>
        <v>0</v>
      </c>
      <c r="AC1797" s="55">
        <f>VLOOKUP($E1797,'NI-Soc_SP'!$C:$AN,MID(AC$1,1,2),FALSE)</f>
        <v>0</v>
      </c>
      <c r="AD1797" s="55">
        <f>VLOOKUP($E1797,'NI-Soc_SP'!$C:$AN,MID(AD$1,1,2),FALSE)</f>
        <v>0</v>
      </c>
      <c r="AE1797" s="55">
        <f>VLOOKUP($E1797,'NI-Soc_SP'!$C:$AN,MID(AE$1,1,2),FALSE)</f>
        <v>0</v>
      </c>
      <c r="AF1797" s="55">
        <f>VLOOKUP($E1797,'NI-Soc_SP'!$C:$AN,MID(AF$1,1,2),FALSE)</f>
        <v>0</v>
      </c>
      <c r="AG1797" s="55">
        <f>VLOOKUP($E1797,'NI-Soc_SP'!$C:$AN,MID(AG$1,1,2),FALSE)</f>
        <v>0</v>
      </c>
      <c r="AH1797" s="55">
        <f>VLOOKUP($E1797,'NI-Soc_SP'!$C:$AN,MID(AH$1,1,2),FALSE)</f>
        <v>0</v>
      </c>
      <c r="AI1797" s="55">
        <f>VLOOKUP($E1797,'NI-Soc_SP'!$C:$AN,MID(AI$1,1,2),FALSE)</f>
        <v>0</v>
      </c>
      <c r="AJ1797" s="55">
        <f>VLOOKUP($E1797,'NI-Soc_SP'!$C:$AN,MID(AJ$1,1,2),FALSE)</f>
        <v>0</v>
      </c>
      <c r="AK1797" s="55">
        <f>VLOOKUP($E1797,'NI-Soc_SP'!$C:$AN,MID(AK$1,1,2),FALSE)</f>
        <v>0</v>
      </c>
      <c r="AL1797" s="55">
        <f>VLOOKUP($E1797,'NI-Soc_SP'!$C:$AN,MID(AL$1,1,2),FALSE)</f>
        <v>0</v>
      </c>
      <c r="AM1797" s="56">
        <f>VLOOKUP($E1797,'NI-Soc_SP'!$C:$AN,MID(AM$1,1,2),FALSE)</f>
        <v>0</v>
      </c>
      <c r="AN1797" s="30" t="str">
        <f t="shared" si="28"/>
        <v>20101010080010</v>
      </c>
    </row>
    <row r="1798" spans="3:40" ht="27" x14ac:dyDescent="0.25">
      <c r="C1798" s="40"/>
      <c r="D1798" s="121" t="s">
        <v>1280</v>
      </c>
      <c r="E1798" s="121" t="s">
        <v>1281</v>
      </c>
      <c r="F1798" s="122" t="s">
        <v>2758</v>
      </c>
      <c r="G1798" s="52"/>
      <c r="H1798" s="52"/>
      <c r="I1798" s="52" t="s">
        <v>1278</v>
      </c>
      <c r="J1798" s="52"/>
      <c r="K1798" s="59" t="s">
        <v>79</v>
      </c>
      <c r="L1798" s="62"/>
      <c r="M1798" s="52"/>
      <c r="N1798" s="52"/>
      <c r="O1798" s="61" t="s">
        <v>1145</v>
      </c>
      <c r="P1798" s="54" t="s">
        <v>1282</v>
      </c>
      <c r="Q1798" s="55">
        <f>VLOOKUP(E1798,'NI-Soc_SP'!$C:$AN,12,FALSE)</f>
        <v>0</v>
      </c>
      <c r="R1798" s="55">
        <f>VLOOKUP(E1798,'NI-Soc_SP'!$C:$AN,13,FALSE)</f>
        <v>0</v>
      </c>
      <c r="S1798" s="55"/>
      <c r="T1798" s="55"/>
      <c r="U1798" s="55">
        <f>VLOOKUP($E1798,'NI-Soc_SP'!$C:$AN,MID(U$1,1,2),FALSE)</f>
        <v>0</v>
      </c>
      <c r="V1798" s="55">
        <f>VLOOKUP($E1798,'NI-Soc_SP'!$C:$AN,MID(V$1,1,2),FALSE)</f>
        <v>0</v>
      </c>
      <c r="W1798" s="55">
        <f>VLOOKUP($E1798,'NI-Soc_SP'!$C:$AN,MID(W$1,1,2),FALSE)</f>
        <v>0</v>
      </c>
      <c r="X1798" s="55">
        <f>VLOOKUP($E1798,'NI-Soc_SP'!$C:$AN,MID(X$1,1,2),FALSE)</f>
        <v>0</v>
      </c>
      <c r="Y1798" s="55">
        <f>VLOOKUP($E1798,'NI-Soc_SP'!$C:$AN,MID(Y$1,1,2),FALSE)</f>
        <v>0</v>
      </c>
      <c r="Z1798" s="55">
        <f>VLOOKUP($E1798,'NI-Soc_SP'!$C:$AN,MID(Z$1,1,2),FALSE)</f>
        <v>0</v>
      </c>
      <c r="AA1798" s="55">
        <f>VLOOKUP($E1798,'NI-Soc_SP'!$C:$AN,MID(AA$1,1,2),FALSE)</f>
        <v>0</v>
      </c>
      <c r="AB1798" s="55">
        <f>VLOOKUP($E1798,'NI-Soc_SP'!$C:$AN,MID(AB$1,1,2),FALSE)</f>
        <v>0</v>
      </c>
      <c r="AC1798" s="55">
        <f>VLOOKUP($E1798,'NI-Soc_SP'!$C:$AN,MID(AC$1,1,2),FALSE)</f>
        <v>0</v>
      </c>
      <c r="AD1798" s="55">
        <f>VLOOKUP($E1798,'NI-Soc_SP'!$C:$AN,MID(AD$1,1,2),FALSE)</f>
        <v>0</v>
      </c>
      <c r="AE1798" s="55">
        <f>VLOOKUP($E1798,'NI-Soc_SP'!$C:$AN,MID(AE$1,1,2),FALSE)</f>
        <v>0</v>
      </c>
      <c r="AF1798" s="55">
        <f>VLOOKUP($E1798,'NI-Soc_SP'!$C:$AN,MID(AF$1,1,2),FALSE)</f>
        <v>0</v>
      </c>
      <c r="AG1798" s="55">
        <f>VLOOKUP($E1798,'NI-Soc_SP'!$C:$AN,MID(AG$1,1,2),FALSE)</f>
        <v>0</v>
      </c>
      <c r="AH1798" s="55">
        <f>VLOOKUP($E1798,'NI-Soc_SP'!$C:$AN,MID(AH$1,1,2),FALSE)</f>
        <v>0</v>
      </c>
      <c r="AI1798" s="55">
        <f>VLOOKUP($E1798,'NI-Soc_SP'!$C:$AN,MID(AI$1,1,2),FALSE)</f>
        <v>0</v>
      </c>
      <c r="AJ1798" s="55">
        <f>VLOOKUP($E1798,'NI-Soc_SP'!$C:$AN,MID(AJ$1,1,2),FALSE)</f>
        <v>0</v>
      </c>
      <c r="AK1798" s="55">
        <f>VLOOKUP($E1798,'NI-Soc_SP'!$C:$AN,MID(AK$1,1,2),FALSE)</f>
        <v>0</v>
      </c>
      <c r="AL1798" s="55">
        <f>VLOOKUP($E1798,'NI-Soc_SP'!$C:$AN,MID(AL$1,1,2),FALSE)</f>
        <v>0</v>
      </c>
      <c r="AM1798" s="56">
        <f>VLOOKUP($E1798,'NI-Soc_SP'!$C:$AN,MID(AM$1,1,2),FALSE)</f>
        <v>0</v>
      </c>
      <c r="AN1798" s="30" t="str">
        <f t="shared" si="28"/>
        <v>20101010080020</v>
      </c>
    </row>
    <row r="1799" spans="3:40" x14ac:dyDescent="0.25">
      <c r="C1799" s="40"/>
      <c r="D1799" s="121" t="s">
        <v>1283</v>
      </c>
      <c r="E1799" s="121" t="s">
        <v>1284</v>
      </c>
      <c r="F1799" s="122" t="s">
        <v>2758</v>
      </c>
      <c r="G1799" s="52"/>
      <c r="H1799" s="52"/>
      <c r="I1799" s="52" t="s">
        <v>1285</v>
      </c>
      <c r="J1799" s="52"/>
      <c r="K1799" s="59" t="s">
        <v>79</v>
      </c>
      <c r="L1799" s="52" t="s">
        <v>1286</v>
      </c>
      <c r="M1799" s="52"/>
      <c r="N1799" s="52"/>
      <c r="O1799" s="61" t="s">
        <v>1287</v>
      </c>
      <c r="P1799" s="63" t="s">
        <v>1288</v>
      </c>
      <c r="Q1799" s="55">
        <f>VLOOKUP(E1799,'NI-Soc_SP'!$C:$AN,12,FALSE)</f>
        <v>0</v>
      </c>
      <c r="R1799" s="55">
        <f>VLOOKUP(E1799,'NI-Soc_SP'!$C:$AN,13,FALSE)</f>
        <v>0</v>
      </c>
      <c r="S1799" s="55"/>
      <c r="T1799" s="55"/>
      <c r="U1799" s="55">
        <f>VLOOKUP($E1799,'NI-Soc_SP'!$C:$AN,MID(U$1,1,2),FALSE)</f>
        <v>0</v>
      </c>
      <c r="V1799" s="55">
        <f>VLOOKUP($E1799,'NI-Soc_SP'!$C:$AN,MID(V$1,1,2),FALSE)</f>
        <v>0</v>
      </c>
      <c r="W1799" s="55">
        <f>VLOOKUP($E1799,'NI-Soc_SP'!$C:$AN,MID(W$1,1,2),FALSE)</f>
        <v>0</v>
      </c>
      <c r="X1799" s="55">
        <f>VLOOKUP($E1799,'NI-Soc_SP'!$C:$AN,MID(X$1,1,2),FALSE)</f>
        <v>0</v>
      </c>
      <c r="Y1799" s="55">
        <f>VLOOKUP($E1799,'NI-Soc_SP'!$C:$AN,MID(Y$1,1,2),FALSE)</f>
        <v>0</v>
      </c>
      <c r="Z1799" s="55">
        <f>VLOOKUP($E1799,'NI-Soc_SP'!$C:$AN,MID(Z$1,1,2),FALSE)</f>
        <v>0</v>
      </c>
      <c r="AA1799" s="55">
        <f>VLOOKUP($E1799,'NI-Soc_SP'!$C:$AN,MID(AA$1,1,2),FALSE)</f>
        <v>0</v>
      </c>
      <c r="AB1799" s="55">
        <f>VLOOKUP($E1799,'NI-Soc_SP'!$C:$AN,MID(AB$1,1,2),FALSE)</f>
        <v>0</v>
      </c>
      <c r="AC1799" s="55">
        <f>VLOOKUP($E1799,'NI-Soc_SP'!$C:$AN,MID(AC$1,1,2),FALSE)</f>
        <v>0</v>
      </c>
      <c r="AD1799" s="55">
        <f>VLOOKUP($E1799,'NI-Soc_SP'!$C:$AN,MID(AD$1,1,2),FALSE)</f>
        <v>0</v>
      </c>
      <c r="AE1799" s="55">
        <f>VLOOKUP($E1799,'NI-Soc_SP'!$C:$AN,MID(AE$1,1,2),FALSE)</f>
        <v>0</v>
      </c>
      <c r="AF1799" s="55">
        <f>VLOOKUP($E1799,'NI-Soc_SP'!$C:$AN,MID(AF$1,1,2),FALSE)</f>
        <v>0</v>
      </c>
      <c r="AG1799" s="55">
        <f>VLOOKUP($E1799,'NI-Soc_SP'!$C:$AN,MID(AG$1,1,2),FALSE)</f>
        <v>0</v>
      </c>
      <c r="AH1799" s="55">
        <f>VLOOKUP($E1799,'NI-Soc_SP'!$C:$AN,MID(AH$1,1,2),FALSE)</f>
        <v>0</v>
      </c>
      <c r="AI1799" s="55">
        <f>VLOOKUP($E1799,'NI-Soc_SP'!$C:$AN,MID(AI$1,1,2),FALSE)</f>
        <v>0</v>
      </c>
      <c r="AJ1799" s="55">
        <f>VLOOKUP($E1799,'NI-Soc_SP'!$C:$AN,MID(AJ$1,1,2),FALSE)</f>
        <v>0</v>
      </c>
      <c r="AK1799" s="55">
        <f>VLOOKUP($E1799,'NI-Soc_SP'!$C:$AN,MID(AK$1,1,2),FALSE)</f>
        <v>0</v>
      </c>
      <c r="AL1799" s="55">
        <f>VLOOKUP($E1799,'NI-Soc_SP'!$C:$AN,MID(AL$1,1,2),FALSE)</f>
        <v>0</v>
      </c>
      <c r="AM1799" s="56">
        <f>VLOOKUP($E1799,'NI-Soc_SP'!$C:$AN,MID(AM$1,1,2),FALSE)</f>
        <v>0</v>
      </c>
      <c r="AN1799" s="30" t="str">
        <f t="shared" si="28"/>
        <v>20101010090000</v>
      </c>
    </row>
    <row r="1800" spans="3:40" x14ac:dyDescent="0.25">
      <c r="C1800" s="40"/>
      <c r="D1800" s="121" t="s">
        <v>1289</v>
      </c>
      <c r="E1800" s="121" t="s">
        <v>1290</v>
      </c>
      <c r="F1800" s="122" t="s">
        <v>2758</v>
      </c>
      <c r="G1800" s="52"/>
      <c r="H1800" s="52"/>
      <c r="I1800" s="52"/>
      <c r="J1800" s="52"/>
      <c r="K1800" s="59" t="s">
        <v>111</v>
      </c>
      <c r="L1800" s="52" t="s">
        <v>1291</v>
      </c>
      <c r="M1800" s="52"/>
      <c r="N1800" s="52"/>
      <c r="O1800" s="52"/>
      <c r="P1800" s="64" t="s">
        <v>1292</v>
      </c>
      <c r="Q1800" s="55">
        <f>VLOOKUP(E1800,'NI-Soc_SP'!$C:$AN,12,FALSE)</f>
        <v>0</v>
      </c>
      <c r="R1800" s="55">
        <f>VLOOKUP(E1800,'NI-Soc_SP'!$C:$AN,13,FALSE)</f>
        <v>0</v>
      </c>
      <c r="S1800" s="55"/>
      <c r="T1800" s="55"/>
      <c r="U1800" s="55">
        <f>VLOOKUP($E1800,'NI-Soc_SP'!$C:$AN,MID(U$1,1,2),FALSE)</f>
        <v>0</v>
      </c>
      <c r="V1800" s="55">
        <f>VLOOKUP($E1800,'NI-Soc_SP'!$C:$AN,MID(V$1,1,2),FALSE)</f>
        <v>0</v>
      </c>
      <c r="W1800" s="55">
        <f>VLOOKUP($E1800,'NI-Soc_SP'!$C:$AN,MID(W$1,1,2),FALSE)</f>
        <v>0</v>
      </c>
      <c r="X1800" s="55">
        <f>VLOOKUP($E1800,'NI-Soc_SP'!$C:$AN,MID(X$1,1,2),FALSE)</f>
        <v>0</v>
      </c>
      <c r="Y1800" s="55">
        <f>VLOOKUP($E1800,'NI-Soc_SP'!$C:$AN,MID(Y$1,1,2),FALSE)</f>
        <v>0</v>
      </c>
      <c r="Z1800" s="55">
        <f>VLOOKUP($E1800,'NI-Soc_SP'!$C:$AN,MID(Z$1,1,2),FALSE)</f>
        <v>0</v>
      </c>
      <c r="AA1800" s="55">
        <f>VLOOKUP($E1800,'NI-Soc_SP'!$C:$AN,MID(AA$1,1,2),FALSE)</f>
        <v>0</v>
      </c>
      <c r="AB1800" s="55">
        <f>VLOOKUP($E1800,'NI-Soc_SP'!$C:$AN,MID(AB$1,1,2),FALSE)</f>
        <v>0</v>
      </c>
      <c r="AC1800" s="55">
        <f>VLOOKUP($E1800,'NI-Soc_SP'!$C:$AN,MID(AC$1,1,2),FALSE)</f>
        <v>0</v>
      </c>
      <c r="AD1800" s="55">
        <f>VLOOKUP($E1800,'NI-Soc_SP'!$C:$AN,MID(AD$1,1,2),FALSE)</f>
        <v>0</v>
      </c>
      <c r="AE1800" s="55">
        <f>VLOOKUP($E1800,'NI-Soc_SP'!$C:$AN,MID(AE$1,1,2),FALSE)</f>
        <v>0</v>
      </c>
      <c r="AF1800" s="55">
        <f>VLOOKUP($E1800,'NI-Soc_SP'!$C:$AN,MID(AF$1,1,2),FALSE)</f>
        <v>0</v>
      </c>
      <c r="AG1800" s="55">
        <f>VLOOKUP($E1800,'NI-Soc_SP'!$C:$AN,MID(AG$1,1,2),FALSE)</f>
        <v>0</v>
      </c>
      <c r="AH1800" s="55">
        <f>VLOOKUP($E1800,'NI-Soc_SP'!$C:$AN,MID(AH$1,1,2),FALSE)</f>
        <v>0</v>
      </c>
      <c r="AI1800" s="55">
        <f>VLOOKUP($E1800,'NI-Soc_SP'!$C:$AN,MID(AI$1,1,2),FALSE)</f>
        <v>0</v>
      </c>
      <c r="AJ1800" s="55">
        <f>VLOOKUP($E1800,'NI-Soc_SP'!$C:$AN,MID(AJ$1,1,2),FALSE)</f>
        <v>0</v>
      </c>
      <c r="AK1800" s="55">
        <f>VLOOKUP($E1800,'NI-Soc_SP'!$C:$AN,MID(AK$1,1,2),FALSE)</f>
        <v>0</v>
      </c>
      <c r="AL1800" s="55">
        <f>VLOOKUP($E1800,'NI-Soc_SP'!$C:$AN,MID(AL$1,1,2),FALSE)</f>
        <v>0</v>
      </c>
      <c r="AM1800" s="56">
        <f>VLOOKUP($E1800,'NI-Soc_SP'!$C:$AN,MID(AM$1,1,2),FALSE)</f>
        <v>0</v>
      </c>
      <c r="AN1800" s="30" t="str">
        <f t="shared" si="28"/>
        <v>20102000000000</v>
      </c>
    </row>
    <row r="1801" spans="3:40" x14ac:dyDescent="0.25">
      <c r="C1801" s="40"/>
      <c r="D1801" s="121" t="s">
        <v>1293</v>
      </c>
      <c r="E1801" s="121" t="s">
        <v>1294</v>
      </c>
      <c r="F1801" s="122" t="s">
        <v>2758</v>
      </c>
      <c r="G1801" s="52"/>
      <c r="H1801" s="52"/>
      <c r="I1801" s="52" t="s">
        <v>1295</v>
      </c>
      <c r="J1801" s="52"/>
      <c r="K1801" s="59" t="s">
        <v>79</v>
      </c>
      <c r="L1801" s="52"/>
      <c r="M1801" s="52"/>
      <c r="N1801" s="52"/>
      <c r="O1801" s="61" t="s">
        <v>1296</v>
      </c>
      <c r="P1801" s="64" t="s">
        <v>1297</v>
      </c>
      <c r="Q1801" s="55">
        <f>VLOOKUP(E1801,'NI-Soc_SP'!$C:$AN,12,FALSE)</f>
        <v>0</v>
      </c>
      <c r="R1801" s="55">
        <f>VLOOKUP(E1801,'NI-Soc_SP'!$C:$AN,13,FALSE)</f>
        <v>0</v>
      </c>
      <c r="S1801" s="55"/>
      <c r="T1801" s="55"/>
      <c r="U1801" s="55">
        <f>VLOOKUP($E1801,'NI-Soc_SP'!$C:$AN,MID(U$1,1,2),FALSE)</f>
        <v>0</v>
      </c>
      <c r="V1801" s="55">
        <f>VLOOKUP($E1801,'NI-Soc_SP'!$C:$AN,MID(V$1,1,2),FALSE)</f>
        <v>0</v>
      </c>
      <c r="W1801" s="55">
        <f>VLOOKUP($E1801,'NI-Soc_SP'!$C:$AN,MID(W$1,1,2),FALSE)</f>
        <v>0</v>
      </c>
      <c r="X1801" s="55">
        <f>VLOOKUP($E1801,'NI-Soc_SP'!$C:$AN,MID(X$1,1,2),FALSE)</f>
        <v>0</v>
      </c>
      <c r="Y1801" s="55">
        <f>VLOOKUP($E1801,'NI-Soc_SP'!$C:$AN,MID(Y$1,1,2),FALSE)</f>
        <v>0</v>
      </c>
      <c r="Z1801" s="55">
        <f>VLOOKUP($E1801,'NI-Soc_SP'!$C:$AN,MID(Z$1,1,2),FALSE)</f>
        <v>0</v>
      </c>
      <c r="AA1801" s="55">
        <f>VLOOKUP($E1801,'NI-Soc_SP'!$C:$AN,MID(AA$1,1,2),FALSE)</f>
        <v>0</v>
      </c>
      <c r="AB1801" s="55">
        <f>VLOOKUP($E1801,'NI-Soc_SP'!$C:$AN,MID(AB$1,1,2),FALSE)</f>
        <v>0</v>
      </c>
      <c r="AC1801" s="55">
        <f>VLOOKUP($E1801,'NI-Soc_SP'!$C:$AN,MID(AC$1,1,2),FALSE)</f>
        <v>0</v>
      </c>
      <c r="AD1801" s="55">
        <f>VLOOKUP($E1801,'NI-Soc_SP'!$C:$AN,MID(AD$1,1,2),FALSE)</f>
        <v>0</v>
      </c>
      <c r="AE1801" s="55">
        <f>VLOOKUP($E1801,'NI-Soc_SP'!$C:$AN,MID(AE$1,1,2),FALSE)</f>
        <v>0</v>
      </c>
      <c r="AF1801" s="55">
        <f>VLOOKUP($E1801,'NI-Soc_SP'!$C:$AN,MID(AF$1,1,2),FALSE)</f>
        <v>0</v>
      </c>
      <c r="AG1801" s="55">
        <f>VLOOKUP($E1801,'NI-Soc_SP'!$C:$AN,MID(AG$1,1,2),FALSE)</f>
        <v>0</v>
      </c>
      <c r="AH1801" s="55">
        <f>VLOOKUP($E1801,'NI-Soc_SP'!$C:$AN,MID(AH$1,1,2),FALSE)</f>
        <v>0</v>
      </c>
      <c r="AI1801" s="55">
        <f>VLOOKUP($E1801,'NI-Soc_SP'!$C:$AN,MID(AI$1,1,2),FALSE)</f>
        <v>0</v>
      </c>
      <c r="AJ1801" s="55">
        <f>VLOOKUP($E1801,'NI-Soc_SP'!$C:$AN,MID(AJ$1,1,2),FALSE)</f>
        <v>0</v>
      </c>
      <c r="AK1801" s="55">
        <f>VLOOKUP($E1801,'NI-Soc_SP'!$C:$AN,MID(AK$1,1,2),FALSE)</f>
        <v>0</v>
      </c>
      <c r="AL1801" s="55">
        <f>VLOOKUP($E1801,'NI-Soc_SP'!$C:$AN,MID(AL$1,1,2),FALSE)</f>
        <v>0</v>
      </c>
      <c r="AM1801" s="56">
        <f>VLOOKUP($E1801,'NI-Soc_SP'!$C:$AN,MID(AM$1,1,2),FALSE)</f>
        <v>0</v>
      </c>
      <c r="AN1801" s="30" t="str">
        <f t="shared" si="28"/>
        <v>20102010000000</v>
      </c>
    </row>
    <row r="1802" spans="3:40" x14ac:dyDescent="0.25">
      <c r="C1802" s="40"/>
      <c r="D1802" s="121" t="s">
        <v>1298</v>
      </c>
      <c r="E1802" s="121" t="s">
        <v>1299</v>
      </c>
      <c r="F1802" s="122" t="s">
        <v>2758</v>
      </c>
      <c r="G1802" s="52"/>
      <c r="H1802" s="52"/>
      <c r="I1802" s="52" t="s">
        <v>1300</v>
      </c>
      <c r="J1802" s="52"/>
      <c r="K1802" s="59" t="s">
        <v>79</v>
      </c>
      <c r="L1802" s="52"/>
      <c r="M1802" s="52"/>
      <c r="N1802" s="52"/>
      <c r="O1802" s="61" t="s">
        <v>1296</v>
      </c>
      <c r="P1802" s="64" t="s">
        <v>1301</v>
      </c>
      <c r="Q1802" s="55">
        <f>VLOOKUP(E1802,'NI-Soc_SP'!$C:$AN,12,FALSE)</f>
        <v>0</v>
      </c>
      <c r="R1802" s="55">
        <f>VLOOKUP(E1802,'NI-Soc_SP'!$C:$AN,13,FALSE)</f>
        <v>0</v>
      </c>
      <c r="S1802" s="55"/>
      <c r="T1802" s="55"/>
      <c r="U1802" s="55">
        <f>VLOOKUP($E1802,'NI-Soc_SP'!$C:$AN,MID(U$1,1,2),FALSE)</f>
        <v>0</v>
      </c>
      <c r="V1802" s="55">
        <f>VLOOKUP($E1802,'NI-Soc_SP'!$C:$AN,MID(V$1,1,2),FALSE)</f>
        <v>0</v>
      </c>
      <c r="W1802" s="55">
        <f>VLOOKUP($E1802,'NI-Soc_SP'!$C:$AN,MID(W$1,1,2),FALSE)</f>
        <v>0</v>
      </c>
      <c r="X1802" s="55">
        <f>VLOOKUP($E1802,'NI-Soc_SP'!$C:$AN,MID(X$1,1,2),FALSE)</f>
        <v>0</v>
      </c>
      <c r="Y1802" s="55">
        <f>VLOOKUP($E1802,'NI-Soc_SP'!$C:$AN,MID(Y$1,1,2),FALSE)</f>
        <v>0</v>
      </c>
      <c r="Z1802" s="55">
        <f>VLOOKUP($E1802,'NI-Soc_SP'!$C:$AN,MID(Z$1,1,2),FALSE)</f>
        <v>0</v>
      </c>
      <c r="AA1802" s="55">
        <f>VLOOKUP($E1802,'NI-Soc_SP'!$C:$AN,MID(AA$1,1,2),FALSE)</f>
        <v>0</v>
      </c>
      <c r="AB1802" s="55">
        <f>VLOOKUP($E1802,'NI-Soc_SP'!$C:$AN,MID(AB$1,1,2),FALSE)</f>
        <v>0</v>
      </c>
      <c r="AC1802" s="55">
        <f>VLOOKUP($E1802,'NI-Soc_SP'!$C:$AN,MID(AC$1,1,2),FALSE)</f>
        <v>0</v>
      </c>
      <c r="AD1802" s="55">
        <f>VLOOKUP($E1802,'NI-Soc_SP'!$C:$AN,MID(AD$1,1,2),FALSE)</f>
        <v>0</v>
      </c>
      <c r="AE1802" s="55">
        <f>VLOOKUP($E1802,'NI-Soc_SP'!$C:$AN,MID(AE$1,1,2),FALSE)</f>
        <v>0</v>
      </c>
      <c r="AF1802" s="55">
        <f>VLOOKUP($E1802,'NI-Soc_SP'!$C:$AN,MID(AF$1,1,2),FALSE)</f>
        <v>0</v>
      </c>
      <c r="AG1802" s="55">
        <f>VLOOKUP($E1802,'NI-Soc_SP'!$C:$AN,MID(AG$1,1,2),FALSE)</f>
        <v>0</v>
      </c>
      <c r="AH1802" s="55">
        <f>VLOOKUP($E1802,'NI-Soc_SP'!$C:$AN,MID(AH$1,1,2),FALSE)</f>
        <v>0</v>
      </c>
      <c r="AI1802" s="55">
        <f>VLOOKUP($E1802,'NI-Soc_SP'!$C:$AN,MID(AI$1,1,2),FALSE)</f>
        <v>0</v>
      </c>
      <c r="AJ1802" s="55">
        <f>VLOOKUP($E1802,'NI-Soc_SP'!$C:$AN,MID(AJ$1,1,2),FALSE)</f>
        <v>0</v>
      </c>
      <c r="AK1802" s="55">
        <f>VLOOKUP($E1802,'NI-Soc_SP'!$C:$AN,MID(AK$1,1,2),FALSE)</f>
        <v>0</v>
      </c>
      <c r="AL1802" s="55">
        <f>VLOOKUP($E1802,'NI-Soc_SP'!$C:$AN,MID(AL$1,1,2),FALSE)</f>
        <v>0</v>
      </c>
      <c r="AM1802" s="56">
        <f>VLOOKUP($E1802,'NI-Soc_SP'!$C:$AN,MID(AM$1,1,2),FALSE)</f>
        <v>0</v>
      </c>
      <c r="AN1802" s="30" t="str">
        <f t="shared" si="28"/>
        <v>20102020000000</v>
      </c>
    </row>
    <row r="1803" spans="3:40" x14ac:dyDescent="0.25">
      <c r="C1803" s="40"/>
      <c r="D1803" s="121" t="s">
        <v>1302</v>
      </c>
      <c r="E1803" s="121" t="s">
        <v>1303</v>
      </c>
      <c r="F1803" s="122" t="s">
        <v>2758</v>
      </c>
      <c r="G1803" s="52"/>
      <c r="H1803" s="52"/>
      <c r="I1803" s="52" t="s">
        <v>1304</v>
      </c>
      <c r="J1803" s="52"/>
      <c r="K1803" s="59" t="s">
        <v>79</v>
      </c>
      <c r="L1803" s="52"/>
      <c r="M1803" s="52"/>
      <c r="N1803" s="52"/>
      <c r="O1803" s="61" t="s">
        <v>1296</v>
      </c>
      <c r="P1803" s="64" t="s">
        <v>1305</v>
      </c>
      <c r="Q1803" s="55">
        <f>VLOOKUP(E1803,'NI-Soc_SP'!$C:$AN,12,FALSE)</f>
        <v>0</v>
      </c>
      <c r="R1803" s="55">
        <f>VLOOKUP(E1803,'NI-Soc_SP'!$C:$AN,13,FALSE)</f>
        <v>0</v>
      </c>
      <c r="S1803" s="55"/>
      <c r="T1803" s="55"/>
      <c r="U1803" s="55">
        <f>VLOOKUP($E1803,'NI-Soc_SP'!$C:$AN,MID(U$1,1,2),FALSE)</f>
        <v>0</v>
      </c>
      <c r="V1803" s="55">
        <f>VLOOKUP($E1803,'NI-Soc_SP'!$C:$AN,MID(V$1,1,2),FALSE)</f>
        <v>0</v>
      </c>
      <c r="W1803" s="55">
        <f>VLOOKUP($E1803,'NI-Soc_SP'!$C:$AN,MID(W$1,1,2),FALSE)</f>
        <v>0</v>
      </c>
      <c r="X1803" s="55">
        <f>VLOOKUP($E1803,'NI-Soc_SP'!$C:$AN,MID(X$1,1,2),FALSE)</f>
        <v>0</v>
      </c>
      <c r="Y1803" s="55">
        <f>VLOOKUP($E1803,'NI-Soc_SP'!$C:$AN,MID(Y$1,1,2),FALSE)</f>
        <v>0</v>
      </c>
      <c r="Z1803" s="55">
        <f>VLOOKUP($E1803,'NI-Soc_SP'!$C:$AN,MID(Z$1,1,2),FALSE)</f>
        <v>0</v>
      </c>
      <c r="AA1803" s="55">
        <f>VLOOKUP($E1803,'NI-Soc_SP'!$C:$AN,MID(AA$1,1,2),FALSE)</f>
        <v>0</v>
      </c>
      <c r="AB1803" s="55">
        <f>VLOOKUP($E1803,'NI-Soc_SP'!$C:$AN,MID(AB$1,1,2),FALSE)</f>
        <v>0</v>
      </c>
      <c r="AC1803" s="55">
        <f>VLOOKUP($E1803,'NI-Soc_SP'!$C:$AN,MID(AC$1,1,2),FALSE)</f>
        <v>0</v>
      </c>
      <c r="AD1803" s="55">
        <f>VLOOKUP($E1803,'NI-Soc_SP'!$C:$AN,MID(AD$1,1,2),FALSE)</f>
        <v>0</v>
      </c>
      <c r="AE1803" s="55">
        <f>VLOOKUP($E1803,'NI-Soc_SP'!$C:$AN,MID(AE$1,1,2),FALSE)</f>
        <v>0</v>
      </c>
      <c r="AF1803" s="55">
        <f>VLOOKUP($E1803,'NI-Soc_SP'!$C:$AN,MID(AF$1,1,2),FALSE)</f>
        <v>0</v>
      </c>
      <c r="AG1803" s="55">
        <f>VLOOKUP($E1803,'NI-Soc_SP'!$C:$AN,MID(AG$1,1,2),FALSE)</f>
        <v>0</v>
      </c>
      <c r="AH1803" s="55">
        <f>VLOOKUP($E1803,'NI-Soc_SP'!$C:$AN,MID(AH$1,1,2),FALSE)</f>
        <v>0</v>
      </c>
      <c r="AI1803" s="55">
        <f>VLOOKUP($E1803,'NI-Soc_SP'!$C:$AN,MID(AI$1,1,2),FALSE)</f>
        <v>0</v>
      </c>
      <c r="AJ1803" s="55">
        <f>VLOOKUP($E1803,'NI-Soc_SP'!$C:$AN,MID(AJ$1,1,2),FALSE)</f>
        <v>0</v>
      </c>
      <c r="AK1803" s="55">
        <f>VLOOKUP($E1803,'NI-Soc_SP'!$C:$AN,MID(AK$1,1,2),FALSE)</f>
        <v>0</v>
      </c>
      <c r="AL1803" s="55">
        <f>VLOOKUP($E1803,'NI-Soc_SP'!$C:$AN,MID(AL$1,1,2),FALSE)</f>
        <v>0</v>
      </c>
      <c r="AM1803" s="56">
        <f>VLOOKUP($E1803,'NI-Soc_SP'!$C:$AN,MID(AM$1,1,2),FALSE)</f>
        <v>0</v>
      </c>
      <c r="AN1803" s="30" t="str">
        <f t="shared" si="28"/>
        <v>20102030010000</v>
      </c>
    </row>
    <row r="1804" spans="3:40" x14ac:dyDescent="0.25">
      <c r="C1804" s="40"/>
      <c r="D1804" s="121" t="s">
        <v>1306</v>
      </c>
      <c r="E1804" s="121" t="s">
        <v>1307</v>
      </c>
      <c r="F1804" s="122" t="s">
        <v>2758</v>
      </c>
      <c r="G1804" s="52"/>
      <c r="H1804" s="52"/>
      <c r="I1804" s="52" t="s">
        <v>1304</v>
      </c>
      <c r="J1804" s="52"/>
      <c r="K1804" s="59" t="s">
        <v>79</v>
      </c>
      <c r="L1804" s="52"/>
      <c r="M1804" s="52"/>
      <c r="N1804" s="52"/>
      <c r="O1804" s="61" t="s">
        <v>1296</v>
      </c>
      <c r="P1804" s="64" t="s">
        <v>1308</v>
      </c>
      <c r="Q1804" s="55">
        <f>VLOOKUP(E1804,'NI-Soc_SP'!$C:$AN,12,FALSE)</f>
        <v>0</v>
      </c>
      <c r="R1804" s="55">
        <f>VLOOKUP(E1804,'NI-Soc_SP'!$C:$AN,13,FALSE)</f>
        <v>0</v>
      </c>
      <c r="S1804" s="55"/>
      <c r="T1804" s="55"/>
      <c r="U1804" s="55">
        <f>VLOOKUP($E1804,'NI-Soc_SP'!$C:$AN,MID(U$1,1,2),FALSE)</f>
        <v>0</v>
      </c>
      <c r="V1804" s="55">
        <f>VLOOKUP($E1804,'NI-Soc_SP'!$C:$AN,MID(V$1,1,2),FALSE)</f>
        <v>0</v>
      </c>
      <c r="W1804" s="55">
        <f>VLOOKUP($E1804,'NI-Soc_SP'!$C:$AN,MID(W$1,1,2),FALSE)</f>
        <v>0</v>
      </c>
      <c r="X1804" s="55">
        <f>VLOOKUP($E1804,'NI-Soc_SP'!$C:$AN,MID(X$1,1,2),FALSE)</f>
        <v>0</v>
      </c>
      <c r="Y1804" s="55">
        <f>VLOOKUP($E1804,'NI-Soc_SP'!$C:$AN,MID(Y$1,1,2),FALSE)</f>
        <v>0</v>
      </c>
      <c r="Z1804" s="55">
        <f>VLOOKUP($E1804,'NI-Soc_SP'!$C:$AN,MID(Z$1,1,2),FALSE)</f>
        <v>0</v>
      </c>
      <c r="AA1804" s="55">
        <f>VLOOKUP($E1804,'NI-Soc_SP'!$C:$AN,MID(AA$1,1,2),FALSE)</f>
        <v>0</v>
      </c>
      <c r="AB1804" s="55">
        <f>VLOOKUP($E1804,'NI-Soc_SP'!$C:$AN,MID(AB$1,1,2),FALSE)</f>
        <v>0</v>
      </c>
      <c r="AC1804" s="55">
        <f>VLOOKUP($E1804,'NI-Soc_SP'!$C:$AN,MID(AC$1,1,2),FALSE)</f>
        <v>0</v>
      </c>
      <c r="AD1804" s="55">
        <f>VLOOKUP($E1804,'NI-Soc_SP'!$C:$AN,MID(AD$1,1,2),FALSE)</f>
        <v>0</v>
      </c>
      <c r="AE1804" s="55">
        <f>VLOOKUP($E1804,'NI-Soc_SP'!$C:$AN,MID(AE$1,1,2),FALSE)</f>
        <v>0</v>
      </c>
      <c r="AF1804" s="55">
        <f>VLOOKUP($E1804,'NI-Soc_SP'!$C:$AN,MID(AF$1,1,2),FALSE)</f>
        <v>0</v>
      </c>
      <c r="AG1804" s="55">
        <f>VLOOKUP($E1804,'NI-Soc_SP'!$C:$AN,MID(AG$1,1,2),FALSE)</f>
        <v>0</v>
      </c>
      <c r="AH1804" s="55">
        <f>VLOOKUP($E1804,'NI-Soc_SP'!$C:$AN,MID(AH$1,1,2),FALSE)</f>
        <v>0</v>
      </c>
      <c r="AI1804" s="55">
        <f>VLOOKUP($E1804,'NI-Soc_SP'!$C:$AN,MID(AI$1,1,2),FALSE)</f>
        <v>0</v>
      </c>
      <c r="AJ1804" s="55">
        <f>VLOOKUP($E1804,'NI-Soc_SP'!$C:$AN,MID(AJ$1,1,2),FALSE)</f>
        <v>0</v>
      </c>
      <c r="AK1804" s="55">
        <f>VLOOKUP($E1804,'NI-Soc_SP'!$C:$AN,MID(AK$1,1,2),FALSE)</f>
        <v>0</v>
      </c>
      <c r="AL1804" s="55">
        <f>VLOOKUP($E1804,'NI-Soc_SP'!$C:$AN,MID(AL$1,1,2),FALSE)</f>
        <v>0</v>
      </c>
      <c r="AM1804" s="56">
        <f>VLOOKUP($E1804,'NI-Soc_SP'!$C:$AN,MID(AM$1,1,2),FALSE)</f>
        <v>0</v>
      </c>
      <c r="AN1804" s="30" t="str">
        <f t="shared" si="28"/>
        <v>20102030020000</v>
      </c>
    </row>
    <row r="1805" spans="3:40" x14ac:dyDescent="0.25">
      <c r="C1805" s="40"/>
      <c r="D1805" s="121" t="s">
        <v>1309</v>
      </c>
      <c r="E1805" s="121" t="s">
        <v>1310</v>
      </c>
      <c r="F1805" s="122" t="s">
        <v>2758</v>
      </c>
      <c r="G1805" s="52"/>
      <c r="H1805" s="52"/>
      <c r="I1805" s="52" t="s">
        <v>1311</v>
      </c>
      <c r="J1805" s="52"/>
      <c r="K1805" s="59" t="s">
        <v>79</v>
      </c>
      <c r="L1805" s="52"/>
      <c r="M1805" s="52"/>
      <c r="N1805" s="52"/>
      <c r="O1805" s="61" t="s">
        <v>1296</v>
      </c>
      <c r="P1805" s="63" t="s">
        <v>1312</v>
      </c>
      <c r="Q1805" s="55">
        <f>VLOOKUP(E1805,'NI-Soc_SP'!$C:$AN,12,FALSE)</f>
        <v>0</v>
      </c>
      <c r="R1805" s="55">
        <f>VLOOKUP(E1805,'NI-Soc_SP'!$C:$AN,13,FALSE)</f>
        <v>0</v>
      </c>
      <c r="S1805" s="55"/>
      <c r="T1805" s="55"/>
      <c r="U1805" s="55">
        <f>VLOOKUP($E1805,'NI-Soc_SP'!$C:$AN,MID(U$1,1,2),FALSE)</f>
        <v>0</v>
      </c>
      <c r="V1805" s="55">
        <f>VLOOKUP($E1805,'NI-Soc_SP'!$C:$AN,MID(V$1,1,2),FALSE)</f>
        <v>0</v>
      </c>
      <c r="W1805" s="55">
        <f>VLOOKUP($E1805,'NI-Soc_SP'!$C:$AN,MID(W$1,1,2),FALSE)</f>
        <v>0</v>
      </c>
      <c r="X1805" s="55">
        <f>VLOOKUP($E1805,'NI-Soc_SP'!$C:$AN,MID(X$1,1,2),FALSE)</f>
        <v>0</v>
      </c>
      <c r="Y1805" s="55">
        <f>VLOOKUP($E1805,'NI-Soc_SP'!$C:$AN,MID(Y$1,1,2),FALSE)</f>
        <v>0</v>
      </c>
      <c r="Z1805" s="55">
        <f>VLOOKUP($E1805,'NI-Soc_SP'!$C:$AN,MID(Z$1,1,2),FALSE)</f>
        <v>0</v>
      </c>
      <c r="AA1805" s="55">
        <f>VLOOKUP($E1805,'NI-Soc_SP'!$C:$AN,MID(AA$1,1,2),FALSE)</f>
        <v>0</v>
      </c>
      <c r="AB1805" s="55">
        <f>VLOOKUP($E1805,'NI-Soc_SP'!$C:$AN,MID(AB$1,1,2),FALSE)</f>
        <v>0</v>
      </c>
      <c r="AC1805" s="55">
        <f>VLOOKUP($E1805,'NI-Soc_SP'!$C:$AN,MID(AC$1,1,2),FALSE)</f>
        <v>0</v>
      </c>
      <c r="AD1805" s="55">
        <f>VLOOKUP($E1805,'NI-Soc_SP'!$C:$AN,MID(AD$1,1,2),FALSE)</f>
        <v>0</v>
      </c>
      <c r="AE1805" s="55">
        <f>VLOOKUP($E1805,'NI-Soc_SP'!$C:$AN,MID(AE$1,1,2),FALSE)</f>
        <v>0</v>
      </c>
      <c r="AF1805" s="55">
        <f>VLOOKUP($E1805,'NI-Soc_SP'!$C:$AN,MID(AF$1,1,2),FALSE)</f>
        <v>0</v>
      </c>
      <c r="AG1805" s="55">
        <f>VLOOKUP($E1805,'NI-Soc_SP'!$C:$AN,MID(AG$1,1,2),FALSE)</f>
        <v>0</v>
      </c>
      <c r="AH1805" s="55">
        <f>VLOOKUP($E1805,'NI-Soc_SP'!$C:$AN,MID(AH$1,1,2),FALSE)</f>
        <v>0</v>
      </c>
      <c r="AI1805" s="55">
        <f>VLOOKUP($E1805,'NI-Soc_SP'!$C:$AN,MID(AI$1,1,2),FALSE)</f>
        <v>0</v>
      </c>
      <c r="AJ1805" s="55">
        <f>VLOOKUP($E1805,'NI-Soc_SP'!$C:$AN,MID(AJ$1,1,2),FALSE)</f>
        <v>0</v>
      </c>
      <c r="AK1805" s="55">
        <f>VLOOKUP($E1805,'NI-Soc_SP'!$C:$AN,MID(AK$1,1,2),FALSE)</f>
        <v>0</v>
      </c>
      <c r="AL1805" s="55">
        <f>VLOOKUP($E1805,'NI-Soc_SP'!$C:$AN,MID(AL$1,1,2),FALSE)</f>
        <v>0</v>
      </c>
      <c r="AM1805" s="56">
        <f>VLOOKUP($E1805,'NI-Soc_SP'!$C:$AN,MID(AM$1,1,2),FALSE)</f>
        <v>0</v>
      </c>
      <c r="AN1805" s="30" t="str">
        <f t="shared" si="28"/>
        <v>20102040010000</v>
      </c>
    </row>
    <row r="1806" spans="3:40" x14ac:dyDescent="0.25">
      <c r="C1806" s="40"/>
      <c r="D1806" s="121" t="s">
        <v>1313</v>
      </c>
      <c r="E1806" s="121" t="s">
        <v>1314</v>
      </c>
      <c r="F1806" s="122" t="s">
        <v>2758</v>
      </c>
      <c r="G1806" s="52"/>
      <c r="H1806" s="52"/>
      <c r="I1806" s="52" t="s">
        <v>1311</v>
      </c>
      <c r="J1806" s="52"/>
      <c r="K1806" s="59" t="s">
        <v>79</v>
      </c>
      <c r="L1806" s="52"/>
      <c r="M1806" s="52"/>
      <c r="N1806" s="52"/>
      <c r="O1806" s="61" t="s">
        <v>1296</v>
      </c>
      <c r="P1806" s="63" t="s">
        <v>1315</v>
      </c>
      <c r="Q1806" s="55">
        <f>VLOOKUP(E1806,'NI-Soc_SP'!$C:$AN,12,FALSE)</f>
        <v>0</v>
      </c>
      <c r="R1806" s="55">
        <f>VLOOKUP(E1806,'NI-Soc_SP'!$C:$AN,13,FALSE)</f>
        <v>0</v>
      </c>
      <c r="S1806" s="55"/>
      <c r="T1806" s="55"/>
      <c r="U1806" s="55">
        <f>VLOOKUP($E1806,'NI-Soc_SP'!$C:$AN,MID(U$1,1,2),FALSE)</f>
        <v>0</v>
      </c>
      <c r="V1806" s="55">
        <f>VLOOKUP($E1806,'NI-Soc_SP'!$C:$AN,MID(V$1,1,2),FALSE)</f>
        <v>0</v>
      </c>
      <c r="W1806" s="55">
        <f>VLOOKUP($E1806,'NI-Soc_SP'!$C:$AN,MID(W$1,1,2),FALSE)</f>
        <v>0</v>
      </c>
      <c r="X1806" s="55">
        <f>VLOOKUP($E1806,'NI-Soc_SP'!$C:$AN,MID(X$1,1,2),FALSE)</f>
        <v>0</v>
      </c>
      <c r="Y1806" s="55">
        <f>VLOOKUP($E1806,'NI-Soc_SP'!$C:$AN,MID(Y$1,1,2),FALSE)</f>
        <v>0</v>
      </c>
      <c r="Z1806" s="55">
        <f>VLOOKUP($E1806,'NI-Soc_SP'!$C:$AN,MID(Z$1,1,2),FALSE)</f>
        <v>0</v>
      </c>
      <c r="AA1806" s="55">
        <f>VLOOKUP($E1806,'NI-Soc_SP'!$C:$AN,MID(AA$1,1,2),FALSE)</f>
        <v>0</v>
      </c>
      <c r="AB1806" s="55">
        <f>VLOOKUP($E1806,'NI-Soc_SP'!$C:$AN,MID(AB$1,1,2),FALSE)</f>
        <v>0</v>
      </c>
      <c r="AC1806" s="55">
        <f>VLOOKUP($E1806,'NI-Soc_SP'!$C:$AN,MID(AC$1,1,2),FALSE)</f>
        <v>0</v>
      </c>
      <c r="AD1806" s="55">
        <f>VLOOKUP($E1806,'NI-Soc_SP'!$C:$AN,MID(AD$1,1,2),FALSE)</f>
        <v>0</v>
      </c>
      <c r="AE1806" s="55">
        <f>VLOOKUP($E1806,'NI-Soc_SP'!$C:$AN,MID(AE$1,1,2),FALSE)</f>
        <v>0</v>
      </c>
      <c r="AF1806" s="55">
        <f>VLOOKUP($E1806,'NI-Soc_SP'!$C:$AN,MID(AF$1,1,2),FALSE)</f>
        <v>0</v>
      </c>
      <c r="AG1806" s="55">
        <f>VLOOKUP($E1806,'NI-Soc_SP'!$C:$AN,MID(AG$1,1,2),FALSE)</f>
        <v>0</v>
      </c>
      <c r="AH1806" s="55">
        <f>VLOOKUP($E1806,'NI-Soc_SP'!$C:$AN,MID(AH$1,1,2),FALSE)</f>
        <v>0</v>
      </c>
      <c r="AI1806" s="55">
        <f>VLOOKUP($E1806,'NI-Soc_SP'!$C:$AN,MID(AI$1,1,2),FALSE)</f>
        <v>0</v>
      </c>
      <c r="AJ1806" s="55">
        <f>VLOOKUP($E1806,'NI-Soc_SP'!$C:$AN,MID(AJ$1,1,2),FALSE)</f>
        <v>0</v>
      </c>
      <c r="AK1806" s="55">
        <f>VLOOKUP($E1806,'NI-Soc_SP'!$C:$AN,MID(AK$1,1,2),FALSE)</f>
        <v>0</v>
      </c>
      <c r="AL1806" s="55">
        <f>VLOOKUP($E1806,'NI-Soc_SP'!$C:$AN,MID(AL$1,1,2),FALSE)</f>
        <v>0</v>
      </c>
      <c r="AM1806" s="56">
        <f>VLOOKUP($E1806,'NI-Soc_SP'!$C:$AN,MID(AM$1,1,2),FALSE)</f>
        <v>0</v>
      </c>
      <c r="AN1806" s="30" t="str">
        <f t="shared" si="28"/>
        <v>20102040020000</v>
      </c>
    </row>
    <row r="1807" spans="3:40" x14ac:dyDescent="0.25">
      <c r="C1807" s="40"/>
      <c r="D1807" s="121" t="s">
        <v>1316</v>
      </c>
      <c r="E1807" s="121" t="s">
        <v>1317</v>
      </c>
      <c r="F1807" s="122" t="s">
        <v>2758</v>
      </c>
      <c r="G1807" s="52"/>
      <c r="H1807" s="52"/>
      <c r="I1807" s="52" t="s">
        <v>1318</v>
      </c>
      <c r="J1807" s="52"/>
      <c r="K1807" s="59" t="s">
        <v>79</v>
      </c>
      <c r="L1807" s="52"/>
      <c r="M1807" s="52"/>
      <c r="N1807" s="52"/>
      <c r="O1807" s="61" t="s">
        <v>1296</v>
      </c>
      <c r="P1807" s="63" t="s">
        <v>1319</v>
      </c>
      <c r="Q1807" s="55">
        <f>VLOOKUP(E1807,'NI-Soc_SP'!$C:$AN,12,FALSE)</f>
        <v>0</v>
      </c>
      <c r="R1807" s="55">
        <f>VLOOKUP(E1807,'NI-Soc_SP'!$C:$AN,13,FALSE)</f>
        <v>0</v>
      </c>
      <c r="S1807" s="55"/>
      <c r="T1807" s="55"/>
      <c r="U1807" s="55">
        <f>VLOOKUP($E1807,'NI-Soc_SP'!$C:$AN,MID(U$1,1,2),FALSE)</f>
        <v>0</v>
      </c>
      <c r="V1807" s="55">
        <f>VLOOKUP($E1807,'NI-Soc_SP'!$C:$AN,MID(V$1,1,2),FALSE)</f>
        <v>0</v>
      </c>
      <c r="W1807" s="55">
        <f>VLOOKUP($E1807,'NI-Soc_SP'!$C:$AN,MID(W$1,1,2),FALSE)</f>
        <v>0</v>
      </c>
      <c r="X1807" s="55">
        <f>VLOOKUP($E1807,'NI-Soc_SP'!$C:$AN,MID(X$1,1,2),FALSE)</f>
        <v>0</v>
      </c>
      <c r="Y1807" s="55">
        <f>VLOOKUP($E1807,'NI-Soc_SP'!$C:$AN,MID(Y$1,1,2),FALSE)</f>
        <v>0</v>
      </c>
      <c r="Z1807" s="55">
        <f>VLOOKUP($E1807,'NI-Soc_SP'!$C:$AN,MID(Z$1,1,2),FALSE)</f>
        <v>0</v>
      </c>
      <c r="AA1807" s="55">
        <f>VLOOKUP($E1807,'NI-Soc_SP'!$C:$AN,MID(AA$1,1,2),FALSE)</f>
        <v>0</v>
      </c>
      <c r="AB1807" s="55">
        <f>VLOOKUP($E1807,'NI-Soc_SP'!$C:$AN,MID(AB$1,1,2),FALSE)</f>
        <v>0</v>
      </c>
      <c r="AC1807" s="55">
        <f>VLOOKUP($E1807,'NI-Soc_SP'!$C:$AN,MID(AC$1,1,2),FALSE)</f>
        <v>0</v>
      </c>
      <c r="AD1807" s="55">
        <f>VLOOKUP($E1807,'NI-Soc_SP'!$C:$AN,MID(AD$1,1,2),FALSE)</f>
        <v>0</v>
      </c>
      <c r="AE1807" s="55">
        <f>VLOOKUP($E1807,'NI-Soc_SP'!$C:$AN,MID(AE$1,1,2),FALSE)</f>
        <v>0</v>
      </c>
      <c r="AF1807" s="55">
        <f>VLOOKUP($E1807,'NI-Soc_SP'!$C:$AN,MID(AF$1,1,2),FALSE)</f>
        <v>0</v>
      </c>
      <c r="AG1807" s="55">
        <f>VLOOKUP($E1807,'NI-Soc_SP'!$C:$AN,MID(AG$1,1,2),FALSE)</f>
        <v>0</v>
      </c>
      <c r="AH1807" s="55">
        <f>VLOOKUP($E1807,'NI-Soc_SP'!$C:$AN,MID(AH$1,1,2),FALSE)</f>
        <v>0</v>
      </c>
      <c r="AI1807" s="55">
        <f>VLOOKUP($E1807,'NI-Soc_SP'!$C:$AN,MID(AI$1,1,2),FALSE)</f>
        <v>0</v>
      </c>
      <c r="AJ1807" s="55">
        <f>VLOOKUP($E1807,'NI-Soc_SP'!$C:$AN,MID(AJ$1,1,2),FALSE)</f>
        <v>0</v>
      </c>
      <c r="AK1807" s="55">
        <f>VLOOKUP($E1807,'NI-Soc_SP'!$C:$AN,MID(AK$1,1,2),FALSE)</f>
        <v>0</v>
      </c>
      <c r="AL1807" s="55">
        <f>VLOOKUP($E1807,'NI-Soc_SP'!$C:$AN,MID(AL$1,1,2),FALSE)</f>
        <v>0</v>
      </c>
      <c r="AM1807" s="56">
        <f>VLOOKUP($E1807,'NI-Soc_SP'!$C:$AN,MID(AM$1,1,2),FALSE)</f>
        <v>0</v>
      </c>
      <c r="AN1807" s="30" t="str">
        <f t="shared" si="28"/>
        <v>20102050010000</v>
      </c>
    </row>
    <row r="1808" spans="3:40" x14ac:dyDescent="0.25">
      <c r="C1808" s="40"/>
      <c r="D1808" s="121" t="s">
        <v>1320</v>
      </c>
      <c r="E1808" s="121" t="s">
        <v>1321</v>
      </c>
      <c r="F1808" s="122" t="s">
        <v>2758</v>
      </c>
      <c r="G1808" s="52"/>
      <c r="H1808" s="52"/>
      <c r="I1808" s="52" t="s">
        <v>1318</v>
      </c>
      <c r="J1808" s="52"/>
      <c r="K1808" s="59" t="s">
        <v>79</v>
      </c>
      <c r="L1808" s="52"/>
      <c r="M1808" s="52"/>
      <c r="N1808" s="52"/>
      <c r="O1808" s="61" t="s">
        <v>1296</v>
      </c>
      <c r="P1808" s="63" t="s">
        <v>1322</v>
      </c>
      <c r="Q1808" s="55">
        <f>VLOOKUP(E1808,'NI-Soc_SP'!$C:$AN,12,FALSE)</f>
        <v>0</v>
      </c>
      <c r="R1808" s="55">
        <f>VLOOKUP(E1808,'NI-Soc_SP'!$C:$AN,13,FALSE)</f>
        <v>0</v>
      </c>
      <c r="S1808" s="55"/>
      <c r="T1808" s="55"/>
      <c r="U1808" s="55">
        <f>VLOOKUP($E1808,'NI-Soc_SP'!$C:$AN,MID(U$1,1,2),FALSE)</f>
        <v>0</v>
      </c>
      <c r="V1808" s="55">
        <f>VLOOKUP($E1808,'NI-Soc_SP'!$C:$AN,MID(V$1,1,2),FALSE)</f>
        <v>0</v>
      </c>
      <c r="W1808" s="55">
        <f>VLOOKUP($E1808,'NI-Soc_SP'!$C:$AN,MID(W$1,1,2),FALSE)</f>
        <v>0</v>
      </c>
      <c r="X1808" s="55">
        <f>VLOOKUP($E1808,'NI-Soc_SP'!$C:$AN,MID(X$1,1,2),FALSE)</f>
        <v>0</v>
      </c>
      <c r="Y1808" s="55">
        <f>VLOOKUP($E1808,'NI-Soc_SP'!$C:$AN,MID(Y$1,1,2),FALSE)</f>
        <v>0</v>
      </c>
      <c r="Z1808" s="55">
        <f>VLOOKUP($E1808,'NI-Soc_SP'!$C:$AN,MID(Z$1,1,2),FALSE)</f>
        <v>0</v>
      </c>
      <c r="AA1808" s="55">
        <f>VLOOKUP($E1808,'NI-Soc_SP'!$C:$AN,MID(AA$1,1,2),FALSE)</f>
        <v>0</v>
      </c>
      <c r="AB1808" s="55">
        <f>VLOOKUP($E1808,'NI-Soc_SP'!$C:$AN,MID(AB$1,1,2),FALSE)</f>
        <v>0</v>
      </c>
      <c r="AC1808" s="55">
        <f>VLOOKUP($E1808,'NI-Soc_SP'!$C:$AN,MID(AC$1,1,2),FALSE)</f>
        <v>0</v>
      </c>
      <c r="AD1808" s="55">
        <f>VLOOKUP($E1808,'NI-Soc_SP'!$C:$AN,MID(AD$1,1,2),FALSE)</f>
        <v>0</v>
      </c>
      <c r="AE1808" s="55">
        <f>VLOOKUP($E1808,'NI-Soc_SP'!$C:$AN,MID(AE$1,1,2),FALSE)</f>
        <v>0</v>
      </c>
      <c r="AF1808" s="55">
        <f>VLOOKUP($E1808,'NI-Soc_SP'!$C:$AN,MID(AF$1,1,2),FALSE)</f>
        <v>0</v>
      </c>
      <c r="AG1808" s="55">
        <f>VLOOKUP($E1808,'NI-Soc_SP'!$C:$AN,MID(AG$1,1,2),FALSE)</f>
        <v>0</v>
      </c>
      <c r="AH1808" s="55">
        <f>VLOOKUP($E1808,'NI-Soc_SP'!$C:$AN,MID(AH$1,1,2),FALSE)</f>
        <v>0</v>
      </c>
      <c r="AI1808" s="55">
        <f>VLOOKUP($E1808,'NI-Soc_SP'!$C:$AN,MID(AI$1,1,2),FALSE)</f>
        <v>0</v>
      </c>
      <c r="AJ1808" s="55">
        <f>VLOOKUP($E1808,'NI-Soc_SP'!$C:$AN,MID(AJ$1,1,2),FALSE)</f>
        <v>0</v>
      </c>
      <c r="AK1808" s="55">
        <f>VLOOKUP($E1808,'NI-Soc_SP'!$C:$AN,MID(AK$1,1,2),FALSE)</f>
        <v>0</v>
      </c>
      <c r="AL1808" s="55">
        <f>VLOOKUP($E1808,'NI-Soc_SP'!$C:$AN,MID(AL$1,1,2),FALSE)</f>
        <v>0</v>
      </c>
      <c r="AM1808" s="56">
        <f>VLOOKUP($E1808,'NI-Soc_SP'!$C:$AN,MID(AM$1,1,2),FALSE)</f>
        <v>0</v>
      </c>
      <c r="AN1808" s="30" t="str">
        <f t="shared" si="28"/>
        <v>20102050020000</v>
      </c>
    </row>
    <row r="1809" spans="3:40" x14ac:dyDescent="0.25">
      <c r="C1809" s="40"/>
      <c r="D1809" s="121" t="s">
        <v>1323</v>
      </c>
      <c r="E1809" s="121" t="s">
        <v>1324</v>
      </c>
      <c r="F1809" s="122" t="s">
        <v>2758</v>
      </c>
      <c r="G1809" s="52"/>
      <c r="H1809" s="52"/>
      <c r="I1809" s="52" t="s">
        <v>1318</v>
      </c>
      <c r="J1809" s="52"/>
      <c r="K1809" s="59" t="s">
        <v>79</v>
      </c>
      <c r="L1809" s="52"/>
      <c r="M1809" s="52"/>
      <c r="N1809" s="52"/>
      <c r="O1809" s="61" t="s">
        <v>1296</v>
      </c>
      <c r="P1809" s="63" t="s">
        <v>1325</v>
      </c>
      <c r="Q1809" s="55">
        <f>VLOOKUP(E1809,'NI-Soc_SP'!$C:$AN,12,FALSE)</f>
        <v>0</v>
      </c>
      <c r="R1809" s="55">
        <f>VLOOKUP(E1809,'NI-Soc_SP'!$C:$AN,13,FALSE)</f>
        <v>0</v>
      </c>
      <c r="S1809" s="55"/>
      <c r="T1809" s="55"/>
      <c r="U1809" s="55">
        <f>VLOOKUP($E1809,'NI-Soc_SP'!$C:$AN,MID(U$1,1,2),FALSE)</f>
        <v>0</v>
      </c>
      <c r="V1809" s="55">
        <f>VLOOKUP($E1809,'NI-Soc_SP'!$C:$AN,MID(V$1,1,2),FALSE)</f>
        <v>0</v>
      </c>
      <c r="W1809" s="55">
        <f>VLOOKUP($E1809,'NI-Soc_SP'!$C:$AN,MID(W$1,1,2),FALSE)</f>
        <v>0</v>
      </c>
      <c r="X1809" s="55">
        <f>VLOOKUP($E1809,'NI-Soc_SP'!$C:$AN,MID(X$1,1,2),FALSE)</f>
        <v>0</v>
      </c>
      <c r="Y1809" s="55">
        <f>VLOOKUP($E1809,'NI-Soc_SP'!$C:$AN,MID(Y$1,1,2),FALSE)</f>
        <v>0</v>
      </c>
      <c r="Z1809" s="55">
        <f>VLOOKUP($E1809,'NI-Soc_SP'!$C:$AN,MID(Z$1,1,2),FALSE)</f>
        <v>0</v>
      </c>
      <c r="AA1809" s="55">
        <f>VLOOKUP($E1809,'NI-Soc_SP'!$C:$AN,MID(AA$1,1,2),FALSE)</f>
        <v>0</v>
      </c>
      <c r="AB1809" s="55">
        <f>VLOOKUP($E1809,'NI-Soc_SP'!$C:$AN,MID(AB$1,1,2),FALSE)</f>
        <v>0</v>
      </c>
      <c r="AC1809" s="55">
        <f>VLOOKUP($E1809,'NI-Soc_SP'!$C:$AN,MID(AC$1,1,2),FALSE)</f>
        <v>0</v>
      </c>
      <c r="AD1809" s="55">
        <f>VLOOKUP($E1809,'NI-Soc_SP'!$C:$AN,MID(AD$1,1,2),FALSE)</f>
        <v>0</v>
      </c>
      <c r="AE1809" s="55">
        <f>VLOOKUP($E1809,'NI-Soc_SP'!$C:$AN,MID(AE$1,1,2),FALSE)</f>
        <v>0</v>
      </c>
      <c r="AF1809" s="55">
        <f>VLOOKUP($E1809,'NI-Soc_SP'!$C:$AN,MID(AF$1,1,2),FALSE)</f>
        <v>0</v>
      </c>
      <c r="AG1809" s="55">
        <f>VLOOKUP($E1809,'NI-Soc_SP'!$C:$AN,MID(AG$1,1,2),FALSE)</f>
        <v>0</v>
      </c>
      <c r="AH1809" s="55">
        <f>VLOOKUP($E1809,'NI-Soc_SP'!$C:$AN,MID(AH$1,1,2),FALSE)</f>
        <v>0</v>
      </c>
      <c r="AI1809" s="55">
        <f>VLOOKUP($E1809,'NI-Soc_SP'!$C:$AN,MID(AI$1,1,2),FALSE)</f>
        <v>0</v>
      </c>
      <c r="AJ1809" s="55">
        <f>VLOOKUP($E1809,'NI-Soc_SP'!$C:$AN,MID(AJ$1,1,2),FALSE)</f>
        <v>0</v>
      </c>
      <c r="AK1809" s="55">
        <f>VLOOKUP($E1809,'NI-Soc_SP'!$C:$AN,MID(AK$1,1,2),FALSE)</f>
        <v>0</v>
      </c>
      <c r="AL1809" s="55">
        <f>VLOOKUP($E1809,'NI-Soc_SP'!$C:$AN,MID(AL$1,1,2),FALSE)</f>
        <v>0</v>
      </c>
      <c r="AM1809" s="56">
        <f>VLOOKUP($E1809,'NI-Soc_SP'!$C:$AN,MID(AM$1,1,2),FALSE)</f>
        <v>0</v>
      </c>
      <c r="AN1809" s="30" t="str">
        <f t="shared" si="28"/>
        <v>20102050030000</v>
      </c>
    </row>
    <row r="1810" spans="3:40" x14ac:dyDescent="0.25">
      <c r="C1810" s="40"/>
      <c r="D1810" s="121" t="s">
        <v>1326</v>
      </c>
      <c r="E1810" s="121" t="s">
        <v>1327</v>
      </c>
      <c r="F1810" s="122" t="s">
        <v>2758</v>
      </c>
      <c r="G1810" s="52"/>
      <c r="H1810" s="52"/>
      <c r="I1810" s="52" t="s">
        <v>1318</v>
      </c>
      <c r="J1810" s="52"/>
      <c r="K1810" s="59" t="s">
        <v>79</v>
      </c>
      <c r="L1810" s="52"/>
      <c r="M1810" s="52"/>
      <c r="N1810" s="52"/>
      <c r="O1810" s="61" t="s">
        <v>1296</v>
      </c>
      <c r="P1810" s="63" t="s">
        <v>1328</v>
      </c>
      <c r="Q1810" s="55">
        <f>VLOOKUP(E1810,'NI-Soc_SP'!$C:$AN,12,FALSE)</f>
        <v>0</v>
      </c>
      <c r="R1810" s="55">
        <f>VLOOKUP(E1810,'NI-Soc_SP'!$C:$AN,13,FALSE)</f>
        <v>0</v>
      </c>
      <c r="S1810" s="55"/>
      <c r="T1810" s="55"/>
      <c r="U1810" s="55">
        <f>VLOOKUP($E1810,'NI-Soc_SP'!$C:$AN,MID(U$1,1,2),FALSE)</f>
        <v>0</v>
      </c>
      <c r="V1810" s="55">
        <f>VLOOKUP($E1810,'NI-Soc_SP'!$C:$AN,MID(V$1,1,2),FALSE)</f>
        <v>0</v>
      </c>
      <c r="W1810" s="55">
        <f>VLOOKUP($E1810,'NI-Soc_SP'!$C:$AN,MID(W$1,1,2),FALSE)</f>
        <v>0</v>
      </c>
      <c r="X1810" s="55">
        <f>VLOOKUP($E1810,'NI-Soc_SP'!$C:$AN,MID(X$1,1,2),FALSE)</f>
        <v>0</v>
      </c>
      <c r="Y1810" s="55">
        <f>VLOOKUP($E1810,'NI-Soc_SP'!$C:$AN,MID(Y$1,1,2),FALSE)</f>
        <v>0</v>
      </c>
      <c r="Z1810" s="55">
        <f>VLOOKUP($E1810,'NI-Soc_SP'!$C:$AN,MID(Z$1,1,2),FALSE)</f>
        <v>0</v>
      </c>
      <c r="AA1810" s="55">
        <f>VLOOKUP($E1810,'NI-Soc_SP'!$C:$AN,MID(AA$1,1,2),FALSE)</f>
        <v>0</v>
      </c>
      <c r="AB1810" s="55">
        <f>VLOOKUP($E1810,'NI-Soc_SP'!$C:$AN,MID(AB$1,1,2),FALSE)</f>
        <v>0</v>
      </c>
      <c r="AC1810" s="55">
        <f>VLOOKUP($E1810,'NI-Soc_SP'!$C:$AN,MID(AC$1,1,2),FALSE)</f>
        <v>0</v>
      </c>
      <c r="AD1810" s="55">
        <f>VLOOKUP($E1810,'NI-Soc_SP'!$C:$AN,MID(AD$1,1,2),FALSE)</f>
        <v>0</v>
      </c>
      <c r="AE1810" s="55">
        <f>VLOOKUP($E1810,'NI-Soc_SP'!$C:$AN,MID(AE$1,1,2),FALSE)</f>
        <v>0</v>
      </c>
      <c r="AF1810" s="55">
        <f>VLOOKUP($E1810,'NI-Soc_SP'!$C:$AN,MID(AF$1,1,2),FALSE)</f>
        <v>0</v>
      </c>
      <c r="AG1810" s="55">
        <f>VLOOKUP($E1810,'NI-Soc_SP'!$C:$AN,MID(AG$1,1,2),FALSE)</f>
        <v>0</v>
      </c>
      <c r="AH1810" s="55">
        <f>VLOOKUP($E1810,'NI-Soc_SP'!$C:$AN,MID(AH$1,1,2),FALSE)</f>
        <v>0</v>
      </c>
      <c r="AI1810" s="55">
        <f>VLOOKUP($E1810,'NI-Soc_SP'!$C:$AN,MID(AI$1,1,2),FALSE)</f>
        <v>0</v>
      </c>
      <c r="AJ1810" s="55">
        <f>VLOOKUP($E1810,'NI-Soc_SP'!$C:$AN,MID(AJ$1,1,2),FALSE)</f>
        <v>0</v>
      </c>
      <c r="AK1810" s="55">
        <f>VLOOKUP($E1810,'NI-Soc_SP'!$C:$AN,MID(AK$1,1,2),FALSE)</f>
        <v>0</v>
      </c>
      <c r="AL1810" s="55">
        <f>VLOOKUP($E1810,'NI-Soc_SP'!$C:$AN,MID(AL$1,1,2),FALSE)</f>
        <v>0</v>
      </c>
      <c r="AM1810" s="56">
        <f>VLOOKUP($E1810,'NI-Soc_SP'!$C:$AN,MID(AM$1,1,2),FALSE)</f>
        <v>0</v>
      </c>
      <c r="AN1810" s="30" t="str">
        <f t="shared" si="28"/>
        <v>20102050040000</v>
      </c>
    </row>
    <row r="1811" spans="3:40" x14ac:dyDescent="0.25">
      <c r="C1811" s="40"/>
      <c r="D1811" s="121" t="s">
        <v>1329</v>
      </c>
      <c r="E1811" s="121" t="s">
        <v>1330</v>
      </c>
      <c r="F1811" s="122" t="s">
        <v>2758</v>
      </c>
      <c r="G1811" s="52"/>
      <c r="H1811" s="52"/>
      <c r="I1811" s="52" t="s">
        <v>1318</v>
      </c>
      <c r="J1811" s="52"/>
      <c r="K1811" s="59" t="s">
        <v>79</v>
      </c>
      <c r="L1811" s="52"/>
      <c r="M1811" s="52"/>
      <c r="N1811" s="52"/>
      <c r="O1811" s="61" t="s">
        <v>1296</v>
      </c>
      <c r="P1811" s="63" t="s">
        <v>1331</v>
      </c>
      <c r="Q1811" s="55">
        <f>VLOOKUP(E1811,'NI-Soc_SP'!$C:$AN,12,FALSE)</f>
        <v>0</v>
      </c>
      <c r="R1811" s="55">
        <f>VLOOKUP(E1811,'NI-Soc_SP'!$C:$AN,13,FALSE)</f>
        <v>0</v>
      </c>
      <c r="S1811" s="55"/>
      <c r="T1811" s="55"/>
      <c r="U1811" s="55">
        <f>VLOOKUP($E1811,'NI-Soc_SP'!$C:$AN,MID(U$1,1,2),FALSE)</f>
        <v>0</v>
      </c>
      <c r="V1811" s="55">
        <f>VLOOKUP($E1811,'NI-Soc_SP'!$C:$AN,MID(V$1,1,2),FALSE)</f>
        <v>0</v>
      </c>
      <c r="W1811" s="55">
        <f>VLOOKUP($E1811,'NI-Soc_SP'!$C:$AN,MID(W$1,1,2),FALSE)</f>
        <v>0</v>
      </c>
      <c r="X1811" s="55">
        <f>VLOOKUP($E1811,'NI-Soc_SP'!$C:$AN,MID(X$1,1,2),FALSE)</f>
        <v>0</v>
      </c>
      <c r="Y1811" s="55">
        <f>VLOOKUP($E1811,'NI-Soc_SP'!$C:$AN,MID(Y$1,1,2),FALSE)</f>
        <v>0</v>
      </c>
      <c r="Z1811" s="55">
        <f>VLOOKUP($E1811,'NI-Soc_SP'!$C:$AN,MID(Z$1,1,2),FALSE)</f>
        <v>0</v>
      </c>
      <c r="AA1811" s="55">
        <f>VLOOKUP($E1811,'NI-Soc_SP'!$C:$AN,MID(AA$1,1,2),FALSE)</f>
        <v>0</v>
      </c>
      <c r="AB1811" s="55">
        <f>VLOOKUP($E1811,'NI-Soc_SP'!$C:$AN,MID(AB$1,1,2),FALSE)</f>
        <v>0</v>
      </c>
      <c r="AC1811" s="55">
        <f>VLOOKUP($E1811,'NI-Soc_SP'!$C:$AN,MID(AC$1,1,2),FALSE)</f>
        <v>0</v>
      </c>
      <c r="AD1811" s="55">
        <f>VLOOKUP($E1811,'NI-Soc_SP'!$C:$AN,MID(AD$1,1,2),FALSE)</f>
        <v>0</v>
      </c>
      <c r="AE1811" s="55">
        <f>VLOOKUP($E1811,'NI-Soc_SP'!$C:$AN,MID(AE$1,1,2),FALSE)</f>
        <v>0</v>
      </c>
      <c r="AF1811" s="55">
        <f>VLOOKUP($E1811,'NI-Soc_SP'!$C:$AN,MID(AF$1,1,2),FALSE)</f>
        <v>0</v>
      </c>
      <c r="AG1811" s="55">
        <f>VLOOKUP($E1811,'NI-Soc_SP'!$C:$AN,MID(AG$1,1,2),FALSE)</f>
        <v>0</v>
      </c>
      <c r="AH1811" s="55">
        <f>VLOOKUP($E1811,'NI-Soc_SP'!$C:$AN,MID(AH$1,1,2),FALSE)</f>
        <v>0</v>
      </c>
      <c r="AI1811" s="55">
        <f>VLOOKUP($E1811,'NI-Soc_SP'!$C:$AN,MID(AI$1,1,2),FALSE)</f>
        <v>0</v>
      </c>
      <c r="AJ1811" s="55">
        <f>VLOOKUP($E1811,'NI-Soc_SP'!$C:$AN,MID(AJ$1,1,2),FALSE)</f>
        <v>0</v>
      </c>
      <c r="AK1811" s="55">
        <f>VLOOKUP($E1811,'NI-Soc_SP'!$C:$AN,MID(AK$1,1,2),FALSE)</f>
        <v>0</v>
      </c>
      <c r="AL1811" s="55">
        <f>VLOOKUP($E1811,'NI-Soc_SP'!$C:$AN,MID(AL$1,1,2),FALSE)</f>
        <v>0</v>
      </c>
      <c r="AM1811" s="56">
        <f>VLOOKUP($E1811,'NI-Soc_SP'!$C:$AN,MID(AM$1,1,2),FALSE)</f>
        <v>0</v>
      </c>
      <c r="AN1811" s="30" t="str">
        <f t="shared" si="28"/>
        <v>20102050050000</v>
      </c>
    </row>
    <row r="1812" spans="3:40" x14ac:dyDescent="0.25">
      <c r="C1812" s="40"/>
      <c r="D1812" s="121" t="s">
        <v>1332</v>
      </c>
      <c r="E1812" s="121" t="s">
        <v>1333</v>
      </c>
      <c r="F1812" s="122" t="s">
        <v>2758</v>
      </c>
      <c r="G1812" s="52"/>
      <c r="H1812" s="52"/>
      <c r="I1812" s="52" t="s">
        <v>1318</v>
      </c>
      <c r="J1812" s="52"/>
      <c r="K1812" s="59" t="s">
        <v>79</v>
      </c>
      <c r="L1812" s="52"/>
      <c r="M1812" s="52"/>
      <c r="N1812" s="52"/>
      <c r="O1812" s="61" t="s">
        <v>1296</v>
      </c>
      <c r="P1812" s="63" t="s">
        <v>1334</v>
      </c>
      <c r="Q1812" s="55">
        <f>VLOOKUP(E1812,'NI-Soc_SP'!$C:$AN,12,FALSE)</f>
        <v>0</v>
      </c>
      <c r="R1812" s="55">
        <f>VLOOKUP(E1812,'NI-Soc_SP'!$C:$AN,13,FALSE)</f>
        <v>0</v>
      </c>
      <c r="S1812" s="55"/>
      <c r="T1812" s="55"/>
      <c r="U1812" s="55">
        <f>VLOOKUP($E1812,'NI-Soc_SP'!$C:$AN,MID(U$1,1,2),FALSE)</f>
        <v>0</v>
      </c>
      <c r="V1812" s="55">
        <f>VLOOKUP($E1812,'NI-Soc_SP'!$C:$AN,MID(V$1,1,2),FALSE)</f>
        <v>0</v>
      </c>
      <c r="W1812" s="55">
        <f>VLOOKUP($E1812,'NI-Soc_SP'!$C:$AN,MID(W$1,1,2),FALSE)</f>
        <v>0</v>
      </c>
      <c r="X1812" s="55">
        <f>VLOOKUP($E1812,'NI-Soc_SP'!$C:$AN,MID(X$1,1,2),FALSE)</f>
        <v>0</v>
      </c>
      <c r="Y1812" s="55">
        <f>VLOOKUP($E1812,'NI-Soc_SP'!$C:$AN,MID(Y$1,1,2),FALSE)</f>
        <v>0</v>
      </c>
      <c r="Z1812" s="55">
        <f>VLOOKUP($E1812,'NI-Soc_SP'!$C:$AN,MID(Z$1,1,2),FALSE)</f>
        <v>0</v>
      </c>
      <c r="AA1812" s="55">
        <f>VLOOKUP($E1812,'NI-Soc_SP'!$C:$AN,MID(AA$1,1,2),FALSE)</f>
        <v>0</v>
      </c>
      <c r="AB1812" s="55">
        <f>VLOOKUP($E1812,'NI-Soc_SP'!$C:$AN,MID(AB$1,1,2),FALSE)</f>
        <v>0</v>
      </c>
      <c r="AC1812" s="55">
        <f>VLOOKUP($E1812,'NI-Soc_SP'!$C:$AN,MID(AC$1,1,2),FALSE)</f>
        <v>0</v>
      </c>
      <c r="AD1812" s="55">
        <f>VLOOKUP($E1812,'NI-Soc_SP'!$C:$AN,MID(AD$1,1,2),FALSE)</f>
        <v>0</v>
      </c>
      <c r="AE1812" s="55">
        <f>VLOOKUP($E1812,'NI-Soc_SP'!$C:$AN,MID(AE$1,1,2),FALSE)</f>
        <v>0</v>
      </c>
      <c r="AF1812" s="55">
        <f>VLOOKUP($E1812,'NI-Soc_SP'!$C:$AN,MID(AF$1,1,2),FALSE)</f>
        <v>0</v>
      </c>
      <c r="AG1812" s="55">
        <f>VLOOKUP($E1812,'NI-Soc_SP'!$C:$AN,MID(AG$1,1,2),FALSE)</f>
        <v>0</v>
      </c>
      <c r="AH1812" s="55">
        <f>VLOOKUP($E1812,'NI-Soc_SP'!$C:$AN,MID(AH$1,1,2),FALSE)</f>
        <v>0</v>
      </c>
      <c r="AI1812" s="55">
        <f>VLOOKUP($E1812,'NI-Soc_SP'!$C:$AN,MID(AI$1,1,2),FALSE)</f>
        <v>0</v>
      </c>
      <c r="AJ1812" s="55">
        <f>VLOOKUP($E1812,'NI-Soc_SP'!$C:$AN,MID(AJ$1,1,2),FALSE)</f>
        <v>0</v>
      </c>
      <c r="AK1812" s="55">
        <f>VLOOKUP($E1812,'NI-Soc_SP'!$C:$AN,MID(AK$1,1,2),FALSE)</f>
        <v>0</v>
      </c>
      <c r="AL1812" s="55">
        <f>VLOOKUP($E1812,'NI-Soc_SP'!$C:$AN,MID(AL$1,1,2),FALSE)</f>
        <v>0</v>
      </c>
      <c r="AM1812" s="56">
        <f>VLOOKUP($E1812,'NI-Soc_SP'!$C:$AN,MID(AM$1,1,2),FALSE)</f>
        <v>0</v>
      </c>
      <c r="AN1812" s="30" t="str">
        <f t="shared" si="28"/>
        <v>20102050060000</v>
      </c>
    </row>
    <row r="1813" spans="3:40" x14ac:dyDescent="0.25">
      <c r="C1813" s="40"/>
      <c r="D1813" s="121" t="s">
        <v>1335</v>
      </c>
      <c r="E1813" s="121" t="s">
        <v>1336</v>
      </c>
      <c r="F1813" s="122" t="s">
        <v>2758</v>
      </c>
      <c r="G1813" s="52"/>
      <c r="H1813" s="52"/>
      <c r="I1813" s="52" t="s">
        <v>1337</v>
      </c>
      <c r="J1813" s="52"/>
      <c r="K1813" s="59" t="s">
        <v>79</v>
      </c>
      <c r="L1813" s="62"/>
      <c r="M1813" s="52"/>
      <c r="N1813" s="52"/>
      <c r="O1813" s="61" t="s">
        <v>1296</v>
      </c>
      <c r="P1813" s="60" t="s">
        <v>1338</v>
      </c>
      <c r="Q1813" s="55">
        <f>VLOOKUP(E1813,'NI-Soc_SP'!$C:$AN,12,FALSE)</f>
        <v>0</v>
      </c>
      <c r="R1813" s="55">
        <f>VLOOKUP(E1813,'NI-Soc_SP'!$C:$AN,13,FALSE)</f>
        <v>0</v>
      </c>
      <c r="S1813" s="55"/>
      <c r="T1813" s="55"/>
      <c r="U1813" s="55">
        <f>VLOOKUP($E1813,'NI-Soc_SP'!$C:$AN,MID(U$1,1,2),FALSE)</f>
        <v>0</v>
      </c>
      <c r="V1813" s="55">
        <f>VLOOKUP($E1813,'NI-Soc_SP'!$C:$AN,MID(V$1,1,2),FALSE)</f>
        <v>0</v>
      </c>
      <c r="W1813" s="55">
        <f>VLOOKUP($E1813,'NI-Soc_SP'!$C:$AN,MID(W$1,1,2),FALSE)</f>
        <v>0</v>
      </c>
      <c r="X1813" s="55">
        <f>VLOOKUP($E1813,'NI-Soc_SP'!$C:$AN,MID(X$1,1,2),FALSE)</f>
        <v>0</v>
      </c>
      <c r="Y1813" s="55">
        <f>VLOOKUP($E1813,'NI-Soc_SP'!$C:$AN,MID(Y$1,1,2),FALSE)</f>
        <v>0</v>
      </c>
      <c r="Z1813" s="55">
        <f>VLOOKUP($E1813,'NI-Soc_SP'!$C:$AN,MID(Z$1,1,2),FALSE)</f>
        <v>0</v>
      </c>
      <c r="AA1813" s="55">
        <f>VLOOKUP($E1813,'NI-Soc_SP'!$C:$AN,MID(AA$1,1,2),FALSE)</f>
        <v>0</v>
      </c>
      <c r="AB1813" s="55">
        <f>VLOOKUP($E1813,'NI-Soc_SP'!$C:$AN,MID(AB$1,1,2),FALSE)</f>
        <v>0</v>
      </c>
      <c r="AC1813" s="55">
        <f>VLOOKUP($E1813,'NI-Soc_SP'!$C:$AN,MID(AC$1,1,2),FALSE)</f>
        <v>0</v>
      </c>
      <c r="AD1813" s="55">
        <f>VLOOKUP($E1813,'NI-Soc_SP'!$C:$AN,MID(AD$1,1,2),FALSE)</f>
        <v>0</v>
      </c>
      <c r="AE1813" s="55">
        <f>VLOOKUP($E1813,'NI-Soc_SP'!$C:$AN,MID(AE$1,1,2),FALSE)</f>
        <v>0</v>
      </c>
      <c r="AF1813" s="55">
        <f>VLOOKUP($E1813,'NI-Soc_SP'!$C:$AN,MID(AF$1,1,2),FALSE)</f>
        <v>0</v>
      </c>
      <c r="AG1813" s="55">
        <f>VLOOKUP($E1813,'NI-Soc_SP'!$C:$AN,MID(AG$1,1,2),FALSE)</f>
        <v>0</v>
      </c>
      <c r="AH1813" s="55">
        <f>VLOOKUP($E1813,'NI-Soc_SP'!$C:$AN,MID(AH$1,1,2),FALSE)</f>
        <v>0</v>
      </c>
      <c r="AI1813" s="55">
        <f>VLOOKUP($E1813,'NI-Soc_SP'!$C:$AN,MID(AI$1,1,2),FALSE)</f>
        <v>0</v>
      </c>
      <c r="AJ1813" s="55">
        <f>VLOOKUP($E1813,'NI-Soc_SP'!$C:$AN,MID(AJ$1,1,2),FALSE)</f>
        <v>0</v>
      </c>
      <c r="AK1813" s="55">
        <f>VLOOKUP($E1813,'NI-Soc_SP'!$C:$AN,MID(AK$1,1,2),FALSE)</f>
        <v>0</v>
      </c>
      <c r="AL1813" s="55">
        <f>VLOOKUP($E1813,'NI-Soc_SP'!$C:$AN,MID(AL$1,1,2),FALSE)</f>
        <v>0</v>
      </c>
      <c r="AM1813" s="56">
        <f>VLOOKUP($E1813,'NI-Soc_SP'!$C:$AN,MID(AM$1,1,2),FALSE)</f>
        <v>0</v>
      </c>
      <c r="AN1813" s="30" t="str">
        <f t="shared" si="28"/>
        <v>20102060010000</v>
      </c>
    </row>
    <row r="1814" spans="3:40" x14ac:dyDescent="0.25">
      <c r="C1814" s="40"/>
      <c r="D1814" s="121" t="s">
        <v>1339</v>
      </c>
      <c r="E1814" s="121" t="s">
        <v>1340</v>
      </c>
      <c r="F1814" s="122" t="s">
        <v>2758</v>
      </c>
      <c r="G1814" s="52"/>
      <c r="H1814" s="52"/>
      <c r="I1814" s="52" t="s">
        <v>1337</v>
      </c>
      <c r="J1814" s="52"/>
      <c r="K1814" s="59" t="s">
        <v>79</v>
      </c>
      <c r="L1814" s="52"/>
      <c r="M1814" s="52"/>
      <c r="N1814" s="52"/>
      <c r="O1814" s="61" t="s">
        <v>1296</v>
      </c>
      <c r="P1814" s="60" t="s">
        <v>1341</v>
      </c>
      <c r="Q1814" s="55">
        <f>VLOOKUP(E1814,'NI-Soc_SP'!$C:$AN,12,FALSE)</f>
        <v>0</v>
      </c>
      <c r="R1814" s="55">
        <f>VLOOKUP(E1814,'NI-Soc_SP'!$C:$AN,13,FALSE)</f>
        <v>0</v>
      </c>
      <c r="S1814" s="55"/>
      <c r="T1814" s="55"/>
      <c r="U1814" s="55">
        <f>VLOOKUP($E1814,'NI-Soc_SP'!$C:$AN,MID(U$1,1,2),FALSE)</f>
        <v>0</v>
      </c>
      <c r="V1814" s="55">
        <f>VLOOKUP($E1814,'NI-Soc_SP'!$C:$AN,MID(V$1,1,2),FALSE)</f>
        <v>0</v>
      </c>
      <c r="W1814" s="55">
        <f>VLOOKUP($E1814,'NI-Soc_SP'!$C:$AN,MID(W$1,1,2),FALSE)</f>
        <v>0</v>
      </c>
      <c r="X1814" s="55">
        <f>VLOOKUP($E1814,'NI-Soc_SP'!$C:$AN,MID(X$1,1,2),FALSE)</f>
        <v>0</v>
      </c>
      <c r="Y1814" s="55">
        <f>VLOOKUP($E1814,'NI-Soc_SP'!$C:$AN,MID(Y$1,1,2),FALSE)</f>
        <v>0</v>
      </c>
      <c r="Z1814" s="55">
        <f>VLOOKUP($E1814,'NI-Soc_SP'!$C:$AN,MID(Z$1,1,2),FALSE)</f>
        <v>0</v>
      </c>
      <c r="AA1814" s="55">
        <f>VLOOKUP($E1814,'NI-Soc_SP'!$C:$AN,MID(AA$1,1,2),FALSE)</f>
        <v>0</v>
      </c>
      <c r="AB1814" s="55">
        <f>VLOOKUP($E1814,'NI-Soc_SP'!$C:$AN,MID(AB$1,1,2),FALSE)</f>
        <v>0</v>
      </c>
      <c r="AC1814" s="55">
        <f>VLOOKUP($E1814,'NI-Soc_SP'!$C:$AN,MID(AC$1,1,2),FALSE)</f>
        <v>0</v>
      </c>
      <c r="AD1814" s="55">
        <f>VLOOKUP($E1814,'NI-Soc_SP'!$C:$AN,MID(AD$1,1,2),FALSE)</f>
        <v>0</v>
      </c>
      <c r="AE1814" s="55">
        <f>VLOOKUP($E1814,'NI-Soc_SP'!$C:$AN,MID(AE$1,1,2),FALSE)</f>
        <v>0</v>
      </c>
      <c r="AF1814" s="55">
        <f>VLOOKUP($E1814,'NI-Soc_SP'!$C:$AN,MID(AF$1,1,2),FALSE)</f>
        <v>0</v>
      </c>
      <c r="AG1814" s="55">
        <f>VLOOKUP($E1814,'NI-Soc_SP'!$C:$AN,MID(AG$1,1,2),FALSE)</f>
        <v>0</v>
      </c>
      <c r="AH1814" s="55">
        <f>VLOOKUP($E1814,'NI-Soc_SP'!$C:$AN,MID(AH$1,1,2),FALSE)</f>
        <v>0</v>
      </c>
      <c r="AI1814" s="55">
        <f>VLOOKUP($E1814,'NI-Soc_SP'!$C:$AN,MID(AI$1,1,2),FALSE)</f>
        <v>0</v>
      </c>
      <c r="AJ1814" s="55">
        <f>VLOOKUP($E1814,'NI-Soc_SP'!$C:$AN,MID(AJ$1,1,2),FALSE)</f>
        <v>0</v>
      </c>
      <c r="AK1814" s="55">
        <f>VLOOKUP($E1814,'NI-Soc_SP'!$C:$AN,MID(AK$1,1,2),FALSE)</f>
        <v>0</v>
      </c>
      <c r="AL1814" s="55">
        <f>VLOOKUP($E1814,'NI-Soc_SP'!$C:$AN,MID(AL$1,1,2),FALSE)</f>
        <v>0</v>
      </c>
      <c r="AM1814" s="56">
        <f>VLOOKUP($E1814,'NI-Soc_SP'!$C:$AN,MID(AM$1,1,2),FALSE)</f>
        <v>0</v>
      </c>
      <c r="AN1814" s="30" t="str">
        <f t="shared" si="28"/>
        <v>20102060020000</v>
      </c>
    </row>
    <row r="1815" spans="3:40" x14ac:dyDescent="0.25">
      <c r="C1815" s="40"/>
      <c r="D1815" s="121" t="s">
        <v>1342</v>
      </c>
      <c r="E1815" s="121" t="s">
        <v>1343</v>
      </c>
      <c r="F1815" s="122" t="s">
        <v>2758</v>
      </c>
      <c r="G1815" s="52"/>
      <c r="H1815" s="52"/>
      <c r="I1815" s="65" t="s">
        <v>1344</v>
      </c>
      <c r="J1815" s="65"/>
      <c r="K1815" s="59" t="s">
        <v>79</v>
      </c>
      <c r="L1815" s="52" t="s">
        <v>1345</v>
      </c>
      <c r="M1815" s="52"/>
      <c r="N1815" s="52"/>
      <c r="O1815" s="61" t="s">
        <v>1346</v>
      </c>
      <c r="P1815" s="54" t="s">
        <v>1347</v>
      </c>
      <c r="Q1815" s="55">
        <f>VLOOKUP(E1815,'NI-Soc_SP'!$C:$AN,12,FALSE)</f>
        <v>0</v>
      </c>
      <c r="R1815" s="55">
        <f>VLOOKUP(E1815,'NI-Soc_SP'!$C:$AN,13,FALSE)</f>
        <v>0</v>
      </c>
      <c r="S1815" s="55"/>
      <c r="T1815" s="55"/>
      <c r="U1815" s="55">
        <f>VLOOKUP($E1815,'NI-Soc_SP'!$C:$AN,MID(U$1,1,2),FALSE)</f>
        <v>0</v>
      </c>
      <c r="V1815" s="55">
        <f>VLOOKUP($E1815,'NI-Soc_SP'!$C:$AN,MID(V$1,1,2),FALSE)</f>
        <v>0</v>
      </c>
      <c r="W1815" s="55">
        <f>VLOOKUP($E1815,'NI-Soc_SP'!$C:$AN,MID(W$1,1,2),FALSE)</f>
        <v>0</v>
      </c>
      <c r="X1815" s="55">
        <f>VLOOKUP($E1815,'NI-Soc_SP'!$C:$AN,MID(X$1,1,2),FALSE)</f>
        <v>0</v>
      </c>
      <c r="Y1815" s="55">
        <f>VLOOKUP($E1815,'NI-Soc_SP'!$C:$AN,MID(Y$1,1,2),FALSE)</f>
        <v>0</v>
      </c>
      <c r="Z1815" s="55">
        <f>VLOOKUP($E1815,'NI-Soc_SP'!$C:$AN,MID(Z$1,1,2),FALSE)</f>
        <v>0</v>
      </c>
      <c r="AA1815" s="55">
        <f>VLOOKUP($E1815,'NI-Soc_SP'!$C:$AN,MID(AA$1,1,2),FALSE)</f>
        <v>0</v>
      </c>
      <c r="AB1815" s="55">
        <f>VLOOKUP($E1815,'NI-Soc_SP'!$C:$AN,MID(AB$1,1,2),FALSE)</f>
        <v>0</v>
      </c>
      <c r="AC1815" s="55">
        <f>VLOOKUP($E1815,'NI-Soc_SP'!$C:$AN,MID(AC$1,1,2),FALSE)</f>
        <v>0</v>
      </c>
      <c r="AD1815" s="55">
        <f>VLOOKUP($E1815,'NI-Soc_SP'!$C:$AN,MID(AD$1,1,2),FALSE)</f>
        <v>0</v>
      </c>
      <c r="AE1815" s="55">
        <f>VLOOKUP($E1815,'NI-Soc_SP'!$C:$AN,MID(AE$1,1,2),FALSE)</f>
        <v>0</v>
      </c>
      <c r="AF1815" s="55">
        <f>VLOOKUP($E1815,'NI-Soc_SP'!$C:$AN,MID(AF$1,1,2),FALSE)</f>
        <v>0</v>
      </c>
      <c r="AG1815" s="55">
        <f>VLOOKUP($E1815,'NI-Soc_SP'!$C:$AN,MID(AG$1,1,2),FALSE)</f>
        <v>0</v>
      </c>
      <c r="AH1815" s="55">
        <f>VLOOKUP($E1815,'NI-Soc_SP'!$C:$AN,MID(AH$1,1,2),FALSE)</f>
        <v>0</v>
      </c>
      <c r="AI1815" s="55">
        <f>VLOOKUP($E1815,'NI-Soc_SP'!$C:$AN,MID(AI$1,1,2),FALSE)</f>
        <v>0</v>
      </c>
      <c r="AJ1815" s="55">
        <f>VLOOKUP($E1815,'NI-Soc_SP'!$C:$AN,MID(AJ$1,1,2),FALSE)</f>
        <v>0</v>
      </c>
      <c r="AK1815" s="55">
        <f>VLOOKUP($E1815,'NI-Soc_SP'!$C:$AN,MID(AK$1,1,2),FALSE)</f>
        <v>0</v>
      </c>
      <c r="AL1815" s="55">
        <f>VLOOKUP($E1815,'NI-Soc_SP'!$C:$AN,MID(AL$1,1,2),FALSE)</f>
        <v>0</v>
      </c>
      <c r="AM1815" s="56">
        <f>VLOOKUP($E1815,'NI-Soc_SP'!$C:$AN,MID(AM$1,1,2),FALSE)</f>
        <v>0</v>
      </c>
      <c r="AN1815" s="30" t="str">
        <f t="shared" si="28"/>
        <v>20102070000000</v>
      </c>
    </row>
    <row r="1816" spans="3:40" x14ac:dyDescent="0.25">
      <c r="C1816" s="40"/>
      <c r="D1816" s="121" t="s">
        <v>1348</v>
      </c>
      <c r="E1816" s="121" t="s">
        <v>1349</v>
      </c>
      <c r="F1816" s="122" t="s">
        <v>2758</v>
      </c>
      <c r="G1816" s="52"/>
      <c r="H1816" s="52"/>
      <c r="I1816" s="52"/>
      <c r="J1816" s="52"/>
      <c r="K1816" s="59" t="s">
        <v>111</v>
      </c>
      <c r="L1816" s="62"/>
      <c r="M1816" s="52"/>
      <c r="N1816" s="52"/>
      <c r="O1816" s="52"/>
      <c r="P1816" s="63" t="s">
        <v>1350</v>
      </c>
      <c r="Q1816" s="55">
        <f>VLOOKUP(E1816,'NI-Soc_SP'!$C:$AN,12,FALSE)</f>
        <v>0</v>
      </c>
      <c r="R1816" s="55">
        <f>VLOOKUP(E1816,'NI-Soc_SP'!$C:$AN,13,FALSE)</f>
        <v>0</v>
      </c>
      <c r="S1816" s="55">
        <f>VLOOKUP(E1816,'NI-Soc_SP'!$C:$AN,31,FALSE)</f>
        <v>0</v>
      </c>
      <c r="T1816" s="55">
        <f>VLOOKUP(E1816,'NI-Soc_SP'!$C:$AN,32,FALSE)+VLOOKUP(E1816,'NI-Soc_SP'!$C:$AN,33,FALSE)</f>
        <v>0</v>
      </c>
      <c r="U1816" s="55">
        <f>VLOOKUP($E1816,'NI-Soc_SP'!$C:$AN,MID(U$1,1,2),FALSE)</f>
        <v>0</v>
      </c>
      <c r="V1816" s="55">
        <f>VLOOKUP($E1816,'NI-Soc_SP'!$C:$AN,MID(V$1,1,2),FALSE)</f>
        <v>0</v>
      </c>
      <c r="W1816" s="55">
        <f>VLOOKUP($E1816,'NI-Soc_SP'!$C:$AN,MID(W$1,1,2),FALSE)</f>
        <v>0</v>
      </c>
      <c r="X1816" s="55">
        <f>VLOOKUP($E1816,'NI-Soc_SP'!$C:$AN,MID(X$1,1,2),FALSE)</f>
        <v>0</v>
      </c>
      <c r="Y1816" s="55">
        <f>VLOOKUP($E1816,'NI-Soc_SP'!$C:$AN,MID(Y$1,1,2),FALSE)</f>
        <v>0</v>
      </c>
      <c r="Z1816" s="55">
        <f>VLOOKUP($E1816,'NI-Soc_SP'!$C:$AN,MID(Z$1,1,2),FALSE)</f>
        <v>0</v>
      </c>
      <c r="AA1816" s="55">
        <f>VLOOKUP($E1816,'NI-Soc_SP'!$C:$AN,MID(AA$1,1,2),FALSE)</f>
        <v>0</v>
      </c>
      <c r="AB1816" s="55">
        <f>VLOOKUP($E1816,'NI-Soc_SP'!$C:$AN,MID(AB$1,1,2),FALSE)</f>
        <v>0</v>
      </c>
      <c r="AC1816" s="55">
        <f>VLOOKUP($E1816,'NI-Soc_SP'!$C:$AN,MID(AC$1,1,2),FALSE)</f>
        <v>0</v>
      </c>
      <c r="AD1816" s="55">
        <f>VLOOKUP($E1816,'NI-Soc_SP'!$C:$AN,MID(AD$1,1,2),FALSE)</f>
        <v>0</v>
      </c>
      <c r="AE1816" s="55">
        <f>VLOOKUP($E1816,'NI-Soc_SP'!$C:$AN,MID(AE$1,1,2),FALSE)</f>
        <v>0</v>
      </c>
      <c r="AF1816" s="55">
        <f>VLOOKUP($E1816,'NI-Soc_SP'!$C:$AN,MID(AF$1,1,2),FALSE)</f>
        <v>0</v>
      </c>
      <c r="AG1816" s="55">
        <f>VLOOKUP($E1816,'NI-Soc_SP'!$C:$AN,MID(AG$1,1,2),FALSE)</f>
        <v>0</v>
      </c>
      <c r="AH1816" s="55">
        <f>VLOOKUP($E1816,'NI-Soc_SP'!$C:$AN,MID(AH$1,1,2),FALSE)</f>
        <v>0</v>
      </c>
      <c r="AI1816" s="55">
        <f>VLOOKUP($E1816,'NI-Soc_SP'!$C:$AN,MID(AI$1,1,2),FALSE)</f>
        <v>0</v>
      </c>
      <c r="AJ1816" s="55">
        <f>VLOOKUP($E1816,'NI-Soc_SP'!$C:$AN,MID(AJ$1,1,2),FALSE)</f>
        <v>0</v>
      </c>
      <c r="AK1816" s="55">
        <f>VLOOKUP($E1816,'NI-Soc_SP'!$C:$AN,MID(AK$1,1,2),FALSE)</f>
        <v>0</v>
      </c>
      <c r="AL1816" s="55">
        <f>VLOOKUP($E1816,'NI-Soc_SP'!$C:$AN,MID(AL$1,1,2),FALSE)</f>
        <v>0</v>
      </c>
      <c r="AM1816" s="56">
        <f>VLOOKUP($E1816,'NI-Soc_SP'!$C:$AN,MID(AM$1,1,2),FALSE)</f>
        <v>0</v>
      </c>
      <c r="AN1816" s="30" t="str">
        <f t="shared" si="28"/>
        <v>20200000000000</v>
      </c>
    </row>
    <row r="1817" spans="3:40" x14ac:dyDescent="0.25">
      <c r="C1817" s="40"/>
      <c r="D1817" s="121" t="s">
        <v>1351</v>
      </c>
      <c r="E1817" s="121" t="s">
        <v>1352</v>
      </c>
      <c r="F1817" s="122" t="s">
        <v>2758</v>
      </c>
      <c r="G1817" s="52"/>
      <c r="H1817" s="75"/>
      <c r="I1817" s="52"/>
      <c r="J1817" s="52"/>
      <c r="K1817" s="59" t="s">
        <v>111</v>
      </c>
      <c r="L1817" s="62"/>
      <c r="M1817" s="52"/>
      <c r="N1817" s="52"/>
      <c r="O1817" s="52"/>
      <c r="P1817" s="63" t="s">
        <v>1353</v>
      </c>
      <c r="Q1817" s="55">
        <f>VLOOKUP(E1817,'NI-Soc_SP'!$C:$AN,12,FALSE)</f>
        <v>0</v>
      </c>
      <c r="R1817" s="55">
        <f>VLOOKUP(E1817,'NI-Soc_SP'!$C:$AN,13,FALSE)</f>
        <v>0</v>
      </c>
      <c r="S1817" s="55">
        <f>VLOOKUP(E1817,'NI-Soc_SP'!$C:$AN,31,FALSE)</f>
        <v>0</v>
      </c>
      <c r="T1817" s="55">
        <f>VLOOKUP(E1817,'NI-Soc_SP'!$C:$AN,32,FALSE)+VLOOKUP(E1817,'NI-Soc_SP'!$C:$AN,33,FALSE)</f>
        <v>0</v>
      </c>
      <c r="U1817" s="55">
        <f>VLOOKUP($E1817,'NI-Soc_SP'!$C:$AN,MID(U$1,1,2),FALSE)</f>
        <v>0</v>
      </c>
      <c r="V1817" s="55">
        <f>VLOOKUP($E1817,'NI-Soc_SP'!$C:$AN,MID(V$1,1,2),FALSE)</f>
        <v>0</v>
      </c>
      <c r="W1817" s="55">
        <f>VLOOKUP($E1817,'NI-Soc_SP'!$C:$AN,MID(W$1,1,2),FALSE)</f>
        <v>0</v>
      </c>
      <c r="X1817" s="55">
        <f>VLOOKUP($E1817,'NI-Soc_SP'!$C:$AN,MID(X$1,1,2),FALSE)</f>
        <v>0</v>
      </c>
      <c r="Y1817" s="55">
        <f>VLOOKUP($E1817,'NI-Soc_SP'!$C:$AN,MID(Y$1,1,2),FALSE)</f>
        <v>0</v>
      </c>
      <c r="Z1817" s="55">
        <f>VLOOKUP($E1817,'NI-Soc_SP'!$C:$AN,MID(Z$1,1,2),FALSE)</f>
        <v>0</v>
      </c>
      <c r="AA1817" s="55">
        <f>VLOOKUP($E1817,'NI-Soc_SP'!$C:$AN,MID(AA$1,1,2),FALSE)</f>
        <v>0</v>
      </c>
      <c r="AB1817" s="55">
        <f>VLOOKUP($E1817,'NI-Soc_SP'!$C:$AN,MID(AB$1,1,2),FALSE)</f>
        <v>0</v>
      </c>
      <c r="AC1817" s="55">
        <f>VLOOKUP($E1817,'NI-Soc_SP'!$C:$AN,MID(AC$1,1,2),FALSE)</f>
        <v>0</v>
      </c>
      <c r="AD1817" s="55">
        <f>VLOOKUP($E1817,'NI-Soc_SP'!$C:$AN,MID(AD$1,1,2),FALSE)</f>
        <v>0</v>
      </c>
      <c r="AE1817" s="55">
        <f>VLOOKUP($E1817,'NI-Soc_SP'!$C:$AN,MID(AE$1,1,2),FALSE)</f>
        <v>0</v>
      </c>
      <c r="AF1817" s="55">
        <f>VLOOKUP($E1817,'NI-Soc_SP'!$C:$AN,MID(AF$1,1,2),FALSE)</f>
        <v>0</v>
      </c>
      <c r="AG1817" s="55">
        <f>VLOOKUP($E1817,'NI-Soc_SP'!$C:$AN,MID(AG$1,1,2),FALSE)</f>
        <v>0</v>
      </c>
      <c r="AH1817" s="55">
        <f>VLOOKUP($E1817,'NI-Soc_SP'!$C:$AN,MID(AH$1,1,2),FALSE)</f>
        <v>0</v>
      </c>
      <c r="AI1817" s="55">
        <f>VLOOKUP($E1817,'NI-Soc_SP'!$C:$AN,MID(AI$1,1,2),FALSE)</f>
        <v>0</v>
      </c>
      <c r="AJ1817" s="55">
        <f>VLOOKUP($E1817,'NI-Soc_SP'!$C:$AN,MID(AJ$1,1,2),FALSE)</f>
        <v>0</v>
      </c>
      <c r="AK1817" s="55">
        <f>VLOOKUP($E1817,'NI-Soc_SP'!$C:$AN,MID(AK$1,1,2),FALSE)</f>
        <v>0</v>
      </c>
      <c r="AL1817" s="55">
        <f>VLOOKUP($E1817,'NI-Soc_SP'!$C:$AN,MID(AL$1,1,2),FALSE)</f>
        <v>0</v>
      </c>
      <c r="AM1817" s="56">
        <f>VLOOKUP($E1817,'NI-Soc_SP'!$C:$AN,MID(AM$1,1,2),FALSE)</f>
        <v>0</v>
      </c>
      <c r="AN1817" s="30" t="str">
        <f t="shared" si="28"/>
        <v>20201000000000</v>
      </c>
    </row>
    <row r="1818" spans="3:40" x14ac:dyDescent="0.25">
      <c r="C1818" s="40"/>
      <c r="D1818" s="121" t="s">
        <v>1354</v>
      </c>
      <c r="E1818" s="121" t="s">
        <v>1355</v>
      </c>
      <c r="F1818" s="122" t="s">
        <v>2758</v>
      </c>
      <c r="G1818" s="52"/>
      <c r="H1818" s="52"/>
      <c r="I1818" s="65" t="s">
        <v>1356</v>
      </c>
      <c r="J1818" s="65"/>
      <c r="K1818" s="59" t="s">
        <v>1358</v>
      </c>
      <c r="L1818" s="62" t="s">
        <v>1359</v>
      </c>
      <c r="M1818" s="52"/>
      <c r="N1818" s="52"/>
      <c r="O1818" s="61" t="s">
        <v>1360</v>
      </c>
      <c r="P1818" s="63" t="s">
        <v>1361</v>
      </c>
      <c r="Q1818" s="55">
        <f>VLOOKUP(E1818,'NI-Soc_SP'!$C:$AN,12,FALSE)</f>
        <v>0</v>
      </c>
      <c r="R1818" s="55">
        <f>VLOOKUP(E1818,'NI-Soc_SP'!$C:$AN,13,FALSE)</f>
        <v>0</v>
      </c>
      <c r="S1818" s="55">
        <f>VLOOKUP(E1818,'NI-Soc_SP'!$C:$AN,31,FALSE)</f>
        <v>0</v>
      </c>
      <c r="T1818" s="55">
        <f>VLOOKUP(E1818,'NI-Soc_SP'!$C:$AN,32,FALSE)+VLOOKUP(E1818,'NI-Soc_SP'!$C:$AN,33,FALSE)</f>
        <v>0</v>
      </c>
      <c r="U1818" s="55">
        <f>VLOOKUP($E1818,'NI-Soc_SP'!$C:$AN,MID(U$1,1,2),FALSE)</f>
        <v>0</v>
      </c>
      <c r="V1818" s="55">
        <f>VLOOKUP($E1818,'NI-Soc_SP'!$C:$AN,MID(V$1,1,2),FALSE)</f>
        <v>0</v>
      </c>
      <c r="W1818" s="55">
        <f>VLOOKUP($E1818,'NI-Soc_SP'!$C:$AN,MID(W$1,1,2),FALSE)</f>
        <v>0</v>
      </c>
      <c r="X1818" s="55">
        <f>VLOOKUP($E1818,'NI-Soc_SP'!$C:$AN,MID(X$1,1,2),FALSE)</f>
        <v>0</v>
      </c>
      <c r="Y1818" s="55">
        <f>VLOOKUP($E1818,'NI-Soc_SP'!$C:$AN,MID(Y$1,1,2),FALSE)</f>
        <v>0</v>
      </c>
      <c r="Z1818" s="55">
        <f>VLOOKUP($E1818,'NI-Soc_SP'!$C:$AN,MID(Z$1,1,2),FALSE)</f>
        <v>0</v>
      </c>
      <c r="AA1818" s="55">
        <f>VLOOKUP($E1818,'NI-Soc_SP'!$C:$AN,MID(AA$1,1,2),FALSE)</f>
        <v>0</v>
      </c>
      <c r="AB1818" s="55">
        <f>VLOOKUP($E1818,'NI-Soc_SP'!$C:$AN,MID(AB$1,1,2),FALSE)</f>
        <v>0</v>
      </c>
      <c r="AC1818" s="55">
        <f>VLOOKUP($E1818,'NI-Soc_SP'!$C:$AN,MID(AC$1,1,2),FALSE)</f>
        <v>0</v>
      </c>
      <c r="AD1818" s="55">
        <f>VLOOKUP($E1818,'NI-Soc_SP'!$C:$AN,MID(AD$1,1,2),FALSE)</f>
        <v>0</v>
      </c>
      <c r="AE1818" s="55">
        <f>VLOOKUP($E1818,'NI-Soc_SP'!$C:$AN,MID(AE$1,1,2),FALSE)</f>
        <v>0</v>
      </c>
      <c r="AF1818" s="55">
        <f>VLOOKUP($E1818,'NI-Soc_SP'!$C:$AN,MID(AF$1,1,2),FALSE)</f>
        <v>0</v>
      </c>
      <c r="AG1818" s="55">
        <f>VLOOKUP($E1818,'NI-Soc_SP'!$C:$AN,MID(AG$1,1,2),FALSE)</f>
        <v>0</v>
      </c>
      <c r="AH1818" s="55">
        <f>VLOOKUP($E1818,'NI-Soc_SP'!$C:$AN,MID(AH$1,1,2),FALSE)</f>
        <v>0</v>
      </c>
      <c r="AI1818" s="55">
        <f>VLOOKUP($E1818,'NI-Soc_SP'!$C:$AN,MID(AI$1,1,2),FALSE)</f>
        <v>0</v>
      </c>
      <c r="AJ1818" s="55">
        <f>VLOOKUP($E1818,'NI-Soc_SP'!$C:$AN,MID(AJ$1,1,2),FALSE)</f>
        <v>0</v>
      </c>
      <c r="AK1818" s="55">
        <f>VLOOKUP($E1818,'NI-Soc_SP'!$C:$AN,MID(AK$1,1,2),FALSE)</f>
        <v>0</v>
      </c>
      <c r="AL1818" s="55">
        <f>VLOOKUP($E1818,'NI-Soc_SP'!$C:$AN,MID(AL$1,1,2),FALSE)</f>
        <v>0</v>
      </c>
      <c r="AM1818" s="56">
        <f>VLOOKUP($E1818,'NI-Soc_SP'!$C:$AN,MID(AM$1,1,2),FALSE)</f>
        <v>0</v>
      </c>
      <c r="AN1818" s="30" t="str">
        <f t="shared" si="28"/>
        <v>20201010000000</v>
      </c>
    </row>
    <row r="1819" spans="3:40" x14ac:dyDescent="0.25">
      <c r="C1819" s="40"/>
      <c r="D1819" s="121" t="s">
        <v>1362</v>
      </c>
      <c r="E1819" s="121" t="s">
        <v>1363</v>
      </c>
      <c r="F1819" s="122" t="s">
        <v>2758</v>
      </c>
      <c r="G1819" s="52"/>
      <c r="H1819" s="52" t="s">
        <v>1364</v>
      </c>
      <c r="I1819" s="52" t="s">
        <v>1365</v>
      </c>
      <c r="J1819" s="52"/>
      <c r="K1819" s="59" t="s">
        <v>1358</v>
      </c>
      <c r="L1819" s="52" t="s">
        <v>1359</v>
      </c>
      <c r="M1819" s="52"/>
      <c r="N1819" s="52"/>
      <c r="O1819" s="61" t="s">
        <v>1360</v>
      </c>
      <c r="P1819" s="76" t="s">
        <v>1366</v>
      </c>
      <c r="Q1819" s="55">
        <f>VLOOKUP(E1819,'NI-Soc_SP'!$C:$AN,12,FALSE)</f>
        <v>0</v>
      </c>
      <c r="R1819" s="55">
        <f>VLOOKUP(E1819,'NI-Soc_SP'!$C:$AN,13,FALSE)</f>
        <v>0</v>
      </c>
      <c r="S1819" s="55">
        <f>VLOOKUP(E1819,'NI-Soc_SP'!$C:$AN,31,FALSE)</f>
        <v>0</v>
      </c>
      <c r="T1819" s="55">
        <f>VLOOKUP(E1819,'NI-Soc_SP'!$C:$AN,32,FALSE)+VLOOKUP(E1819,'NI-Soc_SP'!$C:$AN,33,FALSE)</f>
        <v>0</v>
      </c>
      <c r="U1819" s="55">
        <f>VLOOKUP($E1819,'NI-Soc_SP'!$C:$AN,MID(U$1,1,2),FALSE)</f>
        <v>0</v>
      </c>
      <c r="V1819" s="55">
        <f>VLOOKUP($E1819,'NI-Soc_SP'!$C:$AN,MID(V$1,1,2),FALSE)</f>
        <v>0</v>
      </c>
      <c r="W1819" s="55">
        <f>VLOOKUP($E1819,'NI-Soc_SP'!$C:$AN,MID(W$1,1,2),FALSE)</f>
        <v>0</v>
      </c>
      <c r="X1819" s="55">
        <f>VLOOKUP($E1819,'NI-Soc_SP'!$C:$AN,MID(X$1,1,2),FALSE)</f>
        <v>0</v>
      </c>
      <c r="Y1819" s="55">
        <f>VLOOKUP($E1819,'NI-Soc_SP'!$C:$AN,MID(Y$1,1,2),FALSE)</f>
        <v>0</v>
      </c>
      <c r="Z1819" s="55">
        <f>VLOOKUP($E1819,'NI-Soc_SP'!$C:$AN,MID(Z$1,1,2),FALSE)</f>
        <v>0</v>
      </c>
      <c r="AA1819" s="55">
        <f>VLOOKUP($E1819,'NI-Soc_SP'!$C:$AN,MID(AA$1,1,2),FALSE)</f>
        <v>0</v>
      </c>
      <c r="AB1819" s="55">
        <f>VLOOKUP($E1819,'NI-Soc_SP'!$C:$AN,MID(AB$1,1,2),FALSE)</f>
        <v>0</v>
      </c>
      <c r="AC1819" s="55">
        <f>VLOOKUP($E1819,'NI-Soc_SP'!$C:$AN,MID(AC$1,1,2),FALSE)</f>
        <v>0</v>
      </c>
      <c r="AD1819" s="55">
        <f>VLOOKUP($E1819,'NI-Soc_SP'!$C:$AN,MID(AD$1,1,2),FALSE)</f>
        <v>0</v>
      </c>
      <c r="AE1819" s="55">
        <f>VLOOKUP($E1819,'NI-Soc_SP'!$C:$AN,MID(AE$1,1,2),FALSE)</f>
        <v>0</v>
      </c>
      <c r="AF1819" s="55">
        <f>VLOOKUP($E1819,'NI-Soc_SP'!$C:$AN,MID(AF$1,1,2),FALSE)</f>
        <v>0</v>
      </c>
      <c r="AG1819" s="55">
        <f>VLOOKUP($E1819,'NI-Soc_SP'!$C:$AN,MID(AG$1,1,2),FALSE)</f>
        <v>0</v>
      </c>
      <c r="AH1819" s="55">
        <f>VLOOKUP($E1819,'NI-Soc_SP'!$C:$AN,MID(AH$1,1,2),FALSE)</f>
        <v>0</v>
      </c>
      <c r="AI1819" s="55">
        <f>VLOOKUP($E1819,'NI-Soc_SP'!$C:$AN,MID(AI$1,1,2),FALSE)</f>
        <v>0</v>
      </c>
      <c r="AJ1819" s="55">
        <f>VLOOKUP($E1819,'NI-Soc_SP'!$C:$AN,MID(AJ$1,1,2),FALSE)</f>
        <v>0</v>
      </c>
      <c r="AK1819" s="55">
        <f>VLOOKUP($E1819,'NI-Soc_SP'!$C:$AN,MID(AK$1,1,2),FALSE)</f>
        <v>0</v>
      </c>
      <c r="AL1819" s="55">
        <f>VLOOKUP($E1819,'NI-Soc_SP'!$C:$AN,MID(AL$1,1,2),FALSE)</f>
        <v>0</v>
      </c>
      <c r="AM1819" s="56">
        <f>VLOOKUP($E1819,'NI-Soc_SP'!$C:$AN,MID(AM$1,1,2),FALSE)</f>
        <v>0</v>
      </c>
      <c r="AN1819" s="30" t="str">
        <f t="shared" si="28"/>
        <v>20201020000000</v>
      </c>
    </row>
    <row r="1820" spans="3:40" x14ac:dyDescent="0.25">
      <c r="C1820" s="40"/>
      <c r="D1820" s="121" t="s">
        <v>1367</v>
      </c>
      <c r="E1820" s="121" t="s">
        <v>1368</v>
      </c>
      <c r="F1820" s="122" t="s">
        <v>2758</v>
      </c>
      <c r="G1820" s="52"/>
      <c r="H1820" s="52"/>
      <c r="I1820" s="52"/>
      <c r="J1820" s="52"/>
      <c r="K1820" s="59" t="s">
        <v>111</v>
      </c>
      <c r="L1820" s="52" t="s">
        <v>1359</v>
      </c>
      <c r="M1820" s="52"/>
      <c r="N1820" s="52"/>
      <c r="O1820" s="52"/>
      <c r="P1820" s="76" t="s">
        <v>1369</v>
      </c>
      <c r="Q1820" s="55">
        <f>VLOOKUP(E1820,'NI-Soc_SP'!$C:$AN,12,FALSE)</f>
        <v>0</v>
      </c>
      <c r="R1820" s="55">
        <f>VLOOKUP(E1820,'NI-Soc_SP'!$C:$AN,13,FALSE)</f>
        <v>0</v>
      </c>
      <c r="S1820" s="55">
        <f>VLOOKUP(E1820,'NI-Soc_SP'!$C:$AN,31,FALSE)</f>
        <v>0</v>
      </c>
      <c r="T1820" s="55">
        <f>VLOOKUP(E1820,'NI-Soc_SP'!$C:$AN,32,FALSE)+VLOOKUP(E1820,'NI-Soc_SP'!$C:$AN,33,FALSE)</f>
        <v>0</v>
      </c>
      <c r="U1820" s="55">
        <f>VLOOKUP($E1820,'NI-Soc_SP'!$C:$AN,MID(U$1,1,2),FALSE)</f>
        <v>0</v>
      </c>
      <c r="V1820" s="55">
        <f>VLOOKUP($E1820,'NI-Soc_SP'!$C:$AN,MID(V$1,1,2),FALSE)</f>
        <v>0</v>
      </c>
      <c r="W1820" s="55">
        <f>VLOOKUP($E1820,'NI-Soc_SP'!$C:$AN,MID(W$1,1,2),FALSE)</f>
        <v>0</v>
      </c>
      <c r="X1820" s="55">
        <f>VLOOKUP($E1820,'NI-Soc_SP'!$C:$AN,MID(X$1,1,2),FALSE)</f>
        <v>0</v>
      </c>
      <c r="Y1820" s="55">
        <f>VLOOKUP($E1820,'NI-Soc_SP'!$C:$AN,MID(Y$1,1,2),FALSE)</f>
        <v>0</v>
      </c>
      <c r="Z1820" s="55">
        <f>VLOOKUP($E1820,'NI-Soc_SP'!$C:$AN,MID(Z$1,1,2),FALSE)</f>
        <v>0</v>
      </c>
      <c r="AA1820" s="55">
        <f>VLOOKUP($E1820,'NI-Soc_SP'!$C:$AN,MID(AA$1,1,2),FALSE)</f>
        <v>0</v>
      </c>
      <c r="AB1820" s="55">
        <f>VLOOKUP($E1820,'NI-Soc_SP'!$C:$AN,MID(AB$1,1,2),FALSE)</f>
        <v>0</v>
      </c>
      <c r="AC1820" s="55">
        <f>VLOOKUP($E1820,'NI-Soc_SP'!$C:$AN,MID(AC$1,1,2),FALSE)</f>
        <v>0</v>
      </c>
      <c r="AD1820" s="55">
        <f>VLOOKUP($E1820,'NI-Soc_SP'!$C:$AN,MID(AD$1,1,2),FALSE)</f>
        <v>0</v>
      </c>
      <c r="AE1820" s="55">
        <f>VLOOKUP($E1820,'NI-Soc_SP'!$C:$AN,MID(AE$1,1,2),FALSE)</f>
        <v>0</v>
      </c>
      <c r="AF1820" s="55">
        <f>VLOOKUP($E1820,'NI-Soc_SP'!$C:$AN,MID(AF$1,1,2),FALSE)</f>
        <v>0</v>
      </c>
      <c r="AG1820" s="55">
        <f>VLOOKUP($E1820,'NI-Soc_SP'!$C:$AN,MID(AG$1,1,2),FALSE)</f>
        <v>0</v>
      </c>
      <c r="AH1820" s="55">
        <f>VLOOKUP($E1820,'NI-Soc_SP'!$C:$AN,MID(AH$1,1,2),FALSE)</f>
        <v>0</v>
      </c>
      <c r="AI1820" s="55">
        <f>VLOOKUP($E1820,'NI-Soc_SP'!$C:$AN,MID(AI$1,1,2),FALSE)</f>
        <v>0</v>
      </c>
      <c r="AJ1820" s="55">
        <f>VLOOKUP($E1820,'NI-Soc_SP'!$C:$AN,MID(AJ$1,1,2),FALSE)</f>
        <v>0</v>
      </c>
      <c r="AK1820" s="55">
        <f>VLOOKUP($E1820,'NI-Soc_SP'!$C:$AN,MID(AK$1,1,2),FALSE)</f>
        <v>0</v>
      </c>
      <c r="AL1820" s="55">
        <f>VLOOKUP($E1820,'NI-Soc_SP'!$C:$AN,MID(AL$1,1,2),FALSE)</f>
        <v>0</v>
      </c>
      <c r="AM1820" s="56">
        <f>VLOOKUP($E1820,'NI-Soc_SP'!$C:$AN,MID(AM$1,1,2),FALSE)</f>
        <v>0</v>
      </c>
      <c r="AN1820" s="30" t="str">
        <f t="shared" si="28"/>
        <v>20201030000000</v>
      </c>
    </row>
    <row r="1821" spans="3:40" x14ac:dyDescent="0.25">
      <c r="C1821" s="40"/>
      <c r="D1821" s="121" t="s">
        <v>1370</v>
      </c>
      <c r="E1821" s="121" t="s">
        <v>1371</v>
      </c>
      <c r="F1821" s="122" t="s">
        <v>2758</v>
      </c>
      <c r="G1821" s="52"/>
      <c r="H1821" s="75"/>
      <c r="I1821" s="52" t="s">
        <v>1372</v>
      </c>
      <c r="J1821" s="52"/>
      <c r="K1821" s="59" t="s">
        <v>79</v>
      </c>
      <c r="L1821" s="62"/>
      <c r="M1821" s="52"/>
      <c r="N1821" s="52"/>
      <c r="O1821" s="61" t="s">
        <v>1373</v>
      </c>
      <c r="P1821" s="63" t="s">
        <v>1374</v>
      </c>
      <c r="Q1821" s="55">
        <f>VLOOKUP(E1821,'NI-Soc_SP'!$C:$AN,12,FALSE)</f>
        <v>0</v>
      </c>
      <c r="R1821" s="55">
        <f>VLOOKUP(E1821,'NI-Soc_SP'!$C:$AN,13,FALSE)</f>
        <v>0</v>
      </c>
      <c r="S1821" s="55">
        <f>VLOOKUP(E1821,'NI-Soc_SP'!$C:$AN,31,FALSE)</f>
        <v>0</v>
      </c>
      <c r="T1821" s="55">
        <f>VLOOKUP(E1821,'NI-Soc_SP'!$C:$AN,32,FALSE)+VLOOKUP(E1821,'NI-Soc_SP'!$C:$AN,33,FALSE)</f>
        <v>0</v>
      </c>
      <c r="U1821" s="55">
        <f>VLOOKUP($E1821,'NI-Soc_SP'!$C:$AN,MID(U$1,1,2),FALSE)</f>
        <v>0</v>
      </c>
      <c r="V1821" s="55">
        <f>VLOOKUP($E1821,'NI-Soc_SP'!$C:$AN,MID(V$1,1,2),FALSE)</f>
        <v>0</v>
      </c>
      <c r="W1821" s="55">
        <f>VLOOKUP($E1821,'NI-Soc_SP'!$C:$AN,MID(W$1,1,2),FALSE)</f>
        <v>0</v>
      </c>
      <c r="X1821" s="55">
        <f>VLOOKUP($E1821,'NI-Soc_SP'!$C:$AN,MID(X$1,1,2),FALSE)</f>
        <v>0</v>
      </c>
      <c r="Y1821" s="55">
        <f>VLOOKUP($E1821,'NI-Soc_SP'!$C:$AN,MID(Y$1,1,2),FALSE)</f>
        <v>0</v>
      </c>
      <c r="Z1821" s="55">
        <f>VLOOKUP($E1821,'NI-Soc_SP'!$C:$AN,MID(Z$1,1,2),FALSE)</f>
        <v>0</v>
      </c>
      <c r="AA1821" s="55">
        <f>VLOOKUP($E1821,'NI-Soc_SP'!$C:$AN,MID(AA$1,1,2),FALSE)</f>
        <v>0</v>
      </c>
      <c r="AB1821" s="55">
        <f>VLOOKUP($E1821,'NI-Soc_SP'!$C:$AN,MID(AB$1,1,2),FALSE)</f>
        <v>0</v>
      </c>
      <c r="AC1821" s="55">
        <f>VLOOKUP($E1821,'NI-Soc_SP'!$C:$AN,MID(AC$1,1,2),FALSE)</f>
        <v>0</v>
      </c>
      <c r="AD1821" s="55">
        <f>VLOOKUP($E1821,'NI-Soc_SP'!$C:$AN,MID(AD$1,1,2),FALSE)</f>
        <v>0</v>
      </c>
      <c r="AE1821" s="55">
        <f>VLOOKUP($E1821,'NI-Soc_SP'!$C:$AN,MID(AE$1,1,2),FALSE)</f>
        <v>0</v>
      </c>
      <c r="AF1821" s="55">
        <f>VLOOKUP($E1821,'NI-Soc_SP'!$C:$AN,MID(AF$1,1,2),FALSE)</f>
        <v>0</v>
      </c>
      <c r="AG1821" s="55">
        <f>VLOOKUP($E1821,'NI-Soc_SP'!$C:$AN,MID(AG$1,1,2),FALSE)</f>
        <v>0</v>
      </c>
      <c r="AH1821" s="55">
        <f>VLOOKUP($E1821,'NI-Soc_SP'!$C:$AN,MID(AH$1,1,2),FALSE)</f>
        <v>0</v>
      </c>
      <c r="AI1821" s="55">
        <f>VLOOKUP($E1821,'NI-Soc_SP'!$C:$AN,MID(AI$1,1,2),FALSE)</f>
        <v>0</v>
      </c>
      <c r="AJ1821" s="55">
        <f>VLOOKUP($E1821,'NI-Soc_SP'!$C:$AN,MID(AJ$1,1,2),FALSE)</f>
        <v>0</v>
      </c>
      <c r="AK1821" s="55">
        <f>VLOOKUP($E1821,'NI-Soc_SP'!$C:$AN,MID(AK$1,1,2),FALSE)</f>
        <v>0</v>
      </c>
      <c r="AL1821" s="55">
        <f>VLOOKUP($E1821,'NI-Soc_SP'!$C:$AN,MID(AL$1,1,2),FALSE)</f>
        <v>0</v>
      </c>
      <c r="AM1821" s="56">
        <f>VLOOKUP($E1821,'NI-Soc_SP'!$C:$AN,MID(AM$1,1,2),FALSE)</f>
        <v>0</v>
      </c>
      <c r="AN1821" s="30" t="str">
        <f t="shared" si="28"/>
        <v>20201030010000</v>
      </c>
    </row>
    <row r="1822" spans="3:40" x14ac:dyDescent="0.25">
      <c r="C1822" s="40"/>
      <c r="D1822" s="121" t="s">
        <v>1375</v>
      </c>
      <c r="E1822" s="121" t="s">
        <v>1376</v>
      </c>
      <c r="F1822" s="122" t="s">
        <v>2758</v>
      </c>
      <c r="G1822" s="52"/>
      <c r="H1822" s="75"/>
      <c r="I1822" s="52" t="s">
        <v>1372</v>
      </c>
      <c r="J1822" s="52"/>
      <c r="K1822" s="59" t="s">
        <v>79</v>
      </c>
      <c r="L1822" s="62"/>
      <c r="M1822" s="52"/>
      <c r="N1822" s="52"/>
      <c r="O1822" s="61" t="s">
        <v>1373</v>
      </c>
      <c r="P1822" s="63" t="s">
        <v>1377</v>
      </c>
      <c r="Q1822" s="55">
        <f>VLOOKUP(E1822,'NI-Soc_SP'!$C:$AN,12,FALSE)</f>
        <v>0</v>
      </c>
      <c r="R1822" s="55">
        <f>VLOOKUP(E1822,'NI-Soc_SP'!$C:$AN,13,FALSE)</f>
        <v>0</v>
      </c>
      <c r="S1822" s="55">
        <f>VLOOKUP(E1822,'NI-Soc_SP'!$C:$AN,31,FALSE)</f>
        <v>0</v>
      </c>
      <c r="T1822" s="55">
        <f>VLOOKUP(E1822,'NI-Soc_SP'!$C:$AN,32,FALSE)+VLOOKUP(E1822,'NI-Soc_SP'!$C:$AN,33,FALSE)</f>
        <v>0</v>
      </c>
      <c r="U1822" s="55">
        <f>VLOOKUP($E1822,'NI-Soc_SP'!$C:$AN,MID(U$1,1,2),FALSE)</f>
        <v>0</v>
      </c>
      <c r="V1822" s="55">
        <f>VLOOKUP($E1822,'NI-Soc_SP'!$C:$AN,MID(V$1,1,2),FALSE)</f>
        <v>0</v>
      </c>
      <c r="W1822" s="55">
        <f>VLOOKUP($E1822,'NI-Soc_SP'!$C:$AN,MID(W$1,1,2),FALSE)</f>
        <v>0</v>
      </c>
      <c r="X1822" s="55">
        <f>VLOOKUP($E1822,'NI-Soc_SP'!$C:$AN,MID(X$1,1,2),FALSE)</f>
        <v>0</v>
      </c>
      <c r="Y1822" s="55">
        <f>VLOOKUP($E1822,'NI-Soc_SP'!$C:$AN,MID(Y$1,1,2),FALSE)</f>
        <v>0</v>
      </c>
      <c r="Z1822" s="55">
        <f>VLOOKUP($E1822,'NI-Soc_SP'!$C:$AN,MID(Z$1,1,2),FALSE)</f>
        <v>0</v>
      </c>
      <c r="AA1822" s="55">
        <f>VLOOKUP($E1822,'NI-Soc_SP'!$C:$AN,MID(AA$1,1,2),FALSE)</f>
        <v>0</v>
      </c>
      <c r="AB1822" s="55">
        <f>VLOOKUP($E1822,'NI-Soc_SP'!$C:$AN,MID(AB$1,1,2),FALSE)</f>
        <v>0</v>
      </c>
      <c r="AC1822" s="55">
        <f>VLOOKUP($E1822,'NI-Soc_SP'!$C:$AN,MID(AC$1,1,2),FALSE)</f>
        <v>0</v>
      </c>
      <c r="AD1822" s="55">
        <f>VLOOKUP($E1822,'NI-Soc_SP'!$C:$AN,MID(AD$1,1,2),FALSE)</f>
        <v>0</v>
      </c>
      <c r="AE1822" s="55">
        <f>VLOOKUP($E1822,'NI-Soc_SP'!$C:$AN,MID(AE$1,1,2),FALSE)</f>
        <v>0</v>
      </c>
      <c r="AF1822" s="55">
        <f>VLOOKUP($E1822,'NI-Soc_SP'!$C:$AN,MID(AF$1,1,2),FALSE)</f>
        <v>0</v>
      </c>
      <c r="AG1822" s="55">
        <f>VLOOKUP($E1822,'NI-Soc_SP'!$C:$AN,MID(AG$1,1,2),FALSE)</f>
        <v>0</v>
      </c>
      <c r="AH1822" s="55">
        <f>VLOOKUP($E1822,'NI-Soc_SP'!$C:$AN,MID(AH$1,1,2),FALSE)</f>
        <v>0</v>
      </c>
      <c r="AI1822" s="55">
        <f>VLOOKUP($E1822,'NI-Soc_SP'!$C:$AN,MID(AI$1,1,2),FALSE)</f>
        <v>0</v>
      </c>
      <c r="AJ1822" s="55">
        <f>VLOOKUP($E1822,'NI-Soc_SP'!$C:$AN,MID(AJ$1,1,2),FALSE)</f>
        <v>0</v>
      </c>
      <c r="AK1822" s="55">
        <f>VLOOKUP($E1822,'NI-Soc_SP'!$C:$AN,MID(AK$1,1,2),FALSE)</f>
        <v>0</v>
      </c>
      <c r="AL1822" s="55">
        <f>VLOOKUP($E1822,'NI-Soc_SP'!$C:$AN,MID(AL$1,1,2),FALSE)</f>
        <v>0</v>
      </c>
      <c r="AM1822" s="56">
        <f>VLOOKUP($E1822,'NI-Soc_SP'!$C:$AN,MID(AM$1,1,2),FALSE)</f>
        <v>0</v>
      </c>
      <c r="AN1822" s="30" t="str">
        <f t="shared" si="28"/>
        <v>20201030020000</v>
      </c>
    </row>
    <row r="1823" spans="3:40" x14ac:dyDescent="0.25">
      <c r="C1823" s="40"/>
      <c r="D1823" s="121" t="s">
        <v>1378</v>
      </c>
      <c r="E1823" s="121" t="s">
        <v>1379</v>
      </c>
      <c r="F1823" s="122" t="s">
        <v>2758</v>
      </c>
      <c r="G1823" s="52"/>
      <c r="H1823" s="75" t="s">
        <v>1364</v>
      </c>
      <c r="I1823" s="52" t="s">
        <v>1380</v>
      </c>
      <c r="J1823" s="52"/>
      <c r="K1823" s="59" t="s">
        <v>1358</v>
      </c>
      <c r="L1823" s="62" t="s">
        <v>1359</v>
      </c>
      <c r="M1823" s="52"/>
      <c r="N1823" s="52"/>
      <c r="O1823" s="61" t="s">
        <v>1373</v>
      </c>
      <c r="P1823" s="63" t="s">
        <v>1381</v>
      </c>
      <c r="Q1823" s="55">
        <f>VLOOKUP(E1823,'NI-Soc_SP'!$C:$AN,12,FALSE)</f>
        <v>0</v>
      </c>
      <c r="R1823" s="55">
        <f>VLOOKUP(E1823,'NI-Soc_SP'!$C:$AN,13,FALSE)</f>
        <v>0</v>
      </c>
      <c r="S1823" s="55">
        <f>VLOOKUP(E1823,'NI-Soc_SP'!$C:$AN,31,FALSE)</f>
        <v>0</v>
      </c>
      <c r="T1823" s="55">
        <f>VLOOKUP(E1823,'NI-Soc_SP'!$C:$AN,32,FALSE)+VLOOKUP(E1823,'NI-Soc_SP'!$C:$AN,33,FALSE)</f>
        <v>0</v>
      </c>
      <c r="U1823" s="55">
        <f>VLOOKUP($E1823,'NI-Soc_SP'!$C:$AN,MID(U$1,1,2),FALSE)</f>
        <v>0</v>
      </c>
      <c r="V1823" s="55">
        <f>VLOOKUP($E1823,'NI-Soc_SP'!$C:$AN,MID(V$1,1,2),FALSE)</f>
        <v>0</v>
      </c>
      <c r="W1823" s="55">
        <f>VLOOKUP($E1823,'NI-Soc_SP'!$C:$AN,MID(W$1,1,2),FALSE)</f>
        <v>0</v>
      </c>
      <c r="X1823" s="55">
        <f>VLOOKUP($E1823,'NI-Soc_SP'!$C:$AN,MID(X$1,1,2),FALSE)</f>
        <v>0</v>
      </c>
      <c r="Y1823" s="55">
        <f>VLOOKUP($E1823,'NI-Soc_SP'!$C:$AN,MID(Y$1,1,2),FALSE)</f>
        <v>0</v>
      </c>
      <c r="Z1823" s="55">
        <f>VLOOKUP($E1823,'NI-Soc_SP'!$C:$AN,MID(Z$1,1,2),FALSE)</f>
        <v>0</v>
      </c>
      <c r="AA1823" s="55">
        <f>VLOOKUP($E1823,'NI-Soc_SP'!$C:$AN,MID(AA$1,1,2),FALSE)</f>
        <v>0</v>
      </c>
      <c r="AB1823" s="55">
        <f>VLOOKUP($E1823,'NI-Soc_SP'!$C:$AN,MID(AB$1,1,2),FALSE)</f>
        <v>0</v>
      </c>
      <c r="AC1823" s="55">
        <f>VLOOKUP($E1823,'NI-Soc_SP'!$C:$AN,MID(AC$1,1,2),FALSE)</f>
        <v>0</v>
      </c>
      <c r="AD1823" s="55">
        <f>VLOOKUP($E1823,'NI-Soc_SP'!$C:$AN,MID(AD$1,1,2),FALSE)</f>
        <v>0</v>
      </c>
      <c r="AE1823" s="55">
        <f>VLOOKUP($E1823,'NI-Soc_SP'!$C:$AN,MID(AE$1,1,2),FALSE)</f>
        <v>0</v>
      </c>
      <c r="AF1823" s="55">
        <f>VLOOKUP($E1823,'NI-Soc_SP'!$C:$AN,MID(AF$1,1,2),FALSE)</f>
        <v>0</v>
      </c>
      <c r="AG1823" s="55">
        <f>VLOOKUP($E1823,'NI-Soc_SP'!$C:$AN,MID(AG$1,1,2),FALSE)</f>
        <v>0</v>
      </c>
      <c r="AH1823" s="55">
        <f>VLOOKUP($E1823,'NI-Soc_SP'!$C:$AN,MID(AH$1,1,2),FALSE)</f>
        <v>0</v>
      </c>
      <c r="AI1823" s="55">
        <f>VLOOKUP($E1823,'NI-Soc_SP'!$C:$AN,MID(AI$1,1,2),FALSE)</f>
        <v>0</v>
      </c>
      <c r="AJ1823" s="55">
        <f>VLOOKUP($E1823,'NI-Soc_SP'!$C:$AN,MID(AJ$1,1,2),FALSE)</f>
        <v>0</v>
      </c>
      <c r="AK1823" s="55">
        <f>VLOOKUP($E1823,'NI-Soc_SP'!$C:$AN,MID(AK$1,1,2),FALSE)</f>
        <v>0</v>
      </c>
      <c r="AL1823" s="55">
        <f>VLOOKUP($E1823,'NI-Soc_SP'!$C:$AN,MID(AL$1,1,2),FALSE)</f>
        <v>0</v>
      </c>
      <c r="AM1823" s="56">
        <f>VLOOKUP($E1823,'NI-Soc_SP'!$C:$AN,MID(AM$1,1,2),FALSE)</f>
        <v>0</v>
      </c>
      <c r="AN1823" s="30" t="str">
        <f t="shared" si="28"/>
        <v>20201040000000</v>
      </c>
    </row>
    <row r="1824" spans="3:40" x14ac:dyDescent="0.25">
      <c r="C1824" s="40"/>
      <c r="D1824" s="121" t="s">
        <v>1382</v>
      </c>
      <c r="E1824" s="121" t="s">
        <v>1383</v>
      </c>
      <c r="F1824" s="122" t="s">
        <v>2758</v>
      </c>
      <c r="G1824" s="52"/>
      <c r="H1824" s="52" t="s">
        <v>1364</v>
      </c>
      <c r="I1824" s="52" t="s">
        <v>1384</v>
      </c>
      <c r="J1824" s="52"/>
      <c r="K1824" s="59" t="s">
        <v>1358</v>
      </c>
      <c r="L1824" s="62" t="s">
        <v>1359</v>
      </c>
      <c r="M1824" s="52"/>
      <c r="N1824" s="52"/>
      <c r="O1824" s="61" t="s">
        <v>1360</v>
      </c>
      <c r="P1824" s="63" t="s">
        <v>1385</v>
      </c>
      <c r="Q1824" s="55">
        <f>VLOOKUP(E1824,'NI-Soc_SP'!$C:$AN,12,FALSE)</f>
        <v>0</v>
      </c>
      <c r="R1824" s="55">
        <f>VLOOKUP(E1824,'NI-Soc_SP'!$C:$AN,13,FALSE)</f>
        <v>0</v>
      </c>
      <c r="S1824" s="55">
        <f>VLOOKUP(E1824,'NI-Soc_SP'!$C:$AN,31,FALSE)</f>
        <v>0</v>
      </c>
      <c r="T1824" s="55">
        <f>VLOOKUP(E1824,'NI-Soc_SP'!$C:$AN,32,FALSE)+VLOOKUP(E1824,'NI-Soc_SP'!$C:$AN,33,FALSE)</f>
        <v>0</v>
      </c>
      <c r="U1824" s="55">
        <f>VLOOKUP($E1824,'NI-Soc_SP'!$C:$AN,MID(U$1,1,2),FALSE)</f>
        <v>0</v>
      </c>
      <c r="V1824" s="55">
        <f>VLOOKUP($E1824,'NI-Soc_SP'!$C:$AN,MID(V$1,1,2),FALSE)</f>
        <v>0</v>
      </c>
      <c r="W1824" s="55">
        <f>VLOOKUP($E1824,'NI-Soc_SP'!$C:$AN,MID(W$1,1,2),FALSE)</f>
        <v>0</v>
      </c>
      <c r="X1824" s="55">
        <f>VLOOKUP($E1824,'NI-Soc_SP'!$C:$AN,MID(X$1,1,2),FALSE)</f>
        <v>0</v>
      </c>
      <c r="Y1824" s="55">
        <f>VLOOKUP($E1824,'NI-Soc_SP'!$C:$AN,MID(Y$1,1,2),FALSE)</f>
        <v>0</v>
      </c>
      <c r="Z1824" s="55">
        <f>VLOOKUP($E1824,'NI-Soc_SP'!$C:$AN,MID(Z$1,1,2),FALSE)</f>
        <v>0</v>
      </c>
      <c r="AA1824" s="55">
        <f>VLOOKUP($E1824,'NI-Soc_SP'!$C:$AN,MID(AA$1,1,2),FALSE)</f>
        <v>0</v>
      </c>
      <c r="AB1824" s="55">
        <f>VLOOKUP($E1824,'NI-Soc_SP'!$C:$AN,MID(AB$1,1,2),FALSE)</f>
        <v>0</v>
      </c>
      <c r="AC1824" s="55">
        <f>VLOOKUP($E1824,'NI-Soc_SP'!$C:$AN,MID(AC$1,1,2),FALSE)</f>
        <v>0</v>
      </c>
      <c r="AD1824" s="55">
        <f>VLOOKUP($E1824,'NI-Soc_SP'!$C:$AN,MID(AD$1,1,2),FALSE)</f>
        <v>0</v>
      </c>
      <c r="AE1824" s="55">
        <f>VLOOKUP($E1824,'NI-Soc_SP'!$C:$AN,MID(AE$1,1,2),FALSE)</f>
        <v>0</v>
      </c>
      <c r="AF1824" s="55">
        <f>VLOOKUP($E1824,'NI-Soc_SP'!$C:$AN,MID(AF$1,1,2),FALSE)</f>
        <v>0</v>
      </c>
      <c r="AG1824" s="55">
        <f>VLOOKUP($E1824,'NI-Soc_SP'!$C:$AN,MID(AG$1,1,2),FALSE)</f>
        <v>0</v>
      </c>
      <c r="AH1824" s="55">
        <f>VLOOKUP($E1824,'NI-Soc_SP'!$C:$AN,MID(AH$1,1,2),FALSE)</f>
        <v>0</v>
      </c>
      <c r="AI1824" s="55">
        <f>VLOOKUP($E1824,'NI-Soc_SP'!$C:$AN,MID(AI$1,1,2),FALSE)</f>
        <v>0</v>
      </c>
      <c r="AJ1824" s="55">
        <f>VLOOKUP($E1824,'NI-Soc_SP'!$C:$AN,MID(AJ$1,1,2),FALSE)</f>
        <v>0</v>
      </c>
      <c r="AK1824" s="55">
        <f>VLOOKUP($E1824,'NI-Soc_SP'!$C:$AN,MID(AK$1,1,2),FALSE)</f>
        <v>0</v>
      </c>
      <c r="AL1824" s="55">
        <f>VLOOKUP($E1824,'NI-Soc_SP'!$C:$AN,MID(AL$1,1,2),FALSE)</f>
        <v>0</v>
      </c>
      <c r="AM1824" s="56">
        <f>VLOOKUP($E1824,'NI-Soc_SP'!$C:$AN,MID(AM$1,1,2),FALSE)</f>
        <v>0</v>
      </c>
      <c r="AN1824" s="30" t="str">
        <f t="shared" si="28"/>
        <v>20201050000000</v>
      </c>
    </row>
    <row r="1825" spans="1:40" x14ac:dyDescent="0.25">
      <c r="C1825" s="40"/>
      <c r="D1825" s="121" t="s">
        <v>1386</v>
      </c>
      <c r="E1825" s="121" t="s">
        <v>1387</v>
      </c>
      <c r="F1825" s="122" t="s">
        <v>2758</v>
      </c>
      <c r="G1825" s="52"/>
      <c r="H1825" s="52" t="s">
        <v>1364</v>
      </c>
      <c r="I1825" s="52" t="s">
        <v>1388</v>
      </c>
      <c r="J1825" s="52"/>
      <c r="K1825" s="59" t="s">
        <v>1358</v>
      </c>
      <c r="L1825" s="62" t="s">
        <v>1359</v>
      </c>
      <c r="M1825" s="52"/>
      <c r="N1825" s="52"/>
      <c r="O1825" s="61" t="s">
        <v>1360</v>
      </c>
      <c r="P1825" s="63" t="s">
        <v>1389</v>
      </c>
      <c r="Q1825" s="55">
        <f>VLOOKUP(E1825,'NI-Soc_SP'!$C:$AN,12,FALSE)</f>
        <v>0</v>
      </c>
      <c r="R1825" s="55">
        <f>VLOOKUP(E1825,'NI-Soc_SP'!$C:$AN,13,FALSE)</f>
        <v>0</v>
      </c>
      <c r="S1825" s="55">
        <f>VLOOKUP(E1825,'NI-Soc_SP'!$C:$AN,31,FALSE)</f>
        <v>0</v>
      </c>
      <c r="T1825" s="55">
        <f>VLOOKUP(E1825,'NI-Soc_SP'!$C:$AN,32,FALSE)+VLOOKUP(E1825,'NI-Soc_SP'!$C:$AN,33,FALSE)</f>
        <v>0</v>
      </c>
      <c r="U1825" s="55">
        <f>VLOOKUP($E1825,'NI-Soc_SP'!$C:$AN,MID(U$1,1,2),FALSE)</f>
        <v>0</v>
      </c>
      <c r="V1825" s="55">
        <f>VLOOKUP($E1825,'NI-Soc_SP'!$C:$AN,MID(V$1,1,2),FALSE)</f>
        <v>0</v>
      </c>
      <c r="W1825" s="55">
        <f>VLOOKUP($E1825,'NI-Soc_SP'!$C:$AN,MID(W$1,1,2),FALSE)</f>
        <v>0</v>
      </c>
      <c r="X1825" s="55">
        <f>VLOOKUP($E1825,'NI-Soc_SP'!$C:$AN,MID(X$1,1,2),FALSE)</f>
        <v>0</v>
      </c>
      <c r="Y1825" s="55">
        <f>VLOOKUP($E1825,'NI-Soc_SP'!$C:$AN,MID(Y$1,1,2),FALSE)</f>
        <v>0</v>
      </c>
      <c r="Z1825" s="55">
        <f>VLOOKUP($E1825,'NI-Soc_SP'!$C:$AN,MID(Z$1,1,2),FALSE)</f>
        <v>0</v>
      </c>
      <c r="AA1825" s="55">
        <f>VLOOKUP($E1825,'NI-Soc_SP'!$C:$AN,MID(AA$1,1,2),FALSE)</f>
        <v>0</v>
      </c>
      <c r="AB1825" s="55">
        <f>VLOOKUP($E1825,'NI-Soc_SP'!$C:$AN,MID(AB$1,1,2),FALSE)</f>
        <v>0</v>
      </c>
      <c r="AC1825" s="55">
        <f>VLOOKUP($E1825,'NI-Soc_SP'!$C:$AN,MID(AC$1,1,2),FALSE)</f>
        <v>0</v>
      </c>
      <c r="AD1825" s="55">
        <f>VLOOKUP($E1825,'NI-Soc_SP'!$C:$AN,MID(AD$1,1,2),FALSE)</f>
        <v>0</v>
      </c>
      <c r="AE1825" s="55">
        <f>VLOOKUP($E1825,'NI-Soc_SP'!$C:$AN,MID(AE$1,1,2),FALSE)</f>
        <v>0</v>
      </c>
      <c r="AF1825" s="55">
        <f>VLOOKUP($E1825,'NI-Soc_SP'!$C:$AN,MID(AF$1,1,2),FALSE)</f>
        <v>0</v>
      </c>
      <c r="AG1825" s="55">
        <f>VLOOKUP($E1825,'NI-Soc_SP'!$C:$AN,MID(AG$1,1,2),FALSE)</f>
        <v>0</v>
      </c>
      <c r="AH1825" s="55">
        <f>VLOOKUP($E1825,'NI-Soc_SP'!$C:$AN,MID(AH$1,1,2),FALSE)</f>
        <v>0</v>
      </c>
      <c r="AI1825" s="55">
        <f>VLOOKUP($E1825,'NI-Soc_SP'!$C:$AN,MID(AI$1,1,2),FALSE)</f>
        <v>0</v>
      </c>
      <c r="AJ1825" s="55">
        <f>VLOOKUP($E1825,'NI-Soc_SP'!$C:$AN,MID(AJ$1,1,2),FALSE)</f>
        <v>0</v>
      </c>
      <c r="AK1825" s="55">
        <f>VLOOKUP($E1825,'NI-Soc_SP'!$C:$AN,MID(AK$1,1,2),FALSE)</f>
        <v>0</v>
      </c>
      <c r="AL1825" s="55">
        <f>VLOOKUP($E1825,'NI-Soc_SP'!$C:$AN,MID(AL$1,1,2),FALSE)</f>
        <v>0</v>
      </c>
      <c r="AM1825" s="56">
        <f>VLOOKUP($E1825,'NI-Soc_SP'!$C:$AN,MID(AM$1,1,2),FALSE)</f>
        <v>0</v>
      </c>
      <c r="AN1825" s="30" t="str">
        <f t="shared" si="28"/>
        <v>20201060000000</v>
      </c>
    </row>
    <row r="1826" spans="1:40" x14ac:dyDescent="0.25">
      <c r="C1826" s="40"/>
      <c r="D1826" s="121" t="s">
        <v>1390</v>
      </c>
      <c r="E1826" s="121" t="s">
        <v>1391</v>
      </c>
      <c r="F1826" s="122" t="s">
        <v>2758</v>
      </c>
      <c r="G1826" s="52"/>
      <c r="H1826" s="52"/>
      <c r="I1826" s="52" t="s">
        <v>1392</v>
      </c>
      <c r="J1826" s="52"/>
      <c r="K1826" s="59" t="s">
        <v>79</v>
      </c>
      <c r="L1826" s="62" t="s">
        <v>1359</v>
      </c>
      <c r="M1826" s="52"/>
      <c r="N1826" s="52"/>
      <c r="O1826" s="61" t="s">
        <v>1360</v>
      </c>
      <c r="P1826" s="63" t="s">
        <v>1393</v>
      </c>
      <c r="Q1826" s="55">
        <f>VLOOKUP(E1826,'NI-Soc_SP'!$C:$AN,12,FALSE)</f>
        <v>0</v>
      </c>
      <c r="R1826" s="55">
        <f>VLOOKUP(E1826,'NI-Soc_SP'!$C:$AN,13,FALSE)</f>
        <v>0</v>
      </c>
      <c r="S1826" s="55">
        <f>VLOOKUP(E1826,'NI-Soc_SP'!$C:$AN,31,FALSE)</f>
        <v>0</v>
      </c>
      <c r="T1826" s="55">
        <f>VLOOKUP(E1826,'NI-Soc_SP'!$C:$AN,32,FALSE)+VLOOKUP(E1826,'NI-Soc_SP'!$C:$AN,33,FALSE)</f>
        <v>0</v>
      </c>
      <c r="U1826" s="55">
        <f>VLOOKUP($E1826,'NI-Soc_SP'!$C:$AN,MID(U$1,1,2),FALSE)</f>
        <v>0</v>
      </c>
      <c r="V1826" s="55">
        <f>VLOOKUP($E1826,'NI-Soc_SP'!$C:$AN,MID(V$1,1,2),FALSE)</f>
        <v>0</v>
      </c>
      <c r="W1826" s="55">
        <f>VLOOKUP($E1826,'NI-Soc_SP'!$C:$AN,MID(W$1,1,2),FALSE)</f>
        <v>0</v>
      </c>
      <c r="X1826" s="55">
        <f>VLOOKUP($E1826,'NI-Soc_SP'!$C:$AN,MID(X$1,1,2),FALSE)</f>
        <v>0</v>
      </c>
      <c r="Y1826" s="55">
        <f>VLOOKUP($E1826,'NI-Soc_SP'!$C:$AN,MID(Y$1,1,2),FALSE)</f>
        <v>0</v>
      </c>
      <c r="Z1826" s="55">
        <f>VLOOKUP($E1826,'NI-Soc_SP'!$C:$AN,MID(Z$1,1,2),FALSE)</f>
        <v>0</v>
      </c>
      <c r="AA1826" s="55">
        <f>VLOOKUP($E1826,'NI-Soc_SP'!$C:$AN,MID(AA$1,1,2),FALSE)</f>
        <v>0</v>
      </c>
      <c r="AB1826" s="55">
        <f>VLOOKUP($E1826,'NI-Soc_SP'!$C:$AN,MID(AB$1,1,2),FALSE)</f>
        <v>0</v>
      </c>
      <c r="AC1826" s="55">
        <f>VLOOKUP($E1826,'NI-Soc_SP'!$C:$AN,MID(AC$1,1,2),FALSE)</f>
        <v>0</v>
      </c>
      <c r="AD1826" s="55">
        <f>VLOOKUP($E1826,'NI-Soc_SP'!$C:$AN,MID(AD$1,1,2),FALSE)</f>
        <v>0</v>
      </c>
      <c r="AE1826" s="55">
        <f>VLOOKUP($E1826,'NI-Soc_SP'!$C:$AN,MID(AE$1,1,2),FALSE)</f>
        <v>0</v>
      </c>
      <c r="AF1826" s="55">
        <f>VLOOKUP($E1826,'NI-Soc_SP'!$C:$AN,MID(AF$1,1,2),FALSE)</f>
        <v>0</v>
      </c>
      <c r="AG1826" s="55">
        <f>VLOOKUP($E1826,'NI-Soc_SP'!$C:$AN,MID(AG$1,1,2),FALSE)</f>
        <v>0</v>
      </c>
      <c r="AH1826" s="55">
        <f>VLOOKUP($E1826,'NI-Soc_SP'!$C:$AN,MID(AH$1,1,2),FALSE)</f>
        <v>0</v>
      </c>
      <c r="AI1826" s="55">
        <f>VLOOKUP($E1826,'NI-Soc_SP'!$C:$AN,MID(AI$1,1,2),FALSE)</f>
        <v>0</v>
      </c>
      <c r="AJ1826" s="55">
        <f>VLOOKUP($E1826,'NI-Soc_SP'!$C:$AN,MID(AJ$1,1,2),FALSE)</f>
        <v>0</v>
      </c>
      <c r="AK1826" s="55">
        <f>VLOOKUP($E1826,'NI-Soc_SP'!$C:$AN,MID(AK$1,1,2),FALSE)</f>
        <v>0</v>
      </c>
      <c r="AL1826" s="55">
        <f>VLOOKUP($E1826,'NI-Soc_SP'!$C:$AN,MID(AL$1,1,2),FALSE)</f>
        <v>0</v>
      </c>
      <c r="AM1826" s="56">
        <f>VLOOKUP($E1826,'NI-Soc_SP'!$C:$AN,MID(AM$1,1,2),FALSE)</f>
        <v>0</v>
      </c>
      <c r="AN1826" s="30" t="str">
        <f t="shared" si="28"/>
        <v>20201070000000</v>
      </c>
    </row>
    <row r="1827" spans="1:40" x14ac:dyDescent="0.25">
      <c r="A1827" s="30" t="s">
        <v>1394</v>
      </c>
      <c r="C1827" s="40"/>
      <c r="D1827" s="87" t="s">
        <v>1395</v>
      </c>
      <c r="E1827" s="87" t="s">
        <v>1396</v>
      </c>
      <c r="F1827" s="122" t="s">
        <v>2758</v>
      </c>
      <c r="H1827" s="52"/>
      <c r="I1827" s="52"/>
      <c r="J1827" s="79" t="s">
        <v>1397</v>
      </c>
      <c r="K1827" s="59" t="s">
        <v>79</v>
      </c>
      <c r="L1827" s="62" t="s">
        <v>1359</v>
      </c>
      <c r="M1827" s="52"/>
      <c r="N1827" s="52"/>
      <c r="O1827" s="61" t="s">
        <v>1360</v>
      </c>
      <c r="P1827" s="76" t="s">
        <v>1398</v>
      </c>
      <c r="Q1827" s="55">
        <f>VLOOKUP(E1827,'NI-Soc_SP'!$C:$AN,12,FALSE)</f>
        <v>0</v>
      </c>
      <c r="R1827" s="55">
        <f>VLOOKUP(E1827,'NI-Soc_SP'!$C:$AN,13,FALSE)</f>
        <v>0</v>
      </c>
      <c r="S1827" s="55">
        <f>VLOOKUP(E1827,'NI-Soc_SP'!$C:$AN,31,FALSE)</f>
        <v>0</v>
      </c>
      <c r="T1827" s="55">
        <f>VLOOKUP(E1827,'NI-Soc_SP'!$C:$AN,32,FALSE)+VLOOKUP(E1827,'NI-Soc_SP'!$C:$AN,33,FALSE)</f>
        <v>0</v>
      </c>
      <c r="U1827" s="55">
        <f>VLOOKUP($E1827,'NI-Soc_SP'!$C:$AN,MID(U$1,1,2),FALSE)</f>
        <v>0</v>
      </c>
      <c r="V1827" s="55">
        <f>VLOOKUP($E1827,'NI-Soc_SP'!$C:$AN,MID(V$1,1,2),FALSE)</f>
        <v>0</v>
      </c>
      <c r="W1827" s="55">
        <f>VLOOKUP($E1827,'NI-Soc_SP'!$C:$AN,MID(W$1,1,2),FALSE)</f>
        <v>0</v>
      </c>
      <c r="X1827" s="55">
        <f>VLOOKUP($E1827,'NI-Soc_SP'!$C:$AN,MID(X$1,1,2),FALSE)</f>
        <v>0</v>
      </c>
      <c r="Y1827" s="55">
        <f>VLOOKUP($E1827,'NI-Soc_SP'!$C:$AN,MID(Y$1,1,2),FALSE)</f>
        <v>0</v>
      </c>
      <c r="Z1827" s="55">
        <f>VLOOKUP($E1827,'NI-Soc_SP'!$C:$AN,MID(Z$1,1,2),FALSE)</f>
        <v>0</v>
      </c>
      <c r="AA1827" s="55">
        <f>VLOOKUP($E1827,'NI-Soc_SP'!$C:$AN,MID(AA$1,1,2),FALSE)</f>
        <v>0</v>
      </c>
      <c r="AB1827" s="55">
        <f>VLOOKUP($E1827,'NI-Soc_SP'!$C:$AN,MID(AB$1,1,2),FALSE)</f>
        <v>0</v>
      </c>
      <c r="AC1827" s="55">
        <f>VLOOKUP($E1827,'NI-Soc_SP'!$C:$AN,MID(AC$1,1,2),FALSE)</f>
        <v>0</v>
      </c>
      <c r="AD1827" s="55">
        <f>VLOOKUP($E1827,'NI-Soc_SP'!$C:$AN,MID(AD$1,1,2),FALSE)</f>
        <v>0</v>
      </c>
      <c r="AE1827" s="55">
        <f>VLOOKUP($E1827,'NI-Soc_SP'!$C:$AN,MID(AE$1,1,2),FALSE)</f>
        <v>0</v>
      </c>
      <c r="AF1827" s="55">
        <f>VLOOKUP($E1827,'NI-Soc_SP'!$C:$AN,MID(AF$1,1,2),FALSE)</f>
        <v>0</v>
      </c>
      <c r="AG1827" s="55">
        <f>VLOOKUP($E1827,'NI-Soc_SP'!$C:$AN,MID(AG$1,1,2),FALSE)</f>
        <v>0</v>
      </c>
      <c r="AH1827" s="55">
        <f>VLOOKUP($E1827,'NI-Soc_SP'!$C:$AN,MID(AH$1,1,2),FALSE)</f>
        <v>0</v>
      </c>
      <c r="AI1827" s="55">
        <f>VLOOKUP($E1827,'NI-Soc_SP'!$C:$AN,MID(AI$1,1,2),FALSE)</f>
        <v>0</v>
      </c>
      <c r="AJ1827" s="55">
        <f>VLOOKUP($E1827,'NI-Soc_SP'!$C:$AN,MID(AJ$1,1,2),FALSE)</f>
        <v>0</v>
      </c>
      <c r="AK1827" s="55">
        <f>VLOOKUP($E1827,'NI-Soc_SP'!$C:$AN,MID(AK$1,1,2),FALSE)</f>
        <v>0</v>
      </c>
      <c r="AL1827" s="55">
        <f>VLOOKUP($E1827,'NI-Soc_SP'!$C:$AN,MID(AL$1,1,2),FALSE)</f>
        <v>0</v>
      </c>
      <c r="AM1827" s="56">
        <f>VLOOKUP($E1827,'NI-Soc_SP'!$C:$AN,MID(AM$1,1,2),FALSE)</f>
        <v>0</v>
      </c>
      <c r="AN1827" s="30" t="str">
        <f t="shared" si="28"/>
        <v>20201080000000</v>
      </c>
    </row>
    <row r="1828" spans="1:40" x14ac:dyDescent="0.25">
      <c r="C1828" s="40"/>
      <c r="D1828" s="121" t="s">
        <v>1399</v>
      </c>
      <c r="E1828" s="121" t="s">
        <v>1400</v>
      </c>
      <c r="F1828" s="122" t="s">
        <v>2758</v>
      </c>
      <c r="G1828" s="52"/>
      <c r="H1828" s="52"/>
      <c r="I1828" s="52" t="s">
        <v>1401</v>
      </c>
      <c r="J1828" s="52"/>
      <c r="K1828" s="59" t="s">
        <v>79</v>
      </c>
      <c r="L1828" s="62" t="s">
        <v>1402</v>
      </c>
      <c r="M1828" s="52"/>
      <c r="N1828" s="52"/>
      <c r="O1828" s="61" t="s">
        <v>1403</v>
      </c>
      <c r="P1828" s="76" t="s">
        <v>1404</v>
      </c>
      <c r="Q1828" s="55">
        <f>VLOOKUP(E1828,'NI-Soc_SP'!$C:$AN,12,FALSE)</f>
        <v>0</v>
      </c>
      <c r="R1828" s="55">
        <f>VLOOKUP(E1828,'NI-Soc_SP'!$C:$AN,13,FALSE)</f>
        <v>0</v>
      </c>
      <c r="S1828" s="55">
        <f>VLOOKUP(E1828,'NI-Soc_SP'!$C:$AN,31,FALSE)</f>
        <v>0</v>
      </c>
      <c r="T1828" s="55">
        <f>VLOOKUP(E1828,'NI-Soc_SP'!$C:$AN,32,FALSE)+VLOOKUP(E1828,'NI-Soc_SP'!$C:$AN,33,FALSE)</f>
        <v>0</v>
      </c>
      <c r="U1828" s="55">
        <f>VLOOKUP($E1828,'NI-Soc_SP'!$C:$AN,MID(U$1,1,2),FALSE)</f>
        <v>0</v>
      </c>
      <c r="V1828" s="55">
        <f>VLOOKUP($E1828,'NI-Soc_SP'!$C:$AN,MID(V$1,1,2),FALSE)</f>
        <v>0</v>
      </c>
      <c r="W1828" s="55">
        <f>VLOOKUP($E1828,'NI-Soc_SP'!$C:$AN,MID(W$1,1,2),FALSE)</f>
        <v>0</v>
      </c>
      <c r="X1828" s="55">
        <f>VLOOKUP($E1828,'NI-Soc_SP'!$C:$AN,MID(X$1,1,2),FALSE)</f>
        <v>0</v>
      </c>
      <c r="Y1828" s="55">
        <f>VLOOKUP($E1828,'NI-Soc_SP'!$C:$AN,MID(Y$1,1,2),FALSE)</f>
        <v>0</v>
      </c>
      <c r="Z1828" s="55">
        <f>VLOOKUP($E1828,'NI-Soc_SP'!$C:$AN,MID(Z$1,1,2),FALSE)</f>
        <v>0</v>
      </c>
      <c r="AA1828" s="55">
        <f>VLOOKUP($E1828,'NI-Soc_SP'!$C:$AN,MID(AA$1,1,2),FALSE)</f>
        <v>0</v>
      </c>
      <c r="AB1828" s="55">
        <f>VLOOKUP($E1828,'NI-Soc_SP'!$C:$AN,MID(AB$1,1,2),FALSE)</f>
        <v>0</v>
      </c>
      <c r="AC1828" s="55">
        <f>VLOOKUP($E1828,'NI-Soc_SP'!$C:$AN,MID(AC$1,1,2),FALSE)</f>
        <v>0</v>
      </c>
      <c r="AD1828" s="55">
        <f>VLOOKUP($E1828,'NI-Soc_SP'!$C:$AN,MID(AD$1,1,2),FALSE)</f>
        <v>0</v>
      </c>
      <c r="AE1828" s="55">
        <f>VLOOKUP($E1828,'NI-Soc_SP'!$C:$AN,MID(AE$1,1,2),FALSE)</f>
        <v>0</v>
      </c>
      <c r="AF1828" s="55">
        <f>VLOOKUP($E1828,'NI-Soc_SP'!$C:$AN,MID(AF$1,1,2),FALSE)</f>
        <v>0</v>
      </c>
      <c r="AG1828" s="55">
        <f>VLOOKUP($E1828,'NI-Soc_SP'!$C:$AN,MID(AG$1,1,2),FALSE)</f>
        <v>0</v>
      </c>
      <c r="AH1828" s="55">
        <f>VLOOKUP($E1828,'NI-Soc_SP'!$C:$AN,MID(AH$1,1,2),FALSE)</f>
        <v>0</v>
      </c>
      <c r="AI1828" s="55">
        <f>VLOOKUP($E1828,'NI-Soc_SP'!$C:$AN,MID(AI$1,1,2),FALSE)</f>
        <v>0</v>
      </c>
      <c r="AJ1828" s="55">
        <f>VLOOKUP($E1828,'NI-Soc_SP'!$C:$AN,MID(AJ$1,1,2),FALSE)</f>
        <v>0</v>
      </c>
      <c r="AK1828" s="55">
        <f>VLOOKUP($E1828,'NI-Soc_SP'!$C:$AN,MID(AK$1,1,2),FALSE)</f>
        <v>0</v>
      </c>
      <c r="AL1828" s="55">
        <f>VLOOKUP($E1828,'NI-Soc_SP'!$C:$AN,MID(AL$1,1,2),FALSE)</f>
        <v>0</v>
      </c>
      <c r="AM1828" s="56">
        <f>VLOOKUP($E1828,'NI-Soc_SP'!$C:$AN,MID(AM$1,1,2),FALSE)</f>
        <v>0</v>
      </c>
      <c r="AN1828" s="30" t="str">
        <f t="shared" si="28"/>
        <v>20201090000000</v>
      </c>
    </row>
    <row r="1829" spans="1:40" x14ac:dyDescent="0.25">
      <c r="C1829" s="40"/>
      <c r="D1829" s="121" t="s">
        <v>1405</v>
      </c>
      <c r="E1829" s="121" t="s">
        <v>1406</v>
      </c>
      <c r="F1829" s="122" t="s">
        <v>2758</v>
      </c>
      <c r="G1829" s="52"/>
      <c r="H1829" s="52"/>
      <c r="I1829" s="52"/>
      <c r="J1829" s="52"/>
      <c r="K1829" s="59" t="s">
        <v>111</v>
      </c>
      <c r="L1829" s="62"/>
      <c r="M1829" s="52"/>
      <c r="N1829" s="52"/>
      <c r="O1829" s="52"/>
      <c r="P1829" s="76" t="s">
        <v>1407</v>
      </c>
      <c r="Q1829" s="55">
        <f>VLOOKUP(E1829,'NI-Soc_SP'!$C:$AN,12,FALSE)</f>
        <v>0</v>
      </c>
      <c r="R1829" s="55">
        <f>VLOOKUP(E1829,'NI-Soc_SP'!$C:$AN,13,FALSE)</f>
        <v>0</v>
      </c>
      <c r="S1829" s="55">
        <f>VLOOKUP(E1829,'NI-Soc_SP'!$C:$AN,31,FALSE)</f>
        <v>0</v>
      </c>
      <c r="T1829" s="55">
        <f>VLOOKUP(E1829,'NI-Soc_SP'!$C:$AN,32,FALSE)+VLOOKUP(E1829,'NI-Soc_SP'!$C:$AN,33,FALSE)</f>
        <v>0</v>
      </c>
      <c r="U1829" s="55">
        <f>VLOOKUP($E1829,'NI-Soc_SP'!$C:$AN,MID(U$1,1,2),FALSE)</f>
        <v>0</v>
      </c>
      <c r="V1829" s="55">
        <f>VLOOKUP($E1829,'NI-Soc_SP'!$C:$AN,MID(V$1,1,2),FALSE)</f>
        <v>0</v>
      </c>
      <c r="W1829" s="55">
        <f>VLOOKUP($E1829,'NI-Soc_SP'!$C:$AN,MID(W$1,1,2),FALSE)</f>
        <v>0</v>
      </c>
      <c r="X1829" s="55">
        <f>VLOOKUP($E1829,'NI-Soc_SP'!$C:$AN,MID(X$1,1,2),FALSE)</f>
        <v>0</v>
      </c>
      <c r="Y1829" s="55">
        <f>VLOOKUP($E1829,'NI-Soc_SP'!$C:$AN,MID(Y$1,1,2),FALSE)</f>
        <v>0</v>
      </c>
      <c r="Z1829" s="55">
        <f>VLOOKUP($E1829,'NI-Soc_SP'!$C:$AN,MID(Z$1,1,2),FALSE)</f>
        <v>0</v>
      </c>
      <c r="AA1829" s="55">
        <f>VLOOKUP($E1829,'NI-Soc_SP'!$C:$AN,MID(AA$1,1,2),FALSE)</f>
        <v>0</v>
      </c>
      <c r="AB1829" s="55">
        <f>VLOOKUP($E1829,'NI-Soc_SP'!$C:$AN,MID(AB$1,1,2),FALSE)</f>
        <v>0</v>
      </c>
      <c r="AC1829" s="55">
        <f>VLOOKUP($E1829,'NI-Soc_SP'!$C:$AN,MID(AC$1,1,2),FALSE)</f>
        <v>0</v>
      </c>
      <c r="AD1829" s="55">
        <f>VLOOKUP($E1829,'NI-Soc_SP'!$C:$AN,MID(AD$1,1,2),FALSE)</f>
        <v>0</v>
      </c>
      <c r="AE1829" s="55">
        <f>VLOOKUP($E1829,'NI-Soc_SP'!$C:$AN,MID(AE$1,1,2),FALSE)</f>
        <v>0</v>
      </c>
      <c r="AF1829" s="55">
        <f>VLOOKUP($E1829,'NI-Soc_SP'!$C:$AN,MID(AF$1,1,2),FALSE)</f>
        <v>0</v>
      </c>
      <c r="AG1829" s="55">
        <f>VLOOKUP($E1829,'NI-Soc_SP'!$C:$AN,MID(AG$1,1,2),FALSE)</f>
        <v>0</v>
      </c>
      <c r="AH1829" s="55">
        <f>VLOOKUP($E1829,'NI-Soc_SP'!$C:$AN,MID(AH$1,1,2),FALSE)</f>
        <v>0</v>
      </c>
      <c r="AI1829" s="55">
        <f>VLOOKUP($E1829,'NI-Soc_SP'!$C:$AN,MID(AI$1,1,2),FALSE)</f>
        <v>0</v>
      </c>
      <c r="AJ1829" s="55">
        <f>VLOOKUP($E1829,'NI-Soc_SP'!$C:$AN,MID(AJ$1,1,2),FALSE)</f>
        <v>0</v>
      </c>
      <c r="AK1829" s="55">
        <f>VLOOKUP($E1829,'NI-Soc_SP'!$C:$AN,MID(AK$1,1,2),FALSE)</f>
        <v>0</v>
      </c>
      <c r="AL1829" s="55">
        <f>VLOOKUP($E1829,'NI-Soc_SP'!$C:$AN,MID(AL$1,1,2),FALSE)</f>
        <v>0</v>
      </c>
      <c r="AM1829" s="56">
        <f>VLOOKUP($E1829,'NI-Soc_SP'!$C:$AN,MID(AM$1,1,2),FALSE)</f>
        <v>0</v>
      </c>
      <c r="AN1829" s="30" t="str">
        <f t="shared" si="28"/>
        <v>20201100000000</v>
      </c>
    </row>
    <row r="1830" spans="1:40" x14ac:dyDescent="0.25">
      <c r="C1830" s="40"/>
      <c r="D1830" s="121" t="s">
        <v>1408</v>
      </c>
      <c r="E1830" s="121" t="s">
        <v>1409</v>
      </c>
      <c r="F1830" s="122" t="s">
        <v>2758</v>
      </c>
      <c r="G1830" s="52"/>
      <c r="H1830" s="52"/>
      <c r="I1830" s="52" t="s">
        <v>1410</v>
      </c>
      <c r="J1830" s="52"/>
      <c r="K1830" s="59" t="s">
        <v>79</v>
      </c>
      <c r="L1830" s="62" t="s">
        <v>1359</v>
      </c>
      <c r="M1830" s="52"/>
      <c r="N1830" s="52"/>
      <c r="O1830" s="61" t="s">
        <v>1411</v>
      </c>
      <c r="P1830" s="76" t="s">
        <v>1412</v>
      </c>
      <c r="Q1830" s="55">
        <f>VLOOKUP(E1830,'NI-Soc_SP'!$C:$AN,12,FALSE)</f>
        <v>0</v>
      </c>
      <c r="R1830" s="55">
        <f>VLOOKUP(E1830,'NI-Soc_SP'!$C:$AN,13,FALSE)</f>
        <v>0</v>
      </c>
      <c r="S1830" s="55">
        <f>VLOOKUP(E1830,'NI-Soc_SP'!$C:$AN,31,FALSE)</f>
        <v>0</v>
      </c>
      <c r="T1830" s="55">
        <f>VLOOKUP(E1830,'NI-Soc_SP'!$C:$AN,32,FALSE)+VLOOKUP(E1830,'NI-Soc_SP'!$C:$AN,33,FALSE)</f>
        <v>0</v>
      </c>
      <c r="U1830" s="55">
        <f>VLOOKUP($E1830,'NI-Soc_SP'!$C:$AN,MID(U$1,1,2),FALSE)</f>
        <v>0</v>
      </c>
      <c r="V1830" s="55">
        <f>VLOOKUP($E1830,'NI-Soc_SP'!$C:$AN,MID(V$1,1,2),FALSE)</f>
        <v>0</v>
      </c>
      <c r="W1830" s="55">
        <f>VLOOKUP($E1830,'NI-Soc_SP'!$C:$AN,MID(W$1,1,2),FALSE)</f>
        <v>0</v>
      </c>
      <c r="X1830" s="55">
        <f>VLOOKUP($E1830,'NI-Soc_SP'!$C:$AN,MID(X$1,1,2),FALSE)</f>
        <v>0</v>
      </c>
      <c r="Y1830" s="55">
        <f>VLOOKUP($E1830,'NI-Soc_SP'!$C:$AN,MID(Y$1,1,2),FALSE)</f>
        <v>0</v>
      </c>
      <c r="Z1830" s="55">
        <f>VLOOKUP($E1830,'NI-Soc_SP'!$C:$AN,MID(Z$1,1,2),FALSE)</f>
        <v>0</v>
      </c>
      <c r="AA1830" s="55">
        <f>VLOOKUP($E1830,'NI-Soc_SP'!$C:$AN,MID(AA$1,1,2),FALSE)</f>
        <v>0</v>
      </c>
      <c r="AB1830" s="55">
        <f>VLOOKUP($E1830,'NI-Soc_SP'!$C:$AN,MID(AB$1,1,2),FALSE)</f>
        <v>0</v>
      </c>
      <c r="AC1830" s="55">
        <f>VLOOKUP($E1830,'NI-Soc_SP'!$C:$AN,MID(AC$1,1,2),FALSE)</f>
        <v>0</v>
      </c>
      <c r="AD1830" s="55">
        <f>VLOOKUP($E1830,'NI-Soc_SP'!$C:$AN,MID(AD$1,1,2),FALSE)</f>
        <v>0</v>
      </c>
      <c r="AE1830" s="55">
        <f>VLOOKUP($E1830,'NI-Soc_SP'!$C:$AN,MID(AE$1,1,2),FALSE)</f>
        <v>0</v>
      </c>
      <c r="AF1830" s="55">
        <f>VLOOKUP($E1830,'NI-Soc_SP'!$C:$AN,MID(AF$1,1,2),FALSE)</f>
        <v>0</v>
      </c>
      <c r="AG1830" s="55">
        <f>VLOOKUP($E1830,'NI-Soc_SP'!$C:$AN,MID(AG$1,1,2),FALSE)</f>
        <v>0</v>
      </c>
      <c r="AH1830" s="55">
        <f>VLOOKUP($E1830,'NI-Soc_SP'!$C:$AN,MID(AH$1,1,2),FALSE)</f>
        <v>0</v>
      </c>
      <c r="AI1830" s="55">
        <f>VLOOKUP($E1830,'NI-Soc_SP'!$C:$AN,MID(AI$1,1,2),FALSE)</f>
        <v>0</v>
      </c>
      <c r="AJ1830" s="55">
        <f>VLOOKUP($E1830,'NI-Soc_SP'!$C:$AN,MID(AJ$1,1,2),FALSE)</f>
        <v>0</v>
      </c>
      <c r="AK1830" s="55">
        <f>VLOOKUP($E1830,'NI-Soc_SP'!$C:$AN,MID(AK$1,1,2),FALSE)</f>
        <v>0</v>
      </c>
      <c r="AL1830" s="55">
        <f>VLOOKUP($E1830,'NI-Soc_SP'!$C:$AN,MID(AL$1,1,2),FALSE)</f>
        <v>0</v>
      </c>
      <c r="AM1830" s="56">
        <f>VLOOKUP($E1830,'NI-Soc_SP'!$C:$AN,MID(AM$1,1,2),FALSE)</f>
        <v>0</v>
      </c>
      <c r="AN1830" s="30" t="str">
        <f t="shared" si="28"/>
        <v>20201100010000</v>
      </c>
    </row>
    <row r="1831" spans="1:40" x14ac:dyDescent="0.25">
      <c r="C1831" s="40"/>
      <c r="D1831" s="121" t="s">
        <v>1413</v>
      </c>
      <c r="E1831" s="121" t="s">
        <v>1414</v>
      </c>
      <c r="F1831" s="122" t="s">
        <v>2758</v>
      </c>
      <c r="G1831" s="52"/>
      <c r="H1831" s="52"/>
      <c r="I1831" s="52" t="s">
        <v>1415</v>
      </c>
      <c r="J1831" s="52"/>
      <c r="K1831" s="59" t="s">
        <v>79</v>
      </c>
      <c r="L1831" s="62" t="s">
        <v>1416</v>
      </c>
      <c r="M1831" s="52"/>
      <c r="N1831" s="52"/>
      <c r="O1831" s="61" t="s">
        <v>1417</v>
      </c>
      <c r="P1831" s="76" t="s">
        <v>1418</v>
      </c>
      <c r="Q1831" s="55">
        <f>VLOOKUP(E1831,'NI-Soc_SP'!$C:$AN,12,FALSE)</f>
        <v>0</v>
      </c>
      <c r="R1831" s="55">
        <f>VLOOKUP(E1831,'NI-Soc_SP'!$C:$AN,13,FALSE)</f>
        <v>0</v>
      </c>
      <c r="S1831" s="55">
        <f>VLOOKUP(E1831,'NI-Soc_SP'!$C:$AN,31,FALSE)</f>
        <v>0</v>
      </c>
      <c r="T1831" s="55">
        <f>VLOOKUP(E1831,'NI-Soc_SP'!$C:$AN,32,FALSE)+VLOOKUP(E1831,'NI-Soc_SP'!$C:$AN,33,FALSE)</f>
        <v>0</v>
      </c>
      <c r="U1831" s="55">
        <f>VLOOKUP($E1831,'NI-Soc_SP'!$C:$AN,MID(U$1,1,2),FALSE)</f>
        <v>0</v>
      </c>
      <c r="V1831" s="55">
        <f>VLOOKUP($E1831,'NI-Soc_SP'!$C:$AN,MID(V$1,1,2),FALSE)</f>
        <v>0</v>
      </c>
      <c r="W1831" s="55">
        <f>VLOOKUP($E1831,'NI-Soc_SP'!$C:$AN,MID(W$1,1,2),FALSE)</f>
        <v>0</v>
      </c>
      <c r="X1831" s="55">
        <f>VLOOKUP($E1831,'NI-Soc_SP'!$C:$AN,MID(X$1,1,2),FALSE)</f>
        <v>0</v>
      </c>
      <c r="Y1831" s="55">
        <f>VLOOKUP($E1831,'NI-Soc_SP'!$C:$AN,MID(Y$1,1,2),FALSE)</f>
        <v>0</v>
      </c>
      <c r="Z1831" s="55">
        <f>VLOOKUP($E1831,'NI-Soc_SP'!$C:$AN,MID(Z$1,1,2),FALSE)</f>
        <v>0</v>
      </c>
      <c r="AA1831" s="55">
        <f>VLOOKUP($E1831,'NI-Soc_SP'!$C:$AN,MID(AA$1,1,2),FALSE)</f>
        <v>0</v>
      </c>
      <c r="AB1831" s="55">
        <f>VLOOKUP($E1831,'NI-Soc_SP'!$C:$AN,MID(AB$1,1,2),FALSE)</f>
        <v>0</v>
      </c>
      <c r="AC1831" s="55">
        <f>VLOOKUP($E1831,'NI-Soc_SP'!$C:$AN,MID(AC$1,1,2),FALSE)</f>
        <v>0</v>
      </c>
      <c r="AD1831" s="55">
        <f>VLOOKUP($E1831,'NI-Soc_SP'!$C:$AN,MID(AD$1,1,2),FALSE)</f>
        <v>0</v>
      </c>
      <c r="AE1831" s="55">
        <f>VLOOKUP($E1831,'NI-Soc_SP'!$C:$AN,MID(AE$1,1,2),FALSE)</f>
        <v>0</v>
      </c>
      <c r="AF1831" s="55">
        <f>VLOOKUP($E1831,'NI-Soc_SP'!$C:$AN,MID(AF$1,1,2),FALSE)</f>
        <v>0</v>
      </c>
      <c r="AG1831" s="55">
        <f>VLOOKUP($E1831,'NI-Soc_SP'!$C:$AN,MID(AG$1,1,2),FALSE)</f>
        <v>0</v>
      </c>
      <c r="AH1831" s="55">
        <f>VLOOKUP($E1831,'NI-Soc_SP'!$C:$AN,MID(AH$1,1,2),FALSE)</f>
        <v>0</v>
      </c>
      <c r="AI1831" s="55">
        <f>VLOOKUP($E1831,'NI-Soc_SP'!$C:$AN,MID(AI$1,1,2),FALSE)</f>
        <v>0</v>
      </c>
      <c r="AJ1831" s="55">
        <f>VLOOKUP($E1831,'NI-Soc_SP'!$C:$AN,MID(AJ$1,1,2),FALSE)</f>
        <v>0</v>
      </c>
      <c r="AK1831" s="55">
        <f>VLOOKUP($E1831,'NI-Soc_SP'!$C:$AN,MID(AK$1,1,2),FALSE)</f>
        <v>0</v>
      </c>
      <c r="AL1831" s="55">
        <f>VLOOKUP($E1831,'NI-Soc_SP'!$C:$AN,MID(AL$1,1,2),FALSE)</f>
        <v>0</v>
      </c>
      <c r="AM1831" s="56">
        <f>VLOOKUP($E1831,'NI-Soc_SP'!$C:$AN,MID(AM$1,1,2),FALSE)</f>
        <v>0</v>
      </c>
      <c r="AN1831" s="30" t="str">
        <f t="shared" si="28"/>
        <v>20201100020000</v>
      </c>
    </row>
    <row r="1832" spans="1:40" x14ac:dyDescent="0.25">
      <c r="C1832" s="40"/>
      <c r="D1832" s="121" t="s">
        <v>1419</v>
      </c>
      <c r="E1832" s="121" t="s">
        <v>1420</v>
      </c>
      <c r="F1832" s="122" t="s">
        <v>2758</v>
      </c>
      <c r="G1832" s="52"/>
      <c r="H1832" s="52"/>
      <c r="I1832" s="52" t="s">
        <v>1421</v>
      </c>
      <c r="J1832" s="52"/>
      <c r="K1832" s="59" t="s">
        <v>79</v>
      </c>
      <c r="L1832" s="62" t="s">
        <v>1359</v>
      </c>
      <c r="M1832" s="52"/>
      <c r="N1832" s="52"/>
      <c r="O1832" s="61" t="s">
        <v>1422</v>
      </c>
      <c r="P1832" s="63" t="s">
        <v>1423</v>
      </c>
      <c r="Q1832" s="55">
        <f>VLOOKUP(E1832,'NI-Soc_SP'!$C:$AN,12,FALSE)</f>
        <v>0</v>
      </c>
      <c r="R1832" s="55">
        <f>VLOOKUP(E1832,'NI-Soc_SP'!$C:$AN,13,FALSE)</f>
        <v>0</v>
      </c>
      <c r="S1832" s="55">
        <f>VLOOKUP(E1832,'NI-Soc_SP'!$C:$AN,31,FALSE)</f>
        <v>0</v>
      </c>
      <c r="T1832" s="55">
        <f>VLOOKUP(E1832,'NI-Soc_SP'!$C:$AN,32,FALSE)+VLOOKUP(E1832,'NI-Soc_SP'!$C:$AN,33,FALSE)</f>
        <v>0</v>
      </c>
      <c r="U1832" s="55">
        <f>VLOOKUP($E1832,'NI-Soc_SP'!$C:$AN,MID(U$1,1,2),FALSE)</f>
        <v>0</v>
      </c>
      <c r="V1832" s="55">
        <f>VLOOKUP($E1832,'NI-Soc_SP'!$C:$AN,MID(V$1,1,2),FALSE)</f>
        <v>0</v>
      </c>
      <c r="W1832" s="55">
        <f>VLOOKUP($E1832,'NI-Soc_SP'!$C:$AN,MID(W$1,1,2),FALSE)</f>
        <v>0</v>
      </c>
      <c r="X1832" s="55">
        <f>VLOOKUP($E1832,'NI-Soc_SP'!$C:$AN,MID(X$1,1,2),FALSE)</f>
        <v>0</v>
      </c>
      <c r="Y1832" s="55">
        <f>VLOOKUP($E1832,'NI-Soc_SP'!$C:$AN,MID(Y$1,1,2),FALSE)</f>
        <v>0</v>
      </c>
      <c r="Z1832" s="55">
        <f>VLOOKUP($E1832,'NI-Soc_SP'!$C:$AN,MID(Z$1,1,2),FALSE)</f>
        <v>0</v>
      </c>
      <c r="AA1832" s="55">
        <f>VLOOKUP($E1832,'NI-Soc_SP'!$C:$AN,MID(AA$1,1,2),FALSE)</f>
        <v>0</v>
      </c>
      <c r="AB1832" s="55">
        <f>VLOOKUP($E1832,'NI-Soc_SP'!$C:$AN,MID(AB$1,1,2),FALSE)</f>
        <v>0</v>
      </c>
      <c r="AC1832" s="55">
        <f>VLOOKUP($E1832,'NI-Soc_SP'!$C:$AN,MID(AC$1,1,2),FALSE)</f>
        <v>0</v>
      </c>
      <c r="AD1832" s="55">
        <f>VLOOKUP($E1832,'NI-Soc_SP'!$C:$AN,MID(AD$1,1,2),FALSE)</f>
        <v>0</v>
      </c>
      <c r="AE1832" s="55">
        <f>VLOOKUP($E1832,'NI-Soc_SP'!$C:$AN,MID(AE$1,1,2),FALSE)</f>
        <v>0</v>
      </c>
      <c r="AF1832" s="55">
        <f>VLOOKUP($E1832,'NI-Soc_SP'!$C:$AN,MID(AF$1,1,2),FALSE)</f>
        <v>0</v>
      </c>
      <c r="AG1832" s="55">
        <f>VLOOKUP($E1832,'NI-Soc_SP'!$C:$AN,MID(AG$1,1,2),FALSE)</f>
        <v>0</v>
      </c>
      <c r="AH1832" s="55">
        <f>VLOOKUP($E1832,'NI-Soc_SP'!$C:$AN,MID(AH$1,1,2),FALSE)</f>
        <v>0</v>
      </c>
      <c r="AI1832" s="55">
        <f>VLOOKUP($E1832,'NI-Soc_SP'!$C:$AN,MID(AI$1,1,2),FALSE)</f>
        <v>0</v>
      </c>
      <c r="AJ1832" s="55">
        <f>VLOOKUP($E1832,'NI-Soc_SP'!$C:$AN,MID(AJ$1,1,2),FALSE)</f>
        <v>0</v>
      </c>
      <c r="AK1832" s="55">
        <f>VLOOKUP($E1832,'NI-Soc_SP'!$C:$AN,MID(AK$1,1,2),FALSE)</f>
        <v>0</v>
      </c>
      <c r="AL1832" s="55">
        <f>VLOOKUP($E1832,'NI-Soc_SP'!$C:$AN,MID(AL$1,1,2),FALSE)</f>
        <v>0</v>
      </c>
      <c r="AM1832" s="56">
        <f>VLOOKUP($E1832,'NI-Soc_SP'!$C:$AN,MID(AM$1,1,2),FALSE)</f>
        <v>0</v>
      </c>
      <c r="AN1832" s="30" t="str">
        <f t="shared" si="28"/>
        <v>20201100030000</v>
      </c>
    </row>
    <row r="1833" spans="1:40" x14ac:dyDescent="0.25">
      <c r="C1833" s="40"/>
      <c r="D1833" s="121" t="s">
        <v>1424</v>
      </c>
      <c r="E1833" s="121" t="s">
        <v>1425</v>
      </c>
      <c r="F1833" s="122" t="s">
        <v>2758</v>
      </c>
      <c r="G1833" s="52"/>
      <c r="H1833" s="52"/>
      <c r="I1833" s="52" t="s">
        <v>1426</v>
      </c>
      <c r="J1833" s="52"/>
      <c r="K1833" s="59" t="s">
        <v>79</v>
      </c>
      <c r="L1833" s="52" t="s">
        <v>1402</v>
      </c>
      <c r="M1833" s="52"/>
      <c r="N1833" s="52"/>
      <c r="O1833" s="61" t="s">
        <v>1427</v>
      </c>
      <c r="P1833" s="54" t="s">
        <v>1428</v>
      </c>
      <c r="Q1833" s="55">
        <f>VLOOKUP(E1833,'NI-Soc_SP'!$C:$AN,12,FALSE)</f>
        <v>0</v>
      </c>
      <c r="R1833" s="55">
        <f>VLOOKUP(E1833,'NI-Soc_SP'!$C:$AN,13,FALSE)</f>
        <v>0</v>
      </c>
      <c r="S1833" s="55">
        <f>VLOOKUP(E1833,'NI-Soc_SP'!$C:$AN,31,FALSE)</f>
        <v>0</v>
      </c>
      <c r="T1833" s="55">
        <f>VLOOKUP(E1833,'NI-Soc_SP'!$C:$AN,32,FALSE)+VLOOKUP(E1833,'NI-Soc_SP'!$C:$AN,33,FALSE)</f>
        <v>0</v>
      </c>
      <c r="U1833" s="55">
        <f>VLOOKUP($E1833,'NI-Soc_SP'!$C:$AN,MID(U$1,1,2),FALSE)</f>
        <v>0</v>
      </c>
      <c r="V1833" s="55">
        <f>VLOOKUP($E1833,'NI-Soc_SP'!$C:$AN,MID(V$1,1,2),FALSE)</f>
        <v>0</v>
      </c>
      <c r="W1833" s="55">
        <f>VLOOKUP($E1833,'NI-Soc_SP'!$C:$AN,MID(W$1,1,2),FALSE)</f>
        <v>0</v>
      </c>
      <c r="X1833" s="55">
        <f>VLOOKUP($E1833,'NI-Soc_SP'!$C:$AN,MID(X$1,1,2),FALSE)</f>
        <v>0</v>
      </c>
      <c r="Y1833" s="55">
        <f>VLOOKUP($E1833,'NI-Soc_SP'!$C:$AN,MID(Y$1,1,2),FALSE)</f>
        <v>0</v>
      </c>
      <c r="Z1833" s="55">
        <f>VLOOKUP($E1833,'NI-Soc_SP'!$C:$AN,MID(Z$1,1,2),FALSE)</f>
        <v>0</v>
      </c>
      <c r="AA1833" s="55">
        <f>VLOOKUP($E1833,'NI-Soc_SP'!$C:$AN,MID(AA$1,1,2),FALSE)</f>
        <v>0</v>
      </c>
      <c r="AB1833" s="55">
        <f>VLOOKUP($E1833,'NI-Soc_SP'!$C:$AN,MID(AB$1,1,2),FALSE)</f>
        <v>0</v>
      </c>
      <c r="AC1833" s="55">
        <f>VLOOKUP($E1833,'NI-Soc_SP'!$C:$AN,MID(AC$1,1,2),FALSE)</f>
        <v>0</v>
      </c>
      <c r="AD1833" s="55">
        <f>VLOOKUP($E1833,'NI-Soc_SP'!$C:$AN,MID(AD$1,1,2),FALSE)</f>
        <v>0</v>
      </c>
      <c r="AE1833" s="55">
        <f>VLOOKUP($E1833,'NI-Soc_SP'!$C:$AN,MID(AE$1,1,2),FALSE)</f>
        <v>0</v>
      </c>
      <c r="AF1833" s="55">
        <f>VLOOKUP($E1833,'NI-Soc_SP'!$C:$AN,MID(AF$1,1,2),FALSE)</f>
        <v>0</v>
      </c>
      <c r="AG1833" s="55">
        <f>VLOOKUP($E1833,'NI-Soc_SP'!$C:$AN,MID(AG$1,1,2),FALSE)</f>
        <v>0</v>
      </c>
      <c r="AH1833" s="55">
        <f>VLOOKUP($E1833,'NI-Soc_SP'!$C:$AN,MID(AH$1,1,2),FALSE)</f>
        <v>0</v>
      </c>
      <c r="AI1833" s="55">
        <f>VLOOKUP($E1833,'NI-Soc_SP'!$C:$AN,MID(AI$1,1,2),FALSE)</f>
        <v>0</v>
      </c>
      <c r="AJ1833" s="55">
        <f>VLOOKUP($E1833,'NI-Soc_SP'!$C:$AN,MID(AJ$1,1,2),FALSE)</f>
        <v>0</v>
      </c>
      <c r="AK1833" s="55">
        <f>VLOOKUP($E1833,'NI-Soc_SP'!$C:$AN,MID(AK$1,1,2),FALSE)</f>
        <v>0</v>
      </c>
      <c r="AL1833" s="55">
        <f>VLOOKUP($E1833,'NI-Soc_SP'!$C:$AN,MID(AL$1,1,2),FALSE)</f>
        <v>0</v>
      </c>
      <c r="AM1833" s="56">
        <f>VLOOKUP($E1833,'NI-Soc_SP'!$C:$AN,MID(AM$1,1,2),FALSE)</f>
        <v>0</v>
      </c>
      <c r="AN1833" s="30" t="str">
        <f t="shared" si="28"/>
        <v>20201100040000</v>
      </c>
    </row>
    <row r="1834" spans="1:40" x14ac:dyDescent="0.25">
      <c r="C1834" s="40"/>
      <c r="D1834" s="121" t="s">
        <v>1429</v>
      </c>
      <c r="E1834" s="121" t="s">
        <v>1430</v>
      </c>
      <c r="F1834" s="122" t="s">
        <v>2758</v>
      </c>
      <c r="G1834" s="52"/>
      <c r="H1834" s="52"/>
      <c r="I1834" s="52" t="s">
        <v>1431</v>
      </c>
      <c r="J1834" s="52"/>
      <c r="K1834" s="59" t="s">
        <v>79</v>
      </c>
      <c r="L1834" s="52" t="s">
        <v>1359</v>
      </c>
      <c r="M1834" s="52"/>
      <c r="N1834" s="52"/>
      <c r="O1834" s="61" t="s">
        <v>1432</v>
      </c>
      <c r="P1834" s="63" t="s">
        <v>1433</v>
      </c>
      <c r="Q1834" s="55">
        <f>VLOOKUP(E1834,'NI-Soc_SP'!$C:$AN,12,FALSE)</f>
        <v>0</v>
      </c>
      <c r="R1834" s="55">
        <f>VLOOKUP(E1834,'NI-Soc_SP'!$C:$AN,13,FALSE)</f>
        <v>0</v>
      </c>
      <c r="S1834" s="55">
        <f>VLOOKUP(E1834,'NI-Soc_SP'!$C:$AN,31,FALSE)</f>
        <v>0</v>
      </c>
      <c r="T1834" s="55">
        <f>VLOOKUP(E1834,'NI-Soc_SP'!$C:$AN,32,FALSE)+VLOOKUP(E1834,'NI-Soc_SP'!$C:$AN,33,FALSE)</f>
        <v>0</v>
      </c>
      <c r="U1834" s="55">
        <f>VLOOKUP($E1834,'NI-Soc_SP'!$C:$AN,MID(U$1,1,2),FALSE)</f>
        <v>0</v>
      </c>
      <c r="V1834" s="55">
        <f>VLOOKUP($E1834,'NI-Soc_SP'!$C:$AN,MID(V$1,1,2),FALSE)</f>
        <v>0</v>
      </c>
      <c r="W1834" s="55">
        <f>VLOOKUP($E1834,'NI-Soc_SP'!$C:$AN,MID(W$1,1,2),FALSE)</f>
        <v>0</v>
      </c>
      <c r="X1834" s="55">
        <f>VLOOKUP($E1834,'NI-Soc_SP'!$C:$AN,MID(X$1,1,2),FALSE)</f>
        <v>0</v>
      </c>
      <c r="Y1834" s="55">
        <f>VLOOKUP($E1834,'NI-Soc_SP'!$C:$AN,MID(Y$1,1,2),FALSE)</f>
        <v>0</v>
      </c>
      <c r="Z1834" s="55">
        <f>VLOOKUP($E1834,'NI-Soc_SP'!$C:$AN,MID(Z$1,1,2),FALSE)</f>
        <v>0</v>
      </c>
      <c r="AA1834" s="55">
        <f>VLOOKUP($E1834,'NI-Soc_SP'!$C:$AN,MID(AA$1,1,2),FALSE)</f>
        <v>0</v>
      </c>
      <c r="AB1834" s="55">
        <f>VLOOKUP($E1834,'NI-Soc_SP'!$C:$AN,MID(AB$1,1,2),FALSE)</f>
        <v>0</v>
      </c>
      <c r="AC1834" s="55">
        <f>VLOOKUP($E1834,'NI-Soc_SP'!$C:$AN,MID(AC$1,1,2),FALSE)</f>
        <v>0</v>
      </c>
      <c r="AD1834" s="55">
        <f>VLOOKUP($E1834,'NI-Soc_SP'!$C:$AN,MID(AD$1,1,2),FALSE)</f>
        <v>0</v>
      </c>
      <c r="AE1834" s="55">
        <f>VLOOKUP($E1834,'NI-Soc_SP'!$C:$AN,MID(AE$1,1,2),FALSE)</f>
        <v>0</v>
      </c>
      <c r="AF1834" s="55">
        <f>VLOOKUP($E1834,'NI-Soc_SP'!$C:$AN,MID(AF$1,1,2),FALSE)</f>
        <v>0</v>
      </c>
      <c r="AG1834" s="55">
        <f>VLOOKUP($E1834,'NI-Soc_SP'!$C:$AN,MID(AG$1,1,2),FALSE)</f>
        <v>0</v>
      </c>
      <c r="AH1834" s="55">
        <f>VLOOKUP($E1834,'NI-Soc_SP'!$C:$AN,MID(AH$1,1,2),FALSE)</f>
        <v>0</v>
      </c>
      <c r="AI1834" s="55">
        <f>VLOOKUP($E1834,'NI-Soc_SP'!$C:$AN,MID(AI$1,1,2),FALSE)</f>
        <v>0</v>
      </c>
      <c r="AJ1834" s="55">
        <f>VLOOKUP($E1834,'NI-Soc_SP'!$C:$AN,MID(AJ$1,1,2),FALSE)</f>
        <v>0</v>
      </c>
      <c r="AK1834" s="55">
        <f>VLOOKUP($E1834,'NI-Soc_SP'!$C:$AN,MID(AK$1,1,2),FALSE)</f>
        <v>0</v>
      </c>
      <c r="AL1834" s="55">
        <f>VLOOKUP($E1834,'NI-Soc_SP'!$C:$AN,MID(AL$1,1,2),FALSE)</f>
        <v>0</v>
      </c>
      <c r="AM1834" s="56">
        <f>VLOOKUP($E1834,'NI-Soc_SP'!$C:$AN,MID(AM$1,1,2),FALSE)</f>
        <v>0</v>
      </c>
      <c r="AN1834" s="30" t="str">
        <f t="shared" si="28"/>
        <v>20201110000000</v>
      </c>
    </row>
    <row r="1835" spans="1:40" x14ac:dyDescent="0.25">
      <c r="C1835" s="40"/>
      <c r="D1835" s="121" t="s">
        <v>1434</v>
      </c>
      <c r="E1835" s="121" t="s">
        <v>1435</v>
      </c>
      <c r="F1835" s="122" t="s">
        <v>2758</v>
      </c>
      <c r="G1835" s="52"/>
      <c r="H1835" s="52"/>
      <c r="I1835" s="52"/>
      <c r="J1835" s="52"/>
      <c r="K1835" s="59" t="s">
        <v>111</v>
      </c>
      <c r="L1835" s="62"/>
      <c r="M1835" s="52"/>
      <c r="N1835" s="52"/>
      <c r="O1835" s="52"/>
      <c r="P1835" s="76" t="s">
        <v>1436</v>
      </c>
      <c r="Q1835" s="55">
        <f>VLOOKUP(E1835,'NI-Soc_SP'!$C:$AN,12,FALSE)</f>
        <v>0</v>
      </c>
      <c r="R1835" s="55">
        <f>VLOOKUP(E1835,'NI-Soc_SP'!$C:$AN,13,FALSE)</f>
        <v>0</v>
      </c>
      <c r="S1835" s="55">
        <f>VLOOKUP(E1835,'NI-Soc_SP'!$C:$AN,31,FALSE)</f>
        <v>0</v>
      </c>
      <c r="T1835" s="55">
        <f>VLOOKUP(E1835,'NI-Soc_SP'!$C:$AN,32,FALSE)+VLOOKUP(E1835,'NI-Soc_SP'!$C:$AN,33,FALSE)</f>
        <v>0</v>
      </c>
      <c r="U1835" s="55">
        <f>VLOOKUP($E1835,'NI-Soc_SP'!$C:$AN,MID(U$1,1,2),FALSE)</f>
        <v>0</v>
      </c>
      <c r="V1835" s="55">
        <f>VLOOKUP($E1835,'NI-Soc_SP'!$C:$AN,MID(V$1,1,2),FALSE)</f>
        <v>0</v>
      </c>
      <c r="W1835" s="55">
        <f>VLOOKUP($E1835,'NI-Soc_SP'!$C:$AN,MID(W$1,1,2),FALSE)</f>
        <v>0</v>
      </c>
      <c r="X1835" s="55">
        <f>VLOOKUP($E1835,'NI-Soc_SP'!$C:$AN,MID(X$1,1,2),FALSE)</f>
        <v>0</v>
      </c>
      <c r="Y1835" s="55">
        <f>VLOOKUP($E1835,'NI-Soc_SP'!$C:$AN,MID(Y$1,1,2),FALSE)</f>
        <v>0</v>
      </c>
      <c r="Z1835" s="55">
        <f>VLOOKUP($E1835,'NI-Soc_SP'!$C:$AN,MID(Z$1,1,2),FALSE)</f>
        <v>0</v>
      </c>
      <c r="AA1835" s="55">
        <f>VLOOKUP($E1835,'NI-Soc_SP'!$C:$AN,MID(AA$1,1,2),FALSE)</f>
        <v>0</v>
      </c>
      <c r="AB1835" s="55">
        <f>VLOOKUP($E1835,'NI-Soc_SP'!$C:$AN,MID(AB$1,1,2),FALSE)</f>
        <v>0</v>
      </c>
      <c r="AC1835" s="55">
        <f>VLOOKUP($E1835,'NI-Soc_SP'!$C:$AN,MID(AC$1,1,2),FALSE)</f>
        <v>0</v>
      </c>
      <c r="AD1835" s="55">
        <f>VLOOKUP($E1835,'NI-Soc_SP'!$C:$AN,MID(AD$1,1,2),FALSE)</f>
        <v>0</v>
      </c>
      <c r="AE1835" s="55">
        <f>VLOOKUP($E1835,'NI-Soc_SP'!$C:$AN,MID(AE$1,1,2),FALSE)</f>
        <v>0</v>
      </c>
      <c r="AF1835" s="55">
        <f>VLOOKUP($E1835,'NI-Soc_SP'!$C:$AN,MID(AF$1,1,2),FALSE)</f>
        <v>0</v>
      </c>
      <c r="AG1835" s="55">
        <f>VLOOKUP($E1835,'NI-Soc_SP'!$C:$AN,MID(AG$1,1,2),FALSE)</f>
        <v>0</v>
      </c>
      <c r="AH1835" s="55">
        <f>VLOOKUP($E1835,'NI-Soc_SP'!$C:$AN,MID(AH$1,1,2),FALSE)</f>
        <v>0</v>
      </c>
      <c r="AI1835" s="55">
        <f>VLOOKUP($E1835,'NI-Soc_SP'!$C:$AN,MID(AI$1,1,2),FALSE)</f>
        <v>0</v>
      </c>
      <c r="AJ1835" s="55">
        <f>VLOOKUP($E1835,'NI-Soc_SP'!$C:$AN,MID(AJ$1,1,2),FALSE)</f>
        <v>0</v>
      </c>
      <c r="AK1835" s="55">
        <f>VLOOKUP($E1835,'NI-Soc_SP'!$C:$AN,MID(AK$1,1,2),FALSE)</f>
        <v>0</v>
      </c>
      <c r="AL1835" s="55">
        <f>VLOOKUP($E1835,'NI-Soc_SP'!$C:$AN,MID(AL$1,1,2),FALSE)</f>
        <v>0</v>
      </c>
      <c r="AM1835" s="56">
        <f>VLOOKUP($E1835,'NI-Soc_SP'!$C:$AN,MID(AM$1,1,2),FALSE)</f>
        <v>0</v>
      </c>
      <c r="AN1835" s="30" t="str">
        <f t="shared" si="28"/>
        <v>20202000000000</v>
      </c>
    </row>
    <row r="1836" spans="1:40" x14ac:dyDescent="0.25">
      <c r="C1836" s="40"/>
      <c r="D1836" s="121" t="s">
        <v>1437</v>
      </c>
      <c r="E1836" s="121" t="s">
        <v>1438</v>
      </c>
      <c r="F1836" s="122" t="s">
        <v>2758</v>
      </c>
      <c r="G1836" s="52"/>
      <c r="H1836" s="52"/>
      <c r="I1836" s="52"/>
      <c r="J1836" s="52"/>
      <c r="K1836" s="59" t="s">
        <v>79</v>
      </c>
      <c r="L1836" s="62"/>
      <c r="M1836" s="52"/>
      <c r="N1836" s="52"/>
      <c r="O1836" s="52"/>
      <c r="P1836" s="76" t="s">
        <v>1440</v>
      </c>
      <c r="Q1836" s="55">
        <f>VLOOKUP(E1836,'NI-Soc_SP'!$C:$AN,12,FALSE)</f>
        <v>0</v>
      </c>
      <c r="R1836" s="55">
        <f>VLOOKUP(E1836,'NI-Soc_SP'!$C:$AN,13,FALSE)</f>
        <v>0</v>
      </c>
      <c r="S1836" s="55">
        <f>VLOOKUP(E1836,'NI-Soc_SP'!$C:$AN,31,FALSE)</f>
        <v>0</v>
      </c>
      <c r="T1836" s="55">
        <f>VLOOKUP(E1836,'NI-Soc_SP'!$C:$AN,32,FALSE)+VLOOKUP(E1836,'NI-Soc_SP'!$C:$AN,33,FALSE)</f>
        <v>0</v>
      </c>
      <c r="U1836" s="55">
        <f>VLOOKUP($E1836,'NI-Soc_SP'!$C:$AN,MID(U$1,1,2),FALSE)</f>
        <v>0</v>
      </c>
      <c r="V1836" s="55">
        <f>VLOOKUP($E1836,'NI-Soc_SP'!$C:$AN,MID(V$1,1,2),FALSE)</f>
        <v>0</v>
      </c>
      <c r="W1836" s="55">
        <f>VLOOKUP($E1836,'NI-Soc_SP'!$C:$AN,MID(W$1,1,2),FALSE)</f>
        <v>0</v>
      </c>
      <c r="X1836" s="55">
        <f>VLOOKUP($E1836,'NI-Soc_SP'!$C:$AN,MID(X$1,1,2),FALSE)</f>
        <v>0</v>
      </c>
      <c r="Y1836" s="55">
        <f>VLOOKUP($E1836,'NI-Soc_SP'!$C:$AN,MID(Y$1,1,2),FALSE)</f>
        <v>0</v>
      </c>
      <c r="Z1836" s="55">
        <f>VLOOKUP($E1836,'NI-Soc_SP'!$C:$AN,MID(Z$1,1,2),FALSE)</f>
        <v>0</v>
      </c>
      <c r="AA1836" s="55">
        <f>VLOOKUP($E1836,'NI-Soc_SP'!$C:$AN,MID(AA$1,1,2),FALSE)</f>
        <v>0</v>
      </c>
      <c r="AB1836" s="55">
        <f>VLOOKUP($E1836,'NI-Soc_SP'!$C:$AN,MID(AB$1,1,2),FALSE)</f>
        <v>0</v>
      </c>
      <c r="AC1836" s="55">
        <f>VLOOKUP($E1836,'NI-Soc_SP'!$C:$AN,MID(AC$1,1,2),FALSE)</f>
        <v>0</v>
      </c>
      <c r="AD1836" s="55">
        <f>VLOOKUP($E1836,'NI-Soc_SP'!$C:$AN,MID(AD$1,1,2),FALSE)</f>
        <v>0</v>
      </c>
      <c r="AE1836" s="55">
        <f>VLOOKUP($E1836,'NI-Soc_SP'!$C:$AN,MID(AE$1,1,2),FALSE)</f>
        <v>0</v>
      </c>
      <c r="AF1836" s="55">
        <f>VLOOKUP($E1836,'NI-Soc_SP'!$C:$AN,MID(AF$1,1,2),FALSE)</f>
        <v>0</v>
      </c>
      <c r="AG1836" s="55">
        <f>VLOOKUP($E1836,'NI-Soc_SP'!$C:$AN,MID(AG$1,1,2),FALSE)</f>
        <v>0</v>
      </c>
      <c r="AH1836" s="55">
        <f>VLOOKUP($E1836,'NI-Soc_SP'!$C:$AN,MID(AH$1,1,2),FALSE)</f>
        <v>0</v>
      </c>
      <c r="AI1836" s="55">
        <f>VLOOKUP($E1836,'NI-Soc_SP'!$C:$AN,MID(AI$1,1,2),FALSE)</f>
        <v>0</v>
      </c>
      <c r="AJ1836" s="55">
        <f>VLOOKUP($E1836,'NI-Soc_SP'!$C:$AN,MID(AJ$1,1,2),FALSE)</f>
        <v>0</v>
      </c>
      <c r="AK1836" s="55">
        <f>VLOOKUP($E1836,'NI-Soc_SP'!$C:$AN,MID(AK$1,1,2),FALSE)</f>
        <v>0</v>
      </c>
      <c r="AL1836" s="55">
        <f>VLOOKUP($E1836,'NI-Soc_SP'!$C:$AN,MID(AL$1,1,2),FALSE)</f>
        <v>0</v>
      </c>
      <c r="AM1836" s="56">
        <f>VLOOKUP($E1836,'NI-Soc_SP'!$C:$AN,MID(AM$1,1,2),FALSE)</f>
        <v>0</v>
      </c>
      <c r="AN1836" s="30" t="str">
        <f t="shared" si="28"/>
        <v>20202005000000</v>
      </c>
    </row>
    <row r="1837" spans="1:40" x14ac:dyDescent="0.25">
      <c r="C1837" s="40"/>
      <c r="D1837" s="121" t="s">
        <v>1437</v>
      </c>
      <c r="E1837" s="121" t="s">
        <v>1441</v>
      </c>
      <c r="F1837" s="122" t="s">
        <v>2758</v>
      </c>
      <c r="G1837" s="52"/>
      <c r="H1837" s="52"/>
      <c r="I1837" s="52" t="s">
        <v>1442</v>
      </c>
      <c r="J1837" s="52"/>
      <c r="K1837" s="59" t="s">
        <v>1358</v>
      </c>
      <c r="L1837" s="52" t="s">
        <v>1443</v>
      </c>
      <c r="M1837" s="52"/>
      <c r="N1837" s="52"/>
      <c r="O1837" s="61" t="s">
        <v>1444</v>
      </c>
      <c r="P1837" s="76" t="s">
        <v>1445</v>
      </c>
      <c r="Q1837" s="55">
        <f>VLOOKUP(E1837,'NI-Soc_SP'!$C:$AN,12,FALSE)</f>
        <v>0</v>
      </c>
      <c r="R1837" s="55">
        <f>VLOOKUP(E1837,'NI-Soc_SP'!$C:$AN,13,FALSE)</f>
        <v>0</v>
      </c>
      <c r="S1837" s="55">
        <f>VLOOKUP(E1837,'NI-Soc_SP'!$C:$AN,31,FALSE)</f>
        <v>0</v>
      </c>
      <c r="T1837" s="55">
        <f>VLOOKUP(E1837,'NI-Soc_SP'!$C:$AN,32,FALSE)+VLOOKUP(E1837,'NI-Soc_SP'!$C:$AN,33,FALSE)</f>
        <v>0</v>
      </c>
      <c r="U1837" s="55">
        <f>VLOOKUP($E1837,'NI-Soc_SP'!$C:$AN,MID(U$1,1,2),FALSE)</f>
        <v>0</v>
      </c>
      <c r="V1837" s="55">
        <f>VLOOKUP($E1837,'NI-Soc_SP'!$C:$AN,MID(V$1,1,2),FALSE)</f>
        <v>0</v>
      </c>
      <c r="W1837" s="55">
        <f>VLOOKUP($E1837,'NI-Soc_SP'!$C:$AN,MID(W$1,1,2),FALSE)</f>
        <v>0</v>
      </c>
      <c r="X1837" s="55">
        <f>VLOOKUP($E1837,'NI-Soc_SP'!$C:$AN,MID(X$1,1,2),FALSE)</f>
        <v>0</v>
      </c>
      <c r="Y1837" s="55">
        <f>VLOOKUP($E1837,'NI-Soc_SP'!$C:$AN,MID(Y$1,1,2),FALSE)</f>
        <v>0</v>
      </c>
      <c r="Z1837" s="55">
        <f>VLOOKUP($E1837,'NI-Soc_SP'!$C:$AN,MID(Z$1,1,2),FALSE)</f>
        <v>0</v>
      </c>
      <c r="AA1837" s="55">
        <f>VLOOKUP($E1837,'NI-Soc_SP'!$C:$AN,MID(AA$1,1,2),FALSE)</f>
        <v>0</v>
      </c>
      <c r="AB1837" s="55">
        <f>VLOOKUP($E1837,'NI-Soc_SP'!$C:$AN,MID(AB$1,1,2),FALSE)</f>
        <v>0</v>
      </c>
      <c r="AC1837" s="55">
        <f>VLOOKUP($E1837,'NI-Soc_SP'!$C:$AN,MID(AC$1,1,2),FALSE)</f>
        <v>0</v>
      </c>
      <c r="AD1837" s="55">
        <f>VLOOKUP($E1837,'NI-Soc_SP'!$C:$AN,MID(AD$1,1,2),FALSE)</f>
        <v>0</v>
      </c>
      <c r="AE1837" s="55">
        <f>VLOOKUP($E1837,'NI-Soc_SP'!$C:$AN,MID(AE$1,1,2),FALSE)</f>
        <v>0</v>
      </c>
      <c r="AF1837" s="55">
        <f>VLOOKUP($E1837,'NI-Soc_SP'!$C:$AN,MID(AF$1,1,2),FALSE)</f>
        <v>0</v>
      </c>
      <c r="AG1837" s="55">
        <f>VLOOKUP($E1837,'NI-Soc_SP'!$C:$AN,MID(AG$1,1,2),FALSE)</f>
        <v>0</v>
      </c>
      <c r="AH1837" s="55">
        <f>VLOOKUP($E1837,'NI-Soc_SP'!$C:$AN,MID(AH$1,1,2),FALSE)</f>
        <v>0</v>
      </c>
      <c r="AI1837" s="55">
        <f>VLOOKUP($E1837,'NI-Soc_SP'!$C:$AN,MID(AI$1,1,2),FALSE)</f>
        <v>0</v>
      </c>
      <c r="AJ1837" s="55">
        <f>VLOOKUP($E1837,'NI-Soc_SP'!$C:$AN,MID(AJ$1,1,2),FALSE)</f>
        <v>0</v>
      </c>
      <c r="AK1837" s="55">
        <f>VLOOKUP($E1837,'NI-Soc_SP'!$C:$AN,MID(AK$1,1,2),FALSE)</f>
        <v>0</v>
      </c>
      <c r="AL1837" s="55">
        <f>VLOOKUP($E1837,'NI-Soc_SP'!$C:$AN,MID(AL$1,1,2),FALSE)</f>
        <v>0</v>
      </c>
      <c r="AM1837" s="56">
        <f>VLOOKUP($E1837,'NI-Soc_SP'!$C:$AN,MID(AM$1,1,2),FALSE)</f>
        <v>0</v>
      </c>
      <c r="AN1837" s="30" t="str">
        <f t="shared" si="28"/>
        <v>20202005000000</v>
      </c>
    </row>
    <row r="1838" spans="1:40" x14ac:dyDescent="0.25">
      <c r="C1838" s="40"/>
      <c r="D1838" s="121" t="s">
        <v>1437</v>
      </c>
      <c r="E1838" s="121" t="s">
        <v>1446</v>
      </c>
      <c r="F1838" s="122" t="s">
        <v>2758</v>
      </c>
      <c r="G1838" s="52"/>
      <c r="H1838" s="52"/>
      <c r="I1838" s="52" t="s">
        <v>1447</v>
      </c>
      <c r="J1838" s="52"/>
      <c r="K1838" s="59" t="s">
        <v>1358</v>
      </c>
      <c r="L1838" s="62" t="s">
        <v>1443</v>
      </c>
      <c r="M1838" s="52"/>
      <c r="N1838" s="52"/>
      <c r="O1838" s="61" t="s">
        <v>1444</v>
      </c>
      <c r="P1838" s="103" t="s">
        <v>1449</v>
      </c>
      <c r="Q1838" s="55">
        <f>VLOOKUP(E1838,'NI-Soc_SP'!$C:$AN,12,FALSE)</f>
        <v>0</v>
      </c>
      <c r="R1838" s="55">
        <f>VLOOKUP(E1838,'NI-Soc_SP'!$C:$AN,13,FALSE)</f>
        <v>0</v>
      </c>
      <c r="S1838" s="55">
        <f>VLOOKUP(E1838,'NI-Soc_SP'!$C:$AN,31,FALSE)</f>
        <v>0</v>
      </c>
      <c r="T1838" s="55">
        <f>VLOOKUP(E1838,'NI-Soc_SP'!$C:$AN,32,FALSE)+VLOOKUP(E1838,'NI-Soc_SP'!$C:$AN,33,FALSE)</f>
        <v>0</v>
      </c>
      <c r="U1838" s="55">
        <f>VLOOKUP($E1838,'NI-Soc_SP'!$C:$AN,MID(U$1,1,2),FALSE)</f>
        <v>0</v>
      </c>
      <c r="V1838" s="55">
        <f>VLOOKUP($E1838,'NI-Soc_SP'!$C:$AN,MID(V$1,1,2),FALSE)</f>
        <v>0</v>
      </c>
      <c r="W1838" s="55">
        <f>VLOOKUP($E1838,'NI-Soc_SP'!$C:$AN,MID(W$1,1,2),FALSE)</f>
        <v>0</v>
      </c>
      <c r="X1838" s="55">
        <f>VLOOKUP($E1838,'NI-Soc_SP'!$C:$AN,MID(X$1,1,2),FALSE)</f>
        <v>0</v>
      </c>
      <c r="Y1838" s="55">
        <f>VLOOKUP($E1838,'NI-Soc_SP'!$C:$AN,MID(Y$1,1,2),FALSE)</f>
        <v>0</v>
      </c>
      <c r="Z1838" s="55">
        <f>VLOOKUP($E1838,'NI-Soc_SP'!$C:$AN,MID(Z$1,1,2),FALSE)</f>
        <v>0</v>
      </c>
      <c r="AA1838" s="55">
        <f>VLOOKUP($E1838,'NI-Soc_SP'!$C:$AN,MID(AA$1,1,2),FALSE)</f>
        <v>0</v>
      </c>
      <c r="AB1838" s="55">
        <f>VLOOKUP($E1838,'NI-Soc_SP'!$C:$AN,MID(AB$1,1,2),FALSE)</f>
        <v>0</v>
      </c>
      <c r="AC1838" s="55">
        <f>VLOOKUP($E1838,'NI-Soc_SP'!$C:$AN,MID(AC$1,1,2),FALSE)</f>
        <v>0</v>
      </c>
      <c r="AD1838" s="55">
        <f>VLOOKUP($E1838,'NI-Soc_SP'!$C:$AN,MID(AD$1,1,2),FALSE)</f>
        <v>0</v>
      </c>
      <c r="AE1838" s="55">
        <f>VLOOKUP($E1838,'NI-Soc_SP'!$C:$AN,MID(AE$1,1,2),FALSE)</f>
        <v>0</v>
      </c>
      <c r="AF1838" s="55">
        <f>VLOOKUP($E1838,'NI-Soc_SP'!$C:$AN,MID(AF$1,1,2),FALSE)</f>
        <v>0</v>
      </c>
      <c r="AG1838" s="55">
        <f>VLOOKUP($E1838,'NI-Soc_SP'!$C:$AN,MID(AG$1,1,2),FALSE)</f>
        <v>0</v>
      </c>
      <c r="AH1838" s="55">
        <f>VLOOKUP($E1838,'NI-Soc_SP'!$C:$AN,MID(AH$1,1,2),FALSE)</f>
        <v>0</v>
      </c>
      <c r="AI1838" s="55">
        <f>VLOOKUP($E1838,'NI-Soc_SP'!$C:$AN,MID(AI$1,1,2),FALSE)</f>
        <v>0</v>
      </c>
      <c r="AJ1838" s="55">
        <f>VLOOKUP($E1838,'NI-Soc_SP'!$C:$AN,MID(AJ$1,1,2),FALSE)</f>
        <v>0</v>
      </c>
      <c r="AK1838" s="55">
        <f>VLOOKUP($E1838,'NI-Soc_SP'!$C:$AN,MID(AK$1,1,2),FALSE)</f>
        <v>0</v>
      </c>
      <c r="AL1838" s="55">
        <f>VLOOKUP($E1838,'NI-Soc_SP'!$C:$AN,MID(AL$1,1,2),FALSE)</f>
        <v>0</v>
      </c>
      <c r="AM1838" s="56">
        <f>VLOOKUP($E1838,'NI-Soc_SP'!$C:$AN,MID(AM$1,1,2),FALSE)</f>
        <v>0</v>
      </c>
      <c r="AN1838" s="30" t="str">
        <f t="shared" si="28"/>
        <v>20202005000000</v>
      </c>
    </row>
    <row r="1839" spans="1:40" x14ac:dyDescent="0.25">
      <c r="C1839" s="40"/>
      <c r="D1839" s="121" t="s">
        <v>1450</v>
      </c>
      <c r="E1839" s="121" t="s">
        <v>1451</v>
      </c>
      <c r="F1839" s="122" t="s">
        <v>2758</v>
      </c>
      <c r="G1839" s="52"/>
      <c r="H1839" s="52"/>
      <c r="I1839" s="52" t="s">
        <v>1448</v>
      </c>
      <c r="J1839" s="52"/>
      <c r="K1839" s="59" t="s">
        <v>111</v>
      </c>
      <c r="L1839" s="62"/>
      <c r="M1839" s="52"/>
      <c r="N1839" s="52"/>
      <c r="O1839" s="52"/>
      <c r="P1839" s="103" t="s">
        <v>1452</v>
      </c>
      <c r="Q1839" s="55">
        <f>VLOOKUP(E1839,'NI-Soc_SP'!$C:$AN,12,FALSE)</f>
        <v>0</v>
      </c>
      <c r="R1839" s="55">
        <f>VLOOKUP(E1839,'NI-Soc_SP'!$C:$AN,13,FALSE)</f>
        <v>0</v>
      </c>
      <c r="S1839" s="55">
        <f>VLOOKUP(E1839,'NI-Soc_SP'!$C:$AN,31,FALSE)</f>
        <v>0</v>
      </c>
      <c r="T1839" s="55">
        <f>VLOOKUP(E1839,'NI-Soc_SP'!$C:$AN,32,FALSE)+VLOOKUP(E1839,'NI-Soc_SP'!$C:$AN,33,FALSE)</f>
        <v>0</v>
      </c>
      <c r="U1839" s="55">
        <f>VLOOKUP($E1839,'NI-Soc_SP'!$C:$AN,MID(U$1,1,2),FALSE)</f>
        <v>0</v>
      </c>
      <c r="V1839" s="55">
        <f>VLOOKUP($E1839,'NI-Soc_SP'!$C:$AN,MID(V$1,1,2),FALSE)</f>
        <v>0</v>
      </c>
      <c r="W1839" s="55">
        <f>VLOOKUP($E1839,'NI-Soc_SP'!$C:$AN,MID(W$1,1,2),FALSE)</f>
        <v>0</v>
      </c>
      <c r="X1839" s="55">
        <f>VLOOKUP($E1839,'NI-Soc_SP'!$C:$AN,MID(X$1,1,2),FALSE)</f>
        <v>0</v>
      </c>
      <c r="Y1839" s="55">
        <f>VLOOKUP($E1839,'NI-Soc_SP'!$C:$AN,MID(Y$1,1,2),FALSE)</f>
        <v>0</v>
      </c>
      <c r="Z1839" s="55">
        <f>VLOOKUP($E1839,'NI-Soc_SP'!$C:$AN,MID(Z$1,1,2),FALSE)</f>
        <v>0</v>
      </c>
      <c r="AA1839" s="55">
        <f>VLOOKUP($E1839,'NI-Soc_SP'!$C:$AN,MID(AA$1,1,2),FALSE)</f>
        <v>0</v>
      </c>
      <c r="AB1839" s="55">
        <f>VLOOKUP($E1839,'NI-Soc_SP'!$C:$AN,MID(AB$1,1,2),FALSE)</f>
        <v>0</v>
      </c>
      <c r="AC1839" s="55">
        <f>VLOOKUP($E1839,'NI-Soc_SP'!$C:$AN,MID(AC$1,1,2),FALSE)</f>
        <v>0</v>
      </c>
      <c r="AD1839" s="55">
        <f>VLOOKUP($E1839,'NI-Soc_SP'!$C:$AN,MID(AD$1,1,2),FALSE)</f>
        <v>0</v>
      </c>
      <c r="AE1839" s="55">
        <f>VLOOKUP($E1839,'NI-Soc_SP'!$C:$AN,MID(AE$1,1,2),FALSE)</f>
        <v>0</v>
      </c>
      <c r="AF1839" s="55">
        <f>VLOOKUP($E1839,'NI-Soc_SP'!$C:$AN,MID(AF$1,1,2),FALSE)</f>
        <v>0</v>
      </c>
      <c r="AG1839" s="55">
        <f>VLOOKUP($E1839,'NI-Soc_SP'!$C:$AN,MID(AG$1,1,2),FALSE)</f>
        <v>0</v>
      </c>
      <c r="AH1839" s="55">
        <f>VLOOKUP($E1839,'NI-Soc_SP'!$C:$AN,MID(AH$1,1,2),FALSE)</f>
        <v>0</v>
      </c>
      <c r="AI1839" s="55">
        <f>VLOOKUP($E1839,'NI-Soc_SP'!$C:$AN,MID(AI$1,1,2),FALSE)</f>
        <v>0</v>
      </c>
      <c r="AJ1839" s="55">
        <f>VLOOKUP($E1839,'NI-Soc_SP'!$C:$AN,MID(AJ$1,1,2),FALSE)</f>
        <v>0</v>
      </c>
      <c r="AK1839" s="55">
        <f>VLOOKUP($E1839,'NI-Soc_SP'!$C:$AN,MID(AK$1,1,2),FALSE)</f>
        <v>0</v>
      </c>
      <c r="AL1839" s="55">
        <f>VLOOKUP($E1839,'NI-Soc_SP'!$C:$AN,MID(AL$1,1,2),FALSE)</f>
        <v>0</v>
      </c>
      <c r="AM1839" s="56">
        <f>VLOOKUP($E1839,'NI-Soc_SP'!$C:$AN,MID(AM$1,1,2),FALSE)</f>
        <v>0</v>
      </c>
      <c r="AN1839" s="30" t="str">
        <f t="shared" si="28"/>
        <v>20202010010000</v>
      </c>
    </row>
    <row r="1840" spans="1:40" x14ac:dyDescent="0.25">
      <c r="C1840" s="40"/>
      <c r="D1840" s="121" t="s">
        <v>1453</v>
      </c>
      <c r="E1840" s="121" t="s">
        <v>1454</v>
      </c>
      <c r="F1840" s="122" t="s">
        <v>2758</v>
      </c>
      <c r="G1840" s="52"/>
      <c r="H1840" s="52"/>
      <c r="I1840" s="52"/>
      <c r="J1840" s="52"/>
      <c r="K1840" s="59" t="s">
        <v>79</v>
      </c>
      <c r="L1840" s="62" t="s">
        <v>1455</v>
      </c>
      <c r="M1840" s="52"/>
      <c r="N1840" s="52"/>
      <c r="O1840" s="61" t="s">
        <v>1444</v>
      </c>
      <c r="P1840" s="103" t="s">
        <v>1456</v>
      </c>
      <c r="Q1840" s="55">
        <f>VLOOKUP(E1840,'NI-Soc_SP'!$C:$AN,12,FALSE)</f>
        <v>0</v>
      </c>
      <c r="R1840" s="55">
        <f>VLOOKUP(E1840,'NI-Soc_SP'!$C:$AN,13,FALSE)</f>
        <v>0</v>
      </c>
      <c r="S1840" s="55">
        <f>VLOOKUP(E1840,'NI-Soc_SP'!$C:$AN,31,FALSE)</f>
        <v>0</v>
      </c>
      <c r="T1840" s="55">
        <f>VLOOKUP(E1840,'NI-Soc_SP'!$C:$AN,32,FALSE)+VLOOKUP(E1840,'NI-Soc_SP'!$C:$AN,33,FALSE)</f>
        <v>0</v>
      </c>
      <c r="U1840" s="55">
        <f>VLOOKUP($E1840,'NI-Soc_SP'!$C:$AN,MID(U$1,1,2),FALSE)</f>
        <v>0</v>
      </c>
      <c r="V1840" s="55">
        <f>VLOOKUP($E1840,'NI-Soc_SP'!$C:$AN,MID(V$1,1,2),FALSE)</f>
        <v>0</v>
      </c>
      <c r="W1840" s="55">
        <f>VLOOKUP($E1840,'NI-Soc_SP'!$C:$AN,MID(W$1,1,2),FALSE)</f>
        <v>0</v>
      </c>
      <c r="X1840" s="55">
        <f>VLOOKUP($E1840,'NI-Soc_SP'!$C:$AN,MID(X$1,1,2),FALSE)</f>
        <v>0</v>
      </c>
      <c r="Y1840" s="55">
        <f>VLOOKUP($E1840,'NI-Soc_SP'!$C:$AN,MID(Y$1,1,2),FALSE)</f>
        <v>0</v>
      </c>
      <c r="Z1840" s="55">
        <f>VLOOKUP($E1840,'NI-Soc_SP'!$C:$AN,MID(Z$1,1,2),FALSE)</f>
        <v>0</v>
      </c>
      <c r="AA1840" s="55">
        <f>VLOOKUP($E1840,'NI-Soc_SP'!$C:$AN,MID(AA$1,1,2),FALSE)</f>
        <v>0</v>
      </c>
      <c r="AB1840" s="55">
        <f>VLOOKUP($E1840,'NI-Soc_SP'!$C:$AN,MID(AB$1,1,2),FALSE)</f>
        <v>0</v>
      </c>
      <c r="AC1840" s="55">
        <f>VLOOKUP($E1840,'NI-Soc_SP'!$C:$AN,MID(AC$1,1,2),FALSE)</f>
        <v>0</v>
      </c>
      <c r="AD1840" s="55">
        <f>VLOOKUP($E1840,'NI-Soc_SP'!$C:$AN,MID(AD$1,1,2),FALSE)</f>
        <v>0</v>
      </c>
      <c r="AE1840" s="55">
        <f>VLOOKUP($E1840,'NI-Soc_SP'!$C:$AN,MID(AE$1,1,2),FALSE)</f>
        <v>0</v>
      </c>
      <c r="AF1840" s="55">
        <f>VLOOKUP($E1840,'NI-Soc_SP'!$C:$AN,MID(AF$1,1,2),FALSE)</f>
        <v>0</v>
      </c>
      <c r="AG1840" s="55">
        <f>VLOOKUP($E1840,'NI-Soc_SP'!$C:$AN,MID(AG$1,1,2),FALSE)</f>
        <v>0</v>
      </c>
      <c r="AH1840" s="55">
        <f>VLOOKUP($E1840,'NI-Soc_SP'!$C:$AN,MID(AH$1,1,2),FALSE)</f>
        <v>0</v>
      </c>
      <c r="AI1840" s="55">
        <f>VLOOKUP($E1840,'NI-Soc_SP'!$C:$AN,MID(AI$1,1,2),FALSE)</f>
        <v>0</v>
      </c>
      <c r="AJ1840" s="55">
        <f>VLOOKUP($E1840,'NI-Soc_SP'!$C:$AN,MID(AJ$1,1,2),FALSE)</f>
        <v>0</v>
      </c>
      <c r="AK1840" s="55">
        <f>VLOOKUP($E1840,'NI-Soc_SP'!$C:$AN,MID(AK$1,1,2),FALSE)</f>
        <v>0</v>
      </c>
      <c r="AL1840" s="55">
        <f>VLOOKUP($E1840,'NI-Soc_SP'!$C:$AN,MID(AL$1,1,2),FALSE)</f>
        <v>0</v>
      </c>
      <c r="AM1840" s="56">
        <f>VLOOKUP($E1840,'NI-Soc_SP'!$C:$AN,MID(AM$1,1,2),FALSE)</f>
        <v>0</v>
      </c>
      <c r="AN1840" s="30" t="str">
        <f t="shared" si="28"/>
        <v>20202010010010</v>
      </c>
    </row>
    <row r="1841" spans="1:40" x14ac:dyDescent="0.25">
      <c r="C1841" s="40"/>
      <c r="D1841" s="121" t="s">
        <v>1457</v>
      </c>
      <c r="E1841" s="121" t="s">
        <v>1458</v>
      </c>
      <c r="F1841" s="122" t="s">
        <v>2758</v>
      </c>
      <c r="G1841" s="52"/>
      <c r="H1841" s="52"/>
      <c r="I1841" s="52"/>
      <c r="J1841" s="52"/>
      <c r="K1841" s="59" t="s">
        <v>79</v>
      </c>
      <c r="L1841" s="62" t="s">
        <v>1455</v>
      </c>
      <c r="M1841" s="52"/>
      <c r="N1841" s="52"/>
      <c r="O1841" s="61" t="s">
        <v>1444</v>
      </c>
      <c r="P1841" s="103" t="s">
        <v>1459</v>
      </c>
      <c r="Q1841" s="55">
        <f>VLOOKUP(E1841,'NI-Soc_SP'!$C:$AN,12,FALSE)</f>
        <v>0</v>
      </c>
      <c r="R1841" s="55">
        <f>VLOOKUP(E1841,'NI-Soc_SP'!$C:$AN,13,FALSE)</f>
        <v>0</v>
      </c>
      <c r="S1841" s="55">
        <f>VLOOKUP(E1841,'NI-Soc_SP'!$C:$AN,31,FALSE)</f>
        <v>0</v>
      </c>
      <c r="T1841" s="55">
        <f>VLOOKUP(E1841,'NI-Soc_SP'!$C:$AN,32,FALSE)+VLOOKUP(E1841,'NI-Soc_SP'!$C:$AN,33,FALSE)</f>
        <v>0</v>
      </c>
      <c r="U1841" s="55">
        <f>VLOOKUP($E1841,'NI-Soc_SP'!$C:$AN,MID(U$1,1,2),FALSE)</f>
        <v>0</v>
      </c>
      <c r="V1841" s="55">
        <f>VLOOKUP($E1841,'NI-Soc_SP'!$C:$AN,MID(V$1,1,2),FALSE)</f>
        <v>0</v>
      </c>
      <c r="W1841" s="55">
        <f>VLOOKUP($E1841,'NI-Soc_SP'!$C:$AN,MID(W$1,1,2),FALSE)</f>
        <v>0</v>
      </c>
      <c r="X1841" s="55">
        <f>VLOOKUP($E1841,'NI-Soc_SP'!$C:$AN,MID(X$1,1,2),FALSE)</f>
        <v>0</v>
      </c>
      <c r="Y1841" s="55">
        <f>VLOOKUP($E1841,'NI-Soc_SP'!$C:$AN,MID(Y$1,1,2),FALSE)</f>
        <v>0</v>
      </c>
      <c r="Z1841" s="55">
        <f>VLOOKUP($E1841,'NI-Soc_SP'!$C:$AN,MID(Z$1,1,2),FALSE)</f>
        <v>0</v>
      </c>
      <c r="AA1841" s="55">
        <f>VLOOKUP($E1841,'NI-Soc_SP'!$C:$AN,MID(AA$1,1,2),FALSE)</f>
        <v>0</v>
      </c>
      <c r="AB1841" s="55">
        <f>VLOOKUP($E1841,'NI-Soc_SP'!$C:$AN,MID(AB$1,1,2),FALSE)</f>
        <v>0</v>
      </c>
      <c r="AC1841" s="55">
        <f>VLOOKUP($E1841,'NI-Soc_SP'!$C:$AN,MID(AC$1,1,2),FALSE)</f>
        <v>0</v>
      </c>
      <c r="AD1841" s="55">
        <f>VLOOKUP($E1841,'NI-Soc_SP'!$C:$AN,MID(AD$1,1,2),FALSE)</f>
        <v>0</v>
      </c>
      <c r="AE1841" s="55">
        <f>VLOOKUP($E1841,'NI-Soc_SP'!$C:$AN,MID(AE$1,1,2),FALSE)</f>
        <v>0</v>
      </c>
      <c r="AF1841" s="55">
        <f>VLOOKUP($E1841,'NI-Soc_SP'!$C:$AN,MID(AF$1,1,2),FALSE)</f>
        <v>0</v>
      </c>
      <c r="AG1841" s="55">
        <f>VLOOKUP($E1841,'NI-Soc_SP'!$C:$AN,MID(AG$1,1,2),FALSE)</f>
        <v>0</v>
      </c>
      <c r="AH1841" s="55">
        <f>VLOOKUP($E1841,'NI-Soc_SP'!$C:$AN,MID(AH$1,1,2),FALSE)</f>
        <v>0</v>
      </c>
      <c r="AI1841" s="55">
        <f>VLOOKUP($E1841,'NI-Soc_SP'!$C:$AN,MID(AI$1,1,2),FALSE)</f>
        <v>0</v>
      </c>
      <c r="AJ1841" s="55">
        <f>VLOOKUP($E1841,'NI-Soc_SP'!$C:$AN,MID(AJ$1,1,2),FALSE)</f>
        <v>0</v>
      </c>
      <c r="AK1841" s="55">
        <f>VLOOKUP($E1841,'NI-Soc_SP'!$C:$AN,MID(AK$1,1,2),FALSE)</f>
        <v>0</v>
      </c>
      <c r="AL1841" s="55">
        <f>VLOOKUP($E1841,'NI-Soc_SP'!$C:$AN,MID(AL$1,1,2),FALSE)</f>
        <v>0</v>
      </c>
      <c r="AM1841" s="56">
        <f>VLOOKUP($E1841,'NI-Soc_SP'!$C:$AN,MID(AM$1,1,2),FALSE)</f>
        <v>0</v>
      </c>
      <c r="AN1841" s="30" t="str">
        <f t="shared" si="28"/>
        <v>20202010010020</v>
      </c>
    </row>
    <row r="1842" spans="1:40" x14ac:dyDescent="0.25">
      <c r="C1842" s="40"/>
      <c r="D1842" s="121" t="s">
        <v>1460</v>
      </c>
      <c r="E1842" s="121" t="s">
        <v>1461</v>
      </c>
      <c r="F1842" s="122" t="s">
        <v>2758</v>
      </c>
      <c r="G1842" s="52"/>
      <c r="H1842" s="52"/>
      <c r="I1842" s="52"/>
      <c r="J1842" s="52"/>
      <c r="K1842" s="59" t="s">
        <v>79</v>
      </c>
      <c r="L1842" s="62" t="s">
        <v>1455</v>
      </c>
      <c r="M1842" s="52"/>
      <c r="N1842" s="52"/>
      <c r="O1842" s="61" t="s">
        <v>1444</v>
      </c>
      <c r="P1842" s="103" t="s">
        <v>1462</v>
      </c>
      <c r="Q1842" s="55">
        <f>VLOOKUP(E1842,'NI-Soc_SP'!$C:$AN,12,FALSE)</f>
        <v>0</v>
      </c>
      <c r="R1842" s="55">
        <f>VLOOKUP(E1842,'NI-Soc_SP'!$C:$AN,13,FALSE)</f>
        <v>0</v>
      </c>
      <c r="S1842" s="55">
        <f>VLOOKUP(E1842,'NI-Soc_SP'!$C:$AN,31,FALSE)</f>
        <v>0</v>
      </c>
      <c r="T1842" s="55">
        <f>VLOOKUP(E1842,'NI-Soc_SP'!$C:$AN,32,FALSE)+VLOOKUP(E1842,'NI-Soc_SP'!$C:$AN,33,FALSE)</f>
        <v>0</v>
      </c>
      <c r="U1842" s="55">
        <f>VLOOKUP($E1842,'NI-Soc_SP'!$C:$AN,MID(U$1,1,2),FALSE)</f>
        <v>0</v>
      </c>
      <c r="V1842" s="55">
        <f>VLOOKUP($E1842,'NI-Soc_SP'!$C:$AN,MID(V$1,1,2),FALSE)</f>
        <v>0</v>
      </c>
      <c r="W1842" s="55">
        <f>VLOOKUP($E1842,'NI-Soc_SP'!$C:$AN,MID(W$1,1,2),FALSE)</f>
        <v>0</v>
      </c>
      <c r="X1842" s="55">
        <f>VLOOKUP($E1842,'NI-Soc_SP'!$C:$AN,MID(X$1,1,2),FALSE)</f>
        <v>0</v>
      </c>
      <c r="Y1842" s="55">
        <f>VLOOKUP($E1842,'NI-Soc_SP'!$C:$AN,MID(Y$1,1,2),FALSE)</f>
        <v>0</v>
      </c>
      <c r="Z1842" s="55">
        <f>VLOOKUP($E1842,'NI-Soc_SP'!$C:$AN,MID(Z$1,1,2),FALSE)</f>
        <v>0</v>
      </c>
      <c r="AA1842" s="55">
        <f>VLOOKUP($E1842,'NI-Soc_SP'!$C:$AN,MID(AA$1,1,2),FALSE)</f>
        <v>0</v>
      </c>
      <c r="AB1842" s="55">
        <f>VLOOKUP($E1842,'NI-Soc_SP'!$C:$AN,MID(AB$1,1,2),FALSE)</f>
        <v>0</v>
      </c>
      <c r="AC1842" s="55">
        <f>VLOOKUP($E1842,'NI-Soc_SP'!$C:$AN,MID(AC$1,1,2),FALSE)</f>
        <v>0</v>
      </c>
      <c r="AD1842" s="55">
        <f>VLOOKUP($E1842,'NI-Soc_SP'!$C:$AN,MID(AD$1,1,2),FALSE)</f>
        <v>0</v>
      </c>
      <c r="AE1842" s="55">
        <f>VLOOKUP($E1842,'NI-Soc_SP'!$C:$AN,MID(AE$1,1,2),FALSE)</f>
        <v>0</v>
      </c>
      <c r="AF1842" s="55">
        <f>VLOOKUP($E1842,'NI-Soc_SP'!$C:$AN,MID(AF$1,1,2),FALSE)</f>
        <v>0</v>
      </c>
      <c r="AG1842" s="55">
        <f>VLOOKUP($E1842,'NI-Soc_SP'!$C:$AN,MID(AG$1,1,2),FALSE)</f>
        <v>0</v>
      </c>
      <c r="AH1842" s="55">
        <f>VLOOKUP($E1842,'NI-Soc_SP'!$C:$AN,MID(AH$1,1,2),FALSE)</f>
        <v>0</v>
      </c>
      <c r="AI1842" s="55">
        <f>VLOOKUP($E1842,'NI-Soc_SP'!$C:$AN,MID(AI$1,1,2),FALSE)</f>
        <v>0</v>
      </c>
      <c r="AJ1842" s="55">
        <f>VLOOKUP($E1842,'NI-Soc_SP'!$C:$AN,MID(AJ$1,1,2),FALSE)</f>
        <v>0</v>
      </c>
      <c r="AK1842" s="55">
        <f>VLOOKUP($E1842,'NI-Soc_SP'!$C:$AN,MID(AK$1,1,2),FALSE)</f>
        <v>0</v>
      </c>
      <c r="AL1842" s="55">
        <f>VLOOKUP($E1842,'NI-Soc_SP'!$C:$AN,MID(AL$1,1,2),FALSE)</f>
        <v>0</v>
      </c>
      <c r="AM1842" s="56">
        <f>VLOOKUP($E1842,'NI-Soc_SP'!$C:$AN,MID(AM$1,1,2),FALSE)</f>
        <v>0</v>
      </c>
      <c r="AN1842" s="30" t="str">
        <f t="shared" si="28"/>
        <v>20202010010030</v>
      </c>
    </row>
    <row r="1843" spans="1:40" x14ac:dyDescent="0.25">
      <c r="C1843" s="40"/>
      <c r="D1843" s="121" t="s">
        <v>1463</v>
      </c>
      <c r="E1843" s="121" t="s">
        <v>1464</v>
      </c>
      <c r="F1843" s="122" t="s">
        <v>2758</v>
      </c>
      <c r="G1843" s="52"/>
      <c r="H1843" s="52"/>
      <c r="I1843" s="52"/>
      <c r="J1843" s="52"/>
      <c r="K1843" s="59" t="s">
        <v>79</v>
      </c>
      <c r="L1843" s="62" t="s">
        <v>1455</v>
      </c>
      <c r="M1843" s="52"/>
      <c r="N1843" s="52"/>
      <c r="O1843" s="61" t="s">
        <v>1444</v>
      </c>
      <c r="P1843" s="103" t="s">
        <v>1465</v>
      </c>
      <c r="Q1843" s="55">
        <f>VLOOKUP(E1843,'NI-Soc_SP'!$C:$AN,12,FALSE)</f>
        <v>0</v>
      </c>
      <c r="R1843" s="55">
        <f>VLOOKUP(E1843,'NI-Soc_SP'!$C:$AN,13,FALSE)</f>
        <v>0</v>
      </c>
      <c r="S1843" s="55">
        <f>VLOOKUP(E1843,'NI-Soc_SP'!$C:$AN,31,FALSE)</f>
        <v>0</v>
      </c>
      <c r="T1843" s="55">
        <f>VLOOKUP(E1843,'NI-Soc_SP'!$C:$AN,32,FALSE)+VLOOKUP(E1843,'NI-Soc_SP'!$C:$AN,33,FALSE)</f>
        <v>0</v>
      </c>
      <c r="U1843" s="55">
        <f>VLOOKUP($E1843,'NI-Soc_SP'!$C:$AN,MID(U$1,1,2),FALSE)</f>
        <v>0</v>
      </c>
      <c r="V1843" s="55">
        <f>VLOOKUP($E1843,'NI-Soc_SP'!$C:$AN,MID(V$1,1,2),FALSE)</f>
        <v>0</v>
      </c>
      <c r="W1843" s="55">
        <f>VLOOKUP($E1843,'NI-Soc_SP'!$C:$AN,MID(W$1,1,2),FALSE)</f>
        <v>0</v>
      </c>
      <c r="X1843" s="55">
        <f>VLOOKUP($E1843,'NI-Soc_SP'!$C:$AN,MID(X$1,1,2),FALSE)</f>
        <v>0</v>
      </c>
      <c r="Y1843" s="55">
        <f>VLOOKUP($E1843,'NI-Soc_SP'!$C:$AN,MID(Y$1,1,2),FALSE)</f>
        <v>0</v>
      </c>
      <c r="Z1843" s="55">
        <f>VLOOKUP($E1843,'NI-Soc_SP'!$C:$AN,MID(Z$1,1,2),FALSE)</f>
        <v>0</v>
      </c>
      <c r="AA1843" s="55">
        <f>VLOOKUP($E1843,'NI-Soc_SP'!$C:$AN,MID(AA$1,1,2),FALSE)</f>
        <v>0</v>
      </c>
      <c r="AB1843" s="55">
        <f>VLOOKUP($E1843,'NI-Soc_SP'!$C:$AN,MID(AB$1,1,2),FALSE)</f>
        <v>0</v>
      </c>
      <c r="AC1843" s="55">
        <f>VLOOKUP($E1843,'NI-Soc_SP'!$C:$AN,MID(AC$1,1,2),FALSE)</f>
        <v>0</v>
      </c>
      <c r="AD1843" s="55">
        <f>VLOOKUP($E1843,'NI-Soc_SP'!$C:$AN,MID(AD$1,1,2),FALSE)</f>
        <v>0</v>
      </c>
      <c r="AE1843" s="55">
        <f>VLOOKUP($E1843,'NI-Soc_SP'!$C:$AN,MID(AE$1,1,2),FALSE)</f>
        <v>0</v>
      </c>
      <c r="AF1843" s="55">
        <f>VLOOKUP($E1843,'NI-Soc_SP'!$C:$AN,MID(AF$1,1,2),FALSE)</f>
        <v>0</v>
      </c>
      <c r="AG1843" s="55">
        <f>VLOOKUP($E1843,'NI-Soc_SP'!$C:$AN,MID(AG$1,1,2),FALSE)</f>
        <v>0</v>
      </c>
      <c r="AH1843" s="55">
        <f>VLOOKUP($E1843,'NI-Soc_SP'!$C:$AN,MID(AH$1,1,2),FALSE)</f>
        <v>0</v>
      </c>
      <c r="AI1843" s="55">
        <f>VLOOKUP($E1843,'NI-Soc_SP'!$C:$AN,MID(AI$1,1,2),FALSE)</f>
        <v>0</v>
      </c>
      <c r="AJ1843" s="55">
        <f>VLOOKUP($E1843,'NI-Soc_SP'!$C:$AN,MID(AJ$1,1,2),FALSE)</f>
        <v>0</v>
      </c>
      <c r="AK1843" s="55">
        <f>VLOOKUP($E1843,'NI-Soc_SP'!$C:$AN,MID(AK$1,1,2),FALSE)</f>
        <v>0</v>
      </c>
      <c r="AL1843" s="55">
        <f>VLOOKUP($E1843,'NI-Soc_SP'!$C:$AN,MID(AL$1,1,2),FALSE)</f>
        <v>0</v>
      </c>
      <c r="AM1843" s="56">
        <f>VLOOKUP($E1843,'NI-Soc_SP'!$C:$AN,MID(AM$1,1,2),FALSE)</f>
        <v>0</v>
      </c>
      <c r="AN1843" s="30" t="str">
        <f t="shared" si="28"/>
        <v>20202010010040</v>
      </c>
    </row>
    <row r="1844" spans="1:40" x14ac:dyDescent="0.25">
      <c r="C1844" s="40"/>
      <c r="D1844" s="121" t="s">
        <v>1466</v>
      </c>
      <c r="E1844" s="121" t="s">
        <v>1467</v>
      </c>
      <c r="F1844" s="122" t="s">
        <v>2758</v>
      </c>
      <c r="G1844" s="52"/>
      <c r="H1844" s="52"/>
      <c r="I1844" s="52"/>
      <c r="J1844" s="52"/>
      <c r="K1844" s="59" t="s">
        <v>79</v>
      </c>
      <c r="L1844" s="62" t="s">
        <v>1455</v>
      </c>
      <c r="M1844" s="52"/>
      <c r="N1844" s="52"/>
      <c r="O1844" s="61" t="s">
        <v>1444</v>
      </c>
      <c r="P1844" s="76" t="s">
        <v>1468</v>
      </c>
      <c r="Q1844" s="55">
        <f>VLOOKUP(E1844,'NI-Soc_SP'!$C:$AN,12,FALSE)</f>
        <v>0</v>
      </c>
      <c r="R1844" s="55">
        <f>VLOOKUP(E1844,'NI-Soc_SP'!$C:$AN,13,FALSE)</f>
        <v>0</v>
      </c>
      <c r="S1844" s="55">
        <f>VLOOKUP(E1844,'NI-Soc_SP'!$C:$AN,31,FALSE)</f>
        <v>0</v>
      </c>
      <c r="T1844" s="55">
        <f>VLOOKUP(E1844,'NI-Soc_SP'!$C:$AN,32,FALSE)+VLOOKUP(E1844,'NI-Soc_SP'!$C:$AN,33,FALSE)</f>
        <v>0</v>
      </c>
      <c r="U1844" s="55">
        <f>VLOOKUP($E1844,'NI-Soc_SP'!$C:$AN,MID(U$1,1,2),FALSE)</f>
        <v>0</v>
      </c>
      <c r="V1844" s="55">
        <f>VLOOKUP($E1844,'NI-Soc_SP'!$C:$AN,MID(V$1,1,2),FALSE)</f>
        <v>0</v>
      </c>
      <c r="W1844" s="55">
        <f>VLOOKUP($E1844,'NI-Soc_SP'!$C:$AN,MID(W$1,1,2),FALSE)</f>
        <v>0</v>
      </c>
      <c r="X1844" s="55">
        <f>VLOOKUP($E1844,'NI-Soc_SP'!$C:$AN,MID(X$1,1,2),FALSE)</f>
        <v>0</v>
      </c>
      <c r="Y1844" s="55">
        <f>VLOOKUP($E1844,'NI-Soc_SP'!$C:$AN,MID(Y$1,1,2),FALSE)</f>
        <v>0</v>
      </c>
      <c r="Z1844" s="55">
        <f>VLOOKUP($E1844,'NI-Soc_SP'!$C:$AN,MID(Z$1,1,2),FALSE)</f>
        <v>0</v>
      </c>
      <c r="AA1844" s="55">
        <f>VLOOKUP($E1844,'NI-Soc_SP'!$C:$AN,MID(AA$1,1,2),FALSE)</f>
        <v>0</v>
      </c>
      <c r="AB1844" s="55">
        <f>VLOOKUP($E1844,'NI-Soc_SP'!$C:$AN,MID(AB$1,1,2),FALSE)</f>
        <v>0</v>
      </c>
      <c r="AC1844" s="55">
        <f>VLOOKUP($E1844,'NI-Soc_SP'!$C:$AN,MID(AC$1,1,2),FALSE)</f>
        <v>0</v>
      </c>
      <c r="AD1844" s="55">
        <f>VLOOKUP($E1844,'NI-Soc_SP'!$C:$AN,MID(AD$1,1,2),FALSE)</f>
        <v>0</v>
      </c>
      <c r="AE1844" s="55">
        <f>VLOOKUP($E1844,'NI-Soc_SP'!$C:$AN,MID(AE$1,1,2),FALSE)</f>
        <v>0</v>
      </c>
      <c r="AF1844" s="55">
        <f>VLOOKUP($E1844,'NI-Soc_SP'!$C:$AN,MID(AF$1,1,2),FALSE)</f>
        <v>0</v>
      </c>
      <c r="AG1844" s="55">
        <f>VLOOKUP($E1844,'NI-Soc_SP'!$C:$AN,MID(AG$1,1,2),FALSE)</f>
        <v>0</v>
      </c>
      <c r="AH1844" s="55">
        <f>VLOOKUP($E1844,'NI-Soc_SP'!$C:$AN,MID(AH$1,1,2),FALSE)</f>
        <v>0</v>
      </c>
      <c r="AI1844" s="55">
        <f>VLOOKUP($E1844,'NI-Soc_SP'!$C:$AN,MID(AI$1,1,2),FALSE)</f>
        <v>0</v>
      </c>
      <c r="AJ1844" s="55">
        <f>VLOOKUP($E1844,'NI-Soc_SP'!$C:$AN,MID(AJ$1,1,2),FALSE)</f>
        <v>0</v>
      </c>
      <c r="AK1844" s="55">
        <f>VLOOKUP($E1844,'NI-Soc_SP'!$C:$AN,MID(AK$1,1,2),FALSE)</f>
        <v>0</v>
      </c>
      <c r="AL1844" s="55">
        <f>VLOOKUP($E1844,'NI-Soc_SP'!$C:$AN,MID(AL$1,1,2),FALSE)</f>
        <v>0</v>
      </c>
      <c r="AM1844" s="56">
        <f>VLOOKUP($E1844,'NI-Soc_SP'!$C:$AN,MID(AM$1,1,2),FALSE)</f>
        <v>0</v>
      </c>
      <c r="AN1844" s="30" t="str">
        <f t="shared" si="28"/>
        <v>20202010010050</v>
      </c>
    </row>
    <row r="1845" spans="1:40" x14ac:dyDescent="0.25">
      <c r="C1845" s="40"/>
      <c r="D1845" s="121" t="s">
        <v>1469</v>
      </c>
      <c r="E1845" s="121" t="s">
        <v>1470</v>
      </c>
      <c r="F1845" s="122" t="s">
        <v>2758</v>
      </c>
      <c r="G1845" s="52"/>
      <c r="H1845" s="52"/>
      <c r="I1845" s="52"/>
      <c r="J1845" s="52"/>
      <c r="K1845" s="59" t="s">
        <v>79</v>
      </c>
      <c r="L1845" s="62" t="s">
        <v>1471</v>
      </c>
      <c r="M1845" s="52"/>
      <c r="N1845" s="52"/>
      <c r="O1845" s="61" t="s">
        <v>1444</v>
      </c>
      <c r="P1845" s="76" t="s">
        <v>1472</v>
      </c>
      <c r="Q1845" s="55">
        <f>VLOOKUP(E1845,'NI-Soc_SP'!$C:$AN,12,FALSE)</f>
        <v>0</v>
      </c>
      <c r="R1845" s="55">
        <f>VLOOKUP(E1845,'NI-Soc_SP'!$C:$AN,13,FALSE)</f>
        <v>0</v>
      </c>
      <c r="S1845" s="55">
        <f>VLOOKUP(E1845,'NI-Soc_SP'!$C:$AN,31,FALSE)</f>
        <v>0</v>
      </c>
      <c r="T1845" s="55">
        <f>VLOOKUP(E1845,'NI-Soc_SP'!$C:$AN,32,FALSE)+VLOOKUP(E1845,'NI-Soc_SP'!$C:$AN,33,FALSE)</f>
        <v>0</v>
      </c>
      <c r="U1845" s="55">
        <f>VLOOKUP($E1845,'NI-Soc_SP'!$C:$AN,MID(U$1,1,2),FALSE)</f>
        <v>0</v>
      </c>
      <c r="V1845" s="55">
        <f>VLOOKUP($E1845,'NI-Soc_SP'!$C:$AN,MID(V$1,1,2),FALSE)</f>
        <v>0</v>
      </c>
      <c r="W1845" s="55">
        <f>VLOOKUP($E1845,'NI-Soc_SP'!$C:$AN,MID(W$1,1,2),FALSE)</f>
        <v>0</v>
      </c>
      <c r="X1845" s="55">
        <f>VLOOKUP($E1845,'NI-Soc_SP'!$C:$AN,MID(X$1,1,2),FALSE)</f>
        <v>0</v>
      </c>
      <c r="Y1845" s="55">
        <f>VLOOKUP($E1845,'NI-Soc_SP'!$C:$AN,MID(Y$1,1,2),FALSE)</f>
        <v>0</v>
      </c>
      <c r="Z1845" s="55">
        <f>VLOOKUP($E1845,'NI-Soc_SP'!$C:$AN,MID(Z$1,1,2),FALSE)</f>
        <v>0</v>
      </c>
      <c r="AA1845" s="55">
        <f>VLOOKUP($E1845,'NI-Soc_SP'!$C:$AN,MID(AA$1,1,2),FALSE)</f>
        <v>0</v>
      </c>
      <c r="AB1845" s="55">
        <f>VLOOKUP($E1845,'NI-Soc_SP'!$C:$AN,MID(AB$1,1,2),FALSE)</f>
        <v>0</v>
      </c>
      <c r="AC1845" s="55">
        <f>VLOOKUP($E1845,'NI-Soc_SP'!$C:$AN,MID(AC$1,1,2),FALSE)</f>
        <v>0</v>
      </c>
      <c r="AD1845" s="55">
        <f>VLOOKUP($E1845,'NI-Soc_SP'!$C:$AN,MID(AD$1,1,2),FALSE)</f>
        <v>0</v>
      </c>
      <c r="AE1845" s="55">
        <f>VLOOKUP($E1845,'NI-Soc_SP'!$C:$AN,MID(AE$1,1,2),FALSE)</f>
        <v>0</v>
      </c>
      <c r="AF1845" s="55">
        <f>VLOOKUP($E1845,'NI-Soc_SP'!$C:$AN,MID(AF$1,1,2),FALSE)</f>
        <v>0</v>
      </c>
      <c r="AG1845" s="55">
        <f>VLOOKUP($E1845,'NI-Soc_SP'!$C:$AN,MID(AG$1,1,2),FALSE)</f>
        <v>0</v>
      </c>
      <c r="AH1845" s="55">
        <f>VLOOKUP($E1845,'NI-Soc_SP'!$C:$AN,MID(AH$1,1,2),FALSE)</f>
        <v>0</v>
      </c>
      <c r="AI1845" s="55">
        <f>VLOOKUP($E1845,'NI-Soc_SP'!$C:$AN,MID(AI$1,1,2),FALSE)</f>
        <v>0</v>
      </c>
      <c r="AJ1845" s="55">
        <f>VLOOKUP($E1845,'NI-Soc_SP'!$C:$AN,MID(AJ$1,1,2),FALSE)</f>
        <v>0</v>
      </c>
      <c r="AK1845" s="55">
        <f>VLOOKUP($E1845,'NI-Soc_SP'!$C:$AN,MID(AK$1,1,2),FALSE)</f>
        <v>0</v>
      </c>
      <c r="AL1845" s="55">
        <f>VLOOKUP($E1845,'NI-Soc_SP'!$C:$AN,MID(AL$1,1,2),FALSE)</f>
        <v>0</v>
      </c>
      <c r="AM1845" s="56">
        <f>VLOOKUP($E1845,'NI-Soc_SP'!$C:$AN,MID(AM$1,1,2),FALSE)</f>
        <v>0</v>
      </c>
      <c r="AN1845" s="30" t="str">
        <f t="shared" si="28"/>
        <v>20202010010060</v>
      </c>
    </row>
    <row r="1846" spans="1:40" x14ac:dyDescent="0.25">
      <c r="C1846" s="40"/>
      <c r="D1846" s="121" t="s">
        <v>1476</v>
      </c>
      <c r="E1846" s="121" t="s">
        <v>1477</v>
      </c>
      <c r="F1846" s="122" t="s">
        <v>2758</v>
      </c>
      <c r="G1846" s="52" t="s">
        <v>2396</v>
      </c>
      <c r="H1846" s="52"/>
      <c r="I1846" s="52" t="s">
        <v>1479</v>
      </c>
      <c r="J1846" s="52"/>
      <c r="K1846" s="59" t="s">
        <v>79</v>
      </c>
      <c r="L1846" s="52" t="s">
        <v>1455</v>
      </c>
      <c r="M1846" s="52"/>
      <c r="N1846" s="52"/>
      <c r="O1846" s="61" t="s">
        <v>1444</v>
      </c>
      <c r="P1846" s="103" t="s">
        <v>1480</v>
      </c>
      <c r="Q1846" s="55">
        <f>VLOOKUP(E1846,'NI-Soc_SP'!$C:$AN,12,FALSE)</f>
        <v>0</v>
      </c>
      <c r="R1846" s="55">
        <f>VLOOKUP(E1846,'NI-Soc_SP'!$C:$AN,13,FALSE)</f>
        <v>0</v>
      </c>
      <c r="S1846" s="55">
        <f>VLOOKUP(E1846,'NI-Soc_SP'!$C:$AN,31,FALSE)</f>
        <v>0</v>
      </c>
      <c r="T1846" s="55">
        <f>VLOOKUP(E1846,'NI-Soc_SP'!$C:$AN,32,FALSE)+VLOOKUP(E1846,'NI-Soc_SP'!$C:$AN,33,FALSE)</f>
        <v>0</v>
      </c>
      <c r="U1846" s="55">
        <f>VLOOKUP($E1846,'NI-Soc_SP'!$C:$AN,MID(U$1,1,2),FALSE)</f>
        <v>0</v>
      </c>
      <c r="V1846" s="55">
        <f>VLOOKUP($E1846,'NI-Soc_SP'!$C:$AN,MID(V$1,1,2),FALSE)</f>
        <v>0</v>
      </c>
      <c r="W1846" s="55">
        <f>VLOOKUP($E1846,'NI-Soc_SP'!$C:$AN,MID(W$1,1,2),FALSE)</f>
        <v>0</v>
      </c>
      <c r="X1846" s="55">
        <f>VLOOKUP($E1846,'NI-Soc_SP'!$C:$AN,MID(X$1,1,2),FALSE)</f>
        <v>0</v>
      </c>
      <c r="Y1846" s="55">
        <f>VLOOKUP($E1846,'NI-Soc_SP'!$C:$AN,MID(Y$1,1,2),FALSE)</f>
        <v>0</v>
      </c>
      <c r="Z1846" s="55">
        <f>VLOOKUP($E1846,'NI-Soc_SP'!$C:$AN,MID(Z$1,1,2),FALSE)</f>
        <v>0</v>
      </c>
      <c r="AA1846" s="55">
        <f>VLOOKUP($E1846,'NI-Soc_SP'!$C:$AN,MID(AA$1,1,2),FALSE)</f>
        <v>0</v>
      </c>
      <c r="AB1846" s="55">
        <f>VLOOKUP($E1846,'NI-Soc_SP'!$C:$AN,MID(AB$1,1,2),FALSE)</f>
        <v>0</v>
      </c>
      <c r="AC1846" s="55">
        <f>VLOOKUP($E1846,'NI-Soc_SP'!$C:$AN,MID(AC$1,1,2),FALSE)</f>
        <v>0</v>
      </c>
      <c r="AD1846" s="55">
        <f>VLOOKUP($E1846,'NI-Soc_SP'!$C:$AN,MID(AD$1,1,2),FALSE)</f>
        <v>0</v>
      </c>
      <c r="AE1846" s="55">
        <f>VLOOKUP($E1846,'NI-Soc_SP'!$C:$AN,MID(AE$1,1,2),FALSE)</f>
        <v>0</v>
      </c>
      <c r="AF1846" s="55">
        <f>VLOOKUP($E1846,'NI-Soc_SP'!$C:$AN,MID(AF$1,1,2),FALSE)</f>
        <v>0</v>
      </c>
      <c r="AG1846" s="55">
        <f>VLOOKUP($E1846,'NI-Soc_SP'!$C:$AN,MID(AG$1,1,2),FALSE)</f>
        <v>0</v>
      </c>
      <c r="AH1846" s="55">
        <f>VLOOKUP($E1846,'NI-Soc_SP'!$C:$AN,MID(AH$1,1,2),FALSE)</f>
        <v>0</v>
      </c>
      <c r="AI1846" s="55">
        <f>VLOOKUP($E1846,'NI-Soc_SP'!$C:$AN,MID(AI$1,1,2),FALSE)</f>
        <v>0</v>
      </c>
      <c r="AJ1846" s="55">
        <f>VLOOKUP($E1846,'NI-Soc_SP'!$C:$AN,MID(AJ$1,1,2),FALSE)</f>
        <v>0</v>
      </c>
      <c r="AK1846" s="55">
        <f>VLOOKUP($E1846,'NI-Soc_SP'!$C:$AN,MID(AK$1,1,2),FALSE)</f>
        <v>0</v>
      </c>
      <c r="AL1846" s="55">
        <f>VLOOKUP($E1846,'NI-Soc_SP'!$C:$AN,MID(AL$1,1,2),FALSE)</f>
        <v>0</v>
      </c>
      <c r="AM1846" s="56">
        <f>VLOOKUP($E1846,'NI-Soc_SP'!$C:$AN,MID(AM$1,1,2),FALSE)</f>
        <v>0</v>
      </c>
      <c r="AN1846" s="30" t="str">
        <f t="shared" si="28"/>
        <v>20202010020000</v>
      </c>
    </row>
    <row r="1847" spans="1:40" x14ac:dyDescent="0.25">
      <c r="C1847" s="40"/>
      <c r="D1847" s="121" t="s">
        <v>1481</v>
      </c>
      <c r="E1847" s="121" t="s">
        <v>1482</v>
      </c>
      <c r="F1847" s="122" t="s">
        <v>2758</v>
      </c>
      <c r="G1847" s="52"/>
      <c r="H1847" s="52"/>
      <c r="I1847" s="52" t="s">
        <v>1483</v>
      </c>
      <c r="J1847" s="52"/>
      <c r="K1847" s="59" t="s">
        <v>111</v>
      </c>
      <c r="L1847" s="52" t="s">
        <v>1455</v>
      </c>
      <c r="M1847" s="52"/>
      <c r="N1847" s="52"/>
      <c r="O1847" s="52"/>
      <c r="P1847" s="103" t="s">
        <v>1484</v>
      </c>
      <c r="Q1847" s="55">
        <f>VLOOKUP(E1847,'NI-Soc_SP'!$C:$AN,12,FALSE)</f>
        <v>0</v>
      </c>
      <c r="R1847" s="55">
        <f>VLOOKUP(E1847,'NI-Soc_SP'!$C:$AN,13,FALSE)</f>
        <v>0</v>
      </c>
      <c r="S1847" s="55">
        <f>VLOOKUP(E1847,'NI-Soc_SP'!$C:$AN,31,FALSE)</f>
        <v>0</v>
      </c>
      <c r="T1847" s="55">
        <f>VLOOKUP(E1847,'NI-Soc_SP'!$C:$AN,32,FALSE)+VLOOKUP(E1847,'NI-Soc_SP'!$C:$AN,33,FALSE)</f>
        <v>0</v>
      </c>
      <c r="U1847" s="55">
        <f>VLOOKUP($E1847,'NI-Soc_SP'!$C:$AN,MID(U$1,1,2),FALSE)</f>
        <v>0</v>
      </c>
      <c r="V1847" s="55">
        <f>VLOOKUP($E1847,'NI-Soc_SP'!$C:$AN,MID(V$1,1,2),FALSE)</f>
        <v>0</v>
      </c>
      <c r="W1847" s="55">
        <f>VLOOKUP($E1847,'NI-Soc_SP'!$C:$AN,MID(W$1,1,2),FALSE)</f>
        <v>0</v>
      </c>
      <c r="X1847" s="55">
        <f>VLOOKUP($E1847,'NI-Soc_SP'!$C:$AN,MID(X$1,1,2),FALSE)</f>
        <v>0</v>
      </c>
      <c r="Y1847" s="55">
        <f>VLOOKUP($E1847,'NI-Soc_SP'!$C:$AN,MID(Y$1,1,2),FALSE)</f>
        <v>0</v>
      </c>
      <c r="Z1847" s="55">
        <f>VLOOKUP($E1847,'NI-Soc_SP'!$C:$AN,MID(Z$1,1,2),FALSE)</f>
        <v>0</v>
      </c>
      <c r="AA1847" s="55">
        <f>VLOOKUP($E1847,'NI-Soc_SP'!$C:$AN,MID(AA$1,1,2),FALSE)</f>
        <v>0</v>
      </c>
      <c r="AB1847" s="55">
        <f>VLOOKUP($E1847,'NI-Soc_SP'!$C:$AN,MID(AB$1,1,2),FALSE)</f>
        <v>0</v>
      </c>
      <c r="AC1847" s="55">
        <f>VLOOKUP($E1847,'NI-Soc_SP'!$C:$AN,MID(AC$1,1,2),FALSE)</f>
        <v>0</v>
      </c>
      <c r="AD1847" s="55">
        <f>VLOOKUP($E1847,'NI-Soc_SP'!$C:$AN,MID(AD$1,1,2),FALSE)</f>
        <v>0</v>
      </c>
      <c r="AE1847" s="55">
        <f>VLOOKUP($E1847,'NI-Soc_SP'!$C:$AN,MID(AE$1,1,2),FALSE)</f>
        <v>0</v>
      </c>
      <c r="AF1847" s="55">
        <f>VLOOKUP($E1847,'NI-Soc_SP'!$C:$AN,MID(AF$1,1,2),FALSE)</f>
        <v>0</v>
      </c>
      <c r="AG1847" s="55">
        <f>VLOOKUP($E1847,'NI-Soc_SP'!$C:$AN,MID(AG$1,1,2),FALSE)</f>
        <v>0</v>
      </c>
      <c r="AH1847" s="55">
        <f>VLOOKUP($E1847,'NI-Soc_SP'!$C:$AN,MID(AH$1,1,2),FALSE)</f>
        <v>0</v>
      </c>
      <c r="AI1847" s="55">
        <f>VLOOKUP($E1847,'NI-Soc_SP'!$C:$AN,MID(AI$1,1,2),FALSE)</f>
        <v>0</v>
      </c>
      <c r="AJ1847" s="55">
        <f>VLOOKUP($E1847,'NI-Soc_SP'!$C:$AN,MID(AJ$1,1,2),FALSE)</f>
        <v>0</v>
      </c>
      <c r="AK1847" s="55">
        <f>VLOOKUP($E1847,'NI-Soc_SP'!$C:$AN,MID(AK$1,1,2),FALSE)</f>
        <v>0</v>
      </c>
      <c r="AL1847" s="55">
        <f>VLOOKUP($E1847,'NI-Soc_SP'!$C:$AN,MID(AL$1,1,2),FALSE)</f>
        <v>0</v>
      </c>
      <c r="AM1847" s="56">
        <f>VLOOKUP($E1847,'NI-Soc_SP'!$C:$AN,MID(AM$1,1,2),FALSE)</f>
        <v>0</v>
      </c>
      <c r="AN1847" s="30" t="str">
        <f t="shared" si="28"/>
        <v>20202010030000</v>
      </c>
    </row>
    <row r="1848" spans="1:40" ht="27" x14ac:dyDescent="0.25">
      <c r="C1848" s="40"/>
      <c r="D1848" s="121" t="s">
        <v>1485</v>
      </c>
      <c r="E1848" s="121" t="s">
        <v>1486</v>
      </c>
      <c r="F1848" s="122" t="s">
        <v>2758</v>
      </c>
      <c r="G1848" s="52" t="s">
        <v>2396</v>
      </c>
      <c r="H1848" s="52"/>
      <c r="I1848" s="52"/>
      <c r="J1848" s="52"/>
      <c r="K1848" s="59" t="s">
        <v>79</v>
      </c>
      <c r="L1848" s="52"/>
      <c r="M1848" s="52"/>
      <c r="N1848" s="52"/>
      <c r="O1848" s="61" t="s">
        <v>1444</v>
      </c>
      <c r="P1848" s="103" t="s">
        <v>1487</v>
      </c>
      <c r="Q1848" s="55">
        <f>VLOOKUP(E1848,'NI-Soc_SP'!$C:$AN,12,FALSE)</f>
        <v>0</v>
      </c>
      <c r="R1848" s="55">
        <f>VLOOKUP(E1848,'NI-Soc_SP'!$C:$AN,13,FALSE)</f>
        <v>0</v>
      </c>
      <c r="S1848" s="55">
        <f>VLOOKUP(E1848,'NI-Soc_SP'!$C:$AN,31,FALSE)</f>
        <v>0</v>
      </c>
      <c r="T1848" s="55">
        <f>VLOOKUP(E1848,'NI-Soc_SP'!$C:$AN,32,FALSE)+VLOOKUP(E1848,'NI-Soc_SP'!$C:$AN,33,FALSE)</f>
        <v>0</v>
      </c>
      <c r="U1848" s="55">
        <f>VLOOKUP($E1848,'NI-Soc_SP'!$C:$AN,MID(U$1,1,2),FALSE)</f>
        <v>0</v>
      </c>
      <c r="V1848" s="55">
        <f>VLOOKUP($E1848,'NI-Soc_SP'!$C:$AN,MID(V$1,1,2),FALSE)</f>
        <v>0</v>
      </c>
      <c r="W1848" s="55">
        <f>VLOOKUP($E1848,'NI-Soc_SP'!$C:$AN,MID(W$1,1,2),FALSE)</f>
        <v>0</v>
      </c>
      <c r="X1848" s="55">
        <f>VLOOKUP($E1848,'NI-Soc_SP'!$C:$AN,MID(X$1,1,2),FALSE)</f>
        <v>0</v>
      </c>
      <c r="Y1848" s="55">
        <f>VLOOKUP($E1848,'NI-Soc_SP'!$C:$AN,MID(Y$1,1,2),FALSE)</f>
        <v>0</v>
      </c>
      <c r="Z1848" s="55">
        <f>VLOOKUP($E1848,'NI-Soc_SP'!$C:$AN,MID(Z$1,1,2),FALSE)</f>
        <v>0</v>
      </c>
      <c r="AA1848" s="55">
        <f>VLOOKUP($E1848,'NI-Soc_SP'!$C:$AN,MID(AA$1,1,2),FALSE)</f>
        <v>0</v>
      </c>
      <c r="AB1848" s="55">
        <f>VLOOKUP($E1848,'NI-Soc_SP'!$C:$AN,MID(AB$1,1,2),FALSE)</f>
        <v>0</v>
      </c>
      <c r="AC1848" s="55">
        <f>VLOOKUP($E1848,'NI-Soc_SP'!$C:$AN,MID(AC$1,1,2),FALSE)</f>
        <v>0</v>
      </c>
      <c r="AD1848" s="55">
        <f>VLOOKUP($E1848,'NI-Soc_SP'!$C:$AN,MID(AD$1,1,2),FALSE)</f>
        <v>0</v>
      </c>
      <c r="AE1848" s="55">
        <f>VLOOKUP($E1848,'NI-Soc_SP'!$C:$AN,MID(AE$1,1,2),FALSE)</f>
        <v>0</v>
      </c>
      <c r="AF1848" s="55">
        <f>VLOOKUP($E1848,'NI-Soc_SP'!$C:$AN,MID(AF$1,1,2),FALSE)</f>
        <v>0</v>
      </c>
      <c r="AG1848" s="55">
        <f>VLOOKUP($E1848,'NI-Soc_SP'!$C:$AN,MID(AG$1,1,2),FALSE)</f>
        <v>0</v>
      </c>
      <c r="AH1848" s="55">
        <f>VLOOKUP($E1848,'NI-Soc_SP'!$C:$AN,MID(AH$1,1,2),FALSE)</f>
        <v>0</v>
      </c>
      <c r="AI1848" s="55">
        <f>VLOOKUP($E1848,'NI-Soc_SP'!$C:$AN,MID(AI$1,1,2),FALSE)</f>
        <v>0</v>
      </c>
      <c r="AJ1848" s="55">
        <f>VLOOKUP($E1848,'NI-Soc_SP'!$C:$AN,MID(AJ$1,1,2),FALSE)</f>
        <v>0</v>
      </c>
      <c r="AK1848" s="55">
        <f>VLOOKUP($E1848,'NI-Soc_SP'!$C:$AN,MID(AK$1,1,2),FALSE)</f>
        <v>0</v>
      </c>
      <c r="AL1848" s="55">
        <f>VLOOKUP($E1848,'NI-Soc_SP'!$C:$AN,MID(AL$1,1,2),FALSE)</f>
        <v>0</v>
      </c>
      <c r="AM1848" s="56">
        <f>VLOOKUP($E1848,'NI-Soc_SP'!$C:$AN,MID(AM$1,1,2),FALSE)</f>
        <v>0</v>
      </c>
      <c r="AN1848" s="30" t="str">
        <f t="shared" si="28"/>
        <v>20202010030010</v>
      </c>
    </row>
    <row r="1849" spans="1:40" ht="27" x14ac:dyDescent="0.25">
      <c r="C1849" s="40"/>
      <c r="D1849" s="121" t="s">
        <v>1488</v>
      </c>
      <c r="E1849" s="121" t="s">
        <v>1489</v>
      </c>
      <c r="F1849" s="122" t="s">
        <v>2758</v>
      </c>
      <c r="G1849" s="52" t="s">
        <v>2396</v>
      </c>
      <c r="H1849" s="52"/>
      <c r="I1849" s="52"/>
      <c r="J1849" s="52"/>
      <c r="K1849" s="59" t="s">
        <v>79</v>
      </c>
      <c r="L1849" s="62"/>
      <c r="M1849" s="52"/>
      <c r="N1849" s="52"/>
      <c r="O1849" s="61" t="s">
        <v>1444</v>
      </c>
      <c r="P1849" s="76" t="s">
        <v>1490</v>
      </c>
      <c r="Q1849" s="55">
        <f>VLOOKUP(E1849,'NI-Soc_SP'!$C:$AN,12,FALSE)</f>
        <v>0</v>
      </c>
      <c r="R1849" s="55">
        <f>VLOOKUP(E1849,'NI-Soc_SP'!$C:$AN,13,FALSE)</f>
        <v>0</v>
      </c>
      <c r="S1849" s="55">
        <f>VLOOKUP(E1849,'NI-Soc_SP'!$C:$AN,31,FALSE)</f>
        <v>0</v>
      </c>
      <c r="T1849" s="55">
        <f>VLOOKUP(E1849,'NI-Soc_SP'!$C:$AN,32,FALSE)+VLOOKUP(E1849,'NI-Soc_SP'!$C:$AN,33,FALSE)</f>
        <v>0</v>
      </c>
      <c r="U1849" s="55">
        <f>VLOOKUP($E1849,'NI-Soc_SP'!$C:$AN,MID(U$1,1,2),FALSE)</f>
        <v>0</v>
      </c>
      <c r="V1849" s="55">
        <f>VLOOKUP($E1849,'NI-Soc_SP'!$C:$AN,MID(V$1,1,2),FALSE)</f>
        <v>0</v>
      </c>
      <c r="W1849" s="55">
        <f>VLOOKUP($E1849,'NI-Soc_SP'!$C:$AN,MID(W$1,1,2),FALSE)</f>
        <v>0</v>
      </c>
      <c r="X1849" s="55">
        <f>VLOOKUP($E1849,'NI-Soc_SP'!$C:$AN,MID(X$1,1,2),FALSE)</f>
        <v>0</v>
      </c>
      <c r="Y1849" s="55">
        <f>VLOOKUP($E1849,'NI-Soc_SP'!$C:$AN,MID(Y$1,1,2),FALSE)</f>
        <v>0</v>
      </c>
      <c r="Z1849" s="55">
        <f>VLOOKUP($E1849,'NI-Soc_SP'!$C:$AN,MID(Z$1,1,2),FALSE)</f>
        <v>0</v>
      </c>
      <c r="AA1849" s="55">
        <f>VLOOKUP($E1849,'NI-Soc_SP'!$C:$AN,MID(AA$1,1,2),FALSE)</f>
        <v>0</v>
      </c>
      <c r="AB1849" s="55">
        <f>VLOOKUP($E1849,'NI-Soc_SP'!$C:$AN,MID(AB$1,1,2),FALSE)</f>
        <v>0</v>
      </c>
      <c r="AC1849" s="55">
        <f>VLOOKUP($E1849,'NI-Soc_SP'!$C:$AN,MID(AC$1,1,2),FALSE)</f>
        <v>0</v>
      </c>
      <c r="AD1849" s="55">
        <f>VLOOKUP($E1849,'NI-Soc_SP'!$C:$AN,MID(AD$1,1,2),FALSE)</f>
        <v>0</v>
      </c>
      <c r="AE1849" s="55">
        <f>VLOOKUP($E1849,'NI-Soc_SP'!$C:$AN,MID(AE$1,1,2),FALSE)</f>
        <v>0</v>
      </c>
      <c r="AF1849" s="55">
        <f>VLOOKUP($E1849,'NI-Soc_SP'!$C:$AN,MID(AF$1,1,2),FALSE)</f>
        <v>0</v>
      </c>
      <c r="AG1849" s="55">
        <f>VLOOKUP($E1849,'NI-Soc_SP'!$C:$AN,MID(AG$1,1,2),FALSE)</f>
        <v>0</v>
      </c>
      <c r="AH1849" s="55">
        <f>VLOOKUP($E1849,'NI-Soc_SP'!$C:$AN,MID(AH$1,1,2),FALSE)</f>
        <v>0</v>
      </c>
      <c r="AI1849" s="55">
        <f>VLOOKUP($E1849,'NI-Soc_SP'!$C:$AN,MID(AI$1,1,2),FALSE)</f>
        <v>0</v>
      </c>
      <c r="AJ1849" s="55">
        <f>VLOOKUP($E1849,'NI-Soc_SP'!$C:$AN,MID(AJ$1,1,2),FALSE)</f>
        <v>0</v>
      </c>
      <c r="AK1849" s="55">
        <f>VLOOKUP($E1849,'NI-Soc_SP'!$C:$AN,MID(AK$1,1,2),FALSE)</f>
        <v>0</v>
      </c>
      <c r="AL1849" s="55">
        <f>VLOOKUP($E1849,'NI-Soc_SP'!$C:$AN,MID(AL$1,1,2),FALSE)</f>
        <v>0</v>
      </c>
      <c r="AM1849" s="56">
        <f>VLOOKUP($E1849,'NI-Soc_SP'!$C:$AN,MID(AM$1,1,2),FALSE)</f>
        <v>0</v>
      </c>
      <c r="AN1849" s="30" t="str">
        <f t="shared" si="28"/>
        <v>20202010030020</v>
      </c>
    </row>
    <row r="1850" spans="1:40" x14ac:dyDescent="0.25">
      <c r="C1850" s="40"/>
      <c r="D1850" s="121" t="s">
        <v>1491</v>
      </c>
      <c r="E1850" s="121" t="s">
        <v>1492</v>
      </c>
      <c r="F1850" s="122" t="s">
        <v>2758</v>
      </c>
      <c r="G1850" s="52" t="s">
        <v>2396</v>
      </c>
      <c r="H1850" s="52"/>
      <c r="I1850" s="52"/>
      <c r="J1850" s="52"/>
      <c r="K1850" s="59" t="s">
        <v>79</v>
      </c>
      <c r="L1850" s="62"/>
      <c r="M1850" s="52"/>
      <c r="N1850" s="52"/>
      <c r="O1850" s="61" t="s">
        <v>1444</v>
      </c>
      <c r="P1850" s="76" t="s">
        <v>1493</v>
      </c>
      <c r="Q1850" s="55">
        <f>VLOOKUP(E1850,'NI-Soc_SP'!$C:$AN,12,FALSE)</f>
        <v>0</v>
      </c>
      <c r="R1850" s="55">
        <f>VLOOKUP(E1850,'NI-Soc_SP'!$C:$AN,13,FALSE)</f>
        <v>0</v>
      </c>
      <c r="S1850" s="55">
        <f>VLOOKUP(E1850,'NI-Soc_SP'!$C:$AN,31,FALSE)</f>
        <v>0</v>
      </c>
      <c r="T1850" s="55">
        <f>VLOOKUP(E1850,'NI-Soc_SP'!$C:$AN,32,FALSE)+VLOOKUP(E1850,'NI-Soc_SP'!$C:$AN,33,FALSE)</f>
        <v>0</v>
      </c>
      <c r="U1850" s="55">
        <f>VLOOKUP($E1850,'NI-Soc_SP'!$C:$AN,MID(U$1,1,2),FALSE)</f>
        <v>0</v>
      </c>
      <c r="V1850" s="55">
        <f>VLOOKUP($E1850,'NI-Soc_SP'!$C:$AN,MID(V$1,1,2),FALSE)</f>
        <v>0</v>
      </c>
      <c r="W1850" s="55">
        <f>VLOOKUP($E1850,'NI-Soc_SP'!$C:$AN,MID(W$1,1,2),FALSE)</f>
        <v>0</v>
      </c>
      <c r="X1850" s="55">
        <f>VLOOKUP($E1850,'NI-Soc_SP'!$C:$AN,MID(X$1,1,2),FALSE)</f>
        <v>0</v>
      </c>
      <c r="Y1850" s="55">
        <f>VLOOKUP($E1850,'NI-Soc_SP'!$C:$AN,MID(Y$1,1,2),FALSE)</f>
        <v>0</v>
      </c>
      <c r="Z1850" s="55">
        <f>VLOOKUP($E1850,'NI-Soc_SP'!$C:$AN,MID(Z$1,1,2),FALSE)</f>
        <v>0</v>
      </c>
      <c r="AA1850" s="55">
        <f>VLOOKUP($E1850,'NI-Soc_SP'!$C:$AN,MID(AA$1,1,2),FALSE)</f>
        <v>0</v>
      </c>
      <c r="AB1850" s="55">
        <f>VLOOKUP($E1850,'NI-Soc_SP'!$C:$AN,MID(AB$1,1,2),FALSE)</f>
        <v>0</v>
      </c>
      <c r="AC1850" s="55">
        <f>VLOOKUP($E1850,'NI-Soc_SP'!$C:$AN,MID(AC$1,1,2),FALSE)</f>
        <v>0</v>
      </c>
      <c r="AD1850" s="55">
        <f>VLOOKUP($E1850,'NI-Soc_SP'!$C:$AN,MID(AD$1,1,2),FALSE)</f>
        <v>0</v>
      </c>
      <c r="AE1850" s="55">
        <f>VLOOKUP($E1850,'NI-Soc_SP'!$C:$AN,MID(AE$1,1,2),FALSE)</f>
        <v>0</v>
      </c>
      <c r="AF1850" s="55">
        <f>VLOOKUP($E1850,'NI-Soc_SP'!$C:$AN,MID(AF$1,1,2),FALSE)</f>
        <v>0</v>
      </c>
      <c r="AG1850" s="55">
        <f>VLOOKUP($E1850,'NI-Soc_SP'!$C:$AN,MID(AG$1,1,2),FALSE)</f>
        <v>0</v>
      </c>
      <c r="AH1850" s="55">
        <f>VLOOKUP($E1850,'NI-Soc_SP'!$C:$AN,MID(AH$1,1,2),FALSE)</f>
        <v>0</v>
      </c>
      <c r="AI1850" s="55">
        <f>VLOOKUP($E1850,'NI-Soc_SP'!$C:$AN,MID(AI$1,1,2),FALSE)</f>
        <v>0</v>
      </c>
      <c r="AJ1850" s="55">
        <f>VLOOKUP($E1850,'NI-Soc_SP'!$C:$AN,MID(AJ$1,1,2),FALSE)</f>
        <v>0</v>
      </c>
      <c r="AK1850" s="55">
        <f>VLOOKUP($E1850,'NI-Soc_SP'!$C:$AN,MID(AK$1,1,2),FALSE)</f>
        <v>0</v>
      </c>
      <c r="AL1850" s="55">
        <f>VLOOKUP($E1850,'NI-Soc_SP'!$C:$AN,MID(AL$1,1,2),FALSE)</f>
        <v>0</v>
      </c>
      <c r="AM1850" s="56">
        <f>VLOOKUP($E1850,'NI-Soc_SP'!$C:$AN,MID(AM$1,1,2),FALSE)</f>
        <v>0</v>
      </c>
      <c r="AN1850" s="30" t="str">
        <f t="shared" si="28"/>
        <v>20202010030030</v>
      </c>
    </row>
    <row r="1851" spans="1:40" x14ac:dyDescent="0.25">
      <c r="C1851" s="40"/>
      <c r="D1851" s="121" t="s">
        <v>1494</v>
      </c>
      <c r="E1851" s="121" t="s">
        <v>1495</v>
      </c>
      <c r="F1851" s="122" t="s">
        <v>2758</v>
      </c>
      <c r="G1851" s="52"/>
      <c r="H1851" s="52"/>
      <c r="I1851" s="52" t="s">
        <v>1496</v>
      </c>
      <c r="J1851" s="52"/>
      <c r="K1851" s="59" t="s">
        <v>79</v>
      </c>
      <c r="L1851" s="62" t="s">
        <v>1455</v>
      </c>
      <c r="M1851" s="52"/>
      <c r="N1851" s="52"/>
      <c r="O1851" s="61" t="s">
        <v>1444</v>
      </c>
      <c r="P1851" s="76" t="s">
        <v>1497</v>
      </c>
      <c r="Q1851" s="55">
        <f>VLOOKUP(E1851,'NI-Soc_SP'!$C:$AN,12,FALSE)</f>
        <v>0</v>
      </c>
      <c r="R1851" s="55">
        <f>VLOOKUP(E1851,'NI-Soc_SP'!$C:$AN,13,FALSE)</f>
        <v>0</v>
      </c>
      <c r="S1851" s="55">
        <f>VLOOKUP(E1851,'NI-Soc_SP'!$C:$AN,31,FALSE)</f>
        <v>0</v>
      </c>
      <c r="T1851" s="55">
        <f>VLOOKUP(E1851,'NI-Soc_SP'!$C:$AN,32,FALSE)+VLOOKUP(E1851,'NI-Soc_SP'!$C:$AN,33,FALSE)</f>
        <v>0</v>
      </c>
      <c r="U1851" s="55">
        <f>VLOOKUP($E1851,'NI-Soc_SP'!$C:$AN,MID(U$1,1,2),FALSE)</f>
        <v>0</v>
      </c>
      <c r="V1851" s="55">
        <f>VLOOKUP($E1851,'NI-Soc_SP'!$C:$AN,MID(V$1,1,2),FALSE)</f>
        <v>0</v>
      </c>
      <c r="W1851" s="55">
        <f>VLOOKUP($E1851,'NI-Soc_SP'!$C:$AN,MID(W$1,1,2),FALSE)</f>
        <v>0</v>
      </c>
      <c r="X1851" s="55">
        <f>VLOOKUP($E1851,'NI-Soc_SP'!$C:$AN,MID(X$1,1,2),FALSE)</f>
        <v>0</v>
      </c>
      <c r="Y1851" s="55">
        <f>VLOOKUP($E1851,'NI-Soc_SP'!$C:$AN,MID(Y$1,1,2),FALSE)</f>
        <v>0</v>
      </c>
      <c r="Z1851" s="55">
        <f>VLOOKUP($E1851,'NI-Soc_SP'!$C:$AN,MID(Z$1,1,2),FALSE)</f>
        <v>0</v>
      </c>
      <c r="AA1851" s="55">
        <f>VLOOKUP($E1851,'NI-Soc_SP'!$C:$AN,MID(AA$1,1,2),FALSE)</f>
        <v>0</v>
      </c>
      <c r="AB1851" s="55">
        <f>VLOOKUP($E1851,'NI-Soc_SP'!$C:$AN,MID(AB$1,1,2),FALSE)</f>
        <v>0</v>
      </c>
      <c r="AC1851" s="55">
        <f>VLOOKUP($E1851,'NI-Soc_SP'!$C:$AN,MID(AC$1,1,2),FALSE)</f>
        <v>0</v>
      </c>
      <c r="AD1851" s="55">
        <f>VLOOKUP($E1851,'NI-Soc_SP'!$C:$AN,MID(AD$1,1,2),FALSE)</f>
        <v>0</v>
      </c>
      <c r="AE1851" s="55">
        <f>VLOOKUP($E1851,'NI-Soc_SP'!$C:$AN,MID(AE$1,1,2),FALSE)</f>
        <v>0</v>
      </c>
      <c r="AF1851" s="55">
        <f>VLOOKUP($E1851,'NI-Soc_SP'!$C:$AN,MID(AF$1,1,2),FALSE)</f>
        <v>0</v>
      </c>
      <c r="AG1851" s="55">
        <f>VLOOKUP($E1851,'NI-Soc_SP'!$C:$AN,MID(AG$1,1,2),FALSE)</f>
        <v>0</v>
      </c>
      <c r="AH1851" s="55">
        <f>VLOOKUP($E1851,'NI-Soc_SP'!$C:$AN,MID(AH$1,1,2),FALSE)</f>
        <v>0</v>
      </c>
      <c r="AI1851" s="55">
        <f>VLOOKUP($E1851,'NI-Soc_SP'!$C:$AN,MID(AI$1,1,2),FALSE)</f>
        <v>0</v>
      </c>
      <c r="AJ1851" s="55">
        <f>VLOOKUP($E1851,'NI-Soc_SP'!$C:$AN,MID(AJ$1,1,2),FALSE)</f>
        <v>0</v>
      </c>
      <c r="AK1851" s="55">
        <f>VLOOKUP($E1851,'NI-Soc_SP'!$C:$AN,MID(AK$1,1,2),FALSE)</f>
        <v>0</v>
      </c>
      <c r="AL1851" s="55">
        <f>VLOOKUP($E1851,'NI-Soc_SP'!$C:$AN,MID(AL$1,1,2),FALSE)</f>
        <v>0</v>
      </c>
      <c r="AM1851" s="56">
        <f>VLOOKUP($E1851,'NI-Soc_SP'!$C:$AN,MID(AM$1,1,2),FALSE)</f>
        <v>0</v>
      </c>
      <c r="AN1851" s="30" t="str">
        <f t="shared" si="28"/>
        <v>20202010040000</v>
      </c>
    </row>
    <row r="1852" spans="1:40" ht="27" x14ac:dyDescent="0.25">
      <c r="C1852" s="40"/>
      <c r="D1852" s="121" t="s">
        <v>1498</v>
      </c>
      <c r="E1852" s="121" t="s">
        <v>1499</v>
      </c>
      <c r="F1852" s="122" t="s">
        <v>2758</v>
      </c>
      <c r="G1852" s="52"/>
      <c r="H1852" s="52"/>
      <c r="I1852" s="52" t="s">
        <v>1500</v>
      </c>
      <c r="J1852" s="52"/>
      <c r="K1852" s="59" t="s">
        <v>79</v>
      </c>
      <c r="L1852" s="62" t="s">
        <v>1455</v>
      </c>
      <c r="M1852" s="52"/>
      <c r="N1852" s="52"/>
      <c r="O1852" s="61" t="s">
        <v>1501</v>
      </c>
      <c r="P1852" s="76" t="s">
        <v>1502</v>
      </c>
      <c r="Q1852" s="55">
        <f>VLOOKUP(E1852,'NI-Soc_SP'!$C:$AN,12,FALSE)</f>
        <v>0</v>
      </c>
      <c r="R1852" s="55">
        <f>VLOOKUP(E1852,'NI-Soc_SP'!$C:$AN,13,FALSE)</f>
        <v>0</v>
      </c>
      <c r="S1852" s="55">
        <f>VLOOKUP(E1852,'NI-Soc_SP'!$C:$AN,31,FALSE)</f>
        <v>0</v>
      </c>
      <c r="T1852" s="55">
        <f>VLOOKUP(E1852,'NI-Soc_SP'!$C:$AN,32,FALSE)+VLOOKUP(E1852,'NI-Soc_SP'!$C:$AN,33,FALSE)</f>
        <v>0</v>
      </c>
      <c r="U1852" s="55">
        <f>VLOOKUP($E1852,'NI-Soc_SP'!$C:$AN,MID(U$1,1,2),FALSE)</f>
        <v>0</v>
      </c>
      <c r="V1852" s="55">
        <f>VLOOKUP($E1852,'NI-Soc_SP'!$C:$AN,MID(V$1,1,2),FALSE)</f>
        <v>0</v>
      </c>
      <c r="W1852" s="55">
        <f>VLOOKUP($E1852,'NI-Soc_SP'!$C:$AN,MID(W$1,1,2),FALSE)</f>
        <v>0</v>
      </c>
      <c r="X1852" s="55">
        <f>VLOOKUP($E1852,'NI-Soc_SP'!$C:$AN,MID(X$1,1,2),FALSE)</f>
        <v>0</v>
      </c>
      <c r="Y1852" s="55">
        <f>VLOOKUP($E1852,'NI-Soc_SP'!$C:$AN,MID(Y$1,1,2),FALSE)</f>
        <v>0</v>
      </c>
      <c r="Z1852" s="55">
        <f>VLOOKUP($E1852,'NI-Soc_SP'!$C:$AN,MID(Z$1,1,2),FALSE)</f>
        <v>0</v>
      </c>
      <c r="AA1852" s="55">
        <f>VLOOKUP($E1852,'NI-Soc_SP'!$C:$AN,MID(AA$1,1,2),FALSE)</f>
        <v>0</v>
      </c>
      <c r="AB1852" s="55">
        <f>VLOOKUP($E1852,'NI-Soc_SP'!$C:$AN,MID(AB$1,1,2),FALSE)</f>
        <v>0</v>
      </c>
      <c r="AC1852" s="55">
        <f>VLOOKUP($E1852,'NI-Soc_SP'!$C:$AN,MID(AC$1,1,2),FALSE)</f>
        <v>0</v>
      </c>
      <c r="AD1852" s="55">
        <f>VLOOKUP($E1852,'NI-Soc_SP'!$C:$AN,MID(AD$1,1,2),FALSE)</f>
        <v>0</v>
      </c>
      <c r="AE1852" s="55">
        <f>VLOOKUP($E1852,'NI-Soc_SP'!$C:$AN,MID(AE$1,1,2),FALSE)</f>
        <v>0</v>
      </c>
      <c r="AF1852" s="55">
        <f>VLOOKUP($E1852,'NI-Soc_SP'!$C:$AN,MID(AF$1,1,2),FALSE)</f>
        <v>0</v>
      </c>
      <c r="AG1852" s="55">
        <f>VLOOKUP($E1852,'NI-Soc_SP'!$C:$AN,MID(AG$1,1,2),FALSE)</f>
        <v>0</v>
      </c>
      <c r="AH1852" s="55">
        <f>VLOOKUP($E1852,'NI-Soc_SP'!$C:$AN,MID(AH$1,1,2),FALSE)</f>
        <v>0</v>
      </c>
      <c r="AI1852" s="55">
        <f>VLOOKUP($E1852,'NI-Soc_SP'!$C:$AN,MID(AI$1,1,2),FALSE)</f>
        <v>0</v>
      </c>
      <c r="AJ1852" s="55">
        <f>VLOOKUP($E1852,'NI-Soc_SP'!$C:$AN,MID(AJ$1,1,2),FALSE)</f>
        <v>0</v>
      </c>
      <c r="AK1852" s="55">
        <f>VLOOKUP($E1852,'NI-Soc_SP'!$C:$AN,MID(AK$1,1,2),FALSE)</f>
        <v>0</v>
      </c>
      <c r="AL1852" s="55">
        <f>VLOOKUP($E1852,'NI-Soc_SP'!$C:$AN,MID(AL$1,1,2),FALSE)</f>
        <v>0</v>
      </c>
      <c r="AM1852" s="56">
        <f>VLOOKUP($E1852,'NI-Soc_SP'!$C:$AN,MID(AM$1,1,2),FALSE)</f>
        <v>0</v>
      </c>
      <c r="AN1852" s="30" t="str">
        <f t="shared" si="28"/>
        <v>20202010050000</v>
      </c>
    </row>
    <row r="1853" spans="1:40" ht="27" x14ac:dyDescent="0.25">
      <c r="C1853" s="40"/>
      <c r="D1853" s="121" t="s">
        <v>1503</v>
      </c>
      <c r="E1853" s="121" t="s">
        <v>1504</v>
      </c>
      <c r="F1853" s="122" t="s">
        <v>2758</v>
      </c>
      <c r="G1853" s="52"/>
      <c r="H1853" s="52"/>
      <c r="I1853" s="52" t="s">
        <v>1505</v>
      </c>
      <c r="J1853" s="52"/>
      <c r="K1853" s="59" t="s">
        <v>79</v>
      </c>
      <c r="L1853" s="62" t="s">
        <v>1455</v>
      </c>
      <c r="M1853" s="52"/>
      <c r="N1853" s="52"/>
      <c r="O1853" s="61" t="s">
        <v>1506</v>
      </c>
      <c r="P1853" s="76" t="s">
        <v>1507</v>
      </c>
      <c r="Q1853" s="55">
        <f>VLOOKUP(E1853,'NI-Soc_SP'!$C:$AN,12,FALSE)</f>
        <v>0</v>
      </c>
      <c r="R1853" s="55">
        <f>VLOOKUP(E1853,'NI-Soc_SP'!$C:$AN,13,FALSE)</f>
        <v>0</v>
      </c>
      <c r="S1853" s="55">
        <f>VLOOKUP(E1853,'NI-Soc_SP'!$C:$AN,31,FALSE)</f>
        <v>0</v>
      </c>
      <c r="T1853" s="55">
        <f>VLOOKUP(E1853,'NI-Soc_SP'!$C:$AN,32,FALSE)+VLOOKUP(E1853,'NI-Soc_SP'!$C:$AN,33,FALSE)</f>
        <v>0</v>
      </c>
      <c r="U1853" s="55">
        <f>VLOOKUP($E1853,'NI-Soc_SP'!$C:$AN,MID(U$1,1,2),FALSE)</f>
        <v>0</v>
      </c>
      <c r="V1853" s="55">
        <f>VLOOKUP($E1853,'NI-Soc_SP'!$C:$AN,MID(V$1,1,2),FALSE)</f>
        <v>0</v>
      </c>
      <c r="W1853" s="55">
        <f>VLOOKUP($E1853,'NI-Soc_SP'!$C:$AN,MID(W$1,1,2),FALSE)</f>
        <v>0</v>
      </c>
      <c r="X1853" s="55">
        <f>VLOOKUP($E1853,'NI-Soc_SP'!$C:$AN,MID(X$1,1,2),FALSE)</f>
        <v>0</v>
      </c>
      <c r="Y1853" s="55">
        <f>VLOOKUP($E1853,'NI-Soc_SP'!$C:$AN,MID(Y$1,1,2),FALSE)</f>
        <v>0</v>
      </c>
      <c r="Z1853" s="55">
        <f>VLOOKUP($E1853,'NI-Soc_SP'!$C:$AN,MID(Z$1,1,2),FALSE)</f>
        <v>0</v>
      </c>
      <c r="AA1853" s="55">
        <f>VLOOKUP($E1853,'NI-Soc_SP'!$C:$AN,MID(AA$1,1,2),FALSE)</f>
        <v>0</v>
      </c>
      <c r="AB1853" s="55">
        <f>VLOOKUP($E1853,'NI-Soc_SP'!$C:$AN,MID(AB$1,1,2),FALSE)</f>
        <v>0</v>
      </c>
      <c r="AC1853" s="55">
        <f>VLOOKUP($E1853,'NI-Soc_SP'!$C:$AN,MID(AC$1,1,2),FALSE)</f>
        <v>0</v>
      </c>
      <c r="AD1853" s="55">
        <f>VLOOKUP($E1853,'NI-Soc_SP'!$C:$AN,MID(AD$1,1,2),FALSE)</f>
        <v>0</v>
      </c>
      <c r="AE1853" s="55">
        <f>VLOOKUP($E1853,'NI-Soc_SP'!$C:$AN,MID(AE$1,1,2),FALSE)</f>
        <v>0</v>
      </c>
      <c r="AF1853" s="55">
        <f>VLOOKUP($E1853,'NI-Soc_SP'!$C:$AN,MID(AF$1,1,2),FALSE)</f>
        <v>0</v>
      </c>
      <c r="AG1853" s="55">
        <f>VLOOKUP($E1853,'NI-Soc_SP'!$C:$AN,MID(AG$1,1,2),FALSE)</f>
        <v>0</v>
      </c>
      <c r="AH1853" s="55">
        <f>VLOOKUP($E1853,'NI-Soc_SP'!$C:$AN,MID(AH$1,1,2),FALSE)</f>
        <v>0</v>
      </c>
      <c r="AI1853" s="55">
        <f>VLOOKUP($E1853,'NI-Soc_SP'!$C:$AN,MID(AI$1,1,2),FALSE)</f>
        <v>0</v>
      </c>
      <c r="AJ1853" s="55">
        <f>VLOOKUP($E1853,'NI-Soc_SP'!$C:$AN,MID(AJ$1,1,2),FALSE)</f>
        <v>0</v>
      </c>
      <c r="AK1853" s="55">
        <f>VLOOKUP($E1853,'NI-Soc_SP'!$C:$AN,MID(AK$1,1,2),FALSE)</f>
        <v>0</v>
      </c>
      <c r="AL1853" s="55">
        <f>VLOOKUP($E1853,'NI-Soc_SP'!$C:$AN,MID(AL$1,1,2),FALSE)</f>
        <v>0</v>
      </c>
      <c r="AM1853" s="56">
        <f>VLOOKUP($E1853,'NI-Soc_SP'!$C:$AN,MID(AM$1,1,2),FALSE)</f>
        <v>0</v>
      </c>
      <c r="AN1853" s="30" t="str">
        <f t="shared" si="28"/>
        <v>20202010060000</v>
      </c>
    </row>
    <row r="1854" spans="1:40" x14ac:dyDescent="0.25">
      <c r="C1854" s="40"/>
      <c r="D1854" s="121" t="s">
        <v>1508</v>
      </c>
      <c r="E1854" s="121" t="s">
        <v>1509</v>
      </c>
      <c r="F1854" s="122" t="s">
        <v>2758</v>
      </c>
      <c r="G1854" s="52"/>
      <c r="H1854" s="52"/>
      <c r="I1854" s="52" t="s">
        <v>1510</v>
      </c>
      <c r="J1854" s="52"/>
      <c r="K1854" s="59" t="s">
        <v>79</v>
      </c>
      <c r="L1854" s="52" t="s">
        <v>1455</v>
      </c>
      <c r="M1854" s="52"/>
      <c r="N1854" s="52"/>
      <c r="O1854" s="61" t="s">
        <v>1511</v>
      </c>
      <c r="P1854" s="63" t="s">
        <v>1512</v>
      </c>
      <c r="Q1854" s="55">
        <f>VLOOKUP(E1854,'NI-Soc_SP'!$C:$AN,12,FALSE)</f>
        <v>0</v>
      </c>
      <c r="R1854" s="55">
        <f>VLOOKUP(E1854,'NI-Soc_SP'!$C:$AN,13,FALSE)</f>
        <v>0</v>
      </c>
      <c r="S1854" s="55">
        <f>VLOOKUP(E1854,'NI-Soc_SP'!$C:$AN,31,FALSE)</f>
        <v>0</v>
      </c>
      <c r="T1854" s="55">
        <f>VLOOKUP(E1854,'NI-Soc_SP'!$C:$AN,32,FALSE)+VLOOKUP(E1854,'NI-Soc_SP'!$C:$AN,33,FALSE)</f>
        <v>0</v>
      </c>
      <c r="U1854" s="55">
        <f>VLOOKUP($E1854,'NI-Soc_SP'!$C:$AN,MID(U$1,1,2),FALSE)</f>
        <v>0</v>
      </c>
      <c r="V1854" s="55">
        <f>VLOOKUP($E1854,'NI-Soc_SP'!$C:$AN,MID(V$1,1,2),FALSE)</f>
        <v>0</v>
      </c>
      <c r="W1854" s="55">
        <f>VLOOKUP($E1854,'NI-Soc_SP'!$C:$AN,MID(W$1,1,2),FALSE)</f>
        <v>0</v>
      </c>
      <c r="X1854" s="55">
        <f>VLOOKUP($E1854,'NI-Soc_SP'!$C:$AN,MID(X$1,1,2),FALSE)</f>
        <v>0</v>
      </c>
      <c r="Y1854" s="55">
        <f>VLOOKUP($E1854,'NI-Soc_SP'!$C:$AN,MID(Y$1,1,2),FALSE)</f>
        <v>0</v>
      </c>
      <c r="Z1854" s="55">
        <f>VLOOKUP($E1854,'NI-Soc_SP'!$C:$AN,MID(Z$1,1,2),FALSE)</f>
        <v>0</v>
      </c>
      <c r="AA1854" s="55">
        <f>VLOOKUP($E1854,'NI-Soc_SP'!$C:$AN,MID(AA$1,1,2),FALSE)</f>
        <v>0</v>
      </c>
      <c r="AB1854" s="55">
        <f>VLOOKUP($E1854,'NI-Soc_SP'!$C:$AN,MID(AB$1,1,2),FALSE)</f>
        <v>0</v>
      </c>
      <c r="AC1854" s="55">
        <f>VLOOKUP($E1854,'NI-Soc_SP'!$C:$AN,MID(AC$1,1,2),FALSE)</f>
        <v>0</v>
      </c>
      <c r="AD1854" s="55">
        <f>VLOOKUP($E1854,'NI-Soc_SP'!$C:$AN,MID(AD$1,1,2),FALSE)</f>
        <v>0</v>
      </c>
      <c r="AE1854" s="55">
        <f>VLOOKUP($E1854,'NI-Soc_SP'!$C:$AN,MID(AE$1,1,2),FALSE)</f>
        <v>0</v>
      </c>
      <c r="AF1854" s="55">
        <f>VLOOKUP($E1854,'NI-Soc_SP'!$C:$AN,MID(AF$1,1,2),FALSE)</f>
        <v>0</v>
      </c>
      <c r="AG1854" s="55">
        <f>VLOOKUP($E1854,'NI-Soc_SP'!$C:$AN,MID(AG$1,1,2),FALSE)</f>
        <v>0</v>
      </c>
      <c r="AH1854" s="55">
        <f>VLOOKUP($E1854,'NI-Soc_SP'!$C:$AN,MID(AH$1,1,2),FALSE)</f>
        <v>0</v>
      </c>
      <c r="AI1854" s="55">
        <f>VLOOKUP($E1854,'NI-Soc_SP'!$C:$AN,MID(AI$1,1,2),FALSE)</f>
        <v>0</v>
      </c>
      <c r="AJ1854" s="55">
        <f>VLOOKUP($E1854,'NI-Soc_SP'!$C:$AN,MID(AJ$1,1,2),FALSE)</f>
        <v>0</v>
      </c>
      <c r="AK1854" s="55">
        <f>VLOOKUP($E1854,'NI-Soc_SP'!$C:$AN,MID(AK$1,1,2),FALSE)</f>
        <v>0</v>
      </c>
      <c r="AL1854" s="55">
        <f>VLOOKUP($E1854,'NI-Soc_SP'!$C:$AN,MID(AL$1,1,2),FALSE)</f>
        <v>0</v>
      </c>
      <c r="AM1854" s="56">
        <f>VLOOKUP($E1854,'NI-Soc_SP'!$C:$AN,MID(AM$1,1,2),FALSE)</f>
        <v>0</v>
      </c>
      <c r="AN1854" s="30" t="str">
        <f t="shared" si="28"/>
        <v>20202010070000</v>
      </c>
    </row>
    <row r="1855" spans="1:40" x14ac:dyDescent="0.25">
      <c r="A1855" s="30" t="s">
        <v>1394</v>
      </c>
      <c r="C1855" s="40"/>
      <c r="D1855" s="78" t="s">
        <v>1513</v>
      </c>
      <c r="E1855" s="78" t="s">
        <v>1514</v>
      </c>
      <c r="F1855" s="122" t="s">
        <v>2758</v>
      </c>
      <c r="H1855" s="52"/>
      <c r="I1855" s="52"/>
      <c r="J1855" s="79" t="s">
        <v>1515</v>
      </c>
      <c r="K1855" s="59" t="s">
        <v>79</v>
      </c>
      <c r="L1855" s="52" t="s">
        <v>1455</v>
      </c>
      <c r="M1855" s="52"/>
      <c r="N1855" s="52"/>
      <c r="O1855" s="61" t="s">
        <v>1516</v>
      </c>
      <c r="P1855" s="79" t="s">
        <v>1517</v>
      </c>
      <c r="Q1855" s="55">
        <f>VLOOKUP(E1855,'NI-Soc_SP'!$C:$AN,12,FALSE)</f>
        <v>0</v>
      </c>
      <c r="R1855" s="55">
        <f>VLOOKUP(E1855,'NI-Soc_SP'!$C:$AN,13,FALSE)</f>
        <v>0</v>
      </c>
      <c r="S1855" s="55">
        <f>VLOOKUP(E1855,'NI-Soc_SP'!$C:$AN,31,FALSE)</f>
        <v>0</v>
      </c>
      <c r="T1855" s="55">
        <f>VLOOKUP(E1855,'NI-Soc_SP'!$C:$AN,32,FALSE)+VLOOKUP(E1855,'NI-Soc_SP'!$C:$AN,33,FALSE)</f>
        <v>0</v>
      </c>
      <c r="U1855" s="55">
        <f>VLOOKUP($E1855,'NI-Soc_SP'!$C:$AN,MID(U$1,1,2),FALSE)</f>
        <v>0</v>
      </c>
      <c r="V1855" s="55">
        <f>VLOOKUP($E1855,'NI-Soc_SP'!$C:$AN,MID(V$1,1,2),FALSE)</f>
        <v>0</v>
      </c>
      <c r="W1855" s="55">
        <f>VLOOKUP($E1855,'NI-Soc_SP'!$C:$AN,MID(W$1,1,2),FALSE)</f>
        <v>0</v>
      </c>
      <c r="X1855" s="55">
        <f>VLOOKUP($E1855,'NI-Soc_SP'!$C:$AN,MID(X$1,1,2),FALSE)</f>
        <v>0</v>
      </c>
      <c r="Y1855" s="55">
        <f>VLOOKUP($E1855,'NI-Soc_SP'!$C:$AN,MID(Y$1,1,2),FALSE)</f>
        <v>0</v>
      </c>
      <c r="Z1855" s="55">
        <f>VLOOKUP($E1855,'NI-Soc_SP'!$C:$AN,MID(Z$1,1,2),FALSE)</f>
        <v>0</v>
      </c>
      <c r="AA1855" s="55">
        <f>VLOOKUP($E1855,'NI-Soc_SP'!$C:$AN,MID(AA$1,1,2),FALSE)</f>
        <v>0</v>
      </c>
      <c r="AB1855" s="55">
        <f>VLOOKUP($E1855,'NI-Soc_SP'!$C:$AN,MID(AB$1,1,2),FALSE)</f>
        <v>0</v>
      </c>
      <c r="AC1855" s="55">
        <f>VLOOKUP($E1855,'NI-Soc_SP'!$C:$AN,MID(AC$1,1,2),FALSE)</f>
        <v>0</v>
      </c>
      <c r="AD1855" s="55">
        <f>VLOOKUP($E1855,'NI-Soc_SP'!$C:$AN,MID(AD$1,1,2),FALSE)</f>
        <v>0</v>
      </c>
      <c r="AE1855" s="55">
        <f>VLOOKUP($E1855,'NI-Soc_SP'!$C:$AN,MID(AE$1,1,2),FALSE)</f>
        <v>0</v>
      </c>
      <c r="AF1855" s="55">
        <f>VLOOKUP($E1855,'NI-Soc_SP'!$C:$AN,MID(AF$1,1,2),FALSE)</f>
        <v>0</v>
      </c>
      <c r="AG1855" s="55">
        <f>VLOOKUP($E1855,'NI-Soc_SP'!$C:$AN,MID(AG$1,1,2),FALSE)</f>
        <v>0</v>
      </c>
      <c r="AH1855" s="55">
        <f>VLOOKUP($E1855,'NI-Soc_SP'!$C:$AN,MID(AH$1,1,2),FALSE)</f>
        <v>0</v>
      </c>
      <c r="AI1855" s="55">
        <f>VLOOKUP($E1855,'NI-Soc_SP'!$C:$AN,MID(AI$1,1,2),FALSE)</f>
        <v>0</v>
      </c>
      <c r="AJ1855" s="55">
        <f>VLOOKUP($E1855,'NI-Soc_SP'!$C:$AN,MID(AJ$1,1,2),FALSE)</f>
        <v>0</v>
      </c>
      <c r="AK1855" s="55">
        <f>VLOOKUP($E1855,'NI-Soc_SP'!$C:$AN,MID(AK$1,1,2),FALSE)</f>
        <v>0</v>
      </c>
      <c r="AL1855" s="55">
        <f>VLOOKUP($E1855,'NI-Soc_SP'!$C:$AN,MID(AL$1,1,2),FALSE)</f>
        <v>0</v>
      </c>
      <c r="AM1855" s="56">
        <f>VLOOKUP($E1855,'NI-Soc_SP'!$C:$AN,MID(AM$1,1,2),FALSE)</f>
        <v>0</v>
      </c>
      <c r="AN1855" s="30" t="str">
        <f t="shared" si="28"/>
        <v>20202010080000</v>
      </c>
    </row>
    <row r="1856" spans="1:40" x14ac:dyDescent="0.25">
      <c r="C1856" s="40"/>
      <c r="D1856" s="121" t="s">
        <v>1518</v>
      </c>
      <c r="E1856" s="121" t="s">
        <v>1519</v>
      </c>
      <c r="F1856" s="122" t="s">
        <v>2758</v>
      </c>
      <c r="G1856" s="52"/>
      <c r="H1856" s="52"/>
      <c r="I1856" s="52" t="s">
        <v>1520</v>
      </c>
      <c r="J1856" s="52"/>
      <c r="K1856" s="59" t="s">
        <v>79</v>
      </c>
      <c r="L1856" s="62" t="s">
        <v>1455</v>
      </c>
      <c r="M1856" s="52"/>
      <c r="N1856" s="52"/>
      <c r="O1856" s="61" t="s">
        <v>1521</v>
      </c>
      <c r="P1856" s="76" t="s">
        <v>1522</v>
      </c>
      <c r="Q1856" s="55">
        <f>VLOOKUP(E1856,'NI-Soc_SP'!$C:$AN,12,FALSE)</f>
        <v>0</v>
      </c>
      <c r="R1856" s="55">
        <f>VLOOKUP(E1856,'NI-Soc_SP'!$C:$AN,13,FALSE)</f>
        <v>0</v>
      </c>
      <c r="S1856" s="55">
        <f>VLOOKUP(E1856,'NI-Soc_SP'!$C:$AN,31,FALSE)</f>
        <v>0</v>
      </c>
      <c r="T1856" s="55">
        <f>VLOOKUP(E1856,'NI-Soc_SP'!$C:$AN,32,FALSE)+VLOOKUP(E1856,'NI-Soc_SP'!$C:$AN,33,FALSE)</f>
        <v>0</v>
      </c>
      <c r="U1856" s="55">
        <f>VLOOKUP($E1856,'NI-Soc_SP'!$C:$AN,MID(U$1,1,2),FALSE)</f>
        <v>0</v>
      </c>
      <c r="V1856" s="55">
        <f>VLOOKUP($E1856,'NI-Soc_SP'!$C:$AN,MID(V$1,1,2),FALSE)</f>
        <v>0</v>
      </c>
      <c r="W1856" s="55">
        <f>VLOOKUP($E1856,'NI-Soc_SP'!$C:$AN,MID(W$1,1,2),FALSE)</f>
        <v>0</v>
      </c>
      <c r="X1856" s="55">
        <f>VLOOKUP($E1856,'NI-Soc_SP'!$C:$AN,MID(X$1,1,2),FALSE)</f>
        <v>0</v>
      </c>
      <c r="Y1856" s="55">
        <f>VLOOKUP($E1856,'NI-Soc_SP'!$C:$AN,MID(Y$1,1,2),FALSE)</f>
        <v>0</v>
      </c>
      <c r="Z1856" s="55">
        <f>VLOOKUP($E1856,'NI-Soc_SP'!$C:$AN,MID(Z$1,1,2),FALSE)</f>
        <v>0</v>
      </c>
      <c r="AA1856" s="55">
        <f>VLOOKUP($E1856,'NI-Soc_SP'!$C:$AN,MID(AA$1,1,2),FALSE)</f>
        <v>0</v>
      </c>
      <c r="AB1856" s="55">
        <f>VLOOKUP($E1856,'NI-Soc_SP'!$C:$AN,MID(AB$1,1,2),FALSE)</f>
        <v>0</v>
      </c>
      <c r="AC1856" s="55">
        <f>VLOOKUP($E1856,'NI-Soc_SP'!$C:$AN,MID(AC$1,1,2),FALSE)</f>
        <v>0</v>
      </c>
      <c r="AD1856" s="55">
        <f>VLOOKUP($E1856,'NI-Soc_SP'!$C:$AN,MID(AD$1,1,2),FALSE)</f>
        <v>0</v>
      </c>
      <c r="AE1856" s="55">
        <f>VLOOKUP($E1856,'NI-Soc_SP'!$C:$AN,MID(AE$1,1,2),FALSE)</f>
        <v>0</v>
      </c>
      <c r="AF1856" s="55">
        <f>VLOOKUP($E1856,'NI-Soc_SP'!$C:$AN,MID(AF$1,1,2),FALSE)</f>
        <v>0</v>
      </c>
      <c r="AG1856" s="55">
        <f>VLOOKUP($E1856,'NI-Soc_SP'!$C:$AN,MID(AG$1,1,2),FALSE)</f>
        <v>0</v>
      </c>
      <c r="AH1856" s="55">
        <f>VLOOKUP($E1856,'NI-Soc_SP'!$C:$AN,MID(AH$1,1,2),FALSE)</f>
        <v>0</v>
      </c>
      <c r="AI1856" s="55">
        <f>VLOOKUP($E1856,'NI-Soc_SP'!$C:$AN,MID(AI$1,1,2),FALSE)</f>
        <v>0</v>
      </c>
      <c r="AJ1856" s="55">
        <f>VLOOKUP($E1856,'NI-Soc_SP'!$C:$AN,MID(AJ$1,1,2),FALSE)</f>
        <v>0</v>
      </c>
      <c r="AK1856" s="55">
        <f>VLOOKUP($E1856,'NI-Soc_SP'!$C:$AN,MID(AK$1,1,2),FALSE)</f>
        <v>0</v>
      </c>
      <c r="AL1856" s="55">
        <f>VLOOKUP($E1856,'NI-Soc_SP'!$C:$AN,MID(AL$1,1,2),FALSE)</f>
        <v>0</v>
      </c>
      <c r="AM1856" s="56">
        <f>VLOOKUP($E1856,'NI-Soc_SP'!$C:$AN,MID(AM$1,1,2),FALSE)</f>
        <v>0</v>
      </c>
      <c r="AN1856" s="30" t="str">
        <f t="shared" si="28"/>
        <v>20202010090000</v>
      </c>
    </row>
    <row r="1857" spans="1:40" x14ac:dyDescent="0.25">
      <c r="A1857" s="30" t="s">
        <v>1394</v>
      </c>
      <c r="C1857" s="40"/>
      <c r="D1857" s="78" t="s">
        <v>1523</v>
      </c>
      <c r="E1857" s="78" t="s">
        <v>1524</v>
      </c>
      <c r="F1857" s="122" t="s">
        <v>2758</v>
      </c>
      <c r="H1857" s="52"/>
      <c r="I1857" s="52"/>
      <c r="J1857" s="80" t="s">
        <v>1525</v>
      </c>
      <c r="K1857" s="59" t="s">
        <v>79</v>
      </c>
      <c r="L1857" s="52" t="s">
        <v>1455</v>
      </c>
      <c r="M1857" s="52"/>
      <c r="N1857" s="52"/>
      <c r="O1857" s="61" t="s">
        <v>1526</v>
      </c>
      <c r="P1857" s="80" t="s">
        <v>1527</v>
      </c>
      <c r="Q1857" s="55">
        <f>VLOOKUP(E1857,'NI-Soc_SP'!$C:$AN,12,FALSE)</f>
        <v>0</v>
      </c>
      <c r="R1857" s="55">
        <f>VLOOKUP(E1857,'NI-Soc_SP'!$C:$AN,13,FALSE)</f>
        <v>0</v>
      </c>
      <c r="S1857" s="55">
        <f>VLOOKUP(E1857,'NI-Soc_SP'!$C:$AN,31,FALSE)</f>
        <v>0</v>
      </c>
      <c r="T1857" s="55">
        <f>VLOOKUP(E1857,'NI-Soc_SP'!$C:$AN,32,FALSE)+VLOOKUP(E1857,'NI-Soc_SP'!$C:$AN,33,FALSE)</f>
        <v>0</v>
      </c>
      <c r="U1857" s="55">
        <f>VLOOKUP($E1857,'NI-Soc_SP'!$C:$AN,MID(U$1,1,2),FALSE)</f>
        <v>0</v>
      </c>
      <c r="V1857" s="55">
        <f>VLOOKUP($E1857,'NI-Soc_SP'!$C:$AN,MID(V$1,1,2),FALSE)</f>
        <v>0</v>
      </c>
      <c r="W1857" s="55">
        <f>VLOOKUP($E1857,'NI-Soc_SP'!$C:$AN,MID(W$1,1,2),FALSE)</f>
        <v>0</v>
      </c>
      <c r="X1857" s="55">
        <f>VLOOKUP($E1857,'NI-Soc_SP'!$C:$AN,MID(X$1,1,2),FALSE)</f>
        <v>0</v>
      </c>
      <c r="Y1857" s="55">
        <f>VLOOKUP($E1857,'NI-Soc_SP'!$C:$AN,MID(Y$1,1,2),FALSE)</f>
        <v>0</v>
      </c>
      <c r="Z1857" s="55">
        <f>VLOOKUP($E1857,'NI-Soc_SP'!$C:$AN,MID(Z$1,1,2),FALSE)</f>
        <v>0</v>
      </c>
      <c r="AA1857" s="55">
        <f>VLOOKUP($E1857,'NI-Soc_SP'!$C:$AN,MID(AA$1,1,2),FALSE)</f>
        <v>0</v>
      </c>
      <c r="AB1857" s="55">
        <f>VLOOKUP($E1857,'NI-Soc_SP'!$C:$AN,MID(AB$1,1,2),FALSE)</f>
        <v>0</v>
      </c>
      <c r="AC1857" s="55">
        <f>VLOOKUP($E1857,'NI-Soc_SP'!$C:$AN,MID(AC$1,1,2),FALSE)</f>
        <v>0</v>
      </c>
      <c r="AD1857" s="55">
        <f>VLOOKUP($E1857,'NI-Soc_SP'!$C:$AN,MID(AD$1,1,2),FALSE)</f>
        <v>0</v>
      </c>
      <c r="AE1857" s="55">
        <f>VLOOKUP($E1857,'NI-Soc_SP'!$C:$AN,MID(AE$1,1,2),FALSE)</f>
        <v>0</v>
      </c>
      <c r="AF1857" s="55">
        <f>VLOOKUP($E1857,'NI-Soc_SP'!$C:$AN,MID(AF$1,1,2),FALSE)</f>
        <v>0</v>
      </c>
      <c r="AG1857" s="55">
        <f>VLOOKUP($E1857,'NI-Soc_SP'!$C:$AN,MID(AG$1,1,2),FALSE)</f>
        <v>0</v>
      </c>
      <c r="AH1857" s="55">
        <f>VLOOKUP($E1857,'NI-Soc_SP'!$C:$AN,MID(AH$1,1,2),FALSE)</f>
        <v>0</v>
      </c>
      <c r="AI1857" s="55">
        <f>VLOOKUP($E1857,'NI-Soc_SP'!$C:$AN,MID(AI$1,1,2),FALSE)</f>
        <v>0</v>
      </c>
      <c r="AJ1857" s="55">
        <f>VLOOKUP($E1857,'NI-Soc_SP'!$C:$AN,MID(AJ$1,1,2),FALSE)</f>
        <v>0</v>
      </c>
      <c r="AK1857" s="55">
        <f>VLOOKUP($E1857,'NI-Soc_SP'!$C:$AN,MID(AK$1,1,2),FALSE)</f>
        <v>0</v>
      </c>
      <c r="AL1857" s="55">
        <f>VLOOKUP($E1857,'NI-Soc_SP'!$C:$AN,MID(AL$1,1,2),FALSE)</f>
        <v>0</v>
      </c>
      <c r="AM1857" s="56">
        <f>VLOOKUP($E1857,'NI-Soc_SP'!$C:$AN,MID(AM$1,1,2),FALSE)</f>
        <v>0</v>
      </c>
      <c r="AN1857" s="30" t="str">
        <f t="shared" si="28"/>
        <v>20202010100000</v>
      </c>
    </row>
    <row r="1858" spans="1:40" x14ac:dyDescent="0.25">
      <c r="C1858" s="40"/>
      <c r="D1858" s="121" t="s">
        <v>1528</v>
      </c>
      <c r="E1858" s="121" t="s">
        <v>1529</v>
      </c>
      <c r="F1858" s="122" t="s">
        <v>2758</v>
      </c>
      <c r="G1858" s="52"/>
      <c r="H1858" s="52"/>
      <c r="I1858" s="52"/>
      <c r="J1858" s="52"/>
      <c r="K1858" s="59" t="s">
        <v>111</v>
      </c>
      <c r="L1858" s="62"/>
      <c r="M1858" s="52"/>
      <c r="N1858" s="52"/>
      <c r="O1858" s="52"/>
      <c r="P1858" s="76" t="s">
        <v>1530</v>
      </c>
      <c r="Q1858" s="55">
        <f>VLOOKUP(E1858,'NI-Soc_SP'!$C:$AN,12,FALSE)</f>
        <v>0</v>
      </c>
      <c r="R1858" s="55">
        <f>VLOOKUP(E1858,'NI-Soc_SP'!$C:$AN,13,FALSE)</f>
        <v>0</v>
      </c>
      <c r="S1858" s="55">
        <f>VLOOKUP(E1858,'NI-Soc_SP'!$C:$AN,31,FALSE)</f>
        <v>0</v>
      </c>
      <c r="T1858" s="55">
        <f>VLOOKUP(E1858,'NI-Soc_SP'!$C:$AN,32,FALSE)+VLOOKUP(E1858,'NI-Soc_SP'!$C:$AN,33,FALSE)</f>
        <v>0</v>
      </c>
      <c r="U1858" s="55">
        <f>VLOOKUP($E1858,'NI-Soc_SP'!$C:$AN,MID(U$1,1,2),FALSE)</f>
        <v>0</v>
      </c>
      <c r="V1858" s="55">
        <f>VLOOKUP($E1858,'NI-Soc_SP'!$C:$AN,MID(V$1,1,2),FALSE)</f>
        <v>0</v>
      </c>
      <c r="W1858" s="55">
        <f>VLOOKUP($E1858,'NI-Soc_SP'!$C:$AN,MID(W$1,1,2),FALSE)</f>
        <v>0</v>
      </c>
      <c r="X1858" s="55">
        <f>VLOOKUP($E1858,'NI-Soc_SP'!$C:$AN,MID(X$1,1,2),FALSE)</f>
        <v>0</v>
      </c>
      <c r="Y1858" s="55">
        <f>VLOOKUP($E1858,'NI-Soc_SP'!$C:$AN,MID(Y$1,1,2),FALSE)</f>
        <v>0</v>
      </c>
      <c r="Z1858" s="55">
        <f>VLOOKUP($E1858,'NI-Soc_SP'!$C:$AN,MID(Z$1,1,2),FALSE)</f>
        <v>0</v>
      </c>
      <c r="AA1858" s="55">
        <f>VLOOKUP($E1858,'NI-Soc_SP'!$C:$AN,MID(AA$1,1,2),FALSE)</f>
        <v>0</v>
      </c>
      <c r="AB1858" s="55">
        <f>VLOOKUP($E1858,'NI-Soc_SP'!$C:$AN,MID(AB$1,1,2),FALSE)</f>
        <v>0</v>
      </c>
      <c r="AC1858" s="55">
        <f>VLOOKUP($E1858,'NI-Soc_SP'!$C:$AN,MID(AC$1,1,2),FALSE)</f>
        <v>0</v>
      </c>
      <c r="AD1858" s="55">
        <f>VLOOKUP($E1858,'NI-Soc_SP'!$C:$AN,MID(AD$1,1,2),FALSE)</f>
        <v>0</v>
      </c>
      <c r="AE1858" s="55">
        <f>VLOOKUP($E1858,'NI-Soc_SP'!$C:$AN,MID(AE$1,1,2),FALSE)</f>
        <v>0</v>
      </c>
      <c r="AF1858" s="55">
        <f>VLOOKUP($E1858,'NI-Soc_SP'!$C:$AN,MID(AF$1,1,2),FALSE)</f>
        <v>0</v>
      </c>
      <c r="AG1858" s="55">
        <f>VLOOKUP($E1858,'NI-Soc_SP'!$C:$AN,MID(AG$1,1,2),FALSE)</f>
        <v>0</v>
      </c>
      <c r="AH1858" s="55">
        <f>VLOOKUP($E1858,'NI-Soc_SP'!$C:$AN,MID(AH$1,1,2),FALSE)</f>
        <v>0</v>
      </c>
      <c r="AI1858" s="55">
        <f>VLOOKUP($E1858,'NI-Soc_SP'!$C:$AN,MID(AI$1,1,2),FALSE)</f>
        <v>0</v>
      </c>
      <c r="AJ1858" s="55">
        <f>VLOOKUP($E1858,'NI-Soc_SP'!$C:$AN,MID(AJ$1,1,2),FALSE)</f>
        <v>0</v>
      </c>
      <c r="AK1858" s="55">
        <f>VLOOKUP($E1858,'NI-Soc_SP'!$C:$AN,MID(AK$1,1,2),FALSE)</f>
        <v>0</v>
      </c>
      <c r="AL1858" s="55">
        <f>VLOOKUP($E1858,'NI-Soc_SP'!$C:$AN,MID(AL$1,1,2),FALSE)</f>
        <v>0</v>
      </c>
      <c r="AM1858" s="56">
        <f>VLOOKUP($E1858,'NI-Soc_SP'!$C:$AN,MID(AM$1,1,2),FALSE)</f>
        <v>0</v>
      </c>
      <c r="AN1858" s="30" t="str">
        <f t="shared" ref="AN1858:AN1921" si="29">D1858</f>
        <v>20202020000000</v>
      </c>
    </row>
    <row r="1859" spans="1:40" x14ac:dyDescent="0.25">
      <c r="C1859" s="40"/>
      <c r="D1859" s="121" t="s">
        <v>1531</v>
      </c>
      <c r="E1859" s="121" t="s">
        <v>1532</v>
      </c>
      <c r="F1859" s="122" t="s">
        <v>2758</v>
      </c>
      <c r="G1859" s="52"/>
      <c r="H1859" s="52"/>
      <c r="I1859" s="52" t="s">
        <v>1533</v>
      </c>
      <c r="J1859" s="52"/>
      <c r="K1859" s="59" t="s">
        <v>79</v>
      </c>
      <c r="L1859" s="62" t="s">
        <v>1534</v>
      </c>
      <c r="M1859" s="52"/>
      <c r="N1859" s="52"/>
      <c r="O1859" s="61" t="s">
        <v>1535</v>
      </c>
      <c r="P1859" s="76" t="s">
        <v>1536</v>
      </c>
      <c r="Q1859" s="55">
        <f>VLOOKUP(E1859,'NI-Soc_SP'!$C:$AN,12,FALSE)</f>
        <v>0</v>
      </c>
      <c r="R1859" s="55">
        <f>VLOOKUP(E1859,'NI-Soc_SP'!$C:$AN,13,FALSE)</f>
        <v>0</v>
      </c>
      <c r="S1859" s="55">
        <f>VLOOKUP(E1859,'NI-Soc_SP'!$C:$AN,31,FALSE)</f>
        <v>0</v>
      </c>
      <c r="T1859" s="55">
        <f>VLOOKUP(E1859,'NI-Soc_SP'!$C:$AN,32,FALSE)+VLOOKUP(E1859,'NI-Soc_SP'!$C:$AN,33,FALSE)</f>
        <v>0</v>
      </c>
      <c r="U1859" s="55">
        <f>VLOOKUP($E1859,'NI-Soc_SP'!$C:$AN,MID(U$1,1,2),FALSE)</f>
        <v>0</v>
      </c>
      <c r="V1859" s="55">
        <f>VLOOKUP($E1859,'NI-Soc_SP'!$C:$AN,MID(V$1,1,2),FALSE)</f>
        <v>0</v>
      </c>
      <c r="W1859" s="55">
        <f>VLOOKUP($E1859,'NI-Soc_SP'!$C:$AN,MID(W$1,1,2),FALSE)</f>
        <v>0</v>
      </c>
      <c r="X1859" s="55">
        <f>VLOOKUP($E1859,'NI-Soc_SP'!$C:$AN,MID(X$1,1,2),FALSE)</f>
        <v>0</v>
      </c>
      <c r="Y1859" s="55">
        <f>VLOOKUP($E1859,'NI-Soc_SP'!$C:$AN,MID(Y$1,1,2),FALSE)</f>
        <v>0</v>
      </c>
      <c r="Z1859" s="55">
        <f>VLOOKUP($E1859,'NI-Soc_SP'!$C:$AN,MID(Z$1,1,2),FALSE)</f>
        <v>0</v>
      </c>
      <c r="AA1859" s="55">
        <f>VLOOKUP($E1859,'NI-Soc_SP'!$C:$AN,MID(AA$1,1,2),FALSE)</f>
        <v>0</v>
      </c>
      <c r="AB1859" s="55">
        <f>VLOOKUP($E1859,'NI-Soc_SP'!$C:$AN,MID(AB$1,1,2),FALSE)</f>
        <v>0</v>
      </c>
      <c r="AC1859" s="55">
        <f>VLOOKUP($E1859,'NI-Soc_SP'!$C:$AN,MID(AC$1,1,2),FALSE)</f>
        <v>0</v>
      </c>
      <c r="AD1859" s="55">
        <f>VLOOKUP($E1859,'NI-Soc_SP'!$C:$AN,MID(AD$1,1,2),FALSE)</f>
        <v>0</v>
      </c>
      <c r="AE1859" s="55">
        <f>VLOOKUP($E1859,'NI-Soc_SP'!$C:$AN,MID(AE$1,1,2),FALSE)</f>
        <v>0</v>
      </c>
      <c r="AF1859" s="55">
        <f>VLOOKUP($E1859,'NI-Soc_SP'!$C:$AN,MID(AF$1,1,2),FALSE)</f>
        <v>0</v>
      </c>
      <c r="AG1859" s="55">
        <f>VLOOKUP($E1859,'NI-Soc_SP'!$C:$AN,MID(AG$1,1,2),FALSE)</f>
        <v>0</v>
      </c>
      <c r="AH1859" s="55">
        <f>VLOOKUP($E1859,'NI-Soc_SP'!$C:$AN,MID(AH$1,1,2),FALSE)</f>
        <v>0</v>
      </c>
      <c r="AI1859" s="55">
        <f>VLOOKUP($E1859,'NI-Soc_SP'!$C:$AN,MID(AI$1,1,2),FALSE)</f>
        <v>0</v>
      </c>
      <c r="AJ1859" s="55">
        <f>VLOOKUP($E1859,'NI-Soc_SP'!$C:$AN,MID(AJ$1,1,2),FALSE)</f>
        <v>0</v>
      </c>
      <c r="AK1859" s="55">
        <f>VLOOKUP($E1859,'NI-Soc_SP'!$C:$AN,MID(AK$1,1,2),FALSE)</f>
        <v>0</v>
      </c>
      <c r="AL1859" s="55">
        <f>VLOOKUP($E1859,'NI-Soc_SP'!$C:$AN,MID(AL$1,1,2),FALSE)</f>
        <v>0</v>
      </c>
      <c r="AM1859" s="56">
        <f>VLOOKUP($E1859,'NI-Soc_SP'!$C:$AN,MID(AM$1,1,2),FALSE)</f>
        <v>0</v>
      </c>
      <c r="AN1859" s="30" t="str">
        <f t="shared" si="29"/>
        <v>20202020010000</v>
      </c>
    </row>
    <row r="1860" spans="1:40" x14ac:dyDescent="0.25">
      <c r="C1860" s="40"/>
      <c r="D1860" s="121" t="s">
        <v>1537</v>
      </c>
      <c r="E1860" s="121" t="s">
        <v>1538</v>
      </c>
      <c r="F1860" s="122" t="s">
        <v>2758</v>
      </c>
      <c r="G1860" s="52"/>
      <c r="H1860" s="52"/>
      <c r="I1860" s="52" t="s">
        <v>1539</v>
      </c>
      <c r="J1860" s="52"/>
      <c r="K1860" s="59" t="s">
        <v>79</v>
      </c>
      <c r="L1860" s="62" t="s">
        <v>1540</v>
      </c>
      <c r="M1860" s="52"/>
      <c r="N1860" s="52"/>
      <c r="O1860" s="61" t="s">
        <v>1541</v>
      </c>
      <c r="P1860" s="76" t="s">
        <v>1542</v>
      </c>
      <c r="Q1860" s="55">
        <f>VLOOKUP(E1860,'NI-Soc_SP'!$C:$AN,12,FALSE)</f>
        <v>0</v>
      </c>
      <c r="R1860" s="55">
        <f>VLOOKUP(E1860,'NI-Soc_SP'!$C:$AN,13,FALSE)</f>
        <v>0</v>
      </c>
      <c r="S1860" s="55">
        <f>VLOOKUP(E1860,'NI-Soc_SP'!$C:$AN,31,FALSE)</f>
        <v>0</v>
      </c>
      <c r="T1860" s="55">
        <f>VLOOKUP(E1860,'NI-Soc_SP'!$C:$AN,32,FALSE)+VLOOKUP(E1860,'NI-Soc_SP'!$C:$AN,33,FALSE)</f>
        <v>0</v>
      </c>
      <c r="U1860" s="55">
        <f>VLOOKUP($E1860,'NI-Soc_SP'!$C:$AN,MID(U$1,1,2),FALSE)</f>
        <v>0</v>
      </c>
      <c r="V1860" s="55">
        <f>VLOOKUP($E1860,'NI-Soc_SP'!$C:$AN,MID(V$1,1,2),FALSE)</f>
        <v>0</v>
      </c>
      <c r="W1860" s="55">
        <f>VLOOKUP($E1860,'NI-Soc_SP'!$C:$AN,MID(W$1,1,2),FALSE)</f>
        <v>0</v>
      </c>
      <c r="X1860" s="55">
        <f>VLOOKUP($E1860,'NI-Soc_SP'!$C:$AN,MID(X$1,1,2),FALSE)</f>
        <v>0</v>
      </c>
      <c r="Y1860" s="55">
        <f>VLOOKUP($E1860,'NI-Soc_SP'!$C:$AN,MID(Y$1,1,2),FALSE)</f>
        <v>0</v>
      </c>
      <c r="Z1860" s="55">
        <f>VLOOKUP($E1860,'NI-Soc_SP'!$C:$AN,MID(Z$1,1,2),FALSE)</f>
        <v>0</v>
      </c>
      <c r="AA1860" s="55">
        <f>VLOOKUP($E1860,'NI-Soc_SP'!$C:$AN,MID(AA$1,1,2),FALSE)</f>
        <v>0</v>
      </c>
      <c r="AB1860" s="55">
        <f>VLOOKUP($E1860,'NI-Soc_SP'!$C:$AN,MID(AB$1,1,2),FALSE)</f>
        <v>0</v>
      </c>
      <c r="AC1860" s="55">
        <f>VLOOKUP($E1860,'NI-Soc_SP'!$C:$AN,MID(AC$1,1,2),FALSE)</f>
        <v>0</v>
      </c>
      <c r="AD1860" s="55">
        <f>VLOOKUP($E1860,'NI-Soc_SP'!$C:$AN,MID(AD$1,1,2),FALSE)</f>
        <v>0</v>
      </c>
      <c r="AE1860" s="55">
        <f>VLOOKUP($E1860,'NI-Soc_SP'!$C:$AN,MID(AE$1,1,2),FALSE)</f>
        <v>0</v>
      </c>
      <c r="AF1860" s="55">
        <f>VLOOKUP($E1860,'NI-Soc_SP'!$C:$AN,MID(AF$1,1,2),FALSE)</f>
        <v>0</v>
      </c>
      <c r="AG1860" s="55">
        <f>VLOOKUP($E1860,'NI-Soc_SP'!$C:$AN,MID(AG$1,1,2),FALSE)</f>
        <v>0</v>
      </c>
      <c r="AH1860" s="55">
        <f>VLOOKUP($E1860,'NI-Soc_SP'!$C:$AN,MID(AH$1,1,2),FALSE)</f>
        <v>0</v>
      </c>
      <c r="AI1860" s="55">
        <f>VLOOKUP($E1860,'NI-Soc_SP'!$C:$AN,MID(AI$1,1,2),FALSE)</f>
        <v>0</v>
      </c>
      <c r="AJ1860" s="55">
        <f>VLOOKUP($E1860,'NI-Soc_SP'!$C:$AN,MID(AJ$1,1,2),FALSE)</f>
        <v>0</v>
      </c>
      <c r="AK1860" s="55">
        <f>VLOOKUP($E1860,'NI-Soc_SP'!$C:$AN,MID(AK$1,1,2),FALSE)</f>
        <v>0</v>
      </c>
      <c r="AL1860" s="55">
        <f>VLOOKUP($E1860,'NI-Soc_SP'!$C:$AN,MID(AL$1,1,2),FALSE)</f>
        <v>0</v>
      </c>
      <c r="AM1860" s="56">
        <f>VLOOKUP($E1860,'NI-Soc_SP'!$C:$AN,MID(AM$1,1,2),FALSE)</f>
        <v>0</v>
      </c>
      <c r="AN1860" s="30" t="str">
        <f t="shared" si="29"/>
        <v>20202020020000</v>
      </c>
    </row>
    <row r="1861" spans="1:40" x14ac:dyDescent="0.25">
      <c r="C1861" s="40"/>
      <c r="D1861" s="121" t="s">
        <v>1543</v>
      </c>
      <c r="E1861" s="121" t="s">
        <v>1544</v>
      </c>
      <c r="F1861" s="122" t="s">
        <v>2758</v>
      </c>
      <c r="G1861" s="52"/>
      <c r="H1861" s="52"/>
      <c r="I1861" s="52" t="s">
        <v>1545</v>
      </c>
      <c r="J1861" s="52"/>
      <c r="K1861" s="59" t="s">
        <v>79</v>
      </c>
      <c r="L1861" s="62" t="s">
        <v>1546</v>
      </c>
      <c r="M1861" s="52"/>
      <c r="N1861" s="52"/>
      <c r="O1861" s="61" t="s">
        <v>1547</v>
      </c>
      <c r="P1861" s="76" t="s">
        <v>1548</v>
      </c>
      <c r="Q1861" s="55">
        <f>VLOOKUP(E1861,'NI-Soc_SP'!$C:$AN,12,FALSE)</f>
        <v>0</v>
      </c>
      <c r="R1861" s="55">
        <f>VLOOKUP(E1861,'NI-Soc_SP'!$C:$AN,13,FALSE)</f>
        <v>0</v>
      </c>
      <c r="S1861" s="55">
        <f>VLOOKUP(E1861,'NI-Soc_SP'!$C:$AN,31,FALSE)</f>
        <v>0</v>
      </c>
      <c r="T1861" s="55">
        <f>VLOOKUP(E1861,'NI-Soc_SP'!$C:$AN,32,FALSE)+VLOOKUP(E1861,'NI-Soc_SP'!$C:$AN,33,FALSE)</f>
        <v>0</v>
      </c>
      <c r="U1861" s="55">
        <f>VLOOKUP($E1861,'NI-Soc_SP'!$C:$AN,MID(U$1,1,2),FALSE)</f>
        <v>0</v>
      </c>
      <c r="V1861" s="55">
        <f>VLOOKUP($E1861,'NI-Soc_SP'!$C:$AN,MID(V$1,1,2),FALSE)</f>
        <v>0</v>
      </c>
      <c r="W1861" s="55">
        <f>VLOOKUP($E1861,'NI-Soc_SP'!$C:$AN,MID(W$1,1,2),FALSE)</f>
        <v>0</v>
      </c>
      <c r="X1861" s="55">
        <f>VLOOKUP($E1861,'NI-Soc_SP'!$C:$AN,MID(X$1,1,2),FALSE)</f>
        <v>0</v>
      </c>
      <c r="Y1861" s="55">
        <f>VLOOKUP($E1861,'NI-Soc_SP'!$C:$AN,MID(Y$1,1,2),FALSE)</f>
        <v>0</v>
      </c>
      <c r="Z1861" s="55">
        <f>VLOOKUP($E1861,'NI-Soc_SP'!$C:$AN,MID(Z$1,1,2),FALSE)</f>
        <v>0</v>
      </c>
      <c r="AA1861" s="55">
        <f>VLOOKUP($E1861,'NI-Soc_SP'!$C:$AN,MID(AA$1,1,2),FALSE)</f>
        <v>0</v>
      </c>
      <c r="AB1861" s="55">
        <f>VLOOKUP($E1861,'NI-Soc_SP'!$C:$AN,MID(AB$1,1,2),FALSE)</f>
        <v>0</v>
      </c>
      <c r="AC1861" s="55">
        <f>VLOOKUP($E1861,'NI-Soc_SP'!$C:$AN,MID(AC$1,1,2),FALSE)</f>
        <v>0</v>
      </c>
      <c r="AD1861" s="55">
        <f>VLOOKUP($E1861,'NI-Soc_SP'!$C:$AN,MID(AD$1,1,2),FALSE)</f>
        <v>0</v>
      </c>
      <c r="AE1861" s="55">
        <f>VLOOKUP($E1861,'NI-Soc_SP'!$C:$AN,MID(AE$1,1,2),FALSE)</f>
        <v>0</v>
      </c>
      <c r="AF1861" s="55">
        <f>VLOOKUP($E1861,'NI-Soc_SP'!$C:$AN,MID(AF$1,1,2),FALSE)</f>
        <v>0</v>
      </c>
      <c r="AG1861" s="55">
        <f>VLOOKUP($E1861,'NI-Soc_SP'!$C:$AN,MID(AG$1,1,2),FALSE)</f>
        <v>0</v>
      </c>
      <c r="AH1861" s="55">
        <f>VLOOKUP($E1861,'NI-Soc_SP'!$C:$AN,MID(AH$1,1,2),FALSE)</f>
        <v>0</v>
      </c>
      <c r="AI1861" s="55">
        <f>VLOOKUP($E1861,'NI-Soc_SP'!$C:$AN,MID(AI$1,1,2),FALSE)</f>
        <v>0</v>
      </c>
      <c r="AJ1861" s="55">
        <f>VLOOKUP($E1861,'NI-Soc_SP'!$C:$AN,MID(AJ$1,1,2),FALSE)</f>
        <v>0</v>
      </c>
      <c r="AK1861" s="55">
        <f>VLOOKUP($E1861,'NI-Soc_SP'!$C:$AN,MID(AK$1,1,2),FALSE)</f>
        <v>0</v>
      </c>
      <c r="AL1861" s="55">
        <f>VLOOKUP($E1861,'NI-Soc_SP'!$C:$AN,MID(AL$1,1,2),FALSE)</f>
        <v>0</v>
      </c>
      <c r="AM1861" s="56">
        <f>VLOOKUP($E1861,'NI-Soc_SP'!$C:$AN,MID(AM$1,1,2),FALSE)</f>
        <v>0</v>
      </c>
      <c r="AN1861" s="30" t="str">
        <f t="shared" si="29"/>
        <v>20202020030000</v>
      </c>
    </row>
    <row r="1862" spans="1:40" s="83" customFormat="1" ht="27" x14ac:dyDescent="0.25">
      <c r="A1862" s="30" t="s">
        <v>1394</v>
      </c>
      <c r="B1862" s="30"/>
      <c r="C1862" s="40"/>
      <c r="D1862" s="78" t="s">
        <v>1549</v>
      </c>
      <c r="E1862" s="78" t="s">
        <v>1550</v>
      </c>
      <c r="F1862" s="122" t="s">
        <v>2758</v>
      </c>
      <c r="G1862" s="82"/>
      <c r="H1862" s="82"/>
      <c r="J1862" s="52" t="s">
        <v>1551</v>
      </c>
      <c r="K1862" s="59" t="s">
        <v>79</v>
      </c>
      <c r="L1862" s="62" t="s">
        <v>1546</v>
      </c>
      <c r="M1862" s="82"/>
      <c r="N1862" s="82"/>
      <c r="O1862" s="61" t="s">
        <v>1552</v>
      </c>
      <c r="P1862" s="76" t="s">
        <v>1553</v>
      </c>
      <c r="Q1862" s="55">
        <f>VLOOKUP(E1862,'NI-Soc_SP'!$C:$AN,12,FALSE)</f>
        <v>0</v>
      </c>
      <c r="R1862" s="55">
        <f>VLOOKUP(E1862,'NI-Soc_SP'!$C:$AN,13,FALSE)</f>
        <v>0</v>
      </c>
      <c r="S1862" s="55">
        <f>VLOOKUP(E1862,'NI-Soc_SP'!$C:$AN,31,FALSE)</f>
        <v>0</v>
      </c>
      <c r="T1862" s="55">
        <f>VLOOKUP(E1862,'NI-Soc_SP'!$C:$AN,32,FALSE)+VLOOKUP(E1862,'NI-Soc_SP'!$C:$AN,33,FALSE)</f>
        <v>0</v>
      </c>
      <c r="U1862" s="55">
        <f>VLOOKUP($E1862,'NI-Soc_SP'!$C:$AN,MID(U$1,1,2),FALSE)</f>
        <v>0</v>
      </c>
      <c r="V1862" s="55">
        <f>VLOOKUP($E1862,'NI-Soc_SP'!$C:$AN,MID(V$1,1,2),FALSE)</f>
        <v>0</v>
      </c>
      <c r="W1862" s="55">
        <f>VLOOKUP($E1862,'NI-Soc_SP'!$C:$AN,MID(W$1,1,2),FALSE)</f>
        <v>0</v>
      </c>
      <c r="X1862" s="55">
        <f>VLOOKUP($E1862,'NI-Soc_SP'!$C:$AN,MID(X$1,1,2),FALSE)</f>
        <v>0</v>
      </c>
      <c r="Y1862" s="55">
        <f>VLOOKUP($E1862,'NI-Soc_SP'!$C:$AN,MID(Y$1,1,2),FALSE)</f>
        <v>0</v>
      </c>
      <c r="Z1862" s="55">
        <f>VLOOKUP($E1862,'NI-Soc_SP'!$C:$AN,MID(Z$1,1,2),FALSE)</f>
        <v>0</v>
      </c>
      <c r="AA1862" s="55">
        <f>VLOOKUP($E1862,'NI-Soc_SP'!$C:$AN,MID(AA$1,1,2),FALSE)</f>
        <v>0</v>
      </c>
      <c r="AB1862" s="55">
        <f>VLOOKUP($E1862,'NI-Soc_SP'!$C:$AN,MID(AB$1,1,2),FALSE)</f>
        <v>0</v>
      </c>
      <c r="AC1862" s="55">
        <f>VLOOKUP($E1862,'NI-Soc_SP'!$C:$AN,MID(AC$1,1,2),FALSE)</f>
        <v>0</v>
      </c>
      <c r="AD1862" s="55">
        <f>VLOOKUP($E1862,'NI-Soc_SP'!$C:$AN,MID(AD$1,1,2),FALSE)</f>
        <v>0</v>
      </c>
      <c r="AE1862" s="55">
        <f>VLOOKUP($E1862,'NI-Soc_SP'!$C:$AN,MID(AE$1,1,2),FALSE)</f>
        <v>0</v>
      </c>
      <c r="AF1862" s="55">
        <f>VLOOKUP($E1862,'NI-Soc_SP'!$C:$AN,MID(AF$1,1,2),FALSE)</f>
        <v>0</v>
      </c>
      <c r="AG1862" s="55">
        <f>VLOOKUP($E1862,'NI-Soc_SP'!$C:$AN,MID(AG$1,1,2),FALSE)</f>
        <v>0</v>
      </c>
      <c r="AH1862" s="55">
        <f>VLOOKUP($E1862,'NI-Soc_SP'!$C:$AN,MID(AH$1,1,2),FALSE)</f>
        <v>0</v>
      </c>
      <c r="AI1862" s="55">
        <f>VLOOKUP($E1862,'NI-Soc_SP'!$C:$AN,MID(AI$1,1,2),FALSE)</f>
        <v>0</v>
      </c>
      <c r="AJ1862" s="55">
        <f>VLOOKUP($E1862,'NI-Soc_SP'!$C:$AN,MID(AJ$1,1,2),FALSE)</f>
        <v>0</v>
      </c>
      <c r="AK1862" s="55">
        <f>VLOOKUP($E1862,'NI-Soc_SP'!$C:$AN,MID(AK$1,1,2),FALSE)</f>
        <v>0</v>
      </c>
      <c r="AL1862" s="55">
        <f>VLOOKUP($E1862,'NI-Soc_SP'!$C:$AN,MID(AL$1,1,2),FALSE)</f>
        <v>0</v>
      </c>
      <c r="AM1862" s="56">
        <f>VLOOKUP($E1862,'NI-Soc_SP'!$C:$AN,MID(AM$1,1,2),FALSE)</f>
        <v>0</v>
      </c>
      <c r="AN1862" s="30" t="str">
        <f t="shared" si="29"/>
        <v>20202020040000</v>
      </c>
    </row>
    <row r="1863" spans="1:40" x14ac:dyDescent="0.25">
      <c r="C1863" s="40"/>
      <c r="D1863" s="121" t="s">
        <v>1554</v>
      </c>
      <c r="E1863" s="121" t="s">
        <v>1555</v>
      </c>
      <c r="F1863" s="122" t="s">
        <v>2758</v>
      </c>
      <c r="G1863" s="52"/>
      <c r="H1863" s="52"/>
      <c r="I1863" s="52" t="s">
        <v>1556</v>
      </c>
      <c r="J1863" s="52"/>
      <c r="K1863" s="59" t="s">
        <v>79</v>
      </c>
      <c r="L1863" s="62" t="s">
        <v>1557</v>
      </c>
      <c r="M1863" s="52"/>
      <c r="N1863" s="52"/>
      <c r="O1863" s="61" t="s">
        <v>1547</v>
      </c>
      <c r="P1863" s="60" t="s">
        <v>2751</v>
      </c>
      <c r="Q1863" s="55">
        <f>VLOOKUP(E1863,'NI-Soc_SP'!$C:$AN,12,FALSE)</f>
        <v>0</v>
      </c>
      <c r="R1863" s="55">
        <f>VLOOKUP(E1863,'NI-Soc_SP'!$C:$AN,13,FALSE)</f>
        <v>0</v>
      </c>
      <c r="S1863" s="55">
        <f>VLOOKUP(E1863,'NI-Soc_SP'!$C:$AN,31,FALSE)</f>
        <v>0</v>
      </c>
      <c r="T1863" s="55">
        <f>VLOOKUP(E1863,'NI-Soc_SP'!$C:$AN,32,FALSE)+VLOOKUP(E1863,'NI-Soc_SP'!$C:$AN,33,FALSE)</f>
        <v>0</v>
      </c>
      <c r="U1863" s="55">
        <f>VLOOKUP($E1863,'NI-Soc_SP'!$C:$AN,MID(U$1,1,2),FALSE)</f>
        <v>0</v>
      </c>
      <c r="V1863" s="55">
        <f>VLOOKUP($E1863,'NI-Soc_SP'!$C:$AN,MID(V$1,1,2),FALSE)</f>
        <v>0</v>
      </c>
      <c r="W1863" s="55">
        <f>VLOOKUP($E1863,'NI-Soc_SP'!$C:$AN,MID(W$1,1,2),FALSE)</f>
        <v>0</v>
      </c>
      <c r="X1863" s="55">
        <f>VLOOKUP($E1863,'NI-Soc_SP'!$C:$AN,MID(X$1,1,2),FALSE)</f>
        <v>0</v>
      </c>
      <c r="Y1863" s="55">
        <f>VLOOKUP($E1863,'NI-Soc_SP'!$C:$AN,MID(Y$1,1,2),FALSE)</f>
        <v>0</v>
      </c>
      <c r="Z1863" s="55">
        <f>VLOOKUP($E1863,'NI-Soc_SP'!$C:$AN,MID(Z$1,1,2),FALSE)</f>
        <v>0</v>
      </c>
      <c r="AA1863" s="55">
        <f>VLOOKUP($E1863,'NI-Soc_SP'!$C:$AN,MID(AA$1,1,2),FALSE)</f>
        <v>0</v>
      </c>
      <c r="AB1863" s="55">
        <f>VLOOKUP($E1863,'NI-Soc_SP'!$C:$AN,MID(AB$1,1,2),FALSE)</f>
        <v>0</v>
      </c>
      <c r="AC1863" s="55">
        <f>VLOOKUP($E1863,'NI-Soc_SP'!$C:$AN,MID(AC$1,1,2),FALSE)</f>
        <v>0</v>
      </c>
      <c r="AD1863" s="55">
        <f>VLOOKUP($E1863,'NI-Soc_SP'!$C:$AN,MID(AD$1,1,2),FALSE)</f>
        <v>0</v>
      </c>
      <c r="AE1863" s="55">
        <f>VLOOKUP($E1863,'NI-Soc_SP'!$C:$AN,MID(AE$1,1,2),FALSE)</f>
        <v>0</v>
      </c>
      <c r="AF1863" s="55">
        <f>VLOOKUP($E1863,'NI-Soc_SP'!$C:$AN,MID(AF$1,1,2),FALSE)</f>
        <v>0</v>
      </c>
      <c r="AG1863" s="55">
        <f>VLOOKUP($E1863,'NI-Soc_SP'!$C:$AN,MID(AG$1,1,2),FALSE)</f>
        <v>0</v>
      </c>
      <c r="AH1863" s="55">
        <f>VLOOKUP($E1863,'NI-Soc_SP'!$C:$AN,MID(AH$1,1,2),FALSE)</f>
        <v>0</v>
      </c>
      <c r="AI1863" s="55">
        <f>VLOOKUP($E1863,'NI-Soc_SP'!$C:$AN,MID(AI$1,1,2),FALSE)</f>
        <v>0</v>
      </c>
      <c r="AJ1863" s="55">
        <f>VLOOKUP($E1863,'NI-Soc_SP'!$C:$AN,MID(AJ$1,1,2),FALSE)</f>
        <v>0</v>
      </c>
      <c r="AK1863" s="55">
        <f>VLOOKUP($E1863,'NI-Soc_SP'!$C:$AN,MID(AK$1,1,2),FALSE)</f>
        <v>0</v>
      </c>
      <c r="AL1863" s="55">
        <f>VLOOKUP($E1863,'NI-Soc_SP'!$C:$AN,MID(AL$1,1,2),FALSE)</f>
        <v>0</v>
      </c>
      <c r="AM1863" s="56">
        <f>VLOOKUP($E1863,'NI-Soc_SP'!$C:$AN,MID(AM$1,1,2),FALSE)</f>
        <v>0</v>
      </c>
      <c r="AN1863" s="30" t="str">
        <f t="shared" si="29"/>
        <v>20202020050000</v>
      </c>
    </row>
    <row r="1864" spans="1:40" ht="27" x14ac:dyDescent="0.25">
      <c r="C1864" s="40"/>
      <c r="D1864" s="121" t="s">
        <v>1559</v>
      </c>
      <c r="E1864" s="121" t="s">
        <v>1560</v>
      </c>
      <c r="F1864" s="122" t="s">
        <v>2758</v>
      </c>
      <c r="G1864" s="52"/>
      <c r="H1864" s="52"/>
      <c r="I1864" s="52" t="s">
        <v>1561</v>
      </c>
      <c r="J1864" s="52"/>
      <c r="K1864" s="59" t="s">
        <v>79</v>
      </c>
      <c r="L1864" s="62" t="s">
        <v>1534</v>
      </c>
      <c r="M1864" s="52"/>
      <c r="N1864" s="52"/>
      <c r="O1864" s="61" t="s">
        <v>1552</v>
      </c>
      <c r="P1864" s="60" t="s">
        <v>2752</v>
      </c>
      <c r="Q1864" s="55">
        <f>VLOOKUP(E1864,'NI-Soc_SP'!$C:$AN,12,FALSE)</f>
        <v>0</v>
      </c>
      <c r="R1864" s="55">
        <f>VLOOKUP(E1864,'NI-Soc_SP'!$C:$AN,13,FALSE)</f>
        <v>0</v>
      </c>
      <c r="S1864" s="55">
        <f>VLOOKUP(E1864,'NI-Soc_SP'!$C:$AN,31,FALSE)</f>
        <v>0</v>
      </c>
      <c r="T1864" s="55">
        <f>VLOOKUP(E1864,'NI-Soc_SP'!$C:$AN,32,FALSE)+VLOOKUP(E1864,'NI-Soc_SP'!$C:$AN,33,FALSE)</f>
        <v>0</v>
      </c>
      <c r="U1864" s="55">
        <f>VLOOKUP($E1864,'NI-Soc_SP'!$C:$AN,MID(U$1,1,2),FALSE)</f>
        <v>0</v>
      </c>
      <c r="V1864" s="55">
        <f>VLOOKUP($E1864,'NI-Soc_SP'!$C:$AN,MID(V$1,1,2),FALSE)</f>
        <v>0</v>
      </c>
      <c r="W1864" s="55">
        <f>VLOOKUP($E1864,'NI-Soc_SP'!$C:$AN,MID(W$1,1,2),FALSE)</f>
        <v>0</v>
      </c>
      <c r="X1864" s="55">
        <f>VLOOKUP($E1864,'NI-Soc_SP'!$C:$AN,MID(X$1,1,2),FALSE)</f>
        <v>0</v>
      </c>
      <c r="Y1864" s="55">
        <f>VLOOKUP($E1864,'NI-Soc_SP'!$C:$AN,MID(Y$1,1,2),FALSE)</f>
        <v>0</v>
      </c>
      <c r="Z1864" s="55">
        <f>VLOOKUP($E1864,'NI-Soc_SP'!$C:$AN,MID(Z$1,1,2),FALSE)</f>
        <v>0</v>
      </c>
      <c r="AA1864" s="55">
        <f>VLOOKUP($E1864,'NI-Soc_SP'!$C:$AN,MID(AA$1,1,2),FALSE)</f>
        <v>0</v>
      </c>
      <c r="AB1864" s="55">
        <f>VLOOKUP($E1864,'NI-Soc_SP'!$C:$AN,MID(AB$1,1,2),FALSE)</f>
        <v>0</v>
      </c>
      <c r="AC1864" s="55">
        <f>VLOOKUP($E1864,'NI-Soc_SP'!$C:$AN,MID(AC$1,1,2),FALSE)</f>
        <v>0</v>
      </c>
      <c r="AD1864" s="55">
        <f>VLOOKUP($E1864,'NI-Soc_SP'!$C:$AN,MID(AD$1,1,2),FALSE)</f>
        <v>0</v>
      </c>
      <c r="AE1864" s="55">
        <f>VLOOKUP($E1864,'NI-Soc_SP'!$C:$AN,MID(AE$1,1,2),FALSE)</f>
        <v>0</v>
      </c>
      <c r="AF1864" s="55">
        <f>VLOOKUP($E1864,'NI-Soc_SP'!$C:$AN,MID(AF$1,1,2),FALSE)</f>
        <v>0</v>
      </c>
      <c r="AG1864" s="55">
        <f>VLOOKUP($E1864,'NI-Soc_SP'!$C:$AN,MID(AG$1,1,2),FALSE)</f>
        <v>0</v>
      </c>
      <c r="AH1864" s="55">
        <f>VLOOKUP($E1864,'NI-Soc_SP'!$C:$AN,MID(AH$1,1,2),FALSE)</f>
        <v>0</v>
      </c>
      <c r="AI1864" s="55">
        <f>VLOOKUP($E1864,'NI-Soc_SP'!$C:$AN,MID(AI$1,1,2),FALSE)</f>
        <v>0</v>
      </c>
      <c r="AJ1864" s="55">
        <f>VLOOKUP($E1864,'NI-Soc_SP'!$C:$AN,MID(AJ$1,1,2),FALSE)</f>
        <v>0</v>
      </c>
      <c r="AK1864" s="55">
        <f>VLOOKUP($E1864,'NI-Soc_SP'!$C:$AN,MID(AK$1,1,2),FALSE)</f>
        <v>0</v>
      </c>
      <c r="AL1864" s="55">
        <f>VLOOKUP($E1864,'NI-Soc_SP'!$C:$AN,MID(AL$1,1,2),FALSE)</f>
        <v>0</v>
      </c>
      <c r="AM1864" s="56">
        <f>VLOOKUP($E1864,'NI-Soc_SP'!$C:$AN,MID(AM$1,1,2),FALSE)</f>
        <v>0</v>
      </c>
      <c r="AN1864" s="30" t="str">
        <f t="shared" si="29"/>
        <v>20202020060000</v>
      </c>
    </row>
    <row r="1865" spans="1:40" s="85" customFormat="1" x14ac:dyDescent="0.25">
      <c r="A1865" s="30" t="s">
        <v>1394</v>
      </c>
      <c r="B1865" s="30"/>
      <c r="C1865" s="40"/>
      <c r="D1865" s="78" t="s">
        <v>1563</v>
      </c>
      <c r="E1865" s="78" t="s">
        <v>1564</v>
      </c>
      <c r="F1865" s="122" t="s">
        <v>2758</v>
      </c>
      <c r="G1865" s="52"/>
      <c r="H1865" s="84"/>
      <c r="I1865" s="84"/>
      <c r="J1865" s="52" t="s">
        <v>1565</v>
      </c>
      <c r="K1865" s="59" t="s">
        <v>79</v>
      </c>
      <c r="L1865" s="62" t="s">
        <v>1534</v>
      </c>
      <c r="M1865" s="84"/>
      <c r="N1865" s="84"/>
      <c r="O1865" s="61" t="s">
        <v>1566</v>
      </c>
      <c r="P1865" s="76" t="s">
        <v>1567</v>
      </c>
      <c r="Q1865" s="55">
        <f>VLOOKUP(E1865,'NI-Soc_SP'!$C:$AN,12,FALSE)</f>
        <v>0</v>
      </c>
      <c r="R1865" s="55">
        <f>VLOOKUP(E1865,'NI-Soc_SP'!$C:$AN,13,FALSE)</f>
        <v>0</v>
      </c>
      <c r="S1865" s="55">
        <f>VLOOKUP(E1865,'NI-Soc_SP'!$C:$AN,31,FALSE)</f>
        <v>0</v>
      </c>
      <c r="T1865" s="55">
        <f>VLOOKUP(E1865,'NI-Soc_SP'!$C:$AN,32,FALSE)+VLOOKUP(E1865,'NI-Soc_SP'!$C:$AN,33,FALSE)</f>
        <v>0</v>
      </c>
      <c r="U1865" s="55">
        <f>VLOOKUP($E1865,'NI-Soc_SP'!$C:$AN,MID(U$1,1,2),FALSE)</f>
        <v>0</v>
      </c>
      <c r="V1865" s="55">
        <f>VLOOKUP($E1865,'NI-Soc_SP'!$C:$AN,MID(V$1,1,2),FALSE)</f>
        <v>0</v>
      </c>
      <c r="W1865" s="55">
        <f>VLOOKUP($E1865,'NI-Soc_SP'!$C:$AN,MID(W$1,1,2),FALSE)</f>
        <v>0</v>
      </c>
      <c r="X1865" s="55">
        <f>VLOOKUP($E1865,'NI-Soc_SP'!$C:$AN,MID(X$1,1,2),FALSE)</f>
        <v>0</v>
      </c>
      <c r="Y1865" s="55">
        <f>VLOOKUP($E1865,'NI-Soc_SP'!$C:$AN,MID(Y$1,1,2),FALSE)</f>
        <v>0</v>
      </c>
      <c r="Z1865" s="55">
        <f>VLOOKUP($E1865,'NI-Soc_SP'!$C:$AN,MID(Z$1,1,2),FALSE)</f>
        <v>0</v>
      </c>
      <c r="AA1865" s="55">
        <f>VLOOKUP($E1865,'NI-Soc_SP'!$C:$AN,MID(AA$1,1,2),FALSE)</f>
        <v>0</v>
      </c>
      <c r="AB1865" s="55">
        <f>VLOOKUP($E1865,'NI-Soc_SP'!$C:$AN,MID(AB$1,1,2),FALSE)</f>
        <v>0</v>
      </c>
      <c r="AC1865" s="55">
        <f>VLOOKUP($E1865,'NI-Soc_SP'!$C:$AN,MID(AC$1,1,2),FALSE)</f>
        <v>0</v>
      </c>
      <c r="AD1865" s="55">
        <f>VLOOKUP($E1865,'NI-Soc_SP'!$C:$AN,MID(AD$1,1,2),FALSE)</f>
        <v>0</v>
      </c>
      <c r="AE1865" s="55">
        <f>VLOOKUP($E1865,'NI-Soc_SP'!$C:$AN,MID(AE$1,1,2),FALSE)</f>
        <v>0</v>
      </c>
      <c r="AF1865" s="55">
        <f>VLOOKUP($E1865,'NI-Soc_SP'!$C:$AN,MID(AF$1,1,2),FALSE)</f>
        <v>0</v>
      </c>
      <c r="AG1865" s="55">
        <f>VLOOKUP($E1865,'NI-Soc_SP'!$C:$AN,MID(AG$1,1,2),FALSE)</f>
        <v>0</v>
      </c>
      <c r="AH1865" s="55">
        <f>VLOOKUP($E1865,'NI-Soc_SP'!$C:$AN,MID(AH$1,1,2),FALSE)</f>
        <v>0</v>
      </c>
      <c r="AI1865" s="55">
        <f>VLOOKUP($E1865,'NI-Soc_SP'!$C:$AN,MID(AI$1,1,2),FALSE)</f>
        <v>0</v>
      </c>
      <c r="AJ1865" s="55">
        <f>VLOOKUP($E1865,'NI-Soc_SP'!$C:$AN,MID(AJ$1,1,2),FALSE)</f>
        <v>0</v>
      </c>
      <c r="AK1865" s="55">
        <f>VLOOKUP($E1865,'NI-Soc_SP'!$C:$AN,MID(AK$1,1,2),FALSE)</f>
        <v>0</v>
      </c>
      <c r="AL1865" s="55">
        <f>VLOOKUP($E1865,'NI-Soc_SP'!$C:$AN,MID(AL$1,1,2),FALSE)</f>
        <v>0</v>
      </c>
      <c r="AM1865" s="56">
        <f>VLOOKUP($E1865,'NI-Soc_SP'!$C:$AN,MID(AM$1,1,2),FALSE)</f>
        <v>0</v>
      </c>
      <c r="AN1865" s="30" t="str">
        <f t="shared" si="29"/>
        <v>20202030000000</v>
      </c>
    </row>
    <row r="1866" spans="1:40" s="85" customFormat="1" x14ac:dyDescent="0.25">
      <c r="A1866" s="30" t="s">
        <v>1394</v>
      </c>
      <c r="B1866" s="30"/>
      <c r="C1866" s="40"/>
      <c r="D1866" s="78" t="s">
        <v>1568</v>
      </c>
      <c r="E1866" s="78" t="s">
        <v>1569</v>
      </c>
      <c r="F1866" s="122" t="s">
        <v>2758</v>
      </c>
      <c r="G1866" s="52"/>
      <c r="H1866" s="84"/>
      <c r="I1866" s="84"/>
      <c r="J1866" s="52"/>
      <c r="K1866" s="59" t="s">
        <v>79</v>
      </c>
      <c r="L1866" s="62" t="s">
        <v>1534</v>
      </c>
      <c r="M1866" s="84"/>
      <c r="N1866" s="84"/>
      <c r="O1866" s="61" t="s">
        <v>1566</v>
      </c>
      <c r="P1866" s="76" t="s">
        <v>1571</v>
      </c>
      <c r="Q1866" s="55">
        <f>VLOOKUP(E1866,'NI-Soc_SP'!$C:$AN,12,FALSE)</f>
        <v>0</v>
      </c>
      <c r="R1866" s="55">
        <f>VLOOKUP(E1866,'NI-Soc_SP'!$C:$AN,13,FALSE)</f>
        <v>0</v>
      </c>
      <c r="S1866" s="55">
        <f>VLOOKUP(E1866,'NI-Soc_SP'!$C:$AN,31,FALSE)</f>
        <v>0</v>
      </c>
      <c r="T1866" s="55">
        <f>VLOOKUP(E1866,'NI-Soc_SP'!$C:$AN,32,FALSE)+VLOOKUP(E1866,'NI-Soc_SP'!$C:$AN,33,FALSE)</f>
        <v>0</v>
      </c>
      <c r="U1866" s="55">
        <f>VLOOKUP($E1866,'NI-Soc_SP'!$C:$AN,MID(U$1,1,2),FALSE)</f>
        <v>0</v>
      </c>
      <c r="V1866" s="55">
        <f>VLOOKUP($E1866,'NI-Soc_SP'!$C:$AN,MID(V$1,1,2),FALSE)</f>
        <v>0</v>
      </c>
      <c r="W1866" s="55">
        <f>VLOOKUP($E1866,'NI-Soc_SP'!$C:$AN,MID(W$1,1,2),FALSE)</f>
        <v>0</v>
      </c>
      <c r="X1866" s="55">
        <f>VLOOKUP($E1866,'NI-Soc_SP'!$C:$AN,MID(X$1,1,2),FALSE)</f>
        <v>0</v>
      </c>
      <c r="Y1866" s="55">
        <f>VLOOKUP($E1866,'NI-Soc_SP'!$C:$AN,MID(Y$1,1,2),FALSE)</f>
        <v>0</v>
      </c>
      <c r="Z1866" s="55">
        <f>VLOOKUP($E1866,'NI-Soc_SP'!$C:$AN,MID(Z$1,1,2),FALSE)</f>
        <v>0</v>
      </c>
      <c r="AA1866" s="55">
        <f>VLOOKUP($E1866,'NI-Soc_SP'!$C:$AN,MID(AA$1,1,2),FALSE)</f>
        <v>0</v>
      </c>
      <c r="AB1866" s="55">
        <f>VLOOKUP($E1866,'NI-Soc_SP'!$C:$AN,MID(AB$1,1,2),FALSE)</f>
        <v>0</v>
      </c>
      <c r="AC1866" s="55">
        <f>VLOOKUP($E1866,'NI-Soc_SP'!$C:$AN,MID(AC$1,1,2),FALSE)</f>
        <v>0</v>
      </c>
      <c r="AD1866" s="55">
        <f>VLOOKUP($E1866,'NI-Soc_SP'!$C:$AN,MID(AD$1,1,2),FALSE)</f>
        <v>0</v>
      </c>
      <c r="AE1866" s="55">
        <f>VLOOKUP($E1866,'NI-Soc_SP'!$C:$AN,MID(AE$1,1,2),FALSE)</f>
        <v>0</v>
      </c>
      <c r="AF1866" s="55">
        <f>VLOOKUP($E1866,'NI-Soc_SP'!$C:$AN,MID(AF$1,1,2),FALSE)</f>
        <v>0</v>
      </c>
      <c r="AG1866" s="55">
        <f>VLOOKUP($E1866,'NI-Soc_SP'!$C:$AN,MID(AG$1,1,2),FALSE)</f>
        <v>0</v>
      </c>
      <c r="AH1866" s="55">
        <f>VLOOKUP($E1866,'NI-Soc_SP'!$C:$AN,MID(AH$1,1,2),FALSE)</f>
        <v>0</v>
      </c>
      <c r="AI1866" s="55">
        <f>VLOOKUP($E1866,'NI-Soc_SP'!$C:$AN,MID(AI$1,1,2),FALSE)</f>
        <v>0</v>
      </c>
      <c r="AJ1866" s="55">
        <f>VLOOKUP($E1866,'NI-Soc_SP'!$C:$AN,MID(AJ$1,1,2),FALSE)</f>
        <v>0</v>
      </c>
      <c r="AK1866" s="55">
        <f>VLOOKUP($E1866,'NI-Soc_SP'!$C:$AN,MID(AK$1,1,2),FALSE)</f>
        <v>0</v>
      </c>
      <c r="AL1866" s="55">
        <f>VLOOKUP($E1866,'NI-Soc_SP'!$C:$AN,MID(AL$1,1,2),FALSE)</f>
        <v>0</v>
      </c>
      <c r="AM1866" s="56">
        <f>VLOOKUP($E1866,'NI-Soc_SP'!$C:$AN,MID(AM$1,1,2),FALSE)</f>
        <v>0</v>
      </c>
      <c r="AN1866" s="30" t="str">
        <f t="shared" si="29"/>
        <v>20202040000000</v>
      </c>
    </row>
    <row r="1867" spans="1:40" x14ac:dyDescent="0.25">
      <c r="C1867" s="40"/>
      <c r="D1867" s="121" t="s">
        <v>1572</v>
      </c>
      <c r="E1867" s="121" t="s">
        <v>1573</v>
      </c>
      <c r="F1867" s="122" t="s">
        <v>2758</v>
      </c>
      <c r="G1867" s="52"/>
      <c r="H1867" s="52"/>
      <c r="I1867" s="52" t="s">
        <v>1574</v>
      </c>
      <c r="J1867" s="52"/>
      <c r="K1867" s="59" t="s">
        <v>79</v>
      </c>
      <c r="L1867" s="52" t="s">
        <v>1575</v>
      </c>
      <c r="M1867" s="52"/>
      <c r="N1867" s="52"/>
      <c r="O1867" s="61" t="s">
        <v>1576</v>
      </c>
      <c r="P1867" s="63" t="s">
        <v>1577</v>
      </c>
      <c r="Q1867" s="55">
        <f>VLOOKUP(E1867,'NI-Soc_SP'!$C:$AN,12,FALSE)</f>
        <v>0</v>
      </c>
      <c r="R1867" s="55">
        <f>VLOOKUP(E1867,'NI-Soc_SP'!$C:$AN,13,FALSE)</f>
        <v>0</v>
      </c>
      <c r="S1867" s="55">
        <f>VLOOKUP(E1867,'NI-Soc_SP'!$C:$AN,31,FALSE)</f>
        <v>0</v>
      </c>
      <c r="T1867" s="55">
        <f>VLOOKUP(E1867,'NI-Soc_SP'!$C:$AN,32,FALSE)+VLOOKUP(E1867,'NI-Soc_SP'!$C:$AN,33,FALSE)</f>
        <v>0</v>
      </c>
      <c r="U1867" s="55">
        <f>VLOOKUP($E1867,'NI-Soc_SP'!$C:$AN,MID(U$1,1,2),FALSE)</f>
        <v>0</v>
      </c>
      <c r="V1867" s="55">
        <f>VLOOKUP($E1867,'NI-Soc_SP'!$C:$AN,MID(V$1,1,2),FALSE)</f>
        <v>0</v>
      </c>
      <c r="W1867" s="55">
        <f>VLOOKUP($E1867,'NI-Soc_SP'!$C:$AN,MID(W$1,1,2),FALSE)</f>
        <v>0</v>
      </c>
      <c r="X1867" s="55">
        <f>VLOOKUP($E1867,'NI-Soc_SP'!$C:$AN,MID(X$1,1,2),FALSE)</f>
        <v>0</v>
      </c>
      <c r="Y1867" s="55">
        <f>VLOOKUP($E1867,'NI-Soc_SP'!$C:$AN,MID(Y$1,1,2),FALSE)</f>
        <v>0</v>
      </c>
      <c r="Z1867" s="55">
        <f>VLOOKUP($E1867,'NI-Soc_SP'!$C:$AN,MID(Z$1,1,2),FALSE)</f>
        <v>0</v>
      </c>
      <c r="AA1867" s="55">
        <f>VLOOKUP($E1867,'NI-Soc_SP'!$C:$AN,MID(AA$1,1,2),FALSE)</f>
        <v>0</v>
      </c>
      <c r="AB1867" s="55">
        <f>VLOOKUP($E1867,'NI-Soc_SP'!$C:$AN,MID(AB$1,1,2),FALSE)</f>
        <v>0</v>
      </c>
      <c r="AC1867" s="55">
        <f>VLOOKUP($E1867,'NI-Soc_SP'!$C:$AN,MID(AC$1,1,2),FALSE)</f>
        <v>0</v>
      </c>
      <c r="AD1867" s="55">
        <f>VLOOKUP($E1867,'NI-Soc_SP'!$C:$AN,MID(AD$1,1,2),FALSE)</f>
        <v>0</v>
      </c>
      <c r="AE1867" s="55">
        <f>VLOOKUP($E1867,'NI-Soc_SP'!$C:$AN,MID(AE$1,1,2),FALSE)</f>
        <v>0</v>
      </c>
      <c r="AF1867" s="55">
        <f>VLOOKUP($E1867,'NI-Soc_SP'!$C:$AN,MID(AF$1,1,2),FALSE)</f>
        <v>0</v>
      </c>
      <c r="AG1867" s="55">
        <f>VLOOKUP($E1867,'NI-Soc_SP'!$C:$AN,MID(AG$1,1,2),FALSE)</f>
        <v>0</v>
      </c>
      <c r="AH1867" s="55">
        <f>VLOOKUP($E1867,'NI-Soc_SP'!$C:$AN,MID(AH$1,1,2),FALSE)</f>
        <v>0</v>
      </c>
      <c r="AI1867" s="55">
        <f>VLOOKUP($E1867,'NI-Soc_SP'!$C:$AN,MID(AI$1,1,2),FALSE)</f>
        <v>0</v>
      </c>
      <c r="AJ1867" s="55">
        <f>VLOOKUP($E1867,'NI-Soc_SP'!$C:$AN,MID(AJ$1,1,2),FALSE)</f>
        <v>0</v>
      </c>
      <c r="AK1867" s="55">
        <f>VLOOKUP($E1867,'NI-Soc_SP'!$C:$AN,MID(AK$1,1,2),FALSE)</f>
        <v>0</v>
      </c>
      <c r="AL1867" s="55">
        <f>VLOOKUP($E1867,'NI-Soc_SP'!$C:$AN,MID(AL$1,1,2),FALSE)</f>
        <v>0</v>
      </c>
      <c r="AM1867" s="56">
        <f>VLOOKUP($E1867,'NI-Soc_SP'!$C:$AN,MID(AM$1,1,2),FALSE)</f>
        <v>0</v>
      </c>
      <c r="AN1867" s="30" t="str">
        <f t="shared" si="29"/>
        <v>20203000000000</v>
      </c>
    </row>
    <row r="1868" spans="1:40" x14ac:dyDescent="0.25">
      <c r="C1868" s="40"/>
      <c r="D1868" s="121" t="s">
        <v>1578</v>
      </c>
      <c r="E1868" s="121" t="s">
        <v>1579</v>
      </c>
      <c r="F1868" s="122" t="s">
        <v>2758</v>
      </c>
      <c r="G1868" s="52"/>
      <c r="H1868" s="52"/>
      <c r="I1868" s="52"/>
      <c r="J1868" s="52"/>
      <c r="K1868" s="59" t="s">
        <v>111</v>
      </c>
      <c r="L1868" s="52" t="s">
        <v>1580</v>
      </c>
      <c r="M1868" s="52"/>
      <c r="N1868" s="52"/>
      <c r="O1868" s="52"/>
      <c r="P1868" s="76" t="s">
        <v>1581</v>
      </c>
      <c r="Q1868" s="55">
        <f>VLOOKUP(E1868,'NI-Soc_SP'!$C:$AN,12,FALSE)</f>
        <v>0</v>
      </c>
      <c r="R1868" s="55">
        <f>VLOOKUP(E1868,'NI-Soc_SP'!$C:$AN,13,FALSE)</f>
        <v>0</v>
      </c>
      <c r="S1868" s="55">
        <f>VLOOKUP(E1868,'NI-Soc_SP'!$C:$AN,31,FALSE)</f>
        <v>0</v>
      </c>
      <c r="T1868" s="55">
        <f>VLOOKUP(E1868,'NI-Soc_SP'!$C:$AN,32,FALSE)+VLOOKUP(E1868,'NI-Soc_SP'!$C:$AN,33,FALSE)</f>
        <v>0</v>
      </c>
      <c r="U1868" s="55">
        <f>VLOOKUP($E1868,'NI-Soc_SP'!$C:$AN,MID(U$1,1,2),FALSE)</f>
        <v>0</v>
      </c>
      <c r="V1868" s="55">
        <f>VLOOKUP($E1868,'NI-Soc_SP'!$C:$AN,MID(V$1,1,2),FALSE)</f>
        <v>0</v>
      </c>
      <c r="W1868" s="55">
        <f>VLOOKUP($E1868,'NI-Soc_SP'!$C:$AN,MID(W$1,1,2),FALSE)</f>
        <v>0</v>
      </c>
      <c r="X1868" s="55">
        <f>VLOOKUP($E1868,'NI-Soc_SP'!$C:$AN,MID(X$1,1,2),FALSE)</f>
        <v>0</v>
      </c>
      <c r="Y1868" s="55">
        <f>VLOOKUP($E1868,'NI-Soc_SP'!$C:$AN,MID(Y$1,1,2),FALSE)</f>
        <v>0</v>
      </c>
      <c r="Z1868" s="55">
        <f>VLOOKUP($E1868,'NI-Soc_SP'!$C:$AN,MID(Z$1,1,2),FALSE)</f>
        <v>0</v>
      </c>
      <c r="AA1868" s="55">
        <f>VLOOKUP($E1868,'NI-Soc_SP'!$C:$AN,MID(AA$1,1,2),FALSE)</f>
        <v>0</v>
      </c>
      <c r="AB1868" s="55">
        <f>VLOOKUP($E1868,'NI-Soc_SP'!$C:$AN,MID(AB$1,1,2),FALSE)</f>
        <v>0</v>
      </c>
      <c r="AC1868" s="55">
        <f>VLOOKUP($E1868,'NI-Soc_SP'!$C:$AN,MID(AC$1,1,2),FALSE)</f>
        <v>0</v>
      </c>
      <c r="AD1868" s="55">
        <f>VLOOKUP($E1868,'NI-Soc_SP'!$C:$AN,MID(AD$1,1,2),FALSE)</f>
        <v>0</v>
      </c>
      <c r="AE1868" s="55">
        <f>VLOOKUP($E1868,'NI-Soc_SP'!$C:$AN,MID(AE$1,1,2),FALSE)</f>
        <v>0</v>
      </c>
      <c r="AF1868" s="55">
        <f>VLOOKUP($E1868,'NI-Soc_SP'!$C:$AN,MID(AF$1,1,2),FALSE)</f>
        <v>0</v>
      </c>
      <c r="AG1868" s="55">
        <f>VLOOKUP($E1868,'NI-Soc_SP'!$C:$AN,MID(AG$1,1,2),FALSE)</f>
        <v>0</v>
      </c>
      <c r="AH1868" s="55">
        <f>VLOOKUP($E1868,'NI-Soc_SP'!$C:$AN,MID(AH$1,1,2),FALSE)</f>
        <v>0</v>
      </c>
      <c r="AI1868" s="55">
        <f>VLOOKUP($E1868,'NI-Soc_SP'!$C:$AN,MID(AI$1,1,2),FALSE)</f>
        <v>0</v>
      </c>
      <c r="AJ1868" s="55">
        <f>VLOOKUP($E1868,'NI-Soc_SP'!$C:$AN,MID(AJ$1,1,2),FALSE)</f>
        <v>0</v>
      </c>
      <c r="AK1868" s="55">
        <f>VLOOKUP($E1868,'NI-Soc_SP'!$C:$AN,MID(AK$1,1,2),FALSE)</f>
        <v>0</v>
      </c>
      <c r="AL1868" s="55">
        <f>VLOOKUP($E1868,'NI-Soc_SP'!$C:$AN,MID(AL$1,1,2),FALSE)</f>
        <v>0</v>
      </c>
      <c r="AM1868" s="56">
        <f>VLOOKUP($E1868,'NI-Soc_SP'!$C:$AN,MID(AM$1,1,2),FALSE)</f>
        <v>0</v>
      </c>
      <c r="AN1868" s="30" t="str">
        <f t="shared" si="29"/>
        <v>20204000000000</v>
      </c>
    </row>
    <row r="1869" spans="1:40" x14ac:dyDescent="0.25">
      <c r="C1869" s="40"/>
      <c r="D1869" s="121" t="s">
        <v>1582</v>
      </c>
      <c r="E1869" s="121" t="s">
        <v>1583</v>
      </c>
      <c r="F1869" s="122" t="s">
        <v>2758</v>
      </c>
      <c r="G1869" s="52" t="s">
        <v>2396</v>
      </c>
      <c r="H1869" s="52"/>
      <c r="I1869" s="52"/>
      <c r="J1869" s="52"/>
      <c r="K1869" s="59" t="s">
        <v>111</v>
      </c>
      <c r="L1869" s="52"/>
      <c r="M1869" s="52"/>
      <c r="N1869" s="52"/>
      <c r="O1869" s="52"/>
      <c r="P1869" s="104" t="s">
        <v>1584</v>
      </c>
      <c r="Q1869" s="55">
        <f>VLOOKUP(E1869,'NI-Soc_SP'!$C:$AN,12,FALSE)</f>
        <v>0</v>
      </c>
      <c r="R1869" s="55">
        <f>VLOOKUP(E1869,'NI-Soc_SP'!$C:$AN,13,FALSE)</f>
        <v>0</v>
      </c>
      <c r="S1869" s="55">
        <f>VLOOKUP(E1869,'NI-Soc_SP'!$C:$AN,31,FALSE)</f>
        <v>0</v>
      </c>
      <c r="T1869" s="55">
        <f>VLOOKUP(E1869,'NI-Soc_SP'!$C:$AN,32,FALSE)+VLOOKUP(E1869,'NI-Soc_SP'!$C:$AN,33,FALSE)</f>
        <v>0</v>
      </c>
      <c r="U1869" s="55">
        <f>VLOOKUP($E1869,'NI-Soc_SP'!$C:$AN,MID(U$1,1,2),FALSE)</f>
        <v>0</v>
      </c>
      <c r="V1869" s="55">
        <f>VLOOKUP($E1869,'NI-Soc_SP'!$C:$AN,MID(V$1,1,2),FALSE)</f>
        <v>0</v>
      </c>
      <c r="W1869" s="55">
        <f>VLOOKUP($E1869,'NI-Soc_SP'!$C:$AN,MID(W$1,1,2),FALSE)</f>
        <v>0</v>
      </c>
      <c r="X1869" s="55">
        <f>VLOOKUP($E1869,'NI-Soc_SP'!$C:$AN,MID(X$1,1,2),FALSE)</f>
        <v>0</v>
      </c>
      <c r="Y1869" s="55">
        <f>VLOOKUP($E1869,'NI-Soc_SP'!$C:$AN,MID(Y$1,1,2),FALSE)</f>
        <v>0</v>
      </c>
      <c r="Z1869" s="55">
        <f>VLOOKUP($E1869,'NI-Soc_SP'!$C:$AN,MID(Z$1,1,2),FALSE)</f>
        <v>0</v>
      </c>
      <c r="AA1869" s="55">
        <f>VLOOKUP($E1869,'NI-Soc_SP'!$C:$AN,MID(AA$1,1,2),FALSE)</f>
        <v>0</v>
      </c>
      <c r="AB1869" s="55">
        <f>VLOOKUP($E1869,'NI-Soc_SP'!$C:$AN,MID(AB$1,1,2),FALSE)</f>
        <v>0</v>
      </c>
      <c r="AC1869" s="55">
        <f>VLOOKUP($E1869,'NI-Soc_SP'!$C:$AN,MID(AC$1,1,2),FALSE)</f>
        <v>0</v>
      </c>
      <c r="AD1869" s="55">
        <f>VLOOKUP($E1869,'NI-Soc_SP'!$C:$AN,MID(AD$1,1,2),FALSE)</f>
        <v>0</v>
      </c>
      <c r="AE1869" s="55">
        <f>VLOOKUP($E1869,'NI-Soc_SP'!$C:$AN,MID(AE$1,1,2),FALSE)</f>
        <v>0</v>
      </c>
      <c r="AF1869" s="55">
        <f>VLOOKUP($E1869,'NI-Soc_SP'!$C:$AN,MID(AF$1,1,2),FALSE)</f>
        <v>0</v>
      </c>
      <c r="AG1869" s="55">
        <f>VLOOKUP($E1869,'NI-Soc_SP'!$C:$AN,MID(AG$1,1,2),FALSE)</f>
        <v>0</v>
      </c>
      <c r="AH1869" s="55">
        <f>VLOOKUP($E1869,'NI-Soc_SP'!$C:$AN,MID(AH$1,1,2),FALSE)</f>
        <v>0</v>
      </c>
      <c r="AI1869" s="55">
        <f>VLOOKUP($E1869,'NI-Soc_SP'!$C:$AN,MID(AI$1,1,2),FALSE)</f>
        <v>0</v>
      </c>
      <c r="AJ1869" s="55">
        <f>VLOOKUP($E1869,'NI-Soc_SP'!$C:$AN,MID(AJ$1,1,2),FALSE)</f>
        <v>0</v>
      </c>
      <c r="AK1869" s="55">
        <f>VLOOKUP($E1869,'NI-Soc_SP'!$C:$AN,MID(AK$1,1,2),FALSE)</f>
        <v>0</v>
      </c>
      <c r="AL1869" s="55">
        <f>VLOOKUP($E1869,'NI-Soc_SP'!$C:$AN,MID(AL$1,1,2),FALSE)</f>
        <v>0</v>
      </c>
      <c r="AM1869" s="56">
        <f>VLOOKUP($E1869,'NI-Soc_SP'!$C:$AN,MID(AM$1,1,2),FALSE)</f>
        <v>0</v>
      </c>
      <c r="AN1869" s="30" t="str">
        <f t="shared" si="29"/>
        <v>20204010000000</v>
      </c>
    </row>
    <row r="1870" spans="1:40" x14ac:dyDescent="0.25">
      <c r="C1870" s="40"/>
      <c r="D1870" s="121" t="s">
        <v>1585</v>
      </c>
      <c r="E1870" s="121" t="s">
        <v>1586</v>
      </c>
      <c r="F1870" s="122" t="s">
        <v>2758</v>
      </c>
      <c r="G1870" s="52" t="s">
        <v>2396</v>
      </c>
      <c r="H1870" s="52"/>
      <c r="I1870" s="52" t="s">
        <v>1587</v>
      </c>
      <c r="J1870" s="52"/>
      <c r="K1870" s="59" t="s">
        <v>111</v>
      </c>
      <c r="L1870" s="52"/>
      <c r="M1870" s="52"/>
      <c r="N1870" s="52"/>
      <c r="O1870" s="52"/>
      <c r="P1870" s="76" t="s">
        <v>1588</v>
      </c>
      <c r="Q1870" s="55">
        <f>VLOOKUP(E1870,'NI-Soc_SP'!$C:$AN,12,FALSE)</f>
        <v>0</v>
      </c>
      <c r="R1870" s="55">
        <f>VLOOKUP(E1870,'NI-Soc_SP'!$C:$AN,13,FALSE)</f>
        <v>0</v>
      </c>
      <c r="S1870" s="55">
        <f>VLOOKUP(E1870,'NI-Soc_SP'!$C:$AN,31,FALSE)</f>
        <v>0</v>
      </c>
      <c r="T1870" s="55">
        <f>VLOOKUP(E1870,'NI-Soc_SP'!$C:$AN,32,FALSE)+VLOOKUP(E1870,'NI-Soc_SP'!$C:$AN,33,FALSE)</f>
        <v>0</v>
      </c>
      <c r="U1870" s="55">
        <f>VLOOKUP($E1870,'NI-Soc_SP'!$C:$AN,MID(U$1,1,2),FALSE)</f>
        <v>0</v>
      </c>
      <c r="V1870" s="55">
        <f>VLOOKUP($E1870,'NI-Soc_SP'!$C:$AN,MID(V$1,1,2),FALSE)</f>
        <v>0</v>
      </c>
      <c r="W1870" s="55">
        <f>VLOOKUP($E1870,'NI-Soc_SP'!$C:$AN,MID(W$1,1,2),FALSE)</f>
        <v>0</v>
      </c>
      <c r="X1870" s="55">
        <f>VLOOKUP($E1870,'NI-Soc_SP'!$C:$AN,MID(X$1,1,2),FALSE)</f>
        <v>0</v>
      </c>
      <c r="Y1870" s="55">
        <f>VLOOKUP($E1870,'NI-Soc_SP'!$C:$AN,MID(Y$1,1,2),FALSE)</f>
        <v>0</v>
      </c>
      <c r="Z1870" s="55">
        <f>VLOOKUP($E1870,'NI-Soc_SP'!$C:$AN,MID(Z$1,1,2),FALSE)</f>
        <v>0</v>
      </c>
      <c r="AA1870" s="55">
        <f>VLOOKUP($E1870,'NI-Soc_SP'!$C:$AN,MID(AA$1,1,2),FALSE)</f>
        <v>0</v>
      </c>
      <c r="AB1870" s="55">
        <f>VLOOKUP($E1870,'NI-Soc_SP'!$C:$AN,MID(AB$1,1,2),FALSE)</f>
        <v>0</v>
      </c>
      <c r="AC1870" s="55">
        <f>VLOOKUP($E1870,'NI-Soc_SP'!$C:$AN,MID(AC$1,1,2),FALSE)</f>
        <v>0</v>
      </c>
      <c r="AD1870" s="55">
        <f>VLOOKUP($E1870,'NI-Soc_SP'!$C:$AN,MID(AD$1,1,2),FALSE)</f>
        <v>0</v>
      </c>
      <c r="AE1870" s="55">
        <f>VLOOKUP($E1870,'NI-Soc_SP'!$C:$AN,MID(AE$1,1,2),FALSE)</f>
        <v>0</v>
      </c>
      <c r="AF1870" s="55">
        <f>VLOOKUP($E1870,'NI-Soc_SP'!$C:$AN,MID(AF$1,1,2),FALSE)</f>
        <v>0</v>
      </c>
      <c r="AG1870" s="55">
        <f>VLOOKUP($E1870,'NI-Soc_SP'!$C:$AN,MID(AG$1,1,2),FALSE)</f>
        <v>0</v>
      </c>
      <c r="AH1870" s="55">
        <f>VLOOKUP($E1870,'NI-Soc_SP'!$C:$AN,MID(AH$1,1,2),FALSE)</f>
        <v>0</v>
      </c>
      <c r="AI1870" s="55">
        <f>VLOOKUP($E1870,'NI-Soc_SP'!$C:$AN,MID(AI$1,1,2),FALSE)</f>
        <v>0</v>
      </c>
      <c r="AJ1870" s="55">
        <f>VLOOKUP($E1870,'NI-Soc_SP'!$C:$AN,MID(AJ$1,1,2),FALSE)</f>
        <v>0</v>
      </c>
      <c r="AK1870" s="55">
        <f>VLOOKUP($E1870,'NI-Soc_SP'!$C:$AN,MID(AK$1,1,2),FALSE)</f>
        <v>0</v>
      </c>
      <c r="AL1870" s="55">
        <f>VLOOKUP($E1870,'NI-Soc_SP'!$C:$AN,MID(AL$1,1,2),FALSE)</f>
        <v>0</v>
      </c>
      <c r="AM1870" s="56">
        <f>VLOOKUP($E1870,'NI-Soc_SP'!$C:$AN,MID(AM$1,1,2),FALSE)</f>
        <v>0</v>
      </c>
      <c r="AN1870" s="30" t="str">
        <f t="shared" si="29"/>
        <v>20204010010000</v>
      </c>
    </row>
    <row r="1871" spans="1:40" x14ac:dyDescent="0.25">
      <c r="C1871" s="40"/>
      <c r="D1871" s="121" t="s">
        <v>1589</v>
      </c>
      <c r="E1871" s="121" t="s">
        <v>1590</v>
      </c>
      <c r="F1871" s="122" t="s">
        <v>2758</v>
      </c>
      <c r="G1871" s="52" t="s">
        <v>2396</v>
      </c>
      <c r="H1871" s="52"/>
      <c r="I1871" s="52"/>
      <c r="J1871" s="52"/>
      <c r="K1871" s="59" t="s">
        <v>79</v>
      </c>
      <c r="L1871" s="52"/>
      <c r="M1871" s="52"/>
      <c r="N1871" s="52"/>
      <c r="O1871" s="61" t="s">
        <v>1591</v>
      </c>
      <c r="P1871" s="104" t="s">
        <v>1592</v>
      </c>
      <c r="Q1871" s="55">
        <f>VLOOKUP(E1871,'NI-Soc_SP'!$C:$AN,12,FALSE)</f>
        <v>0</v>
      </c>
      <c r="R1871" s="55">
        <f>VLOOKUP(E1871,'NI-Soc_SP'!$C:$AN,13,FALSE)</f>
        <v>0</v>
      </c>
      <c r="S1871" s="55">
        <f>VLOOKUP(E1871,'NI-Soc_SP'!$C:$AN,31,FALSE)</f>
        <v>0</v>
      </c>
      <c r="T1871" s="55">
        <f>VLOOKUP(E1871,'NI-Soc_SP'!$C:$AN,32,FALSE)+VLOOKUP(E1871,'NI-Soc_SP'!$C:$AN,33,FALSE)</f>
        <v>0</v>
      </c>
      <c r="U1871" s="55">
        <f>VLOOKUP($E1871,'NI-Soc_SP'!$C:$AN,MID(U$1,1,2),FALSE)</f>
        <v>0</v>
      </c>
      <c r="V1871" s="55">
        <f>VLOOKUP($E1871,'NI-Soc_SP'!$C:$AN,MID(V$1,1,2),FALSE)</f>
        <v>0</v>
      </c>
      <c r="W1871" s="55">
        <f>VLOOKUP($E1871,'NI-Soc_SP'!$C:$AN,MID(W$1,1,2),FALSE)</f>
        <v>0</v>
      </c>
      <c r="X1871" s="55">
        <f>VLOOKUP($E1871,'NI-Soc_SP'!$C:$AN,MID(X$1,1,2),FALSE)</f>
        <v>0</v>
      </c>
      <c r="Y1871" s="55">
        <f>VLOOKUP($E1871,'NI-Soc_SP'!$C:$AN,MID(Y$1,1,2),FALSE)</f>
        <v>0</v>
      </c>
      <c r="Z1871" s="55">
        <f>VLOOKUP($E1871,'NI-Soc_SP'!$C:$AN,MID(Z$1,1,2),FALSE)</f>
        <v>0</v>
      </c>
      <c r="AA1871" s="55">
        <f>VLOOKUP($E1871,'NI-Soc_SP'!$C:$AN,MID(AA$1,1,2),FALSE)</f>
        <v>0</v>
      </c>
      <c r="AB1871" s="55">
        <f>VLOOKUP($E1871,'NI-Soc_SP'!$C:$AN,MID(AB$1,1,2),FALSE)</f>
        <v>0</v>
      </c>
      <c r="AC1871" s="55">
        <f>VLOOKUP($E1871,'NI-Soc_SP'!$C:$AN,MID(AC$1,1,2),FALSE)</f>
        <v>0</v>
      </c>
      <c r="AD1871" s="55">
        <f>VLOOKUP($E1871,'NI-Soc_SP'!$C:$AN,MID(AD$1,1,2),FALSE)</f>
        <v>0</v>
      </c>
      <c r="AE1871" s="55">
        <f>VLOOKUP($E1871,'NI-Soc_SP'!$C:$AN,MID(AE$1,1,2),FALSE)</f>
        <v>0</v>
      </c>
      <c r="AF1871" s="55">
        <f>VLOOKUP($E1871,'NI-Soc_SP'!$C:$AN,MID(AF$1,1,2),FALSE)</f>
        <v>0</v>
      </c>
      <c r="AG1871" s="55">
        <f>VLOOKUP($E1871,'NI-Soc_SP'!$C:$AN,MID(AG$1,1,2),FALSE)</f>
        <v>0</v>
      </c>
      <c r="AH1871" s="55">
        <f>VLOOKUP($E1871,'NI-Soc_SP'!$C:$AN,MID(AH$1,1,2),FALSE)</f>
        <v>0</v>
      </c>
      <c r="AI1871" s="55">
        <f>VLOOKUP($E1871,'NI-Soc_SP'!$C:$AN,MID(AI$1,1,2),FALSE)</f>
        <v>0</v>
      </c>
      <c r="AJ1871" s="55">
        <f>VLOOKUP($E1871,'NI-Soc_SP'!$C:$AN,MID(AJ$1,1,2),FALSE)</f>
        <v>0</v>
      </c>
      <c r="AK1871" s="55">
        <f>VLOOKUP($E1871,'NI-Soc_SP'!$C:$AN,MID(AK$1,1,2),FALSE)</f>
        <v>0</v>
      </c>
      <c r="AL1871" s="55">
        <f>VLOOKUP($E1871,'NI-Soc_SP'!$C:$AN,MID(AL$1,1,2),FALSE)</f>
        <v>0</v>
      </c>
      <c r="AM1871" s="56">
        <f>VLOOKUP($E1871,'NI-Soc_SP'!$C:$AN,MID(AM$1,1,2),FALSE)</f>
        <v>0</v>
      </c>
      <c r="AN1871" s="30" t="str">
        <f t="shared" si="29"/>
        <v>20204010010010</v>
      </c>
    </row>
    <row r="1872" spans="1:40" x14ac:dyDescent="0.25">
      <c r="C1872" s="40"/>
      <c r="D1872" s="121" t="s">
        <v>1593</v>
      </c>
      <c r="E1872" s="121" t="s">
        <v>1594</v>
      </c>
      <c r="F1872" s="122" t="s">
        <v>2758</v>
      </c>
      <c r="G1872" s="52" t="s">
        <v>2396</v>
      </c>
      <c r="H1872" s="52"/>
      <c r="I1872" s="52"/>
      <c r="J1872" s="52"/>
      <c r="K1872" s="59" t="s">
        <v>79</v>
      </c>
      <c r="L1872" s="52"/>
      <c r="M1872" s="52"/>
      <c r="N1872" s="52"/>
      <c r="O1872" s="61" t="s">
        <v>1591</v>
      </c>
      <c r="P1872" s="76" t="s">
        <v>1595</v>
      </c>
      <c r="Q1872" s="55">
        <f>VLOOKUP(E1872,'NI-Soc_SP'!$C:$AN,12,FALSE)</f>
        <v>0</v>
      </c>
      <c r="R1872" s="55">
        <f>VLOOKUP(E1872,'NI-Soc_SP'!$C:$AN,13,FALSE)</f>
        <v>0</v>
      </c>
      <c r="S1872" s="55">
        <f>VLOOKUP(E1872,'NI-Soc_SP'!$C:$AN,31,FALSE)</f>
        <v>0</v>
      </c>
      <c r="T1872" s="55">
        <f>VLOOKUP(E1872,'NI-Soc_SP'!$C:$AN,32,FALSE)+VLOOKUP(E1872,'NI-Soc_SP'!$C:$AN,33,FALSE)</f>
        <v>0</v>
      </c>
      <c r="U1872" s="55">
        <f>VLOOKUP($E1872,'NI-Soc_SP'!$C:$AN,MID(U$1,1,2),FALSE)</f>
        <v>0</v>
      </c>
      <c r="V1872" s="55">
        <f>VLOOKUP($E1872,'NI-Soc_SP'!$C:$AN,MID(V$1,1,2),FALSE)</f>
        <v>0</v>
      </c>
      <c r="W1872" s="55">
        <f>VLOOKUP($E1872,'NI-Soc_SP'!$C:$AN,MID(W$1,1,2),FALSE)</f>
        <v>0</v>
      </c>
      <c r="X1872" s="55">
        <f>VLOOKUP($E1872,'NI-Soc_SP'!$C:$AN,MID(X$1,1,2),FALSE)</f>
        <v>0</v>
      </c>
      <c r="Y1872" s="55">
        <f>VLOOKUP($E1872,'NI-Soc_SP'!$C:$AN,MID(Y$1,1,2),FALSE)</f>
        <v>0</v>
      </c>
      <c r="Z1872" s="55">
        <f>VLOOKUP($E1872,'NI-Soc_SP'!$C:$AN,MID(Z$1,1,2),FALSE)</f>
        <v>0</v>
      </c>
      <c r="AA1872" s="55">
        <f>VLOOKUP($E1872,'NI-Soc_SP'!$C:$AN,MID(AA$1,1,2),FALSE)</f>
        <v>0</v>
      </c>
      <c r="AB1872" s="55">
        <f>VLOOKUP($E1872,'NI-Soc_SP'!$C:$AN,MID(AB$1,1,2),FALSE)</f>
        <v>0</v>
      </c>
      <c r="AC1872" s="55">
        <f>VLOOKUP($E1872,'NI-Soc_SP'!$C:$AN,MID(AC$1,1,2),FALSE)</f>
        <v>0</v>
      </c>
      <c r="AD1872" s="55">
        <f>VLOOKUP($E1872,'NI-Soc_SP'!$C:$AN,MID(AD$1,1,2),FALSE)</f>
        <v>0</v>
      </c>
      <c r="AE1872" s="55">
        <f>VLOOKUP($E1872,'NI-Soc_SP'!$C:$AN,MID(AE$1,1,2),FALSE)</f>
        <v>0</v>
      </c>
      <c r="AF1872" s="55">
        <f>VLOOKUP($E1872,'NI-Soc_SP'!$C:$AN,MID(AF$1,1,2),FALSE)</f>
        <v>0</v>
      </c>
      <c r="AG1872" s="55">
        <f>VLOOKUP($E1872,'NI-Soc_SP'!$C:$AN,MID(AG$1,1,2),FALSE)</f>
        <v>0</v>
      </c>
      <c r="AH1872" s="55">
        <f>VLOOKUP($E1872,'NI-Soc_SP'!$C:$AN,MID(AH$1,1,2),FALSE)</f>
        <v>0</v>
      </c>
      <c r="AI1872" s="55">
        <f>VLOOKUP($E1872,'NI-Soc_SP'!$C:$AN,MID(AI$1,1,2),FALSE)</f>
        <v>0</v>
      </c>
      <c r="AJ1872" s="55">
        <f>VLOOKUP($E1872,'NI-Soc_SP'!$C:$AN,MID(AJ$1,1,2),FALSE)</f>
        <v>0</v>
      </c>
      <c r="AK1872" s="55">
        <f>VLOOKUP($E1872,'NI-Soc_SP'!$C:$AN,MID(AK$1,1,2),FALSE)</f>
        <v>0</v>
      </c>
      <c r="AL1872" s="55">
        <f>VLOOKUP($E1872,'NI-Soc_SP'!$C:$AN,MID(AL$1,1,2),FALSE)</f>
        <v>0</v>
      </c>
      <c r="AM1872" s="56">
        <f>VLOOKUP($E1872,'NI-Soc_SP'!$C:$AN,MID(AM$1,1,2),FALSE)</f>
        <v>0</v>
      </c>
      <c r="AN1872" s="30" t="str">
        <f t="shared" si="29"/>
        <v>20204010010020</v>
      </c>
    </row>
    <row r="1873" spans="1:40" ht="27" x14ac:dyDescent="0.25">
      <c r="C1873" s="40"/>
      <c r="D1873" s="121" t="s">
        <v>1596</v>
      </c>
      <c r="E1873" s="121" t="s">
        <v>1597</v>
      </c>
      <c r="F1873" s="122" t="s">
        <v>2758</v>
      </c>
      <c r="G1873" s="52" t="s">
        <v>2396</v>
      </c>
      <c r="H1873" s="52"/>
      <c r="I1873" s="52" t="s">
        <v>1598</v>
      </c>
      <c r="J1873" s="52"/>
      <c r="K1873" s="59" t="s">
        <v>111</v>
      </c>
      <c r="L1873" s="52"/>
      <c r="M1873" s="52"/>
      <c r="N1873" s="52"/>
      <c r="O1873" s="52"/>
      <c r="P1873" s="104" t="s">
        <v>1599</v>
      </c>
      <c r="Q1873" s="55">
        <f>VLOOKUP(E1873,'NI-Soc_SP'!$C:$AN,12,FALSE)</f>
        <v>0</v>
      </c>
      <c r="R1873" s="55">
        <f>VLOOKUP(E1873,'NI-Soc_SP'!$C:$AN,13,FALSE)</f>
        <v>0</v>
      </c>
      <c r="S1873" s="55">
        <f>VLOOKUP(E1873,'NI-Soc_SP'!$C:$AN,31,FALSE)</f>
        <v>0</v>
      </c>
      <c r="T1873" s="55">
        <f>VLOOKUP(E1873,'NI-Soc_SP'!$C:$AN,32,FALSE)+VLOOKUP(E1873,'NI-Soc_SP'!$C:$AN,33,FALSE)</f>
        <v>0</v>
      </c>
      <c r="U1873" s="55">
        <f>VLOOKUP($E1873,'NI-Soc_SP'!$C:$AN,MID(U$1,1,2),FALSE)</f>
        <v>0</v>
      </c>
      <c r="V1873" s="55">
        <f>VLOOKUP($E1873,'NI-Soc_SP'!$C:$AN,MID(V$1,1,2),FALSE)</f>
        <v>0</v>
      </c>
      <c r="W1873" s="55">
        <f>VLOOKUP($E1873,'NI-Soc_SP'!$C:$AN,MID(W$1,1,2),FALSE)</f>
        <v>0</v>
      </c>
      <c r="X1873" s="55">
        <f>VLOOKUP($E1873,'NI-Soc_SP'!$C:$AN,MID(X$1,1,2),FALSE)</f>
        <v>0</v>
      </c>
      <c r="Y1873" s="55">
        <f>VLOOKUP($E1873,'NI-Soc_SP'!$C:$AN,MID(Y$1,1,2),FALSE)</f>
        <v>0</v>
      </c>
      <c r="Z1873" s="55">
        <f>VLOOKUP($E1873,'NI-Soc_SP'!$C:$AN,MID(Z$1,1,2),FALSE)</f>
        <v>0</v>
      </c>
      <c r="AA1873" s="55">
        <f>VLOOKUP($E1873,'NI-Soc_SP'!$C:$AN,MID(AA$1,1,2),FALSE)</f>
        <v>0</v>
      </c>
      <c r="AB1873" s="55">
        <f>VLOOKUP($E1873,'NI-Soc_SP'!$C:$AN,MID(AB$1,1,2),FALSE)</f>
        <v>0</v>
      </c>
      <c r="AC1873" s="55">
        <f>VLOOKUP($E1873,'NI-Soc_SP'!$C:$AN,MID(AC$1,1,2),FALSE)</f>
        <v>0</v>
      </c>
      <c r="AD1873" s="55">
        <f>VLOOKUP($E1873,'NI-Soc_SP'!$C:$AN,MID(AD$1,1,2),FALSE)</f>
        <v>0</v>
      </c>
      <c r="AE1873" s="55">
        <f>VLOOKUP($E1873,'NI-Soc_SP'!$C:$AN,MID(AE$1,1,2),FALSE)</f>
        <v>0</v>
      </c>
      <c r="AF1873" s="55">
        <f>VLOOKUP($E1873,'NI-Soc_SP'!$C:$AN,MID(AF$1,1,2),FALSE)</f>
        <v>0</v>
      </c>
      <c r="AG1873" s="55">
        <f>VLOOKUP($E1873,'NI-Soc_SP'!$C:$AN,MID(AG$1,1,2),FALSE)</f>
        <v>0</v>
      </c>
      <c r="AH1873" s="55">
        <f>VLOOKUP($E1873,'NI-Soc_SP'!$C:$AN,MID(AH$1,1,2),FALSE)</f>
        <v>0</v>
      </c>
      <c r="AI1873" s="55">
        <f>VLOOKUP($E1873,'NI-Soc_SP'!$C:$AN,MID(AI$1,1,2),FALSE)</f>
        <v>0</v>
      </c>
      <c r="AJ1873" s="55">
        <f>VLOOKUP($E1873,'NI-Soc_SP'!$C:$AN,MID(AJ$1,1,2),FALSE)</f>
        <v>0</v>
      </c>
      <c r="AK1873" s="55">
        <f>VLOOKUP($E1873,'NI-Soc_SP'!$C:$AN,MID(AK$1,1,2),FALSE)</f>
        <v>0</v>
      </c>
      <c r="AL1873" s="55">
        <f>VLOOKUP($E1873,'NI-Soc_SP'!$C:$AN,MID(AL$1,1,2),FALSE)</f>
        <v>0</v>
      </c>
      <c r="AM1873" s="56">
        <f>VLOOKUP($E1873,'NI-Soc_SP'!$C:$AN,MID(AM$1,1,2),FALSE)</f>
        <v>0</v>
      </c>
      <c r="AN1873" s="30" t="str">
        <f t="shared" si="29"/>
        <v>20204010020000</v>
      </c>
    </row>
    <row r="1874" spans="1:40" x14ac:dyDescent="0.25">
      <c r="C1874" s="40"/>
      <c r="D1874" s="121" t="s">
        <v>1600</v>
      </c>
      <c r="E1874" s="121" t="s">
        <v>1601</v>
      </c>
      <c r="F1874" s="122" t="s">
        <v>2758</v>
      </c>
      <c r="G1874" s="52" t="s">
        <v>2396</v>
      </c>
      <c r="H1874" s="52"/>
      <c r="I1874" s="52"/>
      <c r="J1874" s="52"/>
      <c r="K1874" s="59" t="s">
        <v>79</v>
      </c>
      <c r="L1874" s="52"/>
      <c r="M1874" s="52"/>
      <c r="N1874" s="52"/>
      <c r="O1874" s="61" t="s">
        <v>1591</v>
      </c>
      <c r="P1874" s="104" t="s">
        <v>1602</v>
      </c>
      <c r="Q1874" s="55">
        <f>VLOOKUP(E1874,'NI-Soc_SP'!$C:$AN,12,FALSE)</f>
        <v>0</v>
      </c>
      <c r="R1874" s="55">
        <f>VLOOKUP(E1874,'NI-Soc_SP'!$C:$AN,13,FALSE)</f>
        <v>0</v>
      </c>
      <c r="S1874" s="55">
        <f>VLOOKUP(E1874,'NI-Soc_SP'!$C:$AN,31,FALSE)</f>
        <v>0</v>
      </c>
      <c r="T1874" s="55">
        <f>VLOOKUP(E1874,'NI-Soc_SP'!$C:$AN,32,FALSE)+VLOOKUP(E1874,'NI-Soc_SP'!$C:$AN,33,FALSE)</f>
        <v>0</v>
      </c>
      <c r="U1874" s="55">
        <f>VLOOKUP($E1874,'NI-Soc_SP'!$C:$AN,MID(U$1,1,2),FALSE)</f>
        <v>0</v>
      </c>
      <c r="V1874" s="55">
        <f>VLOOKUP($E1874,'NI-Soc_SP'!$C:$AN,MID(V$1,1,2),FALSE)</f>
        <v>0</v>
      </c>
      <c r="W1874" s="55">
        <f>VLOOKUP($E1874,'NI-Soc_SP'!$C:$AN,MID(W$1,1,2),FALSE)</f>
        <v>0</v>
      </c>
      <c r="X1874" s="55">
        <f>VLOOKUP($E1874,'NI-Soc_SP'!$C:$AN,MID(X$1,1,2),FALSE)</f>
        <v>0</v>
      </c>
      <c r="Y1874" s="55">
        <f>VLOOKUP($E1874,'NI-Soc_SP'!$C:$AN,MID(Y$1,1,2),FALSE)</f>
        <v>0</v>
      </c>
      <c r="Z1874" s="55">
        <f>VLOOKUP($E1874,'NI-Soc_SP'!$C:$AN,MID(Z$1,1,2),FALSE)</f>
        <v>0</v>
      </c>
      <c r="AA1874" s="55">
        <f>VLOOKUP($E1874,'NI-Soc_SP'!$C:$AN,MID(AA$1,1,2),FALSE)</f>
        <v>0</v>
      </c>
      <c r="AB1874" s="55">
        <f>VLOOKUP($E1874,'NI-Soc_SP'!$C:$AN,MID(AB$1,1,2),FALSE)</f>
        <v>0</v>
      </c>
      <c r="AC1874" s="55">
        <f>VLOOKUP($E1874,'NI-Soc_SP'!$C:$AN,MID(AC$1,1,2),FALSE)</f>
        <v>0</v>
      </c>
      <c r="AD1874" s="55">
        <f>VLOOKUP($E1874,'NI-Soc_SP'!$C:$AN,MID(AD$1,1,2),FALSE)</f>
        <v>0</v>
      </c>
      <c r="AE1874" s="55">
        <f>VLOOKUP($E1874,'NI-Soc_SP'!$C:$AN,MID(AE$1,1,2),FALSE)</f>
        <v>0</v>
      </c>
      <c r="AF1874" s="55">
        <f>VLOOKUP($E1874,'NI-Soc_SP'!$C:$AN,MID(AF$1,1,2),FALSE)</f>
        <v>0</v>
      </c>
      <c r="AG1874" s="55">
        <f>VLOOKUP($E1874,'NI-Soc_SP'!$C:$AN,MID(AG$1,1,2),FALSE)</f>
        <v>0</v>
      </c>
      <c r="AH1874" s="55">
        <f>VLOOKUP($E1874,'NI-Soc_SP'!$C:$AN,MID(AH$1,1,2),FALSE)</f>
        <v>0</v>
      </c>
      <c r="AI1874" s="55">
        <f>VLOOKUP($E1874,'NI-Soc_SP'!$C:$AN,MID(AI$1,1,2),FALSE)</f>
        <v>0</v>
      </c>
      <c r="AJ1874" s="55">
        <f>VLOOKUP($E1874,'NI-Soc_SP'!$C:$AN,MID(AJ$1,1,2),FALSE)</f>
        <v>0</v>
      </c>
      <c r="AK1874" s="55">
        <f>VLOOKUP($E1874,'NI-Soc_SP'!$C:$AN,MID(AK$1,1,2),FALSE)</f>
        <v>0</v>
      </c>
      <c r="AL1874" s="55">
        <f>VLOOKUP($E1874,'NI-Soc_SP'!$C:$AN,MID(AL$1,1,2),FALSE)</f>
        <v>0</v>
      </c>
      <c r="AM1874" s="56">
        <f>VLOOKUP($E1874,'NI-Soc_SP'!$C:$AN,MID(AM$1,1,2),FALSE)</f>
        <v>0</v>
      </c>
      <c r="AN1874" s="30" t="str">
        <f t="shared" si="29"/>
        <v>20204010020010</v>
      </c>
    </row>
    <row r="1875" spans="1:40" x14ac:dyDescent="0.25">
      <c r="C1875" s="40"/>
      <c r="D1875" s="121" t="s">
        <v>1603</v>
      </c>
      <c r="E1875" s="121" t="s">
        <v>1604</v>
      </c>
      <c r="F1875" s="122" t="s">
        <v>2758</v>
      </c>
      <c r="G1875" s="52" t="s">
        <v>2396</v>
      </c>
      <c r="H1875" s="52"/>
      <c r="I1875" s="52"/>
      <c r="J1875" s="52"/>
      <c r="K1875" s="59" t="s">
        <v>79</v>
      </c>
      <c r="L1875" s="52"/>
      <c r="M1875" s="52"/>
      <c r="N1875" s="52"/>
      <c r="O1875" s="61" t="s">
        <v>1591</v>
      </c>
      <c r="P1875" s="104" t="s">
        <v>1605</v>
      </c>
      <c r="Q1875" s="55">
        <f>VLOOKUP(E1875,'NI-Soc_SP'!$C:$AN,12,FALSE)</f>
        <v>0</v>
      </c>
      <c r="R1875" s="55">
        <f>VLOOKUP(E1875,'NI-Soc_SP'!$C:$AN,13,FALSE)</f>
        <v>0</v>
      </c>
      <c r="S1875" s="55">
        <f>VLOOKUP(E1875,'NI-Soc_SP'!$C:$AN,31,FALSE)</f>
        <v>0</v>
      </c>
      <c r="T1875" s="55">
        <f>VLOOKUP(E1875,'NI-Soc_SP'!$C:$AN,32,FALSE)+VLOOKUP(E1875,'NI-Soc_SP'!$C:$AN,33,FALSE)</f>
        <v>0</v>
      </c>
      <c r="U1875" s="55">
        <f>VLOOKUP($E1875,'NI-Soc_SP'!$C:$AN,MID(U$1,1,2),FALSE)</f>
        <v>0</v>
      </c>
      <c r="V1875" s="55">
        <f>VLOOKUP($E1875,'NI-Soc_SP'!$C:$AN,MID(V$1,1,2),FALSE)</f>
        <v>0</v>
      </c>
      <c r="W1875" s="55">
        <f>VLOOKUP($E1875,'NI-Soc_SP'!$C:$AN,MID(W$1,1,2),FALSE)</f>
        <v>0</v>
      </c>
      <c r="X1875" s="55">
        <f>VLOOKUP($E1875,'NI-Soc_SP'!$C:$AN,MID(X$1,1,2),FALSE)</f>
        <v>0</v>
      </c>
      <c r="Y1875" s="55">
        <f>VLOOKUP($E1875,'NI-Soc_SP'!$C:$AN,MID(Y$1,1,2),FALSE)</f>
        <v>0</v>
      </c>
      <c r="Z1875" s="55">
        <f>VLOOKUP($E1875,'NI-Soc_SP'!$C:$AN,MID(Z$1,1,2),FALSE)</f>
        <v>0</v>
      </c>
      <c r="AA1875" s="55">
        <f>VLOOKUP($E1875,'NI-Soc_SP'!$C:$AN,MID(AA$1,1,2),FALSE)</f>
        <v>0</v>
      </c>
      <c r="AB1875" s="55">
        <f>VLOOKUP($E1875,'NI-Soc_SP'!$C:$AN,MID(AB$1,1,2),FALSE)</f>
        <v>0</v>
      </c>
      <c r="AC1875" s="55">
        <f>VLOOKUP($E1875,'NI-Soc_SP'!$C:$AN,MID(AC$1,1,2),FALSE)</f>
        <v>0</v>
      </c>
      <c r="AD1875" s="55">
        <f>VLOOKUP($E1875,'NI-Soc_SP'!$C:$AN,MID(AD$1,1,2),FALSE)</f>
        <v>0</v>
      </c>
      <c r="AE1875" s="55">
        <f>VLOOKUP($E1875,'NI-Soc_SP'!$C:$AN,MID(AE$1,1,2),FALSE)</f>
        <v>0</v>
      </c>
      <c r="AF1875" s="55">
        <f>VLOOKUP($E1875,'NI-Soc_SP'!$C:$AN,MID(AF$1,1,2),FALSE)</f>
        <v>0</v>
      </c>
      <c r="AG1875" s="55">
        <f>VLOOKUP($E1875,'NI-Soc_SP'!$C:$AN,MID(AG$1,1,2),FALSE)</f>
        <v>0</v>
      </c>
      <c r="AH1875" s="55">
        <f>VLOOKUP($E1875,'NI-Soc_SP'!$C:$AN,MID(AH$1,1,2),FALSE)</f>
        <v>0</v>
      </c>
      <c r="AI1875" s="55">
        <f>VLOOKUP($E1875,'NI-Soc_SP'!$C:$AN,MID(AI$1,1,2),FALSE)</f>
        <v>0</v>
      </c>
      <c r="AJ1875" s="55">
        <f>VLOOKUP($E1875,'NI-Soc_SP'!$C:$AN,MID(AJ$1,1,2),FALSE)</f>
        <v>0</v>
      </c>
      <c r="AK1875" s="55">
        <f>VLOOKUP($E1875,'NI-Soc_SP'!$C:$AN,MID(AK$1,1,2),FALSE)</f>
        <v>0</v>
      </c>
      <c r="AL1875" s="55">
        <f>VLOOKUP($E1875,'NI-Soc_SP'!$C:$AN,MID(AL$1,1,2),FALSE)</f>
        <v>0</v>
      </c>
      <c r="AM1875" s="56">
        <f>VLOOKUP($E1875,'NI-Soc_SP'!$C:$AN,MID(AM$1,1,2),FALSE)</f>
        <v>0</v>
      </c>
      <c r="AN1875" s="30" t="str">
        <f t="shared" si="29"/>
        <v>20204010020020</v>
      </c>
    </row>
    <row r="1876" spans="1:40" x14ac:dyDescent="0.25">
      <c r="C1876" s="40"/>
      <c r="D1876" s="121" t="s">
        <v>1606</v>
      </c>
      <c r="E1876" s="121" t="s">
        <v>1607</v>
      </c>
      <c r="F1876" s="122" t="s">
        <v>2758</v>
      </c>
      <c r="G1876" s="52" t="s">
        <v>2396</v>
      </c>
      <c r="H1876" s="52"/>
      <c r="I1876" s="52" t="s">
        <v>1609</v>
      </c>
      <c r="J1876" s="52"/>
      <c r="K1876" s="59" t="s">
        <v>111</v>
      </c>
      <c r="L1876" s="52"/>
      <c r="M1876" s="52"/>
      <c r="N1876" s="52"/>
      <c r="O1876" s="52"/>
      <c r="P1876" s="63" t="s">
        <v>1610</v>
      </c>
      <c r="Q1876" s="55">
        <f>VLOOKUP(E1876,'NI-Soc_SP'!$C:$AN,12,FALSE)</f>
        <v>0</v>
      </c>
      <c r="R1876" s="55">
        <f>VLOOKUP(E1876,'NI-Soc_SP'!$C:$AN,13,FALSE)</f>
        <v>0</v>
      </c>
      <c r="S1876" s="55">
        <f>VLOOKUP(E1876,'NI-Soc_SP'!$C:$AN,31,FALSE)</f>
        <v>0</v>
      </c>
      <c r="T1876" s="55">
        <f>VLOOKUP(E1876,'NI-Soc_SP'!$C:$AN,32,FALSE)+VLOOKUP(E1876,'NI-Soc_SP'!$C:$AN,33,FALSE)</f>
        <v>0</v>
      </c>
      <c r="U1876" s="55">
        <f>VLOOKUP($E1876,'NI-Soc_SP'!$C:$AN,MID(U$1,1,2),FALSE)</f>
        <v>0</v>
      </c>
      <c r="V1876" s="55">
        <f>VLOOKUP($E1876,'NI-Soc_SP'!$C:$AN,MID(V$1,1,2),FALSE)</f>
        <v>0</v>
      </c>
      <c r="W1876" s="55">
        <f>VLOOKUP($E1876,'NI-Soc_SP'!$C:$AN,MID(W$1,1,2),FALSE)</f>
        <v>0</v>
      </c>
      <c r="X1876" s="55">
        <f>VLOOKUP($E1876,'NI-Soc_SP'!$C:$AN,MID(X$1,1,2),FALSE)</f>
        <v>0</v>
      </c>
      <c r="Y1876" s="55">
        <f>VLOOKUP($E1876,'NI-Soc_SP'!$C:$AN,MID(Y$1,1,2),FALSE)</f>
        <v>0</v>
      </c>
      <c r="Z1876" s="55">
        <f>VLOOKUP($E1876,'NI-Soc_SP'!$C:$AN,MID(Z$1,1,2),FALSE)</f>
        <v>0</v>
      </c>
      <c r="AA1876" s="55">
        <f>VLOOKUP($E1876,'NI-Soc_SP'!$C:$AN,MID(AA$1,1,2),FALSE)</f>
        <v>0</v>
      </c>
      <c r="AB1876" s="55">
        <f>VLOOKUP($E1876,'NI-Soc_SP'!$C:$AN,MID(AB$1,1,2),FALSE)</f>
        <v>0</v>
      </c>
      <c r="AC1876" s="55">
        <f>VLOOKUP($E1876,'NI-Soc_SP'!$C:$AN,MID(AC$1,1,2),FALSE)</f>
        <v>0</v>
      </c>
      <c r="AD1876" s="55">
        <f>VLOOKUP($E1876,'NI-Soc_SP'!$C:$AN,MID(AD$1,1,2),FALSE)</f>
        <v>0</v>
      </c>
      <c r="AE1876" s="55">
        <f>VLOOKUP($E1876,'NI-Soc_SP'!$C:$AN,MID(AE$1,1,2),FALSE)</f>
        <v>0</v>
      </c>
      <c r="AF1876" s="55">
        <f>VLOOKUP($E1876,'NI-Soc_SP'!$C:$AN,MID(AF$1,1,2),FALSE)</f>
        <v>0</v>
      </c>
      <c r="AG1876" s="55">
        <f>VLOOKUP($E1876,'NI-Soc_SP'!$C:$AN,MID(AG$1,1,2),FALSE)</f>
        <v>0</v>
      </c>
      <c r="AH1876" s="55">
        <f>VLOOKUP($E1876,'NI-Soc_SP'!$C:$AN,MID(AH$1,1,2),FALSE)</f>
        <v>0</v>
      </c>
      <c r="AI1876" s="55">
        <f>VLOOKUP($E1876,'NI-Soc_SP'!$C:$AN,MID(AI$1,1,2),FALSE)</f>
        <v>0</v>
      </c>
      <c r="AJ1876" s="55">
        <f>VLOOKUP($E1876,'NI-Soc_SP'!$C:$AN,MID(AJ$1,1,2),FALSE)</f>
        <v>0</v>
      </c>
      <c r="AK1876" s="55">
        <f>VLOOKUP($E1876,'NI-Soc_SP'!$C:$AN,MID(AK$1,1,2),FALSE)</f>
        <v>0</v>
      </c>
      <c r="AL1876" s="55">
        <f>VLOOKUP($E1876,'NI-Soc_SP'!$C:$AN,MID(AL$1,1,2),FALSE)</f>
        <v>0</v>
      </c>
      <c r="AM1876" s="56">
        <f>VLOOKUP($E1876,'NI-Soc_SP'!$C:$AN,MID(AM$1,1,2),FALSE)</f>
        <v>0</v>
      </c>
      <c r="AN1876" s="30" t="str">
        <f t="shared" si="29"/>
        <v>20204010030000</v>
      </c>
    </row>
    <row r="1877" spans="1:40" x14ac:dyDescent="0.25">
      <c r="C1877" s="40"/>
      <c r="D1877" s="121" t="s">
        <v>1611</v>
      </c>
      <c r="E1877" s="121" t="s">
        <v>1612</v>
      </c>
      <c r="F1877" s="122" t="s">
        <v>2758</v>
      </c>
      <c r="G1877" s="52" t="s">
        <v>1608</v>
      </c>
      <c r="H1877" s="52"/>
      <c r="I1877" s="52"/>
      <c r="J1877" s="52"/>
      <c r="K1877" s="59" t="s">
        <v>79</v>
      </c>
      <c r="L1877" s="52"/>
      <c r="M1877" s="52"/>
      <c r="N1877" s="52"/>
      <c r="O1877" s="61" t="s">
        <v>1591</v>
      </c>
      <c r="P1877" s="63" t="s">
        <v>1613</v>
      </c>
      <c r="Q1877" s="55">
        <f>VLOOKUP(E1877,'NI-Soc_SP'!$C:$AN,12,FALSE)</f>
        <v>0</v>
      </c>
      <c r="R1877" s="55">
        <f>VLOOKUP(E1877,'NI-Soc_SP'!$C:$AN,13,FALSE)</f>
        <v>0</v>
      </c>
      <c r="S1877" s="55">
        <f>VLOOKUP(E1877,'NI-Soc_SP'!$C:$AN,31,FALSE)</f>
        <v>0</v>
      </c>
      <c r="T1877" s="55">
        <f>VLOOKUP(E1877,'NI-Soc_SP'!$C:$AN,32,FALSE)+VLOOKUP(E1877,'NI-Soc_SP'!$C:$AN,33,FALSE)</f>
        <v>0</v>
      </c>
      <c r="U1877" s="55">
        <f>VLOOKUP($E1877,'NI-Soc_SP'!$C:$AN,MID(U$1,1,2),FALSE)</f>
        <v>0</v>
      </c>
      <c r="V1877" s="55">
        <f>VLOOKUP($E1877,'NI-Soc_SP'!$C:$AN,MID(V$1,1,2),FALSE)</f>
        <v>0</v>
      </c>
      <c r="W1877" s="55">
        <f>VLOOKUP($E1877,'NI-Soc_SP'!$C:$AN,MID(W$1,1,2),FALSE)</f>
        <v>0</v>
      </c>
      <c r="X1877" s="55">
        <f>VLOOKUP($E1877,'NI-Soc_SP'!$C:$AN,MID(X$1,1,2),FALSE)</f>
        <v>0</v>
      </c>
      <c r="Y1877" s="55">
        <f>VLOOKUP($E1877,'NI-Soc_SP'!$C:$AN,MID(Y$1,1,2),FALSE)</f>
        <v>0</v>
      </c>
      <c r="Z1877" s="55">
        <f>VLOOKUP($E1877,'NI-Soc_SP'!$C:$AN,MID(Z$1,1,2),FALSE)</f>
        <v>0</v>
      </c>
      <c r="AA1877" s="55">
        <f>VLOOKUP($E1877,'NI-Soc_SP'!$C:$AN,MID(AA$1,1,2),FALSE)</f>
        <v>0</v>
      </c>
      <c r="AB1877" s="55">
        <f>VLOOKUP($E1877,'NI-Soc_SP'!$C:$AN,MID(AB$1,1,2),FALSE)</f>
        <v>0</v>
      </c>
      <c r="AC1877" s="55">
        <f>VLOOKUP($E1877,'NI-Soc_SP'!$C:$AN,MID(AC$1,1,2),FALSE)</f>
        <v>0</v>
      </c>
      <c r="AD1877" s="55">
        <f>VLOOKUP($E1877,'NI-Soc_SP'!$C:$AN,MID(AD$1,1,2),FALSE)</f>
        <v>0</v>
      </c>
      <c r="AE1877" s="55">
        <f>VLOOKUP($E1877,'NI-Soc_SP'!$C:$AN,MID(AE$1,1,2),FALSE)</f>
        <v>0</v>
      </c>
      <c r="AF1877" s="55">
        <f>VLOOKUP($E1877,'NI-Soc_SP'!$C:$AN,MID(AF$1,1,2),FALSE)</f>
        <v>0</v>
      </c>
      <c r="AG1877" s="55">
        <f>VLOOKUP($E1877,'NI-Soc_SP'!$C:$AN,MID(AG$1,1,2),FALSE)</f>
        <v>0</v>
      </c>
      <c r="AH1877" s="55">
        <f>VLOOKUP($E1877,'NI-Soc_SP'!$C:$AN,MID(AH$1,1,2),FALSE)</f>
        <v>0</v>
      </c>
      <c r="AI1877" s="55">
        <f>VLOOKUP($E1877,'NI-Soc_SP'!$C:$AN,MID(AI$1,1,2),FALSE)</f>
        <v>0</v>
      </c>
      <c r="AJ1877" s="55">
        <f>VLOOKUP($E1877,'NI-Soc_SP'!$C:$AN,MID(AJ$1,1,2),FALSE)</f>
        <v>0</v>
      </c>
      <c r="AK1877" s="55">
        <f>VLOOKUP($E1877,'NI-Soc_SP'!$C:$AN,MID(AK$1,1,2),FALSE)</f>
        <v>0</v>
      </c>
      <c r="AL1877" s="55">
        <f>VLOOKUP($E1877,'NI-Soc_SP'!$C:$AN,MID(AL$1,1,2),FALSE)</f>
        <v>0</v>
      </c>
      <c r="AM1877" s="56">
        <f>VLOOKUP($E1877,'NI-Soc_SP'!$C:$AN,MID(AM$1,1,2),FALSE)</f>
        <v>0</v>
      </c>
      <c r="AN1877" s="30" t="str">
        <f t="shared" si="29"/>
        <v>20204010030010</v>
      </c>
    </row>
    <row r="1878" spans="1:40" x14ac:dyDescent="0.25">
      <c r="C1878" s="40"/>
      <c r="D1878" s="121" t="s">
        <v>1614</v>
      </c>
      <c r="E1878" s="121" t="s">
        <v>1615</v>
      </c>
      <c r="F1878" s="122" t="s">
        <v>2758</v>
      </c>
      <c r="G1878" s="52" t="s">
        <v>1608</v>
      </c>
      <c r="H1878" s="52"/>
      <c r="I1878" s="52"/>
      <c r="J1878" s="52"/>
      <c r="K1878" s="59" t="s">
        <v>79</v>
      </c>
      <c r="L1878" s="62"/>
      <c r="M1878" s="52"/>
      <c r="N1878" s="52"/>
      <c r="O1878" s="61" t="s">
        <v>1591</v>
      </c>
      <c r="P1878" s="60" t="s">
        <v>1616</v>
      </c>
      <c r="Q1878" s="55">
        <f>VLOOKUP(E1878,'NI-Soc_SP'!$C:$AN,12,FALSE)</f>
        <v>0</v>
      </c>
      <c r="R1878" s="55">
        <f>VLOOKUP(E1878,'NI-Soc_SP'!$C:$AN,13,FALSE)</f>
        <v>0</v>
      </c>
      <c r="S1878" s="55">
        <f>VLOOKUP(E1878,'NI-Soc_SP'!$C:$AN,31,FALSE)</f>
        <v>0</v>
      </c>
      <c r="T1878" s="55">
        <f>VLOOKUP(E1878,'NI-Soc_SP'!$C:$AN,32,FALSE)+VLOOKUP(E1878,'NI-Soc_SP'!$C:$AN,33,FALSE)</f>
        <v>0</v>
      </c>
      <c r="U1878" s="55">
        <f>VLOOKUP($E1878,'NI-Soc_SP'!$C:$AN,MID(U$1,1,2),FALSE)</f>
        <v>0</v>
      </c>
      <c r="V1878" s="55">
        <f>VLOOKUP($E1878,'NI-Soc_SP'!$C:$AN,MID(V$1,1,2),FALSE)</f>
        <v>0</v>
      </c>
      <c r="W1878" s="55">
        <f>VLOOKUP($E1878,'NI-Soc_SP'!$C:$AN,MID(W$1,1,2),FALSE)</f>
        <v>0</v>
      </c>
      <c r="X1878" s="55">
        <f>VLOOKUP($E1878,'NI-Soc_SP'!$C:$AN,MID(X$1,1,2),FALSE)</f>
        <v>0</v>
      </c>
      <c r="Y1878" s="55">
        <f>VLOOKUP($E1878,'NI-Soc_SP'!$C:$AN,MID(Y$1,1,2),FALSE)</f>
        <v>0</v>
      </c>
      <c r="Z1878" s="55">
        <f>VLOOKUP($E1878,'NI-Soc_SP'!$C:$AN,MID(Z$1,1,2),FALSE)</f>
        <v>0</v>
      </c>
      <c r="AA1878" s="55">
        <f>VLOOKUP($E1878,'NI-Soc_SP'!$C:$AN,MID(AA$1,1,2),FALSE)</f>
        <v>0</v>
      </c>
      <c r="AB1878" s="55">
        <f>VLOOKUP($E1878,'NI-Soc_SP'!$C:$AN,MID(AB$1,1,2),FALSE)</f>
        <v>0</v>
      </c>
      <c r="AC1878" s="55">
        <f>VLOOKUP($E1878,'NI-Soc_SP'!$C:$AN,MID(AC$1,1,2),FALSE)</f>
        <v>0</v>
      </c>
      <c r="AD1878" s="55">
        <f>VLOOKUP($E1878,'NI-Soc_SP'!$C:$AN,MID(AD$1,1,2),FALSE)</f>
        <v>0</v>
      </c>
      <c r="AE1878" s="55">
        <f>VLOOKUP($E1878,'NI-Soc_SP'!$C:$AN,MID(AE$1,1,2),FALSE)</f>
        <v>0</v>
      </c>
      <c r="AF1878" s="55">
        <f>VLOOKUP($E1878,'NI-Soc_SP'!$C:$AN,MID(AF$1,1,2),FALSE)</f>
        <v>0</v>
      </c>
      <c r="AG1878" s="55">
        <f>VLOOKUP($E1878,'NI-Soc_SP'!$C:$AN,MID(AG$1,1,2),FALSE)</f>
        <v>0</v>
      </c>
      <c r="AH1878" s="55">
        <f>VLOOKUP($E1878,'NI-Soc_SP'!$C:$AN,MID(AH$1,1,2),FALSE)</f>
        <v>0</v>
      </c>
      <c r="AI1878" s="55">
        <f>VLOOKUP($E1878,'NI-Soc_SP'!$C:$AN,MID(AI$1,1,2),FALSE)</f>
        <v>0</v>
      </c>
      <c r="AJ1878" s="55">
        <f>VLOOKUP($E1878,'NI-Soc_SP'!$C:$AN,MID(AJ$1,1,2),FALSE)</f>
        <v>0</v>
      </c>
      <c r="AK1878" s="55">
        <f>VLOOKUP($E1878,'NI-Soc_SP'!$C:$AN,MID(AK$1,1,2),FALSE)</f>
        <v>0</v>
      </c>
      <c r="AL1878" s="55">
        <f>VLOOKUP($E1878,'NI-Soc_SP'!$C:$AN,MID(AL$1,1,2),FALSE)</f>
        <v>0</v>
      </c>
      <c r="AM1878" s="56">
        <f>VLOOKUP($E1878,'NI-Soc_SP'!$C:$AN,MID(AM$1,1,2),FALSE)</f>
        <v>0</v>
      </c>
      <c r="AN1878" s="30" t="str">
        <f t="shared" si="29"/>
        <v>20204010030020</v>
      </c>
    </row>
    <row r="1879" spans="1:40" x14ac:dyDescent="0.25">
      <c r="C1879" s="40"/>
      <c r="D1879" s="121" t="s">
        <v>1617</v>
      </c>
      <c r="E1879" s="121" t="s">
        <v>1618</v>
      </c>
      <c r="F1879" s="122" t="s">
        <v>2758</v>
      </c>
      <c r="G1879" s="52" t="s">
        <v>1608</v>
      </c>
      <c r="H1879" s="52"/>
      <c r="I1879" s="52"/>
      <c r="J1879" s="52"/>
      <c r="K1879" s="59" t="s">
        <v>79</v>
      </c>
      <c r="L1879" s="52"/>
      <c r="M1879" s="52"/>
      <c r="N1879" s="52"/>
      <c r="O1879" s="61" t="s">
        <v>1591</v>
      </c>
      <c r="P1879" s="63" t="s">
        <v>1619</v>
      </c>
      <c r="Q1879" s="55">
        <f>VLOOKUP(E1879,'NI-Soc_SP'!$C:$AN,12,FALSE)</f>
        <v>0</v>
      </c>
      <c r="R1879" s="55">
        <f>VLOOKUP(E1879,'NI-Soc_SP'!$C:$AN,13,FALSE)</f>
        <v>0</v>
      </c>
      <c r="S1879" s="55">
        <f>VLOOKUP(E1879,'NI-Soc_SP'!$C:$AN,31,FALSE)</f>
        <v>0</v>
      </c>
      <c r="T1879" s="55">
        <f>VLOOKUP(E1879,'NI-Soc_SP'!$C:$AN,32,FALSE)+VLOOKUP(E1879,'NI-Soc_SP'!$C:$AN,33,FALSE)</f>
        <v>0</v>
      </c>
      <c r="U1879" s="55">
        <f>VLOOKUP($E1879,'NI-Soc_SP'!$C:$AN,MID(U$1,1,2),FALSE)</f>
        <v>0</v>
      </c>
      <c r="V1879" s="55">
        <f>VLOOKUP($E1879,'NI-Soc_SP'!$C:$AN,MID(V$1,1,2),FALSE)</f>
        <v>0</v>
      </c>
      <c r="W1879" s="55">
        <f>VLOOKUP($E1879,'NI-Soc_SP'!$C:$AN,MID(W$1,1,2),FALSE)</f>
        <v>0</v>
      </c>
      <c r="X1879" s="55">
        <f>VLOOKUP($E1879,'NI-Soc_SP'!$C:$AN,MID(X$1,1,2),FALSE)</f>
        <v>0</v>
      </c>
      <c r="Y1879" s="55">
        <f>VLOOKUP($E1879,'NI-Soc_SP'!$C:$AN,MID(Y$1,1,2),FALSE)</f>
        <v>0</v>
      </c>
      <c r="Z1879" s="55">
        <f>VLOOKUP($E1879,'NI-Soc_SP'!$C:$AN,MID(Z$1,1,2),FALSE)</f>
        <v>0</v>
      </c>
      <c r="AA1879" s="55">
        <f>VLOOKUP($E1879,'NI-Soc_SP'!$C:$AN,MID(AA$1,1,2),FALSE)</f>
        <v>0</v>
      </c>
      <c r="AB1879" s="55">
        <f>VLOOKUP($E1879,'NI-Soc_SP'!$C:$AN,MID(AB$1,1,2),FALSE)</f>
        <v>0</v>
      </c>
      <c r="AC1879" s="55">
        <f>VLOOKUP($E1879,'NI-Soc_SP'!$C:$AN,MID(AC$1,1,2),FALSE)</f>
        <v>0</v>
      </c>
      <c r="AD1879" s="55">
        <f>VLOOKUP($E1879,'NI-Soc_SP'!$C:$AN,MID(AD$1,1,2),FALSE)</f>
        <v>0</v>
      </c>
      <c r="AE1879" s="55">
        <f>VLOOKUP($E1879,'NI-Soc_SP'!$C:$AN,MID(AE$1,1,2),FALSE)</f>
        <v>0</v>
      </c>
      <c r="AF1879" s="55">
        <f>VLOOKUP($E1879,'NI-Soc_SP'!$C:$AN,MID(AF$1,1,2),FALSE)</f>
        <v>0</v>
      </c>
      <c r="AG1879" s="55">
        <f>VLOOKUP($E1879,'NI-Soc_SP'!$C:$AN,MID(AG$1,1,2),FALSE)</f>
        <v>0</v>
      </c>
      <c r="AH1879" s="55">
        <f>VLOOKUP($E1879,'NI-Soc_SP'!$C:$AN,MID(AH$1,1,2),FALSE)</f>
        <v>0</v>
      </c>
      <c r="AI1879" s="55">
        <f>VLOOKUP($E1879,'NI-Soc_SP'!$C:$AN,MID(AI$1,1,2),FALSE)</f>
        <v>0</v>
      </c>
      <c r="AJ1879" s="55">
        <f>VLOOKUP($E1879,'NI-Soc_SP'!$C:$AN,MID(AJ$1,1,2),FALSE)</f>
        <v>0</v>
      </c>
      <c r="AK1879" s="55">
        <f>VLOOKUP($E1879,'NI-Soc_SP'!$C:$AN,MID(AK$1,1,2),FALSE)</f>
        <v>0</v>
      </c>
      <c r="AL1879" s="55">
        <f>VLOOKUP($E1879,'NI-Soc_SP'!$C:$AN,MID(AL$1,1,2),FALSE)</f>
        <v>0</v>
      </c>
      <c r="AM1879" s="56">
        <f>VLOOKUP($E1879,'NI-Soc_SP'!$C:$AN,MID(AM$1,1,2),FALSE)</f>
        <v>0</v>
      </c>
      <c r="AN1879" s="30" t="str">
        <f t="shared" si="29"/>
        <v>20204010030030</v>
      </c>
    </row>
    <row r="1880" spans="1:40" x14ac:dyDescent="0.25">
      <c r="C1880" s="40"/>
      <c r="D1880" s="121" t="s">
        <v>1620</v>
      </c>
      <c r="E1880" s="121" t="s">
        <v>1621</v>
      </c>
      <c r="F1880" s="122" t="s">
        <v>2758</v>
      </c>
      <c r="G1880" s="52" t="s">
        <v>1608</v>
      </c>
      <c r="H1880" s="52"/>
      <c r="I1880" s="52"/>
      <c r="J1880" s="52"/>
      <c r="K1880" s="59" t="s">
        <v>79</v>
      </c>
      <c r="L1880" s="52"/>
      <c r="M1880" s="52"/>
      <c r="N1880" s="52"/>
      <c r="O1880" s="61" t="s">
        <v>1591</v>
      </c>
      <c r="P1880" s="76" t="s">
        <v>1622</v>
      </c>
      <c r="Q1880" s="55">
        <f>VLOOKUP(E1880,'NI-Soc_SP'!$C:$AN,12,FALSE)</f>
        <v>0</v>
      </c>
      <c r="R1880" s="55">
        <f>VLOOKUP(E1880,'NI-Soc_SP'!$C:$AN,13,FALSE)</f>
        <v>0</v>
      </c>
      <c r="S1880" s="55">
        <f>VLOOKUP(E1880,'NI-Soc_SP'!$C:$AN,31,FALSE)</f>
        <v>0</v>
      </c>
      <c r="T1880" s="55">
        <f>VLOOKUP(E1880,'NI-Soc_SP'!$C:$AN,32,FALSE)+VLOOKUP(E1880,'NI-Soc_SP'!$C:$AN,33,FALSE)</f>
        <v>0</v>
      </c>
      <c r="U1880" s="55">
        <f>VLOOKUP($E1880,'NI-Soc_SP'!$C:$AN,MID(U$1,1,2),FALSE)</f>
        <v>0</v>
      </c>
      <c r="V1880" s="55">
        <f>VLOOKUP($E1880,'NI-Soc_SP'!$C:$AN,MID(V$1,1,2),FALSE)</f>
        <v>0</v>
      </c>
      <c r="W1880" s="55">
        <f>VLOOKUP($E1880,'NI-Soc_SP'!$C:$AN,MID(W$1,1,2),FALSE)</f>
        <v>0</v>
      </c>
      <c r="X1880" s="55">
        <f>VLOOKUP($E1880,'NI-Soc_SP'!$C:$AN,MID(X$1,1,2),FALSE)</f>
        <v>0</v>
      </c>
      <c r="Y1880" s="55">
        <f>VLOOKUP($E1880,'NI-Soc_SP'!$C:$AN,MID(Y$1,1,2),FALSE)</f>
        <v>0</v>
      </c>
      <c r="Z1880" s="55">
        <f>VLOOKUP($E1880,'NI-Soc_SP'!$C:$AN,MID(Z$1,1,2),FALSE)</f>
        <v>0</v>
      </c>
      <c r="AA1880" s="55">
        <f>VLOOKUP($E1880,'NI-Soc_SP'!$C:$AN,MID(AA$1,1,2),FALSE)</f>
        <v>0</v>
      </c>
      <c r="AB1880" s="55">
        <f>VLOOKUP($E1880,'NI-Soc_SP'!$C:$AN,MID(AB$1,1,2),FALSE)</f>
        <v>0</v>
      </c>
      <c r="AC1880" s="55">
        <f>VLOOKUP($E1880,'NI-Soc_SP'!$C:$AN,MID(AC$1,1,2),FALSE)</f>
        <v>0</v>
      </c>
      <c r="AD1880" s="55">
        <f>VLOOKUP($E1880,'NI-Soc_SP'!$C:$AN,MID(AD$1,1,2),FALSE)</f>
        <v>0</v>
      </c>
      <c r="AE1880" s="55">
        <f>VLOOKUP($E1880,'NI-Soc_SP'!$C:$AN,MID(AE$1,1,2),FALSE)</f>
        <v>0</v>
      </c>
      <c r="AF1880" s="55">
        <f>VLOOKUP($E1880,'NI-Soc_SP'!$C:$AN,MID(AF$1,1,2),FALSE)</f>
        <v>0</v>
      </c>
      <c r="AG1880" s="55">
        <f>VLOOKUP($E1880,'NI-Soc_SP'!$C:$AN,MID(AG$1,1,2),FALSE)</f>
        <v>0</v>
      </c>
      <c r="AH1880" s="55">
        <f>VLOOKUP($E1880,'NI-Soc_SP'!$C:$AN,MID(AH$1,1,2),FALSE)</f>
        <v>0</v>
      </c>
      <c r="AI1880" s="55">
        <f>VLOOKUP($E1880,'NI-Soc_SP'!$C:$AN,MID(AI$1,1,2),FALSE)</f>
        <v>0</v>
      </c>
      <c r="AJ1880" s="55">
        <f>VLOOKUP($E1880,'NI-Soc_SP'!$C:$AN,MID(AJ$1,1,2),FALSE)</f>
        <v>0</v>
      </c>
      <c r="AK1880" s="55">
        <f>VLOOKUP($E1880,'NI-Soc_SP'!$C:$AN,MID(AK$1,1,2),FALSE)</f>
        <v>0</v>
      </c>
      <c r="AL1880" s="55">
        <f>VLOOKUP($E1880,'NI-Soc_SP'!$C:$AN,MID(AL$1,1,2),FALSE)</f>
        <v>0</v>
      </c>
      <c r="AM1880" s="56">
        <f>VLOOKUP($E1880,'NI-Soc_SP'!$C:$AN,MID(AM$1,1,2),FALSE)</f>
        <v>0</v>
      </c>
      <c r="AN1880" s="30" t="str">
        <f t="shared" si="29"/>
        <v>20204010030040</v>
      </c>
    </row>
    <row r="1881" spans="1:40" x14ac:dyDescent="0.25">
      <c r="C1881" s="40"/>
      <c r="D1881" s="121" t="s">
        <v>1623</v>
      </c>
      <c r="E1881" s="121" t="s">
        <v>1624</v>
      </c>
      <c r="F1881" s="122" t="s">
        <v>2758</v>
      </c>
      <c r="G1881" s="52" t="s">
        <v>1608</v>
      </c>
      <c r="H1881" s="52"/>
      <c r="I1881" s="52"/>
      <c r="J1881" s="52"/>
      <c r="K1881" s="59" t="s">
        <v>79</v>
      </c>
      <c r="L1881" s="52"/>
      <c r="M1881" s="52"/>
      <c r="N1881" s="52"/>
      <c r="O1881" s="61" t="s">
        <v>1591</v>
      </c>
      <c r="P1881" s="105" t="s">
        <v>1625</v>
      </c>
      <c r="Q1881" s="55">
        <f>VLOOKUP(E1881,'NI-Soc_SP'!$C:$AN,12,FALSE)</f>
        <v>0</v>
      </c>
      <c r="R1881" s="55">
        <f>VLOOKUP(E1881,'NI-Soc_SP'!$C:$AN,13,FALSE)</f>
        <v>0</v>
      </c>
      <c r="S1881" s="55">
        <f>VLOOKUP(E1881,'NI-Soc_SP'!$C:$AN,31,FALSE)</f>
        <v>0</v>
      </c>
      <c r="T1881" s="55">
        <f>VLOOKUP(E1881,'NI-Soc_SP'!$C:$AN,32,FALSE)+VLOOKUP(E1881,'NI-Soc_SP'!$C:$AN,33,FALSE)</f>
        <v>0</v>
      </c>
      <c r="U1881" s="55">
        <f>VLOOKUP($E1881,'NI-Soc_SP'!$C:$AN,MID(U$1,1,2),FALSE)</f>
        <v>0</v>
      </c>
      <c r="V1881" s="55">
        <f>VLOOKUP($E1881,'NI-Soc_SP'!$C:$AN,MID(V$1,1,2),FALSE)</f>
        <v>0</v>
      </c>
      <c r="W1881" s="55">
        <f>VLOOKUP($E1881,'NI-Soc_SP'!$C:$AN,MID(W$1,1,2),FALSE)</f>
        <v>0</v>
      </c>
      <c r="X1881" s="55">
        <f>VLOOKUP($E1881,'NI-Soc_SP'!$C:$AN,MID(X$1,1,2),FALSE)</f>
        <v>0</v>
      </c>
      <c r="Y1881" s="55">
        <f>VLOOKUP($E1881,'NI-Soc_SP'!$C:$AN,MID(Y$1,1,2),FALSE)</f>
        <v>0</v>
      </c>
      <c r="Z1881" s="55">
        <f>VLOOKUP($E1881,'NI-Soc_SP'!$C:$AN,MID(Z$1,1,2),FALSE)</f>
        <v>0</v>
      </c>
      <c r="AA1881" s="55">
        <f>VLOOKUP($E1881,'NI-Soc_SP'!$C:$AN,MID(AA$1,1,2),FALSE)</f>
        <v>0</v>
      </c>
      <c r="AB1881" s="55">
        <f>VLOOKUP($E1881,'NI-Soc_SP'!$C:$AN,MID(AB$1,1,2),FALSE)</f>
        <v>0</v>
      </c>
      <c r="AC1881" s="55">
        <f>VLOOKUP($E1881,'NI-Soc_SP'!$C:$AN,MID(AC$1,1,2),FALSE)</f>
        <v>0</v>
      </c>
      <c r="AD1881" s="55">
        <f>VLOOKUP($E1881,'NI-Soc_SP'!$C:$AN,MID(AD$1,1,2),FALSE)</f>
        <v>0</v>
      </c>
      <c r="AE1881" s="55">
        <f>VLOOKUP($E1881,'NI-Soc_SP'!$C:$AN,MID(AE$1,1,2),FALSE)</f>
        <v>0</v>
      </c>
      <c r="AF1881" s="55">
        <f>VLOOKUP($E1881,'NI-Soc_SP'!$C:$AN,MID(AF$1,1,2),FALSE)</f>
        <v>0</v>
      </c>
      <c r="AG1881" s="55">
        <f>VLOOKUP($E1881,'NI-Soc_SP'!$C:$AN,MID(AG$1,1,2),FALSE)</f>
        <v>0</v>
      </c>
      <c r="AH1881" s="55">
        <f>VLOOKUP($E1881,'NI-Soc_SP'!$C:$AN,MID(AH$1,1,2),FALSE)</f>
        <v>0</v>
      </c>
      <c r="AI1881" s="55">
        <f>VLOOKUP($E1881,'NI-Soc_SP'!$C:$AN,MID(AI$1,1,2),FALSE)</f>
        <v>0</v>
      </c>
      <c r="AJ1881" s="55">
        <f>VLOOKUP($E1881,'NI-Soc_SP'!$C:$AN,MID(AJ$1,1,2),FALSE)</f>
        <v>0</v>
      </c>
      <c r="AK1881" s="55">
        <f>VLOOKUP($E1881,'NI-Soc_SP'!$C:$AN,MID(AK$1,1,2),FALSE)</f>
        <v>0</v>
      </c>
      <c r="AL1881" s="55">
        <f>VLOOKUP($E1881,'NI-Soc_SP'!$C:$AN,MID(AL$1,1,2),FALSE)</f>
        <v>0</v>
      </c>
      <c r="AM1881" s="56">
        <f>VLOOKUP($E1881,'NI-Soc_SP'!$C:$AN,MID(AM$1,1,2),FALSE)</f>
        <v>0</v>
      </c>
      <c r="AN1881" s="30" t="str">
        <f t="shared" si="29"/>
        <v>20204010030050</v>
      </c>
    </row>
    <row r="1882" spans="1:40" x14ac:dyDescent="0.25">
      <c r="C1882" s="40"/>
      <c r="D1882" s="121" t="s">
        <v>1626</v>
      </c>
      <c r="E1882" s="121" t="s">
        <v>1627</v>
      </c>
      <c r="F1882" s="122" t="s">
        <v>2758</v>
      </c>
      <c r="G1882" s="52" t="s">
        <v>1608</v>
      </c>
      <c r="H1882" s="52"/>
      <c r="I1882" s="86" t="s">
        <v>1609</v>
      </c>
      <c r="J1882" s="86"/>
      <c r="K1882" s="59" t="s">
        <v>79</v>
      </c>
      <c r="L1882" s="52"/>
      <c r="M1882" s="52"/>
      <c r="N1882" s="52"/>
      <c r="O1882" s="61" t="s">
        <v>1628</v>
      </c>
      <c r="P1882" s="106" t="s">
        <v>1629</v>
      </c>
      <c r="Q1882" s="55">
        <f>VLOOKUP(E1882,'NI-Soc_SP'!$C:$AN,12,FALSE)</f>
        <v>0</v>
      </c>
      <c r="R1882" s="55">
        <f>VLOOKUP(E1882,'NI-Soc_SP'!$C:$AN,13,FALSE)</f>
        <v>0</v>
      </c>
      <c r="S1882" s="55">
        <f>VLOOKUP(E1882,'NI-Soc_SP'!$C:$AN,31,FALSE)</f>
        <v>0</v>
      </c>
      <c r="T1882" s="55">
        <f>VLOOKUP(E1882,'NI-Soc_SP'!$C:$AN,32,FALSE)+VLOOKUP(E1882,'NI-Soc_SP'!$C:$AN,33,FALSE)</f>
        <v>0</v>
      </c>
      <c r="U1882" s="55">
        <f>VLOOKUP($E1882,'NI-Soc_SP'!$C:$AN,MID(U$1,1,2),FALSE)</f>
        <v>0</v>
      </c>
      <c r="V1882" s="55">
        <f>VLOOKUP($E1882,'NI-Soc_SP'!$C:$AN,MID(V$1,1,2),FALSE)</f>
        <v>0</v>
      </c>
      <c r="W1882" s="55">
        <f>VLOOKUP($E1882,'NI-Soc_SP'!$C:$AN,MID(W$1,1,2),FALSE)</f>
        <v>0</v>
      </c>
      <c r="X1882" s="55">
        <f>VLOOKUP($E1882,'NI-Soc_SP'!$C:$AN,MID(X$1,1,2),FALSE)</f>
        <v>0</v>
      </c>
      <c r="Y1882" s="55">
        <f>VLOOKUP($E1882,'NI-Soc_SP'!$C:$AN,MID(Y$1,1,2),FALSE)</f>
        <v>0</v>
      </c>
      <c r="Z1882" s="55">
        <f>VLOOKUP($E1882,'NI-Soc_SP'!$C:$AN,MID(Z$1,1,2),FALSE)</f>
        <v>0</v>
      </c>
      <c r="AA1882" s="55">
        <f>VLOOKUP($E1882,'NI-Soc_SP'!$C:$AN,MID(AA$1,1,2),FALSE)</f>
        <v>0</v>
      </c>
      <c r="AB1882" s="55">
        <f>VLOOKUP($E1882,'NI-Soc_SP'!$C:$AN,MID(AB$1,1,2),FALSE)</f>
        <v>0</v>
      </c>
      <c r="AC1882" s="55">
        <f>VLOOKUP($E1882,'NI-Soc_SP'!$C:$AN,MID(AC$1,1,2),FALSE)</f>
        <v>0</v>
      </c>
      <c r="AD1882" s="55">
        <f>VLOOKUP($E1882,'NI-Soc_SP'!$C:$AN,MID(AD$1,1,2),FALSE)</f>
        <v>0</v>
      </c>
      <c r="AE1882" s="55">
        <f>VLOOKUP($E1882,'NI-Soc_SP'!$C:$AN,MID(AE$1,1,2),FALSE)</f>
        <v>0</v>
      </c>
      <c r="AF1882" s="55">
        <f>VLOOKUP($E1882,'NI-Soc_SP'!$C:$AN,MID(AF$1,1,2),FALSE)</f>
        <v>0</v>
      </c>
      <c r="AG1882" s="55">
        <f>VLOOKUP($E1882,'NI-Soc_SP'!$C:$AN,MID(AG$1,1,2),FALSE)</f>
        <v>0</v>
      </c>
      <c r="AH1882" s="55">
        <f>VLOOKUP($E1882,'NI-Soc_SP'!$C:$AN,MID(AH$1,1,2),FALSE)</f>
        <v>0</v>
      </c>
      <c r="AI1882" s="55">
        <f>VLOOKUP($E1882,'NI-Soc_SP'!$C:$AN,MID(AI$1,1,2),FALSE)</f>
        <v>0</v>
      </c>
      <c r="AJ1882" s="55">
        <f>VLOOKUP($E1882,'NI-Soc_SP'!$C:$AN,MID(AJ$1,1,2),FALSE)</f>
        <v>0</v>
      </c>
      <c r="AK1882" s="55">
        <f>VLOOKUP($E1882,'NI-Soc_SP'!$C:$AN,MID(AK$1,1,2),FALSE)</f>
        <v>0</v>
      </c>
      <c r="AL1882" s="55">
        <f>VLOOKUP($E1882,'NI-Soc_SP'!$C:$AN,MID(AL$1,1,2),FALSE)</f>
        <v>0</v>
      </c>
      <c r="AM1882" s="56">
        <f>VLOOKUP($E1882,'NI-Soc_SP'!$C:$AN,MID(AM$1,1,2),FALSE)</f>
        <v>0</v>
      </c>
      <c r="AN1882" s="30" t="str">
        <f t="shared" si="29"/>
        <v>20204010030060</v>
      </c>
    </row>
    <row r="1883" spans="1:40" x14ac:dyDescent="0.25">
      <c r="C1883" s="40"/>
      <c r="D1883" s="121" t="s">
        <v>1630</v>
      </c>
      <c r="E1883" s="121" t="s">
        <v>1631</v>
      </c>
      <c r="F1883" s="122" t="s">
        <v>2758</v>
      </c>
      <c r="G1883" s="52" t="s">
        <v>1608</v>
      </c>
      <c r="H1883" s="52"/>
      <c r="I1883" s="86" t="s">
        <v>1609</v>
      </c>
      <c r="J1883" s="86"/>
      <c r="K1883" s="59" t="s">
        <v>79</v>
      </c>
      <c r="L1883" s="52"/>
      <c r="M1883" s="52"/>
      <c r="N1883" s="52"/>
      <c r="O1883" s="61" t="s">
        <v>1632</v>
      </c>
      <c r="P1883" s="106" t="s">
        <v>1633</v>
      </c>
      <c r="Q1883" s="55">
        <f>VLOOKUP(E1883,'NI-Soc_SP'!$C:$AN,12,FALSE)</f>
        <v>0</v>
      </c>
      <c r="R1883" s="55">
        <f>VLOOKUP(E1883,'NI-Soc_SP'!$C:$AN,13,FALSE)</f>
        <v>0</v>
      </c>
      <c r="S1883" s="55">
        <f>VLOOKUP(E1883,'NI-Soc_SP'!$C:$AN,31,FALSE)</f>
        <v>0</v>
      </c>
      <c r="T1883" s="55">
        <f>VLOOKUP(E1883,'NI-Soc_SP'!$C:$AN,32,FALSE)+VLOOKUP(E1883,'NI-Soc_SP'!$C:$AN,33,FALSE)</f>
        <v>0</v>
      </c>
      <c r="U1883" s="55">
        <f>VLOOKUP($E1883,'NI-Soc_SP'!$C:$AN,MID(U$1,1,2),FALSE)</f>
        <v>0</v>
      </c>
      <c r="V1883" s="55">
        <f>VLOOKUP($E1883,'NI-Soc_SP'!$C:$AN,MID(V$1,1,2),FALSE)</f>
        <v>0</v>
      </c>
      <c r="W1883" s="55">
        <f>VLOOKUP($E1883,'NI-Soc_SP'!$C:$AN,MID(W$1,1,2),FALSE)</f>
        <v>0</v>
      </c>
      <c r="X1883" s="55">
        <f>VLOOKUP($E1883,'NI-Soc_SP'!$C:$AN,MID(X$1,1,2),FALSE)</f>
        <v>0</v>
      </c>
      <c r="Y1883" s="55">
        <f>VLOOKUP($E1883,'NI-Soc_SP'!$C:$AN,MID(Y$1,1,2),FALSE)</f>
        <v>0</v>
      </c>
      <c r="Z1883" s="55">
        <f>VLOOKUP($E1883,'NI-Soc_SP'!$C:$AN,MID(Z$1,1,2),FALSE)</f>
        <v>0</v>
      </c>
      <c r="AA1883" s="55">
        <f>VLOOKUP($E1883,'NI-Soc_SP'!$C:$AN,MID(AA$1,1,2),FALSE)</f>
        <v>0</v>
      </c>
      <c r="AB1883" s="55">
        <f>VLOOKUP($E1883,'NI-Soc_SP'!$C:$AN,MID(AB$1,1,2),FALSE)</f>
        <v>0</v>
      </c>
      <c r="AC1883" s="55">
        <f>VLOOKUP($E1883,'NI-Soc_SP'!$C:$AN,MID(AC$1,1,2),FALSE)</f>
        <v>0</v>
      </c>
      <c r="AD1883" s="55">
        <f>VLOOKUP($E1883,'NI-Soc_SP'!$C:$AN,MID(AD$1,1,2),FALSE)</f>
        <v>0</v>
      </c>
      <c r="AE1883" s="55">
        <f>VLOOKUP($E1883,'NI-Soc_SP'!$C:$AN,MID(AE$1,1,2),FALSE)</f>
        <v>0</v>
      </c>
      <c r="AF1883" s="55">
        <f>VLOOKUP($E1883,'NI-Soc_SP'!$C:$AN,MID(AF$1,1,2),FALSE)</f>
        <v>0</v>
      </c>
      <c r="AG1883" s="55">
        <f>VLOOKUP($E1883,'NI-Soc_SP'!$C:$AN,MID(AG$1,1,2),FALSE)</f>
        <v>0</v>
      </c>
      <c r="AH1883" s="55">
        <f>VLOOKUP($E1883,'NI-Soc_SP'!$C:$AN,MID(AH$1,1,2),FALSE)</f>
        <v>0</v>
      </c>
      <c r="AI1883" s="55">
        <f>VLOOKUP($E1883,'NI-Soc_SP'!$C:$AN,MID(AI$1,1,2),FALSE)</f>
        <v>0</v>
      </c>
      <c r="AJ1883" s="55">
        <f>VLOOKUP($E1883,'NI-Soc_SP'!$C:$AN,MID(AJ$1,1,2),FALSE)</f>
        <v>0</v>
      </c>
      <c r="AK1883" s="55">
        <f>VLOOKUP($E1883,'NI-Soc_SP'!$C:$AN,MID(AK$1,1,2),FALSE)</f>
        <v>0</v>
      </c>
      <c r="AL1883" s="55">
        <f>VLOOKUP($E1883,'NI-Soc_SP'!$C:$AN,MID(AL$1,1,2),FALSE)</f>
        <v>0</v>
      </c>
      <c r="AM1883" s="56">
        <f>VLOOKUP($E1883,'NI-Soc_SP'!$C:$AN,MID(AM$1,1,2),FALSE)</f>
        <v>0</v>
      </c>
      <c r="AN1883" s="30" t="str">
        <f t="shared" si="29"/>
        <v>20204010030070</v>
      </c>
    </row>
    <row r="1884" spans="1:40" x14ac:dyDescent="0.25">
      <c r="C1884" s="40"/>
      <c r="D1884" s="121" t="s">
        <v>1634</v>
      </c>
      <c r="E1884" s="121" t="s">
        <v>1635</v>
      </c>
      <c r="F1884" s="122" t="s">
        <v>2758</v>
      </c>
      <c r="G1884" s="52"/>
      <c r="H1884" s="52"/>
      <c r="I1884" s="52" t="s">
        <v>1636</v>
      </c>
      <c r="J1884" s="52"/>
      <c r="K1884" s="59" t="s">
        <v>1358</v>
      </c>
      <c r="L1884" s="62"/>
      <c r="M1884" s="52"/>
      <c r="N1884" s="52"/>
      <c r="O1884" s="61" t="s">
        <v>1591</v>
      </c>
      <c r="P1884" s="60" t="s">
        <v>1637</v>
      </c>
      <c r="Q1884" s="55">
        <f>VLOOKUP(E1884,'NI-Soc_SP'!$C:$AN,12,FALSE)</f>
        <v>0</v>
      </c>
      <c r="R1884" s="55">
        <f>VLOOKUP(E1884,'NI-Soc_SP'!$C:$AN,13,FALSE)</f>
        <v>0</v>
      </c>
      <c r="S1884" s="55">
        <f>VLOOKUP(E1884,'NI-Soc_SP'!$C:$AN,31,FALSE)</f>
        <v>0</v>
      </c>
      <c r="T1884" s="55">
        <f>VLOOKUP(E1884,'NI-Soc_SP'!$C:$AN,32,FALSE)+VLOOKUP(E1884,'NI-Soc_SP'!$C:$AN,33,FALSE)</f>
        <v>0</v>
      </c>
      <c r="U1884" s="55">
        <f>VLOOKUP($E1884,'NI-Soc_SP'!$C:$AN,MID(U$1,1,2),FALSE)</f>
        <v>0</v>
      </c>
      <c r="V1884" s="55">
        <f>VLOOKUP($E1884,'NI-Soc_SP'!$C:$AN,MID(V$1,1,2),FALSE)</f>
        <v>0</v>
      </c>
      <c r="W1884" s="55">
        <f>VLOOKUP($E1884,'NI-Soc_SP'!$C:$AN,MID(W$1,1,2),FALSE)</f>
        <v>0</v>
      </c>
      <c r="X1884" s="55">
        <f>VLOOKUP($E1884,'NI-Soc_SP'!$C:$AN,MID(X$1,1,2),FALSE)</f>
        <v>0</v>
      </c>
      <c r="Y1884" s="55">
        <f>VLOOKUP($E1884,'NI-Soc_SP'!$C:$AN,MID(Y$1,1,2),FALSE)</f>
        <v>0</v>
      </c>
      <c r="Z1884" s="55">
        <f>VLOOKUP($E1884,'NI-Soc_SP'!$C:$AN,MID(Z$1,1,2),FALSE)</f>
        <v>0</v>
      </c>
      <c r="AA1884" s="55">
        <f>VLOOKUP($E1884,'NI-Soc_SP'!$C:$AN,MID(AA$1,1,2),FALSE)</f>
        <v>0</v>
      </c>
      <c r="AB1884" s="55">
        <f>VLOOKUP($E1884,'NI-Soc_SP'!$C:$AN,MID(AB$1,1,2),FALSE)</f>
        <v>0</v>
      </c>
      <c r="AC1884" s="55">
        <f>VLOOKUP($E1884,'NI-Soc_SP'!$C:$AN,MID(AC$1,1,2),FALSE)</f>
        <v>0</v>
      </c>
      <c r="AD1884" s="55">
        <f>VLOOKUP($E1884,'NI-Soc_SP'!$C:$AN,MID(AD$1,1,2),FALSE)</f>
        <v>0</v>
      </c>
      <c r="AE1884" s="55">
        <f>VLOOKUP($E1884,'NI-Soc_SP'!$C:$AN,MID(AE$1,1,2),FALSE)</f>
        <v>0</v>
      </c>
      <c r="AF1884" s="55">
        <f>VLOOKUP($E1884,'NI-Soc_SP'!$C:$AN,MID(AF$1,1,2),FALSE)</f>
        <v>0</v>
      </c>
      <c r="AG1884" s="55">
        <f>VLOOKUP($E1884,'NI-Soc_SP'!$C:$AN,MID(AG$1,1,2),FALSE)</f>
        <v>0</v>
      </c>
      <c r="AH1884" s="55">
        <f>VLOOKUP($E1884,'NI-Soc_SP'!$C:$AN,MID(AH$1,1,2),FALSE)</f>
        <v>0</v>
      </c>
      <c r="AI1884" s="55">
        <f>VLOOKUP($E1884,'NI-Soc_SP'!$C:$AN,MID(AI$1,1,2),FALSE)</f>
        <v>0</v>
      </c>
      <c r="AJ1884" s="55">
        <f>VLOOKUP($E1884,'NI-Soc_SP'!$C:$AN,MID(AJ$1,1,2),FALSE)</f>
        <v>0</v>
      </c>
      <c r="AK1884" s="55">
        <f>VLOOKUP($E1884,'NI-Soc_SP'!$C:$AN,MID(AK$1,1,2),FALSE)</f>
        <v>0</v>
      </c>
      <c r="AL1884" s="55">
        <f>VLOOKUP($E1884,'NI-Soc_SP'!$C:$AN,MID(AL$1,1,2),FALSE)</f>
        <v>0</v>
      </c>
      <c r="AM1884" s="56">
        <f>VLOOKUP($E1884,'NI-Soc_SP'!$C:$AN,MID(AM$1,1,2),FALSE)</f>
        <v>0</v>
      </c>
      <c r="AN1884" s="30" t="str">
        <f t="shared" si="29"/>
        <v>20204020000000</v>
      </c>
    </row>
    <row r="1885" spans="1:40" ht="27" x14ac:dyDescent="0.25">
      <c r="A1885" s="30" t="s">
        <v>1394</v>
      </c>
      <c r="C1885" s="40"/>
      <c r="D1885" s="87" t="s">
        <v>1638</v>
      </c>
      <c r="E1885" s="87" t="s">
        <v>1639</v>
      </c>
      <c r="F1885" s="122" t="s">
        <v>2758</v>
      </c>
      <c r="G1885" s="52"/>
      <c r="H1885" s="52"/>
      <c r="I1885" s="52"/>
      <c r="J1885" s="79" t="s">
        <v>1640</v>
      </c>
      <c r="K1885" s="59" t="s">
        <v>1358</v>
      </c>
      <c r="L1885" s="52"/>
      <c r="M1885" s="52"/>
      <c r="N1885" s="52"/>
      <c r="O1885" s="61" t="s">
        <v>1641</v>
      </c>
      <c r="P1885" s="76" t="s">
        <v>1642</v>
      </c>
      <c r="Q1885" s="55">
        <f>VLOOKUP(E1885,'NI-Soc_SP'!$C:$AN,12,FALSE)</f>
        <v>0</v>
      </c>
      <c r="R1885" s="55">
        <f>VLOOKUP(E1885,'NI-Soc_SP'!$C:$AN,13,FALSE)</f>
        <v>0</v>
      </c>
      <c r="S1885" s="55">
        <f>VLOOKUP(E1885,'NI-Soc_SP'!$C:$AN,31,FALSE)</f>
        <v>0</v>
      </c>
      <c r="T1885" s="55">
        <f>VLOOKUP(E1885,'NI-Soc_SP'!$C:$AN,32,FALSE)+VLOOKUP(E1885,'NI-Soc_SP'!$C:$AN,33,FALSE)</f>
        <v>0</v>
      </c>
      <c r="U1885" s="55">
        <f>VLOOKUP($E1885,'NI-Soc_SP'!$C:$AN,MID(U$1,1,2),FALSE)</f>
        <v>0</v>
      </c>
      <c r="V1885" s="55">
        <f>VLOOKUP($E1885,'NI-Soc_SP'!$C:$AN,MID(V$1,1,2),FALSE)</f>
        <v>0</v>
      </c>
      <c r="W1885" s="55">
        <f>VLOOKUP($E1885,'NI-Soc_SP'!$C:$AN,MID(W$1,1,2),FALSE)</f>
        <v>0</v>
      </c>
      <c r="X1885" s="55">
        <f>VLOOKUP($E1885,'NI-Soc_SP'!$C:$AN,MID(X$1,1,2),FALSE)</f>
        <v>0</v>
      </c>
      <c r="Y1885" s="55">
        <f>VLOOKUP($E1885,'NI-Soc_SP'!$C:$AN,MID(Y$1,1,2),FALSE)</f>
        <v>0</v>
      </c>
      <c r="Z1885" s="55">
        <f>VLOOKUP($E1885,'NI-Soc_SP'!$C:$AN,MID(Z$1,1,2),FALSE)</f>
        <v>0</v>
      </c>
      <c r="AA1885" s="55">
        <f>VLOOKUP($E1885,'NI-Soc_SP'!$C:$AN,MID(AA$1,1,2),FALSE)</f>
        <v>0</v>
      </c>
      <c r="AB1885" s="55">
        <f>VLOOKUP($E1885,'NI-Soc_SP'!$C:$AN,MID(AB$1,1,2),FALSE)</f>
        <v>0</v>
      </c>
      <c r="AC1885" s="55">
        <f>VLOOKUP($E1885,'NI-Soc_SP'!$C:$AN,MID(AC$1,1,2),FALSE)</f>
        <v>0</v>
      </c>
      <c r="AD1885" s="55">
        <f>VLOOKUP($E1885,'NI-Soc_SP'!$C:$AN,MID(AD$1,1,2),FALSE)</f>
        <v>0</v>
      </c>
      <c r="AE1885" s="55">
        <f>VLOOKUP($E1885,'NI-Soc_SP'!$C:$AN,MID(AE$1,1,2),FALSE)</f>
        <v>0</v>
      </c>
      <c r="AF1885" s="55">
        <f>VLOOKUP($E1885,'NI-Soc_SP'!$C:$AN,MID(AF$1,1,2),FALSE)</f>
        <v>0</v>
      </c>
      <c r="AG1885" s="55">
        <f>VLOOKUP($E1885,'NI-Soc_SP'!$C:$AN,MID(AG$1,1,2),FALSE)</f>
        <v>0</v>
      </c>
      <c r="AH1885" s="55">
        <f>VLOOKUP($E1885,'NI-Soc_SP'!$C:$AN,MID(AH$1,1,2),FALSE)</f>
        <v>0</v>
      </c>
      <c r="AI1885" s="55">
        <f>VLOOKUP($E1885,'NI-Soc_SP'!$C:$AN,MID(AI$1,1,2),FALSE)</f>
        <v>0</v>
      </c>
      <c r="AJ1885" s="55">
        <f>VLOOKUP($E1885,'NI-Soc_SP'!$C:$AN,MID(AJ$1,1,2),FALSE)</f>
        <v>0</v>
      </c>
      <c r="AK1885" s="55">
        <f>VLOOKUP($E1885,'NI-Soc_SP'!$C:$AN,MID(AK$1,1,2),FALSE)</f>
        <v>0</v>
      </c>
      <c r="AL1885" s="55">
        <f>VLOOKUP($E1885,'NI-Soc_SP'!$C:$AN,MID(AL$1,1,2),FALSE)</f>
        <v>0</v>
      </c>
      <c r="AM1885" s="56">
        <f>VLOOKUP($E1885,'NI-Soc_SP'!$C:$AN,MID(AM$1,1,2),FALSE)</f>
        <v>0</v>
      </c>
      <c r="AN1885" s="30" t="str">
        <f t="shared" si="29"/>
        <v>20204030000000</v>
      </c>
    </row>
    <row r="1886" spans="1:40" ht="27" x14ac:dyDescent="0.25">
      <c r="C1886" s="40"/>
      <c r="D1886" s="121" t="s">
        <v>1643</v>
      </c>
      <c r="E1886" s="121" t="s">
        <v>1644</v>
      </c>
      <c r="F1886" s="122" t="s">
        <v>2758</v>
      </c>
      <c r="G1886" s="52" t="s">
        <v>2396</v>
      </c>
      <c r="H1886" s="52"/>
      <c r="I1886" s="65" t="s">
        <v>1645</v>
      </c>
      <c r="J1886" s="65"/>
      <c r="K1886" s="59" t="s">
        <v>79</v>
      </c>
      <c r="L1886" s="62"/>
      <c r="M1886" s="52"/>
      <c r="N1886" s="52"/>
      <c r="O1886" s="61" t="s">
        <v>1646</v>
      </c>
      <c r="P1886" s="60" t="s">
        <v>2753</v>
      </c>
      <c r="Q1886" s="55">
        <f>VLOOKUP(E1886,'NI-Soc_SP'!$C:$AN,12,FALSE)</f>
        <v>0</v>
      </c>
      <c r="R1886" s="55">
        <f>VLOOKUP(E1886,'NI-Soc_SP'!$C:$AN,13,FALSE)</f>
        <v>0</v>
      </c>
      <c r="S1886" s="55">
        <f>VLOOKUP(E1886,'NI-Soc_SP'!$C:$AN,31,FALSE)</f>
        <v>0</v>
      </c>
      <c r="T1886" s="55">
        <f>VLOOKUP(E1886,'NI-Soc_SP'!$C:$AN,32,FALSE)+VLOOKUP(E1886,'NI-Soc_SP'!$C:$AN,33,FALSE)</f>
        <v>0</v>
      </c>
      <c r="U1886" s="55">
        <f>VLOOKUP($E1886,'NI-Soc_SP'!$C:$AN,MID(U$1,1,2),FALSE)</f>
        <v>0</v>
      </c>
      <c r="V1886" s="55">
        <f>VLOOKUP($E1886,'NI-Soc_SP'!$C:$AN,MID(V$1,1,2),FALSE)</f>
        <v>0</v>
      </c>
      <c r="W1886" s="55">
        <f>VLOOKUP($E1886,'NI-Soc_SP'!$C:$AN,MID(W$1,1,2),FALSE)</f>
        <v>0</v>
      </c>
      <c r="X1886" s="55">
        <f>VLOOKUP($E1886,'NI-Soc_SP'!$C:$AN,MID(X$1,1,2),FALSE)</f>
        <v>0</v>
      </c>
      <c r="Y1886" s="55">
        <f>VLOOKUP($E1886,'NI-Soc_SP'!$C:$AN,MID(Y$1,1,2),FALSE)</f>
        <v>0</v>
      </c>
      <c r="Z1886" s="55">
        <f>VLOOKUP($E1886,'NI-Soc_SP'!$C:$AN,MID(Z$1,1,2),FALSE)</f>
        <v>0</v>
      </c>
      <c r="AA1886" s="55">
        <f>VLOOKUP($E1886,'NI-Soc_SP'!$C:$AN,MID(AA$1,1,2),FALSE)</f>
        <v>0</v>
      </c>
      <c r="AB1886" s="55">
        <f>VLOOKUP($E1886,'NI-Soc_SP'!$C:$AN,MID(AB$1,1,2),FALSE)</f>
        <v>0</v>
      </c>
      <c r="AC1886" s="55">
        <f>VLOOKUP($E1886,'NI-Soc_SP'!$C:$AN,MID(AC$1,1,2),FALSE)</f>
        <v>0</v>
      </c>
      <c r="AD1886" s="55">
        <f>VLOOKUP($E1886,'NI-Soc_SP'!$C:$AN,MID(AD$1,1,2),FALSE)</f>
        <v>0</v>
      </c>
      <c r="AE1886" s="55">
        <f>VLOOKUP($E1886,'NI-Soc_SP'!$C:$AN,MID(AE$1,1,2),FALSE)</f>
        <v>0</v>
      </c>
      <c r="AF1886" s="55">
        <f>VLOOKUP($E1886,'NI-Soc_SP'!$C:$AN,MID(AF$1,1,2),FALSE)</f>
        <v>0</v>
      </c>
      <c r="AG1886" s="55">
        <f>VLOOKUP($E1886,'NI-Soc_SP'!$C:$AN,MID(AG$1,1,2),FALSE)</f>
        <v>0</v>
      </c>
      <c r="AH1886" s="55">
        <f>VLOOKUP($E1886,'NI-Soc_SP'!$C:$AN,MID(AH$1,1,2),FALSE)</f>
        <v>0</v>
      </c>
      <c r="AI1886" s="55">
        <f>VLOOKUP($E1886,'NI-Soc_SP'!$C:$AN,MID(AI$1,1,2),FALSE)</f>
        <v>0</v>
      </c>
      <c r="AJ1886" s="55">
        <f>VLOOKUP($E1886,'NI-Soc_SP'!$C:$AN,MID(AJ$1,1,2),FALSE)</f>
        <v>0</v>
      </c>
      <c r="AK1886" s="55">
        <f>VLOOKUP($E1886,'NI-Soc_SP'!$C:$AN,MID(AK$1,1,2),FALSE)</f>
        <v>0</v>
      </c>
      <c r="AL1886" s="55">
        <f>VLOOKUP($E1886,'NI-Soc_SP'!$C:$AN,MID(AL$1,1,2),FALSE)</f>
        <v>0</v>
      </c>
      <c r="AM1886" s="56">
        <f>VLOOKUP($E1886,'NI-Soc_SP'!$C:$AN,MID(AM$1,1,2),FALSE)</f>
        <v>0</v>
      </c>
      <c r="AN1886" s="30" t="str">
        <f t="shared" si="29"/>
        <v>20204040000000</v>
      </c>
    </row>
    <row r="1887" spans="1:40" ht="27" x14ac:dyDescent="0.25">
      <c r="A1887" s="30" t="s">
        <v>1394</v>
      </c>
      <c r="C1887" s="40"/>
      <c r="D1887" s="87" t="s">
        <v>1648</v>
      </c>
      <c r="E1887" s="87" t="s">
        <v>1649</v>
      </c>
      <c r="F1887" s="122" t="s">
        <v>2758</v>
      </c>
      <c r="G1887" s="52"/>
      <c r="H1887" s="52"/>
      <c r="I1887" s="52"/>
      <c r="J1887" s="79" t="s">
        <v>1650</v>
      </c>
      <c r="K1887" s="59" t="s">
        <v>79</v>
      </c>
      <c r="L1887" s="88"/>
      <c r="M1887" s="52"/>
      <c r="N1887" s="52"/>
      <c r="O1887" s="61" t="s">
        <v>1646</v>
      </c>
      <c r="P1887" s="76" t="s">
        <v>1651</v>
      </c>
      <c r="Q1887" s="55">
        <f>VLOOKUP(E1887,'NI-Soc_SP'!$C:$AN,12,FALSE)</f>
        <v>0</v>
      </c>
      <c r="R1887" s="55">
        <f>VLOOKUP(E1887,'NI-Soc_SP'!$C:$AN,13,FALSE)</f>
        <v>0</v>
      </c>
      <c r="S1887" s="55">
        <f>VLOOKUP(E1887,'NI-Soc_SP'!$C:$AN,31,FALSE)</f>
        <v>0</v>
      </c>
      <c r="T1887" s="55">
        <f>VLOOKUP(E1887,'NI-Soc_SP'!$C:$AN,32,FALSE)+VLOOKUP(E1887,'NI-Soc_SP'!$C:$AN,33,FALSE)</f>
        <v>0</v>
      </c>
      <c r="U1887" s="55">
        <f>VLOOKUP($E1887,'NI-Soc_SP'!$C:$AN,MID(U$1,1,2),FALSE)</f>
        <v>0</v>
      </c>
      <c r="V1887" s="55">
        <f>VLOOKUP($E1887,'NI-Soc_SP'!$C:$AN,MID(V$1,1,2),FALSE)</f>
        <v>0</v>
      </c>
      <c r="W1887" s="55">
        <f>VLOOKUP($E1887,'NI-Soc_SP'!$C:$AN,MID(W$1,1,2),FALSE)</f>
        <v>0</v>
      </c>
      <c r="X1887" s="55">
        <f>VLOOKUP($E1887,'NI-Soc_SP'!$C:$AN,MID(X$1,1,2),FALSE)</f>
        <v>0</v>
      </c>
      <c r="Y1887" s="55">
        <f>VLOOKUP($E1887,'NI-Soc_SP'!$C:$AN,MID(Y$1,1,2),FALSE)</f>
        <v>0</v>
      </c>
      <c r="Z1887" s="55">
        <f>VLOOKUP($E1887,'NI-Soc_SP'!$C:$AN,MID(Z$1,1,2),FALSE)</f>
        <v>0</v>
      </c>
      <c r="AA1887" s="55">
        <f>VLOOKUP($E1887,'NI-Soc_SP'!$C:$AN,MID(AA$1,1,2),FALSE)</f>
        <v>0</v>
      </c>
      <c r="AB1887" s="55">
        <f>VLOOKUP($E1887,'NI-Soc_SP'!$C:$AN,MID(AB$1,1,2),FALSE)</f>
        <v>0</v>
      </c>
      <c r="AC1887" s="55">
        <f>VLOOKUP($E1887,'NI-Soc_SP'!$C:$AN,MID(AC$1,1,2),FALSE)</f>
        <v>0</v>
      </c>
      <c r="AD1887" s="55">
        <f>VLOOKUP($E1887,'NI-Soc_SP'!$C:$AN,MID(AD$1,1,2),FALSE)</f>
        <v>0</v>
      </c>
      <c r="AE1887" s="55">
        <f>VLOOKUP($E1887,'NI-Soc_SP'!$C:$AN,MID(AE$1,1,2),FALSE)</f>
        <v>0</v>
      </c>
      <c r="AF1887" s="55">
        <f>VLOOKUP($E1887,'NI-Soc_SP'!$C:$AN,MID(AF$1,1,2),FALSE)</f>
        <v>0</v>
      </c>
      <c r="AG1887" s="55">
        <f>VLOOKUP($E1887,'NI-Soc_SP'!$C:$AN,MID(AG$1,1,2),FALSE)</f>
        <v>0</v>
      </c>
      <c r="AH1887" s="55">
        <f>VLOOKUP($E1887,'NI-Soc_SP'!$C:$AN,MID(AH$1,1,2),FALSE)</f>
        <v>0</v>
      </c>
      <c r="AI1887" s="55">
        <f>VLOOKUP($E1887,'NI-Soc_SP'!$C:$AN,MID(AI$1,1,2),FALSE)</f>
        <v>0</v>
      </c>
      <c r="AJ1887" s="55">
        <f>VLOOKUP($E1887,'NI-Soc_SP'!$C:$AN,MID(AJ$1,1,2),FALSE)</f>
        <v>0</v>
      </c>
      <c r="AK1887" s="55">
        <f>VLOOKUP($E1887,'NI-Soc_SP'!$C:$AN,MID(AK$1,1,2),FALSE)</f>
        <v>0</v>
      </c>
      <c r="AL1887" s="55">
        <f>VLOOKUP($E1887,'NI-Soc_SP'!$C:$AN,MID(AL$1,1,2),FALSE)</f>
        <v>0</v>
      </c>
      <c r="AM1887" s="56">
        <f>VLOOKUP($E1887,'NI-Soc_SP'!$C:$AN,MID(AM$1,1,2),FALSE)</f>
        <v>0</v>
      </c>
      <c r="AN1887" s="30" t="str">
        <f t="shared" si="29"/>
        <v>20204050010000</v>
      </c>
    </row>
    <row r="1888" spans="1:40" ht="27" x14ac:dyDescent="0.25">
      <c r="A1888" s="30" t="s">
        <v>1394</v>
      </c>
      <c r="C1888" s="40"/>
      <c r="D1888" s="87" t="s">
        <v>1652</v>
      </c>
      <c r="E1888" s="87" t="s">
        <v>1653</v>
      </c>
      <c r="F1888" s="122" t="s">
        <v>2758</v>
      </c>
      <c r="G1888" s="52"/>
      <c r="H1888" s="52"/>
      <c r="I1888" s="52"/>
      <c r="J1888" s="79" t="s">
        <v>1650</v>
      </c>
      <c r="K1888" s="59" t="s">
        <v>79</v>
      </c>
      <c r="L1888" s="88"/>
      <c r="M1888" s="52"/>
      <c r="N1888" s="52"/>
      <c r="O1888" s="61" t="s">
        <v>1646</v>
      </c>
      <c r="P1888" s="76" t="s">
        <v>1654</v>
      </c>
      <c r="Q1888" s="55">
        <f>VLOOKUP(E1888,'NI-Soc_SP'!$C:$AN,12,FALSE)</f>
        <v>0</v>
      </c>
      <c r="R1888" s="55">
        <f>VLOOKUP(E1888,'NI-Soc_SP'!$C:$AN,13,FALSE)</f>
        <v>0</v>
      </c>
      <c r="S1888" s="55">
        <f>VLOOKUP(E1888,'NI-Soc_SP'!$C:$AN,31,FALSE)</f>
        <v>0</v>
      </c>
      <c r="T1888" s="55">
        <f>VLOOKUP(E1888,'NI-Soc_SP'!$C:$AN,32,FALSE)+VLOOKUP(E1888,'NI-Soc_SP'!$C:$AN,33,FALSE)</f>
        <v>0</v>
      </c>
      <c r="U1888" s="55">
        <f>VLOOKUP($E1888,'NI-Soc_SP'!$C:$AN,MID(U$1,1,2),FALSE)</f>
        <v>0</v>
      </c>
      <c r="V1888" s="55">
        <f>VLOOKUP($E1888,'NI-Soc_SP'!$C:$AN,MID(V$1,1,2),FALSE)</f>
        <v>0</v>
      </c>
      <c r="W1888" s="55">
        <f>VLOOKUP($E1888,'NI-Soc_SP'!$C:$AN,MID(W$1,1,2),FALSE)</f>
        <v>0</v>
      </c>
      <c r="X1888" s="55">
        <f>VLOOKUP($E1888,'NI-Soc_SP'!$C:$AN,MID(X$1,1,2),FALSE)</f>
        <v>0</v>
      </c>
      <c r="Y1888" s="55">
        <f>VLOOKUP($E1888,'NI-Soc_SP'!$C:$AN,MID(Y$1,1,2),FALSE)</f>
        <v>0</v>
      </c>
      <c r="Z1888" s="55">
        <f>VLOOKUP($E1888,'NI-Soc_SP'!$C:$AN,MID(Z$1,1,2),FALSE)</f>
        <v>0</v>
      </c>
      <c r="AA1888" s="55">
        <f>VLOOKUP($E1888,'NI-Soc_SP'!$C:$AN,MID(AA$1,1,2),FALSE)</f>
        <v>0</v>
      </c>
      <c r="AB1888" s="55">
        <f>VLOOKUP($E1888,'NI-Soc_SP'!$C:$AN,MID(AB$1,1,2),FALSE)</f>
        <v>0</v>
      </c>
      <c r="AC1888" s="55">
        <f>VLOOKUP($E1888,'NI-Soc_SP'!$C:$AN,MID(AC$1,1,2),FALSE)</f>
        <v>0</v>
      </c>
      <c r="AD1888" s="55">
        <f>VLOOKUP($E1888,'NI-Soc_SP'!$C:$AN,MID(AD$1,1,2),FALSE)</f>
        <v>0</v>
      </c>
      <c r="AE1888" s="55">
        <f>VLOOKUP($E1888,'NI-Soc_SP'!$C:$AN,MID(AE$1,1,2),FALSE)</f>
        <v>0</v>
      </c>
      <c r="AF1888" s="55">
        <f>VLOOKUP($E1888,'NI-Soc_SP'!$C:$AN,MID(AF$1,1,2),FALSE)</f>
        <v>0</v>
      </c>
      <c r="AG1888" s="55">
        <f>VLOOKUP($E1888,'NI-Soc_SP'!$C:$AN,MID(AG$1,1,2),FALSE)</f>
        <v>0</v>
      </c>
      <c r="AH1888" s="55">
        <f>VLOOKUP($E1888,'NI-Soc_SP'!$C:$AN,MID(AH$1,1,2),FALSE)</f>
        <v>0</v>
      </c>
      <c r="AI1888" s="55">
        <f>VLOOKUP($E1888,'NI-Soc_SP'!$C:$AN,MID(AI$1,1,2),FALSE)</f>
        <v>0</v>
      </c>
      <c r="AJ1888" s="55">
        <f>VLOOKUP($E1888,'NI-Soc_SP'!$C:$AN,MID(AJ$1,1,2),FALSE)</f>
        <v>0</v>
      </c>
      <c r="AK1888" s="55">
        <f>VLOOKUP($E1888,'NI-Soc_SP'!$C:$AN,MID(AK$1,1,2),FALSE)</f>
        <v>0</v>
      </c>
      <c r="AL1888" s="55">
        <f>VLOOKUP($E1888,'NI-Soc_SP'!$C:$AN,MID(AL$1,1,2),FALSE)</f>
        <v>0</v>
      </c>
      <c r="AM1888" s="56">
        <f>VLOOKUP($E1888,'NI-Soc_SP'!$C:$AN,MID(AM$1,1,2),FALSE)</f>
        <v>0</v>
      </c>
      <c r="AN1888" s="30" t="str">
        <f t="shared" si="29"/>
        <v>20204050020000</v>
      </c>
    </row>
    <row r="1889" spans="1:40" ht="27" x14ac:dyDescent="0.25">
      <c r="A1889" s="30" t="s">
        <v>1394</v>
      </c>
      <c r="C1889" s="40"/>
      <c r="D1889" s="87" t="s">
        <v>1655</v>
      </c>
      <c r="E1889" s="87" t="s">
        <v>1656</v>
      </c>
      <c r="F1889" s="122" t="s">
        <v>2758</v>
      </c>
      <c r="G1889" s="52"/>
      <c r="H1889" s="52"/>
      <c r="I1889" s="52"/>
      <c r="J1889" s="79" t="s">
        <v>1650</v>
      </c>
      <c r="K1889" s="59" t="s">
        <v>79</v>
      </c>
      <c r="L1889" s="88"/>
      <c r="M1889" s="52"/>
      <c r="N1889" s="52"/>
      <c r="O1889" s="61" t="s">
        <v>1646</v>
      </c>
      <c r="P1889" s="76" t="s">
        <v>1657</v>
      </c>
      <c r="Q1889" s="55">
        <f>VLOOKUP(E1889,'NI-Soc_SP'!$C:$AN,12,FALSE)</f>
        <v>0</v>
      </c>
      <c r="R1889" s="55">
        <f>VLOOKUP(E1889,'NI-Soc_SP'!$C:$AN,13,FALSE)</f>
        <v>0</v>
      </c>
      <c r="S1889" s="55">
        <f>VLOOKUP(E1889,'NI-Soc_SP'!$C:$AN,31,FALSE)</f>
        <v>0</v>
      </c>
      <c r="T1889" s="55">
        <f>VLOOKUP(E1889,'NI-Soc_SP'!$C:$AN,32,FALSE)+VLOOKUP(E1889,'NI-Soc_SP'!$C:$AN,33,FALSE)</f>
        <v>0</v>
      </c>
      <c r="U1889" s="55">
        <f>VLOOKUP($E1889,'NI-Soc_SP'!$C:$AN,MID(U$1,1,2),FALSE)</f>
        <v>0</v>
      </c>
      <c r="V1889" s="55">
        <f>VLOOKUP($E1889,'NI-Soc_SP'!$C:$AN,MID(V$1,1,2),FALSE)</f>
        <v>0</v>
      </c>
      <c r="W1889" s="55">
        <f>VLOOKUP($E1889,'NI-Soc_SP'!$C:$AN,MID(W$1,1,2),FALSE)</f>
        <v>0</v>
      </c>
      <c r="X1889" s="55">
        <f>VLOOKUP($E1889,'NI-Soc_SP'!$C:$AN,MID(X$1,1,2),FALSE)</f>
        <v>0</v>
      </c>
      <c r="Y1889" s="55">
        <f>VLOOKUP($E1889,'NI-Soc_SP'!$C:$AN,MID(Y$1,1,2),FALSE)</f>
        <v>0</v>
      </c>
      <c r="Z1889" s="55">
        <f>VLOOKUP($E1889,'NI-Soc_SP'!$C:$AN,MID(Z$1,1,2),FALSE)</f>
        <v>0</v>
      </c>
      <c r="AA1889" s="55">
        <f>VLOOKUP($E1889,'NI-Soc_SP'!$C:$AN,MID(AA$1,1,2),FALSE)</f>
        <v>0</v>
      </c>
      <c r="AB1889" s="55">
        <f>VLOOKUP($E1889,'NI-Soc_SP'!$C:$AN,MID(AB$1,1,2),FALSE)</f>
        <v>0</v>
      </c>
      <c r="AC1889" s="55">
        <f>VLOOKUP($E1889,'NI-Soc_SP'!$C:$AN,MID(AC$1,1,2),FALSE)</f>
        <v>0</v>
      </c>
      <c r="AD1889" s="55">
        <f>VLOOKUP($E1889,'NI-Soc_SP'!$C:$AN,MID(AD$1,1,2),FALSE)</f>
        <v>0</v>
      </c>
      <c r="AE1889" s="55">
        <f>VLOOKUP($E1889,'NI-Soc_SP'!$C:$AN,MID(AE$1,1,2),FALSE)</f>
        <v>0</v>
      </c>
      <c r="AF1889" s="55">
        <f>VLOOKUP($E1889,'NI-Soc_SP'!$C:$AN,MID(AF$1,1,2),FALSE)</f>
        <v>0</v>
      </c>
      <c r="AG1889" s="55">
        <f>VLOOKUP($E1889,'NI-Soc_SP'!$C:$AN,MID(AG$1,1,2),FALSE)</f>
        <v>0</v>
      </c>
      <c r="AH1889" s="55">
        <f>VLOOKUP($E1889,'NI-Soc_SP'!$C:$AN,MID(AH$1,1,2),FALSE)</f>
        <v>0</v>
      </c>
      <c r="AI1889" s="55">
        <f>VLOOKUP($E1889,'NI-Soc_SP'!$C:$AN,MID(AI$1,1,2),FALSE)</f>
        <v>0</v>
      </c>
      <c r="AJ1889" s="55">
        <f>VLOOKUP($E1889,'NI-Soc_SP'!$C:$AN,MID(AJ$1,1,2),FALSE)</f>
        <v>0</v>
      </c>
      <c r="AK1889" s="55">
        <f>VLOOKUP($E1889,'NI-Soc_SP'!$C:$AN,MID(AK$1,1,2),FALSE)</f>
        <v>0</v>
      </c>
      <c r="AL1889" s="55">
        <f>VLOOKUP($E1889,'NI-Soc_SP'!$C:$AN,MID(AL$1,1,2),FALSE)</f>
        <v>0</v>
      </c>
      <c r="AM1889" s="56">
        <f>VLOOKUP($E1889,'NI-Soc_SP'!$C:$AN,MID(AM$1,1,2),FALSE)</f>
        <v>0</v>
      </c>
      <c r="AN1889" s="30" t="str">
        <f t="shared" si="29"/>
        <v>20204050030000</v>
      </c>
    </row>
    <row r="1890" spans="1:40" x14ac:dyDescent="0.25">
      <c r="C1890" s="40"/>
      <c r="D1890" s="121" t="s">
        <v>1658</v>
      </c>
      <c r="E1890" s="121" t="s">
        <v>1659</v>
      </c>
      <c r="F1890" s="122" t="s">
        <v>2758</v>
      </c>
      <c r="G1890" s="52"/>
      <c r="H1890" s="52"/>
      <c r="I1890" s="52"/>
      <c r="J1890" s="52"/>
      <c r="K1890" s="59" t="s">
        <v>111</v>
      </c>
      <c r="L1890" s="52" t="s">
        <v>1660</v>
      </c>
      <c r="M1890" s="52"/>
      <c r="N1890" s="52"/>
      <c r="O1890" s="61" t="s">
        <v>1661</v>
      </c>
      <c r="P1890" s="63" t="s">
        <v>1662</v>
      </c>
      <c r="Q1890" s="55">
        <f>VLOOKUP(E1890,'NI-Soc_SP'!$C:$AN,12,FALSE)</f>
        <v>0</v>
      </c>
      <c r="R1890" s="55">
        <f>VLOOKUP(E1890,'NI-Soc_SP'!$C:$AN,13,FALSE)</f>
        <v>0</v>
      </c>
      <c r="S1890" s="55">
        <f>VLOOKUP(E1890,'NI-Soc_SP'!$C:$AN,31,FALSE)</f>
        <v>0</v>
      </c>
      <c r="T1890" s="55">
        <f>VLOOKUP(E1890,'NI-Soc_SP'!$C:$AN,32,FALSE)+VLOOKUP(E1890,'NI-Soc_SP'!$C:$AN,33,FALSE)</f>
        <v>0</v>
      </c>
      <c r="U1890" s="55">
        <f>VLOOKUP($E1890,'NI-Soc_SP'!$C:$AN,MID(U$1,1,2),FALSE)</f>
        <v>0</v>
      </c>
      <c r="V1890" s="55">
        <f>VLOOKUP($E1890,'NI-Soc_SP'!$C:$AN,MID(V$1,1,2),FALSE)</f>
        <v>0</v>
      </c>
      <c r="W1890" s="55">
        <f>VLOOKUP($E1890,'NI-Soc_SP'!$C:$AN,MID(W$1,1,2),FALSE)</f>
        <v>0</v>
      </c>
      <c r="X1890" s="55">
        <f>VLOOKUP($E1890,'NI-Soc_SP'!$C:$AN,MID(X$1,1,2),FALSE)</f>
        <v>0</v>
      </c>
      <c r="Y1890" s="55">
        <f>VLOOKUP($E1890,'NI-Soc_SP'!$C:$AN,MID(Y$1,1,2),FALSE)</f>
        <v>0</v>
      </c>
      <c r="Z1890" s="55">
        <f>VLOOKUP($E1890,'NI-Soc_SP'!$C:$AN,MID(Z$1,1,2),FALSE)</f>
        <v>0</v>
      </c>
      <c r="AA1890" s="55">
        <f>VLOOKUP($E1890,'NI-Soc_SP'!$C:$AN,MID(AA$1,1,2),FALSE)</f>
        <v>0</v>
      </c>
      <c r="AB1890" s="55">
        <f>VLOOKUP($E1890,'NI-Soc_SP'!$C:$AN,MID(AB$1,1,2),FALSE)</f>
        <v>0</v>
      </c>
      <c r="AC1890" s="55">
        <f>VLOOKUP($E1890,'NI-Soc_SP'!$C:$AN,MID(AC$1,1,2),FALSE)</f>
        <v>0</v>
      </c>
      <c r="AD1890" s="55">
        <f>VLOOKUP($E1890,'NI-Soc_SP'!$C:$AN,MID(AD$1,1,2),FALSE)</f>
        <v>0</v>
      </c>
      <c r="AE1890" s="55">
        <f>VLOOKUP($E1890,'NI-Soc_SP'!$C:$AN,MID(AE$1,1,2),FALSE)</f>
        <v>0</v>
      </c>
      <c r="AF1890" s="55">
        <f>VLOOKUP($E1890,'NI-Soc_SP'!$C:$AN,MID(AF$1,1,2),FALSE)</f>
        <v>0</v>
      </c>
      <c r="AG1890" s="55">
        <f>VLOOKUP($E1890,'NI-Soc_SP'!$C:$AN,MID(AG$1,1,2),FALSE)</f>
        <v>0</v>
      </c>
      <c r="AH1890" s="55">
        <f>VLOOKUP($E1890,'NI-Soc_SP'!$C:$AN,MID(AH$1,1,2),FALSE)</f>
        <v>0</v>
      </c>
      <c r="AI1890" s="55">
        <f>VLOOKUP($E1890,'NI-Soc_SP'!$C:$AN,MID(AI$1,1,2),FALSE)</f>
        <v>0</v>
      </c>
      <c r="AJ1890" s="55">
        <f>VLOOKUP($E1890,'NI-Soc_SP'!$C:$AN,MID(AJ$1,1,2),FALSE)</f>
        <v>0</v>
      </c>
      <c r="AK1890" s="55">
        <f>VLOOKUP($E1890,'NI-Soc_SP'!$C:$AN,MID(AK$1,1,2),FALSE)</f>
        <v>0</v>
      </c>
      <c r="AL1890" s="55">
        <f>VLOOKUP($E1890,'NI-Soc_SP'!$C:$AN,MID(AL$1,1,2),FALSE)</f>
        <v>0</v>
      </c>
      <c r="AM1890" s="56">
        <f>VLOOKUP($E1890,'NI-Soc_SP'!$C:$AN,MID(AM$1,1,2),FALSE)</f>
        <v>0</v>
      </c>
      <c r="AN1890" s="30" t="str">
        <f t="shared" si="29"/>
        <v>20205000000000</v>
      </c>
    </row>
    <row r="1891" spans="1:40" x14ac:dyDescent="0.25">
      <c r="C1891" s="40"/>
      <c r="D1891" s="121" t="s">
        <v>1663</v>
      </c>
      <c r="E1891" s="121" t="s">
        <v>1664</v>
      </c>
      <c r="F1891" s="122" t="s">
        <v>2758</v>
      </c>
      <c r="G1891" s="52"/>
      <c r="H1891" s="52"/>
      <c r="I1891" s="52" t="s">
        <v>1665</v>
      </c>
      <c r="J1891" s="52"/>
      <c r="K1891" s="59" t="s">
        <v>111</v>
      </c>
      <c r="L1891" s="52"/>
      <c r="M1891" s="52"/>
      <c r="N1891" s="52"/>
      <c r="O1891" s="52"/>
      <c r="P1891" s="63" t="s">
        <v>1666</v>
      </c>
      <c r="Q1891" s="55">
        <f>VLOOKUP(E1891,'NI-Soc_SP'!$C:$AN,12,FALSE)</f>
        <v>0</v>
      </c>
      <c r="R1891" s="55">
        <f>VLOOKUP(E1891,'NI-Soc_SP'!$C:$AN,13,FALSE)</f>
        <v>0</v>
      </c>
      <c r="S1891" s="55">
        <f>VLOOKUP(E1891,'NI-Soc_SP'!$C:$AN,31,FALSE)</f>
        <v>0</v>
      </c>
      <c r="T1891" s="55">
        <f>VLOOKUP(E1891,'NI-Soc_SP'!$C:$AN,32,FALSE)+VLOOKUP(E1891,'NI-Soc_SP'!$C:$AN,33,FALSE)</f>
        <v>0</v>
      </c>
      <c r="U1891" s="55">
        <f>VLOOKUP($E1891,'NI-Soc_SP'!$C:$AN,MID(U$1,1,2),FALSE)</f>
        <v>0</v>
      </c>
      <c r="V1891" s="55">
        <f>VLOOKUP($E1891,'NI-Soc_SP'!$C:$AN,MID(V$1,1,2),FALSE)</f>
        <v>0</v>
      </c>
      <c r="W1891" s="55">
        <f>VLOOKUP($E1891,'NI-Soc_SP'!$C:$AN,MID(W$1,1,2),FALSE)</f>
        <v>0</v>
      </c>
      <c r="X1891" s="55">
        <f>VLOOKUP($E1891,'NI-Soc_SP'!$C:$AN,MID(X$1,1,2),FALSE)</f>
        <v>0</v>
      </c>
      <c r="Y1891" s="55">
        <f>VLOOKUP($E1891,'NI-Soc_SP'!$C:$AN,MID(Y$1,1,2),FALSE)</f>
        <v>0</v>
      </c>
      <c r="Z1891" s="55">
        <f>VLOOKUP($E1891,'NI-Soc_SP'!$C:$AN,MID(Z$1,1,2),FALSE)</f>
        <v>0</v>
      </c>
      <c r="AA1891" s="55">
        <f>VLOOKUP($E1891,'NI-Soc_SP'!$C:$AN,MID(AA$1,1,2),FALSE)</f>
        <v>0</v>
      </c>
      <c r="AB1891" s="55">
        <f>VLOOKUP($E1891,'NI-Soc_SP'!$C:$AN,MID(AB$1,1,2),FALSE)</f>
        <v>0</v>
      </c>
      <c r="AC1891" s="55">
        <f>VLOOKUP($E1891,'NI-Soc_SP'!$C:$AN,MID(AC$1,1,2),FALSE)</f>
        <v>0</v>
      </c>
      <c r="AD1891" s="55">
        <f>VLOOKUP($E1891,'NI-Soc_SP'!$C:$AN,MID(AD$1,1,2),FALSE)</f>
        <v>0</v>
      </c>
      <c r="AE1891" s="55">
        <f>VLOOKUP($E1891,'NI-Soc_SP'!$C:$AN,MID(AE$1,1,2),FALSE)</f>
        <v>0</v>
      </c>
      <c r="AF1891" s="55">
        <f>VLOOKUP($E1891,'NI-Soc_SP'!$C:$AN,MID(AF$1,1,2),FALSE)</f>
        <v>0</v>
      </c>
      <c r="AG1891" s="55">
        <f>VLOOKUP($E1891,'NI-Soc_SP'!$C:$AN,MID(AG$1,1,2),FALSE)</f>
        <v>0</v>
      </c>
      <c r="AH1891" s="55">
        <f>VLOOKUP($E1891,'NI-Soc_SP'!$C:$AN,MID(AH$1,1,2),FALSE)</f>
        <v>0</v>
      </c>
      <c r="AI1891" s="55">
        <f>VLOOKUP($E1891,'NI-Soc_SP'!$C:$AN,MID(AI$1,1,2),FALSE)</f>
        <v>0</v>
      </c>
      <c r="AJ1891" s="55">
        <f>VLOOKUP($E1891,'NI-Soc_SP'!$C:$AN,MID(AJ$1,1,2),FALSE)</f>
        <v>0</v>
      </c>
      <c r="AK1891" s="55">
        <f>VLOOKUP($E1891,'NI-Soc_SP'!$C:$AN,MID(AK$1,1,2),FALSE)</f>
        <v>0</v>
      </c>
      <c r="AL1891" s="55">
        <f>VLOOKUP($E1891,'NI-Soc_SP'!$C:$AN,MID(AL$1,1,2),FALSE)</f>
        <v>0</v>
      </c>
      <c r="AM1891" s="56">
        <f>VLOOKUP($E1891,'NI-Soc_SP'!$C:$AN,MID(AM$1,1,2),FALSE)</f>
        <v>0</v>
      </c>
      <c r="AN1891" s="30" t="str">
        <f t="shared" si="29"/>
        <v>20205010000000</v>
      </c>
    </row>
    <row r="1892" spans="1:40" x14ac:dyDescent="0.25">
      <c r="C1892" s="40"/>
      <c r="D1892" s="121" t="s">
        <v>1667</v>
      </c>
      <c r="E1892" s="121" t="s">
        <v>1668</v>
      </c>
      <c r="F1892" s="122" t="s">
        <v>2758</v>
      </c>
      <c r="G1892" s="52"/>
      <c r="H1892" s="52"/>
      <c r="I1892" s="52"/>
      <c r="J1892" s="52"/>
      <c r="K1892" s="59" t="s">
        <v>79</v>
      </c>
      <c r="L1892" s="52"/>
      <c r="M1892" s="52"/>
      <c r="N1892" s="52"/>
      <c r="O1892" s="52"/>
      <c r="P1892" s="63" t="s">
        <v>1669</v>
      </c>
      <c r="Q1892" s="55">
        <f>VLOOKUP(E1892,'NI-Soc_SP'!$C:$AN,12,FALSE)</f>
        <v>0</v>
      </c>
      <c r="R1892" s="55">
        <f>VLOOKUP(E1892,'NI-Soc_SP'!$C:$AN,13,FALSE)</f>
        <v>0</v>
      </c>
      <c r="S1892" s="55">
        <f>VLOOKUP(E1892,'NI-Soc_SP'!$C:$AN,31,FALSE)</f>
        <v>0</v>
      </c>
      <c r="T1892" s="55">
        <f>VLOOKUP(E1892,'NI-Soc_SP'!$C:$AN,32,FALSE)+VLOOKUP(E1892,'NI-Soc_SP'!$C:$AN,33,FALSE)</f>
        <v>0</v>
      </c>
      <c r="U1892" s="55">
        <f>VLOOKUP($E1892,'NI-Soc_SP'!$C:$AN,MID(U$1,1,2),FALSE)</f>
        <v>0</v>
      </c>
      <c r="V1892" s="55">
        <f>VLOOKUP($E1892,'NI-Soc_SP'!$C:$AN,MID(V$1,1,2),FALSE)</f>
        <v>0</v>
      </c>
      <c r="W1892" s="55">
        <f>VLOOKUP($E1892,'NI-Soc_SP'!$C:$AN,MID(W$1,1,2),FALSE)</f>
        <v>0</v>
      </c>
      <c r="X1892" s="55">
        <f>VLOOKUP($E1892,'NI-Soc_SP'!$C:$AN,MID(X$1,1,2),FALSE)</f>
        <v>0</v>
      </c>
      <c r="Y1892" s="55">
        <f>VLOOKUP($E1892,'NI-Soc_SP'!$C:$AN,MID(Y$1,1,2),FALSE)</f>
        <v>0</v>
      </c>
      <c r="Z1892" s="55">
        <f>VLOOKUP($E1892,'NI-Soc_SP'!$C:$AN,MID(Z$1,1,2),FALSE)</f>
        <v>0</v>
      </c>
      <c r="AA1892" s="55">
        <f>VLOOKUP($E1892,'NI-Soc_SP'!$C:$AN,MID(AA$1,1,2),FALSE)</f>
        <v>0</v>
      </c>
      <c r="AB1892" s="55">
        <f>VLOOKUP($E1892,'NI-Soc_SP'!$C:$AN,MID(AB$1,1,2),FALSE)</f>
        <v>0</v>
      </c>
      <c r="AC1892" s="55">
        <f>VLOOKUP($E1892,'NI-Soc_SP'!$C:$AN,MID(AC$1,1,2),FALSE)</f>
        <v>0</v>
      </c>
      <c r="AD1892" s="55">
        <f>VLOOKUP($E1892,'NI-Soc_SP'!$C:$AN,MID(AD$1,1,2),FALSE)</f>
        <v>0</v>
      </c>
      <c r="AE1892" s="55">
        <f>VLOOKUP($E1892,'NI-Soc_SP'!$C:$AN,MID(AE$1,1,2),FALSE)</f>
        <v>0</v>
      </c>
      <c r="AF1892" s="55">
        <f>VLOOKUP($E1892,'NI-Soc_SP'!$C:$AN,MID(AF$1,1,2),FALSE)</f>
        <v>0</v>
      </c>
      <c r="AG1892" s="55">
        <f>VLOOKUP($E1892,'NI-Soc_SP'!$C:$AN,MID(AG$1,1,2),FALSE)</f>
        <v>0</v>
      </c>
      <c r="AH1892" s="55">
        <f>VLOOKUP($E1892,'NI-Soc_SP'!$C:$AN,MID(AH$1,1,2),FALSE)</f>
        <v>0</v>
      </c>
      <c r="AI1892" s="55">
        <f>VLOOKUP($E1892,'NI-Soc_SP'!$C:$AN,MID(AI$1,1,2),FALSE)</f>
        <v>0</v>
      </c>
      <c r="AJ1892" s="55">
        <f>VLOOKUP($E1892,'NI-Soc_SP'!$C:$AN,MID(AJ$1,1,2),FALSE)</f>
        <v>0</v>
      </c>
      <c r="AK1892" s="55">
        <f>VLOOKUP($E1892,'NI-Soc_SP'!$C:$AN,MID(AK$1,1,2),FALSE)</f>
        <v>0</v>
      </c>
      <c r="AL1892" s="55">
        <f>VLOOKUP($E1892,'NI-Soc_SP'!$C:$AN,MID(AL$1,1,2),FALSE)</f>
        <v>0</v>
      </c>
      <c r="AM1892" s="56">
        <f>VLOOKUP($E1892,'NI-Soc_SP'!$C:$AN,MID(AM$1,1,2),FALSE)</f>
        <v>0</v>
      </c>
      <c r="AN1892" s="30" t="str">
        <f t="shared" si="29"/>
        <v>20205010010000</v>
      </c>
    </row>
    <row r="1893" spans="1:40" x14ac:dyDescent="0.25">
      <c r="C1893" s="40"/>
      <c r="D1893" s="121" t="s">
        <v>1670</v>
      </c>
      <c r="E1893" s="121" t="s">
        <v>1671</v>
      </c>
      <c r="F1893" s="122" t="s">
        <v>2758</v>
      </c>
      <c r="G1893" s="52"/>
      <c r="H1893" s="52"/>
      <c r="I1893" s="52"/>
      <c r="J1893" s="52"/>
      <c r="K1893" s="59" t="s">
        <v>79</v>
      </c>
      <c r="L1893" s="52"/>
      <c r="M1893" s="52"/>
      <c r="N1893" s="52"/>
      <c r="O1893" s="52"/>
      <c r="P1893" s="63" t="s">
        <v>1672</v>
      </c>
      <c r="Q1893" s="55">
        <f>VLOOKUP(E1893,'NI-Soc_SP'!$C:$AN,12,FALSE)</f>
        <v>0</v>
      </c>
      <c r="R1893" s="55">
        <f>VLOOKUP(E1893,'NI-Soc_SP'!$C:$AN,13,FALSE)</f>
        <v>0</v>
      </c>
      <c r="S1893" s="55">
        <f>VLOOKUP(E1893,'NI-Soc_SP'!$C:$AN,31,FALSE)</f>
        <v>0</v>
      </c>
      <c r="T1893" s="55">
        <f>VLOOKUP(E1893,'NI-Soc_SP'!$C:$AN,32,FALSE)+VLOOKUP(E1893,'NI-Soc_SP'!$C:$AN,33,FALSE)</f>
        <v>0</v>
      </c>
      <c r="U1893" s="55">
        <f>VLOOKUP($E1893,'NI-Soc_SP'!$C:$AN,MID(U$1,1,2),FALSE)</f>
        <v>0</v>
      </c>
      <c r="V1893" s="55">
        <f>VLOOKUP($E1893,'NI-Soc_SP'!$C:$AN,MID(V$1,1,2),FALSE)</f>
        <v>0</v>
      </c>
      <c r="W1893" s="55">
        <f>VLOOKUP($E1893,'NI-Soc_SP'!$C:$AN,MID(W$1,1,2),FALSE)</f>
        <v>0</v>
      </c>
      <c r="X1893" s="55">
        <f>VLOOKUP($E1893,'NI-Soc_SP'!$C:$AN,MID(X$1,1,2),FALSE)</f>
        <v>0</v>
      </c>
      <c r="Y1893" s="55">
        <f>VLOOKUP($E1893,'NI-Soc_SP'!$C:$AN,MID(Y$1,1,2),FALSE)</f>
        <v>0</v>
      </c>
      <c r="Z1893" s="55">
        <f>VLOOKUP($E1893,'NI-Soc_SP'!$C:$AN,MID(Z$1,1,2),FALSE)</f>
        <v>0</v>
      </c>
      <c r="AA1893" s="55">
        <f>VLOOKUP($E1893,'NI-Soc_SP'!$C:$AN,MID(AA$1,1,2),FALSE)</f>
        <v>0</v>
      </c>
      <c r="AB1893" s="55">
        <f>VLOOKUP($E1893,'NI-Soc_SP'!$C:$AN,MID(AB$1,1,2),FALSE)</f>
        <v>0</v>
      </c>
      <c r="AC1893" s="55">
        <f>VLOOKUP($E1893,'NI-Soc_SP'!$C:$AN,MID(AC$1,1,2),FALSE)</f>
        <v>0</v>
      </c>
      <c r="AD1893" s="55">
        <f>VLOOKUP($E1893,'NI-Soc_SP'!$C:$AN,MID(AD$1,1,2),FALSE)</f>
        <v>0</v>
      </c>
      <c r="AE1893" s="55">
        <f>VLOOKUP($E1893,'NI-Soc_SP'!$C:$AN,MID(AE$1,1,2),FALSE)</f>
        <v>0</v>
      </c>
      <c r="AF1893" s="55">
        <f>VLOOKUP($E1893,'NI-Soc_SP'!$C:$AN,MID(AF$1,1,2),FALSE)</f>
        <v>0</v>
      </c>
      <c r="AG1893" s="55">
        <f>VLOOKUP($E1893,'NI-Soc_SP'!$C:$AN,MID(AG$1,1,2),FALSE)</f>
        <v>0</v>
      </c>
      <c r="AH1893" s="55">
        <f>VLOOKUP($E1893,'NI-Soc_SP'!$C:$AN,MID(AH$1,1,2),FALSE)</f>
        <v>0</v>
      </c>
      <c r="AI1893" s="55">
        <f>VLOOKUP($E1893,'NI-Soc_SP'!$C:$AN,MID(AI$1,1,2),FALSE)</f>
        <v>0</v>
      </c>
      <c r="AJ1893" s="55">
        <f>VLOOKUP($E1893,'NI-Soc_SP'!$C:$AN,MID(AJ$1,1,2),FALSE)</f>
        <v>0</v>
      </c>
      <c r="AK1893" s="55">
        <f>VLOOKUP($E1893,'NI-Soc_SP'!$C:$AN,MID(AK$1,1,2),FALSE)</f>
        <v>0</v>
      </c>
      <c r="AL1893" s="55">
        <f>VLOOKUP($E1893,'NI-Soc_SP'!$C:$AN,MID(AL$1,1,2),FALSE)</f>
        <v>0</v>
      </c>
      <c r="AM1893" s="56">
        <f>VLOOKUP($E1893,'NI-Soc_SP'!$C:$AN,MID(AM$1,1,2),FALSE)</f>
        <v>0</v>
      </c>
      <c r="AN1893" s="30" t="str">
        <f t="shared" si="29"/>
        <v>20205010020000</v>
      </c>
    </row>
    <row r="1894" spans="1:40" x14ac:dyDescent="0.25">
      <c r="C1894" s="40"/>
      <c r="D1894" s="121" t="s">
        <v>1673</v>
      </c>
      <c r="E1894" s="121" t="s">
        <v>1674</v>
      </c>
      <c r="F1894" s="122" t="s">
        <v>2758</v>
      </c>
      <c r="G1894" s="52"/>
      <c r="H1894" s="52"/>
      <c r="I1894" s="52" t="s">
        <v>1675</v>
      </c>
      <c r="J1894" s="52"/>
      <c r="K1894" s="59" t="s">
        <v>79</v>
      </c>
      <c r="L1894" s="52"/>
      <c r="M1894" s="52"/>
      <c r="N1894" s="52"/>
      <c r="O1894" s="52"/>
      <c r="P1894" s="63" t="s">
        <v>1676</v>
      </c>
      <c r="Q1894" s="55">
        <f>VLOOKUP(E1894,'NI-Soc_SP'!$C:$AN,12,FALSE)</f>
        <v>0</v>
      </c>
      <c r="R1894" s="55">
        <f>VLOOKUP(E1894,'NI-Soc_SP'!$C:$AN,13,FALSE)</f>
        <v>0</v>
      </c>
      <c r="S1894" s="55">
        <f>VLOOKUP(E1894,'NI-Soc_SP'!$C:$AN,31,FALSE)</f>
        <v>0</v>
      </c>
      <c r="T1894" s="55">
        <f>VLOOKUP(E1894,'NI-Soc_SP'!$C:$AN,32,FALSE)+VLOOKUP(E1894,'NI-Soc_SP'!$C:$AN,33,FALSE)</f>
        <v>0</v>
      </c>
      <c r="U1894" s="55">
        <f>VLOOKUP($E1894,'NI-Soc_SP'!$C:$AN,MID(U$1,1,2),FALSE)</f>
        <v>0</v>
      </c>
      <c r="V1894" s="55">
        <f>VLOOKUP($E1894,'NI-Soc_SP'!$C:$AN,MID(V$1,1,2),FALSE)</f>
        <v>0</v>
      </c>
      <c r="W1894" s="55">
        <f>VLOOKUP($E1894,'NI-Soc_SP'!$C:$AN,MID(W$1,1,2),FALSE)</f>
        <v>0</v>
      </c>
      <c r="X1894" s="55">
        <f>VLOOKUP($E1894,'NI-Soc_SP'!$C:$AN,MID(X$1,1,2),FALSE)</f>
        <v>0</v>
      </c>
      <c r="Y1894" s="55">
        <f>VLOOKUP($E1894,'NI-Soc_SP'!$C:$AN,MID(Y$1,1,2),FALSE)</f>
        <v>0</v>
      </c>
      <c r="Z1894" s="55">
        <f>VLOOKUP($E1894,'NI-Soc_SP'!$C:$AN,MID(Z$1,1,2),FALSE)</f>
        <v>0</v>
      </c>
      <c r="AA1894" s="55">
        <f>VLOOKUP($E1894,'NI-Soc_SP'!$C:$AN,MID(AA$1,1,2),FALSE)</f>
        <v>0</v>
      </c>
      <c r="AB1894" s="55">
        <f>VLOOKUP($E1894,'NI-Soc_SP'!$C:$AN,MID(AB$1,1,2),FALSE)</f>
        <v>0</v>
      </c>
      <c r="AC1894" s="55">
        <f>VLOOKUP($E1894,'NI-Soc_SP'!$C:$AN,MID(AC$1,1,2),FALSE)</f>
        <v>0</v>
      </c>
      <c r="AD1894" s="55">
        <f>VLOOKUP($E1894,'NI-Soc_SP'!$C:$AN,MID(AD$1,1,2),FALSE)</f>
        <v>0</v>
      </c>
      <c r="AE1894" s="55">
        <f>VLOOKUP($E1894,'NI-Soc_SP'!$C:$AN,MID(AE$1,1,2),FALSE)</f>
        <v>0</v>
      </c>
      <c r="AF1894" s="55">
        <f>VLOOKUP($E1894,'NI-Soc_SP'!$C:$AN,MID(AF$1,1,2),FALSE)</f>
        <v>0</v>
      </c>
      <c r="AG1894" s="55">
        <f>VLOOKUP($E1894,'NI-Soc_SP'!$C:$AN,MID(AG$1,1,2),FALSE)</f>
        <v>0</v>
      </c>
      <c r="AH1894" s="55">
        <f>VLOOKUP($E1894,'NI-Soc_SP'!$C:$AN,MID(AH$1,1,2),FALSE)</f>
        <v>0</v>
      </c>
      <c r="AI1894" s="55">
        <f>VLOOKUP($E1894,'NI-Soc_SP'!$C:$AN,MID(AI$1,1,2),FALSE)</f>
        <v>0</v>
      </c>
      <c r="AJ1894" s="55">
        <f>VLOOKUP($E1894,'NI-Soc_SP'!$C:$AN,MID(AJ$1,1,2),FALSE)</f>
        <v>0</v>
      </c>
      <c r="AK1894" s="55">
        <f>VLOOKUP($E1894,'NI-Soc_SP'!$C:$AN,MID(AK$1,1,2),FALSE)</f>
        <v>0</v>
      </c>
      <c r="AL1894" s="55">
        <f>VLOOKUP($E1894,'NI-Soc_SP'!$C:$AN,MID(AL$1,1,2),FALSE)</f>
        <v>0</v>
      </c>
      <c r="AM1894" s="56">
        <f>VLOOKUP($E1894,'NI-Soc_SP'!$C:$AN,MID(AM$1,1,2),FALSE)</f>
        <v>0</v>
      </c>
      <c r="AN1894" s="30" t="str">
        <f t="shared" si="29"/>
        <v>20205020000000</v>
      </c>
    </row>
    <row r="1895" spans="1:40" x14ac:dyDescent="0.25">
      <c r="C1895" s="40"/>
      <c r="D1895" s="121" t="s">
        <v>1677</v>
      </c>
      <c r="E1895" s="121" t="s">
        <v>1678</v>
      </c>
      <c r="F1895" s="122" t="s">
        <v>2758</v>
      </c>
      <c r="G1895" s="52"/>
      <c r="H1895" s="52"/>
      <c r="I1895" s="52" t="s">
        <v>1679</v>
      </c>
      <c r="J1895" s="52"/>
      <c r="K1895" s="59" t="s">
        <v>79</v>
      </c>
      <c r="L1895" s="52"/>
      <c r="M1895" s="52"/>
      <c r="N1895" s="52"/>
      <c r="O1895" s="52"/>
      <c r="P1895" s="76" t="s">
        <v>1680</v>
      </c>
      <c r="Q1895" s="55">
        <f>VLOOKUP(E1895,'NI-Soc_SP'!$C:$AN,12,FALSE)</f>
        <v>0</v>
      </c>
      <c r="R1895" s="55">
        <f>VLOOKUP(E1895,'NI-Soc_SP'!$C:$AN,13,FALSE)</f>
        <v>0</v>
      </c>
      <c r="S1895" s="55">
        <f>VLOOKUP(E1895,'NI-Soc_SP'!$C:$AN,31,FALSE)</f>
        <v>0</v>
      </c>
      <c r="T1895" s="55">
        <f>VLOOKUP(E1895,'NI-Soc_SP'!$C:$AN,32,FALSE)+VLOOKUP(E1895,'NI-Soc_SP'!$C:$AN,33,FALSE)</f>
        <v>0</v>
      </c>
      <c r="U1895" s="55">
        <f>VLOOKUP($E1895,'NI-Soc_SP'!$C:$AN,MID(U$1,1,2),FALSE)</f>
        <v>0</v>
      </c>
      <c r="V1895" s="55">
        <f>VLOOKUP($E1895,'NI-Soc_SP'!$C:$AN,MID(V$1,1,2),FALSE)</f>
        <v>0</v>
      </c>
      <c r="W1895" s="55">
        <f>VLOOKUP($E1895,'NI-Soc_SP'!$C:$AN,MID(W$1,1,2),FALSE)</f>
        <v>0</v>
      </c>
      <c r="X1895" s="55">
        <f>VLOOKUP($E1895,'NI-Soc_SP'!$C:$AN,MID(X$1,1,2),FALSE)</f>
        <v>0</v>
      </c>
      <c r="Y1895" s="55">
        <f>VLOOKUP($E1895,'NI-Soc_SP'!$C:$AN,MID(Y$1,1,2),FALSE)</f>
        <v>0</v>
      </c>
      <c r="Z1895" s="55">
        <f>VLOOKUP($E1895,'NI-Soc_SP'!$C:$AN,MID(Z$1,1,2),FALSE)</f>
        <v>0</v>
      </c>
      <c r="AA1895" s="55">
        <f>VLOOKUP($E1895,'NI-Soc_SP'!$C:$AN,MID(AA$1,1,2),FALSE)</f>
        <v>0</v>
      </c>
      <c r="AB1895" s="55">
        <f>VLOOKUP($E1895,'NI-Soc_SP'!$C:$AN,MID(AB$1,1,2),FALSE)</f>
        <v>0</v>
      </c>
      <c r="AC1895" s="55">
        <f>VLOOKUP($E1895,'NI-Soc_SP'!$C:$AN,MID(AC$1,1,2),FALSE)</f>
        <v>0</v>
      </c>
      <c r="AD1895" s="55">
        <f>VLOOKUP($E1895,'NI-Soc_SP'!$C:$AN,MID(AD$1,1,2),FALSE)</f>
        <v>0</v>
      </c>
      <c r="AE1895" s="55">
        <f>VLOOKUP($E1895,'NI-Soc_SP'!$C:$AN,MID(AE$1,1,2),FALSE)</f>
        <v>0</v>
      </c>
      <c r="AF1895" s="55">
        <f>VLOOKUP($E1895,'NI-Soc_SP'!$C:$AN,MID(AF$1,1,2),FALSE)</f>
        <v>0</v>
      </c>
      <c r="AG1895" s="55">
        <f>VLOOKUP($E1895,'NI-Soc_SP'!$C:$AN,MID(AG$1,1,2),FALSE)</f>
        <v>0</v>
      </c>
      <c r="AH1895" s="55">
        <f>VLOOKUP($E1895,'NI-Soc_SP'!$C:$AN,MID(AH$1,1,2),FALSE)</f>
        <v>0</v>
      </c>
      <c r="AI1895" s="55">
        <f>VLOOKUP($E1895,'NI-Soc_SP'!$C:$AN,MID(AI$1,1,2),FALSE)</f>
        <v>0</v>
      </c>
      <c r="AJ1895" s="55">
        <f>VLOOKUP($E1895,'NI-Soc_SP'!$C:$AN,MID(AJ$1,1,2),FALSE)</f>
        <v>0</v>
      </c>
      <c r="AK1895" s="55">
        <f>VLOOKUP($E1895,'NI-Soc_SP'!$C:$AN,MID(AK$1,1,2),FALSE)</f>
        <v>0</v>
      </c>
      <c r="AL1895" s="55">
        <f>VLOOKUP($E1895,'NI-Soc_SP'!$C:$AN,MID(AL$1,1,2),FALSE)</f>
        <v>0</v>
      </c>
      <c r="AM1895" s="56">
        <f>VLOOKUP($E1895,'NI-Soc_SP'!$C:$AN,MID(AM$1,1,2),FALSE)</f>
        <v>0</v>
      </c>
      <c r="AN1895" s="30" t="str">
        <f t="shared" si="29"/>
        <v>20205030000000</v>
      </c>
    </row>
    <row r="1896" spans="1:40" x14ac:dyDescent="0.25">
      <c r="C1896" s="40"/>
      <c r="D1896" s="121" t="s">
        <v>1681</v>
      </c>
      <c r="E1896" s="121" t="s">
        <v>1682</v>
      </c>
      <c r="F1896" s="122" t="s">
        <v>2758</v>
      </c>
      <c r="G1896" s="52"/>
      <c r="H1896" s="52"/>
      <c r="I1896" s="52" t="s">
        <v>1683</v>
      </c>
      <c r="J1896" s="52"/>
      <c r="K1896" s="59" t="s">
        <v>79</v>
      </c>
      <c r="L1896" s="52" t="s">
        <v>1684</v>
      </c>
      <c r="M1896" s="52"/>
      <c r="N1896" s="52"/>
      <c r="O1896" s="61" t="s">
        <v>1685</v>
      </c>
      <c r="P1896" s="103" t="s">
        <v>1686</v>
      </c>
      <c r="Q1896" s="55">
        <f>VLOOKUP(E1896,'NI-Soc_SP'!$C:$AN,12,FALSE)</f>
        <v>0</v>
      </c>
      <c r="R1896" s="55">
        <f>VLOOKUP(E1896,'NI-Soc_SP'!$C:$AN,13,FALSE)</f>
        <v>0</v>
      </c>
      <c r="S1896" s="55">
        <f>VLOOKUP(E1896,'NI-Soc_SP'!$C:$AN,31,FALSE)</f>
        <v>0</v>
      </c>
      <c r="T1896" s="55">
        <f>VLOOKUP(E1896,'NI-Soc_SP'!$C:$AN,32,FALSE)+VLOOKUP(E1896,'NI-Soc_SP'!$C:$AN,33,FALSE)</f>
        <v>0</v>
      </c>
      <c r="U1896" s="55">
        <f>VLOOKUP($E1896,'NI-Soc_SP'!$C:$AN,MID(U$1,1,2),FALSE)</f>
        <v>0</v>
      </c>
      <c r="V1896" s="55">
        <f>VLOOKUP($E1896,'NI-Soc_SP'!$C:$AN,MID(V$1,1,2),FALSE)</f>
        <v>0</v>
      </c>
      <c r="W1896" s="55">
        <f>VLOOKUP($E1896,'NI-Soc_SP'!$C:$AN,MID(W$1,1,2),FALSE)</f>
        <v>0</v>
      </c>
      <c r="X1896" s="55">
        <f>VLOOKUP($E1896,'NI-Soc_SP'!$C:$AN,MID(X$1,1,2),FALSE)</f>
        <v>0</v>
      </c>
      <c r="Y1896" s="55">
        <f>VLOOKUP($E1896,'NI-Soc_SP'!$C:$AN,MID(Y$1,1,2),FALSE)</f>
        <v>0</v>
      </c>
      <c r="Z1896" s="55">
        <f>VLOOKUP($E1896,'NI-Soc_SP'!$C:$AN,MID(Z$1,1,2),FALSE)</f>
        <v>0</v>
      </c>
      <c r="AA1896" s="55">
        <f>VLOOKUP($E1896,'NI-Soc_SP'!$C:$AN,MID(AA$1,1,2),FALSE)</f>
        <v>0</v>
      </c>
      <c r="AB1896" s="55">
        <f>VLOOKUP($E1896,'NI-Soc_SP'!$C:$AN,MID(AB$1,1,2),FALSE)</f>
        <v>0</v>
      </c>
      <c r="AC1896" s="55">
        <f>VLOOKUP($E1896,'NI-Soc_SP'!$C:$AN,MID(AC$1,1,2),FALSE)</f>
        <v>0</v>
      </c>
      <c r="AD1896" s="55">
        <f>VLOOKUP($E1896,'NI-Soc_SP'!$C:$AN,MID(AD$1,1,2),FALSE)</f>
        <v>0</v>
      </c>
      <c r="AE1896" s="55">
        <f>VLOOKUP($E1896,'NI-Soc_SP'!$C:$AN,MID(AE$1,1,2),FALSE)</f>
        <v>0</v>
      </c>
      <c r="AF1896" s="55">
        <f>VLOOKUP($E1896,'NI-Soc_SP'!$C:$AN,MID(AF$1,1,2),FALSE)</f>
        <v>0</v>
      </c>
      <c r="AG1896" s="55">
        <f>VLOOKUP($E1896,'NI-Soc_SP'!$C:$AN,MID(AG$1,1,2),FALSE)</f>
        <v>0</v>
      </c>
      <c r="AH1896" s="55">
        <f>VLOOKUP($E1896,'NI-Soc_SP'!$C:$AN,MID(AH$1,1,2),FALSE)</f>
        <v>0</v>
      </c>
      <c r="AI1896" s="55">
        <f>VLOOKUP($E1896,'NI-Soc_SP'!$C:$AN,MID(AI$1,1,2),FALSE)</f>
        <v>0</v>
      </c>
      <c r="AJ1896" s="55">
        <f>VLOOKUP($E1896,'NI-Soc_SP'!$C:$AN,MID(AJ$1,1,2),FALSE)</f>
        <v>0</v>
      </c>
      <c r="AK1896" s="55">
        <f>VLOOKUP($E1896,'NI-Soc_SP'!$C:$AN,MID(AK$1,1,2),FALSE)</f>
        <v>0</v>
      </c>
      <c r="AL1896" s="55">
        <f>VLOOKUP($E1896,'NI-Soc_SP'!$C:$AN,MID(AL$1,1,2),FALSE)</f>
        <v>0</v>
      </c>
      <c r="AM1896" s="56">
        <f>VLOOKUP($E1896,'NI-Soc_SP'!$C:$AN,MID(AM$1,1,2),FALSE)</f>
        <v>0</v>
      </c>
      <c r="AN1896" s="30" t="str">
        <f t="shared" si="29"/>
        <v>20206000000000</v>
      </c>
    </row>
    <row r="1897" spans="1:40" x14ac:dyDescent="0.25">
      <c r="C1897" s="40"/>
      <c r="D1897" s="121" t="s">
        <v>1687</v>
      </c>
      <c r="E1897" s="121" t="s">
        <v>1688</v>
      </c>
      <c r="F1897" s="122" t="s">
        <v>2758</v>
      </c>
      <c r="G1897" s="52"/>
      <c r="H1897" s="52"/>
      <c r="I1897" s="52"/>
      <c r="J1897" s="52"/>
      <c r="K1897" s="59" t="s">
        <v>111</v>
      </c>
      <c r="L1897" s="52" t="s">
        <v>1689</v>
      </c>
      <c r="M1897" s="52"/>
      <c r="N1897" s="52"/>
      <c r="O1897" s="61"/>
      <c r="P1897" s="103" t="s">
        <v>1690</v>
      </c>
      <c r="Q1897" s="55">
        <f>VLOOKUP(E1897,'NI-Soc_SP'!$C:$AN,12,FALSE)</f>
        <v>0</v>
      </c>
      <c r="R1897" s="55">
        <f>VLOOKUP(E1897,'NI-Soc_SP'!$C:$AN,13,FALSE)</f>
        <v>0</v>
      </c>
      <c r="S1897" s="55">
        <f>VLOOKUP(E1897,'NI-Soc_SP'!$C:$AN,31,FALSE)</f>
        <v>0</v>
      </c>
      <c r="T1897" s="55">
        <f>VLOOKUP(E1897,'NI-Soc_SP'!$C:$AN,32,FALSE)+VLOOKUP(E1897,'NI-Soc_SP'!$C:$AN,33,FALSE)</f>
        <v>0</v>
      </c>
      <c r="U1897" s="55">
        <f>VLOOKUP($E1897,'NI-Soc_SP'!$C:$AN,MID(U$1,1,2),FALSE)</f>
        <v>0</v>
      </c>
      <c r="V1897" s="55">
        <f>VLOOKUP($E1897,'NI-Soc_SP'!$C:$AN,MID(V$1,1,2),FALSE)</f>
        <v>0</v>
      </c>
      <c r="W1897" s="55">
        <f>VLOOKUP($E1897,'NI-Soc_SP'!$C:$AN,MID(W$1,1,2),FALSE)</f>
        <v>0</v>
      </c>
      <c r="X1897" s="55">
        <f>VLOOKUP($E1897,'NI-Soc_SP'!$C:$AN,MID(X$1,1,2),FALSE)</f>
        <v>0</v>
      </c>
      <c r="Y1897" s="55">
        <f>VLOOKUP($E1897,'NI-Soc_SP'!$C:$AN,MID(Y$1,1,2),FALSE)</f>
        <v>0</v>
      </c>
      <c r="Z1897" s="55">
        <f>VLOOKUP($E1897,'NI-Soc_SP'!$C:$AN,MID(Z$1,1,2),FALSE)</f>
        <v>0</v>
      </c>
      <c r="AA1897" s="55">
        <f>VLOOKUP($E1897,'NI-Soc_SP'!$C:$AN,MID(AA$1,1,2),FALSE)</f>
        <v>0</v>
      </c>
      <c r="AB1897" s="55">
        <f>VLOOKUP($E1897,'NI-Soc_SP'!$C:$AN,MID(AB$1,1,2),FALSE)</f>
        <v>0</v>
      </c>
      <c r="AC1897" s="55">
        <f>VLOOKUP($E1897,'NI-Soc_SP'!$C:$AN,MID(AC$1,1,2),FALSE)</f>
        <v>0</v>
      </c>
      <c r="AD1897" s="55">
        <f>VLOOKUP($E1897,'NI-Soc_SP'!$C:$AN,MID(AD$1,1,2),FALSE)</f>
        <v>0</v>
      </c>
      <c r="AE1897" s="55">
        <f>VLOOKUP($E1897,'NI-Soc_SP'!$C:$AN,MID(AE$1,1,2),FALSE)</f>
        <v>0</v>
      </c>
      <c r="AF1897" s="55">
        <f>VLOOKUP($E1897,'NI-Soc_SP'!$C:$AN,MID(AF$1,1,2),FALSE)</f>
        <v>0</v>
      </c>
      <c r="AG1897" s="55">
        <f>VLOOKUP($E1897,'NI-Soc_SP'!$C:$AN,MID(AG$1,1,2),FALSE)</f>
        <v>0</v>
      </c>
      <c r="AH1897" s="55">
        <f>VLOOKUP($E1897,'NI-Soc_SP'!$C:$AN,MID(AH$1,1,2),FALSE)</f>
        <v>0</v>
      </c>
      <c r="AI1897" s="55">
        <f>VLOOKUP($E1897,'NI-Soc_SP'!$C:$AN,MID(AI$1,1,2),FALSE)</f>
        <v>0</v>
      </c>
      <c r="AJ1897" s="55">
        <f>VLOOKUP($E1897,'NI-Soc_SP'!$C:$AN,MID(AJ$1,1,2),FALSE)</f>
        <v>0</v>
      </c>
      <c r="AK1897" s="55">
        <f>VLOOKUP($E1897,'NI-Soc_SP'!$C:$AN,MID(AK$1,1,2),FALSE)</f>
        <v>0</v>
      </c>
      <c r="AL1897" s="55">
        <f>VLOOKUP($E1897,'NI-Soc_SP'!$C:$AN,MID(AL$1,1,2),FALSE)</f>
        <v>0</v>
      </c>
      <c r="AM1897" s="56">
        <f>VLOOKUP($E1897,'NI-Soc_SP'!$C:$AN,MID(AM$1,1,2),FALSE)</f>
        <v>0</v>
      </c>
      <c r="AN1897" s="30" t="str">
        <f t="shared" si="29"/>
        <v>20207000000000</v>
      </c>
    </row>
    <row r="1898" spans="1:40" x14ac:dyDescent="0.25">
      <c r="C1898" s="40"/>
      <c r="D1898" s="121" t="s">
        <v>1691</v>
      </c>
      <c r="E1898" s="121" t="s">
        <v>1692</v>
      </c>
      <c r="F1898" s="122" t="s">
        <v>2758</v>
      </c>
      <c r="G1898" s="52"/>
      <c r="H1898" s="52"/>
      <c r="I1898" s="52"/>
      <c r="J1898" s="52"/>
      <c r="K1898" s="59" t="s">
        <v>79</v>
      </c>
      <c r="L1898" s="52"/>
      <c r="M1898" s="52"/>
      <c r="N1898" s="52"/>
      <c r="O1898" s="61"/>
      <c r="P1898" s="76" t="s">
        <v>1693</v>
      </c>
      <c r="Q1898" s="55">
        <f>VLOOKUP(E1898,'NI-Soc_SP'!$C:$AN,12,FALSE)</f>
        <v>0</v>
      </c>
      <c r="R1898" s="55">
        <f>VLOOKUP(E1898,'NI-Soc_SP'!$C:$AN,13,FALSE)</f>
        <v>0</v>
      </c>
      <c r="S1898" s="55">
        <f>VLOOKUP(E1898,'NI-Soc_SP'!$C:$AN,31,FALSE)</f>
        <v>0</v>
      </c>
      <c r="T1898" s="55">
        <f>VLOOKUP(E1898,'NI-Soc_SP'!$C:$AN,32,FALSE)+VLOOKUP(E1898,'NI-Soc_SP'!$C:$AN,33,FALSE)</f>
        <v>0</v>
      </c>
      <c r="U1898" s="55">
        <f>VLOOKUP($E1898,'NI-Soc_SP'!$C:$AN,MID(U$1,1,2),FALSE)</f>
        <v>0</v>
      </c>
      <c r="V1898" s="55">
        <f>VLOOKUP($E1898,'NI-Soc_SP'!$C:$AN,MID(V$1,1,2),FALSE)</f>
        <v>0</v>
      </c>
      <c r="W1898" s="55">
        <f>VLOOKUP($E1898,'NI-Soc_SP'!$C:$AN,MID(W$1,1,2),FALSE)</f>
        <v>0</v>
      </c>
      <c r="X1898" s="55">
        <f>VLOOKUP($E1898,'NI-Soc_SP'!$C:$AN,MID(X$1,1,2),FALSE)</f>
        <v>0</v>
      </c>
      <c r="Y1898" s="55">
        <f>VLOOKUP($E1898,'NI-Soc_SP'!$C:$AN,MID(Y$1,1,2),FALSE)</f>
        <v>0</v>
      </c>
      <c r="Z1898" s="55">
        <f>VLOOKUP($E1898,'NI-Soc_SP'!$C:$AN,MID(Z$1,1,2),FALSE)</f>
        <v>0</v>
      </c>
      <c r="AA1898" s="55">
        <f>VLOOKUP($E1898,'NI-Soc_SP'!$C:$AN,MID(AA$1,1,2),FALSE)</f>
        <v>0</v>
      </c>
      <c r="AB1898" s="55">
        <f>VLOOKUP($E1898,'NI-Soc_SP'!$C:$AN,MID(AB$1,1,2),FALSE)</f>
        <v>0</v>
      </c>
      <c r="AC1898" s="55">
        <f>VLOOKUP($E1898,'NI-Soc_SP'!$C:$AN,MID(AC$1,1,2),FALSE)</f>
        <v>0</v>
      </c>
      <c r="AD1898" s="55">
        <f>VLOOKUP($E1898,'NI-Soc_SP'!$C:$AN,MID(AD$1,1,2),FALSE)</f>
        <v>0</v>
      </c>
      <c r="AE1898" s="55">
        <f>VLOOKUP($E1898,'NI-Soc_SP'!$C:$AN,MID(AE$1,1,2),FALSE)</f>
        <v>0</v>
      </c>
      <c r="AF1898" s="55">
        <f>VLOOKUP($E1898,'NI-Soc_SP'!$C:$AN,MID(AF$1,1,2),FALSE)</f>
        <v>0</v>
      </c>
      <c r="AG1898" s="55">
        <f>VLOOKUP($E1898,'NI-Soc_SP'!$C:$AN,MID(AG$1,1,2),FALSE)</f>
        <v>0</v>
      </c>
      <c r="AH1898" s="55">
        <f>VLOOKUP($E1898,'NI-Soc_SP'!$C:$AN,MID(AH$1,1,2),FALSE)</f>
        <v>0</v>
      </c>
      <c r="AI1898" s="55">
        <f>VLOOKUP($E1898,'NI-Soc_SP'!$C:$AN,MID(AI$1,1,2),FALSE)</f>
        <v>0</v>
      </c>
      <c r="AJ1898" s="55">
        <f>VLOOKUP($E1898,'NI-Soc_SP'!$C:$AN,MID(AJ$1,1,2),FALSE)</f>
        <v>0</v>
      </c>
      <c r="AK1898" s="55">
        <f>VLOOKUP($E1898,'NI-Soc_SP'!$C:$AN,MID(AK$1,1,2),FALSE)</f>
        <v>0</v>
      </c>
      <c r="AL1898" s="55">
        <f>VLOOKUP($E1898,'NI-Soc_SP'!$C:$AN,MID(AL$1,1,2),FALSE)</f>
        <v>0</v>
      </c>
      <c r="AM1898" s="56">
        <f>VLOOKUP($E1898,'NI-Soc_SP'!$C:$AN,MID(AM$1,1,2),FALSE)</f>
        <v>0</v>
      </c>
      <c r="AN1898" s="30" t="str">
        <f t="shared" si="29"/>
        <v>20207010000000</v>
      </c>
    </row>
    <row r="1899" spans="1:40" x14ac:dyDescent="0.25">
      <c r="C1899" s="40"/>
      <c r="D1899" s="121" t="s">
        <v>1694</v>
      </c>
      <c r="E1899" s="121" t="s">
        <v>1695</v>
      </c>
      <c r="F1899" s="122" t="s">
        <v>2758</v>
      </c>
      <c r="G1899" s="52"/>
      <c r="H1899" s="52"/>
      <c r="I1899" s="52" t="s">
        <v>1696</v>
      </c>
      <c r="J1899" s="52"/>
      <c r="K1899" s="59" t="s">
        <v>79</v>
      </c>
      <c r="L1899" s="52"/>
      <c r="M1899" s="52"/>
      <c r="N1899" s="52"/>
      <c r="O1899" s="61" t="s">
        <v>1697</v>
      </c>
      <c r="P1899" s="63" t="s">
        <v>1698</v>
      </c>
      <c r="Q1899" s="55">
        <f>VLOOKUP(E1899,'NI-Soc_SP'!$C:$AN,12,FALSE)</f>
        <v>0</v>
      </c>
      <c r="R1899" s="55">
        <f>VLOOKUP(E1899,'NI-Soc_SP'!$C:$AN,13,FALSE)</f>
        <v>0</v>
      </c>
      <c r="S1899" s="55">
        <f>VLOOKUP(E1899,'NI-Soc_SP'!$C:$AN,31,FALSE)</f>
        <v>0</v>
      </c>
      <c r="T1899" s="55">
        <f>VLOOKUP(E1899,'NI-Soc_SP'!$C:$AN,32,FALSE)+VLOOKUP(E1899,'NI-Soc_SP'!$C:$AN,33,FALSE)</f>
        <v>0</v>
      </c>
      <c r="U1899" s="55">
        <f>VLOOKUP($E1899,'NI-Soc_SP'!$C:$AN,MID(U$1,1,2),FALSE)</f>
        <v>0</v>
      </c>
      <c r="V1899" s="55">
        <f>VLOOKUP($E1899,'NI-Soc_SP'!$C:$AN,MID(V$1,1,2),FALSE)</f>
        <v>0</v>
      </c>
      <c r="W1899" s="55">
        <f>VLOOKUP($E1899,'NI-Soc_SP'!$C:$AN,MID(W$1,1,2),FALSE)</f>
        <v>0</v>
      </c>
      <c r="X1899" s="55">
        <f>VLOOKUP($E1899,'NI-Soc_SP'!$C:$AN,MID(X$1,1,2),FALSE)</f>
        <v>0</v>
      </c>
      <c r="Y1899" s="55">
        <f>VLOOKUP($E1899,'NI-Soc_SP'!$C:$AN,MID(Y$1,1,2),FALSE)</f>
        <v>0</v>
      </c>
      <c r="Z1899" s="55">
        <f>VLOOKUP($E1899,'NI-Soc_SP'!$C:$AN,MID(Z$1,1,2),FALSE)</f>
        <v>0</v>
      </c>
      <c r="AA1899" s="55">
        <f>VLOOKUP($E1899,'NI-Soc_SP'!$C:$AN,MID(AA$1,1,2),FALSE)</f>
        <v>0</v>
      </c>
      <c r="AB1899" s="55">
        <f>VLOOKUP($E1899,'NI-Soc_SP'!$C:$AN,MID(AB$1,1,2),FALSE)</f>
        <v>0</v>
      </c>
      <c r="AC1899" s="55">
        <f>VLOOKUP($E1899,'NI-Soc_SP'!$C:$AN,MID(AC$1,1,2),FALSE)</f>
        <v>0</v>
      </c>
      <c r="AD1899" s="55">
        <f>VLOOKUP($E1899,'NI-Soc_SP'!$C:$AN,MID(AD$1,1,2),FALSE)</f>
        <v>0</v>
      </c>
      <c r="AE1899" s="55">
        <f>VLOOKUP($E1899,'NI-Soc_SP'!$C:$AN,MID(AE$1,1,2),FALSE)</f>
        <v>0</v>
      </c>
      <c r="AF1899" s="55">
        <f>VLOOKUP($E1899,'NI-Soc_SP'!$C:$AN,MID(AF$1,1,2),FALSE)</f>
        <v>0</v>
      </c>
      <c r="AG1899" s="55">
        <f>VLOOKUP($E1899,'NI-Soc_SP'!$C:$AN,MID(AG$1,1,2),FALSE)</f>
        <v>0</v>
      </c>
      <c r="AH1899" s="55">
        <f>VLOOKUP($E1899,'NI-Soc_SP'!$C:$AN,MID(AH$1,1,2),FALSE)</f>
        <v>0</v>
      </c>
      <c r="AI1899" s="55">
        <f>VLOOKUP($E1899,'NI-Soc_SP'!$C:$AN,MID(AI$1,1,2),FALSE)</f>
        <v>0</v>
      </c>
      <c r="AJ1899" s="55">
        <f>VLOOKUP($E1899,'NI-Soc_SP'!$C:$AN,MID(AJ$1,1,2),FALSE)</f>
        <v>0</v>
      </c>
      <c r="AK1899" s="55">
        <f>VLOOKUP($E1899,'NI-Soc_SP'!$C:$AN,MID(AK$1,1,2),FALSE)</f>
        <v>0</v>
      </c>
      <c r="AL1899" s="55">
        <f>VLOOKUP($E1899,'NI-Soc_SP'!$C:$AN,MID(AL$1,1,2),FALSE)</f>
        <v>0</v>
      </c>
      <c r="AM1899" s="56">
        <f>VLOOKUP($E1899,'NI-Soc_SP'!$C:$AN,MID(AM$1,1,2),FALSE)</f>
        <v>0</v>
      </c>
      <c r="AN1899" s="30" t="str">
        <f t="shared" si="29"/>
        <v>20207010010000</v>
      </c>
    </row>
    <row r="1900" spans="1:40" x14ac:dyDescent="0.25">
      <c r="C1900" s="40"/>
      <c r="D1900" s="121" t="s">
        <v>1437</v>
      </c>
      <c r="E1900" s="121" t="s">
        <v>1699</v>
      </c>
      <c r="F1900" s="122" t="s">
        <v>2758</v>
      </c>
      <c r="G1900" s="52"/>
      <c r="H1900" s="52"/>
      <c r="I1900" s="52" t="s">
        <v>1696</v>
      </c>
      <c r="J1900" s="52"/>
      <c r="K1900" s="59" t="s">
        <v>79</v>
      </c>
      <c r="L1900" s="52"/>
      <c r="M1900" s="52"/>
      <c r="N1900" s="52"/>
      <c r="O1900" s="61" t="s">
        <v>1697</v>
      </c>
      <c r="P1900" s="63" t="s">
        <v>1700</v>
      </c>
      <c r="Q1900" s="55">
        <f>VLOOKUP(E1900,'NI-Soc_SP'!$C:$AN,12,FALSE)</f>
        <v>0</v>
      </c>
      <c r="R1900" s="55">
        <f>VLOOKUP(E1900,'NI-Soc_SP'!$C:$AN,13,FALSE)</f>
        <v>0</v>
      </c>
      <c r="S1900" s="55">
        <f>VLOOKUP(E1900,'NI-Soc_SP'!$C:$AN,31,FALSE)</f>
        <v>0</v>
      </c>
      <c r="T1900" s="55">
        <f>VLOOKUP(E1900,'NI-Soc_SP'!$C:$AN,32,FALSE)+VLOOKUP(E1900,'NI-Soc_SP'!$C:$AN,33,FALSE)</f>
        <v>0</v>
      </c>
      <c r="U1900" s="55">
        <f>VLOOKUP($E1900,'NI-Soc_SP'!$C:$AN,MID(U$1,1,2),FALSE)</f>
        <v>0</v>
      </c>
      <c r="V1900" s="55">
        <f>VLOOKUP($E1900,'NI-Soc_SP'!$C:$AN,MID(V$1,1,2),FALSE)</f>
        <v>0</v>
      </c>
      <c r="W1900" s="55">
        <f>VLOOKUP($E1900,'NI-Soc_SP'!$C:$AN,MID(W$1,1,2),FALSE)</f>
        <v>0</v>
      </c>
      <c r="X1900" s="55">
        <f>VLOOKUP($E1900,'NI-Soc_SP'!$C:$AN,MID(X$1,1,2),FALSE)</f>
        <v>0</v>
      </c>
      <c r="Y1900" s="55">
        <f>VLOOKUP($E1900,'NI-Soc_SP'!$C:$AN,MID(Y$1,1,2),FALSE)</f>
        <v>0</v>
      </c>
      <c r="Z1900" s="55">
        <f>VLOOKUP($E1900,'NI-Soc_SP'!$C:$AN,MID(Z$1,1,2),FALSE)</f>
        <v>0</v>
      </c>
      <c r="AA1900" s="55">
        <f>VLOOKUP($E1900,'NI-Soc_SP'!$C:$AN,MID(AA$1,1,2),FALSE)</f>
        <v>0</v>
      </c>
      <c r="AB1900" s="55">
        <f>VLOOKUP($E1900,'NI-Soc_SP'!$C:$AN,MID(AB$1,1,2),FALSE)</f>
        <v>0</v>
      </c>
      <c r="AC1900" s="55">
        <f>VLOOKUP($E1900,'NI-Soc_SP'!$C:$AN,MID(AC$1,1,2),FALSE)</f>
        <v>0</v>
      </c>
      <c r="AD1900" s="55">
        <f>VLOOKUP($E1900,'NI-Soc_SP'!$C:$AN,MID(AD$1,1,2),FALSE)</f>
        <v>0</v>
      </c>
      <c r="AE1900" s="55">
        <f>VLOOKUP($E1900,'NI-Soc_SP'!$C:$AN,MID(AE$1,1,2),FALSE)</f>
        <v>0</v>
      </c>
      <c r="AF1900" s="55">
        <f>VLOOKUP($E1900,'NI-Soc_SP'!$C:$AN,MID(AF$1,1,2),FALSE)</f>
        <v>0</v>
      </c>
      <c r="AG1900" s="55">
        <f>VLOOKUP($E1900,'NI-Soc_SP'!$C:$AN,MID(AG$1,1,2),FALSE)</f>
        <v>0</v>
      </c>
      <c r="AH1900" s="55">
        <f>VLOOKUP($E1900,'NI-Soc_SP'!$C:$AN,MID(AH$1,1,2),FALSE)</f>
        <v>0</v>
      </c>
      <c r="AI1900" s="55">
        <f>VLOOKUP($E1900,'NI-Soc_SP'!$C:$AN,MID(AI$1,1,2),FALSE)</f>
        <v>0</v>
      </c>
      <c r="AJ1900" s="55">
        <f>VLOOKUP($E1900,'NI-Soc_SP'!$C:$AN,MID(AJ$1,1,2),FALSE)</f>
        <v>0</v>
      </c>
      <c r="AK1900" s="55">
        <f>VLOOKUP($E1900,'NI-Soc_SP'!$C:$AN,MID(AK$1,1,2),FALSE)</f>
        <v>0</v>
      </c>
      <c r="AL1900" s="55">
        <f>VLOOKUP($E1900,'NI-Soc_SP'!$C:$AN,MID(AL$1,1,2),FALSE)</f>
        <v>0</v>
      </c>
      <c r="AM1900" s="56">
        <f>VLOOKUP($E1900,'NI-Soc_SP'!$C:$AN,MID(AM$1,1,2),FALSE)</f>
        <v>0</v>
      </c>
      <c r="AN1900" s="30" t="str">
        <f t="shared" si="29"/>
        <v>20202005000000</v>
      </c>
    </row>
    <row r="1901" spans="1:40" x14ac:dyDescent="0.25">
      <c r="C1901" s="40"/>
      <c r="D1901" s="121" t="s">
        <v>1701</v>
      </c>
      <c r="E1901" s="121" t="s">
        <v>1702</v>
      </c>
      <c r="F1901" s="122" t="s">
        <v>2758</v>
      </c>
      <c r="G1901" s="52"/>
      <c r="H1901" s="52"/>
      <c r="I1901" s="52" t="s">
        <v>1703</v>
      </c>
      <c r="J1901" s="52"/>
      <c r="K1901" s="59" t="s">
        <v>79</v>
      </c>
      <c r="L1901" s="52"/>
      <c r="M1901" s="52"/>
      <c r="N1901" s="52"/>
      <c r="O1901" s="61" t="s">
        <v>1697</v>
      </c>
      <c r="P1901" s="66" t="s">
        <v>1704</v>
      </c>
      <c r="Q1901" s="55">
        <f>VLOOKUP(E1901,'NI-Soc_SP'!$C:$AN,12,FALSE)</f>
        <v>0</v>
      </c>
      <c r="R1901" s="55">
        <f>VLOOKUP(E1901,'NI-Soc_SP'!$C:$AN,13,FALSE)</f>
        <v>0</v>
      </c>
      <c r="S1901" s="55">
        <f>VLOOKUP(E1901,'NI-Soc_SP'!$C:$AN,31,FALSE)</f>
        <v>0</v>
      </c>
      <c r="T1901" s="55">
        <f>VLOOKUP(E1901,'NI-Soc_SP'!$C:$AN,32,FALSE)+VLOOKUP(E1901,'NI-Soc_SP'!$C:$AN,33,FALSE)</f>
        <v>0</v>
      </c>
      <c r="U1901" s="55">
        <f>VLOOKUP($E1901,'NI-Soc_SP'!$C:$AN,MID(U$1,1,2),FALSE)</f>
        <v>0</v>
      </c>
      <c r="V1901" s="55">
        <f>VLOOKUP($E1901,'NI-Soc_SP'!$C:$AN,MID(V$1,1,2),FALSE)</f>
        <v>0</v>
      </c>
      <c r="W1901" s="55">
        <f>VLOOKUP($E1901,'NI-Soc_SP'!$C:$AN,MID(W$1,1,2),FALSE)</f>
        <v>0</v>
      </c>
      <c r="X1901" s="55">
        <f>VLOOKUP($E1901,'NI-Soc_SP'!$C:$AN,MID(X$1,1,2),FALSE)</f>
        <v>0</v>
      </c>
      <c r="Y1901" s="55">
        <f>VLOOKUP($E1901,'NI-Soc_SP'!$C:$AN,MID(Y$1,1,2),FALSE)</f>
        <v>0</v>
      </c>
      <c r="Z1901" s="55">
        <f>VLOOKUP($E1901,'NI-Soc_SP'!$C:$AN,MID(Z$1,1,2),FALSE)</f>
        <v>0</v>
      </c>
      <c r="AA1901" s="55">
        <f>VLOOKUP($E1901,'NI-Soc_SP'!$C:$AN,MID(AA$1,1,2),FALSE)</f>
        <v>0</v>
      </c>
      <c r="AB1901" s="55">
        <f>VLOOKUP($E1901,'NI-Soc_SP'!$C:$AN,MID(AB$1,1,2),FALSE)</f>
        <v>0</v>
      </c>
      <c r="AC1901" s="55">
        <f>VLOOKUP($E1901,'NI-Soc_SP'!$C:$AN,MID(AC$1,1,2),FALSE)</f>
        <v>0</v>
      </c>
      <c r="AD1901" s="55">
        <f>VLOOKUP($E1901,'NI-Soc_SP'!$C:$AN,MID(AD$1,1,2),FALSE)</f>
        <v>0</v>
      </c>
      <c r="AE1901" s="55">
        <f>VLOOKUP($E1901,'NI-Soc_SP'!$C:$AN,MID(AE$1,1,2),FALSE)</f>
        <v>0</v>
      </c>
      <c r="AF1901" s="55">
        <f>VLOOKUP($E1901,'NI-Soc_SP'!$C:$AN,MID(AF$1,1,2),FALSE)</f>
        <v>0</v>
      </c>
      <c r="AG1901" s="55">
        <f>VLOOKUP($E1901,'NI-Soc_SP'!$C:$AN,MID(AG$1,1,2),FALSE)</f>
        <v>0</v>
      </c>
      <c r="AH1901" s="55">
        <f>VLOOKUP($E1901,'NI-Soc_SP'!$C:$AN,MID(AH$1,1,2),FALSE)</f>
        <v>0</v>
      </c>
      <c r="AI1901" s="55">
        <f>VLOOKUP($E1901,'NI-Soc_SP'!$C:$AN,MID(AI$1,1,2),FALSE)</f>
        <v>0</v>
      </c>
      <c r="AJ1901" s="55">
        <f>VLOOKUP($E1901,'NI-Soc_SP'!$C:$AN,MID(AJ$1,1,2),FALSE)</f>
        <v>0</v>
      </c>
      <c r="AK1901" s="55">
        <f>VLOOKUP($E1901,'NI-Soc_SP'!$C:$AN,MID(AK$1,1,2),FALSE)</f>
        <v>0</v>
      </c>
      <c r="AL1901" s="55">
        <f>VLOOKUP($E1901,'NI-Soc_SP'!$C:$AN,MID(AL$1,1,2),FALSE)</f>
        <v>0</v>
      </c>
      <c r="AM1901" s="56">
        <f>VLOOKUP($E1901,'NI-Soc_SP'!$C:$AN,MID(AM$1,1,2),FALSE)</f>
        <v>0</v>
      </c>
      <c r="AN1901" s="30" t="str">
        <f t="shared" si="29"/>
        <v>20207020000000</v>
      </c>
    </row>
    <row r="1902" spans="1:40" x14ac:dyDescent="0.25">
      <c r="C1902" s="40"/>
      <c r="D1902" s="121" t="s">
        <v>1705</v>
      </c>
      <c r="E1902" s="121" t="s">
        <v>1706</v>
      </c>
      <c r="F1902" s="122" t="s">
        <v>2758</v>
      </c>
      <c r="G1902" s="52"/>
      <c r="H1902" s="52"/>
      <c r="I1902" s="52" t="s">
        <v>1707</v>
      </c>
      <c r="J1902" s="52"/>
      <c r="K1902" s="59" t="s">
        <v>79</v>
      </c>
      <c r="L1902" s="52"/>
      <c r="M1902" s="52"/>
      <c r="N1902" s="52"/>
      <c r="O1902" s="61" t="s">
        <v>1697</v>
      </c>
      <c r="P1902" s="66" t="s">
        <v>1708</v>
      </c>
      <c r="Q1902" s="55">
        <f>VLOOKUP(E1902,'NI-Soc_SP'!$C:$AN,12,FALSE)</f>
        <v>0</v>
      </c>
      <c r="R1902" s="55">
        <f>VLOOKUP(E1902,'NI-Soc_SP'!$C:$AN,13,FALSE)</f>
        <v>0</v>
      </c>
      <c r="S1902" s="55">
        <f>VLOOKUP(E1902,'NI-Soc_SP'!$C:$AN,31,FALSE)</f>
        <v>0</v>
      </c>
      <c r="T1902" s="55">
        <f>VLOOKUP(E1902,'NI-Soc_SP'!$C:$AN,32,FALSE)+VLOOKUP(E1902,'NI-Soc_SP'!$C:$AN,33,FALSE)</f>
        <v>0</v>
      </c>
      <c r="U1902" s="55">
        <f>VLOOKUP($E1902,'NI-Soc_SP'!$C:$AN,MID(U$1,1,2),FALSE)</f>
        <v>0</v>
      </c>
      <c r="V1902" s="55">
        <f>VLOOKUP($E1902,'NI-Soc_SP'!$C:$AN,MID(V$1,1,2),FALSE)</f>
        <v>0</v>
      </c>
      <c r="W1902" s="55">
        <f>VLOOKUP($E1902,'NI-Soc_SP'!$C:$AN,MID(W$1,1,2),FALSE)</f>
        <v>0</v>
      </c>
      <c r="X1902" s="55">
        <f>VLOOKUP($E1902,'NI-Soc_SP'!$C:$AN,MID(X$1,1,2),FALSE)</f>
        <v>0</v>
      </c>
      <c r="Y1902" s="55">
        <f>VLOOKUP($E1902,'NI-Soc_SP'!$C:$AN,MID(Y$1,1,2),FALSE)</f>
        <v>0</v>
      </c>
      <c r="Z1902" s="55">
        <f>VLOOKUP($E1902,'NI-Soc_SP'!$C:$AN,MID(Z$1,1,2),FALSE)</f>
        <v>0</v>
      </c>
      <c r="AA1902" s="55">
        <f>VLOOKUP($E1902,'NI-Soc_SP'!$C:$AN,MID(AA$1,1,2),FALSE)</f>
        <v>0</v>
      </c>
      <c r="AB1902" s="55">
        <f>VLOOKUP($E1902,'NI-Soc_SP'!$C:$AN,MID(AB$1,1,2),FALSE)</f>
        <v>0</v>
      </c>
      <c r="AC1902" s="55">
        <f>VLOOKUP($E1902,'NI-Soc_SP'!$C:$AN,MID(AC$1,1,2),FALSE)</f>
        <v>0</v>
      </c>
      <c r="AD1902" s="55">
        <f>VLOOKUP($E1902,'NI-Soc_SP'!$C:$AN,MID(AD$1,1,2),FALSE)</f>
        <v>0</v>
      </c>
      <c r="AE1902" s="55">
        <f>VLOOKUP($E1902,'NI-Soc_SP'!$C:$AN,MID(AE$1,1,2),FALSE)</f>
        <v>0</v>
      </c>
      <c r="AF1902" s="55">
        <f>VLOOKUP($E1902,'NI-Soc_SP'!$C:$AN,MID(AF$1,1,2),FALSE)</f>
        <v>0</v>
      </c>
      <c r="AG1902" s="55">
        <f>VLOOKUP($E1902,'NI-Soc_SP'!$C:$AN,MID(AG$1,1,2),FALSE)</f>
        <v>0</v>
      </c>
      <c r="AH1902" s="55">
        <f>VLOOKUP($E1902,'NI-Soc_SP'!$C:$AN,MID(AH$1,1,2),FALSE)</f>
        <v>0</v>
      </c>
      <c r="AI1902" s="55">
        <f>VLOOKUP($E1902,'NI-Soc_SP'!$C:$AN,MID(AI$1,1,2),FALSE)</f>
        <v>0</v>
      </c>
      <c r="AJ1902" s="55">
        <f>VLOOKUP($E1902,'NI-Soc_SP'!$C:$AN,MID(AJ$1,1,2),FALSE)</f>
        <v>0</v>
      </c>
      <c r="AK1902" s="55">
        <f>VLOOKUP($E1902,'NI-Soc_SP'!$C:$AN,MID(AK$1,1,2),FALSE)</f>
        <v>0</v>
      </c>
      <c r="AL1902" s="55">
        <f>VLOOKUP($E1902,'NI-Soc_SP'!$C:$AN,MID(AL$1,1,2),FALSE)</f>
        <v>0</v>
      </c>
      <c r="AM1902" s="56">
        <f>VLOOKUP($E1902,'NI-Soc_SP'!$C:$AN,MID(AM$1,1,2),FALSE)</f>
        <v>0</v>
      </c>
      <c r="AN1902" s="30" t="str">
        <f t="shared" si="29"/>
        <v>20207030000000</v>
      </c>
    </row>
    <row r="1903" spans="1:40" x14ac:dyDescent="0.25">
      <c r="C1903" s="40"/>
      <c r="D1903" s="121" t="s">
        <v>1709</v>
      </c>
      <c r="E1903" s="121" t="s">
        <v>1710</v>
      </c>
      <c r="F1903" s="122" t="s">
        <v>2758</v>
      </c>
      <c r="G1903" s="52"/>
      <c r="H1903" s="52"/>
      <c r="I1903" s="52" t="s">
        <v>1711</v>
      </c>
      <c r="J1903" s="52"/>
      <c r="K1903" s="59" t="s">
        <v>79</v>
      </c>
      <c r="L1903" s="52"/>
      <c r="M1903" s="52"/>
      <c r="N1903" s="52"/>
      <c r="O1903" s="61" t="s">
        <v>1697</v>
      </c>
      <c r="P1903" s="66" t="s">
        <v>1712</v>
      </c>
      <c r="Q1903" s="55">
        <f>VLOOKUP(E1903,'NI-Soc_SP'!$C:$AN,12,FALSE)</f>
        <v>0</v>
      </c>
      <c r="R1903" s="55">
        <f>VLOOKUP(E1903,'NI-Soc_SP'!$C:$AN,13,FALSE)</f>
        <v>0</v>
      </c>
      <c r="S1903" s="55">
        <f>VLOOKUP(E1903,'NI-Soc_SP'!$C:$AN,31,FALSE)</f>
        <v>0</v>
      </c>
      <c r="T1903" s="55">
        <f>VLOOKUP(E1903,'NI-Soc_SP'!$C:$AN,32,FALSE)+VLOOKUP(E1903,'NI-Soc_SP'!$C:$AN,33,FALSE)</f>
        <v>0</v>
      </c>
      <c r="U1903" s="55">
        <f>VLOOKUP($E1903,'NI-Soc_SP'!$C:$AN,MID(U$1,1,2),FALSE)</f>
        <v>0</v>
      </c>
      <c r="V1903" s="55">
        <f>VLOOKUP($E1903,'NI-Soc_SP'!$C:$AN,MID(V$1,1,2),FALSE)</f>
        <v>0</v>
      </c>
      <c r="W1903" s="55">
        <f>VLOOKUP($E1903,'NI-Soc_SP'!$C:$AN,MID(W$1,1,2),FALSE)</f>
        <v>0</v>
      </c>
      <c r="X1903" s="55">
        <f>VLOOKUP($E1903,'NI-Soc_SP'!$C:$AN,MID(X$1,1,2),FALSE)</f>
        <v>0</v>
      </c>
      <c r="Y1903" s="55">
        <f>VLOOKUP($E1903,'NI-Soc_SP'!$C:$AN,MID(Y$1,1,2),FALSE)</f>
        <v>0</v>
      </c>
      <c r="Z1903" s="55">
        <f>VLOOKUP($E1903,'NI-Soc_SP'!$C:$AN,MID(Z$1,1,2),FALSE)</f>
        <v>0</v>
      </c>
      <c r="AA1903" s="55">
        <f>VLOOKUP($E1903,'NI-Soc_SP'!$C:$AN,MID(AA$1,1,2),FALSE)</f>
        <v>0</v>
      </c>
      <c r="AB1903" s="55">
        <f>VLOOKUP($E1903,'NI-Soc_SP'!$C:$AN,MID(AB$1,1,2),FALSE)</f>
        <v>0</v>
      </c>
      <c r="AC1903" s="55">
        <f>VLOOKUP($E1903,'NI-Soc_SP'!$C:$AN,MID(AC$1,1,2),FALSE)</f>
        <v>0</v>
      </c>
      <c r="AD1903" s="55">
        <f>VLOOKUP($E1903,'NI-Soc_SP'!$C:$AN,MID(AD$1,1,2),FALSE)</f>
        <v>0</v>
      </c>
      <c r="AE1903" s="55">
        <f>VLOOKUP($E1903,'NI-Soc_SP'!$C:$AN,MID(AE$1,1,2),FALSE)</f>
        <v>0</v>
      </c>
      <c r="AF1903" s="55">
        <f>VLOOKUP($E1903,'NI-Soc_SP'!$C:$AN,MID(AF$1,1,2),FALSE)</f>
        <v>0</v>
      </c>
      <c r="AG1903" s="55">
        <f>VLOOKUP($E1903,'NI-Soc_SP'!$C:$AN,MID(AG$1,1,2),FALSE)</f>
        <v>0</v>
      </c>
      <c r="AH1903" s="55">
        <f>VLOOKUP($E1903,'NI-Soc_SP'!$C:$AN,MID(AH$1,1,2),FALSE)</f>
        <v>0</v>
      </c>
      <c r="AI1903" s="55">
        <f>VLOOKUP($E1903,'NI-Soc_SP'!$C:$AN,MID(AI$1,1,2),FALSE)</f>
        <v>0</v>
      </c>
      <c r="AJ1903" s="55">
        <f>VLOOKUP($E1903,'NI-Soc_SP'!$C:$AN,MID(AJ$1,1,2),FALSE)</f>
        <v>0</v>
      </c>
      <c r="AK1903" s="55">
        <f>VLOOKUP($E1903,'NI-Soc_SP'!$C:$AN,MID(AK$1,1,2),FALSE)</f>
        <v>0</v>
      </c>
      <c r="AL1903" s="55">
        <f>VLOOKUP($E1903,'NI-Soc_SP'!$C:$AN,MID(AL$1,1,2),FALSE)</f>
        <v>0</v>
      </c>
      <c r="AM1903" s="56">
        <f>VLOOKUP($E1903,'NI-Soc_SP'!$C:$AN,MID(AM$1,1,2),FALSE)</f>
        <v>0</v>
      </c>
      <c r="AN1903" s="30" t="str">
        <f t="shared" si="29"/>
        <v>20207040000000</v>
      </c>
    </row>
    <row r="1904" spans="1:40" x14ac:dyDescent="0.25">
      <c r="C1904" s="40"/>
      <c r="D1904" s="121" t="s">
        <v>1713</v>
      </c>
      <c r="E1904" s="121" t="s">
        <v>1714</v>
      </c>
      <c r="F1904" s="122" t="s">
        <v>2758</v>
      </c>
      <c r="G1904" s="52"/>
      <c r="H1904" s="52"/>
      <c r="I1904" s="52"/>
      <c r="J1904" s="52"/>
      <c r="K1904" s="59" t="s">
        <v>111</v>
      </c>
      <c r="L1904" s="52"/>
      <c r="M1904" s="52"/>
      <c r="N1904" s="52"/>
      <c r="O1904" s="52"/>
      <c r="P1904" s="66" t="s">
        <v>1715</v>
      </c>
      <c r="Q1904" s="55">
        <f>VLOOKUP(E1904,'NI-Soc_SP'!$C:$AN,12,FALSE)</f>
        <v>0</v>
      </c>
      <c r="R1904" s="55">
        <f>VLOOKUP(E1904,'NI-Soc_SP'!$C:$AN,13,FALSE)</f>
        <v>0</v>
      </c>
      <c r="S1904" s="55">
        <f>VLOOKUP(E1904,'NI-Soc_SP'!$C:$AN,31,FALSE)</f>
        <v>0</v>
      </c>
      <c r="T1904" s="55">
        <f>VLOOKUP(E1904,'NI-Soc_SP'!$C:$AN,32,FALSE)+VLOOKUP(E1904,'NI-Soc_SP'!$C:$AN,33,FALSE)</f>
        <v>0</v>
      </c>
      <c r="U1904" s="55">
        <f>VLOOKUP($E1904,'NI-Soc_SP'!$C:$AN,MID(U$1,1,2),FALSE)</f>
        <v>0</v>
      </c>
      <c r="V1904" s="55">
        <f>VLOOKUP($E1904,'NI-Soc_SP'!$C:$AN,MID(V$1,1,2),FALSE)</f>
        <v>0</v>
      </c>
      <c r="W1904" s="55">
        <f>VLOOKUP($E1904,'NI-Soc_SP'!$C:$AN,MID(W$1,1,2),FALSE)</f>
        <v>0</v>
      </c>
      <c r="X1904" s="55">
        <f>VLOOKUP($E1904,'NI-Soc_SP'!$C:$AN,MID(X$1,1,2),FALSE)</f>
        <v>0</v>
      </c>
      <c r="Y1904" s="55">
        <f>VLOOKUP($E1904,'NI-Soc_SP'!$C:$AN,MID(Y$1,1,2),FALSE)</f>
        <v>0</v>
      </c>
      <c r="Z1904" s="55">
        <f>VLOOKUP($E1904,'NI-Soc_SP'!$C:$AN,MID(Z$1,1,2),FALSE)</f>
        <v>0</v>
      </c>
      <c r="AA1904" s="55">
        <f>VLOOKUP($E1904,'NI-Soc_SP'!$C:$AN,MID(AA$1,1,2),FALSE)</f>
        <v>0</v>
      </c>
      <c r="AB1904" s="55">
        <f>VLOOKUP($E1904,'NI-Soc_SP'!$C:$AN,MID(AB$1,1,2),FALSE)</f>
        <v>0</v>
      </c>
      <c r="AC1904" s="55">
        <f>VLOOKUP($E1904,'NI-Soc_SP'!$C:$AN,MID(AC$1,1,2),FALSE)</f>
        <v>0</v>
      </c>
      <c r="AD1904" s="55">
        <f>VLOOKUP($E1904,'NI-Soc_SP'!$C:$AN,MID(AD$1,1,2),FALSE)</f>
        <v>0</v>
      </c>
      <c r="AE1904" s="55">
        <f>VLOOKUP($E1904,'NI-Soc_SP'!$C:$AN,MID(AE$1,1,2),FALSE)</f>
        <v>0</v>
      </c>
      <c r="AF1904" s="55">
        <f>VLOOKUP($E1904,'NI-Soc_SP'!$C:$AN,MID(AF$1,1,2),FALSE)</f>
        <v>0</v>
      </c>
      <c r="AG1904" s="55">
        <f>VLOOKUP($E1904,'NI-Soc_SP'!$C:$AN,MID(AG$1,1,2),FALSE)</f>
        <v>0</v>
      </c>
      <c r="AH1904" s="55">
        <f>VLOOKUP($E1904,'NI-Soc_SP'!$C:$AN,MID(AH$1,1,2),FALSE)</f>
        <v>0</v>
      </c>
      <c r="AI1904" s="55">
        <f>VLOOKUP($E1904,'NI-Soc_SP'!$C:$AN,MID(AI$1,1,2),FALSE)</f>
        <v>0</v>
      </c>
      <c r="AJ1904" s="55">
        <f>VLOOKUP($E1904,'NI-Soc_SP'!$C:$AN,MID(AJ$1,1,2),FALSE)</f>
        <v>0</v>
      </c>
      <c r="AK1904" s="55">
        <f>VLOOKUP($E1904,'NI-Soc_SP'!$C:$AN,MID(AK$1,1,2),FALSE)</f>
        <v>0</v>
      </c>
      <c r="AL1904" s="55">
        <f>VLOOKUP($E1904,'NI-Soc_SP'!$C:$AN,MID(AL$1,1,2),FALSE)</f>
        <v>0</v>
      </c>
      <c r="AM1904" s="56">
        <f>VLOOKUP($E1904,'NI-Soc_SP'!$C:$AN,MID(AM$1,1,2),FALSE)</f>
        <v>0</v>
      </c>
      <c r="AN1904" s="30" t="str">
        <f t="shared" si="29"/>
        <v>20207050000000</v>
      </c>
    </row>
    <row r="1905" spans="1:40" x14ac:dyDescent="0.25">
      <c r="C1905" s="40"/>
      <c r="D1905" s="121" t="s">
        <v>1716</v>
      </c>
      <c r="E1905" s="121" t="s">
        <v>1717</v>
      </c>
      <c r="F1905" s="122" t="s">
        <v>2758</v>
      </c>
      <c r="G1905" s="52"/>
      <c r="H1905" s="52"/>
      <c r="I1905" s="52" t="s">
        <v>1718</v>
      </c>
      <c r="J1905" s="52"/>
      <c r="K1905" s="59" t="s">
        <v>111</v>
      </c>
      <c r="L1905" s="52"/>
      <c r="M1905" s="52"/>
      <c r="N1905" s="52"/>
      <c r="O1905" s="61" t="s">
        <v>1697</v>
      </c>
      <c r="P1905" s="60" t="s">
        <v>1719</v>
      </c>
      <c r="Q1905" s="55">
        <f>VLOOKUP(E1905,'NI-Soc_SP'!$C:$AN,12,FALSE)</f>
        <v>0</v>
      </c>
      <c r="R1905" s="55">
        <f>VLOOKUP(E1905,'NI-Soc_SP'!$C:$AN,13,FALSE)</f>
        <v>0</v>
      </c>
      <c r="S1905" s="55">
        <f>VLOOKUP(E1905,'NI-Soc_SP'!$C:$AN,31,FALSE)</f>
        <v>0</v>
      </c>
      <c r="T1905" s="55">
        <f>VLOOKUP(E1905,'NI-Soc_SP'!$C:$AN,32,FALSE)+VLOOKUP(E1905,'NI-Soc_SP'!$C:$AN,33,FALSE)</f>
        <v>0</v>
      </c>
      <c r="U1905" s="55">
        <f>VLOOKUP($E1905,'NI-Soc_SP'!$C:$AN,MID(U$1,1,2),FALSE)</f>
        <v>0</v>
      </c>
      <c r="V1905" s="55">
        <f>VLOOKUP($E1905,'NI-Soc_SP'!$C:$AN,MID(V$1,1,2),FALSE)</f>
        <v>0</v>
      </c>
      <c r="W1905" s="55">
        <f>VLOOKUP($E1905,'NI-Soc_SP'!$C:$AN,MID(W$1,1,2),FALSE)</f>
        <v>0</v>
      </c>
      <c r="X1905" s="55">
        <f>VLOOKUP($E1905,'NI-Soc_SP'!$C:$AN,MID(X$1,1,2),FALSE)</f>
        <v>0</v>
      </c>
      <c r="Y1905" s="55">
        <f>VLOOKUP($E1905,'NI-Soc_SP'!$C:$AN,MID(Y$1,1,2),FALSE)</f>
        <v>0</v>
      </c>
      <c r="Z1905" s="55">
        <f>VLOOKUP($E1905,'NI-Soc_SP'!$C:$AN,MID(Z$1,1,2),FALSE)</f>
        <v>0</v>
      </c>
      <c r="AA1905" s="55">
        <f>VLOOKUP($E1905,'NI-Soc_SP'!$C:$AN,MID(AA$1,1,2),FALSE)</f>
        <v>0</v>
      </c>
      <c r="AB1905" s="55">
        <f>VLOOKUP($E1905,'NI-Soc_SP'!$C:$AN,MID(AB$1,1,2),FALSE)</f>
        <v>0</v>
      </c>
      <c r="AC1905" s="55">
        <f>VLOOKUP($E1905,'NI-Soc_SP'!$C:$AN,MID(AC$1,1,2),FALSE)</f>
        <v>0</v>
      </c>
      <c r="AD1905" s="55">
        <f>VLOOKUP($E1905,'NI-Soc_SP'!$C:$AN,MID(AD$1,1,2),FALSE)</f>
        <v>0</v>
      </c>
      <c r="AE1905" s="55">
        <f>VLOOKUP($E1905,'NI-Soc_SP'!$C:$AN,MID(AE$1,1,2),FALSE)</f>
        <v>0</v>
      </c>
      <c r="AF1905" s="55">
        <f>VLOOKUP($E1905,'NI-Soc_SP'!$C:$AN,MID(AF$1,1,2),FALSE)</f>
        <v>0</v>
      </c>
      <c r="AG1905" s="55">
        <f>VLOOKUP($E1905,'NI-Soc_SP'!$C:$AN,MID(AG$1,1,2),FALSE)</f>
        <v>0</v>
      </c>
      <c r="AH1905" s="55">
        <f>VLOOKUP($E1905,'NI-Soc_SP'!$C:$AN,MID(AH$1,1,2),FALSE)</f>
        <v>0</v>
      </c>
      <c r="AI1905" s="55">
        <f>VLOOKUP($E1905,'NI-Soc_SP'!$C:$AN,MID(AI$1,1,2),FALSE)</f>
        <v>0</v>
      </c>
      <c r="AJ1905" s="55">
        <f>VLOOKUP($E1905,'NI-Soc_SP'!$C:$AN,MID(AJ$1,1,2),FALSE)</f>
        <v>0</v>
      </c>
      <c r="AK1905" s="55">
        <f>VLOOKUP($E1905,'NI-Soc_SP'!$C:$AN,MID(AK$1,1,2),FALSE)</f>
        <v>0</v>
      </c>
      <c r="AL1905" s="55">
        <f>VLOOKUP($E1905,'NI-Soc_SP'!$C:$AN,MID(AL$1,1,2),FALSE)</f>
        <v>0</v>
      </c>
      <c r="AM1905" s="56">
        <f>VLOOKUP($E1905,'NI-Soc_SP'!$C:$AN,MID(AM$1,1,2),FALSE)</f>
        <v>0</v>
      </c>
      <c r="AN1905" s="30" t="str">
        <f t="shared" si="29"/>
        <v>20207050010000</v>
      </c>
    </row>
    <row r="1906" spans="1:40" x14ac:dyDescent="0.25">
      <c r="C1906" s="40"/>
      <c r="D1906" s="121" t="s">
        <v>1720</v>
      </c>
      <c r="E1906" s="121" t="s">
        <v>1721</v>
      </c>
      <c r="F1906" s="122" t="s">
        <v>2758</v>
      </c>
      <c r="G1906" s="52"/>
      <c r="H1906" s="52"/>
      <c r="I1906" s="52"/>
      <c r="J1906" s="52"/>
      <c r="K1906" s="59" t="s">
        <v>79</v>
      </c>
      <c r="L1906" s="62"/>
      <c r="M1906" s="52"/>
      <c r="N1906" s="52"/>
      <c r="O1906" s="52"/>
      <c r="P1906" s="63" t="s">
        <v>1723</v>
      </c>
      <c r="Q1906" s="55">
        <f>VLOOKUP(E1906,'NI-Soc_SP'!$C:$AN,12,FALSE)</f>
        <v>0</v>
      </c>
      <c r="R1906" s="55">
        <f>VLOOKUP(E1906,'NI-Soc_SP'!$C:$AN,13,FALSE)</f>
        <v>0</v>
      </c>
      <c r="S1906" s="55">
        <f>VLOOKUP(E1906,'NI-Soc_SP'!$C:$AN,31,FALSE)</f>
        <v>0</v>
      </c>
      <c r="T1906" s="55">
        <f>VLOOKUP(E1906,'NI-Soc_SP'!$C:$AN,32,FALSE)+VLOOKUP(E1906,'NI-Soc_SP'!$C:$AN,33,FALSE)</f>
        <v>0</v>
      </c>
      <c r="U1906" s="55">
        <f>VLOOKUP($E1906,'NI-Soc_SP'!$C:$AN,MID(U$1,1,2),FALSE)</f>
        <v>0</v>
      </c>
      <c r="V1906" s="55">
        <f>VLOOKUP($E1906,'NI-Soc_SP'!$C:$AN,MID(V$1,1,2),FALSE)</f>
        <v>0</v>
      </c>
      <c r="W1906" s="55">
        <f>VLOOKUP($E1906,'NI-Soc_SP'!$C:$AN,MID(W$1,1,2),FALSE)</f>
        <v>0</v>
      </c>
      <c r="X1906" s="55">
        <f>VLOOKUP($E1906,'NI-Soc_SP'!$C:$AN,MID(X$1,1,2),FALSE)</f>
        <v>0</v>
      </c>
      <c r="Y1906" s="55">
        <f>VLOOKUP($E1906,'NI-Soc_SP'!$C:$AN,MID(Y$1,1,2),FALSE)</f>
        <v>0</v>
      </c>
      <c r="Z1906" s="55">
        <f>VLOOKUP($E1906,'NI-Soc_SP'!$C:$AN,MID(Z$1,1,2),FALSE)</f>
        <v>0</v>
      </c>
      <c r="AA1906" s="55">
        <f>VLOOKUP($E1906,'NI-Soc_SP'!$C:$AN,MID(AA$1,1,2),FALSE)</f>
        <v>0</v>
      </c>
      <c r="AB1906" s="55">
        <f>VLOOKUP($E1906,'NI-Soc_SP'!$C:$AN,MID(AB$1,1,2),FALSE)</f>
        <v>0</v>
      </c>
      <c r="AC1906" s="55">
        <f>VLOOKUP($E1906,'NI-Soc_SP'!$C:$AN,MID(AC$1,1,2),FALSE)</f>
        <v>0</v>
      </c>
      <c r="AD1906" s="55">
        <f>VLOOKUP($E1906,'NI-Soc_SP'!$C:$AN,MID(AD$1,1,2),FALSE)</f>
        <v>0</v>
      </c>
      <c r="AE1906" s="55">
        <f>VLOOKUP($E1906,'NI-Soc_SP'!$C:$AN,MID(AE$1,1,2),FALSE)</f>
        <v>0</v>
      </c>
      <c r="AF1906" s="55">
        <f>VLOOKUP($E1906,'NI-Soc_SP'!$C:$AN,MID(AF$1,1,2),FALSE)</f>
        <v>0</v>
      </c>
      <c r="AG1906" s="55">
        <f>VLOOKUP($E1906,'NI-Soc_SP'!$C:$AN,MID(AG$1,1,2),FALSE)</f>
        <v>0</v>
      </c>
      <c r="AH1906" s="55">
        <f>VLOOKUP($E1906,'NI-Soc_SP'!$C:$AN,MID(AH$1,1,2),FALSE)</f>
        <v>0</v>
      </c>
      <c r="AI1906" s="55">
        <f>VLOOKUP($E1906,'NI-Soc_SP'!$C:$AN,MID(AI$1,1,2),FALSE)</f>
        <v>0</v>
      </c>
      <c r="AJ1906" s="55">
        <f>VLOOKUP($E1906,'NI-Soc_SP'!$C:$AN,MID(AJ$1,1,2),FALSE)</f>
        <v>0</v>
      </c>
      <c r="AK1906" s="55">
        <f>VLOOKUP($E1906,'NI-Soc_SP'!$C:$AN,MID(AK$1,1,2),FALSE)</f>
        <v>0</v>
      </c>
      <c r="AL1906" s="55">
        <f>VLOOKUP($E1906,'NI-Soc_SP'!$C:$AN,MID(AL$1,1,2),FALSE)</f>
        <v>0</v>
      </c>
      <c r="AM1906" s="56">
        <f>VLOOKUP($E1906,'NI-Soc_SP'!$C:$AN,MID(AM$1,1,2),FALSE)</f>
        <v>0</v>
      </c>
      <c r="AN1906" s="30" t="str">
        <f t="shared" si="29"/>
        <v>20207050010010</v>
      </c>
    </row>
    <row r="1907" spans="1:40" x14ac:dyDescent="0.25">
      <c r="C1907" s="40"/>
      <c r="D1907" s="121" t="s">
        <v>1724</v>
      </c>
      <c r="E1907" s="121" t="s">
        <v>1725</v>
      </c>
      <c r="F1907" s="122" t="s">
        <v>2758</v>
      </c>
      <c r="G1907" s="52"/>
      <c r="H1907" s="52"/>
      <c r="I1907" s="52"/>
      <c r="J1907" s="52"/>
      <c r="K1907" s="59" t="s">
        <v>79</v>
      </c>
      <c r="L1907" s="62"/>
      <c r="M1907" s="52"/>
      <c r="N1907" s="52"/>
      <c r="O1907" s="52"/>
      <c r="P1907" s="63" t="s">
        <v>1726</v>
      </c>
      <c r="Q1907" s="55">
        <f>VLOOKUP(E1907,'NI-Soc_SP'!$C:$AN,12,FALSE)</f>
        <v>0</v>
      </c>
      <c r="R1907" s="55">
        <f>VLOOKUP(E1907,'NI-Soc_SP'!$C:$AN,13,FALSE)</f>
        <v>0</v>
      </c>
      <c r="S1907" s="55">
        <f>VLOOKUP(E1907,'NI-Soc_SP'!$C:$AN,31,FALSE)</f>
        <v>0</v>
      </c>
      <c r="T1907" s="55">
        <f>VLOOKUP(E1907,'NI-Soc_SP'!$C:$AN,32,FALSE)+VLOOKUP(E1907,'NI-Soc_SP'!$C:$AN,33,FALSE)</f>
        <v>0</v>
      </c>
      <c r="U1907" s="55">
        <f>VLOOKUP($E1907,'NI-Soc_SP'!$C:$AN,MID(U$1,1,2),FALSE)</f>
        <v>0</v>
      </c>
      <c r="V1907" s="55">
        <f>VLOOKUP($E1907,'NI-Soc_SP'!$C:$AN,MID(V$1,1,2),FALSE)</f>
        <v>0</v>
      </c>
      <c r="W1907" s="55">
        <f>VLOOKUP($E1907,'NI-Soc_SP'!$C:$AN,MID(W$1,1,2),FALSE)</f>
        <v>0</v>
      </c>
      <c r="X1907" s="55">
        <f>VLOOKUP($E1907,'NI-Soc_SP'!$C:$AN,MID(X$1,1,2),FALSE)</f>
        <v>0</v>
      </c>
      <c r="Y1907" s="55">
        <f>VLOOKUP($E1907,'NI-Soc_SP'!$C:$AN,MID(Y$1,1,2),FALSE)</f>
        <v>0</v>
      </c>
      <c r="Z1907" s="55">
        <f>VLOOKUP($E1907,'NI-Soc_SP'!$C:$AN,MID(Z$1,1,2),FALSE)</f>
        <v>0</v>
      </c>
      <c r="AA1907" s="55">
        <f>VLOOKUP($E1907,'NI-Soc_SP'!$C:$AN,MID(AA$1,1,2),FALSE)</f>
        <v>0</v>
      </c>
      <c r="AB1907" s="55">
        <f>VLOOKUP($E1907,'NI-Soc_SP'!$C:$AN,MID(AB$1,1,2),FALSE)</f>
        <v>0</v>
      </c>
      <c r="AC1907" s="55">
        <f>VLOOKUP($E1907,'NI-Soc_SP'!$C:$AN,MID(AC$1,1,2),FALSE)</f>
        <v>0</v>
      </c>
      <c r="AD1907" s="55">
        <f>VLOOKUP($E1907,'NI-Soc_SP'!$C:$AN,MID(AD$1,1,2),FALSE)</f>
        <v>0</v>
      </c>
      <c r="AE1907" s="55">
        <f>VLOOKUP($E1907,'NI-Soc_SP'!$C:$AN,MID(AE$1,1,2),FALSE)</f>
        <v>0</v>
      </c>
      <c r="AF1907" s="55">
        <f>VLOOKUP($E1907,'NI-Soc_SP'!$C:$AN,MID(AF$1,1,2),FALSE)</f>
        <v>0</v>
      </c>
      <c r="AG1907" s="55">
        <f>VLOOKUP($E1907,'NI-Soc_SP'!$C:$AN,MID(AG$1,1,2),FALSE)</f>
        <v>0</v>
      </c>
      <c r="AH1907" s="55">
        <f>VLOOKUP($E1907,'NI-Soc_SP'!$C:$AN,MID(AH$1,1,2),FALSE)</f>
        <v>0</v>
      </c>
      <c r="AI1907" s="55">
        <f>VLOOKUP($E1907,'NI-Soc_SP'!$C:$AN,MID(AI$1,1,2),FALSE)</f>
        <v>0</v>
      </c>
      <c r="AJ1907" s="55">
        <f>VLOOKUP($E1907,'NI-Soc_SP'!$C:$AN,MID(AJ$1,1,2),FALSE)</f>
        <v>0</v>
      </c>
      <c r="AK1907" s="55">
        <f>VLOOKUP($E1907,'NI-Soc_SP'!$C:$AN,MID(AK$1,1,2),FALSE)</f>
        <v>0</v>
      </c>
      <c r="AL1907" s="55">
        <f>VLOOKUP($E1907,'NI-Soc_SP'!$C:$AN,MID(AL$1,1,2),FALSE)</f>
        <v>0</v>
      </c>
      <c r="AM1907" s="56">
        <f>VLOOKUP($E1907,'NI-Soc_SP'!$C:$AN,MID(AM$1,1,2),FALSE)</f>
        <v>0</v>
      </c>
      <c r="AN1907" s="30" t="str">
        <f t="shared" si="29"/>
        <v>20207050010020</v>
      </c>
    </row>
    <row r="1908" spans="1:40" x14ac:dyDescent="0.25">
      <c r="C1908" s="40"/>
      <c r="D1908" s="121"/>
      <c r="E1908" s="121" t="s">
        <v>1727</v>
      </c>
      <c r="F1908" s="122" t="s">
        <v>2758</v>
      </c>
      <c r="G1908" s="52"/>
      <c r="H1908" s="52"/>
      <c r="I1908" s="52"/>
      <c r="J1908" s="52"/>
      <c r="K1908" s="59" t="s">
        <v>111</v>
      </c>
      <c r="L1908" s="62"/>
      <c r="M1908" s="52"/>
      <c r="N1908" s="52"/>
      <c r="O1908" s="52"/>
      <c r="P1908" s="63" t="s">
        <v>1728</v>
      </c>
      <c r="Q1908" s="55">
        <f>VLOOKUP(E1908,'NI-Soc_SP'!$C:$AN,12,FALSE)</f>
        <v>0</v>
      </c>
      <c r="R1908" s="55">
        <f>VLOOKUP(E1908,'NI-Soc_SP'!$C:$AN,13,FALSE)</f>
        <v>0</v>
      </c>
      <c r="S1908" s="55">
        <f>VLOOKUP(E1908,'NI-Soc_SP'!$C:$AN,31,FALSE)</f>
        <v>0</v>
      </c>
      <c r="T1908" s="55">
        <f>VLOOKUP(E1908,'NI-Soc_SP'!$C:$AN,32,FALSE)+VLOOKUP(E1908,'NI-Soc_SP'!$C:$AN,33,FALSE)</f>
        <v>0</v>
      </c>
      <c r="U1908" s="55">
        <f>VLOOKUP($E1908,'NI-Soc_SP'!$C:$AN,MID(U$1,1,2),FALSE)</f>
        <v>0</v>
      </c>
      <c r="V1908" s="55">
        <f>VLOOKUP($E1908,'NI-Soc_SP'!$C:$AN,MID(V$1,1,2),FALSE)</f>
        <v>0</v>
      </c>
      <c r="W1908" s="55">
        <f>VLOOKUP($E1908,'NI-Soc_SP'!$C:$AN,MID(W$1,1,2),FALSE)</f>
        <v>0</v>
      </c>
      <c r="X1908" s="55">
        <f>VLOOKUP($E1908,'NI-Soc_SP'!$C:$AN,MID(X$1,1,2),FALSE)</f>
        <v>0</v>
      </c>
      <c r="Y1908" s="55">
        <f>VLOOKUP($E1908,'NI-Soc_SP'!$C:$AN,MID(Y$1,1,2),FALSE)</f>
        <v>0</v>
      </c>
      <c r="Z1908" s="55">
        <f>VLOOKUP($E1908,'NI-Soc_SP'!$C:$AN,MID(Z$1,1,2),FALSE)</f>
        <v>0</v>
      </c>
      <c r="AA1908" s="55">
        <f>VLOOKUP($E1908,'NI-Soc_SP'!$C:$AN,MID(AA$1,1,2),FALSE)</f>
        <v>0</v>
      </c>
      <c r="AB1908" s="55">
        <f>VLOOKUP($E1908,'NI-Soc_SP'!$C:$AN,MID(AB$1,1,2),FALSE)</f>
        <v>0</v>
      </c>
      <c r="AC1908" s="55">
        <f>VLOOKUP($E1908,'NI-Soc_SP'!$C:$AN,MID(AC$1,1,2),FALSE)</f>
        <v>0</v>
      </c>
      <c r="AD1908" s="55">
        <f>VLOOKUP($E1908,'NI-Soc_SP'!$C:$AN,MID(AD$1,1,2),FALSE)</f>
        <v>0</v>
      </c>
      <c r="AE1908" s="55">
        <f>VLOOKUP($E1908,'NI-Soc_SP'!$C:$AN,MID(AE$1,1,2),FALSE)</f>
        <v>0</v>
      </c>
      <c r="AF1908" s="55">
        <f>VLOOKUP($E1908,'NI-Soc_SP'!$C:$AN,MID(AF$1,1,2),FALSE)</f>
        <v>0</v>
      </c>
      <c r="AG1908" s="55">
        <f>VLOOKUP($E1908,'NI-Soc_SP'!$C:$AN,MID(AG$1,1,2),FALSE)</f>
        <v>0</v>
      </c>
      <c r="AH1908" s="55">
        <f>VLOOKUP($E1908,'NI-Soc_SP'!$C:$AN,MID(AH$1,1,2),FALSE)</f>
        <v>0</v>
      </c>
      <c r="AI1908" s="55">
        <f>VLOOKUP($E1908,'NI-Soc_SP'!$C:$AN,MID(AI$1,1,2),FALSE)</f>
        <v>0</v>
      </c>
      <c r="AJ1908" s="55">
        <f>VLOOKUP($E1908,'NI-Soc_SP'!$C:$AN,MID(AJ$1,1,2),FALSE)</f>
        <v>0</v>
      </c>
      <c r="AK1908" s="55">
        <f>VLOOKUP($E1908,'NI-Soc_SP'!$C:$AN,MID(AK$1,1,2),FALSE)</f>
        <v>0</v>
      </c>
      <c r="AL1908" s="55">
        <f>VLOOKUP($E1908,'NI-Soc_SP'!$C:$AN,MID(AL$1,1,2),FALSE)</f>
        <v>0</v>
      </c>
      <c r="AM1908" s="56">
        <f>VLOOKUP($E1908,'NI-Soc_SP'!$C:$AN,MID(AM$1,1,2),FALSE)</f>
        <v>0</v>
      </c>
      <c r="AN1908" s="30">
        <f t="shared" si="29"/>
        <v>0</v>
      </c>
    </row>
    <row r="1909" spans="1:40" x14ac:dyDescent="0.25">
      <c r="C1909" s="40"/>
      <c r="D1909" s="121" t="s">
        <v>1729</v>
      </c>
      <c r="E1909" s="121" t="s">
        <v>1730</v>
      </c>
      <c r="F1909" s="122" t="s">
        <v>2758</v>
      </c>
      <c r="G1909" s="52" t="s">
        <v>1608</v>
      </c>
      <c r="H1909" s="52"/>
      <c r="I1909" s="52"/>
      <c r="J1909" s="52"/>
      <c r="K1909" s="59" t="s">
        <v>79</v>
      </c>
      <c r="L1909" s="62"/>
      <c r="M1909" s="52"/>
      <c r="N1909" s="52"/>
      <c r="O1909" s="52"/>
      <c r="P1909" s="63" t="s">
        <v>1731</v>
      </c>
      <c r="Q1909" s="55">
        <f>VLOOKUP(E1909,'NI-Soc_SP'!$C:$AN,12,FALSE)</f>
        <v>0</v>
      </c>
      <c r="R1909" s="55">
        <f>VLOOKUP(E1909,'NI-Soc_SP'!$C:$AN,13,FALSE)</f>
        <v>0</v>
      </c>
      <c r="S1909" s="55">
        <f>VLOOKUP(E1909,'NI-Soc_SP'!$C:$AN,31,FALSE)</f>
        <v>0</v>
      </c>
      <c r="T1909" s="55">
        <f>VLOOKUP(E1909,'NI-Soc_SP'!$C:$AN,32,FALSE)+VLOOKUP(E1909,'NI-Soc_SP'!$C:$AN,33,FALSE)</f>
        <v>0</v>
      </c>
      <c r="U1909" s="55">
        <f>VLOOKUP($E1909,'NI-Soc_SP'!$C:$AN,MID(U$1,1,2),FALSE)</f>
        <v>0</v>
      </c>
      <c r="V1909" s="55">
        <f>VLOOKUP($E1909,'NI-Soc_SP'!$C:$AN,MID(V$1,1,2),FALSE)</f>
        <v>0</v>
      </c>
      <c r="W1909" s="55">
        <f>VLOOKUP($E1909,'NI-Soc_SP'!$C:$AN,MID(W$1,1,2),FALSE)</f>
        <v>0</v>
      </c>
      <c r="X1909" s="55">
        <f>VLOOKUP($E1909,'NI-Soc_SP'!$C:$AN,MID(X$1,1,2),FALSE)</f>
        <v>0</v>
      </c>
      <c r="Y1909" s="55">
        <f>VLOOKUP($E1909,'NI-Soc_SP'!$C:$AN,MID(Y$1,1,2),FALSE)</f>
        <v>0</v>
      </c>
      <c r="Z1909" s="55">
        <f>VLOOKUP($E1909,'NI-Soc_SP'!$C:$AN,MID(Z$1,1,2),FALSE)</f>
        <v>0</v>
      </c>
      <c r="AA1909" s="55">
        <f>VLOOKUP($E1909,'NI-Soc_SP'!$C:$AN,MID(AA$1,1,2),FALSE)</f>
        <v>0</v>
      </c>
      <c r="AB1909" s="55">
        <f>VLOOKUP($E1909,'NI-Soc_SP'!$C:$AN,MID(AB$1,1,2),FALSE)</f>
        <v>0</v>
      </c>
      <c r="AC1909" s="55">
        <f>VLOOKUP($E1909,'NI-Soc_SP'!$C:$AN,MID(AC$1,1,2),FALSE)</f>
        <v>0</v>
      </c>
      <c r="AD1909" s="55">
        <f>VLOOKUP($E1909,'NI-Soc_SP'!$C:$AN,MID(AD$1,1,2),FALSE)</f>
        <v>0</v>
      </c>
      <c r="AE1909" s="55">
        <f>VLOOKUP($E1909,'NI-Soc_SP'!$C:$AN,MID(AE$1,1,2),FALSE)</f>
        <v>0</v>
      </c>
      <c r="AF1909" s="55">
        <f>VLOOKUP($E1909,'NI-Soc_SP'!$C:$AN,MID(AF$1,1,2),FALSE)</f>
        <v>0</v>
      </c>
      <c r="AG1909" s="55">
        <f>VLOOKUP($E1909,'NI-Soc_SP'!$C:$AN,MID(AG$1,1,2),FALSE)</f>
        <v>0</v>
      </c>
      <c r="AH1909" s="55">
        <f>VLOOKUP($E1909,'NI-Soc_SP'!$C:$AN,MID(AH$1,1,2),FALSE)</f>
        <v>0</v>
      </c>
      <c r="AI1909" s="55">
        <f>VLOOKUP($E1909,'NI-Soc_SP'!$C:$AN,MID(AI$1,1,2),FALSE)</f>
        <v>0</v>
      </c>
      <c r="AJ1909" s="55">
        <f>VLOOKUP($E1909,'NI-Soc_SP'!$C:$AN,MID(AJ$1,1,2),FALSE)</f>
        <v>0</v>
      </c>
      <c r="AK1909" s="55">
        <f>VLOOKUP($E1909,'NI-Soc_SP'!$C:$AN,MID(AK$1,1,2),FALSE)</f>
        <v>0</v>
      </c>
      <c r="AL1909" s="55">
        <f>VLOOKUP($E1909,'NI-Soc_SP'!$C:$AN,MID(AL$1,1,2),FALSE)</f>
        <v>0</v>
      </c>
      <c r="AM1909" s="56">
        <f>VLOOKUP($E1909,'NI-Soc_SP'!$C:$AN,MID(AM$1,1,2),FALSE)</f>
        <v>0</v>
      </c>
      <c r="AN1909" s="30" t="str">
        <f t="shared" si="29"/>
        <v>20207050010030</v>
      </c>
    </row>
    <row r="1910" spans="1:40" x14ac:dyDescent="0.25">
      <c r="C1910" s="40"/>
      <c r="D1910" s="121" t="s">
        <v>1732</v>
      </c>
      <c r="E1910" s="121" t="s">
        <v>1733</v>
      </c>
      <c r="F1910" s="122" t="s">
        <v>2758</v>
      </c>
      <c r="G1910" s="52" t="s">
        <v>1608</v>
      </c>
      <c r="H1910" s="52"/>
      <c r="I1910" s="52"/>
      <c r="J1910" s="52"/>
      <c r="K1910" s="59" t="s">
        <v>79</v>
      </c>
      <c r="L1910" s="52"/>
      <c r="M1910" s="52"/>
      <c r="N1910" s="52"/>
      <c r="O1910" s="52"/>
      <c r="P1910" s="60" t="s">
        <v>1734</v>
      </c>
      <c r="Q1910" s="55">
        <f>VLOOKUP(E1910,'NI-Soc_SP'!$C:$AN,12,FALSE)</f>
        <v>0</v>
      </c>
      <c r="R1910" s="55">
        <f>VLOOKUP(E1910,'NI-Soc_SP'!$C:$AN,13,FALSE)</f>
        <v>0</v>
      </c>
      <c r="S1910" s="55">
        <f>VLOOKUP(E1910,'NI-Soc_SP'!$C:$AN,31,FALSE)</f>
        <v>0</v>
      </c>
      <c r="T1910" s="55">
        <f>VLOOKUP(E1910,'NI-Soc_SP'!$C:$AN,32,FALSE)+VLOOKUP(E1910,'NI-Soc_SP'!$C:$AN,33,FALSE)</f>
        <v>0</v>
      </c>
      <c r="U1910" s="55">
        <f>VLOOKUP($E1910,'NI-Soc_SP'!$C:$AN,MID(U$1,1,2),FALSE)</f>
        <v>0</v>
      </c>
      <c r="V1910" s="55">
        <f>VLOOKUP($E1910,'NI-Soc_SP'!$C:$AN,MID(V$1,1,2),FALSE)</f>
        <v>0</v>
      </c>
      <c r="W1910" s="55">
        <f>VLOOKUP($E1910,'NI-Soc_SP'!$C:$AN,MID(W$1,1,2),FALSE)</f>
        <v>0</v>
      </c>
      <c r="X1910" s="55">
        <f>VLOOKUP($E1910,'NI-Soc_SP'!$C:$AN,MID(X$1,1,2),FALSE)</f>
        <v>0</v>
      </c>
      <c r="Y1910" s="55">
        <f>VLOOKUP($E1910,'NI-Soc_SP'!$C:$AN,MID(Y$1,1,2),FALSE)</f>
        <v>0</v>
      </c>
      <c r="Z1910" s="55">
        <f>VLOOKUP($E1910,'NI-Soc_SP'!$C:$AN,MID(Z$1,1,2),FALSE)</f>
        <v>0</v>
      </c>
      <c r="AA1910" s="55">
        <f>VLOOKUP($E1910,'NI-Soc_SP'!$C:$AN,MID(AA$1,1,2),FALSE)</f>
        <v>0</v>
      </c>
      <c r="AB1910" s="55">
        <f>VLOOKUP($E1910,'NI-Soc_SP'!$C:$AN,MID(AB$1,1,2),FALSE)</f>
        <v>0</v>
      </c>
      <c r="AC1910" s="55">
        <f>VLOOKUP($E1910,'NI-Soc_SP'!$C:$AN,MID(AC$1,1,2),FALSE)</f>
        <v>0</v>
      </c>
      <c r="AD1910" s="55">
        <f>VLOOKUP($E1910,'NI-Soc_SP'!$C:$AN,MID(AD$1,1,2),FALSE)</f>
        <v>0</v>
      </c>
      <c r="AE1910" s="55">
        <f>VLOOKUP($E1910,'NI-Soc_SP'!$C:$AN,MID(AE$1,1,2),FALSE)</f>
        <v>0</v>
      </c>
      <c r="AF1910" s="55">
        <f>VLOOKUP($E1910,'NI-Soc_SP'!$C:$AN,MID(AF$1,1,2),FALSE)</f>
        <v>0</v>
      </c>
      <c r="AG1910" s="55">
        <f>VLOOKUP($E1910,'NI-Soc_SP'!$C:$AN,MID(AG$1,1,2),FALSE)</f>
        <v>0</v>
      </c>
      <c r="AH1910" s="55">
        <f>VLOOKUP($E1910,'NI-Soc_SP'!$C:$AN,MID(AH$1,1,2),FALSE)</f>
        <v>0</v>
      </c>
      <c r="AI1910" s="55">
        <f>VLOOKUP($E1910,'NI-Soc_SP'!$C:$AN,MID(AI$1,1,2),FALSE)</f>
        <v>0</v>
      </c>
      <c r="AJ1910" s="55">
        <f>VLOOKUP($E1910,'NI-Soc_SP'!$C:$AN,MID(AJ$1,1,2),FALSE)</f>
        <v>0</v>
      </c>
      <c r="AK1910" s="55">
        <f>VLOOKUP($E1910,'NI-Soc_SP'!$C:$AN,MID(AK$1,1,2),FALSE)</f>
        <v>0</v>
      </c>
      <c r="AL1910" s="55">
        <f>VLOOKUP($E1910,'NI-Soc_SP'!$C:$AN,MID(AL$1,1,2),FALSE)</f>
        <v>0</v>
      </c>
      <c r="AM1910" s="56">
        <f>VLOOKUP($E1910,'NI-Soc_SP'!$C:$AN,MID(AM$1,1,2),FALSE)</f>
        <v>0</v>
      </c>
      <c r="AN1910" s="30" t="str">
        <f t="shared" si="29"/>
        <v>20207050010040</v>
      </c>
    </row>
    <row r="1911" spans="1:40" x14ac:dyDescent="0.25">
      <c r="C1911" s="40"/>
      <c r="D1911" s="121" t="s">
        <v>1735</v>
      </c>
      <c r="E1911" s="121" t="s">
        <v>1736</v>
      </c>
      <c r="F1911" s="122" t="s">
        <v>2758</v>
      </c>
      <c r="G1911" s="65"/>
      <c r="H1911" s="52"/>
      <c r="I1911" s="52"/>
      <c r="J1911" s="52"/>
      <c r="K1911" s="59" t="s">
        <v>79</v>
      </c>
      <c r="L1911" s="62"/>
      <c r="M1911" s="52"/>
      <c r="N1911" s="52"/>
      <c r="O1911" s="52"/>
      <c r="P1911" s="107" t="s">
        <v>1737</v>
      </c>
      <c r="Q1911" s="55">
        <f>VLOOKUP(E1911,'NI-Soc_SP'!$C:$AN,12,FALSE)</f>
        <v>0</v>
      </c>
      <c r="R1911" s="55">
        <f>VLOOKUP(E1911,'NI-Soc_SP'!$C:$AN,13,FALSE)</f>
        <v>0</v>
      </c>
      <c r="S1911" s="55">
        <f>VLOOKUP(E1911,'NI-Soc_SP'!$C:$AN,31,FALSE)</f>
        <v>0</v>
      </c>
      <c r="T1911" s="55">
        <f>VLOOKUP(E1911,'NI-Soc_SP'!$C:$AN,32,FALSE)+VLOOKUP(E1911,'NI-Soc_SP'!$C:$AN,33,FALSE)</f>
        <v>0</v>
      </c>
      <c r="U1911" s="55">
        <f>VLOOKUP($E1911,'NI-Soc_SP'!$C:$AN,MID(U$1,1,2),FALSE)</f>
        <v>0</v>
      </c>
      <c r="V1911" s="55">
        <f>VLOOKUP($E1911,'NI-Soc_SP'!$C:$AN,MID(V$1,1,2),FALSE)</f>
        <v>0</v>
      </c>
      <c r="W1911" s="55">
        <f>VLOOKUP($E1911,'NI-Soc_SP'!$C:$AN,MID(W$1,1,2),FALSE)</f>
        <v>0</v>
      </c>
      <c r="X1911" s="55">
        <f>VLOOKUP($E1911,'NI-Soc_SP'!$C:$AN,MID(X$1,1,2),FALSE)</f>
        <v>0</v>
      </c>
      <c r="Y1911" s="55">
        <f>VLOOKUP($E1911,'NI-Soc_SP'!$C:$AN,MID(Y$1,1,2),FALSE)</f>
        <v>0</v>
      </c>
      <c r="Z1911" s="55">
        <f>VLOOKUP($E1911,'NI-Soc_SP'!$C:$AN,MID(Z$1,1,2),FALSE)</f>
        <v>0</v>
      </c>
      <c r="AA1911" s="55">
        <f>VLOOKUP($E1911,'NI-Soc_SP'!$C:$AN,MID(AA$1,1,2),FALSE)</f>
        <v>0</v>
      </c>
      <c r="AB1911" s="55">
        <f>VLOOKUP($E1911,'NI-Soc_SP'!$C:$AN,MID(AB$1,1,2),FALSE)</f>
        <v>0</v>
      </c>
      <c r="AC1911" s="55">
        <f>VLOOKUP($E1911,'NI-Soc_SP'!$C:$AN,MID(AC$1,1,2),FALSE)</f>
        <v>0</v>
      </c>
      <c r="AD1911" s="55">
        <f>VLOOKUP($E1911,'NI-Soc_SP'!$C:$AN,MID(AD$1,1,2),FALSE)</f>
        <v>0</v>
      </c>
      <c r="AE1911" s="55">
        <f>VLOOKUP($E1911,'NI-Soc_SP'!$C:$AN,MID(AE$1,1,2),FALSE)</f>
        <v>0</v>
      </c>
      <c r="AF1911" s="55">
        <f>VLOOKUP($E1911,'NI-Soc_SP'!$C:$AN,MID(AF$1,1,2),FALSE)</f>
        <v>0</v>
      </c>
      <c r="AG1911" s="55">
        <f>VLOOKUP($E1911,'NI-Soc_SP'!$C:$AN,MID(AG$1,1,2),FALSE)</f>
        <v>0</v>
      </c>
      <c r="AH1911" s="55">
        <f>VLOOKUP($E1911,'NI-Soc_SP'!$C:$AN,MID(AH$1,1,2),FALSE)</f>
        <v>0</v>
      </c>
      <c r="AI1911" s="55">
        <f>VLOOKUP($E1911,'NI-Soc_SP'!$C:$AN,MID(AI$1,1,2),FALSE)</f>
        <v>0</v>
      </c>
      <c r="AJ1911" s="55">
        <f>VLOOKUP($E1911,'NI-Soc_SP'!$C:$AN,MID(AJ$1,1,2),FALSE)</f>
        <v>0</v>
      </c>
      <c r="AK1911" s="55">
        <f>VLOOKUP($E1911,'NI-Soc_SP'!$C:$AN,MID(AK$1,1,2),FALSE)</f>
        <v>0</v>
      </c>
      <c r="AL1911" s="55">
        <f>VLOOKUP($E1911,'NI-Soc_SP'!$C:$AN,MID(AL$1,1,2),FALSE)</f>
        <v>0</v>
      </c>
      <c r="AM1911" s="56">
        <f>VLOOKUP($E1911,'NI-Soc_SP'!$C:$AN,MID(AM$1,1,2),FALSE)</f>
        <v>0</v>
      </c>
      <c r="AN1911" s="30" t="str">
        <f t="shared" si="29"/>
        <v>20207050010050</v>
      </c>
    </row>
    <row r="1912" spans="1:40" x14ac:dyDescent="0.25">
      <c r="C1912" s="40"/>
      <c r="D1912" s="121" t="s">
        <v>1738</v>
      </c>
      <c r="E1912" s="121" t="s">
        <v>1739</v>
      </c>
      <c r="F1912" s="122" t="s">
        <v>2758</v>
      </c>
      <c r="G1912" s="65" t="s">
        <v>1608</v>
      </c>
      <c r="H1912" s="52"/>
      <c r="I1912" s="52"/>
      <c r="J1912" s="52"/>
      <c r="K1912" s="59" t="s">
        <v>79</v>
      </c>
      <c r="L1912" s="62"/>
      <c r="M1912" s="52"/>
      <c r="N1912" s="52"/>
      <c r="O1912" s="52"/>
      <c r="P1912" s="107" t="s">
        <v>1740</v>
      </c>
      <c r="Q1912" s="55">
        <f>VLOOKUP(E1912,'NI-Soc_SP'!$C:$AN,12,FALSE)</f>
        <v>0</v>
      </c>
      <c r="R1912" s="55">
        <f>VLOOKUP(E1912,'NI-Soc_SP'!$C:$AN,13,FALSE)</f>
        <v>0</v>
      </c>
      <c r="S1912" s="55">
        <f>VLOOKUP(E1912,'NI-Soc_SP'!$C:$AN,31,FALSE)</f>
        <v>0</v>
      </c>
      <c r="T1912" s="55">
        <f>VLOOKUP(E1912,'NI-Soc_SP'!$C:$AN,32,FALSE)+VLOOKUP(E1912,'NI-Soc_SP'!$C:$AN,33,FALSE)</f>
        <v>0</v>
      </c>
      <c r="U1912" s="55">
        <f>VLOOKUP($E1912,'NI-Soc_SP'!$C:$AN,MID(U$1,1,2),FALSE)</f>
        <v>0</v>
      </c>
      <c r="V1912" s="55">
        <f>VLOOKUP($E1912,'NI-Soc_SP'!$C:$AN,MID(V$1,1,2),FALSE)</f>
        <v>0</v>
      </c>
      <c r="W1912" s="55">
        <f>VLOOKUP($E1912,'NI-Soc_SP'!$C:$AN,MID(W$1,1,2),FALSE)</f>
        <v>0</v>
      </c>
      <c r="X1912" s="55">
        <f>VLOOKUP($E1912,'NI-Soc_SP'!$C:$AN,MID(X$1,1,2),FALSE)</f>
        <v>0</v>
      </c>
      <c r="Y1912" s="55">
        <f>VLOOKUP($E1912,'NI-Soc_SP'!$C:$AN,MID(Y$1,1,2),FALSE)</f>
        <v>0</v>
      </c>
      <c r="Z1912" s="55">
        <f>VLOOKUP($E1912,'NI-Soc_SP'!$C:$AN,MID(Z$1,1,2),FALSE)</f>
        <v>0</v>
      </c>
      <c r="AA1912" s="55">
        <f>VLOOKUP($E1912,'NI-Soc_SP'!$C:$AN,MID(AA$1,1,2),FALSE)</f>
        <v>0</v>
      </c>
      <c r="AB1912" s="55">
        <f>VLOOKUP($E1912,'NI-Soc_SP'!$C:$AN,MID(AB$1,1,2),FALSE)</f>
        <v>0</v>
      </c>
      <c r="AC1912" s="55">
        <f>VLOOKUP($E1912,'NI-Soc_SP'!$C:$AN,MID(AC$1,1,2),FALSE)</f>
        <v>0</v>
      </c>
      <c r="AD1912" s="55">
        <f>VLOOKUP($E1912,'NI-Soc_SP'!$C:$AN,MID(AD$1,1,2),FALSE)</f>
        <v>0</v>
      </c>
      <c r="AE1912" s="55">
        <f>VLOOKUP($E1912,'NI-Soc_SP'!$C:$AN,MID(AE$1,1,2),FALSE)</f>
        <v>0</v>
      </c>
      <c r="AF1912" s="55">
        <f>VLOOKUP($E1912,'NI-Soc_SP'!$C:$AN,MID(AF$1,1,2),FALSE)</f>
        <v>0</v>
      </c>
      <c r="AG1912" s="55">
        <f>VLOOKUP($E1912,'NI-Soc_SP'!$C:$AN,MID(AG$1,1,2),FALSE)</f>
        <v>0</v>
      </c>
      <c r="AH1912" s="55">
        <f>VLOOKUP($E1912,'NI-Soc_SP'!$C:$AN,MID(AH$1,1,2),FALSE)</f>
        <v>0</v>
      </c>
      <c r="AI1912" s="55">
        <f>VLOOKUP($E1912,'NI-Soc_SP'!$C:$AN,MID(AI$1,1,2),FALSE)</f>
        <v>0</v>
      </c>
      <c r="AJ1912" s="55">
        <f>VLOOKUP($E1912,'NI-Soc_SP'!$C:$AN,MID(AJ$1,1,2),FALSE)</f>
        <v>0</v>
      </c>
      <c r="AK1912" s="55">
        <f>VLOOKUP($E1912,'NI-Soc_SP'!$C:$AN,MID(AK$1,1,2),FALSE)</f>
        <v>0</v>
      </c>
      <c r="AL1912" s="55">
        <f>VLOOKUP($E1912,'NI-Soc_SP'!$C:$AN,MID(AL$1,1,2),FALSE)</f>
        <v>0</v>
      </c>
      <c r="AM1912" s="56">
        <f>VLOOKUP($E1912,'NI-Soc_SP'!$C:$AN,MID(AM$1,1,2),FALSE)</f>
        <v>0</v>
      </c>
      <c r="AN1912" s="30" t="str">
        <f t="shared" si="29"/>
        <v>20207050010060</v>
      </c>
    </row>
    <row r="1913" spans="1:40" x14ac:dyDescent="0.25">
      <c r="A1913" s="30" t="s">
        <v>1394</v>
      </c>
      <c r="C1913" s="40"/>
      <c r="D1913" s="87" t="s">
        <v>1741</v>
      </c>
      <c r="E1913" s="87" t="s">
        <v>1742</v>
      </c>
      <c r="F1913" s="122" t="s">
        <v>2758</v>
      </c>
      <c r="G1913" s="52"/>
      <c r="H1913" s="52"/>
      <c r="I1913" s="52"/>
      <c r="J1913" s="52"/>
      <c r="K1913" s="59" t="s">
        <v>79</v>
      </c>
      <c r="L1913" s="52"/>
      <c r="M1913" s="52"/>
      <c r="N1913" s="52"/>
      <c r="O1913" s="61" t="s">
        <v>1697</v>
      </c>
      <c r="P1913" s="76" t="s">
        <v>1744</v>
      </c>
      <c r="Q1913" s="55">
        <f>VLOOKUP(E1913,'NI-Soc_SP'!$C:$AN,12,FALSE)</f>
        <v>0</v>
      </c>
      <c r="R1913" s="55">
        <f>VLOOKUP(E1913,'NI-Soc_SP'!$C:$AN,13,FALSE)</f>
        <v>0</v>
      </c>
      <c r="S1913" s="55">
        <f>VLOOKUP(E1913,'NI-Soc_SP'!$C:$AN,31,FALSE)</f>
        <v>0</v>
      </c>
      <c r="T1913" s="55">
        <f>VLOOKUP(E1913,'NI-Soc_SP'!$C:$AN,32,FALSE)+VLOOKUP(E1913,'NI-Soc_SP'!$C:$AN,33,FALSE)</f>
        <v>0</v>
      </c>
      <c r="U1913" s="55">
        <f>VLOOKUP($E1913,'NI-Soc_SP'!$C:$AN,MID(U$1,1,2),FALSE)</f>
        <v>0</v>
      </c>
      <c r="V1913" s="55">
        <f>VLOOKUP($E1913,'NI-Soc_SP'!$C:$AN,MID(V$1,1,2),FALSE)</f>
        <v>0</v>
      </c>
      <c r="W1913" s="55">
        <f>VLOOKUP($E1913,'NI-Soc_SP'!$C:$AN,MID(W$1,1,2),FALSE)</f>
        <v>0</v>
      </c>
      <c r="X1913" s="55">
        <f>VLOOKUP($E1913,'NI-Soc_SP'!$C:$AN,MID(X$1,1,2),FALSE)</f>
        <v>0</v>
      </c>
      <c r="Y1913" s="55">
        <f>VLOOKUP($E1913,'NI-Soc_SP'!$C:$AN,MID(Y$1,1,2),FALSE)</f>
        <v>0</v>
      </c>
      <c r="Z1913" s="55">
        <f>VLOOKUP($E1913,'NI-Soc_SP'!$C:$AN,MID(Z$1,1,2),FALSE)</f>
        <v>0</v>
      </c>
      <c r="AA1913" s="55">
        <f>VLOOKUP($E1913,'NI-Soc_SP'!$C:$AN,MID(AA$1,1,2),FALSE)</f>
        <v>0</v>
      </c>
      <c r="AB1913" s="55">
        <f>VLOOKUP($E1913,'NI-Soc_SP'!$C:$AN,MID(AB$1,1,2),FALSE)</f>
        <v>0</v>
      </c>
      <c r="AC1913" s="55">
        <f>VLOOKUP($E1913,'NI-Soc_SP'!$C:$AN,MID(AC$1,1,2),FALSE)</f>
        <v>0</v>
      </c>
      <c r="AD1913" s="55">
        <f>VLOOKUP($E1913,'NI-Soc_SP'!$C:$AN,MID(AD$1,1,2),FALSE)</f>
        <v>0</v>
      </c>
      <c r="AE1913" s="55">
        <f>VLOOKUP($E1913,'NI-Soc_SP'!$C:$AN,MID(AE$1,1,2),FALSE)</f>
        <v>0</v>
      </c>
      <c r="AF1913" s="55">
        <f>VLOOKUP($E1913,'NI-Soc_SP'!$C:$AN,MID(AF$1,1,2),FALSE)</f>
        <v>0</v>
      </c>
      <c r="AG1913" s="55">
        <f>VLOOKUP($E1913,'NI-Soc_SP'!$C:$AN,MID(AG$1,1,2),FALSE)</f>
        <v>0</v>
      </c>
      <c r="AH1913" s="55">
        <f>VLOOKUP($E1913,'NI-Soc_SP'!$C:$AN,MID(AH$1,1,2),FALSE)</f>
        <v>0</v>
      </c>
      <c r="AI1913" s="55">
        <f>VLOOKUP($E1913,'NI-Soc_SP'!$C:$AN,MID(AI$1,1,2),FALSE)</f>
        <v>0</v>
      </c>
      <c r="AJ1913" s="55">
        <f>VLOOKUP($E1913,'NI-Soc_SP'!$C:$AN,MID(AJ$1,1,2),FALSE)</f>
        <v>0</v>
      </c>
      <c r="AK1913" s="55">
        <f>VLOOKUP($E1913,'NI-Soc_SP'!$C:$AN,MID(AK$1,1,2),FALSE)</f>
        <v>0</v>
      </c>
      <c r="AL1913" s="55">
        <f>VLOOKUP($E1913,'NI-Soc_SP'!$C:$AN,MID(AL$1,1,2),FALSE)</f>
        <v>0</v>
      </c>
      <c r="AM1913" s="56">
        <f>VLOOKUP($E1913,'NI-Soc_SP'!$C:$AN,MID(AM$1,1,2),FALSE)</f>
        <v>0</v>
      </c>
      <c r="AN1913" s="30" t="str">
        <f t="shared" si="29"/>
        <v>20207050020000</v>
      </c>
    </row>
    <row r="1914" spans="1:40" ht="27" x14ac:dyDescent="0.25">
      <c r="A1914" s="30" t="s">
        <v>1394</v>
      </c>
      <c r="C1914" s="40"/>
      <c r="D1914" s="87" t="s">
        <v>1746</v>
      </c>
      <c r="E1914" s="87" t="s">
        <v>1747</v>
      </c>
      <c r="F1914" s="122" t="s">
        <v>2758</v>
      </c>
      <c r="G1914" s="52"/>
      <c r="H1914" s="52"/>
      <c r="I1914" s="52"/>
      <c r="J1914" s="52"/>
      <c r="K1914" s="59" t="s">
        <v>111</v>
      </c>
      <c r="L1914" s="52"/>
      <c r="M1914" s="52"/>
      <c r="N1914" s="52"/>
      <c r="O1914" s="61" t="s">
        <v>1697</v>
      </c>
      <c r="P1914" s="76" t="s">
        <v>1748</v>
      </c>
      <c r="Q1914" s="55">
        <f>VLOOKUP(E1914,'NI-Soc_SP'!$C:$AN,12,FALSE)</f>
        <v>0</v>
      </c>
      <c r="R1914" s="55">
        <f>VLOOKUP(E1914,'NI-Soc_SP'!$C:$AN,13,FALSE)</f>
        <v>0</v>
      </c>
      <c r="S1914" s="55">
        <f>VLOOKUP(E1914,'NI-Soc_SP'!$C:$AN,31,FALSE)</f>
        <v>0</v>
      </c>
      <c r="T1914" s="55">
        <f>VLOOKUP(E1914,'NI-Soc_SP'!$C:$AN,32,FALSE)+VLOOKUP(E1914,'NI-Soc_SP'!$C:$AN,33,FALSE)</f>
        <v>0</v>
      </c>
      <c r="U1914" s="55">
        <f>VLOOKUP($E1914,'NI-Soc_SP'!$C:$AN,MID(U$1,1,2),FALSE)</f>
        <v>0</v>
      </c>
      <c r="V1914" s="55">
        <f>VLOOKUP($E1914,'NI-Soc_SP'!$C:$AN,MID(V$1,1,2),FALSE)</f>
        <v>0</v>
      </c>
      <c r="W1914" s="55">
        <f>VLOOKUP($E1914,'NI-Soc_SP'!$C:$AN,MID(W$1,1,2),FALSE)</f>
        <v>0</v>
      </c>
      <c r="X1914" s="55">
        <f>VLOOKUP($E1914,'NI-Soc_SP'!$C:$AN,MID(X$1,1,2),FALSE)</f>
        <v>0</v>
      </c>
      <c r="Y1914" s="55">
        <f>VLOOKUP($E1914,'NI-Soc_SP'!$C:$AN,MID(Y$1,1,2),FALSE)</f>
        <v>0</v>
      </c>
      <c r="Z1914" s="55">
        <f>VLOOKUP($E1914,'NI-Soc_SP'!$C:$AN,MID(Z$1,1,2),FALSE)</f>
        <v>0</v>
      </c>
      <c r="AA1914" s="55">
        <f>VLOOKUP($E1914,'NI-Soc_SP'!$C:$AN,MID(AA$1,1,2),FALSE)</f>
        <v>0</v>
      </c>
      <c r="AB1914" s="55">
        <f>VLOOKUP($E1914,'NI-Soc_SP'!$C:$AN,MID(AB$1,1,2),FALSE)</f>
        <v>0</v>
      </c>
      <c r="AC1914" s="55">
        <f>VLOOKUP($E1914,'NI-Soc_SP'!$C:$AN,MID(AC$1,1,2),FALSE)</f>
        <v>0</v>
      </c>
      <c r="AD1914" s="55">
        <f>VLOOKUP($E1914,'NI-Soc_SP'!$C:$AN,MID(AD$1,1,2),FALSE)</f>
        <v>0</v>
      </c>
      <c r="AE1914" s="55">
        <f>VLOOKUP($E1914,'NI-Soc_SP'!$C:$AN,MID(AE$1,1,2),FALSE)</f>
        <v>0</v>
      </c>
      <c r="AF1914" s="55">
        <f>VLOOKUP($E1914,'NI-Soc_SP'!$C:$AN,MID(AF$1,1,2),FALSE)</f>
        <v>0</v>
      </c>
      <c r="AG1914" s="55">
        <f>VLOOKUP($E1914,'NI-Soc_SP'!$C:$AN,MID(AG$1,1,2),FALSE)</f>
        <v>0</v>
      </c>
      <c r="AH1914" s="55">
        <f>VLOOKUP($E1914,'NI-Soc_SP'!$C:$AN,MID(AH$1,1,2),FALSE)</f>
        <v>0</v>
      </c>
      <c r="AI1914" s="55">
        <f>VLOOKUP($E1914,'NI-Soc_SP'!$C:$AN,MID(AI$1,1,2),FALSE)</f>
        <v>0</v>
      </c>
      <c r="AJ1914" s="55">
        <f>VLOOKUP($E1914,'NI-Soc_SP'!$C:$AN,MID(AJ$1,1,2),FALSE)</f>
        <v>0</v>
      </c>
      <c r="AK1914" s="55">
        <f>VLOOKUP($E1914,'NI-Soc_SP'!$C:$AN,MID(AK$1,1,2),FALSE)</f>
        <v>0</v>
      </c>
      <c r="AL1914" s="55">
        <f>VLOOKUP($E1914,'NI-Soc_SP'!$C:$AN,MID(AL$1,1,2),FALSE)</f>
        <v>0</v>
      </c>
      <c r="AM1914" s="56">
        <f>VLOOKUP($E1914,'NI-Soc_SP'!$C:$AN,MID(AM$1,1,2),FALSE)</f>
        <v>0</v>
      </c>
      <c r="AN1914" s="30" t="str">
        <f t="shared" si="29"/>
        <v>20207060000000</v>
      </c>
    </row>
    <row r="1915" spans="1:40" ht="27" x14ac:dyDescent="0.25">
      <c r="A1915" s="30" t="s">
        <v>1394</v>
      </c>
      <c r="C1915" s="40"/>
      <c r="D1915" s="87" t="s">
        <v>1749</v>
      </c>
      <c r="E1915" s="87" t="s">
        <v>1750</v>
      </c>
      <c r="F1915" s="122" t="s">
        <v>2758</v>
      </c>
      <c r="G1915" s="52"/>
      <c r="H1915" s="52"/>
      <c r="I1915" s="52"/>
      <c r="J1915" s="52"/>
      <c r="K1915" s="59" t="s">
        <v>79</v>
      </c>
      <c r="L1915" s="52"/>
      <c r="M1915" s="52"/>
      <c r="N1915" s="52"/>
      <c r="O1915" s="52"/>
      <c r="P1915" s="76" t="s">
        <v>1752</v>
      </c>
      <c r="Q1915" s="55">
        <f>VLOOKUP(E1915,'NI-Soc_SP'!$C:$AN,12,FALSE)</f>
        <v>0</v>
      </c>
      <c r="R1915" s="55">
        <f>VLOOKUP(E1915,'NI-Soc_SP'!$C:$AN,13,FALSE)</f>
        <v>0</v>
      </c>
      <c r="S1915" s="55">
        <f>VLOOKUP(E1915,'NI-Soc_SP'!$C:$AN,31,FALSE)</f>
        <v>0</v>
      </c>
      <c r="T1915" s="55">
        <f>VLOOKUP(E1915,'NI-Soc_SP'!$C:$AN,32,FALSE)+VLOOKUP(E1915,'NI-Soc_SP'!$C:$AN,33,FALSE)</f>
        <v>0</v>
      </c>
      <c r="U1915" s="55">
        <f>VLOOKUP($E1915,'NI-Soc_SP'!$C:$AN,MID(U$1,1,2),FALSE)</f>
        <v>0</v>
      </c>
      <c r="V1915" s="55">
        <f>VLOOKUP($E1915,'NI-Soc_SP'!$C:$AN,MID(V$1,1,2),FALSE)</f>
        <v>0</v>
      </c>
      <c r="W1915" s="55">
        <f>VLOOKUP($E1915,'NI-Soc_SP'!$C:$AN,MID(W$1,1,2),FALSE)</f>
        <v>0</v>
      </c>
      <c r="X1915" s="55">
        <f>VLOOKUP($E1915,'NI-Soc_SP'!$C:$AN,MID(X$1,1,2),FALSE)</f>
        <v>0</v>
      </c>
      <c r="Y1915" s="55">
        <f>VLOOKUP($E1915,'NI-Soc_SP'!$C:$AN,MID(Y$1,1,2),FALSE)</f>
        <v>0</v>
      </c>
      <c r="Z1915" s="55">
        <f>VLOOKUP($E1915,'NI-Soc_SP'!$C:$AN,MID(Z$1,1,2),FALSE)</f>
        <v>0</v>
      </c>
      <c r="AA1915" s="55">
        <f>VLOOKUP($E1915,'NI-Soc_SP'!$C:$AN,MID(AA$1,1,2),FALSE)</f>
        <v>0</v>
      </c>
      <c r="AB1915" s="55">
        <f>VLOOKUP($E1915,'NI-Soc_SP'!$C:$AN,MID(AB$1,1,2),FALSE)</f>
        <v>0</v>
      </c>
      <c r="AC1915" s="55">
        <f>VLOOKUP($E1915,'NI-Soc_SP'!$C:$AN,MID(AC$1,1,2),FALSE)</f>
        <v>0</v>
      </c>
      <c r="AD1915" s="55">
        <f>VLOOKUP($E1915,'NI-Soc_SP'!$C:$AN,MID(AD$1,1,2),FALSE)</f>
        <v>0</v>
      </c>
      <c r="AE1915" s="55">
        <f>VLOOKUP($E1915,'NI-Soc_SP'!$C:$AN,MID(AE$1,1,2),FALSE)</f>
        <v>0</v>
      </c>
      <c r="AF1915" s="55">
        <f>VLOOKUP($E1915,'NI-Soc_SP'!$C:$AN,MID(AF$1,1,2),FALSE)</f>
        <v>0</v>
      </c>
      <c r="AG1915" s="55">
        <f>VLOOKUP($E1915,'NI-Soc_SP'!$C:$AN,MID(AG$1,1,2),FALSE)</f>
        <v>0</v>
      </c>
      <c r="AH1915" s="55">
        <f>VLOOKUP($E1915,'NI-Soc_SP'!$C:$AN,MID(AH$1,1,2),FALSE)</f>
        <v>0</v>
      </c>
      <c r="AI1915" s="55">
        <f>VLOOKUP($E1915,'NI-Soc_SP'!$C:$AN,MID(AI$1,1,2),FALSE)</f>
        <v>0</v>
      </c>
      <c r="AJ1915" s="55">
        <f>VLOOKUP($E1915,'NI-Soc_SP'!$C:$AN,MID(AJ$1,1,2),FALSE)</f>
        <v>0</v>
      </c>
      <c r="AK1915" s="55">
        <f>VLOOKUP($E1915,'NI-Soc_SP'!$C:$AN,MID(AK$1,1,2),FALSE)</f>
        <v>0</v>
      </c>
      <c r="AL1915" s="55">
        <f>VLOOKUP($E1915,'NI-Soc_SP'!$C:$AN,MID(AL$1,1,2),FALSE)</f>
        <v>0</v>
      </c>
      <c r="AM1915" s="56">
        <f>VLOOKUP($E1915,'NI-Soc_SP'!$C:$AN,MID(AM$1,1,2),FALSE)</f>
        <v>0</v>
      </c>
      <c r="AN1915" s="30" t="str">
        <f t="shared" si="29"/>
        <v>20207060010000</v>
      </c>
    </row>
    <row r="1916" spans="1:40" x14ac:dyDescent="0.25">
      <c r="A1916" s="30" t="s">
        <v>1394</v>
      </c>
      <c r="C1916" s="40"/>
      <c r="D1916" s="87" t="s">
        <v>1753</v>
      </c>
      <c r="E1916" s="87" t="s">
        <v>1754</v>
      </c>
      <c r="F1916" s="122" t="s">
        <v>2758</v>
      </c>
      <c r="G1916" s="52"/>
      <c r="H1916" s="52"/>
      <c r="I1916" s="52"/>
      <c r="J1916" s="52"/>
      <c r="K1916" s="59" t="s">
        <v>79</v>
      </c>
      <c r="L1916" s="52"/>
      <c r="M1916" s="52"/>
      <c r="N1916" s="52"/>
      <c r="O1916" s="52"/>
      <c r="P1916" s="76" t="s">
        <v>1756</v>
      </c>
      <c r="Q1916" s="55">
        <f>VLOOKUP(E1916,'NI-Soc_SP'!$C:$AN,12,FALSE)</f>
        <v>0</v>
      </c>
      <c r="R1916" s="55">
        <f>VLOOKUP(E1916,'NI-Soc_SP'!$C:$AN,13,FALSE)</f>
        <v>0</v>
      </c>
      <c r="S1916" s="55">
        <f>VLOOKUP(E1916,'NI-Soc_SP'!$C:$AN,31,FALSE)</f>
        <v>0</v>
      </c>
      <c r="T1916" s="55">
        <f>VLOOKUP(E1916,'NI-Soc_SP'!$C:$AN,32,FALSE)+VLOOKUP(E1916,'NI-Soc_SP'!$C:$AN,33,FALSE)</f>
        <v>0</v>
      </c>
      <c r="U1916" s="55">
        <f>VLOOKUP($E1916,'NI-Soc_SP'!$C:$AN,MID(U$1,1,2),FALSE)</f>
        <v>0</v>
      </c>
      <c r="V1916" s="55">
        <f>VLOOKUP($E1916,'NI-Soc_SP'!$C:$AN,MID(V$1,1,2),FALSE)</f>
        <v>0</v>
      </c>
      <c r="W1916" s="55">
        <f>VLOOKUP($E1916,'NI-Soc_SP'!$C:$AN,MID(W$1,1,2),FALSE)</f>
        <v>0</v>
      </c>
      <c r="X1916" s="55">
        <f>VLOOKUP($E1916,'NI-Soc_SP'!$C:$AN,MID(X$1,1,2),FALSE)</f>
        <v>0</v>
      </c>
      <c r="Y1916" s="55">
        <f>VLOOKUP($E1916,'NI-Soc_SP'!$C:$AN,MID(Y$1,1,2),FALSE)</f>
        <v>0</v>
      </c>
      <c r="Z1916" s="55">
        <f>VLOOKUP($E1916,'NI-Soc_SP'!$C:$AN,MID(Z$1,1,2),FALSE)</f>
        <v>0</v>
      </c>
      <c r="AA1916" s="55">
        <f>VLOOKUP($E1916,'NI-Soc_SP'!$C:$AN,MID(AA$1,1,2),FALSE)</f>
        <v>0</v>
      </c>
      <c r="AB1916" s="55">
        <f>VLOOKUP($E1916,'NI-Soc_SP'!$C:$AN,MID(AB$1,1,2),FALSE)</f>
        <v>0</v>
      </c>
      <c r="AC1916" s="55">
        <f>VLOOKUP($E1916,'NI-Soc_SP'!$C:$AN,MID(AC$1,1,2),FALSE)</f>
        <v>0</v>
      </c>
      <c r="AD1916" s="55">
        <f>VLOOKUP($E1916,'NI-Soc_SP'!$C:$AN,MID(AD$1,1,2),FALSE)</f>
        <v>0</v>
      </c>
      <c r="AE1916" s="55">
        <f>VLOOKUP($E1916,'NI-Soc_SP'!$C:$AN,MID(AE$1,1,2),FALSE)</f>
        <v>0</v>
      </c>
      <c r="AF1916" s="55">
        <f>VLOOKUP($E1916,'NI-Soc_SP'!$C:$AN,MID(AF$1,1,2),FALSE)</f>
        <v>0</v>
      </c>
      <c r="AG1916" s="55">
        <f>VLOOKUP($E1916,'NI-Soc_SP'!$C:$AN,MID(AG$1,1,2),FALSE)</f>
        <v>0</v>
      </c>
      <c r="AH1916" s="55">
        <f>VLOOKUP($E1916,'NI-Soc_SP'!$C:$AN,MID(AH$1,1,2),FALSE)</f>
        <v>0</v>
      </c>
      <c r="AI1916" s="55">
        <f>VLOOKUP($E1916,'NI-Soc_SP'!$C:$AN,MID(AI$1,1,2),FALSE)</f>
        <v>0</v>
      </c>
      <c r="AJ1916" s="55">
        <f>VLOOKUP($E1916,'NI-Soc_SP'!$C:$AN,MID(AJ$1,1,2),FALSE)</f>
        <v>0</v>
      </c>
      <c r="AK1916" s="55">
        <f>VLOOKUP($E1916,'NI-Soc_SP'!$C:$AN,MID(AK$1,1,2),FALSE)</f>
        <v>0</v>
      </c>
      <c r="AL1916" s="55">
        <f>VLOOKUP($E1916,'NI-Soc_SP'!$C:$AN,MID(AL$1,1,2),FALSE)</f>
        <v>0</v>
      </c>
      <c r="AM1916" s="56">
        <f>VLOOKUP($E1916,'NI-Soc_SP'!$C:$AN,MID(AM$1,1,2),FALSE)</f>
        <v>0</v>
      </c>
      <c r="AN1916" s="30" t="str">
        <f t="shared" si="29"/>
        <v>20207060020000</v>
      </c>
    </row>
    <row r="1917" spans="1:40" x14ac:dyDescent="0.25">
      <c r="C1917" s="40"/>
      <c r="D1917" s="121" t="s">
        <v>1757</v>
      </c>
      <c r="E1917" s="121" t="s">
        <v>1758</v>
      </c>
      <c r="F1917" s="122" t="s">
        <v>2758</v>
      </c>
      <c r="G1917" s="65"/>
      <c r="H1917" s="52"/>
      <c r="I1917" s="52"/>
      <c r="J1917" s="52"/>
      <c r="K1917" s="59" t="s">
        <v>111</v>
      </c>
      <c r="L1917" s="62"/>
      <c r="M1917" s="52"/>
      <c r="N1917" s="52"/>
      <c r="O1917" s="52"/>
      <c r="P1917" s="107" t="s">
        <v>1759</v>
      </c>
      <c r="Q1917" s="55">
        <f>VLOOKUP(E1917,'NI-Soc_SP'!$C:$AN,12,FALSE)</f>
        <v>0</v>
      </c>
      <c r="R1917" s="55">
        <f>VLOOKUP(E1917,'NI-Soc_SP'!$C:$AN,13,FALSE)</f>
        <v>0</v>
      </c>
      <c r="S1917" s="55">
        <f>VLOOKUP(E1917,'NI-Soc_SP'!$C:$AN,31,FALSE)</f>
        <v>0</v>
      </c>
      <c r="T1917" s="55">
        <f>VLOOKUP(E1917,'NI-Soc_SP'!$C:$AN,32,FALSE)+VLOOKUP(E1917,'NI-Soc_SP'!$C:$AN,33,FALSE)</f>
        <v>0</v>
      </c>
      <c r="U1917" s="55">
        <f>VLOOKUP($E1917,'NI-Soc_SP'!$C:$AN,MID(U$1,1,2),FALSE)</f>
        <v>0</v>
      </c>
      <c r="V1917" s="55">
        <f>VLOOKUP($E1917,'NI-Soc_SP'!$C:$AN,MID(V$1,1,2),FALSE)</f>
        <v>0</v>
      </c>
      <c r="W1917" s="55">
        <f>VLOOKUP($E1917,'NI-Soc_SP'!$C:$AN,MID(W$1,1,2),FALSE)</f>
        <v>0</v>
      </c>
      <c r="X1917" s="55">
        <f>VLOOKUP($E1917,'NI-Soc_SP'!$C:$AN,MID(X$1,1,2),FALSE)</f>
        <v>0</v>
      </c>
      <c r="Y1917" s="55">
        <f>VLOOKUP($E1917,'NI-Soc_SP'!$C:$AN,MID(Y$1,1,2),FALSE)</f>
        <v>0</v>
      </c>
      <c r="Z1917" s="55">
        <f>VLOOKUP($E1917,'NI-Soc_SP'!$C:$AN,MID(Z$1,1,2),FALSE)</f>
        <v>0</v>
      </c>
      <c r="AA1917" s="55">
        <f>VLOOKUP($E1917,'NI-Soc_SP'!$C:$AN,MID(AA$1,1,2),FALSE)</f>
        <v>0</v>
      </c>
      <c r="AB1917" s="55">
        <f>VLOOKUP($E1917,'NI-Soc_SP'!$C:$AN,MID(AB$1,1,2),FALSE)</f>
        <v>0</v>
      </c>
      <c r="AC1917" s="55">
        <f>VLOOKUP($E1917,'NI-Soc_SP'!$C:$AN,MID(AC$1,1,2),FALSE)</f>
        <v>0</v>
      </c>
      <c r="AD1917" s="55">
        <f>VLOOKUP($E1917,'NI-Soc_SP'!$C:$AN,MID(AD$1,1,2),FALSE)</f>
        <v>0</v>
      </c>
      <c r="AE1917" s="55">
        <f>VLOOKUP($E1917,'NI-Soc_SP'!$C:$AN,MID(AE$1,1,2),FALSE)</f>
        <v>0</v>
      </c>
      <c r="AF1917" s="55">
        <f>VLOOKUP($E1917,'NI-Soc_SP'!$C:$AN,MID(AF$1,1,2),FALSE)</f>
        <v>0</v>
      </c>
      <c r="AG1917" s="55">
        <f>VLOOKUP($E1917,'NI-Soc_SP'!$C:$AN,MID(AG$1,1,2),FALSE)</f>
        <v>0</v>
      </c>
      <c r="AH1917" s="55">
        <f>VLOOKUP($E1917,'NI-Soc_SP'!$C:$AN,MID(AH$1,1,2),FALSE)</f>
        <v>0</v>
      </c>
      <c r="AI1917" s="55">
        <f>VLOOKUP($E1917,'NI-Soc_SP'!$C:$AN,MID(AI$1,1,2),FALSE)</f>
        <v>0</v>
      </c>
      <c r="AJ1917" s="55">
        <f>VLOOKUP($E1917,'NI-Soc_SP'!$C:$AN,MID(AJ$1,1,2),FALSE)</f>
        <v>0</v>
      </c>
      <c r="AK1917" s="55">
        <f>VLOOKUP($E1917,'NI-Soc_SP'!$C:$AN,MID(AK$1,1,2),FALSE)</f>
        <v>0</v>
      </c>
      <c r="AL1917" s="55">
        <f>VLOOKUP($E1917,'NI-Soc_SP'!$C:$AN,MID(AL$1,1,2),FALSE)</f>
        <v>0</v>
      </c>
      <c r="AM1917" s="56">
        <f>VLOOKUP($E1917,'NI-Soc_SP'!$C:$AN,MID(AM$1,1,2),FALSE)</f>
        <v>0</v>
      </c>
      <c r="AN1917" s="30" t="str">
        <f t="shared" si="29"/>
        <v>20300000000000</v>
      </c>
    </row>
    <row r="1918" spans="1:40" x14ac:dyDescent="0.25">
      <c r="C1918" s="40"/>
      <c r="D1918" s="121" t="s">
        <v>1760</v>
      </c>
      <c r="E1918" s="121" t="s">
        <v>1761</v>
      </c>
      <c r="F1918" s="122" t="s">
        <v>2758</v>
      </c>
      <c r="G1918" s="65"/>
      <c r="H1918" s="52"/>
      <c r="I1918" s="52" t="s">
        <v>1762</v>
      </c>
      <c r="J1918" s="52"/>
      <c r="K1918" s="59" t="s">
        <v>79</v>
      </c>
      <c r="L1918" s="62" t="s">
        <v>1763</v>
      </c>
      <c r="M1918" s="52"/>
      <c r="N1918" s="52"/>
      <c r="O1918" s="61" t="s">
        <v>1764</v>
      </c>
      <c r="P1918" s="107" t="s">
        <v>1099</v>
      </c>
      <c r="Q1918" s="55">
        <f>VLOOKUP(E1918,'NI-Soc_SP'!$C:$AN,12,FALSE)</f>
        <v>0</v>
      </c>
      <c r="R1918" s="55">
        <f>VLOOKUP(E1918,'NI-Soc_SP'!$C:$AN,13,FALSE)</f>
        <v>0</v>
      </c>
      <c r="S1918" s="55">
        <f>VLOOKUP(E1918,'NI-Soc_SP'!$C:$AN,31,FALSE)</f>
        <v>0</v>
      </c>
      <c r="T1918" s="55">
        <f>VLOOKUP(E1918,'NI-Soc_SP'!$C:$AN,32,FALSE)+VLOOKUP(E1918,'NI-Soc_SP'!$C:$AN,33,FALSE)</f>
        <v>0</v>
      </c>
      <c r="U1918" s="55">
        <f>VLOOKUP($E1918,'NI-Soc_SP'!$C:$AN,MID(U$1,1,2),FALSE)</f>
        <v>0</v>
      </c>
      <c r="V1918" s="55">
        <f>VLOOKUP($E1918,'NI-Soc_SP'!$C:$AN,MID(V$1,1,2),FALSE)</f>
        <v>0</v>
      </c>
      <c r="W1918" s="55">
        <f>VLOOKUP($E1918,'NI-Soc_SP'!$C:$AN,MID(W$1,1,2),FALSE)</f>
        <v>0</v>
      </c>
      <c r="X1918" s="55">
        <f>VLOOKUP($E1918,'NI-Soc_SP'!$C:$AN,MID(X$1,1,2),FALSE)</f>
        <v>0</v>
      </c>
      <c r="Y1918" s="55">
        <f>VLOOKUP($E1918,'NI-Soc_SP'!$C:$AN,MID(Y$1,1,2),FALSE)</f>
        <v>0</v>
      </c>
      <c r="Z1918" s="55">
        <f>VLOOKUP($E1918,'NI-Soc_SP'!$C:$AN,MID(Z$1,1,2),FALSE)</f>
        <v>0</v>
      </c>
      <c r="AA1918" s="55">
        <f>VLOOKUP($E1918,'NI-Soc_SP'!$C:$AN,MID(AA$1,1,2),FALSE)</f>
        <v>0</v>
      </c>
      <c r="AB1918" s="55">
        <f>VLOOKUP($E1918,'NI-Soc_SP'!$C:$AN,MID(AB$1,1,2),FALSE)</f>
        <v>0</v>
      </c>
      <c r="AC1918" s="55">
        <f>VLOOKUP($E1918,'NI-Soc_SP'!$C:$AN,MID(AC$1,1,2),FALSE)</f>
        <v>0</v>
      </c>
      <c r="AD1918" s="55">
        <f>VLOOKUP($E1918,'NI-Soc_SP'!$C:$AN,MID(AD$1,1,2),FALSE)</f>
        <v>0</v>
      </c>
      <c r="AE1918" s="55">
        <f>VLOOKUP($E1918,'NI-Soc_SP'!$C:$AN,MID(AE$1,1,2),FALSE)</f>
        <v>0</v>
      </c>
      <c r="AF1918" s="55">
        <f>VLOOKUP($E1918,'NI-Soc_SP'!$C:$AN,MID(AF$1,1,2),FALSE)</f>
        <v>0</v>
      </c>
      <c r="AG1918" s="55">
        <f>VLOOKUP($E1918,'NI-Soc_SP'!$C:$AN,MID(AG$1,1,2),FALSE)</f>
        <v>0</v>
      </c>
      <c r="AH1918" s="55">
        <f>VLOOKUP($E1918,'NI-Soc_SP'!$C:$AN,MID(AH$1,1,2),FALSE)</f>
        <v>0</v>
      </c>
      <c r="AI1918" s="55">
        <f>VLOOKUP($E1918,'NI-Soc_SP'!$C:$AN,MID(AI$1,1,2),FALSE)</f>
        <v>0</v>
      </c>
      <c r="AJ1918" s="55">
        <f>VLOOKUP($E1918,'NI-Soc_SP'!$C:$AN,MID(AJ$1,1,2),FALSE)</f>
        <v>0</v>
      </c>
      <c r="AK1918" s="55">
        <f>VLOOKUP($E1918,'NI-Soc_SP'!$C:$AN,MID(AK$1,1,2),FALSE)</f>
        <v>0</v>
      </c>
      <c r="AL1918" s="55">
        <f>VLOOKUP($E1918,'NI-Soc_SP'!$C:$AN,MID(AL$1,1,2),FALSE)</f>
        <v>0</v>
      </c>
      <c r="AM1918" s="56">
        <f>VLOOKUP($E1918,'NI-Soc_SP'!$C:$AN,MID(AM$1,1,2),FALSE)</f>
        <v>0</v>
      </c>
      <c r="AN1918" s="30" t="str">
        <f t="shared" si="29"/>
        <v>20301010000000</v>
      </c>
    </row>
    <row r="1919" spans="1:40" x14ac:dyDescent="0.25">
      <c r="C1919" s="40"/>
      <c r="D1919" s="121" t="s">
        <v>1765</v>
      </c>
      <c r="E1919" s="121" t="s">
        <v>1766</v>
      </c>
      <c r="F1919" s="122" t="s">
        <v>2758</v>
      </c>
      <c r="G1919" s="51"/>
      <c r="H1919" s="52"/>
      <c r="I1919" s="52" t="s">
        <v>1762</v>
      </c>
      <c r="J1919" s="52"/>
      <c r="K1919" s="53" t="s">
        <v>79</v>
      </c>
      <c r="L1919" s="62" t="s">
        <v>1763</v>
      </c>
      <c r="M1919" s="52"/>
      <c r="N1919" s="52"/>
      <c r="O1919" s="61" t="s">
        <v>1764</v>
      </c>
      <c r="P1919" s="54" t="s">
        <v>1102</v>
      </c>
      <c r="Q1919" s="55">
        <f>VLOOKUP(E1919,'NI-Soc_SP'!$C:$AN,12,FALSE)</f>
        <v>0</v>
      </c>
      <c r="R1919" s="55">
        <f>VLOOKUP(E1919,'NI-Soc_SP'!$C:$AN,13,FALSE)</f>
        <v>0</v>
      </c>
      <c r="S1919" s="55">
        <f>VLOOKUP(E1919,'NI-Soc_SP'!$C:$AN,31,FALSE)</f>
        <v>0</v>
      </c>
      <c r="T1919" s="55">
        <f>VLOOKUP(E1919,'NI-Soc_SP'!$C:$AN,32,FALSE)+VLOOKUP(E1919,'NI-Soc_SP'!$C:$AN,33,FALSE)</f>
        <v>0</v>
      </c>
      <c r="U1919" s="55">
        <f>VLOOKUP($E1919,'NI-Soc_SP'!$C:$AN,MID(U$1,1,2),FALSE)</f>
        <v>0</v>
      </c>
      <c r="V1919" s="55">
        <f>VLOOKUP($E1919,'NI-Soc_SP'!$C:$AN,MID(V$1,1,2),FALSE)</f>
        <v>0</v>
      </c>
      <c r="W1919" s="55">
        <f>VLOOKUP($E1919,'NI-Soc_SP'!$C:$AN,MID(W$1,1,2),FALSE)</f>
        <v>0</v>
      </c>
      <c r="X1919" s="55">
        <f>VLOOKUP($E1919,'NI-Soc_SP'!$C:$AN,MID(X$1,1,2),FALSE)</f>
        <v>0</v>
      </c>
      <c r="Y1919" s="55">
        <f>VLOOKUP($E1919,'NI-Soc_SP'!$C:$AN,MID(Y$1,1,2),FALSE)</f>
        <v>0</v>
      </c>
      <c r="Z1919" s="55">
        <f>VLOOKUP($E1919,'NI-Soc_SP'!$C:$AN,MID(Z$1,1,2),FALSE)</f>
        <v>0</v>
      </c>
      <c r="AA1919" s="55">
        <f>VLOOKUP($E1919,'NI-Soc_SP'!$C:$AN,MID(AA$1,1,2),FALSE)</f>
        <v>0</v>
      </c>
      <c r="AB1919" s="55">
        <f>VLOOKUP($E1919,'NI-Soc_SP'!$C:$AN,MID(AB$1,1,2),FALSE)</f>
        <v>0</v>
      </c>
      <c r="AC1919" s="55">
        <f>VLOOKUP($E1919,'NI-Soc_SP'!$C:$AN,MID(AC$1,1,2),FALSE)</f>
        <v>0</v>
      </c>
      <c r="AD1919" s="55">
        <f>VLOOKUP($E1919,'NI-Soc_SP'!$C:$AN,MID(AD$1,1,2),FALSE)</f>
        <v>0</v>
      </c>
      <c r="AE1919" s="55">
        <f>VLOOKUP($E1919,'NI-Soc_SP'!$C:$AN,MID(AE$1,1,2),FALSE)</f>
        <v>0</v>
      </c>
      <c r="AF1919" s="55">
        <f>VLOOKUP($E1919,'NI-Soc_SP'!$C:$AN,MID(AF$1,1,2),FALSE)</f>
        <v>0</v>
      </c>
      <c r="AG1919" s="55">
        <f>VLOOKUP($E1919,'NI-Soc_SP'!$C:$AN,MID(AG$1,1,2),FALSE)</f>
        <v>0</v>
      </c>
      <c r="AH1919" s="55">
        <f>VLOOKUP($E1919,'NI-Soc_SP'!$C:$AN,MID(AH$1,1,2),FALSE)</f>
        <v>0</v>
      </c>
      <c r="AI1919" s="55">
        <f>VLOOKUP($E1919,'NI-Soc_SP'!$C:$AN,MID(AI$1,1,2),FALSE)</f>
        <v>0</v>
      </c>
      <c r="AJ1919" s="55">
        <f>VLOOKUP($E1919,'NI-Soc_SP'!$C:$AN,MID(AJ$1,1,2),FALSE)</f>
        <v>0</v>
      </c>
      <c r="AK1919" s="55">
        <f>VLOOKUP($E1919,'NI-Soc_SP'!$C:$AN,MID(AK$1,1,2),FALSE)</f>
        <v>0</v>
      </c>
      <c r="AL1919" s="55">
        <f>VLOOKUP($E1919,'NI-Soc_SP'!$C:$AN,MID(AL$1,1,2),FALSE)</f>
        <v>0</v>
      </c>
      <c r="AM1919" s="56">
        <f>VLOOKUP($E1919,'NI-Soc_SP'!$C:$AN,MID(AM$1,1,2),FALSE)</f>
        <v>0</v>
      </c>
      <c r="AN1919" s="30" t="str">
        <f t="shared" si="29"/>
        <v>20301020000000</v>
      </c>
    </row>
    <row r="1920" spans="1:40" x14ac:dyDescent="0.25">
      <c r="C1920" s="40"/>
      <c r="D1920" s="121" t="s">
        <v>1767</v>
      </c>
      <c r="E1920" s="121" t="s">
        <v>1768</v>
      </c>
      <c r="F1920" s="122" t="s">
        <v>2758</v>
      </c>
      <c r="G1920" s="52"/>
      <c r="H1920" s="52"/>
      <c r="I1920" s="52" t="s">
        <v>1762</v>
      </c>
      <c r="J1920" s="52"/>
      <c r="K1920" s="59" t="s">
        <v>79</v>
      </c>
      <c r="L1920" s="52" t="s">
        <v>1763</v>
      </c>
      <c r="M1920" s="52"/>
      <c r="N1920" s="52"/>
      <c r="O1920" s="61" t="s">
        <v>1764</v>
      </c>
      <c r="P1920" s="60" t="s">
        <v>1105</v>
      </c>
      <c r="Q1920" s="55">
        <f>VLOOKUP(E1920,'NI-Soc_SP'!$C:$AN,12,FALSE)</f>
        <v>0</v>
      </c>
      <c r="R1920" s="55">
        <f>VLOOKUP(E1920,'NI-Soc_SP'!$C:$AN,13,FALSE)</f>
        <v>0</v>
      </c>
      <c r="S1920" s="55">
        <f>VLOOKUP(E1920,'NI-Soc_SP'!$C:$AN,31,FALSE)</f>
        <v>0</v>
      </c>
      <c r="T1920" s="55">
        <f>VLOOKUP(E1920,'NI-Soc_SP'!$C:$AN,32,FALSE)+VLOOKUP(E1920,'NI-Soc_SP'!$C:$AN,33,FALSE)</f>
        <v>0</v>
      </c>
      <c r="U1920" s="55">
        <f>VLOOKUP($E1920,'NI-Soc_SP'!$C:$AN,MID(U$1,1,2),FALSE)</f>
        <v>0</v>
      </c>
      <c r="V1920" s="55">
        <f>VLOOKUP($E1920,'NI-Soc_SP'!$C:$AN,MID(V$1,1,2),FALSE)</f>
        <v>0</v>
      </c>
      <c r="W1920" s="55">
        <f>VLOOKUP($E1920,'NI-Soc_SP'!$C:$AN,MID(W$1,1,2),FALSE)</f>
        <v>0</v>
      </c>
      <c r="X1920" s="55">
        <f>VLOOKUP($E1920,'NI-Soc_SP'!$C:$AN,MID(X$1,1,2),FALSE)</f>
        <v>0</v>
      </c>
      <c r="Y1920" s="55">
        <f>VLOOKUP($E1920,'NI-Soc_SP'!$C:$AN,MID(Y$1,1,2),FALSE)</f>
        <v>0</v>
      </c>
      <c r="Z1920" s="55">
        <f>VLOOKUP($E1920,'NI-Soc_SP'!$C:$AN,MID(Z$1,1,2),FALSE)</f>
        <v>0</v>
      </c>
      <c r="AA1920" s="55">
        <f>VLOOKUP($E1920,'NI-Soc_SP'!$C:$AN,MID(AA$1,1,2),FALSE)</f>
        <v>0</v>
      </c>
      <c r="AB1920" s="55">
        <f>VLOOKUP($E1920,'NI-Soc_SP'!$C:$AN,MID(AB$1,1,2),FALSE)</f>
        <v>0</v>
      </c>
      <c r="AC1920" s="55">
        <f>VLOOKUP($E1920,'NI-Soc_SP'!$C:$AN,MID(AC$1,1,2),FALSE)</f>
        <v>0</v>
      </c>
      <c r="AD1920" s="55">
        <f>VLOOKUP($E1920,'NI-Soc_SP'!$C:$AN,MID(AD$1,1,2),FALSE)</f>
        <v>0</v>
      </c>
      <c r="AE1920" s="55">
        <f>VLOOKUP($E1920,'NI-Soc_SP'!$C:$AN,MID(AE$1,1,2),FALSE)</f>
        <v>0</v>
      </c>
      <c r="AF1920" s="55">
        <f>VLOOKUP($E1920,'NI-Soc_SP'!$C:$AN,MID(AF$1,1,2),FALSE)</f>
        <v>0</v>
      </c>
      <c r="AG1920" s="55">
        <f>VLOOKUP($E1920,'NI-Soc_SP'!$C:$AN,MID(AG$1,1,2),FALSE)</f>
        <v>0</v>
      </c>
      <c r="AH1920" s="55">
        <f>VLOOKUP($E1920,'NI-Soc_SP'!$C:$AN,MID(AH$1,1,2),FALSE)</f>
        <v>0</v>
      </c>
      <c r="AI1920" s="55">
        <f>VLOOKUP($E1920,'NI-Soc_SP'!$C:$AN,MID(AI$1,1,2),FALSE)</f>
        <v>0</v>
      </c>
      <c r="AJ1920" s="55">
        <f>VLOOKUP($E1920,'NI-Soc_SP'!$C:$AN,MID(AJ$1,1,2),FALSE)</f>
        <v>0</v>
      </c>
      <c r="AK1920" s="55">
        <f>VLOOKUP($E1920,'NI-Soc_SP'!$C:$AN,MID(AK$1,1,2),FALSE)</f>
        <v>0</v>
      </c>
      <c r="AL1920" s="55">
        <f>VLOOKUP($E1920,'NI-Soc_SP'!$C:$AN,MID(AL$1,1,2),FALSE)</f>
        <v>0</v>
      </c>
      <c r="AM1920" s="56">
        <f>VLOOKUP($E1920,'NI-Soc_SP'!$C:$AN,MID(AM$1,1,2),FALSE)</f>
        <v>0</v>
      </c>
      <c r="AN1920" s="30" t="str">
        <f t="shared" si="29"/>
        <v>20301030000000</v>
      </c>
    </row>
    <row r="1921" spans="3:40" x14ac:dyDescent="0.25">
      <c r="C1921" s="40"/>
      <c r="D1921" s="121" t="s">
        <v>1769</v>
      </c>
      <c r="E1921" s="121" t="s">
        <v>1770</v>
      </c>
      <c r="F1921" s="122" t="s">
        <v>2758</v>
      </c>
      <c r="G1921" s="52"/>
      <c r="H1921" s="52"/>
      <c r="I1921" s="52" t="s">
        <v>1771</v>
      </c>
      <c r="J1921" s="52"/>
      <c r="K1921" s="59" t="s">
        <v>79</v>
      </c>
      <c r="L1921" s="52" t="s">
        <v>1772</v>
      </c>
      <c r="M1921" s="52"/>
      <c r="N1921" s="52"/>
      <c r="O1921" s="61" t="s">
        <v>1773</v>
      </c>
      <c r="P1921" s="107" t="s">
        <v>1774</v>
      </c>
      <c r="Q1921" s="55">
        <f>VLOOKUP(E1921,'NI-Soc_SP'!$C:$AN,12,FALSE)</f>
        <v>0</v>
      </c>
      <c r="R1921" s="55">
        <f>VLOOKUP(E1921,'NI-Soc_SP'!$C:$AN,13,FALSE)</f>
        <v>0</v>
      </c>
      <c r="S1921" s="55">
        <f>VLOOKUP(E1921,'NI-Soc_SP'!$C:$AN,31,FALSE)</f>
        <v>0</v>
      </c>
      <c r="T1921" s="55">
        <f>VLOOKUP(E1921,'NI-Soc_SP'!$C:$AN,32,FALSE)+VLOOKUP(E1921,'NI-Soc_SP'!$C:$AN,33,FALSE)</f>
        <v>0</v>
      </c>
      <c r="U1921" s="55">
        <f>VLOOKUP($E1921,'NI-Soc_SP'!$C:$AN,MID(U$1,1,2),FALSE)</f>
        <v>0</v>
      </c>
      <c r="V1921" s="55">
        <f>VLOOKUP($E1921,'NI-Soc_SP'!$C:$AN,MID(V$1,1,2),FALSE)</f>
        <v>0</v>
      </c>
      <c r="W1921" s="55">
        <f>VLOOKUP($E1921,'NI-Soc_SP'!$C:$AN,MID(W$1,1,2),FALSE)</f>
        <v>0</v>
      </c>
      <c r="X1921" s="55">
        <f>VLOOKUP($E1921,'NI-Soc_SP'!$C:$AN,MID(X$1,1,2),FALSE)</f>
        <v>0</v>
      </c>
      <c r="Y1921" s="55">
        <f>VLOOKUP($E1921,'NI-Soc_SP'!$C:$AN,MID(Y$1,1,2),FALSE)</f>
        <v>0</v>
      </c>
      <c r="Z1921" s="55">
        <f>VLOOKUP($E1921,'NI-Soc_SP'!$C:$AN,MID(Z$1,1,2),FALSE)</f>
        <v>0</v>
      </c>
      <c r="AA1921" s="55">
        <f>VLOOKUP($E1921,'NI-Soc_SP'!$C:$AN,MID(AA$1,1,2),FALSE)</f>
        <v>0</v>
      </c>
      <c r="AB1921" s="55">
        <f>VLOOKUP($E1921,'NI-Soc_SP'!$C:$AN,MID(AB$1,1,2),FALSE)</f>
        <v>0</v>
      </c>
      <c r="AC1921" s="55">
        <f>VLOOKUP($E1921,'NI-Soc_SP'!$C:$AN,MID(AC$1,1,2),FALSE)</f>
        <v>0</v>
      </c>
      <c r="AD1921" s="55">
        <f>VLOOKUP($E1921,'NI-Soc_SP'!$C:$AN,MID(AD$1,1,2),FALSE)</f>
        <v>0</v>
      </c>
      <c r="AE1921" s="55">
        <f>VLOOKUP($E1921,'NI-Soc_SP'!$C:$AN,MID(AE$1,1,2),FALSE)</f>
        <v>0</v>
      </c>
      <c r="AF1921" s="55">
        <f>VLOOKUP($E1921,'NI-Soc_SP'!$C:$AN,MID(AF$1,1,2),FALSE)</f>
        <v>0</v>
      </c>
      <c r="AG1921" s="55">
        <f>VLOOKUP($E1921,'NI-Soc_SP'!$C:$AN,MID(AG$1,1,2),FALSE)</f>
        <v>0</v>
      </c>
      <c r="AH1921" s="55">
        <f>VLOOKUP($E1921,'NI-Soc_SP'!$C:$AN,MID(AH$1,1,2),FALSE)</f>
        <v>0</v>
      </c>
      <c r="AI1921" s="55">
        <f>VLOOKUP($E1921,'NI-Soc_SP'!$C:$AN,MID(AI$1,1,2),FALSE)</f>
        <v>0</v>
      </c>
      <c r="AJ1921" s="55">
        <f>VLOOKUP($E1921,'NI-Soc_SP'!$C:$AN,MID(AJ$1,1,2),FALSE)</f>
        <v>0</v>
      </c>
      <c r="AK1921" s="55">
        <f>VLOOKUP($E1921,'NI-Soc_SP'!$C:$AN,MID(AK$1,1,2),FALSE)</f>
        <v>0</v>
      </c>
      <c r="AL1921" s="55">
        <f>VLOOKUP($E1921,'NI-Soc_SP'!$C:$AN,MID(AL$1,1,2),FALSE)</f>
        <v>0</v>
      </c>
      <c r="AM1921" s="56">
        <f>VLOOKUP($E1921,'NI-Soc_SP'!$C:$AN,MID(AM$1,1,2),FALSE)</f>
        <v>0</v>
      </c>
      <c r="AN1921" s="30" t="str">
        <f t="shared" si="29"/>
        <v>20302000000000</v>
      </c>
    </row>
    <row r="1922" spans="3:40" x14ac:dyDescent="0.25">
      <c r="C1922" s="40"/>
      <c r="D1922" s="121" t="s">
        <v>1775</v>
      </c>
      <c r="E1922" s="121" t="s">
        <v>1776</v>
      </c>
      <c r="F1922" s="122" t="s">
        <v>2758</v>
      </c>
      <c r="G1922" s="52"/>
      <c r="H1922" s="52"/>
      <c r="I1922" s="52"/>
      <c r="J1922" s="52"/>
      <c r="K1922" s="59" t="s">
        <v>111</v>
      </c>
      <c r="L1922" s="52"/>
      <c r="M1922" s="52"/>
      <c r="N1922" s="52"/>
      <c r="O1922" s="52"/>
      <c r="P1922" s="107" t="s">
        <v>1777</v>
      </c>
      <c r="Q1922" s="55">
        <f>VLOOKUP(E1922,'NI-Soc_SP'!$C:$AN,12,FALSE)</f>
        <v>0</v>
      </c>
      <c r="R1922" s="55">
        <f>VLOOKUP(E1922,'NI-Soc_SP'!$C:$AN,13,FALSE)</f>
        <v>0</v>
      </c>
      <c r="S1922" s="55">
        <f>VLOOKUP(E1922,'NI-Soc_SP'!$C:$AN,31,FALSE)</f>
        <v>0</v>
      </c>
      <c r="T1922" s="55">
        <f>VLOOKUP(E1922,'NI-Soc_SP'!$C:$AN,32,FALSE)+VLOOKUP(E1922,'NI-Soc_SP'!$C:$AN,33,FALSE)</f>
        <v>0</v>
      </c>
      <c r="U1922" s="55">
        <f>VLOOKUP($E1922,'NI-Soc_SP'!$C:$AN,MID(U$1,1,2),FALSE)</f>
        <v>0</v>
      </c>
      <c r="V1922" s="55">
        <f>VLOOKUP($E1922,'NI-Soc_SP'!$C:$AN,MID(V$1,1,2),FALSE)</f>
        <v>0</v>
      </c>
      <c r="W1922" s="55">
        <f>VLOOKUP($E1922,'NI-Soc_SP'!$C:$AN,MID(W$1,1,2),FALSE)</f>
        <v>0</v>
      </c>
      <c r="X1922" s="55">
        <f>VLOOKUP($E1922,'NI-Soc_SP'!$C:$AN,MID(X$1,1,2),FALSE)</f>
        <v>0</v>
      </c>
      <c r="Y1922" s="55">
        <f>VLOOKUP($E1922,'NI-Soc_SP'!$C:$AN,MID(Y$1,1,2),FALSE)</f>
        <v>0</v>
      </c>
      <c r="Z1922" s="55">
        <f>VLOOKUP($E1922,'NI-Soc_SP'!$C:$AN,MID(Z$1,1,2),FALSE)</f>
        <v>0</v>
      </c>
      <c r="AA1922" s="55">
        <f>VLOOKUP($E1922,'NI-Soc_SP'!$C:$AN,MID(AA$1,1,2),FALSE)</f>
        <v>0</v>
      </c>
      <c r="AB1922" s="55">
        <f>VLOOKUP($E1922,'NI-Soc_SP'!$C:$AN,MID(AB$1,1,2),FALSE)</f>
        <v>0</v>
      </c>
      <c r="AC1922" s="55">
        <f>VLOOKUP($E1922,'NI-Soc_SP'!$C:$AN,MID(AC$1,1,2),FALSE)</f>
        <v>0</v>
      </c>
      <c r="AD1922" s="55">
        <f>VLOOKUP($E1922,'NI-Soc_SP'!$C:$AN,MID(AD$1,1,2),FALSE)</f>
        <v>0</v>
      </c>
      <c r="AE1922" s="55">
        <f>VLOOKUP($E1922,'NI-Soc_SP'!$C:$AN,MID(AE$1,1,2),FALSE)</f>
        <v>0</v>
      </c>
      <c r="AF1922" s="55">
        <f>VLOOKUP($E1922,'NI-Soc_SP'!$C:$AN,MID(AF$1,1,2),FALSE)</f>
        <v>0</v>
      </c>
      <c r="AG1922" s="55">
        <f>VLOOKUP($E1922,'NI-Soc_SP'!$C:$AN,MID(AG$1,1,2),FALSE)</f>
        <v>0</v>
      </c>
      <c r="AH1922" s="55">
        <f>VLOOKUP($E1922,'NI-Soc_SP'!$C:$AN,MID(AH$1,1,2),FALSE)</f>
        <v>0</v>
      </c>
      <c r="AI1922" s="55">
        <f>VLOOKUP($E1922,'NI-Soc_SP'!$C:$AN,MID(AI$1,1,2),FALSE)</f>
        <v>0</v>
      </c>
      <c r="AJ1922" s="55">
        <f>VLOOKUP($E1922,'NI-Soc_SP'!$C:$AN,MID(AJ$1,1,2),FALSE)</f>
        <v>0</v>
      </c>
      <c r="AK1922" s="55">
        <f>VLOOKUP($E1922,'NI-Soc_SP'!$C:$AN,MID(AK$1,1,2),FALSE)</f>
        <v>0</v>
      </c>
      <c r="AL1922" s="55">
        <f>VLOOKUP($E1922,'NI-Soc_SP'!$C:$AN,MID(AL$1,1,2),FALSE)</f>
        <v>0</v>
      </c>
      <c r="AM1922" s="56">
        <f>VLOOKUP($E1922,'NI-Soc_SP'!$C:$AN,MID(AM$1,1,2),FALSE)</f>
        <v>0</v>
      </c>
      <c r="AN1922" s="30" t="str">
        <f t="shared" ref="AN1922:AN1985" si="30">D1922</f>
        <v>20400000000000</v>
      </c>
    </row>
    <row r="1923" spans="3:40" x14ac:dyDescent="0.25">
      <c r="C1923" s="40"/>
      <c r="D1923" s="121" t="s">
        <v>1778</v>
      </c>
      <c r="E1923" s="121" t="s">
        <v>1779</v>
      </c>
      <c r="F1923" s="122" t="s">
        <v>2758</v>
      </c>
      <c r="G1923" s="52"/>
      <c r="H1923" s="52"/>
      <c r="I1923" s="52" t="s">
        <v>1780</v>
      </c>
      <c r="J1923" s="52"/>
      <c r="K1923" s="59" t="s">
        <v>79</v>
      </c>
      <c r="L1923" s="52" t="s">
        <v>1781</v>
      </c>
      <c r="M1923" s="52"/>
      <c r="N1923" s="52"/>
      <c r="O1923" s="61" t="s">
        <v>1782</v>
      </c>
      <c r="P1923" s="108" t="s">
        <v>1783</v>
      </c>
      <c r="Q1923" s="55">
        <f>VLOOKUP(E1923,'NI-Soc_SP'!$C:$AN,12,FALSE)</f>
        <v>0</v>
      </c>
      <c r="R1923" s="55">
        <f>VLOOKUP(E1923,'NI-Soc_SP'!$C:$AN,13,FALSE)</f>
        <v>0</v>
      </c>
      <c r="S1923" s="55">
        <f>VLOOKUP(E1923,'NI-Soc_SP'!$C:$AN,31,FALSE)</f>
        <v>0</v>
      </c>
      <c r="T1923" s="55">
        <f>VLOOKUP(E1923,'NI-Soc_SP'!$C:$AN,32,FALSE)+VLOOKUP(E1923,'NI-Soc_SP'!$C:$AN,33,FALSE)</f>
        <v>0</v>
      </c>
      <c r="U1923" s="55">
        <f>VLOOKUP($E1923,'NI-Soc_SP'!$C:$AN,MID(U$1,1,2),FALSE)</f>
        <v>0</v>
      </c>
      <c r="V1923" s="55">
        <f>VLOOKUP($E1923,'NI-Soc_SP'!$C:$AN,MID(V$1,1,2),FALSE)</f>
        <v>0</v>
      </c>
      <c r="W1923" s="55">
        <f>VLOOKUP($E1923,'NI-Soc_SP'!$C:$AN,MID(W$1,1,2),FALSE)</f>
        <v>0</v>
      </c>
      <c r="X1923" s="55">
        <f>VLOOKUP($E1923,'NI-Soc_SP'!$C:$AN,MID(X$1,1,2),FALSE)</f>
        <v>0</v>
      </c>
      <c r="Y1923" s="55">
        <f>VLOOKUP($E1923,'NI-Soc_SP'!$C:$AN,MID(Y$1,1,2),FALSE)</f>
        <v>0</v>
      </c>
      <c r="Z1923" s="55">
        <f>VLOOKUP($E1923,'NI-Soc_SP'!$C:$AN,MID(Z$1,1,2),FALSE)</f>
        <v>0</v>
      </c>
      <c r="AA1923" s="55">
        <f>VLOOKUP($E1923,'NI-Soc_SP'!$C:$AN,MID(AA$1,1,2),FALSE)</f>
        <v>0</v>
      </c>
      <c r="AB1923" s="55">
        <f>VLOOKUP($E1923,'NI-Soc_SP'!$C:$AN,MID(AB$1,1,2),FALSE)</f>
        <v>0</v>
      </c>
      <c r="AC1923" s="55">
        <f>VLOOKUP($E1923,'NI-Soc_SP'!$C:$AN,MID(AC$1,1,2),FALSE)</f>
        <v>0</v>
      </c>
      <c r="AD1923" s="55">
        <f>VLOOKUP($E1923,'NI-Soc_SP'!$C:$AN,MID(AD$1,1,2),FALSE)</f>
        <v>0</v>
      </c>
      <c r="AE1923" s="55">
        <f>VLOOKUP($E1923,'NI-Soc_SP'!$C:$AN,MID(AE$1,1,2),FALSE)</f>
        <v>0</v>
      </c>
      <c r="AF1923" s="55">
        <f>VLOOKUP($E1923,'NI-Soc_SP'!$C:$AN,MID(AF$1,1,2),FALSE)</f>
        <v>0</v>
      </c>
      <c r="AG1923" s="55">
        <f>VLOOKUP($E1923,'NI-Soc_SP'!$C:$AN,MID(AG$1,1,2),FALSE)</f>
        <v>0</v>
      </c>
      <c r="AH1923" s="55">
        <f>VLOOKUP($E1923,'NI-Soc_SP'!$C:$AN,MID(AH$1,1,2),FALSE)</f>
        <v>0</v>
      </c>
      <c r="AI1923" s="55">
        <f>VLOOKUP($E1923,'NI-Soc_SP'!$C:$AN,MID(AI$1,1,2),FALSE)</f>
        <v>0</v>
      </c>
      <c r="AJ1923" s="55">
        <f>VLOOKUP($E1923,'NI-Soc_SP'!$C:$AN,MID(AJ$1,1,2),FALSE)</f>
        <v>0</v>
      </c>
      <c r="AK1923" s="55">
        <f>VLOOKUP($E1923,'NI-Soc_SP'!$C:$AN,MID(AK$1,1,2),FALSE)</f>
        <v>0</v>
      </c>
      <c r="AL1923" s="55">
        <f>VLOOKUP($E1923,'NI-Soc_SP'!$C:$AN,MID(AL$1,1,2),FALSE)</f>
        <v>0</v>
      </c>
      <c r="AM1923" s="56">
        <f>VLOOKUP($E1923,'NI-Soc_SP'!$C:$AN,MID(AM$1,1,2),FALSE)</f>
        <v>0</v>
      </c>
      <c r="AN1923" s="30" t="str">
        <f t="shared" si="30"/>
        <v>20401000000000</v>
      </c>
    </row>
    <row r="1924" spans="3:40" x14ac:dyDescent="0.25">
      <c r="C1924" s="40"/>
      <c r="D1924" s="121" t="s">
        <v>1784</v>
      </c>
      <c r="E1924" s="121" t="s">
        <v>1785</v>
      </c>
      <c r="F1924" s="122" t="s">
        <v>2758</v>
      </c>
      <c r="G1924" s="52"/>
      <c r="H1924" s="52"/>
      <c r="I1924" s="52" t="s">
        <v>1786</v>
      </c>
      <c r="J1924" s="52"/>
      <c r="K1924" s="59" t="s">
        <v>79</v>
      </c>
      <c r="L1924" s="52" t="s">
        <v>1787</v>
      </c>
      <c r="M1924" s="52"/>
      <c r="N1924" s="52"/>
      <c r="O1924" s="61" t="s">
        <v>1788</v>
      </c>
      <c r="P1924" s="109" t="s">
        <v>1789</v>
      </c>
      <c r="Q1924" s="55">
        <f>VLOOKUP(E1924,'NI-Soc_SP'!$C:$AN,12,FALSE)</f>
        <v>0</v>
      </c>
      <c r="R1924" s="55">
        <f>VLOOKUP(E1924,'NI-Soc_SP'!$C:$AN,13,FALSE)</f>
        <v>0</v>
      </c>
      <c r="S1924" s="55">
        <f>VLOOKUP(E1924,'NI-Soc_SP'!$C:$AN,31,FALSE)</f>
        <v>0</v>
      </c>
      <c r="T1924" s="55">
        <f>VLOOKUP(E1924,'NI-Soc_SP'!$C:$AN,32,FALSE)+VLOOKUP(E1924,'NI-Soc_SP'!$C:$AN,33,FALSE)</f>
        <v>0</v>
      </c>
      <c r="U1924" s="55">
        <f>VLOOKUP($E1924,'NI-Soc_SP'!$C:$AN,MID(U$1,1,2),FALSE)</f>
        <v>0</v>
      </c>
      <c r="V1924" s="55">
        <f>VLOOKUP($E1924,'NI-Soc_SP'!$C:$AN,MID(V$1,1,2),FALSE)</f>
        <v>0</v>
      </c>
      <c r="W1924" s="55">
        <f>VLOOKUP($E1924,'NI-Soc_SP'!$C:$AN,MID(W$1,1,2),FALSE)</f>
        <v>0</v>
      </c>
      <c r="X1924" s="55">
        <f>VLOOKUP($E1924,'NI-Soc_SP'!$C:$AN,MID(X$1,1,2),FALSE)</f>
        <v>0</v>
      </c>
      <c r="Y1924" s="55">
        <f>VLOOKUP($E1924,'NI-Soc_SP'!$C:$AN,MID(Y$1,1,2),FALSE)</f>
        <v>0</v>
      </c>
      <c r="Z1924" s="55">
        <f>VLOOKUP($E1924,'NI-Soc_SP'!$C:$AN,MID(Z$1,1,2),FALSE)</f>
        <v>0</v>
      </c>
      <c r="AA1924" s="55">
        <f>VLOOKUP($E1924,'NI-Soc_SP'!$C:$AN,MID(AA$1,1,2),FALSE)</f>
        <v>0</v>
      </c>
      <c r="AB1924" s="55">
        <f>VLOOKUP($E1924,'NI-Soc_SP'!$C:$AN,MID(AB$1,1,2),FALSE)</f>
        <v>0</v>
      </c>
      <c r="AC1924" s="55">
        <f>VLOOKUP($E1924,'NI-Soc_SP'!$C:$AN,MID(AC$1,1,2),FALSE)</f>
        <v>0</v>
      </c>
      <c r="AD1924" s="55">
        <f>VLOOKUP($E1924,'NI-Soc_SP'!$C:$AN,MID(AD$1,1,2),FALSE)</f>
        <v>0</v>
      </c>
      <c r="AE1924" s="55">
        <f>VLOOKUP($E1924,'NI-Soc_SP'!$C:$AN,MID(AE$1,1,2),FALSE)</f>
        <v>0</v>
      </c>
      <c r="AF1924" s="55">
        <f>VLOOKUP($E1924,'NI-Soc_SP'!$C:$AN,MID(AF$1,1,2),FALSE)</f>
        <v>0</v>
      </c>
      <c r="AG1924" s="55">
        <f>VLOOKUP($E1924,'NI-Soc_SP'!$C:$AN,MID(AG$1,1,2),FALSE)</f>
        <v>0</v>
      </c>
      <c r="AH1924" s="55">
        <f>VLOOKUP($E1924,'NI-Soc_SP'!$C:$AN,MID(AH$1,1,2),FALSE)</f>
        <v>0</v>
      </c>
      <c r="AI1924" s="55">
        <f>VLOOKUP($E1924,'NI-Soc_SP'!$C:$AN,MID(AI$1,1,2),FALSE)</f>
        <v>0</v>
      </c>
      <c r="AJ1924" s="55">
        <f>VLOOKUP($E1924,'NI-Soc_SP'!$C:$AN,MID(AJ$1,1,2),FALSE)</f>
        <v>0</v>
      </c>
      <c r="AK1924" s="55">
        <f>VLOOKUP($E1924,'NI-Soc_SP'!$C:$AN,MID(AK$1,1,2),FALSE)</f>
        <v>0</v>
      </c>
      <c r="AL1924" s="55">
        <f>VLOOKUP($E1924,'NI-Soc_SP'!$C:$AN,MID(AL$1,1,2),FALSE)</f>
        <v>0</v>
      </c>
      <c r="AM1924" s="56">
        <f>VLOOKUP($E1924,'NI-Soc_SP'!$C:$AN,MID(AM$1,1,2),FALSE)</f>
        <v>0</v>
      </c>
      <c r="AN1924" s="30" t="str">
        <f t="shared" si="30"/>
        <v>20402000000000</v>
      </c>
    </row>
    <row r="1925" spans="3:40" x14ac:dyDescent="0.25">
      <c r="C1925" s="40"/>
      <c r="D1925" s="121" t="s">
        <v>1790</v>
      </c>
      <c r="E1925" s="121" t="s">
        <v>1791</v>
      </c>
      <c r="F1925" s="122" t="s">
        <v>2758</v>
      </c>
      <c r="G1925" s="52"/>
      <c r="H1925" s="52"/>
      <c r="I1925" s="52" t="s">
        <v>1792</v>
      </c>
      <c r="J1925" s="52"/>
      <c r="K1925" s="59" t="s">
        <v>79</v>
      </c>
      <c r="L1925" s="52" t="s">
        <v>1793</v>
      </c>
      <c r="M1925" s="52"/>
      <c r="N1925" s="52"/>
      <c r="O1925" s="61" t="s">
        <v>1794</v>
      </c>
      <c r="P1925" s="60" t="s">
        <v>1795</v>
      </c>
      <c r="Q1925" s="55">
        <f>VLOOKUP(E1925,'NI-Soc_SP'!$C:$AN,12,FALSE)</f>
        <v>0</v>
      </c>
      <c r="R1925" s="55">
        <f>VLOOKUP(E1925,'NI-Soc_SP'!$C:$AN,13,FALSE)</f>
        <v>0</v>
      </c>
      <c r="S1925" s="55">
        <f>VLOOKUP(E1925,'NI-Soc_SP'!$C:$AN,31,FALSE)</f>
        <v>0</v>
      </c>
      <c r="T1925" s="55">
        <f>VLOOKUP(E1925,'NI-Soc_SP'!$C:$AN,32,FALSE)+VLOOKUP(E1925,'NI-Soc_SP'!$C:$AN,33,FALSE)</f>
        <v>0</v>
      </c>
      <c r="U1925" s="55">
        <f>VLOOKUP($E1925,'NI-Soc_SP'!$C:$AN,MID(U$1,1,2),FALSE)</f>
        <v>0</v>
      </c>
      <c r="V1925" s="55">
        <f>VLOOKUP($E1925,'NI-Soc_SP'!$C:$AN,MID(V$1,1,2),FALSE)</f>
        <v>0</v>
      </c>
      <c r="W1925" s="55">
        <f>VLOOKUP($E1925,'NI-Soc_SP'!$C:$AN,MID(W$1,1,2),FALSE)</f>
        <v>0</v>
      </c>
      <c r="X1925" s="55">
        <f>VLOOKUP($E1925,'NI-Soc_SP'!$C:$AN,MID(X$1,1,2),FALSE)</f>
        <v>0</v>
      </c>
      <c r="Y1925" s="55">
        <f>VLOOKUP($E1925,'NI-Soc_SP'!$C:$AN,MID(Y$1,1,2),FALSE)</f>
        <v>0</v>
      </c>
      <c r="Z1925" s="55">
        <f>VLOOKUP($E1925,'NI-Soc_SP'!$C:$AN,MID(Z$1,1,2),FALSE)</f>
        <v>0</v>
      </c>
      <c r="AA1925" s="55">
        <f>VLOOKUP($E1925,'NI-Soc_SP'!$C:$AN,MID(AA$1,1,2),FALSE)</f>
        <v>0</v>
      </c>
      <c r="AB1925" s="55">
        <f>VLOOKUP($E1925,'NI-Soc_SP'!$C:$AN,MID(AB$1,1,2),FALSE)</f>
        <v>0</v>
      </c>
      <c r="AC1925" s="55">
        <f>VLOOKUP($E1925,'NI-Soc_SP'!$C:$AN,MID(AC$1,1,2),FALSE)</f>
        <v>0</v>
      </c>
      <c r="AD1925" s="55">
        <f>VLOOKUP($E1925,'NI-Soc_SP'!$C:$AN,MID(AD$1,1,2),FALSE)</f>
        <v>0</v>
      </c>
      <c r="AE1925" s="55">
        <f>VLOOKUP($E1925,'NI-Soc_SP'!$C:$AN,MID(AE$1,1,2),FALSE)</f>
        <v>0</v>
      </c>
      <c r="AF1925" s="55">
        <f>VLOOKUP($E1925,'NI-Soc_SP'!$C:$AN,MID(AF$1,1,2),FALSE)</f>
        <v>0</v>
      </c>
      <c r="AG1925" s="55">
        <f>VLOOKUP($E1925,'NI-Soc_SP'!$C:$AN,MID(AG$1,1,2),FALSE)</f>
        <v>0</v>
      </c>
      <c r="AH1925" s="55">
        <f>VLOOKUP($E1925,'NI-Soc_SP'!$C:$AN,MID(AH$1,1,2),FALSE)</f>
        <v>0</v>
      </c>
      <c r="AI1925" s="55">
        <f>VLOOKUP($E1925,'NI-Soc_SP'!$C:$AN,MID(AI$1,1,2),FALSE)</f>
        <v>0</v>
      </c>
      <c r="AJ1925" s="55">
        <f>VLOOKUP($E1925,'NI-Soc_SP'!$C:$AN,MID(AJ$1,1,2),FALSE)</f>
        <v>0</v>
      </c>
      <c r="AK1925" s="55">
        <f>VLOOKUP($E1925,'NI-Soc_SP'!$C:$AN,MID(AK$1,1,2),FALSE)</f>
        <v>0</v>
      </c>
      <c r="AL1925" s="55">
        <f>VLOOKUP($E1925,'NI-Soc_SP'!$C:$AN,MID(AL$1,1,2),FALSE)</f>
        <v>0</v>
      </c>
      <c r="AM1925" s="56">
        <f>VLOOKUP($E1925,'NI-Soc_SP'!$C:$AN,MID(AM$1,1,2),FALSE)</f>
        <v>0</v>
      </c>
      <c r="AN1925" s="30" t="str">
        <f t="shared" si="30"/>
        <v>20403000000000</v>
      </c>
    </row>
    <row r="1926" spans="3:40" x14ac:dyDescent="0.25">
      <c r="C1926" s="40"/>
      <c r="D1926" s="121" t="s">
        <v>1796</v>
      </c>
      <c r="E1926" s="121" t="s">
        <v>1797</v>
      </c>
      <c r="F1926" s="122" t="s">
        <v>2758</v>
      </c>
      <c r="G1926" s="52"/>
      <c r="H1926" s="52"/>
      <c r="I1926" s="52" t="s">
        <v>1798</v>
      </c>
      <c r="J1926" s="52"/>
      <c r="K1926" s="59" t="s">
        <v>79</v>
      </c>
      <c r="L1926" s="52" t="s">
        <v>1799</v>
      </c>
      <c r="M1926" s="52"/>
      <c r="N1926" s="52"/>
      <c r="O1926" s="61" t="s">
        <v>1800</v>
      </c>
      <c r="P1926" s="107" t="s">
        <v>1801</v>
      </c>
      <c r="Q1926" s="55">
        <f>VLOOKUP(E1926,'NI-Soc_SP'!$C:$AN,12,FALSE)</f>
        <v>0</v>
      </c>
      <c r="R1926" s="55">
        <f>VLOOKUP(E1926,'NI-Soc_SP'!$C:$AN,13,FALSE)</f>
        <v>0</v>
      </c>
      <c r="S1926" s="55">
        <f>VLOOKUP(E1926,'NI-Soc_SP'!$C:$AN,31,FALSE)</f>
        <v>0</v>
      </c>
      <c r="T1926" s="55">
        <f>VLOOKUP(E1926,'NI-Soc_SP'!$C:$AN,32,FALSE)+VLOOKUP(E1926,'NI-Soc_SP'!$C:$AN,33,FALSE)</f>
        <v>0</v>
      </c>
      <c r="U1926" s="55">
        <f>VLOOKUP($E1926,'NI-Soc_SP'!$C:$AN,MID(U$1,1,2),FALSE)</f>
        <v>0</v>
      </c>
      <c r="V1926" s="55">
        <f>VLOOKUP($E1926,'NI-Soc_SP'!$C:$AN,MID(V$1,1,2),FALSE)</f>
        <v>0</v>
      </c>
      <c r="W1926" s="55">
        <f>VLOOKUP($E1926,'NI-Soc_SP'!$C:$AN,MID(W$1,1,2),FALSE)</f>
        <v>0</v>
      </c>
      <c r="X1926" s="55">
        <f>VLOOKUP($E1926,'NI-Soc_SP'!$C:$AN,MID(X$1,1,2),FALSE)</f>
        <v>0</v>
      </c>
      <c r="Y1926" s="55">
        <f>VLOOKUP($E1926,'NI-Soc_SP'!$C:$AN,MID(Y$1,1,2),FALSE)</f>
        <v>0</v>
      </c>
      <c r="Z1926" s="55">
        <f>VLOOKUP($E1926,'NI-Soc_SP'!$C:$AN,MID(Z$1,1,2),FALSE)</f>
        <v>0</v>
      </c>
      <c r="AA1926" s="55">
        <f>VLOOKUP($E1926,'NI-Soc_SP'!$C:$AN,MID(AA$1,1,2),FALSE)</f>
        <v>0</v>
      </c>
      <c r="AB1926" s="55">
        <f>VLOOKUP($E1926,'NI-Soc_SP'!$C:$AN,MID(AB$1,1,2),FALSE)</f>
        <v>0</v>
      </c>
      <c r="AC1926" s="55">
        <f>VLOOKUP($E1926,'NI-Soc_SP'!$C:$AN,MID(AC$1,1,2),FALSE)</f>
        <v>0</v>
      </c>
      <c r="AD1926" s="55">
        <f>VLOOKUP($E1926,'NI-Soc_SP'!$C:$AN,MID(AD$1,1,2),FALSE)</f>
        <v>0</v>
      </c>
      <c r="AE1926" s="55">
        <f>VLOOKUP($E1926,'NI-Soc_SP'!$C:$AN,MID(AE$1,1,2),FALSE)</f>
        <v>0</v>
      </c>
      <c r="AF1926" s="55">
        <f>VLOOKUP($E1926,'NI-Soc_SP'!$C:$AN,MID(AF$1,1,2),FALSE)</f>
        <v>0</v>
      </c>
      <c r="AG1926" s="55">
        <f>VLOOKUP($E1926,'NI-Soc_SP'!$C:$AN,MID(AG$1,1,2),FALSE)</f>
        <v>0</v>
      </c>
      <c r="AH1926" s="55">
        <f>VLOOKUP($E1926,'NI-Soc_SP'!$C:$AN,MID(AH$1,1,2),FALSE)</f>
        <v>0</v>
      </c>
      <c r="AI1926" s="55">
        <f>VLOOKUP($E1926,'NI-Soc_SP'!$C:$AN,MID(AI$1,1,2),FALSE)</f>
        <v>0</v>
      </c>
      <c r="AJ1926" s="55">
        <f>VLOOKUP($E1926,'NI-Soc_SP'!$C:$AN,MID(AJ$1,1,2),FALSE)</f>
        <v>0</v>
      </c>
      <c r="AK1926" s="55">
        <f>VLOOKUP($E1926,'NI-Soc_SP'!$C:$AN,MID(AK$1,1,2),FALSE)</f>
        <v>0</v>
      </c>
      <c r="AL1926" s="55">
        <f>VLOOKUP($E1926,'NI-Soc_SP'!$C:$AN,MID(AL$1,1,2),FALSE)</f>
        <v>0</v>
      </c>
      <c r="AM1926" s="56">
        <f>VLOOKUP($E1926,'NI-Soc_SP'!$C:$AN,MID(AM$1,1,2),FALSE)</f>
        <v>0</v>
      </c>
      <c r="AN1926" s="30" t="str">
        <f t="shared" si="30"/>
        <v>20404000000000</v>
      </c>
    </row>
    <row r="1927" spans="3:40" x14ac:dyDescent="0.25">
      <c r="C1927" s="40"/>
      <c r="D1927" s="121" t="s">
        <v>1802</v>
      </c>
      <c r="E1927" s="121" t="s">
        <v>1803</v>
      </c>
      <c r="F1927" s="122" t="s">
        <v>2758</v>
      </c>
      <c r="G1927" s="52"/>
      <c r="H1927" s="52"/>
      <c r="I1927" s="52"/>
      <c r="J1927" s="52"/>
      <c r="K1927" s="59" t="s">
        <v>111</v>
      </c>
      <c r="L1927" s="52" t="s">
        <v>1804</v>
      </c>
      <c r="M1927" s="52"/>
      <c r="N1927" s="52"/>
      <c r="O1927" s="52"/>
      <c r="P1927" s="107" t="s">
        <v>1805</v>
      </c>
      <c r="Q1927" s="55">
        <f>VLOOKUP(E1927,'NI-Soc_SP'!$C:$AN,12,FALSE)</f>
        <v>0</v>
      </c>
      <c r="R1927" s="55">
        <f>VLOOKUP(E1927,'NI-Soc_SP'!$C:$AN,13,FALSE)</f>
        <v>0</v>
      </c>
      <c r="S1927" s="55">
        <f>VLOOKUP(E1927,'NI-Soc_SP'!$C:$AN,31,FALSE)</f>
        <v>0</v>
      </c>
      <c r="T1927" s="55">
        <f>VLOOKUP(E1927,'NI-Soc_SP'!$C:$AN,32,FALSE)+VLOOKUP(E1927,'NI-Soc_SP'!$C:$AN,33,FALSE)</f>
        <v>0</v>
      </c>
      <c r="U1927" s="55">
        <f>VLOOKUP($E1927,'NI-Soc_SP'!$C:$AN,MID(U$1,1,2),FALSE)</f>
        <v>0</v>
      </c>
      <c r="V1927" s="55">
        <f>VLOOKUP($E1927,'NI-Soc_SP'!$C:$AN,MID(V$1,1,2),FALSE)</f>
        <v>0</v>
      </c>
      <c r="W1927" s="55">
        <f>VLOOKUP($E1927,'NI-Soc_SP'!$C:$AN,MID(W$1,1,2),FALSE)</f>
        <v>0</v>
      </c>
      <c r="X1927" s="55">
        <f>VLOOKUP($E1927,'NI-Soc_SP'!$C:$AN,MID(X$1,1,2),FALSE)</f>
        <v>0</v>
      </c>
      <c r="Y1927" s="55">
        <f>VLOOKUP($E1927,'NI-Soc_SP'!$C:$AN,MID(Y$1,1,2),FALSE)</f>
        <v>0</v>
      </c>
      <c r="Z1927" s="55">
        <f>VLOOKUP($E1927,'NI-Soc_SP'!$C:$AN,MID(Z$1,1,2),FALSE)</f>
        <v>0</v>
      </c>
      <c r="AA1927" s="55">
        <f>VLOOKUP($E1927,'NI-Soc_SP'!$C:$AN,MID(AA$1,1,2),FALSE)</f>
        <v>0</v>
      </c>
      <c r="AB1927" s="55">
        <f>VLOOKUP($E1927,'NI-Soc_SP'!$C:$AN,MID(AB$1,1,2),FALSE)</f>
        <v>0</v>
      </c>
      <c r="AC1927" s="55">
        <f>VLOOKUP($E1927,'NI-Soc_SP'!$C:$AN,MID(AC$1,1,2),FALSE)</f>
        <v>0</v>
      </c>
      <c r="AD1927" s="55">
        <f>VLOOKUP($E1927,'NI-Soc_SP'!$C:$AN,MID(AD$1,1,2),FALSE)</f>
        <v>0</v>
      </c>
      <c r="AE1927" s="55">
        <f>VLOOKUP($E1927,'NI-Soc_SP'!$C:$AN,MID(AE$1,1,2),FALSE)</f>
        <v>0</v>
      </c>
      <c r="AF1927" s="55">
        <f>VLOOKUP($E1927,'NI-Soc_SP'!$C:$AN,MID(AF$1,1,2),FALSE)</f>
        <v>0</v>
      </c>
      <c r="AG1927" s="55">
        <f>VLOOKUP($E1927,'NI-Soc_SP'!$C:$AN,MID(AG$1,1,2),FALSE)</f>
        <v>0</v>
      </c>
      <c r="AH1927" s="55">
        <f>VLOOKUP($E1927,'NI-Soc_SP'!$C:$AN,MID(AH$1,1,2),FALSE)</f>
        <v>0</v>
      </c>
      <c r="AI1927" s="55">
        <f>VLOOKUP($E1927,'NI-Soc_SP'!$C:$AN,MID(AI$1,1,2),FALSE)</f>
        <v>0</v>
      </c>
      <c r="AJ1927" s="55">
        <f>VLOOKUP($E1927,'NI-Soc_SP'!$C:$AN,MID(AJ$1,1,2),FALSE)</f>
        <v>0</v>
      </c>
      <c r="AK1927" s="55">
        <f>VLOOKUP($E1927,'NI-Soc_SP'!$C:$AN,MID(AK$1,1,2),FALSE)</f>
        <v>0</v>
      </c>
      <c r="AL1927" s="55">
        <f>VLOOKUP($E1927,'NI-Soc_SP'!$C:$AN,MID(AL$1,1,2),FALSE)</f>
        <v>0</v>
      </c>
      <c r="AM1927" s="56">
        <f>VLOOKUP($E1927,'NI-Soc_SP'!$C:$AN,MID(AM$1,1,2),FALSE)</f>
        <v>0</v>
      </c>
      <c r="AN1927" s="30" t="str">
        <f t="shared" si="30"/>
        <v>30000000000000</v>
      </c>
    </row>
    <row r="1928" spans="3:40" x14ac:dyDescent="0.25">
      <c r="C1928" s="40"/>
      <c r="D1928" s="121" t="s">
        <v>1806</v>
      </c>
      <c r="E1928" s="121" t="s">
        <v>1807</v>
      </c>
      <c r="F1928" s="122" t="s">
        <v>2758</v>
      </c>
      <c r="G1928" s="51"/>
      <c r="H1928" s="52"/>
      <c r="I1928" s="52"/>
      <c r="J1928" s="52"/>
      <c r="K1928" s="53" t="s">
        <v>111</v>
      </c>
      <c r="L1928" s="52"/>
      <c r="M1928" s="52"/>
      <c r="N1928" s="52"/>
      <c r="O1928" s="61" t="s">
        <v>1808</v>
      </c>
      <c r="P1928" s="54" t="s">
        <v>1809</v>
      </c>
      <c r="Q1928" s="55">
        <f>VLOOKUP(E1928,'NI-Soc_SP'!$C:$AN,12,FALSE)</f>
        <v>0</v>
      </c>
      <c r="R1928" s="55">
        <f>VLOOKUP(E1928,'NI-Soc_SP'!$C:$AN,13,FALSE)</f>
        <v>0</v>
      </c>
      <c r="S1928" s="55">
        <f>VLOOKUP(E1928,'NI-Soc_SP'!$C:$AN,31,FALSE)</f>
        <v>0</v>
      </c>
      <c r="T1928" s="55">
        <f>VLOOKUP(E1928,'NI-Soc_SP'!$C:$AN,32,FALSE)+VLOOKUP(E1928,'NI-Soc_SP'!$C:$AN,33,FALSE)</f>
        <v>0</v>
      </c>
      <c r="U1928" s="55">
        <f>VLOOKUP($E1928,'NI-Soc_SP'!$C:$AN,MID(U$1,1,2),FALSE)</f>
        <v>0</v>
      </c>
      <c r="V1928" s="55">
        <f>VLOOKUP($E1928,'NI-Soc_SP'!$C:$AN,MID(V$1,1,2),FALSE)</f>
        <v>0</v>
      </c>
      <c r="W1928" s="55">
        <f>VLOOKUP($E1928,'NI-Soc_SP'!$C:$AN,MID(W$1,1,2),FALSE)</f>
        <v>0</v>
      </c>
      <c r="X1928" s="55">
        <f>VLOOKUP($E1928,'NI-Soc_SP'!$C:$AN,MID(X$1,1,2),FALSE)</f>
        <v>0</v>
      </c>
      <c r="Y1928" s="55">
        <f>VLOOKUP($E1928,'NI-Soc_SP'!$C:$AN,MID(Y$1,1,2),FALSE)</f>
        <v>0</v>
      </c>
      <c r="Z1928" s="55">
        <f>VLOOKUP($E1928,'NI-Soc_SP'!$C:$AN,MID(Z$1,1,2),FALSE)</f>
        <v>0</v>
      </c>
      <c r="AA1928" s="55">
        <f>VLOOKUP($E1928,'NI-Soc_SP'!$C:$AN,MID(AA$1,1,2),FALSE)</f>
        <v>0</v>
      </c>
      <c r="AB1928" s="55">
        <f>VLOOKUP($E1928,'NI-Soc_SP'!$C:$AN,MID(AB$1,1,2),FALSE)</f>
        <v>0</v>
      </c>
      <c r="AC1928" s="55">
        <f>VLOOKUP($E1928,'NI-Soc_SP'!$C:$AN,MID(AC$1,1,2),FALSE)</f>
        <v>0</v>
      </c>
      <c r="AD1928" s="55">
        <f>VLOOKUP($E1928,'NI-Soc_SP'!$C:$AN,MID(AD$1,1,2),FALSE)</f>
        <v>0</v>
      </c>
      <c r="AE1928" s="55">
        <f>VLOOKUP($E1928,'NI-Soc_SP'!$C:$AN,MID(AE$1,1,2),FALSE)</f>
        <v>0</v>
      </c>
      <c r="AF1928" s="55">
        <f>VLOOKUP($E1928,'NI-Soc_SP'!$C:$AN,MID(AF$1,1,2),FALSE)</f>
        <v>0</v>
      </c>
      <c r="AG1928" s="55">
        <f>VLOOKUP($E1928,'NI-Soc_SP'!$C:$AN,MID(AG$1,1,2),FALSE)</f>
        <v>0</v>
      </c>
      <c r="AH1928" s="55">
        <f>VLOOKUP($E1928,'NI-Soc_SP'!$C:$AN,MID(AH$1,1,2),FALSE)</f>
        <v>0</v>
      </c>
      <c r="AI1928" s="55">
        <f>VLOOKUP($E1928,'NI-Soc_SP'!$C:$AN,MID(AI$1,1,2),FALSE)</f>
        <v>0</v>
      </c>
      <c r="AJ1928" s="55">
        <f>VLOOKUP($E1928,'NI-Soc_SP'!$C:$AN,MID(AJ$1,1,2),FALSE)</f>
        <v>0</v>
      </c>
      <c r="AK1928" s="55">
        <f>VLOOKUP($E1928,'NI-Soc_SP'!$C:$AN,MID(AK$1,1,2),FALSE)</f>
        <v>0</v>
      </c>
      <c r="AL1928" s="55">
        <f>VLOOKUP($E1928,'NI-Soc_SP'!$C:$AN,MID(AL$1,1,2),FALSE)</f>
        <v>0</v>
      </c>
      <c r="AM1928" s="56">
        <f>VLOOKUP($E1928,'NI-Soc_SP'!$C:$AN,MID(AM$1,1,2),FALSE)</f>
        <v>0</v>
      </c>
      <c r="AN1928" s="30" t="str">
        <f t="shared" si="30"/>
        <v>30100000000000</v>
      </c>
    </row>
    <row r="1929" spans="3:40" x14ac:dyDescent="0.25">
      <c r="C1929" s="40"/>
      <c r="D1929" s="121" t="s">
        <v>1810</v>
      </c>
      <c r="E1929" s="121" t="s">
        <v>1811</v>
      </c>
      <c r="F1929" s="122" t="s">
        <v>2758</v>
      </c>
      <c r="G1929" s="52"/>
      <c r="H1929" s="52"/>
      <c r="I1929" s="52" t="s">
        <v>1812</v>
      </c>
      <c r="J1929" s="52"/>
      <c r="K1929" s="59" t="s">
        <v>79</v>
      </c>
      <c r="L1929" s="52"/>
      <c r="M1929" s="52"/>
      <c r="N1929" s="52"/>
      <c r="O1929" s="52"/>
      <c r="P1929" s="107" t="s">
        <v>1813</v>
      </c>
      <c r="Q1929" s="55">
        <f>VLOOKUP(E1929,'NI-Soc_SP'!$C:$AN,12,FALSE)</f>
        <v>0</v>
      </c>
      <c r="R1929" s="55">
        <f>VLOOKUP(E1929,'NI-Soc_SP'!$C:$AN,13,FALSE)</f>
        <v>0</v>
      </c>
      <c r="S1929" s="55">
        <f>VLOOKUP(E1929,'NI-Soc_SP'!$C:$AN,31,FALSE)</f>
        <v>0</v>
      </c>
      <c r="T1929" s="55">
        <f>VLOOKUP(E1929,'NI-Soc_SP'!$C:$AN,32,FALSE)+VLOOKUP(E1929,'NI-Soc_SP'!$C:$AN,33,FALSE)</f>
        <v>0</v>
      </c>
      <c r="U1929" s="55">
        <f>VLOOKUP($E1929,'NI-Soc_SP'!$C:$AN,MID(U$1,1,2),FALSE)</f>
        <v>0</v>
      </c>
      <c r="V1929" s="55">
        <f>VLOOKUP($E1929,'NI-Soc_SP'!$C:$AN,MID(V$1,1,2),FALSE)</f>
        <v>0</v>
      </c>
      <c r="W1929" s="55">
        <f>VLOOKUP($E1929,'NI-Soc_SP'!$C:$AN,MID(W$1,1,2),FALSE)</f>
        <v>0</v>
      </c>
      <c r="X1929" s="55">
        <f>VLOOKUP($E1929,'NI-Soc_SP'!$C:$AN,MID(X$1,1,2),FALSE)</f>
        <v>0</v>
      </c>
      <c r="Y1929" s="55">
        <f>VLOOKUP($E1929,'NI-Soc_SP'!$C:$AN,MID(Y$1,1,2),FALSE)</f>
        <v>0</v>
      </c>
      <c r="Z1929" s="55">
        <f>VLOOKUP($E1929,'NI-Soc_SP'!$C:$AN,MID(Z$1,1,2),FALSE)</f>
        <v>0</v>
      </c>
      <c r="AA1929" s="55">
        <f>VLOOKUP($E1929,'NI-Soc_SP'!$C:$AN,MID(AA$1,1,2),FALSE)</f>
        <v>0</v>
      </c>
      <c r="AB1929" s="55">
        <f>VLOOKUP($E1929,'NI-Soc_SP'!$C:$AN,MID(AB$1,1,2),FALSE)</f>
        <v>0</v>
      </c>
      <c r="AC1929" s="55">
        <f>VLOOKUP($E1929,'NI-Soc_SP'!$C:$AN,MID(AC$1,1,2),FALSE)</f>
        <v>0</v>
      </c>
      <c r="AD1929" s="55">
        <f>VLOOKUP($E1929,'NI-Soc_SP'!$C:$AN,MID(AD$1,1,2),FALSE)</f>
        <v>0</v>
      </c>
      <c r="AE1929" s="55">
        <f>VLOOKUP($E1929,'NI-Soc_SP'!$C:$AN,MID(AE$1,1,2),FALSE)</f>
        <v>0</v>
      </c>
      <c r="AF1929" s="55">
        <f>VLOOKUP($E1929,'NI-Soc_SP'!$C:$AN,MID(AF$1,1,2),FALSE)</f>
        <v>0</v>
      </c>
      <c r="AG1929" s="55">
        <f>VLOOKUP($E1929,'NI-Soc_SP'!$C:$AN,MID(AG$1,1,2),FALSE)</f>
        <v>0</v>
      </c>
      <c r="AH1929" s="55">
        <f>VLOOKUP($E1929,'NI-Soc_SP'!$C:$AN,MID(AH$1,1,2),FALSE)</f>
        <v>0</v>
      </c>
      <c r="AI1929" s="55">
        <f>VLOOKUP($E1929,'NI-Soc_SP'!$C:$AN,MID(AI$1,1,2),FALSE)</f>
        <v>0</v>
      </c>
      <c r="AJ1929" s="55">
        <f>VLOOKUP($E1929,'NI-Soc_SP'!$C:$AN,MID(AJ$1,1,2),FALSE)</f>
        <v>0</v>
      </c>
      <c r="AK1929" s="55">
        <f>VLOOKUP($E1929,'NI-Soc_SP'!$C:$AN,MID(AK$1,1,2),FALSE)</f>
        <v>0</v>
      </c>
      <c r="AL1929" s="55">
        <f>VLOOKUP($E1929,'NI-Soc_SP'!$C:$AN,MID(AL$1,1,2),FALSE)</f>
        <v>0</v>
      </c>
      <c r="AM1929" s="56">
        <f>VLOOKUP($E1929,'NI-Soc_SP'!$C:$AN,MID(AM$1,1,2),FALSE)</f>
        <v>0</v>
      </c>
      <c r="AN1929" s="30" t="str">
        <f t="shared" si="30"/>
        <v>30101000000000</v>
      </c>
    </row>
    <row r="1930" spans="3:40" x14ac:dyDescent="0.25">
      <c r="C1930" s="40"/>
      <c r="D1930" s="121" t="s">
        <v>1814</v>
      </c>
      <c r="E1930" s="121" t="s">
        <v>1815</v>
      </c>
      <c r="F1930" s="122" t="s">
        <v>2758</v>
      </c>
      <c r="G1930" s="52" t="s">
        <v>1608</v>
      </c>
      <c r="H1930" s="52"/>
      <c r="I1930" s="52" t="s">
        <v>1816</v>
      </c>
      <c r="J1930" s="52"/>
      <c r="K1930" s="59" t="s">
        <v>111</v>
      </c>
      <c r="L1930" s="52"/>
      <c r="M1930" s="52"/>
      <c r="N1930" s="52"/>
      <c r="O1930" s="52"/>
      <c r="P1930" s="107" t="s">
        <v>1817</v>
      </c>
      <c r="Q1930" s="55">
        <f>VLOOKUP(E1930,'NI-Soc_SP'!$C:$AN,12,FALSE)</f>
        <v>0</v>
      </c>
      <c r="R1930" s="55">
        <f>VLOOKUP(E1930,'NI-Soc_SP'!$C:$AN,13,FALSE)</f>
        <v>0</v>
      </c>
      <c r="S1930" s="55">
        <f>VLOOKUP(E1930,'NI-Soc_SP'!$C:$AN,31,FALSE)</f>
        <v>0</v>
      </c>
      <c r="T1930" s="55">
        <f>VLOOKUP(E1930,'NI-Soc_SP'!$C:$AN,32,FALSE)+VLOOKUP(E1930,'NI-Soc_SP'!$C:$AN,33,FALSE)</f>
        <v>0</v>
      </c>
      <c r="U1930" s="55">
        <f>VLOOKUP($E1930,'NI-Soc_SP'!$C:$AN,MID(U$1,1,2),FALSE)</f>
        <v>0</v>
      </c>
      <c r="V1930" s="55">
        <f>VLOOKUP($E1930,'NI-Soc_SP'!$C:$AN,MID(V$1,1,2),FALSE)</f>
        <v>0</v>
      </c>
      <c r="W1930" s="55">
        <f>VLOOKUP($E1930,'NI-Soc_SP'!$C:$AN,MID(W$1,1,2),FALSE)</f>
        <v>0</v>
      </c>
      <c r="X1930" s="55">
        <f>VLOOKUP($E1930,'NI-Soc_SP'!$C:$AN,MID(X$1,1,2),FALSE)</f>
        <v>0</v>
      </c>
      <c r="Y1930" s="55">
        <f>VLOOKUP($E1930,'NI-Soc_SP'!$C:$AN,MID(Y$1,1,2),FALSE)</f>
        <v>0</v>
      </c>
      <c r="Z1930" s="55">
        <f>VLOOKUP($E1930,'NI-Soc_SP'!$C:$AN,MID(Z$1,1,2),FALSE)</f>
        <v>0</v>
      </c>
      <c r="AA1930" s="55">
        <f>VLOOKUP($E1930,'NI-Soc_SP'!$C:$AN,MID(AA$1,1,2),FALSE)</f>
        <v>0</v>
      </c>
      <c r="AB1930" s="55">
        <f>VLOOKUP($E1930,'NI-Soc_SP'!$C:$AN,MID(AB$1,1,2),FALSE)</f>
        <v>0</v>
      </c>
      <c r="AC1930" s="55">
        <f>VLOOKUP($E1930,'NI-Soc_SP'!$C:$AN,MID(AC$1,1,2),FALSE)</f>
        <v>0</v>
      </c>
      <c r="AD1930" s="55">
        <f>VLOOKUP($E1930,'NI-Soc_SP'!$C:$AN,MID(AD$1,1,2),FALSE)</f>
        <v>0</v>
      </c>
      <c r="AE1930" s="55">
        <f>VLOOKUP($E1930,'NI-Soc_SP'!$C:$AN,MID(AE$1,1,2),FALSE)</f>
        <v>0</v>
      </c>
      <c r="AF1930" s="55">
        <f>VLOOKUP($E1930,'NI-Soc_SP'!$C:$AN,MID(AF$1,1,2),FALSE)</f>
        <v>0</v>
      </c>
      <c r="AG1930" s="55">
        <f>VLOOKUP($E1930,'NI-Soc_SP'!$C:$AN,MID(AG$1,1,2),FALSE)</f>
        <v>0</v>
      </c>
      <c r="AH1930" s="55">
        <f>VLOOKUP($E1930,'NI-Soc_SP'!$C:$AN,MID(AH$1,1,2),FALSE)</f>
        <v>0</v>
      </c>
      <c r="AI1930" s="55">
        <f>VLOOKUP($E1930,'NI-Soc_SP'!$C:$AN,MID(AI$1,1,2),FALSE)</f>
        <v>0</v>
      </c>
      <c r="AJ1930" s="55">
        <f>VLOOKUP($E1930,'NI-Soc_SP'!$C:$AN,MID(AJ$1,1,2),FALSE)</f>
        <v>0</v>
      </c>
      <c r="AK1930" s="55">
        <f>VLOOKUP($E1930,'NI-Soc_SP'!$C:$AN,MID(AK$1,1,2),FALSE)</f>
        <v>0</v>
      </c>
      <c r="AL1930" s="55">
        <f>VLOOKUP($E1930,'NI-Soc_SP'!$C:$AN,MID(AL$1,1,2),FALSE)</f>
        <v>0</v>
      </c>
      <c r="AM1930" s="56">
        <f>VLOOKUP($E1930,'NI-Soc_SP'!$C:$AN,MID(AM$1,1,2),FALSE)</f>
        <v>0</v>
      </c>
      <c r="AN1930" s="30" t="str">
        <f t="shared" si="30"/>
        <v>30102000000000</v>
      </c>
    </row>
    <row r="1931" spans="3:40" x14ac:dyDescent="0.25">
      <c r="C1931" s="40"/>
      <c r="D1931" s="121" t="s">
        <v>1818</v>
      </c>
      <c r="E1931" s="121" t="s">
        <v>1819</v>
      </c>
      <c r="F1931" s="122" t="s">
        <v>2758</v>
      </c>
      <c r="G1931" s="52" t="s">
        <v>1608</v>
      </c>
      <c r="H1931" s="52"/>
      <c r="I1931" s="52"/>
      <c r="J1931" s="52"/>
      <c r="K1931" s="59" t="s">
        <v>79</v>
      </c>
      <c r="L1931" s="52"/>
      <c r="M1931" s="52"/>
      <c r="N1931" s="52"/>
      <c r="O1931" s="52"/>
      <c r="P1931" s="107" t="s">
        <v>1820</v>
      </c>
      <c r="Q1931" s="55">
        <f>VLOOKUP(E1931,'NI-Soc_SP'!$C:$AN,12,FALSE)</f>
        <v>0</v>
      </c>
      <c r="R1931" s="55">
        <f>VLOOKUP(E1931,'NI-Soc_SP'!$C:$AN,13,FALSE)</f>
        <v>0</v>
      </c>
      <c r="S1931" s="55">
        <f>VLOOKUP(E1931,'NI-Soc_SP'!$C:$AN,31,FALSE)</f>
        <v>0</v>
      </c>
      <c r="T1931" s="55">
        <f>VLOOKUP(E1931,'NI-Soc_SP'!$C:$AN,32,FALSE)+VLOOKUP(E1931,'NI-Soc_SP'!$C:$AN,33,FALSE)</f>
        <v>0</v>
      </c>
      <c r="U1931" s="55">
        <f>VLOOKUP($E1931,'NI-Soc_SP'!$C:$AN,MID(U$1,1,2),FALSE)</f>
        <v>0</v>
      </c>
      <c r="V1931" s="55">
        <f>VLOOKUP($E1931,'NI-Soc_SP'!$C:$AN,MID(V$1,1,2),FALSE)</f>
        <v>0</v>
      </c>
      <c r="W1931" s="55">
        <f>VLOOKUP($E1931,'NI-Soc_SP'!$C:$AN,MID(W$1,1,2),FALSE)</f>
        <v>0</v>
      </c>
      <c r="X1931" s="55">
        <f>VLOOKUP($E1931,'NI-Soc_SP'!$C:$AN,MID(X$1,1,2),FALSE)</f>
        <v>0</v>
      </c>
      <c r="Y1931" s="55">
        <f>VLOOKUP($E1931,'NI-Soc_SP'!$C:$AN,MID(Y$1,1,2),FALSE)</f>
        <v>0</v>
      </c>
      <c r="Z1931" s="55">
        <f>VLOOKUP($E1931,'NI-Soc_SP'!$C:$AN,MID(Z$1,1,2),FALSE)</f>
        <v>0</v>
      </c>
      <c r="AA1931" s="55">
        <f>VLOOKUP($E1931,'NI-Soc_SP'!$C:$AN,MID(AA$1,1,2),FALSE)</f>
        <v>0</v>
      </c>
      <c r="AB1931" s="55">
        <f>VLOOKUP($E1931,'NI-Soc_SP'!$C:$AN,MID(AB$1,1,2),FALSE)</f>
        <v>0</v>
      </c>
      <c r="AC1931" s="55">
        <f>VLOOKUP($E1931,'NI-Soc_SP'!$C:$AN,MID(AC$1,1,2),FALSE)</f>
        <v>0</v>
      </c>
      <c r="AD1931" s="55">
        <f>VLOOKUP($E1931,'NI-Soc_SP'!$C:$AN,MID(AD$1,1,2),FALSE)</f>
        <v>0</v>
      </c>
      <c r="AE1931" s="55">
        <f>VLOOKUP($E1931,'NI-Soc_SP'!$C:$AN,MID(AE$1,1,2),FALSE)</f>
        <v>0</v>
      </c>
      <c r="AF1931" s="55">
        <f>VLOOKUP($E1931,'NI-Soc_SP'!$C:$AN,MID(AF$1,1,2),FALSE)</f>
        <v>0</v>
      </c>
      <c r="AG1931" s="55">
        <f>VLOOKUP($E1931,'NI-Soc_SP'!$C:$AN,MID(AG$1,1,2),FALSE)</f>
        <v>0</v>
      </c>
      <c r="AH1931" s="55">
        <f>VLOOKUP($E1931,'NI-Soc_SP'!$C:$AN,MID(AH$1,1,2),FALSE)</f>
        <v>0</v>
      </c>
      <c r="AI1931" s="55">
        <f>VLOOKUP($E1931,'NI-Soc_SP'!$C:$AN,MID(AI$1,1,2),FALSE)</f>
        <v>0</v>
      </c>
      <c r="AJ1931" s="55">
        <f>VLOOKUP($E1931,'NI-Soc_SP'!$C:$AN,MID(AJ$1,1,2),FALSE)</f>
        <v>0</v>
      </c>
      <c r="AK1931" s="55">
        <f>VLOOKUP($E1931,'NI-Soc_SP'!$C:$AN,MID(AK$1,1,2),FALSE)</f>
        <v>0</v>
      </c>
      <c r="AL1931" s="55">
        <f>VLOOKUP($E1931,'NI-Soc_SP'!$C:$AN,MID(AL$1,1,2),FALSE)</f>
        <v>0</v>
      </c>
      <c r="AM1931" s="56">
        <f>VLOOKUP($E1931,'NI-Soc_SP'!$C:$AN,MID(AM$1,1,2),FALSE)</f>
        <v>0</v>
      </c>
      <c r="AN1931" s="30" t="str">
        <f t="shared" si="30"/>
        <v>30102010000000</v>
      </c>
    </row>
    <row r="1932" spans="3:40" x14ac:dyDescent="0.25">
      <c r="C1932" s="40"/>
      <c r="D1932" s="121" t="s">
        <v>1821</v>
      </c>
      <c r="E1932" s="121" t="s">
        <v>1822</v>
      </c>
      <c r="F1932" s="122" t="s">
        <v>2758</v>
      </c>
      <c r="G1932" s="52" t="s">
        <v>1608</v>
      </c>
      <c r="H1932" s="52"/>
      <c r="I1932" s="52"/>
      <c r="J1932" s="52"/>
      <c r="K1932" s="59" t="s">
        <v>79</v>
      </c>
      <c r="L1932" s="52"/>
      <c r="M1932" s="52"/>
      <c r="N1932" s="52"/>
      <c r="O1932" s="52"/>
      <c r="P1932" s="107" t="s">
        <v>1823</v>
      </c>
      <c r="Q1932" s="55">
        <f>VLOOKUP(E1932,'NI-Soc_SP'!$C:$AN,12,FALSE)</f>
        <v>0</v>
      </c>
      <c r="R1932" s="55">
        <f>VLOOKUP(E1932,'NI-Soc_SP'!$C:$AN,13,FALSE)</f>
        <v>0</v>
      </c>
      <c r="S1932" s="55">
        <f>VLOOKUP(E1932,'NI-Soc_SP'!$C:$AN,31,FALSE)</f>
        <v>0</v>
      </c>
      <c r="T1932" s="55">
        <f>VLOOKUP(E1932,'NI-Soc_SP'!$C:$AN,32,FALSE)+VLOOKUP(E1932,'NI-Soc_SP'!$C:$AN,33,FALSE)</f>
        <v>0</v>
      </c>
      <c r="U1932" s="55">
        <f>VLOOKUP($E1932,'NI-Soc_SP'!$C:$AN,MID(U$1,1,2),FALSE)</f>
        <v>0</v>
      </c>
      <c r="V1932" s="55">
        <f>VLOOKUP($E1932,'NI-Soc_SP'!$C:$AN,MID(V$1,1,2),FALSE)</f>
        <v>0</v>
      </c>
      <c r="W1932" s="55">
        <f>VLOOKUP($E1932,'NI-Soc_SP'!$C:$AN,MID(W$1,1,2),FALSE)</f>
        <v>0</v>
      </c>
      <c r="X1932" s="55">
        <f>VLOOKUP($E1932,'NI-Soc_SP'!$C:$AN,MID(X$1,1,2),FALSE)</f>
        <v>0</v>
      </c>
      <c r="Y1932" s="55">
        <f>VLOOKUP($E1932,'NI-Soc_SP'!$C:$AN,MID(Y$1,1,2),FALSE)</f>
        <v>0</v>
      </c>
      <c r="Z1932" s="55">
        <f>VLOOKUP($E1932,'NI-Soc_SP'!$C:$AN,MID(Z$1,1,2),FALSE)</f>
        <v>0</v>
      </c>
      <c r="AA1932" s="55">
        <f>VLOOKUP($E1932,'NI-Soc_SP'!$C:$AN,MID(AA$1,1,2),FALSE)</f>
        <v>0</v>
      </c>
      <c r="AB1932" s="55">
        <f>VLOOKUP($E1932,'NI-Soc_SP'!$C:$AN,MID(AB$1,1,2),FALSE)</f>
        <v>0</v>
      </c>
      <c r="AC1932" s="55">
        <f>VLOOKUP($E1932,'NI-Soc_SP'!$C:$AN,MID(AC$1,1,2),FALSE)</f>
        <v>0</v>
      </c>
      <c r="AD1932" s="55">
        <f>VLOOKUP($E1932,'NI-Soc_SP'!$C:$AN,MID(AD$1,1,2),FALSE)</f>
        <v>0</v>
      </c>
      <c r="AE1932" s="55">
        <f>VLOOKUP($E1932,'NI-Soc_SP'!$C:$AN,MID(AE$1,1,2),FALSE)</f>
        <v>0</v>
      </c>
      <c r="AF1932" s="55">
        <f>VLOOKUP($E1932,'NI-Soc_SP'!$C:$AN,MID(AF$1,1,2),FALSE)</f>
        <v>0</v>
      </c>
      <c r="AG1932" s="55">
        <f>VLOOKUP($E1932,'NI-Soc_SP'!$C:$AN,MID(AG$1,1,2),FALSE)</f>
        <v>0</v>
      </c>
      <c r="AH1932" s="55">
        <f>VLOOKUP($E1932,'NI-Soc_SP'!$C:$AN,MID(AH$1,1,2),FALSE)</f>
        <v>0</v>
      </c>
      <c r="AI1932" s="55">
        <f>VLOOKUP($E1932,'NI-Soc_SP'!$C:$AN,MID(AI$1,1,2),FALSE)</f>
        <v>0</v>
      </c>
      <c r="AJ1932" s="55">
        <f>VLOOKUP($E1932,'NI-Soc_SP'!$C:$AN,MID(AJ$1,1,2),FALSE)</f>
        <v>0</v>
      </c>
      <c r="AK1932" s="55">
        <f>VLOOKUP($E1932,'NI-Soc_SP'!$C:$AN,MID(AK$1,1,2),FALSE)</f>
        <v>0</v>
      </c>
      <c r="AL1932" s="55">
        <f>VLOOKUP($E1932,'NI-Soc_SP'!$C:$AN,MID(AL$1,1,2),FALSE)</f>
        <v>0</v>
      </c>
      <c r="AM1932" s="56">
        <f>VLOOKUP($E1932,'NI-Soc_SP'!$C:$AN,MID(AM$1,1,2),FALSE)</f>
        <v>0</v>
      </c>
      <c r="AN1932" s="30" t="str">
        <f t="shared" si="30"/>
        <v>30102020000000</v>
      </c>
    </row>
    <row r="1933" spans="3:40" x14ac:dyDescent="0.25">
      <c r="C1933" s="40"/>
      <c r="D1933" s="121" t="s">
        <v>1824</v>
      </c>
      <c r="E1933" s="121" t="s">
        <v>1825</v>
      </c>
      <c r="F1933" s="122" t="s">
        <v>2758</v>
      </c>
      <c r="G1933" s="52" t="s">
        <v>1608</v>
      </c>
      <c r="H1933" s="52"/>
      <c r="I1933" s="52"/>
      <c r="J1933" s="52"/>
      <c r="K1933" s="59" t="s">
        <v>79</v>
      </c>
      <c r="L1933" s="52"/>
      <c r="M1933" s="52"/>
      <c r="N1933" s="52"/>
      <c r="O1933" s="52"/>
      <c r="P1933" s="108" t="s">
        <v>1826</v>
      </c>
      <c r="Q1933" s="55">
        <f>VLOOKUP(E1933,'NI-Soc_SP'!$C:$AN,12,FALSE)</f>
        <v>0</v>
      </c>
      <c r="R1933" s="55">
        <f>VLOOKUP(E1933,'NI-Soc_SP'!$C:$AN,13,FALSE)</f>
        <v>0</v>
      </c>
      <c r="S1933" s="55">
        <f>VLOOKUP(E1933,'NI-Soc_SP'!$C:$AN,31,FALSE)</f>
        <v>0</v>
      </c>
      <c r="T1933" s="55">
        <f>VLOOKUP(E1933,'NI-Soc_SP'!$C:$AN,32,FALSE)+VLOOKUP(E1933,'NI-Soc_SP'!$C:$AN,33,FALSE)</f>
        <v>0</v>
      </c>
      <c r="U1933" s="55">
        <f>VLOOKUP($E1933,'NI-Soc_SP'!$C:$AN,MID(U$1,1,2),FALSE)</f>
        <v>0</v>
      </c>
      <c r="V1933" s="55">
        <f>VLOOKUP($E1933,'NI-Soc_SP'!$C:$AN,MID(V$1,1,2),FALSE)</f>
        <v>0</v>
      </c>
      <c r="W1933" s="55">
        <f>VLOOKUP($E1933,'NI-Soc_SP'!$C:$AN,MID(W$1,1,2),FALSE)</f>
        <v>0</v>
      </c>
      <c r="X1933" s="55">
        <f>VLOOKUP($E1933,'NI-Soc_SP'!$C:$AN,MID(X$1,1,2),FALSE)</f>
        <v>0</v>
      </c>
      <c r="Y1933" s="55">
        <f>VLOOKUP($E1933,'NI-Soc_SP'!$C:$AN,MID(Y$1,1,2),FALSE)</f>
        <v>0</v>
      </c>
      <c r="Z1933" s="55">
        <f>VLOOKUP($E1933,'NI-Soc_SP'!$C:$AN,MID(Z$1,1,2),FALSE)</f>
        <v>0</v>
      </c>
      <c r="AA1933" s="55">
        <f>VLOOKUP($E1933,'NI-Soc_SP'!$C:$AN,MID(AA$1,1,2),FALSE)</f>
        <v>0</v>
      </c>
      <c r="AB1933" s="55">
        <f>VLOOKUP($E1933,'NI-Soc_SP'!$C:$AN,MID(AB$1,1,2),FALSE)</f>
        <v>0</v>
      </c>
      <c r="AC1933" s="55">
        <f>VLOOKUP($E1933,'NI-Soc_SP'!$C:$AN,MID(AC$1,1,2),FALSE)</f>
        <v>0</v>
      </c>
      <c r="AD1933" s="55">
        <f>VLOOKUP($E1933,'NI-Soc_SP'!$C:$AN,MID(AD$1,1,2),FALSE)</f>
        <v>0</v>
      </c>
      <c r="AE1933" s="55">
        <f>VLOOKUP($E1933,'NI-Soc_SP'!$C:$AN,MID(AE$1,1,2),FALSE)</f>
        <v>0</v>
      </c>
      <c r="AF1933" s="55">
        <f>VLOOKUP($E1933,'NI-Soc_SP'!$C:$AN,MID(AF$1,1,2),FALSE)</f>
        <v>0</v>
      </c>
      <c r="AG1933" s="55">
        <f>VLOOKUP($E1933,'NI-Soc_SP'!$C:$AN,MID(AG$1,1,2),FALSE)</f>
        <v>0</v>
      </c>
      <c r="AH1933" s="55">
        <f>VLOOKUP($E1933,'NI-Soc_SP'!$C:$AN,MID(AH$1,1,2),FALSE)</f>
        <v>0</v>
      </c>
      <c r="AI1933" s="55">
        <f>VLOOKUP($E1933,'NI-Soc_SP'!$C:$AN,MID(AI$1,1,2),FALSE)</f>
        <v>0</v>
      </c>
      <c r="AJ1933" s="55">
        <f>VLOOKUP($E1933,'NI-Soc_SP'!$C:$AN,MID(AJ$1,1,2),FALSE)</f>
        <v>0</v>
      </c>
      <c r="AK1933" s="55">
        <f>VLOOKUP($E1933,'NI-Soc_SP'!$C:$AN,MID(AK$1,1,2),FALSE)</f>
        <v>0</v>
      </c>
      <c r="AL1933" s="55">
        <f>VLOOKUP($E1933,'NI-Soc_SP'!$C:$AN,MID(AL$1,1,2),FALSE)</f>
        <v>0</v>
      </c>
      <c r="AM1933" s="56">
        <f>VLOOKUP($E1933,'NI-Soc_SP'!$C:$AN,MID(AM$1,1,2),FALSE)</f>
        <v>0</v>
      </c>
      <c r="AN1933" s="30" t="str">
        <f t="shared" si="30"/>
        <v>30102030000000</v>
      </c>
    </row>
    <row r="1934" spans="3:40" x14ac:dyDescent="0.25">
      <c r="C1934" s="40"/>
      <c r="D1934" s="121" t="s">
        <v>1827</v>
      </c>
      <c r="E1934" s="121" t="s">
        <v>1828</v>
      </c>
      <c r="F1934" s="122" t="s">
        <v>2758</v>
      </c>
      <c r="G1934" s="52"/>
      <c r="H1934" s="52"/>
      <c r="I1934" s="52"/>
      <c r="J1934" s="52"/>
      <c r="K1934" s="59" t="s">
        <v>111</v>
      </c>
      <c r="L1934" s="52"/>
      <c r="M1934" s="52"/>
      <c r="N1934" s="52"/>
      <c r="O1934" s="61" t="s">
        <v>1829</v>
      </c>
      <c r="P1934" s="108" t="s">
        <v>1830</v>
      </c>
      <c r="Q1934" s="55">
        <f>VLOOKUP(E1934,'NI-Soc_SP'!$C:$AN,12,FALSE)</f>
        <v>0</v>
      </c>
      <c r="R1934" s="55">
        <f>VLOOKUP(E1934,'NI-Soc_SP'!$C:$AN,13,FALSE)</f>
        <v>0</v>
      </c>
      <c r="S1934" s="55">
        <f>VLOOKUP(E1934,'NI-Soc_SP'!$C:$AN,31,FALSE)</f>
        <v>0</v>
      </c>
      <c r="T1934" s="55">
        <f>VLOOKUP(E1934,'NI-Soc_SP'!$C:$AN,32,FALSE)+VLOOKUP(E1934,'NI-Soc_SP'!$C:$AN,33,FALSE)</f>
        <v>0</v>
      </c>
      <c r="U1934" s="55">
        <f>VLOOKUP($E1934,'NI-Soc_SP'!$C:$AN,MID(U$1,1,2),FALSE)</f>
        <v>0</v>
      </c>
      <c r="V1934" s="55">
        <f>VLOOKUP($E1934,'NI-Soc_SP'!$C:$AN,MID(V$1,1,2),FALSE)</f>
        <v>0</v>
      </c>
      <c r="W1934" s="55">
        <f>VLOOKUP($E1934,'NI-Soc_SP'!$C:$AN,MID(W$1,1,2),FALSE)</f>
        <v>0</v>
      </c>
      <c r="X1934" s="55">
        <f>VLOOKUP($E1934,'NI-Soc_SP'!$C:$AN,MID(X$1,1,2),FALSE)</f>
        <v>0</v>
      </c>
      <c r="Y1934" s="55">
        <f>VLOOKUP($E1934,'NI-Soc_SP'!$C:$AN,MID(Y$1,1,2),FALSE)</f>
        <v>0</v>
      </c>
      <c r="Z1934" s="55">
        <f>VLOOKUP($E1934,'NI-Soc_SP'!$C:$AN,MID(Z$1,1,2),FALSE)</f>
        <v>0</v>
      </c>
      <c r="AA1934" s="55">
        <f>VLOOKUP($E1934,'NI-Soc_SP'!$C:$AN,MID(AA$1,1,2),FALSE)</f>
        <v>0</v>
      </c>
      <c r="AB1934" s="55">
        <f>VLOOKUP($E1934,'NI-Soc_SP'!$C:$AN,MID(AB$1,1,2),FALSE)</f>
        <v>0</v>
      </c>
      <c r="AC1934" s="55">
        <f>VLOOKUP($E1934,'NI-Soc_SP'!$C:$AN,MID(AC$1,1,2),FALSE)</f>
        <v>0</v>
      </c>
      <c r="AD1934" s="55">
        <f>VLOOKUP($E1934,'NI-Soc_SP'!$C:$AN,MID(AD$1,1,2),FALSE)</f>
        <v>0</v>
      </c>
      <c r="AE1934" s="55">
        <f>VLOOKUP($E1934,'NI-Soc_SP'!$C:$AN,MID(AE$1,1,2),FALSE)</f>
        <v>0</v>
      </c>
      <c r="AF1934" s="55">
        <f>VLOOKUP($E1934,'NI-Soc_SP'!$C:$AN,MID(AF$1,1,2),FALSE)</f>
        <v>0</v>
      </c>
      <c r="AG1934" s="55">
        <f>VLOOKUP($E1934,'NI-Soc_SP'!$C:$AN,MID(AG$1,1,2),FALSE)</f>
        <v>0</v>
      </c>
      <c r="AH1934" s="55">
        <f>VLOOKUP($E1934,'NI-Soc_SP'!$C:$AN,MID(AH$1,1,2),FALSE)</f>
        <v>0</v>
      </c>
      <c r="AI1934" s="55">
        <f>VLOOKUP($E1934,'NI-Soc_SP'!$C:$AN,MID(AI$1,1,2),FALSE)</f>
        <v>0</v>
      </c>
      <c r="AJ1934" s="55">
        <f>VLOOKUP($E1934,'NI-Soc_SP'!$C:$AN,MID(AJ$1,1,2),FALSE)</f>
        <v>0</v>
      </c>
      <c r="AK1934" s="55">
        <f>VLOOKUP($E1934,'NI-Soc_SP'!$C:$AN,MID(AK$1,1,2),FALSE)</f>
        <v>0</v>
      </c>
      <c r="AL1934" s="55">
        <f>VLOOKUP($E1934,'NI-Soc_SP'!$C:$AN,MID(AL$1,1,2),FALSE)</f>
        <v>0</v>
      </c>
      <c r="AM1934" s="56">
        <f>VLOOKUP($E1934,'NI-Soc_SP'!$C:$AN,MID(AM$1,1,2),FALSE)</f>
        <v>0</v>
      </c>
      <c r="AN1934" s="30" t="str">
        <f t="shared" si="30"/>
        <v>30200000000000</v>
      </c>
    </row>
    <row r="1935" spans="3:40" x14ac:dyDescent="0.25">
      <c r="C1935" s="40"/>
      <c r="D1935" s="121" t="s">
        <v>1831</v>
      </c>
      <c r="E1935" s="121" t="s">
        <v>1832</v>
      </c>
      <c r="F1935" s="122" t="s">
        <v>2758</v>
      </c>
      <c r="G1935" s="52"/>
      <c r="H1935" s="52"/>
      <c r="I1935" s="52" t="s">
        <v>1833</v>
      </c>
      <c r="J1935" s="52"/>
      <c r="K1935" s="59" t="s">
        <v>79</v>
      </c>
      <c r="L1935" s="52"/>
      <c r="M1935" s="52"/>
      <c r="N1935" s="52"/>
      <c r="O1935" s="52"/>
      <c r="P1935" s="108" t="s">
        <v>1834</v>
      </c>
      <c r="Q1935" s="55">
        <f>VLOOKUP(E1935,'NI-Soc_SP'!$C:$AN,12,FALSE)</f>
        <v>0</v>
      </c>
      <c r="R1935" s="55">
        <f>VLOOKUP(E1935,'NI-Soc_SP'!$C:$AN,13,FALSE)</f>
        <v>0</v>
      </c>
      <c r="S1935" s="55"/>
      <c r="T1935" s="55"/>
      <c r="U1935" s="55">
        <f>VLOOKUP($E1935,'NI-Soc_SP'!$C:$AN,MID(U$1,1,2),FALSE)</f>
        <v>0</v>
      </c>
      <c r="V1935" s="55">
        <f>VLOOKUP($E1935,'NI-Soc_SP'!$C:$AN,MID(V$1,1,2),FALSE)</f>
        <v>0</v>
      </c>
      <c r="W1935" s="55">
        <f>VLOOKUP($E1935,'NI-Soc_SP'!$C:$AN,MID(W$1,1,2),FALSE)</f>
        <v>0</v>
      </c>
      <c r="X1935" s="55">
        <f>VLOOKUP($E1935,'NI-Soc_SP'!$C:$AN,MID(X$1,1,2),FALSE)</f>
        <v>0</v>
      </c>
      <c r="Y1935" s="55">
        <f>VLOOKUP($E1935,'NI-Soc_SP'!$C:$AN,MID(Y$1,1,2),FALSE)</f>
        <v>0</v>
      </c>
      <c r="Z1935" s="55">
        <f>VLOOKUP($E1935,'NI-Soc_SP'!$C:$AN,MID(Z$1,1,2),FALSE)</f>
        <v>0</v>
      </c>
      <c r="AA1935" s="55">
        <f>VLOOKUP($E1935,'NI-Soc_SP'!$C:$AN,MID(AA$1,1,2),FALSE)</f>
        <v>0</v>
      </c>
      <c r="AB1935" s="55">
        <f>VLOOKUP($E1935,'NI-Soc_SP'!$C:$AN,MID(AB$1,1,2),FALSE)</f>
        <v>0</v>
      </c>
      <c r="AC1935" s="55">
        <f>VLOOKUP($E1935,'NI-Soc_SP'!$C:$AN,MID(AC$1,1,2),FALSE)</f>
        <v>0</v>
      </c>
      <c r="AD1935" s="55">
        <f>VLOOKUP($E1935,'NI-Soc_SP'!$C:$AN,MID(AD$1,1,2),FALSE)</f>
        <v>0</v>
      </c>
      <c r="AE1935" s="55">
        <f>VLOOKUP($E1935,'NI-Soc_SP'!$C:$AN,MID(AE$1,1,2),FALSE)</f>
        <v>0</v>
      </c>
      <c r="AF1935" s="55">
        <f>VLOOKUP($E1935,'NI-Soc_SP'!$C:$AN,MID(AF$1,1,2),FALSE)</f>
        <v>0</v>
      </c>
      <c r="AG1935" s="55">
        <f>VLOOKUP($E1935,'NI-Soc_SP'!$C:$AN,MID(AG$1,1,2),FALSE)</f>
        <v>0</v>
      </c>
      <c r="AH1935" s="55">
        <f>VLOOKUP($E1935,'NI-Soc_SP'!$C:$AN,MID(AH$1,1,2),FALSE)</f>
        <v>0</v>
      </c>
      <c r="AI1935" s="55">
        <f>VLOOKUP($E1935,'NI-Soc_SP'!$C:$AN,MID(AI$1,1,2),FALSE)</f>
        <v>0</v>
      </c>
      <c r="AJ1935" s="55">
        <f>VLOOKUP($E1935,'NI-Soc_SP'!$C:$AN,MID(AJ$1,1,2),FALSE)</f>
        <v>0</v>
      </c>
      <c r="AK1935" s="55">
        <f>VLOOKUP($E1935,'NI-Soc_SP'!$C:$AN,MID(AK$1,1,2),FALSE)</f>
        <v>0</v>
      </c>
      <c r="AL1935" s="55">
        <f>VLOOKUP($E1935,'NI-Soc_SP'!$C:$AN,MID(AL$1,1,2),FALSE)</f>
        <v>0</v>
      </c>
      <c r="AM1935" s="56">
        <f>VLOOKUP($E1935,'NI-Soc_SP'!$C:$AN,MID(AM$1,1,2),FALSE)</f>
        <v>0</v>
      </c>
      <c r="AN1935" s="30" t="str">
        <f t="shared" si="30"/>
        <v>30201000000000</v>
      </c>
    </row>
    <row r="1936" spans="3:40" x14ac:dyDescent="0.25">
      <c r="C1936" s="40"/>
      <c r="D1936" s="121" t="s">
        <v>1835</v>
      </c>
      <c r="E1936" s="121" t="s">
        <v>1836</v>
      </c>
      <c r="F1936" s="122" t="s">
        <v>2758</v>
      </c>
      <c r="G1936" s="52" t="s">
        <v>1608</v>
      </c>
      <c r="H1936" s="52"/>
      <c r="I1936" s="52" t="s">
        <v>1837</v>
      </c>
      <c r="J1936" s="52"/>
      <c r="K1936" s="59" t="s">
        <v>79</v>
      </c>
      <c r="L1936" s="52"/>
      <c r="M1936" s="52"/>
      <c r="N1936" s="52"/>
      <c r="O1936" s="52"/>
      <c r="P1936" s="108" t="s">
        <v>1838</v>
      </c>
      <c r="Q1936" s="55">
        <f>VLOOKUP(E1936,'NI-Soc_SP'!$C:$AN,12,FALSE)</f>
        <v>0</v>
      </c>
      <c r="R1936" s="55">
        <f>VLOOKUP(E1936,'NI-Soc_SP'!$C:$AN,13,FALSE)</f>
        <v>0</v>
      </c>
      <c r="S1936" s="55"/>
      <c r="T1936" s="55"/>
      <c r="U1936" s="55">
        <f>VLOOKUP($E1936,'NI-Soc_SP'!$C:$AN,MID(U$1,1,2),FALSE)</f>
        <v>0</v>
      </c>
      <c r="V1936" s="55">
        <f>VLOOKUP($E1936,'NI-Soc_SP'!$C:$AN,MID(V$1,1,2),FALSE)</f>
        <v>0</v>
      </c>
      <c r="W1936" s="55">
        <f>VLOOKUP($E1936,'NI-Soc_SP'!$C:$AN,MID(W$1,1,2),FALSE)</f>
        <v>0</v>
      </c>
      <c r="X1936" s="55">
        <f>VLOOKUP($E1936,'NI-Soc_SP'!$C:$AN,MID(X$1,1,2),FALSE)</f>
        <v>0</v>
      </c>
      <c r="Y1936" s="55">
        <f>VLOOKUP($E1936,'NI-Soc_SP'!$C:$AN,MID(Y$1,1,2),FALSE)</f>
        <v>0</v>
      </c>
      <c r="Z1936" s="55">
        <f>VLOOKUP($E1936,'NI-Soc_SP'!$C:$AN,MID(Z$1,1,2),FALSE)</f>
        <v>0</v>
      </c>
      <c r="AA1936" s="55">
        <f>VLOOKUP($E1936,'NI-Soc_SP'!$C:$AN,MID(AA$1,1,2),FALSE)</f>
        <v>0</v>
      </c>
      <c r="AB1936" s="55">
        <f>VLOOKUP($E1936,'NI-Soc_SP'!$C:$AN,MID(AB$1,1,2),FALSE)</f>
        <v>0</v>
      </c>
      <c r="AC1936" s="55">
        <f>VLOOKUP($E1936,'NI-Soc_SP'!$C:$AN,MID(AC$1,1,2),FALSE)</f>
        <v>0</v>
      </c>
      <c r="AD1936" s="55">
        <f>VLOOKUP($E1936,'NI-Soc_SP'!$C:$AN,MID(AD$1,1,2),FALSE)</f>
        <v>0</v>
      </c>
      <c r="AE1936" s="55">
        <f>VLOOKUP($E1936,'NI-Soc_SP'!$C:$AN,MID(AE$1,1,2),FALSE)</f>
        <v>0</v>
      </c>
      <c r="AF1936" s="55">
        <f>VLOOKUP($E1936,'NI-Soc_SP'!$C:$AN,MID(AF$1,1,2),FALSE)</f>
        <v>0</v>
      </c>
      <c r="AG1936" s="55">
        <f>VLOOKUP($E1936,'NI-Soc_SP'!$C:$AN,MID(AG$1,1,2),FALSE)</f>
        <v>0</v>
      </c>
      <c r="AH1936" s="55">
        <f>VLOOKUP($E1936,'NI-Soc_SP'!$C:$AN,MID(AH$1,1,2),FALSE)</f>
        <v>0</v>
      </c>
      <c r="AI1936" s="55">
        <f>VLOOKUP($E1936,'NI-Soc_SP'!$C:$AN,MID(AI$1,1,2),FALSE)</f>
        <v>0</v>
      </c>
      <c r="AJ1936" s="55">
        <f>VLOOKUP($E1936,'NI-Soc_SP'!$C:$AN,MID(AJ$1,1,2),FALSE)</f>
        <v>0</v>
      </c>
      <c r="AK1936" s="55">
        <f>VLOOKUP($E1936,'NI-Soc_SP'!$C:$AN,MID(AK$1,1,2),FALSE)</f>
        <v>0</v>
      </c>
      <c r="AL1936" s="55">
        <f>VLOOKUP($E1936,'NI-Soc_SP'!$C:$AN,MID(AL$1,1,2),FALSE)</f>
        <v>0</v>
      </c>
      <c r="AM1936" s="56">
        <f>VLOOKUP($E1936,'NI-Soc_SP'!$C:$AN,MID(AM$1,1,2),FALSE)</f>
        <v>0</v>
      </c>
      <c r="AN1936" s="30" t="str">
        <f t="shared" si="30"/>
        <v>30202000000000</v>
      </c>
    </row>
    <row r="1937" spans="1:40" x14ac:dyDescent="0.25">
      <c r="C1937" s="40"/>
      <c r="D1937" s="121" t="s">
        <v>1839</v>
      </c>
      <c r="E1937" s="121" t="s">
        <v>1840</v>
      </c>
      <c r="F1937" s="122" t="s">
        <v>2758</v>
      </c>
      <c r="G1937" s="51"/>
      <c r="H1937" s="52"/>
      <c r="I1937" s="52"/>
      <c r="J1937" s="52"/>
      <c r="K1937" s="53" t="s">
        <v>111</v>
      </c>
      <c r="L1937" s="52"/>
      <c r="M1937" s="52"/>
      <c r="N1937" s="52"/>
      <c r="O1937" s="61"/>
      <c r="P1937" s="110" t="s">
        <v>2754</v>
      </c>
      <c r="Q1937" s="55">
        <f>VLOOKUP(E1937,'NI-Soc_SP'!$C:$AN,12,FALSE)</f>
        <v>0</v>
      </c>
      <c r="R1937" s="55">
        <f>VLOOKUP(E1937,'NI-Soc_SP'!$C:$AN,13,FALSE)</f>
        <v>0</v>
      </c>
      <c r="S1937" s="55"/>
      <c r="T1937" s="55"/>
      <c r="U1937" s="55">
        <f>VLOOKUP($E1937,'NI-Soc_SP'!$C:$AN,MID(U$1,1,2),FALSE)</f>
        <v>0</v>
      </c>
      <c r="V1937" s="55">
        <f>VLOOKUP($E1937,'NI-Soc_SP'!$C:$AN,MID(V$1,1,2),FALSE)</f>
        <v>0</v>
      </c>
      <c r="W1937" s="55">
        <f>VLOOKUP($E1937,'NI-Soc_SP'!$C:$AN,MID(W$1,1,2),FALSE)</f>
        <v>0</v>
      </c>
      <c r="X1937" s="55" t="str">
        <f>VLOOKUP($E1937,'NI-Soc_SP'!$C:$AN,MID(X$1,1,2),FALSE)</f>
        <v/>
      </c>
      <c r="Y1937" s="55">
        <f>VLOOKUP($E1937,'NI-Soc_SP'!$C:$AN,MID(Y$1,1,2),FALSE)</f>
        <v>0</v>
      </c>
      <c r="Z1937" s="55">
        <f>VLOOKUP($E1937,'NI-Soc_SP'!$C:$AN,MID(Z$1,1,2),FALSE)</f>
        <v>0</v>
      </c>
      <c r="AA1937" s="55">
        <f>VLOOKUP($E1937,'NI-Soc_SP'!$C:$AN,MID(AA$1,1,2),FALSE)</f>
        <v>0</v>
      </c>
      <c r="AB1937" s="55">
        <f>VLOOKUP($E1937,'NI-Soc_SP'!$C:$AN,MID(AB$1,1,2),FALSE)</f>
        <v>0</v>
      </c>
      <c r="AC1937" s="55">
        <f>VLOOKUP($E1937,'NI-Soc_SP'!$C:$AN,MID(AC$1,1,2),FALSE)</f>
        <v>0</v>
      </c>
      <c r="AD1937" s="55">
        <f>VLOOKUP($E1937,'NI-Soc_SP'!$C:$AN,MID(AD$1,1,2),FALSE)</f>
        <v>0</v>
      </c>
      <c r="AE1937" s="55">
        <f>VLOOKUP($E1937,'NI-Soc_SP'!$C:$AN,MID(AE$1,1,2),FALSE)</f>
        <v>0</v>
      </c>
      <c r="AF1937" s="55">
        <f>VLOOKUP($E1937,'NI-Soc_SP'!$C:$AN,MID(AF$1,1,2),FALSE)</f>
        <v>0</v>
      </c>
      <c r="AG1937" s="55">
        <f>VLOOKUP($E1937,'NI-Soc_SP'!$C:$AN,MID(AG$1,1,2),FALSE)</f>
        <v>0</v>
      </c>
      <c r="AH1937" s="55">
        <f>VLOOKUP($E1937,'NI-Soc_SP'!$C:$AN,MID(AH$1,1,2),FALSE)</f>
        <v>0</v>
      </c>
      <c r="AI1937" s="55">
        <f>VLOOKUP($E1937,'NI-Soc_SP'!$C:$AN,MID(AI$1,1,2),FALSE)</f>
        <v>0</v>
      </c>
      <c r="AJ1937" s="55">
        <f>VLOOKUP($E1937,'NI-Soc_SP'!$C:$AN,MID(AJ$1,1,2),FALSE)</f>
        <v>0</v>
      </c>
      <c r="AK1937" s="55">
        <f>VLOOKUP($E1937,'NI-Soc_SP'!$C:$AN,MID(AK$1,1,2),FALSE)</f>
        <v>0</v>
      </c>
      <c r="AL1937" s="55">
        <f>VLOOKUP($E1937,'NI-Soc_SP'!$C:$AN,MID(AL$1,1,2),FALSE)</f>
        <v>0</v>
      </c>
      <c r="AM1937" s="56">
        <f>VLOOKUP($E1937,'NI-Soc_SP'!$C:$AN,MID(AM$1,1,2),FALSE)</f>
        <v>0</v>
      </c>
      <c r="AN1937" s="30" t="str">
        <f t="shared" si="30"/>
        <v>40000000000000</v>
      </c>
    </row>
    <row r="1938" spans="1:40" x14ac:dyDescent="0.25">
      <c r="C1938" s="40"/>
      <c r="D1938" s="121" t="s">
        <v>1842</v>
      </c>
      <c r="E1938" s="121" t="s">
        <v>1843</v>
      </c>
      <c r="F1938" s="122" t="s">
        <v>2758</v>
      </c>
      <c r="G1938" s="51"/>
      <c r="H1938" s="52"/>
      <c r="I1938" s="52" t="s">
        <v>1844</v>
      </c>
      <c r="J1938" s="52"/>
      <c r="K1938" s="53" t="s">
        <v>79</v>
      </c>
      <c r="L1938" s="52"/>
      <c r="M1938" s="52"/>
      <c r="N1938" s="52"/>
      <c r="O1938" s="61" t="s">
        <v>1845</v>
      </c>
      <c r="P1938" s="54" t="s">
        <v>2755</v>
      </c>
      <c r="Q1938" s="55">
        <f>VLOOKUP(E1938,'NI-Soc_SP'!$C:$AN,12,FALSE)</f>
        <v>0</v>
      </c>
      <c r="R1938" s="55">
        <f>VLOOKUP(E1938,'NI-Soc_SP'!$C:$AN,13,FALSE)</f>
        <v>0</v>
      </c>
      <c r="S1938" s="55"/>
      <c r="T1938" s="55"/>
      <c r="U1938" s="55">
        <f>VLOOKUP($E1938,'NI-Soc_SP'!$C:$AN,MID(U$1,1,2),FALSE)</f>
        <v>0</v>
      </c>
      <c r="V1938" s="55">
        <f>VLOOKUP($E1938,'NI-Soc_SP'!$C:$AN,MID(V$1,1,2),FALSE)</f>
        <v>0</v>
      </c>
      <c r="W1938" s="55">
        <f>VLOOKUP($E1938,'NI-Soc_SP'!$C:$AN,MID(W$1,1,2),FALSE)</f>
        <v>0</v>
      </c>
      <c r="X1938" s="55">
        <f>VLOOKUP($E1938,'NI-Soc_SP'!$C:$AN,MID(X$1,1,2),FALSE)</f>
        <v>0</v>
      </c>
      <c r="Y1938" s="55">
        <f>VLOOKUP($E1938,'NI-Soc_SP'!$C:$AN,MID(Y$1,1,2),FALSE)</f>
        <v>0</v>
      </c>
      <c r="Z1938" s="55">
        <f>VLOOKUP($E1938,'NI-Soc_SP'!$C:$AN,MID(Z$1,1,2),FALSE)</f>
        <v>0</v>
      </c>
      <c r="AA1938" s="55">
        <f>VLOOKUP($E1938,'NI-Soc_SP'!$C:$AN,MID(AA$1,1,2),FALSE)</f>
        <v>0</v>
      </c>
      <c r="AB1938" s="55">
        <f>VLOOKUP($E1938,'NI-Soc_SP'!$C:$AN,MID(AB$1,1,2),FALSE)</f>
        <v>0</v>
      </c>
      <c r="AC1938" s="55">
        <f>VLOOKUP($E1938,'NI-Soc_SP'!$C:$AN,MID(AC$1,1,2),FALSE)</f>
        <v>0</v>
      </c>
      <c r="AD1938" s="55">
        <f>VLOOKUP($E1938,'NI-Soc_SP'!$C:$AN,MID(AD$1,1,2),FALSE)</f>
        <v>0</v>
      </c>
      <c r="AE1938" s="55">
        <f>VLOOKUP($E1938,'NI-Soc_SP'!$C:$AN,MID(AE$1,1,2),FALSE)</f>
        <v>0</v>
      </c>
      <c r="AF1938" s="55">
        <f>VLOOKUP($E1938,'NI-Soc_SP'!$C:$AN,MID(AF$1,1,2),FALSE)</f>
        <v>0</v>
      </c>
      <c r="AG1938" s="55">
        <f>VLOOKUP($E1938,'NI-Soc_SP'!$C:$AN,MID(AG$1,1,2),FALSE)</f>
        <v>0</v>
      </c>
      <c r="AH1938" s="55">
        <f>VLOOKUP($E1938,'NI-Soc_SP'!$C:$AN,MID(AH$1,1,2),FALSE)</f>
        <v>0</v>
      </c>
      <c r="AI1938" s="55">
        <f>VLOOKUP($E1938,'NI-Soc_SP'!$C:$AN,MID(AI$1,1,2),FALSE)</f>
        <v>0</v>
      </c>
      <c r="AJ1938" s="55">
        <f>VLOOKUP($E1938,'NI-Soc_SP'!$C:$AN,MID(AJ$1,1,2),FALSE)</f>
        <v>0</v>
      </c>
      <c r="AK1938" s="55">
        <f>VLOOKUP($E1938,'NI-Soc_SP'!$C:$AN,MID(AK$1,1,2),FALSE)</f>
        <v>0</v>
      </c>
      <c r="AL1938" s="55">
        <f>VLOOKUP($E1938,'NI-Soc_SP'!$C:$AN,MID(AL$1,1,2),FALSE)</f>
        <v>0</v>
      </c>
      <c r="AM1938" s="56">
        <f>VLOOKUP($E1938,'NI-Soc_SP'!$C:$AN,MID(AM$1,1,2),FALSE)</f>
        <v>0</v>
      </c>
      <c r="AN1938" s="30" t="str">
        <f t="shared" si="30"/>
        <v>40100000000000</v>
      </c>
    </row>
    <row r="1939" spans="1:40" x14ac:dyDescent="0.25">
      <c r="C1939" s="40"/>
      <c r="D1939" s="121" t="s">
        <v>1847</v>
      </c>
      <c r="E1939" s="121" t="s">
        <v>1848</v>
      </c>
      <c r="F1939" s="122" t="s">
        <v>2758</v>
      </c>
      <c r="G1939" s="52"/>
      <c r="H1939" s="52"/>
      <c r="I1939" s="52" t="s">
        <v>1849</v>
      </c>
      <c r="J1939" s="52"/>
      <c r="K1939" s="59" t="s">
        <v>79</v>
      </c>
      <c r="L1939" s="62"/>
      <c r="M1939" s="52"/>
      <c r="N1939" s="52"/>
      <c r="O1939" s="61" t="s">
        <v>1850</v>
      </c>
      <c r="P1939" s="63" t="s">
        <v>2756</v>
      </c>
      <c r="Q1939" s="55">
        <f>VLOOKUP(E1939,'NI-Soc_SP'!$C:$AN,12,FALSE)</f>
        <v>0</v>
      </c>
      <c r="R1939" s="55">
        <f>VLOOKUP(E1939,'NI-Soc_SP'!$C:$AN,13,FALSE)</f>
        <v>0</v>
      </c>
      <c r="S1939" s="55"/>
      <c r="T1939" s="55"/>
      <c r="U1939" s="55">
        <f>VLOOKUP($E1939,'NI-Soc_SP'!$C:$AN,MID(U$1,1,2),FALSE)</f>
        <v>0</v>
      </c>
      <c r="V1939" s="55">
        <f>VLOOKUP($E1939,'NI-Soc_SP'!$C:$AN,MID(V$1,1,2),FALSE)</f>
        <v>0</v>
      </c>
      <c r="W1939" s="55">
        <f>VLOOKUP($E1939,'NI-Soc_SP'!$C:$AN,MID(W$1,1,2),FALSE)</f>
        <v>0</v>
      </c>
      <c r="X1939" s="55">
        <f>VLOOKUP($E1939,'NI-Soc_SP'!$C:$AN,MID(X$1,1,2),FALSE)</f>
        <v>0</v>
      </c>
      <c r="Y1939" s="55">
        <f>VLOOKUP($E1939,'NI-Soc_SP'!$C:$AN,MID(Y$1,1,2),FALSE)</f>
        <v>0</v>
      </c>
      <c r="Z1939" s="55">
        <f>VLOOKUP($E1939,'NI-Soc_SP'!$C:$AN,MID(Z$1,1,2),FALSE)</f>
        <v>0</v>
      </c>
      <c r="AA1939" s="55">
        <f>VLOOKUP($E1939,'NI-Soc_SP'!$C:$AN,MID(AA$1,1,2),FALSE)</f>
        <v>0</v>
      </c>
      <c r="AB1939" s="55">
        <f>VLOOKUP($E1939,'NI-Soc_SP'!$C:$AN,MID(AB$1,1,2),FALSE)</f>
        <v>0</v>
      </c>
      <c r="AC1939" s="55">
        <f>VLOOKUP($E1939,'NI-Soc_SP'!$C:$AN,MID(AC$1,1,2),FALSE)</f>
        <v>0</v>
      </c>
      <c r="AD1939" s="55">
        <f>VLOOKUP($E1939,'NI-Soc_SP'!$C:$AN,MID(AD$1,1,2),FALSE)</f>
        <v>0</v>
      </c>
      <c r="AE1939" s="55">
        <f>VLOOKUP($E1939,'NI-Soc_SP'!$C:$AN,MID(AE$1,1,2),FALSE)</f>
        <v>0</v>
      </c>
      <c r="AF1939" s="55">
        <f>VLOOKUP($E1939,'NI-Soc_SP'!$C:$AN,MID(AF$1,1,2),FALSE)</f>
        <v>0</v>
      </c>
      <c r="AG1939" s="55">
        <f>VLOOKUP($E1939,'NI-Soc_SP'!$C:$AN,MID(AG$1,1,2),FALSE)</f>
        <v>0</v>
      </c>
      <c r="AH1939" s="55">
        <f>VLOOKUP($E1939,'NI-Soc_SP'!$C:$AN,MID(AH$1,1,2),FALSE)</f>
        <v>0</v>
      </c>
      <c r="AI1939" s="55">
        <f>VLOOKUP($E1939,'NI-Soc_SP'!$C:$AN,MID(AI$1,1,2),FALSE)</f>
        <v>0</v>
      </c>
      <c r="AJ1939" s="55">
        <f>VLOOKUP($E1939,'NI-Soc_SP'!$C:$AN,MID(AJ$1,1,2),FALSE)</f>
        <v>0</v>
      </c>
      <c r="AK1939" s="55">
        <f>VLOOKUP($E1939,'NI-Soc_SP'!$C:$AN,MID(AK$1,1,2),FALSE)</f>
        <v>0</v>
      </c>
      <c r="AL1939" s="55">
        <f>VLOOKUP($E1939,'NI-Soc_SP'!$C:$AN,MID(AL$1,1,2),FALSE)</f>
        <v>0</v>
      </c>
      <c r="AM1939" s="56">
        <f>VLOOKUP($E1939,'NI-Soc_SP'!$C:$AN,MID(AM$1,1,2),FALSE)</f>
        <v>0</v>
      </c>
      <c r="AN1939" s="30" t="str">
        <f t="shared" si="30"/>
        <v>40200000000000</v>
      </c>
    </row>
    <row r="1940" spans="1:40" x14ac:dyDescent="0.25">
      <c r="C1940" s="40"/>
      <c r="D1940" s="121" t="s">
        <v>1852</v>
      </c>
      <c r="E1940" s="121" t="s">
        <v>1853</v>
      </c>
      <c r="F1940" s="122" t="s">
        <v>2758</v>
      </c>
      <c r="G1940" s="52"/>
      <c r="H1940" s="52"/>
      <c r="I1940" s="52" t="s">
        <v>1854</v>
      </c>
      <c r="J1940" s="52"/>
      <c r="K1940" s="59" t="s">
        <v>79</v>
      </c>
      <c r="L1940" s="52"/>
      <c r="M1940" s="52"/>
      <c r="N1940" s="52"/>
      <c r="O1940" s="61" t="s">
        <v>1855</v>
      </c>
      <c r="P1940" s="63" t="s">
        <v>2757</v>
      </c>
      <c r="Q1940" s="55">
        <f>VLOOKUP(E1940,'NI-Soc_SP'!$C:$AN,12,FALSE)</f>
        <v>0</v>
      </c>
      <c r="R1940" s="55">
        <f>VLOOKUP(E1940,'NI-Soc_SP'!$C:$AN,13,FALSE)</f>
        <v>0</v>
      </c>
      <c r="S1940" s="55"/>
      <c r="T1940" s="55"/>
      <c r="U1940" s="55">
        <f>VLOOKUP($E1940,'NI-Soc_SP'!$C:$AN,MID(U$1,1,2),FALSE)</f>
        <v>0</v>
      </c>
      <c r="V1940" s="55">
        <f>VLOOKUP($E1940,'NI-Soc_SP'!$C:$AN,MID(V$1,1,2),FALSE)</f>
        <v>0</v>
      </c>
      <c r="W1940" s="55">
        <f>VLOOKUP($E1940,'NI-Soc_SP'!$C:$AN,MID(W$1,1,2),FALSE)</f>
        <v>0</v>
      </c>
      <c r="X1940" s="55">
        <f>VLOOKUP($E1940,'NI-Soc_SP'!$C:$AN,MID(X$1,1,2),FALSE)</f>
        <v>0</v>
      </c>
      <c r="Y1940" s="55">
        <f>VLOOKUP($E1940,'NI-Soc_SP'!$C:$AN,MID(Y$1,1,2),FALSE)</f>
        <v>0</v>
      </c>
      <c r="Z1940" s="55">
        <f>VLOOKUP($E1940,'NI-Soc_SP'!$C:$AN,MID(Z$1,1,2),FALSE)</f>
        <v>0</v>
      </c>
      <c r="AA1940" s="55">
        <f>VLOOKUP($E1940,'NI-Soc_SP'!$C:$AN,MID(AA$1,1,2),FALSE)</f>
        <v>0</v>
      </c>
      <c r="AB1940" s="55">
        <f>VLOOKUP($E1940,'NI-Soc_SP'!$C:$AN,MID(AB$1,1,2),FALSE)</f>
        <v>0</v>
      </c>
      <c r="AC1940" s="55">
        <f>VLOOKUP($E1940,'NI-Soc_SP'!$C:$AN,MID(AC$1,1,2),FALSE)</f>
        <v>0</v>
      </c>
      <c r="AD1940" s="55">
        <f>VLOOKUP($E1940,'NI-Soc_SP'!$C:$AN,MID(AD$1,1,2),FALSE)</f>
        <v>0</v>
      </c>
      <c r="AE1940" s="55">
        <f>VLOOKUP($E1940,'NI-Soc_SP'!$C:$AN,MID(AE$1,1,2),FALSE)</f>
        <v>0</v>
      </c>
      <c r="AF1940" s="55">
        <f>VLOOKUP($E1940,'NI-Soc_SP'!$C:$AN,MID(AF$1,1,2),FALSE)</f>
        <v>0</v>
      </c>
      <c r="AG1940" s="55">
        <f>VLOOKUP($E1940,'NI-Soc_SP'!$C:$AN,MID(AG$1,1,2),FALSE)</f>
        <v>0</v>
      </c>
      <c r="AH1940" s="55">
        <f>VLOOKUP($E1940,'NI-Soc_SP'!$C:$AN,MID(AH$1,1,2),FALSE)</f>
        <v>0</v>
      </c>
      <c r="AI1940" s="55">
        <f>VLOOKUP($E1940,'NI-Soc_SP'!$C:$AN,MID(AI$1,1,2),FALSE)</f>
        <v>0</v>
      </c>
      <c r="AJ1940" s="55">
        <f>VLOOKUP($E1940,'NI-Soc_SP'!$C:$AN,MID(AJ$1,1,2),FALSE)</f>
        <v>0</v>
      </c>
      <c r="AK1940" s="55">
        <f>VLOOKUP($E1940,'NI-Soc_SP'!$C:$AN,MID(AK$1,1,2),FALSE)</f>
        <v>0</v>
      </c>
      <c r="AL1940" s="55">
        <f>VLOOKUP($E1940,'NI-Soc_SP'!$C:$AN,MID(AL$1,1,2),FALSE)</f>
        <v>0</v>
      </c>
      <c r="AM1940" s="56">
        <f>VLOOKUP($E1940,'NI-Soc_SP'!$C:$AN,MID(AM$1,1,2),FALSE)</f>
        <v>0</v>
      </c>
      <c r="AN1940" s="30" t="str">
        <f t="shared" si="30"/>
        <v>40300000000000</v>
      </c>
    </row>
    <row r="1941" spans="1:40" x14ac:dyDescent="0.25">
      <c r="A1941" s="30" t="s">
        <v>1394</v>
      </c>
      <c r="C1941" s="40"/>
      <c r="D1941" s="87" t="s">
        <v>1857</v>
      </c>
      <c r="E1941" s="87" t="s">
        <v>1858</v>
      </c>
      <c r="F1941" s="122" t="s">
        <v>2758</v>
      </c>
      <c r="G1941" s="52"/>
      <c r="H1941" s="52"/>
      <c r="I1941" s="52"/>
      <c r="J1941" s="123" t="s">
        <v>1859</v>
      </c>
      <c r="K1941" s="59" t="s">
        <v>79</v>
      </c>
      <c r="L1941" s="52"/>
      <c r="M1941" s="52"/>
      <c r="N1941" s="52"/>
      <c r="O1941" s="61" t="s">
        <v>1860</v>
      </c>
      <c r="P1941" s="90" t="s">
        <v>1861</v>
      </c>
      <c r="Q1941" s="55">
        <f>VLOOKUP(E1941,'NI-Soc_SP'!$C:$AN,12,FALSE)</f>
        <v>0</v>
      </c>
      <c r="R1941" s="55">
        <f>VLOOKUP(E1941,'NI-Soc_SP'!$C:$AN,13,FALSE)</f>
        <v>0</v>
      </c>
      <c r="S1941" s="55"/>
      <c r="T1941" s="55"/>
      <c r="U1941" s="55">
        <f>VLOOKUP($E1941,'NI-Soc_SP'!$C:$AN,MID(U$1,1,2),FALSE)</f>
        <v>0</v>
      </c>
      <c r="V1941" s="55">
        <f>VLOOKUP($E1941,'NI-Soc_SP'!$C:$AN,MID(V$1,1,2),FALSE)</f>
        <v>0</v>
      </c>
      <c r="W1941" s="55">
        <f>VLOOKUP($E1941,'NI-Soc_SP'!$C:$AN,MID(W$1,1,2),FALSE)</f>
        <v>0</v>
      </c>
      <c r="X1941" s="55">
        <f>VLOOKUP($E1941,'NI-Soc_SP'!$C:$AN,MID(X$1,1,2),FALSE)</f>
        <v>0</v>
      </c>
      <c r="Y1941" s="55">
        <f>VLOOKUP($E1941,'NI-Soc_SP'!$C:$AN,MID(Y$1,1,2),FALSE)</f>
        <v>0</v>
      </c>
      <c r="Z1941" s="55">
        <f>VLOOKUP($E1941,'NI-Soc_SP'!$C:$AN,MID(Z$1,1,2),FALSE)</f>
        <v>0</v>
      </c>
      <c r="AA1941" s="55">
        <f>VLOOKUP($E1941,'NI-Soc_SP'!$C:$AN,MID(AA$1,1,2),FALSE)</f>
        <v>0</v>
      </c>
      <c r="AB1941" s="55">
        <f>VLOOKUP($E1941,'NI-Soc_SP'!$C:$AN,MID(AB$1,1,2),FALSE)</f>
        <v>0</v>
      </c>
      <c r="AC1941" s="55">
        <f>VLOOKUP($E1941,'NI-Soc_SP'!$C:$AN,MID(AC$1,1,2),FALSE)</f>
        <v>0</v>
      </c>
      <c r="AD1941" s="55">
        <f>VLOOKUP($E1941,'NI-Soc_SP'!$C:$AN,MID(AD$1,1,2),FALSE)</f>
        <v>0</v>
      </c>
      <c r="AE1941" s="55">
        <f>VLOOKUP($E1941,'NI-Soc_SP'!$C:$AN,MID(AE$1,1,2),FALSE)</f>
        <v>0</v>
      </c>
      <c r="AF1941" s="55">
        <f>VLOOKUP($E1941,'NI-Soc_SP'!$C:$AN,MID(AF$1,1,2),FALSE)</f>
        <v>0</v>
      </c>
      <c r="AG1941" s="55">
        <f>VLOOKUP($E1941,'NI-Soc_SP'!$C:$AN,MID(AG$1,1,2),FALSE)</f>
        <v>0</v>
      </c>
      <c r="AH1941" s="55">
        <f>VLOOKUP($E1941,'NI-Soc_SP'!$C:$AN,MID(AH$1,1,2),FALSE)</f>
        <v>0</v>
      </c>
      <c r="AI1941" s="55">
        <f>VLOOKUP($E1941,'NI-Soc_SP'!$C:$AN,MID(AI$1,1,2),FALSE)</f>
        <v>0</v>
      </c>
      <c r="AJ1941" s="55">
        <f>VLOOKUP($E1941,'NI-Soc_SP'!$C:$AN,MID(AJ$1,1,2),FALSE)</f>
        <v>0</v>
      </c>
      <c r="AK1941" s="55">
        <f>VLOOKUP($E1941,'NI-Soc_SP'!$C:$AN,MID(AK$1,1,2),FALSE)</f>
        <v>0</v>
      </c>
      <c r="AL1941" s="55">
        <f>VLOOKUP($E1941,'NI-Soc_SP'!$C:$AN,MID(AL$1,1,2),FALSE)</f>
        <v>0</v>
      </c>
      <c r="AM1941" s="56">
        <f>VLOOKUP($E1941,'NI-Soc_SP'!$C:$AN,MID(AM$1,1,2),FALSE)</f>
        <v>0</v>
      </c>
      <c r="AN1941" s="30" t="str">
        <f t="shared" si="30"/>
        <v>40400000000000</v>
      </c>
    </row>
    <row r="1942" spans="1:40" x14ac:dyDescent="0.25">
      <c r="C1942" s="40"/>
      <c r="D1942" s="121" t="s">
        <v>1862</v>
      </c>
      <c r="E1942" s="121" t="s">
        <v>1863</v>
      </c>
      <c r="F1942" s="122" t="s">
        <v>2758</v>
      </c>
      <c r="G1942" s="52"/>
      <c r="H1942" s="52"/>
      <c r="I1942" s="52" t="s">
        <v>1864</v>
      </c>
      <c r="J1942" s="52"/>
      <c r="K1942" s="59" t="s">
        <v>111</v>
      </c>
      <c r="L1942" s="62"/>
      <c r="M1942" s="52"/>
      <c r="N1942" s="52"/>
      <c r="O1942" s="61" t="s">
        <v>1860</v>
      </c>
      <c r="P1942" s="76" t="s">
        <v>1865</v>
      </c>
      <c r="Q1942" s="55">
        <f>VLOOKUP(E1942,'NI-Soc_SP'!$C:$AN,12,FALSE)</f>
        <v>0</v>
      </c>
      <c r="R1942" s="55">
        <f>VLOOKUP(E1942,'NI-Soc_SP'!$C:$AN,13,FALSE)</f>
        <v>0</v>
      </c>
      <c r="S1942" s="55"/>
      <c r="T1942" s="55"/>
      <c r="U1942" s="55">
        <f>VLOOKUP($E1942,'NI-Soc_SP'!$C:$AN,MID(U$1,1,2),FALSE)</f>
        <v>0</v>
      </c>
      <c r="V1942" s="55">
        <f>VLOOKUP($E1942,'NI-Soc_SP'!$C:$AN,MID(V$1,1,2),FALSE)</f>
        <v>0</v>
      </c>
      <c r="W1942" s="55">
        <f>VLOOKUP($E1942,'NI-Soc_SP'!$C:$AN,MID(W$1,1,2),FALSE)</f>
        <v>0</v>
      </c>
      <c r="X1942" s="55">
        <f>VLOOKUP($E1942,'NI-Soc_SP'!$C:$AN,MID(X$1,1,2),FALSE)</f>
        <v>0</v>
      </c>
      <c r="Y1942" s="55">
        <f>VLOOKUP($E1942,'NI-Soc_SP'!$C:$AN,MID(Y$1,1,2),FALSE)</f>
        <v>0</v>
      </c>
      <c r="Z1942" s="55">
        <f>VLOOKUP($E1942,'NI-Soc_SP'!$C:$AN,MID(Z$1,1,2),FALSE)</f>
        <v>0</v>
      </c>
      <c r="AA1942" s="55">
        <f>VLOOKUP($E1942,'NI-Soc_SP'!$C:$AN,MID(AA$1,1,2),FALSE)</f>
        <v>0</v>
      </c>
      <c r="AB1942" s="55">
        <f>VLOOKUP($E1942,'NI-Soc_SP'!$C:$AN,MID(AB$1,1,2),FALSE)</f>
        <v>0</v>
      </c>
      <c r="AC1942" s="55">
        <f>VLOOKUP($E1942,'NI-Soc_SP'!$C:$AN,MID(AC$1,1,2),FALSE)</f>
        <v>0</v>
      </c>
      <c r="AD1942" s="55">
        <f>VLOOKUP($E1942,'NI-Soc_SP'!$C:$AN,MID(AD$1,1,2),FALSE)</f>
        <v>0</v>
      </c>
      <c r="AE1942" s="55">
        <f>VLOOKUP($E1942,'NI-Soc_SP'!$C:$AN,MID(AE$1,1,2),FALSE)</f>
        <v>0</v>
      </c>
      <c r="AF1942" s="55">
        <f>VLOOKUP($E1942,'NI-Soc_SP'!$C:$AN,MID(AF$1,1,2),FALSE)</f>
        <v>0</v>
      </c>
      <c r="AG1942" s="55">
        <f>VLOOKUP($E1942,'NI-Soc_SP'!$C:$AN,MID(AG$1,1,2),FALSE)</f>
        <v>0</v>
      </c>
      <c r="AH1942" s="55">
        <f>VLOOKUP($E1942,'NI-Soc_SP'!$C:$AN,MID(AH$1,1,2),FALSE)</f>
        <v>0</v>
      </c>
      <c r="AI1942" s="55">
        <f>VLOOKUP($E1942,'NI-Soc_SP'!$C:$AN,MID(AI$1,1,2),FALSE)</f>
        <v>0</v>
      </c>
      <c r="AJ1942" s="55">
        <f>VLOOKUP($E1942,'NI-Soc_SP'!$C:$AN,MID(AJ$1,1,2),FALSE)</f>
        <v>0</v>
      </c>
      <c r="AK1942" s="55">
        <f>VLOOKUP($E1942,'NI-Soc_SP'!$C:$AN,MID(AK$1,1,2),FALSE)</f>
        <v>0</v>
      </c>
      <c r="AL1942" s="55">
        <f>VLOOKUP($E1942,'NI-Soc_SP'!$C:$AN,MID(AL$1,1,2),FALSE)</f>
        <v>0</v>
      </c>
      <c r="AM1942" s="56">
        <f>VLOOKUP($E1942,'NI-Soc_SP'!$C:$AN,MID(AM$1,1,2),FALSE)</f>
        <v>0</v>
      </c>
      <c r="AN1942" s="30" t="str">
        <f t="shared" si="30"/>
        <v>40500000000000</v>
      </c>
    </row>
    <row r="1943" spans="1:40" x14ac:dyDescent="0.25">
      <c r="C1943" s="40"/>
      <c r="D1943" s="121" t="s">
        <v>1866</v>
      </c>
      <c r="E1943" s="121" t="s">
        <v>1867</v>
      </c>
      <c r="F1943" s="122" t="s">
        <v>2758</v>
      </c>
      <c r="G1943" s="52"/>
      <c r="H1943" s="52"/>
      <c r="I1943" s="52"/>
      <c r="J1943" s="52"/>
      <c r="K1943" s="59" t="s">
        <v>111</v>
      </c>
      <c r="L1943" s="62"/>
      <c r="M1943" s="52"/>
      <c r="N1943" s="52"/>
      <c r="O1943" s="52"/>
      <c r="P1943" s="76" t="s">
        <v>1868</v>
      </c>
      <c r="Q1943" s="55">
        <f>VLOOKUP(E1943,'NI-Soc_SP'!$C:$AN,12,FALSE)</f>
        <v>0</v>
      </c>
      <c r="R1943" s="55">
        <f>VLOOKUP(E1943,'NI-Soc_SP'!$C:$AN,13,FALSE)</f>
        <v>0</v>
      </c>
      <c r="S1943" s="55"/>
      <c r="T1943" s="55"/>
      <c r="U1943" s="55">
        <f>VLOOKUP($E1943,'NI-Soc_SP'!$C:$AN,MID(U$1,1,2),FALSE)</f>
        <v>0</v>
      </c>
      <c r="V1943" s="55">
        <f>VLOOKUP($E1943,'NI-Soc_SP'!$C:$AN,MID(V$1,1,2),FALSE)</f>
        <v>0</v>
      </c>
      <c r="W1943" s="55">
        <f>VLOOKUP($E1943,'NI-Soc_SP'!$C:$AN,MID(W$1,1,2),FALSE)</f>
        <v>0</v>
      </c>
      <c r="X1943" s="55">
        <f>VLOOKUP($E1943,'NI-Soc_SP'!$C:$AN,MID(X$1,1,2),FALSE)</f>
        <v>0</v>
      </c>
      <c r="Y1943" s="55">
        <f>VLOOKUP($E1943,'NI-Soc_SP'!$C:$AN,MID(Y$1,1,2),FALSE)</f>
        <v>0</v>
      </c>
      <c r="Z1943" s="55">
        <f>VLOOKUP($E1943,'NI-Soc_SP'!$C:$AN,MID(Z$1,1,2),FALSE)</f>
        <v>0</v>
      </c>
      <c r="AA1943" s="55">
        <f>VLOOKUP($E1943,'NI-Soc_SP'!$C:$AN,MID(AA$1,1,2),FALSE)</f>
        <v>0</v>
      </c>
      <c r="AB1943" s="55">
        <f>VLOOKUP($E1943,'NI-Soc_SP'!$C:$AN,MID(AB$1,1,2),FALSE)</f>
        <v>0</v>
      </c>
      <c r="AC1943" s="55">
        <f>VLOOKUP($E1943,'NI-Soc_SP'!$C:$AN,MID(AC$1,1,2),FALSE)</f>
        <v>0</v>
      </c>
      <c r="AD1943" s="55">
        <f>VLOOKUP($E1943,'NI-Soc_SP'!$C:$AN,MID(AD$1,1,2),FALSE)</f>
        <v>0</v>
      </c>
      <c r="AE1943" s="55">
        <f>VLOOKUP($E1943,'NI-Soc_SP'!$C:$AN,MID(AE$1,1,2),FALSE)</f>
        <v>0</v>
      </c>
      <c r="AF1943" s="55">
        <f>VLOOKUP($E1943,'NI-Soc_SP'!$C:$AN,MID(AF$1,1,2),FALSE)</f>
        <v>0</v>
      </c>
      <c r="AG1943" s="55">
        <f>VLOOKUP($E1943,'NI-Soc_SP'!$C:$AN,MID(AG$1,1,2),FALSE)</f>
        <v>0</v>
      </c>
      <c r="AH1943" s="55">
        <f>VLOOKUP($E1943,'NI-Soc_SP'!$C:$AN,MID(AH$1,1,2),FALSE)</f>
        <v>0</v>
      </c>
      <c r="AI1943" s="55">
        <f>VLOOKUP($E1943,'NI-Soc_SP'!$C:$AN,MID(AI$1,1,2),FALSE)</f>
        <v>0</v>
      </c>
      <c r="AJ1943" s="55">
        <f>VLOOKUP($E1943,'NI-Soc_SP'!$C:$AN,MID(AJ$1,1,2),FALSE)</f>
        <v>0</v>
      </c>
      <c r="AK1943" s="55">
        <f>VLOOKUP($E1943,'NI-Soc_SP'!$C:$AN,MID(AK$1,1,2),FALSE)</f>
        <v>0</v>
      </c>
      <c r="AL1943" s="55">
        <f>VLOOKUP($E1943,'NI-Soc_SP'!$C:$AN,MID(AL$1,1,2),FALSE)</f>
        <v>0</v>
      </c>
      <c r="AM1943" s="56">
        <f>VLOOKUP($E1943,'NI-Soc_SP'!$C:$AN,MID(AM$1,1,2),FALSE)</f>
        <v>0</v>
      </c>
      <c r="AN1943" s="30" t="str">
        <f t="shared" si="30"/>
        <v>40501000000000</v>
      </c>
    </row>
    <row r="1944" spans="1:40" ht="13.5" customHeight="1" x14ac:dyDescent="0.25">
      <c r="C1944" s="40"/>
      <c r="D1944" s="121" t="s">
        <v>1869</v>
      </c>
      <c r="E1944" s="121" t="s">
        <v>1870</v>
      </c>
      <c r="F1944" s="122" t="s">
        <v>2758</v>
      </c>
      <c r="G1944" s="52"/>
      <c r="H1944" s="52"/>
      <c r="I1944" s="52"/>
      <c r="J1944" s="52"/>
      <c r="K1944" s="59" t="s">
        <v>79</v>
      </c>
      <c r="L1944" s="52"/>
      <c r="M1944" s="52"/>
      <c r="N1944" s="52"/>
      <c r="O1944" s="52"/>
      <c r="P1944" s="103" t="s">
        <v>1871</v>
      </c>
      <c r="Q1944" s="55">
        <f>VLOOKUP(E1944,'NI-Soc_SP'!$C:$AN,12,FALSE)</f>
        <v>0</v>
      </c>
      <c r="R1944" s="55">
        <f>VLOOKUP(E1944,'NI-Soc_SP'!$C:$AN,13,FALSE)</f>
        <v>0</v>
      </c>
      <c r="S1944" s="55"/>
      <c r="T1944" s="55"/>
      <c r="U1944" s="55">
        <f>VLOOKUP($E1944,'NI-Soc_SP'!$C:$AN,MID(U$1,1,2),FALSE)</f>
        <v>0</v>
      </c>
      <c r="V1944" s="55">
        <f>VLOOKUP($E1944,'NI-Soc_SP'!$C:$AN,MID(V$1,1,2),FALSE)</f>
        <v>0</v>
      </c>
      <c r="W1944" s="55">
        <f>VLOOKUP($E1944,'NI-Soc_SP'!$C:$AN,MID(W$1,1,2),FALSE)</f>
        <v>0</v>
      </c>
      <c r="X1944" s="55">
        <f>VLOOKUP($E1944,'NI-Soc_SP'!$C:$AN,MID(X$1,1,2),FALSE)</f>
        <v>0</v>
      </c>
      <c r="Y1944" s="55">
        <f>VLOOKUP($E1944,'NI-Soc_SP'!$C:$AN,MID(Y$1,1,2),FALSE)</f>
        <v>0</v>
      </c>
      <c r="Z1944" s="55">
        <f>VLOOKUP($E1944,'NI-Soc_SP'!$C:$AN,MID(Z$1,1,2),FALSE)</f>
        <v>0</v>
      </c>
      <c r="AA1944" s="55">
        <f>VLOOKUP($E1944,'NI-Soc_SP'!$C:$AN,MID(AA$1,1,2),FALSE)</f>
        <v>0</v>
      </c>
      <c r="AB1944" s="55">
        <f>VLOOKUP($E1944,'NI-Soc_SP'!$C:$AN,MID(AB$1,1,2),FALSE)</f>
        <v>0</v>
      </c>
      <c r="AC1944" s="55">
        <f>VLOOKUP($E1944,'NI-Soc_SP'!$C:$AN,MID(AC$1,1,2),FALSE)</f>
        <v>0</v>
      </c>
      <c r="AD1944" s="55">
        <f>VLOOKUP($E1944,'NI-Soc_SP'!$C:$AN,MID(AD$1,1,2),FALSE)</f>
        <v>0</v>
      </c>
      <c r="AE1944" s="55">
        <f>VLOOKUP($E1944,'NI-Soc_SP'!$C:$AN,MID(AE$1,1,2),FALSE)</f>
        <v>0</v>
      </c>
      <c r="AF1944" s="55">
        <f>VLOOKUP($E1944,'NI-Soc_SP'!$C:$AN,MID(AF$1,1,2),FALSE)</f>
        <v>0</v>
      </c>
      <c r="AG1944" s="55">
        <f>VLOOKUP($E1944,'NI-Soc_SP'!$C:$AN,MID(AG$1,1,2),FALSE)</f>
        <v>0</v>
      </c>
      <c r="AH1944" s="55">
        <f>VLOOKUP($E1944,'NI-Soc_SP'!$C:$AN,MID(AH$1,1,2),FALSE)</f>
        <v>0</v>
      </c>
      <c r="AI1944" s="55">
        <f>VLOOKUP($E1944,'NI-Soc_SP'!$C:$AN,MID(AI$1,1,2),FALSE)</f>
        <v>0</v>
      </c>
      <c r="AJ1944" s="55">
        <f>VLOOKUP($E1944,'NI-Soc_SP'!$C:$AN,MID(AJ$1,1,2),FALSE)</f>
        <v>0</v>
      </c>
      <c r="AK1944" s="55">
        <f>VLOOKUP($E1944,'NI-Soc_SP'!$C:$AN,MID(AK$1,1,2),FALSE)</f>
        <v>0</v>
      </c>
      <c r="AL1944" s="55">
        <f>VLOOKUP($E1944,'NI-Soc_SP'!$C:$AN,MID(AL$1,1,2),FALSE)</f>
        <v>0</v>
      </c>
      <c r="AM1944" s="56">
        <f>VLOOKUP($E1944,'NI-Soc_SP'!$C:$AN,MID(AM$1,1,2),FALSE)</f>
        <v>0</v>
      </c>
      <c r="AN1944" s="30" t="str">
        <f t="shared" si="30"/>
        <v>40501010000000</v>
      </c>
    </row>
    <row r="1945" spans="1:40" ht="13.5" customHeight="1" x14ac:dyDescent="0.25">
      <c r="C1945" s="40"/>
      <c r="D1945" s="121" t="s">
        <v>1872</v>
      </c>
      <c r="E1945" s="121" t="s">
        <v>1873</v>
      </c>
      <c r="F1945" s="122" t="s">
        <v>2758</v>
      </c>
      <c r="G1945" s="52"/>
      <c r="H1945" s="52"/>
      <c r="I1945" s="52"/>
      <c r="J1945" s="52"/>
      <c r="K1945" s="59" t="s">
        <v>79</v>
      </c>
      <c r="L1945" s="52"/>
      <c r="M1945" s="52"/>
      <c r="N1945" s="52"/>
      <c r="O1945" s="52"/>
      <c r="P1945" s="103" t="s">
        <v>1874</v>
      </c>
      <c r="Q1945" s="55">
        <f>VLOOKUP(E1945,'NI-Soc_SP'!$C:$AN,12,FALSE)</f>
        <v>0</v>
      </c>
      <c r="R1945" s="55">
        <f>VLOOKUP(E1945,'NI-Soc_SP'!$C:$AN,13,FALSE)</f>
        <v>0</v>
      </c>
      <c r="S1945" s="55"/>
      <c r="T1945" s="55"/>
      <c r="U1945" s="55">
        <f>VLOOKUP($E1945,'NI-Soc_SP'!$C:$AN,MID(U$1,1,2),FALSE)</f>
        <v>0</v>
      </c>
      <c r="V1945" s="55">
        <f>VLOOKUP($E1945,'NI-Soc_SP'!$C:$AN,MID(V$1,1,2),FALSE)</f>
        <v>0</v>
      </c>
      <c r="W1945" s="55">
        <f>VLOOKUP($E1945,'NI-Soc_SP'!$C:$AN,MID(W$1,1,2),FALSE)</f>
        <v>0</v>
      </c>
      <c r="X1945" s="55">
        <f>VLOOKUP($E1945,'NI-Soc_SP'!$C:$AN,MID(X$1,1,2),FALSE)</f>
        <v>0</v>
      </c>
      <c r="Y1945" s="55">
        <f>VLOOKUP($E1945,'NI-Soc_SP'!$C:$AN,MID(Y$1,1,2),FALSE)</f>
        <v>0</v>
      </c>
      <c r="Z1945" s="55">
        <f>VLOOKUP($E1945,'NI-Soc_SP'!$C:$AN,MID(Z$1,1,2),FALSE)</f>
        <v>0</v>
      </c>
      <c r="AA1945" s="55">
        <f>VLOOKUP($E1945,'NI-Soc_SP'!$C:$AN,MID(AA$1,1,2),FALSE)</f>
        <v>0</v>
      </c>
      <c r="AB1945" s="55">
        <f>VLOOKUP($E1945,'NI-Soc_SP'!$C:$AN,MID(AB$1,1,2),FALSE)</f>
        <v>0</v>
      </c>
      <c r="AC1945" s="55">
        <f>VLOOKUP($E1945,'NI-Soc_SP'!$C:$AN,MID(AC$1,1,2),FALSE)</f>
        <v>0</v>
      </c>
      <c r="AD1945" s="55">
        <f>VLOOKUP($E1945,'NI-Soc_SP'!$C:$AN,MID(AD$1,1,2),FALSE)</f>
        <v>0</v>
      </c>
      <c r="AE1945" s="55">
        <f>VLOOKUP($E1945,'NI-Soc_SP'!$C:$AN,MID(AE$1,1,2),FALSE)</f>
        <v>0</v>
      </c>
      <c r="AF1945" s="55">
        <f>VLOOKUP($E1945,'NI-Soc_SP'!$C:$AN,MID(AF$1,1,2),FALSE)</f>
        <v>0</v>
      </c>
      <c r="AG1945" s="55">
        <f>VLOOKUP($E1945,'NI-Soc_SP'!$C:$AN,MID(AG$1,1,2),FALSE)</f>
        <v>0</v>
      </c>
      <c r="AH1945" s="55">
        <f>VLOOKUP($E1945,'NI-Soc_SP'!$C:$AN,MID(AH$1,1,2),FALSE)</f>
        <v>0</v>
      </c>
      <c r="AI1945" s="55">
        <f>VLOOKUP($E1945,'NI-Soc_SP'!$C:$AN,MID(AI$1,1,2),FALSE)</f>
        <v>0</v>
      </c>
      <c r="AJ1945" s="55">
        <f>VLOOKUP($E1945,'NI-Soc_SP'!$C:$AN,MID(AJ$1,1,2),FALSE)</f>
        <v>0</v>
      </c>
      <c r="AK1945" s="55">
        <f>VLOOKUP($E1945,'NI-Soc_SP'!$C:$AN,MID(AK$1,1,2),FALSE)</f>
        <v>0</v>
      </c>
      <c r="AL1945" s="55">
        <f>VLOOKUP($E1945,'NI-Soc_SP'!$C:$AN,MID(AL$1,1,2),FALSE)</f>
        <v>0</v>
      </c>
      <c r="AM1945" s="56">
        <f>VLOOKUP($E1945,'NI-Soc_SP'!$C:$AN,MID(AM$1,1,2),FALSE)</f>
        <v>0</v>
      </c>
      <c r="AN1945" s="30" t="str">
        <f t="shared" si="30"/>
        <v>40501020000000</v>
      </c>
    </row>
    <row r="1946" spans="1:40" ht="13.5" customHeight="1" x14ac:dyDescent="0.25">
      <c r="C1946" s="40"/>
      <c r="D1946" s="121" t="s">
        <v>1875</v>
      </c>
      <c r="E1946" s="121" t="s">
        <v>1876</v>
      </c>
      <c r="F1946" s="122" t="s">
        <v>2758</v>
      </c>
      <c r="G1946" s="52"/>
      <c r="H1946" s="52"/>
      <c r="I1946" s="52"/>
      <c r="J1946" s="52"/>
      <c r="K1946" s="59" t="s">
        <v>79</v>
      </c>
      <c r="L1946" s="52"/>
      <c r="M1946" s="52"/>
      <c r="N1946" s="52"/>
      <c r="O1946" s="52"/>
      <c r="P1946" s="103" t="s">
        <v>1877</v>
      </c>
      <c r="Q1946" s="55">
        <f>VLOOKUP(E1946,'NI-Soc_SP'!$C:$AN,12,FALSE)</f>
        <v>0</v>
      </c>
      <c r="R1946" s="55">
        <f>VLOOKUP(E1946,'NI-Soc_SP'!$C:$AN,13,FALSE)</f>
        <v>0</v>
      </c>
      <c r="S1946" s="55"/>
      <c r="T1946" s="55"/>
      <c r="U1946" s="55">
        <f>VLOOKUP($E1946,'NI-Soc_SP'!$C:$AN,MID(U$1,1,2),FALSE)</f>
        <v>0</v>
      </c>
      <c r="V1946" s="55">
        <f>VLOOKUP($E1946,'NI-Soc_SP'!$C:$AN,MID(V$1,1,2),FALSE)</f>
        <v>0</v>
      </c>
      <c r="W1946" s="55">
        <f>VLOOKUP($E1946,'NI-Soc_SP'!$C:$AN,MID(W$1,1,2),FALSE)</f>
        <v>0</v>
      </c>
      <c r="X1946" s="55">
        <f>VLOOKUP($E1946,'NI-Soc_SP'!$C:$AN,MID(X$1,1,2),FALSE)</f>
        <v>0</v>
      </c>
      <c r="Y1946" s="55">
        <f>VLOOKUP($E1946,'NI-Soc_SP'!$C:$AN,MID(Y$1,1,2),FALSE)</f>
        <v>0</v>
      </c>
      <c r="Z1946" s="55">
        <f>VLOOKUP($E1946,'NI-Soc_SP'!$C:$AN,MID(Z$1,1,2),FALSE)</f>
        <v>0</v>
      </c>
      <c r="AA1946" s="55">
        <f>VLOOKUP($E1946,'NI-Soc_SP'!$C:$AN,MID(AA$1,1,2),FALSE)</f>
        <v>0</v>
      </c>
      <c r="AB1946" s="55">
        <f>VLOOKUP($E1946,'NI-Soc_SP'!$C:$AN,MID(AB$1,1,2),FALSE)</f>
        <v>0</v>
      </c>
      <c r="AC1946" s="55">
        <f>VLOOKUP($E1946,'NI-Soc_SP'!$C:$AN,MID(AC$1,1,2),FALSE)</f>
        <v>0</v>
      </c>
      <c r="AD1946" s="55">
        <f>VLOOKUP($E1946,'NI-Soc_SP'!$C:$AN,MID(AD$1,1,2),FALSE)</f>
        <v>0</v>
      </c>
      <c r="AE1946" s="55">
        <f>VLOOKUP($E1946,'NI-Soc_SP'!$C:$AN,MID(AE$1,1,2),FALSE)</f>
        <v>0</v>
      </c>
      <c r="AF1946" s="55">
        <f>VLOOKUP($E1946,'NI-Soc_SP'!$C:$AN,MID(AF$1,1,2),FALSE)</f>
        <v>0</v>
      </c>
      <c r="AG1946" s="55">
        <f>VLOOKUP($E1946,'NI-Soc_SP'!$C:$AN,MID(AG$1,1,2),FALSE)</f>
        <v>0</v>
      </c>
      <c r="AH1946" s="55">
        <f>VLOOKUP($E1946,'NI-Soc_SP'!$C:$AN,MID(AH$1,1,2),FALSE)</f>
        <v>0</v>
      </c>
      <c r="AI1946" s="55">
        <f>VLOOKUP($E1946,'NI-Soc_SP'!$C:$AN,MID(AI$1,1,2),FALSE)</f>
        <v>0</v>
      </c>
      <c r="AJ1946" s="55">
        <f>VLOOKUP($E1946,'NI-Soc_SP'!$C:$AN,MID(AJ$1,1,2),FALSE)</f>
        <v>0</v>
      </c>
      <c r="AK1946" s="55">
        <f>VLOOKUP($E1946,'NI-Soc_SP'!$C:$AN,MID(AK$1,1,2),FALSE)</f>
        <v>0</v>
      </c>
      <c r="AL1946" s="55">
        <f>VLOOKUP($E1946,'NI-Soc_SP'!$C:$AN,MID(AL$1,1,2),FALSE)</f>
        <v>0</v>
      </c>
      <c r="AM1946" s="56">
        <f>VLOOKUP($E1946,'NI-Soc_SP'!$C:$AN,MID(AM$1,1,2),FALSE)</f>
        <v>0</v>
      </c>
      <c r="AN1946" s="30" t="str">
        <f t="shared" si="30"/>
        <v>40501030000000</v>
      </c>
    </row>
    <row r="1947" spans="1:40" x14ac:dyDescent="0.25">
      <c r="C1947" s="40"/>
      <c r="D1947" s="121" t="s">
        <v>1878</v>
      </c>
      <c r="E1947" s="121" t="s">
        <v>1879</v>
      </c>
      <c r="F1947" s="122" t="s">
        <v>2758</v>
      </c>
      <c r="G1947" s="52"/>
      <c r="H1947" s="52"/>
      <c r="I1947" s="52"/>
      <c r="J1947" s="52"/>
      <c r="K1947" s="59" t="s">
        <v>111</v>
      </c>
      <c r="L1947" s="62"/>
      <c r="M1947" s="52"/>
      <c r="N1947" s="52"/>
      <c r="O1947" s="52"/>
      <c r="P1947" s="76" t="s">
        <v>1880</v>
      </c>
      <c r="Q1947" s="55">
        <f>VLOOKUP(E1947,'NI-Soc_SP'!$C:$AN,12,FALSE)</f>
        <v>0</v>
      </c>
      <c r="R1947" s="55">
        <f>VLOOKUP(E1947,'NI-Soc_SP'!$C:$AN,13,FALSE)</f>
        <v>0</v>
      </c>
      <c r="S1947" s="55"/>
      <c r="T1947" s="55"/>
      <c r="U1947" s="55">
        <f>VLOOKUP($E1947,'NI-Soc_SP'!$C:$AN,MID(U$1,1,2),FALSE)</f>
        <v>0</v>
      </c>
      <c r="V1947" s="55">
        <f>VLOOKUP($E1947,'NI-Soc_SP'!$C:$AN,MID(V$1,1,2),FALSE)</f>
        <v>0</v>
      </c>
      <c r="W1947" s="55">
        <f>VLOOKUP($E1947,'NI-Soc_SP'!$C:$AN,MID(W$1,1,2),FALSE)</f>
        <v>0</v>
      </c>
      <c r="X1947" s="55">
        <f>VLOOKUP($E1947,'NI-Soc_SP'!$C:$AN,MID(X$1,1,2),FALSE)</f>
        <v>0</v>
      </c>
      <c r="Y1947" s="55">
        <f>VLOOKUP($E1947,'NI-Soc_SP'!$C:$AN,MID(Y$1,1,2),FALSE)</f>
        <v>0</v>
      </c>
      <c r="Z1947" s="55">
        <f>VLOOKUP($E1947,'NI-Soc_SP'!$C:$AN,MID(Z$1,1,2),FALSE)</f>
        <v>0</v>
      </c>
      <c r="AA1947" s="55">
        <f>VLOOKUP($E1947,'NI-Soc_SP'!$C:$AN,MID(AA$1,1,2),FALSE)</f>
        <v>0</v>
      </c>
      <c r="AB1947" s="55">
        <f>VLOOKUP($E1947,'NI-Soc_SP'!$C:$AN,MID(AB$1,1,2),FALSE)</f>
        <v>0</v>
      </c>
      <c r="AC1947" s="55">
        <f>VLOOKUP($E1947,'NI-Soc_SP'!$C:$AN,MID(AC$1,1,2),FALSE)</f>
        <v>0</v>
      </c>
      <c r="AD1947" s="55">
        <f>VLOOKUP($E1947,'NI-Soc_SP'!$C:$AN,MID(AD$1,1,2),FALSE)</f>
        <v>0</v>
      </c>
      <c r="AE1947" s="55">
        <f>VLOOKUP($E1947,'NI-Soc_SP'!$C:$AN,MID(AE$1,1,2),FALSE)</f>
        <v>0</v>
      </c>
      <c r="AF1947" s="55">
        <f>VLOOKUP($E1947,'NI-Soc_SP'!$C:$AN,MID(AF$1,1,2),FALSE)</f>
        <v>0</v>
      </c>
      <c r="AG1947" s="55">
        <f>VLOOKUP($E1947,'NI-Soc_SP'!$C:$AN,MID(AG$1,1,2),FALSE)</f>
        <v>0</v>
      </c>
      <c r="AH1947" s="55">
        <f>VLOOKUP($E1947,'NI-Soc_SP'!$C:$AN,MID(AH$1,1,2),FALSE)</f>
        <v>0</v>
      </c>
      <c r="AI1947" s="55">
        <f>VLOOKUP($E1947,'NI-Soc_SP'!$C:$AN,MID(AI$1,1,2),FALSE)</f>
        <v>0</v>
      </c>
      <c r="AJ1947" s="55">
        <f>VLOOKUP($E1947,'NI-Soc_SP'!$C:$AN,MID(AJ$1,1,2),FALSE)</f>
        <v>0</v>
      </c>
      <c r="AK1947" s="55">
        <f>VLOOKUP($E1947,'NI-Soc_SP'!$C:$AN,MID(AK$1,1,2),FALSE)</f>
        <v>0</v>
      </c>
      <c r="AL1947" s="55">
        <f>VLOOKUP($E1947,'NI-Soc_SP'!$C:$AN,MID(AL$1,1,2),FALSE)</f>
        <v>0</v>
      </c>
      <c r="AM1947" s="56">
        <f>VLOOKUP($E1947,'NI-Soc_SP'!$C:$AN,MID(AM$1,1,2),FALSE)</f>
        <v>0</v>
      </c>
      <c r="AN1947" s="30" t="str">
        <f t="shared" si="30"/>
        <v>40502000000000</v>
      </c>
    </row>
    <row r="1948" spans="1:40" x14ac:dyDescent="0.25">
      <c r="C1948" s="40"/>
      <c r="D1948" s="121" t="s">
        <v>1881</v>
      </c>
      <c r="E1948" s="121" t="s">
        <v>1882</v>
      </c>
      <c r="F1948" s="122" t="s">
        <v>2758</v>
      </c>
      <c r="G1948" s="52"/>
      <c r="H1948" s="52"/>
      <c r="I1948" s="52"/>
      <c r="J1948" s="52"/>
      <c r="K1948" s="59" t="s">
        <v>79</v>
      </c>
      <c r="L1948" s="62"/>
      <c r="M1948" s="52"/>
      <c r="N1948" s="52"/>
      <c r="O1948" s="52"/>
      <c r="P1948" s="76" t="s">
        <v>1883</v>
      </c>
      <c r="Q1948" s="55">
        <f>VLOOKUP(E1948,'NI-Soc_SP'!$C:$AN,12,FALSE)</f>
        <v>0</v>
      </c>
      <c r="R1948" s="55">
        <f>VLOOKUP(E1948,'NI-Soc_SP'!$C:$AN,13,FALSE)</f>
        <v>0</v>
      </c>
      <c r="S1948" s="55"/>
      <c r="T1948" s="55"/>
      <c r="U1948" s="55">
        <f>VLOOKUP($E1948,'NI-Soc_SP'!$C:$AN,MID(U$1,1,2),FALSE)</f>
        <v>0</v>
      </c>
      <c r="V1948" s="55">
        <f>VLOOKUP($E1948,'NI-Soc_SP'!$C:$AN,MID(V$1,1,2),FALSE)</f>
        <v>0</v>
      </c>
      <c r="W1948" s="55">
        <f>VLOOKUP($E1948,'NI-Soc_SP'!$C:$AN,MID(W$1,1,2),FALSE)</f>
        <v>0</v>
      </c>
      <c r="X1948" s="55">
        <f>VLOOKUP($E1948,'NI-Soc_SP'!$C:$AN,MID(X$1,1,2),FALSE)</f>
        <v>0</v>
      </c>
      <c r="Y1948" s="55">
        <f>VLOOKUP($E1948,'NI-Soc_SP'!$C:$AN,MID(Y$1,1,2),FALSE)</f>
        <v>0</v>
      </c>
      <c r="Z1948" s="55">
        <f>VLOOKUP($E1948,'NI-Soc_SP'!$C:$AN,MID(Z$1,1,2),FALSE)</f>
        <v>0</v>
      </c>
      <c r="AA1948" s="55">
        <f>VLOOKUP($E1948,'NI-Soc_SP'!$C:$AN,MID(AA$1,1,2),FALSE)</f>
        <v>0</v>
      </c>
      <c r="AB1948" s="55">
        <f>VLOOKUP($E1948,'NI-Soc_SP'!$C:$AN,MID(AB$1,1,2),FALSE)</f>
        <v>0</v>
      </c>
      <c r="AC1948" s="55">
        <f>VLOOKUP($E1948,'NI-Soc_SP'!$C:$AN,MID(AC$1,1,2),FALSE)</f>
        <v>0</v>
      </c>
      <c r="AD1948" s="55">
        <f>VLOOKUP($E1948,'NI-Soc_SP'!$C:$AN,MID(AD$1,1,2),FALSE)</f>
        <v>0</v>
      </c>
      <c r="AE1948" s="55">
        <f>VLOOKUP($E1948,'NI-Soc_SP'!$C:$AN,MID(AE$1,1,2),FALSE)</f>
        <v>0</v>
      </c>
      <c r="AF1948" s="55">
        <f>VLOOKUP($E1948,'NI-Soc_SP'!$C:$AN,MID(AF$1,1,2),FALSE)</f>
        <v>0</v>
      </c>
      <c r="AG1948" s="55">
        <f>VLOOKUP($E1948,'NI-Soc_SP'!$C:$AN,MID(AG$1,1,2),FALSE)</f>
        <v>0</v>
      </c>
      <c r="AH1948" s="55">
        <f>VLOOKUP($E1948,'NI-Soc_SP'!$C:$AN,MID(AH$1,1,2),FALSE)</f>
        <v>0</v>
      </c>
      <c r="AI1948" s="55">
        <f>VLOOKUP($E1948,'NI-Soc_SP'!$C:$AN,MID(AI$1,1,2),FALSE)</f>
        <v>0</v>
      </c>
      <c r="AJ1948" s="55">
        <f>VLOOKUP($E1948,'NI-Soc_SP'!$C:$AN,MID(AJ$1,1,2),FALSE)</f>
        <v>0</v>
      </c>
      <c r="AK1948" s="55">
        <f>VLOOKUP($E1948,'NI-Soc_SP'!$C:$AN,MID(AK$1,1,2),FALSE)</f>
        <v>0</v>
      </c>
      <c r="AL1948" s="55">
        <f>VLOOKUP($E1948,'NI-Soc_SP'!$C:$AN,MID(AL$1,1,2),FALSE)</f>
        <v>0</v>
      </c>
      <c r="AM1948" s="56">
        <f>VLOOKUP($E1948,'NI-Soc_SP'!$C:$AN,MID(AM$1,1,2),FALSE)</f>
        <v>0</v>
      </c>
      <c r="AN1948" s="30" t="str">
        <f t="shared" si="30"/>
        <v>40502010000000</v>
      </c>
    </row>
    <row r="1949" spans="1:40" x14ac:dyDescent="0.25">
      <c r="C1949" s="40"/>
      <c r="D1949" s="121" t="s">
        <v>1884</v>
      </c>
      <c r="E1949" s="121" t="s">
        <v>1885</v>
      </c>
      <c r="F1949" s="122" t="s">
        <v>2758</v>
      </c>
      <c r="G1949" s="52"/>
      <c r="H1949" s="52"/>
      <c r="I1949" s="52"/>
      <c r="J1949" s="52"/>
      <c r="K1949" s="59" t="s">
        <v>79</v>
      </c>
      <c r="L1949" s="62"/>
      <c r="M1949" s="52"/>
      <c r="N1949" s="52"/>
      <c r="O1949" s="52"/>
      <c r="P1949" s="76" t="s">
        <v>1886</v>
      </c>
      <c r="Q1949" s="55">
        <f>VLOOKUP(E1949,'NI-Soc_SP'!$C:$AN,12,FALSE)</f>
        <v>0</v>
      </c>
      <c r="R1949" s="55">
        <f>VLOOKUP(E1949,'NI-Soc_SP'!$C:$AN,13,FALSE)</f>
        <v>0</v>
      </c>
      <c r="S1949" s="55"/>
      <c r="T1949" s="55"/>
      <c r="U1949" s="55">
        <f>VLOOKUP($E1949,'NI-Soc_SP'!$C:$AN,MID(U$1,1,2),FALSE)</f>
        <v>0</v>
      </c>
      <c r="V1949" s="55">
        <f>VLOOKUP($E1949,'NI-Soc_SP'!$C:$AN,MID(V$1,1,2),FALSE)</f>
        <v>0</v>
      </c>
      <c r="W1949" s="55">
        <f>VLOOKUP($E1949,'NI-Soc_SP'!$C:$AN,MID(W$1,1,2),FALSE)</f>
        <v>0</v>
      </c>
      <c r="X1949" s="55">
        <f>VLOOKUP($E1949,'NI-Soc_SP'!$C:$AN,MID(X$1,1,2),FALSE)</f>
        <v>0</v>
      </c>
      <c r="Y1949" s="55">
        <f>VLOOKUP($E1949,'NI-Soc_SP'!$C:$AN,MID(Y$1,1,2),FALSE)</f>
        <v>0</v>
      </c>
      <c r="Z1949" s="55">
        <f>VLOOKUP($E1949,'NI-Soc_SP'!$C:$AN,MID(Z$1,1,2),FALSE)</f>
        <v>0</v>
      </c>
      <c r="AA1949" s="55">
        <f>VLOOKUP($E1949,'NI-Soc_SP'!$C:$AN,MID(AA$1,1,2),FALSE)</f>
        <v>0</v>
      </c>
      <c r="AB1949" s="55">
        <f>VLOOKUP($E1949,'NI-Soc_SP'!$C:$AN,MID(AB$1,1,2),FALSE)</f>
        <v>0</v>
      </c>
      <c r="AC1949" s="55">
        <f>VLOOKUP($E1949,'NI-Soc_SP'!$C:$AN,MID(AC$1,1,2),FALSE)</f>
        <v>0</v>
      </c>
      <c r="AD1949" s="55">
        <f>VLOOKUP($E1949,'NI-Soc_SP'!$C:$AN,MID(AD$1,1,2),FALSE)</f>
        <v>0</v>
      </c>
      <c r="AE1949" s="55">
        <f>VLOOKUP($E1949,'NI-Soc_SP'!$C:$AN,MID(AE$1,1,2),FALSE)</f>
        <v>0</v>
      </c>
      <c r="AF1949" s="55">
        <f>VLOOKUP($E1949,'NI-Soc_SP'!$C:$AN,MID(AF$1,1,2),FALSE)</f>
        <v>0</v>
      </c>
      <c r="AG1949" s="55">
        <f>VLOOKUP($E1949,'NI-Soc_SP'!$C:$AN,MID(AG$1,1,2),FALSE)</f>
        <v>0</v>
      </c>
      <c r="AH1949" s="55">
        <f>VLOOKUP($E1949,'NI-Soc_SP'!$C:$AN,MID(AH$1,1,2),FALSE)</f>
        <v>0</v>
      </c>
      <c r="AI1949" s="55">
        <f>VLOOKUP($E1949,'NI-Soc_SP'!$C:$AN,MID(AI$1,1,2),FALSE)</f>
        <v>0</v>
      </c>
      <c r="AJ1949" s="55">
        <f>VLOOKUP($E1949,'NI-Soc_SP'!$C:$AN,MID(AJ$1,1,2),FALSE)</f>
        <v>0</v>
      </c>
      <c r="AK1949" s="55">
        <f>VLOOKUP($E1949,'NI-Soc_SP'!$C:$AN,MID(AK$1,1,2),FALSE)</f>
        <v>0</v>
      </c>
      <c r="AL1949" s="55">
        <f>VLOOKUP($E1949,'NI-Soc_SP'!$C:$AN,MID(AL$1,1,2),FALSE)</f>
        <v>0</v>
      </c>
      <c r="AM1949" s="56">
        <f>VLOOKUP($E1949,'NI-Soc_SP'!$C:$AN,MID(AM$1,1,2),FALSE)</f>
        <v>0</v>
      </c>
      <c r="AN1949" s="30" t="str">
        <f t="shared" si="30"/>
        <v>40502020000000</v>
      </c>
    </row>
    <row r="1950" spans="1:40" x14ac:dyDescent="0.25">
      <c r="C1950" s="40"/>
      <c r="D1950" s="121" t="s">
        <v>1887</v>
      </c>
      <c r="E1950" s="121" t="s">
        <v>1888</v>
      </c>
      <c r="F1950" s="122" t="s">
        <v>2758</v>
      </c>
      <c r="G1950" s="52"/>
      <c r="H1950" s="52"/>
      <c r="I1950" s="52"/>
      <c r="J1950" s="52"/>
      <c r="K1950" s="59" t="s">
        <v>79</v>
      </c>
      <c r="L1950" s="62"/>
      <c r="M1950" s="52"/>
      <c r="N1950" s="52"/>
      <c r="O1950" s="52"/>
      <c r="P1950" s="63" t="s">
        <v>1889</v>
      </c>
      <c r="Q1950" s="55">
        <f>VLOOKUP(E1950,'NI-Soc_SP'!$C:$AN,12,FALSE)</f>
        <v>0</v>
      </c>
      <c r="R1950" s="55">
        <f>VLOOKUP(E1950,'NI-Soc_SP'!$C:$AN,13,FALSE)</f>
        <v>0</v>
      </c>
      <c r="S1950" s="55"/>
      <c r="T1950" s="55"/>
      <c r="U1950" s="55">
        <f>VLOOKUP($E1950,'NI-Soc_SP'!$C:$AN,MID(U$1,1,2),FALSE)</f>
        <v>0</v>
      </c>
      <c r="V1950" s="55">
        <f>VLOOKUP($E1950,'NI-Soc_SP'!$C:$AN,MID(V$1,1,2),FALSE)</f>
        <v>0</v>
      </c>
      <c r="W1950" s="55">
        <f>VLOOKUP($E1950,'NI-Soc_SP'!$C:$AN,MID(W$1,1,2),FALSE)</f>
        <v>0</v>
      </c>
      <c r="X1950" s="55">
        <f>VLOOKUP($E1950,'NI-Soc_SP'!$C:$AN,MID(X$1,1,2),FALSE)</f>
        <v>0</v>
      </c>
      <c r="Y1950" s="55">
        <f>VLOOKUP($E1950,'NI-Soc_SP'!$C:$AN,MID(Y$1,1,2),FALSE)</f>
        <v>0</v>
      </c>
      <c r="Z1950" s="55">
        <f>VLOOKUP($E1950,'NI-Soc_SP'!$C:$AN,MID(Z$1,1,2),FALSE)</f>
        <v>0</v>
      </c>
      <c r="AA1950" s="55">
        <f>VLOOKUP($E1950,'NI-Soc_SP'!$C:$AN,MID(AA$1,1,2),FALSE)</f>
        <v>0</v>
      </c>
      <c r="AB1950" s="55">
        <f>VLOOKUP($E1950,'NI-Soc_SP'!$C:$AN,MID(AB$1,1,2),FALSE)</f>
        <v>0</v>
      </c>
      <c r="AC1950" s="55">
        <f>VLOOKUP($E1950,'NI-Soc_SP'!$C:$AN,MID(AC$1,1,2),FALSE)</f>
        <v>0</v>
      </c>
      <c r="AD1950" s="55">
        <f>VLOOKUP($E1950,'NI-Soc_SP'!$C:$AN,MID(AD$1,1,2),FALSE)</f>
        <v>0</v>
      </c>
      <c r="AE1950" s="55">
        <f>VLOOKUP($E1950,'NI-Soc_SP'!$C:$AN,MID(AE$1,1,2),FALSE)</f>
        <v>0</v>
      </c>
      <c r="AF1950" s="55">
        <f>VLOOKUP($E1950,'NI-Soc_SP'!$C:$AN,MID(AF$1,1,2),FALSE)</f>
        <v>0</v>
      </c>
      <c r="AG1950" s="55">
        <f>VLOOKUP($E1950,'NI-Soc_SP'!$C:$AN,MID(AG$1,1,2),FALSE)</f>
        <v>0</v>
      </c>
      <c r="AH1950" s="55">
        <f>VLOOKUP($E1950,'NI-Soc_SP'!$C:$AN,MID(AH$1,1,2),FALSE)</f>
        <v>0</v>
      </c>
      <c r="AI1950" s="55">
        <f>VLOOKUP($E1950,'NI-Soc_SP'!$C:$AN,MID(AI$1,1,2),FALSE)</f>
        <v>0</v>
      </c>
      <c r="AJ1950" s="55">
        <f>VLOOKUP($E1950,'NI-Soc_SP'!$C:$AN,MID(AJ$1,1,2),FALSE)</f>
        <v>0</v>
      </c>
      <c r="AK1950" s="55">
        <f>VLOOKUP($E1950,'NI-Soc_SP'!$C:$AN,MID(AK$1,1,2),FALSE)</f>
        <v>0</v>
      </c>
      <c r="AL1950" s="55">
        <f>VLOOKUP($E1950,'NI-Soc_SP'!$C:$AN,MID(AL$1,1,2),FALSE)</f>
        <v>0</v>
      </c>
      <c r="AM1950" s="56">
        <f>VLOOKUP($E1950,'NI-Soc_SP'!$C:$AN,MID(AM$1,1,2),FALSE)</f>
        <v>0</v>
      </c>
      <c r="AN1950" s="30" t="str">
        <f t="shared" si="30"/>
        <v>40502030000000</v>
      </c>
    </row>
    <row r="1951" spans="1:40" x14ac:dyDescent="0.25">
      <c r="C1951" s="40"/>
      <c r="D1951" s="121" t="s">
        <v>1890</v>
      </c>
      <c r="E1951" s="121" t="s">
        <v>1891</v>
      </c>
      <c r="F1951" s="122" t="s">
        <v>2758</v>
      </c>
      <c r="G1951" s="52"/>
      <c r="H1951" s="52"/>
      <c r="I1951" s="52"/>
      <c r="J1951" s="52"/>
      <c r="K1951" s="59" t="s">
        <v>79</v>
      </c>
      <c r="L1951" s="62"/>
      <c r="M1951" s="52"/>
      <c r="N1951" s="52"/>
      <c r="O1951" s="52"/>
      <c r="P1951" s="63" t="s">
        <v>1892</v>
      </c>
      <c r="Q1951" s="55">
        <f>VLOOKUP(E1951,'NI-Soc_SP'!$C:$AN,12,FALSE)</f>
        <v>0</v>
      </c>
      <c r="R1951" s="55">
        <f>VLOOKUP(E1951,'NI-Soc_SP'!$C:$AN,13,FALSE)</f>
        <v>0</v>
      </c>
      <c r="S1951" s="55"/>
      <c r="T1951" s="55"/>
      <c r="U1951" s="55">
        <f>VLOOKUP($E1951,'NI-Soc_SP'!$C:$AN,MID(U$1,1,2),FALSE)</f>
        <v>0</v>
      </c>
      <c r="V1951" s="55">
        <f>VLOOKUP($E1951,'NI-Soc_SP'!$C:$AN,MID(V$1,1,2),FALSE)</f>
        <v>0</v>
      </c>
      <c r="W1951" s="55">
        <f>VLOOKUP($E1951,'NI-Soc_SP'!$C:$AN,MID(W$1,1,2),FALSE)</f>
        <v>0</v>
      </c>
      <c r="X1951" s="55">
        <f>VLOOKUP($E1951,'NI-Soc_SP'!$C:$AN,MID(X$1,1,2),FALSE)</f>
        <v>0</v>
      </c>
      <c r="Y1951" s="55">
        <f>VLOOKUP($E1951,'NI-Soc_SP'!$C:$AN,MID(Y$1,1,2),FALSE)</f>
        <v>0</v>
      </c>
      <c r="Z1951" s="55">
        <f>VLOOKUP($E1951,'NI-Soc_SP'!$C:$AN,MID(Z$1,1,2),FALSE)</f>
        <v>0</v>
      </c>
      <c r="AA1951" s="55">
        <f>VLOOKUP($E1951,'NI-Soc_SP'!$C:$AN,MID(AA$1,1,2),FALSE)</f>
        <v>0</v>
      </c>
      <c r="AB1951" s="55">
        <f>VLOOKUP($E1951,'NI-Soc_SP'!$C:$AN,MID(AB$1,1,2),FALSE)</f>
        <v>0</v>
      </c>
      <c r="AC1951" s="55">
        <f>VLOOKUP($E1951,'NI-Soc_SP'!$C:$AN,MID(AC$1,1,2),FALSE)</f>
        <v>0</v>
      </c>
      <c r="AD1951" s="55">
        <f>VLOOKUP($E1951,'NI-Soc_SP'!$C:$AN,MID(AD$1,1,2),FALSE)</f>
        <v>0</v>
      </c>
      <c r="AE1951" s="55">
        <f>VLOOKUP($E1951,'NI-Soc_SP'!$C:$AN,MID(AE$1,1,2),FALSE)</f>
        <v>0</v>
      </c>
      <c r="AF1951" s="55">
        <f>VLOOKUP($E1951,'NI-Soc_SP'!$C:$AN,MID(AF$1,1,2),FALSE)</f>
        <v>0</v>
      </c>
      <c r="AG1951" s="55">
        <f>VLOOKUP($E1951,'NI-Soc_SP'!$C:$AN,MID(AG$1,1,2),FALSE)</f>
        <v>0</v>
      </c>
      <c r="AH1951" s="55">
        <f>VLOOKUP($E1951,'NI-Soc_SP'!$C:$AN,MID(AH$1,1,2),FALSE)</f>
        <v>0</v>
      </c>
      <c r="AI1951" s="55">
        <f>VLOOKUP($E1951,'NI-Soc_SP'!$C:$AN,MID(AI$1,1,2),FALSE)</f>
        <v>0</v>
      </c>
      <c r="AJ1951" s="55">
        <f>VLOOKUP($E1951,'NI-Soc_SP'!$C:$AN,MID(AJ$1,1,2),FALSE)</f>
        <v>0</v>
      </c>
      <c r="AK1951" s="55">
        <f>VLOOKUP($E1951,'NI-Soc_SP'!$C:$AN,MID(AK$1,1,2),FALSE)</f>
        <v>0</v>
      </c>
      <c r="AL1951" s="55">
        <f>VLOOKUP($E1951,'NI-Soc_SP'!$C:$AN,MID(AL$1,1,2),FALSE)</f>
        <v>0</v>
      </c>
      <c r="AM1951" s="56">
        <f>VLOOKUP($E1951,'NI-Soc_SP'!$C:$AN,MID(AM$1,1,2),FALSE)</f>
        <v>0</v>
      </c>
      <c r="AN1951" s="30" t="str">
        <f t="shared" si="30"/>
        <v>40502040000000</v>
      </c>
    </row>
    <row r="1952" spans="1:40" x14ac:dyDescent="0.25">
      <c r="C1952" s="40"/>
      <c r="D1952" s="121" t="s">
        <v>1893</v>
      </c>
      <c r="E1952" s="121" t="s">
        <v>1894</v>
      </c>
      <c r="F1952" s="122" t="s">
        <v>2758</v>
      </c>
      <c r="G1952" s="52"/>
      <c r="H1952" s="52"/>
      <c r="I1952" s="52"/>
      <c r="J1952" s="52"/>
      <c r="K1952" s="59" t="s">
        <v>111</v>
      </c>
      <c r="L1952" s="52"/>
      <c r="M1952" s="52"/>
      <c r="N1952" s="52"/>
      <c r="O1952" s="52"/>
      <c r="P1952" s="76" t="s">
        <v>1895</v>
      </c>
      <c r="Q1952" s="55">
        <f>VLOOKUP(E1952,'NI-Soc_SP'!$C:$AN,12,FALSE)</f>
        <v>0</v>
      </c>
      <c r="R1952" s="55">
        <f>VLOOKUP(E1952,'NI-Soc_SP'!$C:$AN,13,FALSE)</f>
        <v>0</v>
      </c>
      <c r="S1952" s="55"/>
      <c r="T1952" s="55"/>
      <c r="U1952" s="55">
        <f>VLOOKUP($E1952,'NI-Soc_SP'!$C:$AN,MID(U$1,1,2),FALSE)</f>
        <v>0</v>
      </c>
      <c r="V1952" s="55">
        <f>VLOOKUP($E1952,'NI-Soc_SP'!$C:$AN,MID(V$1,1,2),FALSE)</f>
        <v>0</v>
      </c>
      <c r="W1952" s="55">
        <f>VLOOKUP($E1952,'NI-Soc_SP'!$C:$AN,MID(W$1,1,2),FALSE)</f>
        <v>0</v>
      </c>
      <c r="X1952" s="55">
        <f>VLOOKUP($E1952,'NI-Soc_SP'!$C:$AN,MID(X$1,1,2),FALSE)</f>
        <v>0</v>
      </c>
      <c r="Y1952" s="55">
        <f>VLOOKUP($E1952,'NI-Soc_SP'!$C:$AN,MID(Y$1,1,2),FALSE)</f>
        <v>0</v>
      </c>
      <c r="Z1952" s="55">
        <f>VLOOKUP($E1952,'NI-Soc_SP'!$C:$AN,MID(Z$1,1,2),FALSE)</f>
        <v>0</v>
      </c>
      <c r="AA1952" s="55">
        <f>VLOOKUP($E1952,'NI-Soc_SP'!$C:$AN,MID(AA$1,1,2),FALSE)</f>
        <v>0</v>
      </c>
      <c r="AB1952" s="55">
        <f>VLOOKUP($E1952,'NI-Soc_SP'!$C:$AN,MID(AB$1,1,2),FALSE)</f>
        <v>0</v>
      </c>
      <c r="AC1952" s="55">
        <f>VLOOKUP($E1952,'NI-Soc_SP'!$C:$AN,MID(AC$1,1,2),FALSE)</f>
        <v>0</v>
      </c>
      <c r="AD1952" s="55">
        <f>VLOOKUP($E1952,'NI-Soc_SP'!$C:$AN,MID(AD$1,1,2),FALSE)</f>
        <v>0</v>
      </c>
      <c r="AE1952" s="55">
        <f>VLOOKUP($E1952,'NI-Soc_SP'!$C:$AN,MID(AE$1,1,2),FALSE)</f>
        <v>0</v>
      </c>
      <c r="AF1952" s="55">
        <f>VLOOKUP($E1952,'NI-Soc_SP'!$C:$AN,MID(AF$1,1,2),FALSE)</f>
        <v>0</v>
      </c>
      <c r="AG1952" s="55">
        <f>VLOOKUP($E1952,'NI-Soc_SP'!$C:$AN,MID(AG$1,1,2),FALSE)</f>
        <v>0</v>
      </c>
      <c r="AH1952" s="55">
        <f>VLOOKUP($E1952,'NI-Soc_SP'!$C:$AN,MID(AH$1,1,2),FALSE)</f>
        <v>0</v>
      </c>
      <c r="AI1952" s="55">
        <f>VLOOKUP($E1952,'NI-Soc_SP'!$C:$AN,MID(AI$1,1,2),FALSE)</f>
        <v>0</v>
      </c>
      <c r="AJ1952" s="55">
        <f>VLOOKUP($E1952,'NI-Soc_SP'!$C:$AN,MID(AJ$1,1,2),FALSE)</f>
        <v>0</v>
      </c>
      <c r="AK1952" s="55">
        <f>VLOOKUP($E1952,'NI-Soc_SP'!$C:$AN,MID(AK$1,1,2),FALSE)</f>
        <v>0</v>
      </c>
      <c r="AL1952" s="55">
        <f>VLOOKUP($E1952,'NI-Soc_SP'!$C:$AN,MID(AL$1,1,2),FALSE)</f>
        <v>0</v>
      </c>
      <c r="AM1952" s="56">
        <f>VLOOKUP($E1952,'NI-Soc_SP'!$C:$AN,MID(AM$1,1,2),FALSE)</f>
        <v>0</v>
      </c>
      <c r="AN1952" s="30" t="str">
        <f t="shared" si="30"/>
        <v>40503000000000</v>
      </c>
    </row>
    <row r="1953" spans="3:40" x14ac:dyDescent="0.25">
      <c r="C1953" s="40"/>
      <c r="D1953" s="121" t="s">
        <v>1896</v>
      </c>
      <c r="E1953" s="121" t="s">
        <v>1897</v>
      </c>
      <c r="F1953" s="122" t="s">
        <v>2758</v>
      </c>
      <c r="G1953" s="52"/>
      <c r="H1953" s="52"/>
      <c r="I1953" s="52"/>
      <c r="J1953" s="52"/>
      <c r="K1953" s="59" t="s">
        <v>79</v>
      </c>
      <c r="L1953" s="52"/>
      <c r="M1953" s="52"/>
      <c r="N1953" s="52"/>
      <c r="O1953" s="52"/>
      <c r="P1953" s="76" t="s">
        <v>1898</v>
      </c>
      <c r="Q1953" s="55">
        <f>VLOOKUP(E1953,'NI-Soc_SP'!$C:$AN,12,FALSE)</f>
        <v>0</v>
      </c>
      <c r="R1953" s="55">
        <f>VLOOKUP(E1953,'NI-Soc_SP'!$C:$AN,13,FALSE)</f>
        <v>0</v>
      </c>
      <c r="S1953" s="55"/>
      <c r="T1953" s="55"/>
      <c r="U1953" s="55">
        <f>VLOOKUP($E1953,'NI-Soc_SP'!$C:$AN,MID(U$1,1,2),FALSE)</f>
        <v>0</v>
      </c>
      <c r="V1953" s="55">
        <f>VLOOKUP($E1953,'NI-Soc_SP'!$C:$AN,MID(V$1,1,2),FALSE)</f>
        <v>0</v>
      </c>
      <c r="W1953" s="55">
        <f>VLOOKUP($E1953,'NI-Soc_SP'!$C:$AN,MID(W$1,1,2),FALSE)</f>
        <v>0</v>
      </c>
      <c r="X1953" s="55">
        <f>VLOOKUP($E1953,'NI-Soc_SP'!$C:$AN,MID(X$1,1,2),FALSE)</f>
        <v>0</v>
      </c>
      <c r="Y1953" s="55">
        <f>VLOOKUP($E1953,'NI-Soc_SP'!$C:$AN,MID(Y$1,1,2),FALSE)</f>
        <v>0</v>
      </c>
      <c r="Z1953" s="55">
        <f>VLOOKUP($E1953,'NI-Soc_SP'!$C:$AN,MID(Z$1,1,2),FALSE)</f>
        <v>0</v>
      </c>
      <c r="AA1953" s="55">
        <f>VLOOKUP($E1953,'NI-Soc_SP'!$C:$AN,MID(AA$1,1,2),FALSE)</f>
        <v>0</v>
      </c>
      <c r="AB1953" s="55">
        <f>VLOOKUP($E1953,'NI-Soc_SP'!$C:$AN,MID(AB$1,1,2),FALSE)</f>
        <v>0</v>
      </c>
      <c r="AC1953" s="55">
        <f>VLOOKUP($E1953,'NI-Soc_SP'!$C:$AN,MID(AC$1,1,2),FALSE)</f>
        <v>0</v>
      </c>
      <c r="AD1953" s="55">
        <f>VLOOKUP($E1953,'NI-Soc_SP'!$C:$AN,MID(AD$1,1,2),FALSE)</f>
        <v>0</v>
      </c>
      <c r="AE1953" s="55">
        <f>VLOOKUP($E1953,'NI-Soc_SP'!$C:$AN,MID(AE$1,1,2),FALSE)</f>
        <v>0</v>
      </c>
      <c r="AF1953" s="55">
        <f>VLOOKUP($E1953,'NI-Soc_SP'!$C:$AN,MID(AF$1,1,2),FALSE)</f>
        <v>0</v>
      </c>
      <c r="AG1953" s="55">
        <f>VLOOKUP($E1953,'NI-Soc_SP'!$C:$AN,MID(AG$1,1,2),FALSE)</f>
        <v>0</v>
      </c>
      <c r="AH1953" s="55">
        <f>VLOOKUP($E1953,'NI-Soc_SP'!$C:$AN,MID(AH$1,1,2),FALSE)</f>
        <v>0</v>
      </c>
      <c r="AI1953" s="55">
        <f>VLOOKUP($E1953,'NI-Soc_SP'!$C:$AN,MID(AI$1,1,2),FALSE)</f>
        <v>0</v>
      </c>
      <c r="AJ1953" s="55">
        <f>VLOOKUP($E1953,'NI-Soc_SP'!$C:$AN,MID(AJ$1,1,2),FALSE)</f>
        <v>0</v>
      </c>
      <c r="AK1953" s="55">
        <f>VLOOKUP($E1953,'NI-Soc_SP'!$C:$AN,MID(AK$1,1,2),FALSE)</f>
        <v>0</v>
      </c>
      <c r="AL1953" s="55">
        <f>VLOOKUP($E1953,'NI-Soc_SP'!$C:$AN,MID(AL$1,1,2),FALSE)</f>
        <v>0</v>
      </c>
      <c r="AM1953" s="56">
        <f>VLOOKUP($E1953,'NI-Soc_SP'!$C:$AN,MID(AM$1,1,2),FALSE)</f>
        <v>0</v>
      </c>
      <c r="AN1953" s="30" t="str">
        <f t="shared" si="30"/>
        <v>40503010000000</v>
      </c>
    </row>
    <row r="1954" spans="3:40" x14ac:dyDescent="0.25">
      <c r="C1954" s="40"/>
      <c r="D1954" s="121" t="s">
        <v>1899</v>
      </c>
      <c r="E1954" s="121" t="s">
        <v>1900</v>
      </c>
      <c r="F1954" s="122" t="s">
        <v>2758</v>
      </c>
      <c r="G1954" s="52"/>
      <c r="H1954" s="52"/>
      <c r="I1954" s="52"/>
      <c r="J1954" s="52"/>
      <c r="K1954" s="59" t="s">
        <v>79</v>
      </c>
      <c r="L1954" s="52"/>
      <c r="M1954" s="52"/>
      <c r="N1954" s="52"/>
      <c r="O1954" s="52"/>
      <c r="P1954" s="76" t="s">
        <v>1901</v>
      </c>
      <c r="Q1954" s="55">
        <f>VLOOKUP(E1954,'NI-Soc_SP'!$C:$AN,12,FALSE)</f>
        <v>0</v>
      </c>
      <c r="R1954" s="55">
        <f>VLOOKUP(E1954,'NI-Soc_SP'!$C:$AN,13,FALSE)</f>
        <v>0</v>
      </c>
      <c r="S1954" s="55"/>
      <c r="T1954" s="55"/>
      <c r="U1954" s="55">
        <f>VLOOKUP($E1954,'NI-Soc_SP'!$C:$AN,MID(U$1,1,2),FALSE)</f>
        <v>0</v>
      </c>
      <c r="V1954" s="55">
        <f>VLOOKUP($E1954,'NI-Soc_SP'!$C:$AN,MID(V$1,1,2),FALSE)</f>
        <v>0</v>
      </c>
      <c r="W1954" s="55">
        <f>VLOOKUP($E1954,'NI-Soc_SP'!$C:$AN,MID(W$1,1,2),FALSE)</f>
        <v>0</v>
      </c>
      <c r="X1954" s="55">
        <f>VLOOKUP($E1954,'NI-Soc_SP'!$C:$AN,MID(X$1,1,2),FALSE)</f>
        <v>0</v>
      </c>
      <c r="Y1954" s="55">
        <f>VLOOKUP($E1954,'NI-Soc_SP'!$C:$AN,MID(Y$1,1,2),FALSE)</f>
        <v>0</v>
      </c>
      <c r="Z1954" s="55">
        <f>VLOOKUP($E1954,'NI-Soc_SP'!$C:$AN,MID(Z$1,1,2),FALSE)</f>
        <v>0</v>
      </c>
      <c r="AA1954" s="55">
        <f>VLOOKUP($E1954,'NI-Soc_SP'!$C:$AN,MID(AA$1,1,2),FALSE)</f>
        <v>0</v>
      </c>
      <c r="AB1954" s="55">
        <f>VLOOKUP($E1954,'NI-Soc_SP'!$C:$AN,MID(AB$1,1,2),FALSE)</f>
        <v>0</v>
      </c>
      <c r="AC1954" s="55">
        <f>VLOOKUP($E1954,'NI-Soc_SP'!$C:$AN,MID(AC$1,1,2),FALSE)</f>
        <v>0</v>
      </c>
      <c r="AD1954" s="55">
        <f>VLOOKUP($E1954,'NI-Soc_SP'!$C:$AN,MID(AD$1,1,2),FALSE)</f>
        <v>0</v>
      </c>
      <c r="AE1954" s="55">
        <f>VLOOKUP($E1954,'NI-Soc_SP'!$C:$AN,MID(AE$1,1,2),FALSE)</f>
        <v>0</v>
      </c>
      <c r="AF1954" s="55">
        <f>VLOOKUP($E1954,'NI-Soc_SP'!$C:$AN,MID(AF$1,1,2),FALSE)</f>
        <v>0</v>
      </c>
      <c r="AG1954" s="55">
        <f>VLOOKUP($E1954,'NI-Soc_SP'!$C:$AN,MID(AG$1,1,2),FALSE)</f>
        <v>0</v>
      </c>
      <c r="AH1954" s="55">
        <f>VLOOKUP($E1954,'NI-Soc_SP'!$C:$AN,MID(AH$1,1,2),FALSE)</f>
        <v>0</v>
      </c>
      <c r="AI1954" s="55">
        <f>VLOOKUP($E1954,'NI-Soc_SP'!$C:$AN,MID(AI$1,1,2),FALSE)</f>
        <v>0</v>
      </c>
      <c r="AJ1954" s="55">
        <f>VLOOKUP($E1954,'NI-Soc_SP'!$C:$AN,MID(AJ$1,1,2),FALSE)</f>
        <v>0</v>
      </c>
      <c r="AK1954" s="55">
        <f>VLOOKUP($E1954,'NI-Soc_SP'!$C:$AN,MID(AK$1,1,2),FALSE)</f>
        <v>0</v>
      </c>
      <c r="AL1954" s="55">
        <f>VLOOKUP($E1954,'NI-Soc_SP'!$C:$AN,MID(AL$1,1,2),FALSE)</f>
        <v>0</v>
      </c>
      <c r="AM1954" s="56">
        <f>VLOOKUP($E1954,'NI-Soc_SP'!$C:$AN,MID(AM$1,1,2),FALSE)</f>
        <v>0</v>
      </c>
      <c r="AN1954" s="30" t="str">
        <f t="shared" si="30"/>
        <v>40503020000000</v>
      </c>
    </row>
    <row r="1955" spans="3:40" x14ac:dyDescent="0.25">
      <c r="C1955" s="40"/>
      <c r="D1955" s="121" t="s">
        <v>1902</v>
      </c>
      <c r="E1955" s="121" t="s">
        <v>1903</v>
      </c>
      <c r="F1955" s="122" t="s">
        <v>2758</v>
      </c>
      <c r="G1955" s="52"/>
      <c r="H1955" s="52"/>
      <c r="I1955" s="52"/>
      <c r="J1955" s="52"/>
      <c r="K1955" s="59" t="s">
        <v>79</v>
      </c>
      <c r="L1955" s="52"/>
      <c r="M1955" s="52"/>
      <c r="N1955" s="52"/>
      <c r="O1955" s="52"/>
      <c r="P1955" s="76" t="s">
        <v>1904</v>
      </c>
      <c r="Q1955" s="55">
        <f>VLOOKUP(E1955,'NI-Soc_SP'!$C:$AN,12,FALSE)</f>
        <v>0</v>
      </c>
      <c r="R1955" s="55">
        <f>VLOOKUP(E1955,'NI-Soc_SP'!$C:$AN,13,FALSE)</f>
        <v>0</v>
      </c>
      <c r="S1955" s="55"/>
      <c r="T1955" s="55"/>
      <c r="U1955" s="55">
        <f>VLOOKUP($E1955,'NI-Soc_SP'!$C:$AN,MID(U$1,1,2),FALSE)</f>
        <v>0</v>
      </c>
      <c r="V1955" s="55">
        <f>VLOOKUP($E1955,'NI-Soc_SP'!$C:$AN,MID(V$1,1,2),FALSE)</f>
        <v>0</v>
      </c>
      <c r="W1955" s="55">
        <f>VLOOKUP($E1955,'NI-Soc_SP'!$C:$AN,MID(W$1,1,2),FALSE)</f>
        <v>0</v>
      </c>
      <c r="X1955" s="55">
        <f>VLOOKUP($E1955,'NI-Soc_SP'!$C:$AN,MID(X$1,1,2),FALSE)</f>
        <v>0</v>
      </c>
      <c r="Y1955" s="55">
        <f>VLOOKUP($E1955,'NI-Soc_SP'!$C:$AN,MID(Y$1,1,2),FALSE)</f>
        <v>0</v>
      </c>
      <c r="Z1955" s="55">
        <f>VLOOKUP($E1955,'NI-Soc_SP'!$C:$AN,MID(Z$1,1,2),FALSE)</f>
        <v>0</v>
      </c>
      <c r="AA1955" s="55">
        <f>VLOOKUP($E1955,'NI-Soc_SP'!$C:$AN,MID(AA$1,1,2),FALSE)</f>
        <v>0</v>
      </c>
      <c r="AB1955" s="55">
        <f>VLOOKUP($E1955,'NI-Soc_SP'!$C:$AN,MID(AB$1,1,2),FALSE)</f>
        <v>0</v>
      </c>
      <c r="AC1955" s="55">
        <f>VLOOKUP($E1955,'NI-Soc_SP'!$C:$AN,MID(AC$1,1,2),FALSE)</f>
        <v>0</v>
      </c>
      <c r="AD1955" s="55">
        <f>VLOOKUP($E1955,'NI-Soc_SP'!$C:$AN,MID(AD$1,1,2),FALSE)</f>
        <v>0</v>
      </c>
      <c r="AE1955" s="55">
        <f>VLOOKUP($E1955,'NI-Soc_SP'!$C:$AN,MID(AE$1,1,2),FALSE)</f>
        <v>0</v>
      </c>
      <c r="AF1955" s="55">
        <f>VLOOKUP($E1955,'NI-Soc_SP'!$C:$AN,MID(AF$1,1,2),FALSE)</f>
        <v>0</v>
      </c>
      <c r="AG1955" s="55">
        <f>VLOOKUP($E1955,'NI-Soc_SP'!$C:$AN,MID(AG$1,1,2),FALSE)</f>
        <v>0</v>
      </c>
      <c r="AH1955" s="55">
        <f>VLOOKUP($E1955,'NI-Soc_SP'!$C:$AN,MID(AH$1,1,2),FALSE)</f>
        <v>0</v>
      </c>
      <c r="AI1955" s="55">
        <f>VLOOKUP($E1955,'NI-Soc_SP'!$C:$AN,MID(AI$1,1,2),FALSE)</f>
        <v>0</v>
      </c>
      <c r="AJ1955" s="55">
        <f>VLOOKUP($E1955,'NI-Soc_SP'!$C:$AN,MID(AJ$1,1,2),FALSE)</f>
        <v>0</v>
      </c>
      <c r="AK1955" s="55">
        <f>VLOOKUP($E1955,'NI-Soc_SP'!$C:$AN,MID(AK$1,1,2),FALSE)</f>
        <v>0</v>
      </c>
      <c r="AL1955" s="55">
        <f>VLOOKUP($E1955,'NI-Soc_SP'!$C:$AN,MID(AL$1,1,2),FALSE)</f>
        <v>0</v>
      </c>
      <c r="AM1955" s="56">
        <f>VLOOKUP($E1955,'NI-Soc_SP'!$C:$AN,MID(AM$1,1,2),FALSE)</f>
        <v>0</v>
      </c>
      <c r="AN1955" s="30" t="str">
        <f t="shared" si="30"/>
        <v>40503030000000</v>
      </c>
    </row>
    <row r="1956" spans="3:40" x14ac:dyDescent="0.25">
      <c r="C1956" s="40"/>
      <c r="D1956" s="121" t="s">
        <v>1905</v>
      </c>
      <c r="E1956" s="121" t="s">
        <v>1906</v>
      </c>
      <c r="F1956" s="122" t="s">
        <v>2758</v>
      </c>
      <c r="G1956" s="52"/>
      <c r="H1956" s="52"/>
      <c r="I1956" s="52"/>
      <c r="J1956" s="52"/>
      <c r="K1956" s="59" t="s">
        <v>79</v>
      </c>
      <c r="L1956" s="52"/>
      <c r="M1956" s="52"/>
      <c r="N1956" s="52"/>
      <c r="O1956" s="52"/>
      <c r="P1956" s="76" t="s">
        <v>1907</v>
      </c>
      <c r="Q1956" s="55">
        <f>VLOOKUP(E1956,'NI-Soc_SP'!$C:$AN,12,FALSE)</f>
        <v>0</v>
      </c>
      <c r="R1956" s="55">
        <f>VLOOKUP(E1956,'NI-Soc_SP'!$C:$AN,13,FALSE)</f>
        <v>0</v>
      </c>
      <c r="S1956" s="55"/>
      <c r="T1956" s="55"/>
      <c r="U1956" s="55">
        <f>VLOOKUP($E1956,'NI-Soc_SP'!$C:$AN,MID(U$1,1,2),FALSE)</f>
        <v>0</v>
      </c>
      <c r="V1956" s="55">
        <f>VLOOKUP($E1956,'NI-Soc_SP'!$C:$AN,MID(V$1,1,2),FALSE)</f>
        <v>0</v>
      </c>
      <c r="W1956" s="55">
        <f>VLOOKUP($E1956,'NI-Soc_SP'!$C:$AN,MID(W$1,1,2),FALSE)</f>
        <v>0</v>
      </c>
      <c r="X1956" s="55">
        <f>VLOOKUP($E1956,'NI-Soc_SP'!$C:$AN,MID(X$1,1,2),FALSE)</f>
        <v>0</v>
      </c>
      <c r="Y1956" s="55">
        <f>VLOOKUP($E1956,'NI-Soc_SP'!$C:$AN,MID(Y$1,1,2),FALSE)</f>
        <v>0</v>
      </c>
      <c r="Z1956" s="55">
        <f>VLOOKUP($E1956,'NI-Soc_SP'!$C:$AN,MID(Z$1,1,2),FALSE)</f>
        <v>0</v>
      </c>
      <c r="AA1956" s="55">
        <f>VLOOKUP($E1956,'NI-Soc_SP'!$C:$AN,MID(AA$1,1,2),FALSE)</f>
        <v>0</v>
      </c>
      <c r="AB1956" s="55">
        <f>VLOOKUP($E1956,'NI-Soc_SP'!$C:$AN,MID(AB$1,1,2),FALSE)</f>
        <v>0</v>
      </c>
      <c r="AC1956" s="55">
        <f>VLOOKUP($E1956,'NI-Soc_SP'!$C:$AN,MID(AC$1,1,2),FALSE)</f>
        <v>0</v>
      </c>
      <c r="AD1956" s="55">
        <f>VLOOKUP($E1956,'NI-Soc_SP'!$C:$AN,MID(AD$1,1,2),FALSE)</f>
        <v>0</v>
      </c>
      <c r="AE1956" s="55">
        <f>VLOOKUP($E1956,'NI-Soc_SP'!$C:$AN,MID(AE$1,1,2),FALSE)</f>
        <v>0</v>
      </c>
      <c r="AF1956" s="55">
        <f>VLOOKUP($E1956,'NI-Soc_SP'!$C:$AN,MID(AF$1,1,2),FALSE)</f>
        <v>0</v>
      </c>
      <c r="AG1956" s="55">
        <f>VLOOKUP($E1956,'NI-Soc_SP'!$C:$AN,MID(AG$1,1,2),FALSE)</f>
        <v>0</v>
      </c>
      <c r="AH1956" s="55">
        <f>VLOOKUP($E1956,'NI-Soc_SP'!$C:$AN,MID(AH$1,1,2),FALSE)</f>
        <v>0</v>
      </c>
      <c r="AI1956" s="55">
        <f>VLOOKUP($E1956,'NI-Soc_SP'!$C:$AN,MID(AI$1,1,2),FALSE)</f>
        <v>0</v>
      </c>
      <c r="AJ1956" s="55">
        <f>VLOOKUP($E1956,'NI-Soc_SP'!$C:$AN,MID(AJ$1,1,2),FALSE)</f>
        <v>0</v>
      </c>
      <c r="AK1956" s="55">
        <f>VLOOKUP($E1956,'NI-Soc_SP'!$C:$AN,MID(AK$1,1,2),FALSE)</f>
        <v>0</v>
      </c>
      <c r="AL1956" s="55">
        <f>VLOOKUP($E1956,'NI-Soc_SP'!$C:$AN,MID(AL$1,1,2),FALSE)</f>
        <v>0</v>
      </c>
      <c r="AM1956" s="56">
        <f>VLOOKUP($E1956,'NI-Soc_SP'!$C:$AN,MID(AM$1,1,2),FALSE)</f>
        <v>0</v>
      </c>
      <c r="AN1956" s="30" t="str">
        <f t="shared" si="30"/>
        <v>40503040000000</v>
      </c>
    </row>
    <row r="1957" spans="3:40" x14ac:dyDescent="0.25">
      <c r="C1957" s="40"/>
      <c r="D1957" s="121">
        <v>0</v>
      </c>
      <c r="E1957" s="121" t="s">
        <v>1908</v>
      </c>
      <c r="F1957" s="122" t="s">
        <v>2758</v>
      </c>
      <c r="G1957" s="52"/>
      <c r="H1957" s="52"/>
      <c r="I1957" s="52"/>
      <c r="J1957" s="52"/>
      <c r="K1957" s="59" t="s">
        <v>111</v>
      </c>
      <c r="L1957" s="62"/>
      <c r="M1957" s="52"/>
      <c r="N1957" s="52"/>
      <c r="O1957" s="52"/>
      <c r="P1957" s="63" t="s">
        <v>1909</v>
      </c>
      <c r="Q1957" s="55">
        <f>VLOOKUP(E1957,'NI-Soc_SP'!$C:$AN,12,FALSE)</f>
        <v>0</v>
      </c>
      <c r="R1957" s="55">
        <f>VLOOKUP(E1957,'NI-Soc_SP'!$C:$AN,13,FALSE)</f>
        <v>0</v>
      </c>
      <c r="S1957" s="55"/>
      <c r="T1957" s="55"/>
      <c r="U1957" s="55">
        <f>VLOOKUP($E1957,'NI-Soc_SP'!$C:$AN,MID(U$1,1,2),FALSE)</f>
        <v>0</v>
      </c>
      <c r="V1957" s="55">
        <f>VLOOKUP($E1957,'NI-Soc_SP'!$C:$AN,MID(V$1,1,2),FALSE)</f>
        <v>0</v>
      </c>
      <c r="W1957" s="55">
        <f>VLOOKUP($E1957,'NI-Soc_SP'!$C:$AN,MID(W$1,1,2),FALSE)</f>
        <v>0</v>
      </c>
      <c r="X1957" s="55" t="str">
        <f>VLOOKUP($E1957,'NI-Soc_SP'!$C:$AN,MID(X$1,1,2),FALSE)</f>
        <v/>
      </c>
      <c r="Y1957" s="55">
        <f>VLOOKUP($E1957,'NI-Soc_SP'!$C:$AN,MID(Y$1,1,2),FALSE)</f>
        <v>0</v>
      </c>
      <c r="Z1957" s="55">
        <f>VLOOKUP($E1957,'NI-Soc_SP'!$C:$AN,MID(Z$1,1,2),FALSE)</f>
        <v>0</v>
      </c>
      <c r="AA1957" s="55">
        <f>VLOOKUP($E1957,'NI-Soc_SP'!$C:$AN,MID(AA$1,1,2),FALSE)</f>
        <v>0</v>
      </c>
      <c r="AB1957" s="55">
        <f>VLOOKUP($E1957,'NI-Soc_SP'!$C:$AN,MID(AB$1,1,2),FALSE)</f>
        <v>0</v>
      </c>
      <c r="AC1957" s="55">
        <f>VLOOKUP($E1957,'NI-Soc_SP'!$C:$AN,MID(AC$1,1,2),FALSE)</f>
        <v>0</v>
      </c>
      <c r="AD1957" s="55">
        <f>VLOOKUP($E1957,'NI-Soc_SP'!$C:$AN,MID(AD$1,1,2),FALSE)</f>
        <v>0</v>
      </c>
      <c r="AE1957" s="55">
        <f>VLOOKUP($E1957,'NI-Soc_SP'!$C:$AN,MID(AE$1,1,2),FALSE)</f>
        <v>0</v>
      </c>
      <c r="AF1957" s="55">
        <f>VLOOKUP($E1957,'NI-Soc_SP'!$C:$AN,MID(AF$1,1,2),FALSE)</f>
        <v>0</v>
      </c>
      <c r="AG1957" s="55">
        <f>VLOOKUP($E1957,'NI-Soc_SP'!$C:$AN,MID(AG$1,1,2),FALSE)</f>
        <v>0</v>
      </c>
      <c r="AH1957" s="55">
        <f>VLOOKUP($E1957,'NI-Soc_SP'!$C:$AN,MID(AH$1,1,2),FALSE)</f>
        <v>0</v>
      </c>
      <c r="AI1957" s="55">
        <f>VLOOKUP($E1957,'NI-Soc_SP'!$C:$AN,MID(AI$1,1,2),FALSE)</f>
        <v>0</v>
      </c>
      <c r="AJ1957" s="55">
        <f>VLOOKUP($E1957,'NI-Soc_SP'!$C:$AN,MID(AJ$1,1,2),FALSE)</f>
        <v>0</v>
      </c>
      <c r="AK1957" s="55">
        <f>VLOOKUP($E1957,'NI-Soc_SP'!$C:$AN,MID(AK$1,1,2),FALSE)</f>
        <v>0</v>
      </c>
      <c r="AL1957" s="55">
        <f>VLOOKUP($E1957,'NI-Soc_SP'!$C:$AN,MID(AL$1,1,2),FALSE)</f>
        <v>0</v>
      </c>
      <c r="AM1957" s="56">
        <f>VLOOKUP($E1957,'NI-Soc_SP'!$C:$AN,MID(AM$1,1,2),FALSE)</f>
        <v>0</v>
      </c>
      <c r="AN1957" s="30">
        <f t="shared" si="30"/>
        <v>0</v>
      </c>
    </row>
    <row r="1958" spans="3:40" x14ac:dyDescent="0.25">
      <c r="C1958" s="40"/>
      <c r="D1958" s="121" t="s">
        <v>1910</v>
      </c>
      <c r="E1958" s="121" t="s">
        <v>1911</v>
      </c>
      <c r="F1958" s="122" t="s">
        <v>2758</v>
      </c>
      <c r="G1958" s="52"/>
      <c r="H1958" s="52"/>
      <c r="I1958" s="52"/>
      <c r="J1958" s="52"/>
      <c r="K1958" s="59" t="s">
        <v>111</v>
      </c>
      <c r="L1958" s="65"/>
      <c r="M1958" s="52"/>
      <c r="N1958" s="52"/>
      <c r="O1958" s="52"/>
      <c r="P1958" s="76" t="s">
        <v>1912</v>
      </c>
      <c r="Q1958" s="55">
        <f>VLOOKUP(E1958,'NI-Soc_SP'!$C:$AN,12,FALSE)</f>
        <v>0</v>
      </c>
      <c r="R1958" s="55">
        <f>VLOOKUP(E1958,'NI-Soc_SP'!$C:$AN,13,FALSE)</f>
        <v>0</v>
      </c>
      <c r="S1958" s="55"/>
      <c r="T1958" s="55"/>
      <c r="U1958" s="55">
        <f>VLOOKUP($E1958,'NI-Soc_SP'!$C:$AN,MID(U$1,1,2),FALSE)</f>
        <v>0</v>
      </c>
      <c r="V1958" s="55">
        <f>VLOOKUP($E1958,'NI-Soc_SP'!$C:$AN,MID(V$1,1,2),FALSE)</f>
        <v>0</v>
      </c>
      <c r="W1958" s="55">
        <f>VLOOKUP($E1958,'NI-Soc_SP'!$C:$AN,MID(W$1,1,2),FALSE)</f>
        <v>0</v>
      </c>
      <c r="X1958" s="55">
        <f>VLOOKUP($E1958,'NI-Soc_SP'!$C:$AN,MID(X$1,1,2),FALSE)</f>
        <v>0</v>
      </c>
      <c r="Y1958" s="55">
        <f>VLOOKUP($E1958,'NI-Soc_SP'!$C:$AN,MID(Y$1,1,2),FALSE)</f>
        <v>0</v>
      </c>
      <c r="Z1958" s="55">
        <f>VLOOKUP($E1958,'NI-Soc_SP'!$C:$AN,MID(Z$1,1,2),FALSE)</f>
        <v>0</v>
      </c>
      <c r="AA1958" s="55">
        <f>VLOOKUP($E1958,'NI-Soc_SP'!$C:$AN,MID(AA$1,1,2),FALSE)</f>
        <v>0</v>
      </c>
      <c r="AB1958" s="55">
        <f>VLOOKUP($E1958,'NI-Soc_SP'!$C:$AN,MID(AB$1,1,2),FALSE)</f>
        <v>0</v>
      </c>
      <c r="AC1958" s="55">
        <f>VLOOKUP($E1958,'NI-Soc_SP'!$C:$AN,MID(AC$1,1,2),FALSE)</f>
        <v>0</v>
      </c>
      <c r="AD1958" s="55">
        <f>VLOOKUP($E1958,'NI-Soc_SP'!$C:$AN,MID(AD$1,1,2),FALSE)</f>
        <v>0</v>
      </c>
      <c r="AE1958" s="55">
        <f>VLOOKUP($E1958,'NI-Soc_SP'!$C:$AN,MID(AE$1,1,2),FALSE)</f>
        <v>0</v>
      </c>
      <c r="AF1958" s="55">
        <f>VLOOKUP($E1958,'NI-Soc_SP'!$C:$AN,MID(AF$1,1,2),FALSE)</f>
        <v>0</v>
      </c>
      <c r="AG1958" s="55">
        <f>VLOOKUP($E1958,'NI-Soc_SP'!$C:$AN,MID(AG$1,1,2),FALSE)</f>
        <v>0</v>
      </c>
      <c r="AH1958" s="55">
        <f>VLOOKUP($E1958,'NI-Soc_SP'!$C:$AN,MID(AH$1,1,2),FALSE)</f>
        <v>0</v>
      </c>
      <c r="AI1958" s="55">
        <f>VLOOKUP($E1958,'NI-Soc_SP'!$C:$AN,MID(AI$1,1,2),FALSE)</f>
        <v>0</v>
      </c>
      <c r="AJ1958" s="55">
        <f>VLOOKUP($E1958,'NI-Soc_SP'!$C:$AN,MID(AJ$1,1,2),FALSE)</f>
        <v>0</v>
      </c>
      <c r="AK1958" s="55">
        <f>VLOOKUP($E1958,'NI-Soc_SP'!$C:$AN,MID(AK$1,1,2),FALSE)</f>
        <v>0</v>
      </c>
      <c r="AL1958" s="55">
        <f>VLOOKUP($E1958,'NI-Soc_SP'!$C:$AN,MID(AL$1,1,2),FALSE)</f>
        <v>0</v>
      </c>
      <c r="AM1958" s="56">
        <f>VLOOKUP($E1958,'NI-Soc_SP'!$C:$AN,MID(AM$1,1,2),FALSE)</f>
        <v>0</v>
      </c>
      <c r="AN1958" s="30" t="str">
        <f t="shared" si="30"/>
        <v>50100000000000</v>
      </c>
    </row>
    <row r="1959" spans="3:40" x14ac:dyDescent="0.25">
      <c r="C1959" s="40"/>
      <c r="D1959" s="121" t="s">
        <v>1913</v>
      </c>
      <c r="E1959" s="121" t="s">
        <v>1914</v>
      </c>
      <c r="F1959" s="122" t="s">
        <v>2758</v>
      </c>
      <c r="G1959" s="52"/>
      <c r="H1959" s="52"/>
      <c r="I1959" s="52" t="s">
        <v>1915</v>
      </c>
      <c r="J1959" s="52"/>
      <c r="K1959" s="59" t="s">
        <v>79</v>
      </c>
      <c r="L1959" s="52" t="s">
        <v>1916</v>
      </c>
      <c r="M1959" s="52"/>
      <c r="N1959" s="52"/>
      <c r="O1959" s="61" t="s">
        <v>1917</v>
      </c>
      <c r="P1959" s="76" t="s">
        <v>1918</v>
      </c>
      <c r="Q1959" s="55">
        <f>VLOOKUP(E1959,'NI-Soc_SP'!$C:$AN,12,FALSE)</f>
        <v>0</v>
      </c>
      <c r="R1959" s="55">
        <f>VLOOKUP(E1959,'NI-Soc_SP'!$C:$AN,13,FALSE)</f>
        <v>0</v>
      </c>
      <c r="S1959" s="55"/>
      <c r="T1959" s="55"/>
      <c r="U1959" s="55">
        <f>VLOOKUP($E1959,'NI-Soc_SP'!$C:$AN,MID(U$1,1,2),FALSE)</f>
        <v>0</v>
      </c>
      <c r="V1959" s="55">
        <f>VLOOKUP($E1959,'NI-Soc_SP'!$C:$AN,MID(V$1,1,2),FALSE)</f>
        <v>0</v>
      </c>
      <c r="W1959" s="55">
        <f>VLOOKUP($E1959,'NI-Soc_SP'!$C:$AN,MID(W$1,1,2),FALSE)</f>
        <v>0</v>
      </c>
      <c r="X1959" s="55">
        <f>VLOOKUP($E1959,'NI-Soc_SP'!$C:$AN,MID(X$1,1,2),FALSE)</f>
        <v>0</v>
      </c>
      <c r="Y1959" s="55">
        <f>VLOOKUP($E1959,'NI-Soc_SP'!$C:$AN,MID(Y$1,1,2),FALSE)</f>
        <v>0</v>
      </c>
      <c r="Z1959" s="55">
        <f>VLOOKUP($E1959,'NI-Soc_SP'!$C:$AN,MID(Z$1,1,2),FALSE)</f>
        <v>0</v>
      </c>
      <c r="AA1959" s="55">
        <f>VLOOKUP($E1959,'NI-Soc_SP'!$C:$AN,MID(AA$1,1,2),FALSE)</f>
        <v>0</v>
      </c>
      <c r="AB1959" s="55">
        <f>VLOOKUP($E1959,'NI-Soc_SP'!$C:$AN,MID(AB$1,1,2),FALSE)</f>
        <v>0</v>
      </c>
      <c r="AC1959" s="55">
        <f>VLOOKUP($E1959,'NI-Soc_SP'!$C:$AN,MID(AC$1,1,2),FALSE)</f>
        <v>0</v>
      </c>
      <c r="AD1959" s="55">
        <f>VLOOKUP($E1959,'NI-Soc_SP'!$C:$AN,MID(AD$1,1,2),FALSE)</f>
        <v>0</v>
      </c>
      <c r="AE1959" s="55">
        <f>VLOOKUP($E1959,'NI-Soc_SP'!$C:$AN,MID(AE$1,1,2),FALSE)</f>
        <v>0</v>
      </c>
      <c r="AF1959" s="55">
        <f>VLOOKUP($E1959,'NI-Soc_SP'!$C:$AN,MID(AF$1,1,2),FALSE)</f>
        <v>0</v>
      </c>
      <c r="AG1959" s="55">
        <f>VLOOKUP($E1959,'NI-Soc_SP'!$C:$AN,MID(AG$1,1,2),FALSE)</f>
        <v>0</v>
      </c>
      <c r="AH1959" s="55">
        <f>VLOOKUP($E1959,'NI-Soc_SP'!$C:$AN,MID(AH$1,1,2),FALSE)</f>
        <v>0</v>
      </c>
      <c r="AI1959" s="55">
        <f>VLOOKUP($E1959,'NI-Soc_SP'!$C:$AN,MID(AI$1,1,2),FALSE)</f>
        <v>0</v>
      </c>
      <c r="AJ1959" s="55">
        <f>VLOOKUP($E1959,'NI-Soc_SP'!$C:$AN,MID(AJ$1,1,2),FALSE)</f>
        <v>0</v>
      </c>
      <c r="AK1959" s="55">
        <f>VLOOKUP($E1959,'NI-Soc_SP'!$C:$AN,MID(AK$1,1,2),FALSE)</f>
        <v>0</v>
      </c>
      <c r="AL1959" s="55">
        <f>VLOOKUP($E1959,'NI-Soc_SP'!$C:$AN,MID(AL$1,1,2),FALSE)</f>
        <v>0</v>
      </c>
      <c r="AM1959" s="56">
        <f>VLOOKUP($E1959,'NI-Soc_SP'!$C:$AN,MID(AM$1,1,2),FALSE)</f>
        <v>0</v>
      </c>
      <c r="AN1959" s="30" t="str">
        <f t="shared" si="30"/>
        <v>50101000000000</v>
      </c>
    </row>
    <row r="1960" spans="3:40" x14ac:dyDescent="0.25">
      <c r="C1960" s="40"/>
      <c r="D1960" s="121" t="s">
        <v>1919</v>
      </c>
      <c r="E1960" s="121" t="s">
        <v>1920</v>
      </c>
      <c r="F1960" s="122" t="s">
        <v>2758</v>
      </c>
      <c r="G1960" s="52"/>
      <c r="H1960" s="52"/>
      <c r="I1960" s="52"/>
      <c r="J1960" s="52"/>
      <c r="K1960" s="59" t="s">
        <v>111</v>
      </c>
      <c r="L1960" s="52"/>
      <c r="M1960" s="52"/>
      <c r="N1960" s="52"/>
      <c r="O1960" s="52"/>
      <c r="P1960" s="76" t="s">
        <v>1921</v>
      </c>
      <c r="Q1960" s="55">
        <f>VLOOKUP(E1960,'NI-Soc_SP'!$C:$AN,12,FALSE)</f>
        <v>0</v>
      </c>
      <c r="R1960" s="55">
        <f>VLOOKUP(E1960,'NI-Soc_SP'!$C:$AN,13,FALSE)</f>
        <v>0</v>
      </c>
      <c r="S1960" s="55"/>
      <c r="T1960" s="55"/>
      <c r="U1960" s="55">
        <f>VLOOKUP($E1960,'NI-Soc_SP'!$C:$AN,MID(U$1,1,2),FALSE)</f>
        <v>0</v>
      </c>
      <c r="V1960" s="55">
        <f>VLOOKUP($E1960,'NI-Soc_SP'!$C:$AN,MID(V$1,1,2),FALSE)</f>
        <v>0</v>
      </c>
      <c r="W1960" s="55">
        <f>VLOOKUP($E1960,'NI-Soc_SP'!$C:$AN,MID(W$1,1,2),FALSE)</f>
        <v>0</v>
      </c>
      <c r="X1960" s="55">
        <f>VLOOKUP($E1960,'NI-Soc_SP'!$C:$AN,MID(X$1,1,2),FALSE)</f>
        <v>0</v>
      </c>
      <c r="Y1960" s="55">
        <f>VLOOKUP($E1960,'NI-Soc_SP'!$C:$AN,MID(Y$1,1,2),FALSE)</f>
        <v>0</v>
      </c>
      <c r="Z1960" s="55">
        <f>VLOOKUP($E1960,'NI-Soc_SP'!$C:$AN,MID(Z$1,1,2),FALSE)</f>
        <v>0</v>
      </c>
      <c r="AA1960" s="55">
        <f>VLOOKUP($E1960,'NI-Soc_SP'!$C:$AN,MID(AA$1,1,2),FALSE)</f>
        <v>0</v>
      </c>
      <c r="AB1960" s="55">
        <f>VLOOKUP($E1960,'NI-Soc_SP'!$C:$AN,MID(AB$1,1,2),FALSE)</f>
        <v>0</v>
      </c>
      <c r="AC1960" s="55">
        <f>VLOOKUP($E1960,'NI-Soc_SP'!$C:$AN,MID(AC$1,1,2),FALSE)</f>
        <v>0</v>
      </c>
      <c r="AD1960" s="55">
        <f>VLOOKUP($E1960,'NI-Soc_SP'!$C:$AN,MID(AD$1,1,2),FALSE)</f>
        <v>0</v>
      </c>
      <c r="AE1960" s="55">
        <f>VLOOKUP($E1960,'NI-Soc_SP'!$C:$AN,MID(AE$1,1,2),FALSE)</f>
        <v>0</v>
      </c>
      <c r="AF1960" s="55">
        <f>VLOOKUP($E1960,'NI-Soc_SP'!$C:$AN,MID(AF$1,1,2),FALSE)</f>
        <v>0</v>
      </c>
      <c r="AG1960" s="55">
        <f>VLOOKUP($E1960,'NI-Soc_SP'!$C:$AN,MID(AG$1,1,2),FALSE)</f>
        <v>0</v>
      </c>
      <c r="AH1960" s="55">
        <f>VLOOKUP($E1960,'NI-Soc_SP'!$C:$AN,MID(AH$1,1,2),FALSE)</f>
        <v>0</v>
      </c>
      <c r="AI1960" s="55">
        <f>VLOOKUP($E1960,'NI-Soc_SP'!$C:$AN,MID(AI$1,1,2),FALSE)</f>
        <v>0</v>
      </c>
      <c r="AJ1960" s="55">
        <f>VLOOKUP($E1960,'NI-Soc_SP'!$C:$AN,MID(AJ$1,1,2),FALSE)</f>
        <v>0</v>
      </c>
      <c r="AK1960" s="55">
        <f>VLOOKUP($E1960,'NI-Soc_SP'!$C:$AN,MID(AK$1,1,2),FALSE)</f>
        <v>0</v>
      </c>
      <c r="AL1960" s="55">
        <f>VLOOKUP($E1960,'NI-Soc_SP'!$C:$AN,MID(AL$1,1,2),FALSE)</f>
        <v>0</v>
      </c>
      <c r="AM1960" s="56">
        <f>VLOOKUP($E1960,'NI-Soc_SP'!$C:$AN,MID(AM$1,1,2),FALSE)</f>
        <v>0</v>
      </c>
      <c r="AN1960" s="30" t="str">
        <f t="shared" si="30"/>
        <v>50102000000000</v>
      </c>
    </row>
    <row r="1961" spans="3:40" x14ac:dyDescent="0.25">
      <c r="C1961" s="40"/>
      <c r="D1961" s="121" t="s">
        <v>1922</v>
      </c>
      <c r="E1961" s="121" t="s">
        <v>1923</v>
      </c>
      <c r="F1961" s="122" t="s">
        <v>2758</v>
      </c>
      <c r="G1961" s="52"/>
      <c r="H1961" s="52"/>
      <c r="I1961" s="52" t="s">
        <v>1924</v>
      </c>
      <c r="J1961" s="52"/>
      <c r="K1961" s="59" t="s">
        <v>79</v>
      </c>
      <c r="L1961" s="62" t="s">
        <v>1925</v>
      </c>
      <c r="M1961" s="52"/>
      <c r="N1961" s="52"/>
      <c r="O1961" s="61" t="s">
        <v>1926</v>
      </c>
      <c r="P1961" s="63" t="s">
        <v>1927</v>
      </c>
      <c r="Q1961" s="55">
        <f>VLOOKUP(E1961,'NI-Soc_SP'!$C:$AN,12,FALSE)</f>
        <v>0</v>
      </c>
      <c r="R1961" s="55">
        <f>VLOOKUP(E1961,'NI-Soc_SP'!$C:$AN,13,FALSE)</f>
        <v>0</v>
      </c>
      <c r="S1961" s="55"/>
      <c r="T1961" s="55"/>
      <c r="U1961" s="55">
        <f>VLOOKUP($E1961,'NI-Soc_SP'!$C:$AN,MID(U$1,1,2),FALSE)</f>
        <v>0</v>
      </c>
      <c r="V1961" s="55">
        <f>VLOOKUP($E1961,'NI-Soc_SP'!$C:$AN,MID(V$1,1,2),FALSE)</f>
        <v>0</v>
      </c>
      <c r="W1961" s="55">
        <f>VLOOKUP($E1961,'NI-Soc_SP'!$C:$AN,MID(W$1,1,2),FALSE)</f>
        <v>0</v>
      </c>
      <c r="X1961" s="55">
        <f>VLOOKUP($E1961,'NI-Soc_SP'!$C:$AN,MID(X$1,1,2),FALSE)</f>
        <v>0</v>
      </c>
      <c r="Y1961" s="55">
        <f>VLOOKUP($E1961,'NI-Soc_SP'!$C:$AN,MID(Y$1,1,2),FALSE)</f>
        <v>0</v>
      </c>
      <c r="Z1961" s="55">
        <f>VLOOKUP($E1961,'NI-Soc_SP'!$C:$AN,MID(Z$1,1,2),FALSE)</f>
        <v>0</v>
      </c>
      <c r="AA1961" s="55">
        <f>VLOOKUP($E1961,'NI-Soc_SP'!$C:$AN,MID(AA$1,1,2),FALSE)</f>
        <v>0</v>
      </c>
      <c r="AB1961" s="55">
        <f>VLOOKUP($E1961,'NI-Soc_SP'!$C:$AN,MID(AB$1,1,2),FALSE)</f>
        <v>0</v>
      </c>
      <c r="AC1961" s="55">
        <f>VLOOKUP($E1961,'NI-Soc_SP'!$C:$AN,MID(AC$1,1,2),FALSE)</f>
        <v>0</v>
      </c>
      <c r="AD1961" s="55">
        <f>VLOOKUP($E1961,'NI-Soc_SP'!$C:$AN,MID(AD$1,1,2),FALSE)</f>
        <v>0</v>
      </c>
      <c r="AE1961" s="55">
        <f>VLOOKUP($E1961,'NI-Soc_SP'!$C:$AN,MID(AE$1,1,2),FALSE)</f>
        <v>0</v>
      </c>
      <c r="AF1961" s="55">
        <f>VLOOKUP($E1961,'NI-Soc_SP'!$C:$AN,MID(AF$1,1,2),FALSE)</f>
        <v>0</v>
      </c>
      <c r="AG1961" s="55">
        <f>VLOOKUP($E1961,'NI-Soc_SP'!$C:$AN,MID(AG$1,1,2),FALSE)</f>
        <v>0</v>
      </c>
      <c r="AH1961" s="55">
        <f>VLOOKUP($E1961,'NI-Soc_SP'!$C:$AN,MID(AH$1,1,2),FALSE)</f>
        <v>0</v>
      </c>
      <c r="AI1961" s="55">
        <f>VLOOKUP($E1961,'NI-Soc_SP'!$C:$AN,MID(AI$1,1,2),FALSE)</f>
        <v>0</v>
      </c>
      <c r="AJ1961" s="55">
        <f>VLOOKUP($E1961,'NI-Soc_SP'!$C:$AN,MID(AJ$1,1,2),FALSE)</f>
        <v>0</v>
      </c>
      <c r="AK1961" s="55">
        <f>VLOOKUP($E1961,'NI-Soc_SP'!$C:$AN,MID(AK$1,1,2),FALSE)</f>
        <v>0</v>
      </c>
      <c r="AL1961" s="55">
        <f>VLOOKUP($E1961,'NI-Soc_SP'!$C:$AN,MID(AL$1,1,2),FALSE)</f>
        <v>0</v>
      </c>
      <c r="AM1961" s="56">
        <f>VLOOKUP($E1961,'NI-Soc_SP'!$C:$AN,MID(AM$1,1,2),FALSE)</f>
        <v>0</v>
      </c>
      <c r="AN1961" s="30" t="str">
        <f t="shared" si="30"/>
        <v>50102010000000</v>
      </c>
    </row>
    <row r="1962" spans="3:40" x14ac:dyDescent="0.25">
      <c r="C1962" s="40"/>
      <c r="D1962" s="121" t="s">
        <v>1928</v>
      </c>
      <c r="E1962" s="121" t="s">
        <v>1929</v>
      </c>
      <c r="F1962" s="122" t="s">
        <v>2758</v>
      </c>
      <c r="G1962" s="52"/>
      <c r="H1962" s="52"/>
      <c r="I1962" s="52"/>
      <c r="J1962" s="52"/>
      <c r="K1962" s="59" t="s">
        <v>111</v>
      </c>
      <c r="L1962" s="62" t="s">
        <v>1930</v>
      </c>
      <c r="M1962" s="52"/>
      <c r="N1962" s="52"/>
      <c r="O1962" s="52"/>
      <c r="P1962" s="63" t="s">
        <v>1931</v>
      </c>
      <c r="Q1962" s="55">
        <f>VLOOKUP(E1962,'NI-Soc_SP'!$C:$AN,12,FALSE)</f>
        <v>0</v>
      </c>
      <c r="R1962" s="55">
        <f>VLOOKUP(E1962,'NI-Soc_SP'!$C:$AN,13,FALSE)</f>
        <v>0</v>
      </c>
      <c r="S1962" s="55"/>
      <c r="T1962" s="55"/>
      <c r="U1962" s="55">
        <f>VLOOKUP($E1962,'NI-Soc_SP'!$C:$AN,MID(U$1,1,2),FALSE)</f>
        <v>0</v>
      </c>
      <c r="V1962" s="55">
        <f>VLOOKUP($E1962,'NI-Soc_SP'!$C:$AN,MID(V$1,1,2),FALSE)</f>
        <v>0</v>
      </c>
      <c r="W1962" s="55">
        <f>VLOOKUP($E1962,'NI-Soc_SP'!$C:$AN,MID(W$1,1,2),FALSE)</f>
        <v>0</v>
      </c>
      <c r="X1962" s="55">
        <f>VLOOKUP($E1962,'NI-Soc_SP'!$C:$AN,MID(X$1,1,2),FALSE)</f>
        <v>0</v>
      </c>
      <c r="Y1962" s="55">
        <f>VLOOKUP($E1962,'NI-Soc_SP'!$C:$AN,MID(Y$1,1,2),FALSE)</f>
        <v>0</v>
      </c>
      <c r="Z1962" s="55">
        <f>VLOOKUP($E1962,'NI-Soc_SP'!$C:$AN,MID(Z$1,1,2),FALSE)</f>
        <v>0</v>
      </c>
      <c r="AA1962" s="55">
        <f>VLOOKUP($E1962,'NI-Soc_SP'!$C:$AN,MID(AA$1,1,2),FALSE)</f>
        <v>0</v>
      </c>
      <c r="AB1962" s="55">
        <f>VLOOKUP($E1962,'NI-Soc_SP'!$C:$AN,MID(AB$1,1,2),FALSE)</f>
        <v>0</v>
      </c>
      <c r="AC1962" s="55">
        <f>VLOOKUP($E1962,'NI-Soc_SP'!$C:$AN,MID(AC$1,1,2),FALSE)</f>
        <v>0</v>
      </c>
      <c r="AD1962" s="55">
        <f>VLOOKUP($E1962,'NI-Soc_SP'!$C:$AN,MID(AD$1,1,2),FALSE)</f>
        <v>0</v>
      </c>
      <c r="AE1962" s="55">
        <f>VLOOKUP($E1962,'NI-Soc_SP'!$C:$AN,MID(AE$1,1,2),FALSE)</f>
        <v>0</v>
      </c>
      <c r="AF1962" s="55">
        <f>VLOOKUP($E1962,'NI-Soc_SP'!$C:$AN,MID(AF$1,1,2),FALSE)</f>
        <v>0</v>
      </c>
      <c r="AG1962" s="55">
        <f>VLOOKUP($E1962,'NI-Soc_SP'!$C:$AN,MID(AG$1,1,2),FALSE)</f>
        <v>0</v>
      </c>
      <c r="AH1962" s="55">
        <f>VLOOKUP($E1962,'NI-Soc_SP'!$C:$AN,MID(AH$1,1,2),FALSE)</f>
        <v>0</v>
      </c>
      <c r="AI1962" s="55">
        <f>VLOOKUP($E1962,'NI-Soc_SP'!$C:$AN,MID(AI$1,1,2),FALSE)</f>
        <v>0</v>
      </c>
      <c r="AJ1962" s="55">
        <f>VLOOKUP($E1962,'NI-Soc_SP'!$C:$AN,MID(AJ$1,1,2),FALSE)</f>
        <v>0</v>
      </c>
      <c r="AK1962" s="55">
        <f>VLOOKUP($E1962,'NI-Soc_SP'!$C:$AN,MID(AK$1,1,2),FALSE)</f>
        <v>0</v>
      </c>
      <c r="AL1962" s="55">
        <f>VLOOKUP($E1962,'NI-Soc_SP'!$C:$AN,MID(AL$1,1,2),FALSE)</f>
        <v>0</v>
      </c>
      <c r="AM1962" s="56">
        <f>VLOOKUP($E1962,'NI-Soc_SP'!$C:$AN,MID(AM$1,1,2),FALSE)</f>
        <v>0</v>
      </c>
      <c r="AN1962" s="30" t="str">
        <f t="shared" si="30"/>
        <v>50102020000000</v>
      </c>
    </row>
    <row r="1963" spans="3:40" x14ac:dyDescent="0.25">
      <c r="C1963" s="40"/>
      <c r="D1963" s="121" t="s">
        <v>1932</v>
      </c>
      <c r="E1963" s="121" t="s">
        <v>1933</v>
      </c>
      <c r="F1963" s="122" t="s">
        <v>2758</v>
      </c>
      <c r="G1963" s="51"/>
      <c r="H1963" s="52"/>
      <c r="I1963" s="52" t="s">
        <v>1934</v>
      </c>
      <c r="J1963" s="52"/>
      <c r="K1963" s="53" t="s">
        <v>79</v>
      </c>
      <c r="L1963" s="52"/>
      <c r="M1963" s="52"/>
      <c r="N1963" s="52"/>
      <c r="O1963" s="61" t="s">
        <v>1935</v>
      </c>
      <c r="P1963" s="54" t="s">
        <v>1936</v>
      </c>
      <c r="Q1963" s="55">
        <f>VLOOKUP(E1963,'NI-Soc_SP'!$C:$AN,12,FALSE)</f>
        <v>0</v>
      </c>
      <c r="R1963" s="55">
        <f>VLOOKUP(E1963,'NI-Soc_SP'!$C:$AN,13,FALSE)</f>
        <v>0</v>
      </c>
      <c r="S1963" s="55"/>
      <c r="T1963" s="55"/>
      <c r="U1963" s="55">
        <f>VLOOKUP($E1963,'NI-Soc_SP'!$C:$AN,MID(U$1,1,2),FALSE)</f>
        <v>0</v>
      </c>
      <c r="V1963" s="55">
        <f>VLOOKUP($E1963,'NI-Soc_SP'!$C:$AN,MID(V$1,1,2),FALSE)</f>
        <v>0</v>
      </c>
      <c r="W1963" s="55">
        <f>VLOOKUP($E1963,'NI-Soc_SP'!$C:$AN,MID(W$1,1,2),FALSE)</f>
        <v>0</v>
      </c>
      <c r="X1963" s="55">
        <f>VLOOKUP($E1963,'NI-Soc_SP'!$C:$AN,MID(X$1,1,2),FALSE)</f>
        <v>0</v>
      </c>
      <c r="Y1963" s="55">
        <f>VLOOKUP($E1963,'NI-Soc_SP'!$C:$AN,MID(Y$1,1,2),FALSE)</f>
        <v>0</v>
      </c>
      <c r="Z1963" s="55">
        <f>VLOOKUP($E1963,'NI-Soc_SP'!$C:$AN,MID(Z$1,1,2),FALSE)</f>
        <v>0</v>
      </c>
      <c r="AA1963" s="55">
        <f>VLOOKUP($E1963,'NI-Soc_SP'!$C:$AN,MID(AA$1,1,2),FALSE)</f>
        <v>0</v>
      </c>
      <c r="AB1963" s="55">
        <f>VLOOKUP($E1963,'NI-Soc_SP'!$C:$AN,MID(AB$1,1,2),FALSE)</f>
        <v>0</v>
      </c>
      <c r="AC1963" s="55">
        <f>VLOOKUP($E1963,'NI-Soc_SP'!$C:$AN,MID(AC$1,1,2),FALSE)</f>
        <v>0</v>
      </c>
      <c r="AD1963" s="55">
        <f>VLOOKUP($E1963,'NI-Soc_SP'!$C:$AN,MID(AD$1,1,2),FALSE)</f>
        <v>0</v>
      </c>
      <c r="AE1963" s="55">
        <f>VLOOKUP($E1963,'NI-Soc_SP'!$C:$AN,MID(AE$1,1,2),FALSE)</f>
        <v>0</v>
      </c>
      <c r="AF1963" s="55">
        <f>VLOOKUP($E1963,'NI-Soc_SP'!$C:$AN,MID(AF$1,1,2),FALSE)</f>
        <v>0</v>
      </c>
      <c r="AG1963" s="55">
        <f>VLOOKUP($E1963,'NI-Soc_SP'!$C:$AN,MID(AG$1,1,2),FALSE)</f>
        <v>0</v>
      </c>
      <c r="AH1963" s="55">
        <f>VLOOKUP($E1963,'NI-Soc_SP'!$C:$AN,MID(AH$1,1,2),FALSE)</f>
        <v>0</v>
      </c>
      <c r="AI1963" s="55">
        <f>VLOOKUP($E1963,'NI-Soc_SP'!$C:$AN,MID(AI$1,1,2),FALSE)</f>
        <v>0</v>
      </c>
      <c r="AJ1963" s="55">
        <f>VLOOKUP($E1963,'NI-Soc_SP'!$C:$AN,MID(AJ$1,1,2),FALSE)</f>
        <v>0</v>
      </c>
      <c r="AK1963" s="55">
        <f>VLOOKUP($E1963,'NI-Soc_SP'!$C:$AN,MID(AK$1,1,2),FALSE)</f>
        <v>0</v>
      </c>
      <c r="AL1963" s="55">
        <f>VLOOKUP($E1963,'NI-Soc_SP'!$C:$AN,MID(AL$1,1,2),FALSE)</f>
        <v>0</v>
      </c>
      <c r="AM1963" s="56">
        <f>VLOOKUP($E1963,'NI-Soc_SP'!$C:$AN,MID(AM$1,1,2),FALSE)</f>
        <v>0</v>
      </c>
      <c r="AN1963" s="30" t="str">
        <f t="shared" si="30"/>
        <v>50102020010000</v>
      </c>
    </row>
    <row r="1964" spans="3:40" x14ac:dyDescent="0.25">
      <c r="C1964" s="40"/>
      <c r="D1964" s="121" t="s">
        <v>1937</v>
      </c>
      <c r="E1964" s="121" t="s">
        <v>1938</v>
      </c>
      <c r="F1964" s="122" t="s">
        <v>2758</v>
      </c>
      <c r="G1964" s="52"/>
      <c r="H1964" s="52"/>
      <c r="I1964" s="52" t="s">
        <v>1939</v>
      </c>
      <c r="J1964" s="52"/>
      <c r="K1964" s="59" t="s">
        <v>79</v>
      </c>
      <c r="L1964" s="62"/>
      <c r="M1964" s="52"/>
      <c r="N1964" s="52"/>
      <c r="O1964" s="61" t="s">
        <v>1940</v>
      </c>
      <c r="P1964" s="60" t="s">
        <v>1941</v>
      </c>
      <c r="Q1964" s="55">
        <f>VLOOKUP(E1964,'NI-Soc_SP'!$C:$AN,12,FALSE)</f>
        <v>0</v>
      </c>
      <c r="R1964" s="55">
        <f>VLOOKUP(E1964,'NI-Soc_SP'!$C:$AN,13,FALSE)</f>
        <v>0</v>
      </c>
      <c r="S1964" s="55"/>
      <c r="T1964" s="55"/>
      <c r="U1964" s="55">
        <f>VLOOKUP($E1964,'NI-Soc_SP'!$C:$AN,MID(U$1,1,2),FALSE)</f>
        <v>0</v>
      </c>
      <c r="V1964" s="55">
        <f>VLOOKUP($E1964,'NI-Soc_SP'!$C:$AN,MID(V$1,1,2),FALSE)</f>
        <v>0</v>
      </c>
      <c r="W1964" s="55">
        <f>VLOOKUP($E1964,'NI-Soc_SP'!$C:$AN,MID(W$1,1,2),FALSE)</f>
        <v>0</v>
      </c>
      <c r="X1964" s="55">
        <f>VLOOKUP($E1964,'NI-Soc_SP'!$C:$AN,MID(X$1,1,2),FALSE)</f>
        <v>0</v>
      </c>
      <c r="Y1964" s="55">
        <f>VLOOKUP($E1964,'NI-Soc_SP'!$C:$AN,MID(Y$1,1,2),FALSE)</f>
        <v>0</v>
      </c>
      <c r="Z1964" s="55">
        <f>VLOOKUP($E1964,'NI-Soc_SP'!$C:$AN,MID(Z$1,1,2),FALSE)</f>
        <v>0</v>
      </c>
      <c r="AA1964" s="55">
        <f>VLOOKUP($E1964,'NI-Soc_SP'!$C:$AN,MID(AA$1,1,2),FALSE)</f>
        <v>0</v>
      </c>
      <c r="AB1964" s="55">
        <f>VLOOKUP($E1964,'NI-Soc_SP'!$C:$AN,MID(AB$1,1,2),FALSE)</f>
        <v>0</v>
      </c>
      <c r="AC1964" s="55">
        <f>VLOOKUP($E1964,'NI-Soc_SP'!$C:$AN,MID(AC$1,1,2),FALSE)</f>
        <v>0</v>
      </c>
      <c r="AD1964" s="55">
        <f>VLOOKUP($E1964,'NI-Soc_SP'!$C:$AN,MID(AD$1,1,2),FALSE)</f>
        <v>0</v>
      </c>
      <c r="AE1964" s="55">
        <f>VLOOKUP($E1964,'NI-Soc_SP'!$C:$AN,MID(AE$1,1,2),FALSE)</f>
        <v>0</v>
      </c>
      <c r="AF1964" s="55">
        <f>VLOOKUP($E1964,'NI-Soc_SP'!$C:$AN,MID(AF$1,1,2),FALSE)</f>
        <v>0</v>
      </c>
      <c r="AG1964" s="55">
        <f>VLOOKUP($E1964,'NI-Soc_SP'!$C:$AN,MID(AG$1,1,2),FALSE)</f>
        <v>0</v>
      </c>
      <c r="AH1964" s="55">
        <f>VLOOKUP($E1964,'NI-Soc_SP'!$C:$AN,MID(AH$1,1,2),FALSE)</f>
        <v>0</v>
      </c>
      <c r="AI1964" s="55">
        <f>VLOOKUP($E1964,'NI-Soc_SP'!$C:$AN,MID(AI$1,1,2),FALSE)</f>
        <v>0</v>
      </c>
      <c r="AJ1964" s="55">
        <f>VLOOKUP($E1964,'NI-Soc_SP'!$C:$AN,MID(AJ$1,1,2),FALSE)</f>
        <v>0</v>
      </c>
      <c r="AK1964" s="55">
        <f>VLOOKUP($E1964,'NI-Soc_SP'!$C:$AN,MID(AK$1,1,2),FALSE)</f>
        <v>0</v>
      </c>
      <c r="AL1964" s="55">
        <f>VLOOKUP($E1964,'NI-Soc_SP'!$C:$AN,MID(AL$1,1,2),FALSE)</f>
        <v>0</v>
      </c>
      <c r="AM1964" s="56">
        <f>VLOOKUP($E1964,'NI-Soc_SP'!$C:$AN,MID(AM$1,1,2),FALSE)</f>
        <v>0</v>
      </c>
      <c r="AN1964" s="30" t="str">
        <f t="shared" si="30"/>
        <v>50102020020000</v>
      </c>
    </row>
    <row r="1965" spans="3:40" x14ac:dyDescent="0.25">
      <c r="C1965" s="40"/>
      <c r="D1965" s="121" t="s">
        <v>1942</v>
      </c>
      <c r="E1965" s="121" t="s">
        <v>1943</v>
      </c>
      <c r="F1965" s="122" t="s">
        <v>2758</v>
      </c>
      <c r="G1965" s="52"/>
      <c r="H1965" s="52"/>
      <c r="I1965" s="52" t="s">
        <v>1944</v>
      </c>
      <c r="J1965" s="52"/>
      <c r="K1965" s="59" t="s">
        <v>79</v>
      </c>
      <c r="L1965" s="52"/>
      <c r="M1965" s="52"/>
      <c r="N1965" s="52"/>
      <c r="O1965" s="61" t="s">
        <v>1945</v>
      </c>
      <c r="P1965" s="63" t="s">
        <v>1946</v>
      </c>
      <c r="Q1965" s="55">
        <f>VLOOKUP(E1965,'NI-Soc_SP'!$C:$AN,12,FALSE)</f>
        <v>0</v>
      </c>
      <c r="R1965" s="55">
        <f>VLOOKUP(E1965,'NI-Soc_SP'!$C:$AN,13,FALSE)</f>
        <v>0</v>
      </c>
      <c r="S1965" s="55"/>
      <c r="T1965" s="55"/>
      <c r="U1965" s="55">
        <f>VLOOKUP($E1965,'NI-Soc_SP'!$C:$AN,MID(U$1,1,2),FALSE)</f>
        <v>0</v>
      </c>
      <c r="V1965" s="55">
        <f>VLOOKUP($E1965,'NI-Soc_SP'!$C:$AN,MID(V$1,1,2),FALSE)</f>
        <v>0</v>
      </c>
      <c r="W1965" s="55">
        <f>VLOOKUP($E1965,'NI-Soc_SP'!$C:$AN,MID(W$1,1,2),FALSE)</f>
        <v>0</v>
      </c>
      <c r="X1965" s="55">
        <f>VLOOKUP($E1965,'NI-Soc_SP'!$C:$AN,MID(X$1,1,2),FALSE)</f>
        <v>0</v>
      </c>
      <c r="Y1965" s="55">
        <f>VLOOKUP($E1965,'NI-Soc_SP'!$C:$AN,MID(Y$1,1,2),FALSE)</f>
        <v>0</v>
      </c>
      <c r="Z1965" s="55">
        <f>VLOOKUP($E1965,'NI-Soc_SP'!$C:$AN,MID(Z$1,1,2),FALSE)</f>
        <v>0</v>
      </c>
      <c r="AA1965" s="55">
        <f>VLOOKUP($E1965,'NI-Soc_SP'!$C:$AN,MID(AA$1,1,2),FALSE)</f>
        <v>0</v>
      </c>
      <c r="AB1965" s="55">
        <f>VLOOKUP($E1965,'NI-Soc_SP'!$C:$AN,MID(AB$1,1,2),FALSE)</f>
        <v>0</v>
      </c>
      <c r="AC1965" s="55">
        <f>VLOOKUP($E1965,'NI-Soc_SP'!$C:$AN,MID(AC$1,1,2),FALSE)</f>
        <v>0</v>
      </c>
      <c r="AD1965" s="55">
        <f>VLOOKUP($E1965,'NI-Soc_SP'!$C:$AN,MID(AD$1,1,2),FALSE)</f>
        <v>0</v>
      </c>
      <c r="AE1965" s="55">
        <f>VLOOKUP($E1965,'NI-Soc_SP'!$C:$AN,MID(AE$1,1,2),FALSE)</f>
        <v>0</v>
      </c>
      <c r="AF1965" s="55">
        <f>VLOOKUP($E1965,'NI-Soc_SP'!$C:$AN,MID(AF$1,1,2),FALSE)</f>
        <v>0</v>
      </c>
      <c r="AG1965" s="55">
        <f>VLOOKUP($E1965,'NI-Soc_SP'!$C:$AN,MID(AG$1,1,2),FALSE)</f>
        <v>0</v>
      </c>
      <c r="AH1965" s="55">
        <f>VLOOKUP($E1965,'NI-Soc_SP'!$C:$AN,MID(AH$1,1,2),FALSE)</f>
        <v>0</v>
      </c>
      <c r="AI1965" s="55">
        <f>VLOOKUP($E1965,'NI-Soc_SP'!$C:$AN,MID(AI$1,1,2),FALSE)</f>
        <v>0</v>
      </c>
      <c r="AJ1965" s="55">
        <f>VLOOKUP($E1965,'NI-Soc_SP'!$C:$AN,MID(AJ$1,1,2),FALSE)</f>
        <v>0</v>
      </c>
      <c r="AK1965" s="55">
        <f>VLOOKUP($E1965,'NI-Soc_SP'!$C:$AN,MID(AK$1,1,2),FALSE)</f>
        <v>0</v>
      </c>
      <c r="AL1965" s="55">
        <f>VLOOKUP($E1965,'NI-Soc_SP'!$C:$AN,MID(AL$1,1,2),FALSE)</f>
        <v>0</v>
      </c>
      <c r="AM1965" s="56">
        <f>VLOOKUP($E1965,'NI-Soc_SP'!$C:$AN,MID(AM$1,1,2),FALSE)</f>
        <v>0</v>
      </c>
      <c r="AN1965" s="30" t="str">
        <f t="shared" si="30"/>
        <v>50102020030000</v>
      </c>
    </row>
    <row r="1966" spans="3:40" x14ac:dyDescent="0.25">
      <c r="C1966" s="40"/>
      <c r="D1966" s="121" t="s">
        <v>1947</v>
      </c>
      <c r="E1966" s="121" t="s">
        <v>1948</v>
      </c>
      <c r="F1966" s="122" t="s">
        <v>2758</v>
      </c>
      <c r="G1966" s="52"/>
      <c r="H1966" s="52"/>
      <c r="I1966" s="52" t="s">
        <v>1949</v>
      </c>
      <c r="J1966" s="52"/>
      <c r="K1966" s="59" t="s">
        <v>79</v>
      </c>
      <c r="L1966" s="52" t="s">
        <v>1950</v>
      </c>
      <c r="M1966" s="52"/>
      <c r="N1966" s="52"/>
      <c r="O1966" s="61" t="s">
        <v>1951</v>
      </c>
      <c r="P1966" s="63" t="s">
        <v>1952</v>
      </c>
      <c r="Q1966" s="55">
        <f>VLOOKUP(E1966,'NI-Soc_SP'!$C:$AN,12,FALSE)</f>
        <v>0</v>
      </c>
      <c r="R1966" s="55">
        <f>VLOOKUP(E1966,'NI-Soc_SP'!$C:$AN,13,FALSE)</f>
        <v>0</v>
      </c>
      <c r="S1966" s="55"/>
      <c r="T1966" s="55"/>
      <c r="U1966" s="55">
        <f>VLOOKUP($E1966,'NI-Soc_SP'!$C:$AN,MID(U$1,1,2),FALSE)</f>
        <v>0</v>
      </c>
      <c r="V1966" s="55">
        <f>VLOOKUP($E1966,'NI-Soc_SP'!$C:$AN,MID(V$1,1,2),FALSE)</f>
        <v>0</v>
      </c>
      <c r="W1966" s="55">
        <f>VLOOKUP($E1966,'NI-Soc_SP'!$C:$AN,MID(W$1,1,2),FALSE)</f>
        <v>0</v>
      </c>
      <c r="X1966" s="55">
        <f>VLOOKUP($E1966,'NI-Soc_SP'!$C:$AN,MID(X$1,1,2),FALSE)</f>
        <v>0</v>
      </c>
      <c r="Y1966" s="55">
        <f>VLOOKUP($E1966,'NI-Soc_SP'!$C:$AN,MID(Y$1,1,2),FALSE)</f>
        <v>0</v>
      </c>
      <c r="Z1966" s="55">
        <f>VLOOKUP($E1966,'NI-Soc_SP'!$C:$AN,MID(Z$1,1,2),FALSE)</f>
        <v>0</v>
      </c>
      <c r="AA1966" s="55">
        <f>VLOOKUP($E1966,'NI-Soc_SP'!$C:$AN,MID(AA$1,1,2),FALSE)</f>
        <v>0</v>
      </c>
      <c r="AB1966" s="55">
        <f>VLOOKUP($E1966,'NI-Soc_SP'!$C:$AN,MID(AB$1,1,2),FALSE)</f>
        <v>0</v>
      </c>
      <c r="AC1966" s="55">
        <f>VLOOKUP($E1966,'NI-Soc_SP'!$C:$AN,MID(AC$1,1,2),FALSE)</f>
        <v>0</v>
      </c>
      <c r="AD1966" s="55">
        <f>VLOOKUP($E1966,'NI-Soc_SP'!$C:$AN,MID(AD$1,1,2),FALSE)</f>
        <v>0</v>
      </c>
      <c r="AE1966" s="55">
        <f>VLOOKUP($E1966,'NI-Soc_SP'!$C:$AN,MID(AE$1,1,2),FALSE)</f>
        <v>0</v>
      </c>
      <c r="AF1966" s="55">
        <f>VLOOKUP($E1966,'NI-Soc_SP'!$C:$AN,MID(AF$1,1,2),FALSE)</f>
        <v>0</v>
      </c>
      <c r="AG1966" s="55">
        <f>VLOOKUP($E1966,'NI-Soc_SP'!$C:$AN,MID(AG$1,1,2),FALSE)</f>
        <v>0</v>
      </c>
      <c r="AH1966" s="55">
        <f>VLOOKUP($E1966,'NI-Soc_SP'!$C:$AN,MID(AH$1,1,2),FALSE)</f>
        <v>0</v>
      </c>
      <c r="AI1966" s="55">
        <f>VLOOKUP($E1966,'NI-Soc_SP'!$C:$AN,MID(AI$1,1,2),FALSE)</f>
        <v>0</v>
      </c>
      <c r="AJ1966" s="55">
        <f>VLOOKUP($E1966,'NI-Soc_SP'!$C:$AN,MID(AJ$1,1,2),FALSE)</f>
        <v>0</v>
      </c>
      <c r="AK1966" s="55">
        <f>VLOOKUP($E1966,'NI-Soc_SP'!$C:$AN,MID(AK$1,1,2),FALSE)</f>
        <v>0</v>
      </c>
      <c r="AL1966" s="55">
        <f>VLOOKUP($E1966,'NI-Soc_SP'!$C:$AN,MID(AL$1,1,2),FALSE)</f>
        <v>0</v>
      </c>
      <c r="AM1966" s="56">
        <f>VLOOKUP($E1966,'NI-Soc_SP'!$C:$AN,MID(AM$1,1,2),FALSE)</f>
        <v>0</v>
      </c>
      <c r="AN1966" s="30" t="str">
        <f t="shared" si="30"/>
        <v>50102030000000</v>
      </c>
    </row>
    <row r="1967" spans="3:40" x14ac:dyDescent="0.25">
      <c r="C1967" s="40"/>
      <c r="D1967" s="121" t="s">
        <v>1953</v>
      </c>
      <c r="E1967" s="121" t="s">
        <v>1954</v>
      </c>
      <c r="F1967" s="122" t="s">
        <v>2758</v>
      </c>
      <c r="G1967" s="52"/>
      <c r="H1967" s="52"/>
      <c r="I1967" s="52" t="s">
        <v>1955</v>
      </c>
      <c r="J1967" s="52"/>
      <c r="K1967" s="59" t="s">
        <v>79</v>
      </c>
      <c r="L1967" s="52" t="s">
        <v>1956</v>
      </c>
      <c r="M1967" s="52"/>
      <c r="N1967" s="52"/>
      <c r="O1967" s="61" t="s">
        <v>1957</v>
      </c>
      <c r="P1967" s="60" t="s">
        <v>1958</v>
      </c>
      <c r="Q1967" s="55">
        <f>VLOOKUP(E1967,'NI-Soc_SP'!$C:$AN,12,FALSE)</f>
        <v>0</v>
      </c>
      <c r="R1967" s="55">
        <f>VLOOKUP(E1967,'NI-Soc_SP'!$C:$AN,13,FALSE)</f>
        <v>0</v>
      </c>
      <c r="S1967" s="55"/>
      <c r="T1967" s="55"/>
      <c r="U1967" s="55">
        <f>VLOOKUP($E1967,'NI-Soc_SP'!$C:$AN,MID(U$1,1,2),FALSE)</f>
        <v>0</v>
      </c>
      <c r="V1967" s="55">
        <f>VLOOKUP($E1967,'NI-Soc_SP'!$C:$AN,MID(V$1,1,2),FALSE)</f>
        <v>0</v>
      </c>
      <c r="W1967" s="55">
        <f>VLOOKUP($E1967,'NI-Soc_SP'!$C:$AN,MID(W$1,1,2),FALSE)</f>
        <v>0</v>
      </c>
      <c r="X1967" s="55">
        <f>VLOOKUP($E1967,'NI-Soc_SP'!$C:$AN,MID(X$1,1,2),FALSE)</f>
        <v>0</v>
      </c>
      <c r="Y1967" s="55">
        <f>VLOOKUP($E1967,'NI-Soc_SP'!$C:$AN,MID(Y$1,1,2),FALSE)</f>
        <v>0</v>
      </c>
      <c r="Z1967" s="55">
        <f>VLOOKUP($E1967,'NI-Soc_SP'!$C:$AN,MID(Z$1,1,2),FALSE)</f>
        <v>0</v>
      </c>
      <c r="AA1967" s="55">
        <f>VLOOKUP($E1967,'NI-Soc_SP'!$C:$AN,MID(AA$1,1,2),FALSE)</f>
        <v>0</v>
      </c>
      <c r="AB1967" s="55">
        <f>VLOOKUP($E1967,'NI-Soc_SP'!$C:$AN,MID(AB$1,1,2),FALSE)</f>
        <v>0</v>
      </c>
      <c r="AC1967" s="55">
        <f>VLOOKUP($E1967,'NI-Soc_SP'!$C:$AN,MID(AC$1,1,2),FALSE)</f>
        <v>0</v>
      </c>
      <c r="AD1967" s="55">
        <f>VLOOKUP($E1967,'NI-Soc_SP'!$C:$AN,MID(AD$1,1,2),FALSE)</f>
        <v>0</v>
      </c>
      <c r="AE1967" s="55">
        <f>VLOOKUP($E1967,'NI-Soc_SP'!$C:$AN,MID(AE$1,1,2),FALSE)</f>
        <v>0</v>
      </c>
      <c r="AF1967" s="55">
        <f>VLOOKUP($E1967,'NI-Soc_SP'!$C:$AN,MID(AF$1,1,2),FALSE)</f>
        <v>0</v>
      </c>
      <c r="AG1967" s="55">
        <f>VLOOKUP($E1967,'NI-Soc_SP'!$C:$AN,MID(AG$1,1,2),FALSE)</f>
        <v>0</v>
      </c>
      <c r="AH1967" s="55">
        <f>VLOOKUP($E1967,'NI-Soc_SP'!$C:$AN,MID(AH$1,1,2),FALSE)</f>
        <v>0</v>
      </c>
      <c r="AI1967" s="55">
        <f>VLOOKUP($E1967,'NI-Soc_SP'!$C:$AN,MID(AI$1,1,2),FALSE)</f>
        <v>0</v>
      </c>
      <c r="AJ1967" s="55">
        <f>VLOOKUP($E1967,'NI-Soc_SP'!$C:$AN,MID(AJ$1,1,2),FALSE)</f>
        <v>0</v>
      </c>
      <c r="AK1967" s="55">
        <f>VLOOKUP($E1967,'NI-Soc_SP'!$C:$AN,MID(AK$1,1,2),FALSE)</f>
        <v>0</v>
      </c>
      <c r="AL1967" s="55">
        <f>VLOOKUP($E1967,'NI-Soc_SP'!$C:$AN,MID(AL$1,1,2),FALSE)</f>
        <v>0</v>
      </c>
      <c r="AM1967" s="56">
        <f>VLOOKUP($E1967,'NI-Soc_SP'!$C:$AN,MID(AM$1,1,2),FALSE)</f>
        <v>0</v>
      </c>
      <c r="AN1967" s="30" t="str">
        <f t="shared" si="30"/>
        <v>50102040000000</v>
      </c>
    </row>
    <row r="1968" spans="3:40" x14ac:dyDescent="0.25">
      <c r="C1968" s="40"/>
      <c r="D1968" s="121" t="s">
        <v>1959</v>
      </c>
      <c r="E1968" s="121" t="s">
        <v>1960</v>
      </c>
      <c r="F1968" s="122" t="s">
        <v>2758</v>
      </c>
      <c r="G1968" s="52"/>
      <c r="H1968" s="52"/>
      <c r="I1968" s="52" t="s">
        <v>1961</v>
      </c>
      <c r="J1968" s="52"/>
      <c r="K1968" s="59" t="s">
        <v>79</v>
      </c>
      <c r="L1968" s="62" t="s">
        <v>1962</v>
      </c>
      <c r="M1968" s="52"/>
      <c r="N1968" s="52"/>
      <c r="O1968" s="61" t="s">
        <v>1963</v>
      </c>
      <c r="P1968" s="63" t="s">
        <v>1964</v>
      </c>
      <c r="Q1968" s="55">
        <f>VLOOKUP(E1968,'NI-Soc_SP'!$C:$AN,12,FALSE)</f>
        <v>0</v>
      </c>
      <c r="R1968" s="55">
        <f>VLOOKUP(E1968,'NI-Soc_SP'!$C:$AN,13,FALSE)</f>
        <v>0</v>
      </c>
      <c r="S1968" s="55"/>
      <c r="T1968" s="55"/>
      <c r="U1968" s="55">
        <f>VLOOKUP($E1968,'NI-Soc_SP'!$C:$AN,MID(U$1,1,2),FALSE)</f>
        <v>0</v>
      </c>
      <c r="V1968" s="55">
        <f>VLOOKUP($E1968,'NI-Soc_SP'!$C:$AN,MID(V$1,1,2),FALSE)</f>
        <v>0</v>
      </c>
      <c r="W1968" s="55">
        <f>VLOOKUP($E1968,'NI-Soc_SP'!$C:$AN,MID(W$1,1,2),FALSE)</f>
        <v>0</v>
      </c>
      <c r="X1968" s="55">
        <f>VLOOKUP($E1968,'NI-Soc_SP'!$C:$AN,MID(X$1,1,2),FALSE)</f>
        <v>0</v>
      </c>
      <c r="Y1968" s="55">
        <f>VLOOKUP($E1968,'NI-Soc_SP'!$C:$AN,MID(Y$1,1,2),FALSE)</f>
        <v>0</v>
      </c>
      <c r="Z1968" s="55">
        <f>VLOOKUP($E1968,'NI-Soc_SP'!$C:$AN,MID(Z$1,1,2),FALSE)</f>
        <v>0</v>
      </c>
      <c r="AA1968" s="55">
        <f>VLOOKUP($E1968,'NI-Soc_SP'!$C:$AN,MID(AA$1,1,2),FALSE)</f>
        <v>0</v>
      </c>
      <c r="AB1968" s="55">
        <f>VLOOKUP($E1968,'NI-Soc_SP'!$C:$AN,MID(AB$1,1,2),FALSE)</f>
        <v>0</v>
      </c>
      <c r="AC1968" s="55">
        <f>VLOOKUP($E1968,'NI-Soc_SP'!$C:$AN,MID(AC$1,1,2),FALSE)</f>
        <v>0</v>
      </c>
      <c r="AD1968" s="55">
        <f>VLOOKUP($E1968,'NI-Soc_SP'!$C:$AN,MID(AD$1,1,2),FALSE)</f>
        <v>0</v>
      </c>
      <c r="AE1968" s="55">
        <f>VLOOKUP($E1968,'NI-Soc_SP'!$C:$AN,MID(AE$1,1,2),FALSE)</f>
        <v>0</v>
      </c>
      <c r="AF1968" s="55">
        <f>VLOOKUP($E1968,'NI-Soc_SP'!$C:$AN,MID(AF$1,1,2),FALSE)</f>
        <v>0</v>
      </c>
      <c r="AG1968" s="55">
        <f>VLOOKUP($E1968,'NI-Soc_SP'!$C:$AN,MID(AG$1,1,2),FALSE)</f>
        <v>0</v>
      </c>
      <c r="AH1968" s="55">
        <f>VLOOKUP($E1968,'NI-Soc_SP'!$C:$AN,MID(AH$1,1,2),FALSE)</f>
        <v>0</v>
      </c>
      <c r="AI1968" s="55">
        <f>VLOOKUP($E1968,'NI-Soc_SP'!$C:$AN,MID(AI$1,1,2),FALSE)</f>
        <v>0</v>
      </c>
      <c r="AJ1968" s="55">
        <f>VLOOKUP($E1968,'NI-Soc_SP'!$C:$AN,MID(AJ$1,1,2),FALSE)</f>
        <v>0</v>
      </c>
      <c r="AK1968" s="55">
        <f>VLOOKUP($E1968,'NI-Soc_SP'!$C:$AN,MID(AK$1,1,2),FALSE)</f>
        <v>0</v>
      </c>
      <c r="AL1968" s="55">
        <f>VLOOKUP($E1968,'NI-Soc_SP'!$C:$AN,MID(AL$1,1,2),FALSE)</f>
        <v>0</v>
      </c>
      <c r="AM1968" s="56">
        <f>VLOOKUP($E1968,'NI-Soc_SP'!$C:$AN,MID(AM$1,1,2),FALSE)</f>
        <v>0</v>
      </c>
      <c r="AN1968" s="30" t="str">
        <f t="shared" si="30"/>
        <v>50102050000000</v>
      </c>
    </row>
    <row r="1969" spans="3:40" x14ac:dyDescent="0.25">
      <c r="C1969" s="40"/>
      <c r="D1969" s="121" t="s">
        <v>1965</v>
      </c>
      <c r="E1969" s="121" t="s">
        <v>1966</v>
      </c>
      <c r="F1969" s="122" t="s">
        <v>2758</v>
      </c>
      <c r="G1969" s="52"/>
      <c r="H1969" s="52"/>
      <c r="I1969" s="52" t="s">
        <v>1967</v>
      </c>
      <c r="J1969" s="52"/>
      <c r="K1969" s="59" t="s">
        <v>79</v>
      </c>
      <c r="L1969" s="62" t="s">
        <v>1968</v>
      </c>
      <c r="M1969" s="52"/>
      <c r="N1969" s="52"/>
      <c r="O1969" s="61" t="s">
        <v>1969</v>
      </c>
      <c r="P1969" s="63" t="s">
        <v>1970</v>
      </c>
      <c r="Q1969" s="55">
        <f>VLOOKUP(E1969,'NI-Soc_SP'!$C:$AN,12,FALSE)</f>
        <v>0</v>
      </c>
      <c r="R1969" s="55">
        <f>VLOOKUP(E1969,'NI-Soc_SP'!$C:$AN,13,FALSE)</f>
        <v>0</v>
      </c>
      <c r="S1969" s="55"/>
      <c r="T1969" s="55"/>
      <c r="U1969" s="55">
        <f>VLOOKUP($E1969,'NI-Soc_SP'!$C:$AN,MID(U$1,1,2),FALSE)</f>
        <v>0</v>
      </c>
      <c r="V1969" s="55">
        <f>VLOOKUP($E1969,'NI-Soc_SP'!$C:$AN,MID(V$1,1,2),FALSE)</f>
        <v>0</v>
      </c>
      <c r="W1969" s="55">
        <f>VLOOKUP($E1969,'NI-Soc_SP'!$C:$AN,MID(W$1,1,2),FALSE)</f>
        <v>0</v>
      </c>
      <c r="X1969" s="55">
        <f>VLOOKUP($E1969,'NI-Soc_SP'!$C:$AN,MID(X$1,1,2),FALSE)</f>
        <v>0</v>
      </c>
      <c r="Y1969" s="55">
        <f>VLOOKUP($E1969,'NI-Soc_SP'!$C:$AN,MID(Y$1,1,2),FALSE)</f>
        <v>0</v>
      </c>
      <c r="Z1969" s="55">
        <f>VLOOKUP($E1969,'NI-Soc_SP'!$C:$AN,MID(Z$1,1,2),FALSE)</f>
        <v>0</v>
      </c>
      <c r="AA1969" s="55">
        <f>VLOOKUP($E1969,'NI-Soc_SP'!$C:$AN,MID(AA$1,1,2),FALSE)</f>
        <v>0</v>
      </c>
      <c r="AB1969" s="55">
        <f>VLOOKUP($E1969,'NI-Soc_SP'!$C:$AN,MID(AB$1,1,2),FALSE)</f>
        <v>0</v>
      </c>
      <c r="AC1969" s="55">
        <f>VLOOKUP($E1969,'NI-Soc_SP'!$C:$AN,MID(AC$1,1,2),FALSE)</f>
        <v>0</v>
      </c>
      <c r="AD1969" s="55">
        <f>VLOOKUP($E1969,'NI-Soc_SP'!$C:$AN,MID(AD$1,1,2),FALSE)</f>
        <v>0</v>
      </c>
      <c r="AE1969" s="55">
        <f>VLOOKUP($E1969,'NI-Soc_SP'!$C:$AN,MID(AE$1,1,2),FALSE)</f>
        <v>0</v>
      </c>
      <c r="AF1969" s="55">
        <f>VLOOKUP($E1969,'NI-Soc_SP'!$C:$AN,MID(AF$1,1,2),FALSE)</f>
        <v>0</v>
      </c>
      <c r="AG1969" s="55">
        <f>VLOOKUP($E1969,'NI-Soc_SP'!$C:$AN,MID(AG$1,1,2),FALSE)</f>
        <v>0</v>
      </c>
      <c r="AH1969" s="55">
        <f>VLOOKUP($E1969,'NI-Soc_SP'!$C:$AN,MID(AH$1,1,2),FALSE)</f>
        <v>0</v>
      </c>
      <c r="AI1969" s="55">
        <f>VLOOKUP($E1969,'NI-Soc_SP'!$C:$AN,MID(AI$1,1,2),FALSE)</f>
        <v>0</v>
      </c>
      <c r="AJ1969" s="55">
        <f>VLOOKUP($E1969,'NI-Soc_SP'!$C:$AN,MID(AJ$1,1,2),FALSE)</f>
        <v>0</v>
      </c>
      <c r="AK1969" s="55">
        <f>VLOOKUP($E1969,'NI-Soc_SP'!$C:$AN,MID(AK$1,1,2),FALSE)</f>
        <v>0</v>
      </c>
      <c r="AL1969" s="55">
        <f>VLOOKUP($E1969,'NI-Soc_SP'!$C:$AN,MID(AL$1,1,2),FALSE)</f>
        <v>0</v>
      </c>
      <c r="AM1969" s="56">
        <f>VLOOKUP($E1969,'NI-Soc_SP'!$C:$AN,MID(AM$1,1,2),FALSE)</f>
        <v>0</v>
      </c>
      <c r="AN1969" s="30" t="str">
        <f t="shared" si="30"/>
        <v>50103000000000</v>
      </c>
    </row>
    <row r="1970" spans="3:40" x14ac:dyDescent="0.25">
      <c r="C1970" s="40"/>
      <c r="D1970" s="121" t="s">
        <v>1971</v>
      </c>
      <c r="E1970" s="121" t="s">
        <v>1972</v>
      </c>
      <c r="F1970" s="122" t="s">
        <v>2758</v>
      </c>
      <c r="G1970" s="52"/>
      <c r="H1970" s="52"/>
      <c r="I1970" s="52"/>
      <c r="J1970" s="52"/>
      <c r="K1970" s="59" t="s">
        <v>111</v>
      </c>
      <c r="L1970" s="62" t="s">
        <v>1973</v>
      </c>
      <c r="M1970" s="52"/>
      <c r="N1970" s="52"/>
      <c r="O1970" s="61" t="s">
        <v>1974</v>
      </c>
      <c r="P1970" s="63" t="s">
        <v>1975</v>
      </c>
      <c r="Q1970" s="55">
        <f>VLOOKUP(E1970,'NI-Soc_SP'!$C:$AN,12,FALSE)</f>
        <v>0</v>
      </c>
      <c r="R1970" s="55">
        <f>VLOOKUP(E1970,'NI-Soc_SP'!$C:$AN,13,FALSE)</f>
        <v>0</v>
      </c>
      <c r="S1970" s="55"/>
      <c r="T1970" s="55"/>
      <c r="U1970" s="55">
        <f>VLOOKUP($E1970,'NI-Soc_SP'!$C:$AN,MID(U$1,1,2),FALSE)</f>
        <v>0</v>
      </c>
      <c r="V1970" s="55">
        <f>VLOOKUP($E1970,'NI-Soc_SP'!$C:$AN,MID(V$1,1,2),FALSE)</f>
        <v>0</v>
      </c>
      <c r="W1970" s="55">
        <f>VLOOKUP($E1970,'NI-Soc_SP'!$C:$AN,MID(W$1,1,2),FALSE)</f>
        <v>0</v>
      </c>
      <c r="X1970" s="55">
        <f>VLOOKUP($E1970,'NI-Soc_SP'!$C:$AN,MID(X$1,1,2),FALSE)</f>
        <v>0</v>
      </c>
      <c r="Y1970" s="55">
        <f>VLOOKUP($E1970,'NI-Soc_SP'!$C:$AN,MID(Y$1,1,2),FALSE)</f>
        <v>0</v>
      </c>
      <c r="Z1970" s="55">
        <f>VLOOKUP($E1970,'NI-Soc_SP'!$C:$AN,MID(Z$1,1,2),FALSE)</f>
        <v>0</v>
      </c>
      <c r="AA1970" s="55">
        <f>VLOOKUP($E1970,'NI-Soc_SP'!$C:$AN,MID(AA$1,1,2),FALSE)</f>
        <v>0</v>
      </c>
      <c r="AB1970" s="55">
        <f>VLOOKUP($E1970,'NI-Soc_SP'!$C:$AN,MID(AB$1,1,2),FALSE)</f>
        <v>0</v>
      </c>
      <c r="AC1970" s="55">
        <f>VLOOKUP($E1970,'NI-Soc_SP'!$C:$AN,MID(AC$1,1,2),FALSE)</f>
        <v>0</v>
      </c>
      <c r="AD1970" s="55">
        <f>VLOOKUP($E1970,'NI-Soc_SP'!$C:$AN,MID(AD$1,1,2),FALSE)</f>
        <v>0</v>
      </c>
      <c r="AE1970" s="55">
        <f>VLOOKUP($E1970,'NI-Soc_SP'!$C:$AN,MID(AE$1,1,2),FALSE)</f>
        <v>0</v>
      </c>
      <c r="AF1970" s="55">
        <f>VLOOKUP($E1970,'NI-Soc_SP'!$C:$AN,MID(AF$1,1,2),FALSE)</f>
        <v>0</v>
      </c>
      <c r="AG1970" s="55">
        <f>VLOOKUP($E1970,'NI-Soc_SP'!$C:$AN,MID(AG$1,1,2),FALSE)</f>
        <v>0</v>
      </c>
      <c r="AH1970" s="55">
        <f>VLOOKUP($E1970,'NI-Soc_SP'!$C:$AN,MID(AH$1,1,2),FALSE)</f>
        <v>0</v>
      </c>
      <c r="AI1970" s="55">
        <f>VLOOKUP($E1970,'NI-Soc_SP'!$C:$AN,MID(AI$1,1,2),FALSE)</f>
        <v>0</v>
      </c>
      <c r="AJ1970" s="55">
        <f>VLOOKUP($E1970,'NI-Soc_SP'!$C:$AN,MID(AJ$1,1,2),FALSE)</f>
        <v>0</v>
      </c>
      <c r="AK1970" s="55">
        <f>VLOOKUP($E1970,'NI-Soc_SP'!$C:$AN,MID(AK$1,1,2),FALSE)</f>
        <v>0</v>
      </c>
      <c r="AL1970" s="55">
        <f>VLOOKUP($E1970,'NI-Soc_SP'!$C:$AN,MID(AL$1,1,2),FALSE)</f>
        <v>0</v>
      </c>
      <c r="AM1970" s="56">
        <f>VLOOKUP($E1970,'NI-Soc_SP'!$C:$AN,MID(AM$1,1,2),FALSE)</f>
        <v>0</v>
      </c>
      <c r="AN1970" s="30" t="str">
        <f t="shared" si="30"/>
        <v>50104000000000</v>
      </c>
    </row>
    <row r="1971" spans="3:40" x14ac:dyDescent="0.25">
      <c r="C1971" s="40"/>
      <c r="D1971" s="121" t="s">
        <v>1976</v>
      </c>
      <c r="E1971" s="121" t="s">
        <v>1977</v>
      </c>
      <c r="F1971" s="122" t="s">
        <v>2758</v>
      </c>
      <c r="G1971" s="52"/>
      <c r="H1971" s="52"/>
      <c r="I1971" s="52" t="s">
        <v>1978</v>
      </c>
      <c r="J1971" s="52"/>
      <c r="K1971" s="59" t="s">
        <v>79</v>
      </c>
      <c r="L1971" s="62"/>
      <c r="M1971" s="52"/>
      <c r="N1971" s="52"/>
      <c r="O1971" s="52"/>
      <c r="P1971" s="63" t="s">
        <v>1979</v>
      </c>
      <c r="Q1971" s="55">
        <f>VLOOKUP(E1971,'NI-Soc_SP'!$C:$AN,12,FALSE)</f>
        <v>0</v>
      </c>
      <c r="R1971" s="55">
        <f>VLOOKUP(E1971,'NI-Soc_SP'!$C:$AN,13,FALSE)</f>
        <v>0</v>
      </c>
      <c r="S1971" s="55"/>
      <c r="T1971" s="55"/>
      <c r="U1971" s="55">
        <f>VLOOKUP($E1971,'NI-Soc_SP'!$C:$AN,MID(U$1,1,2),FALSE)</f>
        <v>0</v>
      </c>
      <c r="V1971" s="55">
        <f>VLOOKUP($E1971,'NI-Soc_SP'!$C:$AN,MID(V$1,1,2),FALSE)</f>
        <v>0</v>
      </c>
      <c r="W1971" s="55">
        <f>VLOOKUP($E1971,'NI-Soc_SP'!$C:$AN,MID(W$1,1,2),FALSE)</f>
        <v>0</v>
      </c>
      <c r="X1971" s="55">
        <f>VLOOKUP($E1971,'NI-Soc_SP'!$C:$AN,MID(X$1,1,2),FALSE)</f>
        <v>0</v>
      </c>
      <c r="Y1971" s="55">
        <f>VLOOKUP($E1971,'NI-Soc_SP'!$C:$AN,MID(Y$1,1,2),FALSE)</f>
        <v>0</v>
      </c>
      <c r="Z1971" s="55">
        <f>VLOOKUP($E1971,'NI-Soc_SP'!$C:$AN,MID(Z$1,1,2),FALSE)</f>
        <v>0</v>
      </c>
      <c r="AA1971" s="55">
        <f>VLOOKUP($E1971,'NI-Soc_SP'!$C:$AN,MID(AA$1,1,2),FALSE)</f>
        <v>0</v>
      </c>
      <c r="AB1971" s="55">
        <f>VLOOKUP($E1971,'NI-Soc_SP'!$C:$AN,MID(AB$1,1,2),FALSE)</f>
        <v>0</v>
      </c>
      <c r="AC1971" s="55">
        <f>VLOOKUP($E1971,'NI-Soc_SP'!$C:$AN,MID(AC$1,1,2),FALSE)</f>
        <v>0</v>
      </c>
      <c r="AD1971" s="55">
        <f>VLOOKUP($E1971,'NI-Soc_SP'!$C:$AN,MID(AD$1,1,2),FALSE)</f>
        <v>0</v>
      </c>
      <c r="AE1971" s="55">
        <f>VLOOKUP($E1971,'NI-Soc_SP'!$C:$AN,MID(AE$1,1,2),FALSE)</f>
        <v>0</v>
      </c>
      <c r="AF1971" s="55">
        <f>VLOOKUP($E1971,'NI-Soc_SP'!$C:$AN,MID(AF$1,1,2),FALSE)</f>
        <v>0</v>
      </c>
      <c r="AG1971" s="55">
        <f>VLOOKUP($E1971,'NI-Soc_SP'!$C:$AN,MID(AG$1,1,2),FALSE)</f>
        <v>0</v>
      </c>
      <c r="AH1971" s="55">
        <f>VLOOKUP($E1971,'NI-Soc_SP'!$C:$AN,MID(AH$1,1,2),FALSE)</f>
        <v>0</v>
      </c>
      <c r="AI1971" s="55">
        <f>VLOOKUP($E1971,'NI-Soc_SP'!$C:$AN,MID(AI$1,1,2),FALSE)</f>
        <v>0</v>
      </c>
      <c r="AJ1971" s="55">
        <f>VLOOKUP($E1971,'NI-Soc_SP'!$C:$AN,MID(AJ$1,1,2),FALSE)</f>
        <v>0</v>
      </c>
      <c r="AK1971" s="55">
        <f>VLOOKUP($E1971,'NI-Soc_SP'!$C:$AN,MID(AK$1,1,2),FALSE)</f>
        <v>0</v>
      </c>
      <c r="AL1971" s="55">
        <f>VLOOKUP($E1971,'NI-Soc_SP'!$C:$AN,MID(AL$1,1,2),FALSE)</f>
        <v>0</v>
      </c>
      <c r="AM1971" s="56">
        <f>VLOOKUP($E1971,'NI-Soc_SP'!$C:$AN,MID(AM$1,1,2),FALSE)</f>
        <v>0</v>
      </c>
      <c r="AN1971" s="30" t="str">
        <f t="shared" si="30"/>
        <v>50104010000000</v>
      </c>
    </row>
    <row r="1972" spans="3:40" x14ac:dyDescent="0.25">
      <c r="C1972" s="40"/>
      <c r="D1972" s="121" t="s">
        <v>1980</v>
      </c>
      <c r="E1972" s="121" t="s">
        <v>1981</v>
      </c>
      <c r="F1972" s="122" t="s">
        <v>2758</v>
      </c>
      <c r="G1972" s="52"/>
      <c r="H1972" s="52"/>
      <c r="I1972" s="52" t="s">
        <v>1982</v>
      </c>
      <c r="J1972" s="52"/>
      <c r="K1972" s="59" t="s">
        <v>79</v>
      </c>
      <c r="L1972" s="62"/>
      <c r="M1972" s="52"/>
      <c r="N1972" s="52"/>
      <c r="O1972" s="52"/>
      <c r="P1972" s="63" t="s">
        <v>1983</v>
      </c>
      <c r="Q1972" s="55">
        <f>VLOOKUP(E1972,'NI-Soc_SP'!$C:$AN,12,FALSE)</f>
        <v>0</v>
      </c>
      <c r="R1972" s="55">
        <f>VLOOKUP(E1972,'NI-Soc_SP'!$C:$AN,13,FALSE)</f>
        <v>0</v>
      </c>
      <c r="S1972" s="55"/>
      <c r="T1972" s="55"/>
      <c r="U1972" s="55">
        <f>VLOOKUP($E1972,'NI-Soc_SP'!$C:$AN,MID(U$1,1,2),FALSE)</f>
        <v>0</v>
      </c>
      <c r="V1972" s="55">
        <f>VLOOKUP($E1972,'NI-Soc_SP'!$C:$AN,MID(V$1,1,2),FALSE)</f>
        <v>0</v>
      </c>
      <c r="W1972" s="55">
        <f>VLOOKUP($E1972,'NI-Soc_SP'!$C:$AN,MID(W$1,1,2),FALSE)</f>
        <v>0</v>
      </c>
      <c r="X1972" s="55">
        <f>VLOOKUP($E1972,'NI-Soc_SP'!$C:$AN,MID(X$1,1,2),FALSE)</f>
        <v>0</v>
      </c>
      <c r="Y1972" s="55">
        <f>VLOOKUP($E1972,'NI-Soc_SP'!$C:$AN,MID(Y$1,1,2),FALSE)</f>
        <v>0</v>
      </c>
      <c r="Z1972" s="55">
        <f>VLOOKUP($E1972,'NI-Soc_SP'!$C:$AN,MID(Z$1,1,2),FALSE)</f>
        <v>0</v>
      </c>
      <c r="AA1972" s="55">
        <f>VLOOKUP($E1972,'NI-Soc_SP'!$C:$AN,MID(AA$1,1,2),FALSE)</f>
        <v>0</v>
      </c>
      <c r="AB1972" s="55">
        <f>VLOOKUP($E1972,'NI-Soc_SP'!$C:$AN,MID(AB$1,1,2),FALSE)</f>
        <v>0</v>
      </c>
      <c r="AC1972" s="55">
        <f>VLOOKUP($E1972,'NI-Soc_SP'!$C:$AN,MID(AC$1,1,2),FALSE)</f>
        <v>0</v>
      </c>
      <c r="AD1972" s="55">
        <f>VLOOKUP($E1972,'NI-Soc_SP'!$C:$AN,MID(AD$1,1,2),FALSE)</f>
        <v>0</v>
      </c>
      <c r="AE1972" s="55">
        <f>VLOOKUP($E1972,'NI-Soc_SP'!$C:$AN,MID(AE$1,1,2),FALSE)</f>
        <v>0</v>
      </c>
      <c r="AF1972" s="55">
        <f>VLOOKUP($E1972,'NI-Soc_SP'!$C:$AN,MID(AF$1,1,2),FALSE)</f>
        <v>0</v>
      </c>
      <c r="AG1972" s="55">
        <f>VLOOKUP($E1972,'NI-Soc_SP'!$C:$AN,MID(AG$1,1,2),FALSE)</f>
        <v>0</v>
      </c>
      <c r="AH1972" s="55">
        <f>VLOOKUP($E1972,'NI-Soc_SP'!$C:$AN,MID(AH$1,1,2),FALSE)</f>
        <v>0</v>
      </c>
      <c r="AI1972" s="55">
        <f>VLOOKUP($E1972,'NI-Soc_SP'!$C:$AN,MID(AI$1,1,2),FALSE)</f>
        <v>0</v>
      </c>
      <c r="AJ1972" s="55">
        <f>VLOOKUP($E1972,'NI-Soc_SP'!$C:$AN,MID(AJ$1,1,2),FALSE)</f>
        <v>0</v>
      </c>
      <c r="AK1972" s="55">
        <f>VLOOKUP($E1972,'NI-Soc_SP'!$C:$AN,MID(AK$1,1,2),FALSE)</f>
        <v>0</v>
      </c>
      <c r="AL1972" s="55">
        <f>VLOOKUP($E1972,'NI-Soc_SP'!$C:$AN,MID(AL$1,1,2),FALSE)</f>
        <v>0</v>
      </c>
      <c r="AM1972" s="56">
        <f>VLOOKUP($E1972,'NI-Soc_SP'!$C:$AN,MID(AM$1,1,2),FALSE)</f>
        <v>0</v>
      </c>
      <c r="AN1972" s="30" t="str">
        <f t="shared" si="30"/>
        <v>50104020000000</v>
      </c>
    </row>
    <row r="1973" spans="3:40" x14ac:dyDescent="0.25">
      <c r="C1973" s="40"/>
      <c r="D1973" s="121" t="s">
        <v>1984</v>
      </c>
      <c r="E1973" s="121" t="s">
        <v>1985</v>
      </c>
      <c r="F1973" s="122" t="s">
        <v>2758</v>
      </c>
      <c r="G1973" s="52"/>
      <c r="H1973" s="52"/>
      <c r="I1973" s="65" t="s">
        <v>1986</v>
      </c>
      <c r="J1973" s="65"/>
      <c r="K1973" s="59" t="s">
        <v>79</v>
      </c>
      <c r="L1973" s="52"/>
      <c r="M1973" s="52"/>
      <c r="N1973" s="52"/>
      <c r="O1973" s="52"/>
      <c r="P1973" s="60" t="s">
        <v>1987</v>
      </c>
      <c r="Q1973" s="55">
        <f>VLOOKUP(E1973,'NI-Soc_SP'!$C:$AN,12,FALSE)</f>
        <v>0</v>
      </c>
      <c r="R1973" s="55">
        <f>VLOOKUP(E1973,'NI-Soc_SP'!$C:$AN,13,FALSE)</f>
        <v>0</v>
      </c>
      <c r="S1973" s="55"/>
      <c r="T1973" s="55"/>
      <c r="U1973" s="55">
        <f>VLOOKUP($E1973,'NI-Soc_SP'!$C:$AN,MID(U$1,1,2),FALSE)</f>
        <v>0</v>
      </c>
      <c r="V1973" s="55">
        <f>VLOOKUP($E1973,'NI-Soc_SP'!$C:$AN,MID(V$1,1,2),FALSE)</f>
        <v>0</v>
      </c>
      <c r="W1973" s="55">
        <f>VLOOKUP($E1973,'NI-Soc_SP'!$C:$AN,MID(W$1,1,2),FALSE)</f>
        <v>0</v>
      </c>
      <c r="X1973" s="55">
        <f>VLOOKUP($E1973,'NI-Soc_SP'!$C:$AN,MID(X$1,1,2),FALSE)</f>
        <v>0</v>
      </c>
      <c r="Y1973" s="55">
        <f>VLOOKUP($E1973,'NI-Soc_SP'!$C:$AN,MID(Y$1,1,2),FALSE)</f>
        <v>0</v>
      </c>
      <c r="Z1973" s="55">
        <f>VLOOKUP($E1973,'NI-Soc_SP'!$C:$AN,MID(Z$1,1,2),FALSE)</f>
        <v>0</v>
      </c>
      <c r="AA1973" s="55">
        <f>VLOOKUP($E1973,'NI-Soc_SP'!$C:$AN,MID(AA$1,1,2),FALSE)</f>
        <v>0</v>
      </c>
      <c r="AB1973" s="55">
        <f>VLOOKUP($E1973,'NI-Soc_SP'!$C:$AN,MID(AB$1,1,2),FALSE)</f>
        <v>0</v>
      </c>
      <c r="AC1973" s="55">
        <f>VLOOKUP($E1973,'NI-Soc_SP'!$C:$AN,MID(AC$1,1,2),FALSE)</f>
        <v>0</v>
      </c>
      <c r="AD1973" s="55">
        <f>VLOOKUP($E1973,'NI-Soc_SP'!$C:$AN,MID(AD$1,1,2),FALSE)</f>
        <v>0</v>
      </c>
      <c r="AE1973" s="55">
        <f>VLOOKUP($E1973,'NI-Soc_SP'!$C:$AN,MID(AE$1,1,2),FALSE)</f>
        <v>0</v>
      </c>
      <c r="AF1973" s="55">
        <f>VLOOKUP($E1973,'NI-Soc_SP'!$C:$AN,MID(AF$1,1,2),FALSE)</f>
        <v>0</v>
      </c>
      <c r="AG1973" s="55">
        <f>VLOOKUP($E1973,'NI-Soc_SP'!$C:$AN,MID(AG$1,1,2),FALSE)</f>
        <v>0</v>
      </c>
      <c r="AH1973" s="55">
        <f>VLOOKUP($E1973,'NI-Soc_SP'!$C:$AN,MID(AH$1,1,2),FALSE)</f>
        <v>0</v>
      </c>
      <c r="AI1973" s="55">
        <f>VLOOKUP($E1973,'NI-Soc_SP'!$C:$AN,MID(AI$1,1,2),FALSE)</f>
        <v>0</v>
      </c>
      <c r="AJ1973" s="55">
        <f>VLOOKUP($E1973,'NI-Soc_SP'!$C:$AN,MID(AJ$1,1,2),FALSE)</f>
        <v>0</v>
      </c>
      <c r="AK1973" s="55">
        <f>VLOOKUP($E1973,'NI-Soc_SP'!$C:$AN,MID(AK$1,1,2),FALSE)</f>
        <v>0</v>
      </c>
      <c r="AL1973" s="55">
        <f>VLOOKUP($E1973,'NI-Soc_SP'!$C:$AN,MID(AL$1,1,2),FALSE)</f>
        <v>0</v>
      </c>
      <c r="AM1973" s="56">
        <f>VLOOKUP($E1973,'NI-Soc_SP'!$C:$AN,MID(AM$1,1,2),FALSE)</f>
        <v>0</v>
      </c>
      <c r="AN1973" s="30" t="str">
        <f t="shared" si="30"/>
        <v>50104030000000</v>
      </c>
    </row>
    <row r="1974" spans="3:40" x14ac:dyDescent="0.25">
      <c r="C1974" s="40"/>
      <c r="D1974" s="121" t="s">
        <v>1988</v>
      </c>
      <c r="E1974" s="121" t="s">
        <v>1989</v>
      </c>
      <c r="F1974" s="122" t="s">
        <v>2758</v>
      </c>
      <c r="G1974" s="52"/>
      <c r="H1974" s="52"/>
      <c r="I1974" s="52" t="s">
        <v>1990</v>
      </c>
      <c r="J1974" s="52"/>
      <c r="K1974" s="59" t="s">
        <v>79</v>
      </c>
      <c r="L1974" s="62"/>
      <c r="M1974" s="52"/>
      <c r="N1974" s="52"/>
      <c r="O1974" s="52"/>
      <c r="P1974" s="63" t="s">
        <v>1991</v>
      </c>
      <c r="Q1974" s="55">
        <f>VLOOKUP(E1974,'NI-Soc_SP'!$C:$AN,12,FALSE)</f>
        <v>0</v>
      </c>
      <c r="R1974" s="55">
        <f>VLOOKUP(E1974,'NI-Soc_SP'!$C:$AN,13,FALSE)</f>
        <v>0</v>
      </c>
      <c r="S1974" s="55"/>
      <c r="T1974" s="55"/>
      <c r="U1974" s="55">
        <f>VLOOKUP($E1974,'NI-Soc_SP'!$C:$AN,MID(U$1,1,2),FALSE)</f>
        <v>0</v>
      </c>
      <c r="V1974" s="55">
        <f>VLOOKUP($E1974,'NI-Soc_SP'!$C:$AN,MID(V$1,1,2),FALSE)</f>
        <v>0</v>
      </c>
      <c r="W1974" s="55">
        <f>VLOOKUP($E1974,'NI-Soc_SP'!$C:$AN,MID(W$1,1,2),FALSE)</f>
        <v>0</v>
      </c>
      <c r="X1974" s="55">
        <f>VLOOKUP($E1974,'NI-Soc_SP'!$C:$AN,MID(X$1,1,2),FALSE)</f>
        <v>0</v>
      </c>
      <c r="Y1974" s="55">
        <f>VLOOKUP($E1974,'NI-Soc_SP'!$C:$AN,MID(Y$1,1,2),FALSE)</f>
        <v>0</v>
      </c>
      <c r="Z1974" s="55">
        <f>VLOOKUP($E1974,'NI-Soc_SP'!$C:$AN,MID(Z$1,1,2),FALSE)</f>
        <v>0</v>
      </c>
      <c r="AA1974" s="55">
        <f>VLOOKUP($E1974,'NI-Soc_SP'!$C:$AN,MID(AA$1,1,2),FALSE)</f>
        <v>0</v>
      </c>
      <c r="AB1974" s="55">
        <f>VLOOKUP($E1974,'NI-Soc_SP'!$C:$AN,MID(AB$1,1,2),FALSE)</f>
        <v>0</v>
      </c>
      <c r="AC1974" s="55">
        <f>VLOOKUP($E1974,'NI-Soc_SP'!$C:$AN,MID(AC$1,1,2),FALSE)</f>
        <v>0</v>
      </c>
      <c r="AD1974" s="55">
        <f>VLOOKUP($E1974,'NI-Soc_SP'!$C:$AN,MID(AD$1,1,2),FALSE)</f>
        <v>0</v>
      </c>
      <c r="AE1974" s="55">
        <f>VLOOKUP($E1974,'NI-Soc_SP'!$C:$AN,MID(AE$1,1,2),FALSE)</f>
        <v>0</v>
      </c>
      <c r="AF1974" s="55">
        <f>VLOOKUP($E1974,'NI-Soc_SP'!$C:$AN,MID(AF$1,1,2),FALSE)</f>
        <v>0</v>
      </c>
      <c r="AG1974" s="55">
        <f>VLOOKUP($E1974,'NI-Soc_SP'!$C:$AN,MID(AG$1,1,2),FALSE)</f>
        <v>0</v>
      </c>
      <c r="AH1974" s="55">
        <f>VLOOKUP($E1974,'NI-Soc_SP'!$C:$AN,MID(AH$1,1,2),FALSE)</f>
        <v>0</v>
      </c>
      <c r="AI1974" s="55">
        <f>VLOOKUP($E1974,'NI-Soc_SP'!$C:$AN,MID(AI$1,1,2),FALSE)</f>
        <v>0</v>
      </c>
      <c r="AJ1974" s="55">
        <f>VLOOKUP($E1974,'NI-Soc_SP'!$C:$AN,MID(AJ$1,1,2),FALSE)</f>
        <v>0</v>
      </c>
      <c r="AK1974" s="55">
        <f>VLOOKUP($E1974,'NI-Soc_SP'!$C:$AN,MID(AK$1,1,2),FALSE)</f>
        <v>0</v>
      </c>
      <c r="AL1974" s="55">
        <f>VLOOKUP($E1974,'NI-Soc_SP'!$C:$AN,MID(AL$1,1,2),FALSE)</f>
        <v>0</v>
      </c>
      <c r="AM1974" s="56">
        <f>VLOOKUP($E1974,'NI-Soc_SP'!$C:$AN,MID(AM$1,1,2),FALSE)</f>
        <v>0</v>
      </c>
      <c r="AN1974" s="30" t="str">
        <f t="shared" si="30"/>
        <v>50104040000000</v>
      </c>
    </row>
    <row r="1975" spans="3:40" x14ac:dyDescent="0.25">
      <c r="C1975" s="40"/>
      <c r="D1975" s="121" t="s">
        <v>1992</v>
      </c>
      <c r="E1975" s="121" t="s">
        <v>1993</v>
      </c>
      <c r="F1975" s="122" t="s">
        <v>2758</v>
      </c>
      <c r="G1975" s="52"/>
      <c r="H1975" s="52"/>
      <c r="I1975" s="52" t="s">
        <v>1994</v>
      </c>
      <c r="J1975" s="52"/>
      <c r="K1975" s="59" t="s">
        <v>79</v>
      </c>
      <c r="L1975" s="62"/>
      <c r="M1975" s="52"/>
      <c r="N1975" s="52"/>
      <c r="O1975" s="52"/>
      <c r="P1975" s="63" t="s">
        <v>1995</v>
      </c>
      <c r="Q1975" s="55">
        <f>VLOOKUP(E1975,'NI-Soc_SP'!$C:$AN,12,FALSE)</f>
        <v>0</v>
      </c>
      <c r="R1975" s="55">
        <f>VLOOKUP(E1975,'NI-Soc_SP'!$C:$AN,13,FALSE)</f>
        <v>0</v>
      </c>
      <c r="S1975" s="55"/>
      <c r="T1975" s="55"/>
      <c r="U1975" s="55">
        <f>VLOOKUP($E1975,'NI-Soc_SP'!$C:$AN,MID(U$1,1,2),FALSE)</f>
        <v>0</v>
      </c>
      <c r="V1975" s="55">
        <f>VLOOKUP($E1975,'NI-Soc_SP'!$C:$AN,MID(V$1,1,2),FALSE)</f>
        <v>0</v>
      </c>
      <c r="W1975" s="55">
        <f>VLOOKUP($E1975,'NI-Soc_SP'!$C:$AN,MID(W$1,1,2),FALSE)</f>
        <v>0</v>
      </c>
      <c r="X1975" s="55">
        <f>VLOOKUP($E1975,'NI-Soc_SP'!$C:$AN,MID(X$1,1,2),FALSE)</f>
        <v>0</v>
      </c>
      <c r="Y1975" s="55">
        <f>VLOOKUP($E1975,'NI-Soc_SP'!$C:$AN,MID(Y$1,1,2),FALSE)</f>
        <v>0</v>
      </c>
      <c r="Z1975" s="55">
        <f>VLOOKUP($E1975,'NI-Soc_SP'!$C:$AN,MID(Z$1,1,2),FALSE)</f>
        <v>0</v>
      </c>
      <c r="AA1975" s="55">
        <f>VLOOKUP($E1975,'NI-Soc_SP'!$C:$AN,MID(AA$1,1,2),FALSE)</f>
        <v>0</v>
      </c>
      <c r="AB1975" s="55">
        <f>VLOOKUP($E1975,'NI-Soc_SP'!$C:$AN,MID(AB$1,1,2),FALSE)</f>
        <v>0</v>
      </c>
      <c r="AC1975" s="55">
        <f>VLOOKUP($E1975,'NI-Soc_SP'!$C:$AN,MID(AC$1,1,2),FALSE)</f>
        <v>0</v>
      </c>
      <c r="AD1975" s="55">
        <f>VLOOKUP($E1975,'NI-Soc_SP'!$C:$AN,MID(AD$1,1,2),FALSE)</f>
        <v>0</v>
      </c>
      <c r="AE1975" s="55">
        <f>VLOOKUP($E1975,'NI-Soc_SP'!$C:$AN,MID(AE$1,1,2),FALSE)</f>
        <v>0</v>
      </c>
      <c r="AF1975" s="55">
        <f>VLOOKUP($E1975,'NI-Soc_SP'!$C:$AN,MID(AF$1,1,2),FALSE)</f>
        <v>0</v>
      </c>
      <c r="AG1975" s="55">
        <f>VLOOKUP($E1975,'NI-Soc_SP'!$C:$AN,MID(AG$1,1,2),FALSE)</f>
        <v>0</v>
      </c>
      <c r="AH1975" s="55">
        <f>VLOOKUP($E1975,'NI-Soc_SP'!$C:$AN,MID(AH$1,1,2),FALSE)</f>
        <v>0</v>
      </c>
      <c r="AI1975" s="55">
        <f>VLOOKUP($E1975,'NI-Soc_SP'!$C:$AN,MID(AI$1,1,2),FALSE)</f>
        <v>0</v>
      </c>
      <c r="AJ1975" s="55">
        <f>VLOOKUP($E1975,'NI-Soc_SP'!$C:$AN,MID(AJ$1,1,2),FALSE)</f>
        <v>0</v>
      </c>
      <c r="AK1975" s="55">
        <f>VLOOKUP($E1975,'NI-Soc_SP'!$C:$AN,MID(AK$1,1,2),FALSE)</f>
        <v>0</v>
      </c>
      <c r="AL1975" s="55">
        <f>VLOOKUP($E1975,'NI-Soc_SP'!$C:$AN,MID(AL$1,1,2),FALSE)</f>
        <v>0</v>
      </c>
      <c r="AM1975" s="56">
        <f>VLOOKUP($E1975,'NI-Soc_SP'!$C:$AN,MID(AM$1,1,2),FALSE)</f>
        <v>0</v>
      </c>
      <c r="AN1975" s="30" t="str">
        <f t="shared" si="30"/>
        <v>50104050000000</v>
      </c>
    </row>
    <row r="1976" spans="3:40" x14ac:dyDescent="0.25">
      <c r="C1976" s="40"/>
      <c r="D1976" s="121" t="s">
        <v>1996</v>
      </c>
      <c r="E1976" s="121" t="s">
        <v>1997</v>
      </c>
      <c r="F1976" s="122" t="s">
        <v>2758</v>
      </c>
      <c r="G1976" s="52"/>
      <c r="H1976" s="52"/>
      <c r="I1976" s="52"/>
      <c r="J1976" s="52"/>
      <c r="K1976" s="59" t="s">
        <v>111</v>
      </c>
      <c r="L1976" s="62" t="s">
        <v>1998</v>
      </c>
      <c r="M1976" s="52"/>
      <c r="N1976" s="52"/>
      <c r="O1976" s="61" t="s">
        <v>1999</v>
      </c>
      <c r="P1976" s="63" t="s">
        <v>2000</v>
      </c>
      <c r="Q1976" s="55">
        <f>VLOOKUP(E1976,'NI-Soc_SP'!$C:$AN,12,FALSE)</f>
        <v>0</v>
      </c>
      <c r="R1976" s="55">
        <f>VLOOKUP(E1976,'NI-Soc_SP'!$C:$AN,13,FALSE)</f>
        <v>0</v>
      </c>
      <c r="S1976" s="55"/>
      <c r="T1976" s="55"/>
      <c r="U1976" s="55">
        <f>VLOOKUP($E1976,'NI-Soc_SP'!$C:$AN,MID(U$1,1,2),FALSE)</f>
        <v>0</v>
      </c>
      <c r="V1976" s="55">
        <f>VLOOKUP($E1976,'NI-Soc_SP'!$C:$AN,MID(V$1,1,2),FALSE)</f>
        <v>0</v>
      </c>
      <c r="W1976" s="55">
        <f>VLOOKUP($E1976,'NI-Soc_SP'!$C:$AN,MID(W$1,1,2),FALSE)</f>
        <v>0</v>
      </c>
      <c r="X1976" s="55">
        <f>VLOOKUP($E1976,'NI-Soc_SP'!$C:$AN,MID(X$1,1,2),FALSE)</f>
        <v>0</v>
      </c>
      <c r="Y1976" s="55">
        <f>VLOOKUP($E1976,'NI-Soc_SP'!$C:$AN,MID(Y$1,1,2),FALSE)</f>
        <v>0</v>
      </c>
      <c r="Z1976" s="55">
        <f>VLOOKUP($E1976,'NI-Soc_SP'!$C:$AN,MID(Z$1,1,2),FALSE)</f>
        <v>0</v>
      </c>
      <c r="AA1976" s="55">
        <f>VLOOKUP($E1976,'NI-Soc_SP'!$C:$AN,MID(AA$1,1,2),FALSE)</f>
        <v>0</v>
      </c>
      <c r="AB1976" s="55">
        <f>VLOOKUP($E1976,'NI-Soc_SP'!$C:$AN,MID(AB$1,1,2),FALSE)</f>
        <v>0</v>
      </c>
      <c r="AC1976" s="55">
        <f>VLOOKUP($E1976,'NI-Soc_SP'!$C:$AN,MID(AC$1,1,2),FALSE)</f>
        <v>0</v>
      </c>
      <c r="AD1976" s="55">
        <f>VLOOKUP($E1976,'NI-Soc_SP'!$C:$AN,MID(AD$1,1,2),FALSE)</f>
        <v>0</v>
      </c>
      <c r="AE1976" s="55">
        <f>VLOOKUP($E1976,'NI-Soc_SP'!$C:$AN,MID(AE$1,1,2),FALSE)</f>
        <v>0</v>
      </c>
      <c r="AF1976" s="55">
        <f>VLOOKUP($E1976,'NI-Soc_SP'!$C:$AN,MID(AF$1,1,2),FALSE)</f>
        <v>0</v>
      </c>
      <c r="AG1976" s="55">
        <f>VLOOKUP($E1976,'NI-Soc_SP'!$C:$AN,MID(AG$1,1,2),FALSE)</f>
        <v>0</v>
      </c>
      <c r="AH1976" s="55">
        <f>VLOOKUP($E1976,'NI-Soc_SP'!$C:$AN,MID(AH$1,1,2),FALSE)</f>
        <v>0</v>
      </c>
      <c r="AI1976" s="55">
        <f>VLOOKUP($E1976,'NI-Soc_SP'!$C:$AN,MID(AI$1,1,2),FALSE)</f>
        <v>0</v>
      </c>
      <c r="AJ1976" s="55">
        <f>VLOOKUP($E1976,'NI-Soc_SP'!$C:$AN,MID(AJ$1,1,2),FALSE)</f>
        <v>0</v>
      </c>
      <c r="AK1976" s="55">
        <f>VLOOKUP($E1976,'NI-Soc_SP'!$C:$AN,MID(AK$1,1,2),FALSE)</f>
        <v>0</v>
      </c>
      <c r="AL1976" s="55">
        <f>VLOOKUP($E1976,'NI-Soc_SP'!$C:$AN,MID(AL$1,1,2),FALSE)</f>
        <v>0</v>
      </c>
      <c r="AM1976" s="56">
        <f>VLOOKUP($E1976,'NI-Soc_SP'!$C:$AN,MID(AM$1,1,2),FALSE)</f>
        <v>0</v>
      </c>
      <c r="AN1976" s="30" t="str">
        <f t="shared" si="30"/>
        <v>50105000000000</v>
      </c>
    </row>
    <row r="1977" spans="3:40" x14ac:dyDescent="0.25">
      <c r="C1977" s="40"/>
      <c r="D1977" s="121" t="s">
        <v>2001</v>
      </c>
      <c r="E1977" s="121" t="s">
        <v>2002</v>
      </c>
      <c r="F1977" s="122" t="s">
        <v>2758</v>
      </c>
      <c r="G1977" s="52"/>
      <c r="H1977" s="52"/>
      <c r="I1977" s="52" t="s">
        <v>2003</v>
      </c>
      <c r="J1977" s="52"/>
      <c r="K1977" s="59" t="s">
        <v>79</v>
      </c>
      <c r="L1977" s="62"/>
      <c r="M1977" s="52"/>
      <c r="N1977" s="52"/>
      <c r="O1977" s="52"/>
      <c r="P1977" s="63" t="s">
        <v>2004</v>
      </c>
      <c r="Q1977" s="55">
        <f>VLOOKUP(E1977,'NI-Soc_SP'!$C:$AN,12,FALSE)</f>
        <v>0</v>
      </c>
      <c r="R1977" s="55">
        <f>VLOOKUP(E1977,'NI-Soc_SP'!$C:$AN,13,FALSE)</f>
        <v>0</v>
      </c>
      <c r="S1977" s="55"/>
      <c r="T1977" s="55"/>
      <c r="U1977" s="55">
        <f>VLOOKUP($E1977,'NI-Soc_SP'!$C:$AN,MID(U$1,1,2),FALSE)</f>
        <v>0</v>
      </c>
      <c r="V1977" s="55">
        <f>VLOOKUP($E1977,'NI-Soc_SP'!$C:$AN,MID(V$1,1,2),FALSE)</f>
        <v>0</v>
      </c>
      <c r="W1977" s="55">
        <f>VLOOKUP($E1977,'NI-Soc_SP'!$C:$AN,MID(W$1,1,2),FALSE)</f>
        <v>0</v>
      </c>
      <c r="X1977" s="55">
        <f>VLOOKUP($E1977,'NI-Soc_SP'!$C:$AN,MID(X$1,1,2),FALSE)</f>
        <v>0</v>
      </c>
      <c r="Y1977" s="55">
        <f>VLOOKUP($E1977,'NI-Soc_SP'!$C:$AN,MID(Y$1,1,2),FALSE)</f>
        <v>0</v>
      </c>
      <c r="Z1977" s="55">
        <f>VLOOKUP($E1977,'NI-Soc_SP'!$C:$AN,MID(Z$1,1,2),FALSE)</f>
        <v>0</v>
      </c>
      <c r="AA1977" s="55">
        <f>VLOOKUP($E1977,'NI-Soc_SP'!$C:$AN,MID(AA$1,1,2),FALSE)</f>
        <v>0</v>
      </c>
      <c r="AB1977" s="55">
        <f>VLOOKUP($E1977,'NI-Soc_SP'!$C:$AN,MID(AB$1,1,2),FALSE)</f>
        <v>0</v>
      </c>
      <c r="AC1977" s="55">
        <f>VLOOKUP($E1977,'NI-Soc_SP'!$C:$AN,MID(AC$1,1,2),FALSE)</f>
        <v>0</v>
      </c>
      <c r="AD1977" s="55">
        <f>VLOOKUP($E1977,'NI-Soc_SP'!$C:$AN,MID(AD$1,1,2),FALSE)</f>
        <v>0</v>
      </c>
      <c r="AE1977" s="55">
        <f>VLOOKUP($E1977,'NI-Soc_SP'!$C:$AN,MID(AE$1,1,2),FALSE)</f>
        <v>0</v>
      </c>
      <c r="AF1977" s="55">
        <f>VLOOKUP($E1977,'NI-Soc_SP'!$C:$AN,MID(AF$1,1,2),FALSE)</f>
        <v>0</v>
      </c>
      <c r="AG1977" s="55">
        <f>VLOOKUP($E1977,'NI-Soc_SP'!$C:$AN,MID(AG$1,1,2),FALSE)</f>
        <v>0</v>
      </c>
      <c r="AH1977" s="55">
        <f>VLOOKUP($E1977,'NI-Soc_SP'!$C:$AN,MID(AH$1,1,2),FALSE)</f>
        <v>0</v>
      </c>
      <c r="AI1977" s="55">
        <f>VLOOKUP($E1977,'NI-Soc_SP'!$C:$AN,MID(AI$1,1,2),FALSE)</f>
        <v>0</v>
      </c>
      <c r="AJ1977" s="55">
        <f>VLOOKUP($E1977,'NI-Soc_SP'!$C:$AN,MID(AJ$1,1,2),FALSE)</f>
        <v>0</v>
      </c>
      <c r="AK1977" s="55">
        <f>VLOOKUP($E1977,'NI-Soc_SP'!$C:$AN,MID(AK$1,1,2),FALSE)</f>
        <v>0</v>
      </c>
      <c r="AL1977" s="55">
        <f>VLOOKUP($E1977,'NI-Soc_SP'!$C:$AN,MID(AL$1,1,2),FALSE)</f>
        <v>0</v>
      </c>
      <c r="AM1977" s="56">
        <f>VLOOKUP($E1977,'NI-Soc_SP'!$C:$AN,MID(AM$1,1,2),FALSE)</f>
        <v>0</v>
      </c>
      <c r="AN1977" s="30" t="str">
        <f t="shared" si="30"/>
        <v>50105010000000</v>
      </c>
    </row>
    <row r="1978" spans="3:40" x14ac:dyDescent="0.25">
      <c r="C1978" s="40"/>
      <c r="D1978" s="121" t="s">
        <v>2005</v>
      </c>
      <c r="E1978" s="121" t="s">
        <v>2006</v>
      </c>
      <c r="F1978" s="122" t="s">
        <v>2758</v>
      </c>
      <c r="G1978" s="52"/>
      <c r="H1978" s="52"/>
      <c r="I1978" s="52" t="s">
        <v>2007</v>
      </c>
      <c r="J1978" s="52"/>
      <c r="K1978" s="59" t="s">
        <v>79</v>
      </c>
      <c r="L1978" s="62"/>
      <c r="M1978" s="52"/>
      <c r="N1978" s="52"/>
      <c r="O1978" s="52"/>
      <c r="P1978" s="63" t="s">
        <v>2008</v>
      </c>
      <c r="Q1978" s="55">
        <f>VLOOKUP(E1978,'NI-Soc_SP'!$C:$AN,12,FALSE)</f>
        <v>0</v>
      </c>
      <c r="R1978" s="55">
        <f>VLOOKUP(E1978,'NI-Soc_SP'!$C:$AN,13,FALSE)</f>
        <v>0</v>
      </c>
      <c r="S1978" s="55"/>
      <c r="T1978" s="55"/>
      <c r="U1978" s="55">
        <f>VLOOKUP($E1978,'NI-Soc_SP'!$C:$AN,MID(U$1,1,2),FALSE)</f>
        <v>0</v>
      </c>
      <c r="V1978" s="55">
        <f>VLOOKUP($E1978,'NI-Soc_SP'!$C:$AN,MID(V$1,1,2),FALSE)</f>
        <v>0</v>
      </c>
      <c r="W1978" s="55">
        <f>VLOOKUP($E1978,'NI-Soc_SP'!$C:$AN,MID(W$1,1,2),FALSE)</f>
        <v>0</v>
      </c>
      <c r="X1978" s="55">
        <f>VLOOKUP($E1978,'NI-Soc_SP'!$C:$AN,MID(X$1,1,2),FALSE)</f>
        <v>0</v>
      </c>
      <c r="Y1978" s="55">
        <f>VLOOKUP($E1978,'NI-Soc_SP'!$C:$AN,MID(Y$1,1,2),FALSE)</f>
        <v>0</v>
      </c>
      <c r="Z1978" s="55">
        <f>VLOOKUP($E1978,'NI-Soc_SP'!$C:$AN,MID(Z$1,1,2),FALSE)</f>
        <v>0</v>
      </c>
      <c r="AA1978" s="55">
        <f>VLOOKUP($E1978,'NI-Soc_SP'!$C:$AN,MID(AA$1,1,2),FALSE)</f>
        <v>0</v>
      </c>
      <c r="AB1978" s="55">
        <f>VLOOKUP($E1978,'NI-Soc_SP'!$C:$AN,MID(AB$1,1,2),FALSE)</f>
        <v>0</v>
      </c>
      <c r="AC1978" s="55">
        <f>VLOOKUP($E1978,'NI-Soc_SP'!$C:$AN,MID(AC$1,1,2),FALSE)</f>
        <v>0</v>
      </c>
      <c r="AD1978" s="55">
        <f>VLOOKUP($E1978,'NI-Soc_SP'!$C:$AN,MID(AD$1,1,2),FALSE)</f>
        <v>0</v>
      </c>
      <c r="AE1978" s="55">
        <f>VLOOKUP($E1978,'NI-Soc_SP'!$C:$AN,MID(AE$1,1,2),FALSE)</f>
        <v>0</v>
      </c>
      <c r="AF1978" s="55">
        <f>VLOOKUP($E1978,'NI-Soc_SP'!$C:$AN,MID(AF$1,1,2),FALSE)</f>
        <v>0</v>
      </c>
      <c r="AG1978" s="55">
        <f>VLOOKUP($E1978,'NI-Soc_SP'!$C:$AN,MID(AG$1,1,2),FALSE)</f>
        <v>0</v>
      </c>
      <c r="AH1978" s="55">
        <f>VLOOKUP($E1978,'NI-Soc_SP'!$C:$AN,MID(AH$1,1,2),FALSE)</f>
        <v>0</v>
      </c>
      <c r="AI1978" s="55">
        <f>VLOOKUP($E1978,'NI-Soc_SP'!$C:$AN,MID(AI$1,1,2),FALSE)</f>
        <v>0</v>
      </c>
      <c r="AJ1978" s="55">
        <f>VLOOKUP($E1978,'NI-Soc_SP'!$C:$AN,MID(AJ$1,1,2),FALSE)</f>
        <v>0</v>
      </c>
      <c r="AK1978" s="55">
        <f>VLOOKUP($E1978,'NI-Soc_SP'!$C:$AN,MID(AK$1,1,2),FALSE)</f>
        <v>0</v>
      </c>
      <c r="AL1978" s="55">
        <f>VLOOKUP($E1978,'NI-Soc_SP'!$C:$AN,MID(AL$1,1,2),FALSE)</f>
        <v>0</v>
      </c>
      <c r="AM1978" s="56">
        <f>VLOOKUP($E1978,'NI-Soc_SP'!$C:$AN,MID(AM$1,1,2),FALSE)</f>
        <v>0</v>
      </c>
      <c r="AN1978" s="30" t="str">
        <f t="shared" si="30"/>
        <v>50105020000000</v>
      </c>
    </row>
    <row r="1979" spans="3:40" x14ac:dyDescent="0.25">
      <c r="C1979" s="40"/>
      <c r="D1979" s="121" t="s">
        <v>2009</v>
      </c>
      <c r="E1979" s="121" t="s">
        <v>2010</v>
      </c>
      <c r="F1979" s="122" t="s">
        <v>2758</v>
      </c>
      <c r="G1979" s="52"/>
      <c r="H1979" s="52"/>
      <c r="I1979" s="52" t="s">
        <v>2011</v>
      </c>
      <c r="J1979" s="52"/>
      <c r="K1979" s="59" t="s">
        <v>79</v>
      </c>
      <c r="L1979" s="62"/>
      <c r="M1979" s="52"/>
      <c r="N1979" s="52"/>
      <c r="O1979" s="52"/>
      <c r="P1979" s="63" t="s">
        <v>2012</v>
      </c>
      <c r="Q1979" s="55">
        <f>VLOOKUP(E1979,'NI-Soc_SP'!$C:$AN,12,FALSE)</f>
        <v>0</v>
      </c>
      <c r="R1979" s="55">
        <f>VLOOKUP(E1979,'NI-Soc_SP'!$C:$AN,13,FALSE)</f>
        <v>0</v>
      </c>
      <c r="S1979" s="55"/>
      <c r="T1979" s="55"/>
      <c r="U1979" s="55">
        <f>VLOOKUP($E1979,'NI-Soc_SP'!$C:$AN,MID(U$1,1,2),FALSE)</f>
        <v>0</v>
      </c>
      <c r="V1979" s="55">
        <f>VLOOKUP($E1979,'NI-Soc_SP'!$C:$AN,MID(V$1,1,2),FALSE)</f>
        <v>0</v>
      </c>
      <c r="W1979" s="55">
        <f>VLOOKUP($E1979,'NI-Soc_SP'!$C:$AN,MID(W$1,1,2),FALSE)</f>
        <v>0</v>
      </c>
      <c r="X1979" s="55">
        <f>VLOOKUP($E1979,'NI-Soc_SP'!$C:$AN,MID(X$1,1,2),FALSE)</f>
        <v>0</v>
      </c>
      <c r="Y1979" s="55">
        <f>VLOOKUP($E1979,'NI-Soc_SP'!$C:$AN,MID(Y$1,1,2),FALSE)</f>
        <v>0</v>
      </c>
      <c r="Z1979" s="55">
        <f>VLOOKUP($E1979,'NI-Soc_SP'!$C:$AN,MID(Z$1,1,2),FALSE)</f>
        <v>0</v>
      </c>
      <c r="AA1979" s="55">
        <f>VLOOKUP($E1979,'NI-Soc_SP'!$C:$AN,MID(AA$1,1,2),FALSE)</f>
        <v>0</v>
      </c>
      <c r="AB1979" s="55">
        <f>VLOOKUP($E1979,'NI-Soc_SP'!$C:$AN,MID(AB$1,1,2),FALSE)</f>
        <v>0</v>
      </c>
      <c r="AC1979" s="55">
        <f>VLOOKUP($E1979,'NI-Soc_SP'!$C:$AN,MID(AC$1,1,2),FALSE)</f>
        <v>0</v>
      </c>
      <c r="AD1979" s="55">
        <f>VLOOKUP($E1979,'NI-Soc_SP'!$C:$AN,MID(AD$1,1,2),FALSE)</f>
        <v>0</v>
      </c>
      <c r="AE1979" s="55">
        <f>VLOOKUP($E1979,'NI-Soc_SP'!$C:$AN,MID(AE$1,1,2),FALSE)</f>
        <v>0</v>
      </c>
      <c r="AF1979" s="55">
        <f>VLOOKUP($E1979,'NI-Soc_SP'!$C:$AN,MID(AF$1,1,2),FALSE)</f>
        <v>0</v>
      </c>
      <c r="AG1979" s="55">
        <f>VLOOKUP($E1979,'NI-Soc_SP'!$C:$AN,MID(AG$1,1,2),FALSE)</f>
        <v>0</v>
      </c>
      <c r="AH1979" s="55">
        <f>VLOOKUP($E1979,'NI-Soc_SP'!$C:$AN,MID(AH$1,1,2),FALSE)</f>
        <v>0</v>
      </c>
      <c r="AI1979" s="55">
        <f>VLOOKUP($E1979,'NI-Soc_SP'!$C:$AN,MID(AI$1,1,2),FALSE)</f>
        <v>0</v>
      </c>
      <c r="AJ1979" s="55">
        <f>VLOOKUP($E1979,'NI-Soc_SP'!$C:$AN,MID(AJ$1,1,2),FALSE)</f>
        <v>0</v>
      </c>
      <c r="AK1979" s="55">
        <f>VLOOKUP($E1979,'NI-Soc_SP'!$C:$AN,MID(AK$1,1,2),FALSE)</f>
        <v>0</v>
      </c>
      <c r="AL1979" s="55">
        <f>VLOOKUP($E1979,'NI-Soc_SP'!$C:$AN,MID(AL$1,1,2),FALSE)</f>
        <v>0</v>
      </c>
      <c r="AM1979" s="56">
        <f>VLOOKUP($E1979,'NI-Soc_SP'!$C:$AN,MID(AM$1,1,2),FALSE)</f>
        <v>0</v>
      </c>
      <c r="AN1979" s="30" t="str">
        <f t="shared" si="30"/>
        <v>50105030000000</v>
      </c>
    </row>
    <row r="1980" spans="3:40" x14ac:dyDescent="0.25">
      <c r="C1980" s="40"/>
      <c r="D1980" s="121" t="s">
        <v>2013</v>
      </c>
      <c r="E1980" s="121" t="s">
        <v>2014</v>
      </c>
      <c r="F1980" s="122" t="s">
        <v>2758</v>
      </c>
      <c r="G1980" s="52"/>
      <c r="H1980" s="52"/>
      <c r="I1980" s="52" t="s">
        <v>2015</v>
      </c>
      <c r="J1980" s="52"/>
      <c r="K1980" s="59" t="s">
        <v>79</v>
      </c>
      <c r="L1980" s="62" t="s">
        <v>2016</v>
      </c>
      <c r="M1980" s="52"/>
      <c r="N1980" s="52"/>
      <c r="O1980" s="61" t="s">
        <v>2017</v>
      </c>
      <c r="P1980" s="63" t="s">
        <v>2018</v>
      </c>
      <c r="Q1980" s="55">
        <f>VLOOKUP(E1980,'NI-Soc_SP'!$C:$AN,12,FALSE)</f>
        <v>0</v>
      </c>
      <c r="R1980" s="55">
        <f>VLOOKUP(E1980,'NI-Soc_SP'!$C:$AN,13,FALSE)</f>
        <v>0</v>
      </c>
      <c r="S1980" s="55"/>
      <c r="T1980" s="55"/>
      <c r="U1980" s="55">
        <f>VLOOKUP($E1980,'NI-Soc_SP'!$C:$AN,MID(U$1,1,2),FALSE)</f>
        <v>0</v>
      </c>
      <c r="V1980" s="55">
        <f>VLOOKUP($E1980,'NI-Soc_SP'!$C:$AN,MID(V$1,1,2),FALSE)</f>
        <v>0</v>
      </c>
      <c r="W1980" s="55">
        <f>VLOOKUP($E1980,'NI-Soc_SP'!$C:$AN,MID(W$1,1,2),FALSE)</f>
        <v>0</v>
      </c>
      <c r="X1980" s="55">
        <f>VLOOKUP($E1980,'NI-Soc_SP'!$C:$AN,MID(X$1,1,2),FALSE)</f>
        <v>0</v>
      </c>
      <c r="Y1980" s="55">
        <f>VLOOKUP($E1980,'NI-Soc_SP'!$C:$AN,MID(Y$1,1,2),FALSE)</f>
        <v>0</v>
      </c>
      <c r="Z1980" s="55">
        <f>VLOOKUP($E1980,'NI-Soc_SP'!$C:$AN,MID(Z$1,1,2),FALSE)</f>
        <v>0</v>
      </c>
      <c r="AA1980" s="55">
        <f>VLOOKUP($E1980,'NI-Soc_SP'!$C:$AN,MID(AA$1,1,2),FALSE)</f>
        <v>0</v>
      </c>
      <c r="AB1980" s="55">
        <f>VLOOKUP($E1980,'NI-Soc_SP'!$C:$AN,MID(AB$1,1,2),FALSE)</f>
        <v>0</v>
      </c>
      <c r="AC1980" s="55">
        <f>VLOOKUP($E1980,'NI-Soc_SP'!$C:$AN,MID(AC$1,1,2),FALSE)</f>
        <v>0</v>
      </c>
      <c r="AD1980" s="55">
        <f>VLOOKUP($E1980,'NI-Soc_SP'!$C:$AN,MID(AD$1,1,2),FALSE)</f>
        <v>0</v>
      </c>
      <c r="AE1980" s="55">
        <f>VLOOKUP($E1980,'NI-Soc_SP'!$C:$AN,MID(AE$1,1,2),FALSE)</f>
        <v>0</v>
      </c>
      <c r="AF1980" s="55">
        <f>VLOOKUP($E1980,'NI-Soc_SP'!$C:$AN,MID(AF$1,1,2),FALSE)</f>
        <v>0</v>
      </c>
      <c r="AG1980" s="55">
        <f>VLOOKUP($E1980,'NI-Soc_SP'!$C:$AN,MID(AG$1,1,2),FALSE)</f>
        <v>0</v>
      </c>
      <c r="AH1980" s="55">
        <f>VLOOKUP($E1980,'NI-Soc_SP'!$C:$AN,MID(AH$1,1,2),FALSE)</f>
        <v>0</v>
      </c>
      <c r="AI1980" s="55">
        <f>VLOOKUP($E1980,'NI-Soc_SP'!$C:$AN,MID(AI$1,1,2),FALSE)</f>
        <v>0</v>
      </c>
      <c r="AJ1980" s="55">
        <f>VLOOKUP($E1980,'NI-Soc_SP'!$C:$AN,MID(AJ$1,1,2),FALSE)</f>
        <v>0</v>
      </c>
      <c r="AK1980" s="55">
        <f>VLOOKUP($E1980,'NI-Soc_SP'!$C:$AN,MID(AK$1,1,2),FALSE)</f>
        <v>0</v>
      </c>
      <c r="AL1980" s="55">
        <f>VLOOKUP($E1980,'NI-Soc_SP'!$C:$AN,MID(AL$1,1,2),FALSE)</f>
        <v>0</v>
      </c>
      <c r="AM1980" s="56">
        <f>VLOOKUP($E1980,'NI-Soc_SP'!$C:$AN,MID(AM$1,1,2),FALSE)</f>
        <v>0</v>
      </c>
      <c r="AN1980" s="30" t="str">
        <f t="shared" si="30"/>
        <v>50106000000000</v>
      </c>
    </row>
    <row r="1981" spans="3:40" x14ac:dyDescent="0.25">
      <c r="C1981" s="40"/>
      <c r="D1981" s="121" t="s">
        <v>2019</v>
      </c>
      <c r="E1981" s="121" t="s">
        <v>2020</v>
      </c>
      <c r="F1981" s="122" t="s">
        <v>2758</v>
      </c>
      <c r="G1981" s="52"/>
      <c r="H1981" s="52"/>
      <c r="I1981" s="52" t="s">
        <v>2021</v>
      </c>
      <c r="J1981" s="52"/>
      <c r="K1981" s="59" t="s">
        <v>79</v>
      </c>
      <c r="L1981" s="52" t="s">
        <v>2022</v>
      </c>
      <c r="M1981" s="52"/>
      <c r="N1981" s="52"/>
      <c r="O1981" s="61" t="s">
        <v>2023</v>
      </c>
      <c r="P1981" s="60" t="s">
        <v>2024</v>
      </c>
      <c r="Q1981" s="55">
        <f>VLOOKUP(E1981,'NI-Soc_SP'!$C:$AN,12,FALSE)</f>
        <v>0</v>
      </c>
      <c r="R1981" s="55">
        <f>VLOOKUP(E1981,'NI-Soc_SP'!$C:$AN,13,FALSE)</f>
        <v>0</v>
      </c>
      <c r="S1981" s="55"/>
      <c r="T1981" s="55"/>
      <c r="U1981" s="55">
        <f>VLOOKUP($E1981,'NI-Soc_SP'!$C:$AN,MID(U$1,1,2),FALSE)</f>
        <v>0</v>
      </c>
      <c r="V1981" s="55">
        <f>VLOOKUP($E1981,'NI-Soc_SP'!$C:$AN,MID(V$1,1,2),FALSE)</f>
        <v>0</v>
      </c>
      <c r="W1981" s="55">
        <f>VLOOKUP($E1981,'NI-Soc_SP'!$C:$AN,MID(W$1,1,2),FALSE)</f>
        <v>0</v>
      </c>
      <c r="X1981" s="55">
        <f>VLOOKUP($E1981,'NI-Soc_SP'!$C:$AN,MID(X$1,1,2),FALSE)</f>
        <v>0</v>
      </c>
      <c r="Y1981" s="55">
        <f>VLOOKUP($E1981,'NI-Soc_SP'!$C:$AN,MID(Y$1,1,2),FALSE)</f>
        <v>0</v>
      </c>
      <c r="Z1981" s="55">
        <f>VLOOKUP($E1981,'NI-Soc_SP'!$C:$AN,MID(Z$1,1,2),FALSE)</f>
        <v>0</v>
      </c>
      <c r="AA1981" s="55">
        <f>VLOOKUP($E1981,'NI-Soc_SP'!$C:$AN,MID(AA$1,1,2),FALSE)</f>
        <v>0</v>
      </c>
      <c r="AB1981" s="55">
        <f>VLOOKUP($E1981,'NI-Soc_SP'!$C:$AN,MID(AB$1,1,2),FALSE)</f>
        <v>0</v>
      </c>
      <c r="AC1981" s="55">
        <f>VLOOKUP($E1981,'NI-Soc_SP'!$C:$AN,MID(AC$1,1,2),FALSE)</f>
        <v>0</v>
      </c>
      <c r="AD1981" s="55">
        <f>VLOOKUP($E1981,'NI-Soc_SP'!$C:$AN,MID(AD$1,1,2),FALSE)</f>
        <v>0</v>
      </c>
      <c r="AE1981" s="55">
        <f>VLOOKUP($E1981,'NI-Soc_SP'!$C:$AN,MID(AE$1,1,2),FALSE)</f>
        <v>0</v>
      </c>
      <c r="AF1981" s="55">
        <f>VLOOKUP($E1981,'NI-Soc_SP'!$C:$AN,MID(AF$1,1,2),FALSE)</f>
        <v>0</v>
      </c>
      <c r="AG1981" s="55">
        <f>VLOOKUP($E1981,'NI-Soc_SP'!$C:$AN,MID(AG$1,1,2),FALSE)</f>
        <v>0</v>
      </c>
      <c r="AH1981" s="55">
        <f>VLOOKUP($E1981,'NI-Soc_SP'!$C:$AN,MID(AH$1,1,2),FALSE)</f>
        <v>0</v>
      </c>
      <c r="AI1981" s="55">
        <f>VLOOKUP($E1981,'NI-Soc_SP'!$C:$AN,MID(AI$1,1,2),FALSE)</f>
        <v>0</v>
      </c>
      <c r="AJ1981" s="55">
        <f>VLOOKUP($E1981,'NI-Soc_SP'!$C:$AN,MID(AJ$1,1,2),FALSE)</f>
        <v>0</v>
      </c>
      <c r="AK1981" s="55">
        <f>VLOOKUP($E1981,'NI-Soc_SP'!$C:$AN,MID(AK$1,1,2),FALSE)</f>
        <v>0</v>
      </c>
      <c r="AL1981" s="55">
        <f>VLOOKUP($E1981,'NI-Soc_SP'!$C:$AN,MID(AL$1,1,2),FALSE)</f>
        <v>0</v>
      </c>
      <c r="AM1981" s="56">
        <f>VLOOKUP($E1981,'NI-Soc_SP'!$C:$AN,MID(AM$1,1,2),FALSE)</f>
        <v>0</v>
      </c>
      <c r="AN1981" s="30" t="str">
        <f t="shared" si="30"/>
        <v>50107000000000</v>
      </c>
    </row>
    <row r="1982" spans="3:40" x14ac:dyDescent="0.25">
      <c r="C1982" s="40"/>
      <c r="D1982" s="121" t="s">
        <v>2025</v>
      </c>
      <c r="E1982" s="121" t="s">
        <v>2026</v>
      </c>
      <c r="F1982" s="122" t="s">
        <v>2758</v>
      </c>
      <c r="G1982" s="52"/>
      <c r="H1982" s="52"/>
      <c r="I1982" s="52"/>
      <c r="J1982" s="52"/>
      <c r="K1982" s="59" t="s">
        <v>111</v>
      </c>
      <c r="L1982" s="62"/>
      <c r="M1982" s="52"/>
      <c r="N1982" s="52"/>
      <c r="O1982" s="52"/>
      <c r="P1982" s="63" t="s">
        <v>2027</v>
      </c>
      <c r="Q1982" s="55">
        <f>VLOOKUP(E1982,'NI-Soc_SP'!$C:$AN,12,FALSE)</f>
        <v>0</v>
      </c>
      <c r="R1982" s="55">
        <f>VLOOKUP(E1982,'NI-Soc_SP'!$C:$AN,13,FALSE)</f>
        <v>0</v>
      </c>
      <c r="S1982" s="55"/>
      <c r="T1982" s="55"/>
      <c r="U1982" s="55">
        <f>VLOOKUP($E1982,'NI-Soc_SP'!$C:$AN,MID(U$1,1,2),FALSE)</f>
        <v>0</v>
      </c>
      <c r="V1982" s="55">
        <f>VLOOKUP($E1982,'NI-Soc_SP'!$C:$AN,MID(V$1,1,2),FALSE)</f>
        <v>0</v>
      </c>
      <c r="W1982" s="55">
        <f>VLOOKUP($E1982,'NI-Soc_SP'!$C:$AN,MID(W$1,1,2),FALSE)</f>
        <v>0</v>
      </c>
      <c r="X1982" s="55">
        <f>VLOOKUP($E1982,'NI-Soc_SP'!$C:$AN,MID(X$1,1,2),FALSE)</f>
        <v>0</v>
      </c>
      <c r="Y1982" s="55">
        <f>VLOOKUP($E1982,'NI-Soc_SP'!$C:$AN,MID(Y$1,1,2),FALSE)</f>
        <v>0</v>
      </c>
      <c r="Z1982" s="55">
        <f>VLOOKUP($E1982,'NI-Soc_SP'!$C:$AN,MID(Z$1,1,2),FALSE)</f>
        <v>0</v>
      </c>
      <c r="AA1982" s="55">
        <f>VLOOKUP($E1982,'NI-Soc_SP'!$C:$AN,MID(AA$1,1,2),FALSE)</f>
        <v>0</v>
      </c>
      <c r="AB1982" s="55">
        <f>VLOOKUP($E1982,'NI-Soc_SP'!$C:$AN,MID(AB$1,1,2),FALSE)</f>
        <v>0</v>
      </c>
      <c r="AC1982" s="55">
        <f>VLOOKUP($E1982,'NI-Soc_SP'!$C:$AN,MID(AC$1,1,2),FALSE)</f>
        <v>0</v>
      </c>
      <c r="AD1982" s="55">
        <f>VLOOKUP($E1982,'NI-Soc_SP'!$C:$AN,MID(AD$1,1,2),FALSE)</f>
        <v>0</v>
      </c>
      <c r="AE1982" s="55">
        <f>VLOOKUP($E1982,'NI-Soc_SP'!$C:$AN,MID(AE$1,1,2),FALSE)</f>
        <v>0</v>
      </c>
      <c r="AF1982" s="55">
        <f>VLOOKUP($E1982,'NI-Soc_SP'!$C:$AN,MID(AF$1,1,2),FALSE)</f>
        <v>0</v>
      </c>
      <c r="AG1982" s="55">
        <f>VLOOKUP($E1982,'NI-Soc_SP'!$C:$AN,MID(AG$1,1,2),FALSE)</f>
        <v>0</v>
      </c>
      <c r="AH1982" s="55">
        <f>VLOOKUP($E1982,'NI-Soc_SP'!$C:$AN,MID(AH$1,1,2),FALSE)</f>
        <v>0</v>
      </c>
      <c r="AI1982" s="55">
        <f>VLOOKUP($E1982,'NI-Soc_SP'!$C:$AN,MID(AI$1,1,2),FALSE)</f>
        <v>0</v>
      </c>
      <c r="AJ1982" s="55">
        <f>VLOOKUP($E1982,'NI-Soc_SP'!$C:$AN,MID(AJ$1,1,2),FALSE)</f>
        <v>0</v>
      </c>
      <c r="AK1982" s="55">
        <f>VLOOKUP($E1982,'NI-Soc_SP'!$C:$AN,MID(AK$1,1,2),FALSE)</f>
        <v>0</v>
      </c>
      <c r="AL1982" s="55">
        <f>VLOOKUP($E1982,'NI-Soc_SP'!$C:$AN,MID(AL$1,1,2),FALSE)</f>
        <v>0</v>
      </c>
      <c r="AM1982" s="56">
        <f>VLOOKUP($E1982,'NI-Soc_SP'!$C:$AN,MID(AM$1,1,2),FALSE)</f>
        <v>0</v>
      </c>
      <c r="AN1982" s="30" t="str">
        <f t="shared" si="30"/>
        <v>60000000000000</v>
      </c>
    </row>
    <row r="1983" spans="3:40" x14ac:dyDescent="0.25">
      <c r="C1983" s="40"/>
      <c r="D1983" s="121" t="s">
        <v>2028</v>
      </c>
      <c r="E1983" s="121" t="s">
        <v>2029</v>
      </c>
      <c r="F1983" s="122" t="s">
        <v>2758</v>
      </c>
      <c r="G1983" s="52"/>
      <c r="H1983" s="52"/>
      <c r="I1983" s="52" t="s">
        <v>2030</v>
      </c>
      <c r="J1983" s="52"/>
      <c r="K1983" s="59" t="s">
        <v>111</v>
      </c>
      <c r="L1983" s="65" t="s">
        <v>2031</v>
      </c>
      <c r="M1983" s="52"/>
      <c r="N1983" s="52"/>
      <c r="O1983" s="61" t="s">
        <v>2032</v>
      </c>
      <c r="P1983" s="76" t="s">
        <v>2033</v>
      </c>
      <c r="Q1983" s="55">
        <f>VLOOKUP(E1983,'NI-Soc_SP'!$C:$AN,12,FALSE)</f>
        <v>0</v>
      </c>
      <c r="R1983" s="55">
        <f>VLOOKUP(E1983,'NI-Soc_SP'!$C:$AN,13,FALSE)</f>
        <v>0</v>
      </c>
      <c r="S1983" s="55"/>
      <c r="T1983" s="55"/>
      <c r="U1983" s="55">
        <f>VLOOKUP($E1983,'NI-Soc_SP'!$C:$AN,MID(U$1,1,2),FALSE)</f>
        <v>0</v>
      </c>
      <c r="V1983" s="55">
        <f>VLOOKUP($E1983,'NI-Soc_SP'!$C:$AN,MID(V$1,1,2),FALSE)</f>
        <v>0</v>
      </c>
      <c r="W1983" s="55">
        <f>VLOOKUP($E1983,'NI-Soc_SP'!$C:$AN,MID(W$1,1,2),FALSE)</f>
        <v>0</v>
      </c>
      <c r="X1983" s="55">
        <f>VLOOKUP($E1983,'NI-Soc_SP'!$C:$AN,MID(X$1,1,2),FALSE)</f>
        <v>0</v>
      </c>
      <c r="Y1983" s="55">
        <f>VLOOKUP($E1983,'NI-Soc_SP'!$C:$AN,MID(Y$1,1,2),FALSE)</f>
        <v>0</v>
      </c>
      <c r="Z1983" s="55">
        <f>VLOOKUP($E1983,'NI-Soc_SP'!$C:$AN,MID(Z$1,1,2),FALSE)</f>
        <v>0</v>
      </c>
      <c r="AA1983" s="55">
        <f>VLOOKUP($E1983,'NI-Soc_SP'!$C:$AN,MID(AA$1,1,2),FALSE)</f>
        <v>0</v>
      </c>
      <c r="AB1983" s="55">
        <f>VLOOKUP($E1983,'NI-Soc_SP'!$C:$AN,MID(AB$1,1,2),FALSE)</f>
        <v>0</v>
      </c>
      <c r="AC1983" s="55">
        <f>VLOOKUP($E1983,'NI-Soc_SP'!$C:$AN,MID(AC$1,1,2),FALSE)</f>
        <v>0</v>
      </c>
      <c r="AD1983" s="55">
        <f>VLOOKUP($E1983,'NI-Soc_SP'!$C:$AN,MID(AD$1,1,2),FALSE)</f>
        <v>0</v>
      </c>
      <c r="AE1983" s="55">
        <f>VLOOKUP($E1983,'NI-Soc_SP'!$C:$AN,MID(AE$1,1,2),FALSE)</f>
        <v>0</v>
      </c>
      <c r="AF1983" s="55">
        <f>VLOOKUP($E1983,'NI-Soc_SP'!$C:$AN,MID(AF$1,1,2),FALSE)</f>
        <v>0</v>
      </c>
      <c r="AG1983" s="55">
        <f>VLOOKUP($E1983,'NI-Soc_SP'!$C:$AN,MID(AG$1,1,2),FALSE)</f>
        <v>0</v>
      </c>
      <c r="AH1983" s="55">
        <f>VLOOKUP($E1983,'NI-Soc_SP'!$C:$AN,MID(AH$1,1,2),FALSE)</f>
        <v>0</v>
      </c>
      <c r="AI1983" s="55">
        <f>VLOOKUP($E1983,'NI-Soc_SP'!$C:$AN,MID(AI$1,1,2),FALSE)</f>
        <v>0</v>
      </c>
      <c r="AJ1983" s="55">
        <f>VLOOKUP($E1983,'NI-Soc_SP'!$C:$AN,MID(AJ$1,1,2),FALSE)</f>
        <v>0</v>
      </c>
      <c r="AK1983" s="55">
        <f>VLOOKUP($E1983,'NI-Soc_SP'!$C:$AN,MID(AK$1,1,2),FALSE)</f>
        <v>0</v>
      </c>
      <c r="AL1983" s="55">
        <f>VLOOKUP($E1983,'NI-Soc_SP'!$C:$AN,MID(AL$1,1,2),FALSE)</f>
        <v>0</v>
      </c>
      <c r="AM1983" s="56">
        <f>VLOOKUP($E1983,'NI-Soc_SP'!$C:$AN,MID(AM$1,1,2),FALSE)</f>
        <v>0</v>
      </c>
      <c r="AN1983" s="30" t="str">
        <f t="shared" si="30"/>
        <v>60100000000000</v>
      </c>
    </row>
    <row r="1984" spans="3:40" x14ac:dyDescent="0.25">
      <c r="C1984" s="40"/>
      <c r="D1984" s="121" t="s">
        <v>2034</v>
      </c>
      <c r="E1984" s="121" t="s">
        <v>2035</v>
      </c>
      <c r="F1984" s="122" t="s">
        <v>2758</v>
      </c>
      <c r="G1984" s="52"/>
      <c r="H1984" s="52"/>
      <c r="I1984" s="52"/>
      <c r="J1984" s="52"/>
      <c r="K1984" s="59" t="s">
        <v>79</v>
      </c>
      <c r="L1984" s="65"/>
      <c r="M1984" s="52"/>
      <c r="N1984" s="52"/>
      <c r="O1984" s="52"/>
      <c r="P1984" s="76" t="s">
        <v>2036</v>
      </c>
      <c r="Q1984" s="55">
        <f>VLOOKUP(E1984,'NI-Soc_SP'!$C:$AN,12,FALSE)</f>
        <v>0</v>
      </c>
      <c r="R1984" s="55">
        <f>VLOOKUP(E1984,'NI-Soc_SP'!$C:$AN,13,FALSE)</f>
        <v>0</v>
      </c>
      <c r="S1984" s="55"/>
      <c r="T1984" s="55"/>
      <c r="U1984" s="55">
        <f>VLOOKUP($E1984,'NI-Soc_SP'!$C:$AN,MID(U$1,1,2),FALSE)</f>
        <v>0</v>
      </c>
      <c r="V1984" s="55">
        <f>VLOOKUP($E1984,'NI-Soc_SP'!$C:$AN,MID(V$1,1,2),FALSE)</f>
        <v>0</v>
      </c>
      <c r="W1984" s="55">
        <f>VLOOKUP($E1984,'NI-Soc_SP'!$C:$AN,MID(W$1,1,2),FALSE)</f>
        <v>0</v>
      </c>
      <c r="X1984" s="55">
        <f>VLOOKUP($E1984,'NI-Soc_SP'!$C:$AN,MID(X$1,1,2),FALSE)</f>
        <v>0</v>
      </c>
      <c r="Y1984" s="55">
        <f>VLOOKUP($E1984,'NI-Soc_SP'!$C:$AN,MID(Y$1,1,2),FALSE)</f>
        <v>0</v>
      </c>
      <c r="Z1984" s="55">
        <f>VLOOKUP($E1984,'NI-Soc_SP'!$C:$AN,MID(Z$1,1,2),FALSE)</f>
        <v>0</v>
      </c>
      <c r="AA1984" s="55">
        <f>VLOOKUP($E1984,'NI-Soc_SP'!$C:$AN,MID(AA$1,1,2),FALSE)</f>
        <v>0</v>
      </c>
      <c r="AB1984" s="55">
        <f>VLOOKUP($E1984,'NI-Soc_SP'!$C:$AN,MID(AB$1,1,2),FALSE)</f>
        <v>0</v>
      </c>
      <c r="AC1984" s="55">
        <f>VLOOKUP($E1984,'NI-Soc_SP'!$C:$AN,MID(AC$1,1,2),FALSE)</f>
        <v>0</v>
      </c>
      <c r="AD1984" s="55">
        <f>VLOOKUP($E1984,'NI-Soc_SP'!$C:$AN,MID(AD$1,1,2),FALSE)</f>
        <v>0</v>
      </c>
      <c r="AE1984" s="55">
        <f>VLOOKUP($E1984,'NI-Soc_SP'!$C:$AN,MID(AE$1,1,2),FALSE)</f>
        <v>0</v>
      </c>
      <c r="AF1984" s="55">
        <f>VLOOKUP($E1984,'NI-Soc_SP'!$C:$AN,MID(AF$1,1,2),FALSE)</f>
        <v>0</v>
      </c>
      <c r="AG1984" s="55">
        <f>VLOOKUP($E1984,'NI-Soc_SP'!$C:$AN,MID(AG$1,1,2),FALSE)</f>
        <v>0</v>
      </c>
      <c r="AH1984" s="55">
        <f>VLOOKUP($E1984,'NI-Soc_SP'!$C:$AN,MID(AH$1,1,2),FALSE)</f>
        <v>0</v>
      </c>
      <c r="AI1984" s="55">
        <f>VLOOKUP($E1984,'NI-Soc_SP'!$C:$AN,MID(AI$1,1,2),FALSE)</f>
        <v>0</v>
      </c>
      <c r="AJ1984" s="55">
        <f>VLOOKUP($E1984,'NI-Soc_SP'!$C:$AN,MID(AJ$1,1,2),FALSE)</f>
        <v>0</v>
      </c>
      <c r="AK1984" s="55">
        <f>VLOOKUP($E1984,'NI-Soc_SP'!$C:$AN,MID(AK$1,1,2),FALSE)</f>
        <v>0</v>
      </c>
      <c r="AL1984" s="55">
        <f>VLOOKUP($E1984,'NI-Soc_SP'!$C:$AN,MID(AL$1,1,2),FALSE)</f>
        <v>0</v>
      </c>
      <c r="AM1984" s="56">
        <f>VLOOKUP($E1984,'NI-Soc_SP'!$C:$AN,MID(AM$1,1,2),FALSE)</f>
        <v>0</v>
      </c>
      <c r="AN1984" s="30" t="str">
        <f t="shared" si="30"/>
        <v>60101000000000</v>
      </c>
    </row>
    <row r="1985" spans="1:40" x14ac:dyDescent="0.25">
      <c r="C1985" s="40"/>
      <c r="D1985" s="121" t="s">
        <v>2037</v>
      </c>
      <c r="E1985" s="121" t="s">
        <v>2038</v>
      </c>
      <c r="F1985" s="122" t="s">
        <v>2758</v>
      </c>
      <c r="G1985" s="52"/>
      <c r="H1985" s="52"/>
      <c r="I1985" s="52"/>
      <c r="J1985" s="52"/>
      <c r="K1985" s="59" t="s">
        <v>79</v>
      </c>
      <c r="L1985" s="62"/>
      <c r="M1985" s="52"/>
      <c r="N1985" s="52"/>
      <c r="O1985" s="52"/>
      <c r="P1985" s="76" t="s">
        <v>2039</v>
      </c>
      <c r="Q1985" s="55">
        <f>VLOOKUP(E1985,'NI-Soc_SP'!$C:$AN,12,FALSE)</f>
        <v>0</v>
      </c>
      <c r="R1985" s="55">
        <f>VLOOKUP(E1985,'NI-Soc_SP'!$C:$AN,13,FALSE)</f>
        <v>0</v>
      </c>
      <c r="S1985" s="55"/>
      <c r="T1985" s="55"/>
      <c r="U1985" s="55">
        <f>VLOOKUP($E1985,'NI-Soc_SP'!$C:$AN,MID(U$1,1,2),FALSE)</f>
        <v>0</v>
      </c>
      <c r="V1985" s="55">
        <f>VLOOKUP($E1985,'NI-Soc_SP'!$C:$AN,MID(V$1,1,2),FALSE)</f>
        <v>0</v>
      </c>
      <c r="W1985" s="55">
        <f>VLOOKUP($E1985,'NI-Soc_SP'!$C:$AN,MID(W$1,1,2),FALSE)</f>
        <v>0</v>
      </c>
      <c r="X1985" s="55">
        <f>VLOOKUP($E1985,'NI-Soc_SP'!$C:$AN,MID(X$1,1,2),FALSE)</f>
        <v>0</v>
      </c>
      <c r="Y1985" s="55">
        <f>VLOOKUP($E1985,'NI-Soc_SP'!$C:$AN,MID(Y$1,1,2),FALSE)</f>
        <v>0</v>
      </c>
      <c r="Z1985" s="55">
        <f>VLOOKUP($E1985,'NI-Soc_SP'!$C:$AN,MID(Z$1,1,2),FALSE)</f>
        <v>0</v>
      </c>
      <c r="AA1985" s="55">
        <f>VLOOKUP($E1985,'NI-Soc_SP'!$C:$AN,MID(AA$1,1,2),FALSE)</f>
        <v>0</v>
      </c>
      <c r="AB1985" s="55">
        <f>VLOOKUP($E1985,'NI-Soc_SP'!$C:$AN,MID(AB$1,1,2),FALSE)</f>
        <v>0</v>
      </c>
      <c r="AC1985" s="55">
        <f>VLOOKUP($E1985,'NI-Soc_SP'!$C:$AN,MID(AC$1,1,2),FALSE)</f>
        <v>0</v>
      </c>
      <c r="AD1985" s="55">
        <f>VLOOKUP($E1985,'NI-Soc_SP'!$C:$AN,MID(AD$1,1,2),FALSE)</f>
        <v>0</v>
      </c>
      <c r="AE1985" s="55">
        <f>VLOOKUP($E1985,'NI-Soc_SP'!$C:$AN,MID(AE$1,1,2),FALSE)</f>
        <v>0</v>
      </c>
      <c r="AF1985" s="55">
        <f>VLOOKUP($E1985,'NI-Soc_SP'!$C:$AN,MID(AF$1,1,2),FALSE)</f>
        <v>0</v>
      </c>
      <c r="AG1985" s="55">
        <f>VLOOKUP($E1985,'NI-Soc_SP'!$C:$AN,MID(AG$1,1,2),FALSE)</f>
        <v>0</v>
      </c>
      <c r="AH1985" s="55">
        <f>VLOOKUP($E1985,'NI-Soc_SP'!$C:$AN,MID(AH$1,1,2),FALSE)</f>
        <v>0</v>
      </c>
      <c r="AI1985" s="55">
        <f>VLOOKUP($E1985,'NI-Soc_SP'!$C:$AN,MID(AI$1,1,2),FALSE)</f>
        <v>0</v>
      </c>
      <c r="AJ1985" s="55">
        <f>VLOOKUP($E1985,'NI-Soc_SP'!$C:$AN,MID(AJ$1,1,2),FALSE)</f>
        <v>0</v>
      </c>
      <c r="AK1985" s="55">
        <f>VLOOKUP($E1985,'NI-Soc_SP'!$C:$AN,MID(AK$1,1,2),FALSE)</f>
        <v>0</v>
      </c>
      <c r="AL1985" s="55">
        <f>VLOOKUP($E1985,'NI-Soc_SP'!$C:$AN,MID(AL$1,1,2),FALSE)</f>
        <v>0</v>
      </c>
      <c r="AM1985" s="56">
        <f>VLOOKUP($E1985,'NI-Soc_SP'!$C:$AN,MID(AM$1,1,2),FALSE)</f>
        <v>0</v>
      </c>
      <c r="AN1985" s="30" t="str">
        <f t="shared" si="30"/>
        <v>60102000000000</v>
      </c>
    </row>
    <row r="1986" spans="1:40" x14ac:dyDescent="0.25">
      <c r="C1986" s="40"/>
      <c r="D1986" s="121" t="s">
        <v>2040</v>
      </c>
      <c r="E1986" s="121" t="s">
        <v>2041</v>
      </c>
      <c r="F1986" s="122" t="s">
        <v>2758</v>
      </c>
      <c r="G1986" s="52"/>
      <c r="H1986" s="52"/>
      <c r="I1986" s="52"/>
      <c r="J1986" s="52"/>
      <c r="K1986" s="59" t="s">
        <v>111</v>
      </c>
      <c r="L1986" s="65"/>
      <c r="M1986" s="52"/>
      <c r="N1986" s="52"/>
      <c r="O1986" s="61" t="s">
        <v>2042</v>
      </c>
      <c r="P1986" s="76" t="s">
        <v>2043</v>
      </c>
      <c r="Q1986" s="55">
        <f>VLOOKUP(E1986,'NI-Soc_SP'!$C:$AN,12,FALSE)</f>
        <v>0</v>
      </c>
      <c r="R1986" s="55">
        <f>VLOOKUP(E1986,'NI-Soc_SP'!$C:$AN,13,FALSE)</f>
        <v>0</v>
      </c>
      <c r="S1986" s="55"/>
      <c r="T1986" s="55"/>
      <c r="U1986" s="55">
        <f>VLOOKUP($E1986,'NI-Soc_SP'!$C:$AN,MID(U$1,1,2),FALSE)</f>
        <v>0</v>
      </c>
      <c r="V1986" s="55">
        <f>VLOOKUP($E1986,'NI-Soc_SP'!$C:$AN,MID(V$1,1,2),FALSE)</f>
        <v>0</v>
      </c>
      <c r="W1986" s="55">
        <f>VLOOKUP($E1986,'NI-Soc_SP'!$C:$AN,MID(W$1,1,2),FALSE)</f>
        <v>0</v>
      </c>
      <c r="X1986" s="55">
        <f>VLOOKUP($E1986,'NI-Soc_SP'!$C:$AN,MID(X$1,1,2),FALSE)</f>
        <v>0</v>
      </c>
      <c r="Y1986" s="55">
        <f>VLOOKUP($E1986,'NI-Soc_SP'!$C:$AN,MID(Y$1,1,2),FALSE)</f>
        <v>0</v>
      </c>
      <c r="Z1986" s="55">
        <f>VLOOKUP($E1986,'NI-Soc_SP'!$C:$AN,MID(Z$1,1,2),FALSE)</f>
        <v>0</v>
      </c>
      <c r="AA1986" s="55">
        <f>VLOOKUP($E1986,'NI-Soc_SP'!$C:$AN,MID(AA$1,1,2),FALSE)</f>
        <v>0</v>
      </c>
      <c r="AB1986" s="55">
        <f>VLOOKUP($E1986,'NI-Soc_SP'!$C:$AN,MID(AB$1,1,2),FALSE)</f>
        <v>0</v>
      </c>
      <c r="AC1986" s="55">
        <f>VLOOKUP($E1986,'NI-Soc_SP'!$C:$AN,MID(AC$1,1,2),FALSE)</f>
        <v>0</v>
      </c>
      <c r="AD1986" s="55">
        <f>VLOOKUP($E1986,'NI-Soc_SP'!$C:$AN,MID(AD$1,1,2),FALSE)</f>
        <v>0</v>
      </c>
      <c r="AE1986" s="55">
        <f>VLOOKUP($E1986,'NI-Soc_SP'!$C:$AN,MID(AE$1,1,2),FALSE)</f>
        <v>0</v>
      </c>
      <c r="AF1986" s="55">
        <f>VLOOKUP($E1986,'NI-Soc_SP'!$C:$AN,MID(AF$1,1,2),FALSE)</f>
        <v>0</v>
      </c>
      <c r="AG1986" s="55">
        <f>VLOOKUP($E1986,'NI-Soc_SP'!$C:$AN,MID(AG$1,1,2),FALSE)</f>
        <v>0</v>
      </c>
      <c r="AH1986" s="55">
        <f>VLOOKUP($E1986,'NI-Soc_SP'!$C:$AN,MID(AH$1,1,2),FALSE)</f>
        <v>0</v>
      </c>
      <c r="AI1986" s="55">
        <f>VLOOKUP($E1986,'NI-Soc_SP'!$C:$AN,MID(AI$1,1,2),FALSE)</f>
        <v>0</v>
      </c>
      <c r="AJ1986" s="55">
        <f>VLOOKUP($E1986,'NI-Soc_SP'!$C:$AN,MID(AJ$1,1,2),FALSE)</f>
        <v>0</v>
      </c>
      <c r="AK1986" s="55">
        <f>VLOOKUP($E1986,'NI-Soc_SP'!$C:$AN,MID(AK$1,1,2),FALSE)</f>
        <v>0</v>
      </c>
      <c r="AL1986" s="55">
        <f>VLOOKUP($E1986,'NI-Soc_SP'!$C:$AN,MID(AL$1,1,2),FALSE)</f>
        <v>0</v>
      </c>
      <c r="AM1986" s="56">
        <f>VLOOKUP($E1986,'NI-Soc_SP'!$C:$AN,MID(AM$1,1,2),FALSE)</f>
        <v>0</v>
      </c>
      <c r="AN1986" s="30" t="str">
        <f t="shared" ref="AN1986:AN2049" si="31">D1986</f>
        <v>60200000000000</v>
      </c>
    </row>
    <row r="1987" spans="1:40" x14ac:dyDescent="0.25">
      <c r="C1987" s="40"/>
      <c r="D1987" s="121" t="s">
        <v>2044</v>
      </c>
      <c r="E1987" s="121" t="s">
        <v>2045</v>
      </c>
      <c r="F1987" s="122" t="s">
        <v>2758</v>
      </c>
      <c r="G1987" s="52"/>
      <c r="H1987" s="52"/>
      <c r="I1987" s="52" t="s">
        <v>2046</v>
      </c>
      <c r="J1987" s="52"/>
      <c r="K1987" s="59" t="s">
        <v>79</v>
      </c>
      <c r="L1987" s="62" t="s">
        <v>2047</v>
      </c>
      <c r="M1987" s="52"/>
      <c r="N1987" s="52"/>
      <c r="O1987" s="52"/>
      <c r="P1987" s="63" t="s">
        <v>2048</v>
      </c>
      <c r="Q1987" s="55">
        <f>VLOOKUP(E1987,'NI-Soc_SP'!$C:$AN,12,FALSE)</f>
        <v>0</v>
      </c>
      <c r="R1987" s="55">
        <f>VLOOKUP(E1987,'NI-Soc_SP'!$C:$AN,13,FALSE)</f>
        <v>0</v>
      </c>
      <c r="S1987" s="55"/>
      <c r="T1987" s="55"/>
      <c r="U1987" s="55">
        <f>VLOOKUP($E1987,'NI-Soc_SP'!$C:$AN,MID(U$1,1,2),FALSE)</f>
        <v>0</v>
      </c>
      <c r="V1987" s="55">
        <f>VLOOKUP($E1987,'NI-Soc_SP'!$C:$AN,MID(V$1,1,2),FALSE)</f>
        <v>0</v>
      </c>
      <c r="W1987" s="55">
        <f>VLOOKUP($E1987,'NI-Soc_SP'!$C:$AN,MID(W$1,1,2),FALSE)</f>
        <v>0</v>
      </c>
      <c r="X1987" s="55">
        <f>VLOOKUP($E1987,'NI-Soc_SP'!$C:$AN,MID(X$1,1,2),FALSE)</f>
        <v>0</v>
      </c>
      <c r="Y1987" s="55">
        <f>VLOOKUP($E1987,'NI-Soc_SP'!$C:$AN,MID(Y$1,1,2),FALSE)</f>
        <v>0</v>
      </c>
      <c r="Z1987" s="55">
        <f>VLOOKUP($E1987,'NI-Soc_SP'!$C:$AN,MID(Z$1,1,2),FALSE)</f>
        <v>0</v>
      </c>
      <c r="AA1987" s="55">
        <f>VLOOKUP($E1987,'NI-Soc_SP'!$C:$AN,MID(AA$1,1,2),FALSE)</f>
        <v>0</v>
      </c>
      <c r="AB1987" s="55">
        <f>VLOOKUP($E1987,'NI-Soc_SP'!$C:$AN,MID(AB$1,1,2),FALSE)</f>
        <v>0</v>
      </c>
      <c r="AC1987" s="55">
        <f>VLOOKUP($E1987,'NI-Soc_SP'!$C:$AN,MID(AC$1,1,2),FALSE)</f>
        <v>0</v>
      </c>
      <c r="AD1987" s="55">
        <f>VLOOKUP($E1987,'NI-Soc_SP'!$C:$AN,MID(AD$1,1,2),FALSE)</f>
        <v>0</v>
      </c>
      <c r="AE1987" s="55">
        <f>VLOOKUP($E1987,'NI-Soc_SP'!$C:$AN,MID(AE$1,1,2),FALSE)</f>
        <v>0</v>
      </c>
      <c r="AF1987" s="55">
        <f>VLOOKUP($E1987,'NI-Soc_SP'!$C:$AN,MID(AF$1,1,2),FALSE)</f>
        <v>0</v>
      </c>
      <c r="AG1987" s="55">
        <f>VLOOKUP($E1987,'NI-Soc_SP'!$C:$AN,MID(AG$1,1,2),FALSE)</f>
        <v>0</v>
      </c>
      <c r="AH1987" s="55">
        <f>VLOOKUP($E1987,'NI-Soc_SP'!$C:$AN,MID(AH$1,1,2),FALSE)</f>
        <v>0</v>
      </c>
      <c r="AI1987" s="55">
        <f>VLOOKUP($E1987,'NI-Soc_SP'!$C:$AN,MID(AI$1,1,2),FALSE)</f>
        <v>0</v>
      </c>
      <c r="AJ1987" s="55">
        <f>VLOOKUP($E1987,'NI-Soc_SP'!$C:$AN,MID(AJ$1,1,2),FALSE)</f>
        <v>0</v>
      </c>
      <c r="AK1987" s="55">
        <f>VLOOKUP($E1987,'NI-Soc_SP'!$C:$AN,MID(AK$1,1,2),FALSE)</f>
        <v>0</v>
      </c>
      <c r="AL1987" s="55">
        <f>VLOOKUP($E1987,'NI-Soc_SP'!$C:$AN,MID(AL$1,1,2),FALSE)</f>
        <v>0</v>
      </c>
      <c r="AM1987" s="56">
        <f>VLOOKUP($E1987,'NI-Soc_SP'!$C:$AN,MID(AM$1,1,2),FALSE)</f>
        <v>0</v>
      </c>
      <c r="AN1987" s="30" t="str">
        <f t="shared" si="31"/>
        <v>60201000000000</v>
      </c>
    </row>
    <row r="1988" spans="1:40" x14ac:dyDescent="0.25">
      <c r="C1988" s="40"/>
      <c r="D1988" s="121" t="s">
        <v>2049</v>
      </c>
      <c r="E1988" s="121" t="s">
        <v>2050</v>
      </c>
      <c r="F1988" s="122" t="s">
        <v>2758</v>
      </c>
      <c r="G1988" s="52"/>
      <c r="H1988" s="52"/>
      <c r="I1988" s="52" t="s">
        <v>2051</v>
      </c>
      <c r="J1988" s="52"/>
      <c r="K1988" s="59" t="s">
        <v>79</v>
      </c>
      <c r="L1988" s="62" t="s">
        <v>2052</v>
      </c>
      <c r="M1988" s="52"/>
      <c r="N1988" s="52"/>
      <c r="O1988" s="52"/>
      <c r="P1988" s="63" t="s">
        <v>2053</v>
      </c>
      <c r="Q1988" s="55">
        <f>VLOOKUP(E1988,'NI-Soc_SP'!$C:$AN,12,FALSE)</f>
        <v>0</v>
      </c>
      <c r="R1988" s="55">
        <f>VLOOKUP(E1988,'NI-Soc_SP'!$C:$AN,13,FALSE)</f>
        <v>0</v>
      </c>
      <c r="S1988" s="55"/>
      <c r="T1988" s="55"/>
      <c r="U1988" s="55">
        <f>VLOOKUP($E1988,'NI-Soc_SP'!$C:$AN,MID(U$1,1,2),FALSE)</f>
        <v>0</v>
      </c>
      <c r="V1988" s="55">
        <f>VLOOKUP($E1988,'NI-Soc_SP'!$C:$AN,MID(V$1,1,2),FALSE)</f>
        <v>0</v>
      </c>
      <c r="W1988" s="55">
        <f>VLOOKUP($E1988,'NI-Soc_SP'!$C:$AN,MID(W$1,1,2),FALSE)</f>
        <v>0</v>
      </c>
      <c r="X1988" s="55">
        <f>VLOOKUP($E1988,'NI-Soc_SP'!$C:$AN,MID(X$1,1,2),FALSE)</f>
        <v>0</v>
      </c>
      <c r="Y1988" s="55">
        <f>VLOOKUP($E1988,'NI-Soc_SP'!$C:$AN,MID(Y$1,1,2),FALSE)</f>
        <v>0</v>
      </c>
      <c r="Z1988" s="55">
        <f>VLOOKUP($E1988,'NI-Soc_SP'!$C:$AN,MID(Z$1,1,2),FALSE)</f>
        <v>0</v>
      </c>
      <c r="AA1988" s="55">
        <f>VLOOKUP($E1988,'NI-Soc_SP'!$C:$AN,MID(AA$1,1,2),FALSE)</f>
        <v>0</v>
      </c>
      <c r="AB1988" s="55">
        <f>VLOOKUP($E1988,'NI-Soc_SP'!$C:$AN,MID(AB$1,1,2),FALSE)</f>
        <v>0</v>
      </c>
      <c r="AC1988" s="55">
        <f>VLOOKUP($E1988,'NI-Soc_SP'!$C:$AN,MID(AC$1,1,2),FALSE)</f>
        <v>0</v>
      </c>
      <c r="AD1988" s="55">
        <f>VLOOKUP($E1988,'NI-Soc_SP'!$C:$AN,MID(AD$1,1,2),FALSE)</f>
        <v>0</v>
      </c>
      <c r="AE1988" s="55">
        <f>VLOOKUP($E1988,'NI-Soc_SP'!$C:$AN,MID(AE$1,1,2),FALSE)</f>
        <v>0</v>
      </c>
      <c r="AF1988" s="55">
        <f>VLOOKUP($E1988,'NI-Soc_SP'!$C:$AN,MID(AF$1,1,2),FALSE)</f>
        <v>0</v>
      </c>
      <c r="AG1988" s="55">
        <f>VLOOKUP($E1988,'NI-Soc_SP'!$C:$AN,MID(AG$1,1,2),FALSE)</f>
        <v>0</v>
      </c>
      <c r="AH1988" s="55">
        <f>VLOOKUP($E1988,'NI-Soc_SP'!$C:$AN,MID(AH$1,1,2),FALSE)</f>
        <v>0</v>
      </c>
      <c r="AI1988" s="55">
        <f>VLOOKUP($E1988,'NI-Soc_SP'!$C:$AN,MID(AI$1,1,2),FALSE)</f>
        <v>0</v>
      </c>
      <c r="AJ1988" s="55">
        <f>VLOOKUP($E1988,'NI-Soc_SP'!$C:$AN,MID(AJ$1,1,2),FALSE)</f>
        <v>0</v>
      </c>
      <c r="AK1988" s="55">
        <f>VLOOKUP($E1988,'NI-Soc_SP'!$C:$AN,MID(AK$1,1,2),FALSE)</f>
        <v>0</v>
      </c>
      <c r="AL1988" s="55">
        <f>VLOOKUP($E1988,'NI-Soc_SP'!$C:$AN,MID(AL$1,1,2),FALSE)</f>
        <v>0</v>
      </c>
      <c r="AM1988" s="56">
        <f>VLOOKUP($E1988,'NI-Soc_SP'!$C:$AN,MID(AM$1,1,2),FALSE)</f>
        <v>0</v>
      </c>
      <c r="AN1988" s="30" t="str">
        <f t="shared" si="31"/>
        <v>60202000000000</v>
      </c>
    </row>
    <row r="1989" spans="1:40" x14ac:dyDescent="0.25">
      <c r="C1989" s="40"/>
      <c r="D1989" s="121" t="s">
        <v>2054</v>
      </c>
      <c r="E1989" s="121" t="s">
        <v>2055</v>
      </c>
      <c r="F1989" s="122" t="s">
        <v>2758</v>
      </c>
      <c r="G1989" s="52"/>
      <c r="H1989" s="52"/>
      <c r="I1989" s="52" t="s">
        <v>2056</v>
      </c>
      <c r="J1989" s="52"/>
      <c r="K1989" s="59" t="s">
        <v>79</v>
      </c>
      <c r="L1989" s="52" t="s">
        <v>2057</v>
      </c>
      <c r="M1989" s="52"/>
      <c r="N1989" s="52"/>
      <c r="O1989" s="52"/>
      <c r="P1989" s="76" t="s">
        <v>2058</v>
      </c>
      <c r="Q1989" s="55">
        <f>VLOOKUP(E1989,'NI-Soc_SP'!$C:$AN,12,FALSE)</f>
        <v>0</v>
      </c>
      <c r="R1989" s="55">
        <f>VLOOKUP(E1989,'NI-Soc_SP'!$C:$AN,13,FALSE)</f>
        <v>0</v>
      </c>
      <c r="S1989" s="55"/>
      <c r="T1989" s="55"/>
      <c r="U1989" s="55">
        <f>VLOOKUP($E1989,'NI-Soc_SP'!$C:$AN,MID(U$1,1,2),FALSE)</f>
        <v>0</v>
      </c>
      <c r="V1989" s="55">
        <f>VLOOKUP($E1989,'NI-Soc_SP'!$C:$AN,MID(V$1,1,2),FALSE)</f>
        <v>0</v>
      </c>
      <c r="W1989" s="55">
        <f>VLOOKUP($E1989,'NI-Soc_SP'!$C:$AN,MID(W$1,1,2),FALSE)</f>
        <v>0</v>
      </c>
      <c r="X1989" s="55">
        <f>VLOOKUP($E1989,'NI-Soc_SP'!$C:$AN,MID(X$1,1,2),FALSE)</f>
        <v>0</v>
      </c>
      <c r="Y1989" s="55">
        <f>VLOOKUP($E1989,'NI-Soc_SP'!$C:$AN,MID(Y$1,1,2),FALSE)</f>
        <v>0</v>
      </c>
      <c r="Z1989" s="55">
        <f>VLOOKUP($E1989,'NI-Soc_SP'!$C:$AN,MID(Z$1,1,2),FALSE)</f>
        <v>0</v>
      </c>
      <c r="AA1989" s="55">
        <f>VLOOKUP($E1989,'NI-Soc_SP'!$C:$AN,MID(AA$1,1,2),FALSE)</f>
        <v>0</v>
      </c>
      <c r="AB1989" s="55">
        <f>VLOOKUP($E1989,'NI-Soc_SP'!$C:$AN,MID(AB$1,1,2),FALSE)</f>
        <v>0</v>
      </c>
      <c r="AC1989" s="55">
        <f>VLOOKUP($E1989,'NI-Soc_SP'!$C:$AN,MID(AC$1,1,2),FALSE)</f>
        <v>0</v>
      </c>
      <c r="AD1989" s="55">
        <f>VLOOKUP($E1989,'NI-Soc_SP'!$C:$AN,MID(AD$1,1,2),FALSE)</f>
        <v>0</v>
      </c>
      <c r="AE1989" s="55">
        <f>VLOOKUP($E1989,'NI-Soc_SP'!$C:$AN,MID(AE$1,1,2),FALSE)</f>
        <v>0</v>
      </c>
      <c r="AF1989" s="55">
        <f>VLOOKUP($E1989,'NI-Soc_SP'!$C:$AN,MID(AF$1,1,2),FALSE)</f>
        <v>0</v>
      </c>
      <c r="AG1989" s="55">
        <f>VLOOKUP($E1989,'NI-Soc_SP'!$C:$AN,MID(AG$1,1,2),FALSE)</f>
        <v>0</v>
      </c>
      <c r="AH1989" s="55">
        <f>VLOOKUP($E1989,'NI-Soc_SP'!$C:$AN,MID(AH$1,1,2),FALSE)</f>
        <v>0</v>
      </c>
      <c r="AI1989" s="55">
        <f>VLOOKUP($E1989,'NI-Soc_SP'!$C:$AN,MID(AI$1,1,2),FALSE)</f>
        <v>0</v>
      </c>
      <c r="AJ1989" s="55">
        <f>VLOOKUP($E1989,'NI-Soc_SP'!$C:$AN,MID(AJ$1,1,2),FALSE)</f>
        <v>0</v>
      </c>
      <c r="AK1989" s="55">
        <f>VLOOKUP($E1989,'NI-Soc_SP'!$C:$AN,MID(AK$1,1,2),FALSE)</f>
        <v>0</v>
      </c>
      <c r="AL1989" s="55">
        <f>VLOOKUP($E1989,'NI-Soc_SP'!$C:$AN,MID(AL$1,1,2),FALSE)</f>
        <v>0</v>
      </c>
      <c r="AM1989" s="56">
        <f>VLOOKUP($E1989,'NI-Soc_SP'!$C:$AN,MID(AM$1,1,2),FALSE)</f>
        <v>0</v>
      </c>
      <c r="AN1989" s="30" t="str">
        <f t="shared" si="31"/>
        <v>60203000000000</v>
      </c>
    </row>
    <row r="1990" spans="1:40" x14ac:dyDescent="0.25">
      <c r="C1990" s="40"/>
      <c r="D1990" s="121" t="s">
        <v>2059</v>
      </c>
      <c r="E1990" s="121" t="s">
        <v>2060</v>
      </c>
      <c r="F1990" s="122" t="s">
        <v>2758</v>
      </c>
      <c r="G1990" s="52"/>
      <c r="H1990" s="52"/>
      <c r="I1990" s="52" t="s">
        <v>2061</v>
      </c>
      <c r="J1990" s="52"/>
      <c r="K1990" s="59" t="s">
        <v>79</v>
      </c>
      <c r="L1990" s="52" t="s">
        <v>2062</v>
      </c>
      <c r="M1990" s="52"/>
      <c r="N1990" s="52"/>
      <c r="O1990" s="52"/>
      <c r="P1990" s="76" t="s">
        <v>2063</v>
      </c>
      <c r="Q1990" s="55">
        <f>VLOOKUP(E1990,'NI-Soc_SP'!$C:$AN,12,FALSE)</f>
        <v>0</v>
      </c>
      <c r="R1990" s="55">
        <f>VLOOKUP(E1990,'NI-Soc_SP'!$C:$AN,13,FALSE)</f>
        <v>0</v>
      </c>
      <c r="S1990" s="55"/>
      <c r="T1990" s="55"/>
      <c r="U1990" s="55">
        <f>VLOOKUP($E1990,'NI-Soc_SP'!$C:$AN,MID(U$1,1,2),FALSE)</f>
        <v>0</v>
      </c>
      <c r="V1990" s="55">
        <f>VLOOKUP($E1990,'NI-Soc_SP'!$C:$AN,MID(V$1,1,2),FALSE)</f>
        <v>0</v>
      </c>
      <c r="W1990" s="55">
        <f>VLOOKUP($E1990,'NI-Soc_SP'!$C:$AN,MID(W$1,1,2),FALSE)</f>
        <v>0</v>
      </c>
      <c r="X1990" s="55">
        <f>VLOOKUP($E1990,'NI-Soc_SP'!$C:$AN,MID(X$1,1,2),FALSE)</f>
        <v>0</v>
      </c>
      <c r="Y1990" s="55">
        <f>VLOOKUP($E1990,'NI-Soc_SP'!$C:$AN,MID(Y$1,1,2),FALSE)</f>
        <v>0</v>
      </c>
      <c r="Z1990" s="55">
        <f>VLOOKUP($E1990,'NI-Soc_SP'!$C:$AN,MID(Z$1,1,2),FALSE)</f>
        <v>0</v>
      </c>
      <c r="AA1990" s="55">
        <f>VLOOKUP($E1990,'NI-Soc_SP'!$C:$AN,MID(AA$1,1,2),FALSE)</f>
        <v>0</v>
      </c>
      <c r="AB1990" s="55">
        <f>VLOOKUP($E1990,'NI-Soc_SP'!$C:$AN,MID(AB$1,1,2),FALSE)</f>
        <v>0</v>
      </c>
      <c r="AC1990" s="55">
        <f>VLOOKUP($E1990,'NI-Soc_SP'!$C:$AN,MID(AC$1,1,2),FALSE)</f>
        <v>0</v>
      </c>
      <c r="AD1990" s="55">
        <f>VLOOKUP($E1990,'NI-Soc_SP'!$C:$AN,MID(AD$1,1,2),FALSE)</f>
        <v>0</v>
      </c>
      <c r="AE1990" s="55">
        <f>VLOOKUP($E1990,'NI-Soc_SP'!$C:$AN,MID(AE$1,1,2),FALSE)</f>
        <v>0</v>
      </c>
      <c r="AF1990" s="55">
        <f>VLOOKUP($E1990,'NI-Soc_SP'!$C:$AN,MID(AF$1,1,2),FALSE)</f>
        <v>0</v>
      </c>
      <c r="AG1990" s="55">
        <f>VLOOKUP($E1990,'NI-Soc_SP'!$C:$AN,MID(AG$1,1,2),FALSE)</f>
        <v>0</v>
      </c>
      <c r="AH1990" s="55">
        <f>VLOOKUP($E1990,'NI-Soc_SP'!$C:$AN,MID(AH$1,1,2),FALSE)</f>
        <v>0</v>
      </c>
      <c r="AI1990" s="55">
        <f>VLOOKUP($E1990,'NI-Soc_SP'!$C:$AN,MID(AI$1,1,2),FALSE)</f>
        <v>0</v>
      </c>
      <c r="AJ1990" s="55">
        <f>VLOOKUP($E1990,'NI-Soc_SP'!$C:$AN,MID(AJ$1,1,2),FALSE)</f>
        <v>0</v>
      </c>
      <c r="AK1990" s="55">
        <f>VLOOKUP($E1990,'NI-Soc_SP'!$C:$AN,MID(AK$1,1,2),FALSE)</f>
        <v>0</v>
      </c>
      <c r="AL1990" s="55">
        <f>VLOOKUP($E1990,'NI-Soc_SP'!$C:$AN,MID(AL$1,1,2),FALSE)</f>
        <v>0</v>
      </c>
      <c r="AM1990" s="56">
        <f>VLOOKUP($E1990,'NI-Soc_SP'!$C:$AN,MID(AM$1,1,2),FALSE)</f>
        <v>0</v>
      </c>
      <c r="AN1990" s="30" t="str">
        <f t="shared" si="31"/>
        <v>60204000000000</v>
      </c>
    </row>
    <row r="1991" spans="1:40" x14ac:dyDescent="0.25">
      <c r="A1991" s="30" t="s">
        <v>1394</v>
      </c>
      <c r="C1991" s="40"/>
      <c r="D1991" s="87" t="s">
        <v>2064</v>
      </c>
      <c r="E1991" s="87" t="s">
        <v>2065</v>
      </c>
      <c r="F1991" s="122" t="s">
        <v>2758</v>
      </c>
      <c r="G1991" s="52"/>
      <c r="H1991" s="52"/>
      <c r="I1991" s="52"/>
      <c r="J1991" s="79" t="s">
        <v>2066</v>
      </c>
      <c r="K1991" s="59" t="s">
        <v>79</v>
      </c>
      <c r="L1991" s="81"/>
      <c r="M1991" s="52"/>
      <c r="N1991" s="52"/>
      <c r="O1991" s="52"/>
      <c r="P1991" s="76" t="s">
        <v>2067</v>
      </c>
      <c r="Q1991" s="55">
        <f>VLOOKUP(E1991,'NI-Soc_SP'!$C:$AN,12,FALSE)</f>
        <v>0</v>
      </c>
      <c r="R1991" s="55">
        <f>VLOOKUP(E1991,'NI-Soc_SP'!$C:$AN,13,FALSE)</f>
        <v>0</v>
      </c>
      <c r="S1991" s="55">
        <f>VLOOKUP(E1991,'NI-Soc_SP'!$C:$AN,31,FALSE)</f>
        <v>0</v>
      </c>
      <c r="T1991" s="55">
        <f>VLOOKUP(E1991,'NI-Soc_SP'!$C:$AN,32,FALSE)+VLOOKUP(E1991,'NI-Soc_SP'!$C:$AN,33,FALSE)</f>
        <v>0</v>
      </c>
      <c r="U1991" s="55">
        <f>VLOOKUP($E1991,'NI-Soc_SP'!$C:$AN,MID(U$1,1,2),FALSE)</f>
        <v>0</v>
      </c>
      <c r="V1991" s="55">
        <f>VLOOKUP($E1991,'NI-Soc_SP'!$C:$AN,MID(V$1,1,2),FALSE)</f>
        <v>0</v>
      </c>
      <c r="W1991" s="55">
        <f>VLOOKUP($E1991,'NI-Soc_SP'!$C:$AN,MID(W$1,1,2),FALSE)</f>
        <v>0</v>
      </c>
      <c r="X1991" s="55">
        <f>VLOOKUP($E1991,'NI-Soc_SP'!$C:$AN,MID(X$1,1,2),FALSE)</f>
        <v>0</v>
      </c>
      <c r="Y1991" s="55">
        <f>VLOOKUP($E1991,'NI-Soc_SP'!$C:$AN,MID(Y$1,1,2),FALSE)</f>
        <v>0</v>
      </c>
      <c r="Z1991" s="55">
        <f>VLOOKUP($E1991,'NI-Soc_SP'!$C:$AN,MID(Z$1,1,2),FALSE)</f>
        <v>0</v>
      </c>
      <c r="AA1991" s="55">
        <f>VLOOKUP($E1991,'NI-Soc_SP'!$C:$AN,MID(AA$1,1,2),FALSE)</f>
        <v>0</v>
      </c>
      <c r="AB1991" s="55">
        <f>VLOOKUP($E1991,'NI-Soc_SP'!$C:$AN,MID(AB$1,1,2),FALSE)</f>
        <v>0</v>
      </c>
      <c r="AC1991" s="55">
        <f>VLOOKUP($E1991,'NI-Soc_SP'!$C:$AN,MID(AC$1,1,2),FALSE)</f>
        <v>0</v>
      </c>
      <c r="AD1991" s="55">
        <f>VLOOKUP($E1991,'NI-Soc_SP'!$C:$AN,MID(AD$1,1,2),FALSE)</f>
        <v>0</v>
      </c>
      <c r="AE1991" s="55">
        <f>VLOOKUP($E1991,'NI-Soc_SP'!$C:$AN,MID(AE$1,1,2),FALSE)</f>
        <v>0</v>
      </c>
      <c r="AF1991" s="55">
        <f>VLOOKUP($E1991,'NI-Soc_SP'!$C:$AN,MID(AF$1,1,2),FALSE)</f>
        <v>0</v>
      </c>
      <c r="AG1991" s="55">
        <f>VLOOKUP($E1991,'NI-Soc_SP'!$C:$AN,MID(AG$1,1,2),FALSE)</f>
        <v>0</v>
      </c>
      <c r="AH1991" s="55">
        <f>VLOOKUP($E1991,'NI-Soc_SP'!$C:$AN,MID(AH$1,1,2),FALSE)</f>
        <v>0</v>
      </c>
      <c r="AI1991" s="55">
        <f>VLOOKUP($E1991,'NI-Soc_SP'!$C:$AN,MID(AI$1,1,2),FALSE)</f>
        <v>0</v>
      </c>
      <c r="AJ1991" s="55">
        <f>VLOOKUP($E1991,'NI-Soc_SP'!$C:$AN,MID(AJ$1,1,2),FALSE)</f>
        <v>0</v>
      </c>
      <c r="AK1991" s="55">
        <f>VLOOKUP($E1991,'NI-Soc_SP'!$C:$AN,MID(AK$1,1,2),FALSE)</f>
        <v>0</v>
      </c>
      <c r="AL1991" s="55">
        <f>VLOOKUP($E1991,'NI-Soc_SP'!$C:$AN,MID(AL$1,1,2),FALSE)</f>
        <v>0</v>
      </c>
      <c r="AM1991" s="56">
        <f>VLOOKUP($E1991,'NI-Soc_SP'!$C:$AN,MID(AM$1,1,2),FALSE)</f>
        <v>0</v>
      </c>
      <c r="AN1991" s="30" t="str">
        <f t="shared" si="31"/>
        <v>60205000000000</v>
      </c>
    </row>
    <row r="1992" spans="1:40" x14ac:dyDescent="0.25">
      <c r="A1992" s="30" t="s">
        <v>1394</v>
      </c>
      <c r="C1992" s="40"/>
      <c r="D1992" s="87" t="s">
        <v>2068</v>
      </c>
      <c r="E1992" s="87" t="s">
        <v>2069</v>
      </c>
      <c r="F1992" s="122" t="s">
        <v>2758</v>
      </c>
      <c r="G1992" s="52"/>
      <c r="H1992" s="52"/>
      <c r="I1992" s="52"/>
      <c r="J1992" s="79" t="s">
        <v>2070</v>
      </c>
      <c r="K1992" s="59" t="s">
        <v>79</v>
      </c>
      <c r="L1992" s="81"/>
      <c r="M1992" s="52"/>
      <c r="N1992" s="52"/>
      <c r="O1992" s="52"/>
      <c r="P1992" s="76" t="s">
        <v>2071</v>
      </c>
      <c r="Q1992" s="55">
        <f>VLOOKUP(E1992,'NI-Soc_SP'!$C:$AN,12,FALSE)</f>
        <v>0</v>
      </c>
      <c r="R1992" s="55">
        <f>VLOOKUP(E1992,'NI-Soc_SP'!$C:$AN,13,FALSE)</f>
        <v>0</v>
      </c>
      <c r="S1992" s="55">
        <f>VLOOKUP(E1992,'NI-Soc_SP'!$C:$AN,31,FALSE)</f>
        <v>0</v>
      </c>
      <c r="T1992" s="55">
        <f>VLOOKUP(E1992,'NI-Soc_SP'!$C:$AN,32,FALSE)+VLOOKUP(E1992,'NI-Soc_SP'!$C:$AN,33,FALSE)</f>
        <v>0</v>
      </c>
      <c r="U1992" s="55">
        <f>VLOOKUP($E1992,'NI-Soc_SP'!$C:$AN,MID(U$1,1,2),FALSE)</f>
        <v>0</v>
      </c>
      <c r="V1992" s="55">
        <f>VLOOKUP($E1992,'NI-Soc_SP'!$C:$AN,MID(V$1,1,2),FALSE)</f>
        <v>0</v>
      </c>
      <c r="W1992" s="55">
        <f>VLOOKUP($E1992,'NI-Soc_SP'!$C:$AN,MID(W$1,1,2),FALSE)</f>
        <v>0</v>
      </c>
      <c r="X1992" s="55">
        <f>VLOOKUP($E1992,'NI-Soc_SP'!$C:$AN,MID(X$1,1,2),FALSE)</f>
        <v>0</v>
      </c>
      <c r="Y1992" s="55">
        <f>VLOOKUP($E1992,'NI-Soc_SP'!$C:$AN,MID(Y$1,1,2),FALSE)</f>
        <v>0</v>
      </c>
      <c r="Z1992" s="55">
        <f>VLOOKUP($E1992,'NI-Soc_SP'!$C:$AN,MID(Z$1,1,2),FALSE)</f>
        <v>0</v>
      </c>
      <c r="AA1992" s="55">
        <f>VLOOKUP($E1992,'NI-Soc_SP'!$C:$AN,MID(AA$1,1,2),FALSE)</f>
        <v>0</v>
      </c>
      <c r="AB1992" s="55">
        <f>VLOOKUP($E1992,'NI-Soc_SP'!$C:$AN,MID(AB$1,1,2),FALSE)</f>
        <v>0</v>
      </c>
      <c r="AC1992" s="55">
        <f>VLOOKUP($E1992,'NI-Soc_SP'!$C:$AN,MID(AC$1,1,2),FALSE)</f>
        <v>0</v>
      </c>
      <c r="AD1992" s="55">
        <f>VLOOKUP($E1992,'NI-Soc_SP'!$C:$AN,MID(AD$1,1,2),FALSE)</f>
        <v>0</v>
      </c>
      <c r="AE1992" s="55">
        <f>VLOOKUP($E1992,'NI-Soc_SP'!$C:$AN,MID(AE$1,1,2),FALSE)</f>
        <v>0</v>
      </c>
      <c r="AF1992" s="55">
        <f>VLOOKUP($E1992,'NI-Soc_SP'!$C:$AN,MID(AF$1,1,2),FALSE)</f>
        <v>0</v>
      </c>
      <c r="AG1992" s="55">
        <f>VLOOKUP($E1992,'NI-Soc_SP'!$C:$AN,MID(AG$1,1,2),FALSE)</f>
        <v>0</v>
      </c>
      <c r="AH1992" s="55">
        <f>VLOOKUP($E1992,'NI-Soc_SP'!$C:$AN,MID(AH$1,1,2),FALSE)</f>
        <v>0</v>
      </c>
      <c r="AI1992" s="55">
        <f>VLOOKUP($E1992,'NI-Soc_SP'!$C:$AN,MID(AI$1,1,2),FALSE)</f>
        <v>0</v>
      </c>
      <c r="AJ1992" s="55">
        <f>VLOOKUP($E1992,'NI-Soc_SP'!$C:$AN,MID(AJ$1,1,2),FALSE)</f>
        <v>0</v>
      </c>
      <c r="AK1992" s="55">
        <f>VLOOKUP($E1992,'NI-Soc_SP'!$C:$AN,MID(AK$1,1,2),FALSE)</f>
        <v>0</v>
      </c>
      <c r="AL1992" s="55">
        <f>VLOOKUP($E1992,'NI-Soc_SP'!$C:$AN,MID(AL$1,1,2),FALSE)</f>
        <v>0</v>
      </c>
      <c r="AM1992" s="56">
        <f>VLOOKUP($E1992,'NI-Soc_SP'!$C:$AN,MID(AM$1,1,2),FALSE)</f>
        <v>0</v>
      </c>
      <c r="AN1992" s="30" t="str">
        <f t="shared" si="31"/>
        <v>60206000000000</v>
      </c>
    </row>
    <row r="1993" spans="1:40" x14ac:dyDescent="0.25">
      <c r="C1993" s="40"/>
      <c r="D1993" s="121" t="s">
        <v>2072</v>
      </c>
      <c r="E1993" s="121" t="s">
        <v>2073</v>
      </c>
      <c r="F1993" s="122" t="s">
        <v>2758</v>
      </c>
      <c r="G1993" s="52"/>
      <c r="H1993" s="52"/>
      <c r="I1993" s="52" t="s">
        <v>2074</v>
      </c>
      <c r="J1993" s="52"/>
      <c r="K1993" s="59" t="s">
        <v>79</v>
      </c>
      <c r="L1993" s="52" t="s">
        <v>2075</v>
      </c>
      <c r="M1993" s="52"/>
      <c r="N1993" s="52"/>
      <c r="O1993" s="52"/>
      <c r="P1993" s="76" t="s">
        <v>2076</v>
      </c>
      <c r="Q1993" s="55">
        <f>VLOOKUP(E1993,'NI-Soc_SP'!$C:$AN,12,FALSE)</f>
        <v>0</v>
      </c>
      <c r="R1993" s="55">
        <f>VLOOKUP(E1993,'NI-Soc_SP'!$C:$AN,13,FALSE)</f>
        <v>0</v>
      </c>
      <c r="S1993" s="55"/>
      <c r="T1993" s="55"/>
      <c r="U1993" s="55">
        <f>VLOOKUP($E1993,'NI-Soc_SP'!$C:$AN,MID(U$1,1,2),FALSE)</f>
        <v>0</v>
      </c>
      <c r="V1993" s="55">
        <f>VLOOKUP($E1993,'NI-Soc_SP'!$C:$AN,MID(V$1,1,2),FALSE)</f>
        <v>0</v>
      </c>
      <c r="W1993" s="55">
        <f>VLOOKUP($E1993,'NI-Soc_SP'!$C:$AN,MID(W$1,1,2),FALSE)</f>
        <v>0</v>
      </c>
      <c r="X1993" s="55">
        <f>VLOOKUP($E1993,'NI-Soc_SP'!$C:$AN,MID(X$1,1,2),FALSE)</f>
        <v>0</v>
      </c>
      <c r="Y1993" s="55">
        <f>VLOOKUP($E1993,'NI-Soc_SP'!$C:$AN,MID(Y$1,1,2),FALSE)</f>
        <v>0</v>
      </c>
      <c r="Z1993" s="55">
        <f>VLOOKUP($E1993,'NI-Soc_SP'!$C:$AN,MID(Z$1,1,2),FALSE)</f>
        <v>0</v>
      </c>
      <c r="AA1993" s="55">
        <f>VLOOKUP($E1993,'NI-Soc_SP'!$C:$AN,MID(AA$1,1,2),FALSE)</f>
        <v>0</v>
      </c>
      <c r="AB1993" s="55">
        <f>VLOOKUP($E1993,'NI-Soc_SP'!$C:$AN,MID(AB$1,1,2),FALSE)</f>
        <v>0</v>
      </c>
      <c r="AC1993" s="55">
        <f>VLOOKUP($E1993,'NI-Soc_SP'!$C:$AN,MID(AC$1,1,2),FALSE)</f>
        <v>0</v>
      </c>
      <c r="AD1993" s="55">
        <f>VLOOKUP($E1993,'NI-Soc_SP'!$C:$AN,MID(AD$1,1,2),FALSE)</f>
        <v>0</v>
      </c>
      <c r="AE1993" s="55">
        <f>VLOOKUP($E1993,'NI-Soc_SP'!$C:$AN,MID(AE$1,1,2),FALSE)</f>
        <v>0</v>
      </c>
      <c r="AF1993" s="55">
        <f>VLOOKUP($E1993,'NI-Soc_SP'!$C:$AN,MID(AF$1,1,2),FALSE)</f>
        <v>0</v>
      </c>
      <c r="AG1993" s="55">
        <f>VLOOKUP($E1993,'NI-Soc_SP'!$C:$AN,MID(AG$1,1,2),FALSE)</f>
        <v>0</v>
      </c>
      <c r="AH1993" s="55">
        <f>VLOOKUP($E1993,'NI-Soc_SP'!$C:$AN,MID(AH$1,1,2),FALSE)</f>
        <v>0</v>
      </c>
      <c r="AI1993" s="55">
        <f>VLOOKUP($E1993,'NI-Soc_SP'!$C:$AN,MID(AI$1,1,2),FALSE)</f>
        <v>0</v>
      </c>
      <c r="AJ1993" s="55">
        <f>VLOOKUP($E1993,'NI-Soc_SP'!$C:$AN,MID(AJ$1,1,2),FALSE)</f>
        <v>0</v>
      </c>
      <c r="AK1993" s="55">
        <f>VLOOKUP($E1993,'NI-Soc_SP'!$C:$AN,MID(AK$1,1,2),FALSE)</f>
        <v>0</v>
      </c>
      <c r="AL1993" s="55">
        <f>VLOOKUP($E1993,'NI-Soc_SP'!$C:$AN,MID(AL$1,1,2),FALSE)</f>
        <v>0</v>
      </c>
      <c r="AM1993" s="56">
        <f>VLOOKUP($E1993,'NI-Soc_SP'!$C:$AN,MID(AM$1,1,2),FALSE)</f>
        <v>0</v>
      </c>
      <c r="AN1993" s="30" t="str">
        <f t="shared" si="31"/>
        <v>60207000000000</v>
      </c>
    </row>
    <row r="1994" spans="1:40" x14ac:dyDescent="0.25">
      <c r="C1994" s="40"/>
      <c r="D1994" s="121" t="s">
        <v>2077</v>
      </c>
      <c r="E1994" s="121" t="s">
        <v>2078</v>
      </c>
      <c r="F1994" s="122" t="s">
        <v>2758</v>
      </c>
      <c r="G1994" s="52"/>
      <c r="H1994" s="52"/>
      <c r="I1994" s="52"/>
      <c r="J1994" s="52"/>
      <c r="K1994" s="59" t="s">
        <v>111</v>
      </c>
      <c r="L1994" s="52"/>
      <c r="M1994" s="52"/>
      <c r="N1994" s="52"/>
      <c r="O1994" s="61" t="s">
        <v>2079</v>
      </c>
      <c r="P1994" s="76" t="s">
        <v>2080</v>
      </c>
      <c r="Q1994" s="55">
        <f>VLOOKUP(E1994,'NI-Soc_SP'!$C:$AN,12,FALSE)</f>
        <v>0</v>
      </c>
      <c r="R1994" s="55">
        <f>VLOOKUP(E1994,'NI-Soc_SP'!$C:$AN,13,FALSE)</f>
        <v>0</v>
      </c>
      <c r="S1994" s="55"/>
      <c r="T1994" s="55"/>
      <c r="U1994" s="55">
        <f>VLOOKUP($E1994,'NI-Soc_SP'!$C:$AN,MID(U$1,1,2),FALSE)</f>
        <v>0</v>
      </c>
      <c r="V1994" s="55">
        <f>VLOOKUP($E1994,'NI-Soc_SP'!$C:$AN,MID(V$1,1,2),FALSE)</f>
        <v>0</v>
      </c>
      <c r="W1994" s="55">
        <f>VLOOKUP($E1994,'NI-Soc_SP'!$C:$AN,MID(W$1,1,2),FALSE)</f>
        <v>0</v>
      </c>
      <c r="X1994" s="55">
        <f>VLOOKUP($E1994,'NI-Soc_SP'!$C:$AN,MID(X$1,1,2),FALSE)</f>
        <v>0</v>
      </c>
      <c r="Y1994" s="55">
        <f>VLOOKUP($E1994,'NI-Soc_SP'!$C:$AN,MID(Y$1,1,2),FALSE)</f>
        <v>0</v>
      </c>
      <c r="Z1994" s="55">
        <f>VLOOKUP($E1994,'NI-Soc_SP'!$C:$AN,MID(Z$1,1,2),FALSE)</f>
        <v>0</v>
      </c>
      <c r="AA1994" s="55">
        <f>VLOOKUP($E1994,'NI-Soc_SP'!$C:$AN,MID(AA$1,1,2),FALSE)</f>
        <v>0</v>
      </c>
      <c r="AB1994" s="55">
        <f>VLOOKUP($E1994,'NI-Soc_SP'!$C:$AN,MID(AB$1,1,2),FALSE)</f>
        <v>0</v>
      </c>
      <c r="AC1994" s="55">
        <f>VLOOKUP($E1994,'NI-Soc_SP'!$C:$AN,MID(AC$1,1,2),FALSE)</f>
        <v>0</v>
      </c>
      <c r="AD1994" s="55">
        <f>VLOOKUP($E1994,'NI-Soc_SP'!$C:$AN,MID(AD$1,1,2),FALSE)</f>
        <v>0</v>
      </c>
      <c r="AE1994" s="55">
        <f>VLOOKUP($E1994,'NI-Soc_SP'!$C:$AN,MID(AE$1,1,2),FALSE)</f>
        <v>0</v>
      </c>
      <c r="AF1994" s="55">
        <f>VLOOKUP($E1994,'NI-Soc_SP'!$C:$AN,MID(AF$1,1,2),FALSE)</f>
        <v>0</v>
      </c>
      <c r="AG1994" s="55">
        <f>VLOOKUP($E1994,'NI-Soc_SP'!$C:$AN,MID(AG$1,1,2),FALSE)</f>
        <v>0</v>
      </c>
      <c r="AH1994" s="55">
        <f>VLOOKUP($E1994,'NI-Soc_SP'!$C:$AN,MID(AH$1,1,2),FALSE)</f>
        <v>0</v>
      </c>
      <c r="AI1994" s="55">
        <f>VLOOKUP($E1994,'NI-Soc_SP'!$C:$AN,MID(AI$1,1,2),FALSE)</f>
        <v>0</v>
      </c>
      <c r="AJ1994" s="55">
        <f>VLOOKUP($E1994,'NI-Soc_SP'!$C:$AN,MID(AJ$1,1,2),FALSE)</f>
        <v>0</v>
      </c>
      <c r="AK1994" s="55">
        <f>VLOOKUP($E1994,'NI-Soc_SP'!$C:$AN,MID(AK$1,1,2),FALSE)</f>
        <v>0</v>
      </c>
      <c r="AL1994" s="55">
        <f>VLOOKUP($E1994,'NI-Soc_SP'!$C:$AN,MID(AL$1,1,2),FALSE)</f>
        <v>0</v>
      </c>
      <c r="AM1994" s="56">
        <f>VLOOKUP($E1994,'NI-Soc_SP'!$C:$AN,MID(AM$1,1,2),FALSE)</f>
        <v>0</v>
      </c>
      <c r="AN1994" s="30" t="str">
        <f t="shared" si="31"/>
        <v>60300000000000</v>
      </c>
    </row>
    <row r="1995" spans="1:40" x14ac:dyDescent="0.25">
      <c r="C1995" s="40"/>
      <c r="D1995" s="121" t="s">
        <v>2081</v>
      </c>
      <c r="E1995" s="121" t="s">
        <v>2082</v>
      </c>
      <c r="F1995" s="122" t="s">
        <v>2758</v>
      </c>
      <c r="G1995" s="52"/>
      <c r="H1995" s="52"/>
      <c r="I1995" s="52" t="s">
        <v>2083</v>
      </c>
      <c r="J1995" s="52"/>
      <c r="K1995" s="59" t="s">
        <v>79</v>
      </c>
      <c r="L1995" s="52" t="s">
        <v>2084</v>
      </c>
      <c r="M1995" s="52"/>
      <c r="N1995" s="52"/>
      <c r="O1995" s="52"/>
      <c r="P1995" s="76" t="s">
        <v>2085</v>
      </c>
      <c r="Q1995" s="55">
        <f>VLOOKUP(E1995,'NI-Soc_SP'!$C:$AN,12,FALSE)</f>
        <v>0</v>
      </c>
      <c r="R1995" s="55">
        <f>VLOOKUP(E1995,'NI-Soc_SP'!$C:$AN,13,FALSE)</f>
        <v>0</v>
      </c>
      <c r="S1995" s="55"/>
      <c r="T1995" s="55"/>
      <c r="U1995" s="55">
        <f>VLOOKUP($E1995,'NI-Soc_SP'!$C:$AN,MID(U$1,1,2),FALSE)</f>
        <v>0</v>
      </c>
      <c r="V1995" s="55">
        <f>VLOOKUP($E1995,'NI-Soc_SP'!$C:$AN,MID(V$1,1,2),FALSE)</f>
        <v>0</v>
      </c>
      <c r="W1995" s="55">
        <f>VLOOKUP($E1995,'NI-Soc_SP'!$C:$AN,MID(W$1,1,2),FALSE)</f>
        <v>0</v>
      </c>
      <c r="X1995" s="55">
        <f>VLOOKUP($E1995,'NI-Soc_SP'!$C:$AN,MID(X$1,1,2),FALSE)</f>
        <v>0</v>
      </c>
      <c r="Y1995" s="55">
        <f>VLOOKUP($E1995,'NI-Soc_SP'!$C:$AN,MID(Y$1,1,2),FALSE)</f>
        <v>0</v>
      </c>
      <c r="Z1995" s="55">
        <f>VLOOKUP($E1995,'NI-Soc_SP'!$C:$AN,MID(Z$1,1,2),FALSE)</f>
        <v>0</v>
      </c>
      <c r="AA1995" s="55">
        <f>VLOOKUP($E1995,'NI-Soc_SP'!$C:$AN,MID(AA$1,1,2),FALSE)</f>
        <v>0</v>
      </c>
      <c r="AB1995" s="55">
        <f>VLOOKUP($E1995,'NI-Soc_SP'!$C:$AN,MID(AB$1,1,2),FALSE)</f>
        <v>0</v>
      </c>
      <c r="AC1995" s="55">
        <f>VLOOKUP($E1995,'NI-Soc_SP'!$C:$AN,MID(AC$1,1,2),FALSE)</f>
        <v>0</v>
      </c>
      <c r="AD1995" s="55" t="str">
        <f>VLOOKUP($E1995,'NI-Soc_SP'!$C:$AN,MID(AD$1,1,2),FALSE)</f>
        <v>DA NASCONDERE</v>
      </c>
      <c r="AE1995" s="55">
        <f>VLOOKUP($E1995,'NI-Soc_SP'!$C:$AN,MID(AE$1,1,2),FALSE)</f>
        <v>0</v>
      </c>
      <c r="AF1995" s="55">
        <f>VLOOKUP($E1995,'NI-Soc_SP'!$C:$AN,MID(AF$1,1,2),FALSE)</f>
        <v>0</v>
      </c>
      <c r="AG1995" s="55">
        <f>VLOOKUP($E1995,'NI-Soc_SP'!$C:$AN,MID(AG$1,1,2),FALSE)</f>
        <v>0</v>
      </c>
      <c r="AH1995" s="55">
        <f>VLOOKUP($E1995,'NI-Soc_SP'!$C:$AN,MID(AH$1,1,2),FALSE)</f>
        <v>0</v>
      </c>
      <c r="AI1995" s="55">
        <f>VLOOKUP($E1995,'NI-Soc_SP'!$C:$AN,MID(AI$1,1,2),FALSE)</f>
        <v>0</v>
      </c>
      <c r="AJ1995" s="55">
        <f>VLOOKUP($E1995,'NI-Soc_SP'!$C:$AN,MID(AJ$1,1,2),FALSE)</f>
        <v>0</v>
      </c>
      <c r="AK1995" s="55">
        <f>VLOOKUP($E1995,'NI-Soc_SP'!$C:$AN,MID(AK$1,1,2),FALSE)</f>
        <v>0</v>
      </c>
      <c r="AL1995" s="55">
        <f>VLOOKUP($E1995,'NI-Soc_SP'!$C:$AN,MID(AL$1,1,2),FALSE)</f>
        <v>0</v>
      </c>
      <c r="AM1995" s="56">
        <f>VLOOKUP($E1995,'NI-Soc_SP'!$C:$AN,MID(AM$1,1,2),FALSE)</f>
        <v>0</v>
      </c>
      <c r="AN1995" s="30" t="str">
        <f t="shared" si="31"/>
        <v>60301000000000</v>
      </c>
    </row>
    <row r="1996" spans="1:40" x14ac:dyDescent="0.25">
      <c r="C1996" s="40"/>
      <c r="D1996" s="121" t="s">
        <v>2086</v>
      </c>
      <c r="E1996" s="121" t="s">
        <v>2087</v>
      </c>
      <c r="F1996" s="122" t="s">
        <v>2758</v>
      </c>
      <c r="G1996" s="52"/>
      <c r="H1996" s="52"/>
      <c r="I1996" s="52" t="s">
        <v>2088</v>
      </c>
      <c r="J1996" s="52"/>
      <c r="K1996" s="59" t="s">
        <v>79</v>
      </c>
      <c r="L1996" s="62" t="s">
        <v>2089</v>
      </c>
      <c r="M1996" s="52"/>
      <c r="N1996" s="52"/>
      <c r="O1996" s="52"/>
      <c r="P1996" s="63" t="s">
        <v>2090</v>
      </c>
      <c r="Q1996" s="55">
        <f>VLOOKUP(E1996,'NI-Soc_SP'!$C:$AN,12,FALSE)</f>
        <v>0</v>
      </c>
      <c r="R1996" s="55">
        <f>VLOOKUP(E1996,'NI-Soc_SP'!$C:$AN,13,FALSE)</f>
        <v>0</v>
      </c>
      <c r="S1996" s="55"/>
      <c r="T1996" s="55"/>
      <c r="U1996" s="55">
        <f>VLOOKUP($E1996,'NI-Soc_SP'!$C:$AN,MID(U$1,1,2),FALSE)</f>
        <v>0</v>
      </c>
      <c r="V1996" s="55">
        <f>VLOOKUP($E1996,'NI-Soc_SP'!$C:$AN,MID(V$1,1,2),FALSE)</f>
        <v>0</v>
      </c>
      <c r="W1996" s="55">
        <f>VLOOKUP($E1996,'NI-Soc_SP'!$C:$AN,MID(W$1,1,2),FALSE)</f>
        <v>0</v>
      </c>
      <c r="X1996" s="55">
        <f>VLOOKUP($E1996,'NI-Soc_SP'!$C:$AN,MID(X$1,1,2),FALSE)</f>
        <v>0</v>
      </c>
      <c r="Y1996" s="55">
        <f>VLOOKUP($E1996,'NI-Soc_SP'!$C:$AN,MID(Y$1,1,2),FALSE)</f>
        <v>0</v>
      </c>
      <c r="Z1996" s="55">
        <f>VLOOKUP($E1996,'NI-Soc_SP'!$C:$AN,MID(Z$1,1,2),FALSE)</f>
        <v>0</v>
      </c>
      <c r="AA1996" s="55">
        <f>VLOOKUP($E1996,'NI-Soc_SP'!$C:$AN,MID(AA$1,1,2),FALSE)</f>
        <v>0</v>
      </c>
      <c r="AB1996" s="55">
        <f>VLOOKUP($E1996,'NI-Soc_SP'!$C:$AN,MID(AB$1,1,2),FALSE)</f>
        <v>0</v>
      </c>
      <c r="AC1996" s="55">
        <f>VLOOKUP($E1996,'NI-Soc_SP'!$C:$AN,MID(AC$1,1,2),FALSE)</f>
        <v>0</v>
      </c>
      <c r="AD1996" s="55" t="str">
        <f>VLOOKUP($E1996,'NI-Soc_SP'!$C:$AN,MID(AD$1,1,2),FALSE)</f>
        <v>USO REGIONE</v>
      </c>
      <c r="AE1996" s="55">
        <f>VLOOKUP($E1996,'NI-Soc_SP'!$C:$AN,MID(AE$1,1,2),FALSE)</f>
        <v>0</v>
      </c>
      <c r="AF1996" s="55">
        <f>VLOOKUP($E1996,'NI-Soc_SP'!$C:$AN,MID(AF$1,1,2),FALSE)</f>
        <v>0</v>
      </c>
      <c r="AG1996" s="55">
        <f>VLOOKUP($E1996,'NI-Soc_SP'!$C:$AN,MID(AG$1,1,2),FALSE)</f>
        <v>0</v>
      </c>
      <c r="AH1996" s="55">
        <f>VLOOKUP($E1996,'NI-Soc_SP'!$C:$AN,MID(AH$1,1,2),FALSE)</f>
        <v>0</v>
      </c>
      <c r="AI1996" s="55">
        <f>VLOOKUP($E1996,'NI-Soc_SP'!$C:$AN,MID(AI$1,1,2),FALSE)</f>
        <v>0</v>
      </c>
      <c r="AJ1996" s="55">
        <f>VLOOKUP($E1996,'NI-Soc_SP'!$C:$AN,MID(AJ$1,1,2),FALSE)</f>
        <v>0</v>
      </c>
      <c r="AK1996" s="55">
        <f>VLOOKUP($E1996,'NI-Soc_SP'!$C:$AN,MID(AK$1,1,2),FALSE)</f>
        <v>0</v>
      </c>
      <c r="AL1996" s="55">
        <f>VLOOKUP($E1996,'NI-Soc_SP'!$C:$AN,MID(AL$1,1,2),FALSE)</f>
        <v>0</v>
      </c>
      <c r="AM1996" s="56">
        <f>VLOOKUP($E1996,'NI-Soc_SP'!$C:$AN,MID(AM$1,1,2),FALSE)</f>
        <v>0</v>
      </c>
      <c r="AN1996" s="30" t="str">
        <f t="shared" si="31"/>
        <v>60302000000000</v>
      </c>
    </row>
    <row r="1997" spans="1:40" x14ac:dyDescent="0.25">
      <c r="C1997" s="40"/>
      <c r="D1997" s="121" t="s">
        <v>2091</v>
      </c>
      <c r="E1997" s="121" t="s">
        <v>2092</v>
      </c>
      <c r="F1997" s="122" t="s">
        <v>2758</v>
      </c>
      <c r="G1997" s="52"/>
      <c r="H1997" s="52"/>
      <c r="I1997" s="52" t="s">
        <v>2093</v>
      </c>
      <c r="J1997" s="52"/>
      <c r="K1997" s="59" t="s">
        <v>79</v>
      </c>
      <c r="L1997" s="52" t="s">
        <v>2094</v>
      </c>
      <c r="M1997" s="52"/>
      <c r="N1997" s="52"/>
      <c r="O1997" s="52"/>
      <c r="P1997" s="60" t="s">
        <v>2095</v>
      </c>
      <c r="Q1997" s="55">
        <f>VLOOKUP(E1997,'NI-Soc_SP'!$C:$AN,12,FALSE)</f>
        <v>0</v>
      </c>
      <c r="R1997" s="55">
        <f>VLOOKUP(E1997,'NI-Soc_SP'!$C:$AN,13,FALSE)</f>
        <v>0</v>
      </c>
      <c r="S1997" s="55"/>
      <c r="T1997" s="55"/>
      <c r="U1997" s="55">
        <f>VLOOKUP($E1997,'NI-Soc_SP'!$C:$AN,MID(U$1,1,2),FALSE)</f>
        <v>0</v>
      </c>
      <c r="V1997" s="55">
        <f>VLOOKUP($E1997,'NI-Soc_SP'!$C:$AN,MID(V$1,1,2),FALSE)</f>
        <v>0</v>
      </c>
      <c r="W1997" s="55">
        <f>VLOOKUP($E1997,'NI-Soc_SP'!$C:$AN,MID(W$1,1,2),FALSE)</f>
        <v>0</v>
      </c>
      <c r="X1997" s="55">
        <f>VLOOKUP($E1997,'NI-Soc_SP'!$C:$AN,MID(X$1,1,2),FALSE)</f>
        <v>0</v>
      </c>
      <c r="Y1997" s="55">
        <f>VLOOKUP($E1997,'NI-Soc_SP'!$C:$AN,MID(Y$1,1,2),FALSE)</f>
        <v>0</v>
      </c>
      <c r="Z1997" s="55">
        <f>VLOOKUP($E1997,'NI-Soc_SP'!$C:$AN,MID(Z$1,1,2),FALSE)</f>
        <v>0</v>
      </c>
      <c r="AA1997" s="55">
        <f>VLOOKUP($E1997,'NI-Soc_SP'!$C:$AN,MID(AA$1,1,2),FALSE)</f>
        <v>0</v>
      </c>
      <c r="AB1997" s="55">
        <f>VLOOKUP($E1997,'NI-Soc_SP'!$C:$AN,MID(AB$1,1,2),FALSE)</f>
        <v>0</v>
      </c>
      <c r="AC1997" s="55">
        <f>VLOOKUP($E1997,'NI-Soc_SP'!$C:$AN,MID(AC$1,1,2),FALSE)</f>
        <v>0</v>
      </c>
      <c r="AD1997" s="55">
        <f>VLOOKUP($E1997,'NI-Soc_SP'!$C:$AN,MID(AD$1,1,2),FALSE)</f>
        <v>0</v>
      </c>
      <c r="AE1997" s="55">
        <f>VLOOKUP($E1997,'NI-Soc_SP'!$C:$AN,MID(AE$1,1,2),FALSE)</f>
        <v>0</v>
      </c>
      <c r="AF1997" s="55">
        <f>VLOOKUP($E1997,'NI-Soc_SP'!$C:$AN,MID(AF$1,1,2),FALSE)</f>
        <v>0</v>
      </c>
      <c r="AG1997" s="55">
        <f>VLOOKUP($E1997,'NI-Soc_SP'!$C:$AN,MID(AG$1,1,2),FALSE)</f>
        <v>0</v>
      </c>
      <c r="AH1997" s="55">
        <f>VLOOKUP($E1997,'NI-Soc_SP'!$C:$AN,MID(AH$1,1,2),FALSE)</f>
        <v>0</v>
      </c>
      <c r="AI1997" s="55">
        <f>VLOOKUP($E1997,'NI-Soc_SP'!$C:$AN,MID(AI$1,1,2),FALSE)</f>
        <v>0</v>
      </c>
      <c r="AJ1997" s="55">
        <f>VLOOKUP($E1997,'NI-Soc_SP'!$C:$AN,MID(AJ$1,1,2),FALSE)</f>
        <v>0</v>
      </c>
      <c r="AK1997" s="55">
        <f>VLOOKUP($E1997,'NI-Soc_SP'!$C:$AN,MID(AK$1,1,2),FALSE)</f>
        <v>0</v>
      </c>
      <c r="AL1997" s="55">
        <f>VLOOKUP($E1997,'NI-Soc_SP'!$C:$AN,MID(AL$1,1,2),FALSE)</f>
        <v>0</v>
      </c>
      <c r="AM1997" s="56">
        <f>VLOOKUP($E1997,'NI-Soc_SP'!$C:$AN,MID(AM$1,1,2),FALSE)</f>
        <v>0</v>
      </c>
      <c r="AN1997" s="30" t="str">
        <f t="shared" si="31"/>
        <v>60303000000000</v>
      </c>
    </row>
    <row r="1998" spans="1:40" x14ac:dyDescent="0.25">
      <c r="C1998" s="40"/>
      <c r="D1998" s="121" t="s">
        <v>2096</v>
      </c>
      <c r="E1998" s="121" t="s">
        <v>2097</v>
      </c>
      <c r="F1998" s="122" t="s">
        <v>2758</v>
      </c>
      <c r="G1998" s="52"/>
      <c r="H1998" s="52"/>
      <c r="I1998" s="52" t="s">
        <v>2098</v>
      </c>
      <c r="J1998" s="52"/>
      <c r="K1998" s="59" t="s">
        <v>79</v>
      </c>
      <c r="L1998" s="62" t="s">
        <v>2099</v>
      </c>
      <c r="M1998" s="52"/>
      <c r="N1998" s="52"/>
      <c r="O1998" s="52"/>
      <c r="P1998" s="111" t="s">
        <v>2100</v>
      </c>
      <c r="Q1998" s="55">
        <f>VLOOKUP(E1998,'NI-Soc_SP'!$C:$AN,12,FALSE)</f>
        <v>0</v>
      </c>
      <c r="R1998" s="55">
        <f>VLOOKUP(E1998,'NI-Soc_SP'!$C:$AN,13,FALSE)</f>
        <v>0</v>
      </c>
      <c r="S1998" s="55"/>
      <c r="T1998" s="55"/>
      <c r="U1998" s="55">
        <f>VLOOKUP($E1998,'NI-Soc_SP'!$C:$AN,MID(U$1,1,2),FALSE)</f>
        <v>0</v>
      </c>
      <c r="V1998" s="55">
        <f>VLOOKUP($E1998,'NI-Soc_SP'!$C:$AN,MID(V$1,1,2),FALSE)</f>
        <v>0</v>
      </c>
      <c r="W1998" s="55">
        <f>VLOOKUP($E1998,'NI-Soc_SP'!$C:$AN,MID(W$1,1,2),FALSE)</f>
        <v>0</v>
      </c>
      <c r="X1998" s="55">
        <f>VLOOKUP($E1998,'NI-Soc_SP'!$C:$AN,MID(X$1,1,2),FALSE)</f>
        <v>0</v>
      </c>
      <c r="Y1998" s="55">
        <f>VLOOKUP($E1998,'NI-Soc_SP'!$C:$AN,MID(Y$1,1,2),FALSE)</f>
        <v>0</v>
      </c>
      <c r="Z1998" s="55">
        <f>VLOOKUP($E1998,'NI-Soc_SP'!$C:$AN,MID(Z$1,1,2),FALSE)</f>
        <v>0</v>
      </c>
      <c r="AA1998" s="55">
        <f>VLOOKUP($E1998,'NI-Soc_SP'!$C:$AN,MID(AA$1,1,2),FALSE)</f>
        <v>0</v>
      </c>
      <c r="AB1998" s="55">
        <f>VLOOKUP($E1998,'NI-Soc_SP'!$C:$AN,MID(AB$1,1,2),FALSE)</f>
        <v>0</v>
      </c>
      <c r="AC1998" s="55">
        <f>VLOOKUP($E1998,'NI-Soc_SP'!$C:$AN,MID(AC$1,1,2),FALSE)</f>
        <v>0</v>
      </c>
      <c r="AD1998" s="55">
        <f>VLOOKUP($E1998,'NI-Soc_SP'!$C:$AN,MID(AD$1,1,2),FALSE)</f>
        <v>0</v>
      </c>
      <c r="AE1998" s="55">
        <f>VLOOKUP($E1998,'NI-Soc_SP'!$C:$AN,MID(AE$1,1,2),FALSE)</f>
        <v>0</v>
      </c>
      <c r="AF1998" s="55">
        <f>VLOOKUP($E1998,'NI-Soc_SP'!$C:$AN,MID(AF$1,1,2),FALSE)</f>
        <v>0</v>
      </c>
      <c r="AG1998" s="55">
        <f>VLOOKUP($E1998,'NI-Soc_SP'!$C:$AN,MID(AG$1,1,2),FALSE)</f>
        <v>0</v>
      </c>
      <c r="AH1998" s="55">
        <f>VLOOKUP($E1998,'NI-Soc_SP'!$C:$AN,MID(AH$1,1,2),FALSE)</f>
        <v>0</v>
      </c>
      <c r="AI1998" s="55">
        <f>VLOOKUP($E1998,'NI-Soc_SP'!$C:$AN,MID(AI$1,1,2),FALSE)</f>
        <v>0</v>
      </c>
      <c r="AJ1998" s="55">
        <f>VLOOKUP($E1998,'NI-Soc_SP'!$C:$AN,MID(AJ$1,1,2),FALSE)</f>
        <v>0</v>
      </c>
      <c r="AK1998" s="55">
        <f>VLOOKUP($E1998,'NI-Soc_SP'!$C:$AN,MID(AK$1,1,2),FALSE)</f>
        <v>0</v>
      </c>
      <c r="AL1998" s="55">
        <f>VLOOKUP($E1998,'NI-Soc_SP'!$C:$AN,MID(AL$1,1,2),FALSE)</f>
        <v>0</v>
      </c>
      <c r="AM1998" s="56">
        <f>VLOOKUP($E1998,'NI-Soc_SP'!$C:$AN,MID(AM$1,1,2),FALSE)</f>
        <v>0</v>
      </c>
      <c r="AN1998" s="30" t="str">
        <f t="shared" si="31"/>
        <v>60304000000000</v>
      </c>
    </row>
    <row r="1999" spans="1:40" x14ac:dyDescent="0.25">
      <c r="C1999" s="40"/>
      <c r="D1999" s="121" t="s">
        <v>2101</v>
      </c>
      <c r="E1999" s="121" t="s">
        <v>2102</v>
      </c>
      <c r="F1999" s="122" t="s">
        <v>2758</v>
      </c>
      <c r="G1999" s="52"/>
      <c r="H1999" s="52"/>
      <c r="I1999" s="52" t="s">
        <v>2103</v>
      </c>
      <c r="J1999" s="52"/>
      <c r="K1999" s="59" t="s">
        <v>79</v>
      </c>
      <c r="L1999" s="52" t="s">
        <v>2104</v>
      </c>
      <c r="M1999" s="52"/>
      <c r="N1999" s="52"/>
      <c r="O1999" s="52"/>
      <c r="P1999" s="112" t="s">
        <v>2105</v>
      </c>
      <c r="Q1999" s="55">
        <f>VLOOKUP(E1999,'NI-Soc_SP'!$C:$AN,12,FALSE)</f>
        <v>0</v>
      </c>
      <c r="R1999" s="55">
        <f>VLOOKUP(E1999,'NI-Soc_SP'!$C:$AN,13,FALSE)</f>
        <v>0</v>
      </c>
      <c r="S1999" s="55"/>
      <c r="T1999" s="55"/>
      <c r="U1999" s="55">
        <f>VLOOKUP($E1999,'NI-Soc_SP'!$C:$AN,MID(U$1,1,2),FALSE)</f>
        <v>0</v>
      </c>
      <c r="V1999" s="55">
        <f>VLOOKUP($E1999,'NI-Soc_SP'!$C:$AN,MID(V$1,1,2),FALSE)</f>
        <v>0</v>
      </c>
      <c r="W1999" s="55">
        <f>VLOOKUP($E1999,'NI-Soc_SP'!$C:$AN,MID(W$1,1,2),FALSE)</f>
        <v>0</v>
      </c>
      <c r="X1999" s="55">
        <f>VLOOKUP($E1999,'NI-Soc_SP'!$C:$AN,MID(X$1,1,2),FALSE)</f>
        <v>0</v>
      </c>
      <c r="Y1999" s="55">
        <f>VLOOKUP($E1999,'NI-Soc_SP'!$C:$AN,MID(Y$1,1,2),FALSE)</f>
        <v>0</v>
      </c>
      <c r="Z1999" s="55">
        <f>VLOOKUP($E1999,'NI-Soc_SP'!$C:$AN,MID(Z$1,1,2),FALSE)</f>
        <v>0</v>
      </c>
      <c r="AA1999" s="55">
        <f>VLOOKUP($E1999,'NI-Soc_SP'!$C:$AN,MID(AA$1,1,2),FALSE)</f>
        <v>0</v>
      </c>
      <c r="AB1999" s="55">
        <f>VLOOKUP($E1999,'NI-Soc_SP'!$C:$AN,MID(AB$1,1,2),FALSE)</f>
        <v>0</v>
      </c>
      <c r="AC1999" s="55">
        <f>VLOOKUP($E1999,'NI-Soc_SP'!$C:$AN,MID(AC$1,1,2),FALSE)</f>
        <v>0</v>
      </c>
      <c r="AD1999" s="55">
        <f>VLOOKUP($E1999,'NI-Soc_SP'!$C:$AN,MID(AD$1,1,2),FALSE)</f>
        <v>0</v>
      </c>
      <c r="AE1999" s="55">
        <f>VLOOKUP($E1999,'NI-Soc_SP'!$C:$AN,MID(AE$1,1,2),FALSE)</f>
        <v>0</v>
      </c>
      <c r="AF1999" s="55">
        <f>VLOOKUP($E1999,'NI-Soc_SP'!$C:$AN,MID(AF$1,1,2),FALSE)</f>
        <v>0</v>
      </c>
      <c r="AG1999" s="55">
        <f>VLOOKUP($E1999,'NI-Soc_SP'!$C:$AN,MID(AG$1,1,2),FALSE)</f>
        <v>0</v>
      </c>
      <c r="AH1999" s="55">
        <f>VLOOKUP($E1999,'NI-Soc_SP'!$C:$AN,MID(AH$1,1,2),FALSE)</f>
        <v>0</v>
      </c>
      <c r="AI1999" s="55">
        <f>VLOOKUP($E1999,'NI-Soc_SP'!$C:$AN,MID(AI$1,1,2),FALSE)</f>
        <v>0</v>
      </c>
      <c r="AJ1999" s="55">
        <f>VLOOKUP($E1999,'NI-Soc_SP'!$C:$AN,MID(AJ$1,1,2),FALSE)</f>
        <v>0</v>
      </c>
      <c r="AK1999" s="55">
        <f>VLOOKUP($E1999,'NI-Soc_SP'!$C:$AN,MID(AK$1,1,2),FALSE)</f>
        <v>0</v>
      </c>
      <c r="AL1999" s="55">
        <f>VLOOKUP($E1999,'NI-Soc_SP'!$C:$AN,MID(AL$1,1,2),FALSE)</f>
        <v>0</v>
      </c>
      <c r="AM1999" s="56">
        <f>VLOOKUP($E1999,'NI-Soc_SP'!$C:$AN,MID(AM$1,1,2),FALSE)</f>
        <v>0</v>
      </c>
      <c r="AN1999" s="30" t="str">
        <f t="shared" si="31"/>
        <v>60305000000000</v>
      </c>
    </row>
    <row r="2000" spans="1:40" x14ac:dyDescent="0.25">
      <c r="C2000" s="40"/>
      <c r="D2000" s="121" t="s">
        <v>2106</v>
      </c>
      <c r="E2000" s="121" t="s">
        <v>2107</v>
      </c>
      <c r="F2000" s="122" t="s">
        <v>2758</v>
      </c>
      <c r="G2000" s="52"/>
      <c r="H2000" s="52"/>
      <c r="I2000" s="52" t="s">
        <v>2108</v>
      </c>
      <c r="J2000" s="52"/>
      <c r="K2000" s="59" t="s">
        <v>79</v>
      </c>
      <c r="L2000" s="52" t="s">
        <v>2109</v>
      </c>
      <c r="M2000" s="52"/>
      <c r="N2000" s="52"/>
      <c r="O2000" s="52"/>
      <c r="P2000" s="112" t="s">
        <v>2110</v>
      </c>
      <c r="Q2000" s="55">
        <f>VLOOKUP(E2000,'NI-Soc_SP'!$C:$AN,12,FALSE)</f>
        <v>0</v>
      </c>
      <c r="R2000" s="55">
        <f>VLOOKUP(E2000,'NI-Soc_SP'!$C:$AN,13,FALSE)</f>
        <v>0</v>
      </c>
      <c r="S2000" s="55"/>
      <c r="T2000" s="55"/>
      <c r="U2000" s="55">
        <f>VLOOKUP($E2000,'NI-Soc_SP'!$C:$AN,MID(U$1,1,2),FALSE)</f>
        <v>0</v>
      </c>
      <c r="V2000" s="55">
        <f>VLOOKUP($E2000,'NI-Soc_SP'!$C:$AN,MID(V$1,1,2),FALSE)</f>
        <v>0</v>
      </c>
      <c r="W2000" s="55">
        <f>VLOOKUP($E2000,'NI-Soc_SP'!$C:$AN,MID(W$1,1,2),FALSE)</f>
        <v>0</v>
      </c>
      <c r="X2000" s="55">
        <f>VLOOKUP($E2000,'NI-Soc_SP'!$C:$AN,MID(X$1,1,2),FALSE)</f>
        <v>0</v>
      </c>
      <c r="Y2000" s="55">
        <f>VLOOKUP($E2000,'NI-Soc_SP'!$C:$AN,MID(Y$1,1,2),FALSE)</f>
        <v>0</v>
      </c>
      <c r="Z2000" s="55">
        <f>VLOOKUP($E2000,'NI-Soc_SP'!$C:$AN,MID(Z$1,1,2),FALSE)</f>
        <v>0</v>
      </c>
      <c r="AA2000" s="55">
        <f>VLOOKUP($E2000,'NI-Soc_SP'!$C:$AN,MID(AA$1,1,2),FALSE)</f>
        <v>0</v>
      </c>
      <c r="AB2000" s="55">
        <f>VLOOKUP($E2000,'NI-Soc_SP'!$C:$AN,MID(AB$1,1,2),FALSE)</f>
        <v>0</v>
      </c>
      <c r="AC2000" s="55">
        <f>VLOOKUP($E2000,'NI-Soc_SP'!$C:$AN,MID(AC$1,1,2),FALSE)</f>
        <v>0</v>
      </c>
      <c r="AD2000" s="55">
        <f>VLOOKUP($E2000,'NI-Soc_SP'!$C:$AN,MID(AD$1,1,2),FALSE)</f>
        <v>0</v>
      </c>
      <c r="AE2000" s="55">
        <f>VLOOKUP($E2000,'NI-Soc_SP'!$C:$AN,MID(AE$1,1,2),FALSE)</f>
        <v>0</v>
      </c>
      <c r="AF2000" s="55">
        <f>VLOOKUP($E2000,'NI-Soc_SP'!$C:$AN,MID(AF$1,1,2),FALSE)</f>
        <v>0</v>
      </c>
      <c r="AG2000" s="55">
        <f>VLOOKUP($E2000,'NI-Soc_SP'!$C:$AN,MID(AG$1,1,2),FALSE)</f>
        <v>0</v>
      </c>
      <c r="AH2000" s="55">
        <f>VLOOKUP($E2000,'NI-Soc_SP'!$C:$AN,MID(AH$1,1,2),FALSE)</f>
        <v>0</v>
      </c>
      <c r="AI2000" s="55">
        <f>VLOOKUP($E2000,'NI-Soc_SP'!$C:$AN,MID(AI$1,1,2),FALSE)</f>
        <v>0</v>
      </c>
      <c r="AJ2000" s="55">
        <f>VLOOKUP($E2000,'NI-Soc_SP'!$C:$AN,MID(AJ$1,1,2),FALSE)</f>
        <v>0</v>
      </c>
      <c r="AK2000" s="55">
        <f>VLOOKUP($E2000,'NI-Soc_SP'!$C:$AN,MID(AK$1,1,2),FALSE)</f>
        <v>0</v>
      </c>
      <c r="AL2000" s="55">
        <f>VLOOKUP($E2000,'NI-Soc_SP'!$C:$AN,MID(AL$1,1,2),FALSE)</f>
        <v>0</v>
      </c>
      <c r="AM2000" s="56">
        <f>VLOOKUP($E2000,'NI-Soc_SP'!$C:$AN,MID(AM$1,1,2),FALSE)</f>
        <v>0</v>
      </c>
      <c r="AN2000" s="30" t="str">
        <f t="shared" si="31"/>
        <v>60306000000000</v>
      </c>
    </row>
    <row r="2001" spans="1:40" x14ac:dyDescent="0.25">
      <c r="C2001" s="40"/>
      <c r="D2001" s="121" t="s">
        <v>2111</v>
      </c>
      <c r="E2001" s="121" t="s">
        <v>2112</v>
      </c>
      <c r="F2001" s="122" t="s">
        <v>2758</v>
      </c>
      <c r="G2001" s="52"/>
      <c r="H2001" s="52"/>
      <c r="I2001" s="52" t="s">
        <v>2113</v>
      </c>
      <c r="J2001" s="52"/>
      <c r="K2001" s="59" t="s">
        <v>79</v>
      </c>
      <c r="L2001" s="62" t="s">
        <v>2114</v>
      </c>
      <c r="M2001" s="52"/>
      <c r="N2001" s="52"/>
      <c r="O2001" s="52"/>
      <c r="P2001" s="111" t="s">
        <v>2115</v>
      </c>
      <c r="Q2001" s="55">
        <f>VLOOKUP(E2001,'NI-Soc_SP'!$C:$AN,12,FALSE)</f>
        <v>0</v>
      </c>
      <c r="R2001" s="55">
        <f>VLOOKUP(E2001,'NI-Soc_SP'!$C:$AN,13,FALSE)</f>
        <v>0</v>
      </c>
      <c r="S2001" s="55"/>
      <c r="T2001" s="55"/>
      <c r="U2001" s="55">
        <f>VLOOKUP($E2001,'NI-Soc_SP'!$C:$AN,MID(U$1,1,2),FALSE)</f>
        <v>0</v>
      </c>
      <c r="V2001" s="55">
        <f>VLOOKUP($E2001,'NI-Soc_SP'!$C:$AN,MID(V$1,1,2),FALSE)</f>
        <v>0</v>
      </c>
      <c r="W2001" s="55">
        <f>VLOOKUP($E2001,'NI-Soc_SP'!$C:$AN,MID(W$1,1,2),FALSE)</f>
        <v>0</v>
      </c>
      <c r="X2001" s="55">
        <f>VLOOKUP($E2001,'NI-Soc_SP'!$C:$AN,MID(X$1,1,2),FALSE)</f>
        <v>0</v>
      </c>
      <c r="Y2001" s="55">
        <f>VLOOKUP($E2001,'NI-Soc_SP'!$C:$AN,MID(Y$1,1,2),FALSE)</f>
        <v>0</v>
      </c>
      <c r="Z2001" s="55">
        <f>VLOOKUP($E2001,'NI-Soc_SP'!$C:$AN,MID(Z$1,1,2),FALSE)</f>
        <v>0</v>
      </c>
      <c r="AA2001" s="55">
        <f>VLOOKUP($E2001,'NI-Soc_SP'!$C:$AN,MID(AA$1,1,2),FALSE)</f>
        <v>0</v>
      </c>
      <c r="AB2001" s="55">
        <f>VLOOKUP($E2001,'NI-Soc_SP'!$C:$AN,MID(AB$1,1,2),FALSE)</f>
        <v>0</v>
      </c>
      <c r="AC2001" s="55">
        <f>VLOOKUP($E2001,'NI-Soc_SP'!$C:$AN,MID(AC$1,1,2),FALSE)</f>
        <v>0</v>
      </c>
      <c r="AD2001" s="55">
        <f>VLOOKUP($E2001,'NI-Soc_SP'!$C:$AN,MID(AD$1,1,2),FALSE)</f>
        <v>0</v>
      </c>
      <c r="AE2001" s="55">
        <f>VLOOKUP($E2001,'NI-Soc_SP'!$C:$AN,MID(AE$1,1,2),FALSE)</f>
        <v>0</v>
      </c>
      <c r="AF2001" s="55">
        <f>VLOOKUP($E2001,'NI-Soc_SP'!$C:$AN,MID(AF$1,1,2),FALSE)</f>
        <v>0</v>
      </c>
      <c r="AG2001" s="55">
        <f>VLOOKUP($E2001,'NI-Soc_SP'!$C:$AN,MID(AG$1,1,2),FALSE)</f>
        <v>0</v>
      </c>
      <c r="AH2001" s="55">
        <f>VLOOKUP($E2001,'NI-Soc_SP'!$C:$AN,MID(AH$1,1,2),FALSE)</f>
        <v>0</v>
      </c>
      <c r="AI2001" s="55">
        <f>VLOOKUP($E2001,'NI-Soc_SP'!$C:$AN,MID(AI$1,1,2),FALSE)</f>
        <v>0</v>
      </c>
      <c r="AJ2001" s="55">
        <f>VLOOKUP($E2001,'NI-Soc_SP'!$C:$AN,MID(AJ$1,1,2),FALSE)</f>
        <v>0</v>
      </c>
      <c r="AK2001" s="55">
        <f>VLOOKUP($E2001,'NI-Soc_SP'!$C:$AN,MID(AK$1,1,2),FALSE)</f>
        <v>0</v>
      </c>
      <c r="AL2001" s="55">
        <f>VLOOKUP($E2001,'NI-Soc_SP'!$C:$AN,MID(AL$1,1,2),FALSE)</f>
        <v>0</v>
      </c>
      <c r="AM2001" s="56">
        <f>VLOOKUP($E2001,'NI-Soc_SP'!$C:$AN,MID(AM$1,1,2),FALSE)</f>
        <v>0</v>
      </c>
      <c r="AN2001" s="30" t="str">
        <f t="shared" si="31"/>
        <v>60307000000000</v>
      </c>
    </row>
    <row r="2002" spans="1:40" ht="27" x14ac:dyDescent="0.25">
      <c r="A2002" s="30" t="s">
        <v>1394</v>
      </c>
      <c r="C2002" s="40"/>
      <c r="D2002" s="87" t="s">
        <v>2117</v>
      </c>
      <c r="E2002" s="87" t="s">
        <v>2118</v>
      </c>
      <c r="F2002" s="122" t="s">
        <v>2758</v>
      </c>
      <c r="H2002" s="52"/>
      <c r="I2002" s="52"/>
      <c r="J2002" s="79" t="s">
        <v>2119</v>
      </c>
      <c r="K2002" s="59" t="s">
        <v>2120</v>
      </c>
      <c r="L2002" s="81"/>
      <c r="M2002" s="52"/>
      <c r="N2002" s="52"/>
      <c r="O2002" s="52"/>
      <c r="P2002" s="76" t="s">
        <v>2121</v>
      </c>
      <c r="Q2002" s="55">
        <f>VLOOKUP(E2002,'NI-Soc_SP'!$C:$AN,12,FALSE)</f>
        <v>0</v>
      </c>
      <c r="R2002" s="55">
        <f>VLOOKUP(E2002,'NI-Soc_SP'!$C:$AN,13,FALSE)</f>
        <v>0</v>
      </c>
      <c r="S2002" s="55">
        <f>VLOOKUP(E2002,'NI-Soc_SP'!$C:$AN,31,FALSE)</f>
        <v>0</v>
      </c>
      <c r="T2002" s="55">
        <f>VLOOKUP(E2002,'NI-Soc_SP'!$C:$AN,32,FALSE)+VLOOKUP(E2002,'NI-Soc_SP'!$C:$AN,33,FALSE)</f>
        <v>0</v>
      </c>
      <c r="U2002" s="55">
        <f>VLOOKUP($E2002,'NI-Soc_SP'!$C:$AN,MID(U$1,1,2),FALSE)</f>
        <v>0</v>
      </c>
      <c r="V2002" s="55">
        <f>VLOOKUP($E2002,'NI-Soc_SP'!$C:$AN,MID(V$1,1,2),FALSE)</f>
        <v>0</v>
      </c>
      <c r="W2002" s="55">
        <f>VLOOKUP($E2002,'NI-Soc_SP'!$C:$AN,MID(W$1,1,2),FALSE)</f>
        <v>0</v>
      </c>
      <c r="X2002" s="55">
        <f>VLOOKUP($E2002,'NI-Soc_SP'!$C:$AN,MID(X$1,1,2),FALSE)</f>
        <v>0</v>
      </c>
      <c r="Y2002" s="55">
        <f>VLOOKUP($E2002,'NI-Soc_SP'!$C:$AN,MID(Y$1,1,2),FALSE)</f>
        <v>0</v>
      </c>
      <c r="Z2002" s="55">
        <f>VLOOKUP($E2002,'NI-Soc_SP'!$C:$AN,MID(Z$1,1,2),FALSE)</f>
        <v>0</v>
      </c>
      <c r="AA2002" s="55">
        <f>VLOOKUP($E2002,'NI-Soc_SP'!$C:$AN,MID(AA$1,1,2),FALSE)</f>
        <v>0</v>
      </c>
      <c r="AB2002" s="55">
        <f>VLOOKUP($E2002,'NI-Soc_SP'!$C:$AN,MID(AB$1,1,2),FALSE)</f>
        <v>0</v>
      </c>
      <c r="AC2002" s="55">
        <f>VLOOKUP($E2002,'NI-Soc_SP'!$C:$AN,MID(AC$1,1,2),FALSE)</f>
        <v>0</v>
      </c>
      <c r="AD2002" s="55">
        <f>VLOOKUP($E2002,'NI-Soc_SP'!$C:$AN,MID(AD$1,1,2),FALSE)</f>
        <v>0</v>
      </c>
      <c r="AE2002" s="55">
        <f>VLOOKUP($E2002,'NI-Soc_SP'!$C:$AN,MID(AE$1,1,2),FALSE)</f>
        <v>0</v>
      </c>
      <c r="AF2002" s="55">
        <f>VLOOKUP($E2002,'NI-Soc_SP'!$C:$AN,MID(AF$1,1,2),FALSE)</f>
        <v>0</v>
      </c>
      <c r="AG2002" s="55">
        <f>VLOOKUP($E2002,'NI-Soc_SP'!$C:$AN,MID(AG$1,1,2),FALSE)</f>
        <v>0</v>
      </c>
      <c r="AH2002" s="55">
        <f>VLOOKUP($E2002,'NI-Soc_SP'!$C:$AN,MID(AH$1,1,2),FALSE)</f>
        <v>0</v>
      </c>
      <c r="AI2002" s="55">
        <f>VLOOKUP($E2002,'NI-Soc_SP'!$C:$AN,MID(AI$1,1,2),FALSE)</f>
        <v>0</v>
      </c>
      <c r="AJ2002" s="55">
        <f>VLOOKUP($E2002,'NI-Soc_SP'!$C:$AN,MID(AJ$1,1,2),FALSE)</f>
        <v>0</v>
      </c>
      <c r="AK2002" s="55">
        <f>VLOOKUP($E2002,'NI-Soc_SP'!$C:$AN,MID(AK$1,1,2),FALSE)</f>
        <v>0</v>
      </c>
      <c r="AL2002" s="55">
        <f>VLOOKUP($E2002,'NI-Soc_SP'!$C:$AN,MID(AL$1,1,2),FALSE)</f>
        <v>0</v>
      </c>
      <c r="AM2002" s="56">
        <f>VLOOKUP($E2002,'NI-Soc_SP'!$C:$AN,MID(AM$1,1,2),FALSE)</f>
        <v>0</v>
      </c>
      <c r="AN2002" s="30" t="str">
        <f t="shared" si="31"/>
        <v>60308000000000</v>
      </c>
    </row>
    <row r="2003" spans="1:40" x14ac:dyDescent="0.25">
      <c r="C2003" s="40"/>
      <c r="D2003" s="121" t="s">
        <v>2122</v>
      </c>
      <c r="E2003" s="121" t="s">
        <v>2123</v>
      </c>
      <c r="F2003" s="122" t="s">
        <v>2758</v>
      </c>
      <c r="G2003" s="52"/>
      <c r="H2003" s="52"/>
      <c r="I2003" s="52"/>
      <c r="J2003" s="52"/>
      <c r="K2003" s="59" t="s">
        <v>111</v>
      </c>
      <c r="L2003" s="52"/>
      <c r="M2003" s="52"/>
      <c r="N2003" s="52"/>
      <c r="O2003" s="61" t="s">
        <v>2124</v>
      </c>
      <c r="P2003" s="113" t="s">
        <v>2125</v>
      </c>
      <c r="Q2003" s="55">
        <f>VLOOKUP(E2003,'NI-Soc_SP'!$C:$AN,12,FALSE)</f>
        <v>0</v>
      </c>
      <c r="R2003" s="55">
        <f>VLOOKUP(E2003,'NI-Soc_SP'!$C:$AN,13,FALSE)</f>
        <v>0</v>
      </c>
      <c r="S2003" s="55"/>
      <c r="T2003" s="55"/>
      <c r="U2003" s="55">
        <f>VLOOKUP($E2003,'NI-Soc_SP'!$C:$AN,MID(U$1,1,2),FALSE)</f>
        <v>0</v>
      </c>
      <c r="V2003" s="55">
        <f>VLOOKUP($E2003,'NI-Soc_SP'!$C:$AN,MID(V$1,1,2),FALSE)</f>
        <v>0</v>
      </c>
      <c r="W2003" s="55">
        <f>VLOOKUP($E2003,'NI-Soc_SP'!$C:$AN,MID(W$1,1,2),FALSE)</f>
        <v>0</v>
      </c>
      <c r="X2003" s="55">
        <f>VLOOKUP($E2003,'NI-Soc_SP'!$C:$AN,MID(X$1,1,2),FALSE)</f>
        <v>0</v>
      </c>
      <c r="Y2003" s="55">
        <f>VLOOKUP($E2003,'NI-Soc_SP'!$C:$AN,MID(Y$1,1,2),FALSE)</f>
        <v>0</v>
      </c>
      <c r="Z2003" s="55">
        <f>VLOOKUP($E2003,'NI-Soc_SP'!$C:$AN,MID(Z$1,1,2),FALSE)</f>
        <v>0</v>
      </c>
      <c r="AA2003" s="55">
        <f>VLOOKUP($E2003,'NI-Soc_SP'!$C:$AN,MID(AA$1,1,2),FALSE)</f>
        <v>0</v>
      </c>
      <c r="AB2003" s="55">
        <f>VLOOKUP($E2003,'NI-Soc_SP'!$C:$AN,MID(AB$1,1,2),FALSE)</f>
        <v>0</v>
      </c>
      <c r="AC2003" s="55">
        <f>VLOOKUP($E2003,'NI-Soc_SP'!$C:$AN,MID(AC$1,1,2),FALSE)</f>
        <v>0</v>
      </c>
      <c r="AD2003" s="55">
        <f>VLOOKUP($E2003,'NI-Soc_SP'!$C:$AN,MID(AD$1,1,2),FALSE)</f>
        <v>0</v>
      </c>
      <c r="AE2003" s="55">
        <f>VLOOKUP($E2003,'NI-Soc_SP'!$C:$AN,MID(AE$1,1,2),FALSE)</f>
        <v>0</v>
      </c>
      <c r="AF2003" s="55">
        <f>VLOOKUP($E2003,'NI-Soc_SP'!$C:$AN,MID(AF$1,1,2),FALSE)</f>
        <v>0</v>
      </c>
      <c r="AG2003" s="55">
        <f>VLOOKUP($E2003,'NI-Soc_SP'!$C:$AN,MID(AG$1,1,2),FALSE)</f>
        <v>0</v>
      </c>
      <c r="AH2003" s="55">
        <f>VLOOKUP($E2003,'NI-Soc_SP'!$C:$AN,MID(AH$1,1,2),FALSE)</f>
        <v>0</v>
      </c>
      <c r="AI2003" s="55">
        <f>VLOOKUP($E2003,'NI-Soc_SP'!$C:$AN,MID(AI$1,1,2),FALSE)</f>
        <v>0</v>
      </c>
      <c r="AJ2003" s="55">
        <f>VLOOKUP($E2003,'NI-Soc_SP'!$C:$AN,MID(AJ$1,1,2),FALSE)</f>
        <v>0</v>
      </c>
      <c r="AK2003" s="55">
        <f>VLOOKUP($E2003,'NI-Soc_SP'!$C:$AN,MID(AK$1,1,2),FALSE)</f>
        <v>0</v>
      </c>
      <c r="AL2003" s="55">
        <f>VLOOKUP($E2003,'NI-Soc_SP'!$C:$AN,MID(AL$1,1,2),FALSE)</f>
        <v>0</v>
      </c>
      <c r="AM2003" s="56">
        <f>VLOOKUP($E2003,'NI-Soc_SP'!$C:$AN,MID(AM$1,1,2),FALSE)</f>
        <v>0</v>
      </c>
      <c r="AN2003" s="30" t="str">
        <f t="shared" si="31"/>
        <v>60400000000000</v>
      </c>
    </row>
    <row r="2004" spans="1:40" x14ac:dyDescent="0.25">
      <c r="A2004" s="30" t="s">
        <v>1394</v>
      </c>
      <c r="C2004" s="40"/>
      <c r="D2004" s="87" t="s">
        <v>2126</v>
      </c>
      <c r="E2004" s="87" t="s">
        <v>2127</v>
      </c>
      <c r="F2004" s="122" t="s">
        <v>2758</v>
      </c>
      <c r="H2004" s="52"/>
      <c r="I2004" s="52"/>
      <c r="J2004" s="79" t="s">
        <v>2128</v>
      </c>
      <c r="K2004" s="59"/>
      <c r="L2004" s="88"/>
      <c r="M2004" s="52"/>
      <c r="N2004" s="52"/>
      <c r="O2004" s="61"/>
      <c r="P2004" s="63" t="s">
        <v>2129</v>
      </c>
      <c r="Q2004" s="55">
        <f>VLOOKUP(E2004,'NI-Soc_SP'!$C:$AN,12,FALSE)</f>
        <v>0</v>
      </c>
      <c r="R2004" s="55">
        <f>VLOOKUP(E2004,'NI-Soc_SP'!$C:$AN,13,FALSE)</f>
        <v>0</v>
      </c>
      <c r="S2004" s="55"/>
      <c r="T2004" s="55"/>
      <c r="U2004" s="55">
        <f>VLOOKUP($E2004,'NI-Soc_SP'!$C:$AN,MID(U$1,1,2),FALSE)</f>
        <v>0</v>
      </c>
      <c r="V2004" s="55">
        <f>VLOOKUP($E2004,'NI-Soc_SP'!$C:$AN,MID(V$1,1,2),FALSE)</f>
        <v>0</v>
      </c>
      <c r="W2004" s="55">
        <f>VLOOKUP($E2004,'NI-Soc_SP'!$C:$AN,MID(W$1,1,2),FALSE)</f>
        <v>0</v>
      </c>
      <c r="X2004" s="55">
        <f>VLOOKUP($E2004,'NI-Soc_SP'!$C:$AN,MID(X$1,1,2),FALSE)</f>
        <v>0</v>
      </c>
      <c r="Y2004" s="55">
        <f>VLOOKUP($E2004,'NI-Soc_SP'!$C:$AN,MID(Y$1,1,2),FALSE)</f>
        <v>0</v>
      </c>
      <c r="Z2004" s="55">
        <f>VLOOKUP($E2004,'NI-Soc_SP'!$C:$AN,MID(Z$1,1,2),FALSE)</f>
        <v>0</v>
      </c>
      <c r="AA2004" s="55">
        <f>VLOOKUP($E2004,'NI-Soc_SP'!$C:$AN,MID(AA$1,1,2),FALSE)</f>
        <v>0</v>
      </c>
      <c r="AB2004" s="55">
        <f>VLOOKUP($E2004,'NI-Soc_SP'!$C:$AN,MID(AB$1,1,2),FALSE)</f>
        <v>0</v>
      </c>
      <c r="AC2004" s="55">
        <f>VLOOKUP($E2004,'NI-Soc_SP'!$C:$AN,MID(AC$1,1,2),FALSE)</f>
        <v>0</v>
      </c>
      <c r="AD2004" s="55">
        <f>VLOOKUP($E2004,'NI-Soc_SP'!$C:$AN,MID(AD$1,1,2),FALSE)</f>
        <v>0</v>
      </c>
      <c r="AE2004" s="55">
        <f>VLOOKUP($E2004,'NI-Soc_SP'!$C:$AN,MID(AE$1,1,2),FALSE)</f>
        <v>0</v>
      </c>
      <c r="AF2004" s="55">
        <f>VLOOKUP($E2004,'NI-Soc_SP'!$C:$AN,MID(AF$1,1,2),FALSE)</f>
        <v>0</v>
      </c>
      <c r="AG2004" s="55">
        <f>VLOOKUP($E2004,'NI-Soc_SP'!$C:$AN,MID(AG$1,1,2),FALSE)</f>
        <v>0</v>
      </c>
      <c r="AH2004" s="55">
        <f>VLOOKUP($E2004,'NI-Soc_SP'!$C:$AN,MID(AH$1,1,2),FALSE)</f>
        <v>0</v>
      </c>
      <c r="AI2004" s="55">
        <f>VLOOKUP($E2004,'NI-Soc_SP'!$C:$AN,MID(AI$1,1,2),FALSE)</f>
        <v>0</v>
      </c>
      <c r="AJ2004" s="55">
        <f>VLOOKUP($E2004,'NI-Soc_SP'!$C:$AN,MID(AJ$1,1,2),FALSE)</f>
        <v>0</v>
      </c>
      <c r="AK2004" s="55">
        <f>VLOOKUP($E2004,'NI-Soc_SP'!$C:$AN,MID(AK$1,1,2),FALSE)</f>
        <v>0</v>
      </c>
      <c r="AL2004" s="55">
        <f>VLOOKUP($E2004,'NI-Soc_SP'!$C:$AN,MID(AL$1,1,2),FALSE)</f>
        <v>0</v>
      </c>
      <c r="AM2004" s="56">
        <f>VLOOKUP($E2004,'NI-Soc_SP'!$C:$AN,MID(AM$1,1,2),FALSE)</f>
        <v>0</v>
      </c>
      <c r="AN2004" s="30" t="str">
        <f t="shared" si="31"/>
        <v>60401000000000</v>
      </c>
    </row>
    <row r="2005" spans="1:40" x14ac:dyDescent="0.25">
      <c r="C2005" s="40"/>
      <c r="D2005" s="121" t="s">
        <v>2130</v>
      </c>
      <c r="E2005" s="121" t="s">
        <v>2131</v>
      </c>
      <c r="F2005" s="122" t="s">
        <v>2758</v>
      </c>
      <c r="G2005" s="52"/>
      <c r="H2005" s="52"/>
      <c r="I2005" s="52" t="s">
        <v>2132</v>
      </c>
      <c r="J2005" s="52"/>
      <c r="K2005" s="59" t="s">
        <v>111</v>
      </c>
      <c r="L2005" s="52" t="s">
        <v>2133</v>
      </c>
      <c r="M2005" s="52"/>
      <c r="N2005" s="52"/>
      <c r="O2005" s="52"/>
      <c r="P2005" s="63" t="s">
        <v>2134</v>
      </c>
      <c r="Q2005" s="55">
        <f>VLOOKUP(E2005,'NI-Soc_SP'!$C:$AN,12,FALSE)</f>
        <v>0</v>
      </c>
      <c r="R2005" s="55">
        <f>VLOOKUP(E2005,'NI-Soc_SP'!$C:$AN,13,FALSE)</f>
        <v>0</v>
      </c>
      <c r="S2005" s="55"/>
      <c r="T2005" s="55"/>
      <c r="U2005" s="55">
        <f>VLOOKUP($E2005,'NI-Soc_SP'!$C:$AN,MID(U$1,1,2),FALSE)</f>
        <v>0</v>
      </c>
      <c r="V2005" s="55">
        <f>VLOOKUP($E2005,'NI-Soc_SP'!$C:$AN,MID(V$1,1,2),FALSE)</f>
        <v>0</v>
      </c>
      <c r="W2005" s="55">
        <f>VLOOKUP($E2005,'NI-Soc_SP'!$C:$AN,MID(W$1,1,2),FALSE)</f>
        <v>0</v>
      </c>
      <c r="X2005" s="55">
        <f>VLOOKUP($E2005,'NI-Soc_SP'!$C:$AN,MID(X$1,1,2),FALSE)</f>
        <v>0</v>
      </c>
      <c r="Y2005" s="55">
        <f>VLOOKUP($E2005,'NI-Soc_SP'!$C:$AN,MID(Y$1,1,2),FALSE)</f>
        <v>0</v>
      </c>
      <c r="Z2005" s="55">
        <f>VLOOKUP($E2005,'NI-Soc_SP'!$C:$AN,MID(Z$1,1,2),FALSE)</f>
        <v>0</v>
      </c>
      <c r="AA2005" s="55">
        <f>VLOOKUP($E2005,'NI-Soc_SP'!$C:$AN,MID(AA$1,1,2),FALSE)</f>
        <v>0</v>
      </c>
      <c r="AB2005" s="55">
        <f>VLOOKUP($E2005,'NI-Soc_SP'!$C:$AN,MID(AB$1,1,2),FALSE)</f>
        <v>0</v>
      </c>
      <c r="AC2005" s="55">
        <f>VLOOKUP($E2005,'NI-Soc_SP'!$C:$AN,MID(AC$1,1,2),FALSE)</f>
        <v>0</v>
      </c>
      <c r="AD2005" s="55">
        <f>VLOOKUP($E2005,'NI-Soc_SP'!$C:$AN,MID(AD$1,1,2),FALSE)</f>
        <v>0</v>
      </c>
      <c r="AE2005" s="55">
        <f>VLOOKUP($E2005,'NI-Soc_SP'!$C:$AN,MID(AE$1,1,2),FALSE)</f>
        <v>0</v>
      </c>
      <c r="AF2005" s="55">
        <f>VLOOKUP($E2005,'NI-Soc_SP'!$C:$AN,MID(AF$1,1,2),FALSE)</f>
        <v>0</v>
      </c>
      <c r="AG2005" s="55">
        <f>VLOOKUP($E2005,'NI-Soc_SP'!$C:$AN,MID(AG$1,1,2),FALSE)</f>
        <v>0</v>
      </c>
      <c r="AH2005" s="55">
        <f>VLOOKUP($E2005,'NI-Soc_SP'!$C:$AN,MID(AH$1,1,2),FALSE)</f>
        <v>0</v>
      </c>
      <c r="AI2005" s="55">
        <f>VLOOKUP($E2005,'NI-Soc_SP'!$C:$AN,MID(AI$1,1,2),FALSE)</f>
        <v>0</v>
      </c>
      <c r="AJ2005" s="55">
        <f>VLOOKUP($E2005,'NI-Soc_SP'!$C:$AN,MID(AJ$1,1,2),FALSE)</f>
        <v>0</v>
      </c>
      <c r="AK2005" s="55">
        <f>VLOOKUP($E2005,'NI-Soc_SP'!$C:$AN,MID(AK$1,1,2),FALSE)</f>
        <v>0</v>
      </c>
      <c r="AL2005" s="55">
        <f>VLOOKUP($E2005,'NI-Soc_SP'!$C:$AN,MID(AL$1,1,2),FALSE)</f>
        <v>0</v>
      </c>
      <c r="AM2005" s="56">
        <f>VLOOKUP($E2005,'NI-Soc_SP'!$C:$AN,MID(AM$1,1,2),FALSE)</f>
        <v>0</v>
      </c>
      <c r="AN2005" s="30" t="str">
        <f t="shared" si="31"/>
        <v>60402000000000</v>
      </c>
    </row>
    <row r="2006" spans="1:40" x14ac:dyDescent="0.25">
      <c r="C2006" s="40"/>
      <c r="D2006" s="121" t="s">
        <v>2135</v>
      </c>
      <c r="E2006" s="121" t="s">
        <v>2136</v>
      </c>
      <c r="F2006" s="122" t="s">
        <v>2758</v>
      </c>
      <c r="G2006" s="52"/>
      <c r="H2006" s="52"/>
      <c r="I2006" s="52"/>
      <c r="J2006" s="52"/>
      <c r="K2006" s="59" t="s">
        <v>79</v>
      </c>
      <c r="L2006" s="52"/>
      <c r="M2006" s="52"/>
      <c r="N2006" s="52"/>
      <c r="O2006" s="52"/>
      <c r="P2006" s="113" t="s">
        <v>2137</v>
      </c>
      <c r="Q2006" s="55">
        <f>VLOOKUP(E2006,'NI-Soc_SP'!$C:$AN,12,FALSE)</f>
        <v>0</v>
      </c>
      <c r="R2006" s="55">
        <f>VLOOKUP(E2006,'NI-Soc_SP'!$C:$AN,13,FALSE)</f>
        <v>0</v>
      </c>
      <c r="S2006" s="55"/>
      <c r="T2006" s="55"/>
      <c r="U2006" s="55">
        <f>VLOOKUP($E2006,'NI-Soc_SP'!$C:$AN,MID(U$1,1,2),FALSE)</f>
        <v>0</v>
      </c>
      <c r="V2006" s="55">
        <f>VLOOKUP($E2006,'NI-Soc_SP'!$C:$AN,MID(V$1,1,2),FALSE)</f>
        <v>0</v>
      </c>
      <c r="W2006" s="55">
        <f>VLOOKUP($E2006,'NI-Soc_SP'!$C:$AN,MID(W$1,1,2),FALSE)</f>
        <v>0</v>
      </c>
      <c r="X2006" s="55">
        <f>VLOOKUP($E2006,'NI-Soc_SP'!$C:$AN,MID(X$1,1,2),FALSE)</f>
        <v>0</v>
      </c>
      <c r="Y2006" s="55">
        <f>VLOOKUP($E2006,'NI-Soc_SP'!$C:$AN,MID(Y$1,1,2),FALSE)</f>
        <v>0</v>
      </c>
      <c r="Z2006" s="55">
        <f>VLOOKUP($E2006,'NI-Soc_SP'!$C:$AN,MID(Z$1,1,2),FALSE)</f>
        <v>0</v>
      </c>
      <c r="AA2006" s="55">
        <f>VLOOKUP($E2006,'NI-Soc_SP'!$C:$AN,MID(AA$1,1,2),FALSE)</f>
        <v>0</v>
      </c>
      <c r="AB2006" s="55">
        <f>VLOOKUP($E2006,'NI-Soc_SP'!$C:$AN,MID(AB$1,1,2),FALSE)</f>
        <v>0</v>
      </c>
      <c r="AC2006" s="55">
        <f>VLOOKUP($E2006,'NI-Soc_SP'!$C:$AN,MID(AC$1,1,2),FALSE)</f>
        <v>0</v>
      </c>
      <c r="AD2006" s="55">
        <f>VLOOKUP($E2006,'NI-Soc_SP'!$C:$AN,MID(AD$1,1,2),FALSE)</f>
        <v>0</v>
      </c>
      <c r="AE2006" s="55">
        <f>VLOOKUP($E2006,'NI-Soc_SP'!$C:$AN,MID(AE$1,1,2),FALSE)</f>
        <v>0</v>
      </c>
      <c r="AF2006" s="55">
        <f>VLOOKUP($E2006,'NI-Soc_SP'!$C:$AN,MID(AF$1,1,2),FALSE)</f>
        <v>0</v>
      </c>
      <c r="AG2006" s="55">
        <f>VLOOKUP($E2006,'NI-Soc_SP'!$C:$AN,MID(AG$1,1,2),FALSE)</f>
        <v>0</v>
      </c>
      <c r="AH2006" s="55">
        <f>VLOOKUP($E2006,'NI-Soc_SP'!$C:$AN,MID(AH$1,1,2),FALSE)</f>
        <v>0</v>
      </c>
      <c r="AI2006" s="55">
        <f>VLOOKUP($E2006,'NI-Soc_SP'!$C:$AN,MID(AI$1,1,2),FALSE)</f>
        <v>0</v>
      </c>
      <c r="AJ2006" s="55">
        <f>VLOOKUP($E2006,'NI-Soc_SP'!$C:$AN,MID(AJ$1,1,2),FALSE)</f>
        <v>0</v>
      </c>
      <c r="AK2006" s="55">
        <f>VLOOKUP($E2006,'NI-Soc_SP'!$C:$AN,MID(AK$1,1,2),FALSE)</f>
        <v>0</v>
      </c>
      <c r="AL2006" s="55">
        <f>VLOOKUP($E2006,'NI-Soc_SP'!$C:$AN,MID(AL$1,1,2),FALSE)</f>
        <v>0</v>
      </c>
      <c r="AM2006" s="56">
        <f>VLOOKUP($E2006,'NI-Soc_SP'!$C:$AN,MID(AM$1,1,2),FALSE)</f>
        <v>0</v>
      </c>
      <c r="AN2006" s="30" t="str">
        <f t="shared" si="31"/>
        <v>60402010000000</v>
      </c>
    </row>
    <row r="2007" spans="1:40" x14ac:dyDescent="0.25">
      <c r="C2007" s="40"/>
      <c r="D2007" s="121" t="s">
        <v>2138</v>
      </c>
      <c r="E2007" s="121" t="s">
        <v>2139</v>
      </c>
      <c r="F2007" s="122" t="s">
        <v>2758</v>
      </c>
      <c r="G2007" s="52"/>
      <c r="H2007" s="52"/>
      <c r="I2007" s="52"/>
      <c r="J2007" s="52"/>
      <c r="K2007" s="59" t="s">
        <v>79</v>
      </c>
      <c r="L2007" s="52"/>
      <c r="M2007" s="52"/>
      <c r="N2007" s="52"/>
      <c r="O2007" s="52"/>
      <c r="P2007" s="113" t="s">
        <v>2140</v>
      </c>
      <c r="Q2007" s="55">
        <f>VLOOKUP(E2007,'NI-Soc_SP'!$C:$AN,12,FALSE)</f>
        <v>0</v>
      </c>
      <c r="R2007" s="55">
        <f>VLOOKUP(E2007,'NI-Soc_SP'!$C:$AN,13,FALSE)</f>
        <v>0</v>
      </c>
      <c r="S2007" s="55"/>
      <c r="T2007" s="55"/>
      <c r="U2007" s="55">
        <f>VLOOKUP($E2007,'NI-Soc_SP'!$C:$AN,MID(U$1,1,2),FALSE)</f>
        <v>0</v>
      </c>
      <c r="V2007" s="55">
        <f>VLOOKUP($E2007,'NI-Soc_SP'!$C:$AN,MID(V$1,1,2),FALSE)</f>
        <v>0</v>
      </c>
      <c r="W2007" s="55">
        <f>VLOOKUP($E2007,'NI-Soc_SP'!$C:$AN,MID(W$1,1,2),FALSE)</f>
        <v>0</v>
      </c>
      <c r="X2007" s="55">
        <f>VLOOKUP($E2007,'NI-Soc_SP'!$C:$AN,MID(X$1,1,2),FALSE)</f>
        <v>0</v>
      </c>
      <c r="Y2007" s="55">
        <f>VLOOKUP($E2007,'NI-Soc_SP'!$C:$AN,MID(Y$1,1,2),FALSE)</f>
        <v>0</v>
      </c>
      <c r="Z2007" s="55">
        <f>VLOOKUP($E2007,'NI-Soc_SP'!$C:$AN,MID(Z$1,1,2),FALSE)</f>
        <v>0</v>
      </c>
      <c r="AA2007" s="55">
        <f>VLOOKUP($E2007,'NI-Soc_SP'!$C:$AN,MID(AA$1,1,2),FALSE)</f>
        <v>0</v>
      </c>
      <c r="AB2007" s="55">
        <f>VLOOKUP($E2007,'NI-Soc_SP'!$C:$AN,MID(AB$1,1,2),FALSE)</f>
        <v>0</v>
      </c>
      <c r="AC2007" s="55">
        <f>VLOOKUP($E2007,'NI-Soc_SP'!$C:$AN,MID(AC$1,1,2),FALSE)</f>
        <v>0</v>
      </c>
      <c r="AD2007" s="55">
        <f>VLOOKUP($E2007,'NI-Soc_SP'!$C:$AN,MID(AD$1,1,2),FALSE)</f>
        <v>0</v>
      </c>
      <c r="AE2007" s="55">
        <f>VLOOKUP($E2007,'NI-Soc_SP'!$C:$AN,MID(AE$1,1,2),FALSE)</f>
        <v>0</v>
      </c>
      <c r="AF2007" s="55">
        <f>VLOOKUP($E2007,'NI-Soc_SP'!$C:$AN,MID(AF$1,1,2),FALSE)</f>
        <v>0</v>
      </c>
      <c r="AG2007" s="55">
        <f>VLOOKUP($E2007,'NI-Soc_SP'!$C:$AN,MID(AG$1,1,2),FALSE)</f>
        <v>0</v>
      </c>
      <c r="AH2007" s="55">
        <f>VLOOKUP($E2007,'NI-Soc_SP'!$C:$AN,MID(AH$1,1,2),FALSE)</f>
        <v>0</v>
      </c>
      <c r="AI2007" s="55">
        <f>VLOOKUP($E2007,'NI-Soc_SP'!$C:$AN,MID(AI$1,1,2),FALSE)</f>
        <v>0</v>
      </c>
      <c r="AJ2007" s="55">
        <f>VLOOKUP($E2007,'NI-Soc_SP'!$C:$AN,MID(AJ$1,1,2),FALSE)</f>
        <v>0</v>
      </c>
      <c r="AK2007" s="55">
        <f>VLOOKUP($E2007,'NI-Soc_SP'!$C:$AN,MID(AK$1,1,2),FALSE)</f>
        <v>0</v>
      </c>
      <c r="AL2007" s="55">
        <f>VLOOKUP($E2007,'NI-Soc_SP'!$C:$AN,MID(AL$1,1,2),FALSE)</f>
        <v>0</v>
      </c>
      <c r="AM2007" s="56">
        <f>VLOOKUP($E2007,'NI-Soc_SP'!$C:$AN,MID(AM$1,1,2),FALSE)</f>
        <v>0</v>
      </c>
      <c r="AN2007" s="30" t="str">
        <f t="shared" si="31"/>
        <v>60402020000000</v>
      </c>
    </row>
    <row r="2008" spans="1:40" ht="27" x14ac:dyDescent="0.25">
      <c r="C2008" s="40"/>
      <c r="D2008" s="121" t="s">
        <v>2141</v>
      </c>
      <c r="E2008" s="121" t="s">
        <v>2142</v>
      </c>
      <c r="F2008" s="122" t="s">
        <v>2758</v>
      </c>
      <c r="G2008" s="52"/>
      <c r="H2008" s="52"/>
      <c r="I2008" s="52"/>
      <c r="J2008" s="52"/>
      <c r="K2008" s="59" t="s">
        <v>79</v>
      </c>
      <c r="L2008" s="52"/>
      <c r="M2008" s="52"/>
      <c r="N2008" s="52"/>
      <c r="O2008" s="52"/>
      <c r="P2008" s="113" t="s">
        <v>2143</v>
      </c>
      <c r="Q2008" s="55">
        <f>VLOOKUP(E2008,'NI-Soc_SP'!$C:$AN,12,FALSE)</f>
        <v>0</v>
      </c>
      <c r="R2008" s="55">
        <f>VLOOKUP(E2008,'NI-Soc_SP'!$C:$AN,13,FALSE)</f>
        <v>0</v>
      </c>
      <c r="S2008" s="55"/>
      <c r="T2008" s="55"/>
      <c r="U2008" s="55">
        <f>VLOOKUP($E2008,'NI-Soc_SP'!$C:$AN,MID(U$1,1,2),FALSE)</f>
        <v>0</v>
      </c>
      <c r="V2008" s="55">
        <f>VLOOKUP($E2008,'NI-Soc_SP'!$C:$AN,MID(V$1,1,2),FALSE)</f>
        <v>0</v>
      </c>
      <c r="W2008" s="55">
        <f>VLOOKUP($E2008,'NI-Soc_SP'!$C:$AN,MID(W$1,1,2),FALSE)</f>
        <v>0</v>
      </c>
      <c r="X2008" s="55">
        <f>VLOOKUP($E2008,'NI-Soc_SP'!$C:$AN,MID(X$1,1,2),FALSE)</f>
        <v>0</v>
      </c>
      <c r="Y2008" s="55">
        <f>VLOOKUP($E2008,'NI-Soc_SP'!$C:$AN,MID(Y$1,1,2),FALSE)</f>
        <v>0</v>
      </c>
      <c r="Z2008" s="55">
        <f>VLOOKUP($E2008,'NI-Soc_SP'!$C:$AN,MID(Z$1,1,2),FALSE)</f>
        <v>0</v>
      </c>
      <c r="AA2008" s="55">
        <f>VLOOKUP($E2008,'NI-Soc_SP'!$C:$AN,MID(AA$1,1,2),FALSE)</f>
        <v>0</v>
      </c>
      <c r="AB2008" s="55">
        <f>VLOOKUP($E2008,'NI-Soc_SP'!$C:$AN,MID(AB$1,1,2),FALSE)</f>
        <v>0</v>
      </c>
      <c r="AC2008" s="55">
        <f>VLOOKUP($E2008,'NI-Soc_SP'!$C:$AN,MID(AC$1,1,2),FALSE)</f>
        <v>0</v>
      </c>
      <c r="AD2008" s="55">
        <f>VLOOKUP($E2008,'NI-Soc_SP'!$C:$AN,MID(AD$1,1,2),FALSE)</f>
        <v>0</v>
      </c>
      <c r="AE2008" s="55">
        <f>VLOOKUP($E2008,'NI-Soc_SP'!$C:$AN,MID(AE$1,1,2),FALSE)</f>
        <v>0</v>
      </c>
      <c r="AF2008" s="55">
        <f>VLOOKUP($E2008,'NI-Soc_SP'!$C:$AN,MID(AF$1,1,2),FALSE)</f>
        <v>0</v>
      </c>
      <c r="AG2008" s="55">
        <f>VLOOKUP($E2008,'NI-Soc_SP'!$C:$AN,MID(AG$1,1,2),FALSE)</f>
        <v>0</v>
      </c>
      <c r="AH2008" s="55">
        <f>VLOOKUP($E2008,'NI-Soc_SP'!$C:$AN,MID(AH$1,1,2),FALSE)</f>
        <v>0</v>
      </c>
      <c r="AI2008" s="55">
        <f>VLOOKUP($E2008,'NI-Soc_SP'!$C:$AN,MID(AI$1,1,2),FALSE)</f>
        <v>0</v>
      </c>
      <c r="AJ2008" s="55">
        <f>VLOOKUP($E2008,'NI-Soc_SP'!$C:$AN,MID(AJ$1,1,2),FALSE)</f>
        <v>0</v>
      </c>
      <c r="AK2008" s="55">
        <f>VLOOKUP($E2008,'NI-Soc_SP'!$C:$AN,MID(AK$1,1,2),FALSE)</f>
        <v>0</v>
      </c>
      <c r="AL2008" s="55">
        <f>VLOOKUP($E2008,'NI-Soc_SP'!$C:$AN,MID(AL$1,1,2),FALSE)</f>
        <v>0</v>
      </c>
      <c r="AM2008" s="56">
        <f>VLOOKUP($E2008,'NI-Soc_SP'!$C:$AN,MID(AM$1,1,2),FALSE)</f>
        <v>0</v>
      </c>
      <c r="AN2008" s="30" t="str">
        <f t="shared" si="31"/>
        <v>60402030000000</v>
      </c>
    </row>
    <row r="2009" spans="1:40" x14ac:dyDescent="0.25">
      <c r="C2009" s="40"/>
      <c r="D2009" s="121" t="s">
        <v>2144</v>
      </c>
      <c r="E2009" s="121" t="s">
        <v>2145</v>
      </c>
      <c r="F2009" s="122" t="s">
        <v>2758</v>
      </c>
      <c r="G2009" s="52"/>
      <c r="H2009" s="52"/>
      <c r="I2009" s="52"/>
      <c r="J2009" s="52"/>
      <c r="K2009" s="59" t="s">
        <v>79</v>
      </c>
      <c r="L2009" s="62"/>
      <c r="M2009" s="52"/>
      <c r="N2009" s="52"/>
      <c r="O2009" s="52"/>
      <c r="P2009" s="63" t="s">
        <v>2146</v>
      </c>
      <c r="Q2009" s="55">
        <f>VLOOKUP(E2009,'NI-Soc_SP'!$C:$AN,12,FALSE)</f>
        <v>0</v>
      </c>
      <c r="R2009" s="55">
        <f>VLOOKUP(E2009,'NI-Soc_SP'!$C:$AN,13,FALSE)</f>
        <v>0</v>
      </c>
      <c r="S2009" s="55"/>
      <c r="T2009" s="55"/>
      <c r="U2009" s="55">
        <f>VLOOKUP($E2009,'NI-Soc_SP'!$C:$AN,MID(U$1,1,2),FALSE)</f>
        <v>0</v>
      </c>
      <c r="V2009" s="55">
        <f>VLOOKUP($E2009,'NI-Soc_SP'!$C:$AN,MID(V$1,1,2),FALSE)</f>
        <v>0</v>
      </c>
      <c r="W2009" s="55">
        <f>VLOOKUP($E2009,'NI-Soc_SP'!$C:$AN,MID(W$1,1,2),FALSE)</f>
        <v>0</v>
      </c>
      <c r="X2009" s="55">
        <f>VLOOKUP($E2009,'NI-Soc_SP'!$C:$AN,MID(X$1,1,2),FALSE)</f>
        <v>0</v>
      </c>
      <c r="Y2009" s="55">
        <f>VLOOKUP($E2009,'NI-Soc_SP'!$C:$AN,MID(Y$1,1,2),FALSE)</f>
        <v>0</v>
      </c>
      <c r="Z2009" s="55">
        <f>VLOOKUP($E2009,'NI-Soc_SP'!$C:$AN,MID(Z$1,1,2),FALSE)</f>
        <v>0</v>
      </c>
      <c r="AA2009" s="55">
        <f>VLOOKUP($E2009,'NI-Soc_SP'!$C:$AN,MID(AA$1,1,2),FALSE)</f>
        <v>0</v>
      </c>
      <c r="AB2009" s="55">
        <f>VLOOKUP($E2009,'NI-Soc_SP'!$C:$AN,MID(AB$1,1,2),FALSE)</f>
        <v>0</v>
      </c>
      <c r="AC2009" s="55">
        <f>VLOOKUP($E2009,'NI-Soc_SP'!$C:$AN,MID(AC$1,1,2),FALSE)</f>
        <v>0</v>
      </c>
      <c r="AD2009" s="55">
        <f>VLOOKUP($E2009,'NI-Soc_SP'!$C:$AN,MID(AD$1,1,2),FALSE)</f>
        <v>0</v>
      </c>
      <c r="AE2009" s="55">
        <f>VLOOKUP($E2009,'NI-Soc_SP'!$C:$AN,MID(AE$1,1,2),FALSE)</f>
        <v>0</v>
      </c>
      <c r="AF2009" s="55">
        <f>VLOOKUP($E2009,'NI-Soc_SP'!$C:$AN,MID(AF$1,1,2),FALSE)</f>
        <v>0</v>
      </c>
      <c r="AG2009" s="55">
        <f>VLOOKUP($E2009,'NI-Soc_SP'!$C:$AN,MID(AG$1,1,2),FALSE)</f>
        <v>0</v>
      </c>
      <c r="AH2009" s="55">
        <f>VLOOKUP($E2009,'NI-Soc_SP'!$C:$AN,MID(AH$1,1,2),FALSE)</f>
        <v>0</v>
      </c>
      <c r="AI2009" s="55">
        <f>VLOOKUP($E2009,'NI-Soc_SP'!$C:$AN,MID(AI$1,1,2),FALSE)</f>
        <v>0</v>
      </c>
      <c r="AJ2009" s="55">
        <f>VLOOKUP($E2009,'NI-Soc_SP'!$C:$AN,MID(AJ$1,1,2),FALSE)</f>
        <v>0</v>
      </c>
      <c r="AK2009" s="55">
        <f>VLOOKUP($E2009,'NI-Soc_SP'!$C:$AN,MID(AK$1,1,2),FALSE)</f>
        <v>0</v>
      </c>
      <c r="AL2009" s="55">
        <f>VLOOKUP($E2009,'NI-Soc_SP'!$C:$AN,MID(AL$1,1,2),FALSE)</f>
        <v>0</v>
      </c>
      <c r="AM2009" s="56">
        <f>VLOOKUP($E2009,'NI-Soc_SP'!$C:$AN,MID(AM$1,1,2),FALSE)</f>
        <v>0</v>
      </c>
      <c r="AN2009" s="30" t="str">
        <f t="shared" si="31"/>
        <v>60402040000000</v>
      </c>
    </row>
    <row r="2010" spans="1:40" x14ac:dyDescent="0.25">
      <c r="C2010" s="40"/>
      <c r="D2010" s="121" t="s">
        <v>2147</v>
      </c>
      <c r="E2010" s="121" t="s">
        <v>2148</v>
      </c>
      <c r="F2010" s="122" t="s">
        <v>2758</v>
      </c>
      <c r="G2010" s="51"/>
      <c r="H2010" s="52"/>
      <c r="I2010" s="52" t="s">
        <v>2149</v>
      </c>
      <c r="J2010" s="52"/>
      <c r="K2010" s="53" t="s">
        <v>79</v>
      </c>
      <c r="L2010" s="52" t="s">
        <v>2150</v>
      </c>
      <c r="M2010" s="52"/>
      <c r="N2010" s="52"/>
      <c r="O2010" s="52"/>
      <c r="P2010" s="54" t="s">
        <v>2151</v>
      </c>
      <c r="Q2010" s="55">
        <f>VLOOKUP(E2010,'NI-Soc_SP'!$C:$AN,12,FALSE)</f>
        <v>0</v>
      </c>
      <c r="R2010" s="55">
        <f>VLOOKUP(E2010,'NI-Soc_SP'!$C:$AN,13,FALSE)</f>
        <v>0</v>
      </c>
      <c r="S2010" s="55"/>
      <c r="T2010" s="55"/>
      <c r="U2010" s="55">
        <f>VLOOKUP($E2010,'NI-Soc_SP'!$C:$AN,MID(U$1,1,2),FALSE)</f>
        <v>0</v>
      </c>
      <c r="V2010" s="55">
        <f>VLOOKUP($E2010,'NI-Soc_SP'!$C:$AN,MID(V$1,1,2),FALSE)</f>
        <v>0</v>
      </c>
      <c r="W2010" s="55">
        <f>VLOOKUP($E2010,'NI-Soc_SP'!$C:$AN,MID(W$1,1,2),FALSE)</f>
        <v>0</v>
      </c>
      <c r="X2010" s="55">
        <f>VLOOKUP($E2010,'NI-Soc_SP'!$C:$AN,MID(X$1,1,2),FALSE)</f>
        <v>0</v>
      </c>
      <c r="Y2010" s="55">
        <f>VLOOKUP($E2010,'NI-Soc_SP'!$C:$AN,MID(Y$1,1,2),FALSE)</f>
        <v>0</v>
      </c>
      <c r="Z2010" s="55">
        <f>VLOOKUP($E2010,'NI-Soc_SP'!$C:$AN,MID(Z$1,1,2),FALSE)</f>
        <v>0</v>
      </c>
      <c r="AA2010" s="55">
        <f>VLOOKUP($E2010,'NI-Soc_SP'!$C:$AN,MID(AA$1,1,2),FALSE)</f>
        <v>0</v>
      </c>
      <c r="AB2010" s="55">
        <f>VLOOKUP($E2010,'NI-Soc_SP'!$C:$AN,MID(AB$1,1,2),FALSE)</f>
        <v>0</v>
      </c>
      <c r="AC2010" s="55">
        <f>VLOOKUP($E2010,'NI-Soc_SP'!$C:$AN,MID(AC$1,1,2),FALSE)</f>
        <v>0</v>
      </c>
      <c r="AD2010" s="55">
        <f>VLOOKUP($E2010,'NI-Soc_SP'!$C:$AN,MID(AD$1,1,2),FALSE)</f>
        <v>0</v>
      </c>
      <c r="AE2010" s="55">
        <f>VLOOKUP($E2010,'NI-Soc_SP'!$C:$AN,MID(AE$1,1,2),FALSE)</f>
        <v>0</v>
      </c>
      <c r="AF2010" s="55">
        <f>VLOOKUP($E2010,'NI-Soc_SP'!$C:$AN,MID(AF$1,1,2),FALSE)</f>
        <v>0</v>
      </c>
      <c r="AG2010" s="55">
        <f>VLOOKUP($E2010,'NI-Soc_SP'!$C:$AN,MID(AG$1,1,2),FALSE)</f>
        <v>0</v>
      </c>
      <c r="AH2010" s="55">
        <f>VLOOKUP($E2010,'NI-Soc_SP'!$C:$AN,MID(AH$1,1,2),FALSE)</f>
        <v>0</v>
      </c>
      <c r="AI2010" s="55">
        <f>VLOOKUP($E2010,'NI-Soc_SP'!$C:$AN,MID(AI$1,1,2),FALSE)</f>
        <v>0</v>
      </c>
      <c r="AJ2010" s="55">
        <f>VLOOKUP($E2010,'NI-Soc_SP'!$C:$AN,MID(AJ$1,1,2),FALSE)</f>
        <v>0</v>
      </c>
      <c r="AK2010" s="55">
        <f>VLOOKUP($E2010,'NI-Soc_SP'!$C:$AN,MID(AK$1,1,2),FALSE)</f>
        <v>0</v>
      </c>
      <c r="AL2010" s="55">
        <f>VLOOKUP($E2010,'NI-Soc_SP'!$C:$AN,MID(AL$1,1,2),FALSE)</f>
        <v>0</v>
      </c>
      <c r="AM2010" s="56">
        <f>VLOOKUP($E2010,'NI-Soc_SP'!$C:$AN,MID(AM$1,1,2),FALSE)</f>
        <v>0</v>
      </c>
      <c r="AN2010" s="30" t="str">
        <f t="shared" si="31"/>
        <v>60403000000000</v>
      </c>
    </row>
    <row r="2011" spans="1:40" x14ac:dyDescent="0.25">
      <c r="C2011" s="40"/>
      <c r="D2011" s="121" t="s">
        <v>2152</v>
      </c>
      <c r="E2011" s="121" t="s">
        <v>2153</v>
      </c>
      <c r="F2011" s="122" t="s">
        <v>2758</v>
      </c>
      <c r="G2011" s="52"/>
      <c r="H2011" s="52"/>
      <c r="I2011" s="52" t="s">
        <v>2154</v>
      </c>
      <c r="J2011" s="52"/>
      <c r="K2011" s="59" t="s">
        <v>111</v>
      </c>
      <c r="L2011" s="62" t="s">
        <v>2155</v>
      </c>
      <c r="M2011" s="52"/>
      <c r="N2011" s="52"/>
      <c r="O2011" s="52"/>
      <c r="P2011" s="60" t="s">
        <v>2156</v>
      </c>
      <c r="Q2011" s="55">
        <f>VLOOKUP(E2011,'NI-Soc_SP'!$C:$AN,12,FALSE)</f>
        <v>0</v>
      </c>
      <c r="R2011" s="55">
        <f>VLOOKUP(E2011,'NI-Soc_SP'!$C:$AN,13,FALSE)</f>
        <v>0</v>
      </c>
      <c r="S2011" s="55"/>
      <c r="T2011" s="55"/>
      <c r="U2011" s="55">
        <f>VLOOKUP($E2011,'NI-Soc_SP'!$C:$AN,MID(U$1,1,2),FALSE)</f>
        <v>0</v>
      </c>
      <c r="V2011" s="55">
        <f>VLOOKUP($E2011,'NI-Soc_SP'!$C:$AN,MID(V$1,1,2),FALSE)</f>
        <v>0</v>
      </c>
      <c r="W2011" s="55">
        <f>VLOOKUP($E2011,'NI-Soc_SP'!$C:$AN,MID(W$1,1,2),FALSE)</f>
        <v>0</v>
      </c>
      <c r="X2011" s="55">
        <f>VLOOKUP($E2011,'NI-Soc_SP'!$C:$AN,MID(X$1,1,2),FALSE)</f>
        <v>0</v>
      </c>
      <c r="Y2011" s="55">
        <f>VLOOKUP($E2011,'NI-Soc_SP'!$C:$AN,MID(Y$1,1,2),FALSE)</f>
        <v>0</v>
      </c>
      <c r="Z2011" s="55">
        <f>VLOOKUP($E2011,'NI-Soc_SP'!$C:$AN,MID(Z$1,1,2),FALSE)</f>
        <v>0</v>
      </c>
      <c r="AA2011" s="55">
        <f>VLOOKUP($E2011,'NI-Soc_SP'!$C:$AN,MID(AA$1,1,2),FALSE)</f>
        <v>0</v>
      </c>
      <c r="AB2011" s="55">
        <f>VLOOKUP($E2011,'NI-Soc_SP'!$C:$AN,MID(AB$1,1,2),FALSE)</f>
        <v>0</v>
      </c>
      <c r="AC2011" s="55">
        <f>VLOOKUP($E2011,'NI-Soc_SP'!$C:$AN,MID(AC$1,1,2),FALSE)</f>
        <v>0</v>
      </c>
      <c r="AD2011" s="55">
        <f>VLOOKUP($E2011,'NI-Soc_SP'!$C:$AN,MID(AD$1,1,2),FALSE)</f>
        <v>0</v>
      </c>
      <c r="AE2011" s="55">
        <f>VLOOKUP($E2011,'NI-Soc_SP'!$C:$AN,MID(AE$1,1,2),FALSE)</f>
        <v>0</v>
      </c>
      <c r="AF2011" s="55">
        <f>VLOOKUP($E2011,'NI-Soc_SP'!$C:$AN,MID(AF$1,1,2),FALSE)</f>
        <v>0</v>
      </c>
      <c r="AG2011" s="55">
        <f>VLOOKUP($E2011,'NI-Soc_SP'!$C:$AN,MID(AG$1,1,2),FALSE)</f>
        <v>0</v>
      </c>
      <c r="AH2011" s="55">
        <f>VLOOKUP($E2011,'NI-Soc_SP'!$C:$AN,MID(AH$1,1,2),FALSE)</f>
        <v>0</v>
      </c>
      <c r="AI2011" s="55">
        <f>VLOOKUP($E2011,'NI-Soc_SP'!$C:$AN,MID(AI$1,1,2),FALSE)</f>
        <v>0</v>
      </c>
      <c r="AJ2011" s="55">
        <f>VLOOKUP($E2011,'NI-Soc_SP'!$C:$AN,MID(AJ$1,1,2),FALSE)</f>
        <v>0</v>
      </c>
      <c r="AK2011" s="55">
        <f>VLOOKUP($E2011,'NI-Soc_SP'!$C:$AN,MID(AK$1,1,2),FALSE)</f>
        <v>0</v>
      </c>
      <c r="AL2011" s="55">
        <f>VLOOKUP($E2011,'NI-Soc_SP'!$C:$AN,MID(AL$1,1,2),FALSE)</f>
        <v>0</v>
      </c>
      <c r="AM2011" s="56">
        <f>VLOOKUP($E2011,'NI-Soc_SP'!$C:$AN,MID(AM$1,1,2),FALSE)</f>
        <v>0</v>
      </c>
      <c r="AN2011" s="30" t="str">
        <f t="shared" si="31"/>
        <v>60404000000000</v>
      </c>
    </row>
    <row r="2012" spans="1:40" x14ac:dyDescent="0.25">
      <c r="C2012" s="40"/>
      <c r="D2012" s="121" t="s">
        <v>2157</v>
      </c>
      <c r="E2012" s="121" t="s">
        <v>2158</v>
      </c>
      <c r="F2012" s="122" t="s">
        <v>2758</v>
      </c>
      <c r="G2012" s="52"/>
      <c r="H2012" s="52"/>
      <c r="I2012" s="52"/>
      <c r="J2012" s="52"/>
      <c r="K2012" s="59" t="s">
        <v>79</v>
      </c>
      <c r="L2012" s="52"/>
      <c r="M2012" s="52"/>
      <c r="N2012" s="52"/>
      <c r="O2012" s="52"/>
      <c r="P2012" s="107" t="s">
        <v>2159</v>
      </c>
      <c r="Q2012" s="55">
        <f>VLOOKUP(E2012,'NI-Soc_SP'!$C:$AN,12,FALSE)</f>
        <v>0</v>
      </c>
      <c r="R2012" s="55">
        <f>VLOOKUP(E2012,'NI-Soc_SP'!$C:$AN,13,FALSE)</f>
        <v>0</v>
      </c>
      <c r="S2012" s="55"/>
      <c r="T2012" s="55"/>
      <c r="U2012" s="55">
        <f>VLOOKUP($E2012,'NI-Soc_SP'!$C:$AN,MID(U$1,1,2),FALSE)</f>
        <v>0</v>
      </c>
      <c r="V2012" s="55">
        <f>VLOOKUP($E2012,'NI-Soc_SP'!$C:$AN,MID(V$1,1,2),FALSE)</f>
        <v>0</v>
      </c>
      <c r="W2012" s="55">
        <f>VLOOKUP($E2012,'NI-Soc_SP'!$C:$AN,MID(W$1,1,2),FALSE)</f>
        <v>0</v>
      </c>
      <c r="X2012" s="55">
        <f>VLOOKUP($E2012,'NI-Soc_SP'!$C:$AN,MID(X$1,1,2),FALSE)</f>
        <v>0</v>
      </c>
      <c r="Y2012" s="55">
        <f>VLOOKUP($E2012,'NI-Soc_SP'!$C:$AN,MID(Y$1,1,2),FALSE)</f>
        <v>0</v>
      </c>
      <c r="Z2012" s="55">
        <f>VLOOKUP($E2012,'NI-Soc_SP'!$C:$AN,MID(Z$1,1,2),FALSE)</f>
        <v>0</v>
      </c>
      <c r="AA2012" s="55">
        <f>VLOOKUP($E2012,'NI-Soc_SP'!$C:$AN,MID(AA$1,1,2),FALSE)</f>
        <v>0</v>
      </c>
      <c r="AB2012" s="55">
        <f>VLOOKUP($E2012,'NI-Soc_SP'!$C:$AN,MID(AB$1,1,2),FALSE)</f>
        <v>0</v>
      </c>
      <c r="AC2012" s="55">
        <f>VLOOKUP($E2012,'NI-Soc_SP'!$C:$AN,MID(AC$1,1,2),FALSE)</f>
        <v>0</v>
      </c>
      <c r="AD2012" s="55">
        <f>VLOOKUP($E2012,'NI-Soc_SP'!$C:$AN,MID(AD$1,1,2),FALSE)</f>
        <v>0</v>
      </c>
      <c r="AE2012" s="55">
        <f>VLOOKUP($E2012,'NI-Soc_SP'!$C:$AN,MID(AE$1,1,2),FALSE)</f>
        <v>0</v>
      </c>
      <c r="AF2012" s="55">
        <f>VLOOKUP($E2012,'NI-Soc_SP'!$C:$AN,MID(AF$1,1,2),FALSE)</f>
        <v>0</v>
      </c>
      <c r="AG2012" s="55">
        <f>VLOOKUP($E2012,'NI-Soc_SP'!$C:$AN,MID(AG$1,1,2),FALSE)</f>
        <v>0</v>
      </c>
      <c r="AH2012" s="55">
        <f>VLOOKUP($E2012,'NI-Soc_SP'!$C:$AN,MID(AH$1,1,2),FALSE)</f>
        <v>0</v>
      </c>
      <c r="AI2012" s="55">
        <f>VLOOKUP($E2012,'NI-Soc_SP'!$C:$AN,MID(AI$1,1,2),FALSE)</f>
        <v>0</v>
      </c>
      <c r="AJ2012" s="55">
        <f>VLOOKUP($E2012,'NI-Soc_SP'!$C:$AN,MID(AJ$1,1,2),FALSE)</f>
        <v>0</v>
      </c>
      <c r="AK2012" s="55">
        <f>VLOOKUP($E2012,'NI-Soc_SP'!$C:$AN,MID(AK$1,1,2),FALSE)</f>
        <v>0</v>
      </c>
      <c r="AL2012" s="55">
        <f>VLOOKUP($E2012,'NI-Soc_SP'!$C:$AN,MID(AL$1,1,2),FALSE)</f>
        <v>0</v>
      </c>
      <c r="AM2012" s="56">
        <f>VLOOKUP($E2012,'NI-Soc_SP'!$C:$AN,MID(AM$1,1,2),FALSE)</f>
        <v>0</v>
      </c>
      <c r="AN2012" s="30" t="str">
        <f t="shared" si="31"/>
        <v>60404010000000</v>
      </c>
    </row>
    <row r="2013" spans="1:40" x14ac:dyDescent="0.25">
      <c r="C2013" s="40"/>
      <c r="D2013" s="121" t="s">
        <v>2160</v>
      </c>
      <c r="E2013" s="121" t="s">
        <v>2161</v>
      </c>
      <c r="F2013" s="122" t="s">
        <v>2758</v>
      </c>
      <c r="G2013" s="52"/>
      <c r="H2013" s="52"/>
      <c r="I2013" s="52"/>
      <c r="J2013" s="52"/>
      <c r="K2013" s="59" t="s">
        <v>79</v>
      </c>
      <c r="L2013" s="52"/>
      <c r="M2013" s="52"/>
      <c r="N2013" s="52"/>
      <c r="O2013" s="52"/>
      <c r="P2013" s="107" t="s">
        <v>2162</v>
      </c>
      <c r="Q2013" s="55">
        <f>VLOOKUP(E2013,'NI-Soc_SP'!$C:$AN,12,FALSE)</f>
        <v>0</v>
      </c>
      <c r="R2013" s="55">
        <f>VLOOKUP(E2013,'NI-Soc_SP'!$C:$AN,13,FALSE)</f>
        <v>0</v>
      </c>
      <c r="S2013" s="55"/>
      <c r="T2013" s="55"/>
      <c r="U2013" s="55">
        <f>VLOOKUP($E2013,'NI-Soc_SP'!$C:$AN,MID(U$1,1,2),FALSE)</f>
        <v>0</v>
      </c>
      <c r="V2013" s="55">
        <f>VLOOKUP($E2013,'NI-Soc_SP'!$C:$AN,MID(V$1,1,2),FALSE)</f>
        <v>0</v>
      </c>
      <c r="W2013" s="55">
        <f>VLOOKUP($E2013,'NI-Soc_SP'!$C:$AN,MID(W$1,1,2),FALSE)</f>
        <v>0</v>
      </c>
      <c r="X2013" s="55">
        <f>VLOOKUP($E2013,'NI-Soc_SP'!$C:$AN,MID(X$1,1,2),FALSE)</f>
        <v>0</v>
      </c>
      <c r="Y2013" s="55">
        <f>VLOOKUP($E2013,'NI-Soc_SP'!$C:$AN,MID(Y$1,1,2),FALSE)</f>
        <v>0</v>
      </c>
      <c r="Z2013" s="55">
        <f>VLOOKUP($E2013,'NI-Soc_SP'!$C:$AN,MID(Z$1,1,2),FALSE)</f>
        <v>0</v>
      </c>
      <c r="AA2013" s="55">
        <f>VLOOKUP($E2013,'NI-Soc_SP'!$C:$AN,MID(AA$1,1,2),FALSE)</f>
        <v>0</v>
      </c>
      <c r="AB2013" s="55">
        <f>VLOOKUP($E2013,'NI-Soc_SP'!$C:$AN,MID(AB$1,1,2),FALSE)</f>
        <v>0</v>
      </c>
      <c r="AC2013" s="55">
        <f>VLOOKUP($E2013,'NI-Soc_SP'!$C:$AN,MID(AC$1,1,2),FALSE)</f>
        <v>0</v>
      </c>
      <c r="AD2013" s="55">
        <f>VLOOKUP($E2013,'NI-Soc_SP'!$C:$AN,MID(AD$1,1,2),FALSE)</f>
        <v>0</v>
      </c>
      <c r="AE2013" s="55">
        <f>VLOOKUP($E2013,'NI-Soc_SP'!$C:$AN,MID(AE$1,1,2),FALSE)</f>
        <v>0</v>
      </c>
      <c r="AF2013" s="55">
        <f>VLOOKUP($E2013,'NI-Soc_SP'!$C:$AN,MID(AF$1,1,2),FALSE)</f>
        <v>0</v>
      </c>
      <c r="AG2013" s="55">
        <f>VLOOKUP($E2013,'NI-Soc_SP'!$C:$AN,MID(AG$1,1,2),FALSE)</f>
        <v>0</v>
      </c>
      <c r="AH2013" s="55">
        <f>VLOOKUP($E2013,'NI-Soc_SP'!$C:$AN,MID(AH$1,1,2),FALSE)</f>
        <v>0</v>
      </c>
      <c r="AI2013" s="55">
        <f>VLOOKUP($E2013,'NI-Soc_SP'!$C:$AN,MID(AI$1,1,2),FALSE)</f>
        <v>0</v>
      </c>
      <c r="AJ2013" s="55">
        <f>VLOOKUP($E2013,'NI-Soc_SP'!$C:$AN,MID(AJ$1,1,2),FALSE)</f>
        <v>0</v>
      </c>
      <c r="AK2013" s="55">
        <f>VLOOKUP($E2013,'NI-Soc_SP'!$C:$AN,MID(AK$1,1,2),FALSE)</f>
        <v>0</v>
      </c>
      <c r="AL2013" s="55">
        <f>VLOOKUP($E2013,'NI-Soc_SP'!$C:$AN,MID(AL$1,1,2),FALSE)</f>
        <v>0</v>
      </c>
      <c r="AM2013" s="56">
        <f>VLOOKUP($E2013,'NI-Soc_SP'!$C:$AN,MID(AM$1,1,2),FALSE)</f>
        <v>0</v>
      </c>
      <c r="AN2013" s="30" t="str">
        <f t="shared" si="31"/>
        <v>60404020000000</v>
      </c>
    </row>
    <row r="2014" spans="1:40" x14ac:dyDescent="0.25">
      <c r="C2014" s="40"/>
      <c r="D2014" s="121" t="s">
        <v>2163</v>
      </c>
      <c r="E2014" s="121" t="s">
        <v>2164</v>
      </c>
      <c r="F2014" s="122" t="s">
        <v>2758</v>
      </c>
      <c r="G2014" s="52"/>
      <c r="H2014" s="52"/>
      <c r="I2014" s="52"/>
      <c r="J2014" s="52"/>
      <c r="K2014" s="59" t="s">
        <v>79</v>
      </c>
      <c r="L2014" s="52"/>
      <c r="M2014" s="52"/>
      <c r="N2014" s="52"/>
      <c r="O2014" s="52"/>
      <c r="P2014" s="107" t="s">
        <v>2165</v>
      </c>
      <c r="Q2014" s="55">
        <f>VLOOKUP(E2014,'NI-Soc_SP'!$C:$AN,12,FALSE)</f>
        <v>0</v>
      </c>
      <c r="R2014" s="55">
        <f>VLOOKUP(E2014,'NI-Soc_SP'!$C:$AN,13,FALSE)</f>
        <v>0</v>
      </c>
      <c r="S2014" s="55"/>
      <c r="T2014" s="55"/>
      <c r="U2014" s="55">
        <f>VLOOKUP($E2014,'NI-Soc_SP'!$C:$AN,MID(U$1,1,2),FALSE)</f>
        <v>0</v>
      </c>
      <c r="V2014" s="55">
        <f>VLOOKUP($E2014,'NI-Soc_SP'!$C:$AN,MID(V$1,1,2),FALSE)</f>
        <v>0</v>
      </c>
      <c r="W2014" s="55">
        <f>VLOOKUP($E2014,'NI-Soc_SP'!$C:$AN,MID(W$1,1,2),FALSE)</f>
        <v>0</v>
      </c>
      <c r="X2014" s="55">
        <f>VLOOKUP($E2014,'NI-Soc_SP'!$C:$AN,MID(X$1,1,2),FALSE)</f>
        <v>0</v>
      </c>
      <c r="Y2014" s="55">
        <f>VLOOKUP($E2014,'NI-Soc_SP'!$C:$AN,MID(Y$1,1,2),FALSE)</f>
        <v>0</v>
      </c>
      <c r="Z2014" s="55">
        <f>VLOOKUP($E2014,'NI-Soc_SP'!$C:$AN,MID(Z$1,1,2),FALSE)</f>
        <v>0</v>
      </c>
      <c r="AA2014" s="55">
        <f>VLOOKUP($E2014,'NI-Soc_SP'!$C:$AN,MID(AA$1,1,2),FALSE)</f>
        <v>0</v>
      </c>
      <c r="AB2014" s="55">
        <f>VLOOKUP($E2014,'NI-Soc_SP'!$C:$AN,MID(AB$1,1,2),FALSE)</f>
        <v>0</v>
      </c>
      <c r="AC2014" s="55">
        <f>VLOOKUP($E2014,'NI-Soc_SP'!$C:$AN,MID(AC$1,1,2),FALSE)</f>
        <v>0</v>
      </c>
      <c r="AD2014" s="55">
        <f>VLOOKUP($E2014,'NI-Soc_SP'!$C:$AN,MID(AD$1,1,2),FALSE)</f>
        <v>0</v>
      </c>
      <c r="AE2014" s="55">
        <f>VLOOKUP($E2014,'NI-Soc_SP'!$C:$AN,MID(AE$1,1,2),FALSE)</f>
        <v>0</v>
      </c>
      <c r="AF2014" s="55">
        <f>VLOOKUP($E2014,'NI-Soc_SP'!$C:$AN,MID(AF$1,1,2),FALSE)</f>
        <v>0</v>
      </c>
      <c r="AG2014" s="55">
        <f>VLOOKUP($E2014,'NI-Soc_SP'!$C:$AN,MID(AG$1,1,2),FALSE)</f>
        <v>0</v>
      </c>
      <c r="AH2014" s="55">
        <f>VLOOKUP($E2014,'NI-Soc_SP'!$C:$AN,MID(AH$1,1,2),FALSE)</f>
        <v>0</v>
      </c>
      <c r="AI2014" s="55">
        <f>VLOOKUP($E2014,'NI-Soc_SP'!$C:$AN,MID(AI$1,1,2),FALSE)</f>
        <v>0</v>
      </c>
      <c r="AJ2014" s="55">
        <f>VLOOKUP($E2014,'NI-Soc_SP'!$C:$AN,MID(AJ$1,1,2),FALSE)</f>
        <v>0</v>
      </c>
      <c r="AK2014" s="55">
        <f>VLOOKUP($E2014,'NI-Soc_SP'!$C:$AN,MID(AK$1,1,2),FALSE)</f>
        <v>0</v>
      </c>
      <c r="AL2014" s="55">
        <f>VLOOKUP($E2014,'NI-Soc_SP'!$C:$AN,MID(AL$1,1,2),FALSE)</f>
        <v>0</v>
      </c>
      <c r="AM2014" s="56">
        <f>VLOOKUP($E2014,'NI-Soc_SP'!$C:$AN,MID(AM$1,1,2),FALSE)</f>
        <v>0</v>
      </c>
      <c r="AN2014" s="30" t="str">
        <f t="shared" si="31"/>
        <v>60404030000000</v>
      </c>
    </row>
    <row r="2015" spans="1:40" x14ac:dyDescent="0.25">
      <c r="C2015" s="40"/>
      <c r="D2015" s="121" t="s">
        <v>2166</v>
      </c>
      <c r="E2015" s="121" t="s">
        <v>2167</v>
      </c>
      <c r="F2015" s="122" t="s">
        <v>2758</v>
      </c>
      <c r="G2015" s="52"/>
      <c r="H2015" s="52"/>
      <c r="I2015" s="52"/>
      <c r="J2015" s="52"/>
      <c r="K2015" s="59" t="s">
        <v>79</v>
      </c>
      <c r="L2015" s="62"/>
      <c r="M2015" s="52"/>
      <c r="N2015" s="52"/>
      <c r="O2015" s="52"/>
      <c r="P2015" s="60" t="s">
        <v>2168</v>
      </c>
      <c r="Q2015" s="55">
        <f>VLOOKUP(E2015,'NI-Soc_SP'!$C:$AN,12,FALSE)</f>
        <v>0</v>
      </c>
      <c r="R2015" s="55">
        <f>VLOOKUP(E2015,'NI-Soc_SP'!$C:$AN,13,FALSE)</f>
        <v>0</v>
      </c>
      <c r="S2015" s="55"/>
      <c r="T2015" s="55"/>
      <c r="U2015" s="55">
        <f>VLOOKUP($E2015,'NI-Soc_SP'!$C:$AN,MID(U$1,1,2),FALSE)</f>
        <v>0</v>
      </c>
      <c r="V2015" s="55">
        <f>VLOOKUP($E2015,'NI-Soc_SP'!$C:$AN,MID(V$1,1,2),FALSE)</f>
        <v>0</v>
      </c>
      <c r="W2015" s="55">
        <f>VLOOKUP($E2015,'NI-Soc_SP'!$C:$AN,MID(W$1,1,2),FALSE)</f>
        <v>0</v>
      </c>
      <c r="X2015" s="55">
        <f>VLOOKUP($E2015,'NI-Soc_SP'!$C:$AN,MID(X$1,1,2),FALSE)</f>
        <v>0</v>
      </c>
      <c r="Y2015" s="55">
        <f>VLOOKUP($E2015,'NI-Soc_SP'!$C:$AN,MID(Y$1,1,2),FALSE)</f>
        <v>0</v>
      </c>
      <c r="Z2015" s="55">
        <f>VLOOKUP($E2015,'NI-Soc_SP'!$C:$AN,MID(Z$1,1,2),FALSE)</f>
        <v>0</v>
      </c>
      <c r="AA2015" s="55">
        <f>VLOOKUP($E2015,'NI-Soc_SP'!$C:$AN,MID(AA$1,1,2),FALSE)</f>
        <v>0</v>
      </c>
      <c r="AB2015" s="55">
        <f>VLOOKUP($E2015,'NI-Soc_SP'!$C:$AN,MID(AB$1,1,2),FALSE)</f>
        <v>0</v>
      </c>
      <c r="AC2015" s="55">
        <f>VLOOKUP($E2015,'NI-Soc_SP'!$C:$AN,MID(AC$1,1,2),FALSE)</f>
        <v>0</v>
      </c>
      <c r="AD2015" s="55">
        <f>VLOOKUP($E2015,'NI-Soc_SP'!$C:$AN,MID(AD$1,1,2),FALSE)</f>
        <v>0</v>
      </c>
      <c r="AE2015" s="55">
        <f>VLOOKUP($E2015,'NI-Soc_SP'!$C:$AN,MID(AE$1,1,2),FALSE)</f>
        <v>0</v>
      </c>
      <c r="AF2015" s="55">
        <f>VLOOKUP($E2015,'NI-Soc_SP'!$C:$AN,MID(AF$1,1,2),FALSE)</f>
        <v>0</v>
      </c>
      <c r="AG2015" s="55">
        <f>VLOOKUP($E2015,'NI-Soc_SP'!$C:$AN,MID(AG$1,1,2),FALSE)</f>
        <v>0</v>
      </c>
      <c r="AH2015" s="55">
        <f>VLOOKUP($E2015,'NI-Soc_SP'!$C:$AN,MID(AH$1,1,2),FALSE)</f>
        <v>0</v>
      </c>
      <c r="AI2015" s="55">
        <f>VLOOKUP($E2015,'NI-Soc_SP'!$C:$AN,MID(AI$1,1,2),FALSE)</f>
        <v>0</v>
      </c>
      <c r="AJ2015" s="55">
        <f>VLOOKUP($E2015,'NI-Soc_SP'!$C:$AN,MID(AJ$1,1,2),FALSE)</f>
        <v>0</v>
      </c>
      <c r="AK2015" s="55">
        <f>VLOOKUP($E2015,'NI-Soc_SP'!$C:$AN,MID(AK$1,1,2),FALSE)</f>
        <v>0</v>
      </c>
      <c r="AL2015" s="55">
        <f>VLOOKUP($E2015,'NI-Soc_SP'!$C:$AN,MID(AL$1,1,2),FALSE)</f>
        <v>0</v>
      </c>
      <c r="AM2015" s="56">
        <f>VLOOKUP($E2015,'NI-Soc_SP'!$C:$AN,MID(AM$1,1,2),FALSE)</f>
        <v>0</v>
      </c>
      <c r="AN2015" s="30" t="str">
        <f t="shared" si="31"/>
        <v>60404040000000</v>
      </c>
    </row>
    <row r="2016" spans="1:40" x14ac:dyDescent="0.25">
      <c r="C2016" s="40"/>
      <c r="D2016" s="121" t="s">
        <v>2169</v>
      </c>
      <c r="E2016" s="121" t="s">
        <v>2170</v>
      </c>
      <c r="F2016" s="122" t="s">
        <v>2758</v>
      </c>
      <c r="G2016" s="51"/>
      <c r="H2016" s="52"/>
      <c r="I2016" s="52"/>
      <c r="J2016" s="52"/>
      <c r="K2016" s="53" t="s">
        <v>79</v>
      </c>
      <c r="L2016" s="52"/>
      <c r="M2016" s="52"/>
      <c r="N2016" s="52"/>
      <c r="O2016" s="52"/>
      <c r="P2016" s="54" t="s">
        <v>2171</v>
      </c>
      <c r="Q2016" s="55">
        <f>VLOOKUP(E2016,'NI-Soc_SP'!$C:$AN,12,FALSE)</f>
        <v>0</v>
      </c>
      <c r="R2016" s="55">
        <f>VLOOKUP(E2016,'NI-Soc_SP'!$C:$AN,13,FALSE)</f>
        <v>0</v>
      </c>
      <c r="S2016" s="55"/>
      <c r="T2016" s="55"/>
      <c r="U2016" s="55">
        <f>VLOOKUP($E2016,'NI-Soc_SP'!$C:$AN,MID(U$1,1,2),FALSE)</f>
        <v>0</v>
      </c>
      <c r="V2016" s="55">
        <f>VLOOKUP($E2016,'NI-Soc_SP'!$C:$AN,MID(V$1,1,2),FALSE)</f>
        <v>0</v>
      </c>
      <c r="W2016" s="55">
        <f>VLOOKUP($E2016,'NI-Soc_SP'!$C:$AN,MID(W$1,1,2),FALSE)</f>
        <v>0</v>
      </c>
      <c r="X2016" s="55">
        <f>VLOOKUP($E2016,'NI-Soc_SP'!$C:$AN,MID(X$1,1,2),FALSE)</f>
        <v>0</v>
      </c>
      <c r="Y2016" s="55">
        <f>VLOOKUP($E2016,'NI-Soc_SP'!$C:$AN,MID(Y$1,1,2),FALSE)</f>
        <v>0</v>
      </c>
      <c r="Z2016" s="55">
        <f>VLOOKUP($E2016,'NI-Soc_SP'!$C:$AN,MID(Z$1,1,2),FALSE)</f>
        <v>0</v>
      </c>
      <c r="AA2016" s="55">
        <f>VLOOKUP($E2016,'NI-Soc_SP'!$C:$AN,MID(AA$1,1,2),FALSE)</f>
        <v>0</v>
      </c>
      <c r="AB2016" s="55">
        <f>VLOOKUP($E2016,'NI-Soc_SP'!$C:$AN,MID(AB$1,1,2),FALSE)</f>
        <v>0</v>
      </c>
      <c r="AC2016" s="55">
        <f>VLOOKUP($E2016,'NI-Soc_SP'!$C:$AN,MID(AC$1,1,2),FALSE)</f>
        <v>0</v>
      </c>
      <c r="AD2016" s="55">
        <f>VLOOKUP($E2016,'NI-Soc_SP'!$C:$AN,MID(AD$1,1,2),FALSE)</f>
        <v>0</v>
      </c>
      <c r="AE2016" s="55">
        <f>VLOOKUP($E2016,'NI-Soc_SP'!$C:$AN,MID(AE$1,1,2),FALSE)</f>
        <v>0</v>
      </c>
      <c r="AF2016" s="55">
        <f>VLOOKUP($E2016,'NI-Soc_SP'!$C:$AN,MID(AF$1,1,2),FALSE)</f>
        <v>0</v>
      </c>
      <c r="AG2016" s="55">
        <f>VLOOKUP($E2016,'NI-Soc_SP'!$C:$AN,MID(AG$1,1,2),FALSE)</f>
        <v>0</v>
      </c>
      <c r="AH2016" s="55">
        <f>VLOOKUP($E2016,'NI-Soc_SP'!$C:$AN,MID(AH$1,1,2),FALSE)</f>
        <v>0</v>
      </c>
      <c r="AI2016" s="55">
        <f>VLOOKUP($E2016,'NI-Soc_SP'!$C:$AN,MID(AI$1,1,2),FALSE)</f>
        <v>0</v>
      </c>
      <c r="AJ2016" s="55">
        <f>VLOOKUP($E2016,'NI-Soc_SP'!$C:$AN,MID(AJ$1,1,2),FALSE)</f>
        <v>0</v>
      </c>
      <c r="AK2016" s="55">
        <f>VLOOKUP($E2016,'NI-Soc_SP'!$C:$AN,MID(AK$1,1,2),FALSE)</f>
        <v>0</v>
      </c>
      <c r="AL2016" s="55">
        <f>VLOOKUP($E2016,'NI-Soc_SP'!$C:$AN,MID(AL$1,1,2),FALSE)</f>
        <v>0</v>
      </c>
      <c r="AM2016" s="56">
        <f>VLOOKUP($E2016,'NI-Soc_SP'!$C:$AN,MID(AM$1,1,2),FALSE)</f>
        <v>0</v>
      </c>
      <c r="AN2016" s="30" t="str">
        <f t="shared" si="31"/>
        <v>60404050000000</v>
      </c>
    </row>
    <row r="2017" spans="1:40" x14ac:dyDescent="0.25">
      <c r="C2017" s="40"/>
      <c r="D2017" s="121" t="s">
        <v>2172</v>
      </c>
      <c r="E2017" s="121" t="s">
        <v>2173</v>
      </c>
      <c r="F2017" s="122" t="s">
        <v>2758</v>
      </c>
      <c r="G2017" s="52"/>
      <c r="H2017" s="52"/>
      <c r="I2017" s="52" t="s">
        <v>2174</v>
      </c>
      <c r="J2017" s="52"/>
      <c r="K2017" s="59" t="s">
        <v>79</v>
      </c>
      <c r="L2017" s="62" t="s">
        <v>2175</v>
      </c>
      <c r="M2017" s="52"/>
      <c r="N2017" s="52"/>
      <c r="O2017" s="52"/>
      <c r="P2017" s="60" t="s">
        <v>2176</v>
      </c>
      <c r="Q2017" s="55">
        <f>VLOOKUP(E2017,'NI-Soc_SP'!$C:$AN,12,FALSE)</f>
        <v>0</v>
      </c>
      <c r="R2017" s="55">
        <f>VLOOKUP(E2017,'NI-Soc_SP'!$C:$AN,13,FALSE)</f>
        <v>0</v>
      </c>
      <c r="S2017" s="55"/>
      <c r="T2017" s="55"/>
      <c r="U2017" s="55">
        <f>VLOOKUP($E2017,'NI-Soc_SP'!$C:$AN,MID(U$1,1,2),FALSE)</f>
        <v>0</v>
      </c>
      <c r="V2017" s="55">
        <f>VLOOKUP($E2017,'NI-Soc_SP'!$C:$AN,MID(V$1,1,2),FALSE)</f>
        <v>0</v>
      </c>
      <c r="W2017" s="55">
        <f>VLOOKUP($E2017,'NI-Soc_SP'!$C:$AN,MID(W$1,1,2),FALSE)</f>
        <v>0</v>
      </c>
      <c r="X2017" s="55">
        <f>VLOOKUP($E2017,'NI-Soc_SP'!$C:$AN,MID(X$1,1,2),FALSE)</f>
        <v>0</v>
      </c>
      <c r="Y2017" s="55">
        <f>VLOOKUP($E2017,'NI-Soc_SP'!$C:$AN,MID(Y$1,1,2),FALSE)</f>
        <v>0</v>
      </c>
      <c r="Z2017" s="55">
        <f>VLOOKUP($E2017,'NI-Soc_SP'!$C:$AN,MID(Z$1,1,2),FALSE)</f>
        <v>0</v>
      </c>
      <c r="AA2017" s="55">
        <f>VLOOKUP($E2017,'NI-Soc_SP'!$C:$AN,MID(AA$1,1,2),FALSE)</f>
        <v>0</v>
      </c>
      <c r="AB2017" s="55">
        <f>VLOOKUP($E2017,'NI-Soc_SP'!$C:$AN,MID(AB$1,1,2),FALSE)</f>
        <v>0</v>
      </c>
      <c r="AC2017" s="55">
        <f>VLOOKUP($E2017,'NI-Soc_SP'!$C:$AN,MID(AC$1,1,2),FALSE)</f>
        <v>0</v>
      </c>
      <c r="AD2017" s="55">
        <f>VLOOKUP($E2017,'NI-Soc_SP'!$C:$AN,MID(AD$1,1,2),FALSE)</f>
        <v>0</v>
      </c>
      <c r="AE2017" s="55">
        <f>VLOOKUP($E2017,'NI-Soc_SP'!$C:$AN,MID(AE$1,1,2),FALSE)</f>
        <v>0</v>
      </c>
      <c r="AF2017" s="55">
        <f>VLOOKUP($E2017,'NI-Soc_SP'!$C:$AN,MID(AF$1,1,2),FALSE)</f>
        <v>0</v>
      </c>
      <c r="AG2017" s="55">
        <f>VLOOKUP($E2017,'NI-Soc_SP'!$C:$AN,MID(AG$1,1,2),FALSE)</f>
        <v>0</v>
      </c>
      <c r="AH2017" s="55">
        <f>VLOOKUP($E2017,'NI-Soc_SP'!$C:$AN,MID(AH$1,1,2),FALSE)</f>
        <v>0</v>
      </c>
      <c r="AI2017" s="55">
        <f>VLOOKUP($E2017,'NI-Soc_SP'!$C:$AN,MID(AI$1,1,2),FALSE)</f>
        <v>0</v>
      </c>
      <c r="AJ2017" s="55">
        <f>VLOOKUP($E2017,'NI-Soc_SP'!$C:$AN,MID(AJ$1,1,2),FALSE)</f>
        <v>0</v>
      </c>
      <c r="AK2017" s="55">
        <f>VLOOKUP($E2017,'NI-Soc_SP'!$C:$AN,MID(AK$1,1,2),FALSE)</f>
        <v>0</v>
      </c>
      <c r="AL2017" s="55">
        <f>VLOOKUP($E2017,'NI-Soc_SP'!$C:$AN,MID(AL$1,1,2),FALSE)</f>
        <v>0</v>
      </c>
      <c r="AM2017" s="56">
        <f>VLOOKUP($E2017,'NI-Soc_SP'!$C:$AN,MID(AM$1,1,2),FALSE)</f>
        <v>0</v>
      </c>
      <c r="AN2017" s="30" t="str">
        <f t="shared" si="31"/>
        <v>60405000000000</v>
      </c>
    </row>
    <row r="2018" spans="1:40" x14ac:dyDescent="0.25">
      <c r="C2018" s="40"/>
      <c r="D2018" s="121" t="s">
        <v>2177</v>
      </c>
      <c r="E2018" s="121" t="s">
        <v>2178</v>
      </c>
      <c r="F2018" s="122" t="s">
        <v>2758</v>
      </c>
      <c r="G2018" s="52"/>
      <c r="H2018" s="52"/>
      <c r="I2018" s="52"/>
      <c r="J2018" s="52"/>
      <c r="K2018" s="59" t="s">
        <v>111</v>
      </c>
      <c r="L2018" s="62"/>
      <c r="M2018" s="52"/>
      <c r="N2018" s="52"/>
      <c r="O2018" s="61" t="s">
        <v>2179</v>
      </c>
      <c r="P2018" s="60" t="s">
        <v>2180</v>
      </c>
      <c r="Q2018" s="55">
        <f>VLOOKUP(E2018,'NI-Soc_SP'!$C:$AN,12,FALSE)</f>
        <v>0</v>
      </c>
      <c r="R2018" s="55">
        <f>VLOOKUP(E2018,'NI-Soc_SP'!$C:$AN,13,FALSE)</f>
        <v>0</v>
      </c>
      <c r="S2018" s="55"/>
      <c r="T2018" s="55"/>
      <c r="U2018" s="55">
        <f>VLOOKUP($E2018,'NI-Soc_SP'!$C:$AN,MID(U$1,1,2),FALSE)</f>
        <v>0</v>
      </c>
      <c r="V2018" s="55">
        <f>VLOOKUP($E2018,'NI-Soc_SP'!$C:$AN,MID(V$1,1,2),FALSE)</f>
        <v>0</v>
      </c>
      <c r="W2018" s="55">
        <f>VLOOKUP($E2018,'NI-Soc_SP'!$C:$AN,MID(W$1,1,2),FALSE)</f>
        <v>0</v>
      </c>
      <c r="X2018" s="55">
        <f>VLOOKUP($E2018,'NI-Soc_SP'!$C:$AN,MID(X$1,1,2),FALSE)</f>
        <v>0</v>
      </c>
      <c r="Y2018" s="55">
        <f>VLOOKUP($E2018,'NI-Soc_SP'!$C:$AN,MID(Y$1,1,2),FALSE)</f>
        <v>0</v>
      </c>
      <c r="Z2018" s="55">
        <f>VLOOKUP($E2018,'NI-Soc_SP'!$C:$AN,MID(Z$1,1,2),FALSE)</f>
        <v>0</v>
      </c>
      <c r="AA2018" s="55">
        <f>VLOOKUP($E2018,'NI-Soc_SP'!$C:$AN,MID(AA$1,1,2),FALSE)</f>
        <v>0</v>
      </c>
      <c r="AB2018" s="55">
        <f>VLOOKUP($E2018,'NI-Soc_SP'!$C:$AN,MID(AB$1,1,2),FALSE)</f>
        <v>0</v>
      </c>
      <c r="AC2018" s="55">
        <f>VLOOKUP($E2018,'NI-Soc_SP'!$C:$AN,MID(AC$1,1,2),FALSE)</f>
        <v>0</v>
      </c>
      <c r="AD2018" s="55">
        <f>VLOOKUP($E2018,'NI-Soc_SP'!$C:$AN,MID(AD$1,1,2),FALSE)</f>
        <v>0</v>
      </c>
      <c r="AE2018" s="55">
        <f>VLOOKUP($E2018,'NI-Soc_SP'!$C:$AN,MID(AE$1,1,2),FALSE)</f>
        <v>0</v>
      </c>
      <c r="AF2018" s="55">
        <f>VLOOKUP($E2018,'NI-Soc_SP'!$C:$AN,MID(AF$1,1,2),FALSE)</f>
        <v>0</v>
      </c>
      <c r="AG2018" s="55">
        <f>VLOOKUP($E2018,'NI-Soc_SP'!$C:$AN,MID(AG$1,1,2),FALSE)</f>
        <v>0</v>
      </c>
      <c r="AH2018" s="55">
        <f>VLOOKUP($E2018,'NI-Soc_SP'!$C:$AN,MID(AH$1,1,2),FALSE)</f>
        <v>0</v>
      </c>
      <c r="AI2018" s="55">
        <f>VLOOKUP($E2018,'NI-Soc_SP'!$C:$AN,MID(AI$1,1,2),FALSE)</f>
        <v>0</v>
      </c>
      <c r="AJ2018" s="55">
        <f>VLOOKUP($E2018,'NI-Soc_SP'!$C:$AN,MID(AJ$1,1,2),FALSE)</f>
        <v>0</v>
      </c>
      <c r="AK2018" s="55">
        <f>VLOOKUP($E2018,'NI-Soc_SP'!$C:$AN,MID(AK$1,1,2),FALSE)</f>
        <v>0</v>
      </c>
      <c r="AL2018" s="55">
        <f>VLOOKUP($E2018,'NI-Soc_SP'!$C:$AN,MID(AL$1,1,2),FALSE)</f>
        <v>0</v>
      </c>
      <c r="AM2018" s="56">
        <f>VLOOKUP($E2018,'NI-Soc_SP'!$C:$AN,MID(AM$1,1,2),FALSE)</f>
        <v>0</v>
      </c>
      <c r="AN2018" s="30" t="str">
        <f t="shared" si="31"/>
        <v>60500000000000</v>
      </c>
    </row>
    <row r="2019" spans="1:40" x14ac:dyDescent="0.25">
      <c r="C2019" s="40"/>
      <c r="D2019" s="121" t="s">
        <v>2181</v>
      </c>
      <c r="E2019" s="121" t="s">
        <v>2182</v>
      </c>
      <c r="F2019" s="122" t="s">
        <v>2758</v>
      </c>
      <c r="G2019" s="52"/>
      <c r="H2019" s="52"/>
      <c r="I2019" s="52" t="s">
        <v>2183</v>
      </c>
      <c r="J2019" s="52"/>
      <c r="K2019" s="59" t="s">
        <v>111</v>
      </c>
      <c r="L2019" s="52" t="s">
        <v>2184</v>
      </c>
      <c r="M2019" s="52"/>
      <c r="N2019" s="52"/>
      <c r="O2019" s="52"/>
      <c r="P2019" s="114" t="s">
        <v>2185</v>
      </c>
      <c r="Q2019" s="55">
        <f>VLOOKUP(E2019,'NI-Soc_SP'!$C:$AN,12,FALSE)</f>
        <v>0</v>
      </c>
      <c r="R2019" s="55">
        <f>VLOOKUP(E2019,'NI-Soc_SP'!$C:$AN,13,FALSE)</f>
        <v>0</v>
      </c>
      <c r="S2019" s="55"/>
      <c r="T2019" s="55"/>
      <c r="U2019" s="55">
        <f>VLOOKUP($E2019,'NI-Soc_SP'!$C:$AN,MID(U$1,1,2),FALSE)</f>
        <v>0</v>
      </c>
      <c r="V2019" s="55">
        <f>VLOOKUP($E2019,'NI-Soc_SP'!$C:$AN,MID(V$1,1,2),FALSE)</f>
        <v>0</v>
      </c>
      <c r="W2019" s="55">
        <f>VLOOKUP($E2019,'NI-Soc_SP'!$C:$AN,MID(W$1,1,2),FALSE)</f>
        <v>0</v>
      </c>
      <c r="X2019" s="55">
        <f>VLOOKUP($E2019,'NI-Soc_SP'!$C:$AN,MID(X$1,1,2),FALSE)</f>
        <v>0</v>
      </c>
      <c r="Y2019" s="55">
        <f>VLOOKUP($E2019,'NI-Soc_SP'!$C:$AN,MID(Y$1,1,2),FALSE)</f>
        <v>0</v>
      </c>
      <c r="Z2019" s="55">
        <f>VLOOKUP($E2019,'NI-Soc_SP'!$C:$AN,MID(Z$1,1,2),FALSE)</f>
        <v>0</v>
      </c>
      <c r="AA2019" s="55">
        <f>VLOOKUP($E2019,'NI-Soc_SP'!$C:$AN,MID(AA$1,1,2),FALSE)</f>
        <v>0</v>
      </c>
      <c r="AB2019" s="55">
        <f>VLOOKUP($E2019,'NI-Soc_SP'!$C:$AN,MID(AB$1,1,2),FALSE)</f>
        <v>0</v>
      </c>
      <c r="AC2019" s="55">
        <f>VLOOKUP($E2019,'NI-Soc_SP'!$C:$AN,MID(AC$1,1,2),FALSE)</f>
        <v>0</v>
      </c>
      <c r="AD2019" s="55">
        <f>VLOOKUP($E2019,'NI-Soc_SP'!$C:$AN,MID(AD$1,1,2),FALSE)</f>
        <v>0</v>
      </c>
      <c r="AE2019" s="55">
        <f>VLOOKUP($E2019,'NI-Soc_SP'!$C:$AN,MID(AE$1,1,2),FALSE)</f>
        <v>0</v>
      </c>
      <c r="AF2019" s="55">
        <f>VLOOKUP($E2019,'NI-Soc_SP'!$C:$AN,MID(AF$1,1,2),FALSE)</f>
        <v>0</v>
      </c>
      <c r="AG2019" s="55">
        <f>VLOOKUP($E2019,'NI-Soc_SP'!$C:$AN,MID(AG$1,1,2),FALSE)</f>
        <v>0</v>
      </c>
      <c r="AH2019" s="55">
        <f>VLOOKUP($E2019,'NI-Soc_SP'!$C:$AN,MID(AH$1,1,2),FALSE)</f>
        <v>0</v>
      </c>
      <c r="AI2019" s="55">
        <f>VLOOKUP($E2019,'NI-Soc_SP'!$C:$AN,MID(AI$1,1,2),FALSE)</f>
        <v>0</v>
      </c>
      <c r="AJ2019" s="55">
        <f>VLOOKUP($E2019,'NI-Soc_SP'!$C:$AN,MID(AJ$1,1,2),FALSE)</f>
        <v>0</v>
      </c>
      <c r="AK2019" s="55">
        <f>VLOOKUP($E2019,'NI-Soc_SP'!$C:$AN,MID(AK$1,1,2),FALSE)</f>
        <v>0</v>
      </c>
      <c r="AL2019" s="55">
        <f>VLOOKUP($E2019,'NI-Soc_SP'!$C:$AN,MID(AL$1,1,2),FALSE)</f>
        <v>0</v>
      </c>
      <c r="AM2019" s="56">
        <f>VLOOKUP($E2019,'NI-Soc_SP'!$C:$AN,MID(AM$1,1,2),FALSE)</f>
        <v>0</v>
      </c>
      <c r="AN2019" s="30" t="str">
        <f t="shared" si="31"/>
        <v>60501000000000</v>
      </c>
    </row>
    <row r="2020" spans="1:40" x14ac:dyDescent="0.25">
      <c r="C2020" s="40"/>
      <c r="D2020" s="121" t="s">
        <v>2186</v>
      </c>
      <c r="E2020" s="121" t="s">
        <v>2187</v>
      </c>
      <c r="F2020" s="122" t="s">
        <v>2758</v>
      </c>
      <c r="G2020" s="52"/>
      <c r="H2020" s="52"/>
      <c r="I2020" s="52"/>
      <c r="J2020" s="52"/>
      <c r="K2020" s="59" t="s">
        <v>79</v>
      </c>
      <c r="L2020" s="52"/>
      <c r="M2020" s="52"/>
      <c r="N2020" s="52"/>
      <c r="O2020" s="52"/>
      <c r="P2020" s="114" t="s">
        <v>2188</v>
      </c>
      <c r="Q2020" s="55">
        <f>VLOOKUP(E2020,'NI-Soc_SP'!$C:$AN,12,FALSE)</f>
        <v>0</v>
      </c>
      <c r="R2020" s="55">
        <f>VLOOKUP(E2020,'NI-Soc_SP'!$C:$AN,13,FALSE)</f>
        <v>0</v>
      </c>
      <c r="S2020" s="55"/>
      <c r="T2020" s="55"/>
      <c r="U2020" s="55">
        <f>VLOOKUP($E2020,'NI-Soc_SP'!$C:$AN,MID(U$1,1,2),FALSE)</f>
        <v>0</v>
      </c>
      <c r="V2020" s="55">
        <f>VLOOKUP($E2020,'NI-Soc_SP'!$C:$AN,MID(V$1,1,2),FALSE)</f>
        <v>0</v>
      </c>
      <c r="W2020" s="55">
        <f>VLOOKUP($E2020,'NI-Soc_SP'!$C:$AN,MID(W$1,1,2),FALSE)</f>
        <v>0</v>
      </c>
      <c r="X2020" s="55">
        <f>VLOOKUP($E2020,'NI-Soc_SP'!$C:$AN,MID(X$1,1,2),FALSE)</f>
        <v>0</v>
      </c>
      <c r="Y2020" s="55">
        <f>VLOOKUP($E2020,'NI-Soc_SP'!$C:$AN,MID(Y$1,1,2),FALSE)</f>
        <v>0</v>
      </c>
      <c r="Z2020" s="55">
        <f>VLOOKUP($E2020,'NI-Soc_SP'!$C:$AN,MID(Z$1,1,2),FALSE)</f>
        <v>0</v>
      </c>
      <c r="AA2020" s="55">
        <f>VLOOKUP($E2020,'NI-Soc_SP'!$C:$AN,MID(AA$1,1,2),FALSE)</f>
        <v>0</v>
      </c>
      <c r="AB2020" s="55">
        <f>VLOOKUP($E2020,'NI-Soc_SP'!$C:$AN,MID(AB$1,1,2),FALSE)</f>
        <v>0</v>
      </c>
      <c r="AC2020" s="55">
        <f>VLOOKUP($E2020,'NI-Soc_SP'!$C:$AN,MID(AC$1,1,2),FALSE)</f>
        <v>0</v>
      </c>
      <c r="AD2020" s="55">
        <f>VLOOKUP($E2020,'NI-Soc_SP'!$C:$AN,MID(AD$1,1,2),FALSE)</f>
        <v>0</v>
      </c>
      <c r="AE2020" s="55">
        <f>VLOOKUP($E2020,'NI-Soc_SP'!$C:$AN,MID(AE$1,1,2),FALSE)</f>
        <v>0</v>
      </c>
      <c r="AF2020" s="55">
        <f>VLOOKUP($E2020,'NI-Soc_SP'!$C:$AN,MID(AF$1,1,2),FALSE)</f>
        <v>0</v>
      </c>
      <c r="AG2020" s="55">
        <f>VLOOKUP($E2020,'NI-Soc_SP'!$C:$AN,MID(AG$1,1,2),FALSE)</f>
        <v>0</v>
      </c>
      <c r="AH2020" s="55">
        <f>VLOOKUP($E2020,'NI-Soc_SP'!$C:$AN,MID(AH$1,1,2),FALSE)</f>
        <v>0</v>
      </c>
      <c r="AI2020" s="55">
        <f>VLOOKUP($E2020,'NI-Soc_SP'!$C:$AN,MID(AI$1,1,2),FALSE)</f>
        <v>0</v>
      </c>
      <c r="AJ2020" s="55">
        <f>VLOOKUP($E2020,'NI-Soc_SP'!$C:$AN,MID(AJ$1,1,2),FALSE)</f>
        <v>0</v>
      </c>
      <c r="AK2020" s="55">
        <f>VLOOKUP($E2020,'NI-Soc_SP'!$C:$AN,MID(AK$1,1,2),FALSE)</f>
        <v>0</v>
      </c>
      <c r="AL2020" s="55">
        <f>VLOOKUP($E2020,'NI-Soc_SP'!$C:$AN,MID(AL$1,1,2),FALSE)</f>
        <v>0</v>
      </c>
      <c r="AM2020" s="56">
        <f>VLOOKUP($E2020,'NI-Soc_SP'!$C:$AN,MID(AM$1,1,2),FALSE)</f>
        <v>0</v>
      </c>
      <c r="AN2020" s="30" t="str">
        <f t="shared" si="31"/>
        <v>60501010000000</v>
      </c>
    </row>
    <row r="2021" spans="1:40" x14ac:dyDescent="0.25">
      <c r="C2021" s="40"/>
      <c r="D2021" s="121" t="s">
        <v>2189</v>
      </c>
      <c r="E2021" s="121" t="s">
        <v>2190</v>
      </c>
      <c r="F2021" s="122" t="s">
        <v>2758</v>
      </c>
      <c r="G2021" s="52"/>
      <c r="H2021" s="52"/>
      <c r="I2021" s="52"/>
      <c r="J2021" s="52"/>
      <c r="K2021" s="59" t="s">
        <v>79</v>
      </c>
      <c r="L2021" s="52"/>
      <c r="M2021" s="52"/>
      <c r="N2021" s="52"/>
      <c r="O2021" s="52"/>
      <c r="P2021" s="114" t="s">
        <v>2191</v>
      </c>
      <c r="Q2021" s="55">
        <f>VLOOKUP(E2021,'NI-Soc_SP'!$C:$AN,12,FALSE)</f>
        <v>0</v>
      </c>
      <c r="R2021" s="55">
        <f>VLOOKUP(E2021,'NI-Soc_SP'!$C:$AN,13,FALSE)</f>
        <v>0</v>
      </c>
      <c r="S2021" s="55"/>
      <c r="T2021" s="55"/>
      <c r="U2021" s="55">
        <f>VLOOKUP($E2021,'NI-Soc_SP'!$C:$AN,MID(U$1,1,2),FALSE)</f>
        <v>0</v>
      </c>
      <c r="V2021" s="55">
        <f>VLOOKUP($E2021,'NI-Soc_SP'!$C:$AN,MID(V$1,1,2),FALSE)</f>
        <v>0</v>
      </c>
      <c r="W2021" s="55">
        <f>VLOOKUP($E2021,'NI-Soc_SP'!$C:$AN,MID(W$1,1,2),FALSE)</f>
        <v>0</v>
      </c>
      <c r="X2021" s="55">
        <f>VLOOKUP($E2021,'NI-Soc_SP'!$C:$AN,MID(X$1,1,2),FALSE)</f>
        <v>0</v>
      </c>
      <c r="Y2021" s="55">
        <f>VLOOKUP($E2021,'NI-Soc_SP'!$C:$AN,MID(Y$1,1,2),FALSE)</f>
        <v>0</v>
      </c>
      <c r="Z2021" s="55">
        <f>VLOOKUP($E2021,'NI-Soc_SP'!$C:$AN,MID(Z$1,1,2),FALSE)</f>
        <v>0</v>
      </c>
      <c r="AA2021" s="55">
        <f>VLOOKUP($E2021,'NI-Soc_SP'!$C:$AN,MID(AA$1,1,2),FALSE)</f>
        <v>0</v>
      </c>
      <c r="AB2021" s="55">
        <f>VLOOKUP($E2021,'NI-Soc_SP'!$C:$AN,MID(AB$1,1,2),FALSE)</f>
        <v>0</v>
      </c>
      <c r="AC2021" s="55">
        <f>VLOOKUP($E2021,'NI-Soc_SP'!$C:$AN,MID(AC$1,1,2),FALSE)</f>
        <v>0</v>
      </c>
      <c r="AD2021" s="55">
        <f>VLOOKUP($E2021,'NI-Soc_SP'!$C:$AN,MID(AD$1,1,2),FALSE)</f>
        <v>0</v>
      </c>
      <c r="AE2021" s="55">
        <f>VLOOKUP($E2021,'NI-Soc_SP'!$C:$AN,MID(AE$1,1,2),FALSE)</f>
        <v>0</v>
      </c>
      <c r="AF2021" s="55">
        <f>VLOOKUP($E2021,'NI-Soc_SP'!$C:$AN,MID(AF$1,1,2),FALSE)</f>
        <v>0</v>
      </c>
      <c r="AG2021" s="55">
        <f>VLOOKUP($E2021,'NI-Soc_SP'!$C:$AN,MID(AG$1,1,2),FALSE)</f>
        <v>0</v>
      </c>
      <c r="AH2021" s="55">
        <f>VLOOKUP($E2021,'NI-Soc_SP'!$C:$AN,MID(AH$1,1,2),FALSE)</f>
        <v>0</v>
      </c>
      <c r="AI2021" s="55">
        <f>VLOOKUP($E2021,'NI-Soc_SP'!$C:$AN,MID(AI$1,1,2),FALSE)</f>
        <v>0</v>
      </c>
      <c r="AJ2021" s="55">
        <f>VLOOKUP($E2021,'NI-Soc_SP'!$C:$AN,MID(AJ$1,1,2),FALSE)</f>
        <v>0</v>
      </c>
      <c r="AK2021" s="55">
        <f>VLOOKUP($E2021,'NI-Soc_SP'!$C:$AN,MID(AK$1,1,2),FALSE)</f>
        <v>0</v>
      </c>
      <c r="AL2021" s="55">
        <f>VLOOKUP($E2021,'NI-Soc_SP'!$C:$AN,MID(AL$1,1,2),FALSE)</f>
        <v>0</v>
      </c>
      <c r="AM2021" s="56">
        <f>VLOOKUP($E2021,'NI-Soc_SP'!$C:$AN,MID(AM$1,1,2),FALSE)</f>
        <v>0</v>
      </c>
      <c r="AN2021" s="30" t="str">
        <f t="shared" si="31"/>
        <v>60501020000000</v>
      </c>
    </row>
    <row r="2022" spans="1:40" x14ac:dyDescent="0.25">
      <c r="C2022" s="40"/>
      <c r="D2022" s="121" t="s">
        <v>2192</v>
      </c>
      <c r="E2022" s="121" t="s">
        <v>2193</v>
      </c>
      <c r="F2022" s="122" t="s">
        <v>2758</v>
      </c>
      <c r="G2022" s="52"/>
      <c r="H2022" s="52"/>
      <c r="I2022" s="52"/>
      <c r="J2022" s="52"/>
      <c r="K2022" s="59" t="s">
        <v>111</v>
      </c>
      <c r="L2022" s="52" t="s">
        <v>2194</v>
      </c>
      <c r="M2022" s="52"/>
      <c r="N2022" s="52"/>
      <c r="O2022" s="52"/>
      <c r="P2022" s="114" t="s">
        <v>2195</v>
      </c>
      <c r="Q2022" s="55">
        <f>VLOOKUP(E2022,'NI-Soc_SP'!$C:$AN,12,FALSE)</f>
        <v>0</v>
      </c>
      <c r="R2022" s="55">
        <f>VLOOKUP(E2022,'NI-Soc_SP'!$C:$AN,13,FALSE)</f>
        <v>0</v>
      </c>
      <c r="S2022" s="55"/>
      <c r="T2022" s="55"/>
      <c r="U2022" s="55">
        <f>VLOOKUP($E2022,'NI-Soc_SP'!$C:$AN,MID(U$1,1,2),FALSE)</f>
        <v>0</v>
      </c>
      <c r="V2022" s="55">
        <f>VLOOKUP($E2022,'NI-Soc_SP'!$C:$AN,MID(V$1,1,2),FALSE)</f>
        <v>0</v>
      </c>
      <c r="W2022" s="55">
        <f>VLOOKUP($E2022,'NI-Soc_SP'!$C:$AN,MID(W$1,1,2),FALSE)</f>
        <v>0</v>
      </c>
      <c r="X2022" s="55">
        <f>VLOOKUP($E2022,'NI-Soc_SP'!$C:$AN,MID(X$1,1,2),FALSE)</f>
        <v>0</v>
      </c>
      <c r="Y2022" s="55">
        <f>VLOOKUP($E2022,'NI-Soc_SP'!$C:$AN,MID(Y$1,1,2),FALSE)</f>
        <v>0</v>
      </c>
      <c r="Z2022" s="55">
        <f>VLOOKUP($E2022,'NI-Soc_SP'!$C:$AN,MID(Z$1,1,2),FALSE)</f>
        <v>0</v>
      </c>
      <c r="AA2022" s="55">
        <f>VLOOKUP($E2022,'NI-Soc_SP'!$C:$AN,MID(AA$1,1,2),FALSE)</f>
        <v>0</v>
      </c>
      <c r="AB2022" s="55">
        <f>VLOOKUP($E2022,'NI-Soc_SP'!$C:$AN,MID(AB$1,1,2),FALSE)</f>
        <v>0</v>
      </c>
      <c r="AC2022" s="55">
        <f>VLOOKUP($E2022,'NI-Soc_SP'!$C:$AN,MID(AC$1,1,2),FALSE)</f>
        <v>0</v>
      </c>
      <c r="AD2022" s="55">
        <f>VLOOKUP($E2022,'NI-Soc_SP'!$C:$AN,MID(AD$1,1,2),FALSE)</f>
        <v>0</v>
      </c>
      <c r="AE2022" s="55">
        <f>VLOOKUP($E2022,'NI-Soc_SP'!$C:$AN,MID(AE$1,1,2),FALSE)</f>
        <v>0</v>
      </c>
      <c r="AF2022" s="55">
        <f>VLOOKUP($E2022,'NI-Soc_SP'!$C:$AN,MID(AF$1,1,2),FALSE)</f>
        <v>0</v>
      </c>
      <c r="AG2022" s="55">
        <f>VLOOKUP($E2022,'NI-Soc_SP'!$C:$AN,MID(AG$1,1,2),FALSE)</f>
        <v>0</v>
      </c>
      <c r="AH2022" s="55">
        <f>VLOOKUP($E2022,'NI-Soc_SP'!$C:$AN,MID(AH$1,1,2),FALSE)</f>
        <v>0</v>
      </c>
      <c r="AI2022" s="55">
        <f>VLOOKUP($E2022,'NI-Soc_SP'!$C:$AN,MID(AI$1,1,2),FALSE)</f>
        <v>0</v>
      </c>
      <c r="AJ2022" s="55">
        <f>VLOOKUP($E2022,'NI-Soc_SP'!$C:$AN,MID(AJ$1,1,2),FALSE)</f>
        <v>0</v>
      </c>
      <c r="AK2022" s="55">
        <f>VLOOKUP($E2022,'NI-Soc_SP'!$C:$AN,MID(AK$1,1,2),FALSE)</f>
        <v>0</v>
      </c>
      <c r="AL2022" s="55">
        <f>VLOOKUP($E2022,'NI-Soc_SP'!$C:$AN,MID(AL$1,1,2),FALSE)</f>
        <v>0</v>
      </c>
      <c r="AM2022" s="56">
        <f>VLOOKUP($E2022,'NI-Soc_SP'!$C:$AN,MID(AM$1,1,2),FALSE)</f>
        <v>0</v>
      </c>
      <c r="AN2022" s="30" t="str">
        <f t="shared" si="31"/>
        <v>60502010000000</v>
      </c>
    </row>
    <row r="2023" spans="1:40" x14ac:dyDescent="0.25">
      <c r="C2023" s="40"/>
      <c r="D2023" s="121" t="s">
        <v>2196</v>
      </c>
      <c r="E2023" s="121" t="s">
        <v>2197</v>
      </c>
      <c r="F2023" s="122" t="s">
        <v>2758</v>
      </c>
      <c r="G2023" s="52"/>
      <c r="H2023" s="52"/>
      <c r="I2023" s="52" t="s">
        <v>2198</v>
      </c>
      <c r="J2023" s="52"/>
      <c r="K2023" s="59" t="s">
        <v>79</v>
      </c>
      <c r="L2023" s="52"/>
      <c r="M2023" s="52"/>
      <c r="N2023" s="52"/>
      <c r="O2023" s="52"/>
      <c r="P2023" s="114" t="s">
        <v>2199</v>
      </c>
      <c r="Q2023" s="55">
        <f>VLOOKUP(E2023,'NI-Soc_SP'!$C:$AN,12,FALSE)</f>
        <v>0</v>
      </c>
      <c r="R2023" s="55">
        <f>VLOOKUP(E2023,'NI-Soc_SP'!$C:$AN,13,FALSE)</f>
        <v>0</v>
      </c>
      <c r="S2023" s="55"/>
      <c r="T2023" s="55"/>
      <c r="U2023" s="55">
        <f>VLOOKUP($E2023,'NI-Soc_SP'!$C:$AN,MID(U$1,1,2),FALSE)</f>
        <v>0</v>
      </c>
      <c r="V2023" s="55">
        <f>VLOOKUP($E2023,'NI-Soc_SP'!$C:$AN,MID(V$1,1,2),FALSE)</f>
        <v>0</v>
      </c>
      <c r="W2023" s="55">
        <f>VLOOKUP($E2023,'NI-Soc_SP'!$C:$AN,MID(W$1,1,2),FALSE)</f>
        <v>0</v>
      </c>
      <c r="X2023" s="55">
        <f>VLOOKUP($E2023,'NI-Soc_SP'!$C:$AN,MID(X$1,1,2),FALSE)</f>
        <v>0</v>
      </c>
      <c r="Y2023" s="55">
        <f>VLOOKUP($E2023,'NI-Soc_SP'!$C:$AN,MID(Y$1,1,2),FALSE)</f>
        <v>0</v>
      </c>
      <c r="Z2023" s="55">
        <f>VLOOKUP($E2023,'NI-Soc_SP'!$C:$AN,MID(Z$1,1,2),FALSE)</f>
        <v>0</v>
      </c>
      <c r="AA2023" s="55">
        <f>VLOOKUP($E2023,'NI-Soc_SP'!$C:$AN,MID(AA$1,1,2),FALSE)</f>
        <v>0</v>
      </c>
      <c r="AB2023" s="55">
        <f>VLOOKUP($E2023,'NI-Soc_SP'!$C:$AN,MID(AB$1,1,2),FALSE)</f>
        <v>0</v>
      </c>
      <c r="AC2023" s="55">
        <f>VLOOKUP($E2023,'NI-Soc_SP'!$C:$AN,MID(AC$1,1,2),FALSE)</f>
        <v>0</v>
      </c>
      <c r="AD2023" s="55">
        <f>VLOOKUP($E2023,'NI-Soc_SP'!$C:$AN,MID(AD$1,1,2),FALSE)</f>
        <v>0</v>
      </c>
      <c r="AE2023" s="55">
        <f>VLOOKUP($E2023,'NI-Soc_SP'!$C:$AN,MID(AE$1,1,2),FALSE)</f>
        <v>0</v>
      </c>
      <c r="AF2023" s="55">
        <f>VLOOKUP($E2023,'NI-Soc_SP'!$C:$AN,MID(AF$1,1,2),FALSE)</f>
        <v>0</v>
      </c>
      <c r="AG2023" s="55">
        <f>VLOOKUP($E2023,'NI-Soc_SP'!$C:$AN,MID(AG$1,1,2),FALSE)</f>
        <v>0</v>
      </c>
      <c r="AH2023" s="55">
        <f>VLOOKUP($E2023,'NI-Soc_SP'!$C:$AN,MID(AH$1,1,2),FALSE)</f>
        <v>0</v>
      </c>
      <c r="AI2023" s="55">
        <f>VLOOKUP($E2023,'NI-Soc_SP'!$C:$AN,MID(AI$1,1,2),FALSE)</f>
        <v>0</v>
      </c>
      <c r="AJ2023" s="55">
        <f>VLOOKUP($E2023,'NI-Soc_SP'!$C:$AN,MID(AJ$1,1,2),FALSE)</f>
        <v>0</v>
      </c>
      <c r="AK2023" s="55">
        <f>VLOOKUP($E2023,'NI-Soc_SP'!$C:$AN,MID(AK$1,1,2),FALSE)</f>
        <v>0</v>
      </c>
      <c r="AL2023" s="55">
        <f>VLOOKUP($E2023,'NI-Soc_SP'!$C:$AN,MID(AL$1,1,2),FALSE)</f>
        <v>0</v>
      </c>
      <c r="AM2023" s="56">
        <f>VLOOKUP($E2023,'NI-Soc_SP'!$C:$AN,MID(AM$1,1,2),FALSE)</f>
        <v>0</v>
      </c>
      <c r="AN2023" s="30" t="str">
        <f t="shared" si="31"/>
        <v>60502010010000</v>
      </c>
    </row>
    <row r="2024" spans="1:40" x14ac:dyDescent="0.25">
      <c r="C2024" s="40"/>
      <c r="D2024" s="121" t="s">
        <v>2200</v>
      </c>
      <c r="E2024" s="121" t="s">
        <v>2201</v>
      </c>
      <c r="F2024" s="122" t="s">
        <v>2758</v>
      </c>
      <c r="G2024" s="52"/>
      <c r="H2024" s="52"/>
      <c r="I2024" s="52" t="s">
        <v>2198</v>
      </c>
      <c r="J2024" s="52"/>
      <c r="K2024" s="59" t="s">
        <v>79</v>
      </c>
      <c r="L2024" s="62"/>
      <c r="M2024" s="52"/>
      <c r="N2024" s="52"/>
      <c r="O2024" s="52"/>
      <c r="P2024" s="60" t="s">
        <v>2202</v>
      </c>
      <c r="Q2024" s="55">
        <f>VLOOKUP(E2024,'NI-Soc_SP'!$C:$AN,12,FALSE)</f>
        <v>0</v>
      </c>
      <c r="R2024" s="55">
        <f>VLOOKUP(E2024,'NI-Soc_SP'!$C:$AN,13,FALSE)</f>
        <v>0</v>
      </c>
      <c r="S2024" s="55"/>
      <c r="T2024" s="55"/>
      <c r="U2024" s="55">
        <f>VLOOKUP($E2024,'NI-Soc_SP'!$C:$AN,MID(U$1,1,2),FALSE)</f>
        <v>0</v>
      </c>
      <c r="V2024" s="55">
        <f>VLOOKUP($E2024,'NI-Soc_SP'!$C:$AN,MID(V$1,1,2),FALSE)</f>
        <v>0</v>
      </c>
      <c r="W2024" s="55">
        <f>VLOOKUP($E2024,'NI-Soc_SP'!$C:$AN,MID(W$1,1,2),FALSE)</f>
        <v>0</v>
      </c>
      <c r="X2024" s="55">
        <f>VLOOKUP($E2024,'NI-Soc_SP'!$C:$AN,MID(X$1,1,2),FALSE)</f>
        <v>0</v>
      </c>
      <c r="Y2024" s="55">
        <f>VLOOKUP($E2024,'NI-Soc_SP'!$C:$AN,MID(Y$1,1,2),FALSE)</f>
        <v>0</v>
      </c>
      <c r="Z2024" s="55">
        <f>VLOOKUP($E2024,'NI-Soc_SP'!$C:$AN,MID(Z$1,1,2),FALSE)</f>
        <v>0</v>
      </c>
      <c r="AA2024" s="55">
        <f>VLOOKUP($E2024,'NI-Soc_SP'!$C:$AN,MID(AA$1,1,2),FALSE)</f>
        <v>0</v>
      </c>
      <c r="AB2024" s="55">
        <f>VLOOKUP($E2024,'NI-Soc_SP'!$C:$AN,MID(AB$1,1,2),FALSE)</f>
        <v>0</v>
      </c>
      <c r="AC2024" s="55">
        <f>VLOOKUP($E2024,'NI-Soc_SP'!$C:$AN,MID(AC$1,1,2),FALSE)</f>
        <v>0</v>
      </c>
      <c r="AD2024" s="55">
        <f>VLOOKUP($E2024,'NI-Soc_SP'!$C:$AN,MID(AD$1,1,2),FALSE)</f>
        <v>0</v>
      </c>
      <c r="AE2024" s="55">
        <f>VLOOKUP($E2024,'NI-Soc_SP'!$C:$AN,MID(AE$1,1,2),FALSE)</f>
        <v>0</v>
      </c>
      <c r="AF2024" s="55">
        <f>VLOOKUP($E2024,'NI-Soc_SP'!$C:$AN,MID(AF$1,1,2),FALSE)</f>
        <v>0</v>
      </c>
      <c r="AG2024" s="55">
        <f>VLOOKUP($E2024,'NI-Soc_SP'!$C:$AN,MID(AG$1,1,2),FALSE)</f>
        <v>0</v>
      </c>
      <c r="AH2024" s="55">
        <f>VLOOKUP($E2024,'NI-Soc_SP'!$C:$AN,MID(AH$1,1,2),FALSE)</f>
        <v>0</v>
      </c>
      <c r="AI2024" s="55">
        <f>VLOOKUP($E2024,'NI-Soc_SP'!$C:$AN,MID(AI$1,1,2),FALSE)</f>
        <v>0</v>
      </c>
      <c r="AJ2024" s="55">
        <f>VLOOKUP($E2024,'NI-Soc_SP'!$C:$AN,MID(AJ$1,1,2),FALSE)</f>
        <v>0</v>
      </c>
      <c r="AK2024" s="55">
        <f>VLOOKUP($E2024,'NI-Soc_SP'!$C:$AN,MID(AK$1,1,2),FALSE)</f>
        <v>0</v>
      </c>
      <c r="AL2024" s="55">
        <f>VLOOKUP($E2024,'NI-Soc_SP'!$C:$AN,MID(AL$1,1,2),FALSE)</f>
        <v>0</v>
      </c>
      <c r="AM2024" s="56">
        <f>VLOOKUP($E2024,'NI-Soc_SP'!$C:$AN,MID(AM$1,1,2),FALSE)</f>
        <v>0</v>
      </c>
      <c r="AN2024" s="30" t="str">
        <f t="shared" si="31"/>
        <v>60502010020000</v>
      </c>
    </row>
    <row r="2025" spans="1:40" x14ac:dyDescent="0.25">
      <c r="C2025" s="40"/>
      <c r="D2025" s="121" t="s">
        <v>2203</v>
      </c>
      <c r="E2025" s="121" t="s">
        <v>2204</v>
      </c>
      <c r="F2025" s="122" t="s">
        <v>2758</v>
      </c>
      <c r="G2025" s="52"/>
      <c r="H2025" s="52"/>
      <c r="I2025" s="52" t="s">
        <v>2198</v>
      </c>
      <c r="J2025" s="52"/>
      <c r="K2025" s="59" t="s">
        <v>79</v>
      </c>
      <c r="L2025" s="52"/>
      <c r="M2025" s="52"/>
      <c r="N2025" s="52"/>
      <c r="O2025" s="52"/>
      <c r="P2025" s="114" t="s">
        <v>2205</v>
      </c>
      <c r="Q2025" s="55">
        <f>VLOOKUP(E2025,'NI-Soc_SP'!$C:$AN,12,FALSE)</f>
        <v>0</v>
      </c>
      <c r="R2025" s="55">
        <f>VLOOKUP(E2025,'NI-Soc_SP'!$C:$AN,13,FALSE)</f>
        <v>0</v>
      </c>
      <c r="S2025" s="55"/>
      <c r="T2025" s="55"/>
      <c r="U2025" s="55">
        <f>VLOOKUP($E2025,'NI-Soc_SP'!$C:$AN,MID(U$1,1,2),FALSE)</f>
        <v>0</v>
      </c>
      <c r="V2025" s="55">
        <f>VLOOKUP($E2025,'NI-Soc_SP'!$C:$AN,MID(V$1,1,2),FALSE)</f>
        <v>0</v>
      </c>
      <c r="W2025" s="55">
        <f>VLOOKUP($E2025,'NI-Soc_SP'!$C:$AN,MID(W$1,1,2),FALSE)</f>
        <v>0</v>
      </c>
      <c r="X2025" s="55">
        <f>VLOOKUP($E2025,'NI-Soc_SP'!$C:$AN,MID(X$1,1,2),FALSE)</f>
        <v>0</v>
      </c>
      <c r="Y2025" s="55">
        <f>VLOOKUP($E2025,'NI-Soc_SP'!$C:$AN,MID(Y$1,1,2),FALSE)</f>
        <v>0</v>
      </c>
      <c r="Z2025" s="55">
        <f>VLOOKUP($E2025,'NI-Soc_SP'!$C:$AN,MID(Z$1,1,2),FALSE)</f>
        <v>0</v>
      </c>
      <c r="AA2025" s="55">
        <f>VLOOKUP($E2025,'NI-Soc_SP'!$C:$AN,MID(AA$1,1,2),FALSE)</f>
        <v>0</v>
      </c>
      <c r="AB2025" s="55">
        <f>VLOOKUP($E2025,'NI-Soc_SP'!$C:$AN,MID(AB$1,1,2),FALSE)</f>
        <v>0</v>
      </c>
      <c r="AC2025" s="55">
        <f>VLOOKUP($E2025,'NI-Soc_SP'!$C:$AN,MID(AC$1,1,2),FALSE)</f>
        <v>0</v>
      </c>
      <c r="AD2025" s="55">
        <f>VLOOKUP($E2025,'NI-Soc_SP'!$C:$AN,MID(AD$1,1,2),FALSE)</f>
        <v>0</v>
      </c>
      <c r="AE2025" s="55">
        <f>VLOOKUP($E2025,'NI-Soc_SP'!$C:$AN,MID(AE$1,1,2),FALSE)</f>
        <v>0</v>
      </c>
      <c r="AF2025" s="55">
        <f>VLOOKUP($E2025,'NI-Soc_SP'!$C:$AN,MID(AF$1,1,2),FALSE)</f>
        <v>0</v>
      </c>
      <c r="AG2025" s="55">
        <f>VLOOKUP($E2025,'NI-Soc_SP'!$C:$AN,MID(AG$1,1,2),FALSE)</f>
        <v>0</v>
      </c>
      <c r="AH2025" s="55">
        <f>VLOOKUP($E2025,'NI-Soc_SP'!$C:$AN,MID(AH$1,1,2),FALSE)</f>
        <v>0</v>
      </c>
      <c r="AI2025" s="55">
        <f>VLOOKUP($E2025,'NI-Soc_SP'!$C:$AN,MID(AI$1,1,2),FALSE)</f>
        <v>0</v>
      </c>
      <c r="AJ2025" s="55">
        <f>VLOOKUP($E2025,'NI-Soc_SP'!$C:$AN,MID(AJ$1,1,2),FALSE)</f>
        <v>0</v>
      </c>
      <c r="AK2025" s="55">
        <f>VLOOKUP($E2025,'NI-Soc_SP'!$C:$AN,MID(AK$1,1,2),FALSE)</f>
        <v>0</v>
      </c>
      <c r="AL2025" s="55">
        <f>VLOOKUP($E2025,'NI-Soc_SP'!$C:$AN,MID(AL$1,1,2),FALSE)</f>
        <v>0</v>
      </c>
      <c r="AM2025" s="56">
        <f>VLOOKUP($E2025,'NI-Soc_SP'!$C:$AN,MID(AM$1,1,2),FALSE)</f>
        <v>0</v>
      </c>
      <c r="AN2025" s="30" t="str">
        <f t="shared" si="31"/>
        <v>60502010030000</v>
      </c>
    </row>
    <row r="2026" spans="1:40" x14ac:dyDescent="0.25">
      <c r="C2026" s="40"/>
      <c r="D2026" s="121" t="s">
        <v>2206</v>
      </c>
      <c r="E2026" s="121" t="s">
        <v>2207</v>
      </c>
      <c r="F2026" s="122" t="s">
        <v>2758</v>
      </c>
      <c r="G2026" s="52"/>
      <c r="H2026" s="52"/>
      <c r="I2026" s="52" t="s">
        <v>2208</v>
      </c>
      <c r="J2026" s="52"/>
      <c r="K2026" s="59" t="s">
        <v>79</v>
      </c>
      <c r="L2026" s="52"/>
      <c r="M2026" s="52"/>
      <c r="N2026" s="52"/>
      <c r="O2026" s="52"/>
      <c r="P2026" s="114" t="s">
        <v>2209</v>
      </c>
      <c r="Q2026" s="55">
        <f>VLOOKUP(E2026,'NI-Soc_SP'!$C:$AN,12,FALSE)</f>
        <v>0</v>
      </c>
      <c r="R2026" s="55">
        <f>VLOOKUP(E2026,'NI-Soc_SP'!$C:$AN,13,FALSE)</f>
        <v>0</v>
      </c>
      <c r="S2026" s="55"/>
      <c r="T2026" s="55"/>
      <c r="U2026" s="55">
        <f>VLOOKUP($E2026,'NI-Soc_SP'!$C:$AN,MID(U$1,1,2),FALSE)</f>
        <v>0</v>
      </c>
      <c r="V2026" s="55">
        <f>VLOOKUP($E2026,'NI-Soc_SP'!$C:$AN,MID(V$1,1,2),FALSE)</f>
        <v>0</v>
      </c>
      <c r="W2026" s="55">
        <f>VLOOKUP($E2026,'NI-Soc_SP'!$C:$AN,MID(W$1,1,2),FALSE)</f>
        <v>0</v>
      </c>
      <c r="X2026" s="55">
        <f>VLOOKUP($E2026,'NI-Soc_SP'!$C:$AN,MID(X$1,1,2),FALSE)</f>
        <v>0</v>
      </c>
      <c r="Y2026" s="55">
        <f>VLOOKUP($E2026,'NI-Soc_SP'!$C:$AN,MID(Y$1,1,2),FALSE)</f>
        <v>0</v>
      </c>
      <c r="Z2026" s="55">
        <f>VLOOKUP($E2026,'NI-Soc_SP'!$C:$AN,MID(Z$1,1,2),FALSE)</f>
        <v>0</v>
      </c>
      <c r="AA2026" s="55">
        <f>VLOOKUP($E2026,'NI-Soc_SP'!$C:$AN,MID(AA$1,1,2),FALSE)</f>
        <v>0</v>
      </c>
      <c r="AB2026" s="55">
        <f>VLOOKUP($E2026,'NI-Soc_SP'!$C:$AN,MID(AB$1,1,2),FALSE)</f>
        <v>0</v>
      </c>
      <c r="AC2026" s="55">
        <f>VLOOKUP($E2026,'NI-Soc_SP'!$C:$AN,MID(AC$1,1,2),FALSE)</f>
        <v>0</v>
      </c>
      <c r="AD2026" s="55">
        <f>VLOOKUP($E2026,'NI-Soc_SP'!$C:$AN,MID(AD$1,1,2),FALSE)</f>
        <v>0</v>
      </c>
      <c r="AE2026" s="55">
        <f>VLOOKUP($E2026,'NI-Soc_SP'!$C:$AN,MID(AE$1,1,2),FALSE)</f>
        <v>0</v>
      </c>
      <c r="AF2026" s="55">
        <f>VLOOKUP($E2026,'NI-Soc_SP'!$C:$AN,MID(AF$1,1,2),FALSE)</f>
        <v>0</v>
      </c>
      <c r="AG2026" s="55">
        <f>VLOOKUP($E2026,'NI-Soc_SP'!$C:$AN,MID(AG$1,1,2),FALSE)</f>
        <v>0</v>
      </c>
      <c r="AH2026" s="55">
        <f>VLOOKUP($E2026,'NI-Soc_SP'!$C:$AN,MID(AH$1,1,2),FALSE)</f>
        <v>0</v>
      </c>
      <c r="AI2026" s="55">
        <f>VLOOKUP($E2026,'NI-Soc_SP'!$C:$AN,MID(AI$1,1,2),FALSE)</f>
        <v>0</v>
      </c>
      <c r="AJ2026" s="55">
        <f>VLOOKUP($E2026,'NI-Soc_SP'!$C:$AN,MID(AJ$1,1,2),FALSE)</f>
        <v>0</v>
      </c>
      <c r="AK2026" s="55">
        <f>VLOOKUP($E2026,'NI-Soc_SP'!$C:$AN,MID(AK$1,1,2),FALSE)</f>
        <v>0</v>
      </c>
      <c r="AL2026" s="55">
        <f>VLOOKUP($E2026,'NI-Soc_SP'!$C:$AN,MID(AL$1,1,2),FALSE)</f>
        <v>0</v>
      </c>
      <c r="AM2026" s="56">
        <f>VLOOKUP($E2026,'NI-Soc_SP'!$C:$AN,MID(AM$1,1,2),FALSE)</f>
        <v>0</v>
      </c>
      <c r="AN2026" s="30" t="str">
        <f t="shared" si="31"/>
        <v>60502010040000</v>
      </c>
    </row>
    <row r="2027" spans="1:40" x14ac:dyDescent="0.25">
      <c r="C2027" s="40"/>
      <c r="D2027" s="121" t="s">
        <v>2210</v>
      </c>
      <c r="E2027" s="121" t="s">
        <v>2211</v>
      </c>
      <c r="F2027" s="122" t="s">
        <v>2758</v>
      </c>
      <c r="G2027" s="52"/>
      <c r="H2027" s="52"/>
      <c r="I2027" s="52" t="s">
        <v>2212</v>
      </c>
      <c r="J2027" s="52"/>
      <c r="K2027" s="59" t="s">
        <v>79</v>
      </c>
      <c r="L2027" s="52"/>
      <c r="M2027" s="52"/>
      <c r="N2027" s="52"/>
      <c r="O2027" s="52"/>
      <c r="P2027" s="114" t="s">
        <v>2213</v>
      </c>
      <c r="Q2027" s="55">
        <f>VLOOKUP(E2027,'NI-Soc_SP'!$C:$AN,12,FALSE)</f>
        <v>0</v>
      </c>
      <c r="R2027" s="55">
        <f>VLOOKUP(E2027,'NI-Soc_SP'!$C:$AN,13,FALSE)</f>
        <v>0</v>
      </c>
      <c r="S2027" s="55"/>
      <c r="T2027" s="55"/>
      <c r="U2027" s="55">
        <f>VLOOKUP($E2027,'NI-Soc_SP'!$C:$AN,MID(U$1,1,2),FALSE)</f>
        <v>0</v>
      </c>
      <c r="V2027" s="55">
        <f>VLOOKUP($E2027,'NI-Soc_SP'!$C:$AN,MID(V$1,1,2),FALSE)</f>
        <v>0</v>
      </c>
      <c r="W2027" s="55">
        <f>VLOOKUP($E2027,'NI-Soc_SP'!$C:$AN,MID(W$1,1,2),FALSE)</f>
        <v>0</v>
      </c>
      <c r="X2027" s="55">
        <f>VLOOKUP($E2027,'NI-Soc_SP'!$C:$AN,MID(X$1,1,2),FALSE)</f>
        <v>0</v>
      </c>
      <c r="Y2027" s="55">
        <f>VLOOKUP($E2027,'NI-Soc_SP'!$C:$AN,MID(Y$1,1,2),FALSE)</f>
        <v>0</v>
      </c>
      <c r="Z2027" s="55">
        <f>VLOOKUP($E2027,'NI-Soc_SP'!$C:$AN,MID(Z$1,1,2),FALSE)</f>
        <v>0</v>
      </c>
      <c r="AA2027" s="55">
        <f>VLOOKUP($E2027,'NI-Soc_SP'!$C:$AN,MID(AA$1,1,2),FALSE)</f>
        <v>0</v>
      </c>
      <c r="AB2027" s="55">
        <f>VLOOKUP($E2027,'NI-Soc_SP'!$C:$AN,MID(AB$1,1,2),FALSE)</f>
        <v>0</v>
      </c>
      <c r="AC2027" s="55">
        <f>VLOOKUP($E2027,'NI-Soc_SP'!$C:$AN,MID(AC$1,1,2),FALSE)</f>
        <v>0</v>
      </c>
      <c r="AD2027" s="55">
        <f>VLOOKUP($E2027,'NI-Soc_SP'!$C:$AN,MID(AD$1,1,2),FALSE)</f>
        <v>0</v>
      </c>
      <c r="AE2027" s="55">
        <f>VLOOKUP($E2027,'NI-Soc_SP'!$C:$AN,MID(AE$1,1,2),FALSE)</f>
        <v>0</v>
      </c>
      <c r="AF2027" s="55">
        <f>VLOOKUP($E2027,'NI-Soc_SP'!$C:$AN,MID(AF$1,1,2),FALSE)</f>
        <v>0</v>
      </c>
      <c r="AG2027" s="55">
        <f>VLOOKUP($E2027,'NI-Soc_SP'!$C:$AN,MID(AG$1,1,2),FALSE)</f>
        <v>0</v>
      </c>
      <c r="AH2027" s="55">
        <f>VLOOKUP($E2027,'NI-Soc_SP'!$C:$AN,MID(AH$1,1,2),FALSE)</f>
        <v>0</v>
      </c>
      <c r="AI2027" s="55">
        <f>VLOOKUP($E2027,'NI-Soc_SP'!$C:$AN,MID(AI$1,1,2),FALSE)</f>
        <v>0</v>
      </c>
      <c r="AJ2027" s="55">
        <f>VLOOKUP($E2027,'NI-Soc_SP'!$C:$AN,MID(AJ$1,1,2),FALSE)</f>
        <v>0</v>
      </c>
      <c r="AK2027" s="55">
        <f>VLOOKUP($E2027,'NI-Soc_SP'!$C:$AN,MID(AK$1,1,2),FALSE)</f>
        <v>0</v>
      </c>
      <c r="AL2027" s="55">
        <f>VLOOKUP($E2027,'NI-Soc_SP'!$C:$AN,MID(AL$1,1,2),FALSE)</f>
        <v>0</v>
      </c>
      <c r="AM2027" s="56">
        <f>VLOOKUP($E2027,'NI-Soc_SP'!$C:$AN,MID(AM$1,1,2),FALSE)</f>
        <v>0</v>
      </c>
      <c r="AN2027" s="30" t="str">
        <f t="shared" si="31"/>
        <v>60502010050000</v>
      </c>
    </row>
    <row r="2028" spans="1:40" x14ac:dyDescent="0.25">
      <c r="C2028" s="40"/>
      <c r="D2028" s="121" t="s">
        <v>2214</v>
      </c>
      <c r="E2028" s="121" t="s">
        <v>2215</v>
      </c>
      <c r="F2028" s="122" t="s">
        <v>2758</v>
      </c>
      <c r="G2028" s="52"/>
      <c r="H2028" s="52"/>
      <c r="I2028" s="52"/>
      <c r="J2028" s="52"/>
      <c r="K2028" s="59" t="s">
        <v>79</v>
      </c>
      <c r="L2028" s="52"/>
      <c r="M2028" s="52"/>
      <c r="N2028" s="52"/>
      <c r="O2028" s="52"/>
      <c r="P2028" s="114" t="s">
        <v>2216</v>
      </c>
      <c r="Q2028" s="55">
        <f>VLOOKUP(E2028,'NI-Soc_SP'!$C:$AN,12,FALSE)</f>
        <v>0</v>
      </c>
      <c r="R2028" s="55">
        <f>VLOOKUP(E2028,'NI-Soc_SP'!$C:$AN,13,FALSE)</f>
        <v>0</v>
      </c>
      <c r="S2028" s="55"/>
      <c r="T2028" s="55"/>
      <c r="U2028" s="55">
        <f>VLOOKUP($E2028,'NI-Soc_SP'!$C:$AN,MID(U$1,1,2),FALSE)</f>
        <v>0</v>
      </c>
      <c r="V2028" s="55">
        <f>VLOOKUP($E2028,'NI-Soc_SP'!$C:$AN,MID(V$1,1,2),FALSE)</f>
        <v>0</v>
      </c>
      <c r="W2028" s="55">
        <f>VLOOKUP($E2028,'NI-Soc_SP'!$C:$AN,MID(W$1,1,2),FALSE)</f>
        <v>0</v>
      </c>
      <c r="X2028" s="55">
        <f>VLOOKUP($E2028,'NI-Soc_SP'!$C:$AN,MID(X$1,1,2),FALSE)</f>
        <v>0</v>
      </c>
      <c r="Y2028" s="55">
        <f>VLOOKUP($E2028,'NI-Soc_SP'!$C:$AN,MID(Y$1,1,2),FALSE)</f>
        <v>0</v>
      </c>
      <c r="Z2028" s="55">
        <f>VLOOKUP($E2028,'NI-Soc_SP'!$C:$AN,MID(Z$1,1,2),FALSE)</f>
        <v>0</v>
      </c>
      <c r="AA2028" s="55">
        <f>VLOOKUP($E2028,'NI-Soc_SP'!$C:$AN,MID(AA$1,1,2),FALSE)</f>
        <v>0</v>
      </c>
      <c r="AB2028" s="55">
        <f>VLOOKUP($E2028,'NI-Soc_SP'!$C:$AN,MID(AB$1,1,2),FALSE)</f>
        <v>0</v>
      </c>
      <c r="AC2028" s="55">
        <f>VLOOKUP($E2028,'NI-Soc_SP'!$C:$AN,MID(AC$1,1,2),FALSE)</f>
        <v>0</v>
      </c>
      <c r="AD2028" s="55">
        <f>VLOOKUP($E2028,'NI-Soc_SP'!$C:$AN,MID(AD$1,1,2),FALSE)</f>
        <v>0</v>
      </c>
      <c r="AE2028" s="55">
        <f>VLOOKUP($E2028,'NI-Soc_SP'!$C:$AN,MID(AE$1,1,2),FALSE)</f>
        <v>0</v>
      </c>
      <c r="AF2028" s="55">
        <f>VLOOKUP($E2028,'NI-Soc_SP'!$C:$AN,MID(AF$1,1,2),FALSE)</f>
        <v>0</v>
      </c>
      <c r="AG2028" s="55">
        <f>VLOOKUP($E2028,'NI-Soc_SP'!$C:$AN,MID(AG$1,1,2),FALSE)</f>
        <v>0</v>
      </c>
      <c r="AH2028" s="55">
        <f>VLOOKUP($E2028,'NI-Soc_SP'!$C:$AN,MID(AH$1,1,2),FALSE)</f>
        <v>0</v>
      </c>
      <c r="AI2028" s="55">
        <f>VLOOKUP($E2028,'NI-Soc_SP'!$C:$AN,MID(AI$1,1,2),FALSE)</f>
        <v>0</v>
      </c>
      <c r="AJ2028" s="55">
        <f>VLOOKUP($E2028,'NI-Soc_SP'!$C:$AN,MID(AJ$1,1,2),FALSE)</f>
        <v>0</v>
      </c>
      <c r="AK2028" s="55">
        <f>VLOOKUP($E2028,'NI-Soc_SP'!$C:$AN,MID(AK$1,1,2),FALSE)</f>
        <v>0</v>
      </c>
      <c r="AL2028" s="55">
        <f>VLOOKUP($E2028,'NI-Soc_SP'!$C:$AN,MID(AL$1,1,2),FALSE)</f>
        <v>0</v>
      </c>
      <c r="AM2028" s="56">
        <f>VLOOKUP($E2028,'NI-Soc_SP'!$C:$AN,MID(AM$1,1,2),FALSE)</f>
        <v>0</v>
      </c>
      <c r="AN2028" s="30" t="str">
        <f t="shared" si="31"/>
        <v>60503010000000</v>
      </c>
    </row>
    <row r="2029" spans="1:40" x14ac:dyDescent="0.25">
      <c r="C2029" s="40"/>
      <c r="D2029" s="121" t="s">
        <v>2217</v>
      </c>
      <c r="E2029" s="121" t="s">
        <v>2218</v>
      </c>
      <c r="F2029" s="122" t="s">
        <v>2758</v>
      </c>
      <c r="G2029" s="52"/>
      <c r="H2029" s="52"/>
      <c r="I2029" s="52" t="s">
        <v>2219</v>
      </c>
      <c r="J2029" s="52"/>
      <c r="K2029" s="59" t="s">
        <v>79</v>
      </c>
      <c r="L2029" s="52" t="s">
        <v>2220</v>
      </c>
      <c r="M2029" s="52"/>
      <c r="N2029" s="52"/>
      <c r="O2029" s="52"/>
      <c r="P2029" s="63" t="s">
        <v>2221</v>
      </c>
      <c r="Q2029" s="55">
        <f>VLOOKUP(E2029,'NI-Soc_SP'!$C:$AN,12,FALSE)</f>
        <v>0</v>
      </c>
      <c r="R2029" s="55">
        <f>VLOOKUP(E2029,'NI-Soc_SP'!$C:$AN,13,FALSE)</f>
        <v>0</v>
      </c>
      <c r="S2029" s="55"/>
      <c r="T2029" s="55"/>
      <c r="U2029" s="55">
        <f>VLOOKUP($E2029,'NI-Soc_SP'!$C:$AN,MID(U$1,1,2),FALSE)</f>
        <v>0</v>
      </c>
      <c r="V2029" s="55">
        <f>VLOOKUP($E2029,'NI-Soc_SP'!$C:$AN,MID(V$1,1,2),FALSE)</f>
        <v>0</v>
      </c>
      <c r="W2029" s="55">
        <f>VLOOKUP($E2029,'NI-Soc_SP'!$C:$AN,MID(W$1,1,2),FALSE)</f>
        <v>0</v>
      </c>
      <c r="X2029" s="55">
        <f>VLOOKUP($E2029,'NI-Soc_SP'!$C:$AN,MID(X$1,1,2),FALSE)</f>
        <v>0</v>
      </c>
      <c r="Y2029" s="55">
        <f>VLOOKUP($E2029,'NI-Soc_SP'!$C:$AN,MID(Y$1,1,2),FALSE)</f>
        <v>0</v>
      </c>
      <c r="Z2029" s="55">
        <f>VLOOKUP($E2029,'NI-Soc_SP'!$C:$AN,MID(Z$1,1,2),FALSE)</f>
        <v>0</v>
      </c>
      <c r="AA2029" s="55">
        <f>VLOOKUP($E2029,'NI-Soc_SP'!$C:$AN,MID(AA$1,1,2),FALSE)</f>
        <v>0</v>
      </c>
      <c r="AB2029" s="55">
        <f>VLOOKUP($E2029,'NI-Soc_SP'!$C:$AN,MID(AB$1,1,2),FALSE)</f>
        <v>0</v>
      </c>
      <c r="AC2029" s="55">
        <f>VLOOKUP($E2029,'NI-Soc_SP'!$C:$AN,MID(AC$1,1,2),FALSE)</f>
        <v>0</v>
      </c>
      <c r="AD2029" s="55">
        <f>VLOOKUP($E2029,'NI-Soc_SP'!$C:$AN,MID(AD$1,1,2),FALSE)</f>
        <v>0</v>
      </c>
      <c r="AE2029" s="55">
        <f>VLOOKUP($E2029,'NI-Soc_SP'!$C:$AN,MID(AE$1,1,2),FALSE)</f>
        <v>0</v>
      </c>
      <c r="AF2029" s="55">
        <f>VLOOKUP($E2029,'NI-Soc_SP'!$C:$AN,MID(AF$1,1,2),FALSE)</f>
        <v>0</v>
      </c>
      <c r="AG2029" s="55">
        <f>VLOOKUP($E2029,'NI-Soc_SP'!$C:$AN,MID(AG$1,1,2),FALSE)</f>
        <v>0</v>
      </c>
      <c r="AH2029" s="55">
        <f>VLOOKUP($E2029,'NI-Soc_SP'!$C:$AN,MID(AH$1,1,2),FALSE)</f>
        <v>0</v>
      </c>
      <c r="AI2029" s="55">
        <f>VLOOKUP($E2029,'NI-Soc_SP'!$C:$AN,MID(AI$1,1,2),FALSE)</f>
        <v>0</v>
      </c>
      <c r="AJ2029" s="55">
        <f>VLOOKUP($E2029,'NI-Soc_SP'!$C:$AN,MID(AJ$1,1,2),FALSE)</f>
        <v>0</v>
      </c>
      <c r="AK2029" s="55">
        <f>VLOOKUP($E2029,'NI-Soc_SP'!$C:$AN,MID(AK$1,1,2),FALSE)</f>
        <v>0</v>
      </c>
      <c r="AL2029" s="55">
        <f>VLOOKUP($E2029,'NI-Soc_SP'!$C:$AN,MID(AL$1,1,2),FALSE)</f>
        <v>0</v>
      </c>
      <c r="AM2029" s="56">
        <f>VLOOKUP($E2029,'NI-Soc_SP'!$C:$AN,MID(AM$1,1,2),FALSE)</f>
        <v>0</v>
      </c>
      <c r="AN2029" s="30" t="str">
        <f t="shared" si="31"/>
        <v>60503010010000</v>
      </c>
    </row>
    <row r="2030" spans="1:40" x14ac:dyDescent="0.25">
      <c r="C2030" s="40"/>
      <c r="D2030" s="121" t="s">
        <v>2222</v>
      </c>
      <c r="E2030" s="121" t="s">
        <v>2223</v>
      </c>
      <c r="F2030" s="122" t="s">
        <v>2758</v>
      </c>
      <c r="G2030" s="52"/>
      <c r="H2030" s="52"/>
      <c r="I2030" s="52" t="s">
        <v>2219</v>
      </c>
      <c r="J2030" s="52"/>
      <c r="K2030" s="59" t="s">
        <v>79</v>
      </c>
      <c r="L2030" s="52" t="s">
        <v>2220</v>
      </c>
      <c r="M2030" s="52"/>
      <c r="N2030" s="52"/>
      <c r="O2030" s="52"/>
      <c r="P2030" s="63" t="s">
        <v>2224</v>
      </c>
      <c r="Q2030" s="55">
        <f>VLOOKUP(E2030,'NI-Soc_SP'!$C:$AN,12,FALSE)</f>
        <v>0</v>
      </c>
      <c r="R2030" s="55">
        <f>VLOOKUP(E2030,'NI-Soc_SP'!$C:$AN,13,FALSE)</f>
        <v>0</v>
      </c>
      <c r="S2030" s="55"/>
      <c r="T2030" s="55"/>
      <c r="U2030" s="55">
        <f>VLOOKUP($E2030,'NI-Soc_SP'!$C:$AN,MID(U$1,1,2),FALSE)</f>
        <v>0</v>
      </c>
      <c r="V2030" s="55">
        <f>VLOOKUP($E2030,'NI-Soc_SP'!$C:$AN,MID(V$1,1,2),FALSE)</f>
        <v>0</v>
      </c>
      <c r="W2030" s="55">
        <f>VLOOKUP($E2030,'NI-Soc_SP'!$C:$AN,MID(W$1,1,2),FALSE)</f>
        <v>0</v>
      </c>
      <c r="X2030" s="55">
        <f>VLOOKUP($E2030,'NI-Soc_SP'!$C:$AN,MID(X$1,1,2),FALSE)</f>
        <v>0</v>
      </c>
      <c r="Y2030" s="55">
        <f>VLOOKUP($E2030,'NI-Soc_SP'!$C:$AN,MID(Y$1,1,2),FALSE)</f>
        <v>0</v>
      </c>
      <c r="Z2030" s="55">
        <f>VLOOKUP($E2030,'NI-Soc_SP'!$C:$AN,MID(Z$1,1,2),FALSE)</f>
        <v>0</v>
      </c>
      <c r="AA2030" s="55">
        <f>VLOOKUP($E2030,'NI-Soc_SP'!$C:$AN,MID(AA$1,1,2),FALSE)</f>
        <v>0</v>
      </c>
      <c r="AB2030" s="55">
        <f>VLOOKUP($E2030,'NI-Soc_SP'!$C:$AN,MID(AB$1,1,2),FALSE)</f>
        <v>0</v>
      </c>
      <c r="AC2030" s="55">
        <f>VLOOKUP($E2030,'NI-Soc_SP'!$C:$AN,MID(AC$1,1,2),FALSE)</f>
        <v>0</v>
      </c>
      <c r="AD2030" s="55">
        <f>VLOOKUP($E2030,'NI-Soc_SP'!$C:$AN,MID(AD$1,1,2),FALSE)</f>
        <v>0</v>
      </c>
      <c r="AE2030" s="55">
        <f>VLOOKUP($E2030,'NI-Soc_SP'!$C:$AN,MID(AE$1,1,2),FALSE)</f>
        <v>0</v>
      </c>
      <c r="AF2030" s="55">
        <f>VLOOKUP($E2030,'NI-Soc_SP'!$C:$AN,MID(AF$1,1,2),FALSE)</f>
        <v>0</v>
      </c>
      <c r="AG2030" s="55">
        <f>VLOOKUP($E2030,'NI-Soc_SP'!$C:$AN,MID(AG$1,1,2),FALSE)</f>
        <v>0</v>
      </c>
      <c r="AH2030" s="55">
        <f>VLOOKUP($E2030,'NI-Soc_SP'!$C:$AN,MID(AH$1,1,2),FALSE)</f>
        <v>0</v>
      </c>
      <c r="AI2030" s="55">
        <f>VLOOKUP($E2030,'NI-Soc_SP'!$C:$AN,MID(AI$1,1,2),FALSE)</f>
        <v>0</v>
      </c>
      <c r="AJ2030" s="55">
        <f>VLOOKUP($E2030,'NI-Soc_SP'!$C:$AN,MID(AJ$1,1,2),FALSE)</f>
        <v>0</v>
      </c>
      <c r="AK2030" s="55">
        <f>VLOOKUP($E2030,'NI-Soc_SP'!$C:$AN,MID(AK$1,1,2),FALSE)</f>
        <v>0</v>
      </c>
      <c r="AL2030" s="55">
        <f>VLOOKUP($E2030,'NI-Soc_SP'!$C:$AN,MID(AL$1,1,2),FALSE)</f>
        <v>0</v>
      </c>
      <c r="AM2030" s="56">
        <f>VLOOKUP($E2030,'NI-Soc_SP'!$C:$AN,MID(AM$1,1,2),FALSE)</f>
        <v>0</v>
      </c>
      <c r="AN2030" s="30" t="str">
        <f t="shared" si="31"/>
        <v>60503010020000</v>
      </c>
    </row>
    <row r="2031" spans="1:40" x14ac:dyDescent="0.25">
      <c r="A2031" s="30" t="s">
        <v>1394</v>
      </c>
      <c r="C2031" s="40"/>
      <c r="D2031" s="93" t="s">
        <v>2225</v>
      </c>
      <c r="E2031" s="93" t="s">
        <v>2226</v>
      </c>
      <c r="F2031" s="122" t="s">
        <v>2758</v>
      </c>
      <c r="H2031" s="52"/>
      <c r="I2031" s="52"/>
      <c r="J2031" s="124" t="s">
        <v>2227</v>
      </c>
      <c r="K2031" s="59"/>
      <c r="L2031" s="81"/>
      <c r="M2031" s="52"/>
      <c r="N2031" s="52"/>
      <c r="O2031" s="52"/>
      <c r="P2031" s="76" t="s">
        <v>2228</v>
      </c>
      <c r="Q2031" s="55">
        <f>VLOOKUP(E2031,'NI-Soc_SP'!$C:$AN,12,FALSE)</f>
        <v>0</v>
      </c>
      <c r="R2031" s="55">
        <f>VLOOKUP(E2031,'NI-Soc_SP'!$C:$AN,13,FALSE)</f>
        <v>0</v>
      </c>
      <c r="S2031" s="55"/>
      <c r="T2031" s="55"/>
      <c r="U2031" s="55">
        <f>VLOOKUP($E2031,'NI-Soc_SP'!$C:$AN,MID(U$1,1,2),FALSE)</f>
        <v>0</v>
      </c>
      <c r="V2031" s="55">
        <f>VLOOKUP($E2031,'NI-Soc_SP'!$C:$AN,MID(V$1,1,2),FALSE)</f>
        <v>0</v>
      </c>
      <c r="W2031" s="55">
        <f>VLOOKUP($E2031,'NI-Soc_SP'!$C:$AN,MID(W$1,1,2),FALSE)</f>
        <v>0</v>
      </c>
      <c r="X2031" s="55">
        <f>VLOOKUP($E2031,'NI-Soc_SP'!$C:$AN,MID(X$1,1,2),FALSE)</f>
        <v>0</v>
      </c>
      <c r="Y2031" s="55">
        <f>VLOOKUP($E2031,'NI-Soc_SP'!$C:$AN,MID(Y$1,1,2),FALSE)</f>
        <v>0</v>
      </c>
      <c r="Z2031" s="55">
        <f>VLOOKUP($E2031,'NI-Soc_SP'!$C:$AN,MID(Z$1,1,2),FALSE)</f>
        <v>0</v>
      </c>
      <c r="AA2031" s="55">
        <f>VLOOKUP($E2031,'NI-Soc_SP'!$C:$AN,MID(AA$1,1,2),FALSE)</f>
        <v>0</v>
      </c>
      <c r="AB2031" s="55">
        <f>VLOOKUP($E2031,'NI-Soc_SP'!$C:$AN,MID(AB$1,1,2),FALSE)</f>
        <v>0</v>
      </c>
      <c r="AC2031" s="55">
        <f>VLOOKUP($E2031,'NI-Soc_SP'!$C:$AN,MID(AC$1,1,2),FALSE)</f>
        <v>0</v>
      </c>
      <c r="AD2031" s="55">
        <f>VLOOKUP($E2031,'NI-Soc_SP'!$C:$AN,MID(AD$1,1,2),FALSE)</f>
        <v>0</v>
      </c>
      <c r="AE2031" s="55">
        <f>VLOOKUP($E2031,'NI-Soc_SP'!$C:$AN,MID(AE$1,1,2),FALSE)</f>
        <v>0</v>
      </c>
      <c r="AF2031" s="55">
        <f>VLOOKUP($E2031,'NI-Soc_SP'!$C:$AN,MID(AF$1,1,2),FALSE)</f>
        <v>0</v>
      </c>
      <c r="AG2031" s="55">
        <f>VLOOKUP($E2031,'NI-Soc_SP'!$C:$AN,MID(AG$1,1,2),FALSE)</f>
        <v>0</v>
      </c>
      <c r="AH2031" s="55">
        <f>VLOOKUP($E2031,'NI-Soc_SP'!$C:$AN,MID(AH$1,1,2),FALSE)</f>
        <v>0</v>
      </c>
      <c r="AI2031" s="55">
        <f>VLOOKUP($E2031,'NI-Soc_SP'!$C:$AN,MID(AI$1,1,2),FALSE)</f>
        <v>0</v>
      </c>
      <c r="AJ2031" s="55">
        <f>VLOOKUP($E2031,'NI-Soc_SP'!$C:$AN,MID(AJ$1,1,2),FALSE)</f>
        <v>0</v>
      </c>
      <c r="AK2031" s="55">
        <f>VLOOKUP($E2031,'NI-Soc_SP'!$C:$AN,MID(AK$1,1,2),FALSE)</f>
        <v>0</v>
      </c>
      <c r="AL2031" s="55">
        <f>VLOOKUP($E2031,'NI-Soc_SP'!$C:$AN,MID(AL$1,1,2),FALSE)</f>
        <v>0</v>
      </c>
      <c r="AM2031" s="56">
        <f>VLOOKUP($E2031,'NI-Soc_SP'!$C:$AN,MID(AM$1,1,2),FALSE)</f>
        <v>0</v>
      </c>
      <c r="AN2031" s="30" t="str">
        <f t="shared" si="31"/>
        <v>60504010000000</v>
      </c>
    </row>
    <row r="2032" spans="1:40" x14ac:dyDescent="0.25">
      <c r="C2032" s="40"/>
      <c r="D2032" s="121" t="s">
        <v>2229</v>
      </c>
      <c r="E2032" s="121" t="s">
        <v>2230</v>
      </c>
      <c r="F2032" s="122" t="s">
        <v>2758</v>
      </c>
      <c r="G2032" s="52"/>
      <c r="H2032" s="52"/>
      <c r="I2032" s="52"/>
      <c r="J2032" s="52"/>
      <c r="K2032" s="59" t="s">
        <v>111</v>
      </c>
      <c r="L2032" s="52"/>
      <c r="M2032" s="52"/>
      <c r="N2032" s="52"/>
      <c r="O2032" s="52"/>
      <c r="P2032" s="114" t="s">
        <v>2231</v>
      </c>
      <c r="Q2032" s="55">
        <f>VLOOKUP(E2032,'NI-Soc_SP'!$C:$AN,12,FALSE)</f>
        <v>0</v>
      </c>
      <c r="R2032" s="55">
        <f>VLOOKUP(E2032,'NI-Soc_SP'!$C:$AN,13,FALSE)</f>
        <v>0</v>
      </c>
      <c r="S2032" s="55"/>
      <c r="T2032" s="55"/>
      <c r="U2032" s="55">
        <f>VLOOKUP($E2032,'NI-Soc_SP'!$C:$AN,MID(U$1,1,2),FALSE)</f>
        <v>0</v>
      </c>
      <c r="V2032" s="55">
        <f>VLOOKUP($E2032,'NI-Soc_SP'!$C:$AN,MID(V$1,1,2),FALSE)</f>
        <v>0</v>
      </c>
      <c r="W2032" s="55">
        <f>VLOOKUP($E2032,'NI-Soc_SP'!$C:$AN,MID(W$1,1,2),FALSE)</f>
        <v>0</v>
      </c>
      <c r="X2032" s="55">
        <f>VLOOKUP($E2032,'NI-Soc_SP'!$C:$AN,MID(X$1,1,2),FALSE)</f>
        <v>0</v>
      </c>
      <c r="Y2032" s="55">
        <f>VLOOKUP($E2032,'NI-Soc_SP'!$C:$AN,MID(Y$1,1,2),FALSE)</f>
        <v>0</v>
      </c>
      <c r="Z2032" s="55">
        <f>VLOOKUP($E2032,'NI-Soc_SP'!$C:$AN,MID(Z$1,1,2),FALSE)</f>
        <v>0</v>
      </c>
      <c r="AA2032" s="55">
        <f>VLOOKUP($E2032,'NI-Soc_SP'!$C:$AN,MID(AA$1,1,2),FALSE)</f>
        <v>0</v>
      </c>
      <c r="AB2032" s="55">
        <f>VLOOKUP($E2032,'NI-Soc_SP'!$C:$AN,MID(AB$1,1,2),FALSE)</f>
        <v>0</v>
      </c>
      <c r="AC2032" s="55">
        <f>VLOOKUP($E2032,'NI-Soc_SP'!$C:$AN,MID(AC$1,1,2),FALSE)</f>
        <v>0</v>
      </c>
      <c r="AD2032" s="55">
        <f>VLOOKUP($E2032,'NI-Soc_SP'!$C:$AN,MID(AD$1,1,2),FALSE)</f>
        <v>0</v>
      </c>
      <c r="AE2032" s="55">
        <f>VLOOKUP($E2032,'NI-Soc_SP'!$C:$AN,MID(AE$1,1,2),FALSE)</f>
        <v>0</v>
      </c>
      <c r="AF2032" s="55">
        <f>VLOOKUP($E2032,'NI-Soc_SP'!$C:$AN,MID(AF$1,1,2),FALSE)</f>
        <v>0</v>
      </c>
      <c r="AG2032" s="55">
        <f>VLOOKUP($E2032,'NI-Soc_SP'!$C:$AN,MID(AG$1,1,2),FALSE)</f>
        <v>0</v>
      </c>
      <c r="AH2032" s="55">
        <f>VLOOKUP($E2032,'NI-Soc_SP'!$C:$AN,MID(AH$1,1,2),FALSE)</f>
        <v>0</v>
      </c>
      <c r="AI2032" s="55">
        <f>VLOOKUP($E2032,'NI-Soc_SP'!$C:$AN,MID(AI$1,1,2),FALSE)</f>
        <v>0</v>
      </c>
      <c r="AJ2032" s="55">
        <f>VLOOKUP($E2032,'NI-Soc_SP'!$C:$AN,MID(AJ$1,1,2),FALSE)</f>
        <v>0</v>
      </c>
      <c r="AK2032" s="55">
        <f>VLOOKUP($E2032,'NI-Soc_SP'!$C:$AN,MID(AK$1,1,2),FALSE)</f>
        <v>0</v>
      </c>
      <c r="AL2032" s="55">
        <f>VLOOKUP($E2032,'NI-Soc_SP'!$C:$AN,MID(AL$1,1,2),FALSE)</f>
        <v>0</v>
      </c>
      <c r="AM2032" s="56">
        <f>VLOOKUP($E2032,'NI-Soc_SP'!$C:$AN,MID(AM$1,1,2),FALSE)</f>
        <v>0</v>
      </c>
      <c r="AN2032" s="30" t="str">
        <f t="shared" si="31"/>
        <v>60600000000000</v>
      </c>
    </row>
    <row r="2033" spans="1:40" x14ac:dyDescent="0.25">
      <c r="C2033" s="40"/>
      <c r="D2033" s="125" t="s">
        <v>2232</v>
      </c>
      <c r="E2033" s="125" t="s">
        <v>2233</v>
      </c>
      <c r="F2033" s="122" t="s">
        <v>2758</v>
      </c>
      <c r="G2033" s="52"/>
      <c r="H2033" s="52"/>
      <c r="I2033" s="52" t="s">
        <v>2234</v>
      </c>
      <c r="J2033" s="52"/>
      <c r="K2033" s="59" t="s">
        <v>111</v>
      </c>
      <c r="L2033" s="52" t="s">
        <v>2235</v>
      </c>
      <c r="M2033" s="52"/>
      <c r="N2033" s="52"/>
      <c r="O2033" s="61" t="s">
        <v>2236</v>
      </c>
      <c r="P2033" s="114" t="s">
        <v>2237</v>
      </c>
      <c r="Q2033" s="55">
        <f>VLOOKUP(E2033,'NI-Soc_SP'!$C:$AN,12,FALSE)</f>
        <v>0</v>
      </c>
      <c r="R2033" s="55">
        <f>VLOOKUP(E2033,'NI-Soc_SP'!$C:$AN,13,FALSE)</f>
        <v>0</v>
      </c>
      <c r="S2033" s="55"/>
      <c r="T2033" s="55"/>
      <c r="U2033" s="55">
        <f>VLOOKUP($E2033,'NI-Soc_SP'!$C:$AN,MID(U$1,1,2),FALSE)</f>
        <v>0</v>
      </c>
      <c r="V2033" s="55">
        <f>VLOOKUP($E2033,'NI-Soc_SP'!$C:$AN,MID(V$1,1,2),FALSE)</f>
        <v>0</v>
      </c>
      <c r="W2033" s="55">
        <f>VLOOKUP($E2033,'NI-Soc_SP'!$C:$AN,MID(W$1,1,2),FALSE)</f>
        <v>0</v>
      </c>
      <c r="X2033" s="55">
        <f>VLOOKUP($E2033,'NI-Soc_SP'!$C:$AN,MID(X$1,1,2),FALSE)</f>
        <v>0</v>
      </c>
      <c r="Y2033" s="55">
        <f>VLOOKUP($E2033,'NI-Soc_SP'!$C:$AN,MID(Y$1,1,2),FALSE)</f>
        <v>0</v>
      </c>
      <c r="Z2033" s="55">
        <f>VLOOKUP($E2033,'NI-Soc_SP'!$C:$AN,MID(Z$1,1,2),FALSE)</f>
        <v>0</v>
      </c>
      <c r="AA2033" s="55">
        <f>VLOOKUP($E2033,'NI-Soc_SP'!$C:$AN,MID(AA$1,1,2),FALSE)</f>
        <v>0</v>
      </c>
      <c r="AB2033" s="55">
        <f>VLOOKUP($E2033,'NI-Soc_SP'!$C:$AN,MID(AB$1,1,2),FALSE)</f>
        <v>0</v>
      </c>
      <c r="AC2033" s="55">
        <f>VLOOKUP($E2033,'NI-Soc_SP'!$C:$AN,MID(AC$1,1,2),FALSE)</f>
        <v>0</v>
      </c>
      <c r="AD2033" s="55">
        <f>VLOOKUP($E2033,'NI-Soc_SP'!$C:$AN,MID(AD$1,1,2),FALSE)</f>
        <v>0</v>
      </c>
      <c r="AE2033" s="55">
        <f>VLOOKUP($E2033,'NI-Soc_SP'!$C:$AN,MID(AE$1,1,2),FALSE)</f>
        <v>0</v>
      </c>
      <c r="AF2033" s="55">
        <f>VLOOKUP($E2033,'NI-Soc_SP'!$C:$AN,MID(AF$1,1,2),FALSE)</f>
        <v>0</v>
      </c>
      <c r="AG2033" s="55">
        <f>VLOOKUP($E2033,'NI-Soc_SP'!$C:$AN,MID(AG$1,1,2),FALSE)</f>
        <v>0</v>
      </c>
      <c r="AH2033" s="55">
        <f>VLOOKUP($E2033,'NI-Soc_SP'!$C:$AN,MID(AH$1,1,2),FALSE)</f>
        <v>0</v>
      </c>
      <c r="AI2033" s="55">
        <f>VLOOKUP($E2033,'NI-Soc_SP'!$C:$AN,MID(AI$1,1,2),FALSE)</f>
        <v>0</v>
      </c>
      <c r="AJ2033" s="55">
        <f>VLOOKUP($E2033,'NI-Soc_SP'!$C:$AN,MID(AJ$1,1,2),FALSE)</f>
        <v>0</v>
      </c>
      <c r="AK2033" s="55">
        <f>VLOOKUP($E2033,'NI-Soc_SP'!$C:$AN,MID(AK$1,1,2),FALSE)</f>
        <v>0</v>
      </c>
      <c r="AL2033" s="55">
        <f>VLOOKUP($E2033,'NI-Soc_SP'!$C:$AN,MID(AL$1,1,2),FALSE)</f>
        <v>0</v>
      </c>
      <c r="AM2033" s="56">
        <f>VLOOKUP($E2033,'NI-Soc_SP'!$C:$AN,MID(AM$1,1,2),FALSE)</f>
        <v>0</v>
      </c>
      <c r="AN2033" s="30" t="str">
        <f t="shared" si="31"/>
        <v>60601000000000</v>
      </c>
    </row>
    <row r="2034" spans="1:40" x14ac:dyDescent="0.25">
      <c r="C2034" s="40"/>
      <c r="D2034" s="125" t="s">
        <v>2238</v>
      </c>
      <c r="E2034" s="125" t="s">
        <v>2239</v>
      </c>
      <c r="F2034" s="122" t="s">
        <v>2758</v>
      </c>
      <c r="G2034" s="52"/>
      <c r="H2034" s="52"/>
      <c r="I2034" s="52"/>
      <c r="J2034" s="52"/>
      <c r="K2034" s="59" t="s">
        <v>79</v>
      </c>
      <c r="L2034" s="52"/>
      <c r="M2034" s="52"/>
      <c r="N2034" s="52"/>
      <c r="O2034" s="52"/>
      <c r="P2034" s="114" t="s">
        <v>2240</v>
      </c>
      <c r="Q2034" s="55">
        <f>VLOOKUP(E2034,'NI-Soc_SP'!$C:$AN,12,FALSE)</f>
        <v>0</v>
      </c>
      <c r="R2034" s="55">
        <f>VLOOKUP(E2034,'NI-Soc_SP'!$C:$AN,13,FALSE)</f>
        <v>0</v>
      </c>
      <c r="S2034" s="55"/>
      <c r="T2034" s="55"/>
      <c r="U2034" s="55">
        <f>VLOOKUP($E2034,'NI-Soc_SP'!$C:$AN,MID(U$1,1,2),FALSE)</f>
        <v>0</v>
      </c>
      <c r="V2034" s="55">
        <f>VLOOKUP($E2034,'NI-Soc_SP'!$C:$AN,MID(V$1,1,2),FALSE)</f>
        <v>0</v>
      </c>
      <c r="W2034" s="55">
        <f>VLOOKUP($E2034,'NI-Soc_SP'!$C:$AN,MID(W$1,1,2),FALSE)</f>
        <v>0</v>
      </c>
      <c r="X2034" s="55">
        <f>VLOOKUP($E2034,'NI-Soc_SP'!$C:$AN,MID(X$1,1,2),FALSE)</f>
        <v>0</v>
      </c>
      <c r="Y2034" s="55">
        <f>VLOOKUP($E2034,'NI-Soc_SP'!$C:$AN,MID(Y$1,1,2),FALSE)</f>
        <v>0</v>
      </c>
      <c r="Z2034" s="55">
        <f>VLOOKUP($E2034,'NI-Soc_SP'!$C:$AN,MID(Z$1,1,2),FALSE)</f>
        <v>0</v>
      </c>
      <c r="AA2034" s="55">
        <f>VLOOKUP($E2034,'NI-Soc_SP'!$C:$AN,MID(AA$1,1,2),FALSE)</f>
        <v>0</v>
      </c>
      <c r="AB2034" s="55">
        <f>VLOOKUP($E2034,'NI-Soc_SP'!$C:$AN,MID(AB$1,1,2),FALSE)</f>
        <v>0</v>
      </c>
      <c r="AC2034" s="55">
        <f>VLOOKUP($E2034,'NI-Soc_SP'!$C:$AN,MID(AC$1,1,2),FALSE)</f>
        <v>0</v>
      </c>
      <c r="AD2034" s="55">
        <f>VLOOKUP($E2034,'NI-Soc_SP'!$C:$AN,MID(AD$1,1,2),FALSE)</f>
        <v>0</v>
      </c>
      <c r="AE2034" s="55">
        <f>VLOOKUP($E2034,'NI-Soc_SP'!$C:$AN,MID(AE$1,1,2),FALSE)</f>
        <v>0</v>
      </c>
      <c r="AF2034" s="55">
        <f>VLOOKUP($E2034,'NI-Soc_SP'!$C:$AN,MID(AF$1,1,2),FALSE)</f>
        <v>0</v>
      </c>
      <c r="AG2034" s="55">
        <f>VLOOKUP($E2034,'NI-Soc_SP'!$C:$AN,MID(AG$1,1,2),FALSE)</f>
        <v>0</v>
      </c>
      <c r="AH2034" s="55">
        <f>VLOOKUP($E2034,'NI-Soc_SP'!$C:$AN,MID(AH$1,1,2),FALSE)</f>
        <v>0</v>
      </c>
      <c r="AI2034" s="55">
        <f>VLOOKUP($E2034,'NI-Soc_SP'!$C:$AN,MID(AI$1,1,2),FALSE)</f>
        <v>0</v>
      </c>
      <c r="AJ2034" s="55">
        <f>VLOOKUP($E2034,'NI-Soc_SP'!$C:$AN,MID(AJ$1,1,2),FALSE)</f>
        <v>0</v>
      </c>
      <c r="AK2034" s="55">
        <f>VLOOKUP($E2034,'NI-Soc_SP'!$C:$AN,MID(AK$1,1,2),FALSE)</f>
        <v>0</v>
      </c>
      <c r="AL2034" s="55">
        <f>VLOOKUP($E2034,'NI-Soc_SP'!$C:$AN,MID(AL$1,1,2),FALSE)</f>
        <v>0</v>
      </c>
      <c r="AM2034" s="56">
        <f>VLOOKUP($E2034,'NI-Soc_SP'!$C:$AN,MID(AM$1,1,2),FALSE)</f>
        <v>0</v>
      </c>
      <c r="AN2034" s="30" t="str">
        <f t="shared" si="31"/>
        <v>60601010000000</v>
      </c>
    </row>
    <row r="2035" spans="1:40" x14ac:dyDescent="0.25">
      <c r="C2035" s="40"/>
      <c r="D2035" s="121" t="s">
        <v>2241</v>
      </c>
      <c r="E2035" s="121" t="s">
        <v>2242</v>
      </c>
      <c r="F2035" s="122" t="s">
        <v>2758</v>
      </c>
      <c r="G2035" s="52"/>
      <c r="H2035" s="52"/>
      <c r="I2035" s="52"/>
      <c r="J2035" s="52"/>
      <c r="K2035" s="59" t="s">
        <v>79</v>
      </c>
      <c r="L2035" s="62"/>
      <c r="M2035" s="52"/>
      <c r="N2035" s="52"/>
      <c r="O2035" s="52"/>
      <c r="P2035" s="60" t="s">
        <v>2243</v>
      </c>
      <c r="Q2035" s="55">
        <f>VLOOKUP(E2035,'NI-Soc_SP'!$C:$AN,12,FALSE)</f>
        <v>0</v>
      </c>
      <c r="R2035" s="55">
        <f>VLOOKUP(E2035,'NI-Soc_SP'!$C:$AN,13,FALSE)</f>
        <v>0</v>
      </c>
      <c r="S2035" s="55"/>
      <c r="T2035" s="55"/>
      <c r="U2035" s="55">
        <f>VLOOKUP($E2035,'NI-Soc_SP'!$C:$AN,MID(U$1,1,2),FALSE)</f>
        <v>0</v>
      </c>
      <c r="V2035" s="55">
        <f>VLOOKUP($E2035,'NI-Soc_SP'!$C:$AN,MID(V$1,1,2),FALSE)</f>
        <v>0</v>
      </c>
      <c r="W2035" s="55">
        <f>VLOOKUP($E2035,'NI-Soc_SP'!$C:$AN,MID(W$1,1,2),FALSE)</f>
        <v>0</v>
      </c>
      <c r="X2035" s="55">
        <f>VLOOKUP($E2035,'NI-Soc_SP'!$C:$AN,MID(X$1,1,2),FALSE)</f>
        <v>0</v>
      </c>
      <c r="Y2035" s="55">
        <f>VLOOKUP($E2035,'NI-Soc_SP'!$C:$AN,MID(Y$1,1,2),FALSE)</f>
        <v>0</v>
      </c>
      <c r="Z2035" s="55">
        <f>VLOOKUP($E2035,'NI-Soc_SP'!$C:$AN,MID(Z$1,1,2),FALSE)</f>
        <v>0</v>
      </c>
      <c r="AA2035" s="55">
        <f>VLOOKUP($E2035,'NI-Soc_SP'!$C:$AN,MID(AA$1,1,2),FALSE)</f>
        <v>0</v>
      </c>
      <c r="AB2035" s="55">
        <f>VLOOKUP($E2035,'NI-Soc_SP'!$C:$AN,MID(AB$1,1,2),FALSE)</f>
        <v>0</v>
      </c>
      <c r="AC2035" s="55">
        <f>VLOOKUP($E2035,'NI-Soc_SP'!$C:$AN,MID(AC$1,1,2),FALSE)</f>
        <v>0</v>
      </c>
      <c r="AD2035" s="55">
        <f>VLOOKUP($E2035,'NI-Soc_SP'!$C:$AN,MID(AD$1,1,2),FALSE)</f>
        <v>0</v>
      </c>
      <c r="AE2035" s="55">
        <f>VLOOKUP($E2035,'NI-Soc_SP'!$C:$AN,MID(AE$1,1,2),FALSE)</f>
        <v>0</v>
      </c>
      <c r="AF2035" s="55">
        <f>VLOOKUP($E2035,'NI-Soc_SP'!$C:$AN,MID(AF$1,1,2),FALSE)</f>
        <v>0</v>
      </c>
      <c r="AG2035" s="55">
        <f>VLOOKUP($E2035,'NI-Soc_SP'!$C:$AN,MID(AG$1,1,2),FALSE)</f>
        <v>0</v>
      </c>
      <c r="AH2035" s="55">
        <f>VLOOKUP($E2035,'NI-Soc_SP'!$C:$AN,MID(AH$1,1,2),FALSE)</f>
        <v>0</v>
      </c>
      <c r="AI2035" s="55">
        <f>VLOOKUP($E2035,'NI-Soc_SP'!$C:$AN,MID(AI$1,1,2),FALSE)</f>
        <v>0</v>
      </c>
      <c r="AJ2035" s="55">
        <f>VLOOKUP($E2035,'NI-Soc_SP'!$C:$AN,MID(AJ$1,1,2),FALSE)</f>
        <v>0</v>
      </c>
      <c r="AK2035" s="55">
        <f>VLOOKUP($E2035,'NI-Soc_SP'!$C:$AN,MID(AK$1,1,2),FALSE)</f>
        <v>0</v>
      </c>
      <c r="AL2035" s="55">
        <f>VLOOKUP($E2035,'NI-Soc_SP'!$C:$AN,MID(AL$1,1,2),FALSE)</f>
        <v>0</v>
      </c>
      <c r="AM2035" s="56">
        <f>VLOOKUP($E2035,'NI-Soc_SP'!$C:$AN,MID(AM$1,1,2),FALSE)</f>
        <v>0</v>
      </c>
      <c r="AN2035" s="30" t="str">
        <f t="shared" si="31"/>
        <v>60601020000000</v>
      </c>
    </row>
    <row r="2036" spans="1:40" x14ac:dyDescent="0.25">
      <c r="C2036" s="40"/>
      <c r="D2036" s="121" t="s">
        <v>2244</v>
      </c>
      <c r="E2036" s="121" t="s">
        <v>2245</v>
      </c>
      <c r="F2036" s="122" t="s">
        <v>2758</v>
      </c>
      <c r="G2036" s="52"/>
      <c r="H2036" s="52"/>
      <c r="I2036" s="52"/>
      <c r="J2036" s="52"/>
      <c r="K2036" s="59" t="s">
        <v>79</v>
      </c>
      <c r="L2036" s="62"/>
      <c r="M2036" s="52"/>
      <c r="N2036" s="52"/>
      <c r="O2036" s="52"/>
      <c r="P2036" s="60" t="s">
        <v>2246</v>
      </c>
      <c r="Q2036" s="55">
        <f>VLOOKUP(E2036,'NI-Soc_SP'!$C:$AN,12,FALSE)</f>
        <v>0</v>
      </c>
      <c r="R2036" s="55">
        <f>VLOOKUP(E2036,'NI-Soc_SP'!$C:$AN,13,FALSE)</f>
        <v>0</v>
      </c>
      <c r="S2036" s="55"/>
      <c r="T2036" s="55"/>
      <c r="U2036" s="55">
        <f>VLOOKUP($E2036,'NI-Soc_SP'!$C:$AN,MID(U$1,1,2),FALSE)</f>
        <v>0</v>
      </c>
      <c r="V2036" s="55">
        <f>VLOOKUP($E2036,'NI-Soc_SP'!$C:$AN,MID(V$1,1,2),FALSE)</f>
        <v>0</v>
      </c>
      <c r="W2036" s="55">
        <f>VLOOKUP($E2036,'NI-Soc_SP'!$C:$AN,MID(W$1,1,2),FALSE)</f>
        <v>0</v>
      </c>
      <c r="X2036" s="55">
        <f>VLOOKUP($E2036,'NI-Soc_SP'!$C:$AN,MID(X$1,1,2),FALSE)</f>
        <v>0</v>
      </c>
      <c r="Y2036" s="55">
        <f>VLOOKUP($E2036,'NI-Soc_SP'!$C:$AN,MID(Y$1,1,2),FALSE)</f>
        <v>0</v>
      </c>
      <c r="Z2036" s="55">
        <f>VLOOKUP($E2036,'NI-Soc_SP'!$C:$AN,MID(Z$1,1,2),FALSE)</f>
        <v>0</v>
      </c>
      <c r="AA2036" s="55">
        <f>VLOOKUP($E2036,'NI-Soc_SP'!$C:$AN,MID(AA$1,1,2),FALSE)</f>
        <v>0</v>
      </c>
      <c r="AB2036" s="55">
        <f>VLOOKUP($E2036,'NI-Soc_SP'!$C:$AN,MID(AB$1,1,2),FALSE)</f>
        <v>0</v>
      </c>
      <c r="AC2036" s="55">
        <f>VLOOKUP($E2036,'NI-Soc_SP'!$C:$AN,MID(AC$1,1,2),FALSE)</f>
        <v>0</v>
      </c>
      <c r="AD2036" s="55">
        <f>VLOOKUP($E2036,'NI-Soc_SP'!$C:$AN,MID(AD$1,1,2),FALSE)</f>
        <v>0</v>
      </c>
      <c r="AE2036" s="55">
        <f>VLOOKUP($E2036,'NI-Soc_SP'!$C:$AN,MID(AE$1,1,2),FALSE)</f>
        <v>0</v>
      </c>
      <c r="AF2036" s="55">
        <f>VLOOKUP($E2036,'NI-Soc_SP'!$C:$AN,MID(AF$1,1,2),FALSE)</f>
        <v>0</v>
      </c>
      <c r="AG2036" s="55">
        <f>VLOOKUP($E2036,'NI-Soc_SP'!$C:$AN,MID(AG$1,1,2),FALSE)</f>
        <v>0</v>
      </c>
      <c r="AH2036" s="55">
        <f>VLOOKUP($E2036,'NI-Soc_SP'!$C:$AN,MID(AH$1,1,2),FALSE)</f>
        <v>0</v>
      </c>
      <c r="AI2036" s="55">
        <f>VLOOKUP($E2036,'NI-Soc_SP'!$C:$AN,MID(AI$1,1,2),FALSE)</f>
        <v>0</v>
      </c>
      <c r="AJ2036" s="55">
        <f>VLOOKUP($E2036,'NI-Soc_SP'!$C:$AN,MID(AJ$1,1,2),FALSE)</f>
        <v>0</v>
      </c>
      <c r="AK2036" s="55">
        <f>VLOOKUP($E2036,'NI-Soc_SP'!$C:$AN,MID(AK$1,1,2),FALSE)</f>
        <v>0</v>
      </c>
      <c r="AL2036" s="55">
        <f>VLOOKUP($E2036,'NI-Soc_SP'!$C:$AN,MID(AL$1,1,2),FALSE)</f>
        <v>0</v>
      </c>
      <c r="AM2036" s="56">
        <f>VLOOKUP($E2036,'NI-Soc_SP'!$C:$AN,MID(AM$1,1,2),FALSE)</f>
        <v>0</v>
      </c>
      <c r="AN2036" s="30" t="str">
        <f t="shared" si="31"/>
        <v>60601030000000</v>
      </c>
    </row>
    <row r="2037" spans="1:40" x14ac:dyDescent="0.25">
      <c r="C2037" s="40"/>
      <c r="D2037" s="121" t="s">
        <v>2247</v>
      </c>
      <c r="E2037" s="121" t="s">
        <v>2248</v>
      </c>
      <c r="F2037" s="122" t="s">
        <v>2758</v>
      </c>
      <c r="G2037" s="96"/>
      <c r="H2037" s="52"/>
      <c r="I2037" s="52" t="s">
        <v>2249</v>
      </c>
      <c r="J2037" s="52"/>
      <c r="K2037" s="59" t="s">
        <v>79</v>
      </c>
      <c r="L2037" s="52" t="s">
        <v>2250</v>
      </c>
      <c r="M2037" s="52"/>
      <c r="N2037" s="52"/>
      <c r="O2037" s="61" t="s">
        <v>2251</v>
      </c>
      <c r="P2037" s="63" t="s">
        <v>2252</v>
      </c>
      <c r="Q2037" s="55">
        <f>VLOOKUP(E2037,'NI-Soc_SP'!$C:$AN,12,FALSE)</f>
        <v>0</v>
      </c>
      <c r="R2037" s="55">
        <f>VLOOKUP(E2037,'NI-Soc_SP'!$C:$AN,13,FALSE)</f>
        <v>0</v>
      </c>
      <c r="S2037" s="55"/>
      <c r="T2037" s="55"/>
      <c r="U2037" s="55">
        <f>VLOOKUP($E2037,'NI-Soc_SP'!$C:$AN,MID(U$1,1,2),FALSE)</f>
        <v>0</v>
      </c>
      <c r="V2037" s="55">
        <f>VLOOKUP($E2037,'NI-Soc_SP'!$C:$AN,MID(V$1,1,2),FALSE)</f>
        <v>0</v>
      </c>
      <c r="W2037" s="55">
        <f>VLOOKUP($E2037,'NI-Soc_SP'!$C:$AN,MID(W$1,1,2),FALSE)</f>
        <v>0</v>
      </c>
      <c r="X2037" s="55">
        <f>VLOOKUP($E2037,'NI-Soc_SP'!$C:$AN,MID(X$1,1,2),FALSE)</f>
        <v>0</v>
      </c>
      <c r="Y2037" s="55">
        <f>VLOOKUP($E2037,'NI-Soc_SP'!$C:$AN,MID(Y$1,1,2),FALSE)</f>
        <v>0</v>
      </c>
      <c r="Z2037" s="55">
        <f>VLOOKUP($E2037,'NI-Soc_SP'!$C:$AN,MID(Z$1,1,2),FALSE)</f>
        <v>0</v>
      </c>
      <c r="AA2037" s="55">
        <f>VLOOKUP($E2037,'NI-Soc_SP'!$C:$AN,MID(AA$1,1,2),FALSE)</f>
        <v>0</v>
      </c>
      <c r="AB2037" s="55">
        <f>VLOOKUP($E2037,'NI-Soc_SP'!$C:$AN,MID(AB$1,1,2),FALSE)</f>
        <v>0</v>
      </c>
      <c r="AC2037" s="55">
        <f>VLOOKUP($E2037,'NI-Soc_SP'!$C:$AN,MID(AC$1,1,2),FALSE)</f>
        <v>0</v>
      </c>
      <c r="AD2037" s="55">
        <f>VLOOKUP($E2037,'NI-Soc_SP'!$C:$AN,MID(AD$1,1,2),FALSE)</f>
        <v>0</v>
      </c>
      <c r="AE2037" s="55">
        <f>VLOOKUP($E2037,'NI-Soc_SP'!$C:$AN,MID(AE$1,1,2),FALSE)</f>
        <v>0</v>
      </c>
      <c r="AF2037" s="55">
        <f>VLOOKUP($E2037,'NI-Soc_SP'!$C:$AN,MID(AF$1,1,2),FALSE)</f>
        <v>0</v>
      </c>
      <c r="AG2037" s="55">
        <f>VLOOKUP($E2037,'NI-Soc_SP'!$C:$AN,MID(AG$1,1,2),FALSE)</f>
        <v>0</v>
      </c>
      <c r="AH2037" s="55">
        <f>VLOOKUP($E2037,'NI-Soc_SP'!$C:$AN,MID(AH$1,1,2),FALSE)</f>
        <v>0</v>
      </c>
      <c r="AI2037" s="55">
        <f>VLOOKUP($E2037,'NI-Soc_SP'!$C:$AN,MID(AI$1,1,2),FALSE)</f>
        <v>0</v>
      </c>
      <c r="AJ2037" s="55">
        <f>VLOOKUP($E2037,'NI-Soc_SP'!$C:$AN,MID(AJ$1,1,2),FALSE)</f>
        <v>0</v>
      </c>
      <c r="AK2037" s="55">
        <f>VLOOKUP($E2037,'NI-Soc_SP'!$C:$AN,MID(AK$1,1,2),FALSE)</f>
        <v>0</v>
      </c>
      <c r="AL2037" s="55">
        <f>VLOOKUP($E2037,'NI-Soc_SP'!$C:$AN,MID(AL$1,1,2),FALSE)</f>
        <v>0</v>
      </c>
      <c r="AM2037" s="56">
        <f>VLOOKUP($E2037,'NI-Soc_SP'!$C:$AN,MID(AM$1,1,2),FALSE)</f>
        <v>0</v>
      </c>
      <c r="AN2037" s="30" t="str">
        <f t="shared" si="31"/>
        <v>60602000000000</v>
      </c>
    </row>
    <row r="2038" spans="1:40" x14ac:dyDescent="0.25">
      <c r="A2038" s="30" t="s">
        <v>1394</v>
      </c>
      <c r="C2038" s="40"/>
      <c r="D2038" s="87" t="s">
        <v>2253</v>
      </c>
      <c r="E2038" s="87" t="s">
        <v>2254</v>
      </c>
      <c r="F2038" s="122" t="s">
        <v>2758</v>
      </c>
      <c r="H2038" s="52"/>
      <c r="I2038" s="52"/>
      <c r="J2038" s="79" t="s">
        <v>2255</v>
      </c>
      <c r="K2038" s="59"/>
      <c r="L2038" s="62"/>
      <c r="M2038" s="52"/>
      <c r="N2038" s="52"/>
      <c r="O2038" s="61" t="s">
        <v>2251</v>
      </c>
      <c r="P2038" s="79" t="s">
        <v>2256</v>
      </c>
      <c r="Q2038" s="55">
        <f>VLOOKUP(E2038,'NI-Soc_SP'!$C:$AN,12,FALSE)</f>
        <v>0</v>
      </c>
      <c r="R2038" s="55">
        <f>VLOOKUP(E2038,'NI-Soc_SP'!$C:$AN,13,FALSE)</f>
        <v>0</v>
      </c>
      <c r="S2038" s="55">
        <f>VLOOKUP(E2038,'NI-Soc_SP'!$C:$AN,31,FALSE)</f>
        <v>0</v>
      </c>
      <c r="T2038" s="55">
        <f>VLOOKUP(E2038,'NI-Soc_SP'!$C:$AN,32,FALSE)+VLOOKUP(E2038,'NI-Soc_SP'!$C:$AN,33,FALSE)</f>
        <v>0</v>
      </c>
      <c r="U2038" s="55">
        <f>VLOOKUP($E2038,'NI-Soc_SP'!$C:$AN,MID(U$1,1,2),FALSE)</f>
        <v>0</v>
      </c>
      <c r="V2038" s="55">
        <f>VLOOKUP($E2038,'NI-Soc_SP'!$C:$AN,MID(V$1,1,2),FALSE)</f>
        <v>0</v>
      </c>
      <c r="W2038" s="55">
        <f>VLOOKUP($E2038,'NI-Soc_SP'!$C:$AN,MID(W$1,1,2),FALSE)</f>
        <v>0</v>
      </c>
      <c r="X2038" s="55">
        <f>VLOOKUP($E2038,'NI-Soc_SP'!$C:$AN,MID(X$1,1,2),FALSE)</f>
        <v>0</v>
      </c>
      <c r="Y2038" s="55">
        <f>VLOOKUP($E2038,'NI-Soc_SP'!$C:$AN,MID(Y$1,1,2),FALSE)</f>
        <v>0</v>
      </c>
      <c r="Z2038" s="55">
        <f>VLOOKUP($E2038,'NI-Soc_SP'!$C:$AN,MID(Z$1,1,2),FALSE)</f>
        <v>0</v>
      </c>
      <c r="AA2038" s="55">
        <f>VLOOKUP($E2038,'NI-Soc_SP'!$C:$AN,MID(AA$1,1,2),FALSE)</f>
        <v>0</v>
      </c>
      <c r="AB2038" s="55">
        <f>VLOOKUP($E2038,'NI-Soc_SP'!$C:$AN,MID(AB$1,1,2),FALSE)</f>
        <v>0</v>
      </c>
      <c r="AC2038" s="55">
        <f>VLOOKUP($E2038,'NI-Soc_SP'!$C:$AN,MID(AC$1,1,2),FALSE)</f>
        <v>0</v>
      </c>
      <c r="AD2038" s="55">
        <f>VLOOKUP($E2038,'NI-Soc_SP'!$C:$AN,MID(AD$1,1,2),FALSE)</f>
        <v>0</v>
      </c>
      <c r="AE2038" s="55">
        <f>VLOOKUP($E2038,'NI-Soc_SP'!$C:$AN,MID(AE$1,1,2),FALSE)</f>
        <v>0</v>
      </c>
      <c r="AF2038" s="55">
        <f>VLOOKUP($E2038,'NI-Soc_SP'!$C:$AN,MID(AF$1,1,2),FALSE)</f>
        <v>0</v>
      </c>
      <c r="AG2038" s="55">
        <f>VLOOKUP($E2038,'NI-Soc_SP'!$C:$AN,MID(AG$1,1,2),FALSE)</f>
        <v>0</v>
      </c>
      <c r="AH2038" s="55">
        <f>VLOOKUP($E2038,'NI-Soc_SP'!$C:$AN,MID(AH$1,1,2),FALSE)</f>
        <v>0</v>
      </c>
      <c r="AI2038" s="55">
        <f>VLOOKUP($E2038,'NI-Soc_SP'!$C:$AN,MID(AI$1,1,2),FALSE)</f>
        <v>0</v>
      </c>
      <c r="AJ2038" s="55">
        <f>VLOOKUP($E2038,'NI-Soc_SP'!$C:$AN,MID(AJ$1,1,2),FALSE)</f>
        <v>0</v>
      </c>
      <c r="AK2038" s="55">
        <f>VLOOKUP($E2038,'NI-Soc_SP'!$C:$AN,MID(AK$1,1,2),FALSE)</f>
        <v>0</v>
      </c>
      <c r="AL2038" s="55">
        <f>VLOOKUP($E2038,'NI-Soc_SP'!$C:$AN,MID(AL$1,1,2),FALSE)</f>
        <v>0</v>
      </c>
      <c r="AM2038" s="56">
        <f>VLOOKUP($E2038,'NI-Soc_SP'!$C:$AN,MID(AM$1,1,2),FALSE)</f>
        <v>0</v>
      </c>
      <c r="AN2038" s="30" t="str">
        <f t="shared" si="31"/>
        <v>60603000000000</v>
      </c>
    </row>
    <row r="2039" spans="1:40" x14ac:dyDescent="0.25">
      <c r="C2039" s="40"/>
      <c r="D2039" s="121" t="s">
        <v>2257</v>
      </c>
      <c r="E2039" s="121" t="s">
        <v>2258</v>
      </c>
      <c r="F2039" s="122" t="s">
        <v>2758</v>
      </c>
      <c r="G2039" s="96"/>
      <c r="H2039" s="52"/>
      <c r="I2039" s="52"/>
      <c r="J2039" s="52"/>
      <c r="K2039" s="59" t="s">
        <v>111</v>
      </c>
      <c r="L2039" s="52"/>
      <c r="M2039" s="52"/>
      <c r="N2039" s="52"/>
      <c r="O2039" s="52"/>
      <c r="P2039" s="76" t="s">
        <v>2259</v>
      </c>
      <c r="Q2039" s="55">
        <f>VLOOKUP(E2039,'NI-Soc_SP'!$C:$AN,12,FALSE)</f>
        <v>0</v>
      </c>
      <c r="R2039" s="55">
        <f>VLOOKUP(E2039,'NI-Soc_SP'!$C:$AN,13,FALSE)</f>
        <v>0</v>
      </c>
      <c r="S2039" s="55">
        <f>VLOOKUP(E2039,'NI-Soc_SP'!$C:$AN,30,FALSE)</f>
        <v>6122</v>
      </c>
      <c r="T2039" s="55">
        <f>VLOOKUP(E2039,'NI-Soc_SP'!$C:$AN,31,FALSE)+VLOOKUP(E2039,'NI-Soc_SP'!$C:$AN,32,FALSE)</f>
        <v>-11698</v>
      </c>
      <c r="U2039" s="55">
        <f>VLOOKUP($E2039,'NI-Soc_SP'!$C:$AN,MID(U$1,1,2),FALSE)</f>
        <v>0</v>
      </c>
      <c r="V2039" s="55">
        <f>VLOOKUP($E2039,'NI-Soc_SP'!$C:$AN,MID(V$1,1,2),FALSE)</f>
        <v>0</v>
      </c>
      <c r="W2039" s="55">
        <f>VLOOKUP($E2039,'NI-Soc_SP'!$C:$AN,MID(W$1,1,2),FALSE)</f>
        <v>0</v>
      </c>
      <c r="X2039" s="55">
        <f>VLOOKUP($E2039,'NI-Soc_SP'!$C:$AN,MID(X$1,1,2),FALSE)</f>
        <v>0</v>
      </c>
      <c r="Y2039" s="55">
        <f>VLOOKUP($E2039,'NI-Soc_SP'!$C:$AN,MID(Y$1,1,2),FALSE)</f>
        <v>0</v>
      </c>
      <c r="Z2039" s="55">
        <f>VLOOKUP($E2039,'NI-Soc_SP'!$C:$AN,MID(Z$1,1,2),FALSE)</f>
        <v>0</v>
      </c>
      <c r="AA2039" s="55">
        <f>VLOOKUP($E2039,'NI-Soc_SP'!$C:$AN,MID(AA$1,1,2),FALSE)</f>
        <v>0</v>
      </c>
      <c r="AB2039" s="55">
        <f>VLOOKUP($E2039,'NI-Soc_SP'!$C:$AN,MID(AB$1,1,2),FALSE)</f>
        <v>0</v>
      </c>
      <c r="AC2039" s="55">
        <f>VLOOKUP($E2039,'NI-Soc_SP'!$C:$AN,MID(AC$1,1,2),FALSE)</f>
        <v>0</v>
      </c>
      <c r="AD2039" s="55">
        <f>VLOOKUP($E2039,'NI-Soc_SP'!$C:$AN,MID(AD$1,1,2),FALSE)</f>
        <v>0</v>
      </c>
      <c r="AE2039" s="55">
        <f>VLOOKUP($E2039,'NI-Soc_SP'!$C:$AN,MID(AE$1,1,2),FALSE)</f>
        <v>0</v>
      </c>
      <c r="AF2039" s="55">
        <f>VLOOKUP($E2039,'NI-Soc_SP'!$C:$AN,MID(AF$1,1,2),FALSE)</f>
        <v>0</v>
      </c>
      <c r="AG2039" s="55">
        <f>VLOOKUP($E2039,'NI-Soc_SP'!$C:$AN,MID(AG$1,1,2),FALSE)</f>
        <v>1651</v>
      </c>
      <c r="AH2039" s="55">
        <f>VLOOKUP($E2039,'NI-Soc_SP'!$C:$AN,MID(AH$1,1,2),FALSE)</f>
        <v>0</v>
      </c>
      <c r="AI2039" s="55">
        <f>VLOOKUP($E2039,'NI-Soc_SP'!$C:$AN,MID(AI$1,1,2),FALSE)</f>
        <v>3925</v>
      </c>
      <c r="AJ2039" s="55">
        <f>VLOOKUP($E2039,'NI-Soc_SP'!$C:$AN,MID(AJ$1,1,2),FALSE)</f>
        <v>6122</v>
      </c>
      <c r="AK2039" s="55">
        <f>VLOOKUP($E2039,'NI-Soc_SP'!$C:$AN,MID(AK$1,1,2),FALSE)</f>
        <v>-11698</v>
      </c>
      <c r="AL2039" s="55">
        <f>VLOOKUP($E2039,'NI-Soc_SP'!$C:$AN,MID(AL$1,1,2),FALSE)</f>
        <v>0</v>
      </c>
      <c r="AM2039" s="56">
        <f>VLOOKUP($E2039,'NI-Soc_SP'!$C:$AN,MID(AM$1,1,2),FALSE)</f>
        <v>0</v>
      </c>
      <c r="AN2039" s="30" t="str">
        <f t="shared" si="31"/>
        <v>70000000000000</v>
      </c>
    </row>
    <row r="2040" spans="1:40" x14ac:dyDescent="0.25">
      <c r="C2040" s="40"/>
      <c r="D2040" s="121" t="s">
        <v>2260</v>
      </c>
      <c r="E2040" s="121" t="s">
        <v>2261</v>
      </c>
      <c r="F2040" s="122" t="s">
        <v>2758</v>
      </c>
      <c r="G2040" s="96"/>
      <c r="H2040" s="52"/>
      <c r="I2040" s="52" t="s">
        <v>2262</v>
      </c>
      <c r="J2040" s="52"/>
      <c r="K2040" s="59" t="s">
        <v>79</v>
      </c>
      <c r="L2040" s="52" t="s">
        <v>2263</v>
      </c>
      <c r="M2040" s="52"/>
      <c r="N2040" s="52"/>
      <c r="O2040" s="61" t="s">
        <v>2264</v>
      </c>
      <c r="P2040" s="103" t="s">
        <v>2265</v>
      </c>
      <c r="Q2040" s="55">
        <f>VLOOKUP(E2040,'NI-Soc_SP'!$C:$AN,12,FALSE)</f>
        <v>0</v>
      </c>
      <c r="R2040" s="55">
        <f>VLOOKUP(E2040,'NI-Soc_SP'!$C:$AN,13,FALSE)</f>
        <v>0</v>
      </c>
      <c r="S2040" s="55">
        <f>VLOOKUP(E2040,'NI-Soc_SP'!$C:$AN,30,FALSE)</f>
        <v>0</v>
      </c>
      <c r="T2040" s="55">
        <f>VLOOKUP(E2040,'NI-Soc_SP'!$C:$AN,31,FALSE)+VLOOKUP(E2040,'NI-Soc_SP'!$C:$AN,32,FALSE)</f>
        <v>0</v>
      </c>
      <c r="U2040" s="55">
        <f>VLOOKUP($E2040,'NI-Soc_SP'!$C:$AN,MID(U$1,1,2),FALSE)</f>
        <v>0</v>
      </c>
      <c r="V2040" s="55">
        <f>VLOOKUP($E2040,'NI-Soc_SP'!$C:$AN,MID(V$1,1,2),FALSE)</f>
        <v>0</v>
      </c>
      <c r="W2040" s="55">
        <f>VLOOKUP($E2040,'NI-Soc_SP'!$C:$AN,MID(W$1,1,2),FALSE)</f>
        <v>0</v>
      </c>
      <c r="X2040" s="55">
        <f>VLOOKUP($E2040,'NI-Soc_SP'!$C:$AN,MID(X$1,1,2),FALSE)</f>
        <v>0</v>
      </c>
      <c r="Y2040" s="55">
        <f>VLOOKUP($E2040,'NI-Soc_SP'!$C:$AN,MID(Y$1,1,2),FALSE)</f>
        <v>0</v>
      </c>
      <c r="Z2040" s="55">
        <f>VLOOKUP($E2040,'NI-Soc_SP'!$C:$AN,MID(Z$1,1,2),FALSE)</f>
        <v>0</v>
      </c>
      <c r="AA2040" s="55">
        <f>VLOOKUP($E2040,'NI-Soc_SP'!$C:$AN,MID(AA$1,1,2),FALSE)</f>
        <v>0</v>
      </c>
      <c r="AB2040" s="55">
        <f>VLOOKUP($E2040,'NI-Soc_SP'!$C:$AN,MID(AB$1,1,2),FALSE)</f>
        <v>0</v>
      </c>
      <c r="AC2040" s="55">
        <f>VLOOKUP($E2040,'NI-Soc_SP'!$C:$AN,MID(AC$1,1,2),FALSE)</f>
        <v>0</v>
      </c>
      <c r="AD2040" s="55">
        <f>VLOOKUP($E2040,'NI-Soc_SP'!$C:$AN,MID(AD$1,1,2),FALSE)</f>
        <v>0</v>
      </c>
      <c r="AE2040" s="55">
        <f>VLOOKUP($E2040,'NI-Soc_SP'!$C:$AN,MID(AE$1,1,2),FALSE)</f>
        <v>0</v>
      </c>
      <c r="AF2040" s="55">
        <f>VLOOKUP($E2040,'NI-Soc_SP'!$C:$AN,MID(AF$1,1,2),FALSE)</f>
        <v>0</v>
      </c>
      <c r="AG2040" s="55">
        <f>VLOOKUP($E2040,'NI-Soc_SP'!$C:$AN,MID(AG$1,1,2),FALSE)</f>
        <v>0</v>
      </c>
      <c r="AH2040" s="55">
        <f>VLOOKUP($E2040,'NI-Soc_SP'!$C:$AN,MID(AH$1,1,2),FALSE)</f>
        <v>0</v>
      </c>
      <c r="AI2040" s="55">
        <f>VLOOKUP($E2040,'NI-Soc_SP'!$C:$AN,MID(AI$1,1,2),FALSE)</f>
        <v>0</v>
      </c>
      <c r="AJ2040" s="55">
        <f>VLOOKUP($E2040,'NI-Soc_SP'!$C:$AN,MID(AJ$1,1,2),FALSE)</f>
        <v>0</v>
      </c>
      <c r="AK2040" s="55">
        <f>VLOOKUP($E2040,'NI-Soc_SP'!$C:$AN,MID(AK$1,1,2),FALSE)</f>
        <v>0</v>
      </c>
      <c r="AL2040" s="55">
        <f>VLOOKUP($E2040,'NI-Soc_SP'!$C:$AN,MID(AL$1,1,2),FALSE)</f>
        <v>0</v>
      </c>
      <c r="AM2040" s="56">
        <f>VLOOKUP($E2040,'NI-Soc_SP'!$C:$AN,MID(AM$1,1,2),FALSE)</f>
        <v>0</v>
      </c>
      <c r="AN2040" s="30" t="str">
        <f t="shared" si="31"/>
        <v>70100000000000</v>
      </c>
    </row>
    <row r="2041" spans="1:40" x14ac:dyDescent="0.25">
      <c r="C2041" s="40"/>
      <c r="D2041" s="121" t="s">
        <v>2266</v>
      </c>
      <c r="E2041" s="121" t="s">
        <v>2267</v>
      </c>
      <c r="F2041" s="122" t="s">
        <v>2758</v>
      </c>
      <c r="G2041" s="96"/>
      <c r="H2041" s="52"/>
      <c r="I2041" s="52"/>
      <c r="J2041" s="52"/>
      <c r="K2041" s="59" t="s">
        <v>111</v>
      </c>
      <c r="L2041" s="52" t="s">
        <v>2268</v>
      </c>
      <c r="M2041" s="52" t="s">
        <v>2269</v>
      </c>
      <c r="N2041" s="52"/>
      <c r="O2041" s="61" t="s">
        <v>2270</v>
      </c>
      <c r="P2041" s="103" t="s">
        <v>2271</v>
      </c>
      <c r="Q2041" s="55">
        <f>VLOOKUP(E2041,'NI-Soc_SP'!$C:$AN,12,FALSE)</f>
        <v>0</v>
      </c>
      <c r="R2041" s="55">
        <f>VLOOKUP(E2041,'NI-Soc_SP'!$C:$AN,13,FALSE)</f>
        <v>0</v>
      </c>
      <c r="S2041" s="55">
        <f>VLOOKUP(E2041,'NI-Soc_SP'!$C:$AN,30,FALSE)</f>
        <v>0</v>
      </c>
      <c r="T2041" s="55">
        <f>VLOOKUP(E2041,'NI-Soc_SP'!$C:$AN,31,FALSE)+VLOOKUP(E2041,'NI-Soc_SP'!$C:$AN,32,FALSE)</f>
        <v>0</v>
      </c>
      <c r="U2041" s="55">
        <f>VLOOKUP($E2041,'NI-Soc_SP'!$C:$AN,MID(U$1,1,2),FALSE)</f>
        <v>0</v>
      </c>
      <c r="V2041" s="55">
        <f>VLOOKUP($E2041,'NI-Soc_SP'!$C:$AN,MID(V$1,1,2),FALSE)</f>
        <v>0</v>
      </c>
      <c r="W2041" s="55">
        <f>VLOOKUP($E2041,'NI-Soc_SP'!$C:$AN,MID(W$1,1,2),FALSE)</f>
        <v>0</v>
      </c>
      <c r="X2041" s="55">
        <f>VLOOKUP($E2041,'NI-Soc_SP'!$C:$AN,MID(X$1,1,2),FALSE)</f>
        <v>0</v>
      </c>
      <c r="Y2041" s="55">
        <f>VLOOKUP($E2041,'NI-Soc_SP'!$C:$AN,MID(Y$1,1,2),FALSE)</f>
        <v>0</v>
      </c>
      <c r="Z2041" s="55">
        <f>VLOOKUP($E2041,'NI-Soc_SP'!$C:$AN,MID(Z$1,1,2),FALSE)</f>
        <v>0</v>
      </c>
      <c r="AA2041" s="55">
        <f>VLOOKUP($E2041,'NI-Soc_SP'!$C:$AN,MID(AA$1,1,2),FALSE)</f>
        <v>0</v>
      </c>
      <c r="AB2041" s="55">
        <f>VLOOKUP($E2041,'NI-Soc_SP'!$C:$AN,MID(AB$1,1,2),FALSE)</f>
        <v>0</v>
      </c>
      <c r="AC2041" s="55">
        <f>VLOOKUP($E2041,'NI-Soc_SP'!$C:$AN,MID(AC$1,1,2),FALSE)</f>
        <v>0</v>
      </c>
      <c r="AD2041" s="55">
        <f>VLOOKUP($E2041,'NI-Soc_SP'!$C:$AN,MID(AD$1,1,2),FALSE)</f>
        <v>0</v>
      </c>
      <c r="AE2041" s="55">
        <f>VLOOKUP($E2041,'NI-Soc_SP'!$C:$AN,MID(AE$1,1,2),FALSE)</f>
        <v>0</v>
      </c>
      <c r="AF2041" s="55">
        <f>VLOOKUP($E2041,'NI-Soc_SP'!$C:$AN,MID(AF$1,1,2),FALSE)</f>
        <v>0</v>
      </c>
      <c r="AG2041" s="55">
        <f>VLOOKUP($E2041,'NI-Soc_SP'!$C:$AN,MID(AG$1,1,2),FALSE)</f>
        <v>0</v>
      </c>
      <c r="AH2041" s="55">
        <f>VLOOKUP($E2041,'NI-Soc_SP'!$C:$AN,MID(AH$1,1,2),FALSE)</f>
        <v>0</v>
      </c>
      <c r="AI2041" s="55">
        <f>VLOOKUP($E2041,'NI-Soc_SP'!$C:$AN,MID(AI$1,1,2),FALSE)</f>
        <v>0</v>
      </c>
      <c r="AJ2041" s="55">
        <f>VLOOKUP($E2041,'NI-Soc_SP'!$C:$AN,MID(AJ$1,1,2),FALSE)</f>
        <v>0</v>
      </c>
      <c r="AK2041" s="55">
        <f>VLOOKUP($E2041,'NI-Soc_SP'!$C:$AN,MID(AK$1,1,2),FALSE)</f>
        <v>0</v>
      </c>
      <c r="AL2041" s="55">
        <f>VLOOKUP($E2041,'NI-Soc_SP'!$C:$AN,MID(AL$1,1,2),FALSE)</f>
        <v>0</v>
      </c>
      <c r="AM2041" s="56">
        <f>VLOOKUP($E2041,'NI-Soc_SP'!$C:$AN,MID(AM$1,1,2),FALSE)</f>
        <v>0</v>
      </c>
      <c r="AN2041" s="30" t="str">
        <f t="shared" si="31"/>
        <v>70200000000000</v>
      </c>
    </row>
    <row r="2042" spans="1:40" x14ac:dyDescent="0.25">
      <c r="C2042" s="40"/>
      <c r="D2042" s="121" t="s">
        <v>2272</v>
      </c>
      <c r="E2042" s="121" t="s">
        <v>2273</v>
      </c>
      <c r="F2042" s="122" t="s">
        <v>2758</v>
      </c>
      <c r="G2042" s="96"/>
      <c r="H2042" s="52"/>
      <c r="I2042" s="52" t="s">
        <v>2274</v>
      </c>
      <c r="J2042" s="52"/>
      <c r="K2042" s="59" t="s">
        <v>1358</v>
      </c>
      <c r="L2042" s="52"/>
      <c r="M2042" s="52"/>
      <c r="N2042" s="52"/>
      <c r="O2042" s="52"/>
      <c r="P2042" s="103" t="s">
        <v>2275</v>
      </c>
      <c r="Q2042" s="55">
        <f>VLOOKUP(E2042,'NI-Soc_SP'!$C:$AN,12,FALSE)</f>
        <v>0</v>
      </c>
      <c r="R2042" s="55">
        <f>VLOOKUP(E2042,'NI-Soc_SP'!$C:$AN,13,FALSE)</f>
        <v>0</v>
      </c>
      <c r="S2042" s="55">
        <f>VLOOKUP(E2042,'NI-Soc_SP'!$C:$AN,30,FALSE)</f>
        <v>0</v>
      </c>
      <c r="T2042" s="94">
        <f>VLOOKUP(E2042,'NI-Soc_SP'!$C:$AN,31,FALSE)+VLOOKUP(E2042,'NI-Soc_SP'!$C:$AN,32,FALSE)</f>
        <v>0</v>
      </c>
      <c r="U2042" s="55">
        <f>VLOOKUP($E2042,'NI-Soc_SP'!$C:$AN,MID(U$1,1,2),FALSE)</f>
        <v>0</v>
      </c>
      <c r="V2042" s="55">
        <f>VLOOKUP($E2042,'NI-Soc_SP'!$C:$AN,MID(V$1,1,2),FALSE)</f>
        <v>0</v>
      </c>
      <c r="W2042" s="55">
        <f>VLOOKUP($E2042,'NI-Soc_SP'!$C:$AN,MID(W$1,1,2),FALSE)</f>
        <v>0</v>
      </c>
      <c r="X2042" s="55">
        <f>VLOOKUP($E2042,'NI-Soc_SP'!$C:$AN,MID(X$1,1,2),FALSE)</f>
        <v>0</v>
      </c>
      <c r="Y2042" s="55">
        <f>VLOOKUP($E2042,'NI-Soc_SP'!$C:$AN,MID(Y$1,1,2),FALSE)</f>
        <v>0</v>
      </c>
      <c r="Z2042" s="55">
        <f>VLOOKUP($E2042,'NI-Soc_SP'!$C:$AN,MID(Z$1,1,2),FALSE)</f>
        <v>0</v>
      </c>
      <c r="AA2042" s="55">
        <f>VLOOKUP($E2042,'NI-Soc_SP'!$C:$AN,MID(AA$1,1,2),FALSE)</f>
        <v>0</v>
      </c>
      <c r="AB2042" s="55">
        <f>VLOOKUP($E2042,'NI-Soc_SP'!$C:$AN,MID(AB$1,1,2),FALSE)</f>
        <v>0</v>
      </c>
      <c r="AC2042" s="55">
        <f>VLOOKUP($E2042,'NI-Soc_SP'!$C:$AN,MID(AC$1,1,2),FALSE)</f>
        <v>0</v>
      </c>
      <c r="AD2042" s="55">
        <f>VLOOKUP($E2042,'NI-Soc_SP'!$C:$AN,MID(AD$1,1,2),FALSE)</f>
        <v>0</v>
      </c>
      <c r="AE2042" s="55">
        <f>VLOOKUP($E2042,'NI-Soc_SP'!$C:$AN,MID(AE$1,1,2),FALSE)</f>
        <v>0</v>
      </c>
      <c r="AF2042" s="55">
        <f>VLOOKUP($E2042,'NI-Soc_SP'!$C:$AN,MID(AF$1,1,2),FALSE)</f>
        <v>0</v>
      </c>
      <c r="AG2042" s="55">
        <f>VLOOKUP($E2042,'NI-Soc_SP'!$C:$AN,MID(AG$1,1,2),FALSE)</f>
        <v>0</v>
      </c>
      <c r="AH2042" s="55">
        <f>VLOOKUP($E2042,'NI-Soc_SP'!$C:$AN,MID(AH$1,1,2),FALSE)</f>
        <v>0</v>
      </c>
      <c r="AI2042" s="55">
        <f>VLOOKUP($E2042,'NI-Soc_SP'!$C:$AN,MID(AI$1,1,2),FALSE)</f>
        <v>0</v>
      </c>
      <c r="AJ2042" s="55">
        <f>VLOOKUP($E2042,'NI-Soc_SP'!$C:$AN,MID(AJ$1,1,2),FALSE)</f>
        <v>0</v>
      </c>
      <c r="AK2042" s="55">
        <f>VLOOKUP($E2042,'NI-Soc_SP'!$C:$AN,MID(AK$1,1,2),FALSE)</f>
        <v>0</v>
      </c>
      <c r="AL2042" s="55">
        <f>VLOOKUP($E2042,'NI-Soc_SP'!$C:$AN,MID(AL$1,1,2),FALSE)</f>
        <v>0</v>
      </c>
      <c r="AM2042" s="56">
        <f>VLOOKUP($E2042,'NI-Soc_SP'!$C:$AN,MID(AM$1,1,2),FALSE)</f>
        <v>0</v>
      </c>
      <c r="AN2042" s="30" t="str">
        <f t="shared" si="31"/>
        <v>70201000000000</v>
      </c>
    </row>
    <row r="2043" spans="1:40" x14ac:dyDescent="0.25">
      <c r="C2043" s="40"/>
      <c r="D2043" s="121" t="s">
        <v>2276</v>
      </c>
      <c r="E2043" s="121" t="s">
        <v>2277</v>
      </c>
      <c r="F2043" s="122" t="s">
        <v>2758</v>
      </c>
      <c r="G2043" s="96"/>
      <c r="H2043" s="52"/>
      <c r="I2043" s="52" t="s">
        <v>2278</v>
      </c>
      <c r="J2043" s="52"/>
      <c r="K2043" s="59" t="s">
        <v>1358</v>
      </c>
      <c r="L2043" s="52"/>
      <c r="M2043" s="52"/>
      <c r="N2043" s="52"/>
      <c r="O2043" s="52"/>
      <c r="P2043" s="76" t="s">
        <v>2279</v>
      </c>
      <c r="Q2043" s="55">
        <f>VLOOKUP(E2043,'NI-Soc_SP'!$C:$AN,12,FALSE)</f>
        <v>0</v>
      </c>
      <c r="R2043" s="55">
        <f>VLOOKUP(E2043,'NI-Soc_SP'!$C:$AN,13,FALSE)</f>
        <v>0</v>
      </c>
      <c r="S2043" s="55">
        <f>VLOOKUP(E2043,'NI-Soc_SP'!$C:$AN,30,FALSE)</f>
        <v>0</v>
      </c>
      <c r="T2043" s="94">
        <f>VLOOKUP(E2043,'NI-Soc_SP'!$C:$AN,31,FALSE)+VLOOKUP(E2043,'NI-Soc_SP'!$C:$AN,32,FALSE)</f>
        <v>0</v>
      </c>
      <c r="U2043" s="55">
        <f>VLOOKUP($E2043,'NI-Soc_SP'!$C:$AN,MID(U$1,1,2),FALSE)</f>
        <v>0</v>
      </c>
      <c r="V2043" s="55">
        <f>VLOOKUP($E2043,'NI-Soc_SP'!$C:$AN,MID(V$1,1,2),FALSE)</f>
        <v>0</v>
      </c>
      <c r="W2043" s="55">
        <f>VLOOKUP($E2043,'NI-Soc_SP'!$C:$AN,MID(W$1,1,2),FALSE)</f>
        <v>0</v>
      </c>
      <c r="X2043" s="55">
        <f>VLOOKUP($E2043,'NI-Soc_SP'!$C:$AN,MID(X$1,1,2),FALSE)</f>
        <v>0</v>
      </c>
      <c r="Y2043" s="55">
        <f>VLOOKUP($E2043,'NI-Soc_SP'!$C:$AN,MID(Y$1,1,2),FALSE)</f>
        <v>0</v>
      </c>
      <c r="Z2043" s="55">
        <f>VLOOKUP($E2043,'NI-Soc_SP'!$C:$AN,MID(Z$1,1,2),FALSE)</f>
        <v>0</v>
      </c>
      <c r="AA2043" s="55">
        <f>VLOOKUP($E2043,'NI-Soc_SP'!$C:$AN,MID(AA$1,1,2),FALSE)</f>
        <v>0</v>
      </c>
      <c r="AB2043" s="55">
        <f>VLOOKUP($E2043,'NI-Soc_SP'!$C:$AN,MID(AB$1,1,2),FALSE)</f>
        <v>0</v>
      </c>
      <c r="AC2043" s="55">
        <f>VLOOKUP($E2043,'NI-Soc_SP'!$C:$AN,MID(AC$1,1,2),FALSE)</f>
        <v>0</v>
      </c>
      <c r="AD2043" s="55">
        <f>VLOOKUP($E2043,'NI-Soc_SP'!$C:$AN,MID(AD$1,1,2),FALSE)</f>
        <v>0</v>
      </c>
      <c r="AE2043" s="55">
        <f>VLOOKUP($E2043,'NI-Soc_SP'!$C:$AN,MID(AE$1,1,2),FALSE)</f>
        <v>0</v>
      </c>
      <c r="AF2043" s="55">
        <f>VLOOKUP($E2043,'NI-Soc_SP'!$C:$AN,MID(AF$1,1,2),FALSE)</f>
        <v>0</v>
      </c>
      <c r="AG2043" s="55">
        <f>VLOOKUP($E2043,'NI-Soc_SP'!$C:$AN,MID(AG$1,1,2),FALSE)</f>
        <v>0</v>
      </c>
      <c r="AH2043" s="55">
        <f>VLOOKUP($E2043,'NI-Soc_SP'!$C:$AN,MID(AH$1,1,2),FALSE)</f>
        <v>0</v>
      </c>
      <c r="AI2043" s="55">
        <f>VLOOKUP($E2043,'NI-Soc_SP'!$C:$AN,MID(AI$1,1,2),FALSE)</f>
        <v>0</v>
      </c>
      <c r="AJ2043" s="55">
        <f>VLOOKUP($E2043,'NI-Soc_SP'!$C:$AN,MID(AJ$1,1,2),FALSE)</f>
        <v>0</v>
      </c>
      <c r="AK2043" s="55">
        <f>VLOOKUP($E2043,'NI-Soc_SP'!$C:$AN,MID(AK$1,1,2),FALSE)</f>
        <v>0</v>
      </c>
      <c r="AL2043" s="55">
        <f>VLOOKUP($E2043,'NI-Soc_SP'!$C:$AN,MID(AL$1,1,2),FALSE)</f>
        <v>0</v>
      </c>
      <c r="AM2043" s="56">
        <f>VLOOKUP($E2043,'NI-Soc_SP'!$C:$AN,MID(AM$1,1,2),FALSE)</f>
        <v>0</v>
      </c>
      <c r="AN2043" s="30" t="str">
        <f t="shared" si="31"/>
        <v>70202000000000</v>
      </c>
    </row>
    <row r="2044" spans="1:40" x14ac:dyDescent="0.25">
      <c r="C2044" s="40"/>
      <c r="D2044" s="121" t="s">
        <v>2280</v>
      </c>
      <c r="E2044" s="121" t="s">
        <v>2281</v>
      </c>
      <c r="F2044" s="122" t="s">
        <v>2758</v>
      </c>
      <c r="G2044" s="96"/>
      <c r="H2044" s="52"/>
      <c r="I2044" s="52" t="s">
        <v>2282</v>
      </c>
      <c r="J2044" s="52"/>
      <c r="K2044" s="59" t="s">
        <v>1358</v>
      </c>
      <c r="L2044" s="52"/>
      <c r="M2044" s="52"/>
      <c r="N2044" s="52"/>
      <c r="O2044" s="52"/>
      <c r="P2044" s="76" t="s">
        <v>2283</v>
      </c>
      <c r="Q2044" s="55">
        <f>VLOOKUP(E2044,'NI-Soc_SP'!$C:$AN,12,FALSE)</f>
        <v>0</v>
      </c>
      <c r="R2044" s="55">
        <f>VLOOKUP(E2044,'NI-Soc_SP'!$C:$AN,13,FALSE)</f>
        <v>0</v>
      </c>
      <c r="S2044" s="55">
        <f>VLOOKUP(E2044,'NI-Soc_SP'!$C:$AN,30,FALSE)</f>
        <v>0</v>
      </c>
      <c r="T2044" s="94">
        <f>VLOOKUP(E2044,'NI-Soc_SP'!$C:$AN,31,FALSE)+VLOOKUP(E2044,'NI-Soc_SP'!$C:$AN,32,FALSE)</f>
        <v>0</v>
      </c>
      <c r="U2044" s="55">
        <f>VLOOKUP($E2044,'NI-Soc_SP'!$C:$AN,MID(U$1,1,2),FALSE)</f>
        <v>0</v>
      </c>
      <c r="V2044" s="55">
        <f>VLOOKUP($E2044,'NI-Soc_SP'!$C:$AN,MID(V$1,1,2),FALSE)</f>
        <v>0</v>
      </c>
      <c r="W2044" s="55">
        <f>VLOOKUP($E2044,'NI-Soc_SP'!$C:$AN,MID(W$1,1,2),FALSE)</f>
        <v>0</v>
      </c>
      <c r="X2044" s="55">
        <f>VLOOKUP($E2044,'NI-Soc_SP'!$C:$AN,MID(X$1,1,2),FALSE)</f>
        <v>0</v>
      </c>
      <c r="Y2044" s="55">
        <f>VLOOKUP($E2044,'NI-Soc_SP'!$C:$AN,MID(Y$1,1,2),FALSE)</f>
        <v>0</v>
      </c>
      <c r="Z2044" s="55">
        <f>VLOOKUP($E2044,'NI-Soc_SP'!$C:$AN,MID(Z$1,1,2),FALSE)</f>
        <v>0</v>
      </c>
      <c r="AA2044" s="55">
        <f>VLOOKUP($E2044,'NI-Soc_SP'!$C:$AN,MID(AA$1,1,2),FALSE)</f>
        <v>0</v>
      </c>
      <c r="AB2044" s="55">
        <f>VLOOKUP($E2044,'NI-Soc_SP'!$C:$AN,MID(AB$1,1,2),FALSE)</f>
        <v>0</v>
      </c>
      <c r="AC2044" s="55">
        <f>VLOOKUP($E2044,'NI-Soc_SP'!$C:$AN,MID(AC$1,1,2),FALSE)</f>
        <v>0</v>
      </c>
      <c r="AD2044" s="55">
        <f>VLOOKUP($E2044,'NI-Soc_SP'!$C:$AN,MID(AD$1,1,2),FALSE)</f>
        <v>0</v>
      </c>
      <c r="AE2044" s="55">
        <f>VLOOKUP($E2044,'NI-Soc_SP'!$C:$AN,MID(AE$1,1,2),FALSE)</f>
        <v>0</v>
      </c>
      <c r="AF2044" s="55">
        <f>VLOOKUP($E2044,'NI-Soc_SP'!$C:$AN,MID(AF$1,1,2),FALSE)</f>
        <v>0</v>
      </c>
      <c r="AG2044" s="55">
        <f>VLOOKUP($E2044,'NI-Soc_SP'!$C:$AN,MID(AG$1,1,2),FALSE)</f>
        <v>0</v>
      </c>
      <c r="AH2044" s="55">
        <f>VLOOKUP($E2044,'NI-Soc_SP'!$C:$AN,MID(AH$1,1,2),FALSE)</f>
        <v>0</v>
      </c>
      <c r="AI2044" s="55">
        <f>VLOOKUP($E2044,'NI-Soc_SP'!$C:$AN,MID(AI$1,1,2),FALSE)</f>
        <v>0</v>
      </c>
      <c r="AJ2044" s="55">
        <f>VLOOKUP($E2044,'NI-Soc_SP'!$C:$AN,MID(AJ$1,1,2),FALSE)</f>
        <v>0</v>
      </c>
      <c r="AK2044" s="55">
        <f>VLOOKUP($E2044,'NI-Soc_SP'!$C:$AN,MID(AK$1,1,2),FALSE)</f>
        <v>0</v>
      </c>
      <c r="AL2044" s="55">
        <f>VLOOKUP($E2044,'NI-Soc_SP'!$C:$AN,MID(AL$1,1,2),FALSE)</f>
        <v>0</v>
      </c>
      <c r="AM2044" s="56">
        <f>VLOOKUP($E2044,'NI-Soc_SP'!$C:$AN,MID(AM$1,1,2),FALSE)</f>
        <v>0</v>
      </c>
      <c r="AN2044" s="30" t="str">
        <f t="shared" si="31"/>
        <v>70203000000000</v>
      </c>
    </row>
    <row r="2045" spans="1:40" x14ac:dyDescent="0.25">
      <c r="C2045" s="40"/>
      <c r="D2045" s="121" t="s">
        <v>2284</v>
      </c>
      <c r="E2045" s="121" t="s">
        <v>2285</v>
      </c>
      <c r="F2045" s="122" t="s">
        <v>2758</v>
      </c>
      <c r="G2045" s="96"/>
      <c r="H2045" s="52"/>
      <c r="I2045" s="52" t="s">
        <v>2286</v>
      </c>
      <c r="J2045" s="52"/>
      <c r="K2045" s="59" t="s">
        <v>79</v>
      </c>
      <c r="L2045" s="52"/>
      <c r="M2045" s="52"/>
      <c r="N2045" s="52"/>
      <c r="O2045" s="52"/>
      <c r="P2045" s="76" t="s">
        <v>2287</v>
      </c>
      <c r="Q2045" s="55">
        <f>VLOOKUP(E2045,'NI-Soc_SP'!$C:$AN,12,FALSE)</f>
        <v>0</v>
      </c>
      <c r="R2045" s="55">
        <f>VLOOKUP(E2045,'NI-Soc_SP'!$C:$AN,13,FALSE)</f>
        <v>0</v>
      </c>
      <c r="S2045" s="55">
        <f>VLOOKUP(E2045,'NI-Soc_SP'!$C:$AN,30,FALSE)</f>
        <v>0</v>
      </c>
      <c r="T2045" s="94">
        <f>VLOOKUP(E2045,'NI-Soc_SP'!$C:$AN,31,FALSE)+VLOOKUP(E2045,'NI-Soc_SP'!$C:$AN,32,FALSE)</f>
        <v>0</v>
      </c>
      <c r="U2045" s="55">
        <f>VLOOKUP($E2045,'NI-Soc_SP'!$C:$AN,MID(U$1,1,2),FALSE)</f>
        <v>0</v>
      </c>
      <c r="V2045" s="55">
        <f>VLOOKUP($E2045,'NI-Soc_SP'!$C:$AN,MID(V$1,1,2),FALSE)</f>
        <v>0</v>
      </c>
      <c r="W2045" s="55">
        <f>VLOOKUP($E2045,'NI-Soc_SP'!$C:$AN,MID(W$1,1,2),FALSE)</f>
        <v>0</v>
      </c>
      <c r="X2045" s="55">
        <f>VLOOKUP($E2045,'NI-Soc_SP'!$C:$AN,MID(X$1,1,2),FALSE)</f>
        <v>0</v>
      </c>
      <c r="Y2045" s="55">
        <f>VLOOKUP($E2045,'NI-Soc_SP'!$C:$AN,MID(Y$1,1,2),FALSE)</f>
        <v>0</v>
      </c>
      <c r="Z2045" s="55">
        <f>VLOOKUP($E2045,'NI-Soc_SP'!$C:$AN,MID(Z$1,1,2),FALSE)</f>
        <v>0</v>
      </c>
      <c r="AA2045" s="55">
        <f>VLOOKUP($E2045,'NI-Soc_SP'!$C:$AN,MID(AA$1,1,2),FALSE)</f>
        <v>0</v>
      </c>
      <c r="AB2045" s="55">
        <f>VLOOKUP($E2045,'NI-Soc_SP'!$C:$AN,MID(AB$1,1,2),FALSE)</f>
        <v>0</v>
      </c>
      <c r="AC2045" s="55">
        <f>VLOOKUP($E2045,'NI-Soc_SP'!$C:$AN,MID(AC$1,1,2),FALSE)</f>
        <v>0</v>
      </c>
      <c r="AD2045" s="55">
        <f>VLOOKUP($E2045,'NI-Soc_SP'!$C:$AN,MID(AD$1,1,2),FALSE)</f>
        <v>0</v>
      </c>
      <c r="AE2045" s="55">
        <f>VLOOKUP($E2045,'NI-Soc_SP'!$C:$AN,MID(AE$1,1,2),FALSE)</f>
        <v>0</v>
      </c>
      <c r="AF2045" s="55">
        <f>VLOOKUP($E2045,'NI-Soc_SP'!$C:$AN,MID(AF$1,1,2),FALSE)</f>
        <v>0</v>
      </c>
      <c r="AG2045" s="55">
        <f>VLOOKUP($E2045,'NI-Soc_SP'!$C:$AN,MID(AG$1,1,2),FALSE)</f>
        <v>0</v>
      </c>
      <c r="AH2045" s="55">
        <f>VLOOKUP($E2045,'NI-Soc_SP'!$C:$AN,MID(AH$1,1,2),FALSE)</f>
        <v>0</v>
      </c>
      <c r="AI2045" s="55">
        <f>VLOOKUP($E2045,'NI-Soc_SP'!$C:$AN,MID(AI$1,1,2),FALSE)</f>
        <v>0</v>
      </c>
      <c r="AJ2045" s="55">
        <f>VLOOKUP($E2045,'NI-Soc_SP'!$C:$AN,MID(AJ$1,1,2),FALSE)</f>
        <v>0</v>
      </c>
      <c r="AK2045" s="55">
        <f>VLOOKUP($E2045,'NI-Soc_SP'!$C:$AN,MID(AK$1,1,2),FALSE)</f>
        <v>0</v>
      </c>
      <c r="AL2045" s="55">
        <f>VLOOKUP($E2045,'NI-Soc_SP'!$C:$AN,MID(AL$1,1,2),FALSE)</f>
        <v>0</v>
      </c>
      <c r="AM2045" s="56">
        <f>VLOOKUP($E2045,'NI-Soc_SP'!$C:$AN,MID(AM$1,1,2),FALSE)</f>
        <v>0</v>
      </c>
      <c r="AN2045" s="30" t="str">
        <f t="shared" si="31"/>
        <v>70204000000000</v>
      </c>
    </row>
    <row r="2046" spans="1:40" x14ac:dyDescent="0.25">
      <c r="C2046" s="40"/>
      <c r="D2046" s="121" t="s">
        <v>2288</v>
      </c>
      <c r="E2046" s="121" t="s">
        <v>2289</v>
      </c>
      <c r="F2046" s="122" t="s">
        <v>2758</v>
      </c>
      <c r="G2046" s="96"/>
      <c r="H2046" s="52"/>
      <c r="I2046" s="52" t="s">
        <v>2290</v>
      </c>
      <c r="J2046" s="52"/>
      <c r="K2046" s="59" t="s">
        <v>79</v>
      </c>
      <c r="L2046" s="52"/>
      <c r="M2046" s="52"/>
      <c r="N2046" s="52"/>
      <c r="O2046" s="52"/>
      <c r="P2046" s="116" t="s">
        <v>2291</v>
      </c>
      <c r="Q2046" s="55">
        <f>VLOOKUP(E2046,'NI-Soc_SP'!$C:$AN,12,FALSE)</f>
        <v>0</v>
      </c>
      <c r="R2046" s="55">
        <f>VLOOKUP(E2046,'NI-Soc_SP'!$C:$AN,13,FALSE)</f>
        <v>0</v>
      </c>
      <c r="S2046" s="55">
        <f>VLOOKUP(E2046,'NI-Soc_SP'!$C:$AN,30,FALSE)</f>
        <v>0</v>
      </c>
      <c r="T2046" s="94">
        <f>VLOOKUP(E2046,'NI-Soc_SP'!$C:$AN,31,FALSE)+VLOOKUP(E2046,'NI-Soc_SP'!$C:$AN,32,FALSE)</f>
        <v>0</v>
      </c>
      <c r="U2046" s="55">
        <f>VLOOKUP($E2046,'NI-Soc_SP'!$C:$AN,MID(U$1,1,2),FALSE)</f>
        <v>0</v>
      </c>
      <c r="V2046" s="55">
        <f>VLOOKUP($E2046,'NI-Soc_SP'!$C:$AN,MID(V$1,1,2),FALSE)</f>
        <v>0</v>
      </c>
      <c r="W2046" s="55">
        <f>VLOOKUP($E2046,'NI-Soc_SP'!$C:$AN,MID(W$1,1,2),FALSE)</f>
        <v>0</v>
      </c>
      <c r="X2046" s="55">
        <f>VLOOKUP($E2046,'NI-Soc_SP'!$C:$AN,MID(X$1,1,2),FALSE)</f>
        <v>0</v>
      </c>
      <c r="Y2046" s="55">
        <f>VLOOKUP($E2046,'NI-Soc_SP'!$C:$AN,MID(Y$1,1,2),FALSE)</f>
        <v>0</v>
      </c>
      <c r="Z2046" s="55">
        <f>VLOOKUP($E2046,'NI-Soc_SP'!$C:$AN,MID(Z$1,1,2),FALSE)</f>
        <v>0</v>
      </c>
      <c r="AA2046" s="55">
        <f>VLOOKUP($E2046,'NI-Soc_SP'!$C:$AN,MID(AA$1,1,2),FALSE)</f>
        <v>0</v>
      </c>
      <c r="AB2046" s="55">
        <f>VLOOKUP($E2046,'NI-Soc_SP'!$C:$AN,MID(AB$1,1,2),FALSE)</f>
        <v>0</v>
      </c>
      <c r="AC2046" s="55">
        <f>VLOOKUP($E2046,'NI-Soc_SP'!$C:$AN,MID(AC$1,1,2),FALSE)</f>
        <v>0</v>
      </c>
      <c r="AD2046" s="55">
        <f>VLOOKUP($E2046,'NI-Soc_SP'!$C:$AN,MID(AD$1,1,2),FALSE)</f>
        <v>0</v>
      </c>
      <c r="AE2046" s="55">
        <f>VLOOKUP($E2046,'NI-Soc_SP'!$C:$AN,MID(AE$1,1,2),FALSE)</f>
        <v>0</v>
      </c>
      <c r="AF2046" s="55">
        <f>VLOOKUP($E2046,'NI-Soc_SP'!$C:$AN,MID(AF$1,1,2),FALSE)</f>
        <v>0</v>
      </c>
      <c r="AG2046" s="55">
        <f>VLOOKUP($E2046,'NI-Soc_SP'!$C:$AN,MID(AG$1,1,2),FALSE)</f>
        <v>0</v>
      </c>
      <c r="AH2046" s="55">
        <f>VLOOKUP($E2046,'NI-Soc_SP'!$C:$AN,MID(AH$1,1,2),FALSE)</f>
        <v>0</v>
      </c>
      <c r="AI2046" s="55">
        <f>VLOOKUP($E2046,'NI-Soc_SP'!$C:$AN,MID(AI$1,1,2),FALSE)</f>
        <v>0</v>
      </c>
      <c r="AJ2046" s="55">
        <f>VLOOKUP($E2046,'NI-Soc_SP'!$C:$AN,MID(AJ$1,1,2),FALSE)</f>
        <v>0</v>
      </c>
      <c r="AK2046" s="55">
        <f>VLOOKUP($E2046,'NI-Soc_SP'!$C:$AN,MID(AK$1,1,2),FALSE)</f>
        <v>0</v>
      </c>
      <c r="AL2046" s="55">
        <f>VLOOKUP($E2046,'NI-Soc_SP'!$C:$AN,MID(AL$1,1,2),FALSE)</f>
        <v>0</v>
      </c>
      <c r="AM2046" s="56">
        <f>VLOOKUP($E2046,'NI-Soc_SP'!$C:$AN,MID(AM$1,1,2),FALSE)</f>
        <v>0</v>
      </c>
      <c r="AN2046" s="30" t="str">
        <f t="shared" si="31"/>
        <v>70205000000000</v>
      </c>
    </row>
    <row r="2047" spans="1:40" x14ac:dyDescent="0.25">
      <c r="C2047" s="40"/>
      <c r="D2047" s="121" t="s">
        <v>2292</v>
      </c>
      <c r="E2047" s="121" t="s">
        <v>2293</v>
      </c>
      <c r="F2047" s="122" t="s">
        <v>2758</v>
      </c>
      <c r="G2047" s="96"/>
      <c r="H2047" s="52"/>
      <c r="I2047" s="65"/>
      <c r="J2047" s="65"/>
      <c r="K2047" s="59" t="s">
        <v>111</v>
      </c>
      <c r="L2047" s="52" t="s">
        <v>2294</v>
      </c>
      <c r="M2047" s="52" t="s">
        <v>2269</v>
      </c>
      <c r="N2047" s="52"/>
      <c r="O2047" s="61" t="s">
        <v>2295</v>
      </c>
      <c r="P2047" s="116" t="s">
        <v>2296</v>
      </c>
      <c r="Q2047" s="55">
        <f>VLOOKUP(E2047,'NI-Soc_SP'!$C:$AN,12,FALSE)</f>
        <v>0</v>
      </c>
      <c r="R2047" s="55">
        <f>VLOOKUP(E2047,'NI-Soc_SP'!$C:$AN,13,FALSE)</f>
        <v>0</v>
      </c>
      <c r="S2047" s="55">
        <f>VLOOKUP(E2047,'NI-Soc_SP'!$C:$AN,30,FALSE)</f>
        <v>0</v>
      </c>
      <c r="T2047" s="55">
        <f>VLOOKUP(E2047,'NI-Soc_SP'!$C:$AN,31,FALSE)+VLOOKUP(E2047,'NI-Soc_SP'!$C:$AN,32,FALSE)</f>
        <v>0</v>
      </c>
      <c r="U2047" s="55">
        <f>VLOOKUP($E2047,'NI-Soc_SP'!$C:$AN,MID(U$1,1,2),FALSE)</f>
        <v>0</v>
      </c>
      <c r="V2047" s="55">
        <f>VLOOKUP($E2047,'NI-Soc_SP'!$C:$AN,MID(V$1,1,2),FALSE)</f>
        <v>0</v>
      </c>
      <c r="W2047" s="55">
        <f>VLOOKUP($E2047,'NI-Soc_SP'!$C:$AN,MID(W$1,1,2),FALSE)</f>
        <v>0</v>
      </c>
      <c r="X2047" s="55">
        <f>VLOOKUP($E2047,'NI-Soc_SP'!$C:$AN,MID(X$1,1,2),FALSE)</f>
        <v>0</v>
      </c>
      <c r="Y2047" s="55">
        <f>VLOOKUP($E2047,'NI-Soc_SP'!$C:$AN,MID(Y$1,1,2),FALSE)</f>
        <v>0</v>
      </c>
      <c r="Z2047" s="55">
        <f>VLOOKUP($E2047,'NI-Soc_SP'!$C:$AN,MID(Z$1,1,2),FALSE)</f>
        <v>0</v>
      </c>
      <c r="AA2047" s="55">
        <f>VLOOKUP($E2047,'NI-Soc_SP'!$C:$AN,MID(AA$1,1,2),FALSE)</f>
        <v>0</v>
      </c>
      <c r="AB2047" s="55">
        <f>VLOOKUP($E2047,'NI-Soc_SP'!$C:$AN,MID(AB$1,1,2),FALSE)</f>
        <v>0</v>
      </c>
      <c r="AC2047" s="55">
        <f>VLOOKUP($E2047,'NI-Soc_SP'!$C:$AN,MID(AC$1,1,2),FALSE)</f>
        <v>0</v>
      </c>
      <c r="AD2047" s="55">
        <f>VLOOKUP($E2047,'NI-Soc_SP'!$C:$AN,MID(AD$1,1,2),FALSE)</f>
        <v>0</v>
      </c>
      <c r="AE2047" s="55">
        <f>VLOOKUP($E2047,'NI-Soc_SP'!$C:$AN,MID(AE$1,1,2),FALSE)</f>
        <v>0</v>
      </c>
      <c r="AF2047" s="55">
        <f>VLOOKUP($E2047,'NI-Soc_SP'!$C:$AN,MID(AF$1,1,2),FALSE)</f>
        <v>0</v>
      </c>
      <c r="AG2047" s="55">
        <f>VLOOKUP($E2047,'NI-Soc_SP'!$C:$AN,MID(AG$1,1,2),FALSE)</f>
        <v>0</v>
      </c>
      <c r="AH2047" s="55">
        <f>VLOOKUP($E2047,'NI-Soc_SP'!$C:$AN,MID(AH$1,1,2),FALSE)</f>
        <v>0</v>
      </c>
      <c r="AI2047" s="55">
        <f>VLOOKUP($E2047,'NI-Soc_SP'!$C:$AN,MID(AI$1,1,2),FALSE)</f>
        <v>0</v>
      </c>
      <c r="AJ2047" s="55">
        <f>VLOOKUP($E2047,'NI-Soc_SP'!$C:$AN,MID(AJ$1,1,2),FALSE)</f>
        <v>0</v>
      </c>
      <c r="AK2047" s="55">
        <f>VLOOKUP($E2047,'NI-Soc_SP'!$C:$AN,MID(AK$1,1,2),FALSE)</f>
        <v>0</v>
      </c>
      <c r="AL2047" s="55">
        <f>VLOOKUP($E2047,'NI-Soc_SP'!$C:$AN,MID(AL$1,1,2),FALSE)</f>
        <v>0</v>
      </c>
      <c r="AM2047" s="56">
        <f>VLOOKUP($E2047,'NI-Soc_SP'!$C:$AN,MID(AM$1,1,2),FALSE)</f>
        <v>0</v>
      </c>
      <c r="AN2047" s="30" t="str">
        <f t="shared" si="31"/>
        <v>70300000000000</v>
      </c>
    </row>
    <row r="2048" spans="1:40" x14ac:dyDescent="0.25">
      <c r="C2048" s="40"/>
      <c r="D2048" s="121" t="s">
        <v>2297</v>
      </c>
      <c r="E2048" s="121" t="s">
        <v>2298</v>
      </c>
      <c r="F2048" s="122" t="s">
        <v>2758</v>
      </c>
      <c r="G2048" s="96"/>
      <c r="H2048" s="52"/>
      <c r="I2048" s="52" t="s">
        <v>2299</v>
      </c>
      <c r="J2048" s="52"/>
      <c r="K2048" s="59" t="s">
        <v>79</v>
      </c>
      <c r="L2048" s="52"/>
      <c r="M2048" s="52"/>
      <c r="N2048" s="52"/>
      <c r="O2048" s="52"/>
      <c r="P2048" s="76" t="s">
        <v>2300</v>
      </c>
      <c r="Q2048" s="55">
        <f>VLOOKUP(E2048,'NI-Soc_SP'!$C:$AN,12,FALSE)</f>
        <v>0</v>
      </c>
      <c r="R2048" s="55">
        <f>VLOOKUP(E2048,'NI-Soc_SP'!$C:$AN,13,FALSE)</f>
        <v>0</v>
      </c>
      <c r="S2048" s="55">
        <f>VLOOKUP(E2048,'NI-Soc_SP'!$C:$AN,30,FALSE)</f>
        <v>0</v>
      </c>
      <c r="T2048" s="94">
        <f>VLOOKUP(E2048,'NI-Soc_SP'!$C:$AN,31,FALSE)+VLOOKUP(E2048,'NI-Soc_SP'!$C:$AN,32,FALSE)</f>
        <v>0</v>
      </c>
      <c r="U2048" s="55">
        <f>VLOOKUP($E2048,'NI-Soc_SP'!$C:$AN,MID(U$1,1,2),FALSE)</f>
        <v>0</v>
      </c>
      <c r="V2048" s="55">
        <f>VLOOKUP($E2048,'NI-Soc_SP'!$C:$AN,MID(V$1,1,2),FALSE)</f>
        <v>0</v>
      </c>
      <c r="W2048" s="55">
        <f>VLOOKUP($E2048,'NI-Soc_SP'!$C:$AN,MID(W$1,1,2),FALSE)</f>
        <v>0</v>
      </c>
      <c r="X2048" s="55">
        <f>VLOOKUP($E2048,'NI-Soc_SP'!$C:$AN,MID(X$1,1,2),FALSE)</f>
        <v>0</v>
      </c>
      <c r="Y2048" s="55">
        <f>VLOOKUP($E2048,'NI-Soc_SP'!$C:$AN,MID(Y$1,1,2),FALSE)</f>
        <v>0</v>
      </c>
      <c r="Z2048" s="55">
        <f>VLOOKUP($E2048,'NI-Soc_SP'!$C:$AN,MID(Z$1,1,2),FALSE)</f>
        <v>0</v>
      </c>
      <c r="AA2048" s="55">
        <f>VLOOKUP($E2048,'NI-Soc_SP'!$C:$AN,MID(AA$1,1,2),FALSE)</f>
        <v>0</v>
      </c>
      <c r="AB2048" s="55">
        <f>VLOOKUP($E2048,'NI-Soc_SP'!$C:$AN,MID(AB$1,1,2),FALSE)</f>
        <v>0</v>
      </c>
      <c r="AC2048" s="55">
        <f>VLOOKUP($E2048,'NI-Soc_SP'!$C:$AN,MID(AC$1,1,2),FALSE)</f>
        <v>0</v>
      </c>
      <c r="AD2048" s="55">
        <f>VLOOKUP($E2048,'NI-Soc_SP'!$C:$AN,MID(AD$1,1,2),FALSE)</f>
        <v>0</v>
      </c>
      <c r="AE2048" s="55">
        <f>VLOOKUP($E2048,'NI-Soc_SP'!$C:$AN,MID(AE$1,1,2),FALSE)</f>
        <v>0</v>
      </c>
      <c r="AF2048" s="55">
        <f>VLOOKUP($E2048,'NI-Soc_SP'!$C:$AN,MID(AF$1,1,2),FALSE)</f>
        <v>0</v>
      </c>
      <c r="AG2048" s="55">
        <f>VLOOKUP($E2048,'NI-Soc_SP'!$C:$AN,MID(AG$1,1,2),FALSE)</f>
        <v>0</v>
      </c>
      <c r="AH2048" s="55">
        <f>VLOOKUP($E2048,'NI-Soc_SP'!$C:$AN,MID(AH$1,1,2),FALSE)</f>
        <v>0</v>
      </c>
      <c r="AI2048" s="55">
        <f>VLOOKUP($E2048,'NI-Soc_SP'!$C:$AN,MID(AI$1,1,2),FALSE)</f>
        <v>0</v>
      </c>
      <c r="AJ2048" s="55">
        <f>VLOOKUP($E2048,'NI-Soc_SP'!$C:$AN,MID(AJ$1,1,2),FALSE)</f>
        <v>0</v>
      </c>
      <c r="AK2048" s="55">
        <f>VLOOKUP($E2048,'NI-Soc_SP'!$C:$AN,MID(AK$1,1,2),FALSE)</f>
        <v>0</v>
      </c>
      <c r="AL2048" s="55">
        <f>VLOOKUP($E2048,'NI-Soc_SP'!$C:$AN,MID(AL$1,1,2),FALSE)</f>
        <v>0</v>
      </c>
      <c r="AM2048" s="56">
        <f>VLOOKUP($E2048,'NI-Soc_SP'!$C:$AN,MID(AM$1,1,2),FALSE)</f>
        <v>0</v>
      </c>
      <c r="AN2048" s="30" t="str">
        <f t="shared" si="31"/>
        <v>70301000000000</v>
      </c>
    </row>
    <row r="2049" spans="1:40" x14ac:dyDescent="0.25">
      <c r="A2049" s="30" t="s">
        <v>1394</v>
      </c>
      <c r="C2049" s="40"/>
      <c r="D2049" s="87" t="s">
        <v>2301</v>
      </c>
      <c r="E2049" s="87" t="s">
        <v>2302</v>
      </c>
      <c r="F2049" s="122" t="s">
        <v>2758</v>
      </c>
      <c r="H2049" s="52"/>
      <c r="I2049" s="52"/>
      <c r="J2049" s="95" t="s">
        <v>2303</v>
      </c>
      <c r="K2049" s="59" t="s">
        <v>79</v>
      </c>
      <c r="L2049" s="52"/>
      <c r="M2049" s="52"/>
      <c r="N2049" s="52"/>
      <c r="O2049" s="52"/>
      <c r="P2049" s="95" t="s">
        <v>2304</v>
      </c>
      <c r="Q2049" s="55">
        <f>VLOOKUP(E2049,'NI-Soc_SP'!$C:$AN,12,FALSE)</f>
        <v>0</v>
      </c>
      <c r="R2049" s="55">
        <f>VLOOKUP(E2049,'NI-Soc_SP'!$C:$AN,13,FALSE)</f>
        <v>0</v>
      </c>
      <c r="S2049" s="55">
        <f>VLOOKUP(E2049,'NI-Soc_SP'!$C:$AN,31,FALSE)</f>
        <v>0</v>
      </c>
      <c r="T2049" s="55">
        <f>VLOOKUP(E2049,'NI-Soc_SP'!$C:$AN,32,FALSE)+VLOOKUP(E2049,'NI-Soc_SP'!$C:$AN,33,FALSE)</f>
        <v>0</v>
      </c>
      <c r="U2049" s="55">
        <f>VLOOKUP($E2049,'NI-Soc_SP'!$C:$AN,MID(U$1,1,2),FALSE)</f>
        <v>0</v>
      </c>
      <c r="V2049" s="55">
        <f>VLOOKUP($E2049,'NI-Soc_SP'!$C:$AN,MID(V$1,1,2),FALSE)</f>
        <v>0</v>
      </c>
      <c r="W2049" s="55">
        <f>VLOOKUP($E2049,'NI-Soc_SP'!$C:$AN,MID(W$1,1,2),FALSE)</f>
        <v>0</v>
      </c>
      <c r="X2049" s="55">
        <f>VLOOKUP($E2049,'NI-Soc_SP'!$C:$AN,MID(X$1,1,2),FALSE)</f>
        <v>0</v>
      </c>
      <c r="Y2049" s="55">
        <f>VLOOKUP($E2049,'NI-Soc_SP'!$C:$AN,MID(Y$1,1,2),FALSE)</f>
        <v>0</v>
      </c>
      <c r="Z2049" s="55">
        <f>VLOOKUP($E2049,'NI-Soc_SP'!$C:$AN,MID(Z$1,1,2),FALSE)</f>
        <v>0</v>
      </c>
      <c r="AA2049" s="55">
        <f>VLOOKUP($E2049,'NI-Soc_SP'!$C:$AN,MID(AA$1,1,2),FALSE)</f>
        <v>0</v>
      </c>
      <c r="AB2049" s="55">
        <f>VLOOKUP($E2049,'NI-Soc_SP'!$C:$AN,MID(AB$1,1,2),FALSE)</f>
        <v>0</v>
      </c>
      <c r="AC2049" s="55">
        <f>VLOOKUP($E2049,'NI-Soc_SP'!$C:$AN,MID(AC$1,1,2),FALSE)</f>
        <v>0</v>
      </c>
      <c r="AD2049" s="55">
        <f>VLOOKUP($E2049,'NI-Soc_SP'!$C:$AN,MID(AD$1,1,2),FALSE)</f>
        <v>0</v>
      </c>
      <c r="AE2049" s="55">
        <f>VLOOKUP($E2049,'NI-Soc_SP'!$C:$AN,MID(AE$1,1,2),FALSE)</f>
        <v>0</v>
      </c>
      <c r="AF2049" s="55">
        <f>VLOOKUP($E2049,'NI-Soc_SP'!$C:$AN,MID(AF$1,1,2),FALSE)</f>
        <v>0</v>
      </c>
      <c r="AG2049" s="55">
        <f>VLOOKUP($E2049,'NI-Soc_SP'!$C:$AN,MID(AG$1,1,2),FALSE)</f>
        <v>0</v>
      </c>
      <c r="AH2049" s="55">
        <f>VLOOKUP($E2049,'NI-Soc_SP'!$C:$AN,MID(AH$1,1,2),FALSE)</f>
        <v>0</v>
      </c>
      <c r="AI2049" s="55">
        <f>VLOOKUP($E2049,'NI-Soc_SP'!$C:$AN,MID(AI$1,1,2),FALSE)</f>
        <v>0</v>
      </c>
      <c r="AJ2049" s="55">
        <f>VLOOKUP($E2049,'NI-Soc_SP'!$C:$AN,MID(AJ$1,1,2),FALSE)</f>
        <v>0</v>
      </c>
      <c r="AK2049" s="55">
        <f>VLOOKUP($E2049,'NI-Soc_SP'!$C:$AN,MID(AK$1,1,2),FALSE)</f>
        <v>0</v>
      </c>
      <c r="AL2049" s="55">
        <f>VLOOKUP($E2049,'NI-Soc_SP'!$C:$AN,MID(AL$1,1,2),FALSE)</f>
        <v>0</v>
      </c>
      <c r="AM2049" s="56">
        <f>VLOOKUP($E2049,'NI-Soc_SP'!$C:$AN,MID(AM$1,1,2),FALSE)</f>
        <v>0</v>
      </c>
      <c r="AN2049" s="30" t="str">
        <f t="shared" si="31"/>
        <v>70302000000000</v>
      </c>
    </row>
    <row r="2050" spans="1:40" x14ac:dyDescent="0.25">
      <c r="C2050" s="40"/>
      <c r="D2050" s="121" t="s">
        <v>2305</v>
      </c>
      <c r="E2050" s="121" t="s">
        <v>2306</v>
      </c>
      <c r="F2050" s="122" t="s">
        <v>2758</v>
      </c>
      <c r="G2050" s="96"/>
      <c r="H2050" s="52"/>
      <c r="I2050" s="52" t="s">
        <v>2307</v>
      </c>
      <c r="J2050" s="52"/>
      <c r="K2050" s="59" t="s">
        <v>79</v>
      </c>
      <c r="L2050" s="52"/>
      <c r="M2050" s="52"/>
      <c r="N2050" s="52"/>
      <c r="O2050" s="52"/>
      <c r="P2050" s="76" t="s">
        <v>2308</v>
      </c>
      <c r="Q2050" s="55">
        <f>VLOOKUP(E2050,'NI-Soc_SP'!$C:$AN,12,FALSE)</f>
        <v>0</v>
      </c>
      <c r="R2050" s="55">
        <f>VLOOKUP(E2050,'NI-Soc_SP'!$C:$AN,13,FALSE)</f>
        <v>0</v>
      </c>
      <c r="S2050" s="55">
        <f>VLOOKUP(E2050,'NI-Soc_SP'!$C:$AN,30,FALSE)</f>
        <v>0</v>
      </c>
      <c r="T2050" s="94">
        <f>VLOOKUP(E2050,'NI-Soc_SP'!$C:$AN,31,FALSE)+VLOOKUP(E2050,'NI-Soc_SP'!$C:$AN,32,FALSE)</f>
        <v>0</v>
      </c>
      <c r="U2050" s="55">
        <f>VLOOKUP($E2050,'NI-Soc_SP'!$C:$AN,MID(U$1,1,2),FALSE)</f>
        <v>0</v>
      </c>
      <c r="V2050" s="55">
        <f>VLOOKUP($E2050,'NI-Soc_SP'!$C:$AN,MID(V$1,1,2),FALSE)</f>
        <v>0</v>
      </c>
      <c r="W2050" s="55">
        <f>VLOOKUP($E2050,'NI-Soc_SP'!$C:$AN,MID(W$1,1,2),FALSE)</f>
        <v>0</v>
      </c>
      <c r="X2050" s="55">
        <f>VLOOKUP($E2050,'NI-Soc_SP'!$C:$AN,MID(X$1,1,2),FALSE)</f>
        <v>0</v>
      </c>
      <c r="Y2050" s="55">
        <f>VLOOKUP($E2050,'NI-Soc_SP'!$C:$AN,MID(Y$1,1,2),FALSE)</f>
        <v>0</v>
      </c>
      <c r="Z2050" s="55">
        <f>VLOOKUP($E2050,'NI-Soc_SP'!$C:$AN,MID(Z$1,1,2),FALSE)</f>
        <v>0</v>
      </c>
      <c r="AA2050" s="55">
        <f>VLOOKUP($E2050,'NI-Soc_SP'!$C:$AN,MID(AA$1,1,2),FALSE)</f>
        <v>0</v>
      </c>
      <c r="AB2050" s="55">
        <f>VLOOKUP($E2050,'NI-Soc_SP'!$C:$AN,MID(AB$1,1,2),FALSE)</f>
        <v>0</v>
      </c>
      <c r="AC2050" s="55">
        <f>VLOOKUP($E2050,'NI-Soc_SP'!$C:$AN,MID(AC$1,1,2),FALSE)</f>
        <v>0</v>
      </c>
      <c r="AD2050" s="55">
        <f>VLOOKUP($E2050,'NI-Soc_SP'!$C:$AN,MID(AD$1,1,2),FALSE)</f>
        <v>0</v>
      </c>
      <c r="AE2050" s="55">
        <f>VLOOKUP($E2050,'NI-Soc_SP'!$C:$AN,MID(AE$1,1,2),FALSE)</f>
        <v>0</v>
      </c>
      <c r="AF2050" s="55">
        <f>VLOOKUP($E2050,'NI-Soc_SP'!$C:$AN,MID(AF$1,1,2),FALSE)</f>
        <v>0</v>
      </c>
      <c r="AG2050" s="55">
        <f>VLOOKUP($E2050,'NI-Soc_SP'!$C:$AN,MID(AG$1,1,2),FALSE)</f>
        <v>0</v>
      </c>
      <c r="AH2050" s="55">
        <f>VLOOKUP($E2050,'NI-Soc_SP'!$C:$AN,MID(AH$1,1,2),FALSE)</f>
        <v>0</v>
      </c>
      <c r="AI2050" s="55">
        <f>VLOOKUP($E2050,'NI-Soc_SP'!$C:$AN,MID(AI$1,1,2),FALSE)</f>
        <v>0</v>
      </c>
      <c r="AJ2050" s="55">
        <f>VLOOKUP($E2050,'NI-Soc_SP'!$C:$AN,MID(AJ$1,1,2),FALSE)</f>
        <v>0</v>
      </c>
      <c r="AK2050" s="55">
        <f>VLOOKUP($E2050,'NI-Soc_SP'!$C:$AN,MID(AK$1,1,2),FALSE)</f>
        <v>0</v>
      </c>
      <c r="AL2050" s="55">
        <f>VLOOKUP($E2050,'NI-Soc_SP'!$C:$AN,MID(AL$1,1,2),FALSE)</f>
        <v>0</v>
      </c>
      <c r="AM2050" s="56">
        <f>VLOOKUP($E2050,'NI-Soc_SP'!$C:$AN,MID(AM$1,1,2),FALSE)</f>
        <v>0</v>
      </c>
      <c r="AN2050" s="30" t="str">
        <f t="shared" ref="AN2050:AN2113" si="32">D2050</f>
        <v>70303000000000</v>
      </c>
    </row>
    <row r="2051" spans="1:40" x14ac:dyDescent="0.25">
      <c r="C2051" s="40"/>
      <c r="D2051" s="121" t="s">
        <v>2309</v>
      </c>
      <c r="E2051" s="121" t="s">
        <v>2310</v>
      </c>
      <c r="F2051" s="122" t="s">
        <v>2758</v>
      </c>
      <c r="G2051" s="96"/>
      <c r="H2051" s="52"/>
      <c r="I2051" s="52" t="s">
        <v>2311</v>
      </c>
      <c r="J2051" s="52"/>
      <c r="K2051" s="59" t="s">
        <v>79</v>
      </c>
      <c r="L2051" s="52"/>
      <c r="M2051" s="52"/>
      <c r="N2051" s="52"/>
      <c r="O2051" s="52"/>
      <c r="P2051" s="117" t="s">
        <v>2312</v>
      </c>
      <c r="Q2051" s="55">
        <f>VLOOKUP(E2051,'NI-Soc_SP'!$C:$AN,12,FALSE)</f>
        <v>0</v>
      </c>
      <c r="R2051" s="55">
        <f>VLOOKUP(E2051,'NI-Soc_SP'!$C:$AN,13,FALSE)</f>
        <v>0</v>
      </c>
      <c r="S2051" s="55">
        <f>VLOOKUP(E2051,'NI-Soc_SP'!$C:$AN,30,FALSE)</f>
        <v>0</v>
      </c>
      <c r="T2051" s="94">
        <f>VLOOKUP(E2051,'NI-Soc_SP'!$C:$AN,31,FALSE)+VLOOKUP(E2051,'NI-Soc_SP'!$C:$AN,32,FALSE)</f>
        <v>0</v>
      </c>
      <c r="U2051" s="55">
        <f>VLOOKUP($E2051,'NI-Soc_SP'!$C:$AN,MID(U$1,1,2),FALSE)</f>
        <v>0</v>
      </c>
      <c r="V2051" s="55">
        <f>VLOOKUP($E2051,'NI-Soc_SP'!$C:$AN,MID(V$1,1,2),FALSE)</f>
        <v>0</v>
      </c>
      <c r="W2051" s="55">
        <f>VLOOKUP($E2051,'NI-Soc_SP'!$C:$AN,MID(W$1,1,2),FALSE)</f>
        <v>0</v>
      </c>
      <c r="X2051" s="55">
        <f>VLOOKUP($E2051,'NI-Soc_SP'!$C:$AN,MID(X$1,1,2),FALSE)</f>
        <v>0</v>
      </c>
      <c r="Y2051" s="55">
        <f>VLOOKUP($E2051,'NI-Soc_SP'!$C:$AN,MID(Y$1,1,2),FALSE)</f>
        <v>0</v>
      </c>
      <c r="Z2051" s="55">
        <f>VLOOKUP($E2051,'NI-Soc_SP'!$C:$AN,MID(Z$1,1,2),FALSE)</f>
        <v>0</v>
      </c>
      <c r="AA2051" s="55">
        <f>VLOOKUP($E2051,'NI-Soc_SP'!$C:$AN,MID(AA$1,1,2),FALSE)</f>
        <v>0</v>
      </c>
      <c r="AB2051" s="55">
        <f>VLOOKUP($E2051,'NI-Soc_SP'!$C:$AN,MID(AB$1,1,2),FALSE)</f>
        <v>0</v>
      </c>
      <c r="AC2051" s="55">
        <f>VLOOKUP($E2051,'NI-Soc_SP'!$C:$AN,MID(AC$1,1,2),FALSE)</f>
        <v>0</v>
      </c>
      <c r="AD2051" s="55">
        <f>VLOOKUP($E2051,'NI-Soc_SP'!$C:$AN,MID(AD$1,1,2),FALSE)</f>
        <v>0</v>
      </c>
      <c r="AE2051" s="55">
        <f>VLOOKUP($E2051,'NI-Soc_SP'!$C:$AN,MID(AE$1,1,2),FALSE)</f>
        <v>0</v>
      </c>
      <c r="AF2051" s="55">
        <f>VLOOKUP($E2051,'NI-Soc_SP'!$C:$AN,MID(AF$1,1,2),FALSE)</f>
        <v>0</v>
      </c>
      <c r="AG2051" s="55">
        <f>VLOOKUP($E2051,'NI-Soc_SP'!$C:$AN,MID(AG$1,1,2),FALSE)</f>
        <v>0</v>
      </c>
      <c r="AH2051" s="55">
        <f>VLOOKUP($E2051,'NI-Soc_SP'!$C:$AN,MID(AH$1,1,2),FALSE)</f>
        <v>0</v>
      </c>
      <c r="AI2051" s="55">
        <f>VLOOKUP($E2051,'NI-Soc_SP'!$C:$AN,MID(AI$1,1,2),FALSE)</f>
        <v>0</v>
      </c>
      <c r="AJ2051" s="55">
        <f>VLOOKUP($E2051,'NI-Soc_SP'!$C:$AN,MID(AJ$1,1,2),FALSE)</f>
        <v>0</v>
      </c>
      <c r="AK2051" s="55">
        <f>VLOOKUP($E2051,'NI-Soc_SP'!$C:$AN,MID(AK$1,1,2),FALSE)</f>
        <v>0</v>
      </c>
      <c r="AL2051" s="55">
        <f>VLOOKUP($E2051,'NI-Soc_SP'!$C:$AN,MID(AL$1,1,2),FALSE)</f>
        <v>0</v>
      </c>
      <c r="AM2051" s="56">
        <f>VLOOKUP($E2051,'NI-Soc_SP'!$C:$AN,MID(AM$1,1,2),FALSE)</f>
        <v>0</v>
      </c>
      <c r="AN2051" s="30" t="str">
        <f t="shared" si="32"/>
        <v>70304000000000</v>
      </c>
    </row>
    <row r="2052" spans="1:40" x14ac:dyDescent="0.25">
      <c r="A2052" s="30" t="s">
        <v>1394</v>
      </c>
      <c r="C2052" s="40"/>
      <c r="D2052" s="87" t="s">
        <v>2313</v>
      </c>
      <c r="E2052" s="87" t="s">
        <v>2314</v>
      </c>
      <c r="F2052" s="122" t="s">
        <v>2758</v>
      </c>
      <c r="H2052" s="52"/>
      <c r="I2052" s="52"/>
      <c r="J2052" s="95" t="s">
        <v>2315</v>
      </c>
      <c r="K2052" s="59" t="s">
        <v>79</v>
      </c>
      <c r="L2052" s="52"/>
      <c r="M2052" s="52"/>
      <c r="N2052" s="52"/>
      <c r="O2052" s="52"/>
      <c r="P2052" s="95" t="s">
        <v>2316</v>
      </c>
      <c r="Q2052" s="55">
        <f>VLOOKUP(E2052,'NI-Soc_SP'!$C:$AN,12,FALSE)</f>
        <v>0</v>
      </c>
      <c r="R2052" s="55">
        <f>VLOOKUP(E2052,'NI-Soc_SP'!$C:$AN,13,FALSE)</f>
        <v>0</v>
      </c>
      <c r="S2052" s="55">
        <f>VLOOKUP(E2052,'NI-Soc_SP'!$C:$AN,31,FALSE)</f>
        <v>0</v>
      </c>
      <c r="T2052" s="55">
        <f>VLOOKUP(E2052,'NI-Soc_SP'!$C:$AN,32,FALSE)+VLOOKUP(E2052,'NI-Soc_SP'!$C:$AN,33,FALSE)</f>
        <v>0</v>
      </c>
      <c r="U2052" s="55">
        <f>VLOOKUP($E2052,'NI-Soc_SP'!$C:$AN,MID(U$1,1,2),FALSE)</f>
        <v>0</v>
      </c>
      <c r="V2052" s="55">
        <f>VLOOKUP($E2052,'NI-Soc_SP'!$C:$AN,MID(V$1,1,2),FALSE)</f>
        <v>0</v>
      </c>
      <c r="W2052" s="55">
        <f>VLOOKUP($E2052,'NI-Soc_SP'!$C:$AN,MID(W$1,1,2),FALSE)</f>
        <v>0</v>
      </c>
      <c r="X2052" s="55">
        <f>VLOOKUP($E2052,'NI-Soc_SP'!$C:$AN,MID(X$1,1,2),FALSE)</f>
        <v>0</v>
      </c>
      <c r="Y2052" s="55">
        <f>VLOOKUP($E2052,'NI-Soc_SP'!$C:$AN,MID(Y$1,1,2),FALSE)</f>
        <v>0</v>
      </c>
      <c r="Z2052" s="55">
        <f>VLOOKUP($E2052,'NI-Soc_SP'!$C:$AN,MID(Z$1,1,2),FALSE)</f>
        <v>0</v>
      </c>
      <c r="AA2052" s="55">
        <f>VLOOKUP($E2052,'NI-Soc_SP'!$C:$AN,MID(AA$1,1,2),FALSE)</f>
        <v>0</v>
      </c>
      <c r="AB2052" s="55">
        <f>VLOOKUP($E2052,'NI-Soc_SP'!$C:$AN,MID(AB$1,1,2),FALSE)</f>
        <v>0</v>
      </c>
      <c r="AC2052" s="55">
        <f>VLOOKUP($E2052,'NI-Soc_SP'!$C:$AN,MID(AC$1,1,2),FALSE)</f>
        <v>0</v>
      </c>
      <c r="AD2052" s="55">
        <f>VLOOKUP($E2052,'NI-Soc_SP'!$C:$AN,MID(AD$1,1,2),FALSE)</f>
        <v>0</v>
      </c>
      <c r="AE2052" s="55">
        <f>VLOOKUP($E2052,'NI-Soc_SP'!$C:$AN,MID(AE$1,1,2),FALSE)</f>
        <v>0</v>
      </c>
      <c r="AF2052" s="55">
        <f>VLOOKUP($E2052,'NI-Soc_SP'!$C:$AN,MID(AF$1,1,2),FALSE)</f>
        <v>0</v>
      </c>
      <c r="AG2052" s="55">
        <f>VLOOKUP($E2052,'NI-Soc_SP'!$C:$AN,MID(AG$1,1,2),FALSE)</f>
        <v>0</v>
      </c>
      <c r="AH2052" s="55">
        <f>VLOOKUP($E2052,'NI-Soc_SP'!$C:$AN,MID(AH$1,1,2),FALSE)</f>
        <v>0</v>
      </c>
      <c r="AI2052" s="55">
        <f>VLOOKUP($E2052,'NI-Soc_SP'!$C:$AN,MID(AI$1,1,2),FALSE)</f>
        <v>0</v>
      </c>
      <c r="AJ2052" s="55">
        <f>VLOOKUP($E2052,'NI-Soc_SP'!$C:$AN,MID(AJ$1,1,2),FALSE)</f>
        <v>0</v>
      </c>
      <c r="AK2052" s="55">
        <f>VLOOKUP($E2052,'NI-Soc_SP'!$C:$AN,MID(AK$1,1,2),FALSE)</f>
        <v>0</v>
      </c>
      <c r="AL2052" s="55">
        <f>VLOOKUP($E2052,'NI-Soc_SP'!$C:$AN,MID(AL$1,1,2),FALSE)</f>
        <v>0</v>
      </c>
      <c r="AM2052" s="56">
        <f>VLOOKUP($E2052,'NI-Soc_SP'!$C:$AN,MID(AM$1,1,2),FALSE)</f>
        <v>0</v>
      </c>
      <c r="AN2052" s="30" t="str">
        <f t="shared" si="32"/>
        <v>70305000000000</v>
      </c>
    </row>
    <row r="2053" spans="1:40" ht="16.5" customHeight="1" x14ac:dyDescent="0.25">
      <c r="C2053" s="40"/>
      <c r="D2053" s="121" t="s">
        <v>2317</v>
      </c>
      <c r="E2053" s="121" t="s">
        <v>2318</v>
      </c>
      <c r="F2053" s="122" t="s">
        <v>2758</v>
      </c>
      <c r="G2053" s="96"/>
      <c r="H2053" s="52"/>
      <c r="I2053" s="52" t="s">
        <v>2319</v>
      </c>
      <c r="J2053" s="52"/>
      <c r="K2053" s="59" t="s">
        <v>79</v>
      </c>
      <c r="L2053" s="52"/>
      <c r="M2053" s="52"/>
      <c r="N2053" s="52"/>
      <c r="O2053" s="52"/>
      <c r="P2053" s="117" t="s">
        <v>2320</v>
      </c>
      <c r="Q2053" s="55">
        <f>VLOOKUP(E2053,'NI-Soc_SP'!$C:$AN,12,FALSE)</f>
        <v>0</v>
      </c>
      <c r="R2053" s="55">
        <f>VLOOKUP(E2053,'NI-Soc_SP'!$C:$AN,13,FALSE)</f>
        <v>0</v>
      </c>
      <c r="S2053" s="55">
        <f>VLOOKUP(E2053,'NI-Soc_SP'!$C:$AN,31,FALSE)</f>
        <v>0</v>
      </c>
      <c r="T2053" s="55">
        <f>VLOOKUP(E2053,'NI-Soc_SP'!$C:$AN,32,FALSE)+VLOOKUP(E2053,'NI-Soc_SP'!$C:$AN,33,FALSE)</f>
        <v>0</v>
      </c>
      <c r="U2053" s="55">
        <f>VLOOKUP($E2053,'NI-Soc_SP'!$C:$AN,MID(U$1,1,2),FALSE)</f>
        <v>0</v>
      </c>
      <c r="V2053" s="55">
        <f>VLOOKUP($E2053,'NI-Soc_SP'!$C:$AN,MID(V$1,1,2),FALSE)</f>
        <v>0</v>
      </c>
      <c r="W2053" s="55">
        <f>VLOOKUP($E2053,'NI-Soc_SP'!$C:$AN,MID(W$1,1,2),FALSE)</f>
        <v>0</v>
      </c>
      <c r="X2053" s="55">
        <f>VLOOKUP($E2053,'NI-Soc_SP'!$C:$AN,MID(X$1,1,2),FALSE)</f>
        <v>0</v>
      </c>
      <c r="Y2053" s="55">
        <f>VLOOKUP($E2053,'NI-Soc_SP'!$C:$AN,MID(Y$1,1,2),FALSE)</f>
        <v>0</v>
      </c>
      <c r="Z2053" s="55">
        <f>VLOOKUP($E2053,'NI-Soc_SP'!$C:$AN,MID(Z$1,1,2),FALSE)</f>
        <v>0</v>
      </c>
      <c r="AA2053" s="55">
        <f>VLOOKUP($E2053,'NI-Soc_SP'!$C:$AN,MID(AA$1,1,2),FALSE)</f>
        <v>0</v>
      </c>
      <c r="AB2053" s="55">
        <f>VLOOKUP($E2053,'NI-Soc_SP'!$C:$AN,MID(AB$1,1,2),FALSE)</f>
        <v>0</v>
      </c>
      <c r="AC2053" s="55">
        <f>VLOOKUP($E2053,'NI-Soc_SP'!$C:$AN,MID(AC$1,1,2),FALSE)</f>
        <v>0</v>
      </c>
      <c r="AD2053" s="55">
        <f>VLOOKUP($E2053,'NI-Soc_SP'!$C:$AN,MID(AD$1,1,2),FALSE)</f>
        <v>0</v>
      </c>
      <c r="AE2053" s="55">
        <f>VLOOKUP($E2053,'NI-Soc_SP'!$C:$AN,MID(AE$1,1,2),FALSE)</f>
        <v>0</v>
      </c>
      <c r="AF2053" s="55">
        <f>VLOOKUP($E2053,'NI-Soc_SP'!$C:$AN,MID(AF$1,1,2),FALSE)</f>
        <v>0</v>
      </c>
      <c r="AG2053" s="55">
        <f>VLOOKUP($E2053,'NI-Soc_SP'!$C:$AN,MID(AG$1,1,2),FALSE)</f>
        <v>0</v>
      </c>
      <c r="AH2053" s="55">
        <f>VLOOKUP($E2053,'NI-Soc_SP'!$C:$AN,MID(AH$1,1,2),FALSE)</f>
        <v>0</v>
      </c>
      <c r="AI2053" s="55">
        <f>VLOOKUP($E2053,'NI-Soc_SP'!$C:$AN,MID(AI$1,1,2),FALSE)</f>
        <v>0</v>
      </c>
      <c r="AJ2053" s="55">
        <f>VLOOKUP($E2053,'NI-Soc_SP'!$C:$AN,MID(AJ$1,1,2),FALSE)</f>
        <v>0</v>
      </c>
      <c r="AK2053" s="55">
        <f>VLOOKUP($E2053,'NI-Soc_SP'!$C:$AN,MID(AK$1,1,2),FALSE)</f>
        <v>0</v>
      </c>
      <c r="AL2053" s="55">
        <f>VLOOKUP($E2053,'NI-Soc_SP'!$C:$AN,MID(AL$1,1,2),FALSE)</f>
        <v>0</v>
      </c>
      <c r="AM2053" s="56">
        <f>VLOOKUP($E2053,'NI-Soc_SP'!$C:$AN,MID(AM$1,1,2),FALSE)</f>
        <v>0</v>
      </c>
      <c r="AN2053" s="30" t="str">
        <f t="shared" si="32"/>
        <v>70306000000000</v>
      </c>
    </row>
    <row r="2054" spans="1:40" x14ac:dyDescent="0.25">
      <c r="A2054" s="30" t="s">
        <v>1394</v>
      </c>
      <c r="C2054" s="40"/>
      <c r="D2054" s="87" t="s">
        <v>2321</v>
      </c>
      <c r="E2054" s="87" t="s">
        <v>2322</v>
      </c>
      <c r="F2054" s="122" t="s">
        <v>2758</v>
      </c>
      <c r="H2054" s="52"/>
      <c r="I2054" s="52"/>
      <c r="J2054" s="95" t="s">
        <v>2323</v>
      </c>
      <c r="K2054" s="59"/>
      <c r="L2054" s="52"/>
      <c r="M2054" s="52"/>
      <c r="N2054" s="52"/>
      <c r="O2054" s="52"/>
      <c r="P2054" s="95" t="s">
        <v>2324</v>
      </c>
      <c r="Q2054" s="55">
        <f>VLOOKUP(E2054,'NI-Soc_SP'!$C:$AN,12,FALSE)</f>
        <v>0</v>
      </c>
      <c r="R2054" s="55">
        <f>VLOOKUP(E2054,'NI-Soc_SP'!$C:$AN,13,FALSE)</f>
        <v>0</v>
      </c>
      <c r="S2054" s="55">
        <f>VLOOKUP(E2054,'NI-Soc_SP'!$C:$AN,31,FALSE)</f>
        <v>0</v>
      </c>
      <c r="T2054" s="55">
        <f>VLOOKUP(E2054,'NI-Soc_SP'!$C:$AN,32,FALSE)+VLOOKUP(E2054,'NI-Soc_SP'!$C:$AN,33,FALSE)</f>
        <v>0</v>
      </c>
      <c r="U2054" s="55">
        <f>VLOOKUP($E2054,'NI-Soc_SP'!$C:$AN,MID(U$1,1,2),FALSE)</f>
        <v>0</v>
      </c>
      <c r="V2054" s="55">
        <f>VLOOKUP($E2054,'NI-Soc_SP'!$C:$AN,MID(V$1,1,2),FALSE)</f>
        <v>0</v>
      </c>
      <c r="W2054" s="55">
        <f>VLOOKUP($E2054,'NI-Soc_SP'!$C:$AN,MID(W$1,1,2),FALSE)</f>
        <v>0</v>
      </c>
      <c r="X2054" s="55">
        <f>VLOOKUP($E2054,'NI-Soc_SP'!$C:$AN,MID(X$1,1,2),FALSE)</f>
        <v>0</v>
      </c>
      <c r="Y2054" s="55">
        <f>VLOOKUP($E2054,'NI-Soc_SP'!$C:$AN,MID(Y$1,1,2),FALSE)</f>
        <v>0</v>
      </c>
      <c r="Z2054" s="55">
        <f>VLOOKUP($E2054,'NI-Soc_SP'!$C:$AN,MID(Z$1,1,2),FALSE)</f>
        <v>0</v>
      </c>
      <c r="AA2054" s="55">
        <f>VLOOKUP($E2054,'NI-Soc_SP'!$C:$AN,MID(AA$1,1,2),FALSE)</f>
        <v>0</v>
      </c>
      <c r="AB2054" s="55">
        <f>VLOOKUP($E2054,'NI-Soc_SP'!$C:$AN,MID(AB$1,1,2),FALSE)</f>
        <v>0</v>
      </c>
      <c r="AC2054" s="55">
        <f>VLOOKUP($E2054,'NI-Soc_SP'!$C:$AN,MID(AC$1,1,2),FALSE)</f>
        <v>0</v>
      </c>
      <c r="AD2054" s="55">
        <f>VLOOKUP($E2054,'NI-Soc_SP'!$C:$AN,MID(AD$1,1,2),FALSE)</f>
        <v>0</v>
      </c>
      <c r="AE2054" s="55">
        <f>VLOOKUP($E2054,'NI-Soc_SP'!$C:$AN,MID(AE$1,1,2),FALSE)</f>
        <v>0</v>
      </c>
      <c r="AF2054" s="55">
        <f>VLOOKUP($E2054,'NI-Soc_SP'!$C:$AN,MID(AF$1,1,2),FALSE)</f>
        <v>0</v>
      </c>
      <c r="AG2054" s="55">
        <f>VLOOKUP($E2054,'NI-Soc_SP'!$C:$AN,MID(AG$1,1,2),FALSE)</f>
        <v>0</v>
      </c>
      <c r="AH2054" s="55">
        <f>VLOOKUP($E2054,'NI-Soc_SP'!$C:$AN,MID(AH$1,1,2),FALSE)</f>
        <v>0</v>
      </c>
      <c r="AI2054" s="55">
        <f>VLOOKUP($E2054,'NI-Soc_SP'!$C:$AN,MID(AI$1,1,2),FALSE)</f>
        <v>0</v>
      </c>
      <c r="AJ2054" s="55">
        <f>VLOOKUP($E2054,'NI-Soc_SP'!$C:$AN,MID(AJ$1,1,2),FALSE)</f>
        <v>0</v>
      </c>
      <c r="AK2054" s="55">
        <f>VLOOKUP($E2054,'NI-Soc_SP'!$C:$AN,MID(AK$1,1,2),FALSE)</f>
        <v>0</v>
      </c>
      <c r="AL2054" s="55">
        <f>VLOOKUP($E2054,'NI-Soc_SP'!$C:$AN,MID(AL$1,1,2),FALSE)</f>
        <v>0</v>
      </c>
      <c r="AM2054" s="56">
        <f>VLOOKUP($E2054,'NI-Soc_SP'!$C:$AN,MID(AM$1,1,2),FALSE)</f>
        <v>0</v>
      </c>
      <c r="AN2054" s="30" t="str">
        <f t="shared" si="32"/>
        <v>70307000000000</v>
      </c>
    </row>
    <row r="2055" spans="1:40" x14ac:dyDescent="0.25">
      <c r="A2055" s="30" t="s">
        <v>1394</v>
      </c>
      <c r="C2055" s="40"/>
      <c r="D2055" s="87" t="s">
        <v>2325</v>
      </c>
      <c r="E2055" s="87" t="s">
        <v>2326</v>
      </c>
      <c r="F2055" s="122" t="s">
        <v>2758</v>
      </c>
      <c r="H2055" s="52"/>
      <c r="I2055" s="52"/>
      <c r="J2055" s="95" t="s">
        <v>2327</v>
      </c>
      <c r="K2055" s="59"/>
      <c r="L2055" s="52"/>
      <c r="M2055" s="52"/>
      <c r="N2055" s="52"/>
      <c r="O2055" s="52"/>
      <c r="P2055" s="95" t="s">
        <v>2328</v>
      </c>
      <c r="Q2055" s="55">
        <f>VLOOKUP(E2055,'NI-Soc_SP'!$C:$AN,12,FALSE)</f>
        <v>0</v>
      </c>
      <c r="R2055" s="55">
        <f>VLOOKUP(E2055,'NI-Soc_SP'!$C:$AN,13,FALSE)</f>
        <v>0</v>
      </c>
      <c r="S2055" s="55">
        <f>VLOOKUP(E2055,'NI-Soc_SP'!$C:$AN,31,FALSE)</f>
        <v>0</v>
      </c>
      <c r="T2055" s="55">
        <f>VLOOKUP(E2055,'NI-Soc_SP'!$C:$AN,32,FALSE)+VLOOKUP(E2055,'NI-Soc_SP'!$C:$AN,33,FALSE)</f>
        <v>0</v>
      </c>
      <c r="U2055" s="55">
        <f>VLOOKUP($E2055,'NI-Soc_SP'!$C:$AN,MID(U$1,1,2),FALSE)</f>
        <v>0</v>
      </c>
      <c r="V2055" s="55">
        <f>VLOOKUP($E2055,'NI-Soc_SP'!$C:$AN,MID(V$1,1,2),FALSE)</f>
        <v>0</v>
      </c>
      <c r="W2055" s="55">
        <f>VLOOKUP($E2055,'NI-Soc_SP'!$C:$AN,MID(W$1,1,2),FALSE)</f>
        <v>0</v>
      </c>
      <c r="X2055" s="55">
        <f>VLOOKUP($E2055,'NI-Soc_SP'!$C:$AN,MID(X$1,1,2),FALSE)</f>
        <v>0</v>
      </c>
      <c r="Y2055" s="55">
        <f>VLOOKUP($E2055,'NI-Soc_SP'!$C:$AN,MID(Y$1,1,2),FALSE)</f>
        <v>0</v>
      </c>
      <c r="Z2055" s="55">
        <f>VLOOKUP($E2055,'NI-Soc_SP'!$C:$AN,MID(Z$1,1,2),FALSE)</f>
        <v>0</v>
      </c>
      <c r="AA2055" s="55">
        <f>VLOOKUP($E2055,'NI-Soc_SP'!$C:$AN,MID(AA$1,1,2),FALSE)</f>
        <v>0</v>
      </c>
      <c r="AB2055" s="55">
        <f>VLOOKUP($E2055,'NI-Soc_SP'!$C:$AN,MID(AB$1,1,2),FALSE)</f>
        <v>0</v>
      </c>
      <c r="AC2055" s="55">
        <f>VLOOKUP($E2055,'NI-Soc_SP'!$C:$AN,MID(AC$1,1,2),FALSE)</f>
        <v>0</v>
      </c>
      <c r="AD2055" s="55">
        <f>VLOOKUP($E2055,'NI-Soc_SP'!$C:$AN,MID(AD$1,1,2),FALSE)</f>
        <v>0</v>
      </c>
      <c r="AE2055" s="55">
        <f>VLOOKUP($E2055,'NI-Soc_SP'!$C:$AN,MID(AE$1,1,2),FALSE)</f>
        <v>0</v>
      </c>
      <c r="AF2055" s="55">
        <f>VLOOKUP($E2055,'NI-Soc_SP'!$C:$AN,MID(AF$1,1,2),FALSE)</f>
        <v>0</v>
      </c>
      <c r="AG2055" s="55">
        <f>VLOOKUP($E2055,'NI-Soc_SP'!$C:$AN,MID(AG$1,1,2),FALSE)</f>
        <v>0</v>
      </c>
      <c r="AH2055" s="55">
        <f>VLOOKUP($E2055,'NI-Soc_SP'!$C:$AN,MID(AH$1,1,2),FALSE)</f>
        <v>0</v>
      </c>
      <c r="AI2055" s="55">
        <f>VLOOKUP($E2055,'NI-Soc_SP'!$C:$AN,MID(AI$1,1,2),FALSE)</f>
        <v>0</v>
      </c>
      <c r="AJ2055" s="55">
        <f>VLOOKUP($E2055,'NI-Soc_SP'!$C:$AN,MID(AJ$1,1,2),FALSE)</f>
        <v>0</v>
      </c>
      <c r="AK2055" s="55">
        <f>VLOOKUP($E2055,'NI-Soc_SP'!$C:$AN,MID(AK$1,1,2),FALSE)</f>
        <v>0</v>
      </c>
      <c r="AL2055" s="55">
        <f>VLOOKUP($E2055,'NI-Soc_SP'!$C:$AN,MID(AL$1,1,2),FALSE)</f>
        <v>0</v>
      </c>
      <c r="AM2055" s="56">
        <f>VLOOKUP($E2055,'NI-Soc_SP'!$C:$AN,MID(AM$1,1,2),FALSE)</f>
        <v>0</v>
      </c>
      <c r="AN2055" s="30" t="str">
        <f t="shared" si="32"/>
        <v>70308000000000</v>
      </c>
    </row>
    <row r="2056" spans="1:40" x14ac:dyDescent="0.25">
      <c r="A2056" s="30" t="s">
        <v>1394</v>
      </c>
      <c r="C2056" s="40"/>
      <c r="D2056" s="87" t="s">
        <v>2329</v>
      </c>
      <c r="E2056" s="87" t="s">
        <v>2330</v>
      </c>
      <c r="F2056" s="122" t="s">
        <v>2758</v>
      </c>
      <c r="H2056" s="52"/>
      <c r="I2056" s="52"/>
      <c r="J2056" s="95" t="s">
        <v>2331</v>
      </c>
      <c r="K2056" s="59"/>
      <c r="L2056" s="52"/>
      <c r="M2056" s="52"/>
      <c r="N2056" s="52"/>
      <c r="O2056" s="52"/>
      <c r="P2056" s="95" t="s">
        <v>2332</v>
      </c>
      <c r="Q2056" s="55">
        <f>VLOOKUP(E2056,'NI-Soc_SP'!$C:$AN,12,FALSE)</f>
        <v>0</v>
      </c>
      <c r="R2056" s="55">
        <f>VLOOKUP(E2056,'NI-Soc_SP'!$C:$AN,13,FALSE)</f>
        <v>0</v>
      </c>
      <c r="S2056" s="55">
        <f>VLOOKUP(E2056,'NI-Soc_SP'!$C:$AN,31,FALSE)</f>
        <v>0</v>
      </c>
      <c r="T2056" s="55">
        <f>VLOOKUP(E2056,'NI-Soc_SP'!$C:$AN,32,FALSE)+VLOOKUP(E2056,'NI-Soc_SP'!$C:$AN,33,FALSE)</f>
        <v>0</v>
      </c>
      <c r="U2056" s="55">
        <f>VLOOKUP($E2056,'NI-Soc_SP'!$C:$AN,MID(U$1,1,2),FALSE)</f>
        <v>0</v>
      </c>
      <c r="V2056" s="55">
        <f>VLOOKUP($E2056,'NI-Soc_SP'!$C:$AN,MID(V$1,1,2),FALSE)</f>
        <v>0</v>
      </c>
      <c r="W2056" s="55">
        <f>VLOOKUP($E2056,'NI-Soc_SP'!$C:$AN,MID(W$1,1,2),FALSE)</f>
        <v>0</v>
      </c>
      <c r="X2056" s="55">
        <f>VLOOKUP($E2056,'NI-Soc_SP'!$C:$AN,MID(X$1,1,2),FALSE)</f>
        <v>0</v>
      </c>
      <c r="Y2056" s="55">
        <f>VLOOKUP($E2056,'NI-Soc_SP'!$C:$AN,MID(Y$1,1,2),FALSE)</f>
        <v>0</v>
      </c>
      <c r="Z2056" s="55">
        <f>VLOOKUP($E2056,'NI-Soc_SP'!$C:$AN,MID(Z$1,1,2),FALSE)</f>
        <v>0</v>
      </c>
      <c r="AA2056" s="55">
        <f>VLOOKUP($E2056,'NI-Soc_SP'!$C:$AN,MID(AA$1,1,2),FALSE)</f>
        <v>0</v>
      </c>
      <c r="AB2056" s="55">
        <f>VLOOKUP($E2056,'NI-Soc_SP'!$C:$AN,MID(AB$1,1,2),FALSE)</f>
        <v>0</v>
      </c>
      <c r="AC2056" s="55">
        <f>VLOOKUP($E2056,'NI-Soc_SP'!$C:$AN,MID(AC$1,1,2),FALSE)</f>
        <v>0</v>
      </c>
      <c r="AD2056" s="55">
        <f>VLOOKUP($E2056,'NI-Soc_SP'!$C:$AN,MID(AD$1,1,2),FALSE)</f>
        <v>0</v>
      </c>
      <c r="AE2056" s="55">
        <f>VLOOKUP($E2056,'NI-Soc_SP'!$C:$AN,MID(AE$1,1,2),FALSE)</f>
        <v>0</v>
      </c>
      <c r="AF2056" s="55">
        <f>VLOOKUP($E2056,'NI-Soc_SP'!$C:$AN,MID(AF$1,1,2),FALSE)</f>
        <v>0</v>
      </c>
      <c r="AG2056" s="55">
        <f>VLOOKUP($E2056,'NI-Soc_SP'!$C:$AN,MID(AG$1,1,2),FALSE)</f>
        <v>0</v>
      </c>
      <c r="AH2056" s="55">
        <f>VLOOKUP($E2056,'NI-Soc_SP'!$C:$AN,MID(AH$1,1,2),FALSE)</f>
        <v>0</v>
      </c>
      <c r="AI2056" s="55">
        <f>VLOOKUP($E2056,'NI-Soc_SP'!$C:$AN,MID(AI$1,1,2),FALSE)</f>
        <v>0</v>
      </c>
      <c r="AJ2056" s="55">
        <f>VLOOKUP($E2056,'NI-Soc_SP'!$C:$AN,MID(AJ$1,1,2),FALSE)</f>
        <v>0</v>
      </c>
      <c r="AK2056" s="55">
        <f>VLOOKUP($E2056,'NI-Soc_SP'!$C:$AN,MID(AK$1,1,2),FALSE)</f>
        <v>0</v>
      </c>
      <c r="AL2056" s="55">
        <f>VLOOKUP($E2056,'NI-Soc_SP'!$C:$AN,MID(AL$1,1,2),FALSE)</f>
        <v>0</v>
      </c>
      <c r="AM2056" s="56">
        <f>VLOOKUP($E2056,'NI-Soc_SP'!$C:$AN,MID(AM$1,1,2),FALSE)</f>
        <v>0</v>
      </c>
      <c r="AN2056" s="30" t="str">
        <f t="shared" si="32"/>
        <v>70309000000000</v>
      </c>
    </row>
    <row r="2057" spans="1:40" x14ac:dyDescent="0.25">
      <c r="C2057" s="40"/>
      <c r="D2057" s="121" t="s">
        <v>2333</v>
      </c>
      <c r="E2057" s="121" t="s">
        <v>2334</v>
      </c>
      <c r="F2057" s="122" t="s">
        <v>2758</v>
      </c>
      <c r="G2057" s="96"/>
      <c r="H2057" s="52"/>
      <c r="I2057" s="52" t="s">
        <v>2331</v>
      </c>
      <c r="J2057" s="52"/>
      <c r="K2057" s="59" t="s">
        <v>79</v>
      </c>
      <c r="L2057" s="52"/>
      <c r="M2057" s="52"/>
      <c r="N2057" s="52"/>
      <c r="O2057" s="52"/>
      <c r="P2057" s="117" t="s">
        <v>2336</v>
      </c>
      <c r="Q2057" s="55">
        <f>VLOOKUP(E2057,'NI-Soc_SP'!$C:$AN,12,FALSE)</f>
        <v>0</v>
      </c>
      <c r="R2057" s="55">
        <f>VLOOKUP(E2057,'NI-Soc_SP'!$C:$AN,13,FALSE)</f>
        <v>0</v>
      </c>
      <c r="S2057" s="55">
        <f>VLOOKUP(E2057,'NI-Soc_SP'!$C:$AN,30,FALSE)</f>
        <v>0</v>
      </c>
      <c r="T2057" s="94">
        <f>VLOOKUP(E2057,'NI-Soc_SP'!$C:$AN,31,FALSE)+VLOOKUP(E2057,'NI-Soc_SP'!$C:$AN,32,FALSE)</f>
        <v>0</v>
      </c>
      <c r="U2057" s="55">
        <f>VLOOKUP($E2057,'NI-Soc_SP'!$C:$AN,MID(U$1,1,2),FALSE)</f>
        <v>0</v>
      </c>
      <c r="V2057" s="55">
        <f>VLOOKUP($E2057,'NI-Soc_SP'!$C:$AN,MID(V$1,1,2),FALSE)</f>
        <v>0</v>
      </c>
      <c r="W2057" s="55">
        <f>VLOOKUP($E2057,'NI-Soc_SP'!$C:$AN,MID(W$1,1,2),FALSE)</f>
        <v>0</v>
      </c>
      <c r="X2057" s="55">
        <f>VLOOKUP($E2057,'NI-Soc_SP'!$C:$AN,MID(X$1,1,2),FALSE)</f>
        <v>0</v>
      </c>
      <c r="Y2057" s="55">
        <f>VLOOKUP($E2057,'NI-Soc_SP'!$C:$AN,MID(Y$1,1,2),FALSE)</f>
        <v>0</v>
      </c>
      <c r="Z2057" s="55">
        <f>VLOOKUP($E2057,'NI-Soc_SP'!$C:$AN,MID(Z$1,1,2),FALSE)</f>
        <v>0</v>
      </c>
      <c r="AA2057" s="55">
        <f>VLOOKUP($E2057,'NI-Soc_SP'!$C:$AN,MID(AA$1,1,2),FALSE)</f>
        <v>0</v>
      </c>
      <c r="AB2057" s="55">
        <f>VLOOKUP($E2057,'NI-Soc_SP'!$C:$AN,MID(AB$1,1,2),FALSE)</f>
        <v>0</v>
      </c>
      <c r="AC2057" s="55">
        <f>VLOOKUP($E2057,'NI-Soc_SP'!$C:$AN,MID(AC$1,1,2),FALSE)</f>
        <v>0</v>
      </c>
      <c r="AD2057" s="55">
        <f>VLOOKUP($E2057,'NI-Soc_SP'!$C:$AN,MID(AD$1,1,2),FALSE)</f>
        <v>0</v>
      </c>
      <c r="AE2057" s="55">
        <f>VLOOKUP($E2057,'NI-Soc_SP'!$C:$AN,MID(AE$1,1,2),FALSE)</f>
        <v>0</v>
      </c>
      <c r="AF2057" s="55">
        <f>VLOOKUP($E2057,'NI-Soc_SP'!$C:$AN,MID(AF$1,1,2),FALSE)</f>
        <v>0</v>
      </c>
      <c r="AG2057" s="55">
        <f>VLOOKUP($E2057,'NI-Soc_SP'!$C:$AN,MID(AG$1,1,2),FALSE)</f>
        <v>0</v>
      </c>
      <c r="AH2057" s="55">
        <f>VLOOKUP($E2057,'NI-Soc_SP'!$C:$AN,MID(AH$1,1,2),FALSE)</f>
        <v>0</v>
      </c>
      <c r="AI2057" s="55">
        <f>VLOOKUP($E2057,'NI-Soc_SP'!$C:$AN,MID(AI$1,1,2),FALSE)</f>
        <v>0</v>
      </c>
      <c r="AJ2057" s="55">
        <f>VLOOKUP($E2057,'NI-Soc_SP'!$C:$AN,MID(AJ$1,1,2),FALSE)</f>
        <v>0</v>
      </c>
      <c r="AK2057" s="55">
        <f>VLOOKUP($E2057,'NI-Soc_SP'!$C:$AN,MID(AK$1,1,2),FALSE)</f>
        <v>0</v>
      </c>
      <c r="AL2057" s="55">
        <f>VLOOKUP($E2057,'NI-Soc_SP'!$C:$AN,MID(AL$1,1,2),FALSE)</f>
        <v>0</v>
      </c>
      <c r="AM2057" s="56">
        <f>VLOOKUP($E2057,'NI-Soc_SP'!$C:$AN,MID(AM$1,1,2),FALSE)</f>
        <v>0</v>
      </c>
      <c r="AN2057" s="30" t="str">
        <f t="shared" si="32"/>
        <v>70310010000000</v>
      </c>
    </row>
    <row r="2058" spans="1:40" x14ac:dyDescent="0.25">
      <c r="C2058" s="40"/>
      <c r="D2058" s="121" t="s">
        <v>2337</v>
      </c>
      <c r="E2058" s="121" t="s">
        <v>2338</v>
      </c>
      <c r="F2058" s="122" t="s">
        <v>2758</v>
      </c>
      <c r="G2058" s="96"/>
      <c r="H2058" s="52"/>
      <c r="I2058" s="52" t="s">
        <v>2331</v>
      </c>
      <c r="J2058" s="52"/>
      <c r="K2058" s="59" t="s">
        <v>79</v>
      </c>
      <c r="L2058" s="52"/>
      <c r="M2058" s="52"/>
      <c r="N2058" s="52"/>
      <c r="O2058" s="52"/>
      <c r="P2058" s="63" t="s">
        <v>2339</v>
      </c>
      <c r="Q2058" s="55">
        <f>VLOOKUP(E2058,'NI-Soc_SP'!$C:$AN,12,FALSE)</f>
        <v>0</v>
      </c>
      <c r="R2058" s="55">
        <f>VLOOKUP(E2058,'NI-Soc_SP'!$C:$AN,13,FALSE)</f>
        <v>0</v>
      </c>
      <c r="S2058" s="55">
        <f>VLOOKUP(E2058,'NI-Soc_SP'!$C:$AN,30,FALSE)</f>
        <v>0</v>
      </c>
      <c r="T2058" s="94">
        <f>VLOOKUP(E2058,'NI-Soc_SP'!$C:$AN,31,FALSE)+VLOOKUP(E2058,'NI-Soc_SP'!$C:$AN,32,FALSE)</f>
        <v>0</v>
      </c>
      <c r="U2058" s="55">
        <f>VLOOKUP($E2058,'NI-Soc_SP'!$C:$AN,MID(U$1,1,2),FALSE)</f>
        <v>0</v>
      </c>
      <c r="V2058" s="55">
        <f>VLOOKUP($E2058,'NI-Soc_SP'!$C:$AN,MID(V$1,1,2),FALSE)</f>
        <v>0</v>
      </c>
      <c r="W2058" s="55">
        <f>VLOOKUP($E2058,'NI-Soc_SP'!$C:$AN,MID(W$1,1,2),FALSE)</f>
        <v>0</v>
      </c>
      <c r="X2058" s="55">
        <f>VLOOKUP($E2058,'NI-Soc_SP'!$C:$AN,MID(X$1,1,2),FALSE)</f>
        <v>0</v>
      </c>
      <c r="Y2058" s="55">
        <f>VLOOKUP($E2058,'NI-Soc_SP'!$C:$AN,MID(Y$1,1,2),FALSE)</f>
        <v>0</v>
      </c>
      <c r="Z2058" s="55">
        <f>VLOOKUP($E2058,'NI-Soc_SP'!$C:$AN,MID(Z$1,1,2),FALSE)</f>
        <v>0</v>
      </c>
      <c r="AA2058" s="55">
        <f>VLOOKUP($E2058,'NI-Soc_SP'!$C:$AN,MID(AA$1,1,2),FALSE)</f>
        <v>0</v>
      </c>
      <c r="AB2058" s="55">
        <f>VLOOKUP($E2058,'NI-Soc_SP'!$C:$AN,MID(AB$1,1,2),FALSE)</f>
        <v>0</v>
      </c>
      <c r="AC2058" s="55">
        <f>VLOOKUP($E2058,'NI-Soc_SP'!$C:$AN,MID(AC$1,1,2),FALSE)</f>
        <v>0</v>
      </c>
      <c r="AD2058" s="55">
        <f>VLOOKUP($E2058,'NI-Soc_SP'!$C:$AN,MID(AD$1,1,2),FALSE)</f>
        <v>0</v>
      </c>
      <c r="AE2058" s="55">
        <f>VLOOKUP($E2058,'NI-Soc_SP'!$C:$AN,MID(AE$1,1,2),FALSE)</f>
        <v>0</v>
      </c>
      <c r="AF2058" s="55">
        <f>VLOOKUP($E2058,'NI-Soc_SP'!$C:$AN,MID(AF$1,1,2),FALSE)</f>
        <v>0</v>
      </c>
      <c r="AG2058" s="55">
        <f>VLOOKUP($E2058,'NI-Soc_SP'!$C:$AN,MID(AG$1,1,2),FALSE)</f>
        <v>0</v>
      </c>
      <c r="AH2058" s="55">
        <f>VLOOKUP($E2058,'NI-Soc_SP'!$C:$AN,MID(AH$1,1,2),FALSE)</f>
        <v>0</v>
      </c>
      <c r="AI2058" s="55">
        <f>VLOOKUP($E2058,'NI-Soc_SP'!$C:$AN,MID(AI$1,1,2),FALSE)</f>
        <v>0</v>
      </c>
      <c r="AJ2058" s="55">
        <f>VLOOKUP($E2058,'NI-Soc_SP'!$C:$AN,MID(AJ$1,1,2),FALSE)</f>
        <v>0</v>
      </c>
      <c r="AK2058" s="55">
        <f>VLOOKUP($E2058,'NI-Soc_SP'!$C:$AN,MID(AK$1,1,2),FALSE)</f>
        <v>0</v>
      </c>
      <c r="AL2058" s="55">
        <f>VLOOKUP($E2058,'NI-Soc_SP'!$C:$AN,MID(AL$1,1,2),FALSE)</f>
        <v>0</v>
      </c>
      <c r="AM2058" s="56">
        <f>VLOOKUP($E2058,'NI-Soc_SP'!$C:$AN,MID(AM$1,1,2),FALSE)</f>
        <v>0</v>
      </c>
      <c r="AN2058" s="30" t="str">
        <f t="shared" si="32"/>
        <v>70310020000000</v>
      </c>
    </row>
    <row r="2059" spans="1:40" x14ac:dyDescent="0.25">
      <c r="C2059" s="40"/>
      <c r="D2059" s="121" t="s">
        <v>2340</v>
      </c>
      <c r="E2059" s="121" t="s">
        <v>2341</v>
      </c>
      <c r="F2059" s="122" t="s">
        <v>2758</v>
      </c>
      <c r="G2059" s="96"/>
      <c r="H2059" s="52"/>
      <c r="I2059" s="52" t="s">
        <v>2331</v>
      </c>
      <c r="J2059" s="52"/>
      <c r="K2059" s="59" t="s">
        <v>79</v>
      </c>
      <c r="L2059" s="52"/>
      <c r="M2059" s="52"/>
      <c r="N2059" s="52"/>
      <c r="O2059" s="52"/>
      <c r="P2059" s="76" t="s">
        <v>2342</v>
      </c>
      <c r="Q2059" s="55">
        <f>VLOOKUP(E2059,'NI-Soc_SP'!$C:$AN,12,FALSE)</f>
        <v>0</v>
      </c>
      <c r="R2059" s="55">
        <f>VLOOKUP(E2059,'NI-Soc_SP'!$C:$AN,13,FALSE)</f>
        <v>0</v>
      </c>
      <c r="S2059" s="55">
        <f>VLOOKUP(E2059,'NI-Soc_SP'!$C:$AN,30,FALSE)</f>
        <v>0</v>
      </c>
      <c r="T2059" s="94">
        <f>VLOOKUP(E2059,'NI-Soc_SP'!$C:$AN,31,FALSE)+VLOOKUP(E2059,'NI-Soc_SP'!$C:$AN,32,FALSE)</f>
        <v>0</v>
      </c>
      <c r="U2059" s="55">
        <f>VLOOKUP($E2059,'NI-Soc_SP'!$C:$AN,MID(U$1,1,2),FALSE)</f>
        <v>0</v>
      </c>
      <c r="V2059" s="55">
        <f>VLOOKUP($E2059,'NI-Soc_SP'!$C:$AN,MID(V$1,1,2),FALSE)</f>
        <v>0</v>
      </c>
      <c r="W2059" s="55">
        <f>VLOOKUP($E2059,'NI-Soc_SP'!$C:$AN,MID(W$1,1,2),FALSE)</f>
        <v>0</v>
      </c>
      <c r="X2059" s="55">
        <f>VLOOKUP($E2059,'NI-Soc_SP'!$C:$AN,MID(X$1,1,2),FALSE)</f>
        <v>0</v>
      </c>
      <c r="Y2059" s="55">
        <f>VLOOKUP($E2059,'NI-Soc_SP'!$C:$AN,MID(Y$1,1,2),FALSE)</f>
        <v>0</v>
      </c>
      <c r="Z2059" s="55">
        <f>VLOOKUP($E2059,'NI-Soc_SP'!$C:$AN,MID(Z$1,1,2),FALSE)</f>
        <v>0</v>
      </c>
      <c r="AA2059" s="55">
        <f>VLOOKUP($E2059,'NI-Soc_SP'!$C:$AN,MID(AA$1,1,2),FALSE)</f>
        <v>0</v>
      </c>
      <c r="AB2059" s="55">
        <f>VLOOKUP($E2059,'NI-Soc_SP'!$C:$AN,MID(AB$1,1,2),FALSE)</f>
        <v>0</v>
      </c>
      <c r="AC2059" s="55">
        <f>VLOOKUP($E2059,'NI-Soc_SP'!$C:$AN,MID(AC$1,1,2),FALSE)</f>
        <v>0</v>
      </c>
      <c r="AD2059" s="55">
        <f>VLOOKUP($E2059,'NI-Soc_SP'!$C:$AN,MID(AD$1,1,2),FALSE)</f>
        <v>0</v>
      </c>
      <c r="AE2059" s="55">
        <f>VLOOKUP($E2059,'NI-Soc_SP'!$C:$AN,MID(AE$1,1,2),FALSE)</f>
        <v>0</v>
      </c>
      <c r="AF2059" s="55">
        <f>VLOOKUP($E2059,'NI-Soc_SP'!$C:$AN,MID(AF$1,1,2),FALSE)</f>
        <v>0</v>
      </c>
      <c r="AG2059" s="55">
        <f>VLOOKUP($E2059,'NI-Soc_SP'!$C:$AN,MID(AG$1,1,2),FALSE)</f>
        <v>0</v>
      </c>
      <c r="AH2059" s="55">
        <f>VLOOKUP($E2059,'NI-Soc_SP'!$C:$AN,MID(AH$1,1,2),FALSE)</f>
        <v>0</v>
      </c>
      <c r="AI2059" s="55">
        <f>VLOOKUP($E2059,'NI-Soc_SP'!$C:$AN,MID(AI$1,1,2),FALSE)</f>
        <v>0</v>
      </c>
      <c r="AJ2059" s="55">
        <f>VLOOKUP($E2059,'NI-Soc_SP'!$C:$AN,MID(AJ$1,1,2),FALSE)</f>
        <v>0</v>
      </c>
      <c r="AK2059" s="55">
        <f>VLOOKUP($E2059,'NI-Soc_SP'!$C:$AN,MID(AK$1,1,2),FALSE)</f>
        <v>0</v>
      </c>
      <c r="AL2059" s="55">
        <f>VLOOKUP($E2059,'NI-Soc_SP'!$C:$AN,MID(AL$1,1,2),FALSE)</f>
        <v>0</v>
      </c>
      <c r="AM2059" s="56">
        <f>VLOOKUP($E2059,'NI-Soc_SP'!$C:$AN,MID(AM$1,1,2),FALSE)</f>
        <v>0</v>
      </c>
      <c r="AN2059" s="30" t="str">
        <f t="shared" si="32"/>
        <v>70310030000000</v>
      </c>
    </row>
    <row r="2060" spans="1:40" x14ac:dyDescent="0.25">
      <c r="C2060" s="40"/>
      <c r="D2060" s="121" t="s">
        <v>2343</v>
      </c>
      <c r="E2060" s="121" t="s">
        <v>2344</v>
      </c>
      <c r="F2060" s="122" t="s">
        <v>2758</v>
      </c>
      <c r="G2060" s="96"/>
      <c r="H2060" s="52"/>
      <c r="I2060" s="52" t="s">
        <v>2345</v>
      </c>
      <c r="J2060" s="52"/>
      <c r="K2060" s="59" t="s">
        <v>79</v>
      </c>
      <c r="L2060" s="52" t="s">
        <v>2346</v>
      </c>
      <c r="M2060" s="52"/>
      <c r="N2060" s="52"/>
      <c r="O2060" s="61" t="s">
        <v>2347</v>
      </c>
      <c r="P2060" s="76" t="s">
        <v>2348</v>
      </c>
      <c r="Q2060" s="55">
        <f>VLOOKUP(E2060,'NI-Soc_SP'!$C:$AN,12,FALSE)</f>
        <v>0</v>
      </c>
      <c r="R2060" s="55">
        <f>VLOOKUP(E2060,'NI-Soc_SP'!$C:$AN,13,FALSE)</f>
        <v>0</v>
      </c>
      <c r="S2060" s="55">
        <f>VLOOKUP(E2060,'NI-Soc_SP'!$C:$AN,30,FALSE)</f>
        <v>6122</v>
      </c>
      <c r="T2060" s="55">
        <f>VLOOKUP(E2060,'NI-Soc_SP'!$C:$AN,31,FALSE)+VLOOKUP(E2060,'NI-Soc_SP'!$C:$AN,32,FALSE)</f>
        <v>-11165</v>
      </c>
      <c r="U2060" s="55">
        <f>VLOOKUP($E2060,'NI-Soc_SP'!$C:$AN,MID(U$1,1,2),FALSE)</f>
        <v>0</v>
      </c>
      <c r="V2060" s="55">
        <f>VLOOKUP($E2060,'NI-Soc_SP'!$C:$AN,MID(V$1,1,2),FALSE)</f>
        <v>0</v>
      </c>
      <c r="W2060" s="55">
        <f>VLOOKUP($E2060,'NI-Soc_SP'!$C:$AN,MID(W$1,1,2),FALSE)</f>
        <v>0</v>
      </c>
      <c r="X2060" s="55">
        <f>VLOOKUP($E2060,'NI-Soc_SP'!$C:$AN,MID(X$1,1,2),FALSE)</f>
        <v>0</v>
      </c>
      <c r="Y2060" s="55">
        <f>VLOOKUP($E2060,'NI-Soc_SP'!$C:$AN,MID(Y$1,1,2),FALSE)</f>
        <v>0</v>
      </c>
      <c r="Z2060" s="55">
        <f>VLOOKUP($E2060,'NI-Soc_SP'!$C:$AN,MID(Z$1,1,2),FALSE)</f>
        <v>0</v>
      </c>
      <c r="AA2060" s="55">
        <f>VLOOKUP($E2060,'NI-Soc_SP'!$C:$AN,MID(AA$1,1,2),FALSE)</f>
        <v>0</v>
      </c>
      <c r="AB2060" s="55">
        <f>VLOOKUP($E2060,'NI-Soc_SP'!$C:$AN,MID(AB$1,1,2),FALSE)</f>
        <v>0</v>
      </c>
      <c r="AC2060" s="55">
        <f>VLOOKUP($E2060,'NI-Soc_SP'!$C:$AN,MID(AC$1,1,2),FALSE)</f>
        <v>0</v>
      </c>
      <c r="AD2060" s="55">
        <f>VLOOKUP($E2060,'NI-Soc_SP'!$C:$AN,MID(AD$1,1,2),FALSE)</f>
        <v>0</v>
      </c>
      <c r="AE2060" s="55">
        <f>VLOOKUP($E2060,'NI-Soc_SP'!$C:$AN,MID(AE$1,1,2),FALSE)</f>
        <v>0</v>
      </c>
      <c r="AF2060" s="55">
        <f>VLOOKUP($E2060,'NI-Soc_SP'!$C:$AN,MID(AF$1,1,2),FALSE)</f>
        <v>0</v>
      </c>
      <c r="AG2060" s="55">
        <f>VLOOKUP($E2060,'NI-Soc_SP'!$C:$AN,MID(AG$1,1,2),FALSE)</f>
        <v>1118</v>
      </c>
      <c r="AH2060" s="55">
        <f>VLOOKUP($E2060,'NI-Soc_SP'!$C:$AN,MID(AH$1,1,2),FALSE)</f>
        <v>0</v>
      </c>
      <c r="AI2060" s="55">
        <f>VLOOKUP($E2060,'NI-Soc_SP'!$C:$AN,MID(AI$1,1,2),FALSE)</f>
        <v>3925</v>
      </c>
      <c r="AJ2060" s="55">
        <f>VLOOKUP($E2060,'NI-Soc_SP'!$C:$AN,MID(AJ$1,1,2),FALSE)</f>
        <v>6122</v>
      </c>
      <c r="AK2060" s="55">
        <f>VLOOKUP($E2060,'NI-Soc_SP'!$C:$AN,MID(AK$1,1,2),FALSE)</f>
        <v>-11165</v>
      </c>
      <c r="AL2060" s="55">
        <f>VLOOKUP($E2060,'NI-Soc_SP'!$C:$AN,MID(AL$1,1,2),FALSE)</f>
        <v>0</v>
      </c>
      <c r="AM2060" s="56">
        <f>VLOOKUP($E2060,'NI-Soc_SP'!$C:$AN,MID(AM$1,1,2),FALSE)</f>
        <v>0</v>
      </c>
      <c r="AN2060" s="30" t="str">
        <f t="shared" si="32"/>
        <v>70400000000000</v>
      </c>
    </row>
    <row r="2061" spans="1:40" x14ac:dyDescent="0.25">
      <c r="C2061" s="40"/>
      <c r="D2061" s="121" t="s">
        <v>2349</v>
      </c>
      <c r="E2061" s="121" t="s">
        <v>2350</v>
      </c>
      <c r="F2061" s="122" t="s">
        <v>2758</v>
      </c>
      <c r="G2061" s="96"/>
      <c r="H2061" s="52"/>
      <c r="I2061" s="52"/>
      <c r="J2061" s="52"/>
      <c r="K2061" s="59" t="s">
        <v>111</v>
      </c>
      <c r="L2061" s="52" t="s">
        <v>2351</v>
      </c>
      <c r="M2061" s="52" t="s">
        <v>2352</v>
      </c>
      <c r="N2061" s="52"/>
      <c r="O2061" s="52"/>
      <c r="P2061" s="63" t="s">
        <v>2353</v>
      </c>
      <c r="Q2061" s="55">
        <f>VLOOKUP(E2061,'NI-Soc_SP'!$C:$AN,12,FALSE)</f>
        <v>0</v>
      </c>
      <c r="R2061" s="55">
        <f>VLOOKUP(E2061,'NI-Soc_SP'!$C:$AN,13,FALSE)</f>
        <v>0</v>
      </c>
      <c r="S2061" s="55">
        <f>VLOOKUP(E2061,'NI-Soc_SP'!$C:$AN,30,FALSE)</f>
        <v>0</v>
      </c>
      <c r="T2061" s="55">
        <f>VLOOKUP(E2061,'NI-Soc_SP'!$C:$AN,31,FALSE)+VLOOKUP(E2061,'NI-Soc_SP'!$C:$AN,32,FALSE)</f>
        <v>-533</v>
      </c>
      <c r="U2061" s="55">
        <f>VLOOKUP($E2061,'NI-Soc_SP'!$C:$AN,MID(U$1,1,2),FALSE)</f>
        <v>0</v>
      </c>
      <c r="V2061" s="55">
        <f>VLOOKUP($E2061,'NI-Soc_SP'!$C:$AN,MID(V$1,1,2),FALSE)</f>
        <v>0</v>
      </c>
      <c r="W2061" s="55">
        <f>VLOOKUP($E2061,'NI-Soc_SP'!$C:$AN,MID(W$1,1,2),FALSE)</f>
        <v>0</v>
      </c>
      <c r="X2061" s="55">
        <f>VLOOKUP($E2061,'NI-Soc_SP'!$C:$AN,MID(X$1,1,2),FALSE)</f>
        <v>0</v>
      </c>
      <c r="Y2061" s="55">
        <f>VLOOKUP($E2061,'NI-Soc_SP'!$C:$AN,MID(Y$1,1,2),FALSE)</f>
        <v>0</v>
      </c>
      <c r="Z2061" s="55">
        <f>VLOOKUP($E2061,'NI-Soc_SP'!$C:$AN,MID(Z$1,1,2),FALSE)</f>
        <v>0</v>
      </c>
      <c r="AA2061" s="55">
        <f>VLOOKUP($E2061,'NI-Soc_SP'!$C:$AN,MID(AA$1,1,2),FALSE)</f>
        <v>0</v>
      </c>
      <c r="AB2061" s="55">
        <f>VLOOKUP($E2061,'NI-Soc_SP'!$C:$AN,MID(AB$1,1,2),FALSE)</f>
        <v>0</v>
      </c>
      <c r="AC2061" s="55">
        <f>VLOOKUP($E2061,'NI-Soc_SP'!$C:$AN,MID(AC$1,1,2),FALSE)</f>
        <v>0</v>
      </c>
      <c r="AD2061" s="55">
        <f>VLOOKUP($E2061,'NI-Soc_SP'!$C:$AN,MID(AD$1,1,2),FALSE)</f>
        <v>0</v>
      </c>
      <c r="AE2061" s="55">
        <f>VLOOKUP($E2061,'NI-Soc_SP'!$C:$AN,MID(AE$1,1,2),FALSE)</f>
        <v>0</v>
      </c>
      <c r="AF2061" s="55">
        <f>VLOOKUP($E2061,'NI-Soc_SP'!$C:$AN,MID(AF$1,1,2),FALSE)</f>
        <v>0</v>
      </c>
      <c r="AG2061" s="55">
        <f>VLOOKUP($E2061,'NI-Soc_SP'!$C:$AN,MID(AG$1,1,2),FALSE)</f>
        <v>533</v>
      </c>
      <c r="AH2061" s="55">
        <f>VLOOKUP($E2061,'NI-Soc_SP'!$C:$AN,MID(AH$1,1,2),FALSE)</f>
        <v>0</v>
      </c>
      <c r="AI2061" s="55">
        <f>VLOOKUP($E2061,'NI-Soc_SP'!$C:$AN,MID(AI$1,1,2),FALSE)</f>
        <v>0</v>
      </c>
      <c r="AJ2061" s="55">
        <f>VLOOKUP($E2061,'NI-Soc_SP'!$C:$AN,MID(AJ$1,1,2),FALSE)</f>
        <v>0</v>
      </c>
      <c r="AK2061" s="55">
        <f>VLOOKUP($E2061,'NI-Soc_SP'!$C:$AN,MID(AK$1,1,2),FALSE)</f>
        <v>-533</v>
      </c>
      <c r="AL2061" s="55">
        <f>VLOOKUP($E2061,'NI-Soc_SP'!$C:$AN,MID(AL$1,1,2),FALSE)</f>
        <v>0</v>
      </c>
      <c r="AM2061" s="56">
        <f>VLOOKUP($E2061,'NI-Soc_SP'!$C:$AN,MID(AM$1,1,2),FALSE)</f>
        <v>0</v>
      </c>
      <c r="AN2061" s="30" t="str">
        <f t="shared" si="32"/>
        <v>70500000000000</v>
      </c>
    </row>
    <row r="2062" spans="1:40" x14ac:dyDescent="0.25">
      <c r="C2062" s="40"/>
      <c r="D2062" s="121" t="s">
        <v>2354</v>
      </c>
      <c r="E2062" s="121" t="s">
        <v>2355</v>
      </c>
      <c r="F2062" s="122" t="s">
        <v>2758</v>
      </c>
      <c r="G2062" s="52"/>
      <c r="H2062" s="52"/>
      <c r="I2062" s="52"/>
      <c r="J2062" s="52"/>
      <c r="K2062" s="59" t="s">
        <v>111</v>
      </c>
      <c r="L2062" s="62"/>
      <c r="M2062" s="52"/>
      <c r="N2062" s="52"/>
      <c r="O2062" s="52"/>
      <c r="P2062" s="60" t="s">
        <v>2356</v>
      </c>
      <c r="Q2062" s="55">
        <f>VLOOKUP(E2062,'NI-Soc_SP'!$C:$AN,12,FALSE)</f>
        <v>0</v>
      </c>
      <c r="R2062" s="55">
        <f>VLOOKUP(E2062,'NI-Soc_SP'!$C:$AN,13,FALSE)</f>
        <v>0</v>
      </c>
      <c r="S2062" s="55">
        <f>VLOOKUP(E2062,'NI-Soc_SP'!$C:$AN,30,FALSE)</f>
        <v>0</v>
      </c>
      <c r="T2062" s="94">
        <f>VLOOKUP(E2062,'NI-Soc_SP'!$C:$AN,31,FALSE)+VLOOKUP(E2062,'NI-Soc_SP'!$C:$AN,32,FALSE)</f>
        <v>-533</v>
      </c>
      <c r="U2062" s="55">
        <f>VLOOKUP($E2062,'NI-Soc_SP'!$C:$AN,MID(U$1,1,2),FALSE)</f>
        <v>0</v>
      </c>
      <c r="V2062" s="55">
        <f>VLOOKUP($E2062,'NI-Soc_SP'!$C:$AN,MID(V$1,1,2),FALSE)</f>
        <v>0</v>
      </c>
      <c r="W2062" s="55">
        <f>VLOOKUP($E2062,'NI-Soc_SP'!$C:$AN,MID(W$1,1,2),FALSE)</f>
        <v>0</v>
      </c>
      <c r="X2062" s="55">
        <f>VLOOKUP($E2062,'NI-Soc_SP'!$C:$AN,MID(X$1,1,2),FALSE)</f>
        <v>0</v>
      </c>
      <c r="Y2062" s="55">
        <f>VLOOKUP($E2062,'NI-Soc_SP'!$C:$AN,MID(Y$1,1,2),FALSE)</f>
        <v>0</v>
      </c>
      <c r="Z2062" s="55">
        <f>VLOOKUP($E2062,'NI-Soc_SP'!$C:$AN,MID(Z$1,1,2),FALSE)</f>
        <v>0</v>
      </c>
      <c r="AA2062" s="55">
        <f>VLOOKUP($E2062,'NI-Soc_SP'!$C:$AN,MID(AA$1,1,2),FALSE)</f>
        <v>0</v>
      </c>
      <c r="AB2062" s="55">
        <f>VLOOKUP($E2062,'NI-Soc_SP'!$C:$AN,MID(AB$1,1,2),FALSE)</f>
        <v>0</v>
      </c>
      <c r="AC2062" s="55">
        <f>VLOOKUP($E2062,'NI-Soc_SP'!$C:$AN,MID(AC$1,1,2),FALSE)</f>
        <v>0</v>
      </c>
      <c r="AD2062" s="55">
        <f>VLOOKUP($E2062,'NI-Soc_SP'!$C:$AN,MID(AD$1,1,2),FALSE)</f>
        <v>0</v>
      </c>
      <c r="AE2062" s="55">
        <f>VLOOKUP($E2062,'NI-Soc_SP'!$C:$AN,MID(AE$1,1,2),FALSE)</f>
        <v>0</v>
      </c>
      <c r="AF2062" s="55">
        <f>VLOOKUP($E2062,'NI-Soc_SP'!$C:$AN,MID(AF$1,1,2),FALSE)</f>
        <v>0</v>
      </c>
      <c r="AG2062" s="55">
        <f>VLOOKUP($E2062,'NI-Soc_SP'!$C:$AN,MID(AG$1,1,2),FALSE)</f>
        <v>533</v>
      </c>
      <c r="AH2062" s="55">
        <f>VLOOKUP($E2062,'NI-Soc_SP'!$C:$AN,MID(AH$1,1,2),FALSE)</f>
        <v>0</v>
      </c>
      <c r="AI2062" s="55">
        <f>VLOOKUP($E2062,'NI-Soc_SP'!$C:$AN,MID(AI$1,1,2),FALSE)</f>
        <v>0</v>
      </c>
      <c r="AJ2062" s="55">
        <f>VLOOKUP($E2062,'NI-Soc_SP'!$C:$AN,MID(AJ$1,1,2),FALSE)</f>
        <v>0</v>
      </c>
      <c r="AK2062" s="55">
        <f>VLOOKUP($E2062,'NI-Soc_SP'!$C:$AN,MID(AK$1,1,2),FALSE)</f>
        <v>-533</v>
      </c>
      <c r="AL2062" s="55">
        <f>VLOOKUP($E2062,'NI-Soc_SP'!$C:$AN,MID(AL$1,1,2),FALSE)</f>
        <v>0</v>
      </c>
      <c r="AM2062" s="56">
        <f>VLOOKUP($E2062,'NI-Soc_SP'!$C:$AN,MID(AM$1,1,2),FALSE)</f>
        <v>0</v>
      </c>
      <c r="AN2062" s="30" t="str">
        <f t="shared" si="32"/>
        <v>70501000000000</v>
      </c>
    </row>
    <row r="2063" spans="1:40" x14ac:dyDescent="0.25">
      <c r="C2063" s="40"/>
      <c r="D2063" s="121" t="s">
        <v>2357</v>
      </c>
      <c r="E2063" s="121" t="s">
        <v>2358</v>
      </c>
      <c r="F2063" s="122" t="s">
        <v>2758</v>
      </c>
      <c r="G2063" s="96" t="s">
        <v>1608</v>
      </c>
      <c r="H2063" s="52"/>
      <c r="I2063" s="52" t="s">
        <v>2359</v>
      </c>
      <c r="J2063" s="52"/>
      <c r="K2063" s="59" t="s">
        <v>111</v>
      </c>
      <c r="L2063" s="52"/>
      <c r="M2063" s="52"/>
      <c r="N2063" s="52"/>
      <c r="O2063" s="52"/>
      <c r="P2063" s="63" t="s">
        <v>2360</v>
      </c>
      <c r="Q2063" s="55">
        <f>VLOOKUP(E2063,'NI-Soc_SP'!$C:$AN,12,FALSE)</f>
        <v>0</v>
      </c>
      <c r="R2063" s="55">
        <f>VLOOKUP(E2063,'NI-Soc_SP'!$C:$AN,13,FALSE)</f>
        <v>0</v>
      </c>
      <c r="S2063" s="55">
        <f>VLOOKUP(E2063,'NI-Soc_SP'!$C:$AN,30,FALSE)</f>
        <v>0</v>
      </c>
      <c r="T2063" s="94">
        <f>VLOOKUP(E2063,'NI-Soc_SP'!$C:$AN,31,FALSE)+VLOOKUP(E2063,'NI-Soc_SP'!$C:$AN,32,FALSE)</f>
        <v>0</v>
      </c>
      <c r="U2063" s="55">
        <f>VLOOKUP($E2063,'NI-Soc_SP'!$C:$AN,MID(U$1,1,2),FALSE)</f>
        <v>0</v>
      </c>
      <c r="V2063" s="55">
        <f>VLOOKUP($E2063,'NI-Soc_SP'!$C:$AN,MID(V$1,1,2),FALSE)</f>
        <v>0</v>
      </c>
      <c r="W2063" s="55">
        <f>VLOOKUP($E2063,'NI-Soc_SP'!$C:$AN,MID(W$1,1,2),FALSE)</f>
        <v>0</v>
      </c>
      <c r="X2063" s="55">
        <f>VLOOKUP($E2063,'NI-Soc_SP'!$C:$AN,MID(X$1,1,2),FALSE)</f>
        <v>0</v>
      </c>
      <c r="Y2063" s="55">
        <f>VLOOKUP($E2063,'NI-Soc_SP'!$C:$AN,MID(Y$1,1,2),FALSE)</f>
        <v>0</v>
      </c>
      <c r="Z2063" s="55">
        <f>VLOOKUP($E2063,'NI-Soc_SP'!$C:$AN,MID(Z$1,1,2),FALSE)</f>
        <v>0</v>
      </c>
      <c r="AA2063" s="55">
        <f>VLOOKUP($E2063,'NI-Soc_SP'!$C:$AN,MID(AA$1,1,2),FALSE)</f>
        <v>0</v>
      </c>
      <c r="AB2063" s="55">
        <f>VLOOKUP($E2063,'NI-Soc_SP'!$C:$AN,MID(AB$1,1,2),FALSE)</f>
        <v>0</v>
      </c>
      <c r="AC2063" s="55">
        <f>VLOOKUP($E2063,'NI-Soc_SP'!$C:$AN,MID(AC$1,1,2),FALSE)</f>
        <v>0</v>
      </c>
      <c r="AD2063" s="55">
        <f>VLOOKUP($E2063,'NI-Soc_SP'!$C:$AN,MID(AD$1,1,2),FALSE)</f>
        <v>0</v>
      </c>
      <c r="AE2063" s="55">
        <f>VLOOKUP($E2063,'NI-Soc_SP'!$C:$AN,MID(AE$1,1,2),FALSE)</f>
        <v>0</v>
      </c>
      <c r="AF2063" s="55">
        <f>VLOOKUP($E2063,'NI-Soc_SP'!$C:$AN,MID(AF$1,1,2),FALSE)</f>
        <v>0</v>
      </c>
      <c r="AG2063" s="55">
        <f>VLOOKUP($E2063,'NI-Soc_SP'!$C:$AN,MID(AG$1,1,2),FALSE)</f>
        <v>0</v>
      </c>
      <c r="AH2063" s="55">
        <f>VLOOKUP($E2063,'NI-Soc_SP'!$C:$AN,MID(AH$1,1,2),FALSE)</f>
        <v>0</v>
      </c>
      <c r="AI2063" s="55">
        <f>VLOOKUP($E2063,'NI-Soc_SP'!$C:$AN,MID(AI$1,1,2),FALSE)</f>
        <v>0</v>
      </c>
      <c r="AJ2063" s="55">
        <f>VLOOKUP($E2063,'NI-Soc_SP'!$C:$AN,MID(AJ$1,1,2),FALSE)</f>
        <v>0</v>
      </c>
      <c r="AK2063" s="55">
        <f>VLOOKUP($E2063,'NI-Soc_SP'!$C:$AN,MID(AK$1,1,2),FALSE)</f>
        <v>0</v>
      </c>
      <c r="AL2063" s="55">
        <f>VLOOKUP($E2063,'NI-Soc_SP'!$C:$AN,MID(AL$1,1,2),FALSE)</f>
        <v>0</v>
      </c>
      <c r="AM2063" s="56">
        <f>VLOOKUP($E2063,'NI-Soc_SP'!$C:$AN,MID(AM$1,1,2),FALSE)</f>
        <v>0</v>
      </c>
      <c r="AN2063" s="30" t="str">
        <f t="shared" si="32"/>
        <v>70501010000000</v>
      </c>
    </row>
    <row r="2064" spans="1:40" x14ac:dyDescent="0.25">
      <c r="C2064" s="40"/>
      <c r="D2064" s="121" t="s">
        <v>2361</v>
      </c>
      <c r="E2064" s="121" t="s">
        <v>2362</v>
      </c>
      <c r="F2064" s="122" t="s">
        <v>2758</v>
      </c>
      <c r="G2064" s="96" t="s">
        <v>1608</v>
      </c>
      <c r="H2064" s="52"/>
      <c r="I2064" s="52"/>
      <c r="J2064" s="52"/>
      <c r="K2064" s="59" t="s">
        <v>1358</v>
      </c>
      <c r="L2064" s="52"/>
      <c r="M2064" s="52"/>
      <c r="N2064" s="52"/>
      <c r="O2064" s="61" t="s">
        <v>2363</v>
      </c>
      <c r="P2064" s="104" t="s">
        <v>2364</v>
      </c>
      <c r="Q2064" s="55">
        <f>VLOOKUP(E2064,'NI-Soc_SP'!$C:$AN,12,FALSE)</f>
        <v>0</v>
      </c>
      <c r="R2064" s="55">
        <f>VLOOKUP(E2064,'NI-Soc_SP'!$C:$AN,13,FALSE)</f>
        <v>0</v>
      </c>
      <c r="S2064" s="55">
        <f>VLOOKUP(E2064,'NI-Soc_SP'!$C:$AN,30,FALSE)</f>
        <v>0</v>
      </c>
      <c r="T2064" s="94">
        <f>VLOOKUP(E2064,'NI-Soc_SP'!$C:$AN,31,FALSE)+VLOOKUP(E2064,'NI-Soc_SP'!$C:$AN,32,FALSE)</f>
        <v>0</v>
      </c>
      <c r="U2064" s="55">
        <f>VLOOKUP($E2064,'NI-Soc_SP'!$C:$AN,MID(U$1,1,2),FALSE)</f>
        <v>0</v>
      </c>
      <c r="V2064" s="55">
        <f>VLOOKUP($E2064,'NI-Soc_SP'!$C:$AN,MID(V$1,1,2),FALSE)</f>
        <v>0</v>
      </c>
      <c r="W2064" s="55">
        <f>VLOOKUP($E2064,'NI-Soc_SP'!$C:$AN,MID(W$1,1,2),FALSE)</f>
        <v>0</v>
      </c>
      <c r="X2064" s="55">
        <f>VLOOKUP($E2064,'NI-Soc_SP'!$C:$AN,MID(X$1,1,2),FALSE)</f>
        <v>0</v>
      </c>
      <c r="Y2064" s="55">
        <f>VLOOKUP($E2064,'NI-Soc_SP'!$C:$AN,MID(Y$1,1,2),FALSE)</f>
        <v>0</v>
      </c>
      <c r="Z2064" s="55">
        <f>VLOOKUP($E2064,'NI-Soc_SP'!$C:$AN,MID(Z$1,1,2),FALSE)</f>
        <v>0</v>
      </c>
      <c r="AA2064" s="55">
        <f>VLOOKUP($E2064,'NI-Soc_SP'!$C:$AN,MID(AA$1,1,2),FALSE)</f>
        <v>0</v>
      </c>
      <c r="AB2064" s="55">
        <f>VLOOKUP($E2064,'NI-Soc_SP'!$C:$AN,MID(AB$1,1,2),FALSE)</f>
        <v>0</v>
      </c>
      <c r="AC2064" s="55">
        <f>VLOOKUP($E2064,'NI-Soc_SP'!$C:$AN,MID(AC$1,1,2),FALSE)</f>
        <v>0</v>
      </c>
      <c r="AD2064" s="55">
        <f>VLOOKUP($E2064,'NI-Soc_SP'!$C:$AN,MID(AD$1,1,2),FALSE)</f>
        <v>0</v>
      </c>
      <c r="AE2064" s="55">
        <f>VLOOKUP($E2064,'NI-Soc_SP'!$C:$AN,MID(AE$1,1,2),FALSE)</f>
        <v>0</v>
      </c>
      <c r="AF2064" s="55">
        <f>VLOOKUP($E2064,'NI-Soc_SP'!$C:$AN,MID(AF$1,1,2),FALSE)</f>
        <v>0</v>
      </c>
      <c r="AG2064" s="55">
        <f>VLOOKUP($E2064,'NI-Soc_SP'!$C:$AN,MID(AG$1,1,2),FALSE)</f>
        <v>0</v>
      </c>
      <c r="AH2064" s="55">
        <f>VLOOKUP($E2064,'NI-Soc_SP'!$C:$AN,MID(AH$1,1,2),FALSE)</f>
        <v>0</v>
      </c>
      <c r="AI2064" s="55">
        <f>VLOOKUP($E2064,'NI-Soc_SP'!$C:$AN,MID(AI$1,1,2),FALSE)</f>
        <v>0</v>
      </c>
      <c r="AJ2064" s="55">
        <f>VLOOKUP($E2064,'NI-Soc_SP'!$C:$AN,MID(AJ$1,1,2),FALSE)</f>
        <v>0</v>
      </c>
      <c r="AK2064" s="55">
        <f>VLOOKUP($E2064,'NI-Soc_SP'!$C:$AN,MID(AK$1,1,2),FALSE)</f>
        <v>0</v>
      </c>
      <c r="AL2064" s="55">
        <f>VLOOKUP($E2064,'NI-Soc_SP'!$C:$AN,MID(AL$1,1,2),FALSE)</f>
        <v>0</v>
      </c>
      <c r="AM2064" s="56">
        <f>VLOOKUP($E2064,'NI-Soc_SP'!$C:$AN,MID(AM$1,1,2),FALSE)</f>
        <v>0</v>
      </c>
      <c r="AN2064" s="30" t="str">
        <f t="shared" si="32"/>
        <v>70501010010000</v>
      </c>
    </row>
    <row r="2065" spans="3:40" x14ac:dyDescent="0.25">
      <c r="C2065" s="40"/>
      <c r="D2065" s="121" t="s">
        <v>2365</v>
      </c>
      <c r="E2065" s="121" t="s">
        <v>2366</v>
      </c>
      <c r="F2065" s="122" t="s">
        <v>2758</v>
      </c>
      <c r="G2065" s="96" t="s">
        <v>1608</v>
      </c>
      <c r="H2065" s="52"/>
      <c r="I2065" s="52"/>
      <c r="J2065" s="52"/>
      <c r="K2065" s="59" t="s">
        <v>1358</v>
      </c>
      <c r="L2065" s="52"/>
      <c r="M2065" s="52"/>
      <c r="N2065" s="52"/>
      <c r="O2065" s="61" t="s">
        <v>2363</v>
      </c>
      <c r="P2065" s="104" t="s">
        <v>2367</v>
      </c>
      <c r="Q2065" s="55">
        <f>VLOOKUP(E2065,'NI-Soc_SP'!$C:$AN,12,FALSE)</f>
        <v>0</v>
      </c>
      <c r="R2065" s="55">
        <f>VLOOKUP(E2065,'NI-Soc_SP'!$C:$AN,13,FALSE)</f>
        <v>0</v>
      </c>
      <c r="S2065" s="55">
        <f>VLOOKUP(E2065,'NI-Soc_SP'!$C:$AN,30,FALSE)</f>
        <v>0</v>
      </c>
      <c r="T2065" s="94">
        <f>VLOOKUP(E2065,'NI-Soc_SP'!$C:$AN,31,FALSE)+VLOOKUP(E2065,'NI-Soc_SP'!$C:$AN,32,FALSE)</f>
        <v>0</v>
      </c>
      <c r="U2065" s="55">
        <f>VLOOKUP($E2065,'NI-Soc_SP'!$C:$AN,MID(U$1,1,2),FALSE)</f>
        <v>0</v>
      </c>
      <c r="V2065" s="55">
        <f>VLOOKUP($E2065,'NI-Soc_SP'!$C:$AN,MID(V$1,1,2),FALSE)</f>
        <v>0</v>
      </c>
      <c r="W2065" s="55">
        <f>VLOOKUP($E2065,'NI-Soc_SP'!$C:$AN,MID(W$1,1,2),FALSE)</f>
        <v>0</v>
      </c>
      <c r="X2065" s="55">
        <f>VLOOKUP($E2065,'NI-Soc_SP'!$C:$AN,MID(X$1,1,2),FALSE)</f>
        <v>0</v>
      </c>
      <c r="Y2065" s="55">
        <f>VLOOKUP($E2065,'NI-Soc_SP'!$C:$AN,MID(Y$1,1,2),FALSE)</f>
        <v>0</v>
      </c>
      <c r="Z2065" s="55">
        <f>VLOOKUP($E2065,'NI-Soc_SP'!$C:$AN,MID(Z$1,1,2),FALSE)</f>
        <v>0</v>
      </c>
      <c r="AA2065" s="55">
        <f>VLOOKUP($E2065,'NI-Soc_SP'!$C:$AN,MID(AA$1,1,2),FALSE)</f>
        <v>0</v>
      </c>
      <c r="AB2065" s="55">
        <f>VLOOKUP($E2065,'NI-Soc_SP'!$C:$AN,MID(AB$1,1,2),FALSE)</f>
        <v>0</v>
      </c>
      <c r="AC2065" s="55">
        <f>VLOOKUP($E2065,'NI-Soc_SP'!$C:$AN,MID(AC$1,1,2),FALSE)</f>
        <v>0</v>
      </c>
      <c r="AD2065" s="55">
        <f>VLOOKUP($E2065,'NI-Soc_SP'!$C:$AN,MID(AD$1,1,2),FALSE)</f>
        <v>0</v>
      </c>
      <c r="AE2065" s="55">
        <f>VLOOKUP($E2065,'NI-Soc_SP'!$C:$AN,MID(AE$1,1,2),FALSE)</f>
        <v>0</v>
      </c>
      <c r="AF2065" s="55">
        <f>VLOOKUP($E2065,'NI-Soc_SP'!$C:$AN,MID(AF$1,1,2),FALSE)</f>
        <v>0</v>
      </c>
      <c r="AG2065" s="55">
        <f>VLOOKUP($E2065,'NI-Soc_SP'!$C:$AN,MID(AG$1,1,2),FALSE)</f>
        <v>0</v>
      </c>
      <c r="AH2065" s="55">
        <f>VLOOKUP($E2065,'NI-Soc_SP'!$C:$AN,MID(AH$1,1,2),FALSE)</f>
        <v>0</v>
      </c>
      <c r="AI2065" s="55">
        <f>VLOOKUP($E2065,'NI-Soc_SP'!$C:$AN,MID(AI$1,1,2),FALSE)</f>
        <v>0</v>
      </c>
      <c r="AJ2065" s="55">
        <f>VLOOKUP($E2065,'NI-Soc_SP'!$C:$AN,MID(AJ$1,1,2),FALSE)</f>
        <v>0</v>
      </c>
      <c r="AK2065" s="55">
        <f>VLOOKUP($E2065,'NI-Soc_SP'!$C:$AN,MID(AK$1,1,2),FALSE)</f>
        <v>0</v>
      </c>
      <c r="AL2065" s="55">
        <f>VLOOKUP($E2065,'NI-Soc_SP'!$C:$AN,MID(AL$1,1,2),FALSE)</f>
        <v>0</v>
      </c>
      <c r="AM2065" s="56">
        <f>VLOOKUP($E2065,'NI-Soc_SP'!$C:$AN,MID(AM$1,1,2),FALSE)</f>
        <v>0</v>
      </c>
      <c r="AN2065" s="30" t="str">
        <f t="shared" si="32"/>
        <v>70501010020000</v>
      </c>
    </row>
    <row r="2066" spans="3:40" x14ac:dyDescent="0.25">
      <c r="C2066" s="40"/>
      <c r="D2066" s="121" t="s">
        <v>2368</v>
      </c>
      <c r="E2066" s="121" t="s">
        <v>2369</v>
      </c>
      <c r="F2066" s="122" t="s">
        <v>2758</v>
      </c>
      <c r="G2066" s="96" t="s">
        <v>1608</v>
      </c>
      <c r="H2066" s="52"/>
      <c r="I2066" s="52"/>
      <c r="J2066" s="52"/>
      <c r="K2066" s="59" t="s">
        <v>1358</v>
      </c>
      <c r="L2066" s="52"/>
      <c r="M2066" s="52"/>
      <c r="N2066" s="52"/>
      <c r="O2066" s="61" t="s">
        <v>2363</v>
      </c>
      <c r="P2066" s="63" t="s">
        <v>2370</v>
      </c>
      <c r="Q2066" s="55">
        <f>VLOOKUP(E2066,'NI-Soc_SP'!$C:$AN,12,FALSE)</f>
        <v>0</v>
      </c>
      <c r="R2066" s="55">
        <f>VLOOKUP(E2066,'NI-Soc_SP'!$C:$AN,13,FALSE)</f>
        <v>0</v>
      </c>
      <c r="S2066" s="55">
        <f>VLOOKUP(E2066,'NI-Soc_SP'!$C:$AN,30,FALSE)</f>
        <v>0</v>
      </c>
      <c r="T2066" s="94">
        <f>VLOOKUP(E2066,'NI-Soc_SP'!$C:$AN,31,FALSE)+VLOOKUP(E2066,'NI-Soc_SP'!$C:$AN,32,FALSE)</f>
        <v>0</v>
      </c>
      <c r="U2066" s="55">
        <f>VLOOKUP($E2066,'NI-Soc_SP'!$C:$AN,MID(U$1,1,2),FALSE)</f>
        <v>0</v>
      </c>
      <c r="V2066" s="55">
        <f>VLOOKUP($E2066,'NI-Soc_SP'!$C:$AN,MID(V$1,1,2),FALSE)</f>
        <v>0</v>
      </c>
      <c r="W2066" s="55">
        <f>VLOOKUP($E2066,'NI-Soc_SP'!$C:$AN,MID(W$1,1,2),FALSE)</f>
        <v>0</v>
      </c>
      <c r="X2066" s="55">
        <f>VLOOKUP($E2066,'NI-Soc_SP'!$C:$AN,MID(X$1,1,2),FALSE)</f>
        <v>0</v>
      </c>
      <c r="Y2066" s="55">
        <f>VLOOKUP($E2066,'NI-Soc_SP'!$C:$AN,MID(Y$1,1,2),FALSE)</f>
        <v>0</v>
      </c>
      <c r="Z2066" s="55">
        <f>VLOOKUP($E2066,'NI-Soc_SP'!$C:$AN,MID(Z$1,1,2),FALSE)</f>
        <v>0</v>
      </c>
      <c r="AA2066" s="55">
        <f>VLOOKUP($E2066,'NI-Soc_SP'!$C:$AN,MID(AA$1,1,2),FALSE)</f>
        <v>0</v>
      </c>
      <c r="AB2066" s="55">
        <f>VLOOKUP($E2066,'NI-Soc_SP'!$C:$AN,MID(AB$1,1,2),FALSE)</f>
        <v>0</v>
      </c>
      <c r="AC2066" s="55">
        <f>VLOOKUP($E2066,'NI-Soc_SP'!$C:$AN,MID(AC$1,1,2),FALSE)</f>
        <v>0</v>
      </c>
      <c r="AD2066" s="55">
        <f>VLOOKUP($E2066,'NI-Soc_SP'!$C:$AN,MID(AD$1,1,2),FALSE)</f>
        <v>0</v>
      </c>
      <c r="AE2066" s="55">
        <f>VLOOKUP($E2066,'NI-Soc_SP'!$C:$AN,MID(AE$1,1,2),FALSE)</f>
        <v>0</v>
      </c>
      <c r="AF2066" s="55">
        <f>VLOOKUP($E2066,'NI-Soc_SP'!$C:$AN,MID(AF$1,1,2),FALSE)</f>
        <v>0</v>
      </c>
      <c r="AG2066" s="55">
        <f>VLOOKUP($E2066,'NI-Soc_SP'!$C:$AN,MID(AG$1,1,2),FALSE)</f>
        <v>0</v>
      </c>
      <c r="AH2066" s="55">
        <f>VLOOKUP($E2066,'NI-Soc_SP'!$C:$AN,MID(AH$1,1,2),FALSE)</f>
        <v>0</v>
      </c>
      <c r="AI2066" s="55">
        <f>VLOOKUP($E2066,'NI-Soc_SP'!$C:$AN,MID(AI$1,1,2),FALSE)</f>
        <v>0</v>
      </c>
      <c r="AJ2066" s="55">
        <f>VLOOKUP($E2066,'NI-Soc_SP'!$C:$AN,MID(AJ$1,1,2),FALSE)</f>
        <v>0</v>
      </c>
      <c r="AK2066" s="55">
        <f>VLOOKUP($E2066,'NI-Soc_SP'!$C:$AN,MID(AK$1,1,2),FALSE)</f>
        <v>0</v>
      </c>
      <c r="AL2066" s="55">
        <f>VLOOKUP($E2066,'NI-Soc_SP'!$C:$AN,MID(AL$1,1,2),FALSE)</f>
        <v>0</v>
      </c>
      <c r="AM2066" s="56">
        <f>VLOOKUP($E2066,'NI-Soc_SP'!$C:$AN,MID(AM$1,1,2),FALSE)</f>
        <v>0</v>
      </c>
      <c r="AN2066" s="30" t="str">
        <f t="shared" si="32"/>
        <v>70501010030000</v>
      </c>
    </row>
    <row r="2067" spans="3:40" x14ac:dyDescent="0.25">
      <c r="C2067" s="40"/>
      <c r="D2067" s="121" t="s">
        <v>2371</v>
      </c>
      <c r="E2067" s="121" t="s">
        <v>2372</v>
      </c>
      <c r="F2067" s="122" t="s">
        <v>2758</v>
      </c>
      <c r="G2067" s="96" t="s">
        <v>1608</v>
      </c>
      <c r="H2067" s="52"/>
      <c r="I2067" s="52"/>
      <c r="J2067" s="52"/>
      <c r="K2067" s="59" t="s">
        <v>1358</v>
      </c>
      <c r="L2067" s="52"/>
      <c r="M2067" s="52"/>
      <c r="N2067" s="52"/>
      <c r="O2067" s="61" t="s">
        <v>2363</v>
      </c>
      <c r="P2067" s="63" t="s">
        <v>2373</v>
      </c>
      <c r="Q2067" s="55">
        <f>VLOOKUP(E2067,'NI-Soc_SP'!$C:$AN,12,FALSE)</f>
        <v>0</v>
      </c>
      <c r="R2067" s="55">
        <f>VLOOKUP(E2067,'NI-Soc_SP'!$C:$AN,13,FALSE)</f>
        <v>0</v>
      </c>
      <c r="S2067" s="55">
        <f>VLOOKUP(E2067,'NI-Soc_SP'!$C:$AN,30,FALSE)</f>
        <v>0</v>
      </c>
      <c r="T2067" s="94">
        <f>VLOOKUP(E2067,'NI-Soc_SP'!$C:$AN,31,FALSE)+VLOOKUP(E2067,'NI-Soc_SP'!$C:$AN,32,FALSE)</f>
        <v>0</v>
      </c>
      <c r="U2067" s="55">
        <f>VLOOKUP($E2067,'NI-Soc_SP'!$C:$AN,MID(U$1,1,2),FALSE)</f>
        <v>0</v>
      </c>
      <c r="V2067" s="55">
        <f>VLOOKUP($E2067,'NI-Soc_SP'!$C:$AN,MID(V$1,1,2),FALSE)</f>
        <v>0</v>
      </c>
      <c r="W2067" s="55">
        <f>VLOOKUP($E2067,'NI-Soc_SP'!$C:$AN,MID(W$1,1,2),FALSE)</f>
        <v>0</v>
      </c>
      <c r="X2067" s="55">
        <f>VLOOKUP($E2067,'NI-Soc_SP'!$C:$AN,MID(X$1,1,2),FALSE)</f>
        <v>0</v>
      </c>
      <c r="Y2067" s="55">
        <f>VLOOKUP($E2067,'NI-Soc_SP'!$C:$AN,MID(Y$1,1,2),FALSE)</f>
        <v>0</v>
      </c>
      <c r="Z2067" s="55">
        <f>VLOOKUP($E2067,'NI-Soc_SP'!$C:$AN,MID(Z$1,1,2),FALSE)</f>
        <v>0</v>
      </c>
      <c r="AA2067" s="55">
        <f>VLOOKUP($E2067,'NI-Soc_SP'!$C:$AN,MID(AA$1,1,2),FALSE)</f>
        <v>0</v>
      </c>
      <c r="AB2067" s="55">
        <f>VLOOKUP($E2067,'NI-Soc_SP'!$C:$AN,MID(AB$1,1,2),FALSE)</f>
        <v>0</v>
      </c>
      <c r="AC2067" s="55">
        <f>VLOOKUP($E2067,'NI-Soc_SP'!$C:$AN,MID(AC$1,1,2),FALSE)</f>
        <v>0</v>
      </c>
      <c r="AD2067" s="55">
        <f>VLOOKUP($E2067,'NI-Soc_SP'!$C:$AN,MID(AD$1,1,2),FALSE)</f>
        <v>0</v>
      </c>
      <c r="AE2067" s="55">
        <f>VLOOKUP($E2067,'NI-Soc_SP'!$C:$AN,MID(AE$1,1,2),FALSE)</f>
        <v>0</v>
      </c>
      <c r="AF2067" s="55">
        <f>VLOOKUP($E2067,'NI-Soc_SP'!$C:$AN,MID(AF$1,1,2),FALSE)</f>
        <v>0</v>
      </c>
      <c r="AG2067" s="55">
        <f>VLOOKUP($E2067,'NI-Soc_SP'!$C:$AN,MID(AG$1,1,2),FALSE)</f>
        <v>0</v>
      </c>
      <c r="AH2067" s="55">
        <f>VLOOKUP($E2067,'NI-Soc_SP'!$C:$AN,MID(AH$1,1,2),FALSE)</f>
        <v>0</v>
      </c>
      <c r="AI2067" s="55">
        <f>VLOOKUP($E2067,'NI-Soc_SP'!$C:$AN,MID(AI$1,1,2),FALSE)</f>
        <v>0</v>
      </c>
      <c r="AJ2067" s="55">
        <f>VLOOKUP($E2067,'NI-Soc_SP'!$C:$AN,MID(AJ$1,1,2),FALSE)</f>
        <v>0</v>
      </c>
      <c r="AK2067" s="55">
        <f>VLOOKUP($E2067,'NI-Soc_SP'!$C:$AN,MID(AK$1,1,2),FALSE)</f>
        <v>0</v>
      </c>
      <c r="AL2067" s="55">
        <f>VLOOKUP($E2067,'NI-Soc_SP'!$C:$AN,MID(AL$1,1,2),FALSE)</f>
        <v>0</v>
      </c>
      <c r="AM2067" s="56">
        <f>VLOOKUP($E2067,'NI-Soc_SP'!$C:$AN,MID(AM$1,1,2),FALSE)</f>
        <v>0</v>
      </c>
      <c r="AN2067" s="30" t="str">
        <f t="shared" si="32"/>
        <v>70501010040000</v>
      </c>
    </row>
    <row r="2068" spans="3:40" x14ac:dyDescent="0.25">
      <c r="C2068" s="40"/>
      <c r="D2068" s="121" t="s">
        <v>2374</v>
      </c>
      <c r="E2068" s="121" t="s">
        <v>2375</v>
      </c>
      <c r="F2068" s="122" t="s">
        <v>2758</v>
      </c>
      <c r="G2068" s="96" t="s">
        <v>1608</v>
      </c>
      <c r="H2068" s="52"/>
      <c r="I2068" s="52"/>
      <c r="J2068" s="52"/>
      <c r="K2068" s="59" t="s">
        <v>1358</v>
      </c>
      <c r="L2068" s="52"/>
      <c r="M2068" s="52"/>
      <c r="N2068" s="52"/>
      <c r="O2068" s="61" t="s">
        <v>2363</v>
      </c>
      <c r="P2068" s="104" t="s">
        <v>2376</v>
      </c>
      <c r="Q2068" s="55">
        <f>VLOOKUP(E2068,'NI-Soc_SP'!$C:$AN,12,FALSE)</f>
        <v>0</v>
      </c>
      <c r="R2068" s="55">
        <f>VLOOKUP(E2068,'NI-Soc_SP'!$C:$AN,13,FALSE)</f>
        <v>0</v>
      </c>
      <c r="S2068" s="55">
        <f>VLOOKUP(E2068,'NI-Soc_SP'!$C:$AN,30,FALSE)</f>
        <v>0</v>
      </c>
      <c r="T2068" s="94">
        <f>VLOOKUP(E2068,'NI-Soc_SP'!$C:$AN,31,FALSE)+VLOOKUP(E2068,'NI-Soc_SP'!$C:$AN,32,FALSE)</f>
        <v>0</v>
      </c>
      <c r="U2068" s="55">
        <f>VLOOKUP($E2068,'NI-Soc_SP'!$C:$AN,MID(U$1,1,2),FALSE)</f>
        <v>0</v>
      </c>
      <c r="V2068" s="55">
        <f>VLOOKUP($E2068,'NI-Soc_SP'!$C:$AN,MID(V$1,1,2),FALSE)</f>
        <v>0</v>
      </c>
      <c r="W2068" s="55">
        <f>VLOOKUP($E2068,'NI-Soc_SP'!$C:$AN,MID(W$1,1,2),FALSE)</f>
        <v>0</v>
      </c>
      <c r="X2068" s="55">
        <f>VLOOKUP($E2068,'NI-Soc_SP'!$C:$AN,MID(X$1,1,2),FALSE)</f>
        <v>0</v>
      </c>
      <c r="Y2068" s="55">
        <f>VLOOKUP($E2068,'NI-Soc_SP'!$C:$AN,MID(Y$1,1,2),FALSE)</f>
        <v>0</v>
      </c>
      <c r="Z2068" s="55">
        <f>VLOOKUP($E2068,'NI-Soc_SP'!$C:$AN,MID(Z$1,1,2),FALSE)</f>
        <v>0</v>
      </c>
      <c r="AA2068" s="55">
        <f>VLOOKUP($E2068,'NI-Soc_SP'!$C:$AN,MID(AA$1,1,2),FALSE)</f>
        <v>0</v>
      </c>
      <c r="AB2068" s="55">
        <f>VLOOKUP($E2068,'NI-Soc_SP'!$C:$AN,MID(AB$1,1,2),FALSE)</f>
        <v>0</v>
      </c>
      <c r="AC2068" s="55">
        <f>VLOOKUP($E2068,'NI-Soc_SP'!$C:$AN,MID(AC$1,1,2),FALSE)</f>
        <v>0</v>
      </c>
      <c r="AD2068" s="55">
        <f>VLOOKUP($E2068,'NI-Soc_SP'!$C:$AN,MID(AD$1,1,2),FALSE)</f>
        <v>0</v>
      </c>
      <c r="AE2068" s="55">
        <f>VLOOKUP($E2068,'NI-Soc_SP'!$C:$AN,MID(AE$1,1,2),FALSE)</f>
        <v>0</v>
      </c>
      <c r="AF2068" s="55">
        <f>VLOOKUP($E2068,'NI-Soc_SP'!$C:$AN,MID(AF$1,1,2),FALSE)</f>
        <v>0</v>
      </c>
      <c r="AG2068" s="55">
        <f>VLOOKUP($E2068,'NI-Soc_SP'!$C:$AN,MID(AG$1,1,2),FALSE)</f>
        <v>0</v>
      </c>
      <c r="AH2068" s="55">
        <f>VLOOKUP($E2068,'NI-Soc_SP'!$C:$AN,MID(AH$1,1,2),FALSE)</f>
        <v>0</v>
      </c>
      <c r="AI2068" s="55">
        <f>VLOOKUP($E2068,'NI-Soc_SP'!$C:$AN,MID(AI$1,1,2),FALSE)</f>
        <v>0</v>
      </c>
      <c r="AJ2068" s="55">
        <f>VLOOKUP($E2068,'NI-Soc_SP'!$C:$AN,MID(AJ$1,1,2),FALSE)</f>
        <v>0</v>
      </c>
      <c r="AK2068" s="55">
        <f>VLOOKUP($E2068,'NI-Soc_SP'!$C:$AN,MID(AK$1,1,2),FALSE)</f>
        <v>0</v>
      </c>
      <c r="AL2068" s="55">
        <f>VLOOKUP($E2068,'NI-Soc_SP'!$C:$AN,MID(AL$1,1,2),FALSE)</f>
        <v>0</v>
      </c>
      <c r="AM2068" s="56">
        <f>VLOOKUP($E2068,'NI-Soc_SP'!$C:$AN,MID(AM$1,1,2),FALSE)</f>
        <v>0</v>
      </c>
      <c r="AN2068" s="30" t="str">
        <f t="shared" si="32"/>
        <v>70501010050000</v>
      </c>
    </row>
    <row r="2069" spans="3:40" ht="27" x14ac:dyDescent="0.25">
      <c r="C2069" s="40"/>
      <c r="D2069" s="121" t="s">
        <v>2380</v>
      </c>
      <c r="E2069" s="121" t="s">
        <v>2381</v>
      </c>
      <c r="F2069" s="122" t="s">
        <v>2758</v>
      </c>
      <c r="G2069" s="96" t="s">
        <v>1608</v>
      </c>
      <c r="H2069" s="52"/>
      <c r="I2069" s="52" t="s">
        <v>2382</v>
      </c>
      <c r="J2069" s="52"/>
      <c r="K2069" s="59" t="s">
        <v>1358</v>
      </c>
      <c r="L2069" s="52"/>
      <c r="M2069" s="52"/>
      <c r="N2069" s="52"/>
      <c r="O2069" s="61" t="s">
        <v>2383</v>
      </c>
      <c r="P2069" s="104" t="s">
        <v>2384</v>
      </c>
      <c r="Q2069" s="55">
        <f>VLOOKUP(E2069,'NI-Soc_SP'!$C:$AN,12,FALSE)</f>
        <v>0</v>
      </c>
      <c r="R2069" s="55">
        <f>VLOOKUP(E2069,'NI-Soc_SP'!$C:$AN,13,FALSE)</f>
        <v>0</v>
      </c>
      <c r="S2069" s="55">
        <f>VLOOKUP(E2069,'NI-Soc_SP'!$C:$AN,30,FALSE)</f>
        <v>0</v>
      </c>
      <c r="T2069" s="94">
        <f>VLOOKUP(E2069,'NI-Soc_SP'!$C:$AN,31,FALSE)+VLOOKUP(E2069,'NI-Soc_SP'!$C:$AN,32,FALSE)</f>
        <v>0</v>
      </c>
      <c r="U2069" s="55">
        <f>VLOOKUP($E2069,'NI-Soc_SP'!$C:$AN,MID(U$1,1,2),FALSE)</f>
        <v>0</v>
      </c>
      <c r="V2069" s="55">
        <f>VLOOKUP($E2069,'NI-Soc_SP'!$C:$AN,MID(V$1,1,2),FALSE)</f>
        <v>0</v>
      </c>
      <c r="W2069" s="55">
        <f>VLOOKUP($E2069,'NI-Soc_SP'!$C:$AN,MID(W$1,1,2),FALSE)</f>
        <v>0</v>
      </c>
      <c r="X2069" s="55">
        <f>VLOOKUP($E2069,'NI-Soc_SP'!$C:$AN,MID(X$1,1,2),FALSE)</f>
        <v>0</v>
      </c>
      <c r="Y2069" s="55">
        <f>VLOOKUP($E2069,'NI-Soc_SP'!$C:$AN,MID(Y$1,1,2),FALSE)</f>
        <v>0</v>
      </c>
      <c r="Z2069" s="55">
        <f>VLOOKUP($E2069,'NI-Soc_SP'!$C:$AN,MID(Z$1,1,2),FALSE)</f>
        <v>0</v>
      </c>
      <c r="AA2069" s="55">
        <f>VLOOKUP($E2069,'NI-Soc_SP'!$C:$AN,MID(AA$1,1,2),FALSE)</f>
        <v>0</v>
      </c>
      <c r="AB2069" s="55">
        <f>VLOOKUP($E2069,'NI-Soc_SP'!$C:$AN,MID(AB$1,1,2),FALSE)</f>
        <v>0</v>
      </c>
      <c r="AC2069" s="55">
        <f>VLOOKUP($E2069,'NI-Soc_SP'!$C:$AN,MID(AC$1,1,2),FALSE)</f>
        <v>0</v>
      </c>
      <c r="AD2069" s="55">
        <f>VLOOKUP($E2069,'NI-Soc_SP'!$C:$AN,MID(AD$1,1,2),FALSE)</f>
        <v>0</v>
      </c>
      <c r="AE2069" s="55">
        <f>VLOOKUP($E2069,'NI-Soc_SP'!$C:$AN,MID(AE$1,1,2),FALSE)</f>
        <v>0</v>
      </c>
      <c r="AF2069" s="55">
        <f>VLOOKUP($E2069,'NI-Soc_SP'!$C:$AN,MID(AF$1,1,2),FALSE)</f>
        <v>0</v>
      </c>
      <c r="AG2069" s="55">
        <f>VLOOKUP($E2069,'NI-Soc_SP'!$C:$AN,MID(AG$1,1,2),FALSE)</f>
        <v>0</v>
      </c>
      <c r="AH2069" s="55">
        <f>VLOOKUP($E2069,'NI-Soc_SP'!$C:$AN,MID(AH$1,1,2),FALSE)</f>
        <v>0</v>
      </c>
      <c r="AI2069" s="55">
        <f>VLOOKUP($E2069,'NI-Soc_SP'!$C:$AN,MID(AI$1,1,2),FALSE)</f>
        <v>0</v>
      </c>
      <c r="AJ2069" s="55">
        <f>VLOOKUP($E2069,'NI-Soc_SP'!$C:$AN,MID(AJ$1,1,2),FALSE)</f>
        <v>0</v>
      </c>
      <c r="AK2069" s="55">
        <f>VLOOKUP($E2069,'NI-Soc_SP'!$C:$AN,MID(AK$1,1,2),FALSE)</f>
        <v>0</v>
      </c>
      <c r="AL2069" s="55">
        <f>VLOOKUP($E2069,'NI-Soc_SP'!$C:$AN,MID(AL$1,1,2),FALSE)</f>
        <v>0</v>
      </c>
      <c r="AM2069" s="56">
        <f>VLOOKUP($E2069,'NI-Soc_SP'!$C:$AN,MID(AM$1,1,2),FALSE)</f>
        <v>0</v>
      </c>
      <c r="AN2069" s="30" t="str">
        <f t="shared" si="32"/>
        <v>70501020000000</v>
      </c>
    </row>
    <row r="2070" spans="3:40" ht="27" x14ac:dyDescent="0.25">
      <c r="C2070" s="40"/>
      <c r="D2070" s="121" t="s">
        <v>2385</v>
      </c>
      <c r="E2070" s="121" t="s">
        <v>2386</v>
      </c>
      <c r="F2070" s="122" t="s">
        <v>2758</v>
      </c>
      <c r="G2070" s="52" t="s">
        <v>1608</v>
      </c>
      <c r="H2070" s="52"/>
      <c r="I2070" s="52" t="s">
        <v>2387</v>
      </c>
      <c r="J2070" s="52"/>
      <c r="K2070" s="59" t="s">
        <v>1358</v>
      </c>
      <c r="L2070" s="62"/>
      <c r="M2070" s="52"/>
      <c r="N2070" s="52"/>
      <c r="O2070" s="61" t="s">
        <v>2388</v>
      </c>
      <c r="P2070" s="60" t="s">
        <v>2389</v>
      </c>
      <c r="Q2070" s="55">
        <f>VLOOKUP(E2070,'NI-Soc_SP'!$C:$AN,12,FALSE)</f>
        <v>0</v>
      </c>
      <c r="R2070" s="55">
        <f>VLOOKUP(E2070,'NI-Soc_SP'!$C:$AN,13,FALSE)</f>
        <v>0</v>
      </c>
      <c r="S2070" s="55">
        <f>VLOOKUP(E2070,'NI-Soc_SP'!$C:$AN,30,FALSE)</f>
        <v>0</v>
      </c>
      <c r="T2070" s="94">
        <f>VLOOKUP(E2070,'NI-Soc_SP'!$C:$AN,31,FALSE)+VLOOKUP(E2070,'NI-Soc_SP'!$C:$AN,32,FALSE)</f>
        <v>0</v>
      </c>
      <c r="U2070" s="55">
        <f>VLOOKUP($E2070,'NI-Soc_SP'!$C:$AN,MID(U$1,1,2),FALSE)</f>
        <v>0</v>
      </c>
      <c r="V2070" s="55">
        <f>VLOOKUP($E2070,'NI-Soc_SP'!$C:$AN,MID(V$1,1,2),FALSE)</f>
        <v>0</v>
      </c>
      <c r="W2070" s="55">
        <f>VLOOKUP($E2070,'NI-Soc_SP'!$C:$AN,MID(W$1,1,2),FALSE)</f>
        <v>0</v>
      </c>
      <c r="X2070" s="55">
        <f>VLOOKUP($E2070,'NI-Soc_SP'!$C:$AN,MID(X$1,1,2),FALSE)</f>
        <v>0</v>
      </c>
      <c r="Y2070" s="55">
        <f>VLOOKUP($E2070,'NI-Soc_SP'!$C:$AN,MID(Y$1,1,2),FALSE)</f>
        <v>0</v>
      </c>
      <c r="Z2070" s="55">
        <f>VLOOKUP($E2070,'NI-Soc_SP'!$C:$AN,MID(Z$1,1,2),FALSE)</f>
        <v>0</v>
      </c>
      <c r="AA2070" s="55">
        <f>VLOOKUP($E2070,'NI-Soc_SP'!$C:$AN,MID(AA$1,1,2),FALSE)</f>
        <v>0</v>
      </c>
      <c r="AB2070" s="55">
        <f>VLOOKUP($E2070,'NI-Soc_SP'!$C:$AN,MID(AB$1,1,2),FALSE)</f>
        <v>0</v>
      </c>
      <c r="AC2070" s="55">
        <f>VLOOKUP($E2070,'NI-Soc_SP'!$C:$AN,MID(AC$1,1,2),FALSE)</f>
        <v>0</v>
      </c>
      <c r="AD2070" s="55">
        <f>VLOOKUP($E2070,'NI-Soc_SP'!$C:$AN,MID(AD$1,1,2),FALSE)</f>
        <v>0</v>
      </c>
      <c r="AE2070" s="55">
        <f>VLOOKUP($E2070,'NI-Soc_SP'!$C:$AN,MID(AE$1,1,2),FALSE)</f>
        <v>0</v>
      </c>
      <c r="AF2070" s="55">
        <f>VLOOKUP($E2070,'NI-Soc_SP'!$C:$AN,MID(AF$1,1,2),FALSE)</f>
        <v>0</v>
      </c>
      <c r="AG2070" s="55">
        <f>VLOOKUP($E2070,'NI-Soc_SP'!$C:$AN,MID(AG$1,1,2),FALSE)</f>
        <v>0</v>
      </c>
      <c r="AH2070" s="55">
        <f>VLOOKUP($E2070,'NI-Soc_SP'!$C:$AN,MID(AH$1,1,2),FALSE)</f>
        <v>0</v>
      </c>
      <c r="AI2070" s="55">
        <f>VLOOKUP($E2070,'NI-Soc_SP'!$C:$AN,MID(AI$1,1,2),FALSE)</f>
        <v>0</v>
      </c>
      <c r="AJ2070" s="55">
        <f>VLOOKUP($E2070,'NI-Soc_SP'!$C:$AN,MID(AJ$1,1,2),FALSE)</f>
        <v>0</v>
      </c>
      <c r="AK2070" s="55">
        <f>VLOOKUP($E2070,'NI-Soc_SP'!$C:$AN,MID(AK$1,1,2),FALSE)</f>
        <v>0</v>
      </c>
      <c r="AL2070" s="55">
        <f>VLOOKUP($E2070,'NI-Soc_SP'!$C:$AN,MID(AL$1,1,2),FALSE)</f>
        <v>0</v>
      </c>
      <c r="AM2070" s="56">
        <f>VLOOKUP($E2070,'NI-Soc_SP'!$C:$AN,MID(AM$1,1,2),FALSE)</f>
        <v>0</v>
      </c>
      <c r="AN2070" s="30" t="str">
        <f t="shared" si="32"/>
        <v>70501030000000</v>
      </c>
    </row>
    <row r="2071" spans="3:40" x14ac:dyDescent="0.25">
      <c r="C2071" s="40"/>
      <c r="D2071" s="121" t="s">
        <v>2390</v>
      </c>
      <c r="E2071" s="121" t="s">
        <v>2391</v>
      </c>
      <c r="F2071" s="122" t="s">
        <v>2758</v>
      </c>
      <c r="G2071" s="52" t="s">
        <v>1608</v>
      </c>
      <c r="H2071" s="52"/>
      <c r="I2071" s="52" t="s">
        <v>2392</v>
      </c>
      <c r="J2071" s="52"/>
      <c r="K2071" s="59" t="s">
        <v>111</v>
      </c>
      <c r="L2071" s="52"/>
      <c r="M2071" s="52"/>
      <c r="N2071" s="52"/>
      <c r="O2071" s="61" t="s">
        <v>2363</v>
      </c>
      <c r="P2071" s="63" t="s">
        <v>2393</v>
      </c>
      <c r="Q2071" s="55">
        <f>VLOOKUP(E2071,'NI-Soc_SP'!$C:$AN,12,FALSE)</f>
        <v>0</v>
      </c>
      <c r="R2071" s="55">
        <f>VLOOKUP(E2071,'NI-Soc_SP'!$C:$AN,13,FALSE)</f>
        <v>0</v>
      </c>
      <c r="S2071" s="55">
        <f>VLOOKUP(E2071,'NI-Soc_SP'!$C:$AN,30,FALSE)</f>
        <v>0</v>
      </c>
      <c r="T2071" s="94">
        <f>VLOOKUP(E2071,'NI-Soc_SP'!$C:$AN,31,FALSE)+VLOOKUP(E2071,'NI-Soc_SP'!$C:$AN,32,FALSE)</f>
        <v>0</v>
      </c>
      <c r="U2071" s="55">
        <f>VLOOKUP($E2071,'NI-Soc_SP'!$C:$AN,MID(U$1,1,2),FALSE)</f>
        <v>0</v>
      </c>
      <c r="V2071" s="55">
        <f>VLOOKUP($E2071,'NI-Soc_SP'!$C:$AN,MID(V$1,1,2),FALSE)</f>
        <v>0</v>
      </c>
      <c r="W2071" s="55">
        <f>VLOOKUP($E2071,'NI-Soc_SP'!$C:$AN,MID(W$1,1,2),FALSE)</f>
        <v>0</v>
      </c>
      <c r="X2071" s="55">
        <f>VLOOKUP($E2071,'NI-Soc_SP'!$C:$AN,MID(X$1,1,2),FALSE)</f>
        <v>0</v>
      </c>
      <c r="Y2071" s="55">
        <f>VLOOKUP($E2071,'NI-Soc_SP'!$C:$AN,MID(Y$1,1,2),FALSE)</f>
        <v>0</v>
      </c>
      <c r="Z2071" s="55">
        <f>VLOOKUP($E2071,'NI-Soc_SP'!$C:$AN,MID(Z$1,1,2),FALSE)</f>
        <v>0</v>
      </c>
      <c r="AA2071" s="55">
        <f>VLOOKUP($E2071,'NI-Soc_SP'!$C:$AN,MID(AA$1,1,2),FALSE)</f>
        <v>0</v>
      </c>
      <c r="AB2071" s="55">
        <f>VLOOKUP($E2071,'NI-Soc_SP'!$C:$AN,MID(AB$1,1,2),FALSE)</f>
        <v>0</v>
      </c>
      <c r="AC2071" s="55">
        <f>VLOOKUP($E2071,'NI-Soc_SP'!$C:$AN,MID(AC$1,1,2),FALSE)</f>
        <v>0</v>
      </c>
      <c r="AD2071" s="55">
        <f>VLOOKUP($E2071,'NI-Soc_SP'!$C:$AN,MID(AD$1,1,2),FALSE)</f>
        <v>0</v>
      </c>
      <c r="AE2071" s="55">
        <f>VLOOKUP($E2071,'NI-Soc_SP'!$C:$AN,MID(AE$1,1,2),FALSE)</f>
        <v>0</v>
      </c>
      <c r="AF2071" s="55">
        <f>VLOOKUP($E2071,'NI-Soc_SP'!$C:$AN,MID(AF$1,1,2),FALSE)</f>
        <v>0</v>
      </c>
      <c r="AG2071" s="55">
        <f>VLOOKUP($E2071,'NI-Soc_SP'!$C:$AN,MID(AG$1,1,2),FALSE)</f>
        <v>0</v>
      </c>
      <c r="AH2071" s="55">
        <f>VLOOKUP($E2071,'NI-Soc_SP'!$C:$AN,MID(AH$1,1,2),FALSE)</f>
        <v>0</v>
      </c>
      <c r="AI2071" s="55">
        <f>VLOOKUP($E2071,'NI-Soc_SP'!$C:$AN,MID(AI$1,1,2),FALSE)</f>
        <v>0</v>
      </c>
      <c r="AJ2071" s="55">
        <f>VLOOKUP($E2071,'NI-Soc_SP'!$C:$AN,MID(AJ$1,1,2),FALSE)</f>
        <v>0</v>
      </c>
      <c r="AK2071" s="55">
        <f>VLOOKUP($E2071,'NI-Soc_SP'!$C:$AN,MID(AK$1,1,2),FALSE)</f>
        <v>0</v>
      </c>
      <c r="AL2071" s="55">
        <f>VLOOKUP($E2071,'NI-Soc_SP'!$C:$AN,MID(AL$1,1,2),FALSE)</f>
        <v>0</v>
      </c>
      <c r="AM2071" s="56">
        <f>VLOOKUP($E2071,'NI-Soc_SP'!$C:$AN,MID(AM$1,1,2),FALSE)</f>
        <v>0</v>
      </c>
      <c r="AN2071" s="30" t="str">
        <f t="shared" si="32"/>
        <v>70501040000000</v>
      </c>
    </row>
    <row r="2072" spans="3:40" x14ac:dyDescent="0.25">
      <c r="C2072" s="40"/>
      <c r="D2072" s="121" t="s">
        <v>2394</v>
      </c>
      <c r="E2072" s="121" t="s">
        <v>2395</v>
      </c>
      <c r="F2072" s="122" t="s">
        <v>2758</v>
      </c>
      <c r="G2072" s="52" t="s">
        <v>2396</v>
      </c>
      <c r="H2072" s="52"/>
      <c r="I2072" s="52"/>
      <c r="J2072" s="52"/>
      <c r="K2072" s="59" t="s">
        <v>79</v>
      </c>
      <c r="L2072" s="52"/>
      <c r="M2072" s="52"/>
      <c r="N2072" s="52"/>
      <c r="O2072" s="52"/>
      <c r="P2072" s="119" t="s">
        <v>2397</v>
      </c>
      <c r="Q2072" s="55">
        <f>VLOOKUP(E2072,'NI-Soc_SP'!$C:$AN,12,FALSE)</f>
        <v>0</v>
      </c>
      <c r="R2072" s="55">
        <f>VLOOKUP(E2072,'NI-Soc_SP'!$C:$AN,13,FALSE)</f>
        <v>0</v>
      </c>
      <c r="S2072" s="55">
        <f>VLOOKUP(E2072,'NI-Soc_SP'!$C:$AN,30,FALSE)</f>
        <v>0</v>
      </c>
      <c r="T2072" s="94">
        <f>VLOOKUP(E2072,'NI-Soc_SP'!$C:$AN,31,FALSE)+VLOOKUP(E2072,'NI-Soc_SP'!$C:$AN,32,FALSE)</f>
        <v>0</v>
      </c>
      <c r="U2072" s="55">
        <f>VLOOKUP($E2072,'NI-Soc_SP'!$C:$AN,MID(U$1,1,2),FALSE)</f>
        <v>0</v>
      </c>
      <c r="V2072" s="55">
        <f>VLOOKUP($E2072,'NI-Soc_SP'!$C:$AN,MID(V$1,1,2),FALSE)</f>
        <v>0</v>
      </c>
      <c r="W2072" s="55">
        <f>VLOOKUP($E2072,'NI-Soc_SP'!$C:$AN,MID(W$1,1,2),FALSE)</f>
        <v>0</v>
      </c>
      <c r="X2072" s="55">
        <f>VLOOKUP($E2072,'NI-Soc_SP'!$C:$AN,MID(X$1,1,2),FALSE)</f>
        <v>0</v>
      </c>
      <c r="Y2072" s="55">
        <f>VLOOKUP($E2072,'NI-Soc_SP'!$C:$AN,MID(Y$1,1,2),FALSE)</f>
        <v>0</v>
      </c>
      <c r="Z2072" s="55">
        <f>VLOOKUP($E2072,'NI-Soc_SP'!$C:$AN,MID(Z$1,1,2),FALSE)</f>
        <v>0</v>
      </c>
      <c r="AA2072" s="55">
        <f>VLOOKUP($E2072,'NI-Soc_SP'!$C:$AN,MID(AA$1,1,2),FALSE)</f>
        <v>0</v>
      </c>
      <c r="AB2072" s="55">
        <f>VLOOKUP($E2072,'NI-Soc_SP'!$C:$AN,MID(AB$1,1,2),FALSE)</f>
        <v>0</v>
      </c>
      <c r="AC2072" s="55">
        <f>VLOOKUP($E2072,'NI-Soc_SP'!$C:$AN,MID(AC$1,1,2),FALSE)</f>
        <v>0</v>
      </c>
      <c r="AD2072" s="55">
        <f>VLOOKUP($E2072,'NI-Soc_SP'!$C:$AN,MID(AD$1,1,2),FALSE)</f>
        <v>0</v>
      </c>
      <c r="AE2072" s="55">
        <f>VLOOKUP($E2072,'NI-Soc_SP'!$C:$AN,MID(AE$1,1,2),FALSE)</f>
        <v>0</v>
      </c>
      <c r="AF2072" s="55">
        <f>VLOOKUP($E2072,'NI-Soc_SP'!$C:$AN,MID(AF$1,1,2),FALSE)</f>
        <v>0</v>
      </c>
      <c r="AG2072" s="55">
        <f>VLOOKUP($E2072,'NI-Soc_SP'!$C:$AN,MID(AG$1,1,2),FALSE)</f>
        <v>0</v>
      </c>
      <c r="AH2072" s="55">
        <f>VLOOKUP($E2072,'NI-Soc_SP'!$C:$AN,MID(AH$1,1,2),FALSE)</f>
        <v>0</v>
      </c>
      <c r="AI2072" s="55">
        <f>VLOOKUP($E2072,'NI-Soc_SP'!$C:$AN,MID(AI$1,1,2),FALSE)</f>
        <v>0</v>
      </c>
      <c r="AJ2072" s="55">
        <f>VLOOKUP($E2072,'NI-Soc_SP'!$C:$AN,MID(AJ$1,1,2),FALSE)</f>
        <v>0</v>
      </c>
      <c r="AK2072" s="55">
        <f>VLOOKUP($E2072,'NI-Soc_SP'!$C:$AN,MID(AK$1,1,2),FALSE)</f>
        <v>0</v>
      </c>
      <c r="AL2072" s="55">
        <f>VLOOKUP($E2072,'NI-Soc_SP'!$C:$AN,MID(AL$1,1,2),FALSE)</f>
        <v>0</v>
      </c>
      <c r="AM2072" s="56">
        <f>VLOOKUP($E2072,'NI-Soc_SP'!$C:$AN,MID(AM$1,1,2),FALSE)</f>
        <v>0</v>
      </c>
      <c r="AN2072" s="30" t="str">
        <f t="shared" si="32"/>
        <v>70501040010000</v>
      </c>
    </row>
    <row r="2073" spans="3:40" x14ac:dyDescent="0.25">
      <c r="C2073" s="40"/>
      <c r="D2073" s="121" t="s">
        <v>2398</v>
      </c>
      <c r="E2073" s="121" t="s">
        <v>2399</v>
      </c>
      <c r="F2073" s="122" t="s">
        <v>2758</v>
      </c>
      <c r="G2073" s="52" t="s">
        <v>2396</v>
      </c>
      <c r="H2073" s="52"/>
      <c r="I2073" s="52"/>
      <c r="J2073" s="52"/>
      <c r="K2073" s="59" t="s">
        <v>79</v>
      </c>
      <c r="L2073" s="52"/>
      <c r="M2073" s="52"/>
      <c r="N2073" s="52"/>
      <c r="O2073" s="52"/>
      <c r="P2073" s="119" t="s">
        <v>2400</v>
      </c>
      <c r="Q2073" s="55">
        <f>VLOOKUP(E2073,'NI-Soc_SP'!$C:$AN,12,FALSE)</f>
        <v>0</v>
      </c>
      <c r="R2073" s="55">
        <f>VLOOKUP(E2073,'NI-Soc_SP'!$C:$AN,13,FALSE)</f>
        <v>0</v>
      </c>
      <c r="S2073" s="55">
        <f>VLOOKUP(E2073,'NI-Soc_SP'!$C:$AN,30,FALSE)</f>
        <v>0</v>
      </c>
      <c r="T2073" s="94">
        <f>VLOOKUP(E2073,'NI-Soc_SP'!$C:$AN,31,FALSE)+VLOOKUP(E2073,'NI-Soc_SP'!$C:$AN,32,FALSE)</f>
        <v>0</v>
      </c>
      <c r="U2073" s="55">
        <f>VLOOKUP($E2073,'NI-Soc_SP'!$C:$AN,MID(U$1,1,2),FALSE)</f>
        <v>0</v>
      </c>
      <c r="V2073" s="55">
        <f>VLOOKUP($E2073,'NI-Soc_SP'!$C:$AN,MID(V$1,1,2),FALSE)</f>
        <v>0</v>
      </c>
      <c r="W2073" s="55">
        <f>VLOOKUP($E2073,'NI-Soc_SP'!$C:$AN,MID(W$1,1,2),FALSE)</f>
        <v>0</v>
      </c>
      <c r="X2073" s="55">
        <f>VLOOKUP($E2073,'NI-Soc_SP'!$C:$AN,MID(X$1,1,2),FALSE)</f>
        <v>0</v>
      </c>
      <c r="Y2073" s="55">
        <f>VLOOKUP($E2073,'NI-Soc_SP'!$C:$AN,MID(Y$1,1,2),FALSE)</f>
        <v>0</v>
      </c>
      <c r="Z2073" s="55">
        <f>VLOOKUP($E2073,'NI-Soc_SP'!$C:$AN,MID(Z$1,1,2),FALSE)</f>
        <v>0</v>
      </c>
      <c r="AA2073" s="55">
        <f>VLOOKUP($E2073,'NI-Soc_SP'!$C:$AN,MID(AA$1,1,2),FALSE)</f>
        <v>0</v>
      </c>
      <c r="AB2073" s="55">
        <f>VLOOKUP($E2073,'NI-Soc_SP'!$C:$AN,MID(AB$1,1,2),FALSE)</f>
        <v>0</v>
      </c>
      <c r="AC2073" s="55">
        <f>VLOOKUP($E2073,'NI-Soc_SP'!$C:$AN,MID(AC$1,1,2),FALSE)</f>
        <v>0</v>
      </c>
      <c r="AD2073" s="55">
        <f>VLOOKUP($E2073,'NI-Soc_SP'!$C:$AN,MID(AD$1,1,2),FALSE)</f>
        <v>0</v>
      </c>
      <c r="AE2073" s="55">
        <f>VLOOKUP($E2073,'NI-Soc_SP'!$C:$AN,MID(AE$1,1,2),FALSE)</f>
        <v>0</v>
      </c>
      <c r="AF2073" s="55">
        <f>VLOOKUP($E2073,'NI-Soc_SP'!$C:$AN,MID(AF$1,1,2),FALSE)</f>
        <v>0</v>
      </c>
      <c r="AG2073" s="55">
        <f>VLOOKUP($E2073,'NI-Soc_SP'!$C:$AN,MID(AG$1,1,2),FALSE)</f>
        <v>0</v>
      </c>
      <c r="AH2073" s="55">
        <f>VLOOKUP($E2073,'NI-Soc_SP'!$C:$AN,MID(AH$1,1,2),FALSE)</f>
        <v>0</v>
      </c>
      <c r="AI2073" s="55">
        <f>VLOOKUP($E2073,'NI-Soc_SP'!$C:$AN,MID(AI$1,1,2),FALSE)</f>
        <v>0</v>
      </c>
      <c r="AJ2073" s="55">
        <f>VLOOKUP($E2073,'NI-Soc_SP'!$C:$AN,MID(AJ$1,1,2),FALSE)</f>
        <v>0</v>
      </c>
      <c r="AK2073" s="55">
        <f>VLOOKUP($E2073,'NI-Soc_SP'!$C:$AN,MID(AK$1,1,2),FALSE)</f>
        <v>0</v>
      </c>
      <c r="AL2073" s="55">
        <f>VLOOKUP($E2073,'NI-Soc_SP'!$C:$AN,MID(AL$1,1,2),FALSE)</f>
        <v>0</v>
      </c>
      <c r="AM2073" s="56">
        <f>VLOOKUP($E2073,'NI-Soc_SP'!$C:$AN,MID(AM$1,1,2),FALSE)</f>
        <v>0</v>
      </c>
      <c r="AN2073" s="30" t="str">
        <f t="shared" si="32"/>
        <v>70501040020000</v>
      </c>
    </row>
    <row r="2074" spans="3:40" ht="27" x14ac:dyDescent="0.25">
      <c r="C2074" s="40"/>
      <c r="D2074" s="121" t="s">
        <v>2401</v>
      </c>
      <c r="E2074" s="121" t="s">
        <v>2402</v>
      </c>
      <c r="F2074" s="122" t="s">
        <v>2758</v>
      </c>
      <c r="G2074" s="52" t="s">
        <v>1608</v>
      </c>
      <c r="H2074" s="52"/>
      <c r="I2074" s="52"/>
      <c r="J2074" s="52"/>
      <c r="K2074" s="59" t="s">
        <v>79</v>
      </c>
      <c r="L2074" s="52"/>
      <c r="M2074" s="52"/>
      <c r="N2074" s="52"/>
      <c r="O2074" s="52"/>
      <c r="P2074" s="119" t="s">
        <v>2403</v>
      </c>
      <c r="Q2074" s="55">
        <f>VLOOKUP(E2074,'NI-Soc_SP'!$C:$AN,12,FALSE)</f>
        <v>0</v>
      </c>
      <c r="R2074" s="55">
        <f>VLOOKUP(E2074,'NI-Soc_SP'!$C:$AN,13,FALSE)</f>
        <v>0</v>
      </c>
      <c r="S2074" s="55">
        <f>VLOOKUP(E2074,'NI-Soc_SP'!$C:$AN,30,FALSE)</f>
        <v>0</v>
      </c>
      <c r="T2074" s="94">
        <f>VLOOKUP(E2074,'NI-Soc_SP'!$C:$AN,31,FALSE)+VLOOKUP(E2074,'NI-Soc_SP'!$C:$AN,32,FALSE)</f>
        <v>0</v>
      </c>
      <c r="U2074" s="55">
        <f>VLOOKUP($E2074,'NI-Soc_SP'!$C:$AN,MID(U$1,1,2),FALSE)</f>
        <v>0</v>
      </c>
      <c r="V2074" s="55">
        <f>VLOOKUP($E2074,'NI-Soc_SP'!$C:$AN,MID(V$1,1,2),FALSE)</f>
        <v>0</v>
      </c>
      <c r="W2074" s="55">
        <f>VLOOKUP($E2074,'NI-Soc_SP'!$C:$AN,MID(W$1,1,2),FALSE)</f>
        <v>0</v>
      </c>
      <c r="X2074" s="55">
        <f>VLOOKUP($E2074,'NI-Soc_SP'!$C:$AN,MID(X$1,1,2),FALSE)</f>
        <v>0</v>
      </c>
      <c r="Y2074" s="55">
        <f>VLOOKUP($E2074,'NI-Soc_SP'!$C:$AN,MID(Y$1,1,2),FALSE)</f>
        <v>0</v>
      </c>
      <c r="Z2074" s="55">
        <f>VLOOKUP($E2074,'NI-Soc_SP'!$C:$AN,MID(Z$1,1,2),FALSE)</f>
        <v>0</v>
      </c>
      <c r="AA2074" s="55">
        <f>VLOOKUP($E2074,'NI-Soc_SP'!$C:$AN,MID(AA$1,1,2),FALSE)</f>
        <v>0</v>
      </c>
      <c r="AB2074" s="55">
        <f>VLOOKUP($E2074,'NI-Soc_SP'!$C:$AN,MID(AB$1,1,2),FALSE)</f>
        <v>0</v>
      </c>
      <c r="AC2074" s="55">
        <f>VLOOKUP($E2074,'NI-Soc_SP'!$C:$AN,MID(AC$1,1,2),FALSE)</f>
        <v>0</v>
      </c>
      <c r="AD2074" s="55">
        <f>VLOOKUP($E2074,'NI-Soc_SP'!$C:$AN,MID(AD$1,1,2),FALSE)</f>
        <v>0</v>
      </c>
      <c r="AE2074" s="55">
        <f>VLOOKUP($E2074,'NI-Soc_SP'!$C:$AN,MID(AE$1,1,2),FALSE)</f>
        <v>0</v>
      </c>
      <c r="AF2074" s="55">
        <f>VLOOKUP($E2074,'NI-Soc_SP'!$C:$AN,MID(AF$1,1,2),FALSE)</f>
        <v>0</v>
      </c>
      <c r="AG2074" s="55">
        <f>VLOOKUP($E2074,'NI-Soc_SP'!$C:$AN,MID(AG$1,1,2),FALSE)</f>
        <v>0</v>
      </c>
      <c r="AH2074" s="55">
        <f>VLOOKUP($E2074,'NI-Soc_SP'!$C:$AN,MID(AH$1,1,2),FALSE)</f>
        <v>0</v>
      </c>
      <c r="AI2074" s="55">
        <f>VLOOKUP($E2074,'NI-Soc_SP'!$C:$AN,MID(AI$1,1,2),FALSE)</f>
        <v>0</v>
      </c>
      <c r="AJ2074" s="55">
        <f>VLOOKUP($E2074,'NI-Soc_SP'!$C:$AN,MID(AJ$1,1,2),FALSE)</f>
        <v>0</v>
      </c>
      <c r="AK2074" s="55">
        <f>VLOOKUP($E2074,'NI-Soc_SP'!$C:$AN,MID(AK$1,1,2),FALSE)</f>
        <v>0</v>
      </c>
      <c r="AL2074" s="55">
        <f>VLOOKUP($E2074,'NI-Soc_SP'!$C:$AN,MID(AL$1,1,2),FALSE)</f>
        <v>0</v>
      </c>
      <c r="AM2074" s="56">
        <f>VLOOKUP($E2074,'NI-Soc_SP'!$C:$AN,MID(AM$1,1,2),FALSE)</f>
        <v>0</v>
      </c>
      <c r="AN2074" s="30" t="str">
        <f t="shared" si="32"/>
        <v>70501040030000</v>
      </c>
    </row>
    <row r="2075" spans="3:40" x14ac:dyDescent="0.25">
      <c r="C2075" s="40"/>
      <c r="D2075" s="121" t="s">
        <v>2404</v>
      </c>
      <c r="E2075" s="121" t="s">
        <v>2405</v>
      </c>
      <c r="F2075" s="122" t="s">
        <v>2758</v>
      </c>
      <c r="G2075" s="52" t="s">
        <v>2396</v>
      </c>
      <c r="H2075" s="52"/>
      <c r="I2075" s="52" t="s">
        <v>2406</v>
      </c>
      <c r="J2075" s="52"/>
      <c r="K2075" s="59" t="s">
        <v>79</v>
      </c>
      <c r="L2075" s="52"/>
      <c r="M2075" s="52"/>
      <c r="N2075" s="52"/>
      <c r="O2075" s="61" t="s">
        <v>2363</v>
      </c>
      <c r="P2075" s="119" t="s">
        <v>2407</v>
      </c>
      <c r="Q2075" s="55">
        <f>VLOOKUP(E2075,'NI-Soc_SP'!$C:$AN,12,FALSE)</f>
        <v>0</v>
      </c>
      <c r="R2075" s="55">
        <f>VLOOKUP(E2075,'NI-Soc_SP'!$C:$AN,13,FALSE)</f>
        <v>0</v>
      </c>
      <c r="S2075" s="55">
        <f>VLOOKUP(E2075,'NI-Soc_SP'!$C:$AN,30,FALSE)</f>
        <v>0</v>
      </c>
      <c r="T2075" s="94">
        <f>VLOOKUP(E2075,'NI-Soc_SP'!$C:$AN,31,FALSE)+VLOOKUP(E2075,'NI-Soc_SP'!$C:$AN,32,FALSE)</f>
        <v>0</v>
      </c>
      <c r="U2075" s="55">
        <f>VLOOKUP($E2075,'NI-Soc_SP'!$C:$AN,MID(U$1,1,2),FALSE)</f>
        <v>0</v>
      </c>
      <c r="V2075" s="55">
        <f>VLOOKUP($E2075,'NI-Soc_SP'!$C:$AN,MID(V$1,1,2),FALSE)</f>
        <v>0</v>
      </c>
      <c r="W2075" s="55">
        <f>VLOOKUP($E2075,'NI-Soc_SP'!$C:$AN,MID(W$1,1,2),FALSE)</f>
        <v>0</v>
      </c>
      <c r="X2075" s="55">
        <f>VLOOKUP($E2075,'NI-Soc_SP'!$C:$AN,MID(X$1,1,2),FALSE)</f>
        <v>0</v>
      </c>
      <c r="Y2075" s="55">
        <f>VLOOKUP($E2075,'NI-Soc_SP'!$C:$AN,MID(Y$1,1,2),FALSE)</f>
        <v>0</v>
      </c>
      <c r="Z2075" s="55">
        <f>VLOOKUP($E2075,'NI-Soc_SP'!$C:$AN,MID(Z$1,1,2),FALSE)</f>
        <v>0</v>
      </c>
      <c r="AA2075" s="55">
        <f>VLOOKUP($E2075,'NI-Soc_SP'!$C:$AN,MID(AA$1,1,2),FALSE)</f>
        <v>0</v>
      </c>
      <c r="AB2075" s="55">
        <f>VLOOKUP($E2075,'NI-Soc_SP'!$C:$AN,MID(AB$1,1,2),FALSE)</f>
        <v>0</v>
      </c>
      <c r="AC2075" s="55">
        <f>VLOOKUP($E2075,'NI-Soc_SP'!$C:$AN,MID(AC$1,1,2),FALSE)</f>
        <v>0</v>
      </c>
      <c r="AD2075" s="55">
        <f>VLOOKUP($E2075,'NI-Soc_SP'!$C:$AN,MID(AD$1,1,2),FALSE)</f>
        <v>0</v>
      </c>
      <c r="AE2075" s="55">
        <f>VLOOKUP($E2075,'NI-Soc_SP'!$C:$AN,MID(AE$1,1,2),FALSE)</f>
        <v>0</v>
      </c>
      <c r="AF2075" s="55">
        <f>VLOOKUP($E2075,'NI-Soc_SP'!$C:$AN,MID(AF$1,1,2),FALSE)</f>
        <v>0</v>
      </c>
      <c r="AG2075" s="55">
        <f>VLOOKUP($E2075,'NI-Soc_SP'!$C:$AN,MID(AG$1,1,2),FALSE)</f>
        <v>0</v>
      </c>
      <c r="AH2075" s="55">
        <f>VLOOKUP($E2075,'NI-Soc_SP'!$C:$AN,MID(AH$1,1,2),FALSE)</f>
        <v>0</v>
      </c>
      <c r="AI2075" s="55">
        <f>VLOOKUP($E2075,'NI-Soc_SP'!$C:$AN,MID(AI$1,1,2),FALSE)</f>
        <v>0</v>
      </c>
      <c r="AJ2075" s="55">
        <f>VLOOKUP($E2075,'NI-Soc_SP'!$C:$AN,MID(AJ$1,1,2),FALSE)</f>
        <v>0</v>
      </c>
      <c r="AK2075" s="55">
        <f>VLOOKUP($E2075,'NI-Soc_SP'!$C:$AN,MID(AK$1,1,2),FALSE)</f>
        <v>0</v>
      </c>
      <c r="AL2075" s="55">
        <f>VLOOKUP($E2075,'NI-Soc_SP'!$C:$AN,MID(AL$1,1,2),FALSE)</f>
        <v>0</v>
      </c>
      <c r="AM2075" s="56">
        <f>VLOOKUP($E2075,'NI-Soc_SP'!$C:$AN,MID(AM$1,1,2),FALSE)</f>
        <v>0</v>
      </c>
      <c r="AN2075" s="30" t="str">
        <f t="shared" si="32"/>
        <v>70501050000000</v>
      </c>
    </row>
    <row r="2076" spans="3:40" x14ac:dyDescent="0.25">
      <c r="C2076" s="40"/>
      <c r="D2076" s="121" t="s">
        <v>2408</v>
      </c>
      <c r="E2076" s="121" t="s">
        <v>2409</v>
      </c>
      <c r="F2076" s="122" t="s">
        <v>2758</v>
      </c>
      <c r="G2076" s="52" t="s">
        <v>1608</v>
      </c>
      <c r="H2076" s="52"/>
      <c r="I2076" s="52" t="s">
        <v>2410</v>
      </c>
      <c r="J2076" s="52"/>
      <c r="K2076" s="59" t="s">
        <v>111</v>
      </c>
      <c r="L2076" s="52"/>
      <c r="M2076" s="52"/>
      <c r="N2076" s="52"/>
      <c r="O2076" s="61" t="s">
        <v>2411</v>
      </c>
      <c r="P2076" s="119" t="s">
        <v>2412</v>
      </c>
      <c r="Q2076" s="55">
        <f>VLOOKUP(E2076,'NI-Soc_SP'!$C:$AN,12,FALSE)</f>
        <v>0</v>
      </c>
      <c r="R2076" s="55">
        <f>VLOOKUP(E2076,'NI-Soc_SP'!$C:$AN,13,FALSE)</f>
        <v>0</v>
      </c>
      <c r="S2076" s="55">
        <f>VLOOKUP(E2076,'NI-Soc_SP'!$C:$AN,30,FALSE)</f>
        <v>0</v>
      </c>
      <c r="T2076" s="94">
        <f>VLOOKUP(E2076,'NI-Soc_SP'!$C:$AN,31,FALSE)+VLOOKUP(E2076,'NI-Soc_SP'!$C:$AN,32,FALSE)</f>
        <v>-533</v>
      </c>
      <c r="U2076" s="55">
        <f>VLOOKUP($E2076,'NI-Soc_SP'!$C:$AN,MID(U$1,1,2),FALSE)</f>
        <v>0</v>
      </c>
      <c r="V2076" s="55">
        <f>VLOOKUP($E2076,'NI-Soc_SP'!$C:$AN,MID(V$1,1,2),FALSE)</f>
        <v>0</v>
      </c>
      <c r="W2076" s="55">
        <f>VLOOKUP($E2076,'NI-Soc_SP'!$C:$AN,MID(W$1,1,2),FALSE)</f>
        <v>0</v>
      </c>
      <c r="X2076" s="55">
        <f>VLOOKUP($E2076,'NI-Soc_SP'!$C:$AN,MID(X$1,1,2),FALSE)</f>
        <v>0</v>
      </c>
      <c r="Y2076" s="55">
        <f>VLOOKUP($E2076,'NI-Soc_SP'!$C:$AN,MID(Y$1,1,2),FALSE)</f>
        <v>0</v>
      </c>
      <c r="Z2076" s="55">
        <f>VLOOKUP($E2076,'NI-Soc_SP'!$C:$AN,MID(Z$1,1,2),FALSE)</f>
        <v>0</v>
      </c>
      <c r="AA2076" s="55">
        <f>VLOOKUP($E2076,'NI-Soc_SP'!$C:$AN,MID(AA$1,1,2),FALSE)</f>
        <v>0</v>
      </c>
      <c r="AB2076" s="55">
        <f>VLOOKUP($E2076,'NI-Soc_SP'!$C:$AN,MID(AB$1,1,2),FALSE)</f>
        <v>0</v>
      </c>
      <c r="AC2076" s="55">
        <f>VLOOKUP($E2076,'NI-Soc_SP'!$C:$AN,MID(AC$1,1,2),FALSE)</f>
        <v>0</v>
      </c>
      <c r="AD2076" s="55">
        <f>VLOOKUP($E2076,'NI-Soc_SP'!$C:$AN,MID(AD$1,1,2),FALSE)</f>
        <v>0</v>
      </c>
      <c r="AE2076" s="55">
        <f>VLOOKUP($E2076,'NI-Soc_SP'!$C:$AN,MID(AE$1,1,2),FALSE)</f>
        <v>0</v>
      </c>
      <c r="AF2076" s="55">
        <f>VLOOKUP($E2076,'NI-Soc_SP'!$C:$AN,MID(AF$1,1,2),FALSE)</f>
        <v>0</v>
      </c>
      <c r="AG2076" s="55">
        <f>VLOOKUP($E2076,'NI-Soc_SP'!$C:$AN,MID(AG$1,1,2),FALSE)</f>
        <v>533</v>
      </c>
      <c r="AH2076" s="55">
        <f>VLOOKUP($E2076,'NI-Soc_SP'!$C:$AN,MID(AH$1,1,2),FALSE)</f>
        <v>0</v>
      </c>
      <c r="AI2076" s="55">
        <f>VLOOKUP($E2076,'NI-Soc_SP'!$C:$AN,MID(AI$1,1,2),FALSE)</f>
        <v>0</v>
      </c>
      <c r="AJ2076" s="55">
        <f>VLOOKUP($E2076,'NI-Soc_SP'!$C:$AN,MID(AJ$1,1,2),FALSE)</f>
        <v>0</v>
      </c>
      <c r="AK2076" s="55">
        <f>VLOOKUP($E2076,'NI-Soc_SP'!$C:$AN,MID(AK$1,1,2),FALSE)</f>
        <v>-533</v>
      </c>
      <c r="AL2076" s="55">
        <f>VLOOKUP($E2076,'NI-Soc_SP'!$C:$AN,MID(AL$1,1,2),FALSE)</f>
        <v>0</v>
      </c>
      <c r="AM2076" s="56">
        <f>VLOOKUP($E2076,'NI-Soc_SP'!$C:$AN,MID(AM$1,1,2),FALSE)</f>
        <v>0</v>
      </c>
      <c r="AN2076" s="30" t="str">
        <f t="shared" si="32"/>
        <v>70501060000000</v>
      </c>
    </row>
    <row r="2077" spans="3:40" x14ac:dyDescent="0.25">
      <c r="C2077" s="40"/>
      <c r="D2077" s="121" t="s">
        <v>2413</v>
      </c>
      <c r="E2077" s="121" t="s">
        <v>2414</v>
      </c>
      <c r="F2077" s="122" t="s">
        <v>2758</v>
      </c>
      <c r="G2077" s="52" t="s">
        <v>1608</v>
      </c>
      <c r="H2077" s="52"/>
      <c r="I2077" s="52"/>
      <c r="J2077" s="52"/>
      <c r="K2077" s="59" t="s">
        <v>79</v>
      </c>
      <c r="L2077" s="52"/>
      <c r="M2077" s="52"/>
      <c r="N2077" s="52"/>
      <c r="O2077" s="52"/>
      <c r="P2077" s="119" t="s">
        <v>2415</v>
      </c>
      <c r="Q2077" s="55">
        <f>VLOOKUP(E2077,'NI-Soc_SP'!$C:$AN,12,FALSE)</f>
        <v>0</v>
      </c>
      <c r="R2077" s="55">
        <f>VLOOKUP(E2077,'NI-Soc_SP'!$C:$AN,13,FALSE)</f>
        <v>0</v>
      </c>
      <c r="S2077" s="55">
        <f>VLOOKUP(E2077,'NI-Soc_SP'!$C:$AN,30,FALSE)</f>
        <v>0</v>
      </c>
      <c r="T2077" s="94">
        <f>VLOOKUP(E2077,'NI-Soc_SP'!$C:$AN,31,FALSE)+VLOOKUP(E2077,'NI-Soc_SP'!$C:$AN,32,FALSE)</f>
        <v>0</v>
      </c>
      <c r="U2077" s="55">
        <f>VLOOKUP($E2077,'NI-Soc_SP'!$C:$AN,MID(U$1,1,2),FALSE)</f>
        <v>0</v>
      </c>
      <c r="V2077" s="55">
        <f>VLOOKUP($E2077,'NI-Soc_SP'!$C:$AN,MID(V$1,1,2),FALSE)</f>
        <v>0</v>
      </c>
      <c r="W2077" s="55">
        <f>VLOOKUP($E2077,'NI-Soc_SP'!$C:$AN,MID(W$1,1,2),FALSE)</f>
        <v>0</v>
      </c>
      <c r="X2077" s="55">
        <f>VLOOKUP($E2077,'NI-Soc_SP'!$C:$AN,MID(X$1,1,2),FALSE)</f>
        <v>0</v>
      </c>
      <c r="Y2077" s="55">
        <f>VLOOKUP($E2077,'NI-Soc_SP'!$C:$AN,MID(Y$1,1,2),FALSE)</f>
        <v>0</v>
      </c>
      <c r="Z2077" s="55">
        <f>VLOOKUP($E2077,'NI-Soc_SP'!$C:$AN,MID(Z$1,1,2),FALSE)</f>
        <v>0</v>
      </c>
      <c r="AA2077" s="55">
        <f>VLOOKUP($E2077,'NI-Soc_SP'!$C:$AN,MID(AA$1,1,2),FALSE)</f>
        <v>0</v>
      </c>
      <c r="AB2077" s="55">
        <f>VLOOKUP($E2077,'NI-Soc_SP'!$C:$AN,MID(AB$1,1,2),FALSE)</f>
        <v>0</v>
      </c>
      <c r="AC2077" s="55">
        <f>VLOOKUP($E2077,'NI-Soc_SP'!$C:$AN,MID(AC$1,1,2),FALSE)</f>
        <v>0</v>
      </c>
      <c r="AD2077" s="55">
        <f>VLOOKUP($E2077,'NI-Soc_SP'!$C:$AN,MID(AD$1,1,2),FALSE)</f>
        <v>0</v>
      </c>
      <c r="AE2077" s="55">
        <f>VLOOKUP($E2077,'NI-Soc_SP'!$C:$AN,MID(AE$1,1,2),FALSE)</f>
        <v>0</v>
      </c>
      <c r="AF2077" s="55">
        <f>VLOOKUP($E2077,'NI-Soc_SP'!$C:$AN,MID(AF$1,1,2),FALSE)</f>
        <v>0</v>
      </c>
      <c r="AG2077" s="55">
        <f>VLOOKUP($E2077,'NI-Soc_SP'!$C:$AN,MID(AG$1,1,2),FALSE)</f>
        <v>0</v>
      </c>
      <c r="AH2077" s="55">
        <f>VLOOKUP($E2077,'NI-Soc_SP'!$C:$AN,MID(AH$1,1,2),FALSE)</f>
        <v>0</v>
      </c>
      <c r="AI2077" s="55">
        <f>VLOOKUP($E2077,'NI-Soc_SP'!$C:$AN,MID(AI$1,1,2),FALSE)</f>
        <v>0</v>
      </c>
      <c r="AJ2077" s="55">
        <f>VLOOKUP($E2077,'NI-Soc_SP'!$C:$AN,MID(AJ$1,1,2),FALSE)</f>
        <v>0</v>
      </c>
      <c r="AK2077" s="55">
        <f>VLOOKUP($E2077,'NI-Soc_SP'!$C:$AN,MID(AK$1,1,2),FALSE)</f>
        <v>0</v>
      </c>
      <c r="AL2077" s="55">
        <f>VLOOKUP($E2077,'NI-Soc_SP'!$C:$AN,MID(AL$1,1,2),FALSE)</f>
        <v>0</v>
      </c>
      <c r="AM2077" s="56">
        <f>VLOOKUP($E2077,'NI-Soc_SP'!$C:$AN,MID(AM$1,1,2),FALSE)</f>
        <v>0</v>
      </c>
      <c r="AN2077" s="30" t="str">
        <f t="shared" si="32"/>
        <v>70501060010000</v>
      </c>
    </row>
    <row r="2078" spans="3:40" x14ac:dyDescent="0.25">
      <c r="C2078" s="40"/>
      <c r="D2078" s="121" t="s">
        <v>2416</v>
      </c>
      <c r="E2078" s="121" t="s">
        <v>2417</v>
      </c>
      <c r="F2078" s="122" t="s">
        <v>2758</v>
      </c>
      <c r="G2078" s="52" t="s">
        <v>1608</v>
      </c>
      <c r="H2078" s="52"/>
      <c r="I2078" s="52"/>
      <c r="J2078" s="52"/>
      <c r="K2078" s="59" t="s">
        <v>79</v>
      </c>
      <c r="L2078" s="52"/>
      <c r="M2078" s="52"/>
      <c r="N2078" s="52"/>
      <c r="O2078" s="52"/>
      <c r="P2078" s="114" t="s">
        <v>2418</v>
      </c>
      <c r="Q2078" s="55">
        <f>VLOOKUP(E2078,'NI-Soc_SP'!$C:$AN,12,FALSE)</f>
        <v>0</v>
      </c>
      <c r="R2078" s="55">
        <f>VLOOKUP(E2078,'NI-Soc_SP'!$C:$AN,13,FALSE)</f>
        <v>0</v>
      </c>
      <c r="S2078" s="55">
        <f>VLOOKUP(E2078,'NI-Soc_SP'!$C:$AN,30,FALSE)</f>
        <v>0</v>
      </c>
      <c r="T2078" s="94">
        <f>VLOOKUP(E2078,'NI-Soc_SP'!$C:$AN,31,FALSE)+VLOOKUP(E2078,'NI-Soc_SP'!$C:$AN,32,FALSE)</f>
        <v>-533</v>
      </c>
      <c r="U2078" s="55">
        <f>VLOOKUP($E2078,'NI-Soc_SP'!$C:$AN,MID(U$1,1,2),FALSE)</f>
        <v>0</v>
      </c>
      <c r="V2078" s="55">
        <f>VLOOKUP($E2078,'NI-Soc_SP'!$C:$AN,MID(V$1,1,2),FALSE)</f>
        <v>0</v>
      </c>
      <c r="W2078" s="55">
        <f>VLOOKUP($E2078,'NI-Soc_SP'!$C:$AN,MID(W$1,1,2),FALSE)</f>
        <v>0</v>
      </c>
      <c r="X2078" s="55">
        <f>VLOOKUP($E2078,'NI-Soc_SP'!$C:$AN,MID(X$1,1,2),FALSE)</f>
        <v>0</v>
      </c>
      <c r="Y2078" s="55">
        <f>VLOOKUP($E2078,'NI-Soc_SP'!$C:$AN,MID(Y$1,1,2),FALSE)</f>
        <v>0</v>
      </c>
      <c r="Z2078" s="55">
        <f>VLOOKUP($E2078,'NI-Soc_SP'!$C:$AN,MID(Z$1,1,2),FALSE)</f>
        <v>0</v>
      </c>
      <c r="AA2078" s="55">
        <f>VLOOKUP($E2078,'NI-Soc_SP'!$C:$AN,MID(AA$1,1,2),FALSE)</f>
        <v>0</v>
      </c>
      <c r="AB2078" s="55">
        <f>VLOOKUP($E2078,'NI-Soc_SP'!$C:$AN,MID(AB$1,1,2),FALSE)</f>
        <v>0</v>
      </c>
      <c r="AC2078" s="55">
        <f>VLOOKUP($E2078,'NI-Soc_SP'!$C:$AN,MID(AC$1,1,2),FALSE)</f>
        <v>0</v>
      </c>
      <c r="AD2078" s="55">
        <f>VLOOKUP($E2078,'NI-Soc_SP'!$C:$AN,MID(AD$1,1,2),FALSE)</f>
        <v>0</v>
      </c>
      <c r="AE2078" s="55">
        <f>VLOOKUP($E2078,'NI-Soc_SP'!$C:$AN,MID(AE$1,1,2),FALSE)</f>
        <v>0</v>
      </c>
      <c r="AF2078" s="55">
        <f>VLOOKUP($E2078,'NI-Soc_SP'!$C:$AN,MID(AF$1,1,2),FALSE)</f>
        <v>0</v>
      </c>
      <c r="AG2078" s="55">
        <f>VLOOKUP($E2078,'NI-Soc_SP'!$C:$AN,MID(AG$1,1,2),FALSE)</f>
        <v>533</v>
      </c>
      <c r="AH2078" s="55">
        <f>VLOOKUP($E2078,'NI-Soc_SP'!$C:$AN,MID(AH$1,1,2),FALSE)</f>
        <v>0</v>
      </c>
      <c r="AI2078" s="55">
        <f>VLOOKUP($E2078,'NI-Soc_SP'!$C:$AN,MID(AI$1,1,2),FALSE)</f>
        <v>0</v>
      </c>
      <c r="AJ2078" s="55">
        <f>VLOOKUP($E2078,'NI-Soc_SP'!$C:$AN,MID(AJ$1,1,2),FALSE)</f>
        <v>0</v>
      </c>
      <c r="AK2078" s="55">
        <f>VLOOKUP($E2078,'NI-Soc_SP'!$C:$AN,MID(AK$1,1,2),FALSE)</f>
        <v>-533</v>
      </c>
      <c r="AL2078" s="55">
        <f>VLOOKUP($E2078,'NI-Soc_SP'!$C:$AN,MID(AL$1,1,2),FALSE)</f>
        <v>0</v>
      </c>
      <c r="AM2078" s="56">
        <f>VLOOKUP($E2078,'NI-Soc_SP'!$C:$AN,MID(AM$1,1,2),FALSE)</f>
        <v>0</v>
      </c>
      <c r="AN2078" s="30" t="str">
        <f t="shared" si="32"/>
        <v>70501060020000</v>
      </c>
    </row>
    <row r="2079" spans="3:40" x14ac:dyDescent="0.25">
      <c r="C2079" s="40"/>
      <c r="D2079" s="121" t="s">
        <v>2419</v>
      </c>
      <c r="E2079" s="121" t="s">
        <v>2420</v>
      </c>
      <c r="F2079" s="122" t="s">
        <v>2758</v>
      </c>
      <c r="G2079" s="52" t="s">
        <v>1608</v>
      </c>
      <c r="H2079" s="52"/>
      <c r="I2079" s="52"/>
      <c r="J2079" s="52"/>
      <c r="K2079" s="59" t="s">
        <v>79</v>
      </c>
      <c r="L2079" s="52"/>
      <c r="M2079" s="52"/>
      <c r="N2079" s="52"/>
      <c r="O2079" s="52"/>
      <c r="P2079" s="119" t="s">
        <v>2421</v>
      </c>
      <c r="Q2079" s="55">
        <f>VLOOKUP(E2079,'NI-Soc_SP'!$C:$AN,12,FALSE)</f>
        <v>0</v>
      </c>
      <c r="R2079" s="55">
        <f>VLOOKUP(E2079,'NI-Soc_SP'!$C:$AN,13,FALSE)</f>
        <v>0</v>
      </c>
      <c r="S2079" s="55">
        <f>VLOOKUP(E2079,'NI-Soc_SP'!$C:$AN,30,FALSE)</f>
        <v>0</v>
      </c>
      <c r="T2079" s="94">
        <f>VLOOKUP(E2079,'NI-Soc_SP'!$C:$AN,31,FALSE)+VLOOKUP(E2079,'NI-Soc_SP'!$C:$AN,32,FALSE)</f>
        <v>0</v>
      </c>
      <c r="U2079" s="55">
        <f>VLOOKUP($E2079,'NI-Soc_SP'!$C:$AN,MID(U$1,1,2),FALSE)</f>
        <v>0</v>
      </c>
      <c r="V2079" s="55">
        <f>VLOOKUP($E2079,'NI-Soc_SP'!$C:$AN,MID(V$1,1,2),FALSE)</f>
        <v>0</v>
      </c>
      <c r="W2079" s="55">
        <f>VLOOKUP($E2079,'NI-Soc_SP'!$C:$AN,MID(W$1,1,2),FALSE)</f>
        <v>0</v>
      </c>
      <c r="X2079" s="55">
        <f>VLOOKUP($E2079,'NI-Soc_SP'!$C:$AN,MID(X$1,1,2),FALSE)</f>
        <v>0</v>
      </c>
      <c r="Y2079" s="55">
        <f>VLOOKUP($E2079,'NI-Soc_SP'!$C:$AN,MID(Y$1,1,2),FALSE)</f>
        <v>0</v>
      </c>
      <c r="Z2079" s="55">
        <f>VLOOKUP($E2079,'NI-Soc_SP'!$C:$AN,MID(Z$1,1,2),FALSE)</f>
        <v>0</v>
      </c>
      <c r="AA2079" s="55">
        <f>VLOOKUP($E2079,'NI-Soc_SP'!$C:$AN,MID(AA$1,1,2),FALSE)</f>
        <v>0</v>
      </c>
      <c r="AB2079" s="55">
        <f>VLOOKUP($E2079,'NI-Soc_SP'!$C:$AN,MID(AB$1,1,2),FALSE)</f>
        <v>0</v>
      </c>
      <c r="AC2079" s="55">
        <f>VLOOKUP($E2079,'NI-Soc_SP'!$C:$AN,MID(AC$1,1,2),FALSE)</f>
        <v>0</v>
      </c>
      <c r="AD2079" s="55">
        <f>VLOOKUP($E2079,'NI-Soc_SP'!$C:$AN,MID(AD$1,1,2),FALSE)</f>
        <v>0</v>
      </c>
      <c r="AE2079" s="55">
        <f>VLOOKUP($E2079,'NI-Soc_SP'!$C:$AN,MID(AE$1,1,2),FALSE)</f>
        <v>0</v>
      </c>
      <c r="AF2079" s="55">
        <f>VLOOKUP($E2079,'NI-Soc_SP'!$C:$AN,MID(AF$1,1,2),FALSE)</f>
        <v>0</v>
      </c>
      <c r="AG2079" s="55">
        <f>VLOOKUP($E2079,'NI-Soc_SP'!$C:$AN,MID(AG$1,1,2),FALSE)</f>
        <v>0</v>
      </c>
      <c r="AH2079" s="55">
        <f>VLOOKUP($E2079,'NI-Soc_SP'!$C:$AN,MID(AH$1,1,2),FALSE)</f>
        <v>0</v>
      </c>
      <c r="AI2079" s="55">
        <f>VLOOKUP($E2079,'NI-Soc_SP'!$C:$AN,MID(AI$1,1,2),FALSE)</f>
        <v>0</v>
      </c>
      <c r="AJ2079" s="55">
        <f>VLOOKUP($E2079,'NI-Soc_SP'!$C:$AN,MID(AJ$1,1,2),FALSE)</f>
        <v>0</v>
      </c>
      <c r="AK2079" s="55">
        <f>VLOOKUP($E2079,'NI-Soc_SP'!$C:$AN,MID(AK$1,1,2),FALSE)</f>
        <v>0</v>
      </c>
      <c r="AL2079" s="55">
        <f>VLOOKUP($E2079,'NI-Soc_SP'!$C:$AN,MID(AL$1,1,2),FALSE)</f>
        <v>0</v>
      </c>
      <c r="AM2079" s="56">
        <f>VLOOKUP($E2079,'NI-Soc_SP'!$C:$AN,MID(AM$1,1,2),FALSE)</f>
        <v>0</v>
      </c>
      <c r="AN2079" s="30" t="str">
        <f t="shared" si="32"/>
        <v>70501060030000</v>
      </c>
    </row>
    <row r="2080" spans="3:40" x14ac:dyDescent="0.25">
      <c r="C2080" s="40"/>
      <c r="D2080" s="121" t="s">
        <v>2422</v>
      </c>
      <c r="E2080" s="121" t="s">
        <v>2423</v>
      </c>
      <c r="F2080" s="122" t="s">
        <v>2758</v>
      </c>
      <c r="G2080" s="52" t="s">
        <v>1608</v>
      </c>
      <c r="H2080" s="52"/>
      <c r="I2080" s="52"/>
      <c r="J2080" s="52"/>
      <c r="K2080" s="59" t="s">
        <v>79</v>
      </c>
      <c r="L2080" s="52"/>
      <c r="M2080" s="52"/>
      <c r="N2080" s="52"/>
      <c r="O2080" s="52"/>
      <c r="P2080" s="119" t="s">
        <v>2424</v>
      </c>
      <c r="Q2080" s="55">
        <f>VLOOKUP(E2080,'NI-Soc_SP'!$C:$AN,12,FALSE)</f>
        <v>0</v>
      </c>
      <c r="R2080" s="55">
        <f>VLOOKUP(E2080,'NI-Soc_SP'!$C:$AN,13,FALSE)</f>
        <v>0</v>
      </c>
      <c r="S2080" s="55">
        <f>VLOOKUP(E2080,'NI-Soc_SP'!$C:$AN,30,FALSE)</f>
        <v>0</v>
      </c>
      <c r="T2080" s="94">
        <f>VLOOKUP(E2080,'NI-Soc_SP'!$C:$AN,31,FALSE)+VLOOKUP(E2080,'NI-Soc_SP'!$C:$AN,32,FALSE)</f>
        <v>0</v>
      </c>
      <c r="U2080" s="55">
        <f>VLOOKUP($E2080,'NI-Soc_SP'!$C:$AN,MID(U$1,1,2),FALSE)</f>
        <v>0</v>
      </c>
      <c r="V2080" s="55">
        <f>VLOOKUP($E2080,'NI-Soc_SP'!$C:$AN,MID(V$1,1,2),FALSE)</f>
        <v>0</v>
      </c>
      <c r="W2080" s="55">
        <f>VLOOKUP($E2080,'NI-Soc_SP'!$C:$AN,MID(W$1,1,2),FALSE)</f>
        <v>0</v>
      </c>
      <c r="X2080" s="55">
        <f>VLOOKUP($E2080,'NI-Soc_SP'!$C:$AN,MID(X$1,1,2),FALSE)</f>
        <v>0</v>
      </c>
      <c r="Y2080" s="55">
        <f>VLOOKUP($E2080,'NI-Soc_SP'!$C:$AN,MID(Y$1,1,2),FALSE)</f>
        <v>0</v>
      </c>
      <c r="Z2080" s="55">
        <f>VLOOKUP($E2080,'NI-Soc_SP'!$C:$AN,MID(Z$1,1,2),FALSE)</f>
        <v>0</v>
      </c>
      <c r="AA2080" s="55">
        <f>VLOOKUP($E2080,'NI-Soc_SP'!$C:$AN,MID(AA$1,1,2),FALSE)</f>
        <v>0</v>
      </c>
      <c r="AB2080" s="55">
        <f>VLOOKUP($E2080,'NI-Soc_SP'!$C:$AN,MID(AB$1,1,2),FALSE)</f>
        <v>0</v>
      </c>
      <c r="AC2080" s="55">
        <f>VLOOKUP($E2080,'NI-Soc_SP'!$C:$AN,MID(AC$1,1,2),FALSE)</f>
        <v>0</v>
      </c>
      <c r="AD2080" s="55">
        <f>VLOOKUP($E2080,'NI-Soc_SP'!$C:$AN,MID(AD$1,1,2),FALSE)</f>
        <v>0</v>
      </c>
      <c r="AE2080" s="55">
        <f>VLOOKUP($E2080,'NI-Soc_SP'!$C:$AN,MID(AE$1,1,2),FALSE)</f>
        <v>0</v>
      </c>
      <c r="AF2080" s="55">
        <f>VLOOKUP($E2080,'NI-Soc_SP'!$C:$AN,MID(AF$1,1,2),FALSE)</f>
        <v>0</v>
      </c>
      <c r="AG2080" s="55">
        <f>VLOOKUP($E2080,'NI-Soc_SP'!$C:$AN,MID(AG$1,1,2),FALSE)</f>
        <v>0</v>
      </c>
      <c r="AH2080" s="55">
        <f>VLOOKUP($E2080,'NI-Soc_SP'!$C:$AN,MID(AH$1,1,2),FALSE)</f>
        <v>0</v>
      </c>
      <c r="AI2080" s="55">
        <f>VLOOKUP($E2080,'NI-Soc_SP'!$C:$AN,MID(AI$1,1,2),FALSE)</f>
        <v>0</v>
      </c>
      <c r="AJ2080" s="55">
        <f>VLOOKUP($E2080,'NI-Soc_SP'!$C:$AN,MID(AJ$1,1,2),FALSE)</f>
        <v>0</v>
      </c>
      <c r="AK2080" s="55">
        <f>VLOOKUP($E2080,'NI-Soc_SP'!$C:$AN,MID(AK$1,1,2),FALSE)</f>
        <v>0</v>
      </c>
      <c r="AL2080" s="55">
        <f>VLOOKUP($E2080,'NI-Soc_SP'!$C:$AN,MID(AL$1,1,2),FALSE)</f>
        <v>0</v>
      </c>
      <c r="AM2080" s="56">
        <f>VLOOKUP($E2080,'NI-Soc_SP'!$C:$AN,MID(AM$1,1,2),FALSE)</f>
        <v>0</v>
      </c>
      <c r="AN2080" s="30" t="str">
        <f t="shared" si="32"/>
        <v>70501060040000</v>
      </c>
    </row>
    <row r="2081" spans="1:40" x14ac:dyDescent="0.25">
      <c r="C2081" s="40"/>
      <c r="D2081" s="121" t="s">
        <v>2425</v>
      </c>
      <c r="E2081" s="121" t="s">
        <v>2426</v>
      </c>
      <c r="F2081" s="122" t="s">
        <v>2758</v>
      </c>
      <c r="G2081" s="52" t="s">
        <v>1608</v>
      </c>
      <c r="H2081" s="52"/>
      <c r="I2081" s="52"/>
      <c r="J2081" s="52"/>
      <c r="K2081" s="59" t="s">
        <v>79</v>
      </c>
      <c r="L2081" s="62"/>
      <c r="M2081" s="52"/>
      <c r="N2081" s="52"/>
      <c r="O2081" s="52"/>
      <c r="P2081" s="60" t="s">
        <v>2427</v>
      </c>
      <c r="Q2081" s="55">
        <f>VLOOKUP(E2081,'NI-Soc_SP'!$C:$AN,12,FALSE)</f>
        <v>0</v>
      </c>
      <c r="R2081" s="55">
        <f>VLOOKUP(E2081,'NI-Soc_SP'!$C:$AN,13,FALSE)</f>
        <v>0</v>
      </c>
      <c r="S2081" s="55">
        <f>VLOOKUP(E2081,'NI-Soc_SP'!$C:$AN,30,FALSE)</f>
        <v>0</v>
      </c>
      <c r="T2081" s="94">
        <f>VLOOKUP(E2081,'NI-Soc_SP'!$C:$AN,31,FALSE)+VLOOKUP(E2081,'NI-Soc_SP'!$C:$AN,32,FALSE)</f>
        <v>0</v>
      </c>
      <c r="U2081" s="55">
        <f>VLOOKUP($E2081,'NI-Soc_SP'!$C:$AN,MID(U$1,1,2),FALSE)</f>
        <v>0</v>
      </c>
      <c r="V2081" s="55">
        <f>VLOOKUP($E2081,'NI-Soc_SP'!$C:$AN,MID(V$1,1,2),FALSE)</f>
        <v>0</v>
      </c>
      <c r="W2081" s="55">
        <f>VLOOKUP($E2081,'NI-Soc_SP'!$C:$AN,MID(W$1,1,2),FALSE)</f>
        <v>0</v>
      </c>
      <c r="X2081" s="55">
        <f>VLOOKUP($E2081,'NI-Soc_SP'!$C:$AN,MID(X$1,1,2),FALSE)</f>
        <v>0</v>
      </c>
      <c r="Y2081" s="55">
        <f>VLOOKUP($E2081,'NI-Soc_SP'!$C:$AN,MID(Y$1,1,2),FALSE)</f>
        <v>0</v>
      </c>
      <c r="Z2081" s="55">
        <f>VLOOKUP($E2081,'NI-Soc_SP'!$C:$AN,MID(Z$1,1,2),FALSE)</f>
        <v>0</v>
      </c>
      <c r="AA2081" s="55">
        <f>VLOOKUP($E2081,'NI-Soc_SP'!$C:$AN,MID(AA$1,1,2),FALSE)</f>
        <v>0</v>
      </c>
      <c r="AB2081" s="55">
        <f>VLOOKUP($E2081,'NI-Soc_SP'!$C:$AN,MID(AB$1,1,2),FALSE)</f>
        <v>0</v>
      </c>
      <c r="AC2081" s="55">
        <f>VLOOKUP($E2081,'NI-Soc_SP'!$C:$AN,MID(AC$1,1,2),FALSE)</f>
        <v>0</v>
      </c>
      <c r="AD2081" s="55">
        <f>VLOOKUP($E2081,'NI-Soc_SP'!$C:$AN,MID(AD$1,1,2),FALSE)</f>
        <v>0</v>
      </c>
      <c r="AE2081" s="55">
        <f>VLOOKUP($E2081,'NI-Soc_SP'!$C:$AN,MID(AE$1,1,2),FALSE)</f>
        <v>0</v>
      </c>
      <c r="AF2081" s="55">
        <f>VLOOKUP($E2081,'NI-Soc_SP'!$C:$AN,MID(AF$1,1,2),FALSE)</f>
        <v>0</v>
      </c>
      <c r="AG2081" s="55">
        <f>VLOOKUP($E2081,'NI-Soc_SP'!$C:$AN,MID(AG$1,1,2),FALSE)</f>
        <v>0</v>
      </c>
      <c r="AH2081" s="55">
        <f>VLOOKUP($E2081,'NI-Soc_SP'!$C:$AN,MID(AH$1,1,2),FALSE)</f>
        <v>0</v>
      </c>
      <c r="AI2081" s="55">
        <f>VLOOKUP($E2081,'NI-Soc_SP'!$C:$AN,MID(AI$1,1,2),FALSE)</f>
        <v>0</v>
      </c>
      <c r="AJ2081" s="55">
        <f>VLOOKUP($E2081,'NI-Soc_SP'!$C:$AN,MID(AJ$1,1,2),FALSE)</f>
        <v>0</v>
      </c>
      <c r="AK2081" s="55">
        <f>VLOOKUP($E2081,'NI-Soc_SP'!$C:$AN,MID(AK$1,1,2),FALSE)</f>
        <v>0</v>
      </c>
      <c r="AL2081" s="55">
        <f>VLOOKUP($E2081,'NI-Soc_SP'!$C:$AN,MID(AL$1,1,2),FALSE)</f>
        <v>0</v>
      </c>
      <c r="AM2081" s="56">
        <f>VLOOKUP($E2081,'NI-Soc_SP'!$C:$AN,MID(AM$1,1,2),FALSE)</f>
        <v>0</v>
      </c>
      <c r="AN2081" s="30" t="str">
        <f t="shared" si="32"/>
        <v>70501060050000</v>
      </c>
    </row>
    <row r="2082" spans="1:40" x14ac:dyDescent="0.25">
      <c r="C2082" s="40"/>
      <c r="D2082" s="121" t="s">
        <v>2428</v>
      </c>
      <c r="E2082" s="121" t="s">
        <v>2429</v>
      </c>
      <c r="F2082" s="122" t="s">
        <v>2758</v>
      </c>
      <c r="G2082" s="52" t="s">
        <v>1608</v>
      </c>
      <c r="H2082" s="52"/>
      <c r="I2082" s="118" t="s">
        <v>2410</v>
      </c>
      <c r="J2082" s="118"/>
      <c r="K2082" s="59" t="s">
        <v>79</v>
      </c>
      <c r="L2082" s="62"/>
      <c r="M2082" s="52"/>
      <c r="N2082" s="52"/>
      <c r="O2082" s="61" t="s">
        <v>2430</v>
      </c>
      <c r="P2082" s="60" t="s">
        <v>2431</v>
      </c>
      <c r="Q2082" s="55">
        <f>VLOOKUP(E2082,'NI-Soc_SP'!$C:$AN,12,FALSE)</f>
        <v>0</v>
      </c>
      <c r="R2082" s="55">
        <f>VLOOKUP(E2082,'NI-Soc_SP'!$C:$AN,13,FALSE)</f>
        <v>0</v>
      </c>
      <c r="S2082" s="55">
        <f>VLOOKUP(E2082,'NI-Soc_SP'!$C:$AN,30,FALSE)</f>
        <v>0</v>
      </c>
      <c r="T2082" s="94">
        <f>VLOOKUP(E2082,'NI-Soc_SP'!$C:$AN,31,FALSE)+VLOOKUP(E2082,'NI-Soc_SP'!$C:$AN,32,FALSE)</f>
        <v>0</v>
      </c>
      <c r="U2082" s="55">
        <f>VLOOKUP($E2082,'NI-Soc_SP'!$C:$AN,MID(U$1,1,2),FALSE)</f>
        <v>0</v>
      </c>
      <c r="V2082" s="55">
        <f>VLOOKUP($E2082,'NI-Soc_SP'!$C:$AN,MID(V$1,1,2),FALSE)</f>
        <v>0</v>
      </c>
      <c r="W2082" s="55">
        <f>VLOOKUP($E2082,'NI-Soc_SP'!$C:$AN,MID(W$1,1,2),FALSE)</f>
        <v>0</v>
      </c>
      <c r="X2082" s="55">
        <f>VLOOKUP($E2082,'NI-Soc_SP'!$C:$AN,MID(X$1,1,2),FALSE)</f>
        <v>0</v>
      </c>
      <c r="Y2082" s="55">
        <f>VLOOKUP($E2082,'NI-Soc_SP'!$C:$AN,MID(Y$1,1,2),FALSE)</f>
        <v>0</v>
      </c>
      <c r="Z2082" s="55">
        <f>VLOOKUP($E2082,'NI-Soc_SP'!$C:$AN,MID(Z$1,1,2),FALSE)</f>
        <v>0</v>
      </c>
      <c r="AA2082" s="55">
        <f>VLOOKUP($E2082,'NI-Soc_SP'!$C:$AN,MID(AA$1,1,2),FALSE)</f>
        <v>0</v>
      </c>
      <c r="AB2082" s="55">
        <f>VLOOKUP($E2082,'NI-Soc_SP'!$C:$AN,MID(AB$1,1,2),FALSE)</f>
        <v>0</v>
      </c>
      <c r="AC2082" s="55">
        <f>VLOOKUP($E2082,'NI-Soc_SP'!$C:$AN,MID(AC$1,1,2),FALSE)</f>
        <v>0</v>
      </c>
      <c r="AD2082" s="55">
        <f>VLOOKUP($E2082,'NI-Soc_SP'!$C:$AN,MID(AD$1,1,2),FALSE)</f>
        <v>0</v>
      </c>
      <c r="AE2082" s="55">
        <f>VLOOKUP($E2082,'NI-Soc_SP'!$C:$AN,MID(AE$1,1,2),FALSE)</f>
        <v>0</v>
      </c>
      <c r="AF2082" s="55">
        <f>VLOOKUP($E2082,'NI-Soc_SP'!$C:$AN,MID(AF$1,1,2),FALSE)</f>
        <v>0</v>
      </c>
      <c r="AG2082" s="55">
        <f>VLOOKUP($E2082,'NI-Soc_SP'!$C:$AN,MID(AG$1,1,2),FALSE)</f>
        <v>0</v>
      </c>
      <c r="AH2082" s="55">
        <f>VLOOKUP($E2082,'NI-Soc_SP'!$C:$AN,MID(AH$1,1,2),FALSE)</f>
        <v>0</v>
      </c>
      <c r="AI2082" s="55">
        <f>VLOOKUP($E2082,'NI-Soc_SP'!$C:$AN,MID(AI$1,1,2),FALSE)</f>
        <v>0</v>
      </c>
      <c r="AJ2082" s="55">
        <f>VLOOKUP($E2082,'NI-Soc_SP'!$C:$AN,MID(AJ$1,1,2),FALSE)</f>
        <v>0</v>
      </c>
      <c r="AK2082" s="55">
        <f>VLOOKUP($E2082,'NI-Soc_SP'!$C:$AN,MID(AK$1,1,2),FALSE)</f>
        <v>0</v>
      </c>
      <c r="AL2082" s="55">
        <f>VLOOKUP($E2082,'NI-Soc_SP'!$C:$AN,MID(AL$1,1,2),FALSE)</f>
        <v>0</v>
      </c>
      <c r="AM2082" s="56">
        <f>VLOOKUP($E2082,'NI-Soc_SP'!$C:$AN,MID(AM$1,1,2),FALSE)</f>
        <v>0</v>
      </c>
      <c r="AN2082" s="30" t="str">
        <f t="shared" si="32"/>
        <v>70501060060000</v>
      </c>
    </row>
    <row r="2083" spans="1:40" x14ac:dyDescent="0.25">
      <c r="C2083" s="40"/>
      <c r="D2083" s="121" t="s">
        <v>2432</v>
      </c>
      <c r="E2083" s="121" t="s">
        <v>2433</v>
      </c>
      <c r="F2083" s="122" t="s">
        <v>2758</v>
      </c>
      <c r="G2083" s="52" t="s">
        <v>1608</v>
      </c>
      <c r="H2083" s="52"/>
      <c r="I2083" s="118" t="s">
        <v>2410</v>
      </c>
      <c r="J2083" s="118"/>
      <c r="K2083" s="59" t="s">
        <v>79</v>
      </c>
      <c r="L2083" s="62"/>
      <c r="M2083" s="52"/>
      <c r="N2083" s="52"/>
      <c r="O2083" s="61" t="s">
        <v>2434</v>
      </c>
      <c r="P2083" s="60" t="s">
        <v>2435</v>
      </c>
      <c r="Q2083" s="55">
        <f>VLOOKUP(E2083,'NI-Soc_SP'!$C:$AN,12,FALSE)</f>
        <v>0</v>
      </c>
      <c r="R2083" s="55">
        <f>VLOOKUP(E2083,'NI-Soc_SP'!$C:$AN,13,FALSE)</f>
        <v>0</v>
      </c>
      <c r="S2083" s="55">
        <f>VLOOKUP(E2083,'NI-Soc_SP'!$C:$AN,30,FALSE)</f>
        <v>0</v>
      </c>
      <c r="T2083" s="94">
        <f>VLOOKUP(E2083,'NI-Soc_SP'!$C:$AN,31,FALSE)+VLOOKUP(E2083,'NI-Soc_SP'!$C:$AN,32,FALSE)</f>
        <v>0</v>
      </c>
      <c r="U2083" s="55">
        <f>VLOOKUP($E2083,'NI-Soc_SP'!$C:$AN,MID(U$1,1,2),FALSE)</f>
        <v>0</v>
      </c>
      <c r="V2083" s="55">
        <f>VLOOKUP($E2083,'NI-Soc_SP'!$C:$AN,MID(V$1,1,2),FALSE)</f>
        <v>0</v>
      </c>
      <c r="W2083" s="55">
        <f>VLOOKUP($E2083,'NI-Soc_SP'!$C:$AN,MID(W$1,1,2),FALSE)</f>
        <v>0</v>
      </c>
      <c r="X2083" s="55">
        <f>VLOOKUP($E2083,'NI-Soc_SP'!$C:$AN,MID(X$1,1,2),FALSE)</f>
        <v>0</v>
      </c>
      <c r="Y2083" s="55">
        <f>VLOOKUP($E2083,'NI-Soc_SP'!$C:$AN,MID(Y$1,1,2),FALSE)</f>
        <v>0</v>
      </c>
      <c r="Z2083" s="55">
        <f>VLOOKUP($E2083,'NI-Soc_SP'!$C:$AN,MID(Z$1,1,2),FALSE)</f>
        <v>0</v>
      </c>
      <c r="AA2083" s="55">
        <f>VLOOKUP($E2083,'NI-Soc_SP'!$C:$AN,MID(AA$1,1,2),FALSE)</f>
        <v>0</v>
      </c>
      <c r="AB2083" s="55">
        <f>VLOOKUP($E2083,'NI-Soc_SP'!$C:$AN,MID(AB$1,1,2),FALSE)</f>
        <v>0</v>
      </c>
      <c r="AC2083" s="55">
        <f>VLOOKUP($E2083,'NI-Soc_SP'!$C:$AN,MID(AC$1,1,2),FALSE)</f>
        <v>0</v>
      </c>
      <c r="AD2083" s="55">
        <f>VLOOKUP($E2083,'NI-Soc_SP'!$C:$AN,MID(AD$1,1,2),FALSE)</f>
        <v>0</v>
      </c>
      <c r="AE2083" s="55">
        <f>VLOOKUP($E2083,'NI-Soc_SP'!$C:$AN,MID(AE$1,1,2),FALSE)</f>
        <v>0</v>
      </c>
      <c r="AF2083" s="55">
        <f>VLOOKUP($E2083,'NI-Soc_SP'!$C:$AN,MID(AF$1,1,2),FALSE)</f>
        <v>0</v>
      </c>
      <c r="AG2083" s="55">
        <f>VLOOKUP($E2083,'NI-Soc_SP'!$C:$AN,MID(AG$1,1,2),FALSE)</f>
        <v>0</v>
      </c>
      <c r="AH2083" s="55">
        <f>VLOOKUP($E2083,'NI-Soc_SP'!$C:$AN,MID(AH$1,1,2),FALSE)</f>
        <v>0</v>
      </c>
      <c r="AI2083" s="55">
        <f>VLOOKUP($E2083,'NI-Soc_SP'!$C:$AN,MID(AI$1,1,2),FALSE)</f>
        <v>0</v>
      </c>
      <c r="AJ2083" s="55">
        <f>VLOOKUP($E2083,'NI-Soc_SP'!$C:$AN,MID(AJ$1,1,2),FALSE)</f>
        <v>0</v>
      </c>
      <c r="AK2083" s="55">
        <f>VLOOKUP($E2083,'NI-Soc_SP'!$C:$AN,MID(AK$1,1,2),FALSE)</f>
        <v>0</v>
      </c>
      <c r="AL2083" s="55">
        <f>VLOOKUP($E2083,'NI-Soc_SP'!$C:$AN,MID(AL$1,1,2),FALSE)</f>
        <v>0</v>
      </c>
      <c r="AM2083" s="56">
        <f>VLOOKUP($E2083,'NI-Soc_SP'!$C:$AN,MID(AM$1,1,2),FALSE)</f>
        <v>0</v>
      </c>
      <c r="AN2083" s="30" t="str">
        <f t="shared" si="32"/>
        <v>70501060070000</v>
      </c>
    </row>
    <row r="2084" spans="1:40" x14ac:dyDescent="0.25">
      <c r="A2084" s="30" t="s">
        <v>1394</v>
      </c>
      <c r="C2084" s="40"/>
      <c r="D2084" s="98" t="s">
        <v>2436</v>
      </c>
      <c r="E2084" s="98" t="s">
        <v>2437</v>
      </c>
      <c r="F2084" s="122" t="s">
        <v>2758</v>
      </c>
      <c r="H2084" s="52"/>
      <c r="I2084" s="52"/>
      <c r="J2084" s="79" t="s">
        <v>2438</v>
      </c>
      <c r="K2084" s="59" t="s">
        <v>79</v>
      </c>
      <c r="L2084" s="52"/>
      <c r="M2084" s="52"/>
      <c r="N2084" s="52"/>
      <c r="O2084" s="61" t="s">
        <v>2434</v>
      </c>
      <c r="P2084" s="79" t="s">
        <v>2439</v>
      </c>
      <c r="Q2084" s="55">
        <f>VLOOKUP(E2084,'NI-Soc_SP'!$C:$AN,12,FALSE)</f>
        <v>0</v>
      </c>
      <c r="R2084" s="55">
        <f>VLOOKUP(E2084,'NI-Soc_SP'!$C:$AN,13,FALSE)</f>
        <v>0</v>
      </c>
      <c r="S2084" s="55">
        <f>VLOOKUP(E2084,'NI-Soc_SP'!$C:$AN,30,FALSE)</f>
        <v>0</v>
      </c>
      <c r="T2084" s="94">
        <f>VLOOKUP(E2084,'NI-Soc_SP'!$C:$AN,31,FALSE)+VLOOKUP(E2084,'NI-Soc_SP'!$C:$AN,32,FALSE)</f>
        <v>0</v>
      </c>
      <c r="U2084" s="55">
        <f>VLOOKUP($E2084,'NI-Soc_SP'!$C:$AN,MID(U$1,1,2),FALSE)</f>
        <v>0</v>
      </c>
      <c r="V2084" s="55">
        <f>VLOOKUP($E2084,'NI-Soc_SP'!$C:$AN,MID(V$1,1,2),FALSE)</f>
        <v>0</v>
      </c>
      <c r="W2084" s="55">
        <f>VLOOKUP($E2084,'NI-Soc_SP'!$C:$AN,MID(W$1,1,2),FALSE)</f>
        <v>0</v>
      </c>
      <c r="X2084" s="55">
        <f>VLOOKUP($E2084,'NI-Soc_SP'!$C:$AN,MID(X$1,1,2),FALSE)</f>
        <v>0</v>
      </c>
      <c r="Y2084" s="55">
        <f>VLOOKUP($E2084,'NI-Soc_SP'!$C:$AN,MID(Y$1,1,2),FALSE)</f>
        <v>0</v>
      </c>
      <c r="Z2084" s="55">
        <f>VLOOKUP($E2084,'NI-Soc_SP'!$C:$AN,MID(Z$1,1,2),FALSE)</f>
        <v>0</v>
      </c>
      <c r="AA2084" s="55">
        <f>VLOOKUP($E2084,'NI-Soc_SP'!$C:$AN,MID(AA$1,1,2),FALSE)</f>
        <v>0</v>
      </c>
      <c r="AB2084" s="55">
        <f>VLOOKUP($E2084,'NI-Soc_SP'!$C:$AN,MID(AB$1,1,2),FALSE)</f>
        <v>0</v>
      </c>
      <c r="AC2084" s="55">
        <f>VLOOKUP($E2084,'NI-Soc_SP'!$C:$AN,MID(AC$1,1,2),FALSE)</f>
        <v>0</v>
      </c>
      <c r="AD2084" s="55">
        <f>VLOOKUP($E2084,'NI-Soc_SP'!$C:$AN,MID(AD$1,1,2),FALSE)</f>
        <v>0</v>
      </c>
      <c r="AE2084" s="55">
        <f>VLOOKUP($E2084,'NI-Soc_SP'!$C:$AN,MID(AE$1,1,2),FALSE)</f>
        <v>0</v>
      </c>
      <c r="AF2084" s="55">
        <f>VLOOKUP($E2084,'NI-Soc_SP'!$C:$AN,MID(AF$1,1,2),FALSE)</f>
        <v>0</v>
      </c>
      <c r="AG2084" s="55">
        <f>VLOOKUP($E2084,'NI-Soc_SP'!$C:$AN,MID(AG$1,1,2),FALSE)</f>
        <v>0</v>
      </c>
      <c r="AH2084" s="55">
        <f>VLOOKUP($E2084,'NI-Soc_SP'!$C:$AN,MID(AH$1,1,2),FALSE)</f>
        <v>0</v>
      </c>
      <c r="AI2084" s="55">
        <f>VLOOKUP($E2084,'NI-Soc_SP'!$C:$AN,MID(AI$1,1,2),FALSE)</f>
        <v>0</v>
      </c>
      <c r="AJ2084" s="55">
        <f>VLOOKUP($E2084,'NI-Soc_SP'!$C:$AN,MID(AJ$1,1,2),FALSE)</f>
        <v>0</v>
      </c>
      <c r="AK2084" s="55">
        <f>VLOOKUP($E2084,'NI-Soc_SP'!$C:$AN,MID(AK$1,1,2),FALSE)</f>
        <v>0</v>
      </c>
      <c r="AL2084" s="55">
        <f>VLOOKUP($E2084,'NI-Soc_SP'!$C:$AN,MID(AL$1,1,2),FALSE)</f>
        <v>0</v>
      </c>
      <c r="AM2084" s="56">
        <f>VLOOKUP($E2084,'NI-Soc_SP'!$C:$AN,MID(AM$1,1,2),FALSE)</f>
        <v>0</v>
      </c>
      <c r="AN2084" s="30" t="str">
        <f t="shared" si="32"/>
        <v>70501070000000</v>
      </c>
    </row>
    <row r="2085" spans="1:40" x14ac:dyDescent="0.25">
      <c r="A2085" s="30" t="s">
        <v>1394</v>
      </c>
      <c r="C2085" s="40"/>
      <c r="D2085" s="98" t="s">
        <v>2440</v>
      </c>
      <c r="E2085" s="98" t="s">
        <v>2441</v>
      </c>
      <c r="F2085" s="122" t="s">
        <v>2758</v>
      </c>
      <c r="H2085" s="52"/>
      <c r="I2085" s="52"/>
      <c r="J2085" s="79" t="s">
        <v>2442</v>
      </c>
      <c r="K2085" s="59" t="s">
        <v>79</v>
      </c>
      <c r="L2085" s="52"/>
      <c r="M2085" s="52"/>
      <c r="N2085" s="52"/>
      <c r="O2085" s="61" t="s">
        <v>2434</v>
      </c>
      <c r="P2085" s="79" t="s">
        <v>2443</v>
      </c>
      <c r="Q2085" s="55">
        <f>VLOOKUP(E2085,'NI-Soc_SP'!$C:$AN,12,FALSE)</f>
        <v>0</v>
      </c>
      <c r="R2085" s="55">
        <f>VLOOKUP(E2085,'NI-Soc_SP'!$C:$AN,13,FALSE)</f>
        <v>0</v>
      </c>
      <c r="S2085" s="55">
        <f>VLOOKUP(E2085,'NI-Soc_SP'!$C:$AN,30,FALSE)</f>
        <v>0</v>
      </c>
      <c r="T2085" s="94">
        <f>VLOOKUP(E2085,'NI-Soc_SP'!$C:$AN,31,FALSE)+VLOOKUP(E2085,'NI-Soc_SP'!$C:$AN,32,FALSE)</f>
        <v>0</v>
      </c>
      <c r="U2085" s="55">
        <f>VLOOKUP($E2085,'NI-Soc_SP'!$C:$AN,MID(U$1,1,2),FALSE)</f>
        <v>0</v>
      </c>
      <c r="V2085" s="55">
        <f>VLOOKUP($E2085,'NI-Soc_SP'!$C:$AN,MID(V$1,1,2),FALSE)</f>
        <v>0</v>
      </c>
      <c r="W2085" s="55">
        <f>VLOOKUP($E2085,'NI-Soc_SP'!$C:$AN,MID(W$1,1,2),FALSE)</f>
        <v>0</v>
      </c>
      <c r="X2085" s="55">
        <f>VLOOKUP($E2085,'NI-Soc_SP'!$C:$AN,MID(X$1,1,2),FALSE)</f>
        <v>0</v>
      </c>
      <c r="Y2085" s="55">
        <f>VLOOKUP($E2085,'NI-Soc_SP'!$C:$AN,MID(Y$1,1,2),FALSE)</f>
        <v>0</v>
      </c>
      <c r="Z2085" s="55">
        <f>VLOOKUP($E2085,'NI-Soc_SP'!$C:$AN,MID(Z$1,1,2),FALSE)</f>
        <v>0</v>
      </c>
      <c r="AA2085" s="55">
        <f>VLOOKUP($E2085,'NI-Soc_SP'!$C:$AN,MID(AA$1,1,2),FALSE)</f>
        <v>0</v>
      </c>
      <c r="AB2085" s="55">
        <f>VLOOKUP($E2085,'NI-Soc_SP'!$C:$AN,MID(AB$1,1,2),FALSE)</f>
        <v>0</v>
      </c>
      <c r="AC2085" s="55">
        <f>VLOOKUP($E2085,'NI-Soc_SP'!$C:$AN,MID(AC$1,1,2),FALSE)</f>
        <v>0</v>
      </c>
      <c r="AD2085" s="55">
        <f>VLOOKUP($E2085,'NI-Soc_SP'!$C:$AN,MID(AD$1,1,2),FALSE)</f>
        <v>0</v>
      </c>
      <c r="AE2085" s="55">
        <f>VLOOKUP($E2085,'NI-Soc_SP'!$C:$AN,MID(AE$1,1,2),FALSE)</f>
        <v>0</v>
      </c>
      <c r="AF2085" s="55">
        <f>VLOOKUP($E2085,'NI-Soc_SP'!$C:$AN,MID(AF$1,1,2),FALSE)</f>
        <v>0</v>
      </c>
      <c r="AG2085" s="55">
        <f>VLOOKUP($E2085,'NI-Soc_SP'!$C:$AN,MID(AG$1,1,2),FALSE)</f>
        <v>0</v>
      </c>
      <c r="AH2085" s="55">
        <f>VLOOKUP($E2085,'NI-Soc_SP'!$C:$AN,MID(AH$1,1,2),FALSE)</f>
        <v>0</v>
      </c>
      <c r="AI2085" s="55">
        <f>VLOOKUP($E2085,'NI-Soc_SP'!$C:$AN,MID(AI$1,1,2),FALSE)</f>
        <v>0</v>
      </c>
      <c r="AJ2085" s="55">
        <f>VLOOKUP($E2085,'NI-Soc_SP'!$C:$AN,MID(AJ$1,1,2),FALSE)</f>
        <v>0</v>
      </c>
      <c r="AK2085" s="55">
        <f>VLOOKUP($E2085,'NI-Soc_SP'!$C:$AN,MID(AK$1,1,2),FALSE)</f>
        <v>0</v>
      </c>
      <c r="AL2085" s="55">
        <f>VLOOKUP($E2085,'NI-Soc_SP'!$C:$AN,MID(AL$1,1,2),FALSE)</f>
        <v>0</v>
      </c>
      <c r="AM2085" s="56">
        <f>VLOOKUP($E2085,'NI-Soc_SP'!$C:$AN,MID(AM$1,1,2),FALSE)</f>
        <v>0</v>
      </c>
      <c r="AN2085" s="30" t="str">
        <f t="shared" si="32"/>
        <v>70501080010000</v>
      </c>
    </row>
    <row r="2086" spans="1:40" x14ac:dyDescent="0.25">
      <c r="A2086" s="30" t="s">
        <v>1394</v>
      </c>
      <c r="C2086" s="40"/>
      <c r="D2086" s="98" t="s">
        <v>2444</v>
      </c>
      <c r="E2086" s="98" t="s">
        <v>2445</v>
      </c>
      <c r="F2086" s="122" t="s">
        <v>2758</v>
      </c>
      <c r="H2086" s="52"/>
      <c r="I2086" s="52"/>
      <c r="J2086" s="79" t="s">
        <v>2442</v>
      </c>
      <c r="K2086" s="59" t="s">
        <v>79</v>
      </c>
      <c r="L2086" s="52"/>
      <c r="M2086" s="52"/>
      <c r="N2086" s="52"/>
      <c r="O2086" s="61" t="s">
        <v>2434</v>
      </c>
      <c r="P2086" s="79" t="s">
        <v>2446</v>
      </c>
      <c r="Q2086" s="55">
        <f>VLOOKUP(E2086,'NI-Soc_SP'!$C:$AN,12,FALSE)</f>
        <v>0</v>
      </c>
      <c r="R2086" s="55">
        <f>VLOOKUP(E2086,'NI-Soc_SP'!$C:$AN,13,FALSE)</f>
        <v>0</v>
      </c>
      <c r="S2086" s="55">
        <f>VLOOKUP(E2086,'NI-Soc_SP'!$C:$AN,30,FALSE)</f>
        <v>0</v>
      </c>
      <c r="T2086" s="94">
        <f>VLOOKUP(E2086,'NI-Soc_SP'!$C:$AN,31,FALSE)+VLOOKUP(E2086,'NI-Soc_SP'!$C:$AN,32,FALSE)</f>
        <v>0</v>
      </c>
      <c r="U2086" s="55">
        <f>VLOOKUP($E2086,'NI-Soc_SP'!$C:$AN,MID(U$1,1,2),FALSE)</f>
        <v>0</v>
      </c>
      <c r="V2086" s="55">
        <f>VLOOKUP($E2086,'NI-Soc_SP'!$C:$AN,MID(V$1,1,2),FALSE)</f>
        <v>0</v>
      </c>
      <c r="W2086" s="55">
        <f>VLOOKUP($E2086,'NI-Soc_SP'!$C:$AN,MID(W$1,1,2),FALSE)</f>
        <v>0</v>
      </c>
      <c r="X2086" s="55">
        <f>VLOOKUP($E2086,'NI-Soc_SP'!$C:$AN,MID(X$1,1,2),FALSE)</f>
        <v>0</v>
      </c>
      <c r="Y2086" s="55">
        <f>VLOOKUP($E2086,'NI-Soc_SP'!$C:$AN,MID(Y$1,1,2),FALSE)</f>
        <v>0</v>
      </c>
      <c r="Z2086" s="55">
        <f>VLOOKUP($E2086,'NI-Soc_SP'!$C:$AN,MID(Z$1,1,2),FALSE)</f>
        <v>0</v>
      </c>
      <c r="AA2086" s="55">
        <f>VLOOKUP($E2086,'NI-Soc_SP'!$C:$AN,MID(AA$1,1,2),FALSE)</f>
        <v>0</v>
      </c>
      <c r="AB2086" s="55">
        <f>VLOOKUP($E2086,'NI-Soc_SP'!$C:$AN,MID(AB$1,1,2),FALSE)</f>
        <v>0</v>
      </c>
      <c r="AC2086" s="55">
        <f>VLOOKUP($E2086,'NI-Soc_SP'!$C:$AN,MID(AC$1,1,2),FALSE)</f>
        <v>0</v>
      </c>
      <c r="AD2086" s="55">
        <f>VLOOKUP($E2086,'NI-Soc_SP'!$C:$AN,MID(AD$1,1,2),FALSE)</f>
        <v>0</v>
      </c>
      <c r="AE2086" s="55">
        <f>VLOOKUP($E2086,'NI-Soc_SP'!$C:$AN,MID(AE$1,1,2),FALSE)</f>
        <v>0</v>
      </c>
      <c r="AF2086" s="55">
        <f>VLOOKUP($E2086,'NI-Soc_SP'!$C:$AN,MID(AF$1,1,2),FALSE)</f>
        <v>0</v>
      </c>
      <c r="AG2086" s="55">
        <f>VLOOKUP($E2086,'NI-Soc_SP'!$C:$AN,MID(AG$1,1,2),FALSE)</f>
        <v>0</v>
      </c>
      <c r="AH2086" s="55">
        <f>VLOOKUP($E2086,'NI-Soc_SP'!$C:$AN,MID(AH$1,1,2),FALSE)</f>
        <v>0</v>
      </c>
      <c r="AI2086" s="55">
        <f>VLOOKUP($E2086,'NI-Soc_SP'!$C:$AN,MID(AI$1,1,2),FALSE)</f>
        <v>0</v>
      </c>
      <c r="AJ2086" s="55">
        <f>VLOOKUP($E2086,'NI-Soc_SP'!$C:$AN,MID(AJ$1,1,2),FALSE)</f>
        <v>0</v>
      </c>
      <c r="AK2086" s="55">
        <f>VLOOKUP($E2086,'NI-Soc_SP'!$C:$AN,MID(AK$1,1,2),FALSE)</f>
        <v>0</v>
      </c>
      <c r="AL2086" s="55">
        <f>VLOOKUP($E2086,'NI-Soc_SP'!$C:$AN,MID(AL$1,1,2),FALSE)</f>
        <v>0</v>
      </c>
      <c r="AM2086" s="56">
        <f>VLOOKUP($E2086,'NI-Soc_SP'!$C:$AN,MID(AM$1,1,2),FALSE)</f>
        <v>0</v>
      </c>
      <c r="AN2086" s="30" t="str">
        <f t="shared" si="32"/>
        <v>70501080020000</v>
      </c>
    </row>
    <row r="2087" spans="1:40" x14ac:dyDescent="0.25">
      <c r="A2087" s="30" t="s">
        <v>1394</v>
      </c>
      <c r="C2087" s="40"/>
      <c r="D2087" s="98" t="s">
        <v>2447</v>
      </c>
      <c r="E2087" s="98" t="s">
        <v>2448</v>
      </c>
      <c r="F2087" s="122" t="s">
        <v>2758</v>
      </c>
      <c r="H2087" s="52"/>
      <c r="I2087" s="52"/>
      <c r="J2087" s="79" t="s">
        <v>2442</v>
      </c>
      <c r="K2087" s="59" t="s">
        <v>79</v>
      </c>
      <c r="L2087" s="52"/>
      <c r="M2087" s="52"/>
      <c r="N2087" s="52"/>
      <c r="O2087" s="61" t="s">
        <v>2434</v>
      </c>
      <c r="P2087" s="79" t="s">
        <v>2449</v>
      </c>
      <c r="Q2087" s="55">
        <f>VLOOKUP(E2087,'NI-Soc_SP'!$C:$AN,12,FALSE)</f>
        <v>0</v>
      </c>
      <c r="R2087" s="55">
        <f>VLOOKUP(E2087,'NI-Soc_SP'!$C:$AN,13,FALSE)</f>
        <v>0</v>
      </c>
      <c r="S2087" s="55">
        <f>VLOOKUP(E2087,'NI-Soc_SP'!$C:$AN,30,FALSE)</f>
        <v>0</v>
      </c>
      <c r="T2087" s="94">
        <f>VLOOKUP(E2087,'NI-Soc_SP'!$C:$AN,31,FALSE)+VLOOKUP(E2087,'NI-Soc_SP'!$C:$AN,32,FALSE)</f>
        <v>0</v>
      </c>
      <c r="U2087" s="55">
        <f>VLOOKUP($E2087,'NI-Soc_SP'!$C:$AN,MID(U$1,1,2),FALSE)</f>
        <v>0</v>
      </c>
      <c r="V2087" s="55">
        <f>VLOOKUP($E2087,'NI-Soc_SP'!$C:$AN,MID(V$1,1,2),FALSE)</f>
        <v>0</v>
      </c>
      <c r="W2087" s="55">
        <f>VLOOKUP($E2087,'NI-Soc_SP'!$C:$AN,MID(W$1,1,2),FALSE)</f>
        <v>0</v>
      </c>
      <c r="X2087" s="55">
        <f>VLOOKUP($E2087,'NI-Soc_SP'!$C:$AN,MID(X$1,1,2),FALSE)</f>
        <v>0</v>
      </c>
      <c r="Y2087" s="55">
        <f>VLOOKUP($E2087,'NI-Soc_SP'!$C:$AN,MID(Y$1,1,2),FALSE)</f>
        <v>0</v>
      </c>
      <c r="Z2087" s="55">
        <f>VLOOKUP($E2087,'NI-Soc_SP'!$C:$AN,MID(Z$1,1,2),FALSE)</f>
        <v>0</v>
      </c>
      <c r="AA2087" s="55">
        <f>VLOOKUP($E2087,'NI-Soc_SP'!$C:$AN,MID(AA$1,1,2),FALSE)</f>
        <v>0</v>
      </c>
      <c r="AB2087" s="55">
        <f>VLOOKUP($E2087,'NI-Soc_SP'!$C:$AN,MID(AB$1,1,2),FALSE)</f>
        <v>0</v>
      </c>
      <c r="AC2087" s="55">
        <f>VLOOKUP($E2087,'NI-Soc_SP'!$C:$AN,MID(AC$1,1,2),FALSE)</f>
        <v>0</v>
      </c>
      <c r="AD2087" s="55">
        <f>VLOOKUP($E2087,'NI-Soc_SP'!$C:$AN,MID(AD$1,1,2),FALSE)</f>
        <v>0</v>
      </c>
      <c r="AE2087" s="55">
        <f>VLOOKUP($E2087,'NI-Soc_SP'!$C:$AN,MID(AE$1,1,2),FALSE)</f>
        <v>0</v>
      </c>
      <c r="AF2087" s="55">
        <f>VLOOKUP($E2087,'NI-Soc_SP'!$C:$AN,MID(AF$1,1,2),FALSE)</f>
        <v>0</v>
      </c>
      <c r="AG2087" s="55">
        <f>VLOOKUP($E2087,'NI-Soc_SP'!$C:$AN,MID(AG$1,1,2),FALSE)</f>
        <v>0</v>
      </c>
      <c r="AH2087" s="55">
        <f>VLOOKUP($E2087,'NI-Soc_SP'!$C:$AN,MID(AH$1,1,2),FALSE)</f>
        <v>0</v>
      </c>
      <c r="AI2087" s="55">
        <f>VLOOKUP($E2087,'NI-Soc_SP'!$C:$AN,MID(AI$1,1,2),FALSE)</f>
        <v>0</v>
      </c>
      <c r="AJ2087" s="55">
        <f>VLOOKUP($E2087,'NI-Soc_SP'!$C:$AN,MID(AJ$1,1,2),FALSE)</f>
        <v>0</v>
      </c>
      <c r="AK2087" s="55">
        <f>VLOOKUP($E2087,'NI-Soc_SP'!$C:$AN,MID(AK$1,1,2),FALSE)</f>
        <v>0</v>
      </c>
      <c r="AL2087" s="55">
        <f>VLOOKUP($E2087,'NI-Soc_SP'!$C:$AN,MID(AL$1,1,2),FALSE)</f>
        <v>0</v>
      </c>
      <c r="AM2087" s="56">
        <f>VLOOKUP($E2087,'NI-Soc_SP'!$C:$AN,MID(AM$1,1,2),FALSE)</f>
        <v>0</v>
      </c>
      <c r="AN2087" s="30" t="str">
        <f t="shared" si="32"/>
        <v>70501080030000</v>
      </c>
    </row>
    <row r="2088" spans="1:40" x14ac:dyDescent="0.25">
      <c r="A2088" s="30" t="s">
        <v>1394</v>
      </c>
      <c r="C2088" s="40"/>
      <c r="D2088" s="98" t="s">
        <v>2450</v>
      </c>
      <c r="E2088" s="98" t="s">
        <v>2451</v>
      </c>
      <c r="F2088" s="122" t="s">
        <v>2758</v>
      </c>
      <c r="H2088" s="52"/>
      <c r="I2088" s="52"/>
      <c r="J2088" s="79" t="s">
        <v>2452</v>
      </c>
      <c r="K2088" s="59" t="s">
        <v>79</v>
      </c>
      <c r="L2088" s="52"/>
      <c r="M2088" s="52"/>
      <c r="N2088" s="52"/>
      <c r="O2088" s="61" t="s">
        <v>2434</v>
      </c>
      <c r="P2088" s="79" t="s">
        <v>2453</v>
      </c>
      <c r="Q2088" s="55">
        <f>VLOOKUP(E2088,'NI-Soc_SP'!$C:$AN,12,FALSE)</f>
        <v>0</v>
      </c>
      <c r="R2088" s="55">
        <f>VLOOKUP(E2088,'NI-Soc_SP'!$C:$AN,13,FALSE)</f>
        <v>0</v>
      </c>
      <c r="S2088" s="55">
        <f>VLOOKUP(E2088,'NI-Soc_SP'!$C:$AN,30,FALSE)</f>
        <v>0</v>
      </c>
      <c r="T2088" s="94">
        <f>VLOOKUP(E2088,'NI-Soc_SP'!$C:$AN,31,FALSE)+VLOOKUP(E2088,'NI-Soc_SP'!$C:$AN,32,FALSE)</f>
        <v>0</v>
      </c>
      <c r="U2088" s="55">
        <f>VLOOKUP($E2088,'NI-Soc_SP'!$C:$AN,MID(U$1,1,2),FALSE)</f>
        <v>0</v>
      </c>
      <c r="V2088" s="55">
        <f>VLOOKUP($E2088,'NI-Soc_SP'!$C:$AN,MID(V$1,1,2),FALSE)</f>
        <v>0</v>
      </c>
      <c r="W2088" s="55">
        <f>VLOOKUP($E2088,'NI-Soc_SP'!$C:$AN,MID(W$1,1,2),FALSE)</f>
        <v>0</v>
      </c>
      <c r="X2088" s="55">
        <f>VLOOKUP($E2088,'NI-Soc_SP'!$C:$AN,MID(X$1,1,2),FALSE)</f>
        <v>0</v>
      </c>
      <c r="Y2088" s="55">
        <f>VLOOKUP($E2088,'NI-Soc_SP'!$C:$AN,MID(Y$1,1,2),FALSE)</f>
        <v>0</v>
      </c>
      <c r="Z2088" s="55">
        <f>VLOOKUP($E2088,'NI-Soc_SP'!$C:$AN,MID(Z$1,1,2),FALSE)</f>
        <v>0</v>
      </c>
      <c r="AA2088" s="55">
        <f>VLOOKUP($E2088,'NI-Soc_SP'!$C:$AN,MID(AA$1,1,2),FALSE)</f>
        <v>0</v>
      </c>
      <c r="AB2088" s="55">
        <f>VLOOKUP($E2088,'NI-Soc_SP'!$C:$AN,MID(AB$1,1,2),FALSE)</f>
        <v>0</v>
      </c>
      <c r="AC2088" s="55">
        <f>VLOOKUP($E2088,'NI-Soc_SP'!$C:$AN,MID(AC$1,1,2),FALSE)</f>
        <v>0</v>
      </c>
      <c r="AD2088" s="55">
        <f>VLOOKUP($E2088,'NI-Soc_SP'!$C:$AN,MID(AD$1,1,2),FALSE)</f>
        <v>0</v>
      </c>
      <c r="AE2088" s="55">
        <f>VLOOKUP($E2088,'NI-Soc_SP'!$C:$AN,MID(AE$1,1,2),FALSE)</f>
        <v>0</v>
      </c>
      <c r="AF2088" s="55">
        <f>VLOOKUP($E2088,'NI-Soc_SP'!$C:$AN,MID(AF$1,1,2),FALSE)</f>
        <v>0</v>
      </c>
      <c r="AG2088" s="55">
        <f>VLOOKUP($E2088,'NI-Soc_SP'!$C:$AN,MID(AG$1,1,2),FALSE)</f>
        <v>0</v>
      </c>
      <c r="AH2088" s="55">
        <f>VLOOKUP($E2088,'NI-Soc_SP'!$C:$AN,MID(AH$1,1,2),FALSE)</f>
        <v>0</v>
      </c>
      <c r="AI2088" s="55">
        <f>VLOOKUP($E2088,'NI-Soc_SP'!$C:$AN,MID(AI$1,1,2),FALSE)</f>
        <v>0</v>
      </c>
      <c r="AJ2088" s="55">
        <f>VLOOKUP($E2088,'NI-Soc_SP'!$C:$AN,MID(AJ$1,1,2),FALSE)</f>
        <v>0</v>
      </c>
      <c r="AK2088" s="55">
        <f>VLOOKUP($E2088,'NI-Soc_SP'!$C:$AN,MID(AK$1,1,2),FALSE)</f>
        <v>0</v>
      </c>
      <c r="AL2088" s="55">
        <f>VLOOKUP($E2088,'NI-Soc_SP'!$C:$AN,MID(AL$1,1,2),FALSE)</f>
        <v>0</v>
      </c>
      <c r="AM2088" s="56">
        <f>VLOOKUP($E2088,'NI-Soc_SP'!$C:$AN,MID(AM$1,1,2),FALSE)</f>
        <v>0</v>
      </c>
      <c r="AN2088" s="30" t="str">
        <f t="shared" si="32"/>
        <v>70501090000000</v>
      </c>
    </row>
    <row r="2089" spans="1:40" x14ac:dyDescent="0.25">
      <c r="C2089" s="40"/>
      <c r="D2089" s="121" t="s">
        <v>2454</v>
      </c>
      <c r="E2089" s="121" t="s">
        <v>2455</v>
      </c>
      <c r="F2089" s="122" t="s">
        <v>2758</v>
      </c>
      <c r="G2089" s="52" t="s">
        <v>1608</v>
      </c>
      <c r="H2089" s="52"/>
      <c r="I2089" s="52" t="s">
        <v>2456</v>
      </c>
      <c r="J2089" s="52"/>
      <c r="K2089" s="59" t="s">
        <v>111</v>
      </c>
      <c r="L2089" s="62"/>
      <c r="M2089" s="52"/>
      <c r="N2089" s="52"/>
      <c r="O2089" s="61" t="s">
        <v>2457</v>
      </c>
      <c r="P2089" s="60" t="s">
        <v>2458</v>
      </c>
      <c r="Q2089" s="55">
        <f>VLOOKUP(E2089,'NI-Soc_SP'!$C:$AN,12,FALSE)</f>
        <v>0</v>
      </c>
      <c r="R2089" s="55">
        <f>VLOOKUP(E2089,'NI-Soc_SP'!$C:$AN,13,FALSE)</f>
        <v>0</v>
      </c>
      <c r="S2089" s="55">
        <f>VLOOKUP(E2089,'NI-Soc_SP'!$C:$AN,30,FALSE)</f>
        <v>0</v>
      </c>
      <c r="T2089" s="94">
        <f>VLOOKUP(E2089,'NI-Soc_SP'!$C:$AN,31,FALSE)+VLOOKUP(E2089,'NI-Soc_SP'!$C:$AN,32,FALSE)</f>
        <v>0</v>
      </c>
      <c r="U2089" s="55">
        <f>VLOOKUP($E2089,'NI-Soc_SP'!$C:$AN,MID(U$1,1,2),FALSE)</f>
        <v>0</v>
      </c>
      <c r="V2089" s="55">
        <f>VLOOKUP($E2089,'NI-Soc_SP'!$C:$AN,MID(V$1,1,2),FALSE)</f>
        <v>0</v>
      </c>
      <c r="W2089" s="55">
        <f>VLOOKUP($E2089,'NI-Soc_SP'!$C:$AN,MID(W$1,1,2),FALSE)</f>
        <v>0</v>
      </c>
      <c r="X2089" s="55">
        <f>VLOOKUP($E2089,'NI-Soc_SP'!$C:$AN,MID(X$1,1,2),FALSE)</f>
        <v>0</v>
      </c>
      <c r="Y2089" s="55">
        <f>VLOOKUP($E2089,'NI-Soc_SP'!$C:$AN,MID(Y$1,1,2),FALSE)</f>
        <v>0</v>
      </c>
      <c r="Z2089" s="55">
        <f>VLOOKUP($E2089,'NI-Soc_SP'!$C:$AN,MID(Z$1,1,2),FALSE)</f>
        <v>0</v>
      </c>
      <c r="AA2089" s="55">
        <f>VLOOKUP($E2089,'NI-Soc_SP'!$C:$AN,MID(AA$1,1,2),FALSE)</f>
        <v>0</v>
      </c>
      <c r="AB2089" s="55">
        <f>VLOOKUP($E2089,'NI-Soc_SP'!$C:$AN,MID(AB$1,1,2),FALSE)</f>
        <v>0</v>
      </c>
      <c r="AC2089" s="55">
        <f>VLOOKUP($E2089,'NI-Soc_SP'!$C:$AN,MID(AC$1,1,2),FALSE)</f>
        <v>0</v>
      </c>
      <c r="AD2089" s="55">
        <f>VLOOKUP($E2089,'NI-Soc_SP'!$C:$AN,MID(AD$1,1,2),FALSE)</f>
        <v>0</v>
      </c>
      <c r="AE2089" s="55">
        <f>VLOOKUP($E2089,'NI-Soc_SP'!$C:$AN,MID(AE$1,1,2),FALSE)</f>
        <v>0</v>
      </c>
      <c r="AF2089" s="55">
        <f>VLOOKUP($E2089,'NI-Soc_SP'!$C:$AN,MID(AF$1,1,2),FALSE)</f>
        <v>0</v>
      </c>
      <c r="AG2089" s="55">
        <f>VLOOKUP($E2089,'NI-Soc_SP'!$C:$AN,MID(AG$1,1,2),FALSE)</f>
        <v>0</v>
      </c>
      <c r="AH2089" s="55">
        <f>VLOOKUP($E2089,'NI-Soc_SP'!$C:$AN,MID(AH$1,1,2),FALSE)</f>
        <v>0</v>
      </c>
      <c r="AI2089" s="55">
        <f>VLOOKUP($E2089,'NI-Soc_SP'!$C:$AN,MID(AI$1,1,2),FALSE)</f>
        <v>0</v>
      </c>
      <c r="AJ2089" s="55">
        <f>VLOOKUP($E2089,'NI-Soc_SP'!$C:$AN,MID(AJ$1,1,2),FALSE)</f>
        <v>0</v>
      </c>
      <c r="AK2089" s="55">
        <f>VLOOKUP($E2089,'NI-Soc_SP'!$C:$AN,MID(AK$1,1,2),FALSE)</f>
        <v>0</v>
      </c>
      <c r="AL2089" s="55">
        <f>VLOOKUP($E2089,'NI-Soc_SP'!$C:$AN,MID(AL$1,1,2),FALSE)</f>
        <v>0</v>
      </c>
      <c r="AM2089" s="56">
        <f>VLOOKUP($E2089,'NI-Soc_SP'!$C:$AN,MID(AM$1,1,2),FALSE)</f>
        <v>0</v>
      </c>
      <c r="AN2089" s="30" t="str">
        <f t="shared" si="32"/>
        <v>70502000000000</v>
      </c>
    </row>
    <row r="2090" spans="1:40" ht="27" x14ac:dyDescent="0.25">
      <c r="C2090" s="40"/>
      <c r="D2090" s="121" t="s">
        <v>2459</v>
      </c>
      <c r="E2090" s="121" t="s">
        <v>2460</v>
      </c>
      <c r="F2090" s="122" t="s">
        <v>2758</v>
      </c>
      <c r="G2090" s="52" t="s">
        <v>1608</v>
      </c>
      <c r="H2090" s="52"/>
      <c r="I2090" s="52"/>
      <c r="J2090" s="52"/>
      <c r="K2090" s="59" t="s">
        <v>79</v>
      </c>
      <c r="L2090" s="52"/>
      <c r="M2090" s="100"/>
      <c r="N2090" s="52"/>
      <c r="O2090" s="52"/>
      <c r="P2090" s="63" t="s">
        <v>2461</v>
      </c>
      <c r="Q2090" s="55">
        <f>VLOOKUP(E2090,'NI-Soc_SP'!$C:$AN,12,FALSE)</f>
        <v>0</v>
      </c>
      <c r="R2090" s="55">
        <f>VLOOKUP(E2090,'NI-Soc_SP'!$C:$AN,13,FALSE)</f>
        <v>0</v>
      </c>
      <c r="S2090" s="55">
        <f>VLOOKUP(E2090,'NI-Soc_SP'!$C:$AN,30,FALSE)</f>
        <v>0</v>
      </c>
      <c r="T2090" s="94">
        <f>VLOOKUP(E2090,'NI-Soc_SP'!$C:$AN,31,FALSE)+VLOOKUP(E2090,'NI-Soc_SP'!$C:$AN,32,FALSE)</f>
        <v>0</v>
      </c>
      <c r="U2090" s="55">
        <f>VLOOKUP($E2090,'NI-Soc_SP'!$C:$AN,MID(U$1,1,2),FALSE)</f>
        <v>0</v>
      </c>
      <c r="V2090" s="55">
        <f>VLOOKUP($E2090,'NI-Soc_SP'!$C:$AN,MID(V$1,1,2),FALSE)</f>
        <v>0</v>
      </c>
      <c r="W2090" s="55">
        <f>VLOOKUP($E2090,'NI-Soc_SP'!$C:$AN,MID(W$1,1,2),FALSE)</f>
        <v>0</v>
      </c>
      <c r="X2090" s="55">
        <f>VLOOKUP($E2090,'NI-Soc_SP'!$C:$AN,MID(X$1,1,2),FALSE)</f>
        <v>0</v>
      </c>
      <c r="Y2090" s="55">
        <f>VLOOKUP($E2090,'NI-Soc_SP'!$C:$AN,MID(Y$1,1,2),FALSE)</f>
        <v>0</v>
      </c>
      <c r="Z2090" s="55">
        <f>VLOOKUP($E2090,'NI-Soc_SP'!$C:$AN,MID(Z$1,1,2),FALSE)</f>
        <v>0</v>
      </c>
      <c r="AA2090" s="55">
        <f>VLOOKUP($E2090,'NI-Soc_SP'!$C:$AN,MID(AA$1,1,2),FALSE)</f>
        <v>0</v>
      </c>
      <c r="AB2090" s="55">
        <f>VLOOKUP($E2090,'NI-Soc_SP'!$C:$AN,MID(AB$1,1,2),FALSE)</f>
        <v>0</v>
      </c>
      <c r="AC2090" s="55">
        <f>VLOOKUP($E2090,'NI-Soc_SP'!$C:$AN,MID(AC$1,1,2),FALSE)</f>
        <v>0</v>
      </c>
      <c r="AD2090" s="55">
        <f>VLOOKUP($E2090,'NI-Soc_SP'!$C:$AN,MID(AD$1,1,2),FALSE)</f>
        <v>0</v>
      </c>
      <c r="AE2090" s="55">
        <f>VLOOKUP($E2090,'NI-Soc_SP'!$C:$AN,MID(AE$1,1,2),FALSE)</f>
        <v>0</v>
      </c>
      <c r="AF2090" s="55">
        <f>VLOOKUP($E2090,'NI-Soc_SP'!$C:$AN,MID(AF$1,1,2),FALSE)</f>
        <v>0</v>
      </c>
      <c r="AG2090" s="55">
        <f>VLOOKUP($E2090,'NI-Soc_SP'!$C:$AN,MID(AG$1,1,2),FALSE)</f>
        <v>0</v>
      </c>
      <c r="AH2090" s="55">
        <f>VLOOKUP($E2090,'NI-Soc_SP'!$C:$AN,MID(AH$1,1,2),FALSE)</f>
        <v>0</v>
      </c>
      <c r="AI2090" s="55">
        <f>VLOOKUP($E2090,'NI-Soc_SP'!$C:$AN,MID(AI$1,1,2),FALSE)</f>
        <v>0</v>
      </c>
      <c r="AJ2090" s="55">
        <f>VLOOKUP($E2090,'NI-Soc_SP'!$C:$AN,MID(AJ$1,1,2),FALSE)</f>
        <v>0</v>
      </c>
      <c r="AK2090" s="55">
        <f>VLOOKUP($E2090,'NI-Soc_SP'!$C:$AN,MID(AK$1,1,2),FALSE)</f>
        <v>0</v>
      </c>
      <c r="AL2090" s="55">
        <f>VLOOKUP($E2090,'NI-Soc_SP'!$C:$AN,MID(AL$1,1,2),FALSE)</f>
        <v>0</v>
      </c>
      <c r="AM2090" s="56">
        <f>VLOOKUP($E2090,'NI-Soc_SP'!$C:$AN,MID(AM$1,1,2),FALSE)</f>
        <v>0</v>
      </c>
      <c r="AN2090" s="30" t="str">
        <f t="shared" si="32"/>
        <v>70502010000000</v>
      </c>
    </row>
    <row r="2091" spans="1:40" x14ac:dyDescent="0.25">
      <c r="C2091" s="40"/>
      <c r="D2091" s="121" t="s">
        <v>2462</v>
      </c>
      <c r="E2091" s="121" t="s">
        <v>2463</v>
      </c>
      <c r="F2091" s="122" t="s">
        <v>2758</v>
      </c>
      <c r="G2091" s="52" t="s">
        <v>1608</v>
      </c>
      <c r="H2091" s="52"/>
      <c r="I2091" s="52"/>
      <c r="J2091" s="52"/>
      <c r="K2091" s="59" t="s">
        <v>79</v>
      </c>
      <c r="L2091" s="52"/>
      <c r="M2091" s="100"/>
      <c r="N2091" s="52"/>
      <c r="O2091" s="52"/>
      <c r="P2091" s="63" t="s">
        <v>2464</v>
      </c>
      <c r="Q2091" s="55">
        <f>VLOOKUP(E2091,'NI-Soc_SP'!$C:$AN,12,FALSE)</f>
        <v>0</v>
      </c>
      <c r="R2091" s="55">
        <f>VLOOKUP(E2091,'NI-Soc_SP'!$C:$AN,13,FALSE)</f>
        <v>0</v>
      </c>
      <c r="S2091" s="55">
        <f>VLOOKUP(E2091,'NI-Soc_SP'!$C:$AN,30,FALSE)</f>
        <v>0</v>
      </c>
      <c r="T2091" s="94">
        <f>VLOOKUP(E2091,'NI-Soc_SP'!$C:$AN,31,FALSE)+VLOOKUP(E2091,'NI-Soc_SP'!$C:$AN,32,FALSE)</f>
        <v>0</v>
      </c>
      <c r="U2091" s="55">
        <f>VLOOKUP($E2091,'NI-Soc_SP'!$C:$AN,MID(U$1,1,2),FALSE)</f>
        <v>0</v>
      </c>
      <c r="V2091" s="55">
        <f>VLOOKUP($E2091,'NI-Soc_SP'!$C:$AN,MID(V$1,1,2),FALSE)</f>
        <v>0</v>
      </c>
      <c r="W2091" s="55">
        <f>VLOOKUP($E2091,'NI-Soc_SP'!$C:$AN,MID(W$1,1,2),FALSE)</f>
        <v>0</v>
      </c>
      <c r="X2091" s="55">
        <f>VLOOKUP($E2091,'NI-Soc_SP'!$C:$AN,MID(X$1,1,2),FALSE)</f>
        <v>0</v>
      </c>
      <c r="Y2091" s="55">
        <f>VLOOKUP($E2091,'NI-Soc_SP'!$C:$AN,MID(Y$1,1,2),FALSE)</f>
        <v>0</v>
      </c>
      <c r="Z2091" s="55">
        <f>VLOOKUP($E2091,'NI-Soc_SP'!$C:$AN,MID(Z$1,1,2),FALSE)</f>
        <v>0</v>
      </c>
      <c r="AA2091" s="55">
        <f>VLOOKUP($E2091,'NI-Soc_SP'!$C:$AN,MID(AA$1,1,2),FALSE)</f>
        <v>0</v>
      </c>
      <c r="AB2091" s="55">
        <f>VLOOKUP($E2091,'NI-Soc_SP'!$C:$AN,MID(AB$1,1,2),FALSE)</f>
        <v>0</v>
      </c>
      <c r="AC2091" s="55">
        <f>VLOOKUP($E2091,'NI-Soc_SP'!$C:$AN,MID(AC$1,1,2),FALSE)</f>
        <v>0</v>
      </c>
      <c r="AD2091" s="55">
        <f>VLOOKUP($E2091,'NI-Soc_SP'!$C:$AN,MID(AD$1,1,2),FALSE)</f>
        <v>0</v>
      </c>
      <c r="AE2091" s="55">
        <f>VLOOKUP($E2091,'NI-Soc_SP'!$C:$AN,MID(AE$1,1,2),FALSE)</f>
        <v>0</v>
      </c>
      <c r="AF2091" s="55">
        <f>VLOOKUP($E2091,'NI-Soc_SP'!$C:$AN,MID(AF$1,1,2),FALSE)</f>
        <v>0</v>
      </c>
      <c r="AG2091" s="55">
        <f>VLOOKUP($E2091,'NI-Soc_SP'!$C:$AN,MID(AG$1,1,2),FALSE)</f>
        <v>0</v>
      </c>
      <c r="AH2091" s="55">
        <f>VLOOKUP($E2091,'NI-Soc_SP'!$C:$AN,MID(AH$1,1,2),FALSE)</f>
        <v>0</v>
      </c>
      <c r="AI2091" s="55">
        <f>VLOOKUP($E2091,'NI-Soc_SP'!$C:$AN,MID(AI$1,1,2),FALSE)</f>
        <v>0</v>
      </c>
      <c r="AJ2091" s="55">
        <f>VLOOKUP($E2091,'NI-Soc_SP'!$C:$AN,MID(AJ$1,1,2),FALSE)</f>
        <v>0</v>
      </c>
      <c r="AK2091" s="55">
        <f>VLOOKUP($E2091,'NI-Soc_SP'!$C:$AN,MID(AK$1,1,2),FALSE)</f>
        <v>0</v>
      </c>
      <c r="AL2091" s="55">
        <f>VLOOKUP($E2091,'NI-Soc_SP'!$C:$AN,MID(AL$1,1,2),FALSE)</f>
        <v>0</v>
      </c>
      <c r="AM2091" s="56">
        <f>VLOOKUP($E2091,'NI-Soc_SP'!$C:$AN,MID(AM$1,1,2),FALSE)</f>
        <v>0</v>
      </c>
      <c r="AN2091" s="30" t="str">
        <f t="shared" si="32"/>
        <v>70502020000000</v>
      </c>
    </row>
    <row r="2092" spans="1:40" x14ac:dyDescent="0.25">
      <c r="C2092" s="40"/>
      <c r="D2092" s="121" t="s">
        <v>2465</v>
      </c>
      <c r="E2092" s="121" t="s">
        <v>2466</v>
      </c>
      <c r="F2092" s="122" t="s">
        <v>2758</v>
      </c>
      <c r="G2092" s="52"/>
      <c r="H2092" s="52"/>
      <c r="I2092" s="52" t="s">
        <v>2467</v>
      </c>
      <c r="J2092" s="52"/>
      <c r="K2092" s="59" t="s">
        <v>1358</v>
      </c>
      <c r="L2092" s="52"/>
      <c r="M2092" s="52"/>
      <c r="N2092" s="52"/>
      <c r="O2092" s="61" t="s">
        <v>2468</v>
      </c>
      <c r="P2092" s="108" t="s">
        <v>2469</v>
      </c>
      <c r="Q2092" s="55">
        <f>VLOOKUP(E2092,'NI-Soc_SP'!$C:$AN,12,FALSE)</f>
        <v>0</v>
      </c>
      <c r="R2092" s="55">
        <f>VLOOKUP(E2092,'NI-Soc_SP'!$C:$AN,13,FALSE)</f>
        <v>0</v>
      </c>
      <c r="S2092" s="55">
        <f>VLOOKUP(E2092,'NI-Soc_SP'!$C:$AN,30,FALSE)</f>
        <v>0</v>
      </c>
      <c r="T2092" s="94">
        <f>VLOOKUP(E2092,'NI-Soc_SP'!$C:$AN,31,FALSE)+VLOOKUP(E2092,'NI-Soc_SP'!$C:$AN,32,FALSE)</f>
        <v>0</v>
      </c>
      <c r="U2092" s="55">
        <f>VLOOKUP($E2092,'NI-Soc_SP'!$C:$AN,MID(U$1,1,2),FALSE)</f>
        <v>0</v>
      </c>
      <c r="V2092" s="55">
        <f>VLOOKUP($E2092,'NI-Soc_SP'!$C:$AN,MID(V$1,1,2),FALSE)</f>
        <v>0</v>
      </c>
      <c r="W2092" s="55">
        <f>VLOOKUP($E2092,'NI-Soc_SP'!$C:$AN,MID(W$1,1,2),FALSE)</f>
        <v>0</v>
      </c>
      <c r="X2092" s="55">
        <f>VLOOKUP($E2092,'NI-Soc_SP'!$C:$AN,MID(X$1,1,2),FALSE)</f>
        <v>0</v>
      </c>
      <c r="Y2092" s="55">
        <f>VLOOKUP($E2092,'NI-Soc_SP'!$C:$AN,MID(Y$1,1,2),FALSE)</f>
        <v>0</v>
      </c>
      <c r="Z2092" s="55">
        <f>VLOOKUP($E2092,'NI-Soc_SP'!$C:$AN,MID(Z$1,1,2),FALSE)</f>
        <v>0</v>
      </c>
      <c r="AA2092" s="55">
        <f>VLOOKUP($E2092,'NI-Soc_SP'!$C:$AN,MID(AA$1,1,2),FALSE)</f>
        <v>0</v>
      </c>
      <c r="AB2092" s="55">
        <f>VLOOKUP($E2092,'NI-Soc_SP'!$C:$AN,MID(AB$1,1,2),FALSE)</f>
        <v>0</v>
      </c>
      <c r="AC2092" s="55">
        <f>VLOOKUP($E2092,'NI-Soc_SP'!$C:$AN,MID(AC$1,1,2),FALSE)</f>
        <v>0</v>
      </c>
      <c r="AD2092" s="55">
        <f>VLOOKUP($E2092,'NI-Soc_SP'!$C:$AN,MID(AD$1,1,2),FALSE)</f>
        <v>0</v>
      </c>
      <c r="AE2092" s="55">
        <f>VLOOKUP($E2092,'NI-Soc_SP'!$C:$AN,MID(AE$1,1,2),FALSE)</f>
        <v>0</v>
      </c>
      <c r="AF2092" s="55">
        <f>VLOOKUP($E2092,'NI-Soc_SP'!$C:$AN,MID(AF$1,1,2),FALSE)</f>
        <v>0</v>
      </c>
      <c r="AG2092" s="55">
        <f>VLOOKUP($E2092,'NI-Soc_SP'!$C:$AN,MID(AG$1,1,2),FALSE)</f>
        <v>0</v>
      </c>
      <c r="AH2092" s="55">
        <f>VLOOKUP($E2092,'NI-Soc_SP'!$C:$AN,MID(AH$1,1,2),FALSE)</f>
        <v>0</v>
      </c>
      <c r="AI2092" s="55">
        <f>VLOOKUP($E2092,'NI-Soc_SP'!$C:$AN,MID(AI$1,1,2),FALSE)</f>
        <v>0</v>
      </c>
      <c r="AJ2092" s="55">
        <f>VLOOKUP($E2092,'NI-Soc_SP'!$C:$AN,MID(AJ$1,1,2),FALSE)</f>
        <v>0</v>
      </c>
      <c r="AK2092" s="55">
        <f>VLOOKUP($E2092,'NI-Soc_SP'!$C:$AN,MID(AK$1,1,2),FALSE)</f>
        <v>0</v>
      </c>
      <c r="AL2092" s="55">
        <f>VLOOKUP($E2092,'NI-Soc_SP'!$C:$AN,MID(AL$1,1,2),FALSE)</f>
        <v>0</v>
      </c>
      <c r="AM2092" s="56">
        <f>VLOOKUP($E2092,'NI-Soc_SP'!$C:$AN,MID(AM$1,1,2),FALSE)</f>
        <v>0</v>
      </c>
      <c r="AN2092" s="30" t="str">
        <f t="shared" si="32"/>
        <v>70503000000000</v>
      </c>
    </row>
    <row r="2093" spans="1:40" x14ac:dyDescent="0.25">
      <c r="A2093" s="30" t="s">
        <v>1394</v>
      </c>
      <c r="C2093" s="40"/>
      <c r="D2093" s="98" t="s">
        <v>2470</v>
      </c>
      <c r="E2093" s="98" t="s">
        <v>2471</v>
      </c>
      <c r="F2093" s="122" t="s">
        <v>2758</v>
      </c>
      <c r="H2093" s="52"/>
      <c r="I2093" s="52"/>
      <c r="J2093" s="79" t="s">
        <v>2472</v>
      </c>
      <c r="K2093" s="59" t="s">
        <v>1358</v>
      </c>
      <c r="L2093" s="88"/>
      <c r="M2093" s="52"/>
      <c r="N2093" s="52"/>
      <c r="O2093" s="61"/>
      <c r="P2093" s="79" t="s">
        <v>2473</v>
      </c>
      <c r="Q2093" s="55">
        <f>VLOOKUP(E2093,'NI-Soc_SP'!$C:$AN,12,FALSE)</f>
        <v>0</v>
      </c>
      <c r="R2093" s="55">
        <f>VLOOKUP(E2093,'NI-Soc_SP'!$C:$AN,13,FALSE)</f>
        <v>0</v>
      </c>
      <c r="S2093" s="55">
        <f>VLOOKUP(E2093,'NI-Soc_SP'!$C:$AN,30,FALSE)</f>
        <v>0</v>
      </c>
      <c r="T2093" s="94">
        <f>VLOOKUP(E2093,'NI-Soc_SP'!$C:$AN,31,FALSE)+VLOOKUP(E2093,'NI-Soc_SP'!$C:$AN,32,FALSE)</f>
        <v>0</v>
      </c>
      <c r="U2093" s="55">
        <f>VLOOKUP($E2093,'NI-Soc_SP'!$C:$AN,MID(U$1,1,2),FALSE)</f>
        <v>0</v>
      </c>
      <c r="V2093" s="55">
        <f>VLOOKUP($E2093,'NI-Soc_SP'!$C:$AN,MID(V$1,1,2),FALSE)</f>
        <v>0</v>
      </c>
      <c r="W2093" s="55">
        <f>VLOOKUP($E2093,'NI-Soc_SP'!$C:$AN,MID(W$1,1,2),FALSE)</f>
        <v>0</v>
      </c>
      <c r="X2093" s="55">
        <f>VLOOKUP($E2093,'NI-Soc_SP'!$C:$AN,MID(X$1,1,2),FALSE)</f>
        <v>0</v>
      </c>
      <c r="Y2093" s="55">
        <f>VLOOKUP($E2093,'NI-Soc_SP'!$C:$AN,MID(Y$1,1,2),FALSE)</f>
        <v>0</v>
      </c>
      <c r="Z2093" s="55">
        <f>VLOOKUP($E2093,'NI-Soc_SP'!$C:$AN,MID(Z$1,1,2),FALSE)</f>
        <v>0</v>
      </c>
      <c r="AA2093" s="55">
        <f>VLOOKUP($E2093,'NI-Soc_SP'!$C:$AN,MID(AA$1,1,2),FALSE)</f>
        <v>0</v>
      </c>
      <c r="AB2093" s="55">
        <f>VLOOKUP($E2093,'NI-Soc_SP'!$C:$AN,MID(AB$1,1,2),FALSE)</f>
        <v>0</v>
      </c>
      <c r="AC2093" s="55">
        <f>VLOOKUP($E2093,'NI-Soc_SP'!$C:$AN,MID(AC$1,1,2),FALSE)</f>
        <v>0</v>
      </c>
      <c r="AD2093" s="55">
        <f>VLOOKUP($E2093,'NI-Soc_SP'!$C:$AN,MID(AD$1,1,2),FALSE)</f>
        <v>0</v>
      </c>
      <c r="AE2093" s="55">
        <f>VLOOKUP($E2093,'NI-Soc_SP'!$C:$AN,MID(AE$1,1,2),FALSE)</f>
        <v>0</v>
      </c>
      <c r="AF2093" s="55">
        <f>VLOOKUP($E2093,'NI-Soc_SP'!$C:$AN,MID(AF$1,1,2),FALSE)</f>
        <v>0</v>
      </c>
      <c r="AG2093" s="55">
        <f>VLOOKUP($E2093,'NI-Soc_SP'!$C:$AN,MID(AG$1,1,2),FALSE)</f>
        <v>0</v>
      </c>
      <c r="AH2093" s="55">
        <f>VLOOKUP($E2093,'NI-Soc_SP'!$C:$AN,MID(AH$1,1,2),FALSE)</f>
        <v>0</v>
      </c>
      <c r="AI2093" s="55">
        <f>VLOOKUP($E2093,'NI-Soc_SP'!$C:$AN,MID(AI$1,1,2),FALSE)</f>
        <v>0</v>
      </c>
      <c r="AJ2093" s="55">
        <f>VLOOKUP($E2093,'NI-Soc_SP'!$C:$AN,MID(AJ$1,1,2),FALSE)</f>
        <v>0</v>
      </c>
      <c r="AK2093" s="55">
        <f>VLOOKUP($E2093,'NI-Soc_SP'!$C:$AN,MID(AK$1,1,2),FALSE)</f>
        <v>0</v>
      </c>
      <c r="AL2093" s="55">
        <f>VLOOKUP($E2093,'NI-Soc_SP'!$C:$AN,MID(AL$1,1,2),FALSE)</f>
        <v>0</v>
      </c>
      <c r="AM2093" s="56">
        <f>VLOOKUP($E2093,'NI-Soc_SP'!$C:$AN,MID(AM$1,1,2),FALSE)</f>
        <v>0</v>
      </c>
      <c r="AN2093" s="30" t="str">
        <f t="shared" si="32"/>
        <v>70503010000000</v>
      </c>
    </row>
    <row r="2094" spans="1:40" x14ac:dyDescent="0.25">
      <c r="A2094" s="30" t="s">
        <v>1394</v>
      </c>
      <c r="C2094" s="40"/>
      <c r="D2094" s="98" t="s">
        <v>2474</v>
      </c>
      <c r="E2094" s="98" t="s">
        <v>2475</v>
      </c>
      <c r="F2094" s="122" t="s">
        <v>2758</v>
      </c>
      <c r="H2094" s="52"/>
      <c r="I2094" s="52"/>
      <c r="J2094" s="79" t="s">
        <v>2476</v>
      </c>
      <c r="K2094" s="59" t="s">
        <v>1358</v>
      </c>
      <c r="L2094" s="88"/>
      <c r="M2094" s="52"/>
      <c r="N2094" s="52"/>
      <c r="O2094" s="61"/>
      <c r="P2094" s="79" t="s">
        <v>2477</v>
      </c>
      <c r="Q2094" s="55">
        <f>VLOOKUP(E2094,'NI-Soc_SP'!$C:$AN,12,FALSE)</f>
        <v>0</v>
      </c>
      <c r="R2094" s="55">
        <f>VLOOKUP(E2094,'NI-Soc_SP'!$C:$AN,13,FALSE)</f>
        <v>0</v>
      </c>
      <c r="S2094" s="55">
        <f>VLOOKUP(E2094,'NI-Soc_SP'!$C:$AN,30,FALSE)</f>
        <v>0</v>
      </c>
      <c r="T2094" s="94">
        <f>VLOOKUP(E2094,'NI-Soc_SP'!$C:$AN,31,FALSE)+VLOOKUP(E2094,'NI-Soc_SP'!$C:$AN,32,FALSE)</f>
        <v>0</v>
      </c>
      <c r="U2094" s="55">
        <f>VLOOKUP($E2094,'NI-Soc_SP'!$C:$AN,MID(U$1,1,2),FALSE)</f>
        <v>0</v>
      </c>
      <c r="V2094" s="55">
        <f>VLOOKUP($E2094,'NI-Soc_SP'!$C:$AN,MID(V$1,1,2),FALSE)</f>
        <v>0</v>
      </c>
      <c r="W2094" s="55">
        <f>VLOOKUP($E2094,'NI-Soc_SP'!$C:$AN,MID(W$1,1,2),FALSE)</f>
        <v>0</v>
      </c>
      <c r="X2094" s="55">
        <f>VLOOKUP($E2094,'NI-Soc_SP'!$C:$AN,MID(X$1,1,2),FALSE)</f>
        <v>0</v>
      </c>
      <c r="Y2094" s="55">
        <f>VLOOKUP($E2094,'NI-Soc_SP'!$C:$AN,MID(Y$1,1,2),FALSE)</f>
        <v>0</v>
      </c>
      <c r="Z2094" s="55">
        <f>VLOOKUP($E2094,'NI-Soc_SP'!$C:$AN,MID(Z$1,1,2),FALSE)</f>
        <v>0</v>
      </c>
      <c r="AA2094" s="55">
        <f>VLOOKUP($E2094,'NI-Soc_SP'!$C:$AN,MID(AA$1,1,2),FALSE)</f>
        <v>0</v>
      </c>
      <c r="AB2094" s="55">
        <f>VLOOKUP($E2094,'NI-Soc_SP'!$C:$AN,MID(AB$1,1,2),FALSE)</f>
        <v>0</v>
      </c>
      <c r="AC2094" s="55">
        <f>VLOOKUP($E2094,'NI-Soc_SP'!$C:$AN,MID(AC$1,1,2),FALSE)</f>
        <v>0</v>
      </c>
      <c r="AD2094" s="55">
        <f>VLOOKUP($E2094,'NI-Soc_SP'!$C:$AN,MID(AD$1,1,2),FALSE)</f>
        <v>0</v>
      </c>
      <c r="AE2094" s="55">
        <f>VLOOKUP($E2094,'NI-Soc_SP'!$C:$AN,MID(AE$1,1,2),FALSE)</f>
        <v>0</v>
      </c>
      <c r="AF2094" s="55">
        <f>VLOOKUP($E2094,'NI-Soc_SP'!$C:$AN,MID(AF$1,1,2),FALSE)</f>
        <v>0</v>
      </c>
      <c r="AG2094" s="55">
        <f>VLOOKUP($E2094,'NI-Soc_SP'!$C:$AN,MID(AG$1,1,2),FALSE)</f>
        <v>0</v>
      </c>
      <c r="AH2094" s="55">
        <f>VLOOKUP($E2094,'NI-Soc_SP'!$C:$AN,MID(AH$1,1,2),FALSE)</f>
        <v>0</v>
      </c>
      <c r="AI2094" s="55">
        <f>VLOOKUP($E2094,'NI-Soc_SP'!$C:$AN,MID(AI$1,1,2),FALSE)</f>
        <v>0</v>
      </c>
      <c r="AJ2094" s="55">
        <f>VLOOKUP($E2094,'NI-Soc_SP'!$C:$AN,MID(AJ$1,1,2),FALSE)</f>
        <v>0</v>
      </c>
      <c r="AK2094" s="55">
        <f>VLOOKUP($E2094,'NI-Soc_SP'!$C:$AN,MID(AK$1,1,2),FALSE)</f>
        <v>0</v>
      </c>
      <c r="AL2094" s="55">
        <f>VLOOKUP($E2094,'NI-Soc_SP'!$C:$AN,MID(AL$1,1,2),FALSE)</f>
        <v>0</v>
      </c>
      <c r="AM2094" s="56">
        <f>VLOOKUP($E2094,'NI-Soc_SP'!$C:$AN,MID(AM$1,1,2),FALSE)</f>
        <v>0</v>
      </c>
      <c r="AN2094" s="30" t="str">
        <f t="shared" si="32"/>
        <v>70503020000000</v>
      </c>
    </row>
    <row r="2095" spans="1:40" x14ac:dyDescent="0.25">
      <c r="A2095" s="30" t="s">
        <v>1394</v>
      </c>
      <c r="C2095" s="40"/>
      <c r="D2095" s="98" t="s">
        <v>2478</v>
      </c>
      <c r="E2095" s="98" t="s">
        <v>2479</v>
      </c>
      <c r="F2095" s="122" t="s">
        <v>2758</v>
      </c>
      <c r="H2095" s="52"/>
      <c r="I2095" s="52"/>
      <c r="J2095" s="79" t="s">
        <v>2480</v>
      </c>
      <c r="K2095" s="59" t="s">
        <v>1358</v>
      </c>
      <c r="L2095" s="88"/>
      <c r="M2095" s="52"/>
      <c r="N2095" s="52"/>
      <c r="O2095" s="61"/>
      <c r="P2095" s="79" t="s">
        <v>2481</v>
      </c>
      <c r="Q2095" s="55">
        <f>VLOOKUP(E2095,'NI-Soc_SP'!$C:$AN,12,FALSE)</f>
        <v>0</v>
      </c>
      <c r="R2095" s="55">
        <f>VLOOKUP(E2095,'NI-Soc_SP'!$C:$AN,13,FALSE)</f>
        <v>0</v>
      </c>
      <c r="S2095" s="55">
        <f>VLOOKUP(E2095,'NI-Soc_SP'!$C:$AN,30,FALSE)</f>
        <v>0</v>
      </c>
      <c r="T2095" s="94">
        <f>VLOOKUP(E2095,'NI-Soc_SP'!$C:$AN,31,FALSE)+VLOOKUP(E2095,'NI-Soc_SP'!$C:$AN,32,FALSE)</f>
        <v>0</v>
      </c>
      <c r="U2095" s="55">
        <f>VLOOKUP($E2095,'NI-Soc_SP'!$C:$AN,MID(U$1,1,2),FALSE)</f>
        <v>0</v>
      </c>
      <c r="V2095" s="55">
        <f>VLOOKUP($E2095,'NI-Soc_SP'!$C:$AN,MID(V$1,1,2),FALSE)</f>
        <v>0</v>
      </c>
      <c r="W2095" s="55">
        <f>VLOOKUP($E2095,'NI-Soc_SP'!$C:$AN,MID(W$1,1,2),FALSE)</f>
        <v>0</v>
      </c>
      <c r="X2095" s="55">
        <f>VLOOKUP($E2095,'NI-Soc_SP'!$C:$AN,MID(X$1,1,2),FALSE)</f>
        <v>0</v>
      </c>
      <c r="Y2095" s="55">
        <f>VLOOKUP($E2095,'NI-Soc_SP'!$C:$AN,MID(Y$1,1,2),FALSE)</f>
        <v>0</v>
      </c>
      <c r="Z2095" s="55">
        <f>VLOOKUP($E2095,'NI-Soc_SP'!$C:$AN,MID(Z$1,1,2),FALSE)</f>
        <v>0</v>
      </c>
      <c r="AA2095" s="55">
        <f>VLOOKUP($E2095,'NI-Soc_SP'!$C:$AN,MID(AA$1,1,2),FALSE)</f>
        <v>0</v>
      </c>
      <c r="AB2095" s="55">
        <f>VLOOKUP($E2095,'NI-Soc_SP'!$C:$AN,MID(AB$1,1,2),FALSE)</f>
        <v>0</v>
      </c>
      <c r="AC2095" s="55">
        <f>VLOOKUP($E2095,'NI-Soc_SP'!$C:$AN,MID(AC$1,1,2),FALSE)</f>
        <v>0</v>
      </c>
      <c r="AD2095" s="55">
        <f>VLOOKUP($E2095,'NI-Soc_SP'!$C:$AN,MID(AD$1,1,2),FALSE)</f>
        <v>0</v>
      </c>
      <c r="AE2095" s="55">
        <f>VLOOKUP($E2095,'NI-Soc_SP'!$C:$AN,MID(AE$1,1,2),FALSE)</f>
        <v>0</v>
      </c>
      <c r="AF2095" s="55">
        <f>VLOOKUP($E2095,'NI-Soc_SP'!$C:$AN,MID(AF$1,1,2),FALSE)</f>
        <v>0</v>
      </c>
      <c r="AG2095" s="55">
        <f>VLOOKUP($E2095,'NI-Soc_SP'!$C:$AN,MID(AG$1,1,2),FALSE)</f>
        <v>0</v>
      </c>
      <c r="AH2095" s="55">
        <f>VLOOKUP($E2095,'NI-Soc_SP'!$C:$AN,MID(AH$1,1,2),FALSE)</f>
        <v>0</v>
      </c>
      <c r="AI2095" s="55">
        <f>VLOOKUP($E2095,'NI-Soc_SP'!$C:$AN,MID(AI$1,1,2),FALSE)</f>
        <v>0</v>
      </c>
      <c r="AJ2095" s="55">
        <f>VLOOKUP($E2095,'NI-Soc_SP'!$C:$AN,MID(AJ$1,1,2),FALSE)</f>
        <v>0</v>
      </c>
      <c r="AK2095" s="55">
        <f>VLOOKUP($E2095,'NI-Soc_SP'!$C:$AN,MID(AK$1,1,2),FALSE)</f>
        <v>0</v>
      </c>
      <c r="AL2095" s="55">
        <f>VLOOKUP($E2095,'NI-Soc_SP'!$C:$AN,MID(AL$1,1,2),FALSE)</f>
        <v>0</v>
      </c>
      <c r="AM2095" s="56">
        <f>VLOOKUP($E2095,'NI-Soc_SP'!$C:$AN,MID(AM$1,1,2),FALSE)</f>
        <v>0</v>
      </c>
      <c r="AN2095" s="30" t="str">
        <f t="shared" si="32"/>
        <v>70503030000000</v>
      </c>
    </row>
    <row r="2096" spans="1:40" x14ac:dyDescent="0.25">
      <c r="A2096" s="30" t="s">
        <v>1394</v>
      </c>
      <c r="C2096" s="40"/>
      <c r="D2096" s="98" t="s">
        <v>2482</v>
      </c>
      <c r="E2096" s="98" t="s">
        <v>2483</v>
      </c>
      <c r="F2096" s="122" t="s">
        <v>2758</v>
      </c>
      <c r="H2096" s="52"/>
      <c r="I2096" s="52"/>
      <c r="J2096" s="79" t="s">
        <v>2484</v>
      </c>
      <c r="K2096" s="59" t="s">
        <v>1358</v>
      </c>
      <c r="L2096" s="88"/>
      <c r="M2096" s="52"/>
      <c r="N2096" s="52"/>
      <c r="O2096" s="61"/>
      <c r="P2096" s="79" t="s">
        <v>2485</v>
      </c>
      <c r="Q2096" s="55">
        <f>VLOOKUP(E2096,'NI-Soc_SP'!$C:$AN,12,FALSE)</f>
        <v>0</v>
      </c>
      <c r="R2096" s="55">
        <f>VLOOKUP(E2096,'NI-Soc_SP'!$C:$AN,13,FALSE)</f>
        <v>0</v>
      </c>
      <c r="S2096" s="55">
        <f>VLOOKUP(E2096,'NI-Soc_SP'!$C:$AN,30,FALSE)</f>
        <v>0</v>
      </c>
      <c r="T2096" s="94">
        <f>VLOOKUP(E2096,'NI-Soc_SP'!$C:$AN,31,FALSE)+VLOOKUP(E2096,'NI-Soc_SP'!$C:$AN,32,FALSE)</f>
        <v>0</v>
      </c>
      <c r="U2096" s="55">
        <f>VLOOKUP($E2096,'NI-Soc_SP'!$C:$AN,MID(U$1,1,2),FALSE)</f>
        <v>0</v>
      </c>
      <c r="V2096" s="55">
        <f>VLOOKUP($E2096,'NI-Soc_SP'!$C:$AN,MID(V$1,1,2),FALSE)</f>
        <v>0</v>
      </c>
      <c r="W2096" s="55">
        <f>VLOOKUP($E2096,'NI-Soc_SP'!$C:$AN,MID(W$1,1,2),FALSE)</f>
        <v>0</v>
      </c>
      <c r="X2096" s="55">
        <f>VLOOKUP($E2096,'NI-Soc_SP'!$C:$AN,MID(X$1,1,2),FALSE)</f>
        <v>0</v>
      </c>
      <c r="Y2096" s="55">
        <f>VLOOKUP($E2096,'NI-Soc_SP'!$C:$AN,MID(Y$1,1,2),FALSE)</f>
        <v>0</v>
      </c>
      <c r="Z2096" s="55">
        <f>VLOOKUP($E2096,'NI-Soc_SP'!$C:$AN,MID(Z$1,1,2),FALSE)</f>
        <v>0</v>
      </c>
      <c r="AA2096" s="55">
        <f>VLOOKUP($E2096,'NI-Soc_SP'!$C:$AN,MID(AA$1,1,2),FALSE)</f>
        <v>0</v>
      </c>
      <c r="AB2096" s="55">
        <f>VLOOKUP($E2096,'NI-Soc_SP'!$C:$AN,MID(AB$1,1,2),FALSE)</f>
        <v>0</v>
      </c>
      <c r="AC2096" s="55">
        <f>VLOOKUP($E2096,'NI-Soc_SP'!$C:$AN,MID(AC$1,1,2),FALSE)</f>
        <v>0</v>
      </c>
      <c r="AD2096" s="55">
        <f>VLOOKUP($E2096,'NI-Soc_SP'!$C:$AN,MID(AD$1,1,2),FALSE)</f>
        <v>0</v>
      </c>
      <c r="AE2096" s="55">
        <f>VLOOKUP($E2096,'NI-Soc_SP'!$C:$AN,MID(AE$1,1,2),FALSE)</f>
        <v>0</v>
      </c>
      <c r="AF2096" s="55">
        <f>VLOOKUP($E2096,'NI-Soc_SP'!$C:$AN,MID(AF$1,1,2),FALSE)</f>
        <v>0</v>
      </c>
      <c r="AG2096" s="55">
        <f>VLOOKUP($E2096,'NI-Soc_SP'!$C:$AN,MID(AG$1,1,2),FALSE)</f>
        <v>0</v>
      </c>
      <c r="AH2096" s="55">
        <f>VLOOKUP($E2096,'NI-Soc_SP'!$C:$AN,MID(AH$1,1,2),FALSE)</f>
        <v>0</v>
      </c>
      <c r="AI2096" s="55">
        <f>VLOOKUP($E2096,'NI-Soc_SP'!$C:$AN,MID(AI$1,1,2),FALSE)</f>
        <v>0</v>
      </c>
      <c r="AJ2096" s="55">
        <f>VLOOKUP($E2096,'NI-Soc_SP'!$C:$AN,MID(AJ$1,1,2),FALSE)</f>
        <v>0</v>
      </c>
      <c r="AK2096" s="55">
        <f>VLOOKUP($E2096,'NI-Soc_SP'!$C:$AN,MID(AK$1,1,2),FALSE)</f>
        <v>0</v>
      </c>
      <c r="AL2096" s="55">
        <f>VLOOKUP($E2096,'NI-Soc_SP'!$C:$AN,MID(AL$1,1,2),FALSE)</f>
        <v>0</v>
      </c>
      <c r="AM2096" s="56">
        <f>VLOOKUP($E2096,'NI-Soc_SP'!$C:$AN,MID(AM$1,1,2),FALSE)</f>
        <v>0</v>
      </c>
      <c r="AN2096" s="30" t="str">
        <f t="shared" si="32"/>
        <v>70503040000000</v>
      </c>
    </row>
    <row r="2097" spans="1:40" x14ac:dyDescent="0.25">
      <c r="A2097" s="30" t="s">
        <v>1394</v>
      </c>
      <c r="C2097" s="40"/>
      <c r="D2097" s="98" t="s">
        <v>2486</v>
      </c>
      <c r="E2097" s="98" t="s">
        <v>2487</v>
      </c>
      <c r="F2097" s="122" t="s">
        <v>2758</v>
      </c>
      <c r="H2097" s="52"/>
      <c r="I2097" s="52"/>
      <c r="J2097" s="79" t="s">
        <v>2488</v>
      </c>
      <c r="K2097" s="59" t="s">
        <v>1358</v>
      </c>
      <c r="L2097" s="88"/>
      <c r="M2097" s="52"/>
      <c r="N2097" s="52"/>
      <c r="O2097" s="61"/>
      <c r="P2097" s="79" t="s">
        <v>2489</v>
      </c>
      <c r="Q2097" s="55">
        <f>VLOOKUP(E2097,'NI-Soc_SP'!$C:$AN,12,FALSE)</f>
        <v>0</v>
      </c>
      <c r="R2097" s="55">
        <f>VLOOKUP(E2097,'NI-Soc_SP'!$C:$AN,13,FALSE)</f>
        <v>0</v>
      </c>
      <c r="S2097" s="55">
        <f>VLOOKUP(E2097,'NI-Soc_SP'!$C:$AN,30,FALSE)</f>
        <v>0</v>
      </c>
      <c r="T2097" s="94">
        <f>VLOOKUP(E2097,'NI-Soc_SP'!$C:$AN,31,FALSE)+VLOOKUP(E2097,'NI-Soc_SP'!$C:$AN,32,FALSE)</f>
        <v>0</v>
      </c>
      <c r="U2097" s="55">
        <f>VLOOKUP($E2097,'NI-Soc_SP'!$C:$AN,MID(U$1,1,2),FALSE)</f>
        <v>0</v>
      </c>
      <c r="V2097" s="55">
        <f>VLOOKUP($E2097,'NI-Soc_SP'!$C:$AN,MID(V$1,1,2),FALSE)</f>
        <v>0</v>
      </c>
      <c r="W2097" s="55">
        <f>VLOOKUP($E2097,'NI-Soc_SP'!$C:$AN,MID(W$1,1,2),FALSE)</f>
        <v>0</v>
      </c>
      <c r="X2097" s="55">
        <f>VLOOKUP($E2097,'NI-Soc_SP'!$C:$AN,MID(X$1,1,2),FALSE)</f>
        <v>0</v>
      </c>
      <c r="Y2097" s="55">
        <f>VLOOKUP($E2097,'NI-Soc_SP'!$C:$AN,MID(Y$1,1,2),FALSE)</f>
        <v>0</v>
      </c>
      <c r="Z2097" s="55">
        <f>VLOOKUP($E2097,'NI-Soc_SP'!$C:$AN,MID(Z$1,1,2),FALSE)</f>
        <v>0</v>
      </c>
      <c r="AA2097" s="55">
        <f>VLOOKUP($E2097,'NI-Soc_SP'!$C:$AN,MID(AA$1,1,2),FALSE)</f>
        <v>0</v>
      </c>
      <c r="AB2097" s="55">
        <f>VLOOKUP($E2097,'NI-Soc_SP'!$C:$AN,MID(AB$1,1,2),FALSE)</f>
        <v>0</v>
      </c>
      <c r="AC2097" s="55">
        <f>VLOOKUP($E2097,'NI-Soc_SP'!$C:$AN,MID(AC$1,1,2),FALSE)</f>
        <v>0</v>
      </c>
      <c r="AD2097" s="55">
        <f>VLOOKUP($E2097,'NI-Soc_SP'!$C:$AN,MID(AD$1,1,2),FALSE)</f>
        <v>0</v>
      </c>
      <c r="AE2097" s="55">
        <f>VLOOKUP($E2097,'NI-Soc_SP'!$C:$AN,MID(AE$1,1,2),FALSE)</f>
        <v>0</v>
      </c>
      <c r="AF2097" s="55">
        <f>VLOOKUP($E2097,'NI-Soc_SP'!$C:$AN,MID(AF$1,1,2),FALSE)</f>
        <v>0</v>
      </c>
      <c r="AG2097" s="55">
        <f>VLOOKUP($E2097,'NI-Soc_SP'!$C:$AN,MID(AG$1,1,2),FALSE)</f>
        <v>0</v>
      </c>
      <c r="AH2097" s="55">
        <f>VLOOKUP($E2097,'NI-Soc_SP'!$C:$AN,MID(AH$1,1,2),FALSE)</f>
        <v>0</v>
      </c>
      <c r="AI2097" s="55">
        <f>VLOOKUP($E2097,'NI-Soc_SP'!$C:$AN,MID(AI$1,1,2),FALSE)</f>
        <v>0</v>
      </c>
      <c r="AJ2097" s="55">
        <f>VLOOKUP($E2097,'NI-Soc_SP'!$C:$AN,MID(AJ$1,1,2),FALSE)</f>
        <v>0</v>
      </c>
      <c r="AK2097" s="55">
        <f>VLOOKUP($E2097,'NI-Soc_SP'!$C:$AN,MID(AK$1,1,2),FALSE)</f>
        <v>0</v>
      </c>
      <c r="AL2097" s="55">
        <f>VLOOKUP($E2097,'NI-Soc_SP'!$C:$AN,MID(AL$1,1,2),FALSE)</f>
        <v>0</v>
      </c>
      <c r="AM2097" s="56">
        <f>VLOOKUP($E2097,'NI-Soc_SP'!$C:$AN,MID(AM$1,1,2),FALSE)</f>
        <v>0</v>
      </c>
      <c r="AN2097" s="30" t="str">
        <f t="shared" si="32"/>
        <v>70503050000000</v>
      </c>
    </row>
    <row r="2098" spans="1:40" x14ac:dyDescent="0.25">
      <c r="C2098" s="40"/>
      <c r="D2098" s="121" t="s">
        <v>2490</v>
      </c>
      <c r="E2098" s="121" t="s">
        <v>2491</v>
      </c>
      <c r="F2098" s="122" t="s">
        <v>2758</v>
      </c>
      <c r="G2098" s="52"/>
      <c r="H2098" s="52"/>
      <c r="I2098" s="52"/>
      <c r="J2098" s="52"/>
      <c r="K2098" s="59" t="s">
        <v>111</v>
      </c>
      <c r="L2098" s="52" t="s">
        <v>2492</v>
      </c>
      <c r="M2098" s="52" t="s">
        <v>2269</v>
      </c>
      <c r="N2098" s="52"/>
      <c r="O2098" s="61" t="s">
        <v>2493</v>
      </c>
      <c r="P2098" s="108" t="s">
        <v>2494</v>
      </c>
      <c r="Q2098" s="55">
        <f>VLOOKUP(E2098,'NI-Soc_SP'!$C:$AN,12,FALSE)</f>
        <v>0</v>
      </c>
      <c r="R2098" s="55">
        <f>VLOOKUP(E2098,'NI-Soc_SP'!$C:$AN,13,FALSE)</f>
        <v>0</v>
      </c>
      <c r="S2098" s="55">
        <f>VLOOKUP(E2098,'NI-Soc_SP'!$C:$AN,30,FALSE)</f>
        <v>0</v>
      </c>
      <c r="T2098" s="55">
        <f>VLOOKUP(E2098,'NI-Soc_SP'!$C:$AN,31,FALSE)+VLOOKUP(E2098,'NI-Soc_SP'!$C:$AN,32,FALSE)</f>
        <v>0</v>
      </c>
      <c r="U2098" s="55">
        <f>VLOOKUP($E2098,'NI-Soc_SP'!$C:$AN,MID(U$1,1,2),FALSE)</f>
        <v>0</v>
      </c>
      <c r="V2098" s="55">
        <f>VLOOKUP($E2098,'NI-Soc_SP'!$C:$AN,MID(V$1,1,2),FALSE)</f>
        <v>0</v>
      </c>
      <c r="W2098" s="55">
        <f>VLOOKUP($E2098,'NI-Soc_SP'!$C:$AN,MID(W$1,1,2),FALSE)</f>
        <v>0</v>
      </c>
      <c r="X2098" s="55">
        <f>VLOOKUP($E2098,'NI-Soc_SP'!$C:$AN,MID(X$1,1,2),FALSE)</f>
        <v>0</v>
      </c>
      <c r="Y2098" s="55">
        <f>VLOOKUP($E2098,'NI-Soc_SP'!$C:$AN,MID(Y$1,1,2),FALSE)</f>
        <v>0</v>
      </c>
      <c r="Z2098" s="55">
        <f>VLOOKUP($E2098,'NI-Soc_SP'!$C:$AN,MID(Z$1,1,2),FALSE)</f>
        <v>0</v>
      </c>
      <c r="AA2098" s="55">
        <f>VLOOKUP($E2098,'NI-Soc_SP'!$C:$AN,MID(AA$1,1,2),FALSE)</f>
        <v>0</v>
      </c>
      <c r="AB2098" s="55">
        <f>VLOOKUP($E2098,'NI-Soc_SP'!$C:$AN,MID(AB$1,1,2),FALSE)</f>
        <v>0</v>
      </c>
      <c r="AC2098" s="55">
        <f>VLOOKUP($E2098,'NI-Soc_SP'!$C:$AN,MID(AC$1,1,2),FALSE)</f>
        <v>0</v>
      </c>
      <c r="AD2098" s="55">
        <f>VLOOKUP($E2098,'NI-Soc_SP'!$C:$AN,MID(AD$1,1,2),FALSE)</f>
        <v>0</v>
      </c>
      <c r="AE2098" s="55">
        <f>VLOOKUP($E2098,'NI-Soc_SP'!$C:$AN,MID(AE$1,1,2),FALSE)</f>
        <v>0</v>
      </c>
      <c r="AF2098" s="55">
        <f>VLOOKUP($E2098,'NI-Soc_SP'!$C:$AN,MID(AF$1,1,2),FALSE)</f>
        <v>0</v>
      </c>
      <c r="AG2098" s="55">
        <f>VLOOKUP($E2098,'NI-Soc_SP'!$C:$AN,MID(AG$1,1,2),FALSE)</f>
        <v>0</v>
      </c>
      <c r="AH2098" s="55">
        <f>VLOOKUP($E2098,'NI-Soc_SP'!$C:$AN,MID(AH$1,1,2),FALSE)</f>
        <v>0</v>
      </c>
      <c r="AI2098" s="55">
        <f>VLOOKUP($E2098,'NI-Soc_SP'!$C:$AN,MID(AI$1,1,2),FALSE)</f>
        <v>0</v>
      </c>
      <c r="AJ2098" s="55">
        <f>VLOOKUP($E2098,'NI-Soc_SP'!$C:$AN,MID(AJ$1,1,2),FALSE)</f>
        <v>0</v>
      </c>
      <c r="AK2098" s="55">
        <f>VLOOKUP($E2098,'NI-Soc_SP'!$C:$AN,MID(AK$1,1,2),FALSE)</f>
        <v>0</v>
      </c>
      <c r="AL2098" s="55">
        <f>VLOOKUP($E2098,'NI-Soc_SP'!$C:$AN,MID(AL$1,1,2),FALSE)</f>
        <v>0</v>
      </c>
      <c r="AM2098" s="56">
        <f>VLOOKUP($E2098,'NI-Soc_SP'!$C:$AN,MID(AM$1,1,2),FALSE)</f>
        <v>0</v>
      </c>
      <c r="AN2098" s="30" t="str">
        <f t="shared" si="32"/>
        <v>70600000000000</v>
      </c>
    </row>
    <row r="2099" spans="1:40" x14ac:dyDescent="0.25">
      <c r="C2099" s="40"/>
      <c r="D2099" s="121" t="s">
        <v>2495</v>
      </c>
      <c r="E2099" s="121" t="s">
        <v>2496</v>
      </c>
      <c r="F2099" s="122" t="s">
        <v>2758</v>
      </c>
      <c r="G2099" s="52"/>
      <c r="H2099" s="52"/>
      <c r="I2099" s="52" t="s">
        <v>2497</v>
      </c>
      <c r="J2099" s="52"/>
      <c r="K2099" s="59" t="s">
        <v>111</v>
      </c>
      <c r="L2099" s="52"/>
      <c r="M2099" s="52"/>
      <c r="N2099" s="52"/>
      <c r="O2099" s="52"/>
      <c r="P2099" s="108" t="s">
        <v>2498</v>
      </c>
      <c r="Q2099" s="55">
        <f>VLOOKUP(E2099,'NI-Soc_SP'!$C:$AN,12,FALSE)</f>
        <v>0</v>
      </c>
      <c r="R2099" s="55">
        <f>VLOOKUP(E2099,'NI-Soc_SP'!$C:$AN,13,FALSE)</f>
        <v>0</v>
      </c>
      <c r="S2099" s="55">
        <f>VLOOKUP(E2099,'NI-Soc_SP'!$C:$AN,30,FALSE)</f>
        <v>0</v>
      </c>
      <c r="T2099" s="94">
        <f>VLOOKUP(E2099,'NI-Soc_SP'!$C:$AN,31,FALSE)+VLOOKUP(E2099,'NI-Soc_SP'!$C:$AN,32,FALSE)</f>
        <v>0</v>
      </c>
      <c r="U2099" s="55">
        <f>VLOOKUP($E2099,'NI-Soc_SP'!$C:$AN,MID(U$1,1,2),FALSE)</f>
        <v>0</v>
      </c>
      <c r="V2099" s="55">
        <f>VLOOKUP($E2099,'NI-Soc_SP'!$C:$AN,MID(V$1,1,2),FALSE)</f>
        <v>0</v>
      </c>
      <c r="W2099" s="55">
        <f>VLOOKUP($E2099,'NI-Soc_SP'!$C:$AN,MID(W$1,1,2),FALSE)</f>
        <v>0</v>
      </c>
      <c r="X2099" s="55">
        <f>VLOOKUP($E2099,'NI-Soc_SP'!$C:$AN,MID(X$1,1,2),FALSE)</f>
        <v>0</v>
      </c>
      <c r="Y2099" s="55">
        <f>VLOOKUP($E2099,'NI-Soc_SP'!$C:$AN,MID(Y$1,1,2),FALSE)</f>
        <v>0</v>
      </c>
      <c r="Z2099" s="55">
        <f>VLOOKUP($E2099,'NI-Soc_SP'!$C:$AN,MID(Z$1,1,2),FALSE)</f>
        <v>0</v>
      </c>
      <c r="AA2099" s="55">
        <f>VLOOKUP($E2099,'NI-Soc_SP'!$C:$AN,MID(AA$1,1,2),FALSE)</f>
        <v>0</v>
      </c>
      <c r="AB2099" s="55">
        <f>VLOOKUP($E2099,'NI-Soc_SP'!$C:$AN,MID(AB$1,1,2),FALSE)</f>
        <v>0</v>
      </c>
      <c r="AC2099" s="55">
        <f>VLOOKUP($E2099,'NI-Soc_SP'!$C:$AN,MID(AC$1,1,2),FALSE)</f>
        <v>0</v>
      </c>
      <c r="AD2099" s="55">
        <f>VLOOKUP($E2099,'NI-Soc_SP'!$C:$AN,MID(AD$1,1,2),FALSE)</f>
        <v>0</v>
      </c>
      <c r="AE2099" s="55">
        <f>VLOOKUP($E2099,'NI-Soc_SP'!$C:$AN,MID(AE$1,1,2),FALSE)</f>
        <v>0</v>
      </c>
      <c r="AF2099" s="55">
        <f>VLOOKUP($E2099,'NI-Soc_SP'!$C:$AN,MID(AF$1,1,2),FALSE)</f>
        <v>0</v>
      </c>
      <c r="AG2099" s="55">
        <f>VLOOKUP($E2099,'NI-Soc_SP'!$C:$AN,MID(AG$1,1,2),FALSE)</f>
        <v>0</v>
      </c>
      <c r="AH2099" s="55">
        <f>VLOOKUP($E2099,'NI-Soc_SP'!$C:$AN,MID(AH$1,1,2),FALSE)</f>
        <v>0</v>
      </c>
      <c r="AI2099" s="55">
        <f>VLOOKUP($E2099,'NI-Soc_SP'!$C:$AN,MID(AI$1,1,2),FALSE)</f>
        <v>0</v>
      </c>
      <c r="AJ2099" s="55">
        <f>VLOOKUP($E2099,'NI-Soc_SP'!$C:$AN,MID(AJ$1,1,2),FALSE)</f>
        <v>0</v>
      </c>
      <c r="AK2099" s="55">
        <f>VLOOKUP($E2099,'NI-Soc_SP'!$C:$AN,MID(AK$1,1,2),FALSE)</f>
        <v>0</v>
      </c>
      <c r="AL2099" s="55">
        <f>VLOOKUP($E2099,'NI-Soc_SP'!$C:$AN,MID(AL$1,1,2),FALSE)</f>
        <v>0</v>
      </c>
      <c r="AM2099" s="56">
        <f>VLOOKUP($E2099,'NI-Soc_SP'!$C:$AN,MID(AM$1,1,2),FALSE)</f>
        <v>0</v>
      </c>
      <c r="AN2099" s="30" t="str">
        <f t="shared" si="32"/>
        <v>70601000000000</v>
      </c>
    </row>
    <row r="2100" spans="1:40" x14ac:dyDescent="0.25">
      <c r="C2100" s="40"/>
      <c r="D2100" s="121" t="s">
        <v>2499</v>
      </c>
      <c r="E2100" s="121" t="s">
        <v>2500</v>
      </c>
      <c r="F2100" s="122" t="s">
        <v>2758</v>
      </c>
      <c r="G2100" s="52"/>
      <c r="H2100" s="52"/>
      <c r="I2100" s="52"/>
      <c r="J2100" s="52"/>
      <c r="K2100" s="59" t="s">
        <v>79</v>
      </c>
      <c r="L2100" s="52"/>
      <c r="M2100" s="52"/>
      <c r="N2100" s="52"/>
      <c r="O2100" s="52"/>
      <c r="P2100" s="108" t="s">
        <v>2501</v>
      </c>
      <c r="Q2100" s="55">
        <f>VLOOKUP(E2100,'NI-Soc_SP'!$C:$AN,12,FALSE)</f>
        <v>0</v>
      </c>
      <c r="R2100" s="55">
        <f>VLOOKUP(E2100,'NI-Soc_SP'!$C:$AN,13,FALSE)</f>
        <v>0</v>
      </c>
      <c r="S2100" s="55">
        <f>VLOOKUP(E2100,'NI-Soc_SP'!$C:$AN,30,FALSE)</f>
        <v>0</v>
      </c>
      <c r="T2100" s="94">
        <f>VLOOKUP(E2100,'NI-Soc_SP'!$C:$AN,31,FALSE)+VLOOKUP(E2100,'NI-Soc_SP'!$C:$AN,32,FALSE)</f>
        <v>0</v>
      </c>
      <c r="U2100" s="55">
        <f>VLOOKUP($E2100,'NI-Soc_SP'!$C:$AN,MID(U$1,1,2),FALSE)</f>
        <v>0</v>
      </c>
      <c r="V2100" s="55">
        <f>VLOOKUP($E2100,'NI-Soc_SP'!$C:$AN,MID(V$1,1,2),FALSE)</f>
        <v>0</v>
      </c>
      <c r="W2100" s="55">
        <f>VLOOKUP($E2100,'NI-Soc_SP'!$C:$AN,MID(W$1,1,2),FALSE)</f>
        <v>0</v>
      </c>
      <c r="X2100" s="55">
        <f>VLOOKUP($E2100,'NI-Soc_SP'!$C:$AN,MID(X$1,1,2),FALSE)</f>
        <v>0</v>
      </c>
      <c r="Y2100" s="55">
        <f>VLOOKUP($E2100,'NI-Soc_SP'!$C:$AN,MID(Y$1,1,2),FALSE)</f>
        <v>0</v>
      </c>
      <c r="Z2100" s="55">
        <f>VLOOKUP($E2100,'NI-Soc_SP'!$C:$AN,MID(Z$1,1,2),FALSE)</f>
        <v>0</v>
      </c>
      <c r="AA2100" s="55">
        <f>VLOOKUP($E2100,'NI-Soc_SP'!$C:$AN,MID(AA$1,1,2),FALSE)</f>
        <v>0</v>
      </c>
      <c r="AB2100" s="55">
        <f>VLOOKUP($E2100,'NI-Soc_SP'!$C:$AN,MID(AB$1,1,2),FALSE)</f>
        <v>0</v>
      </c>
      <c r="AC2100" s="55">
        <f>VLOOKUP($E2100,'NI-Soc_SP'!$C:$AN,MID(AC$1,1,2),FALSE)</f>
        <v>0</v>
      </c>
      <c r="AD2100" s="55">
        <f>VLOOKUP($E2100,'NI-Soc_SP'!$C:$AN,MID(AD$1,1,2),FALSE)</f>
        <v>0</v>
      </c>
      <c r="AE2100" s="55">
        <f>VLOOKUP($E2100,'NI-Soc_SP'!$C:$AN,MID(AE$1,1,2),FALSE)</f>
        <v>0</v>
      </c>
      <c r="AF2100" s="55">
        <f>VLOOKUP($E2100,'NI-Soc_SP'!$C:$AN,MID(AF$1,1,2),FALSE)</f>
        <v>0</v>
      </c>
      <c r="AG2100" s="55">
        <f>VLOOKUP($E2100,'NI-Soc_SP'!$C:$AN,MID(AG$1,1,2),FALSE)</f>
        <v>0</v>
      </c>
      <c r="AH2100" s="55">
        <f>VLOOKUP($E2100,'NI-Soc_SP'!$C:$AN,MID(AH$1,1,2),FALSE)</f>
        <v>0</v>
      </c>
      <c r="AI2100" s="55">
        <f>VLOOKUP($E2100,'NI-Soc_SP'!$C:$AN,MID(AI$1,1,2),FALSE)</f>
        <v>0</v>
      </c>
      <c r="AJ2100" s="55">
        <f>VLOOKUP($E2100,'NI-Soc_SP'!$C:$AN,MID(AJ$1,1,2),FALSE)</f>
        <v>0</v>
      </c>
      <c r="AK2100" s="55">
        <f>VLOOKUP($E2100,'NI-Soc_SP'!$C:$AN,MID(AK$1,1,2),FALSE)</f>
        <v>0</v>
      </c>
      <c r="AL2100" s="55">
        <f>VLOOKUP($E2100,'NI-Soc_SP'!$C:$AN,MID(AL$1,1,2),FALSE)</f>
        <v>0</v>
      </c>
      <c r="AM2100" s="56">
        <f>VLOOKUP($E2100,'NI-Soc_SP'!$C:$AN,MID(AM$1,1,2),FALSE)</f>
        <v>0</v>
      </c>
      <c r="AN2100" s="30" t="str">
        <f t="shared" si="32"/>
        <v>70601010000000</v>
      </c>
    </row>
    <row r="2101" spans="1:40" x14ac:dyDescent="0.25">
      <c r="C2101" s="40"/>
      <c r="D2101" s="121" t="s">
        <v>2502</v>
      </c>
      <c r="E2101" s="121" t="s">
        <v>2503</v>
      </c>
      <c r="F2101" s="122" t="s">
        <v>2758</v>
      </c>
      <c r="G2101" s="52"/>
      <c r="H2101" s="52"/>
      <c r="I2101" s="52"/>
      <c r="J2101" s="52"/>
      <c r="K2101" s="59" t="s">
        <v>79</v>
      </c>
      <c r="L2101" s="52"/>
      <c r="M2101" s="100"/>
      <c r="N2101" s="52"/>
      <c r="O2101" s="52"/>
      <c r="P2101" s="63" t="s">
        <v>2504</v>
      </c>
      <c r="Q2101" s="55">
        <f>VLOOKUP(E2101,'NI-Soc_SP'!$C:$AN,12,FALSE)</f>
        <v>0</v>
      </c>
      <c r="R2101" s="55">
        <f>VLOOKUP(E2101,'NI-Soc_SP'!$C:$AN,13,FALSE)</f>
        <v>0</v>
      </c>
      <c r="S2101" s="55">
        <f>VLOOKUP(E2101,'NI-Soc_SP'!$C:$AN,30,FALSE)</f>
        <v>0</v>
      </c>
      <c r="T2101" s="94">
        <f>VLOOKUP(E2101,'NI-Soc_SP'!$C:$AN,31,FALSE)+VLOOKUP(E2101,'NI-Soc_SP'!$C:$AN,32,FALSE)</f>
        <v>0</v>
      </c>
      <c r="U2101" s="55">
        <f>VLOOKUP($E2101,'NI-Soc_SP'!$C:$AN,MID(U$1,1,2),FALSE)</f>
        <v>0</v>
      </c>
      <c r="V2101" s="55">
        <f>VLOOKUP($E2101,'NI-Soc_SP'!$C:$AN,MID(V$1,1,2),FALSE)</f>
        <v>0</v>
      </c>
      <c r="W2101" s="55">
        <f>VLOOKUP($E2101,'NI-Soc_SP'!$C:$AN,MID(W$1,1,2),FALSE)</f>
        <v>0</v>
      </c>
      <c r="X2101" s="55">
        <f>VLOOKUP($E2101,'NI-Soc_SP'!$C:$AN,MID(X$1,1,2),FALSE)</f>
        <v>0</v>
      </c>
      <c r="Y2101" s="55">
        <f>VLOOKUP($E2101,'NI-Soc_SP'!$C:$AN,MID(Y$1,1,2),FALSE)</f>
        <v>0</v>
      </c>
      <c r="Z2101" s="55">
        <f>VLOOKUP($E2101,'NI-Soc_SP'!$C:$AN,MID(Z$1,1,2),FALSE)</f>
        <v>0</v>
      </c>
      <c r="AA2101" s="55">
        <f>VLOOKUP($E2101,'NI-Soc_SP'!$C:$AN,MID(AA$1,1,2),FALSE)</f>
        <v>0</v>
      </c>
      <c r="AB2101" s="55">
        <f>VLOOKUP($E2101,'NI-Soc_SP'!$C:$AN,MID(AB$1,1,2),FALSE)</f>
        <v>0</v>
      </c>
      <c r="AC2101" s="55">
        <f>VLOOKUP($E2101,'NI-Soc_SP'!$C:$AN,MID(AC$1,1,2),FALSE)</f>
        <v>0</v>
      </c>
      <c r="AD2101" s="55">
        <f>VLOOKUP($E2101,'NI-Soc_SP'!$C:$AN,MID(AD$1,1,2),FALSE)</f>
        <v>0</v>
      </c>
      <c r="AE2101" s="55">
        <f>VLOOKUP($E2101,'NI-Soc_SP'!$C:$AN,MID(AE$1,1,2),FALSE)</f>
        <v>0</v>
      </c>
      <c r="AF2101" s="55">
        <f>VLOOKUP($E2101,'NI-Soc_SP'!$C:$AN,MID(AF$1,1,2),FALSE)</f>
        <v>0</v>
      </c>
      <c r="AG2101" s="55">
        <f>VLOOKUP($E2101,'NI-Soc_SP'!$C:$AN,MID(AG$1,1,2),FALSE)</f>
        <v>0</v>
      </c>
      <c r="AH2101" s="55">
        <f>VLOOKUP($E2101,'NI-Soc_SP'!$C:$AN,MID(AH$1,1,2),FALSE)</f>
        <v>0</v>
      </c>
      <c r="AI2101" s="55">
        <f>VLOOKUP($E2101,'NI-Soc_SP'!$C:$AN,MID(AI$1,1,2),FALSE)</f>
        <v>0</v>
      </c>
      <c r="AJ2101" s="55">
        <f>VLOOKUP($E2101,'NI-Soc_SP'!$C:$AN,MID(AJ$1,1,2),FALSE)</f>
        <v>0</v>
      </c>
      <c r="AK2101" s="55">
        <f>VLOOKUP($E2101,'NI-Soc_SP'!$C:$AN,MID(AK$1,1,2),FALSE)</f>
        <v>0</v>
      </c>
      <c r="AL2101" s="55">
        <f>VLOOKUP($E2101,'NI-Soc_SP'!$C:$AN,MID(AL$1,1,2),FALSE)</f>
        <v>0</v>
      </c>
      <c r="AM2101" s="56">
        <f>VLOOKUP($E2101,'NI-Soc_SP'!$C:$AN,MID(AM$1,1,2),FALSE)</f>
        <v>0</v>
      </c>
      <c r="AN2101" s="30" t="str">
        <f t="shared" si="32"/>
        <v>70601020000000</v>
      </c>
    </row>
    <row r="2102" spans="1:40" x14ac:dyDescent="0.25">
      <c r="C2102" s="40"/>
      <c r="D2102" s="121" t="s">
        <v>2505</v>
      </c>
      <c r="E2102" s="121" t="s">
        <v>2506</v>
      </c>
      <c r="F2102" s="122" t="s">
        <v>2758</v>
      </c>
      <c r="G2102" s="52"/>
      <c r="H2102" s="52"/>
      <c r="I2102" s="52" t="s">
        <v>2507</v>
      </c>
      <c r="J2102" s="52"/>
      <c r="K2102" s="59" t="s">
        <v>79</v>
      </c>
      <c r="L2102" s="52"/>
      <c r="M2102" s="52"/>
      <c r="N2102" s="52"/>
      <c r="O2102" s="52"/>
      <c r="P2102" s="63" t="s">
        <v>2508</v>
      </c>
      <c r="Q2102" s="55">
        <f>VLOOKUP(E2102,'NI-Soc_SP'!$C:$AN,12,FALSE)</f>
        <v>0</v>
      </c>
      <c r="R2102" s="55">
        <f>VLOOKUP(E2102,'NI-Soc_SP'!$C:$AN,13,FALSE)</f>
        <v>0</v>
      </c>
      <c r="S2102" s="55">
        <f>VLOOKUP(E2102,'NI-Soc_SP'!$C:$AN,30,FALSE)</f>
        <v>0</v>
      </c>
      <c r="T2102" s="94">
        <f>VLOOKUP(E2102,'NI-Soc_SP'!$C:$AN,31,FALSE)+VLOOKUP(E2102,'NI-Soc_SP'!$C:$AN,32,FALSE)</f>
        <v>0</v>
      </c>
      <c r="U2102" s="55">
        <f>VLOOKUP($E2102,'NI-Soc_SP'!$C:$AN,MID(U$1,1,2),FALSE)</f>
        <v>0</v>
      </c>
      <c r="V2102" s="55">
        <f>VLOOKUP($E2102,'NI-Soc_SP'!$C:$AN,MID(V$1,1,2),FALSE)</f>
        <v>0</v>
      </c>
      <c r="W2102" s="55">
        <f>VLOOKUP($E2102,'NI-Soc_SP'!$C:$AN,MID(W$1,1,2),FALSE)</f>
        <v>0</v>
      </c>
      <c r="X2102" s="55">
        <f>VLOOKUP($E2102,'NI-Soc_SP'!$C:$AN,MID(X$1,1,2),FALSE)</f>
        <v>0</v>
      </c>
      <c r="Y2102" s="55">
        <f>VLOOKUP($E2102,'NI-Soc_SP'!$C:$AN,MID(Y$1,1,2),FALSE)</f>
        <v>0</v>
      </c>
      <c r="Z2102" s="55">
        <f>VLOOKUP($E2102,'NI-Soc_SP'!$C:$AN,MID(Z$1,1,2),FALSE)</f>
        <v>0</v>
      </c>
      <c r="AA2102" s="55">
        <f>VLOOKUP($E2102,'NI-Soc_SP'!$C:$AN,MID(AA$1,1,2),FALSE)</f>
        <v>0</v>
      </c>
      <c r="AB2102" s="55">
        <f>VLOOKUP($E2102,'NI-Soc_SP'!$C:$AN,MID(AB$1,1,2),FALSE)</f>
        <v>0</v>
      </c>
      <c r="AC2102" s="55">
        <f>VLOOKUP($E2102,'NI-Soc_SP'!$C:$AN,MID(AC$1,1,2),FALSE)</f>
        <v>0</v>
      </c>
      <c r="AD2102" s="55">
        <f>VLOOKUP($E2102,'NI-Soc_SP'!$C:$AN,MID(AD$1,1,2),FALSE)</f>
        <v>0</v>
      </c>
      <c r="AE2102" s="55">
        <f>VLOOKUP($E2102,'NI-Soc_SP'!$C:$AN,MID(AE$1,1,2),FALSE)</f>
        <v>0</v>
      </c>
      <c r="AF2102" s="55">
        <f>VLOOKUP($E2102,'NI-Soc_SP'!$C:$AN,MID(AF$1,1,2),FALSE)</f>
        <v>0</v>
      </c>
      <c r="AG2102" s="55">
        <f>VLOOKUP($E2102,'NI-Soc_SP'!$C:$AN,MID(AG$1,1,2),FALSE)</f>
        <v>0</v>
      </c>
      <c r="AH2102" s="55">
        <f>VLOOKUP($E2102,'NI-Soc_SP'!$C:$AN,MID(AH$1,1,2),FALSE)</f>
        <v>0</v>
      </c>
      <c r="AI2102" s="55">
        <f>VLOOKUP($E2102,'NI-Soc_SP'!$C:$AN,MID(AI$1,1,2),FALSE)</f>
        <v>0</v>
      </c>
      <c r="AJ2102" s="55">
        <f>VLOOKUP($E2102,'NI-Soc_SP'!$C:$AN,MID(AJ$1,1,2),FALSE)</f>
        <v>0</v>
      </c>
      <c r="AK2102" s="55">
        <f>VLOOKUP($E2102,'NI-Soc_SP'!$C:$AN,MID(AK$1,1,2),FALSE)</f>
        <v>0</v>
      </c>
      <c r="AL2102" s="55">
        <f>VLOOKUP($E2102,'NI-Soc_SP'!$C:$AN,MID(AL$1,1,2),FALSE)</f>
        <v>0</v>
      </c>
      <c r="AM2102" s="56">
        <f>VLOOKUP($E2102,'NI-Soc_SP'!$C:$AN,MID(AM$1,1,2),FALSE)</f>
        <v>0</v>
      </c>
      <c r="AN2102" s="30" t="str">
        <f t="shared" si="32"/>
        <v>70602000000000</v>
      </c>
    </row>
    <row r="2103" spans="1:40" x14ac:dyDescent="0.25">
      <c r="C2103" s="40"/>
      <c r="D2103" s="121" t="s">
        <v>2509</v>
      </c>
      <c r="E2103" s="121" t="s">
        <v>2510</v>
      </c>
      <c r="F2103" s="122" t="s">
        <v>2758</v>
      </c>
      <c r="G2103" s="52"/>
      <c r="H2103" s="52"/>
      <c r="I2103" s="52" t="s">
        <v>2511</v>
      </c>
      <c r="J2103" s="52"/>
      <c r="K2103" s="59" t="s">
        <v>111</v>
      </c>
      <c r="L2103" s="52"/>
      <c r="M2103" s="100"/>
      <c r="N2103" s="52"/>
      <c r="O2103" s="52"/>
      <c r="P2103" s="120" t="s">
        <v>2512</v>
      </c>
      <c r="Q2103" s="55">
        <f>VLOOKUP(E2103,'NI-Soc_SP'!$C:$AN,12,FALSE)</f>
        <v>0</v>
      </c>
      <c r="R2103" s="55">
        <f>VLOOKUP(E2103,'NI-Soc_SP'!$C:$AN,13,FALSE)</f>
        <v>0</v>
      </c>
      <c r="S2103" s="55">
        <f>VLOOKUP(E2103,'NI-Soc_SP'!$C:$AN,30,FALSE)</f>
        <v>0</v>
      </c>
      <c r="T2103" s="94">
        <f>VLOOKUP(E2103,'NI-Soc_SP'!$C:$AN,31,FALSE)+VLOOKUP(E2103,'NI-Soc_SP'!$C:$AN,32,FALSE)</f>
        <v>0</v>
      </c>
      <c r="U2103" s="55">
        <f>VLOOKUP($E2103,'NI-Soc_SP'!$C:$AN,MID(U$1,1,2),FALSE)</f>
        <v>0</v>
      </c>
      <c r="V2103" s="55">
        <f>VLOOKUP($E2103,'NI-Soc_SP'!$C:$AN,MID(V$1,1,2),FALSE)</f>
        <v>0</v>
      </c>
      <c r="W2103" s="55">
        <f>VLOOKUP($E2103,'NI-Soc_SP'!$C:$AN,MID(W$1,1,2),FALSE)</f>
        <v>0</v>
      </c>
      <c r="X2103" s="55">
        <f>VLOOKUP($E2103,'NI-Soc_SP'!$C:$AN,MID(X$1,1,2),FALSE)</f>
        <v>0</v>
      </c>
      <c r="Y2103" s="55">
        <f>VLOOKUP($E2103,'NI-Soc_SP'!$C:$AN,MID(Y$1,1,2),FALSE)</f>
        <v>0</v>
      </c>
      <c r="Z2103" s="55">
        <f>VLOOKUP($E2103,'NI-Soc_SP'!$C:$AN,MID(Z$1,1,2),FALSE)</f>
        <v>0</v>
      </c>
      <c r="AA2103" s="55">
        <f>VLOOKUP($E2103,'NI-Soc_SP'!$C:$AN,MID(AA$1,1,2),FALSE)</f>
        <v>0</v>
      </c>
      <c r="AB2103" s="55">
        <f>VLOOKUP($E2103,'NI-Soc_SP'!$C:$AN,MID(AB$1,1,2),FALSE)</f>
        <v>0</v>
      </c>
      <c r="AC2103" s="55">
        <f>VLOOKUP($E2103,'NI-Soc_SP'!$C:$AN,MID(AC$1,1,2),FALSE)</f>
        <v>0</v>
      </c>
      <c r="AD2103" s="55">
        <f>VLOOKUP($E2103,'NI-Soc_SP'!$C:$AN,MID(AD$1,1,2),FALSE)</f>
        <v>0</v>
      </c>
      <c r="AE2103" s="55">
        <f>VLOOKUP($E2103,'NI-Soc_SP'!$C:$AN,MID(AE$1,1,2),FALSE)</f>
        <v>0</v>
      </c>
      <c r="AF2103" s="55">
        <f>VLOOKUP($E2103,'NI-Soc_SP'!$C:$AN,MID(AF$1,1,2),FALSE)</f>
        <v>0</v>
      </c>
      <c r="AG2103" s="55">
        <f>VLOOKUP($E2103,'NI-Soc_SP'!$C:$AN,MID(AG$1,1,2),FALSE)</f>
        <v>0</v>
      </c>
      <c r="AH2103" s="55">
        <f>VLOOKUP($E2103,'NI-Soc_SP'!$C:$AN,MID(AH$1,1,2),FALSE)</f>
        <v>0</v>
      </c>
      <c r="AI2103" s="55">
        <f>VLOOKUP($E2103,'NI-Soc_SP'!$C:$AN,MID(AI$1,1,2),FALSE)</f>
        <v>0</v>
      </c>
      <c r="AJ2103" s="55">
        <f>VLOOKUP($E2103,'NI-Soc_SP'!$C:$AN,MID(AJ$1,1,2),FALSE)</f>
        <v>0</v>
      </c>
      <c r="AK2103" s="55">
        <f>VLOOKUP($E2103,'NI-Soc_SP'!$C:$AN,MID(AK$1,1,2),FALSE)</f>
        <v>0</v>
      </c>
      <c r="AL2103" s="55">
        <f>VLOOKUP($E2103,'NI-Soc_SP'!$C:$AN,MID(AL$1,1,2),FALSE)</f>
        <v>0</v>
      </c>
      <c r="AM2103" s="56">
        <f>VLOOKUP($E2103,'NI-Soc_SP'!$C:$AN,MID(AM$1,1,2),FALSE)</f>
        <v>0</v>
      </c>
      <c r="AN2103" s="30" t="str">
        <f t="shared" si="32"/>
        <v>70603000000000</v>
      </c>
    </row>
    <row r="2104" spans="1:40" x14ac:dyDescent="0.25">
      <c r="C2104" s="40"/>
      <c r="D2104" s="121" t="s">
        <v>2513</v>
      </c>
      <c r="E2104" s="121" t="s">
        <v>2514</v>
      </c>
      <c r="F2104" s="122" t="s">
        <v>2758</v>
      </c>
      <c r="G2104" s="52"/>
      <c r="H2104" s="52"/>
      <c r="I2104" s="52"/>
      <c r="J2104" s="52"/>
      <c r="K2104" s="59" t="s">
        <v>79</v>
      </c>
      <c r="L2104" s="52"/>
      <c r="M2104" s="100"/>
      <c r="N2104" s="52"/>
      <c r="O2104" s="52"/>
      <c r="P2104" s="120" t="s">
        <v>2515</v>
      </c>
      <c r="Q2104" s="55">
        <f>VLOOKUP(E2104,'NI-Soc_SP'!$C:$AN,12,FALSE)</f>
        <v>0</v>
      </c>
      <c r="R2104" s="55">
        <f>VLOOKUP(E2104,'NI-Soc_SP'!$C:$AN,13,FALSE)</f>
        <v>0</v>
      </c>
      <c r="S2104" s="55">
        <f>VLOOKUP(E2104,'NI-Soc_SP'!$C:$AN,30,FALSE)</f>
        <v>0</v>
      </c>
      <c r="T2104" s="94">
        <f>VLOOKUP(E2104,'NI-Soc_SP'!$C:$AN,31,FALSE)+VLOOKUP(E2104,'NI-Soc_SP'!$C:$AN,32,FALSE)</f>
        <v>0</v>
      </c>
      <c r="U2104" s="55">
        <f>VLOOKUP($E2104,'NI-Soc_SP'!$C:$AN,MID(U$1,1,2),FALSE)</f>
        <v>0</v>
      </c>
      <c r="V2104" s="55">
        <f>VLOOKUP($E2104,'NI-Soc_SP'!$C:$AN,MID(V$1,1,2),FALSE)</f>
        <v>0</v>
      </c>
      <c r="W2104" s="55">
        <f>VLOOKUP($E2104,'NI-Soc_SP'!$C:$AN,MID(W$1,1,2),FALSE)</f>
        <v>0</v>
      </c>
      <c r="X2104" s="55">
        <f>VLOOKUP($E2104,'NI-Soc_SP'!$C:$AN,MID(X$1,1,2),FALSE)</f>
        <v>0</v>
      </c>
      <c r="Y2104" s="55">
        <f>VLOOKUP($E2104,'NI-Soc_SP'!$C:$AN,MID(Y$1,1,2),FALSE)</f>
        <v>0</v>
      </c>
      <c r="Z2104" s="55">
        <f>VLOOKUP($E2104,'NI-Soc_SP'!$C:$AN,MID(Z$1,1,2),FALSE)</f>
        <v>0</v>
      </c>
      <c r="AA2104" s="55">
        <f>VLOOKUP($E2104,'NI-Soc_SP'!$C:$AN,MID(AA$1,1,2),FALSE)</f>
        <v>0</v>
      </c>
      <c r="AB2104" s="55">
        <f>VLOOKUP($E2104,'NI-Soc_SP'!$C:$AN,MID(AB$1,1,2),FALSE)</f>
        <v>0</v>
      </c>
      <c r="AC2104" s="55">
        <f>VLOOKUP($E2104,'NI-Soc_SP'!$C:$AN,MID(AC$1,1,2),FALSE)</f>
        <v>0</v>
      </c>
      <c r="AD2104" s="55">
        <f>VLOOKUP($E2104,'NI-Soc_SP'!$C:$AN,MID(AD$1,1,2),FALSE)</f>
        <v>0</v>
      </c>
      <c r="AE2104" s="55">
        <f>VLOOKUP($E2104,'NI-Soc_SP'!$C:$AN,MID(AE$1,1,2),FALSE)</f>
        <v>0</v>
      </c>
      <c r="AF2104" s="55">
        <f>VLOOKUP($E2104,'NI-Soc_SP'!$C:$AN,MID(AF$1,1,2),FALSE)</f>
        <v>0</v>
      </c>
      <c r="AG2104" s="55">
        <f>VLOOKUP($E2104,'NI-Soc_SP'!$C:$AN,MID(AG$1,1,2),FALSE)</f>
        <v>0</v>
      </c>
      <c r="AH2104" s="55">
        <f>VLOOKUP($E2104,'NI-Soc_SP'!$C:$AN,MID(AH$1,1,2),FALSE)</f>
        <v>0</v>
      </c>
      <c r="AI2104" s="55">
        <f>VLOOKUP($E2104,'NI-Soc_SP'!$C:$AN,MID(AI$1,1,2),FALSE)</f>
        <v>0</v>
      </c>
      <c r="AJ2104" s="55">
        <f>VLOOKUP($E2104,'NI-Soc_SP'!$C:$AN,MID(AJ$1,1,2),FALSE)</f>
        <v>0</v>
      </c>
      <c r="AK2104" s="55">
        <f>VLOOKUP($E2104,'NI-Soc_SP'!$C:$AN,MID(AK$1,1,2),FALSE)</f>
        <v>0</v>
      </c>
      <c r="AL2104" s="55">
        <f>VLOOKUP($E2104,'NI-Soc_SP'!$C:$AN,MID(AL$1,1,2),FALSE)</f>
        <v>0</v>
      </c>
      <c r="AM2104" s="56">
        <f>VLOOKUP($E2104,'NI-Soc_SP'!$C:$AN,MID(AM$1,1,2),FALSE)</f>
        <v>0</v>
      </c>
      <c r="AN2104" s="30" t="str">
        <f t="shared" si="32"/>
        <v>70603010000000</v>
      </c>
    </row>
    <row r="2105" spans="1:40" x14ac:dyDescent="0.25">
      <c r="C2105" s="40"/>
      <c r="D2105" s="121" t="s">
        <v>2516</v>
      </c>
      <c r="E2105" s="121" t="s">
        <v>2517</v>
      </c>
      <c r="F2105" s="122" t="s">
        <v>2758</v>
      </c>
      <c r="G2105" s="52"/>
      <c r="H2105" s="52"/>
      <c r="I2105" s="52"/>
      <c r="J2105" s="52"/>
      <c r="K2105" s="59" t="s">
        <v>79</v>
      </c>
      <c r="L2105" s="52"/>
      <c r="M2105" s="52"/>
      <c r="N2105" s="52"/>
      <c r="O2105" s="52"/>
      <c r="P2105" s="120" t="s">
        <v>2518</v>
      </c>
      <c r="Q2105" s="55">
        <f>VLOOKUP(E2105,'NI-Soc_SP'!$C:$AN,12,FALSE)</f>
        <v>0</v>
      </c>
      <c r="R2105" s="55">
        <f>VLOOKUP(E2105,'NI-Soc_SP'!$C:$AN,13,FALSE)</f>
        <v>0</v>
      </c>
      <c r="S2105" s="55">
        <f>VLOOKUP(E2105,'NI-Soc_SP'!$C:$AN,30,FALSE)</f>
        <v>0</v>
      </c>
      <c r="T2105" s="94">
        <f>VLOOKUP(E2105,'NI-Soc_SP'!$C:$AN,31,FALSE)+VLOOKUP(E2105,'NI-Soc_SP'!$C:$AN,32,FALSE)</f>
        <v>0</v>
      </c>
      <c r="U2105" s="55">
        <f>VLOOKUP($E2105,'NI-Soc_SP'!$C:$AN,MID(U$1,1,2),FALSE)</f>
        <v>0</v>
      </c>
      <c r="V2105" s="55">
        <f>VLOOKUP($E2105,'NI-Soc_SP'!$C:$AN,MID(V$1,1,2),FALSE)</f>
        <v>0</v>
      </c>
      <c r="W2105" s="55">
        <f>VLOOKUP($E2105,'NI-Soc_SP'!$C:$AN,MID(W$1,1,2),FALSE)</f>
        <v>0</v>
      </c>
      <c r="X2105" s="55">
        <f>VLOOKUP($E2105,'NI-Soc_SP'!$C:$AN,MID(X$1,1,2),FALSE)</f>
        <v>0</v>
      </c>
      <c r="Y2105" s="55">
        <f>VLOOKUP($E2105,'NI-Soc_SP'!$C:$AN,MID(Y$1,1,2),FALSE)</f>
        <v>0</v>
      </c>
      <c r="Z2105" s="55">
        <f>VLOOKUP($E2105,'NI-Soc_SP'!$C:$AN,MID(Z$1,1,2),FALSE)</f>
        <v>0</v>
      </c>
      <c r="AA2105" s="55">
        <f>VLOOKUP($E2105,'NI-Soc_SP'!$C:$AN,MID(AA$1,1,2),FALSE)</f>
        <v>0</v>
      </c>
      <c r="AB2105" s="55">
        <f>VLOOKUP($E2105,'NI-Soc_SP'!$C:$AN,MID(AB$1,1,2),FALSE)</f>
        <v>0</v>
      </c>
      <c r="AC2105" s="55">
        <f>VLOOKUP($E2105,'NI-Soc_SP'!$C:$AN,MID(AC$1,1,2),FALSE)</f>
        <v>0</v>
      </c>
      <c r="AD2105" s="55">
        <f>VLOOKUP($E2105,'NI-Soc_SP'!$C:$AN,MID(AD$1,1,2),FALSE)</f>
        <v>0</v>
      </c>
      <c r="AE2105" s="55">
        <f>VLOOKUP($E2105,'NI-Soc_SP'!$C:$AN,MID(AE$1,1,2),FALSE)</f>
        <v>0</v>
      </c>
      <c r="AF2105" s="55">
        <f>VLOOKUP($E2105,'NI-Soc_SP'!$C:$AN,MID(AF$1,1,2),FALSE)</f>
        <v>0</v>
      </c>
      <c r="AG2105" s="55">
        <f>VLOOKUP($E2105,'NI-Soc_SP'!$C:$AN,MID(AG$1,1,2),FALSE)</f>
        <v>0</v>
      </c>
      <c r="AH2105" s="55">
        <f>VLOOKUP($E2105,'NI-Soc_SP'!$C:$AN,MID(AH$1,1,2),FALSE)</f>
        <v>0</v>
      </c>
      <c r="AI2105" s="55">
        <f>VLOOKUP($E2105,'NI-Soc_SP'!$C:$AN,MID(AI$1,1,2),FALSE)</f>
        <v>0</v>
      </c>
      <c r="AJ2105" s="55">
        <f>VLOOKUP($E2105,'NI-Soc_SP'!$C:$AN,MID(AJ$1,1,2),FALSE)</f>
        <v>0</v>
      </c>
      <c r="AK2105" s="55">
        <f>VLOOKUP($E2105,'NI-Soc_SP'!$C:$AN,MID(AK$1,1,2),FALSE)</f>
        <v>0</v>
      </c>
      <c r="AL2105" s="55">
        <f>VLOOKUP($E2105,'NI-Soc_SP'!$C:$AN,MID(AL$1,1,2),FALSE)</f>
        <v>0</v>
      </c>
      <c r="AM2105" s="56">
        <f>VLOOKUP($E2105,'NI-Soc_SP'!$C:$AN,MID(AM$1,1,2),FALSE)</f>
        <v>0</v>
      </c>
      <c r="AN2105" s="30" t="str">
        <f t="shared" si="32"/>
        <v>70603020000000</v>
      </c>
    </row>
    <row r="2106" spans="1:40" x14ac:dyDescent="0.25">
      <c r="C2106" s="40"/>
      <c r="D2106" s="121" t="s">
        <v>2519</v>
      </c>
      <c r="E2106" s="121" t="s">
        <v>2520</v>
      </c>
      <c r="F2106" s="122" t="s">
        <v>2758</v>
      </c>
      <c r="G2106" s="52"/>
      <c r="H2106" s="52"/>
      <c r="I2106" s="52"/>
      <c r="J2106" s="52"/>
      <c r="K2106" s="59" t="s">
        <v>111</v>
      </c>
      <c r="L2106" s="52" t="s">
        <v>2521</v>
      </c>
      <c r="M2106" s="52" t="s">
        <v>2352</v>
      </c>
      <c r="N2106" s="52"/>
      <c r="O2106" s="61" t="s">
        <v>2522</v>
      </c>
      <c r="P2106" s="108" t="s">
        <v>2523</v>
      </c>
      <c r="Q2106" s="55">
        <f>VLOOKUP(E2106,'NI-Soc_SP'!$C:$AN,12,FALSE)</f>
        <v>0</v>
      </c>
      <c r="R2106" s="55">
        <f>VLOOKUP(E2106,'NI-Soc_SP'!$C:$AN,13,FALSE)</f>
        <v>0</v>
      </c>
      <c r="S2106" s="55">
        <f>VLOOKUP(E2106,'NI-Soc_SP'!$C:$AN,30,FALSE)</f>
        <v>0</v>
      </c>
      <c r="T2106" s="55">
        <f>VLOOKUP(E2106,'NI-Soc_SP'!$C:$AN,31,FALSE)+VLOOKUP(E2106,'NI-Soc_SP'!$C:$AN,32,FALSE)</f>
        <v>0</v>
      </c>
      <c r="U2106" s="55">
        <f>VLOOKUP($E2106,'NI-Soc_SP'!$C:$AN,MID(U$1,1,2),FALSE)</f>
        <v>0</v>
      </c>
      <c r="V2106" s="55">
        <f>VLOOKUP($E2106,'NI-Soc_SP'!$C:$AN,MID(V$1,1,2),FALSE)</f>
        <v>0</v>
      </c>
      <c r="W2106" s="55">
        <f>VLOOKUP($E2106,'NI-Soc_SP'!$C:$AN,MID(W$1,1,2),FALSE)</f>
        <v>0</v>
      </c>
      <c r="X2106" s="55">
        <f>VLOOKUP($E2106,'NI-Soc_SP'!$C:$AN,MID(X$1,1,2),FALSE)</f>
        <v>0</v>
      </c>
      <c r="Y2106" s="55">
        <f>VLOOKUP($E2106,'NI-Soc_SP'!$C:$AN,MID(Y$1,1,2),FALSE)</f>
        <v>0</v>
      </c>
      <c r="Z2106" s="55">
        <f>VLOOKUP($E2106,'NI-Soc_SP'!$C:$AN,MID(Z$1,1,2),FALSE)</f>
        <v>0</v>
      </c>
      <c r="AA2106" s="55">
        <f>VLOOKUP($E2106,'NI-Soc_SP'!$C:$AN,MID(AA$1,1,2),FALSE)</f>
        <v>0</v>
      </c>
      <c r="AB2106" s="55">
        <f>VLOOKUP($E2106,'NI-Soc_SP'!$C:$AN,MID(AB$1,1,2),FALSE)</f>
        <v>0</v>
      </c>
      <c r="AC2106" s="55">
        <f>VLOOKUP($E2106,'NI-Soc_SP'!$C:$AN,MID(AC$1,1,2),FALSE)</f>
        <v>0</v>
      </c>
      <c r="AD2106" s="55">
        <f>VLOOKUP($E2106,'NI-Soc_SP'!$C:$AN,MID(AD$1,1,2),FALSE)</f>
        <v>0</v>
      </c>
      <c r="AE2106" s="55">
        <f>VLOOKUP($E2106,'NI-Soc_SP'!$C:$AN,MID(AE$1,1,2),FALSE)</f>
        <v>0</v>
      </c>
      <c r="AF2106" s="55">
        <f>VLOOKUP($E2106,'NI-Soc_SP'!$C:$AN,MID(AF$1,1,2),FALSE)</f>
        <v>0</v>
      </c>
      <c r="AG2106" s="55">
        <f>VLOOKUP($E2106,'NI-Soc_SP'!$C:$AN,MID(AG$1,1,2),FALSE)</f>
        <v>0</v>
      </c>
      <c r="AH2106" s="55">
        <f>VLOOKUP($E2106,'NI-Soc_SP'!$C:$AN,MID(AH$1,1,2),FALSE)</f>
        <v>0</v>
      </c>
      <c r="AI2106" s="55">
        <f>VLOOKUP($E2106,'NI-Soc_SP'!$C:$AN,MID(AI$1,1,2),FALSE)</f>
        <v>0</v>
      </c>
      <c r="AJ2106" s="55">
        <f>VLOOKUP($E2106,'NI-Soc_SP'!$C:$AN,MID(AJ$1,1,2),FALSE)</f>
        <v>0</v>
      </c>
      <c r="AK2106" s="55">
        <f>VLOOKUP($E2106,'NI-Soc_SP'!$C:$AN,MID(AK$1,1,2),FALSE)</f>
        <v>0</v>
      </c>
      <c r="AL2106" s="55">
        <f>VLOOKUP($E2106,'NI-Soc_SP'!$C:$AN,MID(AL$1,1,2),FALSE)</f>
        <v>0</v>
      </c>
      <c r="AM2106" s="56">
        <f>VLOOKUP($E2106,'NI-Soc_SP'!$C:$AN,MID(AM$1,1,2),FALSE)</f>
        <v>0</v>
      </c>
      <c r="AN2106" s="30" t="str">
        <f t="shared" si="32"/>
        <v>70700000000000</v>
      </c>
    </row>
    <row r="2107" spans="1:40" x14ac:dyDescent="0.25">
      <c r="C2107" s="40"/>
      <c r="D2107" s="121" t="s">
        <v>2524</v>
      </c>
      <c r="E2107" s="121" t="s">
        <v>2525</v>
      </c>
      <c r="F2107" s="122" t="s">
        <v>2758</v>
      </c>
      <c r="G2107" s="52"/>
      <c r="H2107" s="52"/>
      <c r="I2107" s="52" t="s">
        <v>2526</v>
      </c>
      <c r="J2107" s="52"/>
      <c r="K2107" s="59" t="s">
        <v>111</v>
      </c>
      <c r="L2107" s="52"/>
      <c r="M2107" s="52"/>
      <c r="N2107" s="52"/>
      <c r="O2107" s="52"/>
      <c r="P2107" s="108" t="s">
        <v>2527</v>
      </c>
      <c r="Q2107" s="55">
        <f>VLOOKUP(E2107,'NI-Soc_SP'!$C:$AN,12,FALSE)</f>
        <v>0</v>
      </c>
      <c r="R2107" s="55">
        <f>VLOOKUP(E2107,'NI-Soc_SP'!$C:$AN,13,FALSE)</f>
        <v>0</v>
      </c>
      <c r="S2107" s="55">
        <f>VLOOKUP(E2107,'NI-Soc_SP'!$C:$AN,30,FALSE)</f>
        <v>0</v>
      </c>
      <c r="T2107" s="94">
        <f>VLOOKUP(E2107,'NI-Soc_SP'!$C:$AN,31,FALSE)+VLOOKUP(E2107,'NI-Soc_SP'!$C:$AN,32,FALSE)</f>
        <v>0</v>
      </c>
      <c r="U2107" s="55">
        <f>VLOOKUP($E2107,'NI-Soc_SP'!$C:$AN,MID(U$1,1,2),FALSE)</f>
        <v>0</v>
      </c>
      <c r="V2107" s="55">
        <f>VLOOKUP($E2107,'NI-Soc_SP'!$C:$AN,MID(V$1,1,2),FALSE)</f>
        <v>0</v>
      </c>
      <c r="W2107" s="55">
        <f>VLOOKUP($E2107,'NI-Soc_SP'!$C:$AN,MID(W$1,1,2),FALSE)</f>
        <v>0</v>
      </c>
      <c r="X2107" s="55">
        <f>VLOOKUP($E2107,'NI-Soc_SP'!$C:$AN,MID(X$1,1,2),FALSE)</f>
        <v>0</v>
      </c>
      <c r="Y2107" s="55">
        <f>VLOOKUP($E2107,'NI-Soc_SP'!$C:$AN,MID(Y$1,1,2),FALSE)</f>
        <v>0</v>
      </c>
      <c r="Z2107" s="55">
        <f>VLOOKUP($E2107,'NI-Soc_SP'!$C:$AN,MID(Z$1,1,2),FALSE)</f>
        <v>0</v>
      </c>
      <c r="AA2107" s="55">
        <f>VLOOKUP($E2107,'NI-Soc_SP'!$C:$AN,MID(AA$1,1,2),FALSE)</f>
        <v>0</v>
      </c>
      <c r="AB2107" s="55">
        <f>VLOOKUP($E2107,'NI-Soc_SP'!$C:$AN,MID(AB$1,1,2),FALSE)</f>
        <v>0</v>
      </c>
      <c r="AC2107" s="55">
        <f>VLOOKUP($E2107,'NI-Soc_SP'!$C:$AN,MID(AC$1,1,2),FALSE)</f>
        <v>0</v>
      </c>
      <c r="AD2107" s="55">
        <f>VLOOKUP($E2107,'NI-Soc_SP'!$C:$AN,MID(AD$1,1,2),FALSE)</f>
        <v>0</v>
      </c>
      <c r="AE2107" s="55">
        <f>VLOOKUP($E2107,'NI-Soc_SP'!$C:$AN,MID(AE$1,1,2),FALSE)</f>
        <v>0</v>
      </c>
      <c r="AF2107" s="55">
        <f>VLOOKUP($E2107,'NI-Soc_SP'!$C:$AN,MID(AF$1,1,2),FALSE)</f>
        <v>0</v>
      </c>
      <c r="AG2107" s="55">
        <f>VLOOKUP($E2107,'NI-Soc_SP'!$C:$AN,MID(AG$1,1,2),FALSE)</f>
        <v>0</v>
      </c>
      <c r="AH2107" s="55">
        <f>VLOOKUP($E2107,'NI-Soc_SP'!$C:$AN,MID(AH$1,1,2),FALSE)</f>
        <v>0</v>
      </c>
      <c r="AI2107" s="55">
        <f>VLOOKUP($E2107,'NI-Soc_SP'!$C:$AN,MID(AI$1,1,2),FALSE)</f>
        <v>0</v>
      </c>
      <c r="AJ2107" s="55">
        <f>VLOOKUP($E2107,'NI-Soc_SP'!$C:$AN,MID(AJ$1,1,2),FALSE)</f>
        <v>0</v>
      </c>
      <c r="AK2107" s="55">
        <f>VLOOKUP($E2107,'NI-Soc_SP'!$C:$AN,MID(AK$1,1,2),FALSE)</f>
        <v>0</v>
      </c>
      <c r="AL2107" s="55">
        <f>VLOOKUP($E2107,'NI-Soc_SP'!$C:$AN,MID(AL$1,1,2),FALSE)</f>
        <v>0</v>
      </c>
      <c r="AM2107" s="56">
        <f>VLOOKUP($E2107,'NI-Soc_SP'!$C:$AN,MID(AM$1,1,2),FALSE)</f>
        <v>0</v>
      </c>
      <c r="AN2107" s="30" t="str">
        <f t="shared" si="32"/>
        <v>70701010000000</v>
      </c>
    </row>
    <row r="2108" spans="1:40" x14ac:dyDescent="0.25">
      <c r="C2108" s="40"/>
      <c r="D2108" s="121" t="s">
        <v>2528</v>
      </c>
      <c r="E2108" s="121" t="s">
        <v>2529</v>
      </c>
      <c r="F2108" s="122" t="s">
        <v>2758</v>
      </c>
      <c r="G2108" s="52"/>
      <c r="H2108" s="52"/>
      <c r="I2108" s="52"/>
      <c r="J2108" s="52"/>
      <c r="K2108" s="59" t="s">
        <v>79</v>
      </c>
      <c r="L2108" s="52"/>
      <c r="M2108" s="52"/>
      <c r="N2108" s="52"/>
      <c r="O2108" s="52"/>
      <c r="P2108" s="108" t="s">
        <v>2531</v>
      </c>
      <c r="Q2108" s="55">
        <f>VLOOKUP(E2108,'NI-Soc_SP'!$C:$AN,12,FALSE)</f>
        <v>0</v>
      </c>
      <c r="R2108" s="55">
        <f>VLOOKUP(E2108,'NI-Soc_SP'!$C:$AN,13,FALSE)</f>
        <v>0</v>
      </c>
      <c r="S2108" s="55">
        <f>VLOOKUP(E2108,'NI-Soc_SP'!$C:$AN,30,FALSE)</f>
        <v>0</v>
      </c>
      <c r="T2108" s="94">
        <f>VLOOKUP(E2108,'NI-Soc_SP'!$C:$AN,31,FALSE)+VLOOKUP(E2108,'NI-Soc_SP'!$C:$AN,32,FALSE)</f>
        <v>0</v>
      </c>
      <c r="U2108" s="55">
        <f>VLOOKUP($E2108,'NI-Soc_SP'!$C:$AN,MID(U$1,1,2),FALSE)</f>
        <v>0</v>
      </c>
      <c r="V2108" s="55">
        <f>VLOOKUP($E2108,'NI-Soc_SP'!$C:$AN,MID(V$1,1,2),FALSE)</f>
        <v>0</v>
      </c>
      <c r="W2108" s="55">
        <f>VLOOKUP($E2108,'NI-Soc_SP'!$C:$AN,MID(W$1,1,2),FALSE)</f>
        <v>0</v>
      </c>
      <c r="X2108" s="55">
        <f>VLOOKUP($E2108,'NI-Soc_SP'!$C:$AN,MID(X$1,1,2),FALSE)</f>
        <v>0</v>
      </c>
      <c r="Y2108" s="55">
        <f>VLOOKUP($E2108,'NI-Soc_SP'!$C:$AN,MID(Y$1,1,2),FALSE)</f>
        <v>0</v>
      </c>
      <c r="Z2108" s="55">
        <f>VLOOKUP($E2108,'NI-Soc_SP'!$C:$AN,MID(Z$1,1,2),FALSE)</f>
        <v>0</v>
      </c>
      <c r="AA2108" s="55">
        <f>VLOOKUP($E2108,'NI-Soc_SP'!$C:$AN,MID(AA$1,1,2),FALSE)</f>
        <v>0</v>
      </c>
      <c r="AB2108" s="55">
        <f>VLOOKUP($E2108,'NI-Soc_SP'!$C:$AN,MID(AB$1,1,2),FALSE)</f>
        <v>0</v>
      </c>
      <c r="AC2108" s="55">
        <f>VLOOKUP($E2108,'NI-Soc_SP'!$C:$AN,MID(AC$1,1,2),FALSE)</f>
        <v>0</v>
      </c>
      <c r="AD2108" s="55">
        <f>VLOOKUP($E2108,'NI-Soc_SP'!$C:$AN,MID(AD$1,1,2),FALSE)</f>
        <v>0</v>
      </c>
      <c r="AE2108" s="55">
        <f>VLOOKUP($E2108,'NI-Soc_SP'!$C:$AN,MID(AE$1,1,2),FALSE)</f>
        <v>0</v>
      </c>
      <c r="AF2108" s="55">
        <f>VLOOKUP($E2108,'NI-Soc_SP'!$C:$AN,MID(AF$1,1,2),FALSE)</f>
        <v>0</v>
      </c>
      <c r="AG2108" s="55">
        <f>VLOOKUP($E2108,'NI-Soc_SP'!$C:$AN,MID(AG$1,1,2),FALSE)</f>
        <v>0</v>
      </c>
      <c r="AH2108" s="55">
        <f>VLOOKUP($E2108,'NI-Soc_SP'!$C:$AN,MID(AH$1,1,2),FALSE)</f>
        <v>0</v>
      </c>
      <c r="AI2108" s="55">
        <f>VLOOKUP($E2108,'NI-Soc_SP'!$C:$AN,MID(AI$1,1,2),FALSE)</f>
        <v>0</v>
      </c>
      <c r="AJ2108" s="55">
        <f>VLOOKUP($E2108,'NI-Soc_SP'!$C:$AN,MID(AJ$1,1,2),FALSE)</f>
        <v>0</v>
      </c>
      <c r="AK2108" s="55">
        <f>VLOOKUP($E2108,'NI-Soc_SP'!$C:$AN,MID(AK$1,1,2),FALSE)</f>
        <v>0</v>
      </c>
      <c r="AL2108" s="55">
        <f>VLOOKUP($E2108,'NI-Soc_SP'!$C:$AN,MID(AL$1,1,2),FALSE)</f>
        <v>0</v>
      </c>
      <c r="AM2108" s="56">
        <f>VLOOKUP($E2108,'NI-Soc_SP'!$C:$AN,MID(AM$1,1,2),FALSE)</f>
        <v>0</v>
      </c>
      <c r="AN2108" s="30" t="str">
        <f t="shared" si="32"/>
        <v>70701010010000</v>
      </c>
    </row>
    <row r="2109" spans="1:40" x14ac:dyDescent="0.25">
      <c r="C2109" s="40"/>
      <c r="D2109" s="121" t="s">
        <v>2532</v>
      </c>
      <c r="E2109" s="121" t="s">
        <v>2533</v>
      </c>
      <c r="F2109" s="122" t="s">
        <v>2758</v>
      </c>
      <c r="G2109" s="52"/>
      <c r="H2109" s="52"/>
      <c r="I2109" s="52"/>
      <c r="J2109" s="52"/>
      <c r="K2109" s="59" t="s">
        <v>79</v>
      </c>
      <c r="L2109" s="52"/>
      <c r="M2109" s="52"/>
      <c r="N2109" s="52"/>
      <c r="O2109" s="52"/>
      <c r="P2109" s="108" t="s">
        <v>2534</v>
      </c>
      <c r="Q2109" s="55">
        <f>VLOOKUP(E2109,'NI-Soc_SP'!$C:$AN,12,FALSE)</f>
        <v>0</v>
      </c>
      <c r="R2109" s="55">
        <f>VLOOKUP(E2109,'NI-Soc_SP'!$C:$AN,13,FALSE)</f>
        <v>0</v>
      </c>
      <c r="S2109" s="55">
        <f>VLOOKUP(E2109,'NI-Soc_SP'!$C:$AN,30,FALSE)</f>
        <v>0</v>
      </c>
      <c r="T2109" s="94">
        <f>VLOOKUP(E2109,'NI-Soc_SP'!$C:$AN,31,FALSE)+VLOOKUP(E2109,'NI-Soc_SP'!$C:$AN,32,FALSE)</f>
        <v>0</v>
      </c>
      <c r="U2109" s="55">
        <f>VLOOKUP($E2109,'NI-Soc_SP'!$C:$AN,MID(U$1,1,2),FALSE)</f>
        <v>0</v>
      </c>
      <c r="V2109" s="55">
        <f>VLOOKUP($E2109,'NI-Soc_SP'!$C:$AN,MID(V$1,1,2),FALSE)</f>
        <v>0</v>
      </c>
      <c r="W2109" s="55">
        <f>VLOOKUP($E2109,'NI-Soc_SP'!$C:$AN,MID(W$1,1,2),FALSE)</f>
        <v>0</v>
      </c>
      <c r="X2109" s="55">
        <f>VLOOKUP($E2109,'NI-Soc_SP'!$C:$AN,MID(X$1,1,2),FALSE)</f>
        <v>0</v>
      </c>
      <c r="Y2109" s="55">
        <f>VLOOKUP($E2109,'NI-Soc_SP'!$C:$AN,MID(Y$1,1,2),FALSE)</f>
        <v>0</v>
      </c>
      <c r="Z2109" s="55">
        <f>VLOOKUP($E2109,'NI-Soc_SP'!$C:$AN,MID(Z$1,1,2),FALSE)</f>
        <v>0</v>
      </c>
      <c r="AA2109" s="55">
        <f>VLOOKUP($E2109,'NI-Soc_SP'!$C:$AN,MID(AA$1,1,2),FALSE)</f>
        <v>0</v>
      </c>
      <c r="AB2109" s="55">
        <f>VLOOKUP($E2109,'NI-Soc_SP'!$C:$AN,MID(AB$1,1,2),FALSE)</f>
        <v>0</v>
      </c>
      <c r="AC2109" s="55">
        <f>VLOOKUP($E2109,'NI-Soc_SP'!$C:$AN,MID(AC$1,1,2),FALSE)</f>
        <v>0</v>
      </c>
      <c r="AD2109" s="55">
        <f>VLOOKUP($E2109,'NI-Soc_SP'!$C:$AN,MID(AD$1,1,2),FALSE)</f>
        <v>0</v>
      </c>
      <c r="AE2109" s="55">
        <f>VLOOKUP($E2109,'NI-Soc_SP'!$C:$AN,MID(AE$1,1,2),FALSE)</f>
        <v>0</v>
      </c>
      <c r="AF2109" s="55">
        <f>VLOOKUP($E2109,'NI-Soc_SP'!$C:$AN,MID(AF$1,1,2),FALSE)</f>
        <v>0</v>
      </c>
      <c r="AG2109" s="55">
        <f>VLOOKUP($E2109,'NI-Soc_SP'!$C:$AN,MID(AG$1,1,2),FALSE)</f>
        <v>0</v>
      </c>
      <c r="AH2109" s="55">
        <f>VLOOKUP($E2109,'NI-Soc_SP'!$C:$AN,MID(AH$1,1,2),FALSE)</f>
        <v>0</v>
      </c>
      <c r="AI2109" s="55">
        <f>VLOOKUP($E2109,'NI-Soc_SP'!$C:$AN,MID(AI$1,1,2),FALSE)</f>
        <v>0</v>
      </c>
      <c r="AJ2109" s="55">
        <f>VLOOKUP($E2109,'NI-Soc_SP'!$C:$AN,MID(AJ$1,1,2),FALSE)</f>
        <v>0</v>
      </c>
      <c r="AK2109" s="55">
        <f>VLOOKUP($E2109,'NI-Soc_SP'!$C:$AN,MID(AK$1,1,2),FALSE)</f>
        <v>0</v>
      </c>
      <c r="AL2109" s="55">
        <f>VLOOKUP($E2109,'NI-Soc_SP'!$C:$AN,MID(AL$1,1,2),FALSE)</f>
        <v>0</v>
      </c>
      <c r="AM2109" s="56">
        <f>VLOOKUP($E2109,'NI-Soc_SP'!$C:$AN,MID(AM$1,1,2),FALSE)</f>
        <v>0</v>
      </c>
      <c r="AN2109" s="30" t="str">
        <f t="shared" si="32"/>
        <v>70701010020000</v>
      </c>
    </row>
    <row r="2110" spans="1:40" x14ac:dyDescent="0.25">
      <c r="C2110" s="40"/>
      <c r="D2110" s="121" t="s">
        <v>2535</v>
      </c>
      <c r="E2110" s="121" t="s">
        <v>2536</v>
      </c>
      <c r="F2110" s="122" t="s">
        <v>2758</v>
      </c>
      <c r="G2110" s="51"/>
      <c r="H2110" s="52"/>
      <c r="I2110" s="52"/>
      <c r="J2110" s="52"/>
      <c r="K2110" s="53" t="s">
        <v>79</v>
      </c>
      <c r="L2110" s="62"/>
      <c r="M2110" s="52"/>
      <c r="N2110" s="52"/>
      <c r="O2110" s="52"/>
      <c r="P2110" s="54" t="s">
        <v>2537</v>
      </c>
      <c r="Q2110" s="55">
        <f>VLOOKUP(E2110,'NI-Soc_SP'!$C:$AN,12,FALSE)</f>
        <v>0</v>
      </c>
      <c r="R2110" s="55">
        <f>VLOOKUP(E2110,'NI-Soc_SP'!$C:$AN,13,FALSE)</f>
        <v>0</v>
      </c>
      <c r="S2110" s="55">
        <f>VLOOKUP(E2110,'NI-Soc_SP'!$C:$AN,30,FALSE)</f>
        <v>0</v>
      </c>
      <c r="T2110" s="94">
        <f>VLOOKUP(E2110,'NI-Soc_SP'!$C:$AN,31,FALSE)+VLOOKUP(E2110,'NI-Soc_SP'!$C:$AN,32,FALSE)</f>
        <v>0</v>
      </c>
      <c r="U2110" s="55">
        <f>VLOOKUP($E2110,'NI-Soc_SP'!$C:$AN,MID(U$1,1,2),FALSE)</f>
        <v>0</v>
      </c>
      <c r="V2110" s="55">
        <f>VLOOKUP($E2110,'NI-Soc_SP'!$C:$AN,MID(V$1,1,2),FALSE)</f>
        <v>0</v>
      </c>
      <c r="W2110" s="55">
        <f>VLOOKUP($E2110,'NI-Soc_SP'!$C:$AN,MID(W$1,1,2),FALSE)</f>
        <v>0</v>
      </c>
      <c r="X2110" s="55">
        <f>VLOOKUP($E2110,'NI-Soc_SP'!$C:$AN,MID(X$1,1,2),FALSE)</f>
        <v>0</v>
      </c>
      <c r="Y2110" s="55">
        <f>VLOOKUP($E2110,'NI-Soc_SP'!$C:$AN,MID(Y$1,1,2),FALSE)</f>
        <v>0</v>
      </c>
      <c r="Z2110" s="55">
        <f>VLOOKUP($E2110,'NI-Soc_SP'!$C:$AN,MID(Z$1,1,2),FALSE)</f>
        <v>0</v>
      </c>
      <c r="AA2110" s="55">
        <f>VLOOKUP($E2110,'NI-Soc_SP'!$C:$AN,MID(AA$1,1,2),FALSE)</f>
        <v>0</v>
      </c>
      <c r="AB2110" s="55">
        <f>VLOOKUP($E2110,'NI-Soc_SP'!$C:$AN,MID(AB$1,1,2),FALSE)</f>
        <v>0</v>
      </c>
      <c r="AC2110" s="55">
        <f>VLOOKUP($E2110,'NI-Soc_SP'!$C:$AN,MID(AC$1,1,2),FALSE)</f>
        <v>0</v>
      </c>
      <c r="AD2110" s="55">
        <f>VLOOKUP($E2110,'NI-Soc_SP'!$C:$AN,MID(AD$1,1,2),FALSE)</f>
        <v>0</v>
      </c>
      <c r="AE2110" s="55">
        <f>VLOOKUP($E2110,'NI-Soc_SP'!$C:$AN,MID(AE$1,1,2),FALSE)</f>
        <v>0</v>
      </c>
      <c r="AF2110" s="55">
        <f>VLOOKUP($E2110,'NI-Soc_SP'!$C:$AN,MID(AF$1,1,2),FALSE)</f>
        <v>0</v>
      </c>
      <c r="AG2110" s="55">
        <f>VLOOKUP($E2110,'NI-Soc_SP'!$C:$AN,MID(AG$1,1,2),FALSE)</f>
        <v>0</v>
      </c>
      <c r="AH2110" s="55">
        <f>VLOOKUP($E2110,'NI-Soc_SP'!$C:$AN,MID(AH$1,1,2),FALSE)</f>
        <v>0</v>
      </c>
      <c r="AI2110" s="55">
        <f>VLOOKUP($E2110,'NI-Soc_SP'!$C:$AN,MID(AI$1,1,2),FALSE)</f>
        <v>0</v>
      </c>
      <c r="AJ2110" s="55">
        <f>VLOOKUP($E2110,'NI-Soc_SP'!$C:$AN,MID(AJ$1,1,2),FALSE)</f>
        <v>0</v>
      </c>
      <c r="AK2110" s="55">
        <f>VLOOKUP($E2110,'NI-Soc_SP'!$C:$AN,MID(AK$1,1,2),FALSE)</f>
        <v>0</v>
      </c>
      <c r="AL2110" s="55">
        <f>VLOOKUP($E2110,'NI-Soc_SP'!$C:$AN,MID(AL$1,1,2),FALSE)</f>
        <v>0</v>
      </c>
      <c r="AM2110" s="56">
        <f>VLOOKUP($E2110,'NI-Soc_SP'!$C:$AN,MID(AM$1,1,2),FALSE)</f>
        <v>0</v>
      </c>
      <c r="AN2110" s="30" t="str">
        <f t="shared" si="32"/>
        <v>70701010030000</v>
      </c>
    </row>
    <row r="2111" spans="1:40" x14ac:dyDescent="0.25">
      <c r="C2111" s="40"/>
      <c r="D2111" s="121" t="s">
        <v>2538</v>
      </c>
      <c r="E2111" s="121" t="s">
        <v>2539</v>
      </c>
      <c r="F2111" s="122" t="s">
        <v>2758</v>
      </c>
      <c r="G2111" s="52"/>
      <c r="H2111" s="52"/>
      <c r="I2111" s="52"/>
      <c r="J2111" s="52"/>
      <c r="K2111" s="59" t="s">
        <v>79</v>
      </c>
      <c r="L2111" s="52"/>
      <c r="M2111" s="52"/>
      <c r="N2111" s="52"/>
      <c r="O2111" s="52"/>
      <c r="P2111" s="60" t="s">
        <v>2540</v>
      </c>
      <c r="Q2111" s="55">
        <f>VLOOKUP(E2111,'NI-Soc_SP'!$C:$AN,12,FALSE)</f>
        <v>0</v>
      </c>
      <c r="R2111" s="55">
        <f>VLOOKUP(E2111,'NI-Soc_SP'!$C:$AN,13,FALSE)</f>
        <v>0</v>
      </c>
      <c r="S2111" s="55">
        <f>VLOOKUP(E2111,'NI-Soc_SP'!$C:$AN,30,FALSE)</f>
        <v>0</v>
      </c>
      <c r="T2111" s="94">
        <f>VLOOKUP(E2111,'NI-Soc_SP'!$C:$AN,31,FALSE)+VLOOKUP(E2111,'NI-Soc_SP'!$C:$AN,32,FALSE)</f>
        <v>0</v>
      </c>
      <c r="U2111" s="55">
        <f>VLOOKUP($E2111,'NI-Soc_SP'!$C:$AN,MID(U$1,1,2),FALSE)</f>
        <v>0</v>
      </c>
      <c r="V2111" s="55">
        <f>VLOOKUP($E2111,'NI-Soc_SP'!$C:$AN,MID(V$1,1,2),FALSE)</f>
        <v>0</v>
      </c>
      <c r="W2111" s="55">
        <f>VLOOKUP($E2111,'NI-Soc_SP'!$C:$AN,MID(W$1,1,2),FALSE)</f>
        <v>0</v>
      </c>
      <c r="X2111" s="55">
        <f>VLOOKUP($E2111,'NI-Soc_SP'!$C:$AN,MID(X$1,1,2),FALSE)</f>
        <v>0</v>
      </c>
      <c r="Y2111" s="55">
        <f>VLOOKUP($E2111,'NI-Soc_SP'!$C:$AN,MID(Y$1,1,2),FALSE)</f>
        <v>0</v>
      </c>
      <c r="Z2111" s="55">
        <f>VLOOKUP($E2111,'NI-Soc_SP'!$C:$AN,MID(Z$1,1,2),FALSE)</f>
        <v>0</v>
      </c>
      <c r="AA2111" s="55">
        <f>VLOOKUP($E2111,'NI-Soc_SP'!$C:$AN,MID(AA$1,1,2),FALSE)</f>
        <v>0</v>
      </c>
      <c r="AB2111" s="55">
        <f>VLOOKUP($E2111,'NI-Soc_SP'!$C:$AN,MID(AB$1,1,2),FALSE)</f>
        <v>0</v>
      </c>
      <c r="AC2111" s="55">
        <f>VLOOKUP($E2111,'NI-Soc_SP'!$C:$AN,MID(AC$1,1,2),FALSE)</f>
        <v>0</v>
      </c>
      <c r="AD2111" s="55">
        <f>VLOOKUP($E2111,'NI-Soc_SP'!$C:$AN,MID(AD$1,1,2),FALSE)</f>
        <v>0</v>
      </c>
      <c r="AE2111" s="55">
        <f>VLOOKUP($E2111,'NI-Soc_SP'!$C:$AN,MID(AE$1,1,2),FALSE)</f>
        <v>0</v>
      </c>
      <c r="AF2111" s="55">
        <f>VLOOKUP($E2111,'NI-Soc_SP'!$C:$AN,MID(AF$1,1,2),FALSE)</f>
        <v>0</v>
      </c>
      <c r="AG2111" s="55">
        <f>VLOOKUP($E2111,'NI-Soc_SP'!$C:$AN,MID(AG$1,1,2),FALSE)</f>
        <v>0</v>
      </c>
      <c r="AH2111" s="55">
        <f>VLOOKUP($E2111,'NI-Soc_SP'!$C:$AN,MID(AH$1,1,2),FALSE)</f>
        <v>0</v>
      </c>
      <c r="AI2111" s="55">
        <f>VLOOKUP($E2111,'NI-Soc_SP'!$C:$AN,MID(AI$1,1,2),FALSE)</f>
        <v>0</v>
      </c>
      <c r="AJ2111" s="55">
        <f>VLOOKUP($E2111,'NI-Soc_SP'!$C:$AN,MID(AJ$1,1,2),FALSE)</f>
        <v>0</v>
      </c>
      <c r="AK2111" s="55">
        <f>VLOOKUP($E2111,'NI-Soc_SP'!$C:$AN,MID(AK$1,1,2),FALSE)</f>
        <v>0</v>
      </c>
      <c r="AL2111" s="55">
        <f>VLOOKUP($E2111,'NI-Soc_SP'!$C:$AN,MID(AL$1,1,2),FALSE)</f>
        <v>0</v>
      </c>
      <c r="AM2111" s="56">
        <f>VLOOKUP($E2111,'NI-Soc_SP'!$C:$AN,MID(AM$1,1,2),FALSE)</f>
        <v>0</v>
      </c>
      <c r="AN2111" s="30" t="str">
        <f t="shared" si="32"/>
        <v>70701010040000</v>
      </c>
    </row>
    <row r="2112" spans="1:40" x14ac:dyDescent="0.25">
      <c r="C2112" s="40"/>
      <c r="D2112" s="121" t="s">
        <v>2541</v>
      </c>
      <c r="E2112" s="121" t="s">
        <v>2542</v>
      </c>
      <c r="F2112" s="122" t="s">
        <v>2758</v>
      </c>
      <c r="G2112" s="52"/>
      <c r="H2112" s="52"/>
      <c r="I2112" s="52"/>
      <c r="J2112" s="52"/>
      <c r="K2112" s="59" t="s">
        <v>79</v>
      </c>
      <c r="L2112" s="52"/>
      <c r="M2112" s="52"/>
      <c r="N2112" s="52"/>
      <c r="O2112" s="52"/>
      <c r="P2112" s="107" t="s">
        <v>2543</v>
      </c>
      <c r="Q2112" s="55">
        <f>VLOOKUP(E2112,'NI-Soc_SP'!$C:$AN,12,FALSE)</f>
        <v>0</v>
      </c>
      <c r="R2112" s="55">
        <f>VLOOKUP(E2112,'NI-Soc_SP'!$C:$AN,13,FALSE)</f>
        <v>0</v>
      </c>
      <c r="S2112" s="55">
        <f>VLOOKUP(E2112,'NI-Soc_SP'!$C:$AN,30,FALSE)</f>
        <v>0</v>
      </c>
      <c r="T2112" s="94">
        <f>VLOOKUP(E2112,'NI-Soc_SP'!$C:$AN,31,FALSE)+VLOOKUP(E2112,'NI-Soc_SP'!$C:$AN,32,FALSE)</f>
        <v>0</v>
      </c>
      <c r="U2112" s="55">
        <f>VLOOKUP($E2112,'NI-Soc_SP'!$C:$AN,MID(U$1,1,2),FALSE)</f>
        <v>0</v>
      </c>
      <c r="V2112" s="55">
        <f>VLOOKUP($E2112,'NI-Soc_SP'!$C:$AN,MID(V$1,1,2),FALSE)</f>
        <v>0</v>
      </c>
      <c r="W2112" s="55">
        <f>VLOOKUP($E2112,'NI-Soc_SP'!$C:$AN,MID(W$1,1,2),FALSE)</f>
        <v>0</v>
      </c>
      <c r="X2112" s="55">
        <f>VLOOKUP($E2112,'NI-Soc_SP'!$C:$AN,MID(X$1,1,2),FALSE)</f>
        <v>0</v>
      </c>
      <c r="Y2112" s="55">
        <f>VLOOKUP($E2112,'NI-Soc_SP'!$C:$AN,MID(Y$1,1,2),FALSE)</f>
        <v>0</v>
      </c>
      <c r="Z2112" s="55">
        <f>VLOOKUP($E2112,'NI-Soc_SP'!$C:$AN,MID(Z$1,1,2),FALSE)</f>
        <v>0</v>
      </c>
      <c r="AA2112" s="55">
        <f>VLOOKUP($E2112,'NI-Soc_SP'!$C:$AN,MID(AA$1,1,2),FALSE)</f>
        <v>0</v>
      </c>
      <c r="AB2112" s="55">
        <f>VLOOKUP($E2112,'NI-Soc_SP'!$C:$AN,MID(AB$1,1,2),FALSE)</f>
        <v>0</v>
      </c>
      <c r="AC2112" s="55">
        <f>VLOOKUP($E2112,'NI-Soc_SP'!$C:$AN,MID(AC$1,1,2),FALSE)</f>
        <v>0</v>
      </c>
      <c r="AD2112" s="55">
        <f>VLOOKUP($E2112,'NI-Soc_SP'!$C:$AN,MID(AD$1,1,2),FALSE)</f>
        <v>0</v>
      </c>
      <c r="AE2112" s="55">
        <f>VLOOKUP($E2112,'NI-Soc_SP'!$C:$AN,MID(AE$1,1,2),FALSE)</f>
        <v>0</v>
      </c>
      <c r="AF2112" s="55">
        <f>VLOOKUP($E2112,'NI-Soc_SP'!$C:$AN,MID(AF$1,1,2),FALSE)</f>
        <v>0</v>
      </c>
      <c r="AG2112" s="55">
        <f>VLOOKUP($E2112,'NI-Soc_SP'!$C:$AN,MID(AG$1,1,2),FALSE)</f>
        <v>0</v>
      </c>
      <c r="AH2112" s="55">
        <f>VLOOKUP($E2112,'NI-Soc_SP'!$C:$AN,MID(AH$1,1,2),FALSE)</f>
        <v>0</v>
      </c>
      <c r="AI2112" s="55">
        <f>VLOOKUP($E2112,'NI-Soc_SP'!$C:$AN,MID(AI$1,1,2),FALSE)</f>
        <v>0</v>
      </c>
      <c r="AJ2112" s="55">
        <f>VLOOKUP($E2112,'NI-Soc_SP'!$C:$AN,MID(AJ$1,1,2),FALSE)</f>
        <v>0</v>
      </c>
      <c r="AK2112" s="55">
        <f>VLOOKUP($E2112,'NI-Soc_SP'!$C:$AN,MID(AK$1,1,2),FALSE)</f>
        <v>0</v>
      </c>
      <c r="AL2112" s="55">
        <f>VLOOKUP($E2112,'NI-Soc_SP'!$C:$AN,MID(AL$1,1,2),FALSE)</f>
        <v>0</v>
      </c>
      <c r="AM2112" s="56">
        <f>VLOOKUP($E2112,'NI-Soc_SP'!$C:$AN,MID(AM$1,1,2),FALSE)</f>
        <v>0</v>
      </c>
      <c r="AN2112" s="30" t="str">
        <f t="shared" si="32"/>
        <v>70701010050000</v>
      </c>
    </row>
    <row r="2113" spans="1:40" x14ac:dyDescent="0.25">
      <c r="C2113" s="40"/>
      <c r="D2113" s="121" t="s">
        <v>2544</v>
      </c>
      <c r="E2113" s="121" t="s">
        <v>2545</v>
      </c>
      <c r="F2113" s="122" t="s">
        <v>2758</v>
      </c>
      <c r="G2113" s="52"/>
      <c r="H2113" s="52"/>
      <c r="I2113" s="52"/>
      <c r="J2113" s="52"/>
      <c r="K2113" s="59" t="s">
        <v>79</v>
      </c>
      <c r="L2113" s="52"/>
      <c r="M2113" s="52"/>
      <c r="N2113" s="52"/>
      <c r="O2113" s="52"/>
      <c r="P2113" s="107" t="s">
        <v>2546</v>
      </c>
      <c r="Q2113" s="55">
        <f>VLOOKUP(E2113,'NI-Soc_SP'!$C:$AN,12,FALSE)</f>
        <v>0</v>
      </c>
      <c r="R2113" s="55">
        <f>VLOOKUP(E2113,'NI-Soc_SP'!$C:$AN,13,FALSE)</f>
        <v>0</v>
      </c>
      <c r="S2113" s="55">
        <f>VLOOKUP(E2113,'NI-Soc_SP'!$C:$AN,30,FALSE)</f>
        <v>0</v>
      </c>
      <c r="T2113" s="94">
        <f>VLOOKUP(E2113,'NI-Soc_SP'!$C:$AN,31,FALSE)+VLOOKUP(E2113,'NI-Soc_SP'!$C:$AN,32,FALSE)</f>
        <v>0</v>
      </c>
      <c r="U2113" s="55">
        <f>VLOOKUP($E2113,'NI-Soc_SP'!$C:$AN,MID(U$1,1,2),FALSE)</f>
        <v>0</v>
      </c>
      <c r="V2113" s="55">
        <f>VLOOKUP($E2113,'NI-Soc_SP'!$C:$AN,MID(V$1,1,2),FALSE)</f>
        <v>0</v>
      </c>
      <c r="W2113" s="55">
        <f>VLOOKUP($E2113,'NI-Soc_SP'!$C:$AN,MID(W$1,1,2),FALSE)</f>
        <v>0</v>
      </c>
      <c r="X2113" s="55">
        <f>VLOOKUP($E2113,'NI-Soc_SP'!$C:$AN,MID(X$1,1,2),FALSE)</f>
        <v>0</v>
      </c>
      <c r="Y2113" s="55">
        <f>VLOOKUP($E2113,'NI-Soc_SP'!$C:$AN,MID(Y$1,1,2),FALSE)</f>
        <v>0</v>
      </c>
      <c r="Z2113" s="55">
        <f>VLOOKUP($E2113,'NI-Soc_SP'!$C:$AN,MID(Z$1,1,2),FALSE)</f>
        <v>0</v>
      </c>
      <c r="AA2113" s="55">
        <f>VLOOKUP($E2113,'NI-Soc_SP'!$C:$AN,MID(AA$1,1,2),FALSE)</f>
        <v>0</v>
      </c>
      <c r="AB2113" s="55">
        <f>VLOOKUP($E2113,'NI-Soc_SP'!$C:$AN,MID(AB$1,1,2),FALSE)</f>
        <v>0</v>
      </c>
      <c r="AC2113" s="55">
        <f>VLOOKUP($E2113,'NI-Soc_SP'!$C:$AN,MID(AC$1,1,2),FALSE)</f>
        <v>0</v>
      </c>
      <c r="AD2113" s="55">
        <f>VLOOKUP($E2113,'NI-Soc_SP'!$C:$AN,MID(AD$1,1,2),FALSE)</f>
        <v>0</v>
      </c>
      <c r="AE2113" s="55">
        <f>VLOOKUP($E2113,'NI-Soc_SP'!$C:$AN,MID(AE$1,1,2),FALSE)</f>
        <v>0</v>
      </c>
      <c r="AF2113" s="55">
        <f>VLOOKUP($E2113,'NI-Soc_SP'!$C:$AN,MID(AF$1,1,2),FALSE)</f>
        <v>0</v>
      </c>
      <c r="AG2113" s="55">
        <f>VLOOKUP($E2113,'NI-Soc_SP'!$C:$AN,MID(AG$1,1,2),FALSE)</f>
        <v>0</v>
      </c>
      <c r="AH2113" s="55">
        <f>VLOOKUP($E2113,'NI-Soc_SP'!$C:$AN,MID(AH$1,1,2),FALSE)</f>
        <v>0</v>
      </c>
      <c r="AI2113" s="55">
        <f>VLOOKUP($E2113,'NI-Soc_SP'!$C:$AN,MID(AI$1,1,2),FALSE)</f>
        <v>0</v>
      </c>
      <c r="AJ2113" s="55">
        <f>VLOOKUP($E2113,'NI-Soc_SP'!$C:$AN,MID(AJ$1,1,2),FALSE)</f>
        <v>0</v>
      </c>
      <c r="AK2113" s="55">
        <f>VLOOKUP($E2113,'NI-Soc_SP'!$C:$AN,MID(AK$1,1,2),FALSE)</f>
        <v>0</v>
      </c>
      <c r="AL2113" s="55">
        <f>VLOOKUP($E2113,'NI-Soc_SP'!$C:$AN,MID(AL$1,1,2),FALSE)</f>
        <v>0</v>
      </c>
      <c r="AM2113" s="56">
        <f>VLOOKUP($E2113,'NI-Soc_SP'!$C:$AN,MID(AM$1,1,2),FALSE)</f>
        <v>0</v>
      </c>
      <c r="AN2113" s="30" t="str">
        <f t="shared" si="32"/>
        <v>70701010060000</v>
      </c>
    </row>
    <row r="2114" spans="1:40" x14ac:dyDescent="0.25">
      <c r="A2114" s="30" t="s">
        <v>1394</v>
      </c>
      <c r="C2114" s="40"/>
      <c r="D2114" s="98" t="s">
        <v>2547</v>
      </c>
      <c r="E2114" s="98" t="s">
        <v>2548</v>
      </c>
      <c r="F2114" s="122" t="s">
        <v>2758</v>
      </c>
      <c r="H2114" s="52"/>
      <c r="I2114" s="52"/>
      <c r="J2114" s="95" t="s">
        <v>2549</v>
      </c>
      <c r="K2114" s="59" t="s">
        <v>79</v>
      </c>
      <c r="L2114" s="52"/>
      <c r="M2114" s="52"/>
      <c r="N2114" s="52"/>
      <c r="O2114" s="52"/>
      <c r="P2114" s="95" t="s">
        <v>2550</v>
      </c>
      <c r="Q2114" s="55">
        <f>VLOOKUP(E2114,'NI-Soc_SP'!$C:$AN,12,FALSE)</f>
        <v>0</v>
      </c>
      <c r="R2114" s="55">
        <f>VLOOKUP(E2114,'NI-Soc_SP'!$C:$AN,13,FALSE)</f>
        <v>0</v>
      </c>
      <c r="S2114" s="55">
        <f>VLOOKUP(E2114,'NI-Soc_SP'!$C:$AN,31,FALSE)</f>
        <v>0</v>
      </c>
      <c r="T2114" s="55">
        <f>VLOOKUP(E2114,'NI-Soc_SP'!$C:$AN,32,FALSE)+VLOOKUP(E2114,'NI-Soc_SP'!$C:$AN,33,FALSE)</f>
        <v>0</v>
      </c>
      <c r="U2114" s="55">
        <f>VLOOKUP($E2114,'NI-Soc_SP'!$C:$AN,MID(U$1,1,2),FALSE)</f>
        <v>0</v>
      </c>
      <c r="V2114" s="55">
        <f>VLOOKUP($E2114,'NI-Soc_SP'!$C:$AN,MID(V$1,1,2),FALSE)</f>
        <v>0</v>
      </c>
      <c r="W2114" s="55">
        <f>VLOOKUP($E2114,'NI-Soc_SP'!$C:$AN,MID(W$1,1,2),FALSE)</f>
        <v>0</v>
      </c>
      <c r="X2114" s="55">
        <f>VLOOKUP($E2114,'NI-Soc_SP'!$C:$AN,MID(X$1,1,2),FALSE)</f>
        <v>0</v>
      </c>
      <c r="Y2114" s="55">
        <f>VLOOKUP($E2114,'NI-Soc_SP'!$C:$AN,MID(Y$1,1,2),FALSE)</f>
        <v>0</v>
      </c>
      <c r="Z2114" s="55">
        <f>VLOOKUP($E2114,'NI-Soc_SP'!$C:$AN,MID(Z$1,1,2),FALSE)</f>
        <v>0</v>
      </c>
      <c r="AA2114" s="55">
        <f>VLOOKUP($E2114,'NI-Soc_SP'!$C:$AN,MID(AA$1,1,2),FALSE)</f>
        <v>0</v>
      </c>
      <c r="AB2114" s="55">
        <f>VLOOKUP($E2114,'NI-Soc_SP'!$C:$AN,MID(AB$1,1,2),FALSE)</f>
        <v>0</v>
      </c>
      <c r="AC2114" s="55">
        <f>VLOOKUP($E2114,'NI-Soc_SP'!$C:$AN,MID(AC$1,1,2),FALSE)</f>
        <v>0</v>
      </c>
      <c r="AD2114" s="55">
        <f>VLOOKUP($E2114,'NI-Soc_SP'!$C:$AN,MID(AD$1,1,2),FALSE)</f>
        <v>0</v>
      </c>
      <c r="AE2114" s="55">
        <f>VLOOKUP($E2114,'NI-Soc_SP'!$C:$AN,MID(AE$1,1,2),FALSE)</f>
        <v>0</v>
      </c>
      <c r="AF2114" s="55">
        <f>VLOOKUP($E2114,'NI-Soc_SP'!$C:$AN,MID(AF$1,1,2),FALSE)</f>
        <v>0</v>
      </c>
      <c r="AG2114" s="55">
        <f>VLOOKUP($E2114,'NI-Soc_SP'!$C:$AN,MID(AG$1,1,2),FALSE)</f>
        <v>0</v>
      </c>
      <c r="AH2114" s="55">
        <f>VLOOKUP($E2114,'NI-Soc_SP'!$C:$AN,MID(AH$1,1,2),FALSE)</f>
        <v>0</v>
      </c>
      <c r="AI2114" s="55">
        <f>VLOOKUP($E2114,'NI-Soc_SP'!$C:$AN,MID(AI$1,1,2),FALSE)</f>
        <v>0</v>
      </c>
      <c r="AJ2114" s="55">
        <f>VLOOKUP($E2114,'NI-Soc_SP'!$C:$AN,MID(AJ$1,1,2),FALSE)</f>
        <v>0</v>
      </c>
      <c r="AK2114" s="55">
        <f>VLOOKUP($E2114,'NI-Soc_SP'!$C:$AN,MID(AK$1,1,2),FALSE)</f>
        <v>0</v>
      </c>
      <c r="AL2114" s="55">
        <f>VLOOKUP($E2114,'NI-Soc_SP'!$C:$AN,MID(AL$1,1,2),FALSE)</f>
        <v>0</v>
      </c>
      <c r="AM2114" s="56">
        <f>VLOOKUP($E2114,'NI-Soc_SP'!$C:$AN,MID(AM$1,1,2),FALSE)</f>
        <v>0</v>
      </c>
      <c r="AN2114" s="30" t="str">
        <f t="shared" ref="AN2114:AN2172" si="33">D2114</f>
        <v>70701020000000</v>
      </c>
    </row>
    <row r="2115" spans="1:40" x14ac:dyDescent="0.25">
      <c r="C2115" s="40"/>
      <c r="D2115" s="121" t="s">
        <v>2551</v>
      </c>
      <c r="E2115" s="121" t="s">
        <v>2552</v>
      </c>
      <c r="F2115" s="122" t="s">
        <v>2758</v>
      </c>
      <c r="G2115" s="52"/>
      <c r="H2115" s="52"/>
      <c r="I2115" s="52" t="s">
        <v>2553</v>
      </c>
      <c r="J2115" s="52"/>
      <c r="K2115" s="59" t="s">
        <v>111</v>
      </c>
      <c r="L2115" s="52"/>
      <c r="M2115" s="52"/>
      <c r="N2115" s="52"/>
      <c r="O2115" s="52"/>
      <c r="P2115" s="104" t="s">
        <v>2554</v>
      </c>
      <c r="Q2115" s="55">
        <f>VLOOKUP(E2115,'NI-Soc_SP'!$C:$AN,12,FALSE)</f>
        <v>0</v>
      </c>
      <c r="R2115" s="55">
        <f>VLOOKUP(E2115,'NI-Soc_SP'!$C:$AN,13,FALSE)</f>
        <v>0</v>
      </c>
      <c r="S2115" s="55">
        <f>VLOOKUP(E2115,'NI-Soc_SP'!$C:$AN,30,FALSE)</f>
        <v>0</v>
      </c>
      <c r="T2115" s="94">
        <f>VLOOKUP(E2115,'NI-Soc_SP'!$C:$AN,31,FALSE)+VLOOKUP(E2115,'NI-Soc_SP'!$C:$AN,32,FALSE)</f>
        <v>0</v>
      </c>
      <c r="U2115" s="55">
        <f>VLOOKUP($E2115,'NI-Soc_SP'!$C:$AN,MID(U$1,1,2),FALSE)</f>
        <v>0</v>
      </c>
      <c r="V2115" s="55">
        <f>VLOOKUP($E2115,'NI-Soc_SP'!$C:$AN,MID(V$1,1,2),FALSE)</f>
        <v>0</v>
      </c>
      <c r="W2115" s="55">
        <f>VLOOKUP($E2115,'NI-Soc_SP'!$C:$AN,MID(W$1,1,2),FALSE)</f>
        <v>0</v>
      </c>
      <c r="X2115" s="55">
        <f>VLOOKUP($E2115,'NI-Soc_SP'!$C:$AN,MID(X$1,1,2),FALSE)</f>
        <v>0</v>
      </c>
      <c r="Y2115" s="55">
        <f>VLOOKUP($E2115,'NI-Soc_SP'!$C:$AN,MID(Y$1,1,2),FALSE)</f>
        <v>0</v>
      </c>
      <c r="Z2115" s="55">
        <f>VLOOKUP($E2115,'NI-Soc_SP'!$C:$AN,MID(Z$1,1,2),FALSE)</f>
        <v>0</v>
      </c>
      <c r="AA2115" s="55">
        <f>VLOOKUP($E2115,'NI-Soc_SP'!$C:$AN,MID(AA$1,1,2),FALSE)</f>
        <v>0</v>
      </c>
      <c r="AB2115" s="55">
        <f>VLOOKUP($E2115,'NI-Soc_SP'!$C:$AN,MID(AB$1,1,2),FALSE)</f>
        <v>0</v>
      </c>
      <c r="AC2115" s="55">
        <f>VLOOKUP($E2115,'NI-Soc_SP'!$C:$AN,MID(AC$1,1,2),FALSE)</f>
        <v>0</v>
      </c>
      <c r="AD2115" s="55">
        <f>VLOOKUP($E2115,'NI-Soc_SP'!$C:$AN,MID(AD$1,1,2),FALSE)</f>
        <v>0</v>
      </c>
      <c r="AE2115" s="55">
        <f>VLOOKUP($E2115,'NI-Soc_SP'!$C:$AN,MID(AE$1,1,2),FALSE)</f>
        <v>0</v>
      </c>
      <c r="AF2115" s="55">
        <f>VLOOKUP($E2115,'NI-Soc_SP'!$C:$AN,MID(AF$1,1,2),FALSE)</f>
        <v>0</v>
      </c>
      <c r="AG2115" s="55">
        <f>VLOOKUP($E2115,'NI-Soc_SP'!$C:$AN,MID(AG$1,1,2),FALSE)</f>
        <v>0</v>
      </c>
      <c r="AH2115" s="55">
        <f>VLOOKUP($E2115,'NI-Soc_SP'!$C:$AN,MID(AH$1,1,2),FALSE)</f>
        <v>0</v>
      </c>
      <c r="AI2115" s="55">
        <f>VLOOKUP($E2115,'NI-Soc_SP'!$C:$AN,MID(AI$1,1,2),FALSE)</f>
        <v>0</v>
      </c>
      <c r="AJ2115" s="55">
        <f>VLOOKUP($E2115,'NI-Soc_SP'!$C:$AN,MID(AJ$1,1,2),FALSE)</f>
        <v>0</v>
      </c>
      <c r="AK2115" s="55">
        <f>VLOOKUP($E2115,'NI-Soc_SP'!$C:$AN,MID(AK$1,1,2),FALSE)</f>
        <v>0</v>
      </c>
      <c r="AL2115" s="55">
        <f>VLOOKUP($E2115,'NI-Soc_SP'!$C:$AN,MID(AL$1,1,2),FALSE)</f>
        <v>0</v>
      </c>
      <c r="AM2115" s="56">
        <f>VLOOKUP($E2115,'NI-Soc_SP'!$C:$AN,MID(AM$1,1,2),FALSE)</f>
        <v>0</v>
      </c>
      <c r="AN2115" s="30" t="str">
        <f t="shared" si="33"/>
        <v>70702000000000</v>
      </c>
    </row>
    <row r="2116" spans="1:40" x14ac:dyDescent="0.25">
      <c r="C2116" s="40"/>
      <c r="D2116" s="121" t="s">
        <v>2555</v>
      </c>
      <c r="E2116" s="121" t="s">
        <v>2556</v>
      </c>
      <c r="F2116" s="122" t="s">
        <v>2758</v>
      </c>
      <c r="G2116" s="52"/>
      <c r="H2116" s="52"/>
      <c r="I2116" s="52"/>
      <c r="J2116" s="52"/>
      <c r="K2116" s="59" t="s">
        <v>79</v>
      </c>
      <c r="L2116" s="52"/>
      <c r="M2116" s="52"/>
      <c r="N2116" s="52"/>
      <c r="O2116" s="52"/>
      <c r="P2116" s="104" t="s">
        <v>2558</v>
      </c>
      <c r="Q2116" s="55">
        <f>VLOOKUP(E2116,'NI-Soc_SP'!$C:$AN,12,FALSE)</f>
        <v>0</v>
      </c>
      <c r="R2116" s="55">
        <f>VLOOKUP(E2116,'NI-Soc_SP'!$C:$AN,13,FALSE)</f>
        <v>0</v>
      </c>
      <c r="S2116" s="55">
        <f>VLOOKUP(E2116,'NI-Soc_SP'!$C:$AN,30,FALSE)</f>
        <v>0</v>
      </c>
      <c r="T2116" s="94">
        <f>VLOOKUP(E2116,'NI-Soc_SP'!$C:$AN,31,FALSE)+VLOOKUP(E2116,'NI-Soc_SP'!$C:$AN,32,FALSE)</f>
        <v>0</v>
      </c>
      <c r="U2116" s="55">
        <f>VLOOKUP($E2116,'NI-Soc_SP'!$C:$AN,MID(U$1,1,2),FALSE)</f>
        <v>0</v>
      </c>
      <c r="V2116" s="55">
        <f>VLOOKUP($E2116,'NI-Soc_SP'!$C:$AN,MID(V$1,1,2),FALSE)</f>
        <v>0</v>
      </c>
      <c r="W2116" s="55">
        <f>VLOOKUP($E2116,'NI-Soc_SP'!$C:$AN,MID(W$1,1,2),FALSE)</f>
        <v>0</v>
      </c>
      <c r="X2116" s="55">
        <f>VLOOKUP($E2116,'NI-Soc_SP'!$C:$AN,MID(X$1,1,2),FALSE)</f>
        <v>0</v>
      </c>
      <c r="Y2116" s="55">
        <f>VLOOKUP($E2116,'NI-Soc_SP'!$C:$AN,MID(Y$1,1,2),FALSE)</f>
        <v>0</v>
      </c>
      <c r="Z2116" s="55">
        <f>VLOOKUP($E2116,'NI-Soc_SP'!$C:$AN,MID(Z$1,1,2),FALSE)</f>
        <v>0</v>
      </c>
      <c r="AA2116" s="55">
        <f>VLOOKUP($E2116,'NI-Soc_SP'!$C:$AN,MID(AA$1,1,2),FALSE)</f>
        <v>0</v>
      </c>
      <c r="AB2116" s="55">
        <f>VLOOKUP($E2116,'NI-Soc_SP'!$C:$AN,MID(AB$1,1,2),FALSE)</f>
        <v>0</v>
      </c>
      <c r="AC2116" s="55">
        <f>VLOOKUP($E2116,'NI-Soc_SP'!$C:$AN,MID(AC$1,1,2),FALSE)</f>
        <v>0</v>
      </c>
      <c r="AD2116" s="55">
        <f>VLOOKUP($E2116,'NI-Soc_SP'!$C:$AN,MID(AD$1,1,2),FALSE)</f>
        <v>0</v>
      </c>
      <c r="AE2116" s="55">
        <f>VLOOKUP($E2116,'NI-Soc_SP'!$C:$AN,MID(AE$1,1,2),FALSE)</f>
        <v>0</v>
      </c>
      <c r="AF2116" s="55">
        <f>VLOOKUP($E2116,'NI-Soc_SP'!$C:$AN,MID(AF$1,1,2),FALSE)</f>
        <v>0</v>
      </c>
      <c r="AG2116" s="55">
        <f>VLOOKUP($E2116,'NI-Soc_SP'!$C:$AN,MID(AG$1,1,2),FALSE)</f>
        <v>0</v>
      </c>
      <c r="AH2116" s="55">
        <f>VLOOKUP($E2116,'NI-Soc_SP'!$C:$AN,MID(AH$1,1,2),FALSE)</f>
        <v>0</v>
      </c>
      <c r="AI2116" s="55">
        <f>VLOOKUP($E2116,'NI-Soc_SP'!$C:$AN,MID(AI$1,1,2),FALSE)</f>
        <v>0</v>
      </c>
      <c r="AJ2116" s="55">
        <f>VLOOKUP($E2116,'NI-Soc_SP'!$C:$AN,MID(AJ$1,1,2),FALSE)</f>
        <v>0</v>
      </c>
      <c r="AK2116" s="55">
        <f>VLOOKUP($E2116,'NI-Soc_SP'!$C:$AN,MID(AK$1,1,2),FALSE)</f>
        <v>0</v>
      </c>
      <c r="AL2116" s="55">
        <f>VLOOKUP($E2116,'NI-Soc_SP'!$C:$AN,MID(AL$1,1,2),FALSE)</f>
        <v>0</v>
      </c>
      <c r="AM2116" s="56">
        <f>VLOOKUP($E2116,'NI-Soc_SP'!$C:$AN,MID(AM$1,1,2),FALSE)</f>
        <v>0</v>
      </c>
      <c r="AN2116" s="30" t="str">
        <f t="shared" si="33"/>
        <v>70702010010000</v>
      </c>
    </row>
    <row r="2117" spans="1:40" x14ac:dyDescent="0.25">
      <c r="C2117" s="40"/>
      <c r="D2117" s="121" t="s">
        <v>2559</v>
      </c>
      <c r="E2117" s="121" t="s">
        <v>2560</v>
      </c>
      <c r="F2117" s="122" t="s">
        <v>2758</v>
      </c>
      <c r="G2117" s="52"/>
      <c r="H2117" s="52"/>
      <c r="I2117" s="52"/>
      <c r="J2117" s="52"/>
      <c r="K2117" s="59" t="s">
        <v>79</v>
      </c>
      <c r="L2117" s="52"/>
      <c r="M2117" s="52"/>
      <c r="N2117" s="52"/>
      <c r="O2117" s="52"/>
      <c r="P2117" s="104" t="s">
        <v>2561</v>
      </c>
      <c r="Q2117" s="55">
        <f>VLOOKUP(E2117,'NI-Soc_SP'!$C:$AN,12,FALSE)</f>
        <v>0</v>
      </c>
      <c r="R2117" s="55">
        <f>VLOOKUP(E2117,'NI-Soc_SP'!$C:$AN,13,FALSE)</f>
        <v>0</v>
      </c>
      <c r="S2117" s="55">
        <f>VLOOKUP(E2117,'NI-Soc_SP'!$C:$AN,30,FALSE)</f>
        <v>0</v>
      </c>
      <c r="T2117" s="94">
        <f>VLOOKUP(E2117,'NI-Soc_SP'!$C:$AN,31,FALSE)+VLOOKUP(E2117,'NI-Soc_SP'!$C:$AN,32,FALSE)</f>
        <v>0</v>
      </c>
      <c r="U2117" s="55">
        <f>VLOOKUP($E2117,'NI-Soc_SP'!$C:$AN,MID(U$1,1,2),FALSE)</f>
        <v>0</v>
      </c>
      <c r="V2117" s="55">
        <f>VLOOKUP($E2117,'NI-Soc_SP'!$C:$AN,MID(V$1,1,2),FALSE)</f>
        <v>0</v>
      </c>
      <c r="W2117" s="55">
        <f>VLOOKUP($E2117,'NI-Soc_SP'!$C:$AN,MID(W$1,1,2),FALSE)</f>
        <v>0</v>
      </c>
      <c r="X2117" s="55">
        <f>VLOOKUP($E2117,'NI-Soc_SP'!$C:$AN,MID(X$1,1,2),FALSE)</f>
        <v>0</v>
      </c>
      <c r="Y2117" s="55">
        <f>VLOOKUP($E2117,'NI-Soc_SP'!$C:$AN,MID(Y$1,1,2),FALSE)</f>
        <v>0</v>
      </c>
      <c r="Z2117" s="55">
        <f>VLOOKUP($E2117,'NI-Soc_SP'!$C:$AN,MID(Z$1,1,2),FALSE)</f>
        <v>0</v>
      </c>
      <c r="AA2117" s="55">
        <f>VLOOKUP($E2117,'NI-Soc_SP'!$C:$AN,MID(AA$1,1,2),FALSE)</f>
        <v>0</v>
      </c>
      <c r="AB2117" s="55">
        <f>VLOOKUP($E2117,'NI-Soc_SP'!$C:$AN,MID(AB$1,1,2),FALSE)</f>
        <v>0</v>
      </c>
      <c r="AC2117" s="55">
        <f>VLOOKUP($E2117,'NI-Soc_SP'!$C:$AN,MID(AC$1,1,2),FALSE)</f>
        <v>0</v>
      </c>
      <c r="AD2117" s="55">
        <f>VLOOKUP($E2117,'NI-Soc_SP'!$C:$AN,MID(AD$1,1,2),FALSE)</f>
        <v>0</v>
      </c>
      <c r="AE2117" s="55">
        <f>VLOOKUP($E2117,'NI-Soc_SP'!$C:$AN,MID(AE$1,1,2),FALSE)</f>
        <v>0</v>
      </c>
      <c r="AF2117" s="55">
        <f>VLOOKUP($E2117,'NI-Soc_SP'!$C:$AN,MID(AF$1,1,2),FALSE)</f>
        <v>0</v>
      </c>
      <c r="AG2117" s="55">
        <f>VLOOKUP($E2117,'NI-Soc_SP'!$C:$AN,MID(AG$1,1,2),FALSE)</f>
        <v>0</v>
      </c>
      <c r="AH2117" s="55">
        <f>VLOOKUP($E2117,'NI-Soc_SP'!$C:$AN,MID(AH$1,1,2),FALSE)</f>
        <v>0</v>
      </c>
      <c r="AI2117" s="55">
        <f>VLOOKUP($E2117,'NI-Soc_SP'!$C:$AN,MID(AI$1,1,2),FALSE)</f>
        <v>0</v>
      </c>
      <c r="AJ2117" s="55">
        <f>VLOOKUP($E2117,'NI-Soc_SP'!$C:$AN,MID(AJ$1,1,2),FALSE)</f>
        <v>0</v>
      </c>
      <c r="AK2117" s="55">
        <f>VLOOKUP($E2117,'NI-Soc_SP'!$C:$AN,MID(AK$1,1,2),FALSE)</f>
        <v>0</v>
      </c>
      <c r="AL2117" s="55">
        <f>VLOOKUP($E2117,'NI-Soc_SP'!$C:$AN,MID(AL$1,1,2),FALSE)</f>
        <v>0</v>
      </c>
      <c r="AM2117" s="56">
        <f>VLOOKUP($E2117,'NI-Soc_SP'!$C:$AN,MID(AM$1,1,2),FALSE)</f>
        <v>0</v>
      </c>
      <c r="AN2117" s="30" t="str">
        <f t="shared" si="33"/>
        <v>70702010020000</v>
      </c>
    </row>
    <row r="2118" spans="1:40" x14ac:dyDescent="0.25">
      <c r="A2118" s="30" t="s">
        <v>1394</v>
      </c>
      <c r="C2118" s="40"/>
      <c r="D2118" s="98" t="s">
        <v>2562</v>
      </c>
      <c r="E2118" s="98" t="s">
        <v>2563</v>
      </c>
      <c r="F2118" s="122" t="s">
        <v>2758</v>
      </c>
      <c r="H2118" s="52"/>
      <c r="I2118" s="52"/>
      <c r="J2118" s="95" t="s">
        <v>2564</v>
      </c>
      <c r="K2118" s="59" t="s">
        <v>79</v>
      </c>
      <c r="L2118" s="52"/>
      <c r="M2118" s="52"/>
      <c r="N2118" s="52"/>
      <c r="O2118" s="52"/>
      <c r="P2118" s="95" t="s">
        <v>2565</v>
      </c>
      <c r="Q2118" s="55">
        <f>VLOOKUP(E2118,'NI-Soc_SP'!$C:$AN,12,FALSE)</f>
        <v>0</v>
      </c>
      <c r="R2118" s="55">
        <f>VLOOKUP(E2118,'NI-Soc_SP'!$C:$AN,13,FALSE)</f>
        <v>0</v>
      </c>
      <c r="S2118" s="55">
        <f>VLOOKUP(E2118,'NI-Soc_SP'!$C:$AN,31,FALSE)</f>
        <v>0</v>
      </c>
      <c r="T2118" s="55">
        <f>VLOOKUP(E2118,'NI-Soc_SP'!$C:$AN,32,FALSE)+VLOOKUP(E2118,'NI-Soc_SP'!$C:$AN,33,FALSE)</f>
        <v>0</v>
      </c>
      <c r="U2118" s="55">
        <f>VLOOKUP($E2118,'NI-Soc_SP'!$C:$AN,MID(U$1,1,2),FALSE)</f>
        <v>0</v>
      </c>
      <c r="V2118" s="55">
        <f>VLOOKUP($E2118,'NI-Soc_SP'!$C:$AN,MID(V$1,1,2),FALSE)</f>
        <v>0</v>
      </c>
      <c r="W2118" s="55">
        <f>VLOOKUP($E2118,'NI-Soc_SP'!$C:$AN,MID(W$1,1,2),FALSE)</f>
        <v>0</v>
      </c>
      <c r="X2118" s="55">
        <f>VLOOKUP($E2118,'NI-Soc_SP'!$C:$AN,MID(X$1,1,2),FALSE)</f>
        <v>0</v>
      </c>
      <c r="Y2118" s="55">
        <f>VLOOKUP($E2118,'NI-Soc_SP'!$C:$AN,MID(Y$1,1,2),FALSE)</f>
        <v>0</v>
      </c>
      <c r="Z2118" s="55">
        <f>VLOOKUP($E2118,'NI-Soc_SP'!$C:$AN,MID(Z$1,1,2),FALSE)</f>
        <v>0</v>
      </c>
      <c r="AA2118" s="55">
        <f>VLOOKUP($E2118,'NI-Soc_SP'!$C:$AN,MID(AA$1,1,2),FALSE)</f>
        <v>0</v>
      </c>
      <c r="AB2118" s="55">
        <f>VLOOKUP($E2118,'NI-Soc_SP'!$C:$AN,MID(AB$1,1,2),FALSE)</f>
        <v>0</v>
      </c>
      <c r="AC2118" s="55">
        <f>VLOOKUP($E2118,'NI-Soc_SP'!$C:$AN,MID(AC$1,1,2),FALSE)</f>
        <v>0</v>
      </c>
      <c r="AD2118" s="55">
        <f>VLOOKUP($E2118,'NI-Soc_SP'!$C:$AN,MID(AD$1,1,2),FALSE)</f>
        <v>0</v>
      </c>
      <c r="AE2118" s="55">
        <f>VLOOKUP($E2118,'NI-Soc_SP'!$C:$AN,MID(AE$1,1,2),FALSE)</f>
        <v>0</v>
      </c>
      <c r="AF2118" s="55">
        <f>VLOOKUP($E2118,'NI-Soc_SP'!$C:$AN,MID(AF$1,1,2),FALSE)</f>
        <v>0</v>
      </c>
      <c r="AG2118" s="55">
        <f>VLOOKUP($E2118,'NI-Soc_SP'!$C:$AN,MID(AG$1,1,2),FALSE)</f>
        <v>0</v>
      </c>
      <c r="AH2118" s="55">
        <f>VLOOKUP($E2118,'NI-Soc_SP'!$C:$AN,MID(AH$1,1,2),FALSE)</f>
        <v>0</v>
      </c>
      <c r="AI2118" s="55">
        <f>VLOOKUP($E2118,'NI-Soc_SP'!$C:$AN,MID(AI$1,1,2),FALSE)</f>
        <v>0</v>
      </c>
      <c r="AJ2118" s="55">
        <f>VLOOKUP($E2118,'NI-Soc_SP'!$C:$AN,MID(AJ$1,1,2),FALSE)</f>
        <v>0</v>
      </c>
      <c r="AK2118" s="55">
        <f>VLOOKUP($E2118,'NI-Soc_SP'!$C:$AN,MID(AK$1,1,2),FALSE)</f>
        <v>0</v>
      </c>
      <c r="AL2118" s="55">
        <f>VLOOKUP($E2118,'NI-Soc_SP'!$C:$AN,MID(AL$1,1,2),FALSE)</f>
        <v>0</v>
      </c>
      <c r="AM2118" s="56">
        <f>VLOOKUP($E2118,'NI-Soc_SP'!$C:$AN,MID(AM$1,1,2),FALSE)</f>
        <v>0</v>
      </c>
      <c r="AN2118" s="30" t="str">
        <f t="shared" si="33"/>
        <v>70702020000000</v>
      </c>
    </row>
    <row r="2119" spans="1:40" x14ac:dyDescent="0.25">
      <c r="C2119" s="40"/>
      <c r="D2119" s="121" t="s">
        <v>2566</v>
      </c>
      <c r="E2119" s="121" t="s">
        <v>2567</v>
      </c>
      <c r="F2119" s="122" t="s">
        <v>2758</v>
      </c>
      <c r="G2119" s="52"/>
      <c r="H2119" s="52"/>
      <c r="I2119" s="52" t="s">
        <v>2568</v>
      </c>
      <c r="J2119" s="52"/>
      <c r="K2119" s="59" t="s">
        <v>79</v>
      </c>
      <c r="L2119" s="52" t="s">
        <v>2569</v>
      </c>
      <c r="M2119" s="52"/>
      <c r="N2119" s="52"/>
      <c r="O2119" s="61" t="s">
        <v>2570</v>
      </c>
      <c r="P2119" s="60" t="s">
        <v>2571</v>
      </c>
      <c r="Q2119" s="55">
        <f>VLOOKUP(E2119,'NI-Soc_SP'!$C:$AN,12,FALSE)</f>
        <v>0</v>
      </c>
      <c r="R2119" s="55">
        <f>VLOOKUP(E2119,'NI-Soc_SP'!$C:$AN,13,FALSE)</f>
        <v>0</v>
      </c>
      <c r="S2119" s="55">
        <f>VLOOKUP(E2119,'NI-Soc_SP'!$C:$AN,30,FALSE)</f>
        <v>0</v>
      </c>
      <c r="T2119" s="55">
        <f>VLOOKUP(E2119,'NI-Soc_SP'!$C:$AN,31,FALSE)+VLOOKUP(E2119,'NI-Soc_SP'!$C:$AN,32,FALSE)</f>
        <v>0</v>
      </c>
      <c r="U2119" s="55">
        <f>VLOOKUP($E2119,'NI-Soc_SP'!$C:$AN,MID(U$1,1,2),FALSE)</f>
        <v>0</v>
      </c>
      <c r="V2119" s="55">
        <f>VLOOKUP($E2119,'NI-Soc_SP'!$C:$AN,MID(V$1,1,2),FALSE)</f>
        <v>0</v>
      </c>
      <c r="W2119" s="55">
        <f>VLOOKUP($E2119,'NI-Soc_SP'!$C:$AN,MID(W$1,1,2),FALSE)</f>
        <v>0</v>
      </c>
      <c r="X2119" s="55">
        <f>VLOOKUP($E2119,'NI-Soc_SP'!$C:$AN,MID(X$1,1,2),FALSE)</f>
        <v>0</v>
      </c>
      <c r="Y2119" s="55">
        <f>VLOOKUP($E2119,'NI-Soc_SP'!$C:$AN,MID(Y$1,1,2),FALSE)</f>
        <v>0</v>
      </c>
      <c r="Z2119" s="55">
        <f>VLOOKUP($E2119,'NI-Soc_SP'!$C:$AN,MID(Z$1,1,2),FALSE)</f>
        <v>0</v>
      </c>
      <c r="AA2119" s="55">
        <f>VLOOKUP($E2119,'NI-Soc_SP'!$C:$AN,MID(AA$1,1,2),FALSE)</f>
        <v>0</v>
      </c>
      <c r="AB2119" s="55">
        <f>VLOOKUP($E2119,'NI-Soc_SP'!$C:$AN,MID(AB$1,1,2),FALSE)</f>
        <v>0</v>
      </c>
      <c r="AC2119" s="55">
        <f>VLOOKUP($E2119,'NI-Soc_SP'!$C:$AN,MID(AC$1,1,2),FALSE)</f>
        <v>0</v>
      </c>
      <c r="AD2119" s="55">
        <f>VLOOKUP($E2119,'NI-Soc_SP'!$C:$AN,MID(AD$1,1,2),FALSE)</f>
        <v>0</v>
      </c>
      <c r="AE2119" s="55">
        <f>VLOOKUP($E2119,'NI-Soc_SP'!$C:$AN,MID(AE$1,1,2),FALSE)</f>
        <v>0</v>
      </c>
      <c r="AF2119" s="55">
        <f>VLOOKUP($E2119,'NI-Soc_SP'!$C:$AN,MID(AF$1,1,2),FALSE)</f>
        <v>0</v>
      </c>
      <c r="AG2119" s="55">
        <f>VLOOKUP($E2119,'NI-Soc_SP'!$C:$AN,MID(AG$1,1,2),FALSE)</f>
        <v>0</v>
      </c>
      <c r="AH2119" s="55">
        <f>VLOOKUP($E2119,'NI-Soc_SP'!$C:$AN,MID(AH$1,1,2),FALSE)</f>
        <v>0</v>
      </c>
      <c r="AI2119" s="55">
        <f>VLOOKUP($E2119,'NI-Soc_SP'!$C:$AN,MID(AI$1,1,2),FALSE)</f>
        <v>0</v>
      </c>
      <c r="AJ2119" s="55">
        <f>VLOOKUP($E2119,'NI-Soc_SP'!$C:$AN,MID(AJ$1,1,2),FALSE)</f>
        <v>0</v>
      </c>
      <c r="AK2119" s="55">
        <f>VLOOKUP($E2119,'NI-Soc_SP'!$C:$AN,MID(AK$1,1,2),FALSE)</f>
        <v>0</v>
      </c>
      <c r="AL2119" s="55">
        <f>VLOOKUP($E2119,'NI-Soc_SP'!$C:$AN,MID(AL$1,1,2),FALSE)</f>
        <v>0</v>
      </c>
      <c r="AM2119" s="56">
        <f>VLOOKUP($E2119,'NI-Soc_SP'!$C:$AN,MID(AM$1,1,2),FALSE)</f>
        <v>0</v>
      </c>
      <c r="AN2119" s="30" t="str">
        <f t="shared" si="33"/>
        <v>70800000000000</v>
      </c>
    </row>
    <row r="2120" spans="1:40" x14ac:dyDescent="0.25">
      <c r="C2120" s="40"/>
      <c r="D2120" s="121" t="s">
        <v>2572</v>
      </c>
      <c r="E2120" s="121" t="s">
        <v>2573</v>
      </c>
      <c r="F2120" s="122" t="s">
        <v>2758</v>
      </c>
      <c r="G2120" s="52"/>
      <c r="H2120" s="52"/>
      <c r="I2120" s="52" t="s">
        <v>2574</v>
      </c>
      <c r="J2120" s="52"/>
      <c r="K2120" s="59" t="s">
        <v>79</v>
      </c>
      <c r="L2120" s="52" t="s">
        <v>2575</v>
      </c>
      <c r="M2120" s="52" t="s">
        <v>2269</v>
      </c>
      <c r="N2120" s="52"/>
      <c r="O2120" s="61" t="s">
        <v>2576</v>
      </c>
      <c r="P2120" s="107" t="s">
        <v>2577</v>
      </c>
      <c r="Q2120" s="55">
        <f>VLOOKUP(E2120,'NI-Soc_SP'!$C:$AN,12,FALSE)</f>
        <v>0</v>
      </c>
      <c r="R2120" s="55">
        <f>VLOOKUP(E2120,'NI-Soc_SP'!$C:$AN,13,FALSE)</f>
        <v>0</v>
      </c>
      <c r="S2120" s="55">
        <f>VLOOKUP(E2120,'NI-Soc_SP'!$C:$AN,30,FALSE)</f>
        <v>0</v>
      </c>
      <c r="T2120" s="55">
        <f>VLOOKUP(E2120,'NI-Soc_SP'!$C:$AN,31,FALSE)+VLOOKUP(E2120,'NI-Soc_SP'!$C:$AN,32,FALSE)</f>
        <v>0</v>
      </c>
      <c r="U2120" s="55">
        <f>VLOOKUP($E2120,'NI-Soc_SP'!$C:$AN,MID(U$1,1,2),FALSE)</f>
        <v>0</v>
      </c>
      <c r="V2120" s="55">
        <f>VLOOKUP($E2120,'NI-Soc_SP'!$C:$AN,MID(V$1,1,2),FALSE)</f>
        <v>0</v>
      </c>
      <c r="W2120" s="55">
        <f>VLOOKUP($E2120,'NI-Soc_SP'!$C:$AN,MID(W$1,1,2),FALSE)</f>
        <v>0</v>
      </c>
      <c r="X2120" s="55">
        <f>VLOOKUP($E2120,'NI-Soc_SP'!$C:$AN,MID(X$1,1,2),FALSE)</f>
        <v>0</v>
      </c>
      <c r="Y2120" s="55">
        <f>VLOOKUP($E2120,'NI-Soc_SP'!$C:$AN,MID(Y$1,1,2),FALSE)</f>
        <v>0</v>
      </c>
      <c r="Z2120" s="55">
        <f>VLOOKUP($E2120,'NI-Soc_SP'!$C:$AN,MID(Z$1,1,2),FALSE)</f>
        <v>0</v>
      </c>
      <c r="AA2120" s="55">
        <f>VLOOKUP($E2120,'NI-Soc_SP'!$C:$AN,MID(AA$1,1,2),FALSE)</f>
        <v>0</v>
      </c>
      <c r="AB2120" s="55">
        <f>VLOOKUP($E2120,'NI-Soc_SP'!$C:$AN,MID(AB$1,1,2),FALSE)</f>
        <v>0</v>
      </c>
      <c r="AC2120" s="55">
        <f>VLOOKUP($E2120,'NI-Soc_SP'!$C:$AN,MID(AC$1,1,2),FALSE)</f>
        <v>0</v>
      </c>
      <c r="AD2120" s="55">
        <f>VLOOKUP($E2120,'NI-Soc_SP'!$C:$AN,MID(AD$1,1,2),FALSE)</f>
        <v>0</v>
      </c>
      <c r="AE2120" s="55">
        <f>VLOOKUP($E2120,'NI-Soc_SP'!$C:$AN,MID(AE$1,1,2),FALSE)</f>
        <v>0</v>
      </c>
      <c r="AF2120" s="55">
        <f>VLOOKUP($E2120,'NI-Soc_SP'!$C:$AN,MID(AF$1,1,2),FALSE)</f>
        <v>0</v>
      </c>
      <c r="AG2120" s="55">
        <f>VLOOKUP($E2120,'NI-Soc_SP'!$C:$AN,MID(AG$1,1,2),FALSE)</f>
        <v>0</v>
      </c>
      <c r="AH2120" s="55">
        <f>VLOOKUP($E2120,'NI-Soc_SP'!$C:$AN,MID(AH$1,1,2),FALSE)</f>
        <v>0</v>
      </c>
      <c r="AI2120" s="55">
        <f>VLOOKUP($E2120,'NI-Soc_SP'!$C:$AN,MID(AI$1,1,2),FALSE)</f>
        <v>0</v>
      </c>
      <c r="AJ2120" s="55">
        <f>VLOOKUP($E2120,'NI-Soc_SP'!$C:$AN,MID(AJ$1,1,2),FALSE)</f>
        <v>0</v>
      </c>
      <c r="AK2120" s="55">
        <f>VLOOKUP($E2120,'NI-Soc_SP'!$C:$AN,MID(AK$1,1,2),FALSE)</f>
        <v>0</v>
      </c>
      <c r="AL2120" s="55">
        <f>VLOOKUP($E2120,'NI-Soc_SP'!$C:$AN,MID(AL$1,1,2),FALSE)</f>
        <v>0</v>
      </c>
      <c r="AM2120" s="56">
        <f>VLOOKUP($E2120,'NI-Soc_SP'!$C:$AN,MID(AM$1,1,2),FALSE)</f>
        <v>0</v>
      </c>
      <c r="AN2120" s="30" t="str">
        <f t="shared" si="33"/>
        <v>70900000000000</v>
      </c>
    </row>
    <row r="2121" spans="1:40" x14ac:dyDescent="0.25">
      <c r="C2121" s="40"/>
      <c r="D2121" s="121" t="s">
        <v>2578</v>
      </c>
      <c r="E2121" s="121" t="s">
        <v>2579</v>
      </c>
      <c r="F2121" s="122" t="s">
        <v>2758</v>
      </c>
      <c r="G2121" s="52"/>
      <c r="H2121" s="52"/>
      <c r="I2121" s="52" t="s">
        <v>2580</v>
      </c>
      <c r="J2121" s="52"/>
      <c r="K2121" s="59" t="s">
        <v>79</v>
      </c>
      <c r="L2121" s="52" t="s">
        <v>2581</v>
      </c>
      <c r="M2121" s="52" t="s">
        <v>2269</v>
      </c>
      <c r="N2121" s="52"/>
      <c r="O2121" s="61" t="s">
        <v>2582</v>
      </c>
      <c r="P2121" s="107" t="s">
        <v>2583</v>
      </c>
      <c r="Q2121" s="55">
        <f>VLOOKUP(E2121,'NI-Soc_SP'!$C:$AN,12,FALSE)</f>
        <v>0</v>
      </c>
      <c r="R2121" s="55">
        <f>VLOOKUP(E2121,'NI-Soc_SP'!$C:$AN,13,FALSE)</f>
        <v>0</v>
      </c>
      <c r="S2121" s="55">
        <f>VLOOKUP(E2121,'NI-Soc_SP'!$C:$AN,30,FALSE)</f>
        <v>0</v>
      </c>
      <c r="T2121" s="55">
        <f>VLOOKUP(E2121,'NI-Soc_SP'!$C:$AN,31,FALSE)+VLOOKUP(E2121,'NI-Soc_SP'!$C:$AN,32,FALSE)</f>
        <v>0</v>
      </c>
      <c r="U2121" s="55">
        <f>VLOOKUP($E2121,'NI-Soc_SP'!$C:$AN,MID(U$1,1,2),FALSE)</f>
        <v>0</v>
      </c>
      <c r="V2121" s="55">
        <f>VLOOKUP($E2121,'NI-Soc_SP'!$C:$AN,MID(V$1,1,2),FALSE)</f>
        <v>0</v>
      </c>
      <c r="W2121" s="55">
        <f>VLOOKUP($E2121,'NI-Soc_SP'!$C:$AN,MID(W$1,1,2),FALSE)</f>
        <v>0</v>
      </c>
      <c r="X2121" s="55">
        <f>VLOOKUP($E2121,'NI-Soc_SP'!$C:$AN,MID(X$1,1,2),FALSE)</f>
        <v>0</v>
      </c>
      <c r="Y2121" s="55">
        <f>VLOOKUP($E2121,'NI-Soc_SP'!$C:$AN,MID(Y$1,1,2),FALSE)</f>
        <v>0</v>
      </c>
      <c r="Z2121" s="55">
        <f>VLOOKUP($E2121,'NI-Soc_SP'!$C:$AN,MID(Z$1,1,2),FALSE)</f>
        <v>0</v>
      </c>
      <c r="AA2121" s="55">
        <f>VLOOKUP($E2121,'NI-Soc_SP'!$C:$AN,MID(AA$1,1,2),FALSE)</f>
        <v>0</v>
      </c>
      <c r="AB2121" s="55">
        <f>VLOOKUP($E2121,'NI-Soc_SP'!$C:$AN,MID(AB$1,1,2),FALSE)</f>
        <v>0</v>
      </c>
      <c r="AC2121" s="55">
        <f>VLOOKUP($E2121,'NI-Soc_SP'!$C:$AN,MID(AC$1,1,2),FALSE)</f>
        <v>0</v>
      </c>
      <c r="AD2121" s="55">
        <f>VLOOKUP($E2121,'NI-Soc_SP'!$C:$AN,MID(AD$1,1,2),FALSE)</f>
        <v>0</v>
      </c>
      <c r="AE2121" s="55">
        <f>VLOOKUP($E2121,'NI-Soc_SP'!$C:$AN,MID(AE$1,1,2),FALSE)</f>
        <v>0</v>
      </c>
      <c r="AF2121" s="55">
        <f>VLOOKUP($E2121,'NI-Soc_SP'!$C:$AN,MID(AF$1,1,2),FALSE)</f>
        <v>0</v>
      </c>
      <c r="AG2121" s="55">
        <f>VLOOKUP($E2121,'NI-Soc_SP'!$C:$AN,MID(AG$1,1,2),FALSE)</f>
        <v>0</v>
      </c>
      <c r="AH2121" s="55">
        <f>VLOOKUP($E2121,'NI-Soc_SP'!$C:$AN,MID(AH$1,1,2),FALSE)</f>
        <v>0</v>
      </c>
      <c r="AI2121" s="55">
        <f>VLOOKUP($E2121,'NI-Soc_SP'!$C:$AN,MID(AI$1,1,2),FALSE)</f>
        <v>0</v>
      </c>
      <c r="AJ2121" s="55">
        <f>VLOOKUP($E2121,'NI-Soc_SP'!$C:$AN,MID(AJ$1,1,2),FALSE)</f>
        <v>0</v>
      </c>
      <c r="AK2121" s="55">
        <f>VLOOKUP($E2121,'NI-Soc_SP'!$C:$AN,MID(AK$1,1,2),FALSE)</f>
        <v>0</v>
      </c>
      <c r="AL2121" s="55">
        <f>VLOOKUP($E2121,'NI-Soc_SP'!$C:$AN,MID(AL$1,1,2),FALSE)</f>
        <v>0</v>
      </c>
      <c r="AM2121" s="56">
        <f>VLOOKUP($E2121,'NI-Soc_SP'!$C:$AN,MID(AM$1,1,2),FALSE)</f>
        <v>0</v>
      </c>
      <c r="AN2121" s="30" t="str">
        <f t="shared" si="33"/>
        <v>71000000000000</v>
      </c>
    </row>
    <row r="2122" spans="1:40" x14ac:dyDescent="0.25">
      <c r="C2122" s="40"/>
      <c r="D2122" s="121" t="s">
        <v>2584</v>
      </c>
      <c r="E2122" s="121" t="s">
        <v>2585</v>
      </c>
      <c r="F2122" s="122" t="s">
        <v>2758</v>
      </c>
      <c r="G2122" s="51"/>
      <c r="H2122" s="52"/>
      <c r="I2122" s="52"/>
      <c r="J2122" s="52"/>
      <c r="K2122" s="53" t="s">
        <v>111</v>
      </c>
      <c r="L2122" s="52" t="s">
        <v>2586</v>
      </c>
      <c r="M2122" s="52"/>
      <c r="N2122" s="52"/>
      <c r="O2122" s="52"/>
      <c r="P2122" s="54" t="s">
        <v>2587</v>
      </c>
      <c r="Q2122" s="55">
        <f>VLOOKUP(E2122,'NI-Soc_SP'!$C:$AN,12,FALSE)</f>
        <v>0</v>
      </c>
      <c r="R2122" s="55">
        <f>VLOOKUP(E2122,'NI-Soc_SP'!$C:$AN,13,FALSE)</f>
        <v>0</v>
      </c>
      <c r="S2122" s="55">
        <f>VLOOKUP(E2122,'NI-Soc_SP'!$C:$AN,30,FALSE)</f>
        <v>0</v>
      </c>
      <c r="T2122" s="55">
        <f>VLOOKUP(E2122,'NI-Soc_SP'!$C:$AN,31,FALSE)+VLOOKUP(E2122,'NI-Soc_SP'!$C:$AN,32,FALSE)</f>
        <v>0</v>
      </c>
      <c r="U2122" s="55">
        <f>VLOOKUP($E2122,'NI-Soc_SP'!$C:$AN,MID(U$1,1,2),FALSE)</f>
        <v>0</v>
      </c>
      <c r="V2122" s="55">
        <f>VLOOKUP($E2122,'NI-Soc_SP'!$C:$AN,MID(V$1,1,2),FALSE)</f>
        <v>0</v>
      </c>
      <c r="W2122" s="55">
        <f>VLOOKUP($E2122,'NI-Soc_SP'!$C:$AN,MID(W$1,1,2),FALSE)</f>
        <v>0</v>
      </c>
      <c r="X2122" s="55">
        <f>VLOOKUP($E2122,'NI-Soc_SP'!$C:$AN,MID(X$1,1,2),FALSE)</f>
        <v>0</v>
      </c>
      <c r="Y2122" s="55">
        <f>VLOOKUP($E2122,'NI-Soc_SP'!$C:$AN,MID(Y$1,1,2),FALSE)</f>
        <v>0</v>
      </c>
      <c r="Z2122" s="55">
        <f>VLOOKUP($E2122,'NI-Soc_SP'!$C:$AN,MID(Z$1,1,2),FALSE)</f>
        <v>0</v>
      </c>
      <c r="AA2122" s="55">
        <f>VLOOKUP($E2122,'NI-Soc_SP'!$C:$AN,MID(AA$1,1,2),FALSE)</f>
        <v>0</v>
      </c>
      <c r="AB2122" s="55">
        <f>VLOOKUP($E2122,'NI-Soc_SP'!$C:$AN,MID(AB$1,1,2),FALSE)</f>
        <v>0</v>
      </c>
      <c r="AC2122" s="55">
        <f>VLOOKUP($E2122,'NI-Soc_SP'!$C:$AN,MID(AC$1,1,2),FALSE)</f>
        <v>0</v>
      </c>
      <c r="AD2122" s="55">
        <f>VLOOKUP($E2122,'NI-Soc_SP'!$C:$AN,MID(AD$1,1,2),FALSE)</f>
        <v>0</v>
      </c>
      <c r="AE2122" s="55">
        <f>VLOOKUP($E2122,'NI-Soc_SP'!$C:$AN,MID(AE$1,1,2),FALSE)</f>
        <v>0</v>
      </c>
      <c r="AF2122" s="55">
        <f>VLOOKUP($E2122,'NI-Soc_SP'!$C:$AN,MID(AF$1,1,2),FALSE)</f>
        <v>0</v>
      </c>
      <c r="AG2122" s="55">
        <f>VLOOKUP($E2122,'NI-Soc_SP'!$C:$AN,MID(AG$1,1,2),FALSE)</f>
        <v>0</v>
      </c>
      <c r="AH2122" s="55">
        <f>VLOOKUP($E2122,'NI-Soc_SP'!$C:$AN,MID(AH$1,1,2),FALSE)</f>
        <v>0</v>
      </c>
      <c r="AI2122" s="55">
        <f>VLOOKUP($E2122,'NI-Soc_SP'!$C:$AN,MID(AI$1,1,2),FALSE)</f>
        <v>0</v>
      </c>
      <c r="AJ2122" s="55">
        <f>VLOOKUP($E2122,'NI-Soc_SP'!$C:$AN,MID(AJ$1,1,2),FALSE)</f>
        <v>0</v>
      </c>
      <c r="AK2122" s="55">
        <f>VLOOKUP($E2122,'NI-Soc_SP'!$C:$AN,MID(AK$1,1,2),FALSE)</f>
        <v>0</v>
      </c>
      <c r="AL2122" s="55">
        <f>VLOOKUP($E2122,'NI-Soc_SP'!$C:$AN,MID(AL$1,1,2),FALSE)</f>
        <v>0</v>
      </c>
      <c r="AM2122" s="56">
        <f>VLOOKUP($E2122,'NI-Soc_SP'!$C:$AN,MID(AM$1,1,2),FALSE)</f>
        <v>0</v>
      </c>
      <c r="AN2122" s="30" t="str">
        <f t="shared" si="33"/>
        <v>71100000000000</v>
      </c>
    </row>
    <row r="2123" spans="1:40" x14ac:dyDescent="0.25">
      <c r="C2123" s="40"/>
      <c r="D2123" s="121" t="s">
        <v>2588</v>
      </c>
      <c r="E2123" s="121" t="s">
        <v>2589</v>
      </c>
      <c r="F2123" s="122" t="s">
        <v>2758</v>
      </c>
      <c r="G2123" s="65"/>
      <c r="H2123" s="52"/>
      <c r="I2123" s="52" t="s">
        <v>2590</v>
      </c>
      <c r="J2123" s="52"/>
      <c r="K2123" s="59" t="s">
        <v>111</v>
      </c>
      <c r="L2123" s="52"/>
      <c r="M2123" s="52" t="s">
        <v>2269</v>
      </c>
      <c r="N2123" s="52"/>
      <c r="O2123" s="61" t="s">
        <v>2591</v>
      </c>
      <c r="P2123" s="107" t="s">
        <v>2592</v>
      </c>
      <c r="Q2123" s="55">
        <f>VLOOKUP(E2123,'NI-Soc_SP'!$C:$AN,12,FALSE)</f>
        <v>0</v>
      </c>
      <c r="R2123" s="55">
        <f>VLOOKUP(E2123,'NI-Soc_SP'!$C:$AN,13,FALSE)</f>
        <v>0</v>
      </c>
      <c r="S2123" s="55">
        <f>VLOOKUP(E2123,'NI-Soc_SP'!$C:$AN,30,FALSE)</f>
        <v>0</v>
      </c>
      <c r="T2123" s="94">
        <f>VLOOKUP(E2123,'NI-Soc_SP'!$C:$AN,31,FALSE)+VLOOKUP(E2123,'NI-Soc_SP'!$C:$AN,32,FALSE)</f>
        <v>0</v>
      </c>
      <c r="U2123" s="55">
        <f>VLOOKUP($E2123,'NI-Soc_SP'!$C:$AN,MID(U$1,1,2),FALSE)</f>
        <v>0</v>
      </c>
      <c r="V2123" s="55">
        <f>VLOOKUP($E2123,'NI-Soc_SP'!$C:$AN,MID(V$1,1,2),FALSE)</f>
        <v>0</v>
      </c>
      <c r="W2123" s="55">
        <f>VLOOKUP($E2123,'NI-Soc_SP'!$C:$AN,MID(W$1,1,2),FALSE)</f>
        <v>0</v>
      </c>
      <c r="X2123" s="55">
        <f>VLOOKUP($E2123,'NI-Soc_SP'!$C:$AN,MID(X$1,1,2),FALSE)</f>
        <v>0</v>
      </c>
      <c r="Y2123" s="55">
        <f>VLOOKUP($E2123,'NI-Soc_SP'!$C:$AN,MID(Y$1,1,2),FALSE)</f>
        <v>0</v>
      </c>
      <c r="Z2123" s="55">
        <f>VLOOKUP($E2123,'NI-Soc_SP'!$C:$AN,MID(Z$1,1,2),FALSE)</f>
        <v>0</v>
      </c>
      <c r="AA2123" s="55">
        <f>VLOOKUP($E2123,'NI-Soc_SP'!$C:$AN,MID(AA$1,1,2),FALSE)</f>
        <v>0</v>
      </c>
      <c r="AB2123" s="55">
        <f>VLOOKUP($E2123,'NI-Soc_SP'!$C:$AN,MID(AB$1,1,2),FALSE)</f>
        <v>0</v>
      </c>
      <c r="AC2123" s="55">
        <f>VLOOKUP($E2123,'NI-Soc_SP'!$C:$AN,MID(AC$1,1,2),FALSE)</f>
        <v>0</v>
      </c>
      <c r="AD2123" s="55">
        <f>VLOOKUP($E2123,'NI-Soc_SP'!$C:$AN,MID(AD$1,1,2),FALSE)</f>
        <v>0</v>
      </c>
      <c r="AE2123" s="55">
        <f>VLOOKUP($E2123,'NI-Soc_SP'!$C:$AN,MID(AE$1,1,2),FALSE)</f>
        <v>0</v>
      </c>
      <c r="AF2123" s="55">
        <f>VLOOKUP($E2123,'NI-Soc_SP'!$C:$AN,MID(AF$1,1,2),FALSE)</f>
        <v>0</v>
      </c>
      <c r="AG2123" s="55">
        <f>VLOOKUP($E2123,'NI-Soc_SP'!$C:$AN,MID(AG$1,1,2),FALSE)</f>
        <v>0</v>
      </c>
      <c r="AH2123" s="55">
        <f>VLOOKUP($E2123,'NI-Soc_SP'!$C:$AN,MID(AH$1,1,2),FALSE)</f>
        <v>0</v>
      </c>
      <c r="AI2123" s="55">
        <f>VLOOKUP($E2123,'NI-Soc_SP'!$C:$AN,MID(AI$1,1,2),FALSE)</f>
        <v>0</v>
      </c>
      <c r="AJ2123" s="55">
        <f>VLOOKUP($E2123,'NI-Soc_SP'!$C:$AN,MID(AJ$1,1,2),FALSE)</f>
        <v>0</v>
      </c>
      <c r="AK2123" s="55">
        <f>VLOOKUP($E2123,'NI-Soc_SP'!$C:$AN,MID(AK$1,1,2),FALSE)</f>
        <v>0</v>
      </c>
      <c r="AL2123" s="55">
        <f>VLOOKUP($E2123,'NI-Soc_SP'!$C:$AN,MID(AL$1,1,2),FALSE)</f>
        <v>0</v>
      </c>
      <c r="AM2123" s="56">
        <f>VLOOKUP($E2123,'NI-Soc_SP'!$C:$AN,MID(AM$1,1,2),FALSE)</f>
        <v>0</v>
      </c>
      <c r="AN2123" s="30" t="str">
        <f t="shared" si="33"/>
        <v>71101000000000</v>
      </c>
    </row>
    <row r="2124" spans="1:40" x14ac:dyDescent="0.25">
      <c r="C2124" s="40"/>
      <c r="D2124" s="121" t="s">
        <v>2593</v>
      </c>
      <c r="E2124" s="121" t="s">
        <v>2594</v>
      </c>
      <c r="F2124" s="122" t="s">
        <v>2758</v>
      </c>
      <c r="G2124" s="65"/>
      <c r="H2124" s="52"/>
      <c r="I2124" s="52" t="s">
        <v>2595</v>
      </c>
      <c r="J2124" s="52"/>
      <c r="K2124" s="59" t="s">
        <v>111</v>
      </c>
      <c r="L2124" s="52"/>
      <c r="M2124" s="52" t="s">
        <v>2269</v>
      </c>
      <c r="N2124" s="52"/>
      <c r="O2124" s="61" t="s">
        <v>2596</v>
      </c>
      <c r="P2124" s="107" t="s">
        <v>2597</v>
      </c>
      <c r="Q2124" s="55">
        <f>VLOOKUP(E2124,'NI-Soc_SP'!$C:$AN,12,FALSE)</f>
        <v>0</v>
      </c>
      <c r="R2124" s="55">
        <f>VLOOKUP(E2124,'NI-Soc_SP'!$C:$AN,13,FALSE)</f>
        <v>0</v>
      </c>
      <c r="S2124" s="55">
        <f>VLOOKUP(E2124,'NI-Soc_SP'!$C:$AN,30,FALSE)</f>
        <v>0</v>
      </c>
      <c r="T2124" s="94">
        <f>VLOOKUP(E2124,'NI-Soc_SP'!$C:$AN,31,FALSE)+VLOOKUP(E2124,'NI-Soc_SP'!$C:$AN,32,FALSE)</f>
        <v>0</v>
      </c>
      <c r="U2124" s="55">
        <f>VLOOKUP($E2124,'NI-Soc_SP'!$C:$AN,MID(U$1,1,2),FALSE)</f>
        <v>0</v>
      </c>
      <c r="V2124" s="55">
        <f>VLOOKUP($E2124,'NI-Soc_SP'!$C:$AN,MID(V$1,1,2),FALSE)</f>
        <v>0</v>
      </c>
      <c r="W2124" s="55">
        <f>VLOOKUP($E2124,'NI-Soc_SP'!$C:$AN,MID(W$1,1,2),FALSE)</f>
        <v>0</v>
      </c>
      <c r="X2124" s="55">
        <f>VLOOKUP($E2124,'NI-Soc_SP'!$C:$AN,MID(X$1,1,2),FALSE)</f>
        <v>0</v>
      </c>
      <c r="Y2124" s="55">
        <f>VLOOKUP($E2124,'NI-Soc_SP'!$C:$AN,MID(Y$1,1,2),FALSE)</f>
        <v>0</v>
      </c>
      <c r="Z2124" s="55">
        <f>VLOOKUP($E2124,'NI-Soc_SP'!$C:$AN,MID(Z$1,1,2),FALSE)</f>
        <v>0</v>
      </c>
      <c r="AA2124" s="55">
        <f>VLOOKUP($E2124,'NI-Soc_SP'!$C:$AN,MID(AA$1,1,2),FALSE)</f>
        <v>0</v>
      </c>
      <c r="AB2124" s="55">
        <f>VLOOKUP($E2124,'NI-Soc_SP'!$C:$AN,MID(AB$1,1,2),FALSE)</f>
        <v>0</v>
      </c>
      <c r="AC2124" s="55">
        <f>VLOOKUP($E2124,'NI-Soc_SP'!$C:$AN,MID(AC$1,1,2),FALSE)</f>
        <v>0</v>
      </c>
      <c r="AD2124" s="55">
        <f>VLOOKUP($E2124,'NI-Soc_SP'!$C:$AN,MID(AD$1,1,2),FALSE)</f>
        <v>0</v>
      </c>
      <c r="AE2124" s="55">
        <f>VLOOKUP($E2124,'NI-Soc_SP'!$C:$AN,MID(AE$1,1,2),FALSE)</f>
        <v>0</v>
      </c>
      <c r="AF2124" s="55">
        <f>VLOOKUP($E2124,'NI-Soc_SP'!$C:$AN,MID(AF$1,1,2),FALSE)</f>
        <v>0</v>
      </c>
      <c r="AG2124" s="55">
        <f>VLOOKUP($E2124,'NI-Soc_SP'!$C:$AN,MID(AG$1,1,2),FALSE)</f>
        <v>0</v>
      </c>
      <c r="AH2124" s="55">
        <f>VLOOKUP($E2124,'NI-Soc_SP'!$C:$AN,MID(AH$1,1,2),FALSE)</f>
        <v>0</v>
      </c>
      <c r="AI2124" s="55">
        <f>VLOOKUP($E2124,'NI-Soc_SP'!$C:$AN,MID(AI$1,1,2),FALSE)</f>
        <v>0</v>
      </c>
      <c r="AJ2124" s="55">
        <f>VLOOKUP($E2124,'NI-Soc_SP'!$C:$AN,MID(AJ$1,1,2),FALSE)</f>
        <v>0</v>
      </c>
      <c r="AK2124" s="55">
        <f>VLOOKUP($E2124,'NI-Soc_SP'!$C:$AN,MID(AK$1,1,2),FALSE)</f>
        <v>0</v>
      </c>
      <c r="AL2124" s="55">
        <f>VLOOKUP($E2124,'NI-Soc_SP'!$C:$AN,MID(AL$1,1,2),FALSE)</f>
        <v>0</v>
      </c>
      <c r="AM2124" s="56">
        <f>VLOOKUP($E2124,'NI-Soc_SP'!$C:$AN,MID(AM$1,1,2),FALSE)</f>
        <v>0</v>
      </c>
      <c r="AN2124" s="30" t="str">
        <f t="shared" si="33"/>
        <v>71102000000000</v>
      </c>
    </row>
    <row r="2125" spans="1:40" x14ac:dyDescent="0.25">
      <c r="C2125" s="40"/>
      <c r="D2125" s="121" t="s">
        <v>2598</v>
      </c>
      <c r="E2125" s="121" t="s">
        <v>2599</v>
      </c>
      <c r="F2125" s="122" t="s">
        <v>2758</v>
      </c>
      <c r="G2125" s="65"/>
      <c r="H2125" s="52"/>
      <c r="I2125" s="52"/>
      <c r="J2125" s="52"/>
      <c r="K2125" s="59" t="s">
        <v>79</v>
      </c>
      <c r="L2125" s="52"/>
      <c r="M2125" s="52"/>
      <c r="N2125" s="52"/>
      <c r="O2125" s="52"/>
      <c r="P2125" s="107" t="s">
        <v>2600</v>
      </c>
      <c r="Q2125" s="55">
        <f>VLOOKUP(E2125,'NI-Soc_SP'!$C:$AN,12,FALSE)</f>
        <v>0</v>
      </c>
      <c r="R2125" s="55">
        <f>VLOOKUP(E2125,'NI-Soc_SP'!$C:$AN,13,FALSE)</f>
        <v>0</v>
      </c>
      <c r="S2125" s="55">
        <f>VLOOKUP(E2125,'NI-Soc_SP'!$C:$AN,30,FALSE)</f>
        <v>0</v>
      </c>
      <c r="T2125" s="94">
        <f>VLOOKUP(E2125,'NI-Soc_SP'!$C:$AN,31,FALSE)+VLOOKUP(E2125,'NI-Soc_SP'!$C:$AN,32,FALSE)</f>
        <v>0</v>
      </c>
      <c r="U2125" s="55">
        <f>VLOOKUP($E2125,'NI-Soc_SP'!$C:$AN,MID(U$1,1,2),FALSE)</f>
        <v>0</v>
      </c>
      <c r="V2125" s="55">
        <f>VLOOKUP($E2125,'NI-Soc_SP'!$C:$AN,MID(V$1,1,2),FALSE)</f>
        <v>0</v>
      </c>
      <c r="W2125" s="55">
        <f>VLOOKUP($E2125,'NI-Soc_SP'!$C:$AN,MID(W$1,1,2),FALSE)</f>
        <v>0</v>
      </c>
      <c r="X2125" s="55">
        <f>VLOOKUP($E2125,'NI-Soc_SP'!$C:$AN,MID(X$1,1,2),FALSE)</f>
        <v>0</v>
      </c>
      <c r="Y2125" s="55">
        <f>VLOOKUP($E2125,'NI-Soc_SP'!$C:$AN,MID(Y$1,1,2),FALSE)</f>
        <v>0</v>
      </c>
      <c r="Z2125" s="55">
        <f>VLOOKUP($E2125,'NI-Soc_SP'!$C:$AN,MID(Z$1,1,2),FALSE)</f>
        <v>0</v>
      </c>
      <c r="AA2125" s="55">
        <f>VLOOKUP($E2125,'NI-Soc_SP'!$C:$AN,MID(AA$1,1,2),FALSE)</f>
        <v>0</v>
      </c>
      <c r="AB2125" s="55">
        <f>VLOOKUP($E2125,'NI-Soc_SP'!$C:$AN,MID(AB$1,1,2),FALSE)</f>
        <v>0</v>
      </c>
      <c r="AC2125" s="55">
        <f>VLOOKUP($E2125,'NI-Soc_SP'!$C:$AN,MID(AC$1,1,2),FALSE)</f>
        <v>0</v>
      </c>
      <c r="AD2125" s="55">
        <f>VLOOKUP($E2125,'NI-Soc_SP'!$C:$AN,MID(AD$1,1,2),FALSE)</f>
        <v>0</v>
      </c>
      <c r="AE2125" s="55">
        <f>VLOOKUP($E2125,'NI-Soc_SP'!$C:$AN,MID(AE$1,1,2),FALSE)</f>
        <v>0</v>
      </c>
      <c r="AF2125" s="55">
        <f>VLOOKUP($E2125,'NI-Soc_SP'!$C:$AN,MID(AF$1,1,2),FALSE)</f>
        <v>0</v>
      </c>
      <c r="AG2125" s="55">
        <f>VLOOKUP($E2125,'NI-Soc_SP'!$C:$AN,MID(AG$1,1,2),FALSE)</f>
        <v>0</v>
      </c>
      <c r="AH2125" s="55">
        <f>VLOOKUP($E2125,'NI-Soc_SP'!$C:$AN,MID(AH$1,1,2),FALSE)</f>
        <v>0</v>
      </c>
      <c r="AI2125" s="55">
        <f>VLOOKUP($E2125,'NI-Soc_SP'!$C:$AN,MID(AI$1,1,2),FALSE)</f>
        <v>0</v>
      </c>
      <c r="AJ2125" s="55">
        <f>VLOOKUP($E2125,'NI-Soc_SP'!$C:$AN,MID(AJ$1,1,2),FALSE)</f>
        <v>0</v>
      </c>
      <c r="AK2125" s="55">
        <f>VLOOKUP($E2125,'NI-Soc_SP'!$C:$AN,MID(AK$1,1,2),FALSE)</f>
        <v>0</v>
      </c>
      <c r="AL2125" s="55">
        <f>VLOOKUP($E2125,'NI-Soc_SP'!$C:$AN,MID(AL$1,1,2),FALSE)</f>
        <v>0</v>
      </c>
      <c r="AM2125" s="56">
        <f>VLOOKUP($E2125,'NI-Soc_SP'!$C:$AN,MID(AM$1,1,2),FALSE)</f>
        <v>0</v>
      </c>
      <c r="AN2125" s="30" t="str">
        <f t="shared" si="33"/>
        <v>71102010000000</v>
      </c>
    </row>
    <row r="2126" spans="1:40" x14ac:dyDescent="0.25">
      <c r="C2126" s="40"/>
      <c r="D2126" s="121" t="s">
        <v>2601</v>
      </c>
      <c r="E2126" s="121" t="s">
        <v>2602</v>
      </c>
      <c r="F2126" s="122" t="s">
        <v>2758</v>
      </c>
      <c r="G2126" s="65"/>
      <c r="H2126" s="52"/>
      <c r="I2126" s="52"/>
      <c r="J2126" s="52"/>
      <c r="K2126" s="59" t="s">
        <v>79</v>
      </c>
      <c r="L2126" s="52"/>
      <c r="M2126" s="52"/>
      <c r="N2126" s="52"/>
      <c r="O2126" s="52"/>
      <c r="P2126" s="107" t="s">
        <v>2603</v>
      </c>
      <c r="Q2126" s="55">
        <f>VLOOKUP(E2126,'NI-Soc_SP'!$C:$AN,12,FALSE)</f>
        <v>0</v>
      </c>
      <c r="R2126" s="55">
        <f>VLOOKUP(E2126,'NI-Soc_SP'!$C:$AN,13,FALSE)</f>
        <v>0</v>
      </c>
      <c r="S2126" s="55">
        <f>VLOOKUP(E2126,'NI-Soc_SP'!$C:$AN,30,FALSE)</f>
        <v>0</v>
      </c>
      <c r="T2126" s="94">
        <f>VLOOKUP(E2126,'NI-Soc_SP'!$C:$AN,31,FALSE)+VLOOKUP(E2126,'NI-Soc_SP'!$C:$AN,32,FALSE)</f>
        <v>0</v>
      </c>
      <c r="U2126" s="55">
        <f>VLOOKUP($E2126,'NI-Soc_SP'!$C:$AN,MID(U$1,1,2),FALSE)</f>
        <v>0</v>
      </c>
      <c r="V2126" s="55">
        <f>VLOOKUP($E2126,'NI-Soc_SP'!$C:$AN,MID(V$1,1,2),FALSE)</f>
        <v>0</v>
      </c>
      <c r="W2126" s="55">
        <f>VLOOKUP($E2126,'NI-Soc_SP'!$C:$AN,MID(W$1,1,2),FALSE)</f>
        <v>0</v>
      </c>
      <c r="X2126" s="55">
        <f>VLOOKUP($E2126,'NI-Soc_SP'!$C:$AN,MID(X$1,1,2),FALSE)</f>
        <v>0</v>
      </c>
      <c r="Y2126" s="55">
        <f>VLOOKUP($E2126,'NI-Soc_SP'!$C:$AN,MID(Y$1,1,2),FALSE)</f>
        <v>0</v>
      </c>
      <c r="Z2126" s="55">
        <f>VLOOKUP($E2126,'NI-Soc_SP'!$C:$AN,MID(Z$1,1,2),FALSE)</f>
        <v>0</v>
      </c>
      <c r="AA2126" s="55">
        <f>VLOOKUP($E2126,'NI-Soc_SP'!$C:$AN,MID(AA$1,1,2),FALSE)</f>
        <v>0</v>
      </c>
      <c r="AB2126" s="55">
        <f>VLOOKUP($E2126,'NI-Soc_SP'!$C:$AN,MID(AB$1,1,2),FALSE)</f>
        <v>0</v>
      </c>
      <c r="AC2126" s="55">
        <f>VLOOKUP($E2126,'NI-Soc_SP'!$C:$AN,MID(AC$1,1,2),FALSE)</f>
        <v>0</v>
      </c>
      <c r="AD2126" s="55">
        <f>VLOOKUP($E2126,'NI-Soc_SP'!$C:$AN,MID(AD$1,1,2),FALSE)</f>
        <v>0</v>
      </c>
      <c r="AE2126" s="55">
        <f>VLOOKUP($E2126,'NI-Soc_SP'!$C:$AN,MID(AE$1,1,2),FALSE)</f>
        <v>0</v>
      </c>
      <c r="AF2126" s="55">
        <f>VLOOKUP($E2126,'NI-Soc_SP'!$C:$AN,MID(AF$1,1,2),FALSE)</f>
        <v>0</v>
      </c>
      <c r="AG2126" s="55">
        <f>VLOOKUP($E2126,'NI-Soc_SP'!$C:$AN,MID(AG$1,1,2),FALSE)</f>
        <v>0</v>
      </c>
      <c r="AH2126" s="55">
        <f>VLOOKUP($E2126,'NI-Soc_SP'!$C:$AN,MID(AH$1,1,2),FALSE)</f>
        <v>0</v>
      </c>
      <c r="AI2126" s="55">
        <f>VLOOKUP($E2126,'NI-Soc_SP'!$C:$AN,MID(AI$1,1,2),FALSE)</f>
        <v>0</v>
      </c>
      <c r="AJ2126" s="55">
        <f>VLOOKUP($E2126,'NI-Soc_SP'!$C:$AN,MID(AJ$1,1,2),FALSE)</f>
        <v>0</v>
      </c>
      <c r="AK2126" s="55">
        <f>VLOOKUP($E2126,'NI-Soc_SP'!$C:$AN,MID(AK$1,1,2),FALSE)</f>
        <v>0</v>
      </c>
      <c r="AL2126" s="55">
        <f>VLOOKUP($E2126,'NI-Soc_SP'!$C:$AN,MID(AL$1,1,2),FALSE)</f>
        <v>0</v>
      </c>
      <c r="AM2126" s="56">
        <f>VLOOKUP($E2126,'NI-Soc_SP'!$C:$AN,MID(AM$1,1,2),FALSE)</f>
        <v>0</v>
      </c>
      <c r="AN2126" s="30" t="str">
        <f t="shared" si="33"/>
        <v>71102020000000</v>
      </c>
    </row>
    <row r="2127" spans="1:40" x14ac:dyDescent="0.25">
      <c r="C2127" s="40"/>
      <c r="D2127" s="121" t="s">
        <v>2604</v>
      </c>
      <c r="E2127" s="121" t="s">
        <v>2605</v>
      </c>
      <c r="F2127" s="122" t="s">
        <v>2758</v>
      </c>
      <c r="G2127" s="65"/>
      <c r="H2127" s="52"/>
      <c r="I2127" s="52"/>
      <c r="J2127" s="52"/>
      <c r="K2127" s="59" t="s">
        <v>79</v>
      </c>
      <c r="L2127" s="52"/>
      <c r="M2127" s="52"/>
      <c r="N2127" s="52"/>
      <c r="O2127" s="52"/>
      <c r="P2127" s="107" t="s">
        <v>2606</v>
      </c>
      <c r="Q2127" s="55">
        <f>VLOOKUP(E2127,'NI-Soc_SP'!$C:$AN,12,FALSE)</f>
        <v>0</v>
      </c>
      <c r="R2127" s="55">
        <f>VLOOKUP(E2127,'NI-Soc_SP'!$C:$AN,13,FALSE)</f>
        <v>0</v>
      </c>
      <c r="S2127" s="55">
        <f>VLOOKUP(E2127,'NI-Soc_SP'!$C:$AN,30,FALSE)</f>
        <v>0</v>
      </c>
      <c r="T2127" s="94">
        <f>VLOOKUP(E2127,'NI-Soc_SP'!$C:$AN,31,FALSE)+VLOOKUP(E2127,'NI-Soc_SP'!$C:$AN,32,FALSE)</f>
        <v>0</v>
      </c>
      <c r="U2127" s="55">
        <f>VLOOKUP($E2127,'NI-Soc_SP'!$C:$AN,MID(U$1,1,2),FALSE)</f>
        <v>0</v>
      </c>
      <c r="V2127" s="55">
        <f>VLOOKUP($E2127,'NI-Soc_SP'!$C:$AN,MID(V$1,1,2),FALSE)</f>
        <v>0</v>
      </c>
      <c r="W2127" s="55">
        <f>VLOOKUP($E2127,'NI-Soc_SP'!$C:$AN,MID(W$1,1,2),FALSE)</f>
        <v>0</v>
      </c>
      <c r="X2127" s="55">
        <f>VLOOKUP($E2127,'NI-Soc_SP'!$C:$AN,MID(X$1,1,2),FALSE)</f>
        <v>0</v>
      </c>
      <c r="Y2127" s="55">
        <f>VLOOKUP($E2127,'NI-Soc_SP'!$C:$AN,MID(Y$1,1,2),FALSE)</f>
        <v>0</v>
      </c>
      <c r="Z2127" s="55">
        <f>VLOOKUP($E2127,'NI-Soc_SP'!$C:$AN,MID(Z$1,1,2),FALSE)</f>
        <v>0</v>
      </c>
      <c r="AA2127" s="55">
        <f>VLOOKUP($E2127,'NI-Soc_SP'!$C:$AN,MID(AA$1,1,2),FALSE)</f>
        <v>0</v>
      </c>
      <c r="AB2127" s="55">
        <f>VLOOKUP($E2127,'NI-Soc_SP'!$C:$AN,MID(AB$1,1,2),FALSE)</f>
        <v>0</v>
      </c>
      <c r="AC2127" s="55">
        <f>VLOOKUP($E2127,'NI-Soc_SP'!$C:$AN,MID(AC$1,1,2),FALSE)</f>
        <v>0</v>
      </c>
      <c r="AD2127" s="55">
        <f>VLOOKUP($E2127,'NI-Soc_SP'!$C:$AN,MID(AD$1,1,2),FALSE)</f>
        <v>0</v>
      </c>
      <c r="AE2127" s="55">
        <f>VLOOKUP($E2127,'NI-Soc_SP'!$C:$AN,MID(AE$1,1,2),FALSE)</f>
        <v>0</v>
      </c>
      <c r="AF2127" s="55">
        <f>VLOOKUP($E2127,'NI-Soc_SP'!$C:$AN,MID(AF$1,1,2),FALSE)</f>
        <v>0</v>
      </c>
      <c r="AG2127" s="55">
        <f>VLOOKUP($E2127,'NI-Soc_SP'!$C:$AN,MID(AG$1,1,2),FALSE)</f>
        <v>0</v>
      </c>
      <c r="AH2127" s="55">
        <f>VLOOKUP($E2127,'NI-Soc_SP'!$C:$AN,MID(AH$1,1,2),FALSE)</f>
        <v>0</v>
      </c>
      <c r="AI2127" s="55">
        <f>VLOOKUP($E2127,'NI-Soc_SP'!$C:$AN,MID(AI$1,1,2),FALSE)</f>
        <v>0</v>
      </c>
      <c r="AJ2127" s="55">
        <f>VLOOKUP($E2127,'NI-Soc_SP'!$C:$AN,MID(AJ$1,1,2),FALSE)</f>
        <v>0</v>
      </c>
      <c r="AK2127" s="55">
        <f>VLOOKUP($E2127,'NI-Soc_SP'!$C:$AN,MID(AK$1,1,2),FALSE)</f>
        <v>0</v>
      </c>
      <c r="AL2127" s="55">
        <f>VLOOKUP($E2127,'NI-Soc_SP'!$C:$AN,MID(AL$1,1,2),FALSE)</f>
        <v>0</v>
      </c>
      <c r="AM2127" s="56">
        <f>VLOOKUP($E2127,'NI-Soc_SP'!$C:$AN,MID(AM$1,1,2),FALSE)</f>
        <v>0</v>
      </c>
      <c r="AN2127" s="30" t="str">
        <f t="shared" si="33"/>
        <v>71102030000000</v>
      </c>
    </row>
    <row r="2128" spans="1:40" x14ac:dyDescent="0.25">
      <c r="C2128" s="40"/>
      <c r="D2128" s="121" t="s">
        <v>2607</v>
      </c>
      <c r="E2128" s="121" t="s">
        <v>2608</v>
      </c>
      <c r="F2128" s="122" t="s">
        <v>2758</v>
      </c>
      <c r="G2128" s="65"/>
      <c r="H2128" s="52"/>
      <c r="I2128" s="52"/>
      <c r="J2128" s="52"/>
      <c r="K2128" s="59" t="s">
        <v>79</v>
      </c>
      <c r="L2128" s="52"/>
      <c r="M2128" s="52"/>
      <c r="N2128" s="52"/>
      <c r="O2128" s="52"/>
      <c r="P2128" s="107" t="s">
        <v>2609</v>
      </c>
      <c r="Q2128" s="55">
        <f>VLOOKUP(E2128,'NI-Soc_SP'!$C:$AN,12,FALSE)</f>
        <v>0</v>
      </c>
      <c r="R2128" s="55">
        <f>VLOOKUP(E2128,'NI-Soc_SP'!$C:$AN,13,FALSE)</f>
        <v>0</v>
      </c>
      <c r="S2128" s="55">
        <f>VLOOKUP(E2128,'NI-Soc_SP'!$C:$AN,30,FALSE)</f>
        <v>0</v>
      </c>
      <c r="T2128" s="94">
        <f>VLOOKUP(E2128,'NI-Soc_SP'!$C:$AN,31,FALSE)+VLOOKUP(E2128,'NI-Soc_SP'!$C:$AN,32,FALSE)</f>
        <v>0</v>
      </c>
      <c r="U2128" s="55">
        <f>VLOOKUP($E2128,'NI-Soc_SP'!$C:$AN,MID(U$1,1,2),FALSE)</f>
        <v>0</v>
      </c>
      <c r="V2128" s="55">
        <f>VLOOKUP($E2128,'NI-Soc_SP'!$C:$AN,MID(V$1,1,2),FALSE)</f>
        <v>0</v>
      </c>
      <c r="W2128" s="55">
        <f>VLOOKUP($E2128,'NI-Soc_SP'!$C:$AN,MID(W$1,1,2),FALSE)</f>
        <v>0</v>
      </c>
      <c r="X2128" s="55">
        <f>VLOOKUP($E2128,'NI-Soc_SP'!$C:$AN,MID(X$1,1,2),FALSE)</f>
        <v>0</v>
      </c>
      <c r="Y2128" s="55">
        <f>VLOOKUP($E2128,'NI-Soc_SP'!$C:$AN,MID(Y$1,1,2),FALSE)</f>
        <v>0</v>
      </c>
      <c r="Z2128" s="55">
        <f>VLOOKUP($E2128,'NI-Soc_SP'!$C:$AN,MID(Z$1,1,2),FALSE)</f>
        <v>0</v>
      </c>
      <c r="AA2128" s="55">
        <f>VLOOKUP($E2128,'NI-Soc_SP'!$C:$AN,MID(AA$1,1,2),FALSE)</f>
        <v>0</v>
      </c>
      <c r="AB2128" s="55">
        <f>VLOOKUP($E2128,'NI-Soc_SP'!$C:$AN,MID(AB$1,1,2),FALSE)</f>
        <v>0</v>
      </c>
      <c r="AC2128" s="55">
        <f>VLOOKUP($E2128,'NI-Soc_SP'!$C:$AN,MID(AC$1,1,2),FALSE)</f>
        <v>0</v>
      </c>
      <c r="AD2128" s="55">
        <f>VLOOKUP($E2128,'NI-Soc_SP'!$C:$AN,MID(AD$1,1,2),FALSE)</f>
        <v>0</v>
      </c>
      <c r="AE2128" s="55">
        <f>VLOOKUP($E2128,'NI-Soc_SP'!$C:$AN,MID(AE$1,1,2),FALSE)</f>
        <v>0</v>
      </c>
      <c r="AF2128" s="55">
        <f>VLOOKUP($E2128,'NI-Soc_SP'!$C:$AN,MID(AF$1,1,2),FALSE)</f>
        <v>0</v>
      </c>
      <c r="AG2128" s="55">
        <f>VLOOKUP($E2128,'NI-Soc_SP'!$C:$AN,MID(AG$1,1,2),FALSE)</f>
        <v>0</v>
      </c>
      <c r="AH2128" s="55">
        <f>VLOOKUP($E2128,'NI-Soc_SP'!$C:$AN,MID(AH$1,1,2),FALSE)</f>
        <v>0</v>
      </c>
      <c r="AI2128" s="55">
        <f>VLOOKUP($E2128,'NI-Soc_SP'!$C:$AN,MID(AI$1,1,2),FALSE)</f>
        <v>0</v>
      </c>
      <c r="AJ2128" s="55">
        <f>VLOOKUP($E2128,'NI-Soc_SP'!$C:$AN,MID(AJ$1,1,2),FALSE)</f>
        <v>0</v>
      </c>
      <c r="AK2128" s="55">
        <f>VLOOKUP($E2128,'NI-Soc_SP'!$C:$AN,MID(AK$1,1,2),FALSE)</f>
        <v>0</v>
      </c>
      <c r="AL2128" s="55">
        <f>VLOOKUP($E2128,'NI-Soc_SP'!$C:$AN,MID(AL$1,1,2),FALSE)</f>
        <v>0</v>
      </c>
      <c r="AM2128" s="56">
        <f>VLOOKUP($E2128,'NI-Soc_SP'!$C:$AN,MID(AM$1,1,2),FALSE)</f>
        <v>0</v>
      </c>
      <c r="AN2128" s="30" t="str">
        <f t="shared" si="33"/>
        <v>71102040000000</v>
      </c>
    </row>
    <row r="2129" spans="3:40" x14ac:dyDescent="0.25">
      <c r="C2129" s="40"/>
      <c r="D2129" s="121" t="s">
        <v>2610</v>
      </c>
      <c r="E2129" s="121" t="s">
        <v>2611</v>
      </c>
      <c r="F2129" s="122" t="s">
        <v>2758</v>
      </c>
      <c r="G2129" s="52"/>
      <c r="H2129" s="52"/>
      <c r="I2129" s="52"/>
      <c r="J2129" s="52"/>
      <c r="K2129" s="59" t="s">
        <v>79</v>
      </c>
      <c r="L2129" s="52"/>
      <c r="M2129" s="52"/>
      <c r="N2129" s="52"/>
      <c r="O2129" s="52"/>
      <c r="P2129" s="107" t="s">
        <v>2612</v>
      </c>
      <c r="Q2129" s="55">
        <f>VLOOKUP(E2129,'NI-Soc_SP'!$C:$AN,12,FALSE)</f>
        <v>0</v>
      </c>
      <c r="R2129" s="55">
        <f>VLOOKUP(E2129,'NI-Soc_SP'!$C:$AN,13,FALSE)</f>
        <v>0</v>
      </c>
      <c r="S2129" s="55">
        <f>VLOOKUP(E2129,'NI-Soc_SP'!$C:$AN,30,FALSE)</f>
        <v>0</v>
      </c>
      <c r="T2129" s="94">
        <f>VLOOKUP(E2129,'NI-Soc_SP'!$C:$AN,31,FALSE)+VLOOKUP(E2129,'NI-Soc_SP'!$C:$AN,32,FALSE)</f>
        <v>0</v>
      </c>
      <c r="U2129" s="55">
        <f>VLOOKUP($E2129,'NI-Soc_SP'!$C:$AN,MID(U$1,1,2),FALSE)</f>
        <v>0</v>
      </c>
      <c r="V2129" s="55">
        <f>VLOOKUP($E2129,'NI-Soc_SP'!$C:$AN,MID(V$1,1,2),FALSE)</f>
        <v>0</v>
      </c>
      <c r="W2129" s="55">
        <f>VLOOKUP($E2129,'NI-Soc_SP'!$C:$AN,MID(W$1,1,2),FALSE)</f>
        <v>0</v>
      </c>
      <c r="X2129" s="55">
        <f>VLOOKUP($E2129,'NI-Soc_SP'!$C:$AN,MID(X$1,1,2),FALSE)</f>
        <v>0</v>
      </c>
      <c r="Y2129" s="55">
        <f>VLOOKUP($E2129,'NI-Soc_SP'!$C:$AN,MID(Y$1,1,2),FALSE)</f>
        <v>0</v>
      </c>
      <c r="Z2129" s="55">
        <f>VLOOKUP($E2129,'NI-Soc_SP'!$C:$AN,MID(Z$1,1,2),FALSE)</f>
        <v>0</v>
      </c>
      <c r="AA2129" s="55">
        <f>VLOOKUP($E2129,'NI-Soc_SP'!$C:$AN,MID(AA$1,1,2),FALSE)</f>
        <v>0</v>
      </c>
      <c r="AB2129" s="55">
        <f>VLOOKUP($E2129,'NI-Soc_SP'!$C:$AN,MID(AB$1,1,2),FALSE)</f>
        <v>0</v>
      </c>
      <c r="AC2129" s="55">
        <f>VLOOKUP($E2129,'NI-Soc_SP'!$C:$AN,MID(AC$1,1,2),FALSE)</f>
        <v>0</v>
      </c>
      <c r="AD2129" s="55">
        <f>VLOOKUP($E2129,'NI-Soc_SP'!$C:$AN,MID(AD$1,1,2),FALSE)</f>
        <v>0</v>
      </c>
      <c r="AE2129" s="55">
        <f>VLOOKUP($E2129,'NI-Soc_SP'!$C:$AN,MID(AE$1,1,2),FALSE)</f>
        <v>0</v>
      </c>
      <c r="AF2129" s="55">
        <f>VLOOKUP($E2129,'NI-Soc_SP'!$C:$AN,MID(AF$1,1,2),FALSE)</f>
        <v>0</v>
      </c>
      <c r="AG2129" s="55">
        <f>VLOOKUP($E2129,'NI-Soc_SP'!$C:$AN,MID(AG$1,1,2),FALSE)</f>
        <v>0</v>
      </c>
      <c r="AH2129" s="55">
        <f>VLOOKUP($E2129,'NI-Soc_SP'!$C:$AN,MID(AH$1,1,2),FALSE)</f>
        <v>0</v>
      </c>
      <c r="AI2129" s="55">
        <f>VLOOKUP($E2129,'NI-Soc_SP'!$C:$AN,MID(AI$1,1,2),FALSE)</f>
        <v>0</v>
      </c>
      <c r="AJ2129" s="55">
        <f>VLOOKUP($E2129,'NI-Soc_SP'!$C:$AN,MID(AJ$1,1,2),FALSE)</f>
        <v>0</v>
      </c>
      <c r="AK2129" s="55">
        <f>VLOOKUP($E2129,'NI-Soc_SP'!$C:$AN,MID(AK$1,1,2),FALSE)</f>
        <v>0</v>
      </c>
      <c r="AL2129" s="55">
        <f>VLOOKUP($E2129,'NI-Soc_SP'!$C:$AN,MID(AL$1,1,2),FALSE)</f>
        <v>0</v>
      </c>
      <c r="AM2129" s="56">
        <f>VLOOKUP($E2129,'NI-Soc_SP'!$C:$AN,MID(AM$1,1,2),FALSE)</f>
        <v>0</v>
      </c>
      <c r="AN2129" s="30" t="str">
        <f t="shared" si="33"/>
        <v>71102050000000</v>
      </c>
    </row>
    <row r="2130" spans="3:40" x14ac:dyDescent="0.25">
      <c r="C2130" s="40"/>
      <c r="D2130" s="121" t="s">
        <v>2613</v>
      </c>
      <c r="E2130" s="121" t="s">
        <v>2614</v>
      </c>
      <c r="F2130" s="122" t="s">
        <v>2758</v>
      </c>
      <c r="G2130" s="52"/>
      <c r="H2130" s="52"/>
      <c r="I2130" s="52"/>
      <c r="J2130" s="52"/>
      <c r="K2130" s="59" t="s">
        <v>79</v>
      </c>
      <c r="L2130" s="52"/>
      <c r="M2130" s="52"/>
      <c r="N2130" s="52"/>
      <c r="O2130" s="52"/>
      <c r="P2130" s="107" t="s">
        <v>2615</v>
      </c>
      <c r="Q2130" s="55">
        <f>VLOOKUP(E2130,'NI-Soc_SP'!$C:$AN,12,FALSE)</f>
        <v>0</v>
      </c>
      <c r="R2130" s="55">
        <f>VLOOKUP(E2130,'NI-Soc_SP'!$C:$AN,13,FALSE)</f>
        <v>0</v>
      </c>
      <c r="S2130" s="55">
        <f>VLOOKUP(E2130,'NI-Soc_SP'!$C:$AN,30,FALSE)</f>
        <v>0</v>
      </c>
      <c r="T2130" s="94">
        <f>VLOOKUP(E2130,'NI-Soc_SP'!$C:$AN,31,FALSE)+VLOOKUP(E2130,'NI-Soc_SP'!$C:$AN,32,FALSE)</f>
        <v>0</v>
      </c>
      <c r="U2130" s="55">
        <f>VLOOKUP($E2130,'NI-Soc_SP'!$C:$AN,MID(U$1,1,2),FALSE)</f>
        <v>0</v>
      </c>
      <c r="V2130" s="55">
        <f>VLOOKUP($E2130,'NI-Soc_SP'!$C:$AN,MID(V$1,1,2),FALSE)</f>
        <v>0</v>
      </c>
      <c r="W2130" s="55">
        <f>VLOOKUP($E2130,'NI-Soc_SP'!$C:$AN,MID(W$1,1,2),FALSE)</f>
        <v>0</v>
      </c>
      <c r="X2130" s="55">
        <f>VLOOKUP($E2130,'NI-Soc_SP'!$C:$AN,MID(X$1,1,2),FALSE)</f>
        <v>0</v>
      </c>
      <c r="Y2130" s="55">
        <f>VLOOKUP($E2130,'NI-Soc_SP'!$C:$AN,MID(Y$1,1,2),FALSE)</f>
        <v>0</v>
      </c>
      <c r="Z2130" s="55">
        <f>VLOOKUP($E2130,'NI-Soc_SP'!$C:$AN,MID(Z$1,1,2),FALSE)</f>
        <v>0</v>
      </c>
      <c r="AA2130" s="55">
        <f>VLOOKUP($E2130,'NI-Soc_SP'!$C:$AN,MID(AA$1,1,2),FALSE)</f>
        <v>0</v>
      </c>
      <c r="AB2130" s="55">
        <f>VLOOKUP($E2130,'NI-Soc_SP'!$C:$AN,MID(AB$1,1,2),FALSE)</f>
        <v>0</v>
      </c>
      <c r="AC2130" s="55">
        <f>VLOOKUP($E2130,'NI-Soc_SP'!$C:$AN,MID(AC$1,1,2),FALSE)</f>
        <v>0</v>
      </c>
      <c r="AD2130" s="55">
        <f>VLOOKUP($E2130,'NI-Soc_SP'!$C:$AN,MID(AD$1,1,2),FALSE)</f>
        <v>0</v>
      </c>
      <c r="AE2130" s="55">
        <f>VLOOKUP($E2130,'NI-Soc_SP'!$C:$AN,MID(AE$1,1,2),FALSE)</f>
        <v>0</v>
      </c>
      <c r="AF2130" s="55">
        <f>VLOOKUP($E2130,'NI-Soc_SP'!$C:$AN,MID(AF$1,1,2),FALSE)</f>
        <v>0</v>
      </c>
      <c r="AG2130" s="55">
        <f>VLOOKUP($E2130,'NI-Soc_SP'!$C:$AN,MID(AG$1,1,2),FALSE)</f>
        <v>0</v>
      </c>
      <c r="AH2130" s="55">
        <f>VLOOKUP($E2130,'NI-Soc_SP'!$C:$AN,MID(AH$1,1,2),FALSE)</f>
        <v>0</v>
      </c>
      <c r="AI2130" s="55">
        <f>VLOOKUP($E2130,'NI-Soc_SP'!$C:$AN,MID(AI$1,1,2),FALSE)</f>
        <v>0</v>
      </c>
      <c r="AJ2130" s="55">
        <f>VLOOKUP($E2130,'NI-Soc_SP'!$C:$AN,MID(AJ$1,1,2),FALSE)</f>
        <v>0</v>
      </c>
      <c r="AK2130" s="55">
        <f>VLOOKUP($E2130,'NI-Soc_SP'!$C:$AN,MID(AK$1,1,2),FALSE)</f>
        <v>0</v>
      </c>
      <c r="AL2130" s="55">
        <f>VLOOKUP($E2130,'NI-Soc_SP'!$C:$AN,MID(AL$1,1,2),FALSE)</f>
        <v>0</v>
      </c>
      <c r="AM2130" s="56">
        <f>VLOOKUP($E2130,'NI-Soc_SP'!$C:$AN,MID(AM$1,1,2),FALSE)</f>
        <v>0</v>
      </c>
      <c r="AN2130" s="30" t="str">
        <f t="shared" si="33"/>
        <v>71102060000000</v>
      </c>
    </row>
    <row r="2131" spans="3:40" x14ac:dyDescent="0.25">
      <c r="C2131" s="40"/>
      <c r="D2131" s="121" t="s">
        <v>2616</v>
      </c>
      <c r="E2131" s="121" t="s">
        <v>2617</v>
      </c>
      <c r="F2131" s="122" t="s">
        <v>2758</v>
      </c>
      <c r="G2131" s="52"/>
      <c r="H2131" s="52"/>
      <c r="I2131" s="52" t="s">
        <v>2618</v>
      </c>
      <c r="J2131" s="52"/>
      <c r="K2131" s="59" t="s">
        <v>79</v>
      </c>
      <c r="L2131" s="52"/>
      <c r="M2131" s="52" t="s">
        <v>2269</v>
      </c>
      <c r="N2131" s="52"/>
      <c r="O2131" s="61" t="s">
        <v>2596</v>
      </c>
      <c r="P2131" s="107" t="s">
        <v>2619</v>
      </c>
      <c r="Q2131" s="55">
        <f>VLOOKUP(E2131,'NI-Soc_SP'!$C:$AN,12,FALSE)</f>
        <v>0</v>
      </c>
      <c r="R2131" s="55">
        <f>VLOOKUP(E2131,'NI-Soc_SP'!$C:$AN,13,FALSE)</f>
        <v>0</v>
      </c>
      <c r="S2131" s="55">
        <f>VLOOKUP(E2131,'NI-Soc_SP'!$C:$AN,30,FALSE)</f>
        <v>0</v>
      </c>
      <c r="T2131" s="94">
        <f>VLOOKUP(E2131,'NI-Soc_SP'!$C:$AN,31,FALSE)+VLOOKUP(E2131,'NI-Soc_SP'!$C:$AN,32,FALSE)</f>
        <v>0</v>
      </c>
      <c r="U2131" s="55">
        <f>VLOOKUP($E2131,'NI-Soc_SP'!$C:$AN,MID(U$1,1,2),FALSE)</f>
        <v>0</v>
      </c>
      <c r="V2131" s="55">
        <f>VLOOKUP($E2131,'NI-Soc_SP'!$C:$AN,MID(V$1,1,2),FALSE)</f>
        <v>0</v>
      </c>
      <c r="W2131" s="55">
        <f>VLOOKUP($E2131,'NI-Soc_SP'!$C:$AN,MID(W$1,1,2),FALSE)</f>
        <v>0</v>
      </c>
      <c r="X2131" s="55">
        <f>VLOOKUP($E2131,'NI-Soc_SP'!$C:$AN,MID(X$1,1,2),FALSE)</f>
        <v>0</v>
      </c>
      <c r="Y2131" s="55">
        <f>VLOOKUP($E2131,'NI-Soc_SP'!$C:$AN,MID(Y$1,1,2),FALSE)</f>
        <v>0</v>
      </c>
      <c r="Z2131" s="55">
        <f>VLOOKUP($E2131,'NI-Soc_SP'!$C:$AN,MID(Z$1,1,2),FALSE)</f>
        <v>0</v>
      </c>
      <c r="AA2131" s="55">
        <f>VLOOKUP($E2131,'NI-Soc_SP'!$C:$AN,MID(AA$1,1,2),FALSE)</f>
        <v>0</v>
      </c>
      <c r="AB2131" s="55">
        <f>VLOOKUP($E2131,'NI-Soc_SP'!$C:$AN,MID(AB$1,1,2),FALSE)</f>
        <v>0</v>
      </c>
      <c r="AC2131" s="55">
        <f>VLOOKUP($E2131,'NI-Soc_SP'!$C:$AN,MID(AC$1,1,2),FALSE)</f>
        <v>0</v>
      </c>
      <c r="AD2131" s="55">
        <f>VLOOKUP($E2131,'NI-Soc_SP'!$C:$AN,MID(AD$1,1,2),FALSE)</f>
        <v>0</v>
      </c>
      <c r="AE2131" s="55">
        <f>VLOOKUP($E2131,'NI-Soc_SP'!$C:$AN,MID(AE$1,1,2),FALSE)</f>
        <v>0</v>
      </c>
      <c r="AF2131" s="55">
        <f>VLOOKUP($E2131,'NI-Soc_SP'!$C:$AN,MID(AF$1,1,2),FALSE)</f>
        <v>0</v>
      </c>
      <c r="AG2131" s="55">
        <f>VLOOKUP($E2131,'NI-Soc_SP'!$C:$AN,MID(AG$1,1,2),FALSE)</f>
        <v>0</v>
      </c>
      <c r="AH2131" s="55">
        <f>VLOOKUP($E2131,'NI-Soc_SP'!$C:$AN,MID(AH$1,1,2),FALSE)</f>
        <v>0</v>
      </c>
      <c r="AI2131" s="55">
        <f>VLOOKUP($E2131,'NI-Soc_SP'!$C:$AN,MID(AI$1,1,2),FALSE)</f>
        <v>0</v>
      </c>
      <c r="AJ2131" s="55">
        <f>VLOOKUP($E2131,'NI-Soc_SP'!$C:$AN,MID(AJ$1,1,2),FALSE)</f>
        <v>0</v>
      </c>
      <c r="AK2131" s="55">
        <f>VLOOKUP($E2131,'NI-Soc_SP'!$C:$AN,MID(AK$1,1,2),FALSE)</f>
        <v>0</v>
      </c>
      <c r="AL2131" s="55">
        <f>VLOOKUP($E2131,'NI-Soc_SP'!$C:$AN,MID(AL$1,1,2),FALSE)</f>
        <v>0</v>
      </c>
      <c r="AM2131" s="56">
        <f>VLOOKUP($E2131,'NI-Soc_SP'!$C:$AN,MID(AM$1,1,2),FALSE)</f>
        <v>0</v>
      </c>
      <c r="AN2131" s="30" t="str">
        <f t="shared" si="33"/>
        <v>71103000000000</v>
      </c>
    </row>
    <row r="2132" spans="3:40" x14ac:dyDescent="0.25">
      <c r="C2132" s="40"/>
      <c r="D2132" s="121" t="s">
        <v>2620</v>
      </c>
      <c r="E2132" s="121" t="s">
        <v>2621</v>
      </c>
      <c r="F2132" s="122" t="s">
        <v>2758</v>
      </c>
      <c r="G2132" s="52"/>
      <c r="H2132" s="52"/>
      <c r="I2132" s="52"/>
      <c r="J2132" s="52"/>
      <c r="K2132" s="59" t="s">
        <v>111</v>
      </c>
      <c r="L2132" s="52"/>
      <c r="M2132" s="52"/>
      <c r="N2132" s="52"/>
      <c r="O2132" s="61"/>
      <c r="P2132" s="107" t="s">
        <v>2623</v>
      </c>
      <c r="Q2132" s="55">
        <f>VLOOKUP(E2132,'NI-Soc_SP'!$C:$AN,12,FALSE)</f>
        <v>0</v>
      </c>
      <c r="R2132" s="55">
        <f>VLOOKUP(E2132,'NI-Soc_SP'!$C:$AN,13,FALSE)</f>
        <v>0</v>
      </c>
      <c r="S2132" s="55">
        <f>VLOOKUP(E2132,'NI-Soc_SP'!$C:$AN,30,FALSE)</f>
        <v>0</v>
      </c>
      <c r="T2132" s="94">
        <f>VLOOKUP(E2132,'NI-Soc_SP'!$C:$AN,31,FALSE)+VLOOKUP(E2132,'NI-Soc_SP'!$C:$AN,32,FALSE)</f>
        <v>0</v>
      </c>
      <c r="U2132" s="55">
        <f>VLOOKUP($E2132,'NI-Soc_SP'!$C:$AN,MID(U$1,1,2),FALSE)</f>
        <v>0</v>
      </c>
      <c r="V2132" s="55">
        <f>VLOOKUP($E2132,'NI-Soc_SP'!$C:$AN,MID(V$1,1,2),FALSE)</f>
        <v>0</v>
      </c>
      <c r="W2132" s="55">
        <f>VLOOKUP($E2132,'NI-Soc_SP'!$C:$AN,MID(W$1,1,2),FALSE)</f>
        <v>0</v>
      </c>
      <c r="X2132" s="55">
        <f>VLOOKUP($E2132,'NI-Soc_SP'!$C:$AN,MID(X$1,1,2),FALSE)</f>
        <v>0</v>
      </c>
      <c r="Y2132" s="55">
        <f>VLOOKUP($E2132,'NI-Soc_SP'!$C:$AN,MID(Y$1,1,2),FALSE)</f>
        <v>0</v>
      </c>
      <c r="Z2132" s="55">
        <f>VLOOKUP($E2132,'NI-Soc_SP'!$C:$AN,MID(Z$1,1,2),FALSE)</f>
        <v>0</v>
      </c>
      <c r="AA2132" s="55">
        <f>VLOOKUP($E2132,'NI-Soc_SP'!$C:$AN,MID(AA$1,1,2),FALSE)</f>
        <v>0</v>
      </c>
      <c r="AB2132" s="55">
        <f>VLOOKUP($E2132,'NI-Soc_SP'!$C:$AN,MID(AB$1,1,2),FALSE)</f>
        <v>0</v>
      </c>
      <c r="AC2132" s="55">
        <f>VLOOKUP($E2132,'NI-Soc_SP'!$C:$AN,MID(AC$1,1,2),FALSE)</f>
        <v>0</v>
      </c>
      <c r="AD2132" s="55">
        <f>VLOOKUP($E2132,'NI-Soc_SP'!$C:$AN,MID(AD$1,1,2),FALSE)</f>
        <v>0</v>
      </c>
      <c r="AE2132" s="55">
        <f>VLOOKUP($E2132,'NI-Soc_SP'!$C:$AN,MID(AE$1,1,2),FALSE)</f>
        <v>0</v>
      </c>
      <c r="AF2132" s="55">
        <f>VLOOKUP($E2132,'NI-Soc_SP'!$C:$AN,MID(AF$1,1,2),FALSE)</f>
        <v>0</v>
      </c>
      <c r="AG2132" s="55">
        <f>VLOOKUP($E2132,'NI-Soc_SP'!$C:$AN,MID(AG$1,1,2),FALSE)</f>
        <v>0</v>
      </c>
      <c r="AH2132" s="55">
        <f>VLOOKUP($E2132,'NI-Soc_SP'!$C:$AN,MID(AH$1,1,2),FALSE)</f>
        <v>0</v>
      </c>
      <c r="AI2132" s="55">
        <f>VLOOKUP($E2132,'NI-Soc_SP'!$C:$AN,MID(AI$1,1,2),FALSE)</f>
        <v>0</v>
      </c>
      <c r="AJ2132" s="55">
        <f>VLOOKUP($E2132,'NI-Soc_SP'!$C:$AN,MID(AJ$1,1,2),FALSE)</f>
        <v>0</v>
      </c>
      <c r="AK2132" s="55">
        <f>VLOOKUP($E2132,'NI-Soc_SP'!$C:$AN,MID(AK$1,1,2),FALSE)</f>
        <v>0</v>
      </c>
      <c r="AL2132" s="55">
        <f>VLOOKUP($E2132,'NI-Soc_SP'!$C:$AN,MID(AL$1,1,2),FALSE)</f>
        <v>0</v>
      </c>
      <c r="AM2132" s="56">
        <f>VLOOKUP($E2132,'NI-Soc_SP'!$C:$AN,MID(AM$1,1,2),FALSE)</f>
        <v>0</v>
      </c>
      <c r="AN2132" s="30" t="str">
        <f t="shared" si="33"/>
        <v>71104000000000</v>
      </c>
    </row>
    <row r="2133" spans="3:40" x14ac:dyDescent="0.25">
      <c r="D2133" s="126" t="s">
        <v>2624</v>
      </c>
      <c r="E2133" s="126" t="s">
        <v>2625</v>
      </c>
      <c r="F2133" s="122" t="s">
        <v>2758</v>
      </c>
      <c r="G2133" s="127"/>
      <c r="H2133" s="127"/>
      <c r="I2133" s="127" t="s">
        <v>2626</v>
      </c>
      <c r="J2133" s="127"/>
      <c r="K2133" s="128" t="s">
        <v>79</v>
      </c>
      <c r="L2133" s="127"/>
      <c r="M2133" s="127" t="s">
        <v>2269</v>
      </c>
      <c r="N2133" s="127"/>
      <c r="O2133" s="61" t="s">
        <v>2596</v>
      </c>
      <c r="P2133" s="129" t="s">
        <v>2627</v>
      </c>
      <c r="Q2133" s="55">
        <f>VLOOKUP(E2133,'NI-Soc_SP'!$C:$AN,12,FALSE)</f>
        <v>0</v>
      </c>
      <c r="R2133" s="55">
        <f>VLOOKUP(E2133,'NI-Soc_SP'!$C:$AN,13,FALSE)</f>
        <v>0</v>
      </c>
      <c r="S2133" s="55">
        <f>VLOOKUP(E2133,'NI-Soc_SP'!$C:$AN,30,FALSE)</f>
        <v>0</v>
      </c>
      <c r="T2133" s="94">
        <f>VLOOKUP(E2133,'NI-Soc_SP'!$C:$AN,31,FALSE)+VLOOKUP(E2133,'NI-Soc_SP'!$C:$AN,32,FALSE)</f>
        <v>0</v>
      </c>
      <c r="U2133" s="55">
        <f>VLOOKUP($E2133,'NI-Soc_SP'!$C:$AN,MID(U$1,1,2),FALSE)</f>
        <v>0</v>
      </c>
      <c r="V2133" s="55">
        <f>VLOOKUP($E2133,'NI-Soc_SP'!$C:$AN,MID(V$1,1,2),FALSE)</f>
        <v>0</v>
      </c>
      <c r="W2133" s="55">
        <f>VLOOKUP($E2133,'NI-Soc_SP'!$C:$AN,MID(W$1,1,2),FALSE)</f>
        <v>0</v>
      </c>
      <c r="X2133" s="55">
        <f>VLOOKUP($E2133,'NI-Soc_SP'!$C:$AN,MID(X$1,1,2),FALSE)</f>
        <v>0</v>
      </c>
      <c r="Y2133" s="55">
        <f>VLOOKUP($E2133,'NI-Soc_SP'!$C:$AN,MID(Y$1,1,2),FALSE)</f>
        <v>0</v>
      </c>
      <c r="Z2133" s="55">
        <f>VLOOKUP($E2133,'NI-Soc_SP'!$C:$AN,MID(Z$1,1,2),FALSE)</f>
        <v>0</v>
      </c>
      <c r="AA2133" s="55">
        <f>VLOOKUP($E2133,'NI-Soc_SP'!$C:$AN,MID(AA$1,1,2),FALSE)</f>
        <v>0</v>
      </c>
      <c r="AB2133" s="55">
        <f>VLOOKUP($E2133,'NI-Soc_SP'!$C:$AN,MID(AB$1,1,2),FALSE)</f>
        <v>0</v>
      </c>
      <c r="AC2133" s="55">
        <f>VLOOKUP($E2133,'NI-Soc_SP'!$C:$AN,MID(AC$1,1,2),FALSE)</f>
        <v>0</v>
      </c>
      <c r="AD2133" s="55">
        <f>VLOOKUP($E2133,'NI-Soc_SP'!$C:$AN,MID(AD$1,1,2),FALSE)</f>
        <v>0</v>
      </c>
      <c r="AE2133" s="55">
        <f>VLOOKUP($E2133,'NI-Soc_SP'!$C:$AN,MID(AE$1,1,2),FALSE)</f>
        <v>0</v>
      </c>
      <c r="AF2133" s="55">
        <f>VLOOKUP($E2133,'NI-Soc_SP'!$C:$AN,MID(AF$1,1,2),FALSE)</f>
        <v>0</v>
      </c>
      <c r="AG2133" s="55">
        <f>VLOOKUP($E2133,'NI-Soc_SP'!$C:$AN,MID(AG$1,1,2),FALSE)</f>
        <v>0</v>
      </c>
      <c r="AH2133" s="55">
        <f>VLOOKUP($E2133,'NI-Soc_SP'!$C:$AN,MID(AH$1,1,2),FALSE)</f>
        <v>0</v>
      </c>
      <c r="AI2133" s="55">
        <f>VLOOKUP($E2133,'NI-Soc_SP'!$C:$AN,MID(AI$1,1,2),FALSE)</f>
        <v>0</v>
      </c>
      <c r="AJ2133" s="55">
        <f>VLOOKUP($E2133,'NI-Soc_SP'!$C:$AN,MID(AJ$1,1,2),FALSE)</f>
        <v>0</v>
      </c>
      <c r="AK2133" s="55">
        <f>VLOOKUP($E2133,'NI-Soc_SP'!$C:$AN,MID(AK$1,1,2),FALSE)</f>
        <v>0</v>
      </c>
      <c r="AL2133" s="55">
        <f>VLOOKUP($E2133,'NI-Soc_SP'!$C:$AN,MID(AL$1,1,2),FALSE)</f>
        <v>0</v>
      </c>
      <c r="AM2133" s="56">
        <f>VLOOKUP($E2133,'NI-Soc_SP'!$C:$AN,MID(AM$1,1,2),FALSE)</f>
        <v>0</v>
      </c>
      <c r="AN2133" s="30" t="str">
        <f t="shared" si="33"/>
        <v>71304010000000</v>
      </c>
    </row>
    <row r="2134" spans="3:40" x14ac:dyDescent="0.25">
      <c r="D2134" s="121" t="s">
        <v>2628</v>
      </c>
      <c r="E2134" s="121" t="s">
        <v>2629</v>
      </c>
      <c r="F2134" s="122" t="s">
        <v>2758</v>
      </c>
      <c r="G2134" s="52"/>
      <c r="H2134" s="52"/>
      <c r="I2134" s="52" t="s">
        <v>2626</v>
      </c>
      <c r="J2134" s="52"/>
      <c r="K2134" s="59" t="s">
        <v>79</v>
      </c>
      <c r="L2134" s="52"/>
      <c r="M2134" s="52" t="s">
        <v>2269</v>
      </c>
      <c r="N2134" s="52"/>
      <c r="O2134" s="61" t="s">
        <v>2596</v>
      </c>
      <c r="P2134" s="107" t="s">
        <v>2630</v>
      </c>
      <c r="Q2134" s="55">
        <f>VLOOKUP(E2134,'NI-Soc_SP'!$C:$AN,12,FALSE)</f>
        <v>0</v>
      </c>
      <c r="R2134" s="55">
        <f>VLOOKUP(E2134,'NI-Soc_SP'!$C:$AN,13,FALSE)</f>
        <v>0</v>
      </c>
      <c r="S2134" s="55">
        <f>VLOOKUP(E2134,'NI-Soc_SP'!$C:$AN,30,FALSE)</f>
        <v>0</v>
      </c>
      <c r="T2134" s="94">
        <f>VLOOKUP(E2134,'NI-Soc_SP'!$C:$AN,31,FALSE)+VLOOKUP(E2134,'NI-Soc_SP'!$C:$AN,32,FALSE)</f>
        <v>0</v>
      </c>
      <c r="U2134" s="55">
        <f>VLOOKUP($E2134,'NI-Soc_SP'!$C:$AN,MID(U$1,1,2),FALSE)</f>
        <v>0</v>
      </c>
      <c r="V2134" s="55">
        <f>VLOOKUP($E2134,'NI-Soc_SP'!$C:$AN,MID(V$1,1,2),FALSE)</f>
        <v>0</v>
      </c>
      <c r="W2134" s="55">
        <f>VLOOKUP($E2134,'NI-Soc_SP'!$C:$AN,MID(W$1,1,2),FALSE)</f>
        <v>0</v>
      </c>
      <c r="X2134" s="55">
        <f>VLOOKUP($E2134,'NI-Soc_SP'!$C:$AN,MID(X$1,1,2),FALSE)</f>
        <v>0</v>
      </c>
      <c r="Y2134" s="55">
        <f>VLOOKUP($E2134,'NI-Soc_SP'!$C:$AN,MID(Y$1,1,2),FALSE)</f>
        <v>0</v>
      </c>
      <c r="Z2134" s="55">
        <f>VLOOKUP($E2134,'NI-Soc_SP'!$C:$AN,MID(Z$1,1,2),FALSE)</f>
        <v>0</v>
      </c>
      <c r="AA2134" s="55">
        <f>VLOOKUP($E2134,'NI-Soc_SP'!$C:$AN,MID(AA$1,1,2),FALSE)</f>
        <v>0</v>
      </c>
      <c r="AB2134" s="55">
        <f>VLOOKUP($E2134,'NI-Soc_SP'!$C:$AN,MID(AB$1,1,2),FALSE)</f>
        <v>0</v>
      </c>
      <c r="AC2134" s="55">
        <f>VLOOKUP($E2134,'NI-Soc_SP'!$C:$AN,MID(AC$1,1,2),FALSE)</f>
        <v>0</v>
      </c>
      <c r="AD2134" s="55">
        <f>VLOOKUP($E2134,'NI-Soc_SP'!$C:$AN,MID(AD$1,1,2),FALSE)</f>
        <v>0</v>
      </c>
      <c r="AE2134" s="55">
        <f>VLOOKUP($E2134,'NI-Soc_SP'!$C:$AN,MID(AE$1,1,2),FALSE)</f>
        <v>0</v>
      </c>
      <c r="AF2134" s="55">
        <f>VLOOKUP($E2134,'NI-Soc_SP'!$C:$AN,MID(AF$1,1,2),FALSE)</f>
        <v>0</v>
      </c>
      <c r="AG2134" s="55">
        <f>VLOOKUP($E2134,'NI-Soc_SP'!$C:$AN,MID(AG$1,1,2),FALSE)</f>
        <v>0</v>
      </c>
      <c r="AH2134" s="55">
        <f>VLOOKUP($E2134,'NI-Soc_SP'!$C:$AN,MID(AH$1,1,2),FALSE)</f>
        <v>0</v>
      </c>
      <c r="AI2134" s="55">
        <f>VLOOKUP($E2134,'NI-Soc_SP'!$C:$AN,MID(AI$1,1,2),FALSE)</f>
        <v>0</v>
      </c>
      <c r="AJ2134" s="55">
        <f>VLOOKUP($E2134,'NI-Soc_SP'!$C:$AN,MID(AJ$1,1,2),FALSE)</f>
        <v>0</v>
      </c>
      <c r="AK2134" s="55">
        <f>VLOOKUP($E2134,'NI-Soc_SP'!$C:$AN,MID(AK$1,1,2),FALSE)</f>
        <v>0</v>
      </c>
      <c r="AL2134" s="55">
        <f>VLOOKUP($E2134,'NI-Soc_SP'!$C:$AN,MID(AL$1,1,2),FALSE)</f>
        <v>0</v>
      </c>
      <c r="AM2134" s="56">
        <f>VLOOKUP($E2134,'NI-Soc_SP'!$C:$AN,MID(AM$1,1,2),FALSE)</f>
        <v>0</v>
      </c>
      <c r="AN2134" s="30" t="str">
        <f t="shared" si="33"/>
        <v>71304020000000</v>
      </c>
    </row>
    <row r="2135" spans="3:40" x14ac:dyDescent="0.25">
      <c r="D2135" s="121" t="s">
        <v>2631</v>
      </c>
      <c r="E2135" s="121" t="s">
        <v>2632</v>
      </c>
      <c r="F2135" s="122" t="s">
        <v>2758</v>
      </c>
      <c r="G2135" s="52"/>
      <c r="H2135" s="52"/>
      <c r="I2135" s="52"/>
      <c r="J2135" s="52"/>
      <c r="K2135" s="59" t="s">
        <v>111</v>
      </c>
      <c r="L2135" s="52"/>
      <c r="M2135" s="52"/>
      <c r="N2135" s="52"/>
      <c r="O2135" s="61"/>
      <c r="P2135" s="107" t="s">
        <v>2633</v>
      </c>
      <c r="Q2135" s="55">
        <f>VLOOKUP(E2135,'NI-Soc_SP'!$C:$AN,12,FALSE)</f>
        <v>0</v>
      </c>
      <c r="R2135" s="55">
        <f>VLOOKUP(E2135,'NI-Soc_SP'!$C:$AN,13,FALSE)</f>
        <v>0</v>
      </c>
      <c r="S2135" s="55">
        <f>VLOOKUP(E2135,'NI-Soc_SP'!$C:$AN,30,FALSE)</f>
        <v>0</v>
      </c>
      <c r="T2135" s="94">
        <f>VLOOKUP(E2135,'NI-Soc_SP'!$C:$AN,31,FALSE)+VLOOKUP(E2135,'NI-Soc_SP'!$C:$AN,32,FALSE)</f>
        <v>0</v>
      </c>
      <c r="U2135" s="55">
        <f>VLOOKUP($E2135,'NI-Soc_SP'!$C:$AN,MID(U$1,1,2),FALSE)</f>
        <v>0</v>
      </c>
      <c r="V2135" s="55">
        <f>VLOOKUP($E2135,'NI-Soc_SP'!$C:$AN,MID(V$1,1,2),FALSE)</f>
        <v>0</v>
      </c>
      <c r="W2135" s="55">
        <f>VLOOKUP($E2135,'NI-Soc_SP'!$C:$AN,MID(W$1,1,2),FALSE)</f>
        <v>0</v>
      </c>
      <c r="X2135" s="55">
        <f>VLOOKUP($E2135,'NI-Soc_SP'!$C:$AN,MID(X$1,1,2),FALSE)</f>
        <v>0</v>
      </c>
      <c r="Y2135" s="55">
        <f>VLOOKUP($E2135,'NI-Soc_SP'!$C:$AN,MID(Y$1,1,2),FALSE)</f>
        <v>0</v>
      </c>
      <c r="Z2135" s="55">
        <f>VLOOKUP($E2135,'NI-Soc_SP'!$C:$AN,MID(Z$1,1,2),FALSE)</f>
        <v>0</v>
      </c>
      <c r="AA2135" s="55">
        <f>VLOOKUP($E2135,'NI-Soc_SP'!$C:$AN,MID(AA$1,1,2),FALSE)</f>
        <v>0</v>
      </c>
      <c r="AB2135" s="55">
        <f>VLOOKUP($E2135,'NI-Soc_SP'!$C:$AN,MID(AB$1,1,2),FALSE)</f>
        <v>0</v>
      </c>
      <c r="AC2135" s="55">
        <f>VLOOKUP($E2135,'NI-Soc_SP'!$C:$AN,MID(AC$1,1,2),FALSE)</f>
        <v>0</v>
      </c>
      <c r="AD2135" s="55">
        <f>VLOOKUP($E2135,'NI-Soc_SP'!$C:$AN,MID(AD$1,1,2),FALSE)</f>
        <v>0</v>
      </c>
      <c r="AE2135" s="55">
        <f>VLOOKUP($E2135,'NI-Soc_SP'!$C:$AN,MID(AE$1,1,2),FALSE)</f>
        <v>0</v>
      </c>
      <c r="AF2135" s="55">
        <f>VLOOKUP($E2135,'NI-Soc_SP'!$C:$AN,MID(AF$1,1,2),FALSE)</f>
        <v>0</v>
      </c>
      <c r="AG2135" s="55">
        <f>VLOOKUP($E2135,'NI-Soc_SP'!$C:$AN,MID(AG$1,1,2),FALSE)</f>
        <v>0</v>
      </c>
      <c r="AH2135" s="55">
        <f>VLOOKUP($E2135,'NI-Soc_SP'!$C:$AN,MID(AH$1,1,2),FALSE)</f>
        <v>0</v>
      </c>
      <c r="AI2135" s="55">
        <f>VLOOKUP($E2135,'NI-Soc_SP'!$C:$AN,MID(AI$1,1,2),FALSE)</f>
        <v>0</v>
      </c>
      <c r="AJ2135" s="55">
        <f>VLOOKUP($E2135,'NI-Soc_SP'!$C:$AN,MID(AJ$1,1,2),FALSE)</f>
        <v>0</v>
      </c>
      <c r="AK2135" s="55">
        <f>VLOOKUP($E2135,'NI-Soc_SP'!$C:$AN,MID(AK$1,1,2),FALSE)</f>
        <v>0</v>
      </c>
      <c r="AL2135" s="55">
        <f>VLOOKUP($E2135,'NI-Soc_SP'!$C:$AN,MID(AL$1,1,2),FALSE)</f>
        <v>0</v>
      </c>
      <c r="AM2135" s="56">
        <f>VLOOKUP($E2135,'NI-Soc_SP'!$C:$AN,MID(AM$1,1,2),FALSE)</f>
        <v>0</v>
      </c>
      <c r="AN2135" s="30" t="str">
        <f t="shared" si="33"/>
        <v>71304030000000</v>
      </c>
    </row>
    <row r="2136" spans="3:40" x14ac:dyDescent="0.25">
      <c r="D2136" s="121" t="s">
        <v>2634</v>
      </c>
      <c r="E2136" s="121" t="s">
        <v>2635</v>
      </c>
      <c r="F2136" s="122" t="s">
        <v>2758</v>
      </c>
      <c r="G2136" s="52" t="s">
        <v>1608</v>
      </c>
      <c r="H2136" s="52"/>
      <c r="I2136" s="52"/>
      <c r="J2136" s="52"/>
      <c r="K2136" s="59" t="s">
        <v>79</v>
      </c>
      <c r="L2136" s="52"/>
      <c r="M2136" s="52"/>
      <c r="N2136" s="52"/>
      <c r="O2136" s="52"/>
      <c r="P2136" s="108" t="s">
        <v>2636</v>
      </c>
      <c r="Q2136" s="55">
        <f>VLOOKUP(E2136,'NI-Soc_SP'!$C:$AN,12,FALSE)</f>
        <v>0</v>
      </c>
      <c r="R2136" s="55">
        <f>VLOOKUP(E2136,'NI-Soc_SP'!$C:$AN,13,FALSE)</f>
        <v>0</v>
      </c>
      <c r="S2136" s="55">
        <f>VLOOKUP(E2136,'NI-Soc_SP'!$C:$AN,30,FALSE)</f>
        <v>0</v>
      </c>
      <c r="T2136" s="94">
        <f>VLOOKUP(E2136,'NI-Soc_SP'!$C:$AN,31,FALSE)+VLOOKUP(E2136,'NI-Soc_SP'!$C:$AN,32,FALSE)</f>
        <v>0</v>
      </c>
      <c r="U2136" s="55">
        <f>VLOOKUP($E2136,'NI-Soc_SP'!$C:$AN,MID(U$1,1,2),FALSE)</f>
        <v>0</v>
      </c>
      <c r="V2136" s="55">
        <f>VLOOKUP($E2136,'NI-Soc_SP'!$C:$AN,MID(V$1,1,2),FALSE)</f>
        <v>0</v>
      </c>
      <c r="W2136" s="55">
        <f>VLOOKUP($E2136,'NI-Soc_SP'!$C:$AN,MID(W$1,1,2),FALSE)</f>
        <v>0</v>
      </c>
      <c r="X2136" s="55">
        <f>VLOOKUP($E2136,'NI-Soc_SP'!$C:$AN,MID(X$1,1,2),FALSE)</f>
        <v>0</v>
      </c>
      <c r="Y2136" s="55">
        <f>VLOOKUP($E2136,'NI-Soc_SP'!$C:$AN,MID(Y$1,1,2),FALSE)</f>
        <v>0</v>
      </c>
      <c r="Z2136" s="55">
        <f>VLOOKUP($E2136,'NI-Soc_SP'!$C:$AN,MID(Z$1,1,2),FALSE)</f>
        <v>0</v>
      </c>
      <c r="AA2136" s="55">
        <f>VLOOKUP($E2136,'NI-Soc_SP'!$C:$AN,MID(AA$1,1,2),FALSE)</f>
        <v>0</v>
      </c>
      <c r="AB2136" s="55">
        <f>VLOOKUP($E2136,'NI-Soc_SP'!$C:$AN,MID(AB$1,1,2),FALSE)</f>
        <v>0</v>
      </c>
      <c r="AC2136" s="55">
        <f>VLOOKUP($E2136,'NI-Soc_SP'!$C:$AN,MID(AC$1,1,2),FALSE)</f>
        <v>0</v>
      </c>
      <c r="AD2136" s="55">
        <f>VLOOKUP($E2136,'NI-Soc_SP'!$C:$AN,MID(AD$1,1,2),FALSE)</f>
        <v>0</v>
      </c>
      <c r="AE2136" s="55">
        <f>VLOOKUP($E2136,'NI-Soc_SP'!$C:$AN,MID(AE$1,1,2),FALSE)</f>
        <v>0</v>
      </c>
      <c r="AF2136" s="55">
        <f>VLOOKUP($E2136,'NI-Soc_SP'!$C:$AN,MID(AF$1,1,2),FALSE)</f>
        <v>0</v>
      </c>
      <c r="AG2136" s="55">
        <f>VLOOKUP($E2136,'NI-Soc_SP'!$C:$AN,MID(AG$1,1,2),FALSE)</f>
        <v>0</v>
      </c>
      <c r="AH2136" s="55">
        <f>VLOOKUP($E2136,'NI-Soc_SP'!$C:$AN,MID(AH$1,1,2),FALSE)</f>
        <v>0</v>
      </c>
      <c r="AI2136" s="55">
        <f>VLOOKUP($E2136,'NI-Soc_SP'!$C:$AN,MID(AI$1,1,2),FALSE)</f>
        <v>0</v>
      </c>
      <c r="AJ2136" s="55">
        <f>VLOOKUP($E2136,'NI-Soc_SP'!$C:$AN,MID(AJ$1,1,2),FALSE)</f>
        <v>0</v>
      </c>
      <c r="AK2136" s="55">
        <f>VLOOKUP($E2136,'NI-Soc_SP'!$C:$AN,MID(AK$1,1,2),FALSE)</f>
        <v>0</v>
      </c>
      <c r="AL2136" s="55">
        <f>VLOOKUP($E2136,'NI-Soc_SP'!$C:$AN,MID(AL$1,1,2),FALSE)</f>
        <v>0</v>
      </c>
      <c r="AM2136" s="56">
        <f>VLOOKUP($E2136,'NI-Soc_SP'!$C:$AN,MID(AM$1,1,2),FALSE)</f>
        <v>0</v>
      </c>
      <c r="AN2136" s="30" t="str">
        <f t="shared" si="33"/>
        <v>71304030010000</v>
      </c>
    </row>
    <row r="2137" spans="3:40" x14ac:dyDescent="0.25">
      <c r="D2137" s="121" t="s">
        <v>2637</v>
      </c>
      <c r="E2137" s="121" t="s">
        <v>2638</v>
      </c>
      <c r="F2137" s="122" t="s">
        <v>2758</v>
      </c>
      <c r="G2137" s="52" t="s">
        <v>1608</v>
      </c>
      <c r="H2137" s="52"/>
      <c r="I2137" s="52"/>
      <c r="J2137" s="52"/>
      <c r="K2137" s="59" t="s">
        <v>79</v>
      </c>
      <c r="L2137" s="52"/>
      <c r="M2137" s="52"/>
      <c r="N2137" s="52"/>
      <c r="O2137" s="52"/>
      <c r="P2137" s="108" t="s">
        <v>2639</v>
      </c>
      <c r="Q2137" s="55">
        <f>VLOOKUP(E2137,'NI-Soc_SP'!$C:$AN,12,FALSE)</f>
        <v>0</v>
      </c>
      <c r="R2137" s="55">
        <f>VLOOKUP(E2137,'NI-Soc_SP'!$C:$AN,13,FALSE)</f>
        <v>0</v>
      </c>
      <c r="S2137" s="55">
        <f>VLOOKUP(E2137,'NI-Soc_SP'!$C:$AN,30,FALSE)</f>
        <v>0</v>
      </c>
      <c r="T2137" s="94">
        <f>VLOOKUP(E2137,'NI-Soc_SP'!$C:$AN,31,FALSE)+VLOOKUP(E2137,'NI-Soc_SP'!$C:$AN,32,FALSE)</f>
        <v>0</v>
      </c>
      <c r="U2137" s="55">
        <f>VLOOKUP($E2137,'NI-Soc_SP'!$C:$AN,MID(U$1,1,2),FALSE)</f>
        <v>0</v>
      </c>
      <c r="V2137" s="55">
        <f>VLOOKUP($E2137,'NI-Soc_SP'!$C:$AN,MID(V$1,1,2),FALSE)</f>
        <v>0</v>
      </c>
      <c r="W2137" s="55">
        <f>VLOOKUP($E2137,'NI-Soc_SP'!$C:$AN,MID(W$1,1,2),FALSE)</f>
        <v>0</v>
      </c>
      <c r="X2137" s="55">
        <f>VLOOKUP($E2137,'NI-Soc_SP'!$C:$AN,MID(X$1,1,2),FALSE)</f>
        <v>0</v>
      </c>
      <c r="Y2137" s="55">
        <f>VLOOKUP($E2137,'NI-Soc_SP'!$C:$AN,MID(Y$1,1,2),FALSE)</f>
        <v>0</v>
      </c>
      <c r="Z2137" s="55">
        <f>VLOOKUP($E2137,'NI-Soc_SP'!$C:$AN,MID(Z$1,1,2),FALSE)</f>
        <v>0</v>
      </c>
      <c r="AA2137" s="55">
        <f>VLOOKUP($E2137,'NI-Soc_SP'!$C:$AN,MID(AA$1,1,2),FALSE)</f>
        <v>0</v>
      </c>
      <c r="AB2137" s="55">
        <f>VLOOKUP($E2137,'NI-Soc_SP'!$C:$AN,MID(AB$1,1,2),FALSE)</f>
        <v>0</v>
      </c>
      <c r="AC2137" s="55">
        <f>VLOOKUP($E2137,'NI-Soc_SP'!$C:$AN,MID(AC$1,1,2),FALSE)</f>
        <v>0</v>
      </c>
      <c r="AD2137" s="55">
        <f>VLOOKUP($E2137,'NI-Soc_SP'!$C:$AN,MID(AD$1,1,2),FALSE)</f>
        <v>0</v>
      </c>
      <c r="AE2137" s="55">
        <f>VLOOKUP($E2137,'NI-Soc_SP'!$C:$AN,MID(AE$1,1,2),FALSE)</f>
        <v>0</v>
      </c>
      <c r="AF2137" s="55">
        <f>VLOOKUP($E2137,'NI-Soc_SP'!$C:$AN,MID(AF$1,1,2),FALSE)</f>
        <v>0</v>
      </c>
      <c r="AG2137" s="55">
        <f>VLOOKUP($E2137,'NI-Soc_SP'!$C:$AN,MID(AG$1,1,2),FALSE)</f>
        <v>0</v>
      </c>
      <c r="AH2137" s="55">
        <f>VLOOKUP($E2137,'NI-Soc_SP'!$C:$AN,MID(AH$1,1,2),FALSE)</f>
        <v>0</v>
      </c>
      <c r="AI2137" s="55">
        <f>VLOOKUP($E2137,'NI-Soc_SP'!$C:$AN,MID(AI$1,1,2),FALSE)</f>
        <v>0</v>
      </c>
      <c r="AJ2137" s="55">
        <f>VLOOKUP($E2137,'NI-Soc_SP'!$C:$AN,MID(AJ$1,1,2),FALSE)</f>
        <v>0</v>
      </c>
      <c r="AK2137" s="55">
        <f>VLOOKUP($E2137,'NI-Soc_SP'!$C:$AN,MID(AK$1,1,2),FALSE)</f>
        <v>0</v>
      </c>
      <c r="AL2137" s="55">
        <f>VLOOKUP($E2137,'NI-Soc_SP'!$C:$AN,MID(AL$1,1,2),FALSE)</f>
        <v>0</v>
      </c>
      <c r="AM2137" s="56">
        <f>VLOOKUP($E2137,'NI-Soc_SP'!$C:$AN,MID(AM$1,1,2),FALSE)</f>
        <v>0</v>
      </c>
      <c r="AN2137" s="30" t="str">
        <f t="shared" si="33"/>
        <v>71304030020000</v>
      </c>
    </row>
    <row r="2138" spans="3:40" x14ac:dyDescent="0.25">
      <c r="D2138" s="121" t="s">
        <v>2640</v>
      </c>
      <c r="E2138" s="121" t="s">
        <v>2641</v>
      </c>
      <c r="F2138" s="122" t="s">
        <v>2758</v>
      </c>
      <c r="G2138" s="52"/>
      <c r="H2138" s="52"/>
      <c r="I2138" s="52"/>
      <c r="J2138" s="52"/>
      <c r="K2138" s="59" t="s">
        <v>79</v>
      </c>
      <c r="L2138" s="52"/>
      <c r="M2138" s="52"/>
      <c r="N2138" s="52"/>
      <c r="O2138" s="52"/>
      <c r="P2138" s="108" t="s">
        <v>2642</v>
      </c>
      <c r="Q2138" s="55">
        <f>VLOOKUP(E2138,'NI-Soc_SP'!$C:$AN,12,FALSE)</f>
        <v>0</v>
      </c>
      <c r="R2138" s="55">
        <f>VLOOKUP(E2138,'NI-Soc_SP'!$C:$AN,13,FALSE)</f>
        <v>0</v>
      </c>
      <c r="S2138" s="55">
        <f>VLOOKUP(E2138,'NI-Soc_SP'!$C:$AN,30,FALSE)</f>
        <v>0</v>
      </c>
      <c r="T2138" s="94">
        <f>VLOOKUP(E2138,'NI-Soc_SP'!$C:$AN,31,FALSE)+VLOOKUP(E2138,'NI-Soc_SP'!$C:$AN,32,FALSE)</f>
        <v>0</v>
      </c>
      <c r="U2138" s="55">
        <f>VLOOKUP($E2138,'NI-Soc_SP'!$C:$AN,MID(U$1,1,2),FALSE)</f>
        <v>0</v>
      </c>
      <c r="V2138" s="55">
        <f>VLOOKUP($E2138,'NI-Soc_SP'!$C:$AN,MID(V$1,1,2),FALSE)</f>
        <v>0</v>
      </c>
      <c r="W2138" s="55">
        <f>VLOOKUP($E2138,'NI-Soc_SP'!$C:$AN,MID(W$1,1,2),FALSE)</f>
        <v>0</v>
      </c>
      <c r="X2138" s="55">
        <f>VLOOKUP($E2138,'NI-Soc_SP'!$C:$AN,MID(X$1,1,2),FALSE)</f>
        <v>0</v>
      </c>
      <c r="Y2138" s="55">
        <f>VLOOKUP($E2138,'NI-Soc_SP'!$C:$AN,MID(Y$1,1,2),FALSE)</f>
        <v>0</v>
      </c>
      <c r="Z2138" s="55">
        <f>VLOOKUP($E2138,'NI-Soc_SP'!$C:$AN,MID(Z$1,1,2),FALSE)</f>
        <v>0</v>
      </c>
      <c r="AA2138" s="55">
        <f>VLOOKUP($E2138,'NI-Soc_SP'!$C:$AN,MID(AA$1,1,2),FALSE)</f>
        <v>0</v>
      </c>
      <c r="AB2138" s="55">
        <f>VLOOKUP($E2138,'NI-Soc_SP'!$C:$AN,MID(AB$1,1,2),FALSE)</f>
        <v>0</v>
      </c>
      <c r="AC2138" s="55">
        <f>VLOOKUP($E2138,'NI-Soc_SP'!$C:$AN,MID(AC$1,1,2),FALSE)</f>
        <v>0</v>
      </c>
      <c r="AD2138" s="55">
        <f>VLOOKUP($E2138,'NI-Soc_SP'!$C:$AN,MID(AD$1,1,2),FALSE)</f>
        <v>0</v>
      </c>
      <c r="AE2138" s="55">
        <f>VLOOKUP($E2138,'NI-Soc_SP'!$C:$AN,MID(AE$1,1,2),FALSE)</f>
        <v>0</v>
      </c>
      <c r="AF2138" s="55">
        <f>VLOOKUP($E2138,'NI-Soc_SP'!$C:$AN,MID(AF$1,1,2),FALSE)</f>
        <v>0</v>
      </c>
      <c r="AG2138" s="55">
        <f>VLOOKUP($E2138,'NI-Soc_SP'!$C:$AN,MID(AG$1,1,2),FALSE)</f>
        <v>0</v>
      </c>
      <c r="AH2138" s="55">
        <f>VLOOKUP($E2138,'NI-Soc_SP'!$C:$AN,MID(AH$1,1,2),FALSE)</f>
        <v>0</v>
      </c>
      <c r="AI2138" s="55">
        <f>VLOOKUP($E2138,'NI-Soc_SP'!$C:$AN,MID(AI$1,1,2),FALSE)</f>
        <v>0</v>
      </c>
      <c r="AJ2138" s="55">
        <f>VLOOKUP($E2138,'NI-Soc_SP'!$C:$AN,MID(AJ$1,1,2),FALSE)</f>
        <v>0</v>
      </c>
      <c r="AK2138" s="55">
        <f>VLOOKUP($E2138,'NI-Soc_SP'!$C:$AN,MID(AK$1,1,2),FALSE)</f>
        <v>0</v>
      </c>
      <c r="AL2138" s="55">
        <f>VLOOKUP($E2138,'NI-Soc_SP'!$C:$AN,MID(AL$1,1,2),FALSE)</f>
        <v>0</v>
      </c>
      <c r="AM2138" s="56">
        <f>VLOOKUP($E2138,'NI-Soc_SP'!$C:$AN,MID(AM$1,1,2),FALSE)</f>
        <v>0</v>
      </c>
      <c r="AN2138" s="30" t="str">
        <f t="shared" si="33"/>
        <v>71304030030000</v>
      </c>
    </row>
    <row r="2139" spans="3:40" x14ac:dyDescent="0.25">
      <c r="D2139" s="121" t="s">
        <v>2643</v>
      </c>
      <c r="E2139" s="121" t="s">
        <v>2644</v>
      </c>
      <c r="F2139" s="122" t="s">
        <v>2758</v>
      </c>
      <c r="G2139" s="52" t="s">
        <v>1608</v>
      </c>
      <c r="H2139" s="52"/>
      <c r="I2139" s="52"/>
      <c r="J2139" s="52"/>
      <c r="K2139" s="59" t="s">
        <v>79</v>
      </c>
      <c r="L2139" s="52"/>
      <c r="M2139" s="52"/>
      <c r="N2139" s="52"/>
      <c r="O2139" s="52"/>
      <c r="P2139" s="108" t="s">
        <v>2645</v>
      </c>
      <c r="Q2139" s="55">
        <f>VLOOKUP(E2139,'NI-Soc_SP'!$C:$AN,12,FALSE)</f>
        <v>0</v>
      </c>
      <c r="R2139" s="55">
        <f>VLOOKUP(E2139,'NI-Soc_SP'!$C:$AN,13,FALSE)</f>
        <v>0</v>
      </c>
      <c r="S2139" s="55">
        <f>VLOOKUP(E2139,'NI-Soc_SP'!$C:$AN,30,FALSE)</f>
        <v>0</v>
      </c>
      <c r="T2139" s="94">
        <f>VLOOKUP(E2139,'NI-Soc_SP'!$C:$AN,31,FALSE)+VLOOKUP(E2139,'NI-Soc_SP'!$C:$AN,32,FALSE)</f>
        <v>0</v>
      </c>
      <c r="U2139" s="55">
        <f>VLOOKUP($E2139,'NI-Soc_SP'!$C:$AN,MID(U$1,1,2),FALSE)</f>
        <v>0</v>
      </c>
      <c r="V2139" s="55">
        <f>VLOOKUP($E2139,'NI-Soc_SP'!$C:$AN,MID(V$1,1,2),FALSE)</f>
        <v>0</v>
      </c>
      <c r="W2139" s="55">
        <f>VLOOKUP($E2139,'NI-Soc_SP'!$C:$AN,MID(W$1,1,2),FALSE)</f>
        <v>0</v>
      </c>
      <c r="X2139" s="55">
        <f>VLOOKUP($E2139,'NI-Soc_SP'!$C:$AN,MID(X$1,1,2),FALSE)</f>
        <v>0</v>
      </c>
      <c r="Y2139" s="55">
        <f>VLOOKUP($E2139,'NI-Soc_SP'!$C:$AN,MID(Y$1,1,2),FALSE)</f>
        <v>0</v>
      </c>
      <c r="Z2139" s="55">
        <f>VLOOKUP($E2139,'NI-Soc_SP'!$C:$AN,MID(Z$1,1,2),FALSE)</f>
        <v>0</v>
      </c>
      <c r="AA2139" s="55">
        <f>VLOOKUP($E2139,'NI-Soc_SP'!$C:$AN,MID(AA$1,1,2),FALSE)</f>
        <v>0</v>
      </c>
      <c r="AB2139" s="55">
        <f>VLOOKUP($E2139,'NI-Soc_SP'!$C:$AN,MID(AB$1,1,2),FALSE)</f>
        <v>0</v>
      </c>
      <c r="AC2139" s="55">
        <f>VLOOKUP($E2139,'NI-Soc_SP'!$C:$AN,MID(AC$1,1,2),FALSE)</f>
        <v>0</v>
      </c>
      <c r="AD2139" s="55">
        <f>VLOOKUP($E2139,'NI-Soc_SP'!$C:$AN,MID(AD$1,1,2),FALSE)</f>
        <v>0</v>
      </c>
      <c r="AE2139" s="55">
        <f>VLOOKUP($E2139,'NI-Soc_SP'!$C:$AN,MID(AE$1,1,2),FALSE)</f>
        <v>0</v>
      </c>
      <c r="AF2139" s="55">
        <f>VLOOKUP($E2139,'NI-Soc_SP'!$C:$AN,MID(AF$1,1,2),FALSE)</f>
        <v>0</v>
      </c>
      <c r="AG2139" s="55">
        <f>VLOOKUP($E2139,'NI-Soc_SP'!$C:$AN,MID(AG$1,1,2),FALSE)</f>
        <v>0</v>
      </c>
      <c r="AH2139" s="55">
        <f>VLOOKUP($E2139,'NI-Soc_SP'!$C:$AN,MID(AH$1,1,2),FALSE)</f>
        <v>0</v>
      </c>
      <c r="AI2139" s="55">
        <f>VLOOKUP($E2139,'NI-Soc_SP'!$C:$AN,MID(AI$1,1,2),FALSE)</f>
        <v>0</v>
      </c>
      <c r="AJ2139" s="55">
        <f>VLOOKUP($E2139,'NI-Soc_SP'!$C:$AN,MID(AJ$1,1,2),FALSE)</f>
        <v>0</v>
      </c>
      <c r="AK2139" s="55">
        <f>VLOOKUP($E2139,'NI-Soc_SP'!$C:$AN,MID(AK$1,1,2),FALSE)</f>
        <v>0</v>
      </c>
      <c r="AL2139" s="55">
        <f>VLOOKUP($E2139,'NI-Soc_SP'!$C:$AN,MID(AL$1,1,2),FALSE)</f>
        <v>0</v>
      </c>
      <c r="AM2139" s="56">
        <f>VLOOKUP($E2139,'NI-Soc_SP'!$C:$AN,MID(AM$1,1,2),FALSE)</f>
        <v>0</v>
      </c>
      <c r="AN2139" s="30" t="str">
        <f t="shared" si="33"/>
        <v>71304030040000</v>
      </c>
    </row>
    <row r="2140" spans="3:40" x14ac:dyDescent="0.25">
      <c r="D2140" s="121" t="s">
        <v>2646</v>
      </c>
      <c r="E2140" s="121" t="s">
        <v>2647</v>
      </c>
      <c r="F2140" s="122" t="s">
        <v>2758</v>
      </c>
      <c r="G2140" s="52"/>
      <c r="H2140" s="52"/>
      <c r="I2140" s="52"/>
      <c r="J2140" s="52"/>
      <c r="K2140" s="59" t="s">
        <v>111</v>
      </c>
      <c r="L2140" s="52" t="s">
        <v>2648</v>
      </c>
      <c r="M2140" s="52"/>
      <c r="N2140" s="52"/>
      <c r="O2140" s="52"/>
      <c r="P2140" s="107" t="s">
        <v>2649</v>
      </c>
      <c r="Q2140" s="55">
        <f>VLOOKUP(E2140,'NI-Soc_SP'!$C:$AN,12,FALSE)</f>
        <v>0</v>
      </c>
      <c r="R2140" s="55">
        <f>VLOOKUP(E2140,'NI-Soc_SP'!$C:$AN,13,FALSE)</f>
        <v>0</v>
      </c>
      <c r="S2140" s="55"/>
      <c r="T2140" s="55"/>
      <c r="U2140" s="55">
        <f>VLOOKUP($E2140,'NI-Soc_SP'!$C:$AN,MID(U$1,1,2),FALSE)</f>
        <v>0</v>
      </c>
      <c r="V2140" s="55">
        <f>VLOOKUP($E2140,'NI-Soc_SP'!$C:$AN,MID(V$1,1,2),FALSE)</f>
        <v>0</v>
      </c>
      <c r="W2140" s="55">
        <f>VLOOKUP($E2140,'NI-Soc_SP'!$C:$AN,MID(W$1,1,2),FALSE)</f>
        <v>0</v>
      </c>
      <c r="X2140" s="55">
        <f>VLOOKUP($E2140,'NI-Soc_SP'!$C:$AN,MID(X$1,1,2),FALSE)</f>
        <v>0</v>
      </c>
      <c r="Y2140" s="55">
        <f>VLOOKUP($E2140,'NI-Soc_SP'!$C:$AN,MID(Y$1,1,2),FALSE)</f>
        <v>0</v>
      </c>
      <c r="Z2140" s="55">
        <f>VLOOKUP($E2140,'NI-Soc_SP'!$C:$AN,MID(Z$1,1,2),FALSE)</f>
        <v>0</v>
      </c>
      <c r="AA2140" s="55">
        <f>VLOOKUP($E2140,'NI-Soc_SP'!$C:$AN,MID(AA$1,1,2),FALSE)</f>
        <v>0</v>
      </c>
      <c r="AB2140" s="55">
        <f>VLOOKUP($E2140,'NI-Soc_SP'!$C:$AN,MID(AB$1,1,2),FALSE)</f>
        <v>0</v>
      </c>
      <c r="AC2140" s="55">
        <f>VLOOKUP($E2140,'NI-Soc_SP'!$C:$AN,MID(AC$1,1,2),FALSE)</f>
        <v>0</v>
      </c>
      <c r="AD2140" s="55">
        <f>VLOOKUP($E2140,'NI-Soc_SP'!$C:$AN,MID(AD$1,1,2),FALSE)</f>
        <v>0</v>
      </c>
      <c r="AE2140" s="55">
        <f>VLOOKUP($E2140,'NI-Soc_SP'!$C:$AN,MID(AE$1,1,2),FALSE)</f>
        <v>0</v>
      </c>
      <c r="AF2140" s="55">
        <f>VLOOKUP($E2140,'NI-Soc_SP'!$C:$AN,MID(AF$1,1,2),FALSE)</f>
        <v>0</v>
      </c>
      <c r="AG2140" s="55">
        <f>VLOOKUP($E2140,'NI-Soc_SP'!$C:$AN,MID(AG$1,1,2),FALSE)</f>
        <v>0</v>
      </c>
      <c r="AH2140" s="55">
        <f>VLOOKUP($E2140,'NI-Soc_SP'!$C:$AN,MID(AH$1,1,2),FALSE)</f>
        <v>0</v>
      </c>
      <c r="AI2140" s="55">
        <f>VLOOKUP($E2140,'NI-Soc_SP'!$C:$AN,MID(AI$1,1,2),FALSE)</f>
        <v>0</v>
      </c>
      <c r="AJ2140" s="55">
        <f>VLOOKUP($E2140,'NI-Soc_SP'!$C:$AN,MID(AJ$1,1,2),FALSE)</f>
        <v>0</v>
      </c>
      <c r="AK2140" s="55">
        <f>VLOOKUP($E2140,'NI-Soc_SP'!$C:$AN,MID(AK$1,1,2),FALSE)</f>
        <v>0</v>
      </c>
      <c r="AL2140" s="55">
        <f>VLOOKUP($E2140,'NI-Soc_SP'!$C:$AN,MID(AL$1,1,2),FALSE)</f>
        <v>0</v>
      </c>
      <c r="AM2140" s="56">
        <f>VLOOKUP($E2140,'NI-Soc_SP'!$C:$AN,MID(AM$1,1,2),FALSE)</f>
        <v>0</v>
      </c>
      <c r="AN2140" s="30" t="str">
        <f t="shared" si="33"/>
        <v>80000000000000</v>
      </c>
    </row>
    <row r="2141" spans="3:40" x14ac:dyDescent="0.25">
      <c r="D2141" s="121" t="s">
        <v>2650</v>
      </c>
      <c r="E2141" s="121" t="s">
        <v>2651</v>
      </c>
      <c r="F2141" s="122" t="s">
        <v>2758</v>
      </c>
      <c r="G2141" s="52"/>
      <c r="H2141" s="52"/>
      <c r="I2141" s="52"/>
      <c r="J2141" s="52"/>
      <c r="K2141" s="59" t="s">
        <v>111</v>
      </c>
      <c r="L2141" s="52"/>
      <c r="M2141" s="52"/>
      <c r="N2141" s="52"/>
      <c r="O2141" s="61" t="s">
        <v>2652</v>
      </c>
      <c r="P2141" s="107" t="s">
        <v>2653</v>
      </c>
      <c r="Q2141" s="55">
        <f>VLOOKUP(E2141,'NI-Soc_SP'!$C:$AN,12,FALSE)</f>
        <v>0</v>
      </c>
      <c r="R2141" s="55">
        <f>VLOOKUP(E2141,'NI-Soc_SP'!$C:$AN,13,FALSE)</f>
        <v>0</v>
      </c>
      <c r="S2141" s="55"/>
      <c r="T2141" s="55"/>
      <c r="U2141" s="55">
        <f>VLOOKUP($E2141,'NI-Soc_SP'!$C:$AN,MID(U$1,1,2),FALSE)</f>
        <v>0</v>
      </c>
      <c r="V2141" s="55">
        <f>VLOOKUP($E2141,'NI-Soc_SP'!$C:$AN,MID(V$1,1,2),FALSE)</f>
        <v>0</v>
      </c>
      <c r="W2141" s="55">
        <f>VLOOKUP($E2141,'NI-Soc_SP'!$C:$AN,MID(W$1,1,2),FALSE)</f>
        <v>0</v>
      </c>
      <c r="X2141" s="55">
        <f>VLOOKUP($E2141,'NI-Soc_SP'!$C:$AN,MID(X$1,1,2),FALSE)</f>
        <v>0</v>
      </c>
      <c r="Y2141" s="55">
        <f>VLOOKUP($E2141,'NI-Soc_SP'!$C:$AN,MID(Y$1,1,2),FALSE)</f>
        <v>0</v>
      </c>
      <c r="Z2141" s="55">
        <f>VLOOKUP($E2141,'NI-Soc_SP'!$C:$AN,MID(Z$1,1,2),FALSE)</f>
        <v>0</v>
      </c>
      <c r="AA2141" s="55">
        <f>VLOOKUP($E2141,'NI-Soc_SP'!$C:$AN,MID(AA$1,1,2),FALSE)</f>
        <v>0</v>
      </c>
      <c r="AB2141" s="55">
        <f>VLOOKUP($E2141,'NI-Soc_SP'!$C:$AN,MID(AB$1,1,2),FALSE)</f>
        <v>0</v>
      </c>
      <c r="AC2141" s="55">
        <f>VLOOKUP($E2141,'NI-Soc_SP'!$C:$AN,MID(AC$1,1,2),FALSE)</f>
        <v>0</v>
      </c>
      <c r="AD2141" s="55">
        <f>VLOOKUP($E2141,'NI-Soc_SP'!$C:$AN,MID(AD$1,1,2),FALSE)</f>
        <v>0</v>
      </c>
      <c r="AE2141" s="55">
        <f>VLOOKUP($E2141,'NI-Soc_SP'!$C:$AN,MID(AE$1,1,2),FALSE)</f>
        <v>0</v>
      </c>
      <c r="AF2141" s="55">
        <f>VLOOKUP($E2141,'NI-Soc_SP'!$C:$AN,MID(AF$1,1,2),FALSE)</f>
        <v>0</v>
      </c>
      <c r="AG2141" s="55">
        <f>VLOOKUP($E2141,'NI-Soc_SP'!$C:$AN,MID(AG$1,1,2),FALSE)</f>
        <v>0</v>
      </c>
      <c r="AH2141" s="55">
        <f>VLOOKUP($E2141,'NI-Soc_SP'!$C:$AN,MID(AH$1,1,2),FALSE)</f>
        <v>0</v>
      </c>
      <c r="AI2141" s="55">
        <f>VLOOKUP($E2141,'NI-Soc_SP'!$C:$AN,MID(AI$1,1,2),FALSE)</f>
        <v>0</v>
      </c>
      <c r="AJ2141" s="55">
        <f>VLOOKUP($E2141,'NI-Soc_SP'!$C:$AN,MID(AJ$1,1,2),FALSE)</f>
        <v>0</v>
      </c>
      <c r="AK2141" s="55">
        <f>VLOOKUP($E2141,'NI-Soc_SP'!$C:$AN,MID(AK$1,1,2),FALSE)</f>
        <v>0</v>
      </c>
      <c r="AL2141" s="55">
        <f>VLOOKUP($E2141,'NI-Soc_SP'!$C:$AN,MID(AL$1,1,2),FALSE)</f>
        <v>0</v>
      </c>
      <c r="AM2141" s="56">
        <f>VLOOKUP($E2141,'NI-Soc_SP'!$C:$AN,MID(AM$1,1,2),FALSE)</f>
        <v>0</v>
      </c>
      <c r="AN2141" s="30" t="str">
        <f t="shared" si="33"/>
        <v>80101000000000</v>
      </c>
    </row>
    <row r="2142" spans="3:40" x14ac:dyDescent="0.25">
      <c r="D2142" s="121" t="s">
        <v>2654</v>
      </c>
      <c r="E2142" s="121" t="s">
        <v>2655</v>
      </c>
      <c r="F2142" s="122" t="s">
        <v>2758</v>
      </c>
      <c r="G2142" s="52"/>
      <c r="H2142" s="52"/>
      <c r="I2142" s="52" t="s">
        <v>2656</v>
      </c>
      <c r="J2142" s="52"/>
      <c r="K2142" s="59" t="s">
        <v>79</v>
      </c>
      <c r="L2142" s="52"/>
      <c r="M2142" s="52"/>
      <c r="N2142" s="52"/>
      <c r="O2142" s="52"/>
      <c r="P2142" s="107" t="s">
        <v>2657</v>
      </c>
      <c r="Q2142" s="55">
        <f>VLOOKUP(E2142,'NI-Soc_SP'!$C:$AN,12,FALSE)</f>
        <v>0</v>
      </c>
      <c r="R2142" s="55">
        <f>VLOOKUP(E2142,'NI-Soc_SP'!$C:$AN,13,FALSE)</f>
        <v>0</v>
      </c>
      <c r="S2142" s="55"/>
      <c r="T2142" s="55"/>
      <c r="U2142" s="55">
        <f>VLOOKUP($E2142,'NI-Soc_SP'!$C:$AN,MID(U$1,1,2),FALSE)</f>
        <v>0</v>
      </c>
      <c r="V2142" s="55">
        <f>VLOOKUP($E2142,'NI-Soc_SP'!$C:$AN,MID(V$1,1,2),FALSE)</f>
        <v>0</v>
      </c>
      <c r="W2142" s="55">
        <f>VLOOKUP($E2142,'NI-Soc_SP'!$C:$AN,MID(W$1,1,2),FALSE)</f>
        <v>0</v>
      </c>
      <c r="X2142" s="55">
        <f>VLOOKUP($E2142,'NI-Soc_SP'!$C:$AN,MID(X$1,1,2),FALSE)</f>
        <v>0</v>
      </c>
      <c r="Y2142" s="55">
        <f>VLOOKUP($E2142,'NI-Soc_SP'!$C:$AN,MID(Y$1,1,2),FALSE)</f>
        <v>0</v>
      </c>
      <c r="Z2142" s="55">
        <f>VLOOKUP($E2142,'NI-Soc_SP'!$C:$AN,MID(Z$1,1,2),FALSE)</f>
        <v>0</v>
      </c>
      <c r="AA2142" s="55">
        <f>VLOOKUP($E2142,'NI-Soc_SP'!$C:$AN,MID(AA$1,1,2),FALSE)</f>
        <v>0</v>
      </c>
      <c r="AB2142" s="55">
        <f>VLOOKUP($E2142,'NI-Soc_SP'!$C:$AN,MID(AB$1,1,2),FALSE)</f>
        <v>0</v>
      </c>
      <c r="AC2142" s="55">
        <f>VLOOKUP($E2142,'NI-Soc_SP'!$C:$AN,MID(AC$1,1,2),FALSE)</f>
        <v>0</v>
      </c>
      <c r="AD2142" s="55">
        <f>VLOOKUP($E2142,'NI-Soc_SP'!$C:$AN,MID(AD$1,1,2),FALSE)</f>
        <v>0</v>
      </c>
      <c r="AE2142" s="55">
        <f>VLOOKUP($E2142,'NI-Soc_SP'!$C:$AN,MID(AE$1,1,2),FALSE)</f>
        <v>0</v>
      </c>
      <c r="AF2142" s="55">
        <f>VLOOKUP($E2142,'NI-Soc_SP'!$C:$AN,MID(AF$1,1,2),FALSE)</f>
        <v>0</v>
      </c>
      <c r="AG2142" s="55">
        <f>VLOOKUP($E2142,'NI-Soc_SP'!$C:$AN,MID(AG$1,1,2),FALSE)</f>
        <v>0</v>
      </c>
      <c r="AH2142" s="55">
        <f>VLOOKUP($E2142,'NI-Soc_SP'!$C:$AN,MID(AH$1,1,2),FALSE)</f>
        <v>0</v>
      </c>
      <c r="AI2142" s="55">
        <f>VLOOKUP($E2142,'NI-Soc_SP'!$C:$AN,MID(AI$1,1,2),FALSE)</f>
        <v>0</v>
      </c>
      <c r="AJ2142" s="55">
        <f>VLOOKUP($E2142,'NI-Soc_SP'!$C:$AN,MID(AJ$1,1,2),FALSE)</f>
        <v>0</v>
      </c>
      <c r="AK2142" s="55">
        <f>VLOOKUP($E2142,'NI-Soc_SP'!$C:$AN,MID(AK$1,1,2),FALSE)</f>
        <v>0</v>
      </c>
      <c r="AL2142" s="55">
        <f>VLOOKUP($E2142,'NI-Soc_SP'!$C:$AN,MID(AL$1,1,2),FALSE)</f>
        <v>0</v>
      </c>
      <c r="AM2142" s="56">
        <f>VLOOKUP($E2142,'NI-Soc_SP'!$C:$AN,MID(AM$1,1,2),FALSE)</f>
        <v>0</v>
      </c>
      <c r="AN2142" s="30" t="str">
        <f t="shared" si="33"/>
        <v>80101010000000</v>
      </c>
    </row>
    <row r="2143" spans="3:40" x14ac:dyDescent="0.25">
      <c r="D2143" s="121" t="s">
        <v>2658</v>
      </c>
      <c r="E2143" s="121" t="s">
        <v>2659</v>
      </c>
      <c r="F2143" s="122" t="s">
        <v>2758</v>
      </c>
      <c r="G2143" s="52" t="s">
        <v>1608</v>
      </c>
      <c r="H2143" s="52"/>
      <c r="I2143" s="52" t="s">
        <v>2660</v>
      </c>
      <c r="J2143" s="52"/>
      <c r="K2143" s="59" t="s">
        <v>111</v>
      </c>
      <c r="L2143" s="52"/>
      <c r="M2143" s="52"/>
      <c r="N2143" s="52"/>
      <c r="O2143" s="52"/>
      <c r="P2143" s="107" t="s">
        <v>2661</v>
      </c>
      <c r="Q2143" s="55">
        <f>VLOOKUP(E2143,'NI-Soc_SP'!$C:$AN,12,FALSE)</f>
        <v>0</v>
      </c>
      <c r="R2143" s="55">
        <f>VLOOKUP(E2143,'NI-Soc_SP'!$C:$AN,13,FALSE)</f>
        <v>0</v>
      </c>
      <c r="S2143" s="55"/>
      <c r="T2143" s="55"/>
      <c r="U2143" s="55">
        <f>VLOOKUP($E2143,'NI-Soc_SP'!$C:$AN,MID(U$1,1,2),FALSE)</f>
        <v>0</v>
      </c>
      <c r="V2143" s="55">
        <f>VLOOKUP($E2143,'NI-Soc_SP'!$C:$AN,MID(V$1,1,2),FALSE)</f>
        <v>0</v>
      </c>
      <c r="W2143" s="55">
        <f>VLOOKUP($E2143,'NI-Soc_SP'!$C:$AN,MID(W$1,1,2),FALSE)</f>
        <v>0</v>
      </c>
      <c r="X2143" s="55">
        <f>VLOOKUP($E2143,'NI-Soc_SP'!$C:$AN,MID(X$1,1,2),FALSE)</f>
        <v>0</v>
      </c>
      <c r="Y2143" s="55">
        <f>VLOOKUP($E2143,'NI-Soc_SP'!$C:$AN,MID(Y$1,1,2),FALSE)</f>
        <v>0</v>
      </c>
      <c r="Z2143" s="55">
        <f>VLOOKUP($E2143,'NI-Soc_SP'!$C:$AN,MID(Z$1,1,2),FALSE)</f>
        <v>0</v>
      </c>
      <c r="AA2143" s="55">
        <f>VLOOKUP($E2143,'NI-Soc_SP'!$C:$AN,MID(AA$1,1,2),FALSE)</f>
        <v>0</v>
      </c>
      <c r="AB2143" s="55">
        <f>VLOOKUP($E2143,'NI-Soc_SP'!$C:$AN,MID(AB$1,1,2),FALSE)</f>
        <v>0</v>
      </c>
      <c r="AC2143" s="55">
        <f>VLOOKUP($E2143,'NI-Soc_SP'!$C:$AN,MID(AC$1,1,2),FALSE)</f>
        <v>0</v>
      </c>
      <c r="AD2143" s="55">
        <f>VLOOKUP($E2143,'NI-Soc_SP'!$C:$AN,MID(AD$1,1,2),FALSE)</f>
        <v>0</v>
      </c>
      <c r="AE2143" s="55">
        <f>VLOOKUP($E2143,'NI-Soc_SP'!$C:$AN,MID(AE$1,1,2),FALSE)</f>
        <v>0</v>
      </c>
      <c r="AF2143" s="55">
        <f>VLOOKUP($E2143,'NI-Soc_SP'!$C:$AN,MID(AF$1,1,2),FALSE)</f>
        <v>0</v>
      </c>
      <c r="AG2143" s="55">
        <f>VLOOKUP($E2143,'NI-Soc_SP'!$C:$AN,MID(AG$1,1,2),FALSE)</f>
        <v>0</v>
      </c>
      <c r="AH2143" s="55">
        <f>VLOOKUP($E2143,'NI-Soc_SP'!$C:$AN,MID(AH$1,1,2),FALSE)</f>
        <v>0</v>
      </c>
      <c r="AI2143" s="55">
        <f>VLOOKUP($E2143,'NI-Soc_SP'!$C:$AN,MID(AI$1,1,2),FALSE)</f>
        <v>0</v>
      </c>
      <c r="AJ2143" s="55">
        <f>VLOOKUP($E2143,'NI-Soc_SP'!$C:$AN,MID(AJ$1,1,2),FALSE)</f>
        <v>0</v>
      </c>
      <c r="AK2143" s="55">
        <f>VLOOKUP($E2143,'NI-Soc_SP'!$C:$AN,MID(AK$1,1,2),FALSE)</f>
        <v>0</v>
      </c>
      <c r="AL2143" s="55">
        <f>VLOOKUP($E2143,'NI-Soc_SP'!$C:$AN,MID(AL$1,1,2),FALSE)</f>
        <v>0</v>
      </c>
      <c r="AM2143" s="56">
        <f>VLOOKUP($E2143,'NI-Soc_SP'!$C:$AN,MID(AM$1,1,2),FALSE)</f>
        <v>0</v>
      </c>
      <c r="AN2143" s="30" t="str">
        <f t="shared" si="33"/>
        <v>80102000000000</v>
      </c>
    </row>
    <row r="2144" spans="3:40" x14ac:dyDescent="0.25">
      <c r="D2144" s="121" t="s">
        <v>2662</v>
      </c>
      <c r="E2144" s="121" t="s">
        <v>2663</v>
      </c>
      <c r="F2144" s="122" t="s">
        <v>2758</v>
      </c>
      <c r="G2144" s="52" t="s">
        <v>1608</v>
      </c>
      <c r="H2144" s="52"/>
      <c r="I2144" s="52"/>
      <c r="J2144" s="52"/>
      <c r="K2144" s="59" t="s">
        <v>79</v>
      </c>
      <c r="L2144" s="52"/>
      <c r="M2144" s="52"/>
      <c r="N2144" s="52"/>
      <c r="O2144" s="52"/>
      <c r="P2144" s="108" t="s">
        <v>2664</v>
      </c>
      <c r="Q2144" s="55">
        <f>VLOOKUP(E2144,'NI-Soc_SP'!$C:$AN,12,FALSE)</f>
        <v>0</v>
      </c>
      <c r="R2144" s="55">
        <f>VLOOKUP(E2144,'NI-Soc_SP'!$C:$AN,13,FALSE)</f>
        <v>0</v>
      </c>
      <c r="S2144" s="55"/>
      <c r="T2144" s="55"/>
      <c r="U2144" s="55">
        <f>VLOOKUP($E2144,'NI-Soc_SP'!$C:$AN,MID(U$1,1,2),FALSE)</f>
        <v>0</v>
      </c>
      <c r="V2144" s="55">
        <f>VLOOKUP($E2144,'NI-Soc_SP'!$C:$AN,MID(V$1,1,2),FALSE)</f>
        <v>0</v>
      </c>
      <c r="W2144" s="55">
        <f>VLOOKUP($E2144,'NI-Soc_SP'!$C:$AN,MID(W$1,1,2),FALSE)</f>
        <v>0</v>
      </c>
      <c r="X2144" s="55">
        <f>VLOOKUP($E2144,'NI-Soc_SP'!$C:$AN,MID(X$1,1,2),FALSE)</f>
        <v>0</v>
      </c>
      <c r="Y2144" s="55">
        <f>VLOOKUP($E2144,'NI-Soc_SP'!$C:$AN,MID(Y$1,1,2),FALSE)</f>
        <v>0</v>
      </c>
      <c r="Z2144" s="55">
        <f>VLOOKUP($E2144,'NI-Soc_SP'!$C:$AN,MID(Z$1,1,2),FALSE)</f>
        <v>0</v>
      </c>
      <c r="AA2144" s="55">
        <f>VLOOKUP($E2144,'NI-Soc_SP'!$C:$AN,MID(AA$1,1,2),FALSE)</f>
        <v>0</v>
      </c>
      <c r="AB2144" s="55">
        <f>VLOOKUP($E2144,'NI-Soc_SP'!$C:$AN,MID(AB$1,1,2),FALSE)</f>
        <v>0</v>
      </c>
      <c r="AC2144" s="55">
        <f>VLOOKUP($E2144,'NI-Soc_SP'!$C:$AN,MID(AC$1,1,2),FALSE)</f>
        <v>0</v>
      </c>
      <c r="AD2144" s="55">
        <f>VLOOKUP($E2144,'NI-Soc_SP'!$C:$AN,MID(AD$1,1,2),FALSE)</f>
        <v>0</v>
      </c>
      <c r="AE2144" s="55">
        <f>VLOOKUP($E2144,'NI-Soc_SP'!$C:$AN,MID(AE$1,1,2),FALSE)</f>
        <v>0</v>
      </c>
      <c r="AF2144" s="55">
        <f>VLOOKUP($E2144,'NI-Soc_SP'!$C:$AN,MID(AF$1,1,2),FALSE)</f>
        <v>0</v>
      </c>
      <c r="AG2144" s="55">
        <f>VLOOKUP($E2144,'NI-Soc_SP'!$C:$AN,MID(AG$1,1,2),FALSE)</f>
        <v>0</v>
      </c>
      <c r="AH2144" s="55">
        <f>VLOOKUP($E2144,'NI-Soc_SP'!$C:$AN,MID(AH$1,1,2),FALSE)</f>
        <v>0</v>
      </c>
      <c r="AI2144" s="55">
        <f>VLOOKUP($E2144,'NI-Soc_SP'!$C:$AN,MID(AI$1,1,2),FALSE)</f>
        <v>0</v>
      </c>
      <c r="AJ2144" s="55">
        <f>VLOOKUP($E2144,'NI-Soc_SP'!$C:$AN,MID(AJ$1,1,2),FALSE)</f>
        <v>0</v>
      </c>
      <c r="AK2144" s="55">
        <f>VLOOKUP($E2144,'NI-Soc_SP'!$C:$AN,MID(AK$1,1,2),FALSE)</f>
        <v>0</v>
      </c>
      <c r="AL2144" s="55">
        <f>VLOOKUP($E2144,'NI-Soc_SP'!$C:$AN,MID(AL$1,1,2),FALSE)</f>
        <v>0</v>
      </c>
      <c r="AM2144" s="56">
        <f>VLOOKUP($E2144,'NI-Soc_SP'!$C:$AN,MID(AM$1,1,2),FALSE)</f>
        <v>0</v>
      </c>
      <c r="AN2144" s="30" t="str">
        <f t="shared" si="33"/>
        <v>80102010000000</v>
      </c>
    </row>
    <row r="2145" spans="1:40" x14ac:dyDescent="0.25">
      <c r="D2145" s="121" t="s">
        <v>2665</v>
      </c>
      <c r="E2145" s="121" t="s">
        <v>2666</v>
      </c>
      <c r="F2145" s="122" t="s">
        <v>2758</v>
      </c>
      <c r="G2145" s="52" t="s">
        <v>1608</v>
      </c>
      <c r="H2145" s="52"/>
      <c r="I2145" s="52"/>
      <c r="J2145" s="52"/>
      <c r="K2145" s="59" t="s">
        <v>79</v>
      </c>
      <c r="L2145" s="52"/>
      <c r="M2145" s="52"/>
      <c r="N2145" s="52"/>
      <c r="O2145" s="52"/>
      <c r="P2145" s="108" t="s">
        <v>2667</v>
      </c>
      <c r="Q2145" s="55">
        <f>VLOOKUP(E2145,'NI-Soc_SP'!$C:$AN,12,FALSE)</f>
        <v>0</v>
      </c>
      <c r="R2145" s="55">
        <f>VLOOKUP(E2145,'NI-Soc_SP'!$C:$AN,13,FALSE)</f>
        <v>0</v>
      </c>
      <c r="S2145" s="55"/>
      <c r="T2145" s="55"/>
      <c r="U2145" s="55">
        <f>VLOOKUP($E2145,'NI-Soc_SP'!$C:$AN,MID(U$1,1,2),FALSE)</f>
        <v>0</v>
      </c>
      <c r="V2145" s="55">
        <f>VLOOKUP($E2145,'NI-Soc_SP'!$C:$AN,MID(V$1,1,2),FALSE)</f>
        <v>0</v>
      </c>
      <c r="W2145" s="55">
        <f>VLOOKUP($E2145,'NI-Soc_SP'!$C:$AN,MID(W$1,1,2),FALSE)</f>
        <v>0</v>
      </c>
      <c r="X2145" s="55">
        <f>VLOOKUP($E2145,'NI-Soc_SP'!$C:$AN,MID(X$1,1,2),FALSE)</f>
        <v>0</v>
      </c>
      <c r="Y2145" s="55">
        <f>VLOOKUP($E2145,'NI-Soc_SP'!$C:$AN,MID(Y$1,1,2),FALSE)</f>
        <v>0</v>
      </c>
      <c r="Z2145" s="55">
        <f>VLOOKUP($E2145,'NI-Soc_SP'!$C:$AN,MID(Z$1,1,2),FALSE)</f>
        <v>0</v>
      </c>
      <c r="AA2145" s="55">
        <f>VLOOKUP($E2145,'NI-Soc_SP'!$C:$AN,MID(AA$1,1,2),FALSE)</f>
        <v>0</v>
      </c>
      <c r="AB2145" s="55">
        <f>VLOOKUP($E2145,'NI-Soc_SP'!$C:$AN,MID(AB$1,1,2),FALSE)</f>
        <v>0</v>
      </c>
      <c r="AC2145" s="55">
        <f>VLOOKUP($E2145,'NI-Soc_SP'!$C:$AN,MID(AC$1,1,2),FALSE)</f>
        <v>0</v>
      </c>
      <c r="AD2145" s="55">
        <f>VLOOKUP($E2145,'NI-Soc_SP'!$C:$AN,MID(AD$1,1,2),FALSE)</f>
        <v>0</v>
      </c>
      <c r="AE2145" s="55">
        <f>VLOOKUP($E2145,'NI-Soc_SP'!$C:$AN,MID(AE$1,1,2),FALSE)</f>
        <v>0</v>
      </c>
      <c r="AF2145" s="55">
        <f>VLOOKUP($E2145,'NI-Soc_SP'!$C:$AN,MID(AF$1,1,2),FALSE)</f>
        <v>0</v>
      </c>
      <c r="AG2145" s="55">
        <f>VLOOKUP($E2145,'NI-Soc_SP'!$C:$AN,MID(AG$1,1,2),FALSE)</f>
        <v>0</v>
      </c>
      <c r="AH2145" s="55">
        <f>VLOOKUP($E2145,'NI-Soc_SP'!$C:$AN,MID(AH$1,1,2),FALSE)</f>
        <v>0</v>
      </c>
      <c r="AI2145" s="55">
        <f>VLOOKUP($E2145,'NI-Soc_SP'!$C:$AN,MID(AI$1,1,2),FALSE)</f>
        <v>0</v>
      </c>
      <c r="AJ2145" s="55">
        <f>VLOOKUP($E2145,'NI-Soc_SP'!$C:$AN,MID(AJ$1,1,2),FALSE)</f>
        <v>0</v>
      </c>
      <c r="AK2145" s="55">
        <f>VLOOKUP($E2145,'NI-Soc_SP'!$C:$AN,MID(AK$1,1,2),FALSE)</f>
        <v>0</v>
      </c>
      <c r="AL2145" s="55">
        <f>VLOOKUP($E2145,'NI-Soc_SP'!$C:$AN,MID(AL$1,1,2),FALSE)</f>
        <v>0</v>
      </c>
      <c r="AM2145" s="56">
        <f>VLOOKUP($E2145,'NI-Soc_SP'!$C:$AN,MID(AM$1,1,2),FALSE)</f>
        <v>0</v>
      </c>
      <c r="AN2145" s="30" t="str">
        <f t="shared" si="33"/>
        <v>80102020000000</v>
      </c>
    </row>
    <row r="2146" spans="1:40" x14ac:dyDescent="0.25">
      <c r="D2146" s="121" t="s">
        <v>2668</v>
      </c>
      <c r="E2146" s="121" t="s">
        <v>2669</v>
      </c>
      <c r="F2146" s="122" t="s">
        <v>2758</v>
      </c>
      <c r="G2146" s="52" t="s">
        <v>1608</v>
      </c>
      <c r="H2146" s="52"/>
      <c r="I2146" s="52"/>
      <c r="J2146" s="52"/>
      <c r="K2146" s="59" t="s">
        <v>79</v>
      </c>
      <c r="L2146" s="52"/>
      <c r="M2146" s="52"/>
      <c r="N2146" s="52"/>
      <c r="O2146" s="52"/>
      <c r="P2146" s="108" t="s">
        <v>2670</v>
      </c>
      <c r="Q2146" s="55">
        <f>VLOOKUP(E2146,'NI-Soc_SP'!$C:$AN,12,FALSE)</f>
        <v>0</v>
      </c>
      <c r="R2146" s="55">
        <f>VLOOKUP(E2146,'NI-Soc_SP'!$C:$AN,13,FALSE)</f>
        <v>0</v>
      </c>
      <c r="S2146" s="55"/>
      <c r="T2146" s="55"/>
      <c r="U2146" s="55">
        <f>VLOOKUP($E2146,'NI-Soc_SP'!$C:$AN,MID(U$1,1,2),FALSE)</f>
        <v>0</v>
      </c>
      <c r="V2146" s="55">
        <f>VLOOKUP($E2146,'NI-Soc_SP'!$C:$AN,MID(V$1,1,2),FALSE)</f>
        <v>0</v>
      </c>
      <c r="W2146" s="55">
        <f>VLOOKUP($E2146,'NI-Soc_SP'!$C:$AN,MID(W$1,1,2),FALSE)</f>
        <v>0</v>
      </c>
      <c r="X2146" s="55">
        <f>VLOOKUP($E2146,'NI-Soc_SP'!$C:$AN,MID(X$1,1,2),FALSE)</f>
        <v>0</v>
      </c>
      <c r="Y2146" s="55">
        <f>VLOOKUP($E2146,'NI-Soc_SP'!$C:$AN,MID(Y$1,1,2),FALSE)</f>
        <v>0</v>
      </c>
      <c r="Z2146" s="55">
        <f>VLOOKUP($E2146,'NI-Soc_SP'!$C:$AN,MID(Z$1,1,2),FALSE)</f>
        <v>0</v>
      </c>
      <c r="AA2146" s="55">
        <f>VLOOKUP($E2146,'NI-Soc_SP'!$C:$AN,MID(AA$1,1,2),FALSE)</f>
        <v>0</v>
      </c>
      <c r="AB2146" s="55">
        <f>VLOOKUP($E2146,'NI-Soc_SP'!$C:$AN,MID(AB$1,1,2),FALSE)</f>
        <v>0</v>
      </c>
      <c r="AC2146" s="55">
        <f>VLOOKUP($E2146,'NI-Soc_SP'!$C:$AN,MID(AC$1,1,2),FALSE)</f>
        <v>0</v>
      </c>
      <c r="AD2146" s="55">
        <f>VLOOKUP($E2146,'NI-Soc_SP'!$C:$AN,MID(AD$1,1,2),FALSE)</f>
        <v>0</v>
      </c>
      <c r="AE2146" s="55">
        <f>VLOOKUP($E2146,'NI-Soc_SP'!$C:$AN,MID(AE$1,1,2),FALSE)</f>
        <v>0</v>
      </c>
      <c r="AF2146" s="55">
        <f>VLOOKUP($E2146,'NI-Soc_SP'!$C:$AN,MID(AF$1,1,2),FALSE)</f>
        <v>0</v>
      </c>
      <c r="AG2146" s="55">
        <f>VLOOKUP($E2146,'NI-Soc_SP'!$C:$AN,MID(AG$1,1,2),FALSE)</f>
        <v>0</v>
      </c>
      <c r="AH2146" s="55">
        <f>VLOOKUP($E2146,'NI-Soc_SP'!$C:$AN,MID(AH$1,1,2),FALSE)</f>
        <v>0</v>
      </c>
      <c r="AI2146" s="55">
        <f>VLOOKUP($E2146,'NI-Soc_SP'!$C:$AN,MID(AI$1,1,2),FALSE)</f>
        <v>0</v>
      </c>
      <c r="AJ2146" s="55">
        <f>VLOOKUP($E2146,'NI-Soc_SP'!$C:$AN,MID(AJ$1,1,2),FALSE)</f>
        <v>0</v>
      </c>
      <c r="AK2146" s="55">
        <f>VLOOKUP($E2146,'NI-Soc_SP'!$C:$AN,MID(AK$1,1,2),FALSE)</f>
        <v>0</v>
      </c>
      <c r="AL2146" s="55">
        <f>VLOOKUP($E2146,'NI-Soc_SP'!$C:$AN,MID(AL$1,1,2),FALSE)</f>
        <v>0</v>
      </c>
      <c r="AM2146" s="56">
        <f>VLOOKUP($E2146,'NI-Soc_SP'!$C:$AN,MID(AM$1,1,2),FALSE)</f>
        <v>0</v>
      </c>
      <c r="AN2146" s="30" t="str">
        <f t="shared" si="33"/>
        <v>80102030000000</v>
      </c>
    </row>
    <row r="2147" spans="1:40" x14ac:dyDescent="0.25">
      <c r="D2147" s="121" t="s">
        <v>2671</v>
      </c>
      <c r="E2147" s="121" t="s">
        <v>2672</v>
      </c>
      <c r="F2147" s="122" t="s">
        <v>2758</v>
      </c>
      <c r="G2147" s="52" t="s">
        <v>1608</v>
      </c>
      <c r="H2147" s="52"/>
      <c r="I2147" s="52"/>
      <c r="J2147" s="52"/>
      <c r="K2147" s="59" t="s">
        <v>79</v>
      </c>
      <c r="L2147" s="52"/>
      <c r="M2147" s="52"/>
      <c r="N2147" s="52"/>
      <c r="O2147" s="52"/>
      <c r="P2147" s="108" t="s">
        <v>2673</v>
      </c>
      <c r="Q2147" s="55">
        <f>VLOOKUP(E2147,'NI-Soc_SP'!$C:$AN,12,FALSE)</f>
        <v>0</v>
      </c>
      <c r="R2147" s="55">
        <f>VLOOKUP(E2147,'NI-Soc_SP'!$C:$AN,13,FALSE)</f>
        <v>0</v>
      </c>
      <c r="S2147" s="55"/>
      <c r="T2147" s="55"/>
      <c r="U2147" s="55">
        <f>VLOOKUP($E2147,'NI-Soc_SP'!$C:$AN,MID(U$1,1,2),FALSE)</f>
        <v>0</v>
      </c>
      <c r="V2147" s="55">
        <f>VLOOKUP($E2147,'NI-Soc_SP'!$C:$AN,MID(V$1,1,2),FALSE)</f>
        <v>0</v>
      </c>
      <c r="W2147" s="55">
        <f>VLOOKUP($E2147,'NI-Soc_SP'!$C:$AN,MID(W$1,1,2),FALSE)</f>
        <v>0</v>
      </c>
      <c r="X2147" s="55">
        <f>VLOOKUP($E2147,'NI-Soc_SP'!$C:$AN,MID(X$1,1,2),FALSE)</f>
        <v>0</v>
      </c>
      <c r="Y2147" s="55">
        <f>VLOOKUP($E2147,'NI-Soc_SP'!$C:$AN,MID(Y$1,1,2),FALSE)</f>
        <v>0</v>
      </c>
      <c r="Z2147" s="55">
        <f>VLOOKUP($E2147,'NI-Soc_SP'!$C:$AN,MID(Z$1,1,2),FALSE)</f>
        <v>0</v>
      </c>
      <c r="AA2147" s="55">
        <f>VLOOKUP($E2147,'NI-Soc_SP'!$C:$AN,MID(AA$1,1,2),FALSE)</f>
        <v>0</v>
      </c>
      <c r="AB2147" s="55">
        <f>VLOOKUP($E2147,'NI-Soc_SP'!$C:$AN,MID(AB$1,1,2),FALSE)</f>
        <v>0</v>
      </c>
      <c r="AC2147" s="55">
        <f>VLOOKUP($E2147,'NI-Soc_SP'!$C:$AN,MID(AC$1,1,2),FALSE)</f>
        <v>0</v>
      </c>
      <c r="AD2147" s="55">
        <f>VLOOKUP($E2147,'NI-Soc_SP'!$C:$AN,MID(AD$1,1,2),FALSE)</f>
        <v>0</v>
      </c>
      <c r="AE2147" s="55">
        <f>VLOOKUP($E2147,'NI-Soc_SP'!$C:$AN,MID(AE$1,1,2),FALSE)</f>
        <v>0</v>
      </c>
      <c r="AF2147" s="55">
        <f>VLOOKUP($E2147,'NI-Soc_SP'!$C:$AN,MID(AF$1,1,2),FALSE)</f>
        <v>0</v>
      </c>
      <c r="AG2147" s="55">
        <f>VLOOKUP($E2147,'NI-Soc_SP'!$C:$AN,MID(AG$1,1,2),FALSE)</f>
        <v>0</v>
      </c>
      <c r="AH2147" s="55">
        <f>VLOOKUP($E2147,'NI-Soc_SP'!$C:$AN,MID(AH$1,1,2),FALSE)</f>
        <v>0</v>
      </c>
      <c r="AI2147" s="55">
        <f>VLOOKUP($E2147,'NI-Soc_SP'!$C:$AN,MID(AI$1,1,2),FALSE)</f>
        <v>0</v>
      </c>
      <c r="AJ2147" s="55">
        <f>VLOOKUP($E2147,'NI-Soc_SP'!$C:$AN,MID(AJ$1,1,2),FALSE)</f>
        <v>0</v>
      </c>
      <c r="AK2147" s="55">
        <f>VLOOKUP($E2147,'NI-Soc_SP'!$C:$AN,MID(AK$1,1,2),FALSE)</f>
        <v>0</v>
      </c>
      <c r="AL2147" s="55">
        <f>VLOOKUP($E2147,'NI-Soc_SP'!$C:$AN,MID(AL$1,1,2),FALSE)</f>
        <v>0</v>
      </c>
      <c r="AM2147" s="56">
        <f>VLOOKUP($E2147,'NI-Soc_SP'!$C:$AN,MID(AM$1,1,2),FALSE)</f>
        <v>0</v>
      </c>
      <c r="AN2147" s="30" t="str">
        <f t="shared" si="33"/>
        <v>80102040000000</v>
      </c>
    </row>
    <row r="2148" spans="1:40" x14ac:dyDescent="0.25">
      <c r="D2148" s="121" t="s">
        <v>2674</v>
      </c>
      <c r="E2148" s="121" t="s">
        <v>2675</v>
      </c>
      <c r="F2148" s="122" t="s">
        <v>2758</v>
      </c>
      <c r="G2148" s="52" t="s">
        <v>1608</v>
      </c>
      <c r="H2148" s="52"/>
      <c r="I2148" s="52"/>
      <c r="J2148" s="52"/>
      <c r="K2148" s="59" t="s">
        <v>79</v>
      </c>
      <c r="L2148" s="52"/>
      <c r="M2148" s="52"/>
      <c r="N2148" s="52"/>
      <c r="O2148" s="52"/>
      <c r="P2148" s="108" t="s">
        <v>2676</v>
      </c>
      <c r="Q2148" s="55">
        <f>VLOOKUP(E2148,'NI-Soc_SP'!$C:$AN,12,FALSE)</f>
        <v>0</v>
      </c>
      <c r="R2148" s="55">
        <f>VLOOKUP(E2148,'NI-Soc_SP'!$C:$AN,13,FALSE)</f>
        <v>0</v>
      </c>
      <c r="S2148" s="55"/>
      <c r="T2148" s="55"/>
      <c r="U2148" s="55">
        <f>VLOOKUP($E2148,'NI-Soc_SP'!$C:$AN,MID(U$1,1,2),FALSE)</f>
        <v>0</v>
      </c>
      <c r="V2148" s="55">
        <f>VLOOKUP($E2148,'NI-Soc_SP'!$C:$AN,MID(V$1,1,2),FALSE)</f>
        <v>0</v>
      </c>
      <c r="W2148" s="55">
        <f>VLOOKUP($E2148,'NI-Soc_SP'!$C:$AN,MID(W$1,1,2),FALSE)</f>
        <v>0</v>
      </c>
      <c r="X2148" s="55">
        <f>VLOOKUP($E2148,'NI-Soc_SP'!$C:$AN,MID(X$1,1,2),FALSE)</f>
        <v>0</v>
      </c>
      <c r="Y2148" s="55">
        <f>VLOOKUP($E2148,'NI-Soc_SP'!$C:$AN,MID(Y$1,1,2),FALSE)</f>
        <v>0</v>
      </c>
      <c r="Z2148" s="55">
        <f>VLOOKUP($E2148,'NI-Soc_SP'!$C:$AN,MID(Z$1,1,2),FALSE)</f>
        <v>0</v>
      </c>
      <c r="AA2148" s="55">
        <f>VLOOKUP($E2148,'NI-Soc_SP'!$C:$AN,MID(AA$1,1,2),FALSE)</f>
        <v>0</v>
      </c>
      <c r="AB2148" s="55">
        <f>VLOOKUP($E2148,'NI-Soc_SP'!$C:$AN,MID(AB$1,1,2),FALSE)</f>
        <v>0</v>
      </c>
      <c r="AC2148" s="55">
        <f>VLOOKUP($E2148,'NI-Soc_SP'!$C:$AN,MID(AC$1,1,2),FALSE)</f>
        <v>0</v>
      </c>
      <c r="AD2148" s="55">
        <f>VLOOKUP($E2148,'NI-Soc_SP'!$C:$AN,MID(AD$1,1,2),FALSE)</f>
        <v>0</v>
      </c>
      <c r="AE2148" s="55">
        <f>VLOOKUP($E2148,'NI-Soc_SP'!$C:$AN,MID(AE$1,1,2),FALSE)</f>
        <v>0</v>
      </c>
      <c r="AF2148" s="55">
        <f>VLOOKUP($E2148,'NI-Soc_SP'!$C:$AN,MID(AF$1,1,2),FALSE)</f>
        <v>0</v>
      </c>
      <c r="AG2148" s="55">
        <f>VLOOKUP($E2148,'NI-Soc_SP'!$C:$AN,MID(AG$1,1,2),FALSE)</f>
        <v>0</v>
      </c>
      <c r="AH2148" s="55">
        <f>VLOOKUP($E2148,'NI-Soc_SP'!$C:$AN,MID(AH$1,1,2),FALSE)</f>
        <v>0</v>
      </c>
      <c r="AI2148" s="55">
        <f>VLOOKUP($E2148,'NI-Soc_SP'!$C:$AN,MID(AI$1,1,2),FALSE)</f>
        <v>0</v>
      </c>
      <c r="AJ2148" s="55">
        <f>VLOOKUP($E2148,'NI-Soc_SP'!$C:$AN,MID(AJ$1,1,2),FALSE)</f>
        <v>0</v>
      </c>
      <c r="AK2148" s="55">
        <f>VLOOKUP($E2148,'NI-Soc_SP'!$C:$AN,MID(AK$1,1,2),FALSE)</f>
        <v>0</v>
      </c>
      <c r="AL2148" s="55">
        <f>VLOOKUP($E2148,'NI-Soc_SP'!$C:$AN,MID(AL$1,1,2),FALSE)</f>
        <v>0</v>
      </c>
      <c r="AM2148" s="56">
        <f>VLOOKUP($E2148,'NI-Soc_SP'!$C:$AN,MID(AM$1,1,2),FALSE)</f>
        <v>0</v>
      </c>
      <c r="AN2148" s="30" t="str">
        <f t="shared" si="33"/>
        <v>80102050000000</v>
      </c>
    </row>
    <row r="2149" spans="1:40" x14ac:dyDescent="0.25">
      <c r="D2149" s="121" t="s">
        <v>2677</v>
      </c>
      <c r="E2149" s="121" t="s">
        <v>2678</v>
      </c>
      <c r="F2149" s="122" t="s">
        <v>2758</v>
      </c>
      <c r="G2149" s="52"/>
      <c r="H2149" s="52"/>
      <c r="I2149" s="52"/>
      <c r="J2149" s="52"/>
      <c r="K2149" s="59" t="s">
        <v>111</v>
      </c>
      <c r="L2149" s="52"/>
      <c r="M2149" s="52"/>
      <c r="N2149" s="52"/>
      <c r="O2149" s="61" t="s">
        <v>2679</v>
      </c>
      <c r="P2149" s="111" t="s">
        <v>2680</v>
      </c>
      <c r="Q2149" s="55">
        <f>VLOOKUP(E2149,'NI-Soc_SP'!$C:$AN,12,FALSE)</f>
        <v>0</v>
      </c>
      <c r="R2149" s="55">
        <f>VLOOKUP(E2149,'NI-Soc_SP'!$C:$AN,13,FALSE)</f>
        <v>0</v>
      </c>
      <c r="S2149" s="55"/>
      <c r="T2149" s="55"/>
      <c r="U2149" s="55">
        <f>VLOOKUP($E2149,'NI-Soc_SP'!$C:$AN,MID(U$1,1,2),FALSE)</f>
        <v>0</v>
      </c>
      <c r="V2149" s="55">
        <f>VLOOKUP($E2149,'NI-Soc_SP'!$C:$AN,MID(V$1,1,2),FALSE)</f>
        <v>0</v>
      </c>
      <c r="W2149" s="55">
        <f>VLOOKUP($E2149,'NI-Soc_SP'!$C:$AN,MID(W$1,1,2),FALSE)</f>
        <v>0</v>
      </c>
      <c r="X2149" s="55">
        <f>VLOOKUP($E2149,'NI-Soc_SP'!$C:$AN,MID(X$1,1,2),FALSE)</f>
        <v>0</v>
      </c>
      <c r="Y2149" s="55">
        <f>VLOOKUP($E2149,'NI-Soc_SP'!$C:$AN,MID(Y$1,1,2),FALSE)</f>
        <v>0</v>
      </c>
      <c r="Z2149" s="55">
        <f>VLOOKUP($E2149,'NI-Soc_SP'!$C:$AN,MID(Z$1,1,2),FALSE)</f>
        <v>0</v>
      </c>
      <c r="AA2149" s="55">
        <f>VLOOKUP($E2149,'NI-Soc_SP'!$C:$AN,MID(AA$1,1,2),FALSE)</f>
        <v>0</v>
      </c>
      <c r="AB2149" s="55">
        <f>VLOOKUP($E2149,'NI-Soc_SP'!$C:$AN,MID(AB$1,1,2),FALSE)</f>
        <v>0</v>
      </c>
      <c r="AC2149" s="55">
        <f>VLOOKUP($E2149,'NI-Soc_SP'!$C:$AN,MID(AC$1,1,2),FALSE)</f>
        <v>0</v>
      </c>
      <c r="AD2149" s="55">
        <f>VLOOKUP($E2149,'NI-Soc_SP'!$C:$AN,MID(AD$1,1,2),FALSE)</f>
        <v>0</v>
      </c>
      <c r="AE2149" s="55">
        <f>VLOOKUP($E2149,'NI-Soc_SP'!$C:$AN,MID(AE$1,1,2),FALSE)</f>
        <v>0</v>
      </c>
      <c r="AF2149" s="55">
        <f>VLOOKUP($E2149,'NI-Soc_SP'!$C:$AN,MID(AF$1,1,2),FALSE)</f>
        <v>0</v>
      </c>
      <c r="AG2149" s="55">
        <f>VLOOKUP($E2149,'NI-Soc_SP'!$C:$AN,MID(AG$1,1,2),FALSE)</f>
        <v>0</v>
      </c>
      <c r="AH2149" s="55">
        <f>VLOOKUP($E2149,'NI-Soc_SP'!$C:$AN,MID(AH$1,1,2),FALSE)</f>
        <v>0</v>
      </c>
      <c r="AI2149" s="55">
        <f>VLOOKUP($E2149,'NI-Soc_SP'!$C:$AN,MID(AI$1,1,2),FALSE)</f>
        <v>0</v>
      </c>
      <c r="AJ2149" s="55">
        <f>VLOOKUP($E2149,'NI-Soc_SP'!$C:$AN,MID(AJ$1,1,2),FALSE)</f>
        <v>0</v>
      </c>
      <c r="AK2149" s="55">
        <f>VLOOKUP($E2149,'NI-Soc_SP'!$C:$AN,MID(AK$1,1,2),FALSE)</f>
        <v>0</v>
      </c>
      <c r="AL2149" s="55">
        <f>VLOOKUP($E2149,'NI-Soc_SP'!$C:$AN,MID(AL$1,1,2),FALSE)</f>
        <v>0</v>
      </c>
      <c r="AM2149" s="56">
        <f>VLOOKUP($E2149,'NI-Soc_SP'!$C:$AN,MID(AM$1,1,2),FALSE)</f>
        <v>0</v>
      </c>
      <c r="AN2149" s="30" t="str">
        <f t="shared" si="33"/>
        <v>80200000000000</v>
      </c>
    </row>
    <row r="2150" spans="1:40" x14ac:dyDescent="0.25">
      <c r="D2150" s="121" t="s">
        <v>2681</v>
      </c>
      <c r="E2150" s="121" t="s">
        <v>2682</v>
      </c>
      <c r="F2150" s="122" t="s">
        <v>2758</v>
      </c>
      <c r="G2150" s="52"/>
      <c r="H2150" s="52"/>
      <c r="I2150" s="52" t="s">
        <v>2683</v>
      </c>
      <c r="J2150" s="52"/>
      <c r="K2150" s="59" t="s">
        <v>79</v>
      </c>
      <c r="L2150" s="52"/>
      <c r="M2150" s="52"/>
      <c r="N2150" s="52"/>
      <c r="O2150" s="52"/>
      <c r="P2150" s="111" t="s">
        <v>2684</v>
      </c>
      <c r="Q2150" s="55">
        <f>VLOOKUP(E2150,'NI-Soc_SP'!$C:$AN,12,FALSE)</f>
        <v>0</v>
      </c>
      <c r="R2150" s="55">
        <f>VLOOKUP(E2150,'NI-Soc_SP'!$C:$AN,13,FALSE)</f>
        <v>0</v>
      </c>
      <c r="S2150" s="55"/>
      <c r="T2150" s="55"/>
      <c r="U2150" s="55">
        <f>VLOOKUP($E2150,'NI-Soc_SP'!$C:$AN,MID(U$1,1,2),FALSE)</f>
        <v>0</v>
      </c>
      <c r="V2150" s="55">
        <f>VLOOKUP($E2150,'NI-Soc_SP'!$C:$AN,MID(V$1,1,2),FALSE)</f>
        <v>0</v>
      </c>
      <c r="W2150" s="55">
        <f>VLOOKUP($E2150,'NI-Soc_SP'!$C:$AN,MID(W$1,1,2),FALSE)</f>
        <v>0</v>
      </c>
      <c r="X2150" s="55">
        <f>VLOOKUP($E2150,'NI-Soc_SP'!$C:$AN,MID(X$1,1,2),FALSE)</f>
        <v>0</v>
      </c>
      <c r="Y2150" s="55">
        <f>VLOOKUP($E2150,'NI-Soc_SP'!$C:$AN,MID(Y$1,1,2),FALSE)</f>
        <v>0</v>
      </c>
      <c r="Z2150" s="55">
        <f>VLOOKUP($E2150,'NI-Soc_SP'!$C:$AN,MID(Z$1,1,2),FALSE)</f>
        <v>0</v>
      </c>
      <c r="AA2150" s="55">
        <f>VLOOKUP($E2150,'NI-Soc_SP'!$C:$AN,MID(AA$1,1,2),FALSE)</f>
        <v>0</v>
      </c>
      <c r="AB2150" s="55">
        <f>VLOOKUP($E2150,'NI-Soc_SP'!$C:$AN,MID(AB$1,1,2),FALSE)</f>
        <v>0</v>
      </c>
      <c r="AC2150" s="55">
        <f>VLOOKUP($E2150,'NI-Soc_SP'!$C:$AN,MID(AC$1,1,2),FALSE)</f>
        <v>0</v>
      </c>
      <c r="AD2150" s="55">
        <f>VLOOKUP($E2150,'NI-Soc_SP'!$C:$AN,MID(AD$1,1,2),FALSE)</f>
        <v>0</v>
      </c>
      <c r="AE2150" s="55">
        <f>VLOOKUP($E2150,'NI-Soc_SP'!$C:$AN,MID(AE$1,1,2),FALSE)</f>
        <v>0</v>
      </c>
      <c r="AF2150" s="55">
        <f>VLOOKUP($E2150,'NI-Soc_SP'!$C:$AN,MID(AF$1,1,2),FALSE)</f>
        <v>0</v>
      </c>
      <c r="AG2150" s="55">
        <f>VLOOKUP($E2150,'NI-Soc_SP'!$C:$AN,MID(AG$1,1,2),FALSE)</f>
        <v>0</v>
      </c>
      <c r="AH2150" s="55">
        <f>VLOOKUP($E2150,'NI-Soc_SP'!$C:$AN,MID(AH$1,1,2),FALSE)</f>
        <v>0</v>
      </c>
      <c r="AI2150" s="55">
        <f>VLOOKUP($E2150,'NI-Soc_SP'!$C:$AN,MID(AI$1,1,2),FALSE)</f>
        <v>0</v>
      </c>
      <c r="AJ2150" s="55">
        <f>VLOOKUP($E2150,'NI-Soc_SP'!$C:$AN,MID(AJ$1,1,2),FALSE)</f>
        <v>0</v>
      </c>
      <c r="AK2150" s="55">
        <f>VLOOKUP($E2150,'NI-Soc_SP'!$C:$AN,MID(AK$1,1,2),FALSE)</f>
        <v>0</v>
      </c>
      <c r="AL2150" s="55">
        <f>VLOOKUP($E2150,'NI-Soc_SP'!$C:$AN,MID(AL$1,1,2),FALSE)</f>
        <v>0</v>
      </c>
      <c r="AM2150" s="56">
        <f>VLOOKUP($E2150,'NI-Soc_SP'!$C:$AN,MID(AM$1,1,2),FALSE)</f>
        <v>0</v>
      </c>
      <c r="AN2150" s="30" t="str">
        <f t="shared" si="33"/>
        <v>80201000000000</v>
      </c>
    </row>
    <row r="2151" spans="1:40" x14ac:dyDescent="0.25">
      <c r="D2151" s="121" t="s">
        <v>2685</v>
      </c>
      <c r="E2151" s="121" t="s">
        <v>2686</v>
      </c>
      <c r="F2151" s="122" t="s">
        <v>2758</v>
      </c>
      <c r="G2151" s="52" t="s">
        <v>1608</v>
      </c>
      <c r="H2151" s="52"/>
      <c r="I2151" s="52" t="s">
        <v>2687</v>
      </c>
      <c r="J2151" s="52"/>
      <c r="K2151" s="59" t="s">
        <v>79</v>
      </c>
      <c r="L2151" s="52"/>
      <c r="M2151" s="52"/>
      <c r="N2151" s="52"/>
      <c r="O2151" s="52"/>
      <c r="P2151" s="111" t="s">
        <v>2688</v>
      </c>
      <c r="Q2151" s="55">
        <f>VLOOKUP(E2151,'NI-Soc_SP'!$C:$AN,12,FALSE)</f>
        <v>0</v>
      </c>
      <c r="R2151" s="55">
        <f>VLOOKUP(E2151,'NI-Soc_SP'!$C:$AN,13,FALSE)</f>
        <v>0</v>
      </c>
      <c r="S2151" s="55"/>
      <c r="T2151" s="55"/>
      <c r="U2151" s="55">
        <f>VLOOKUP($E2151,'NI-Soc_SP'!$C:$AN,MID(U$1,1,2),FALSE)</f>
        <v>0</v>
      </c>
      <c r="V2151" s="55">
        <f>VLOOKUP($E2151,'NI-Soc_SP'!$C:$AN,MID(V$1,1,2),FALSE)</f>
        <v>0</v>
      </c>
      <c r="W2151" s="55">
        <f>VLOOKUP($E2151,'NI-Soc_SP'!$C:$AN,MID(W$1,1,2),FALSE)</f>
        <v>0</v>
      </c>
      <c r="X2151" s="55">
        <f>VLOOKUP($E2151,'NI-Soc_SP'!$C:$AN,MID(X$1,1,2),FALSE)</f>
        <v>0</v>
      </c>
      <c r="Y2151" s="55">
        <f>VLOOKUP($E2151,'NI-Soc_SP'!$C:$AN,MID(Y$1,1,2),FALSE)</f>
        <v>0</v>
      </c>
      <c r="Z2151" s="55">
        <f>VLOOKUP($E2151,'NI-Soc_SP'!$C:$AN,MID(Z$1,1,2),FALSE)</f>
        <v>0</v>
      </c>
      <c r="AA2151" s="55">
        <f>VLOOKUP($E2151,'NI-Soc_SP'!$C:$AN,MID(AA$1,1,2),FALSE)</f>
        <v>0</v>
      </c>
      <c r="AB2151" s="55">
        <f>VLOOKUP($E2151,'NI-Soc_SP'!$C:$AN,MID(AB$1,1,2),FALSE)</f>
        <v>0</v>
      </c>
      <c r="AC2151" s="55">
        <f>VLOOKUP($E2151,'NI-Soc_SP'!$C:$AN,MID(AC$1,1,2),FALSE)</f>
        <v>0</v>
      </c>
      <c r="AD2151" s="55">
        <f>VLOOKUP($E2151,'NI-Soc_SP'!$C:$AN,MID(AD$1,1,2),FALSE)</f>
        <v>0</v>
      </c>
      <c r="AE2151" s="55">
        <f>VLOOKUP($E2151,'NI-Soc_SP'!$C:$AN,MID(AE$1,1,2),FALSE)</f>
        <v>0</v>
      </c>
      <c r="AF2151" s="55">
        <f>VLOOKUP($E2151,'NI-Soc_SP'!$C:$AN,MID(AF$1,1,2),FALSE)</f>
        <v>0</v>
      </c>
      <c r="AG2151" s="55">
        <f>VLOOKUP($E2151,'NI-Soc_SP'!$C:$AN,MID(AG$1,1,2),FALSE)</f>
        <v>0</v>
      </c>
      <c r="AH2151" s="55">
        <f>VLOOKUP($E2151,'NI-Soc_SP'!$C:$AN,MID(AH$1,1,2),FALSE)</f>
        <v>0</v>
      </c>
      <c r="AI2151" s="55">
        <f>VLOOKUP($E2151,'NI-Soc_SP'!$C:$AN,MID(AI$1,1,2),FALSE)</f>
        <v>0</v>
      </c>
      <c r="AJ2151" s="55">
        <f>VLOOKUP($E2151,'NI-Soc_SP'!$C:$AN,MID(AJ$1,1,2),FALSE)</f>
        <v>0</v>
      </c>
      <c r="AK2151" s="55">
        <f>VLOOKUP($E2151,'NI-Soc_SP'!$C:$AN,MID(AK$1,1,2),FALSE)</f>
        <v>0</v>
      </c>
      <c r="AL2151" s="55">
        <f>VLOOKUP($E2151,'NI-Soc_SP'!$C:$AN,MID(AL$1,1,2),FALSE)</f>
        <v>0</v>
      </c>
      <c r="AM2151" s="56">
        <f>VLOOKUP($E2151,'NI-Soc_SP'!$C:$AN,MID(AM$1,1,2),FALSE)</f>
        <v>0</v>
      </c>
      <c r="AN2151" s="30" t="str">
        <f t="shared" si="33"/>
        <v>80202000000000</v>
      </c>
    </row>
    <row r="2152" spans="1:40" ht="13.5" customHeight="1" x14ac:dyDescent="0.25">
      <c r="A2152" s="30" t="s">
        <v>1394</v>
      </c>
      <c r="C2152" s="40"/>
      <c r="D2152" s="98" t="s">
        <v>2689</v>
      </c>
      <c r="E2152" s="98" t="s">
        <v>2690</v>
      </c>
      <c r="F2152" s="122" t="s">
        <v>2758</v>
      </c>
      <c r="H2152" s="52"/>
      <c r="I2152" s="52"/>
      <c r="J2152" s="79" t="s">
        <v>2691</v>
      </c>
      <c r="K2152" s="59"/>
      <c r="L2152" s="52"/>
      <c r="M2152" s="52"/>
      <c r="N2152" s="52"/>
      <c r="O2152" s="52"/>
      <c r="P2152" s="79" t="s">
        <v>2692</v>
      </c>
      <c r="Q2152" s="55">
        <f>VLOOKUP(E2152,'NI-Soc_SP'!$C:$AN,12,FALSE)</f>
        <v>0</v>
      </c>
      <c r="R2152" s="55">
        <f>VLOOKUP(E2152,'NI-Soc_SP'!$C:$AN,13,FALSE)</f>
        <v>0</v>
      </c>
      <c r="S2152" s="55"/>
      <c r="T2152" s="55"/>
      <c r="U2152" s="55">
        <f>VLOOKUP($E2152,'NI-Soc_SP'!$C:$AN,MID(U$1,1,2),FALSE)</f>
        <v>0</v>
      </c>
      <c r="V2152" s="55">
        <f>VLOOKUP($E2152,'NI-Soc_SP'!$C:$AN,MID(V$1,1,2),FALSE)</f>
        <v>0</v>
      </c>
      <c r="W2152" s="55">
        <f>VLOOKUP($E2152,'NI-Soc_SP'!$C:$AN,MID(W$1,1,2),FALSE)</f>
        <v>0</v>
      </c>
      <c r="X2152" s="55">
        <f>VLOOKUP($E2152,'NI-Soc_SP'!$C:$AN,MID(X$1,1,2),FALSE)</f>
        <v>0</v>
      </c>
      <c r="Y2152" s="55">
        <f>VLOOKUP($E2152,'NI-Soc_SP'!$C:$AN,MID(Y$1,1,2),FALSE)</f>
        <v>0</v>
      </c>
      <c r="Z2152" s="55">
        <f>VLOOKUP($E2152,'NI-Soc_SP'!$C:$AN,MID(Z$1,1,2),FALSE)</f>
        <v>0</v>
      </c>
      <c r="AA2152" s="55">
        <f>VLOOKUP($E2152,'NI-Soc_SP'!$C:$AN,MID(AA$1,1,2),FALSE)</f>
        <v>0</v>
      </c>
      <c r="AB2152" s="55">
        <f>VLOOKUP($E2152,'NI-Soc_SP'!$C:$AN,MID(AB$1,1,2),FALSE)</f>
        <v>0</v>
      </c>
      <c r="AC2152" s="55">
        <f>VLOOKUP($E2152,'NI-Soc_SP'!$C:$AN,MID(AC$1,1,2),FALSE)</f>
        <v>0</v>
      </c>
      <c r="AD2152" s="55">
        <f>VLOOKUP($E2152,'NI-Soc_SP'!$C:$AN,MID(AD$1,1,2),FALSE)</f>
        <v>0</v>
      </c>
      <c r="AE2152" s="55">
        <f>VLOOKUP($E2152,'NI-Soc_SP'!$C:$AN,MID(AE$1,1,2),FALSE)</f>
        <v>0</v>
      </c>
      <c r="AF2152" s="55">
        <f>VLOOKUP($E2152,'NI-Soc_SP'!$C:$AN,MID(AF$1,1,2),FALSE)</f>
        <v>0</v>
      </c>
      <c r="AG2152" s="55">
        <f>VLOOKUP($E2152,'NI-Soc_SP'!$C:$AN,MID(AG$1,1,2),FALSE)</f>
        <v>0</v>
      </c>
      <c r="AH2152" s="55">
        <f>VLOOKUP($E2152,'NI-Soc_SP'!$C:$AN,MID(AH$1,1,2),FALSE)</f>
        <v>0</v>
      </c>
      <c r="AI2152" s="55">
        <f>VLOOKUP($E2152,'NI-Soc_SP'!$C:$AN,MID(AI$1,1,2),FALSE)</f>
        <v>0</v>
      </c>
      <c r="AJ2152" s="55">
        <f>VLOOKUP($E2152,'NI-Soc_SP'!$C:$AN,MID(AJ$1,1,2),FALSE)</f>
        <v>0</v>
      </c>
      <c r="AK2152" s="55">
        <f>VLOOKUP($E2152,'NI-Soc_SP'!$C:$AN,MID(AK$1,1,2),FALSE)</f>
        <v>0</v>
      </c>
      <c r="AL2152" s="55">
        <f>VLOOKUP($E2152,'NI-Soc_SP'!$C:$AN,MID(AL$1,1,2),FALSE)</f>
        <v>0</v>
      </c>
      <c r="AM2152" s="56">
        <f>VLOOKUP($E2152,'NI-Soc_SP'!$C:$AN,MID(AM$1,1,2),FALSE)</f>
        <v>0</v>
      </c>
      <c r="AN2152" s="30" t="str">
        <f t="shared" si="33"/>
        <v>80203000000000</v>
      </c>
    </row>
    <row r="2153" spans="1:40" x14ac:dyDescent="0.25">
      <c r="D2153" s="121" t="s">
        <v>2693</v>
      </c>
      <c r="E2153" s="121" t="s">
        <v>2694</v>
      </c>
      <c r="F2153" s="122" t="s">
        <v>2758</v>
      </c>
      <c r="G2153" s="52"/>
      <c r="H2153" s="52"/>
      <c r="I2153" s="52"/>
      <c r="J2153" s="52"/>
      <c r="K2153" s="59" t="s">
        <v>111</v>
      </c>
      <c r="L2153" s="52"/>
      <c r="M2153" s="52"/>
      <c r="N2153" s="52"/>
      <c r="O2153" s="52"/>
      <c r="P2153" s="111" t="s">
        <v>2695</v>
      </c>
      <c r="Q2153" s="55">
        <f>VLOOKUP(E2153,'NI-Soc_SP'!$C:$AN,12,FALSE)</f>
        <v>0</v>
      </c>
      <c r="R2153" s="55">
        <f>VLOOKUP(E2153,'NI-Soc_SP'!$C:$AN,13,FALSE)</f>
        <v>0</v>
      </c>
      <c r="S2153" s="55"/>
      <c r="T2153" s="55"/>
      <c r="U2153" s="55">
        <f>VLOOKUP($E2153,'NI-Soc_SP'!$C:$AN,MID(U$1,1,2),FALSE)</f>
        <v>0</v>
      </c>
      <c r="V2153" s="55">
        <f>VLOOKUP($E2153,'NI-Soc_SP'!$C:$AN,MID(V$1,1,2),FALSE)</f>
        <v>0</v>
      </c>
      <c r="W2153" s="55">
        <f>VLOOKUP($E2153,'NI-Soc_SP'!$C:$AN,MID(W$1,1,2),FALSE)</f>
        <v>0</v>
      </c>
      <c r="X2153" s="55" t="str">
        <f>VLOOKUP($E2153,'NI-Soc_SP'!$C:$AN,MID(X$1,1,2),FALSE)</f>
        <v/>
      </c>
      <c r="Y2153" s="55">
        <f>VLOOKUP($E2153,'NI-Soc_SP'!$C:$AN,MID(Y$1,1,2),FALSE)</f>
        <v>0</v>
      </c>
      <c r="Z2153" s="55">
        <f>VLOOKUP($E2153,'NI-Soc_SP'!$C:$AN,MID(Z$1,1,2),FALSE)</f>
        <v>0</v>
      </c>
      <c r="AA2153" s="55">
        <f>VLOOKUP($E2153,'NI-Soc_SP'!$C:$AN,MID(AA$1,1,2),FALSE)</f>
        <v>0</v>
      </c>
      <c r="AB2153" s="55">
        <f>VLOOKUP($E2153,'NI-Soc_SP'!$C:$AN,MID(AB$1,1,2),FALSE)</f>
        <v>0</v>
      </c>
      <c r="AC2153" s="55">
        <f>VLOOKUP($E2153,'NI-Soc_SP'!$C:$AN,MID(AC$1,1,2),FALSE)</f>
        <v>0</v>
      </c>
      <c r="AD2153" s="55">
        <f>VLOOKUP($E2153,'NI-Soc_SP'!$C:$AN,MID(AD$1,1,2),FALSE)</f>
        <v>0</v>
      </c>
      <c r="AE2153" s="55">
        <f>VLOOKUP($E2153,'NI-Soc_SP'!$C:$AN,MID(AE$1,1,2),FALSE)</f>
        <v>0</v>
      </c>
      <c r="AF2153" s="55">
        <f>VLOOKUP($E2153,'NI-Soc_SP'!$C:$AN,MID(AF$1,1,2),FALSE)</f>
        <v>0</v>
      </c>
      <c r="AG2153" s="55">
        <f>VLOOKUP($E2153,'NI-Soc_SP'!$C:$AN,MID(AG$1,1,2),FALSE)</f>
        <v>0</v>
      </c>
      <c r="AH2153" s="55">
        <f>VLOOKUP($E2153,'NI-Soc_SP'!$C:$AN,MID(AH$1,1,2),FALSE)</f>
        <v>0</v>
      </c>
      <c r="AI2153" s="55">
        <f>VLOOKUP($E2153,'NI-Soc_SP'!$C:$AN,MID(AI$1,1,2),FALSE)</f>
        <v>0</v>
      </c>
      <c r="AJ2153" s="55">
        <f>VLOOKUP($E2153,'NI-Soc_SP'!$C:$AN,MID(AJ$1,1,2),FALSE)</f>
        <v>0</v>
      </c>
      <c r="AK2153" s="55">
        <f>VLOOKUP($E2153,'NI-Soc_SP'!$C:$AN,MID(AK$1,1,2),FALSE)</f>
        <v>0</v>
      </c>
      <c r="AL2153" s="55">
        <f>VLOOKUP($E2153,'NI-Soc_SP'!$C:$AN,MID(AL$1,1,2),FALSE)</f>
        <v>0</v>
      </c>
      <c r="AM2153" s="56">
        <f>VLOOKUP($E2153,'NI-Soc_SP'!$C:$AN,MID(AM$1,1,2),FALSE)</f>
        <v>0</v>
      </c>
      <c r="AN2153" s="30" t="str">
        <f t="shared" si="33"/>
        <v>90000000000000</v>
      </c>
    </row>
    <row r="2154" spans="1:40" x14ac:dyDescent="0.25">
      <c r="D2154" s="121" t="s">
        <v>2696</v>
      </c>
      <c r="E2154" s="121" t="s">
        <v>2697</v>
      </c>
      <c r="F2154" s="122" t="s">
        <v>2758</v>
      </c>
      <c r="G2154" s="52"/>
      <c r="H2154" s="52"/>
      <c r="I2154" s="52" t="s">
        <v>2698</v>
      </c>
      <c r="J2154" s="52"/>
      <c r="K2154" s="59" t="s">
        <v>79</v>
      </c>
      <c r="L2154" s="52"/>
      <c r="M2154" s="52"/>
      <c r="N2154" s="52"/>
      <c r="O2154" s="61" t="s">
        <v>2699</v>
      </c>
      <c r="P2154" s="111" t="s">
        <v>2700</v>
      </c>
      <c r="Q2154" s="55">
        <f>VLOOKUP(E2154,'NI-Soc_SP'!$C:$AN,12,FALSE)</f>
        <v>0</v>
      </c>
      <c r="R2154" s="55">
        <f>VLOOKUP(E2154,'NI-Soc_SP'!$C:$AN,13,FALSE)</f>
        <v>0</v>
      </c>
      <c r="S2154" s="55"/>
      <c r="T2154" s="55"/>
      <c r="U2154" s="55">
        <f>VLOOKUP($E2154,'NI-Soc_SP'!$C:$AN,MID(U$1,1,2),FALSE)</f>
        <v>0</v>
      </c>
      <c r="V2154" s="55">
        <f>VLOOKUP($E2154,'NI-Soc_SP'!$C:$AN,MID(V$1,1,2),FALSE)</f>
        <v>0</v>
      </c>
      <c r="W2154" s="55">
        <f>VLOOKUP($E2154,'NI-Soc_SP'!$C:$AN,MID(W$1,1,2),FALSE)</f>
        <v>0</v>
      </c>
      <c r="X2154" s="55">
        <f>VLOOKUP($E2154,'NI-Soc_SP'!$C:$AN,MID(X$1,1,2),FALSE)</f>
        <v>0</v>
      </c>
      <c r="Y2154" s="55">
        <f>VLOOKUP($E2154,'NI-Soc_SP'!$C:$AN,MID(Y$1,1,2),FALSE)</f>
        <v>0</v>
      </c>
      <c r="Z2154" s="55">
        <f>VLOOKUP($E2154,'NI-Soc_SP'!$C:$AN,MID(Z$1,1,2),FALSE)</f>
        <v>0</v>
      </c>
      <c r="AA2154" s="55">
        <f>VLOOKUP($E2154,'NI-Soc_SP'!$C:$AN,MID(AA$1,1,2),FALSE)</f>
        <v>0</v>
      </c>
      <c r="AB2154" s="55">
        <f>VLOOKUP($E2154,'NI-Soc_SP'!$C:$AN,MID(AB$1,1,2),FALSE)</f>
        <v>0</v>
      </c>
      <c r="AC2154" s="55">
        <f>VLOOKUP($E2154,'NI-Soc_SP'!$C:$AN,MID(AC$1,1,2),FALSE)</f>
        <v>0</v>
      </c>
      <c r="AD2154" s="55">
        <f>VLOOKUP($E2154,'NI-Soc_SP'!$C:$AN,MID(AD$1,1,2),FALSE)</f>
        <v>0</v>
      </c>
      <c r="AE2154" s="55">
        <f>VLOOKUP($E2154,'NI-Soc_SP'!$C:$AN,MID(AE$1,1,2),FALSE)</f>
        <v>0</v>
      </c>
      <c r="AF2154" s="55">
        <f>VLOOKUP($E2154,'NI-Soc_SP'!$C:$AN,MID(AF$1,1,2),FALSE)</f>
        <v>0</v>
      </c>
      <c r="AG2154" s="55">
        <f>VLOOKUP($E2154,'NI-Soc_SP'!$C:$AN,MID(AG$1,1,2),FALSE)</f>
        <v>0</v>
      </c>
      <c r="AH2154" s="55">
        <f>VLOOKUP($E2154,'NI-Soc_SP'!$C:$AN,MID(AH$1,1,2),FALSE)</f>
        <v>0</v>
      </c>
      <c r="AI2154" s="55">
        <f>VLOOKUP($E2154,'NI-Soc_SP'!$C:$AN,MID(AI$1,1,2),FALSE)</f>
        <v>0</v>
      </c>
      <c r="AJ2154" s="55">
        <f>VLOOKUP($E2154,'NI-Soc_SP'!$C:$AN,MID(AJ$1,1,2),FALSE)</f>
        <v>0</v>
      </c>
      <c r="AK2154" s="55">
        <f>VLOOKUP($E2154,'NI-Soc_SP'!$C:$AN,MID(AK$1,1,2),FALSE)</f>
        <v>0</v>
      </c>
      <c r="AL2154" s="55">
        <f>VLOOKUP($E2154,'NI-Soc_SP'!$C:$AN,MID(AL$1,1,2),FALSE)</f>
        <v>0</v>
      </c>
      <c r="AM2154" s="56">
        <f>VLOOKUP($E2154,'NI-Soc_SP'!$C:$AN,MID(AM$1,1,2),FALSE)</f>
        <v>0</v>
      </c>
      <c r="AN2154" s="30" t="str">
        <f t="shared" si="33"/>
        <v>90100000000000</v>
      </c>
    </row>
    <row r="2155" spans="1:40" x14ac:dyDescent="0.25">
      <c r="D2155" s="121" t="s">
        <v>2701</v>
      </c>
      <c r="E2155" s="121" t="s">
        <v>2702</v>
      </c>
      <c r="F2155" s="122" t="s">
        <v>2758</v>
      </c>
      <c r="G2155" s="52"/>
      <c r="H2155" s="52"/>
      <c r="I2155" s="52" t="s">
        <v>2703</v>
      </c>
      <c r="J2155" s="52"/>
      <c r="K2155" s="59" t="s">
        <v>79</v>
      </c>
      <c r="L2155" s="52"/>
      <c r="M2155" s="52"/>
      <c r="N2155" s="52"/>
      <c r="O2155" s="61" t="s">
        <v>2704</v>
      </c>
      <c r="P2155" s="111" t="s">
        <v>2705</v>
      </c>
      <c r="Q2155" s="55">
        <f>VLOOKUP(E2155,'NI-Soc_SP'!$C:$AN,12,FALSE)</f>
        <v>0</v>
      </c>
      <c r="R2155" s="55">
        <f>VLOOKUP(E2155,'NI-Soc_SP'!$C:$AN,13,FALSE)</f>
        <v>0</v>
      </c>
      <c r="S2155" s="55"/>
      <c r="T2155" s="55"/>
      <c r="U2155" s="55">
        <f>VLOOKUP($E2155,'NI-Soc_SP'!$C:$AN,MID(U$1,1,2),FALSE)</f>
        <v>0</v>
      </c>
      <c r="V2155" s="55">
        <f>VLOOKUP($E2155,'NI-Soc_SP'!$C:$AN,MID(V$1,1,2),FALSE)</f>
        <v>0</v>
      </c>
      <c r="W2155" s="55">
        <f>VLOOKUP($E2155,'NI-Soc_SP'!$C:$AN,MID(W$1,1,2),FALSE)</f>
        <v>0</v>
      </c>
      <c r="X2155" s="55">
        <f>VLOOKUP($E2155,'NI-Soc_SP'!$C:$AN,MID(X$1,1,2),FALSE)</f>
        <v>0</v>
      </c>
      <c r="Y2155" s="55">
        <f>VLOOKUP($E2155,'NI-Soc_SP'!$C:$AN,MID(Y$1,1,2),FALSE)</f>
        <v>0</v>
      </c>
      <c r="Z2155" s="55">
        <f>VLOOKUP($E2155,'NI-Soc_SP'!$C:$AN,MID(Z$1,1,2),FALSE)</f>
        <v>0</v>
      </c>
      <c r="AA2155" s="55">
        <f>VLOOKUP($E2155,'NI-Soc_SP'!$C:$AN,MID(AA$1,1,2),FALSE)</f>
        <v>0</v>
      </c>
      <c r="AB2155" s="55">
        <f>VLOOKUP($E2155,'NI-Soc_SP'!$C:$AN,MID(AB$1,1,2),FALSE)</f>
        <v>0</v>
      </c>
      <c r="AC2155" s="55">
        <f>VLOOKUP($E2155,'NI-Soc_SP'!$C:$AN,MID(AC$1,1,2),FALSE)</f>
        <v>0</v>
      </c>
      <c r="AD2155" s="55">
        <f>VLOOKUP($E2155,'NI-Soc_SP'!$C:$AN,MID(AD$1,1,2),FALSE)</f>
        <v>0</v>
      </c>
      <c r="AE2155" s="55">
        <f>VLOOKUP($E2155,'NI-Soc_SP'!$C:$AN,MID(AE$1,1,2),FALSE)</f>
        <v>0</v>
      </c>
      <c r="AF2155" s="55">
        <f>VLOOKUP($E2155,'NI-Soc_SP'!$C:$AN,MID(AF$1,1,2),FALSE)</f>
        <v>0</v>
      </c>
      <c r="AG2155" s="55">
        <f>VLOOKUP($E2155,'NI-Soc_SP'!$C:$AN,MID(AG$1,1,2),FALSE)</f>
        <v>0</v>
      </c>
      <c r="AH2155" s="55">
        <f>VLOOKUP($E2155,'NI-Soc_SP'!$C:$AN,MID(AH$1,1,2),FALSE)</f>
        <v>0</v>
      </c>
      <c r="AI2155" s="55">
        <f>VLOOKUP($E2155,'NI-Soc_SP'!$C:$AN,MID(AI$1,1,2),FALSE)</f>
        <v>0</v>
      </c>
      <c r="AJ2155" s="55">
        <f>VLOOKUP($E2155,'NI-Soc_SP'!$C:$AN,MID(AJ$1,1,2),FALSE)</f>
        <v>0</v>
      </c>
      <c r="AK2155" s="55">
        <f>VLOOKUP($E2155,'NI-Soc_SP'!$C:$AN,MID(AK$1,1,2),FALSE)</f>
        <v>0</v>
      </c>
      <c r="AL2155" s="55">
        <f>VLOOKUP($E2155,'NI-Soc_SP'!$C:$AN,MID(AL$1,1,2),FALSE)</f>
        <v>0</v>
      </c>
      <c r="AM2155" s="56">
        <f>VLOOKUP($E2155,'NI-Soc_SP'!$C:$AN,MID(AM$1,1,2),FALSE)</f>
        <v>0</v>
      </c>
      <c r="AN2155" s="30" t="str">
        <f t="shared" si="33"/>
        <v>90200000000000</v>
      </c>
    </row>
    <row r="2156" spans="1:40" x14ac:dyDescent="0.25">
      <c r="D2156" s="121" t="s">
        <v>2706</v>
      </c>
      <c r="E2156" s="121" t="s">
        <v>2707</v>
      </c>
      <c r="F2156" s="122" t="s">
        <v>2758</v>
      </c>
      <c r="G2156" s="52"/>
      <c r="H2156" s="52"/>
      <c r="I2156" s="52" t="s">
        <v>2708</v>
      </c>
      <c r="J2156" s="52"/>
      <c r="K2156" s="59" t="s">
        <v>79</v>
      </c>
      <c r="L2156" s="52"/>
      <c r="M2156" s="52"/>
      <c r="N2156" s="52"/>
      <c r="O2156" s="61" t="s">
        <v>2709</v>
      </c>
      <c r="P2156" s="111" t="s">
        <v>2710</v>
      </c>
      <c r="Q2156" s="55">
        <f>VLOOKUP(E2156,'NI-Soc_SP'!$C:$AN,12,FALSE)</f>
        <v>0</v>
      </c>
      <c r="R2156" s="55">
        <f>VLOOKUP(E2156,'NI-Soc_SP'!$C:$AN,13,FALSE)</f>
        <v>0</v>
      </c>
      <c r="S2156" s="55"/>
      <c r="T2156" s="55"/>
      <c r="U2156" s="55">
        <f>VLOOKUP($E2156,'NI-Soc_SP'!$C:$AN,MID(U$1,1,2),FALSE)</f>
        <v>0</v>
      </c>
      <c r="V2156" s="55">
        <f>VLOOKUP($E2156,'NI-Soc_SP'!$C:$AN,MID(V$1,1,2),FALSE)</f>
        <v>0</v>
      </c>
      <c r="W2156" s="55">
        <f>VLOOKUP($E2156,'NI-Soc_SP'!$C:$AN,MID(W$1,1,2),FALSE)</f>
        <v>0</v>
      </c>
      <c r="X2156" s="55">
        <f>VLOOKUP($E2156,'NI-Soc_SP'!$C:$AN,MID(X$1,1,2),FALSE)</f>
        <v>0</v>
      </c>
      <c r="Y2156" s="55">
        <f>VLOOKUP($E2156,'NI-Soc_SP'!$C:$AN,MID(Y$1,1,2),FALSE)</f>
        <v>0</v>
      </c>
      <c r="Z2156" s="55">
        <f>VLOOKUP($E2156,'NI-Soc_SP'!$C:$AN,MID(Z$1,1,2),FALSE)</f>
        <v>0</v>
      </c>
      <c r="AA2156" s="55">
        <f>VLOOKUP($E2156,'NI-Soc_SP'!$C:$AN,MID(AA$1,1,2),FALSE)</f>
        <v>0</v>
      </c>
      <c r="AB2156" s="55">
        <f>VLOOKUP($E2156,'NI-Soc_SP'!$C:$AN,MID(AB$1,1,2),FALSE)</f>
        <v>0</v>
      </c>
      <c r="AC2156" s="55">
        <f>VLOOKUP($E2156,'NI-Soc_SP'!$C:$AN,MID(AC$1,1,2),FALSE)</f>
        <v>0</v>
      </c>
      <c r="AD2156" s="55">
        <f>VLOOKUP($E2156,'NI-Soc_SP'!$C:$AN,MID(AD$1,1,2),FALSE)</f>
        <v>0</v>
      </c>
      <c r="AE2156" s="55">
        <f>VLOOKUP($E2156,'NI-Soc_SP'!$C:$AN,MID(AE$1,1,2),FALSE)</f>
        <v>0</v>
      </c>
      <c r="AF2156" s="55">
        <f>VLOOKUP($E2156,'NI-Soc_SP'!$C:$AN,MID(AF$1,1,2),FALSE)</f>
        <v>0</v>
      </c>
      <c r="AG2156" s="55">
        <f>VLOOKUP($E2156,'NI-Soc_SP'!$C:$AN,MID(AG$1,1,2),FALSE)</f>
        <v>0</v>
      </c>
      <c r="AH2156" s="55">
        <f>VLOOKUP($E2156,'NI-Soc_SP'!$C:$AN,MID(AH$1,1,2),FALSE)</f>
        <v>0</v>
      </c>
      <c r="AI2156" s="55">
        <f>VLOOKUP($E2156,'NI-Soc_SP'!$C:$AN,MID(AI$1,1,2),FALSE)</f>
        <v>0</v>
      </c>
      <c r="AJ2156" s="55">
        <f>VLOOKUP($E2156,'NI-Soc_SP'!$C:$AN,MID(AJ$1,1,2),FALSE)</f>
        <v>0</v>
      </c>
      <c r="AK2156" s="55">
        <f>VLOOKUP($E2156,'NI-Soc_SP'!$C:$AN,MID(AK$1,1,2),FALSE)</f>
        <v>0</v>
      </c>
      <c r="AL2156" s="55">
        <f>VLOOKUP($E2156,'NI-Soc_SP'!$C:$AN,MID(AL$1,1,2),FALSE)</f>
        <v>0</v>
      </c>
      <c r="AM2156" s="56">
        <f>VLOOKUP($E2156,'NI-Soc_SP'!$C:$AN,MID(AM$1,1,2),FALSE)</f>
        <v>0</v>
      </c>
      <c r="AN2156" s="30" t="str">
        <f t="shared" si="33"/>
        <v>90300000000000</v>
      </c>
    </row>
    <row r="2157" spans="1:40" x14ac:dyDescent="0.25">
      <c r="A2157" s="30" t="s">
        <v>1394</v>
      </c>
      <c r="C2157" s="40"/>
      <c r="D2157" s="98" t="s">
        <v>2711</v>
      </c>
      <c r="E2157" s="98" t="s">
        <v>2712</v>
      </c>
      <c r="F2157" s="122" t="s">
        <v>2758</v>
      </c>
      <c r="H2157" s="52"/>
      <c r="I2157" s="52"/>
      <c r="J2157" s="79" t="s">
        <v>2713</v>
      </c>
      <c r="K2157" s="59" t="s">
        <v>79</v>
      </c>
      <c r="L2157" s="52"/>
      <c r="M2157" s="52"/>
      <c r="N2157" s="52"/>
      <c r="O2157" s="61" t="s">
        <v>2714</v>
      </c>
      <c r="P2157" s="79" t="s">
        <v>2715</v>
      </c>
      <c r="Q2157" s="55">
        <f>VLOOKUP(E2157,'NI-Soc_SP'!$C:$AN,12,FALSE)</f>
        <v>0</v>
      </c>
      <c r="R2157" s="55">
        <f>VLOOKUP(E2157,'NI-Soc_SP'!$C:$AN,13,FALSE)</f>
        <v>0</v>
      </c>
      <c r="S2157" s="55"/>
      <c r="T2157" s="55"/>
      <c r="U2157" s="55">
        <f>VLOOKUP($E2157,'NI-Soc_SP'!$C:$AN,MID(U$1,1,2),FALSE)</f>
        <v>0</v>
      </c>
      <c r="V2157" s="55">
        <f>VLOOKUP($E2157,'NI-Soc_SP'!$C:$AN,MID(V$1,1,2),FALSE)</f>
        <v>0</v>
      </c>
      <c r="W2157" s="55">
        <f>VLOOKUP($E2157,'NI-Soc_SP'!$C:$AN,MID(W$1,1,2),FALSE)</f>
        <v>0</v>
      </c>
      <c r="X2157" s="55">
        <f>VLOOKUP($E2157,'NI-Soc_SP'!$C:$AN,MID(X$1,1,2),FALSE)</f>
        <v>0</v>
      </c>
      <c r="Y2157" s="55">
        <f>VLOOKUP($E2157,'NI-Soc_SP'!$C:$AN,MID(Y$1,1,2),FALSE)</f>
        <v>0</v>
      </c>
      <c r="Z2157" s="55">
        <f>VLOOKUP($E2157,'NI-Soc_SP'!$C:$AN,MID(Z$1,1,2),FALSE)</f>
        <v>0</v>
      </c>
      <c r="AA2157" s="55">
        <f>VLOOKUP($E2157,'NI-Soc_SP'!$C:$AN,MID(AA$1,1,2),FALSE)</f>
        <v>0</v>
      </c>
      <c r="AB2157" s="55">
        <f>VLOOKUP($E2157,'NI-Soc_SP'!$C:$AN,MID(AB$1,1,2),FALSE)</f>
        <v>0</v>
      </c>
      <c r="AC2157" s="55">
        <f>VLOOKUP($E2157,'NI-Soc_SP'!$C:$AN,MID(AC$1,1,2),FALSE)</f>
        <v>0</v>
      </c>
      <c r="AD2157" s="55">
        <f>VLOOKUP($E2157,'NI-Soc_SP'!$C:$AN,MID(AD$1,1,2),FALSE)</f>
        <v>0</v>
      </c>
      <c r="AE2157" s="55">
        <f>VLOOKUP($E2157,'NI-Soc_SP'!$C:$AN,MID(AE$1,1,2),FALSE)</f>
        <v>0</v>
      </c>
      <c r="AF2157" s="55">
        <f>VLOOKUP($E2157,'NI-Soc_SP'!$C:$AN,MID(AF$1,1,2),FALSE)</f>
        <v>0</v>
      </c>
      <c r="AG2157" s="55">
        <f>VLOOKUP($E2157,'NI-Soc_SP'!$C:$AN,MID(AG$1,1,2),FALSE)</f>
        <v>0</v>
      </c>
      <c r="AH2157" s="55">
        <f>VLOOKUP($E2157,'NI-Soc_SP'!$C:$AN,MID(AH$1,1,2),FALSE)</f>
        <v>0</v>
      </c>
      <c r="AI2157" s="55">
        <f>VLOOKUP($E2157,'NI-Soc_SP'!$C:$AN,MID(AI$1,1,2),FALSE)</f>
        <v>0</v>
      </c>
      <c r="AJ2157" s="55">
        <f>VLOOKUP($E2157,'NI-Soc_SP'!$C:$AN,MID(AJ$1,1,2),FALSE)</f>
        <v>0</v>
      </c>
      <c r="AK2157" s="55">
        <f>VLOOKUP($E2157,'NI-Soc_SP'!$C:$AN,MID(AK$1,1,2),FALSE)</f>
        <v>0</v>
      </c>
      <c r="AL2157" s="55">
        <f>VLOOKUP($E2157,'NI-Soc_SP'!$C:$AN,MID(AL$1,1,2),FALSE)</f>
        <v>0</v>
      </c>
      <c r="AM2157" s="56">
        <f>VLOOKUP($E2157,'NI-Soc_SP'!$C:$AN,MID(AM$1,1,2),FALSE)</f>
        <v>0</v>
      </c>
      <c r="AN2157" s="30" t="str">
        <f t="shared" si="33"/>
        <v>90400000000000</v>
      </c>
    </row>
    <row r="2158" spans="1:40" x14ac:dyDescent="0.25">
      <c r="D2158" s="121" t="s">
        <v>2716</v>
      </c>
      <c r="E2158" s="121" t="s">
        <v>2717</v>
      </c>
      <c r="F2158" s="122" t="s">
        <v>2758</v>
      </c>
      <c r="G2158" s="52"/>
      <c r="H2158" s="52"/>
      <c r="I2158" s="52" t="s">
        <v>2718</v>
      </c>
      <c r="J2158" s="52"/>
      <c r="K2158" s="59" t="s">
        <v>111</v>
      </c>
      <c r="L2158" s="52"/>
      <c r="M2158" s="52"/>
      <c r="N2158" s="52"/>
      <c r="O2158" s="61" t="s">
        <v>2714</v>
      </c>
      <c r="P2158" s="111" t="s">
        <v>2719</v>
      </c>
      <c r="Q2158" s="55">
        <f>VLOOKUP(E2158,'NI-Soc_SP'!$C:$AN,12,FALSE)</f>
        <v>0</v>
      </c>
      <c r="R2158" s="55">
        <f>VLOOKUP(E2158,'NI-Soc_SP'!$C:$AN,13,FALSE)</f>
        <v>0</v>
      </c>
      <c r="S2158" s="55"/>
      <c r="T2158" s="55"/>
      <c r="U2158" s="55">
        <f>VLOOKUP($E2158,'NI-Soc_SP'!$C:$AN,MID(U$1,1,2),FALSE)</f>
        <v>0</v>
      </c>
      <c r="V2158" s="55">
        <f>VLOOKUP($E2158,'NI-Soc_SP'!$C:$AN,MID(V$1,1,2),FALSE)</f>
        <v>0</v>
      </c>
      <c r="W2158" s="55">
        <f>VLOOKUP($E2158,'NI-Soc_SP'!$C:$AN,MID(W$1,1,2),FALSE)</f>
        <v>0</v>
      </c>
      <c r="X2158" s="55">
        <f>VLOOKUP($E2158,'NI-Soc_SP'!$C:$AN,MID(X$1,1,2),FALSE)</f>
        <v>0</v>
      </c>
      <c r="Y2158" s="55">
        <f>VLOOKUP($E2158,'NI-Soc_SP'!$C:$AN,MID(Y$1,1,2),FALSE)</f>
        <v>0</v>
      </c>
      <c r="Z2158" s="55">
        <f>VLOOKUP($E2158,'NI-Soc_SP'!$C:$AN,MID(Z$1,1,2),FALSE)</f>
        <v>0</v>
      </c>
      <c r="AA2158" s="55">
        <f>VLOOKUP($E2158,'NI-Soc_SP'!$C:$AN,MID(AA$1,1,2),FALSE)</f>
        <v>0</v>
      </c>
      <c r="AB2158" s="55">
        <f>VLOOKUP($E2158,'NI-Soc_SP'!$C:$AN,MID(AB$1,1,2),FALSE)</f>
        <v>0</v>
      </c>
      <c r="AC2158" s="55">
        <f>VLOOKUP($E2158,'NI-Soc_SP'!$C:$AN,MID(AC$1,1,2),FALSE)</f>
        <v>0</v>
      </c>
      <c r="AD2158" s="55">
        <f>VLOOKUP($E2158,'NI-Soc_SP'!$C:$AN,MID(AD$1,1,2),FALSE)</f>
        <v>0</v>
      </c>
      <c r="AE2158" s="55">
        <f>VLOOKUP($E2158,'NI-Soc_SP'!$C:$AN,MID(AE$1,1,2),FALSE)</f>
        <v>0</v>
      </c>
      <c r="AF2158" s="55">
        <f>VLOOKUP($E2158,'NI-Soc_SP'!$C:$AN,MID(AF$1,1,2),FALSE)</f>
        <v>0</v>
      </c>
      <c r="AG2158" s="55">
        <f>VLOOKUP($E2158,'NI-Soc_SP'!$C:$AN,MID(AG$1,1,2),FALSE)</f>
        <v>0</v>
      </c>
      <c r="AH2158" s="55">
        <f>VLOOKUP($E2158,'NI-Soc_SP'!$C:$AN,MID(AH$1,1,2),FALSE)</f>
        <v>0</v>
      </c>
      <c r="AI2158" s="55">
        <f>VLOOKUP($E2158,'NI-Soc_SP'!$C:$AN,MID(AI$1,1,2),FALSE)</f>
        <v>0</v>
      </c>
      <c r="AJ2158" s="55">
        <f>VLOOKUP($E2158,'NI-Soc_SP'!$C:$AN,MID(AJ$1,1,2),FALSE)</f>
        <v>0</v>
      </c>
      <c r="AK2158" s="55">
        <f>VLOOKUP($E2158,'NI-Soc_SP'!$C:$AN,MID(AK$1,1,2),FALSE)</f>
        <v>0</v>
      </c>
      <c r="AL2158" s="55">
        <f>VLOOKUP($E2158,'NI-Soc_SP'!$C:$AN,MID(AL$1,1,2),FALSE)</f>
        <v>0</v>
      </c>
      <c r="AM2158" s="56">
        <f>VLOOKUP($E2158,'NI-Soc_SP'!$C:$AN,MID(AM$1,1,2),FALSE)</f>
        <v>0</v>
      </c>
      <c r="AN2158" s="30" t="str">
        <f t="shared" si="33"/>
        <v>90500000000000</v>
      </c>
    </row>
    <row r="2159" spans="1:40" x14ac:dyDescent="0.25">
      <c r="D2159" s="121" t="s">
        <v>2720</v>
      </c>
      <c r="E2159" s="121" t="s">
        <v>2721</v>
      </c>
      <c r="F2159" s="122" t="s">
        <v>2758</v>
      </c>
      <c r="G2159" s="52"/>
      <c r="H2159" s="52"/>
      <c r="I2159" s="52"/>
      <c r="J2159" s="52"/>
      <c r="K2159" s="59" t="s">
        <v>111</v>
      </c>
      <c r="L2159" s="52"/>
      <c r="M2159" s="52"/>
      <c r="N2159" s="52"/>
      <c r="O2159" s="52"/>
      <c r="P2159" s="107" t="s">
        <v>2722</v>
      </c>
      <c r="Q2159" s="55">
        <f>VLOOKUP(E2159,'NI-Soc_SP'!$C:$AN,12,FALSE)</f>
        <v>0</v>
      </c>
      <c r="R2159" s="55">
        <f>VLOOKUP(E2159,'NI-Soc_SP'!$C:$AN,13,FALSE)</f>
        <v>0</v>
      </c>
      <c r="S2159" s="55"/>
      <c r="T2159" s="55"/>
      <c r="U2159" s="55">
        <f>VLOOKUP($E2159,'NI-Soc_SP'!$C:$AN,MID(U$1,1,2),FALSE)</f>
        <v>0</v>
      </c>
      <c r="V2159" s="55">
        <f>VLOOKUP($E2159,'NI-Soc_SP'!$C:$AN,MID(V$1,1,2),FALSE)</f>
        <v>0</v>
      </c>
      <c r="W2159" s="55">
        <f>VLOOKUP($E2159,'NI-Soc_SP'!$C:$AN,MID(W$1,1,2),FALSE)</f>
        <v>0</v>
      </c>
      <c r="X2159" s="55">
        <f>VLOOKUP($E2159,'NI-Soc_SP'!$C:$AN,MID(X$1,1,2),FALSE)</f>
        <v>0</v>
      </c>
      <c r="Y2159" s="55">
        <f>VLOOKUP($E2159,'NI-Soc_SP'!$C:$AN,MID(Y$1,1,2),FALSE)</f>
        <v>0</v>
      </c>
      <c r="Z2159" s="55">
        <f>VLOOKUP($E2159,'NI-Soc_SP'!$C:$AN,MID(Z$1,1,2),FALSE)</f>
        <v>0</v>
      </c>
      <c r="AA2159" s="55">
        <f>VLOOKUP($E2159,'NI-Soc_SP'!$C:$AN,MID(AA$1,1,2),FALSE)</f>
        <v>0</v>
      </c>
      <c r="AB2159" s="55">
        <f>VLOOKUP($E2159,'NI-Soc_SP'!$C:$AN,MID(AB$1,1,2),FALSE)</f>
        <v>0</v>
      </c>
      <c r="AC2159" s="55">
        <f>VLOOKUP($E2159,'NI-Soc_SP'!$C:$AN,MID(AC$1,1,2),FALSE)</f>
        <v>0</v>
      </c>
      <c r="AD2159" s="55">
        <f>VLOOKUP($E2159,'NI-Soc_SP'!$C:$AN,MID(AD$1,1,2),FALSE)</f>
        <v>0</v>
      </c>
      <c r="AE2159" s="55">
        <f>VLOOKUP($E2159,'NI-Soc_SP'!$C:$AN,MID(AE$1,1,2),FALSE)</f>
        <v>0</v>
      </c>
      <c r="AF2159" s="55">
        <f>VLOOKUP($E2159,'NI-Soc_SP'!$C:$AN,MID(AF$1,1,2),FALSE)</f>
        <v>0</v>
      </c>
      <c r="AG2159" s="55">
        <f>VLOOKUP($E2159,'NI-Soc_SP'!$C:$AN,MID(AG$1,1,2),FALSE)</f>
        <v>0</v>
      </c>
      <c r="AH2159" s="55">
        <f>VLOOKUP($E2159,'NI-Soc_SP'!$C:$AN,MID(AH$1,1,2),FALSE)</f>
        <v>0</v>
      </c>
      <c r="AI2159" s="55">
        <f>VLOOKUP($E2159,'NI-Soc_SP'!$C:$AN,MID(AI$1,1,2),FALSE)</f>
        <v>0</v>
      </c>
      <c r="AJ2159" s="55">
        <f>VLOOKUP($E2159,'NI-Soc_SP'!$C:$AN,MID(AJ$1,1,2),FALSE)</f>
        <v>0</v>
      </c>
      <c r="AK2159" s="55">
        <f>VLOOKUP($E2159,'NI-Soc_SP'!$C:$AN,MID(AK$1,1,2),FALSE)</f>
        <v>0</v>
      </c>
      <c r="AL2159" s="55">
        <f>VLOOKUP($E2159,'NI-Soc_SP'!$C:$AN,MID(AL$1,1,2),FALSE)</f>
        <v>0</v>
      </c>
      <c r="AM2159" s="56">
        <f>VLOOKUP($E2159,'NI-Soc_SP'!$C:$AN,MID(AM$1,1,2),FALSE)</f>
        <v>0</v>
      </c>
      <c r="AN2159" s="30" t="str">
        <f t="shared" si="33"/>
        <v>90501010000000</v>
      </c>
    </row>
    <row r="2160" spans="1:40" x14ac:dyDescent="0.25">
      <c r="D2160" s="121" t="s">
        <v>2723</v>
      </c>
      <c r="E2160" s="121" t="s">
        <v>2724</v>
      </c>
      <c r="F2160" s="122" t="s">
        <v>2758</v>
      </c>
      <c r="G2160" s="52"/>
      <c r="H2160" s="52"/>
      <c r="I2160" s="52"/>
      <c r="J2160" s="52"/>
      <c r="K2160" s="59" t="s">
        <v>79</v>
      </c>
      <c r="L2160" s="52"/>
      <c r="M2160" s="52"/>
      <c r="N2160" s="52"/>
      <c r="O2160" s="52"/>
      <c r="P2160" s="108" t="s">
        <v>1871</v>
      </c>
      <c r="Q2160" s="55">
        <f>VLOOKUP(E2160,'NI-Soc_SP'!$C:$AN,12,FALSE)</f>
        <v>0</v>
      </c>
      <c r="R2160" s="55">
        <f>VLOOKUP(E2160,'NI-Soc_SP'!$C:$AN,13,FALSE)</f>
        <v>0</v>
      </c>
      <c r="S2160" s="55"/>
      <c r="T2160" s="55"/>
      <c r="U2160" s="55">
        <f>VLOOKUP($E2160,'NI-Soc_SP'!$C:$AN,MID(U$1,1,2),FALSE)</f>
        <v>0</v>
      </c>
      <c r="V2160" s="55">
        <f>VLOOKUP($E2160,'NI-Soc_SP'!$C:$AN,MID(V$1,1,2),FALSE)</f>
        <v>0</v>
      </c>
      <c r="W2160" s="55">
        <f>VLOOKUP($E2160,'NI-Soc_SP'!$C:$AN,MID(W$1,1,2),FALSE)</f>
        <v>0</v>
      </c>
      <c r="X2160" s="55">
        <f>VLOOKUP($E2160,'NI-Soc_SP'!$C:$AN,MID(X$1,1,2),FALSE)</f>
        <v>0</v>
      </c>
      <c r="Y2160" s="55">
        <f>VLOOKUP($E2160,'NI-Soc_SP'!$C:$AN,MID(Y$1,1,2),FALSE)</f>
        <v>0</v>
      </c>
      <c r="Z2160" s="55">
        <f>VLOOKUP($E2160,'NI-Soc_SP'!$C:$AN,MID(Z$1,1,2),FALSE)</f>
        <v>0</v>
      </c>
      <c r="AA2160" s="55">
        <f>VLOOKUP($E2160,'NI-Soc_SP'!$C:$AN,MID(AA$1,1,2),FALSE)</f>
        <v>0</v>
      </c>
      <c r="AB2160" s="55">
        <f>VLOOKUP($E2160,'NI-Soc_SP'!$C:$AN,MID(AB$1,1,2),FALSE)</f>
        <v>0</v>
      </c>
      <c r="AC2160" s="55">
        <f>VLOOKUP($E2160,'NI-Soc_SP'!$C:$AN,MID(AC$1,1,2),FALSE)</f>
        <v>0</v>
      </c>
      <c r="AD2160" s="55">
        <f>VLOOKUP($E2160,'NI-Soc_SP'!$C:$AN,MID(AD$1,1,2),FALSE)</f>
        <v>0</v>
      </c>
      <c r="AE2160" s="55">
        <f>VLOOKUP($E2160,'NI-Soc_SP'!$C:$AN,MID(AE$1,1,2),FALSE)</f>
        <v>0</v>
      </c>
      <c r="AF2160" s="55">
        <f>VLOOKUP($E2160,'NI-Soc_SP'!$C:$AN,MID(AF$1,1,2),FALSE)</f>
        <v>0</v>
      </c>
      <c r="AG2160" s="55">
        <f>VLOOKUP($E2160,'NI-Soc_SP'!$C:$AN,MID(AG$1,1,2),FALSE)</f>
        <v>0</v>
      </c>
      <c r="AH2160" s="55">
        <f>VLOOKUP($E2160,'NI-Soc_SP'!$C:$AN,MID(AH$1,1,2),FALSE)</f>
        <v>0</v>
      </c>
      <c r="AI2160" s="55">
        <f>VLOOKUP($E2160,'NI-Soc_SP'!$C:$AN,MID(AI$1,1,2),FALSE)</f>
        <v>0</v>
      </c>
      <c r="AJ2160" s="55">
        <f>VLOOKUP($E2160,'NI-Soc_SP'!$C:$AN,MID(AJ$1,1,2),FALSE)</f>
        <v>0</v>
      </c>
      <c r="AK2160" s="55">
        <f>VLOOKUP($E2160,'NI-Soc_SP'!$C:$AN,MID(AK$1,1,2),FALSE)</f>
        <v>0</v>
      </c>
      <c r="AL2160" s="55">
        <f>VLOOKUP($E2160,'NI-Soc_SP'!$C:$AN,MID(AL$1,1,2),FALSE)</f>
        <v>0</v>
      </c>
      <c r="AM2160" s="56">
        <f>VLOOKUP($E2160,'NI-Soc_SP'!$C:$AN,MID(AM$1,1,2),FALSE)</f>
        <v>0</v>
      </c>
      <c r="AN2160" s="30" t="str">
        <f t="shared" si="33"/>
        <v>90501010010000</v>
      </c>
    </row>
    <row r="2161" spans="4:40" x14ac:dyDescent="0.25">
      <c r="D2161" s="121" t="s">
        <v>2725</v>
      </c>
      <c r="E2161" s="121" t="s">
        <v>2726</v>
      </c>
      <c r="F2161" s="122" t="s">
        <v>2758</v>
      </c>
      <c r="G2161" s="52"/>
      <c r="H2161" s="52"/>
      <c r="I2161" s="52"/>
      <c r="J2161" s="52"/>
      <c r="K2161" s="59" t="s">
        <v>79</v>
      </c>
      <c r="L2161" s="52"/>
      <c r="M2161" s="52"/>
      <c r="N2161" s="52"/>
      <c r="O2161" s="52"/>
      <c r="P2161" s="108" t="s">
        <v>1874</v>
      </c>
      <c r="Q2161" s="55">
        <f>VLOOKUP(E2161,'NI-Soc_SP'!$C:$AN,12,FALSE)</f>
        <v>0</v>
      </c>
      <c r="R2161" s="55">
        <f>VLOOKUP(E2161,'NI-Soc_SP'!$C:$AN,13,FALSE)</f>
        <v>0</v>
      </c>
      <c r="S2161" s="55"/>
      <c r="T2161" s="55"/>
      <c r="U2161" s="55">
        <f>VLOOKUP($E2161,'NI-Soc_SP'!$C:$AN,MID(U$1,1,2),FALSE)</f>
        <v>0</v>
      </c>
      <c r="V2161" s="55">
        <f>VLOOKUP($E2161,'NI-Soc_SP'!$C:$AN,MID(V$1,1,2),FALSE)</f>
        <v>0</v>
      </c>
      <c r="W2161" s="55">
        <f>VLOOKUP($E2161,'NI-Soc_SP'!$C:$AN,MID(W$1,1,2),FALSE)</f>
        <v>0</v>
      </c>
      <c r="X2161" s="55">
        <f>VLOOKUP($E2161,'NI-Soc_SP'!$C:$AN,MID(X$1,1,2),FALSE)</f>
        <v>0</v>
      </c>
      <c r="Y2161" s="55">
        <f>VLOOKUP($E2161,'NI-Soc_SP'!$C:$AN,MID(Y$1,1,2),FALSE)</f>
        <v>0</v>
      </c>
      <c r="Z2161" s="55">
        <f>VLOOKUP($E2161,'NI-Soc_SP'!$C:$AN,MID(Z$1,1,2),FALSE)</f>
        <v>0</v>
      </c>
      <c r="AA2161" s="55">
        <f>VLOOKUP($E2161,'NI-Soc_SP'!$C:$AN,MID(AA$1,1,2),FALSE)</f>
        <v>0</v>
      </c>
      <c r="AB2161" s="55">
        <f>VLOOKUP($E2161,'NI-Soc_SP'!$C:$AN,MID(AB$1,1,2),FALSE)</f>
        <v>0</v>
      </c>
      <c r="AC2161" s="55">
        <f>VLOOKUP($E2161,'NI-Soc_SP'!$C:$AN,MID(AC$1,1,2),FALSE)</f>
        <v>0</v>
      </c>
      <c r="AD2161" s="55">
        <f>VLOOKUP($E2161,'NI-Soc_SP'!$C:$AN,MID(AD$1,1,2),FALSE)</f>
        <v>0</v>
      </c>
      <c r="AE2161" s="55">
        <f>VLOOKUP($E2161,'NI-Soc_SP'!$C:$AN,MID(AE$1,1,2),FALSE)</f>
        <v>0</v>
      </c>
      <c r="AF2161" s="55">
        <f>VLOOKUP($E2161,'NI-Soc_SP'!$C:$AN,MID(AF$1,1,2),FALSE)</f>
        <v>0</v>
      </c>
      <c r="AG2161" s="55">
        <f>VLOOKUP($E2161,'NI-Soc_SP'!$C:$AN,MID(AG$1,1,2),FALSE)</f>
        <v>0</v>
      </c>
      <c r="AH2161" s="55">
        <f>VLOOKUP($E2161,'NI-Soc_SP'!$C:$AN,MID(AH$1,1,2),FALSE)</f>
        <v>0</v>
      </c>
      <c r="AI2161" s="55">
        <f>VLOOKUP($E2161,'NI-Soc_SP'!$C:$AN,MID(AI$1,1,2),FALSE)</f>
        <v>0</v>
      </c>
      <c r="AJ2161" s="55">
        <f>VLOOKUP($E2161,'NI-Soc_SP'!$C:$AN,MID(AJ$1,1,2),FALSE)</f>
        <v>0</v>
      </c>
      <c r="AK2161" s="55">
        <f>VLOOKUP($E2161,'NI-Soc_SP'!$C:$AN,MID(AK$1,1,2),FALSE)</f>
        <v>0</v>
      </c>
      <c r="AL2161" s="55">
        <f>VLOOKUP($E2161,'NI-Soc_SP'!$C:$AN,MID(AL$1,1,2),FALSE)</f>
        <v>0</v>
      </c>
      <c r="AM2161" s="56">
        <f>VLOOKUP($E2161,'NI-Soc_SP'!$C:$AN,MID(AM$1,1,2),FALSE)</f>
        <v>0</v>
      </c>
      <c r="AN2161" s="30" t="str">
        <f t="shared" si="33"/>
        <v>90501010020000</v>
      </c>
    </row>
    <row r="2162" spans="4:40" x14ac:dyDescent="0.25">
      <c r="D2162" s="121" t="s">
        <v>2727</v>
      </c>
      <c r="E2162" s="121" t="s">
        <v>2728</v>
      </c>
      <c r="F2162" s="122" t="s">
        <v>2758</v>
      </c>
      <c r="G2162" s="52"/>
      <c r="H2162" s="52"/>
      <c r="I2162" s="52"/>
      <c r="J2162" s="52"/>
      <c r="K2162" s="59" t="s">
        <v>79</v>
      </c>
      <c r="L2162" s="52"/>
      <c r="M2162" s="52"/>
      <c r="N2162" s="52"/>
      <c r="O2162" s="52"/>
      <c r="P2162" s="108" t="s">
        <v>1877</v>
      </c>
      <c r="Q2162" s="55">
        <f>VLOOKUP(E2162,'NI-Soc_SP'!$C:$AN,12,FALSE)</f>
        <v>0</v>
      </c>
      <c r="R2162" s="55">
        <f>VLOOKUP(E2162,'NI-Soc_SP'!$C:$AN,13,FALSE)</f>
        <v>0</v>
      </c>
      <c r="S2162" s="55"/>
      <c r="T2162" s="55"/>
      <c r="U2162" s="55">
        <f>VLOOKUP($E2162,'NI-Soc_SP'!$C:$AN,MID(U$1,1,2),FALSE)</f>
        <v>0</v>
      </c>
      <c r="V2162" s="55">
        <f>VLOOKUP($E2162,'NI-Soc_SP'!$C:$AN,MID(V$1,1,2),FALSE)</f>
        <v>0</v>
      </c>
      <c r="W2162" s="55">
        <f>VLOOKUP($E2162,'NI-Soc_SP'!$C:$AN,MID(W$1,1,2),FALSE)</f>
        <v>0</v>
      </c>
      <c r="X2162" s="55">
        <f>VLOOKUP($E2162,'NI-Soc_SP'!$C:$AN,MID(X$1,1,2),FALSE)</f>
        <v>0</v>
      </c>
      <c r="Y2162" s="55">
        <f>VLOOKUP($E2162,'NI-Soc_SP'!$C:$AN,MID(Y$1,1,2),FALSE)</f>
        <v>0</v>
      </c>
      <c r="Z2162" s="55">
        <f>VLOOKUP($E2162,'NI-Soc_SP'!$C:$AN,MID(Z$1,1,2),FALSE)</f>
        <v>0</v>
      </c>
      <c r="AA2162" s="55">
        <f>VLOOKUP($E2162,'NI-Soc_SP'!$C:$AN,MID(AA$1,1,2),FALSE)</f>
        <v>0</v>
      </c>
      <c r="AB2162" s="55">
        <f>VLOOKUP($E2162,'NI-Soc_SP'!$C:$AN,MID(AB$1,1,2),FALSE)</f>
        <v>0</v>
      </c>
      <c r="AC2162" s="55">
        <f>VLOOKUP($E2162,'NI-Soc_SP'!$C:$AN,MID(AC$1,1,2),FALSE)</f>
        <v>0</v>
      </c>
      <c r="AD2162" s="55">
        <f>VLOOKUP($E2162,'NI-Soc_SP'!$C:$AN,MID(AD$1,1,2),FALSE)</f>
        <v>0</v>
      </c>
      <c r="AE2162" s="55">
        <f>VLOOKUP($E2162,'NI-Soc_SP'!$C:$AN,MID(AE$1,1,2),FALSE)</f>
        <v>0</v>
      </c>
      <c r="AF2162" s="55">
        <f>VLOOKUP($E2162,'NI-Soc_SP'!$C:$AN,MID(AF$1,1,2),FALSE)</f>
        <v>0</v>
      </c>
      <c r="AG2162" s="55">
        <f>VLOOKUP($E2162,'NI-Soc_SP'!$C:$AN,MID(AG$1,1,2),FALSE)</f>
        <v>0</v>
      </c>
      <c r="AH2162" s="55">
        <f>VLOOKUP($E2162,'NI-Soc_SP'!$C:$AN,MID(AH$1,1,2),FALSE)</f>
        <v>0</v>
      </c>
      <c r="AI2162" s="55">
        <f>VLOOKUP($E2162,'NI-Soc_SP'!$C:$AN,MID(AI$1,1,2),FALSE)</f>
        <v>0</v>
      </c>
      <c r="AJ2162" s="55">
        <f>VLOOKUP($E2162,'NI-Soc_SP'!$C:$AN,MID(AJ$1,1,2),FALSE)</f>
        <v>0</v>
      </c>
      <c r="AK2162" s="55">
        <f>VLOOKUP($E2162,'NI-Soc_SP'!$C:$AN,MID(AK$1,1,2),FALSE)</f>
        <v>0</v>
      </c>
      <c r="AL2162" s="55">
        <f>VLOOKUP($E2162,'NI-Soc_SP'!$C:$AN,MID(AL$1,1,2),FALSE)</f>
        <v>0</v>
      </c>
      <c r="AM2162" s="56">
        <f>VLOOKUP($E2162,'NI-Soc_SP'!$C:$AN,MID(AM$1,1,2),FALSE)</f>
        <v>0</v>
      </c>
      <c r="AN2162" s="30" t="str">
        <f t="shared" si="33"/>
        <v>90501010030000</v>
      </c>
    </row>
    <row r="2163" spans="4:40" x14ac:dyDescent="0.25">
      <c r="D2163" s="121" t="s">
        <v>2729</v>
      </c>
      <c r="E2163" s="121" t="s">
        <v>2730</v>
      </c>
      <c r="F2163" s="122" t="s">
        <v>2758</v>
      </c>
      <c r="G2163" s="52"/>
      <c r="H2163" s="52"/>
      <c r="I2163" s="52"/>
      <c r="J2163" s="52"/>
      <c r="K2163" s="59" t="s">
        <v>111</v>
      </c>
      <c r="L2163" s="52"/>
      <c r="M2163" s="52"/>
      <c r="N2163" s="52"/>
      <c r="O2163" s="52"/>
      <c r="P2163" s="107" t="s">
        <v>2731</v>
      </c>
      <c r="Q2163" s="55">
        <f>VLOOKUP(E2163,'NI-Soc_SP'!$C:$AN,12,FALSE)</f>
        <v>0</v>
      </c>
      <c r="R2163" s="55">
        <f>VLOOKUP(E2163,'NI-Soc_SP'!$C:$AN,13,FALSE)</f>
        <v>0</v>
      </c>
      <c r="S2163" s="55"/>
      <c r="T2163" s="55"/>
      <c r="U2163" s="55">
        <f>VLOOKUP($E2163,'NI-Soc_SP'!$C:$AN,MID(U$1,1,2),FALSE)</f>
        <v>0</v>
      </c>
      <c r="V2163" s="55">
        <f>VLOOKUP($E2163,'NI-Soc_SP'!$C:$AN,MID(V$1,1,2),FALSE)</f>
        <v>0</v>
      </c>
      <c r="W2163" s="55">
        <f>VLOOKUP($E2163,'NI-Soc_SP'!$C:$AN,MID(W$1,1,2),FALSE)</f>
        <v>0</v>
      </c>
      <c r="X2163" s="55">
        <f>VLOOKUP($E2163,'NI-Soc_SP'!$C:$AN,MID(X$1,1,2),FALSE)</f>
        <v>0</v>
      </c>
      <c r="Y2163" s="55">
        <f>VLOOKUP($E2163,'NI-Soc_SP'!$C:$AN,MID(Y$1,1,2),FALSE)</f>
        <v>0</v>
      </c>
      <c r="Z2163" s="55">
        <f>VLOOKUP($E2163,'NI-Soc_SP'!$C:$AN,MID(Z$1,1,2),FALSE)</f>
        <v>0</v>
      </c>
      <c r="AA2163" s="55">
        <f>VLOOKUP($E2163,'NI-Soc_SP'!$C:$AN,MID(AA$1,1,2),FALSE)</f>
        <v>0</v>
      </c>
      <c r="AB2163" s="55">
        <f>VLOOKUP($E2163,'NI-Soc_SP'!$C:$AN,MID(AB$1,1,2),FALSE)</f>
        <v>0</v>
      </c>
      <c r="AC2163" s="55">
        <f>VLOOKUP($E2163,'NI-Soc_SP'!$C:$AN,MID(AC$1,1,2),FALSE)</f>
        <v>0</v>
      </c>
      <c r="AD2163" s="55">
        <f>VLOOKUP($E2163,'NI-Soc_SP'!$C:$AN,MID(AD$1,1,2),FALSE)</f>
        <v>0</v>
      </c>
      <c r="AE2163" s="55">
        <f>VLOOKUP($E2163,'NI-Soc_SP'!$C:$AN,MID(AE$1,1,2),FALSE)</f>
        <v>0</v>
      </c>
      <c r="AF2163" s="55">
        <f>VLOOKUP($E2163,'NI-Soc_SP'!$C:$AN,MID(AF$1,1,2),FALSE)</f>
        <v>0</v>
      </c>
      <c r="AG2163" s="55">
        <f>VLOOKUP($E2163,'NI-Soc_SP'!$C:$AN,MID(AG$1,1,2),FALSE)</f>
        <v>0</v>
      </c>
      <c r="AH2163" s="55">
        <f>VLOOKUP($E2163,'NI-Soc_SP'!$C:$AN,MID(AH$1,1,2),FALSE)</f>
        <v>0</v>
      </c>
      <c r="AI2163" s="55">
        <f>VLOOKUP($E2163,'NI-Soc_SP'!$C:$AN,MID(AI$1,1,2),FALSE)</f>
        <v>0</v>
      </c>
      <c r="AJ2163" s="55">
        <f>VLOOKUP($E2163,'NI-Soc_SP'!$C:$AN,MID(AJ$1,1,2),FALSE)</f>
        <v>0</v>
      </c>
      <c r="AK2163" s="55">
        <f>VLOOKUP($E2163,'NI-Soc_SP'!$C:$AN,MID(AK$1,1,2),FALSE)</f>
        <v>0</v>
      </c>
      <c r="AL2163" s="55">
        <f>VLOOKUP($E2163,'NI-Soc_SP'!$C:$AN,MID(AL$1,1,2),FALSE)</f>
        <v>0</v>
      </c>
      <c r="AM2163" s="56">
        <f>VLOOKUP($E2163,'NI-Soc_SP'!$C:$AN,MID(AM$1,1,2),FALSE)</f>
        <v>0</v>
      </c>
      <c r="AN2163" s="30" t="str">
        <f t="shared" si="33"/>
        <v>90502020000000</v>
      </c>
    </row>
    <row r="2164" spans="4:40" x14ac:dyDescent="0.25">
      <c r="D2164" s="121" t="s">
        <v>2732</v>
      </c>
      <c r="E2164" s="121" t="s">
        <v>2733</v>
      </c>
      <c r="F2164" s="122" t="s">
        <v>2758</v>
      </c>
      <c r="G2164" s="52"/>
      <c r="H2164" s="52"/>
      <c r="I2164" s="52"/>
      <c r="J2164" s="52"/>
      <c r="K2164" s="59" t="s">
        <v>79</v>
      </c>
      <c r="L2164" s="52"/>
      <c r="M2164" s="52"/>
      <c r="N2164" s="52"/>
      <c r="O2164" s="52"/>
      <c r="P2164" s="108" t="s">
        <v>1883</v>
      </c>
      <c r="Q2164" s="55">
        <f>VLOOKUP(E2164,'NI-Soc_SP'!$C:$AN,12,FALSE)</f>
        <v>0</v>
      </c>
      <c r="R2164" s="55">
        <f>VLOOKUP(E2164,'NI-Soc_SP'!$C:$AN,13,FALSE)</f>
        <v>0</v>
      </c>
      <c r="S2164" s="55"/>
      <c r="T2164" s="55"/>
      <c r="U2164" s="55">
        <f>VLOOKUP($E2164,'NI-Soc_SP'!$C:$AN,MID(U$1,1,2),FALSE)</f>
        <v>0</v>
      </c>
      <c r="V2164" s="55">
        <f>VLOOKUP($E2164,'NI-Soc_SP'!$C:$AN,MID(V$1,1,2),FALSE)</f>
        <v>0</v>
      </c>
      <c r="W2164" s="55">
        <f>VLOOKUP($E2164,'NI-Soc_SP'!$C:$AN,MID(W$1,1,2),FALSE)</f>
        <v>0</v>
      </c>
      <c r="X2164" s="55">
        <f>VLOOKUP($E2164,'NI-Soc_SP'!$C:$AN,MID(X$1,1,2),FALSE)</f>
        <v>0</v>
      </c>
      <c r="Y2164" s="55">
        <f>VLOOKUP($E2164,'NI-Soc_SP'!$C:$AN,MID(Y$1,1,2),FALSE)</f>
        <v>0</v>
      </c>
      <c r="Z2164" s="55">
        <f>VLOOKUP($E2164,'NI-Soc_SP'!$C:$AN,MID(Z$1,1,2),FALSE)</f>
        <v>0</v>
      </c>
      <c r="AA2164" s="55">
        <f>VLOOKUP($E2164,'NI-Soc_SP'!$C:$AN,MID(AA$1,1,2),FALSE)</f>
        <v>0</v>
      </c>
      <c r="AB2164" s="55">
        <f>VLOOKUP($E2164,'NI-Soc_SP'!$C:$AN,MID(AB$1,1,2),FALSE)</f>
        <v>0</v>
      </c>
      <c r="AC2164" s="55">
        <f>VLOOKUP($E2164,'NI-Soc_SP'!$C:$AN,MID(AC$1,1,2),FALSE)</f>
        <v>0</v>
      </c>
      <c r="AD2164" s="55">
        <f>VLOOKUP($E2164,'NI-Soc_SP'!$C:$AN,MID(AD$1,1,2),FALSE)</f>
        <v>0</v>
      </c>
      <c r="AE2164" s="55">
        <f>VLOOKUP($E2164,'NI-Soc_SP'!$C:$AN,MID(AE$1,1,2),FALSE)</f>
        <v>0</v>
      </c>
      <c r="AF2164" s="55">
        <f>VLOOKUP($E2164,'NI-Soc_SP'!$C:$AN,MID(AF$1,1,2),FALSE)</f>
        <v>0</v>
      </c>
      <c r="AG2164" s="55">
        <f>VLOOKUP($E2164,'NI-Soc_SP'!$C:$AN,MID(AG$1,1,2),FALSE)</f>
        <v>0</v>
      </c>
      <c r="AH2164" s="55">
        <f>VLOOKUP($E2164,'NI-Soc_SP'!$C:$AN,MID(AH$1,1,2),FALSE)</f>
        <v>0</v>
      </c>
      <c r="AI2164" s="55">
        <f>VLOOKUP($E2164,'NI-Soc_SP'!$C:$AN,MID(AI$1,1,2),FALSE)</f>
        <v>0</v>
      </c>
      <c r="AJ2164" s="55">
        <f>VLOOKUP($E2164,'NI-Soc_SP'!$C:$AN,MID(AJ$1,1,2),FALSE)</f>
        <v>0</v>
      </c>
      <c r="AK2164" s="55">
        <f>VLOOKUP($E2164,'NI-Soc_SP'!$C:$AN,MID(AK$1,1,2),FALSE)</f>
        <v>0</v>
      </c>
      <c r="AL2164" s="55">
        <f>VLOOKUP($E2164,'NI-Soc_SP'!$C:$AN,MID(AL$1,1,2),FALSE)</f>
        <v>0</v>
      </c>
      <c r="AM2164" s="56">
        <f>VLOOKUP($E2164,'NI-Soc_SP'!$C:$AN,MID(AM$1,1,2),FALSE)</f>
        <v>0</v>
      </c>
      <c r="AN2164" s="30" t="str">
        <f t="shared" si="33"/>
        <v>90502020010000</v>
      </c>
    </row>
    <row r="2165" spans="4:40" x14ac:dyDescent="0.25">
      <c r="D2165" s="121" t="s">
        <v>2734</v>
      </c>
      <c r="E2165" s="121" t="s">
        <v>2735</v>
      </c>
      <c r="F2165" s="122" t="s">
        <v>2758</v>
      </c>
      <c r="G2165" s="52"/>
      <c r="H2165" s="52"/>
      <c r="I2165" s="52"/>
      <c r="J2165" s="52"/>
      <c r="K2165" s="59" t="s">
        <v>79</v>
      </c>
      <c r="L2165" s="52"/>
      <c r="M2165" s="52"/>
      <c r="N2165" s="52"/>
      <c r="O2165" s="52"/>
      <c r="P2165" s="108" t="s">
        <v>1886</v>
      </c>
      <c r="Q2165" s="55">
        <f>VLOOKUP(E2165,'NI-Soc_SP'!$C:$AN,12,FALSE)</f>
        <v>0</v>
      </c>
      <c r="R2165" s="55">
        <f>VLOOKUP(E2165,'NI-Soc_SP'!$C:$AN,13,FALSE)</f>
        <v>0</v>
      </c>
      <c r="S2165" s="55"/>
      <c r="T2165" s="55"/>
      <c r="U2165" s="55">
        <f>VLOOKUP($E2165,'NI-Soc_SP'!$C:$AN,MID(U$1,1,2),FALSE)</f>
        <v>0</v>
      </c>
      <c r="V2165" s="55">
        <f>VLOOKUP($E2165,'NI-Soc_SP'!$C:$AN,MID(V$1,1,2),FALSE)</f>
        <v>0</v>
      </c>
      <c r="W2165" s="55">
        <f>VLOOKUP($E2165,'NI-Soc_SP'!$C:$AN,MID(W$1,1,2),FALSE)</f>
        <v>0</v>
      </c>
      <c r="X2165" s="55">
        <f>VLOOKUP($E2165,'NI-Soc_SP'!$C:$AN,MID(X$1,1,2),FALSE)</f>
        <v>0</v>
      </c>
      <c r="Y2165" s="55">
        <f>VLOOKUP($E2165,'NI-Soc_SP'!$C:$AN,MID(Y$1,1,2),FALSE)</f>
        <v>0</v>
      </c>
      <c r="Z2165" s="55">
        <f>VLOOKUP($E2165,'NI-Soc_SP'!$C:$AN,MID(Z$1,1,2),FALSE)</f>
        <v>0</v>
      </c>
      <c r="AA2165" s="55">
        <f>VLOOKUP($E2165,'NI-Soc_SP'!$C:$AN,MID(AA$1,1,2),FALSE)</f>
        <v>0</v>
      </c>
      <c r="AB2165" s="55">
        <f>VLOOKUP($E2165,'NI-Soc_SP'!$C:$AN,MID(AB$1,1,2),FALSE)</f>
        <v>0</v>
      </c>
      <c r="AC2165" s="55">
        <f>VLOOKUP($E2165,'NI-Soc_SP'!$C:$AN,MID(AC$1,1,2),FALSE)</f>
        <v>0</v>
      </c>
      <c r="AD2165" s="55">
        <f>VLOOKUP($E2165,'NI-Soc_SP'!$C:$AN,MID(AD$1,1,2),FALSE)</f>
        <v>0</v>
      </c>
      <c r="AE2165" s="55">
        <f>VLOOKUP($E2165,'NI-Soc_SP'!$C:$AN,MID(AE$1,1,2),FALSE)</f>
        <v>0</v>
      </c>
      <c r="AF2165" s="55">
        <f>VLOOKUP($E2165,'NI-Soc_SP'!$C:$AN,MID(AF$1,1,2),FALSE)</f>
        <v>0</v>
      </c>
      <c r="AG2165" s="55">
        <f>VLOOKUP($E2165,'NI-Soc_SP'!$C:$AN,MID(AG$1,1,2),FALSE)</f>
        <v>0</v>
      </c>
      <c r="AH2165" s="55">
        <f>VLOOKUP($E2165,'NI-Soc_SP'!$C:$AN,MID(AH$1,1,2),FALSE)</f>
        <v>0</v>
      </c>
      <c r="AI2165" s="55">
        <f>VLOOKUP($E2165,'NI-Soc_SP'!$C:$AN,MID(AI$1,1,2),FALSE)</f>
        <v>0</v>
      </c>
      <c r="AJ2165" s="55">
        <f>VLOOKUP($E2165,'NI-Soc_SP'!$C:$AN,MID(AJ$1,1,2),FALSE)</f>
        <v>0</v>
      </c>
      <c r="AK2165" s="55">
        <f>VLOOKUP($E2165,'NI-Soc_SP'!$C:$AN,MID(AK$1,1,2),FALSE)</f>
        <v>0</v>
      </c>
      <c r="AL2165" s="55">
        <f>VLOOKUP($E2165,'NI-Soc_SP'!$C:$AN,MID(AL$1,1,2),FALSE)</f>
        <v>0</v>
      </c>
      <c r="AM2165" s="56">
        <f>VLOOKUP($E2165,'NI-Soc_SP'!$C:$AN,MID(AM$1,1,2),FALSE)</f>
        <v>0</v>
      </c>
      <c r="AN2165" s="30" t="str">
        <f t="shared" si="33"/>
        <v>90502020020000</v>
      </c>
    </row>
    <row r="2166" spans="4:40" x14ac:dyDescent="0.25">
      <c r="D2166" s="121" t="s">
        <v>2736</v>
      </c>
      <c r="E2166" s="121" t="s">
        <v>2737</v>
      </c>
      <c r="F2166" s="122" t="s">
        <v>2758</v>
      </c>
      <c r="G2166" s="52"/>
      <c r="H2166" s="52"/>
      <c r="I2166" s="52"/>
      <c r="J2166" s="52"/>
      <c r="K2166" s="59" t="s">
        <v>79</v>
      </c>
      <c r="L2166" s="52"/>
      <c r="M2166" s="52"/>
      <c r="N2166" s="52"/>
      <c r="O2166" s="52"/>
      <c r="P2166" s="108" t="s">
        <v>1889</v>
      </c>
      <c r="Q2166" s="55">
        <f>VLOOKUP(E2166,'NI-Soc_SP'!$C:$AN,12,FALSE)</f>
        <v>0</v>
      </c>
      <c r="R2166" s="55">
        <f>VLOOKUP(E2166,'NI-Soc_SP'!$C:$AN,13,FALSE)</f>
        <v>0</v>
      </c>
      <c r="S2166" s="55"/>
      <c r="T2166" s="55"/>
      <c r="U2166" s="55">
        <f>VLOOKUP($E2166,'NI-Soc_SP'!$C:$AN,MID(U$1,1,2),FALSE)</f>
        <v>0</v>
      </c>
      <c r="V2166" s="55">
        <f>VLOOKUP($E2166,'NI-Soc_SP'!$C:$AN,MID(V$1,1,2),FALSE)</f>
        <v>0</v>
      </c>
      <c r="W2166" s="55">
        <f>VLOOKUP($E2166,'NI-Soc_SP'!$C:$AN,MID(W$1,1,2),FALSE)</f>
        <v>0</v>
      </c>
      <c r="X2166" s="55">
        <f>VLOOKUP($E2166,'NI-Soc_SP'!$C:$AN,MID(X$1,1,2),FALSE)</f>
        <v>0</v>
      </c>
      <c r="Y2166" s="55">
        <f>VLOOKUP($E2166,'NI-Soc_SP'!$C:$AN,MID(Y$1,1,2),FALSE)</f>
        <v>0</v>
      </c>
      <c r="Z2166" s="55">
        <f>VLOOKUP($E2166,'NI-Soc_SP'!$C:$AN,MID(Z$1,1,2),FALSE)</f>
        <v>0</v>
      </c>
      <c r="AA2166" s="55">
        <f>VLOOKUP($E2166,'NI-Soc_SP'!$C:$AN,MID(AA$1,1,2),FALSE)</f>
        <v>0</v>
      </c>
      <c r="AB2166" s="55">
        <f>VLOOKUP($E2166,'NI-Soc_SP'!$C:$AN,MID(AB$1,1,2),FALSE)</f>
        <v>0</v>
      </c>
      <c r="AC2166" s="55">
        <f>VLOOKUP($E2166,'NI-Soc_SP'!$C:$AN,MID(AC$1,1,2),FALSE)</f>
        <v>0</v>
      </c>
      <c r="AD2166" s="55">
        <f>VLOOKUP($E2166,'NI-Soc_SP'!$C:$AN,MID(AD$1,1,2),FALSE)</f>
        <v>0</v>
      </c>
      <c r="AE2166" s="55">
        <f>VLOOKUP($E2166,'NI-Soc_SP'!$C:$AN,MID(AE$1,1,2),FALSE)</f>
        <v>0</v>
      </c>
      <c r="AF2166" s="55">
        <f>VLOOKUP($E2166,'NI-Soc_SP'!$C:$AN,MID(AF$1,1,2),FALSE)</f>
        <v>0</v>
      </c>
      <c r="AG2166" s="55">
        <f>VLOOKUP($E2166,'NI-Soc_SP'!$C:$AN,MID(AG$1,1,2),FALSE)</f>
        <v>0</v>
      </c>
      <c r="AH2166" s="55">
        <f>VLOOKUP($E2166,'NI-Soc_SP'!$C:$AN,MID(AH$1,1,2),FALSE)</f>
        <v>0</v>
      </c>
      <c r="AI2166" s="55">
        <f>VLOOKUP($E2166,'NI-Soc_SP'!$C:$AN,MID(AI$1,1,2),FALSE)</f>
        <v>0</v>
      </c>
      <c r="AJ2166" s="55">
        <f>VLOOKUP($E2166,'NI-Soc_SP'!$C:$AN,MID(AJ$1,1,2),FALSE)</f>
        <v>0</v>
      </c>
      <c r="AK2166" s="55">
        <f>VLOOKUP($E2166,'NI-Soc_SP'!$C:$AN,MID(AK$1,1,2),FALSE)</f>
        <v>0</v>
      </c>
      <c r="AL2166" s="55">
        <f>VLOOKUP($E2166,'NI-Soc_SP'!$C:$AN,MID(AL$1,1,2),FALSE)</f>
        <v>0</v>
      </c>
      <c r="AM2166" s="56">
        <f>VLOOKUP($E2166,'NI-Soc_SP'!$C:$AN,MID(AM$1,1,2),FALSE)</f>
        <v>0</v>
      </c>
      <c r="AN2166" s="30" t="str">
        <f t="shared" si="33"/>
        <v>90502020030000</v>
      </c>
    </row>
    <row r="2167" spans="4:40" x14ac:dyDescent="0.25">
      <c r="D2167" s="121" t="s">
        <v>2738</v>
      </c>
      <c r="E2167" s="121" t="s">
        <v>2739</v>
      </c>
      <c r="F2167" s="122" t="s">
        <v>2758</v>
      </c>
      <c r="G2167" s="52"/>
      <c r="H2167" s="52"/>
      <c r="I2167" s="52"/>
      <c r="J2167" s="52"/>
      <c r="K2167" s="59" t="s">
        <v>79</v>
      </c>
      <c r="L2167" s="52"/>
      <c r="M2167" s="52"/>
      <c r="N2167" s="52"/>
      <c r="O2167" s="52"/>
      <c r="P2167" s="107" t="s">
        <v>1892</v>
      </c>
      <c r="Q2167" s="55">
        <f>VLOOKUP(E2167,'NI-Soc_SP'!$C:$AN,12,FALSE)</f>
        <v>0</v>
      </c>
      <c r="R2167" s="55">
        <f>VLOOKUP(E2167,'NI-Soc_SP'!$C:$AN,13,FALSE)</f>
        <v>0</v>
      </c>
      <c r="S2167" s="55"/>
      <c r="T2167" s="55"/>
      <c r="U2167" s="55">
        <f>VLOOKUP($E2167,'NI-Soc_SP'!$C:$AN,MID(U$1,1,2),FALSE)</f>
        <v>0</v>
      </c>
      <c r="V2167" s="55">
        <f>VLOOKUP($E2167,'NI-Soc_SP'!$C:$AN,MID(V$1,1,2),FALSE)</f>
        <v>0</v>
      </c>
      <c r="W2167" s="55">
        <f>VLOOKUP($E2167,'NI-Soc_SP'!$C:$AN,MID(W$1,1,2),FALSE)</f>
        <v>0</v>
      </c>
      <c r="X2167" s="55">
        <f>VLOOKUP($E2167,'NI-Soc_SP'!$C:$AN,MID(X$1,1,2),FALSE)</f>
        <v>0</v>
      </c>
      <c r="Y2167" s="55">
        <f>VLOOKUP($E2167,'NI-Soc_SP'!$C:$AN,MID(Y$1,1,2),FALSE)</f>
        <v>0</v>
      </c>
      <c r="Z2167" s="55">
        <f>VLOOKUP($E2167,'NI-Soc_SP'!$C:$AN,MID(Z$1,1,2),FALSE)</f>
        <v>0</v>
      </c>
      <c r="AA2167" s="55">
        <f>VLOOKUP($E2167,'NI-Soc_SP'!$C:$AN,MID(AA$1,1,2),FALSE)</f>
        <v>0</v>
      </c>
      <c r="AB2167" s="55">
        <f>VLOOKUP($E2167,'NI-Soc_SP'!$C:$AN,MID(AB$1,1,2),FALSE)</f>
        <v>0</v>
      </c>
      <c r="AC2167" s="55">
        <f>VLOOKUP($E2167,'NI-Soc_SP'!$C:$AN,MID(AC$1,1,2),FALSE)</f>
        <v>0</v>
      </c>
      <c r="AD2167" s="55">
        <f>VLOOKUP($E2167,'NI-Soc_SP'!$C:$AN,MID(AD$1,1,2),FALSE)</f>
        <v>0</v>
      </c>
      <c r="AE2167" s="55">
        <f>VLOOKUP($E2167,'NI-Soc_SP'!$C:$AN,MID(AE$1,1,2),FALSE)</f>
        <v>0</v>
      </c>
      <c r="AF2167" s="55">
        <f>VLOOKUP($E2167,'NI-Soc_SP'!$C:$AN,MID(AF$1,1,2),FALSE)</f>
        <v>0</v>
      </c>
      <c r="AG2167" s="55">
        <f>VLOOKUP($E2167,'NI-Soc_SP'!$C:$AN,MID(AG$1,1,2),FALSE)</f>
        <v>0</v>
      </c>
      <c r="AH2167" s="55">
        <f>VLOOKUP($E2167,'NI-Soc_SP'!$C:$AN,MID(AH$1,1,2),FALSE)</f>
        <v>0</v>
      </c>
      <c r="AI2167" s="55">
        <f>VLOOKUP($E2167,'NI-Soc_SP'!$C:$AN,MID(AI$1,1,2),FALSE)</f>
        <v>0</v>
      </c>
      <c r="AJ2167" s="55">
        <f>VLOOKUP($E2167,'NI-Soc_SP'!$C:$AN,MID(AJ$1,1,2),FALSE)</f>
        <v>0</v>
      </c>
      <c r="AK2167" s="55">
        <f>VLOOKUP($E2167,'NI-Soc_SP'!$C:$AN,MID(AK$1,1,2),FALSE)</f>
        <v>0</v>
      </c>
      <c r="AL2167" s="55">
        <f>VLOOKUP($E2167,'NI-Soc_SP'!$C:$AN,MID(AL$1,1,2),FALSE)</f>
        <v>0</v>
      </c>
      <c r="AM2167" s="56">
        <f>VLOOKUP($E2167,'NI-Soc_SP'!$C:$AN,MID(AM$1,1,2),FALSE)</f>
        <v>0</v>
      </c>
      <c r="AN2167" s="30" t="str">
        <f t="shared" si="33"/>
        <v>90502020040000</v>
      </c>
    </row>
    <row r="2168" spans="4:40" x14ac:dyDescent="0.25">
      <c r="D2168" s="121" t="s">
        <v>2740</v>
      </c>
      <c r="E2168" s="121" t="s">
        <v>2741</v>
      </c>
      <c r="F2168" s="122" t="s">
        <v>2758</v>
      </c>
      <c r="G2168" s="52"/>
      <c r="H2168" s="52"/>
      <c r="I2168" s="52"/>
      <c r="J2168" s="52"/>
      <c r="K2168" s="59" t="s">
        <v>111</v>
      </c>
      <c r="L2168" s="52"/>
      <c r="M2168" s="52"/>
      <c r="N2168" s="52"/>
      <c r="O2168" s="52"/>
      <c r="P2168" s="107" t="s">
        <v>1895</v>
      </c>
      <c r="Q2168" s="55">
        <f>VLOOKUP(E2168,'NI-Soc_SP'!$C:$AN,12,FALSE)</f>
        <v>0</v>
      </c>
      <c r="R2168" s="55">
        <f>VLOOKUP(E2168,'NI-Soc_SP'!$C:$AN,13,FALSE)</f>
        <v>0</v>
      </c>
      <c r="S2168" s="55"/>
      <c r="T2168" s="55"/>
      <c r="U2168" s="55">
        <f>VLOOKUP($E2168,'NI-Soc_SP'!$C:$AN,MID(U$1,1,2),FALSE)</f>
        <v>0</v>
      </c>
      <c r="V2168" s="55">
        <f>VLOOKUP($E2168,'NI-Soc_SP'!$C:$AN,MID(V$1,1,2),FALSE)</f>
        <v>0</v>
      </c>
      <c r="W2168" s="55">
        <f>VLOOKUP($E2168,'NI-Soc_SP'!$C:$AN,MID(W$1,1,2),FALSE)</f>
        <v>0</v>
      </c>
      <c r="X2168" s="55">
        <f>VLOOKUP($E2168,'NI-Soc_SP'!$C:$AN,MID(X$1,1,2),FALSE)</f>
        <v>0</v>
      </c>
      <c r="Y2168" s="55">
        <f>VLOOKUP($E2168,'NI-Soc_SP'!$C:$AN,MID(Y$1,1,2),FALSE)</f>
        <v>0</v>
      </c>
      <c r="Z2168" s="55">
        <f>VLOOKUP($E2168,'NI-Soc_SP'!$C:$AN,MID(Z$1,1,2),FALSE)</f>
        <v>0</v>
      </c>
      <c r="AA2168" s="55">
        <f>VLOOKUP($E2168,'NI-Soc_SP'!$C:$AN,MID(AA$1,1,2),FALSE)</f>
        <v>0</v>
      </c>
      <c r="AB2168" s="55">
        <f>VLOOKUP($E2168,'NI-Soc_SP'!$C:$AN,MID(AB$1,1,2),FALSE)</f>
        <v>0</v>
      </c>
      <c r="AC2168" s="55">
        <f>VLOOKUP($E2168,'NI-Soc_SP'!$C:$AN,MID(AC$1,1,2),FALSE)</f>
        <v>0</v>
      </c>
      <c r="AD2168" s="55">
        <f>VLOOKUP($E2168,'NI-Soc_SP'!$C:$AN,MID(AD$1,1,2),FALSE)</f>
        <v>0</v>
      </c>
      <c r="AE2168" s="55">
        <f>VLOOKUP($E2168,'NI-Soc_SP'!$C:$AN,MID(AE$1,1,2),FALSE)</f>
        <v>0</v>
      </c>
      <c r="AF2168" s="55">
        <f>VLOOKUP($E2168,'NI-Soc_SP'!$C:$AN,MID(AF$1,1,2),FALSE)</f>
        <v>0</v>
      </c>
      <c r="AG2168" s="55">
        <f>VLOOKUP($E2168,'NI-Soc_SP'!$C:$AN,MID(AG$1,1,2),FALSE)</f>
        <v>0</v>
      </c>
      <c r="AH2168" s="55">
        <f>VLOOKUP($E2168,'NI-Soc_SP'!$C:$AN,MID(AH$1,1,2),FALSE)</f>
        <v>0</v>
      </c>
      <c r="AI2168" s="55">
        <f>VLOOKUP($E2168,'NI-Soc_SP'!$C:$AN,MID(AI$1,1,2),FALSE)</f>
        <v>0</v>
      </c>
      <c r="AJ2168" s="55">
        <f>VLOOKUP($E2168,'NI-Soc_SP'!$C:$AN,MID(AJ$1,1,2),FALSE)</f>
        <v>0</v>
      </c>
      <c r="AK2168" s="55">
        <f>VLOOKUP($E2168,'NI-Soc_SP'!$C:$AN,MID(AK$1,1,2),FALSE)</f>
        <v>0</v>
      </c>
      <c r="AL2168" s="55">
        <f>VLOOKUP($E2168,'NI-Soc_SP'!$C:$AN,MID(AL$1,1,2),FALSE)</f>
        <v>0</v>
      </c>
      <c r="AM2168" s="56">
        <f>VLOOKUP($E2168,'NI-Soc_SP'!$C:$AN,MID(AM$1,1,2),FALSE)</f>
        <v>0</v>
      </c>
      <c r="AN2168" s="30" t="str">
        <f t="shared" si="33"/>
        <v>90503030000000</v>
      </c>
    </row>
    <row r="2169" spans="4:40" x14ac:dyDescent="0.25">
      <c r="D2169" s="121" t="s">
        <v>2742</v>
      </c>
      <c r="E2169" s="121" t="s">
        <v>2743</v>
      </c>
      <c r="F2169" s="122" t="s">
        <v>2758</v>
      </c>
      <c r="G2169" s="52"/>
      <c r="H2169" s="52"/>
      <c r="I2169" s="52"/>
      <c r="J2169" s="52"/>
      <c r="K2169" s="59" t="s">
        <v>79</v>
      </c>
      <c r="L2169" s="52"/>
      <c r="M2169" s="52"/>
      <c r="N2169" s="52"/>
      <c r="O2169" s="52"/>
      <c r="P2169" s="107" t="s">
        <v>1898</v>
      </c>
      <c r="Q2169" s="55">
        <f>VLOOKUP(E2169,'NI-Soc_SP'!$C:$AN,12,FALSE)</f>
        <v>0</v>
      </c>
      <c r="R2169" s="55">
        <f>VLOOKUP(E2169,'NI-Soc_SP'!$C:$AN,13,FALSE)</f>
        <v>0</v>
      </c>
      <c r="S2169" s="55"/>
      <c r="T2169" s="55"/>
      <c r="U2169" s="55">
        <f>VLOOKUP($E2169,'NI-Soc_SP'!$C:$AN,MID(U$1,1,2),FALSE)</f>
        <v>0</v>
      </c>
      <c r="V2169" s="55">
        <f>VLOOKUP($E2169,'NI-Soc_SP'!$C:$AN,MID(V$1,1,2),FALSE)</f>
        <v>0</v>
      </c>
      <c r="W2169" s="55">
        <f>VLOOKUP($E2169,'NI-Soc_SP'!$C:$AN,MID(W$1,1,2),FALSE)</f>
        <v>0</v>
      </c>
      <c r="X2169" s="55">
        <f>VLOOKUP($E2169,'NI-Soc_SP'!$C:$AN,MID(X$1,1,2),FALSE)</f>
        <v>0</v>
      </c>
      <c r="Y2169" s="55">
        <f>VLOOKUP($E2169,'NI-Soc_SP'!$C:$AN,MID(Y$1,1,2),FALSE)</f>
        <v>0</v>
      </c>
      <c r="Z2169" s="55">
        <f>VLOOKUP($E2169,'NI-Soc_SP'!$C:$AN,MID(Z$1,1,2),FALSE)</f>
        <v>0</v>
      </c>
      <c r="AA2169" s="55">
        <f>VLOOKUP($E2169,'NI-Soc_SP'!$C:$AN,MID(AA$1,1,2),FALSE)</f>
        <v>0</v>
      </c>
      <c r="AB2169" s="55">
        <f>VLOOKUP($E2169,'NI-Soc_SP'!$C:$AN,MID(AB$1,1,2),FALSE)</f>
        <v>0</v>
      </c>
      <c r="AC2169" s="55">
        <f>VLOOKUP($E2169,'NI-Soc_SP'!$C:$AN,MID(AC$1,1,2),FALSE)</f>
        <v>0</v>
      </c>
      <c r="AD2169" s="55">
        <f>VLOOKUP($E2169,'NI-Soc_SP'!$C:$AN,MID(AD$1,1,2),FALSE)</f>
        <v>0</v>
      </c>
      <c r="AE2169" s="55">
        <f>VLOOKUP($E2169,'NI-Soc_SP'!$C:$AN,MID(AE$1,1,2),FALSE)</f>
        <v>0</v>
      </c>
      <c r="AF2169" s="55">
        <f>VLOOKUP($E2169,'NI-Soc_SP'!$C:$AN,MID(AF$1,1,2),FALSE)</f>
        <v>0</v>
      </c>
      <c r="AG2169" s="55">
        <f>VLOOKUP($E2169,'NI-Soc_SP'!$C:$AN,MID(AG$1,1,2),FALSE)</f>
        <v>0</v>
      </c>
      <c r="AH2169" s="55">
        <f>VLOOKUP($E2169,'NI-Soc_SP'!$C:$AN,MID(AH$1,1,2),FALSE)</f>
        <v>0</v>
      </c>
      <c r="AI2169" s="55">
        <f>VLOOKUP($E2169,'NI-Soc_SP'!$C:$AN,MID(AI$1,1,2),FALSE)</f>
        <v>0</v>
      </c>
      <c r="AJ2169" s="55">
        <f>VLOOKUP($E2169,'NI-Soc_SP'!$C:$AN,MID(AJ$1,1,2),FALSE)</f>
        <v>0</v>
      </c>
      <c r="AK2169" s="55">
        <f>VLOOKUP($E2169,'NI-Soc_SP'!$C:$AN,MID(AK$1,1,2),FALSE)</f>
        <v>0</v>
      </c>
      <c r="AL2169" s="55">
        <f>VLOOKUP($E2169,'NI-Soc_SP'!$C:$AN,MID(AL$1,1,2),FALSE)</f>
        <v>0</v>
      </c>
      <c r="AM2169" s="56">
        <f>VLOOKUP($E2169,'NI-Soc_SP'!$C:$AN,MID(AM$1,1,2),FALSE)</f>
        <v>0</v>
      </c>
      <c r="AN2169" s="30" t="str">
        <f t="shared" si="33"/>
        <v>90503030010010</v>
      </c>
    </row>
    <row r="2170" spans="4:40" x14ac:dyDescent="0.25">
      <c r="D2170" s="121" t="s">
        <v>2744</v>
      </c>
      <c r="E2170" s="121" t="s">
        <v>2745</v>
      </c>
      <c r="F2170" s="122" t="s">
        <v>2758</v>
      </c>
      <c r="G2170" s="52"/>
      <c r="H2170" s="52"/>
      <c r="I2170" s="52"/>
      <c r="J2170" s="52"/>
      <c r="K2170" s="59" t="s">
        <v>79</v>
      </c>
      <c r="L2170" s="52"/>
      <c r="M2170" s="52"/>
      <c r="N2170" s="52"/>
      <c r="O2170" s="52"/>
      <c r="P2170" s="108" t="s">
        <v>1901</v>
      </c>
      <c r="Q2170" s="55">
        <f>VLOOKUP(E2170,'NI-Soc_SP'!$C:$AN,12,FALSE)</f>
        <v>0</v>
      </c>
      <c r="R2170" s="55">
        <f>VLOOKUP(E2170,'NI-Soc_SP'!$C:$AN,13,FALSE)</f>
        <v>0</v>
      </c>
      <c r="S2170" s="55"/>
      <c r="T2170" s="55"/>
      <c r="U2170" s="55">
        <f>VLOOKUP($E2170,'NI-Soc_SP'!$C:$AN,MID(U$1,1,2),FALSE)</f>
        <v>0</v>
      </c>
      <c r="V2170" s="55">
        <f>VLOOKUP($E2170,'NI-Soc_SP'!$C:$AN,MID(V$1,1,2),FALSE)</f>
        <v>0</v>
      </c>
      <c r="W2170" s="55">
        <f>VLOOKUP($E2170,'NI-Soc_SP'!$C:$AN,MID(W$1,1,2),FALSE)</f>
        <v>0</v>
      </c>
      <c r="X2170" s="55">
        <f>VLOOKUP($E2170,'NI-Soc_SP'!$C:$AN,MID(X$1,1,2),FALSE)</f>
        <v>0</v>
      </c>
      <c r="Y2170" s="55">
        <f>VLOOKUP($E2170,'NI-Soc_SP'!$C:$AN,MID(Y$1,1,2),FALSE)</f>
        <v>0</v>
      </c>
      <c r="Z2170" s="55">
        <f>VLOOKUP($E2170,'NI-Soc_SP'!$C:$AN,MID(Z$1,1,2),FALSE)</f>
        <v>0</v>
      </c>
      <c r="AA2170" s="55">
        <f>VLOOKUP($E2170,'NI-Soc_SP'!$C:$AN,MID(AA$1,1,2),FALSE)</f>
        <v>0</v>
      </c>
      <c r="AB2170" s="55">
        <f>VLOOKUP($E2170,'NI-Soc_SP'!$C:$AN,MID(AB$1,1,2),FALSE)</f>
        <v>0</v>
      </c>
      <c r="AC2170" s="55">
        <f>VLOOKUP($E2170,'NI-Soc_SP'!$C:$AN,MID(AC$1,1,2),FALSE)</f>
        <v>0</v>
      </c>
      <c r="AD2170" s="55">
        <f>VLOOKUP($E2170,'NI-Soc_SP'!$C:$AN,MID(AD$1,1,2),FALSE)</f>
        <v>0</v>
      </c>
      <c r="AE2170" s="55">
        <f>VLOOKUP($E2170,'NI-Soc_SP'!$C:$AN,MID(AE$1,1,2),FALSE)</f>
        <v>0</v>
      </c>
      <c r="AF2170" s="55">
        <f>VLOOKUP($E2170,'NI-Soc_SP'!$C:$AN,MID(AF$1,1,2),FALSE)</f>
        <v>0</v>
      </c>
      <c r="AG2170" s="55">
        <f>VLOOKUP($E2170,'NI-Soc_SP'!$C:$AN,MID(AG$1,1,2),FALSE)</f>
        <v>0</v>
      </c>
      <c r="AH2170" s="55">
        <f>VLOOKUP($E2170,'NI-Soc_SP'!$C:$AN,MID(AH$1,1,2),FALSE)</f>
        <v>0</v>
      </c>
      <c r="AI2170" s="55">
        <f>VLOOKUP($E2170,'NI-Soc_SP'!$C:$AN,MID(AI$1,1,2),FALSE)</f>
        <v>0</v>
      </c>
      <c r="AJ2170" s="55">
        <f>VLOOKUP($E2170,'NI-Soc_SP'!$C:$AN,MID(AJ$1,1,2),FALSE)</f>
        <v>0</v>
      </c>
      <c r="AK2170" s="55">
        <f>VLOOKUP($E2170,'NI-Soc_SP'!$C:$AN,MID(AK$1,1,2),FALSE)</f>
        <v>0</v>
      </c>
      <c r="AL2170" s="55">
        <f>VLOOKUP($E2170,'NI-Soc_SP'!$C:$AN,MID(AL$1,1,2),FALSE)</f>
        <v>0</v>
      </c>
      <c r="AM2170" s="56">
        <f>VLOOKUP($E2170,'NI-Soc_SP'!$C:$AN,MID(AM$1,1,2),FALSE)</f>
        <v>0</v>
      </c>
      <c r="AN2170" s="30" t="str">
        <f t="shared" si="33"/>
        <v>90503030020010</v>
      </c>
    </row>
    <row r="2171" spans="4:40" x14ac:dyDescent="0.25">
      <c r="D2171" s="121" t="s">
        <v>2746</v>
      </c>
      <c r="E2171" s="121" t="s">
        <v>2747</v>
      </c>
      <c r="F2171" s="122" t="s">
        <v>2758</v>
      </c>
      <c r="G2171" s="52"/>
      <c r="H2171" s="52"/>
      <c r="I2171" s="52"/>
      <c r="J2171" s="52"/>
      <c r="K2171" s="59" t="s">
        <v>79</v>
      </c>
      <c r="L2171" s="52"/>
      <c r="M2171" s="52"/>
      <c r="N2171" s="52"/>
      <c r="O2171" s="52"/>
      <c r="P2171" s="108" t="s">
        <v>1904</v>
      </c>
      <c r="Q2171" s="55">
        <f>VLOOKUP(E2171,'NI-Soc_SP'!$C:$AN,12,FALSE)</f>
        <v>0</v>
      </c>
      <c r="R2171" s="55">
        <f>VLOOKUP(E2171,'NI-Soc_SP'!$C:$AN,13,FALSE)</f>
        <v>0</v>
      </c>
      <c r="S2171" s="55"/>
      <c r="T2171" s="55"/>
      <c r="U2171" s="55">
        <f>VLOOKUP($E2171,'NI-Soc_SP'!$C:$AN,MID(U$1,1,2),FALSE)</f>
        <v>0</v>
      </c>
      <c r="V2171" s="55">
        <f>VLOOKUP($E2171,'NI-Soc_SP'!$C:$AN,MID(V$1,1,2),FALSE)</f>
        <v>0</v>
      </c>
      <c r="W2171" s="55">
        <f>VLOOKUP($E2171,'NI-Soc_SP'!$C:$AN,MID(W$1,1,2),FALSE)</f>
        <v>0</v>
      </c>
      <c r="X2171" s="55">
        <f>VLOOKUP($E2171,'NI-Soc_SP'!$C:$AN,MID(X$1,1,2),FALSE)</f>
        <v>0</v>
      </c>
      <c r="Y2171" s="55">
        <f>VLOOKUP($E2171,'NI-Soc_SP'!$C:$AN,MID(Y$1,1,2),FALSE)</f>
        <v>0</v>
      </c>
      <c r="Z2171" s="55">
        <f>VLOOKUP($E2171,'NI-Soc_SP'!$C:$AN,MID(Z$1,1,2),FALSE)</f>
        <v>0</v>
      </c>
      <c r="AA2171" s="55">
        <f>VLOOKUP($E2171,'NI-Soc_SP'!$C:$AN,MID(AA$1,1,2),FALSE)</f>
        <v>0</v>
      </c>
      <c r="AB2171" s="55">
        <f>VLOOKUP($E2171,'NI-Soc_SP'!$C:$AN,MID(AB$1,1,2),FALSE)</f>
        <v>0</v>
      </c>
      <c r="AC2171" s="55">
        <f>VLOOKUP($E2171,'NI-Soc_SP'!$C:$AN,MID(AC$1,1,2),FALSE)</f>
        <v>0</v>
      </c>
      <c r="AD2171" s="55">
        <f>VLOOKUP($E2171,'NI-Soc_SP'!$C:$AN,MID(AD$1,1,2),FALSE)</f>
        <v>0</v>
      </c>
      <c r="AE2171" s="55">
        <f>VLOOKUP($E2171,'NI-Soc_SP'!$C:$AN,MID(AE$1,1,2),FALSE)</f>
        <v>0</v>
      </c>
      <c r="AF2171" s="55">
        <f>VLOOKUP($E2171,'NI-Soc_SP'!$C:$AN,MID(AF$1,1,2),FALSE)</f>
        <v>0</v>
      </c>
      <c r="AG2171" s="55">
        <f>VLOOKUP($E2171,'NI-Soc_SP'!$C:$AN,MID(AG$1,1,2),FALSE)</f>
        <v>0</v>
      </c>
      <c r="AH2171" s="55">
        <f>VLOOKUP($E2171,'NI-Soc_SP'!$C:$AN,MID(AH$1,1,2),FALSE)</f>
        <v>0</v>
      </c>
      <c r="AI2171" s="55">
        <f>VLOOKUP($E2171,'NI-Soc_SP'!$C:$AN,MID(AI$1,1,2),FALSE)</f>
        <v>0</v>
      </c>
      <c r="AJ2171" s="55">
        <f>VLOOKUP($E2171,'NI-Soc_SP'!$C:$AN,MID(AJ$1,1,2),FALSE)</f>
        <v>0</v>
      </c>
      <c r="AK2171" s="55">
        <f>VLOOKUP($E2171,'NI-Soc_SP'!$C:$AN,MID(AK$1,1,2),FALSE)</f>
        <v>0</v>
      </c>
      <c r="AL2171" s="55">
        <f>VLOOKUP($E2171,'NI-Soc_SP'!$C:$AN,MID(AL$1,1,2),FALSE)</f>
        <v>0</v>
      </c>
      <c r="AM2171" s="56">
        <f>VLOOKUP($E2171,'NI-Soc_SP'!$C:$AN,MID(AM$1,1,2),FALSE)</f>
        <v>0</v>
      </c>
      <c r="AN2171" s="30" t="str">
        <f t="shared" si="33"/>
        <v>90503030030010</v>
      </c>
    </row>
    <row r="2172" spans="4:40" x14ac:dyDescent="0.25">
      <c r="D2172" s="121" t="s">
        <v>2748</v>
      </c>
      <c r="E2172" s="121" t="s">
        <v>2749</v>
      </c>
      <c r="F2172" s="122" t="s">
        <v>2758</v>
      </c>
      <c r="G2172" s="52"/>
      <c r="H2172" s="52"/>
      <c r="I2172" s="52"/>
      <c r="J2172" s="52"/>
      <c r="K2172" s="59" t="s">
        <v>79</v>
      </c>
      <c r="L2172" s="52"/>
      <c r="M2172" s="52"/>
      <c r="N2172" s="52"/>
      <c r="O2172" s="52"/>
      <c r="P2172" s="108" t="s">
        <v>1907</v>
      </c>
      <c r="Q2172" s="55">
        <f>VLOOKUP(E2172,'NI-Soc_SP'!$C:$AN,12,FALSE)</f>
        <v>0</v>
      </c>
      <c r="R2172" s="55">
        <f>VLOOKUP(E2172,'NI-Soc_SP'!$C:$AN,13,FALSE)</f>
        <v>0</v>
      </c>
      <c r="S2172" s="55"/>
      <c r="T2172" s="55"/>
      <c r="U2172" s="55">
        <f>VLOOKUP($E2172,'NI-Soc_SP'!$C:$AN,MID(U$1,1,2),FALSE)</f>
        <v>0</v>
      </c>
      <c r="V2172" s="55">
        <f>VLOOKUP($E2172,'NI-Soc_SP'!$C:$AN,MID(V$1,1,2),FALSE)</f>
        <v>0</v>
      </c>
      <c r="W2172" s="55">
        <f>VLOOKUP($E2172,'NI-Soc_SP'!$C:$AN,MID(W$1,1,2),FALSE)</f>
        <v>0</v>
      </c>
      <c r="X2172" s="55">
        <f>VLOOKUP($E2172,'NI-Soc_SP'!$C:$AN,MID(X$1,1,2),FALSE)</f>
        <v>0</v>
      </c>
      <c r="Y2172" s="55">
        <f>VLOOKUP($E2172,'NI-Soc_SP'!$C:$AN,MID(Y$1,1,2),FALSE)</f>
        <v>0</v>
      </c>
      <c r="Z2172" s="55">
        <f>VLOOKUP($E2172,'NI-Soc_SP'!$C:$AN,MID(Z$1,1,2),FALSE)</f>
        <v>0</v>
      </c>
      <c r="AA2172" s="55">
        <f>VLOOKUP($E2172,'NI-Soc_SP'!$C:$AN,MID(AA$1,1,2),FALSE)</f>
        <v>0</v>
      </c>
      <c r="AB2172" s="55">
        <f>VLOOKUP($E2172,'NI-Soc_SP'!$C:$AN,MID(AB$1,1,2),FALSE)</f>
        <v>0</v>
      </c>
      <c r="AC2172" s="55">
        <f>VLOOKUP($E2172,'NI-Soc_SP'!$C:$AN,MID(AC$1,1,2),FALSE)</f>
        <v>0</v>
      </c>
      <c r="AD2172" s="55">
        <f>VLOOKUP($E2172,'NI-Soc_SP'!$C:$AN,MID(AD$1,1,2),FALSE)</f>
        <v>0</v>
      </c>
      <c r="AE2172" s="55">
        <f>VLOOKUP($E2172,'NI-Soc_SP'!$C:$AN,MID(AE$1,1,2),FALSE)</f>
        <v>0</v>
      </c>
      <c r="AF2172" s="55">
        <f>VLOOKUP($E2172,'NI-Soc_SP'!$C:$AN,MID(AF$1,1,2),FALSE)</f>
        <v>0</v>
      </c>
      <c r="AG2172" s="55">
        <f>VLOOKUP($E2172,'NI-Soc_SP'!$C:$AN,MID(AG$1,1,2),FALSE)</f>
        <v>0</v>
      </c>
      <c r="AH2172" s="55">
        <f>VLOOKUP($E2172,'NI-Soc_SP'!$C:$AN,MID(AH$1,1,2),FALSE)</f>
        <v>0</v>
      </c>
      <c r="AI2172" s="55">
        <f>VLOOKUP($E2172,'NI-Soc_SP'!$C:$AN,MID(AI$1,1,2),FALSE)</f>
        <v>0</v>
      </c>
      <c r="AJ2172" s="55">
        <f>VLOOKUP($E2172,'NI-Soc_SP'!$C:$AN,MID(AJ$1,1,2),FALSE)</f>
        <v>0</v>
      </c>
      <c r="AK2172" s="55">
        <f>VLOOKUP($E2172,'NI-Soc_SP'!$C:$AN,MID(AK$1,1,2),FALSE)</f>
        <v>0</v>
      </c>
      <c r="AL2172" s="55">
        <f>VLOOKUP($E2172,'NI-Soc_SP'!$C:$AN,MID(AL$1,1,2),FALSE)</f>
        <v>0</v>
      </c>
      <c r="AM2172" s="56">
        <f>VLOOKUP($E2172,'NI-Soc_SP'!$C:$AN,MID(AM$1,1,2),FALSE)</f>
        <v>0</v>
      </c>
      <c r="AN2172" s="30" t="str">
        <f t="shared" si="33"/>
        <v>90503030040010</v>
      </c>
    </row>
  </sheetData>
  <sheetCalcPr fullCalcOnLoad="1"/>
  <sheetProtection password="9E7F" sheet="1" objects="1" scenarios="1" autoFilter="0"/>
  <autoFilter ref="A1:AM2172"/>
  <pageMargins left="0.75" right="0.75" top="1" bottom="1" header="0.51180555555555551" footer="0.51180555555555551"/>
  <pageSetup paperSize="9" firstPageNumber="0" orientation="portrait" horizontalDpi="300" verticalDpi="300"/>
  <headerFooter alignWithMargins="0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defaultRowHeight="12.75" x14ac:dyDescent="0.2"/>
  <cols>
    <col min="1" max="1" width="9.7109375" style="897" customWidth="1"/>
    <col min="2" max="16384" width="9.140625" style="897"/>
  </cols>
  <sheetData>
    <row r="1" spans="1:1" x14ac:dyDescent="0.2">
      <c r="A1" s="897" t="s">
        <v>7571</v>
      </c>
    </row>
    <row r="2" spans="1:1" x14ac:dyDescent="0.2">
      <c r="A2" s="897" t="s">
        <v>13</v>
      </c>
    </row>
    <row r="3" spans="1:1" x14ac:dyDescent="0.2">
      <c r="A3" s="897" t="s">
        <v>7572</v>
      </c>
    </row>
    <row r="4" spans="1:1" x14ac:dyDescent="0.2">
      <c r="A4" s="897" t="s">
        <v>7573</v>
      </c>
    </row>
    <row r="5" spans="1:1" x14ac:dyDescent="0.2">
      <c r="A5" s="897" t="s">
        <v>7574</v>
      </c>
    </row>
    <row r="6" spans="1:1" x14ac:dyDescent="0.2">
      <c r="A6" s="897" t="s">
        <v>7575</v>
      </c>
    </row>
    <row r="7" spans="1:1" x14ac:dyDescent="0.2">
      <c r="A7" s="897" t="s">
        <v>7576</v>
      </c>
    </row>
    <row r="8" spans="1:1" x14ac:dyDescent="0.2">
      <c r="A8" s="897" t="s">
        <v>7577</v>
      </c>
    </row>
    <row r="9" spans="1:1" x14ac:dyDescent="0.2">
      <c r="A9" s="897" t="s">
        <v>7578</v>
      </c>
    </row>
    <row r="10" spans="1:1" x14ac:dyDescent="0.2">
      <c r="A10" s="897" t="s">
        <v>7579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N17" sqref="N17"/>
    </sheetView>
  </sheetViews>
  <sheetFormatPr defaultRowHeight="15" x14ac:dyDescent="0.25"/>
  <cols>
    <col min="2" max="2" width="10.85546875" customWidth="1"/>
    <col min="4" max="4" width="14.5703125" customWidth="1"/>
    <col min="5" max="5" width="19.140625" customWidth="1"/>
    <col min="6" max="6" width="18.5703125" customWidth="1"/>
  </cols>
  <sheetData>
    <row r="1" spans="1:7" x14ac:dyDescent="0.25">
      <c r="A1" s="899" t="s">
        <v>7580</v>
      </c>
      <c r="B1" s="899" t="s">
        <v>7581</v>
      </c>
      <c r="C1" s="899" t="s">
        <v>71</v>
      </c>
      <c r="D1" s="899" t="s">
        <v>7582</v>
      </c>
      <c r="E1" s="899" t="s">
        <v>7583</v>
      </c>
      <c r="F1" s="899" t="s">
        <v>7584</v>
      </c>
      <c r="G1" s="899" t="s">
        <v>7585</v>
      </c>
    </row>
    <row r="2" spans="1:7" x14ac:dyDescent="0.25">
      <c r="A2" s="899" t="s">
        <v>6761</v>
      </c>
      <c r="B2" s="899" t="s">
        <v>6719</v>
      </c>
      <c r="C2" s="899" t="s">
        <v>7586</v>
      </c>
      <c r="D2" s="899" t="s">
        <v>7587</v>
      </c>
      <c r="E2" s="899" t="s">
        <v>7588</v>
      </c>
      <c r="F2" s="899" t="s">
        <v>7589</v>
      </c>
      <c r="G2" s="899" t="s">
        <v>7590</v>
      </c>
    </row>
  </sheetData>
  <sheetProtection selectLockedCells="1" selectUnlockedCells="1"/>
  <pageMargins left="0.75" right="0.75" top="1" bottom="1" header="0.5" footer="0.5"/>
  <pageSetup paperSize="9" firstPageNumber="0" orientation="portrait" horizontalDpi="300" verticalDpi="300"/>
  <headerFooter alignWithMargins="0">
    <oddHeader>&amp;C&amp;A</oddHeader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6"/>
  <sheetViews>
    <sheetView workbookViewId="0"/>
  </sheetViews>
  <sheetFormatPr defaultRowHeight="15" x14ac:dyDescent="0.25"/>
  <sheetData>
    <row r="1" spans="1:5" x14ac:dyDescent="0.25">
      <c r="A1" s="899"/>
      <c r="B1" s="899"/>
      <c r="C1" s="899"/>
      <c r="D1" s="899"/>
      <c r="E1" s="899"/>
    </row>
    <row r="2" spans="1:5" x14ac:dyDescent="0.25">
      <c r="A2" s="899"/>
      <c r="B2" s="899"/>
      <c r="C2" s="899"/>
      <c r="E2" s="899"/>
    </row>
    <row r="3" spans="1:5" x14ac:dyDescent="0.25">
      <c r="A3" s="899"/>
      <c r="B3" s="899"/>
      <c r="C3" s="899"/>
      <c r="E3" s="899"/>
    </row>
    <row r="4" spans="1:5" x14ac:dyDescent="0.25">
      <c r="A4" s="899"/>
      <c r="B4" s="899"/>
      <c r="C4" s="899"/>
      <c r="E4" s="899"/>
    </row>
    <row r="5" spans="1:5" x14ac:dyDescent="0.25">
      <c r="A5" s="899"/>
      <c r="B5" s="899"/>
    </row>
    <row r="6" spans="1:5" x14ac:dyDescent="0.25">
      <c r="A6" s="899"/>
      <c r="B6" s="899"/>
      <c r="C6" s="899"/>
    </row>
    <row r="7" spans="1:5" x14ac:dyDescent="0.25">
      <c r="A7" s="899"/>
      <c r="B7" s="899"/>
    </row>
    <row r="8" spans="1:5" x14ac:dyDescent="0.25">
      <c r="A8" s="899"/>
      <c r="B8" s="899"/>
    </row>
    <row r="9" spans="1:5" x14ac:dyDescent="0.25">
      <c r="A9" s="899"/>
      <c r="B9" s="899"/>
      <c r="E9" s="899"/>
    </row>
    <row r="10" spans="1:5" x14ac:dyDescent="0.25">
      <c r="A10" s="899"/>
      <c r="B10" s="899"/>
      <c r="C10" s="899"/>
      <c r="E10" s="899"/>
    </row>
    <row r="11" spans="1:5" x14ac:dyDescent="0.25">
      <c r="A11" s="899"/>
      <c r="B11" s="899"/>
      <c r="C11" s="899"/>
      <c r="E11" s="899"/>
    </row>
    <row r="12" spans="1:5" x14ac:dyDescent="0.25">
      <c r="A12" s="899"/>
      <c r="B12" s="899"/>
      <c r="C12" s="899"/>
      <c r="E12" s="899"/>
    </row>
    <row r="13" spans="1:5" x14ac:dyDescent="0.25">
      <c r="A13" s="899"/>
      <c r="B13" s="899"/>
      <c r="C13" s="899"/>
      <c r="E13" s="899"/>
    </row>
    <row r="14" spans="1:5" x14ac:dyDescent="0.25">
      <c r="A14" s="899"/>
      <c r="B14" s="899"/>
      <c r="C14" s="899"/>
      <c r="E14" s="899"/>
    </row>
    <row r="15" spans="1:5" x14ac:dyDescent="0.25">
      <c r="A15" s="899"/>
      <c r="B15" s="899"/>
      <c r="E15" s="899"/>
    </row>
    <row r="16" spans="1:5" x14ac:dyDescent="0.25">
      <c r="A16" s="899"/>
      <c r="B16" s="899"/>
      <c r="C16" s="899"/>
      <c r="E16" s="899"/>
    </row>
    <row r="17" spans="1:5" x14ac:dyDescent="0.25">
      <c r="A17" s="899"/>
      <c r="B17" s="899"/>
      <c r="E17" s="899"/>
    </row>
    <row r="18" spans="1:5" x14ac:dyDescent="0.25">
      <c r="A18" s="899"/>
      <c r="B18" s="899"/>
      <c r="E18" s="899"/>
    </row>
    <row r="19" spans="1:5" x14ac:dyDescent="0.25">
      <c r="A19" s="899"/>
      <c r="B19" s="899"/>
      <c r="E19" s="899"/>
    </row>
    <row r="20" spans="1:5" x14ac:dyDescent="0.25">
      <c r="A20" s="899"/>
      <c r="B20" s="899"/>
      <c r="E20" s="899"/>
    </row>
    <row r="21" spans="1:5" x14ac:dyDescent="0.25">
      <c r="A21" s="899"/>
      <c r="B21" s="899"/>
      <c r="E21" s="899"/>
    </row>
    <row r="22" spans="1:5" x14ac:dyDescent="0.25">
      <c r="A22" s="899"/>
      <c r="B22" s="899"/>
      <c r="E22" s="899"/>
    </row>
    <row r="23" spans="1:5" x14ac:dyDescent="0.25">
      <c r="A23" s="899"/>
      <c r="B23" s="899"/>
      <c r="E23" s="899"/>
    </row>
    <row r="24" spans="1:5" x14ac:dyDescent="0.25">
      <c r="A24" s="899"/>
      <c r="B24" s="899"/>
      <c r="E24" s="899"/>
    </row>
    <row r="25" spans="1:5" x14ac:dyDescent="0.25">
      <c r="A25" s="899"/>
      <c r="B25" s="899"/>
      <c r="E25" s="899"/>
    </row>
    <row r="26" spans="1:5" x14ac:dyDescent="0.25">
      <c r="A26" s="899"/>
      <c r="B26" s="899"/>
    </row>
    <row r="27" spans="1:5" x14ac:dyDescent="0.25">
      <c r="A27" s="899"/>
      <c r="B27" s="899"/>
      <c r="E27" s="899"/>
    </row>
    <row r="28" spans="1:5" x14ac:dyDescent="0.25">
      <c r="A28" s="899"/>
      <c r="B28" s="899"/>
      <c r="C28" s="899"/>
      <c r="E28" s="899"/>
    </row>
    <row r="29" spans="1:5" x14ac:dyDescent="0.25">
      <c r="A29" s="899"/>
      <c r="B29" s="899"/>
      <c r="E29" s="899"/>
    </row>
    <row r="30" spans="1:5" x14ac:dyDescent="0.25">
      <c r="A30" s="899"/>
      <c r="B30" s="899"/>
      <c r="E30" s="899"/>
    </row>
    <row r="31" spans="1:5" x14ac:dyDescent="0.25">
      <c r="A31" s="899"/>
      <c r="B31" s="899"/>
      <c r="E31" s="899"/>
    </row>
    <row r="32" spans="1:5" x14ac:dyDescent="0.25">
      <c r="A32" s="899"/>
      <c r="B32" s="899"/>
      <c r="E32" s="899"/>
    </row>
    <row r="33" spans="1:5" x14ac:dyDescent="0.25">
      <c r="A33" s="899"/>
      <c r="B33" s="899"/>
      <c r="C33" s="899"/>
      <c r="E33" s="899"/>
    </row>
    <row r="34" spans="1:5" x14ac:dyDescent="0.25">
      <c r="A34" s="899"/>
      <c r="B34" s="899"/>
      <c r="C34" s="899"/>
      <c r="E34" s="899"/>
    </row>
    <row r="35" spans="1:5" x14ac:dyDescent="0.25">
      <c r="A35" s="899"/>
      <c r="B35" s="899"/>
    </row>
    <row r="36" spans="1:5" x14ac:dyDescent="0.25">
      <c r="A36" s="899"/>
      <c r="B36" s="899"/>
      <c r="C36" s="899"/>
    </row>
    <row r="37" spans="1:5" x14ac:dyDescent="0.25">
      <c r="A37" s="899"/>
      <c r="B37" s="899"/>
    </row>
    <row r="38" spans="1:5" x14ac:dyDescent="0.25">
      <c r="A38" s="899"/>
      <c r="B38" s="899"/>
      <c r="C38" s="899"/>
      <c r="E38" s="899"/>
    </row>
    <row r="39" spans="1:5" x14ac:dyDescent="0.25">
      <c r="A39" s="899"/>
      <c r="B39" s="899"/>
      <c r="E39" s="899"/>
    </row>
    <row r="40" spans="1:5" x14ac:dyDescent="0.25">
      <c r="A40" s="899"/>
      <c r="B40" s="899"/>
    </row>
    <row r="41" spans="1:5" x14ac:dyDescent="0.25">
      <c r="A41" s="899"/>
      <c r="B41" s="899"/>
    </row>
    <row r="42" spans="1:5" x14ac:dyDescent="0.25">
      <c r="A42" s="899"/>
      <c r="B42" s="899"/>
    </row>
    <row r="43" spans="1:5" x14ac:dyDescent="0.25">
      <c r="A43" s="899"/>
      <c r="B43" s="899"/>
    </row>
    <row r="44" spans="1:5" x14ac:dyDescent="0.25">
      <c r="A44" s="899"/>
      <c r="B44" s="899"/>
    </row>
    <row r="45" spans="1:5" x14ac:dyDescent="0.25">
      <c r="A45" s="899"/>
      <c r="B45" s="899"/>
    </row>
    <row r="46" spans="1:5" x14ac:dyDescent="0.25">
      <c r="A46" s="899"/>
      <c r="B46" s="899"/>
    </row>
    <row r="47" spans="1:5" x14ac:dyDescent="0.25">
      <c r="A47" s="899"/>
      <c r="B47" s="899"/>
    </row>
    <row r="48" spans="1:5" x14ac:dyDescent="0.25">
      <c r="A48" s="899"/>
      <c r="B48" s="899"/>
    </row>
    <row r="49" spans="1:5" x14ac:dyDescent="0.25">
      <c r="A49" s="899"/>
      <c r="B49" s="899"/>
      <c r="E49" s="899"/>
    </row>
    <row r="50" spans="1:5" x14ac:dyDescent="0.25">
      <c r="A50" s="899"/>
      <c r="B50" s="899"/>
      <c r="E50" s="899"/>
    </row>
    <row r="51" spans="1:5" x14ac:dyDescent="0.25">
      <c r="A51" s="899"/>
      <c r="B51" s="899"/>
      <c r="E51" s="899"/>
    </row>
    <row r="52" spans="1:5" x14ac:dyDescent="0.25">
      <c r="A52" s="899"/>
      <c r="B52" s="899"/>
    </row>
    <row r="53" spans="1:5" x14ac:dyDescent="0.25">
      <c r="A53" s="899"/>
      <c r="B53" s="899"/>
    </row>
    <row r="54" spans="1:5" x14ac:dyDescent="0.25">
      <c r="A54" s="899"/>
      <c r="B54" s="899"/>
      <c r="E54" s="899"/>
    </row>
    <row r="55" spans="1:5" x14ac:dyDescent="0.25">
      <c r="A55" s="899"/>
      <c r="B55" s="899"/>
      <c r="E55" s="899"/>
    </row>
    <row r="56" spans="1:5" x14ac:dyDescent="0.25">
      <c r="A56" s="899"/>
      <c r="B56" s="899"/>
    </row>
    <row r="57" spans="1:5" x14ac:dyDescent="0.25">
      <c r="A57" s="899"/>
      <c r="B57" s="899"/>
    </row>
    <row r="58" spans="1:5" x14ac:dyDescent="0.25">
      <c r="A58" s="899"/>
      <c r="B58" s="899"/>
      <c r="C58" s="899"/>
    </row>
    <row r="59" spans="1:5" x14ac:dyDescent="0.25">
      <c r="A59" s="899"/>
      <c r="B59" s="899"/>
      <c r="C59" s="899"/>
    </row>
    <row r="60" spans="1:5" x14ac:dyDescent="0.25">
      <c r="A60" s="899"/>
      <c r="B60" s="899"/>
      <c r="C60" s="899"/>
    </row>
    <row r="61" spans="1:5" x14ac:dyDescent="0.25">
      <c r="A61" s="899"/>
      <c r="B61" s="899"/>
    </row>
    <row r="62" spans="1:5" x14ac:dyDescent="0.25">
      <c r="A62" s="899"/>
      <c r="B62" s="899"/>
    </row>
    <row r="63" spans="1:5" x14ac:dyDescent="0.25">
      <c r="A63" s="899"/>
      <c r="B63" s="899"/>
      <c r="C63" s="899"/>
    </row>
    <row r="64" spans="1:5" x14ac:dyDescent="0.25">
      <c r="A64" s="899"/>
      <c r="B64" s="899"/>
      <c r="C64" s="899"/>
    </row>
    <row r="65" spans="1:5" x14ac:dyDescent="0.25">
      <c r="A65" s="899"/>
      <c r="B65" s="899"/>
      <c r="C65" s="899"/>
    </row>
    <row r="66" spans="1:5" x14ac:dyDescent="0.25">
      <c r="A66" s="899"/>
      <c r="B66" s="899"/>
    </row>
    <row r="67" spans="1:5" x14ac:dyDescent="0.25">
      <c r="A67" s="899"/>
      <c r="B67" s="899"/>
    </row>
    <row r="68" spans="1:5" x14ac:dyDescent="0.25">
      <c r="A68" s="899"/>
      <c r="B68" s="899"/>
      <c r="C68" s="899"/>
      <c r="E68" s="899"/>
    </row>
    <row r="69" spans="1:5" x14ac:dyDescent="0.25">
      <c r="A69" s="899"/>
      <c r="B69" s="899"/>
      <c r="C69" s="899"/>
      <c r="E69" s="899"/>
    </row>
    <row r="70" spans="1:5" x14ac:dyDescent="0.25">
      <c r="A70" s="899"/>
      <c r="B70" s="899"/>
      <c r="C70" s="899"/>
      <c r="E70" s="899"/>
    </row>
    <row r="71" spans="1:5" x14ac:dyDescent="0.25">
      <c r="A71" s="899"/>
      <c r="B71" s="899"/>
      <c r="C71" s="899"/>
      <c r="E71" s="899"/>
    </row>
    <row r="72" spans="1:5" x14ac:dyDescent="0.25">
      <c r="A72" s="899"/>
      <c r="B72" s="899"/>
      <c r="C72" s="899"/>
      <c r="E72" s="899"/>
    </row>
    <row r="73" spans="1:5" x14ac:dyDescent="0.25">
      <c r="A73" s="899"/>
      <c r="B73" s="899"/>
      <c r="C73" s="899"/>
      <c r="E73" s="899"/>
    </row>
    <row r="74" spans="1:5" x14ac:dyDescent="0.25">
      <c r="A74" s="899"/>
      <c r="B74" s="899"/>
      <c r="C74" s="899"/>
      <c r="E74" s="899"/>
    </row>
    <row r="75" spans="1:5" x14ac:dyDescent="0.25">
      <c r="A75" s="899"/>
      <c r="B75" s="899"/>
      <c r="C75" s="899"/>
      <c r="E75" s="899"/>
    </row>
    <row r="76" spans="1:5" x14ac:dyDescent="0.25">
      <c r="A76" s="899"/>
      <c r="B76" s="899"/>
      <c r="C76" s="899"/>
    </row>
    <row r="77" spans="1:5" x14ac:dyDescent="0.25">
      <c r="A77" s="899"/>
      <c r="B77" s="899"/>
      <c r="C77" s="899"/>
      <c r="E77" s="899"/>
    </row>
    <row r="78" spans="1:5" x14ac:dyDescent="0.25">
      <c r="A78" s="899"/>
      <c r="B78" s="899"/>
      <c r="C78" s="899"/>
      <c r="E78" s="899"/>
    </row>
    <row r="79" spans="1:5" x14ac:dyDescent="0.25">
      <c r="A79" s="899"/>
      <c r="B79" s="899"/>
      <c r="C79" s="899"/>
      <c r="E79" s="899"/>
    </row>
    <row r="80" spans="1:5" x14ac:dyDescent="0.25">
      <c r="A80" s="899"/>
      <c r="B80" s="899"/>
      <c r="C80" s="899"/>
      <c r="E80" s="899"/>
    </row>
    <row r="81" spans="1:5" x14ac:dyDescent="0.25">
      <c r="A81" s="899"/>
      <c r="B81" s="899"/>
      <c r="C81" s="899"/>
      <c r="E81" s="899"/>
    </row>
    <row r="82" spans="1:5" x14ac:dyDescent="0.25">
      <c r="A82" s="899"/>
      <c r="B82" s="899"/>
    </row>
    <row r="83" spans="1:5" x14ac:dyDescent="0.25">
      <c r="A83" s="899"/>
      <c r="B83" s="899"/>
      <c r="C83" s="899"/>
      <c r="E83" s="899"/>
    </row>
    <row r="84" spans="1:5" x14ac:dyDescent="0.25">
      <c r="A84" s="899"/>
      <c r="B84" s="899"/>
      <c r="C84" s="899"/>
      <c r="E84" s="899"/>
    </row>
    <row r="85" spans="1:5" x14ac:dyDescent="0.25">
      <c r="A85" s="899"/>
      <c r="B85" s="899"/>
      <c r="C85" s="899"/>
      <c r="E85" s="899"/>
    </row>
    <row r="86" spans="1:5" x14ac:dyDescent="0.25">
      <c r="A86" s="899"/>
      <c r="B86" s="899"/>
      <c r="C86" s="899"/>
      <c r="E86" s="899"/>
    </row>
    <row r="87" spans="1:5" x14ac:dyDescent="0.25">
      <c r="A87" s="899"/>
      <c r="B87" s="899"/>
      <c r="C87" s="899"/>
      <c r="E87" s="899"/>
    </row>
    <row r="88" spans="1:5" x14ac:dyDescent="0.25">
      <c r="A88" s="899"/>
      <c r="B88" s="899"/>
      <c r="C88" s="899"/>
      <c r="E88" s="899"/>
    </row>
    <row r="89" spans="1:5" x14ac:dyDescent="0.25">
      <c r="A89" s="899"/>
      <c r="B89" s="899"/>
      <c r="C89" s="899"/>
      <c r="E89" s="899"/>
    </row>
    <row r="90" spans="1:5" x14ac:dyDescent="0.25">
      <c r="A90" s="899"/>
      <c r="B90" s="899"/>
      <c r="C90" s="899"/>
      <c r="E90" s="899"/>
    </row>
    <row r="91" spans="1:5" x14ac:dyDescent="0.25">
      <c r="A91" s="899"/>
      <c r="B91" s="899"/>
      <c r="C91" s="899"/>
      <c r="E91" s="899"/>
    </row>
    <row r="92" spans="1:5" x14ac:dyDescent="0.25">
      <c r="A92" s="899"/>
      <c r="B92" s="899"/>
      <c r="E92" s="899"/>
    </row>
    <row r="93" spans="1:5" x14ac:dyDescent="0.25">
      <c r="A93" s="899"/>
      <c r="B93" s="899"/>
      <c r="C93" s="899"/>
      <c r="E93" s="899"/>
    </row>
    <row r="94" spans="1:5" x14ac:dyDescent="0.25">
      <c r="A94" s="899"/>
      <c r="B94" s="899"/>
      <c r="C94" s="899"/>
      <c r="E94" s="899"/>
    </row>
    <row r="95" spans="1:5" x14ac:dyDescent="0.25">
      <c r="A95" s="899"/>
      <c r="B95" s="899"/>
      <c r="C95" s="899"/>
      <c r="E95" s="899"/>
    </row>
    <row r="96" spans="1:5" x14ac:dyDescent="0.25">
      <c r="A96" s="899"/>
      <c r="B96" s="899"/>
      <c r="C96" s="899"/>
      <c r="E96" s="899"/>
    </row>
    <row r="97" spans="1:5" x14ac:dyDescent="0.25">
      <c r="A97" s="899"/>
      <c r="B97" s="899"/>
      <c r="C97" s="899"/>
      <c r="E97" s="899"/>
    </row>
    <row r="98" spans="1:5" x14ac:dyDescent="0.25">
      <c r="A98" s="899"/>
      <c r="B98" s="899"/>
      <c r="C98" s="899"/>
      <c r="E98" s="899"/>
    </row>
    <row r="99" spans="1:5" x14ac:dyDescent="0.25">
      <c r="A99" s="899"/>
      <c r="B99" s="899"/>
      <c r="C99" s="899"/>
      <c r="E99" s="899"/>
    </row>
    <row r="100" spans="1:5" x14ac:dyDescent="0.25">
      <c r="A100" s="899"/>
      <c r="B100" s="899"/>
      <c r="C100" s="899"/>
      <c r="E100" s="899"/>
    </row>
    <row r="101" spans="1:5" x14ac:dyDescent="0.25">
      <c r="A101" s="899"/>
      <c r="B101" s="899"/>
      <c r="E101" s="899"/>
    </row>
    <row r="102" spans="1:5" x14ac:dyDescent="0.25">
      <c r="A102" s="899"/>
      <c r="B102" s="899"/>
      <c r="C102" s="899"/>
      <c r="E102" s="899"/>
    </row>
    <row r="103" spans="1:5" x14ac:dyDescent="0.25">
      <c r="A103" s="899"/>
      <c r="B103" s="899"/>
      <c r="C103" s="899"/>
    </row>
    <row r="104" spans="1:5" x14ac:dyDescent="0.25">
      <c r="A104" s="899"/>
      <c r="B104" s="899"/>
      <c r="C104" s="899"/>
    </row>
    <row r="105" spans="1:5" x14ac:dyDescent="0.25">
      <c r="A105" s="899"/>
      <c r="B105" s="899"/>
    </row>
    <row r="106" spans="1:5" x14ac:dyDescent="0.25">
      <c r="A106" s="899"/>
      <c r="B106" s="899"/>
    </row>
    <row r="107" spans="1:5" x14ac:dyDescent="0.25">
      <c r="A107" s="899"/>
      <c r="B107" s="899"/>
      <c r="C107" s="899"/>
      <c r="E107" s="899"/>
    </row>
    <row r="108" spans="1:5" x14ac:dyDescent="0.25">
      <c r="A108" s="899"/>
      <c r="B108" s="899"/>
      <c r="C108" s="899"/>
      <c r="E108" s="899"/>
    </row>
    <row r="109" spans="1:5" x14ac:dyDescent="0.25">
      <c r="A109" s="899"/>
      <c r="B109" s="899"/>
      <c r="C109" s="899"/>
      <c r="E109" s="899"/>
    </row>
    <row r="110" spans="1:5" x14ac:dyDescent="0.25">
      <c r="A110" s="899"/>
      <c r="B110" s="899"/>
      <c r="C110" s="899"/>
      <c r="E110" s="899"/>
    </row>
    <row r="111" spans="1:5" x14ac:dyDescent="0.25">
      <c r="A111" s="899"/>
      <c r="B111" s="899"/>
      <c r="C111" s="899"/>
      <c r="E111" s="899"/>
    </row>
    <row r="112" spans="1:5" x14ac:dyDescent="0.25">
      <c r="A112" s="899"/>
      <c r="B112" s="899"/>
      <c r="C112" s="899"/>
      <c r="E112" s="899"/>
    </row>
    <row r="113" spans="1:5" x14ac:dyDescent="0.25">
      <c r="A113" s="899"/>
      <c r="B113" s="899"/>
    </row>
    <row r="114" spans="1:5" x14ac:dyDescent="0.25">
      <c r="A114" s="899"/>
      <c r="B114" s="899"/>
      <c r="C114" s="899"/>
      <c r="E114" s="899"/>
    </row>
    <row r="115" spans="1:5" x14ac:dyDescent="0.25">
      <c r="A115" s="899"/>
      <c r="B115" s="899"/>
      <c r="C115" s="899"/>
      <c r="E115" s="899"/>
    </row>
    <row r="116" spans="1:5" x14ac:dyDescent="0.25">
      <c r="A116" s="899"/>
      <c r="B116" s="899"/>
      <c r="C116" s="899"/>
      <c r="E116" s="899"/>
    </row>
    <row r="117" spans="1:5" x14ac:dyDescent="0.25">
      <c r="A117" s="899"/>
      <c r="B117" s="899"/>
    </row>
    <row r="118" spans="1:5" x14ac:dyDescent="0.25">
      <c r="A118" s="899"/>
      <c r="B118" s="899"/>
    </row>
    <row r="119" spans="1:5" x14ac:dyDescent="0.25">
      <c r="A119" s="899"/>
      <c r="B119" s="899"/>
    </row>
    <row r="120" spans="1:5" x14ac:dyDescent="0.25">
      <c r="A120" s="899"/>
      <c r="B120" s="899"/>
    </row>
    <row r="121" spans="1:5" x14ac:dyDescent="0.25">
      <c r="A121" s="899"/>
      <c r="B121" s="899"/>
      <c r="C121" s="899"/>
      <c r="E121" s="899"/>
    </row>
    <row r="122" spans="1:5" x14ac:dyDescent="0.25">
      <c r="A122" s="899"/>
      <c r="B122" s="899"/>
    </row>
    <row r="123" spans="1:5" x14ac:dyDescent="0.25">
      <c r="A123" s="899"/>
      <c r="B123" s="899"/>
    </row>
    <row r="124" spans="1:5" x14ac:dyDescent="0.25">
      <c r="A124" s="899"/>
      <c r="B124" s="899"/>
      <c r="C124" s="899"/>
      <c r="E124" s="899"/>
    </row>
    <row r="125" spans="1:5" x14ac:dyDescent="0.25">
      <c r="A125" s="899"/>
      <c r="B125" s="899"/>
      <c r="C125" s="899"/>
      <c r="E125" s="899"/>
    </row>
    <row r="126" spans="1:5" x14ac:dyDescent="0.25">
      <c r="A126" s="899"/>
      <c r="B126" s="899"/>
      <c r="C126" s="899"/>
    </row>
    <row r="127" spans="1:5" x14ac:dyDescent="0.25">
      <c r="A127" s="899"/>
      <c r="B127" s="899"/>
    </row>
    <row r="128" spans="1:5" x14ac:dyDescent="0.25">
      <c r="A128" s="899"/>
      <c r="B128" s="899"/>
      <c r="C128" s="899"/>
    </row>
    <row r="129" spans="1:5" x14ac:dyDescent="0.25">
      <c r="A129" s="899"/>
      <c r="B129" s="899"/>
    </row>
    <row r="130" spans="1:5" x14ac:dyDescent="0.25">
      <c r="A130" s="899"/>
      <c r="B130" s="899"/>
    </row>
    <row r="131" spans="1:5" x14ac:dyDescent="0.25">
      <c r="A131" s="899"/>
      <c r="B131" s="899"/>
      <c r="C131" s="899"/>
    </row>
    <row r="132" spans="1:5" x14ac:dyDescent="0.25">
      <c r="A132" s="899"/>
      <c r="B132" s="899"/>
    </row>
    <row r="133" spans="1:5" x14ac:dyDescent="0.25">
      <c r="A133" s="899"/>
      <c r="B133" s="899"/>
    </row>
    <row r="134" spans="1:5" x14ac:dyDescent="0.25">
      <c r="A134" s="899"/>
      <c r="B134" s="899"/>
    </row>
    <row r="135" spans="1:5" x14ac:dyDescent="0.25">
      <c r="A135" s="899"/>
      <c r="B135" s="899"/>
    </row>
    <row r="136" spans="1:5" x14ac:dyDescent="0.25">
      <c r="A136" s="899"/>
      <c r="B136" s="899"/>
    </row>
    <row r="137" spans="1:5" x14ac:dyDescent="0.25">
      <c r="A137" s="899"/>
      <c r="B137" s="899"/>
      <c r="C137" s="899"/>
      <c r="E137" s="899"/>
    </row>
    <row r="138" spans="1:5" x14ac:dyDescent="0.25">
      <c r="A138" s="899"/>
      <c r="B138" s="899"/>
    </row>
    <row r="139" spans="1:5" x14ac:dyDescent="0.25">
      <c r="A139" s="899"/>
      <c r="B139" s="899"/>
    </row>
    <row r="140" spans="1:5" x14ac:dyDescent="0.25">
      <c r="A140" s="899"/>
      <c r="B140" s="899"/>
    </row>
    <row r="141" spans="1:5" x14ac:dyDescent="0.25">
      <c r="A141" s="899"/>
      <c r="B141" s="899"/>
      <c r="C141" s="899"/>
      <c r="E141" s="899"/>
    </row>
    <row r="142" spans="1:5" x14ac:dyDescent="0.25">
      <c r="A142" s="899"/>
      <c r="B142" s="899"/>
      <c r="C142" s="899"/>
      <c r="E142" s="899"/>
    </row>
    <row r="143" spans="1:5" x14ac:dyDescent="0.25">
      <c r="A143" s="899"/>
      <c r="B143" s="899"/>
      <c r="C143" s="899"/>
      <c r="E143" s="899"/>
    </row>
    <row r="144" spans="1:5" x14ac:dyDescent="0.25">
      <c r="A144" s="899"/>
      <c r="B144" s="899"/>
    </row>
    <row r="145" spans="1:5" x14ac:dyDescent="0.25">
      <c r="A145" s="899"/>
      <c r="B145" s="899"/>
    </row>
    <row r="146" spans="1:5" x14ac:dyDescent="0.25">
      <c r="A146" s="899"/>
      <c r="B146" s="899"/>
      <c r="C146" s="899"/>
      <c r="E146" s="899"/>
    </row>
    <row r="147" spans="1:5" x14ac:dyDescent="0.25">
      <c r="A147" s="899"/>
      <c r="B147" s="899"/>
      <c r="C147" s="899"/>
      <c r="E147" s="899"/>
    </row>
    <row r="148" spans="1:5" x14ac:dyDescent="0.25">
      <c r="A148" s="899"/>
      <c r="B148" s="899"/>
      <c r="C148" s="899"/>
    </row>
    <row r="149" spans="1:5" x14ac:dyDescent="0.25">
      <c r="A149" s="899"/>
      <c r="B149" s="899"/>
    </row>
    <row r="150" spans="1:5" x14ac:dyDescent="0.25">
      <c r="A150" s="899"/>
      <c r="B150" s="899"/>
      <c r="C150" s="899"/>
    </row>
    <row r="151" spans="1:5" x14ac:dyDescent="0.25">
      <c r="A151" s="899"/>
      <c r="B151" s="899"/>
      <c r="C151" s="899"/>
    </row>
    <row r="152" spans="1:5" x14ac:dyDescent="0.25">
      <c r="A152" s="899"/>
      <c r="B152" s="899"/>
      <c r="C152" s="899"/>
    </row>
    <row r="153" spans="1:5" x14ac:dyDescent="0.25">
      <c r="A153" s="899"/>
      <c r="B153" s="899"/>
      <c r="C153" s="899"/>
    </row>
    <row r="154" spans="1:5" x14ac:dyDescent="0.25">
      <c r="A154" s="899"/>
      <c r="B154" s="899"/>
      <c r="C154" s="899"/>
    </row>
    <row r="155" spans="1:5" x14ac:dyDescent="0.25">
      <c r="A155" s="899"/>
      <c r="B155" s="899"/>
      <c r="C155" s="899"/>
      <c r="E155" s="899"/>
    </row>
    <row r="156" spans="1:5" x14ac:dyDescent="0.25">
      <c r="A156" s="899"/>
      <c r="B156" s="899"/>
      <c r="C156" s="899"/>
      <c r="E156" s="899"/>
    </row>
    <row r="157" spans="1:5" x14ac:dyDescent="0.25">
      <c r="A157" s="899"/>
      <c r="B157" s="899"/>
      <c r="C157" s="899"/>
    </row>
    <row r="158" spans="1:5" x14ac:dyDescent="0.25">
      <c r="A158" s="899"/>
      <c r="B158" s="899"/>
      <c r="C158" s="899"/>
      <c r="E158" s="899"/>
    </row>
    <row r="159" spans="1:5" x14ac:dyDescent="0.25">
      <c r="A159" s="899"/>
      <c r="B159" s="899"/>
      <c r="E159" s="899"/>
    </row>
    <row r="160" spans="1:5" x14ac:dyDescent="0.25">
      <c r="A160" s="899"/>
      <c r="B160" s="899"/>
      <c r="E160" s="899"/>
    </row>
    <row r="161" spans="1:5" x14ac:dyDescent="0.25">
      <c r="A161" s="899"/>
      <c r="B161" s="899"/>
      <c r="C161" s="899"/>
      <c r="E161" s="899"/>
    </row>
    <row r="162" spans="1:5" x14ac:dyDescent="0.25">
      <c r="A162" s="899"/>
      <c r="B162" s="899"/>
      <c r="C162" s="899"/>
      <c r="E162" s="899"/>
    </row>
    <row r="163" spans="1:5" x14ac:dyDescent="0.25">
      <c r="A163" s="899"/>
      <c r="B163" s="899"/>
      <c r="E163" s="899"/>
    </row>
    <row r="164" spans="1:5" x14ac:dyDescent="0.25">
      <c r="A164" s="899"/>
      <c r="B164" s="899"/>
      <c r="C164" s="899"/>
    </row>
    <row r="165" spans="1:5" x14ac:dyDescent="0.25">
      <c r="A165" s="899"/>
      <c r="B165" s="899"/>
      <c r="E165" s="899"/>
    </row>
    <row r="166" spans="1:5" x14ac:dyDescent="0.25">
      <c r="A166" s="899"/>
      <c r="B166" s="899"/>
    </row>
    <row r="167" spans="1:5" x14ac:dyDescent="0.25">
      <c r="A167" s="899"/>
      <c r="B167" s="899"/>
      <c r="E167" s="899"/>
    </row>
    <row r="168" spans="1:5" x14ac:dyDescent="0.25">
      <c r="A168" s="899"/>
      <c r="B168" s="899"/>
      <c r="E168" s="899"/>
    </row>
    <row r="169" spans="1:5" x14ac:dyDescent="0.25">
      <c r="A169" s="899"/>
      <c r="B169" s="899"/>
      <c r="C169" s="899"/>
    </row>
    <row r="170" spans="1:5" x14ac:dyDescent="0.25">
      <c r="A170" s="899"/>
      <c r="B170" s="899"/>
    </row>
    <row r="171" spans="1:5" x14ac:dyDescent="0.25">
      <c r="A171" s="899"/>
      <c r="B171" s="899"/>
    </row>
    <row r="172" spans="1:5" x14ac:dyDescent="0.25">
      <c r="A172" s="899"/>
      <c r="B172" s="899"/>
      <c r="C172" s="899"/>
    </row>
    <row r="173" spans="1:5" x14ac:dyDescent="0.25">
      <c r="A173" s="899"/>
      <c r="B173" s="899"/>
      <c r="C173" s="899"/>
    </row>
    <row r="174" spans="1:5" x14ac:dyDescent="0.25">
      <c r="A174" s="899"/>
      <c r="B174" s="899"/>
      <c r="E174" s="899"/>
    </row>
    <row r="175" spans="1:5" x14ac:dyDescent="0.25">
      <c r="A175" s="899"/>
      <c r="B175" s="899"/>
      <c r="E175" s="899"/>
    </row>
    <row r="176" spans="1:5" x14ac:dyDescent="0.25">
      <c r="A176" s="899"/>
      <c r="B176" s="899"/>
      <c r="E176" s="899"/>
    </row>
    <row r="177" spans="1:5" x14ac:dyDescent="0.25">
      <c r="A177" s="899"/>
      <c r="B177" s="899"/>
      <c r="E177" s="899"/>
    </row>
    <row r="178" spans="1:5" x14ac:dyDescent="0.25">
      <c r="A178" s="899"/>
      <c r="B178" s="899"/>
    </row>
    <row r="179" spans="1:5" x14ac:dyDescent="0.25">
      <c r="A179" s="899"/>
      <c r="B179" s="899"/>
      <c r="C179" s="899"/>
      <c r="E179" s="899"/>
    </row>
    <row r="180" spans="1:5" x14ac:dyDescent="0.25">
      <c r="A180" s="899"/>
      <c r="B180" s="899"/>
      <c r="C180" s="899"/>
      <c r="E180" s="899"/>
    </row>
    <row r="181" spans="1:5" x14ac:dyDescent="0.25">
      <c r="A181" s="899"/>
      <c r="B181" s="899"/>
      <c r="C181" s="899"/>
      <c r="E181" s="899"/>
    </row>
    <row r="182" spans="1:5" x14ac:dyDescent="0.25">
      <c r="A182" s="899"/>
      <c r="B182" s="899"/>
      <c r="C182" s="899"/>
      <c r="E182" s="899"/>
    </row>
    <row r="183" spans="1:5" x14ac:dyDescent="0.25">
      <c r="A183" s="899"/>
      <c r="B183" s="899"/>
    </row>
    <row r="184" spans="1:5" x14ac:dyDescent="0.25">
      <c r="A184" s="899"/>
      <c r="B184" s="899"/>
      <c r="C184" s="899"/>
      <c r="E184" s="899"/>
    </row>
    <row r="185" spans="1:5" x14ac:dyDescent="0.25">
      <c r="A185" s="899"/>
      <c r="B185" s="899"/>
    </row>
    <row r="186" spans="1:5" x14ac:dyDescent="0.25">
      <c r="A186" s="899"/>
      <c r="B186" s="899"/>
    </row>
    <row r="187" spans="1:5" x14ac:dyDescent="0.25">
      <c r="A187" s="899"/>
      <c r="B187" s="899"/>
    </row>
    <row r="188" spans="1:5" x14ac:dyDescent="0.25">
      <c r="A188" s="899"/>
      <c r="B188" s="899"/>
    </row>
    <row r="189" spans="1:5" x14ac:dyDescent="0.25">
      <c r="A189" s="899"/>
      <c r="B189" s="899"/>
    </row>
    <row r="190" spans="1:5" x14ac:dyDescent="0.25">
      <c r="A190" s="899"/>
      <c r="B190" s="899"/>
    </row>
    <row r="191" spans="1:5" x14ac:dyDescent="0.25">
      <c r="A191" s="899"/>
      <c r="B191" s="899"/>
      <c r="E191" s="899"/>
    </row>
    <row r="192" spans="1:5" x14ac:dyDescent="0.25">
      <c r="A192" s="899"/>
      <c r="B192" s="899"/>
      <c r="C192" s="899"/>
      <c r="E192" s="899"/>
    </row>
    <row r="193" spans="1:5" x14ac:dyDescent="0.25">
      <c r="A193" s="899"/>
      <c r="B193" s="899"/>
    </row>
    <row r="194" spans="1:5" x14ac:dyDescent="0.25">
      <c r="A194" s="899"/>
      <c r="B194" s="899"/>
    </row>
    <row r="195" spans="1:5" x14ac:dyDescent="0.25">
      <c r="A195" s="899"/>
      <c r="B195" s="899"/>
    </row>
    <row r="196" spans="1:5" x14ac:dyDescent="0.25">
      <c r="A196" s="899"/>
      <c r="B196" s="899"/>
    </row>
    <row r="197" spans="1:5" x14ac:dyDescent="0.25">
      <c r="A197" s="899"/>
      <c r="B197" s="899"/>
    </row>
    <row r="198" spans="1:5" x14ac:dyDescent="0.25">
      <c r="A198" s="899"/>
      <c r="B198" s="899"/>
      <c r="C198" s="899"/>
      <c r="E198" s="899"/>
    </row>
    <row r="199" spans="1:5" x14ac:dyDescent="0.25">
      <c r="A199" s="899"/>
      <c r="B199" s="899"/>
      <c r="C199" s="899"/>
    </row>
    <row r="200" spans="1:5" x14ac:dyDescent="0.25">
      <c r="A200" s="899"/>
      <c r="B200" s="899"/>
      <c r="C200" s="899"/>
    </row>
    <row r="201" spans="1:5" x14ac:dyDescent="0.25">
      <c r="A201" s="899"/>
      <c r="B201" s="899"/>
      <c r="C201" s="899"/>
    </row>
    <row r="202" spans="1:5" x14ac:dyDescent="0.25">
      <c r="A202" s="899"/>
      <c r="B202" s="899"/>
      <c r="C202" s="899"/>
      <c r="E202" s="899"/>
    </row>
    <row r="203" spans="1:5" x14ac:dyDescent="0.25">
      <c r="A203" s="899"/>
      <c r="B203" s="899"/>
      <c r="C203" s="899"/>
      <c r="E203" s="899"/>
    </row>
    <row r="204" spans="1:5" x14ac:dyDescent="0.25">
      <c r="A204" s="899"/>
      <c r="B204" s="899"/>
      <c r="C204" s="899"/>
      <c r="E204" s="899"/>
    </row>
    <row r="205" spans="1:5" x14ac:dyDescent="0.25">
      <c r="A205" s="899"/>
      <c r="B205" s="899"/>
      <c r="C205" s="899"/>
      <c r="E205" s="899"/>
    </row>
    <row r="206" spans="1:5" x14ac:dyDescent="0.25">
      <c r="A206" s="899"/>
      <c r="B206" s="899"/>
      <c r="C206" s="899"/>
      <c r="E206" s="899"/>
    </row>
    <row r="207" spans="1:5" x14ac:dyDescent="0.25">
      <c r="A207" s="899"/>
      <c r="B207" s="899"/>
      <c r="C207" s="899"/>
    </row>
    <row r="208" spans="1:5" x14ac:dyDescent="0.25">
      <c r="A208" s="899"/>
      <c r="B208" s="899"/>
      <c r="C208" s="899"/>
    </row>
    <row r="209" spans="1:5" x14ac:dyDescent="0.25">
      <c r="A209" s="899"/>
      <c r="B209" s="899"/>
      <c r="E209" s="899"/>
    </row>
    <row r="210" spans="1:5" x14ac:dyDescent="0.25">
      <c r="A210" s="899"/>
      <c r="B210" s="899"/>
      <c r="E210" s="899"/>
    </row>
    <row r="211" spans="1:5" x14ac:dyDescent="0.25">
      <c r="A211" s="899"/>
      <c r="B211" s="899"/>
      <c r="C211" s="899"/>
      <c r="E211" s="899"/>
    </row>
    <row r="212" spans="1:5" x14ac:dyDescent="0.25">
      <c r="A212" s="899"/>
      <c r="B212" s="899"/>
      <c r="C212" s="899"/>
    </row>
    <row r="213" spans="1:5" x14ac:dyDescent="0.25">
      <c r="A213" s="899"/>
      <c r="B213" s="899"/>
      <c r="C213" s="899"/>
    </row>
    <row r="214" spans="1:5" x14ac:dyDescent="0.25">
      <c r="A214" s="899"/>
      <c r="B214" s="899"/>
      <c r="C214" s="899"/>
    </row>
    <row r="215" spans="1:5" x14ac:dyDescent="0.25">
      <c r="A215" s="899"/>
      <c r="B215" s="899"/>
      <c r="C215" s="899"/>
      <c r="E215" s="899"/>
    </row>
    <row r="216" spans="1:5" x14ac:dyDescent="0.25">
      <c r="A216" s="899"/>
      <c r="B216" s="899"/>
      <c r="C216" s="899"/>
    </row>
    <row r="217" spans="1:5" x14ac:dyDescent="0.25">
      <c r="A217" s="899"/>
      <c r="B217" s="899"/>
      <c r="C217" s="899"/>
    </row>
    <row r="218" spans="1:5" x14ac:dyDescent="0.25">
      <c r="A218" s="899"/>
      <c r="B218" s="899"/>
      <c r="C218" s="899"/>
    </row>
    <row r="219" spans="1:5" x14ac:dyDescent="0.25">
      <c r="A219" s="899"/>
      <c r="B219" s="899"/>
      <c r="C219" s="899"/>
    </row>
    <row r="220" spans="1:5" x14ac:dyDescent="0.25">
      <c r="A220" s="899"/>
      <c r="B220" s="899"/>
      <c r="C220" s="899"/>
    </row>
    <row r="221" spans="1:5" x14ac:dyDescent="0.25">
      <c r="A221" s="899"/>
      <c r="B221" s="899"/>
      <c r="C221" s="899"/>
      <c r="E221" s="899"/>
    </row>
    <row r="222" spans="1:5" x14ac:dyDescent="0.25">
      <c r="A222" s="899"/>
      <c r="B222" s="899"/>
      <c r="C222" s="899"/>
      <c r="E222" s="899"/>
    </row>
    <row r="223" spans="1:5" x14ac:dyDescent="0.25">
      <c r="A223" s="899"/>
      <c r="B223" s="899"/>
      <c r="C223" s="899"/>
      <c r="E223" s="899"/>
    </row>
    <row r="224" spans="1:5" x14ac:dyDescent="0.25">
      <c r="A224" s="899"/>
      <c r="B224" s="899"/>
      <c r="C224" s="899"/>
    </row>
    <row r="225" spans="1:5" x14ac:dyDescent="0.25">
      <c r="A225" s="899"/>
      <c r="B225" s="899"/>
      <c r="C225" s="899"/>
    </row>
    <row r="226" spans="1:5" x14ac:dyDescent="0.25">
      <c r="A226" s="899"/>
      <c r="B226" s="899"/>
      <c r="C226" s="899"/>
      <c r="E226" s="899"/>
    </row>
    <row r="227" spans="1:5" x14ac:dyDescent="0.25">
      <c r="A227" s="899"/>
      <c r="B227" s="899"/>
      <c r="C227" s="899"/>
    </row>
    <row r="228" spans="1:5" x14ac:dyDescent="0.25">
      <c r="A228" s="899"/>
      <c r="B228" s="899"/>
      <c r="C228" s="899"/>
      <c r="E228" s="899"/>
    </row>
    <row r="229" spans="1:5" x14ac:dyDescent="0.25">
      <c r="A229" s="899"/>
      <c r="B229" s="899"/>
      <c r="C229" s="899"/>
    </row>
    <row r="230" spans="1:5" x14ac:dyDescent="0.25">
      <c r="A230" s="899"/>
      <c r="B230" s="899"/>
      <c r="C230" s="899"/>
    </row>
    <row r="231" spans="1:5" x14ac:dyDescent="0.25">
      <c r="A231" s="899"/>
      <c r="B231" s="899"/>
      <c r="C231" s="899"/>
    </row>
    <row r="232" spans="1:5" x14ac:dyDescent="0.25">
      <c r="A232" s="899"/>
      <c r="B232" s="899"/>
      <c r="C232" s="899"/>
    </row>
    <row r="233" spans="1:5" x14ac:dyDescent="0.25">
      <c r="A233" s="899"/>
      <c r="B233" s="899"/>
      <c r="C233" s="899"/>
    </row>
    <row r="234" spans="1:5" x14ac:dyDescent="0.25">
      <c r="A234" s="899"/>
      <c r="B234" s="899"/>
      <c r="C234" s="899"/>
    </row>
    <row r="235" spans="1:5" x14ac:dyDescent="0.25">
      <c r="A235" s="899"/>
      <c r="B235" s="899"/>
      <c r="C235" s="899"/>
      <c r="E235" s="899"/>
    </row>
    <row r="236" spans="1:5" x14ac:dyDescent="0.25">
      <c r="A236" s="899"/>
      <c r="B236" s="899"/>
      <c r="C236" s="899"/>
    </row>
    <row r="237" spans="1:5" x14ac:dyDescent="0.25">
      <c r="A237" s="899"/>
      <c r="B237" s="899"/>
    </row>
    <row r="238" spans="1:5" x14ac:dyDescent="0.25">
      <c r="A238" s="899"/>
      <c r="B238" s="899"/>
      <c r="C238" s="899"/>
    </row>
    <row r="239" spans="1:5" x14ac:dyDescent="0.25">
      <c r="A239" s="899"/>
      <c r="B239" s="899"/>
    </row>
    <row r="240" spans="1:5" x14ac:dyDescent="0.25">
      <c r="A240" s="899"/>
      <c r="B240" s="899"/>
      <c r="E240" s="899"/>
    </row>
    <row r="241" spans="1:5" x14ac:dyDescent="0.25">
      <c r="A241" s="899"/>
      <c r="B241" s="899"/>
      <c r="C241" s="899"/>
      <c r="E241" s="899"/>
    </row>
    <row r="242" spans="1:5" x14ac:dyDescent="0.25">
      <c r="A242" s="899"/>
      <c r="B242" s="899"/>
      <c r="C242" s="899"/>
      <c r="E242" s="899"/>
    </row>
    <row r="243" spans="1:5" x14ac:dyDescent="0.25">
      <c r="A243" s="899"/>
      <c r="B243" s="899"/>
      <c r="C243" s="899"/>
      <c r="E243" s="899"/>
    </row>
    <row r="244" spans="1:5" x14ac:dyDescent="0.25">
      <c r="A244" s="899"/>
      <c r="B244" s="899"/>
      <c r="C244" s="899"/>
      <c r="E244" s="899"/>
    </row>
    <row r="245" spans="1:5" x14ac:dyDescent="0.25">
      <c r="A245" s="899"/>
      <c r="B245" s="899"/>
      <c r="C245" s="899"/>
      <c r="E245" s="899"/>
    </row>
    <row r="246" spans="1:5" x14ac:dyDescent="0.25">
      <c r="A246" s="899"/>
      <c r="B246" s="899"/>
      <c r="C246" s="899"/>
      <c r="E246" s="899"/>
    </row>
    <row r="247" spans="1:5" x14ac:dyDescent="0.25">
      <c r="A247" s="899"/>
      <c r="B247" s="899"/>
      <c r="C247" s="899"/>
      <c r="E247" s="899"/>
    </row>
    <row r="248" spans="1:5" x14ac:dyDescent="0.25">
      <c r="A248" s="899"/>
      <c r="B248" s="899"/>
      <c r="C248" s="899"/>
      <c r="E248" s="899"/>
    </row>
    <row r="249" spans="1:5" x14ac:dyDescent="0.25">
      <c r="A249" s="899"/>
      <c r="B249" s="899"/>
      <c r="C249" s="899"/>
      <c r="E249" s="899"/>
    </row>
    <row r="250" spans="1:5" x14ac:dyDescent="0.25">
      <c r="A250" s="899"/>
      <c r="B250" s="899"/>
      <c r="C250" s="899"/>
      <c r="E250" s="899"/>
    </row>
    <row r="251" spans="1:5" x14ac:dyDescent="0.25">
      <c r="A251" s="899"/>
      <c r="B251" s="899"/>
      <c r="C251" s="899"/>
      <c r="E251" s="899"/>
    </row>
    <row r="252" spans="1:5" x14ac:dyDescent="0.25">
      <c r="A252" s="899"/>
      <c r="B252" s="899"/>
      <c r="C252" s="899"/>
      <c r="E252" s="899"/>
    </row>
    <row r="253" spans="1:5" x14ac:dyDescent="0.25">
      <c r="A253" s="899"/>
      <c r="B253" s="899"/>
      <c r="C253" s="899"/>
      <c r="E253" s="899"/>
    </row>
    <row r="254" spans="1:5" x14ac:dyDescent="0.25">
      <c r="A254" s="899"/>
      <c r="C254" s="899"/>
      <c r="E254" s="899"/>
    </row>
    <row r="255" spans="1:5" x14ac:dyDescent="0.25">
      <c r="A255" s="899"/>
      <c r="B255" s="899"/>
      <c r="E255" s="899"/>
    </row>
    <row r="256" spans="1:5" x14ac:dyDescent="0.25">
      <c r="A256" s="899"/>
      <c r="B256" s="899"/>
      <c r="C256" s="899"/>
    </row>
    <row r="257" spans="1:5" x14ac:dyDescent="0.25">
      <c r="A257" s="899"/>
      <c r="B257" s="899"/>
      <c r="C257" s="899"/>
    </row>
    <row r="258" spans="1:5" x14ac:dyDescent="0.25">
      <c r="A258" s="899"/>
      <c r="B258" s="899"/>
      <c r="E258" s="899"/>
    </row>
    <row r="259" spans="1:5" x14ac:dyDescent="0.25">
      <c r="A259" s="899"/>
      <c r="B259" s="899"/>
    </row>
    <row r="260" spans="1:5" x14ac:dyDescent="0.25">
      <c r="A260" s="899"/>
      <c r="B260" s="899"/>
      <c r="C260" s="899"/>
      <c r="E260" s="899"/>
    </row>
    <row r="261" spans="1:5" x14ac:dyDescent="0.25">
      <c r="A261" s="899"/>
      <c r="B261" s="899"/>
      <c r="C261" s="899"/>
      <c r="E261" s="899"/>
    </row>
    <row r="262" spans="1:5" x14ac:dyDescent="0.25">
      <c r="A262" s="899"/>
      <c r="B262" s="899"/>
      <c r="E262" s="899"/>
    </row>
    <row r="263" spans="1:5" x14ac:dyDescent="0.25">
      <c r="A263" s="899"/>
      <c r="B263" s="899"/>
      <c r="C263" s="899"/>
      <c r="E263" s="899"/>
    </row>
    <row r="264" spans="1:5" x14ac:dyDescent="0.25">
      <c r="A264" s="899"/>
      <c r="B264" s="899"/>
      <c r="C264" s="899"/>
      <c r="E264" s="899"/>
    </row>
    <row r="265" spans="1:5" x14ac:dyDescent="0.25">
      <c r="A265" s="899"/>
      <c r="B265" s="899"/>
      <c r="C265" s="899"/>
      <c r="E265" s="899"/>
    </row>
    <row r="266" spans="1:5" x14ac:dyDescent="0.25">
      <c r="A266" s="899"/>
      <c r="B266" s="899"/>
    </row>
    <row r="267" spans="1:5" x14ac:dyDescent="0.25">
      <c r="A267" s="899"/>
      <c r="B267" s="899"/>
      <c r="C267" s="899"/>
      <c r="E267" s="899"/>
    </row>
    <row r="268" spans="1:5" x14ac:dyDescent="0.25">
      <c r="A268" s="899"/>
      <c r="B268" s="899"/>
      <c r="C268" s="899"/>
      <c r="E268" s="899"/>
    </row>
    <row r="269" spans="1:5" x14ac:dyDescent="0.25">
      <c r="A269" s="899"/>
      <c r="B269" s="899"/>
      <c r="C269" s="899"/>
      <c r="E269" s="899"/>
    </row>
    <row r="270" spans="1:5" x14ac:dyDescent="0.25">
      <c r="A270" s="899"/>
      <c r="B270" s="899"/>
      <c r="C270" s="899"/>
      <c r="E270" s="899"/>
    </row>
    <row r="271" spans="1:5" x14ac:dyDescent="0.25">
      <c r="A271" s="899"/>
      <c r="B271" s="899"/>
      <c r="C271" s="899"/>
      <c r="E271" s="899"/>
    </row>
    <row r="272" spans="1:5" x14ac:dyDescent="0.25">
      <c r="A272" s="899"/>
      <c r="B272" s="899"/>
      <c r="C272" s="899"/>
      <c r="E272" s="899"/>
    </row>
    <row r="273" spans="1:5" x14ac:dyDescent="0.25">
      <c r="A273" s="899"/>
      <c r="B273" s="899"/>
    </row>
    <row r="274" spans="1:5" x14ac:dyDescent="0.25">
      <c r="A274" s="899"/>
      <c r="B274" s="899"/>
      <c r="C274" s="899"/>
      <c r="E274" s="899"/>
    </row>
    <row r="275" spans="1:5" x14ac:dyDescent="0.25">
      <c r="A275" s="899"/>
      <c r="B275" s="899"/>
      <c r="E275" s="899"/>
    </row>
    <row r="276" spans="1:5" x14ac:dyDescent="0.25">
      <c r="A276" s="899"/>
      <c r="B276" s="899"/>
      <c r="E276" s="899"/>
    </row>
    <row r="277" spans="1:5" x14ac:dyDescent="0.25">
      <c r="A277" s="899"/>
      <c r="B277" s="899"/>
      <c r="C277" s="899"/>
      <c r="E277" s="899"/>
    </row>
    <row r="278" spans="1:5" x14ac:dyDescent="0.25">
      <c r="A278" s="899"/>
      <c r="B278" s="899"/>
      <c r="C278" s="899"/>
    </row>
    <row r="279" spans="1:5" x14ac:dyDescent="0.25">
      <c r="A279" s="899"/>
      <c r="B279" s="899"/>
      <c r="C279" s="899"/>
    </row>
    <row r="280" spans="1:5" x14ac:dyDescent="0.25">
      <c r="A280" s="899"/>
      <c r="B280" s="899"/>
      <c r="C280" s="899"/>
      <c r="E280" s="899"/>
    </row>
    <row r="281" spans="1:5" x14ac:dyDescent="0.25">
      <c r="A281" s="899"/>
      <c r="B281" s="899"/>
      <c r="C281" s="899"/>
      <c r="E281" s="899"/>
    </row>
    <row r="282" spans="1:5" x14ac:dyDescent="0.25">
      <c r="A282" s="899"/>
      <c r="B282" s="899"/>
      <c r="E282" s="899"/>
    </row>
    <row r="283" spans="1:5" x14ac:dyDescent="0.25">
      <c r="A283" s="899"/>
      <c r="B283" s="899"/>
      <c r="E283" s="899"/>
    </row>
    <row r="284" spans="1:5" x14ac:dyDescent="0.25">
      <c r="A284" s="899"/>
      <c r="E284" s="899"/>
    </row>
    <row r="285" spans="1:5" x14ac:dyDescent="0.25">
      <c r="A285" s="899"/>
      <c r="B285" s="899"/>
      <c r="E285" s="899"/>
    </row>
    <row r="286" spans="1:5" x14ac:dyDescent="0.25">
      <c r="A286" s="899"/>
      <c r="B286" s="899"/>
      <c r="C286" s="899"/>
      <c r="E286" s="899"/>
    </row>
    <row r="287" spans="1:5" x14ac:dyDescent="0.25">
      <c r="A287" s="899"/>
      <c r="B287" s="899"/>
      <c r="E287" s="899"/>
    </row>
    <row r="288" spans="1:5" x14ac:dyDescent="0.25">
      <c r="A288" s="899"/>
      <c r="B288" s="899"/>
      <c r="C288" s="899"/>
      <c r="E288" s="899"/>
    </row>
    <row r="289" spans="1:5" x14ac:dyDescent="0.25">
      <c r="A289" s="899"/>
      <c r="B289" s="899"/>
      <c r="C289" s="899"/>
      <c r="E289" s="899"/>
    </row>
    <row r="290" spans="1:5" x14ac:dyDescent="0.25">
      <c r="A290" s="899"/>
      <c r="B290" s="899"/>
      <c r="C290" s="899"/>
      <c r="E290" s="899"/>
    </row>
    <row r="291" spans="1:5" x14ac:dyDescent="0.25">
      <c r="A291" s="899"/>
      <c r="B291" s="899"/>
      <c r="C291" s="899"/>
      <c r="E291" s="899"/>
    </row>
    <row r="292" spans="1:5" x14ac:dyDescent="0.25">
      <c r="A292" s="899"/>
      <c r="B292" s="899"/>
    </row>
    <row r="293" spans="1:5" x14ac:dyDescent="0.25">
      <c r="A293" s="899"/>
      <c r="B293" s="899"/>
      <c r="C293" s="899"/>
    </row>
    <row r="294" spans="1:5" x14ac:dyDescent="0.25">
      <c r="A294" s="899"/>
      <c r="B294" s="899"/>
      <c r="C294" s="899"/>
      <c r="E294" s="899"/>
    </row>
    <row r="295" spans="1:5" x14ac:dyDescent="0.25">
      <c r="A295" s="899"/>
      <c r="B295" s="899"/>
      <c r="C295" s="899"/>
      <c r="E295" s="899"/>
    </row>
    <row r="296" spans="1:5" x14ac:dyDescent="0.25">
      <c r="A296" s="899"/>
      <c r="B296" s="899"/>
      <c r="E296" s="899"/>
    </row>
    <row r="297" spans="1:5" x14ac:dyDescent="0.25">
      <c r="A297" s="899"/>
      <c r="B297" s="899"/>
      <c r="E297" s="899"/>
    </row>
    <row r="298" spans="1:5" x14ac:dyDescent="0.25">
      <c r="A298" s="899"/>
      <c r="B298" s="899"/>
      <c r="C298" s="899"/>
      <c r="E298" s="899"/>
    </row>
    <row r="299" spans="1:5" x14ac:dyDescent="0.25">
      <c r="A299" s="899"/>
      <c r="B299" s="899"/>
      <c r="C299" s="899"/>
      <c r="E299" s="899"/>
    </row>
    <row r="300" spans="1:5" x14ac:dyDescent="0.25">
      <c r="A300" s="899"/>
      <c r="B300" s="899"/>
      <c r="C300" s="899"/>
      <c r="E300" s="899"/>
    </row>
    <row r="301" spans="1:5" x14ac:dyDescent="0.25">
      <c r="A301" s="899"/>
      <c r="B301" s="899"/>
      <c r="C301" s="899"/>
      <c r="E301" s="899"/>
    </row>
    <row r="302" spans="1:5" x14ac:dyDescent="0.25">
      <c r="A302" s="899"/>
      <c r="B302" s="899"/>
      <c r="E302" s="899"/>
    </row>
    <row r="303" spans="1:5" x14ac:dyDescent="0.25">
      <c r="A303" s="899"/>
      <c r="B303" s="899"/>
      <c r="C303" s="899"/>
      <c r="E303" s="899"/>
    </row>
    <row r="304" spans="1:5" x14ac:dyDescent="0.25">
      <c r="A304" s="899"/>
      <c r="B304" s="899"/>
      <c r="C304" s="899"/>
      <c r="E304" s="899"/>
    </row>
    <row r="305" spans="1:5" x14ac:dyDescent="0.25">
      <c r="A305" s="899"/>
      <c r="B305" s="899"/>
      <c r="C305" s="899"/>
      <c r="E305" s="899"/>
    </row>
    <row r="306" spans="1:5" x14ac:dyDescent="0.25">
      <c r="A306" s="899"/>
      <c r="B306" s="899"/>
      <c r="C306" s="899"/>
      <c r="E306" s="899"/>
    </row>
    <row r="307" spans="1:5" x14ac:dyDescent="0.25">
      <c r="A307" s="899"/>
      <c r="B307" s="899"/>
      <c r="C307" s="899"/>
    </row>
    <row r="308" spans="1:5" x14ac:dyDescent="0.25">
      <c r="A308" s="899"/>
      <c r="B308" s="899"/>
    </row>
    <row r="309" spans="1:5" x14ac:dyDescent="0.25">
      <c r="A309" s="899"/>
      <c r="B309" s="899"/>
    </row>
    <row r="310" spans="1:5" x14ac:dyDescent="0.25">
      <c r="A310" s="899"/>
      <c r="B310" s="899"/>
    </row>
    <row r="311" spans="1:5" x14ac:dyDescent="0.25">
      <c r="A311" s="899"/>
      <c r="B311" s="899"/>
      <c r="C311" s="899"/>
    </row>
    <row r="312" spans="1:5" x14ac:dyDescent="0.25">
      <c r="A312" s="899"/>
      <c r="B312" s="899"/>
      <c r="C312" s="899"/>
    </row>
    <row r="313" spans="1:5" x14ac:dyDescent="0.25">
      <c r="A313" s="899"/>
      <c r="B313" s="899"/>
      <c r="C313" s="899"/>
    </row>
    <row r="314" spans="1:5" x14ac:dyDescent="0.25">
      <c r="A314" s="899"/>
      <c r="B314" s="899"/>
    </row>
    <row r="315" spans="1:5" x14ac:dyDescent="0.25">
      <c r="A315" s="899"/>
      <c r="B315" s="899"/>
    </row>
    <row r="316" spans="1:5" x14ac:dyDescent="0.25">
      <c r="A316" s="899"/>
      <c r="B316" s="899"/>
    </row>
    <row r="317" spans="1:5" x14ac:dyDescent="0.25">
      <c r="A317" s="899"/>
      <c r="B317" s="899"/>
    </row>
    <row r="318" spans="1:5" x14ac:dyDescent="0.25">
      <c r="A318" s="899"/>
      <c r="B318" s="899"/>
    </row>
    <row r="319" spans="1:5" x14ac:dyDescent="0.25">
      <c r="A319" s="899"/>
      <c r="B319" s="899"/>
    </row>
    <row r="320" spans="1:5" x14ac:dyDescent="0.25">
      <c r="A320" s="899"/>
      <c r="B320" s="899"/>
    </row>
    <row r="321" spans="1:5" x14ac:dyDescent="0.25">
      <c r="A321" s="899"/>
      <c r="B321" s="899"/>
      <c r="C321" s="899"/>
    </row>
    <row r="322" spans="1:5" x14ac:dyDescent="0.25">
      <c r="A322" s="899"/>
      <c r="B322" s="899"/>
    </row>
    <row r="323" spans="1:5" x14ac:dyDescent="0.25">
      <c r="A323" s="899"/>
      <c r="B323" s="899"/>
    </row>
    <row r="324" spans="1:5" x14ac:dyDescent="0.25">
      <c r="A324" s="899"/>
      <c r="B324" s="899"/>
      <c r="C324" s="899"/>
    </row>
    <row r="325" spans="1:5" x14ac:dyDescent="0.25">
      <c r="A325" s="899"/>
      <c r="B325" s="899"/>
      <c r="C325" s="899"/>
    </row>
    <row r="326" spans="1:5" x14ac:dyDescent="0.25">
      <c r="A326" s="899"/>
      <c r="B326" s="899"/>
      <c r="C326" s="899"/>
    </row>
    <row r="327" spans="1:5" x14ac:dyDescent="0.25">
      <c r="A327" s="899"/>
      <c r="B327" s="899"/>
    </row>
    <row r="328" spans="1:5" x14ac:dyDescent="0.25">
      <c r="A328" s="899"/>
      <c r="B328" s="899"/>
    </row>
    <row r="329" spans="1:5" x14ac:dyDescent="0.25">
      <c r="A329" s="899"/>
      <c r="B329" s="899"/>
    </row>
    <row r="330" spans="1:5" x14ac:dyDescent="0.25">
      <c r="A330" s="899"/>
      <c r="B330" s="899"/>
    </row>
    <row r="331" spans="1:5" x14ac:dyDescent="0.25">
      <c r="A331" s="899"/>
      <c r="B331" s="899"/>
    </row>
    <row r="332" spans="1:5" x14ac:dyDescent="0.25">
      <c r="A332" s="899"/>
      <c r="B332" s="899"/>
      <c r="C332" s="899"/>
      <c r="E332" s="899"/>
    </row>
    <row r="333" spans="1:5" x14ac:dyDescent="0.25">
      <c r="A333" s="899"/>
      <c r="B333" s="899"/>
      <c r="C333" s="899"/>
      <c r="E333" s="899"/>
    </row>
    <row r="334" spans="1:5" x14ac:dyDescent="0.25">
      <c r="A334" s="899"/>
      <c r="B334" s="899"/>
      <c r="C334" s="899"/>
      <c r="E334" s="899"/>
    </row>
    <row r="335" spans="1:5" x14ac:dyDescent="0.25">
      <c r="A335" s="899"/>
      <c r="B335" s="899"/>
      <c r="C335" s="899"/>
      <c r="E335" s="899"/>
    </row>
    <row r="336" spans="1:5" x14ac:dyDescent="0.25">
      <c r="A336" s="899"/>
      <c r="B336" s="899"/>
      <c r="C336" s="899"/>
      <c r="E336" s="899"/>
    </row>
    <row r="337" spans="1:5" x14ac:dyDescent="0.25">
      <c r="A337" s="899"/>
      <c r="B337" s="899"/>
      <c r="C337" s="899"/>
      <c r="E337" s="899"/>
    </row>
    <row r="338" spans="1:5" x14ac:dyDescent="0.25">
      <c r="A338" s="899"/>
      <c r="B338" s="899"/>
      <c r="C338" s="899"/>
    </row>
    <row r="339" spans="1:5" x14ac:dyDescent="0.25">
      <c r="A339" s="899"/>
      <c r="B339" s="899"/>
    </row>
    <row r="340" spans="1:5" x14ac:dyDescent="0.25">
      <c r="A340" s="899"/>
      <c r="B340" s="899"/>
    </row>
    <row r="341" spans="1:5" x14ac:dyDescent="0.25">
      <c r="A341" s="899"/>
      <c r="B341" s="899"/>
      <c r="C341" s="899"/>
    </row>
    <row r="342" spans="1:5" x14ac:dyDescent="0.25">
      <c r="A342" s="899"/>
      <c r="B342" s="899"/>
    </row>
    <row r="343" spans="1:5" x14ac:dyDescent="0.25">
      <c r="A343" s="899"/>
      <c r="B343" s="899"/>
    </row>
    <row r="344" spans="1:5" x14ac:dyDescent="0.25">
      <c r="A344" s="899"/>
      <c r="B344" s="899"/>
      <c r="C344" s="899"/>
      <c r="E344" s="899"/>
    </row>
    <row r="345" spans="1:5" x14ac:dyDescent="0.25">
      <c r="A345" s="899"/>
      <c r="B345" s="899"/>
    </row>
    <row r="346" spans="1:5" x14ac:dyDescent="0.25">
      <c r="A346" s="899"/>
      <c r="B346" s="899"/>
    </row>
    <row r="347" spans="1:5" x14ac:dyDescent="0.25">
      <c r="A347" s="899"/>
      <c r="B347" s="899"/>
    </row>
    <row r="348" spans="1:5" x14ac:dyDescent="0.25">
      <c r="A348" s="899"/>
      <c r="B348" s="899"/>
      <c r="C348" s="899"/>
      <c r="E348" s="899"/>
    </row>
    <row r="349" spans="1:5" x14ac:dyDescent="0.25">
      <c r="A349" s="899"/>
      <c r="B349" s="899"/>
      <c r="C349" s="899"/>
      <c r="E349" s="899"/>
    </row>
    <row r="350" spans="1:5" x14ac:dyDescent="0.25">
      <c r="A350" s="899"/>
      <c r="B350" s="899"/>
      <c r="C350" s="899"/>
      <c r="E350" s="899"/>
    </row>
    <row r="351" spans="1:5" x14ac:dyDescent="0.25">
      <c r="A351" s="899"/>
      <c r="B351" s="899"/>
    </row>
    <row r="352" spans="1:5" x14ac:dyDescent="0.25">
      <c r="A352" s="899"/>
      <c r="B352" s="899"/>
    </row>
    <row r="353" spans="1:5" x14ac:dyDescent="0.25">
      <c r="A353" s="899"/>
      <c r="B353" s="899"/>
      <c r="C353" s="899"/>
      <c r="E353" s="899"/>
    </row>
    <row r="354" spans="1:5" x14ac:dyDescent="0.25">
      <c r="A354" s="899"/>
      <c r="B354" s="899"/>
      <c r="C354" s="899"/>
      <c r="E354" s="899"/>
    </row>
    <row r="355" spans="1:5" x14ac:dyDescent="0.25">
      <c r="A355" s="899"/>
      <c r="B355" s="899"/>
      <c r="C355" s="899"/>
      <c r="E355" s="899"/>
    </row>
    <row r="356" spans="1:5" x14ac:dyDescent="0.25">
      <c r="A356" s="899"/>
      <c r="B356" s="899"/>
      <c r="C356" s="899"/>
    </row>
    <row r="357" spans="1:5" x14ac:dyDescent="0.25">
      <c r="A357" s="899"/>
      <c r="B357" s="899"/>
    </row>
    <row r="358" spans="1:5" x14ac:dyDescent="0.25">
      <c r="A358" s="899"/>
      <c r="B358" s="899"/>
      <c r="C358" s="899"/>
    </row>
    <row r="359" spans="1:5" x14ac:dyDescent="0.25">
      <c r="A359" s="899"/>
      <c r="B359" s="899"/>
    </row>
    <row r="360" spans="1:5" x14ac:dyDescent="0.25">
      <c r="A360" s="899"/>
      <c r="B360" s="899"/>
      <c r="C360" s="899"/>
      <c r="E360" s="899"/>
    </row>
    <row r="361" spans="1:5" x14ac:dyDescent="0.25">
      <c r="A361" s="899"/>
      <c r="B361" s="899"/>
      <c r="C361" s="899"/>
    </row>
    <row r="362" spans="1:5" x14ac:dyDescent="0.25">
      <c r="A362" s="899"/>
      <c r="B362" s="899"/>
      <c r="C362" s="899"/>
    </row>
    <row r="363" spans="1:5" x14ac:dyDescent="0.25">
      <c r="A363" s="899"/>
      <c r="B363" s="899"/>
      <c r="C363" s="899"/>
      <c r="E363" s="899"/>
    </row>
    <row r="364" spans="1:5" x14ac:dyDescent="0.25">
      <c r="A364" s="899"/>
      <c r="B364" s="899"/>
      <c r="C364" s="899"/>
      <c r="E364" s="899"/>
    </row>
    <row r="365" spans="1:5" x14ac:dyDescent="0.25">
      <c r="A365" s="899"/>
      <c r="B365" s="899"/>
      <c r="C365" s="899"/>
      <c r="E365" s="899"/>
    </row>
    <row r="366" spans="1:5" x14ac:dyDescent="0.25">
      <c r="A366" s="899"/>
      <c r="B366" s="899"/>
    </row>
    <row r="367" spans="1:5" x14ac:dyDescent="0.25">
      <c r="A367" s="899"/>
      <c r="B367" s="899"/>
    </row>
    <row r="368" spans="1:5" x14ac:dyDescent="0.25">
      <c r="A368" s="899"/>
      <c r="B368" s="899"/>
    </row>
    <row r="369" spans="1:5" x14ac:dyDescent="0.25">
      <c r="A369" s="899"/>
      <c r="B369" s="899"/>
    </row>
    <row r="370" spans="1:5" x14ac:dyDescent="0.25">
      <c r="A370" s="899"/>
      <c r="B370" s="899"/>
    </row>
    <row r="371" spans="1:5" x14ac:dyDescent="0.25">
      <c r="A371" s="899"/>
      <c r="B371" s="899"/>
    </row>
    <row r="372" spans="1:5" x14ac:dyDescent="0.25">
      <c r="A372" s="899"/>
      <c r="B372" s="899"/>
      <c r="C372" s="899"/>
      <c r="E372" s="899"/>
    </row>
    <row r="373" spans="1:5" x14ac:dyDescent="0.25">
      <c r="A373" s="899"/>
      <c r="B373" s="899"/>
      <c r="C373" s="899"/>
      <c r="E373" s="899"/>
    </row>
    <row r="374" spans="1:5" x14ac:dyDescent="0.25">
      <c r="A374" s="899"/>
      <c r="B374" s="899"/>
      <c r="C374" s="899"/>
      <c r="E374" s="899"/>
    </row>
    <row r="375" spans="1:5" x14ac:dyDescent="0.25">
      <c r="A375" s="899"/>
      <c r="B375" s="899"/>
      <c r="C375" s="899"/>
      <c r="E375" s="899"/>
    </row>
    <row r="376" spans="1:5" x14ac:dyDescent="0.25">
      <c r="A376" s="899"/>
      <c r="B376" s="899"/>
      <c r="C376" s="899"/>
      <c r="E376" s="899"/>
    </row>
    <row r="377" spans="1:5" x14ac:dyDescent="0.25">
      <c r="A377" s="899"/>
      <c r="B377" s="899"/>
      <c r="C377" s="899"/>
      <c r="E377" s="899"/>
    </row>
    <row r="378" spans="1:5" x14ac:dyDescent="0.25">
      <c r="A378" s="899"/>
      <c r="B378" s="899"/>
    </row>
    <row r="379" spans="1:5" x14ac:dyDescent="0.25">
      <c r="A379" s="899"/>
      <c r="B379" s="899"/>
      <c r="C379" s="899"/>
      <c r="E379" s="899"/>
    </row>
    <row r="380" spans="1:5" x14ac:dyDescent="0.25">
      <c r="A380" s="899"/>
      <c r="B380" s="899"/>
      <c r="C380" s="899"/>
      <c r="E380" s="899"/>
    </row>
    <row r="381" spans="1:5" x14ac:dyDescent="0.25">
      <c r="A381" s="899"/>
      <c r="B381" s="899"/>
      <c r="C381" s="899"/>
      <c r="E381" s="899"/>
    </row>
    <row r="382" spans="1:5" x14ac:dyDescent="0.25">
      <c r="A382" s="899"/>
      <c r="B382" s="899"/>
    </row>
    <row r="383" spans="1:5" x14ac:dyDescent="0.25">
      <c r="A383" s="899"/>
      <c r="B383" s="899"/>
    </row>
    <row r="384" spans="1:5" x14ac:dyDescent="0.25">
      <c r="A384" s="899"/>
      <c r="B384" s="899"/>
      <c r="C384" s="899"/>
      <c r="E384" s="899"/>
    </row>
    <row r="385" spans="1:5" x14ac:dyDescent="0.25">
      <c r="A385" s="899"/>
      <c r="B385" s="899"/>
      <c r="C385" s="899"/>
    </row>
    <row r="386" spans="1:5" x14ac:dyDescent="0.25">
      <c r="A386" s="899"/>
      <c r="B386" s="899"/>
      <c r="C386" s="899"/>
    </row>
    <row r="387" spans="1:5" x14ac:dyDescent="0.25">
      <c r="A387" s="899"/>
      <c r="B387" s="899"/>
      <c r="C387" s="899"/>
    </row>
    <row r="388" spans="1:5" x14ac:dyDescent="0.25">
      <c r="A388" s="899"/>
      <c r="B388" s="899"/>
      <c r="C388" s="899"/>
    </row>
    <row r="389" spans="1:5" x14ac:dyDescent="0.25">
      <c r="A389" s="899"/>
      <c r="B389" s="899"/>
      <c r="C389" s="899"/>
      <c r="E389" s="899"/>
    </row>
    <row r="390" spans="1:5" x14ac:dyDescent="0.25">
      <c r="A390" s="899"/>
      <c r="B390" s="899"/>
    </row>
    <row r="391" spans="1:5" x14ac:dyDescent="0.25">
      <c r="A391" s="899"/>
      <c r="B391" s="899"/>
    </row>
    <row r="392" spans="1:5" x14ac:dyDescent="0.25">
      <c r="A392" s="899"/>
      <c r="B392" s="899"/>
    </row>
    <row r="393" spans="1:5" x14ac:dyDescent="0.25">
      <c r="A393" s="899"/>
      <c r="B393" s="899"/>
    </row>
    <row r="394" spans="1:5" x14ac:dyDescent="0.25">
      <c r="A394" s="899"/>
      <c r="B394" s="899"/>
    </row>
    <row r="395" spans="1:5" x14ac:dyDescent="0.25">
      <c r="A395" s="899"/>
      <c r="B395" s="899"/>
    </row>
    <row r="396" spans="1:5" x14ac:dyDescent="0.25">
      <c r="A396" s="899"/>
      <c r="B396" s="899"/>
      <c r="C396" s="899"/>
      <c r="E396" s="899"/>
    </row>
    <row r="397" spans="1:5" x14ac:dyDescent="0.25">
      <c r="A397" s="899"/>
      <c r="B397" s="899"/>
      <c r="C397" s="899"/>
      <c r="E397" s="899"/>
    </row>
    <row r="398" spans="1:5" x14ac:dyDescent="0.25">
      <c r="A398" s="899"/>
      <c r="B398" s="899"/>
      <c r="C398" s="899"/>
    </row>
    <row r="399" spans="1:5" x14ac:dyDescent="0.25">
      <c r="A399" s="899"/>
      <c r="B399" s="899"/>
      <c r="E399" s="899"/>
    </row>
    <row r="400" spans="1:5" x14ac:dyDescent="0.25">
      <c r="A400" s="899"/>
      <c r="B400" s="899"/>
      <c r="E400" s="899"/>
    </row>
    <row r="401" spans="1:5" x14ac:dyDescent="0.25">
      <c r="A401" s="899"/>
      <c r="B401" s="899"/>
      <c r="C401" s="899"/>
    </row>
    <row r="402" spans="1:5" x14ac:dyDescent="0.25">
      <c r="A402" s="899"/>
      <c r="B402" s="899"/>
      <c r="C402" s="899"/>
      <c r="E402" s="899"/>
    </row>
    <row r="403" spans="1:5" x14ac:dyDescent="0.25">
      <c r="A403" s="899"/>
      <c r="B403" s="899"/>
      <c r="C403" s="899"/>
      <c r="E403" s="899"/>
    </row>
    <row r="404" spans="1:5" x14ac:dyDescent="0.25">
      <c r="A404" s="899"/>
      <c r="B404" s="899"/>
      <c r="E404" s="899"/>
    </row>
    <row r="405" spans="1:5" x14ac:dyDescent="0.25">
      <c r="A405" s="899"/>
      <c r="B405" s="899"/>
      <c r="E405" s="899"/>
    </row>
    <row r="406" spans="1:5" x14ac:dyDescent="0.25">
      <c r="A406" s="899"/>
      <c r="B406" s="899"/>
      <c r="E406" s="899"/>
    </row>
    <row r="407" spans="1:5" x14ac:dyDescent="0.25">
      <c r="A407" s="899"/>
      <c r="B407" s="899"/>
    </row>
    <row r="408" spans="1:5" x14ac:dyDescent="0.25">
      <c r="A408" s="899"/>
      <c r="B408" s="899"/>
    </row>
    <row r="409" spans="1:5" x14ac:dyDescent="0.25">
      <c r="A409" s="899"/>
      <c r="B409" s="899"/>
    </row>
    <row r="410" spans="1:5" x14ac:dyDescent="0.25">
      <c r="A410" s="899"/>
      <c r="B410" s="899"/>
    </row>
    <row r="411" spans="1:5" x14ac:dyDescent="0.25">
      <c r="A411" s="899"/>
      <c r="B411" s="899"/>
      <c r="C411" s="899"/>
      <c r="E411" s="899"/>
    </row>
    <row r="412" spans="1:5" x14ac:dyDescent="0.25">
      <c r="A412" s="899"/>
      <c r="B412" s="899"/>
      <c r="C412" s="899"/>
      <c r="E412" s="899"/>
    </row>
    <row r="413" spans="1:5" x14ac:dyDescent="0.25">
      <c r="A413" s="899"/>
      <c r="B413" s="899"/>
      <c r="C413" s="899"/>
      <c r="E413" s="899"/>
    </row>
    <row r="414" spans="1:5" x14ac:dyDescent="0.25">
      <c r="A414" s="899"/>
      <c r="B414" s="899"/>
      <c r="C414" s="899"/>
    </row>
    <row r="415" spans="1:5" x14ac:dyDescent="0.25">
      <c r="A415" s="899"/>
      <c r="B415" s="899"/>
      <c r="C415" s="899"/>
      <c r="E415" s="899"/>
    </row>
    <row r="416" spans="1:5" x14ac:dyDescent="0.25">
      <c r="A416" s="899"/>
      <c r="B416" s="899"/>
      <c r="C416" s="899"/>
      <c r="E416" s="899"/>
    </row>
    <row r="417" spans="1:3" x14ac:dyDescent="0.25">
      <c r="A417" s="899"/>
      <c r="B417" s="899"/>
      <c r="C417" s="899"/>
    </row>
    <row r="418" spans="1:3" x14ac:dyDescent="0.25">
      <c r="A418" s="899"/>
      <c r="B418" s="899"/>
      <c r="C418" s="899"/>
    </row>
    <row r="419" spans="1:3" x14ac:dyDescent="0.25">
      <c r="A419" s="899"/>
      <c r="B419" s="899"/>
      <c r="C419" s="899"/>
    </row>
    <row r="420" spans="1:3" x14ac:dyDescent="0.25">
      <c r="A420" s="899"/>
      <c r="B420" s="899"/>
      <c r="C420" s="899"/>
    </row>
    <row r="421" spans="1:3" x14ac:dyDescent="0.25">
      <c r="A421" s="899"/>
      <c r="B421" s="899"/>
    </row>
    <row r="422" spans="1:3" x14ac:dyDescent="0.25">
      <c r="A422" s="899"/>
      <c r="B422" s="899"/>
    </row>
    <row r="423" spans="1:3" x14ac:dyDescent="0.25">
      <c r="A423" s="899"/>
      <c r="B423" s="899"/>
      <c r="C423" s="899"/>
    </row>
    <row r="424" spans="1:3" x14ac:dyDescent="0.25">
      <c r="A424" s="899"/>
      <c r="B424" s="899"/>
    </row>
    <row r="425" spans="1:3" x14ac:dyDescent="0.25">
      <c r="A425" s="899"/>
      <c r="B425" s="899"/>
    </row>
    <row r="426" spans="1:3" x14ac:dyDescent="0.25">
      <c r="A426" s="899"/>
      <c r="B426" s="899"/>
    </row>
    <row r="427" spans="1:3" x14ac:dyDescent="0.25">
      <c r="A427" s="899"/>
      <c r="B427" s="899"/>
    </row>
    <row r="428" spans="1:3" x14ac:dyDescent="0.25">
      <c r="A428" s="899"/>
      <c r="B428" s="899"/>
    </row>
    <row r="429" spans="1:3" x14ac:dyDescent="0.25">
      <c r="A429" s="899"/>
      <c r="B429" s="899"/>
    </row>
    <row r="430" spans="1:3" x14ac:dyDescent="0.25">
      <c r="A430" s="899"/>
      <c r="B430" s="899"/>
    </row>
    <row r="431" spans="1:3" x14ac:dyDescent="0.25">
      <c r="A431" s="899"/>
      <c r="B431" s="899"/>
    </row>
    <row r="432" spans="1:3" x14ac:dyDescent="0.25">
      <c r="A432" s="899"/>
      <c r="B432" s="899"/>
    </row>
    <row r="433" spans="1:5" x14ac:dyDescent="0.25">
      <c r="A433" s="899"/>
      <c r="B433" s="899"/>
    </row>
    <row r="434" spans="1:5" x14ac:dyDescent="0.25">
      <c r="A434" s="899"/>
      <c r="B434" s="899"/>
    </row>
    <row r="435" spans="1:5" x14ac:dyDescent="0.25">
      <c r="A435" s="899"/>
      <c r="B435" s="899"/>
    </row>
    <row r="436" spans="1:5" x14ac:dyDescent="0.25">
      <c r="A436" s="899"/>
      <c r="B436" s="899"/>
      <c r="C436" s="899"/>
      <c r="E436" s="899"/>
    </row>
    <row r="437" spans="1:5" x14ac:dyDescent="0.25">
      <c r="A437" s="899"/>
      <c r="B437" s="899"/>
    </row>
    <row r="438" spans="1:5" x14ac:dyDescent="0.25">
      <c r="A438" s="899"/>
      <c r="B438" s="899"/>
    </row>
    <row r="439" spans="1:5" x14ac:dyDescent="0.25">
      <c r="A439" s="899"/>
      <c r="B439" s="899"/>
      <c r="C439" s="899"/>
    </row>
    <row r="440" spans="1:5" x14ac:dyDescent="0.25">
      <c r="A440" s="899"/>
      <c r="B440" s="899"/>
    </row>
    <row r="441" spans="1:5" x14ac:dyDescent="0.25">
      <c r="A441" s="899"/>
      <c r="B441" s="899"/>
      <c r="E441" s="899"/>
    </row>
    <row r="442" spans="1:5" x14ac:dyDescent="0.25">
      <c r="A442" s="899"/>
      <c r="B442" s="899"/>
    </row>
    <row r="443" spans="1:5" x14ac:dyDescent="0.25">
      <c r="A443" s="899"/>
      <c r="B443" s="899"/>
      <c r="C443" s="899"/>
    </row>
    <row r="444" spans="1:5" x14ac:dyDescent="0.25">
      <c r="A444" s="899"/>
      <c r="B444" s="899"/>
    </row>
    <row r="445" spans="1:5" x14ac:dyDescent="0.25">
      <c r="A445" s="899"/>
      <c r="B445" s="899"/>
    </row>
    <row r="446" spans="1:5" x14ac:dyDescent="0.25">
      <c r="A446" s="899"/>
      <c r="B446" s="899"/>
    </row>
    <row r="447" spans="1:5" x14ac:dyDescent="0.25">
      <c r="A447" s="899"/>
      <c r="B447" s="899"/>
    </row>
    <row r="448" spans="1:5" x14ac:dyDescent="0.25">
      <c r="A448" s="899"/>
      <c r="B448" s="899"/>
    </row>
    <row r="449" spans="1:5" x14ac:dyDescent="0.25">
      <c r="A449" s="899"/>
      <c r="B449" s="899"/>
    </row>
    <row r="450" spans="1:5" x14ac:dyDescent="0.25">
      <c r="A450" s="899"/>
      <c r="B450" s="899"/>
    </row>
    <row r="451" spans="1:5" x14ac:dyDescent="0.25">
      <c r="A451" s="899"/>
      <c r="B451" s="899"/>
    </row>
    <row r="452" spans="1:5" x14ac:dyDescent="0.25">
      <c r="A452" s="899"/>
      <c r="B452" s="899"/>
    </row>
    <row r="453" spans="1:5" x14ac:dyDescent="0.25">
      <c r="A453" s="899"/>
      <c r="B453" s="899"/>
      <c r="C453" s="899"/>
      <c r="E453" s="899"/>
    </row>
    <row r="454" spans="1:5" x14ac:dyDescent="0.25">
      <c r="A454" s="899"/>
      <c r="B454" s="899"/>
      <c r="C454" s="899"/>
      <c r="E454" s="899"/>
    </row>
    <row r="455" spans="1:5" x14ac:dyDescent="0.25">
      <c r="A455" s="899"/>
      <c r="B455" s="899"/>
    </row>
    <row r="456" spans="1:5" x14ac:dyDescent="0.25">
      <c r="A456" s="899"/>
      <c r="B456" s="899"/>
      <c r="C456" s="899"/>
    </row>
    <row r="457" spans="1:5" x14ac:dyDescent="0.25">
      <c r="A457" s="899"/>
      <c r="B457" s="899"/>
    </row>
    <row r="458" spans="1:5" x14ac:dyDescent="0.25">
      <c r="A458" s="899"/>
      <c r="B458" s="899"/>
      <c r="C458" s="899"/>
      <c r="E458" s="899"/>
    </row>
    <row r="459" spans="1:5" x14ac:dyDescent="0.25">
      <c r="A459" s="899"/>
      <c r="B459" s="899"/>
      <c r="C459" s="899"/>
      <c r="E459" s="899"/>
    </row>
    <row r="460" spans="1:5" x14ac:dyDescent="0.25">
      <c r="A460" s="899"/>
      <c r="B460" s="899"/>
    </row>
    <row r="461" spans="1:5" x14ac:dyDescent="0.25">
      <c r="A461" s="899"/>
      <c r="B461" s="899"/>
      <c r="E461" s="899"/>
    </row>
    <row r="462" spans="1:5" x14ac:dyDescent="0.25">
      <c r="A462" s="899"/>
      <c r="B462" s="899"/>
    </row>
    <row r="463" spans="1:5" x14ac:dyDescent="0.25">
      <c r="A463" s="899"/>
      <c r="B463" s="899"/>
      <c r="C463" s="899"/>
    </row>
    <row r="464" spans="1:5" x14ac:dyDescent="0.25">
      <c r="A464" s="899"/>
      <c r="B464" s="899"/>
      <c r="E464" s="899"/>
    </row>
    <row r="465" spans="1:5" x14ac:dyDescent="0.25">
      <c r="A465" s="899"/>
      <c r="B465" s="899"/>
      <c r="C465" s="899"/>
      <c r="E465" s="899"/>
    </row>
    <row r="466" spans="1:5" x14ac:dyDescent="0.25">
      <c r="A466" s="899"/>
      <c r="B466" s="899"/>
    </row>
    <row r="467" spans="1:5" x14ac:dyDescent="0.25">
      <c r="A467" s="899"/>
      <c r="B467" s="899"/>
      <c r="C467" s="899"/>
      <c r="E467" s="899"/>
    </row>
    <row r="468" spans="1:5" x14ac:dyDescent="0.25">
      <c r="A468" s="899"/>
      <c r="B468" s="899"/>
      <c r="C468" s="899"/>
      <c r="E468" s="899"/>
    </row>
    <row r="469" spans="1:5" x14ac:dyDescent="0.25">
      <c r="A469" s="899"/>
      <c r="B469" s="899"/>
      <c r="C469" s="899"/>
      <c r="E469" s="899"/>
    </row>
    <row r="470" spans="1:5" x14ac:dyDescent="0.25">
      <c r="A470" s="899"/>
      <c r="B470" s="899"/>
      <c r="C470" s="899"/>
    </row>
    <row r="471" spans="1:5" x14ac:dyDescent="0.25">
      <c r="A471" s="899"/>
      <c r="B471" s="899"/>
      <c r="C471" s="899"/>
    </row>
    <row r="472" spans="1:5" x14ac:dyDescent="0.25">
      <c r="A472" s="899"/>
      <c r="C472" s="899"/>
    </row>
    <row r="473" spans="1:5" x14ac:dyDescent="0.25">
      <c r="A473" s="899"/>
      <c r="C473" s="899"/>
    </row>
    <row r="474" spans="1:5" x14ac:dyDescent="0.25">
      <c r="A474" s="899"/>
      <c r="E474" s="899"/>
    </row>
    <row r="475" spans="1:5" x14ac:dyDescent="0.25">
      <c r="A475" s="899"/>
      <c r="E475" s="899"/>
    </row>
    <row r="476" spans="1:5" x14ac:dyDescent="0.25">
      <c r="A476" s="899"/>
      <c r="C476" s="899"/>
    </row>
    <row r="477" spans="1:5" x14ac:dyDescent="0.25">
      <c r="A477" s="899"/>
      <c r="C477" s="899"/>
    </row>
    <row r="478" spans="1:5" x14ac:dyDescent="0.25">
      <c r="A478" s="899"/>
      <c r="C478" s="899"/>
    </row>
    <row r="479" spans="1:5" x14ac:dyDescent="0.25">
      <c r="A479" s="899"/>
      <c r="C479" s="899"/>
    </row>
    <row r="480" spans="1:5" x14ac:dyDescent="0.25">
      <c r="A480" s="899"/>
      <c r="C480" s="899"/>
    </row>
    <row r="481" spans="1:3" x14ac:dyDescent="0.25">
      <c r="A481" s="899"/>
      <c r="C481" s="899"/>
    </row>
    <row r="482" spans="1:3" x14ac:dyDescent="0.25">
      <c r="A482" s="899"/>
      <c r="C482" s="899"/>
    </row>
    <row r="483" spans="1:3" x14ac:dyDescent="0.25">
      <c r="A483" s="899"/>
      <c r="C483" s="899"/>
    </row>
    <row r="484" spans="1:3" x14ac:dyDescent="0.25">
      <c r="A484" s="899"/>
      <c r="C484" s="899"/>
    </row>
    <row r="485" spans="1:3" x14ac:dyDescent="0.25">
      <c r="A485" s="899"/>
      <c r="C485" s="899"/>
    </row>
    <row r="486" spans="1:3" x14ac:dyDescent="0.25">
      <c r="A486" s="899"/>
      <c r="C486" s="899"/>
    </row>
    <row r="487" spans="1:3" x14ac:dyDescent="0.25">
      <c r="A487" s="899"/>
      <c r="C487" s="899"/>
    </row>
    <row r="488" spans="1:3" x14ac:dyDescent="0.25">
      <c r="A488" s="899"/>
      <c r="C488" s="899"/>
    </row>
    <row r="489" spans="1:3" x14ac:dyDescent="0.25">
      <c r="A489" s="899"/>
      <c r="C489" s="899"/>
    </row>
    <row r="490" spans="1:3" x14ac:dyDescent="0.25">
      <c r="A490" s="899"/>
      <c r="C490" s="899"/>
    </row>
    <row r="491" spans="1:3" x14ac:dyDescent="0.25">
      <c r="A491" s="899"/>
      <c r="C491" s="899"/>
    </row>
    <row r="492" spans="1:3" x14ac:dyDescent="0.25">
      <c r="A492" s="899"/>
      <c r="C492" s="899"/>
    </row>
    <row r="493" spans="1:3" x14ac:dyDescent="0.25">
      <c r="A493" s="899"/>
      <c r="C493" s="899"/>
    </row>
    <row r="494" spans="1:3" x14ac:dyDescent="0.25">
      <c r="A494" s="899"/>
      <c r="C494" s="899"/>
    </row>
    <row r="495" spans="1:3" x14ac:dyDescent="0.25">
      <c r="A495" s="899"/>
      <c r="C495" s="899"/>
    </row>
    <row r="496" spans="1:3" x14ac:dyDescent="0.25">
      <c r="A496" s="899"/>
      <c r="C496" s="899"/>
    </row>
    <row r="497" spans="1:5" x14ac:dyDescent="0.25">
      <c r="A497" s="899"/>
      <c r="C497" s="899"/>
    </row>
    <row r="498" spans="1:5" x14ac:dyDescent="0.25">
      <c r="A498" s="899"/>
      <c r="C498" s="899"/>
    </row>
    <row r="499" spans="1:5" x14ac:dyDescent="0.25">
      <c r="A499" s="899"/>
      <c r="C499" s="899"/>
    </row>
    <row r="500" spans="1:5" x14ac:dyDescent="0.25">
      <c r="A500" s="899"/>
      <c r="C500" s="899"/>
    </row>
    <row r="501" spans="1:5" x14ac:dyDescent="0.25">
      <c r="A501" s="899"/>
      <c r="C501" s="899"/>
    </row>
    <row r="502" spans="1:5" x14ac:dyDescent="0.25">
      <c r="A502" s="899"/>
      <c r="B502" s="899"/>
    </row>
    <row r="503" spans="1:5" x14ac:dyDescent="0.25">
      <c r="A503" s="899"/>
      <c r="B503" s="899"/>
    </row>
    <row r="504" spans="1:5" x14ac:dyDescent="0.25">
      <c r="A504" s="899"/>
      <c r="B504" s="899"/>
    </row>
    <row r="505" spans="1:5" x14ac:dyDescent="0.25">
      <c r="A505" s="899"/>
      <c r="B505" s="899"/>
      <c r="E505" s="899"/>
    </row>
    <row r="506" spans="1:5" x14ac:dyDescent="0.25">
      <c r="A506" s="899"/>
      <c r="B506" s="899"/>
    </row>
    <row r="507" spans="1:5" x14ac:dyDescent="0.25">
      <c r="A507" s="899"/>
      <c r="B507" s="899"/>
    </row>
    <row r="508" spans="1:5" x14ac:dyDescent="0.25">
      <c r="A508" s="899"/>
      <c r="B508" s="899"/>
    </row>
    <row r="509" spans="1:5" x14ac:dyDescent="0.25">
      <c r="A509" s="899"/>
      <c r="B509" s="899"/>
      <c r="E509" s="899"/>
    </row>
    <row r="510" spans="1:5" x14ac:dyDescent="0.25">
      <c r="A510" s="899"/>
      <c r="E510" s="899"/>
    </row>
    <row r="511" spans="1:5" x14ac:dyDescent="0.25">
      <c r="A511" s="899"/>
      <c r="B511" s="899"/>
      <c r="C511" s="899"/>
    </row>
    <row r="512" spans="1:5" x14ac:dyDescent="0.25">
      <c r="A512" s="899"/>
      <c r="C512" s="899"/>
    </row>
    <row r="513" spans="1:5" x14ac:dyDescent="0.25">
      <c r="A513" s="899"/>
      <c r="B513" s="899"/>
    </row>
    <row r="514" spans="1:5" x14ac:dyDescent="0.25">
      <c r="A514" s="899"/>
      <c r="C514" s="899"/>
    </row>
    <row r="515" spans="1:5" x14ac:dyDescent="0.25">
      <c r="A515" s="899"/>
      <c r="B515" s="899"/>
    </row>
    <row r="516" spans="1:5" x14ac:dyDescent="0.25">
      <c r="A516" s="899"/>
      <c r="B516" s="899"/>
    </row>
    <row r="517" spans="1:5" x14ac:dyDescent="0.25">
      <c r="A517" s="899"/>
      <c r="B517" s="899"/>
      <c r="C517" s="899"/>
      <c r="E517" s="899"/>
    </row>
    <row r="518" spans="1:5" x14ac:dyDescent="0.25">
      <c r="A518" s="899"/>
      <c r="B518" s="899"/>
    </row>
    <row r="519" spans="1:5" x14ac:dyDescent="0.25">
      <c r="A519" s="899"/>
      <c r="C519" s="899"/>
    </row>
    <row r="520" spans="1:5" x14ac:dyDescent="0.25">
      <c r="A520" s="899"/>
      <c r="B520" s="899"/>
    </row>
    <row r="521" spans="1:5" x14ac:dyDescent="0.25">
      <c r="A521" s="899"/>
      <c r="B521" s="899"/>
    </row>
    <row r="522" spans="1:5" x14ac:dyDescent="0.25">
      <c r="A522" s="899"/>
      <c r="C522" s="899"/>
    </row>
    <row r="523" spans="1:5" x14ac:dyDescent="0.25">
      <c r="A523" s="899"/>
      <c r="E523" s="899"/>
    </row>
    <row r="524" spans="1:5" x14ac:dyDescent="0.25">
      <c r="A524" s="899"/>
      <c r="B524" s="899"/>
    </row>
    <row r="525" spans="1:5" x14ac:dyDescent="0.25">
      <c r="A525" s="899"/>
      <c r="B525" s="899"/>
      <c r="C525" s="899"/>
      <c r="E525" s="899"/>
    </row>
    <row r="526" spans="1:5" x14ac:dyDescent="0.25">
      <c r="A526" s="899"/>
      <c r="B526" s="899"/>
      <c r="C526" s="899"/>
      <c r="E526" s="899"/>
    </row>
    <row r="527" spans="1:5" x14ac:dyDescent="0.25">
      <c r="A527" s="899"/>
      <c r="B527" s="899"/>
      <c r="E527" s="899"/>
    </row>
    <row r="528" spans="1:5" x14ac:dyDescent="0.25">
      <c r="A528" s="899"/>
      <c r="B528" s="899"/>
      <c r="C528" s="899"/>
      <c r="E528" s="899"/>
    </row>
    <row r="529" spans="1:5" x14ac:dyDescent="0.25">
      <c r="A529" s="899"/>
      <c r="B529" s="899"/>
      <c r="C529" s="899"/>
      <c r="E529" s="899"/>
    </row>
    <row r="530" spans="1:5" x14ac:dyDescent="0.25">
      <c r="A530" s="899"/>
      <c r="B530" s="899"/>
      <c r="C530" s="899"/>
      <c r="E530" s="899"/>
    </row>
    <row r="531" spans="1:5" x14ac:dyDescent="0.25">
      <c r="A531" s="899"/>
      <c r="B531" s="899"/>
    </row>
    <row r="532" spans="1:5" x14ac:dyDescent="0.25">
      <c r="A532" s="899"/>
      <c r="B532" s="899"/>
    </row>
    <row r="533" spans="1:5" x14ac:dyDescent="0.25">
      <c r="A533" s="899"/>
      <c r="B533" s="899"/>
    </row>
    <row r="534" spans="1:5" x14ac:dyDescent="0.25">
      <c r="A534" s="899"/>
      <c r="B534" s="899"/>
      <c r="C534" s="899"/>
      <c r="E534" s="899"/>
    </row>
    <row r="535" spans="1:5" x14ac:dyDescent="0.25">
      <c r="A535" s="899"/>
      <c r="B535" s="899"/>
      <c r="C535" s="899"/>
      <c r="E535" s="899"/>
    </row>
    <row r="536" spans="1:5" x14ac:dyDescent="0.25">
      <c r="A536" s="899"/>
      <c r="B536" s="899"/>
      <c r="C536" s="899"/>
      <c r="E536" s="899"/>
    </row>
    <row r="537" spans="1:5" x14ac:dyDescent="0.25">
      <c r="A537" s="899"/>
      <c r="B537" s="899"/>
      <c r="C537" s="899"/>
      <c r="E537" s="899"/>
    </row>
    <row r="538" spans="1:5" x14ac:dyDescent="0.25">
      <c r="A538" s="899"/>
      <c r="B538" s="899"/>
    </row>
    <row r="539" spans="1:5" x14ac:dyDescent="0.25">
      <c r="A539" s="899"/>
      <c r="B539" s="899"/>
      <c r="C539" s="899"/>
      <c r="E539" s="899"/>
    </row>
    <row r="540" spans="1:5" x14ac:dyDescent="0.25">
      <c r="A540" s="899"/>
      <c r="B540" s="899"/>
      <c r="E540" s="899"/>
    </row>
    <row r="541" spans="1:5" x14ac:dyDescent="0.25">
      <c r="A541" s="899"/>
      <c r="B541" s="899"/>
      <c r="E541" s="899"/>
    </row>
    <row r="542" spans="1:5" x14ac:dyDescent="0.25">
      <c r="A542" s="899"/>
      <c r="B542" s="899"/>
      <c r="C542" s="899"/>
      <c r="E542" s="899"/>
    </row>
    <row r="543" spans="1:5" x14ac:dyDescent="0.25">
      <c r="A543" s="899"/>
      <c r="B543" s="899"/>
    </row>
    <row r="544" spans="1:5" x14ac:dyDescent="0.25">
      <c r="A544" s="899"/>
      <c r="B544" s="899"/>
    </row>
    <row r="545" spans="1:5" x14ac:dyDescent="0.25">
      <c r="A545" s="899"/>
      <c r="B545" s="899"/>
      <c r="C545" s="899"/>
    </row>
    <row r="546" spans="1:5" x14ac:dyDescent="0.25">
      <c r="A546" s="899"/>
      <c r="B546" s="899"/>
      <c r="E546" s="899"/>
    </row>
    <row r="547" spans="1:5" x14ac:dyDescent="0.25">
      <c r="A547" s="899"/>
      <c r="B547" s="899"/>
    </row>
    <row r="548" spans="1:5" x14ac:dyDescent="0.25">
      <c r="A548" s="899"/>
      <c r="B548" s="899"/>
    </row>
    <row r="549" spans="1:5" x14ac:dyDescent="0.25">
      <c r="A549" s="899"/>
      <c r="E549" s="899"/>
    </row>
    <row r="550" spans="1:5" x14ac:dyDescent="0.25">
      <c r="A550" s="899"/>
      <c r="B550" s="899"/>
    </row>
    <row r="551" spans="1:5" x14ac:dyDescent="0.25">
      <c r="A551" s="899"/>
      <c r="B551" s="899"/>
      <c r="C551" s="899"/>
      <c r="E551" s="899"/>
    </row>
    <row r="552" spans="1:5" x14ac:dyDescent="0.25">
      <c r="A552" s="899"/>
      <c r="B552" s="899"/>
    </row>
    <row r="553" spans="1:5" x14ac:dyDescent="0.25">
      <c r="A553" s="899"/>
      <c r="B553" s="899"/>
      <c r="C553" s="899"/>
      <c r="E553" s="899"/>
    </row>
    <row r="554" spans="1:5" x14ac:dyDescent="0.25">
      <c r="A554" s="899"/>
      <c r="B554" s="899"/>
      <c r="C554" s="899"/>
      <c r="E554" s="899"/>
    </row>
    <row r="555" spans="1:5" x14ac:dyDescent="0.25">
      <c r="A555" s="899"/>
      <c r="B555" s="899"/>
      <c r="C555" s="899"/>
      <c r="E555" s="899"/>
    </row>
    <row r="556" spans="1:5" x14ac:dyDescent="0.25">
      <c r="A556" s="899"/>
      <c r="B556" s="899"/>
      <c r="C556" s="899"/>
      <c r="E556" s="899"/>
    </row>
    <row r="557" spans="1:5" x14ac:dyDescent="0.25">
      <c r="A557" s="899"/>
      <c r="B557" s="899"/>
    </row>
    <row r="558" spans="1:5" x14ac:dyDescent="0.25">
      <c r="A558" s="899"/>
      <c r="B558" s="899"/>
      <c r="C558" s="899"/>
    </row>
    <row r="559" spans="1:5" x14ac:dyDescent="0.25">
      <c r="A559" s="899"/>
      <c r="B559" s="899"/>
      <c r="C559" s="899"/>
    </row>
    <row r="560" spans="1:5" x14ac:dyDescent="0.25">
      <c r="A560" s="899"/>
      <c r="B560" s="899"/>
      <c r="C560" s="899"/>
    </row>
    <row r="561" spans="1:5" x14ac:dyDescent="0.25">
      <c r="A561" s="899"/>
      <c r="B561" s="899"/>
      <c r="E561" s="899"/>
    </row>
    <row r="562" spans="1:5" x14ac:dyDescent="0.25">
      <c r="A562" s="899"/>
      <c r="B562" s="899"/>
      <c r="E562" s="899"/>
    </row>
    <row r="563" spans="1:5" x14ac:dyDescent="0.25">
      <c r="A563" s="899"/>
      <c r="B563" s="899"/>
    </row>
    <row r="564" spans="1:5" x14ac:dyDescent="0.25">
      <c r="A564" s="899"/>
      <c r="B564" s="899"/>
      <c r="C564" s="899"/>
      <c r="E564" s="899"/>
    </row>
    <row r="565" spans="1:5" x14ac:dyDescent="0.25">
      <c r="A565" s="899"/>
      <c r="B565" s="899"/>
      <c r="C565" s="899"/>
      <c r="E565" s="899"/>
    </row>
    <row r="566" spans="1:5" x14ac:dyDescent="0.25">
      <c r="A566" s="899"/>
      <c r="B566" s="899"/>
      <c r="C566" s="899"/>
      <c r="E566" s="899"/>
    </row>
    <row r="567" spans="1:5" x14ac:dyDescent="0.25">
      <c r="A567" s="899"/>
      <c r="B567" s="899"/>
      <c r="E567" s="899"/>
    </row>
    <row r="568" spans="1:5" x14ac:dyDescent="0.25">
      <c r="A568" s="899"/>
      <c r="B568" s="899"/>
      <c r="C568" s="899"/>
    </row>
    <row r="569" spans="1:5" x14ac:dyDescent="0.25">
      <c r="A569" s="899"/>
      <c r="B569" s="899"/>
      <c r="C569" s="899"/>
      <c r="E569" s="899"/>
    </row>
    <row r="570" spans="1:5" x14ac:dyDescent="0.25">
      <c r="A570" s="899"/>
      <c r="B570" s="899"/>
      <c r="C570" s="899"/>
      <c r="E570" s="899"/>
    </row>
    <row r="571" spans="1:5" x14ac:dyDescent="0.25">
      <c r="A571" s="899"/>
      <c r="B571" s="899"/>
      <c r="C571" s="899"/>
      <c r="E571" s="899"/>
    </row>
    <row r="572" spans="1:5" x14ac:dyDescent="0.25">
      <c r="A572" s="899"/>
      <c r="B572" s="899"/>
      <c r="C572" s="899"/>
    </row>
    <row r="573" spans="1:5" x14ac:dyDescent="0.25">
      <c r="A573" s="899"/>
      <c r="B573" s="899"/>
    </row>
    <row r="574" spans="1:5" x14ac:dyDescent="0.25">
      <c r="A574" s="899"/>
      <c r="B574" s="899"/>
    </row>
    <row r="575" spans="1:5" x14ac:dyDescent="0.25">
      <c r="A575" s="899"/>
      <c r="B575" s="899"/>
    </row>
    <row r="576" spans="1:5" x14ac:dyDescent="0.25">
      <c r="A576" s="899"/>
      <c r="B576" s="899"/>
      <c r="C576" s="899"/>
    </row>
    <row r="577" spans="1:3" x14ac:dyDescent="0.25">
      <c r="A577" s="899"/>
      <c r="B577" s="899"/>
      <c r="C577" s="899"/>
    </row>
    <row r="578" spans="1:3" x14ac:dyDescent="0.25">
      <c r="A578" s="899"/>
      <c r="B578" s="899"/>
      <c r="C578" s="899"/>
    </row>
    <row r="579" spans="1:3" x14ac:dyDescent="0.25">
      <c r="A579" s="899"/>
      <c r="B579" s="899"/>
    </row>
    <row r="580" spans="1:3" x14ac:dyDescent="0.25">
      <c r="A580" s="899"/>
      <c r="B580" s="899"/>
    </row>
    <row r="581" spans="1:3" x14ac:dyDescent="0.25">
      <c r="A581" s="899"/>
      <c r="B581" s="899"/>
    </row>
    <row r="582" spans="1:3" x14ac:dyDescent="0.25">
      <c r="A582" s="899"/>
      <c r="B582" s="899"/>
    </row>
    <row r="583" spans="1:3" x14ac:dyDescent="0.25">
      <c r="A583" s="899"/>
      <c r="B583" s="899"/>
    </row>
    <row r="584" spans="1:3" x14ac:dyDescent="0.25">
      <c r="A584" s="899"/>
      <c r="B584" s="899"/>
    </row>
    <row r="585" spans="1:3" x14ac:dyDescent="0.25">
      <c r="A585" s="899"/>
      <c r="B585" s="899"/>
    </row>
    <row r="586" spans="1:3" x14ac:dyDescent="0.25">
      <c r="A586" s="899"/>
      <c r="B586" s="899"/>
      <c r="C586" s="899"/>
    </row>
    <row r="587" spans="1:3" x14ac:dyDescent="0.25">
      <c r="A587" s="899"/>
      <c r="B587" s="899"/>
    </row>
    <row r="588" spans="1:3" x14ac:dyDescent="0.25">
      <c r="A588" s="899"/>
      <c r="B588" s="899"/>
    </row>
    <row r="589" spans="1:3" x14ac:dyDescent="0.25">
      <c r="A589" s="899"/>
      <c r="B589" s="899"/>
      <c r="C589" s="899"/>
    </row>
    <row r="590" spans="1:3" x14ac:dyDescent="0.25">
      <c r="A590" s="899"/>
      <c r="B590" s="899"/>
      <c r="C590" s="899"/>
    </row>
    <row r="591" spans="1:3" x14ac:dyDescent="0.25">
      <c r="A591" s="899"/>
      <c r="B591" s="899"/>
      <c r="C591" s="899"/>
    </row>
    <row r="592" spans="1:3" x14ac:dyDescent="0.25">
      <c r="A592" s="899"/>
      <c r="B592" s="899"/>
    </row>
    <row r="593" spans="1:5" x14ac:dyDescent="0.25">
      <c r="A593" s="899"/>
      <c r="B593" s="899"/>
    </row>
    <row r="594" spans="1:5" x14ac:dyDescent="0.25">
      <c r="A594" s="899"/>
      <c r="B594" s="899"/>
    </row>
    <row r="595" spans="1:5" x14ac:dyDescent="0.25">
      <c r="A595" s="899"/>
      <c r="B595" s="899"/>
    </row>
    <row r="596" spans="1:5" x14ac:dyDescent="0.25">
      <c r="A596" s="899"/>
      <c r="B596" s="899"/>
    </row>
    <row r="597" spans="1:5" x14ac:dyDescent="0.25">
      <c r="A597" s="899"/>
      <c r="B597" s="899"/>
      <c r="C597" s="899"/>
      <c r="E597" s="899"/>
    </row>
    <row r="598" spans="1:5" x14ac:dyDescent="0.25">
      <c r="A598" s="899"/>
      <c r="B598" s="899"/>
      <c r="C598" s="899"/>
      <c r="E598" s="899"/>
    </row>
    <row r="599" spans="1:5" x14ac:dyDescent="0.25">
      <c r="A599" s="899"/>
      <c r="B599" s="899"/>
      <c r="C599" s="899"/>
      <c r="E599" s="899"/>
    </row>
    <row r="600" spans="1:5" x14ac:dyDescent="0.25">
      <c r="A600" s="899"/>
      <c r="B600" s="899"/>
      <c r="C600" s="899"/>
      <c r="E600" s="899"/>
    </row>
    <row r="601" spans="1:5" x14ac:dyDescent="0.25">
      <c r="A601" s="899"/>
      <c r="B601" s="899"/>
      <c r="C601" s="899"/>
      <c r="E601" s="899"/>
    </row>
    <row r="602" spans="1:5" x14ac:dyDescent="0.25">
      <c r="A602" s="899"/>
      <c r="B602" s="899"/>
      <c r="C602" s="899"/>
      <c r="E602" s="899"/>
    </row>
    <row r="603" spans="1:5" x14ac:dyDescent="0.25">
      <c r="A603" s="899"/>
      <c r="B603" s="899"/>
      <c r="C603" s="899"/>
    </row>
    <row r="604" spans="1:5" x14ac:dyDescent="0.25">
      <c r="A604" s="899"/>
      <c r="B604" s="899"/>
    </row>
    <row r="605" spans="1:5" x14ac:dyDescent="0.25">
      <c r="A605" s="899"/>
      <c r="B605" s="899"/>
    </row>
    <row r="606" spans="1:5" x14ac:dyDescent="0.25">
      <c r="A606" s="899"/>
      <c r="B606" s="899"/>
    </row>
    <row r="607" spans="1:5" x14ac:dyDescent="0.25">
      <c r="A607" s="899"/>
      <c r="B607" s="899"/>
    </row>
    <row r="608" spans="1:5" x14ac:dyDescent="0.25">
      <c r="A608" s="899"/>
      <c r="B608" s="899"/>
    </row>
    <row r="609" spans="1:5" x14ac:dyDescent="0.25">
      <c r="A609" s="899"/>
      <c r="B609" s="899"/>
    </row>
    <row r="610" spans="1:5" x14ac:dyDescent="0.25">
      <c r="A610" s="899"/>
      <c r="B610" s="899"/>
    </row>
    <row r="611" spans="1:5" x14ac:dyDescent="0.25">
      <c r="A611" s="899"/>
      <c r="B611" s="899"/>
    </row>
    <row r="612" spans="1:5" x14ac:dyDescent="0.25">
      <c r="A612" s="899"/>
      <c r="B612" s="899"/>
    </row>
    <row r="613" spans="1:5" x14ac:dyDescent="0.25">
      <c r="A613" s="899"/>
      <c r="B613" s="899"/>
    </row>
    <row r="614" spans="1:5" x14ac:dyDescent="0.25">
      <c r="A614" s="899"/>
      <c r="B614" s="899"/>
    </row>
    <row r="615" spans="1:5" x14ac:dyDescent="0.25">
      <c r="A615" s="899"/>
      <c r="B615" s="899"/>
      <c r="C615" s="899"/>
      <c r="E615" s="899"/>
    </row>
    <row r="616" spans="1:5" x14ac:dyDescent="0.25">
      <c r="A616" s="899"/>
      <c r="B616" s="899"/>
    </row>
    <row r="617" spans="1:5" x14ac:dyDescent="0.25">
      <c r="A617" s="899"/>
      <c r="B617" s="899"/>
    </row>
    <row r="618" spans="1:5" x14ac:dyDescent="0.25">
      <c r="A618" s="899"/>
      <c r="B618" s="899"/>
    </row>
    <row r="619" spans="1:5" x14ac:dyDescent="0.25">
      <c r="A619" s="899"/>
      <c r="B619" s="899"/>
    </row>
    <row r="620" spans="1:5" x14ac:dyDescent="0.25">
      <c r="A620" s="899"/>
      <c r="B620" s="899"/>
    </row>
    <row r="621" spans="1:5" x14ac:dyDescent="0.25">
      <c r="A621" s="899"/>
      <c r="B621" s="899"/>
    </row>
    <row r="622" spans="1:5" x14ac:dyDescent="0.25">
      <c r="A622" s="899"/>
      <c r="B622" s="899"/>
    </row>
    <row r="623" spans="1:5" x14ac:dyDescent="0.25">
      <c r="A623" s="899"/>
      <c r="B623" s="899"/>
    </row>
    <row r="624" spans="1:5" x14ac:dyDescent="0.25">
      <c r="A624" s="899"/>
      <c r="B624" s="899"/>
    </row>
    <row r="625" spans="1:5" x14ac:dyDescent="0.25">
      <c r="A625" s="899"/>
      <c r="B625" s="899"/>
      <c r="C625" s="899"/>
      <c r="E625" s="899"/>
    </row>
    <row r="626" spans="1:5" x14ac:dyDescent="0.25">
      <c r="A626" s="899"/>
      <c r="B626" s="899"/>
      <c r="C626" s="899"/>
    </row>
    <row r="627" spans="1:5" x14ac:dyDescent="0.25">
      <c r="A627" s="899"/>
      <c r="B627" s="899"/>
      <c r="C627" s="899"/>
    </row>
    <row r="628" spans="1:5" x14ac:dyDescent="0.25">
      <c r="A628" s="899"/>
      <c r="B628" s="899"/>
      <c r="C628" s="899"/>
      <c r="E628" s="899"/>
    </row>
    <row r="629" spans="1:5" x14ac:dyDescent="0.25">
      <c r="A629" s="899"/>
      <c r="B629" s="899"/>
      <c r="C629" s="899"/>
      <c r="E629" s="899"/>
    </row>
    <row r="630" spans="1:5" x14ac:dyDescent="0.25">
      <c r="A630" s="899"/>
      <c r="B630" s="899"/>
      <c r="C630" s="899"/>
      <c r="E630" s="899"/>
    </row>
    <row r="631" spans="1:5" x14ac:dyDescent="0.25">
      <c r="A631" s="899"/>
      <c r="B631" s="899"/>
    </row>
    <row r="632" spans="1:5" x14ac:dyDescent="0.25">
      <c r="A632" s="899"/>
      <c r="B632" s="899"/>
    </row>
    <row r="633" spans="1:5" x14ac:dyDescent="0.25">
      <c r="A633" s="899"/>
      <c r="B633" s="899"/>
    </row>
    <row r="634" spans="1:5" x14ac:dyDescent="0.25">
      <c r="A634" s="899"/>
      <c r="B634" s="899"/>
    </row>
    <row r="635" spans="1:5" x14ac:dyDescent="0.25">
      <c r="A635" s="899"/>
      <c r="B635" s="899"/>
    </row>
    <row r="636" spans="1:5" x14ac:dyDescent="0.25">
      <c r="A636" s="899"/>
      <c r="B636" s="899"/>
    </row>
    <row r="637" spans="1:5" x14ac:dyDescent="0.25">
      <c r="A637" s="899"/>
      <c r="B637" s="899"/>
    </row>
    <row r="638" spans="1:5" x14ac:dyDescent="0.25">
      <c r="A638" s="899"/>
      <c r="B638" s="899"/>
    </row>
    <row r="639" spans="1:5" x14ac:dyDescent="0.25">
      <c r="A639" s="899"/>
      <c r="B639" s="899"/>
      <c r="C639" s="899"/>
      <c r="E639" s="899"/>
    </row>
    <row r="640" spans="1:5" x14ac:dyDescent="0.25">
      <c r="A640" s="899"/>
      <c r="B640" s="899"/>
    </row>
    <row r="641" spans="1:5" x14ac:dyDescent="0.25">
      <c r="A641" s="899"/>
      <c r="B641" s="899"/>
    </row>
    <row r="642" spans="1:5" x14ac:dyDescent="0.25">
      <c r="A642" s="899"/>
      <c r="B642" s="899"/>
    </row>
    <row r="643" spans="1:5" x14ac:dyDescent="0.25">
      <c r="A643" s="899"/>
      <c r="B643" s="899"/>
    </row>
    <row r="644" spans="1:5" x14ac:dyDescent="0.25">
      <c r="A644" s="899"/>
      <c r="B644" s="899"/>
    </row>
    <row r="645" spans="1:5" x14ac:dyDescent="0.25">
      <c r="A645" s="899"/>
      <c r="B645" s="899"/>
    </row>
    <row r="646" spans="1:5" x14ac:dyDescent="0.25">
      <c r="A646" s="899"/>
      <c r="B646" s="899"/>
    </row>
    <row r="647" spans="1:5" x14ac:dyDescent="0.25">
      <c r="A647" s="899"/>
      <c r="B647" s="899"/>
    </row>
    <row r="648" spans="1:5" x14ac:dyDescent="0.25">
      <c r="A648" s="899"/>
      <c r="B648" s="899"/>
    </row>
    <row r="649" spans="1:5" x14ac:dyDescent="0.25">
      <c r="A649" s="899"/>
      <c r="B649" s="899"/>
      <c r="C649" s="899"/>
      <c r="E649" s="899"/>
    </row>
    <row r="650" spans="1:5" x14ac:dyDescent="0.25">
      <c r="A650" s="899"/>
      <c r="B650" s="899"/>
      <c r="C650" s="899"/>
    </row>
    <row r="651" spans="1:5" x14ac:dyDescent="0.25">
      <c r="A651" s="899"/>
      <c r="B651" s="899"/>
      <c r="C651" s="899"/>
    </row>
    <row r="652" spans="1:5" x14ac:dyDescent="0.25">
      <c r="A652" s="899"/>
      <c r="B652" s="899"/>
      <c r="C652" s="899"/>
    </row>
    <row r="653" spans="1:5" x14ac:dyDescent="0.25">
      <c r="A653" s="899"/>
      <c r="B653" s="899"/>
      <c r="C653" s="899"/>
    </row>
    <row r="654" spans="1:5" x14ac:dyDescent="0.25">
      <c r="A654" s="899"/>
      <c r="B654" s="899"/>
      <c r="C654" s="899"/>
      <c r="E654" s="899"/>
    </row>
    <row r="655" spans="1:5" x14ac:dyDescent="0.25">
      <c r="A655" s="899"/>
      <c r="B655" s="899"/>
    </row>
    <row r="656" spans="1:5" x14ac:dyDescent="0.25">
      <c r="A656" s="899"/>
      <c r="B656" s="899"/>
    </row>
    <row r="657" spans="1:5" x14ac:dyDescent="0.25">
      <c r="A657" s="899"/>
      <c r="B657" s="899"/>
    </row>
    <row r="658" spans="1:5" x14ac:dyDescent="0.25">
      <c r="A658" s="899"/>
      <c r="B658" s="899"/>
    </row>
    <row r="659" spans="1:5" x14ac:dyDescent="0.25">
      <c r="A659" s="899"/>
      <c r="B659" s="899"/>
    </row>
    <row r="660" spans="1:5" x14ac:dyDescent="0.25">
      <c r="A660" s="899"/>
      <c r="B660" s="899"/>
    </row>
    <row r="661" spans="1:5" x14ac:dyDescent="0.25">
      <c r="A661" s="899"/>
      <c r="B661" s="899"/>
      <c r="C661" s="899"/>
      <c r="E661" s="899"/>
    </row>
    <row r="662" spans="1:5" x14ac:dyDescent="0.25">
      <c r="A662" s="899"/>
      <c r="B662" s="899"/>
      <c r="C662" s="899"/>
      <c r="E662" s="899"/>
    </row>
    <row r="663" spans="1:5" x14ac:dyDescent="0.25">
      <c r="A663" s="899"/>
      <c r="B663" s="899"/>
      <c r="C663" s="899"/>
    </row>
    <row r="664" spans="1:5" x14ac:dyDescent="0.25">
      <c r="A664" s="899"/>
      <c r="E664" s="899"/>
    </row>
    <row r="665" spans="1:5" x14ac:dyDescent="0.25">
      <c r="A665" s="899"/>
      <c r="B665" s="899"/>
      <c r="E665" s="899"/>
    </row>
    <row r="666" spans="1:5" x14ac:dyDescent="0.25">
      <c r="A666" s="899"/>
      <c r="B666" s="899"/>
      <c r="C666" s="899"/>
    </row>
    <row r="667" spans="1:5" x14ac:dyDescent="0.25">
      <c r="A667" s="899"/>
      <c r="B667" s="899"/>
      <c r="C667" s="899"/>
      <c r="E667" s="899"/>
    </row>
    <row r="668" spans="1:5" x14ac:dyDescent="0.25">
      <c r="A668" s="899"/>
      <c r="B668" s="899"/>
      <c r="C668" s="899"/>
      <c r="E668" s="899"/>
    </row>
    <row r="669" spans="1:5" x14ac:dyDescent="0.25">
      <c r="A669" s="899"/>
      <c r="B669" s="899"/>
      <c r="E669" s="899"/>
    </row>
    <row r="670" spans="1:5" x14ac:dyDescent="0.25">
      <c r="A670" s="899"/>
      <c r="B670" s="899"/>
      <c r="E670" s="899"/>
    </row>
    <row r="671" spans="1:5" x14ac:dyDescent="0.25">
      <c r="A671" s="899"/>
      <c r="B671" s="899"/>
      <c r="E671" s="899"/>
    </row>
    <row r="672" spans="1:5" x14ac:dyDescent="0.25">
      <c r="A672" s="899"/>
      <c r="B672" s="899"/>
    </row>
    <row r="673" spans="1:5" x14ac:dyDescent="0.25">
      <c r="A673" s="899"/>
      <c r="B673" s="899"/>
    </row>
    <row r="674" spans="1:5" x14ac:dyDescent="0.25">
      <c r="A674" s="899"/>
      <c r="B674" s="899"/>
    </row>
    <row r="675" spans="1:5" x14ac:dyDescent="0.25">
      <c r="A675" s="899"/>
      <c r="B675" s="899"/>
    </row>
    <row r="676" spans="1:5" x14ac:dyDescent="0.25">
      <c r="A676" s="899"/>
      <c r="B676" s="899"/>
      <c r="C676" s="899"/>
      <c r="E676" s="899"/>
    </row>
    <row r="677" spans="1:5" x14ac:dyDescent="0.25">
      <c r="A677" s="899"/>
      <c r="B677" s="899"/>
      <c r="C677" s="899"/>
      <c r="E677" s="899"/>
    </row>
    <row r="678" spans="1:5" x14ac:dyDescent="0.25">
      <c r="A678" s="899"/>
      <c r="B678" s="899"/>
      <c r="C678" s="899"/>
      <c r="E678" s="899"/>
    </row>
    <row r="679" spans="1:5" x14ac:dyDescent="0.25">
      <c r="A679" s="899"/>
      <c r="B679" s="899"/>
      <c r="C679" s="899"/>
    </row>
    <row r="680" spans="1:5" x14ac:dyDescent="0.25">
      <c r="A680" s="899"/>
      <c r="B680" s="899"/>
      <c r="C680" s="899"/>
      <c r="E680" s="899"/>
    </row>
    <row r="681" spans="1:5" x14ac:dyDescent="0.25">
      <c r="A681" s="899"/>
      <c r="B681" s="899"/>
      <c r="C681" s="899"/>
      <c r="E681" s="899"/>
    </row>
    <row r="682" spans="1:5" x14ac:dyDescent="0.25">
      <c r="A682" s="899"/>
      <c r="B682" s="899"/>
      <c r="C682" s="899"/>
    </row>
    <row r="683" spans="1:5" x14ac:dyDescent="0.25">
      <c r="A683" s="899"/>
      <c r="B683" s="899"/>
      <c r="C683" s="899"/>
    </row>
    <row r="684" spans="1:5" x14ac:dyDescent="0.25">
      <c r="A684" s="899"/>
      <c r="B684" s="899"/>
    </row>
    <row r="685" spans="1:5" x14ac:dyDescent="0.25">
      <c r="A685" s="899"/>
      <c r="B685" s="899"/>
    </row>
    <row r="686" spans="1:5" x14ac:dyDescent="0.25">
      <c r="A686" s="899"/>
      <c r="B686" s="899"/>
    </row>
    <row r="687" spans="1:5" x14ac:dyDescent="0.25">
      <c r="A687" s="899"/>
      <c r="B687" s="899"/>
    </row>
    <row r="688" spans="1:5" x14ac:dyDescent="0.25">
      <c r="A688" s="899"/>
      <c r="C688" s="899"/>
    </row>
    <row r="689" spans="1:5" x14ac:dyDescent="0.25">
      <c r="A689" s="899"/>
      <c r="B689" s="899"/>
    </row>
    <row r="690" spans="1:5" x14ac:dyDescent="0.25">
      <c r="A690" s="899"/>
      <c r="B690" s="899"/>
    </row>
    <row r="691" spans="1:5" x14ac:dyDescent="0.25">
      <c r="A691" s="899"/>
      <c r="B691" s="899"/>
    </row>
    <row r="692" spans="1:5" x14ac:dyDescent="0.25">
      <c r="A692" s="899"/>
      <c r="B692" s="899"/>
    </row>
    <row r="693" spans="1:5" x14ac:dyDescent="0.25">
      <c r="A693" s="899"/>
      <c r="B693" s="899"/>
    </row>
    <row r="694" spans="1:5" x14ac:dyDescent="0.25">
      <c r="A694" s="899"/>
      <c r="B694" s="899"/>
    </row>
    <row r="695" spans="1:5" x14ac:dyDescent="0.25">
      <c r="A695" s="899"/>
      <c r="B695" s="899"/>
    </row>
    <row r="696" spans="1:5" x14ac:dyDescent="0.25">
      <c r="A696" s="899"/>
      <c r="B696" s="899"/>
    </row>
    <row r="697" spans="1:5" x14ac:dyDescent="0.25">
      <c r="A697" s="899"/>
      <c r="B697" s="899"/>
    </row>
    <row r="698" spans="1:5" x14ac:dyDescent="0.25">
      <c r="A698" s="899"/>
      <c r="B698" s="899"/>
    </row>
    <row r="699" spans="1:5" x14ac:dyDescent="0.25">
      <c r="A699" s="899"/>
      <c r="B699" s="899"/>
    </row>
    <row r="700" spans="1:5" x14ac:dyDescent="0.25">
      <c r="A700" s="899"/>
      <c r="B700" s="899"/>
    </row>
    <row r="701" spans="1:5" x14ac:dyDescent="0.25">
      <c r="A701" s="899"/>
      <c r="B701" s="899"/>
      <c r="C701" s="899"/>
      <c r="E701" s="899"/>
    </row>
    <row r="702" spans="1:5" x14ac:dyDescent="0.25">
      <c r="A702" s="899"/>
      <c r="B702" s="899"/>
    </row>
    <row r="703" spans="1:5" x14ac:dyDescent="0.25">
      <c r="A703" s="899"/>
      <c r="B703" s="899"/>
    </row>
    <row r="704" spans="1:5" x14ac:dyDescent="0.25">
      <c r="A704" s="899"/>
      <c r="B704" s="899"/>
      <c r="C704" s="899"/>
    </row>
    <row r="705" spans="1:5" x14ac:dyDescent="0.25">
      <c r="A705" s="899"/>
      <c r="B705" s="899"/>
    </row>
    <row r="706" spans="1:5" x14ac:dyDescent="0.25">
      <c r="A706" s="899"/>
      <c r="E706" s="899"/>
    </row>
    <row r="707" spans="1:5" x14ac:dyDescent="0.25">
      <c r="A707" s="899"/>
      <c r="B707" s="899"/>
    </row>
    <row r="708" spans="1:5" x14ac:dyDescent="0.25">
      <c r="A708" s="899"/>
      <c r="B708" s="899"/>
      <c r="C708" s="899"/>
    </row>
    <row r="709" spans="1:5" x14ac:dyDescent="0.25">
      <c r="A709" s="899"/>
      <c r="B709" s="899"/>
    </row>
    <row r="710" spans="1:5" x14ac:dyDescent="0.25">
      <c r="A710" s="899"/>
      <c r="B710" s="899"/>
    </row>
    <row r="711" spans="1:5" x14ac:dyDescent="0.25">
      <c r="A711" s="899"/>
      <c r="B711" s="899"/>
    </row>
    <row r="712" spans="1:5" x14ac:dyDescent="0.25">
      <c r="A712" s="899"/>
      <c r="B712" s="899"/>
    </row>
    <row r="713" spans="1:5" x14ac:dyDescent="0.25">
      <c r="A713" s="899"/>
      <c r="B713" s="899"/>
    </row>
    <row r="714" spans="1:5" x14ac:dyDescent="0.25">
      <c r="A714" s="899"/>
      <c r="B714" s="899"/>
    </row>
    <row r="715" spans="1:5" x14ac:dyDescent="0.25">
      <c r="A715" s="899"/>
      <c r="B715" s="899"/>
    </row>
    <row r="716" spans="1:5" x14ac:dyDescent="0.25">
      <c r="A716" s="899"/>
      <c r="B716" s="899"/>
    </row>
    <row r="717" spans="1:5" x14ac:dyDescent="0.25">
      <c r="A717" s="899"/>
      <c r="B717" s="899"/>
    </row>
    <row r="718" spans="1:5" x14ac:dyDescent="0.25">
      <c r="A718" s="899"/>
      <c r="B718" s="899"/>
      <c r="C718" s="899"/>
      <c r="E718" s="899"/>
    </row>
    <row r="719" spans="1:5" x14ac:dyDescent="0.25">
      <c r="A719" s="899"/>
      <c r="B719" s="899"/>
      <c r="C719" s="899"/>
      <c r="E719" s="899"/>
    </row>
    <row r="720" spans="1:5" x14ac:dyDescent="0.25">
      <c r="A720" s="899"/>
      <c r="B720" s="899"/>
    </row>
    <row r="721" spans="1:5" x14ac:dyDescent="0.25">
      <c r="A721" s="899"/>
      <c r="B721" s="899"/>
      <c r="C721" s="899"/>
    </row>
    <row r="722" spans="1:5" x14ac:dyDescent="0.25">
      <c r="A722" s="899"/>
      <c r="B722" s="899"/>
    </row>
    <row r="723" spans="1:5" x14ac:dyDescent="0.25">
      <c r="A723" s="899"/>
      <c r="B723" s="899"/>
      <c r="C723" s="899"/>
      <c r="E723" s="899"/>
    </row>
    <row r="724" spans="1:5" x14ac:dyDescent="0.25">
      <c r="A724" s="899"/>
      <c r="B724" s="899"/>
      <c r="C724" s="899"/>
      <c r="E724" s="899"/>
    </row>
    <row r="725" spans="1:5" x14ac:dyDescent="0.25">
      <c r="A725" s="899"/>
      <c r="B725" s="899"/>
    </row>
    <row r="726" spans="1:5" x14ac:dyDescent="0.25">
      <c r="A726" s="899"/>
      <c r="B726" s="899"/>
      <c r="E726" s="899"/>
    </row>
    <row r="727" spans="1:5" x14ac:dyDescent="0.25">
      <c r="A727" s="899"/>
      <c r="B727" s="899"/>
    </row>
    <row r="728" spans="1:5" x14ac:dyDescent="0.25">
      <c r="A728" s="899"/>
      <c r="C728" s="899"/>
    </row>
    <row r="729" spans="1:5" x14ac:dyDescent="0.25">
      <c r="A729" s="899"/>
      <c r="E729" s="899"/>
    </row>
    <row r="730" spans="1:5" x14ac:dyDescent="0.25">
      <c r="A730" s="899"/>
      <c r="B730" s="899"/>
      <c r="C730" s="899"/>
      <c r="E730" s="899"/>
    </row>
    <row r="731" spans="1:5" x14ac:dyDescent="0.25">
      <c r="A731" s="899"/>
      <c r="B731" s="899"/>
    </row>
    <row r="732" spans="1:5" x14ac:dyDescent="0.25">
      <c r="A732" s="899"/>
      <c r="B732" s="899"/>
      <c r="C732" s="899"/>
      <c r="E732" s="899"/>
    </row>
    <row r="733" spans="1:5" x14ac:dyDescent="0.25">
      <c r="A733" s="899"/>
      <c r="B733" s="899"/>
      <c r="C733" s="899"/>
      <c r="E733" s="899"/>
    </row>
    <row r="734" spans="1:5" x14ac:dyDescent="0.25">
      <c r="A734" s="899"/>
      <c r="B734" s="899"/>
      <c r="C734" s="899"/>
      <c r="E734" s="899"/>
    </row>
    <row r="735" spans="1:5" x14ac:dyDescent="0.25">
      <c r="A735" s="899"/>
      <c r="B735" s="899"/>
    </row>
    <row r="736" spans="1:5" x14ac:dyDescent="0.25">
      <c r="A736" s="899"/>
      <c r="B736" s="899"/>
    </row>
  </sheetData>
  <sheetProtection selectLockedCells="1" selectUnlockedCells="1"/>
  <pageMargins left="0.75" right="0.75" top="1" bottom="1" header="0.5" footer="0.5"/>
  <pageSetup paperSize="9" firstPageNumber="0" orientation="portrait" horizontalDpi="300" verticalDpi="300"/>
  <headerFooter alignWithMargins="0">
    <oddHeader>&amp;C&amp;A</oddHeader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workbookViewId="0"/>
  </sheetViews>
  <sheetFormatPr defaultRowHeight="15" x14ac:dyDescent="0.25"/>
  <sheetData>
    <row r="1" spans="1:2" x14ac:dyDescent="0.25">
      <c r="A1" s="899" t="s">
        <v>7171</v>
      </c>
      <c r="B1" s="899" t="s">
        <v>7591</v>
      </c>
    </row>
    <row r="2" spans="1:2" x14ac:dyDescent="0.25">
      <c r="A2" s="899" t="s">
        <v>6933</v>
      </c>
      <c r="B2" s="899">
        <v>5958361</v>
      </c>
    </row>
    <row r="3" spans="1:2" x14ac:dyDescent="0.25">
      <c r="A3" s="899" t="s">
        <v>6935</v>
      </c>
      <c r="B3" s="899">
        <v>4246997</v>
      </c>
    </row>
    <row r="4" spans="1:2" x14ac:dyDescent="0.25">
      <c r="A4" s="899" t="s">
        <v>6937</v>
      </c>
      <c r="B4" s="899">
        <v>283352</v>
      </c>
    </row>
    <row r="5" spans="1:2" x14ac:dyDescent="0.25">
      <c r="A5" s="899" t="s">
        <v>6939</v>
      </c>
      <c r="B5" s="899">
        <v>10488710</v>
      </c>
    </row>
    <row r="6" spans="1:2" x14ac:dyDescent="0.25">
      <c r="A6" s="899" t="s">
        <v>6941</v>
      </c>
      <c r="B6" s="899">
        <v>-2572676</v>
      </c>
    </row>
    <row r="7" spans="1:2" x14ac:dyDescent="0.25">
      <c r="A7" s="899" t="s">
        <v>6944</v>
      </c>
      <c r="B7" s="899">
        <v>-415708</v>
      </c>
    </row>
    <row r="8" spans="1:2" x14ac:dyDescent="0.25">
      <c r="A8" s="899" t="s">
        <v>6946</v>
      </c>
      <c r="B8" s="899">
        <v>-2988384</v>
      </c>
    </row>
    <row r="9" spans="1:2" x14ac:dyDescent="0.25">
      <c r="A9" s="899" t="s">
        <v>6950</v>
      </c>
      <c r="B9" s="899">
        <v>-89450</v>
      </c>
    </row>
    <row r="10" spans="1:2" x14ac:dyDescent="0.25">
      <c r="A10" s="899" t="s">
        <v>6952</v>
      </c>
      <c r="B10" s="899">
        <v>2362</v>
      </c>
    </row>
    <row r="11" spans="1:2" x14ac:dyDescent="0.25">
      <c r="A11" s="899" t="s">
        <v>6956</v>
      </c>
      <c r="B11" s="899">
        <v>-87088</v>
      </c>
    </row>
    <row r="12" spans="1:2" x14ac:dyDescent="0.25">
      <c r="A12" s="899" t="s">
        <v>6967</v>
      </c>
      <c r="B12" s="899">
        <v>2773812</v>
      </c>
    </row>
    <row r="13" spans="1:2" x14ac:dyDescent="0.25">
      <c r="A13" s="899" t="s">
        <v>6969</v>
      </c>
      <c r="B13" s="899">
        <v>-41657</v>
      </c>
    </row>
    <row r="14" spans="1:2" x14ac:dyDescent="0.25">
      <c r="A14" s="899" t="s">
        <v>6971</v>
      </c>
      <c r="B14" s="899">
        <v>2732155</v>
      </c>
    </row>
    <row r="15" spans="1:2" x14ac:dyDescent="0.25">
      <c r="A15" s="899" t="s">
        <v>6973</v>
      </c>
      <c r="B15" s="899">
        <v>10145393</v>
      </c>
    </row>
    <row r="16" spans="1:2" x14ac:dyDescent="0.25">
      <c r="A16" s="899" t="s">
        <v>6976</v>
      </c>
      <c r="B16" s="899">
        <v>-18349</v>
      </c>
    </row>
    <row r="17" spans="1:2" x14ac:dyDescent="0.25">
      <c r="A17" s="899" t="s">
        <v>6979</v>
      </c>
      <c r="B17" s="899">
        <v>-10487</v>
      </c>
    </row>
    <row r="18" spans="1:2" x14ac:dyDescent="0.25">
      <c r="A18" s="899" t="s">
        <v>6981</v>
      </c>
      <c r="B18" s="899">
        <v>-1565926</v>
      </c>
    </row>
    <row r="19" spans="1:2" x14ac:dyDescent="0.25">
      <c r="A19" s="899" t="s">
        <v>6985</v>
      </c>
      <c r="B19" s="899">
        <v>-5372151</v>
      </c>
    </row>
    <row r="20" spans="1:2" x14ac:dyDescent="0.25">
      <c r="A20" s="899" t="s">
        <v>6987</v>
      </c>
      <c r="B20" s="899">
        <v>-565175</v>
      </c>
    </row>
    <row r="21" spans="1:2" x14ac:dyDescent="0.25">
      <c r="A21" s="899" t="s">
        <v>6989</v>
      </c>
      <c r="B21" s="899">
        <v>942731</v>
      </c>
    </row>
    <row r="22" spans="1:2" x14ac:dyDescent="0.25">
      <c r="A22" s="899" t="s">
        <v>6991</v>
      </c>
      <c r="B22" s="899">
        <v>2221303</v>
      </c>
    </row>
    <row r="23" spans="1:2" x14ac:dyDescent="0.25">
      <c r="A23" s="899" t="s">
        <v>6993</v>
      </c>
      <c r="B23" s="899">
        <v>-4368054</v>
      </c>
    </row>
    <row r="24" spans="1:2" x14ac:dyDescent="0.25">
      <c r="A24" s="899" t="s">
        <v>6995</v>
      </c>
      <c r="B24" s="899">
        <v>559</v>
      </c>
    </row>
    <row r="25" spans="1:2" x14ac:dyDescent="0.25">
      <c r="A25" s="899" t="s">
        <v>6997</v>
      </c>
      <c r="B25" s="899">
        <v>91777</v>
      </c>
    </row>
    <row r="26" spans="1:2" x14ac:dyDescent="0.25">
      <c r="A26" s="899" t="s">
        <v>7009</v>
      </c>
      <c r="B26" s="899">
        <v>-27533</v>
      </c>
    </row>
    <row r="27" spans="1:2" x14ac:dyDescent="0.25">
      <c r="A27" s="899" t="s">
        <v>7011</v>
      </c>
      <c r="B27" s="899">
        <v>-8602247</v>
      </c>
    </row>
    <row r="28" spans="1:2" x14ac:dyDescent="0.25">
      <c r="A28" s="899" t="s">
        <v>7013</v>
      </c>
      <c r="B28" s="899">
        <v>-5546</v>
      </c>
    </row>
    <row r="29" spans="1:2" x14ac:dyDescent="0.25">
      <c r="A29" s="899" t="s">
        <v>7015</v>
      </c>
      <c r="B29" s="899">
        <v>12430355</v>
      </c>
    </row>
    <row r="30" spans="1:2" x14ac:dyDescent="0.25">
      <c r="A30" s="899" t="s">
        <v>7019</v>
      </c>
      <c r="B30" s="899">
        <v>15000</v>
      </c>
    </row>
    <row r="31" spans="1:2" x14ac:dyDescent="0.25">
      <c r="A31" s="899" t="s">
        <v>7021</v>
      </c>
      <c r="B31" s="899">
        <v>-814665</v>
      </c>
    </row>
    <row r="32" spans="1:2" x14ac:dyDescent="0.25">
      <c r="A32" s="899" t="s">
        <v>7023</v>
      </c>
      <c r="B32" s="899">
        <v>3087141</v>
      </c>
    </row>
    <row r="33" spans="1:2" x14ac:dyDescent="0.25">
      <c r="A33" s="899" t="s">
        <v>7025</v>
      </c>
      <c r="B33" s="899">
        <v>-1129307</v>
      </c>
    </row>
    <row r="34" spans="1:2" x14ac:dyDescent="0.25">
      <c r="A34" s="899" t="s">
        <v>7029</v>
      </c>
      <c r="B34" s="899">
        <v>-1129307</v>
      </c>
    </row>
    <row r="35" spans="1:2" x14ac:dyDescent="0.25">
      <c r="A35" s="899" t="s">
        <v>7031</v>
      </c>
      <c r="B35" s="899">
        <v>-16745</v>
      </c>
    </row>
    <row r="36" spans="1:2" x14ac:dyDescent="0.25">
      <c r="A36" s="899" t="s">
        <v>7033</v>
      </c>
      <c r="B36" s="899">
        <v>7718987</v>
      </c>
    </row>
    <row r="37" spans="1:2" x14ac:dyDescent="0.25">
      <c r="A37" s="899" t="s">
        <v>7037</v>
      </c>
      <c r="B37" s="899">
        <v>-200</v>
      </c>
    </row>
    <row r="38" spans="1:2" x14ac:dyDescent="0.25">
      <c r="A38" s="899" t="s">
        <v>7041</v>
      </c>
      <c r="B38" s="899">
        <v>-2214</v>
      </c>
    </row>
    <row r="39" spans="1:2" x14ac:dyDescent="0.25">
      <c r="A39" s="899" t="s">
        <v>7043</v>
      </c>
      <c r="B39" s="899">
        <v>-1194582</v>
      </c>
    </row>
    <row r="40" spans="1:2" x14ac:dyDescent="0.25">
      <c r="A40" s="899" t="s">
        <v>7045</v>
      </c>
      <c r="B40" s="899">
        <v>-89333</v>
      </c>
    </row>
    <row r="41" spans="1:2" x14ac:dyDescent="0.25">
      <c r="A41" s="899" t="s">
        <v>7047</v>
      </c>
      <c r="B41" s="899">
        <v>-1286329</v>
      </c>
    </row>
    <row r="42" spans="1:2" x14ac:dyDescent="0.25">
      <c r="A42" s="899" t="s">
        <v>7061</v>
      </c>
      <c r="B42" s="899">
        <v>-620</v>
      </c>
    </row>
    <row r="43" spans="1:2" x14ac:dyDescent="0.25">
      <c r="A43" s="899" t="s">
        <v>7063</v>
      </c>
      <c r="B43" s="899">
        <v>-801710</v>
      </c>
    </row>
    <row r="44" spans="1:2" x14ac:dyDescent="0.25">
      <c r="A44" s="899" t="s">
        <v>7065</v>
      </c>
      <c r="B44" s="899">
        <v>-3739929</v>
      </c>
    </row>
    <row r="45" spans="1:2" x14ac:dyDescent="0.25">
      <c r="A45" s="899" t="s">
        <v>7067</v>
      </c>
      <c r="B45" s="899">
        <v>-358470</v>
      </c>
    </row>
    <row r="46" spans="1:2" x14ac:dyDescent="0.25">
      <c r="A46" s="899" t="s">
        <v>7069</v>
      </c>
      <c r="B46" s="899">
        <v>-42290</v>
      </c>
    </row>
    <row r="47" spans="1:2" x14ac:dyDescent="0.25">
      <c r="A47" s="899" t="s">
        <v>7079</v>
      </c>
      <c r="B47" s="899">
        <v>-4943019</v>
      </c>
    </row>
    <row r="48" spans="1:2" x14ac:dyDescent="0.25">
      <c r="A48" s="899" t="s">
        <v>7091</v>
      </c>
      <c r="B48" s="899">
        <v>485</v>
      </c>
    </row>
    <row r="49" spans="1:2" x14ac:dyDescent="0.25">
      <c r="A49" s="899" t="s">
        <v>7093</v>
      </c>
      <c r="B49" s="899">
        <v>584</v>
      </c>
    </row>
    <row r="50" spans="1:2" x14ac:dyDescent="0.25">
      <c r="A50" s="899" t="s">
        <v>7095</v>
      </c>
      <c r="B50" s="899">
        <v>93041</v>
      </c>
    </row>
    <row r="51" spans="1:2" x14ac:dyDescent="0.25">
      <c r="A51" s="899" t="s">
        <v>7097</v>
      </c>
      <c r="B51" s="899">
        <v>2211711</v>
      </c>
    </row>
    <row r="52" spans="1:2" x14ac:dyDescent="0.25">
      <c r="A52" s="899" t="s">
        <v>7099</v>
      </c>
      <c r="B52" s="899">
        <v>2305821</v>
      </c>
    </row>
    <row r="53" spans="1:2" x14ac:dyDescent="0.25">
      <c r="A53" s="899" t="s">
        <v>7115</v>
      </c>
      <c r="B53" s="899">
        <v>-3923527</v>
      </c>
    </row>
    <row r="54" spans="1:2" x14ac:dyDescent="0.25">
      <c r="A54" s="899" t="s">
        <v>7121</v>
      </c>
      <c r="B54" s="899">
        <v>-458859</v>
      </c>
    </row>
    <row r="55" spans="1:2" x14ac:dyDescent="0.25">
      <c r="A55" s="899" t="s">
        <v>7131</v>
      </c>
      <c r="B55" s="899">
        <v>2774826</v>
      </c>
    </row>
    <row r="56" spans="1:2" x14ac:dyDescent="0.25">
      <c r="A56" s="899" t="s">
        <v>7135</v>
      </c>
      <c r="B56" s="899">
        <v>2774826</v>
      </c>
    </row>
    <row r="57" spans="1:2" x14ac:dyDescent="0.25">
      <c r="A57" s="899" t="s">
        <v>7139</v>
      </c>
      <c r="B57" s="899">
        <v>-425866</v>
      </c>
    </row>
    <row r="58" spans="1:2" x14ac:dyDescent="0.25">
      <c r="A58" s="899" t="s">
        <v>7143</v>
      </c>
      <c r="B58" s="899">
        <v>1890101</v>
      </c>
    </row>
    <row r="59" spans="1:2" x14ac:dyDescent="0.25">
      <c r="A59" s="899" t="s">
        <v>7145</v>
      </c>
      <c r="B59" s="899">
        <v>5685561</v>
      </c>
    </row>
    <row r="60" spans="1:2" x14ac:dyDescent="0.25">
      <c r="A60" s="899" t="s">
        <v>7147</v>
      </c>
      <c r="B60" s="899">
        <v>5685561</v>
      </c>
    </row>
  </sheetData>
  <sheetProtection selectLockedCells="1" selectUnlockedCells="1"/>
  <pageMargins left="0.75" right="0.75" top="1" bottom="1" header="0.5" footer="0.5"/>
  <pageSetup paperSize="9" firstPageNumber="0" orientation="portrait" horizontalDpi="300" verticalDpi="300"/>
  <headerFooter alignWithMargins="0">
    <oddHeader>&amp;C&amp;A</oddHeader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03"/>
  <sheetViews>
    <sheetView workbookViewId="0">
      <selection activeCell="I6" sqref="I6"/>
    </sheetView>
  </sheetViews>
  <sheetFormatPr defaultRowHeight="15" x14ac:dyDescent="0.25"/>
  <cols>
    <col min="1" max="1" width="27.140625" customWidth="1"/>
  </cols>
  <sheetData>
    <row r="1" spans="1:5" x14ac:dyDescent="0.25">
      <c r="A1" s="899" t="s">
        <v>7171</v>
      </c>
      <c r="B1" s="899" t="s">
        <v>7592</v>
      </c>
      <c r="C1" s="899" t="s">
        <v>7593</v>
      </c>
      <c r="D1" s="899" t="s">
        <v>7594</v>
      </c>
      <c r="E1" s="899" t="s">
        <v>7595</v>
      </c>
    </row>
    <row r="2" spans="1:5" x14ac:dyDescent="0.25">
      <c r="A2" s="899" t="s">
        <v>7596</v>
      </c>
      <c r="B2" s="899" t="s">
        <v>124</v>
      </c>
      <c r="C2" s="899" t="s">
        <v>110</v>
      </c>
      <c r="D2" s="899">
        <v>79200</v>
      </c>
    </row>
    <row r="3" spans="1:5" x14ac:dyDescent="0.25">
      <c r="A3" s="899" t="s">
        <v>7597</v>
      </c>
      <c r="B3" s="899" t="s">
        <v>129</v>
      </c>
      <c r="C3" s="899" t="s">
        <v>110</v>
      </c>
      <c r="D3" s="899">
        <v>79200</v>
      </c>
    </row>
    <row r="4" spans="1:5" x14ac:dyDescent="0.25">
      <c r="A4" s="899" t="s">
        <v>7598</v>
      </c>
      <c r="B4" s="899" t="s">
        <v>132</v>
      </c>
      <c r="C4" s="899" t="s">
        <v>110</v>
      </c>
      <c r="D4" s="899">
        <v>0</v>
      </c>
    </row>
    <row r="5" spans="1:5" x14ac:dyDescent="0.25">
      <c r="A5" s="899" t="s">
        <v>7599</v>
      </c>
      <c r="B5" s="899" t="s">
        <v>135</v>
      </c>
      <c r="C5" s="899" t="s">
        <v>110</v>
      </c>
      <c r="D5" s="899">
        <v>79200</v>
      </c>
    </row>
    <row r="6" spans="1:5" x14ac:dyDescent="0.25">
      <c r="A6" s="899" t="s">
        <v>7600</v>
      </c>
      <c r="B6" s="899" t="s">
        <v>140</v>
      </c>
      <c r="C6" s="899" t="s">
        <v>110</v>
      </c>
      <c r="D6" s="899">
        <v>79200</v>
      </c>
    </row>
    <row r="7" spans="1:5" x14ac:dyDescent="0.25">
      <c r="A7" s="899" t="s">
        <v>7601</v>
      </c>
      <c r="B7" s="899" t="s">
        <v>143</v>
      </c>
      <c r="C7" s="899" t="s">
        <v>110</v>
      </c>
      <c r="D7" s="899">
        <v>0</v>
      </c>
    </row>
    <row r="8" spans="1:5" x14ac:dyDescent="0.25">
      <c r="A8" s="899" t="s">
        <v>7602</v>
      </c>
      <c r="B8" s="899" t="s">
        <v>150</v>
      </c>
      <c r="C8" s="899" t="s">
        <v>110</v>
      </c>
      <c r="D8" s="899">
        <v>0</v>
      </c>
    </row>
    <row r="9" spans="1:5" x14ac:dyDescent="0.25">
      <c r="A9" s="899" t="s">
        <v>7603</v>
      </c>
      <c r="B9" s="899" t="s">
        <v>155</v>
      </c>
      <c r="C9" s="899" t="s">
        <v>110</v>
      </c>
      <c r="D9" s="899">
        <v>0</v>
      </c>
    </row>
    <row r="10" spans="1:5" x14ac:dyDescent="0.25">
      <c r="A10" s="899" t="s">
        <v>7604</v>
      </c>
      <c r="B10" s="899" t="s">
        <v>158</v>
      </c>
      <c r="C10" s="899" t="s">
        <v>110</v>
      </c>
      <c r="D10" s="899">
        <v>0</v>
      </c>
    </row>
    <row r="11" spans="1:5" x14ac:dyDescent="0.25">
      <c r="A11" s="899" t="s">
        <v>7605</v>
      </c>
      <c r="B11" s="899" t="s">
        <v>161</v>
      </c>
      <c r="C11" s="899" t="s">
        <v>110</v>
      </c>
      <c r="D11" s="899">
        <v>0</v>
      </c>
    </row>
    <row r="12" spans="1:5" x14ac:dyDescent="0.25">
      <c r="A12" s="899" t="s">
        <v>7606</v>
      </c>
      <c r="B12" s="899" t="s">
        <v>166</v>
      </c>
      <c r="C12" s="899" t="s">
        <v>110</v>
      </c>
      <c r="D12" s="899">
        <v>0</v>
      </c>
    </row>
    <row r="13" spans="1:5" x14ac:dyDescent="0.25">
      <c r="A13" s="899" t="s">
        <v>7607</v>
      </c>
      <c r="B13" s="899" t="s">
        <v>169</v>
      </c>
      <c r="C13" s="899" t="s">
        <v>110</v>
      </c>
      <c r="D13" s="899">
        <v>0</v>
      </c>
    </row>
    <row r="14" spans="1:5" x14ac:dyDescent="0.25">
      <c r="A14" s="899" t="s">
        <v>7608</v>
      </c>
      <c r="B14" s="899" t="s">
        <v>176</v>
      </c>
      <c r="C14" s="899" t="s">
        <v>110</v>
      </c>
      <c r="D14" s="899">
        <v>5790214</v>
      </c>
    </row>
    <row r="15" spans="1:5" x14ac:dyDescent="0.25">
      <c r="A15" s="899" t="s">
        <v>7609</v>
      </c>
      <c r="B15" s="899" t="s">
        <v>181</v>
      </c>
      <c r="C15" s="899" t="s">
        <v>110</v>
      </c>
      <c r="D15" s="899">
        <v>0</v>
      </c>
    </row>
    <row r="16" spans="1:5" x14ac:dyDescent="0.25">
      <c r="A16" s="899" t="s">
        <v>7610</v>
      </c>
      <c r="B16" s="899" t="s">
        <v>184</v>
      </c>
      <c r="C16" s="899" t="s">
        <v>110</v>
      </c>
      <c r="D16" s="899">
        <v>0</v>
      </c>
    </row>
    <row r="17" spans="1:4" x14ac:dyDescent="0.25">
      <c r="A17" s="899" t="s">
        <v>7611</v>
      </c>
      <c r="B17" s="899" t="s">
        <v>187</v>
      </c>
      <c r="C17" s="899" t="s">
        <v>110</v>
      </c>
      <c r="D17" s="899">
        <v>5113477</v>
      </c>
    </row>
    <row r="18" spans="1:4" x14ac:dyDescent="0.25">
      <c r="A18" s="899" t="s">
        <v>7612</v>
      </c>
      <c r="B18" s="899" t="s">
        <v>190</v>
      </c>
      <c r="C18" s="899" t="s">
        <v>110</v>
      </c>
      <c r="D18" s="899">
        <v>676737</v>
      </c>
    </row>
    <row r="19" spans="1:4" x14ac:dyDescent="0.25">
      <c r="A19" s="899" t="s">
        <v>7613</v>
      </c>
      <c r="B19" s="899" t="s">
        <v>193</v>
      </c>
      <c r="C19" s="899" t="s">
        <v>110</v>
      </c>
      <c r="D19" s="899">
        <v>5788592</v>
      </c>
    </row>
    <row r="20" spans="1:4" x14ac:dyDescent="0.25">
      <c r="A20" s="899" t="s">
        <v>7614</v>
      </c>
      <c r="B20" s="899" t="s">
        <v>198</v>
      </c>
      <c r="C20" s="899" t="s">
        <v>110</v>
      </c>
      <c r="D20" s="899">
        <v>0</v>
      </c>
    </row>
    <row r="21" spans="1:4" x14ac:dyDescent="0.25">
      <c r="A21" s="899" t="s">
        <v>7615</v>
      </c>
      <c r="B21" s="899" t="s">
        <v>201</v>
      </c>
      <c r="C21" s="899" t="s">
        <v>110</v>
      </c>
      <c r="D21" s="899">
        <v>0</v>
      </c>
    </row>
    <row r="22" spans="1:4" x14ac:dyDescent="0.25">
      <c r="A22" s="899" t="s">
        <v>7616</v>
      </c>
      <c r="B22" s="899" t="s">
        <v>204</v>
      </c>
      <c r="C22" s="899" t="s">
        <v>110</v>
      </c>
      <c r="D22" s="899">
        <v>5111855</v>
      </c>
    </row>
    <row r="23" spans="1:4" x14ac:dyDescent="0.25">
      <c r="A23" s="899" t="s">
        <v>7617</v>
      </c>
      <c r="B23" s="899" t="s">
        <v>207</v>
      </c>
      <c r="C23" s="899" t="s">
        <v>110</v>
      </c>
      <c r="D23" s="899">
        <v>676737</v>
      </c>
    </row>
    <row r="24" spans="1:4" x14ac:dyDescent="0.25">
      <c r="A24" s="899" t="s">
        <v>7618</v>
      </c>
      <c r="B24" s="899" t="s">
        <v>210</v>
      </c>
      <c r="C24" s="899" t="s">
        <v>110</v>
      </c>
      <c r="D24" s="899">
        <v>0</v>
      </c>
    </row>
    <row r="25" spans="1:4" x14ac:dyDescent="0.25">
      <c r="A25" s="899" t="s">
        <v>7619</v>
      </c>
      <c r="B25" s="899" t="s">
        <v>214</v>
      </c>
      <c r="C25" s="899" t="s">
        <v>110</v>
      </c>
      <c r="D25" s="899">
        <v>0</v>
      </c>
    </row>
    <row r="26" spans="1:4" x14ac:dyDescent="0.25">
      <c r="A26" s="899" t="s">
        <v>7620</v>
      </c>
      <c r="B26" s="899" t="s">
        <v>217</v>
      </c>
      <c r="C26" s="899" t="s">
        <v>110</v>
      </c>
      <c r="D26" s="899">
        <v>0</v>
      </c>
    </row>
    <row r="27" spans="1:4" x14ac:dyDescent="0.25">
      <c r="A27" s="899" t="s">
        <v>7621</v>
      </c>
      <c r="B27" s="899" t="s">
        <v>220</v>
      </c>
      <c r="C27" s="899" t="s">
        <v>110</v>
      </c>
      <c r="D27" s="899">
        <v>0</v>
      </c>
    </row>
    <row r="28" spans="1:4" x14ac:dyDescent="0.25">
      <c r="A28" s="899" t="s">
        <v>7622</v>
      </c>
      <c r="B28" s="899" t="s">
        <v>223</v>
      </c>
      <c r="C28" s="899" t="s">
        <v>110</v>
      </c>
      <c r="D28" s="899">
        <v>0</v>
      </c>
    </row>
    <row r="29" spans="1:4" x14ac:dyDescent="0.25">
      <c r="A29" s="899" t="s">
        <v>7623</v>
      </c>
      <c r="B29" s="899" t="s">
        <v>226</v>
      </c>
      <c r="C29" s="899" t="s">
        <v>110</v>
      </c>
      <c r="D29" s="899">
        <v>0</v>
      </c>
    </row>
    <row r="30" spans="1:4" x14ac:dyDescent="0.25">
      <c r="A30" s="899" t="s">
        <v>7624</v>
      </c>
      <c r="B30" s="899" t="s">
        <v>230</v>
      </c>
      <c r="C30" s="899" t="s">
        <v>110</v>
      </c>
      <c r="D30" s="899">
        <v>0</v>
      </c>
    </row>
    <row r="31" spans="1:4" x14ac:dyDescent="0.25">
      <c r="A31" s="899" t="s">
        <v>7625</v>
      </c>
      <c r="B31" s="899" t="s">
        <v>233</v>
      </c>
      <c r="C31" s="899" t="s">
        <v>110</v>
      </c>
      <c r="D31" s="899">
        <v>0</v>
      </c>
    </row>
    <row r="32" spans="1:4" x14ac:dyDescent="0.25">
      <c r="A32" s="899" t="s">
        <v>7626</v>
      </c>
      <c r="B32" s="899" t="s">
        <v>236</v>
      </c>
      <c r="C32" s="899" t="s">
        <v>110</v>
      </c>
      <c r="D32" s="899">
        <v>0</v>
      </c>
    </row>
    <row r="33" spans="1:4" x14ac:dyDescent="0.25">
      <c r="A33" s="899" t="s">
        <v>7627</v>
      </c>
      <c r="B33" s="899" t="s">
        <v>239</v>
      </c>
      <c r="C33" s="899" t="s">
        <v>110</v>
      </c>
      <c r="D33" s="899">
        <v>0</v>
      </c>
    </row>
    <row r="34" spans="1:4" x14ac:dyDescent="0.25">
      <c r="A34" s="899" t="s">
        <v>7628</v>
      </c>
      <c r="B34" s="899" t="s">
        <v>242</v>
      </c>
      <c r="C34" s="899" t="s">
        <v>110</v>
      </c>
      <c r="D34" s="899">
        <v>1247582</v>
      </c>
    </row>
    <row r="35" spans="1:4" x14ac:dyDescent="0.25">
      <c r="A35" s="899" t="s">
        <v>7629</v>
      </c>
      <c r="B35" s="899" t="s">
        <v>248</v>
      </c>
      <c r="C35" s="899" t="s">
        <v>110</v>
      </c>
      <c r="D35" s="899">
        <v>1247582</v>
      </c>
    </row>
    <row r="36" spans="1:4" x14ac:dyDescent="0.25">
      <c r="A36" s="899" t="s">
        <v>7630</v>
      </c>
      <c r="B36" s="899" t="s">
        <v>251</v>
      </c>
      <c r="C36" s="899" t="s">
        <v>110</v>
      </c>
      <c r="D36" s="899">
        <v>0</v>
      </c>
    </row>
    <row r="37" spans="1:4" x14ac:dyDescent="0.25">
      <c r="A37" s="899" t="s">
        <v>7631</v>
      </c>
      <c r="B37" s="899" t="s">
        <v>258</v>
      </c>
      <c r="C37" s="899" t="s">
        <v>110</v>
      </c>
      <c r="D37" s="899">
        <v>8880683</v>
      </c>
    </row>
    <row r="38" spans="1:4" x14ac:dyDescent="0.25">
      <c r="A38" s="899" t="s">
        <v>7632</v>
      </c>
      <c r="B38" s="899" t="s">
        <v>263</v>
      </c>
      <c r="C38" s="899" t="s">
        <v>110</v>
      </c>
      <c r="D38" s="899">
        <v>0</v>
      </c>
    </row>
    <row r="39" spans="1:4" x14ac:dyDescent="0.25">
      <c r="A39" s="899" t="s">
        <v>7633</v>
      </c>
      <c r="B39" s="899" t="s">
        <v>266</v>
      </c>
      <c r="C39" s="899" t="s">
        <v>110</v>
      </c>
      <c r="D39" s="899">
        <v>0</v>
      </c>
    </row>
    <row r="40" spans="1:4" x14ac:dyDescent="0.25">
      <c r="A40" s="899" t="s">
        <v>7634</v>
      </c>
      <c r="B40" s="899" t="s">
        <v>269</v>
      </c>
      <c r="C40" s="899" t="s">
        <v>110</v>
      </c>
      <c r="D40" s="899">
        <v>6481811</v>
      </c>
    </row>
    <row r="41" spans="1:4" x14ac:dyDescent="0.25">
      <c r="A41" s="899" t="s">
        <v>7635</v>
      </c>
      <c r="B41" s="899" t="s">
        <v>272</v>
      </c>
      <c r="C41" s="899" t="s">
        <v>110</v>
      </c>
      <c r="D41" s="899">
        <v>2398872</v>
      </c>
    </row>
    <row r="42" spans="1:4" x14ac:dyDescent="0.25">
      <c r="A42" s="899" t="s">
        <v>7636</v>
      </c>
      <c r="B42" s="899" t="s">
        <v>275</v>
      </c>
      <c r="C42" s="899" t="s">
        <v>110</v>
      </c>
      <c r="D42" s="899">
        <v>0</v>
      </c>
    </row>
    <row r="43" spans="1:4" x14ac:dyDescent="0.25">
      <c r="A43" s="899" t="s">
        <v>7637</v>
      </c>
      <c r="B43" s="899" t="s">
        <v>278</v>
      </c>
      <c r="C43" s="899" t="s">
        <v>110</v>
      </c>
      <c r="D43" s="899">
        <v>0</v>
      </c>
    </row>
    <row r="44" spans="1:4" x14ac:dyDescent="0.25">
      <c r="A44" s="899" t="s">
        <v>7638</v>
      </c>
      <c r="B44" s="899" t="s">
        <v>281</v>
      </c>
      <c r="C44" s="899" t="s">
        <v>110</v>
      </c>
      <c r="D44" s="899">
        <v>0</v>
      </c>
    </row>
    <row r="45" spans="1:4" x14ac:dyDescent="0.25">
      <c r="A45" s="899" t="s">
        <v>7639</v>
      </c>
      <c r="B45" s="899" t="s">
        <v>284</v>
      </c>
      <c r="C45" s="899" t="s">
        <v>110</v>
      </c>
      <c r="D45" s="899">
        <v>0</v>
      </c>
    </row>
    <row r="46" spans="1:4" x14ac:dyDescent="0.25">
      <c r="A46" s="899" t="s">
        <v>7640</v>
      </c>
      <c r="B46" s="899" t="s">
        <v>287</v>
      </c>
      <c r="C46" s="899" t="s">
        <v>110</v>
      </c>
      <c r="D46" s="899">
        <v>8623910</v>
      </c>
    </row>
    <row r="47" spans="1:4" x14ac:dyDescent="0.25">
      <c r="A47" s="899" t="s">
        <v>7641</v>
      </c>
      <c r="B47" s="899" t="s">
        <v>292</v>
      </c>
      <c r="C47" s="899" t="s">
        <v>110</v>
      </c>
      <c r="D47" s="899">
        <v>0</v>
      </c>
    </row>
    <row r="48" spans="1:4" x14ac:dyDescent="0.25">
      <c r="A48" s="899" t="s">
        <v>7642</v>
      </c>
      <c r="B48" s="899" t="s">
        <v>295</v>
      </c>
      <c r="C48" s="899" t="s">
        <v>110</v>
      </c>
      <c r="D48" s="899">
        <v>0</v>
      </c>
    </row>
    <row r="49" spans="1:4" x14ac:dyDescent="0.25">
      <c r="A49" s="899" t="s">
        <v>7643</v>
      </c>
      <c r="B49" s="899" t="s">
        <v>298</v>
      </c>
      <c r="C49" s="899" t="s">
        <v>110</v>
      </c>
      <c r="D49" s="899">
        <v>6376663</v>
      </c>
    </row>
    <row r="50" spans="1:4" x14ac:dyDescent="0.25">
      <c r="A50" s="899" t="s">
        <v>7644</v>
      </c>
      <c r="B50" s="899" t="s">
        <v>301</v>
      </c>
      <c r="C50" s="899" t="s">
        <v>110</v>
      </c>
      <c r="D50" s="899">
        <v>2247247</v>
      </c>
    </row>
    <row r="51" spans="1:4" x14ac:dyDescent="0.25">
      <c r="A51" s="899" t="s">
        <v>7645</v>
      </c>
      <c r="B51" s="899" t="s">
        <v>304</v>
      </c>
      <c r="C51" s="899" t="s">
        <v>110</v>
      </c>
      <c r="D51" s="899">
        <v>0</v>
      </c>
    </row>
    <row r="52" spans="1:4" x14ac:dyDescent="0.25">
      <c r="A52" s="899" t="s">
        <v>7646</v>
      </c>
      <c r="B52" s="899" t="s">
        <v>307</v>
      </c>
      <c r="C52" s="899" t="s">
        <v>110</v>
      </c>
      <c r="D52" s="899">
        <v>0</v>
      </c>
    </row>
    <row r="53" spans="1:4" x14ac:dyDescent="0.25">
      <c r="A53" s="899" t="s">
        <v>7647</v>
      </c>
      <c r="B53" s="899" t="s">
        <v>310</v>
      </c>
      <c r="C53" s="899" t="s">
        <v>110</v>
      </c>
      <c r="D53" s="899">
        <v>0</v>
      </c>
    </row>
    <row r="54" spans="1:4" x14ac:dyDescent="0.25">
      <c r="A54" s="899" t="s">
        <v>7648</v>
      </c>
      <c r="B54" s="899" t="s">
        <v>314</v>
      </c>
      <c r="C54" s="899" t="s">
        <v>110</v>
      </c>
      <c r="D54" s="899">
        <v>0</v>
      </c>
    </row>
    <row r="55" spans="1:4" x14ac:dyDescent="0.25">
      <c r="A55" s="899" t="s">
        <v>7649</v>
      </c>
      <c r="B55" s="899" t="s">
        <v>317</v>
      </c>
      <c r="C55" s="899" t="s">
        <v>110</v>
      </c>
      <c r="D55" s="899">
        <v>0</v>
      </c>
    </row>
    <row r="56" spans="1:4" x14ac:dyDescent="0.25">
      <c r="A56" s="899" t="s">
        <v>7650</v>
      </c>
      <c r="B56" s="899" t="s">
        <v>320</v>
      </c>
      <c r="C56" s="899" t="s">
        <v>110</v>
      </c>
      <c r="D56" s="899">
        <v>0</v>
      </c>
    </row>
    <row r="57" spans="1:4" x14ac:dyDescent="0.25">
      <c r="A57" s="899" t="s">
        <v>7651</v>
      </c>
      <c r="B57" s="899" t="s">
        <v>324</v>
      </c>
      <c r="C57" s="899" t="s">
        <v>110</v>
      </c>
      <c r="D57" s="899">
        <v>0</v>
      </c>
    </row>
    <row r="58" spans="1:4" x14ac:dyDescent="0.25">
      <c r="A58" s="899" t="s">
        <v>7652</v>
      </c>
      <c r="B58" s="899" t="s">
        <v>327</v>
      </c>
      <c r="C58" s="899" t="s">
        <v>110</v>
      </c>
      <c r="D58" s="899">
        <v>0</v>
      </c>
    </row>
    <row r="59" spans="1:4" x14ac:dyDescent="0.25">
      <c r="A59" s="899" t="s">
        <v>7653</v>
      </c>
      <c r="B59" s="899" t="s">
        <v>330</v>
      </c>
      <c r="C59" s="899" t="s">
        <v>110</v>
      </c>
      <c r="D59" s="899">
        <v>0</v>
      </c>
    </row>
    <row r="60" spans="1:4" x14ac:dyDescent="0.25">
      <c r="A60" s="899" t="s">
        <v>7654</v>
      </c>
      <c r="B60" s="899" t="s">
        <v>334</v>
      </c>
      <c r="C60" s="899" t="s">
        <v>110</v>
      </c>
      <c r="D60" s="899">
        <v>0</v>
      </c>
    </row>
    <row r="61" spans="1:4" x14ac:dyDescent="0.25">
      <c r="A61" s="899" t="s">
        <v>7655</v>
      </c>
      <c r="B61" s="899" t="s">
        <v>337</v>
      </c>
      <c r="C61" s="899" t="s">
        <v>110</v>
      </c>
      <c r="D61" s="899">
        <v>0</v>
      </c>
    </row>
    <row r="62" spans="1:4" x14ac:dyDescent="0.25">
      <c r="A62" s="899" t="s">
        <v>7656</v>
      </c>
      <c r="B62" s="899" t="s">
        <v>340</v>
      </c>
      <c r="C62" s="899" t="s">
        <v>110</v>
      </c>
      <c r="D62" s="899">
        <v>0</v>
      </c>
    </row>
    <row r="63" spans="1:4" x14ac:dyDescent="0.25">
      <c r="A63" s="899" t="s">
        <v>7657</v>
      </c>
      <c r="B63" s="899" t="s">
        <v>344</v>
      </c>
      <c r="C63" s="899" t="s">
        <v>110</v>
      </c>
      <c r="D63" s="899">
        <v>0</v>
      </c>
    </row>
    <row r="64" spans="1:4" x14ac:dyDescent="0.25">
      <c r="A64" s="899" t="s">
        <v>7658</v>
      </c>
      <c r="B64" s="899" t="s">
        <v>347</v>
      </c>
      <c r="C64" s="899" t="s">
        <v>110</v>
      </c>
      <c r="D64" s="899">
        <v>0</v>
      </c>
    </row>
    <row r="65" spans="1:4" x14ac:dyDescent="0.25">
      <c r="A65" s="899" t="s">
        <v>7659</v>
      </c>
      <c r="B65" s="899" t="s">
        <v>350</v>
      </c>
      <c r="C65" s="899" t="s">
        <v>110</v>
      </c>
      <c r="D65" s="899">
        <v>1650</v>
      </c>
    </row>
    <row r="66" spans="1:4" x14ac:dyDescent="0.25">
      <c r="A66" s="899" t="s">
        <v>7660</v>
      </c>
      <c r="B66" s="899" t="s">
        <v>354</v>
      </c>
      <c r="C66" s="899" t="s">
        <v>110</v>
      </c>
      <c r="D66" s="899">
        <v>1650</v>
      </c>
    </row>
    <row r="67" spans="1:4" x14ac:dyDescent="0.25">
      <c r="A67" s="899" t="s">
        <v>7661</v>
      </c>
      <c r="B67" s="899" t="s">
        <v>357</v>
      </c>
      <c r="C67" s="899" t="s">
        <v>110</v>
      </c>
      <c r="D67" s="899">
        <v>0</v>
      </c>
    </row>
    <row r="68" spans="1:4" x14ac:dyDescent="0.25">
      <c r="A68" s="899" t="s">
        <v>7662</v>
      </c>
      <c r="B68" s="899" t="s">
        <v>360</v>
      </c>
      <c r="C68" s="899" t="s">
        <v>110</v>
      </c>
      <c r="D68" s="899">
        <v>0</v>
      </c>
    </row>
    <row r="69" spans="1:4" x14ac:dyDescent="0.25">
      <c r="A69" s="899" t="s">
        <v>7663</v>
      </c>
      <c r="B69" s="899" t="s">
        <v>363</v>
      </c>
      <c r="C69" s="899" t="s">
        <v>110</v>
      </c>
      <c r="D69" s="899">
        <v>0</v>
      </c>
    </row>
    <row r="70" spans="1:4" x14ac:dyDescent="0.25">
      <c r="A70" s="899" t="s">
        <v>7664</v>
      </c>
      <c r="B70" s="899" t="s">
        <v>366</v>
      </c>
      <c r="C70" s="899" t="s">
        <v>110</v>
      </c>
      <c r="D70" s="899">
        <v>1650</v>
      </c>
    </row>
    <row r="71" spans="1:4" x14ac:dyDescent="0.25">
      <c r="A71" s="899" t="s">
        <v>7665</v>
      </c>
      <c r="B71" s="899" t="s">
        <v>370</v>
      </c>
      <c r="C71" s="899" t="s">
        <v>110</v>
      </c>
      <c r="D71" s="899">
        <v>1650</v>
      </c>
    </row>
    <row r="72" spans="1:4" x14ac:dyDescent="0.25">
      <c r="A72" s="899" t="s">
        <v>7666</v>
      </c>
      <c r="B72" s="899" t="s">
        <v>373</v>
      </c>
      <c r="C72" s="899" t="s">
        <v>110</v>
      </c>
      <c r="D72" s="899">
        <v>0</v>
      </c>
    </row>
    <row r="73" spans="1:4" x14ac:dyDescent="0.25">
      <c r="A73" s="899" t="s">
        <v>7667</v>
      </c>
      <c r="B73" s="899" t="s">
        <v>376</v>
      </c>
      <c r="C73" s="899" t="s">
        <v>110</v>
      </c>
      <c r="D73" s="899">
        <v>0</v>
      </c>
    </row>
    <row r="74" spans="1:4" x14ac:dyDescent="0.25">
      <c r="A74" s="899" t="s">
        <v>7668</v>
      </c>
      <c r="B74" s="899" t="s">
        <v>379</v>
      </c>
      <c r="C74" s="899" t="s">
        <v>110</v>
      </c>
      <c r="D74" s="899">
        <v>0</v>
      </c>
    </row>
    <row r="75" spans="1:4" x14ac:dyDescent="0.25">
      <c r="A75" s="899" t="s">
        <v>7669</v>
      </c>
      <c r="B75" s="899" t="s">
        <v>382</v>
      </c>
      <c r="C75" s="899" t="s">
        <v>110</v>
      </c>
      <c r="D75" s="899">
        <v>0</v>
      </c>
    </row>
    <row r="76" spans="1:4" x14ac:dyDescent="0.25">
      <c r="A76" s="899" t="s">
        <v>7670</v>
      </c>
      <c r="B76" s="899" t="s">
        <v>385</v>
      </c>
      <c r="C76" s="899" t="s">
        <v>110</v>
      </c>
      <c r="D76" s="899">
        <v>0</v>
      </c>
    </row>
    <row r="77" spans="1:4" x14ac:dyDescent="0.25">
      <c r="A77" s="899" t="s">
        <v>7671</v>
      </c>
      <c r="B77" s="899" t="s">
        <v>390</v>
      </c>
      <c r="C77" s="899" t="s">
        <v>110</v>
      </c>
      <c r="D77" s="899">
        <v>0</v>
      </c>
    </row>
    <row r="78" spans="1:4" x14ac:dyDescent="0.25">
      <c r="A78" s="899" t="s">
        <v>7672</v>
      </c>
      <c r="B78" s="899" t="s">
        <v>393</v>
      </c>
      <c r="C78" s="899" t="s">
        <v>110</v>
      </c>
      <c r="D78" s="899">
        <v>0</v>
      </c>
    </row>
    <row r="79" spans="1:4" x14ac:dyDescent="0.25">
      <c r="A79" s="899" t="s">
        <v>7673</v>
      </c>
      <c r="B79" s="899" t="s">
        <v>396</v>
      </c>
      <c r="C79" s="899" t="s">
        <v>110</v>
      </c>
      <c r="D79" s="899">
        <v>0</v>
      </c>
    </row>
    <row r="80" spans="1:4" x14ac:dyDescent="0.25">
      <c r="A80" s="899" t="s">
        <v>7674</v>
      </c>
      <c r="B80" s="899" t="s">
        <v>401</v>
      </c>
      <c r="C80" s="899" t="s">
        <v>110</v>
      </c>
      <c r="D80" s="899">
        <v>0</v>
      </c>
    </row>
    <row r="81" spans="1:4" x14ac:dyDescent="0.25">
      <c r="A81" s="899" t="s">
        <v>7675</v>
      </c>
      <c r="B81" s="899" t="s">
        <v>404</v>
      </c>
      <c r="C81" s="899" t="s">
        <v>110</v>
      </c>
      <c r="D81" s="899">
        <v>0</v>
      </c>
    </row>
    <row r="82" spans="1:4" x14ac:dyDescent="0.25">
      <c r="A82" s="899" t="s">
        <v>7676</v>
      </c>
      <c r="B82" s="899" t="s">
        <v>407</v>
      </c>
      <c r="C82" s="899" t="s">
        <v>110</v>
      </c>
      <c r="D82" s="899">
        <v>0</v>
      </c>
    </row>
    <row r="83" spans="1:4" x14ac:dyDescent="0.25">
      <c r="A83" s="899" t="s">
        <v>7677</v>
      </c>
      <c r="B83" s="899" t="s">
        <v>412</v>
      </c>
      <c r="C83" s="899" t="s">
        <v>110</v>
      </c>
      <c r="D83" s="899">
        <v>0</v>
      </c>
    </row>
    <row r="84" spans="1:4" x14ac:dyDescent="0.25">
      <c r="A84" s="899" t="s">
        <v>7678</v>
      </c>
      <c r="B84" s="899" t="s">
        <v>415</v>
      </c>
      <c r="C84" s="899" t="s">
        <v>110</v>
      </c>
      <c r="D84" s="899">
        <v>0</v>
      </c>
    </row>
    <row r="85" spans="1:4" x14ac:dyDescent="0.25">
      <c r="A85" s="899" t="s">
        <v>7679</v>
      </c>
      <c r="B85" s="899" t="s">
        <v>418</v>
      </c>
      <c r="C85" s="899" t="s">
        <v>110</v>
      </c>
      <c r="D85" s="899">
        <v>0</v>
      </c>
    </row>
    <row r="86" spans="1:4" x14ac:dyDescent="0.25">
      <c r="A86" s="899" t="s">
        <v>7680</v>
      </c>
      <c r="B86" s="899" t="s">
        <v>423</v>
      </c>
      <c r="C86" s="899" t="s">
        <v>110</v>
      </c>
      <c r="D86" s="899">
        <v>0</v>
      </c>
    </row>
    <row r="87" spans="1:4" x14ac:dyDescent="0.25">
      <c r="A87" s="899" t="s">
        <v>7681</v>
      </c>
      <c r="B87" s="899" t="s">
        <v>426</v>
      </c>
      <c r="C87" s="899" t="s">
        <v>110</v>
      </c>
      <c r="D87" s="899">
        <v>0</v>
      </c>
    </row>
    <row r="88" spans="1:4" x14ac:dyDescent="0.25">
      <c r="A88" s="899" t="s">
        <v>7682</v>
      </c>
      <c r="B88" s="899" t="s">
        <v>432</v>
      </c>
      <c r="C88" s="899" t="s">
        <v>110</v>
      </c>
      <c r="D88" s="899">
        <v>1164620</v>
      </c>
    </row>
    <row r="89" spans="1:4" x14ac:dyDescent="0.25">
      <c r="A89" s="899" t="s">
        <v>7683</v>
      </c>
      <c r="B89" s="899" t="s">
        <v>436</v>
      </c>
      <c r="C89" s="899" t="s">
        <v>110</v>
      </c>
      <c r="D89" s="899">
        <v>1164620</v>
      </c>
    </row>
    <row r="90" spans="1:4" x14ac:dyDescent="0.25">
      <c r="A90" s="899" t="s">
        <v>7684</v>
      </c>
      <c r="B90" s="899" t="s">
        <v>441</v>
      </c>
      <c r="C90" s="899" t="s">
        <v>110</v>
      </c>
      <c r="D90" s="899">
        <v>34000</v>
      </c>
    </row>
    <row r="91" spans="1:4" x14ac:dyDescent="0.25">
      <c r="A91" s="899" t="s">
        <v>7685</v>
      </c>
      <c r="B91" s="899" t="s">
        <v>444</v>
      </c>
      <c r="C91" s="899" t="s">
        <v>110</v>
      </c>
      <c r="D91" s="899">
        <v>1130620</v>
      </c>
    </row>
    <row r="92" spans="1:4" x14ac:dyDescent="0.25">
      <c r="A92" s="899" t="s">
        <v>7686</v>
      </c>
      <c r="B92" s="899" t="s">
        <v>447</v>
      </c>
      <c r="C92" s="899" t="s">
        <v>110</v>
      </c>
      <c r="D92" s="899">
        <v>0</v>
      </c>
    </row>
    <row r="93" spans="1:4" x14ac:dyDescent="0.25">
      <c r="A93" s="899" t="s">
        <v>7687</v>
      </c>
      <c r="B93" s="899" t="s">
        <v>450</v>
      </c>
      <c r="C93" s="899" t="s">
        <v>110</v>
      </c>
      <c r="D93" s="899">
        <v>0</v>
      </c>
    </row>
    <row r="94" spans="1:4" x14ac:dyDescent="0.25">
      <c r="A94" s="899" t="s">
        <v>7688</v>
      </c>
      <c r="B94" s="899" t="s">
        <v>453</v>
      </c>
      <c r="C94" s="899" t="s">
        <v>110</v>
      </c>
      <c r="D94" s="899">
        <v>0</v>
      </c>
    </row>
    <row r="95" spans="1:4" x14ac:dyDescent="0.25">
      <c r="A95" s="899" t="s">
        <v>7689</v>
      </c>
      <c r="B95" s="899" t="s">
        <v>456</v>
      </c>
      <c r="C95" s="899" t="s">
        <v>110</v>
      </c>
      <c r="D95" s="899">
        <v>0</v>
      </c>
    </row>
    <row r="96" spans="1:4" x14ac:dyDescent="0.25">
      <c r="A96" s="899" t="s">
        <v>7690</v>
      </c>
      <c r="B96" s="899" t="s">
        <v>459</v>
      </c>
      <c r="C96" s="899" t="s">
        <v>110</v>
      </c>
      <c r="D96" s="899">
        <v>0</v>
      </c>
    </row>
    <row r="97" spans="1:4" x14ac:dyDescent="0.25">
      <c r="A97" s="899" t="s">
        <v>7691</v>
      </c>
      <c r="B97" s="899" t="s">
        <v>464</v>
      </c>
      <c r="C97" s="899" t="s">
        <v>110</v>
      </c>
      <c r="D97" s="899">
        <v>0</v>
      </c>
    </row>
    <row r="98" spans="1:4" x14ac:dyDescent="0.25">
      <c r="A98" s="899" t="s">
        <v>7692</v>
      </c>
      <c r="B98" s="899" t="s">
        <v>467</v>
      </c>
      <c r="C98" s="899" t="s">
        <v>110</v>
      </c>
      <c r="D98" s="899">
        <v>0</v>
      </c>
    </row>
    <row r="99" spans="1:4" x14ac:dyDescent="0.25">
      <c r="A99" s="899" t="s">
        <v>7693</v>
      </c>
      <c r="B99" s="899" t="s">
        <v>470</v>
      </c>
      <c r="C99" s="899" t="s">
        <v>110</v>
      </c>
      <c r="D99" s="899">
        <v>0</v>
      </c>
    </row>
    <row r="100" spans="1:4" x14ac:dyDescent="0.25">
      <c r="A100" s="899" t="s">
        <v>7694</v>
      </c>
      <c r="B100" s="899" t="s">
        <v>473</v>
      </c>
      <c r="C100" s="899" t="s">
        <v>110</v>
      </c>
      <c r="D100" s="899">
        <v>0</v>
      </c>
    </row>
    <row r="101" spans="1:4" x14ac:dyDescent="0.25">
      <c r="A101" s="899" t="s">
        <v>7695</v>
      </c>
      <c r="B101" s="899" t="s">
        <v>476</v>
      </c>
      <c r="C101" s="899" t="s">
        <v>110</v>
      </c>
      <c r="D101" s="899">
        <v>0</v>
      </c>
    </row>
    <row r="102" spans="1:4" x14ac:dyDescent="0.25">
      <c r="A102" s="899" t="s">
        <v>7696</v>
      </c>
      <c r="B102" s="899" t="s">
        <v>479</v>
      </c>
      <c r="C102" s="899" t="s">
        <v>110</v>
      </c>
      <c r="D102" s="899">
        <v>0</v>
      </c>
    </row>
    <row r="103" spans="1:4" x14ac:dyDescent="0.25">
      <c r="A103" s="899" t="s">
        <v>7697</v>
      </c>
      <c r="B103" s="899" t="s">
        <v>489</v>
      </c>
      <c r="C103" s="899" t="s">
        <v>110</v>
      </c>
      <c r="D103" s="899">
        <v>6819078</v>
      </c>
    </row>
    <row r="104" spans="1:4" x14ac:dyDescent="0.25">
      <c r="A104" s="899" t="s">
        <v>7698</v>
      </c>
      <c r="B104" s="899" t="s">
        <v>494</v>
      </c>
      <c r="C104" s="899" t="s">
        <v>110</v>
      </c>
      <c r="D104" s="899">
        <v>933000</v>
      </c>
    </row>
    <row r="105" spans="1:4" x14ac:dyDescent="0.25">
      <c r="A105" s="899" t="s">
        <v>7699</v>
      </c>
      <c r="B105" s="899" t="s">
        <v>497</v>
      </c>
      <c r="C105" s="899" t="s">
        <v>110</v>
      </c>
      <c r="D105" s="899">
        <v>5886078</v>
      </c>
    </row>
    <row r="106" spans="1:4" x14ac:dyDescent="0.25">
      <c r="A106" s="899" t="s">
        <v>7700</v>
      </c>
      <c r="B106" s="899" t="s">
        <v>500</v>
      </c>
      <c r="C106" s="899" t="s">
        <v>110</v>
      </c>
      <c r="D106" s="899">
        <v>0</v>
      </c>
    </row>
    <row r="107" spans="1:4" x14ac:dyDescent="0.25">
      <c r="A107" s="899" t="s">
        <v>7701</v>
      </c>
      <c r="B107" s="899" t="s">
        <v>503</v>
      </c>
      <c r="C107" s="899" t="s">
        <v>110</v>
      </c>
      <c r="D107" s="899">
        <v>0</v>
      </c>
    </row>
    <row r="108" spans="1:4" x14ac:dyDescent="0.25">
      <c r="A108" s="899" t="s">
        <v>7702</v>
      </c>
      <c r="B108" s="899" t="s">
        <v>506</v>
      </c>
      <c r="C108" s="899" t="s">
        <v>110</v>
      </c>
      <c r="D108" s="899">
        <v>0</v>
      </c>
    </row>
    <row r="109" spans="1:4" x14ac:dyDescent="0.25">
      <c r="A109" s="899" t="s">
        <v>7703</v>
      </c>
      <c r="B109" s="899" t="s">
        <v>511</v>
      </c>
      <c r="C109" s="899" t="s">
        <v>110</v>
      </c>
      <c r="D109" s="899">
        <v>0</v>
      </c>
    </row>
    <row r="110" spans="1:4" x14ac:dyDescent="0.25">
      <c r="A110" s="899" t="s">
        <v>7704</v>
      </c>
      <c r="B110" s="899" t="s">
        <v>514</v>
      </c>
      <c r="C110" s="899" t="s">
        <v>110</v>
      </c>
      <c r="D110" s="899">
        <v>0</v>
      </c>
    </row>
    <row r="111" spans="1:4" x14ac:dyDescent="0.25">
      <c r="A111" s="899" t="s">
        <v>7705</v>
      </c>
      <c r="B111" s="899" t="s">
        <v>517</v>
      </c>
      <c r="C111" s="899" t="s">
        <v>110</v>
      </c>
      <c r="D111" s="899">
        <v>0</v>
      </c>
    </row>
    <row r="112" spans="1:4" x14ac:dyDescent="0.25">
      <c r="A112" s="899" t="s">
        <v>7706</v>
      </c>
      <c r="B112" s="899" t="s">
        <v>520</v>
      </c>
      <c r="C112" s="899" t="s">
        <v>110</v>
      </c>
      <c r="D112" s="899">
        <v>0</v>
      </c>
    </row>
    <row r="113" spans="1:4" x14ac:dyDescent="0.25">
      <c r="A113" s="899" t="s">
        <v>7707</v>
      </c>
      <c r="B113" s="899" t="s">
        <v>527</v>
      </c>
      <c r="C113" s="899" t="s">
        <v>110</v>
      </c>
      <c r="D113" s="899">
        <v>159915632</v>
      </c>
    </row>
    <row r="114" spans="1:4" x14ac:dyDescent="0.25">
      <c r="A114" s="899" t="s">
        <v>7708</v>
      </c>
      <c r="B114" s="899" t="s">
        <v>531</v>
      </c>
      <c r="C114" s="899" t="s">
        <v>110</v>
      </c>
      <c r="D114" s="899">
        <v>45034152</v>
      </c>
    </row>
    <row r="115" spans="1:4" x14ac:dyDescent="0.25">
      <c r="A115" s="899" t="s">
        <v>7709</v>
      </c>
      <c r="B115" s="899" t="s">
        <v>534</v>
      </c>
      <c r="C115" s="899" t="s">
        <v>110</v>
      </c>
      <c r="D115" s="899">
        <v>114831536</v>
      </c>
    </row>
    <row r="116" spans="1:4" x14ac:dyDescent="0.25">
      <c r="A116" s="899" t="s">
        <v>7710</v>
      </c>
      <c r="B116" s="899" t="s">
        <v>537</v>
      </c>
      <c r="C116" s="899" t="s">
        <v>110</v>
      </c>
      <c r="D116" s="899">
        <v>42406</v>
      </c>
    </row>
    <row r="117" spans="1:4" x14ac:dyDescent="0.25">
      <c r="A117" s="899" t="s">
        <v>7711</v>
      </c>
      <c r="B117" s="899" t="s">
        <v>540</v>
      </c>
      <c r="C117" s="899" t="s">
        <v>110</v>
      </c>
      <c r="D117" s="899">
        <v>7538</v>
      </c>
    </row>
    <row r="118" spans="1:4" x14ac:dyDescent="0.25">
      <c r="A118" s="899" t="s">
        <v>7712</v>
      </c>
      <c r="B118" s="899" t="s">
        <v>543</v>
      </c>
      <c r="C118" s="899" t="s">
        <v>110</v>
      </c>
      <c r="D118" s="899">
        <v>83531361</v>
      </c>
    </row>
    <row r="119" spans="1:4" x14ac:dyDescent="0.25">
      <c r="A119" s="899" t="s">
        <v>7713</v>
      </c>
      <c r="B119" s="899" t="s">
        <v>547</v>
      </c>
      <c r="C119" s="899" t="s">
        <v>110</v>
      </c>
      <c r="D119" s="899">
        <v>18880695</v>
      </c>
    </row>
    <row r="120" spans="1:4" x14ac:dyDescent="0.25">
      <c r="A120" s="899" t="s">
        <v>7714</v>
      </c>
      <c r="B120" s="899" t="s">
        <v>550</v>
      </c>
      <c r="C120" s="899" t="s">
        <v>110</v>
      </c>
      <c r="D120" s="899">
        <v>64606002</v>
      </c>
    </row>
    <row r="121" spans="1:4" x14ac:dyDescent="0.25">
      <c r="A121" s="899" t="s">
        <v>7715</v>
      </c>
      <c r="B121" s="899" t="s">
        <v>553</v>
      </c>
      <c r="C121" s="899" t="s">
        <v>110</v>
      </c>
      <c r="D121" s="899">
        <v>39638</v>
      </c>
    </row>
    <row r="122" spans="1:4" x14ac:dyDescent="0.25">
      <c r="A122" s="899" t="s">
        <v>7716</v>
      </c>
      <c r="B122" s="899" t="s">
        <v>556</v>
      </c>
      <c r="C122" s="899" t="s">
        <v>110</v>
      </c>
      <c r="D122" s="899">
        <v>5026</v>
      </c>
    </row>
    <row r="123" spans="1:4" x14ac:dyDescent="0.25">
      <c r="A123" s="899" t="s">
        <v>7717</v>
      </c>
      <c r="B123" s="899" t="s">
        <v>563</v>
      </c>
      <c r="C123" s="899" t="s">
        <v>110</v>
      </c>
      <c r="D123" s="899">
        <v>55131929</v>
      </c>
    </row>
    <row r="124" spans="1:4" x14ac:dyDescent="0.25">
      <c r="A124" s="899" t="s">
        <v>7718</v>
      </c>
      <c r="B124" s="899" t="s">
        <v>568</v>
      </c>
      <c r="C124" s="899" t="s">
        <v>110</v>
      </c>
      <c r="D124" s="899">
        <v>2474536</v>
      </c>
    </row>
    <row r="125" spans="1:4" x14ac:dyDescent="0.25">
      <c r="A125" s="899" t="s">
        <v>7719</v>
      </c>
      <c r="B125" s="899" t="s">
        <v>571</v>
      </c>
      <c r="C125" s="899" t="s">
        <v>110</v>
      </c>
      <c r="D125" s="899">
        <v>18659336</v>
      </c>
    </row>
    <row r="126" spans="1:4" x14ac:dyDescent="0.25">
      <c r="A126" s="899" t="s">
        <v>7720</v>
      </c>
      <c r="B126" s="899" t="s">
        <v>574</v>
      </c>
      <c r="C126" s="899" t="s">
        <v>110</v>
      </c>
      <c r="D126" s="899">
        <v>10101311</v>
      </c>
    </row>
    <row r="127" spans="1:4" x14ac:dyDescent="0.25">
      <c r="A127" s="899" t="s">
        <v>7721</v>
      </c>
      <c r="B127" s="899" t="s">
        <v>577</v>
      </c>
      <c r="C127" s="899" t="s">
        <v>110</v>
      </c>
      <c r="D127" s="899">
        <v>7600499</v>
      </c>
    </row>
    <row r="128" spans="1:4" x14ac:dyDescent="0.25">
      <c r="A128" s="899" t="s">
        <v>7722</v>
      </c>
      <c r="B128" s="899" t="s">
        <v>580</v>
      </c>
      <c r="C128" s="899" t="s">
        <v>110</v>
      </c>
      <c r="D128" s="899">
        <v>501864</v>
      </c>
    </row>
    <row r="129" spans="1:4" x14ac:dyDescent="0.25">
      <c r="A129" s="899" t="s">
        <v>7723</v>
      </c>
      <c r="B129" s="899" t="s">
        <v>583</v>
      </c>
      <c r="C129" s="899" t="s">
        <v>110</v>
      </c>
      <c r="D129" s="899">
        <v>64143</v>
      </c>
    </row>
    <row r="130" spans="1:4" x14ac:dyDescent="0.25">
      <c r="A130" s="899" t="s">
        <v>7724</v>
      </c>
      <c r="B130" s="899" t="s">
        <v>586</v>
      </c>
      <c r="C130" s="899" t="s">
        <v>110</v>
      </c>
      <c r="D130" s="899">
        <v>667936</v>
      </c>
    </row>
    <row r="131" spans="1:4" x14ac:dyDescent="0.25">
      <c r="A131" s="899" t="s">
        <v>7725</v>
      </c>
      <c r="B131" s="899" t="s">
        <v>589</v>
      </c>
      <c r="C131" s="899" t="s">
        <v>110</v>
      </c>
      <c r="D131" s="899">
        <v>448563</v>
      </c>
    </row>
    <row r="132" spans="1:4" x14ac:dyDescent="0.25">
      <c r="A132" s="899" t="s">
        <v>7726</v>
      </c>
      <c r="B132" s="899" t="s">
        <v>592</v>
      </c>
      <c r="C132" s="899" t="s">
        <v>110</v>
      </c>
      <c r="D132" s="899">
        <v>1150356</v>
      </c>
    </row>
    <row r="133" spans="1:4" x14ac:dyDescent="0.25">
      <c r="A133" s="899" t="s">
        <v>7727</v>
      </c>
      <c r="B133" s="899" t="s">
        <v>595</v>
      </c>
      <c r="C133" s="899" t="s">
        <v>110</v>
      </c>
      <c r="D133" s="899">
        <v>5284050</v>
      </c>
    </row>
    <row r="134" spans="1:4" x14ac:dyDescent="0.25">
      <c r="A134" s="899" t="s">
        <v>7728</v>
      </c>
      <c r="B134" s="899" t="s">
        <v>598</v>
      </c>
      <c r="C134" s="899" t="s">
        <v>110</v>
      </c>
      <c r="D134" s="899">
        <v>743073</v>
      </c>
    </row>
    <row r="135" spans="1:4" x14ac:dyDescent="0.25">
      <c r="A135" s="899" t="s">
        <v>7729</v>
      </c>
      <c r="B135" s="899" t="s">
        <v>601</v>
      </c>
      <c r="C135" s="899" t="s">
        <v>110</v>
      </c>
      <c r="D135" s="899">
        <v>25561</v>
      </c>
    </row>
    <row r="136" spans="1:4" x14ac:dyDescent="0.25">
      <c r="A136" s="899" t="s">
        <v>7730</v>
      </c>
      <c r="B136" s="899" t="s">
        <v>604</v>
      </c>
      <c r="C136" s="899" t="s">
        <v>110</v>
      </c>
      <c r="D136" s="899">
        <v>5999678</v>
      </c>
    </row>
    <row r="137" spans="1:4" x14ac:dyDescent="0.25">
      <c r="A137" s="899" t="s">
        <v>7731</v>
      </c>
      <c r="B137" s="899" t="s">
        <v>607</v>
      </c>
      <c r="C137" s="899" t="s">
        <v>110</v>
      </c>
      <c r="D137" s="899">
        <v>1411023</v>
      </c>
    </row>
    <row r="138" spans="1:4" x14ac:dyDescent="0.25">
      <c r="A138" s="899" t="s">
        <v>7732</v>
      </c>
      <c r="B138" s="899" t="s">
        <v>610</v>
      </c>
      <c r="C138" s="899" t="s">
        <v>110</v>
      </c>
      <c r="D138" s="899">
        <v>45515589</v>
      </c>
    </row>
    <row r="139" spans="1:4" x14ac:dyDescent="0.25">
      <c r="A139" s="899" t="s">
        <v>7733</v>
      </c>
      <c r="B139" s="899" t="s">
        <v>615</v>
      </c>
      <c r="C139" s="899" t="s">
        <v>110</v>
      </c>
      <c r="D139" s="899">
        <v>1811019</v>
      </c>
    </row>
    <row r="140" spans="1:4" x14ac:dyDescent="0.25">
      <c r="A140" s="899" t="s">
        <v>7734</v>
      </c>
      <c r="B140" s="899" t="s">
        <v>618</v>
      </c>
      <c r="C140" s="899" t="s">
        <v>110</v>
      </c>
      <c r="D140" s="899">
        <v>14726759</v>
      </c>
    </row>
    <row r="141" spans="1:4" x14ac:dyDescent="0.25">
      <c r="A141" s="899" t="s">
        <v>7735</v>
      </c>
      <c r="B141" s="899" t="s">
        <v>621</v>
      </c>
      <c r="C141" s="899" t="s">
        <v>110</v>
      </c>
      <c r="D141" s="899">
        <v>9410392</v>
      </c>
    </row>
    <row r="142" spans="1:4" x14ac:dyDescent="0.25">
      <c r="A142" s="899" t="s">
        <v>7736</v>
      </c>
      <c r="B142" s="899" t="s">
        <v>624</v>
      </c>
      <c r="C142" s="899" t="s">
        <v>110</v>
      </c>
      <c r="D142" s="899">
        <v>6231609</v>
      </c>
    </row>
    <row r="143" spans="1:4" x14ac:dyDescent="0.25">
      <c r="A143" s="899" t="s">
        <v>7737</v>
      </c>
      <c r="B143" s="899" t="s">
        <v>627</v>
      </c>
      <c r="C143" s="899" t="s">
        <v>110</v>
      </c>
      <c r="D143" s="899">
        <v>496938</v>
      </c>
    </row>
    <row r="144" spans="1:4" x14ac:dyDescent="0.25">
      <c r="A144" s="899" t="s">
        <v>7738</v>
      </c>
      <c r="B144" s="899" t="s">
        <v>630</v>
      </c>
      <c r="C144" s="899" t="s">
        <v>110</v>
      </c>
      <c r="D144" s="899">
        <v>41026</v>
      </c>
    </row>
    <row r="145" spans="1:4" x14ac:dyDescent="0.25">
      <c r="A145" s="899" t="s">
        <v>7739</v>
      </c>
      <c r="B145" s="899" t="s">
        <v>633</v>
      </c>
      <c r="C145" s="899" t="s">
        <v>110</v>
      </c>
      <c r="D145" s="899">
        <v>667438</v>
      </c>
    </row>
    <row r="146" spans="1:4" x14ac:dyDescent="0.25">
      <c r="A146" s="899" t="s">
        <v>7740</v>
      </c>
      <c r="B146" s="899" t="s">
        <v>636</v>
      </c>
      <c r="C146" s="899" t="s">
        <v>110</v>
      </c>
      <c r="D146" s="899">
        <v>126115</v>
      </c>
    </row>
    <row r="147" spans="1:4" x14ac:dyDescent="0.25">
      <c r="A147" s="899" t="s">
        <v>7741</v>
      </c>
      <c r="B147" s="899" t="s">
        <v>639</v>
      </c>
      <c r="C147" s="899" t="s">
        <v>110</v>
      </c>
      <c r="D147" s="899">
        <v>1125180</v>
      </c>
    </row>
    <row r="148" spans="1:4" x14ac:dyDescent="0.25">
      <c r="A148" s="899" t="s">
        <v>7742</v>
      </c>
      <c r="B148" s="899" t="s">
        <v>642</v>
      </c>
      <c r="C148" s="899" t="s">
        <v>110</v>
      </c>
      <c r="D148" s="899">
        <v>3528624</v>
      </c>
    </row>
    <row r="149" spans="1:4" x14ac:dyDescent="0.25">
      <c r="A149" s="899" t="s">
        <v>7743</v>
      </c>
      <c r="B149" s="899" t="s">
        <v>645</v>
      </c>
      <c r="C149" s="899" t="s">
        <v>110</v>
      </c>
      <c r="D149" s="899">
        <v>743073</v>
      </c>
    </row>
    <row r="150" spans="1:4" x14ac:dyDescent="0.25">
      <c r="A150" s="899" t="s">
        <v>7744</v>
      </c>
      <c r="B150" s="899" t="s">
        <v>648</v>
      </c>
      <c r="C150" s="899" t="s">
        <v>110</v>
      </c>
      <c r="D150" s="899">
        <v>20080</v>
      </c>
    </row>
    <row r="151" spans="1:4" x14ac:dyDescent="0.25">
      <c r="A151" s="899" t="s">
        <v>7745</v>
      </c>
      <c r="B151" s="899" t="s">
        <v>651</v>
      </c>
      <c r="C151" s="899" t="s">
        <v>110</v>
      </c>
      <c r="D151" s="899">
        <v>5395184</v>
      </c>
    </row>
    <row r="152" spans="1:4" x14ac:dyDescent="0.25">
      <c r="A152" s="899" t="s">
        <v>7746</v>
      </c>
      <c r="B152" s="899" t="s">
        <v>654</v>
      </c>
      <c r="C152" s="899" t="s">
        <v>110</v>
      </c>
      <c r="D152" s="899">
        <v>1192152</v>
      </c>
    </row>
    <row r="153" spans="1:4" x14ac:dyDescent="0.25">
      <c r="A153" s="899" t="s">
        <v>7747</v>
      </c>
      <c r="B153" s="899" t="s">
        <v>661</v>
      </c>
      <c r="C153" s="899" t="s">
        <v>110</v>
      </c>
      <c r="D153" s="899">
        <v>67255470</v>
      </c>
    </row>
    <row r="154" spans="1:4" x14ac:dyDescent="0.25">
      <c r="A154" s="899" t="s">
        <v>7748</v>
      </c>
      <c r="B154" s="899" t="s">
        <v>666</v>
      </c>
      <c r="C154" s="899" t="s">
        <v>110</v>
      </c>
      <c r="D154" s="899">
        <v>33377126</v>
      </c>
    </row>
    <row r="155" spans="1:4" x14ac:dyDescent="0.25">
      <c r="A155" s="899" t="s">
        <v>7749</v>
      </c>
      <c r="B155" s="899" t="s">
        <v>669</v>
      </c>
      <c r="C155" s="899" t="s">
        <v>110</v>
      </c>
      <c r="D155" s="899">
        <v>24461079</v>
      </c>
    </row>
    <row r="156" spans="1:4" x14ac:dyDescent="0.25">
      <c r="A156" s="899" t="s">
        <v>7750</v>
      </c>
      <c r="B156" s="899" t="s">
        <v>672</v>
      </c>
      <c r="C156" s="899" t="s">
        <v>110</v>
      </c>
      <c r="D156" s="899">
        <v>2674889</v>
      </c>
    </row>
    <row r="157" spans="1:4" x14ac:dyDescent="0.25">
      <c r="A157" s="899" t="s">
        <v>7751</v>
      </c>
      <c r="B157" s="899" t="s">
        <v>675</v>
      </c>
      <c r="C157" s="899" t="s">
        <v>110</v>
      </c>
      <c r="D157" s="899">
        <v>6742376</v>
      </c>
    </row>
    <row r="158" spans="1:4" x14ac:dyDescent="0.25">
      <c r="A158" s="899" t="s">
        <v>7752</v>
      </c>
      <c r="B158" s="899" t="s">
        <v>678</v>
      </c>
      <c r="C158" s="899" t="s">
        <v>110</v>
      </c>
      <c r="D158" s="899">
        <v>0</v>
      </c>
    </row>
    <row r="159" spans="1:4" x14ac:dyDescent="0.25">
      <c r="A159" s="899" t="s">
        <v>7753</v>
      </c>
      <c r="B159" s="899" t="s">
        <v>681</v>
      </c>
      <c r="C159" s="899" t="s">
        <v>110</v>
      </c>
      <c r="D159" s="899">
        <v>0</v>
      </c>
    </row>
    <row r="160" spans="1:4" x14ac:dyDescent="0.25">
      <c r="A160" s="899" t="s">
        <v>7754</v>
      </c>
      <c r="B160" s="899" t="s">
        <v>684</v>
      </c>
      <c r="C160" s="899" t="s">
        <v>110</v>
      </c>
      <c r="D160" s="899">
        <v>62920922</v>
      </c>
    </row>
    <row r="161" spans="1:4" x14ac:dyDescent="0.25">
      <c r="A161" s="899" t="s">
        <v>7755</v>
      </c>
      <c r="B161" s="899" t="s">
        <v>689</v>
      </c>
      <c r="C161" s="899" t="s">
        <v>110</v>
      </c>
      <c r="D161" s="899">
        <v>33346816</v>
      </c>
    </row>
    <row r="162" spans="1:4" x14ac:dyDescent="0.25">
      <c r="A162" s="899" t="s">
        <v>7756</v>
      </c>
      <c r="B162" s="899" t="s">
        <v>692</v>
      </c>
      <c r="C162" s="899" t="s">
        <v>110</v>
      </c>
      <c r="D162" s="899">
        <v>22401589</v>
      </c>
    </row>
    <row r="163" spans="1:4" x14ac:dyDescent="0.25">
      <c r="A163" s="899" t="s">
        <v>7757</v>
      </c>
      <c r="B163" s="899" t="s">
        <v>695</v>
      </c>
      <c r="C163" s="899" t="s">
        <v>110</v>
      </c>
      <c r="D163" s="899">
        <v>2674889</v>
      </c>
    </row>
    <row r="164" spans="1:4" x14ac:dyDescent="0.25">
      <c r="A164" s="899" t="s">
        <v>7758</v>
      </c>
      <c r="B164" s="899" t="s">
        <v>698</v>
      </c>
      <c r="C164" s="899" t="s">
        <v>110</v>
      </c>
      <c r="D164" s="899">
        <v>4497628</v>
      </c>
    </row>
    <row r="165" spans="1:4" x14ac:dyDescent="0.25">
      <c r="A165" s="899" t="s">
        <v>7759</v>
      </c>
      <c r="B165" s="899" t="s">
        <v>701</v>
      </c>
      <c r="C165" s="899" t="s">
        <v>110</v>
      </c>
      <c r="D165" s="899">
        <v>0</v>
      </c>
    </row>
    <row r="166" spans="1:4" x14ac:dyDescent="0.25">
      <c r="A166" s="899" t="s">
        <v>7760</v>
      </c>
      <c r="B166" s="899" t="s">
        <v>704</v>
      </c>
      <c r="C166" s="899" t="s">
        <v>110</v>
      </c>
      <c r="D166" s="899">
        <v>0</v>
      </c>
    </row>
    <row r="167" spans="1:4" x14ac:dyDescent="0.25">
      <c r="A167" s="899" t="s">
        <v>7761</v>
      </c>
      <c r="B167" s="899" t="s">
        <v>711</v>
      </c>
      <c r="C167" s="899" t="s">
        <v>110</v>
      </c>
      <c r="D167" s="899">
        <v>7528290</v>
      </c>
    </row>
    <row r="168" spans="1:4" x14ac:dyDescent="0.25">
      <c r="A168" s="899" t="s">
        <v>7762</v>
      </c>
      <c r="B168" s="899" t="s">
        <v>716</v>
      </c>
      <c r="C168" s="899" t="s">
        <v>110</v>
      </c>
      <c r="D168" s="899">
        <v>921601</v>
      </c>
    </row>
    <row r="169" spans="1:4" x14ac:dyDescent="0.25">
      <c r="A169" s="899" t="s">
        <v>7763</v>
      </c>
      <c r="B169" s="899" t="s">
        <v>719</v>
      </c>
      <c r="C169" s="899" t="s">
        <v>110</v>
      </c>
      <c r="D169" s="899">
        <v>943726</v>
      </c>
    </row>
    <row r="170" spans="1:4" x14ac:dyDescent="0.25">
      <c r="A170" s="899" t="s">
        <v>7764</v>
      </c>
      <c r="B170" s="899" t="s">
        <v>722</v>
      </c>
      <c r="C170" s="899" t="s">
        <v>110</v>
      </c>
      <c r="D170" s="899">
        <v>0</v>
      </c>
    </row>
    <row r="171" spans="1:4" x14ac:dyDescent="0.25">
      <c r="A171" s="899" t="s">
        <v>7765</v>
      </c>
      <c r="B171" s="899" t="s">
        <v>725</v>
      </c>
      <c r="C171" s="899" t="s">
        <v>110</v>
      </c>
      <c r="D171" s="899">
        <v>0</v>
      </c>
    </row>
    <row r="172" spans="1:4" x14ac:dyDescent="0.25">
      <c r="A172" s="899" t="s">
        <v>7766</v>
      </c>
      <c r="B172" s="899" t="s">
        <v>728</v>
      </c>
      <c r="C172" s="899" t="s">
        <v>110</v>
      </c>
      <c r="D172" s="899">
        <v>3720010</v>
      </c>
    </row>
    <row r="173" spans="1:4" x14ac:dyDescent="0.25">
      <c r="A173" s="899" t="s">
        <v>7767</v>
      </c>
      <c r="B173" s="899" t="s">
        <v>731</v>
      </c>
      <c r="C173" s="899" t="s">
        <v>110</v>
      </c>
      <c r="D173" s="899">
        <v>1942953</v>
      </c>
    </row>
    <row r="174" spans="1:4" x14ac:dyDescent="0.25">
      <c r="A174" s="899" t="s">
        <v>7768</v>
      </c>
      <c r="B174" s="899" t="s">
        <v>734</v>
      </c>
      <c r="C174" s="899" t="s">
        <v>110</v>
      </c>
      <c r="D174" s="899">
        <v>0</v>
      </c>
    </row>
    <row r="175" spans="1:4" x14ac:dyDescent="0.25">
      <c r="A175" s="899" t="s">
        <v>7769</v>
      </c>
      <c r="B175" s="899" t="s">
        <v>737</v>
      </c>
      <c r="C175" s="899" t="s">
        <v>110</v>
      </c>
      <c r="D175" s="899">
        <v>0</v>
      </c>
    </row>
    <row r="176" spans="1:4" x14ac:dyDescent="0.25">
      <c r="A176" s="899" t="s">
        <v>7770</v>
      </c>
      <c r="B176" s="899" t="s">
        <v>740</v>
      </c>
      <c r="C176" s="899" t="s">
        <v>110</v>
      </c>
      <c r="D176" s="899">
        <v>7035253</v>
      </c>
    </row>
    <row r="177" spans="1:4" x14ac:dyDescent="0.25">
      <c r="A177" s="899" t="s">
        <v>7771</v>
      </c>
      <c r="B177" s="899" t="s">
        <v>745</v>
      </c>
      <c r="C177" s="899" t="s">
        <v>110</v>
      </c>
      <c r="D177" s="899">
        <v>920308</v>
      </c>
    </row>
    <row r="178" spans="1:4" x14ac:dyDescent="0.25">
      <c r="A178" s="899" t="s">
        <v>7772</v>
      </c>
      <c r="B178" s="899" t="s">
        <v>748</v>
      </c>
      <c r="C178" s="899" t="s">
        <v>110</v>
      </c>
      <c r="D178" s="899">
        <v>893265</v>
      </c>
    </row>
    <row r="179" spans="1:4" x14ac:dyDescent="0.25">
      <c r="A179" s="899" t="s">
        <v>7773</v>
      </c>
      <c r="B179" s="899" t="s">
        <v>751</v>
      </c>
      <c r="C179" s="899" t="s">
        <v>110</v>
      </c>
      <c r="D179" s="899">
        <v>0</v>
      </c>
    </row>
    <row r="180" spans="1:4" x14ac:dyDescent="0.25">
      <c r="A180" s="899" t="s">
        <v>7774</v>
      </c>
      <c r="B180" s="899" t="s">
        <v>754</v>
      </c>
      <c r="C180" s="899" t="s">
        <v>110</v>
      </c>
      <c r="D180" s="899">
        <v>0</v>
      </c>
    </row>
    <row r="181" spans="1:4" x14ac:dyDescent="0.25">
      <c r="A181" s="899" t="s">
        <v>7775</v>
      </c>
      <c r="B181" s="899" t="s">
        <v>757</v>
      </c>
      <c r="C181" s="899" t="s">
        <v>110</v>
      </c>
      <c r="D181" s="899">
        <v>3506404</v>
      </c>
    </row>
    <row r="182" spans="1:4" x14ac:dyDescent="0.25">
      <c r="A182" s="899" t="s">
        <v>7776</v>
      </c>
      <c r="B182" s="899" t="s">
        <v>760</v>
      </c>
      <c r="C182" s="899" t="s">
        <v>110</v>
      </c>
      <c r="D182" s="899">
        <v>1715276</v>
      </c>
    </row>
    <row r="183" spans="1:4" x14ac:dyDescent="0.25">
      <c r="A183" s="899" t="s">
        <v>7777</v>
      </c>
      <c r="B183" s="899" t="s">
        <v>763</v>
      </c>
      <c r="C183" s="899" t="s">
        <v>110</v>
      </c>
      <c r="D183" s="899">
        <v>0</v>
      </c>
    </row>
    <row r="184" spans="1:4" x14ac:dyDescent="0.25">
      <c r="A184" s="899" t="s">
        <v>7778</v>
      </c>
      <c r="B184" s="899" t="s">
        <v>766</v>
      </c>
      <c r="C184" s="899" t="s">
        <v>110</v>
      </c>
      <c r="D184" s="899">
        <v>0</v>
      </c>
    </row>
    <row r="185" spans="1:4" x14ac:dyDescent="0.25">
      <c r="A185" s="899" t="s">
        <v>7779</v>
      </c>
      <c r="B185" s="899" t="s">
        <v>773</v>
      </c>
      <c r="C185" s="899" t="s">
        <v>110</v>
      </c>
      <c r="D185" s="899">
        <v>930515</v>
      </c>
    </row>
    <row r="186" spans="1:4" x14ac:dyDescent="0.25">
      <c r="A186" s="899" t="s">
        <v>7780</v>
      </c>
      <c r="B186" s="899" t="s">
        <v>778</v>
      </c>
      <c r="C186" s="899" t="s">
        <v>110</v>
      </c>
      <c r="D186" s="899">
        <v>383068</v>
      </c>
    </row>
    <row r="187" spans="1:4" x14ac:dyDescent="0.25">
      <c r="A187" s="899" t="s">
        <v>7781</v>
      </c>
      <c r="B187" s="899" t="s">
        <v>781</v>
      </c>
      <c r="C187" s="899" t="s">
        <v>110</v>
      </c>
      <c r="D187" s="899">
        <v>41775</v>
      </c>
    </row>
    <row r="188" spans="1:4" x14ac:dyDescent="0.25">
      <c r="A188" s="899" t="s">
        <v>7782</v>
      </c>
      <c r="B188" s="899" t="s">
        <v>784</v>
      </c>
      <c r="C188" s="899" t="s">
        <v>110</v>
      </c>
      <c r="D188" s="899">
        <v>211253</v>
      </c>
    </row>
    <row r="189" spans="1:4" x14ac:dyDescent="0.25">
      <c r="A189" s="899" t="s">
        <v>7783</v>
      </c>
      <c r="B189" s="899" t="s">
        <v>787</v>
      </c>
      <c r="C189" s="899" t="s">
        <v>110</v>
      </c>
      <c r="D189" s="899">
        <v>155704</v>
      </c>
    </row>
    <row r="190" spans="1:4" x14ac:dyDescent="0.25">
      <c r="A190" s="899" t="s">
        <v>7784</v>
      </c>
      <c r="B190" s="899" t="s">
        <v>790</v>
      </c>
      <c r="C190" s="899" t="s">
        <v>110</v>
      </c>
      <c r="D190" s="899">
        <v>0</v>
      </c>
    </row>
    <row r="191" spans="1:4" x14ac:dyDescent="0.25">
      <c r="A191" s="899" t="s">
        <v>7785</v>
      </c>
      <c r="B191" s="899" t="s">
        <v>793</v>
      </c>
      <c r="C191" s="899" t="s">
        <v>110</v>
      </c>
      <c r="D191" s="899">
        <v>0</v>
      </c>
    </row>
    <row r="192" spans="1:4" x14ac:dyDescent="0.25">
      <c r="A192" s="899" t="s">
        <v>7786</v>
      </c>
      <c r="B192" s="899" t="s">
        <v>796</v>
      </c>
      <c r="C192" s="899" t="s">
        <v>110</v>
      </c>
      <c r="D192" s="899">
        <v>40594</v>
      </c>
    </row>
    <row r="193" spans="1:4" x14ac:dyDescent="0.25">
      <c r="A193" s="899" t="s">
        <v>7787</v>
      </c>
      <c r="B193" s="899" t="s">
        <v>799</v>
      </c>
      <c r="C193" s="899" t="s">
        <v>110</v>
      </c>
      <c r="D193" s="899">
        <v>98121</v>
      </c>
    </row>
    <row r="194" spans="1:4" x14ac:dyDescent="0.25">
      <c r="A194" s="899" t="s">
        <v>7788</v>
      </c>
      <c r="B194" s="899" t="s">
        <v>802</v>
      </c>
      <c r="C194" s="899" t="s">
        <v>110</v>
      </c>
      <c r="D194" s="899">
        <v>0</v>
      </c>
    </row>
    <row r="195" spans="1:4" x14ac:dyDescent="0.25">
      <c r="A195" s="899" t="s">
        <v>7789</v>
      </c>
      <c r="B195" s="899" t="s">
        <v>805</v>
      </c>
      <c r="C195" s="899" t="s">
        <v>110</v>
      </c>
      <c r="D195" s="899">
        <v>0</v>
      </c>
    </row>
    <row r="196" spans="1:4" x14ac:dyDescent="0.25">
      <c r="A196" s="899" t="s">
        <v>7790</v>
      </c>
      <c r="B196" s="899" t="s">
        <v>808</v>
      </c>
      <c r="C196" s="899" t="s">
        <v>110</v>
      </c>
      <c r="D196" s="899">
        <v>930515</v>
      </c>
    </row>
    <row r="197" spans="1:4" x14ac:dyDescent="0.25">
      <c r="A197" s="899" t="s">
        <v>7791</v>
      </c>
      <c r="B197" s="899" t="s">
        <v>813</v>
      </c>
      <c r="C197" s="899" t="s">
        <v>110</v>
      </c>
      <c r="D197" s="899">
        <v>383068</v>
      </c>
    </row>
    <row r="198" spans="1:4" x14ac:dyDescent="0.25">
      <c r="A198" s="899" t="s">
        <v>7792</v>
      </c>
      <c r="B198" s="899" t="s">
        <v>816</v>
      </c>
      <c r="C198" s="899" t="s">
        <v>110</v>
      </c>
      <c r="D198" s="899">
        <v>41775</v>
      </c>
    </row>
    <row r="199" spans="1:4" x14ac:dyDescent="0.25">
      <c r="A199" s="899" t="s">
        <v>7793</v>
      </c>
      <c r="B199" s="899" t="s">
        <v>819</v>
      </c>
      <c r="C199" s="899" t="s">
        <v>110</v>
      </c>
      <c r="D199" s="899">
        <v>232253</v>
      </c>
    </row>
    <row r="200" spans="1:4" x14ac:dyDescent="0.25">
      <c r="A200" s="899" t="s">
        <v>7794</v>
      </c>
      <c r="B200" s="899" t="s">
        <v>822</v>
      </c>
      <c r="C200" s="899" t="s">
        <v>110</v>
      </c>
      <c r="D200" s="899">
        <v>134704</v>
      </c>
    </row>
    <row r="201" spans="1:4" x14ac:dyDescent="0.25">
      <c r="A201" s="899" t="s">
        <v>7795</v>
      </c>
      <c r="B201" s="899" t="s">
        <v>825</v>
      </c>
      <c r="C201" s="899" t="s">
        <v>110</v>
      </c>
      <c r="D201" s="899">
        <v>0</v>
      </c>
    </row>
    <row r="202" spans="1:4" x14ac:dyDescent="0.25">
      <c r="A202" s="899" t="s">
        <v>7796</v>
      </c>
      <c r="B202" s="899" t="s">
        <v>828</v>
      </c>
      <c r="C202" s="899" t="s">
        <v>110</v>
      </c>
      <c r="D202" s="899">
        <v>0</v>
      </c>
    </row>
    <row r="203" spans="1:4" x14ac:dyDescent="0.25">
      <c r="A203" s="899" t="s">
        <v>7797</v>
      </c>
      <c r="B203" s="899" t="s">
        <v>831</v>
      </c>
      <c r="C203" s="899" t="s">
        <v>110</v>
      </c>
      <c r="D203" s="899">
        <v>40594</v>
      </c>
    </row>
    <row r="204" spans="1:4" x14ac:dyDescent="0.25">
      <c r="A204" s="899" t="s">
        <v>7798</v>
      </c>
      <c r="B204" s="899" t="s">
        <v>834</v>
      </c>
      <c r="C204" s="899" t="s">
        <v>110</v>
      </c>
      <c r="D204" s="899">
        <v>98121</v>
      </c>
    </row>
    <row r="205" spans="1:4" x14ac:dyDescent="0.25">
      <c r="A205" s="899" t="s">
        <v>7799</v>
      </c>
      <c r="B205" s="899" t="s">
        <v>837</v>
      </c>
      <c r="C205" s="899" t="s">
        <v>110</v>
      </c>
      <c r="D205" s="899">
        <v>0</v>
      </c>
    </row>
    <row r="206" spans="1:4" x14ac:dyDescent="0.25">
      <c r="A206" s="899" t="s">
        <v>7800</v>
      </c>
      <c r="B206" s="899" t="s">
        <v>840</v>
      </c>
      <c r="C206" s="899" t="s">
        <v>110</v>
      </c>
      <c r="D206" s="899">
        <v>0</v>
      </c>
    </row>
    <row r="207" spans="1:4" x14ac:dyDescent="0.25">
      <c r="A207" s="899" t="s">
        <v>7801</v>
      </c>
      <c r="B207" s="899" t="s">
        <v>843</v>
      </c>
      <c r="C207" s="899" t="s">
        <v>110</v>
      </c>
      <c r="D207" s="899">
        <v>24416</v>
      </c>
    </row>
    <row r="208" spans="1:4" x14ac:dyDescent="0.25">
      <c r="A208" s="899" t="s">
        <v>7802</v>
      </c>
      <c r="B208" s="899" t="s">
        <v>848</v>
      </c>
      <c r="C208" s="899" t="s">
        <v>110</v>
      </c>
      <c r="D208" s="899">
        <v>24416</v>
      </c>
    </row>
    <row r="209" spans="1:4" x14ac:dyDescent="0.25">
      <c r="A209" s="899" t="s">
        <v>7803</v>
      </c>
      <c r="B209" s="899" t="s">
        <v>852</v>
      </c>
      <c r="C209" s="899" t="s">
        <v>110</v>
      </c>
      <c r="D209" s="899">
        <v>24416</v>
      </c>
    </row>
    <row r="210" spans="1:4" x14ac:dyDescent="0.25">
      <c r="A210" s="899" t="s">
        <v>7804</v>
      </c>
      <c r="B210" s="899" t="s">
        <v>859</v>
      </c>
      <c r="C210" s="899" t="s">
        <v>110</v>
      </c>
      <c r="D210" s="899">
        <v>9248959</v>
      </c>
    </row>
    <row r="211" spans="1:4" x14ac:dyDescent="0.25">
      <c r="A211" s="899" t="s">
        <v>7805</v>
      </c>
      <c r="B211" s="899" t="s">
        <v>864</v>
      </c>
      <c r="C211" s="899" t="s">
        <v>110</v>
      </c>
      <c r="D211" s="899">
        <v>3718073</v>
      </c>
    </row>
    <row r="212" spans="1:4" x14ac:dyDescent="0.25">
      <c r="A212" s="899" t="s">
        <v>7806</v>
      </c>
      <c r="B212" s="899" t="s">
        <v>867</v>
      </c>
      <c r="C212" s="899" t="s">
        <v>110</v>
      </c>
      <c r="D212" s="899">
        <v>1960350</v>
      </c>
    </row>
    <row r="213" spans="1:4" x14ac:dyDescent="0.25">
      <c r="A213" s="899" t="s">
        <v>7807</v>
      </c>
      <c r="B213" s="899" t="s">
        <v>870</v>
      </c>
      <c r="C213" s="899" t="s">
        <v>110</v>
      </c>
      <c r="D213" s="899">
        <v>154100</v>
      </c>
    </row>
    <row r="214" spans="1:4" x14ac:dyDescent="0.25">
      <c r="A214" s="899" t="s">
        <v>7808</v>
      </c>
      <c r="B214" s="899" t="s">
        <v>873</v>
      </c>
      <c r="C214" s="899" t="s">
        <v>110</v>
      </c>
      <c r="D214" s="899">
        <v>155341</v>
      </c>
    </row>
    <row r="215" spans="1:4" x14ac:dyDescent="0.25">
      <c r="A215" s="899" t="s">
        <v>7809</v>
      </c>
      <c r="B215" s="899" t="s">
        <v>876</v>
      </c>
      <c r="C215" s="899" t="s">
        <v>110</v>
      </c>
      <c r="D215" s="899">
        <v>0</v>
      </c>
    </row>
    <row r="216" spans="1:4" x14ac:dyDescent="0.25">
      <c r="A216" s="899" t="s">
        <v>7810</v>
      </c>
      <c r="B216" s="899" t="s">
        <v>879</v>
      </c>
      <c r="C216" s="899" t="s">
        <v>110</v>
      </c>
      <c r="D216" s="899">
        <v>0</v>
      </c>
    </row>
    <row r="217" spans="1:4" x14ac:dyDescent="0.25">
      <c r="A217" s="899" t="s">
        <v>7811</v>
      </c>
      <c r="B217" s="899" t="s">
        <v>882</v>
      </c>
      <c r="C217" s="899" t="s">
        <v>110</v>
      </c>
      <c r="D217" s="899">
        <v>0</v>
      </c>
    </row>
    <row r="218" spans="1:4" x14ac:dyDescent="0.25">
      <c r="A218" s="899" t="s">
        <v>7812</v>
      </c>
      <c r="B218" s="899" t="s">
        <v>885</v>
      </c>
      <c r="C218" s="899" t="s">
        <v>110</v>
      </c>
      <c r="D218" s="899">
        <v>0</v>
      </c>
    </row>
    <row r="219" spans="1:4" x14ac:dyDescent="0.25">
      <c r="A219" s="899" t="s">
        <v>7813</v>
      </c>
      <c r="B219" s="899" t="s">
        <v>888</v>
      </c>
      <c r="C219" s="899" t="s">
        <v>110</v>
      </c>
      <c r="D219" s="899">
        <v>143489</v>
      </c>
    </row>
    <row r="220" spans="1:4" x14ac:dyDescent="0.25">
      <c r="A220" s="899" t="s">
        <v>7814</v>
      </c>
      <c r="B220" s="899" t="s">
        <v>891</v>
      </c>
      <c r="C220" s="899" t="s">
        <v>110</v>
      </c>
      <c r="D220" s="899">
        <v>16103</v>
      </c>
    </row>
    <row r="221" spans="1:4" x14ac:dyDescent="0.25">
      <c r="A221" s="899" t="s">
        <v>7815</v>
      </c>
      <c r="B221" s="899" t="s">
        <v>894</v>
      </c>
      <c r="C221" s="899" t="s">
        <v>110</v>
      </c>
      <c r="D221" s="899">
        <v>1529613</v>
      </c>
    </row>
    <row r="222" spans="1:4" x14ac:dyDescent="0.25">
      <c r="A222" s="899" t="s">
        <v>7816</v>
      </c>
      <c r="B222" s="899" t="s">
        <v>897</v>
      </c>
      <c r="C222" s="899" t="s">
        <v>110</v>
      </c>
      <c r="D222" s="899">
        <v>1571890</v>
      </c>
    </row>
    <row r="223" spans="1:4" x14ac:dyDescent="0.25">
      <c r="A223" s="899" t="s">
        <v>7817</v>
      </c>
      <c r="B223" s="899" t="s">
        <v>900</v>
      </c>
      <c r="C223" s="899" t="s">
        <v>110</v>
      </c>
      <c r="D223" s="899">
        <v>8638718</v>
      </c>
    </row>
    <row r="224" spans="1:4" x14ac:dyDescent="0.25">
      <c r="A224" s="899" t="s">
        <v>7818</v>
      </c>
      <c r="B224" s="899" t="s">
        <v>905</v>
      </c>
      <c r="C224" s="899" t="s">
        <v>110</v>
      </c>
      <c r="D224" s="899">
        <v>3717696</v>
      </c>
    </row>
    <row r="225" spans="1:4" x14ac:dyDescent="0.25">
      <c r="A225" s="899" t="s">
        <v>7819</v>
      </c>
      <c r="B225" s="899" t="s">
        <v>908</v>
      </c>
      <c r="C225" s="899" t="s">
        <v>110</v>
      </c>
      <c r="D225" s="899">
        <v>1934341</v>
      </c>
    </row>
    <row r="226" spans="1:4" x14ac:dyDescent="0.25">
      <c r="A226" s="899" t="s">
        <v>7820</v>
      </c>
      <c r="B226" s="899" t="s">
        <v>911</v>
      </c>
      <c r="C226" s="899" t="s">
        <v>110</v>
      </c>
      <c r="D226" s="899">
        <v>154100</v>
      </c>
    </row>
    <row r="227" spans="1:4" x14ac:dyDescent="0.25">
      <c r="A227" s="899" t="s">
        <v>7821</v>
      </c>
      <c r="B227" s="899" t="s">
        <v>914</v>
      </c>
      <c r="C227" s="899" t="s">
        <v>110</v>
      </c>
      <c r="D227" s="899">
        <v>154848</v>
      </c>
    </row>
    <row r="228" spans="1:4" x14ac:dyDescent="0.25">
      <c r="A228" s="899" t="s">
        <v>7822</v>
      </c>
      <c r="B228" s="899" t="s">
        <v>917</v>
      </c>
      <c r="C228" s="899" t="s">
        <v>110</v>
      </c>
      <c r="D228" s="899">
        <v>0</v>
      </c>
    </row>
    <row r="229" spans="1:4" x14ac:dyDescent="0.25">
      <c r="A229" s="899" t="s">
        <v>7823</v>
      </c>
      <c r="B229" s="899" t="s">
        <v>920</v>
      </c>
      <c r="C229" s="899" t="s">
        <v>110</v>
      </c>
      <c r="D229" s="899">
        <v>0</v>
      </c>
    </row>
    <row r="230" spans="1:4" x14ac:dyDescent="0.25">
      <c r="A230" s="899" t="s">
        <v>7824</v>
      </c>
      <c r="B230" s="899" t="s">
        <v>923</v>
      </c>
      <c r="C230" s="899" t="s">
        <v>110</v>
      </c>
      <c r="D230" s="899">
        <v>0</v>
      </c>
    </row>
    <row r="231" spans="1:4" x14ac:dyDescent="0.25">
      <c r="A231" s="899" t="s">
        <v>7825</v>
      </c>
      <c r="B231" s="899" t="s">
        <v>926</v>
      </c>
      <c r="C231" s="899" t="s">
        <v>110</v>
      </c>
      <c r="D231" s="899">
        <v>0</v>
      </c>
    </row>
    <row r="232" spans="1:4" x14ac:dyDescent="0.25">
      <c r="A232" s="899" t="s">
        <v>7826</v>
      </c>
      <c r="B232" s="899" t="s">
        <v>929</v>
      </c>
      <c r="C232" s="899" t="s">
        <v>110</v>
      </c>
      <c r="D232" s="899">
        <v>143489</v>
      </c>
    </row>
    <row r="233" spans="1:4" x14ac:dyDescent="0.25">
      <c r="A233" s="899" t="s">
        <v>7827</v>
      </c>
      <c r="B233" s="899" t="s">
        <v>932</v>
      </c>
      <c r="C233" s="899" t="s">
        <v>110</v>
      </c>
      <c r="D233" s="899">
        <v>16103</v>
      </c>
    </row>
    <row r="234" spans="1:4" x14ac:dyDescent="0.25">
      <c r="A234" s="899" t="s">
        <v>7828</v>
      </c>
      <c r="B234" s="899" t="s">
        <v>935</v>
      </c>
      <c r="C234" s="899" t="s">
        <v>110</v>
      </c>
      <c r="D234" s="899">
        <v>1529088</v>
      </c>
    </row>
    <row r="235" spans="1:4" x14ac:dyDescent="0.25">
      <c r="A235" s="899" t="s">
        <v>7829</v>
      </c>
      <c r="B235" s="899" t="s">
        <v>938</v>
      </c>
      <c r="C235" s="899" t="s">
        <v>110</v>
      </c>
      <c r="D235" s="899">
        <v>989053</v>
      </c>
    </row>
    <row r="236" spans="1:4" x14ac:dyDescent="0.25">
      <c r="A236" s="899" t="s">
        <v>7830</v>
      </c>
      <c r="B236" s="899" t="s">
        <v>941</v>
      </c>
      <c r="C236" s="899" t="s">
        <v>110</v>
      </c>
      <c r="D236" s="899">
        <v>1627289</v>
      </c>
    </row>
    <row r="237" spans="1:4" x14ac:dyDescent="0.25">
      <c r="A237" s="899" t="s">
        <v>7831</v>
      </c>
      <c r="B237" s="899" t="s">
        <v>947</v>
      </c>
      <c r="C237" s="899" t="s">
        <v>110</v>
      </c>
      <c r="D237" s="899">
        <v>1627289</v>
      </c>
    </row>
    <row r="238" spans="1:4" x14ac:dyDescent="0.25">
      <c r="A238" s="899" t="s">
        <v>7832</v>
      </c>
      <c r="B238" s="899" t="s">
        <v>950</v>
      </c>
      <c r="C238" s="899" t="s">
        <v>110</v>
      </c>
      <c r="D238" s="899">
        <v>0</v>
      </c>
    </row>
    <row r="239" spans="1:4" x14ac:dyDescent="0.25">
      <c r="A239" s="899" t="s">
        <v>7833</v>
      </c>
      <c r="B239" s="899" t="s">
        <v>953</v>
      </c>
      <c r="C239" s="899" t="s">
        <v>110</v>
      </c>
      <c r="D239" s="899">
        <v>0</v>
      </c>
    </row>
    <row r="240" spans="1:4" x14ac:dyDescent="0.25">
      <c r="A240" s="899" t="s">
        <v>7834</v>
      </c>
      <c r="B240" s="899" t="s">
        <v>956</v>
      </c>
      <c r="C240" s="899" t="s">
        <v>110</v>
      </c>
      <c r="D240" s="899">
        <v>0</v>
      </c>
    </row>
    <row r="241" spans="1:4" x14ac:dyDescent="0.25">
      <c r="A241" s="899" t="s">
        <v>7835</v>
      </c>
      <c r="B241" s="899" t="s">
        <v>959</v>
      </c>
      <c r="C241" s="899" t="s">
        <v>110</v>
      </c>
      <c r="D241" s="899">
        <v>0</v>
      </c>
    </row>
    <row r="242" spans="1:4" x14ac:dyDescent="0.25">
      <c r="A242" s="899" t="s">
        <v>7836</v>
      </c>
      <c r="B242" s="899" t="s">
        <v>964</v>
      </c>
      <c r="C242" s="899" t="s">
        <v>110</v>
      </c>
      <c r="D242" s="899">
        <v>0</v>
      </c>
    </row>
    <row r="243" spans="1:4" x14ac:dyDescent="0.25">
      <c r="A243" s="899" t="s">
        <v>7837</v>
      </c>
      <c r="B243" s="899" t="s">
        <v>967</v>
      </c>
      <c r="C243" s="899" t="s">
        <v>110</v>
      </c>
      <c r="D243" s="899">
        <v>0</v>
      </c>
    </row>
    <row r="244" spans="1:4" x14ac:dyDescent="0.25">
      <c r="A244" s="899" t="s">
        <v>7838</v>
      </c>
      <c r="B244" s="899" t="s">
        <v>970</v>
      </c>
      <c r="C244" s="899" t="s">
        <v>110</v>
      </c>
      <c r="D244" s="899">
        <v>0</v>
      </c>
    </row>
    <row r="245" spans="1:4" x14ac:dyDescent="0.25">
      <c r="A245" s="899" t="s">
        <v>7839</v>
      </c>
      <c r="B245" s="899" t="s">
        <v>973</v>
      </c>
      <c r="C245" s="899" t="s">
        <v>110</v>
      </c>
      <c r="D245" s="899">
        <v>0</v>
      </c>
    </row>
    <row r="246" spans="1:4" x14ac:dyDescent="0.25">
      <c r="A246" s="899" t="s">
        <v>7840</v>
      </c>
      <c r="B246" s="899" t="s">
        <v>976</v>
      </c>
      <c r="C246" s="899" t="s">
        <v>110</v>
      </c>
      <c r="D246" s="899">
        <v>0</v>
      </c>
    </row>
    <row r="247" spans="1:4" x14ac:dyDescent="0.25">
      <c r="A247" s="899" t="s">
        <v>7841</v>
      </c>
      <c r="B247" s="899" t="s">
        <v>981</v>
      </c>
      <c r="C247" s="899" t="s">
        <v>110</v>
      </c>
      <c r="D247" s="899">
        <v>0</v>
      </c>
    </row>
    <row r="248" spans="1:4" x14ac:dyDescent="0.25">
      <c r="A248" s="899" t="s">
        <v>7842</v>
      </c>
      <c r="B248" s="899" t="s">
        <v>984</v>
      </c>
      <c r="C248" s="899" t="s">
        <v>110</v>
      </c>
      <c r="D248" s="899">
        <v>0</v>
      </c>
    </row>
    <row r="249" spans="1:4" x14ac:dyDescent="0.25">
      <c r="A249" s="899" t="s">
        <v>7843</v>
      </c>
      <c r="B249" s="899" t="s">
        <v>987</v>
      </c>
      <c r="C249" s="899" t="s">
        <v>110</v>
      </c>
      <c r="D249" s="899">
        <v>0</v>
      </c>
    </row>
    <row r="250" spans="1:4" x14ac:dyDescent="0.25">
      <c r="A250" s="899" t="s">
        <v>7844</v>
      </c>
      <c r="B250" s="899" t="s">
        <v>990</v>
      </c>
      <c r="C250" s="899" t="s">
        <v>110</v>
      </c>
      <c r="D250" s="899">
        <v>0</v>
      </c>
    </row>
    <row r="251" spans="1:4" x14ac:dyDescent="0.25">
      <c r="A251" s="899" t="s">
        <v>7845</v>
      </c>
      <c r="B251" s="899" t="s">
        <v>993</v>
      </c>
      <c r="C251" s="899" t="s">
        <v>110</v>
      </c>
      <c r="D251" s="899">
        <v>0</v>
      </c>
    </row>
    <row r="252" spans="1:4" x14ac:dyDescent="0.25">
      <c r="A252" s="899" t="s">
        <v>7846</v>
      </c>
      <c r="B252" s="899" t="s">
        <v>998</v>
      </c>
      <c r="C252" s="899" t="s">
        <v>110</v>
      </c>
      <c r="D252" s="899">
        <v>0</v>
      </c>
    </row>
    <row r="253" spans="1:4" x14ac:dyDescent="0.25">
      <c r="A253" s="899" t="s">
        <v>7847</v>
      </c>
      <c r="B253" s="899" t="s">
        <v>1001</v>
      </c>
      <c r="C253" s="899" t="s">
        <v>110</v>
      </c>
      <c r="D253" s="899">
        <v>0</v>
      </c>
    </row>
    <row r="254" spans="1:4" x14ac:dyDescent="0.25">
      <c r="A254" s="899" t="s">
        <v>7848</v>
      </c>
      <c r="B254" s="899" t="s">
        <v>1004</v>
      </c>
      <c r="C254" s="899" t="s">
        <v>110</v>
      </c>
      <c r="D254" s="899">
        <v>0</v>
      </c>
    </row>
    <row r="255" spans="1:4" x14ac:dyDescent="0.25">
      <c r="A255" s="899" t="s">
        <v>7849</v>
      </c>
      <c r="B255" s="899" t="s">
        <v>1009</v>
      </c>
      <c r="C255" s="899" t="s">
        <v>110</v>
      </c>
      <c r="D255" s="899">
        <v>0</v>
      </c>
    </row>
    <row r="256" spans="1:4" x14ac:dyDescent="0.25">
      <c r="A256" s="899" t="s">
        <v>7850</v>
      </c>
      <c r="B256" s="899" t="s">
        <v>1012</v>
      </c>
      <c r="C256" s="899" t="s">
        <v>110</v>
      </c>
      <c r="D256" s="899">
        <v>0</v>
      </c>
    </row>
    <row r="257" spans="1:4" x14ac:dyDescent="0.25">
      <c r="A257" s="899" t="s">
        <v>7851</v>
      </c>
      <c r="B257" s="899" t="s">
        <v>1015</v>
      </c>
      <c r="C257" s="899" t="s">
        <v>110</v>
      </c>
      <c r="D257" s="899">
        <v>0</v>
      </c>
    </row>
    <row r="258" spans="1:4" x14ac:dyDescent="0.25">
      <c r="A258" s="899" t="s">
        <v>7852</v>
      </c>
      <c r="B258" s="899" t="s">
        <v>1018</v>
      </c>
      <c r="C258" s="899" t="s">
        <v>110</v>
      </c>
      <c r="D258" s="899">
        <v>0</v>
      </c>
    </row>
    <row r="259" spans="1:4" x14ac:dyDescent="0.25">
      <c r="A259" s="899" t="s">
        <v>7853</v>
      </c>
      <c r="B259" s="899" t="s">
        <v>1021</v>
      </c>
      <c r="C259" s="899" t="s">
        <v>110</v>
      </c>
      <c r="D259" s="899">
        <v>0</v>
      </c>
    </row>
    <row r="260" spans="1:4" x14ac:dyDescent="0.25">
      <c r="A260" s="899" t="s">
        <v>7854</v>
      </c>
      <c r="B260" s="899" t="s">
        <v>1026</v>
      </c>
      <c r="C260" s="899" t="s">
        <v>110</v>
      </c>
      <c r="D260" s="899">
        <v>0</v>
      </c>
    </row>
    <row r="261" spans="1:4" x14ac:dyDescent="0.25">
      <c r="A261" s="899" t="s">
        <v>7855</v>
      </c>
      <c r="B261" s="899" t="s">
        <v>1029</v>
      </c>
      <c r="C261" s="899" t="s">
        <v>110</v>
      </c>
      <c r="D261" s="899">
        <v>0</v>
      </c>
    </row>
    <row r="262" spans="1:4" x14ac:dyDescent="0.25">
      <c r="A262" s="899" t="s">
        <v>7856</v>
      </c>
      <c r="B262" s="899" t="s">
        <v>1032</v>
      </c>
      <c r="C262" s="899" t="s">
        <v>110</v>
      </c>
      <c r="D262" s="899">
        <v>0</v>
      </c>
    </row>
    <row r="263" spans="1:4" x14ac:dyDescent="0.25">
      <c r="A263" s="899" t="s">
        <v>7857</v>
      </c>
      <c r="B263" s="899" t="s">
        <v>1037</v>
      </c>
      <c r="C263" s="899" t="s">
        <v>110</v>
      </c>
      <c r="D263" s="899">
        <v>0</v>
      </c>
    </row>
    <row r="264" spans="1:4" x14ac:dyDescent="0.25">
      <c r="A264" s="899" t="s">
        <v>7858</v>
      </c>
      <c r="B264" s="899" t="s">
        <v>1040</v>
      </c>
      <c r="C264" s="899" t="s">
        <v>110</v>
      </c>
      <c r="D264" s="899">
        <v>0</v>
      </c>
    </row>
    <row r="265" spans="1:4" x14ac:dyDescent="0.25">
      <c r="A265" s="899" t="s">
        <v>7859</v>
      </c>
      <c r="B265" s="899" t="s">
        <v>1043</v>
      </c>
      <c r="C265" s="899" t="s">
        <v>110</v>
      </c>
      <c r="D265" s="899">
        <v>0</v>
      </c>
    </row>
    <row r="266" spans="1:4" x14ac:dyDescent="0.25">
      <c r="A266" s="899" t="s">
        <v>7860</v>
      </c>
      <c r="B266" s="899" t="s">
        <v>1048</v>
      </c>
      <c r="C266" s="899" t="s">
        <v>110</v>
      </c>
      <c r="D266" s="899">
        <v>0</v>
      </c>
    </row>
    <row r="267" spans="1:4" x14ac:dyDescent="0.25">
      <c r="A267" s="899" t="s">
        <v>7861</v>
      </c>
      <c r="B267" s="899" t="s">
        <v>1051</v>
      </c>
      <c r="C267" s="899" t="s">
        <v>110</v>
      </c>
      <c r="D267" s="899">
        <v>0</v>
      </c>
    </row>
    <row r="268" spans="1:4" x14ac:dyDescent="0.25">
      <c r="A268" s="899" t="s">
        <v>7862</v>
      </c>
      <c r="B268" s="899" t="s">
        <v>1056</v>
      </c>
      <c r="C268" s="899" t="s">
        <v>110</v>
      </c>
      <c r="D268" s="899">
        <v>0</v>
      </c>
    </row>
    <row r="269" spans="1:4" x14ac:dyDescent="0.25">
      <c r="A269" s="899" t="s">
        <v>7863</v>
      </c>
      <c r="B269" s="899" t="s">
        <v>1059</v>
      </c>
      <c r="C269" s="899" t="s">
        <v>110</v>
      </c>
      <c r="D269" s="899">
        <v>0</v>
      </c>
    </row>
    <row r="270" spans="1:4" x14ac:dyDescent="0.25">
      <c r="A270" s="899" t="s">
        <v>7864</v>
      </c>
      <c r="B270" s="899" t="s">
        <v>1089</v>
      </c>
      <c r="C270" s="899" t="s">
        <v>110</v>
      </c>
      <c r="D270" s="899">
        <v>0</v>
      </c>
    </row>
    <row r="271" spans="1:4" x14ac:dyDescent="0.25">
      <c r="A271" s="899" t="s">
        <v>7865</v>
      </c>
      <c r="B271" s="899" t="s">
        <v>1093</v>
      </c>
      <c r="C271" s="899" t="s">
        <v>110</v>
      </c>
      <c r="D271" s="899">
        <v>0</v>
      </c>
    </row>
    <row r="272" spans="1:4" x14ac:dyDescent="0.25">
      <c r="A272" s="899" t="s">
        <v>7866</v>
      </c>
      <c r="B272" s="899" t="s">
        <v>1098</v>
      </c>
      <c r="C272" s="899" t="s">
        <v>110</v>
      </c>
      <c r="D272" s="899">
        <v>0</v>
      </c>
    </row>
    <row r="273" spans="1:4" x14ac:dyDescent="0.25">
      <c r="A273" s="899" t="s">
        <v>7867</v>
      </c>
      <c r="B273" s="899" t="s">
        <v>1101</v>
      </c>
      <c r="C273" s="899" t="s">
        <v>110</v>
      </c>
      <c r="D273" s="899">
        <v>0</v>
      </c>
    </row>
    <row r="274" spans="1:4" x14ac:dyDescent="0.25">
      <c r="A274" s="899" t="s">
        <v>7868</v>
      </c>
      <c r="B274" s="899" t="s">
        <v>1104</v>
      </c>
      <c r="C274" s="899" t="s">
        <v>110</v>
      </c>
      <c r="D274" s="899">
        <v>0</v>
      </c>
    </row>
    <row r="275" spans="1:4" x14ac:dyDescent="0.25">
      <c r="A275" s="899" t="s">
        <v>7869</v>
      </c>
      <c r="B275" s="899" t="s">
        <v>1107</v>
      </c>
      <c r="C275" s="899" t="s">
        <v>110</v>
      </c>
      <c r="D275" s="899">
        <v>0</v>
      </c>
    </row>
    <row r="276" spans="1:4" x14ac:dyDescent="0.25">
      <c r="A276" s="899" t="s">
        <v>7870</v>
      </c>
      <c r="B276" s="899" t="s">
        <v>1111</v>
      </c>
      <c r="C276" s="899" t="s">
        <v>110</v>
      </c>
      <c r="D276" s="899">
        <v>0</v>
      </c>
    </row>
    <row r="277" spans="1:4" x14ac:dyDescent="0.25">
      <c r="A277" s="899" t="s">
        <v>7871</v>
      </c>
      <c r="B277" s="899" t="s">
        <v>1115</v>
      </c>
      <c r="C277" s="899" t="s">
        <v>110</v>
      </c>
      <c r="D277" s="899">
        <v>0</v>
      </c>
    </row>
    <row r="278" spans="1:4" x14ac:dyDescent="0.25">
      <c r="A278" s="899" t="s">
        <v>7872</v>
      </c>
      <c r="B278" s="899" t="s">
        <v>1119</v>
      </c>
      <c r="C278" s="899" t="s">
        <v>110</v>
      </c>
      <c r="D278" s="899">
        <v>0</v>
      </c>
    </row>
    <row r="279" spans="1:4" x14ac:dyDescent="0.25">
      <c r="A279" s="899" t="s">
        <v>7873</v>
      </c>
      <c r="B279" s="899" t="s">
        <v>1123</v>
      </c>
      <c r="C279" s="899" t="s">
        <v>110</v>
      </c>
      <c r="D279" s="899">
        <v>0</v>
      </c>
    </row>
    <row r="280" spans="1:4" x14ac:dyDescent="0.25">
      <c r="A280" s="899" t="s">
        <v>7874</v>
      </c>
      <c r="B280" s="899" t="s">
        <v>1130</v>
      </c>
      <c r="C280" s="899" t="s">
        <v>110</v>
      </c>
      <c r="D280" s="899">
        <v>11430307</v>
      </c>
    </row>
    <row r="281" spans="1:4" x14ac:dyDescent="0.25">
      <c r="A281" s="899" t="s">
        <v>7875</v>
      </c>
      <c r="B281" s="899" t="s">
        <v>1133</v>
      </c>
      <c r="C281" s="899" t="s">
        <v>110</v>
      </c>
      <c r="D281" s="899">
        <v>11277052</v>
      </c>
    </row>
    <row r="282" spans="1:4" x14ac:dyDescent="0.25">
      <c r="A282" s="899" t="s">
        <v>7876</v>
      </c>
      <c r="B282" s="899" t="s">
        <v>1137</v>
      </c>
      <c r="C282" s="899" t="s">
        <v>110</v>
      </c>
      <c r="D282" s="899"/>
    </row>
    <row r="283" spans="1:4" x14ac:dyDescent="0.25">
      <c r="A283" s="899" t="s">
        <v>7877</v>
      </c>
      <c r="B283" s="899" t="s">
        <v>1140</v>
      </c>
      <c r="C283" s="899" t="s">
        <v>110</v>
      </c>
      <c r="D283" s="899"/>
    </row>
    <row r="284" spans="1:4" x14ac:dyDescent="0.25">
      <c r="A284" s="899" t="s">
        <v>7878</v>
      </c>
      <c r="B284" s="899" t="s">
        <v>1143</v>
      </c>
      <c r="C284" s="899" t="s">
        <v>110</v>
      </c>
      <c r="D284" s="899">
        <v>3842423</v>
      </c>
    </row>
    <row r="285" spans="1:4" x14ac:dyDescent="0.25">
      <c r="A285" s="899" t="s">
        <v>7879</v>
      </c>
      <c r="B285" s="899" t="s">
        <v>1148</v>
      </c>
      <c r="C285" s="899" t="s">
        <v>110</v>
      </c>
      <c r="D285" s="899">
        <v>273057</v>
      </c>
    </row>
    <row r="286" spans="1:4" x14ac:dyDescent="0.25">
      <c r="A286" s="899" t="s">
        <v>7880</v>
      </c>
      <c r="B286" s="899" t="s">
        <v>1151</v>
      </c>
      <c r="C286" s="899" t="s">
        <v>110</v>
      </c>
      <c r="D286" s="899">
        <v>1309863</v>
      </c>
    </row>
    <row r="287" spans="1:4" x14ac:dyDescent="0.25">
      <c r="A287" s="899" t="s">
        <v>7881</v>
      </c>
      <c r="B287" s="899" t="s">
        <v>1154</v>
      </c>
      <c r="C287" s="899" t="s">
        <v>110</v>
      </c>
      <c r="D287" s="899">
        <v>73869</v>
      </c>
    </row>
    <row r="288" spans="1:4" x14ac:dyDescent="0.25">
      <c r="A288" s="899" t="s">
        <v>7882</v>
      </c>
      <c r="B288" s="899" t="s">
        <v>1157</v>
      </c>
      <c r="C288" s="899" t="s">
        <v>110</v>
      </c>
      <c r="D288" s="899">
        <v>0</v>
      </c>
    </row>
    <row r="289" spans="1:4" x14ac:dyDescent="0.25">
      <c r="A289" s="899" t="s">
        <v>7883</v>
      </c>
      <c r="B289" s="899" t="s">
        <v>1160</v>
      </c>
      <c r="C289" s="899" t="s">
        <v>110</v>
      </c>
      <c r="D289" s="899">
        <v>0</v>
      </c>
    </row>
    <row r="290" spans="1:4" x14ac:dyDescent="0.25">
      <c r="A290" s="899" t="s">
        <v>7884</v>
      </c>
      <c r="B290" s="899" t="s">
        <v>1163</v>
      </c>
      <c r="C290" s="899" t="s">
        <v>110</v>
      </c>
      <c r="D290" s="899">
        <v>0</v>
      </c>
    </row>
    <row r="291" spans="1:4" x14ac:dyDescent="0.25">
      <c r="A291" s="899" t="s">
        <v>7885</v>
      </c>
      <c r="B291" s="899" t="s">
        <v>1166</v>
      </c>
      <c r="C291" s="899" t="s">
        <v>110</v>
      </c>
      <c r="D291" s="899">
        <v>3942</v>
      </c>
    </row>
    <row r="292" spans="1:4" x14ac:dyDescent="0.25">
      <c r="A292" s="899" t="s">
        <v>7886</v>
      </c>
      <c r="B292" s="899" t="s">
        <v>1169</v>
      </c>
      <c r="C292" s="899" t="s">
        <v>110</v>
      </c>
      <c r="D292" s="899">
        <v>0</v>
      </c>
    </row>
    <row r="293" spans="1:4" x14ac:dyDescent="0.25">
      <c r="A293" s="899" t="s">
        <v>7887</v>
      </c>
      <c r="B293" s="899" t="s">
        <v>1172</v>
      </c>
      <c r="C293" s="899" t="s">
        <v>110</v>
      </c>
      <c r="D293" s="899">
        <v>0</v>
      </c>
    </row>
    <row r="294" spans="1:4" x14ac:dyDescent="0.25">
      <c r="A294" s="899" t="s">
        <v>7888</v>
      </c>
      <c r="B294" s="899" t="s">
        <v>1175</v>
      </c>
      <c r="C294" s="899" t="s">
        <v>110</v>
      </c>
      <c r="D294" s="899">
        <v>0</v>
      </c>
    </row>
    <row r="295" spans="1:4" x14ac:dyDescent="0.25">
      <c r="A295" s="899" t="s">
        <v>7889</v>
      </c>
      <c r="B295" s="899" t="s">
        <v>1178</v>
      </c>
      <c r="C295" s="899" t="s">
        <v>110</v>
      </c>
      <c r="D295" s="899">
        <v>58055</v>
      </c>
    </row>
    <row r="296" spans="1:4" x14ac:dyDescent="0.25">
      <c r="A296" s="899" t="s">
        <v>7890</v>
      </c>
      <c r="B296" s="899" t="s">
        <v>1181</v>
      </c>
      <c r="C296" s="899" t="s">
        <v>110</v>
      </c>
      <c r="D296" s="899">
        <v>42989</v>
      </c>
    </row>
    <row r="297" spans="1:4" x14ac:dyDescent="0.25">
      <c r="A297" s="899" t="s">
        <v>7891</v>
      </c>
      <c r="B297" s="899" t="s">
        <v>1184</v>
      </c>
      <c r="C297" s="899" t="s">
        <v>110</v>
      </c>
      <c r="D297" s="899">
        <v>909</v>
      </c>
    </row>
    <row r="298" spans="1:4" x14ac:dyDescent="0.25">
      <c r="A298" s="899" t="s">
        <v>7892</v>
      </c>
      <c r="B298" s="899" t="s">
        <v>1187</v>
      </c>
      <c r="C298" s="899" t="s">
        <v>110</v>
      </c>
      <c r="D298" s="899">
        <v>105462</v>
      </c>
    </row>
    <row r="299" spans="1:4" x14ac:dyDescent="0.25">
      <c r="A299" s="899" t="s">
        <v>7893</v>
      </c>
      <c r="B299" s="899" t="s">
        <v>1190</v>
      </c>
      <c r="C299" s="899" t="s">
        <v>110</v>
      </c>
      <c r="D299" s="899">
        <v>1810929</v>
      </c>
    </row>
    <row r="300" spans="1:4" x14ac:dyDescent="0.25">
      <c r="A300" s="899" t="s">
        <v>7894</v>
      </c>
      <c r="B300" s="899" t="s">
        <v>1193</v>
      </c>
      <c r="C300" s="899" t="s">
        <v>110</v>
      </c>
      <c r="D300" s="899">
        <v>81855</v>
      </c>
    </row>
    <row r="301" spans="1:4" x14ac:dyDescent="0.25">
      <c r="A301" s="899" t="s">
        <v>7895</v>
      </c>
      <c r="B301" s="899" t="s">
        <v>1196</v>
      </c>
      <c r="C301" s="899" t="s">
        <v>110</v>
      </c>
      <c r="D301" s="899">
        <v>0</v>
      </c>
    </row>
    <row r="302" spans="1:4" x14ac:dyDescent="0.25">
      <c r="A302" s="899" t="s">
        <v>7896</v>
      </c>
      <c r="B302" s="899" t="s">
        <v>1199</v>
      </c>
      <c r="C302" s="899" t="s">
        <v>110</v>
      </c>
      <c r="D302" s="899">
        <v>0</v>
      </c>
    </row>
    <row r="303" spans="1:4" x14ac:dyDescent="0.25">
      <c r="A303" s="899" t="s">
        <v>7897</v>
      </c>
      <c r="B303" s="899" t="s">
        <v>1202</v>
      </c>
      <c r="C303" s="899" t="s">
        <v>110</v>
      </c>
      <c r="D303" s="899">
        <v>0</v>
      </c>
    </row>
    <row r="304" spans="1:4" x14ac:dyDescent="0.25">
      <c r="A304" s="899" t="s">
        <v>7898</v>
      </c>
      <c r="B304" s="899" t="s">
        <v>1205</v>
      </c>
      <c r="C304" s="899" t="s">
        <v>110</v>
      </c>
      <c r="D304" s="899">
        <v>0</v>
      </c>
    </row>
    <row r="305" spans="1:4" x14ac:dyDescent="0.25">
      <c r="A305" s="899" t="s">
        <v>7899</v>
      </c>
      <c r="B305" s="899" t="s">
        <v>1208</v>
      </c>
      <c r="C305" s="899" t="s">
        <v>110</v>
      </c>
      <c r="D305" s="899">
        <v>0</v>
      </c>
    </row>
    <row r="306" spans="1:4" x14ac:dyDescent="0.25">
      <c r="A306" s="899" t="s">
        <v>7900</v>
      </c>
      <c r="B306" s="899" t="s">
        <v>1211</v>
      </c>
      <c r="C306" s="899" t="s">
        <v>110</v>
      </c>
      <c r="D306" s="899">
        <v>4952</v>
      </c>
    </row>
    <row r="307" spans="1:4" x14ac:dyDescent="0.25">
      <c r="A307" s="899" t="s">
        <v>7901</v>
      </c>
      <c r="B307" s="899" t="s">
        <v>1215</v>
      </c>
      <c r="C307" s="899" t="s">
        <v>110</v>
      </c>
      <c r="D307" s="899">
        <v>1134848</v>
      </c>
    </row>
    <row r="308" spans="1:4" x14ac:dyDescent="0.25">
      <c r="A308" s="899" t="s">
        <v>7902</v>
      </c>
      <c r="B308" s="899" t="s">
        <v>1219</v>
      </c>
      <c r="C308" s="899" t="s">
        <v>110</v>
      </c>
      <c r="D308" s="899">
        <v>118111</v>
      </c>
    </row>
    <row r="309" spans="1:4" x14ac:dyDescent="0.25">
      <c r="A309" s="899" t="s">
        <v>7903</v>
      </c>
      <c r="B309" s="899" t="s">
        <v>1222</v>
      </c>
      <c r="C309" s="899" t="s">
        <v>110</v>
      </c>
      <c r="D309" s="899">
        <v>100592</v>
      </c>
    </row>
    <row r="310" spans="1:4" x14ac:dyDescent="0.25">
      <c r="A310" s="899" t="s">
        <v>7904</v>
      </c>
      <c r="B310" s="899" t="s">
        <v>1226</v>
      </c>
      <c r="C310" s="899" t="s">
        <v>110</v>
      </c>
      <c r="D310" s="899">
        <v>1680968</v>
      </c>
    </row>
    <row r="311" spans="1:4" x14ac:dyDescent="0.25">
      <c r="A311" s="899" t="s">
        <v>7905</v>
      </c>
      <c r="B311" s="899" t="s">
        <v>1229</v>
      </c>
      <c r="C311" s="899" t="s">
        <v>110</v>
      </c>
      <c r="D311" s="899">
        <v>162323</v>
      </c>
    </row>
    <row r="312" spans="1:4" x14ac:dyDescent="0.25">
      <c r="A312" s="899" t="s">
        <v>7906</v>
      </c>
      <c r="B312" s="899" t="s">
        <v>1232</v>
      </c>
      <c r="C312" s="899" t="s">
        <v>110</v>
      </c>
      <c r="D312" s="899">
        <v>18875</v>
      </c>
    </row>
    <row r="313" spans="1:4" x14ac:dyDescent="0.25">
      <c r="A313" s="899" t="s">
        <v>7907</v>
      </c>
      <c r="B313" s="899" t="s">
        <v>1235</v>
      </c>
      <c r="C313" s="899" t="s">
        <v>110</v>
      </c>
      <c r="D313" s="899">
        <v>21000</v>
      </c>
    </row>
    <row r="314" spans="1:4" x14ac:dyDescent="0.25">
      <c r="A314" s="899" t="s">
        <v>7908</v>
      </c>
      <c r="B314" s="899" t="s">
        <v>1238</v>
      </c>
      <c r="C314" s="899" t="s">
        <v>110</v>
      </c>
      <c r="D314" s="899">
        <v>0</v>
      </c>
    </row>
    <row r="315" spans="1:4" x14ac:dyDescent="0.25">
      <c r="A315" s="899" t="s">
        <v>7909</v>
      </c>
      <c r="B315" s="899" t="s">
        <v>1242</v>
      </c>
      <c r="C315" s="899" t="s">
        <v>110</v>
      </c>
      <c r="D315" s="899">
        <v>0</v>
      </c>
    </row>
    <row r="316" spans="1:4" x14ac:dyDescent="0.25">
      <c r="A316" s="899" t="s">
        <v>7910</v>
      </c>
      <c r="B316" s="899" t="s">
        <v>1245</v>
      </c>
      <c r="C316" s="899" t="s">
        <v>110</v>
      </c>
      <c r="D316" s="899">
        <v>0</v>
      </c>
    </row>
    <row r="317" spans="1:4" x14ac:dyDescent="0.25">
      <c r="A317" s="899" t="s">
        <v>7911</v>
      </c>
      <c r="B317" s="899" t="s">
        <v>1248</v>
      </c>
      <c r="C317" s="899" t="s">
        <v>110</v>
      </c>
      <c r="D317" s="899">
        <v>0</v>
      </c>
    </row>
    <row r="318" spans="1:4" x14ac:dyDescent="0.25">
      <c r="A318" s="899" t="s">
        <v>7912</v>
      </c>
      <c r="B318" s="899" t="s">
        <v>1251</v>
      </c>
      <c r="C318" s="899" t="s">
        <v>110</v>
      </c>
      <c r="D318" s="899">
        <v>7666</v>
      </c>
    </row>
    <row r="319" spans="1:4" x14ac:dyDescent="0.25">
      <c r="A319" s="899" t="s">
        <v>7913</v>
      </c>
      <c r="B319" s="899" t="s">
        <v>1254</v>
      </c>
      <c r="C319" s="899" t="s">
        <v>110</v>
      </c>
      <c r="D319" s="899">
        <v>29798</v>
      </c>
    </row>
    <row r="320" spans="1:4" x14ac:dyDescent="0.25">
      <c r="A320" s="899" t="s">
        <v>7914</v>
      </c>
      <c r="B320" s="899" t="s">
        <v>1257</v>
      </c>
      <c r="C320" s="899" t="s">
        <v>110</v>
      </c>
      <c r="D320" s="899">
        <v>0</v>
      </c>
    </row>
    <row r="321" spans="1:4" x14ac:dyDescent="0.25">
      <c r="A321" s="899" t="s">
        <v>7915</v>
      </c>
      <c r="B321" s="899" t="s">
        <v>1261</v>
      </c>
      <c r="C321" s="899" t="s">
        <v>110</v>
      </c>
      <c r="D321" s="899">
        <v>320054</v>
      </c>
    </row>
    <row r="322" spans="1:4" x14ac:dyDescent="0.25">
      <c r="A322" s="899" t="s">
        <v>7916</v>
      </c>
      <c r="B322" s="899" t="s">
        <v>1264</v>
      </c>
      <c r="C322" s="899" t="s">
        <v>110</v>
      </c>
      <c r="D322" s="899">
        <v>0</v>
      </c>
    </row>
    <row r="323" spans="1:4" x14ac:dyDescent="0.25">
      <c r="A323" s="899" t="s">
        <v>7917</v>
      </c>
      <c r="B323" s="899" t="s">
        <v>1267</v>
      </c>
      <c r="C323" s="899" t="s">
        <v>110</v>
      </c>
      <c r="D323" s="899">
        <v>0</v>
      </c>
    </row>
    <row r="324" spans="1:4" x14ac:dyDescent="0.25">
      <c r="A324" s="899" t="s">
        <v>7918</v>
      </c>
      <c r="B324" s="899" t="s">
        <v>1271</v>
      </c>
      <c r="C324" s="899" t="s">
        <v>110</v>
      </c>
      <c r="D324" s="899">
        <v>0</v>
      </c>
    </row>
    <row r="325" spans="1:4" x14ac:dyDescent="0.25">
      <c r="A325" s="899" t="s">
        <v>7919</v>
      </c>
      <c r="B325" s="899" t="s">
        <v>1274</v>
      </c>
      <c r="C325" s="899" t="s">
        <v>110</v>
      </c>
      <c r="D325" s="899">
        <v>0</v>
      </c>
    </row>
    <row r="326" spans="1:4" x14ac:dyDescent="0.25">
      <c r="A326" s="899" t="s">
        <v>7920</v>
      </c>
      <c r="B326" s="899" t="s">
        <v>1277</v>
      </c>
      <c r="C326" s="899" t="s">
        <v>110</v>
      </c>
      <c r="D326" s="899">
        <v>74512</v>
      </c>
    </row>
    <row r="327" spans="1:4" x14ac:dyDescent="0.25">
      <c r="A327" s="899" t="s">
        <v>7921</v>
      </c>
      <c r="B327" s="899" t="s">
        <v>1281</v>
      </c>
      <c r="C327" s="899" t="s">
        <v>110</v>
      </c>
      <c r="D327" s="899">
        <v>0</v>
      </c>
    </row>
    <row r="328" spans="1:4" x14ac:dyDescent="0.25">
      <c r="A328" s="899" t="s">
        <v>7922</v>
      </c>
      <c r="B328" s="899" t="s">
        <v>1284</v>
      </c>
      <c r="C328" s="899" t="s">
        <v>110</v>
      </c>
      <c r="D328" s="899">
        <v>0</v>
      </c>
    </row>
    <row r="329" spans="1:4" x14ac:dyDescent="0.25">
      <c r="A329" s="899" t="s">
        <v>7923</v>
      </c>
      <c r="B329" s="899" t="s">
        <v>1290</v>
      </c>
      <c r="C329" s="899" t="s">
        <v>110</v>
      </c>
      <c r="D329" s="899">
        <v>153255</v>
      </c>
    </row>
    <row r="330" spans="1:4" x14ac:dyDescent="0.25">
      <c r="A330" s="899" t="s">
        <v>7924</v>
      </c>
      <c r="B330" s="899" t="s">
        <v>1294</v>
      </c>
      <c r="C330" s="899" t="s">
        <v>110</v>
      </c>
      <c r="D330" s="899">
        <v>7675</v>
      </c>
    </row>
    <row r="331" spans="1:4" x14ac:dyDescent="0.25">
      <c r="A331" s="899" t="s">
        <v>7925</v>
      </c>
      <c r="B331" s="899" t="s">
        <v>1299</v>
      </c>
      <c r="C331" s="899" t="s">
        <v>110</v>
      </c>
      <c r="D331" s="899">
        <v>38219</v>
      </c>
    </row>
    <row r="332" spans="1:4" x14ac:dyDescent="0.25">
      <c r="A332" s="899" t="s">
        <v>7926</v>
      </c>
      <c r="B332" s="899" t="s">
        <v>1303</v>
      </c>
      <c r="C332" s="899" t="s">
        <v>110</v>
      </c>
      <c r="D332" s="899">
        <v>0</v>
      </c>
    </row>
    <row r="333" spans="1:4" x14ac:dyDescent="0.25">
      <c r="A333" s="899" t="s">
        <v>7927</v>
      </c>
      <c r="B333" s="899" t="s">
        <v>1307</v>
      </c>
      <c r="C333" s="899" t="s">
        <v>110</v>
      </c>
      <c r="D333" s="899">
        <v>0</v>
      </c>
    </row>
    <row r="334" spans="1:4" x14ac:dyDescent="0.25">
      <c r="A334" s="899" t="s">
        <v>7928</v>
      </c>
      <c r="B334" s="899" t="s">
        <v>1310</v>
      </c>
      <c r="C334" s="899" t="s">
        <v>110</v>
      </c>
      <c r="D334" s="899">
        <v>60472</v>
      </c>
    </row>
    <row r="335" spans="1:4" x14ac:dyDescent="0.25">
      <c r="A335" s="899" t="s">
        <v>7929</v>
      </c>
      <c r="B335" s="899" t="s">
        <v>1314</v>
      </c>
      <c r="C335" s="899" t="s">
        <v>110</v>
      </c>
      <c r="D335" s="899">
        <v>27535</v>
      </c>
    </row>
    <row r="336" spans="1:4" x14ac:dyDescent="0.25">
      <c r="A336" s="899" t="s">
        <v>7930</v>
      </c>
      <c r="B336" s="899" t="s">
        <v>1317</v>
      </c>
      <c r="C336" s="899" t="s">
        <v>110</v>
      </c>
      <c r="D336" s="899">
        <v>0</v>
      </c>
    </row>
    <row r="337" spans="1:4" x14ac:dyDescent="0.25">
      <c r="A337" s="899" t="s">
        <v>7931</v>
      </c>
      <c r="B337" s="899" t="s">
        <v>1321</v>
      </c>
      <c r="C337" s="899" t="s">
        <v>110</v>
      </c>
      <c r="D337" s="899">
        <v>7053</v>
      </c>
    </row>
    <row r="338" spans="1:4" x14ac:dyDescent="0.25">
      <c r="A338" s="899" t="s">
        <v>7932</v>
      </c>
      <c r="B338" s="899" t="s">
        <v>1324</v>
      </c>
      <c r="C338" s="899" t="s">
        <v>110</v>
      </c>
      <c r="D338" s="899">
        <v>0</v>
      </c>
    </row>
    <row r="339" spans="1:4" x14ac:dyDescent="0.25">
      <c r="A339" s="899" t="s">
        <v>7933</v>
      </c>
      <c r="B339" s="899" t="s">
        <v>1327</v>
      </c>
      <c r="C339" s="899" t="s">
        <v>110</v>
      </c>
      <c r="D339" s="899">
        <v>10422</v>
      </c>
    </row>
    <row r="340" spans="1:4" x14ac:dyDescent="0.25">
      <c r="A340" s="899" t="s">
        <v>7934</v>
      </c>
      <c r="B340" s="899" t="s">
        <v>1330</v>
      </c>
      <c r="C340" s="899" t="s">
        <v>110</v>
      </c>
      <c r="D340" s="899">
        <v>0</v>
      </c>
    </row>
    <row r="341" spans="1:4" x14ac:dyDescent="0.25">
      <c r="A341" s="899" t="s">
        <v>7935</v>
      </c>
      <c r="B341" s="899" t="s">
        <v>1333</v>
      </c>
      <c r="C341" s="899" t="s">
        <v>110</v>
      </c>
      <c r="D341" s="899">
        <v>0</v>
      </c>
    </row>
    <row r="342" spans="1:4" x14ac:dyDescent="0.25">
      <c r="A342" s="899" t="s">
        <v>7936</v>
      </c>
      <c r="B342" s="899" t="s">
        <v>1336</v>
      </c>
      <c r="C342" s="899" t="s">
        <v>110</v>
      </c>
      <c r="D342" s="899">
        <v>1879</v>
      </c>
    </row>
    <row r="343" spans="1:4" x14ac:dyDescent="0.25">
      <c r="A343" s="899" t="s">
        <v>7937</v>
      </c>
      <c r="B343" s="899" t="s">
        <v>1340</v>
      </c>
      <c r="C343" s="899" t="s">
        <v>110</v>
      </c>
      <c r="D343" s="899">
        <v>0</v>
      </c>
    </row>
    <row r="344" spans="1:4" x14ac:dyDescent="0.25">
      <c r="A344" s="899" t="s">
        <v>7938</v>
      </c>
      <c r="B344" s="899" t="s">
        <v>1343</v>
      </c>
      <c r="C344" s="899" t="s">
        <v>110</v>
      </c>
      <c r="D344" s="899">
        <v>0</v>
      </c>
    </row>
    <row r="345" spans="1:4" x14ac:dyDescent="0.25">
      <c r="A345" s="899" t="s">
        <v>7939</v>
      </c>
      <c r="B345" s="899" t="s">
        <v>1758</v>
      </c>
      <c r="C345" s="899" t="s">
        <v>110</v>
      </c>
      <c r="D345" s="899">
        <v>0</v>
      </c>
    </row>
    <row r="346" spans="1:4" x14ac:dyDescent="0.25">
      <c r="A346" s="899" t="s">
        <v>7940</v>
      </c>
      <c r="B346" s="899" t="s">
        <v>1761</v>
      </c>
      <c r="C346" s="899" t="s">
        <v>110</v>
      </c>
      <c r="D346" s="899">
        <v>0</v>
      </c>
    </row>
    <row r="347" spans="1:4" x14ac:dyDescent="0.25">
      <c r="A347" s="899" t="s">
        <v>7941</v>
      </c>
      <c r="B347" s="899" t="s">
        <v>1766</v>
      </c>
      <c r="C347" s="899" t="s">
        <v>110</v>
      </c>
      <c r="D347" s="899">
        <v>0</v>
      </c>
    </row>
    <row r="348" spans="1:4" x14ac:dyDescent="0.25">
      <c r="A348" s="899" t="s">
        <v>7942</v>
      </c>
      <c r="B348" s="899" t="s">
        <v>1768</v>
      </c>
      <c r="C348" s="899" t="s">
        <v>110</v>
      </c>
      <c r="D348" s="899">
        <v>0</v>
      </c>
    </row>
    <row r="349" spans="1:4" x14ac:dyDescent="0.25">
      <c r="A349" s="899" t="s">
        <v>7943</v>
      </c>
      <c r="B349" s="899" t="s">
        <v>1770</v>
      </c>
      <c r="C349" s="899" t="s">
        <v>110</v>
      </c>
      <c r="D349" s="899">
        <v>0</v>
      </c>
    </row>
    <row r="350" spans="1:4" x14ac:dyDescent="0.25">
      <c r="A350" s="899" t="s">
        <v>7944</v>
      </c>
      <c r="B350" s="899" t="s">
        <v>1776</v>
      </c>
      <c r="C350" s="899" t="s">
        <v>110</v>
      </c>
      <c r="D350" s="899">
        <v>22090561</v>
      </c>
    </row>
    <row r="351" spans="1:4" x14ac:dyDescent="0.25">
      <c r="A351" s="899" t="s">
        <v>7945</v>
      </c>
      <c r="B351" s="899" t="s">
        <v>1779</v>
      </c>
      <c r="C351" s="899" t="s">
        <v>110</v>
      </c>
      <c r="D351" s="899">
        <v>54618</v>
      </c>
    </row>
    <row r="352" spans="1:4" x14ac:dyDescent="0.25">
      <c r="A352" s="899" t="s">
        <v>7946</v>
      </c>
      <c r="B352" s="899" t="s">
        <v>1785</v>
      </c>
      <c r="C352" s="899" t="s">
        <v>110</v>
      </c>
      <c r="D352" s="899">
        <v>22019007</v>
      </c>
    </row>
    <row r="353" spans="1:4" x14ac:dyDescent="0.25">
      <c r="A353" s="899" t="s">
        <v>7947</v>
      </c>
      <c r="B353" s="899" t="s">
        <v>1791</v>
      </c>
      <c r="C353" s="899" t="s">
        <v>110</v>
      </c>
      <c r="D353" s="899">
        <v>0</v>
      </c>
    </row>
    <row r="354" spans="1:4" x14ac:dyDescent="0.25">
      <c r="A354" s="899" t="s">
        <v>7948</v>
      </c>
      <c r="B354" s="899" t="s">
        <v>1797</v>
      </c>
      <c r="C354" s="899" t="s">
        <v>110</v>
      </c>
      <c r="D354" s="899">
        <v>16936</v>
      </c>
    </row>
    <row r="355" spans="1:4" x14ac:dyDescent="0.25">
      <c r="A355" s="899" t="s">
        <v>7949</v>
      </c>
      <c r="B355" s="899" t="s">
        <v>1803</v>
      </c>
      <c r="C355" s="899" t="s">
        <v>110</v>
      </c>
      <c r="D355" s="899">
        <v>33745</v>
      </c>
    </row>
    <row r="356" spans="1:4" x14ac:dyDescent="0.25">
      <c r="A356" s="899" t="s">
        <v>7950</v>
      </c>
      <c r="B356" s="899" t="s">
        <v>1807</v>
      </c>
      <c r="C356" s="899" t="s">
        <v>110</v>
      </c>
      <c r="D356" s="899">
        <v>0</v>
      </c>
    </row>
    <row r="357" spans="1:4" x14ac:dyDescent="0.25">
      <c r="A357" s="899" t="s">
        <v>7951</v>
      </c>
      <c r="B357" s="899" t="s">
        <v>1811</v>
      </c>
      <c r="C357" s="899" t="s">
        <v>110</v>
      </c>
      <c r="D357" s="899">
        <v>0</v>
      </c>
    </row>
    <row r="358" spans="1:4" x14ac:dyDescent="0.25">
      <c r="A358" s="899" t="s">
        <v>7952</v>
      </c>
      <c r="B358" s="899" t="s">
        <v>1815</v>
      </c>
      <c r="C358" s="899" t="s">
        <v>110</v>
      </c>
      <c r="D358" s="899">
        <v>0</v>
      </c>
    </row>
    <row r="359" spans="1:4" x14ac:dyDescent="0.25">
      <c r="A359" s="899" t="s">
        <v>7953</v>
      </c>
      <c r="B359" s="899" t="s">
        <v>1819</v>
      </c>
      <c r="C359" s="899" t="s">
        <v>110</v>
      </c>
      <c r="D359" s="899">
        <v>0</v>
      </c>
    </row>
    <row r="360" spans="1:4" x14ac:dyDescent="0.25">
      <c r="A360" s="899" t="s">
        <v>7954</v>
      </c>
      <c r="B360" s="899" t="s">
        <v>1822</v>
      </c>
      <c r="C360" s="899" t="s">
        <v>110</v>
      </c>
      <c r="D360" s="899">
        <v>0</v>
      </c>
    </row>
    <row r="361" spans="1:4" x14ac:dyDescent="0.25">
      <c r="A361" s="899" t="s">
        <v>7955</v>
      </c>
      <c r="B361" s="899" t="s">
        <v>1825</v>
      </c>
      <c r="C361" s="899" t="s">
        <v>110</v>
      </c>
      <c r="D361" s="899">
        <v>0</v>
      </c>
    </row>
    <row r="362" spans="1:4" x14ac:dyDescent="0.25">
      <c r="A362" s="899" t="s">
        <v>7956</v>
      </c>
      <c r="B362" s="899" t="s">
        <v>1828</v>
      </c>
      <c r="C362" s="899" t="s">
        <v>110</v>
      </c>
      <c r="D362" s="899">
        <v>33745</v>
      </c>
    </row>
    <row r="363" spans="1:4" x14ac:dyDescent="0.25">
      <c r="A363" s="899" t="s">
        <v>7957</v>
      </c>
      <c r="B363" s="899" t="s">
        <v>1832</v>
      </c>
      <c r="C363" s="899" t="s">
        <v>110</v>
      </c>
      <c r="D363" s="899">
        <v>33745</v>
      </c>
    </row>
    <row r="364" spans="1:4" x14ac:dyDescent="0.25">
      <c r="A364" s="899" t="s">
        <v>7958</v>
      </c>
      <c r="B364" s="899" t="s">
        <v>1836</v>
      </c>
      <c r="C364" s="899" t="s">
        <v>110</v>
      </c>
      <c r="D364" s="899">
        <v>0</v>
      </c>
    </row>
    <row r="365" spans="1:4" x14ac:dyDescent="0.25">
      <c r="A365" s="899" t="s">
        <v>7959</v>
      </c>
      <c r="B365" s="899" t="s">
        <v>1840</v>
      </c>
      <c r="C365" s="899" t="s">
        <v>110</v>
      </c>
      <c r="D365" s="899">
        <v>7562304</v>
      </c>
    </row>
    <row r="366" spans="1:4" x14ac:dyDescent="0.25">
      <c r="A366" s="899" t="s">
        <v>7960</v>
      </c>
      <c r="B366" s="899" t="s">
        <v>1843</v>
      </c>
      <c r="C366" s="899" t="s">
        <v>110</v>
      </c>
      <c r="D366" s="899">
        <v>0</v>
      </c>
    </row>
    <row r="367" spans="1:4" x14ac:dyDescent="0.25">
      <c r="A367" s="899" t="s">
        <v>7961</v>
      </c>
      <c r="B367" s="899" t="s">
        <v>1848</v>
      </c>
      <c r="C367" s="899" t="s">
        <v>110</v>
      </c>
      <c r="D367" s="899">
        <v>0</v>
      </c>
    </row>
    <row r="368" spans="1:4" x14ac:dyDescent="0.25">
      <c r="A368" s="899" t="s">
        <v>7962</v>
      </c>
      <c r="B368" s="899" t="s">
        <v>1853</v>
      </c>
      <c r="C368" s="899" t="s">
        <v>110</v>
      </c>
      <c r="D368" s="899">
        <v>7812</v>
      </c>
    </row>
    <row r="369" spans="1:4" x14ac:dyDescent="0.25">
      <c r="A369" s="899" t="s">
        <v>7963</v>
      </c>
      <c r="B369" s="899" t="s">
        <v>1858</v>
      </c>
      <c r="C369" s="899" t="s">
        <v>110</v>
      </c>
      <c r="D369" s="899">
        <v>0</v>
      </c>
    </row>
    <row r="370" spans="1:4" x14ac:dyDescent="0.25">
      <c r="A370" s="899" t="s">
        <v>7964</v>
      </c>
      <c r="B370" s="899" t="s">
        <v>1863</v>
      </c>
      <c r="C370" s="899" t="s">
        <v>110</v>
      </c>
      <c r="D370" s="899">
        <v>7554492</v>
      </c>
    </row>
    <row r="371" spans="1:4" x14ac:dyDescent="0.25">
      <c r="A371" s="899" t="s">
        <v>7965</v>
      </c>
      <c r="B371" s="899" t="s">
        <v>1867</v>
      </c>
      <c r="C371" s="899" t="s">
        <v>110</v>
      </c>
      <c r="D371" s="899"/>
    </row>
    <row r="372" spans="1:4" x14ac:dyDescent="0.25">
      <c r="A372" s="899" t="s">
        <v>7966</v>
      </c>
      <c r="B372" s="899" t="s">
        <v>1870</v>
      </c>
      <c r="C372" s="899" t="s">
        <v>110</v>
      </c>
      <c r="D372" s="899">
        <v>153200</v>
      </c>
    </row>
    <row r="373" spans="1:4" x14ac:dyDescent="0.25">
      <c r="A373" s="899" t="s">
        <v>7967</v>
      </c>
      <c r="B373" s="899" t="s">
        <v>1873</v>
      </c>
      <c r="C373" s="899" t="s">
        <v>110</v>
      </c>
      <c r="D373" s="899">
        <v>0</v>
      </c>
    </row>
    <row r="374" spans="1:4" x14ac:dyDescent="0.25">
      <c r="A374" s="899" t="s">
        <v>7968</v>
      </c>
      <c r="B374" s="899" t="s">
        <v>1876</v>
      </c>
      <c r="C374" s="899" t="s">
        <v>110</v>
      </c>
      <c r="D374" s="899">
        <v>0</v>
      </c>
    </row>
    <row r="375" spans="1:4" x14ac:dyDescent="0.25">
      <c r="A375" s="899" t="s">
        <v>7969</v>
      </c>
      <c r="B375" s="899" t="s">
        <v>1879</v>
      </c>
      <c r="C375" s="899" t="s">
        <v>110</v>
      </c>
      <c r="D375" s="899"/>
    </row>
    <row r="376" spans="1:4" x14ac:dyDescent="0.25">
      <c r="A376" s="899" t="s">
        <v>7970</v>
      </c>
      <c r="B376" s="899" t="s">
        <v>1882</v>
      </c>
      <c r="C376" s="899" t="s">
        <v>110</v>
      </c>
      <c r="D376" s="899">
        <v>7401292</v>
      </c>
    </row>
    <row r="377" spans="1:4" x14ac:dyDescent="0.25">
      <c r="A377" s="899" t="s">
        <v>7971</v>
      </c>
      <c r="B377" s="899" t="s">
        <v>1885</v>
      </c>
      <c r="C377" s="899" t="s">
        <v>110</v>
      </c>
      <c r="D377" s="899">
        <v>0</v>
      </c>
    </row>
    <row r="378" spans="1:4" x14ac:dyDescent="0.25">
      <c r="A378" s="899" t="s">
        <v>7972</v>
      </c>
      <c r="B378" s="899" t="s">
        <v>1888</v>
      </c>
      <c r="C378" s="899" t="s">
        <v>110</v>
      </c>
      <c r="D378" s="899">
        <v>0</v>
      </c>
    </row>
    <row r="379" spans="1:4" x14ac:dyDescent="0.25">
      <c r="A379" s="899" t="s">
        <v>7973</v>
      </c>
      <c r="B379" s="899" t="s">
        <v>1891</v>
      </c>
      <c r="C379" s="899" t="s">
        <v>110</v>
      </c>
      <c r="D379" s="899">
        <v>0</v>
      </c>
    </row>
    <row r="380" spans="1:4" x14ac:dyDescent="0.25">
      <c r="A380" s="899" t="s">
        <v>7974</v>
      </c>
      <c r="B380" s="899" t="s">
        <v>1894</v>
      </c>
      <c r="C380" s="899" t="s">
        <v>110</v>
      </c>
      <c r="D380" s="899"/>
    </row>
    <row r="381" spans="1:4" x14ac:dyDescent="0.25">
      <c r="A381" s="899" t="s">
        <v>7975</v>
      </c>
      <c r="B381" s="899" t="s">
        <v>1897</v>
      </c>
      <c r="C381" s="899" t="s">
        <v>110</v>
      </c>
      <c r="D381" s="899">
        <v>0</v>
      </c>
    </row>
    <row r="382" spans="1:4" x14ac:dyDescent="0.25">
      <c r="A382" s="899" t="s">
        <v>7976</v>
      </c>
      <c r="B382" s="899" t="s">
        <v>1900</v>
      </c>
      <c r="C382" s="899" t="s">
        <v>110</v>
      </c>
      <c r="D382" s="899">
        <v>0</v>
      </c>
    </row>
    <row r="383" spans="1:4" x14ac:dyDescent="0.25">
      <c r="A383" s="899" t="s">
        <v>7977</v>
      </c>
      <c r="B383" s="899" t="s">
        <v>1903</v>
      </c>
      <c r="C383" s="899" t="s">
        <v>110</v>
      </c>
      <c r="D383" s="899">
        <v>0</v>
      </c>
    </row>
    <row r="384" spans="1:4" x14ac:dyDescent="0.25">
      <c r="A384" s="899" t="s">
        <v>7978</v>
      </c>
      <c r="B384" s="899" t="s">
        <v>1906</v>
      </c>
      <c r="C384" s="899" t="s">
        <v>110</v>
      </c>
      <c r="D384" s="899">
        <v>0</v>
      </c>
    </row>
    <row r="385" spans="1:4" x14ac:dyDescent="0.25">
      <c r="A385" s="899" t="s">
        <v>7979</v>
      </c>
      <c r="B385" s="899" t="s">
        <v>1911</v>
      </c>
      <c r="C385" s="899" t="s">
        <v>110</v>
      </c>
      <c r="D385" s="899">
        <v>114274462</v>
      </c>
    </row>
    <row r="386" spans="1:4" x14ac:dyDescent="0.25">
      <c r="A386" s="899" t="s">
        <v>7980</v>
      </c>
      <c r="B386" s="899" t="s">
        <v>1914</v>
      </c>
      <c r="C386" s="899" t="s">
        <v>110</v>
      </c>
      <c r="D386" s="899">
        <v>27529020</v>
      </c>
    </row>
    <row r="387" spans="1:4" x14ac:dyDescent="0.25">
      <c r="A387" s="899" t="s">
        <v>7981</v>
      </c>
      <c r="B387" s="899" t="s">
        <v>1920</v>
      </c>
      <c r="C387" s="899" t="s">
        <v>110</v>
      </c>
      <c r="D387" s="899">
        <v>74830150</v>
      </c>
    </row>
    <row r="388" spans="1:4" x14ac:dyDescent="0.25">
      <c r="A388" s="899" t="s">
        <v>7982</v>
      </c>
      <c r="B388" s="899" t="s">
        <v>1923</v>
      </c>
      <c r="C388" s="899" t="s">
        <v>110</v>
      </c>
      <c r="D388" s="899">
        <v>27609856</v>
      </c>
    </row>
    <row r="389" spans="1:4" x14ac:dyDescent="0.25">
      <c r="A389" s="899" t="s">
        <v>7983</v>
      </c>
      <c r="B389" s="899" t="s">
        <v>1929</v>
      </c>
      <c r="C389" s="899" t="s">
        <v>110</v>
      </c>
      <c r="D389" s="899">
        <v>0</v>
      </c>
    </row>
    <row r="390" spans="1:4" x14ac:dyDescent="0.25">
      <c r="A390" s="899" t="s">
        <v>7984</v>
      </c>
      <c r="B390" s="899" t="s">
        <v>1933</v>
      </c>
      <c r="C390" s="899" t="s">
        <v>110</v>
      </c>
      <c r="D390" s="899">
        <v>0</v>
      </c>
    </row>
    <row r="391" spans="1:4" x14ac:dyDescent="0.25">
      <c r="A391" s="899" t="s">
        <v>7985</v>
      </c>
      <c r="B391" s="899" t="s">
        <v>1938</v>
      </c>
      <c r="C391" s="899" t="s">
        <v>110</v>
      </c>
      <c r="D391" s="899">
        <v>0</v>
      </c>
    </row>
    <row r="392" spans="1:4" x14ac:dyDescent="0.25">
      <c r="A392" s="899" t="s">
        <v>7986</v>
      </c>
      <c r="B392" s="899" t="s">
        <v>1943</v>
      </c>
      <c r="C392" s="899" t="s">
        <v>110</v>
      </c>
      <c r="D392" s="899">
        <v>0</v>
      </c>
    </row>
    <row r="393" spans="1:4" x14ac:dyDescent="0.25">
      <c r="A393" s="899" t="s">
        <v>7987</v>
      </c>
      <c r="B393" s="899" t="s">
        <v>1948</v>
      </c>
      <c r="C393" s="899" t="s">
        <v>110</v>
      </c>
      <c r="D393" s="899">
        <v>47015826</v>
      </c>
    </row>
    <row r="394" spans="1:4" x14ac:dyDescent="0.25">
      <c r="A394" s="899" t="s">
        <v>7988</v>
      </c>
      <c r="B394" s="899" t="s">
        <v>1954</v>
      </c>
      <c r="C394" s="899" t="s">
        <v>110</v>
      </c>
      <c r="D394" s="899">
        <v>0</v>
      </c>
    </row>
    <row r="395" spans="1:4" x14ac:dyDescent="0.25">
      <c r="A395" s="899" t="s">
        <v>7989</v>
      </c>
      <c r="B395" s="899" t="s">
        <v>1960</v>
      </c>
      <c r="C395" s="899" t="s">
        <v>110</v>
      </c>
      <c r="D395" s="899">
        <v>204468</v>
      </c>
    </row>
    <row r="396" spans="1:4" x14ac:dyDescent="0.25">
      <c r="A396" s="899" t="s">
        <v>7990</v>
      </c>
      <c r="B396" s="899" t="s">
        <v>1966</v>
      </c>
      <c r="C396" s="899" t="s">
        <v>110</v>
      </c>
      <c r="D396" s="899">
        <v>10575860</v>
      </c>
    </row>
    <row r="397" spans="1:4" x14ac:dyDescent="0.25">
      <c r="A397" s="899" t="s">
        <v>7991</v>
      </c>
      <c r="B397" s="899" t="s">
        <v>1972</v>
      </c>
      <c r="C397" s="899" t="s">
        <v>110</v>
      </c>
      <c r="D397" s="899">
        <v>1339432</v>
      </c>
    </row>
    <row r="398" spans="1:4" x14ac:dyDescent="0.25">
      <c r="A398" s="899" t="s">
        <v>7992</v>
      </c>
      <c r="B398" s="899" t="s">
        <v>1977</v>
      </c>
      <c r="C398" s="899" t="s">
        <v>110</v>
      </c>
      <c r="D398" s="899">
        <v>0</v>
      </c>
    </row>
    <row r="399" spans="1:4" x14ac:dyDescent="0.25">
      <c r="A399" s="899" t="s">
        <v>7993</v>
      </c>
      <c r="B399" s="899" t="s">
        <v>1981</v>
      </c>
      <c r="C399" s="899" t="s">
        <v>110</v>
      </c>
      <c r="D399" s="899">
        <v>1333457</v>
      </c>
    </row>
    <row r="400" spans="1:4" x14ac:dyDescent="0.25">
      <c r="A400" s="899" t="s">
        <v>7994</v>
      </c>
      <c r="B400" s="899" t="s">
        <v>1985</v>
      </c>
      <c r="C400" s="899" t="s">
        <v>110</v>
      </c>
      <c r="D400" s="899">
        <v>0</v>
      </c>
    </row>
    <row r="401" spans="1:4" x14ac:dyDescent="0.25">
      <c r="A401" s="899" t="s">
        <v>7995</v>
      </c>
      <c r="B401" s="899" t="s">
        <v>1989</v>
      </c>
      <c r="C401" s="899" t="s">
        <v>110</v>
      </c>
      <c r="D401" s="899">
        <v>0</v>
      </c>
    </row>
    <row r="402" spans="1:4" x14ac:dyDescent="0.25">
      <c r="A402" s="899" t="s">
        <v>7996</v>
      </c>
      <c r="B402" s="899" t="s">
        <v>1993</v>
      </c>
      <c r="C402" s="899" t="s">
        <v>110</v>
      </c>
      <c r="D402" s="899">
        <v>5975</v>
      </c>
    </row>
    <row r="403" spans="1:4" x14ac:dyDescent="0.25">
      <c r="A403" s="899" t="s">
        <v>7997</v>
      </c>
      <c r="B403" s="899" t="s">
        <v>1997</v>
      </c>
      <c r="C403" s="899" t="s">
        <v>110</v>
      </c>
      <c r="D403" s="899">
        <v>0</v>
      </c>
    </row>
    <row r="404" spans="1:4" x14ac:dyDescent="0.25">
      <c r="A404" s="899" t="s">
        <v>7998</v>
      </c>
      <c r="B404" s="899" t="s">
        <v>2002</v>
      </c>
      <c r="C404" s="899" t="s">
        <v>110</v>
      </c>
      <c r="D404" s="899">
        <v>0</v>
      </c>
    </row>
    <row r="405" spans="1:4" x14ac:dyDescent="0.25">
      <c r="A405" s="899" t="s">
        <v>7999</v>
      </c>
      <c r="B405" s="899" t="s">
        <v>2006</v>
      </c>
      <c r="C405" s="899" t="s">
        <v>110</v>
      </c>
      <c r="D405" s="899">
        <v>0</v>
      </c>
    </row>
    <row r="406" spans="1:4" x14ac:dyDescent="0.25">
      <c r="A406" s="899" t="s">
        <v>8000</v>
      </c>
      <c r="B406" s="899" t="s">
        <v>2010</v>
      </c>
      <c r="C406" s="899" t="s">
        <v>110</v>
      </c>
      <c r="D406" s="899">
        <v>0</v>
      </c>
    </row>
    <row r="407" spans="1:4" x14ac:dyDescent="0.25">
      <c r="A407" s="899" t="s">
        <v>8001</v>
      </c>
      <c r="B407" s="899" t="s">
        <v>2014</v>
      </c>
      <c r="C407" s="899" t="s">
        <v>110</v>
      </c>
      <c r="D407" s="899">
        <v>0</v>
      </c>
    </row>
    <row r="408" spans="1:4" x14ac:dyDescent="0.25">
      <c r="A408" s="899" t="s">
        <v>8002</v>
      </c>
      <c r="B408" s="899" t="s">
        <v>2020</v>
      </c>
      <c r="C408" s="899" t="s">
        <v>110</v>
      </c>
      <c r="D408" s="899">
        <v>0</v>
      </c>
    </row>
    <row r="409" spans="1:4" x14ac:dyDescent="0.25">
      <c r="A409" s="899" t="s">
        <v>8003</v>
      </c>
      <c r="B409" s="899" t="s">
        <v>2026</v>
      </c>
      <c r="C409" s="899" t="s">
        <v>110</v>
      </c>
      <c r="D409" s="899">
        <v>10526155</v>
      </c>
    </row>
    <row r="410" spans="1:4" x14ac:dyDescent="0.25">
      <c r="A410" s="899" t="s">
        <v>8004</v>
      </c>
      <c r="B410" s="899" t="s">
        <v>2029</v>
      </c>
      <c r="C410" s="899" t="s">
        <v>110</v>
      </c>
      <c r="D410" s="899">
        <v>0</v>
      </c>
    </row>
    <row r="411" spans="1:4" x14ac:dyDescent="0.25">
      <c r="A411" s="899" t="s">
        <v>8005</v>
      </c>
      <c r="B411" s="899" t="s">
        <v>2035</v>
      </c>
      <c r="C411" s="899" t="s">
        <v>110</v>
      </c>
      <c r="D411" s="899">
        <v>0</v>
      </c>
    </row>
    <row r="412" spans="1:4" x14ac:dyDescent="0.25">
      <c r="A412" s="899" t="s">
        <v>8006</v>
      </c>
      <c r="B412" s="899" t="s">
        <v>2038</v>
      </c>
      <c r="C412" s="899" t="s">
        <v>110</v>
      </c>
      <c r="D412" s="899">
        <v>0</v>
      </c>
    </row>
    <row r="413" spans="1:4" x14ac:dyDescent="0.25">
      <c r="A413" s="899" t="s">
        <v>8007</v>
      </c>
      <c r="B413" s="899" t="s">
        <v>2041</v>
      </c>
      <c r="C413" s="899" t="s">
        <v>110</v>
      </c>
      <c r="D413" s="899">
        <v>5016560</v>
      </c>
    </row>
    <row r="414" spans="1:4" x14ac:dyDescent="0.25">
      <c r="A414" s="899" t="s">
        <v>8008</v>
      </c>
      <c r="B414" s="899" t="s">
        <v>2045</v>
      </c>
      <c r="C414" s="899" t="s">
        <v>110</v>
      </c>
      <c r="D414" s="899">
        <v>40746</v>
      </c>
    </row>
    <row r="415" spans="1:4" x14ac:dyDescent="0.25">
      <c r="A415" s="899" t="s">
        <v>8009</v>
      </c>
      <c r="B415" s="899" t="s">
        <v>2050</v>
      </c>
      <c r="C415" s="899" t="s">
        <v>110</v>
      </c>
      <c r="D415" s="899">
        <v>40507</v>
      </c>
    </row>
    <row r="416" spans="1:4" x14ac:dyDescent="0.25">
      <c r="A416" s="899" t="s">
        <v>8010</v>
      </c>
      <c r="B416" s="899" t="s">
        <v>2055</v>
      </c>
      <c r="C416" s="899" t="s">
        <v>110</v>
      </c>
      <c r="D416" s="899">
        <v>0</v>
      </c>
    </row>
    <row r="417" spans="1:4" x14ac:dyDescent="0.25">
      <c r="A417" s="899" t="s">
        <v>8011</v>
      </c>
      <c r="B417" s="899" t="s">
        <v>2060</v>
      </c>
      <c r="C417" s="899" t="s">
        <v>110</v>
      </c>
      <c r="D417" s="899">
        <v>4935307</v>
      </c>
    </row>
    <row r="418" spans="1:4" x14ac:dyDescent="0.25">
      <c r="A418" s="899" t="s">
        <v>8012</v>
      </c>
      <c r="B418" s="899" t="s">
        <v>2065</v>
      </c>
      <c r="C418" s="899" t="s">
        <v>110</v>
      </c>
      <c r="D418" s="899">
        <v>0</v>
      </c>
    </row>
    <row r="419" spans="1:4" x14ac:dyDescent="0.25">
      <c r="A419" s="899" t="s">
        <v>8013</v>
      </c>
      <c r="B419" s="899" t="s">
        <v>2069</v>
      </c>
      <c r="C419" s="899" t="s">
        <v>110</v>
      </c>
      <c r="D419" s="899">
        <v>0</v>
      </c>
    </row>
    <row r="420" spans="1:4" x14ac:dyDescent="0.25">
      <c r="A420" s="899" t="s">
        <v>8014</v>
      </c>
      <c r="B420" s="899" t="s">
        <v>2073</v>
      </c>
      <c r="C420" s="899" t="s">
        <v>110</v>
      </c>
      <c r="D420" s="899">
        <v>0</v>
      </c>
    </row>
    <row r="421" spans="1:4" x14ac:dyDescent="0.25">
      <c r="A421" s="899" t="s">
        <v>8015</v>
      </c>
      <c r="B421" s="899" t="s">
        <v>2078</v>
      </c>
      <c r="C421" s="899" t="s">
        <v>110</v>
      </c>
      <c r="D421" s="899">
        <v>0</v>
      </c>
    </row>
    <row r="422" spans="1:4" x14ac:dyDescent="0.25">
      <c r="A422" s="899" t="s">
        <v>8016</v>
      </c>
      <c r="B422" s="899" t="s">
        <v>2082</v>
      </c>
      <c r="C422" s="899" t="s">
        <v>110</v>
      </c>
      <c r="D422" s="899">
        <v>0</v>
      </c>
    </row>
    <row r="423" spans="1:4" x14ac:dyDescent="0.25">
      <c r="A423" s="899" t="s">
        <v>8017</v>
      </c>
      <c r="B423" s="899" t="s">
        <v>2087</v>
      </c>
      <c r="C423" s="899" t="s">
        <v>110</v>
      </c>
      <c r="D423" s="899">
        <v>0</v>
      </c>
    </row>
    <row r="424" spans="1:4" x14ac:dyDescent="0.25">
      <c r="A424" s="899" t="s">
        <v>8018</v>
      </c>
      <c r="B424" s="899" t="s">
        <v>2092</v>
      </c>
      <c r="C424" s="899" t="s">
        <v>110</v>
      </c>
      <c r="D424" s="899">
        <v>0</v>
      </c>
    </row>
    <row r="425" spans="1:4" x14ac:dyDescent="0.25">
      <c r="A425" s="899" t="s">
        <v>8019</v>
      </c>
      <c r="B425" s="899" t="s">
        <v>2097</v>
      </c>
      <c r="C425" s="899" t="s">
        <v>110</v>
      </c>
      <c r="D425" s="899">
        <v>0</v>
      </c>
    </row>
    <row r="426" spans="1:4" x14ac:dyDescent="0.25">
      <c r="A426" s="899" t="s">
        <v>8020</v>
      </c>
      <c r="B426" s="899" t="s">
        <v>2102</v>
      </c>
      <c r="C426" s="899" t="s">
        <v>110</v>
      </c>
      <c r="D426" s="899">
        <v>0</v>
      </c>
    </row>
    <row r="427" spans="1:4" x14ac:dyDescent="0.25">
      <c r="A427" s="899" t="s">
        <v>8021</v>
      </c>
      <c r="B427" s="899" t="s">
        <v>2107</v>
      </c>
      <c r="C427" s="899" t="s">
        <v>110</v>
      </c>
      <c r="D427" s="899">
        <v>0</v>
      </c>
    </row>
    <row r="428" spans="1:4" x14ac:dyDescent="0.25">
      <c r="A428" s="899" t="s">
        <v>8022</v>
      </c>
      <c r="B428" s="899" t="s">
        <v>2112</v>
      </c>
      <c r="C428" s="899" t="s">
        <v>110</v>
      </c>
      <c r="D428" s="899">
        <v>0</v>
      </c>
    </row>
    <row r="429" spans="1:4" x14ac:dyDescent="0.25">
      <c r="A429" s="899" t="s">
        <v>8023</v>
      </c>
      <c r="B429" s="899" t="s">
        <v>2118</v>
      </c>
      <c r="C429" s="899" t="s">
        <v>110</v>
      </c>
      <c r="D429" s="899">
        <v>0</v>
      </c>
    </row>
    <row r="430" spans="1:4" x14ac:dyDescent="0.25">
      <c r="A430" s="899" t="s">
        <v>8024</v>
      </c>
      <c r="B430" s="899" t="s">
        <v>2123</v>
      </c>
      <c r="C430" s="899" t="s">
        <v>110</v>
      </c>
      <c r="D430" s="899">
        <v>1471536</v>
      </c>
    </row>
    <row r="431" spans="1:4" x14ac:dyDescent="0.25">
      <c r="A431" s="899" t="s">
        <v>8025</v>
      </c>
      <c r="B431" s="899" t="s">
        <v>2127</v>
      </c>
      <c r="C431" s="899" t="s">
        <v>110</v>
      </c>
      <c r="D431" s="899">
        <v>0</v>
      </c>
    </row>
    <row r="432" spans="1:4" x14ac:dyDescent="0.25">
      <c r="A432" s="899" t="s">
        <v>8026</v>
      </c>
      <c r="B432" s="899" t="s">
        <v>2131</v>
      </c>
      <c r="C432" s="899" t="s">
        <v>110</v>
      </c>
      <c r="D432" s="899">
        <v>43697</v>
      </c>
    </row>
    <row r="433" spans="1:4" x14ac:dyDescent="0.25">
      <c r="A433" s="899" t="s">
        <v>8027</v>
      </c>
      <c r="B433" s="899" t="s">
        <v>2136</v>
      </c>
      <c r="C433" s="899" t="s">
        <v>110</v>
      </c>
      <c r="D433" s="899">
        <v>0</v>
      </c>
    </row>
    <row r="434" spans="1:4" x14ac:dyDescent="0.25">
      <c r="A434" s="899" t="s">
        <v>8028</v>
      </c>
      <c r="B434" s="899" t="s">
        <v>2139</v>
      </c>
      <c r="C434" s="899" t="s">
        <v>110</v>
      </c>
      <c r="D434" s="899">
        <v>24140</v>
      </c>
    </row>
    <row r="435" spans="1:4" x14ac:dyDescent="0.25">
      <c r="A435" s="899" t="s">
        <v>8029</v>
      </c>
      <c r="B435" s="899" t="s">
        <v>2142</v>
      </c>
      <c r="C435" s="899" t="s">
        <v>110</v>
      </c>
      <c r="D435" s="899">
        <v>0</v>
      </c>
    </row>
    <row r="436" spans="1:4" x14ac:dyDescent="0.25">
      <c r="A436" s="899" t="s">
        <v>8030</v>
      </c>
      <c r="B436" s="899" t="s">
        <v>2145</v>
      </c>
      <c r="C436" s="899" t="s">
        <v>110</v>
      </c>
      <c r="D436" s="899">
        <v>19557</v>
      </c>
    </row>
    <row r="437" spans="1:4" x14ac:dyDescent="0.25">
      <c r="A437" s="899" t="s">
        <v>8031</v>
      </c>
      <c r="B437" s="899" t="s">
        <v>2148</v>
      </c>
      <c r="C437" s="899" t="s">
        <v>110</v>
      </c>
      <c r="D437" s="899">
        <v>3393</v>
      </c>
    </row>
    <row r="438" spans="1:4" x14ac:dyDescent="0.25">
      <c r="A438" s="899" t="s">
        <v>8032</v>
      </c>
      <c r="B438" s="899" t="s">
        <v>2153</v>
      </c>
      <c r="C438" s="899" t="s">
        <v>110</v>
      </c>
      <c r="D438" s="899">
        <v>0</v>
      </c>
    </row>
    <row r="439" spans="1:4" x14ac:dyDescent="0.25">
      <c r="A439" s="899" t="s">
        <v>8033</v>
      </c>
      <c r="B439" s="899" t="s">
        <v>2158</v>
      </c>
      <c r="C439" s="899" t="s">
        <v>110</v>
      </c>
      <c r="D439" s="899">
        <v>0</v>
      </c>
    </row>
    <row r="440" spans="1:4" x14ac:dyDescent="0.25">
      <c r="A440" s="899" t="s">
        <v>8034</v>
      </c>
      <c r="B440" s="899" t="s">
        <v>2161</v>
      </c>
      <c r="C440" s="899" t="s">
        <v>110</v>
      </c>
      <c r="D440" s="899">
        <v>0</v>
      </c>
    </row>
    <row r="441" spans="1:4" x14ac:dyDescent="0.25">
      <c r="A441" s="899" t="s">
        <v>8035</v>
      </c>
      <c r="B441" s="899" t="s">
        <v>2164</v>
      </c>
      <c r="C441" s="899" t="s">
        <v>110</v>
      </c>
      <c r="D441" s="899">
        <v>0</v>
      </c>
    </row>
    <row r="442" spans="1:4" x14ac:dyDescent="0.25">
      <c r="A442" s="899" t="s">
        <v>8036</v>
      </c>
      <c r="B442" s="899" t="s">
        <v>2167</v>
      </c>
      <c r="C442" s="899" t="s">
        <v>110</v>
      </c>
      <c r="D442" s="899">
        <v>0</v>
      </c>
    </row>
    <row r="443" spans="1:4" x14ac:dyDescent="0.25">
      <c r="A443" s="899" t="s">
        <v>8037</v>
      </c>
      <c r="B443" s="899" t="s">
        <v>2170</v>
      </c>
      <c r="C443" s="899" t="s">
        <v>110</v>
      </c>
      <c r="D443" s="899">
        <v>0</v>
      </c>
    </row>
    <row r="444" spans="1:4" x14ac:dyDescent="0.25">
      <c r="A444" s="899" t="s">
        <v>8038</v>
      </c>
      <c r="B444" s="899" t="s">
        <v>2173</v>
      </c>
      <c r="C444" s="899" t="s">
        <v>110</v>
      </c>
      <c r="D444" s="899">
        <v>1424446</v>
      </c>
    </row>
    <row r="445" spans="1:4" x14ac:dyDescent="0.25">
      <c r="A445" s="899" t="s">
        <v>8039</v>
      </c>
      <c r="B445" s="899" t="s">
        <v>2178</v>
      </c>
      <c r="C445" s="899" t="s">
        <v>110</v>
      </c>
      <c r="D445" s="899">
        <v>4038059</v>
      </c>
    </row>
    <row r="446" spans="1:4" x14ac:dyDescent="0.25">
      <c r="A446" s="899" t="s">
        <v>8040</v>
      </c>
      <c r="B446" s="899" t="s">
        <v>2182</v>
      </c>
      <c r="C446" s="899" t="s">
        <v>110</v>
      </c>
      <c r="D446" s="899">
        <v>0</v>
      </c>
    </row>
    <row r="447" spans="1:4" x14ac:dyDescent="0.25">
      <c r="A447" s="899" t="s">
        <v>8041</v>
      </c>
      <c r="B447" s="899" t="s">
        <v>2187</v>
      </c>
      <c r="C447" s="899" t="s">
        <v>110</v>
      </c>
      <c r="D447" s="899">
        <v>0</v>
      </c>
    </row>
    <row r="448" spans="1:4" x14ac:dyDescent="0.25">
      <c r="A448" s="899" t="s">
        <v>8042</v>
      </c>
      <c r="B448" s="899" t="s">
        <v>2190</v>
      </c>
      <c r="C448" s="899" t="s">
        <v>110</v>
      </c>
      <c r="D448" s="899">
        <v>0</v>
      </c>
    </row>
    <row r="449" spans="1:4" x14ac:dyDescent="0.25">
      <c r="A449" s="899" t="s">
        <v>8043</v>
      </c>
      <c r="B449" s="899" t="s">
        <v>2193</v>
      </c>
      <c r="C449" s="899" t="s">
        <v>110</v>
      </c>
      <c r="D449" s="899">
        <v>3646599</v>
      </c>
    </row>
    <row r="450" spans="1:4" x14ac:dyDescent="0.25">
      <c r="A450" s="899" t="s">
        <v>8044</v>
      </c>
      <c r="B450" s="899" t="s">
        <v>2197</v>
      </c>
      <c r="C450" s="899" t="s">
        <v>110</v>
      </c>
      <c r="D450" s="899">
        <v>3135468</v>
      </c>
    </row>
    <row r="451" spans="1:4" x14ac:dyDescent="0.25">
      <c r="A451" s="899" t="s">
        <v>8045</v>
      </c>
      <c r="B451" s="899" t="s">
        <v>2201</v>
      </c>
      <c r="C451" s="899" t="s">
        <v>110</v>
      </c>
      <c r="D451" s="899">
        <v>261497</v>
      </c>
    </row>
    <row r="452" spans="1:4" x14ac:dyDescent="0.25">
      <c r="A452" s="899" t="s">
        <v>8046</v>
      </c>
      <c r="B452" s="899" t="s">
        <v>2204</v>
      </c>
      <c r="C452" s="899" t="s">
        <v>110</v>
      </c>
      <c r="D452" s="899">
        <v>98913</v>
      </c>
    </row>
    <row r="453" spans="1:4" x14ac:dyDescent="0.25">
      <c r="A453" s="899" t="s">
        <v>8047</v>
      </c>
      <c r="B453" s="899" t="s">
        <v>2207</v>
      </c>
      <c r="C453" s="899" t="s">
        <v>110</v>
      </c>
      <c r="D453" s="899">
        <v>0</v>
      </c>
    </row>
    <row r="454" spans="1:4" x14ac:dyDescent="0.25">
      <c r="A454" s="899" t="s">
        <v>8048</v>
      </c>
      <c r="B454" s="899" t="s">
        <v>2211</v>
      </c>
      <c r="C454" s="899" t="s">
        <v>110</v>
      </c>
      <c r="D454" s="899">
        <v>150721</v>
      </c>
    </row>
    <row r="455" spans="1:4" x14ac:dyDescent="0.25">
      <c r="A455" s="899" t="s">
        <v>8049</v>
      </c>
      <c r="B455" s="899" t="s">
        <v>2215</v>
      </c>
      <c r="C455" s="899" t="s">
        <v>110</v>
      </c>
      <c r="D455" s="899"/>
    </row>
    <row r="456" spans="1:4" x14ac:dyDescent="0.25">
      <c r="A456" s="899" t="s">
        <v>8050</v>
      </c>
      <c r="B456" s="899" t="s">
        <v>2218</v>
      </c>
      <c r="C456" s="899" t="s">
        <v>110</v>
      </c>
      <c r="D456" s="899">
        <v>80954</v>
      </c>
    </row>
    <row r="457" spans="1:4" x14ac:dyDescent="0.25">
      <c r="A457" s="899" t="s">
        <v>8051</v>
      </c>
      <c r="B457" s="899" t="s">
        <v>2223</v>
      </c>
      <c r="C457" s="899" t="s">
        <v>110</v>
      </c>
      <c r="D457" s="899">
        <v>131187</v>
      </c>
    </row>
    <row r="458" spans="1:4" x14ac:dyDescent="0.25">
      <c r="A458" s="899" t="s">
        <v>8052</v>
      </c>
      <c r="B458" s="899" t="s">
        <v>2226</v>
      </c>
      <c r="C458" s="899" t="s">
        <v>110</v>
      </c>
      <c r="D458" s="899">
        <v>179319</v>
      </c>
    </row>
    <row r="459" spans="1:4" x14ac:dyDescent="0.25">
      <c r="A459" s="899" t="s">
        <v>8053</v>
      </c>
      <c r="B459" s="899" t="s">
        <v>2230</v>
      </c>
      <c r="C459" s="899" t="s">
        <v>110</v>
      </c>
      <c r="D459" s="899">
        <v>1058912</v>
      </c>
    </row>
    <row r="460" spans="1:4" x14ac:dyDescent="0.25">
      <c r="A460" s="899" t="s">
        <v>8054</v>
      </c>
      <c r="B460" s="899" t="s">
        <v>2233</v>
      </c>
      <c r="C460" s="899" t="s">
        <v>110</v>
      </c>
      <c r="D460" s="899">
        <v>1026550</v>
      </c>
    </row>
    <row r="461" spans="1:4" x14ac:dyDescent="0.25">
      <c r="A461" s="899" t="s">
        <v>8055</v>
      </c>
      <c r="B461" s="899" t="s">
        <v>2239</v>
      </c>
      <c r="C461" s="899" t="s">
        <v>110</v>
      </c>
      <c r="D461" s="899">
        <v>0</v>
      </c>
    </row>
    <row r="462" spans="1:4" x14ac:dyDescent="0.25">
      <c r="A462" s="899" t="s">
        <v>8056</v>
      </c>
      <c r="B462" s="899" t="s">
        <v>2242</v>
      </c>
      <c r="C462" s="899" t="s">
        <v>110</v>
      </c>
      <c r="D462" s="899">
        <v>118000</v>
      </c>
    </row>
    <row r="463" spans="1:4" x14ac:dyDescent="0.25">
      <c r="A463" s="899" t="s">
        <v>8057</v>
      </c>
      <c r="B463" s="899" t="s">
        <v>2245</v>
      </c>
      <c r="C463" s="899" t="s">
        <v>110</v>
      </c>
      <c r="D463" s="899">
        <v>908550</v>
      </c>
    </row>
    <row r="464" spans="1:4" x14ac:dyDescent="0.25">
      <c r="A464" s="899" t="s">
        <v>8058</v>
      </c>
      <c r="B464" s="899" t="s">
        <v>2248</v>
      </c>
      <c r="C464" s="899" t="s">
        <v>110</v>
      </c>
      <c r="D464" s="899">
        <v>32362</v>
      </c>
    </row>
    <row r="465" spans="1:4" x14ac:dyDescent="0.25">
      <c r="A465" s="899" t="s">
        <v>8059</v>
      </c>
      <c r="B465" s="899" t="s">
        <v>2254</v>
      </c>
      <c r="C465" s="899" t="s">
        <v>110</v>
      </c>
      <c r="D465" s="899">
        <v>0</v>
      </c>
    </row>
    <row r="466" spans="1:4" x14ac:dyDescent="0.25">
      <c r="A466" s="899" t="s">
        <v>8060</v>
      </c>
      <c r="B466" s="899" t="s">
        <v>2258</v>
      </c>
      <c r="C466" s="899" t="s">
        <v>110</v>
      </c>
      <c r="D466" s="899">
        <v>88013080</v>
      </c>
    </row>
    <row r="467" spans="1:4" x14ac:dyDescent="0.25">
      <c r="A467" s="899" t="s">
        <v>8061</v>
      </c>
      <c r="B467" s="899" t="s">
        <v>2261</v>
      </c>
      <c r="C467" s="899" t="s">
        <v>110</v>
      </c>
      <c r="D467" s="899">
        <v>655134</v>
      </c>
    </row>
    <row r="468" spans="1:4" x14ac:dyDescent="0.25">
      <c r="A468" s="899" t="s">
        <v>8062</v>
      </c>
      <c r="B468" s="899" t="s">
        <v>2267</v>
      </c>
      <c r="C468" s="899" t="s">
        <v>110</v>
      </c>
      <c r="D468" s="899">
        <v>0</v>
      </c>
    </row>
    <row r="469" spans="1:4" x14ac:dyDescent="0.25">
      <c r="A469" s="899" t="s">
        <v>8063</v>
      </c>
      <c r="B469" s="899" t="s">
        <v>2273</v>
      </c>
      <c r="C469" s="899" t="s">
        <v>110</v>
      </c>
      <c r="D469" s="899">
        <v>0</v>
      </c>
    </row>
    <row r="470" spans="1:4" x14ac:dyDescent="0.25">
      <c r="A470" s="899" t="s">
        <v>8064</v>
      </c>
      <c r="B470" s="899" t="s">
        <v>2277</v>
      </c>
      <c r="C470" s="899" t="s">
        <v>110</v>
      </c>
      <c r="D470" s="899">
        <v>0</v>
      </c>
    </row>
    <row r="471" spans="1:4" x14ac:dyDescent="0.25">
      <c r="A471" s="899" t="s">
        <v>8065</v>
      </c>
      <c r="B471" s="899" t="s">
        <v>2281</v>
      </c>
      <c r="C471" s="899" t="s">
        <v>110</v>
      </c>
      <c r="D471" s="899">
        <v>0</v>
      </c>
    </row>
    <row r="472" spans="1:4" x14ac:dyDescent="0.25">
      <c r="A472" s="899" t="s">
        <v>8066</v>
      </c>
      <c r="B472" s="899" t="s">
        <v>2285</v>
      </c>
      <c r="C472" s="899" t="s">
        <v>110</v>
      </c>
      <c r="D472" s="899">
        <v>0</v>
      </c>
    </row>
    <row r="473" spans="1:4" x14ac:dyDescent="0.25">
      <c r="A473" s="899" t="s">
        <v>8067</v>
      </c>
      <c r="B473" s="899" t="s">
        <v>2289</v>
      </c>
      <c r="C473" s="899" t="s">
        <v>110</v>
      </c>
      <c r="D473" s="899">
        <v>0</v>
      </c>
    </row>
    <row r="474" spans="1:4" x14ac:dyDescent="0.25">
      <c r="A474" s="899" t="s">
        <v>8068</v>
      </c>
      <c r="B474" s="899" t="s">
        <v>2293</v>
      </c>
      <c r="C474" s="899" t="s">
        <v>110</v>
      </c>
      <c r="D474" s="899">
        <v>18076651</v>
      </c>
    </row>
    <row r="475" spans="1:4" x14ac:dyDescent="0.25">
      <c r="A475" s="899" t="s">
        <v>8069</v>
      </c>
      <c r="B475" s="899" t="s">
        <v>2298</v>
      </c>
      <c r="C475" s="899" t="s">
        <v>110</v>
      </c>
      <c r="D475" s="899">
        <v>0</v>
      </c>
    </row>
    <row r="476" spans="1:4" x14ac:dyDescent="0.25">
      <c r="A476" s="899" t="s">
        <v>8070</v>
      </c>
      <c r="B476" s="899" t="s">
        <v>2302</v>
      </c>
      <c r="C476" s="899" t="s">
        <v>110</v>
      </c>
      <c r="D476" s="899">
        <v>0</v>
      </c>
    </row>
    <row r="477" spans="1:4" x14ac:dyDescent="0.25">
      <c r="A477" s="899" t="s">
        <v>8071</v>
      </c>
      <c r="B477" s="899" t="s">
        <v>2306</v>
      </c>
      <c r="C477" s="899" t="s">
        <v>110</v>
      </c>
      <c r="D477" s="899">
        <v>0</v>
      </c>
    </row>
    <row r="478" spans="1:4" x14ac:dyDescent="0.25">
      <c r="A478" s="899" t="s">
        <v>8072</v>
      </c>
      <c r="B478" s="899" t="s">
        <v>2310</v>
      </c>
      <c r="C478" s="899" t="s">
        <v>110</v>
      </c>
      <c r="D478" s="899">
        <v>0</v>
      </c>
    </row>
    <row r="479" spans="1:4" x14ac:dyDescent="0.25">
      <c r="A479" s="899" t="s">
        <v>8073</v>
      </c>
      <c r="B479" s="899" t="s">
        <v>2314</v>
      </c>
      <c r="C479" s="899" t="s">
        <v>110</v>
      </c>
      <c r="D479" s="899">
        <v>0</v>
      </c>
    </row>
    <row r="480" spans="1:4" x14ac:dyDescent="0.25">
      <c r="A480" s="899" t="s">
        <v>8074</v>
      </c>
      <c r="B480" s="899" t="s">
        <v>2318</v>
      </c>
      <c r="C480" s="899" t="s">
        <v>110</v>
      </c>
      <c r="D480" s="899">
        <v>18076651</v>
      </c>
    </row>
    <row r="481" spans="1:4" x14ac:dyDescent="0.25">
      <c r="A481" s="899" t="s">
        <v>8075</v>
      </c>
      <c r="B481" s="899" t="s">
        <v>2322</v>
      </c>
      <c r="C481" s="899" t="s">
        <v>110</v>
      </c>
      <c r="D481" s="899">
        <v>0</v>
      </c>
    </row>
    <row r="482" spans="1:4" x14ac:dyDescent="0.25">
      <c r="A482" s="899" t="s">
        <v>8076</v>
      </c>
      <c r="B482" s="899" t="s">
        <v>2326</v>
      </c>
      <c r="C482" s="899" t="s">
        <v>110</v>
      </c>
      <c r="D482" s="899">
        <v>0</v>
      </c>
    </row>
    <row r="483" spans="1:4" x14ac:dyDescent="0.25">
      <c r="A483" s="899" t="s">
        <v>8077</v>
      </c>
      <c r="B483" s="899" t="s">
        <v>2330</v>
      </c>
      <c r="C483" s="899" t="s">
        <v>110</v>
      </c>
      <c r="D483" s="899">
        <v>0</v>
      </c>
    </row>
    <row r="484" spans="1:4" x14ac:dyDescent="0.25">
      <c r="A484" s="899" t="s">
        <v>8078</v>
      </c>
      <c r="B484" s="899" t="s">
        <v>2334</v>
      </c>
      <c r="C484" s="899" t="s">
        <v>110</v>
      </c>
      <c r="D484" s="899">
        <v>0</v>
      </c>
    </row>
    <row r="485" spans="1:4" x14ac:dyDescent="0.25">
      <c r="A485" s="899" t="s">
        <v>8079</v>
      </c>
      <c r="B485" s="899" t="s">
        <v>2338</v>
      </c>
      <c r="C485" s="899" t="s">
        <v>110</v>
      </c>
      <c r="D485" s="899">
        <v>0</v>
      </c>
    </row>
    <row r="486" spans="1:4" x14ac:dyDescent="0.25">
      <c r="A486" s="899" t="s">
        <v>8080</v>
      </c>
      <c r="B486" s="899" t="s">
        <v>2341</v>
      </c>
      <c r="C486" s="899" t="s">
        <v>110</v>
      </c>
      <c r="D486" s="899">
        <v>0</v>
      </c>
    </row>
    <row r="487" spans="1:4" x14ac:dyDescent="0.25">
      <c r="A487" s="899" t="s">
        <v>8081</v>
      </c>
      <c r="B487" s="899" t="s">
        <v>2344</v>
      </c>
      <c r="C487" s="899" t="s">
        <v>110</v>
      </c>
      <c r="D487" s="899">
        <v>513</v>
      </c>
    </row>
    <row r="488" spans="1:4" x14ac:dyDescent="0.25">
      <c r="A488" s="899" t="s">
        <v>8082</v>
      </c>
      <c r="B488" s="899" t="s">
        <v>2350</v>
      </c>
      <c r="C488" s="899" t="s">
        <v>110</v>
      </c>
      <c r="D488" s="899">
        <v>10599074</v>
      </c>
    </row>
    <row r="489" spans="1:4" x14ac:dyDescent="0.25">
      <c r="A489" s="899" t="s">
        <v>8083</v>
      </c>
      <c r="B489" s="899" t="s">
        <v>2355</v>
      </c>
      <c r="C489" s="899" t="s">
        <v>110</v>
      </c>
      <c r="D489" s="899">
        <v>10560835</v>
      </c>
    </row>
    <row r="490" spans="1:4" x14ac:dyDescent="0.25">
      <c r="A490" s="899" t="s">
        <v>8084</v>
      </c>
      <c r="B490" s="899" t="s">
        <v>2358</v>
      </c>
      <c r="C490" s="899" t="s">
        <v>110</v>
      </c>
      <c r="D490" s="899">
        <v>0</v>
      </c>
    </row>
    <row r="491" spans="1:4" x14ac:dyDescent="0.25">
      <c r="A491" s="899" t="s">
        <v>8085</v>
      </c>
      <c r="B491" s="899" t="s">
        <v>2362</v>
      </c>
      <c r="C491" s="899" t="s">
        <v>110</v>
      </c>
      <c r="D491" s="899">
        <v>0</v>
      </c>
    </row>
    <row r="492" spans="1:4" x14ac:dyDescent="0.25">
      <c r="A492" s="899" t="s">
        <v>8086</v>
      </c>
      <c r="B492" s="899" t="s">
        <v>2366</v>
      </c>
      <c r="C492" s="899" t="s">
        <v>110</v>
      </c>
      <c r="D492" s="899">
        <v>0</v>
      </c>
    </row>
    <row r="493" spans="1:4" x14ac:dyDescent="0.25">
      <c r="A493" s="899" t="s">
        <v>8087</v>
      </c>
      <c r="B493" s="899" t="s">
        <v>2369</v>
      </c>
      <c r="C493" s="899" t="s">
        <v>110</v>
      </c>
      <c r="D493" s="899">
        <v>0</v>
      </c>
    </row>
    <row r="494" spans="1:4" x14ac:dyDescent="0.25">
      <c r="A494" s="899" t="s">
        <v>8088</v>
      </c>
      <c r="B494" s="899" t="s">
        <v>2372</v>
      </c>
      <c r="C494" s="899" t="s">
        <v>110</v>
      </c>
      <c r="D494" s="899">
        <v>0</v>
      </c>
    </row>
    <row r="495" spans="1:4" x14ac:dyDescent="0.25">
      <c r="A495" s="899" t="s">
        <v>8089</v>
      </c>
      <c r="B495" s="899" t="s">
        <v>2375</v>
      </c>
      <c r="C495" s="899" t="s">
        <v>110</v>
      </c>
      <c r="D495" s="899">
        <v>0</v>
      </c>
    </row>
    <row r="496" spans="1:4" x14ac:dyDescent="0.25">
      <c r="A496" s="899" t="s">
        <v>8090</v>
      </c>
      <c r="B496" s="899" t="s">
        <v>2381</v>
      </c>
      <c r="C496" s="899" t="s">
        <v>110</v>
      </c>
      <c r="D496" s="899">
        <v>0</v>
      </c>
    </row>
    <row r="497" spans="1:4" x14ac:dyDescent="0.25">
      <c r="A497" s="899" t="s">
        <v>8091</v>
      </c>
      <c r="B497" s="899" t="s">
        <v>2386</v>
      </c>
      <c r="C497" s="899" t="s">
        <v>110</v>
      </c>
      <c r="D497" s="899">
        <v>0</v>
      </c>
    </row>
    <row r="498" spans="1:4" x14ac:dyDescent="0.25">
      <c r="A498" s="899" t="s">
        <v>8092</v>
      </c>
      <c r="B498" s="899" t="s">
        <v>2391</v>
      </c>
      <c r="C498" s="899" t="s">
        <v>110</v>
      </c>
      <c r="D498" s="899">
        <v>4157082</v>
      </c>
    </row>
    <row r="499" spans="1:4" x14ac:dyDescent="0.25">
      <c r="A499" s="899" t="s">
        <v>8093</v>
      </c>
      <c r="B499" s="899" t="s">
        <v>2395</v>
      </c>
      <c r="C499" s="899" t="s">
        <v>110</v>
      </c>
      <c r="D499" s="899">
        <v>0</v>
      </c>
    </row>
    <row r="500" spans="1:4" x14ac:dyDescent="0.25">
      <c r="A500" s="899" t="s">
        <v>8094</v>
      </c>
      <c r="B500" s="899" t="s">
        <v>2399</v>
      </c>
      <c r="C500" s="899" t="s">
        <v>110</v>
      </c>
      <c r="D500" s="899">
        <v>4157082</v>
      </c>
    </row>
    <row r="501" spans="1:4" x14ac:dyDescent="0.25">
      <c r="A501" s="899" t="s">
        <v>8095</v>
      </c>
      <c r="B501" s="899" t="s">
        <v>2402</v>
      </c>
      <c r="C501" s="899" t="s">
        <v>110</v>
      </c>
      <c r="D501" s="899">
        <v>0</v>
      </c>
    </row>
    <row r="502" spans="1:4" x14ac:dyDescent="0.25">
      <c r="A502" s="899" t="s">
        <v>8096</v>
      </c>
      <c r="B502" s="899" t="s">
        <v>2405</v>
      </c>
      <c r="C502" s="899" t="s">
        <v>110</v>
      </c>
      <c r="D502" s="899">
        <v>0</v>
      </c>
    </row>
    <row r="503" spans="1:4" x14ac:dyDescent="0.25">
      <c r="A503" s="899" t="s">
        <v>8097</v>
      </c>
      <c r="B503" s="899" t="s">
        <v>2409</v>
      </c>
      <c r="C503" s="899" t="s">
        <v>110</v>
      </c>
      <c r="D503" s="899">
        <v>6403753</v>
      </c>
    </row>
    <row r="504" spans="1:4" x14ac:dyDescent="0.25">
      <c r="A504" s="899" t="s">
        <v>8098</v>
      </c>
      <c r="B504" s="899" t="s">
        <v>2414</v>
      </c>
      <c r="C504" s="899" t="s">
        <v>110</v>
      </c>
      <c r="D504" s="899">
        <v>0</v>
      </c>
    </row>
    <row r="505" spans="1:4" x14ac:dyDescent="0.25">
      <c r="A505" s="899" t="s">
        <v>8099</v>
      </c>
      <c r="B505" s="899" t="s">
        <v>2417</v>
      </c>
      <c r="C505" s="899" t="s">
        <v>110</v>
      </c>
      <c r="D505" s="899">
        <v>1503487</v>
      </c>
    </row>
    <row r="506" spans="1:4" x14ac:dyDescent="0.25">
      <c r="A506" s="899" t="s">
        <v>8100</v>
      </c>
      <c r="B506" s="899" t="s">
        <v>2420</v>
      </c>
      <c r="C506" s="899" t="s">
        <v>110</v>
      </c>
      <c r="D506" s="899">
        <v>0</v>
      </c>
    </row>
    <row r="507" spans="1:4" x14ac:dyDescent="0.25">
      <c r="A507" s="899" t="s">
        <v>8101</v>
      </c>
      <c r="B507" s="899" t="s">
        <v>2423</v>
      </c>
      <c r="C507" s="899" t="s">
        <v>110</v>
      </c>
      <c r="D507" s="899">
        <v>4815221</v>
      </c>
    </row>
    <row r="508" spans="1:4" x14ac:dyDescent="0.25">
      <c r="A508" s="899" t="s">
        <v>8102</v>
      </c>
      <c r="B508" s="899" t="s">
        <v>2426</v>
      </c>
      <c r="C508" s="899" t="s">
        <v>110</v>
      </c>
      <c r="D508" s="899">
        <v>85045</v>
      </c>
    </row>
    <row r="509" spans="1:4" x14ac:dyDescent="0.25">
      <c r="A509" s="899" t="s">
        <v>8103</v>
      </c>
      <c r="B509" s="899" t="s">
        <v>2429</v>
      </c>
      <c r="C509" s="899" t="s">
        <v>110</v>
      </c>
      <c r="D509" s="899">
        <v>0</v>
      </c>
    </row>
    <row r="510" spans="1:4" x14ac:dyDescent="0.25">
      <c r="A510" s="899" t="s">
        <v>8104</v>
      </c>
      <c r="B510" s="899" t="s">
        <v>2433</v>
      </c>
      <c r="C510" s="899" t="s">
        <v>110</v>
      </c>
      <c r="D510" s="899">
        <v>0</v>
      </c>
    </row>
    <row r="511" spans="1:4" x14ac:dyDescent="0.25">
      <c r="A511" s="899" t="s">
        <v>8105</v>
      </c>
      <c r="B511" s="899" t="s">
        <v>2437</v>
      </c>
      <c r="C511" s="899" t="s">
        <v>110</v>
      </c>
      <c r="D511" s="899">
        <v>0</v>
      </c>
    </row>
    <row r="512" spans="1:4" x14ac:dyDescent="0.25">
      <c r="A512" s="899" t="s">
        <v>8106</v>
      </c>
      <c r="B512" s="899" t="s">
        <v>2441</v>
      </c>
      <c r="C512" s="899" t="s">
        <v>110</v>
      </c>
      <c r="D512" s="899">
        <v>0</v>
      </c>
    </row>
    <row r="513" spans="1:4" x14ac:dyDescent="0.25">
      <c r="A513" s="899" t="s">
        <v>8107</v>
      </c>
      <c r="B513" s="899" t="s">
        <v>2445</v>
      </c>
      <c r="C513" s="899" t="s">
        <v>110</v>
      </c>
      <c r="D513" s="899">
        <v>0</v>
      </c>
    </row>
    <row r="514" spans="1:4" x14ac:dyDescent="0.25">
      <c r="A514" s="899" t="s">
        <v>8108</v>
      </c>
      <c r="B514" s="899" t="s">
        <v>2448</v>
      </c>
      <c r="C514" s="899" t="s">
        <v>110</v>
      </c>
      <c r="D514" s="899">
        <v>0</v>
      </c>
    </row>
    <row r="515" spans="1:4" x14ac:dyDescent="0.25">
      <c r="A515" s="899" t="s">
        <v>8109</v>
      </c>
      <c r="B515" s="899" t="s">
        <v>2451</v>
      </c>
      <c r="C515" s="899" t="s">
        <v>110</v>
      </c>
      <c r="D515" s="899">
        <v>0</v>
      </c>
    </row>
    <row r="516" spans="1:4" x14ac:dyDescent="0.25">
      <c r="A516" s="899" t="s">
        <v>8110</v>
      </c>
      <c r="B516" s="899" t="s">
        <v>2455</v>
      </c>
      <c r="C516" s="899" t="s">
        <v>110</v>
      </c>
      <c r="D516" s="899">
        <v>38239</v>
      </c>
    </row>
    <row r="517" spans="1:4" x14ac:dyDescent="0.25">
      <c r="A517" s="899" t="s">
        <v>8111</v>
      </c>
      <c r="B517" s="899" t="s">
        <v>2460</v>
      </c>
      <c r="C517" s="899" t="s">
        <v>110</v>
      </c>
      <c r="D517" s="899">
        <v>38239</v>
      </c>
    </row>
    <row r="518" spans="1:4" x14ac:dyDescent="0.25">
      <c r="A518" s="899" t="s">
        <v>8112</v>
      </c>
      <c r="B518" s="899" t="s">
        <v>2463</v>
      </c>
      <c r="C518" s="899" t="s">
        <v>110</v>
      </c>
      <c r="D518" s="899">
        <v>0</v>
      </c>
    </row>
    <row r="519" spans="1:4" x14ac:dyDescent="0.25">
      <c r="A519" s="899" t="s">
        <v>8113</v>
      </c>
      <c r="B519" s="899" t="s">
        <v>2466</v>
      </c>
      <c r="C519" s="899" t="s">
        <v>110</v>
      </c>
      <c r="D519" s="899">
        <v>0</v>
      </c>
    </row>
    <row r="520" spans="1:4" x14ac:dyDescent="0.25">
      <c r="A520" s="899" t="s">
        <v>8114</v>
      </c>
      <c r="B520" s="899" t="s">
        <v>2471</v>
      </c>
      <c r="C520" s="899" t="s">
        <v>110</v>
      </c>
      <c r="D520" s="899">
        <v>0</v>
      </c>
    </row>
    <row r="521" spans="1:4" x14ac:dyDescent="0.25">
      <c r="A521" s="899" t="s">
        <v>8115</v>
      </c>
      <c r="B521" s="899" t="s">
        <v>2475</v>
      </c>
      <c r="C521" s="899" t="s">
        <v>110</v>
      </c>
      <c r="D521" s="899">
        <v>0</v>
      </c>
    </row>
    <row r="522" spans="1:4" x14ac:dyDescent="0.25">
      <c r="A522" s="899" t="s">
        <v>8116</v>
      </c>
      <c r="B522" s="899" t="s">
        <v>2479</v>
      </c>
      <c r="C522" s="899" t="s">
        <v>110</v>
      </c>
      <c r="D522" s="899">
        <v>0</v>
      </c>
    </row>
    <row r="523" spans="1:4" x14ac:dyDescent="0.25">
      <c r="A523" s="899" t="s">
        <v>8117</v>
      </c>
      <c r="B523" s="899" t="s">
        <v>2483</v>
      </c>
      <c r="C523" s="899" t="s">
        <v>110</v>
      </c>
      <c r="D523" s="899">
        <v>0</v>
      </c>
    </row>
    <row r="524" spans="1:4" x14ac:dyDescent="0.25">
      <c r="A524" s="899" t="s">
        <v>8118</v>
      </c>
      <c r="B524" s="899" t="s">
        <v>2487</v>
      </c>
      <c r="C524" s="899" t="s">
        <v>110</v>
      </c>
      <c r="D524" s="899">
        <v>0</v>
      </c>
    </row>
    <row r="525" spans="1:4" x14ac:dyDescent="0.25">
      <c r="A525" s="899" t="s">
        <v>8119</v>
      </c>
      <c r="B525" s="899" t="s">
        <v>2491</v>
      </c>
      <c r="C525" s="899" t="s">
        <v>110</v>
      </c>
      <c r="D525" s="899">
        <v>0</v>
      </c>
    </row>
    <row r="526" spans="1:4" x14ac:dyDescent="0.25">
      <c r="A526" s="899" t="s">
        <v>8120</v>
      </c>
      <c r="B526" s="899" t="s">
        <v>2496</v>
      </c>
      <c r="C526" s="899" t="s">
        <v>110</v>
      </c>
      <c r="D526" s="899">
        <v>0</v>
      </c>
    </row>
    <row r="527" spans="1:4" x14ac:dyDescent="0.25">
      <c r="A527" s="899" t="s">
        <v>8121</v>
      </c>
      <c r="B527" s="899" t="s">
        <v>2500</v>
      </c>
      <c r="C527" s="899" t="s">
        <v>110</v>
      </c>
      <c r="D527" s="899">
        <v>0</v>
      </c>
    </row>
    <row r="528" spans="1:4" x14ac:dyDescent="0.25">
      <c r="A528" s="899" t="s">
        <v>8122</v>
      </c>
      <c r="B528" s="899" t="s">
        <v>2503</v>
      </c>
      <c r="C528" s="899" t="s">
        <v>110</v>
      </c>
      <c r="D528" s="899">
        <v>0</v>
      </c>
    </row>
    <row r="529" spans="1:4" x14ac:dyDescent="0.25">
      <c r="A529" s="899" t="s">
        <v>8123</v>
      </c>
      <c r="B529" s="899" t="s">
        <v>2506</v>
      </c>
      <c r="C529" s="899" t="s">
        <v>110</v>
      </c>
      <c r="D529" s="899">
        <v>0</v>
      </c>
    </row>
    <row r="530" spans="1:4" x14ac:dyDescent="0.25">
      <c r="A530" s="899" t="s">
        <v>8124</v>
      </c>
      <c r="B530" s="899" t="s">
        <v>2510</v>
      </c>
      <c r="C530" s="899" t="s">
        <v>110</v>
      </c>
      <c r="D530" s="899">
        <v>0</v>
      </c>
    </row>
    <row r="531" spans="1:4" x14ac:dyDescent="0.25">
      <c r="A531" s="899" t="s">
        <v>8125</v>
      </c>
      <c r="B531" s="899" t="s">
        <v>2514</v>
      </c>
      <c r="C531" s="899" t="s">
        <v>110</v>
      </c>
      <c r="D531" s="899">
        <v>0</v>
      </c>
    </row>
    <row r="532" spans="1:4" x14ac:dyDescent="0.25">
      <c r="A532" s="899" t="s">
        <v>8126</v>
      </c>
      <c r="B532" s="899" t="s">
        <v>2517</v>
      </c>
      <c r="C532" s="899" t="s">
        <v>110</v>
      </c>
      <c r="D532" s="899">
        <v>0</v>
      </c>
    </row>
    <row r="533" spans="1:4" x14ac:dyDescent="0.25">
      <c r="A533" s="899" t="s">
        <v>8127</v>
      </c>
      <c r="B533" s="899" t="s">
        <v>2520</v>
      </c>
      <c r="C533" s="899" t="s">
        <v>110</v>
      </c>
      <c r="D533" s="899">
        <v>32537849</v>
      </c>
    </row>
    <row r="534" spans="1:4" x14ac:dyDescent="0.25">
      <c r="A534" s="899" t="s">
        <v>8128</v>
      </c>
      <c r="B534" s="899" t="s">
        <v>2525</v>
      </c>
      <c r="C534" s="899" t="s">
        <v>110</v>
      </c>
      <c r="D534" s="899">
        <v>103034</v>
      </c>
    </row>
    <row r="535" spans="1:4" x14ac:dyDescent="0.25">
      <c r="A535" s="899" t="s">
        <v>8129</v>
      </c>
      <c r="B535" s="899" t="s">
        <v>2529</v>
      </c>
      <c r="C535" s="899" t="s">
        <v>110</v>
      </c>
      <c r="D535" s="899">
        <v>103034</v>
      </c>
    </row>
    <row r="536" spans="1:4" x14ac:dyDescent="0.25">
      <c r="A536" s="899" t="s">
        <v>8130</v>
      </c>
      <c r="B536" s="899" t="s">
        <v>2533</v>
      </c>
      <c r="C536" s="899" t="s">
        <v>110</v>
      </c>
      <c r="D536" s="899">
        <v>0</v>
      </c>
    </row>
    <row r="537" spans="1:4" x14ac:dyDescent="0.25">
      <c r="A537" s="899" t="s">
        <v>8131</v>
      </c>
      <c r="B537" s="899" t="s">
        <v>2536</v>
      </c>
      <c r="C537" s="899" t="s">
        <v>110</v>
      </c>
      <c r="D537" s="899">
        <v>0</v>
      </c>
    </row>
    <row r="538" spans="1:4" x14ac:dyDescent="0.25">
      <c r="A538" s="899" t="s">
        <v>8132</v>
      </c>
      <c r="B538" s="899" t="s">
        <v>2539</v>
      </c>
      <c r="C538" s="899" t="s">
        <v>110</v>
      </c>
      <c r="D538" s="899">
        <v>0</v>
      </c>
    </row>
    <row r="539" spans="1:4" x14ac:dyDescent="0.25">
      <c r="A539" s="899" t="s">
        <v>8133</v>
      </c>
      <c r="B539" s="899" t="s">
        <v>2542</v>
      </c>
      <c r="C539" s="899" t="s">
        <v>110</v>
      </c>
      <c r="D539" s="899">
        <v>0</v>
      </c>
    </row>
    <row r="540" spans="1:4" x14ac:dyDescent="0.25">
      <c r="A540" s="899" t="s">
        <v>8134</v>
      </c>
      <c r="B540" s="899" t="s">
        <v>2545</v>
      </c>
      <c r="C540" s="899" t="s">
        <v>110</v>
      </c>
      <c r="D540" s="899">
        <v>0</v>
      </c>
    </row>
    <row r="541" spans="1:4" x14ac:dyDescent="0.25">
      <c r="A541" s="899" t="s">
        <v>8135</v>
      </c>
      <c r="B541" s="899" t="s">
        <v>2548</v>
      </c>
      <c r="C541" s="899" t="s">
        <v>110</v>
      </c>
      <c r="D541" s="899">
        <v>0</v>
      </c>
    </row>
    <row r="542" spans="1:4" x14ac:dyDescent="0.25">
      <c r="A542" s="899" t="s">
        <v>8136</v>
      </c>
      <c r="B542" s="899" t="s">
        <v>2552</v>
      </c>
      <c r="C542" s="899" t="s">
        <v>110</v>
      </c>
      <c r="D542" s="899">
        <v>32434815</v>
      </c>
    </row>
    <row r="543" spans="1:4" x14ac:dyDescent="0.25">
      <c r="A543" s="899" t="s">
        <v>8137</v>
      </c>
      <c r="B543" s="899" t="s">
        <v>2556</v>
      </c>
      <c r="C543" s="899" t="s">
        <v>110</v>
      </c>
      <c r="D543" s="899">
        <v>22592054</v>
      </c>
    </row>
    <row r="544" spans="1:4" x14ac:dyDescent="0.25">
      <c r="A544" s="899" t="s">
        <v>8138</v>
      </c>
      <c r="B544" s="899" t="s">
        <v>2560</v>
      </c>
      <c r="C544" s="899" t="s">
        <v>110</v>
      </c>
      <c r="D544" s="899">
        <v>9842761</v>
      </c>
    </row>
    <row r="545" spans="1:4" x14ac:dyDescent="0.25">
      <c r="A545" s="899" t="s">
        <v>8139</v>
      </c>
      <c r="B545" s="899" t="s">
        <v>2563</v>
      </c>
      <c r="C545" s="899" t="s">
        <v>110</v>
      </c>
      <c r="D545" s="899">
        <v>0</v>
      </c>
    </row>
    <row r="546" spans="1:4" x14ac:dyDescent="0.25">
      <c r="A546" s="899" t="s">
        <v>8140</v>
      </c>
      <c r="B546" s="899" t="s">
        <v>2567</v>
      </c>
      <c r="C546" s="899" t="s">
        <v>110</v>
      </c>
      <c r="D546" s="899">
        <v>0</v>
      </c>
    </row>
    <row r="547" spans="1:4" x14ac:dyDescent="0.25">
      <c r="A547" s="899" t="s">
        <v>8141</v>
      </c>
      <c r="B547" s="899" t="s">
        <v>2573</v>
      </c>
      <c r="C547" s="899" t="s">
        <v>110</v>
      </c>
      <c r="D547" s="899">
        <v>5353825</v>
      </c>
    </row>
    <row r="548" spans="1:4" x14ac:dyDescent="0.25">
      <c r="A548" s="899" t="s">
        <v>8142</v>
      </c>
      <c r="B548" s="899" t="s">
        <v>2579</v>
      </c>
      <c r="C548" s="899" t="s">
        <v>110</v>
      </c>
      <c r="D548" s="899">
        <v>8411731</v>
      </c>
    </row>
    <row r="549" spans="1:4" x14ac:dyDescent="0.25">
      <c r="A549" s="899" t="s">
        <v>8143</v>
      </c>
      <c r="B549" s="899" t="s">
        <v>2585</v>
      </c>
      <c r="C549" s="899" t="s">
        <v>110</v>
      </c>
      <c r="D549" s="899">
        <v>12378303</v>
      </c>
    </row>
    <row r="550" spans="1:4" x14ac:dyDescent="0.25">
      <c r="A550" s="899" t="s">
        <v>8144</v>
      </c>
      <c r="B550" s="899" t="s">
        <v>2589</v>
      </c>
      <c r="C550" s="899" t="s">
        <v>110</v>
      </c>
      <c r="D550" s="899">
        <v>0</v>
      </c>
    </row>
    <row r="551" spans="1:4" x14ac:dyDescent="0.25">
      <c r="A551" s="899" t="s">
        <v>8145</v>
      </c>
      <c r="B551" s="899" t="s">
        <v>2594</v>
      </c>
      <c r="C551" s="899" t="s">
        <v>110</v>
      </c>
      <c r="D551" s="899">
        <v>10890396</v>
      </c>
    </row>
    <row r="552" spans="1:4" x14ac:dyDescent="0.25">
      <c r="A552" s="899" t="s">
        <v>8146</v>
      </c>
      <c r="B552" s="899" t="s">
        <v>2599</v>
      </c>
      <c r="C552" s="899" t="s">
        <v>110</v>
      </c>
      <c r="D552" s="899"/>
    </row>
    <row r="553" spans="1:4" x14ac:dyDescent="0.25">
      <c r="A553" s="899" t="s">
        <v>8147</v>
      </c>
      <c r="B553" s="899" t="s">
        <v>2602</v>
      </c>
      <c r="C553" s="899" t="s">
        <v>110</v>
      </c>
      <c r="D553" s="899">
        <v>1666314</v>
      </c>
    </row>
    <row r="554" spans="1:4" x14ac:dyDescent="0.25">
      <c r="A554" s="899" t="s">
        <v>8148</v>
      </c>
      <c r="B554" s="899" t="s">
        <v>2605</v>
      </c>
      <c r="C554" s="899" t="s">
        <v>110</v>
      </c>
      <c r="D554" s="899">
        <v>9224082</v>
      </c>
    </row>
    <row r="555" spans="1:4" x14ac:dyDescent="0.25">
      <c r="A555" s="899" t="s">
        <v>8149</v>
      </c>
      <c r="B555" s="899" t="s">
        <v>2608</v>
      </c>
      <c r="C555" s="899" t="s">
        <v>110</v>
      </c>
      <c r="D555" s="899">
        <v>0</v>
      </c>
    </row>
    <row r="556" spans="1:4" x14ac:dyDescent="0.25">
      <c r="A556" s="899" t="s">
        <v>8150</v>
      </c>
      <c r="B556" s="899" t="s">
        <v>2611</v>
      </c>
      <c r="C556" s="899" t="s">
        <v>110</v>
      </c>
      <c r="D556" s="899">
        <v>0</v>
      </c>
    </row>
    <row r="557" spans="1:4" x14ac:dyDescent="0.25">
      <c r="A557" s="899" t="s">
        <v>8151</v>
      </c>
      <c r="B557" s="899" t="s">
        <v>2614</v>
      </c>
      <c r="C557" s="899" t="s">
        <v>110</v>
      </c>
      <c r="D557" s="899">
        <v>0</v>
      </c>
    </row>
    <row r="558" spans="1:4" x14ac:dyDescent="0.25">
      <c r="A558" s="899" t="s">
        <v>8152</v>
      </c>
      <c r="B558" s="899" t="s">
        <v>2617</v>
      </c>
      <c r="C558" s="899" t="s">
        <v>110</v>
      </c>
      <c r="D558" s="899">
        <v>0</v>
      </c>
    </row>
    <row r="559" spans="1:4" x14ac:dyDescent="0.25">
      <c r="A559" s="899" t="s">
        <v>8153</v>
      </c>
      <c r="B559" s="899" t="s">
        <v>2621</v>
      </c>
      <c r="C559" s="899" t="s">
        <v>110</v>
      </c>
      <c r="D559" s="899">
        <v>1487907</v>
      </c>
    </row>
    <row r="560" spans="1:4" x14ac:dyDescent="0.25">
      <c r="A560" s="899" t="s">
        <v>8154</v>
      </c>
      <c r="B560" s="899" t="s">
        <v>2625</v>
      </c>
      <c r="C560" s="899" t="s">
        <v>110</v>
      </c>
      <c r="D560" s="899">
        <v>1257591</v>
      </c>
    </row>
    <row r="561" spans="1:4" x14ac:dyDescent="0.25">
      <c r="A561" s="899" t="s">
        <v>8155</v>
      </c>
      <c r="B561" s="899" t="s">
        <v>2629</v>
      </c>
      <c r="C561" s="899" t="s">
        <v>110</v>
      </c>
      <c r="D561" s="899">
        <v>230316</v>
      </c>
    </row>
    <row r="562" spans="1:4" x14ac:dyDescent="0.25">
      <c r="A562" s="899" t="s">
        <v>8156</v>
      </c>
      <c r="B562" s="899" t="s">
        <v>2632</v>
      </c>
      <c r="C562" s="899" t="s">
        <v>110</v>
      </c>
      <c r="D562" s="899">
        <v>0</v>
      </c>
    </row>
    <row r="563" spans="1:4" x14ac:dyDescent="0.25">
      <c r="A563" s="899" t="s">
        <v>8157</v>
      </c>
      <c r="B563" s="899" t="s">
        <v>2635</v>
      </c>
      <c r="C563" s="899" t="s">
        <v>110</v>
      </c>
      <c r="D563" s="899">
        <v>0</v>
      </c>
    </row>
    <row r="564" spans="1:4" x14ac:dyDescent="0.25">
      <c r="A564" s="899" t="s">
        <v>8158</v>
      </c>
      <c r="B564" s="899" t="s">
        <v>2638</v>
      </c>
      <c r="C564" s="899" t="s">
        <v>110</v>
      </c>
      <c r="D564" s="899">
        <v>0</v>
      </c>
    </row>
    <row r="565" spans="1:4" x14ac:dyDescent="0.25">
      <c r="A565" s="899" t="s">
        <v>8159</v>
      </c>
      <c r="B565" s="899" t="s">
        <v>2641</v>
      </c>
      <c r="C565" s="899" t="s">
        <v>110</v>
      </c>
      <c r="D565" s="899">
        <v>0</v>
      </c>
    </row>
    <row r="566" spans="1:4" x14ac:dyDescent="0.25">
      <c r="A566" s="899" t="s">
        <v>8160</v>
      </c>
      <c r="B566" s="899" t="s">
        <v>2644</v>
      </c>
      <c r="C566" s="899" t="s">
        <v>110</v>
      </c>
      <c r="D566" s="899">
        <v>0</v>
      </c>
    </row>
    <row r="567" spans="1:4" x14ac:dyDescent="0.25">
      <c r="A567" s="899" t="s">
        <v>8161</v>
      </c>
      <c r="B567" s="899" t="s">
        <v>2647</v>
      </c>
      <c r="C567" s="899" t="s">
        <v>110</v>
      </c>
      <c r="D567" s="899">
        <v>37559</v>
      </c>
    </row>
    <row r="568" spans="1:4" x14ac:dyDescent="0.25">
      <c r="A568" s="899" t="s">
        <v>8162</v>
      </c>
      <c r="B568" s="899" t="s">
        <v>2651</v>
      </c>
      <c r="C568" s="899" t="s">
        <v>110</v>
      </c>
      <c r="D568" s="899">
        <v>0</v>
      </c>
    </row>
    <row r="569" spans="1:4" x14ac:dyDescent="0.25">
      <c r="A569" s="899" t="s">
        <v>8163</v>
      </c>
      <c r="B569" s="899" t="s">
        <v>2655</v>
      </c>
      <c r="C569" s="899" t="s">
        <v>110</v>
      </c>
      <c r="D569" s="899">
        <v>0</v>
      </c>
    </row>
    <row r="570" spans="1:4" x14ac:dyDescent="0.25">
      <c r="A570" s="899" t="s">
        <v>8164</v>
      </c>
      <c r="B570" s="899" t="s">
        <v>2659</v>
      </c>
      <c r="C570" s="899" t="s">
        <v>110</v>
      </c>
      <c r="D570" s="899">
        <v>0</v>
      </c>
    </row>
    <row r="571" spans="1:4" x14ac:dyDescent="0.25">
      <c r="A571" s="899" t="s">
        <v>8165</v>
      </c>
      <c r="B571" s="899" t="s">
        <v>2663</v>
      </c>
      <c r="C571" s="899" t="s">
        <v>110</v>
      </c>
      <c r="D571" s="899">
        <v>0</v>
      </c>
    </row>
    <row r="572" spans="1:4" x14ac:dyDescent="0.25">
      <c r="A572" s="899" t="s">
        <v>8166</v>
      </c>
      <c r="B572" s="899" t="s">
        <v>2666</v>
      </c>
      <c r="C572" s="899" t="s">
        <v>110</v>
      </c>
      <c r="D572" s="899">
        <v>0</v>
      </c>
    </row>
    <row r="573" spans="1:4" x14ac:dyDescent="0.25">
      <c r="A573" s="899" t="s">
        <v>8167</v>
      </c>
      <c r="B573" s="899" t="s">
        <v>2669</v>
      </c>
      <c r="C573" s="899" t="s">
        <v>110</v>
      </c>
      <c r="D573" s="899">
        <v>0</v>
      </c>
    </row>
    <row r="574" spans="1:4" x14ac:dyDescent="0.25">
      <c r="A574" s="899" t="s">
        <v>8168</v>
      </c>
      <c r="B574" s="899" t="s">
        <v>2672</v>
      </c>
      <c r="C574" s="899" t="s">
        <v>110</v>
      </c>
      <c r="D574" s="899">
        <v>0</v>
      </c>
    </row>
    <row r="575" spans="1:4" x14ac:dyDescent="0.25">
      <c r="A575" s="899" t="s">
        <v>8169</v>
      </c>
      <c r="B575" s="899" t="s">
        <v>2675</v>
      </c>
      <c r="C575" s="899" t="s">
        <v>110</v>
      </c>
      <c r="D575" s="899">
        <v>0</v>
      </c>
    </row>
    <row r="576" spans="1:4" x14ac:dyDescent="0.25">
      <c r="A576" s="899" t="s">
        <v>8170</v>
      </c>
      <c r="B576" s="899" t="s">
        <v>2678</v>
      </c>
      <c r="C576" s="899" t="s">
        <v>110</v>
      </c>
      <c r="D576" s="899">
        <v>37559</v>
      </c>
    </row>
    <row r="577" spans="1:4" x14ac:dyDescent="0.25">
      <c r="A577" s="899" t="s">
        <v>8171</v>
      </c>
      <c r="B577" s="899" t="s">
        <v>2682</v>
      </c>
      <c r="C577" s="899" t="s">
        <v>110</v>
      </c>
      <c r="D577" s="899">
        <v>37559</v>
      </c>
    </row>
    <row r="578" spans="1:4" x14ac:dyDescent="0.25">
      <c r="A578" s="899" t="s">
        <v>8172</v>
      </c>
      <c r="B578" s="899" t="s">
        <v>2686</v>
      </c>
      <c r="C578" s="899" t="s">
        <v>110</v>
      </c>
      <c r="D578" s="899">
        <v>0</v>
      </c>
    </row>
    <row r="579" spans="1:4" x14ac:dyDescent="0.25">
      <c r="A579" s="899" t="s">
        <v>8173</v>
      </c>
      <c r="B579" s="899" t="s">
        <v>2690</v>
      </c>
      <c r="C579" s="899" t="s">
        <v>110</v>
      </c>
      <c r="D579" s="899">
        <v>0</v>
      </c>
    </row>
    <row r="580" spans="1:4" x14ac:dyDescent="0.25">
      <c r="A580" s="899" t="s">
        <v>8174</v>
      </c>
      <c r="B580" s="899" t="s">
        <v>2694</v>
      </c>
      <c r="C580" s="899" t="s">
        <v>110</v>
      </c>
      <c r="D580" s="899">
        <v>7562304</v>
      </c>
    </row>
    <row r="581" spans="1:4" x14ac:dyDescent="0.25">
      <c r="A581" s="899" t="s">
        <v>8175</v>
      </c>
      <c r="B581" s="899" t="s">
        <v>2697</v>
      </c>
      <c r="C581" s="899" t="s">
        <v>110</v>
      </c>
      <c r="D581" s="899">
        <v>0</v>
      </c>
    </row>
    <row r="582" spans="1:4" x14ac:dyDescent="0.25">
      <c r="A582" s="899" t="s">
        <v>8176</v>
      </c>
      <c r="B582" s="899" t="s">
        <v>2702</v>
      </c>
      <c r="C582" s="899" t="s">
        <v>110</v>
      </c>
      <c r="D582" s="899">
        <v>0</v>
      </c>
    </row>
    <row r="583" spans="1:4" x14ac:dyDescent="0.25">
      <c r="A583" s="899" t="s">
        <v>8177</v>
      </c>
      <c r="B583" s="899" t="s">
        <v>2707</v>
      </c>
      <c r="C583" s="899" t="s">
        <v>110</v>
      </c>
      <c r="D583" s="899">
        <v>7812</v>
      </c>
    </row>
    <row r="584" spans="1:4" x14ac:dyDescent="0.25">
      <c r="A584" s="899" t="s">
        <v>8178</v>
      </c>
      <c r="B584" s="899" t="s">
        <v>2712</v>
      </c>
      <c r="C584" s="899" t="s">
        <v>110</v>
      </c>
      <c r="D584" s="899">
        <v>0</v>
      </c>
    </row>
    <row r="585" spans="1:4" x14ac:dyDescent="0.25">
      <c r="A585" s="899" t="s">
        <v>8179</v>
      </c>
      <c r="B585" s="899" t="s">
        <v>2717</v>
      </c>
      <c r="C585" s="899" t="s">
        <v>110</v>
      </c>
      <c r="D585" s="899">
        <v>7554492</v>
      </c>
    </row>
    <row r="586" spans="1:4" x14ac:dyDescent="0.25">
      <c r="A586" s="899" t="s">
        <v>8180</v>
      </c>
      <c r="B586" s="899" t="s">
        <v>2721</v>
      </c>
      <c r="C586" s="899" t="s">
        <v>110</v>
      </c>
      <c r="D586" s="899"/>
    </row>
    <row r="587" spans="1:4" x14ac:dyDescent="0.25">
      <c r="A587" s="899" t="s">
        <v>8181</v>
      </c>
      <c r="B587" s="899" t="s">
        <v>2724</v>
      </c>
      <c r="C587" s="899" t="s">
        <v>110</v>
      </c>
      <c r="D587" s="899">
        <v>153200</v>
      </c>
    </row>
    <row r="588" spans="1:4" x14ac:dyDescent="0.25">
      <c r="A588" s="899" t="s">
        <v>8182</v>
      </c>
      <c r="B588" s="899" t="s">
        <v>2726</v>
      </c>
      <c r="C588" s="899" t="s">
        <v>110</v>
      </c>
      <c r="D588" s="899">
        <v>0</v>
      </c>
    </row>
    <row r="589" spans="1:4" x14ac:dyDescent="0.25">
      <c r="A589" s="899" t="s">
        <v>8183</v>
      </c>
      <c r="B589" s="899" t="s">
        <v>2728</v>
      </c>
      <c r="C589" s="899" t="s">
        <v>110</v>
      </c>
      <c r="D589" s="899">
        <v>0</v>
      </c>
    </row>
    <row r="590" spans="1:4" x14ac:dyDescent="0.25">
      <c r="A590" s="899" t="s">
        <v>8184</v>
      </c>
      <c r="B590" s="899" t="s">
        <v>2730</v>
      </c>
      <c r="C590" s="899" t="s">
        <v>110</v>
      </c>
      <c r="D590" s="899"/>
    </row>
    <row r="591" spans="1:4" x14ac:dyDescent="0.25">
      <c r="A591" s="899" t="s">
        <v>8185</v>
      </c>
      <c r="B591" s="899" t="s">
        <v>2733</v>
      </c>
      <c r="C591" s="899" t="s">
        <v>110</v>
      </c>
      <c r="D591" s="899">
        <v>7401292</v>
      </c>
    </row>
    <row r="592" spans="1:4" x14ac:dyDescent="0.25">
      <c r="A592" s="899" t="s">
        <v>8186</v>
      </c>
      <c r="B592" s="899" t="s">
        <v>2735</v>
      </c>
      <c r="C592" s="899" t="s">
        <v>110</v>
      </c>
      <c r="D592" s="899">
        <v>0</v>
      </c>
    </row>
    <row r="593" spans="1:5" x14ac:dyDescent="0.25">
      <c r="A593" s="899" t="s">
        <v>8187</v>
      </c>
      <c r="B593" s="899" t="s">
        <v>2737</v>
      </c>
      <c r="C593" s="899" t="s">
        <v>110</v>
      </c>
      <c r="D593" s="899">
        <v>0</v>
      </c>
    </row>
    <row r="594" spans="1:5" x14ac:dyDescent="0.25">
      <c r="A594" s="899" t="s">
        <v>8188</v>
      </c>
      <c r="B594" s="899" t="s">
        <v>2739</v>
      </c>
      <c r="C594" s="899" t="s">
        <v>110</v>
      </c>
      <c r="D594" s="899">
        <v>0</v>
      </c>
    </row>
    <row r="595" spans="1:5" x14ac:dyDescent="0.25">
      <c r="A595" s="899" t="s">
        <v>8189</v>
      </c>
      <c r="B595" s="899" t="s">
        <v>2741</v>
      </c>
      <c r="C595" s="899" t="s">
        <v>110</v>
      </c>
      <c r="D595" s="899"/>
    </row>
    <row r="596" spans="1:5" x14ac:dyDescent="0.25">
      <c r="A596" s="899" t="s">
        <v>8190</v>
      </c>
      <c r="B596" s="899" t="s">
        <v>2743</v>
      </c>
      <c r="C596" s="899" t="s">
        <v>110</v>
      </c>
      <c r="D596" s="899">
        <v>0</v>
      </c>
    </row>
    <row r="597" spans="1:5" x14ac:dyDescent="0.25">
      <c r="A597" s="899" t="s">
        <v>8191</v>
      </c>
      <c r="B597" s="899" t="s">
        <v>2745</v>
      </c>
      <c r="C597" s="899" t="s">
        <v>110</v>
      </c>
      <c r="D597" s="899">
        <v>0</v>
      </c>
    </row>
    <row r="598" spans="1:5" x14ac:dyDescent="0.25">
      <c r="A598" s="899" t="s">
        <v>8192</v>
      </c>
      <c r="B598" s="899" t="s">
        <v>2747</v>
      </c>
      <c r="C598" s="899" t="s">
        <v>110</v>
      </c>
      <c r="D598" s="899">
        <v>0</v>
      </c>
    </row>
    <row r="599" spans="1:5" x14ac:dyDescent="0.25">
      <c r="A599" s="899" t="s">
        <v>8193</v>
      </c>
      <c r="B599" s="899" t="s">
        <v>2749</v>
      </c>
      <c r="C599" s="899" t="s">
        <v>110</v>
      </c>
      <c r="D599" s="899">
        <v>0</v>
      </c>
    </row>
    <row r="600" spans="1:5" x14ac:dyDescent="0.25">
      <c r="A600" s="899" t="s">
        <v>8194</v>
      </c>
      <c r="B600" s="899" t="s">
        <v>1065</v>
      </c>
      <c r="C600" s="899" t="s">
        <v>110</v>
      </c>
      <c r="D600" s="899">
        <v>0</v>
      </c>
      <c r="E600" s="900">
        <v>0</v>
      </c>
    </row>
    <row r="601" spans="1:5" x14ac:dyDescent="0.25">
      <c r="A601" s="899" t="s">
        <v>8195</v>
      </c>
      <c r="B601" s="899" t="s">
        <v>1069</v>
      </c>
      <c r="C601" s="899" t="s">
        <v>110</v>
      </c>
      <c r="D601" s="899">
        <v>0</v>
      </c>
      <c r="E601" s="900">
        <v>0</v>
      </c>
    </row>
    <row r="602" spans="1:5" x14ac:dyDescent="0.25">
      <c r="A602" s="899" t="s">
        <v>8196</v>
      </c>
      <c r="B602" s="899" t="s">
        <v>1074</v>
      </c>
      <c r="C602" s="899" t="s">
        <v>110</v>
      </c>
      <c r="D602" s="899">
        <v>0</v>
      </c>
      <c r="E602" s="900">
        <v>0</v>
      </c>
    </row>
    <row r="603" spans="1:5" x14ac:dyDescent="0.25">
      <c r="A603" s="899" t="s">
        <v>8197</v>
      </c>
      <c r="B603" s="899" t="s">
        <v>1079</v>
      </c>
      <c r="C603" s="899" t="s">
        <v>110</v>
      </c>
      <c r="D603" s="899">
        <v>0</v>
      </c>
      <c r="E603" s="900">
        <v>0</v>
      </c>
    </row>
    <row r="604" spans="1:5" x14ac:dyDescent="0.25">
      <c r="A604" s="899" t="s">
        <v>8198</v>
      </c>
      <c r="B604" s="899" t="s">
        <v>1084</v>
      </c>
      <c r="C604" s="899" t="s">
        <v>110</v>
      </c>
      <c r="D604" s="899">
        <v>0</v>
      </c>
      <c r="E604" s="900">
        <v>0</v>
      </c>
    </row>
    <row r="605" spans="1:5" x14ac:dyDescent="0.25">
      <c r="A605" s="899" t="s">
        <v>8199</v>
      </c>
      <c r="B605" s="899" t="s">
        <v>1352</v>
      </c>
      <c r="C605" s="899" t="s">
        <v>110</v>
      </c>
      <c r="D605" s="899">
        <v>328223</v>
      </c>
      <c r="E605" s="900">
        <v>0</v>
      </c>
    </row>
    <row r="606" spans="1:5" x14ac:dyDescent="0.25">
      <c r="A606" s="899" t="s">
        <v>8200</v>
      </c>
      <c r="B606" s="899" t="s">
        <v>1355</v>
      </c>
      <c r="C606" s="899" t="s">
        <v>110</v>
      </c>
      <c r="D606" s="899">
        <v>0</v>
      </c>
      <c r="E606" s="900">
        <v>0</v>
      </c>
    </row>
    <row r="607" spans="1:5" x14ac:dyDescent="0.25">
      <c r="A607" s="899" t="s">
        <v>8201</v>
      </c>
      <c r="B607" s="899" t="s">
        <v>1363</v>
      </c>
      <c r="C607" s="899" t="s">
        <v>110</v>
      </c>
      <c r="D607" s="899">
        <v>0</v>
      </c>
      <c r="E607" s="900">
        <v>0</v>
      </c>
    </row>
    <row r="608" spans="1:5" x14ac:dyDescent="0.25">
      <c r="A608" s="899" t="s">
        <v>8202</v>
      </c>
      <c r="B608" s="899" t="s">
        <v>1368</v>
      </c>
      <c r="C608" s="899" t="s">
        <v>110</v>
      </c>
      <c r="D608" s="899">
        <v>0</v>
      </c>
      <c r="E608" s="900">
        <v>0</v>
      </c>
    </row>
    <row r="609" spans="1:5" x14ac:dyDescent="0.25">
      <c r="A609" s="899" t="s">
        <v>8203</v>
      </c>
      <c r="B609" s="899" t="s">
        <v>1371</v>
      </c>
      <c r="C609" s="899" t="s">
        <v>110</v>
      </c>
      <c r="D609" s="899">
        <v>0</v>
      </c>
      <c r="E609" s="900">
        <v>0</v>
      </c>
    </row>
    <row r="610" spans="1:5" x14ac:dyDescent="0.25">
      <c r="A610" s="899" t="s">
        <v>8204</v>
      </c>
      <c r="B610" s="899" t="s">
        <v>1376</v>
      </c>
      <c r="C610" s="899" t="s">
        <v>110</v>
      </c>
      <c r="D610" s="899">
        <v>0</v>
      </c>
      <c r="E610" s="900">
        <v>0</v>
      </c>
    </row>
    <row r="611" spans="1:5" x14ac:dyDescent="0.25">
      <c r="A611" s="899" t="s">
        <v>8205</v>
      </c>
      <c r="B611" s="899" t="s">
        <v>1379</v>
      </c>
      <c r="C611" s="899" t="s">
        <v>110</v>
      </c>
      <c r="D611" s="899">
        <v>0</v>
      </c>
      <c r="E611" s="900">
        <v>0</v>
      </c>
    </row>
    <row r="612" spans="1:5" x14ac:dyDescent="0.25">
      <c r="A612" s="899" t="s">
        <v>8206</v>
      </c>
      <c r="B612" s="899" t="s">
        <v>1383</v>
      </c>
      <c r="C612" s="899" t="s">
        <v>110</v>
      </c>
      <c r="D612" s="899">
        <v>0</v>
      </c>
      <c r="E612" s="900">
        <v>0</v>
      </c>
    </row>
    <row r="613" spans="1:5" x14ac:dyDescent="0.25">
      <c r="A613" s="899" t="s">
        <v>8207</v>
      </c>
      <c r="B613" s="899" t="s">
        <v>1387</v>
      </c>
      <c r="C613" s="899" t="s">
        <v>110</v>
      </c>
      <c r="D613" s="899">
        <v>0</v>
      </c>
      <c r="E613" s="900">
        <v>0</v>
      </c>
    </row>
    <row r="614" spans="1:5" x14ac:dyDescent="0.25">
      <c r="A614" s="899" t="s">
        <v>8208</v>
      </c>
      <c r="B614" s="899" t="s">
        <v>1391</v>
      </c>
      <c r="C614" s="899" t="s">
        <v>110</v>
      </c>
      <c r="D614" s="899">
        <v>328223</v>
      </c>
      <c r="E614" s="900">
        <v>0</v>
      </c>
    </row>
    <row r="615" spans="1:5" x14ac:dyDescent="0.25">
      <c r="A615" s="899" t="s">
        <v>8209</v>
      </c>
      <c r="B615" s="899" t="s">
        <v>1396</v>
      </c>
      <c r="C615" s="899" t="s">
        <v>110</v>
      </c>
      <c r="D615" s="899">
        <v>0</v>
      </c>
      <c r="E615" s="900">
        <v>0</v>
      </c>
    </row>
    <row r="616" spans="1:5" x14ac:dyDescent="0.25">
      <c r="A616" s="899" t="s">
        <v>8210</v>
      </c>
      <c r="B616" s="899" t="s">
        <v>1400</v>
      </c>
      <c r="C616" s="899" t="s">
        <v>110</v>
      </c>
      <c r="D616" s="899">
        <v>0</v>
      </c>
      <c r="E616" s="900">
        <v>0</v>
      </c>
    </row>
    <row r="617" spans="1:5" x14ac:dyDescent="0.25">
      <c r="A617" s="899" t="s">
        <v>8211</v>
      </c>
      <c r="B617" s="899" t="s">
        <v>1406</v>
      </c>
      <c r="C617" s="899" t="s">
        <v>110</v>
      </c>
      <c r="D617" s="899">
        <v>0</v>
      </c>
      <c r="E617" s="900">
        <v>0</v>
      </c>
    </row>
    <row r="618" spans="1:5" x14ac:dyDescent="0.25">
      <c r="A618" s="899" t="s">
        <v>8212</v>
      </c>
      <c r="B618" s="899" t="s">
        <v>1409</v>
      </c>
      <c r="C618" s="899" t="s">
        <v>110</v>
      </c>
      <c r="D618" s="899">
        <v>0</v>
      </c>
      <c r="E618" s="900">
        <v>0</v>
      </c>
    </row>
    <row r="619" spans="1:5" x14ac:dyDescent="0.25">
      <c r="A619" s="899" t="s">
        <v>8213</v>
      </c>
      <c r="B619" s="899" t="s">
        <v>1414</v>
      </c>
      <c r="C619" s="899" t="s">
        <v>110</v>
      </c>
      <c r="D619" s="899">
        <v>0</v>
      </c>
      <c r="E619" s="900">
        <v>0</v>
      </c>
    </row>
    <row r="620" spans="1:5" x14ac:dyDescent="0.25">
      <c r="A620" s="899" t="s">
        <v>8214</v>
      </c>
      <c r="B620" s="899" t="s">
        <v>1420</v>
      </c>
      <c r="C620" s="899" t="s">
        <v>110</v>
      </c>
      <c r="D620" s="899">
        <v>0</v>
      </c>
      <c r="E620" s="900">
        <v>0</v>
      </c>
    </row>
    <row r="621" spans="1:5" x14ac:dyDescent="0.25">
      <c r="A621" s="899" t="s">
        <v>8215</v>
      </c>
      <c r="B621" s="899" t="s">
        <v>1425</v>
      </c>
      <c r="C621" s="899" t="s">
        <v>110</v>
      </c>
      <c r="D621" s="899">
        <v>0</v>
      </c>
      <c r="E621" s="900">
        <v>0</v>
      </c>
    </row>
    <row r="622" spans="1:5" x14ac:dyDescent="0.25">
      <c r="A622" s="899" t="s">
        <v>8216</v>
      </c>
      <c r="B622" s="899" t="s">
        <v>1430</v>
      </c>
      <c r="C622" s="899" t="s">
        <v>110</v>
      </c>
      <c r="D622" s="899">
        <v>0</v>
      </c>
      <c r="E622" s="900">
        <v>0</v>
      </c>
    </row>
    <row r="623" spans="1:5" x14ac:dyDescent="0.25">
      <c r="A623" s="899" t="s">
        <v>8217</v>
      </c>
      <c r="B623" s="899" t="s">
        <v>1435</v>
      </c>
      <c r="C623" s="899" t="s">
        <v>110</v>
      </c>
      <c r="D623" s="899">
        <v>56089659</v>
      </c>
      <c r="E623" s="900">
        <v>0</v>
      </c>
    </row>
    <row r="624" spans="1:5" x14ac:dyDescent="0.25">
      <c r="A624" s="899" t="s">
        <v>8218</v>
      </c>
      <c r="B624" s="899" t="s">
        <v>1438</v>
      </c>
      <c r="C624" s="899" t="s">
        <v>110</v>
      </c>
      <c r="D624" s="899">
        <v>26822800</v>
      </c>
      <c r="E624" s="900">
        <v>0</v>
      </c>
    </row>
    <row r="625" spans="1:5" x14ac:dyDescent="0.25">
      <c r="A625" s="899" t="s">
        <v>8219</v>
      </c>
      <c r="B625" s="899" t="s">
        <v>1441</v>
      </c>
      <c r="C625" s="899" t="s">
        <v>110</v>
      </c>
      <c r="D625" s="899">
        <v>0</v>
      </c>
      <c r="E625" s="900">
        <v>0</v>
      </c>
    </row>
    <row r="626" spans="1:5" x14ac:dyDescent="0.25">
      <c r="A626" s="899" t="s">
        <v>8220</v>
      </c>
      <c r="B626" s="899" t="s">
        <v>1446</v>
      </c>
      <c r="C626" s="899" t="s">
        <v>110</v>
      </c>
      <c r="D626" s="899">
        <v>0</v>
      </c>
      <c r="E626" s="900">
        <v>0</v>
      </c>
    </row>
    <row r="627" spans="1:5" x14ac:dyDescent="0.25">
      <c r="A627" s="899" t="s">
        <v>8221</v>
      </c>
      <c r="B627" s="899" t="s">
        <v>1451</v>
      </c>
      <c r="C627" s="899" t="s">
        <v>110</v>
      </c>
      <c r="D627" s="899">
        <v>11488510</v>
      </c>
      <c r="E627" s="900">
        <v>0</v>
      </c>
    </row>
    <row r="628" spans="1:5" x14ac:dyDescent="0.25">
      <c r="A628" s="899" t="s">
        <v>8222</v>
      </c>
      <c r="B628" s="899" t="s">
        <v>1454</v>
      </c>
      <c r="C628" s="899" t="s">
        <v>110</v>
      </c>
      <c r="D628" s="899">
        <v>0</v>
      </c>
      <c r="E628" s="900">
        <v>0</v>
      </c>
    </row>
    <row r="629" spans="1:5" x14ac:dyDescent="0.25">
      <c r="A629" s="899" t="s">
        <v>8223</v>
      </c>
      <c r="B629" s="899" t="s">
        <v>1458</v>
      </c>
      <c r="C629" s="899" t="s">
        <v>110</v>
      </c>
      <c r="D629" s="899">
        <v>0</v>
      </c>
      <c r="E629" s="900">
        <v>0</v>
      </c>
    </row>
    <row r="630" spans="1:5" x14ac:dyDescent="0.25">
      <c r="A630" s="899" t="s">
        <v>8224</v>
      </c>
      <c r="B630" s="899" t="s">
        <v>1461</v>
      </c>
      <c r="C630" s="899" t="s">
        <v>110</v>
      </c>
      <c r="D630" s="899">
        <v>0</v>
      </c>
      <c r="E630" s="900">
        <v>0</v>
      </c>
    </row>
    <row r="631" spans="1:5" x14ac:dyDescent="0.25">
      <c r="A631" s="899" t="s">
        <v>8225</v>
      </c>
      <c r="B631" s="899" t="s">
        <v>1464</v>
      </c>
      <c r="C631" s="899" t="s">
        <v>110</v>
      </c>
      <c r="D631" s="899">
        <v>10332910</v>
      </c>
      <c r="E631" s="900">
        <v>0</v>
      </c>
    </row>
    <row r="632" spans="1:5" x14ac:dyDescent="0.25">
      <c r="A632" s="899" t="s">
        <v>8226</v>
      </c>
      <c r="B632" s="899" t="s">
        <v>1467</v>
      </c>
      <c r="C632" s="899" t="s">
        <v>110</v>
      </c>
      <c r="D632" s="899">
        <v>1119067</v>
      </c>
      <c r="E632" s="900">
        <v>0</v>
      </c>
    </row>
    <row r="633" spans="1:5" x14ac:dyDescent="0.25">
      <c r="A633" s="899" t="s">
        <v>8227</v>
      </c>
      <c r="B633" s="899" t="s">
        <v>1470</v>
      </c>
      <c r="C633" s="899" t="s">
        <v>110</v>
      </c>
      <c r="D633" s="899">
        <v>36533</v>
      </c>
      <c r="E633" s="900">
        <v>0</v>
      </c>
    </row>
    <row r="634" spans="1:5" x14ac:dyDescent="0.25">
      <c r="A634" s="899" t="s">
        <v>8228</v>
      </c>
      <c r="B634" s="899" t="s">
        <v>1477</v>
      </c>
      <c r="C634" s="899" t="s">
        <v>110</v>
      </c>
      <c r="D634" s="899">
        <v>0</v>
      </c>
      <c r="E634" s="900">
        <v>0</v>
      </c>
    </row>
    <row r="635" spans="1:5" x14ac:dyDescent="0.25">
      <c r="A635" s="899" t="s">
        <v>8229</v>
      </c>
      <c r="B635" s="899" t="s">
        <v>1482</v>
      </c>
      <c r="C635" s="899" t="s">
        <v>110</v>
      </c>
      <c r="D635" s="899">
        <v>0</v>
      </c>
      <c r="E635" s="900">
        <v>0</v>
      </c>
    </row>
    <row r="636" spans="1:5" x14ac:dyDescent="0.25">
      <c r="A636" s="899" t="s">
        <v>8230</v>
      </c>
      <c r="B636" s="899" t="s">
        <v>1486</v>
      </c>
      <c r="C636" s="899" t="s">
        <v>110</v>
      </c>
      <c r="D636" s="899">
        <v>0</v>
      </c>
      <c r="E636" s="900">
        <v>0</v>
      </c>
    </row>
    <row r="637" spans="1:5" x14ac:dyDescent="0.25">
      <c r="A637" s="899" t="s">
        <v>8231</v>
      </c>
      <c r="B637" s="899" t="s">
        <v>1489</v>
      </c>
      <c r="C637" s="899" t="s">
        <v>110</v>
      </c>
      <c r="D637" s="899">
        <v>0</v>
      </c>
      <c r="E637" s="900">
        <v>0</v>
      </c>
    </row>
    <row r="638" spans="1:5" x14ac:dyDescent="0.25">
      <c r="A638" s="899" t="s">
        <v>8232</v>
      </c>
      <c r="B638" s="899" t="s">
        <v>1492</v>
      </c>
      <c r="C638" s="899" t="s">
        <v>110</v>
      </c>
      <c r="D638" s="899">
        <v>0</v>
      </c>
      <c r="E638" s="900">
        <v>0</v>
      </c>
    </row>
    <row r="639" spans="1:5" x14ac:dyDescent="0.25">
      <c r="A639" s="899" t="s">
        <v>8233</v>
      </c>
      <c r="B639" s="899" t="s">
        <v>1495</v>
      </c>
      <c r="C639" s="899" t="s">
        <v>110</v>
      </c>
      <c r="D639" s="899">
        <v>0</v>
      </c>
      <c r="E639" s="900">
        <v>0</v>
      </c>
    </row>
    <row r="640" spans="1:5" x14ac:dyDescent="0.25">
      <c r="A640" s="899" t="s">
        <v>8234</v>
      </c>
      <c r="B640" s="899" t="s">
        <v>1499</v>
      </c>
      <c r="C640" s="899" t="s">
        <v>110</v>
      </c>
      <c r="D640" s="899">
        <v>0</v>
      </c>
      <c r="E640" s="900">
        <v>0</v>
      </c>
    </row>
    <row r="641" spans="1:5" x14ac:dyDescent="0.25">
      <c r="A641" s="899" t="s">
        <v>8235</v>
      </c>
      <c r="B641" s="899" t="s">
        <v>1504</v>
      </c>
      <c r="C641" s="899" t="s">
        <v>110</v>
      </c>
      <c r="D641" s="899">
        <v>0</v>
      </c>
      <c r="E641" s="900">
        <v>0</v>
      </c>
    </row>
    <row r="642" spans="1:5" x14ac:dyDescent="0.25">
      <c r="A642" s="899" t="s">
        <v>8236</v>
      </c>
      <c r="B642" s="899" t="s">
        <v>1509</v>
      </c>
      <c r="C642" s="899" t="s">
        <v>110</v>
      </c>
      <c r="D642" s="899">
        <v>15334290</v>
      </c>
      <c r="E642" s="900">
        <v>0</v>
      </c>
    </row>
    <row r="643" spans="1:5" x14ac:dyDescent="0.25">
      <c r="A643" s="899" t="s">
        <v>8237</v>
      </c>
      <c r="B643" s="899" t="s">
        <v>1514</v>
      </c>
      <c r="C643" s="899" t="s">
        <v>110</v>
      </c>
      <c r="D643" s="899">
        <v>0</v>
      </c>
      <c r="E643" s="900">
        <v>0</v>
      </c>
    </row>
    <row r="644" spans="1:5" x14ac:dyDescent="0.25">
      <c r="A644" s="899" t="s">
        <v>8238</v>
      </c>
      <c r="B644" s="899" t="s">
        <v>1519</v>
      </c>
      <c r="C644" s="899" t="s">
        <v>110</v>
      </c>
      <c r="D644" s="899">
        <v>0</v>
      </c>
      <c r="E644" s="900">
        <v>0</v>
      </c>
    </row>
    <row r="645" spans="1:5" x14ac:dyDescent="0.25">
      <c r="A645" s="899" t="s">
        <v>8239</v>
      </c>
      <c r="B645" s="899" t="s">
        <v>1524</v>
      </c>
      <c r="C645" s="899" t="s">
        <v>110</v>
      </c>
      <c r="D645" s="899">
        <v>0</v>
      </c>
      <c r="E645" s="900">
        <v>0</v>
      </c>
    </row>
    <row r="646" spans="1:5" x14ac:dyDescent="0.25">
      <c r="A646" s="899" t="s">
        <v>8240</v>
      </c>
      <c r="B646" s="899" t="s">
        <v>1529</v>
      </c>
      <c r="C646" s="899" t="s">
        <v>110</v>
      </c>
      <c r="D646" s="899">
        <v>29266859</v>
      </c>
      <c r="E646" s="900">
        <v>0</v>
      </c>
    </row>
    <row r="647" spans="1:5" x14ac:dyDescent="0.25">
      <c r="A647" s="899" t="s">
        <v>8241</v>
      </c>
      <c r="B647" s="899" t="s">
        <v>1532</v>
      </c>
      <c r="C647" s="899" t="s">
        <v>110</v>
      </c>
      <c r="D647" s="899">
        <v>29266859</v>
      </c>
      <c r="E647" s="900">
        <v>0</v>
      </c>
    </row>
    <row r="648" spans="1:5" x14ac:dyDescent="0.25">
      <c r="A648" s="899" t="s">
        <v>8242</v>
      </c>
      <c r="B648" s="899" t="s">
        <v>1538</v>
      </c>
      <c r="C648" s="899" t="s">
        <v>110</v>
      </c>
      <c r="D648" s="899">
        <v>0</v>
      </c>
      <c r="E648" s="900">
        <v>0</v>
      </c>
    </row>
    <row r="649" spans="1:5" x14ac:dyDescent="0.25">
      <c r="A649" s="899" t="s">
        <v>8243</v>
      </c>
      <c r="B649" s="899" t="s">
        <v>1544</v>
      </c>
      <c r="C649" s="899" t="s">
        <v>110</v>
      </c>
      <c r="D649" s="899">
        <v>0</v>
      </c>
      <c r="E649" s="900">
        <v>0</v>
      </c>
    </row>
    <row r="650" spans="1:5" x14ac:dyDescent="0.25">
      <c r="A650" s="899" t="s">
        <v>8244</v>
      </c>
      <c r="B650" s="899" t="s">
        <v>1550</v>
      </c>
      <c r="C650" s="899" t="s">
        <v>110</v>
      </c>
      <c r="D650" s="899">
        <v>0</v>
      </c>
      <c r="E650" s="900">
        <v>0</v>
      </c>
    </row>
    <row r="651" spans="1:5" x14ac:dyDescent="0.25">
      <c r="A651" s="899" t="s">
        <v>8245</v>
      </c>
      <c r="B651" s="899" t="s">
        <v>1555</v>
      </c>
      <c r="C651" s="899" t="s">
        <v>110</v>
      </c>
      <c r="D651" s="899">
        <v>0</v>
      </c>
      <c r="E651" s="900">
        <v>0</v>
      </c>
    </row>
    <row r="652" spans="1:5" x14ac:dyDescent="0.25">
      <c r="A652" s="899" t="s">
        <v>8246</v>
      </c>
      <c r="B652" s="899" t="s">
        <v>1560</v>
      </c>
      <c r="C652" s="899" t="s">
        <v>110</v>
      </c>
      <c r="D652" s="899">
        <v>0</v>
      </c>
      <c r="E652" s="900">
        <v>0</v>
      </c>
    </row>
    <row r="653" spans="1:5" x14ac:dyDescent="0.25">
      <c r="A653" s="899" t="s">
        <v>8247</v>
      </c>
      <c r="B653" s="899" t="s">
        <v>1564</v>
      </c>
      <c r="C653" s="899" t="s">
        <v>110</v>
      </c>
      <c r="D653" s="899">
        <v>0</v>
      </c>
      <c r="E653" s="900">
        <v>0</v>
      </c>
    </row>
    <row r="654" spans="1:5" x14ac:dyDescent="0.25">
      <c r="A654" s="899" t="s">
        <v>8248</v>
      </c>
      <c r="B654" s="899" t="s">
        <v>1569</v>
      </c>
      <c r="C654" s="899" t="s">
        <v>110</v>
      </c>
      <c r="D654" s="899">
        <v>0</v>
      </c>
      <c r="E654" s="900">
        <v>0</v>
      </c>
    </row>
    <row r="655" spans="1:5" x14ac:dyDescent="0.25">
      <c r="A655" s="899" t="s">
        <v>8249</v>
      </c>
      <c r="B655" s="899" t="s">
        <v>1573</v>
      </c>
      <c r="C655" s="899" t="s">
        <v>110</v>
      </c>
      <c r="D655" s="899">
        <v>5546</v>
      </c>
      <c r="E655" s="900">
        <v>0</v>
      </c>
    </row>
    <row r="656" spans="1:5" x14ac:dyDescent="0.25">
      <c r="A656" s="899" t="s">
        <v>8250</v>
      </c>
      <c r="B656" s="899" t="s">
        <v>1579</v>
      </c>
      <c r="C656" s="899" t="s">
        <v>110</v>
      </c>
      <c r="D656" s="899">
        <v>18276645</v>
      </c>
      <c r="E656" s="900">
        <v>0</v>
      </c>
    </row>
    <row r="657" spans="1:5" x14ac:dyDescent="0.25">
      <c r="A657" s="899" t="s">
        <v>8251</v>
      </c>
      <c r="B657" s="899" t="s">
        <v>1583</v>
      </c>
      <c r="C657" s="899" t="s">
        <v>110</v>
      </c>
      <c r="D657" s="899">
        <v>18170863</v>
      </c>
      <c r="E657" s="900">
        <v>0</v>
      </c>
    </row>
    <row r="658" spans="1:5" x14ac:dyDescent="0.25">
      <c r="A658" s="899" t="s">
        <v>8252</v>
      </c>
      <c r="B658" s="899" t="s">
        <v>1586</v>
      </c>
      <c r="C658" s="899" t="s">
        <v>110</v>
      </c>
      <c r="D658" s="899">
        <v>0</v>
      </c>
      <c r="E658" s="900">
        <v>0</v>
      </c>
    </row>
    <row r="659" spans="1:5" x14ac:dyDescent="0.25">
      <c r="A659" s="899" t="s">
        <v>8253</v>
      </c>
      <c r="B659" s="899" t="s">
        <v>1590</v>
      </c>
      <c r="C659" s="899" t="s">
        <v>110</v>
      </c>
      <c r="D659" s="899">
        <v>0</v>
      </c>
      <c r="E659" s="900">
        <v>0</v>
      </c>
    </row>
    <row r="660" spans="1:5" x14ac:dyDescent="0.25">
      <c r="A660" s="899" t="s">
        <v>8254</v>
      </c>
      <c r="B660" s="899" t="s">
        <v>1594</v>
      </c>
      <c r="C660" s="899" t="s">
        <v>110</v>
      </c>
      <c r="D660" s="899">
        <v>0</v>
      </c>
      <c r="E660" s="900">
        <v>0</v>
      </c>
    </row>
    <row r="661" spans="1:5" x14ac:dyDescent="0.25">
      <c r="A661" s="899" t="s">
        <v>8255</v>
      </c>
      <c r="B661" s="899" t="s">
        <v>1597</v>
      </c>
      <c r="C661" s="899" t="s">
        <v>110</v>
      </c>
      <c r="D661" s="899">
        <v>0</v>
      </c>
      <c r="E661" s="900">
        <v>0</v>
      </c>
    </row>
    <row r="662" spans="1:5" x14ac:dyDescent="0.25">
      <c r="A662" s="899" t="s">
        <v>8256</v>
      </c>
      <c r="B662" s="899" t="s">
        <v>1601</v>
      </c>
      <c r="C662" s="899" t="s">
        <v>110</v>
      </c>
      <c r="D662" s="899">
        <v>0</v>
      </c>
      <c r="E662" s="900">
        <v>0</v>
      </c>
    </row>
    <row r="663" spans="1:5" x14ac:dyDescent="0.25">
      <c r="A663" s="899" t="s">
        <v>8257</v>
      </c>
      <c r="B663" s="899" t="s">
        <v>1604</v>
      </c>
      <c r="C663" s="899" t="s">
        <v>110</v>
      </c>
      <c r="D663" s="899">
        <v>0</v>
      </c>
      <c r="E663" s="900">
        <v>0</v>
      </c>
    </row>
    <row r="664" spans="1:5" x14ac:dyDescent="0.25">
      <c r="A664" s="899" t="s">
        <v>8258</v>
      </c>
      <c r="B664" s="899" t="s">
        <v>1607</v>
      </c>
      <c r="C664" s="899" t="s">
        <v>110</v>
      </c>
      <c r="D664" s="899">
        <v>18170863</v>
      </c>
      <c r="E664" s="900">
        <v>0</v>
      </c>
    </row>
    <row r="665" spans="1:5" x14ac:dyDescent="0.25">
      <c r="A665" s="899" t="s">
        <v>8259</v>
      </c>
      <c r="B665" s="899" t="s">
        <v>1612</v>
      </c>
      <c r="C665" s="899" t="s">
        <v>110</v>
      </c>
      <c r="D665" s="899">
        <v>0</v>
      </c>
      <c r="E665" s="900">
        <v>0</v>
      </c>
    </row>
    <row r="666" spans="1:5" x14ac:dyDescent="0.25">
      <c r="A666" s="899" t="s">
        <v>8260</v>
      </c>
      <c r="B666" s="899" t="s">
        <v>1615</v>
      </c>
      <c r="C666" s="899" t="s">
        <v>110</v>
      </c>
      <c r="D666" s="899">
        <v>13676102</v>
      </c>
      <c r="E666" s="900">
        <v>0</v>
      </c>
    </row>
    <row r="667" spans="1:5" x14ac:dyDescent="0.25">
      <c r="A667" s="899" t="s">
        <v>8261</v>
      </c>
      <c r="B667" s="899" t="s">
        <v>1618</v>
      </c>
      <c r="C667" s="899" t="s">
        <v>110</v>
      </c>
      <c r="D667" s="899">
        <v>0</v>
      </c>
      <c r="E667" s="900">
        <v>0</v>
      </c>
    </row>
    <row r="668" spans="1:5" x14ac:dyDescent="0.25">
      <c r="A668" s="899" t="s">
        <v>8262</v>
      </c>
      <c r="B668" s="899" t="s">
        <v>1621</v>
      </c>
      <c r="C668" s="899" t="s">
        <v>110</v>
      </c>
      <c r="D668" s="899">
        <v>3624273</v>
      </c>
      <c r="E668" s="900">
        <v>0</v>
      </c>
    </row>
    <row r="669" spans="1:5" x14ac:dyDescent="0.25">
      <c r="A669" s="899" t="s">
        <v>8263</v>
      </c>
      <c r="B669" s="899" t="s">
        <v>1624</v>
      </c>
      <c r="C669" s="899" t="s">
        <v>110</v>
      </c>
      <c r="D669" s="899">
        <v>870488</v>
      </c>
      <c r="E669" s="900">
        <v>0</v>
      </c>
    </row>
    <row r="670" spans="1:5" x14ac:dyDescent="0.25">
      <c r="A670" s="899" t="s">
        <v>8264</v>
      </c>
      <c r="B670" s="899" t="s">
        <v>1627</v>
      </c>
      <c r="C670" s="899" t="s">
        <v>110</v>
      </c>
      <c r="D670" s="899">
        <v>0</v>
      </c>
      <c r="E670" s="900">
        <v>0</v>
      </c>
    </row>
    <row r="671" spans="1:5" x14ac:dyDescent="0.25">
      <c r="A671" s="899" t="s">
        <v>8265</v>
      </c>
      <c r="B671" s="899" t="s">
        <v>1631</v>
      </c>
      <c r="C671" s="899" t="s">
        <v>110</v>
      </c>
      <c r="D671" s="899">
        <v>0</v>
      </c>
      <c r="E671" s="900">
        <v>0</v>
      </c>
    </row>
    <row r="672" spans="1:5" x14ac:dyDescent="0.25">
      <c r="A672" s="899" t="s">
        <v>8266</v>
      </c>
      <c r="B672" s="899" t="s">
        <v>1635</v>
      </c>
      <c r="C672" s="899" t="s">
        <v>110</v>
      </c>
      <c r="D672" s="899">
        <v>0</v>
      </c>
      <c r="E672" s="900">
        <v>0</v>
      </c>
    </row>
    <row r="673" spans="1:5" x14ac:dyDescent="0.25">
      <c r="A673" s="899" t="s">
        <v>8267</v>
      </c>
      <c r="B673" s="899" t="s">
        <v>1639</v>
      </c>
      <c r="C673" s="899" t="s">
        <v>110</v>
      </c>
      <c r="D673" s="899">
        <v>0</v>
      </c>
      <c r="E673" s="900">
        <v>0</v>
      </c>
    </row>
    <row r="674" spans="1:5" x14ac:dyDescent="0.25">
      <c r="A674" s="899" t="s">
        <v>8268</v>
      </c>
      <c r="B674" s="899" t="s">
        <v>1644</v>
      </c>
      <c r="C674" s="899" t="s">
        <v>110</v>
      </c>
      <c r="D674" s="899">
        <v>105782</v>
      </c>
      <c r="E674" s="900">
        <v>0</v>
      </c>
    </row>
    <row r="675" spans="1:5" x14ac:dyDescent="0.25">
      <c r="A675" s="899" t="s">
        <v>8269</v>
      </c>
      <c r="B675" s="899" t="s">
        <v>1649</v>
      </c>
      <c r="C675" s="899" t="s">
        <v>110</v>
      </c>
      <c r="D675" s="899">
        <v>0</v>
      </c>
      <c r="E675" s="900">
        <v>0</v>
      </c>
    </row>
    <row r="676" spans="1:5" x14ac:dyDescent="0.25">
      <c r="A676" s="899" t="s">
        <v>8270</v>
      </c>
      <c r="B676" s="899" t="s">
        <v>1653</v>
      </c>
      <c r="C676" s="899" t="s">
        <v>110</v>
      </c>
      <c r="D676" s="899">
        <v>0</v>
      </c>
      <c r="E676" s="900">
        <v>0</v>
      </c>
    </row>
    <row r="677" spans="1:5" x14ac:dyDescent="0.25">
      <c r="A677" s="899" t="s">
        <v>8271</v>
      </c>
      <c r="B677" s="899" t="s">
        <v>1656</v>
      </c>
      <c r="C677" s="899" t="s">
        <v>110</v>
      </c>
      <c r="D677" s="899">
        <v>0</v>
      </c>
      <c r="E677" s="900">
        <v>0</v>
      </c>
    </row>
    <row r="678" spans="1:5" x14ac:dyDescent="0.25">
      <c r="A678" s="899" t="s">
        <v>8272</v>
      </c>
      <c r="B678" s="899" t="s">
        <v>1659</v>
      </c>
      <c r="C678" s="899" t="s">
        <v>110</v>
      </c>
      <c r="D678" s="899">
        <v>0</v>
      </c>
      <c r="E678" s="900">
        <v>0</v>
      </c>
    </row>
    <row r="679" spans="1:5" x14ac:dyDescent="0.25">
      <c r="A679" s="899" t="s">
        <v>8273</v>
      </c>
      <c r="B679" s="899" t="s">
        <v>1664</v>
      </c>
      <c r="C679" s="899" t="s">
        <v>110</v>
      </c>
      <c r="D679" s="899">
        <v>0</v>
      </c>
      <c r="E679" s="900">
        <v>0</v>
      </c>
    </row>
    <row r="680" spans="1:5" x14ac:dyDescent="0.25">
      <c r="A680" s="899" t="s">
        <v>8274</v>
      </c>
      <c r="B680" s="899" t="s">
        <v>1668</v>
      </c>
      <c r="C680" s="899" t="s">
        <v>110</v>
      </c>
      <c r="D680" s="899">
        <v>0</v>
      </c>
      <c r="E680" s="900">
        <v>0</v>
      </c>
    </row>
    <row r="681" spans="1:5" x14ac:dyDescent="0.25">
      <c r="A681" s="899" t="s">
        <v>8275</v>
      </c>
      <c r="B681" s="899" t="s">
        <v>1671</v>
      </c>
      <c r="C681" s="899" t="s">
        <v>110</v>
      </c>
      <c r="D681" s="899">
        <v>0</v>
      </c>
      <c r="E681" s="900">
        <v>0</v>
      </c>
    </row>
    <row r="682" spans="1:5" x14ac:dyDescent="0.25">
      <c r="A682" s="899" t="s">
        <v>8276</v>
      </c>
      <c r="B682" s="899" t="s">
        <v>1674</v>
      </c>
      <c r="C682" s="899" t="s">
        <v>110</v>
      </c>
      <c r="D682" s="899">
        <v>0</v>
      </c>
      <c r="E682" s="900">
        <v>0</v>
      </c>
    </row>
    <row r="683" spans="1:5" x14ac:dyDescent="0.25">
      <c r="A683" s="899" t="s">
        <v>8277</v>
      </c>
      <c r="B683" s="899" t="s">
        <v>1678</v>
      </c>
      <c r="C683" s="899" t="s">
        <v>110</v>
      </c>
      <c r="D683" s="899">
        <v>0</v>
      </c>
      <c r="E683" s="900">
        <v>0</v>
      </c>
    </row>
    <row r="684" spans="1:5" x14ac:dyDescent="0.25">
      <c r="A684" s="899" t="s">
        <v>8278</v>
      </c>
      <c r="B684" s="899" t="s">
        <v>1682</v>
      </c>
      <c r="C684" s="899" t="s">
        <v>110</v>
      </c>
      <c r="D684" s="899">
        <v>0</v>
      </c>
      <c r="E684" s="900">
        <v>0</v>
      </c>
    </row>
    <row r="685" spans="1:5" x14ac:dyDescent="0.25">
      <c r="A685" s="899" t="s">
        <v>8279</v>
      </c>
      <c r="B685" s="899" t="s">
        <v>1688</v>
      </c>
      <c r="C685" s="899" t="s">
        <v>110</v>
      </c>
      <c r="D685" s="899">
        <v>3143156</v>
      </c>
      <c r="E685" s="900">
        <v>67491</v>
      </c>
    </row>
    <row r="686" spans="1:5" x14ac:dyDescent="0.25">
      <c r="A686" s="899" t="s">
        <v>8280</v>
      </c>
      <c r="B686" s="899" t="s">
        <v>1695</v>
      </c>
      <c r="C686" s="899" t="s">
        <v>110</v>
      </c>
      <c r="D686" s="899">
        <v>1303561</v>
      </c>
      <c r="E686" s="900">
        <v>67491</v>
      </c>
    </row>
    <row r="687" spans="1:5" x14ac:dyDescent="0.25">
      <c r="A687" s="899" t="s">
        <v>8281</v>
      </c>
      <c r="B687" s="899" t="s">
        <v>1699</v>
      </c>
      <c r="C687" s="899" t="s">
        <v>110</v>
      </c>
      <c r="D687" s="899">
        <v>901238</v>
      </c>
      <c r="E687" s="900">
        <v>0</v>
      </c>
    </row>
    <row r="688" spans="1:5" x14ac:dyDescent="0.25">
      <c r="A688" s="899" t="s">
        <v>8282</v>
      </c>
      <c r="B688" s="899" t="s">
        <v>1702</v>
      </c>
      <c r="C688" s="899" t="s">
        <v>110</v>
      </c>
      <c r="D688" s="899">
        <v>0</v>
      </c>
      <c r="E688" s="900">
        <v>0</v>
      </c>
    </row>
    <row r="689" spans="1:5" x14ac:dyDescent="0.25">
      <c r="A689" s="899" t="s">
        <v>8283</v>
      </c>
      <c r="B689" s="899" t="s">
        <v>1706</v>
      </c>
      <c r="C689" s="899" t="s">
        <v>110</v>
      </c>
      <c r="D689" s="899">
        <v>110146</v>
      </c>
      <c r="E689" s="900">
        <v>0</v>
      </c>
    </row>
    <row r="690" spans="1:5" x14ac:dyDescent="0.25">
      <c r="A690" s="899" t="s">
        <v>8284</v>
      </c>
      <c r="B690" s="899" t="s">
        <v>1710</v>
      </c>
      <c r="C690" s="899" t="s">
        <v>110</v>
      </c>
      <c r="D690" s="899">
        <v>0</v>
      </c>
      <c r="E690" s="900">
        <v>0</v>
      </c>
    </row>
    <row r="691" spans="1:5" x14ac:dyDescent="0.25">
      <c r="A691" s="899" t="s">
        <v>8285</v>
      </c>
      <c r="B691" s="899" t="s">
        <v>1714</v>
      </c>
      <c r="C691" s="899" t="s">
        <v>110</v>
      </c>
      <c r="D691" s="899">
        <v>828211</v>
      </c>
      <c r="E691" s="900">
        <v>0</v>
      </c>
    </row>
    <row r="692" spans="1:5" x14ac:dyDescent="0.25">
      <c r="A692" s="899" t="s">
        <v>8286</v>
      </c>
      <c r="B692" s="899" t="s">
        <v>1717</v>
      </c>
      <c r="C692" s="899" t="s">
        <v>110</v>
      </c>
      <c r="D692" s="899">
        <v>828211</v>
      </c>
      <c r="E692" s="900">
        <v>0</v>
      </c>
    </row>
    <row r="693" spans="1:5" x14ac:dyDescent="0.25">
      <c r="A693" s="899" t="s">
        <v>8287</v>
      </c>
      <c r="B693" s="899" t="s">
        <v>1721</v>
      </c>
      <c r="C693" s="899" t="s">
        <v>110</v>
      </c>
      <c r="D693" s="899">
        <v>0</v>
      </c>
      <c r="E693" s="900">
        <v>0</v>
      </c>
    </row>
    <row r="694" spans="1:5" x14ac:dyDescent="0.25">
      <c r="A694" s="899" t="s">
        <v>8288</v>
      </c>
      <c r="B694" s="899" t="s">
        <v>1725</v>
      </c>
      <c r="C694" s="899" t="s">
        <v>110</v>
      </c>
      <c r="D694" s="899">
        <v>828211</v>
      </c>
      <c r="E694" s="900">
        <v>0</v>
      </c>
    </row>
    <row r="695" spans="1:5" x14ac:dyDescent="0.25">
      <c r="A695" s="899" t="s">
        <v>8289</v>
      </c>
      <c r="B695" s="899" t="s">
        <v>1727</v>
      </c>
      <c r="C695" s="899" t="s">
        <v>110</v>
      </c>
      <c r="D695" s="899">
        <v>0</v>
      </c>
      <c r="E695" s="900">
        <v>0</v>
      </c>
    </row>
    <row r="696" spans="1:5" x14ac:dyDescent="0.25">
      <c r="A696" s="899" t="s">
        <v>8290</v>
      </c>
      <c r="B696" s="899" t="s">
        <v>1730</v>
      </c>
      <c r="C696" s="899" t="s">
        <v>110</v>
      </c>
      <c r="D696" s="899">
        <v>0</v>
      </c>
      <c r="E696" s="900">
        <v>0</v>
      </c>
    </row>
    <row r="697" spans="1:5" x14ac:dyDescent="0.25">
      <c r="A697" s="899" t="s">
        <v>8291</v>
      </c>
      <c r="B697" s="899" t="s">
        <v>1733</v>
      </c>
      <c r="C697" s="899" t="s">
        <v>110</v>
      </c>
      <c r="D697" s="899">
        <v>0</v>
      </c>
      <c r="E697" s="900">
        <v>0</v>
      </c>
    </row>
    <row r="698" spans="1:5" x14ac:dyDescent="0.25">
      <c r="A698" s="899" t="s">
        <v>8292</v>
      </c>
      <c r="B698" s="899" t="s">
        <v>1736</v>
      </c>
      <c r="C698" s="899" t="s">
        <v>110</v>
      </c>
      <c r="D698" s="899">
        <v>0</v>
      </c>
      <c r="E698" s="900">
        <v>0</v>
      </c>
    </row>
    <row r="699" spans="1:5" x14ac:dyDescent="0.25">
      <c r="A699" s="899" t="s">
        <v>8293</v>
      </c>
      <c r="B699" s="899" t="s">
        <v>1739</v>
      </c>
      <c r="C699" s="899" t="s">
        <v>110</v>
      </c>
      <c r="D699" s="899">
        <v>0</v>
      </c>
      <c r="E699" s="900">
        <v>0</v>
      </c>
    </row>
    <row r="700" spans="1:5" x14ac:dyDescent="0.25">
      <c r="A700" s="899" t="s">
        <v>8294</v>
      </c>
      <c r="B700" s="899" t="s">
        <v>1742</v>
      </c>
      <c r="C700" s="899" t="s">
        <v>110</v>
      </c>
      <c r="D700" s="899">
        <v>0</v>
      </c>
      <c r="E700" s="900">
        <v>0</v>
      </c>
    </row>
    <row r="701" spans="1:5" x14ac:dyDescent="0.25">
      <c r="A701" s="899" t="s">
        <v>8295</v>
      </c>
      <c r="B701" s="899" t="s">
        <v>1747</v>
      </c>
      <c r="C701" s="899" t="s">
        <v>110</v>
      </c>
      <c r="D701" s="899">
        <v>0</v>
      </c>
      <c r="E701" s="900">
        <v>0</v>
      </c>
    </row>
    <row r="702" spans="1:5" x14ac:dyDescent="0.25">
      <c r="A702" s="899" t="s">
        <v>8296</v>
      </c>
      <c r="B702" s="899" t="s">
        <v>1750</v>
      </c>
      <c r="C702" s="899" t="s">
        <v>110</v>
      </c>
      <c r="D702" s="899">
        <v>0</v>
      </c>
      <c r="E702" s="900">
        <v>0</v>
      </c>
    </row>
    <row r="703" spans="1:5" x14ac:dyDescent="0.25">
      <c r="A703" s="899" t="s">
        <v>8297</v>
      </c>
      <c r="B703" s="899" t="s">
        <v>1754</v>
      </c>
      <c r="C703" s="899" t="s">
        <v>110</v>
      </c>
      <c r="D703" s="899">
        <v>0</v>
      </c>
      <c r="E703" s="900">
        <v>0</v>
      </c>
    </row>
    <row r="704" spans="1:5" x14ac:dyDescent="0.25">
      <c r="A704" s="899"/>
      <c r="B704" s="899"/>
      <c r="C704" s="899"/>
      <c r="D704" s="899"/>
    </row>
    <row r="705" spans="1:4" x14ac:dyDescent="0.25">
      <c r="A705" s="899"/>
      <c r="B705" s="899"/>
      <c r="C705" s="899"/>
      <c r="D705" s="899"/>
    </row>
    <row r="706" spans="1:4" x14ac:dyDescent="0.25">
      <c r="A706" s="899"/>
      <c r="B706" s="899"/>
      <c r="C706" s="899"/>
      <c r="D706" s="899"/>
    </row>
    <row r="707" spans="1:4" x14ac:dyDescent="0.25">
      <c r="A707" s="899"/>
      <c r="B707" s="899"/>
      <c r="C707" s="899"/>
      <c r="D707" s="899"/>
    </row>
    <row r="708" spans="1:4" x14ac:dyDescent="0.25">
      <c r="A708" s="899"/>
      <c r="B708" s="899"/>
      <c r="C708" s="899"/>
      <c r="D708" s="899"/>
    </row>
    <row r="709" spans="1:4" x14ac:dyDescent="0.25">
      <c r="A709" s="899"/>
      <c r="B709" s="899"/>
      <c r="C709" s="899"/>
      <c r="D709" s="899"/>
    </row>
    <row r="710" spans="1:4" x14ac:dyDescent="0.25">
      <c r="A710" s="899"/>
      <c r="B710" s="899"/>
      <c r="C710" s="899"/>
      <c r="D710" s="899"/>
    </row>
    <row r="711" spans="1:4" x14ac:dyDescent="0.25">
      <c r="A711" s="899"/>
      <c r="B711" s="899"/>
      <c r="C711" s="899"/>
      <c r="D711" s="899"/>
    </row>
    <row r="712" spans="1:4" x14ac:dyDescent="0.25">
      <c r="A712" s="899"/>
      <c r="B712" s="899"/>
      <c r="C712" s="899"/>
      <c r="D712" s="899"/>
    </row>
    <row r="713" spans="1:4" x14ac:dyDescent="0.25">
      <c r="A713" s="899"/>
      <c r="B713" s="899"/>
      <c r="C713" s="899"/>
      <c r="D713" s="899"/>
    </row>
    <row r="714" spans="1:4" x14ac:dyDescent="0.25">
      <c r="A714" s="899"/>
      <c r="B714" s="899"/>
      <c r="C714" s="899"/>
      <c r="D714" s="899"/>
    </row>
    <row r="715" spans="1:4" x14ac:dyDescent="0.25">
      <c r="A715" s="899"/>
      <c r="B715" s="899"/>
      <c r="C715" s="899"/>
      <c r="D715" s="899"/>
    </row>
    <row r="716" spans="1:4" x14ac:dyDescent="0.25">
      <c r="A716" s="899"/>
      <c r="B716" s="899"/>
      <c r="C716" s="899"/>
      <c r="D716" s="899"/>
    </row>
    <row r="717" spans="1:4" x14ac:dyDescent="0.25">
      <c r="A717" s="899"/>
      <c r="B717" s="899"/>
      <c r="C717" s="899"/>
      <c r="D717" s="899"/>
    </row>
    <row r="718" spans="1:4" x14ac:dyDescent="0.25">
      <c r="A718" s="899"/>
      <c r="B718" s="899"/>
      <c r="C718" s="899"/>
      <c r="D718" s="899"/>
    </row>
    <row r="719" spans="1:4" x14ac:dyDescent="0.25">
      <c r="A719" s="899"/>
      <c r="B719" s="899"/>
      <c r="C719" s="899"/>
      <c r="D719" s="899"/>
    </row>
    <row r="720" spans="1:4" x14ac:dyDescent="0.25">
      <c r="A720" s="899"/>
      <c r="B720" s="899"/>
      <c r="C720" s="899"/>
      <c r="D720" s="899"/>
    </row>
    <row r="721" spans="1:4" x14ac:dyDescent="0.25">
      <c r="A721" s="899"/>
      <c r="B721" s="899"/>
      <c r="C721" s="899"/>
      <c r="D721" s="899"/>
    </row>
    <row r="722" spans="1:4" x14ac:dyDescent="0.25">
      <c r="A722" s="899"/>
      <c r="B722" s="899"/>
      <c r="C722" s="899"/>
      <c r="D722" s="899"/>
    </row>
    <row r="723" spans="1:4" x14ac:dyDescent="0.25">
      <c r="A723" s="899"/>
      <c r="B723" s="899"/>
      <c r="C723" s="899"/>
      <c r="D723" s="899"/>
    </row>
    <row r="724" spans="1:4" x14ac:dyDescent="0.25">
      <c r="A724" s="899"/>
      <c r="B724" s="899"/>
      <c r="C724" s="899"/>
      <c r="D724" s="899"/>
    </row>
    <row r="725" spans="1:4" x14ac:dyDescent="0.25">
      <c r="A725" s="899"/>
      <c r="B725" s="899"/>
      <c r="C725" s="899"/>
      <c r="D725" s="899"/>
    </row>
    <row r="726" spans="1:4" x14ac:dyDescent="0.25">
      <c r="A726" s="899"/>
      <c r="B726" s="899"/>
      <c r="C726" s="899"/>
      <c r="D726" s="899"/>
    </row>
    <row r="727" spans="1:4" x14ac:dyDescent="0.25">
      <c r="A727" s="899"/>
      <c r="B727" s="899"/>
      <c r="C727" s="899"/>
      <c r="D727" s="899"/>
    </row>
    <row r="728" spans="1:4" x14ac:dyDescent="0.25">
      <c r="A728" s="899"/>
      <c r="B728" s="899"/>
      <c r="C728" s="899"/>
      <c r="D728" s="899"/>
    </row>
    <row r="729" spans="1:4" x14ac:dyDescent="0.25">
      <c r="A729" s="899"/>
      <c r="B729" s="899"/>
      <c r="C729" s="899"/>
      <c r="D729" s="899"/>
    </row>
    <row r="730" spans="1:4" x14ac:dyDescent="0.25">
      <c r="A730" s="899"/>
      <c r="B730" s="899"/>
      <c r="C730" s="899"/>
      <c r="D730" s="899"/>
    </row>
    <row r="731" spans="1:4" x14ac:dyDescent="0.25">
      <c r="A731" s="899"/>
      <c r="B731" s="899"/>
      <c r="C731" s="899"/>
      <c r="D731" s="899"/>
    </row>
    <row r="732" spans="1:4" x14ac:dyDescent="0.25">
      <c r="A732" s="899"/>
      <c r="B732" s="899"/>
      <c r="C732" s="899"/>
      <c r="D732" s="899"/>
    </row>
    <row r="733" spans="1:4" x14ac:dyDescent="0.25">
      <c r="A733" s="899"/>
      <c r="B733" s="899"/>
      <c r="C733" s="899"/>
      <c r="D733" s="899"/>
    </row>
    <row r="734" spans="1:4" x14ac:dyDescent="0.25">
      <c r="A734" s="899"/>
      <c r="B734" s="899"/>
      <c r="C734" s="899"/>
      <c r="D734" s="899"/>
    </row>
    <row r="735" spans="1:4" x14ac:dyDescent="0.25">
      <c r="A735" s="899"/>
      <c r="B735" s="899"/>
      <c r="C735" s="899"/>
      <c r="D735" s="899"/>
    </row>
    <row r="736" spans="1:4" x14ac:dyDescent="0.25">
      <c r="A736" s="899"/>
      <c r="B736" s="899"/>
      <c r="C736" s="899"/>
      <c r="D736" s="899"/>
    </row>
    <row r="737" spans="1:4" x14ac:dyDescent="0.25">
      <c r="A737" s="899"/>
      <c r="B737" s="899"/>
      <c r="C737" s="899"/>
      <c r="D737" s="899"/>
    </row>
    <row r="738" spans="1:4" x14ac:dyDescent="0.25">
      <c r="A738" s="899"/>
      <c r="B738" s="899"/>
      <c r="C738" s="899"/>
      <c r="D738" s="899"/>
    </row>
    <row r="739" spans="1:4" x14ac:dyDescent="0.25">
      <c r="A739" s="899"/>
      <c r="B739" s="899"/>
      <c r="C739" s="899"/>
      <c r="D739" s="899"/>
    </row>
    <row r="740" spans="1:4" x14ac:dyDescent="0.25">
      <c r="A740" s="899"/>
      <c r="B740" s="899"/>
      <c r="C740" s="899"/>
      <c r="D740" s="899"/>
    </row>
    <row r="741" spans="1:4" x14ac:dyDescent="0.25">
      <c r="A741" s="899"/>
      <c r="B741" s="899"/>
      <c r="C741" s="899"/>
      <c r="D741" s="899"/>
    </row>
    <row r="742" spans="1:4" x14ac:dyDescent="0.25">
      <c r="A742" s="899"/>
      <c r="B742" s="899"/>
      <c r="C742" s="899"/>
      <c r="D742" s="899"/>
    </row>
    <row r="743" spans="1:4" x14ac:dyDescent="0.25">
      <c r="A743" s="899"/>
      <c r="B743" s="899"/>
      <c r="C743" s="899"/>
      <c r="D743" s="899"/>
    </row>
    <row r="744" spans="1:4" x14ac:dyDescent="0.25">
      <c r="A744" s="899"/>
      <c r="B744" s="899"/>
      <c r="C744" s="899"/>
      <c r="D744" s="899"/>
    </row>
    <row r="745" spans="1:4" x14ac:dyDescent="0.25">
      <c r="A745" s="899"/>
      <c r="B745" s="899"/>
      <c r="C745" s="899"/>
      <c r="D745" s="899"/>
    </row>
    <row r="746" spans="1:4" x14ac:dyDescent="0.25">
      <c r="A746" s="899"/>
      <c r="B746" s="899"/>
      <c r="C746" s="899"/>
      <c r="D746" s="899"/>
    </row>
    <row r="747" spans="1:4" x14ac:dyDescent="0.25">
      <c r="A747" s="899"/>
      <c r="B747" s="899"/>
      <c r="C747" s="899"/>
      <c r="D747" s="899"/>
    </row>
    <row r="748" spans="1:4" x14ac:dyDescent="0.25">
      <c r="A748" s="899"/>
      <c r="B748" s="899"/>
      <c r="C748" s="899"/>
      <c r="D748" s="899"/>
    </row>
    <row r="749" spans="1:4" x14ac:dyDescent="0.25">
      <c r="A749" s="899"/>
      <c r="B749" s="899"/>
      <c r="C749" s="899"/>
      <c r="D749" s="899"/>
    </row>
    <row r="750" spans="1:4" x14ac:dyDescent="0.25">
      <c r="A750" s="899"/>
      <c r="B750" s="899"/>
      <c r="C750" s="899"/>
      <c r="D750" s="899"/>
    </row>
    <row r="751" spans="1:4" x14ac:dyDescent="0.25">
      <c r="A751" s="899"/>
      <c r="B751" s="899"/>
      <c r="C751" s="899"/>
      <c r="D751" s="899"/>
    </row>
    <row r="752" spans="1:4" x14ac:dyDescent="0.25">
      <c r="A752" s="899"/>
      <c r="B752" s="899"/>
      <c r="C752" s="899"/>
      <c r="D752" s="899"/>
    </row>
    <row r="753" spans="1:4" x14ac:dyDescent="0.25">
      <c r="A753" s="899"/>
      <c r="B753" s="899"/>
      <c r="C753" s="899"/>
      <c r="D753" s="899"/>
    </row>
    <row r="754" spans="1:4" x14ac:dyDescent="0.25">
      <c r="A754" s="899"/>
      <c r="B754" s="899"/>
      <c r="C754" s="899"/>
      <c r="D754" s="899"/>
    </row>
    <row r="755" spans="1:4" x14ac:dyDescent="0.25">
      <c r="A755" s="899"/>
      <c r="B755" s="899"/>
      <c r="C755" s="899"/>
      <c r="D755" s="899"/>
    </row>
    <row r="756" spans="1:4" x14ac:dyDescent="0.25">
      <c r="A756" s="899"/>
      <c r="B756" s="899"/>
      <c r="C756" s="899"/>
      <c r="D756" s="899"/>
    </row>
    <row r="757" spans="1:4" x14ac:dyDescent="0.25">
      <c r="A757" s="899"/>
      <c r="B757" s="899"/>
      <c r="C757" s="899"/>
      <c r="D757" s="899"/>
    </row>
    <row r="758" spans="1:4" x14ac:dyDescent="0.25">
      <c r="A758" s="899"/>
      <c r="B758" s="899"/>
      <c r="C758" s="899"/>
      <c r="D758" s="899"/>
    </row>
    <row r="759" spans="1:4" x14ac:dyDescent="0.25">
      <c r="A759" s="899"/>
      <c r="B759" s="899"/>
      <c r="C759" s="899"/>
      <c r="D759" s="899"/>
    </row>
    <row r="760" spans="1:4" x14ac:dyDescent="0.25">
      <c r="A760" s="899"/>
      <c r="B760" s="899"/>
      <c r="C760" s="899"/>
      <c r="D760" s="899"/>
    </row>
    <row r="761" spans="1:4" x14ac:dyDescent="0.25">
      <c r="A761" s="899"/>
      <c r="B761" s="899"/>
      <c r="C761" s="899"/>
      <c r="D761" s="899"/>
    </row>
    <row r="762" spans="1:4" x14ac:dyDescent="0.25">
      <c r="A762" s="899"/>
      <c r="B762" s="899"/>
      <c r="C762" s="899"/>
      <c r="D762" s="899"/>
    </row>
    <row r="763" spans="1:4" x14ac:dyDescent="0.25">
      <c r="A763" s="899"/>
      <c r="B763" s="899"/>
      <c r="C763" s="899"/>
      <c r="D763" s="899"/>
    </row>
    <row r="764" spans="1:4" x14ac:dyDescent="0.25">
      <c r="A764" s="899"/>
      <c r="B764" s="899"/>
      <c r="C764" s="899"/>
      <c r="D764" s="899"/>
    </row>
    <row r="765" spans="1:4" x14ac:dyDescent="0.25">
      <c r="A765" s="899"/>
      <c r="B765" s="899"/>
      <c r="C765" s="899"/>
      <c r="D765" s="899"/>
    </row>
    <row r="766" spans="1:4" x14ac:dyDescent="0.25">
      <c r="A766" s="899"/>
      <c r="B766" s="899"/>
      <c r="C766" s="899"/>
      <c r="D766" s="899"/>
    </row>
    <row r="767" spans="1:4" x14ac:dyDescent="0.25">
      <c r="A767" s="899"/>
      <c r="B767" s="899"/>
      <c r="C767" s="899"/>
      <c r="D767" s="899"/>
    </row>
    <row r="768" spans="1:4" x14ac:dyDescent="0.25">
      <c r="A768" s="899"/>
      <c r="B768" s="899"/>
      <c r="C768" s="899"/>
      <c r="D768" s="899"/>
    </row>
    <row r="769" spans="1:4" x14ac:dyDescent="0.25">
      <c r="A769" s="899"/>
      <c r="B769" s="899"/>
      <c r="C769" s="899"/>
      <c r="D769" s="899"/>
    </row>
    <row r="770" spans="1:4" x14ac:dyDescent="0.25">
      <c r="A770" s="899"/>
      <c r="B770" s="899"/>
      <c r="C770" s="899"/>
      <c r="D770" s="899"/>
    </row>
    <row r="771" spans="1:4" x14ac:dyDescent="0.25">
      <c r="A771" s="899"/>
      <c r="B771" s="899"/>
      <c r="C771" s="899"/>
      <c r="D771" s="899"/>
    </row>
    <row r="772" spans="1:4" x14ac:dyDescent="0.25">
      <c r="A772" s="899"/>
      <c r="B772" s="899"/>
      <c r="C772" s="899"/>
      <c r="D772" s="899"/>
    </row>
    <row r="773" spans="1:4" x14ac:dyDescent="0.25">
      <c r="A773" s="899"/>
      <c r="B773" s="899"/>
      <c r="C773" s="899"/>
      <c r="D773" s="899"/>
    </row>
    <row r="774" spans="1:4" x14ac:dyDescent="0.25">
      <c r="A774" s="899"/>
      <c r="B774" s="899"/>
      <c r="C774" s="899"/>
      <c r="D774" s="899"/>
    </row>
    <row r="775" spans="1:4" x14ac:dyDescent="0.25">
      <c r="A775" s="899"/>
      <c r="B775" s="899"/>
      <c r="C775" s="899"/>
      <c r="D775" s="899"/>
    </row>
    <row r="776" spans="1:4" x14ac:dyDescent="0.25">
      <c r="A776" s="899"/>
      <c r="B776" s="899"/>
      <c r="C776" s="899"/>
      <c r="D776" s="899"/>
    </row>
    <row r="777" spans="1:4" x14ac:dyDescent="0.25">
      <c r="A777" s="899"/>
      <c r="B777" s="899"/>
      <c r="C777" s="899"/>
      <c r="D777" s="899"/>
    </row>
    <row r="778" spans="1:4" x14ac:dyDescent="0.25">
      <c r="A778" s="899"/>
      <c r="B778" s="899"/>
      <c r="C778" s="899"/>
      <c r="D778" s="899"/>
    </row>
    <row r="779" spans="1:4" x14ac:dyDescent="0.25">
      <c r="A779" s="899"/>
      <c r="B779" s="899"/>
      <c r="C779" s="899"/>
      <c r="D779" s="899"/>
    </row>
    <row r="780" spans="1:4" x14ac:dyDescent="0.25">
      <c r="A780" s="899"/>
      <c r="B780" s="899"/>
      <c r="C780" s="899"/>
      <c r="D780" s="899"/>
    </row>
    <row r="781" spans="1:4" x14ac:dyDescent="0.25">
      <c r="A781" s="899"/>
      <c r="B781" s="899"/>
      <c r="C781" s="899"/>
      <c r="D781" s="899"/>
    </row>
    <row r="782" spans="1:4" x14ac:dyDescent="0.25">
      <c r="A782" s="899"/>
      <c r="B782" s="899"/>
      <c r="C782" s="899"/>
      <c r="D782" s="899"/>
    </row>
    <row r="783" spans="1:4" x14ac:dyDescent="0.25">
      <c r="A783" s="899"/>
      <c r="B783" s="899"/>
      <c r="C783" s="899"/>
      <c r="D783" s="899"/>
    </row>
    <row r="784" spans="1:4" x14ac:dyDescent="0.25">
      <c r="A784" s="899"/>
      <c r="B784" s="899"/>
      <c r="C784" s="899"/>
      <c r="D784" s="899"/>
    </row>
    <row r="785" spans="1:4" x14ac:dyDescent="0.25">
      <c r="A785" s="899"/>
      <c r="B785" s="899"/>
      <c r="C785" s="899"/>
      <c r="D785" s="899"/>
    </row>
    <row r="786" spans="1:4" x14ac:dyDescent="0.25">
      <c r="A786" s="899"/>
      <c r="B786" s="899"/>
      <c r="C786" s="899"/>
      <c r="D786" s="899"/>
    </row>
    <row r="787" spans="1:4" x14ac:dyDescent="0.25">
      <c r="A787" s="899"/>
      <c r="B787" s="899"/>
      <c r="C787" s="899"/>
      <c r="D787" s="899"/>
    </row>
    <row r="788" spans="1:4" x14ac:dyDescent="0.25">
      <c r="A788" s="899"/>
      <c r="B788" s="899"/>
      <c r="C788" s="899"/>
      <c r="D788" s="899"/>
    </row>
    <row r="789" spans="1:4" x14ac:dyDescent="0.25">
      <c r="A789" s="899"/>
      <c r="B789" s="899"/>
      <c r="C789" s="899"/>
      <c r="D789" s="899"/>
    </row>
    <row r="790" spans="1:4" x14ac:dyDescent="0.25">
      <c r="A790" s="899"/>
      <c r="B790" s="899"/>
      <c r="C790" s="899"/>
      <c r="D790" s="899"/>
    </row>
    <row r="791" spans="1:4" x14ac:dyDescent="0.25">
      <c r="A791" s="899"/>
      <c r="B791" s="899"/>
      <c r="C791" s="899"/>
      <c r="D791" s="899"/>
    </row>
    <row r="792" spans="1:4" x14ac:dyDescent="0.25">
      <c r="A792" s="899"/>
      <c r="B792" s="899"/>
      <c r="C792" s="899"/>
      <c r="D792" s="899"/>
    </row>
    <row r="793" spans="1:4" x14ac:dyDescent="0.25">
      <c r="A793" s="899"/>
      <c r="B793" s="899"/>
      <c r="C793" s="899"/>
      <c r="D793" s="899"/>
    </row>
    <row r="794" spans="1:4" x14ac:dyDescent="0.25">
      <c r="A794" s="899"/>
      <c r="B794" s="899"/>
      <c r="C794" s="899"/>
      <c r="D794" s="899"/>
    </row>
    <row r="795" spans="1:4" x14ac:dyDescent="0.25">
      <c r="A795" s="899"/>
      <c r="B795" s="899"/>
      <c r="C795" s="899"/>
      <c r="D795" s="899"/>
    </row>
    <row r="796" spans="1:4" x14ac:dyDescent="0.25">
      <c r="A796" s="899"/>
      <c r="B796" s="899"/>
      <c r="C796" s="899"/>
      <c r="D796" s="899"/>
    </row>
    <row r="797" spans="1:4" x14ac:dyDescent="0.25">
      <c r="A797" s="899"/>
      <c r="B797" s="899"/>
      <c r="C797" s="899"/>
      <c r="D797" s="899"/>
    </row>
    <row r="798" spans="1:4" x14ac:dyDescent="0.25">
      <c r="A798" s="899"/>
      <c r="B798" s="899"/>
      <c r="C798" s="899"/>
      <c r="D798" s="899"/>
    </row>
    <row r="799" spans="1:4" x14ac:dyDescent="0.25">
      <c r="A799" s="899"/>
      <c r="B799" s="899"/>
      <c r="C799" s="899"/>
      <c r="D799" s="899"/>
    </row>
    <row r="800" spans="1:4" x14ac:dyDescent="0.25">
      <c r="A800" s="899"/>
      <c r="B800" s="899"/>
      <c r="C800" s="899"/>
      <c r="D800" s="899"/>
    </row>
    <row r="801" spans="1:4" x14ac:dyDescent="0.25">
      <c r="A801" s="899"/>
      <c r="B801" s="899"/>
      <c r="C801" s="899"/>
      <c r="D801" s="899"/>
    </row>
    <row r="802" spans="1:4" x14ac:dyDescent="0.25">
      <c r="A802" s="899"/>
      <c r="B802" s="899"/>
      <c r="C802" s="899"/>
      <c r="D802" s="899"/>
    </row>
    <row r="803" spans="1:4" x14ac:dyDescent="0.25">
      <c r="A803" s="899"/>
      <c r="B803" s="899"/>
      <c r="C803" s="899"/>
      <c r="D803" s="899"/>
    </row>
    <row r="804" spans="1:4" x14ac:dyDescent="0.25">
      <c r="A804" s="899"/>
      <c r="B804" s="899"/>
      <c r="C804" s="899"/>
      <c r="D804" s="899"/>
    </row>
    <row r="805" spans="1:4" x14ac:dyDescent="0.25">
      <c r="A805" s="899"/>
      <c r="B805" s="899"/>
      <c r="C805" s="899"/>
      <c r="D805" s="899"/>
    </row>
    <row r="806" spans="1:4" x14ac:dyDescent="0.25">
      <c r="A806" s="899"/>
      <c r="B806" s="899"/>
      <c r="C806" s="899"/>
      <c r="D806" s="899"/>
    </row>
    <row r="807" spans="1:4" x14ac:dyDescent="0.25">
      <c r="A807" s="899"/>
      <c r="B807" s="899"/>
      <c r="C807" s="899"/>
      <c r="D807" s="899"/>
    </row>
    <row r="808" spans="1:4" x14ac:dyDescent="0.25">
      <c r="A808" s="899"/>
      <c r="B808" s="899"/>
      <c r="C808" s="899"/>
      <c r="D808" s="899"/>
    </row>
    <row r="809" spans="1:4" x14ac:dyDescent="0.25">
      <c r="A809" s="899"/>
      <c r="B809" s="899"/>
      <c r="C809" s="899"/>
      <c r="D809" s="899"/>
    </row>
    <row r="810" spans="1:4" x14ac:dyDescent="0.25">
      <c r="A810" s="899"/>
      <c r="B810" s="899"/>
      <c r="C810" s="899"/>
      <c r="D810" s="899"/>
    </row>
    <row r="811" spans="1:4" x14ac:dyDescent="0.25">
      <c r="A811" s="899"/>
      <c r="B811" s="899"/>
      <c r="C811" s="899"/>
      <c r="D811" s="899"/>
    </row>
    <row r="812" spans="1:4" x14ac:dyDescent="0.25">
      <c r="A812" s="899"/>
      <c r="B812" s="899"/>
      <c r="C812" s="899"/>
      <c r="D812" s="899"/>
    </row>
    <row r="813" spans="1:4" x14ac:dyDescent="0.25">
      <c r="A813" s="899"/>
      <c r="B813" s="899"/>
      <c r="C813" s="899"/>
      <c r="D813" s="899"/>
    </row>
    <row r="814" spans="1:4" x14ac:dyDescent="0.25">
      <c r="A814" s="899"/>
      <c r="B814" s="899"/>
      <c r="C814" s="899"/>
      <c r="D814" s="899"/>
    </row>
    <row r="815" spans="1:4" x14ac:dyDescent="0.25">
      <c r="A815" s="899"/>
      <c r="B815" s="899"/>
      <c r="C815" s="899"/>
      <c r="D815" s="899"/>
    </row>
    <row r="816" spans="1:4" x14ac:dyDescent="0.25">
      <c r="A816" s="899"/>
      <c r="B816" s="899"/>
      <c r="C816" s="899"/>
      <c r="D816" s="899"/>
    </row>
    <row r="817" spans="1:4" x14ac:dyDescent="0.25">
      <c r="A817" s="899"/>
      <c r="B817" s="899"/>
      <c r="C817" s="899"/>
      <c r="D817" s="899"/>
    </row>
    <row r="818" spans="1:4" x14ac:dyDescent="0.25">
      <c r="A818" s="899"/>
      <c r="B818" s="899"/>
      <c r="C818" s="899"/>
      <c r="D818" s="899"/>
    </row>
    <row r="819" spans="1:4" x14ac:dyDescent="0.25">
      <c r="A819" s="899"/>
      <c r="B819" s="899"/>
      <c r="C819" s="899"/>
      <c r="D819" s="899"/>
    </row>
    <row r="820" spans="1:4" x14ac:dyDescent="0.25">
      <c r="A820" s="899"/>
      <c r="B820" s="899"/>
      <c r="C820" s="899"/>
      <c r="D820" s="899"/>
    </row>
    <row r="821" spans="1:4" x14ac:dyDescent="0.25">
      <c r="A821" s="899"/>
      <c r="B821" s="899"/>
      <c r="C821" s="899"/>
      <c r="D821" s="899"/>
    </row>
    <row r="822" spans="1:4" x14ac:dyDescent="0.25">
      <c r="A822" s="899"/>
      <c r="B822" s="899"/>
      <c r="C822" s="899"/>
      <c r="D822" s="899"/>
    </row>
    <row r="823" spans="1:4" x14ac:dyDescent="0.25">
      <c r="A823" s="899"/>
      <c r="B823" s="899"/>
      <c r="C823" s="899"/>
      <c r="D823" s="899"/>
    </row>
    <row r="824" spans="1:4" x14ac:dyDescent="0.25">
      <c r="A824" s="899"/>
      <c r="B824" s="899"/>
      <c r="C824" s="899"/>
      <c r="D824" s="899"/>
    </row>
    <row r="825" spans="1:4" x14ac:dyDescent="0.25">
      <c r="A825" s="899"/>
      <c r="B825" s="899"/>
      <c r="C825" s="899"/>
      <c r="D825" s="899"/>
    </row>
    <row r="826" spans="1:4" x14ac:dyDescent="0.25">
      <c r="A826" s="899"/>
      <c r="B826" s="899"/>
      <c r="C826" s="899"/>
      <c r="D826" s="899"/>
    </row>
    <row r="827" spans="1:4" x14ac:dyDescent="0.25">
      <c r="A827" s="899"/>
      <c r="B827" s="899"/>
      <c r="C827" s="899"/>
      <c r="D827" s="899"/>
    </row>
    <row r="828" spans="1:4" x14ac:dyDescent="0.25">
      <c r="A828" s="899"/>
      <c r="B828" s="899"/>
      <c r="C828" s="899"/>
      <c r="D828" s="899"/>
    </row>
    <row r="829" spans="1:4" x14ac:dyDescent="0.25">
      <c r="A829" s="899"/>
      <c r="B829" s="899"/>
      <c r="C829" s="899"/>
      <c r="D829" s="899"/>
    </row>
    <row r="830" spans="1:4" x14ac:dyDescent="0.25">
      <c r="A830" s="899"/>
      <c r="B830" s="899"/>
      <c r="C830" s="899"/>
      <c r="D830" s="899"/>
    </row>
    <row r="831" spans="1:4" x14ac:dyDescent="0.25">
      <c r="A831" s="899"/>
      <c r="B831" s="899"/>
      <c r="C831" s="899"/>
      <c r="D831" s="899"/>
    </row>
    <row r="832" spans="1:4" x14ac:dyDescent="0.25">
      <c r="A832" s="899"/>
      <c r="B832" s="899"/>
      <c r="C832" s="899"/>
      <c r="D832" s="899"/>
    </row>
    <row r="833" spans="1:4" x14ac:dyDescent="0.25">
      <c r="A833" s="899"/>
      <c r="B833" s="899"/>
      <c r="C833" s="899"/>
      <c r="D833" s="899"/>
    </row>
    <row r="834" spans="1:4" x14ac:dyDescent="0.25">
      <c r="A834" s="899"/>
      <c r="B834" s="899"/>
      <c r="C834" s="899"/>
      <c r="D834" s="899"/>
    </row>
    <row r="835" spans="1:4" x14ac:dyDescent="0.25">
      <c r="A835" s="899"/>
      <c r="B835" s="899"/>
      <c r="C835" s="899"/>
      <c r="D835" s="899"/>
    </row>
    <row r="836" spans="1:4" x14ac:dyDescent="0.25">
      <c r="A836" s="899"/>
      <c r="B836" s="899"/>
      <c r="C836" s="899"/>
      <c r="D836" s="899"/>
    </row>
    <row r="837" spans="1:4" x14ac:dyDescent="0.25">
      <c r="A837" s="899"/>
      <c r="B837" s="899"/>
      <c r="C837" s="899"/>
      <c r="D837" s="899"/>
    </row>
    <row r="838" spans="1:4" x14ac:dyDescent="0.25">
      <c r="A838" s="899"/>
      <c r="B838" s="899"/>
      <c r="C838" s="899"/>
      <c r="D838" s="899"/>
    </row>
    <row r="839" spans="1:4" x14ac:dyDescent="0.25">
      <c r="A839" s="899"/>
      <c r="B839" s="899"/>
      <c r="C839" s="899"/>
      <c r="D839" s="899"/>
    </row>
    <row r="840" spans="1:4" x14ac:dyDescent="0.25">
      <c r="A840" s="899"/>
      <c r="B840" s="899"/>
      <c r="C840" s="899"/>
      <c r="D840" s="899"/>
    </row>
    <row r="841" spans="1:4" x14ac:dyDescent="0.25">
      <c r="A841" s="899"/>
      <c r="B841" s="899"/>
      <c r="C841" s="899"/>
      <c r="D841" s="899"/>
    </row>
    <row r="842" spans="1:4" x14ac:dyDescent="0.25">
      <c r="A842" s="899"/>
      <c r="B842" s="899"/>
      <c r="C842" s="899"/>
      <c r="D842" s="899"/>
    </row>
    <row r="843" spans="1:4" x14ac:dyDescent="0.25">
      <c r="A843" s="899"/>
      <c r="B843" s="899"/>
      <c r="C843" s="899"/>
      <c r="D843" s="899"/>
    </row>
    <row r="844" spans="1:4" x14ac:dyDescent="0.25">
      <c r="A844" s="899"/>
      <c r="B844" s="899"/>
      <c r="C844" s="899"/>
      <c r="D844" s="899"/>
    </row>
    <row r="845" spans="1:4" x14ac:dyDescent="0.25">
      <c r="A845" s="899"/>
      <c r="B845" s="899"/>
      <c r="C845" s="899"/>
      <c r="D845" s="899"/>
    </row>
    <row r="846" spans="1:4" x14ac:dyDescent="0.25">
      <c r="A846" s="899"/>
      <c r="B846" s="899"/>
      <c r="C846" s="899"/>
      <c r="D846" s="899"/>
    </row>
    <row r="847" spans="1:4" x14ac:dyDescent="0.25">
      <c r="A847" s="899"/>
      <c r="B847" s="899"/>
      <c r="C847" s="899"/>
      <c r="D847" s="899"/>
    </row>
    <row r="848" spans="1:4" x14ac:dyDescent="0.25">
      <c r="A848" s="899"/>
      <c r="B848" s="899"/>
      <c r="C848" s="899"/>
      <c r="D848" s="899"/>
    </row>
    <row r="849" spans="1:4" x14ac:dyDescent="0.25">
      <c r="A849" s="899"/>
      <c r="B849" s="899"/>
      <c r="C849" s="899"/>
      <c r="D849" s="899"/>
    </row>
    <row r="850" spans="1:4" x14ac:dyDescent="0.25">
      <c r="A850" s="899"/>
      <c r="B850" s="899"/>
      <c r="C850" s="899"/>
      <c r="D850" s="899"/>
    </row>
    <row r="851" spans="1:4" x14ac:dyDescent="0.25">
      <c r="A851" s="899"/>
      <c r="B851" s="899"/>
      <c r="C851" s="899"/>
      <c r="D851" s="899"/>
    </row>
    <row r="852" spans="1:4" x14ac:dyDescent="0.25">
      <c r="A852" s="899"/>
      <c r="B852" s="899"/>
      <c r="C852" s="899"/>
      <c r="D852" s="899"/>
    </row>
    <row r="853" spans="1:4" x14ac:dyDescent="0.25">
      <c r="A853" s="899"/>
      <c r="B853" s="899"/>
      <c r="C853" s="899"/>
      <c r="D853" s="899"/>
    </row>
    <row r="854" spans="1:4" x14ac:dyDescent="0.25">
      <c r="A854" s="899"/>
      <c r="B854" s="899"/>
      <c r="C854" s="899"/>
      <c r="D854" s="899"/>
    </row>
    <row r="855" spans="1:4" x14ac:dyDescent="0.25">
      <c r="A855" s="899"/>
      <c r="B855" s="899"/>
      <c r="C855" s="899"/>
      <c r="D855" s="899"/>
    </row>
    <row r="856" spans="1:4" x14ac:dyDescent="0.25">
      <c r="A856" s="899"/>
      <c r="B856" s="899"/>
      <c r="C856" s="899"/>
      <c r="D856" s="899"/>
    </row>
    <row r="857" spans="1:4" x14ac:dyDescent="0.25">
      <c r="A857" s="899"/>
      <c r="B857" s="899"/>
      <c r="C857" s="899"/>
      <c r="D857" s="899"/>
    </row>
    <row r="858" spans="1:4" x14ac:dyDescent="0.25">
      <c r="A858" s="899"/>
      <c r="B858" s="899"/>
      <c r="C858" s="899"/>
      <c r="D858" s="899"/>
    </row>
    <row r="859" spans="1:4" x14ac:dyDescent="0.25">
      <c r="A859" s="899"/>
      <c r="B859" s="899"/>
      <c r="C859" s="899"/>
      <c r="D859" s="899"/>
    </row>
    <row r="860" spans="1:4" x14ac:dyDescent="0.25">
      <c r="A860" s="899"/>
      <c r="B860" s="899"/>
      <c r="C860" s="899"/>
      <c r="D860" s="899"/>
    </row>
    <row r="861" spans="1:4" x14ac:dyDescent="0.25">
      <c r="A861" s="899"/>
      <c r="B861" s="899"/>
      <c r="C861" s="899"/>
      <c r="D861" s="899"/>
    </row>
    <row r="862" spans="1:4" x14ac:dyDescent="0.25">
      <c r="A862" s="899"/>
      <c r="B862" s="899"/>
      <c r="C862" s="899"/>
      <c r="D862" s="899"/>
    </row>
    <row r="863" spans="1:4" x14ac:dyDescent="0.25">
      <c r="A863" s="899"/>
      <c r="B863" s="899"/>
      <c r="C863" s="899"/>
      <c r="D863" s="899"/>
    </row>
    <row r="864" spans="1:4" x14ac:dyDescent="0.25">
      <c r="A864" s="899"/>
      <c r="B864" s="899"/>
      <c r="C864" s="899"/>
      <c r="D864" s="899"/>
    </row>
    <row r="865" spans="1:4" x14ac:dyDescent="0.25">
      <c r="A865" s="899"/>
      <c r="B865" s="899"/>
      <c r="C865" s="899"/>
      <c r="D865" s="899"/>
    </row>
    <row r="866" spans="1:4" x14ac:dyDescent="0.25">
      <c r="A866" s="899"/>
      <c r="B866" s="899"/>
      <c r="C866" s="899"/>
      <c r="D866" s="899"/>
    </row>
    <row r="867" spans="1:4" x14ac:dyDescent="0.25">
      <c r="A867" s="899"/>
      <c r="B867" s="899"/>
      <c r="C867" s="899"/>
      <c r="D867" s="899"/>
    </row>
    <row r="868" spans="1:4" x14ac:dyDescent="0.25">
      <c r="A868" s="899"/>
      <c r="B868" s="899"/>
      <c r="C868" s="899"/>
      <c r="D868" s="899"/>
    </row>
    <row r="869" spans="1:4" x14ac:dyDescent="0.25">
      <c r="A869" s="899"/>
      <c r="B869" s="899"/>
      <c r="C869" s="899"/>
      <c r="D869" s="899"/>
    </row>
    <row r="870" spans="1:4" x14ac:dyDescent="0.25">
      <c r="A870" s="899"/>
      <c r="B870" s="899"/>
      <c r="C870" s="899"/>
      <c r="D870" s="899"/>
    </row>
    <row r="871" spans="1:4" x14ac:dyDescent="0.25">
      <c r="A871" s="899"/>
      <c r="B871" s="899"/>
      <c r="C871" s="899"/>
      <c r="D871" s="899"/>
    </row>
    <row r="872" spans="1:4" x14ac:dyDescent="0.25">
      <c r="A872" s="899"/>
      <c r="B872" s="899"/>
      <c r="C872" s="899"/>
      <c r="D872" s="899"/>
    </row>
    <row r="873" spans="1:4" x14ac:dyDescent="0.25">
      <c r="A873" s="899"/>
      <c r="B873" s="899"/>
      <c r="C873" s="899"/>
      <c r="D873" s="899"/>
    </row>
    <row r="874" spans="1:4" x14ac:dyDescent="0.25">
      <c r="A874" s="899"/>
      <c r="B874" s="899"/>
      <c r="C874" s="899"/>
      <c r="D874" s="899"/>
    </row>
    <row r="875" spans="1:4" x14ac:dyDescent="0.25">
      <c r="A875" s="899"/>
      <c r="B875" s="899"/>
      <c r="C875" s="899"/>
      <c r="D875" s="899"/>
    </row>
    <row r="876" spans="1:4" x14ac:dyDescent="0.25">
      <c r="A876" s="899"/>
      <c r="B876" s="899"/>
      <c r="C876" s="899"/>
      <c r="D876" s="899"/>
    </row>
    <row r="877" spans="1:4" x14ac:dyDescent="0.25">
      <c r="A877" s="899"/>
      <c r="B877" s="899"/>
      <c r="C877" s="899"/>
      <c r="D877" s="899"/>
    </row>
    <row r="878" spans="1:4" x14ac:dyDescent="0.25">
      <c r="A878" s="899"/>
      <c r="B878" s="899"/>
      <c r="C878" s="899"/>
      <c r="D878" s="899"/>
    </row>
    <row r="879" spans="1:4" x14ac:dyDescent="0.25">
      <c r="A879" s="899"/>
      <c r="B879" s="899"/>
      <c r="C879" s="899"/>
      <c r="D879" s="899"/>
    </row>
    <row r="880" spans="1:4" x14ac:dyDescent="0.25">
      <c r="A880" s="899"/>
      <c r="B880" s="899"/>
      <c r="C880" s="899"/>
      <c r="D880" s="899"/>
    </row>
    <row r="881" spans="1:4" x14ac:dyDescent="0.25">
      <c r="A881" s="899"/>
      <c r="B881" s="899"/>
      <c r="C881" s="899"/>
      <c r="D881" s="899"/>
    </row>
    <row r="882" spans="1:4" x14ac:dyDescent="0.25">
      <c r="A882" s="899"/>
      <c r="B882" s="899"/>
      <c r="C882" s="899"/>
      <c r="D882" s="899"/>
    </row>
    <row r="883" spans="1:4" x14ac:dyDescent="0.25">
      <c r="A883" s="899"/>
      <c r="B883" s="899"/>
      <c r="C883" s="899"/>
      <c r="D883" s="899"/>
    </row>
    <row r="884" spans="1:4" x14ac:dyDescent="0.25">
      <c r="A884" s="899"/>
      <c r="B884" s="899"/>
      <c r="C884" s="899"/>
      <c r="D884" s="899"/>
    </row>
    <row r="885" spans="1:4" x14ac:dyDescent="0.25">
      <c r="A885" s="899"/>
      <c r="B885" s="899"/>
      <c r="C885" s="899"/>
      <c r="D885" s="899"/>
    </row>
    <row r="886" spans="1:4" x14ac:dyDescent="0.25">
      <c r="A886" s="899"/>
      <c r="B886" s="899"/>
      <c r="C886" s="899"/>
      <c r="D886" s="899"/>
    </row>
    <row r="887" spans="1:4" x14ac:dyDescent="0.25">
      <c r="A887" s="899"/>
      <c r="B887" s="899"/>
      <c r="C887" s="899"/>
      <c r="D887" s="899"/>
    </row>
    <row r="888" spans="1:4" x14ac:dyDescent="0.25">
      <c r="A888" s="899"/>
      <c r="B888" s="899"/>
      <c r="C888" s="899"/>
      <c r="D888" s="899"/>
    </row>
    <row r="889" spans="1:4" x14ac:dyDescent="0.25">
      <c r="A889" s="899"/>
      <c r="B889" s="899"/>
      <c r="C889" s="899"/>
      <c r="D889" s="899"/>
    </row>
    <row r="890" spans="1:4" x14ac:dyDescent="0.25">
      <c r="A890" s="899"/>
      <c r="B890" s="899"/>
      <c r="C890" s="899"/>
      <c r="D890" s="899"/>
    </row>
    <row r="891" spans="1:4" x14ac:dyDescent="0.25">
      <c r="A891" s="899"/>
      <c r="B891" s="899"/>
      <c r="C891" s="899"/>
      <c r="D891" s="899"/>
    </row>
    <row r="892" spans="1:4" x14ac:dyDescent="0.25">
      <c r="A892" s="899"/>
      <c r="B892" s="899"/>
      <c r="C892" s="899"/>
      <c r="D892" s="899"/>
    </row>
    <row r="893" spans="1:4" x14ac:dyDescent="0.25">
      <c r="A893" s="899"/>
      <c r="B893" s="899"/>
      <c r="C893" s="899"/>
      <c r="D893" s="899"/>
    </row>
    <row r="894" spans="1:4" x14ac:dyDescent="0.25">
      <c r="A894" s="899"/>
      <c r="B894" s="899"/>
      <c r="C894" s="899"/>
      <c r="D894" s="899"/>
    </row>
    <row r="895" spans="1:4" x14ac:dyDescent="0.25">
      <c r="A895" s="899"/>
      <c r="B895" s="899"/>
      <c r="C895" s="899"/>
      <c r="D895" s="899"/>
    </row>
    <row r="896" spans="1:4" x14ac:dyDescent="0.25">
      <c r="A896" s="899"/>
      <c r="B896" s="899"/>
      <c r="C896" s="899"/>
      <c r="D896" s="899"/>
    </row>
    <row r="897" spans="1:4" x14ac:dyDescent="0.25">
      <c r="A897" s="899"/>
      <c r="B897" s="899"/>
      <c r="C897" s="899"/>
      <c r="D897" s="899"/>
    </row>
    <row r="898" spans="1:4" x14ac:dyDescent="0.25">
      <c r="A898" s="899"/>
      <c r="B898" s="899"/>
      <c r="C898" s="899"/>
      <c r="D898" s="899"/>
    </row>
    <row r="899" spans="1:4" x14ac:dyDescent="0.25">
      <c r="A899" s="899"/>
      <c r="B899" s="899"/>
      <c r="C899" s="899"/>
      <c r="D899" s="899"/>
    </row>
    <row r="900" spans="1:4" x14ac:dyDescent="0.25">
      <c r="A900" s="899"/>
      <c r="B900" s="899"/>
      <c r="C900" s="899"/>
      <c r="D900" s="899"/>
    </row>
    <row r="901" spans="1:4" x14ac:dyDescent="0.25">
      <c r="A901" s="899"/>
      <c r="B901" s="899"/>
      <c r="C901" s="899"/>
      <c r="D901" s="899"/>
    </row>
    <row r="902" spans="1:4" x14ac:dyDescent="0.25">
      <c r="A902" s="899"/>
      <c r="B902" s="899"/>
      <c r="C902" s="899"/>
      <c r="D902" s="899"/>
    </row>
    <row r="903" spans="1:4" x14ac:dyDescent="0.25">
      <c r="A903" s="899"/>
      <c r="B903" s="899"/>
      <c r="C903" s="899"/>
      <c r="D903" s="899"/>
    </row>
    <row r="904" spans="1:4" x14ac:dyDescent="0.25">
      <c r="A904" s="899"/>
      <c r="B904" s="899"/>
      <c r="C904" s="899"/>
      <c r="D904" s="899"/>
    </row>
    <row r="905" spans="1:4" x14ac:dyDescent="0.25">
      <c r="A905" s="899"/>
      <c r="B905" s="899"/>
      <c r="C905" s="899"/>
      <c r="D905" s="899"/>
    </row>
    <row r="906" spans="1:4" x14ac:dyDescent="0.25">
      <c r="A906" s="899"/>
      <c r="B906" s="899"/>
      <c r="C906" s="899"/>
      <c r="D906" s="899"/>
    </row>
    <row r="907" spans="1:4" x14ac:dyDescent="0.25">
      <c r="A907" s="899"/>
      <c r="B907" s="899"/>
      <c r="C907" s="899"/>
      <c r="D907" s="899"/>
    </row>
    <row r="908" spans="1:4" x14ac:dyDescent="0.25">
      <c r="A908" s="899"/>
      <c r="B908" s="899"/>
      <c r="C908" s="899"/>
      <c r="D908" s="899"/>
    </row>
    <row r="909" spans="1:4" x14ac:dyDescent="0.25">
      <c r="A909" s="899"/>
      <c r="B909" s="899"/>
      <c r="C909" s="899"/>
      <c r="D909" s="899"/>
    </row>
    <row r="910" spans="1:4" x14ac:dyDescent="0.25">
      <c r="A910" s="899"/>
      <c r="B910" s="899"/>
      <c r="C910" s="899"/>
      <c r="D910" s="899"/>
    </row>
    <row r="911" spans="1:4" x14ac:dyDescent="0.25">
      <c r="A911" s="899"/>
      <c r="B911" s="899"/>
      <c r="C911" s="899"/>
      <c r="D911" s="899"/>
    </row>
    <row r="912" spans="1:4" x14ac:dyDescent="0.25">
      <c r="A912" s="899"/>
      <c r="B912" s="899"/>
      <c r="C912" s="899"/>
      <c r="D912" s="899"/>
    </row>
    <row r="913" spans="1:4" x14ac:dyDescent="0.25">
      <c r="A913" s="899"/>
      <c r="B913" s="899"/>
      <c r="C913" s="899"/>
      <c r="D913" s="899"/>
    </row>
    <row r="914" spans="1:4" x14ac:dyDescent="0.25">
      <c r="A914" s="899"/>
      <c r="B914" s="899"/>
      <c r="C914" s="899"/>
      <c r="D914" s="899"/>
    </row>
    <row r="915" spans="1:4" x14ac:dyDescent="0.25">
      <c r="A915" s="899"/>
      <c r="B915" s="899"/>
      <c r="C915" s="899"/>
      <c r="D915" s="899"/>
    </row>
    <row r="916" spans="1:4" x14ac:dyDescent="0.25">
      <c r="A916" s="899"/>
      <c r="B916" s="899"/>
      <c r="C916" s="899"/>
      <c r="D916" s="899"/>
    </row>
    <row r="917" spans="1:4" x14ac:dyDescent="0.25">
      <c r="A917" s="899"/>
      <c r="B917" s="899"/>
      <c r="C917" s="899"/>
      <c r="D917" s="899"/>
    </row>
    <row r="918" spans="1:4" x14ac:dyDescent="0.25">
      <c r="A918" s="899"/>
      <c r="B918" s="899"/>
      <c r="C918" s="899"/>
      <c r="D918" s="899"/>
    </row>
    <row r="919" spans="1:4" x14ac:dyDescent="0.25">
      <c r="A919" s="899"/>
      <c r="B919" s="899"/>
      <c r="C919" s="899"/>
      <c r="D919" s="899"/>
    </row>
    <row r="920" spans="1:4" x14ac:dyDescent="0.25">
      <c r="A920" s="899"/>
      <c r="B920" s="899"/>
      <c r="C920" s="899"/>
      <c r="D920" s="899"/>
    </row>
    <row r="921" spans="1:4" x14ac:dyDescent="0.25">
      <c r="A921" s="899"/>
      <c r="B921" s="899"/>
      <c r="C921" s="899"/>
      <c r="D921" s="899"/>
    </row>
    <row r="922" spans="1:4" x14ac:dyDescent="0.25">
      <c r="A922" s="899"/>
      <c r="B922" s="899"/>
      <c r="C922" s="899"/>
      <c r="D922" s="899"/>
    </row>
    <row r="923" spans="1:4" x14ac:dyDescent="0.25">
      <c r="A923" s="899"/>
      <c r="B923" s="899"/>
      <c r="C923" s="899"/>
      <c r="D923" s="899"/>
    </row>
    <row r="924" spans="1:4" x14ac:dyDescent="0.25">
      <c r="A924" s="899"/>
      <c r="B924" s="899"/>
      <c r="C924" s="899"/>
      <c r="D924" s="899"/>
    </row>
    <row r="925" spans="1:4" x14ac:dyDescent="0.25">
      <c r="A925" s="899"/>
      <c r="B925" s="899"/>
      <c r="C925" s="899"/>
      <c r="D925" s="899"/>
    </row>
    <row r="926" spans="1:4" x14ac:dyDescent="0.25">
      <c r="A926" s="899"/>
      <c r="B926" s="899"/>
      <c r="C926" s="899"/>
      <c r="D926" s="899"/>
    </row>
    <row r="927" spans="1:4" x14ac:dyDescent="0.25">
      <c r="A927" s="899"/>
      <c r="B927" s="899"/>
      <c r="C927" s="899"/>
      <c r="D927" s="899"/>
    </row>
    <row r="928" spans="1:4" x14ac:dyDescent="0.25">
      <c r="A928" s="899"/>
      <c r="B928" s="899"/>
      <c r="C928" s="899"/>
      <c r="D928" s="899"/>
    </row>
    <row r="929" spans="1:4" x14ac:dyDescent="0.25">
      <c r="A929" s="899"/>
      <c r="B929" s="899"/>
      <c r="C929" s="899"/>
      <c r="D929" s="899"/>
    </row>
    <row r="930" spans="1:4" x14ac:dyDescent="0.25">
      <c r="A930" s="899"/>
      <c r="B930" s="899"/>
      <c r="C930" s="899"/>
      <c r="D930" s="899"/>
    </row>
    <row r="931" spans="1:4" x14ac:dyDescent="0.25">
      <c r="A931" s="899"/>
      <c r="B931" s="899"/>
      <c r="C931" s="899"/>
      <c r="D931" s="899"/>
    </row>
    <row r="932" spans="1:4" x14ac:dyDescent="0.25">
      <c r="A932" s="899"/>
      <c r="B932" s="899"/>
      <c r="C932" s="899"/>
      <c r="D932" s="899"/>
    </row>
    <row r="933" spans="1:4" x14ac:dyDescent="0.25">
      <c r="A933" s="899"/>
      <c r="B933" s="899"/>
      <c r="C933" s="899"/>
      <c r="D933" s="899"/>
    </row>
    <row r="934" spans="1:4" x14ac:dyDescent="0.25">
      <c r="A934" s="899"/>
      <c r="B934" s="899"/>
      <c r="C934" s="899"/>
      <c r="D934" s="899"/>
    </row>
    <row r="935" spans="1:4" x14ac:dyDescent="0.25">
      <c r="A935" s="899"/>
      <c r="B935" s="899"/>
      <c r="C935" s="899"/>
      <c r="D935" s="899"/>
    </row>
    <row r="936" spans="1:4" x14ac:dyDescent="0.25">
      <c r="A936" s="899"/>
      <c r="B936" s="899"/>
      <c r="C936" s="899"/>
      <c r="D936" s="899"/>
    </row>
    <row r="937" spans="1:4" x14ac:dyDescent="0.25">
      <c r="A937" s="899"/>
      <c r="B937" s="899"/>
      <c r="C937" s="899"/>
      <c r="D937" s="899"/>
    </row>
    <row r="938" spans="1:4" x14ac:dyDescent="0.25">
      <c r="A938" s="899"/>
      <c r="B938" s="899"/>
      <c r="C938" s="899"/>
      <c r="D938" s="899"/>
    </row>
    <row r="939" spans="1:4" x14ac:dyDescent="0.25">
      <c r="A939" s="899"/>
      <c r="B939" s="899"/>
      <c r="C939" s="899"/>
      <c r="D939" s="899"/>
    </row>
    <row r="940" spans="1:4" x14ac:dyDescent="0.25">
      <c r="A940" s="899"/>
      <c r="B940" s="899"/>
      <c r="C940" s="899"/>
      <c r="D940" s="899"/>
    </row>
    <row r="941" spans="1:4" x14ac:dyDescent="0.25">
      <c r="A941" s="899"/>
      <c r="B941" s="899"/>
      <c r="C941" s="899"/>
      <c r="D941" s="899"/>
    </row>
    <row r="942" spans="1:4" x14ac:dyDescent="0.25">
      <c r="A942" s="899"/>
      <c r="B942" s="899"/>
      <c r="C942" s="899"/>
      <c r="D942" s="899"/>
    </row>
    <row r="943" spans="1:4" x14ac:dyDescent="0.25">
      <c r="A943" s="899"/>
      <c r="B943" s="899"/>
      <c r="C943" s="899"/>
      <c r="D943" s="899"/>
    </row>
    <row r="944" spans="1:4" x14ac:dyDescent="0.25">
      <c r="A944" s="899"/>
      <c r="B944" s="899"/>
      <c r="C944" s="899"/>
      <c r="D944" s="899"/>
    </row>
    <row r="945" spans="1:4" x14ac:dyDescent="0.25">
      <c r="A945" s="899"/>
      <c r="B945" s="899"/>
      <c r="C945" s="899"/>
      <c r="D945" s="899"/>
    </row>
    <row r="946" spans="1:4" x14ac:dyDescent="0.25">
      <c r="A946" s="899"/>
      <c r="B946" s="899"/>
      <c r="C946" s="899"/>
      <c r="D946" s="899"/>
    </row>
    <row r="947" spans="1:4" x14ac:dyDescent="0.25">
      <c r="A947" s="899"/>
      <c r="B947" s="899"/>
      <c r="C947" s="899"/>
      <c r="D947" s="899"/>
    </row>
    <row r="948" spans="1:4" x14ac:dyDescent="0.25">
      <c r="A948" s="899"/>
      <c r="B948" s="899"/>
      <c r="C948" s="899"/>
      <c r="D948" s="899"/>
    </row>
    <row r="949" spans="1:4" x14ac:dyDescent="0.25">
      <c r="A949" s="899"/>
      <c r="B949" s="899"/>
      <c r="C949" s="899"/>
      <c r="D949" s="899"/>
    </row>
    <row r="950" spans="1:4" x14ac:dyDescent="0.25">
      <c r="A950" s="899"/>
      <c r="B950" s="899"/>
      <c r="C950" s="899"/>
      <c r="D950" s="899"/>
    </row>
    <row r="951" spans="1:4" x14ac:dyDescent="0.25">
      <c r="A951" s="899"/>
      <c r="B951" s="899"/>
      <c r="C951" s="899"/>
      <c r="D951" s="899"/>
    </row>
    <row r="952" spans="1:4" x14ac:dyDescent="0.25">
      <c r="A952" s="899"/>
      <c r="B952" s="899"/>
      <c r="C952" s="899"/>
      <c r="D952" s="899"/>
    </row>
    <row r="953" spans="1:4" x14ac:dyDescent="0.25">
      <c r="A953" s="899"/>
      <c r="B953" s="899"/>
      <c r="C953" s="899"/>
      <c r="D953" s="899"/>
    </row>
    <row r="954" spans="1:4" x14ac:dyDescent="0.25">
      <c r="A954" s="899"/>
      <c r="B954" s="899"/>
      <c r="C954" s="899"/>
      <c r="D954" s="899"/>
    </row>
    <row r="955" spans="1:4" x14ac:dyDescent="0.25">
      <c r="A955" s="899"/>
      <c r="B955" s="899"/>
      <c r="C955" s="899"/>
      <c r="D955" s="899"/>
    </row>
    <row r="956" spans="1:4" x14ac:dyDescent="0.25">
      <c r="A956" s="899"/>
      <c r="B956" s="899"/>
      <c r="C956" s="899"/>
      <c r="D956" s="899"/>
    </row>
    <row r="957" spans="1:4" x14ac:dyDescent="0.25">
      <c r="A957" s="899"/>
      <c r="B957" s="899"/>
      <c r="C957" s="899"/>
      <c r="D957" s="899"/>
    </row>
    <row r="958" spans="1:4" x14ac:dyDescent="0.25">
      <c r="A958" s="899"/>
      <c r="B958" s="899"/>
      <c r="C958" s="899"/>
      <c r="D958" s="899"/>
    </row>
    <row r="959" spans="1:4" x14ac:dyDescent="0.25">
      <c r="A959" s="899"/>
      <c r="B959" s="899"/>
      <c r="C959" s="899"/>
      <c r="D959" s="899"/>
    </row>
    <row r="960" spans="1:4" x14ac:dyDescent="0.25">
      <c r="A960" s="899"/>
      <c r="B960" s="899"/>
      <c r="C960" s="899"/>
      <c r="D960" s="899"/>
    </row>
    <row r="961" spans="1:4" x14ac:dyDescent="0.25">
      <c r="A961" s="899"/>
      <c r="B961" s="899"/>
      <c r="C961" s="899"/>
      <c r="D961" s="899"/>
    </row>
    <row r="962" spans="1:4" x14ac:dyDescent="0.25">
      <c r="A962" s="899"/>
      <c r="B962" s="899"/>
      <c r="C962" s="899"/>
      <c r="D962" s="899"/>
    </row>
    <row r="963" spans="1:4" x14ac:dyDescent="0.25">
      <c r="A963" s="899"/>
      <c r="B963" s="899"/>
      <c r="C963" s="899"/>
      <c r="D963" s="899"/>
    </row>
    <row r="964" spans="1:4" x14ac:dyDescent="0.25">
      <c r="A964" s="899"/>
      <c r="B964" s="899"/>
      <c r="C964" s="899"/>
      <c r="D964" s="899"/>
    </row>
    <row r="965" spans="1:4" x14ac:dyDescent="0.25">
      <c r="A965" s="899"/>
      <c r="B965" s="899"/>
      <c r="C965" s="899"/>
      <c r="D965" s="899"/>
    </row>
    <row r="966" spans="1:4" x14ac:dyDescent="0.25">
      <c r="A966" s="899"/>
      <c r="B966" s="899"/>
      <c r="C966" s="899"/>
      <c r="D966" s="899"/>
    </row>
    <row r="967" spans="1:4" x14ac:dyDescent="0.25">
      <c r="A967" s="899"/>
      <c r="B967" s="899"/>
      <c r="C967" s="899"/>
      <c r="D967" s="899"/>
    </row>
    <row r="968" spans="1:4" x14ac:dyDescent="0.25">
      <c r="A968" s="899"/>
      <c r="B968" s="899"/>
      <c r="C968" s="899"/>
      <c r="D968" s="899"/>
    </row>
    <row r="969" spans="1:4" x14ac:dyDescent="0.25">
      <c r="A969" s="899"/>
      <c r="B969" s="899"/>
      <c r="C969" s="899"/>
      <c r="D969" s="899"/>
    </row>
    <row r="970" spans="1:4" x14ac:dyDescent="0.25">
      <c r="A970" s="899"/>
      <c r="B970" s="899"/>
      <c r="C970" s="899"/>
      <c r="D970" s="899"/>
    </row>
    <row r="971" spans="1:4" x14ac:dyDescent="0.25">
      <c r="A971" s="899"/>
      <c r="B971" s="899"/>
      <c r="C971" s="899"/>
      <c r="D971" s="899"/>
    </row>
    <row r="972" spans="1:4" x14ac:dyDescent="0.25">
      <c r="A972" s="899"/>
      <c r="B972" s="899"/>
      <c r="C972" s="899"/>
      <c r="D972" s="899"/>
    </row>
    <row r="973" spans="1:4" x14ac:dyDescent="0.25">
      <c r="A973" s="899"/>
      <c r="B973" s="899"/>
      <c r="C973" s="899"/>
      <c r="D973" s="899"/>
    </row>
    <row r="974" spans="1:4" x14ac:dyDescent="0.25">
      <c r="A974" s="899"/>
      <c r="B974" s="899"/>
      <c r="C974" s="899"/>
      <c r="D974" s="899"/>
    </row>
    <row r="975" spans="1:4" x14ac:dyDescent="0.25">
      <c r="A975" s="899"/>
      <c r="B975" s="899"/>
      <c r="C975" s="899"/>
      <c r="D975" s="899"/>
    </row>
    <row r="976" spans="1:4" x14ac:dyDescent="0.25">
      <c r="A976" s="899"/>
      <c r="B976" s="899"/>
      <c r="C976" s="899"/>
      <c r="D976" s="899"/>
    </row>
    <row r="977" spans="1:4" x14ac:dyDescent="0.25">
      <c r="A977" s="899"/>
      <c r="B977" s="899"/>
      <c r="C977" s="899"/>
      <c r="D977" s="899"/>
    </row>
    <row r="978" spans="1:4" x14ac:dyDescent="0.25">
      <c r="A978" s="899"/>
      <c r="B978" s="899"/>
      <c r="C978" s="899"/>
      <c r="D978" s="899"/>
    </row>
    <row r="979" spans="1:4" x14ac:dyDescent="0.25">
      <c r="A979" s="899"/>
      <c r="B979" s="899"/>
      <c r="C979" s="899"/>
      <c r="D979" s="899"/>
    </row>
    <row r="980" spans="1:4" x14ac:dyDescent="0.25">
      <c r="A980" s="899"/>
      <c r="B980" s="899"/>
      <c r="C980" s="899"/>
      <c r="D980" s="899"/>
    </row>
    <row r="981" spans="1:4" x14ac:dyDescent="0.25">
      <c r="A981" s="899"/>
      <c r="B981" s="899"/>
      <c r="C981" s="899"/>
      <c r="D981" s="899"/>
    </row>
    <row r="982" spans="1:4" x14ac:dyDescent="0.25">
      <c r="A982" s="899"/>
      <c r="B982" s="899"/>
      <c r="C982" s="899"/>
      <c r="D982" s="899"/>
    </row>
    <row r="983" spans="1:4" x14ac:dyDescent="0.25">
      <c r="A983" s="899"/>
      <c r="B983" s="899"/>
      <c r="C983" s="899"/>
      <c r="D983" s="899"/>
    </row>
    <row r="984" spans="1:4" x14ac:dyDescent="0.25">
      <c r="A984" s="899"/>
      <c r="B984" s="899"/>
      <c r="C984" s="899"/>
      <c r="D984" s="899"/>
    </row>
    <row r="985" spans="1:4" x14ac:dyDescent="0.25">
      <c r="A985" s="899"/>
      <c r="B985" s="899"/>
      <c r="C985" s="899"/>
      <c r="D985" s="899"/>
    </row>
    <row r="986" spans="1:4" x14ac:dyDescent="0.25">
      <c r="A986" s="899"/>
      <c r="B986" s="899"/>
      <c r="C986" s="899"/>
      <c r="D986" s="899"/>
    </row>
    <row r="987" spans="1:4" x14ac:dyDescent="0.25">
      <c r="A987" s="899"/>
      <c r="B987" s="899"/>
      <c r="C987" s="899"/>
      <c r="D987" s="899"/>
    </row>
    <row r="988" spans="1:4" x14ac:dyDescent="0.25">
      <c r="A988" s="899"/>
      <c r="B988" s="899"/>
      <c r="C988" s="899"/>
      <c r="D988" s="899"/>
    </row>
    <row r="989" spans="1:4" x14ac:dyDescent="0.25">
      <c r="A989" s="899"/>
      <c r="B989" s="899"/>
      <c r="C989" s="899"/>
      <c r="D989" s="899"/>
    </row>
    <row r="990" spans="1:4" x14ac:dyDescent="0.25">
      <c r="A990" s="899"/>
      <c r="B990" s="899"/>
      <c r="C990" s="899"/>
      <c r="D990" s="899"/>
    </row>
    <row r="991" spans="1:4" x14ac:dyDescent="0.25">
      <c r="A991" s="899"/>
      <c r="B991" s="899"/>
      <c r="C991" s="899"/>
      <c r="D991" s="899"/>
    </row>
    <row r="992" spans="1:4" x14ac:dyDescent="0.25">
      <c r="A992" s="899"/>
      <c r="B992" s="899"/>
      <c r="C992" s="899"/>
      <c r="D992" s="899"/>
    </row>
    <row r="993" spans="1:4" x14ac:dyDescent="0.25">
      <c r="A993" s="899"/>
      <c r="B993" s="899"/>
      <c r="C993" s="899"/>
      <c r="D993" s="899"/>
    </row>
    <row r="994" spans="1:4" x14ac:dyDescent="0.25">
      <c r="A994" s="899"/>
      <c r="B994" s="899"/>
      <c r="C994" s="899"/>
      <c r="D994" s="899"/>
    </row>
    <row r="995" spans="1:4" x14ac:dyDescent="0.25">
      <c r="A995" s="899"/>
      <c r="B995" s="899"/>
      <c r="C995" s="899"/>
      <c r="D995" s="899"/>
    </row>
    <row r="996" spans="1:4" x14ac:dyDescent="0.25">
      <c r="A996" s="899"/>
      <c r="B996" s="899"/>
      <c r="C996" s="899"/>
      <c r="D996" s="899"/>
    </row>
    <row r="997" spans="1:4" x14ac:dyDescent="0.25">
      <c r="A997" s="899"/>
      <c r="B997" s="899"/>
      <c r="C997" s="899"/>
      <c r="D997" s="899"/>
    </row>
    <row r="998" spans="1:4" x14ac:dyDescent="0.25">
      <c r="A998" s="899"/>
      <c r="B998" s="899"/>
      <c r="C998" s="899"/>
      <c r="D998" s="899"/>
    </row>
    <row r="999" spans="1:4" x14ac:dyDescent="0.25">
      <c r="A999" s="899"/>
      <c r="B999" s="899"/>
      <c r="C999" s="899"/>
      <c r="D999" s="899"/>
    </row>
    <row r="1000" spans="1:4" x14ac:dyDescent="0.25">
      <c r="A1000" s="899"/>
      <c r="B1000" s="899"/>
      <c r="C1000" s="899"/>
      <c r="D1000" s="899"/>
    </row>
    <row r="1001" spans="1:4" x14ac:dyDescent="0.25">
      <c r="A1001" s="899"/>
      <c r="B1001" s="899"/>
      <c r="C1001" s="899"/>
      <c r="D1001" s="899"/>
    </row>
    <row r="1002" spans="1:4" x14ac:dyDescent="0.25">
      <c r="A1002" s="899"/>
      <c r="B1002" s="899"/>
      <c r="C1002" s="899"/>
      <c r="D1002" s="899"/>
    </row>
    <row r="1003" spans="1:4" x14ac:dyDescent="0.25">
      <c r="A1003" s="899"/>
      <c r="B1003" s="899"/>
      <c r="C1003" s="899"/>
      <c r="D1003" s="899"/>
    </row>
    <row r="1004" spans="1:4" x14ac:dyDescent="0.25">
      <c r="A1004" s="899"/>
      <c r="B1004" s="899"/>
      <c r="C1004" s="899"/>
      <c r="D1004" s="899"/>
    </row>
    <row r="1005" spans="1:4" x14ac:dyDescent="0.25">
      <c r="A1005" s="899"/>
      <c r="B1005" s="899"/>
      <c r="C1005" s="899"/>
      <c r="D1005" s="899"/>
    </row>
    <row r="1006" spans="1:4" x14ac:dyDescent="0.25">
      <c r="A1006" s="899"/>
      <c r="B1006" s="899"/>
      <c r="C1006" s="899"/>
      <c r="D1006" s="899"/>
    </row>
    <row r="1007" spans="1:4" x14ac:dyDescent="0.25">
      <c r="A1007" s="899"/>
      <c r="B1007" s="899"/>
      <c r="C1007" s="899"/>
      <c r="D1007" s="899"/>
    </row>
    <row r="1008" spans="1:4" x14ac:dyDescent="0.25">
      <c r="A1008" s="899"/>
      <c r="B1008" s="899"/>
      <c r="C1008" s="899"/>
      <c r="D1008" s="899"/>
    </row>
    <row r="1009" spans="1:4" x14ac:dyDescent="0.25">
      <c r="A1009" s="899"/>
      <c r="B1009" s="899"/>
      <c r="C1009" s="899"/>
      <c r="D1009" s="899"/>
    </row>
    <row r="1010" spans="1:4" x14ac:dyDescent="0.25">
      <c r="A1010" s="899"/>
      <c r="B1010" s="899"/>
      <c r="C1010" s="899"/>
      <c r="D1010" s="899"/>
    </row>
    <row r="1011" spans="1:4" x14ac:dyDescent="0.25">
      <c r="A1011" s="899"/>
      <c r="B1011" s="899"/>
      <c r="C1011" s="899"/>
      <c r="D1011" s="899"/>
    </row>
    <row r="1012" spans="1:4" x14ac:dyDescent="0.25">
      <c r="A1012" s="899"/>
      <c r="B1012" s="899"/>
      <c r="C1012" s="899"/>
      <c r="D1012" s="899"/>
    </row>
    <row r="1013" spans="1:4" x14ac:dyDescent="0.25">
      <c r="A1013" s="899"/>
      <c r="B1013" s="899"/>
      <c r="C1013" s="899"/>
      <c r="D1013" s="899"/>
    </row>
    <row r="1014" spans="1:4" x14ac:dyDescent="0.25">
      <c r="A1014" s="899"/>
      <c r="B1014" s="899"/>
      <c r="C1014" s="899"/>
      <c r="D1014" s="899"/>
    </row>
    <row r="1015" spans="1:4" x14ac:dyDescent="0.25">
      <c r="A1015" s="899"/>
      <c r="B1015" s="899"/>
      <c r="C1015" s="899"/>
      <c r="D1015" s="899"/>
    </row>
    <row r="1016" spans="1:4" x14ac:dyDescent="0.25">
      <c r="A1016" s="899"/>
      <c r="B1016" s="899"/>
      <c r="C1016" s="899"/>
      <c r="D1016" s="899"/>
    </row>
    <row r="1017" spans="1:4" x14ac:dyDescent="0.25">
      <c r="A1017" s="899"/>
      <c r="B1017" s="899"/>
      <c r="C1017" s="899"/>
      <c r="D1017" s="899"/>
    </row>
    <row r="1018" spans="1:4" x14ac:dyDescent="0.25">
      <c r="A1018" s="899"/>
      <c r="B1018" s="899"/>
      <c r="C1018" s="899"/>
      <c r="D1018" s="899"/>
    </row>
    <row r="1019" spans="1:4" x14ac:dyDescent="0.25">
      <c r="A1019" s="899"/>
      <c r="B1019" s="899"/>
      <c r="C1019" s="899"/>
      <c r="D1019" s="899"/>
    </row>
    <row r="1020" spans="1:4" x14ac:dyDescent="0.25">
      <c r="A1020" s="899"/>
      <c r="B1020" s="899"/>
      <c r="C1020" s="899"/>
      <c r="D1020" s="899"/>
    </row>
    <row r="1021" spans="1:4" x14ac:dyDescent="0.25">
      <c r="A1021" s="899"/>
      <c r="B1021" s="899"/>
      <c r="C1021" s="899"/>
      <c r="D1021" s="899"/>
    </row>
    <row r="1022" spans="1:4" x14ac:dyDescent="0.25">
      <c r="A1022" s="899"/>
      <c r="B1022" s="899"/>
      <c r="C1022" s="899"/>
      <c r="D1022" s="899"/>
    </row>
    <row r="1023" spans="1:4" x14ac:dyDescent="0.25">
      <c r="A1023" s="899"/>
      <c r="B1023" s="899"/>
      <c r="C1023" s="899"/>
      <c r="D1023" s="899"/>
    </row>
    <row r="1024" spans="1:4" x14ac:dyDescent="0.25">
      <c r="A1024" s="899"/>
      <c r="B1024" s="899"/>
      <c r="C1024" s="899"/>
      <c r="D1024" s="899"/>
    </row>
    <row r="1025" spans="1:4" x14ac:dyDescent="0.25">
      <c r="A1025" s="899"/>
      <c r="B1025" s="899"/>
      <c r="C1025" s="899"/>
      <c r="D1025" s="899"/>
    </row>
    <row r="1026" spans="1:4" x14ac:dyDescent="0.25">
      <c r="A1026" s="899"/>
      <c r="B1026" s="899"/>
      <c r="C1026" s="899"/>
      <c r="D1026" s="899"/>
    </row>
    <row r="1027" spans="1:4" x14ac:dyDescent="0.25">
      <c r="A1027" s="899"/>
      <c r="B1027" s="899"/>
      <c r="C1027" s="899"/>
      <c r="D1027" s="899"/>
    </row>
    <row r="1028" spans="1:4" x14ac:dyDescent="0.25">
      <c r="A1028" s="899"/>
      <c r="B1028" s="899"/>
      <c r="C1028" s="899"/>
      <c r="D1028" s="899"/>
    </row>
    <row r="1029" spans="1:4" x14ac:dyDescent="0.25">
      <c r="A1029" s="899"/>
      <c r="B1029" s="899"/>
      <c r="C1029" s="899"/>
      <c r="D1029" s="899"/>
    </row>
    <row r="1030" spans="1:4" x14ac:dyDescent="0.25">
      <c r="A1030" s="899"/>
      <c r="B1030" s="899"/>
      <c r="C1030" s="899"/>
      <c r="D1030" s="899"/>
    </row>
    <row r="1031" spans="1:4" x14ac:dyDescent="0.25">
      <c r="A1031" s="899"/>
      <c r="B1031" s="899"/>
      <c r="C1031" s="899"/>
      <c r="D1031" s="899"/>
    </row>
    <row r="1032" spans="1:4" x14ac:dyDescent="0.25">
      <c r="A1032" s="899"/>
      <c r="B1032" s="899"/>
      <c r="C1032" s="899"/>
      <c r="D1032" s="899"/>
    </row>
    <row r="1033" spans="1:4" x14ac:dyDescent="0.25">
      <c r="A1033" s="899"/>
      <c r="B1033" s="899"/>
      <c r="C1033" s="899"/>
      <c r="D1033" s="899"/>
    </row>
    <row r="1034" spans="1:4" x14ac:dyDescent="0.25">
      <c r="A1034" s="899"/>
      <c r="B1034" s="899"/>
      <c r="C1034" s="899"/>
      <c r="D1034" s="899"/>
    </row>
    <row r="1035" spans="1:4" x14ac:dyDescent="0.25">
      <c r="A1035" s="899"/>
      <c r="B1035" s="899"/>
      <c r="C1035" s="899"/>
      <c r="D1035" s="899"/>
    </row>
    <row r="1036" spans="1:4" x14ac:dyDescent="0.25">
      <c r="A1036" s="899"/>
      <c r="B1036" s="899"/>
      <c r="C1036" s="899"/>
      <c r="D1036" s="899"/>
    </row>
    <row r="1037" spans="1:4" x14ac:dyDescent="0.25">
      <c r="A1037" s="899"/>
      <c r="B1037" s="899"/>
      <c r="C1037" s="899"/>
      <c r="D1037" s="899"/>
    </row>
    <row r="1038" spans="1:4" x14ac:dyDescent="0.25">
      <c r="A1038" s="899"/>
      <c r="B1038" s="899"/>
      <c r="C1038" s="899"/>
      <c r="D1038" s="899"/>
    </row>
    <row r="1039" spans="1:4" x14ac:dyDescent="0.25">
      <c r="A1039" s="899"/>
      <c r="B1039" s="899"/>
      <c r="C1039" s="899"/>
      <c r="D1039" s="899"/>
    </row>
    <row r="1040" spans="1:4" x14ac:dyDescent="0.25">
      <c r="A1040" s="899"/>
      <c r="B1040" s="899"/>
      <c r="C1040" s="899"/>
      <c r="D1040" s="899"/>
    </row>
    <row r="1041" spans="1:4" x14ac:dyDescent="0.25">
      <c r="A1041" s="899"/>
      <c r="B1041" s="899"/>
      <c r="C1041" s="899"/>
      <c r="D1041" s="899"/>
    </row>
    <row r="1042" spans="1:4" x14ac:dyDescent="0.25">
      <c r="A1042" s="899"/>
      <c r="B1042" s="899"/>
      <c r="C1042" s="899"/>
      <c r="D1042" s="899"/>
    </row>
    <row r="1043" spans="1:4" x14ac:dyDescent="0.25">
      <c r="A1043" s="899"/>
      <c r="B1043" s="899"/>
      <c r="C1043" s="899"/>
      <c r="D1043" s="899"/>
    </row>
    <row r="1044" spans="1:4" x14ac:dyDescent="0.25">
      <c r="A1044" s="899"/>
      <c r="B1044" s="899"/>
      <c r="C1044" s="899"/>
      <c r="D1044" s="899"/>
    </row>
    <row r="1045" spans="1:4" x14ac:dyDescent="0.25">
      <c r="A1045" s="899"/>
      <c r="B1045" s="899"/>
      <c r="C1045" s="899"/>
      <c r="D1045" s="899"/>
    </row>
    <row r="1046" spans="1:4" x14ac:dyDescent="0.25">
      <c r="A1046" s="899"/>
      <c r="B1046" s="899"/>
      <c r="C1046" s="899"/>
      <c r="D1046" s="899"/>
    </row>
    <row r="1047" spans="1:4" x14ac:dyDescent="0.25">
      <c r="A1047" s="899"/>
      <c r="B1047" s="899"/>
      <c r="C1047" s="899"/>
      <c r="D1047" s="899"/>
    </row>
    <row r="1048" spans="1:4" x14ac:dyDescent="0.25">
      <c r="A1048" s="899"/>
      <c r="B1048" s="899"/>
      <c r="C1048" s="899"/>
      <c r="D1048" s="899"/>
    </row>
    <row r="1049" spans="1:4" x14ac:dyDescent="0.25">
      <c r="A1049" s="899"/>
      <c r="B1049" s="899"/>
      <c r="C1049" s="899"/>
      <c r="D1049" s="899"/>
    </row>
    <row r="1050" spans="1:4" x14ac:dyDescent="0.25">
      <c r="A1050" s="899"/>
      <c r="B1050" s="899"/>
      <c r="C1050" s="899"/>
      <c r="D1050" s="899"/>
    </row>
    <row r="1051" spans="1:4" x14ac:dyDescent="0.25">
      <c r="A1051" s="899"/>
      <c r="B1051" s="899"/>
      <c r="C1051" s="899"/>
      <c r="D1051" s="899"/>
    </row>
    <row r="1052" spans="1:4" x14ac:dyDescent="0.25">
      <c r="A1052" s="899"/>
      <c r="B1052" s="899"/>
      <c r="C1052" s="899"/>
      <c r="D1052" s="899"/>
    </row>
    <row r="1053" spans="1:4" x14ac:dyDescent="0.25">
      <c r="A1053" s="899"/>
      <c r="B1053" s="899"/>
      <c r="C1053" s="899"/>
      <c r="D1053" s="899"/>
    </row>
    <row r="1054" spans="1:4" x14ac:dyDescent="0.25">
      <c r="A1054" s="899"/>
      <c r="B1054" s="899"/>
      <c r="C1054" s="899"/>
      <c r="D1054" s="899"/>
    </row>
    <row r="1055" spans="1:4" x14ac:dyDescent="0.25">
      <c r="A1055" s="899"/>
      <c r="B1055" s="899"/>
      <c r="C1055" s="899"/>
      <c r="D1055" s="899"/>
    </row>
    <row r="1056" spans="1:4" x14ac:dyDescent="0.25">
      <c r="A1056" s="899"/>
      <c r="B1056" s="899"/>
      <c r="C1056" s="899"/>
      <c r="D1056" s="899"/>
    </row>
    <row r="1057" spans="1:4" x14ac:dyDescent="0.25">
      <c r="A1057" s="899"/>
      <c r="B1057" s="899"/>
      <c r="C1057" s="899"/>
      <c r="D1057" s="899"/>
    </row>
    <row r="1058" spans="1:4" x14ac:dyDescent="0.25">
      <c r="A1058" s="899"/>
      <c r="B1058" s="899"/>
      <c r="C1058" s="899"/>
      <c r="D1058" s="899"/>
    </row>
    <row r="1059" spans="1:4" x14ac:dyDescent="0.25">
      <c r="A1059" s="899"/>
      <c r="B1059" s="899"/>
      <c r="C1059" s="899"/>
      <c r="D1059" s="899"/>
    </row>
    <row r="1060" spans="1:4" x14ac:dyDescent="0.25">
      <c r="A1060" s="899"/>
      <c r="B1060" s="899"/>
      <c r="C1060" s="899"/>
      <c r="D1060" s="899"/>
    </row>
    <row r="1061" spans="1:4" x14ac:dyDescent="0.25">
      <c r="A1061" s="899"/>
      <c r="B1061" s="899"/>
      <c r="C1061" s="899"/>
      <c r="D1061" s="899"/>
    </row>
    <row r="1062" spans="1:4" x14ac:dyDescent="0.25">
      <c r="A1062" s="899"/>
      <c r="B1062" s="899"/>
      <c r="C1062" s="899"/>
      <c r="D1062" s="899"/>
    </row>
    <row r="1063" spans="1:4" x14ac:dyDescent="0.25">
      <c r="A1063" s="899"/>
      <c r="B1063" s="899"/>
      <c r="C1063" s="899"/>
      <c r="D1063" s="899"/>
    </row>
    <row r="1064" spans="1:4" x14ac:dyDescent="0.25">
      <c r="A1064" s="899"/>
      <c r="B1064" s="899"/>
      <c r="C1064" s="899"/>
      <c r="D1064" s="899"/>
    </row>
    <row r="1065" spans="1:4" x14ac:dyDescent="0.25">
      <c r="A1065" s="899"/>
      <c r="B1065" s="899"/>
      <c r="C1065" s="899"/>
      <c r="D1065" s="899"/>
    </row>
    <row r="1066" spans="1:4" x14ac:dyDescent="0.25">
      <c r="A1066" s="899"/>
      <c r="B1066" s="899"/>
      <c r="C1066" s="899"/>
      <c r="D1066" s="899"/>
    </row>
    <row r="1067" spans="1:4" x14ac:dyDescent="0.25">
      <c r="A1067" s="899"/>
      <c r="B1067" s="899"/>
      <c r="C1067" s="899"/>
      <c r="D1067" s="899"/>
    </row>
    <row r="1068" spans="1:4" x14ac:dyDescent="0.25">
      <c r="A1068" s="899"/>
      <c r="B1068" s="899"/>
      <c r="C1068" s="899"/>
      <c r="D1068" s="899"/>
    </row>
    <row r="1069" spans="1:4" x14ac:dyDescent="0.25">
      <c r="A1069" s="899"/>
      <c r="B1069" s="899"/>
      <c r="C1069" s="899"/>
      <c r="D1069" s="899"/>
    </row>
    <row r="1070" spans="1:4" x14ac:dyDescent="0.25">
      <c r="A1070" s="899"/>
      <c r="B1070" s="899"/>
      <c r="C1070" s="899"/>
      <c r="D1070" s="899"/>
    </row>
    <row r="1071" spans="1:4" x14ac:dyDescent="0.25">
      <c r="A1071" s="899"/>
      <c r="B1071" s="899"/>
      <c r="C1071" s="899"/>
      <c r="D1071" s="899"/>
    </row>
    <row r="1072" spans="1:4" x14ac:dyDescent="0.25">
      <c r="A1072" s="899"/>
      <c r="B1072" s="899"/>
      <c r="C1072" s="899"/>
      <c r="D1072" s="899"/>
    </row>
    <row r="1073" spans="1:4" x14ac:dyDescent="0.25">
      <c r="A1073" s="899"/>
      <c r="B1073" s="899"/>
      <c r="C1073" s="899"/>
      <c r="D1073" s="899"/>
    </row>
    <row r="1074" spans="1:4" x14ac:dyDescent="0.25">
      <c r="A1074" s="899"/>
      <c r="B1074" s="899"/>
      <c r="C1074" s="899"/>
      <c r="D1074" s="899"/>
    </row>
    <row r="1075" spans="1:4" x14ac:dyDescent="0.25">
      <c r="A1075" s="899"/>
      <c r="B1075" s="899"/>
      <c r="C1075" s="899"/>
      <c r="D1075" s="899"/>
    </row>
    <row r="1076" spans="1:4" x14ac:dyDescent="0.25">
      <c r="A1076" s="899"/>
      <c r="B1076" s="899"/>
      <c r="C1076" s="899"/>
      <c r="D1076" s="899"/>
    </row>
    <row r="1077" spans="1:4" x14ac:dyDescent="0.25">
      <c r="A1077" s="899"/>
      <c r="B1077" s="899"/>
      <c r="C1077" s="899"/>
      <c r="D1077" s="899"/>
    </row>
    <row r="1078" spans="1:4" x14ac:dyDescent="0.25">
      <c r="A1078" s="899"/>
      <c r="B1078" s="899"/>
      <c r="C1078" s="899"/>
      <c r="D1078" s="899"/>
    </row>
    <row r="1079" spans="1:4" x14ac:dyDescent="0.25">
      <c r="A1079" s="899"/>
      <c r="B1079" s="899"/>
      <c r="C1079" s="899"/>
      <c r="D1079" s="899"/>
    </row>
    <row r="1080" spans="1:4" x14ac:dyDescent="0.25">
      <c r="A1080" s="899"/>
      <c r="B1080" s="899"/>
      <c r="C1080" s="899"/>
      <c r="D1080" s="899"/>
    </row>
    <row r="1081" spans="1:4" x14ac:dyDescent="0.25">
      <c r="A1081" s="899"/>
      <c r="B1081" s="899"/>
      <c r="C1081" s="899"/>
      <c r="D1081" s="899"/>
    </row>
    <row r="1082" spans="1:4" x14ac:dyDescent="0.25">
      <c r="A1082" s="899"/>
      <c r="B1082" s="899"/>
      <c r="C1082" s="899"/>
      <c r="D1082" s="899"/>
    </row>
    <row r="1083" spans="1:4" x14ac:dyDescent="0.25">
      <c r="A1083" s="899"/>
      <c r="B1083" s="899"/>
      <c r="C1083" s="899"/>
      <c r="D1083" s="899"/>
    </row>
    <row r="1084" spans="1:4" x14ac:dyDescent="0.25">
      <c r="A1084" s="899"/>
      <c r="B1084" s="899"/>
      <c r="C1084" s="899"/>
      <c r="D1084" s="899"/>
    </row>
    <row r="1085" spans="1:4" x14ac:dyDescent="0.25">
      <c r="A1085" s="899"/>
      <c r="B1085" s="899"/>
      <c r="C1085" s="899"/>
      <c r="D1085" s="899"/>
    </row>
    <row r="1086" spans="1:4" x14ac:dyDescent="0.25">
      <c r="A1086" s="899"/>
      <c r="B1086" s="899"/>
      <c r="C1086" s="899"/>
      <c r="D1086" s="899"/>
    </row>
    <row r="1087" spans="1:4" x14ac:dyDescent="0.25">
      <c r="A1087" s="899"/>
      <c r="B1087" s="899"/>
      <c r="C1087" s="899"/>
      <c r="D1087" s="899"/>
    </row>
    <row r="1088" spans="1:4" x14ac:dyDescent="0.25">
      <c r="A1088" s="899"/>
      <c r="B1088" s="899"/>
      <c r="C1088" s="899"/>
      <c r="D1088" s="899"/>
    </row>
    <row r="1089" spans="1:4" x14ac:dyDescent="0.25">
      <c r="A1089" s="899"/>
      <c r="B1089" s="899"/>
      <c r="C1089" s="899"/>
      <c r="D1089" s="899"/>
    </row>
    <row r="1090" spans="1:4" x14ac:dyDescent="0.25">
      <c r="A1090" s="899"/>
      <c r="B1090" s="899"/>
      <c r="C1090" s="899"/>
      <c r="D1090" s="899"/>
    </row>
    <row r="1091" spans="1:4" x14ac:dyDescent="0.25">
      <c r="A1091" s="899"/>
      <c r="B1091" s="899"/>
      <c r="C1091" s="899"/>
      <c r="D1091" s="899"/>
    </row>
    <row r="1092" spans="1:4" x14ac:dyDescent="0.25">
      <c r="A1092" s="899"/>
      <c r="B1092" s="899"/>
      <c r="C1092" s="899"/>
      <c r="D1092" s="899"/>
    </row>
    <row r="1093" spans="1:4" x14ac:dyDescent="0.25">
      <c r="A1093" s="899"/>
      <c r="B1093" s="899"/>
      <c r="C1093" s="899"/>
      <c r="D1093" s="899"/>
    </row>
    <row r="1094" spans="1:4" x14ac:dyDescent="0.25">
      <c r="A1094" s="899"/>
      <c r="B1094" s="899"/>
      <c r="C1094" s="899"/>
      <c r="D1094" s="899"/>
    </row>
    <row r="1095" spans="1:4" x14ac:dyDescent="0.25">
      <c r="A1095" s="899"/>
      <c r="B1095" s="899"/>
      <c r="C1095" s="899"/>
      <c r="D1095" s="899"/>
    </row>
    <row r="1096" spans="1:4" x14ac:dyDescent="0.25">
      <c r="A1096" s="899"/>
      <c r="B1096" s="899"/>
      <c r="C1096" s="899"/>
      <c r="D1096" s="899"/>
    </row>
    <row r="1097" spans="1:4" x14ac:dyDescent="0.25">
      <c r="A1097" s="899"/>
      <c r="B1097" s="899"/>
      <c r="C1097" s="899"/>
      <c r="D1097" s="899"/>
    </row>
    <row r="1098" spans="1:4" x14ac:dyDescent="0.25">
      <c r="A1098" s="899"/>
      <c r="B1098" s="899"/>
      <c r="C1098" s="899"/>
      <c r="D1098" s="899"/>
    </row>
    <row r="1099" spans="1:4" x14ac:dyDescent="0.25">
      <c r="A1099" s="899"/>
      <c r="B1099" s="899"/>
      <c r="C1099" s="899"/>
      <c r="D1099" s="899"/>
    </row>
    <row r="1100" spans="1:4" x14ac:dyDescent="0.25">
      <c r="A1100" s="899"/>
      <c r="B1100" s="899"/>
      <c r="C1100" s="899"/>
      <c r="D1100" s="899"/>
    </row>
    <row r="1101" spans="1:4" x14ac:dyDescent="0.25">
      <c r="A1101" s="899"/>
      <c r="B1101" s="899"/>
      <c r="C1101" s="899"/>
      <c r="D1101" s="899"/>
    </row>
    <row r="1102" spans="1:4" x14ac:dyDescent="0.25">
      <c r="A1102" s="899"/>
      <c r="B1102" s="899"/>
      <c r="C1102" s="899"/>
      <c r="D1102" s="899"/>
    </row>
    <row r="1103" spans="1:4" x14ac:dyDescent="0.25">
      <c r="A1103" s="899"/>
      <c r="B1103" s="899"/>
      <c r="C1103" s="899"/>
      <c r="D1103" s="899"/>
    </row>
    <row r="1104" spans="1:4" x14ac:dyDescent="0.25">
      <c r="A1104" s="899"/>
      <c r="B1104" s="899"/>
      <c r="C1104" s="899"/>
      <c r="D1104" s="899"/>
    </row>
    <row r="1105" spans="1:4" x14ac:dyDescent="0.25">
      <c r="A1105" s="899"/>
      <c r="B1105" s="899"/>
      <c r="C1105" s="899"/>
      <c r="D1105" s="899"/>
    </row>
    <row r="1106" spans="1:4" x14ac:dyDescent="0.25">
      <c r="A1106" s="899"/>
      <c r="B1106" s="899"/>
      <c r="C1106" s="899"/>
      <c r="D1106" s="899"/>
    </row>
    <row r="1107" spans="1:4" x14ac:dyDescent="0.25">
      <c r="A1107" s="899"/>
      <c r="B1107" s="899"/>
      <c r="C1107" s="899"/>
      <c r="D1107" s="899"/>
    </row>
    <row r="1108" spans="1:4" x14ac:dyDescent="0.25">
      <c r="A1108" s="899"/>
      <c r="B1108" s="899"/>
      <c r="C1108" s="899"/>
      <c r="D1108" s="899"/>
    </row>
    <row r="1109" spans="1:4" x14ac:dyDescent="0.25">
      <c r="A1109" s="899"/>
      <c r="B1109" s="899"/>
      <c r="C1109" s="899"/>
      <c r="D1109" s="899"/>
    </row>
    <row r="1110" spans="1:4" x14ac:dyDescent="0.25">
      <c r="A1110" s="899"/>
      <c r="B1110" s="899"/>
      <c r="C1110" s="899"/>
      <c r="D1110" s="899"/>
    </row>
    <row r="1111" spans="1:4" x14ac:dyDescent="0.25">
      <c r="A1111" s="899"/>
      <c r="B1111" s="899"/>
      <c r="C1111" s="899"/>
      <c r="D1111" s="899"/>
    </row>
    <row r="1112" spans="1:4" x14ac:dyDescent="0.25">
      <c r="A1112" s="899"/>
      <c r="B1112" s="899"/>
      <c r="C1112" s="899"/>
      <c r="D1112" s="899"/>
    </row>
    <row r="1113" spans="1:4" x14ac:dyDescent="0.25">
      <c r="A1113" s="899"/>
      <c r="B1113" s="899"/>
      <c r="C1113" s="899"/>
      <c r="D1113" s="899"/>
    </row>
    <row r="1114" spans="1:4" x14ac:dyDescent="0.25">
      <c r="A1114" s="899"/>
      <c r="B1114" s="899"/>
      <c r="C1114" s="899"/>
      <c r="D1114" s="899"/>
    </row>
    <row r="1115" spans="1:4" x14ac:dyDescent="0.25">
      <c r="A1115" s="899"/>
      <c r="B1115" s="899"/>
      <c r="C1115" s="899"/>
      <c r="D1115" s="899"/>
    </row>
    <row r="1116" spans="1:4" x14ac:dyDescent="0.25">
      <c r="A1116" s="899"/>
      <c r="B1116" s="899"/>
      <c r="C1116" s="899"/>
      <c r="D1116" s="899"/>
    </row>
    <row r="1117" spans="1:4" x14ac:dyDescent="0.25">
      <c r="A1117" s="899"/>
      <c r="B1117" s="899"/>
      <c r="C1117" s="899"/>
      <c r="D1117" s="899"/>
    </row>
    <row r="1118" spans="1:4" x14ac:dyDescent="0.25">
      <c r="A1118" s="899"/>
      <c r="B1118" s="899"/>
      <c r="C1118" s="899"/>
      <c r="D1118" s="899"/>
    </row>
    <row r="1119" spans="1:4" x14ac:dyDescent="0.25">
      <c r="A1119" s="899"/>
      <c r="B1119" s="899"/>
      <c r="C1119" s="899"/>
      <c r="D1119" s="899"/>
    </row>
    <row r="1120" spans="1:4" x14ac:dyDescent="0.25">
      <c r="A1120" s="899"/>
      <c r="B1120" s="899"/>
      <c r="C1120" s="899"/>
      <c r="D1120" s="899"/>
    </row>
    <row r="1121" spans="1:4" x14ac:dyDescent="0.25">
      <c r="A1121" s="899"/>
      <c r="B1121" s="899"/>
      <c r="C1121" s="899"/>
      <c r="D1121" s="899"/>
    </row>
    <row r="1122" spans="1:4" x14ac:dyDescent="0.25">
      <c r="A1122" s="899"/>
      <c r="B1122" s="899"/>
      <c r="C1122" s="899"/>
      <c r="D1122" s="899"/>
    </row>
    <row r="1123" spans="1:4" x14ac:dyDescent="0.25">
      <c r="A1123" s="899"/>
      <c r="B1123" s="899"/>
      <c r="C1123" s="899"/>
      <c r="D1123" s="899"/>
    </row>
    <row r="1124" spans="1:4" x14ac:dyDescent="0.25">
      <c r="A1124" s="899"/>
      <c r="B1124" s="899"/>
      <c r="C1124" s="899"/>
      <c r="D1124" s="899"/>
    </row>
    <row r="1125" spans="1:4" x14ac:dyDescent="0.25">
      <c r="A1125" s="899"/>
      <c r="B1125" s="899"/>
      <c r="C1125" s="899"/>
      <c r="D1125" s="899"/>
    </row>
    <row r="1126" spans="1:4" x14ac:dyDescent="0.25">
      <c r="A1126" s="899"/>
      <c r="B1126" s="899"/>
      <c r="C1126" s="899"/>
      <c r="D1126" s="899"/>
    </row>
    <row r="1127" spans="1:4" x14ac:dyDescent="0.25">
      <c r="A1127" s="899"/>
      <c r="B1127" s="899"/>
      <c r="C1127" s="899"/>
      <c r="D1127" s="899"/>
    </row>
    <row r="1128" spans="1:4" x14ac:dyDescent="0.25">
      <c r="A1128" s="899"/>
      <c r="B1128" s="899"/>
      <c r="C1128" s="899"/>
      <c r="D1128" s="899"/>
    </row>
    <row r="1129" spans="1:4" x14ac:dyDescent="0.25">
      <c r="A1129" s="899"/>
      <c r="B1129" s="899"/>
      <c r="C1129" s="899"/>
      <c r="D1129" s="899"/>
    </row>
    <row r="1130" spans="1:4" x14ac:dyDescent="0.25">
      <c r="A1130" s="899"/>
      <c r="B1130" s="899"/>
      <c r="C1130" s="899"/>
      <c r="D1130" s="899"/>
    </row>
    <row r="1131" spans="1:4" x14ac:dyDescent="0.25">
      <c r="A1131" s="899"/>
      <c r="B1131" s="899"/>
      <c r="C1131" s="899"/>
      <c r="D1131" s="899"/>
    </row>
    <row r="1132" spans="1:4" x14ac:dyDescent="0.25">
      <c r="A1132" s="899"/>
      <c r="B1132" s="899"/>
      <c r="C1132" s="899"/>
      <c r="D1132" s="899"/>
    </row>
    <row r="1133" spans="1:4" x14ac:dyDescent="0.25">
      <c r="A1133" s="899"/>
      <c r="B1133" s="899"/>
      <c r="C1133" s="899"/>
      <c r="D1133" s="899"/>
    </row>
    <row r="1134" spans="1:4" x14ac:dyDescent="0.25">
      <c r="A1134" s="899"/>
      <c r="B1134" s="899"/>
      <c r="C1134" s="899"/>
      <c r="D1134" s="899"/>
    </row>
    <row r="1135" spans="1:4" x14ac:dyDescent="0.25">
      <c r="A1135" s="899"/>
      <c r="B1135" s="899"/>
      <c r="C1135" s="899"/>
      <c r="D1135" s="899"/>
    </row>
    <row r="1136" spans="1:4" x14ac:dyDescent="0.25">
      <c r="A1136" s="899"/>
      <c r="B1136" s="899"/>
      <c r="C1136" s="899"/>
      <c r="D1136" s="899"/>
    </row>
    <row r="1137" spans="1:5" x14ac:dyDescent="0.25">
      <c r="A1137" s="899"/>
      <c r="B1137" s="899"/>
      <c r="C1137" s="899"/>
      <c r="D1137" s="899"/>
    </row>
    <row r="1138" spans="1:5" x14ac:dyDescent="0.25">
      <c r="A1138" s="899"/>
      <c r="B1138" s="899"/>
      <c r="C1138" s="899"/>
      <c r="D1138" s="899"/>
      <c r="E1138" s="900"/>
    </row>
    <row r="1139" spans="1:5" x14ac:dyDescent="0.25">
      <c r="A1139" s="899"/>
      <c r="B1139" s="899"/>
      <c r="C1139" s="899"/>
      <c r="D1139" s="899"/>
      <c r="E1139" s="900"/>
    </row>
    <row r="1140" spans="1:5" x14ac:dyDescent="0.25">
      <c r="A1140" s="899"/>
      <c r="B1140" s="899"/>
      <c r="C1140" s="899"/>
      <c r="D1140" s="899"/>
      <c r="E1140" s="900"/>
    </row>
    <row r="1141" spans="1:5" x14ac:dyDescent="0.25">
      <c r="A1141" s="899"/>
      <c r="B1141" s="899"/>
      <c r="C1141" s="899"/>
      <c r="D1141" s="899"/>
      <c r="E1141" s="900"/>
    </row>
    <row r="1142" spans="1:5" x14ac:dyDescent="0.25">
      <c r="A1142" s="899"/>
      <c r="B1142" s="899"/>
      <c r="C1142" s="899"/>
      <c r="D1142" s="899"/>
      <c r="E1142" s="900"/>
    </row>
    <row r="1143" spans="1:5" x14ac:dyDescent="0.25">
      <c r="A1143" s="899"/>
      <c r="B1143" s="899"/>
      <c r="C1143" s="899"/>
      <c r="D1143" s="899"/>
      <c r="E1143" s="900"/>
    </row>
    <row r="1144" spans="1:5" x14ac:dyDescent="0.25">
      <c r="A1144" s="899"/>
      <c r="B1144" s="899"/>
      <c r="C1144" s="899"/>
      <c r="D1144" s="899"/>
      <c r="E1144" s="900"/>
    </row>
    <row r="1145" spans="1:5" x14ac:dyDescent="0.25">
      <c r="A1145" s="899"/>
      <c r="B1145" s="899"/>
      <c r="C1145" s="899"/>
      <c r="D1145" s="899"/>
      <c r="E1145" s="900"/>
    </row>
    <row r="1146" spans="1:5" x14ac:dyDescent="0.25">
      <c r="A1146" s="899"/>
      <c r="B1146" s="899"/>
      <c r="C1146" s="899"/>
      <c r="D1146" s="899"/>
      <c r="E1146" s="900"/>
    </row>
    <row r="1147" spans="1:5" x14ac:dyDescent="0.25">
      <c r="A1147" s="899"/>
      <c r="B1147" s="899"/>
      <c r="C1147" s="899"/>
      <c r="D1147" s="899"/>
      <c r="E1147" s="900"/>
    </row>
    <row r="1148" spans="1:5" x14ac:dyDescent="0.25">
      <c r="A1148" s="899"/>
      <c r="B1148" s="899"/>
      <c r="C1148" s="899"/>
      <c r="D1148" s="899"/>
      <c r="E1148" s="900"/>
    </row>
    <row r="1149" spans="1:5" x14ac:dyDescent="0.25">
      <c r="A1149" s="899"/>
      <c r="B1149" s="899"/>
      <c r="C1149" s="899"/>
      <c r="D1149" s="899"/>
      <c r="E1149" s="900"/>
    </row>
    <row r="1150" spans="1:5" x14ac:dyDescent="0.25">
      <c r="A1150" s="899"/>
      <c r="B1150" s="899"/>
      <c r="C1150" s="899"/>
      <c r="D1150" s="899"/>
      <c r="E1150" s="900"/>
    </row>
    <row r="1151" spans="1:5" x14ac:dyDescent="0.25">
      <c r="A1151" s="899"/>
      <c r="B1151" s="899"/>
      <c r="C1151" s="899"/>
      <c r="D1151" s="899"/>
      <c r="E1151" s="900"/>
    </row>
    <row r="1152" spans="1:5" x14ac:dyDescent="0.25">
      <c r="A1152" s="899"/>
      <c r="B1152" s="899"/>
      <c r="C1152" s="899"/>
      <c r="D1152" s="899"/>
      <c r="E1152" s="900"/>
    </row>
    <row r="1153" spans="1:5" x14ac:dyDescent="0.25">
      <c r="A1153" s="899"/>
      <c r="B1153" s="899"/>
      <c r="C1153" s="899"/>
      <c r="D1153" s="899"/>
      <c r="E1153" s="900"/>
    </row>
    <row r="1154" spans="1:5" x14ac:dyDescent="0.25">
      <c r="A1154" s="899"/>
      <c r="B1154" s="899"/>
      <c r="C1154" s="899"/>
      <c r="D1154" s="899"/>
      <c r="E1154" s="900"/>
    </row>
    <row r="1155" spans="1:5" x14ac:dyDescent="0.25">
      <c r="A1155" s="899"/>
      <c r="B1155" s="899"/>
      <c r="C1155" s="899"/>
      <c r="D1155" s="899"/>
      <c r="E1155" s="900"/>
    </row>
    <row r="1156" spans="1:5" x14ac:dyDescent="0.25">
      <c r="A1156" s="899"/>
      <c r="B1156" s="899"/>
      <c r="C1156" s="899"/>
      <c r="D1156" s="899"/>
      <c r="E1156" s="900"/>
    </row>
    <row r="1157" spans="1:5" x14ac:dyDescent="0.25">
      <c r="A1157" s="899"/>
      <c r="B1157" s="899"/>
      <c r="C1157" s="899"/>
      <c r="D1157" s="899"/>
      <c r="E1157" s="900"/>
    </row>
    <row r="1158" spans="1:5" x14ac:dyDescent="0.25">
      <c r="A1158" s="899"/>
      <c r="B1158" s="899"/>
      <c r="C1158" s="899"/>
      <c r="D1158" s="899"/>
      <c r="E1158" s="900"/>
    </row>
    <row r="1159" spans="1:5" x14ac:dyDescent="0.25">
      <c r="A1159" s="899"/>
      <c r="B1159" s="899"/>
      <c r="C1159" s="899"/>
      <c r="D1159" s="899"/>
      <c r="E1159" s="900"/>
    </row>
    <row r="1160" spans="1:5" x14ac:dyDescent="0.25">
      <c r="A1160" s="899"/>
      <c r="B1160" s="899"/>
      <c r="C1160" s="899"/>
      <c r="D1160" s="899"/>
      <c r="E1160" s="900"/>
    </row>
    <row r="1161" spans="1:5" x14ac:dyDescent="0.25">
      <c r="A1161" s="899"/>
      <c r="B1161" s="899"/>
      <c r="C1161" s="899"/>
      <c r="D1161" s="899"/>
      <c r="E1161" s="900"/>
    </row>
    <row r="1162" spans="1:5" x14ac:dyDescent="0.25">
      <c r="A1162" s="899"/>
      <c r="B1162" s="899"/>
      <c r="C1162" s="899"/>
      <c r="D1162" s="899"/>
      <c r="E1162" s="900"/>
    </row>
    <row r="1163" spans="1:5" x14ac:dyDescent="0.25">
      <c r="A1163" s="899"/>
      <c r="B1163" s="899"/>
      <c r="C1163" s="899"/>
      <c r="D1163" s="899"/>
      <c r="E1163" s="900"/>
    </row>
    <row r="1164" spans="1:5" x14ac:dyDescent="0.25">
      <c r="A1164" s="899"/>
      <c r="B1164" s="899"/>
      <c r="C1164" s="899"/>
      <c r="D1164" s="899"/>
      <c r="E1164" s="900"/>
    </row>
    <row r="1165" spans="1:5" x14ac:dyDescent="0.25">
      <c r="A1165" s="899"/>
      <c r="B1165" s="899"/>
      <c r="C1165" s="899"/>
      <c r="D1165" s="899"/>
      <c r="E1165" s="900"/>
    </row>
    <row r="1166" spans="1:5" x14ac:dyDescent="0.25">
      <c r="A1166" s="899"/>
      <c r="B1166" s="899"/>
      <c r="C1166" s="899"/>
      <c r="D1166" s="899"/>
      <c r="E1166" s="900"/>
    </row>
    <row r="1167" spans="1:5" x14ac:dyDescent="0.25">
      <c r="A1167" s="899"/>
      <c r="B1167" s="899"/>
      <c r="C1167" s="899"/>
      <c r="D1167" s="899"/>
      <c r="E1167" s="900"/>
    </row>
    <row r="1168" spans="1:5" x14ac:dyDescent="0.25">
      <c r="A1168" s="899"/>
      <c r="B1168" s="899"/>
      <c r="C1168" s="899"/>
      <c r="D1168" s="899"/>
      <c r="E1168" s="900"/>
    </row>
    <row r="1169" spans="1:5" x14ac:dyDescent="0.25">
      <c r="A1169" s="899"/>
      <c r="B1169" s="899"/>
      <c r="C1169" s="899"/>
      <c r="D1169" s="899"/>
      <c r="E1169" s="900"/>
    </row>
    <row r="1170" spans="1:5" x14ac:dyDescent="0.25">
      <c r="A1170" s="899"/>
      <c r="B1170" s="899"/>
      <c r="C1170" s="899"/>
      <c r="D1170" s="899"/>
      <c r="E1170" s="900"/>
    </row>
    <row r="1171" spans="1:5" x14ac:dyDescent="0.25">
      <c r="A1171" s="899"/>
      <c r="B1171" s="899"/>
      <c r="C1171" s="899"/>
      <c r="D1171" s="899"/>
      <c r="E1171" s="900"/>
    </row>
    <row r="1172" spans="1:5" x14ac:dyDescent="0.25">
      <c r="A1172" s="899"/>
      <c r="B1172" s="899"/>
      <c r="C1172" s="899"/>
      <c r="D1172" s="899"/>
      <c r="E1172" s="900"/>
    </row>
    <row r="1173" spans="1:5" x14ac:dyDescent="0.25">
      <c r="A1173" s="899"/>
      <c r="B1173" s="899"/>
      <c r="C1173" s="899"/>
      <c r="D1173" s="899"/>
      <c r="E1173" s="900"/>
    </row>
    <row r="1174" spans="1:5" x14ac:dyDescent="0.25">
      <c r="A1174" s="899"/>
      <c r="B1174" s="899"/>
      <c r="C1174" s="899"/>
      <c r="D1174" s="899"/>
      <c r="E1174" s="900"/>
    </row>
    <row r="1175" spans="1:5" x14ac:dyDescent="0.25">
      <c r="A1175" s="899"/>
      <c r="B1175" s="899"/>
      <c r="C1175" s="899"/>
      <c r="D1175" s="899"/>
      <c r="E1175" s="900"/>
    </row>
    <row r="1176" spans="1:5" x14ac:dyDescent="0.25">
      <c r="A1176" s="899"/>
      <c r="B1176" s="899"/>
      <c r="C1176" s="899"/>
      <c r="D1176" s="899"/>
      <c r="E1176" s="900"/>
    </row>
    <row r="1177" spans="1:5" x14ac:dyDescent="0.25">
      <c r="A1177" s="899"/>
      <c r="B1177" s="899"/>
      <c r="C1177" s="899"/>
      <c r="D1177" s="899"/>
      <c r="E1177" s="900"/>
    </row>
    <row r="1178" spans="1:5" x14ac:dyDescent="0.25">
      <c r="A1178" s="899"/>
      <c r="B1178" s="899"/>
      <c r="C1178" s="899"/>
      <c r="D1178" s="899"/>
      <c r="E1178" s="900"/>
    </row>
    <row r="1179" spans="1:5" x14ac:dyDescent="0.25">
      <c r="A1179" s="899"/>
      <c r="B1179" s="899"/>
      <c r="C1179" s="899"/>
      <c r="D1179" s="899"/>
      <c r="E1179" s="900"/>
    </row>
    <row r="1180" spans="1:5" x14ac:dyDescent="0.25">
      <c r="A1180" s="899"/>
      <c r="B1180" s="899"/>
      <c r="C1180" s="899"/>
      <c r="D1180" s="899"/>
      <c r="E1180" s="900"/>
    </row>
    <row r="1181" spans="1:5" x14ac:dyDescent="0.25">
      <c r="A1181" s="899"/>
      <c r="B1181" s="899"/>
      <c r="C1181" s="899"/>
      <c r="D1181" s="899"/>
      <c r="E1181" s="900"/>
    </row>
    <row r="1182" spans="1:5" x14ac:dyDescent="0.25">
      <c r="A1182" s="899"/>
      <c r="B1182" s="899"/>
      <c r="C1182" s="899"/>
      <c r="D1182" s="899"/>
      <c r="E1182" s="900"/>
    </row>
    <row r="1183" spans="1:5" x14ac:dyDescent="0.25">
      <c r="A1183" s="899"/>
      <c r="B1183" s="899"/>
      <c r="C1183" s="899"/>
      <c r="D1183" s="899"/>
      <c r="E1183" s="900"/>
    </row>
    <row r="1184" spans="1:5" x14ac:dyDescent="0.25">
      <c r="A1184" s="899"/>
      <c r="B1184" s="899"/>
      <c r="C1184" s="899"/>
      <c r="D1184" s="899"/>
      <c r="E1184" s="900"/>
    </row>
    <row r="1185" spans="1:5" x14ac:dyDescent="0.25">
      <c r="A1185" s="899"/>
      <c r="B1185" s="899"/>
      <c r="C1185" s="899"/>
      <c r="D1185" s="899"/>
      <c r="E1185" s="900"/>
    </row>
    <row r="1186" spans="1:5" x14ac:dyDescent="0.25">
      <c r="A1186" s="899"/>
      <c r="B1186" s="899"/>
      <c r="C1186" s="899"/>
      <c r="D1186" s="899"/>
      <c r="E1186" s="900"/>
    </row>
    <row r="1187" spans="1:5" x14ac:dyDescent="0.25">
      <c r="A1187" s="899"/>
      <c r="B1187" s="899"/>
      <c r="C1187" s="899"/>
      <c r="D1187" s="899"/>
      <c r="E1187" s="900"/>
    </row>
    <row r="1188" spans="1:5" x14ac:dyDescent="0.25">
      <c r="A1188" s="899"/>
      <c r="B1188" s="899"/>
      <c r="C1188" s="899"/>
      <c r="D1188" s="899"/>
      <c r="E1188" s="900"/>
    </row>
    <row r="1189" spans="1:5" x14ac:dyDescent="0.25">
      <c r="A1189" s="899"/>
      <c r="B1189" s="899"/>
      <c r="C1189" s="899"/>
      <c r="D1189" s="899"/>
      <c r="E1189" s="900"/>
    </row>
    <row r="1190" spans="1:5" x14ac:dyDescent="0.25">
      <c r="A1190" s="899"/>
      <c r="B1190" s="899"/>
      <c r="C1190" s="899"/>
      <c r="D1190" s="899"/>
      <c r="E1190" s="900"/>
    </row>
    <row r="1191" spans="1:5" x14ac:dyDescent="0.25">
      <c r="A1191" s="899"/>
      <c r="B1191" s="899"/>
      <c r="C1191" s="899"/>
      <c r="D1191" s="899"/>
      <c r="E1191" s="900"/>
    </row>
    <row r="1192" spans="1:5" x14ac:dyDescent="0.25">
      <c r="A1192" s="899"/>
      <c r="B1192" s="899"/>
      <c r="C1192" s="899"/>
      <c r="D1192" s="899"/>
      <c r="E1192" s="900"/>
    </row>
    <row r="1193" spans="1:5" x14ac:dyDescent="0.25">
      <c r="A1193" s="899"/>
      <c r="B1193" s="899"/>
      <c r="C1193" s="899"/>
      <c r="D1193" s="899"/>
      <c r="E1193" s="900"/>
    </row>
    <row r="1194" spans="1:5" x14ac:dyDescent="0.25">
      <c r="A1194" s="899"/>
      <c r="B1194" s="899"/>
      <c r="C1194" s="899"/>
      <c r="D1194" s="899"/>
      <c r="E1194" s="900"/>
    </row>
    <row r="1195" spans="1:5" x14ac:dyDescent="0.25">
      <c r="A1195" s="899"/>
      <c r="B1195" s="899"/>
      <c r="C1195" s="899"/>
      <c r="D1195" s="899"/>
      <c r="E1195" s="900"/>
    </row>
    <row r="1196" spans="1:5" x14ac:dyDescent="0.25">
      <c r="A1196" s="899"/>
      <c r="B1196" s="899"/>
      <c r="C1196" s="899"/>
      <c r="D1196" s="899"/>
      <c r="E1196" s="900"/>
    </row>
    <row r="1197" spans="1:5" x14ac:dyDescent="0.25">
      <c r="A1197" s="899"/>
      <c r="B1197" s="899"/>
      <c r="C1197" s="899"/>
      <c r="D1197" s="899"/>
      <c r="E1197" s="900"/>
    </row>
    <row r="1198" spans="1:5" x14ac:dyDescent="0.25">
      <c r="A1198" s="899"/>
      <c r="B1198" s="899"/>
      <c r="C1198" s="899"/>
      <c r="D1198" s="899"/>
      <c r="E1198" s="900"/>
    </row>
    <row r="1199" spans="1:5" x14ac:dyDescent="0.25">
      <c r="A1199" s="899"/>
      <c r="B1199" s="899"/>
      <c r="C1199" s="899"/>
      <c r="D1199" s="899"/>
      <c r="E1199" s="900"/>
    </row>
    <row r="1200" spans="1:5" x14ac:dyDescent="0.25">
      <c r="A1200" s="899"/>
      <c r="B1200" s="899"/>
      <c r="C1200" s="899"/>
      <c r="D1200" s="899"/>
      <c r="E1200" s="900"/>
    </row>
    <row r="1201" spans="1:5" x14ac:dyDescent="0.25">
      <c r="A1201" s="899"/>
      <c r="B1201" s="899"/>
      <c r="C1201" s="899"/>
      <c r="D1201" s="899"/>
      <c r="E1201" s="900"/>
    </row>
    <row r="1202" spans="1:5" x14ac:dyDescent="0.25">
      <c r="A1202" s="899"/>
      <c r="B1202" s="899"/>
      <c r="C1202" s="899"/>
      <c r="D1202" s="899"/>
      <c r="E1202" s="900"/>
    </row>
    <row r="1203" spans="1:5" x14ac:dyDescent="0.25">
      <c r="A1203" s="899"/>
      <c r="B1203" s="899"/>
      <c r="C1203" s="899"/>
      <c r="D1203" s="899"/>
      <c r="E1203" s="900"/>
    </row>
    <row r="1204" spans="1:5" x14ac:dyDescent="0.25">
      <c r="A1204" s="899"/>
      <c r="B1204" s="899"/>
      <c r="C1204" s="899"/>
      <c r="D1204" s="899"/>
      <c r="E1204" s="900"/>
    </row>
    <row r="1205" spans="1:5" x14ac:dyDescent="0.25">
      <c r="A1205" s="899"/>
      <c r="B1205" s="899"/>
      <c r="C1205" s="899"/>
      <c r="D1205" s="899"/>
      <c r="E1205" s="900"/>
    </row>
    <row r="1206" spans="1:5" x14ac:dyDescent="0.25">
      <c r="A1206" s="899"/>
      <c r="B1206" s="899"/>
      <c r="C1206" s="899"/>
      <c r="D1206" s="899"/>
      <c r="E1206" s="900"/>
    </row>
    <row r="1207" spans="1:5" x14ac:dyDescent="0.25">
      <c r="A1207" s="899"/>
      <c r="B1207" s="899"/>
      <c r="C1207" s="899"/>
      <c r="D1207" s="899"/>
      <c r="E1207" s="900"/>
    </row>
    <row r="1208" spans="1:5" x14ac:dyDescent="0.25">
      <c r="A1208" s="899"/>
      <c r="B1208" s="899"/>
      <c r="C1208" s="899"/>
      <c r="D1208" s="899"/>
      <c r="E1208" s="900"/>
    </row>
    <row r="1209" spans="1:5" x14ac:dyDescent="0.25">
      <c r="A1209" s="899"/>
      <c r="B1209" s="899"/>
      <c r="C1209" s="899"/>
      <c r="D1209" s="899"/>
      <c r="E1209" s="900"/>
    </row>
    <row r="1210" spans="1:5" x14ac:dyDescent="0.25">
      <c r="A1210" s="899"/>
      <c r="B1210" s="899"/>
      <c r="C1210" s="899"/>
      <c r="D1210" s="899"/>
      <c r="E1210" s="900"/>
    </row>
    <row r="1211" spans="1:5" x14ac:dyDescent="0.25">
      <c r="A1211" s="899"/>
      <c r="B1211" s="899"/>
      <c r="C1211" s="899"/>
      <c r="D1211" s="899"/>
      <c r="E1211" s="900"/>
    </row>
    <row r="1212" spans="1:5" x14ac:dyDescent="0.25">
      <c r="A1212" s="899"/>
      <c r="B1212" s="899"/>
      <c r="C1212" s="899"/>
      <c r="D1212" s="899"/>
      <c r="E1212" s="900"/>
    </row>
    <row r="1213" spans="1:5" x14ac:dyDescent="0.25">
      <c r="A1213" s="899"/>
      <c r="B1213" s="899"/>
      <c r="C1213" s="899"/>
      <c r="D1213" s="899"/>
      <c r="E1213" s="900"/>
    </row>
    <row r="1214" spans="1:5" x14ac:dyDescent="0.25">
      <c r="A1214" s="899"/>
      <c r="B1214" s="899"/>
      <c r="C1214" s="899"/>
      <c r="D1214" s="899"/>
      <c r="E1214" s="900"/>
    </row>
    <row r="1215" spans="1:5" x14ac:dyDescent="0.25">
      <c r="A1215" s="899"/>
      <c r="B1215" s="899"/>
      <c r="C1215" s="899"/>
      <c r="D1215" s="899"/>
      <c r="E1215" s="900"/>
    </row>
    <row r="1216" spans="1:5" x14ac:dyDescent="0.25">
      <c r="A1216" s="899"/>
      <c r="B1216" s="899"/>
      <c r="C1216" s="899"/>
      <c r="D1216" s="899"/>
      <c r="E1216" s="900"/>
    </row>
    <row r="1217" spans="1:5" x14ac:dyDescent="0.25">
      <c r="A1217" s="899"/>
      <c r="B1217" s="899"/>
      <c r="C1217" s="899"/>
      <c r="D1217" s="899"/>
      <c r="E1217" s="900"/>
    </row>
    <row r="1218" spans="1:5" x14ac:dyDescent="0.25">
      <c r="A1218" s="899"/>
      <c r="B1218" s="899"/>
      <c r="C1218" s="899"/>
      <c r="D1218" s="899"/>
      <c r="E1218" s="900"/>
    </row>
    <row r="1219" spans="1:5" x14ac:dyDescent="0.25">
      <c r="A1219" s="899"/>
      <c r="B1219" s="899"/>
      <c r="C1219" s="899"/>
      <c r="D1219" s="899"/>
      <c r="E1219" s="900"/>
    </row>
    <row r="1220" spans="1:5" x14ac:dyDescent="0.25">
      <c r="A1220" s="899"/>
      <c r="B1220" s="899"/>
      <c r="C1220" s="899"/>
      <c r="D1220" s="899"/>
      <c r="E1220" s="900"/>
    </row>
    <row r="1221" spans="1:5" x14ac:dyDescent="0.25">
      <c r="A1221" s="899"/>
      <c r="B1221" s="899"/>
      <c r="C1221" s="899"/>
      <c r="D1221" s="899"/>
      <c r="E1221" s="900"/>
    </row>
    <row r="1222" spans="1:5" x14ac:dyDescent="0.25">
      <c r="A1222" s="899"/>
      <c r="B1222" s="899"/>
      <c r="C1222" s="899"/>
      <c r="D1222" s="899"/>
      <c r="E1222" s="900"/>
    </row>
    <row r="1223" spans="1:5" x14ac:dyDescent="0.25">
      <c r="A1223" s="899"/>
      <c r="B1223" s="899"/>
      <c r="C1223" s="899"/>
      <c r="D1223" s="899"/>
      <c r="E1223" s="900"/>
    </row>
    <row r="1224" spans="1:5" x14ac:dyDescent="0.25">
      <c r="A1224" s="899"/>
      <c r="B1224" s="899"/>
      <c r="C1224" s="899"/>
      <c r="D1224" s="899"/>
      <c r="E1224" s="900"/>
    </row>
    <row r="1225" spans="1:5" x14ac:dyDescent="0.25">
      <c r="A1225" s="899"/>
      <c r="B1225" s="899"/>
      <c r="C1225" s="899"/>
      <c r="D1225" s="899"/>
      <c r="E1225" s="900"/>
    </row>
    <row r="1226" spans="1:5" x14ac:dyDescent="0.25">
      <c r="A1226" s="899"/>
      <c r="B1226" s="899"/>
      <c r="C1226" s="899"/>
      <c r="D1226" s="899"/>
      <c r="E1226" s="900"/>
    </row>
    <row r="1227" spans="1:5" x14ac:dyDescent="0.25">
      <c r="A1227" s="899"/>
      <c r="B1227" s="899"/>
      <c r="C1227" s="899"/>
      <c r="D1227" s="899"/>
      <c r="E1227" s="900"/>
    </row>
    <row r="1228" spans="1:5" x14ac:dyDescent="0.25">
      <c r="A1228" s="899"/>
      <c r="B1228" s="899"/>
      <c r="C1228" s="899"/>
      <c r="D1228" s="899"/>
      <c r="E1228" s="900"/>
    </row>
    <row r="1229" spans="1:5" x14ac:dyDescent="0.25">
      <c r="A1229" s="899"/>
      <c r="B1229" s="899"/>
      <c r="C1229" s="899"/>
      <c r="D1229" s="899"/>
      <c r="E1229" s="900"/>
    </row>
    <row r="1230" spans="1:5" x14ac:dyDescent="0.25">
      <c r="A1230" s="899"/>
      <c r="B1230" s="899"/>
      <c r="C1230" s="899"/>
      <c r="D1230" s="899"/>
      <c r="E1230" s="900"/>
    </row>
    <row r="1231" spans="1:5" x14ac:dyDescent="0.25">
      <c r="A1231" s="899"/>
      <c r="B1231" s="899"/>
      <c r="C1231" s="899"/>
      <c r="D1231" s="899"/>
      <c r="E1231" s="900"/>
    </row>
    <row r="1232" spans="1:5" x14ac:dyDescent="0.25">
      <c r="A1232" s="899"/>
      <c r="B1232" s="899"/>
      <c r="C1232" s="899"/>
      <c r="D1232" s="899"/>
      <c r="E1232" s="900"/>
    </row>
    <row r="1233" spans="1:5" x14ac:dyDescent="0.25">
      <c r="A1233" s="899"/>
      <c r="B1233" s="899"/>
      <c r="C1233" s="899"/>
      <c r="D1233" s="899"/>
      <c r="E1233" s="900"/>
    </row>
    <row r="1234" spans="1:5" x14ac:dyDescent="0.25">
      <c r="A1234" s="899"/>
      <c r="B1234" s="899"/>
      <c r="C1234" s="899"/>
      <c r="D1234" s="899"/>
      <c r="E1234" s="900"/>
    </row>
    <row r="1235" spans="1:5" x14ac:dyDescent="0.25">
      <c r="A1235" s="899"/>
      <c r="B1235" s="899"/>
      <c r="C1235" s="899"/>
      <c r="D1235" s="899"/>
      <c r="E1235" s="900"/>
    </row>
    <row r="1236" spans="1:5" x14ac:dyDescent="0.25">
      <c r="A1236" s="899"/>
      <c r="B1236" s="899"/>
      <c r="C1236" s="899"/>
      <c r="D1236" s="899"/>
      <c r="E1236" s="900"/>
    </row>
    <row r="1237" spans="1:5" x14ac:dyDescent="0.25">
      <c r="A1237" s="899"/>
      <c r="B1237" s="899"/>
      <c r="C1237" s="899"/>
      <c r="D1237" s="899"/>
      <c r="E1237" s="900"/>
    </row>
    <row r="1238" spans="1:5" x14ac:dyDescent="0.25">
      <c r="A1238" s="899"/>
      <c r="B1238" s="899"/>
      <c r="C1238" s="899"/>
      <c r="D1238" s="899"/>
      <c r="E1238" s="900"/>
    </row>
    <row r="1239" spans="1:5" x14ac:dyDescent="0.25">
      <c r="A1239" s="899"/>
      <c r="B1239" s="899"/>
      <c r="C1239" s="899"/>
      <c r="D1239" s="899"/>
      <c r="E1239" s="900"/>
    </row>
    <row r="1240" spans="1:5" x14ac:dyDescent="0.25">
      <c r="A1240" s="899"/>
      <c r="B1240" s="899"/>
      <c r="C1240" s="899"/>
      <c r="D1240" s="899"/>
      <c r="E1240" s="900"/>
    </row>
    <row r="1241" spans="1:5" x14ac:dyDescent="0.25">
      <c r="A1241" s="899"/>
      <c r="B1241" s="899"/>
      <c r="C1241" s="899"/>
      <c r="D1241" s="899"/>
      <c r="E1241" s="900"/>
    </row>
    <row r="1242" spans="1:5" x14ac:dyDescent="0.25">
      <c r="A1242" s="899"/>
      <c r="B1242" s="899"/>
      <c r="C1242" s="899"/>
      <c r="D1242" s="899"/>
      <c r="E1242" s="900"/>
    </row>
    <row r="1243" spans="1:5" x14ac:dyDescent="0.25">
      <c r="A1243" s="899"/>
      <c r="B1243" s="899"/>
      <c r="C1243" s="899"/>
      <c r="D1243" s="899"/>
      <c r="E1243" s="900"/>
    </row>
    <row r="1244" spans="1:5" x14ac:dyDescent="0.25">
      <c r="A1244" s="899"/>
      <c r="B1244" s="899"/>
      <c r="C1244" s="899"/>
      <c r="D1244" s="899"/>
      <c r="E1244" s="900"/>
    </row>
    <row r="1245" spans="1:5" x14ac:dyDescent="0.25">
      <c r="A1245" s="899"/>
      <c r="B1245" s="899"/>
      <c r="C1245" s="899"/>
      <c r="D1245" s="899"/>
      <c r="E1245" s="900"/>
    </row>
    <row r="1246" spans="1:5" x14ac:dyDescent="0.25">
      <c r="A1246" s="899"/>
      <c r="B1246" s="899"/>
      <c r="C1246" s="899"/>
      <c r="D1246" s="899"/>
      <c r="E1246" s="900"/>
    </row>
    <row r="1247" spans="1:5" x14ac:dyDescent="0.25">
      <c r="A1247" s="899"/>
      <c r="B1247" s="899"/>
      <c r="C1247" s="899"/>
      <c r="D1247" s="899"/>
      <c r="E1247" s="900"/>
    </row>
    <row r="1248" spans="1:5" x14ac:dyDescent="0.25">
      <c r="A1248" s="899"/>
      <c r="B1248" s="899"/>
      <c r="C1248" s="899"/>
      <c r="D1248" s="899"/>
      <c r="E1248" s="900"/>
    </row>
    <row r="1249" spans="1:5" x14ac:dyDescent="0.25">
      <c r="A1249" s="899"/>
      <c r="B1249" s="899"/>
      <c r="C1249" s="899"/>
      <c r="D1249" s="899"/>
      <c r="E1249" s="900"/>
    </row>
    <row r="1250" spans="1:5" x14ac:dyDescent="0.25">
      <c r="A1250" s="899"/>
      <c r="B1250" s="899"/>
      <c r="C1250" s="899"/>
      <c r="D1250" s="899"/>
      <c r="E1250" s="900"/>
    </row>
    <row r="1251" spans="1:5" x14ac:dyDescent="0.25">
      <c r="A1251" s="899"/>
      <c r="B1251" s="899"/>
      <c r="C1251" s="899"/>
      <c r="D1251" s="899"/>
      <c r="E1251" s="900"/>
    </row>
    <row r="1252" spans="1:5" x14ac:dyDescent="0.25">
      <c r="A1252" s="899"/>
      <c r="B1252" s="899"/>
      <c r="C1252" s="899"/>
      <c r="D1252" s="899"/>
      <c r="E1252" s="900"/>
    </row>
    <row r="1253" spans="1:5" x14ac:dyDescent="0.25">
      <c r="A1253" s="899"/>
      <c r="B1253" s="899"/>
      <c r="C1253" s="899"/>
      <c r="D1253" s="899"/>
      <c r="E1253" s="900"/>
    </row>
    <row r="1254" spans="1:5" x14ac:dyDescent="0.25">
      <c r="A1254" s="899"/>
      <c r="B1254" s="899"/>
      <c r="C1254" s="899"/>
      <c r="D1254" s="899"/>
      <c r="E1254" s="900"/>
    </row>
    <row r="1255" spans="1:5" x14ac:dyDescent="0.25">
      <c r="A1255" s="899"/>
      <c r="B1255" s="899"/>
      <c r="C1255" s="899"/>
      <c r="D1255" s="899"/>
      <c r="E1255" s="900"/>
    </row>
    <row r="1256" spans="1:5" x14ac:dyDescent="0.25">
      <c r="A1256" s="899"/>
      <c r="B1256" s="899"/>
      <c r="C1256" s="899"/>
      <c r="D1256" s="899"/>
      <c r="E1256" s="900"/>
    </row>
    <row r="1257" spans="1:5" x14ac:dyDescent="0.25">
      <c r="A1257" s="899"/>
      <c r="B1257" s="899"/>
      <c r="C1257" s="899"/>
      <c r="D1257" s="899"/>
      <c r="E1257" s="900"/>
    </row>
    <row r="1258" spans="1:5" x14ac:dyDescent="0.25">
      <c r="A1258" s="899"/>
      <c r="B1258" s="899"/>
      <c r="C1258" s="899"/>
      <c r="D1258" s="899"/>
      <c r="E1258" s="900"/>
    </row>
    <row r="1259" spans="1:5" x14ac:dyDescent="0.25">
      <c r="A1259" s="899"/>
      <c r="B1259" s="899"/>
      <c r="C1259" s="899"/>
      <c r="D1259" s="899"/>
      <c r="E1259" s="900"/>
    </row>
    <row r="1260" spans="1:5" x14ac:dyDescent="0.25">
      <c r="A1260" s="899"/>
      <c r="B1260" s="899"/>
      <c r="C1260" s="899"/>
      <c r="D1260" s="899"/>
      <c r="E1260" s="900"/>
    </row>
    <row r="1261" spans="1:5" x14ac:dyDescent="0.25">
      <c r="A1261" s="899"/>
      <c r="B1261" s="899"/>
      <c r="C1261" s="899"/>
      <c r="D1261" s="899"/>
      <c r="E1261" s="900"/>
    </row>
    <row r="1262" spans="1:5" x14ac:dyDescent="0.25">
      <c r="A1262" s="899"/>
      <c r="B1262" s="899"/>
      <c r="C1262" s="899"/>
      <c r="D1262" s="899"/>
      <c r="E1262" s="900"/>
    </row>
    <row r="1263" spans="1:5" x14ac:dyDescent="0.25">
      <c r="A1263" s="899"/>
      <c r="B1263" s="899"/>
      <c r="C1263" s="899"/>
      <c r="D1263" s="899"/>
      <c r="E1263" s="900"/>
    </row>
    <row r="1264" spans="1:5" x14ac:dyDescent="0.25">
      <c r="A1264" s="899"/>
      <c r="B1264" s="899"/>
      <c r="C1264" s="899"/>
      <c r="D1264" s="899"/>
      <c r="E1264" s="900"/>
    </row>
    <row r="1265" spans="1:5" x14ac:dyDescent="0.25">
      <c r="A1265" s="899"/>
      <c r="B1265" s="899"/>
      <c r="C1265" s="899"/>
      <c r="D1265" s="899"/>
      <c r="E1265" s="900"/>
    </row>
    <row r="1266" spans="1:5" x14ac:dyDescent="0.25">
      <c r="A1266" s="899"/>
      <c r="B1266" s="899"/>
      <c r="C1266" s="899"/>
      <c r="D1266" s="899"/>
      <c r="E1266" s="900"/>
    </row>
    <row r="1267" spans="1:5" x14ac:dyDescent="0.25">
      <c r="A1267" s="899"/>
      <c r="B1267" s="899"/>
      <c r="C1267" s="899"/>
      <c r="D1267" s="899"/>
      <c r="E1267" s="900"/>
    </row>
    <row r="1268" spans="1:5" x14ac:dyDescent="0.25">
      <c r="A1268" s="899"/>
      <c r="B1268" s="899"/>
      <c r="C1268" s="899"/>
      <c r="D1268" s="899"/>
      <c r="E1268" s="900"/>
    </row>
    <row r="1269" spans="1:5" x14ac:dyDescent="0.25">
      <c r="A1269" s="899"/>
      <c r="B1269" s="899"/>
      <c r="C1269" s="899"/>
      <c r="D1269" s="899"/>
      <c r="E1269" s="900"/>
    </row>
    <row r="1270" spans="1:5" x14ac:dyDescent="0.25">
      <c r="A1270" s="899"/>
      <c r="B1270" s="899"/>
      <c r="C1270" s="899"/>
      <c r="D1270" s="899"/>
      <c r="E1270" s="900"/>
    </row>
    <row r="1271" spans="1:5" x14ac:dyDescent="0.25">
      <c r="A1271" s="899"/>
      <c r="B1271" s="899"/>
      <c r="C1271" s="899"/>
      <c r="D1271" s="899"/>
      <c r="E1271" s="900"/>
    </row>
    <row r="1272" spans="1:5" x14ac:dyDescent="0.25">
      <c r="A1272" s="899"/>
      <c r="B1272" s="899"/>
      <c r="C1272" s="899"/>
      <c r="D1272" s="899"/>
      <c r="E1272" s="900"/>
    </row>
    <row r="1273" spans="1:5" x14ac:dyDescent="0.25">
      <c r="A1273" s="899"/>
      <c r="B1273" s="899"/>
      <c r="C1273" s="899"/>
      <c r="D1273" s="899"/>
      <c r="E1273" s="900"/>
    </row>
    <row r="1274" spans="1:5" x14ac:dyDescent="0.25">
      <c r="A1274" s="899"/>
      <c r="B1274" s="899"/>
      <c r="C1274" s="899"/>
      <c r="D1274" s="899"/>
      <c r="E1274" s="900"/>
    </row>
    <row r="1275" spans="1:5" x14ac:dyDescent="0.25">
      <c r="A1275" s="899"/>
      <c r="B1275" s="899"/>
      <c r="C1275" s="899"/>
      <c r="D1275" s="899"/>
      <c r="E1275" s="900"/>
    </row>
    <row r="1276" spans="1:5" x14ac:dyDescent="0.25">
      <c r="A1276" s="899"/>
      <c r="B1276" s="899"/>
      <c r="C1276" s="899"/>
      <c r="D1276" s="899"/>
      <c r="E1276" s="900"/>
    </row>
    <row r="1277" spans="1:5" x14ac:dyDescent="0.25">
      <c r="A1277" s="899"/>
      <c r="B1277" s="899"/>
      <c r="C1277" s="899"/>
      <c r="D1277" s="899"/>
      <c r="E1277" s="900"/>
    </row>
    <row r="1278" spans="1:5" x14ac:dyDescent="0.25">
      <c r="A1278" s="899"/>
      <c r="B1278" s="899"/>
      <c r="C1278" s="899"/>
      <c r="D1278" s="899"/>
      <c r="E1278" s="900"/>
    </row>
    <row r="1279" spans="1:5" x14ac:dyDescent="0.25">
      <c r="A1279" s="899"/>
      <c r="B1279" s="899"/>
      <c r="C1279" s="899"/>
      <c r="D1279" s="899"/>
      <c r="E1279" s="900"/>
    </row>
    <row r="1280" spans="1:5" x14ac:dyDescent="0.25">
      <c r="A1280" s="899"/>
      <c r="B1280" s="899"/>
      <c r="C1280" s="899"/>
      <c r="D1280" s="899"/>
      <c r="E1280" s="900"/>
    </row>
    <row r="1281" spans="1:5" x14ac:dyDescent="0.25">
      <c r="A1281" s="899"/>
      <c r="B1281" s="899"/>
      <c r="C1281" s="899"/>
      <c r="D1281" s="899"/>
      <c r="E1281" s="900"/>
    </row>
    <row r="1282" spans="1:5" x14ac:dyDescent="0.25">
      <c r="A1282" s="899"/>
      <c r="B1282" s="899"/>
      <c r="C1282" s="899"/>
      <c r="D1282" s="899"/>
      <c r="E1282" s="900"/>
    </row>
    <row r="1283" spans="1:5" x14ac:dyDescent="0.25">
      <c r="A1283" s="899"/>
      <c r="B1283" s="899"/>
      <c r="C1283" s="899"/>
      <c r="D1283" s="899"/>
      <c r="E1283" s="900"/>
    </row>
    <row r="1284" spans="1:5" x14ac:dyDescent="0.25">
      <c r="A1284" s="899"/>
      <c r="B1284" s="899"/>
      <c r="C1284" s="899"/>
      <c r="D1284" s="899"/>
      <c r="E1284" s="900"/>
    </row>
    <row r="1285" spans="1:5" x14ac:dyDescent="0.25">
      <c r="A1285" s="899"/>
      <c r="B1285" s="899"/>
      <c r="C1285" s="899"/>
      <c r="D1285" s="899"/>
      <c r="E1285" s="900"/>
    </row>
    <row r="1286" spans="1:5" x14ac:dyDescent="0.25">
      <c r="A1286" s="899"/>
      <c r="B1286" s="899"/>
      <c r="C1286" s="899"/>
      <c r="D1286" s="899"/>
      <c r="E1286" s="900"/>
    </row>
    <row r="1287" spans="1:5" x14ac:dyDescent="0.25">
      <c r="A1287" s="899"/>
      <c r="B1287" s="899"/>
      <c r="C1287" s="899"/>
      <c r="D1287" s="899"/>
      <c r="E1287" s="900"/>
    </row>
    <row r="1288" spans="1:5" x14ac:dyDescent="0.25">
      <c r="A1288" s="899"/>
      <c r="B1288" s="899"/>
      <c r="C1288" s="899"/>
      <c r="D1288" s="899"/>
      <c r="E1288" s="900"/>
    </row>
    <row r="1289" spans="1:5" x14ac:dyDescent="0.25">
      <c r="A1289" s="899"/>
      <c r="B1289" s="899"/>
      <c r="C1289" s="899"/>
      <c r="D1289" s="899"/>
      <c r="E1289" s="900"/>
    </row>
    <row r="1290" spans="1:5" x14ac:dyDescent="0.25">
      <c r="A1290" s="899"/>
      <c r="B1290" s="899"/>
      <c r="C1290" s="899"/>
      <c r="D1290" s="899"/>
      <c r="E1290" s="900"/>
    </row>
    <row r="1291" spans="1:5" x14ac:dyDescent="0.25">
      <c r="A1291" s="899"/>
      <c r="B1291" s="899"/>
      <c r="C1291" s="899"/>
      <c r="D1291" s="899"/>
      <c r="E1291" s="900"/>
    </row>
    <row r="1292" spans="1:5" x14ac:dyDescent="0.25">
      <c r="A1292" s="899"/>
      <c r="B1292" s="899"/>
      <c r="C1292" s="899"/>
      <c r="D1292" s="899"/>
      <c r="E1292" s="900"/>
    </row>
    <row r="1293" spans="1:5" x14ac:dyDescent="0.25">
      <c r="A1293" s="899"/>
      <c r="B1293" s="899"/>
      <c r="C1293" s="899"/>
      <c r="D1293" s="899"/>
      <c r="E1293" s="900"/>
    </row>
    <row r="1294" spans="1:5" x14ac:dyDescent="0.25">
      <c r="A1294" s="899"/>
      <c r="B1294" s="899"/>
      <c r="C1294" s="899"/>
      <c r="D1294" s="899"/>
      <c r="E1294" s="900"/>
    </row>
    <row r="1295" spans="1:5" x14ac:dyDescent="0.25">
      <c r="A1295" s="899"/>
      <c r="B1295" s="899"/>
      <c r="C1295" s="899"/>
      <c r="D1295" s="899"/>
      <c r="E1295" s="900"/>
    </row>
    <row r="1296" spans="1:5" x14ac:dyDescent="0.25">
      <c r="A1296" s="899"/>
      <c r="B1296" s="899"/>
      <c r="C1296" s="899"/>
      <c r="D1296" s="899"/>
      <c r="E1296" s="900"/>
    </row>
    <row r="1297" spans="1:5" x14ac:dyDescent="0.25">
      <c r="A1297" s="899"/>
      <c r="B1297" s="899"/>
      <c r="C1297" s="899"/>
      <c r="D1297" s="899"/>
      <c r="E1297" s="900"/>
    </row>
    <row r="1298" spans="1:5" x14ac:dyDescent="0.25">
      <c r="A1298" s="899"/>
      <c r="B1298" s="899"/>
      <c r="C1298" s="899"/>
      <c r="D1298" s="899"/>
      <c r="E1298" s="900"/>
    </row>
    <row r="1299" spans="1:5" x14ac:dyDescent="0.25">
      <c r="A1299" s="899"/>
      <c r="B1299" s="899"/>
      <c r="C1299" s="899"/>
      <c r="D1299" s="899"/>
      <c r="E1299" s="900"/>
    </row>
    <row r="1300" spans="1:5" x14ac:dyDescent="0.25">
      <c r="A1300" s="899"/>
      <c r="B1300" s="899"/>
      <c r="C1300" s="899"/>
      <c r="D1300" s="899"/>
      <c r="E1300" s="900"/>
    </row>
    <row r="1301" spans="1:5" x14ac:dyDescent="0.25">
      <c r="A1301" s="899"/>
      <c r="B1301" s="899"/>
      <c r="C1301" s="899"/>
      <c r="D1301" s="899"/>
      <c r="E1301" s="900"/>
    </row>
    <row r="1302" spans="1:5" x14ac:dyDescent="0.25">
      <c r="A1302" s="899"/>
      <c r="B1302" s="899"/>
      <c r="C1302" s="899"/>
      <c r="D1302" s="899"/>
      <c r="E1302" s="900"/>
    </row>
    <row r="1303" spans="1:5" x14ac:dyDescent="0.25">
      <c r="A1303" s="899"/>
      <c r="B1303" s="899"/>
      <c r="C1303" s="899"/>
      <c r="D1303" s="899"/>
      <c r="E1303" s="900"/>
    </row>
    <row r="1304" spans="1:5" x14ac:dyDescent="0.25">
      <c r="A1304" s="899"/>
      <c r="B1304" s="899"/>
      <c r="C1304" s="899"/>
      <c r="D1304" s="899"/>
      <c r="E1304" s="900"/>
    </row>
    <row r="1305" spans="1:5" x14ac:dyDescent="0.25">
      <c r="A1305" s="899"/>
      <c r="B1305" s="899"/>
      <c r="C1305" s="899"/>
      <c r="D1305" s="899"/>
      <c r="E1305" s="900"/>
    </row>
    <row r="1306" spans="1:5" x14ac:dyDescent="0.25">
      <c r="A1306" s="899"/>
      <c r="B1306" s="899"/>
      <c r="C1306" s="899"/>
      <c r="D1306" s="899"/>
      <c r="E1306" s="900"/>
    </row>
    <row r="1307" spans="1:5" x14ac:dyDescent="0.25">
      <c r="A1307" s="899"/>
      <c r="B1307" s="899"/>
      <c r="C1307" s="899"/>
      <c r="D1307" s="899"/>
      <c r="E1307" s="900"/>
    </row>
    <row r="1308" spans="1:5" x14ac:dyDescent="0.25">
      <c r="A1308" s="899"/>
      <c r="B1308" s="899"/>
      <c r="C1308" s="899"/>
      <c r="D1308" s="899"/>
      <c r="E1308" s="900"/>
    </row>
    <row r="1309" spans="1:5" x14ac:dyDescent="0.25">
      <c r="A1309" s="899"/>
      <c r="B1309" s="899"/>
      <c r="C1309" s="899"/>
      <c r="D1309" s="899"/>
      <c r="E1309" s="900"/>
    </row>
    <row r="1310" spans="1:5" x14ac:dyDescent="0.25">
      <c r="A1310" s="899"/>
      <c r="B1310" s="899"/>
      <c r="C1310" s="899"/>
      <c r="D1310" s="899"/>
      <c r="E1310" s="900"/>
    </row>
    <row r="1311" spans="1:5" x14ac:dyDescent="0.25">
      <c r="A1311" s="899"/>
      <c r="B1311" s="899"/>
      <c r="C1311" s="899"/>
      <c r="D1311" s="899"/>
      <c r="E1311" s="900"/>
    </row>
    <row r="1312" spans="1:5" x14ac:dyDescent="0.25">
      <c r="A1312" s="899"/>
      <c r="B1312" s="899"/>
      <c r="C1312" s="899"/>
      <c r="D1312" s="899"/>
      <c r="E1312" s="900"/>
    </row>
    <row r="1313" spans="1:5" x14ac:dyDescent="0.25">
      <c r="A1313" s="899"/>
      <c r="B1313" s="899"/>
      <c r="C1313" s="899"/>
      <c r="D1313" s="899"/>
      <c r="E1313" s="900"/>
    </row>
    <row r="1314" spans="1:5" x14ac:dyDescent="0.25">
      <c r="A1314" s="899"/>
      <c r="B1314" s="899"/>
      <c r="C1314" s="899"/>
      <c r="D1314" s="899"/>
      <c r="E1314" s="900"/>
    </row>
    <row r="1315" spans="1:5" x14ac:dyDescent="0.25">
      <c r="A1315" s="899"/>
      <c r="B1315" s="899"/>
      <c r="C1315" s="899"/>
      <c r="D1315" s="899"/>
      <c r="E1315" s="900"/>
    </row>
    <row r="1316" spans="1:5" x14ac:dyDescent="0.25">
      <c r="A1316" s="899"/>
      <c r="B1316" s="899"/>
      <c r="C1316" s="899"/>
      <c r="D1316" s="899"/>
      <c r="E1316" s="900"/>
    </row>
    <row r="1317" spans="1:5" x14ac:dyDescent="0.25">
      <c r="A1317" s="899"/>
      <c r="B1317" s="899"/>
      <c r="C1317" s="899"/>
      <c r="D1317" s="899"/>
      <c r="E1317" s="900"/>
    </row>
    <row r="1318" spans="1:5" x14ac:dyDescent="0.25">
      <c r="A1318" s="899"/>
      <c r="B1318" s="899"/>
      <c r="C1318" s="899"/>
      <c r="D1318" s="899"/>
      <c r="E1318" s="900"/>
    </row>
    <row r="1319" spans="1:5" x14ac:dyDescent="0.25">
      <c r="A1319" s="899"/>
      <c r="B1319" s="899"/>
      <c r="C1319" s="899"/>
      <c r="D1319" s="899"/>
      <c r="E1319" s="900"/>
    </row>
    <row r="1320" spans="1:5" x14ac:dyDescent="0.25">
      <c r="A1320" s="899"/>
      <c r="B1320" s="899"/>
      <c r="C1320" s="899"/>
      <c r="D1320" s="899"/>
      <c r="E1320" s="900"/>
    </row>
    <row r="1321" spans="1:5" x14ac:dyDescent="0.25">
      <c r="A1321" s="899"/>
      <c r="B1321" s="899"/>
      <c r="C1321" s="899"/>
      <c r="D1321" s="899"/>
      <c r="E1321" s="900"/>
    </row>
    <row r="1322" spans="1:5" x14ac:dyDescent="0.25">
      <c r="A1322" s="899"/>
      <c r="B1322" s="899"/>
      <c r="C1322" s="899"/>
      <c r="D1322" s="899"/>
      <c r="E1322" s="900"/>
    </row>
    <row r="1323" spans="1:5" x14ac:dyDescent="0.25">
      <c r="A1323" s="899"/>
      <c r="B1323" s="899"/>
      <c r="C1323" s="899"/>
      <c r="D1323" s="899"/>
      <c r="E1323" s="900"/>
    </row>
    <row r="1324" spans="1:5" x14ac:dyDescent="0.25">
      <c r="A1324" s="899"/>
      <c r="B1324" s="899"/>
      <c r="C1324" s="899"/>
      <c r="D1324" s="899"/>
      <c r="E1324" s="900"/>
    </row>
    <row r="1325" spans="1:5" x14ac:dyDescent="0.25">
      <c r="A1325" s="899"/>
      <c r="B1325" s="899"/>
      <c r="C1325" s="899"/>
      <c r="D1325" s="899"/>
      <c r="E1325" s="900"/>
    </row>
    <row r="1326" spans="1:5" x14ac:dyDescent="0.25">
      <c r="A1326" s="899"/>
      <c r="B1326" s="899"/>
      <c r="C1326" s="899"/>
      <c r="D1326" s="899"/>
    </row>
    <row r="1327" spans="1:5" x14ac:dyDescent="0.25">
      <c r="A1327" s="899"/>
      <c r="B1327" s="899"/>
      <c r="C1327" s="899"/>
      <c r="D1327" s="899"/>
    </row>
    <row r="1328" spans="1:5" x14ac:dyDescent="0.25">
      <c r="A1328" s="899"/>
      <c r="B1328" s="899"/>
      <c r="C1328" s="899"/>
      <c r="D1328" s="899"/>
    </row>
    <row r="1329" spans="1:4" x14ac:dyDescent="0.25">
      <c r="A1329" s="899"/>
      <c r="B1329" s="899"/>
      <c r="C1329" s="899"/>
      <c r="D1329" s="899"/>
    </row>
    <row r="1330" spans="1:4" x14ac:dyDescent="0.25">
      <c r="A1330" s="899"/>
      <c r="B1330" s="899"/>
      <c r="C1330" s="899"/>
      <c r="D1330" s="899"/>
    </row>
    <row r="1331" spans="1:4" x14ac:dyDescent="0.25">
      <c r="A1331" s="899"/>
      <c r="B1331" s="899"/>
      <c r="C1331" s="899"/>
      <c r="D1331" s="899"/>
    </row>
    <row r="1332" spans="1:4" x14ac:dyDescent="0.25">
      <c r="A1332" s="899"/>
      <c r="B1332" s="899"/>
      <c r="C1332" s="899"/>
      <c r="D1332" s="899"/>
    </row>
    <row r="1333" spans="1:4" x14ac:dyDescent="0.25">
      <c r="A1333" s="899"/>
      <c r="B1333" s="899"/>
      <c r="C1333" s="899"/>
      <c r="D1333" s="899"/>
    </row>
    <row r="1334" spans="1:4" x14ac:dyDescent="0.25">
      <c r="A1334" s="899"/>
      <c r="B1334" s="899"/>
      <c r="C1334" s="899"/>
      <c r="D1334" s="899"/>
    </row>
    <row r="1335" spans="1:4" x14ac:dyDescent="0.25">
      <c r="A1335" s="899"/>
      <c r="B1335" s="899"/>
      <c r="C1335" s="899"/>
      <c r="D1335" s="899"/>
    </row>
    <row r="1336" spans="1:4" x14ac:dyDescent="0.25">
      <c r="A1336" s="899"/>
      <c r="B1336" s="899"/>
      <c r="C1336" s="899"/>
      <c r="D1336" s="899"/>
    </row>
    <row r="1337" spans="1:4" x14ac:dyDescent="0.25">
      <c r="A1337" s="899"/>
      <c r="B1337" s="899"/>
      <c r="C1337" s="899"/>
      <c r="D1337" s="899"/>
    </row>
    <row r="1338" spans="1:4" x14ac:dyDescent="0.25">
      <c r="A1338" s="899"/>
      <c r="B1338" s="899"/>
      <c r="C1338" s="899"/>
      <c r="D1338" s="899"/>
    </row>
    <row r="1339" spans="1:4" x14ac:dyDescent="0.25">
      <c r="A1339" s="899"/>
      <c r="B1339" s="899"/>
      <c r="C1339" s="899"/>
      <c r="D1339" s="899"/>
    </row>
    <row r="1340" spans="1:4" x14ac:dyDescent="0.25">
      <c r="A1340" s="899"/>
      <c r="B1340" s="899"/>
      <c r="C1340" s="899"/>
      <c r="D1340" s="899"/>
    </row>
    <row r="1341" spans="1:4" x14ac:dyDescent="0.25">
      <c r="A1341" s="899"/>
      <c r="B1341" s="899"/>
      <c r="C1341" s="899"/>
      <c r="D1341" s="899"/>
    </row>
    <row r="1342" spans="1:4" x14ac:dyDescent="0.25">
      <c r="A1342" s="899"/>
      <c r="B1342" s="899"/>
      <c r="C1342" s="899"/>
      <c r="D1342" s="899"/>
    </row>
    <row r="1343" spans="1:4" x14ac:dyDescent="0.25">
      <c r="A1343" s="899"/>
      <c r="B1343" s="899"/>
      <c r="C1343" s="899"/>
      <c r="D1343" s="899"/>
    </row>
    <row r="1344" spans="1:4" x14ac:dyDescent="0.25">
      <c r="A1344" s="899"/>
      <c r="B1344" s="899"/>
      <c r="C1344" s="899"/>
      <c r="D1344" s="899"/>
    </row>
    <row r="1345" spans="1:4" x14ac:dyDescent="0.25">
      <c r="A1345" s="899"/>
      <c r="B1345" s="899"/>
      <c r="C1345" s="899"/>
      <c r="D1345" s="899"/>
    </row>
    <row r="1346" spans="1:4" x14ac:dyDescent="0.25">
      <c r="A1346" s="899"/>
      <c r="B1346" s="899"/>
      <c r="C1346" s="899"/>
      <c r="D1346" s="899"/>
    </row>
    <row r="1347" spans="1:4" x14ac:dyDescent="0.25">
      <c r="A1347" s="899"/>
      <c r="B1347" s="899"/>
      <c r="C1347" s="899"/>
      <c r="D1347" s="899"/>
    </row>
    <row r="1348" spans="1:4" x14ac:dyDescent="0.25">
      <c r="A1348" s="899"/>
      <c r="B1348" s="899"/>
      <c r="C1348" s="899"/>
      <c r="D1348" s="899"/>
    </row>
    <row r="1349" spans="1:4" x14ac:dyDescent="0.25">
      <c r="A1349" s="899"/>
      <c r="B1349" s="899"/>
      <c r="C1349" s="899"/>
      <c r="D1349" s="899"/>
    </row>
    <row r="1350" spans="1:4" x14ac:dyDescent="0.25">
      <c r="A1350" s="899"/>
      <c r="B1350" s="899"/>
      <c r="C1350" s="899"/>
      <c r="D1350" s="899"/>
    </row>
    <row r="1351" spans="1:4" x14ac:dyDescent="0.25">
      <c r="A1351" s="899"/>
      <c r="B1351" s="899"/>
      <c r="C1351" s="899"/>
      <c r="D1351" s="899"/>
    </row>
    <row r="1352" spans="1:4" x14ac:dyDescent="0.25">
      <c r="A1352" s="899"/>
      <c r="B1352" s="899"/>
      <c r="C1352" s="899"/>
      <c r="D1352" s="899"/>
    </row>
    <row r="1353" spans="1:4" x14ac:dyDescent="0.25">
      <c r="A1353" s="899"/>
      <c r="B1353" s="899"/>
      <c r="C1353" s="899"/>
      <c r="D1353" s="899"/>
    </row>
    <row r="1354" spans="1:4" x14ac:dyDescent="0.25">
      <c r="A1354" s="899"/>
      <c r="B1354" s="899"/>
      <c r="C1354" s="899"/>
      <c r="D1354" s="899"/>
    </row>
    <row r="1355" spans="1:4" x14ac:dyDescent="0.25">
      <c r="A1355" s="899"/>
      <c r="B1355" s="899"/>
      <c r="C1355" s="899"/>
      <c r="D1355" s="899"/>
    </row>
    <row r="1356" spans="1:4" x14ac:dyDescent="0.25">
      <c r="A1356" s="899"/>
      <c r="B1356" s="899"/>
      <c r="C1356" s="899"/>
      <c r="D1356" s="899"/>
    </row>
    <row r="1357" spans="1:4" x14ac:dyDescent="0.25">
      <c r="A1357" s="899"/>
      <c r="B1357" s="899"/>
      <c r="C1357" s="899"/>
      <c r="D1357" s="899"/>
    </row>
    <row r="1358" spans="1:4" x14ac:dyDescent="0.25">
      <c r="A1358" s="899"/>
      <c r="B1358" s="899"/>
      <c r="C1358" s="899"/>
      <c r="D1358" s="899"/>
    </row>
    <row r="1359" spans="1:4" x14ac:dyDescent="0.25">
      <c r="A1359" s="899"/>
      <c r="B1359" s="899"/>
      <c r="C1359" s="899"/>
      <c r="D1359" s="899"/>
    </row>
    <row r="1360" spans="1:4" x14ac:dyDescent="0.25">
      <c r="A1360" s="899"/>
      <c r="B1360" s="899"/>
      <c r="C1360" s="899"/>
      <c r="D1360" s="899"/>
    </row>
    <row r="1361" spans="1:4" x14ac:dyDescent="0.25">
      <c r="A1361" s="899"/>
      <c r="B1361" s="899"/>
      <c r="C1361" s="899"/>
      <c r="D1361" s="899"/>
    </row>
    <row r="1362" spans="1:4" x14ac:dyDescent="0.25">
      <c r="A1362" s="899"/>
      <c r="B1362" s="899"/>
      <c r="C1362" s="899"/>
      <c r="D1362" s="899"/>
    </row>
    <row r="1363" spans="1:4" x14ac:dyDescent="0.25">
      <c r="A1363" s="899"/>
      <c r="B1363" s="899"/>
      <c r="C1363" s="899"/>
      <c r="D1363" s="899"/>
    </row>
    <row r="1364" spans="1:4" x14ac:dyDescent="0.25">
      <c r="A1364" s="899"/>
      <c r="B1364" s="899"/>
      <c r="C1364" s="899"/>
      <c r="D1364" s="899"/>
    </row>
    <row r="1365" spans="1:4" x14ac:dyDescent="0.25">
      <c r="A1365" s="899"/>
      <c r="B1365" s="899"/>
      <c r="C1365" s="899"/>
      <c r="D1365" s="899"/>
    </row>
    <row r="1366" spans="1:4" x14ac:dyDescent="0.25">
      <c r="A1366" s="899"/>
      <c r="B1366" s="899"/>
      <c r="C1366" s="899"/>
      <c r="D1366" s="899"/>
    </row>
    <row r="1367" spans="1:4" x14ac:dyDescent="0.25">
      <c r="A1367" s="899"/>
      <c r="B1367" s="899"/>
      <c r="C1367" s="899"/>
      <c r="D1367" s="899"/>
    </row>
    <row r="1368" spans="1:4" x14ac:dyDescent="0.25">
      <c r="A1368" s="899"/>
      <c r="B1368" s="899"/>
      <c r="C1368" s="899"/>
      <c r="D1368" s="899"/>
    </row>
    <row r="1369" spans="1:4" x14ac:dyDescent="0.25">
      <c r="A1369" s="899"/>
      <c r="B1369" s="899"/>
      <c r="C1369" s="899"/>
      <c r="D1369" s="899"/>
    </row>
    <row r="1370" spans="1:4" x14ac:dyDescent="0.25">
      <c r="A1370" s="899"/>
      <c r="B1370" s="899"/>
      <c r="C1370" s="899"/>
      <c r="D1370" s="899"/>
    </row>
    <row r="1371" spans="1:4" x14ac:dyDescent="0.25">
      <c r="A1371" s="899"/>
      <c r="B1371" s="899"/>
      <c r="C1371" s="899"/>
      <c r="D1371" s="899"/>
    </row>
    <row r="1372" spans="1:4" x14ac:dyDescent="0.25">
      <c r="A1372" s="899"/>
      <c r="B1372" s="899"/>
      <c r="C1372" s="899"/>
      <c r="D1372" s="899"/>
    </row>
    <row r="1373" spans="1:4" x14ac:dyDescent="0.25">
      <c r="A1373" s="899"/>
      <c r="B1373" s="899"/>
      <c r="C1373" s="899"/>
      <c r="D1373" s="899"/>
    </row>
    <row r="1374" spans="1:4" x14ac:dyDescent="0.25">
      <c r="A1374" s="899"/>
      <c r="B1374" s="899"/>
      <c r="C1374" s="899"/>
      <c r="D1374" s="899"/>
    </row>
    <row r="1375" spans="1:4" x14ac:dyDescent="0.25">
      <c r="A1375" s="899"/>
      <c r="B1375" s="899"/>
      <c r="C1375" s="899"/>
      <c r="D1375" s="899"/>
    </row>
    <row r="1376" spans="1:4" x14ac:dyDescent="0.25">
      <c r="A1376" s="899"/>
      <c r="B1376" s="899"/>
      <c r="C1376" s="899"/>
      <c r="D1376" s="899"/>
    </row>
    <row r="1377" spans="1:4" x14ac:dyDescent="0.25">
      <c r="A1377" s="899"/>
      <c r="B1377" s="899"/>
      <c r="C1377" s="899"/>
      <c r="D1377" s="899"/>
    </row>
    <row r="1378" spans="1:4" x14ac:dyDescent="0.25">
      <c r="A1378" s="899"/>
      <c r="B1378" s="899"/>
      <c r="C1378" s="899"/>
      <c r="D1378" s="899"/>
    </row>
    <row r="1379" spans="1:4" x14ac:dyDescent="0.25">
      <c r="A1379" s="899"/>
      <c r="B1379" s="899"/>
      <c r="C1379" s="899"/>
      <c r="D1379" s="899"/>
    </row>
    <row r="1380" spans="1:4" x14ac:dyDescent="0.25">
      <c r="A1380" s="899"/>
      <c r="B1380" s="899"/>
      <c r="C1380" s="899"/>
      <c r="D1380" s="899"/>
    </row>
    <row r="1381" spans="1:4" x14ac:dyDescent="0.25">
      <c r="A1381" s="899"/>
      <c r="B1381" s="899"/>
      <c r="C1381" s="899"/>
      <c r="D1381" s="899"/>
    </row>
    <row r="1382" spans="1:4" x14ac:dyDescent="0.25">
      <c r="A1382" s="899"/>
      <c r="B1382" s="899"/>
      <c r="C1382" s="899"/>
      <c r="D1382" s="899"/>
    </row>
    <row r="1383" spans="1:4" x14ac:dyDescent="0.25">
      <c r="A1383" s="899"/>
      <c r="B1383" s="899"/>
      <c r="C1383" s="899"/>
      <c r="D1383" s="899"/>
    </row>
    <row r="1384" spans="1:4" x14ac:dyDescent="0.25">
      <c r="A1384" s="899"/>
      <c r="B1384" s="899"/>
      <c r="C1384" s="899"/>
      <c r="D1384" s="899"/>
    </row>
    <row r="1385" spans="1:4" x14ac:dyDescent="0.25">
      <c r="A1385" s="899"/>
      <c r="B1385" s="899"/>
      <c r="C1385" s="899"/>
      <c r="D1385" s="899"/>
    </row>
    <row r="1386" spans="1:4" x14ac:dyDescent="0.25">
      <c r="A1386" s="899"/>
      <c r="B1386" s="899"/>
      <c r="C1386" s="899"/>
      <c r="D1386" s="899"/>
    </row>
    <row r="1387" spans="1:4" x14ac:dyDescent="0.25">
      <c r="A1387" s="899"/>
      <c r="B1387" s="899"/>
      <c r="C1387" s="899"/>
      <c r="D1387" s="899"/>
    </row>
    <row r="1388" spans="1:4" x14ac:dyDescent="0.25">
      <c r="A1388" s="899"/>
      <c r="B1388" s="899"/>
      <c r="C1388" s="899"/>
      <c r="D1388" s="899"/>
    </row>
    <row r="1389" spans="1:4" x14ac:dyDescent="0.25">
      <c r="A1389" s="899"/>
      <c r="B1389" s="899"/>
      <c r="C1389" s="899"/>
      <c r="D1389" s="899"/>
    </row>
    <row r="1390" spans="1:4" x14ac:dyDescent="0.25">
      <c r="A1390" s="899"/>
      <c r="B1390" s="899"/>
      <c r="C1390" s="899"/>
      <c r="D1390" s="899"/>
    </row>
    <row r="1391" spans="1:4" x14ac:dyDescent="0.25">
      <c r="A1391" s="899"/>
      <c r="B1391" s="899"/>
      <c r="C1391" s="899"/>
      <c r="D1391" s="899"/>
    </row>
    <row r="1392" spans="1:4" x14ac:dyDescent="0.25">
      <c r="A1392" s="899"/>
      <c r="B1392" s="899"/>
      <c r="C1392" s="899"/>
      <c r="D1392" s="899"/>
    </row>
    <row r="1393" spans="1:4" x14ac:dyDescent="0.25">
      <c r="A1393" s="899"/>
      <c r="B1393" s="899"/>
      <c r="C1393" s="899"/>
      <c r="D1393" s="899"/>
    </row>
    <row r="1394" spans="1:4" x14ac:dyDescent="0.25">
      <c r="A1394" s="899"/>
      <c r="B1394" s="899"/>
      <c r="C1394" s="899"/>
      <c r="D1394" s="899"/>
    </row>
    <row r="1395" spans="1:4" x14ac:dyDescent="0.25">
      <c r="A1395" s="899"/>
      <c r="B1395" s="899"/>
      <c r="C1395" s="899"/>
      <c r="D1395" s="899"/>
    </row>
    <row r="1396" spans="1:4" x14ac:dyDescent="0.25">
      <c r="A1396" s="899"/>
      <c r="B1396" s="899"/>
      <c r="C1396" s="899"/>
      <c r="D1396" s="899"/>
    </row>
    <row r="1397" spans="1:4" x14ac:dyDescent="0.25">
      <c r="A1397" s="899"/>
      <c r="B1397" s="899"/>
      <c r="C1397" s="899"/>
      <c r="D1397" s="899"/>
    </row>
    <row r="1398" spans="1:4" x14ac:dyDescent="0.25">
      <c r="A1398" s="899"/>
      <c r="B1398" s="899"/>
      <c r="C1398" s="899"/>
      <c r="D1398" s="899"/>
    </row>
    <row r="1399" spans="1:4" x14ac:dyDescent="0.25">
      <c r="A1399" s="899"/>
      <c r="B1399" s="899"/>
      <c r="C1399" s="899"/>
      <c r="D1399" s="899"/>
    </row>
    <row r="1400" spans="1:4" x14ac:dyDescent="0.25">
      <c r="A1400" s="899"/>
      <c r="B1400" s="899"/>
      <c r="C1400" s="899"/>
      <c r="D1400" s="899"/>
    </row>
    <row r="1401" spans="1:4" x14ac:dyDescent="0.25">
      <c r="A1401" s="899"/>
      <c r="B1401" s="899"/>
      <c r="C1401" s="899"/>
      <c r="D1401" s="899"/>
    </row>
    <row r="1402" spans="1:4" x14ac:dyDescent="0.25">
      <c r="A1402" s="899"/>
      <c r="B1402" s="899"/>
      <c r="C1402" s="899"/>
      <c r="D1402" s="899"/>
    </row>
    <row r="1403" spans="1:4" x14ac:dyDescent="0.25">
      <c r="A1403" s="899"/>
      <c r="B1403" s="899"/>
      <c r="C1403" s="899"/>
      <c r="D1403" s="899"/>
    </row>
    <row r="1404" spans="1:4" x14ac:dyDescent="0.25">
      <c r="A1404" s="899"/>
      <c r="B1404" s="899"/>
      <c r="C1404" s="899"/>
      <c r="D1404" s="899"/>
    </row>
    <row r="1405" spans="1:4" x14ac:dyDescent="0.25">
      <c r="A1405" s="899"/>
      <c r="B1405" s="899"/>
      <c r="C1405" s="899"/>
      <c r="D1405" s="899"/>
    </row>
    <row r="1406" spans="1:4" x14ac:dyDescent="0.25">
      <c r="A1406" s="899"/>
      <c r="B1406" s="899"/>
      <c r="C1406" s="899"/>
      <c r="D1406" s="899"/>
    </row>
    <row r="1407" spans="1:4" x14ac:dyDescent="0.25">
      <c r="A1407" s="899"/>
      <c r="B1407" s="899"/>
      <c r="C1407" s="899"/>
      <c r="D1407" s="899"/>
    </row>
    <row r="1408" spans="1:4" x14ac:dyDescent="0.25">
      <c r="A1408" s="899"/>
      <c r="B1408" s="899"/>
      <c r="C1408" s="899"/>
      <c r="D1408" s="899"/>
    </row>
    <row r="1409" spans="1:4" x14ac:dyDescent="0.25">
      <c r="A1409" s="899"/>
      <c r="B1409" s="899"/>
      <c r="C1409" s="899"/>
      <c r="D1409" s="899"/>
    </row>
    <row r="1410" spans="1:4" x14ac:dyDescent="0.25">
      <c r="A1410" s="899"/>
      <c r="B1410" s="899"/>
      <c r="C1410" s="899"/>
      <c r="D1410" s="899"/>
    </row>
    <row r="1411" spans="1:4" x14ac:dyDescent="0.25">
      <c r="A1411" s="899"/>
      <c r="B1411" s="899"/>
      <c r="C1411" s="899"/>
      <c r="D1411" s="899"/>
    </row>
    <row r="1412" spans="1:4" x14ac:dyDescent="0.25">
      <c r="A1412" s="899"/>
      <c r="B1412" s="899"/>
      <c r="C1412" s="899"/>
      <c r="D1412" s="899"/>
    </row>
    <row r="1413" spans="1:4" x14ac:dyDescent="0.25">
      <c r="A1413" s="899"/>
      <c r="B1413" s="899"/>
      <c r="C1413" s="899"/>
      <c r="D1413" s="899"/>
    </row>
    <row r="1414" spans="1:4" x14ac:dyDescent="0.25">
      <c r="A1414" s="899"/>
      <c r="B1414" s="899"/>
      <c r="C1414" s="899"/>
      <c r="D1414" s="899"/>
    </row>
    <row r="1415" spans="1:4" x14ac:dyDescent="0.25">
      <c r="A1415" s="899"/>
      <c r="B1415" s="899"/>
      <c r="C1415" s="899"/>
      <c r="D1415" s="899"/>
    </row>
    <row r="1416" spans="1:4" x14ac:dyDescent="0.25">
      <c r="A1416" s="899"/>
      <c r="B1416" s="899"/>
      <c r="C1416" s="899"/>
      <c r="D1416" s="899"/>
    </row>
    <row r="1417" spans="1:4" x14ac:dyDescent="0.25">
      <c r="A1417" s="899"/>
      <c r="B1417" s="899"/>
      <c r="C1417" s="899"/>
      <c r="D1417" s="899"/>
    </row>
    <row r="1418" spans="1:4" x14ac:dyDescent="0.25">
      <c r="A1418" s="899"/>
      <c r="B1418" s="899"/>
      <c r="C1418" s="899"/>
      <c r="D1418" s="899"/>
    </row>
    <row r="1419" spans="1:4" x14ac:dyDescent="0.25">
      <c r="A1419" s="899"/>
      <c r="B1419" s="899"/>
      <c r="C1419" s="899"/>
      <c r="D1419" s="899"/>
    </row>
    <row r="1420" spans="1:4" x14ac:dyDescent="0.25">
      <c r="A1420" s="899"/>
      <c r="B1420" s="899"/>
      <c r="C1420" s="899"/>
      <c r="D1420" s="899"/>
    </row>
    <row r="1421" spans="1:4" x14ac:dyDescent="0.25">
      <c r="A1421" s="899"/>
      <c r="B1421" s="899"/>
      <c r="C1421" s="899"/>
      <c r="D1421" s="899"/>
    </row>
    <row r="1422" spans="1:4" x14ac:dyDescent="0.25">
      <c r="A1422" s="899"/>
      <c r="B1422" s="899"/>
      <c r="C1422" s="899"/>
      <c r="D1422" s="899"/>
    </row>
    <row r="1423" spans="1:4" x14ac:dyDescent="0.25">
      <c r="A1423" s="899"/>
      <c r="B1423" s="899"/>
      <c r="C1423" s="899"/>
      <c r="D1423" s="899"/>
    </row>
    <row r="1424" spans="1:4" x14ac:dyDescent="0.25">
      <c r="A1424" s="899"/>
      <c r="B1424" s="899"/>
      <c r="C1424" s="899"/>
      <c r="D1424" s="899"/>
    </row>
    <row r="1425" spans="1:4" x14ac:dyDescent="0.25">
      <c r="A1425" s="899"/>
      <c r="B1425" s="899"/>
      <c r="C1425" s="899"/>
      <c r="D1425" s="899"/>
    </row>
    <row r="1426" spans="1:4" x14ac:dyDescent="0.25">
      <c r="A1426" s="899"/>
      <c r="B1426" s="899"/>
      <c r="C1426" s="899"/>
      <c r="D1426" s="899"/>
    </row>
    <row r="1427" spans="1:4" x14ac:dyDescent="0.25">
      <c r="A1427" s="899"/>
      <c r="B1427" s="899"/>
      <c r="C1427" s="899"/>
      <c r="D1427" s="899"/>
    </row>
    <row r="1428" spans="1:4" x14ac:dyDescent="0.25">
      <c r="A1428" s="899"/>
      <c r="B1428" s="899"/>
      <c r="C1428" s="899"/>
      <c r="D1428" s="899"/>
    </row>
    <row r="1429" spans="1:4" x14ac:dyDescent="0.25">
      <c r="A1429" s="899"/>
      <c r="B1429" s="899"/>
      <c r="C1429" s="899"/>
      <c r="D1429" s="899"/>
    </row>
    <row r="1430" spans="1:4" x14ac:dyDescent="0.25">
      <c r="A1430" s="899"/>
      <c r="B1430" s="899"/>
      <c r="C1430" s="899"/>
      <c r="D1430" s="899"/>
    </row>
    <row r="1431" spans="1:4" x14ac:dyDescent="0.25">
      <c r="A1431" s="899"/>
      <c r="B1431" s="899"/>
      <c r="C1431" s="899"/>
      <c r="D1431" s="899"/>
    </row>
    <row r="1432" spans="1:4" x14ac:dyDescent="0.25">
      <c r="A1432" s="899"/>
      <c r="B1432" s="899"/>
      <c r="C1432" s="899"/>
      <c r="D1432" s="899"/>
    </row>
    <row r="1433" spans="1:4" x14ac:dyDescent="0.25">
      <c r="A1433" s="899"/>
      <c r="B1433" s="899"/>
      <c r="C1433" s="899"/>
      <c r="D1433" s="899"/>
    </row>
    <row r="1434" spans="1:4" x14ac:dyDescent="0.25">
      <c r="A1434" s="899"/>
      <c r="B1434" s="899"/>
      <c r="C1434" s="899"/>
      <c r="D1434" s="899"/>
    </row>
    <row r="1435" spans="1:4" x14ac:dyDescent="0.25">
      <c r="A1435" s="899"/>
      <c r="B1435" s="899"/>
      <c r="C1435" s="899"/>
      <c r="D1435" s="899"/>
    </row>
    <row r="1436" spans="1:4" x14ac:dyDescent="0.25">
      <c r="A1436" s="899"/>
      <c r="B1436" s="899"/>
      <c r="C1436" s="899"/>
      <c r="D1436" s="899"/>
    </row>
    <row r="1437" spans="1:4" x14ac:dyDescent="0.25">
      <c r="A1437" s="899"/>
      <c r="B1437" s="899"/>
      <c r="C1437" s="899"/>
      <c r="D1437" s="899"/>
    </row>
    <row r="1438" spans="1:4" x14ac:dyDescent="0.25">
      <c r="A1438" s="899"/>
      <c r="B1438" s="899"/>
      <c r="C1438" s="899"/>
      <c r="D1438" s="899"/>
    </row>
    <row r="1439" spans="1:4" x14ac:dyDescent="0.25">
      <c r="A1439" s="899"/>
      <c r="B1439" s="899"/>
      <c r="C1439" s="899"/>
      <c r="D1439" s="899"/>
    </row>
    <row r="1440" spans="1:4" x14ac:dyDescent="0.25">
      <c r="A1440" s="899"/>
      <c r="B1440" s="899"/>
      <c r="C1440" s="899"/>
      <c r="D1440" s="899"/>
    </row>
    <row r="1441" spans="1:4" x14ac:dyDescent="0.25">
      <c r="A1441" s="899"/>
      <c r="B1441" s="899"/>
      <c r="C1441" s="899"/>
      <c r="D1441" s="899"/>
    </row>
    <row r="1442" spans="1:4" x14ac:dyDescent="0.25">
      <c r="A1442" s="899"/>
      <c r="B1442" s="899"/>
      <c r="C1442" s="899"/>
      <c r="D1442" s="899"/>
    </row>
    <row r="1443" spans="1:4" x14ac:dyDescent="0.25">
      <c r="A1443" s="899"/>
      <c r="B1443" s="899"/>
      <c r="C1443" s="899"/>
      <c r="D1443" s="899"/>
    </row>
    <row r="1444" spans="1:4" x14ac:dyDescent="0.25">
      <c r="A1444" s="899"/>
      <c r="B1444" s="899"/>
      <c r="C1444" s="899"/>
      <c r="D1444" s="899"/>
    </row>
    <row r="1445" spans="1:4" x14ac:dyDescent="0.25">
      <c r="A1445" s="899"/>
      <c r="B1445" s="899"/>
      <c r="C1445" s="899"/>
      <c r="D1445" s="899"/>
    </row>
    <row r="1446" spans="1:4" x14ac:dyDescent="0.25">
      <c r="A1446" s="899"/>
      <c r="B1446" s="899"/>
      <c r="C1446" s="899"/>
      <c r="D1446" s="899"/>
    </row>
    <row r="1447" spans="1:4" x14ac:dyDescent="0.25">
      <c r="A1447" s="899"/>
      <c r="B1447" s="899"/>
      <c r="C1447" s="899"/>
      <c r="D1447" s="899"/>
    </row>
    <row r="1448" spans="1:4" x14ac:dyDescent="0.25">
      <c r="A1448" s="899"/>
      <c r="B1448" s="899"/>
      <c r="C1448" s="899"/>
      <c r="D1448" s="899"/>
    </row>
    <row r="1449" spans="1:4" x14ac:dyDescent="0.25">
      <c r="A1449" s="899"/>
      <c r="B1449" s="899"/>
      <c r="C1449" s="899"/>
      <c r="D1449" s="899"/>
    </row>
    <row r="1450" spans="1:4" x14ac:dyDescent="0.25">
      <c r="A1450" s="899"/>
      <c r="B1450" s="899"/>
      <c r="C1450" s="899"/>
      <c r="D1450" s="899"/>
    </row>
    <row r="1451" spans="1:4" x14ac:dyDescent="0.25">
      <c r="A1451" s="899"/>
      <c r="B1451" s="899"/>
      <c r="C1451" s="899"/>
      <c r="D1451" s="899"/>
    </row>
    <row r="1452" spans="1:4" x14ac:dyDescent="0.25">
      <c r="A1452" s="899"/>
      <c r="B1452" s="899"/>
      <c r="C1452" s="899"/>
      <c r="D1452" s="899"/>
    </row>
    <row r="1453" spans="1:4" x14ac:dyDescent="0.25">
      <c r="A1453" s="899"/>
      <c r="B1453" s="899"/>
      <c r="C1453" s="899"/>
      <c r="D1453" s="899"/>
    </row>
    <row r="1454" spans="1:4" x14ac:dyDescent="0.25">
      <c r="A1454" s="899"/>
      <c r="B1454" s="899"/>
      <c r="C1454" s="899"/>
      <c r="D1454" s="899"/>
    </row>
    <row r="1455" spans="1:4" x14ac:dyDescent="0.25">
      <c r="A1455" s="899"/>
      <c r="B1455" s="899"/>
      <c r="C1455" s="899"/>
      <c r="D1455" s="899"/>
    </row>
    <row r="1456" spans="1:4" x14ac:dyDescent="0.25">
      <c r="A1456" s="899"/>
      <c r="B1456" s="899"/>
      <c r="C1456" s="899"/>
      <c r="D1456" s="899"/>
    </row>
    <row r="1457" spans="1:4" x14ac:dyDescent="0.25">
      <c r="A1457" s="899"/>
      <c r="B1457" s="899"/>
      <c r="C1457" s="899"/>
      <c r="D1457" s="899"/>
    </row>
    <row r="1458" spans="1:4" x14ac:dyDescent="0.25">
      <c r="A1458" s="899"/>
      <c r="B1458" s="899"/>
      <c r="C1458" s="899"/>
      <c r="D1458" s="899"/>
    </row>
    <row r="1459" spans="1:4" x14ac:dyDescent="0.25">
      <c r="A1459" s="899"/>
      <c r="B1459" s="899"/>
      <c r="C1459" s="899"/>
      <c r="D1459" s="899"/>
    </row>
    <row r="1460" spans="1:4" x14ac:dyDescent="0.25">
      <c r="A1460" s="899"/>
      <c r="B1460" s="899"/>
      <c r="C1460" s="899"/>
      <c r="D1460" s="899"/>
    </row>
    <row r="1461" spans="1:4" x14ac:dyDescent="0.25">
      <c r="A1461" s="899"/>
      <c r="B1461" s="899"/>
      <c r="C1461" s="899"/>
      <c r="D1461" s="899"/>
    </row>
    <row r="1462" spans="1:4" x14ac:dyDescent="0.25">
      <c r="A1462" s="899"/>
      <c r="B1462" s="899"/>
      <c r="C1462" s="899"/>
      <c r="D1462" s="899"/>
    </row>
    <row r="1463" spans="1:4" x14ac:dyDescent="0.25">
      <c r="A1463" s="899"/>
      <c r="B1463" s="899"/>
      <c r="C1463" s="899"/>
      <c r="D1463" s="899"/>
    </row>
    <row r="1464" spans="1:4" x14ac:dyDescent="0.25">
      <c r="A1464" s="899"/>
      <c r="B1464" s="899"/>
      <c r="C1464" s="899"/>
      <c r="D1464" s="899"/>
    </row>
    <row r="1465" spans="1:4" x14ac:dyDescent="0.25">
      <c r="A1465" s="899"/>
      <c r="B1465" s="899"/>
      <c r="C1465" s="899"/>
      <c r="D1465" s="899"/>
    </row>
    <row r="1466" spans="1:4" x14ac:dyDescent="0.25">
      <c r="A1466" s="899"/>
      <c r="B1466" s="899"/>
      <c r="C1466" s="899"/>
      <c r="D1466" s="899"/>
    </row>
    <row r="1467" spans="1:4" x14ac:dyDescent="0.25">
      <c r="A1467" s="899"/>
      <c r="B1467" s="899"/>
      <c r="C1467" s="899"/>
      <c r="D1467" s="899"/>
    </row>
    <row r="1468" spans="1:4" x14ac:dyDescent="0.25">
      <c r="A1468" s="899"/>
      <c r="B1468" s="899"/>
      <c r="C1468" s="899"/>
      <c r="D1468" s="899"/>
    </row>
    <row r="1469" spans="1:4" x14ac:dyDescent="0.25">
      <c r="A1469" s="899"/>
      <c r="B1469" s="899"/>
      <c r="C1469" s="899"/>
      <c r="D1469" s="899"/>
    </row>
    <row r="1470" spans="1:4" x14ac:dyDescent="0.25">
      <c r="A1470" s="899"/>
      <c r="B1470" s="899"/>
      <c r="C1470" s="899"/>
      <c r="D1470" s="899"/>
    </row>
    <row r="1471" spans="1:4" x14ac:dyDescent="0.25">
      <c r="A1471" s="899"/>
      <c r="B1471" s="899"/>
      <c r="C1471" s="899"/>
      <c r="D1471" s="899"/>
    </row>
    <row r="1472" spans="1:4" x14ac:dyDescent="0.25">
      <c r="A1472" s="899"/>
      <c r="B1472" s="899"/>
      <c r="C1472" s="899"/>
      <c r="D1472" s="899"/>
    </row>
    <row r="1473" spans="1:4" x14ac:dyDescent="0.25">
      <c r="A1473" s="899"/>
      <c r="B1473" s="899"/>
      <c r="C1473" s="899"/>
      <c r="D1473" s="899"/>
    </row>
    <row r="1474" spans="1:4" x14ac:dyDescent="0.25">
      <c r="A1474" s="899"/>
      <c r="B1474" s="899"/>
      <c r="C1474" s="899"/>
      <c r="D1474" s="899"/>
    </row>
    <row r="1475" spans="1:4" x14ac:dyDescent="0.25">
      <c r="A1475" s="899"/>
      <c r="B1475" s="899"/>
      <c r="C1475" s="899"/>
      <c r="D1475" s="899"/>
    </row>
    <row r="1476" spans="1:4" x14ac:dyDescent="0.25">
      <c r="A1476" s="899"/>
      <c r="B1476" s="899"/>
      <c r="C1476" s="899"/>
      <c r="D1476" s="899"/>
    </row>
    <row r="1477" spans="1:4" x14ac:dyDescent="0.25">
      <c r="A1477" s="899"/>
      <c r="B1477" s="899"/>
      <c r="C1477" s="899"/>
      <c r="D1477" s="899"/>
    </row>
    <row r="1478" spans="1:4" x14ac:dyDescent="0.25">
      <c r="A1478" s="899"/>
      <c r="B1478" s="899"/>
      <c r="C1478" s="899"/>
      <c r="D1478" s="899"/>
    </row>
    <row r="1479" spans="1:4" x14ac:dyDescent="0.25">
      <c r="A1479" s="899"/>
      <c r="B1479" s="899"/>
      <c r="C1479" s="899"/>
      <c r="D1479" s="899"/>
    </row>
    <row r="1480" spans="1:4" x14ac:dyDescent="0.25">
      <c r="A1480" s="899"/>
      <c r="B1480" s="899"/>
      <c r="C1480" s="899"/>
      <c r="D1480" s="899"/>
    </row>
    <row r="1481" spans="1:4" x14ac:dyDescent="0.25">
      <c r="A1481" s="899"/>
      <c r="B1481" s="899"/>
      <c r="C1481" s="899"/>
      <c r="D1481" s="899"/>
    </row>
    <row r="1482" spans="1:4" x14ac:dyDescent="0.25">
      <c r="A1482" s="899"/>
      <c r="B1482" s="899"/>
      <c r="C1482" s="899"/>
      <c r="D1482" s="899"/>
    </row>
    <row r="1483" spans="1:4" x14ac:dyDescent="0.25">
      <c r="A1483" s="899"/>
      <c r="B1483" s="899"/>
      <c r="C1483" s="899"/>
      <c r="D1483" s="899"/>
    </row>
    <row r="1484" spans="1:4" x14ac:dyDescent="0.25">
      <c r="A1484" s="899"/>
      <c r="B1484" s="899"/>
      <c r="C1484" s="899"/>
      <c r="D1484" s="899"/>
    </row>
    <row r="1485" spans="1:4" x14ac:dyDescent="0.25">
      <c r="A1485" s="899"/>
      <c r="B1485" s="899"/>
      <c r="C1485" s="899"/>
      <c r="D1485" s="899"/>
    </row>
    <row r="1486" spans="1:4" x14ac:dyDescent="0.25">
      <c r="A1486" s="899"/>
      <c r="B1486" s="899"/>
      <c r="C1486" s="899"/>
      <c r="D1486" s="899"/>
    </row>
    <row r="1487" spans="1:4" x14ac:dyDescent="0.25">
      <c r="A1487" s="899"/>
      <c r="B1487" s="899"/>
      <c r="C1487" s="899"/>
      <c r="D1487" s="899"/>
    </row>
    <row r="1488" spans="1:4" x14ac:dyDescent="0.25">
      <c r="A1488" s="899"/>
      <c r="B1488" s="899"/>
      <c r="C1488" s="899"/>
      <c r="D1488" s="899"/>
    </row>
    <row r="1489" spans="1:4" x14ac:dyDescent="0.25">
      <c r="A1489" s="899"/>
      <c r="B1489" s="899"/>
      <c r="C1489" s="899"/>
      <c r="D1489" s="899"/>
    </row>
    <row r="1490" spans="1:4" x14ac:dyDescent="0.25">
      <c r="A1490" s="899"/>
      <c r="B1490" s="899"/>
      <c r="C1490" s="899"/>
      <c r="D1490" s="899"/>
    </row>
    <row r="1491" spans="1:4" x14ac:dyDescent="0.25">
      <c r="A1491" s="899"/>
      <c r="B1491" s="899"/>
      <c r="C1491" s="899"/>
      <c r="D1491" s="899"/>
    </row>
    <row r="1492" spans="1:4" x14ac:dyDescent="0.25">
      <c r="A1492" s="899"/>
      <c r="B1492" s="899"/>
      <c r="C1492" s="899"/>
      <c r="D1492" s="899"/>
    </row>
    <row r="1493" spans="1:4" x14ac:dyDescent="0.25">
      <c r="A1493" s="899"/>
      <c r="B1493" s="899"/>
      <c r="C1493" s="899"/>
      <c r="D1493" s="899"/>
    </row>
    <row r="1494" spans="1:4" x14ac:dyDescent="0.25">
      <c r="A1494" s="899"/>
      <c r="B1494" s="899"/>
      <c r="C1494" s="899"/>
      <c r="D1494" s="899"/>
    </row>
    <row r="1495" spans="1:4" x14ac:dyDescent="0.25">
      <c r="A1495" s="899"/>
      <c r="B1495" s="899"/>
      <c r="C1495" s="899"/>
      <c r="D1495" s="899"/>
    </row>
    <row r="1496" spans="1:4" x14ac:dyDescent="0.25">
      <c r="A1496" s="899"/>
      <c r="B1496" s="899"/>
      <c r="C1496" s="899"/>
      <c r="D1496" s="899"/>
    </row>
    <row r="1497" spans="1:4" x14ac:dyDescent="0.25">
      <c r="A1497" s="899"/>
      <c r="B1497" s="899"/>
      <c r="C1497" s="899"/>
      <c r="D1497" s="899"/>
    </row>
    <row r="1498" spans="1:4" x14ac:dyDescent="0.25">
      <c r="A1498" s="899"/>
      <c r="B1498" s="899"/>
      <c r="C1498" s="899"/>
      <c r="D1498" s="899"/>
    </row>
    <row r="1499" spans="1:4" x14ac:dyDescent="0.25">
      <c r="A1499" s="899"/>
      <c r="B1499" s="899"/>
      <c r="C1499" s="899"/>
      <c r="D1499" s="899"/>
    </row>
    <row r="1500" spans="1:4" x14ac:dyDescent="0.25">
      <c r="A1500" s="899"/>
      <c r="B1500" s="899"/>
      <c r="C1500" s="899"/>
      <c r="D1500" s="899"/>
    </row>
    <row r="1501" spans="1:4" x14ac:dyDescent="0.25">
      <c r="A1501" s="899"/>
      <c r="B1501" s="899"/>
      <c r="C1501" s="899"/>
      <c r="D1501" s="899"/>
    </row>
    <row r="1502" spans="1:4" x14ac:dyDescent="0.25">
      <c r="A1502" s="899"/>
      <c r="B1502" s="899"/>
      <c r="C1502" s="899"/>
      <c r="D1502" s="899"/>
    </row>
    <row r="1503" spans="1:4" x14ac:dyDescent="0.25">
      <c r="A1503" s="899"/>
      <c r="B1503" s="899"/>
      <c r="C1503" s="899"/>
      <c r="D1503" s="899"/>
    </row>
    <row r="1504" spans="1:4" x14ac:dyDescent="0.25">
      <c r="A1504" s="899"/>
      <c r="B1504" s="899"/>
      <c r="C1504" s="899"/>
      <c r="D1504" s="899"/>
    </row>
    <row r="1505" spans="1:4" x14ac:dyDescent="0.25">
      <c r="A1505" s="899"/>
      <c r="B1505" s="899"/>
      <c r="C1505" s="899"/>
      <c r="D1505" s="899"/>
    </row>
    <row r="1506" spans="1:4" x14ac:dyDescent="0.25">
      <c r="A1506" s="899"/>
      <c r="B1506" s="899"/>
      <c r="C1506" s="899"/>
      <c r="D1506" s="899"/>
    </row>
    <row r="1507" spans="1:4" x14ac:dyDescent="0.25">
      <c r="A1507" s="899"/>
      <c r="B1507" s="899"/>
      <c r="C1507" s="899"/>
      <c r="D1507" s="899"/>
    </row>
    <row r="1508" spans="1:4" x14ac:dyDescent="0.25">
      <c r="A1508" s="899"/>
      <c r="B1508" s="899"/>
      <c r="C1508" s="899"/>
      <c r="D1508" s="899"/>
    </row>
    <row r="1509" spans="1:4" x14ac:dyDescent="0.25">
      <c r="A1509" s="899"/>
      <c r="B1509" s="899"/>
      <c r="C1509" s="899"/>
      <c r="D1509" s="899"/>
    </row>
    <row r="1510" spans="1:4" x14ac:dyDescent="0.25">
      <c r="A1510" s="899"/>
      <c r="B1510" s="899"/>
      <c r="C1510" s="899"/>
      <c r="D1510" s="899"/>
    </row>
    <row r="1511" spans="1:4" x14ac:dyDescent="0.25">
      <c r="A1511" s="899"/>
      <c r="B1511" s="899"/>
      <c r="C1511" s="899"/>
      <c r="D1511" s="899"/>
    </row>
    <row r="1512" spans="1:4" x14ac:dyDescent="0.25">
      <c r="A1512" s="899"/>
      <c r="B1512" s="899"/>
      <c r="C1512" s="899"/>
      <c r="D1512" s="899"/>
    </row>
    <row r="1513" spans="1:4" x14ac:dyDescent="0.25">
      <c r="A1513" s="899"/>
      <c r="B1513" s="899"/>
      <c r="C1513" s="899"/>
      <c r="D1513" s="899"/>
    </row>
    <row r="1514" spans="1:4" x14ac:dyDescent="0.25">
      <c r="A1514" s="899"/>
      <c r="B1514" s="899"/>
      <c r="C1514" s="899"/>
      <c r="D1514" s="899"/>
    </row>
    <row r="1515" spans="1:4" x14ac:dyDescent="0.25">
      <c r="A1515" s="899"/>
      <c r="B1515" s="899"/>
      <c r="C1515" s="899"/>
      <c r="D1515" s="899"/>
    </row>
    <row r="1516" spans="1:4" x14ac:dyDescent="0.25">
      <c r="A1516" s="899"/>
      <c r="B1516" s="899"/>
      <c r="C1516" s="899"/>
      <c r="D1516" s="899"/>
    </row>
    <row r="1517" spans="1:4" x14ac:dyDescent="0.25">
      <c r="A1517" s="899"/>
      <c r="B1517" s="899"/>
      <c r="C1517" s="899"/>
      <c r="D1517" s="899"/>
    </row>
    <row r="1518" spans="1:4" x14ac:dyDescent="0.25">
      <c r="A1518" s="899"/>
      <c r="B1518" s="899"/>
      <c r="C1518" s="899"/>
      <c r="D1518" s="899"/>
    </row>
    <row r="1519" spans="1:4" x14ac:dyDescent="0.25">
      <c r="A1519" s="899"/>
      <c r="B1519" s="899"/>
      <c r="C1519" s="899"/>
      <c r="D1519" s="899"/>
    </row>
    <row r="1520" spans="1:4" x14ac:dyDescent="0.25">
      <c r="A1520" s="899"/>
      <c r="B1520" s="899"/>
      <c r="C1520" s="899"/>
      <c r="D1520" s="899"/>
    </row>
    <row r="1521" spans="1:4" x14ac:dyDescent="0.25">
      <c r="A1521" s="899"/>
      <c r="B1521" s="899"/>
      <c r="C1521" s="899"/>
      <c r="D1521" s="899"/>
    </row>
    <row r="1522" spans="1:4" x14ac:dyDescent="0.25">
      <c r="A1522" s="899"/>
      <c r="B1522" s="899"/>
      <c r="C1522" s="899"/>
      <c r="D1522" s="899"/>
    </row>
    <row r="1523" spans="1:4" x14ac:dyDescent="0.25">
      <c r="A1523" s="899"/>
      <c r="B1523" s="899"/>
      <c r="C1523" s="899"/>
      <c r="D1523" s="899"/>
    </row>
    <row r="1524" spans="1:4" x14ac:dyDescent="0.25">
      <c r="A1524" s="899"/>
      <c r="B1524" s="899"/>
      <c r="C1524" s="899"/>
      <c r="D1524" s="899"/>
    </row>
    <row r="1525" spans="1:4" x14ac:dyDescent="0.25">
      <c r="A1525" s="899"/>
      <c r="B1525" s="899"/>
      <c r="C1525" s="899"/>
      <c r="D1525" s="899"/>
    </row>
    <row r="1526" spans="1:4" x14ac:dyDescent="0.25">
      <c r="A1526" s="899"/>
      <c r="B1526" s="899"/>
      <c r="C1526" s="899"/>
      <c r="D1526" s="899"/>
    </row>
    <row r="1527" spans="1:4" x14ac:dyDescent="0.25">
      <c r="A1527" s="899"/>
      <c r="B1527" s="899"/>
      <c r="C1527" s="899"/>
      <c r="D1527" s="899"/>
    </row>
    <row r="1528" spans="1:4" x14ac:dyDescent="0.25">
      <c r="A1528" s="899"/>
      <c r="B1528" s="899"/>
      <c r="C1528" s="899"/>
      <c r="D1528" s="899"/>
    </row>
    <row r="1529" spans="1:4" x14ac:dyDescent="0.25">
      <c r="A1529" s="899"/>
      <c r="B1529" s="899"/>
      <c r="C1529" s="899"/>
      <c r="D1529" s="899"/>
    </row>
    <row r="1530" spans="1:4" x14ac:dyDescent="0.25">
      <c r="A1530" s="899"/>
      <c r="B1530" s="899"/>
      <c r="C1530" s="899"/>
      <c r="D1530" s="899"/>
    </row>
    <row r="1531" spans="1:4" x14ac:dyDescent="0.25">
      <c r="A1531" s="899"/>
      <c r="B1531" s="899"/>
      <c r="C1531" s="899"/>
      <c r="D1531" s="899"/>
    </row>
    <row r="1532" spans="1:4" x14ac:dyDescent="0.25">
      <c r="A1532" s="899"/>
      <c r="B1532" s="899"/>
      <c r="C1532" s="899"/>
      <c r="D1532" s="899"/>
    </row>
    <row r="1533" spans="1:4" x14ac:dyDescent="0.25">
      <c r="A1533" s="899"/>
      <c r="B1533" s="899"/>
      <c r="C1533" s="899"/>
      <c r="D1533" s="899"/>
    </row>
    <row r="1534" spans="1:4" x14ac:dyDescent="0.25">
      <c r="A1534" s="899"/>
      <c r="B1534" s="899"/>
      <c r="C1534" s="899"/>
      <c r="D1534" s="899"/>
    </row>
    <row r="1535" spans="1:4" x14ac:dyDescent="0.25">
      <c r="A1535" s="899"/>
      <c r="B1535" s="899"/>
      <c r="C1535" s="899"/>
      <c r="D1535" s="899"/>
    </row>
    <row r="1536" spans="1:4" x14ac:dyDescent="0.25">
      <c r="A1536" s="899"/>
      <c r="B1536" s="899"/>
      <c r="C1536" s="899"/>
      <c r="D1536" s="899"/>
    </row>
    <row r="1537" spans="1:4" x14ac:dyDescent="0.25">
      <c r="A1537" s="899"/>
      <c r="B1537" s="899"/>
      <c r="C1537" s="899"/>
      <c r="D1537" s="899"/>
    </row>
    <row r="1538" spans="1:4" x14ac:dyDescent="0.25">
      <c r="A1538" s="899"/>
      <c r="B1538" s="899"/>
      <c r="C1538" s="899"/>
      <c r="D1538" s="899"/>
    </row>
    <row r="1539" spans="1:4" x14ac:dyDescent="0.25">
      <c r="A1539" s="899"/>
      <c r="B1539" s="899"/>
      <c r="C1539" s="899"/>
      <c r="D1539" s="899"/>
    </row>
    <row r="1540" spans="1:4" x14ac:dyDescent="0.25">
      <c r="A1540" s="899"/>
      <c r="B1540" s="899"/>
      <c r="C1540" s="899"/>
      <c r="D1540" s="899"/>
    </row>
    <row r="1541" spans="1:4" x14ac:dyDescent="0.25">
      <c r="A1541" s="899"/>
      <c r="B1541" s="899"/>
      <c r="C1541" s="899"/>
      <c r="D1541" s="899"/>
    </row>
    <row r="1542" spans="1:4" x14ac:dyDescent="0.25">
      <c r="A1542" s="899"/>
      <c r="B1542" s="899"/>
      <c r="C1542" s="899"/>
      <c r="D1542" s="899"/>
    </row>
    <row r="1543" spans="1:4" x14ac:dyDescent="0.25">
      <c r="A1543" s="899"/>
      <c r="B1543" s="899"/>
      <c r="C1543" s="899"/>
      <c r="D1543" s="899"/>
    </row>
    <row r="1544" spans="1:4" x14ac:dyDescent="0.25">
      <c r="A1544" s="899"/>
      <c r="B1544" s="899"/>
      <c r="C1544" s="899"/>
      <c r="D1544" s="899"/>
    </row>
    <row r="1545" spans="1:4" x14ac:dyDescent="0.25">
      <c r="A1545" s="899"/>
      <c r="B1545" s="899"/>
      <c r="C1545" s="899"/>
      <c r="D1545" s="899"/>
    </row>
    <row r="1546" spans="1:4" x14ac:dyDescent="0.25">
      <c r="A1546" s="899"/>
      <c r="B1546" s="899"/>
      <c r="C1546" s="899"/>
      <c r="D1546" s="899"/>
    </row>
    <row r="1547" spans="1:4" x14ac:dyDescent="0.25">
      <c r="A1547" s="899"/>
      <c r="B1547" s="899"/>
      <c r="C1547" s="899"/>
      <c r="D1547" s="899"/>
    </row>
    <row r="1548" spans="1:4" x14ac:dyDescent="0.25">
      <c r="A1548" s="899"/>
      <c r="B1548" s="899"/>
      <c r="C1548" s="899"/>
      <c r="D1548" s="899"/>
    </row>
    <row r="1549" spans="1:4" x14ac:dyDescent="0.25">
      <c r="A1549" s="899"/>
      <c r="B1549" s="899"/>
      <c r="C1549" s="899"/>
      <c r="D1549" s="899"/>
    </row>
    <row r="1550" spans="1:4" x14ac:dyDescent="0.25">
      <c r="A1550" s="899"/>
      <c r="B1550" s="899"/>
      <c r="C1550" s="899"/>
      <c r="D1550" s="899"/>
    </row>
    <row r="1551" spans="1:4" x14ac:dyDescent="0.25">
      <c r="A1551" s="899"/>
      <c r="B1551" s="899"/>
      <c r="C1551" s="899"/>
      <c r="D1551" s="899"/>
    </row>
    <row r="1552" spans="1:4" x14ac:dyDescent="0.25">
      <c r="A1552" s="899"/>
      <c r="B1552" s="899"/>
      <c r="C1552" s="899"/>
      <c r="D1552" s="899"/>
    </row>
    <row r="1553" spans="1:4" x14ac:dyDescent="0.25">
      <c r="A1553" s="899"/>
      <c r="B1553" s="899"/>
      <c r="C1553" s="899"/>
      <c r="D1553" s="899"/>
    </row>
    <row r="1554" spans="1:4" x14ac:dyDescent="0.25">
      <c r="A1554" s="899"/>
      <c r="B1554" s="899"/>
      <c r="C1554" s="899"/>
      <c r="D1554" s="899"/>
    </row>
    <row r="1555" spans="1:4" x14ac:dyDescent="0.25">
      <c r="A1555" s="899"/>
      <c r="B1555" s="899"/>
      <c r="C1555" s="899"/>
      <c r="D1555" s="899"/>
    </row>
    <row r="1556" spans="1:4" x14ac:dyDescent="0.25">
      <c r="A1556" s="899"/>
      <c r="B1556" s="899"/>
      <c r="C1556" s="899"/>
      <c r="D1556" s="899"/>
    </row>
    <row r="1557" spans="1:4" x14ac:dyDescent="0.25">
      <c r="A1557" s="899"/>
      <c r="B1557" s="899"/>
      <c r="C1557" s="899"/>
      <c r="D1557" s="899"/>
    </row>
    <row r="1558" spans="1:4" x14ac:dyDescent="0.25">
      <c r="A1558" s="899"/>
      <c r="B1558" s="899"/>
      <c r="C1558" s="899"/>
      <c r="D1558" s="899"/>
    </row>
    <row r="1559" spans="1:4" x14ac:dyDescent="0.25">
      <c r="A1559" s="899"/>
      <c r="B1559" s="899"/>
      <c r="C1559" s="899"/>
      <c r="D1559" s="899"/>
    </row>
    <row r="1560" spans="1:4" x14ac:dyDescent="0.25">
      <c r="A1560" s="899"/>
      <c r="B1560" s="899"/>
      <c r="C1560" s="899"/>
      <c r="D1560" s="899"/>
    </row>
    <row r="1561" spans="1:4" x14ac:dyDescent="0.25">
      <c r="A1561" s="899"/>
      <c r="B1561" s="899"/>
      <c r="C1561" s="899"/>
      <c r="D1561" s="899"/>
    </row>
    <row r="1562" spans="1:4" x14ac:dyDescent="0.25">
      <c r="A1562" s="899"/>
      <c r="B1562" s="899"/>
      <c r="C1562" s="899"/>
      <c r="D1562" s="899"/>
    </row>
    <row r="1563" spans="1:4" x14ac:dyDescent="0.25">
      <c r="A1563" s="899"/>
      <c r="B1563" s="899"/>
      <c r="C1563" s="899"/>
      <c r="D1563" s="899"/>
    </row>
    <row r="1564" spans="1:4" x14ac:dyDescent="0.25">
      <c r="A1564" s="899"/>
      <c r="B1564" s="899"/>
      <c r="C1564" s="899"/>
      <c r="D1564" s="899"/>
    </row>
    <row r="1565" spans="1:4" x14ac:dyDescent="0.25">
      <c r="A1565" s="899"/>
      <c r="B1565" s="899"/>
      <c r="C1565" s="899"/>
      <c r="D1565" s="899"/>
    </row>
    <row r="1566" spans="1:4" x14ac:dyDescent="0.25">
      <c r="A1566" s="899"/>
      <c r="B1566" s="899"/>
      <c r="C1566" s="899"/>
      <c r="D1566" s="899"/>
    </row>
    <row r="1567" spans="1:4" x14ac:dyDescent="0.25">
      <c r="A1567" s="899"/>
      <c r="B1567" s="899"/>
      <c r="C1567" s="899"/>
      <c r="D1567" s="899"/>
    </row>
    <row r="1568" spans="1:4" x14ac:dyDescent="0.25">
      <c r="A1568" s="899"/>
      <c r="B1568" s="899"/>
      <c r="C1568" s="899"/>
      <c r="D1568" s="899"/>
    </row>
    <row r="1569" spans="1:4" x14ac:dyDescent="0.25">
      <c r="A1569" s="899"/>
      <c r="B1569" s="899"/>
      <c r="C1569" s="899"/>
      <c r="D1569" s="899"/>
    </row>
    <row r="1570" spans="1:4" x14ac:dyDescent="0.25">
      <c r="A1570" s="899"/>
      <c r="B1570" s="899"/>
      <c r="C1570" s="899"/>
      <c r="D1570" s="899"/>
    </row>
    <row r="1571" spans="1:4" x14ac:dyDescent="0.25">
      <c r="A1571" s="899"/>
      <c r="B1571" s="899"/>
      <c r="C1571" s="899"/>
      <c r="D1571" s="899"/>
    </row>
    <row r="1572" spans="1:4" x14ac:dyDescent="0.25">
      <c r="A1572" s="899"/>
      <c r="B1572" s="899"/>
      <c r="C1572" s="899"/>
      <c r="D1572" s="899"/>
    </row>
    <row r="1573" spans="1:4" x14ac:dyDescent="0.25">
      <c r="A1573" s="899"/>
      <c r="B1573" s="899"/>
      <c r="C1573" s="899"/>
      <c r="D1573" s="899"/>
    </row>
    <row r="1574" spans="1:4" x14ac:dyDescent="0.25">
      <c r="A1574" s="899"/>
      <c r="B1574" s="899"/>
      <c r="C1574" s="899"/>
      <c r="D1574" s="899"/>
    </row>
    <row r="1575" spans="1:4" x14ac:dyDescent="0.25">
      <c r="A1575" s="899"/>
      <c r="B1575" s="899"/>
      <c r="C1575" s="899"/>
      <c r="D1575" s="899"/>
    </row>
    <row r="1576" spans="1:4" x14ac:dyDescent="0.25">
      <c r="A1576" s="899"/>
      <c r="B1576" s="899"/>
      <c r="C1576" s="899"/>
      <c r="D1576" s="899"/>
    </row>
    <row r="1577" spans="1:4" x14ac:dyDescent="0.25">
      <c r="A1577" s="899"/>
      <c r="B1577" s="899"/>
      <c r="C1577" s="899"/>
      <c r="D1577" s="899"/>
    </row>
    <row r="1578" spans="1:4" x14ac:dyDescent="0.25">
      <c r="A1578" s="899"/>
      <c r="B1578" s="899"/>
      <c r="C1578" s="899"/>
      <c r="D1578" s="899"/>
    </row>
    <row r="1579" spans="1:4" x14ac:dyDescent="0.25">
      <c r="A1579" s="899"/>
      <c r="B1579" s="899"/>
      <c r="C1579" s="899"/>
      <c r="D1579" s="899"/>
    </row>
    <row r="1580" spans="1:4" x14ac:dyDescent="0.25">
      <c r="A1580" s="899"/>
      <c r="B1580" s="899"/>
      <c r="C1580" s="899"/>
      <c r="D1580" s="899"/>
    </row>
    <row r="1581" spans="1:4" x14ac:dyDescent="0.25">
      <c r="A1581" s="899"/>
      <c r="B1581" s="899"/>
      <c r="C1581" s="899"/>
      <c r="D1581" s="899"/>
    </row>
    <row r="1582" spans="1:4" x14ac:dyDescent="0.25">
      <c r="A1582" s="899"/>
      <c r="B1582" s="899"/>
      <c r="C1582" s="899"/>
      <c r="D1582" s="899"/>
    </row>
    <row r="1583" spans="1:4" x14ac:dyDescent="0.25">
      <c r="A1583" s="899"/>
      <c r="B1583" s="899"/>
      <c r="C1583" s="899"/>
      <c r="D1583" s="899"/>
    </row>
    <row r="1584" spans="1:4" x14ac:dyDescent="0.25">
      <c r="A1584" s="899"/>
      <c r="B1584" s="899"/>
      <c r="C1584" s="899"/>
      <c r="D1584" s="899"/>
    </row>
    <row r="1585" spans="1:5" x14ac:dyDescent="0.25">
      <c r="A1585" s="899"/>
      <c r="B1585" s="899"/>
      <c r="C1585" s="899"/>
      <c r="D1585" s="899"/>
    </row>
    <row r="1586" spans="1:5" x14ac:dyDescent="0.25">
      <c r="A1586" s="899"/>
      <c r="B1586" s="899"/>
      <c r="C1586" s="899"/>
      <c r="D1586" s="899"/>
    </row>
    <row r="1587" spans="1:5" x14ac:dyDescent="0.25">
      <c r="A1587" s="899"/>
      <c r="B1587" s="899"/>
      <c r="C1587" s="899"/>
      <c r="D1587" s="899"/>
    </row>
    <row r="1588" spans="1:5" x14ac:dyDescent="0.25">
      <c r="A1588" s="899"/>
      <c r="B1588" s="899"/>
      <c r="C1588" s="899"/>
      <c r="D1588" s="899"/>
    </row>
    <row r="1589" spans="1:5" x14ac:dyDescent="0.25">
      <c r="A1589" s="899"/>
      <c r="B1589" s="899"/>
      <c r="C1589" s="899"/>
      <c r="D1589" s="899"/>
    </row>
    <row r="1590" spans="1:5" x14ac:dyDescent="0.25">
      <c r="A1590" s="899"/>
      <c r="B1590" s="899"/>
      <c r="C1590" s="899"/>
      <c r="D1590" s="899"/>
    </row>
    <row r="1591" spans="1:5" x14ac:dyDescent="0.25">
      <c r="A1591" s="899"/>
      <c r="B1591" s="899"/>
      <c r="C1591" s="899"/>
      <c r="D1591" s="899"/>
    </row>
    <row r="1592" spans="1:5" x14ac:dyDescent="0.25">
      <c r="A1592" s="899"/>
      <c r="B1592" s="899"/>
      <c r="C1592" s="899"/>
      <c r="D1592" s="899"/>
    </row>
    <row r="1593" spans="1:5" x14ac:dyDescent="0.25">
      <c r="A1593" s="899"/>
      <c r="B1593" s="899"/>
      <c r="C1593" s="899"/>
      <c r="D1593" s="899"/>
    </row>
    <row r="1594" spans="1:5" x14ac:dyDescent="0.25">
      <c r="A1594" s="899"/>
      <c r="B1594" s="899"/>
      <c r="C1594" s="899"/>
      <c r="D1594" s="899"/>
    </row>
    <row r="1595" spans="1:5" x14ac:dyDescent="0.25">
      <c r="A1595" s="899"/>
      <c r="B1595" s="899"/>
      <c r="C1595" s="899"/>
      <c r="D1595" s="899"/>
    </row>
    <row r="1596" spans="1:5" x14ac:dyDescent="0.25">
      <c r="A1596" s="899"/>
      <c r="B1596" s="899"/>
      <c r="C1596" s="899"/>
      <c r="D1596" s="899"/>
    </row>
    <row r="1597" spans="1:5" x14ac:dyDescent="0.25">
      <c r="A1597" s="899"/>
      <c r="B1597" s="899"/>
      <c r="C1597" s="899"/>
      <c r="D1597" s="899"/>
    </row>
    <row r="1598" spans="1:5" x14ac:dyDescent="0.25">
      <c r="A1598" s="899"/>
      <c r="B1598" s="899"/>
      <c r="C1598" s="899"/>
      <c r="D1598" s="899"/>
      <c r="E1598" s="899"/>
    </row>
    <row r="1599" spans="1:5" x14ac:dyDescent="0.25">
      <c r="A1599" s="899"/>
      <c r="B1599" s="899"/>
      <c r="C1599" s="899"/>
      <c r="D1599" s="899"/>
      <c r="E1599" s="899"/>
    </row>
    <row r="1600" spans="1:5" x14ac:dyDescent="0.25">
      <c r="A1600" s="899"/>
      <c r="B1600" s="899"/>
      <c r="C1600" s="899"/>
      <c r="D1600" s="899"/>
      <c r="E1600" s="899"/>
    </row>
    <row r="1601" spans="1:5" x14ac:dyDescent="0.25">
      <c r="A1601" s="899"/>
      <c r="B1601" s="899"/>
      <c r="C1601" s="899"/>
      <c r="D1601" s="899"/>
      <c r="E1601" s="899"/>
    </row>
    <row r="1602" spans="1:5" x14ac:dyDescent="0.25">
      <c r="A1602" s="899"/>
      <c r="B1602" s="899"/>
      <c r="C1602" s="899"/>
      <c r="D1602" s="899"/>
      <c r="E1602" s="899"/>
    </row>
    <row r="1603" spans="1:5" x14ac:dyDescent="0.25">
      <c r="A1603" s="899"/>
      <c r="B1603" s="899"/>
      <c r="C1603" s="899"/>
      <c r="D1603" s="899"/>
      <c r="E1603" s="899"/>
    </row>
    <row r="1604" spans="1:5" x14ac:dyDescent="0.25">
      <c r="A1604" s="899"/>
      <c r="B1604" s="899"/>
      <c r="C1604" s="899"/>
      <c r="D1604" s="899"/>
      <c r="E1604" s="899"/>
    </row>
    <row r="1605" spans="1:5" x14ac:dyDescent="0.25">
      <c r="A1605" s="899"/>
      <c r="B1605" s="899"/>
      <c r="C1605" s="899"/>
      <c r="D1605" s="899"/>
      <c r="E1605" s="899"/>
    </row>
    <row r="1606" spans="1:5" x14ac:dyDescent="0.25">
      <c r="A1606" s="899"/>
      <c r="B1606" s="899"/>
      <c r="C1606" s="899"/>
      <c r="D1606" s="899"/>
      <c r="E1606" s="899"/>
    </row>
    <row r="1607" spans="1:5" x14ac:dyDescent="0.25">
      <c r="A1607" s="899"/>
      <c r="B1607" s="899"/>
      <c r="C1607" s="899"/>
      <c r="D1607" s="899"/>
      <c r="E1607" s="899"/>
    </row>
    <row r="1608" spans="1:5" x14ac:dyDescent="0.25">
      <c r="A1608" s="899"/>
      <c r="B1608" s="899"/>
      <c r="C1608" s="899"/>
      <c r="D1608" s="899"/>
      <c r="E1608" s="899"/>
    </row>
    <row r="1609" spans="1:5" x14ac:dyDescent="0.25">
      <c r="A1609" s="899"/>
      <c r="B1609" s="899"/>
      <c r="C1609" s="899"/>
      <c r="D1609" s="899"/>
      <c r="E1609" s="899"/>
    </row>
    <row r="1610" spans="1:5" x14ac:dyDescent="0.25">
      <c r="A1610" s="899"/>
      <c r="B1610" s="899"/>
      <c r="C1610" s="899"/>
      <c r="D1610" s="899"/>
      <c r="E1610" s="899"/>
    </row>
    <row r="1611" spans="1:5" x14ac:dyDescent="0.25">
      <c r="A1611" s="899"/>
      <c r="B1611" s="899"/>
      <c r="C1611" s="899"/>
      <c r="D1611" s="899"/>
      <c r="E1611" s="899"/>
    </row>
    <row r="1612" spans="1:5" x14ac:dyDescent="0.25">
      <c r="A1612" s="899"/>
      <c r="B1612" s="899"/>
      <c r="C1612" s="899"/>
      <c r="D1612" s="899"/>
      <c r="E1612" s="899"/>
    </row>
    <row r="1613" spans="1:5" x14ac:dyDescent="0.25">
      <c r="A1613" s="899"/>
      <c r="B1613" s="899"/>
      <c r="C1613" s="899"/>
      <c r="D1613" s="899"/>
      <c r="E1613" s="899"/>
    </row>
    <row r="1614" spans="1:5" x14ac:dyDescent="0.25">
      <c r="A1614" s="899"/>
      <c r="B1614" s="899"/>
      <c r="C1614" s="899"/>
      <c r="D1614" s="899"/>
      <c r="E1614" s="899"/>
    </row>
    <row r="1615" spans="1:5" x14ac:dyDescent="0.25">
      <c r="A1615" s="899"/>
      <c r="B1615" s="899"/>
      <c r="C1615" s="899"/>
      <c r="D1615" s="899"/>
      <c r="E1615" s="899"/>
    </row>
    <row r="1616" spans="1:5" x14ac:dyDescent="0.25">
      <c r="A1616" s="899"/>
      <c r="B1616" s="899"/>
      <c r="C1616" s="899"/>
      <c r="D1616" s="899"/>
      <c r="E1616" s="899"/>
    </row>
    <row r="1617" spans="1:5" x14ac:dyDescent="0.25">
      <c r="A1617" s="899"/>
      <c r="B1617" s="899"/>
      <c r="C1617" s="899"/>
      <c r="D1617" s="899"/>
      <c r="E1617" s="899"/>
    </row>
    <row r="1618" spans="1:5" x14ac:dyDescent="0.25">
      <c r="A1618" s="899"/>
      <c r="B1618" s="899"/>
      <c r="C1618" s="899"/>
      <c r="D1618" s="899"/>
      <c r="E1618" s="899"/>
    </row>
    <row r="1619" spans="1:5" x14ac:dyDescent="0.25">
      <c r="A1619" s="899"/>
      <c r="B1619" s="899"/>
      <c r="C1619" s="899"/>
      <c r="D1619" s="899"/>
      <c r="E1619" s="899"/>
    </row>
    <row r="1620" spans="1:5" x14ac:dyDescent="0.25">
      <c r="A1620" s="899"/>
      <c r="B1620" s="899"/>
      <c r="C1620" s="899"/>
      <c r="D1620" s="899"/>
      <c r="E1620" s="899"/>
    </row>
    <row r="1621" spans="1:5" x14ac:dyDescent="0.25">
      <c r="A1621" s="899"/>
      <c r="B1621" s="899"/>
      <c r="C1621" s="899"/>
      <c r="D1621" s="899"/>
      <c r="E1621" s="899"/>
    </row>
    <row r="1622" spans="1:5" x14ac:dyDescent="0.25">
      <c r="A1622" s="899"/>
      <c r="B1622" s="899"/>
      <c r="C1622" s="899"/>
      <c r="D1622" s="899"/>
      <c r="E1622" s="899"/>
    </row>
    <row r="1623" spans="1:5" x14ac:dyDescent="0.25">
      <c r="A1623" s="899"/>
      <c r="B1623" s="899"/>
      <c r="C1623" s="899"/>
      <c r="D1623" s="899"/>
      <c r="E1623" s="899"/>
    </row>
    <row r="1624" spans="1:5" x14ac:dyDescent="0.25">
      <c r="A1624" s="899"/>
      <c r="B1624" s="899"/>
      <c r="C1624" s="899"/>
      <c r="D1624" s="899"/>
      <c r="E1624" s="899"/>
    </row>
    <row r="1625" spans="1:5" x14ac:dyDescent="0.25">
      <c r="A1625" s="899"/>
      <c r="B1625" s="899"/>
      <c r="C1625" s="899"/>
      <c r="D1625" s="899"/>
      <c r="E1625" s="899"/>
    </row>
    <row r="1626" spans="1:5" x14ac:dyDescent="0.25">
      <c r="A1626" s="899"/>
      <c r="B1626" s="899"/>
      <c r="C1626" s="899"/>
      <c r="D1626" s="899"/>
      <c r="E1626" s="899"/>
    </row>
    <row r="1627" spans="1:5" x14ac:dyDescent="0.25">
      <c r="A1627" s="899"/>
      <c r="B1627" s="899"/>
      <c r="C1627" s="899"/>
      <c r="D1627" s="899"/>
      <c r="E1627" s="899"/>
    </row>
    <row r="1628" spans="1:5" x14ac:dyDescent="0.25">
      <c r="A1628" s="899"/>
      <c r="B1628" s="899"/>
      <c r="C1628" s="899"/>
      <c r="D1628" s="899"/>
      <c r="E1628" s="899"/>
    </row>
    <row r="1629" spans="1:5" x14ac:dyDescent="0.25">
      <c r="A1629" s="899"/>
      <c r="B1629" s="899"/>
      <c r="C1629" s="899"/>
      <c r="D1629" s="899"/>
      <c r="E1629" s="899"/>
    </row>
    <row r="1630" spans="1:5" x14ac:dyDescent="0.25">
      <c r="A1630" s="899"/>
      <c r="B1630" s="899"/>
      <c r="C1630" s="899"/>
      <c r="D1630" s="899"/>
      <c r="E1630" s="899"/>
    </row>
    <row r="1631" spans="1:5" x14ac:dyDescent="0.25">
      <c r="A1631" s="899"/>
      <c r="B1631" s="899"/>
      <c r="C1631" s="899"/>
      <c r="D1631" s="899"/>
      <c r="E1631" s="899"/>
    </row>
    <row r="1632" spans="1:5" x14ac:dyDescent="0.25">
      <c r="A1632" s="899"/>
      <c r="B1632" s="899"/>
      <c r="C1632" s="899"/>
      <c r="D1632" s="899"/>
      <c r="E1632" s="899"/>
    </row>
    <row r="1633" spans="1:5" x14ac:dyDescent="0.25">
      <c r="A1633" s="899"/>
      <c r="B1633" s="899"/>
      <c r="C1633" s="899"/>
      <c r="D1633" s="899"/>
      <c r="E1633" s="899"/>
    </row>
    <row r="1634" spans="1:5" x14ac:dyDescent="0.25">
      <c r="A1634" s="899"/>
      <c r="B1634" s="899"/>
      <c r="C1634" s="899"/>
      <c r="D1634" s="899"/>
      <c r="E1634" s="899"/>
    </row>
    <row r="1635" spans="1:5" x14ac:dyDescent="0.25">
      <c r="A1635" s="899"/>
      <c r="B1635" s="899"/>
      <c r="C1635" s="899"/>
      <c r="D1635" s="899"/>
      <c r="E1635" s="899"/>
    </row>
    <row r="1636" spans="1:5" x14ac:dyDescent="0.25">
      <c r="A1636" s="899"/>
      <c r="B1636" s="899"/>
      <c r="C1636" s="899"/>
      <c r="D1636" s="899"/>
      <c r="E1636" s="899"/>
    </row>
    <row r="1637" spans="1:5" x14ac:dyDescent="0.25">
      <c r="A1637" s="899"/>
      <c r="B1637" s="899"/>
      <c r="C1637" s="899"/>
      <c r="D1637" s="899"/>
      <c r="E1637" s="899"/>
    </row>
    <row r="1638" spans="1:5" x14ac:dyDescent="0.25">
      <c r="A1638" s="899"/>
      <c r="B1638" s="899"/>
      <c r="C1638" s="899"/>
      <c r="D1638" s="899"/>
      <c r="E1638" s="899"/>
    </row>
    <row r="1639" spans="1:5" x14ac:dyDescent="0.25">
      <c r="A1639" s="899"/>
      <c r="B1639" s="899"/>
      <c r="C1639" s="899"/>
      <c r="D1639" s="899"/>
      <c r="E1639" s="899"/>
    </row>
    <row r="1640" spans="1:5" x14ac:dyDescent="0.25">
      <c r="A1640" s="899"/>
      <c r="B1640" s="899"/>
      <c r="C1640" s="899"/>
      <c r="D1640" s="899"/>
      <c r="E1640" s="899"/>
    </row>
    <row r="1641" spans="1:5" x14ac:dyDescent="0.25">
      <c r="A1641" s="899"/>
      <c r="B1641" s="899"/>
      <c r="C1641" s="899"/>
      <c r="D1641" s="899"/>
      <c r="E1641" s="899"/>
    </row>
    <row r="1642" spans="1:5" x14ac:dyDescent="0.25">
      <c r="A1642" s="899"/>
      <c r="B1642" s="899"/>
      <c r="C1642" s="899"/>
      <c r="D1642" s="899"/>
      <c r="E1642" s="899"/>
    </row>
    <row r="1643" spans="1:5" x14ac:dyDescent="0.25">
      <c r="A1643" s="899"/>
      <c r="B1643" s="899"/>
      <c r="C1643" s="899"/>
      <c r="D1643" s="899"/>
      <c r="E1643" s="899"/>
    </row>
    <row r="1644" spans="1:5" x14ac:dyDescent="0.25">
      <c r="A1644" s="899"/>
      <c r="B1644" s="899"/>
      <c r="C1644" s="899"/>
      <c r="D1644" s="899"/>
      <c r="E1644" s="899"/>
    </row>
    <row r="1645" spans="1:5" x14ac:dyDescent="0.25">
      <c r="A1645" s="899"/>
      <c r="B1645" s="899"/>
      <c r="C1645" s="899"/>
      <c r="D1645" s="899"/>
      <c r="E1645" s="899"/>
    </row>
    <row r="1646" spans="1:5" x14ac:dyDescent="0.25">
      <c r="A1646" s="899"/>
      <c r="B1646" s="899"/>
      <c r="C1646" s="899"/>
      <c r="D1646" s="899"/>
      <c r="E1646" s="899"/>
    </row>
    <row r="1647" spans="1:5" x14ac:dyDescent="0.25">
      <c r="A1647" s="899"/>
      <c r="B1647" s="899"/>
      <c r="C1647" s="899"/>
      <c r="D1647" s="899"/>
      <c r="E1647" s="899"/>
    </row>
    <row r="1648" spans="1:5" x14ac:dyDescent="0.25">
      <c r="A1648" s="899"/>
      <c r="B1648" s="899"/>
      <c r="C1648" s="899"/>
      <c r="D1648" s="899"/>
      <c r="E1648" s="899"/>
    </row>
    <row r="1649" spans="1:5" x14ac:dyDescent="0.25">
      <c r="A1649" s="899"/>
      <c r="B1649" s="899"/>
      <c r="C1649" s="899"/>
      <c r="D1649" s="899"/>
      <c r="E1649" s="899"/>
    </row>
    <row r="1650" spans="1:5" x14ac:dyDescent="0.25">
      <c r="A1650" s="899"/>
      <c r="B1650" s="899"/>
      <c r="C1650" s="899"/>
      <c r="D1650" s="899"/>
      <c r="E1650" s="899"/>
    </row>
    <row r="1651" spans="1:5" x14ac:dyDescent="0.25">
      <c r="A1651" s="899"/>
      <c r="B1651" s="899"/>
      <c r="C1651" s="899"/>
      <c r="D1651" s="899"/>
      <c r="E1651" s="899"/>
    </row>
    <row r="1652" spans="1:5" x14ac:dyDescent="0.25">
      <c r="A1652" s="899"/>
      <c r="B1652" s="899"/>
      <c r="C1652" s="899"/>
      <c r="D1652" s="899"/>
      <c r="E1652" s="899"/>
    </row>
    <row r="1653" spans="1:5" x14ac:dyDescent="0.25">
      <c r="A1653" s="899"/>
      <c r="B1653" s="899"/>
      <c r="C1653" s="899"/>
      <c r="D1653" s="899"/>
      <c r="E1653" s="899"/>
    </row>
    <row r="1654" spans="1:5" x14ac:dyDescent="0.25">
      <c r="A1654" s="899"/>
      <c r="B1654" s="899"/>
      <c r="C1654" s="899"/>
      <c r="D1654" s="899"/>
      <c r="E1654" s="899"/>
    </row>
    <row r="1655" spans="1:5" x14ac:dyDescent="0.25">
      <c r="A1655" s="899"/>
      <c r="B1655" s="899"/>
      <c r="C1655" s="899"/>
      <c r="D1655" s="899"/>
      <c r="E1655" s="899"/>
    </row>
    <row r="1656" spans="1:5" x14ac:dyDescent="0.25">
      <c r="A1656" s="899"/>
      <c r="B1656" s="899"/>
      <c r="C1656" s="899"/>
      <c r="D1656" s="899"/>
      <c r="E1656" s="899"/>
    </row>
    <row r="1657" spans="1:5" x14ac:dyDescent="0.25">
      <c r="A1657" s="899"/>
      <c r="B1657" s="899"/>
      <c r="C1657" s="899"/>
      <c r="D1657" s="899"/>
      <c r="E1657" s="899"/>
    </row>
    <row r="1658" spans="1:5" x14ac:dyDescent="0.25">
      <c r="A1658" s="899"/>
      <c r="B1658" s="899"/>
      <c r="C1658" s="899"/>
      <c r="D1658" s="899"/>
      <c r="E1658" s="899"/>
    </row>
    <row r="1659" spans="1:5" x14ac:dyDescent="0.25">
      <c r="A1659" s="899"/>
      <c r="B1659" s="899"/>
      <c r="C1659" s="899"/>
      <c r="D1659" s="899"/>
      <c r="E1659" s="899"/>
    </row>
    <row r="1660" spans="1:5" x14ac:dyDescent="0.25">
      <c r="A1660" s="899"/>
      <c r="B1660" s="899"/>
      <c r="C1660" s="899"/>
      <c r="D1660" s="899"/>
      <c r="E1660" s="899"/>
    </row>
    <row r="1661" spans="1:5" x14ac:dyDescent="0.25">
      <c r="A1661" s="899"/>
      <c r="B1661" s="899"/>
      <c r="C1661" s="899"/>
      <c r="D1661" s="899"/>
      <c r="E1661" s="899"/>
    </row>
    <row r="1662" spans="1:5" x14ac:dyDescent="0.25">
      <c r="A1662" s="899"/>
      <c r="B1662" s="899"/>
      <c r="C1662" s="899"/>
      <c r="D1662" s="899"/>
      <c r="E1662" s="899"/>
    </row>
    <row r="1663" spans="1:5" x14ac:dyDescent="0.25">
      <c r="A1663" s="899"/>
      <c r="B1663" s="899"/>
      <c r="C1663" s="899"/>
      <c r="D1663" s="899"/>
      <c r="E1663" s="899"/>
    </row>
    <row r="1664" spans="1:5" x14ac:dyDescent="0.25">
      <c r="A1664" s="899"/>
      <c r="B1664" s="899"/>
      <c r="C1664" s="899"/>
      <c r="D1664" s="899"/>
      <c r="E1664" s="899"/>
    </row>
    <row r="1665" spans="1:5" x14ac:dyDescent="0.25">
      <c r="A1665" s="899"/>
      <c r="B1665" s="899"/>
      <c r="C1665" s="899"/>
      <c r="D1665" s="899"/>
      <c r="E1665" s="899"/>
    </row>
    <row r="1666" spans="1:5" x14ac:dyDescent="0.25">
      <c r="A1666" s="899"/>
      <c r="B1666" s="899"/>
      <c r="C1666" s="899"/>
      <c r="D1666" s="899"/>
      <c r="E1666" s="899"/>
    </row>
    <row r="1667" spans="1:5" x14ac:dyDescent="0.25">
      <c r="A1667" s="899"/>
      <c r="B1667" s="899"/>
      <c r="C1667" s="899"/>
      <c r="D1667" s="899"/>
      <c r="E1667" s="899"/>
    </row>
    <row r="1668" spans="1:5" x14ac:dyDescent="0.25">
      <c r="A1668" s="899"/>
      <c r="B1668" s="899"/>
      <c r="C1668" s="899"/>
      <c r="D1668" s="899"/>
      <c r="E1668" s="899"/>
    </row>
    <row r="1669" spans="1:5" x14ac:dyDescent="0.25">
      <c r="A1669" s="899"/>
      <c r="B1669" s="899"/>
      <c r="C1669" s="899"/>
      <c r="D1669" s="899"/>
      <c r="E1669" s="899"/>
    </row>
    <row r="1670" spans="1:5" x14ac:dyDescent="0.25">
      <c r="A1670" s="899"/>
      <c r="B1670" s="899"/>
      <c r="C1670" s="899"/>
      <c r="D1670" s="899"/>
      <c r="E1670" s="899"/>
    </row>
    <row r="1671" spans="1:5" x14ac:dyDescent="0.25">
      <c r="A1671" s="899"/>
      <c r="B1671" s="899"/>
      <c r="C1671" s="899"/>
      <c r="D1671" s="899"/>
      <c r="E1671" s="899"/>
    </row>
    <row r="1672" spans="1:5" x14ac:dyDescent="0.25">
      <c r="A1672" s="899"/>
      <c r="B1672" s="899"/>
      <c r="C1672" s="899"/>
      <c r="D1672" s="899"/>
      <c r="E1672" s="899"/>
    </row>
    <row r="1673" spans="1:5" x14ac:dyDescent="0.25">
      <c r="A1673" s="899"/>
      <c r="B1673" s="899"/>
      <c r="C1673" s="899"/>
      <c r="D1673" s="899"/>
      <c r="E1673" s="899"/>
    </row>
    <row r="1674" spans="1:5" x14ac:dyDescent="0.25">
      <c r="A1674" s="899"/>
      <c r="B1674" s="899"/>
      <c r="C1674" s="899"/>
      <c r="D1674" s="899"/>
      <c r="E1674" s="899"/>
    </row>
    <row r="1675" spans="1:5" x14ac:dyDescent="0.25">
      <c r="A1675" s="899"/>
      <c r="B1675" s="899"/>
      <c r="C1675" s="899"/>
      <c r="D1675" s="899"/>
      <c r="E1675" s="899"/>
    </row>
    <row r="1676" spans="1:5" x14ac:dyDescent="0.25">
      <c r="A1676" s="899"/>
      <c r="B1676" s="899"/>
      <c r="C1676" s="899"/>
      <c r="D1676" s="899"/>
      <c r="E1676" s="899"/>
    </row>
    <row r="1677" spans="1:5" x14ac:dyDescent="0.25">
      <c r="A1677" s="899"/>
      <c r="B1677" s="899"/>
      <c r="C1677" s="899"/>
      <c r="D1677" s="899"/>
      <c r="E1677" s="899"/>
    </row>
    <row r="1678" spans="1:5" x14ac:dyDescent="0.25">
      <c r="A1678" s="899"/>
      <c r="B1678" s="899"/>
      <c r="C1678" s="899"/>
      <c r="D1678" s="899"/>
      <c r="E1678" s="899"/>
    </row>
    <row r="1679" spans="1:5" x14ac:dyDescent="0.25">
      <c r="A1679" s="899"/>
      <c r="B1679" s="899"/>
      <c r="C1679" s="899"/>
      <c r="D1679" s="899"/>
      <c r="E1679" s="899"/>
    </row>
    <row r="1680" spans="1:5" x14ac:dyDescent="0.25">
      <c r="A1680" s="899"/>
      <c r="B1680" s="899"/>
      <c r="C1680" s="899"/>
      <c r="D1680" s="899"/>
      <c r="E1680" s="899"/>
    </row>
    <row r="1681" spans="1:5" x14ac:dyDescent="0.25">
      <c r="A1681" s="899"/>
      <c r="B1681" s="899"/>
      <c r="C1681" s="899"/>
      <c r="D1681" s="899"/>
      <c r="E1681" s="899"/>
    </row>
    <row r="1682" spans="1:5" x14ac:dyDescent="0.25">
      <c r="A1682" s="899"/>
      <c r="B1682" s="899"/>
      <c r="C1682" s="899"/>
      <c r="D1682" s="899"/>
      <c r="E1682" s="899"/>
    </row>
    <row r="1683" spans="1:5" x14ac:dyDescent="0.25">
      <c r="A1683" s="899"/>
      <c r="B1683" s="899"/>
      <c r="C1683" s="899"/>
      <c r="D1683" s="899"/>
      <c r="E1683" s="899"/>
    </row>
    <row r="1684" spans="1:5" x14ac:dyDescent="0.25">
      <c r="A1684" s="899"/>
      <c r="B1684" s="899"/>
      <c r="C1684" s="899"/>
      <c r="D1684" s="899"/>
      <c r="E1684" s="899"/>
    </row>
    <row r="1685" spans="1:5" x14ac:dyDescent="0.25">
      <c r="A1685" s="899"/>
      <c r="B1685" s="899"/>
      <c r="C1685" s="899"/>
      <c r="D1685" s="899"/>
      <c r="E1685" s="899"/>
    </row>
    <row r="1686" spans="1:5" x14ac:dyDescent="0.25">
      <c r="A1686" s="899"/>
      <c r="B1686" s="899"/>
      <c r="C1686" s="899"/>
      <c r="D1686" s="899"/>
      <c r="E1686" s="899"/>
    </row>
    <row r="1687" spans="1:5" x14ac:dyDescent="0.25">
      <c r="A1687" s="899"/>
      <c r="B1687" s="899"/>
      <c r="C1687" s="899"/>
      <c r="D1687" s="899"/>
      <c r="E1687" s="899"/>
    </row>
    <row r="1688" spans="1:5" x14ac:dyDescent="0.25">
      <c r="A1688" s="899"/>
      <c r="B1688" s="899"/>
      <c r="C1688" s="899"/>
      <c r="D1688" s="899"/>
      <c r="E1688" s="899"/>
    </row>
    <row r="1689" spans="1:5" x14ac:dyDescent="0.25">
      <c r="A1689" s="899"/>
      <c r="B1689" s="899"/>
      <c r="C1689" s="899"/>
      <c r="D1689" s="899"/>
      <c r="E1689" s="899"/>
    </row>
    <row r="1690" spans="1:5" x14ac:dyDescent="0.25">
      <c r="A1690" s="899"/>
      <c r="B1690" s="899"/>
      <c r="C1690" s="899"/>
      <c r="D1690" s="899"/>
      <c r="E1690" s="899"/>
    </row>
    <row r="1691" spans="1:5" x14ac:dyDescent="0.25">
      <c r="A1691" s="899"/>
      <c r="B1691" s="899"/>
      <c r="C1691" s="899"/>
      <c r="D1691" s="899"/>
      <c r="E1691" s="899"/>
    </row>
    <row r="1692" spans="1:5" x14ac:dyDescent="0.25">
      <c r="A1692" s="899"/>
      <c r="B1692" s="899"/>
      <c r="C1692" s="899"/>
      <c r="D1692" s="899"/>
      <c r="E1692" s="899"/>
    </row>
    <row r="1693" spans="1:5" x14ac:dyDescent="0.25">
      <c r="A1693" s="899"/>
      <c r="B1693" s="899"/>
      <c r="C1693" s="899"/>
      <c r="D1693" s="899"/>
      <c r="E1693" s="899"/>
    </row>
    <row r="1694" spans="1:5" x14ac:dyDescent="0.25">
      <c r="A1694" s="899"/>
      <c r="B1694" s="899"/>
      <c r="C1694" s="899"/>
      <c r="D1694" s="899"/>
      <c r="E1694" s="899"/>
    </row>
    <row r="1695" spans="1:5" x14ac:dyDescent="0.25">
      <c r="A1695" s="899"/>
      <c r="B1695" s="899"/>
      <c r="C1695" s="899"/>
      <c r="D1695" s="899"/>
      <c r="E1695" s="899"/>
    </row>
    <row r="1696" spans="1:5" x14ac:dyDescent="0.25">
      <c r="A1696" s="899"/>
      <c r="B1696" s="899"/>
      <c r="C1696" s="899"/>
      <c r="D1696" s="899"/>
      <c r="E1696" s="899"/>
    </row>
    <row r="1697" spans="1:5" x14ac:dyDescent="0.25">
      <c r="A1697" s="899"/>
      <c r="B1697" s="899"/>
      <c r="C1697" s="899"/>
      <c r="D1697" s="899"/>
      <c r="E1697" s="899"/>
    </row>
    <row r="1698" spans="1:5" x14ac:dyDescent="0.25">
      <c r="A1698" s="899"/>
      <c r="B1698" s="899"/>
      <c r="C1698" s="899"/>
      <c r="D1698" s="899"/>
      <c r="E1698" s="899"/>
    </row>
    <row r="1699" spans="1:5" x14ac:dyDescent="0.25">
      <c r="A1699" s="899"/>
      <c r="B1699" s="899"/>
      <c r="C1699" s="899"/>
      <c r="D1699" s="899"/>
      <c r="E1699" s="899"/>
    </row>
    <row r="1700" spans="1:5" x14ac:dyDescent="0.25">
      <c r="A1700" s="899"/>
      <c r="B1700" s="899"/>
      <c r="C1700" s="899"/>
      <c r="D1700" s="899"/>
      <c r="E1700" s="899"/>
    </row>
    <row r="1701" spans="1:5" x14ac:dyDescent="0.25">
      <c r="A1701" s="899"/>
      <c r="B1701" s="899"/>
      <c r="C1701" s="899"/>
      <c r="D1701" s="899"/>
      <c r="E1701" s="899"/>
    </row>
    <row r="1702" spans="1:5" x14ac:dyDescent="0.25">
      <c r="A1702" s="899"/>
      <c r="B1702" s="899"/>
      <c r="C1702" s="899"/>
      <c r="D1702" s="899"/>
      <c r="E1702" s="899"/>
    </row>
    <row r="1703" spans="1:5" x14ac:dyDescent="0.25">
      <c r="A1703" s="899"/>
      <c r="B1703" s="899"/>
      <c r="C1703" s="899"/>
      <c r="D1703" s="899"/>
      <c r="E1703" s="899"/>
    </row>
  </sheetData>
  <sheetProtection selectLockedCells="1" selectUnlockedCells="1"/>
  <pageMargins left="0.75" right="0.75" top="1" bottom="1" header="0.5" footer="0.5"/>
  <pageSetup paperSize="9" firstPageNumber="0" orientation="portrait" horizontalDpi="300" verticalDpi="30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3"/>
  <sheetViews>
    <sheetView showGridLines="0" topLeftCell="D142" workbookViewId="0">
      <selection activeCell="N169" sqref="N169"/>
    </sheetView>
  </sheetViews>
  <sheetFormatPr defaultRowHeight="12.75" x14ac:dyDescent="0.2"/>
  <cols>
    <col min="1" max="1" width="9" style="130" hidden="1" customWidth="1"/>
    <col min="2" max="2" width="106.42578125" style="131" customWidth="1"/>
    <col min="3" max="4" width="16.85546875" style="132" customWidth="1"/>
    <col min="5" max="5" width="17.5703125" style="133" customWidth="1"/>
    <col min="6" max="6" width="24.7109375" style="133" customWidth="1"/>
    <col min="7" max="8" width="16.85546875" style="133" customWidth="1"/>
    <col min="9" max="9" width="14.5703125" style="133" customWidth="1"/>
    <col min="10" max="10" width="16.85546875" style="133" customWidth="1"/>
    <col min="11" max="11" width="3.42578125" style="133" customWidth="1"/>
    <col min="12" max="13" width="16.140625" style="133" customWidth="1"/>
    <col min="14" max="15" width="16.85546875" style="133" customWidth="1"/>
    <col min="16" max="16" width="15.28515625" style="133" customWidth="1"/>
    <col min="17" max="17" width="13" style="133" customWidth="1"/>
    <col min="18" max="19" width="9.140625" style="133"/>
    <col min="20" max="16384" width="9.140625" style="131"/>
  </cols>
  <sheetData>
    <row r="1" spans="1:33" ht="15.75" x14ac:dyDescent="0.25">
      <c r="B1" s="134" t="str">
        <f>"Stato Patrimoniale (D.Lgs. 23/6/2011 - n. 118) Anno: "&amp;Info!B3</f>
        <v>Stato Patrimoniale (D.Lgs. 23/6/2011 - n. 118) Anno: 2020</v>
      </c>
      <c r="I1" s="133">
        <v>1352899</v>
      </c>
      <c r="J1" s="133">
        <f>H1-I1</f>
        <v>-1352899</v>
      </c>
    </row>
    <row r="2" spans="1:33" ht="19.5" x14ac:dyDescent="0.2">
      <c r="B2" s="135" t="s">
        <v>2759</v>
      </c>
    </row>
    <row r="3" spans="1:33" ht="15.75" x14ac:dyDescent="0.2">
      <c r="B3" s="136" t="str">
        <f>+Info!B2&amp;"  "&amp;+Info!C2</f>
        <v>724  ASST DI CREMONA</v>
      </c>
    </row>
    <row r="4" spans="1:33" ht="19.5" x14ac:dyDescent="0.2">
      <c r="B4" s="137" t="str">
        <f>"Dati in €- Anno: "&amp;Info!B3&amp;" -  "&amp;Info!B5</f>
        <v>Dati in €- Anno: 2020 -  Consuntivo</v>
      </c>
    </row>
    <row r="5" spans="1:33" ht="57.75" customHeight="1" x14ac:dyDescent="0.25">
      <c r="A5" s="138" t="s">
        <v>2760</v>
      </c>
      <c r="B5" s="139" t="s">
        <v>2761</v>
      </c>
      <c r="C5" s="140" t="str">
        <f>"Bilancio Consuntivo - Totale "&amp;Info!B3-1</f>
        <v>Bilancio Consuntivo - Totale 2019</v>
      </c>
      <c r="D5" s="140" t="str">
        <f>"Bilancio attività sanitaria - Consuntivo "&amp;Info!B3-1</f>
        <v>Bilancio attività sanitaria - Consuntivo 2019</v>
      </c>
      <c r="E5" s="140" t="str">
        <f>"Bilancio attività ricerca - Consuntivo "&amp;Info!B3-1</f>
        <v>Bilancio attività ricerca - Consuntivo 2019</v>
      </c>
      <c r="F5" s="140" t="str">
        <f>"Bilancio  attività socio assistenziale - Consuntivo "&amp;Info!B3-1</f>
        <v>Bilancio  attività socio assistenziale - Consuntivo 2019</v>
      </c>
      <c r="G5" s="141" t="str">
        <f>"Bilancio Consuntivo -Totale "&amp;Info!B3</f>
        <v>Bilancio Consuntivo -Totale 2020</v>
      </c>
      <c r="H5" s="141" t="str">
        <f>"Bilancio attività sanitaria - Consuntivo "&amp;Info!B3</f>
        <v>Bilancio attività sanitaria - Consuntivo 2020</v>
      </c>
      <c r="I5" s="141" t="str">
        <f>"Bilancio attività ricerca - Consuntivo "&amp;Info!B3</f>
        <v>Bilancio attività ricerca - Consuntivo 2020</v>
      </c>
      <c r="J5" s="141" t="str">
        <f>"Bilancio  attività socio assistenziale - Consuntivo "&amp;Info!B3</f>
        <v>Bilancio  attività socio assistenziale - Consuntivo 2020</v>
      </c>
      <c r="N5" s="140" t="str">
        <f>+C5</f>
        <v>Bilancio Consuntivo - Totale 2019</v>
      </c>
      <c r="O5" s="141" t="str">
        <f>+G5</f>
        <v>Bilancio Consuntivo -Totale 2020</v>
      </c>
      <c r="P5" s="142" t="str">
        <f>"Variazioni "&amp;Info!B3&amp;"/"&amp;Info!B3-1&amp;" Importo"</f>
        <v>Variazioni 2020/2019 Importo</v>
      </c>
      <c r="Q5" s="142" t="str">
        <f>"Variazioni "&amp;Info!B3&amp;"/"&amp;Info!B3-1&amp;"        %"</f>
        <v>Variazioni 2020/2019        %</v>
      </c>
    </row>
    <row r="6" spans="1:33" x14ac:dyDescent="0.2">
      <c r="A6" s="130" t="s">
        <v>2762</v>
      </c>
      <c r="B6" s="143" t="s">
        <v>2763</v>
      </c>
      <c r="C6" s="144"/>
      <c r="D6" s="144"/>
      <c r="E6" s="144"/>
      <c r="F6" s="144"/>
      <c r="G6" s="144"/>
      <c r="H6" s="144"/>
      <c r="I6" s="144"/>
      <c r="J6" s="144"/>
      <c r="K6" s="145"/>
      <c r="L6" s="145"/>
      <c r="M6" s="145"/>
      <c r="N6" s="144"/>
      <c r="O6" s="144"/>
      <c r="P6" s="144"/>
      <c r="Q6" s="144"/>
      <c r="R6" s="145"/>
      <c r="S6" s="145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</row>
    <row r="7" spans="1:33" x14ac:dyDescent="0.2">
      <c r="A7" s="130" t="s">
        <v>2764</v>
      </c>
      <c r="B7" s="147" t="s">
        <v>115</v>
      </c>
      <c r="C7" s="148"/>
      <c r="D7" s="148"/>
      <c r="E7" s="148"/>
      <c r="F7" s="148"/>
      <c r="G7" s="148"/>
      <c r="H7" s="148"/>
      <c r="I7" s="148"/>
      <c r="J7" s="148"/>
      <c r="K7" s="145"/>
      <c r="L7" s="145"/>
      <c r="M7" s="145"/>
      <c r="N7" s="148"/>
      <c r="O7" s="148"/>
      <c r="P7" s="148"/>
      <c r="Q7" s="148"/>
      <c r="R7" s="145"/>
      <c r="S7" s="145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</row>
    <row r="8" spans="1:33" x14ac:dyDescent="0.2">
      <c r="A8" s="130" t="s">
        <v>2765</v>
      </c>
      <c r="B8" s="149" t="s">
        <v>2766</v>
      </c>
      <c r="C8" s="150">
        <f t="shared" ref="C8:C37" ca="1" si="0">SUM(D8:F8)</f>
        <v>1505977</v>
      </c>
      <c r="D8" s="150">
        <f ca="1">SUM(D9:D13)</f>
        <v>1505977</v>
      </c>
      <c r="E8" s="150">
        <f ca="1">SUM(E9:E13)</f>
        <v>0</v>
      </c>
      <c r="F8" s="150">
        <f ca="1">SUM(F9:F13)</f>
        <v>0</v>
      </c>
      <c r="G8" s="150">
        <f t="shared" ref="G8:G37" ca="1" si="1">SUM(H8:J8)</f>
        <v>1902992</v>
      </c>
      <c r="H8" s="150">
        <f ca="1">SUM(H9:H13)</f>
        <v>1902992</v>
      </c>
      <c r="I8" s="150">
        <f ca="1">SUM(I9:I13)</f>
        <v>0</v>
      </c>
      <c r="J8" s="150">
        <f ca="1">SUM(J9:J13)</f>
        <v>0</v>
      </c>
      <c r="K8" s="145"/>
      <c r="L8" s="145"/>
      <c r="M8" s="145"/>
      <c r="N8" s="150">
        <f t="shared" ref="N8:N37" ca="1" si="2">+C8</f>
        <v>1505977</v>
      </c>
      <c r="O8" s="150">
        <f t="shared" ref="O8:O37" ca="1" si="3">+G8</f>
        <v>1902992</v>
      </c>
      <c r="P8" s="150">
        <f t="shared" ref="P8:P37" ca="1" si="4">+O8-N8</f>
        <v>397015</v>
      </c>
      <c r="Q8" s="151">
        <f t="shared" ref="Q8:Q37" ca="1" si="5">IF(N8&lt;&gt;0,+P8/N8,0)</f>
        <v>0.26362620411865517</v>
      </c>
      <c r="R8" s="145"/>
      <c r="S8" s="145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</row>
    <row r="9" spans="1:33" x14ac:dyDescent="0.2">
      <c r="A9" s="130" t="s">
        <v>121</v>
      </c>
      <c r="B9" s="152" t="s">
        <v>2767</v>
      </c>
      <c r="C9" s="153">
        <f t="shared" ca="1" si="0"/>
        <v>0</v>
      </c>
      <c r="D9" s="153">
        <f ca="1">SUMIF(SAN,SP!$A9,SAN_ANNO_P)</f>
        <v>0</v>
      </c>
      <c r="E9" s="153">
        <f ca="1">SUMIF(RIC,SP!$A9,RIC_ANNO_P)</f>
        <v>0</v>
      </c>
      <c r="F9" s="153">
        <f ca="1">SUMIF(SOC,SP!$A9,SOC_ANNO_P)</f>
        <v>0</v>
      </c>
      <c r="G9" s="153">
        <f t="shared" ca="1" si="1"/>
        <v>0</v>
      </c>
      <c r="H9" s="153">
        <f ca="1">SUMIF(SAN,SP!$A9,SAN_ANNO_C)</f>
        <v>0</v>
      </c>
      <c r="I9" s="153">
        <f ca="1">SUMIF(RIC,SP!$A9,RIC_ANNO_C)</f>
        <v>0</v>
      </c>
      <c r="J9" s="153">
        <f ca="1">SUMIF(SOC,SP!$A9,SOC_ANNO_C)</f>
        <v>0</v>
      </c>
      <c r="K9" s="145"/>
      <c r="L9" s="145"/>
      <c r="M9" s="145"/>
      <c r="N9" s="153">
        <f t="shared" ca="1" si="2"/>
        <v>0</v>
      </c>
      <c r="O9" s="153">
        <f t="shared" ca="1" si="3"/>
        <v>0</v>
      </c>
      <c r="P9" s="153">
        <f t="shared" ca="1" si="4"/>
        <v>0</v>
      </c>
      <c r="Q9" s="154">
        <f t="shared" ca="1" si="5"/>
        <v>0</v>
      </c>
      <c r="R9" s="145"/>
      <c r="S9" s="145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</row>
    <row r="10" spans="1:33" x14ac:dyDescent="0.2">
      <c r="A10" s="130" t="s">
        <v>147</v>
      </c>
      <c r="B10" s="152" t="s">
        <v>2768</v>
      </c>
      <c r="C10" s="153">
        <f t="shared" ca="1" si="0"/>
        <v>0</v>
      </c>
      <c r="D10" s="153">
        <f ca="1">SUMIF(SAN,SP!$A10,SAN_ANNO_P)</f>
        <v>0</v>
      </c>
      <c r="E10" s="153">
        <f ca="1">SUMIF(RIC,SP!$A10,RIC_ANNO_P)</f>
        <v>0</v>
      </c>
      <c r="F10" s="153">
        <f ca="1">SUMIF(SOC,SP!$A10,SOC_ANNO_P)</f>
        <v>0</v>
      </c>
      <c r="G10" s="153">
        <f t="shared" ca="1" si="1"/>
        <v>0</v>
      </c>
      <c r="H10" s="153">
        <f ca="1">SUMIF(SAN,SP!$A10,SAN_ANNO_C)</f>
        <v>0</v>
      </c>
      <c r="I10" s="153">
        <f ca="1">SUMIF(RIC,SP!$A10,RIC_ANNO_C)</f>
        <v>0</v>
      </c>
      <c r="J10" s="153">
        <f ca="1">SUMIF(SOC,SP!$A10,SOC_ANNO_C)</f>
        <v>0</v>
      </c>
      <c r="K10" s="145"/>
      <c r="L10" s="145"/>
      <c r="M10" s="145"/>
      <c r="N10" s="153">
        <f t="shared" ca="1" si="2"/>
        <v>0</v>
      </c>
      <c r="O10" s="153">
        <f t="shared" ca="1" si="3"/>
        <v>0</v>
      </c>
      <c r="P10" s="153">
        <f t="shared" ca="1" si="4"/>
        <v>0</v>
      </c>
      <c r="Q10" s="154">
        <f t="shared" ca="1" si="5"/>
        <v>0</v>
      </c>
      <c r="R10" s="145"/>
      <c r="S10" s="145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</row>
    <row r="11" spans="1:33" x14ac:dyDescent="0.2">
      <c r="A11" s="130" t="s">
        <v>173</v>
      </c>
      <c r="B11" s="152" t="s">
        <v>2769</v>
      </c>
      <c r="C11" s="153">
        <f t="shared" ca="1" si="0"/>
        <v>1622</v>
      </c>
      <c r="D11" s="153">
        <f ca="1">SUMIF(SAN,SP!$A11,SAN_ANNO_P)</f>
        <v>1622</v>
      </c>
      <c r="E11" s="153">
        <f ca="1">SUMIF(RIC,SP!$A11,RIC_ANNO_P)</f>
        <v>0</v>
      </c>
      <c r="F11" s="153">
        <f ca="1">SUMIF(SOC,SP!$A11,SOC_ANNO_P)</f>
        <v>0</v>
      </c>
      <c r="G11" s="153">
        <f t="shared" ca="1" si="1"/>
        <v>0</v>
      </c>
      <c r="H11" s="153">
        <f ca="1">SUMIF(SAN,SP!$A11,SAN_ANNO_C)</f>
        <v>0</v>
      </c>
      <c r="I11" s="153">
        <f ca="1">SUMIF(RIC,SP!$A11,RIC_ANNO_C)</f>
        <v>0</v>
      </c>
      <c r="J11" s="153">
        <f ca="1">SUMIF(SOC,SP!$A11,SOC_ANNO_C)</f>
        <v>0</v>
      </c>
      <c r="K11" s="145"/>
      <c r="L11" s="145"/>
      <c r="M11" s="145"/>
      <c r="N11" s="153">
        <f t="shared" ca="1" si="2"/>
        <v>1622</v>
      </c>
      <c r="O11" s="153">
        <f t="shared" ca="1" si="3"/>
        <v>0</v>
      </c>
      <c r="P11" s="153">
        <f t="shared" ca="1" si="4"/>
        <v>-1622</v>
      </c>
      <c r="Q11" s="154">
        <f t="shared" ca="1" si="5"/>
        <v>-1</v>
      </c>
      <c r="R11" s="145"/>
      <c r="S11" s="145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</row>
    <row r="12" spans="1:33" x14ac:dyDescent="0.2">
      <c r="A12" s="155" t="s">
        <v>245</v>
      </c>
      <c r="B12" s="152" t="s">
        <v>2770</v>
      </c>
      <c r="C12" s="153">
        <f t="shared" ca="1" si="0"/>
        <v>1247582</v>
      </c>
      <c r="D12" s="153">
        <f ca="1">SUMIF(SAN,SP!$A12,SAN_ANNO_P)</f>
        <v>1247582</v>
      </c>
      <c r="E12" s="153">
        <f ca="1">SUMIF(RIC,SP!$A12,RIC_ANNO_P)</f>
        <v>0</v>
      </c>
      <c r="F12" s="153">
        <f ca="1">SUMIF(SOC,SP!$A12,SOC_ANNO_P)</f>
        <v>0</v>
      </c>
      <c r="G12" s="153">
        <f t="shared" ca="1" si="1"/>
        <v>541999</v>
      </c>
      <c r="H12" s="153">
        <f ca="1">SUMIF(SAN,SP!$A12,SAN_ANNO_C)</f>
        <v>541999</v>
      </c>
      <c r="I12" s="153">
        <f ca="1">SUMIF(RIC,SP!$A12,RIC_ANNO_C)</f>
        <v>0</v>
      </c>
      <c r="J12" s="153">
        <f ca="1">SUMIF(SOC,SP!$A12,SOC_ANNO_C)</f>
        <v>0</v>
      </c>
      <c r="K12" s="145"/>
      <c r="L12" s="145"/>
      <c r="M12" s="145"/>
      <c r="N12" s="153">
        <f t="shared" ca="1" si="2"/>
        <v>1247582</v>
      </c>
      <c r="O12" s="153">
        <f t="shared" ca="1" si="3"/>
        <v>541999</v>
      </c>
      <c r="P12" s="153">
        <f t="shared" ca="1" si="4"/>
        <v>-705583</v>
      </c>
      <c r="Q12" s="154">
        <f t="shared" ca="1" si="5"/>
        <v>-0.56556042007659613</v>
      </c>
      <c r="R12" s="145"/>
      <c r="S12" s="145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</row>
    <row r="13" spans="1:33" x14ac:dyDescent="0.2">
      <c r="A13" s="155" t="s">
        <v>255</v>
      </c>
      <c r="B13" s="152" t="s">
        <v>2771</v>
      </c>
      <c r="C13" s="153">
        <f t="shared" ca="1" si="0"/>
        <v>256773</v>
      </c>
      <c r="D13" s="153">
        <f ca="1">SUMIF(SAN,SP!$A13,SAN_ANNO_P)</f>
        <v>256773</v>
      </c>
      <c r="E13" s="153">
        <f ca="1">SUMIF(RIC,SP!$A13,RIC_ANNO_P)</f>
        <v>0</v>
      </c>
      <c r="F13" s="153">
        <f ca="1">SUMIF(SOC,SP!$A13,SOC_ANNO_P)</f>
        <v>0</v>
      </c>
      <c r="G13" s="153">
        <f t="shared" ca="1" si="1"/>
        <v>1360993</v>
      </c>
      <c r="H13" s="153">
        <f ca="1">SUMIF(SAN,SP!$A13,SAN_ANNO_C)</f>
        <v>1360993</v>
      </c>
      <c r="I13" s="153">
        <f ca="1">SUMIF(RIC,SP!$A13,RIC_ANNO_C)</f>
        <v>0</v>
      </c>
      <c r="J13" s="153">
        <f ca="1">SUMIF(SOC,SP!$A13,SOC_ANNO_C)</f>
        <v>0</v>
      </c>
      <c r="K13" s="145"/>
      <c r="L13" s="145"/>
      <c r="M13" s="145"/>
      <c r="N13" s="153">
        <f t="shared" ca="1" si="2"/>
        <v>256773</v>
      </c>
      <c r="O13" s="153">
        <f t="shared" ca="1" si="3"/>
        <v>1360993</v>
      </c>
      <c r="P13" s="153">
        <f t="shared" ca="1" si="4"/>
        <v>1104220</v>
      </c>
      <c r="Q13" s="154">
        <f t="shared" ca="1" si="5"/>
        <v>4.3003742605336228</v>
      </c>
      <c r="R13" s="145"/>
      <c r="S13" s="145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</row>
    <row r="14" spans="1:33" x14ac:dyDescent="0.2">
      <c r="A14" s="130" t="s">
        <v>2772</v>
      </c>
      <c r="B14" s="149" t="s">
        <v>2773</v>
      </c>
      <c r="C14" s="150">
        <f t="shared" ca="1" si="0"/>
        <v>101073840</v>
      </c>
      <c r="D14" s="150">
        <f ca="1">+D15+D18+D21+D22+D23+D24+D27+D25+D26</f>
        <v>101073840</v>
      </c>
      <c r="E14" s="150">
        <f ca="1">+E15+E18+E21+E22+E23+E24+E27+E25+E26</f>
        <v>0</v>
      </c>
      <c r="F14" s="150">
        <f ca="1">+F15+F18+F21+F22+F23+F24+F27+F25+F26</f>
        <v>0</v>
      </c>
      <c r="G14" s="150">
        <f t="shared" ca="1" si="1"/>
        <v>95061479</v>
      </c>
      <c r="H14" s="150">
        <f ca="1">+H15+H18+H21+H22+H23+H24+H27+H25+H26</f>
        <v>95061479</v>
      </c>
      <c r="I14" s="150">
        <f ca="1">+I15+I18+I21+I22+I23+I24+I27+I25+I26</f>
        <v>0</v>
      </c>
      <c r="J14" s="150">
        <f ca="1">+J15+J18+J21+J22+J23+J24+J27+J25+J26</f>
        <v>0</v>
      </c>
      <c r="K14" s="145"/>
      <c r="L14" s="145"/>
      <c r="M14" s="145"/>
      <c r="N14" s="150">
        <f t="shared" ca="1" si="2"/>
        <v>101073840</v>
      </c>
      <c r="O14" s="150">
        <f t="shared" ca="1" si="3"/>
        <v>95061479</v>
      </c>
      <c r="P14" s="150">
        <f t="shared" ca="1" si="4"/>
        <v>-6012361</v>
      </c>
      <c r="Q14" s="151">
        <f t="shared" ca="1" si="5"/>
        <v>-5.9484838015454837E-2</v>
      </c>
      <c r="R14" s="145"/>
      <c r="S14" s="145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</row>
    <row r="15" spans="1:33" x14ac:dyDescent="0.2">
      <c r="A15" s="130" t="s">
        <v>2774</v>
      </c>
      <c r="B15" s="156" t="s">
        <v>2775</v>
      </c>
      <c r="C15" s="157">
        <f t="shared" ca="1" si="0"/>
        <v>1164620</v>
      </c>
      <c r="D15" s="157">
        <f ca="1">+D16+D17</f>
        <v>1164620</v>
      </c>
      <c r="E15" s="157">
        <f ca="1">+E16+E17</f>
        <v>0</v>
      </c>
      <c r="F15" s="157">
        <f ca="1">+F16+F17</f>
        <v>0</v>
      </c>
      <c r="G15" s="157">
        <f t="shared" ca="1" si="1"/>
        <v>1164620</v>
      </c>
      <c r="H15" s="157">
        <f ca="1">+H16+H17</f>
        <v>1164620</v>
      </c>
      <c r="I15" s="157">
        <f ca="1">+I16+I17</f>
        <v>0</v>
      </c>
      <c r="J15" s="157">
        <f ca="1">+J16+J17</f>
        <v>0</v>
      </c>
      <c r="K15" s="145"/>
      <c r="L15" s="145"/>
      <c r="M15" s="145"/>
      <c r="N15" s="157">
        <f t="shared" ca="1" si="2"/>
        <v>1164620</v>
      </c>
      <c r="O15" s="157">
        <f t="shared" ca="1" si="3"/>
        <v>1164620</v>
      </c>
      <c r="P15" s="157">
        <f t="shared" ca="1" si="4"/>
        <v>0</v>
      </c>
      <c r="Q15" s="158">
        <f t="shared" ca="1" si="5"/>
        <v>0</v>
      </c>
      <c r="R15" s="145"/>
      <c r="S15" s="145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</row>
    <row r="16" spans="1:33" x14ac:dyDescent="0.2">
      <c r="A16" s="130" t="s">
        <v>438</v>
      </c>
      <c r="B16" s="152" t="s">
        <v>2776</v>
      </c>
      <c r="C16" s="153">
        <f t="shared" ca="1" si="0"/>
        <v>1164620</v>
      </c>
      <c r="D16" s="153">
        <f ca="1">SUMIF(SAN,SP!$A16,SAN_ANNO_P)</f>
        <v>1164620</v>
      </c>
      <c r="E16" s="153">
        <f ca="1">SUMIF(RIC,SP!$A16,RIC_ANNO_P)</f>
        <v>0</v>
      </c>
      <c r="F16" s="153">
        <f ca="1">SUMIF(SOC,SP!$A16,SOC_ANNO_P)</f>
        <v>0</v>
      </c>
      <c r="G16" s="153">
        <f t="shared" ca="1" si="1"/>
        <v>1164620</v>
      </c>
      <c r="H16" s="153">
        <f ca="1">SUMIF(SAN,SP!$A16,SAN_ANNO_C)</f>
        <v>1164620</v>
      </c>
      <c r="I16" s="153">
        <f ca="1">SUMIF(RIC,SP!$A16,RIC_ANNO_C)</f>
        <v>0</v>
      </c>
      <c r="J16" s="153">
        <f ca="1">SUMIF(SOC,SP!$A16,SOC_ANNO_C)</f>
        <v>0</v>
      </c>
      <c r="K16" s="145"/>
      <c r="L16" s="145"/>
      <c r="M16" s="145"/>
      <c r="N16" s="153">
        <f t="shared" ca="1" si="2"/>
        <v>1164620</v>
      </c>
      <c r="O16" s="153">
        <f t="shared" ca="1" si="3"/>
        <v>1164620</v>
      </c>
      <c r="P16" s="153">
        <f t="shared" ca="1" si="4"/>
        <v>0</v>
      </c>
      <c r="Q16" s="154">
        <f t="shared" ca="1" si="5"/>
        <v>0</v>
      </c>
      <c r="R16" s="145"/>
      <c r="S16" s="145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</row>
    <row r="17" spans="1:33" x14ac:dyDescent="0.2">
      <c r="A17" s="130" t="s">
        <v>461</v>
      </c>
      <c r="B17" s="152" t="s">
        <v>2777</v>
      </c>
      <c r="C17" s="153">
        <f t="shared" ca="1" si="0"/>
        <v>0</v>
      </c>
      <c r="D17" s="153">
        <f ca="1">SUMIF(SAN,SP!$A17,SAN_ANNO_P)</f>
        <v>0</v>
      </c>
      <c r="E17" s="153">
        <f ca="1">SUMIF(RIC,SP!$A17,RIC_ANNO_P)</f>
        <v>0</v>
      </c>
      <c r="F17" s="153">
        <f ca="1">SUMIF(SOC,SP!$A17,SOC_ANNO_P)</f>
        <v>0</v>
      </c>
      <c r="G17" s="153">
        <f t="shared" ca="1" si="1"/>
        <v>0</v>
      </c>
      <c r="H17" s="153">
        <f ca="1">SUMIF(SAN,SP!$A17,SAN_ANNO_C)</f>
        <v>0</v>
      </c>
      <c r="I17" s="153">
        <f ca="1">SUMIF(RIC,SP!$A17,RIC_ANNO_C)</f>
        <v>0</v>
      </c>
      <c r="J17" s="153">
        <f ca="1">SUMIF(SOC,SP!$A17,SOC_ANNO_C)</f>
        <v>0</v>
      </c>
      <c r="K17" s="145"/>
      <c r="L17" s="145"/>
      <c r="M17" s="145"/>
      <c r="N17" s="153">
        <f t="shared" ca="1" si="2"/>
        <v>0</v>
      </c>
      <c r="O17" s="153">
        <f t="shared" ca="1" si="3"/>
        <v>0</v>
      </c>
      <c r="P17" s="153">
        <f t="shared" ca="1" si="4"/>
        <v>0</v>
      </c>
      <c r="Q17" s="154">
        <f t="shared" ca="1" si="5"/>
        <v>0</v>
      </c>
      <c r="R17" s="145"/>
      <c r="S17" s="145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</row>
    <row r="18" spans="1:33" x14ac:dyDescent="0.2">
      <c r="A18" s="130" t="s">
        <v>2778</v>
      </c>
      <c r="B18" s="156" t="s">
        <v>2779</v>
      </c>
      <c r="C18" s="157">
        <f t="shared" ca="1" si="0"/>
        <v>83203349</v>
      </c>
      <c r="D18" s="157">
        <f ca="1">+D19+D20</f>
        <v>83203349</v>
      </c>
      <c r="E18" s="157">
        <f ca="1">+E19+E20</f>
        <v>0</v>
      </c>
      <c r="F18" s="157">
        <f ca="1">+F19+F20</f>
        <v>0</v>
      </c>
      <c r="G18" s="157">
        <f t="shared" ca="1" si="1"/>
        <v>78358402</v>
      </c>
      <c r="H18" s="157">
        <f ca="1">+H19+H20</f>
        <v>78358402</v>
      </c>
      <c r="I18" s="157">
        <f ca="1">+I19+I20</f>
        <v>0</v>
      </c>
      <c r="J18" s="157">
        <f ca="1">+J19+J20</f>
        <v>0</v>
      </c>
      <c r="K18" s="145"/>
      <c r="L18" s="145"/>
      <c r="M18" s="145"/>
      <c r="N18" s="157">
        <f t="shared" ca="1" si="2"/>
        <v>83203349</v>
      </c>
      <c r="O18" s="157">
        <f t="shared" ca="1" si="3"/>
        <v>78358402</v>
      </c>
      <c r="P18" s="157">
        <f t="shared" ca="1" si="4"/>
        <v>-4844947</v>
      </c>
      <c r="Q18" s="158">
        <f t="shared" ca="1" si="5"/>
        <v>-5.823019215248175E-2</v>
      </c>
      <c r="R18" s="145"/>
      <c r="S18" s="145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</row>
    <row r="19" spans="1:33" x14ac:dyDescent="0.2">
      <c r="A19" s="130" t="s">
        <v>486</v>
      </c>
      <c r="B19" s="152" t="s">
        <v>2780</v>
      </c>
      <c r="C19" s="153">
        <f t="shared" ca="1" si="0"/>
        <v>6819078</v>
      </c>
      <c r="D19" s="153">
        <f ca="1">SUMIF(SAN,SP!$A19,SAN_ANNO_P)</f>
        <v>6819078</v>
      </c>
      <c r="E19" s="153">
        <f ca="1">SUMIF(RIC,SP!$A19,RIC_ANNO_P)</f>
        <v>0</v>
      </c>
      <c r="F19" s="153">
        <f ca="1">SUMIF(SOC,SP!$A19,SOC_ANNO_P)</f>
        <v>0</v>
      </c>
      <c r="G19" s="153">
        <f t="shared" ca="1" si="1"/>
        <v>7044578</v>
      </c>
      <c r="H19" s="153">
        <f ca="1">SUMIF(SAN,SP!$A19,SAN_ANNO_C)</f>
        <v>7044578</v>
      </c>
      <c r="I19" s="153">
        <f ca="1">SUMIF(RIC,SP!$A19,RIC_ANNO_C)</f>
        <v>0</v>
      </c>
      <c r="J19" s="153">
        <f ca="1">SUMIF(SOC,SP!$A19,SOC_ANNO_C)</f>
        <v>0</v>
      </c>
      <c r="K19" s="145"/>
      <c r="L19" s="145"/>
      <c r="M19" s="145"/>
      <c r="N19" s="153">
        <f t="shared" ca="1" si="2"/>
        <v>6819078</v>
      </c>
      <c r="O19" s="153">
        <f t="shared" ca="1" si="3"/>
        <v>7044578</v>
      </c>
      <c r="P19" s="153">
        <f t="shared" ca="1" si="4"/>
        <v>225500</v>
      </c>
      <c r="Q19" s="154">
        <f t="shared" ca="1" si="5"/>
        <v>3.3068986745715477E-2</v>
      </c>
      <c r="R19" s="145"/>
      <c r="S19" s="145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</row>
    <row r="20" spans="1:33" x14ac:dyDescent="0.2">
      <c r="A20" s="130" t="s">
        <v>524</v>
      </c>
      <c r="B20" s="152" t="s">
        <v>2781</v>
      </c>
      <c r="C20" s="153">
        <f t="shared" ca="1" si="0"/>
        <v>76384271</v>
      </c>
      <c r="D20" s="153">
        <f ca="1">SUMIF(SAN,SP!$A20,SAN_ANNO_P)</f>
        <v>76384271</v>
      </c>
      <c r="E20" s="153">
        <f ca="1">SUMIF(RIC,SP!$A20,RIC_ANNO_P)</f>
        <v>0</v>
      </c>
      <c r="F20" s="153">
        <f ca="1">SUMIF(SOC,SP!$A20,SOC_ANNO_P)</f>
        <v>0</v>
      </c>
      <c r="G20" s="153">
        <f t="shared" ca="1" si="1"/>
        <v>71313824</v>
      </c>
      <c r="H20" s="153">
        <f ca="1">SUMIF(SAN,SP!$A20,SAN_ANNO_C)</f>
        <v>71313824</v>
      </c>
      <c r="I20" s="153">
        <f ca="1">SUMIF(RIC,SP!$A20,RIC_ANNO_C)</f>
        <v>0</v>
      </c>
      <c r="J20" s="153">
        <f ca="1">SUMIF(SOC,SP!$A20,SOC_ANNO_C)</f>
        <v>0</v>
      </c>
      <c r="K20" s="145"/>
      <c r="L20" s="145"/>
      <c r="M20" s="145"/>
      <c r="N20" s="153">
        <f t="shared" ca="1" si="2"/>
        <v>76384271</v>
      </c>
      <c r="O20" s="153">
        <f t="shared" ca="1" si="3"/>
        <v>71313824</v>
      </c>
      <c r="P20" s="153">
        <f t="shared" ca="1" si="4"/>
        <v>-5070447</v>
      </c>
      <c r="Q20" s="154">
        <f t="shared" ca="1" si="5"/>
        <v>-6.6380773601936977E-2</v>
      </c>
      <c r="R20" s="145"/>
      <c r="S20" s="145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</row>
    <row r="21" spans="1:33" x14ac:dyDescent="0.2">
      <c r="A21" s="130" t="s">
        <v>560</v>
      </c>
      <c r="B21" s="152" t="s">
        <v>2782</v>
      </c>
      <c r="C21" s="153">
        <f t="shared" ca="1" si="0"/>
        <v>9616340</v>
      </c>
      <c r="D21" s="153">
        <f ca="1">SUMIF(SAN,SP!$A21,SAN_ANNO_P)</f>
        <v>9616340</v>
      </c>
      <c r="E21" s="153">
        <f ca="1">SUMIF(RIC,SP!$A21,RIC_ANNO_P)</f>
        <v>0</v>
      </c>
      <c r="F21" s="153">
        <f ca="1">SUMIF(SOC,SP!$A21,SOC_ANNO_P)</f>
        <v>0</v>
      </c>
      <c r="G21" s="153">
        <f t="shared" ca="1" si="1"/>
        <v>7839531</v>
      </c>
      <c r="H21" s="153">
        <f ca="1">SUMIF(SAN,SP!$A21,SAN_ANNO_C)</f>
        <v>7839531</v>
      </c>
      <c r="I21" s="153">
        <f ca="1">SUMIF(RIC,SP!$A21,RIC_ANNO_C)</f>
        <v>0</v>
      </c>
      <c r="J21" s="153">
        <f ca="1">SUMIF(SOC,SP!$A21,SOC_ANNO_C)</f>
        <v>0</v>
      </c>
      <c r="K21" s="145"/>
      <c r="L21" s="145"/>
      <c r="M21" s="145"/>
      <c r="N21" s="153">
        <f t="shared" ca="1" si="2"/>
        <v>9616340</v>
      </c>
      <c r="O21" s="153">
        <f t="shared" ca="1" si="3"/>
        <v>7839531</v>
      </c>
      <c r="P21" s="153">
        <f t="shared" ca="1" si="4"/>
        <v>-1776809</v>
      </c>
      <c r="Q21" s="154">
        <f t="shared" ca="1" si="5"/>
        <v>-0.18476977727492996</v>
      </c>
      <c r="R21" s="145"/>
      <c r="S21" s="145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</row>
    <row r="22" spans="1:33" x14ac:dyDescent="0.2">
      <c r="A22" s="130" t="s">
        <v>658</v>
      </c>
      <c r="B22" s="152" t="s">
        <v>2783</v>
      </c>
      <c r="C22" s="153">
        <f t="shared" ca="1" si="0"/>
        <v>4334548</v>
      </c>
      <c r="D22" s="153">
        <f ca="1">SUMIF(SAN,SP!$A22,SAN_ANNO_P)</f>
        <v>4334548</v>
      </c>
      <c r="E22" s="153">
        <f ca="1">SUMIF(RIC,SP!$A22,RIC_ANNO_P)</f>
        <v>0</v>
      </c>
      <c r="F22" s="153">
        <f ca="1">SUMIF(SOC,SP!$A22,SOC_ANNO_P)</f>
        <v>0</v>
      </c>
      <c r="G22" s="153">
        <f t="shared" ca="1" si="1"/>
        <v>5374645</v>
      </c>
      <c r="H22" s="153">
        <f ca="1">SUMIF(SAN,SP!$A22,SAN_ANNO_C)</f>
        <v>5374645</v>
      </c>
      <c r="I22" s="153">
        <f ca="1">SUMIF(RIC,SP!$A22,RIC_ANNO_C)</f>
        <v>0</v>
      </c>
      <c r="J22" s="153">
        <f ca="1">SUMIF(SOC,SP!$A22,SOC_ANNO_C)</f>
        <v>0</v>
      </c>
      <c r="K22" s="145"/>
      <c r="L22" s="145"/>
      <c r="M22" s="145"/>
      <c r="N22" s="153">
        <f t="shared" ca="1" si="2"/>
        <v>4334548</v>
      </c>
      <c r="O22" s="153">
        <f t="shared" ca="1" si="3"/>
        <v>5374645</v>
      </c>
      <c r="P22" s="153">
        <f t="shared" ca="1" si="4"/>
        <v>1040097</v>
      </c>
      <c r="Q22" s="154">
        <f t="shared" ca="1" si="5"/>
        <v>0.23995512334850139</v>
      </c>
      <c r="R22" s="145"/>
      <c r="S22" s="145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</row>
    <row r="23" spans="1:33" x14ac:dyDescent="0.2">
      <c r="A23" s="130" t="s">
        <v>708</v>
      </c>
      <c r="B23" s="152" t="s">
        <v>2784</v>
      </c>
      <c r="C23" s="153">
        <f t="shared" ca="1" si="0"/>
        <v>493037</v>
      </c>
      <c r="D23" s="153">
        <f ca="1">SUMIF(SAN,SP!$A23,SAN_ANNO_P)</f>
        <v>493037</v>
      </c>
      <c r="E23" s="153">
        <f ca="1">SUMIF(RIC,SP!$A23,RIC_ANNO_P)</f>
        <v>0</v>
      </c>
      <c r="F23" s="153">
        <f ca="1">SUMIF(SOC,SP!$A23,SOC_ANNO_P)</f>
        <v>0</v>
      </c>
      <c r="G23" s="153">
        <f t="shared" ca="1" si="1"/>
        <v>391047</v>
      </c>
      <c r="H23" s="153">
        <f ca="1">SUMIF(SAN,SP!$A23,SAN_ANNO_C)</f>
        <v>391047</v>
      </c>
      <c r="I23" s="153">
        <f ca="1">SUMIF(RIC,SP!$A23,RIC_ANNO_C)</f>
        <v>0</v>
      </c>
      <c r="J23" s="153">
        <f ca="1">SUMIF(SOC,SP!$A23,SOC_ANNO_C)</f>
        <v>0</v>
      </c>
      <c r="K23" s="145"/>
      <c r="L23" s="145"/>
      <c r="M23" s="145"/>
      <c r="N23" s="153">
        <f t="shared" ca="1" si="2"/>
        <v>493037</v>
      </c>
      <c r="O23" s="153">
        <f t="shared" ca="1" si="3"/>
        <v>391047</v>
      </c>
      <c r="P23" s="153">
        <f t="shared" ca="1" si="4"/>
        <v>-101990</v>
      </c>
      <c r="Q23" s="154">
        <f t="shared" ca="1" si="5"/>
        <v>-0.20686074270288032</v>
      </c>
      <c r="R23" s="145"/>
      <c r="S23" s="145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</row>
    <row r="24" spans="1:33" x14ac:dyDescent="0.2">
      <c r="A24" s="130" t="s">
        <v>770</v>
      </c>
      <c r="B24" s="152" t="s">
        <v>2785</v>
      </c>
      <c r="C24" s="153">
        <f t="shared" ca="1" si="0"/>
        <v>0</v>
      </c>
      <c r="D24" s="153">
        <f ca="1">SUMIF(SAN,SP!$A24,SAN_ANNO_P)</f>
        <v>0</v>
      </c>
      <c r="E24" s="153">
        <f ca="1">SUMIF(RIC,SP!$A24,RIC_ANNO_P)</f>
        <v>0</v>
      </c>
      <c r="F24" s="153">
        <f ca="1">SUMIF(SOC,SP!$A24,SOC_ANNO_P)</f>
        <v>0</v>
      </c>
      <c r="G24" s="153">
        <f t="shared" ca="1" si="1"/>
        <v>0</v>
      </c>
      <c r="H24" s="153">
        <f ca="1">SUMIF(SAN,SP!$A24,SAN_ANNO_C)</f>
        <v>0</v>
      </c>
      <c r="I24" s="153">
        <f ca="1">SUMIF(RIC,SP!$A24,RIC_ANNO_C)</f>
        <v>0</v>
      </c>
      <c r="J24" s="153">
        <f ca="1">SUMIF(SOC,SP!$A24,SOC_ANNO_C)</f>
        <v>0</v>
      </c>
      <c r="K24" s="145"/>
      <c r="L24" s="145"/>
      <c r="M24" s="145"/>
      <c r="N24" s="153">
        <f t="shared" ca="1" si="2"/>
        <v>0</v>
      </c>
      <c r="O24" s="153">
        <f t="shared" ca="1" si="3"/>
        <v>0</v>
      </c>
      <c r="P24" s="153">
        <f t="shared" ca="1" si="4"/>
        <v>0</v>
      </c>
      <c r="Q24" s="154">
        <f t="shared" ca="1" si="5"/>
        <v>0</v>
      </c>
      <c r="R24" s="145"/>
      <c r="S24" s="145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</row>
    <row r="25" spans="1:33" x14ac:dyDescent="0.2">
      <c r="A25" s="155" t="s">
        <v>845</v>
      </c>
      <c r="B25" s="152" t="s">
        <v>2786</v>
      </c>
      <c r="C25" s="153">
        <f t="shared" ca="1" si="0"/>
        <v>24416</v>
      </c>
      <c r="D25" s="153">
        <f ca="1">SUMIF(SAN,SP!$A25,SAN_ANNO_P)</f>
        <v>24416</v>
      </c>
      <c r="E25" s="153">
        <f ca="1">SUMIF(RIC,SP!$A25,RIC_ANNO_P)</f>
        <v>0</v>
      </c>
      <c r="F25" s="153">
        <f ca="1">SUMIF(SOC,SP!$A25,SOC_ANNO_P)</f>
        <v>0</v>
      </c>
      <c r="G25" s="153">
        <f t="shared" ca="1" si="1"/>
        <v>113139</v>
      </c>
      <c r="H25" s="153">
        <f ca="1">SUMIF(SAN,SP!$A25,SAN_ANNO_C)</f>
        <v>113139</v>
      </c>
      <c r="I25" s="153">
        <f ca="1">SUMIF(RIC,SP!$A25,RIC_ANNO_C)</f>
        <v>0</v>
      </c>
      <c r="J25" s="153">
        <f ca="1">SUMIF(SOC,SP!$A25,SOC_ANNO_C)</f>
        <v>0</v>
      </c>
      <c r="K25" s="145"/>
      <c r="L25" s="145"/>
      <c r="M25" s="145"/>
      <c r="N25" s="153">
        <f t="shared" ca="1" si="2"/>
        <v>24416</v>
      </c>
      <c r="O25" s="153">
        <f t="shared" ca="1" si="3"/>
        <v>113139</v>
      </c>
      <c r="P25" s="153">
        <f t="shared" ca="1" si="4"/>
        <v>88723</v>
      </c>
      <c r="Q25" s="154">
        <f t="shared" ca="1" si="5"/>
        <v>3.6338057011795546</v>
      </c>
      <c r="R25" s="145"/>
      <c r="S25" s="145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</row>
    <row r="26" spans="1:33" x14ac:dyDescent="0.2">
      <c r="A26" s="155" t="s">
        <v>856</v>
      </c>
      <c r="B26" s="152" t="s">
        <v>2787</v>
      </c>
      <c r="C26" s="153">
        <f t="shared" ca="1" si="0"/>
        <v>610241</v>
      </c>
      <c r="D26" s="153">
        <f ca="1">SUMIF(SAN,SP!$A26,SAN_ANNO_P)</f>
        <v>610241</v>
      </c>
      <c r="E26" s="153">
        <f ca="1">SUMIF(RIC,SP!$A26,RIC_ANNO_P)</f>
        <v>0</v>
      </c>
      <c r="F26" s="153">
        <f ca="1">SUMIF(SOC,SP!$A26,SOC_ANNO_P)</f>
        <v>0</v>
      </c>
      <c r="G26" s="153">
        <f t="shared" ca="1" si="1"/>
        <v>607953</v>
      </c>
      <c r="H26" s="153">
        <f ca="1">SUMIF(SAN,SP!$A26,SAN_ANNO_C)</f>
        <v>607953</v>
      </c>
      <c r="I26" s="153">
        <f ca="1">SUMIF(RIC,SP!$A26,RIC_ANNO_C)</f>
        <v>0</v>
      </c>
      <c r="J26" s="153">
        <f ca="1">SUMIF(SOC,SP!$A26,SOC_ANNO_C)</f>
        <v>0</v>
      </c>
      <c r="K26" s="145"/>
      <c r="L26" s="145"/>
      <c r="M26" s="145"/>
      <c r="N26" s="153">
        <f t="shared" ca="1" si="2"/>
        <v>610241</v>
      </c>
      <c r="O26" s="153">
        <f t="shared" ca="1" si="3"/>
        <v>607953</v>
      </c>
      <c r="P26" s="153">
        <f t="shared" ca="1" si="4"/>
        <v>-2288</v>
      </c>
      <c r="Q26" s="154">
        <f t="shared" ca="1" si="5"/>
        <v>-3.7493383761497507E-3</v>
      </c>
      <c r="R26" s="145"/>
      <c r="S26" s="145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</row>
    <row r="27" spans="1:33" x14ac:dyDescent="0.2">
      <c r="A27" s="155" t="s">
        <v>944</v>
      </c>
      <c r="B27" s="152" t="s">
        <v>2788</v>
      </c>
      <c r="C27" s="153">
        <f t="shared" ca="1" si="0"/>
        <v>1627289</v>
      </c>
      <c r="D27" s="153">
        <f ca="1">SUMIF(SAN,SP!$A27,SAN_ANNO_P)</f>
        <v>1627289</v>
      </c>
      <c r="E27" s="153">
        <f ca="1">SUMIF(RIC,SP!$A27,RIC_ANNO_P)</f>
        <v>0</v>
      </c>
      <c r="F27" s="153">
        <f ca="1">SUMIF(SOC,SP!$A27,SOC_ANNO_P)</f>
        <v>0</v>
      </c>
      <c r="G27" s="153">
        <f t="shared" ca="1" si="1"/>
        <v>1212142</v>
      </c>
      <c r="H27" s="153">
        <f ca="1">SUMIF(SAN,SP!$A27,SAN_ANNO_C)</f>
        <v>1212142</v>
      </c>
      <c r="I27" s="153">
        <f ca="1">SUMIF(RIC,SP!$A27,RIC_ANNO_C)</f>
        <v>0</v>
      </c>
      <c r="J27" s="153">
        <f ca="1">SUMIF(SOC,SP!$A27,SOC_ANNO_C)</f>
        <v>0</v>
      </c>
      <c r="K27" s="145"/>
      <c r="L27" s="159" t="s">
        <v>2789</v>
      </c>
      <c r="M27" s="159" t="s">
        <v>2790</v>
      </c>
      <c r="N27" s="153">
        <f t="shared" ca="1" si="2"/>
        <v>1627289</v>
      </c>
      <c r="O27" s="153">
        <f t="shared" ca="1" si="3"/>
        <v>1212142</v>
      </c>
      <c r="P27" s="153">
        <f t="shared" ca="1" si="4"/>
        <v>-415147</v>
      </c>
      <c r="Q27" s="154">
        <f t="shared" ca="1" si="5"/>
        <v>-0.25511571699925462</v>
      </c>
      <c r="R27" s="145"/>
      <c r="S27" s="145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</row>
    <row r="28" spans="1:33" ht="25.5" x14ac:dyDescent="0.2">
      <c r="A28" s="130" t="s">
        <v>2791</v>
      </c>
      <c r="B28" s="160" t="s">
        <v>2792</v>
      </c>
      <c r="C28" s="150">
        <f t="shared" ca="1" si="0"/>
        <v>0</v>
      </c>
      <c r="D28" s="150">
        <f ca="1">+D29+D34</f>
        <v>0</v>
      </c>
      <c r="E28" s="150">
        <f ca="1">+E29+E34</f>
        <v>0</v>
      </c>
      <c r="F28" s="150">
        <f ca="1">+F29+F34</f>
        <v>0</v>
      </c>
      <c r="G28" s="150">
        <f t="shared" ca="1" si="1"/>
        <v>0</v>
      </c>
      <c r="H28" s="150">
        <f ca="1">+H29+H34</f>
        <v>0</v>
      </c>
      <c r="I28" s="150">
        <f ca="1">+I29+I34</f>
        <v>0</v>
      </c>
      <c r="J28" s="150">
        <f ca="1">+J29+J34</f>
        <v>0</v>
      </c>
      <c r="K28" s="145"/>
      <c r="L28" s="150">
        <f ca="1">+L29+L34</f>
        <v>0</v>
      </c>
      <c r="M28" s="150">
        <f ca="1">+M29+M34</f>
        <v>0</v>
      </c>
      <c r="N28" s="150">
        <f t="shared" ca="1" si="2"/>
        <v>0</v>
      </c>
      <c r="O28" s="150">
        <f t="shared" ca="1" si="3"/>
        <v>0</v>
      </c>
      <c r="P28" s="150">
        <f t="shared" ca="1" si="4"/>
        <v>0</v>
      </c>
      <c r="Q28" s="151">
        <f t="shared" ca="1" si="5"/>
        <v>0</v>
      </c>
      <c r="R28" s="145"/>
      <c r="S28" s="145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</row>
    <row r="29" spans="1:33" x14ac:dyDescent="0.2">
      <c r="A29" s="161" t="s">
        <v>2793</v>
      </c>
      <c r="B29" s="156" t="s">
        <v>2794</v>
      </c>
      <c r="C29" s="157">
        <f t="shared" ca="1" si="0"/>
        <v>0</v>
      </c>
      <c r="D29" s="157">
        <f ca="1">SUM(D30:D33)</f>
        <v>0</v>
      </c>
      <c r="E29" s="157">
        <f ca="1">SUM(E30:E33)</f>
        <v>0</v>
      </c>
      <c r="F29" s="157">
        <f ca="1">SUM(F30:F33)</f>
        <v>0</v>
      </c>
      <c r="G29" s="157">
        <f t="shared" ca="1" si="1"/>
        <v>0</v>
      </c>
      <c r="H29" s="157">
        <f ca="1">SUM(H30:H33)</f>
        <v>0</v>
      </c>
      <c r="I29" s="157">
        <f ca="1">SUM(I30:I33)</f>
        <v>0</v>
      </c>
      <c r="J29" s="157">
        <f ca="1">SUM(J30:J33)</f>
        <v>0</v>
      </c>
      <c r="K29" s="145"/>
      <c r="L29" s="157">
        <f ca="1">SUM(L30:L33)</f>
        <v>0</v>
      </c>
      <c r="M29" s="157">
        <f ca="1">SUM(M30:M33)</f>
        <v>0</v>
      </c>
      <c r="N29" s="157">
        <f t="shared" ca="1" si="2"/>
        <v>0</v>
      </c>
      <c r="O29" s="157">
        <f t="shared" ca="1" si="3"/>
        <v>0</v>
      </c>
      <c r="P29" s="157">
        <f t="shared" ca="1" si="4"/>
        <v>0</v>
      </c>
      <c r="Q29" s="158">
        <f t="shared" ca="1" si="5"/>
        <v>0</v>
      </c>
      <c r="R29" s="145"/>
      <c r="S29" s="145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</row>
    <row r="30" spans="1:33" x14ac:dyDescent="0.2">
      <c r="A30" s="155" t="s">
        <v>1071</v>
      </c>
      <c r="B30" s="152" t="s">
        <v>1072</v>
      </c>
      <c r="C30" s="153">
        <f t="shared" ca="1" si="0"/>
        <v>0</v>
      </c>
      <c r="D30" s="153">
        <f ca="1">SUMIF(SAN,SP!$A30,SAN_ANNO_P)</f>
        <v>0</v>
      </c>
      <c r="E30" s="153">
        <f ca="1">SUMIF(RIC,SP!$A30,RIC_ANNO_P)</f>
        <v>0</v>
      </c>
      <c r="F30" s="153">
        <f ca="1">SUMIF(SOC,SP!$A30,SOC_ANNO_P)</f>
        <v>0</v>
      </c>
      <c r="G30" s="153">
        <f t="shared" ca="1" si="1"/>
        <v>0</v>
      </c>
      <c r="H30" s="153">
        <f ca="1">SUMIF(SAN,SP!$A30,SAN_ANNO_C)</f>
        <v>0</v>
      </c>
      <c r="I30" s="153">
        <f ca="1">SUMIF(RIC,SP!$A30,RIC_ANNO_C)</f>
        <v>0</v>
      </c>
      <c r="J30" s="153">
        <f ca="1">SUMIF(SOC,SP!$A30,SOC_ANNO_C)</f>
        <v>0</v>
      </c>
      <c r="K30" s="145"/>
      <c r="L30" s="153">
        <f ca="1">SUMIF(DATI_TOTALE,SP!$A30,DATI_TOTALE_DETT_1)</f>
        <v>0</v>
      </c>
      <c r="M30" s="153">
        <f ca="1">SUMIF(DATI_TOTALE,SP!$A30,DATI_TOTALE_DETT_2)</f>
        <v>0</v>
      </c>
      <c r="N30" s="153">
        <f t="shared" ca="1" si="2"/>
        <v>0</v>
      </c>
      <c r="O30" s="153">
        <f t="shared" ca="1" si="3"/>
        <v>0</v>
      </c>
      <c r="P30" s="153">
        <f t="shared" ca="1" si="4"/>
        <v>0</v>
      </c>
      <c r="Q30" s="154">
        <f t="shared" ca="1" si="5"/>
        <v>0</v>
      </c>
      <c r="R30" s="145"/>
      <c r="S30" s="145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</row>
    <row r="31" spans="1:33" x14ac:dyDescent="0.2">
      <c r="A31" s="155" t="s">
        <v>1076</v>
      </c>
      <c r="B31" s="152" t="s">
        <v>1077</v>
      </c>
      <c r="C31" s="153">
        <f t="shared" ca="1" si="0"/>
        <v>0</v>
      </c>
      <c r="D31" s="153">
        <f ca="1">SUMIF(SAN,SP!$A31,SAN_ANNO_P)</f>
        <v>0</v>
      </c>
      <c r="E31" s="153">
        <f ca="1">SUMIF(RIC,SP!$A31,RIC_ANNO_P)</f>
        <v>0</v>
      </c>
      <c r="F31" s="153">
        <f ca="1">SUMIF(SOC,SP!$A31,SOC_ANNO_P)</f>
        <v>0</v>
      </c>
      <c r="G31" s="153">
        <f t="shared" ca="1" si="1"/>
        <v>0</v>
      </c>
      <c r="H31" s="153">
        <f ca="1">SUMIF(SAN,SP!$A31,SAN_ANNO_C)</f>
        <v>0</v>
      </c>
      <c r="I31" s="153">
        <f ca="1">SUMIF(RIC,SP!$A31,RIC_ANNO_C)</f>
        <v>0</v>
      </c>
      <c r="J31" s="153">
        <f ca="1">SUMIF(SOC,SP!$A31,SOC_ANNO_C)</f>
        <v>0</v>
      </c>
      <c r="K31" s="145"/>
      <c r="L31" s="153">
        <f ca="1">SUMIF(DATI_TOTALE,SP!$A31,DATI_TOTALE_DETT_1)</f>
        <v>0</v>
      </c>
      <c r="M31" s="153">
        <f ca="1">SUMIF(DATI_TOTALE,SP!$A31,DATI_TOTALE_DETT_2)</f>
        <v>0</v>
      </c>
      <c r="N31" s="153">
        <f t="shared" ca="1" si="2"/>
        <v>0</v>
      </c>
      <c r="O31" s="153">
        <f t="shared" ca="1" si="3"/>
        <v>0</v>
      </c>
      <c r="P31" s="153">
        <f t="shared" ca="1" si="4"/>
        <v>0</v>
      </c>
      <c r="Q31" s="154">
        <f t="shared" ca="1" si="5"/>
        <v>0</v>
      </c>
      <c r="R31" s="145"/>
      <c r="S31" s="145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</row>
    <row r="32" spans="1:33" x14ac:dyDescent="0.2">
      <c r="A32" s="155" t="s">
        <v>1081</v>
      </c>
      <c r="B32" s="152" t="s">
        <v>2795</v>
      </c>
      <c r="C32" s="153">
        <f t="shared" ca="1" si="0"/>
        <v>0</v>
      </c>
      <c r="D32" s="153">
        <f ca="1">SUMIF(SAN,SP!$A32,SAN_ANNO_P)</f>
        <v>0</v>
      </c>
      <c r="E32" s="153">
        <f ca="1">SUMIF(RIC,SP!$A32,RIC_ANNO_P)</f>
        <v>0</v>
      </c>
      <c r="F32" s="153">
        <f ca="1">SUMIF(SOC,SP!$A32,SOC_ANNO_P)</f>
        <v>0</v>
      </c>
      <c r="G32" s="153">
        <f t="shared" ca="1" si="1"/>
        <v>0</v>
      </c>
      <c r="H32" s="153">
        <f ca="1">SUMIF(SAN,SP!$A32,SAN_ANNO_C)</f>
        <v>0</v>
      </c>
      <c r="I32" s="153">
        <f ca="1">SUMIF(RIC,SP!$A32,RIC_ANNO_C)</f>
        <v>0</v>
      </c>
      <c r="J32" s="153">
        <f ca="1">SUMIF(SOC,SP!$A32,SOC_ANNO_C)</f>
        <v>0</v>
      </c>
      <c r="K32" s="145"/>
      <c r="L32" s="153">
        <f ca="1">SUMIF(DATI_TOTALE,SP!$A32,DATI_TOTALE_DETT_1)</f>
        <v>0</v>
      </c>
      <c r="M32" s="153">
        <f ca="1">SUMIF(DATI_TOTALE,SP!$A32,DATI_TOTALE_DETT_2)</f>
        <v>0</v>
      </c>
      <c r="N32" s="153">
        <f t="shared" ca="1" si="2"/>
        <v>0</v>
      </c>
      <c r="O32" s="153">
        <f t="shared" ca="1" si="3"/>
        <v>0</v>
      </c>
      <c r="P32" s="153">
        <f t="shared" ca="1" si="4"/>
        <v>0</v>
      </c>
      <c r="Q32" s="154">
        <f t="shared" ca="1" si="5"/>
        <v>0</v>
      </c>
      <c r="R32" s="145"/>
      <c r="S32" s="145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</row>
    <row r="33" spans="1:33" x14ac:dyDescent="0.2">
      <c r="A33" s="155" t="s">
        <v>1086</v>
      </c>
      <c r="B33" s="152" t="s">
        <v>2796</v>
      </c>
      <c r="C33" s="153">
        <f t="shared" ca="1" si="0"/>
        <v>0</v>
      </c>
      <c r="D33" s="153">
        <f ca="1">SUMIF(SAN,SP!$A33,SAN_ANNO_P)</f>
        <v>0</v>
      </c>
      <c r="E33" s="153">
        <f ca="1">SUMIF(RIC,SP!$A33,RIC_ANNO_P)</f>
        <v>0</v>
      </c>
      <c r="F33" s="153">
        <f ca="1">SUMIF(SOC,SP!$A33,SOC_ANNO_P)</f>
        <v>0</v>
      </c>
      <c r="G33" s="153">
        <f t="shared" ca="1" si="1"/>
        <v>0</v>
      </c>
      <c r="H33" s="153">
        <f ca="1">SUMIF(SAN,SP!$A33,SAN_ANNO_C)</f>
        <v>0</v>
      </c>
      <c r="I33" s="153">
        <f ca="1">SUMIF(RIC,SP!$A33,RIC_ANNO_C)</f>
        <v>0</v>
      </c>
      <c r="J33" s="153">
        <f ca="1">SUMIF(SOC,SP!$A33,SOC_ANNO_C)</f>
        <v>0</v>
      </c>
      <c r="K33" s="145"/>
      <c r="L33" s="153">
        <f ca="1">SUMIF(DATI_TOTALE,SP!$A33,DATI_TOTALE_DETT_1)</f>
        <v>0</v>
      </c>
      <c r="M33" s="153">
        <f ca="1">SUMIF(DATI_TOTALE,SP!$A33,DATI_TOTALE_DETT_2)</f>
        <v>0</v>
      </c>
      <c r="N33" s="153">
        <f t="shared" ca="1" si="2"/>
        <v>0</v>
      </c>
      <c r="O33" s="153">
        <f t="shared" ca="1" si="3"/>
        <v>0</v>
      </c>
      <c r="P33" s="153">
        <f t="shared" ca="1" si="4"/>
        <v>0</v>
      </c>
      <c r="Q33" s="154">
        <f t="shared" ca="1" si="5"/>
        <v>0</v>
      </c>
      <c r="R33" s="145"/>
      <c r="S33" s="145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</row>
    <row r="34" spans="1:33" x14ac:dyDescent="0.2">
      <c r="A34" s="155" t="s">
        <v>2797</v>
      </c>
      <c r="B34" s="156" t="s">
        <v>2798</v>
      </c>
      <c r="C34" s="157">
        <f t="shared" ca="1" si="0"/>
        <v>0</v>
      </c>
      <c r="D34" s="157">
        <f ca="1">SUM(D35:D36)</f>
        <v>0</v>
      </c>
      <c r="E34" s="157">
        <f ca="1">SUM(E35:E36)</f>
        <v>0</v>
      </c>
      <c r="F34" s="157">
        <f ca="1">SUM(F35:F36)</f>
        <v>0</v>
      </c>
      <c r="G34" s="157">
        <f t="shared" ca="1" si="1"/>
        <v>0</v>
      </c>
      <c r="H34" s="157">
        <f ca="1">SUM(H35:H36)</f>
        <v>0</v>
      </c>
      <c r="I34" s="157">
        <f ca="1">SUM(I35:I36)</f>
        <v>0</v>
      </c>
      <c r="J34" s="157">
        <f ca="1">SUM(J35:J36)</f>
        <v>0</v>
      </c>
      <c r="K34" s="145"/>
      <c r="L34" s="157">
        <f ca="1">SUM(L35:L36)</f>
        <v>0</v>
      </c>
      <c r="M34" s="157">
        <f ca="1">SUM(M35:M36)</f>
        <v>0</v>
      </c>
      <c r="N34" s="157">
        <f t="shared" ca="1" si="2"/>
        <v>0</v>
      </c>
      <c r="O34" s="157">
        <f t="shared" ca="1" si="3"/>
        <v>0</v>
      </c>
      <c r="P34" s="157">
        <f t="shared" ca="1" si="4"/>
        <v>0</v>
      </c>
      <c r="Q34" s="158">
        <f t="shared" ca="1" si="5"/>
        <v>0</v>
      </c>
      <c r="R34" s="145"/>
      <c r="S34" s="145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</row>
    <row r="35" spans="1:33" x14ac:dyDescent="0.2">
      <c r="A35" s="155" t="s">
        <v>1095</v>
      </c>
      <c r="B35" s="152" t="s">
        <v>1096</v>
      </c>
      <c r="C35" s="153">
        <f t="shared" ca="1" si="0"/>
        <v>0</v>
      </c>
      <c r="D35" s="153">
        <f ca="1">SUMIF(SAN,SP!$A35,SAN_ANNO_P)</f>
        <v>0</v>
      </c>
      <c r="E35" s="153">
        <f ca="1">SUMIF(RIC,SP!$A35,RIC_ANNO_P)</f>
        <v>0</v>
      </c>
      <c r="F35" s="153">
        <f ca="1">SUMIF(SOC,SP!$A35,SOC_ANNO_P)</f>
        <v>0</v>
      </c>
      <c r="G35" s="153">
        <f t="shared" ca="1" si="1"/>
        <v>0</v>
      </c>
      <c r="H35" s="153">
        <f ca="1">SUMIF(SAN,SP!$A35,SAN_ANNO_C)</f>
        <v>0</v>
      </c>
      <c r="I35" s="153">
        <f ca="1">SUMIF(RIC,SP!$A35,RIC_ANNO_C)</f>
        <v>0</v>
      </c>
      <c r="J35" s="153">
        <f ca="1">SUMIF(SOC,SP!$A35,SOC_ANNO_C)</f>
        <v>0</v>
      </c>
      <c r="K35" s="145"/>
      <c r="L35" s="153">
        <f ca="1">SUMIF(DATI_TOTALE,SP!$A35,DATI_TOTALE_DETT_1)</f>
        <v>0</v>
      </c>
      <c r="M35" s="153">
        <f ca="1">SUMIF(DATI_TOTALE,SP!$A35,DATI_TOTALE_DETT_2)</f>
        <v>0</v>
      </c>
      <c r="N35" s="153">
        <f t="shared" ca="1" si="2"/>
        <v>0</v>
      </c>
      <c r="O35" s="153">
        <f t="shared" ca="1" si="3"/>
        <v>0</v>
      </c>
      <c r="P35" s="153">
        <f t="shared" ca="1" si="4"/>
        <v>0</v>
      </c>
      <c r="Q35" s="154">
        <f t="shared" ca="1" si="5"/>
        <v>0</v>
      </c>
      <c r="R35" s="145"/>
      <c r="S35" s="145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</row>
    <row r="36" spans="1:33" x14ac:dyDescent="0.2">
      <c r="A36" s="155" t="s">
        <v>1108</v>
      </c>
      <c r="B36" s="152" t="s">
        <v>2799</v>
      </c>
      <c r="C36" s="153">
        <f t="shared" ca="1" si="0"/>
        <v>0</v>
      </c>
      <c r="D36" s="153">
        <f ca="1">SUMIF(SAN,SP!$A36,SAN_ANNO_P)</f>
        <v>0</v>
      </c>
      <c r="E36" s="153">
        <f ca="1">SUMIF(RIC,SP!$A36,RIC_ANNO_P)</f>
        <v>0</v>
      </c>
      <c r="F36" s="153">
        <f ca="1">SUMIF(SOC,SP!$A36,SOC_ANNO_P)</f>
        <v>0</v>
      </c>
      <c r="G36" s="153">
        <f t="shared" ca="1" si="1"/>
        <v>0</v>
      </c>
      <c r="H36" s="153">
        <f ca="1">SUMIF(SAN,SP!$A36,SAN_ANNO_C)</f>
        <v>0</v>
      </c>
      <c r="I36" s="153">
        <f ca="1">SUMIF(RIC,SP!$A36,RIC_ANNO_C)</f>
        <v>0</v>
      </c>
      <c r="J36" s="153">
        <f ca="1">SUMIF(SOC,SP!$A36,SOC_ANNO_C)</f>
        <v>0</v>
      </c>
      <c r="K36" s="145"/>
      <c r="L36" s="153">
        <f ca="1">SUMIF(DATI_TOTALE,SP!$A36,DATI_TOTALE_DETT_1)</f>
        <v>0</v>
      </c>
      <c r="M36" s="153">
        <f ca="1">SUMIF(DATI_TOTALE,SP!$A36,DATI_TOTALE_DETT_2)</f>
        <v>0</v>
      </c>
      <c r="N36" s="162">
        <f t="shared" ca="1" si="2"/>
        <v>0</v>
      </c>
      <c r="O36" s="162">
        <f t="shared" ca="1" si="3"/>
        <v>0</v>
      </c>
      <c r="P36" s="162">
        <f t="shared" ca="1" si="4"/>
        <v>0</v>
      </c>
      <c r="Q36" s="163">
        <f t="shared" ca="1" si="5"/>
        <v>0</v>
      </c>
      <c r="R36" s="145"/>
      <c r="S36" s="145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</row>
    <row r="37" spans="1:33" x14ac:dyDescent="0.2">
      <c r="A37" s="130" t="s">
        <v>2800</v>
      </c>
      <c r="B37" s="147" t="s">
        <v>2801</v>
      </c>
      <c r="C37" s="148">
        <f t="shared" ca="1" si="0"/>
        <v>102579817</v>
      </c>
      <c r="D37" s="148">
        <f ca="1">+D28+D14+D8</f>
        <v>102579817</v>
      </c>
      <c r="E37" s="148">
        <f ca="1">+E28+E14+E8</f>
        <v>0</v>
      </c>
      <c r="F37" s="148">
        <f ca="1">+F28+F14+F8</f>
        <v>0</v>
      </c>
      <c r="G37" s="148">
        <f t="shared" ca="1" si="1"/>
        <v>96964471</v>
      </c>
      <c r="H37" s="148">
        <f ca="1">+H28+H14+H8</f>
        <v>96964471</v>
      </c>
      <c r="I37" s="148">
        <f ca="1">+I28+I14+I8</f>
        <v>0</v>
      </c>
      <c r="J37" s="148">
        <f ca="1">+J28+J14+J8</f>
        <v>0</v>
      </c>
      <c r="K37" s="145"/>
      <c r="L37" s="145"/>
      <c r="M37" s="145"/>
      <c r="N37" s="164">
        <f t="shared" ca="1" si="2"/>
        <v>102579817</v>
      </c>
      <c r="O37" s="164">
        <f t="shared" ca="1" si="3"/>
        <v>96964471</v>
      </c>
      <c r="P37" s="164">
        <f t="shared" ca="1" si="4"/>
        <v>-5615346</v>
      </c>
      <c r="Q37" s="165">
        <f t="shared" ca="1" si="5"/>
        <v>-5.4741236280427367E-2</v>
      </c>
      <c r="R37" s="145"/>
      <c r="S37" s="145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</row>
    <row r="38" spans="1:33" x14ac:dyDescent="0.2">
      <c r="A38" s="130" t="s">
        <v>2802</v>
      </c>
      <c r="B38" s="166" t="s">
        <v>2803</v>
      </c>
      <c r="C38" s="167"/>
      <c r="D38" s="167"/>
      <c r="E38" s="167"/>
      <c r="F38" s="167"/>
      <c r="G38" s="167"/>
      <c r="H38" s="167"/>
      <c r="I38" s="167"/>
      <c r="J38" s="167"/>
      <c r="K38" s="145"/>
      <c r="L38" s="145"/>
      <c r="M38" s="145"/>
      <c r="N38" s="167"/>
      <c r="O38" s="167"/>
      <c r="P38" s="167"/>
      <c r="Q38" s="168"/>
      <c r="R38" s="145"/>
      <c r="S38" s="145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</row>
    <row r="39" spans="1:33" x14ac:dyDescent="0.2">
      <c r="A39" s="130" t="s">
        <v>2804</v>
      </c>
      <c r="B39" s="149" t="s">
        <v>2805</v>
      </c>
      <c r="C39" s="150">
        <f t="shared" ref="C39:C91" ca="1" si="6">SUM(D39:F39)</f>
        <v>11430307</v>
      </c>
      <c r="D39" s="150">
        <f ca="1">SUM(D40:D43)</f>
        <v>11430307</v>
      </c>
      <c r="E39" s="150">
        <f ca="1">SUM(E40:E43)</f>
        <v>0</v>
      </c>
      <c r="F39" s="150">
        <f ca="1">SUM(F40:F43)</f>
        <v>0</v>
      </c>
      <c r="G39" s="150">
        <f t="shared" ref="G39:G91" ca="1" si="7">SUM(H39:J39)</f>
        <v>15048961</v>
      </c>
      <c r="H39" s="150">
        <f ca="1">SUM(H40:H43)</f>
        <v>15048961</v>
      </c>
      <c r="I39" s="150">
        <f ca="1">SUM(I40:I43)</f>
        <v>0</v>
      </c>
      <c r="J39" s="150">
        <f ca="1">SUM(J40:J43)</f>
        <v>0</v>
      </c>
      <c r="K39" s="145"/>
      <c r="L39" s="145"/>
      <c r="M39" s="145"/>
      <c r="N39" s="150">
        <f t="shared" ref="N39:N91" ca="1" si="8">+C39</f>
        <v>11430307</v>
      </c>
      <c r="O39" s="150">
        <f t="shared" ref="O39:O91" ca="1" si="9">+G39</f>
        <v>15048961</v>
      </c>
      <c r="P39" s="150">
        <f t="shared" ref="P39:P91" ca="1" si="10">+O39-N39</f>
        <v>3618654</v>
      </c>
      <c r="Q39" s="151">
        <f t="shared" ref="Q39:Q91" ca="1" si="11">IF(N39&lt;&gt;0,+P39/N39,0)</f>
        <v>0.31658414773986387</v>
      </c>
      <c r="R39" s="145"/>
      <c r="S39" s="145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</row>
    <row r="40" spans="1:33" x14ac:dyDescent="0.2">
      <c r="A40" s="130" t="s">
        <v>1145</v>
      </c>
      <c r="B40" s="152" t="s">
        <v>2806</v>
      </c>
      <c r="C40" s="153">
        <f t="shared" ca="1" si="6"/>
        <v>11277052</v>
      </c>
      <c r="D40" s="153">
        <f ca="1">SUMIF(SAN,SP!$A40,SAN_ANNO_P)</f>
        <v>11277052</v>
      </c>
      <c r="E40" s="153">
        <f ca="1">SUMIF(RIC,SP!$A40,RIC_ANNO_P)</f>
        <v>0</v>
      </c>
      <c r="F40" s="153">
        <f ca="1">SUMIF(SOC,SP!$A40,SOC_ANNO_P)</f>
        <v>0</v>
      </c>
      <c r="G40" s="153">
        <f t="shared" ca="1" si="7"/>
        <v>14894110</v>
      </c>
      <c r="H40" s="153">
        <f ca="1">SUMIF(SAN,SP!$A40,SAN_ANNO_C)</f>
        <v>14894110</v>
      </c>
      <c r="I40" s="153">
        <f ca="1">SUMIF(RIC,SP!$A40,RIC_ANNO_C)</f>
        <v>0</v>
      </c>
      <c r="J40" s="153">
        <f ca="1">SUMIF(SOC,SP!$A40,SOC_ANNO_C)</f>
        <v>0</v>
      </c>
      <c r="K40" s="145"/>
      <c r="L40" s="145"/>
      <c r="M40" s="145"/>
      <c r="N40" s="153">
        <f t="shared" ca="1" si="8"/>
        <v>11277052</v>
      </c>
      <c r="O40" s="153">
        <f t="shared" ca="1" si="9"/>
        <v>14894110</v>
      </c>
      <c r="P40" s="153">
        <f t="shared" ca="1" si="10"/>
        <v>3617058</v>
      </c>
      <c r="Q40" s="154">
        <f t="shared" ca="1" si="11"/>
        <v>0.32074499612132673</v>
      </c>
      <c r="R40" s="145"/>
      <c r="S40" s="145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</row>
    <row r="41" spans="1:33" x14ac:dyDescent="0.2">
      <c r="A41" s="130" t="s">
        <v>1296</v>
      </c>
      <c r="B41" s="152" t="s">
        <v>2807</v>
      </c>
      <c r="C41" s="153">
        <f t="shared" ca="1" si="6"/>
        <v>153255</v>
      </c>
      <c r="D41" s="153">
        <f ca="1">SUMIF(SAN,SP!$A41,SAN_ANNO_P)</f>
        <v>153255</v>
      </c>
      <c r="E41" s="153">
        <f ca="1">SUMIF(RIC,SP!$A41,RIC_ANNO_P)</f>
        <v>0</v>
      </c>
      <c r="F41" s="153">
        <f ca="1">SUMIF(SOC,SP!$A41,SOC_ANNO_P)</f>
        <v>0</v>
      </c>
      <c r="G41" s="153">
        <f t="shared" ca="1" si="7"/>
        <v>154851</v>
      </c>
      <c r="H41" s="153">
        <f ca="1">SUMIF(SAN,SP!$A41,SAN_ANNO_C)</f>
        <v>154851</v>
      </c>
      <c r="I41" s="153">
        <f ca="1">SUMIF(RIC,SP!$A41,RIC_ANNO_C)</f>
        <v>0</v>
      </c>
      <c r="J41" s="153">
        <f ca="1">SUMIF(SOC,SP!$A41,SOC_ANNO_C)</f>
        <v>0</v>
      </c>
      <c r="K41" s="145"/>
      <c r="L41" s="145"/>
      <c r="M41" s="145"/>
      <c r="N41" s="153">
        <f t="shared" ca="1" si="8"/>
        <v>153255</v>
      </c>
      <c r="O41" s="153">
        <f t="shared" ca="1" si="9"/>
        <v>154851</v>
      </c>
      <c r="P41" s="153">
        <f t="shared" ca="1" si="10"/>
        <v>1596</v>
      </c>
      <c r="Q41" s="154">
        <f t="shared" ca="1" si="11"/>
        <v>1.0414015855926398E-2</v>
      </c>
      <c r="R41" s="145"/>
      <c r="S41" s="145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</row>
    <row r="42" spans="1:33" x14ac:dyDescent="0.2">
      <c r="A42" s="130" t="s">
        <v>1287</v>
      </c>
      <c r="B42" s="152" t="s">
        <v>2808</v>
      </c>
      <c r="C42" s="153">
        <f t="shared" ca="1" si="6"/>
        <v>0</v>
      </c>
      <c r="D42" s="153">
        <f ca="1">SUMIF(SAN,SP!$A42,SAN_ANNO_P)</f>
        <v>0</v>
      </c>
      <c r="E42" s="153">
        <f ca="1">SUMIF(RIC,SP!$A42,RIC_ANNO_P)</f>
        <v>0</v>
      </c>
      <c r="F42" s="153">
        <f ca="1">SUMIF(SOC,SP!$A42,SOC_ANNO_P)</f>
        <v>0</v>
      </c>
      <c r="G42" s="153">
        <f t="shared" ca="1" si="7"/>
        <v>0</v>
      </c>
      <c r="H42" s="153">
        <f ca="1">SUMIF(SAN,SP!$A42,SAN_ANNO_C)</f>
        <v>0</v>
      </c>
      <c r="I42" s="153">
        <f ca="1">SUMIF(RIC,SP!$A42,RIC_ANNO_C)</f>
        <v>0</v>
      </c>
      <c r="J42" s="153">
        <f ca="1">SUMIF(SOC,SP!$A42,SOC_ANNO_C)</f>
        <v>0</v>
      </c>
      <c r="K42" s="145"/>
      <c r="L42" s="145"/>
      <c r="M42" s="145"/>
      <c r="N42" s="153">
        <f t="shared" ca="1" si="8"/>
        <v>0</v>
      </c>
      <c r="O42" s="153">
        <f t="shared" ca="1" si="9"/>
        <v>0</v>
      </c>
      <c r="P42" s="153">
        <f t="shared" ca="1" si="10"/>
        <v>0</v>
      </c>
      <c r="Q42" s="154">
        <f t="shared" ca="1" si="11"/>
        <v>0</v>
      </c>
      <c r="R42" s="145"/>
      <c r="S42" s="145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</row>
    <row r="43" spans="1:33" x14ac:dyDescent="0.2">
      <c r="A43" s="130" t="s">
        <v>1346</v>
      </c>
      <c r="B43" s="152" t="s">
        <v>2809</v>
      </c>
      <c r="C43" s="153">
        <f t="shared" ca="1" si="6"/>
        <v>0</v>
      </c>
      <c r="D43" s="153">
        <f ca="1">SUMIF(SAN,SP!$A43,SAN_ANNO_P)</f>
        <v>0</v>
      </c>
      <c r="E43" s="153">
        <f ca="1">SUMIF(RIC,SP!$A43,RIC_ANNO_P)</f>
        <v>0</v>
      </c>
      <c r="F43" s="153">
        <f ca="1">SUMIF(SOC,SP!$A43,SOC_ANNO_P)</f>
        <v>0</v>
      </c>
      <c r="G43" s="153">
        <f t="shared" ca="1" si="7"/>
        <v>0</v>
      </c>
      <c r="H43" s="153">
        <f ca="1">SUMIF(SAN,SP!$A43,SAN_ANNO_C)</f>
        <v>0</v>
      </c>
      <c r="I43" s="153">
        <f ca="1">SUMIF(RIC,SP!$A43,RIC_ANNO_C)</f>
        <v>0</v>
      </c>
      <c r="J43" s="153">
        <f ca="1">SUMIF(SOC,SP!$A43,SOC_ANNO_C)</f>
        <v>0</v>
      </c>
      <c r="K43" s="145"/>
      <c r="L43" s="159" t="s">
        <v>2789</v>
      </c>
      <c r="M43" s="159" t="s">
        <v>2790</v>
      </c>
      <c r="N43" s="153">
        <f t="shared" ca="1" si="8"/>
        <v>0</v>
      </c>
      <c r="O43" s="153">
        <f t="shared" ca="1" si="9"/>
        <v>0</v>
      </c>
      <c r="P43" s="153">
        <f t="shared" ca="1" si="10"/>
        <v>0</v>
      </c>
      <c r="Q43" s="154">
        <f t="shared" ca="1" si="11"/>
        <v>0</v>
      </c>
      <c r="R43" s="145"/>
      <c r="S43" s="145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</row>
    <row r="44" spans="1:33" x14ac:dyDescent="0.2">
      <c r="A44" s="130" t="s">
        <v>2810</v>
      </c>
      <c r="B44" s="160" t="s">
        <v>2811</v>
      </c>
      <c r="C44" s="150">
        <f t="shared" ca="1" si="6"/>
        <v>77775738</v>
      </c>
      <c r="D44" s="150">
        <f ca="1">+D45+D56+D72+D73+D80+D81+D82</f>
        <v>77775738</v>
      </c>
      <c r="E44" s="150">
        <f ca="1">+E45+E56+E72+E73+E80+E81+E82</f>
        <v>0</v>
      </c>
      <c r="F44" s="150">
        <f ca="1">+F45+F56+F72+F73+F80+F81+F82</f>
        <v>0</v>
      </c>
      <c r="G44" s="150">
        <f t="shared" ca="1" si="7"/>
        <v>104377979</v>
      </c>
      <c r="H44" s="150">
        <f ca="1">+H45+H56+H72+H73+H80+H81+H82</f>
        <v>104377979</v>
      </c>
      <c r="I44" s="150">
        <f ca="1">+I45+I56+I72+I73+I80+I81+I82</f>
        <v>0</v>
      </c>
      <c r="J44" s="150">
        <f ca="1">+J45+J56+J72+J73+J80+J81+J82</f>
        <v>0</v>
      </c>
      <c r="K44" s="145"/>
      <c r="L44" s="150">
        <f ca="1">+L45+L56+L72+L73+L80+L81+L82</f>
        <v>3055858</v>
      </c>
      <c r="M44" s="150">
        <f ca="1">+M45+M56+M72+M73+M80+M81+M82</f>
        <v>29732667</v>
      </c>
      <c r="N44" s="150">
        <f t="shared" ca="1" si="8"/>
        <v>77775738</v>
      </c>
      <c r="O44" s="150">
        <f t="shared" ca="1" si="9"/>
        <v>104377979</v>
      </c>
      <c r="P44" s="150">
        <f t="shared" ca="1" si="10"/>
        <v>26602241</v>
      </c>
      <c r="Q44" s="151">
        <f t="shared" ca="1" si="11"/>
        <v>0.34203778304231586</v>
      </c>
      <c r="R44" s="145"/>
      <c r="S44" s="145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</row>
    <row r="45" spans="1:33" x14ac:dyDescent="0.2">
      <c r="A45" s="130" t="s">
        <v>2812</v>
      </c>
      <c r="B45" s="156" t="s">
        <v>2813</v>
      </c>
      <c r="C45" s="157">
        <f t="shared" ca="1" si="6"/>
        <v>328223</v>
      </c>
      <c r="D45" s="157">
        <f ca="1">+D46+D49+D50+D55</f>
        <v>328223</v>
      </c>
      <c r="E45" s="157">
        <f ca="1">+E46+E49+E50+E55</f>
        <v>0</v>
      </c>
      <c r="F45" s="157">
        <f ca="1">+F46+F49+F50+F55</f>
        <v>0</v>
      </c>
      <c r="G45" s="157">
        <f t="shared" ca="1" si="7"/>
        <v>13930888</v>
      </c>
      <c r="H45" s="157">
        <f ca="1">+H46+H49+H50+H55</f>
        <v>13930888</v>
      </c>
      <c r="I45" s="157">
        <f ca="1">+I46+I49+I50+I55</f>
        <v>0</v>
      </c>
      <c r="J45" s="157">
        <f ca="1">+J46+J49+J50+J55</f>
        <v>0</v>
      </c>
      <c r="K45" s="145"/>
      <c r="L45" s="157">
        <f ca="1">+L46+L49+L50+L55</f>
        <v>0</v>
      </c>
      <c r="M45" s="157">
        <f ca="1">+M46+M49+M50+M55</f>
        <v>1902</v>
      </c>
      <c r="N45" s="157">
        <f t="shared" ca="1" si="8"/>
        <v>328223</v>
      </c>
      <c r="O45" s="157">
        <f t="shared" ca="1" si="9"/>
        <v>13930888</v>
      </c>
      <c r="P45" s="157">
        <f t="shared" ca="1" si="10"/>
        <v>13602665</v>
      </c>
      <c r="Q45" s="158">
        <f t="shared" ca="1" si="11"/>
        <v>41.443363201238185</v>
      </c>
      <c r="R45" s="145"/>
      <c r="S45" s="145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</row>
    <row r="46" spans="1:33" x14ac:dyDescent="0.2">
      <c r="A46" s="130" t="s">
        <v>2814</v>
      </c>
      <c r="B46" s="156" t="s">
        <v>2815</v>
      </c>
      <c r="C46" s="157">
        <f t="shared" ca="1" si="6"/>
        <v>328223</v>
      </c>
      <c r="D46" s="157">
        <f ca="1">+D47+D48</f>
        <v>328223</v>
      </c>
      <c r="E46" s="157">
        <f ca="1">+E47+E48</f>
        <v>0</v>
      </c>
      <c r="F46" s="157">
        <f ca="1">+F47+F48</f>
        <v>0</v>
      </c>
      <c r="G46" s="157">
        <f t="shared" ca="1" si="7"/>
        <v>332888</v>
      </c>
      <c r="H46" s="157">
        <f ca="1">+H47+H48</f>
        <v>332888</v>
      </c>
      <c r="I46" s="157">
        <f ca="1">+I47+I48</f>
        <v>0</v>
      </c>
      <c r="J46" s="157">
        <f ca="1">+J47+J48</f>
        <v>0</v>
      </c>
      <c r="K46" s="145"/>
      <c r="L46" s="157">
        <f ca="1">+L47+L48</f>
        <v>0</v>
      </c>
      <c r="M46" s="157">
        <f ca="1">+M47+M48</f>
        <v>1902</v>
      </c>
      <c r="N46" s="157">
        <f t="shared" ca="1" si="8"/>
        <v>328223</v>
      </c>
      <c r="O46" s="157">
        <f t="shared" ca="1" si="9"/>
        <v>332888</v>
      </c>
      <c r="P46" s="157">
        <f t="shared" ca="1" si="10"/>
        <v>4665</v>
      </c>
      <c r="Q46" s="158">
        <f t="shared" ca="1" si="11"/>
        <v>1.4212897938291953E-2</v>
      </c>
      <c r="R46" s="145"/>
      <c r="S46" s="145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</row>
    <row r="47" spans="1:33" x14ac:dyDescent="0.2">
      <c r="A47" s="130" t="s">
        <v>1360</v>
      </c>
      <c r="B47" s="152" t="s">
        <v>2816</v>
      </c>
      <c r="C47" s="153">
        <f t="shared" ca="1" si="6"/>
        <v>328223</v>
      </c>
      <c r="D47" s="153">
        <f ca="1">SUMIF(SAN,SP!$A47,SAN_ANNO_P)</f>
        <v>328223</v>
      </c>
      <c r="E47" s="153">
        <f ca="1">SUMIF(RIC,SP!$A47,RIC_ANNO_P)</f>
        <v>0</v>
      </c>
      <c r="F47" s="153">
        <f ca="1">SUMIF(SOC,SP!$A47,SOC_ANNO_P)</f>
        <v>0</v>
      </c>
      <c r="G47" s="153">
        <f t="shared" ca="1" si="7"/>
        <v>332888</v>
      </c>
      <c r="H47" s="153">
        <f ca="1">SUMIF(SAN,SP!$A47,SAN_ANNO_C)</f>
        <v>332888</v>
      </c>
      <c r="I47" s="153">
        <f ca="1">SUMIF(RIC,SP!$A47,RIC_ANNO_C)</f>
        <v>0</v>
      </c>
      <c r="J47" s="153">
        <f ca="1">SUMIF(SOC,SP!$A47,SOC_ANNO_C)</f>
        <v>0</v>
      </c>
      <c r="K47" s="145"/>
      <c r="L47" s="153">
        <f ca="1">SUMIF(DATI_TOTALE,SP!$A47,DATI_TOTALE_DETT_1)</f>
        <v>0</v>
      </c>
      <c r="M47" s="153">
        <f ca="1">SUMIF(DATI_TOTALE,SP!$A47,DATI_TOTALE_DETT_2)</f>
        <v>1902</v>
      </c>
      <c r="N47" s="153">
        <f t="shared" ca="1" si="8"/>
        <v>328223</v>
      </c>
      <c r="O47" s="153">
        <f t="shared" ca="1" si="9"/>
        <v>332888</v>
      </c>
      <c r="P47" s="153">
        <f t="shared" ca="1" si="10"/>
        <v>4665</v>
      </c>
      <c r="Q47" s="154">
        <f t="shared" ca="1" si="11"/>
        <v>1.4212897938291953E-2</v>
      </c>
      <c r="R47" s="145"/>
      <c r="S47" s="145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</row>
    <row r="48" spans="1:33" x14ac:dyDescent="0.2">
      <c r="A48" s="130" t="s">
        <v>1373</v>
      </c>
      <c r="B48" s="152" t="s">
        <v>2817</v>
      </c>
      <c r="C48" s="153">
        <f t="shared" ca="1" si="6"/>
        <v>0</v>
      </c>
      <c r="D48" s="153">
        <f ca="1">SUMIF(SAN,SP!$A48,SAN_ANNO_P)</f>
        <v>0</v>
      </c>
      <c r="E48" s="153">
        <f ca="1">SUMIF(RIC,SP!$A48,RIC_ANNO_P)</f>
        <v>0</v>
      </c>
      <c r="F48" s="153">
        <f ca="1">SUMIF(SOC,SP!$A48,SOC_ANNO_P)</f>
        <v>0</v>
      </c>
      <c r="G48" s="153">
        <f t="shared" ca="1" si="7"/>
        <v>0</v>
      </c>
      <c r="H48" s="153">
        <f ca="1">SUMIF(SAN,SP!$A48,SAN_ANNO_C)</f>
        <v>0</v>
      </c>
      <c r="I48" s="153">
        <f ca="1">SUMIF(RIC,SP!$A48,RIC_ANNO_C)</f>
        <v>0</v>
      </c>
      <c r="J48" s="153">
        <f ca="1">SUMIF(SOC,SP!$A48,SOC_ANNO_C)</f>
        <v>0</v>
      </c>
      <c r="K48" s="145"/>
      <c r="L48" s="153">
        <f ca="1">SUMIF(DATI_TOTALE,SP!$A48,DATI_TOTALE_DETT_1)</f>
        <v>0</v>
      </c>
      <c r="M48" s="153">
        <f ca="1">SUMIF(DATI_TOTALE,SP!$A48,DATI_TOTALE_DETT_2)</f>
        <v>0</v>
      </c>
      <c r="N48" s="153">
        <f t="shared" ca="1" si="8"/>
        <v>0</v>
      </c>
      <c r="O48" s="153">
        <f t="shared" ca="1" si="9"/>
        <v>0</v>
      </c>
      <c r="P48" s="153">
        <f t="shared" ca="1" si="10"/>
        <v>0</v>
      </c>
      <c r="Q48" s="154">
        <f t="shared" ca="1" si="11"/>
        <v>0</v>
      </c>
      <c r="R48" s="145"/>
      <c r="S48" s="145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</row>
    <row r="49" spans="1:33" x14ac:dyDescent="0.2">
      <c r="A49" s="130" t="s">
        <v>1403</v>
      </c>
      <c r="B49" s="152" t="s">
        <v>2818</v>
      </c>
      <c r="C49" s="153">
        <f t="shared" ca="1" si="6"/>
        <v>0</v>
      </c>
      <c r="D49" s="153">
        <f ca="1">SUMIF(SAN,SP!$A49,SAN_ANNO_P)</f>
        <v>0</v>
      </c>
      <c r="E49" s="153">
        <f ca="1">SUMIF(RIC,SP!$A49,RIC_ANNO_P)</f>
        <v>0</v>
      </c>
      <c r="F49" s="153">
        <f ca="1">SUMIF(SOC,SP!$A49,SOC_ANNO_P)</f>
        <v>0</v>
      </c>
      <c r="G49" s="153">
        <f t="shared" ca="1" si="7"/>
        <v>13598000</v>
      </c>
      <c r="H49" s="153">
        <f ca="1">SUMIF(SAN,SP!$A49,SAN_ANNO_C)</f>
        <v>13598000</v>
      </c>
      <c r="I49" s="153">
        <f ca="1">SUMIF(RIC,SP!$A49,RIC_ANNO_C)</f>
        <v>0</v>
      </c>
      <c r="J49" s="153">
        <f ca="1">SUMIF(SOC,SP!$A49,SOC_ANNO_C)</f>
        <v>0</v>
      </c>
      <c r="K49" s="145"/>
      <c r="L49" s="153">
        <f ca="1">SUMIF(DATI_TOTALE,SP!$A49,DATI_TOTALE_DETT_1)</f>
        <v>0</v>
      </c>
      <c r="M49" s="153">
        <f ca="1">SUMIF(DATI_TOTALE,SP!$A49,DATI_TOTALE_DETT_2)</f>
        <v>0</v>
      </c>
      <c r="N49" s="153">
        <f t="shared" ca="1" si="8"/>
        <v>0</v>
      </c>
      <c r="O49" s="153">
        <f t="shared" ca="1" si="9"/>
        <v>13598000</v>
      </c>
      <c r="P49" s="153">
        <f t="shared" ca="1" si="10"/>
        <v>13598000</v>
      </c>
      <c r="Q49" s="154">
        <f t="shared" ca="1" si="11"/>
        <v>0</v>
      </c>
      <c r="R49" s="145"/>
      <c r="S49" s="145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</row>
    <row r="50" spans="1:33" x14ac:dyDescent="0.2">
      <c r="A50" s="155" t="s">
        <v>2819</v>
      </c>
      <c r="B50" s="156" t="s">
        <v>2820</v>
      </c>
      <c r="C50" s="157">
        <f t="shared" ca="1" si="6"/>
        <v>0</v>
      </c>
      <c r="D50" s="157">
        <f ca="1">SUM(D51:D54)</f>
        <v>0</v>
      </c>
      <c r="E50" s="157">
        <f ca="1">SUM(E51:E54)</f>
        <v>0</v>
      </c>
      <c r="F50" s="157">
        <f ca="1">SUM(F51:F54)</f>
        <v>0</v>
      </c>
      <c r="G50" s="157">
        <f t="shared" ca="1" si="7"/>
        <v>0</v>
      </c>
      <c r="H50" s="157">
        <f ca="1">SUM(H51:H54)</f>
        <v>0</v>
      </c>
      <c r="I50" s="157">
        <f ca="1">SUM(I51:I54)</f>
        <v>0</v>
      </c>
      <c r="J50" s="157">
        <f ca="1">SUM(J51:J54)</f>
        <v>0</v>
      </c>
      <c r="K50" s="145"/>
      <c r="L50" s="157">
        <f ca="1">SUM(L51:L54)</f>
        <v>0</v>
      </c>
      <c r="M50" s="157">
        <f ca="1">SUM(M51:M54)</f>
        <v>0</v>
      </c>
      <c r="N50" s="157">
        <f t="shared" ca="1" si="8"/>
        <v>0</v>
      </c>
      <c r="O50" s="157">
        <f t="shared" ca="1" si="9"/>
        <v>0</v>
      </c>
      <c r="P50" s="157">
        <f t="shared" ca="1" si="10"/>
        <v>0</v>
      </c>
      <c r="Q50" s="158">
        <f t="shared" ca="1" si="11"/>
        <v>0</v>
      </c>
      <c r="R50" s="145"/>
      <c r="S50" s="145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</row>
    <row r="51" spans="1:33" x14ac:dyDescent="0.2">
      <c r="A51" s="155" t="s">
        <v>1411</v>
      </c>
      <c r="B51" s="152" t="s">
        <v>2821</v>
      </c>
      <c r="C51" s="153">
        <f t="shared" ca="1" si="6"/>
        <v>0</v>
      </c>
      <c r="D51" s="153">
        <f ca="1">SUMIF(SAN,SP!$A51,SAN_ANNO_P)</f>
        <v>0</v>
      </c>
      <c r="E51" s="153">
        <f ca="1">SUMIF(RIC,SP!$A51,RIC_ANNO_P)</f>
        <v>0</v>
      </c>
      <c r="F51" s="153">
        <f ca="1">SUMIF(SOC,SP!$A51,SOC_ANNO_P)</f>
        <v>0</v>
      </c>
      <c r="G51" s="153">
        <f t="shared" ca="1" si="7"/>
        <v>0</v>
      </c>
      <c r="H51" s="153">
        <f ca="1">SUMIF(SAN,SP!$A51,SAN_ANNO_C)</f>
        <v>0</v>
      </c>
      <c r="I51" s="153">
        <f ca="1">SUMIF(RIC,SP!$A51,RIC_ANNO_C)</f>
        <v>0</v>
      </c>
      <c r="J51" s="153">
        <f ca="1">SUMIF(SOC,SP!$A51,SOC_ANNO_C)</f>
        <v>0</v>
      </c>
      <c r="K51" s="145"/>
      <c r="L51" s="153">
        <f ca="1">SUMIF(DATI_TOTALE,SP!$A51,DATI_TOTALE_DETT_1)</f>
        <v>0</v>
      </c>
      <c r="M51" s="153">
        <f ca="1">SUMIF(DATI_TOTALE,SP!$A51,DATI_TOTALE_DETT_2)</f>
        <v>0</v>
      </c>
      <c r="N51" s="153">
        <f t="shared" ca="1" si="8"/>
        <v>0</v>
      </c>
      <c r="O51" s="153">
        <f t="shared" ca="1" si="9"/>
        <v>0</v>
      </c>
      <c r="P51" s="153">
        <f t="shared" ca="1" si="10"/>
        <v>0</v>
      </c>
      <c r="Q51" s="154">
        <f t="shared" ca="1" si="11"/>
        <v>0</v>
      </c>
      <c r="R51" s="145"/>
      <c r="S51" s="145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</row>
    <row r="52" spans="1:33" x14ac:dyDescent="0.2">
      <c r="A52" s="155" t="s">
        <v>1417</v>
      </c>
      <c r="B52" s="152" t="s">
        <v>2822</v>
      </c>
      <c r="C52" s="153">
        <f t="shared" ca="1" si="6"/>
        <v>0</v>
      </c>
      <c r="D52" s="153">
        <f ca="1">SUMIF(SAN,SP!$A52,SAN_ANNO_P)</f>
        <v>0</v>
      </c>
      <c r="E52" s="153">
        <f ca="1">SUMIF(RIC,SP!$A52,RIC_ANNO_P)</f>
        <v>0</v>
      </c>
      <c r="F52" s="153">
        <f ca="1">SUMIF(SOC,SP!$A52,SOC_ANNO_P)</f>
        <v>0</v>
      </c>
      <c r="G52" s="153">
        <f t="shared" ca="1" si="7"/>
        <v>0</v>
      </c>
      <c r="H52" s="153">
        <f ca="1">SUMIF(SAN,SP!$A52,SAN_ANNO_C)</f>
        <v>0</v>
      </c>
      <c r="I52" s="153">
        <f ca="1">SUMIF(RIC,SP!$A52,RIC_ANNO_C)</f>
        <v>0</v>
      </c>
      <c r="J52" s="153">
        <f ca="1">SUMIF(SOC,SP!$A52,SOC_ANNO_C)</f>
        <v>0</v>
      </c>
      <c r="K52" s="145"/>
      <c r="L52" s="153">
        <f ca="1">SUMIF(DATI_TOTALE,SP!$A52,DATI_TOTALE_DETT_1)</f>
        <v>0</v>
      </c>
      <c r="M52" s="153">
        <f ca="1">SUMIF(DATI_TOTALE,SP!$A52,DATI_TOTALE_DETT_2)</f>
        <v>0</v>
      </c>
      <c r="N52" s="153">
        <f t="shared" ca="1" si="8"/>
        <v>0</v>
      </c>
      <c r="O52" s="153">
        <f t="shared" ca="1" si="9"/>
        <v>0</v>
      </c>
      <c r="P52" s="153">
        <f t="shared" ca="1" si="10"/>
        <v>0</v>
      </c>
      <c r="Q52" s="154">
        <f t="shared" ca="1" si="11"/>
        <v>0</v>
      </c>
      <c r="R52" s="145"/>
      <c r="S52" s="145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</row>
    <row r="53" spans="1:33" x14ac:dyDescent="0.2">
      <c r="A53" s="155" t="s">
        <v>1422</v>
      </c>
      <c r="B53" s="152" t="s">
        <v>2823</v>
      </c>
      <c r="C53" s="153">
        <f t="shared" ca="1" si="6"/>
        <v>0</v>
      </c>
      <c r="D53" s="153">
        <f ca="1">SUMIF(SAN,SP!$A53,SAN_ANNO_P)</f>
        <v>0</v>
      </c>
      <c r="E53" s="153">
        <f ca="1">SUMIF(RIC,SP!$A53,RIC_ANNO_P)</f>
        <v>0</v>
      </c>
      <c r="F53" s="153">
        <f ca="1">SUMIF(SOC,SP!$A53,SOC_ANNO_P)</f>
        <v>0</v>
      </c>
      <c r="G53" s="153">
        <f t="shared" ca="1" si="7"/>
        <v>0</v>
      </c>
      <c r="H53" s="153">
        <f ca="1">SUMIF(SAN,SP!$A53,SAN_ANNO_C)</f>
        <v>0</v>
      </c>
      <c r="I53" s="153">
        <f ca="1">SUMIF(RIC,SP!$A53,RIC_ANNO_C)</f>
        <v>0</v>
      </c>
      <c r="J53" s="153">
        <f ca="1">SUMIF(SOC,SP!$A53,SOC_ANNO_C)</f>
        <v>0</v>
      </c>
      <c r="K53" s="145"/>
      <c r="L53" s="153">
        <f ca="1">SUMIF(DATI_TOTALE,SP!$A53,DATI_TOTALE_DETT_1)</f>
        <v>0</v>
      </c>
      <c r="M53" s="153">
        <f ca="1">SUMIF(DATI_TOTALE,SP!$A53,DATI_TOTALE_DETT_2)</f>
        <v>0</v>
      </c>
      <c r="N53" s="153">
        <f t="shared" ca="1" si="8"/>
        <v>0</v>
      </c>
      <c r="O53" s="153">
        <f t="shared" ca="1" si="9"/>
        <v>0</v>
      </c>
      <c r="P53" s="153">
        <f t="shared" ca="1" si="10"/>
        <v>0</v>
      </c>
      <c r="Q53" s="154">
        <f t="shared" ca="1" si="11"/>
        <v>0</v>
      </c>
      <c r="R53" s="145"/>
      <c r="S53" s="145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</row>
    <row r="54" spans="1:33" x14ac:dyDescent="0.2">
      <c r="A54" s="155" t="s">
        <v>1427</v>
      </c>
      <c r="B54" s="152" t="s">
        <v>2824</v>
      </c>
      <c r="C54" s="153">
        <f t="shared" ca="1" si="6"/>
        <v>0</v>
      </c>
      <c r="D54" s="153">
        <f ca="1">SUMIF(SAN,SP!$A54,SAN_ANNO_P)</f>
        <v>0</v>
      </c>
      <c r="E54" s="153">
        <f ca="1">SUMIF(RIC,SP!$A54,RIC_ANNO_P)</f>
        <v>0</v>
      </c>
      <c r="F54" s="153">
        <f ca="1">SUMIF(SOC,SP!$A54,SOC_ANNO_P)</f>
        <v>0</v>
      </c>
      <c r="G54" s="153">
        <f t="shared" ca="1" si="7"/>
        <v>0</v>
      </c>
      <c r="H54" s="153">
        <f ca="1">SUMIF(SAN,SP!$A54,SAN_ANNO_C)</f>
        <v>0</v>
      </c>
      <c r="I54" s="153">
        <f ca="1">SUMIF(RIC,SP!$A54,RIC_ANNO_C)</f>
        <v>0</v>
      </c>
      <c r="J54" s="153">
        <f ca="1">SUMIF(SOC,SP!$A54,SOC_ANNO_C)</f>
        <v>0</v>
      </c>
      <c r="K54" s="145"/>
      <c r="L54" s="153">
        <f ca="1">SUMIF(DATI_TOTALE,SP!$A54,DATI_TOTALE_DETT_1)</f>
        <v>0</v>
      </c>
      <c r="M54" s="153">
        <f ca="1">SUMIF(DATI_TOTALE,SP!$A54,DATI_TOTALE_DETT_2)</f>
        <v>0</v>
      </c>
      <c r="N54" s="153">
        <f t="shared" ca="1" si="8"/>
        <v>0</v>
      </c>
      <c r="O54" s="153">
        <f t="shared" ca="1" si="9"/>
        <v>0</v>
      </c>
      <c r="P54" s="153">
        <f t="shared" ca="1" si="10"/>
        <v>0</v>
      </c>
      <c r="Q54" s="154">
        <f t="shared" ca="1" si="11"/>
        <v>0</v>
      </c>
      <c r="R54" s="145"/>
      <c r="S54" s="145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</row>
    <row r="55" spans="1:33" x14ac:dyDescent="0.2">
      <c r="A55" s="155" t="s">
        <v>1432</v>
      </c>
      <c r="B55" s="152" t="s">
        <v>2825</v>
      </c>
      <c r="C55" s="153">
        <f t="shared" ca="1" si="6"/>
        <v>0</v>
      </c>
      <c r="D55" s="153">
        <f ca="1">SUMIF(SAN,SP!$A55,SAN_ANNO_P)</f>
        <v>0</v>
      </c>
      <c r="E55" s="153">
        <f ca="1">SUMIF(RIC,SP!$A55,RIC_ANNO_P)</f>
        <v>0</v>
      </c>
      <c r="F55" s="153">
        <f ca="1">SUMIF(SOC,SP!$A55,SOC_ANNO_P)</f>
        <v>0</v>
      </c>
      <c r="G55" s="153">
        <f t="shared" ca="1" si="7"/>
        <v>0</v>
      </c>
      <c r="H55" s="153">
        <f ca="1">SUMIF(SAN,SP!$A55,SAN_ANNO_C)</f>
        <v>0</v>
      </c>
      <c r="I55" s="153">
        <f ca="1">SUMIF(RIC,SP!$A55,RIC_ANNO_C)</f>
        <v>0</v>
      </c>
      <c r="J55" s="153">
        <f ca="1">SUMIF(SOC,SP!$A55,SOC_ANNO_C)</f>
        <v>0</v>
      </c>
      <c r="K55" s="145"/>
      <c r="L55" s="153">
        <f ca="1">SUMIF(DATI_TOTALE,SP!$A55,DATI_TOTALE_DETT_1)</f>
        <v>0</v>
      </c>
      <c r="M55" s="153">
        <f ca="1">SUMIF(DATI_TOTALE,SP!$A55,DATI_TOTALE_DETT_2)</f>
        <v>0</v>
      </c>
      <c r="N55" s="153">
        <f t="shared" ca="1" si="8"/>
        <v>0</v>
      </c>
      <c r="O55" s="153">
        <f t="shared" ca="1" si="9"/>
        <v>0</v>
      </c>
      <c r="P55" s="153">
        <f t="shared" ca="1" si="10"/>
        <v>0</v>
      </c>
      <c r="Q55" s="154">
        <f t="shared" ca="1" si="11"/>
        <v>0</v>
      </c>
      <c r="R55" s="145"/>
      <c r="S55" s="145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</row>
    <row r="56" spans="1:33" x14ac:dyDescent="0.2">
      <c r="A56" s="130" t="s">
        <v>2826</v>
      </c>
      <c r="B56" s="156" t="s">
        <v>2827</v>
      </c>
      <c r="C56" s="157">
        <f t="shared" ca="1" si="6"/>
        <v>56089659</v>
      </c>
      <c r="D56" s="157">
        <f ca="1">+D57+D66</f>
        <v>56089659</v>
      </c>
      <c r="E56" s="157">
        <f ca="1">+E57+E66</f>
        <v>0</v>
      </c>
      <c r="F56" s="157">
        <f ca="1">+F57+F66</f>
        <v>0</v>
      </c>
      <c r="G56" s="157">
        <f t="shared" ca="1" si="7"/>
        <v>74239770</v>
      </c>
      <c r="H56" s="157">
        <f ca="1">+H57+H66</f>
        <v>74239770</v>
      </c>
      <c r="I56" s="157">
        <f ca="1">+I57+I66</f>
        <v>0</v>
      </c>
      <c r="J56" s="157">
        <f ca="1">+J57+J66</f>
        <v>0</v>
      </c>
      <c r="K56" s="145"/>
      <c r="L56" s="157">
        <f ca="1">+L57+L66</f>
        <v>3026827</v>
      </c>
      <c r="M56" s="157">
        <f ca="1">+M57+M66</f>
        <v>29090468</v>
      </c>
      <c r="N56" s="157">
        <f t="shared" ca="1" si="8"/>
        <v>56089659</v>
      </c>
      <c r="O56" s="157">
        <f t="shared" ca="1" si="9"/>
        <v>74239770</v>
      </c>
      <c r="P56" s="157">
        <f t="shared" ca="1" si="10"/>
        <v>18150111</v>
      </c>
      <c r="Q56" s="158">
        <f t="shared" ca="1" si="11"/>
        <v>0.32359103841226777</v>
      </c>
      <c r="R56" s="145"/>
      <c r="S56" s="145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</row>
    <row r="57" spans="1:33" x14ac:dyDescent="0.2">
      <c r="A57" s="130" t="s">
        <v>2828</v>
      </c>
      <c r="B57" s="156" t="s">
        <v>2829</v>
      </c>
      <c r="C57" s="157">
        <f t="shared" ca="1" si="6"/>
        <v>26822800</v>
      </c>
      <c r="D57" s="157">
        <f ca="1">+D58+D64+D65</f>
        <v>26822800</v>
      </c>
      <c r="E57" s="157">
        <f ca="1">+E58+E64+E65</f>
        <v>0</v>
      </c>
      <c r="F57" s="157">
        <f ca="1">+F58+F64+F65</f>
        <v>0</v>
      </c>
      <c r="G57" s="157">
        <f t="shared" ca="1" si="7"/>
        <v>44597343</v>
      </c>
      <c r="H57" s="157">
        <f ca="1">+H58+H64+H65</f>
        <v>44597343</v>
      </c>
      <c r="I57" s="157">
        <f ca="1">+I58+I64+I65</f>
        <v>0</v>
      </c>
      <c r="J57" s="157">
        <f ca="1">+J58+J64+J65</f>
        <v>0</v>
      </c>
      <c r="K57" s="145"/>
      <c r="L57" s="157">
        <f ca="1">+L58+L64+L65</f>
        <v>936607</v>
      </c>
      <c r="M57" s="157">
        <f ca="1">+M58+M64+M65</f>
        <v>10630402</v>
      </c>
      <c r="N57" s="157">
        <f t="shared" ca="1" si="8"/>
        <v>26822800</v>
      </c>
      <c r="O57" s="157">
        <f t="shared" ca="1" si="9"/>
        <v>44597343</v>
      </c>
      <c r="P57" s="157">
        <f t="shared" ca="1" si="10"/>
        <v>17774543</v>
      </c>
      <c r="Q57" s="158">
        <f t="shared" ca="1" si="11"/>
        <v>0.66266545625363493</v>
      </c>
      <c r="R57" s="145"/>
      <c r="S57" s="145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</row>
    <row r="58" spans="1:33" x14ac:dyDescent="0.2">
      <c r="A58" s="155" t="s">
        <v>2830</v>
      </c>
      <c r="B58" s="156" t="s">
        <v>2831</v>
      </c>
      <c r="C58" s="157">
        <f t="shared" ca="1" si="6"/>
        <v>26822800</v>
      </c>
      <c r="D58" s="157">
        <f ca="1">+SUM(D59:D63)</f>
        <v>26822800</v>
      </c>
      <c r="E58" s="157">
        <f ca="1">+SUM(E59:E63)</f>
        <v>0</v>
      </c>
      <c r="F58" s="157">
        <f ca="1">+SUM(F59:F63)</f>
        <v>0</v>
      </c>
      <c r="G58" s="157">
        <f t="shared" ca="1" si="7"/>
        <v>44597343</v>
      </c>
      <c r="H58" s="157">
        <f ca="1">+SUM(H59:H63)</f>
        <v>44597343</v>
      </c>
      <c r="I58" s="157">
        <f ca="1">+SUM(I59:I63)</f>
        <v>0</v>
      </c>
      <c r="J58" s="157">
        <f ca="1">+SUM(J59:J63)</f>
        <v>0</v>
      </c>
      <c r="K58" s="145"/>
      <c r="L58" s="157">
        <f ca="1">+SUM(L59:L63)</f>
        <v>936607</v>
      </c>
      <c r="M58" s="157">
        <f ca="1">+SUM(M59:M63)</f>
        <v>10630402</v>
      </c>
      <c r="N58" s="157">
        <f t="shared" ca="1" si="8"/>
        <v>26822800</v>
      </c>
      <c r="O58" s="157">
        <f t="shared" ca="1" si="9"/>
        <v>44597343</v>
      </c>
      <c r="P58" s="157">
        <f t="shared" ca="1" si="10"/>
        <v>17774543</v>
      </c>
      <c r="Q58" s="158">
        <f t="shared" ca="1" si="11"/>
        <v>0.66266545625363493</v>
      </c>
      <c r="R58" s="145"/>
      <c r="S58" s="145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</row>
    <row r="59" spans="1:33" x14ac:dyDescent="0.2">
      <c r="A59" s="155" t="s">
        <v>1444</v>
      </c>
      <c r="B59" s="152" t="s">
        <v>2832</v>
      </c>
      <c r="C59" s="153">
        <f t="shared" ca="1" si="6"/>
        <v>11488510</v>
      </c>
      <c r="D59" s="153">
        <f ca="1">SUMIF(SAN,SP!$A59,SAN_ANNO_P)</f>
        <v>11488510</v>
      </c>
      <c r="E59" s="153">
        <f ca="1">SUMIF(RIC,SP!$A59,RIC_ANNO_P)</f>
        <v>0</v>
      </c>
      <c r="F59" s="153">
        <f ca="1">SUMIF(SOC,SP!$A59,SOC_ANNO_P)</f>
        <v>0</v>
      </c>
      <c r="G59" s="153">
        <f t="shared" ca="1" si="7"/>
        <v>36727183</v>
      </c>
      <c r="H59" s="153">
        <f ca="1">SUMIF(SAN,SP!$A59,SAN_ANNO_C)</f>
        <v>36727183</v>
      </c>
      <c r="I59" s="153">
        <f ca="1">SUMIF(RIC,SP!$A59,RIC_ANNO_C)</f>
        <v>0</v>
      </c>
      <c r="J59" s="153">
        <f ca="1">SUMIF(SOC,SP!$A59,SOC_ANNO_C)</f>
        <v>0</v>
      </c>
      <c r="K59" s="145"/>
      <c r="L59" s="153">
        <f ca="1">SUMIF(DATI_TOTALE,SP!$A59,DATI_TOTALE_DETT_1)</f>
        <v>893000</v>
      </c>
      <c r="M59" s="153">
        <f ca="1">SUMIF(DATI_TOTALE,SP!$A59,DATI_TOTALE_DETT_2)</f>
        <v>8640844</v>
      </c>
      <c r="N59" s="153">
        <f t="shared" ca="1" si="8"/>
        <v>11488510</v>
      </c>
      <c r="O59" s="153">
        <f t="shared" ca="1" si="9"/>
        <v>36727183</v>
      </c>
      <c r="P59" s="153">
        <f t="shared" ca="1" si="10"/>
        <v>25238673</v>
      </c>
      <c r="Q59" s="154">
        <f t="shared" ca="1" si="11"/>
        <v>2.1968621692456201</v>
      </c>
      <c r="R59" s="145"/>
      <c r="S59" s="145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</row>
    <row r="60" spans="1:33" x14ac:dyDescent="0.2">
      <c r="A60" s="155" t="s">
        <v>1501</v>
      </c>
      <c r="B60" s="152" t="s">
        <v>2833</v>
      </c>
      <c r="C60" s="153">
        <f t="shared" ca="1" si="6"/>
        <v>0</v>
      </c>
      <c r="D60" s="153">
        <f ca="1">SUMIF(SAN,SP!$A60,SAN_ANNO_P)</f>
        <v>0</v>
      </c>
      <c r="E60" s="153">
        <f ca="1">SUMIF(RIC,SP!$A60,RIC_ANNO_P)</f>
        <v>0</v>
      </c>
      <c r="F60" s="153">
        <f ca="1">SUMIF(SOC,SP!$A60,SOC_ANNO_P)</f>
        <v>0</v>
      </c>
      <c r="G60" s="153">
        <f t="shared" ca="1" si="7"/>
        <v>0</v>
      </c>
      <c r="H60" s="153">
        <f ca="1">SUMIF(SAN,SP!$A60,SAN_ANNO_C)</f>
        <v>0</v>
      </c>
      <c r="I60" s="153">
        <f ca="1">SUMIF(RIC,SP!$A60,RIC_ANNO_C)</f>
        <v>0</v>
      </c>
      <c r="J60" s="153">
        <f ca="1">SUMIF(SOC,SP!$A60,SOC_ANNO_C)</f>
        <v>0</v>
      </c>
      <c r="K60" s="145"/>
      <c r="L60" s="153">
        <f ca="1">SUMIF(DATI_TOTALE,SP!$A60,DATI_TOTALE_DETT_1)</f>
        <v>0</v>
      </c>
      <c r="M60" s="153">
        <f ca="1">SUMIF(DATI_TOTALE,SP!$A60,DATI_TOTALE_DETT_2)</f>
        <v>0</v>
      </c>
      <c r="N60" s="153">
        <f t="shared" ca="1" si="8"/>
        <v>0</v>
      </c>
      <c r="O60" s="153">
        <f t="shared" ca="1" si="9"/>
        <v>0</v>
      </c>
      <c r="P60" s="153">
        <f t="shared" ca="1" si="10"/>
        <v>0</v>
      </c>
      <c r="Q60" s="154">
        <f t="shared" ca="1" si="11"/>
        <v>0</v>
      </c>
      <c r="R60" s="145"/>
      <c r="S60" s="145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</row>
    <row r="61" spans="1:33" x14ac:dyDescent="0.2">
      <c r="A61" s="155" t="s">
        <v>1506</v>
      </c>
      <c r="B61" s="152" t="s">
        <v>2834</v>
      </c>
      <c r="C61" s="153">
        <f t="shared" ca="1" si="6"/>
        <v>0</v>
      </c>
      <c r="D61" s="153">
        <f ca="1">SUMIF(SAN,SP!$A61,SAN_ANNO_P)</f>
        <v>0</v>
      </c>
      <c r="E61" s="153">
        <f ca="1">SUMIF(RIC,SP!$A61,RIC_ANNO_P)</f>
        <v>0</v>
      </c>
      <c r="F61" s="153">
        <f ca="1">SUMIF(SOC,SP!$A61,SOC_ANNO_P)</f>
        <v>0</v>
      </c>
      <c r="G61" s="153">
        <f t="shared" ca="1" si="7"/>
        <v>0</v>
      </c>
      <c r="H61" s="153">
        <f ca="1">SUMIF(SAN,SP!$A61,SAN_ANNO_C)</f>
        <v>0</v>
      </c>
      <c r="I61" s="153">
        <f ca="1">SUMIF(RIC,SP!$A61,RIC_ANNO_C)</f>
        <v>0</v>
      </c>
      <c r="J61" s="153">
        <f ca="1">SUMIF(SOC,SP!$A61,SOC_ANNO_C)</f>
        <v>0</v>
      </c>
      <c r="K61" s="145"/>
      <c r="L61" s="153">
        <f ca="1">SUMIF(DATI_TOTALE,SP!$A61,DATI_TOTALE_DETT_1)</f>
        <v>0</v>
      </c>
      <c r="M61" s="153">
        <f ca="1">SUMIF(DATI_TOTALE,SP!$A61,DATI_TOTALE_DETT_2)</f>
        <v>0</v>
      </c>
      <c r="N61" s="153">
        <f t="shared" ca="1" si="8"/>
        <v>0</v>
      </c>
      <c r="O61" s="153">
        <f t="shared" ca="1" si="9"/>
        <v>0</v>
      </c>
      <c r="P61" s="153">
        <f t="shared" ca="1" si="10"/>
        <v>0</v>
      </c>
      <c r="Q61" s="154">
        <f t="shared" ca="1" si="11"/>
        <v>0</v>
      </c>
      <c r="R61" s="145"/>
      <c r="S61" s="145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</row>
    <row r="62" spans="1:33" x14ac:dyDescent="0.2">
      <c r="A62" s="155" t="s">
        <v>1511</v>
      </c>
      <c r="B62" s="152" t="s">
        <v>2835</v>
      </c>
      <c r="C62" s="153">
        <f t="shared" ca="1" si="6"/>
        <v>15334290</v>
      </c>
      <c r="D62" s="153">
        <f ca="1">SUMIF(SAN,SP!$A62,SAN_ANNO_P)</f>
        <v>15334290</v>
      </c>
      <c r="E62" s="153">
        <f ca="1">SUMIF(RIC,SP!$A62,RIC_ANNO_P)</f>
        <v>0</v>
      </c>
      <c r="F62" s="153">
        <f ca="1">SUMIF(SOC,SP!$A62,SOC_ANNO_P)</f>
        <v>0</v>
      </c>
      <c r="G62" s="153">
        <f t="shared" ca="1" si="7"/>
        <v>7870160</v>
      </c>
      <c r="H62" s="153">
        <f ca="1">SUMIF(SAN,SP!$A62,SAN_ANNO_C)</f>
        <v>7870160</v>
      </c>
      <c r="I62" s="153">
        <f ca="1">SUMIF(RIC,SP!$A62,RIC_ANNO_C)</f>
        <v>0</v>
      </c>
      <c r="J62" s="153">
        <f ca="1">SUMIF(SOC,SP!$A62,SOC_ANNO_C)</f>
        <v>0</v>
      </c>
      <c r="K62" s="145"/>
      <c r="L62" s="153">
        <f ca="1">SUMIF(DATI_TOTALE,SP!$A62,DATI_TOTALE_DETT_1)</f>
        <v>43607</v>
      </c>
      <c r="M62" s="153">
        <f ca="1">SUMIF(DATI_TOTALE,SP!$A62,DATI_TOTALE_DETT_2)</f>
        <v>1989558</v>
      </c>
      <c r="N62" s="153">
        <f t="shared" ca="1" si="8"/>
        <v>15334290</v>
      </c>
      <c r="O62" s="153">
        <f t="shared" ca="1" si="9"/>
        <v>7870160</v>
      </c>
      <c r="P62" s="153">
        <f t="shared" ca="1" si="10"/>
        <v>-7464130</v>
      </c>
      <c r="Q62" s="154">
        <f t="shared" ca="1" si="11"/>
        <v>-0.48676071732046283</v>
      </c>
      <c r="R62" s="145"/>
      <c r="S62" s="145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</row>
    <row r="63" spans="1:33" x14ac:dyDescent="0.2">
      <c r="A63" s="61" t="s">
        <v>1516</v>
      </c>
      <c r="B63" s="152" t="s">
        <v>2836</v>
      </c>
      <c r="C63" s="153">
        <f t="shared" ca="1" si="6"/>
        <v>0</v>
      </c>
      <c r="D63" s="153">
        <f ca="1">SUMIF(SAN,SP!$A63,SAN_ANNO_P)</f>
        <v>0</v>
      </c>
      <c r="E63" s="153">
        <f ca="1">SUMIF(RIC,SP!$A63,RIC_ANNO_P)</f>
        <v>0</v>
      </c>
      <c r="F63" s="153">
        <f ca="1">SUMIF(SOC,SP!$A63,SOC_ANNO_P)</f>
        <v>0</v>
      </c>
      <c r="G63" s="153">
        <f t="shared" ca="1" si="7"/>
        <v>0</v>
      </c>
      <c r="H63" s="153">
        <f ca="1">SUMIF(SAN,SP!$A63,SAN_ANNO_C)</f>
        <v>0</v>
      </c>
      <c r="I63" s="153">
        <f ca="1">SUMIF(RIC,SP!$A63,RIC_ANNO_C)</f>
        <v>0</v>
      </c>
      <c r="J63" s="153">
        <f ca="1">SUMIF(SOC,SP!$A63,SOC_ANNO_C)</f>
        <v>0</v>
      </c>
      <c r="K63" s="145"/>
      <c r="L63" s="153">
        <f ca="1">SUMIF(DATI_TOTALE,SP!$A63,DATI_TOTALE_DETT_1)</f>
        <v>0</v>
      </c>
      <c r="M63" s="153">
        <f ca="1">SUMIF(DATI_TOTALE,SP!$A63,DATI_TOTALE_DETT_2)</f>
        <v>0</v>
      </c>
      <c r="N63" s="153">
        <f t="shared" ca="1" si="8"/>
        <v>0</v>
      </c>
      <c r="O63" s="153">
        <f t="shared" ca="1" si="9"/>
        <v>0</v>
      </c>
      <c r="P63" s="153">
        <f t="shared" ca="1" si="10"/>
        <v>0</v>
      </c>
      <c r="Q63" s="154">
        <f t="shared" ca="1" si="11"/>
        <v>0</v>
      </c>
      <c r="R63" s="145"/>
      <c r="S63" s="145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</row>
    <row r="64" spans="1:33" x14ac:dyDescent="0.2">
      <c r="A64" s="155" t="s">
        <v>1521</v>
      </c>
      <c r="B64" s="152" t="s">
        <v>2837</v>
      </c>
      <c r="C64" s="153">
        <f t="shared" ca="1" si="6"/>
        <v>0</v>
      </c>
      <c r="D64" s="153">
        <f ca="1">SUMIF(SAN,SP!$A64,SAN_ANNO_P)</f>
        <v>0</v>
      </c>
      <c r="E64" s="153">
        <f ca="1">SUMIF(RIC,SP!$A64,RIC_ANNO_P)</f>
        <v>0</v>
      </c>
      <c r="F64" s="153">
        <f ca="1">SUMIF(SOC,SP!$A64,SOC_ANNO_P)</f>
        <v>0</v>
      </c>
      <c r="G64" s="153">
        <f t="shared" ca="1" si="7"/>
        <v>0</v>
      </c>
      <c r="H64" s="153">
        <f ca="1">SUMIF(SAN,SP!$A64,SAN_ANNO_C)</f>
        <v>0</v>
      </c>
      <c r="I64" s="153">
        <f ca="1">SUMIF(RIC,SP!$A64,RIC_ANNO_C)</f>
        <v>0</v>
      </c>
      <c r="J64" s="153">
        <f ca="1">SUMIF(SOC,SP!$A64,SOC_ANNO_C)</f>
        <v>0</v>
      </c>
      <c r="K64" s="145"/>
      <c r="L64" s="153">
        <f ca="1">SUMIF(DATI_TOTALE,SP!$A64,DATI_TOTALE_DETT_1)</f>
        <v>0</v>
      </c>
      <c r="M64" s="153">
        <f ca="1">SUMIF(DATI_TOTALE,SP!$A64,DATI_TOTALE_DETT_2)</f>
        <v>0</v>
      </c>
      <c r="N64" s="153">
        <f t="shared" ca="1" si="8"/>
        <v>0</v>
      </c>
      <c r="O64" s="153">
        <f t="shared" ca="1" si="9"/>
        <v>0</v>
      </c>
      <c r="P64" s="153">
        <f t="shared" ca="1" si="10"/>
        <v>0</v>
      </c>
      <c r="Q64" s="154">
        <f t="shared" ca="1" si="11"/>
        <v>0</v>
      </c>
      <c r="R64" s="145"/>
      <c r="S64" s="145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</row>
    <row r="65" spans="1:33" x14ac:dyDescent="0.2">
      <c r="A65" s="155" t="s">
        <v>1526</v>
      </c>
      <c r="B65" s="152" t="s">
        <v>2838</v>
      </c>
      <c r="C65" s="153">
        <f t="shared" ca="1" si="6"/>
        <v>0</v>
      </c>
      <c r="D65" s="153">
        <f ca="1">SUMIF(SAN,SP!$A65,SAN_ANNO_P)</f>
        <v>0</v>
      </c>
      <c r="E65" s="153">
        <f ca="1">SUMIF(RIC,SP!$A65,RIC_ANNO_P)</f>
        <v>0</v>
      </c>
      <c r="F65" s="153">
        <f ca="1">SUMIF(SOC,SP!$A65,SOC_ANNO_P)</f>
        <v>0</v>
      </c>
      <c r="G65" s="153">
        <f t="shared" ca="1" si="7"/>
        <v>0</v>
      </c>
      <c r="H65" s="153">
        <f ca="1">SUMIF(SAN,SP!$A65,SAN_ANNO_C)</f>
        <v>0</v>
      </c>
      <c r="I65" s="153">
        <f ca="1">SUMIF(RIC,SP!$A65,RIC_ANNO_C)</f>
        <v>0</v>
      </c>
      <c r="J65" s="153">
        <f ca="1">SUMIF(SOC,SP!$A65,SOC_ANNO_C)</f>
        <v>0</v>
      </c>
      <c r="K65" s="145"/>
      <c r="L65" s="153">
        <f ca="1">SUMIF(DATI_TOTALE,SP!$A65,DATI_TOTALE_DETT_1)</f>
        <v>0</v>
      </c>
      <c r="M65" s="153">
        <f ca="1">SUMIF(DATI_TOTALE,SP!$A65,DATI_TOTALE_DETT_2)</f>
        <v>0</v>
      </c>
      <c r="N65" s="153">
        <f t="shared" ca="1" si="8"/>
        <v>0</v>
      </c>
      <c r="O65" s="153">
        <f t="shared" ca="1" si="9"/>
        <v>0</v>
      </c>
      <c r="P65" s="153">
        <f t="shared" ca="1" si="10"/>
        <v>0</v>
      </c>
      <c r="Q65" s="154">
        <f t="shared" ca="1" si="11"/>
        <v>0</v>
      </c>
      <c r="R65" s="145"/>
      <c r="S65" s="145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</row>
    <row r="66" spans="1:33" x14ac:dyDescent="0.2">
      <c r="A66" s="155" t="s">
        <v>2839</v>
      </c>
      <c r="B66" s="156" t="s">
        <v>2840</v>
      </c>
      <c r="C66" s="157">
        <f t="shared" ca="1" si="6"/>
        <v>29266859</v>
      </c>
      <c r="D66" s="157">
        <f ca="1">SUM(D67:D71)</f>
        <v>29266859</v>
      </c>
      <c r="E66" s="157">
        <f ca="1">SUM(E67:E71)</f>
        <v>0</v>
      </c>
      <c r="F66" s="157">
        <f ca="1">SUM(F67:F71)</f>
        <v>0</v>
      </c>
      <c r="G66" s="157">
        <f t="shared" ca="1" si="7"/>
        <v>29642427</v>
      </c>
      <c r="H66" s="157">
        <f ca="1">SUM(H67:H71)</f>
        <v>29642427</v>
      </c>
      <c r="I66" s="157">
        <f ca="1">SUM(I67:I71)</f>
        <v>0</v>
      </c>
      <c r="J66" s="157">
        <f ca="1">SUM(J67:J71)</f>
        <v>0</v>
      </c>
      <c r="K66" s="145"/>
      <c r="L66" s="157">
        <f ca="1">SUM(L67:L71)</f>
        <v>2090220</v>
      </c>
      <c r="M66" s="157">
        <f ca="1">SUM(M67:M71)</f>
        <v>18460066</v>
      </c>
      <c r="N66" s="157">
        <f t="shared" ca="1" si="8"/>
        <v>29266859</v>
      </c>
      <c r="O66" s="157">
        <f t="shared" ca="1" si="9"/>
        <v>29642427</v>
      </c>
      <c r="P66" s="157">
        <f t="shared" ca="1" si="10"/>
        <v>375568</v>
      </c>
      <c r="Q66" s="158">
        <f t="shared" ca="1" si="11"/>
        <v>1.2832535257712486E-2</v>
      </c>
      <c r="R66" s="145"/>
      <c r="S66" s="145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</row>
    <row r="67" spans="1:33" x14ac:dyDescent="0.2">
      <c r="A67" s="155" t="s">
        <v>1535</v>
      </c>
      <c r="B67" s="152" t="s">
        <v>2841</v>
      </c>
      <c r="C67" s="153">
        <f t="shared" ca="1" si="6"/>
        <v>29266859</v>
      </c>
      <c r="D67" s="153">
        <f ca="1">SUMIF(SAN,SP!$A67,SAN_ANNO_P)</f>
        <v>29266859</v>
      </c>
      <c r="E67" s="153">
        <f ca="1">SUMIF(RIC,SP!$A67,RIC_ANNO_P)</f>
        <v>0</v>
      </c>
      <c r="F67" s="153">
        <f ca="1">SUMIF(SOC,SP!$A67,SOC_ANNO_P)</f>
        <v>0</v>
      </c>
      <c r="G67" s="153">
        <f t="shared" ca="1" si="7"/>
        <v>29642427</v>
      </c>
      <c r="H67" s="153">
        <f ca="1">SUMIF(SAN,SP!$A67,SAN_ANNO_C)</f>
        <v>29642427</v>
      </c>
      <c r="I67" s="153">
        <f ca="1">SUMIF(RIC,SP!$A67,RIC_ANNO_C)</f>
        <v>0</v>
      </c>
      <c r="J67" s="153">
        <f ca="1">SUMIF(SOC,SP!$A67,SOC_ANNO_C)</f>
        <v>0</v>
      </c>
      <c r="K67" s="145"/>
      <c r="L67" s="153">
        <f ca="1">SUMIF(DATI_TOTALE,SP!$A67,DATI_TOTALE_DETT_1)</f>
        <v>2090220</v>
      </c>
      <c r="M67" s="153">
        <f ca="1">SUMIF(DATI_TOTALE,SP!$A67,DATI_TOTALE_DETT_2)</f>
        <v>18460066</v>
      </c>
      <c r="N67" s="153">
        <f t="shared" ca="1" si="8"/>
        <v>29266859</v>
      </c>
      <c r="O67" s="153">
        <f t="shared" ca="1" si="9"/>
        <v>29642427</v>
      </c>
      <c r="P67" s="153">
        <f t="shared" ca="1" si="10"/>
        <v>375568</v>
      </c>
      <c r="Q67" s="154">
        <f t="shared" ca="1" si="11"/>
        <v>1.2832535257712486E-2</v>
      </c>
      <c r="R67" s="145"/>
      <c r="S67" s="145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</row>
    <row r="68" spans="1:33" x14ac:dyDescent="0.2">
      <c r="A68" s="155" t="s">
        <v>1541</v>
      </c>
      <c r="B68" s="152" t="s">
        <v>2842</v>
      </c>
      <c r="C68" s="153">
        <f t="shared" ca="1" si="6"/>
        <v>0</v>
      </c>
      <c r="D68" s="153">
        <f ca="1">SUMIF(SAN,SP!$A68,SAN_ANNO_P)</f>
        <v>0</v>
      </c>
      <c r="E68" s="153">
        <f ca="1">SUMIF(RIC,SP!$A68,RIC_ANNO_P)</f>
        <v>0</v>
      </c>
      <c r="F68" s="153">
        <f ca="1">SUMIF(SOC,SP!$A68,SOC_ANNO_P)</f>
        <v>0</v>
      </c>
      <c r="G68" s="153">
        <f t="shared" ca="1" si="7"/>
        <v>0</v>
      </c>
      <c r="H68" s="153">
        <f ca="1">SUMIF(SAN,SP!$A68,SAN_ANNO_C)</f>
        <v>0</v>
      </c>
      <c r="I68" s="153">
        <f ca="1">SUMIF(RIC,SP!$A68,RIC_ANNO_C)</f>
        <v>0</v>
      </c>
      <c r="J68" s="153">
        <f ca="1">SUMIF(SOC,SP!$A68,SOC_ANNO_C)</f>
        <v>0</v>
      </c>
      <c r="K68" s="145"/>
      <c r="L68" s="153">
        <f ca="1">SUMIF(DATI_TOTALE,SP!$A68,DATI_TOTALE_DETT_1)</f>
        <v>0</v>
      </c>
      <c r="M68" s="153">
        <f ca="1">SUMIF(DATI_TOTALE,SP!$A68,DATI_TOTALE_DETT_2)</f>
        <v>0</v>
      </c>
      <c r="N68" s="153">
        <f t="shared" ca="1" si="8"/>
        <v>0</v>
      </c>
      <c r="O68" s="153">
        <f t="shared" ca="1" si="9"/>
        <v>0</v>
      </c>
      <c r="P68" s="153">
        <f t="shared" ca="1" si="10"/>
        <v>0</v>
      </c>
      <c r="Q68" s="154">
        <f t="shared" ca="1" si="11"/>
        <v>0</v>
      </c>
      <c r="R68" s="145"/>
      <c r="S68" s="145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</row>
    <row r="69" spans="1:33" x14ac:dyDescent="0.2">
      <c r="A69" s="155" t="s">
        <v>1547</v>
      </c>
      <c r="B69" s="152" t="s">
        <v>2843</v>
      </c>
      <c r="C69" s="153">
        <f t="shared" ca="1" si="6"/>
        <v>0</v>
      </c>
      <c r="D69" s="153">
        <f ca="1">SUMIF(SAN,SP!$A69,SAN_ANNO_P)</f>
        <v>0</v>
      </c>
      <c r="E69" s="153">
        <f ca="1">SUMIF(RIC,SP!$A69,RIC_ANNO_P)</f>
        <v>0</v>
      </c>
      <c r="F69" s="153">
        <f ca="1">SUMIF(SOC,SP!$A69,SOC_ANNO_P)</f>
        <v>0</v>
      </c>
      <c r="G69" s="153">
        <f t="shared" ca="1" si="7"/>
        <v>0</v>
      </c>
      <c r="H69" s="153">
        <f ca="1">SUMIF(SAN,SP!$A69,SAN_ANNO_C)</f>
        <v>0</v>
      </c>
      <c r="I69" s="153">
        <f ca="1">SUMIF(RIC,SP!$A69,RIC_ANNO_C)</f>
        <v>0</v>
      </c>
      <c r="J69" s="153">
        <f ca="1">SUMIF(SOC,SP!$A69,SOC_ANNO_C)</f>
        <v>0</v>
      </c>
      <c r="K69" s="145"/>
      <c r="L69" s="153">
        <f ca="1">SUMIF(DATI_TOTALE,SP!$A69,DATI_TOTALE_DETT_1)</f>
        <v>0</v>
      </c>
      <c r="M69" s="153">
        <f ca="1">SUMIF(DATI_TOTALE,SP!$A69,DATI_TOTALE_DETT_2)</f>
        <v>0</v>
      </c>
      <c r="N69" s="153">
        <f t="shared" ca="1" si="8"/>
        <v>0</v>
      </c>
      <c r="O69" s="153">
        <f t="shared" ca="1" si="9"/>
        <v>0</v>
      </c>
      <c r="P69" s="153">
        <f t="shared" ca="1" si="10"/>
        <v>0</v>
      </c>
      <c r="Q69" s="154">
        <f t="shared" ca="1" si="11"/>
        <v>0</v>
      </c>
      <c r="R69" s="145"/>
      <c r="S69" s="145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</row>
    <row r="70" spans="1:33" x14ac:dyDescent="0.2">
      <c r="A70" s="155" t="s">
        <v>1552</v>
      </c>
      <c r="B70" s="152" t="s">
        <v>2844</v>
      </c>
      <c r="C70" s="153">
        <f t="shared" ca="1" si="6"/>
        <v>0</v>
      </c>
      <c r="D70" s="153">
        <f ca="1">SUMIF(SAN,SP!$A70,SAN_ANNO_P)</f>
        <v>0</v>
      </c>
      <c r="E70" s="153">
        <f ca="1">SUMIF(RIC,SP!$A70,RIC_ANNO_P)</f>
        <v>0</v>
      </c>
      <c r="F70" s="153">
        <f ca="1">SUMIF(SOC,SP!$A70,SOC_ANNO_P)</f>
        <v>0</v>
      </c>
      <c r="G70" s="153">
        <f t="shared" ca="1" si="7"/>
        <v>0</v>
      </c>
      <c r="H70" s="153">
        <f ca="1">SUMIF(SAN,SP!$A70,SAN_ANNO_C)</f>
        <v>0</v>
      </c>
      <c r="I70" s="153">
        <f ca="1">SUMIF(RIC,SP!$A70,RIC_ANNO_C)</f>
        <v>0</v>
      </c>
      <c r="J70" s="153">
        <f ca="1">SUMIF(SOC,SP!$A70,SOC_ANNO_C)</f>
        <v>0</v>
      </c>
      <c r="K70" s="145"/>
      <c r="L70" s="153">
        <f ca="1">SUMIF(DATI_TOTALE,SP!$A70,DATI_TOTALE_DETT_1)</f>
        <v>0</v>
      </c>
      <c r="M70" s="153">
        <f ca="1">SUMIF(DATI_TOTALE,SP!$A70,DATI_TOTALE_DETT_2)</f>
        <v>0</v>
      </c>
      <c r="N70" s="153">
        <f t="shared" ca="1" si="8"/>
        <v>0</v>
      </c>
      <c r="O70" s="153">
        <f t="shared" ca="1" si="9"/>
        <v>0</v>
      </c>
      <c r="P70" s="153">
        <f t="shared" ca="1" si="10"/>
        <v>0</v>
      </c>
      <c r="Q70" s="154">
        <f t="shared" ca="1" si="11"/>
        <v>0</v>
      </c>
      <c r="R70" s="145"/>
      <c r="S70" s="145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</row>
    <row r="71" spans="1:33" x14ac:dyDescent="0.2">
      <c r="A71" s="61" t="s">
        <v>1566</v>
      </c>
      <c r="B71" s="152" t="s">
        <v>2845</v>
      </c>
      <c r="C71" s="153">
        <f t="shared" ca="1" si="6"/>
        <v>0</v>
      </c>
      <c r="D71" s="153">
        <f ca="1">SUMIF(SAN,SP!$A71,SAN_ANNO_P)</f>
        <v>0</v>
      </c>
      <c r="E71" s="153">
        <f ca="1">SUMIF(RIC,SP!$A71,RIC_ANNO_P)</f>
        <v>0</v>
      </c>
      <c r="F71" s="153">
        <f ca="1">SUMIF(SOC,SP!$A71,SOC_ANNO_P)</f>
        <v>0</v>
      </c>
      <c r="G71" s="153">
        <f t="shared" ca="1" si="7"/>
        <v>0</v>
      </c>
      <c r="H71" s="153">
        <f ca="1">SUMIF(SAN,SP!$A71,SAN_ANNO_C)</f>
        <v>0</v>
      </c>
      <c r="I71" s="153">
        <f ca="1">SUMIF(RIC,SP!$A71,RIC_ANNO_C)</f>
        <v>0</v>
      </c>
      <c r="J71" s="153">
        <f ca="1">SUMIF(SOC,SP!$A71,SOC_ANNO_C)</f>
        <v>0</v>
      </c>
      <c r="K71" s="145"/>
      <c r="L71" s="153">
        <f ca="1">SUMIF(DATI_TOTALE,SP!$A71,DATI_TOTALE_DETT_1)</f>
        <v>0</v>
      </c>
      <c r="M71" s="153">
        <f ca="1">SUMIF(DATI_TOTALE,SP!$A71,DATI_TOTALE_DETT_2)</f>
        <v>0</v>
      </c>
      <c r="N71" s="153">
        <f t="shared" ca="1" si="8"/>
        <v>0</v>
      </c>
      <c r="O71" s="153">
        <f t="shared" ca="1" si="9"/>
        <v>0</v>
      </c>
      <c r="P71" s="153">
        <f t="shared" ca="1" si="10"/>
        <v>0</v>
      </c>
      <c r="Q71" s="154">
        <f t="shared" ca="1" si="11"/>
        <v>0</v>
      </c>
      <c r="R71" s="145"/>
      <c r="S71" s="145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</row>
    <row r="72" spans="1:33" x14ac:dyDescent="0.2">
      <c r="A72" s="130" t="s">
        <v>1576</v>
      </c>
      <c r="B72" s="152" t="s">
        <v>1577</v>
      </c>
      <c r="C72" s="153">
        <f t="shared" ca="1" si="6"/>
        <v>5546</v>
      </c>
      <c r="D72" s="153">
        <f ca="1">SUMIF(SAN,SP!$A72,SAN_ANNO_P)</f>
        <v>5546</v>
      </c>
      <c r="E72" s="153">
        <f ca="1">SUMIF(RIC,SP!$A72,RIC_ANNO_P)</f>
        <v>0</v>
      </c>
      <c r="F72" s="153">
        <f ca="1">SUMIF(SOC,SP!$A72,SOC_ANNO_P)</f>
        <v>0</v>
      </c>
      <c r="G72" s="153">
        <f t="shared" ca="1" si="7"/>
        <v>22120</v>
      </c>
      <c r="H72" s="153">
        <f ca="1">SUMIF(SAN,SP!$A72,SAN_ANNO_C)</f>
        <v>22120</v>
      </c>
      <c r="I72" s="153">
        <f ca="1">SUMIF(RIC,SP!$A72,RIC_ANNO_C)</f>
        <v>0</v>
      </c>
      <c r="J72" s="153">
        <f ca="1">SUMIF(SOC,SP!$A72,SOC_ANNO_C)</f>
        <v>0</v>
      </c>
      <c r="K72" s="145"/>
      <c r="L72" s="153">
        <f ca="1">SUMIF(DATI_TOTALE,SP!$A72,DATI_TOTALE_DETT_1)</f>
        <v>0</v>
      </c>
      <c r="M72" s="153">
        <f ca="1">SUMIF(DATI_TOTALE,SP!$A72,DATI_TOTALE_DETT_2)</f>
        <v>0</v>
      </c>
      <c r="N72" s="153">
        <f t="shared" ca="1" si="8"/>
        <v>5546</v>
      </c>
      <c r="O72" s="153">
        <f t="shared" ca="1" si="9"/>
        <v>22120</v>
      </c>
      <c r="P72" s="153">
        <f t="shared" ca="1" si="10"/>
        <v>16574</v>
      </c>
      <c r="Q72" s="154">
        <f t="shared" ca="1" si="11"/>
        <v>2.988460151460512</v>
      </c>
      <c r="R72" s="145"/>
      <c r="S72" s="145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</row>
    <row r="73" spans="1:33" x14ac:dyDescent="0.2">
      <c r="A73" s="130" t="s">
        <v>2846</v>
      </c>
      <c r="B73" s="156" t="s">
        <v>2847</v>
      </c>
      <c r="C73" s="157">
        <f t="shared" ca="1" si="6"/>
        <v>18276645</v>
      </c>
      <c r="D73" s="157">
        <f ca="1">SUM(D75:D79)</f>
        <v>18276645</v>
      </c>
      <c r="E73" s="157">
        <f ca="1">SUM(E75:E79)</f>
        <v>0</v>
      </c>
      <c r="F73" s="157">
        <f ca="1">SUM(F75:F79)</f>
        <v>0</v>
      </c>
      <c r="G73" s="157">
        <f t="shared" ca="1" si="7"/>
        <v>12947177</v>
      </c>
      <c r="H73" s="157">
        <f ca="1">SUM(H75:H79)</f>
        <v>12947177</v>
      </c>
      <c r="I73" s="157">
        <f ca="1">SUM(I75:I79)</f>
        <v>0</v>
      </c>
      <c r="J73" s="157">
        <f ca="1">SUM(J75:J79)</f>
        <v>0</v>
      </c>
      <c r="K73" s="145"/>
      <c r="L73" s="157">
        <f ca="1">SUM(L75:L79)</f>
        <v>0</v>
      </c>
      <c r="M73" s="157">
        <f ca="1">SUM(M75:M79)</f>
        <v>196855</v>
      </c>
      <c r="N73" s="157">
        <f t="shared" ca="1" si="8"/>
        <v>18276645</v>
      </c>
      <c r="O73" s="157">
        <f t="shared" ca="1" si="9"/>
        <v>12947177</v>
      </c>
      <c r="P73" s="157">
        <f t="shared" ca="1" si="10"/>
        <v>-5329468</v>
      </c>
      <c r="Q73" s="158">
        <f t="shared" ca="1" si="11"/>
        <v>-0.29159990796998025</v>
      </c>
      <c r="R73" s="145"/>
      <c r="S73" s="145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</row>
    <row r="74" spans="1:33" x14ac:dyDescent="0.2">
      <c r="A74" s="130" t="s">
        <v>2848</v>
      </c>
      <c r="B74" s="156" t="s">
        <v>2849</v>
      </c>
      <c r="C74" s="157">
        <f t="shared" ca="1" si="6"/>
        <v>18170863</v>
      </c>
      <c r="D74" s="157">
        <f ca="1">SUM(D75:D78)</f>
        <v>18170863</v>
      </c>
      <c r="E74" s="157">
        <f ca="1">SUM(E75:E78)</f>
        <v>0</v>
      </c>
      <c r="F74" s="157">
        <f ca="1">SUM(F75:F78)</f>
        <v>0</v>
      </c>
      <c r="G74" s="157">
        <f t="shared" ca="1" si="7"/>
        <v>11890177</v>
      </c>
      <c r="H74" s="157">
        <f ca="1">SUM(H75:H78)</f>
        <v>11890177</v>
      </c>
      <c r="I74" s="157">
        <f ca="1">SUM(I75:I78)</f>
        <v>0</v>
      </c>
      <c r="J74" s="157">
        <f ca="1">SUM(J75:J78)</f>
        <v>0</v>
      </c>
      <c r="K74" s="145"/>
      <c r="L74" s="157">
        <f ca="1">SUM(L75:L78)</f>
        <v>0</v>
      </c>
      <c r="M74" s="157">
        <f ca="1">SUM(M75:M78)</f>
        <v>184100</v>
      </c>
      <c r="N74" s="157">
        <f t="shared" ca="1" si="8"/>
        <v>18170863</v>
      </c>
      <c r="O74" s="157">
        <f t="shared" ca="1" si="9"/>
        <v>11890177</v>
      </c>
      <c r="P74" s="157">
        <f t="shared" ca="1" si="10"/>
        <v>-6280686</v>
      </c>
      <c r="Q74" s="158">
        <f t="shared" ca="1" si="11"/>
        <v>-0.34564599380887961</v>
      </c>
      <c r="R74" s="145"/>
      <c r="S74" s="145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</row>
    <row r="75" spans="1:33" x14ac:dyDescent="0.2">
      <c r="A75" s="155" t="s">
        <v>1628</v>
      </c>
      <c r="B75" s="152" t="s">
        <v>2850</v>
      </c>
      <c r="C75" s="153">
        <f t="shared" ca="1" si="6"/>
        <v>0</v>
      </c>
      <c r="D75" s="153">
        <f ca="1">SUMIF(SAN,SP!$A75,SAN_ANNO_P)</f>
        <v>0</v>
      </c>
      <c r="E75" s="153">
        <f ca="1">SUMIF(RIC,SP!$A75,RIC_ANNO_P)</f>
        <v>0</v>
      </c>
      <c r="F75" s="153">
        <f ca="1">SUMIF(SOC,SP!$A75,SOC_ANNO_P)</f>
        <v>0</v>
      </c>
      <c r="G75" s="153">
        <f t="shared" ca="1" si="7"/>
        <v>0</v>
      </c>
      <c r="H75" s="153">
        <f ca="1">SUMIF(SAN,SP!$A75,SAN_ANNO_C)</f>
        <v>0</v>
      </c>
      <c r="I75" s="153">
        <f ca="1">SUMIF(RIC,SP!$A75,RIC_ANNO_C)</f>
        <v>0</v>
      </c>
      <c r="J75" s="153">
        <f ca="1">SUMIF(SOC,SP!$A75,SOC_ANNO_C)</f>
        <v>0</v>
      </c>
      <c r="K75" s="145"/>
      <c r="L75" s="153">
        <f ca="1">SUMIF(DATI_TOTALE,SP!$A75,DATI_TOTALE_DETT_1)</f>
        <v>0</v>
      </c>
      <c r="M75" s="153">
        <f ca="1">SUMIF(DATI_TOTALE,SP!$A75,DATI_TOTALE_DETT_2)</f>
        <v>0</v>
      </c>
      <c r="N75" s="153">
        <f t="shared" ca="1" si="8"/>
        <v>0</v>
      </c>
      <c r="O75" s="153">
        <f t="shared" ca="1" si="9"/>
        <v>0</v>
      </c>
      <c r="P75" s="153">
        <f t="shared" ca="1" si="10"/>
        <v>0</v>
      </c>
      <c r="Q75" s="154">
        <f t="shared" ca="1" si="11"/>
        <v>0</v>
      </c>
      <c r="R75" s="145"/>
      <c r="S75" s="145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</row>
    <row r="76" spans="1:33" x14ac:dyDescent="0.2">
      <c r="A76" s="155" t="s">
        <v>1632</v>
      </c>
      <c r="B76" s="152" t="s">
        <v>2851</v>
      </c>
      <c r="C76" s="153">
        <f t="shared" ca="1" si="6"/>
        <v>0</v>
      </c>
      <c r="D76" s="153">
        <f ca="1">SUMIF(SAN,SP!$A76,SAN_ANNO_P)</f>
        <v>0</v>
      </c>
      <c r="E76" s="153">
        <f ca="1">SUMIF(RIC,SP!$A76,RIC_ANNO_P)</f>
        <v>0</v>
      </c>
      <c r="F76" s="153">
        <f ca="1">SUMIF(SOC,SP!$A76,SOC_ANNO_P)</f>
        <v>0</v>
      </c>
      <c r="G76" s="153">
        <f t="shared" ca="1" si="7"/>
        <v>0</v>
      </c>
      <c r="H76" s="153">
        <f ca="1">SUMIF(SAN,SP!$A76,SAN_ANNO_C)</f>
        <v>0</v>
      </c>
      <c r="I76" s="153">
        <f ca="1">SUMIF(RIC,SP!$A76,RIC_ANNO_C)</f>
        <v>0</v>
      </c>
      <c r="J76" s="153">
        <f ca="1">SUMIF(SOC,SP!$A76,SOC_ANNO_C)</f>
        <v>0</v>
      </c>
      <c r="K76" s="145"/>
      <c r="L76" s="153">
        <f ca="1">SUMIF(DATI_TOTALE,SP!$A76,DATI_TOTALE_DETT_1)</f>
        <v>0</v>
      </c>
      <c r="M76" s="153">
        <f ca="1">SUMIF(DATI_TOTALE,SP!$A76,DATI_TOTALE_DETT_2)</f>
        <v>0</v>
      </c>
      <c r="N76" s="153">
        <f t="shared" ca="1" si="8"/>
        <v>0</v>
      </c>
      <c r="O76" s="153">
        <f t="shared" ca="1" si="9"/>
        <v>0</v>
      </c>
      <c r="P76" s="153">
        <f t="shared" ca="1" si="10"/>
        <v>0</v>
      </c>
      <c r="Q76" s="154">
        <f t="shared" ca="1" si="11"/>
        <v>0</v>
      </c>
      <c r="R76" s="145"/>
      <c r="S76" s="145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</row>
    <row r="77" spans="1:33" x14ac:dyDescent="0.2">
      <c r="A77" s="155" t="s">
        <v>1591</v>
      </c>
      <c r="B77" s="152" t="s">
        <v>2852</v>
      </c>
      <c r="C77" s="153">
        <f t="shared" ca="1" si="6"/>
        <v>18170863</v>
      </c>
      <c r="D77" s="153">
        <f ca="1">SUMIF(SAN,SP!$A77,SAN_ANNO_P)</f>
        <v>18170863</v>
      </c>
      <c r="E77" s="153">
        <f ca="1">SUMIF(RIC,SP!$A77,RIC_ANNO_P)</f>
        <v>0</v>
      </c>
      <c r="F77" s="153">
        <f ca="1">SUMIF(SOC,SP!$A77,SOC_ANNO_P)</f>
        <v>0</v>
      </c>
      <c r="G77" s="153">
        <f t="shared" ca="1" si="7"/>
        <v>11890177</v>
      </c>
      <c r="H77" s="153">
        <f ca="1">SUMIF(SAN,SP!$A77,SAN_ANNO_C)</f>
        <v>11890177</v>
      </c>
      <c r="I77" s="153">
        <f ca="1">SUMIF(RIC,SP!$A77,RIC_ANNO_C)</f>
        <v>0</v>
      </c>
      <c r="J77" s="153">
        <f ca="1">SUMIF(SOC,SP!$A77,SOC_ANNO_C)</f>
        <v>0</v>
      </c>
      <c r="K77" s="145"/>
      <c r="L77" s="153">
        <f ca="1">SUMIF(DATI_TOTALE,SP!$A77,DATI_TOTALE_DETT_1)</f>
        <v>0</v>
      </c>
      <c r="M77" s="153">
        <f ca="1">SUMIF(DATI_TOTALE,SP!$A77,DATI_TOTALE_DETT_2)</f>
        <v>184100</v>
      </c>
      <c r="N77" s="153">
        <f t="shared" ca="1" si="8"/>
        <v>18170863</v>
      </c>
      <c r="O77" s="153">
        <f t="shared" ca="1" si="9"/>
        <v>11890177</v>
      </c>
      <c r="P77" s="153">
        <f t="shared" ca="1" si="10"/>
        <v>-6280686</v>
      </c>
      <c r="Q77" s="154">
        <f t="shared" ca="1" si="11"/>
        <v>-0.34564599380887961</v>
      </c>
      <c r="R77" s="145"/>
      <c r="S77" s="145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</row>
    <row r="78" spans="1:33" x14ac:dyDescent="0.2">
      <c r="A78" s="155" t="s">
        <v>1641</v>
      </c>
      <c r="B78" s="152" t="s">
        <v>2853</v>
      </c>
      <c r="C78" s="153">
        <f t="shared" ca="1" si="6"/>
        <v>0</v>
      </c>
      <c r="D78" s="153">
        <f ca="1">SUMIF(SAN,SP!$A78,SAN_ANNO_P)</f>
        <v>0</v>
      </c>
      <c r="E78" s="153">
        <f ca="1">SUMIF(RIC,SP!$A78,RIC_ANNO_P)</f>
        <v>0</v>
      </c>
      <c r="F78" s="153">
        <f ca="1">SUMIF(SOC,SP!$A78,SOC_ANNO_P)</f>
        <v>0</v>
      </c>
      <c r="G78" s="153">
        <f t="shared" ca="1" si="7"/>
        <v>0</v>
      </c>
      <c r="H78" s="153">
        <f ca="1">SUMIF(SAN,SP!$A78,SAN_ANNO_C)</f>
        <v>0</v>
      </c>
      <c r="I78" s="153">
        <f ca="1">SUMIF(RIC,SP!$A78,RIC_ANNO_C)</f>
        <v>0</v>
      </c>
      <c r="J78" s="153">
        <f ca="1">SUMIF(SOC,SP!$A78,SOC_ANNO_C)</f>
        <v>0</v>
      </c>
      <c r="K78" s="145"/>
      <c r="L78" s="153">
        <f ca="1">SUMIF(DATI_TOTALE,SP!$A78,DATI_TOTALE_DETT_1)</f>
        <v>0</v>
      </c>
      <c r="M78" s="153">
        <f ca="1">SUMIF(DATI_TOTALE,SP!$A78,DATI_TOTALE_DETT_2)</f>
        <v>0</v>
      </c>
      <c r="N78" s="153">
        <f t="shared" ca="1" si="8"/>
        <v>0</v>
      </c>
      <c r="O78" s="153">
        <f t="shared" ca="1" si="9"/>
        <v>0</v>
      </c>
      <c r="P78" s="153">
        <f t="shared" ca="1" si="10"/>
        <v>0</v>
      </c>
      <c r="Q78" s="154">
        <f t="shared" ca="1" si="11"/>
        <v>0</v>
      </c>
      <c r="R78" s="145"/>
      <c r="S78" s="145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</row>
    <row r="79" spans="1:33" x14ac:dyDescent="0.2">
      <c r="A79" s="130" t="s">
        <v>1646</v>
      </c>
      <c r="B79" s="152" t="s">
        <v>2854</v>
      </c>
      <c r="C79" s="153">
        <f t="shared" ca="1" si="6"/>
        <v>105782</v>
      </c>
      <c r="D79" s="153">
        <f ca="1">SUMIF(SAN,SP!$A79,SAN_ANNO_P)</f>
        <v>105782</v>
      </c>
      <c r="E79" s="153">
        <f ca="1">SUMIF(RIC,SP!$A79,RIC_ANNO_P)</f>
        <v>0</v>
      </c>
      <c r="F79" s="153">
        <f ca="1">SUMIF(SOC,SP!$A79,SOC_ANNO_P)</f>
        <v>0</v>
      </c>
      <c r="G79" s="153">
        <f t="shared" ca="1" si="7"/>
        <v>1057000</v>
      </c>
      <c r="H79" s="153">
        <f ca="1">SUMIF(SAN,SP!$A79,SAN_ANNO_C)</f>
        <v>1057000</v>
      </c>
      <c r="I79" s="153">
        <f ca="1">SUMIF(RIC,SP!$A79,RIC_ANNO_C)</f>
        <v>0</v>
      </c>
      <c r="J79" s="153">
        <f ca="1">SUMIF(SOC,SP!$A79,SOC_ANNO_C)</f>
        <v>0</v>
      </c>
      <c r="K79" s="145"/>
      <c r="L79" s="153">
        <f ca="1">SUMIF(DATI_TOTALE,SP!$A79,DATI_TOTALE_DETT_1)</f>
        <v>0</v>
      </c>
      <c r="M79" s="153">
        <f ca="1">SUMIF(DATI_TOTALE,SP!$A79,DATI_TOTALE_DETT_2)</f>
        <v>12755</v>
      </c>
      <c r="N79" s="153">
        <f t="shared" ca="1" si="8"/>
        <v>105782</v>
      </c>
      <c r="O79" s="153">
        <f t="shared" ca="1" si="9"/>
        <v>1057000</v>
      </c>
      <c r="P79" s="153">
        <f t="shared" ca="1" si="10"/>
        <v>951218</v>
      </c>
      <c r="Q79" s="154">
        <f t="shared" ca="1" si="11"/>
        <v>8.9922482085799089</v>
      </c>
      <c r="R79" s="145"/>
      <c r="S79" s="145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</row>
    <row r="80" spans="1:33" x14ac:dyDescent="0.2">
      <c r="A80" s="130" t="s">
        <v>1661</v>
      </c>
      <c r="B80" s="152" t="s">
        <v>2855</v>
      </c>
      <c r="C80" s="153">
        <f t="shared" ca="1" si="6"/>
        <v>0</v>
      </c>
      <c r="D80" s="153">
        <f ca="1">SUMIF(SAN,SP!$A80,SAN_ANNO_P)</f>
        <v>0</v>
      </c>
      <c r="E80" s="153">
        <f ca="1">SUMIF(RIC,SP!$A80,RIC_ANNO_P)</f>
        <v>0</v>
      </c>
      <c r="F80" s="153">
        <f ca="1">SUMIF(SOC,SP!$A80,SOC_ANNO_P)</f>
        <v>0</v>
      </c>
      <c r="G80" s="153">
        <f t="shared" ca="1" si="7"/>
        <v>0</v>
      </c>
      <c r="H80" s="153">
        <f ca="1">SUMIF(SAN,SP!$A80,SAN_ANNO_C)</f>
        <v>0</v>
      </c>
      <c r="I80" s="153">
        <f ca="1">SUMIF(RIC,SP!$A80,RIC_ANNO_C)</f>
        <v>0</v>
      </c>
      <c r="J80" s="153">
        <f ca="1">SUMIF(SOC,SP!$A80,SOC_ANNO_C)</f>
        <v>0</v>
      </c>
      <c r="K80" s="145"/>
      <c r="L80" s="153">
        <f ca="1">SUMIF(DATI_TOTALE,SP!$A80,DATI_TOTALE_DETT_1)</f>
        <v>0</v>
      </c>
      <c r="M80" s="153">
        <f ca="1">SUMIF(DATI_TOTALE,SP!$A80,DATI_TOTALE_DETT_2)</f>
        <v>0</v>
      </c>
      <c r="N80" s="153">
        <f t="shared" ca="1" si="8"/>
        <v>0</v>
      </c>
      <c r="O80" s="153">
        <f t="shared" ca="1" si="9"/>
        <v>0</v>
      </c>
      <c r="P80" s="153">
        <f t="shared" ca="1" si="10"/>
        <v>0</v>
      </c>
      <c r="Q80" s="154">
        <f t="shared" ca="1" si="11"/>
        <v>0</v>
      </c>
      <c r="R80" s="145"/>
      <c r="S80" s="145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</row>
    <row r="81" spans="1:33" x14ac:dyDescent="0.2">
      <c r="A81" s="155" t="s">
        <v>1685</v>
      </c>
      <c r="B81" s="152" t="s">
        <v>2856</v>
      </c>
      <c r="C81" s="153">
        <f t="shared" ca="1" si="6"/>
        <v>0</v>
      </c>
      <c r="D81" s="153">
        <f ca="1">SUMIF(SAN,SP!$A81,SAN_ANNO_P)</f>
        <v>0</v>
      </c>
      <c r="E81" s="153">
        <f ca="1">SUMIF(RIC,SP!$A81,RIC_ANNO_P)</f>
        <v>0</v>
      </c>
      <c r="F81" s="153">
        <f ca="1">SUMIF(SOC,SP!$A81,SOC_ANNO_P)</f>
        <v>0</v>
      </c>
      <c r="G81" s="153">
        <f t="shared" ca="1" si="7"/>
        <v>1087</v>
      </c>
      <c r="H81" s="153">
        <f ca="1">SUMIF(SAN,SP!$A81,SAN_ANNO_C)</f>
        <v>1087</v>
      </c>
      <c r="I81" s="153">
        <f ca="1">SUMIF(RIC,SP!$A81,RIC_ANNO_C)</f>
        <v>0</v>
      </c>
      <c r="J81" s="153">
        <f ca="1">SUMIF(SOC,SP!$A81,SOC_ANNO_C)</f>
        <v>0</v>
      </c>
      <c r="K81" s="145"/>
      <c r="L81" s="153">
        <f ca="1">SUMIF(DATI_TOTALE,SP!$A81,DATI_TOTALE_DETT_1)</f>
        <v>0</v>
      </c>
      <c r="M81" s="153">
        <f ca="1">SUMIF(DATI_TOTALE,SP!$A81,DATI_TOTALE_DETT_2)</f>
        <v>0</v>
      </c>
      <c r="N81" s="153">
        <f t="shared" ca="1" si="8"/>
        <v>0</v>
      </c>
      <c r="O81" s="153">
        <f t="shared" ca="1" si="9"/>
        <v>1087</v>
      </c>
      <c r="P81" s="153">
        <f t="shared" ca="1" si="10"/>
        <v>1087</v>
      </c>
      <c r="Q81" s="154">
        <f t="shared" ca="1" si="11"/>
        <v>0</v>
      </c>
      <c r="R81" s="145"/>
      <c r="S81" s="145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</row>
    <row r="82" spans="1:33" x14ac:dyDescent="0.2">
      <c r="A82" s="155" t="s">
        <v>1697</v>
      </c>
      <c r="B82" s="152" t="s">
        <v>2857</v>
      </c>
      <c r="C82" s="153">
        <f t="shared" ca="1" si="6"/>
        <v>3075665</v>
      </c>
      <c r="D82" s="153">
        <f ca="1">SUMIF(SAN,SP!$A82,SAN_ANNO_P)</f>
        <v>3075665</v>
      </c>
      <c r="E82" s="153">
        <f ca="1">SUMIF(RIC,SP!$A82,RIC_ANNO_P)</f>
        <v>0</v>
      </c>
      <c r="F82" s="153">
        <f ca="1">SUMIF(SOC,SP!$A82,SOC_ANNO_P)</f>
        <v>0</v>
      </c>
      <c r="G82" s="153">
        <f t="shared" ca="1" si="7"/>
        <v>3236937</v>
      </c>
      <c r="H82" s="153">
        <f ca="1">SUMIF(SAN,SP!$A82,SAN_ANNO_C)</f>
        <v>3236937</v>
      </c>
      <c r="I82" s="153">
        <f ca="1">SUMIF(RIC,SP!$A82,RIC_ANNO_C)</f>
        <v>0</v>
      </c>
      <c r="J82" s="153">
        <f ca="1">SUMIF(SOC,SP!$A82,SOC_ANNO_C)</f>
        <v>0</v>
      </c>
      <c r="K82" s="145"/>
      <c r="L82" s="153">
        <f ca="1">SUMIF(DATI_TOTALE,SP!$A82,DATI_TOTALE_DETT_1)</f>
        <v>29031</v>
      </c>
      <c r="M82" s="153">
        <f ca="1">SUMIF(DATI_TOTALE,SP!$A82,DATI_TOTALE_DETT_2)</f>
        <v>443442</v>
      </c>
      <c r="N82" s="153">
        <f t="shared" ca="1" si="8"/>
        <v>3075665</v>
      </c>
      <c r="O82" s="153">
        <f t="shared" ca="1" si="9"/>
        <v>3236937</v>
      </c>
      <c r="P82" s="153">
        <f t="shared" ca="1" si="10"/>
        <v>161272</v>
      </c>
      <c r="Q82" s="154">
        <f t="shared" ca="1" si="11"/>
        <v>5.2434839294916706E-2</v>
      </c>
      <c r="R82" s="145"/>
      <c r="S82" s="145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</row>
    <row r="83" spans="1:33" x14ac:dyDescent="0.2">
      <c r="A83" s="130" t="s">
        <v>2858</v>
      </c>
      <c r="B83" s="149" t="s">
        <v>2859</v>
      </c>
      <c r="C83" s="150">
        <f t="shared" ca="1" si="6"/>
        <v>0</v>
      </c>
      <c r="D83" s="150">
        <f ca="1">+D84+D85</f>
        <v>0</v>
      </c>
      <c r="E83" s="150">
        <f ca="1">+E84+E85</f>
        <v>0</v>
      </c>
      <c r="F83" s="150">
        <f ca="1">+F84+F85</f>
        <v>0</v>
      </c>
      <c r="G83" s="150">
        <f t="shared" ca="1" si="7"/>
        <v>0</v>
      </c>
      <c r="H83" s="150">
        <f ca="1">+H84+H85</f>
        <v>0</v>
      </c>
      <c r="I83" s="150">
        <f ca="1">+I84+I85</f>
        <v>0</v>
      </c>
      <c r="J83" s="150">
        <f ca="1">+J84+J85</f>
        <v>0</v>
      </c>
      <c r="K83" s="145"/>
      <c r="L83" s="145"/>
      <c r="M83" s="145"/>
      <c r="N83" s="150">
        <f t="shared" ca="1" si="8"/>
        <v>0</v>
      </c>
      <c r="O83" s="150">
        <f t="shared" ca="1" si="9"/>
        <v>0</v>
      </c>
      <c r="P83" s="150">
        <f t="shared" ca="1" si="10"/>
        <v>0</v>
      </c>
      <c r="Q83" s="151">
        <f t="shared" ca="1" si="11"/>
        <v>0</v>
      </c>
      <c r="R83" s="145"/>
      <c r="S83" s="145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</row>
    <row r="84" spans="1:33" x14ac:dyDescent="0.2">
      <c r="A84" s="130" t="s">
        <v>1764</v>
      </c>
      <c r="B84" s="152" t="s">
        <v>2860</v>
      </c>
      <c r="C84" s="153">
        <f t="shared" ca="1" si="6"/>
        <v>0</v>
      </c>
      <c r="D84" s="153">
        <f ca="1">SUMIF(SAN,SP!$A84,SAN_ANNO_P)</f>
        <v>0</v>
      </c>
      <c r="E84" s="153">
        <f ca="1">SUMIF(RIC,SP!$A84,RIC_ANNO_P)</f>
        <v>0</v>
      </c>
      <c r="F84" s="153">
        <f ca="1">SUMIF(SOC,SP!$A84,SOC_ANNO_P)</f>
        <v>0</v>
      </c>
      <c r="G84" s="153">
        <f t="shared" ca="1" si="7"/>
        <v>0</v>
      </c>
      <c r="H84" s="153">
        <f ca="1">SUMIF(SAN,SP!$A84,SAN_ANNO_C)</f>
        <v>0</v>
      </c>
      <c r="I84" s="153">
        <f ca="1">SUMIF(RIC,SP!$A84,RIC_ANNO_C)</f>
        <v>0</v>
      </c>
      <c r="J84" s="153">
        <f ca="1">SUMIF(SOC,SP!$A84,SOC_ANNO_C)</f>
        <v>0</v>
      </c>
      <c r="K84" s="145"/>
      <c r="L84" s="145"/>
      <c r="M84" s="145"/>
      <c r="N84" s="153">
        <f t="shared" ca="1" si="8"/>
        <v>0</v>
      </c>
      <c r="O84" s="153">
        <f t="shared" ca="1" si="9"/>
        <v>0</v>
      </c>
      <c r="P84" s="153">
        <f t="shared" ca="1" si="10"/>
        <v>0</v>
      </c>
      <c r="Q84" s="154">
        <f t="shared" ca="1" si="11"/>
        <v>0</v>
      </c>
      <c r="R84" s="145"/>
      <c r="S84" s="145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</row>
    <row r="85" spans="1:33" x14ac:dyDescent="0.2">
      <c r="A85" s="130" t="s">
        <v>1773</v>
      </c>
      <c r="B85" s="152" t="s">
        <v>2861</v>
      </c>
      <c r="C85" s="153">
        <f t="shared" ca="1" si="6"/>
        <v>0</v>
      </c>
      <c r="D85" s="153">
        <f ca="1">SUMIF(SAN,SP!$A85,SAN_ANNO_P)</f>
        <v>0</v>
      </c>
      <c r="E85" s="153">
        <f ca="1">SUMIF(RIC,SP!$A85,RIC_ANNO_P)</f>
        <v>0</v>
      </c>
      <c r="F85" s="153">
        <f ca="1">SUMIF(SOC,SP!$A85,SOC_ANNO_P)</f>
        <v>0</v>
      </c>
      <c r="G85" s="153">
        <f t="shared" ca="1" si="7"/>
        <v>0</v>
      </c>
      <c r="H85" s="153">
        <f ca="1">SUMIF(SAN,SP!$A85,SAN_ANNO_C)</f>
        <v>0</v>
      </c>
      <c r="I85" s="153">
        <f ca="1">SUMIF(RIC,SP!$A85,RIC_ANNO_C)</f>
        <v>0</v>
      </c>
      <c r="J85" s="153">
        <f ca="1">SUMIF(SOC,SP!$A85,SOC_ANNO_C)</f>
        <v>0</v>
      </c>
      <c r="K85" s="145"/>
      <c r="L85" s="145"/>
      <c r="M85" s="145"/>
      <c r="N85" s="153">
        <f t="shared" ca="1" si="8"/>
        <v>0</v>
      </c>
      <c r="O85" s="153">
        <f t="shared" ca="1" si="9"/>
        <v>0</v>
      </c>
      <c r="P85" s="153">
        <f t="shared" ca="1" si="10"/>
        <v>0</v>
      </c>
      <c r="Q85" s="154">
        <f t="shared" ca="1" si="11"/>
        <v>0</v>
      </c>
      <c r="R85" s="145"/>
      <c r="S85" s="145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</row>
    <row r="86" spans="1:33" x14ac:dyDescent="0.2">
      <c r="A86" s="130" t="s">
        <v>2862</v>
      </c>
      <c r="B86" s="149" t="s">
        <v>2863</v>
      </c>
      <c r="C86" s="150">
        <f t="shared" ca="1" si="6"/>
        <v>22090561</v>
      </c>
      <c r="D86" s="150">
        <f ca="1">SUM(D87:D90)</f>
        <v>22090561</v>
      </c>
      <c r="E86" s="150">
        <f ca="1">SUM(E87:E90)</f>
        <v>0</v>
      </c>
      <c r="F86" s="150">
        <f ca="1">SUM(F87:F90)</f>
        <v>0</v>
      </c>
      <c r="G86" s="150">
        <f t="shared" ca="1" si="7"/>
        <v>15909939</v>
      </c>
      <c r="H86" s="150">
        <f ca="1">SUM(H87:H90)</f>
        <v>15909939</v>
      </c>
      <c r="I86" s="150">
        <f ca="1">SUM(I87:I90)</f>
        <v>0</v>
      </c>
      <c r="J86" s="150">
        <f ca="1">SUM(J87:J90)</f>
        <v>0</v>
      </c>
      <c r="K86" s="145"/>
      <c r="L86" s="145"/>
      <c r="M86" s="145"/>
      <c r="N86" s="150">
        <f t="shared" ca="1" si="8"/>
        <v>22090561</v>
      </c>
      <c r="O86" s="150">
        <f t="shared" ca="1" si="9"/>
        <v>15909939</v>
      </c>
      <c r="P86" s="150">
        <f t="shared" ca="1" si="10"/>
        <v>-6180622</v>
      </c>
      <c r="Q86" s="151">
        <f t="shared" ca="1" si="11"/>
        <v>-0.27978565143728129</v>
      </c>
      <c r="R86" s="145"/>
      <c r="S86" s="145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</row>
    <row r="87" spans="1:33" x14ac:dyDescent="0.2">
      <c r="A87" s="130" t="s">
        <v>1782</v>
      </c>
      <c r="B87" s="152" t="s">
        <v>2864</v>
      </c>
      <c r="C87" s="153">
        <f t="shared" ca="1" si="6"/>
        <v>54618</v>
      </c>
      <c r="D87" s="153">
        <f ca="1">SUMIF(SAN,SP!$A87,SAN_ANNO_P)</f>
        <v>54618</v>
      </c>
      <c r="E87" s="153">
        <f ca="1">SUMIF(RIC,SP!$A87,RIC_ANNO_P)</f>
        <v>0</v>
      </c>
      <c r="F87" s="153">
        <f ca="1">SUMIF(SOC,SP!$A87,SOC_ANNO_P)</f>
        <v>0</v>
      </c>
      <c r="G87" s="153">
        <f t="shared" ca="1" si="7"/>
        <v>83937</v>
      </c>
      <c r="H87" s="153">
        <f ca="1">SUMIF(SAN,SP!$A87,SAN_ANNO_C)</f>
        <v>83937</v>
      </c>
      <c r="I87" s="153">
        <f ca="1">SUMIF(RIC,SP!$A87,RIC_ANNO_C)</f>
        <v>0</v>
      </c>
      <c r="J87" s="153">
        <f ca="1">SUMIF(SOC,SP!$A87,SOC_ANNO_C)</f>
        <v>0</v>
      </c>
      <c r="K87" s="145"/>
      <c r="L87" s="145"/>
      <c r="M87" s="145"/>
      <c r="N87" s="153">
        <f t="shared" ca="1" si="8"/>
        <v>54618</v>
      </c>
      <c r="O87" s="153">
        <f t="shared" ca="1" si="9"/>
        <v>83937</v>
      </c>
      <c r="P87" s="153">
        <f t="shared" ca="1" si="10"/>
        <v>29319</v>
      </c>
      <c r="Q87" s="154">
        <f t="shared" ca="1" si="11"/>
        <v>0.53680105459738547</v>
      </c>
      <c r="R87" s="145"/>
      <c r="S87" s="145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</row>
    <row r="88" spans="1:33" x14ac:dyDescent="0.2">
      <c r="A88" s="130" t="s">
        <v>1788</v>
      </c>
      <c r="B88" s="152" t="s">
        <v>2865</v>
      </c>
      <c r="C88" s="153">
        <f t="shared" ca="1" si="6"/>
        <v>22019007</v>
      </c>
      <c r="D88" s="153">
        <f ca="1">SUMIF(SAN,SP!$A88,SAN_ANNO_P)</f>
        <v>22019007</v>
      </c>
      <c r="E88" s="153">
        <f ca="1">SUMIF(RIC,SP!$A88,RIC_ANNO_P)</f>
        <v>0</v>
      </c>
      <c r="F88" s="153">
        <f ca="1">SUMIF(SOC,SP!$A88,SOC_ANNO_P)</f>
        <v>0</v>
      </c>
      <c r="G88" s="153">
        <f t="shared" ca="1" si="7"/>
        <v>15810342</v>
      </c>
      <c r="H88" s="153">
        <f ca="1">SUMIF(SAN,SP!$A88,SAN_ANNO_C)</f>
        <v>15810342</v>
      </c>
      <c r="I88" s="153">
        <f ca="1">SUMIF(RIC,SP!$A88,RIC_ANNO_C)</f>
        <v>0</v>
      </c>
      <c r="J88" s="153">
        <f ca="1">SUMIF(SOC,SP!$A88,SOC_ANNO_C)</f>
        <v>0</v>
      </c>
      <c r="K88" s="145"/>
      <c r="L88" s="145"/>
      <c r="M88" s="145"/>
      <c r="N88" s="153">
        <f t="shared" ca="1" si="8"/>
        <v>22019007</v>
      </c>
      <c r="O88" s="153">
        <f t="shared" ca="1" si="9"/>
        <v>15810342</v>
      </c>
      <c r="P88" s="153">
        <f t="shared" ca="1" si="10"/>
        <v>-6208665</v>
      </c>
      <c r="Q88" s="154">
        <f t="shared" ca="1" si="11"/>
        <v>-0.28196843754125694</v>
      </c>
      <c r="R88" s="145"/>
      <c r="S88" s="145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</row>
    <row r="89" spans="1:33" x14ac:dyDescent="0.2">
      <c r="A89" s="155" t="s">
        <v>1794</v>
      </c>
      <c r="B89" s="152" t="s">
        <v>2866</v>
      </c>
      <c r="C89" s="153">
        <f t="shared" ca="1" si="6"/>
        <v>0</v>
      </c>
      <c r="D89" s="153">
        <f ca="1">SUMIF(SAN,SP!$A89,SAN_ANNO_P)</f>
        <v>0</v>
      </c>
      <c r="E89" s="153">
        <f ca="1">SUMIF(RIC,SP!$A89,RIC_ANNO_P)</f>
        <v>0</v>
      </c>
      <c r="F89" s="153">
        <f ca="1">SUMIF(SOC,SP!$A89,SOC_ANNO_P)</f>
        <v>0</v>
      </c>
      <c r="G89" s="153">
        <f t="shared" ca="1" si="7"/>
        <v>0</v>
      </c>
      <c r="H89" s="153">
        <f ca="1">SUMIF(SAN,SP!$A89,SAN_ANNO_C)</f>
        <v>0</v>
      </c>
      <c r="I89" s="153">
        <f ca="1">SUMIF(RIC,SP!$A89,RIC_ANNO_C)</f>
        <v>0</v>
      </c>
      <c r="J89" s="153">
        <f ca="1">SUMIF(SOC,SP!$A89,SOC_ANNO_C)</f>
        <v>0</v>
      </c>
      <c r="K89" s="145"/>
      <c r="L89" s="145"/>
      <c r="M89" s="145"/>
      <c r="N89" s="153">
        <f t="shared" ca="1" si="8"/>
        <v>0</v>
      </c>
      <c r="O89" s="153">
        <f t="shared" ca="1" si="9"/>
        <v>0</v>
      </c>
      <c r="P89" s="153">
        <f t="shared" ca="1" si="10"/>
        <v>0</v>
      </c>
      <c r="Q89" s="154">
        <f t="shared" ca="1" si="11"/>
        <v>0</v>
      </c>
      <c r="R89" s="145"/>
      <c r="S89" s="145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</row>
    <row r="90" spans="1:33" x14ac:dyDescent="0.2">
      <c r="A90" s="155" t="s">
        <v>1800</v>
      </c>
      <c r="B90" s="152" t="s">
        <v>2867</v>
      </c>
      <c r="C90" s="153">
        <f t="shared" ca="1" si="6"/>
        <v>16936</v>
      </c>
      <c r="D90" s="153">
        <f ca="1">SUMIF(SAN,SP!$A90,SAN_ANNO_P)</f>
        <v>16936</v>
      </c>
      <c r="E90" s="153">
        <f ca="1">SUMIF(RIC,SP!$A90,RIC_ANNO_P)</f>
        <v>0</v>
      </c>
      <c r="F90" s="153">
        <f ca="1">SUMIF(SOC,SP!$A90,SOC_ANNO_P)</f>
        <v>0</v>
      </c>
      <c r="G90" s="153">
        <f t="shared" ca="1" si="7"/>
        <v>15660</v>
      </c>
      <c r="H90" s="153">
        <f ca="1">SUMIF(SAN,SP!$A90,SAN_ANNO_C)</f>
        <v>15660</v>
      </c>
      <c r="I90" s="153">
        <f ca="1">SUMIF(RIC,SP!$A90,RIC_ANNO_C)</f>
        <v>0</v>
      </c>
      <c r="J90" s="153">
        <f ca="1">SUMIF(SOC,SP!$A90,SOC_ANNO_C)</f>
        <v>0</v>
      </c>
      <c r="K90" s="145"/>
      <c r="L90" s="145"/>
      <c r="M90" s="145"/>
      <c r="N90" s="169">
        <f t="shared" ca="1" si="8"/>
        <v>16936</v>
      </c>
      <c r="O90" s="169">
        <f t="shared" ca="1" si="9"/>
        <v>15660</v>
      </c>
      <c r="P90" s="169">
        <f t="shared" ca="1" si="10"/>
        <v>-1276</v>
      </c>
      <c r="Q90" s="163">
        <f t="shared" ca="1" si="11"/>
        <v>-7.5342465753424653E-2</v>
      </c>
      <c r="R90" s="145"/>
      <c r="S90" s="145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</row>
    <row r="91" spans="1:33" x14ac:dyDescent="0.2">
      <c r="A91" s="130" t="s">
        <v>2868</v>
      </c>
      <c r="B91" s="147" t="s">
        <v>2869</v>
      </c>
      <c r="C91" s="148">
        <f t="shared" ca="1" si="6"/>
        <v>111296606</v>
      </c>
      <c r="D91" s="148">
        <f ca="1">+D86+D83+D44+D39</f>
        <v>111296606</v>
      </c>
      <c r="E91" s="148">
        <f ca="1">+E86+E83+E44+E39</f>
        <v>0</v>
      </c>
      <c r="F91" s="148">
        <f ca="1">+F86+F83+F44+F39</f>
        <v>0</v>
      </c>
      <c r="G91" s="148">
        <f t="shared" ca="1" si="7"/>
        <v>135336879</v>
      </c>
      <c r="H91" s="148">
        <f ca="1">+H86+H83+H44+H39</f>
        <v>135336879</v>
      </c>
      <c r="I91" s="148">
        <f ca="1">+I86+I83+I44+I39</f>
        <v>0</v>
      </c>
      <c r="J91" s="148">
        <f ca="1">+J86+J83+J44+J39</f>
        <v>0</v>
      </c>
      <c r="K91" s="145"/>
      <c r="L91" s="145"/>
      <c r="M91" s="145"/>
      <c r="N91" s="164">
        <f t="shared" ca="1" si="8"/>
        <v>111296606</v>
      </c>
      <c r="O91" s="164">
        <f t="shared" ca="1" si="9"/>
        <v>135336879</v>
      </c>
      <c r="P91" s="164">
        <f t="shared" ca="1" si="10"/>
        <v>24040273</v>
      </c>
      <c r="Q91" s="165">
        <f t="shared" ca="1" si="11"/>
        <v>0.21600185184443091</v>
      </c>
      <c r="R91" s="145"/>
      <c r="S91" s="145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</row>
    <row r="92" spans="1:33" x14ac:dyDescent="0.2">
      <c r="A92" s="130" t="s">
        <v>2870</v>
      </c>
      <c r="B92" s="166" t="s">
        <v>2871</v>
      </c>
      <c r="C92" s="167"/>
      <c r="D92" s="167"/>
      <c r="E92" s="167"/>
      <c r="F92" s="167"/>
      <c r="G92" s="167"/>
      <c r="H92" s="167"/>
      <c r="I92" s="167"/>
      <c r="J92" s="167"/>
      <c r="K92" s="145"/>
      <c r="L92" s="145"/>
      <c r="M92" s="145"/>
      <c r="N92" s="167"/>
      <c r="O92" s="167"/>
      <c r="P92" s="167"/>
      <c r="Q92" s="168"/>
      <c r="R92" s="145"/>
      <c r="S92" s="145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</row>
    <row r="93" spans="1:33" x14ac:dyDescent="0.2">
      <c r="A93" s="130" t="s">
        <v>1808</v>
      </c>
      <c r="B93" s="152" t="s">
        <v>2872</v>
      </c>
      <c r="C93" s="153">
        <f ca="1">SUM(D93:F93)</f>
        <v>0</v>
      </c>
      <c r="D93" s="153">
        <f ca="1">SUMIF(SAN,SP!$A93,SAN_ANNO_P)</f>
        <v>0</v>
      </c>
      <c r="E93" s="153">
        <f ca="1">SUMIF(RIC,SP!$A93,RIC_ANNO_P)</f>
        <v>0</v>
      </c>
      <c r="F93" s="153">
        <f ca="1">SUMIF(SOC,SP!$A93,SOC_ANNO_P)</f>
        <v>0</v>
      </c>
      <c r="G93" s="153">
        <f ca="1">SUM(H93:J93)</f>
        <v>0</v>
      </c>
      <c r="H93" s="153">
        <f ca="1">SUMIF(SAN,SP!$A93,SAN_ANNO_C)</f>
        <v>0</v>
      </c>
      <c r="I93" s="153">
        <f ca="1">SUMIF(RIC,SP!$A93,RIC_ANNO_C)</f>
        <v>0</v>
      </c>
      <c r="J93" s="153">
        <f ca="1">SUMIF(SOC,SP!$A93,SOC_ANNO_C)</f>
        <v>0</v>
      </c>
      <c r="K93" s="145"/>
      <c r="L93" s="145"/>
      <c r="M93" s="145"/>
      <c r="N93" s="153">
        <f ca="1">+C93</f>
        <v>0</v>
      </c>
      <c r="O93" s="153">
        <f ca="1">+G93</f>
        <v>0</v>
      </c>
      <c r="P93" s="153">
        <f ca="1">+O93-N93</f>
        <v>0</v>
      </c>
      <c r="Q93" s="154">
        <f ca="1">IF(N93&lt;&gt;0,+P93/N93,0)</f>
        <v>0</v>
      </c>
      <c r="R93" s="145"/>
      <c r="S93" s="145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</row>
    <row r="94" spans="1:33" x14ac:dyDescent="0.2">
      <c r="A94" s="130" t="s">
        <v>1829</v>
      </c>
      <c r="B94" s="152" t="s">
        <v>2873</v>
      </c>
      <c r="C94" s="153">
        <f ca="1">SUM(D94:F94)</f>
        <v>33745</v>
      </c>
      <c r="D94" s="153">
        <f ca="1">SUMIF(SAN,SP!$A94,SAN_ANNO_P)</f>
        <v>33745</v>
      </c>
      <c r="E94" s="153">
        <f ca="1">SUMIF(RIC,SP!$A94,RIC_ANNO_P)</f>
        <v>0</v>
      </c>
      <c r="F94" s="153">
        <f ca="1">SUMIF(SOC,SP!$A94,SOC_ANNO_P)</f>
        <v>0</v>
      </c>
      <c r="G94" s="153">
        <f ca="1">SUM(H94:J94)</f>
        <v>8490</v>
      </c>
      <c r="H94" s="153">
        <f ca="1">SUMIF(SAN,SP!$A94,SAN_ANNO_C)</f>
        <v>8490</v>
      </c>
      <c r="I94" s="153">
        <f ca="1">SUMIF(RIC,SP!$A94,RIC_ANNO_C)</f>
        <v>0</v>
      </c>
      <c r="J94" s="153">
        <f ca="1">SUMIF(SOC,SP!$A94,SOC_ANNO_C)</f>
        <v>0</v>
      </c>
      <c r="K94" s="145"/>
      <c r="L94" s="145"/>
      <c r="M94" s="145"/>
      <c r="N94" s="153">
        <f ca="1">+C94</f>
        <v>33745</v>
      </c>
      <c r="O94" s="153">
        <f ca="1">+G94</f>
        <v>8490</v>
      </c>
      <c r="P94" s="153">
        <f ca="1">+O94-N94</f>
        <v>-25255</v>
      </c>
      <c r="Q94" s="170">
        <f ca="1">IF(N94&lt;&gt;0,+P94/N94,0)</f>
        <v>-0.74840717143280489</v>
      </c>
      <c r="R94" s="145"/>
      <c r="S94" s="145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</row>
    <row r="95" spans="1:33" s="171" customFormat="1" x14ac:dyDescent="0.25">
      <c r="A95" s="171" t="s">
        <v>2874</v>
      </c>
      <c r="B95" s="147" t="s">
        <v>2875</v>
      </c>
      <c r="C95" s="148">
        <f ca="1">SUM(D95:F95)</f>
        <v>33745</v>
      </c>
      <c r="D95" s="148">
        <f ca="1">+D93+D94</f>
        <v>33745</v>
      </c>
      <c r="E95" s="148">
        <f ca="1">+E93+E94</f>
        <v>0</v>
      </c>
      <c r="F95" s="148">
        <f ca="1">+F93+F94</f>
        <v>0</v>
      </c>
      <c r="G95" s="148">
        <f ca="1">SUM(H95:J95)</f>
        <v>8490</v>
      </c>
      <c r="H95" s="148">
        <f ca="1">+H93+H94</f>
        <v>8490</v>
      </c>
      <c r="I95" s="148">
        <f ca="1">+I93+I94</f>
        <v>0</v>
      </c>
      <c r="J95" s="148">
        <f ca="1">+J93+J94</f>
        <v>0</v>
      </c>
      <c r="K95" s="172"/>
      <c r="L95" s="172"/>
      <c r="M95" s="172"/>
      <c r="N95" s="148">
        <f ca="1">+C95</f>
        <v>33745</v>
      </c>
      <c r="O95" s="148">
        <f ca="1">+G95</f>
        <v>8490</v>
      </c>
      <c r="P95" s="148">
        <f ca="1">+O95-N95</f>
        <v>-25255</v>
      </c>
      <c r="Q95" s="173">
        <f ca="1">IF(N95&lt;&gt;0,+P95/N95,0)</f>
        <v>-0.74840717143280489</v>
      </c>
      <c r="R95" s="172"/>
      <c r="S95" s="172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</row>
    <row r="96" spans="1:33" s="171" customFormat="1" x14ac:dyDescent="0.2">
      <c r="A96" s="175" t="s">
        <v>2876</v>
      </c>
      <c r="B96" s="176" t="s">
        <v>2877</v>
      </c>
      <c r="C96" s="177">
        <f ca="1">SUM(D96:F96)</f>
        <v>213910168</v>
      </c>
      <c r="D96" s="177">
        <f ca="1">+D37+D91+D95</f>
        <v>213910168</v>
      </c>
      <c r="E96" s="177">
        <f ca="1">+E37+E91+E95</f>
        <v>0</v>
      </c>
      <c r="F96" s="177">
        <f ca="1">+F37+F91+F95</f>
        <v>0</v>
      </c>
      <c r="G96" s="177">
        <f ca="1">SUM(H96:J96)</f>
        <v>232309840</v>
      </c>
      <c r="H96" s="177">
        <f ca="1">+H37+H91+H95</f>
        <v>232309840</v>
      </c>
      <c r="I96" s="177">
        <f ca="1">+I37+I91+I95</f>
        <v>0</v>
      </c>
      <c r="J96" s="177">
        <f ca="1">+J37+J91+J95</f>
        <v>0</v>
      </c>
      <c r="K96" s="172"/>
      <c r="L96" s="172"/>
      <c r="M96" s="172"/>
      <c r="N96" s="178">
        <f ca="1">+C96</f>
        <v>213910168</v>
      </c>
      <c r="O96" s="178">
        <f ca="1">+G96</f>
        <v>232309840</v>
      </c>
      <c r="P96" s="178">
        <f ca="1">+O96-N96</f>
        <v>18399672</v>
      </c>
      <c r="Q96" s="179">
        <f ca="1">IF(N96&lt;&gt;0,+P96/N96,0)</f>
        <v>8.601588307854538E-2</v>
      </c>
      <c r="R96" s="172"/>
      <c r="S96" s="172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</row>
    <row r="97" spans="1:33" x14ac:dyDescent="0.2">
      <c r="A97" s="180" t="s">
        <v>2878</v>
      </c>
      <c r="B97" s="166" t="s">
        <v>2879</v>
      </c>
      <c r="C97" s="167"/>
      <c r="D97" s="167"/>
      <c r="E97" s="167"/>
      <c r="F97" s="167"/>
      <c r="G97" s="167"/>
      <c r="H97" s="167"/>
      <c r="I97" s="167"/>
      <c r="J97" s="167"/>
      <c r="K97" s="145"/>
      <c r="L97" s="145"/>
      <c r="M97" s="145"/>
      <c r="N97" s="167"/>
      <c r="O97" s="167"/>
      <c r="P97" s="167"/>
      <c r="Q97" s="168"/>
      <c r="R97" s="145"/>
      <c r="S97" s="145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</row>
    <row r="98" spans="1:33" x14ac:dyDescent="0.2">
      <c r="A98" s="180" t="s">
        <v>1845</v>
      </c>
      <c r="B98" s="152" t="s">
        <v>2755</v>
      </c>
      <c r="C98" s="153">
        <f ca="1">SUM(D98:F98)</f>
        <v>0</v>
      </c>
      <c r="D98" s="153">
        <f ca="1">SUMIF(SAN,SP!$A98,SAN_ANNO_P)</f>
        <v>0</v>
      </c>
      <c r="E98" s="153">
        <f ca="1">SUMIF(RIC,SP!$A98,RIC_ANNO_P)</f>
        <v>0</v>
      </c>
      <c r="F98" s="153">
        <f ca="1">SUMIF(SOC,SP!$A98,SOC_ANNO_P)</f>
        <v>0</v>
      </c>
      <c r="G98" s="153">
        <f ca="1">SUM(H98:J98)</f>
        <v>0</v>
      </c>
      <c r="H98" s="153">
        <f ca="1">SUMIF(SAN,SP!$A98,SAN_ANNO_C)</f>
        <v>0</v>
      </c>
      <c r="I98" s="153">
        <f ca="1">SUMIF(RIC,SP!$A98,RIC_ANNO_C)</f>
        <v>0</v>
      </c>
      <c r="J98" s="153">
        <f ca="1">SUMIF(SOC,SP!$A98,SOC_ANNO_C)</f>
        <v>0</v>
      </c>
      <c r="K98" s="145"/>
      <c r="L98" s="145"/>
      <c r="M98" s="145"/>
      <c r="N98" s="153">
        <f ca="1">+C98</f>
        <v>0</v>
      </c>
      <c r="O98" s="153">
        <f ca="1">+G98</f>
        <v>0</v>
      </c>
      <c r="P98" s="153">
        <f ca="1">+O98-N98</f>
        <v>0</v>
      </c>
      <c r="Q98" s="154">
        <f ca="1">IF(N98&lt;&gt;0,+P98/N98,0)</f>
        <v>0</v>
      </c>
      <c r="R98" s="145"/>
      <c r="S98" s="145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</row>
    <row r="99" spans="1:33" x14ac:dyDescent="0.2">
      <c r="A99" s="180" t="s">
        <v>1850</v>
      </c>
      <c r="B99" s="152" t="s">
        <v>2756</v>
      </c>
      <c r="C99" s="153">
        <f ca="1">SUM(D99:F99)</f>
        <v>0</v>
      </c>
      <c r="D99" s="153">
        <f ca="1">SUMIF(SAN,SP!$A99,SAN_ANNO_P)</f>
        <v>0</v>
      </c>
      <c r="E99" s="153">
        <f ca="1">SUMIF(RIC,SP!$A99,RIC_ANNO_P)</f>
        <v>0</v>
      </c>
      <c r="F99" s="153">
        <f ca="1">SUMIF(SOC,SP!$A99,SOC_ANNO_P)</f>
        <v>0</v>
      </c>
      <c r="G99" s="153">
        <f ca="1">SUM(H99:J99)</f>
        <v>0</v>
      </c>
      <c r="H99" s="153">
        <f ca="1">SUMIF(SAN,SP!$A99,SAN_ANNO_C)</f>
        <v>0</v>
      </c>
      <c r="I99" s="153">
        <f ca="1">SUMIF(RIC,SP!$A99,RIC_ANNO_C)</f>
        <v>0</v>
      </c>
      <c r="J99" s="153">
        <f ca="1">SUMIF(SOC,SP!$A99,SOC_ANNO_C)</f>
        <v>0</v>
      </c>
      <c r="K99" s="145"/>
      <c r="L99" s="145"/>
      <c r="M99" s="145"/>
      <c r="N99" s="153">
        <f ca="1">+C99</f>
        <v>0</v>
      </c>
      <c r="O99" s="153">
        <f ca="1">+G99</f>
        <v>0</v>
      </c>
      <c r="P99" s="153">
        <f ca="1">+O99-N99</f>
        <v>0</v>
      </c>
      <c r="Q99" s="154">
        <f ca="1">IF(N99&lt;&gt;0,+P99/N99,0)</f>
        <v>0</v>
      </c>
      <c r="R99" s="145"/>
      <c r="S99" s="145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</row>
    <row r="100" spans="1:33" x14ac:dyDescent="0.2">
      <c r="A100" s="180" t="s">
        <v>1855</v>
      </c>
      <c r="B100" s="152" t="s">
        <v>2757</v>
      </c>
      <c r="C100" s="153">
        <f ca="1">SUM(D100:F100)</f>
        <v>7812</v>
      </c>
      <c r="D100" s="153">
        <f ca="1">SUMIF(SAN,SP!$A100,SAN_ANNO_P)</f>
        <v>7812</v>
      </c>
      <c r="E100" s="153">
        <f ca="1">SUMIF(RIC,SP!$A100,RIC_ANNO_P)</f>
        <v>0</v>
      </c>
      <c r="F100" s="153">
        <f ca="1">SUMIF(SOC,SP!$A100,SOC_ANNO_P)</f>
        <v>0</v>
      </c>
      <c r="G100" s="153">
        <f ca="1">SUM(H100:J100)</f>
        <v>7812</v>
      </c>
      <c r="H100" s="153">
        <f ca="1">SUMIF(SAN,SP!$A100,SAN_ANNO_C)</f>
        <v>7812</v>
      </c>
      <c r="I100" s="153">
        <f ca="1">SUMIF(RIC,SP!$A100,RIC_ANNO_C)</f>
        <v>0</v>
      </c>
      <c r="J100" s="153">
        <f ca="1">SUMIF(SOC,SP!$A100,SOC_ANNO_C)</f>
        <v>0</v>
      </c>
      <c r="K100" s="145"/>
      <c r="L100" s="145"/>
      <c r="M100" s="145"/>
      <c r="N100" s="153">
        <f ca="1">+C100</f>
        <v>7812</v>
      </c>
      <c r="O100" s="153">
        <f ca="1">+G100</f>
        <v>7812</v>
      </c>
      <c r="P100" s="153">
        <f ca="1">+O100-N100</f>
        <v>0</v>
      </c>
      <c r="Q100" s="154">
        <f ca="1">IF(N100&lt;&gt;0,+P100/N100,0)</f>
        <v>0</v>
      </c>
      <c r="R100" s="145"/>
      <c r="S100" s="145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</row>
    <row r="101" spans="1:33" x14ac:dyDescent="0.2">
      <c r="A101" s="180" t="s">
        <v>1860</v>
      </c>
      <c r="B101" s="152" t="s">
        <v>1865</v>
      </c>
      <c r="C101" s="153">
        <f ca="1">SUM(D101:F101)</f>
        <v>7554492</v>
      </c>
      <c r="D101" s="153">
        <f ca="1">SUMIF(SAN,SP!$A101,SAN_ANNO_P)</f>
        <v>7554492</v>
      </c>
      <c r="E101" s="153">
        <f ca="1">SUMIF(RIC,SP!$A101,RIC_ANNO_P)</f>
        <v>0</v>
      </c>
      <c r="F101" s="153">
        <f ca="1">SUMIF(SOC,SP!$A101,SOC_ANNO_P)</f>
        <v>0</v>
      </c>
      <c r="G101" s="153">
        <f ca="1">SUM(H101:J101)</f>
        <v>8391951</v>
      </c>
      <c r="H101" s="153">
        <f ca="1">SUMIF(SAN,SP!$A101,SAN_ANNO_C)</f>
        <v>8391951</v>
      </c>
      <c r="I101" s="153">
        <f ca="1">SUMIF(RIC,SP!$A101,RIC_ANNO_C)</f>
        <v>0</v>
      </c>
      <c r="J101" s="153">
        <f ca="1">SUMIF(SOC,SP!$A101,SOC_ANNO_C)</f>
        <v>0</v>
      </c>
      <c r="K101" s="145"/>
      <c r="L101" s="145"/>
      <c r="M101" s="145"/>
      <c r="N101" s="153">
        <f ca="1">+C101</f>
        <v>7554492</v>
      </c>
      <c r="O101" s="153">
        <f ca="1">+G101</f>
        <v>8391951</v>
      </c>
      <c r="P101" s="153">
        <f ca="1">+O101-N101</f>
        <v>837459</v>
      </c>
      <c r="Q101" s="163">
        <f ca="1">IF(N101&lt;&gt;0,+P101/N101,0)</f>
        <v>0.11085576634405067</v>
      </c>
      <c r="R101" s="145"/>
      <c r="S101" s="145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</row>
    <row r="102" spans="1:33" x14ac:dyDescent="0.2">
      <c r="A102" s="180" t="s">
        <v>2880</v>
      </c>
      <c r="B102" s="147" t="s">
        <v>2881</v>
      </c>
      <c r="C102" s="148">
        <f ca="1">SUM(D102:F102)</f>
        <v>7562304</v>
      </c>
      <c r="D102" s="148">
        <f ca="1">SUM(D98:D101)</f>
        <v>7562304</v>
      </c>
      <c r="E102" s="148">
        <f ca="1">SUM(E98:E101)</f>
        <v>0</v>
      </c>
      <c r="F102" s="148">
        <f ca="1">SUM(F98:F101)</f>
        <v>0</v>
      </c>
      <c r="G102" s="148">
        <f ca="1">SUM(H102:J102)</f>
        <v>8399763</v>
      </c>
      <c r="H102" s="148">
        <f ca="1">SUM(H98:H101)</f>
        <v>8399763</v>
      </c>
      <c r="I102" s="148">
        <f ca="1">SUM(I98:I101)</f>
        <v>0</v>
      </c>
      <c r="J102" s="148">
        <f ca="1">SUM(J98:J101)</f>
        <v>0</v>
      </c>
      <c r="K102" s="145"/>
      <c r="L102" s="145"/>
      <c r="M102" s="145"/>
      <c r="N102" s="164">
        <f ca="1">+C102</f>
        <v>7562304</v>
      </c>
      <c r="O102" s="164">
        <f ca="1">+G102</f>
        <v>8399763</v>
      </c>
      <c r="P102" s="164">
        <f ca="1">+O102-N102</f>
        <v>837459</v>
      </c>
      <c r="Q102" s="165">
        <f ca="1">IF(N102&lt;&gt;0,+P102/N102,0)</f>
        <v>0.11074125028562724</v>
      </c>
      <c r="R102" s="145"/>
      <c r="S102" s="145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</row>
    <row r="103" spans="1:33" x14ac:dyDescent="0.2">
      <c r="A103" s="130" t="s">
        <v>2882</v>
      </c>
      <c r="B103" s="143" t="s">
        <v>2883</v>
      </c>
      <c r="C103" s="144"/>
      <c r="D103" s="144"/>
      <c r="E103" s="144"/>
      <c r="F103" s="144"/>
      <c r="G103" s="144"/>
      <c r="H103" s="144"/>
      <c r="I103" s="144"/>
      <c r="J103" s="144"/>
      <c r="K103" s="145"/>
      <c r="L103" s="145"/>
      <c r="M103" s="145"/>
      <c r="N103" s="144"/>
      <c r="O103" s="144"/>
      <c r="P103" s="144"/>
      <c r="Q103" s="181"/>
      <c r="R103" s="145"/>
      <c r="S103" s="145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</row>
    <row r="104" spans="1:33" x14ac:dyDescent="0.2">
      <c r="A104" s="130" t="s">
        <v>2884</v>
      </c>
      <c r="B104" s="147" t="s">
        <v>1912</v>
      </c>
      <c r="C104" s="148"/>
      <c r="D104" s="148"/>
      <c r="E104" s="148"/>
      <c r="F104" s="148"/>
      <c r="G104" s="148"/>
      <c r="H104" s="148"/>
      <c r="I104" s="148"/>
      <c r="J104" s="148"/>
      <c r="K104" s="145"/>
      <c r="L104" s="145"/>
      <c r="M104" s="145"/>
      <c r="N104" s="148"/>
      <c r="O104" s="148"/>
      <c r="P104" s="148"/>
      <c r="Q104" s="173"/>
      <c r="R104" s="145"/>
      <c r="S104" s="145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</row>
    <row r="105" spans="1:33" x14ac:dyDescent="0.2">
      <c r="A105" s="130" t="s">
        <v>1917</v>
      </c>
      <c r="B105" s="152" t="s">
        <v>2885</v>
      </c>
      <c r="C105" s="153">
        <f t="shared" ref="C105:C120" ca="1" si="12">SUM(D105:F105)</f>
        <v>27529020</v>
      </c>
      <c r="D105" s="153">
        <f ca="1">SUMIF(SAN,SP!$A105,SAN_ANNO_P)</f>
        <v>27529020</v>
      </c>
      <c r="E105" s="153">
        <f ca="1">SUMIF(RIC,SP!$A105,RIC_ANNO_P)</f>
        <v>0</v>
      </c>
      <c r="F105" s="153">
        <f ca="1">SUMIF(SOC,SP!$A105,SOC_ANNO_P)</f>
        <v>0</v>
      </c>
      <c r="G105" s="153">
        <f t="shared" ref="G105:G120" ca="1" si="13">SUM(H105:J105)</f>
        <v>27529020</v>
      </c>
      <c r="H105" s="153">
        <f ca="1">SUMIF(SAN,SP!$A105,SAN_ANNO_C)</f>
        <v>27529020</v>
      </c>
      <c r="I105" s="153">
        <f ca="1">SUMIF(RIC,SP!$A105,RIC_ANNO_C)</f>
        <v>0</v>
      </c>
      <c r="J105" s="153">
        <f ca="1">SUMIF(SOC,SP!$A105,SOC_ANNO_C)</f>
        <v>0</v>
      </c>
      <c r="K105" s="145"/>
      <c r="L105" s="145"/>
      <c r="M105" s="145"/>
      <c r="N105" s="153">
        <f t="shared" ref="N105:N120" ca="1" si="14">+C105</f>
        <v>27529020</v>
      </c>
      <c r="O105" s="153">
        <f t="shared" ref="O105:O120" ca="1" si="15">+G105</f>
        <v>27529020</v>
      </c>
      <c r="P105" s="153">
        <f t="shared" ref="P105:P120" ca="1" si="16">+O105-N105</f>
        <v>0</v>
      </c>
      <c r="Q105" s="154">
        <f t="shared" ref="Q105:Q120" ca="1" si="17">IF(N105&lt;&gt;0,+P105/N105,0)</f>
        <v>0</v>
      </c>
      <c r="R105" s="145"/>
      <c r="S105" s="145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</row>
    <row r="106" spans="1:33" x14ac:dyDescent="0.2">
      <c r="A106" s="130" t="s">
        <v>2886</v>
      </c>
      <c r="B106" s="149" t="s">
        <v>2887</v>
      </c>
      <c r="C106" s="150">
        <f t="shared" ca="1" si="12"/>
        <v>74830150</v>
      </c>
      <c r="D106" s="150">
        <f ca="1">+D107+D108+D112+D113+D114</f>
        <v>74830150</v>
      </c>
      <c r="E106" s="150">
        <f ca="1">+E107+E108+E112+E113+E114</f>
        <v>0</v>
      </c>
      <c r="F106" s="150">
        <f ca="1">+F107+F108+F112+F113+F114</f>
        <v>0</v>
      </c>
      <c r="G106" s="150">
        <f t="shared" ca="1" si="13"/>
        <v>88220877</v>
      </c>
      <c r="H106" s="150">
        <f ca="1">+H107+H108+H112+H113+H114</f>
        <v>88220877</v>
      </c>
      <c r="I106" s="150">
        <f ca="1">+I107+I108+I112+I113+I114</f>
        <v>0</v>
      </c>
      <c r="J106" s="150">
        <f ca="1">+J107+J108+J112+J113+J114</f>
        <v>0</v>
      </c>
      <c r="K106" s="145"/>
      <c r="L106" s="145"/>
      <c r="M106" s="145"/>
      <c r="N106" s="150">
        <f t="shared" ca="1" si="14"/>
        <v>74830150</v>
      </c>
      <c r="O106" s="150">
        <f t="shared" ca="1" si="15"/>
        <v>88220877</v>
      </c>
      <c r="P106" s="150">
        <f t="shared" ca="1" si="16"/>
        <v>13390727</v>
      </c>
      <c r="Q106" s="182">
        <f t="shared" ca="1" si="17"/>
        <v>0.17894828488249723</v>
      </c>
      <c r="R106" s="145"/>
      <c r="S106" s="145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</row>
    <row r="107" spans="1:33" x14ac:dyDescent="0.2">
      <c r="A107" s="130" t="s">
        <v>1926</v>
      </c>
      <c r="B107" s="152" t="s">
        <v>2888</v>
      </c>
      <c r="C107" s="153">
        <f t="shared" ca="1" si="12"/>
        <v>27609856</v>
      </c>
      <c r="D107" s="153">
        <f ca="1">SUMIF(SAN,SP!$A107,SAN_ANNO_P)</f>
        <v>27609856</v>
      </c>
      <c r="E107" s="153">
        <f ca="1">SUMIF(RIC,SP!$A107,RIC_ANNO_P)</f>
        <v>0</v>
      </c>
      <c r="F107" s="153">
        <f ca="1">SUMIF(SOC,SP!$A107,SOC_ANNO_P)</f>
        <v>0</v>
      </c>
      <c r="G107" s="153">
        <f t="shared" ca="1" si="13"/>
        <v>25372331</v>
      </c>
      <c r="H107" s="153">
        <f ca="1">SUMIF(SAN,SP!$A107,SAN_ANNO_C)</f>
        <v>25372331</v>
      </c>
      <c r="I107" s="153">
        <f ca="1">SUMIF(RIC,SP!$A107,RIC_ANNO_C)</f>
        <v>0</v>
      </c>
      <c r="J107" s="153">
        <f ca="1">SUMIF(SOC,SP!$A107,SOC_ANNO_C)</f>
        <v>0</v>
      </c>
      <c r="K107" s="145"/>
      <c r="L107" s="145"/>
      <c r="M107" s="145"/>
      <c r="N107" s="153">
        <f t="shared" ca="1" si="14"/>
        <v>27609856</v>
      </c>
      <c r="O107" s="153">
        <f t="shared" ca="1" si="15"/>
        <v>25372331</v>
      </c>
      <c r="P107" s="153">
        <f t="shared" ca="1" si="16"/>
        <v>-2237525</v>
      </c>
      <c r="Q107" s="154">
        <f t="shared" ca="1" si="17"/>
        <v>-8.1040806587328817E-2</v>
      </c>
      <c r="R107" s="145"/>
      <c r="S107" s="145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</row>
    <row r="108" spans="1:33" x14ac:dyDescent="0.2">
      <c r="A108" s="155" t="s">
        <v>2889</v>
      </c>
      <c r="B108" s="156" t="s">
        <v>2890</v>
      </c>
      <c r="C108" s="157">
        <f t="shared" ca="1" si="12"/>
        <v>0</v>
      </c>
      <c r="D108" s="157">
        <f ca="1">+D109+D110+D111</f>
        <v>0</v>
      </c>
      <c r="E108" s="157">
        <f ca="1">+E109+E110+E111</f>
        <v>0</v>
      </c>
      <c r="F108" s="157">
        <f ca="1">+F109+F110+F111</f>
        <v>0</v>
      </c>
      <c r="G108" s="157">
        <f t="shared" ca="1" si="13"/>
        <v>13598000</v>
      </c>
      <c r="H108" s="157">
        <f ca="1">+H109+H110+H111</f>
        <v>13598000</v>
      </c>
      <c r="I108" s="157">
        <f ca="1">+I109+I110+I111</f>
        <v>0</v>
      </c>
      <c r="J108" s="157">
        <f ca="1">+J109+J110+J111</f>
        <v>0</v>
      </c>
      <c r="K108" s="145"/>
      <c r="L108" s="145"/>
      <c r="M108" s="145"/>
      <c r="N108" s="157">
        <f t="shared" ca="1" si="14"/>
        <v>0</v>
      </c>
      <c r="O108" s="157">
        <f t="shared" ca="1" si="15"/>
        <v>13598000</v>
      </c>
      <c r="P108" s="157">
        <f t="shared" ca="1" si="16"/>
        <v>13598000</v>
      </c>
      <c r="Q108" s="154">
        <f t="shared" ca="1" si="17"/>
        <v>0</v>
      </c>
      <c r="R108" s="145"/>
      <c r="S108" s="145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</row>
    <row r="109" spans="1:33" x14ac:dyDescent="0.2">
      <c r="A109" s="155" t="s">
        <v>1935</v>
      </c>
      <c r="B109" s="152" t="s">
        <v>2891</v>
      </c>
      <c r="C109" s="153">
        <f t="shared" ca="1" si="12"/>
        <v>0</v>
      </c>
      <c r="D109" s="153">
        <f ca="1">SUMIF(SAN,SP!$A109,SAN_ANNO_P)</f>
        <v>0</v>
      </c>
      <c r="E109" s="153">
        <f ca="1">SUMIF(RIC,SP!$A109,RIC_ANNO_P)</f>
        <v>0</v>
      </c>
      <c r="F109" s="153">
        <f ca="1">SUMIF(SOC,SP!$A109,SOC_ANNO_P)</f>
        <v>0</v>
      </c>
      <c r="G109" s="153">
        <f t="shared" ca="1" si="13"/>
        <v>0</v>
      </c>
      <c r="H109" s="153">
        <f ca="1">SUMIF(SAN,SP!$A109,SAN_ANNO_C)</f>
        <v>0</v>
      </c>
      <c r="I109" s="153">
        <f ca="1">SUMIF(RIC,SP!$A109,RIC_ANNO_C)</f>
        <v>0</v>
      </c>
      <c r="J109" s="153">
        <f ca="1">SUMIF(SOC,SP!$A109,SOC_ANNO_C)</f>
        <v>0</v>
      </c>
      <c r="K109" s="145"/>
      <c r="L109" s="145"/>
      <c r="M109" s="145"/>
      <c r="N109" s="153">
        <f t="shared" ca="1" si="14"/>
        <v>0</v>
      </c>
      <c r="O109" s="153">
        <f t="shared" ca="1" si="15"/>
        <v>0</v>
      </c>
      <c r="P109" s="153">
        <f t="shared" ca="1" si="16"/>
        <v>0</v>
      </c>
      <c r="Q109" s="154">
        <f t="shared" ca="1" si="17"/>
        <v>0</v>
      </c>
      <c r="R109" s="145"/>
      <c r="S109" s="145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</row>
    <row r="110" spans="1:33" x14ac:dyDescent="0.2">
      <c r="A110" s="155" t="s">
        <v>1940</v>
      </c>
      <c r="B110" s="152" t="s">
        <v>2892</v>
      </c>
      <c r="C110" s="153">
        <f t="shared" ca="1" si="12"/>
        <v>0</v>
      </c>
      <c r="D110" s="153">
        <f ca="1">SUMIF(SAN,SP!$A110,SAN_ANNO_P)</f>
        <v>0</v>
      </c>
      <c r="E110" s="153">
        <f ca="1">SUMIF(RIC,SP!$A110,RIC_ANNO_P)</f>
        <v>0</v>
      </c>
      <c r="F110" s="153">
        <f ca="1">SUMIF(SOC,SP!$A110,SOC_ANNO_P)</f>
        <v>0</v>
      </c>
      <c r="G110" s="153">
        <f t="shared" ca="1" si="13"/>
        <v>0</v>
      </c>
      <c r="H110" s="153">
        <f ca="1">SUMIF(SAN,SP!$A110,SAN_ANNO_C)</f>
        <v>0</v>
      </c>
      <c r="I110" s="153">
        <f ca="1">SUMIF(RIC,SP!$A110,RIC_ANNO_C)</f>
        <v>0</v>
      </c>
      <c r="J110" s="153">
        <f ca="1">SUMIF(SOC,SP!$A110,SOC_ANNO_C)</f>
        <v>0</v>
      </c>
      <c r="K110" s="145"/>
      <c r="L110" s="145"/>
      <c r="M110" s="145"/>
      <c r="N110" s="153">
        <f t="shared" ca="1" si="14"/>
        <v>0</v>
      </c>
      <c r="O110" s="153">
        <f t="shared" ca="1" si="15"/>
        <v>0</v>
      </c>
      <c r="P110" s="153">
        <f t="shared" ca="1" si="16"/>
        <v>0</v>
      </c>
      <c r="Q110" s="154">
        <f t="shared" ca="1" si="17"/>
        <v>0</v>
      </c>
      <c r="R110" s="145"/>
      <c r="S110" s="145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</row>
    <row r="111" spans="1:33" x14ac:dyDescent="0.2">
      <c r="A111" s="155" t="s">
        <v>1945</v>
      </c>
      <c r="B111" s="152" t="s">
        <v>2893</v>
      </c>
      <c r="C111" s="153">
        <f t="shared" ca="1" si="12"/>
        <v>0</v>
      </c>
      <c r="D111" s="153">
        <f ca="1">SUMIF(SAN,SP!$A111,SAN_ANNO_P)</f>
        <v>0</v>
      </c>
      <c r="E111" s="153">
        <f ca="1">SUMIF(RIC,SP!$A111,RIC_ANNO_P)</f>
        <v>0</v>
      </c>
      <c r="F111" s="153">
        <f ca="1">SUMIF(SOC,SP!$A111,SOC_ANNO_P)</f>
        <v>0</v>
      </c>
      <c r="G111" s="153">
        <f t="shared" ca="1" si="13"/>
        <v>13598000</v>
      </c>
      <c r="H111" s="153">
        <f ca="1">SUMIF(SAN,SP!$A111,SAN_ANNO_C)</f>
        <v>13598000</v>
      </c>
      <c r="I111" s="153">
        <f ca="1">SUMIF(RIC,SP!$A111,RIC_ANNO_C)</f>
        <v>0</v>
      </c>
      <c r="J111" s="153">
        <f ca="1">SUMIF(SOC,SP!$A111,SOC_ANNO_C)</f>
        <v>0</v>
      </c>
      <c r="K111" s="145"/>
      <c r="L111" s="145"/>
      <c r="M111" s="145"/>
      <c r="N111" s="153">
        <f t="shared" ca="1" si="14"/>
        <v>0</v>
      </c>
      <c r="O111" s="153">
        <f t="shared" ca="1" si="15"/>
        <v>13598000</v>
      </c>
      <c r="P111" s="153">
        <f t="shared" ca="1" si="16"/>
        <v>13598000</v>
      </c>
      <c r="Q111" s="154">
        <f t="shared" ca="1" si="17"/>
        <v>0</v>
      </c>
      <c r="R111" s="145"/>
      <c r="S111" s="145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</row>
    <row r="112" spans="1:33" x14ac:dyDescent="0.2">
      <c r="A112" s="155" t="s">
        <v>1951</v>
      </c>
      <c r="B112" s="152" t="s">
        <v>2894</v>
      </c>
      <c r="C112" s="153">
        <f t="shared" ca="1" si="12"/>
        <v>47015826</v>
      </c>
      <c r="D112" s="153">
        <f ca="1">SUMIF(SAN,SP!$A112,SAN_ANNO_P)</f>
        <v>47015826</v>
      </c>
      <c r="E112" s="153">
        <f ca="1">SUMIF(RIC,SP!$A112,RIC_ANNO_P)</f>
        <v>0</v>
      </c>
      <c r="F112" s="153">
        <f ca="1">SUMIF(SOC,SP!$A112,SOC_ANNO_P)</f>
        <v>0</v>
      </c>
      <c r="G112" s="153">
        <f t="shared" ca="1" si="13"/>
        <v>47453477</v>
      </c>
      <c r="H112" s="153">
        <f ca="1">SUMIF(SAN,SP!$A112,SAN_ANNO_C)</f>
        <v>47453477</v>
      </c>
      <c r="I112" s="153">
        <f ca="1">SUMIF(RIC,SP!$A112,RIC_ANNO_C)</f>
        <v>0</v>
      </c>
      <c r="J112" s="153">
        <f ca="1">SUMIF(SOC,SP!$A112,SOC_ANNO_C)</f>
        <v>0</v>
      </c>
      <c r="K112" s="145"/>
      <c r="L112" s="145"/>
      <c r="M112" s="145"/>
      <c r="N112" s="153">
        <f t="shared" ca="1" si="14"/>
        <v>47015826</v>
      </c>
      <c r="O112" s="153">
        <f t="shared" ca="1" si="15"/>
        <v>47453477</v>
      </c>
      <c r="P112" s="153">
        <f t="shared" ca="1" si="16"/>
        <v>437651</v>
      </c>
      <c r="Q112" s="154">
        <f t="shared" ca="1" si="17"/>
        <v>9.3085889844836504E-3</v>
      </c>
      <c r="R112" s="145"/>
      <c r="S112" s="145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</row>
    <row r="113" spans="1:33" x14ac:dyDescent="0.2">
      <c r="A113" s="155" t="s">
        <v>1957</v>
      </c>
      <c r="B113" s="152" t="s">
        <v>2895</v>
      </c>
      <c r="C113" s="153">
        <f t="shared" ca="1" si="12"/>
        <v>0</v>
      </c>
      <c r="D113" s="153">
        <f ca="1">SUMIF(SAN,SP!$A113,SAN_ANNO_P)</f>
        <v>0</v>
      </c>
      <c r="E113" s="153">
        <f ca="1">SUMIF(RIC,SP!$A113,RIC_ANNO_P)</f>
        <v>0</v>
      </c>
      <c r="F113" s="153">
        <f ca="1">SUMIF(SOC,SP!$A113,SOC_ANNO_P)</f>
        <v>0</v>
      </c>
      <c r="G113" s="153">
        <f t="shared" ca="1" si="13"/>
        <v>0</v>
      </c>
      <c r="H113" s="153">
        <f ca="1">SUMIF(SAN,SP!$A113,SAN_ANNO_C)</f>
        <v>0</v>
      </c>
      <c r="I113" s="153">
        <f ca="1">SUMIF(RIC,SP!$A113,RIC_ANNO_C)</f>
        <v>0</v>
      </c>
      <c r="J113" s="153">
        <f ca="1">SUMIF(SOC,SP!$A113,SOC_ANNO_C)</f>
        <v>0</v>
      </c>
      <c r="K113" s="145"/>
      <c r="L113" s="145"/>
      <c r="M113" s="145"/>
      <c r="N113" s="153">
        <f t="shared" ca="1" si="14"/>
        <v>0</v>
      </c>
      <c r="O113" s="153">
        <f t="shared" ca="1" si="15"/>
        <v>0</v>
      </c>
      <c r="P113" s="153">
        <f t="shared" ca="1" si="16"/>
        <v>0</v>
      </c>
      <c r="Q113" s="154">
        <f t="shared" ca="1" si="17"/>
        <v>0</v>
      </c>
      <c r="R113" s="145"/>
      <c r="S113" s="145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</row>
    <row r="114" spans="1:33" x14ac:dyDescent="0.2">
      <c r="A114" s="155" t="s">
        <v>1963</v>
      </c>
      <c r="B114" s="152" t="s">
        <v>2896</v>
      </c>
      <c r="C114" s="153">
        <f t="shared" ca="1" si="12"/>
        <v>204468</v>
      </c>
      <c r="D114" s="153">
        <f ca="1">SUMIF(SAN,SP!$A114,SAN_ANNO_P)</f>
        <v>204468</v>
      </c>
      <c r="E114" s="153">
        <f ca="1">SUMIF(RIC,SP!$A114,RIC_ANNO_P)</f>
        <v>0</v>
      </c>
      <c r="F114" s="153">
        <f ca="1">SUMIF(SOC,SP!$A114,SOC_ANNO_P)</f>
        <v>0</v>
      </c>
      <c r="G114" s="153">
        <f t="shared" ca="1" si="13"/>
        <v>1797069</v>
      </c>
      <c r="H114" s="153">
        <f ca="1">SUMIF(SAN,SP!$A114,SAN_ANNO_C)</f>
        <v>1797069</v>
      </c>
      <c r="I114" s="153">
        <f ca="1">SUMIF(RIC,SP!$A114,RIC_ANNO_C)</f>
        <v>0</v>
      </c>
      <c r="J114" s="153">
        <f ca="1">SUMIF(SOC,SP!$A114,SOC_ANNO_C)</f>
        <v>0</v>
      </c>
      <c r="K114" s="145"/>
      <c r="L114" s="145"/>
      <c r="M114" s="145"/>
      <c r="N114" s="153">
        <f t="shared" ca="1" si="14"/>
        <v>204468</v>
      </c>
      <c r="O114" s="153">
        <f t="shared" ca="1" si="15"/>
        <v>1797069</v>
      </c>
      <c r="P114" s="153">
        <f t="shared" ca="1" si="16"/>
        <v>1592601</v>
      </c>
      <c r="Q114" s="154">
        <f t="shared" ca="1" si="17"/>
        <v>7.7889987675333057</v>
      </c>
      <c r="R114" s="145"/>
      <c r="S114" s="145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</row>
    <row r="115" spans="1:33" x14ac:dyDescent="0.2">
      <c r="A115" s="130" t="s">
        <v>1969</v>
      </c>
      <c r="B115" s="152" t="s">
        <v>2897</v>
      </c>
      <c r="C115" s="153">
        <f t="shared" ca="1" si="12"/>
        <v>10575860</v>
      </c>
      <c r="D115" s="153">
        <f ca="1">SUMIF(SAN,SP!$A115,SAN_ANNO_P)</f>
        <v>10575860</v>
      </c>
      <c r="E115" s="153">
        <f ca="1">SUMIF(RIC,SP!$A115,RIC_ANNO_P)</f>
        <v>0</v>
      </c>
      <c r="F115" s="153">
        <f ca="1">SUMIF(SOC,SP!$A115,SOC_ANNO_P)</f>
        <v>0</v>
      </c>
      <c r="G115" s="153">
        <f t="shared" ca="1" si="13"/>
        <v>11361912</v>
      </c>
      <c r="H115" s="153">
        <f ca="1">SUMIF(SAN,SP!$A115,SAN_ANNO_C)</f>
        <v>11361912</v>
      </c>
      <c r="I115" s="153">
        <f ca="1">SUMIF(RIC,SP!$A115,RIC_ANNO_C)</f>
        <v>0</v>
      </c>
      <c r="J115" s="153">
        <f ca="1">SUMIF(SOC,SP!$A115,SOC_ANNO_C)</f>
        <v>0</v>
      </c>
      <c r="K115" s="145"/>
      <c r="L115" s="145"/>
      <c r="M115" s="145"/>
      <c r="N115" s="153">
        <f t="shared" ca="1" si="14"/>
        <v>10575860</v>
      </c>
      <c r="O115" s="153">
        <f t="shared" ca="1" si="15"/>
        <v>11361912</v>
      </c>
      <c r="P115" s="153">
        <f t="shared" ca="1" si="16"/>
        <v>786052</v>
      </c>
      <c r="Q115" s="154">
        <f t="shared" ca="1" si="17"/>
        <v>7.4325113986002084E-2</v>
      </c>
      <c r="R115" s="145"/>
      <c r="S115" s="145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</row>
    <row r="116" spans="1:33" x14ac:dyDescent="0.2">
      <c r="A116" s="155" t="s">
        <v>1974</v>
      </c>
      <c r="B116" s="152" t="s">
        <v>2898</v>
      </c>
      <c r="C116" s="153">
        <f t="shared" ca="1" si="12"/>
        <v>1339432</v>
      </c>
      <c r="D116" s="153">
        <f ca="1">SUMIF(SAN,SP!$A116,SAN_ANNO_P)</f>
        <v>1339432</v>
      </c>
      <c r="E116" s="153">
        <f ca="1">SUMIF(RIC,SP!$A116,RIC_ANNO_P)</f>
        <v>0</v>
      </c>
      <c r="F116" s="153">
        <f ca="1">SUMIF(SOC,SP!$A116,SOC_ANNO_P)</f>
        <v>0</v>
      </c>
      <c r="G116" s="153">
        <f t="shared" ca="1" si="13"/>
        <v>1335375</v>
      </c>
      <c r="H116" s="153">
        <f ca="1">SUMIF(SAN,SP!$A116,SAN_ANNO_C)</f>
        <v>1335375</v>
      </c>
      <c r="I116" s="153">
        <f ca="1">SUMIF(RIC,SP!$A116,RIC_ANNO_C)</f>
        <v>0</v>
      </c>
      <c r="J116" s="153">
        <f ca="1">SUMIF(SOC,SP!$A116,SOC_ANNO_C)</f>
        <v>0</v>
      </c>
      <c r="K116" s="145"/>
      <c r="L116" s="145"/>
      <c r="M116" s="145"/>
      <c r="N116" s="153">
        <f t="shared" ca="1" si="14"/>
        <v>1339432</v>
      </c>
      <c r="O116" s="153">
        <f t="shared" ca="1" si="15"/>
        <v>1335375</v>
      </c>
      <c r="P116" s="153">
        <f t="shared" ca="1" si="16"/>
        <v>-4057</v>
      </c>
      <c r="Q116" s="154">
        <f t="shared" ca="1" si="17"/>
        <v>-3.0288958304714236E-3</v>
      </c>
      <c r="R116" s="145"/>
      <c r="S116" s="145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</row>
    <row r="117" spans="1:33" x14ac:dyDescent="0.2">
      <c r="A117" s="155" t="s">
        <v>1999</v>
      </c>
      <c r="B117" s="152" t="s">
        <v>2899</v>
      </c>
      <c r="C117" s="153">
        <f t="shared" ca="1" si="12"/>
        <v>0</v>
      </c>
      <c r="D117" s="153">
        <f ca="1">SUMIF(SAN,SP!$A117,SAN_ANNO_P)</f>
        <v>0</v>
      </c>
      <c r="E117" s="153">
        <f ca="1">SUMIF(RIC,SP!$A117,RIC_ANNO_P)</f>
        <v>0</v>
      </c>
      <c r="F117" s="153">
        <f ca="1">SUMIF(SOC,SP!$A117,SOC_ANNO_P)</f>
        <v>0</v>
      </c>
      <c r="G117" s="153">
        <f t="shared" ca="1" si="13"/>
        <v>0</v>
      </c>
      <c r="H117" s="153">
        <f ca="1">SUMIF(SAN,SP!$A117,SAN_ANNO_C)</f>
        <v>0</v>
      </c>
      <c r="I117" s="153">
        <f ca="1">SUMIF(RIC,SP!$A117,RIC_ANNO_C)</f>
        <v>0</v>
      </c>
      <c r="J117" s="153">
        <f ca="1">SUMIF(SOC,SP!$A117,SOC_ANNO_C)</f>
        <v>0</v>
      </c>
      <c r="K117" s="145"/>
      <c r="L117" s="145"/>
      <c r="M117" s="145"/>
      <c r="N117" s="153">
        <f t="shared" ca="1" si="14"/>
        <v>0</v>
      </c>
      <c r="O117" s="153">
        <f t="shared" ca="1" si="15"/>
        <v>0</v>
      </c>
      <c r="P117" s="153">
        <f t="shared" ca="1" si="16"/>
        <v>0</v>
      </c>
      <c r="Q117" s="154">
        <f t="shared" ca="1" si="17"/>
        <v>0</v>
      </c>
      <c r="R117" s="145"/>
      <c r="S117" s="145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</row>
    <row r="118" spans="1:33" x14ac:dyDescent="0.2">
      <c r="A118" s="155" t="s">
        <v>2017</v>
      </c>
      <c r="B118" s="152" t="s">
        <v>2900</v>
      </c>
      <c r="C118" s="153">
        <f t="shared" ca="1" si="12"/>
        <v>0</v>
      </c>
      <c r="D118" s="153">
        <f ca="1">SUMIF(SAN,SP!$A118,SAN_ANNO_P)</f>
        <v>0</v>
      </c>
      <c r="E118" s="153">
        <f ca="1">SUMIF(RIC,SP!$A118,RIC_ANNO_P)</f>
        <v>0</v>
      </c>
      <c r="F118" s="153">
        <f ca="1">SUMIF(SOC,SP!$A118,SOC_ANNO_P)</f>
        <v>0</v>
      </c>
      <c r="G118" s="153">
        <f t="shared" ca="1" si="13"/>
        <v>0</v>
      </c>
      <c r="H118" s="153">
        <f ca="1">SUMIF(SAN,SP!$A118,SAN_ANNO_C)</f>
        <v>0</v>
      </c>
      <c r="I118" s="153">
        <f ca="1">SUMIF(RIC,SP!$A118,RIC_ANNO_C)</f>
        <v>0</v>
      </c>
      <c r="J118" s="153">
        <f ca="1">SUMIF(SOC,SP!$A118,SOC_ANNO_C)</f>
        <v>0</v>
      </c>
      <c r="K118" s="145"/>
      <c r="L118" s="145"/>
      <c r="M118" s="145"/>
      <c r="N118" s="153">
        <f t="shared" ca="1" si="14"/>
        <v>0</v>
      </c>
      <c r="O118" s="153">
        <f t="shared" ca="1" si="15"/>
        <v>0</v>
      </c>
      <c r="P118" s="153">
        <f t="shared" ca="1" si="16"/>
        <v>0</v>
      </c>
      <c r="Q118" s="154">
        <f t="shared" ca="1" si="17"/>
        <v>0</v>
      </c>
      <c r="R118" s="145"/>
      <c r="S118" s="145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</row>
    <row r="119" spans="1:33" x14ac:dyDescent="0.2">
      <c r="A119" s="155" t="s">
        <v>2023</v>
      </c>
      <c r="B119" s="152" t="s">
        <v>2901</v>
      </c>
      <c r="C119" s="153">
        <f t="shared" ca="1" si="12"/>
        <v>0</v>
      </c>
      <c r="D119" s="153">
        <f ca="1">SUMIF(SAN,SP!$A119,SAN_ANNO_P)</f>
        <v>0</v>
      </c>
      <c r="E119" s="153">
        <f ca="1">SUMIF(RIC,SP!$A119,RIC_ANNO_P)</f>
        <v>0</v>
      </c>
      <c r="F119" s="153">
        <f ca="1">SUMIF(SOC,SP!$A119,SOC_ANNO_P)</f>
        <v>0</v>
      </c>
      <c r="G119" s="153">
        <f t="shared" ca="1" si="13"/>
        <v>0</v>
      </c>
      <c r="H119" s="153">
        <f ca="1">SUMIF(SAN,SP!$A119,SAN_ANNO_C)</f>
        <v>0</v>
      </c>
      <c r="I119" s="153">
        <f ca="1">SUMIF(RIC,SP!$A119,RIC_ANNO_C)</f>
        <v>0</v>
      </c>
      <c r="J119" s="153">
        <f ca="1">SUMIF(SOC,SP!$A119,SOC_ANNO_C)</f>
        <v>0</v>
      </c>
      <c r="K119" s="145"/>
      <c r="L119" s="145"/>
      <c r="M119" s="145"/>
      <c r="N119" s="153">
        <f t="shared" ca="1" si="14"/>
        <v>0</v>
      </c>
      <c r="O119" s="153">
        <f t="shared" ca="1" si="15"/>
        <v>0</v>
      </c>
      <c r="P119" s="153">
        <f t="shared" ca="1" si="16"/>
        <v>0</v>
      </c>
      <c r="Q119" s="163">
        <f t="shared" ca="1" si="17"/>
        <v>0</v>
      </c>
      <c r="R119" s="145"/>
      <c r="S119" s="145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</row>
    <row r="120" spans="1:33" x14ac:dyDescent="0.2">
      <c r="A120" s="130" t="s">
        <v>2902</v>
      </c>
      <c r="B120" s="147" t="s">
        <v>2801</v>
      </c>
      <c r="C120" s="148">
        <f t="shared" ca="1" si="12"/>
        <v>114274462</v>
      </c>
      <c r="D120" s="148">
        <f ca="1">+D105+D106+SUM(D115:D119)</f>
        <v>114274462</v>
      </c>
      <c r="E120" s="148">
        <f ca="1">+E105+E106+SUM(E115:E119)</f>
        <v>0</v>
      </c>
      <c r="F120" s="148">
        <f ca="1">+F105+F106+SUM(F115:F119)</f>
        <v>0</v>
      </c>
      <c r="G120" s="148">
        <f t="shared" ca="1" si="13"/>
        <v>128447184</v>
      </c>
      <c r="H120" s="148">
        <f ca="1">+H105+H106+SUM(H115:H119)</f>
        <v>128447184</v>
      </c>
      <c r="I120" s="148">
        <f ca="1">+I105+I106+SUM(I115:I119)</f>
        <v>0</v>
      </c>
      <c r="J120" s="148">
        <f ca="1">+J105+J106+SUM(J115:J119)</f>
        <v>0</v>
      </c>
      <c r="K120" s="145"/>
      <c r="L120" s="145"/>
      <c r="M120" s="145"/>
      <c r="N120" s="164">
        <f t="shared" ca="1" si="14"/>
        <v>114274462</v>
      </c>
      <c r="O120" s="164">
        <f t="shared" ca="1" si="15"/>
        <v>128447184</v>
      </c>
      <c r="P120" s="164">
        <f t="shared" ca="1" si="16"/>
        <v>14172722</v>
      </c>
      <c r="Q120" s="165">
        <f t="shared" ca="1" si="17"/>
        <v>0.12402352854656187</v>
      </c>
      <c r="R120" s="145"/>
      <c r="S120" s="145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</row>
    <row r="121" spans="1:33" x14ac:dyDescent="0.2">
      <c r="A121" s="130" t="s">
        <v>2903</v>
      </c>
      <c r="B121" s="166" t="s">
        <v>2904</v>
      </c>
      <c r="C121" s="167"/>
      <c r="D121" s="167"/>
      <c r="E121" s="167"/>
      <c r="F121" s="167"/>
      <c r="G121" s="167"/>
      <c r="H121" s="167"/>
      <c r="I121" s="167"/>
      <c r="J121" s="167"/>
      <c r="K121" s="145"/>
      <c r="L121" s="145"/>
      <c r="M121" s="145"/>
      <c r="N121" s="167"/>
      <c r="O121" s="167"/>
      <c r="P121" s="167"/>
      <c r="Q121" s="168"/>
      <c r="R121" s="145"/>
      <c r="S121" s="145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</row>
    <row r="122" spans="1:33" x14ac:dyDescent="0.2">
      <c r="A122" s="130" t="s">
        <v>2032</v>
      </c>
      <c r="B122" s="152" t="s">
        <v>2905</v>
      </c>
      <c r="C122" s="153">
        <f t="shared" ref="C122:C127" ca="1" si="18">SUM(D122:F122)</f>
        <v>0</v>
      </c>
      <c r="D122" s="153">
        <f ca="1">SUMIF(SAN,SP!$A122,SAN_ANNO_P)</f>
        <v>0</v>
      </c>
      <c r="E122" s="153">
        <f ca="1">SUMIF(RIC,SP!$A122,RIC_ANNO_P)</f>
        <v>0</v>
      </c>
      <c r="F122" s="153">
        <f ca="1">SUMIF(SOC,SP!$A122,SOC_ANNO_P)</f>
        <v>0</v>
      </c>
      <c r="G122" s="153">
        <f t="shared" ref="G122:G127" ca="1" si="19">SUM(H122:J122)</f>
        <v>0</v>
      </c>
      <c r="H122" s="153">
        <f ca="1">SUMIF(SAN,SP!$A122,SAN_ANNO_C)</f>
        <v>0</v>
      </c>
      <c r="I122" s="153">
        <f ca="1">SUMIF(RIC,SP!$A122,RIC_ANNO_C)</f>
        <v>0</v>
      </c>
      <c r="J122" s="153">
        <f ca="1">SUMIF(SOC,SP!$A122,SOC_ANNO_C)</f>
        <v>0</v>
      </c>
      <c r="K122" s="145"/>
      <c r="L122" s="145"/>
      <c r="M122" s="145"/>
      <c r="N122" s="153">
        <f t="shared" ref="N122:N127" ca="1" si="20">+C122</f>
        <v>0</v>
      </c>
      <c r="O122" s="153">
        <f t="shared" ref="O122:O127" ca="1" si="21">+G122</f>
        <v>0</v>
      </c>
      <c r="P122" s="153">
        <f t="shared" ref="P122:P127" ca="1" si="22">+O122-N122</f>
        <v>0</v>
      </c>
      <c r="Q122" s="154">
        <f t="shared" ref="Q122:Q127" ca="1" si="23">IF(N122&lt;&gt;0,+P122/N122,0)</f>
        <v>0</v>
      </c>
      <c r="R122" s="145"/>
      <c r="S122" s="145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</row>
    <row r="123" spans="1:33" x14ac:dyDescent="0.2">
      <c r="A123" s="161" t="s">
        <v>2042</v>
      </c>
      <c r="B123" s="152" t="s">
        <v>2906</v>
      </c>
      <c r="C123" s="153">
        <f t="shared" ca="1" si="18"/>
        <v>5016560</v>
      </c>
      <c r="D123" s="153">
        <f ca="1">SUMIF(SAN,SP!$A123,SAN_ANNO_P)</f>
        <v>5016560</v>
      </c>
      <c r="E123" s="153">
        <f ca="1">SUMIF(RIC,SP!$A123,RIC_ANNO_P)</f>
        <v>0</v>
      </c>
      <c r="F123" s="153">
        <f ca="1">SUMIF(SOC,SP!$A123,SOC_ANNO_P)</f>
        <v>0</v>
      </c>
      <c r="G123" s="153">
        <f t="shared" ca="1" si="19"/>
        <v>6227161</v>
      </c>
      <c r="H123" s="153">
        <f ca="1">SUMIF(SAN,SP!$A123,SAN_ANNO_C)</f>
        <v>6227161</v>
      </c>
      <c r="I123" s="153">
        <f ca="1">SUMIF(RIC,SP!$A123,RIC_ANNO_C)</f>
        <v>0</v>
      </c>
      <c r="J123" s="153">
        <f ca="1">SUMIF(SOC,SP!$A123,SOC_ANNO_C)</f>
        <v>0</v>
      </c>
      <c r="K123" s="145"/>
      <c r="L123" s="145"/>
      <c r="M123" s="145"/>
      <c r="N123" s="153">
        <f t="shared" ca="1" si="20"/>
        <v>5016560</v>
      </c>
      <c r="O123" s="153">
        <f t="shared" ca="1" si="21"/>
        <v>6227161</v>
      </c>
      <c r="P123" s="153">
        <f t="shared" ca="1" si="22"/>
        <v>1210601</v>
      </c>
      <c r="Q123" s="154">
        <f t="shared" ca="1" si="23"/>
        <v>0.24132094503006044</v>
      </c>
      <c r="R123" s="145"/>
      <c r="S123" s="145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</row>
    <row r="124" spans="1:33" x14ac:dyDescent="0.2">
      <c r="A124" s="161" t="s">
        <v>2079</v>
      </c>
      <c r="B124" s="152" t="s">
        <v>2080</v>
      </c>
      <c r="C124" s="153">
        <f t="shared" ca="1" si="18"/>
        <v>0</v>
      </c>
      <c r="D124" s="153">
        <f ca="1">SUMIF(SAN,SP!$A124,SAN_ANNO_P)</f>
        <v>0</v>
      </c>
      <c r="E124" s="153">
        <f ca="1">SUMIF(RIC,SP!$A124,RIC_ANNO_P)</f>
        <v>0</v>
      </c>
      <c r="F124" s="153">
        <f ca="1">SUMIF(SOC,SP!$A124,SOC_ANNO_P)</f>
        <v>0</v>
      </c>
      <c r="G124" s="153">
        <f t="shared" ca="1" si="19"/>
        <v>0</v>
      </c>
      <c r="H124" s="153">
        <f ca="1">SUMIF(SAN,SP!$A124,SAN_ANNO_C)</f>
        <v>0</v>
      </c>
      <c r="I124" s="153">
        <f ca="1">SUMIF(RIC,SP!$A124,RIC_ANNO_C)</f>
        <v>0</v>
      </c>
      <c r="J124" s="153">
        <f ca="1">SUMIF(SOC,SP!$A124,SOC_ANNO_C)</f>
        <v>0</v>
      </c>
      <c r="K124" s="145"/>
      <c r="L124" s="145"/>
      <c r="M124" s="145"/>
      <c r="N124" s="153">
        <f t="shared" ca="1" si="20"/>
        <v>0</v>
      </c>
      <c r="O124" s="153">
        <f t="shared" ca="1" si="21"/>
        <v>0</v>
      </c>
      <c r="P124" s="153">
        <f t="shared" ca="1" si="22"/>
        <v>0</v>
      </c>
      <c r="Q124" s="154">
        <f t="shared" ca="1" si="23"/>
        <v>0</v>
      </c>
      <c r="R124" s="145"/>
      <c r="S124" s="145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</row>
    <row r="125" spans="1:33" x14ac:dyDescent="0.2">
      <c r="A125" s="161" t="s">
        <v>2124</v>
      </c>
      <c r="B125" s="152" t="s">
        <v>2907</v>
      </c>
      <c r="C125" s="153">
        <f t="shared" ca="1" si="18"/>
        <v>1471536</v>
      </c>
      <c r="D125" s="153">
        <f ca="1">SUMIF(SAN,SP!$A125,SAN_ANNO_P)</f>
        <v>1471536</v>
      </c>
      <c r="E125" s="153">
        <f ca="1">SUMIF(RIC,SP!$A125,RIC_ANNO_P)</f>
        <v>0</v>
      </c>
      <c r="F125" s="153">
        <f ca="1">SUMIF(SOC,SP!$A125,SOC_ANNO_P)</f>
        <v>0</v>
      </c>
      <c r="G125" s="153">
        <f t="shared" ca="1" si="19"/>
        <v>5205388</v>
      </c>
      <c r="H125" s="153">
        <f ca="1">SUMIF(SAN,SP!$A125,SAN_ANNO_C)</f>
        <v>5205388</v>
      </c>
      <c r="I125" s="153">
        <f ca="1">SUMIF(RIC,SP!$A125,RIC_ANNO_C)</f>
        <v>0</v>
      </c>
      <c r="J125" s="153">
        <f ca="1">SUMIF(SOC,SP!$A125,SOC_ANNO_C)</f>
        <v>0</v>
      </c>
      <c r="K125" s="145"/>
      <c r="L125" s="145"/>
      <c r="M125" s="145"/>
      <c r="N125" s="153">
        <f t="shared" ca="1" si="20"/>
        <v>1471536</v>
      </c>
      <c r="O125" s="153">
        <f t="shared" ca="1" si="21"/>
        <v>5205388</v>
      </c>
      <c r="P125" s="153">
        <f t="shared" ca="1" si="22"/>
        <v>3733852</v>
      </c>
      <c r="Q125" s="154">
        <f t="shared" ca="1" si="23"/>
        <v>2.5373840667166823</v>
      </c>
      <c r="R125" s="145"/>
      <c r="S125" s="145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</row>
    <row r="126" spans="1:33" x14ac:dyDescent="0.2">
      <c r="A126" s="130" t="s">
        <v>2179</v>
      </c>
      <c r="B126" s="152" t="s">
        <v>2908</v>
      </c>
      <c r="C126" s="153">
        <f t="shared" ca="1" si="18"/>
        <v>4038059</v>
      </c>
      <c r="D126" s="153">
        <f ca="1">SUMIF(SAN,SP!$A126,SAN_ANNO_P)</f>
        <v>4038059</v>
      </c>
      <c r="E126" s="153">
        <f ca="1">SUMIF(RIC,SP!$A126,RIC_ANNO_P)</f>
        <v>0</v>
      </c>
      <c r="F126" s="153">
        <f ca="1">SUMIF(SOC,SP!$A126,SOC_ANNO_P)</f>
        <v>0</v>
      </c>
      <c r="G126" s="153">
        <f t="shared" ca="1" si="19"/>
        <v>2497221</v>
      </c>
      <c r="H126" s="153">
        <f ca="1">SUMIF(SAN,SP!$A126,SAN_ANNO_C)</f>
        <v>2497221</v>
      </c>
      <c r="I126" s="153">
        <f ca="1">SUMIF(RIC,SP!$A126,RIC_ANNO_C)</f>
        <v>0</v>
      </c>
      <c r="J126" s="153">
        <f ca="1">SUMIF(SOC,SP!$A126,SOC_ANNO_C)</f>
        <v>0</v>
      </c>
      <c r="K126" s="145"/>
      <c r="L126" s="145"/>
      <c r="M126" s="145"/>
      <c r="N126" s="169">
        <f t="shared" ca="1" si="20"/>
        <v>4038059</v>
      </c>
      <c r="O126" s="169">
        <f t="shared" ca="1" si="21"/>
        <v>2497221</v>
      </c>
      <c r="P126" s="169">
        <f t="shared" ca="1" si="22"/>
        <v>-1540838</v>
      </c>
      <c r="Q126" s="163">
        <f t="shared" ca="1" si="23"/>
        <v>-0.3815788724236075</v>
      </c>
      <c r="R126" s="145"/>
      <c r="S126" s="145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</row>
    <row r="127" spans="1:33" x14ac:dyDescent="0.2">
      <c r="A127" s="130" t="s">
        <v>2909</v>
      </c>
      <c r="B127" s="147" t="s">
        <v>2869</v>
      </c>
      <c r="C127" s="148">
        <f t="shared" ca="1" si="18"/>
        <v>10526155</v>
      </c>
      <c r="D127" s="148">
        <f ca="1">SUM(D122:D126)</f>
        <v>10526155</v>
      </c>
      <c r="E127" s="148">
        <f ca="1">SUM(E122:E126)</f>
        <v>0</v>
      </c>
      <c r="F127" s="148">
        <f ca="1">SUM(F122:F126)</f>
        <v>0</v>
      </c>
      <c r="G127" s="148">
        <f t="shared" ca="1" si="19"/>
        <v>13929770</v>
      </c>
      <c r="H127" s="148">
        <f ca="1">SUM(H122:H126)</f>
        <v>13929770</v>
      </c>
      <c r="I127" s="148">
        <f ca="1">SUM(I122:I126)</f>
        <v>0</v>
      </c>
      <c r="J127" s="148">
        <f ca="1">SUM(J122:J126)</f>
        <v>0</v>
      </c>
      <c r="K127" s="145"/>
      <c r="L127" s="145"/>
      <c r="M127" s="145"/>
      <c r="N127" s="164">
        <f t="shared" ca="1" si="20"/>
        <v>10526155</v>
      </c>
      <c r="O127" s="164">
        <f t="shared" ca="1" si="21"/>
        <v>13929770</v>
      </c>
      <c r="P127" s="164">
        <f t="shared" ca="1" si="22"/>
        <v>3403615</v>
      </c>
      <c r="Q127" s="165">
        <f t="shared" ca="1" si="23"/>
        <v>0.32334836414626233</v>
      </c>
      <c r="R127" s="145"/>
      <c r="S127" s="145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</row>
    <row r="128" spans="1:33" x14ac:dyDescent="0.2">
      <c r="A128" s="130" t="s">
        <v>2910</v>
      </c>
      <c r="B128" s="166" t="s">
        <v>2911</v>
      </c>
      <c r="C128" s="167"/>
      <c r="D128" s="167"/>
      <c r="E128" s="167"/>
      <c r="F128" s="167"/>
      <c r="G128" s="167"/>
      <c r="H128" s="167"/>
      <c r="I128" s="167"/>
      <c r="J128" s="167"/>
      <c r="K128" s="145"/>
      <c r="L128" s="145"/>
      <c r="M128" s="145"/>
      <c r="N128" s="167"/>
      <c r="O128" s="167"/>
      <c r="P128" s="167"/>
      <c r="Q128" s="168"/>
      <c r="R128" s="145"/>
      <c r="S128" s="145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</row>
    <row r="129" spans="1:33" x14ac:dyDescent="0.2">
      <c r="A129" s="130" t="s">
        <v>2236</v>
      </c>
      <c r="B129" s="152" t="s">
        <v>2912</v>
      </c>
      <c r="C129" s="153">
        <f ca="1">SUM(D129:F129)</f>
        <v>1026550</v>
      </c>
      <c r="D129" s="153">
        <f ca="1">SUMIF(SAN,SP!$A129,SAN_ANNO_P)</f>
        <v>1026550</v>
      </c>
      <c r="E129" s="153">
        <f ca="1">SUMIF(RIC,SP!$A129,RIC_ANNO_P)</f>
        <v>0</v>
      </c>
      <c r="F129" s="153">
        <f ca="1">SUMIF(SOC,SP!$A129,SOC_ANNO_P)</f>
        <v>0</v>
      </c>
      <c r="G129" s="153">
        <f ca="1">SUM(H129:J129)</f>
        <v>980137</v>
      </c>
      <c r="H129" s="153">
        <f ca="1">SUMIF(SAN,SP!$A129,SAN_ANNO_C)</f>
        <v>980137</v>
      </c>
      <c r="I129" s="153">
        <f ca="1">SUMIF(RIC,SP!$A129,RIC_ANNO_C)</f>
        <v>0</v>
      </c>
      <c r="J129" s="153">
        <f ca="1">SUMIF(SOC,SP!$A129,SOC_ANNO_C)</f>
        <v>0</v>
      </c>
      <c r="K129" s="145"/>
      <c r="L129" s="145"/>
      <c r="M129" s="145"/>
      <c r="N129" s="153">
        <f ca="1">+C129</f>
        <v>1026550</v>
      </c>
      <c r="O129" s="153">
        <f ca="1">+G129</f>
        <v>980137</v>
      </c>
      <c r="P129" s="153">
        <f ca="1">+O129-N129</f>
        <v>-46413</v>
      </c>
      <c r="Q129" s="154">
        <f ca="1">IF(N129&lt;&gt;0,+P129/N129,0)</f>
        <v>-4.521260532852759E-2</v>
      </c>
      <c r="R129" s="145"/>
      <c r="S129" s="145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</row>
    <row r="130" spans="1:33" x14ac:dyDescent="0.2">
      <c r="A130" s="130" t="s">
        <v>2251</v>
      </c>
      <c r="B130" s="152" t="s">
        <v>2913</v>
      </c>
      <c r="C130" s="153">
        <f ca="1">SUM(D130:F130)</f>
        <v>32362</v>
      </c>
      <c r="D130" s="153">
        <f ca="1">SUMIF(SAN,SP!$A130,SAN_ANNO_P)</f>
        <v>32362</v>
      </c>
      <c r="E130" s="153">
        <f ca="1">SUMIF(RIC,SP!$A130,RIC_ANNO_P)</f>
        <v>0</v>
      </c>
      <c r="F130" s="153">
        <f ca="1">SUMIF(SOC,SP!$A130,SOC_ANNO_P)</f>
        <v>0</v>
      </c>
      <c r="G130" s="153">
        <f ca="1">SUM(H130:J130)</f>
        <v>32362</v>
      </c>
      <c r="H130" s="153">
        <f ca="1">SUMIF(SAN,SP!$A130,SAN_ANNO_C)</f>
        <v>32362</v>
      </c>
      <c r="I130" s="153">
        <f ca="1">SUMIF(RIC,SP!$A130,RIC_ANNO_C)</f>
        <v>0</v>
      </c>
      <c r="J130" s="153">
        <f ca="1">SUMIF(SOC,SP!$A130,SOC_ANNO_C)</f>
        <v>0</v>
      </c>
      <c r="K130" s="145"/>
      <c r="L130" s="145"/>
      <c r="M130" s="145"/>
      <c r="N130" s="169">
        <f ca="1">+C130</f>
        <v>32362</v>
      </c>
      <c r="O130" s="169">
        <f ca="1">+G130</f>
        <v>32362</v>
      </c>
      <c r="P130" s="169">
        <f ca="1">+O130-N130</f>
        <v>0</v>
      </c>
      <c r="Q130" s="163">
        <f ca="1">IF(N130&lt;&gt;0,+P130/N130,0)</f>
        <v>0</v>
      </c>
      <c r="R130" s="145"/>
      <c r="S130" s="145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</row>
    <row r="131" spans="1:33" x14ac:dyDescent="0.2">
      <c r="A131" s="130" t="s">
        <v>2914</v>
      </c>
      <c r="B131" s="147" t="s">
        <v>2875</v>
      </c>
      <c r="C131" s="148">
        <f ca="1">SUM(D131:F131)</f>
        <v>1058912</v>
      </c>
      <c r="D131" s="148">
        <f ca="1">+D129+D130</f>
        <v>1058912</v>
      </c>
      <c r="E131" s="148">
        <f ca="1">+E129+E130</f>
        <v>0</v>
      </c>
      <c r="F131" s="148">
        <f ca="1">+F129+F130</f>
        <v>0</v>
      </c>
      <c r="G131" s="148">
        <f ca="1">SUM(H131:J131)</f>
        <v>1012499</v>
      </c>
      <c r="H131" s="148">
        <f ca="1">+H129+H130</f>
        <v>1012499</v>
      </c>
      <c r="I131" s="148">
        <f ca="1">+I129+I130</f>
        <v>0</v>
      </c>
      <c r="J131" s="148">
        <f ca="1">+J129+J130</f>
        <v>0</v>
      </c>
      <c r="K131" s="145"/>
      <c r="L131" s="145"/>
      <c r="M131" s="145"/>
      <c r="N131" s="164">
        <f ca="1">+C131</f>
        <v>1058912</v>
      </c>
      <c r="O131" s="164">
        <f ca="1">+G131</f>
        <v>1012499</v>
      </c>
      <c r="P131" s="164">
        <f ca="1">+O131-N131</f>
        <v>-46413</v>
      </c>
      <c r="Q131" s="165">
        <f ca="1">IF(N131&lt;&gt;0,+P131/N131,0)</f>
        <v>-4.3830837690006348E-2</v>
      </c>
      <c r="R131" s="145"/>
      <c r="S131" s="145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</row>
    <row r="132" spans="1:33" x14ac:dyDescent="0.2">
      <c r="A132" s="130" t="s">
        <v>2915</v>
      </c>
      <c r="B132" s="166" t="s">
        <v>2916</v>
      </c>
      <c r="C132" s="167"/>
      <c r="D132" s="167"/>
      <c r="E132" s="167"/>
      <c r="F132" s="167"/>
      <c r="G132" s="167"/>
      <c r="H132" s="167"/>
      <c r="I132" s="167"/>
      <c r="J132" s="167"/>
      <c r="K132" s="145"/>
      <c r="L132" s="159" t="s">
        <v>2789</v>
      </c>
      <c r="M132" s="159" t="s">
        <v>2790</v>
      </c>
      <c r="N132" s="167"/>
      <c r="O132" s="167"/>
      <c r="P132" s="167"/>
      <c r="Q132" s="168"/>
      <c r="R132" s="145"/>
      <c r="S132" s="145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</row>
    <row r="133" spans="1:33" x14ac:dyDescent="0.2">
      <c r="A133" s="130" t="s">
        <v>2264</v>
      </c>
      <c r="B133" s="152" t="s">
        <v>2917</v>
      </c>
      <c r="C133" s="153">
        <f t="shared" ref="C133:C154" ca="1" si="24">SUM(D133:F133)</f>
        <v>655134</v>
      </c>
      <c r="D133" s="153">
        <f ca="1">SUMIF(SAN,SP!$A133,SAN_ANNO_P)</f>
        <v>655134</v>
      </c>
      <c r="E133" s="153">
        <f ca="1">SUMIF(RIC,SP!$A133,RIC_ANNO_P)</f>
        <v>0</v>
      </c>
      <c r="F133" s="153">
        <f ca="1">SUMIF(SOC,SP!$A133,SOC_ANNO_P)</f>
        <v>0</v>
      </c>
      <c r="G133" s="153">
        <f ca="1">SUM(H133:J133)</f>
        <v>220693</v>
      </c>
      <c r="H133" s="153">
        <f ca="1">SUMIF(SAN,SP!$A133,SAN_ANNO_C)</f>
        <v>220693</v>
      </c>
      <c r="I133" s="153">
        <f ca="1">SUMIF(RIC,SP!$A133,RIC_ANNO_C)</f>
        <v>0</v>
      </c>
      <c r="J133" s="153">
        <f ca="1">SUMIF(SOC,SP!$A133,SOC_ANNO_C)</f>
        <v>0</v>
      </c>
      <c r="K133" s="145"/>
      <c r="L133" s="153">
        <f ca="1">SUMIF(DATI_TOTALE,SP!$A133,DATI_TOTALE_DETT_1)</f>
        <v>0</v>
      </c>
      <c r="M133" s="153">
        <f ca="1">SUMIF(DATI_TOTALE,SP!$A133,DATI_TOTALE_DETT_2)</f>
        <v>441386</v>
      </c>
      <c r="N133" s="153">
        <f ca="1">+C133</f>
        <v>655134</v>
      </c>
      <c r="O133" s="153">
        <f ca="1">+G133</f>
        <v>220693</v>
      </c>
      <c r="P133" s="153">
        <f t="shared" ref="P133:P154" ca="1" si="25">+O133-N133</f>
        <v>-434441</v>
      </c>
      <c r="Q133" s="183">
        <f t="shared" ref="Q133:Q154" ca="1" si="26">IF(N133&lt;&gt;0,+P133/N133,0)</f>
        <v>-0.66313303843183224</v>
      </c>
      <c r="R133" s="145"/>
      <c r="S133" s="145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</row>
    <row r="134" spans="1:33" x14ac:dyDescent="0.2">
      <c r="A134" s="155" t="s">
        <v>2270</v>
      </c>
      <c r="B134" s="152" t="s">
        <v>2918</v>
      </c>
      <c r="C134" s="153">
        <f t="shared" ca="1" si="24"/>
        <v>0</v>
      </c>
      <c r="D134" s="153">
        <f ca="1">SUMIF(SAN,SP!$A134,SAN_ANNO_P)</f>
        <v>0</v>
      </c>
      <c r="E134" s="153">
        <f ca="1">SUMIF(RIC,SP!$A134,RIC_ANNO_P)</f>
        <v>0</v>
      </c>
      <c r="F134" s="153">
        <f ca="1">SUMIF(SOC,SP!$A134,SOC_ANNO_P)</f>
        <v>0</v>
      </c>
      <c r="G134" s="153">
        <f ca="1">SUM(H134:J134)</f>
        <v>1148</v>
      </c>
      <c r="H134" s="153">
        <f ca="1">SUMIF(SAN,SP!$A134,SAN_ANNO_C)</f>
        <v>1148</v>
      </c>
      <c r="I134" s="153">
        <f ca="1">SUMIF(RIC,SP!$A134,RIC_ANNO_C)</f>
        <v>0</v>
      </c>
      <c r="J134" s="153">
        <f ca="1">SUMIF(SOC,SP!$A134,SOC_ANNO_C)</f>
        <v>0</v>
      </c>
      <c r="K134" s="145"/>
      <c r="L134" s="153">
        <f ca="1">SUMIF(DATI_TOTALE,SP!$A134,DATI_TOTALE_DETT_1)</f>
        <v>0</v>
      </c>
      <c r="M134" s="153">
        <f ca="1">SUMIF(DATI_TOTALE,SP!$A134,DATI_TOTALE_DETT_2)</f>
        <v>1148</v>
      </c>
      <c r="N134" s="153">
        <f ca="1">+C134</f>
        <v>0</v>
      </c>
      <c r="O134" s="153">
        <f ca="1">+G134</f>
        <v>1148</v>
      </c>
      <c r="P134" s="153">
        <f t="shared" ca="1" si="25"/>
        <v>1148</v>
      </c>
      <c r="Q134" s="183">
        <f t="shared" ca="1" si="26"/>
        <v>0</v>
      </c>
      <c r="R134" s="145"/>
      <c r="S134" s="145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</row>
    <row r="135" spans="1:33" x14ac:dyDescent="0.2">
      <c r="A135" s="155" t="s">
        <v>2295</v>
      </c>
      <c r="B135" s="152" t="s">
        <v>2919</v>
      </c>
      <c r="C135" s="153">
        <f t="shared" ca="1" si="24"/>
        <v>18076651</v>
      </c>
      <c r="D135" s="153">
        <f ca="1">SUMIF(SAN,SP!$A135,SAN_ANNO_P)</f>
        <v>18076651</v>
      </c>
      <c r="E135" s="153">
        <f ca="1">SUMIF(RIC,SP!$A135,RIC_ANNO_P)</f>
        <v>0</v>
      </c>
      <c r="F135" s="153">
        <f ca="1">SUMIF(SOC,SP!$A135,SOC_ANNO_P)</f>
        <v>0</v>
      </c>
      <c r="G135" s="153">
        <f ca="1">SUM(H135:J135)</f>
        <v>18076651</v>
      </c>
      <c r="H135" s="153">
        <f ca="1">SUMIF(SAN,SP!$A135,SAN_ANNO_C)</f>
        <v>18076651</v>
      </c>
      <c r="I135" s="153">
        <f ca="1">SUMIF(RIC,SP!$A135,RIC_ANNO_C)</f>
        <v>0</v>
      </c>
      <c r="J135" s="153">
        <f ca="1">SUMIF(SOC,SP!$A135,SOC_ANNO_C)</f>
        <v>0</v>
      </c>
      <c r="K135" s="145"/>
      <c r="L135" s="153">
        <f ca="1">SUMIF(DATI_TOTALE,SP!$A135,DATI_TOTALE_DETT_1)</f>
        <v>0</v>
      </c>
      <c r="M135" s="153">
        <f ca="1">SUMIF(DATI_TOTALE,SP!$A135,DATI_TOTALE_DETT_2)</f>
        <v>36153302</v>
      </c>
      <c r="N135" s="153">
        <f ca="1">+C135</f>
        <v>18076651</v>
      </c>
      <c r="O135" s="153">
        <f ca="1">+G135</f>
        <v>18076651</v>
      </c>
      <c r="P135" s="153">
        <f t="shared" ca="1" si="25"/>
        <v>0</v>
      </c>
      <c r="Q135" s="183">
        <f t="shared" ca="1" si="26"/>
        <v>0</v>
      </c>
      <c r="R135" s="145"/>
      <c r="S135" s="145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</row>
    <row r="136" spans="1:33" x14ac:dyDescent="0.2">
      <c r="A136" s="155" t="s">
        <v>2347</v>
      </c>
      <c r="B136" s="152" t="s">
        <v>2920</v>
      </c>
      <c r="C136" s="153">
        <f t="shared" ca="1" si="24"/>
        <v>513</v>
      </c>
      <c r="D136" s="153">
        <f ca="1">SUMIF(SAN,SP!$A136,SAN_ANNO_P)</f>
        <v>513</v>
      </c>
      <c r="E136" s="153">
        <f ca="1">SUMIF(RIC,SP!$A136,RIC_ANNO_P)</f>
        <v>0</v>
      </c>
      <c r="F136" s="153">
        <f ca="1">SUMIF(SOC,SP!$A136,SOC_ANNO_P)</f>
        <v>0</v>
      </c>
      <c r="G136" s="153">
        <f ca="1">SUM(H136:J136)</f>
        <v>15671</v>
      </c>
      <c r="H136" s="153">
        <f ca="1">SUMIF(SAN,SP!$A136,SAN_ANNO_C)</f>
        <v>15671</v>
      </c>
      <c r="I136" s="153">
        <f ca="1">SUMIF(RIC,SP!$A136,RIC_ANNO_C)</f>
        <v>0</v>
      </c>
      <c r="J136" s="153">
        <f ca="1">SUMIF(SOC,SP!$A136,SOC_ANNO_C)</f>
        <v>0</v>
      </c>
      <c r="K136" s="145"/>
      <c r="L136" s="153">
        <f ca="1">SUMIF(DATI_TOTALE,SP!$A136,DATI_TOTALE_DETT_1)</f>
        <v>6206</v>
      </c>
      <c r="M136" s="153">
        <f ca="1">SUMIF(DATI_TOTALE,SP!$A136,DATI_TOTALE_DETT_2)</f>
        <v>19298</v>
      </c>
      <c r="N136" s="153">
        <f ca="1">+C136</f>
        <v>513</v>
      </c>
      <c r="O136" s="153">
        <f ca="1">+G136</f>
        <v>15671</v>
      </c>
      <c r="P136" s="153">
        <f t="shared" ca="1" si="25"/>
        <v>15158</v>
      </c>
      <c r="Q136" s="154">
        <f t="shared" ca="1" si="26"/>
        <v>29.547758284600391</v>
      </c>
      <c r="R136" s="145"/>
      <c r="S136" s="145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</row>
    <row r="137" spans="1:33" x14ac:dyDescent="0.2">
      <c r="A137" s="155" t="s">
        <v>2921</v>
      </c>
      <c r="B137" s="156" t="s">
        <v>2922</v>
      </c>
      <c r="C137" s="157">
        <f t="shared" ca="1" si="24"/>
        <v>10599074</v>
      </c>
      <c r="D137" s="157">
        <f t="shared" ref="D137:J137" ca="1" si="27">+SUM(D138:D141)+D145+D146</f>
        <v>10599074</v>
      </c>
      <c r="E137" s="157">
        <f t="shared" ca="1" si="27"/>
        <v>0</v>
      </c>
      <c r="F137" s="157">
        <f t="shared" ca="1" si="27"/>
        <v>0</v>
      </c>
      <c r="G137" s="157">
        <f t="shared" ca="1" si="27"/>
        <v>11209212</v>
      </c>
      <c r="H137" s="157">
        <f t="shared" ca="1" si="27"/>
        <v>11209212</v>
      </c>
      <c r="I137" s="157">
        <f t="shared" ca="1" si="27"/>
        <v>0</v>
      </c>
      <c r="J137" s="157">
        <f t="shared" ca="1" si="27"/>
        <v>0</v>
      </c>
      <c r="K137" s="145"/>
      <c r="L137" s="157">
        <f ca="1">+SUM(L138:L141)+L145+L146</f>
        <v>982893</v>
      </c>
      <c r="M137" s="157">
        <f ca="1">+SUM(M138:M141)+M145+M146</f>
        <v>9820444</v>
      </c>
      <c r="N137" s="157">
        <f ca="1">+SUM(N138:N141)+N145+N146</f>
        <v>10599074</v>
      </c>
      <c r="O137" s="157">
        <f ca="1">+SUM(O138:O141)+O145+O146</f>
        <v>11209212</v>
      </c>
      <c r="P137" s="157">
        <f t="shared" ca="1" si="25"/>
        <v>610138</v>
      </c>
      <c r="Q137" s="158">
        <f t="shared" ca="1" si="26"/>
        <v>5.7565217489754295E-2</v>
      </c>
      <c r="R137" s="145"/>
      <c r="S137" s="145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</row>
    <row r="138" spans="1:33" x14ac:dyDescent="0.2">
      <c r="A138" s="155" t="s">
        <v>2363</v>
      </c>
      <c r="B138" s="152" t="s">
        <v>2923</v>
      </c>
      <c r="C138" s="153">
        <f t="shared" ca="1" si="24"/>
        <v>4157082</v>
      </c>
      <c r="D138" s="153">
        <f ca="1">SUMIF(SAN,SP!$A138,SAN_ANNO_P)</f>
        <v>4157082</v>
      </c>
      <c r="E138" s="153">
        <f ca="1">SUMIF(RIC,SP!$A138,RIC_ANNO_P)</f>
        <v>0</v>
      </c>
      <c r="F138" s="153">
        <f ca="1">SUMIF(SOC,SP!$A138,SOC_ANNO_P)</f>
        <v>0</v>
      </c>
      <c r="G138" s="153">
        <f t="shared" ref="G138:G154" ca="1" si="28">SUM(H138:J138)</f>
        <v>4157082</v>
      </c>
      <c r="H138" s="184">
        <f ca="1">SUMIF(SAN,SP!$A138,SAN_ANNO_C)</f>
        <v>4157082</v>
      </c>
      <c r="I138" s="153">
        <f ca="1">SUMIF(RIC,SP!$A138,RIC_ANNO_C)</f>
        <v>0</v>
      </c>
      <c r="J138" s="153">
        <f ca="1">SUMIF(SOC,SP!$A138,SOC_ANNO_C)</f>
        <v>0</v>
      </c>
      <c r="K138" s="145"/>
      <c r="L138" s="153">
        <f ca="1">SUMIF(DATI_TOTALE,SP!$A138,DATI_TOTALE_DETT_1)</f>
        <v>0</v>
      </c>
      <c r="M138" s="153">
        <f ca="1">SUMIF(DATI_TOTALE,SP!$A138,DATI_TOTALE_DETT_2)</f>
        <v>4157082</v>
      </c>
      <c r="N138" s="153">
        <f t="shared" ref="N138:N154" ca="1" si="29">+C138</f>
        <v>4157082</v>
      </c>
      <c r="O138" s="153">
        <f t="shared" ref="O138:O154" ca="1" si="30">+G138</f>
        <v>4157082</v>
      </c>
      <c r="P138" s="153">
        <f t="shared" ca="1" si="25"/>
        <v>0</v>
      </c>
      <c r="Q138" s="154">
        <f t="shared" ca="1" si="26"/>
        <v>0</v>
      </c>
      <c r="R138" s="145"/>
      <c r="S138" s="145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</row>
    <row r="139" spans="1:33" x14ac:dyDescent="0.2">
      <c r="A139" s="155" t="s">
        <v>2383</v>
      </c>
      <c r="B139" s="152" t="s">
        <v>2924</v>
      </c>
      <c r="C139" s="153">
        <f t="shared" ca="1" si="24"/>
        <v>0</v>
      </c>
      <c r="D139" s="153">
        <f ca="1">SUMIF(SAN,SP!$A139,SAN_ANNO_P)</f>
        <v>0</v>
      </c>
      <c r="E139" s="153">
        <f ca="1">SUMIF(RIC,SP!$A139,RIC_ANNO_P)</f>
        <v>0</v>
      </c>
      <c r="F139" s="153">
        <f ca="1">SUMIF(SOC,SP!$A139,SOC_ANNO_P)</f>
        <v>0</v>
      </c>
      <c r="G139" s="153">
        <f t="shared" ca="1" si="28"/>
        <v>0</v>
      </c>
      <c r="H139" s="184">
        <f ca="1">SUMIF(SAN,SP!$A139,SAN_ANNO_C)</f>
        <v>0</v>
      </c>
      <c r="I139" s="153">
        <f ca="1">SUMIF(RIC,SP!$A139,RIC_ANNO_C)</f>
        <v>0</v>
      </c>
      <c r="J139" s="153">
        <f ca="1">SUMIF(SOC,SP!$A139,SOC_ANNO_C)</f>
        <v>0</v>
      </c>
      <c r="K139" s="145"/>
      <c r="L139" s="153">
        <f ca="1">SUMIF(DATI_TOTALE,SP!$A139,DATI_TOTALE_DETT_1)</f>
        <v>0</v>
      </c>
      <c r="M139" s="153">
        <f ca="1">SUMIF(DATI_TOTALE,SP!$A139,DATI_TOTALE_DETT_2)</f>
        <v>0</v>
      </c>
      <c r="N139" s="153">
        <f t="shared" ca="1" si="29"/>
        <v>0</v>
      </c>
      <c r="O139" s="153">
        <f t="shared" ca="1" si="30"/>
        <v>0</v>
      </c>
      <c r="P139" s="153">
        <f t="shared" ca="1" si="25"/>
        <v>0</v>
      </c>
      <c r="Q139" s="154">
        <f t="shared" ca="1" si="26"/>
        <v>0</v>
      </c>
      <c r="R139" s="145"/>
      <c r="S139" s="145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</row>
    <row r="140" spans="1:33" x14ac:dyDescent="0.2">
      <c r="A140" s="155" t="s">
        <v>2388</v>
      </c>
      <c r="B140" s="152" t="s">
        <v>2925</v>
      </c>
      <c r="C140" s="153">
        <f t="shared" ca="1" si="24"/>
        <v>0</v>
      </c>
      <c r="D140" s="153">
        <f ca="1">SUMIF(SAN,SP!$A140,SAN_ANNO_P)</f>
        <v>0</v>
      </c>
      <c r="E140" s="153">
        <f ca="1">SUMIF(RIC,SP!$A140,RIC_ANNO_P)</f>
        <v>0</v>
      </c>
      <c r="F140" s="153">
        <f ca="1">SUMIF(SOC,SP!$A140,SOC_ANNO_P)</f>
        <v>0</v>
      </c>
      <c r="G140" s="153">
        <f t="shared" ca="1" si="28"/>
        <v>0</v>
      </c>
      <c r="H140" s="184">
        <f ca="1">SUMIF(SAN,SP!$A140,SAN_ANNO_C)</f>
        <v>0</v>
      </c>
      <c r="I140" s="153">
        <f ca="1">SUMIF(RIC,SP!$A140,RIC_ANNO_C)</f>
        <v>0</v>
      </c>
      <c r="J140" s="153">
        <f ca="1">SUMIF(SOC,SP!$A140,SOC_ANNO_C)</f>
        <v>0</v>
      </c>
      <c r="K140" s="145"/>
      <c r="L140" s="153">
        <f ca="1">SUMIF(DATI_TOTALE,SP!$A140,DATI_TOTALE_DETT_1)</f>
        <v>0</v>
      </c>
      <c r="M140" s="153">
        <f ca="1">SUMIF(DATI_TOTALE,SP!$A140,DATI_TOTALE_DETT_2)</f>
        <v>0</v>
      </c>
      <c r="N140" s="153">
        <f t="shared" ca="1" si="29"/>
        <v>0</v>
      </c>
      <c r="O140" s="153">
        <f t="shared" ca="1" si="30"/>
        <v>0</v>
      </c>
      <c r="P140" s="153">
        <f t="shared" ca="1" si="25"/>
        <v>0</v>
      </c>
      <c r="Q140" s="154">
        <f t="shared" ca="1" si="26"/>
        <v>0</v>
      </c>
      <c r="R140" s="145"/>
      <c r="S140" s="145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</row>
    <row r="141" spans="1:33" x14ac:dyDescent="0.2">
      <c r="A141" s="155" t="s">
        <v>2926</v>
      </c>
      <c r="B141" s="156" t="s">
        <v>2927</v>
      </c>
      <c r="C141" s="157">
        <f t="shared" ca="1" si="24"/>
        <v>6403753</v>
      </c>
      <c r="D141" s="157">
        <f ca="1">SUM(D142:D144)</f>
        <v>6403753</v>
      </c>
      <c r="E141" s="157">
        <f ca="1">SUM(E142:E144)</f>
        <v>0</v>
      </c>
      <c r="F141" s="157">
        <f ca="1">SUM(F142:F144)</f>
        <v>0</v>
      </c>
      <c r="G141" s="157">
        <f t="shared" ca="1" si="28"/>
        <v>7044627</v>
      </c>
      <c r="H141" s="184">
        <f ca="1">SUM(H142:H144)</f>
        <v>7044627</v>
      </c>
      <c r="I141" s="157">
        <f ca="1">SUM(I142:I144)</f>
        <v>0</v>
      </c>
      <c r="J141" s="157">
        <f ca="1">SUM(J142:J144)</f>
        <v>0</v>
      </c>
      <c r="K141" s="145"/>
      <c r="L141" s="157">
        <f ca="1">SUM(L142:L144)</f>
        <v>982893</v>
      </c>
      <c r="M141" s="157">
        <f ca="1">SUM(M142:M144)</f>
        <v>5648706</v>
      </c>
      <c r="N141" s="157">
        <f t="shared" ca="1" si="29"/>
        <v>6403753</v>
      </c>
      <c r="O141" s="157">
        <f t="shared" ca="1" si="30"/>
        <v>7044627</v>
      </c>
      <c r="P141" s="157">
        <f t="shared" ca="1" si="25"/>
        <v>640874</v>
      </c>
      <c r="Q141" s="158">
        <f t="shared" ca="1" si="26"/>
        <v>0.10007787620790495</v>
      </c>
      <c r="R141" s="145"/>
      <c r="S141" s="145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</row>
    <row r="142" spans="1:33" x14ac:dyDescent="0.2">
      <c r="A142" s="155" t="s">
        <v>2430</v>
      </c>
      <c r="B142" s="152" t="s">
        <v>2928</v>
      </c>
      <c r="C142" s="153">
        <f t="shared" ca="1" si="24"/>
        <v>0</v>
      </c>
      <c r="D142" s="153">
        <f ca="1">SUMIF(SAN,SP!$A142,SAN_ANNO_P)</f>
        <v>0</v>
      </c>
      <c r="E142" s="153">
        <f ca="1">SUMIF(RIC,SP!$A142,RIC_ANNO_P)</f>
        <v>0</v>
      </c>
      <c r="F142" s="153">
        <f ca="1">SUMIF(SOC,SP!$A142,SOC_ANNO_P)</f>
        <v>0</v>
      </c>
      <c r="G142" s="153">
        <f t="shared" ca="1" si="28"/>
        <v>0</v>
      </c>
      <c r="H142" s="153">
        <f ca="1">SUMIF(SAN,SP!$A142,SAN_ANNO_C)</f>
        <v>0</v>
      </c>
      <c r="I142" s="144">
        <f ca="1">SUMIF(RIC,SP!$A142,RIC_ANNO_C)</f>
        <v>0</v>
      </c>
      <c r="J142" s="153">
        <f ca="1">SUMIF(SOC,SP!$A142,SOC_ANNO_C)</f>
        <v>0</v>
      </c>
      <c r="K142" s="145"/>
      <c r="L142" s="153">
        <f ca="1">SUMIF(DATI_TOTALE,SP!$A142,DATI_TOTALE_DETT_1)</f>
        <v>0</v>
      </c>
      <c r="M142" s="153">
        <f ca="1">SUMIF(DATI_TOTALE,SP!$A142,DATI_TOTALE_DETT_2)</f>
        <v>0</v>
      </c>
      <c r="N142" s="153">
        <f t="shared" ca="1" si="29"/>
        <v>0</v>
      </c>
      <c r="O142" s="153">
        <f t="shared" ca="1" si="30"/>
        <v>0</v>
      </c>
      <c r="P142" s="153">
        <f t="shared" ca="1" si="25"/>
        <v>0</v>
      </c>
      <c r="Q142" s="154">
        <f t="shared" ca="1" si="26"/>
        <v>0</v>
      </c>
      <c r="R142" s="145"/>
      <c r="S142" s="145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</row>
    <row r="143" spans="1:33" x14ac:dyDescent="0.2">
      <c r="A143" s="155" t="s">
        <v>2434</v>
      </c>
      <c r="B143" s="152" t="s">
        <v>2929</v>
      </c>
      <c r="C143" s="153">
        <f t="shared" ca="1" si="24"/>
        <v>0</v>
      </c>
      <c r="D143" s="153">
        <f ca="1">SUMIF(SAN,SP!$A143,SAN_ANNO_P)</f>
        <v>0</v>
      </c>
      <c r="E143" s="153">
        <f ca="1">SUMIF(RIC,SP!$A143,RIC_ANNO_P)</f>
        <v>0</v>
      </c>
      <c r="F143" s="153">
        <f ca="1">SUMIF(SOC,SP!$A143,SOC_ANNO_P)</f>
        <v>0</v>
      </c>
      <c r="G143" s="153">
        <f t="shared" ca="1" si="28"/>
        <v>0</v>
      </c>
      <c r="H143" s="153">
        <f ca="1">SUMIF(SAN,SP!$A143,SAN_ANNO_C)</f>
        <v>0</v>
      </c>
      <c r="I143" s="144">
        <f ca="1">SUMIF(RIC,SP!$A143,RIC_ANNO_C)</f>
        <v>0</v>
      </c>
      <c r="J143" s="153">
        <f ca="1">SUMIF(SOC,SP!$A143,SOC_ANNO_C)</f>
        <v>0</v>
      </c>
      <c r="K143" s="145"/>
      <c r="L143" s="153">
        <f ca="1">SUMIF(DATI_TOTALE,SP!$A143,DATI_TOTALE_DETT_1)</f>
        <v>0</v>
      </c>
      <c r="M143" s="153">
        <f ca="1">SUMIF(DATI_TOTALE,SP!$A143,DATI_TOTALE_DETT_2)</f>
        <v>0</v>
      </c>
      <c r="N143" s="153">
        <f t="shared" ca="1" si="29"/>
        <v>0</v>
      </c>
      <c r="O143" s="153">
        <f t="shared" ca="1" si="30"/>
        <v>0</v>
      </c>
      <c r="P143" s="153">
        <f t="shared" ca="1" si="25"/>
        <v>0</v>
      </c>
      <c r="Q143" s="154">
        <f t="shared" ca="1" si="26"/>
        <v>0</v>
      </c>
      <c r="R143" s="145"/>
      <c r="S143" s="145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</row>
    <row r="144" spans="1:33" x14ac:dyDescent="0.2">
      <c r="A144" s="155" t="s">
        <v>2411</v>
      </c>
      <c r="B144" s="152" t="s">
        <v>2930</v>
      </c>
      <c r="C144" s="153">
        <f t="shared" ca="1" si="24"/>
        <v>6403753</v>
      </c>
      <c r="D144" s="153">
        <f ca="1">SUMIF(SAN,SP!$A144,SAN_ANNO_P)</f>
        <v>6403753</v>
      </c>
      <c r="E144" s="153">
        <f ca="1">SUMIF(RIC,SP!$A144,RIC_ANNO_P)</f>
        <v>0</v>
      </c>
      <c r="F144" s="153">
        <f ca="1">SUMIF(SOC,SP!$A144,SOC_ANNO_P)</f>
        <v>0</v>
      </c>
      <c r="G144" s="153">
        <f t="shared" ca="1" si="28"/>
        <v>7044627</v>
      </c>
      <c r="H144" s="153">
        <f ca="1">SUMIF(SAN,SP!$A144,SAN_ANNO_C)</f>
        <v>7044627</v>
      </c>
      <c r="I144" s="144">
        <f ca="1">SUMIF(RIC,SP!$A144,RIC_ANNO_C)</f>
        <v>0</v>
      </c>
      <c r="J144" s="153">
        <f ca="1">SUMIF(SOC,SP!$A144,SOC_ANNO_C)</f>
        <v>0</v>
      </c>
      <c r="K144" s="145"/>
      <c r="L144" s="153">
        <f ca="1">SUMIF(DATI_TOTALE,SP!$A144,DATI_TOTALE_DETT_1)</f>
        <v>982893</v>
      </c>
      <c r="M144" s="153">
        <f ca="1">SUMIF(DATI_TOTALE,SP!$A144,DATI_TOTALE_DETT_2)</f>
        <v>5648706</v>
      </c>
      <c r="N144" s="153">
        <f t="shared" ca="1" si="29"/>
        <v>6403753</v>
      </c>
      <c r="O144" s="153">
        <f t="shared" ca="1" si="30"/>
        <v>7044627</v>
      </c>
      <c r="P144" s="153">
        <f t="shared" ca="1" si="25"/>
        <v>640874</v>
      </c>
      <c r="Q144" s="154">
        <f t="shared" ca="1" si="26"/>
        <v>0.10007787620790495</v>
      </c>
      <c r="R144" s="145"/>
      <c r="S144" s="145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</row>
    <row r="145" spans="1:33" x14ac:dyDescent="0.2">
      <c r="A145" s="155" t="s">
        <v>2468</v>
      </c>
      <c r="B145" s="152" t="s">
        <v>2931</v>
      </c>
      <c r="C145" s="153">
        <f t="shared" ca="1" si="24"/>
        <v>0</v>
      </c>
      <c r="D145" s="153">
        <f ca="1">SUMIF(SAN,SP!$A145,SAN_ANNO_P)</f>
        <v>0</v>
      </c>
      <c r="E145" s="153">
        <f ca="1">SUMIF(RIC,SP!$A145,RIC_ANNO_P)</f>
        <v>0</v>
      </c>
      <c r="F145" s="153">
        <f ca="1">SUMIF(SOC,SP!$A145,SOC_ANNO_P)</f>
        <v>0</v>
      </c>
      <c r="G145" s="153">
        <f t="shared" ca="1" si="28"/>
        <v>0</v>
      </c>
      <c r="H145" s="184">
        <f ca="1">SUMIF(SAN,SP!$A145,SAN_ANNO_C)</f>
        <v>0</v>
      </c>
      <c r="I145" s="153">
        <f ca="1">SUMIF(RIC,SP!$A145,RIC_ANNO_C)</f>
        <v>0</v>
      </c>
      <c r="J145" s="153">
        <f ca="1">SUMIF(SOC,SP!$A145,SOC_ANNO_C)</f>
        <v>0</v>
      </c>
      <c r="K145" s="145"/>
      <c r="L145" s="153">
        <f ca="1">SUMIF(DATI_TOTALE,SP!$A145,DATI_TOTALE_DETT_1)</f>
        <v>0</v>
      </c>
      <c r="M145" s="153">
        <f ca="1">SUMIF(DATI_TOTALE,SP!$A145,DATI_TOTALE_DETT_2)</f>
        <v>0</v>
      </c>
      <c r="N145" s="153">
        <f t="shared" ca="1" si="29"/>
        <v>0</v>
      </c>
      <c r="O145" s="153">
        <f t="shared" ca="1" si="30"/>
        <v>0</v>
      </c>
      <c r="P145" s="153">
        <f t="shared" ca="1" si="25"/>
        <v>0</v>
      </c>
      <c r="Q145" s="154">
        <f t="shared" ca="1" si="26"/>
        <v>0</v>
      </c>
      <c r="R145" s="145"/>
      <c r="S145" s="145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</row>
    <row r="146" spans="1:33" x14ac:dyDescent="0.2">
      <c r="A146" s="155" t="s">
        <v>2457</v>
      </c>
      <c r="B146" s="152" t="s">
        <v>2932</v>
      </c>
      <c r="C146" s="153">
        <f t="shared" ca="1" si="24"/>
        <v>38239</v>
      </c>
      <c r="D146" s="153">
        <f ca="1">SUMIF(SAN,SP!$A146,SAN_ANNO_P)</f>
        <v>38239</v>
      </c>
      <c r="E146" s="153">
        <f ca="1">SUMIF(RIC,SP!$A146,RIC_ANNO_P)</f>
        <v>0</v>
      </c>
      <c r="F146" s="153">
        <f ca="1">SUMIF(SOC,SP!$A146,SOC_ANNO_P)</f>
        <v>0</v>
      </c>
      <c r="G146" s="153">
        <f t="shared" ca="1" si="28"/>
        <v>7503</v>
      </c>
      <c r="H146" s="184">
        <f ca="1">SUMIF(SAN,SP!$A146,SAN_ANNO_C)</f>
        <v>7503</v>
      </c>
      <c r="I146" s="153">
        <f ca="1">SUMIF(RIC,SP!$A146,RIC_ANNO_C)</f>
        <v>0</v>
      </c>
      <c r="J146" s="153">
        <f ca="1">SUMIF(SOC,SP!$A146,SOC_ANNO_C)</f>
        <v>0</v>
      </c>
      <c r="K146" s="145"/>
      <c r="L146" s="153">
        <f ca="1">SUMIF(DATI_TOTALE,SP!$A146,DATI_TOTALE_DETT_1)</f>
        <v>0</v>
      </c>
      <c r="M146" s="153">
        <f ca="1">SUMIF(DATI_TOTALE,SP!$A146,DATI_TOTALE_DETT_2)</f>
        <v>14656</v>
      </c>
      <c r="N146" s="153">
        <f t="shared" ca="1" si="29"/>
        <v>38239</v>
      </c>
      <c r="O146" s="153">
        <f t="shared" ca="1" si="30"/>
        <v>7503</v>
      </c>
      <c r="P146" s="153">
        <f t="shared" ca="1" si="25"/>
        <v>-30736</v>
      </c>
      <c r="Q146" s="154">
        <f t="shared" ca="1" si="26"/>
        <v>-0.80378670990350165</v>
      </c>
      <c r="R146" s="145"/>
      <c r="S146" s="145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</row>
    <row r="147" spans="1:33" x14ac:dyDescent="0.2">
      <c r="A147" s="155" t="s">
        <v>2493</v>
      </c>
      <c r="B147" s="152" t="s">
        <v>2933</v>
      </c>
      <c r="C147" s="153">
        <f t="shared" ca="1" si="24"/>
        <v>0</v>
      </c>
      <c r="D147" s="153">
        <f ca="1">SUMIF(SAN,SP!$A147,SAN_ANNO_P)</f>
        <v>0</v>
      </c>
      <c r="E147" s="153">
        <f ca="1">SUMIF(RIC,SP!$A147,RIC_ANNO_P)</f>
        <v>0</v>
      </c>
      <c r="F147" s="153">
        <f ca="1">SUMIF(SOC,SP!$A147,SOC_ANNO_P)</f>
        <v>0</v>
      </c>
      <c r="G147" s="153">
        <f t="shared" ca="1" si="28"/>
        <v>0</v>
      </c>
      <c r="H147" s="153">
        <f ca="1">SUMIF(SAN,SP!$A147,SAN_ANNO_C)</f>
        <v>0</v>
      </c>
      <c r="I147" s="153">
        <f ca="1">SUMIF(RIC,SP!$A147,RIC_ANNO_C)</f>
        <v>0</v>
      </c>
      <c r="J147" s="153">
        <f ca="1">SUMIF(SOC,SP!$A147,SOC_ANNO_C)</f>
        <v>0</v>
      </c>
      <c r="K147" s="145"/>
      <c r="L147" s="153">
        <f ca="1">SUMIF(DATI_TOTALE,SP!$A147,DATI_TOTALE_DETT_1)</f>
        <v>0</v>
      </c>
      <c r="M147" s="153">
        <f ca="1">SUMIF(DATI_TOTALE,SP!$A147,DATI_TOTALE_DETT_2)</f>
        <v>0</v>
      </c>
      <c r="N147" s="153">
        <f t="shared" ca="1" si="29"/>
        <v>0</v>
      </c>
      <c r="O147" s="153">
        <f t="shared" ca="1" si="30"/>
        <v>0</v>
      </c>
      <c r="P147" s="153">
        <f t="shared" ca="1" si="25"/>
        <v>0</v>
      </c>
      <c r="Q147" s="154">
        <f t="shared" ca="1" si="26"/>
        <v>0</v>
      </c>
      <c r="R147" s="145"/>
      <c r="S147" s="145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</row>
    <row r="148" spans="1:33" x14ac:dyDescent="0.2">
      <c r="A148" s="130" t="s">
        <v>2522</v>
      </c>
      <c r="B148" s="152" t="s">
        <v>2934</v>
      </c>
      <c r="C148" s="153">
        <f t="shared" ca="1" si="24"/>
        <v>32537849</v>
      </c>
      <c r="D148" s="153">
        <f ca="1">SUMIF(SAN,SP!$A148,SAN_ANNO_P)</f>
        <v>32537849</v>
      </c>
      <c r="E148" s="153">
        <f ca="1">SUMIF(RIC,SP!$A148,RIC_ANNO_P)</f>
        <v>0</v>
      </c>
      <c r="F148" s="153">
        <f ca="1">SUMIF(SOC,SP!$A148,SOC_ANNO_P)</f>
        <v>0</v>
      </c>
      <c r="G148" s="153">
        <f t="shared" ca="1" si="28"/>
        <v>31686580</v>
      </c>
      <c r="H148" s="153">
        <f ca="1">SUMIF(SAN,SP!$A148,SAN_ANNO_C)</f>
        <v>31686580</v>
      </c>
      <c r="I148" s="153">
        <f ca="1">SUMIF(RIC,SP!$A148,RIC_ANNO_C)</f>
        <v>0</v>
      </c>
      <c r="J148" s="153">
        <f ca="1">SUMIF(SOC,SP!$A148,SOC_ANNO_C)</f>
        <v>0</v>
      </c>
      <c r="K148" s="145"/>
      <c r="L148" s="153">
        <f ca="1">SUMIF(DATI_TOTALE,SP!$A148,DATI_TOTALE_DETT_1)</f>
        <v>448499</v>
      </c>
      <c r="M148" s="153">
        <f ca="1">SUMIF(DATI_TOTALE,SP!$A148,DATI_TOTALE_DETT_2)</f>
        <v>59497105</v>
      </c>
      <c r="N148" s="153">
        <f t="shared" ca="1" si="29"/>
        <v>32537849</v>
      </c>
      <c r="O148" s="153">
        <f t="shared" ca="1" si="30"/>
        <v>31686580</v>
      </c>
      <c r="P148" s="153">
        <f t="shared" ca="1" si="25"/>
        <v>-851269</v>
      </c>
      <c r="Q148" s="154">
        <f t="shared" ca="1" si="26"/>
        <v>-2.6162423951257504E-2</v>
      </c>
      <c r="R148" s="145"/>
      <c r="S148" s="145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</row>
    <row r="149" spans="1:33" x14ac:dyDescent="0.2">
      <c r="A149" s="155" t="s">
        <v>2570</v>
      </c>
      <c r="B149" s="152" t="s">
        <v>2935</v>
      </c>
      <c r="C149" s="153">
        <f t="shared" ca="1" si="24"/>
        <v>0</v>
      </c>
      <c r="D149" s="153">
        <f ca="1">SUMIF(SAN,SP!$A149,SAN_ANNO_P)</f>
        <v>0</v>
      </c>
      <c r="E149" s="153">
        <f ca="1">SUMIF(RIC,SP!$A149,RIC_ANNO_P)</f>
        <v>0</v>
      </c>
      <c r="F149" s="153">
        <f ca="1">SUMIF(SOC,SP!$A149,SOC_ANNO_P)</f>
        <v>0</v>
      </c>
      <c r="G149" s="153">
        <f t="shared" ca="1" si="28"/>
        <v>2058</v>
      </c>
      <c r="H149" s="153">
        <f ca="1">SUMIF(SAN,SP!$A149,SAN_ANNO_C)</f>
        <v>2058</v>
      </c>
      <c r="I149" s="153">
        <f ca="1">SUMIF(RIC,SP!$A149,RIC_ANNO_C)</f>
        <v>0</v>
      </c>
      <c r="J149" s="153">
        <f ca="1">SUMIF(SOC,SP!$A149,SOC_ANNO_C)</f>
        <v>0</v>
      </c>
      <c r="K149" s="145"/>
      <c r="L149" s="153">
        <f ca="1">SUMIF(DATI_TOTALE,SP!$A149,DATI_TOTALE_DETT_1)</f>
        <v>0</v>
      </c>
      <c r="M149" s="153">
        <f ca="1">SUMIF(DATI_TOTALE,SP!$A149,DATI_TOTALE_DETT_2)</f>
        <v>0</v>
      </c>
      <c r="N149" s="153">
        <f t="shared" ca="1" si="29"/>
        <v>0</v>
      </c>
      <c r="O149" s="153">
        <f t="shared" ca="1" si="30"/>
        <v>2058</v>
      </c>
      <c r="P149" s="153">
        <f t="shared" ca="1" si="25"/>
        <v>2058</v>
      </c>
      <c r="Q149" s="154">
        <f t="shared" ca="1" si="26"/>
        <v>0</v>
      </c>
      <c r="R149" s="145"/>
      <c r="S149" s="145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</row>
    <row r="150" spans="1:33" x14ac:dyDescent="0.2">
      <c r="A150" s="155" t="s">
        <v>2576</v>
      </c>
      <c r="B150" s="152" t="s">
        <v>2936</v>
      </c>
      <c r="C150" s="153">
        <f t="shared" ca="1" si="24"/>
        <v>5353825</v>
      </c>
      <c r="D150" s="153">
        <f ca="1">SUMIF(SAN,SP!$A150,SAN_ANNO_P)</f>
        <v>5353825</v>
      </c>
      <c r="E150" s="153">
        <f ca="1">SUMIF(RIC,SP!$A150,RIC_ANNO_P)</f>
        <v>0</v>
      </c>
      <c r="F150" s="153">
        <f ca="1">SUMIF(SOC,SP!$A150,SOC_ANNO_P)</f>
        <v>0</v>
      </c>
      <c r="G150" s="153">
        <f t="shared" ca="1" si="28"/>
        <v>5141148</v>
      </c>
      <c r="H150" s="153">
        <f ca="1">SUMIF(SAN,SP!$A150,SAN_ANNO_C)</f>
        <v>5141148</v>
      </c>
      <c r="I150" s="153">
        <f ca="1">SUMIF(RIC,SP!$A150,RIC_ANNO_C)</f>
        <v>0</v>
      </c>
      <c r="J150" s="153">
        <f ca="1">SUMIF(SOC,SP!$A150,SOC_ANNO_C)</f>
        <v>0</v>
      </c>
      <c r="K150" s="145"/>
      <c r="L150" s="153">
        <f ca="1">SUMIF(DATI_TOTALE,SP!$A150,DATI_TOTALE_DETT_1)</f>
        <v>0</v>
      </c>
      <c r="M150" s="153">
        <f ca="1">SUMIF(DATI_TOTALE,SP!$A150,DATI_TOTALE_DETT_2)</f>
        <v>5141148</v>
      </c>
      <c r="N150" s="153">
        <f t="shared" ca="1" si="29"/>
        <v>5353825</v>
      </c>
      <c r="O150" s="153">
        <f t="shared" ca="1" si="30"/>
        <v>5141148</v>
      </c>
      <c r="P150" s="153">
        <f t="shared" ca="1" si="25"/>
        <v>-212677</v>
      </c>
      <c r="Q150" s="154">
        <f t="shared" ca="1" si="26"/>
        <v>-3.9724309255532261E-2</v>
      </c>
      <c r="R150" s="145"/>
      <c r="S150" s="145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</row>
    <row r="151" spans="1:33" x14ac:dyDescent="0.2">
      <c r="A151" s="161" t="s">
        <v>2591</v>
      </c>
      <c r="B151" s="152" t="s">
        <v>2937</v>
      </c>
      <c r="C151" s="153">
        <f t="shared" ca="1" si="24"/>
        <v>0</v>
      </c>
      <c r="D151" s="153">
        <f ca="1">SUMIF(SAN,SP!$A151,SAN_ANNO_P)</f>
        <v>0</v>
      </c>
      <c r="E151" s="153">
        <f ca="1">SUMIF(RIC,SP!$A151,RIC_ANNO_P)</f>
        <v>0</v>
      </c>
      <c r="F151" s="153">
        <f ca="1">SUMIF(SOC,SP!$A151,SOC_ANNO_P)</f>
        <v>0</v>
      </c>
      <c r="G151" s="153">
        <f t="shared" ca="1" si="28"/>
        <v>0</v>
      </c>
      <c r="H151" s="153">
        <f ca="1">SUMIF(SAN,SP!$A151,SAN_ANNO_C)</f>
        <v>0</v>
      </c>
      <c r="I151" s="153">
        <f ca="1">SUMIF(RIC,SP!$A151,RIC_ANNO_C)</f>
        <v>0</v>
      </c>
      <c r="J151" s="153">
        <f ca="1">SUMIF(SOC,SP!$A151,SOC_ANNO_C)</f>
        <v>0</v>
      </c>
      <c r="K151" s="145"/>
      <c r="L151" s="153">
        <f ca="1">SUMIF(DATI_TOTALE,SP!$A151,DATI_TOTALE_DETT_1)</f>
        <v>0</v>
      </c>
      <c r="M151" s="153">
        <f ca="1">SUMIF(DATI_TOTALE,SP!$A151,DATI_TOTALE_DETT_2)</f>
        <v>0</v>
      </c>
      <c r="N151" s="153">
        <f t="shared" ca="1" si="29"/>
        <v>0</v>
      </c>
      <c r="O151" s="153">
        <f t="shared" ca="1" si="30"/>
        <v>0</v>
      </c>
      <c r="P151" s="153">
        <f t="shared" ca="1" si="25"/>
        <v>0</v>
      </c>
      <c r="Q151" s="154">
        <f t="shared" ca="1" si="26"/>
        <v>0</v>
      </c>
      <c r="R151" s="145"/>
      <c r="S151" s="145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</row>
    <row r="152" spans="1:33" x14ac:dyDescent="0.2">
      <c r="A152" s="155" t="s">
        <v>2582</v>
      </c>
      <c r="B152" s="152" t="s">
        <v>2938</v>
      </c>
      <c r="C152" s="153">
        <f t="shared" ca="1" si="24"/>
        <v>8411731</v>
      </c>
      <c r="D152" s="153">
        <f ca="1">SUMIF(SAN,SP!$A152,SAN_ANNO_P)</f>
        <v>8411731</v>
      </c>
      <c r="E152" s="153">
        <f ca="1">SUMIF(RIC,SP!$A152,RIC_ANNO_P)</f>
        <v>0</v>
      </c>
      <c r="F152" s="153">
        <f ca="1">SUMIF(SOC,SP!$A152,SOC_ANNO_P)</f>
        <v>0</v>
      </c>
      <c r="G152" s="153">
        <f t="shared" ca="1" si="28"/>
        <v>8853515</v>
      </c>
      <c r="H152" s="153">
        <f ca="1">SUMIF(SAN,SP!$A152,SAN_ANNO_C)</f>
        <v>8853515</v>
      </c>
      <c r="I152" s="153">
        <f ca="1">SUMIF(RIC,SP!$A152,RIC_ANNO_C)</f>
        <v>0</v>
      </c>
      <c r="J152" s="153">
        <f ca="1">SUMIF(SOC,SP!$A152,SOC_ANNO_C)</f>
        <v>0</v>
      </c>
      <c r="K152" s="145"/>
      <c r="L152" s="153">
        <f ca="1">SUMIF(DATI_TOTALE,SP!$A152,DATI_TOTALE_DETT_1)</f>
        <v>20837</v>
      </c>
      <c r="M152" s="153">
        <f ca="1">SUMIF(DATI_TOTALE,SP!$A152,DATI_TOTALE_DETT_2)</f>
        <v>17686193</v>
      </c>
      <c r="N152" s="153">
        <f t="shared" ca="1" si="29"/>
        <v>8411731</v>
      </c>
      <c r="O152" s="153">
        <f t="shared" ca="1" si="30"/>
        <v>8853515</v>
      </c>
      <c r="P152" s="153">
        <f t="shared" ca="1" si="25"/>
        <v>441784</v>
      </c>
      <c r="Q152" s="154">
        <f t="shared" ca="1" si="26"/>
        <v>5.2519986670995542E-2</v>
      </c>
      <c r="R152" s="145"/>
      <c r="S152" s="145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</row>
    <row r="153" spans="1:33" x14ac:dyDescent="0.2">
      <c r="A153" s="155" t="s">
        <v>2596</v>
      </c>
      <c r="B153" s="152" t="s">
        <v>2939</v>
      </c>
      <c r="C153" s="153">
        <f t="shared" ca="1" si="24"/>
        <v>12378303</v>
      </c>
      <c r="D153" s="153">
        <f ca="1">SUMIF(SAN,SP!$A153,SAN_ANNO_P)</f>
        <v>12378303</v>
      </c>
      <c r="E153" s="153">
        <f ca="1">SUMIF(RIC,SP!$A153,RIC_ANNO_P)</f>
        <v>0</v>
      </c>
      <c r="F153" s="153">
        <f ca="1">SUMIF(SOC,SP!$A153,SOC_ANNO_P)</f>
        <v>0</v>
      </c>
      <c r="G153" s="153">
        <f t="shared" ca="1" si="28"/>
        <v>13674174</v>
      </c>
      <c r="H153" s="153">
        <f ca="1">SUMIF(SAN,SP!$A153,SAN_ANNO_C)</f>
        <v>13674174</v>
      </c>
      <c r="I153" s="153">
        <f ca="1">SUMIF(RIC,SP!$A153,RIC_ANNO_C)</f>
        <v>0</v>
      </c>
      <c r="J153" s="153">
        <f ca="1">SUMIF(SOC,SP!$A153,SOC_ANNO_C)</f>
        <v>0</v>
      </c>
      <c r="K153" s="145"/>
      <c r="L153" s="153">
        <f ca="1">SUMIF(DATI_TOTALE,SP!$A153,DATI_TOTALE_DETT_1)</f>
        <v>322727</v>
      </c>
      <c r="M153" s="153">
        <f ca="1">SUMIF(DATI_TOTALE,SP!$A153,DATI_TOTALE_DETT_2)</f>
        <v>26697830</v>
      </c>
      <c r="N153" s="169">
        <f t="shared" ca="1" si="29"/>
        <v>12378303</v>
      </c>
      <c r="O153" s="169">
        <f t="shared" ca="1" si="30"/>
        <v>13674174</v>
      </c>
      <c r="P153" s="169">
        <f t="shared" ca="1" si="25"/>
        <v>1295871</v>
      </c>
      <c r="Q153" s="163">
        <f t="shared" ca="1" si="26"/>
        <v>0.10468890606410265</v>
      </c>
      <c r="R153" s="145"/>
      <c r="S153" s="145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</row>
    <row r="154" spans="1:33" x14ac:dyDescent="0.2">
      <c r="A154" s="130" t="s">
        <v>2940</v>
      </c>
      <c r="B154" s="147" t="s">
        <v>2881</v>
      </c>
      <c r="C154" s="148">
        <f t="shared" ca="1" si="24"/>
        <v>88013080</v>
      </c>
      <c r="D154" s="148">
        <f ca="1">+SUM(D133:D137)+SUM(D147:D153)</f>
        <v>88013080</v>
      </c>
      <c r="E154" s="148">
        <f ca="1">+SUM(E133:E137)+SUM(E147:E153)</f>
        <v>0</v>
      </c>
      <c r="F154" s="148">
        <f ca="1">+SUM(F133:F137)+SUM(F147:F153)</f>
        <v>0</v>
      </c>
      <c r="G154" s="148">
        <f t="shared" ca="1" si="28"/>
        <v>88880850</v>
      </c>
      <c r="H154" s="148">
        <f ca="1">+SUM(H133:H137)+SUM(H147:H153)</f>
        <v>88880850</v>
      </c>
      <c r="I154" s="148">
        <f ca="1">+SUM(I133:I137)+SUM(I147:I153)</f>
        <v>0</v>
      </c>
      <c r="J154" s="148">
        <f ca="1">+SUM(J133:J137)+SUM(J147:J153)</f>
        <v>0</v>
      </c>
      <c r="K154" s="145"/>
      <c r="L154" s="185">
        <f ca="1">+SUM(L133:L137)+SUM(L147:L153)</f>
        <v>1781162</v>
      </c>
      <c r="M154" s="185">
        <f ca="1">+SUM(M133:M137)+SUM(M147:M153)</f>
        <v>155457854</v>
      </c>
      <c r="N154" s="164">
        <f t="shared" ca="1" si="29"/>
        <v>88013080</v>
      </c>
      <c r="O154" s="164">
        <f t="shared" ca="1" si="30"/>
        <v>88880850</v>
      </c>
      <c r="P154" s="164">
        <f t="shared" ca="1" si="25"/>
        <v>867770</v>
      </c>
      <c r="Q154" s="165">
        <f t="shared" ca="1" si="26"/>
        <v>9.8595572385377257E-3</v>
      </c>
      <c r="R154" s="145"/>
      <c r="S154" s="145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</row>
    <row r="155" spans="1:33" x14ac:dyDescent="0.2">
      <c r="A155" s="130" t="s">
        <v>2941</v>
      </c>
      <c r="B155" s="166" t="s">
        <v>2942</v>
      </c>
      <c r="C155" s="167"/>
      <c r="D155" s="167"/>
      <c r="E155" s="167"/>
      <c r="F155" s="167"/>
      <c r="G155" s="167"/>
      <c r="H155" s="167"/>
      <c r="I155" s="167"/>
      <c r="J155" s="167"/>
      <c r="K155" s="145"/>
      <c r="L155" s="145"/>
      <c r="M155" s="145"/>
      <c r="N155" s="167"/>
      <c r="O155" s="167"/>
      <c r="P155" s="167"/>
      <c r="Q155" s="168"/>
      <c r="R155" s="145"/>
      <c r="S155" s="145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</row>
    <row r="156" spans="1:33" x14ac:dyDescent="0.2">
      <c r="A156" s="130" t="s">
        <v>2652</v>
      </c>
      <c r="B156" s="152" t="s">
        <v>2943</v>
      </c>
      <c r="C156" s="153">
        <f ca="1">SUM(D156:F156)</f>
        <v>0</v>
      </c>
      <c r="D156" s="153">
        <f ca="1">SUMIF(SAN,SP!$A156,SAN_ANNO_P)</f>
        <v>0</v>
      </c>
      <c r="E156" s="153">
        <f ca="1">SUMIF(RIC,SP!$A156,RIC_ANNO_P)</f>
        <v>0</v>
      </c>
      <c r="F156" s="153">
        <f ca="1">SUMIF(SOC,SP!$A156,SOC_ANNO_P)</f>
        <v>0</v>
      </c>
      <c r="G156" s="153">
        <f ca="1">SUM(H156:J156)</f>
        <v>0</v>
      </c>
      <c r="H156" s="153">
        <f ca="1">SUMIF(SAN,SP!$A156,SAN_ANNO_C)</f>
        <v>0</v>
      </c>
      <c r="I156" s="153">
        <f ca="1">SUMIF(RIC,SP!$A156,RIC_ANNO_C)</f>
        <v>0</v>
      </c>
      <c r="J156" s="153">
        <f ca="1">SUMIF(SOC,SP!$A156,SOC_ANNO_C)</f>
        <v>0</v>
      </c>
      <c r="K156" s="145"/>
      <c r="L156" s="145"/>
      <c r="M156" s="145"/>
      <c r="N156" s="153">
        <f ca="1">+C156</f>
        <v>0</v>
      </c>
      <c r="O156" s="153">
        <f ca="1">+G156</f>
        <v>0</v>
      </c>
      <c r="P156" s="153">
        <f ca="1">+O156-N156</f>
        <v>0</v>
      </c>
      <c r="Q156" s="154">
        <f ca="1">IF(N156&lt;&gt;0,+P156/N156,0)</f>
        <v>0</v>
      </c>
      <c r="R156" s="145"/>
      <c r="S156" s="145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</row>
    <row r="157" spans="1:33" x14ac:dyDescent="0.2">
      <c r="A157" s="130" t="s">
        <v>2679</v>
      </c>
      <c r="B157" s="152" t="s">
        <v>2944</v>
      </c>
      <c r="C157" s="153">
        <f ca="1">SUM(D157:F157)</f>
        <v>37559</v>
      </c>
      <c r="D157" s="153">
        <f ca="1">SUMIF(SAN,SP!$A157,SAN_ANNO_P)</f>
        <v>37559</v>
      </c>
      <c r="E157" s="153">
        <f ca="1">SUMIF(RIC,SP!$A157,RIC_ANNO_P)</f>
        <v>0</v>
      </c>
      <c r="F157" s="153">
        <f ca="1">SUMIF(SOC,SP!$A157,SOC_ANNO_P)</f>
        <v>0</v>
      </c>
      <c r="G157" s="153">
        <f ca="1">SUM(H157:J157)</f>
        <v>39537</v>
      </c>
      <c r="H157" s="153">
        <f ca="1">SUMIF(SAN,SP!$A157,SAN_ANNO_C)</f>
        <v>39537</v>
      </c>
      <c r="I157" s="153">
        <f ca="1">SUMIF(RIC,SP!$A157,RIC_ANNO_C)</f>
        <v>0</v>
      </c>
      <c r="J157" s="153">
        <f ca="1">SUMIF(SOC,SP!$A157,SOC_ANNO_C)</f>
        <v>0</v>
      </c>
      <c r="K157" s="145"/>
      <c r="L157" s="145"/>
      <c r="M157" s="145"/>
      <c r="N157" s="153">
        <f ca="1">+C157</f>
        <v>37559</v>
      </c>
      <c r="O157" s="153">
        <f ca="1">+G157</f>
        <v>39537</v>
      </c>
      <c r="P157" s="153">
        <f ca="1">+O157-N157</f>
        <v>1978</v>
      </c>
      <c r="Q157" s="154">
        <f ca="1">IF(N157&lt;&gt;0,+P157/N157,0)</f>
        <v>5.2663808940600125E-2</v>
      </c>
      <c r="R157" s="145"/>
      <c r="S157" s="145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</row>
    <row r="158" spans="1:33" x14ac:dyDescent="0.2">
      <c r="A158" s="130" t="s">
        <v>2945</v>
      </c>
      <c r="B158" s="147" t="s">
        <v>2946</v>
      </c>
      <c r="C158" s="148">
        <f ca="1">SUM(D158:F158)</f>
        <v>37559</v>
      </c>
      <c r="D158" s="148">
        <f ca="1">+D156+D157</f>
        <v>37559</v>
      </c>
      <c r="E158" s="148">
        <f ca="1">+E156+E157</f>
        <v>0</v>
      </c>
      <c r="F158" s="148">
        <f ca="1">+F156+F157</f>
        <v>0</v>
      </c>
      <c r="G158" s="148">
        <f ca="1">SUM(H158:J158)</f>
        <v>39537</v>
      </c>
      <c r="H158" s="148">
        <f ca="1">+H156+H157</f>
        <v>39537</v>
      </c>
      <c r="I158" s="148">
        <f ca="1">+I156+I157</f>
        <v>0</v>
      </c>
      <c r="J158" s="148">
        <f ca="1">+J156+J157</f>
        <v>0</v>
      </c>
      <c r="K158" s="145"/>
      <c r="L158" s="145"/>
      <c r="M158" s="145"/>
      <c r="N158" s="148">
        <f ca="1">+C158</f>
        <v>37559</v>
      </c>
      <c r="O158" s="148">
        <f ca="1">+G158</f>
        <v>39537</v>
      </c>
      <c r="P158" s="148">
        <f ca="1">+O158-N158</f>
        <v>1978</v>
      </c>
      <c r="Q158" s="186">
        <f ca="1">IF(N158&lt;&gt;0,+P158/N158,0)</f>
        <v>5.2663808940600125E-2</v>
      </c>
      <c r="R158" s="145"/>
      <c r="S158" s="145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</row>
    <row r="159" spans="1:33" x14ac:dyDescent="0.2">
      <c r="A159" s="130" t="s">
        <v>2947</v>
      </c>
      <c r="B159" s="176" t="s">
        <v>2948</v>
      </c>
      <c r="C159" s="177">
        <f ca="1">SUM(D159:F159)</f>
        <v>213910168</v>
      </c>
      <c r="D159" s="177">
        <f ca="1">+D120+D127+D131+D154+D158</f>
        <v>213910168</v>
      </c>
      <c r="E159" s="177">
        <f ca="1">+E120+E127+E131+E154+E158</f>
        <v>0</v>
      </c>
      <c r="F159" s="177">
        <f ca="1">+F120+F127+F131+F154+F158</f>
        <v>0</v>
      </c>
      <c r="G159" s="177">
        <f ca="1">SUM(H159:J159)</f>
        <v>232309840</v>
      </c>
      <c r="H159" s="177">
        <f ca="1">+H120+H127+H131+H154+H158</f>
        <v>232309840</v>
      </c>
      <c r="I159" s="177">
        <f ca="1">+I120+I127+I131+I154+I158</f>
        <v>0</v>
      </c>
      <c r="J159" s="177">
        <f ca="1">+J120+J127+J131+J154+J158</f>
        <v>0</v>
      </c>
      <c r="K159" s="145"/>
      <c r="L159" s="145"/>
      <c r="M159" s="145"/>
      <c r="N159" s="187">
        <f ca="1">+C159</f>
        <v>213910168</v>
      </c>
      <c r="O159" s="187">
        <f ca="1">+G159</f>
        <v>232309840</v>
      </c>
      <c r="P159" s="187">
        <f ca="1">+O159-N159</f>
        <v>18399672</v>
      </c>
      <c r="Q159" s="188">
        <f ca="1">IF(N159&lt;&gt;0,+P159/N159,0)</f>
        <v>8.601588307854538E-2</v>
      </c>
      <c r="R159" s="145"/>
      <c r="S159" s="145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</row>
    <row r="160" spans="1:33" x14ac:dyDescent="0.2">
      <c r="A160" s="130" t="s">
        <v>2949</v>
      </c>
      <c r="B160" s="166" t="s">
        <v>2950</v>
      </c>
      <c r="C160" s="167"/>
      <c r="D160" s="167"/>
      <c r="E160" s="167"/>
      <c r="F160" s="167"/>
      <c r="G160" s="167"/>
      <c r="H160" s="167"/>
      <c r="I160" s="167"/>
      <c r="J160" s="167"/>
      <c r="K160" s="145"/>
      <c r="L160" s="145"/>
      <c r="M160" s="145"/>
      <c r="N160" s="167"/>
      <c r="O160" s="167"/>
      <c r="P160" s="167"/>
      <c r="Q160" s="168"/>
      <c r="R160" s="145"/>
      <c r="S160" s="145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</row>
    <row r="161" spans="1:33" x14ac:dyDescent="0.2">
      <c r="A161" s="130" t="s">
        <v>2699</v>
      </c>
      <c r="B161" s="152" t="s">
        <v>2700</v>
      </c>
      <c r="C161" s="153">
        <f ca="1">SUM(D161:F161)</f>
        <v>0</v>
      </c>
      <c r="D161" s="153">
        <f ca="1">SUMIF(SAN,SP!$A161,SAN_ANNO_P)</f>
        <v>0</v>
      </c>
      <c r="E161" s="153">
        <f ca="1">SUMIF(RIC,SP!$A161,RIC_ANNO_P)</f>
        <v>0</v>
      </c>
      <c r="F161" s="153">
        <f ca="1">SUMIF(SOC,SP!$A161,SOC_ANNO_P)</f>
        <v>0</v>
      </c>
      <c r="G161" s="153">
        <f ca="1">SUM(H161:J161)</f>
        <v>0</v>
      </c>
      <c r="H161" s="153">
        <f ca="1">SUMIF(SAN,SP!$A161,SAN_ANNO_C)</f>
        <v>0</v>
      </c>
      <c r="I161" s="153">
        <f ca="1">SUMIF(RIC,SP!$A161,RIC_ANNO_C)</f>
        <v>0</v>
      </c>
      <c r="J161" s="153">
        <f ca="1">SUMIF(SOC,SP!$A161,SOC_ANNO_C)</f>
        <v>0</v>
      </c>
      <c r="K161" s="145"/>
      <c r="L161" s="145"/>
      <c r="M161" s="145"/>
      <c r="N161" s="153">
        <f ca="1">+C161</f>
        <v>0</v>
      </c>
      <c r="O161" s="153">
        <f ca="1">+G161</f>
        <v>0</v>
      </c>
      <c r="P161" s="153">
        <f ca="1">+O161-N161</f>
        <v>0</v>
      </c>
      <c r="Q161" s="154">
        <f ca="1">IF(N161&lt;&gt;0,+P161/N161,0)</f>
        <v>0</v>
      </c>
      <c r="R161" s="145"/>
      <c r="S161" s="145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</row>
    <row r="162" spans="1:33" x14ac:dyDescent="0.2">
      <c r="A162" s="130" t="s">
        <v>2704</v>
      </c>
      <c r="B162" s="152" t="s">
        <v>2705</v>
      </c>
      <c r="C162" s="153">
        <f ca="1">SUM(D162:F162)</f>
        <v>0</v>
      </c>
      <c r="D162" s="153">
        <f ca="1">SUMIF(SAN,SP!$A162,SAN_ANNO_P)</f>
        <v>0</v>
      </c>
      <c r="E162" s="153">
        <f ca="1">SUMIF(RIC,SP!$A162,RIC_ANNO_P)</f>
        <v>0</v>
      </c>
      <c r="F162" s="153">
        <f ca="1">SUMIF(SOC,SP!$A162,SOC_ANNO_P)</f>
        <v>0</v>
      </c>
      <c r="G162" s="153">
        <f ca="1">SUM(H162:J162)</f>
        <v>0</v>
      </c>
      <c r="H162" s="153">
        <f ca="1">SUMIF(SAN,SP!$A162,SAN_ANNO_C)</f>
        <v>0</v>
      </c>
      <c r="I162" s="153">
        <f ca="1">SUMIF(RIC,SP!$A162,RIC_ANNO_C)</f>
        <v>0</v>
      </c>
      <c r="J162" s="153">
        <f ca="1">SUMIF(SOC,SP!$A162,SOC_ANNO_C)</f>
        <v>0</v>
      </c>
      <c r="K162" s="145"/>
      <c r="L162" s="145"/>
      <c r="M162" s="145"/>
      <c r="N162" s="153">
        <f ca="1">+C162</f>
        <v>0</v>
      </c>
      <c r="O162" s="153">
        <f ca="1">+G162</f>
        <v>0</v>
      </c>
      <c r="P162" s="153">
        <f ca="1">+O162-N162</f>
        <v>0</v>
      </c>
      <c r="Q162" s="154">
        <f ca="1">IF(N162&lt;&gt;0,+P162/N162,0)</f>
        <v>0</v>
      </c>
      <c r="R162" s="145"/>
      <c r="S162" s="145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</row>
    <row r="163" spans="1:33" x14ac:dyDescent="0.2">
      <c r="A163" s="130" t="s">
        <v>2709</v>
      </c>
      <c r="B163" s="152" t="s">
        <v>2710</v>
      </c>
      <c r="C163" s="153">
        <f ca="1">SUM(D163:F163)</f>
        <v>7812</v>
      </c>
      <c r="D163" s="153">
        <f ca="1">SUMIF(SAN,SP!$A163,SAN_ANNO_P)</f>
        <v>7812</v>
      </c>
      <c r="E163" s="153">
        <f ca="1">SUMIF(RIC,SP!$A163,RIC_ANNO_P)</f>
        <v>0</v>
      </c>
      <c r="F163" s="153">
        <f ca="1">SUMIF(SOC,SP!$A163,SOC_ANNO_P)</f>
        <v>0</v>
      </c>
      <c r="G163" s="153">
        <f ca="1">SUM(H163:J163)</f>
        <v>7812</v>
      </c>
      <c r="H163" s="153">
        <f ca="1">SUMIF(SAN,SP!$A163,SAN_ANNO_C)</f>
        <v>7812</v>
      </c>
      <c r="I163" s="153">
        <f ca="1">SUMIF(RIC,SP!$A163,RIC_ANNO_C)</f>
        <v>0</v>
      </c>
      <c r="J163" s="153">
        <f ca="1">SUMIF(SOC,SP!$A163,SOC_ANNO_C)</f>
        <v>0</v>
      </c>
      <c r="K163" s="145"/>
      <c r="L163" s="145"/>
      <c r="M163" s="145"/>
      <c r="N163" s="153">
        <f ca="1">+C163</f>
        <v>7812</v>
      </c>
      <c r="O163" s="153">
        <f ca="1">+G163</f>
        <v>7812</v>
      </c>
      <c r="P163" s="153">
        <f ca="1">+O163-N163</f>
        <v>0</v>
      </c>
      <c r="Q163" s="154">
        <f ca="1">IF(N163&lt;&gt;0,+P163/N163,0)</f>
        <v>0</v>
      </c>
      <c r="R163" s="145"/>
      <c r="S163" s="145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</row>
    <row r="164" spans="1:33" x14ac:dyDescent="0.2">
      <c r="A164" s="130" t="s">
        <v>2714</v>
      </c>
      <c r="B164" s="152" t="s">
        <v>2719</v>
      </c>
      <c r="C164" s="153">
        <f ca="1">SUM(D164:F164)</f>
        <v>7554492</v>
      </c>
      <c r="D164" s="153">
        <f ca="1">SUMIF(SAN,SP!$A164,SAN_ANNO_P)</f>
        <v>7554492</v>
      </c>
      <c r="E164" s="153">
        <f ca="1">SUMIF(RIC,SP!$A164,RIC_ANNO_P)</f>
        <v>0</v>
      </c>
      <c r="F164" s="153">
        <f ca="1">SUMIF(SOC,SP!$A164,SOC_ANNO_P)</f>
        <v>0</v>
      </c>
      <c r="G164" s="153">
        <f ca="1">SUM(H164:J164)</f>
        <v>8391951</v>
      </c>
      <c r="H164" s="153">
        <f ca="1">SUMIF(SAN,SP!$A164,SAN_ANNO_C)</f>
        <v>8391951</v>
      </c>
      <c r="I164" s="153">
        <f ca="1">SUMIF(RIC,SP!$A164,RIC_ANNO_C)</f>
        <v>0</v>
      </c>
      <c r="J164" s="153">
        <f ca="1">SUMIF(SOC,SP!$A164,SOC_ANNO_C)</f>
        <v>0</v>
      </c>
      <c r="K164" s="145"/>
      <c r="L164" s="145"/>
      <c r="M164" s="145"/>
      <c r="N164" s="162">
        <f ca="1">+C164</f>
        <v>7554492</v>
      </c>
      <c r="O164" s="162">
        <f ca="1">+G164</f>
        <v>8391951</v>
      </c>
      <c r="P164" s="162">
        <f ca="1">+O164-N164</f>
        <v>837459</v>
      </c>
      <c r="Q164" s="189">
        <f ca="1">IF(N164&lt;&gt;0,+P164/N164,0)</f>
        <v>0.11085576634405067</v>
      </c>
      <c r="R164" s="145"/>
      <c r="S164" s="145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</row>
    <row r="165" spans="1:33" x14ac:dyDescent="0.2">
      <c r="A165" s="130" t="s">
        <v>2951</v>
      </c>
      <c r="B165" s="147" t="s">
        <v>2952</v>
      </c>
      <c r="C165" s="148">
        <f ca="1">SUM(D165:F165)</f>
        <v>7562304</v>
      </c>
      <c r="D165" s="148">
        <f ca="1">SUM(D161:D164)</f>
        <v>7562304</v>
      </c>
      <c r="E165" s="148">
        <f ca="1">SUM(E161:E164)</f>
        <v>0</v>
      </c>
      <c r="F165" s="148">
        <f ca="1">SUM(F161:F164)</f>
        <v>0</v>
      </c>
      <c r="G165" s="148">
        <f ca="1">SUM(H165:J165)</f>
        <v>8399763</v>
      </c>
      <c r="H165" s="148">
        <f ca="1">SUM(H161:H164)</f>
        <v>8399763</v>
      </c>
      <c r="I165" s="148">
        <f ca="1">SUM(I161:I164)</f>
        <v>0</v>
      </c>
      <c r="J165" s="148">
        <f ca="1">SUM(J161:J164)</f>
        <v>0</v>
      </c>
      <c r="K165" s="145"/>
      <c r="L165" s="145"/>
      <c r="M165" s="145"/>
      <c r="N165" s="190">
        <f ca="1">+C165</f>
        <v>7562304</v>
      </c>
      <c r="O165" s="190">
        <f ca="1">+G165</f>
        <v>8399763</v>
      </c>
      <c r="P165" s="190">
        <f ca="1">+O165-N165</f>
        <v>837459</v>
      </c>
      <c r="Q165" s="191">
        <f ca="1">IF(N165&lt;&gt;0,+P165/N165,0)</f>
        <v>0.11074125028562724</v>
      </c>
      <c r="R165" s="145"/>
      <c r="S165" s="145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</row>
    <row r="166" spans="1:33" x14ac:dyDescent="0.2"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</row>
    <row r="167" spans="1:33" x14ac:dyDescent="0.2">
      <c r="B167" s="192" t="s">
        <v>2953</v>
      </c>
      <c r="C167" s="193">
        <f t="shared" ref="C167:J167" ca="1" si="31">+C96-C159</f>
        <v>0</v>
      </c>
      <c r="D167" s="193">
        <f t="shared" ca="1" si="31"/>
        <v>0</v>
      </c>
      <c r="E167" s="193">
        <f t="shared" ca="1" si="31"/>
        <v>0</v>
      </c>
      <c r="F167" s="193">
        <f t="shared" ca="1" si="31"/>
        <v>0</v>
      </c>
      <c r="G167" s="193">
        <f t="shared" ca="1" si="31"/>
        <v>0</v>
      </c>
      <c r="H167" s="193">
        <f t="shared" ca="1" si="31"/>
        <v>0</v>
      </c>
      <c r="I167" s="193">
        <f t="shared" ca="1" si="31"/>
        <v>0</v>
      </c>
      <c r="J167" s="193">
        <f t="shared" ca="1" si="31"/>
        <v>0</v>
      </c>
      <c r="K167" s="145"/>
      <c r="L167" s="145"/>
      <c r="M167" s="145"/>
      <c r="N167" s="193">
        <f ca="1">+N96-N159</f>
        <v>0</v>
      </c>
      <c r="O167" s="193">
        <f ca="1">+O96-O159</f>
        <v>0</v>
      </c>
      <c r="P167" s="145"/>
      <c r="Q167" s="145"/>
      <c r="R167" s="145"/>
      <c r="S167" s="145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</row>
    <row r="168" spans="1:33" ht="15" x14ac:dyDescent="0.2">
      <c r="B168" s="194" t="s">
        <v>2954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</row>
    <row r="169" spans="1:33" x14ac:dyDescent="0.2">
      <c r="B169" s="19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</row>
    <row r="170" spans="1:33" ht="15" x14ac:dyDescent="0.2">
      <c r="B170" s="196" t="s">
        <v>2955</v>
      </c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</row>
    <row r="171" spans="1:33" x14ac:dyDescent="0.2"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</row>
    <row r="172" spans="1:33" x14ac:dyDescent="0.2"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</row>
    <row r="173" spans="1:33" x14ac:dyDescent="0.2"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</row>
    <row r="174" spans="1:33" x14ac:dyDescent="0.2"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</row>
    <row r="175" spans="1:33" x14ac:dyDescent="0.2"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</row>
    <row r="176" spans="1:33" x14ac:dyDescent="0.2"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</row>
    <row r="177" spans="3:33" x14ac:dyDescent="0.2"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</row>
    <row r="178" spans="3:33" x14ac:dyDescent="0.2"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</row>
    <row r="179" spans="3:33" x14ac:dyDescent="0.2"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</row>
    <row r="180" spans="3:33" x14ac:dyDescent="0.2"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</row>
    <row r="181" spans="3:33" x14ac:dyDescent="0.2"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</row>
    <row r="182" spans="3:33" x14ac:dyDescent="0.2"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</row>
    <row r="183" spans="3:33" x14ac:dyDescent="0.2"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</row>
    <row r="184" spans="3:33" x14ac:dyDescent="0.2"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</row>
    <row r="185" spans="3:33" x14ac:dyDescent="0.2"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</row>
    <row r="186" spans="3:33" x14ac:dyDescent="0.2"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</row>
    <row r="187" spans="3:33" x14ac:dyDescent="0.2"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</row>
    <row r="188" spans="3:33" x14ac:dyDescent="0.2"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</row>
    <row r="189" spans="3:33" x14ac:dyDescent="0.2"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</row>
    <row r="190" spans="3:33" x14ac:dyDescent="0.2"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</row>
    <row r="191" spans="3:33" x14ac:dyDescent="0.2"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</row>
    <row r="192" spans="3:33" x14ac:dyDescent="0.2"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</row>
    <row r="193" spans="3:33" x14ac:dyDescent="0.2"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</row>
    <row r="194" spans="3:33" x14ac:dyDescent="0.2"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</row>
    <row r="195" spans="3:33" x14ac:dyDescent="0.2"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</row>
    <row r="196" spans="3:33" x14ac:dyDescent="0.2"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</row>
    <row r="197" spans="3:33" x14ac:dyDescent="0.2"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</row>
    <row r="198" spans="3:33" x14ac:dyDescent="0.2"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</row>
    <row r="199" spans="3:33" x14ac:dyDescent="0.2"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</row>
    <row r="200" spans="3:33" x14ac:dyDescent="0.2"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</row>
    <row r="201" spans="3:33" x14ac:dyDescent="0.2"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</row>
    <row r="202" spans="3:33" x14ac:dyDescent="0.2"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</row>
    <row r="203" spans="3:33" x14ac:dyDescent="0.2"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</row>
    <row r="204" spans="3:33" x14ac:dyDescent="0.2"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</row>
    <row r="205" spans="3:33" x14ac:dyDescent="0.2"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</row>
    <row r="206" spans="3:33" x14ac:dyDescent="0.2"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</row>
    <row r="207" spans="3:33" x14ac:dyDescent="0.2"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</row>
    <row r="208" spans="3:33" x14ac:dyDescent="0.2"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</row>
    <row r="209" spans="3:33" x14ac:dyDescent="0.2"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</row>
    <row r="210" spans="3:33" x14ac:dyDescent="0.2"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</row>
    <row r="211" spans="3:33" x14ac:dyDescent="0.2"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</row>
    <row r="212" spans="3:33" x14ac:dyDescent="0.2"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</row>
    <row r="213" spans="3:33" x14ac:dyDescent="0.2"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</row>
    <row r="214" spans="3:33" x14ac:dyDescent="0.2"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</row>
    <row r="215" spans="3:33" x14ac:dyDescent="0.2"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</row>
    <row r="216" spans="3:33" x14ac:dyDescent="0.2"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</row>
    <row r="217" spans="3:33" x14ac:dyDescent="0.2"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</row>
    <row r="218" spans="3:33" x14ac:dyDescent="0.2"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</row>
    <row r="219" spans="3:33" x14ac:dyDescent="0.2"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</row>
    <row r="220" spans="3:33" x14ac:dyDescent="0.2"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</row>
    <row r="221" spans="3:33" x14ac:dyDescent="0.2"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</row>
    <row r="222" spans="3:33" x14ac:dyDescent="0.2"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</row>
    <row r="223" spans="3:33" x14ac:dyDescent="0.2"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</row>
    <row r="224" spans="3:33" x14ac:dyDescent="0.2"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</row>
    <row r="225" spans="3:33" x14ac:dyDescent="0.2"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</row>
    <row r="226" spans="3:33" x14ac:dyDescent="0.2"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</row>
    <row r="227" spans="3:33" x14ac:dyDescent="0.2"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</row>
    <row r="228" spans="3:33" x14ac:dyDescent="0.2"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</row>
    <row r="229" spans="3:33" x14ac:dyDescent="0.2"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</row>
    <row r="230" spans="3:33" x14ac:dyDescent="0.2"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</row>
    <row r="231" spans="3:33" x14ac:dyDescent="0.2"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</row>
    <row r="232" spans="3:33" x14ac:dyDescent="0.2"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</row>
    <row r="233" spans="3:33" x14ac:dyDescent="0.2"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</row>
    <row r="234" spans="3:33" x14ac:dyDescent="0.2"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</row>
    <row r="235" spans="3:33" x14ac:dyDescent="0.2"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</row>
    <row r="236" spans="3:33" x14ac:dyDescent="0.2"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</row>
    <row r="237" spans="3:33" x14ac:dyDescent="0.2"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</row>
    <row r="238" spans="3:33" x14ac:dyDescent="0.2"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</row>
    <row r="239" spans="3:33" x14ac:dyDescent="0.2"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</row>
    <row r="240" spans="3:33" x14ac:dyDescent="0.2"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</row>
    <row r="241" spans="3:33" x14ac:dyDescent="0.2"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</row>
    <row r="242" spans="3:33" x14ac:dyDescent="0.2"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</row>
    <row r="243" spans="3:33" x14ac:dyDescent="0.2"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</row>
    <row r="244" spans="3:33" x14ac:dyDescent="0.2"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</row>
    <row r="245" spans="3:33" x14ac:dyDescent="0.2"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</row>
    <row r="246" spans="3:33" x14ac:dyDescent="0.2"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</row>
    <row r="247" spans="3:33" x14ac:dyDescent="0.2"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</row>
    <row r="248" spans="3:33" x14ac:dyDescent="0.2"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</row>
    <row r="249" spans="3:33" x14ac:dyDescent="0.2"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</row>
    <row r="250" spans="3:33" x14ac:dyDescent="0.2"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</row>
    <row r="251" spans="3:33" x14ac:dyDescent="0.2"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</row>
    <row r="252" spans="3:33" x14ac:dyDescent="0.2"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</row>
    <row r="253" spans="3:33" x14ac:dyDescent="0.2"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</row>
    <row r="254" spans="3:33" x14ac:dyDescent="0.2"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</row>
    <row r="255" spans="3:33" x14ac:dyDescent="0.2"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</row>
    <row r="256" spans="3:33" x14ac:dyDescent="0.2"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</row>
    <row r="257" spans="3:33" x14ac:dyDescent="0.2"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</row>
    <row r="258" spans="3:33" x14ac:dyDescent="0.2"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</row>
    <row r="259" spans="3:33" x14ac:dyDescent="0.2"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</row>
    <row r="260" spans="3:33" x14ac:dyDescent="0.2"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</row>
    <row r="261" spans="3:33" x14ac:dyDescent="0.2"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</row>
    <row r="262" spans="3:33" x14ac:dyDescent="0.2"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</row>
    <row r="263" spans="3:33" x14ac:dyDescent="0.2"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</row>
    <row r="264" spans="3:33" x14ac:dyDescent="0.2"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</row>
    <row r="265" spans="3:33" x14ac:dyDescent="0.2"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</row>
    <row r="266" spans="3:33" x14ac:dyDescent="0.2"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</row>
    <row r="267" spans="3:33" x14ac:dyDescent="0.2"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</row>
    <row r="268" spans="3:33" x14ac:dyDescent="0.2"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</row>
    <row r="269" spans="3:33" x14ac:dyDescent="0.2"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</row>
    <row r="270" spans="3:33" x14ac:dyDescent="0.2"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</row>
    <row r="271" spans="3:33" x14ac:dyDescent="0.2"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</row>
    <row r="272" spans="3:33" x14ac:dyDescent="0.2"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</row>
    <row r="273" spans="3:33" x14ac:dyDescent="0.2"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</row>
    <row r="274" spans="3:33" x14ac:dyDescent="0.2"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</row>
    <row r="275" spans="3:33" x14ac:dyDescent="0.2"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</row>
    <row r="276" spans="3:33" x14ac:dyDescent="0.2"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</row>
    <row r="277" spans="3:33" x14ac:dyDescent="0.2"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</row>
    <row r="278" spans="3:33" x14ac:dyDescent="0.2"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</row>
    <row r="279" spans="3:33" x14ac:dyDescent="0.2"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</row>
    <row r="280" spans="3:33" x14ac:dyDescent="0.2"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</row>
    <row r="281" spans="3:33" x14ac:dyDescent="0.2"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</row>
    <row r="282" spans="3:33" x14ac:dyDescent="0.2"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</row>
    <row r="283" spans="3:33" x14ac:dyDescent="0.2"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</row>
    <row r="284" spans="3:33" x14ac:dyDescent="0.2"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</row>
    <row r="285" spans="3:33" x14ac:dyDescent="0.2"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</row>
    <row r="286" spans="3:33" x14ac:dyDescent="0.2"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</row>
    <row r="287" spans="3:33" x14ac:dyDescent="0.2"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</row>
    <row r="288" spans="3:33" x14ac:dyDescent="0.2"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</row>
    <row r="289" spans="3:33" x14ac:dyDescent="0.2"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</row>
    <row r="290" spans="3:33" x14ac:dyDescent="0.2"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</row>
    <row r="291" spans="3:33" x14ac:dyDescent="0.2"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</row>
    <row r="292" spans="3:33" x14ac:dyDescent="0.2"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</row>
    <row r="293" spans="3:33" x14ac:dyDescent="0.2"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</row>
    <row r="294" spans="3:33" x14ac:dyDescent="0.2"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</row>
    <row r="295" spans="3:33" x14ac:dyDescent="0.2"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</row>
    <row r="296" spans="3:33" x14ac:dyDescent="0.2"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</row>
    <row r="297" spans="3:33" x14ac:dyDescent="0.2"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</row>
    <row r="298" spans="3:33" x14ac:dyDescent="0.2"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</row>
    <row r="299" spans="3:33" x14ac:dyDescent="0.2"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</row>
    <row r="300" spans="3:33" x14ac:dyDescent="0.2"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</row>
    <row r="301" spans="3:33" x14ac:dyDescent="0.2"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</row>
    <row r="302" spans="3:33" x14ac:dyDescent="0.2"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</row>
    <row r="303" spans="3:33" x14ac:dyDescent="0.2"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/>
    </row>
  </sheetData>
  <sheetProtection password="9E7F" sheet="1" objects="1" scenarios="1"/>
  <pageMargins left="1.1812499999999999" right="0.78749999999999998" top="0" bottom="0" header="0.51180555555555551" footer="0.51180555555555551"/>
  <pageSetup paperSize="9" scale="36" firstPageNumber="0" orientation="landscape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096"/>
  <sheetViews>
    <sheetView showGridLines="0" topLeftCell="B443" zoomScale="90" zoomScaleNormal="90" zoomScaleSheetLayoutView="50" workbookViewId="0">
      <selection activeCell="L66" sqref="L66"/>
    </sheetView>
  </sheetViews>
  <sheetFormatPr defaultRowHeight="15" x14ac:dyDescent="0.25"/>
  <cols>
    <col min="1" max="1" width="32.42578125" hidden="1" customWidth="1"/>
    <col min="2" max="2" width="24.85546875" customWidth="1"/>
    <col min="3" max="3" width="34.85546875" customWidth="1"/>
    <col min="4" max="4" width="20" hidden="1" customWidth="1"/>
    <col min="5" max="5" width="10.28515625" hidden="1" customWidth="1"/>
    <col min="6" max="6" width="12.5703125" hidden="1" customWidth="1"/>
    <col min="7" max="7" width="9.7109375" hidden="1" customWidth="1"/>
    <col min="8" max="8" width="8.85546875" hidden="1" customWidth="1"/>
    <col min="9" max="9" width="12" hidden="1" customWidth="1"/>
    <col min="10" max="10" width="7.42578125" hidden="1" customWidth="1"/>
    <col min="11" max="11" width="12.5703125" hidden="1" customWidth="1"/>
    <col min="12" max="12" width="70.5703125" style="197" customWidth="1"/>
    <col min="13" max="13" width="2.85546875" customWidth="1"/>
    <col min="14" max="14" width="13.42578125" customWidth="1"/>
    <col min="15" max="15" width="14.42578125" customWidth="1"/>
    <col min="16" max="16" width="13.85546875" customWidth="1"/>
    <col min="17" max="17" width="17.5703125" hidden="1" customWidth="1"/>
    <col min="18" max="18" width="15.28515625" customWidth="1"/>
    <col min="19" max="19" width="15" customWidth="1"/>
    <col min="20" max="21" width="15.140625" customWidth="1"/>
    <col min="22" max="22" width="15.42578125" customWidth="1"/>
    <col min="23" max="23" width="21" customWidth="1"/>
    <col min="24" max="27" width="15" customWidth="1"/>
    <col min="28" max="28" width="15.140625" customWidth="1"/>
    <col min="29" max="29" width="15.28515625" customWidth="1"/>
    <col min="30" max="33" width="14.28515625" customWidth="1"/>
    <col min="34" max="36" width="13.5703125" customWidth="1"/>
    <col min="37" max="37" width="14.7109375" customWidth="1"/>
    <col min="38" max="38" width="13.28515625" customWidth="1"/>
  </cols>
  <sheetData>
    <row r="1" spans="1:40" s="199" customFormat="1" x14ac:dyDescent="0.25">
      <c r="A1" s="198"/>
      <c r="B1" s="198"/>
      <c r="D1" s="200">
        <v>1</v>
      </c>
      <c r="E1" s="201"/>
      <c r="F1" s="200"/>
      <c r="G1" s="201"/>
      <c r="H1" s="200"/>
      <c r="I1" s="201"/>
      <c r="J1" s="200">
        <v>7</v>
      </c>
      <c r="K1" s="201">
        <v>8</v>
      </c>
      <c r="L1" s="200">
        <v>9</v>
      </c>
      <c r="M1" s="201">
        <v>10</v>
      </c>
      <c r="N1" s="200">
        <v>11</v>
      </c>
      <c r="O1" s="201">
        <v>12</v>
      </c>
      <c r="P1" s="200">
        <v>13</v>
      </c>
      <c r="Q1" s="201">
        <v>14</v>
      </c>
      <c r="R1" s="202"/>
      <c r="S1" s="201">
        <v>16</v>
      </c>
      <c r="T1" s="200">
        <v>17</v>
      </c>
      <c r="U1" s="200"/>
      <c r="V1" s="201">
        <v>18</v>
      </c>
      <c r="W1" s="200">
        <v>19</v>
      </c>
      <c r="X1" s="200">
        <v>19</v>
      </c>
      <c r="Y1" s="201">
        <v>20</v>
      </c>
      <c r="Z1" s="200">
        <v>21</v>
      </c>
      <c r="AA1" s="201">
        <v>22</v>
      </c>
      <c r="AB1" s="200">
        <v>23</v>
      </c>
      <c r="AC1" s="201">
        <v>24</v>
      </c>
      <c r="AD1" s="200">
        <v>25</v>
      </c>
      <c r="AE1" s="201">
        <v>26</v>
      </c>
      <c r="AF1" s="200">
        <v>27</v>
      </c>
      <c r="AG1" s="201">
        <v>28</v>
      </c>
      <c r="AH1" s="200">
        <v>29</v>
      </c>
      <c r="AI1" s="201">
        <v>30</v>
      </c>
      <c r="AJ1" s="200">
        <v>31</v>
      </c>
      <c r="AK1" s="201">
        <v>32</v>
      </c>
      <c r="AL1" s="201">
        <v>33</v>
      </c>
      <c r="AM1" s="201">
        <v>34</v>
      </c>
      <c r="AN1" s="201">
        <v>35</v>
      </c>
    </row>
    <row r="2" spans="1:40" hidden="1" x14ac:dyDescent="0.25">
      <c r="A2" s="203"/>
      <c r="B2" s="203"/>
      <c r="N2">
        <v>0</v>
      </c>
      <c r="O2">
        <v>0</v>
      </c>
      <c r="P2">
        <v>0</v>
      </c>
      <c r="R2">
        <v>0</v>
      </c>
      <c r="S2">
        <v>0</v>
      </c>
      <c r="T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</row>
    <row r="3" spans="1:40" hidden="1" x14ac:dyDescent="0.25">
      <c r="A3" s="203"/>
      <c r="B3" s="203"/>
      <c r="N3">
        <v>0</v>
      </c>
      <c r="O3">
        <v>0</v>
      </c>
      <c r="P3">
        <v>0</v>
      </c>
      <c r="R3">
        <v>0</v>
      </c>
      <c r="S3">
        <v>0</v>
      </c>
      <c r="T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40" hidden="1" x14ac:dyDescent="0.25">
      <c r="A4" s="203"/>
      <c r="B4" s="203"/>
      <c r="N4">
        <v>0</v>
      </c>
      <c r="O4">
        <v>0</v>
      </c>
      <c r="P4">
        <v>0</v>
      </c>
      <c r="R4">
        <v>0</v>
      </c>
      <c r="S4">
        <v>0</v>
      </c>
      <c r="T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40" s="204" customFormat="1" ht="31.5" x14ac:dyDescent="0.25">
      <c r="C5" s="205" t="s">
        <v>2956</v>
      </c>
      <c r="D5" s="206" t="s">
        <v>72</v>
      </c>
      <c r="E5" s="206"/>
      <c r="F5" s="206"/>
      <c r="G5" s="207"/>
      <c r="H5" s="207"/>
      <c r="I5" s="207"/>
      <c r="J5" s="207" t="s">
        <v>2957</v>
      </c>
      <c r="K5" s="208" t="s">
        <v>2958</v>
      </c>
      <c r="L5" s="209" t="str">
        <f>"Tabelle allegate alla nota integrativa di: "&amp;Info!C2&amp;" Stato patrimoniale al 31/12/"&amp;Info!B3</f>
        <v>Tabelle allegate alla nota integrativa di: ASST DI CREMONA Stato patrimoniale al 31/12/2020</v>
      </c>
      <c r="M5" s="210"/>
      <c r="N5" s="210"/>
      <c r="O5" s="211"/>
      <c r="P5" s="211"/>
      <c r="Q5" s="203"/>
      <c r="R5" s="211"/>
      <c r="S5" s="212"/>
      <c r="T5" s="211"/>
      <c r="U5" s="211"/>
      <c r="V5" s="211"/>
      <c r="W5" s="211"/>
      <c r="X5" s="211"/>
      <c r="Y5" s="211"/>
      <c r="Z5" s="211"/>
      <c r="AA5" s="211"/>
    </row>
    <row r="6" spans="1:40" s="204" customFormat="1" ht="15.75" x14ac:dyDescent="0.25">
      <c r="C6" s="213"/>
      <c r="D6" s="213"/>
      <c r="E6" s="213"/>
      <c r="F6" s="213"/>
      <c r="G6" s="213"/>
      <c r="H6" s="214"/>
      <c r="I6" s="213"/>
      <c r="J6" s="213"/>
      <c r="K6" s="213"/>
      <c r="L6" s="912" t="s">
        <v>2959</v>
      </c>
      <c r="M6" s="912"/>
      <c r="N6" s="912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</row>
    <row r="7" spans="1:40" s="204" customFormat="1" ht="18" x14ac:dyDescent="0.25">
      <c r="C7" s="213"/>
      <c r="D7" s="213"/>
      <c r="E7" s="213"/>
      <c r="F7" s="213"/>
      <c r="G7" s="213"/>
      <c r="H7" s="214"/>
      <c r="I7" s="213"/>
      <c r="J7" s="213"/>
      <c r="K7" s="213"/>
      <c r="L7" s="215" t="s">
        <v>2960</v>
      </c>
      <c r="M7" s="210"/>
      <c r="N7" s="216"/>
      <c r="O7" s="216"/>
      <c r="P7" s="216"/>
      <c r="Q7" s="211"/>
      <c r="R7" s="216"/>
      <c r="S7" s="216"/>
      <c r="T7" s="216"/>
      <c r="U7" s="216"/>
      <c r="V7" s="216"/>
      <c r="W7" s="211"/>
      <c r="X7" s="211"/>
      <c r="Y7" s="211"/>
      <c r="Z7" s="211"/>
      <c r="AA7" s="211"/>
    </row>
    <row r="8" spans="1:40" s="204" customFormat="1" ht="18" x14ac:dyDescent="0.25">
      <c r="C8" s="213"/>
      <c r="D8" s="213"/>
      <c r="E8" s="213"/>
      <c r="F8" s="213"/>
      <c r="G8" s="213"/>
      <c r="H8" s="214"/>
      <c r="I8" s="213"/>
      <c r="J8" s="213"/>
      <c r="K8" s="213"/>
      <c r="L8" s="215"/>
      <c r="M8" s="210"/>
      <c r="N8" s="216"/>
      <c r="O8" s="216"/>
      <c r="P8" s="216"/>
      <c r="Q8" s="211"/>
      <c r="R8" s="216"/>
      <c r="S8" s="216"/>
      <c r="T8" s="216"/>
      <c r="U8" s="216"/>
      <c r="V8" s="216"/>
      <c r="W8" s="211"/>
      <c r="X8" s="211"/>
      <c r="Y8" s="211"/>
      <c r="Z8" s="211"/>
      <c r="AA8" s="211"/>
    </row>
    <row r="9" spans="1:40" s="204" customFormat="1" ht="18" x14ac:dyDescent="0.25">
      <c r="C9" s="217"/>
      <c r="D9" s="213"/>
      <c r="E9" s="213"/>
      <c r="F9" s="213"/>
      <c r="G9" s="213"/>
      <c r="H9" s="214"/>
      <c r="I9" s="213"/>
      <c r="J9" s="213"/>
      <c r="K9" s="213"/>
      <c r="L9" s="215"/>
      <c r="M9" s="210"/>
      <c r="N9" s="216"/>
      <c r="O9" s="216"/>
      <c r="P9" s="216"/>
      <c r="Q9" s="211"/>
      <c r="R9" s="216"/>
      <c r="S9" s="216"/>
      <c r="T9" s="216"/>
      <c r="U9" s="216"/>
      <c r="V9" s="216"/>
      <c r="W9" s="211"/>
      <c r="X9" s="211"/>
      <c r="Y9" s="211"/>
      <c r="Z9" s="211"/>
      <c r="AA9" s="211"/>
    </row>
    <row r="10" spans="1:40" s="204" customFormat="1" x14ac:dyDescent="0.25">
      <c r="A10" s="204">
        <f>N10-O10</f>
        <v>-18399672</v>
      </c>
      <c r="B10" s="218">
        <v>0</v>
      </c>
      <c r="C10" s="218" t="s">
        <v>109</v>
      </c>
      <c r="D10" s="219" t="s">
        <v>2961</v>
      </c>
      <c r="E10" s="219"/>
      <c r="F10" s="219"/>
      <c r="G10" s="219"/>
      <c r="H10" s="220"/>
      <c r="I10" s="219"/>
      <c r="J10" s="219"/>
      <c r="K10" s="219"/>
      <c r="L10" s="221" t="s">
        <v>112</v>
      </c>
      <c r="M10" s="222" t="s">
        <v>2962</v>
      </c>
      <c r="N10" s="223">
        <f>+N13+N512+N746</f>
        <v>213910168</v>
      </c>
      <c r="O10" s="223">
        <f>+O13+O512+O746</f>
        <v>232309840</v>
      </c>
      <c r="P10" s="223">
        <f>+O10-N10</f>
        <v>18399672</v>
      </c>
      <c r="Q10" s="211"/>
      <c r="R10" s="216"/>
      <c r="S10" s="224">
        <f>S13+S512+S746+S766</f>
        <v>0</v>
      </c>
      <c r="T10" s="225" t="str">
        <f>IF(S10&lt;&gt;0,"SQUADRATURA ATTIVO  PER GIROCONTI SU NUOVI CONTI SP","")</f>
        <v/>
      </c>
      <c r="U10" s="216"/>
      <c r="V10" s="216"/>
      <c r="W10" s="211"/>
      <c r="X10" s="211"/>
      <c r="Y10" s="211"/>
      <c r="Z10" s="211"/>
      <c r="AA10" s="211"/>
    </row>
    <row r="11" spans="1:40" s="204" customFormat="1" x14ac:dyDescent="0.25">
      <c r="B11" s="216"/>
      <c r="C11" s="216"/>
      <c r="D11" s="226"/>
      <c r="E11" s="226"/>
      <c r="F11" s="226"/>
      <c r="G11" s="226"/>
      <c r="H11" s="227"/>
      <c r="I11" s="226"/>
      <c r="J11" s="226"/>
      <c r="K11" s="226"/>
      <c r="L11" s="228"/>
      <c r="M11" s="229"/>
      <c r="N11" s="216"/>
      <c r="O11" s="216"/>
      <c r="P11" s="216"/>
      <c r="Q11" s="211"/>
      <c r="R11" s="216"/>
      <c r="S11" s="216"/>
      <c r="T11" s="216"/>
      <c r="U11" s="216"/>
      <c r="V11" s="216"/>
      <c r="W11" s="211"/>
      <c r="X11" s="211"/>
      <c r="Y11" s="211"/>
      <c r="Z11" s="211"/>
      <c r="AA11" s="211"/>
    </row>
    <row r="12" spans="1:40" s="204" customFormat="1" x14ac:dyDescent="0.25">
      <c r="B12" s="230"/>
      <c r="C12" s="230"/>
      <c r="D12" s="230"/>
      <c r="E12" s="230"/>
      <c r="F12" s="230"/>
      <c r="G12" s="230"/>
      <c r="H12" s="231"/>
      <c r="I12" s="230"/>
      <c r="J12" s="230"/>
      <c r="K12" s="230"/>
      <c r="L12" s="232"/>
      <c r="M12" s="211"/>
      <c r="N12" s="216"/>
      <c r="O12" s="216"/>
      <c r="P12" s="216"/>
      <c r="Q12" s="211"/>
      <c r="R12" s="216"/>
      <c r="S12" s="216"/>
      <c r="T12" s="216"/>
      <c r="U12" s="216"/>
      <c r="V12" s="216"/>
      <c r="W12" s="211"/>
      <c r="X12" s="211"/>
      <c r="Y12" s="211"/>
      <c r="Z12" s="211"/>
      <c r="AA12" s="211"/>
    </row>
    <row r="13" spans="1:40" s="204" customFormat="1" x14ac:dyDescent="0.25">
      <c r="A13" s="204">
        <f>N13-O13</f>
        <v>5615346</v>
      </c>
      <c r="B13" s="233" t="s">
        <v>113</v>
      </c>
      <c r="C13" s="233" t="s">
        <v>114</v>
      </c>
      <c r="D13" s="234" t="s">
        <v>2963</v>
      </c>
      <c r="E13" s="234"/>
      <c r="F13" s="234"/>
      <c r="G13" s="234"/>
      <c r="H13" s="235"/>
      <c r="I13" s="234"/>
      <c r="J13" s="234"/>
      <c r="K13" s="234"/>
      <c r="L13" s="236" t="s">
        <v>115</v>
      </c>
      <c r="M13" s="237" t="s">
        <v>2962</v>
      </c>
      <c r="N13" s="238">
        <f>+N16+N186+N482</f>
        <v>102579817</v>
      </c>
      <c r="O13" s="238">
        <f>+O16+O186+O482</f>
        <v>96964471</v>
      </c>
      <c r="P13" s="239">
        <f>+O13-N13</f>
        <v>-5615346</v>
      </c>
      <c r="Q13" s="211"/>
      <c r="R13" s="240"/>
      <c r="S13" s="224">
        <f>S16+S186+S481</f>
        <v>0</v>
      </c>
      <c r="T13" s="240"/>
      <c r="U13" s="240"/>
      <c r="V13" s="240"/>
      <c r="W13" s="211"/>
      <c r="X13" s="211"/>
      <c r="Y13" s="211"/>
      <c r="Z13" s="211"/>
      <c r="AA13" s="211"/>
    </row>
    <row r="14" spans="1:40" s="204" customFormat="1" x14ac:dyDescent="0.25">
      <c r="B14" s="216"/>
      <c r="C14" s="216"/>
      <c r="D14" s="226"/>
      <c r="E14" s="226"/>
      <c r="F14" s="226"/>
      <c r="G14" s="226"/>
      <c r="H14" s="227"/>
      <c r="I14" s="226"/>
      <c r="J14" s="226"/>
      <c r="K14" s="226"/>
      <c r="L14" s="241"/>
      <c r="M14" s="242"/>
      <c r="N14" s="240"/>
      <c r="O14" s="240"/>
      <c r="P14" s="211"/>
      <c r="Q14" s="211"/>
      <c r="R14" s="240"/>
      <c r="S14" s="240"/>
      <c r="T14" s="240"/>
      <c r="U14" s="240"/>
      <c r="V14" s="240"/>
      <c r="W14" s="211"/>
      <c r="X14" s="211"/>
      <c r="Y14" s="211"/>
      <c r="Z14" s="211"/>
      <c r="AA14" s="211"/>
    </row>
    <row r="15" spans="1:40" s="204" customFormat="1" ht="26.25" x14ac:dyDescent="0.25">
      <c r="B15" s="230"/>
      <c r="C15" s="230"/>
      <c r="D15" s="230"/>
      <c r="E15" s="230"/>
      <c r="F15" s="230"/>
      <c r="G15" s="230"/>
      <c r="H15" s="231"/>
      <c r="I15" s="230"/>
      <c r="J15" s="230"/>
      <c r="K15" s="230"/>
      <c r="L15" s="243"/>
      <c r="M15" s="244"/>
      <c r="N15" s="245" t="str">
        <f>'NI-San_SP'!N$15</f>
        <v>Valore netto al 31/12/2019</v>
      </c>
      <c r="O15" s="245" t="str">
        <f>"Valore netto al 31/12/"&amp;Info!B3</f>
        <v>Valore netto al 31/12/2020</v>
      </c>
      <c r="P15" s="245" t="str">
        <f>'NI-San_SP'!P$15</f>
        <v>Variazione</v>
      </c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40" s="204" customFormat="1" x14ac:dyDescent="0.25">
      <c r="B16" s="246" t="s">
        <v>116</v>
      </c>
      <c r="C16" s="246" t="s">
        <v>117</v>
      </c>
      <c r="D16" s="247" t="s">
        <v>2964</v>
      </c>
      <c r="E16" s="247"/>
      <c r="F16" s="247"/>
      <c r="G16" s="247"/>
      <c r="H16" s="248"/>
      <c r="I16" s="247"/>
      <c r="J16" s="247"/>
      <c r="K16" s="249"/>
      <c r="L16" s="250" t="s">
        <v>118</v>
      </c>
      <c r="M16" s="251" t="s">
        <v>2962</v>
      </c>
      <c r="N16" s="252">
        <f>+N20+N36+N51+N86+N94-N159</f>
        <v>1505977</v>
      </c>
      <c r="O16" s="252">
        <f>+O20+O36+O51+O86+O94-O159</f>
        <v>1902992</v>
      </c>
      <c r="P16" s="253">
        <f>+O16-N16</f>
        <v>397015</v>
      </c>
      <c r="Q16" s="211"/>
      <c r="R16" s="211"/>
      <c r="S16" s="224">
        <f>+S20+S36+S51+T86+S94-S159</f>
        <v>0</v>
      </c>
      <c r="T16" s="225" t="str">
        <f>IF(S16&lt;&gt;0,"SQUADRATURA ATTIVO A.I. PER GIROCONTI SU NUOVI CONTI SP","")</f>
        <v/>
      </c>
      <c r="U16" s="211"/>
      <c r="V16" s="211"/>
      <c r="W16" s="211"/>
      <c r="X16" s="224">
        <f>+X20+X36+X51+X86+X94-X159</f>
        <v>-916867</v>
      </c>
      <c r="Z16" s="211"/>
      <c r="AA16" s="211"/>
      <c r="AD16" s="224">
        <f>+AD22+AD38+AD53+AD69+AD94-AE86</f>
        <v>0</v>
      </c>
      <c r="AE16" s="211" t="s">
        <v>2965</v>
      </c>
    </row>
    <row r="17" spans="1:31" s="204" customFormat="1" x14ac:dyDescent="0.25">
      <c r="B17" s="230"/>
      <c r="C17" s="230"/>
      <c r="D17" s="230"/>
      <c r="E17" s="230"/>
      <c r="F17" s="230"/>
      <c r="G17" s="230"/>
      <c r="H17" s="231"/>
      <c r="I17" s="230"/>
      <c r="J17" s="230"/>
      <c r="K17" s="230"/>
      <c r="L17" s="232"/>
      <c r="M17" s="211"/>
      <c r="N17" s="254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31" s="204" customFormat="1" x14ac:dyDescent="0.25">
      <c r="B18" s="230"/>
      <c r="C18" s="230"/>
      <c r="D18" s="230"/>
      <c r="E18" s="230"/>
      <c r="F18" s="230"/>
      <c r="G18" s="230"/>
      <c r="H18" s="231"/>
      <c r="I18" s="230"/>
      <c r="J18" s="230"/>
      <c r="K18" s="230"/>
      <c r="L18" s="232"/>
      <c r="M18" s="211"/>
      <c r="N18" s="254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31" s="204" customFormat="1" ht="25.5" x14ac:dyDescent="0.25">
      <c r="B19" s="230"/>
      <c r="C19" s="230"/>
      <c r="D19" s="230"/>
      <c r="E19" s="230"/>
      <c r="F19" s="230"/>
      <c r="G19" s="230"/>
      <c r="H19" s="231"/>
      <c r="I19" s="230"/>
      <c r="J19" s="230"/>
      <c r="K19" s="230"/>
      <c r="L19" s="255"/>
      <c r="M19" s="244"/>
      <c r="N19" s="256" t="str">
        <f>N$15</f>
        <v>Valore netto al 31/12/2019</v>
      </c>
      <c r="O19" s="256" t="str">
        <f>O$15</f>
        <v>Valore netto al 31/12/2020</v>
      </c>
      <c r="P19" s="256" t="str">
        <f>P$15</f>
        <v>Variazione</v>
      </c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31" s="217" customFormat="1" x14ac:dyDescent="0.25">
      <c r="A20" s="204"/>
      <c r="B20" s="246" t="s">
        <v>119</v>
      </c>
      <c r="C20" s="246" t="s">
        <v>120</v>
      </c>
      <c r="D20" s="247" t="s">
        <v>2966</v>
      </c>
      <c r="E20" s="247"/>
      <c r="F20" s="247"/>
      <c r="G20" s="247"/>
      <c r="H20" s="248"/>
      <c r="I20" s="247"/>
      <c r="J20" s="247"/>
      <c r="K20" s="249"/>
      <c r="L20" s="257" t="s">
        <v>122</v>
      </c>
      <c r="M20" s="251" t="s">
        <v>2962</v>
      </c>
      <c r="N20" s="252">
        <f>+N22-N28</f>
        <v>0</v>
      </c>
      <c r="O20" s="252">
        <f>+O22-O28</f>
        <v>0</v>
      </c>
      <c r="P20" s="253">
        <f>+O20-N20</f>
        <v>0</v>
      </c>
      <c r="Q20" s="211"/>
      <c r="R20" s="211"/>
      <c r="S20" s="211"/>
      <c r="T20" s="211"/>
      <c r="U20" s="211"/>
      <c r="V20" s="211"/>
      <c r="W20" s="211"/>
      <c r="X20" s="252">
        <f>+X22-X28</f>
        <v>0</v>
      </c>
      <c r="Y20" s="211"/>
      <c r="Z20" s="211"/>
      <c r="AA20" s="211"/>
    </row>
    <row r="21" spans="1:31" s="204" customFormat="1" x14ac:dyDescent="0.25">
      <c r="B21" s="230"/>
      <c r="C21" s="230"/>
      <c r="D21" s="230"/>
      <c r="E21" s="230"/>
      <c r="F21" s="230"/>
      <c r="G21" s="230"/>
      <c r="H21" s="231"/>
      <c r="I21" s="230"/>
      <c r="J21" s="230"/>
      <c r="K21" s="230"/>
      <c r="L21" s="232"/>
      <c r="M21" s="211"/>
      <c r="N21" s="254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1:31" s="204" customFormat="1" x14ac:dyDescent="0.25">
      <c r="B22" s="246" t="s">
        <v>123</v>
      </c>
      <c r="C22" s="246" t="s">
        <v>124</v>
      </c>
      <c r="D22" s="247" t="s">
        <v>2967</v>
      </c>
      <c r="E22" s="247"/>
      <c r="F22" s="247"/>
      <c r="G22" s="247"/>
      <c r="H22" s="248"/>
      <c r="I22" s="247"/>
      <c r="J22" s="247"/>
      <c r="K22" s="249"/>
      <c r="L22" s="258" t="s">
        <v>127</v>
      </c>
      <c r="M22" s="251" t="s">
        <v>2962</v>
      </c>
      <c r="N22" s="252">
        <f>SUM(N25:N26)</f>
        <v>79200</v>
      </c>
      <c r="O22" s="252">
        <f>SUM(O25:O26)</f>
        <v>79200</v>
      </c>
      <c r="P22" s="259">
        <f>+O22-N22</f>
        <v>0</v>
      </c>
      <c r="Q22" s="252">
        <f>SUM(Q25:Q26)</f>
        <v>0</v>
      </c>
      <c r="R22" s="252">
        <f>SUM(R25:R26)</f>
        <v>79200</v>
      </c>
      <c r="S22" s="252">
        <f>SUM(S25:S26)</f>
        <v>0</v>
      </c>
      <c r="T22" s="252">
        <f>SUM(T25:T26)</f>
        <v>0</v>
      </c>
      <c r="U22" s="252">
        <f>SUM(U25:U26)</f>
        <v>0</v>
      </c>
      <c r="W22" s="252">
        <f>SUM(W25:W26)</f>
        <v>0</v>
      </c>
      <c r="X22" s="252">
        <f>SUM(X25:X26)</f>
        <v>0</v>
      </c>
      <c r="Y22" s="252">
        <f>SUM(Y25:Y26)</f>
        <v>0</v>
      </c>
      <c r="Z22" s="252">
        <f>SUM(AA25:AA26)</f>
        <v>0</v>
      </c>
      <c r="AA22" s="252">
        <f>SUM(Z25:Z26)</f>
        <v>0</v>
      </c>
      <c r="AB22" s="252">
        <f>SUM(AB25:AB26)</f>
        <v>0</v>
      </c>
      <c r="AC22" s="252">
        <f>SUM(AC25:AC26)</f>
        <v>0</v>
      </c>
      <c r="AD22" s="252">
        <f>SUM(AD25:AD26)</f>
        <v>0</v>
      </c>
      <c r="AE22" s="252">
        <f>SUM(AE25:AE26)</f>
        <v>0</v>
      </c>
    </row>
    <row r="23" spans="1:31" s="204" customFormat="1" x14ac:dyDescent="0.25">
      <c r="B23" s="230"/>
      <c r="C23" s="230"/>
      <c r="D23" s="230"/>
      <c r="E23" s="230"/>
      <c r="F23" s="230"/>
      <c r="G23" s="230"/>
      <c r="H23" s="231"/>
      <c r="I23" s="230"/>
      <c r="J23" s="230"/>
      <c r="K23" s="230"/>
      <c r="L23" s="232"/>
      <c r="M23" s="211"/>
      <c r="N23" s="254"/>
      <c r="O23" s="211"/>
      <c r="P23" s="211"/>
      <c r="Q23" s="211"/>
      <c r="W23" s="211"/>
      <c r="X23" s="211"/>
      <c r="Y23" s="211"/>
      <c r="Z23" s="211"/>
      <c r="AA23" s="211"/>
      <c r="AB23" s="211"/>
      <c r="AC23" s="211"/>
      <c r="AD23" s="211"/>
      <c r="AE23" s="211"/>
    </row>
    <row r="24" spans="1:31" s="204" customFormat="1" ht="63.75" x14ac:dyDescent="0.25">
      <c r="B24" s="260" t="s">
        <v>2968</v>
      </c>
      <c r="C24" s="260" t="s">
        <v>2969</v>
      </c>
      <c r="D24" s="206" t="s">
        <v>72</v>
      </c>
      <c r="E24" s="206"/>
      <c r="F24" s="206"/>
      <c r="G24" s="207"/>
      <c r="H24" s="207"/>
      <c r="I24" s="207"/>
      <c r="J24" s="207" t="s">
        <v>2957</v>
      </c>
      <c r="K24" s="206" t="s">
        <v>82</v>
      </c>
      <c r="L24" s="261" t="s">
        <v>2970</v>
      </c>
      <c r="M24" s="260"/>
      <c r="N24" s="256" t="str">
        <f>N$15</f>
        <v>Valore netto al 31/12/2019</v>
      </c>
      <c r="O24" s="256" t="str">
        <f>O$15</f>
        <v>Valore netto al 31/12/2020</v>
      </c>
      <c r="P24" s="256" t="str">
        <f>P$15</f>
        <v>Variazione</v>
      </c>
      <c r="Q24" s="262" t="s">
        <v>2971</v>
      </c>
      <c r="R24" s="262" t="str">
        <f>"Costo storico al 31/12/"&amp;Info!$B$3-1</f>
        <v>Costo storico al 31/12/2019</v>
      </c>
      <c r="S24" s="262" t="s">
        <v>2972</v>
      </c>
      <c r="T24" s="262" t="s">
        <v>2973</v>
      </c>
      <c r="U24" s="262" t="s">
        <v>2974</v>
      </c>
      <c r="W24" s="262" t="s">
        <v>2975</v>
      </c>
      <c r="X24" s="262" t="s">
        <v>2976</v>
      </c>
      <c r="Y24" s="262" t="s">
        <v>2977</v>
      </c>
      <c r="Z24" s="262" t="s">
        <v>2978</v>
      </c>
      <c r="AA24" s="262" t="s">
        <v>2979</v>
      </c>
      <c r="AB24" s="262" t="s">
        <v>2980</v>
      </c>
      <c r="AC24" s="262" t="s">
        <v>2981</v>
      </c>
      <c r="AD24" s="262" t="s">
        <v>2982</v>
      </c>
      <c r="AE24" s="262" t="s">
        <v>2983</v>
      </c>
    </row>
    <row r="25" spans="1:31" s="204" customFormat="1" x14ac:dyDescent="0.25">
      <c r="B25" s="246" t="s">
        <v>128</v>
      </c>
      <c r="C25" s="263" t="s">
        <v>129</v>
      </c>
      <c r="D25" s="264" t="s">
        <v>2984</v>
      </c>
      <c r="E25" s="264"/>
      <c r="F25" s="264"/>
      <c r="G25" s="265"/>
      <c r="H25" s="266"/>
      <c r="I25" s="267"/>
      <c r="J25" s="267"/>
      <c r="K25" s="267"/>
      <c r="L25" s="268" t="s">
        <v>2985</v>
      </c>
      <c r="M25" s="263" t="s">
        <v>2962</v>
      </c>
      <c r="N25" s="269">
        <f>+R25+T25-U25</f>
        <v>79200</v>
      </c>
      <c r="O25" s="270">
        <f>+N25+S25+X25+ABS(Y25)-ABS(AA25)+ABS(Z25)+ABS(AB25)+ABS(AD25)-ABS(AE25)+AC25+W25+Q25</f>
        <v>79200</v>
      </c>
      <c r="P25" s="271">
        <f>+O25-N25</f>
        <v>0</v>
      </c>
      <c r="Q25" s="272">
        <f>+'NI-San_SP'!Q25+'NI-Soc_SP'!Q25+'NI-Ric_SP'!Q25</f>
        <v>0</v>
      </c>
      <c r="R25" s="272">
        <f>+'NI-San_SP'!R25+'NI-Soc_SP'!R25+'NI-Ric_SP'!R25</f>
        <v>79200</v>
      </c>
      <c r="S25" s="272">
        <f>+'NI-San_SP'!S25+'NI-Soc_SP'!T25+'NI-Ric_SP'!T25</f>
        <v>0</v>
      </c>
      <c r="T25" s="272">
        <f>+'NI-San_SP'!T25+'NI-Soc_SP'!T25+'NI-Ric_SP'!T25</f>
        <v>0</v>
      </c>
      <c r="U25" s="272">
        <f>+'NI-San_SP'!U25+'NI-Soc_SP'!U25+'NI-Ric_SP'!U25</f>
        <v>0</v>
      </c>
      <c r="W25" s="272">
        <f>+'NI-San_SP'!W25+'NI-Soc_SP'!W25+'NI-Ric_SP'!W25</f>
        <v>0</v>
      </c>
      <c r="X25" s="272">
        <f>+'NI-San_SP'!X25+'NI-Soc_SP'!X25+'NI-Ric_SP'!X25</f>
        <v>0</v>
      </c>
      <c r="Y25" s="272">
        <f>+'NI-San_SP'!Y25+'NI-Soc_SP'!Y25+'NI-Ric_SP'!Y25</f>
        <v>0</v>
      </c>
      <c r="Z25" s="272">
        <f>+'NI-San_SP'!Z25+'NI-Soc_SP'!Z25+'NI-Ric_SP'!Z25</f>
        <v>0</v>
      </c>
      <c r="AA25" s="272">
        <f>+'NI-San_SP'!AA25+'NI-Soc_SP'!AA25+'NI-Ric_SP'!AA25</f>
        <v>0</v>
      </c>
      <c r="AB25" s="272">
        <f>+'NI-San_SP'!AB25+'NI-Soc_SP'!AB25+'NI-Ric_SP'!AB25</f>
        <v>0</v>
      </c>
      <c r="AC25" s="272">
        <f>+'NI-San_SP'!AC25+'NI-Soc_SP'!AC25+'NI-Ric_SP'!AC25</f>
        <v>0</v>
      </c>
      <c r="AD25" s="272">
        <f>+'NI-San_SP'!AD25+'NI-Soc_SP'!AD25+'NI-Ric_SP'!AD25</f>
        <v>0</v>
      </c>
      <c r="AE25" s="272">
        <f>+'NI-San_SP'!AE25+'NI-Soc_SP'!AE25+'NI-Ric_SP'!AE25</f>
        <v>0</v>
      </c>
    </row>
    <row r="26" spans="1:31" s="204" customFormat="1" x14ac:dyDescent="0.25">
      <c r="B26" s="246" t="s">
        <v>131</v>
      </c>
      <c r="C26" s="273" t="s">
        <v>132</v>
      </c>
      <c r="D26" s="274" t="s">
        <v>2986</v>
      </c>
      <c r="E26" s="264"/>
      <c r="F26" s="264"/>
      <c r="G26" s="265"/>
      <c r="H26" s="266"/>
      <c r="I26" s="267"/>
      <c r="J26" s="267"/>
      <c r="K26" s="267"/>
      <c r="L26" s="268" t="s">
        <v>2987</v>
      </c>
      <c r="M26" s="263" t="s">
        <v>2962</v>
      </c>
      <c r="N26" s="269">
        <f>+R26+T26-U26</f>
        <v>0</v>
      </c>
      <c r="O26" s="270">
        <f>+N26+S26+X26+ABS(Y26)-ABS(AA26)+ABS(Z26)+ABS(AB26)+ABS(AD26)-ABS(AE26)+AC26+W26+Q26</f>
        <v>0</v>
      </c>
      <c r="P26" s="271">
        <f>+O26-N26</f>
        <v>0</v>
      </c>
      <c r="Q26" s="272">
        <f>+'NI-San_SP'!Q26+'NI-Soc_SP'!Q26+'NI-Ric_SP'!Q26</f>
        <v>0</v>
      </c>
      <c r="R26" s="272">
        <f>+'NI-San_SP'!R26+'NI-Soc_SP'!R26+'NI-Ric_SP'!R26</f>
        <v>0</v>
      </c>
      <c r="S26" s="272">
        <f>+'NI-San_SP'!S26+'NI-Soc_SP'!T26+'NI-Ric_SP'!T26</f>
        <v>0</v>
      </c>
      <c r="T26" s="272">
        <f>+'NI-San_SP'!T26+'NI-Soc_SP'!T26+'NI-Ric_SP'!T26</f>
        <v>0</v>
      </c>
      <c r="U26" s="272">
        <f>+'NI-San_SP'!U26+'NI-Soc_SP'!U26+'NI-Ric_SP'!U26</f>
        <v>0</v>
      </c>
      <c r="W26" s="272">
        <f>+'NI-San_SP'!W26+'NI-Soc_SP'!W26+'NI-Ric_SP'!W26</f>
        <v>0</v>
      </c>
      <c r="X26" s="272">
        <f>+'NI-San_SP'!X26+'NI-Soc_SP'!X26+'NI-Ric_SP'!X26</f>
        <v>0</v>
      </c>
      <c r="Y26" s="272">
        <f>+'NI-San_SP'!Y26+'NI-Soc_SP'!Y26+'NI-Ric_SP'!Y26</f>
        <v>0</v>
      </c>
      <c r="Z26" s="272">
        <f>+'NI-San_SP'!Z26+'NI-Soc_SP'!Z26+'NI-Ric_SP'!Z26</f>
        <v>0</v>
      </c>
      <c r="AA26" s="272">
        <f>+'NI-San_SP'!AA26+'NI-Soc_SP'!AA26+'NI-Ric_SP'!AA26</f>
        <v>0</v>
      </c>
      <c r="AB26" s="272">
        <f>+'NI-San_SP'!AB26+'NI-Soc_SP'!AB26+'NI-Ric_SP'!AB26</f>
        <v>0</v>
      </c>
      <c r="AC26" s="272">
        <f>+'NI-San_SP'!AC26+'NI-Soc_SP'!AC26+'NI-Ric_SP'!AC26</f>
        <v>0</v>
      </c>
      <c r="AD26" s="272">
        <f>+'NI-San_SP'!AD26+'NI-Soc_SP'!AD26+'NI-Ric_SP'!AD26</f>
        <v>0</v>
      </c>
      <c r="AE26" s="272">
        <f>+'NI-San_SP'!AE26+'NI-Soc_SP'!AE26+'NI-Ric_SP'!AE26</f>
        <v>0</v>
      </c>
    </row>
    <row r="27" spans="1:31" s="204" customFormat="1" x14ac:dyDescent="0.25">
      <c r="B27" s="230"/>
      <c r="C27" s="230"/>
      <c r="D27" s="230"/>
      <c r="E27" s="230"/>
      <c r="F27" s="230"/>
      <c r="G27" s="230"/>
      <c r="H27" s="231"/>
      <c r="I27" s="230"/>
      <c r="J27" s="230"/>
      <c r="K27" s="230"/>
      <c r="L27" s="275"/>
      <c r="M27" s="211"/>
      <c r="N27" s="254"/>
      <c r="O27" s="211"/>
      <c r="P27" s="211"/>
      <c r="Q27" s="211"/>
      <c r="R27" s="211"/>
      <c r="S27" s="216"/>
      <c r="T27" s="216"/>
      <c r="U27" s="216"/>
      <c r="V27" s="216"/>
      <c r="W27" s="211"/>
      <c r="X27" s="211"/>
      <c r="Y27" s="211"/>
      <c r="Z27" s="211"/>
      <c r="AA27" s="211"/>
    </row>
    <row r="28" spans="1:31" s="204" customFormat="1" x14ac:dyDescent="0.25">
      <c r="B28" s="246" t="s">
        <v>134</v>
      </c>
      <c r="C28" s="246" t="s">
        <v>135</v>
      </c>
      <c r="D28" s="247" t="s">
        <v>2988</v>
      </c>
      <c r="E28" s="247"/>
      <c r="F28" s="247"/>
      <c r="G28" s="247"/>
      <c r="H28" s="248"/>
      <c r="I28" s="247"/>
      <c r="J28" s="247"/>
      <c r="K28" s="249"/>
      <c r="L28" s="276" t="s">
        <v>138</v>
      </c>
      <c r="M28" s="251" t="s">
        <v>2962</v>
      </c>
      <c r="N28" s="252">
        <f>SUM(N31:N32)</f>
        <v>79200</v>
      </c>
      <c r="O28" s="252">
        <f>SUM(O31:O32)</f>
        <v>79200</v>
      </c>
      <c r="P28" s="259">
        <f>+O28-N28</f>
        <v>0</v>
      </c>
      <c r="Q28" s="252">
        <f>SUM(Q31:Q32)</f>
        <v>0</v>
      </c>
      <c r="R28" s="252">
        <f>SUM(R31:R32)</f>
        <v>79200</v>
      </c>
      <c r="S28" s="252">
        <f>SUM(S31:S32)</f>
        <v>0</v>
      </c>
      <c r="V28" s="211"/>
      <c r="W28" s="252">
        <f>SUM(W31:W32)</f>
        <v>0</v>
      </c>
      <c r="X28" s="252">
        <f>SUM(X31:X32)</f>
        <v>0</v>
      </c>
      <c r="Y28" s="252">
        <f>SUM(Y31:Y32)</f>
        <v>0</v>
      </c>
      <c r="Z28" s="252">
        <f>SUM(Z31:Z32)</f>
        <v>0</v>
      </c>
      <c r="AA28" s="211"/>
    </row>
    <row r="29" spans="1:31" s="204" customFormat="1" x14ac:dyDescent="0.25">
      <c r="B29" s="230"/>
      <c r="C29" s="230"/>
      <c r="D29" s="230"/>
      <c r="E29" s="230"/>
      <c r="F29" s="230"/>
      <c r="G29" s="230"/>
      <c r="H29" s="231"/>
      <c r="I29" s="230"/>
      <c r="J29" s="230"/>
      <c r="K29" s="230"/>
      <c r="L29" s="232"/>
      <c r="M29" s="211"/>
      <c r="N29" s="211"/>
      <c r="O29" s="211"/>
      <c r="P29" s="211"/>
      <c r="Q29" s="211"/>
      <c r="V29" s="211"/>
      <c r="W29" s="211"/>
      <c r="X29" s="211"/>
      <c r="Y29" s="211"/>
      <c r="Z29" s="211"/>
      <c r="AA29" s="211"/>
    </row>
    <row r="30" spans="1:31" s="204" customFormat="1" ht="63.75" x14ac:dyDescent="0.25">
      <c r="B30" s="260" t="s">
        <v>2968</v>
      </c>
      <c r="C30" s="260" t="s">
        <v>2969</v>
      </c>
      <c r="D30" s="206" t="s">
        <v>72</v>
      </c>
      <c r="E30" s="206"/>
      <c r="F30" s="206"/>
      <c r="G30" s="207"/>
      <c r="H30" s="207"/>
      <c r="I30" s="207"/>
      <c r="J30" s="207" t="s">
        <v>2957</v>
      </c>
      <c r="K30" s="206" t="s">
        <v>82</v>
      </c>
      <c r="L30" s="261" t="s">
        <v>2970</v>
      </c>
      <c r="M30" s="260"/>
      <c r="N30" s="256" t="str">
        <f>N$15</f>
        <v>Valore netto al 31/12/2019</v>
      </c>
      <c r="O30" s="256" t="str">
        <f>O$15</f>
        <v>Valore netto al 31/12/2020</v>
      </c>
      <c r="P30" s="256" t="str">
        <f>P$15</f>
        <v>Variazione</v>
      </c>
      <c r="Q30" s="262" t="s">
        <v>2971</v>
      </c>
      <c r="R30" s="262" t="str">
        <f>"Fondo ammortamento 31/12/"&amp;Info!$B$3-1</f>
        <v>Fondo ammortamento 31/12/2019</v>
      </c>
      <c r="S30" s="262" t="s">
        <v>2972</v>
      </c>
      <c r="V30" s="211"/>
      <c r="W30" s="262" t="s">
        <v>2975</v>
      </c>
      <c r="X30" s="262" t="s">
        <v>2976</v>
      </c>
      <c r="Y30" s="262" t="s">
        <v>2989</v>
      </c>
      <c r="Z30" s="262" t="s">
        <v>2990</v>
      </c>
      <c r="AA30" s="211"/>
    </row>
    <row r="31" spans="1:31" s="204" customFormat="1" x14ac:dyDescent="0.25">
      <c r="B31" s="246" t="s">
        <v>139</v>
      </c>
      <c r="C31" s="263" t="s">
        <v>140</v>
      </c>
      <c r="D31" s="264" t="s">
        <v>2991</v>
      </c>
      <c r="E31" s="264"/>
      <c r="F31" s="264"/>
      <c r="G31" s="265"/>
      <c r="H31" s="266"/>
      <c r="I31" s="267"/>
      <c r="J31" s="267"/>
      <c r="K31" s="267"/>
      <c r="L31" s="268" t="s">
        <v>2992</v>
      </c>
      <c r="M31" s="263" t="s">
        <v>2962</v>
      </c>
      <c r="N31" s="269">
        <f>+R31</f>
        <v>79200</v>
      </c>
      <c r="O31" s="270">
        <f>+R31+S31+X31-ABS(Y31)+ABS(Z31)+W31+Q31</f>
        <v>79200</v>
      </c>
      <c r="P31" s="271">
        <f>+O31-N31</f>
        <v>0</v>
      </c>
      <c r="Q31" s="272">
        <f>+'NI-San_SP'!Q31+'NI-Soc_SP'!Q31+'NI-Ric_SP'!Q31</f>
        <v>0</v>
      </c>
      <c r="R31" s="272">
        <f>+'NI-San_SP'!R31+'NI-Soc_SP'!R31+'NI-Ric_SP'!R31</f>
        <v>79200</v>
      </c>
      <c r="S31" s="272">
        <f>+'NI-San_SP'!S31+'NI-Soc_SP'!S31+'NI-Ric_SP'!S31</f>
        <v>0</v>
      </c>
      <c r="V31" s="211"/>
      <c r="W31" s="272">
        <f>+'NI-San_SP'!W31+'NI-Soc_SP'!W31+'NI-Ric_SP'!W31</f>
        <v>0</v>
      </c>
      <c r="X31" s="272">
        <f>+'NI-San_SP'!X31+'NI-Soc_SP'!X31+'NI-Ric_SP'!X31</f>
        <v>0</v>
      </c>
      <c r="Y31" s="272">
        <f>+'NI-San_SP'!Y31+'NI-Soc_SP'!Y31+'NI-Ric_SP'!Y31</f>
        <v>0</v>
      </c>
      <c r="Z31" s="272">
        <f>+'NI-San_SP'!Z31+'NI-Soc_SP'!Z31+'NI-Ric_SP'!Z31</f>
        <v>0</v>
      </c>
      <c r="AA31" s="211"/>
    </row>
    <row r="32" spans="1:31" s="204" customFormat="1" x14ac:dyDescent="0.25">
      <c r="B32" s="246" t="s">
        <v>142</v>
      </c>
      <c r="C32" s="273" t="s">
        <v>143</v>
      </c>
      <c r="D32" s="274" t="s">
        <v>2993</v>
      </c>
      <c r="E32" s="264"/>
      <c r="F32" s="264"/>
      <c r="G32" s="265"/>
      <c r="H32" s="266"/>
      <c r="I32" s="267"/>
      <c r="J32" s="267"/>
      <c r="K32" s="267"/>
      <c r="L32" s="268" t="s">
        <v>2994</v>
      </c>
      <c r="M32" s="263" t="s">
        <v>2962</v>
      </c>
      <c r="N32" s="269">
        <f>+R32</f>
        <v>0</v>
      </c>
      <c r="O32" s="270">
        <f>+R32+S32+X32-ABS(Y32)+ABS(Z32)+W32+Q32</f>
        <v>0</v>
      </c>
      <c r="P32" s="271">
        <f>+O32-N32</f>
        <v>0</v>
      </c>
      <c r="Q32" s="272">
        <f>+'NI-San_SP'!Q32+'NI-Soc_SP'!Q32+'NI-Ric_SP'!Q32</f>
        <v>0</v>
      </c>
      <c r="R32" s="272">
        <f>+'NI-San_SP'!R32+'NI-Soc_SP'!R32+'NI-Ric_SP'!R32</f>
        <v>0</v>
      </c>
      <c r="S32" s="272">
        <f>+'NI-San_SP'!S32+'NI-Soc_SP'!S32+'NI-Ric_SP'!S32</f>
        <v>0</v>
      </c>
      <c r="V32" s="211"/>
      <c r="W32" s="272">
        <f>+'NI-San_SP'!W32+'NI-Soc_SP'!W32+'NI-Ric_SP'!W32</f>
        <v>0</v>
      </c>
      <c r="X32" s="272">
        <f>+'NI-San_SP'!X32+'NI-Soc_SP'!X32+'NI-Ric_SP'!X32</f>
        <v>0</v>
      </c>
      <c r="Y32" s="272">
        <f>+'NI-San_SP'!Y32+'NI-Soc_SP'!Y32+'NI-Ric_SP'!Y32</f>
        <v>0</v>
      </c>
      <c r="Z32" s="272">
        <f>+'NI-San_SP'!Z32+'NI-Soc_SP'!Z32+'NI-Ric_SP'!Z32</f>
        <v>0</v>
      </c>
      <c r="AA32" s="211"/>
    </row>
    <row r="33" spans="2:31" s="204" customFormat="1" x14ac:dyDescent="0.25">
      <c r="B33" s="230"/>
      <c r="C33" s="230"/>
      <c r="D33" s="230"/>
      <c r="E33" s="230"/>
      <c r="F33" s="230"/>
      <c r="G33" s="230"/>
      <c r="H33" s="231"/>
      <c r="I33" s="230"/>
      <c r="J33" s="230"/>
      <c r="K33" s="230"/>
      <c r="L33" s="232"/>
      <c r="M33" s="211"/>
      <c r="N33" s="254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2:31" s="204" customFormat="1" x14ac:dyDescent="0.25">
      <c r="B34" s="230"/>
      <c r="C34" s="230"/>
      <c r="D34" s="230"/>
      <c r="E34" s="230"/>
      <c r="F34" s="230"/>
      <c r="G34" s="230"/>
      <c r="H34" s="231"/>
      <c r="I34" s="230"/>
      <c r="J34" s="230"/>
      <c r="K34" s="230"/>
      <c r="L34" s="232"/>
      <c r="M34" s="211"/>
      <c r="N34" s="254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2:31" s="204" customFormat="1" ht="25.5" x14ac:dyDescent="0.25">
      <c r="B35" s="230"/>
      <c r="C35" s="230"/>
      <c r="D35" s="230"/>
      <c r="E35" s="230"/>
      <c r="F35" s="230"/>
      <c r="G35" s="230"/>
      <c r="H35" s="231"/>
      <c r="I35" s="230"/>
      <c r="J35" s="230"/>
      <c r="K35" s="230"/>
      <c r="L35" s="255"/>
      <c r="M35" s="244"/>
      <c r="N35" s="256" t="str">
        <f>N$15</f>
        <v>Valore netto al 31/12/2019</v>
      </c>
      <c r="O35" s="256" t="str">
        <f>O$15</f>
        <v>Valore netto al 31/12/2020</v>
      </c>
      <c r="P35" s="256" t="str">
        <f>P$15</f>
        <v>Variazione</v>
      </c>
      <c r="Q35" s="216"/>
      <c r="R35" s="216"/>
      <c r="S35" s="216"/>
      <c r="T35" s="216"/>
      <c r="U35" s="216"/>
      <c r="V35" s="216"/>
      <c r="W35" s="211"/>
      <c r="X35" s="211"/>
      <c r="Y35" s="211"/>
      <c r="Z35" s="211"/>
      <c r="AA35" s="211"/>
    </row>
    <row r="36" spans="2:31" s="204" customFormat="1" x14ac:dyDescent="0.25">
      <c r="B36" s="246" t="s">
        <v>145</v>
      </c>
      <c r="C36" s="246" t="s">
        <v>146</v>
      </c>
      <c r="D36" s="247" t="s">
        <v>2995</v>
      </c>
      <c r="E36" s="247"/>
      <c r="F36" s="247"/>
      <c r="G36" s="247"/>
      <c r="H36" s="248"/>
      <c r="I36" s="247"/>
      <c r="J36" s="247"/>
      <c r="K36" s="249"/>
      <c r="L36" s="257" t="s">
        <v>148</v>
      </c>
      <c r="M36" s="251" t="s">
        <v>2962</v>
      </c>
      <c r="N36" s="252">
        <f>+N38-N44</f>
        <v>0</v>
      </c>
      <c r="O36" s="252">
        <f>+O38-O44</f>
        <v>0</v>
      </c>
      <c r="P36" s="253">
        <f>+O36-N36</f>
        <v>0</v>
      </c>
      <c r="Q36" s="216"/>
      <c r="R36" s="216"/>
      <c r="S36" s="216"/>
      <c r="T36" s="216"/>
      <c r="U36" s="216"/>
      <c r="V36" s="216"/>
      <c r="W36" s="211"/>
      <c r="X36" s="252">
        <f>+X38-X44</f>
        <v>0</v>
      </c>
      <c r="Y36" s="211"/>
      <c r="Z36" s="211"/>
      <c r="AA36" s="211"/>
    </row>
    <row r="37" spans="2:31" s="204" customFormat="1" x14ac:dyDescent="0.25">
      <c r="B37" s="230"/>
      <c r="C37" s="230"/>
      <c r="D37" s="230"/>
      <c r="E37" s="230"/>
      <c r="F37" s="230"/>
      <c r="G37" s="230"/>
      <c r="H37" s="231"/>
      <c r="I37" s="230"/>
      <c r="J37" s="230"/>
      <c r="K37" s="230"/>
      <c r="L37" s="277"/>
      <c r="M37" s="278"/>
      <c r="N37" s="279"/>
      <c r="O37" s="211"/>
      <c r="P37" s="211"/>
      <c r="Q37" s="211"/>
      <c r="R37" s="216"/>
      <c r="S37" s="216"/>
      <c r="T37" s="216"/>
      <c r="U37" s="216"/>
      <c r="V37" s="216"/>
      <c r="W37" s="211"/>
      <c r="X37" s="211"/>
      <c r="Y37" s="211"/>
      <c r="Z37" s="211"/>
      <c r="AA37" s="211"/>
    </row>
    <row r="38" spans="2:31" s="204" customFormat="1" x14ac:dyDescent="0.25">
      <c r="B38" s="246" t="s">
        <v>149</v>
      </c>
      <c r="C38" s="246" t="s">
        <v>150</v>
      </c>
      <c r="D38" s="247" t="s">
        <v>2996</v>
      </c>
      <c r="E38" s="247"/>
      <c r="F38" s="247"/>
      <c r="G38" s="247"/>
      <c r="H38" s="248"/>
      <c r="I38" s="247"/>
      <c r="J38" s="247"/>
      <c r="K38" s="249"/>
      <c r="L38" s="276" t="s">
        <v>153</v>
      </c>
      <c r="M38" s="251" t="s">
        <v>2962</v>
      </c>
      <c r="N38" s="252">
        <f>SUM(N41:N42)</f>
        <v>0</v>
      </c>
      <c r="O38" s="252">
        <f>SUM(O41:O42)</f>
        <v>0</v>
      </c>
      <c r="P38" s="259">
        <f>+O38-N38</f>
        <v>0</v>
      </c>
      <c r="Q38" s="252">
        <f>SUM(Q41:Q42)</f>
        <v>0</v>
      </c>
      <c r="R38" s="252">
        <f>SUM(R41:R42)</f>
        <v>0</v>
      </c>
      <c r="S38" s="252">
        <f>SUM(T41:T42)</f>
        <v>0</v>
      </c>
      <c r="T38" s="252">
        <f>SUM(U41:U42)</f>
        <v>0</v>
      </c>
      <c r="U38" s="252">
        <f>SUM(V41:V42)</f>
        <v>0</v>
      </c>
      <c r="V38" s="216"/>
      <c r="W38" s="252">
        <f t="shared" ref="W38:AE38" si="0">SUM(W41:W42)</f>
        <v>0</v>
      </c>
      <c r="X38" s="252">
        <f t="shared" si="0"/>
        <v>0</v>
      </c>
      <c r="Y38" s="252">
        <f t="shared" si="0"/>
        <v>0</v>
      </c>
      <c r="Z38" s="252">
        <f t="shared" si="0"/>
        <v>0</v>
      </c>
      <c r="AA38" s="252">
        <f t="shared" si="0"/>
        <v>0</v>
      </c>
      <c r="AB38" s="252">
        <f t="shared" si="0"/>
        <v>0</v>
      </c>
      <c r="AC38" s="252">
        <f t="shared" si="0"/>
        <v>0</v>
      </c>
      <c r="AD38" s="252">
        <f t="shared" si="0"/>
        <v>0</v>
      </c>
      <c r="AE38" s="252">
        <f t="shared" si="0"/>
        <v>0</v>
      </c>
    </row>
    <row r="39" spans="2:31" s="204" customFormat="1" x14ac:dyDescent="0.25">
      <c r="B39" s="230"/>
      <c r="C39" s="230"/>
      <c r="D39" s="230"/>
      <c r="E39" s="230"/>
      <c r="F39" s="230"/>
      <c r="G39" s="230"/>
      <c r="H39" s="231"/>
      <c r="I39" s="230"/>
      <c r="J39" s="230"/>
      <c r="K39" s="230"/>
      <c r="L39" s="277"/>
      <c r="M39" s="278"/>
      <c r="N39" s="279"/>
      <c r="O39" s="211"/>
      <c r="P39" s="211"/>
      <c r="Q39" s="211"/>
      <c r="R39" s="216"/>
      <c r="S39" s="216"/>
      <c r="T39" s="216"/>
      <c r="U39" s="216"/>
      <c r="V39" s="216"/>
      <c r="W39" s="211"/>
      <c r="X39" s="211"/>
      <c r="Y39" s="211"/>
      <c r="Z39" s="211"/>
      <c r="AA39" s="211"/>
    </row>
    <row r="40" spans="2:31" s="204" customFormat="1" ht="63.75" x14ac:dyDescent="0.25">
      <c r="B40" s="260" t="s">
        <v>2968</v>
      </c>
      <c r="C40" s="260" t="s">
        <v>2969</v>
      </c>
      <c r="D40" s="206" t="s">
        <v>72</v>
      </c>
      <c r="E40" s="206"/>
      <c r="F40" s="206"/>
      <c r="G40" s="207"/>
      <c r="H40" s="207"/>
      <c r="I40" s="207"/>
      <c r="J40" s="207" t="s">
        <v>2957</v>
      </c>
      <c r="K40" s="206" t="s">
        <v>82</v>
      </c>
      <c r="L40" s="261" t="s">
        <v>2970</v>
      </c>
      <c r="M40" s="280"/>
      <c r="N40" s="256" t="str">
        <f>N$15</f>
        <v>Valore netto al 31/12/2019</v>
      </c>
      <c r="O40" s="256" t="str">
        <f>O$15</f>
        <v>Valore netto al 31/12/2020</v>
      </c>
      <c r="P40" s="256" t="str">
        <f>P$15</f>
        <v>Variazione</v>
      </c>
      <c r="Q40" s="262" t="s">
        <v>2971</v>
      </c>
      <c r="R40" s="262" t="str">
        <f>"Costo storico al 31/12/"&amp;Info!$B$3-1</f>
        <v>Costo storico al 31/12/2019</v>
      </c>
      <c r="S40" s="262" t="s">
        <v>2972</v>
      </c>
      <c r="T40" s="262" t="s">
        <v>2973</v>
      </c>
      <c r="U40" s="262" t="s">
        <v>2974</v>
      </c>
      <c r="W40" s="262" t="s">
        <v>2975</v>
      </c>
      <c r="X40" s="262" t="s">
        <v>2976</v>
      </c>
      <c r="Y40" s="262" t="s">
        <v>2977</v>
      </c>
      <c r="Z40" s="262" t="s">
        <v>2978</v>
      </c>
      <c r="AA40" s="262" t="s">
        <v>2979</v>
      </c>
      <c r="AB40" s="262" t="s">
        <v>2980</v>
      </c>
      <c r="AC40" s="262" t="s">
        <v>2981</v>
      </c>
      <c r="AD40" s="262" t="s">
        <v>2982</v>
      </c>
      <c r="AE40" s="262" t="s">
        <v>2983</v>
      </c>
    </row>
    <row r="41" spans="2:31" s="204" customFormat="1" x14ac:dyDescent="0.25">
      <c r="B41" s="246" t="s">
        <v>154</v>
      </c>
      <c r="C41" s="263" t="s">
        <v>155</v>
      </c>
      <c r="D41" s="264" t="s">
        <v>2997</v>
      </c>
      <c r="E41" s="264"/>
      <c r="F41" s="264"/>
      <c r="G41" s="265"/>
      <c r="H41" s="266"/>
      <c r="I41" s="281"/>
      <c r="J41" s="281"/>
      <c r="K41" s="281"/>
      <c r="L41" s="282" t="s">
        <v>2998</v>
      </c>
      <c r="M41" s="263" t="s">
        <v>2962</v>
      </c>
      <c r="N41" s="269">
        <f>+R41+T41-U41</f>
        <v>0</v>
      </c>
      <c r="O41" s="270">
        <f>+N41+S41+X41+ABS(Y41)-ABS(AA41)+ABS(Z41)+ABS(AB41)+ABS(AD41)-ABS(AE41)+AC41+W41+Q41</f>
        <v>0</v>
      </c>
      <c r="P41" s="271">
        <f>+O41-N41</f>
        <v>0</v>
      </c>
      <c r="Q41" s="272">
        <f>+'NI-San_SP'!Q41+'NI-Soc_SP'!Q41+'NI-Ric_SP'!Q41</f>
        <v>0</v>
      </c>
      <c r="R41" s="272">
        <f>+'NI-San_SP'!R41+'NI-Soc_SP'!R41+'NI-Ric_SP'!R41</f>
        <v>0</v>
      </c>
      <c r="S41" s="272">
        <f>+'NI-San_SP'!S41+'NI-Soc_SP'!T41+'NI-Ric_SP'!T41</f>
        <v>0</v>
      </c>
      <c r="T41" s="272">
        <f>+'NI-San_SP'!T41+'NI-Soc_SP'!T41+'NI-Ric_SP'!T41</f>
        <v>0</v>
      </c>
      <c r="U41" s="272">
        <f>+'NI-San_SP'!U41+'NI-Soc_SP'!U41+'NI-Ric_SP'!U41</f>
        <v>0</v>
      </c>
      <c r="W41" s="272">
        <f>+'NI-San_SP'!W41+'NI-Soc_SP'!W41+'NI-Ric_SP'!W41</f>
        <v>0</v>
      </c>
      <c r="X41" s="272">
        <f>+'NI-San_SP'!X41+'NI-Soc_SP'!X41+'NI-Ric_SP'!X41</f>
        <v>0</v>
      </c>
      <c r="Y41" s="272">
        <f>+'NI-San_SP'!Y41+'NI-Soc_SP'!Y41+'NI-Ric_SP'!Y41</f>
        <v>0</v>
      </c>
      <c r="Z41" s="272">
        <f>+'NI-San_SP'!Z41+'NI-Soc_SP'!Z41+'NI-Ric_SP'!Z41</f>
        <v>0</v>
      </c>
      <c r="AA41" s="272">
        <f>+'NI-San_SP'!AA41+'NI-Soc_SP'!AA41+'NI-Ric_SP'!AA41</f>
        <v>0</v>
      </c>
      <c r="AB41" s="272">
        <f>+'NI-San_SP'!AB41+'NI-Soc_SP'!AB41+'NI-Ric_SP'!AB41</f>
        <v>0</v>
      </c>
      <c r="AC41" s="272">
        <f>+'NI-San_SP'!AC41+'NI-Soc_SP'!AC41+'NI-Ric_SP'!AC41</f>
        <v>0</v>
      </c>
      <c r="AD41" s="272">
        <f>+'NI-San_SP'!AD41+'NI-Soc_SP'!AD41+'NI-Ric_SP'!AD41</f>
        <v>0</v>
      </c>
      <c r="AE41" s="272">
        <f>+'NI-San_SP'!AE41+'NI-Soc_SP'!AE41+'NI-Ric_SP'!AE41</f>
        <v>0</v>
      </c>
    </row>
    <row r="42" spans="2:31" s="204" customFormat="1" x14ac:dyDescent="0.25">
      <c r="B42" s="246" t="s">
        <v>157</v>
      </c>
      <c r="C42" s="273" t="s">
        <v>158</v>
      </c>
      <c r="D42" s="274" t="s">
        <v>2999</v>
      </c>
      <c r="E42" s="264"/>
      <c r="F42" s="274"/>
      <c r="G42" s="283"/>
      <c r="H42" s="266"/>
      <c r="I42" s="281"/>
      <c r="J42" s="281"/>
      <c r="K42" s="281"/>
      <c r="L42" s="282" t="s">
        <v>3000</v>
      </c>
      <c r="M42" s="284" t="s">
        <v>2962</v>
      </c>
      <c r="N42" s="269">
        <f>+R42+T42-U42</f>
        <v>0</v>
      </c>
      <c r="O42" s="270">
        <f>+N42+S42+X42+ABS(Y42)-ABS(AA42)+ABS(Z42)+ABS(AB42)+ABS(AD42)-ABS(AE42)+AC42+W42+Q42</f>
        <v>0</v>
      </c>
      <c r="P42" s="271">
        <f>+O42-N42</f>
        <v>0</v>
      </c>
      <c r="Q42" s="272">
        <f>+'NI-San_SP'!Q42+'NI-Soc_SP'!Q42+'NI-Ric_SP'!Q42</f>
        <v>0</v>
      </c>
      <c r="R42" s="272">
        <f>+'NI-San_SP'!R42+'NI-Soc_SP'!R42+'NI-Ric_SP'!R42</f>
        <v>0</v>
      </c>
      <c r="S42" s="272">
        <f>+'NI-San_SP'!S42+'NI-Soc_SP'!T42+'NI-Ric_SP'!T42</f>
        <v>0</v>
      </c>
      <c r="T42" s="272">
        <f>+'NI-San_SP'!T42+'NI-Soc_SP'!T42+'NI-Ric_SP'!T42</f>
        <v>0</v>
      </c>
      <c r="U42" s="272">
        <f>+'NI-San_SP'!U42+'NI-Soc_SP'!U42+'NI-Ric_SP'!U42</f>
        <v>0</v>
      </c>
      <c r="W42" s="272">
        <f>+'NI-San_SP'!W42+'NI-Soc_SP'!W42+'NI-Ric_SP'!W42</f>
        <v>0</v>
      </c>
      <c r="X42" s="272">
        <f>+'NI-San_SP'!X42+'NI-Soc_SP'!X42+'NI-Ric_SP'!X42</f>
        <v>0</v>
      </c>
      <c r="Y42" s="272">
        <f>+'NI-San_SP'!Y42+'NI-Soc_SP'!Y42+'NI-Ric_SP'!Y42</f>
        <v>0</v>
      </c>
      <c r="Z42" s="272">
        <f>+'NI-San_SP'!Z42+'NI-Soc_SP'!Z42+'NI-Ric_SP'!Z42</f>
        <v>0</v>
      </c>
      <c r="AA42" s="272">
        <f>+'NI-San_SP'!AA42+'NI-Soc_SP'!AA42+'NI-Ric_SP'!AA42</f>
        <v>0</v>
      </c>
      <c r="AB42" s="272">
        <f>+'NI-San_SP'!AB42+'NI-Soc_SP'!AB42+'NI-Ric_SP'!AB42</f>
        <v>0</v>
      </c>
      <c r="AC42" s="272">
        <f>+'NI-San_SP'!AC42+'NI-Soc_SP'!AC42+'NI-Ric_SP'!AC42</f>
        <v>0</v>
      </c>
      <c r="AD42" s="272">
        <f>+'NI-San_SP'!AD42+'NI-Soc_SP'!AD42+'NI-Ric_SP'!AD42</f>
        <v>0</v>
      </c>
      <c r="AE42" s="272">
        <f>+'NI-San_SP'!AE42+'NI-Soc_SP'!AE42+'NI-Ric_SP'!AE42</f>
        <v>0</v>
      </c>
    </row>
    <row r="43" spans="2:31" s="204" customFormat="1" x14ac:dyDescent="0.25">
      <c r="B43" s="230"/>
      <c r="C43" s="230"/>
      <c r="D43" s="230"/>
      <c r="E43" s="230"/>
      <c r="F43" s="230"/>
      <c r="G43" s="230"/>
      <c r="H43" s="231"/>
      <c r="I43" s="230"/>
      <c r="J43" s="230"/>
      <c r="K43" s="230"/>
      <c r="L43" s="275"/>
      <c r="M43" s="216"/>
      <c r="N43" s="285"/>
      <c r="O43" s="211"/>
      <c r="P43" s="211"/>
      <c r="Q43" s="211"/>
      <c r="R43" s="216"/>
      <c r="S43" s="216"/>
      <c r="T43" s="285"/>
      <c r="U43" s="285"/>
      <c r="V43" s="285"/>
      <c r="W43" s="285"/>
      <c r="X43" s="285"/>
      <c r="Y43" s="285"/>
      <c r="Z43" s="285"/>
      <c r="AA43" s="285"/>
    </row>
    <row r="44" spans="2:31" s="204" customFormat="1" x14ac:dyDescent="0.25">
      <c r="B44" s="246" t="s">
        <v>160</v>
      </c>
      <c r="C44" s="246" t="s">
        <v>161</v>
      </c>
      <c r="D44" s="247" t="s">
        <v>3001</v>
      </c>
      <c r="E44" s="247"/>
      <c r="F44" s="247"/>
      <c r="G44" s="247"/>
      <c r="H44" s="248"/>
      <c r="I44" s="247"/>
      <c r="J44" s="247"/>
      <c r="K44" s="249"/>
      <c r="L44" s="276" t="s">
        <v>164</v>
      </c>
      <c r="M44" s="251" t="s">
        <v>2962</v>
      </c>
      <c r="N44" s="252">
        <f>SUM(N47:N48)</f>
        <v>0</v>
      </c>
      <c r="O44" s="252">
        <f>SUM(O47:O48)</f>
        <v>0</v>
      </c>
      <c r="P44" s="259">
        <f>+O44-N44</f>
        <v>0</v>
      </c>
      <c r="Q44" s="252">
        <f>SUM(Q47:Q48)</f>
        <v>0</v>
      </c>
      <c r="R44" s="252">
        <f>SUM(R47:R48)</f>
        <v>0</v>
      </c>
      <c r="S44" s="252">
        <f>SUM(S47:S48)</f>
        <v>0</v>
      </c>
      <c r="V44" s="211"/>
      <c r="W44" s="252">
        <f>SUM(W47:W48)</f>
        <v>0</v>
      </c>
      <c r="X44" s="252">
        <f>SUM(X47:X48)</f>
        <v>0</v>
      </c>
      <c r="Y44" s="252">
        <f>SUM(Y47:Y48)</f>
        <v>0</v>
      </c>
      <c r="Z44" s="252">
        <f>SUM(Z47:Z48)</f>
        <v>0</v>
      </c>
      <c r="AA44" s="285"/>
    </row>
    <row r="45" spans="2:31" s="204" customFormat="1" x14ac:dyDescent="0.25">
      <c r="B45" s="230"/>
      <c r="C45" s="230"/>
      <c r="D45" s="230"/>
      <c r="E45" s="230"/>
      <c r="F45" s="230"/>
      <c r="G45" s="230"/>
      <c r="H45" s="231"/>
      <c r="I45" s="230"/>
      <c r="J45" s="230"/>
      <c r="K45" s="230"/>
      <c r="L45" s="241"/>
      <c r="M45" s="278"/>
      <c r="N45" s="286"/>
      <c r="O45" s="211"/>
      <c r="P45" s="211"/>
      <c r="Q45" s="211"/>
      <c r="V45" s="211"/>
      <c r="W45" s="211"/>
      <c r="X45" s="211"/>
      <c r="Y45" s="211"/>
      <c r="Z45" s="211"/>
      <c r="AA45" s="285"/>
    </row>
    <row r="46" spans="2:31" s="204" customFormat="1" ht="63.75" x14ac:dyDescent="0.25">
      <c r="B46" s="260" t="s">
        <v>2968</v>
      </c>
      <c r="C46" s="260" t="s">
        <v>2969</v>
      </c>
      <c r="D46" s="206" t="s">
        <v>72</v>
      </c>
      <c r="E46" s="206"/>
      <c r="F46" s="206"/>
      <c r="G46" s="207"/>
      <c r="H46" s="207"/>
      <c r="I46" s="207"/>
      <c r="J46" s="207" t="s">
        <v>2957</v>
      </c>
      <c r="K46" s="206" t="s">
        <v>82</v>
      </c>
      <c r="L46" s="261" t="s">
        <v>2970</v>
      </c>
      <c r="M46" s="280"/>
      <c r="N46" s="256" t="str">
        <f>N$15</f>
        <v>Valore netto al 31/12/2019</v>
      </c>
      <c r="O46" s="256" t="str">
        <f>O$15</f>
        <v>Valore netto al 31/12/2020</v>
      </c>
      <c r="P46" s="256" t="str">
        <f>P$15</f>
        <v>Variazione</v>
      </c>
      <c r="Q46" s="262" t="s">
        <v>2971</v>
      </c>
      <c r="R46" s="262" t="str">
        <f>"Fondo ammortamento 31/12/"&amp;Info!$B$3-1</f>
        <v>Fondo ammortamento 31/12/2019</v>
      </c>
      <c r="S46" s="262" t="s">
        <v>2972</v>
      </c>
      <c r="V46" s="211"/>
      <c r="W46" s="262" t="s">
        <v>2975</v>
      </c>
      <c r="X46" s="262" t="s">
        <v>2976</v>
      </c>
      <c r="Y46" s="262" t="s">
        <v>2989</v>
      </c>
      <c r="Z46" s="262" t="s">
        <v>2990</v>
      </c>
      <c r="AA46" s="285"/>
    </row>
    <row r="47" spans="2:31" s="204" customFormat="1" x14ac:dyDescent="0.25">
      <c r="B47" s="246" t="s">
        <v>165</v>
      </c>
      <c r="C47" s="263" t="s">
        <v>166</v>
      </c>
      <c r="D47" s="264" t="s">
        <v>3002</v>
      </c>
      <c r="E47" s="264"/>
      <c r="F47" s="264"/>
      <c r="G47" s="283"/>
      <c r="H47" s="266"/>
      <c r="I47" s="281"/>
      <c r="J47" s="281"/>
      <c r="K47" s="281"/>
      <c r="L47" s="282" t="s">
        <v>3003</v>
      </c>
      <c r="M47" s="263" t="s">
        <v>2962</v>
      </c>
      <c r="N47" s="269">
        <f>+R47</f>
        <v>0</v>
      </c>
      <c r="O47" s="270">
        <f>+R47+S47+X47-ABS(Y47)+ABS(Z47)+W47+Q47</f>
        <v>0</v>
      </c>
      <c r="P47" s="271">
        <f>+O47-N47</f>
        <v>0</v>
      </c>
      <c r="Q47" s="272">
        <f>+'NI-San_SP'!Q47+'NI-Soc_SP'!Q47+'NI-Ric_SP'!Q47</f>
        <v>0</v>
      </c>
      <c r="R47" s="272">
        <f>+'NI-San_SP'!R47+'NI-Soc_SP'!R47+'NI-Ric_SP'!R47</f>
        <v>0</v>
      </c>
      <c r="S47" s="272">
        <f>+'NI-San_SP'!S47+'NI-Soc_SP'!S47+'NI-Ric_SP'!S47</f>
        <v>0</v>
      </c>
      <c r="V47" s="211"/>
      <c r="W47" s="272">
        <f>+'NI-San_SP'!W47+'NI-Soc_SP'!W47+'NI-Ric_SP'!W47</f>
        <v>0</v>
      </c>
      <c r="X47" s="272">
        <f>+'NI-San_SP'!X47+'NI-Soc_SP'!X47+'NI-Ric_SP'!X47</f>
        <v>0</v>
      </c>
      <c r="Y47" s="272">
        <f>+'NI-San_SP'!Y47+'NI-Soc_SP'!Y47+'NI-Ric_SP'!Y47</f>
        <v>0</v>
      </c>
      <c r="Z47" s="272">
        <f>+'NI-San_SP'!Z47+'NI-Soc_SP'!Z47+'NI-Ric_SP'!Z47</f>
        <v>0</v>
      </c>
      <c r="AA47" s="285"/>
    </row>
    <row r="48" spans="2:31" s="204" customFormat="1" x14ac:dyDescent="0.25">
      <c r="B48" s="246" t="s">
        <v>168</v>
      </c>
      <c r="C48" s="287" t="s">
        <v>169</v>
      </c>
      <c r="D48" s="274" t="s">
        <v>3004</v>
      </c>
      <c r="E48" s="264"/>
      <c r="F48" s="274"/>
      <c r="G48" s="283"/>
      <c r="H48" s="266"/>
      <c r="I48" s="281"/>
      <c r="J48" s="281"/>
      <c r="K48" s="281"/>
      <c r="L48" s="282" t="s">
        <v>3005</v>
      </c>
      <c r="M48" s="284" t="s">
        <v>2962</v>
      </c>
      <c r="N48" s="269">
        <f>+R48</f>
        <v>0</v>
      </c>
      <c r="O48" s="270">
        <f>+R48+S48+X48-ABS(Y48)+ABS(Z48)+W48+Q48</f>
        <v>0</v>
      </c>
      <c r="P48" s="271">
        <f>+O48-N48</f>
        <v>0</v>
      </c>
      <c r="Q48" s="272">
        <f>+'NI-San_SP'!Q48+'NI-Soc_SP'!Q48+'NI-Ric_SP'!Q48</f>
        <v>0</v>
      </c>
      <c r="R48" s="272">
        <f>+'NI-San_SP'!R48+'NI-Soc_SP'!R48+'NI-Ric_SP'!R48</f>
        <v>0</v>
      </c>
      <c r="S48" s="272">
        <f>+'NI-San_SP'!S48+'NI-Soc_SP'!S48+'NI-Ric_SP'!S48</f>
        <v>0</v>
      </c>
      <c r="V48" s="211"/>
      <c r="W48" s="272">
        <f>+'NI-San_SP'!W48+'NI-Soc_SP'!W48+'NI-Ric_SP'!W48</f>
        <v>0</v>
      </c>
      <c r="X48" s="272">
        <f>+'NI-San_SP'!X48+'NI-Soc_SP'!X48+'NI-Ric_SP'!X48</f>
        <v>0</v>
      </c>
      <c r="Y48" s="272">
        <f>+'NI-San_SP'!Y48+'NI-Soc_SP'!Y48+'NI-Ric_SP'!Y48</f>
        <v>0</v>
      </c>
      <c r="Z48" s="272">
        <f>+'NI-San_SP'!Z48+'NI-Soc_SP'!Z48+'NI-Ric_SP'!Z48</f>
        <v>0</v>
      </c>
      <c r="AA48" s="285"/>
    </row>
    <row r="49" spans="2:31" s="204" customFormat="1" x14ac:dyDescent="0.25">
      <c r="B49" s="230"/>
      <c r="C49" s="230"/>
      <c r="D49" s="230"/>
      <c r="E49" s="230"/>
      <c r="F49" s="230"/>
      <c r="G49" s="230"/>
      <c r="H49" s="231"/>
      <c r="I49" s="230"/>
      <c r="J49" s="230"/>
      <c r="K49" s="230"/>
      <c r="L49" s="232"/>
      <c r="M49" s="216"/>
      <c r="N49" s="285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2:31" s="204" customFormat="1" ht="25.5" x14ac:dyDescent="0.25">
      <c r="B50" s="230"/>
      <c r="C50" s="230"/>
      <c r="D50" s="230"/>
      <c r="E50" s="230"/>
      <c r="F50" s="230"/>
      <c r="G50" s="230"/>
      <c r="H50" s="231"/>
      <c r="I50" s="230"/>
      <c r="J50" s="230"/>
      <c r="K50" s="230"/>
      <c r="L50" s="255"/>
      <c r="M50" s="244"/>
      <c r="N50" s="256" t="str">
        <f>N$15</f>
        <v>Valore netto al 31/12/2019</v>
      </c>
      <c r="O50" s="256" t="str">
        <f>O$15</f>
        <v>Valore netto al 31/12/2020</v>
      </c>
      <c r="P50" s="256" t="str">
        <f>P$15</f>
        <v>Variazione</v>
      </c>
      <c r="Q50" s="216"/>
      <c r="R50" s="211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2:31" s="204" customFormat="1" ht="27" customHeight="1" x14ac:dyDescent="0.25">
      <c r="B51" s="246" t="s">
        <v>171</v>
      </c>
      <c r="C51" s="246" t="s">
        <v>172</v>
      </c>
      <c r="D51" s="247" t="s">
        <v>3006</v>
      </c>
      <c r="E51" s="247"/>
      <c r="F51" s="247"/>
      <c r="G51" s="247"/>
      <c r="H51" s="248"/>
      <c r="I51" s="247"/>
      <c r="J51" s="247"/>
      <c r="K51" s="249"/>
      <c r="L51" s="257" t="s">
        <v>174</v>
      </c>
      <c r="M51" s="251" t="s">
        <v>2962</v>
      </c>
      <c r="N51" s="252">
        <f>+N53-N61+N69-N77</f>
        <v>1622</v>
      </c>
      <c r="O51" s="252">
        <f>+O53-O61+O69-O77</f>
        <v>0</v>
      </c>
      <c r="P51" s="253">
        <f>+O51-N51</f>
        <v>-1622</v>
      </c>
      <c r="Q51" s="216"/>
      <c r="R51" s="211"/>
      <c r="S51" s="211"/>
      <c r="T51" s="211"/>
      <c r="U51" s="211"/>
      <c r="V51" s="211"/>
      <c r="W51" s="211"/>
      <c r="X51" s="252">
        <f>+X53-X61+X69-X77</f>
        <v>0</v>
      </c>
      <c r="Y51" s="211"/>
      <c r="Z51" s="211"/>
      <c r="AA51" s="211"/>
    </row>
    <row r="52" spans="2:31" s="204" customFormat="1" x14ac:dyDescent="0.25">
      <c r="B52" s="230"/>
      <c r="C52" s="230"/>
      <c r="D52" s="230"/>
      <c r="E52" s="230"/>
      <c r="F52" s="230"/>
      <c r="G52" s="230"/>
      <c r="H52" s="231"/>
      <c r="I52" s="230"/>
      <c r="J52" s="230"/>
      <c r="K52" s="230"/>
      <c r="L52" s="277"/>
      <c r="M52" s="216"/>
      <c r="N52" s="285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2:31" s="204" customFormat="1" ht="26.25" x14ac:dyDescent="0.25">
      <c r="B53" s="246" t="s">
        <v>175</v>
      </c>
      <c r="C53" s="246" t="s">
        <v>176</v>
      </c>
      <c r="D53" s="247" t="s">
        <v>3007</v>
      </c>
      <c r="E53" s="247"/>
      <c r="F53" s="247"/>
      <c r="G53" s="247"/>
      <c r="H53" s="248"/>
      <c r="I53" s="247"/>
      <c r="J53" s="247"/>
      <c r="K53" s="249"/>
      <c r="L53" s="276" t="s">
        <v>179</v>
      </c>
      <c r="M53" s="251" t="s">
        <v>2962</v>
      </c>
      <c r="N53" s="252">
        <f>SUM(N56:N59)</f>
        <v>5790214</v>
      </c>
      <c r="O53" s="252">
        <f>SUM(O56:O59)</f>
        <v>5790214</v>
      </c>
      <c r="P53" s="259">
        <f>+O53-N53</f>
        <v>0</v>
      </c>
      <c r="Q53" s="252">
        <f>SUM(Q56:Q59)</f>
        <v>0</v>
      </c>
      <c r="R53" s="252">
        <f>SUM(R56:R59)</f>
        <v>5790214</v>
      </c>
      <c r="S53" s="252">
        <f>SUM(S56:S59)</f>
        <v>0</v>
      </c>
      <c r="T53" s="252">
        <f>SUM(T56:T59)</f>
        <v>0</v>
      </c>
      <c r="U53" s="252">
        <f>SUM(U56:U59)</f>
        <v>0</v>
      </c>
      <c r="V53" s="216"/>
      <c r="W53" s="252">
        <f t="shared" ref="W53:AE53" si="1">SUM(W56:W59)</f>
        <v>0</v>
      </c>
      <c r="X53" s="252">
        <f t="shared" si="1"/>
        <v>0</v>
      </c>
      <c r="Y53" s="252">
        <f t="shared" si="1"/>
        <v>0</v>
      </c>
      <c r="Z53" s="252">
        <f t="shared" si="1"/>
        <v>0</v>
      </c>
      <c r="AA53" s="252">
        <f t="shared" si="1"/>
        <v>0</v>
      </c>
      <c r="AB53" s="252">
        <f t="shared" si="1"/>
        <v>0</v>
      </c>
      <c r="AC53" s="252">
        <f t="shared" si="1"/>
        <v>0</v>
      </c>
      <c r="AD53" s="252">
        <f t="shared" si="1"/>
        <v>0</v>
      </c>
      <c r="AE53" s="252">
        <f t="shared" si="1"/>
        <v>0</v>
      </c>
    </row>
    <row r="54" spans="2:31" s="204" customFormat="1" x14ac:dyDescent="0.25">
      <c r="B54" s="230"/>
      <c r="C54" s="230"/>
      <c r="D54" s="230"/>
      <c r="E54" s="230"/>
      <c r="F54" s="230"/>
      <c r="G54" s="230"/>
      <c r="H54" s="231"/>
      <c r="I54" s="230"/>
      <c r="J54" s="230"/>
      <c r="K54" s="230"/>
      <c r="L54" s="277"/>
      <c r="M54" s="216"/>
      <c r="N54" s="285"/>
      <c r="O54" s="211"/>
      <c r="P54" s="211"/>
      <c r="Q54" s="211"/>
      <c r="R54" s="216"/>
      <c r="T54" s="216"/>
      <c r="U54" s="216"/>
      <c r="V54" s="216"/>
      <c r="W54" s="211"/>
      <c r="X54" s="211"/>
      <c r="Y54" s="211"/>
      <c r="Z54" s="211"/>
      <c r="AA54" s="211"/>
    </row>
    <row r="55" spans="2:31" s="204" customFormat="1" ht="63.75" x14ac:dyDescent="0.25">
      <c r="B55" s="260" t="s">
        <v>2968</v>
      </c>
      <c r="C55" s="260" t="s">
        <v>2969</v>
      </c>
      <c r="D55" s="206" t="s">
        <v>72</v>
      </c>
      <c r="E55" s="206"/>
      <c r="F55" s="206"/>
      <c r="G55" s="207"/>
      <c r="H55" s="207"/>
      <c r="I55" s="207"/>
      <c r="J55" s="207" t="s">
        <v>2957</v>
      </c>
      <c r="K55" s="206" t="s">
        <v>82</v>
      </c>
      <c r="L55" s="261" t="s">
        <v>2970</v>
      </c>
      <c r="M55" s="280"/>
      <c r="N55" s="256" t="str">
        <f>N$15</f>
        <v>Valore netto al 31/12/2019</v>
      </c>
      <c r="O55" s="256" t="str">
        <f>O$15</f>
        <v>Valore netto al 31/12/2020</v>
      </c>
      <c r="P55" s="256" t="str">
        <f>P$15</f>
        <v>Variazione</v>
      </c>
      <c r="Q55" s="262" t="s">
        <v>2971</v>
      </c>
      <c r="R55" s="262" t="str">
        <f>"Costo storico al 31/12/"&amp;Info!$B$3-1</f>
        <v>Costo storico al 31/12/2019</v>
      </c>
      <c r="S55" s="262" t="s">
        <v>2972</v>
      </c>
      <c r="T55" s="262" t="s">
        <v>2973</v>
      </c>
      <c r="U55" s="262" t="s">
        <v>2974</v>
      </c>
      <c r="W55" s="262" t="s">
        <v>2975</v>
      </c>
      <c r="X55" s="262" t="s">
        <v>2976</v>
      </c>
      <c r="Y55" s="262" t="s">
        <v>2977</v>
      </c>
      <c r="Z55" s="262" t="s">
        <v>2978</v>
      </c>
      <c r="AA55" s="262" t="s">
        <v>2979</v>
      </c>
      <c r="AB55" s="262" t="s">
        <v>2980</v>
      </c>
      <c r="AC55" s="262" t="s">
        <v>2981</v>
      </c>
      <c r="AD55" s="262" t="s">
        <v>2982</v>
      </c>
      <c r="AE55" s="262" t="s">
        <v>2983</v>
      </c>
    </row>
    <row r="56" spans="2:31" s="204" customFormat="1" x14ac:dyDescent="0.25">
      <c r="B56" s="246" t="s">
        <v>180</v>
      </c>
      <c r="C56" s="263" t="s">
        <v>181</v>
      </c>
      <c r="D56" s="264" t="s">
        <v>3008</v>
      </c>
      <c r="E56" s="264"/>
      <c r="F56" s="264"/>
      <c r="G56" s="265"/>
      <c r="H56" s="266"/>
      <c r="I56" s="281"/>
      <c r="J56" s="281"/>
      <c r="K56" s="281"/>
      <c r="L56" s="282" t="s">
        <v>3009</v>
      </c>
      <c r="M56" s="263" t="s">
        <v>2962</v>
      </c>
      <c r="N56" s="269">
        <f>+R56+T56-U56</f>
        <v>0</v>
      </c>
      <c r="O56" s="270">
        <f>+N56+S56+X56+ABS(Y56)-ABS(AA56)+ABS(Z56)+ABS(AB56)+ABS(AD56)-ABS(AE56)+AC56+W56+Q56</f>
        <v>0</v>
      </c>
      <c r="P56" s="271">
        <f>+O56-N56</f>
        <v>0</v>
      </c>
      <c r="Q56" s="272">
        <f>+'NI-San_SP'!Q56+'NI-Soc_SP'!Q56+'NI-Ric_SP'!Q56</f>
        <v>0</v>
      </c>
      <c r="R56" s="272">
        <f>+'NI-San_SP'!R56+'NI-Soc_SP'!R56+'NI-Ric_SP'!R56</f>
        <v>0</v>
      </c>
      <c r="S56" s="272">
        <f>+'NI-San_SP'!S56+'NI-Soc_SP'!T56+'NI-Ric_SP'!T56</f>
        <v>0</v>
      </c>
      <c r="T56" s="272">
        <f>+'NI-San_SP'!T56+'NI-Soc_SP'!T56+'NI-Ric_SP'!T56</f>
        <v>0</v>
      </c>
      <c r="U56" s="272">
        <f>+'NI-San_SP'!U56+'NI-Soc_SP'!U56+'NI-Ric_SP'!U56</f>
        <v>0</v>
      </c>
      <c r="W56" s="272">
        <f>+'NI-San_SP'!W56+'NI-Soc_SP'!W56+'NI-Ric_SP'!W56</f>
        <v>0</v>
      </c>
      <c r="X56" s="272">
        <f>+'NI-San_SP'!X56+'NI-Soc_SP'!X56+'NI-Ric_SP'!X56</f>
        <v>0</v>
      </c>
      <c r="Y56" s="272">
        <f>+'NI-San_SP'!Y56+'NI-Soc_SP'!Y56+'NI-Ric_SP'!Y56</f>
        <v>0</v>
      </c>
      <c r="Z56" s="272">
        <f>+'NI-San_SP'!Z56+'NI-Soc_SP'!Z56+'NI-Ric_SP'!Z56</f>
        <v>0</v>
      </c>
      <c r="AA56" s="272">
        <f>+'NI-San_SP'!AA56+'NI-Soc_SP'!AA56+'NI-Ric_SP'!AA56</f>
        <v>0</v>
      </c>
      <c r="AB56" s="272">
        <f>+'NI-San_SP'!AB56+'NI-Soc_SP'!AB56+'NI-Ric_SP'!AB56</f>
        <v>0</v>
      </c>
      <c r="AC56" s="272">
        <f>+'NI-San_SP'!AC56+'NI-Soc_SP'!AC56+'NI-Ric_SP'!AC56</f>
        <v>0</v>
      </c>
      <c r="AD56" s="272">
        <f>+'NI-San_SP'!AD56+'NI-Soc_SP'!AD56+'NI-Ric_SP'!AD56</f>
        <v>0</v>
      </c>
      <c r="AE56" s="272">
        <f>+'NI-San_SP'!AE56+'NI-Soc_SP'!AE56+'NI-Ric_SP'!AE56</f>
        <v>0</v>
      </c>
    </row>
    <row r="57" spans="2:31" s="204" customFormat="1" x14ac:dyDescent="0.25">
      <c r="B57" s="246" t="s">
        <v>183</v>
      </c>
      <c r="C57" s="273" t="s">
        <v>184</v>
      </c>
      <c r="D57" s="264" t="s">
        <v>3010</v>
      </c>
      <c r="E57" s="264"/>
      <c r="F57" s="264"/>
      <c r="G57" s="265"/>
      <c r="H57" s="266"/>
      <c r="I57" s="281"/>
      <c r="J57" s="281"/>
      <c r="K57" s="281"/>
      <c r="L57" s="282" t="s">
        <v>3011</v>
      </c>
      <c r="M57" s="263" t="s">
        <v>2962</v>
      </c>
      <c r="N57" s="269">
        <f>+R57+T57-U57</f>
        <v>0</v>
      </c>
      <c r="O57" s="270">
        <f>+N57+S57+X57+ABS(Y57)-ABS(AA57)+ABS(Z57)+ABS(AB57)+ABS(AD57)-ABS(AE57)+AC57+W57+Q57</f>
        <v>0</v>
      </c>
      <c r="P57" s="271">
        <f>+O57-N57</f>
        <v>0</v>
      </c>
      <c r="Q57" s="272">
        <f>+'NI-San_SP'!Q57+'NI-Soc_SP'!Q57+'NI-Ric_SP'!Q57</f>
        <v>0</v>
      </c>
      <c r="R57" s="272">
        <f>+'NI-San_SP'!R57+'NI-Soc_SP'!R57+'NI-Ric_SP'!R57</f>
        <v>0</v>
      </c>
      <c r="S57" s="272">
        <f>+'NI-San_SP'!S57+'NI-Soc_SP'!T57+'NI-Ric_SP'!T57</f>
        <v>0</v>
      </c>
      <c r="T57" s="272">
        <f>+'NI-San_SP'!T57+'NI-Soc_SP'!T57+'NI-Ric_SP'!T57</f>
        <v>0</v>
      </c>
      <c r="U57" s="272">
        <f>+'NI-San_SP'!U57+'NI-Soc_SP'!U57+'NI-Ric_SP'!U57</f>
        <v>0</v>
      </c>
      <c r="W57" s="272">
        <f>+'NI-San_SP'!W57+'NI-Soc_SP'!W57+'NI-Ric_SP'!W57</f>
        <v>0</v>
      </c>
      <c r="X57" s="272">
        <f>+'NI-San_SP'!X57+'NI-Soc_SP'!X57+'NI-Ric_SP'!X57</f>
        <v>0</v>
      </c>
      <c r="Y57" s="272">
        <f>+'NI-San_SP'!Y57+'NI-Soc_SP'!Y57+'NI-Ric_SP'!Y57</f>
        <v>0</v>
      </c>
      <c r="Z57" s="272">
        <f>+'NI-San_SP'!Z57+'NI-Soc_SP'!Z57+'NI-Ric_SP'!Z57</f>
        <v>0</v>
      </c>
      <c r="AA57" s="272">
        <f>+'NI-San_SP'!AA57+'NI-Soc_SP'!AA57+'NI-Ric_SP'!AA57</f>
        <v>0</v>
      </c>
      <c r="AB57" s="272">
        <f>+'NI-San_SP'!AB57+'NI-Soc_SP'!AB57+'NI-Ric_SP'!AB57</f>
        <v>0</v>
      </c>
      <c r="AC57" s="272">
        <f>+'NI-San_SP'!AC57+'NI-Soc_SP'!AC57+'NI-Ric_SP'!AC57</f>
        <v>0</v>
      </c>
      <c r="AD57" s="272">
        <f>+'NI-San_SP'!AD57+'NI-Soc_SP'!AD57+'NI-Ric_SP'!AD57</f>
        <v>0</v>
      </c>
      <c r="AE57" s="272">
        <f>+'NI-San_SP'!AE57+'NI-Soc_SP'!AE57+'NI-Ric_SP'!AE57</f>
        <v>0</v>
      </c>
    </row>
    <row r="58" spans="2:31" s="204" customFormat="1" ht="25.5" x14ac:dyDescent="0.25">
      <c r="B58" s="246" t="s">
        <v>186</v>
      </c>
      <c r="C58" s="273" t="s">
        <v>187</v>
      </c>
      <c r="D58" s="274" t="s">
        <v>3012</v>
      </c>
      <c r="E58" s="264"/>
      <c r="F58" s="274"/>
      <c r="G58" s="283"/>
      <c r="H58" s="266"/>
      <c r="I58" s="281"/>
      <c r="J58" s="281"/>
      <c r="K58" s="281"/>
      <c r="L58" s="288" t="s">
        <v>3013</v>
      </c>
      <c r="M58" s="284" t="s">
        <v>2962</v>
      </c>
      <c r="N58" s="269">
        <f>+R58+T58-U58</f>
        <v>5113477</v>
      </c>
      <c r="O58" s="270">
        <f>+N58+S58+X58+ABS(Y58)-ABS(AA58)+ABS(Z58)+ABS(AB58)+ABS(AD58)-ABS(AE58)+AC58+W58+Q58</f>
        <v>5113477</v>
      </c>
      <c r="P58" s="271">
        <f>+O58-N58</f>
        <v>0</v>
      </c>
      <c r="Q58" s="272">
        <f>+'NI-San_SP'!Q58+'NI-Soc_SP'!Q58+'NI-Ric_SP'!Q58</f>
        <v>0</v>
      </c>
      <c r="R58" s="272">
        <f>+'NI-San_SP'!R58+'NI-Soc_SP'!R58+'NI-Ric_SP'!R58</f>
        <v>5113477</v>
      </c>
      <c r="S58" s="272">
        <f>+'NI-San_SP'!S58+'NI-Soc_SP'!T58+'NI-Ric_SP'!T58</f>
        <v>0</v>
      </c>
      <c r="T58" s="272">
        <f>+'NI-San_SP'!T58+'NI-Soc_SP'!T58+'NI-Ric_SP'!T58</f>
        <v>0</v>
      </c>
      <c r="U58" s="272">
        <f>+'NI-San_SP'!U58+'NI-Soc_SP'!U58+'NI-Ric_SP'!U58</f>
        <v>0</v>
      </c>
      <c r="W58" s="272">
        <f>+'NI-San_SP'!W58+'NI-Soc_SP'!W58+'NI-Ric_SP'!W58</f>
        <v>0</v>
      </c>
      <c r="X58" s="272">
        <f>+'NI-San_SP'!X58+'NI-Soc_SP'!X58+'NI-Ric_SP'!X58</f>
        <v>0</v>
      </c>
      <c r="Y58" s="272">
        <f>+'NI-San_SP'!Y58+'NI-Soc_SP'!Y58+'NI-Ric_SP'!Y58</f>
        <v>0</v>
      </c>
      <c r="Z58" s="272">
        <f>+'NI-San_SP'!Z58+'NI-Soc_SP'!Z58+'NI-Ric_SP'!Z58</f>
        <v>0</v>
      </c>
      <c r="AA58" s="272">
        <f>+'NI-San_SP'!AA58+'NI-Soc_SP'!AA58+'NI-Ric_SP'!AA58</f>
        <v>0</v>
      </c>
      <c r="AB58" s="272">
        <f>+'NI-San_SP'!AB58+'NI-Soc_SP'!AB58+'NI-Ric_SP'!AB58</f>
        <v>0</v>
      </c>
      <c r="AC58" s="272">
        <f>+'NI-San_SP'!AC58+'NI-Soc_SP'!AC58+'NI-Ric_SP'!AC58</f>
        <v>0</v>
      </c>
      <c r="AD58" s="272">
        <f>+'NI-San_SP'!AD58+'NI-Soc_SP'!AD58+'NI-Ric_SP'!AD58</f>
        <v>0</v>
      </c>
      <c r="AE58" s="272">
        <f>+'NI-San_SP'!AE58+'NI-Soc_SP'!AE58+'NI-Ric_SP'!AE58</f>
        <v>0</v>
      </c>
    </row>
    <row r="59" spans="2:31" s="204" customFormat="1" ht="25.5" x14ac:dyDescent="0.25">
      <c r="B59" s="246" t="s">
        <v>189</v>
      </c>
      <c r="C59" s="273" t="s">
        <v>190</v>
      </c>
      <c r="D59" s="274" t="s">
        <v>3014</v>
      </c>
      <c r="E59" s="264"/>
      <c r="F59" s="274"/>
      <c r="G59" s="283"/>
      <c r="H59" s="266"/>
      <c r="I59" s="281"/>
      <c r="J59" s="281"/>
      <c r="K59" s="281"/>
      <c r="L59" s="288" t="s">
        <v>3015</v>
      </c>
      <c r="M59" s="284" t="s">
        <v>2962</v>
      </c>
      <c r="N59" s="269">
        <f>+R59+T59-U59</f>
        <v>676737</v>
      </c>
      <c r="O59" s="270">
        <f>+N59+S59+X59+ABS(Y59)-ABS(AA59)+ABS(Z59)+ABS(AB59)+ABS(AD59)-ABS(AE59)+AC59+W59+Q59</f>
        <v>676737</v>
      </c>
      <c r="P59" s="271">
        <f>+O59-N59</f>
        <v>0</v>
      </c>
      <c r="Q59" s="272">
        <f>+'NI-San_SP'!Q59+'NI-Soc_SP'!Q59+'NI-Ric_SP'!Q59</f>
        <v>0</v>
      </c>
      <c r="R59" s="272">
        <f>+'NI-San_SP'!R59+'NI-Soc_SP'!R59+'NI-Ric_SP'!R59</f>
        <v>676737</v>
      </c>
      <c r="S59" s="272">
        <f>+'NI-San_SP'!S59+'NI-Soc_SP'!T59+'NI-Ric_SP'!T59</f>
        <v>0</v>
      </c>
      <c r="T59" s="272">
        <f>+'NI-San_SP'!T59+'NI-Soc_SP'!T59+'NI-Ric_SP'!T59</f>
        <v>0</v>
      </c>
      <c r="U59" s="272">
        <f>+'NI-San_SP'!U59+'NI-Soc_SP'!U59+'NI-Ric_SP'!U59</f>
        <v>0</v>
      </c>
      <c r="W59" s="272">
        <f>+'NI-San_SP'!W59+'NI-Soc_SP'!W59+'NI-Ric_SP'!W59</f>
        <v>0</v>
      </c>
      <c r="X59" s="272">
        <f>+'NI-San_SP'!X59+'NI-Soc_SP'!X59+'NI-Ric_SP'!X59</f>
        <v>0</v>
      </c>
      <c r="Y59" s="272">
        <f>+'NI-San_SP'!Y59+'NI-Soc_SP'!Y59+'NI-Ric_SP'!Y59</f>
        <v>0</v>
      </c>
      <c r="Z59" s="272">
        <f>+'NI-San_SP'!Z59+'NI-Soc_SP'!Z59+'NI-Ric_SP'!Z59</f>
        <v>0</v>
      </c>
      <c r="AA59" s="272">
        <f>+'NI-San_SP'!AA59+'NI-Soc_SP'!AA59+'NI-Ric_SP'!AA59</f>
        <v>0</v>
      </c>
      <c r="AB59" s="272">
        <f>+'NI-San_SP'!AB59+'NI-Soc_SP'!AB59+'NI-Ric_SP'!AB59</f>
        <v>0</v>
      </c>
      <c r="AC59" s="272">
        <f>+'NI-San_SP'!AC59+'NI-Soc_SP'!AC59+'NI-Ric_SP'!AC59</f>
        <v>0</v>
      </c>
      <c r="AD59" s="272">
        <f>+'NI-San_SP'!AD59+'NI-Soc_SP'!AD59+'NI-Ric_SP'!AD59</f>
        <v>0</v>
      </c>
      <c r="AE59" s="272">
        <f>+'NI-San_SP'!AE59+'NI-Soc_SP'!AE59+'NI-Ric_SP'!AE59</f>
        <v>0</v>
      </c>
    </row>
    <row r="60" spans="2:31" s="204" customFormat="1" x14ac:dyDescent="0.25">
      <c r="B60" s="230"/>
      <c r="C60" s="230"/>
      <c r="D60" s="230"/>
      <c r="E60" s="230"/>
      <c r="F60" s="230"/>
      <c r="G60" s="230"/>
      <c r="H60" s="231"/>
      <c r="I60" s="230"/>
      <c r="J60" s="230"/>
      <c r="K60" s="230"/>
      <c r="L60" s="275"/>
      <c r="M60" s="216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11"/>
    </row>
    <row r="61" spans="2:31" s="204" customFormat="1" ht="26.25" x14ac:dyDescent="0.25">
      <c r="B61" s="246" t="s">
        <v>192</v>
      </c>
      <c r="C61" s="246" t="s">
        <v>193</v>
      </c>
      <c r="D61" s="247" t="s">
        <v>3016</v>
      </c>
      <c r="E61" s="247"/>
      <c r="F61" s="247"/>
      <c r="G61" s="247"/>
      <c r="H61" s="248"/>
      <c r="I61" s="247"/>
      <c r="J61" s="247"/>
      <c r="K61" s="249"/>
      <c r="L61" s="276" t="s">
        <v>196</v>
      </c>
      <c r="M61" s="251" t="s">
        <v>2962</v>
      </c>
      <c r="N61" s="252">
        <f>SUM(N64:N67)</f>
        <v>5788592</v>
      </c>
      <c r="O61" s="252">
        <f>SUM(O64:O67)</f>
        <v>5790214</v>
      </c>
      <c r="P61" s="259">
        <f>+O61-N61</f>
        <v>1622</v>
      </c>
      <c r="Q61" s="252">
        <f>SUM(Q64:Q67)</f>
        <v>0</v>
      </c>
      <c r="R61" s="252">
        <f>SUM(R64:R67)</f>
        <v>5788592</v>
      </c>
      <c r="S61" s="252">
        <f>SUM(S64:S67)</f>
        <v>0</v>
      </c>
      <c r="V61" s="211"/>
      <c r="W61" s="252">
        <f>SUM(W64:W67)</f>
        <v>0</v>
      </c>
      <c r="X61" s="252">
        <f>SUM(X64:X67)</f>
        <v>0</v>
      </c>
      <c r="Y61" s="252">
        <f>SUM(Y64:Y67)</f>
        <v>0</v>
      </c>
      <c r="Z61" s="252">
        <f>SUM(Z64:Z67)</f>
        <v>1622</v>
      </c>
      <c r="AA61" s="211"/>
    </row>
    <row r="62" spans="2:31" s="204" customFormat="1" x14ac:dyDescent="0.25">
      <c r="B62" s="230"/>
      <c r="C62" s="230"/>
      <c r="D62" s="230"/>
      <c r="E62" s="230"/>
      <c r="F62" s="230"/>
      <c r="G62" s="230"/>
      <c r="H62" s="231"/>
      <c r="I62" s="230"/>
      <c r="J62" s="230"/>
      <c r="K62" s="230"/>
      <c r="L62" s="277"/>
      <c r="M62" s="216"/>
      <c r="N62" s="285"/>
      <c r="O62" s="211"/>
      <c r="P62" s="211"/>
      <c r="Q62" s="211"/>
      <c r="V62" s="211"/>
      <c r="W62" s="211"/>
      <c r="X62" s="211"/>
      <c r="Y62" s="211"/>
      <c r="Z62" s="211"/>
      <c r="AA62" s="285"/>
    </row>
    <row r="63" spans="2:31" s="204" customFormat="1" ht="63.75" x14ac:dyDescent="0.25">
      <c r="B63" s="260" t="s">
        <v>2968</v>
      </c>
      <c r="C63" s="260" t="s">
        <v>2969</v>
      </c>
      <c r="D63" s="206" t="s">
        <v>72</v>
      </c>
      <c r="E63" s="206"/>
      <c r="F63" s="206"/>
      <c r="G63" s="207"/>
      <c r="H63" s="207"/>
      <c r="I63" s="207"/>
      <c r="J63" s="207" t="s">
        <v>2957</v>
      </c>
      <c r="K63" s="206" t="s">
        <v>82</v>
      </c>
      <c r="L63" s="261" t="s">
        <v>2970</v>
      </c>
      <c r="M63" s="280"/>
      <c r="N63" s="256" t="str">
        <f>N$15</f>
        <v>Valore netto al 31/12/2019</v>
      </c>
      <c r="O63" s="256" t="str">
        <f>O$15</f>
        <v>Valore netto al 31/12/2020</v>
      </c>
      <c r="P63" s="256" t="str">
        <f>P$15</f>
        <v>Variazione</v>
      </c>
      <c r="Q63" s="262" t="s">
        <v>2971</v>
      </c>
      <c r="R63" s="262" t="str">
        <f>"Fondo ammortamento 31/12/"&amp;Info!$B$3-1</f>
        <v>Fondo ammortamento 31/12/2019</v>
      </c>
      <c r="S63" s="262" t="s">
        <v>2972</v>
      </c>
      <c r="V63" s="211"/>
      <c r="W63" s="262" t="s">
        <v>2975</v>
      </c>
      <c r="X63" s="262" t="s">
        <v>2976</v>
      </c>
      <c r="Y63" s="262" t="s">
        <v>2989</v>
      </c>
      <c r="Z63" s="262" t="s">
        <v>2990</v>
      </c>
      <c r="AA63" s="285"/>
    </row>
    <row r="64" spans="2:31" s="204" customFormat="1" x14ac:dyDescent="0.25">
      <c r="B64" s="246" t="s">
        <v>197</v>
      </c>
      <c r="C64" s="263" t="s">
        <v>198</v>
      </c>
      <c r="D64" s="274" t="s">
        <v>3017</v>
      </c>
      <c r="E64" s="264"/>
      <c r="F64" s="264"/>
      <c r="G64" s="265"/>
      <c r="H64" s="266"/>
      <c r="I64" s="281"/>
      <c r="J64" s="281"/>
      <c r="K64" s="281"/>
      <c r="L64" s="282" t="s">
        <v>3018</v>
      </c>
      <c r="M64" s="263" t="s">
        <v>2962</v>
      </c>
      <c r="N64" s="269">
        <f>+R64</f>
        <v>0</v>
      </c>
      <c r="O64" s="270">
        <f>+R64+S64+X64-ABS(Y64)+ABS(Z64)+W64+Q64</f>
        <v>0</v>
      </c>
      <c r="P64" s="271">
        <f>+O64-N64</f>
        <v>0</v>
      </c>
      <c r="Q64" s="272">
        <f>+'NI-San_SP'!Q64+'NI-Soc_SP'!Q64+'NI-Ric_SP'!Q64</f>
        <v>0</v>
      </c>
      <c r="R64" s="272">
        <f>+'NI-San_SP'!R64+'NI-Soc_SP'!R64+'NI-Ric_SP'!R64</f>
        <v>0</v>
      </c>
      <c r="S64" s="272">
        <f>+'NI-San_SP'!S64+'NI-Soc_SP'!S64+'NI-Ric_SP'!S64</f>
        <v>0</v>
      </c>
      <c r="V64" s="211"/>
      <c r="W64" s="272">
        <f>+'NI-San_SP'!W64+'NI-Soc_SP'!W64+'NI-Ric_SP'!W64</f>
        <v>0</v>
      </c>
      <c r="X64" s="272">
        <f>+'NI-San_SP'!X64+'NI-Soc_SP'!X64+'NI-Ric_SP'!X64</f>
        <v>0</v>
      </c>
      <c r="Y64" s="272">
        <f>+'NI-San_SP'!Y64+'NI-Soc_SP'!Y64+'NI-Ric_SP'!Y64</f>
        <v>0</v>
      </c>
      <c r="Z64" s="272">
        <f>+'NI-San_SP'!Z64+'NI-Soc_SP'!Z64+'NI-Ric_SP'!Z64</f>
        <v>0</v>
      </c>
      <c r="AA64" s="285"/>
    </row>
    <row r="65" spans="2:35" s="204" customFormat="1" x14ac:dyDescent="0.25">
      <c r="B65" s="246" t="s">
        <v>200</v>
      </c>
      <c r="C65" s="273" t="s">
        <v>201</v>
      </c>
      <c r="D65" s="274" t="s">
        <v>3019</v>
      </c>
      <c r="E65" s="264"/>
      <c r="F65" s="264"/>
      <c r="G65" s="265"/>
      <c r="H65" s="266"/>
      <c r="I65" s="281"/>
      <c r="J65" s="281"/>
      <c r="K65" s="281"/>
      <c r="L65" s="282" t="s">
        <v>3020</v>
      </c>
      <c r="M65" s="263" t="s">
        <v>2962</v>
      </c>
      <c r="N65" s="269">
        <f>+R65</f>
        <v>0</v>
      </c>
      <c r="O65" s="270">
        <f>+R65+S65+X65-ABS(Y65)+ABS(Z65)+W65+Q65</f>
        <v>0</v>
      </c>
      <c r="P65" s="271">
        <f>+O65-N65</f>
        <v>0</v>
      </c>
      <c r="Q65" s="272">
        <f>+'NI-San_SP'!Q65+'NI-Soc_SP'!Q65+'NI-Ric_SP'!Q65</f>
        <v>0</v>
      </c>
      <c r="R65" s="272">
        <f>+'NI-San_SP'!R65+'NI-Soc_SP'!R65+'NI-Ric_SP'!R65</f>
        <v>0</v>
      </c>
      <c r="S65" s="272">
        <f>+'NI-San_SP'!S65+'NI-Soc_SP'!S65+'NI-Ric_SP'!S65</f>
        <v>0</v>
      </c>
      <c r="V65" s="211"/>
      <c r="W65" s="272">
        <f>+'NI-San_SP'!W65+'NI-Soc_SP'!W65+'NI-Ric_SP'!W65</f>
        <v>0</v>
      </c>
      <c r="X65" s="272">
        <f>+'NI-San_SP'!X65+'NI-Soc_SP'!X65+'NI-Ric_SP'!X65</f>
        <v>0</v>
      </c>
      <c r="Y65" s="272">
        <f>+'NI-San_SP'!Y65+'NI-Soc_SP'!Y65+'NI-Ric_SP'!Y65</f>
        <v>0</v>
      </c>
      <c r="Z65" s="272">
        <f>+'NI-San_SP'!Z65+'NI-Soc_SP'!Z65+'NI-Ric_SP'!Z65</f>
        <v>0</v>
      </c>
      <c r="AA65" s="285"/>
    </row>
    <row r="66" spans="2:35" s="204" customFormat="1" ht="25.5" x14ac:dyDescent="0.25">
      <c r="B66" s="246" t="s">
        <v>203</v>
      </c>
      <c r="C66" s="273" t="s">
        <v>204</v>
      </c>
      <c r="D66" s="274" t="s">
        <v>3021</v>
      </c>
      <c r="E66" s="264"/>
      <c r="F66" s="274"/>
      <c r="G66" s="283"/>
      <c r="H66" s="266"/>
      <c r="I66" s="281"/>
      <c r="J66" s="281"/>
      <c r="K66" s="281"/>
      <c r="L66" s="288" t="s">
        <v>3022</v>
      </c>
      <c r="M66" s="284" t="s">
        <v>2962</v>
      </c>
      <c r="N66" s="269">
        <f>+R66</f>
        <v>5111855</v>
      </c>
      <c r="O66" s="270">
        <f>+R66+S66+X66-ABS(Y66)+ABS(Z66)+W66+Q66</f>
        <v>5113477</v>
      </c>
      <c r="P66" s="271">
        <f>+O66-N66</f>
        <v>1622</v>
      </c>
      <c r="Q66" s="272">
        <f>+'NI-San_SP'!Q66+'NI-Soc_SP'!Q66+'NI-Ric_SP'!Q66</f>
        <v>0</v>
      </c>
      <c r="R66" s="272">
        <f>+'NI-San_SP'!R66+'NI-Soc_SP'!R66+'NI-Ric_SP'!R66</f>
        <v>5111855</v>
      </c>
      <c r="S66" s="272">
        <f>+'NI-San_SP'!S66+'NI-Soc_SP'!S66+'NI-Ric_SP'!S66</f>
        <v>0</v>
      </c>
      <c r="V66" s="211"/>
      <c r="W66" s="272">
        <f>+'NI-San_SP'!W66+'NI-Soc_SP'!W66+'NI-Ric_SP'!W66</f>
        <v>0</v>
      </c>
      <c r="X66" s="272">
        <f>+'NI-San_SP'!X66+'NI-Soc_SP'!X66+'NI-Ric_SP'!X66</f>
        <v>0</v>
      </c>
      <c r="Y66" s="272">
        <f>+'NI-San_SP'!Y66+'NI-Soc_SP'!Y66+'NI-Ric_SP'!Y66</f>
        <v>0</v>
      </c>
      <c r="Z66" s="272">
        <f>+'NI-San_SP'!Z66+'NI-Soc_SP'!Z66+'NI-Ric_SP'!Z66</f>
        <v>1622</v>
      </c>
      <c r="AA66" s="285"/>
    </row>
    <row r="67" spans="2:35" s="204" customFormat="1" ht="25.5" x14ac:dyDescent="0.25">
      <c r="B67" s="246" t="s">
        <v>206</v>
      </c>
      <c r="C67" s="273" t="s">
        <v>207</v>
      </c>
      <c r="D67" s="274" t="s">
        <v>3023</v>
      </c>
      <c r="E67" s="264"/>
      <c r="F67" s="274"/>
      <c r="G67" s="283"/>
      <c r="H67" s="266"/>
      <c r="I67" s="281"/>
      <c r="J67" s="281"/>
      <c r="K67" s="281"/>
      <c r="L67" s="288" t="s">
        <v>3024</v>
      </c>
      <c r="M67" s="284" t="s">
        <v>2962</v>
      </c>
      <c r="N67" s="269">
        <f>+R67</f>
        <v>676737</v>
      </c>
      <c r="O67" s="270">
        <f>+R67+S67+X67-ABS(Y67)+ABS(Z67)+W67+Q67</f>
        <v>676737</v>
      </c>
      <c r="P67" s="271">
        <f>+O67-N67</f>
        <v>0</v>
      </c>
      <c r="Q67" s="272">
        <f>+'NI-San_SP'!Q67+'NI-Soc_SP'!Q67+'NI-Ric_SP'!Q67</f>
        <v>0</v>
      </c>
      <c r="R67" s="272">
        <f>+'NI-San_SP'!R67+'NI-Soc_SP'!R67+'NI-Ric_SP'!R67</f>
        <v>676737</v>
      </c>
      <c r="S67" s="272">
        <f>+'NI-San_SP'!S67+'NI-Soc_SP'!S67+'NI-Ric_SP'!S67</f>
        <v>0</v>
      </c>
      <c r="V67" s="211"/>
      <c r="W67" s="272">
        <f>+'NI-San_SP'!W67+'NI-Soc_SP'!W67+'NI-Ric_SP'!W67</f>
        <v>0</v>
      </c>
      <c r="X67" s="272">
        <f>+'NI-San_SP'!X67+'NI-Soc_SP'!X67+'NI-Ric_SP'!X67</f>
        <v>0</v>
      </c>
      <c r="Y67" s="272">
        <f>+'NI-San_SP'!Y67+'NI-Soc_SP'!Y67+'NI-Ric_SP'!Y67</f>
        <v>0</v>
      </c>
      <c r="Z67" s="272">
        <f>+'NI-San_SP'!Z67+'NI-Soc_SP'!Z67+'NI-Ric_SP'!Z67</f>
        <v>0</v>
      </c>
      <c r="AA67" s="285"/>
    </row>
    <row r="68" spans="2:35" s="204" customFormat="1" x14ac:dyDescent="0.25">
      <c r="B68" s="289"/>
      <c r="C68" s="289"/>
      <c r="D68" s="226"/>
      <c r="E68" s="226"/>
      <c r="F68" s="226"/>
      <c r="G68" s="290"/>
      <c r="H68" s="290"/>
      <c r="I68" s="290"/>
      <c r="J68" s="290"/>
      <c r="K68" s="290"/>
      <c r="L68" s="291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</row>
    <row r="69" spans="2:35" s="204" customFormat="1" ht="26.25" x14ac:dyDescent="0.25">
      <c r="B69" s="246" t="s">
        <v>209</v>
      </c>
      <c r="C69" s="292" t="s">
        <v>210</v>
      </c>
      <c r="D69" s="274" t="s">
        <v>3025</v>
      </c>
      <c r="E69" s="247"/>
      <c r="F69" s="247"/>
      <c r="G69" s="247"/>
      <c r="H69" s="248"/>
      <c r="I69" s="247"/>
      <c r="J69" s="247"/>
      <c r="K69" s="249"/>
      <c r="L69" s="276" t="s">
        <v>212</v>
      </c>
      <c r="M69" s="251" t="s">
        <v>2962</v>
      </c>
      <c r="N69" s="252">
        <f>SUM(N72:N75)</f>
        <v>0</v>
      </c>
      <c r="O69" s="252">
        <f>SUM(O72:O75)</f>
        <v>0</v>
      </c>
      <c r="P69" s="259">
        <f>+O69-N69</f>
        <v>0</v>
      </c>
      <c r="Q69" s="252">
        <f>SUM(Q72:Q75)</f>
        <v>0</v>
      </c>
      <c r="R69" s="252">
        <f>SUM(R72:R75)</f>
        <v>0</v>
      </c>
      <c r="S69" s="252">
        <f>SUM(S72:S75)</f>
        <v>0</v>
      </c>
      <c r="T69" s="252">
        <f>SUM(T72:T75)</f>
        <v>0</v>
      </c>
      <c r="U69" s="252">
        <f>SUM(U72:U75)</f>
        <v>0</v>
      </c>
      <c r="V69" s="216"/>
      <c r="W69" s="252">
        <f t="shared" ref="W69:AE69" si="2">SUM(W72:W75)</f>
        <v>0</v>
      </c>
      <c r="X69" s="252">
        <f t="shared" si="2"/>
        <v>0</v>
      </c>
      <c r="Y69" s="252">
        <f t="shared" si="2"/>
        <v>0</v>
      </c>
      <c r="Z69" s="252">
        <f t="shared" si="2"/>
        <v>0</v>
      </c>
      <c r="AA69" s="252">
        <f t="shared" si="2"/>
        <v>0</v>
      </c>
      <c r="AB69" s="252">
        <f t="shared" si="2"/>
        <v>0</v>
      </c>
      <c r="AC69" s="252">
        <f t="shared" si="2"/>
        <v>0</v>
      </c>
      <c r="AD69" s="252">
        <f t="shared" si="2"/>
        <v>0</v>
      </c>
      <c r="AE69" s="252">
        <f t="shared" si="2"/>
        <v>0</v>
      </c>
    </row>
    <row r="70" spans="2:35" s="204" customFormat="1" x14ac:dyDescent="0.25">
      <c r="B70" s="293"/>
      <c r="C70" s="293"/>
      <c r="D70" s="274"/>
      <c r="E70" s="230"/>
      <c r="F70" s="230"/>
      <c r="G70" s="230"/>
      <c r="H70" s="231"/>
      <c r="I70" s="230"/>
      <c r="J70" s="230"/>
      <c r="K70" s="230"/>
      <c r="L70" s="277"/>
      <c r="M70" s="216"/>
      <c r="N70" s="285"/>
      <c r="O70" s="211"/>
      <c r="P70" s="211"/>
      <c r="Q70" s="211"/>
      <c r="R70" s="216"/>
      <c r="T70" s="216"/>
      <c r="U70" s="216"/>
      <c r="V70" s="216"/>
      <c r="W70" s="211"/>
      <c r="X70" s="211"/>
      <c r="Y70" s="211"/>
      <c r="Z70" s="211"/>
      <c r="AA70" s="211"/>
    </row>
    <row r="71" spans="2:35" s="204" customFormat="1" ht="63.75" x14ac:dyDescent="0.25">
      <c r="B71" s="294" t="s">
        <v>2968</v>
      </c>
      <c r="C71" s="294" t="s">
        <v>2969</v>
      </c>
      <c r="D71" s="274" t="s">
        <v>72</v>
      </c>
      <c r="E71" s="206"/>
      <c r="F71" s="206"/>
      <c r="G71" s="207"/>
      <c r="H71" s="207"/>
      <c r="I71" s="207"/>
      <c r="J71" s="207" t="s">
        <v>2957</v>
      </c>
      <c r="K71" s="206" t="s">
        <v>82</v>
      </c>
      <c r="L71" s="261" t="s">
        <v>2970</v>
      </c>
      <c r="M71" s="280"/>
      <c r="N71" s="256" t="str">
        <f>N$15</f>
        <v>Valore netto al 31/12/2019</v>
      </c>
      <c r="O71" s="256" t="str">
        <f>O$15</f>
        <v>Valore netto al 31/12/2020</v>
      </c>
      <c r="P71" s="256" t="str">
        <f>P$15</f>
        <v>Variazione</v>
      </c>
      <c r="Q71" s="262" t="s">
        <v>2971</v>
      </c>
      <c r="R71" s="262" t="str">
        <f>"Costo storico al 31/12/"&amp;Info!$B$3-1</f>
        <v>Costo storico al 31/12/2019</v>
      </c>
      <c r="S71" s="262" t="s">
        <v>2972</v>
      </c>
      <c r="T71" s="262" t="s">
        <v>2973</v>
      </c>
      <c r="U71" s="262" t="s">
        <v>2974</v>
      </c>
      <c r="W71" s="262" t="s">
        <v>2975</v>
      </c>
      <c r="X71" s="262" t="s">
        <v>2976</v>
      </c>
      <c r="Y71" s="262" t="s">
        <v>2977</v>
      </c>
      <c r="Z71" s="262" t="s">
        <v>2978</v>
      </c>
      <c r="AA71" s="262" t="s">
        <v>2979</v>
      </c>
      <c r="AB71" s="262" t="s">
        <v>2980</v>
      </c>
      <c r="AC71" s="262" t="s">
        <v>2981</v>
      </c>
      <c r="AD71" s="262" t="s">
        <v>2982</v>
      </c>
      <c r="AE71" s="262" t="s">
        <v>2983</v>
      </c>
    </row>
    <row r="72" spans="2:35" s="204" customFormat="1" x14ac:dyDescent="0.25">
      <c r="B72" s="246" t="s">
        <v>213</v>
      </c>
      <c r="C72" s="273" t="s">
        <v>214</v>
      </c>
      <c r="D72" s="274" t="s">
        <v>3026</v>
      </c>
      <c r="E72" s="264"/>
      <c r="F72" s="264"/>
      <c r="G72" s="265"/>
      <c r="H72" s="266"/>
      <c r="I72" s="281"/>
      <c r="J72" s="281"/>
      <c r="K72" s="281"/>
      <c r="L72" s="282" t="s">
        <v>3027</v>
      </c>
      <c r="M72" s="263" t="s">
        <v>2962</v>
      </c>
      <c r="N72" s="269">
        <f>+R72+T72-U72</f>
        <v>0</v>
      </c>
      <c r="O72" s="270">
        <f>+N72+S72+X72+ABS(Y72)-ABS(AA72)+ABS(Z72)+ABS(AB72)+ABS(AD72)-ABS(AE72)+AC72+W72+Q72</f>
        <v>0</v>
      </c>
      <c r="P72" s="271">
        <f>+O72-N72</f>
        <v>0</v>
      </c>
      <c r="Q72" s="272">
        <f>+'NI-San_SP'!Q72+'NI-Soc_SP'!Q72+'NI-Ric_SP'!Q72</f>
        <v>0</v>
      </c>
      <c r="R72" s="272">
        <f>+'NI-San_SP'!R72+'NI-Soc_SP'!R72+'NI-Ric_SP'!R72</f>
        <v>0</v>
      </c>
      <c r="S72" s="272">
        <f>+'NI-San_SP'!S72+'NI-Soc_SP'!T72+'NI-Ric_SP'!T72</f>
        <v>0</v>
      </c>
      <c r="T72" s="272">
        <f>+'NI-San_SP'!T72+'NI-Soc_SP'!T72+'NI-Ric_SP'!T72</f>
        <v>0</v>
      </c>
      <c r="U72" s="272">
        <f>+'NI-San_SP'!U72+'NI-Soc_SP'!U72+'NI-Ric_SP'!U72</f>
        <v>0</v>
      </c>
      <c r="W72" s="272">
        <f>+'NI-San_SP'!W72+'NI-Soc_SP'!W72+'NI-Ric_SP'!W72</f>
        <v>0</v>
      </c>
      <c r="X72" s="272">
        <f>+'NI-San_SP'!X72+'NI-Soc_SP'!X72+'NI-Ric_SP'!X72</f>
        <v>0</v>
      </c>
      <c r="Y72" s="272">
        <f>+'NI-San_SP'!Y72+'NI-Soc_SP'!Y72+'NI-Ric_SP'!Y72</f>
        <v>0</v>
      </c>
      <c r="Z72" s="272">
        <f>+'NI-San_SP'!Z72+'NI-Soc_SP'!Z72+'NI-Ric_SP'!Z72</f>
        <v>0</v>
      </c>
      <c r="AA72" s="272">
        <f>+'NI-San_SP'!AA72+'NI-Soc_SP'!AA72+'NI-Ric_SP'!AA72</f>
        <v>0</v>
      </c>
      <c r="AB72" s="272">
        <f>+'NI-San_SP'!AB72+'NI-Soc_SP'!AB72+'NI-Ric_SP'!AB72</f>
        <v>0</v>
      </c>
      <c r="AC72" s="272">
        <f>+'NI-San_SP'!AC72+'NI-Soc_SP'!AC72+'NI-Ric_SP'!AC72</f>
        <v>0</v>
      </c>
      <c r="AD72" s="272">
        <f>+'NI-San_SP'!AD72+'NI-Soc_SP'!AD72+'NI-Ric_SP'!AD72</f>
        <v>0</v>
      </c>
      <c r="AE72" s="272">
        <f>+'NI-San_SP'!AE72+'NI-Soc_SP'!AE72+'NI-Ric_SP'!AE72</f>
        <v>0</v>
      </c>
    </row>
    <row r="73" spans="2:35" s="204" customFormat="1" x14ac:dyDescent="0.25">
      <c r="B73" s="246" t="s">
        <v>216</v>
      </c>
      <c r="C73" s="273" t="s">
        <v>217</v>
      </c>
      <c r="D73" s="274" t="s">
        <v>3028</v>
      </c>
      <c r="E73" s="264"/>
      <c r="F73" s="264"/>
      <c r="G73" s="265"/>
      <c r="H73" s="266"/>
      <c r="I73" s="281"/>
      <c r="J73" s="281"/>
      <c r="K73" s="281"/>
      <c r="L73" s="282" t="s">
        <v>3029</v>
      </c>
      <c r="M73" s="263" t="s">
        <v>2962</v>
      </c>
      <c r="N73" s="269">
        <f>+R73+T73-U73</f>
        <v>0</v>
      </c>
      <c r="O73" s="270">
        <f>+N73+S73+X73+ABS(Y73)-ABS(AA73)+ABS(Z73)+ABS(AB73)+ABS(AD73)-ABS(AE73)+AC73+W73+Q73</f>
        <v>0</v>
      </c>
      <c r="P73" s="271">
        <f>+O73-N73</f>
        <v>0</v>
      </c>
      <c r="Q73" s="272">
        <f>+'NI-San_SP'!Q73+'NI-Soc_SP'!Q73+'NI-Ric_SP'!Q73</f>
        <v>0</v>
      </c>
      <c r="R73" s="272">
        <f>+'NI-San_SP'!R73+'NI-Soc_SP'!R73+'NI-Ric_SP'!R73</f>
        <v>0</v>
      </c>
      <c r="S73" s="272">
        <f>+'NI-San_SP'!S73+'NI-Soc_SP'!T73+'NI-Ric_SP'!T73</f>
        <v>0</v>
      </c>
      <c r="T73" s="272">
        <f>+'NI-San_SP'!T73+'NI-Soc_SP'!T73+'NI-Ric_SP'!T73</f>
        <v>0</v>
      </c>
      <c r="U73" s="272">
        <f>+'NI-San_SP'!U73+'NI-Soc_SP'!U73+'NI-Ric_SP'!U73</f>
        <v>0</v>
      </c>
      <c r="W73" s="272">
        <f>+'NI-San_SP'!W73+'NI-Soc_SP'!W73+'NI-Ric_SP'!W73</f>
        <v>0</v>
      </c>
      <c r="X73" s="272">
        <f>+'NI-San_SP'!X73+'NI-Soc_SP'!X73+'NI-Ric_SP'!X73</f>
        <v>0</v>
      </c>
      <c r="Y73" s="272">
        <f>+'NI-San_SP'!Y73+'NI-Soc_SP'!Y73+'NI-Ric_SP'!Y73</f>
        <v>0</v>
      </c>
      <c r="Z73" s="272">
        <f>+'NI-San_SP'!Z73+'NI-Soc_SP'!Z73+'NI-Ric_SP'!Z73</f>
        <v>0</v>
      </c>
      <c r="AA73" s="272">
        <f>+'NI-San_SP'!AA73+'NI-Soc_SP'!AA73+'NI-Ric_SP'!AA73</f>
        <v>0</v>
      </c>
      <c r="AB73" s="272">
        <f>+'NI-San_SP'!AB73+'NI-Soc_SP'!AB73+'NI-Ric_SP'!AB73</f>
        <v>0</v>
      </c>
      <c r="AC73" s="272">
        <f>+'NI-San_SP'!AC73+'NI-Soc_SP'!AC73+'NI-Ric_SP'!AC73</f>
        <v>0</v>
      </c>
      <c r="AD73" s="272">
        <f>+'NI-San_SP'!AD73+'NI-Soc_SP'!AD73+'NI-Ric_SP'!AD73</f>
        <v>0</v>
      </c>
      <c r="AE73" s="272">
        <f>+'NI-San_SP'!AE73+'NI-Soc_SP'!AE73+'NI-Ric_SP'!AE73</f>
        <v>0</v>
      </c>
    </row>
    <row r="74" spans="2:35" s="204" customFormat="1" x14ac:dyDescent="0.25">
      <c r="B74" s="246" t="s">
        <v>219</v>
      </c>
      <c r="C74" s="273" t="s">
        <v>220</v>
      </c>
      <c r="D74" s="274" t="s">
        <v>3030</v>
      </c>
      <c r="E74" s="264"/>
      <c r="F74" s="274"/>
      <c r="G74" s="283"/>
      <c r="H74" s="266"/>
      <c r="I74" s="281"/>
      <c r="J74" s="281"/>
      <c r="K74" s="281"/>
      <c r="L74" s="288" t="s">
        <v>3031</v>
      </c>
      <c r="M74" s="284" t="s">
        <v>2962</v>
      </c>
      <c r="N74" s="269">
        <f>+R74+T74-U74</f>
        <v>0</v>
      </c>
      <c r="O74" s="270">
        <f>+N74+S74+X74+ABS(Y74)-ABS(AA74)+ABS(Z74)+ABS(AB74)+ABS(AD74)-ABS(AE74)+AC74+W74+Q74</f>
        <v>0</v>
      </c>
      <c r="P74" s="271">
        <f>+O74-N74</f>
        <v>0</v>
      </c>
      <c r="Q74" s="272">
        <f>+'NI-San_SP'!Q74+'NI-Soc_SP'!Q74+'NI-Ric_SP'!Q74</f>
        <v>0</v>
      </c>
      <c r="R74" s="272">
        <f>+'NI-San_SP'!R74+'NI-Soc_SP'!R74+'NI-Ric_SP'!R74</f>
        <v>0</v>
      </c>
      <c r="S74" s="272">
        <f>+'NI-San_SP'!S74+'NI-Soc_SP'!T74+'NI-Ric_SP'!T74</f>
        <v>0</v>
      </c>
      <c r="T74" s="272">
        <f>+'NI-San_SP'!T74+'NI-Soc_SP'!T74+'NI-Ric_SP'!T74</f>
        <v>0</v>
      </c>
      <c r="U74" s="272">
        <f>+'NI-San_SP'!U74+'NI-Soc_SP'!U74+'NI-Ric_SP'!U74</f>
        <v>0</v>
      </c>
      <c r="W74" s="272">
        <f>+'NI-San_SP'!W74+'NI-Soc_SP'!W74+'NI-Ric_SP'!W74</f>
        <v>0</v>
      </c>
      <c r="X74" s="272">
        <f>+'NI-San_SP'!X74+'NI-Soc_SP'!X74+'NI-Ric_SP'!X74</f>
        <v>0</v>
      </c>
      <c r="Y74" s="272">
        <f>+'NI-San_SP'!Y74+'NI-Soc_SP'!Y74+'NI-Ric_SP'!Y74</f>
        <v>0</v>
      </c>
      <c r="Z74" s="272">
        <f>+'NI-San_SP'!Z74+'NI-Soc_SP'!Z74+'NI-Ric_SP'!Z74</f>
        <v>0</v>
      </c>
      <c r="AA74" s="272">
        <f>+'NI-San_SP'!AA74+'NI-Soc_SP'!AA74+'NI-Ric_SP'!AA74</f>
        <v>0</v>
      </c>
      <c r="AB74" s="272">
        <f>+'NI-San_SP'!AB74+'NI-Soc_SP'!AB74+'NI-Ric_SP'!AB74</f>
        <v>0</v>
      </c>
      <c r="AC74" s="272">
        <f>+'NI-San_SP'!AC74+'NI-Soc_SP'!AC74+'NI-Ric_SP'!AC74</f>
        <v>0</v>
      </c>
      <c r="AD74" s="272">
        <f>+'NI-San_SP'!AD74+'NI-Soc_SP'!AD74+'NI-Ric_SP'!AD74</f>
        <v>0</v>
      </c>
      <c r="AE74" s="272">
        <f>+'NI-San_SP'!AE74+'NI-Soc_SP'!AE74+'NI-Ric_SP'!AE74</f>
        <v>0</v>
      </c>
    </row>
    <row r="75" spans="2:35" s="204" customFormat="1" x14ac:dyDescent="0.25">
      <c r="B75" s="246" t="s">
        <v>222</v>
      </c>
      <c r="C75" s="273" t="s">
        <v>223</v>
      </c>
      <c r="D75" s="274" t="s">
        <v>3032</v>
      </c>
      <c r="E75" s="264"/>
      <c r="F75" s="274"/>
      <c r="G75" s="283"/>
      <c r="H75" s="266"/>
      <c r="I75" s="281"/>
      <c r="J75" s="281"/>
      <c r="K75" s="281"/>
      <c r="L75" s="288" t="s">
        <v>3033</v>
      </c>
      <c r="M75" s="284" t="s">
        <v>2962</v>
      </c>
      <c r="N75" s="269">
        <f>+R75+T75-U75</f>
        <v>0</v>
      </c>
      <c r="O75" s="270">
        <f>+N75+S75+X75+ABS(Y75)-ABS(AA75)+ABS(Z75)+ABS(AB75)+ABS(AD75)-ABS(AE75)+AC75+W75+Q75</f>
        <v>0</v>
      </c>
      <c r="P75" s="271">
        <f>+O75-N75</f>
        <v>0</v>
      </c>
      <c r="Q75" s="272">
        <f>+'NI-San_SP'!Q75+'NI-Soc_SP'!Q75+'NI-Ric_SP'!Q75</f>
        <v>0</v>
      </c>
      <c r="R75" s="272">
        <f>+'NI-San_SP'!R75+'NI-Soc_SP'!R75+'NI-Ric_SP'!R75</f>
        <v>0</v>
      </c>
      <c r="S75" s="272">
        <f>+'NI-San_SP'!S75+'NI-Soc_SP'!T75+'NI-Ric_SP'!T75</f>
        <v>0</v>
      </c>
      <c r="T75" s="272">
        <f>+'NI-San_SP'!T75+'NI-Soc_SP'!T75+'NI-Ric_SP'!T75</f>
        <v>0</v>
      </c>
      <c r="U75" s="272">
        <f>+'NI-San_SP'!U75+'NI-Soc_SP'!U75+'NI-Ric_SP'!U75</f>
        <v>0</v>
      </c>
      <c r="W75" s="272">
        <f>+'NI-San_SP'!W75+'NI-Soc_SP'!W75+'NI-Ric_SP'!W75</f>
        <v>0</v>
      </c>
      <c r="X75" s="272">
        <f>+'NI-San_SP'!X75+'NI-Soc_SP'!X75+'NI-Ric_SP'!X75</f>
        <v>0</v>
      </c>
      <c r="Y75" s="272">
        <f>+'NI-San_SP'!Y75+'NI-Soc_SP'!Y75+'NI-Ric_SP'!Y75</f>
        <v>0</v>
      </c>
      <c r="Z75" s="272">
        <f>+'NI-San_SP'!Z75+'NI-Soc_SP'!Z75+'NI-Ric_SP'!Z75</f>
        <v>0</v>
      </c>
      <c r="AA75" s="272">
        <f>+'NI-San_SP'!AA75+'NI-Soc_SP'!AA75+'NI-Ric_SP'!AA75</f>
        <v>0</v>
      </c>
      <c r="AB75" s="272">
        <f>+'NI-San_SP'!AB75+'NI-Soc_SP'!AB75+'NI-Ric_SP'!AB75</f>
        <v>0</v>
      </c>
      <c r="AC75" s="272">
        <f>+'NI-San_SP'!AC75+'NI-Soc_SP'!AC75+'NI-Ric_SP'!AC75</f>
        <v>0</v>
      </c>
      <c r="AD75" s="272">
        <f>+'NI-San_SP'!AD75+'NI-Soc_SP'!AD75+'NI-Ric_SP'!AD75</f>
        <v>0</v>
      </c>
      <c r="AE75" s="272">
        <f>+'NI-San_SP'!AE75+'NI-Soc_SP'!AE75+'NI-Ric_SP'!AE75</f>
        <v>0</v>
      </c>
    </row>
    <row r="76" spans="2:35" s="204" customFormat="1" x14ac:dyDescent="0.25">
      <c r="B76" s="293"/>
      <c r="C76" s="293"/>
      <c r="D76" s="230"/>
      <c r="E76" s="230"/>
      <c r="F76" s="230"/>
      <c r="G76" s="230"/>
      <c r="H76" s="231"/>
      <c r="I76" s="230"/>
      <c r="J76" s="230"/>
      <c r="K76" s="230"/>
      <c r="L76" s="275"/>
      <c r="M76" s="216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11"/>
    </row>
    <row r="77" spans="2:35" s="204" customFormat="1" ht="26.25" x14ac:dyDescent="0.25">
      <c r="B77" s="246" t="s">
        <v>225</v>
      </c>
      <c r="C77" s="292" t="s">
        <v>226</v>
      </c>
      <c r="D77" s="274" t="s">
        <v>3034</v>
      </c>
      <c r="E77" s="247"/>
      <c r="F77" s="247"/>
      <c r="G77" s="247"/>
      <c r="H77" s="248"/>
      <c r="I77" s="247"/>
      <c r="J77" s="247"/>
      <c r="K77" s="249"/>
      <c r="L77" s="276" t="s">
        <v>228</v>
      </c>
      <c r="M77" s="251" t="s">
        <v>2962</v>
      </c>
      <c r="N77" s="252">
        <f>SUM(N80:N83)</f>
        <v>0</v>
      </c>
      <c r="O77" s="252">
        <f>SUM(O80:O83)</f>
        <v>0</v>
      </c>
      <c r="P77" s="259">
        <f>+O77-N77</f>
        <v>0</v>
      </c>
      <c r="Q77" s="252">
        <f>SUM(Q80:Q83)</f>
        <v>0</v>
      </c>
      <c r="R77" s="252">
        <f>SUM(R80:R83)</f>
        <v>0</v>
      </c>
      <c r="S77" s="252">
        <f>SUM(S80:S83)</f>
        <v>0</v>
      </c>
      <c r="V77" s="211"/>
      <c r="W77" s="252">
        <f>SUM(W80:W83)</f>
        <v>0</v>
      </c>
      <c r="X77" s="252">
        <f>SUM(X80:X83)</f>
        <v>0</v>
      </c>
      <c r="Y77" s="252">
        <f>SUM(Y80:Y83)</f>
        <v>0</v>
      </c>
      <c r="Z77" s="252">
        <f>SUM(Z80:Z83)</f>
        <v>0</v>
      </c>
      <c r="AA77" s="211"/>
    </row>
    <row r="78" spans="2:35" s="204" customFormat="1" x14ac:dyDescent="0.25">
      <c r="B78" s="293"/>
      <c r="C78" s="293"/>
      <c r="D78" s="230"/>
      <c r="E78" s="230"/>
      <c r="F78" s="230"/>
      <c r="G78" s="230"/>
      <c r="H78" s="231"/>
      <c r="I78" s="230"/>
      <c r="J78" s="230"/>
      <c r="K78" s="230"/>
      <c r="L78" s="277"/>
      <c r="M78" s="216"/>
      <c r="N78" s="285"/>
      <c r="O78" s="211"/>
      <c r="P78" s="211"/>
      <c r="Q78" s="211"/>
      <c r="V78" s="211"/>
      <c r="W78" s="211"/>
      <c r="X78" s="211"/>
      <c r="Y78" s="211"/>
      <c r="Z78" s="211"/>
      <c r="AA78" s="285"/>
    </row>
    <row r="79" spans="2:35" s="204" customFormat="1" ht="63.75" x14ac:dyDescent="0.25">
      <c r="B79" s="294" t="s">
        <v>2968</v>
      </c>
      <c r="C79" s="294" t="s">
        <v>2969</v>
      </c>
      <c r="D79" s="206" t="s">
        <v>72</v>
      </c>
      <c r="E79" s="206"/>
      <c r="F79" s="206"/>
      <c r="G79" s="207"/>
      <c r="H79" s="207"/>
      <c r="I79" s="207"/>
      <c r="J79" s="207" t="s">
        <v>2957</v>
      </c>
      <c r="K79" s="206" t="s">
        <v>82</v>
      </c>
      <c r="L79" s="261" t="s">
        <v>2970</v>
      </c>
      <c r="M79" s="280"/>
      <c r="N79" s="256" t="str">
        <f>N$15</f>
        <v>Valore netto al 31/12/2019</v>
      </c>
      <c r="O79" s="256" t="str">
        <f>O$15</f>
        <v>Valore netto al 31/12/2020</v>
      </c>
      <c r="P79" s="256" t="str">
        <f>P$15</f>
        <v>Variazione</v>
      </c>
      <c r="Q79" s="262" t="s">
        <v>2971</v>
      </c>
      <c r="R79" s="262" t="str">
        <f>"Fondo ammortamento 31/12/"&amp;Info!$B$3-1</f>
        <v>Fondo ammortamento 31/12/2019</v>
      </c>
      <c r="S79" s="262" t="s">
        <v>2972</v>
      </c>
      <c r="V79" s="211"/>
      <c r="W79" s="262" t="s">
        <v>2975</v>
      </c>
      <c r="X79" s="262" t="s">
        <v>2976</v>
      </c>
      <c r="Y79" s="262" t="s">
        <v>2989</v>
      </c>
      <c r="Z79" s="262" t="s">
        <v>2990</v>
      </c>
      <c r="AA79" s="285"/>
    </row>
    <row r="80" spans="2:35" s="204" customFormat="1" x14ac:dyDescent="0.25">
      <c r="B80" s="246" t="s">
        <v>229</v>
      </c>
      <c r="C80" s="273" t="s">
        <v>230</v>
      </c>
      <c r="D80" s="274" t="s">
        <v>3035</v>
      </c>
      <c r="E80" s="264"/>
      <c r="F80" s="264"/>
      <c r="G80" s="265"/>
      <c r="H80" s="266"/>
      <c r="I80" s="281"/>
      <c r="J80" s="281"/>
      <c r="K80" s="281"/>
      <c r="L80" s="282" t="s">
        <v>3036</v>
      </c>
      <c r="M80" s="263" t="s">
        <v>2962</v>
      </c>
      <c r="N80" s="269">
        <f>+R80</f>
        <v>0</v>
      </c>
      <c r="O80" s="270">
        <f>+R80+S80+X80-ABS(Y80)+ABS(Z80)+W80+Q80</f>
        <v>0</v>
      </c>
      <c r="P80" s="271">
        <f>+O80-N80</f>
        <v>0</v>
      </c>
      <c r="Q80" s="272">
        <f>+'NI-San_SP'!Q80+'NI-Soc_SP'!Q80+'NI-Ric_SP'!Q80</f>
        <v>0</v>
      </c>
      <c r="R80" s="272">
        <f>+'NI-San_SP'!R80+'NI-Soc_SP'!R80+'NI-Ric_SP'!R80</f>
        <v>0</v>
      </c>
      <c r="S80" s="272">
        <f>+'NI-San_SP'!S80+'NI-Soc_SP'!S80+'NI-Ric_SP'!S80</f>
        <v>0</v>
      </c>
      <c r="V80" s="211"/>
      <c r="W80" s="272">
        <f>+'NI-San_SP'!W80+'NI-Soc_SP'!W80+'NI-Ric_SP'!W80</f>
        <v>0</v>
      </c>
      <c r="X80" s="272">
        <f>+'NI-San_SP'!X80+'NI-Soc_SP'!X80+'NI-Ric_SP'!X80</f>
        <v>0</v>
      </c>
      <c r="Y80" s="272">
        <f>+'NI-San_SP'!Y80+'NI-Soc_SP'!Y80+'NI-Ric_SP'!Y80</f>
        <v>0</v>
      </c>
      <c r="Z80" s="272">
        <f>+'NI-San_SP'!Z80+'NI-Soc_SP'!Z80+'NI-Ric_SP'!Z80</f>
        <v>0</v>
      </c>
      <c r="AA80" s="285"/>
    </row>
    <row r="81" spans="2:31" s="204" customFormat="1" x14ac:dyDescent="0.25">
      <c r="B81" s="246" t="s">
        <v>232</v>
      </c>
      <c r="C81" s="273" t="s">
        <v>233</v>
      </c>
      <c r="D81" s="274" t="s">
        <v>3037</v>
      </c>
      <c r="E81" s="264"/>
      <c r="F81" s="264"/>
      <c r="G81" s="265"/>
      <c r="H81" s="266"/>
      <c r="I81" s="281"/>
      <c r="J81" s="281"/>
      <c r="K81" s="281"/>
      <c r="L81" s="282" t="s">
        <v>3038</v>
      </c>
      <c r="M81" s="263" t="s">
        <v>2962</v>
      </c>
      <c r="N81" s="269">
        <f>+R81</f>
        <v>0</v>
      </c>
      <c r="O81" s="270">
        <f>+R81+S81+X81-ABS(Y81)+ABS(Z81)+W81+Q81</f>
        <v>0</v>
      </c>
      <c r="P81" s="271">
        <f>+O81-N81</f>
        <v>0</v>
      </c>
      <c r="Q81" s="272">
        <f>+'NI-San_SP'!Q81+'NI-Soc_SP'!Q81+'NI-Ric_SP'!Q81</f>
        <v>0</v>
      </c>
      <c r="R81" s="272">
        <f>+'NI-San_SP'!R81+'NI-Soc_SP'!R81+'NI-Ric_SP'!R81</f>
        <v>0</v>
      </c>
      <c r="S81" s="272">
        <f>+'NI-San_SP'!S81+'NI-Soc_SP'!S81+'NI-Ric_SP'!S81</f>
        <v>0</v>
      </c>
      <c r="V81" s="211"/>
      <c r="W81" s="272">
        <f>+'NI-San_SP'!W81+'NI-Soc_SP'!W81+'NI-Ric_SP'!W81</f>
        <v>0</v>
      </c>
      <c r="X81" s="272">
        <f>+'NI-San_SP'!X81+'NI-Soc_SP'!X81+'NI-Ric_SP'!X81</f>
        <v>0</v>
      </c>
      <c r="Y81" s="272">
        <f>+'NI-San_SP'!Y81+'NI-Soc_SP'!Y81+'NI-Ric_SP'!Y81</f>
        <v>0</v>
      </c>
      <c r="Z81" s="272">
        <f>+'NI-San_SP'!Z81+'NI-Soc_SP'!Z81+'NI-Ric_SP'!Z81</f>
        <v>0</v>
      </c>
      <c r="AA81" s="285"/>
    </row>
    <row r="82" spans="2:31" s="204" customFormat="1" ht="25.5" x14ac:dyDescent="0.25">
      <c r="B82" s="246" t="s">
        <v>235</v>
      </c>
      <c r="C82" s="273" t="s">
        <v>236</v>
      </c>
      <c r="D82" s="274" t="s">
        <v>3039</v>
      </c>
      <c r="E82" s="264"/>
      <c r="F82" s="274"/>
      <c r="G82" s="283"/>
      <c r="H82" s="266"/>
      <c r="I82" s="281"/>
      <c r="J82" s="281"/>
      <c r="K82" s="281"/>
      <c r="L82" s="288" t="s">
        <v>3040</v>
      </c>
      <c r="M82" s="284" t="s">
        <v>2962</v>
      </c>
      <c r="N82" s="269">
        <f>+R82</f>
        <v>0</v>
      </c>
      <c r="O82" s="270">
        <f>+R82+S82+X82-ABS(Y82)+ABS(Z82)+W82+Q82</f>
        <v>0</v>
      </c>
      <c r="P82" s="271">
        <f>+O82-N82</f>
        <v>0</v>
      </c>
      <c r="Q82" s="272">
        <f>+'NI-San_SP'!Q82+'NI-Soc_SP'!Q82+'NI-Ric_SP'!Q82</f>
        <v>0</v>
      </c>
      <c r="R82" s="272">
        <f>+'NI-San_SP'!R82+'NI-Soc_SP'!R82+'NI-Ric_SP'!R82</f>
        <v>0</v>
      </c>
      <c r="S82" s="272">
        <f>+'NI-San_SP'!S82+'NI-Soc_SP'!S82+'NI-Ric_SP'!S82</f>
        <v>0</v>
      </c>
      <c r="V82" s="211"/>
      <c r="W82" s="272">
        <f>+'NI-San_SP'!W82+'NI-Soc_SP'!W82+'NI-Ric_SP'!W82</f>
        <v>0</v>
      </c>
      <c r="X82" s="272">
        <f>+'NI-San_SP'!X82+'NI-Soc_SP'!X82+'NI-Ric_SP'!X82</f>
        <v>0</v>
      </c>
      <c r="Y82" s="272">
        <f>+'NI-San_SP'!Y82+'NI-Soc_SP'!Y82+'NI-Ric_SP'!Y82</f>
        <v>0</v>
      </c>
      <c r="Z82" s="272">
        <f>+'NI-San_SP'!Z82+'NI-Soc_SP'!Z82+'NI-Ric_SP'!Z82</f>
        <v>0</v>
      </c>
      <c r="AA82" s="285"/>
    </row>
    <row r="83" spans="2:31" s="204" customFormat="1" ht="25.5" x14ac:dyDescent="0.25">
      <c r="B83" s="246" t="s">
        <v>238</v>
      </c>
      <c r="C83" s="273" t="s">
        <v>239</v>
      </c>
      <c r="D83" s="274" t="s">
        <v>3041</v>
      </c>
      <c r="E83" s="264"/>
      <c r="F83" s="274"/>
      <c r="G83" s="283"/>
      <c r="H83" s="266"/>
      <c r="I83" s="281"/>
      <c r="J83" s="281"/>
      <c r="K83" s="281"/>
      <c r="L83" s="288" t="s">
        <v>3042</v>
      </c>
      <c r="M83" s="284" t="s">
        <v>2962</v>
      </c>
      <c r="N83" s="269">
        <f>+R83</f>
        <v>0</v>
      </c>
      <c r="O83" s="270">
        <f>+R83+S83+X83-ABS(Y83)+ABS(Z83)+W83+Q83</f>
        <v>0</v>
      </c>
      <c r="P83" s="271">
        <f>+O83-N83</f>
        <v>0</v>
      </c>
      <c r="Q83" s="272">
        <f>+'NI-San_SP'!Q83+'NI-Soc_SP'!Q83+'NI-Ric_SP'!Q83</f>
        <v>0</v>
      </c>
      <c r="R83" s="272">
        <f>+'NI-San_SP'!R83+'NI-Soc_SP'!R83+'NI-Ric_SP'!R83</f>
        <v>0</v>
      </c>
      <c r="S83" s="272">
        <f>+'NI-San_SP'!S83+'NI-Soc_SP'!S83+'NI-Ric_SP'!S83</f>
        <v>0</v>
      </c>
      <c r="V83" s="211"/>
      <c r="W83" s="272">
        <f>+'NI-San_SP'!W83+'NI-Soc_SP'!W83+'NI-Ric_SP'!W83</f>
        <v>0</v>
      </c>
      <c r="X83" s="272">
        <f>+'NI-San_SP'!X83+'NI-Soc_SP'!X83+'NI-Ric_SP'!X83</f>
        <v>0</v>
      </c>
      <c r="Y83" s="272">
        <f>+'NI-San_SP'!Y83+'NI-Soc_SP'!Y83+'NI-Ric_SP'!Y83</f>
        <v>0</v>
      </c>
      <c r="Z83" s="272">
        <f>+'NI-San_SP'!Z83+'NI-Soc_SP'!Z83+'NI-Ric_SP'!Z83</f>
        <v>0</v>
      </c>
      <c r="AA83" s="285"/>
    </row>
    <row r="84" spans="2:31" s="204" customFormat="1" x14ac:dyDescent="0.25">
      <c r="B84" s="293"/>
      <c r="C84" s="293"/>
      <c r="D84" s="230"/>
      <c r="E84" s="230"/>
      <c r="F84" s="230"/>
      <c r="G84" s="230"/>
      <c r="H84" s="231"/>
      <c r="I84" s="230"/>
      <c r="J84" s="230"/>
      <c r="K84" s="230"/>
      <c r="L84" s="275"/>
      <c r="M84" s="216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</row>
    <row r="85" spans="2:31" s="204" customFormat="1" ht="25.5" x14ac:dyDescent="0.25">
      <c r="B85" s="293"/>
      <c r="C85" s="293"/>
      <c r="D85" s="230"/>
      <c r="E85" s="230"/>
      <c r="F85" s="230"/>
      <c r="G85" s="230"/>
      <c r="H85" s="231"/>
      <c r="I85" s="230"/>
      <c r="J85" s="230"/>
      <c r="K85" s="230"/>
      <c r="L85" s="255"/>
      <c r="M85" s="244"/>
      <c r="N85" s="256" t="str">
        <f>N$15</f>
        <v>Valore netto al 31/12/2019</v>
      </c>
      <c r="O85" s="256" t="str">
        <f>O$15</f>
        <v>Valore netto al 31/12/2020</v>
      </c>
      <c r="P85" s="256" t="str">
        <f>P$15</f>
        <v>Variazione</v>
      </c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</row>
    <row r="86" spans="2:31" s="204" customFormat="1" x14ac:dyDescent="0.25">
      <c r="B86" s="246" t="s">
        <v>241</v>
      </c>
      <c r="C86" s="246" t="s">
        <v>242</v>
      </c>
      <c r="D86" s="247" t="s">
        <v>3043</v>
      </c>
      <c r="E86" s="247"/>
      <c r="F86" s="247"/>
      <c r="G86" s="247"/>
      <c r="H86" s="248"/>
      <c r="I86" s="247"/>
      <c r="J86" s="247"/>
      <c r="K86" s="249"/>
      <c r="L86" s="257" t="s">
        <v>246</v>
      </c>
      <c r="M86" s="251" t="s">
        <v>2962</v>
      </c>
      <c r="N86" s="252">
        <f>SUM(N89:N90)</f>
        <v>1247582</v>
      </c>
      <c r="O86" s="252">
        <f>SUM(O89:O90)</f>
        <v>541999</v>
      </c>
      <c r="P86" s="253">
        <f>+O86-N86</f>
        <v>-705583</v>
      </c>
      <c r="Q86" s="252">
        <f>SUM(Q89:Q90)</f>
        <v>0</v>
      </c>
      <c r="R86" s="252">
        <f>SUM(R89:R90)</f>
        <v>1247582</v>
      </c>
      <c r="S86" s="252">
        <f>SUM(S89:S90)</f>
        <v>0</v>
      </c>
      <c r="T86" s="252">
        <f>SUM(T89:T90)</f>
        <v>0</v>
      </c>
      <c r="U86" s="252">
        <f>SUM(U89:U90)</f>
        <v>0</v>
      </c>
      <c r="V86" s="216"/>
      <c r="W86" s="252">
        <f t="shared" ref="W86:AE86" si="3">SUM(W89:W90)</f>
        <v>0</v>
      </c>
      <c r="X86" s="252">
        <f t="shared" si="3"/>
        <v>-916867</v>
      </c>
      <c r="Y86" s="252">
        <f t="shared" si="3"/>
        <v>0</v>
      </c>
      <c r="Z86" s="252">
        <f t="shared" si="3"/>
        <v>0</v>
      </c>
      <c r="AA86" s="252">
        <f t="shared" si="3"/>
        <v>0</v>
      </c>
      <c r="AB86" s="252">
        <f t="shared" si="3"/>
        <v>211284</v>
      </c>
      <c r="AC86" s="252">
        <f t="shared" si="3"/>
        <v>0</v>
      </c>
      <c r="AD86" s="252">
        <f t="shared" si="3"/>
        <v>0</v>
      </c>
      <c r="AE86" s="252">
        <f t="shared" si="3"/>
        <v>0</v>
      </c>
    </row>
    <row r="87" spans="2:31" s="204" customFormat="1" x14ac:dyDescent="0.25">
      <c r="B87" s="230"/>
      <c r="C87" s="230"/>
      <c r="D87" s="230"/>
      <c r="E87" s="230"/>
      <c r="F87" s="230"/>
      <c r="G87" s="230"/>
      <c r="H87" s="231"/>
      <c r="I87" s="230"/>
      <c r="J87" s="230"/>
      <c r="K87" s="230"/>
      <c r="L87" s="277"/>
      <c r="M87" s="211"/>
      <c r="N87" s="254"/>
      <c r="O87" s="211"/>
      <c r="P87" s="211"/>
      <c r="Q87" s="211"/>
      <c r="R87" s="216"/>
      <c r="T87" s="216"/>
      <c r="U87" s="216"/>
      <c r="V87" s="216"/>
      <c r="W87" s="211"/>
      <c r="X87" s="211"/>
      <c r="Y87" s="211"/>
      <c r="Z87" s="211"/>
      <c r="AA87" s="211"/>
    </row>
    <row r="88" spans="2:31" s="204" customFormat="1" ht="63.75" x14ac:dyDescent="0.25">
      <c r="B88" s="260" t="s">
        <v>2968</v>
      </c>
      <c r="C88" s="260" t="s">
        <v>2969</v>
      </c>
      <c r="D88" s="206" t="s">
        <v>72</v>
      </c>
      <c r="E88" s="206"/>
      <c r="F88" s="206"/>
      <c r="G88" s="207"/>
      <c r="H88" s="207"/>
      <c r="I88" s="207"/>
      <c r="J88" s="207" t="s">
        <v>2957</v>
      </c>
      <c r="K88" s="206" t="s">
        <v>82</v>
      </c>
      <c r="L88" s="261" t="s">
        <v>2970</v>
      </c>
      <c r="M88" s="280"/>
      <c r="N88" s="256" t="str">
        <f>N$15</f>
        <v>Valore netto al 31/12/2019</v>
      </c>
      <c r="O88" s="256" t="str">
        <f>O$15</f>
        <v>Valore netto al 31/12/2020</v>
      </c>
      <c r="P88" s="256" t="str">
        <f>P$15</f>
        <v>Variazione</v>
      </c>
      <c r="Q88" s="262" t="s">
        <v>2971</v>
      </c>
      <c r="R88" s="262" t="str">
        <f>"Costo storico al 31/12/"&amp;Info!$B$3-1</f>
        <v>Costo storico al 31/12/2019</v>
      </c>
      <c r="S88" s="262" t="s">
        <v>2972</v>
      </c>
      <c r="T88" s="262" t="s">
        <v>3044</v>
      </c>
      <c r="U88" s="262" t="s">
        <v>2974</v>
      </c>
      <c r="W88" s="262" t="s">
        <v>2975</v>
      </c>
      <c r="X88" s="262" t="s">
        <v>2976</v>
      </c>
      <c r="Y88" s="262" t="s">
        <v>2977</v>
      </c>
      <c r="Z88" s="262" t="s">
        <v>2978</v>
      </c>
      <c r="AA88" s="262" t="s">
        <v>2979</v>
      </c>
      <c r="AB88" s="262" t="s">
        <v>3045</v>
      </c>
      <c r="AC88" s="262" t="s">
        <v>2981</v>
      </c>
      <c r="AD88" s="262" t="s">
        <v>3046</v>
      </c>
      <c r="AE88" s="262" t="s">
        <v>3047</v>
      </c>
    </row>
    <row r="89" spans="2:31" s="204" customFormat="1" x14ac:dyDescent="0.25">
      <c r="B89" s="246" t="s">
        <v>247</v>
      </c>
      <c r="C89" s="263" t="s">
        <v>248</v>
      </c>
      <c r="D89" s="264" t="s">
        <v>3048</v>
      </c>
      <c r="E89" s="264"/>
      <c r="F89" s="264"/>
      <c r="G89" s="265"/>
      <c r="H89" s="266"/>
      <c r="I89" s="281"/>
      <c r="J89" s="281"/>
      <c r="K89" s="281"/>
      <c r="L89" s="295" t="s">
        <v>3049</v>
      </c>
      <c r="M89" s="284" t="s">
        <v>2962</v>
      </c>
      <c r="N89" s="269">
        <f>+R89+T89-U89</f>
        <v>1247582</v>
      </c>
      <c r="O89" s="270">
        <f>+N89+S89+X89+ABS(Y89)-ABS(AA89)+ABS(Z89)+ABS(AB89)+ABS(AD89)-ABS(AE89)+AC89+W89+Q89</f>
        <v>541999</v>
      </c>
      <c r="P89" s="271">
        <f>+O89-N89</f>
        <v>-705583</v>
      </c>
      <c r="Q89" s="272">
        <f>+'NI-San_SP'!Q89+'NI-Soc_SP'!Q89+'NI-Ric_SP'!Q89</f>
        <v>0</v>
      </c>
      <c r="R89" s="272">
        <f>+'NI-San_SP'!R89+'NI-Soc_SP'!R89+'NI-Ric_SP'!R89</f>
        <v>1247582</v>
      </c>
      <c r="S89" s="272">
        <f>+'NI-San_SP'!S89+'NI-Soc_SP'!T89+'NI-Ric_SP'!T89</f>
        <v>0</v>
      </c>
      <c r="T89" s="272">
        <f>+'NI-San_SP'!T89+'NI-Soc_SP'!T89+'NI-Ric_SP'!T89</f>
        <v>0</v>
      </c>
      <c r="U89" s="272">
        <f>+'NI-San_SP'!U89+'NI-Soc_SP'!U89+'NI-Ric_SP'!U89</f>
        <v>0</v>
      </c>
      <c r="W89" s="272">
        <f>+'NI-San_SP'!W89+'NI-Soc_SP'!W89+'NI-Ric_SP'!W89</f>
        <v>0</v>
      </c>
      <c r="X89" s="272">
        <f>+'NI-San_SP'!X89+'NI-Soc_SP'!X89+'NI-Ric_SP'!X89</f>
        <v>-916867</v>
      </c>
      <c r="Y89" s="272">
        <f>+'NI-San_SP'!Y89+'NI-Soc_SP'!Y89+'NI-Ric_SP'!Y89</f>
        <v>0</v>
      </c>
      <c r="Z89" s="272">
        <f>+'NI-San_SP'!Z89+'NI-Soc_SP'!Z89+'NI-Ric_SP'!Z89</f>
        <v>0</v>
      </c>
      <c r="AA89" s="272">
        <f>+'NI-San_SP'!AA89+'NI-Soc_SP'!AA89+'NI-Ric_SP'!AA89</f>
        <v>0</v>
      </c>
      <c r="AB89" s="272">
        <f>+'NI-San_SP'!AB89+'NI-Soc_SP'!AB89+'NI-Ric_SP'!AB89</f>
        <v>211284</v>
      </c>
      <c r="AC89" s="272">
        <f>+'NI-San_SP'!AC89+'NI-Soc_SP'!AC89+'NI-Ric_SP'!AC89</f>
        <v>0</v>
      </c>
      <c r="AD89" s="272">
        <f>+'NI-San_SP'!AD89+'NI-Soc_SP'!AD89+'NI-Ric_SP'!AD89</f>
        <v>0</v>
      </c>
      <c r="AE89" s="272">
        <f>+'NI-San_SP'!AE89+'NI-Soc_SP'!AE89+'NI-Ric_SP'!AE89</f>
        <v>0</v>
      </c>
    </row>
    <row r="90" spans="2:31" s="204" customFormat="1" x14ac:dyDescent="0.25">
      <c r="B90" s="246" t="s">
        <v>250</v>
      </c>
      <c r="C90" s="263" t="s">
        <v>251</v>
      </c>
      <c r="D90" s="274" t="s">
        <v>3050</v>
      </c>
      <c r="E90" s="264"/>
      <c r="F90" s="274"/>
      <c r="G90" s="283"/>
      <c r="H90" s="266"/>
      <c r="I90" s="281"/>
      <c r="J90" s="281"/>
      <c r="K90" s="281"/>
      <c r="L90" s="295" t="s">
        <v>3051</v>
      </c>
      <c r="M90" s="284" t="s">
        <v>2962</v>
      </c>
      <c r="N90" s="269">
        <f>+R90+T90-U90</f>
        <v>0</v>
      </c>
      <c r="O90" s="270">
        <f>+N90+S90+X90+ABS(Y90)-ABS(AA90)+ABS(Z90)+ABS(AB90)+ABS(AD90)-ABS(AE90)+AC90+W90+Q90</f>
        <v>0</v>
      </c>
      <c r="P90" s="271">
        <f>+O90-N90</f>
        <v>0</v>
      </c>
      <c r="Q90" s="272">
        <f>+'NI-San_SP'!Q90+'NI-Soc_SP'!Q90+'NI-Ric_SP'!Q90</f>
        <v>0</v>
      </c>
      <c r="R90" s="272">
        <f>+'NI-San_SP'!R90+'NI-Soc_SP'!R90+'NI-Ric_SP'!R90</f>
        <v>0</v>
      </c>
      <c r="S90" s="272">
        <f>+'NI-San_SP'!S90+'NI-Soc_SP'!T90+'NI-Ric_SP'!T90</f>
        <v>0</v>
      </c>
      <c r="T90" s="272">
        <f>+'NI-San_SP'!T90+'NI-Soc_SP'!T90+'NI-Ric_SP'!T90</f>
        <v>0</v>
      </c>
      <c r="U90" s="272">
        <f>+'NI-San_SP'!U90+'NI-Soc_SP'!U90+'NI-Ric_SP'!U90</f>
        <v>0</v>
      </c>
      <c r="W90" s="272">
        <f>+'NI-San_SP'!W90+'NI-Soc_SP'!W90+'NI-Ric_SP'!W90</f>
        <v>0</v>
      </c>
      <c r="X90" s="272">
        <f>+'NI-San_SP'!X90+'NI-Soc_SP'!X90+'NI-Ric_SP'!X90</f>
        <v>0</v>
      </c>
      <c r="Y90" s="272">
        <f>+'NI-San_SP'!Y90+'NI-Soc_SP'!Y90+'NI-Ric_SP'!Y90</f>
        <v>0</v>
      </c>
      <c r="Z90" s="272">
        <f>+'NI-San_SP'!Z90+'NI-Soc_SP'!Z90+'NI-Ric_SP'!Z90</f>
        <v>0</v>
      </c>
      <c r="AA90" s="272">
        <f>+'NI-San_SP'!AA90+'NI-Soc_SP'!AA90+'NI-Ric_SP'!AA90</f>
        <v>0</v>
      </c>
      <c r="AB90" s="272">
        <f>+'NI-San_SP'!AB90+'NI-Soc_SP'!AB90+'NI-Ric_SP'!AB90</f>
        <v>0</v>
      </c>
      <c r="AC90" s="272">
        <f>+'NI-San_SP'!AC90+'NI-Soc_SP'!AC90+'NI-Ric_SP'!AC90</f>
        <v>0</v>
      </c>
      <c r="AD90" s="272">
        <f>+'NI-San_SP'!AD90+'NI-Soc_SP'!AD90+'NI-Ric_SP'!AD90</f>
        <v>0</v>
      </c>
      <c r="AE90" s="272">
        <f>+'NI-San_SP'!AE90+'NI-Soc_SP'!AE90+'NI-Ric_SP'!AE90</f>
        <v>0</v>
      </c>
    </row>
    <row r="91" spans="2:31" s="204" customFormat="1" ht="38.25" x14ac:dyDescent="0.25">
      <c r="B91" s="230"/>
      <c r="C91" s="230"/>
      <c r="D91" s="230"/>
      <c r="E91" s="230"/>
      <c r="F91" s="230"/>
      <c r="G91" s="230"/>
      <c r="H91" s="231"/>
      <c r="I91" s="230"/>
      <c r="J91" s="230"/>
      <c r="K91" s="230"/>
      <c r="L91" s="296" t="s">
        <v>3052</v>
      </c>
      <c r="M91" s="216"/>
      <c r="N91" s="285"/>
      <c r="O91" s="285"/>
      <c r="P91" s="285"/>
      <c r="Q91" s="211"/>
      <c r="R91" s="285"/>
      <c r="S91" s="285"/>
      <c r="T91" s="285"/>
      <c r="U91" s="285"/>
      <c r="V91" s="285"/>
      <c r="W91" s="285"/>
      <c r="X91" s="285"/>
      <c r="Y91" s="285"/>
      <c r="Z91" s="211"/>
      <c r="AA91" s="211"/>
    </row>
    <row r="92" spans="2:31" s="204" customFormat="1" x14ac:dyDescent="0.25">
      <c r="B92" s="230"/>
      <c r="C92" s="230"/>
      <c r="D92" s="230"/>
      <c r="E92" s="230"/>
      <c r="F92" s="230"/>
      <c r="G92" s="230"/>
      <c r="H92" s="231"/>
      <c r="I92" s="230"/>
      <c r="J92" s="230"/>
      <c r="K92" s="230"/>
      <c r="L92" s="296"/>
      <c r="M92" s="216"/>
      <c r="N92" s="285"/>
      <c r="O92" s="285"/>
      <c r="P92" s="285"/>
      <c r="Q92" s="211"/>
      <c r="R92" s="285"/>
      <c r="S92" s="285"/>
      <c r="T92" s="285"/>
      <c r="U92" s="285"/>
      <c r="V92" s="285"/>
      <c r="W92" s="285"/>
      <c r="X92" s="285"/>
      <c r="Y92" s="285"/>
      <c r="Z92" s="211"/>
      <c r="AA92" s="211"/>
    </row>
    <row r="93" spans="2:31" s="204" customFormat="1" ht="25.5" x14ac:dyDescent="0.25">
      <c r="B93" s="230"/>
      <c r="C93" s="230"/>
      <c r="D93" s="230"/>
      <c r="E93" s="230"/>
      <c r="F93" s="230"/>
      <c r="G93" s="230"/>
      <c r="H93" s="231"/>
      <c r="I93" s="230"/>
      <c r="J93" s="230"/>
      <c r="K93" s="230"/>
      <c r="L93" s="255"/>
      <c r="M93" s="244"/>
      <c r="N93" s="256" t="str">
        <f>N$15</f>
        <v>Valore netto al 31/12/2019</v>
      </c>
      <c r="O93" s="256" t="str">
        <f>O$15</f>
        <v>Valore netto al 31/12/2020</v>
      </c>
      <c r="P93" s="256" t="str">
        <f>P$15</f>
        <v>Variazione</v>
      </c>
      <c r="Q93" s="285"/>
      <c r="R93" s="285"/>
      <c r="S93" s="285"/>
      <c r="T93" s="285"/>
      <c r="U93" s="285"/>
      <c r="V93" s="285"/>
      <c r="W93" s="285"/>
      <c r="X93" s="285"/>
      <c r="Y93" s="285"/>
      <c r="Z93" s="211"/>
      <c r="AA93" s="211"/>
    </row>
    <row r="94" spans="2:31" s="204" customFormat="1" x14ac:dyDescent="0.25">
      <c r="B94" s="246" t="s">
        <v>253</v>
      </c>
      <c r="C94" s="246" t="s">
        <v>254</v>
      </c>
      <c r="D94" s="247" t="s">
        <v>3053</v>
      </c>
      <c r="E94" s="247"/>
      <c r="F94" s="247"/>
      <c r="G94" s="247"/>
      <c r="H94" s="248"/>
      <c r="I94" s="247"/>
      <c r="J94" s="247"/>
      <c r="K94" s="249"/>
      <c r="L94" s="257" t="s">
        <v>256</v>
      </c>
      <c r="M94" s="251" t="s">
        <v>2962</v>
      </c>
      <c r="N94" s="252">
        <f>+N96-N108+N118-N124+N130-N136+N142-N150</f>
        <v>256773</v>
      </c>
      <c r="O94" s="252">
        <f>+O96-O108+O118-O124+O130-O136+O142-O150</f>
        <v>1360993</v>
      </c>
      <c r="P94" s="253">
        <f>+O94-N94</f>
        <v>1104220</v>
      </c>
      <c r="Q94" s="252">
        <f>+Q96-Q108+Q118-Q124+Q130-Q136+Q142-Q150</f>
        <v>0</v>
      </c>
      <c r="R94" s="252">
        <f>+R96-R108+R118-R124+R130-R136+R142-R150</f>
        <v>256773</v>
      </c>
      <c r="S94" s="252">
        <f>+S96-S108+T118-S124+S130-S136+S142-S150</f>
        <v>0</v>
      </c>
      <c r="T94" s="252">
        <f>+T96-T108+U118-T124+T130-T136+T142-T150</f>
        <v>0</v>
      </c>
      <c r="U94" s="279"/>
      <c r="V94" s="211"/>
      <c r="W94" s="252">
        <f t="shared" ref="W94:AE94" si="4">+W96-W108+W118-W124+W130-W136+W142-W150</f>
        <v>0</v>
      </c>
      <c r="X94" s="252">
        <f t="shared" si="4"/>
        <v>0</v>
      </c>
      <c r="Y94" s="252">
        <f t="shared" si="4"/>
        <v>0</v>
      </c>
      <c r="Z94" s="252">
        <f t="shared" si="4"/>
        <v>-168240</v>
      </c>
      <c r="AA94" s="252">
        <f t="shared" si="4"/>
        <v>0</v>
      </c>
      <c r="AB94" s="252">
        <f t="shared" si="4"/>
        <v>0</v>
      </c>
      <c r="AC94" s="252">
        <f t="shared" si="4"/>
        <v>1272460</v>
      </c>
      <c r="AD94" s="252">
        <f t="shared" si="4"/>
        <v>0</v>
      </c>
      <c r="AE94" s="252">
        <f t="shared" si="4"/>
        <v>0</v>
      </c>
    </row>
    <row r="95" spans="2:31" s="204" customFormat="1" x14ac:dyDescent="0.25">
      <c r="B95" s="230"/>
      <c r="C95" s="230"/>
      <c r="D95" s="230"/>
      <c r="E95" s="230"/>
      <c r="F95" s="230"/>
      <c r="G95" s="230"/>
      <c r="H95" s="231"/>
      <c r="I95" s="230"/>
      <c r="J95" s="230"/>
      <c r="K95" s="230"/>
      <c r="L95" s="232"/>
      <c r="M95" s="211"/>
      <c r="N95" s="254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</row>
    <row r="96" spans="2:31" s="204" customFormat="1" x14ac:dyDescent="0.25">
      <c r="B96" s="246" t="s">
        <v>257</v>
      </c>
      <c r="C96" s="246" t="s">
        <v>258</v>
      </c>
      <c r="D96" s="247" t="s">
        <v>3054</v>
      </c>
      <c r="E96" s="247"/>
      <c r="F96" s="247"/>
      <c r="G96" s="247"/>
      <c r="H96" s="248"/>
      <c r="I96" s="247"/>
      <c r="J96" s="247"/>
      <c r="K96" s="249"/>
      <c r="L96" s="276" t="s">
        <v>261</v>
      </c>
      <c r="M96" s="251" t="s">
        <v>2962</v>
      </c>
      <c r="N96" s="252">
        <f>SUM(N99:N106)</f>
        <v>8880683</v>
      </c>
      <c r="O96" s="252">
        <f>SUM(O99:O106)</f>
        <v>10153143</v>
      </c>
      <c r="P96" s="259">
        <f>+O96-N96</f>
        <v>1272460</v>
      </c>
      <c r="Q96" s="252">
        <f>SUM(Q99:Q106)</f>
        <v>0</v>
      </c>
      <c r="R96" s="252">
        <f>SUM(R99:R106)</f>
        <v>8880683</v>
      </c>
      <c r="S96" s="252">
        <f>SUM(T99:T106)</f>
        <v>0</v>
      </c>
      <c r="T96" s="252">
        <f>SUM(U99:U106)</f>
        <v>0</v>
      </c>
      <c r="U96" s="279"/>
      <c r="V96" s="216"/>
      <c r="W96" s="252">
        <f t="shared" ref="W96:AE96" si="5">SUM(W99:W106)</f>
        <v>0</v>
      </c>
      <c r="X96" s="252">
        <f t="shared" si="5"/>
        <v>0</v>
      </c>
      <c r="Y96" s="252">
        <f t="shared" si="5"/>
        <v>0</v>
      </c>
      <c r="Z96" s="252">
        <f t="shared" si="5"/>
        <v>0</v>
      </c>
      <c r="AA96" s="252">
        <f t="shared" si="5"/>
        <v>0</v>
      </c>
      <c r="AB96" s="252">
        <f t="shared" si="5"/>
        <v>0</v>
      </c>
      <c r="AC96" s="252">
        <f t="shared" si="5"/>
        <v>1272460</v>
      </c>
      <c r="AD96" s="252">
        <f t="shared" si="5"/>
        <v>0</v>
      </c>
      <c r="AE96" s="252">
        <f t="shared" si="5"/>
        <v>0</v>
      </c>
    </row>
    <row r="97" spans="2:31" s="204" customFormat="1" x14ac:dyDescent="0.25">
      <c r="B97" s="216"/>
      <c r="C97" s="216"/>
      <c r="D97" s="226"/>
      <c r="E97" s="226"/>
      <c r="F97" s="226"/>
      <c r="G97" s="226"/>
      <c r="H97" s="227"/>
      <c r="I97" s="226"/>
      <c r="J97" s="226"/>
      <c r="K97" s="226"/>
      <c r="L97" s="241"/>
      <c r="M97" s="278"/>
      <c r="N97" s="279"/>
      <c r="O97" s="279"/>
      <c r="P97" s="297"/>
      <c r="Q97" s="211"/>
      <c r="R97" s="216"/>
      <c r="S97" s="216"/>
      <c r="T97" s="216"/>
      <c r="U97" s="216"/>
      <c r="V97" s="216"/>
      <c r="W97" s="211"/>
      <c r="X97" s="211"/>
      <c r="Y97" s="211"/>
      <c r="Z97" s="211"/>
      <c r="AA97" s="211"/>
    </row>
    <row r="98" spans="2:31" s="204" customFormat="1" ht="63.75" x14ac:dyDescent="0.25">
      <c r="B98" s="294" t="s">
        <v>2968</v>
      </c>
      <c r="C98" s="294" t="s">
        <v>2969</v>
      </c>
      <c r="D98" s="206" t="s">
        <v>72</v>
      </c>
      <c r="E98" s="206"/>
      <c r="F98" s="206"/>
      <c r="G98" s="207"/>
      <c r="H98" s="207"/>
      <c r="I98" s="207"/>
      <c r="J98" s="207" t="s">
        <v>2957</v>
      </c>
      <c r="K98" s="206" t="s">
        <v>82</v>
      </c>
      <c r="L98" s="261" t="s">
        <v>2970</v>
      </c>
      <c r="M98" s="280"/>
      <c r="N98" s="256" t="str">
        <f>N$15</f>
        <v>Valore netto al 31/12/2019</v>
      </c>
      <c r="O98" s="256" t="str">
        <f>O$15</f>
        <v>Valore netto al 31/12/2020</v>
      </c>
      <c r="P98" s="256" t="str">
        <f>P$15</f>
        <v>Variazione</v>
      </c>
      <c r="Q98" s="262" t="s">
        <v>2971</v>
      </c>
      <c r="R98" s="262" t="str">
        <f>"Costo storico al 31/12/"&amp;Info!$B$3-1</f>
        <v>Costo storico al 31/12/2019</v>
      </c>
      <c r="S98" s="262" t="s">
        <v>2972</v>
      </c>
      <c r="T98" s="262" t="s">
        <v>2973</v>
      </c>
      <c r="U98" s="262" t="s">
        <v>2974</v>
      </c>
      <c r="W98" s="262" t="s">
        <v>2975</v>
      </c>
      <c r="X98" s="262" t="s">
        <v>2976</v>
      </c>
      <c r="Y98" s="262" t="s">
        <v>2977</v>
      </c>
      <c r="Z98" s="262" t="s">
        <v>2978</v>
      </c>
      <c r="AA98" s="262" t="s">
        <v>2979</v>
      </c>
      <c r="AB98" s="262" t="s">
        <v>2980</v>
      </c>
      <c r="AC98" s="262" t="s">
        <v>2981</v>
      </c>
      <c r="AD98" s="262" t="s">
        <v>2982</v>
      </c>
      <c r="AE98" s="262" t="s">
        <v>2983</v>
      </c>
    </row>
    <row r="99" spans="2:31" s="204" customFormat="1" x14ac:dyDescent="0.25">
      <c r="B99" s="246" t="s">
        <v>262</v>
      </c>
      <c r="C99" s="273" t="s">
        <v>263</v>
      </c>
      <c r="D99" s="274" t="s">
        <v>3055</v>
      </c>
      <c r="E99" s="264"/>
      <c r="F99" s="264"/>
      <c r="G99" s="265"/>
      <c r="H99" s="266"/>
      <c r="I99" s="281"/>
      <c r="J99" s="281"/>
      <c r="K99" s="281"/>
      <c r="L99" s="282" t="s">
        <v>3056</v>
      </c>
      <c r="M99" s="263" t="s">
        <v>2962</v>
      </c>
      <c r="N99" s="269">
        <f t="shared" ref="N99:N106" si="6">+R99+T99-U99</f>
        <v>0</v>
      </c>
      <c r="O99" s="270">
        <f t="shared" ref="O99:O106" si="7">+N99+S99+X99+ABS(Y99)-ABS(AA99)+ABS(Z99)+ABS(AB99)+ABS(AD99)-ABS(AE99)+AC99+W99+Q99</f>
        <v>0</v>
      </c>
      <c r="P99" s="271">
        <f t="shared" ref="P99:P106" si="8">+O99-N99</f>
        <v>0</v>
      </c>
      <c r="Q99" s="272">
        <f>+'NI-San_SP'!Q99+'NI-Soc_SP'!Q99+'NI-Ric_SP'!Q99</f>
        <v>0</v>
      </c>
      <c r="R99" s="272">
        <f>+'NI-San_SP'!R99+'NI-Soc_SP'!R99+'NI-Ric_SP'!R99</f>
        <v>0</v>
      </c>
      <c r="S99" s="272">
        <f>+'NI-San_SP'!S99+'NI-Soc_SP'!T99+'NI-Ric_SP'!T99</f>
        <v>0</v>
      </c>
      <c r="T99" s="272">
        <f>+'NI-San_SP'!T99+'NI-Soc_SP'!T99+'NI-Ric_SP'!T99</f>
        <v>0</v>
      </c>
      <c r="U99" s="272">
        <f>+'NI-San_SP'!U99+'NI-Soc_SP'!U99+'NI-Ric_SP'!U99</f>
        <v>0</v>
      </c>
      <c r="W99" s="272">
        <f>+'NI-San_SP'!W99+'NI-Soc_SP'!W99+'NI-Ric_SP'!W99</f>
        <v>0</v>
      </c>
      <c r="X99" s="272">
        <f>+'NI-San_SP'!X99+'NI-Soc_SP'!X99+'NI-Ric_SP'!X99</f>
        <v>0</v>
      </c>
      <c r="Y99" s="272">
        <f>+'NI-San_SP'!Y99+'NI-Soc_SP'!Y99+'NI-Ric_SP'!Y99</f>
        <v>0</v>
      </c>
      <c r="Z99" s="272">
        <f>+'NI-San_SP'!Z99+'NI-Soc_SP'!Z99+'NI-Ric_SP'!Z99</f>
        <v>0</v>
      </c>
      <c r="AA99" s="272">
        <f>+'NI-San_SP'!AA99+'NI-Soc_SP'!AA99+'NI-Ric_SP'!AA99</f>
        <v>0</v>
      </c>
      <c r="AB99" s="272">
        <f>+'NI-San_SP'!AB99+'NI-Soc_SP'!AB99+'NI-Ric_SP'!AB99</f>
        <v>0</v>
      </c>
      <c r="AC99" s="272">
        <f>+'NI-San_SP'!AC99+'NI-Soc_SP'!AC99+'NI-Ric_SP'!AC99</f>
        <v>0</v>
      </c>
      <c r="AD99" s="272">
        <f>+'NI-San_SP'!AD99+'NI-Soc_SP'!AD99+'NI-Ric_SP'!AD99</f>
        <v>0</v>
      </c>
      <c r="AE99" s="272">
        <f>+'NI-San_SP'!AE99+'NI-Soc_SP'!AE99+'NI-Ric_SP'!AE99</f>
        <v>0</v>
      </c>
    </row>
    <row r="100" spans="2:31" s="204" customFormat="1" x14ac:dyDescent="0.25">
      <c r="B100" s="246" t="s">
        <v>265</v>
      </c>
      <c r="C100" s="273" t="s">
        <v>266</v>
      </c>
      <c r="D100" s="274" t="s">
        <v>3057</v>
      </c>
      <c r="E100" s="264"/>
      <c r="F100" s="264"/>
      <c r="G100" s="265"/>
      <c r="H100" s="266"/>
      <c r="I100" s="281"/>
      <c r="J100" s="281"/>
      <c r="K100" s="281"/>
      <c r="L100" s="282" t="s">
        <v>3058</v>
      </c>
      <c r="M100" s="263" t="s">
        <v>2962</v>
      </c>
      <c r="N100" s="269">
        <f t="shared" si="6"/>
        <v>0</v>
      </c>
      <c r="O100" s="270">
        <f t="shared" si="7"/>
        <v>0</v>
      </c>
      <c r="P100" s="271">
        <f t="shared" si="8"/>
        <v>0</v>
      </c>
      <c r="Q100" s="272">
        <f>+'NI-San_SP'!Q100+'NI-Soc_SP'!Q100+'NI-Ric_SP'!Q100</f>
        <v>0</v>
      </c>
      <c r="R100" s="272">
        <f>+'NI-San_SP'!R100+'NI-Soc_SP'!R100+'NI-Ric_SP'!R100</f>
        <v>0</v>
      </c>
      <c r="S100" s="272">
        <f>+'NI-San_SP'!S100+'NI-Soc_SP'!T100+'NI-Ric_SP'!T100</f>
        <v>0</v>
      </c>
      <c r="T100" s="272">
        <f>+'NI-San_SP'!T100+'NI-Soc_SP'!T100+'NI-Ric_SP'!T100</f>
        <v>0</v>
      </c>
      <c r="U100" s="272">
        <f>+'NI-San_SP'!U100+'NI-Soc_SP'!U100+'NI-Ric_SP'!U100</f>
        <v>0</v>
      </c>
      <c r="W100" s="272">
        <f>+'NI-San_SP'!W100+'NI-Soc_SP'!W100+'NI-Ric_SP'!W100</f>
        <v>0</v>
      </c>
      <c r="X100" s="272">
        <f>+'NI-San_SP'!X100+'NI-Soc_SP'!X100+'NI-Ric_SP'!X100</f>
        <v>0</v>
      </c>
      <c r="Y100" s="272">
        <f>+'NI-San_SP'!Y100+'NI-Soc_SP'!Y100+'NI-Ric_SP'!Y100</f>
        <v>0</v>
      </c>
      <c r="Z100" s="272">
        <f>+'NI-San_SP'!Z100+'NI-Soc_SP'!Z100+'NI-Ric_SP'!Z100</f>
        <v>0</v>
      </c>
      <c r="AA100" s="272">
        <f>+'NI-San_SP'!AA100+'NI-Soc_SP'!AA100+'NI-Ric_SP'!AA100</f>
        <v>0</v>
      </c>
      <c r="AB100" s="272">
        <f>+'NI-San_SP'!AB100+'NI-Soc_SP'!AB100+'NI-Ric_SP'!AB100</f>
        <v>0</v>
      </c>
      <c r="AC100" s="272">
        <f>+'NI-San_SP'!AC100+'NI-Soc_SP'!AC100+'NI-Ric_SP'!AC100</f>
        <v>0</v>
      </c>
      <c r="AD100" s="272">
        <f>+'NI-San_SP'!AD100+'NI-Soc_SP'!AD100+'NI-Ric_SP'!AD100</f>
        <v>0</v>
      </c>
      <c r="AE100" s="272">
        <f>+'NI-San_SP'!AE100+'NI-Soc_SP'!AE100+'NI-Ric_SP'!AE100</f>
        <v>0</v>
      </c>
    </row>
    <row r="101" spans="2:31" s="204" customFormat="1" x14ac:dyDescent="0.25">
      <c r="B101" s="246" t="s">
        <v>268</v>
      </c>
      <c r="C101" s="273" t="s">
        <v>269</v>
      </c>
      <c r="D101" s="274" t="s">
        <v>3059</v>
      </c>
      <c r="E101" s="264"/>
      <c r="F101" s="274"/>
      <c r="G101" s="283"/>
      <c r="H101" s="266"/>
      <c r="I101" s="281"/>
      <c r="J101" s="281"/>
      <c r="K101" s="281"/>
      <c r="L101" s="282" t="s">
        <v>3060</v>
      </c>
      <c r="M101" s="284" t="s">
        <v>2962</v>
      </c>
      <c r="N101" s="269">
        <f t="shared" si="6"/>
        <v>6481811</v>
      </c>
      <c r="O101" s="270">
        <f t="shared" si="7"/>
        <v>7754271</v>
      </c>
      <c r="P101" s="271">
        <f t="shared" si="8"/>
        <v>1272460</v>
      </c>
      <c r="Q101" s="272">
        <f>+'NI-San_SP'!Q101+'NI-Soc_SP'!Q101+'NI-Ric_SP'!Q101</f>
        <v>0</v>
      </c>
      <c r="R101" s="272">
        <f>+'NI-San_SP'!R101+'NI-Soc_SP'!R101+'NI-Ric_SP'!R101</f>
        <v>6481811</v>
      </c>
      <c r="S101" s="272">
        <f>+'NI-San_SP'!S101+'NI-Soc_SP'!T101+'NI-Ric_SP'!T101</f>
        <v>0</v>
      </c>
      <c r="T101" s="272">
        <f>+'NI-San_SP'!T101+'NI-Soc_SP'!T101+'NI-Ric_SP'!T101</f>
        <v>0</v>
      </c>
      <c r="U101" s="272">
        <f>+'NI-San_SP'!U101+'NI-Soc_SP'!U101+'NI-Ric_SP'!U101</f>
        <v>0</v>
      </c>
      <c r="W101" s="272">
        <f>+'NI-San_SP'!W101+'NI-Soc_SP'!W101+'NI-Ric_SP'!W101</f>
        <v>0</v>
      </c>
      <c r="X101" s="272">
        <f>+'NI-San_SP'!X101+'NI-Soc_SP'!X101+'NI-Ric_SP'!X101</f>
        <v>0</v>
      </c>
      <c r="Y101" s="272">
        <f>+'NI-San_SP'!Y101+'NI-Soc_SP'!Y101+'NI-Ric_SP'!Y101</f>
        <v>0</v>
      </c>
      <c r="Z101" s="272">
        <f>+'NI-San_SP'!Z101+'NI-Soc_SP'!Z101+'NI-Ric_SP'!Z101</f>
        <v>0</v>
      </c>
      <c r="AA101" s="272">
        <f>+'NI-San_SP'!AA101+'NI-Soc_SP'!AA101+'NI-Ric_SP'!AA101</f>
        <v>0</v>
      </c>
      <c r="AB101" s="272">
        <f>+'NI-San_SP'!AB101+'NI-Soc_SP'!AB101+'NI-Ric_SP'!AB101</f>
        <v>0</v>
      </c>
      <c r="AC101" s="272">
        <f>+'NI-San_SP'!AC101+'NI-Soc_SP'!AC101+'NI-Ric_SP'!AC101</f>
        <v>1272460</v>
      </c>
      <c r="AD101" s="272">
        <f>+'NI-San_SP'!AD101+'NI-Soc_SP'!AD101+'NI-Ric_SP'!AD101</f>
        <v>0</v>
      </c>
      <c r="AE101" s="272">
        <f>+'NI-San_SP'!AE101+'NI-Soc_SP'!AE101+'NI-Ric_SP'!AE101</f>
        <v>0</v>
      </c>
    </row>
    <row r="102" spans="2:31" s="204" customFormat="1" x14ac:dyDescent="0.25">
      <c r="B102" s="246" t="s">
        <v>271</v>
      </c>
      <c r="C102" s="273" t="s">
        <v>272</v>
      </c>
      <c r="D102" s="274" t="s">
        <v>3061</v>
      </c>
      <c r="E102" s="264"/>
      <c r="F102" s="274"/>
      <c r="G102" s="283"/>
      <c r="H102" s="266"/>
      <c r="I102" s="281"/>
      <c r="J102" s="281"/>
      <c r="K102" s="281"/>
      <c r="L102" s="282" t="s">
        <v>3062</v>
      </c>
      <c r="M102" s="284" t="s">
        <v>2962</v>
      </c>
      <c r="N102" s="269">
        <f t="shared" si="6"/>
        <v>2398872</v>
      </c>
      <c r="O102" s="270">
        <f t="shared" si="7"/>
        <v>2398872</v>
      </c>
      <c r="P102" s="271">
        <f t="shared" si="8"/>
        <v>0</v>
      </c>
      <c r="Q102" s="272">
        <f>+'NI-San_SP'!Q102+'NI-Soc_SP'!Q102+'NI-Ric_SP'!Q102</f>
        <v>0</v>
      </c>
      <c r="R102" s="272">
        <f>+'NI-San_SP'!R102+'NI-Soc_SP'!R102+'NI-Ric_SP'!R102</f>
        <v>2398872</v>
      </c>
      <c r="S102" s="272">
        <f>+'NI-San_SP'!S102+'NI-Soc_SP'!T102+'NI-Ric_SP'!T102</f>
        <v>0</v>
      </c>
      <c r="T102" s="272">
        <f>+'NI-San_SP'!T102+'NI-Soc_SP'!T102+'NI-Ric_SP'!T102</f>
        <v>0</v>
      </c>
      <c r="U102" s="272">
        <f>+'NI-San_SP'!U102+'NI-Soc_SP'!U102+'NI-Ric_SP'!U102</f>
        <v>0</v>
      </c>
      <c r="W102" s="272">
        <f>+'NI-San_SP'!W102+'NI-Soc_SP'!W102+'NI-Ric_SP'!W102</f>
        <v>0</v>
      </c>
      <c r="X102" s="272">
        <f>+'NI-San_SP'!X102+'NI-Soc_SP'!X102+'NI-Ric_SP'!X102</f>
        <v>0</v>
      </c>
      <c r="Y102" s="272">
        <f>+'NI-San_SP'!Y102+'NI-Soc_SP'!Y102+'NI-Ric_SP'!Y102</f>
        <v>0</v>
      </c>
      <c r="Z102" s="272">
        <f>+'NI-San_SP'!Z102+'NI-Soc_SP'!Z102+'NI-Ric_SP'!Z102</f>
        <v>0</v>
      </c>
      <c r="AA102" s="272">
        <f>+'NI-San_SP'!AA102+'NI-Soc_SP'!AA102+'NI-Ric_SP'!AA102</f>
        <v>0</v>
      </c>
      <c r="AB102" s="272">
        <f>+'NI-San_SP'!AB102+'NI-Soc_SP'!AB102+'NI-Ric_SP'!AB102</f>
        <v>0</v>
      </c>
      <c r="AC102" s="272">
        <f>+'NI-San_SP'!AC102+'NI-Soc_SP'!AC102+'NI-Ric_SP'!AC102</f>
        <v>0</v>
      </c>
      <c r="AD102" s="272">
        <f>+'NI-San_SP'!AD102+'NI-Soc_SP'!AD102+'NI-Ric_SP'!AD102</f>
        <v>0</v>
      </c>
      <c r="AE102" s="272">
        <f>+'NI-San_SP'!AE102+'NI-Soc_SP'!AE102+'NI-Ric_SP'!AE102</f>
        <v>0</v>
      </c>
    </row>
    <row r="103" spans="2:31" s="204" customFormat="1" x14ac:dyDescent="0.25">
      <c r="B103" s="246" t="s">
        <v>274</v>
      </c>
      <c r="C103" s="273" t="s">
        <v>275</v>
      </c>
      <c r="D103" s="274" t="s">
        <v>3063</v>
      </c>
      <c r="E103" s="264"/>
      <c r="F103" s="274"/>
      <c r="G103" s="283"/>
      <c r="H103" s="266"/>
      <c r="I103" s="281"/>
      <c r="J103" s="281"/>
      <c r="K103" s="281"/>
      <c r="L103" s="282" t="s">
        <v>3064</v>
      </c>
      <c r="M103" s="284" t="s">
        <v>2962</v>
      </c>
      <c r="N103" s="269">
        <f t="shared" si="6"/>
        <v>0</v>
      </c>
      <c r="O103" s="270">
        <f t="shared" si="7"/>
        <v>0</v>
      </c>
      <c r="P103" s="271">
        <f t="shared" si="8"/>
        <v>0</v>
      </c>
      <c r="Q103" s="272">
        <f>+'NI-San_SP'!Q103+'NI-Soc_SP'!Q103+'NI-Ric_SP'!Q103</f>
        <v>0</v>
      </c>
      <c r="R103" s="272">
        <f>+'NI-San_SP'!R103+'NI-Soc_SP'!R103+'NI-Ric_SP'!R103</f>
        <v>0</v>
      </c>
      <c r="S103" s="272">
        <f>+'NI-San_SP'!S103+'NI-Soc_SP'!T103+'NI-Ric_SP'!T103</f>
        <v>0</v>
      </c>
      <c r="T103" s="272">
        <f>+'NI-San_SP'!T103+'NI-Soc_SP'!T103+'NI-Ric_SP'!T103</f>
        <v>0</v>
      </c>
      <c r="U103" s="272">
        <f>+'NI-San_SP'!U103+'NI-Soc_SP'!U103+'NI-Ric_SP'!U103</f>
        <v>0</v>
      </c>
      <c r="W103" s="272">
        <f>+'NI-San_SP'!W103+'NI-Soc_SP'!W103+'NI-Ric_SP'!W103</f>
        <v>0</v>
      </c>
      <c r="X103" s="272">
        <f>+'NI-San_SP'!X103+'NI-Soc_SP'!X103+'NI-Ric_SP'!X103</f>
        <v>0</v>
      </c>
      <c r="Y103" s="272">
        <f>+'NI-San_SP'!Y103+'NI-Soc_SP'!Y103+'NI-Ric_SP'!Y103</f>
        <v>0</v>
      </c>
      <c r="Z103" s="272">
        <f>+'NI-San_SP'!Z103+'NI-Soc_SP'!Z103+'NI-Ric_SP'!Z103</f>
        <v>0</v>
      </c>
      <c r="AA103" s="272">
        <f>+'NI-San_SP'!AA103+'NI-Soc_SP'!AA103+'NI-Ric_SP'!AA103</f>
        <v>0</v>
      </c>
      <c r="AB103" s="272">
        <f>+'NI-San_SP'!AB103+'NI-Soc_SP'!AB103+'NI-Ric_SP'!AB103</f>
        <v>0</v>
      </c>
      <c r="AC103" s="272">
        <f>+'NI-San_SP'!AC103+'NI-Soc_SP'!AC103+'NI-Ric_SP'!AC103</f>
        <v>0</v>
      </c>
      <c r="AD103" s="272">
        <f>+'NI-San_SP'!AD103+'NI-Soc_SP'!AD103+'NI-Ric_SP'!AD103</f>
        <v>0</v>
      </c>
      <c r="AE103" s="272">
        <f>+'NI-San_SP'!AE103+'NI-Soc_SP'!AE103+'NI-Ric_SP'!AE103</f>
        <v>0</v>
      </c>
    </row>
    <row r="104" spans="2:31" s="204" customFormat="1" x14ac:dyDescent="0.25">
      <c r="B104" s="246" t="s">
        <v>277</v>
      </c>
      <c r="C104" s="273" t="s">
        <v>278</v>
      </c>
      <c r="D104" s="274" t="s">
        <v>3065</v>
      </c>
      <c r="E104" s="264"/>
      <c r="F104" s="274"/>
      <c r="G104" s="283"/>
      <c r="H104" s="266"/>
      <c r="I104" s="281"/>
      <c r="J104" s="281"/>
      <c r="K104" s="281"/>
      <c r="L104" s="282" t="s">
        <v>3066</v>
      </c>
      <c r="M104" s="284" t="s">
        <v>2962</v>
      </c>
      <c r="N104" s="269">
        <f t="shared" si="6"/>
        <v>0</v>
      </c>
      <c r="O104" s="270">
        <f t="shared" si="7"/>
        <v>0</v>
      </c>
      <c r="P104" s="271">
        <f t="shared" si="8"/>
        <v>0</v>
      </c>
      <c r="Q104" s="272">
        <f>+'NI-San_SP'!Q104+'NI-Soc_SP'!Q104+'NI-Ric_SP'!Q104</f>
        <v>0</v>
      </c>
      <c r="R104" s="272">
        <f>+'NI-San_SP'!R104+'NI-Soc_SP'!R104+'NI-Ric_SP'!R104</f>
        <v>0</v>
      </c>
      <c r="S104" s="272">
        <f>+'NI-San_SP'!S104+'NI-Soc_SP'!T104+'NI-Ric_SP'!T104</f>
        <v>0</v>
      </c>
      <c r="T104" s="272">
        <f>+'NI-San_SP'!T104+'NI-Soc_SP'!T104+'NI-Ric_SP'!T104</f>
        <v>0</v>
      </c>
      <c r="U104" s="272">
        <f>+'NI-San_SP'!U104+'NI-Soc_SP'!U104+'NI-Ric_SP'!U104</f>
        <v>0</v>
      </c>
      <c r="W104" s="272">
        <f>+'NI-San_SP'!W104+'NI-Soc_SP'!W104+'NI-Ric_SP'!W104</f>
        <v>0</v>
      </c>
      <c r="X104" s="272">
        <f>+'NI-San_SP'!X104+'NI-Soc_SP'!X104+'NI-Ric_SP'!X104</f>
        <v>0</v>
      </c>
      <c r="Y104" s="272">
        <f>+'NI-San_SP'!Y104+'NI-Soc_SP'!Y104+'NI-Ric_SP'!Y104</f>
        <v>0</v>
      </c>
      <c r="Z104" s="272">
        <f>+'NI-San_SP'!Z104+'NI-Soc_SP'!Z104+'NI-Ric_SP'!Z104</f>
        <v>0</v>
      </c>
      <c r="AA104" s="272">
        <f>+'NI-San_SP'!AA104+'NI-Soc_SP'!AA104+'NI-Ric_SP'!AA104</f>
        <v>0</v>
      </c>
      <c r="AB104" s="272">
        <f>+'NI-San_SP'!AB104+'NI-Soc_SP'!AB104+'NI-Ric_SP'!AB104</f>
        <v>0</v>
      </c>
      <c r="AC104" s="272">
        <f>+'NI-San_SP'!AC104+'NI-Soc_SP'!AC104+'NI-Ric_SP'!AC104</f>
        <v>0</v>
      </c>
      <c r="AD104" s="272">
        <f>+'NI-San_SP'!AD104+'NI-Soc_SP'!AD104+'NI-Ric_SP'!AD104</f>
        <v>0</v>
      </c>
      <c r="AE104" s="272">
        <f>+'NI-San_SP'!AE104+'NI-Soc_SP'!AE104+'NI-Ric_SP'!AE104</f>
        <v>0</v>
      </c>
    </row>
    <row r="105" spans="2:31" s="204" customFormat="1" x14ac:dyDescent="0.25">
      <c r="B105" s="246" t="s">
        <v>280</v>
      </c>
      <c r="C105" s="273" t="s">
        <v>281</v>
      </c>
      <c r="D105" s="274" t="s">
        <v>3067</v>
      </c>
      <c r="E105" s="264"/>
      <c r="F105" s="274"/>
      <c r="G105" s="283"/>
      <c r="H105" s="266"/>
      <c r="I105" s="281"/>
      <c r="J105" s="281"/>
      <c r="K105" s="281"/>
      <c r="L105" s="282" t="s">
        <v>3068</v>
      </c>
      <c r="M105" s="284" t="s">
        <v>2962</v>
      </c>
      <c r="N105" s="269">
        <f t="shared" si="6"/>
        <v>0</v>
      </c>
      <c r="O105" s="270">
        <f t="shared" si="7"/>
        <v>0</v>
      </c>
      <c r="P105" s="271">
        <f t="shared" si="8"/>
        <v>0</v>
      </c>
      <c r="Q105" s="272">
        <f>+'NI-San_SP'!Q105+'NI-Soc_SP'!Q105+'NI-Ric_SP'!Q105</f>
        <v>0</v>
      </c>
      <c r="R105" s="272">
        <f>+'NI-San_SP'!R105+'NI-Soc_SP'!R105+'NI-Ric_SP'!R105</f>
        <v>0</v>
      </c>
      <c r="S105" s="272">
        <f>+'NI-San_SP'!S105+'NI-Soc_SP'!T105+'NI-Ric_SP'!T105</f>
        <v>0</v>
      </c>
      <c r="T105" s="272">
        <f>+'NI-San_SP'!T105+'NI-Soc_SP'!T105+'NI-Ric_SP'!T105</f>
        <v>0</v>
      </c>
      <c r="U105" s="272">
        <f>+'NI-San_SP'!U105+'NI-Soc_SP'!U105+'NI-Ric_SP'!U105</f>
        <v>0</v>
      </c>
      <c r="W105" s="272">
        <f>+'NI-San_SP'!W105+'NI-Soc_SP'!W105+'NI-Ric_SP'!W105</f>
        <v>0</v>
      </c>
      <c r="X105" s="272">
        <f>+'NI-San_SP'!X105+'NI-Soc_SP'!X105+'NI-Ric_SP'!X105</f>
        <v>0</v>
      </c>
      <c r="Y105" s="272">
        <f>+'NI-San_SP'!Y105+'NI-Soc_SP'!Y105+'NI-Ric_SP'!Y105</f>
        <v>0</v>
      </c>
      <c r="Z105" s="272">
        <f>+'NI-San_SP'!Z105+'NI-Soc_SP'!Z105+'NI-Ric_SP'!Z105</f>
        <v>0</v>
      </c>
      <c r="AA105" s="272">
        <f>+'NI-San_SP'!AA105+'NI-Soc_SP'!AA105+'NI-Ric_SP'!AA105</f>
        <v>0</v>
      </c>
      <c r="AB105" s="272">
        <f>+'NI-San_SP'!AB105+'NI-Soc_SP'!AB105+'NI-Ric_SP'!AB105</f>
        <v>0</v>
      </c>
      <c r="AC105" s="272">
        <f>+'NI-San_SP'!AC105+'NI-Soc_SP'!AC105+'NI-Ric_SP'!AC105</f>
        <v>0</v>
      </c>
      <c r="AD105" s="272">
        <f>+'NI-San_SP'!AD105+'NI-Soc_SP'!AD105+'NI-Ric_SP'!AD105</f>
        <v>0</v>
      </c>
      <c r="AE105" s="272">
        <f>+'NI-San_SP'!AE105+'NI-Soc_SP'!AE105+'NI-Ric_SP'!AE105</f>
        <v>0</v>
      </c>
    </row>
    <row r="106" spans="2:31" s="204" customFormat="1" x14ac:dyDescent="0.25">
      <c r="B106" s="246" t="s">
        <v>283</v>
      </c>
      <c r="C106" s="273" t="s">
        <v>284</v>
      </c>
      <c r="D106" s="274" t="s">
        <v>3069</v>
      </c>
      <c r="E106" s="264"/>
      <c r="F106" s="274"/>
      <c r="G106" s="283"/>
      <c r="H106" s="266"/>
      <c r="I106" s="281"/>
      <c r="J106" s="281"/>
      <c r="K106" s="281"/>
      <c r="L106" s="282" t="s">
        <v>3070</v>
      </c>
      <c r="M106" s="284" t="s">
        <v>2962</v>
      </c>
      <c r="N106" s="269">
        <f t="shared" si="6"/>
        <v>0</v>
      </c>
      <c r="O106" s="270">
        <f t="shared" si="7"/>
        <v>0</v>
      </c>
      <c r="P106" s="271">
        <f t="shared" si="8"/>
        <v>0</v>
      </c>
      <c r="Q106" s="272">
        <f>+'NI-San_SP'!Q106+'NI-Soc_SP'!Q106+'NI-Ric_SP'!Q106</f>
        <v>0</v>
      </c>
      <c r="R106" s="272">
        <f>+'NI-San_SP'!R106+'NI-Soc_SP'!R106+'NI-Ric_SP'!R106</f>
        <v>0</v>
      </c>
      <c r="S106" s="272">
        <f>+'NI-San_SP'!S106+'NI-Soc_SP'!T106+'NI-Ric_SP'!T106</f>
        <v>0</v>
      </c>
      <c r="T106" s="272">
        <f>+'NI-San_SP'!T106+'NI-Soc_SP'!T106+'NI-Ric_SP'!T106</f>
        <v>0</v>
      </c>
      <c r="U106" s="272">
        <f>+'NI-San_SP'!U106+'NI-Soc_SP'!U106+'NI-Ric_SP'!U106</f>
        <v>0</v>
      </c>
      <c r="W106" s="272">
        <f>+'NI-San_SP'!W106+'NI-Soc_SP'!W106+'NI-Ric_SP'!W106</f>
        <v>0</v>
      </c>
      <c r="X106" s="272">
        <f>+'NI-San_SP'!X106+'NI-Soc_SP'!X106+'NI-Ric_SP'!X106</f>
        <v>0</v>
      </c>
      <c r="Y106" s="272">
        <f>+'NI-San_SP'!Y106+'NI-Soc_SP'!Y106+'NI-Ric_SP'!Y106</f>
        <v>0</v>
      </c>
      <c r="Z106" s="272">
        <f>+'NI-San_SP'!Z106+'NI-Soc_SP'!Z106+'NI-Ric_SP'!Z106</f>
        <v>0</v>
      </c>
      <c r="AA106" s="272">
        <f>+'NI-San_SP'!AA106+'NI-Soc_SP'!AA106+'NI-Ric_SP'!AA106</f>
        <v>0</v>
      </c>
      <c r="AB106" s="272">
        <f>+'NI-San_SP'!AB106+'NI-Soc_SP'!AB106+'NI-Ric_SP'!AB106</f>
        <v>0</v>
      </c>
      <c r="AC106" s="272">
        <f>+'NI-San_SP'!AC106+'NI-Soc_SP'!AC106+'NI-Ric_SP'!AC106</f>
        <v>0</v>
      </c>
      <c r="AD106" s="272">
        <f>+'NI-San_SP'!AD106+'NI-Soc_SP'!AD106+'NI-Ric_SP'!AD106</f>
        <v>0</v>
      </c>
      <c r="AE106" s="272">
        <f>+'NI-San_SP'!AE106+'NI-Soc_SP'!AE106+'NI-Ric_SP'!AE106</f>
        <v>0</v>
      </c>
    </row>
    <row r="107" spans="2:31" s="204" customFormat="1" x14ac:dyDescent="0.25">
      <c r="B107" s="298"/>
      <c r="C107" s="298"/>
      <c r="D107" s="226"/>
      <c r="E107" s="226"/>
      <c r="F107" s="226"/>
      <c r="G107" s="226"/>
      <c r="H107" s="227"/>
      <c r="I107" s="226"/>
      <c r="J107" s="226"/>
      <c r="K107" s="226"/>
      <c r="L107" s="241"/>
      <c r="M107" s="278"/>
      <c r="N107" s="279"/>
      <c r="O107" s="279"/>
      <c r="P107" s="297"/>
      <c r="Q107" s="211"/>
      <c r="R107" s="279"/>
      <c r="S107" s="279"/>
      <c r="T107" s="279"/>
      <c r="U107" s="279"/>
      <c r="V107" s="279"/>
      <c r="W107" s="279"/>
      <c r="X107" s="279"/>
      <c r="Y107" s="279"/>
      <c r="Z107" s="279"/>
      <c r="AA107" s="211"/>
    </row>
    <row r="108" spans="2:31" s="204" customFormat="1" x14ac:dyDescent="0.25">
      <c r="B108" s="246" t="s">
        <v>286</v>
      </c>
      <c r="C108" s="292" t="s">
        <v>287</v>
      </c>
      <c r="D108" s="247" t="s">
        <v>3071</v>
      </c>
      <c r="E108" s="247"/>
      <c r="F108" s="247"/>
      <c r="G108" s="247"/>
      <c r="H108" s="248"/>
      <c r="I108" s="247"/>
      <c r="J108" s="247"/>
      <c r="K108" s="249"/>
      <c r="L108" s="276" t="s">
        <v>290</v>
      </c>
      <c r="M108" s="251" t="s">
        <v>2962</v>
      </c>
      <c r="N108" s="252">
        <f>SUM(N111:N116)</f>
        <v>8623910</v>
      </c>
      <c r="O108" s="252">
        <f>SUM(O111:O116)</f>
        <v>8792150</v>
      </c>
      <c r="P108" s="259">
        <f>+O108-N108</f>
        <v>168240</v>
      </c>
      <c r="Q108" s="252">
        <f>SUM(Q111:Q116)</f>
        <v>0</v>
      </c>
      <c r="R108" s="252">
        <f>SUM(R111:R116)</f>
        <v>8623910</v>
      </c>
      <c r="S108" s="252">
        <f>SUM(S111:S116)</f>
        <v>0</v>
      </c>
      <c r="V108" s="211"/>
      <c r="W108" s="252">
        <f>SUM(W111:W116)</f>
        <v>0</v>
      </c>
      <c r="X108" s="252">
        <f>SUM(X111:X116)</f>
        <v>0</v>
      </c>
      <c r="Y108" s="252">
        <f>SUM(Y111:Y116)</f>
        <v>0</v>
      </c>
      <c r="Z108" s="252">
        <f>SUM(Z111:Z116)</f>
        <v>168240</v>
      </c>
      <c r="AA108" s="211"/>
    </row>
    <row r="109" spans="2:31" s="204" customFormat="1" x14ac:dyDescent="0.25">
      <c r="B109" s="293"/>
      <c r="C109" s="293"/>
      <c r="D109" s="230"/>
      <c r="E109" s="230"/>
      <c r="F109" s="230"/>
      <c r="G109" s="230"/>
      <c r="H109" s="231"/>
      <c r="I109" s="230"/>
      <c r="J109" s="230"/>
      <c r="K109" s="230"/>
      <c r="L109" s="299"/>
      <c r="M109" s="211"/>
      <c r="N109" s="254"/>
      <c r="O109" s="211"/>
      <c r="P109" s="211"/>
      <c r="Q109" s="211"/>
      <c r="V109" s="211"/>
      <c r="W109" s="211"/>
      <c r="X109" s="211"/>
      <c r="Y109" s="211"/>
      <c r="Z109" s="211"/>
      <c r="AA109" s="211"/>
    </row>
    <row r="110" spans="2:31" s="204" customFormat="1" ht="63.75" x14ac:dyDescent="0.25">
      <c r="B110" s="294" t="s">
        <v>2968</v>
      </c>
      <c r="C110" s="294" t="s">
        <v>2969</v>
      </c>
      <c r="D110" s="206" t="s">
        <v>72</v>
      </c>
      <c r="E110" s="206"/>
      <c r="F110" s="206"/>
      <c r="G110" s="207"/>
      <c r="H110" s="207"/>
      <c r="I110" s="207"/>
      <c r="J110" s="207" t="s">
        <v>2957</v>
      </c>
      <c r="K110" s="206" t="s">
        <v>82</v>
      </c>
      <c r="L110" s="261" t="s">
        <v>2970</v>
      </c>
      <c r="M110" s="280"/>
      <c r="N110" s="256" t="str">
        <f>N$15</f>
        <v>Valore netto al 31/12/2019</v>
      </c>
      <c r="O110" s="256" t="str">
        <f>O$15</f>
        <v>Valore netto al 31/12/2020</v>
      </c>
      <c r="P110" s="256" t="str">
        <f>P$15</f>
        <v>Variazione</v>
      </c>
      <c r="Q110" s="262" t="s">
        <v>2971</v>
      </c>
      <c r="R110" s="262" t="str">
        <f>"Fondo ammortamento 31/12/"&amp;Info!$B$3-1</f>
        <v>Fondo ammortamento 31/12/2019</v>
      </c>
      <c r="S110" s="262" t="s">
        <v>2972</v>
      </c>
      <c r="V110" s="211"/>
      <c r="W110" s="262" t="s">
        <v>2975</v>
      </c>
      <c r="X110" s="262" t="s">
        <v>2976</v>
      </c>
      <c r="Y110" s="262" t="s">
        <v>2989</v>
      </c>
      <c r="Z110" s="262" t="s">
        <v>2990</v>
      </c>
      <c r="AA110" s="211"/>
    </row>
    <row r="111" spans="2:31" s="204" customFormat="1" x14ac:dyDescent="0.25">
      <c r="B111" s="246" t="s">
        <v>291</v>
      </c>
      <c r="C111" s="273" t="s">
        <v>292</v>
      </c>
      <c r="D111" s="264" t="s">
        <v>3072</v>
      </c>
      <c r="E111" s="264"/>
      <c r="F111" s="264"/>
      <c r="G111" s="265"/>
      <c r="H111" s="266"/>
      <c r="I111" s="281"/>
      <c r="J111" s="281"/>
      <c r="K111" s="281"/>
      <c r="L111" s="282" t="s">
        <v>3073</v>
      </c>
      <c r="M111" s="263" t="s">
        <v>2962</v>
      </c>
      <c r="N111" s="269">
        <f t="shared" ref="N111:N116" si="9">+R111</f>
        <v>0</v>
      </c>
      <c r="O111" s="270">
        <f t="shared" ref="O111:O116" si="10">+R111+S111+X111-ABS(Y111)+ABS(Z111)+W111+Q111</f>
        <v>0</v>
      </c>
      <c r="P111" s="271">
        <f t="shared" ref="P111:P116" si="11">+O111-N111</f>
        <v>0</v>
      </c>
      <c r="Q111" s="272">
        <f>+'NI-San_SP'!Q111+'NI-Soc_SP'!Q111+'NI-Ric_SP'!Q111</f>
        <v>0</v>
      </c>
      <c r="R111" s="272">
        <f>+'NI-San_SP'!R111+'NI-Soc_SP'!R111+'NI-Ric_SP'!R111</f>
        <v>0</v>
      </c>
      <c r="S111" s="272">
        <f>+'NI-San_SP'!S111+'NI-Soc_SP'!S111+'NI-Ric_SP'!S111</f>
        <v>0</v>
      </c>
      <c r="V111" s="211"/>
      <c r="W111" s="272">
        <f>+'NI-San_SP'!W111+'NI-Soc_SP'!W111+'NI-Ric_SP'!W111</f>
        <v>0</v>
      </c>
      <c r="X111" s="272">
        <f>+'NI-San_SP'!X111+'NI-Soc_SP'!X111+'NI-Ric_SP'!X111</f>
        <v>0</v>
      </c>
      <c r="Y111" s="272">
        <f>+'NI-San_SP'!Y111+'NI-Soc_SP'!Y111+'NI-Ric_SP'!Y111</f>
        <v>0</v>
      </c>
      <c r="Z111" s="272">
        <f>+'NI-San_SP'!Z111+'NI-Soc_SP'!Z111+'NI-Ric_SP'!Z111</f>
        <v>0</v>
      </c>
      <c r="AA111" s="211"/>
    </row>
    <row r="112" spans="2:31" s="204" customFormat="1" x14ac:dyDescent="0.25">
      <c r="B112" s="246" t="s">
        <v>294</v>
      </c>
      <c r="C112" s="273" t="s">
        <v>295</v>
      </c>
      <c r="D112" s="264" t="s">
        <v>3074</v>
      </c>
      <c r="E112" s="264"/>
      <c r="F112" s="264"/>
      <c r="G112" s="265"/>
      <c r="H112" s="266"/>
      <c r="I112" s="281"/>
      <c r="J112" s="281"/>
      <c r="K112" s="281"/>
      <c r="L112" s="282" t="s">
        <v>3075</v>
      </c>
      <c r="M112" s="263" t="s">
        <v>2962</v>
      </c>
      <c r="N112" s="269">
        <f t="shared" si="9"/>
        <v>0</v>
      </c>
      <c r="O112" s="270">
        <f t="shared" si="10"/>
        <v>0</v>
      </c>
      <c r="P112" s="271">
        <f t="shared" si="11"/>
        <v>0</v>
      </c>
      <c r="Q112" s="272">
        <f>+'NI-San_SP'!Q112+'NI-Soc_SP'!Q112+'NI-Ric_SP'!Q112</f>
        <v>0</v>
      </c>
      <c r="R112" s="272">
        <f>+'NI-San_SP'!R112+'NI-Soc_SP'!R112+'NI-Ric_SP'!R112</f>
        <v>0</v>
      </c>
      <c r="S112" s="272">
        <f>+'NI-San_SP'!S112+'NI-Soc_SP'!S112+'NI-Ric_SP'!S112</f>
        <v>0</v>
      </c>
      <c r="V112" s="211"/>
      <c r="W112" s="272">
        <f>+'NI-San_SP'!W112+'NI-Soc_SP'!W112+'NI-Ric_SP'!W112</f>
        <v>0</v>
      </c>
      <c r="X112" s="272">
        <f>+'NI-San_SP'!X112+'NI-Soc_SP'!X112+'NI-Ric_SP'!X112</f>
        <v>0</v>
      </c>
      <c r="Y112" s="272">
        <f>+'NI-San_SP'!Y112+'NI-Soc_SP'!Y112+'NI-Ric_SP'!Y112</f>
        <v>0</v>
      </c>
      <c r="Z112" s="272">
        <f>+'NI-San_SP'!Z112+'NI-Soc_SP'!Z112+'NI-Ric_SP'!Z112</f>
        <v>0</v>
      </c>
      <c r="AA112" s="211"/>
    </row>
    <row r="113" spans="2:31" s="204" customFormat="1" x14ac:dyDescent="0.25">
      <c r="B113" s="246" t="s">
        <v>297</v>
      </c>
      <c r="C113" s="273" t="s">
        <v>298</v>
      </c>
      <c r="D113" s="264" t="s">
        <v>3076</v>
      </c>
      <c r="E113" s="264"/>
      <c r="F113" s="274"/>
      <c r="G113" s="283"/>
      <c r="H113" s="266"/>
      <c r="I113" s="281"/>
      <c r="J113" s="281"/>
      <c r="K113" s="281"/>
      <c r="L113" s="282" t="s">
        <v>3077</v>
      </c>
      <c r="M113" s="284" t="s">
        <v>2962</v>
      </c>
      <c r="N113" s="269">
        <f t="shared" si="9"/>
        <v>6376663</v>
      </c>
      <c r="O113" s="270">
        <f t="shared" si="10"/>
        <v>6535935</v>
      </c>
      <c r="P113" s="271">
        <f t="shared" si="11"/>
        <v>159272</v>
      </c>
      <c r="Q113" s="272">
        <f>+'NI-San_SP'!Q113+'NI-Soc_SP'!Q113+'NI-Ric_SP'!Q113</f>
        <v>0</v>
      </c>
      <c r="R113" s="272">
        <f>+'NI-San_SP'!R113+'NI-Soc_SP'!R113+'NI-Ric_SP'!R113</f>
        <v>6376663</v>
      </c>
      <c r="S113" s="272">
        <f>+'NI-San_SP'!S113+'NI-Soc_SP'!S113+'NI-Ric_SP'!S113</f>
        <v>0</v>
      </c>
      <c r="V113" s="211"/>
      <c r="W113" s="272">
        <f>+'NI-San_SP'!W113+'NI-Soc_SP'!W113+'NI-Ric_SP'!W113</f>
        <v>0</v>
      </c>
      <c r="X113" s="272">
        <f>+'NI-San_SP'!X113+'NI-Soc_SP'!X113+'NI-Ric_SP'!X113</f>
        <v>0</v>
      </c>
      <c r="Y113" s="272">
        <f>+'NI-San_SP'!Y113+'NI-Soc_SP'!Y113+'NI-Ric_SP'!Y113</f>
        <v>0</v>
      </c>
      <c r="Z113" s="272">
        <f>+'NI-San_SP'!Z113+'NI-Soc_SP'!Z113+'NI-Ric_SP'!Z113</f>
        <v>159272</v>
      </c>
      <c r="AA113" s="211"/>
    </row>
    <row r="114" spans="2:31" s="204" customFormat="1" x14ac:dyDescent="0.25">
      <c r="B114" s="246" t="s">
        <v>300</v>
      </c>
      <c r="C114" s="273" t="s">
        <v>301</v>
      </c>
      <c r="D114" s="264" t="s">
        <v>3078</v>
      </c>
      <c r="E114" s="264"/>
      <c r="F114" s="274"/>
      <c r="G114" s="283"/>
      <c r="H114" s="266"/>
      <c r="I114" s="281"/>
      <c r="J114" s="281"/>
      <c r="K114" s="281"/>
      <c r="L114" s="282" t="s">
        <v>3079</v>
      </c>
      <c r="M114" s="284" t="s">
        <v>2962</v>
      </c>
      <c r="N114" s="269">
        <f t="shared" si="9"/>
        <v>2247247</v>
      </c>
      <c r="O114" s="270">
        <f t="shared" si="10"/>
        <v>2256215</v>
      </c>
      <c r="P114" s="271">
        <f t="shared" si="11"/>
        <v>8968</v>
      </c>
      <c r="Q114" s="272">
        <f>+'NI-San_SP'!Q114+'NI-Soc_SP'!Q114+'NI-Ric_SP'!Q114</f>
        <v>0</v>
      </c>
      <c r="R114" s="272">
        <f>+'NI-San_SP'!R114+'NI-Soc_SP'!R114+'NI-Ric_SP'!R114</f>
        <v>2247247</v>
      </c>
      <c r="S114" s="272">
        <f>+'NI-San_SP'!S114+'NI-Soc_SP'!S114+'NI-Ric_SP'!S114</f>
        <v>0</v>
      </c>
      <c r="V114" s="211"/>
      <c r="W114" s="272">
        <f>+'NI-San_SP'!W114+'NI-Soc_SP'!W114+'NI-Ric_SP'!W114</f>
        <v>0</v>
      </c>
      <c r="X114" s="272">
        <f>+'NI-San_SP'!X114+'NI-Soc_SP'!X114+'NI-Ric_SP'!X114</f>
        <v>0</v>
      </c>
      <c r="Y114" s="272">
        <f>+'NI-San_SP'!Y114+'NI-Soc_SP'!Y114+'NI-Ric_SP'!Y114</f>
        <v>0</v>
      </c>
      <c r="Z114" s="272">
        <f>+'NI-San_SP'!Z114+'NI-Soc_SP'!Z114+'NI-Ric_SP'!Z114</f>
        <v>8968</v>
      </c>
      <c r="AA114" s="211"/>
    </row>
    <row r="115" spans="2:31" s="204" customFormat="1" x14ac:dyDescent="0.25">
      <c r="B115" s="246" t="s">
        <v>303</v>
      </c>
      <c r="C115" s="273" t="s">
        <v>304</v>
      </c>
      <c r="D115" s="264" t="s">
        <v>3080</v>
      </c>
      <c r="E115" s="264"/>
      <c r="F115" s="274"/>
      <c r="G115" s="283"/>
      <c r="H115" s="266"/>
      <c r="I115" s="281"/>
      <c r="J115" s="281"/>
      <c r="K115" s="281"/>
      <c r="L115" s="282" t="s">
        <v>3081</v>
      </c>
      <c r="M115" s="284" t="s">
        <v>2962</v>
      </c>
      <c r="N115" s="269">
        <f t="shared" si="9"/>
        <v>0</v>
      </c>
      <c r="O115" s="270">
        <f t="shared" si="10"/>
        <v>0</v>
      </c>
      <c r="P115" s="271">
        <f t="shared" si="11"/>
        <v>0</v>
      </c>
      <c r="Q115" s="272">
        <f>+'NI-San_SP'!Q115+'NI-Soc_SP'!Q115+'NI-Ric_SP'!Q115</f>
        <v>0</v>
      </c>
      <c r="R115" s="272">
        <f>+'NI-San_SP'!R115+'NI-Soc_SP'!R115+'NI-Ric_SP'!R115</f>
        <v>0</v>
      </c>
      <c r="S115" s="272">
        <f>+'NI-San_SP'!S115+'NI-Soc_SP'!S115+'NI-Ric_SP'!S115</f>
        <v>0</v>
      </c>
      <c r="V115" s="211"/>
      <c r="W115" s="272">
        <f>+'NI-San_SP'!W115+'NI-Soc_SP'!W115+'NI-Ric_SP'!W115</f>
        <v>0</v>
      </c>
      <c r="X115" s="272">
        <f>+'NI-San_SP'!X115+'NI-Soc_SP'!X115+'NI-Ric_SP'!X115</f>
        <v>0</v>
      </c>
      <c r="Y115" s="272">
        <f>+'NI-San_SP'!Y115+'NI-Soc_SP'!Y115+'NI-Ric_SP'!Y115</f>
        <v>0</v>
      </c>
      <c r="Z115" s="272">
        <f>+'NI-San_SP'!Z115+'NI-Soc_SP'!Z115+'NI-Ric_SP'!Z115</f>
        <v>0</v>
      </c>
      <c r="AA115" s="211"/>
    </row>
    <row r="116" spans="2:31" s="204" customFormat="1" x14ac:dyDescent="0.25">
      <c r="B116" s="246" t="s">
        <v>306</v>
      </c>
      <c r="C116" s="273" t="s">
        <v>307</v>
      </c>
      <c r="D116" s="264" t="s">
        <v>3082</v>
      </c>
      <c r="E116" s="264"/>
      <c r="F116" s="274"/>
      <c r="G116" s="283"/>
      <c r="H116" s="266"/>
      <c r="I116" s="281"/>
      <c r="J116" s="281"/>
      <c r="K116" s="281"/>
      <c r="L116" s="282" t="s">
        <v>3083</v>
      </c>
      <c r="M116" s="284" t="s">
        <v>2962</v>
      </c>
      <c r="N116" s="269">
        <f t="shared" si="9"/>
        <v>0</v>
      </c>
      <c r="O116" s="270">
        <f t="shared" si="10"/>
        <v>0</v>
      </c>
      <c r="P116" s="271">
        <f t="shared" si="11"/>
        <v>0</v>
      </c>
      <c r="Q116" s="272">
        <f>+'NI-San_SP'!Q116+'NI-Soc_SP'!Q116+'NI-Ric_SP'!Q116</f>
        <v>0</v>
      </c>
      <c r="R116" s="272">
        <f>+'NI-San_SP'!R116+'NI-Soc_SP'!R116+'NI-Ric_SP'!R116</f>
        <v>0</v>
      </c>
      <c r="S116" s="272">
        <f>+'NI-San_SP'!S116+'NI-Soc_SP'!S116+'NI-Ric_SP'!S116</f>
        <v>0</v>
      </c>
      <c r="V116" s="211"/>
      <c r="W116" s="272">
        <f>+'NI-San_SP'!W116+'NI-Soc_SP'!W116+'NI-Ric_SP'!W116</f>
        <v>0</v>
      </c>
      <c r="X116" s="272">
        <f>+'NI-San_SP'!X116+'NI-Soc_SP'!X116+'NI-Ric_SP'!X116</f>
        <v>0</v>
      </c>
      <c r="Y116" s="272">
        <f>+'NI-San_SP'!Y116+'NI-Soc_SP'!Y116+'NI-Ric_SP'!Y116</f>
        <v>0</v>
      </c>
      <c r="Z116" s="272">
        <f>+'NI-San_SP'!Z116+'NI-Soc_SP'!Z116+'NI-Ric_SP'!Z116</f>
        <v>0</v>
      </c>
      <c r="AA116" s="211"/>
    </row>
    <row r="117" spans="2:31" s="204" customFormat="1" x14ac:dyDescent="0.25">
      <c r="B117" s="298"/>
      <c r="C117" s="298"/>
      <c r="D117" s="300"/>
      <c r="E117" s="226"/>
      <c r="F117" s="226"/>
      <c r="G117" s="226"/>
      <c r="H117" s="227"/>
      <c r="I117" s="226"/>
      <c r="J117" s="226"/>
      <c r="K117" s="226"/>
      <c r="L117" s="241"/>
      <c r="M117" s="278"/>
      <c r="N117" s="279"/>
      <c r="O117" s="279"/>
      <c r="P117" s="297"/>
      <c r="Q117" s="211"/>
      <c r="R117" s="279"/>
      <c r="S117" s="279"/>
      <c r="T117" s="279"/>
      <c r="U117" s="279"/>
      <c r="V117" s="279"/>
      <c r="W117" s="279"/>
      <c r="X117" s="279"/>
      <c r="Y117" s="279"/>
      <c r="Z117" s="279"/>
      <c r="AA117" s="211"/>
    </row>
    <row r="118" spans="2:31" s="204" customFormat="1" x14ac:dyDescent="0.25">
      <c r="B118" s="246" t="s">
        <v>309</v>
      </c>
      <c r="C118" s="292" t="s">
        <v>310</v>
      </c>
      <c r="D118" s="301" t="s">
        <v>3084</v>
      </c>
      <c r="E118" s="247"/>
      <c r="F118" s="247"/>
      <c r="G118" s="247"/>
      <c r="H118" s="248"/>
      <c r="I118" s="247"/>
      <c r="J118" s="247"/>
      <c r="K118" s="249"/>
      <c r="L118" s="258" t="s">
        <v>312</v>
      </c>
      <c r="M118" s="251" t="s">
        <v>2962</v>
      </c>
      <c r="N118" s="252">
        <f>SUM(N121:N122)</f>
        <v>0</v>
      </c>
      <c r="O118" s="252">
        <f>SUM(O121:O122)</f>
        <v>0</v>
      </c>
      <c r="P118" s="259">
        <f>+O118-N118</f>
        <v>0</v>
      </c>
      <c r="Q118" s="252">
        <f>SUM(Q121:Q122)</f>
        <v>0</v>
      </c>
      <c r="R118" s="252">
        <f>SUM(R121:R122)</f>
        <v>0</v>
      </c>
      <c r="S118" s="252">
        <f>SUM(S121:S122)</f>
        <v>0</v>
      </c>
      <c r="T118" s="252">
        <f>SUM(T121:T122)</f>
        <v>0</v>
      </c>
      <c r="U118" s="252">
        <f>SUM(U121:U122)</f>
        <v>0</v>
      </c>
      <c r="V118" s="216"/>
      <c r="W118" s="252">
        <f t="shared" ref="W118:AE118" si="12">SUM(W121:W122)</f>
        <v>0</v>
      </c>
      <c r="X118" s="252">
        <f t="shared" si="12"/>
        <v>0</v>
      </c>
      <c r="Y118" s="252">
        <f t="shared" si="12"/>
        <v>0</v>
      </c>
      <c r="Z118" s="252">
        <f t="shared" si="12"/>
        <v>0</v>
      </c>
      <c r="AA118" s="252">
        <f t="shared" si="12"/>
        <v>0</v>
      </c>
      <c r="AB118" s="252">
        <f t="shared" si="12"/>
        <v>0</v>
      </c>
      <c r="AC118" s="252">
        <f t="shared" si="12"/>
        <v>0</v>
      </c>
      <c r="AD118" s="252">
        <f t="shared" si="12"/>
        <v>0</v>
      </c>
      <c r="AE118" s="252">
        <f t="shared" si="12"/>
        <v>0</v>
      </c>
    </row>
    <row r="119" spans="2:31" s="204" customFormat="1" x14ac:dyDescent="0.25">
      <c r="B119" s="293"/>
      <c r="C119" s="293"/>
      <c r="D119" s="230"/>
      <c r="E119" s="230"/>
      <c r="F119" s="230"/>
      <c r="G119" s="230"/>
      <c r="H119" s="231"/>
      <c r="I119" s="230"/>
      <c r="J119" s="230"/>
      <c r="K119" s="230"/>
      <c r="L119" s="232"/>
      <c r="M119" s="211"/>
      <c r="N119" s="254"/>
      <c r="O119" s="211"/>
      <c r="P119" s="211"/>
      <c r="Q119" s="211"/>
      <c r="R119" s="216"/>
      <c r="T119" s="216"/>
      <c r="U119" s="216"/>
      <c r="V119" s="216"/>
      <c r="W119" s="211"/>
      <c r="X119" s="211"/>
      <c r="Y119" s="211"/>
      <c r="Z119" s="211"/>
      <c r="AA119" s="211"/>
    </row>
    <row r="120" spans="2:31" s="204" customFormat="1" ht="63.75" x14ac:dyDescent="0.25">
      <c r="B120" s="294" t="s">
        <v>2968</v>
      </c>
      <c r="C120" s="294" t="s">
        <v>2969</v>
      </c>
      <c r="D120" s="206" t="s">
        <v>72</v>
      </c>
      <c r="E120" s="206"/>
      <c r="F120" s="206"/>
      <c r="G120" s="207"/>
      <c r="H120" s="207"/>
      <c r="I120" s="207"/>
      <c r="J120" s="207" t="s">
        <v>2957</v>
      </c>
      <c r="K120" s="206" t="s">
        <v>82</v>
      </c>
      <c r="L120" s="261" t="s">
        <v>2970</v>
      </c>
      <c r="M120" s="260"/>
      <c r="N120" s="256" t="str">
        <f>N$15</f>
        <v>Valore netto al 31/12/2019</v>
      </c>
      <c r="O120" s="256" t="str">
        <f>O$15</f>
        <v>Valore netto al 31/12/2020</v>
      </c>
      <c r="P120" s="256" t="str">
        <f>P$15</f>
        <v>Variazione</v>
      </c>
      <c r="Q120" s="262" t="s">
        <v>2971</v>
      </c>
      <c r="R120" s="262" t="str">
        <f>"Costo storico al 31/12/"&amp;Info!$B$3-1</f>
        <v>Costo storico al 31/12/2019</v>
      </c>
      <c r="S120" s="262" t="s">
        <v>2972</v>
      </c>
      <c r="T120" s="262" t="s">
        <v>2973</v>
      </c>
      <c r="U120" s="262" t="s">
        <v>2974</v>
      </c>
      <c r="W120" s="262" t="s">
        <v>2975</v>
      </c>
      <c r="X120" s="262" t="s">
        <v>2976</v>
      </c>
      <c r="Y120" s="262" t="s">
        <v>2977</v>
      </c>
      <c r="Z120" s="262" t="s">
        <v>2978</v>
      </c>
      <c r="AA120" s="262" t="s">
        <v>2979</v>
      </c>
      <c r="AB120" s="262" t="s">
        <v>2980</v>
      </c>
      <c r="AC120" s="262" t="s">
        <v>2981</v>
      </c>
      <c r="AD120" s="262" t="s">
        <v>2982</v>
      </c>
      <c r="AE120" s="262" t="s">
        <v>2983</v>
      </c>
    </row>
    <row r="121" spans="2:31" s="204" customFormat="1" x14ac:dyDescent="0.25">
      <c r="B121" s="246" t="s">
        <v>313</v>
      </c>
      <c r="C121" s="273" t="s">
        <v>314</v>
      </c>
      <c r="D121" s="264" t="s">
        <v>3085</v>
      </c>
      <c r="E121" s="264"/>
      <c r="F121" s="264"/>
      <c r="G121" s="265"/>
      <c r="H121" s="266"/>
      <c r="I121" s="267"/>
      <c r="J121" s="267"/>
      <c r="K121" s="267"/>
      <c r="L121" s="268" t="s">
        <v>3086</v>
      </c>
      <c r="M121" s="263" t="s">
        <v>2962</v>
      </c>
      <c r="N121" s="269">
        <f>+R121+T121-U121</f>
        <v>0</v>
      </c>
      <c r="O121" s="270">
        <f>+N121+S121+X121+ABS(Y121)-ABS(AA121)+ABS(Z121)+ABS(AB121)+ABS(AD121)-ABS(AE121)+AC121+W121+Q121</f>
        <v>0</v>
      </c>
      <c r="P121" s="271">
        <f>+O121-N121</f>
        <v>0</v>
      </c>
      <c r="Q121" s="272">
        <f>+'NI-San_SP'!Q121+'NI-Soc_SP'!Q121+'NI-Ric_SP'!Q121</f>
        <v>0</v>
      </c>
      <c r="R121" s="272">
        <f>+'NI-San_SP'!R121+'NI-Soc_SP'!R121+'NI-Ric_SP'!R121</f>
        <v>0</v>
      </c>
      <c r="S121" s="272">
        <f>+'NI-San_SP'!S121+'NI-Soc_SP'!T121+'NI-Ric_SP'!T121</f>
        <v>0</v>
      </c>
      <c r="T121" s="272">
        <f>+'NI-San_SP'!T121+'NI-Soc_SP'!T121+'NI-Ric_SP'!T121</f>
        <v>0</v>
      </c>
      <c r="U121" s="272">
        <f>+'NI-San_SP'!U121+'NI-Soc_SP'!U121+'NI-Ric_SP'!U121</f>
        <v>0</v>
      </c>
      <c r="W121" s="272">
        <f>+'NI-San_SP'!W121+'NI-Soc_SP'!W121+'NI-Ric_SP'!W121</f>
        <v>0</v>
      </c>
      <c r="X121" s="272">
        <f>+'NI-San_SP'!X121+'NI-Soc_SP'!X121+'NI-Ric_SP'!X121</f>
        <v>0</v>
      </c>
      <c r="Y121" s="272">
        <f>+'NI-San_SP'!Y121+'NI-Soc_SP'!Y121+'NI-Ric_SP'!Y121</f>
        <v>0</v>
      </c>
      <c r="Z121" s="272">
        <f>+'NI-San_SP'!Z121+'NI-Soc_SP'!Z121+'NI-Ric_SP'!Z121</f>
        <v>0</v>
      </c>
      <c r="AA121" s="272">
        <f>+'NI-San_SP'!AA121+'NI-Soc_SP'!AA121+'NI-Ric_SP'!AA121</f>
        <v>0</v>
      </c>
      <c r="AB121" s="272">
        <f>+'NI-San_SP'!AB121+'NI-Soc_SP'!AB121+'NI-Ric_SP'!AB121</f>
        <v>0</v>
      </c>
      <c r="AC121" s="272">
        <f>+'NI-San_SP'!AC121+'NI-Soc_SP'!AC121+'NI-Ric_SP'!AC121</f>
        <v>0</v>
      </c>
      <c r="AD121" s="272">
        <f>+'NI-San_SP'!AD121+'NI-Soc_SP'!AD121+'NI-Ric_SP'!AD121</f>
        <v>0</v>
      </c>
      <c r="AE121" s="272">
        <f>+'NI-San_SP'!AE121+'NI-Soc_SP'!AE121+'NI-Ric_SP'!AE121</f>
        <v>0</v>
      </c>
    </row>
    <row r="122" spans="2:31" s="204" customFormat="1" x14ac:dyDescent="0.25">
      <c r="B122" s="246" t="s">
        <v>316</v>
      </c>
      <c r="C122" s="273" t="s">
        <v>317</v>
      </c>
      <c r="D122" s="264" t="s">
        <v>3087</v>
      </c>
      <c r="E122" s="264"/>
      <c r="F122" s="264"/>
      <c r="G122" s="265"/>
      <c r="H122" s="266"/>
      <c r="I122" s="267"/>
      <c r="J122" s="267"/>
      <c r="K122" s="267"/>
      <c r="L122" s="268" t="s">
        <v>3088</v>
      </c>
      <c r="M122" s="263" t="s">
        <v>2962</v>
      </c>
      <c r="N122" s="269">
        <f>+R122+T122-U122</f>
        <v>0</v>
      </c>
      <c r="O122" s="270">
        <f>+N122+S122+X122+ABS(Y122)-ABS(AA122)+ABS(Z122)+ABS(AB122)+ABS(AD122)-ABS(AE122)+AC122+W122+Q122</f>
        <v>0</v>
      </c>
      <c r="P122" s="271">
        <f>+O122-N122</f>
        <v>0</v>
      </c>
      <c r="Q122" s="272">
        <f>+'NI-San_SP'!Q122+'NI-Soc_SP'!Q122+'NI-Ric_SP'!Q122</f>
        <v>0</v>
      </c>
      <c r="R122" s="272">
        <f>+'NI-San_SP'!R122+'NI-Soc_SP'!R122+'NI-Ric_SP'!R122</f>
        <v>0</v>
      </c>
      <c r="S122" s="272">
        <f>+'NI-San_SP'!S122+'NI-Soc_SP'!T122+'NI-Ric_SP'!T122</f>
        <v>0</v>
      </c>
      <c r="T122" s="272">
        <f>+'NI-San_SP'!T122+'NI-Soc_SP'!T122+'NI-Ric_SP'!T122</f>
        <v>0</v>
      </c>
      <c r="U122" s="272">
        <f>+'NI-San_SP'!U122+'NI-Soc_SP'!U122+'NI-Ric_SP'!U122</f>
        <v>0</v>
      </c>
      <c r="W122" s="272">
        <f>+'NI-San_SP'!W122+'NI-Soc_SP'!W122+'NI-Ric_SP'!W122</f>
        <v>0</v>
      </c>
      <c r="X122" s="272">
        <f>+'NI-San_SP'!X122+'NI-Soc_SP'!X122+'NI-Ric_SP'!X122</f>
        <v>0</v>
      </c>
      <c r="Y122" s="272">
        <f>+'NI-San_SP'!Y122+'NI-Soc_SP'!Y122+'NI-Ric_SP'!Y122</f>
        <v>0</v>
      </c>
      <c r="Z122" s="272">
        <f>+'NI-San_SP'!Z122+'NI-Soc_SP'!Z122+'NI-Ric_SP'!Z122</f>
        <v>0</v>
      </c>
      <c r="AA122" s="272">
        <f>+'NI-San_SP'!AA122+'NI-Soc_SP'!AA122+'NI-Ric_SP'!AA122</f>
        <v>0</v>
      </c>
      <c r="AB122" s="272">
        <f>+'NI-San_SP'!AB122+'NI-Soc_SP'!AB122+'NI-Ric_SP'!AB122</f>
        <v>0</v>
      </c>
      <c r="AC122" s="272">
        <f>+'NI-San_SP'!AC122+'NI-Soc_SP'!AC122+'NI-Ric_SP'!AC122</f>
        <v>0</v>
      </c>
      <c r="AD122" s="272">
        <f>+'NI-San_SP'!AD122+'NI-Soc_SP'!AD122+'NI-Ric_SP'!AD122</f>
        <v>0</v>
      </c>
      <c r="AE122" s="272">
        <f>+'NI-San_SP'!AE122+'NI-Soc_SP'!AE122+'NI-Ric_SP'!AE122</f>
        <v>0</v>
      </c>
    </row>
    <row r="123" spans="2:31" s="204" customFormat="1" x14ac:dyDescent="0.25">
      <c r="B123" s="293"/>
      <c r="C123" s="293"/>
      <c r="D123" s="300"/>
      <c r="E123" s="230"/>
      <c r="F123" s="230"/>
      <c r="G123" s="230"/>
      <c r="H123" s="231"/>
      <c r="I123" s="230"/>
      <c r="J123" s="230"/>
      <c r="K123" s="230"/>
      <c r="L123" s="275"/>
      <c r="M123" s="211"/>
      <c r="N123" s="254"/>
      <c r="O123" s="211"/>
      <c r="P123" s="211"/>
      <c r="Q123" s="211"/>
      <c r="R123" s="211"/>
      <c r="S123" s="216"/>
      <c r="T123" s="216"/>
      <c r="U123" s="216"/>
      <c r="V123" s="216"/>
      <c r="W123" s="211"/>
      <c r="X123" s="211"/>
      <c r="Y123" s="211"/>
      <c r="Z123" s="211"/>
      <c r="AA123" s="211"/>
    </row>
    <row r="124" spans="2:31" s="204" customFormat="1" x14ac:dyDescent="0.25">
      <c r="B124" s="246" t="s">
        <v>319</v>
      </c>
      <c r="C124" s="292" t="s">
        <v>320</v>
      </c>
      <c r="D124" s="301" t="s">
        <v>3089</v>
      </c>
      <c r="E124" s="247"/>
      <c r="F124" s="247"/>
      <c r="G124" s="247"/>
      <c r="H124" s="248"/>
      <c r="I124" s="247"/>
      <c r="J124" s="247"/>
      <c r="K124" s="249"/>
      <c r="L124" s="276" t="s">
        <v>322</v>
      </c>
      <c r="M124" s="251" t="s">
        <v>2962</v>
      </c>
      <c r="N124" s="252">
        <f>SUM(N127:N128)</f>
        <v>0</v>
      </c>
      <c r="O124" s="252">
        <f>SUM(O127:O128)</f>
        <v>0</v>
      </c>
      <c r="P124" s="259">
        <f>+O124-N124</f>
        <v>0</v>
      </c>
      <c r="Q124" s="252">
        <f>SUM(Q127:Q128)</f>
        <v>0</v>
      </c>
      <c r="R124" s="252">
        <f>SUM(R127:R128)</f>
        <v>0</v>
      </c>
      <c r="S124" s="252">
        <f>SUM(S127:S128)</f>
        <v>0</v>
      </c>
      <c r="V124" s="211"/>
      <c r="W124" s="252">
        <f>SUM(W127:W128)</f>
        <v>0</v>
      </c>
      <c r="X124" s="252">
        <f>SUM(X127:X128)</f>
        <v>0</v>
      </c>
      <c r="Y124" s="252">
        <f>SUM(Y127:Y128)</f>
        <v>0</v>
      </c>
      <c r="Z124" s="252">
        <f>SUM(Z127:Z128)</f>
        <v>0</v>
      </c>
      <c r="AA124" s="211"/>
    </row>
    <row r="125" spans="2:31" s="204" customFormat="1" x14ac:dyDescent="0.25">
      <c r="B125" s="293"/>
      <c r="C125" s="293"/>
      <c r="D125" s="230"/>
      <c r="E125" s="230"/>
      <c r="F125" s="230"/>
      <c r="G125" s="230"/>
      <c r="H125" s="231"/>
      <c r="I125" s="230"/>
      <c r="J125" s="230"/>
      <c r="K125" s="230"/>
      <c r="L125" s="232"/>
      <c r="M125" s="211"/>
      <c r="N125" s="211"/>
      <c r="O125" s="211"/>
      <c r="P125" s="211"/>
      <c r="Q125" s="211"/>
      <c r="V125" s="211"/>
      <c r="W125" s="211"/>
      <c r="X125" s="211"/>
      <c r="Y125" s="211"/>
      <c r="Z125" s="211"/>
      <c r="AA125" s="211"/>
    </row>
    <row r="126" spans="2:31" s="204" customFormat="1" ht="63.75" x14ac:dyDescent="0.25">
      <c r="B126" s="294" t="s">
        <v>2968</v>
      </c>
      <c r="C126" s="294" t="s">
        <v>2969</v>
      </c>
      <c r="D126" s="206" t="s">
        <v>72</v>
      </c>
      <c r="E126" s="206"/>
      <c r="F126" s="206"/>
      <c r="G126" s="207"/>
      <c r="H126" s="207"/>
      <c r="I126" s="207"/>
      <c r="J126" s="207" t="s">
        <v>2957</v>
      </c>
      <c r="K126" s="206" t="s">
        <v>82</v>
      </c>
      <c r="L126" s="261" t="s">
        <v>2970</v>
      </c>
      <c r="M126" s="260"/>
      <c r="N126" s="256" t="str">
        <f>N$15</f>
        <v>Valore netto al 31/12/2019</v>
      </c>
      <c r="O126" s="256" t="str">
        <f>O$15</f>
        <v>Valore netto al 31/12/2020</v>
      </c>
      <c r="P126" s="256" t="str">
        <f>P$15</f>
        <v>Variazione</v>
      </c>
      <c r="Q126" s="262" t="s">
        <v>2971</v>
      </c>
      <c r="R126" s="262" t="str">
        <f>"Fondo ammortamento 31/12/"&amp;Info!$B$3-1</f>
        <v>Fondo ammortamento 31/12/2019</v>
      </c>
      <c r="S126" s="262" t="s">
        <v>2972</v>
      </c>
      <c r="V126" s="211"/>
      <c r="W126" s="262" t="s">
        <v>2975</v>
      </c>
      <c r="X126" s="262" t="s">
        <v>2976</v>
      </c>
      <c r="Y126" s="262" t="s">
        <v>2989</v>
      </c>
      <c r="Z126" s="262" t="s">
        <v>2990</v>
      </c>
      <c r="AA126" s="211"/>
    </row>
    <row r="127" spans="2:31" s="204" customFormat="1" x14ac:dyDescent="0.25">
      <c r="B127" s="246" t="s">
        <v>323</v>
      </c>
      <c r="C127" s="273" t="s">
        <v>324</v>
      </c>
      <c r="D127" s="264" t="s">
        <v>3090</v>
      </c>
      <c r="E127" s="264"/>
      <c r="F127" s="264"/>
      <c r="G127" s="265"/>
      <c r="H127" s="266"/>
      <c r="I127" s="267"/>
      <c r="J127" s="267"/>
      <c r="K127" s="267"/>
      <c r="L127" s="268" t="s">
        <v>3091</v>
      </c>
      <c r="M127" s="263" t="s">
        <v>2962</v>
      </c>
      <c r="N127" s="269">
        <f>+R127</f>
        <v>0</v>
      </c>
      <c r="O127" s="270">
        <f>+R127+S127+X127-ABS(Y127)+ABS(Z127)+W127+Q127</f>
        <v>0</v>
      </c>
      <c r="P127" s="271">
        <f>+O127-N127</f>
        <v>0</v>
      </c>
      <c r="Q127" s="272">
        <f>+'NI-San_SP'!Q127+'NI-Soc_SP'!Q127+'NI-Ric_SP'!Q127</f>
        <v>0</v>
      </c>
      <c r="R127" s="272">
        <f>+'NI-San_SP'!R127+'NI-Soc_SP'!R127+'NI-Ric_SP'!R127</f>
        <v>0</v>
      </c>
      <c r="S127" s="272">
        <f>+'NI-San_SP'!S127+'NI-Soc_SP'!S127+'NI-Ric_SP'!S127</f>
        <v>0</v>
      </c>
      <c r="V127" s="211"/>
      <c r="W127" s="272">
        <f>+'NI-San_SP'!W127+'NI-Soc_SP'!W127+'NI-Ric_SP'!W127</f>
        <v>0</v>
      </c>
      <c r="X127" s="272">
        <f>+'NI-San_SP'!X127+'NI-Soc_SP'!X127+'NI-Ric_SP'!X127</f>
        <v>0</v>
      </c>
      <c r="Y127" s="272">
        <f>+'NI-San_SP'!Y127+'NI-Soc_SP'!Y127+'NI-Ric_SP'!Y127</f>
        <v>0</v>
      </c>
      <c r="Z127" s="272">
        <f>+'NI-San_SP'!Z127+'NI-Soc_SP'!Z127+'NI-Ric_SP'!Z127</f>
        <v>0</v>
      </c>
      <c r="AA127" s="211"/>
    </row>
    <row r="128" spans="2:31" s="204" customFormat="1" x14ac:dyDescent="0.25">
      <c r="B128" s="246" t="s">
        <v>326</v>
      </c>
      <c r="C128" s="273" t="s">
        <v>327</v>
      </c>
      <c r="D128" s="264" t="s">
        <v>3092</v>
      </c>
      <c r="E128" s="264"/>
      <c r="F128" s="264"/>
      <c r="G128" s="265"/>
      <c r="H128" s="266"/>
      <c r="I128" s="267"/>
      <c r="J128" s="267"/>
      <c r="K128" s="267"/>
      <c r="L128" s="268" t="s">
        <v>3093</v>
      </c>
      <c r="M128" s="263" t="s">
        <v>2962</v>
      </c>
      <c r="N128" s="269">
        <f>+R128</f>
        <v>0</v>
      </c>
      <c r="O128" s="270">
        <f>+R128+S128+X128-ABS(Y128)+ABS(Z128)+W128+Q128</f>
        <v>0</v>
      </c>
      <c r="P128" s="271">
        <f>+O128-N128</f>
        <v>0</v>
      </c>
      <c r="Q128" s="272">
        <f>+'NI-San_SP'!Q128+'NI-Soc_SP'!Q128+'NI-Ric_SP'!Q128</f>
        <v>0</v>
      </c>
      <c r="R128" s="272">
        <f>+'NI-San_SP'!R128+'NI-Soc_SP'!R128+'NI-Ric_SP'!R128</f>
        <v>0</v>
      </c>
      <c r="S128" s="272">
        <f>+'NI-San_SP'!S128+'NI-Soc_SP'!S128+'NI-Ric_SP'!S128</f>
        <v>0</v>
      </c>
      <c r="V128" s="211"/>
      <c r="W128" s="272">
        <f>+'NI-San_SP'!W128+'NI-Soc_SP'!W128+'NI-Ric_SP'!W128</f>
        <v>0</v>
      </c>
      <c r="X128" s="272">
        <f>+'NI-San_SP'!X128+'NI-Soc_SP'!X128+'NI-Ric_SP'!X128</f>
        <v>0</v>
      </c>
      <c r="Y128" s="272">
        <f>+'NI-San_SP'!Y128+'NI-Soc_SP'!Y128+'NI-Ric_SP'!Y128</f>
        <v>0</v>
      </c>
      <c r="Z128" s="272">
        <f>+'NI-San_SP'!Z128+'NI-Soc_SP'!Z128+'NI-Ric_SP'!Z128</f>
        <v>0</v>
      </c>
      <c r="AA128" s="211"/>
    </row>
    <row r="129" spans="2:31" s="204" customFormat="1" x14ac:dyDescent="0.25">
      <c r="B129" s="293"/>
      <c r="C129" s="293"/>
      <c r="D129" s="300"/>
      <c r="E129" s="230"/>
      <c r="F129" s="230"/>
      <c r="G129" s="230"/>
      <c r="H129" s="231"/>
      <c r="I129" s="230"/>
      <c r="J129" s="230"/>
      <c r="K129" s="230"/>
      <c r="L129" s="232"/>
      <c r="M129" s="211"/>
      <c r="N129" s="254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2:31" s="204" customFormat="1" x14ac:dyDescent="0.25">
      <c r="B130" s="246" t="s">
        <v>329</v>
      </c>
      <c r="C130" s="292" t="s">
        <v>330</v>
      </c>
      <c r="D130" s="301" t="s">
        <v>3094</v>
      </c>
      <c r="E130" s="247"/>
      <c r="F130" s="247"/>
      <c r="G130" s="247"/>
      <c r="H130" s="248"/>
      <c r="I130" s="247"/>
      <c r="J130" s="247"/>
      <c r="K130" s="249"/>
      <c r="L130" s="258" t="s">
        <v>332</v>
      </c>
      <c r="M130" s="251" t="s">
        <v>2962</v>
      </c>
      <c r="N130" s="252">
        <f>SUM(N133:N134)</f>
        <v>0</v>
      </c>
      <c r="O130" s="252">
        <f>SUM(O133:O134)</f>
        <v>0</v>
      </c>
      <c r="P130" s="259">
        <f>+O130-N130</f>
        <v>0</v>
      </c>
      <c r="Q130" s="252">
        <f>SUM(Q133:Q134)</f>
        <v>0</v>
      </c>
      <c r="R130" s="252">
        <f>SUM(R133:R134)</f>
        <v>0</v>
      </c>
      <c r="S130" s="252">
        <f>SUM(T133:T134)</f>
        <v>0</v>
      </c>
      <c r="T130" s="252">
        <f>SUM(U133:U134)</f>
        <v>0</v>
      </c>
      <c r="U130" s="279"/>
      <c r="V130" s="216"/>
      <c r="W130" s="252">
        <f t="shared" ref="W130:AE130" si="13">SUM(W133:W134)</f>
        <v>0</v>
      </c>
      <c r="X130" s="252">
        <f t="shared" si="13"/>
        <v>0</v>
      </c>
      <c r="Y130" s="252">
        <f t="shared" si="13"/>
        <v>0</v>
      </c>
      <c r="Z130" s="252">
        <f t="shared" si="13"/>
        <v>0</v>
      </c>
      <c r="AA130" s="252">
        <f t="shared" si="13"/>
        <v>0</v>
      </c>
      <c r="AB130" s="252">
        <f t="shared" si="13"/>
        <v>0</v>
      </c>
      <c r="AC130" s="252">
        <f t="shared" si="13"/>
        <v>0</v>
      </c>
      <c r="AD130" s="252">
        <f t="shared" si="13"/>
        <v>0</v>
      </c>
      <c r="AE130" s="252">
        <f t="shared" si="13"/>
        <v>0</v>
      </c>
    </row>
    <row r="131" spans="2:31" s="204" customFormat="1" x14ac:dyDescent="0.25">
      <c r="B131" s="293"/>
      <c r="C131" s="293"/>
      <c r="D131" s="230"/>
      <c r="E131" s="230"/>
      <c r="F131" s="230"/>
      <c r="G131" s="230"/>
      <c r="H131" s="231"/>
      <c r="I131" s="230"/>
      <c r="J131" s="230"/>
      <c r="K131" s="230"/>
      <c r="L131" s="232"/>
      <c r="M131" s="211"/>
      <c r="N131" s="254"/>
      <c r="O131" s="211"/>
      <c r="P131" s="211"/>
      <c r="Q131" s="211"/>
      <c r="R131" s="216"/>
      <c r="S131" s="216"/>
      <c r="T131" s="216"/>
      <c r="U131" s="216"/>
      <c r="V131" s="216"/>
      <c r="W131" s="211"/>
      <c r="X131" s="211"/>
      <c r="Y131" s="211"/>
      <c r="Z131" s="211"/>
      <c r="AA131" s="211"/>
    </row>
    <row r="132" spans="2:31" s="204" customFormat="1" ht="63.75" x14ac:dyDescent="0.25">
      <c r="B132" s="294" t="s">
        <v>2968</v>
      </c>
      <c r="C132" s="294" t="s">
        <v>2969</v>
      </c>
      <c r="D132" s="206" t="s">
        <v>72</v>
      </c>
      <c r="E132" s="206"/>
      <c r="F132" s="206"/>
      <c r="G132" s="207"/>
      <c r="H132" s="207"/>
      <c r="I132" s="207"/>
      <c r="J132" s="207" t="s">
        <v>2957</v>
      </c>
      <c r="K132" s="206" t="s">
        <v>82</v>
      </c>
      <c r="L132" s="261" t="s">
        <v>2970</v>
      </c>
      <c r="M132" s="260"/>
      <c r="N132" s="256" t="str">
        <f>N$15</f>
        <v>Valore netto al 31/12/2019</v>
      </c>
      <c r="O132" s="256" t="str">
        <f>O$15</f>
        <v>Valore netto al 31/12/2020</v>
      </c>
      <c r="P132" s="256" t="str">
        <f>P$15</f>
        <v>Variazione</v>
      </c>
      <c r="Q132" s="262" t="s">
        <v>2971</v>
      </c>
      <c r="R132" s="262" t="str">
        <f>"Costo storico al 31/12/"&amp;Info!$B$3-1</f>
        <v>Costo storico al 31/12/2019</v>
      </c>
      <c r="S132" s="262" t="s">
        <v>2972</v>
      </c>
      <c r="T132" s="262" t="s">
        <v>2973</v>
      </c>
      <c r="U132" s="262" t="s">
        <v>2974</v>
      </c>
      <c r="W132" s="262" t="s">
        <v>2975</v>
      </c>
      <c r="X132" s="262" t="s">
        <v>2976</v>
      </c>
      <c r="Y132" s="262" t="s">
        <v>2977</v>
      </c>
      <c r="Z132" s="262" t="s">
        <v>2978</v>
      </c>
      <c r="AA132" s="262" t="s">
        <v>2979</v>
      </c>
      <c r="AB132" s="262" t="s">
        <v>2980</v>
      </c>
      <c r="AC132" s="262" t="s">
        <v>2981</v>
      </c>
      <c r="AD132" s="262" t="s">
        <v>2982</v>
      </c>
      <c r="AE132" s="262" t="s">
        <v>2983</v>
      </c>
    </row>
    <row r="133" spans="2:31" s="204" customFormat="1" x14ac:dyDescent="0.25">
      <c r="B133" s="246" t="s">
        <v>333</v>
      </c>
      <c r="C133" s="273" t="s">
        <v>334</v>
      </c>
      <c r="D133" s="264" t="s">
        <v>3095</v>
      </c>
      <c r="E133" s="264"/>
      <c r="F133" s="264"/>
      <c r="G133" s="265"/>
      <c r="H133" s="266"/>
      <c r="I133" s="267"/>
      <c r="J133" s="267"/>
      <c r="K133" s="267"/>
      <c r="L133" s="268" t="s">
        <v>3096</v>
      </c>
      <c r="M133" s="263" t="s">
        <v>2962</v>
      </c>
      <c r="N133" s="269">
        <f>+R133+T133-U133</f>
        <v>0</v>
      </c>
      <c r="O133" s="270">
        <f>+N133+S133+X133+ABS(Y133)-ABS(AA133)+ABS(Z133)+ABS(AB133)+ABS(AD133)-ABS(AE133)+AC133+W133+Q133</f>
        <v>0</v>
      </c>
      <c r="P133" s="271">
        <f>+O133-N133</f>
        <v>0</v>
      </c>
      <c r="Q133" s="272">
        <f>+'NI-San_SP'!Q133+'NI-Soc_SP'!Q133+'NI-Ric_SP'!Q133</f>
        <v>0</v>
      </c>
      <c r="R133" s="272">
        <f>+'NI-San_SP'!R133+'NI-Soc_SP'!R133+'NI-Ric_SP'!R133</f>
        <v>0</v>
      </c>
      <c r="S133" s="272">
        <f>+'NI-San_SP'!S133+'NI-Soc_SP'!T133+'NI-Ric_SP'!T133</f>
        <v>0</v>
      </c>
      <c r="T133" s="272">
        <f>+'NI-San_SP'!T133+'NI-Soc_SP'!T133+'NI-Ric_SP'!T133</f>
        <v>0</v>
      </c>
      <c r="U133" s="272">
        <f>+'NI-San_SP'!U133+'NI-Soc_SP'!U133+'NI-Ric_SP'!U133</f>
        <v>0</v>
      </c>
      <c r="W133" s="272">
        <f>+'NI-San_SP'!W133+'NI-Soc_SP'!W133+'NI-Ric_SP'!W133</f>
        <v>0</v>
      </c>
      <c r="X133" s="272">
        <f>+'NI-San_SP'!X133+'NI-Soc_SP'!X133+'NI-Ric_SP'!X133</f>
        <v>0</v>
      </c>
      <c r="Y133" s="272">
        <f>+'NI-San_SP'!Y133+'NI-Soc_SP'!Y133+'NI-Ric_SP'!Y133</f>
        <v>0</v>
      </c>
      <c r="Z133" s="272">
        <f>+'NI-San_SP'!Z133+'NI-Soc_SP'!Z133+'NI-Ric_SP'!Z133</f>
        <v>0</v>
      </c>
      <c r="AA133" s="272">
        <f>+'NI-San_SP'!AA133+'NI-Soc_SP'!AA133+'NI-Ric_SP'!AA133</f>
        <v>0</v>
      </c>
      <c r="AB133" s="272">
        <f>+'NI-San_SP'!AB133+'NI-Soc_SP'!AB133+'NI-Ric_SP'!AB133</f>
        <v>0</v>
      </c>
      <c r="AC133" s="272">
        <f>+'NI-San_SP'!AC133+'NI-Soc_SP'!AC133+'NI-Ric_SP'!AC133</f>
        <v>0</v>
      </c>
      <c r="AD133" s="272">
        <f>+'NI-San_SP'!AD133+'NI-Soc_SP'!AD133+'NI-Ric_SP'!AD133</f>
        <v>0</v>
      </c>
      <c r="AE133" s="272">
        <f>+'NI-San_SP'!AE133+'NI-Soc_SP'!AE133+'NI-Ric_SP'!AE133</f>
        <v>0</v>
      </c>
    </row>
    <row r="134" spans="2:31" s="204" customFormat="1" x14ac:dyDescent="0.25">
      <c r="B134" s="246" t="s">
        <v>336</v>
      </c>
      <c r="C134" s="273" t="s">
        <v>337</v>
      </c>
      <c r="D134" s="264" t="s">
        <v>3097</v>
      </c>
      <c r="E134" s="264"/>
      <c r="F134" s="264"/>
      <c r="G134" s="265"/>
      <c r="H134" s="266"/>
      <c r="I134" s="267"/>
      <c r="J134" s="267"/>
      <c r="K134" s="267"/>
      <c r="L134" s="268" t="s">
        <v>3098</v>
      </c>
      <c r="M134" s="263" t="s">
        <v>2962</v>
      </c>
      <c r="N134" s="269">
        <f>+R134+T134-U134</f>
        <v>0</v>
      </c>
      <c r="O134" s="270">
        <f>+N134+S134+X134+ABS(Y134)-ABS(AA134)+ABS(Z134)+ABS(AB134)+ABS(AD134)-ABS(AE134)+AC134+W134+Q134</f>
        <v>0</v>
      </c>
      <c r="P134" s="271">
        <f>+O134-N134</f>
        <v>0</v>
      </c>
      <c r="Q134" s="272">
        <f>+'NI-San_SP'!Q134+'NI-Soc_SP'!Q134+'NI-Ric_SP'!Q134</f>
        <v>0</v>
      </c>
      <c r="R134" s="272">
        <f>+'NI-San_SP'!R134+'NI-Soc_SP'!R134+'NI-Ric_SP'!R134</f>
        <v>0</v>
      </c>
      <c r="S134" s="272">
        <f>+'NI-San_SP'!S134+'NI-Soc_SP'!T134+'NI-Ric_SP'!T134</f>
        <v>0</v>
      </c>
      <c r="T134" s="272">
        <f>+'NI-San_SP'!T134+'NI-Soc_SP'!T134+'NI-Ric_SP'!T134</f>
        <v>0</v>
      </c>
      <c r="U134" s="272">
        <f>+'NI-San_SP'!U134+'NI-Soc_SP'!U134+'NI-Ric_SP'!U134</f>
        <v>0</v>
      </c>
      <c r="W134" s="272">
        <f>+'NI-San_SP'!W134+'NI-Soc_SP'!W134+'NI-Ric_SP'!W134</f>
        <v>0</v>
      </c>
      <c r="X134" s="272">
        <f>+'NI-San_SP'!X134+'NI-Soc_SP'!X134+'NI-Ric_SP'!X134</f>
        <v>0</v>
      </c>
      <c r="Y134" s="272">
        <f>+'NI-San_SP'!Y134+'NI-Soc_SP'!Y134+'NI-Ric_SP'!Y134</f>
        <v>0</v>
      </c>
      <c r="Z134" s="272">
        <f>+'NI-San_SP'!Z134+'NI-Soc_SP'!Z134+'NI-Ric_SP'!Z134</f>
        <v>0</v>
      </c>
      <c r="AA134" s="272">
        <f>+'NI-San_SP'!AA134+'NI-Soc_SP'!AA134+'NI-Ric_SP'!AA134</f>
        <v>0</v>
      </c>
      <c r="AB134" s="272">
        <f>+'NI-San_SP'!AB134+'NI-Soc_SP'!AB134+'NI-Ric_SP'!AB134</f>
        <v>0</v>
      </c>
      <c r="AC134" s="272">
        <f>+'NI-San_SP'!AC134+'NI-Soc_SP'!AC134+'NI-Ric_SP'!AC134</f>
        <v>0</v>
      </c>
      <c r="AD134" s="272">
        <f>+'NI-San_SP'!AD134+'NI-Soc_SP'!AD134+'NI-Ric_SP'!AD134</f>
        <v>0</v>
      </c>
      <c r="AE134" s="272">
        <f>+'NI-San_SP'!AE134+'NI-Soc_SP'!AE134+'NI-Ric_SP'!AE134</f>
        <v>0</v>
      </c>
    </row>
    <row r="135" spans="2:31" s="204" customFormat="1" x14ac:dyDescent="0.25">
      <c r="B135" s="293"/>
      <c r="C135" s="293"/>
      <c r="D135" s="300"/>
      <c r="E135" s="230"/>
      <c r="F135" s="230"/>
      <c r="G135" s="230"/>
      <c r="H135" s="231"/>
      <c r="I135" s="230"/>
      <c r="J135" s="230"/>
      <c r="K135" s="230"/>
      <c r="L135" s="275"/>
      <c r="M135" s="211"/>
      <c r="N135" s="254"/>
      <c r="O135" s="211"/>
      <c r="P135" s="211"/>
      <c r="Q135" s="211"/>
      <c r="R135" s="211"/>
      <c r="S135" s="216"/>
      <c r="T135" s="216"/>
      <c r="U135" s="216"/>
      <c r="V135" s="216"/>
      <c r="W135" s="211"/>
      <c r="X135" s="211"/>
      <c r="Y135" s="211"/>
      <c r="Z135" s="211"/>
      <c r="AA135" s="211"/>
    </row>
    <row r="136" spans="2:31" s="204" customFormat="1" x14ac:dyDescent="0.25">
      <c r="B136" s="246" t="s">
        <v>339</v>
      </c>
      <c r="C136" s="292" t="s">
        <v>340</v>
      </c>
      <c r="D136" s="301" t="s">
        <v>3099</v>
      </c>
      <c r="E136" s="247"/>
      <c r="F136" s="247"/>
      <c r="G136" s="247"/>
      <c r="H136" s="248"/>
      <c r="I136" s="247"/>
      <c r="J136" s="247"/>
      <c r="K136" s="249"/>
      <c r="L136" s="276" t="s">
        <v>342</v>
      </c>
      <c r="M136" s="251" t="s">
        <v>2962</v>
      </c>
      <c r="N136" s="252">
        <f>SUM(N139:N140)</f>
        <v>0</v>
      </c>
      <c r="O136" s="252">
        <f>SUM(O139:O140)</f>
        <v>0</v>
      </c>
      <c r="P136" s="259">
        <f>+O136-N136</f>
        <v>0</v>
      </c>
      <c r="Q136" s="252">
        <f>SUM(Q139:Q140)</f>
        <v>0</v>
      </c>
      <c r="R136" s="252">
        <f>SUM(R139:R140)</f>
        <v>0</v>
      </c>
      <c r="S136" s="252">
        <f>SUM(S139:S140)</f>
        <v>0</v>
      </c>
      <c r="V136" s="211"/>
      <c r="W136" s="252">
        <f>SUM(W139:W140)</f>
        <v>0</v>
      </c>
      <c r="X136" s="252">
        <f>SUM(X139:X140)</f>
        <v>0</v>
      </c>
      <c r="Y136" s="252">
        <f>SUM(Y139:Y140)</f>
        <v>0</v>
      </c>
      <c r="Z136" s="252">
        <f>SUM(Z139:Z140)</f>
        <v>0</v>
      </c>
      <c r="AA136" s="211"/>
    </row>
    <row r="137" spans="2:31" s="204" customFormat="1" x14ac:dyDescent="0.25">
      <c r="B137" s="293"/>
      <c r="C137" s="293"/>
      <c r="D137" s="230"/>
      <c r="E137" s="230"/>
      <c r="F137" s="230"/>
      <c r="G137" s="230"/>
      <c r="H137" s="231"/>
      <c r="I137" s="230"/>
      <c r="J137" s="230"/>
      <c r="K137" s="230"/>
      <c r="L137" s="232"/>
      <c r="M137" s="211"/>
      <c r="N137" s="211"/>
      <c r="O137" s="211"/>
      <c r="P137" s="211"/>
      <c r="Q137" s="211"/>
      <c r="V137" s="211"/>
      <c r="W137" s="211"/>
      <c r="X137" s="211"/>
      <c r="Y137" s="211"/>
      <c r="Z137" s="211"/>
      <c r="AA137" s="211"/>
    </row>
    <row r="138" spans="2:31" s="204" customFormat="1" ht="63.75" x14ac:dyDescent="0.25">
      <c r="B138" s="294" t="s">
        <v>2968</v>
      </c>
      <c r="C138" s="294" t="s">
        <v>2969</v>
      </c>
      <c r="D138" s="206" t="s">
        <v>72</v>
      </c>
      <c r="E138" s="206"/>
      <c r="F138" s="206"/>
      <c r="G138" s="207"/>
      <c r="H138" s="207"/>
      <c r="I138" s="207"/>
      <c r="J138" s="207" t="s">
        <v>2957</v>
      </c>
      <c r="K138" s="206" t="s">
        <v>82</v>
      </c>
      <c r="L138" s="261" t="s">
        <v>2970</v>
      </c>
      <c r="M138" s="260"/>
      <c r="N138" s="256" t="str">
        <f>N$15</f>
        <v>Valore netto al 31/12/2019</v>
      </c>
      <c r="O138" s="256" t="str">
        <f>O$15</f>
        <v>Valore netto al 31/12/2020</v>
      </c>
      <c r="P138" s="256" t="str">
        <f>P$15</f>
        <v>Variazione</v>
      </c>
      <c r="Q138" s="262" t="s">
        <v>2971</v>
      </c>
      <c r="R138" s="262" t="str">
        <f>"Fondo ammortamento 31/12/"&amp;Info!$B$3-1</f>
        <v>Fondo ammortamento 31/12/2019</v>
      </c>
      <c r="S138" s="262" t="s">
        <v>2972</v>
      </c>
      <c r="V138" s="211"/>
      <c r="W138" s="262" t="s">
        <v>2975</v>
      </c>
      <c r="X138" s="262" t="s">
        <v>2976</v>
      </c>
      <c r="Y138" s="262" t="s">
        <v>2989</v>
      </c>
      <c r="Z138" s="262" t="s">
        <v>2990</v>
      </c>
      <c r="AA138" s="211"/>
    </row>
    <row r="139" spans="2:31" s="204" customFormat="1" x14ac:dyDescent="0.25">
      <c r="B139" s="246" t="s">
        <v>343</v>
      </c>
      <c r="C139" s="273" t="s">
        <v>344</v>
      </c>
      <c r="D139" s="264" t="s">
        <v>3100</v>
      </c>
      <c r="E139" s="264"/>
      <c r="F139" s="264"/>
      <c r="G139" s="265"/>
      <c r="H139" s="266"/>
      <c r="I139" s="267"/>
      <c r="J139" s="267"/>
      <c r="K139" s="267"/>
      <c r="L139" s="268" t="s">
        <v>3101</v>
      </c>
      <c r="M139" s="263" t="s">
        <v>2962</v>
      </c>
      <c r="N139" s="269">
        <f>+R139</f>
        <v>0</v>
      </c>
      <c r="O139" s="270">
        <f>+R139+S139+X139-ABS(Y139)+ABS(Z139)+W139+Q139</f>
        <v>0</v>
      </c>
      <c r="P139" s="271">
        <f>+O139-N139</f>
        <v>0</v>
      </c>
      <c r="Q139" s="272">
        <f>+'NI-San_SP'!Q139+'NI-Soc_SP'!Q139+'NI-Ric_SP'!Q139</f>
        <v>0</v>
      </c>
      <c r="R139" s="272">
        <f>+'NI-San_SP'!R139+'NI-Soc_SP'!R139+'NI-Ric_SP'!R139</f>
        <v>0</v>
      </c>
      <c r="S139" s="272">
        <f>+'NI-San_SP'!S139+'NI-Soc_SP'!S139+'NI-Ric_SP'!S139</f>
        <v>0</v>
      </c>
      <c r="V139" s="211"/>
      <c r="W139" s="272">
        <f>+'NI-San_SP'!W139+'NI-Soc_SP'!W139+'NI-Ric_SP'!W139</f>
        <v>0</v>
      </c>
      <c r="X139" s="272">
        <f>+'NI-San_SP'!X139+'NI-Soc_SP'!X139+'NI-Ric_SP'!X139</f>
        <v>0</v>
      </c>
      <c r="Y139" s="272">
        <f>+'NI-San_SP'!Y139+'NI-Soc_SP'!Y139+'NI-Ric_SP'!Y139</f>
        <v>0</v>
      </c>
      <c r="Z139" s="272">
        <f>+'NI-San_SP'!Z139+'NI-Soc_SP'!Z139+'NI-Ric_SP'!Z139</f>
        <v>0</v>
      </c>
      <c r="AA139" s="211"/>
    </row>
    <row r="140" spans="2:31" s="204" customFormat="1" x14ac:dyDescent="0.25">
      <c r="B140" s="246" t="s">
        <v>346</v>
      </c>
      <c r="C140" s="273" t="s">
        <v>347</v>
      </c>
      <c r="D140" s="264" t="s">
        <v>3102</v>
      </c>
      <c r="E140" s="264"/>
      <c r="F140" s="264"/>
      <c r="G140" s="265"/>
      <c r="H140" s="266"/>
      <c r="I140" s="267"/>
      <c r="J140" s="267"/>
      <c r="K140" s="267"/>
      <c r="L140" s="268" t="s">
        <v>3103</v>
      </c>
      <c r="M140" s="263" t="s">
        <v>2962</v>
      </c>
      <c r="N140" s="269">
        <f>+R140</f>
        <v>0</v>
      </c>
      <c r="O140" s="270">
        <f>+R140+S140+X140-ABS(Y140)+ABS(Z140)+W140+Q140</f>
        <v>0</v>
      </c>
      <c r="P140" s="271">
        <f>+O140-N140</f>
        <v>0</v>
      </c>
      <c r="Q140" s="272">
        <f>+'NI-San_SP'!Q140+'NI-Soc_SP'!Q140+'NI-Ric_SP'!Q140</f>
        <v>0</v>
      </c>
      <c r="R140" s="272">
        <f>+'NI-San_SP'!R140+'NI-Soc_SP'!R140+'NI-Ric_SP'!R140</f>
        <v>0</v>
      </c>
      <c r="S140" s="272">
        <f>+'NI-San_SP'!S140+'NI-Soc_SP'!S140+'NI-Ric_SP'!S140</f>
        <v>0</v>
      </c>
      <c r="V140" s="211"/>
      <c r="W140" s="272">
        <f>+'NI-San_SP'!W140+'NI-Soc_SP'!W140+'NI-Ric_SP'!W140</f>
        <v>0</v>
      </c>
      <c r="X140" s="272">
        <f>+'NI-San_SP'!X140+'NI-Soc_SP'!X140+'NI-Ric_SP'!X140</f>
        <v>0</v>
      </c>
      <c r="Y140" s="272">
        <f>+'NI-San_SP'!Y140+'NI-Soc_SP'!Y140+'NI-Ric_SP'!Y140</f>
        <v>0</v>
      </c>
      <c r="Z140" s="272">
        <f>+'NI-San_SP'!Z140+'NI-Soc_SP'!Z140+'NI-Ric_SP'!Z140</f>
        <v>0</v>
      </c>
      <c r="AA140" s="211"/>
    </row>
    <row r="141" spans="2:31" s="204" customFormat="1" x14ac:dyDescent="0.25">
      <c r="B141" s="293"/>
      <c r="C141" s="293"/>
      <c r="D141" s="300"/>
      <c r="E141" s="230"/>
      <c r="F141" s="230"/>
      <c r="G141" s="230"/>
      <c r="H141" s="231"/>
      <c r="I141" s="230"/>
      <c r="J141" s="230"/>
      <c r="K141" s="230"/>
      <c r="L141" s="232"/>
      <c r="M141" s="211"/>
      <c r="N141" s="254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2:31" s="204" customFormat="1" x14ac:dyDescent="0.25">
      <c r="B142" s="246" t="s">
        <v>349</v>
      </c>
      <c r="C142" s="292" t="s">
        <v>350</v>
      </c>
      <c r="D142" s="301" t="s">
        <v>3104</v>
      </c>
      <c r="E142" s="247"/>
      <c r="F142" s="247"/>
      <c r="G142" s="247"/>
      <c r="H142" s="248"/>
      <c r="I142" s="247"/>
      <c r="J142" s="247"/>
      <c r="K142" s="249"/>
      <c r="L142" s="258" t="s">
        <v>352</v>
      </c>
      <c r="M142" s="251" t="s">
        <v>2962</v>
      </c>
      <c r="N142" s="252">
        <f>SUM(N145:N148)</f>
        <v>1650</v>
      </c>
      <c r="O142" s="252">
        <f>SUM(O145:O148)</f>
        <v>1650</v>
      </c>
      <c r="P142" s="259">
        <f>+O142-N142</f>
        <v>0</v>
      </c>
      <c r="Q142" s="252">
        <f>SUM(Q145:Q148)</f>
        <v>0</v>
      </c>
      <c r="R142" s="252">
        <f>SUM(R145:R148)</f>
        <v>1650</v>
      </c>
      <c r="S142" s="252">
        <f>SUM(T145:T148)</f>
        <v>0</v>
      </c>
      <c r="T142" s="252">
        <f>SUM(U145:U148)</f>
        <v>0</v>
      </c>
      <c r="U142" s="279"/>
      <c r="V142" s="216"/>
      <c r="W142" s="252">
        <f t="shared" ref="W142:AE142" si="14">SUM(W145:W148)</f>
        <v>0</v>
      </c>
      <c r="X142" s="252">
        <f t="shared" si="14"/>
        <v>0</v>
      </c>
      <c r="Y142" s="252">
        <f t="shared" si="14"/>
        <v>0</v>
      </c>
      <c r="Z142" s="252">
        <f t="shared" si="14"/>
        <v>0</v>
      </c>
      <c r="AA142" s="252">
        <f t="shared" si="14"/>
        <v>0</v>
      </c>
      <c r="AB142" s="252">
        <f t="shared" si="14"/>
        <v>0</v>
      </c>
      <c r="AC142" s="252">
        <f t="shared" si="14"/>
        <v>0</v>
      </c>
      <c r="AD142" s="252">
        <f t="shared" si="14"/>
        <v>0</v>
      </c>
      <c r="AE142" s="252">
        <f t="shared" si="14"/>
        <v>0</v>
      </c>
    </row>
    <row r="143" spans="2:31" s="204" customFormat="1" x14ac:dyDescent="0.25">
      <c r="B143" s="293"/>
      <c r="C143" s="293"/>
      <c r="D143" s="230"/>
      <c r="E143" s="230"/>
      <c r="F143" s="230"/>
      <c r="G143" s="230"/>
      <c r="H143" s="231"/>
      <c r="I143" s="230"/>
      <c r="J143" s="230"/>
      <c r="K143" s="230"/>
      <c r="L143" s="232"/>
      <c r="M143" s="211"/>
      <c r="N143" s="254"/>
      <c r="O143" s="211"/>
      <c r="P143" s="211"/>
      <c r="Q143" s="211"/>
      <c r="R143" s="216"/>
      <c r="S143" s="216"/>
      <c r="T143" s="216"/>
      <c r="U143" s="216"/>
      <c r="V143" s="216"/>
      <c r="W143" s="211"/>
      <c r="X143" s="211"/>
      <c r="Y143" s="211"/>
      <c r="Z143" s="211"/>
      <c r="AA143" s="211"/>
    </row>
    <row r="144" spans="2:31" s="204" customFormat="1" ht="63.75" x14ac:dyDescent="0.25">
      <c r="B144" s="294" t="s">
        <v>2968</v>
      </c>
      <c r="C144" s="294" t="s">
        <v>2969</v>
      </c>
      <c r="D144" s="206" t="s">
        <v>72</v>
      </c>
      <c r="E144" s="206"/>
      <c r="F144" s="206"/>
      <c r="G144" s="207"/>
      <c r="H144" s="207"/>
      <c r="I144" s="207"/>
      <c r="J144" s="207" t="s">
        <v>2957</v>
      </c>
      <c r="K144" s="206" t="s">
        <v>82</v>
      </c>
      <c r="L144" s="261" t="s">
        <v>2970</v>
      </c>
      <c r="M144" s="260"/>
      <c r="N144" s="256" t="str">
        <f>N$15</f>
        <v>Valore netto al 31/12/2019</v>
      </c>
      <c r="O144" s="256" t="str">
        <f>O$15</f>
        <v>Valore netto al 31/12/2020</v>
      </c>
      <c r="P144" s="256" t="str">
        <f>P$15</f>
        <v>Variazione</v>
      </c>
      <c r="Q144" s="262" t="s">
        <v>2971</v>
      </c>
      <c r="R144" s="262" t="str">
        <f>"Costo storico al 31/12/"&amp;Info!$B$3-1</f>
        <v>Costo storico al 31/12/2019</v>
      </c>
      <c r="S144" s="262" t="s">
        <v>2972</v>
      </c>
      <c r="T144" s="262" t="s">
        <v>2973</v>
      </c>
      <c r="U144" s="262" t="s">
        <v>2974</v>
      </c>
      <c r="W144" s="262" t="s">
        <v>2975</v>
      </c>
      <c r="X144" s="262" t="s">
        <v>2976</v>
      </c>
      <c r="Y144" s="262" t="s">
        <v>2977</v>
      </c>
      <c r="Z144" s="262" t="s">
        <v>2978</v>
      </c>
      <c r="AA144" s="262" t="s">
        <v>2979</v>
      </c>
      <c r="AB144" s="262" t="s">
        <v>2980</v>
      </c>
      <c r="AC144" s="262" t="s">
        <v>2981</v>
      </c>
      <c r="AD144" s="262" t="s">
        <v>2982</v>
      </c>
      <c r="AE144" s="262" t="s">
        <v>2983</v>
      </c>
    </row>
    <row r="145" spans="2:34" s="204" customFormat="1" x14ac:dyDescent="0.25">
      <c r="B145" s="246" t="s">
        <v>353</v>
      </c>
      <c r="C145" s="273" t="s">
        <v>354</v>
      </c>
      <c r="D145" s="264" t="s">
        <v>3105</v>
      </c>
      <c r="E145" s="264"/>
      <c r="F145" s="264"/>
      <c r="G145" s="265"/>
      <c r="H145" s="266"/>
      <c r="I145" s="267"/>
      <c r="J145" s="267"/>
      <c r="K145" s="267"/>
      <c r="L145" s="268" t="s">
        <v>3106</v>
      </c>
      <c r="M145" s="263" t="s">
        <v>2962</v>
      </c>
      <c r="N145" s="269">
        <f>+R145+T145-U145</f>
        <v>1650</v>
      </c>
      <c r="O145" s="270">
        <f>+N145+S145+X145+ABS(Y145)-ABS(AA145)+ABS(Z145)+ABS(AB145)+ABS(AD145)-ABS(AE145)+AC145+W145+Q145</f>
        <v>1650</v>
      </c>
      <c r="P145" s="271">
        <f>+O145-N145</f>
        <v>0</v>
      </c>
      <c r="Q145" s="272">
        <f>+'NI-San_SP'!Q145+'NI-Soc_SP'!Q145+'NI-Ric_SP'!Q145</f>
        <v>0</v>
      </c>
      <c r="R145" s="272">
        <f>+'NI-San_SP'!R145+'NI-Soc_SP'!R145+'NI-Ric_SP'!R145</f>
        <v>1650</v>
      </c>
      <c r="S145" s="272">
        <f>+'NI-San_SP'!S145+'NI-Soc_SP'!T145+'NI-Ric_SP'!T145</f>
        <v>0</v>
      </c>
      <c r="T145" s="272">
        <f>+'NI-San_SP'!S145+'NI-Soc_SP'!T145+'NI-Ric_SP'!T145</f>
        <v>0</v>
      </c>
      <c r="U145" s="272">
        <f>+'NI-San_SP'!T145+'NI-Soc_SP'!U145+'NI-Ric_SP'!U145</f>
        <v>0</v>
      </c>
      <c r="W145" s="272">
        <f>+'NI-San_SP'!W145+'NI-Soc_SP'!W145+'NI-Ric_SP'!W145</f>
        <v>0</v>
      </c>
      <c r="X145" s="272">
        <f>+'NI-San_SP'!X145+'NI-Soc_SP'!X145+'NI-Ric_SP'!X145</f>
        <v>0</v>
      </c>
      <c r="Y145" s="272">
        <f>+'NI-San_SP'!Y145+'NI-Soc_SP'!Y145+'NI-Ric_SP'!Y145</f>
        <v>0</v>
      </c>
      <c r="Z145" s="272">
        <f>+'NI-San_SP'!Z145+'NI-Soc_SP'!Z145+'NI-Ric_SP'!Z145</f>
        <v>0</v>
      </c>
      <c r="AA145" s="272">
        <f>+'NI-San_SP'!AA145+'NI-Soc_SP'!AA145+'NI-Ric_SP'!AA145</f>
        <v>0</v>
      </c>
      <c r="AB145" s="272">
        <f>+'NI-San_SP'!AB145+'NI-Soc_SP'!AB145+'NI-Ric_SP'!AB145</f>
        <v>0</v>
      </c>
      <c r="AC145" s="272">
        <f>+'NI-San_SP'!AC145+'NI-Soc_SP'!AC145+'NI-Ric_SP'!AC145</f>
        <v>0</v>
      </c>
      <c r="AD145" s="272">
        <f>+'NI-San_SP'!AD145+'NI-Soc_SP'!AD145+'NI-Ric_SP'!AD145</f>
        <v>0</v>
      </c>
      <c r="AE145" s="272">
        <f>+'NI-San_SP'!AE145+'NI-Soc_SP'!AE145+'NI-Ric_SP'!AE145</f>
        <v>0</v>
      </c>
    </row>
    <row r="146" spans="2:34" s="204" customFormat="1" x14ac:dyDescent="0.25">
      <c r="B146" s="246" t="s">
        <v>356</v>
      </c>
      <c r="C146" s="273" t="s">
        <v>357</v>
      </c>
      <c r="D146" s="264" t="s">
        <v>3107</v>
      </c>
      <c r="E146" s="264"/>
      <c r="F146" s="264"/>
      <c r="G146" s="265"/>
      <c r="H146" s="266"/>
      <c r="I146" s="267"/>
      <c r="J146" s="267"/>
      <c r="K146" s="267"/>
      <c r="L146" s="268" t="s">
        <v>3108</v>
      </c>
      <c r="M146" s="263" t="s">
        <v>2962</v>
      </c>
      <c r="N146" s="269">
        <f>+R146+T146-U146</f>
        <v>0</v>
      </c>
      <c r="O146" s="270">
        <f>+N146+S146+X146+ABS(Y146)-ABS(AA146)+ABS(Z146)+ABS(AB146)+ABS(AD146)-ABS(AE146)+AC146+W146+Q146</f>
        <v>0</v>
      </c>
      <c r="P146" s="271">
        <f>+O146-N146</f>
        <v>0</v>
      </c>
      <c r="Q146" s="272">
        <f>+'NI-San_SP'!Q146+'NI-Soc_SP'!Q146+'NI-Ric_SP'!Q146</f>
        <v>0</v>
      </c>
      <c r="R146" s="272">
        <f>+'NI-San_SP'!R146+'NI-Soc_SP'!R146+'NI-Ric_SP'!R146</f>
        <v>0</v>
      </c>
      <c r="S146" s="272">
        <f>+'NI-San_SP'!S146+'NI-Soc_SP'!T146+'NI-Ric_SP'!T146</f>
        <v>0</v>
      </c>
      <c r="T146" s="272">
        <f>+'NI-San_SP'!S146+'NI-Soc_SP'!T146+'NI-Ric_SP'!T146</f>
        <v>0</v>
      </c>
      <c r="U146" s="272">
        <f>+'NI-San_SP'!T146+'NI-Soc_SP'!U146+'NI-Ric_SP'!U146</f>
        <v>0</v>
      </c>
      <c r="W146" s="272">
        <f>+'NI-San_SP'!W146+'NI-Soc_SP'!W146+'NI-Ric_SP'!W146</f>
        <v>0</v>
      </c>
      <c r="X146" s="272">
        <f>+'NI-San_SP'!X146+'NI-Soc_SP'!X146+'NI-Ric_SP'!X146</f>
        <v>0</v>
      </c>
      <c r="Y146" s="272">
        <f>+'NI-San_SP'!Y146+'NI-Soc_SP'!Y146+'NI-Ric_SP'!Y146</f>
        <v>0</v>
      </c>
      <c r="Z146" s="272">
        <f>+'NI-San_SP'!Z146+'NI-Soc_SP'!Z146+'NI-Ric_SP'!Z146</f>
        <v>0</v>
      </c>
      <c r="AA146" s="272">
        <f>+'NI-San_SP'!AA146+'NI-Soc_SP'!AA146+'NI-Ric_SP'!AA146</f>
        <v>0</v>
      </c>
      <c r="AB146" s="272">
        <f>+'NI-San_SP'!AB146+'NI-Soc_SP'!AB146+'NI-Ric_SP'!AB146</f>
        <v>0</v>
      </c>
      <c r="AC146" s="272">
        <f>+'NI-San_SP'!AC146+'NI-Soc_SP'!AC146+'NI-Ric_SP'!AC146</f>
        <v>0</v>
      </c>
      <c r="AD146" s="272">
        <f>+'NI-San_SP'!AD146+'NI-Soc_SP'!AD146+'NI-Ric_SP'!AD146</f>
        <v>0</v>
      </c>
      <c r="AE146" s="272">
        <f>+'NI-San_SP'!AE146+'NI-Soc_SP'!AE146+'NI-Ric_SP'!AE146</f>
        <v>0</v>
      </c>
    </row>
    <row r="147" spans="2:34" s="204" customFormat="1" x14ac:dyDescent="0.25">
      <c r="B147" s="246" t="s">
        <v>359</v>
      </c>
      <c r="C147" s="273" t="s">
        <v>360</v>
      </c>
      <c r="D147" s="264" t="s">
        <v>3109</v>
      </c>
      <c r="E147" s="264"/>
      <c r="F147" s="264"/>
      <c r="G147" s="265"/>
      <c r="H147" s="266"/>
      <c r="I147" s="267"/>
      <c r="J147" s="267"/>
      <c r="K147" s="267"/>
      <c r="L147" s="268" t="s">
        <v>3110</v>
      </c>
      <c r="M147" s="263" t="s">
        <v>2962</v>
      </c>
      <c r="N147" s="269">
        <f>+R147+T147-U147</f>
        <v>0</v>
      </c>
      <c r="O147" s="270">
        <f>+N147+S147+X147+ABS(Y147)-ABS(AA147)+ABS(Z147)+ABS(AB147)+ABS(AD147)-ABS(AE147)+AC147+W147+Q147</f>
        <v>0</v>
      </c>
      <c r="P147" s="271">
        <f>+O147-N147</f>
        <v>0</v>
      </c>
      <c r="Q147" s="272">
        <f>+'NI-San_SP'!Q147+'NI-Soc_SP'!Q147+'NI-Ric_SP'!Q147</f>
        <v>0</v>
      </c>
      <c r="R147" s="272">
        <f>+'NI-San_SP'!R147+'NI-Soc_SP'!R147+'NI-Ric_SP'!R147</f>
        <v>0</v>
      </c>
      <c r="S147" s="272">
        <f>+'NI-San_SP'!S147+'NI-Soc_SP'!T147+'NI-Ric_SP'!T147</f>
        <v>0</v>
      </c>
      <c r="T147" s="272">
        <f>+'NI-San_SP'!S147+'NI-Soc_SP'!T147+'NI-Ric_SP'!T147</f>
        <v>0</v>
      </c>
      <c r="U147" s="272">
        <f>+'NI-San_SP'!T147+'NI-Soc_SP'!U147+'NI-Ric_SP'!U147</f>
        <v>0</v>
      </c>
      <c r="W147" s="272">
        <f>+'NI-San_SP'!W147+'NI-Soc_SP'!W147+'NI-Ric_SP'!W147</f>
        <v>0</v>
      </c>
      <c r="X147" s="272">
        <f>+'NI-San_SP'!X147+'NI-Soc_SP'!X147+'NI-Ric_SP'!X147</f>
        <v>0</v>
      </c>
      <c r="Y147" s="272">
        <f>+'NI-San_SP'!Y147+'NI-Soc_SP'!Y147+'NI-Ric_SP'!Y147</f>
        <v>0</v>
      </c>
      <c r="Z147" s="272">
        <f>+'NI-San_SP'!Z147+'NI-Soc_SP'!Z147+'NI-Ric_SP'!Z147</f>
        <v>0</v>
      </c>
      <c r="AA147" s="272">
        <f>+'NI-San_SP'!AA147+'NI-Soc_SP'!AA147+'NI-Ric_SP'!AA147</f>
        <v>0</v>
      </c>
      <c r="AB147" s="272">
        <f>+'NI-San_SP'!AB147+'NI-Soc_SP'!AB147+'NI-Ric_SP'!AB147</f>
        <v>0</v>
      </c>
      <c r="AC147" s="272">
        <f>+'NI-San_SP'!AC147+'NI-Soc_SP'!AC147+'NI-Ric_SP'!AC147</f>
        <v>0</v>
      </c>
      <c r="AD147" s="272">
        <f>+'NI-San_SP'!AD147+'NI-Soc_SP'!AD147+'NI-Ric_SP'!AD147</f>
        <v>0</v>
      </c>
      <c r="AE147" s="272">
        <f>+'NI-San_SP'!AE147+'NI-Soc_SP'!AE147+'NI-Ric_SP'!AE147</f>
        <v>0</v>
      </c>
    </row>
    <row r="148" spans="2:34" s="204" customFormat="1" x14ac:dyDescent="0.25">
      <c r="B148" s="246" t="s">
        <v>362</v>
      </c>
      <c r="C148" s="273" t="s">
        <v>363</v>
      </c>
      <c r="D148" s="264" t="s">
        <v>3111</v>
      </c>
      <c r="E148" s="264"/>
      <c r="F148" s="264"/>
      <c r="G148" s="265"/>
      <c r="H148" s="266"/>
      <c r="I148" s="267"/>
      <c r="J148" s="267"/>
      <c r="K148" s="267"/>
      <c r="L148" s="268" t="s">
        <v>3112</v>
      </c>
      <c r="M148" s="263" t="s">
        <v>2962</v>
      </c>
      <c r="N148" s="269">
        <f>+R148+T148-U148</f>
        <v>0</v>
      </c>
      <c r="O148" s="270">
        <f>+N148+S148+X148+ABS(Y148)-ABS(AA148)+ABS(Z148)+ABS(AB148)+ABS(AD148)-ABS(AE148)+AC148+W148+Q148</f>
        <v>0</v>
      </c>
      <c r="P148" s="271">
        <f>+O148-N148</f>
        <v>0</v>
      </c>
      <c r="Q148" s="272">
        <f>+'NI-San_SP'!Q148+'NI-Soc_SP'!Q148+'NI-Ric_SP'!Q148</f>
        <v>0</v>
      </c>
      <c r="R148" s="272">
        <f>+'NI-San_SP'!R148+'NI-Soc_SP'!R148+'NI-Ric_SP'!R148</f>
        <v>0</v>
      </c>
      <c r="S148" s="272">
        <f>+'NI-San_SP'!S148+'NI-Soc_SP'!T148+'NI-Ric_SP'!T148</f>
        <v>0</v>
      </c>
      <c r="T148" s="272">
        <f>+'NI-San_SP'!S148+'NI-Soc_SP'!T148+'NI-Ric_SP'!T148</f>
        <v>0</v>
      </c>
      <c r="U148" s="272">
        <f>+'NI-San_SP'!T148+'NI-Soc_SP'!U148+'NI-Ric_SP'!U148</f>
        <v>0</v>
      </c>
      <c r="W148" s="272">
        <f>+'NI-San_SP'!W148+'NI-Soc_SP'!W148+'NI-Ric_SP'!W148</f>
        <v>0</v>
      </c>
      <c r="X148" s="272">
        <f>+'NI-San_SP'!X148+'NI-Soc_SP'!X148+'NI-Ric_SP'!X148</f>
        <v>0</v>
      </c>
      <c r="Y148" s="272">
        <f>+'NI-San_SP'!Y148+'NI-Soc_SP'!Y148+'NI-Ric_SP'!Y148</f>
        <v>0</v>
      </c>
      <c r="Z148" s="272">
        <f>+'NI-San_SP'!Z148+'NI-Soc_SP'!Z148+'NI-Ric_SP'!Z148</f>
        <v>0</v>
      </c>
      <c r="AA148" s="272">
        <f>+'NI-San_SP'!AA148+'NI-Soc_SP'!AA148+'NI-Ric_SP'!AA148</f>
        <v>0</v>
      </c>
      <c r="AB148" s="272">
        <f>+'NI-San_SP'!AB148+'NI-Soc_SP'!AB148+'NI-Ric_SP'!AB148</f>
        <v>0</v>
      </c>
      <c r="AC148" s="272">
        <f>+'NI-San_SP'!AC148+'NI-Soc_SP'!AC148+'NI-Ric_SP'!AC148</f>
        <v>0</v>
      </c>
      <c r="AD148" s="272">
        <f>+'NI-San_SP'!AD148+'NI-Soc_SP'!AD148+'NI-Ric_SP'!AD148</f>
        <v>0</v>
      </c>
      <c r="AE148" s="272">
        <f>+'NI-San_SP'!AE148+'NI-Soc_SP'!AE148+'NI-Ric_SP'!AE148</f>
        <v>0</v>
      </c>
    </row>
    <row r="149" spans="2:34" s="204" customFormat="1" x14ac:dyDescent="0.25">
      <c r="B149" s="293"/>
      <c r="C149" s="293"/>
      <c r="D149" s="300"/>
      <c r="E149" s="230"/>
      <c r="F149" s="230"/>
      <c r="G149" s="230"/>
      <c r="H149" s="231"/>
      <c r="I149" s="230"/>
      <c r="J149" s="230"/>
      <c r="K149" s="230"/>
      <c r="L149" s="275"/>
      <c r="M149" s="211"/>
      <c r="N149" s="254"/>
      <c r="O149" s="211"/>
      <c r="P149" s="211"/>
      <c r="Q149" s="211"/>
      <c r="R149" s="285"/>
      <c r="S149" s="285"/>
      <c r="T149" s="285"/>
      <c r="U149" s="285"/>
      <c r="V149" s="285"/>
      <c r="W149" s="285"/>
      <c r="X149" s="285"/>
      <c r="Y149" s="285"/>
      <c r="Z149" s="285"/>
      <c r="AA149" s="211"/>
    </row>
    <row r="150" spans="2:34" s="204" customFormat="1" x14ac:dyDescent="0.25">
      <c r="B150" s="246" t="s">
        <v>365</v>
      </c>
      <c r="C150" s="292" t="s">
        <v>366</v>
      </c>
      <c r="D150" s="301" t="s">
        <v>3113</v>
      </c>
      <c r="E150" s="247"/>
      <c r="F150" s="247"/>
      <c r="G150" s="247"/>
      <c r="H150" s="248"/>
      <c r="I150" s="247"/>
      <c r="J150" s="247"/>
      <c r="K150" s="249"/>
      <c r="L150" s="276" t="s">
        <v>368</v>
      </c>
      <c r="M150" s="251" t="s">
        <v>2962</v>
      </c>
      <c r="N150" s="252">
        <f>SUM(N153:N156)</f>
        <v>1650</v>
      </c>
      <c r="O150" s="252">
        <f>SUM(O153:O156)</f>
        <v>1650</v>
      </c>
      <c r="P150" s="259">
        <f>+O150-N150</f>
        <v>0</v>
      </c>
      <c r="Q150" s="252">
        <f>SUM(Q153:Q156)</f>
        <v>0</v>
      </c>
      <c r="R150" s="252">
        <f>SUM(R153:R156)</f>
        <v>1650</v>
      </c>
      <c r="S150" s="252">
        <f>SUM(S153:S156)</f>
        <v>0</v>
      </c>
      <c r="V150" s="211"/>
      <c r="W150" s="252">
        <f>SUM(W153:W156)</f>
        <v>0</v>
      </c>
      <c r="X150" s="252">
        <f>SUM(X153:X156)</f>
        <v>0</v>
      </c>
      <c r="Y150" s="252">
        <f>SUM(Y153:Y156)</f>
        <v>0</v>
      </c>
      <c r="Z150" s="252">
        <f>SUM(Z153:Z156)</f>
        <v>0</v>
      </c>
      <c r="AA150" s="211"/>
    </row>
    <row r="151" spans="2:34" s="204" customFormat="1" x14ac:dyDescent="0.25">
      <c r="B151" s="293"/>
      <c r="C151" s="293"/>
      <c r="D151" s="230"/>
      <c r="E151" s="230"/>
      <c r="F151" s="230"/>
      <c r="G151" s="230"/>
      <c r="H151" s="231"/>
      <c r="I151" s="230"/>
      <c r="J151" s="230"/>
      <c r="K151" s="230"/>
      <c r="L151" s="232"/>
      <c r="M151" s="211"/>
      <c r="N151" s="211"/>
      <c r="O151" s="211"/>
      <c r="P151" s="211"/>
      <c r="Q151" s="211"/>
      <c r="V151" s="211"/>
      <c r="W151" s="211"/>
      <c r="X151" s="211"/>
      <c r="Y151" s="211"/>
      <c r="Z151" s="211"/>
      <c r="AA151" s="285"/>
    </row>
    <row r="152" spans="2:34" s="204" customFormat="1" ht="63.75" x14ac:dyDescent="0.25">
      <c r="B152" s="294" t="s">
        <v>2968</v>
      </c>
      <c r="C152" s="294" t="s">
        <v>2969</v>
      </c>
      <c r="D152" s="206" t="s">
        <v>72</v>
      </c>
      <c r="E152" s="206"/>
      <c r="F152" s="206"/>
      <c r="G152" s="207"/>
      <c r="H152" s="207"/>
      <c r="I152" s="207"/>
      <c r="J152" s="207" t="s">
        <v>2957</v>
      </c>
      <c r="K152" s="206" t="s">
        <v>82</v>
      </c>
      <c r="L152" s="261" t="s">
        <v>2970</v>
      </c>
      <c r="M152" s="260"/>
      <c r="N152" s="256" t="str">
        <f>N$15</f>
        <v>Valore netto al 31/12/2019</v>
      </c>
      <c r="O152" s="256" t="str">
        <f>O$15</f>
        <v>Valore netto al 31/12/2020</v>
      </c>
      <c r="P152" s="256" t="str">
        <f>P$15</f>
        <v>Variazione</v>
      </c>
      <c r="Q152" s="262" t="s">
        <v>2971</v>
      </c>
      <c r="R152" s="262" t="str">
        <f>"Fondo ammortamento 31/12/"&amp;Info!$B$3-1</f>
        <v>Fondo ammortamento 31/12/2019</v>
      </c>
      <c r="S152" s="262" t="s">
        <v>2972</v>
      </c>
      <c r="V152" s="211"/>
      <c r="W152" s="262" t="s">
        <v>2975</v>
      </c>
      <c r="X152" s="262" t="s">
        <v>2976</v>
      </c>
      <c r="Y152" s="262" t="s">
        <v>2989</v>
      </c>
      <c r="Z152" s="262" t="s">
        <v>2990</v>
      </c>
      <c r="AA152" s="285"/>
    </row>
    <row r="153" spans="2:34" s="204" customFormat="1" x14ac:dyDescent="0.25">
      <c r="B153" s="246" t="s">
        <v>369</v>
      </c>
      <c r="C153" s="273" t="s">
        <v>370</v>
      </c>
      <c r="D153" s="264" t="s">
        <v>3114</v>
      </c>
      <c r="E153" s="264"/>
      <c r="F153" s="264"/>
      <c r="G153" s="265"/>
      <c r="H153" s="266"/>
      <c r="I153" s="267"/>
      <c r="J153" s="267"/>
      <c r="K153" s="267"/>
      <c r="L153" s="268" t="s">
        <v>3115</v>
      </c>
      <c r="M153" s="263" t="s">
        <v>2962</v>
      </c>
      <c r="N153" s="269">
        <f>+R153</f>
        <v>1650</v>
      </c>
      <c r="O153" s="270">
        <f>+R153+S153+X153-ABS(Y153)+ABS(Z153)+W153+Q153</f>
        <v>1650</v>
      </c>
      <c r="P153" s="271">
        <f>+O153-N153</f>
        <v>0</v>
      </c>
      <c r="Q153" s="272">
        <f>+'NI-San_SP'!Q153+'NI-Soc_SP'!Q153+'NI-Ric_SP'!Q153</f>
        <v>0</v>
      </c>
      <c r="R153" s="272">
        <f>+'NI-San_SP'!R153+'NI-Soc_SP'!R153+'NI-Ric_SP'!R153</f>
        <v>1650</v>
      </c>
      <c r="S153" s="272">
        <f>+'NI-San_SP'!S153+'NI-Soc_SP'!S153+'NI-Ric_SP'!S153</f>
        <v>0</v>
      </c>
      <c r="V153" s="211"/>
      <c r="W153" s="272">
        <f>+'NI-San_SP'!W153+'NI-Soc_SP'!W153+'NI-Ric_SP'!W153</f>
        <v>0</v>
      </c>
      <c r="X153" s="272">
        <f>+'NI-San_SP'!X153+'NI-Soc_SP'!X153+'NI-Ric_SP'!X153</f>
        <v>0</v>
      </c>
      <c r="Y153" s="272">
        <f>+'NI-San_SP'!Y153+'NI-Soc_SP'!Y153+'NI-Ric_SP'!Y153</f>
        <v>0</v>
      </c>
      <c r="Z153" s="272">
        <f>+'NI-San_SP'!Z153+'NI-Soc_SP'!Z153+'NI-Ric_SP'!Z153</f>
        <v>0</v>
      </c>
      <c r="AA153" s="285"/>
    </row>
    <row r="154" spans="2:34" s="204" customFormat="1" x14ac:dyDescent="0.25">
      <c r="B154" s="246" t="s">
        <v>372</v>
      </c>
      <c r="C154" s="273" t="s">
        <v>373</v>
      </c>
      <c r="D154" s="264" t="s">
        <v>3116</v>
      </c>
      <c r="E154" s="264"/>
      <c r="F154" s="264"/>
      <c r="G154" s="265"/>
      <c r="H154" s="266"/>
      <c r="I154" s="267"/>
      <c r="J154" s="267"/>
      <c r="K154" s="267"/>
      <c r="L154" s="268" t="s">
        <v>3117</v>
      </c>
      <c r="M154" s="263" t="s">
        <v>2962</v>
      </c>
      <c r="N154" s="269">
        <f>+R154</f>
        <v>0</v>
      </c>
      <c r="O154" s="270">
        <f>+R154+S154+X154-ABS(Y154)+ABS(Z154)+W154+Q154</f>
        <v>0</v>
      </c>
      <c r="P154" s="271">
        <f>+O154-N154</f>
        <v>0</v>
      </c>
      <c r="Q154" s="272">
        <f>+'NI-San_SP'!Q154+'NI-Soc_SP'!Q154+'NI-Ric_SP'!Q154</f>
        <v>0</v>
      </c>
      <c r="R154" s="272">
        <f>+'NI-San_SP'!R154+'NI-Soc_SP'!R154+'NI-Ric_SP'!R154</f>
        <v>0</v>
      </c>
      <c r="S154" s="272">
        <f>+'NI-San_SP'!S154+'NI-Soc_SP'!S154+'NI-Ric_SP'!S154</f>
        <v>0</v>
      </c>
      <c r="V154" s="211"/>
      <c r="W154" s="272">
        <f>+'NI-San_SP'!W154+'NI-Soc_SP'!W154+'NI-Ric_SP'!W154</f>
        <v>0</v>
      </c>
      <c r="X154" s="272">
        <f>+'NI-San_SP'!X154+'NI-Soc_SP'!X154+'NI-Ric_SP'!X154</f>
        <v>0</v>
      </c>
      <c r="Y154" s="272">
        <f>+'NI-San_SP'!Y154+'NI-Soc_SP'!Y154+'NI-Ric_SP'!Y154</f>
        <v>0</v>
      </c>
      <c r="Z154" s="272">
        <f>+'NI-San_SP'!Z154+'NI-Soc_SP'!Z154+'NI-Ric_SP'!Z154</f>
        <v>0</v>
      </c>
      <c r="AA154" s="285"/>
    </row>
    <row r="155" spans="2:34" s="204" customFormat="1" x14ac:dyDescent="0.25">
      <c r="B155" s="246" t="s">
        <v>375</v>
      </c>
      <c r="C155" s="273" t="s">
        <v>376</v>
      </c>
      <c r="D155" s="264" t="s">
        <v>3118</v>
      </c>
      <c r="E155" s="264"/>
      <c r="F155" s="264"/>
      <c r="G155" s="265"/>
      <c r="H155" s="266"/>
      <c r="I155" s="267"/>
      <c r="J155" s="267"/>
      <c r="K155" s="267"/>
      <c r="L155" s="268" t="s">
        <v>3119</v>
      </c>
      <c r="M155" s="263" t="s">
        <v>2962</v>
      </c>
      <c r="N155" s="269">
        <f>+R155</f>
        <v>0</v>
      </c>
      <c r="O155" s="270">
        <f>+R155+S155+X155-ABS(Y155)+ABS(Z155)+W155+Q155</f>
        <v>0</v>
      </c>
      <c r="P155" s="271">
        <f>+O155-N155</f>
        <v>0</v>
      </c>
      <c r="Q155" s="272">
        <f>+'NI-San_SP'!Q155+'NI-Soc_SP'!Q155+'NI-Ric_SP'!Q155</f>
        <v>0</v>
      </c>
      <c r="R155" s="272">
        <f>+'NI-San_SP'!R155+'NI-Soc_SP'!R155+'NI-Ric_SP'!R155</f>
        <v>0</v>
      </c>
      <c r="S155" s="272">
        <f>+'NI-San_SP'!S155+'NI-Soc_SP'!S155+'NI-Ric_SP'!S155</f>
        <v>0</v>
      </c>
      <c r="V155" s="211"/>
      <c r="W155" s="272">
        <f>+'NI-San_SP'!W155+'NI-Soc_SP'!W155+'NI-Ric_SP'!W155</f>
        <v>0</v>
      </c>
      <c r="X155" s="272">
        <f>+'NI-San_SP'!X155+'NI-Soc_SP'!X155+'NI-Ric_SP'!X155</f>
        <v>0</v>
      </c>
      <c r="Y155" s="272">
        <f>+'NI-San_SP'!Y155+'NI-Soc_SP'!Y155+'NI-Ric_SP'!Y155</f>
        <v>0</v>
      </c>
      <c r="Z155" s="272">
        <f>+'NI-San_SP'!Z155+'NI-Soc_SP'!Z155+'NI-Ric_SP'!Z155</f>
        <v>0</v>
      </c>
      <c r="AA155" s="285"/>
    </row>
    <row r="156" spans="2:34" s="204" customFormat="1" x14ac:dyDescent="0.25">
      <c r="B156" s="246" t="s">
        <v>378</v>
      </c>
      <c r="C156" s="273" t="s">
        <v>379</v>
      </c>
      <c r="D156" s="264" t="s">
        <v>3120</v>
      </c>
      <c r="E156" s="264"/>
      <c r="F156" s="264"/>
      <c r="G156" s="265"/>
      <c r="H156" s="266"/>
      <c r="I156" s="267"/>
      <c r="J156" s="267"/>
      <c r="K156" s="267"/>
      <c r="L156" s="268" t="s">
        <v>3121</v>
      </c>
      <c r="M156" s="263" t="s">
        <v>2962</v>
      </c>
      <c r="N156" s="269">
        <f>+R156</f>
        <v>0</v>
      </c>
      <c r="O156" s="270">
        <f>+R156+S156+X156-ABS(Y156)+ABS(Z156)+W156+Q156</f>
        <v>0</v>
      </c>
      <c r="P156" s="271">
        <f>+O156-N156</f>
        <v>0</v>
      </c>
      <c r="Q156" s="272">
        <f>+'NI-San_SP'!Q156+'NI-Soc_SP'!Q156+'NI-Ric_SP'!Q156</f>
        <v>0</v>
      </c>
      <c r="R156" s="272">
        <f>+'NI-San_SP'!R156+'NI-Soc_SP'!R156+'NI-Ric_SP'!R156</f>
        <v>0</v>
      </c>
      <c r="S156" s="272">
        <f>+'NI-San_SP'!S156+'NI-Soc_SP'!S156+'NI-Ric_SP'!S156</f>
        <v>0</v>
      </c>
      <c r="V156" s="211"/>
      <c r="W156" s="272">
        <f>+'NI-San_SP'!W156+'NI-Soc_SP'!W156+'NI-Ric_SP'!W156</f>
        <v>0</v>
      </c>
      <c r="X156" s="272">
        <f>+'NI-San_SP'!X156+'NI-Soc_SP'!X156+'NI-Ric_SP'!X156</f>
        <v>0</v>
      </c>
      <c r="Y156" s="272">
        <f>+'NI-San_SP'!Y156+'NI-Soc_SP'!Y156+'NI-Ric_SP'!Y156</f>
        <v>0</v>
      </c>
      <c r="Z156" s="272">
        <f>+'NI-San_SP'!Z156+'NI-Soc_SP'!Z156+'NI-Ric_SP'!Z156</f>
        <v>0</v>
      </c>
      <c r="AA156" s="285"/>
    </row>
    <row r="157" spans="2:34" s="204" customFormat="1" x14ac:dyDescent="0.25">
      <c r="B157" s="302"/>
      <c r="C157" s="302"/>
      <c r="D157" s="226"/>
      <c r="E157" s="226"/>
      <c r="F157" s="226"/>
      <c r="G157" s="226"/>
      <c r="H157" s="226"/>
      <c r="I157" s="226"/>
      <c r="J157" s="226"/>
      <c r="K157" s="226"/>
      <c r="L157" s="303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</row>
    <row r="158" spans="2:34" s="204" customFormat="1" ht="25.5" x14ac:dyDescent="0.25">
      <c r="B158" s="293"/>
      <c r="C158" s="293"/>
      <c r="D158" s="304"/>
      <c r="E158" s="230"/>
      <c r="F158" s="230"/>
      <c r="G158" s="230"/>
      <c r="H158" s="231"/>
      <c r="I158" s="230"/>
      <c r="J158" s="230"/>
      <c r="K158" s="230"/>
      <c r="L158" s="255"/>
      <c r="M158" s="244"/>
      <c r="N158" s="256" t="str">
        <f>N$15</f>
        <v>Valore netto al 31/12/2019</v>
      </c>
      <c r="O158" s="256" t="str">
        <f>O$15</f>
        <v>Valore netto al 31/12/2020</v>
      </c>
      <c r="P158" s="256" t="str">
        <f>P$15</f>
        <v>Variazione</v>
      </c>
      <c r="Q158" s="285"/>
      <c r="R158" s="285"/>
      <c r="S158" s="285"/>
      <c r="T158" s="285"/>
      <c r="U158" s="285"/>
      <c r="V158" s="285"/>
      <c r="W158" s="285"/>
      <c r="X158" s="285"/>
      <c r="Y158" s="285"/>
      <c r="Z158" s="211"/>
      <c r="AA158" s="211"/>
    </row>
    <row r="159" spans="2:34" s="204" customFormat="1" x14ac:dyDescent="0.25">
      <c r="B159" s="246" t="s">
        <v>381</v>
      </c>
      <c r="C159" s="292" t="s">
        <v>382</v>
      </c>
      <c r="D159" s="301" t="s">
        <v>3122</v>
      </c>
      <c r="E159" s="247"/>
      <c r="F159" s="247"/>
      <c r="G159" s="247"/>
      <c r="H159" s="248"/>
      <c r="I159" s="247"/>
      <c r="J159" s="247"/>
      <c r="K159" s="249"/>
      <c r="L159" s="257" t="s">
        <v>383</v>
      </c>
      <c r="M159" s="251" t="s">
        <v>2962</v>
      </c>
      <c r="N159" s="252">
        <f>+N161+N167+N173+N179</f>
        <v>0</v>
      </c>
      <c r="O159" s="252">
        <f>+O161+O167+O173+O179</f>
        <v>0</v>
      </c>
      <c r="P159" s="253">
        <f>+O159-N159</f>
        <v>0</v>
      </c>
      <c r="Q159" s="285"/>
      <c r="R159" s="285"/>
      <c r="S159" s="285"/>
      <c r="T159" s="285"/>
      <c r="U159" s="285"/>
      <c r="V159" s="285"/>
      <c r="W159" s="211"/>
      <c r="X159" s="252">
        <f>+X161+X167+X173+X179</f>
        <v>0</v>
      </c>
      <c r="Y159" s="285"/>
      <c r="Z159" s="211"/>
      <c r="AA159" s="211"/>
    </row>
    <row r="160" spans="2:34" s="204" customFormat="1" x14ac:dyDescent="0.25">
      <c r="B160" s="293"/>
      <c r="C160" s="293"/>
      <c r="D160" s="305"/>
      <c r="E160" s="230"/>
      <c r="F160" s="230"/>
      <c r="G160" s="230"/>
      <c r="H160" s="231"/>
      <c r="I160" s="230"/>
      <c r="J160" s="230"/>
      <c r="K160" s="230"/>
      <c r="L160" s="306"/>
      <c r="M160" s="211"/>
      <c r="N160" s="254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2:32" s="204" customFormat="1" x14ac:dyDescent="0.25">
      <c r="B161" s="246" t="s">
        <v>384</v>
      </c>
      <c r="C161" s="292" t="s">
        <v>385</v>
      </c>
      <c r="D161" s="301" t="s">
        <v>3123</v>
      </c>
      <c r="E161" s="247"/>
      <c r="F161" s="247"/>
      <c r="G161" s="247"/>
      <c r="H161" s="248"/>
      <c r="I161" s="247"/>
      <c r="J161" s="247"/>
      <c r="K161" s="249"/>
      <c r="L161" s="257" t="s">
        <v>388</v>
      </c>
      <c r="M161" s="251" t="s">
        <v>2962</v>
      </c>
      <c r="N161" s="252">
        <f>SUM(N164:N165)</f>
        <v>0</v>
      </c>
      <c r="O161" s="252">
        <f>SUM(O164:O165)</f>
        <v>0</v>
      </c>
      <c r="P161" s="259">
        <f>+O161-N161</f>
        <v>0</v>
      </c>
      <c r="Q161" s="252">
        <f>SUM(Q164:Q165)</f>
        <v>0</v>
      </c>
      <c r="R161" s="252">
        <f>SUM(R164:R165)</f>
        <v>0</v>
      </c>
      <c r="S161" s="252">
        <f>SUM(S164:S165)</f>
        <v>0</v>
      </c>
      <c r="V161" s="211"/>
      <c r="W161" s="252">
        <f>SUM(W164:W165)</f>
        <v>0</v>
      </c>
      <c r="X161" s="252">
        <f>SUM(X164:X165)</f>
        <v>0</v>
      </c>
      <c r="Y161" s="252">
        <f>SUM(Y164:Y165)</f>
        <v>0</v>
      </c>
      <c r="Z161" s="252">
        <f>SUM(Z164:Z165)</f>
        <v>0</v>
      </c>
      <c r="AA161" s="211"/>
    </row>
    <row r="162" spans="2:32" s="204" customFormat="1" x14ac:dyDescent="0.25">
      <c r="B162" s="293"/>
      <c r="C162" s="293"/>
      <c r="D162" s="230"/>
      <c r="E162" s="230"/>
      <c r="F162" s="230"/>
      <c r="G162" s="230"/>
      <c r="H162" s="231"/>
      <c r="I162" s="230"/>
      <c r="J162" s="230"/>
      <c r="K162" s="230"/>
      <c r="L162" s="232"/>
      <c r="M162" s="211"/>
      <c r="N162" s="211"/>
      <c r="O162" s="211"/>
      <c r="P162" s="211"/>
      <c r="Q162" s="211"/>
      <c r="V162" s="211"/>
      <c r="W162" s="211"/>
      <c r="X162" s="211"/>
      <c r="Y162" s="211"/>
      <c r="Z162" s="211"/>
      <c r="AA162" s="211"/>
    </row>
    <row r="163" spans="2:32" s="204" customFormat="1" ht="63.75" x14ac:dyDescent="0.25">
      <c r="B163" s="294" t="s">
        <v>2968</v>
      </c>
      <c r="C163" s="294" t="s">
        <v>2969</v>
      </c>
      <c r="D163" s="206" t="s">
        <v>72</v>
      </c>
      <c r="E163" s="206"/>
      <c r="F163" s="206"/>
      <c r="G163" s="207"/>
      <c r="H163" s="207"/>
      <c r="I163" s="207"/>
      <c r="J163" s="207" t="s">
        <v>2957</v>
      </c>
      <c r="K163" s="206" t="s">
        <v>82</v>
      </c>
      <c r="L163" s="261" t="s">
        <v>2970</v>
      </c>
      <c r="M163" s="260"/>
      <c r="N163" s="256" t="str">
        <f>N$15</f>
        <v>Valore netto al 31/12/2019</v>
      </c>
      <c r="O163" s="256" t="str">
        <f>O$15</f>
        <v>Valore netto al 31/12/2020</v>
      </c>
      <c r="P163" s="256" t="str">
        <f>P$15</f>
        <v>Variazione</v>
      </c>
      <c r="Q163" s="262" t="s">
        <v>2971</v>
      </c>
      <c r="R163" s="262" t="str">
        <f>"Fondo svalutazione 31/12/"&amp;Info!$B$3-1</f>
        <v>Fondo svalutazione 31/12/2019</v>
      </c>
      <c r="S163" s="262" t="s">
        <v>2972</v>
      </c>
      <c r="V163" s="211"/>
      <c r="W163" s="262" t="s">
        <v>2975</v>
      </c>
      <c r="X163" s="262" t="s">
        <v>2976</v>
      </c>
      <c r="Y163" s="262" t="s">
        <v>3124</v>
      </c>
      <c r="Z163" s="262" t="s">
        <v>3125</v>
      </c>
      <c r="AA163" s="211"/>
      <c r="AB163" s="211"/>
      <c r="AC163" s="211"/>
      <c r="AD163" s="211"/>
      <c r="AE163" s="211"/>
      <c r="AF163" s="211"/>
    </row>
    <row r="164" spans="2:32" s="204" customFormat="1" x14ac:dyDescent="0.25">
      <c r="B164" s="246" t="s">
        <v>389</v>
      </c>
      <c r="C164" s="273" t="s">
        <v>390</v>
      </c>
      <c r="D164" s="264" t="s">
        <v>3126</v>
      </c>
      <c r="E164" s="264"/>
      <c r="F164" s="264"/>
      <c r="G164" s="265"/>
      <c r="H164" s="266"/>
      <c r="I164" s="267"/>
      <c r="J164" s="267"/>
      <c r="K164" s="267"/>
      <c r="L164" s="268" t="s">
        <v>3127</v>
      </c>
      <c r="M164" s="263" t="s">
        <v>2962</v>
      </c>
      <c r="N164" s="269">
        <f>+R164</f>
        <v>0</v>
      </c>
      <c r="O164" s="270">
        <f>+R164+S164+X164-ABS(Y164)+ABS(Z164)+W164+Q164</f>
        <v>0</v>
      </c>
      <c r="P164" s="271">
        <f>+O164-N164</f>
        <v>0</v>
      </c>
      <c r="Q164" s="272">
        <f>+'NI-San_SP'!Q164+'NI-Soc_SP'!Q164+'NI-Ric_SP'!Q164</f>
        <v>0</v>
      </c>
      <c r="R164" s="272">
        <f>+'NI-San_SP'!R164+'NI-Soc_SP'!R164+'NI-Ric_SP'!R164</f>
        <v>0</v>
      </c>
      <c r="S164" s="272">
        <f>+'NI-San_SP'!S164+'NI-Soc_SP'!S164+'NI-Ric_SP'!S164</f>
        <v>0</v>
      </c>
      <c r="V164" s="211"/>
      <c r="W164" s="272">
        <f>+'NI-San_SP'!W164+'NI-Soc_SP'!W164+'NI-Ric_SP'!W164</f>
        <v>0</v>
      </c>
      <c r="X164" s="272">
        <f>+'NI-San_SP'!X164+'NI-Soc_SP'!X164+'NI-Ric_SP'!X164</f>
        <v>0</v>
      </c>
      <c r="Y164" s="272">
        <f>+'NI-San_SP'!Y164+'NI-Soc_SP'!Y164+'NI-Ric_SP'!Y164</f>
        <v>0</v>
      </c>
      <c r="Z164" s="272">
        <f>+'NI-San_SP'!Z164+'NI-Soc_SP'!Z164+'NI-Ric_SP'!Z164</f>
        <v>0</v>
      </c>
      <c r="AA164" s="211"/>
      <c r="AB164" s="211"/>
      <c r="AC164" s="211"/>
      <c r="AD164" s="211"/>
      <c r="AE164" s="211"/>
      <c r="AF164" s="211"/>
    </row>
    <row r="165" spans="2:32" s="204" customFormat="1" x14ac:dyDescent="0.25">
      <c r="B165" s="246" t="s">
        <v>392</v>
      </c>
      <c r="C165" s="273" t="s">
        <v>393</v>
      </c>
      <c r="D165" s="274" t="s">
        <v>3128</v>
      </c>
      <c r="E165" s="264"/>
      <c r="F165" s="264"/>
      <c r="G165" s="265"/>
      <c r="H165" s="266"/>
      <c r="I165" s="267"/>
      <c r="J165" s="267"/>
      <c r="K165" s="267"/>
      <c r="L165" s="268" t="s">
        <v>3129</v>
      </c>
      <c r="M165" s="263" t="s">
        <v>2962</v>
      </c>
      <c r="N165" s="269">
        <f>+R165</f>
        <v>0</v>
      </c>
      <c r="O165" s="270">
        <f>+R165+S165+X165-ABS(Y165)+ABS(Z165)+W165+Q165</f>
        <v>0</v>
      </c>
      <c r="P165" s="271">
        <f>+O165-N165</f>
        <v>0</v>
      </c>
      <c r="Q165" s="272">
        <f>+'NI-San_SP'!Q165+'NI-Soc_SP'!Q165+'NI-Ric_SP'!Q165</f>
        <v>0</v>
      </c>
      <c r="R165" s="272">
        <f>+'NI-San_SP'!R165+'NI-Soc_SP'!R165+'NI-Ric_SP'!R165</f>
        <v>0</v>
      </c>
      <c r="S165" s="272">
        <f>+'NI-San_SP'!S165+'NI-Soc_SP'!S165+'NI-Ric_SP'!S165</f>
        <v>0</v>
      </c>
      <c r="V165" s="211"/>
      <c r="W165" s="272">
        <f>+'NI-San_SP'!W165+'NI-Soc_SP'!W165+'NI-Ric_SP'!W165</f>
        <v>0</v>
      </c>
      <c r="X165" s="272">
        <f>+'NI-San_SP'!X165+'NI-Soc_SP'!X165+'NI-Ric_SP'!X165</f>
        <v>0</v>
      </c>
      <c r="Y165" s="272">
        <f>+'NI-San_SP'!Y165+'NI-Soc_SP'!Y165+'NI-Ric_SP'!Y165</f>
        <v>0</v>
      </c>
      <c r="Z165" s="272">
        <f>+'NI-San_SP'!Z165+'NI-Soc_SP'!Z165+'NI-Ric_SP'!Z165</f>
        <v>0</v>
      </c>
      <c r="AA165" s="211"/>
      <c r="AB165" s="211"/>
      <c r="AC165" s="211"/>
      <c r="AD165" s="211"/>
      <c r="AE165" s="211"/>
      <c r="AF165" s="211"/>
    </row>
    <row r="166" spans="2:32" s="204" customFormat="1" x14ac:dyDescent="0.25">
      <c r="B166" s="293"/>
      <c r="C166" s="293"/>
      <c r="D166" s="304"/>
      <c r="E166" s="230"/>
      <c r="F166" s="230"/>
      <c r="G166" s="230"/>
      <c r="H166" s="231"/>
      <c r="I166" s="230"/>
      <c r="J166" s="230"/>
      <c r="K166" s="230"/>
      <c r="L166" s="306"/>
      <c r="M166" s="211"/>
      <c r="N166" s="254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2:32" s="204" customFormat="1" x14ac:dyDescent="0.25">
      <c r="B167" s="246" t="s">
        <v>395</v>
      </c>
      <c r="C167" s="292" t="s">
        <v>396</v>
      </c>
      <c r="D167" s="301" t="s">
        <v>3130</v>
      </c>
      <c r="E167" s="247"/>
      <c r="F167" s="247"/>
      <c r="G167" s="247"/>
      <c r="H167" s="248"/>
      <c r="I167" s="247"/>
      <c r="J167" s="247"/>
      <c r="K167" s="249"/>
      <c r="L167" s="257" t="s">
        <v>399</v>
      </c>
      <c r="M167" s="251" t="s">
        <v>2962</v>
      </c>
      <c r="N167" s="252">
        <f>SUM(N170:N171)</f>
        <v>0</v>
      </c>
      <c r="O167" s="252">
        <f>SUM(O170:O171)</f>
        <v>0</v>
      </c>
      <c r="P167" s="259">
        <f>+O167-N167</f>
        <v>0</v>
      </c>
      <c r="Q167" s="252">
        <f>SUM(Q170:Q171)</f>
        <v>0</v>
      </c>
      <c r="R167" s="252">
        <f>SUM(R170:R171)</f>
        <v>0</v>
      </c>
      <c r="S167" s="252">
        <f>SUM(S170:S171)</f>
        <v>0</v>
      </c>
      <c r="V167" s="211"/>
      <c r="W167" s="252">
        <f>SUM(W170:W171)</f>
        <v>0</v>
      </c>
      <c r="X167" s="252">
        <f>SUM(X170:X171)</f>
        <v>0</v>
      </c>
      <c r="Y167" s="252">
        <f>SUM(Y170:Y171)</f>
        <v>0</v>
      </c>
      <c r="Z167" s="252">
        <f>SUM(Z170:Z171)</f>
        <v>0</v>
      </c>
      <c r="AA167" s="211"/>
    </row>
    <row r="168" spans="2:32" s="204" customFormat="1" x14ac:dyDescent="0.25">
      <c r="B168" s="293"/>
      <c r="C168" s="293"/>
      <c r="D168" s="230"/>
      <c r="E168" s="230"/>
      <c r="F168" s="230"/>
      <c r="G168" s="230"/>
      <c r="H168" s="231"/>
      <c r="I168" s="230"/>
      <c r="J168" s="230"/>
      <c r="K168" s="230"/>
      <c r="L168" s="232"/>
      <c r="M168" s="211"/>
      <c r="N168" s="211"/>
      <c r="O168" s="211"/>
      <c r="P168" s="211"/>
      <c r="Q168" s="211"/>
      <c r="V168" s="211"/>
      <c r="W168" s="211"/>
      <c r="X168" s="211"/>
      <c r="Y168" s="211"/>
      <c r="Z168" s="211"/>
      <c r="AA168" s="211"/>
    </row>
    <row r="169" spans="2:32" s="204" customFormat="1" ht="63.75" x14ac:dyDescent="0.25">
      <c r="B169" s="294" t="s">
        <v>2968</v>
      </c>
      <c r="C169" s="294" t="s">
        <v>2969</v>
      </c>
      <c r="D169" s="206" t="s">
        <v>72</v>
      </c>
      <c r="E169" s="206"/>
      <c r="F169" s="206"/>
      <c r="G169" s="207"/>
      <c r="H169" s="207"/>
      <c r="I169" s="207"/>
      <c r="J169" s="207" t="s">
        <v>2957</v>
      </c>
      <c r="K169" s="206" t="s">
        <v>82</v>
      </c>
      <c r="L169" s="261" t="s">
        <v>2970</v>
      </c>
      <c r="M169" s="260"/>
      <c r="N169" s="256" t="str">
        <f>N$15</f>
        <v>Valore netto al 31/12/2019</v>
      </c>
      <c r="O169" s="256" t="str">
        <f>O$15</f>
        <v>Valore netto al 31/12/2020</v>
      </c>
      <c r="P169" s="256" t="str">
        <f>P$15</f>
        <v>Variazione</v>
      </c>
      <c r="Q169" s="262" t="s">
        <v>2971</v>
      </c>
      <c r="R169" s="262" t="str">
        <f>"Fondo svalutazione 31/12/"&amp;Info!$B$3-1</f>
        <v>Fondo svalutazione 31/12/2019</v>
      </c>
      <c r="S169" s="262" t="s">
        <v>2972</v>
      </c>
      <c r="V169" s="211"/>
      <c r="W169" s="262" t="s">
        <v>2975</v>
      </c>
      <c r="X169" s="262" t="s">
        <v>2976</v>
      </c>
      <c r="Y169" s="262" t="s">
        <v>3124</v>
      </c>
      <c r="Z169" s="262" t="s">
        <v>3125</v>
      </c>
      <c r="AA169" s="211"/>
      <c r="AB169" s="211"/>
      <c r="AC169" s="211"/>
      <c r="AD169" s="211"/>
      <c r="AE169" s="211"/>
    </row>
    <row r="170" spans="2:32" s="204" customFormat="1" x14ac:dyDescent="0.25">
      <c r="B170" s="246" t="s">
        <v>400</v>
      </c>
      <c r="C170" s="273" t="s">
        <v>401</v>
      </c>
      <c r="D170" s="264" t="s">
        <v>3131</v>
      </c>
      <c r="E170" s="264"/>
      <c r="F170" s="264"/>
      <c r="G170" s="265"/>
      <c r="H170" s="266"/>
      <c r="I170" s="267"/>
      <c r="J170" s="267"/>
      <c r="K170" s="267"/>
      <c r="L170" s="268" t="s">
        <v>3132</v>
      </c>
      <c r="M170" s="263" t="s">
        <v>2962</v>
      </c>
      <c r="N170" s="269">
        <f>+R170+S170-T170</f>
        <v>0</v>
      </c>
      <c r="O170" s="270">
        <f>+R170+S170+X170-ABS(Y170)+ABS(Z170)+W170+Q170</f>
        <v>0</v>
      </c>
      <c r="P170" s="271">
        <f>+O170-N170</f>
        <v>0</v>
      </c>
      <c r="Q170" s="272">
        <f>+'NI-San_SP'!Q170+'NI-Soc_SP'!Q170+'NI-Ric_SP'!Q170</f>
        <v>0</v>
      </c>
      <c r="R170" s="272">
        <f>+'NI-San_SP'!R170+'NI-Soc_SP'!R170+'NI-Ric_SP'!R170</f>
        <v>0</v>
      </c>
      <c r="S170" s="272">
        <f>+'NI-San_SP'!S170+'NI-Soc_SP'!S170+'NI-Ric_SP'!S170</f>
        <v>0</v>
      </c>
      <c r="V170" s="211"/>
      <c r="W170" s="272">
        <f>+'NI-San_SP'!W170+'NI-Soc_SP'!W170+'NI-Ric_SP'!W170</f>
        <v>0</v>
      </c>
      <c r="X170" s="272">
        <f>+'NI-San_SP'!X170+'NI-Soc_SP'!X170+'NI-Ric_SP'!X170</f>
        <v>0</v>
      </c>
      <c r="Y170" s="272">
        <f>+'NI-San_SP'!Y170+'NI-Soc_SP'!Y170+'NI-Ric_SP'!Y170</f>
        <v>0</v>
      </c>
      <c r="Z170" s="272">
        <f>+'NI-San_SP'!Z170+'NI-Soc_SP'!Z170+'NI-Ric_SP'!Z170</f>
        <v>0</v>
      </c>
      <c r="AA170" s="211"/>
      <c r="AB170" s="211"/>
      <c r="AC170" s="211"/>
      <c r="AD170" s="211"/>
      <c r="AE170" s="211"/>
    </row>
    <row r="171" spans="2:32" s="204" customFormat="1" x14ac:dyDescent="0.25">
      <c r="B171" s="246" t="s">
        <v>403</v>
      </c>
      <c r="C171" s="273" t="s">
        <v>404</v>
      </c>
      <c r="D171" s="274" t="s">
        <v>3133</v>
      </c>
      <c r="E171" s="264"/>
      <c r="F171" s="264"/>
      <c r="G171" s="265"/>
      <c r="H171" s="266"/>
      <c r="I171" s="267"/>
      <c r="J171" s="267"/>
      <c r="K171" s="267"/>
      <c r="L171" s="268" t="s">
        <v>3134</v>
      </c>
      <c r="M171" s="263" t="s">
        <v>2962</v>
      </c>
      <c r="N171" s="269">
        <f>+R171+S171-T171</f>
        <v>0</v>
      </c>
      <c r="O171" s="270">
        <f>+R171+S171+X171-ABS(Y171)+ABS(Z171)+W171+Q171</f>
        <v>0</v>
      </c>
      <c r="P171" s="271">
        <f>+O171-N171</f>
        <v>0</v>
      </c>
      <c r="Q171" s="272">
        <f>+'NI-San_SP'!Q171+'NI-Soc_SP'!Q171+'NI-Ric_SP'!Q171</f>
        <v>0</v>
      </c>
      <c r="R171" s="272">
        <f>+'NI-San_SP'!R171+'NI-Soc_SP'!R171+'NI-Ric_SP'!R171</f>
        <v>0</v>
      </c>
      <c r="S171" s="272">
        <f>+'NI-San_SP'!S171+'NI-Soc_SP'!S171+'NI-Ric_SP'!S171</f>
        <v>0</v>
      </c>
      <c r="V171" s="211"/>
      <c r="W171" s="272">
        <f>+'NI-San_SP'!W171+'NI-Soc_SP'!W171+'NI-Ric_SP'!W171</f>
        <v>0</v>
      </c>
      <c r="X171" s="272">
        <f>+'NI-San_SP'!X171+'NI-Soc_SP'!X171+'NI-Ric_SP'!X171</f>
        <v>0</v>
      </c>
      <c r="Y171" s="272">
        <f>+'NI-San_SP'!Y171+'NI-Soc_SP'!Y171+'NI-Ric_SP'!Y171</f>
        <v>0</v>
      </c>
      <c r="Z171" s="272">
        <f>+'NI-San_SP'!Z171+'NI-Soc_SP'!Z171+'NI-Ric_SP'!Z171</f>
        <v>0</v>
      </c>
      <c r="AA171" s="211"/>
      <c r="AB171" s="211"/>
      <c r="AC171" s="211"/>
      <c r="AD171" s="211"/>
      <c r="AE171" s="211"/>
    </row>
    <row r="172" spans="2:32" s="204" customFormat="1" x14ac:dyDescent="0.25">
      <c r="B172" s="293"/>
      <c r="C172" s="293"/>
      <c r="D172" s="304"/>
      <c r="E172" s="230"/>
      <c r="F172" s="230"/>
      <c r="G172" s="230"/>
      <c r="H172" s="231"/>
      <c r="I172" s="230"/>
      <c r="J172" s="230"/>
      <c r="K172" s="230"/>
      <c r="L172" s="306"/>
      <c r="M172" s="211"/>
      <c r="N172" s="254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</row>
    <row r="173" spans="2:32" s="204" customFormat="1" ht="26.25" customHeight="1" x14ac:dyDescent="0.25">
      <c r="B173" s="246" t="s">
        <v>406</v>
      </c>
      <c r="C173" s="292" t="s">
        <v>407</v>
      </c>
      <c r="D173" s="301" t="s">
        <v>3135</v>
      </c>
      <c r="E173" s="247"/>
      <c r="F173" s="247"/>
      <c r="G173" s="247"/>
      <c r="H173" s="248"/>
      <c r="I173" s="247"/>
      <c r="J173" s="247"/>
      <c r="K173" s="249"/>
      <c r="L173" s="257" t="s">
        <v>410</v>
      </c>
      <c r="M173" s="251" t="s">
        <v>2962</v>
      </c>
      <c r="N173" s="252">
        <f>SUM(N176:N177)</f>
        <v>0</v>
      </c>
      <c r="O173" s="252">
        <f>SUM(O176:O177)</f>
        <v>0</v>
      </c>
      <c r="P173" s="259">
        <f>+O173-N173</f>
        <v>0</v>
      </c>
      <c r="Q173" s="252">
        <f>SUM(Q176:Q177)</f>
        <v>0</v>
      </c>
      <c r="R173" s="252">
        <f>SUM(R176:R177)</f>
        <v>0</v>
      </c>
      <c r="S173" s="252">
        <f>SUM(S176:S177)</f>
        <v>0</v>
      </c>
      <c r="V173" s="211"/>
      <c r="W173" s="252">
        <f>SUM(W176:W177)</f>
        <v>0</v>
      </c>
      <c r="X173" s="252">
        <f>SUM(X176:X177)</f>
        <v>0</v>
      </c>
      <c r="Y173" s="252">
        <f>SUM(Y176:Y177)</f>
        <v>0</v>
      </c>
      <c r="Z173" s="252">
        <f>SUM(Z176:Z177)</f>
        <v>0</v>
      </c>
      <c r="AA173" s="211"/>
    </row>
    <row r="174" spans="2:32" s="204" customFormat="1" x14ac:dyDescent="0.25">
      <c r="B174" s="293"/>
      <c r="C174" s="293"/>
      <c r="D174" s="230"/>
      <c r="E174" s="230"/>
      <c r="F174" s="230"/>
      <c r="G174" s="230"/>
      <c r="H174" s="231"/>
      <c r="I174" s="230"/>
      <c r="J174" s="230"/>
      <c r="K174" s="230"/>
      <c r="L174" s="232"/>
      <c r="M174" s="211"/>
      <c r="N174" s="211"/>
      <c r="O174" s="211"/>
      <c r="P174" s="211"/>
      <c r="Q174" s="211"/>
      <c r="V174" s="211"/>
      <c r="W174" s="211"/>
      <c r="X174" s="211"/>
      <c r="Y174" s="211"/>
      <c r="Z174" s="211"/>
      <c r="AA174" s="211"/>
    </row>
    <row r="175" spans="2:32" s="204" customFormat="1" ht="63.75" x14ac:dyDescent="0.25">
      <c r="B175" s="294" t="s">
        <v>2968</v>
      </c>
      <c r="C175" s="294" t="s">
        <v>2969</v>
      </c>
      <c r="D175" s="206" t="s">
        <v>72</v>
      </c>
      <c r="E175" s="206"/>
      <c r="F175" s="206"/>
      <c r="G175" s="207"/>
      <c r="H175" s="207"/>
      <c r="I175" s="207"/>
      <c r="J175" s="207" t="s">
        <v>2957</v>
      </c>
      <c r="K175" s="206" t="s">
        <v>82</v>
      </c>
      <c r="L175" s="261" t="s">
        <v>2970</v>
      </c>
      <c r="M175" s="260"/>
      <c r="N175" s="256" t="str">
        <f>N$15</f>
        <v>Valore netto al 31/12/2019</v>
      </c>
      <c r="O175" s="256" t="str">
        <f>O$15</f>
        <v>Valore netto al 31/12/2020</v>
      </c>
      <c r="P175" s="256" t="str">
        <f>P$15</f>
        <v>Variazione</v>
      </c>
      <c r="Q175" s="262" t="s">
        <v>2971</v>
      </c>
      <c r="R175" s="262" t="str">
        <f>"Fondo svalutazione 31/12/"&amp;Info!$B$3-1</f>
        <v>Fondo svalutazione 31/12/2019</v>
      </c>
      <c r="S175" s="262" t="s">
        <v>2972</v>
      </c>
      <c r="V175" s="211"/>
      <c r="W175" s="262" t="s">
        <v>2975</v>
      </c>
      <c r="X175" s="262" t="s">
        <v>2976</v>
      </c>
      <c r="Y175" s="262" t="s">
        <v>3124</v>
      </c>
      <c r="Z175" s="262" t="s">
        <v>3125</v>
      </c>
      <c r="AA175" s="211"/>
      <c r="AB175" s="211"/>
      <c r="AC175" s="211"/>
      <c r="AD175" s="211"/>
      <c r="AE175" s="211"/>
    </row>
    <row r="176" spans="2:32" s="204" customFormat="1" x14ac:dyDescent="0.25">
      <c r="B176" s="246" t="s">
        <v>411</v>
      </c>
      <c r="C176" s="273" t="s">
        <v>412</v>
      </c>
      <c r="D176" s="264" t="s">
        <v>3136</v>
      </c>
      <c r="E176" s="264"/>
      <c r="F176" s="264"/>
      <c r="G176" s="265"/>
      <c r="H176" s="266"/>
      <c r="I176" s="267"/>
      <c r="J176" s="267"/>
      <c r="K176" s="267"/>
      <c r="L176" s="268" t="s">
        <v>3137</v>
      </c>
      <c r="M176" s="263" t="s">
        <v>2962</v>
      </c>
      <c r="N176" s="269">
        <f>+R176+S176-T176</f>
        <v>0</v>
      </c>
      <c r="O176" s="270">
        <f>+R176+S176+X176-ABS(Y176)+ABS(Z176)+W176+Q176</f>
        <v>0</v>
      </c>
      <c r="P176" s="271">
        <f>+O176-N176</f>
        <v>0</v>
      </c>
      <c r="Q176" s="272">
        <f>+'NI-San_SP'!Q176+'NI-Soc_SP'!Q176+'NI-Ric_SP'!Q176</f>
        <v>0</v>
      </c>
      <c r="R176" s="272">
        <f>+'NI-San_SP'!R176+'NI-Soc_SP'!R176+'NI-Ric_SP'!R176</f>
        <v>0</v>
      </c>
      <c r="S176" s="272">
        <f>+'NI-San_SP'!S176+'NI-Soc_SP'!S176+'NI-Ric_SP'!S176</f>
        <v>0</v>
      </c>
      <c r="V176" s="211"/>
      <c r="W176" s="272">
        <f>+'NI-San_SP'!W176+'NI-Soc_SP'!W176+'NI-Ric_SP'!W176</f>
        <v>0</v>
      </c>
      <c r="X176" s="272">
        <f>+'NI-San_SP'!X176+'NI-Soc_SP'!X176+'NI-Ric_SP'!X176</f>
        <v>0</v>
      </c>
      <c r="Y176" s="272">
        <f>+'NI-San_SP'!Y176+'NI-Soc_SP'!Y176+'NI-Ric_SP'!Y176</f>
        <v>0</v>
      </c>
      <c r="Z176" s="272">
        <f>+'NI-San_SP'!Z176+'NI-Soc_SP'!Z176+'NI-Ric_SP'!Z176</f>
        <v>0</v>
      </c>
      <c r="AA176" s="211"/>
      <c r="AB176" s="211"/>
      <c r="AC176" s="211"/>
      <c r="AD176" s="211"/>
      <c r="AE176" s="211"/>
    </row>
    <row r="177" spans="2:31" s="204" customFormat="1" x14ac:dyDescent="0.25">
      <c r="B177" s="246" t="s">
        <v>414</v>
      </c>
      <c r="C177" s="273" t="s">
        <v>415</v>
      </c>
      <c r="D177" s="274" t="s">
        <v>3138</v>
      </c>
      <c r="E177" s="264"/>
      <c r="F177" s="264"/>
      <c r="G177" s="265"/>
      <c r="H177" s="266"/>
      <c r="I177" s="267"/>
      <c r="J177" s="267"/>
      <c r="K177" s="267"/>
      <c r="L177" s="268" t="s">
        <v>3139</v>
      </c>
      <c r="M177" s="263" t="s">
        <v>2962</v>
      </c>
      <c r="N177" s="269">
        <f>+R177+S177-T177</f>
        <v>0</v>
      </c>
      <c r="O177" s="270">
        <f>+R177+S177+X177-ABS(Y177)+ABS(Z177)+W177+Q177</f>
        <v>0</v>
      </c>
      <c r="P177" s="271">
        <f>+O177-N177</f>
        <v>0</v>
      </c>
      <c r="Q177" s="272">
        <f>+'NI-San_SP'!Q177+'NI-Soc_SP'!Q177+'NI-Ric_SP'!Q177</f>
        <v>0</v>
      </c>
      <c r="R177" s="272">
        <f>+'NI-San_SP'!R177+'NI-Soc_SP'!R177+'NI-Ric_SP'!R177</f>
        <v>0</v>
      </c>
      <c r="S177" s="272">
        <f>+'NI-San_SP'!S177+'NI-Soc_SP'!S177+'NI-Ric_SP'!S177</f>
        <v>0</v>
      </c>
      <c r="V177" s="211"/>
      <c r="W177" s="272">
        <f>+'NI-San_SP'!W177+'NI-Soc_SP'!W177+'NI-Ric_SP'!W177</f>
        <v>0</v>
      </c>
      <c r="X177" s="272">
        <f>+'NI-San_SP'!X177+'NI-Soc_SP'!X177+'NI-Ric_SP'!X177</f>
        <v>0</v>
      </c>
      <c r="Y177" s="272">
        <f>+'NI-San_SP'!Y177+'NI-Soc_SP'!Y177+'NI-Ric_SP'!Y177</f>
        <v>0</v>
      </c>
      <c r="Z177" s="272">
        <f>+'NI-San_SP'!Z177+'NI-Soc_SP'!Z177+'NI-Ric_SP'!Z177</f>
        <v>0</v>
      </c>
      <c r="AA177" s="211"/>
      <c r="AB177" s="211"/>
      <c r="AC177" s="211"/>
      <c r="AD177" s="211"/>
      <c r="AE177" s="211"/>
    </row>
    <row r="178" spans="2:31" s="204" customFormat="1" x14ac:dyDescent="0.25">
      <c r="B178" s="293"/>
      <c r="C178" s="293"/>
      <c r="D178" s="304"/>
      <c r="E178" s="230"/>
      <c r="F178" s="230"/>
      <c r="G178" s="230"/>
      <c r="H178" s="231"/>
      <c r="I178" s="230"/>
      <c r="J178" s="230"/>
      <c r="K178" s="230"/>
      <c r="L178" s="306"/>
      <c r="M178" s="211"/>
      <c r="N178" s="254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2:31" s="204" customFormat="1" x14ac:dyDescent="0.25">
      <c r="B179" s="246" t="s">
        <v>417</v>
      </c>
      <c r="C179" s="292" t="s">
        <v>418</v>
      </c>
      <c r="D179" s="301" t="s">
        <v>3140</v>
      </c>
      <c r="E179" s="247"/>
      <c r="F179" s="247"/>
      <c r="G179" s="247"/>
      <c r="H179" s="248"/>
      <c r="I179" s="247"/>
      <c r="J179" s="247"/>
      <c r="K179" s="249"/>
      <c r="L179" s="257" t="s">
        <v>421</v>
      </c>
      <c r="M179" s="251" t="s">
        <v>2962</v>
      </c>
      <c r="N179" s="252">
        <f>SUM(N182:N183)</f>
        <v>0</v>
      </c>
      <c r="O179" s="252">
        <f>SUM(O182:O183)</f>
        <v>0</v>
      </c>
      <c r="P179" s="259">
        <f>+O179-N179</f>
        <v>0</v>
      </c>
      <c r="Q179" s="252">
        <f>SUM(Q182:Q183)</f>
        <v>0</v>
      </c>
      <c r="R179" s="252">
        <f>SUM(R182:R183)</f>
        <v>0</v>
      </c>
      <c r="S179" s="252">
        <f>SUM(S182:S183)</f>
        <v>0</v>
      </c>
      <c r="V179" s="211"/>
      <c r="W179" s="252">
        <f>SUM(W182:W183)</f>
        <v>0</v>
      </c>
      <c r="X179" s="252">
        <f>SUM(X182:X183)</f>
        <v>0</v>
      </c>
      <c r="Y179" s="252">
        <f>SUM(Y182:Y183)</f>
        <v>0</v>
      </c>
      <c r="Z179" s="252">
        <f>SUM(Z182:Z183)</f>
        <v>0</v>
      </c>
      <c r="AA179" s="211"/>
    </row>
    <row r="180" spans="2:31" s="204" customFormat="1" x14ac:dyDescent="0.25">
      <c r="B180" s="293"/>
      <c r="C180" s="293"/>
      <c r="D180" s="230"/>
      <c r="E180" s="230"/>
      <c r="F180" s="230"/>
      <c r="G180" s="230"/>
      <c r="H180" s="231"/>
      <c r="I180" s="230"/>
      <c r="J180" s="230"/>
      <c r="K180" s="230"/>
      <c r="L180" s="232"/>
      <c r="M180" s="211"/>
      <c r="N180" s="211"/>
      <c r="O180" s="211"/>
      <c r="P180" s="211"/>
      <c r="Q180" s="211"/>
      <c r="V180" s="211"/>
      <c r="W180" s="211"/>
      <c r="X180" s="211"/>
      <c r="Y180" s="211"/>
      <c r="Z180" s="211"/>
      <c r="AA180" s="211"/>
    </row>
    <row r="181" spans="2:31" s="204" customFormat="1" ht="63.75" x14ac:dyDescent="0.25">
      <c r="B181" s="294" t="s">
        <v>2968</v>
      </c>
      <c r="C181" s="294" t="s">
        <v>2969</v>
      </c>
      <c r="D181" s="206" t="s">
        <v>72</v>
      </c>
      <c r="E181" s="206"/>
      <c r="F181" s="206"/>
      <c r="G181" s="207"/>
      <c r="H181" s="207"/>
      <c r="I181" s="207"/>
      <c r="J181" s="207" t="s">
        <v>2957</v>
      </c>
      <c r="K181" s="206" t="s">
        <v>82</v>
      </c>
      <c r="L181" s="261" t="s">
        <v>2970</v>
      </c>
      <c r="M181" s="260"/>
      <c r="N181" s="256" t="str">
        <f>N$15</f>
        <v>Valore netto al 31/12/2019</v>
      </c>
      <c r="O181" s="256" t="str">
        <f>O$15</f>
        <v>Valore netto al 31/12/2020</v>
      </c>
      <c r="P181" s="256" t="str">
        <f>P$15</f>
        <v>Variazione</v>
      </c>
      <c r="Q181" s="262" t="s">
        <v>2971</v>
      </c>
      <c r="R181" s="262" t="str">
        <f>"Fondo svalutazione 31/12/"&amp;Info!$B$3-1</f>
        <v>Fondo svalutazione 31/12/2019</v>
      </c>
      <c r="S181" s="262" t="s">
        <v>2972</v>
      </c>
      <c r="V181" s="211"/>
      <c r="W181" s="262" t="s">
        <v>2975</v>
      </c>
      <c r="X181" s="262" t="s">
        <v>2976</v>
      </c>
      <c r="Y181" s="262" t="s">
        <v>3124</v>
      </c>
      <c r="Z181" s="262" t="s">
        <v>3125</v>
      </c>
      <c r="AA181" s="211"/>
      <c r="AB181" s="211"/>
      <c r="AC181" s="211"/>
      <c r="AD181" s="211"/>
      <c r="AE181" s="211"/>
    </row>
    <row r="182" spans="2:31" s="204" customFormat="1" x14ac:dyDescent="0.25">
      <c r="B182" s="246" t="s">
        <v>422</v>
      </c>
      <c r="C182" s="273" t="s">
        <v>423</v>
      </c>
      <c r="D182" s="264" t="s">
        <v>3141</v>
      </c>
      <c r="E182" s="264"/>
      <c r="F182" s="264"/>
      <c r="G182" s="265"/>
      <c r="H182" s="266"/>
      <c r="I182" s="267"/>
      <c r="J182" s="267"/>
      <c r="K182" s="267"/>
      <c r="L182" s="268" t="s">
        <v>3142</v>
      </c>
      <c r="M182" s="263" t="s">
        <v>2962</v>
      </c>
      <c r="N182" s="269">
        <f>+R182+S182-T182</f>
        <v>0</v>
      </c>
      <c r="O182" s="270">
        <f>+R182+S182+X182-ABS(Y182)+ABS(Z182)+W182+Q182</f>
        <v>0</v>
      </c>
      <c r="P182" s="271">
        <f>+O182-N182</f>
        <v>0</v>
      </c>
      <c r="Q182" s="272">
        <f>+'NI-San_SP'!Q182+'NI-Soc_SP'!Q182+'NI-Ric_SP'!Q182</f>
        <v>0</v>
      </c>
      <c r="R182" s="272">
        <f>+'NI-San_SP'!R182+'NI-Soc_SP'!R182+'NI-Ric_SP'!R182</f>
        <v>0</v>
      </c>
      <c r="S182" s="272">
        <f>+'NI-San_SP'!S182+'NI-Soc_SP'!S182+'NI-Ric_SP'!S182</f>
        <v>0</v>
      </c>
      <c r="V182" s="211"/>
      <c r="W182" s="272">
        <f>+'NI-San_SP'!W182+'NI-Soc_SP'!W182+'NI-Ric_SP'!W182</f>
        <v>0</v>
      </c>
      <c r="X182" s="272">
        <f>+'NI-San_SP'!X182+'NI-Soc_SP'!X182+'NI-Ric_SP'!X182</f>
        <v>0</v>
      </c>
      <c r="Y182" s="272">
        <f>+'NI-San_SP'!Y182+'NI-Soc_SP'!Y182+'NI-Ric_SP'!Y182</f>
        <v>0</v>
      </c>
      <c r="Z182" s="272">
        <f>+'NI-San_SP'!Z182+'NI-Soc_SP'!Z182+'NI-Ric_SP'!Z182</f>
        <v>0</v>
      </c>
      <c r="AA182" s="211"/>
      <c r="AB182" s="211"/>
      <c r="AC182" s="211"/>
      <c r="AD182" s="211"/>
      <c r="AE182" s="211"/>
    </row>
    <row r="183" spans="2:31" s="204" customFormat="1" x14ac:dyDescent="0.25">
      <c r="B183" s="246" t="s">
        <v>425</v>
      </c>
      <c r="C183" s="273" t="s">
        <v>426</v>
      </c>
      <c r="D183" s="264" t="s">
        <v>3143</v>
      </c>
      <c r="E183" s="264"/>
      <c r="F183" s="264"/>
      <c r="G183" s="265"/>
      <c r="H183" s="266"/>
      <c r="I183" s="267"/>
      <c r="J183" s="267"/>
      <c r="K183" s="267"/>
      <c r="L183" s="268" t="s">
        <v>3144</v>
      </c>
      <c r="M183" s="263" t="s">
        <v>2962</v>
      </c>
      <c r="N183" s="269">
        <f>+R183+S183-T183</f>
        <v>0</v>
      </c>
      <c r="O183" s="270">
        <f>+R183+S183+X183-ABS(Y183)+ABS(Z183)+W183+Q183</f>
        <v>0</v>
      </c>
      <c r="P183" s="271">
        <f>+O183-N183</f>
        <v>0</v>
      </c>
      <c r="Q183" s="272">
        <f>+'NI-San_SP'!Q183+'NI-Soc_SP'!Q183+'NI-Ric_SP'!Q183</f>
        <v>0</v>
      </c>
      <c r="R183" s="272">
        <f>+'NI-San_SP'!R183+'NI-Soc_SP'!R183+'NI-Ric_SP'!R183</f>
        <v>0</v>
      </c>
      <c r="S183" s="272">
        <f>+'NI-San_SP'!S183+'NI-Soc_SP'!S183+'NI-Ric_SP'!S183</f>
        <v>0</v>
      </c>
      <c r="V183" s="211"/>
      <c r="W183" s="272">
        <f>+'NI-San_SP'!W183+'NI-Soc_SP'!W183+'NI-Ric_SP'!W183</f>
        <v>0</v>
      </c>
      <c r="X183" s="272">
        <f>+'NI-San_SP'!X183+'NI-Soc_SP'!X183+'NI-Ric_SP'!X183</f>
        <v>0</v>
      </c>
      <c r="Y183" s="272">
        <f>+'NI-San_SP'!Y183+'NI-Soc_SP'!Y183+'NI-Ric_SP'!Y183</f>
        <v>0</v>
      </c>
      <c r="Z183" s="272">
        <f>+'NI-San_SP'!Z183+'NI-Soc_SP'!Z183+'NI-Ric_SP'!Z183</f>
        <v>0</v>
      </c>
      <c r="AA183" s="211"/>
      <c r="AB183" s="211"/>
      <c r="AC183" s="211"/>
      <c r="AD183" s="211"/>
      <c r="AE183" s="211"/>
    </row>
    <row r="184" spans="2:31" s="204" customFormat="1" x14ac:dyDescent="0.25">
      <c r="B184" s="293"/>
      <c r="C184" s="293"/>
      <c r="D184" s="230"/>
      <c r="E184" s="230"/>
      <c r="F184" s="230"/>
      <c r="G184" s="230"/>
      <c r="H184" s="231"/>
      <c r="I184" s="230"/>
      <c r="J184" s="230"/>
      <c r="K184" s="230"/>
      <c r="L184" s="232"/>
      <c r="M184" s="211"/>
      <c r="N184" s="254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2:31" s="204" customFormat="1" ht="26.25" x14ac:dyDescent="0.25">
      <c r="B185" s="293"/>
      <c r="C185" s="293"/>
      <c r="D185" s="230"/>
      <c r="E185" s="230"/>
      <c r="F185" s="230"/>
      <c r="G185" s="230"/>
      <c r="H185" s="231"/>
      <c r="I185" s="230"/>
      <c r="J185" s="230"/>
      <c r="K185" s="230"/>
      <c r="L185" s="243"/>
      <c r="M185" s="244"/>
      <c r="N185" s="245" t="str">
        <f>N$15</f>
        <v>Valore netto al 31/12/2019</v>
      </c>
      <c r="O185" s="307" t="str">
        <f>O$15</f>
        <v>Valore netto al 31/12/2020</v>
      </c>
      <c r="P185" s="245" t="str">
        <f>P$15</f>
        <v>Variazione</v>
      </c>
      <c r="Q185" s="211"/>
      <c r="R185" s="211"/>
      <c r="S185" s="308"/>
      <c r="T185" s="308"/>
      <c r="U185" s="308"/>
      <c r="V185" s="308"/>
      <c r="W185" s="308"/>
      <c r="X185" s="308"/>
      <c r="Y185" s="211"/>
      <c r="Z185" s="211"/>
      <c r="AA185" s="211"/>
    </row>
    <row r="186" spans="2:31" s="204" customFormat="1" x14ac:dyDescent="0.25">
      <c r="B186" s="246" t="s">
        <v>428</v>
      </c>
      <c r="C186" s="292" t="s">
        <v>429</v>
      </c>
      <c r="D186" s="247" t="s">
        <v>3145</v>
      </c>
      <c r="E186" s="247"/>
      <c r="F186" s="247"/>
      <c r="G186" s="247"/>
      <c r="H186" s="248"/>
      <c r="I186" s="247"/>
      <c r="J186" s="247"/>
      <c r="K186" s="249"/>
      <c r="L186" s="309" t="s">
        <v>430</v>
      </c>
      <c r="M186" s="310" t="s">
        <v>2962</v>
      </c>
      <c r="N186" s="224">
        <f>+N189+N212+N251+N290+N313+N340+N380+N417+N372-N425</f>
        <v>101073840</v>
      </c>
      <c r="O186" s="224">
        <f>+O189+O212+O251+O290+O313+O340+O380+O417+O372-O425</f>
        <v>95061479</v>
      </c>
      <c r="P186" s="311">
        <f>+O186-N186</f>
        <v>-6012361</v>
      </c>
      <c r="Q186" s="211"/>
      <c r="R186" s="211"/>
      <c r="S186" s="211"/>
      <c r="T186" s="308"/>
      <c r="U186" s="308"/>
      <c r="V186" s="308"/>
      <c r="W186" s="211"/>
      <c r="X186" s="224">
        <f>+X189+X212+X251+X290+X313+X340+X380+X417+X372-X425</f>
        <v>-696000</v>
      </c>
      <c r="Z186" s="211"/>
      <c r="AA186" s="211"/>
      <c r="AD186" s="224">
        <f>+AD189+AD216+AD234+AD253+AD292+AD315+AD342+AD374+AD382-AE417</f>
        <v>0</v>
      </c>
      <c r="AE186" s="211" t="s">
        <v>3146</v>
      </c>
    </row>
    <row r="187" spans="2:31" s="204" customFormat="1" x14ac:dyDescent="0.25">
      <c r="B187" s="293"/>
      <c r="C187" s="293"/>
      <c r="D187" s="230"/>
      <c r="E187" s="230"/>
      <c r="F187" s="230"/>
      <c r="G187" s="230"/>
      <c r="H187" s="231"/>
      <c r="I187" s="230"/>
      <c r="J187" s="230"/>
      <c r="K187" s="230"/>
      <c r="L187" s="232"/>
      <c r="M187" s="211"/>
      <c r="N187" s="254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2:31" s="204" customFormat="1" ht="25.5" x14ac:dyDescent="0.25">
      <c r="B188" s="293"/>
      <c r="C188" s="293"/>
      <c r="D188" s="230"/>
      <c r="E188" s="230"/>
      <c r="F188" s="230"/>
      <c r="G188" s="230"/>
      <c r="H188" s="231"/>
      <c r="I188" s="230"/>
      <c r="J188" s="230"/>
      <c r="K188" s="230"/>
      <c r="L188" s="255"/>
      <c r="M188" s="244"/>
      <c r="N188" s="256" t="str">
        <f>N$15</f>
        <v>Valore netto al 31/12/2019</v>
      </c>
      <c r="O188" s="256" t="str">
        <f>O$15</f>
        <v>Valore netto al 31/12/2020</v>
      </c>
      <c r="P188" s="256" t="str">
        <f>P$15</f>
        <v>Variazione</v>
      </c>
      <c r="Q188" s="211"/>
      <c r="R188" s="211"/>
      <c r="S188" s="211"/>
      <c r="T188" s="211"/>
      <c r="U188" s="211"/>
      <c r="W188" s="211"/>
      <c r="X188" s="211"/>
      <c r="Y188" s="211"/>
      <c r="Z188" s="211"/>
      <c r="AA188" s="211"/>
    </row>
    <row r="189" spans="2:31" s="204" customFormat="1" x14ac:dyDescent="0.25">
      <c r="B189" s="246" t="s">
        <v>431</v>
      </c>
      <c r="C189" s="292" t="s">
        <v>432</v>
      </c>
      <c r="D189" s="247" t="s">
        <v>3147</v>
      </c>
      <c r="E189" s="247"/>
      <c r="F189" s="247"/>
      <c r="G189" s="247"/>
      <c r="H189" s="248"/>
      <c r="I189" s="247"/>
      <c r="J189" s="247"/>
      <c r="K189" s="249"/>
      <c r="L189" s="257" t="s">
        <v>434</v>
      </c>
      <c r="M189" s="251" t="s">
        <v>2962</v>
      </c>
      <c r="N189" s="252">
        <f>+N191+N201</f>
        <v>1164620</v>
      </c>
      <c r="O189" s="252">
        <f>+O191+O201</f>
        <v>1164620</v>
      </c>
      <c r="P189" s="253">
        <f>+O189-N189</f>
        <v>0</v>
      </c>
      <c r="Q189" s="252">
        <f>+Q191+Q201</f>
        <v>0</v>
      </c>
      <c r="R189" s="252">
        <f>+R191+R201</f>
        <v>1164620</v>
      </c>
      <c r="S189" s="252">
        <f>+S191+T201</f>
        <v>0</v>
      </c>
      <c r="T189" s="252">
        <f>+T191+U201</f>
        <v>0</v>
      </c>
      <c r="U189" s="279"/>
      <c r="W189" s="252">
        <f t="shared" ref="W189:AE189" si="15">+W191+W201</f>
        <v>0</v>
      </c>
      <c r="X189" s="252">
        <f t="shared" si="15"/>
        <v>0</v>
      </c>
      <c r="Y189" s="252">
        <f t="shared" si="15"/>
        <v>0</v>
      </c>
      <c r="Z189" s="252">
        <f t="shared" si="15"/>
        <v>0</v>
      </c>
      <c r="AA189" s="252">
        <f t="shared" si="15"/>
        <v>0</v>
      </c>
      <c r="AB189" s="252">
        <f t="shared" si="15"/>
        <v>0</v>
      </c>
      <c r="AC189" s="252">
        <f t="shared" si="15"/>
        <v>0</v>
      </c>
      <c r="AD189" s="252">
        <f t="shared" si="15"/>
        <v>0</v>
      </c>
      <c r="AE189" s="252">
        <f t="shared" si="15"/>
        <v>0</v>
      </c>
    </row>
    <row r="190" spans="2:31" s="204" customFormat="1" x14ac:dyDescent="0.25">
      <c r="B190" s="293"/>
      <c r="C190" s="293"/>
      <c r="D190" s="230"/>
      <c r="E190" s="230"/>
      <c r="F190" s="230"/>
      <c r="G190" s="230"/>
      <c r="H190" s="231"/>
      <c r="I190" s="230"/>
      <c r="J190" s="230"/>
      <c r="K190" s="230"/>
      <c r="L190" s="306"/>
      <c r="M190" s="211"/>
      <c r="N190" s="254"/>
      <c r="O190" s="211"/>
      <c r="P190" s="211"/>
      <c r="Q190" s="211"/>
      <c r="R190" s="211"/>
      <c r="S190" s="211"/>
      <c r="T190" s="211"/>
      <c r="U190" s="211"/>
      <c r="W190" s="211"/>
      <c r="X190" s="211"/>
      <c r="Y190" s="211"/>
      <c r="Z190" s="211"/>
      <c r="AA190" s="211"/>
    </row>
    <row r="191" spans="2:31" s="204" customFormat="1" x14ac:dyDescent="0.25">
      <c r="B191" s="246" t="s">
        <v>435</v>
      </c>
      <c r="C191" s="292" t="s">
        <v>436</v>
      </c>
      <c r="D191" s="247" t="s">
        <v>3148</v>
      </c>
      <c r="E191" s="247"/>
      <c r="F191" s="247"/>
      <c r="G191" s="247"/>
      <c r="H191" s="248"/>
      <c r="I191" s="247"/>
      <c r="J191" s="247"/>
      <c r="K191" s="249"/>
      <c r="L191" s="257" t="s">
        <v>439</v>
      </c>
      <c r="M191" s="251" t="s">
        <v>2962</v>
      </c>
      <c r="N191" s="252">
        <f>SUM(N194:N199)</f>
        <v>1164620</v>
      </c>
      <c r="O191" s="252">
        <f>SUM(O194:O199)</f>
        <v>1164620</v>
      </c>
      <c r="P191" s="259">
        <f>+O191-N191</f>
        <v>0</v>
      </c>
      <c r="Q191" s="252">
        <f>SUM(Q194:Q199)</f>
        <v>0</v>
      </c>
      <c r="R191" s="252">
        <f>SUM(R194:R199)</f>
        <v>1164620</v>
      </c>
      <c r="S191" s="252">
        <f>SUM(T194:T199)</f>
        <v>0</v>
      </c>
      <c r="T191" s="252">
        <f>SUM(U194:U199)</f>
        <v>0</v>
      </c>
      <c r="U191" s="279"/>
      <c r="W191" s="252">
        <f t="shared" ref="W191:AE191" si="16">SUM(W194:W199)</f>
        <v>0</v>
      </c>
      <c r="X191" s="252">
        <f t="shared" si="16"/>
        <v>0</v>
      </c>
      <c r="Y191" s="252">
        <f t="shared" si="16"/>
        <v>0</v>
      </c>
      <c r="Z191" s="252">
        <f t="shared" si="16"/>
        <v>0</v>
      </c>
      <c r="AA191" s="252">
        <f t="shared" si="16"/>
        <v>0</v>
      </c>
      <c r="AB191" s="252">
        <f t="shared" si="16"/>
        <v>0</v>
      </c>
      <c r="AC191" s="252">
        <f t="shared" si="16"/>
        <v>0</v>
      </c>
      <c r="AD191" s="252">
        <f t="shared" si="16"/>
        <v>0</v>
      </c>
      <c r="AE191" s="252">
        <f t="shared" si="16"/>
        <v>0</v>
      </c>
    </row>
    <row r="192" spans="2:31" s="204" customFormat="1" x14ac:dyDescent="0.25">
      <c r="B192" s="293"/>
      <c r="C192" s="293"/>
      <c r="D192" s="230"/>
      <c r="E192" s="230"/>
      <c r="F192" s="230"/>
      <c r="G192" s="230"/>
      <c r="H192" s="231"/>
      <c r="I192" s="230"/>
      <c r="J192" s="230"/>
      <c r="K192" s="230"/>
      <c r="L192" s="232"/>
      <c r="M192" s="211"/>
      <c r="N192" s="211"/>
      <c r="O192" s="211"/>
      <c r="P192" s="211"/>
      <c r="Q192" s="211"/>
      <c r="W192" s="211"/>
      <c r="X192" s="211"/>
      <c r="Y192" s="211"/>
      <c r="Z192" s="211"/>
      <c r="AA192" s="211"/>
    </row>
    <row r="193" spans="2:35" s="204" customFormat="1" ht="63.75" x14ac:dyDescent="0.25">
      <c r="B193" s="294" t="s">
        <v>2968</v>
      </c>
      <c r="C193" s="294" t="s">
        <v>2969</v>
      </c>
      <c r="D193" s="206" t="s">
        <v>72</v>
      </c>
      <c r="E193" s="206"/>
      <c r="F193" s="206"/>
      <c r="G193" s="207"/>
      <c r="H193" s="207"/>
      <c r="I193" s="207"/>
      <c r="J193" s="207" t="s">
        <v>2957</v>
      </c>
      <c r="K193" s="206" t="s">
        <v>82</v>
      </c>
      <c r="L193" s="261" t="s">
        <v>2970</v>
      </c>
      <c r="M193" s="260"/>
      <c r="N193" s="256" t="str">
        <f>N$15</f>
        <v>Valore netto al 31/12/2019</v>
      </c>
      <c r="O193" s="256" t="str">
        <f>O$15</f>
        <v>Valore netto al 31/12/2020</v>
      </c>
      <c r="P193" s="256" t="str">
        <f>P$15</f>
        <v>Variazione</v>
      </c>
      <c r="Q193" s="262" t="s">
        <v>2971</v>
      </c>
      <c r="R193" s="262" t="str">
        <f>"Costo storico al 31/12/"&amp;Info!$B$3-1</f>
        <v>Costo storico al 31/12/2019</v>
      </c>
      <c r="S193" s="262" t="s">
        <v>2972</v>
      </c>
      <c r="T193" s="262" t="s">
        <v>2973</v>
      </c>
      <c r="U193" s="262" t="s">
        <v>2974</v>
      </c>
      <c r="W193" s="262" t="s">
        <v>2975</v>
      </c>
      <c r="X193" s="262" t="s">
        <v>2976</v>
      </c>
      <c r="Y193" s="262" t="s">
        <v>2977</v>
      </c>
      <c r="Z193" s="262" t="s">
        <v>2978</v>
      </c>
      <c r="AA193" s="262" t="s">
        <v>2979</v>
      </c>
      <c r="AB193" s="262" t="s">
        <v>2980</v>
      </c>
      <c r="AC193" s="262" t="s">
        <v>2981</v>
      </c>
      <c r="AD193" s="262" t="s">
        <v>2982</v>
      </c>
      <c r="AE193" s="262" t="s">
        <v>2983</v>
      </c>
    </row>
    <row r="194" spans="2:35" s="204" customFormat="1" x14ac:dyDescent="0.25">
      <c r="B194" s="246" t="s">
        <v>440</v>
      </c>
      <c r="C194" s="273" t="s">
        <v>441</v>
      </c>
      <c r="D194" s="264" t="s">
        <v>3149</v>
      </c>
      <c r="E194" s="264"/>
      <c r="F194" s="264"/>
      <c r="G194" s="265"/>
      <c r="H194" s="266"/>
      <c r="I194" s="281"/>
      <c r="J194" s="281"/>
      <c r="K194" s="281"/>
      <c r="L194" s="282" t="s">
        <v>3150</v>
      </c>
      <c r="M194" s="263" t="s">
        <v>2962</v>
      </c>
      <c r="N194" s="269">
        <f t="shared" ref="N194:N199" si="17">+R194+T194-U194</f>
        <v>34000</v>
      </c>
      <c r="O194" s="270">
        <f t="shared" ref="O194:O199" si="18">+N194+S194+X194+ABS(Y194)-ABS(AA194)+ABS(Z194)+ABS(AB194)+ABS(AD194)-ABS(AE194)+AC194+W194+Q194</f>
        <v>34000</v>
      </c>
      <c r="P194" s="271">
        <f t="shared" ref="P194:P199" si="19">+O194-N194</f>
        <v>0</v>
      </c>
      <c r="Q194" s="272">
        <f>+'NI-San_SP'!Q194+'NI-Soc_SP'!Q194+'NI-Ric_SP'!Q194</f>
        <v>0</v>
      </c>
      <c r="R194" s="272">
        <f>+'NI-San_SP'!R194+'NI-Soc_SP'!R194+'NI-Ric_SP'!R194</f>
        <v>34000</v>
      </c>
      <c r="S194" s="272">
        <f>+'NI-San_SP'!S194+'NI-Soc_SP'!T194+'NI-Ric_SP'!T194</f>
        <v>0</v>
      </c>
      <c r="T194" s="272">
        <f>+'NI-San_SP'!S194+'NI-Soc_SP'!T194+'NI-Ric_SP'!T194</f>
        <v>0</v>
      </c>
      <c r="U194" s="272">
        <f>+'NI-San_SP'!T194+'NI-Soc_SP'!U194+'NI-Ric_SP'!U194</f>
        <v>0</v>
      </c>
      <c r="W194" s="272">
        <f>+'NI-San_SP'!W194+'NI-Soc_SP'!W194+'NI-Ric_SP'!W194</f>
        <v>0</v>
      </c>
      <c r="X194" s="272">
        <f>+'NI-San_SP'!X194+'NI-Soc_SP'!X194+'NI-Ric_SP'!X194</f>
        <v>0</v>
      </c>
      <c r="Y194" s="272">
        <f>+'NI-San_SP'!Y194+'NI-Soc_SP'!Y194+'NI-Ric_SP'!Y194</f>
        <v>0</v>
      </c>
      <c r="Z194" s="272">
        <f>+'NI-San_SP'!Z194+'NI-Soc_SP'!Z194+'NI-Ric_SP'!Z194</f>
        <v>0</v>
      </c>
      <c r="AA194" s="272">
        <f>+'NI-San_SP'!AA194+'NI-Soc_SP'!AA194+'NI-Ric_SP'!AA194</f>
        <v>0</v>
      </c>
      <c r="AB194" s="272">
        <f>+'NI-San_SP'!AB194+'NI-Soc_SP'!AB194+'NI-Ric_SP'!AB194</f>
        <v>0</v>
      </c>
      <c r="AC194" s="272">
        <f>+'NI-San_SP'!AC194+'NI-Soc_SP'!AC194+'NI-Ric_SP'!AC194</f>
        <v>0</v>
      </c>
      <c r="AD194" s="272">
        <f>+'NI-San_SP'!AD194+'NI-Soc_SP'!AD194+'NI-Ric_SP'!AD194</f>
        <v>0</v>
      </c>
      <c r="AE194" s="272">
        <f>+'NI-San_SP'!AE194+'NI-Soc_SP'!AE194+'NI-Ric_SP'!AE194</f>
        <v>0</v>
      </c>
    </row>
    <row r="195" spans="2:35" s="204" customFormat="1" x14ac:dyDescent="0.25">
      <c r="B195" s="246" t="s">
        <v>443</v>
      </c>
      <c r="C195" s="273" t="s">
        <v>444</v>
      </c>
      <c r="D195" s="264" t="s">
        <v>3151</v>
      </c>
      <c r="E195" s="264"/>
      <c r="F195" s="264"/>
      <c r="G195" s="265"/>
      <c r="H195" s="266"/>
      <c r="I195" s="281"/>
      <c r="J195" s="281"/>
      <c r="K195" s="281"/>
      <c r="L195" s="282" t="s">
        <v>3152</v>
      </c>
      <c r="M195" s="284" t="s">
        <v>2962</v>
      </c>
      <c r="N195" s="269">
        <f t="shared" si="17"/>
        <v>1130620</v>
      </c>
      <c r="O195" s="270">
        <f t="shared" si="18"/>
        <v>1130620</v>
      </c>
      <c r="P195" s="271">
        <f t="shared" si="19"/>
        <v>0</v>
      </c>
      <c r="Q195" s="272">
        <f>+'NI-San_SP'!Q195+'NI-Soc_SP'!Q195+'NI-Ric_SP'!Q195</f>
        <v>0</v>
      </c>
      <c r="R195" s="272">
        <f>+'NI-San_SP'!R195+'NI-Soc_SP'!R195+'NI-Ric_SP'!R195</f>
        <v>1130620</v>
      </c>
      <c r="S195" s="272">
        <f>+'NI-San_SP'!S195+'NI-Soc_SP'!T195+'NI-Ric_SP'!T195</f>
        <v>0</v>
      </c>
      <c r="T195" s="272">
        <f>+'NI-San_SP'!S195+'NI-Soc_SP'!T195+'NI-Ric_SP'!T195</f>
        <v>0</v>
      </c>
      <c r="U195" s="272">
        <f>+'NI-San_SP'!T195+'NI-Soc_SP'!U195+'NI-Ric_SP'!U195</f>
        <v>0</v>
      </c>
      <c r="W195" s="272">
        <f>+'NI-San_SP'!W195+'NI-Soc_SP'!W195+'NI-Ric_SP'!W195</f>
        <v>0</v>
      </c>
      <c r="X195" s="272">
        <f>+'NI-San_SP'!X195+'NI-Soc_SP'!X195+'NI-Ric_SP'!X195</f>
        <v>0</v>
      </c>
      <c r="Y195" s="272">
        <f>+'NI-San_SP'!Y195+'NI-Soc_SP'!Y195+'NI-Ric_SP'!Y195</f>
        <v>0</v>
      </c>
      <c r="Z195" s="272">
        <f>+'NI-San_SP'!Z195+'NI-Soc_SP'!Z195+'NI-Ric_SP'!Z195</f>
        <v>0</v>
      </c>
      <c r="AA195" s="272">
        <f>+'NI-San_SP'!AA195+'NI-Soc_SP'!AA195+'NI-Ric_SP'!AA195</f>
        <v>0</v>
      </c>
      <c r="AB195" s="272">
        <f>+'NI-San_SP'!AB195+'NI-Soc_SP'!AB195+'NI-Ric_SP'!AB195</f>
        <v>0</v>
      </c>
      <c r="AC195" s="272">
        <f>+'NI-San_SP'!AC195+'NI-Soc_SP'!AC195+'NI-Ric_SP'!AC195</f>
        <v>0</v>
      </c>
      <c r="AD195" s="272">
        <f>+'NI-San_SP'!AD195+'NI-Soc_SP'!AD195+'NI-Ric_SP'!AD195</f>
        <v>0</v>
      </c>
      <c r="AE195" s="272">
        <f>+'NI-San_SP'!AE195+'NI-Soc_SP'!AE195+'NI-Ric_SP'!AE195</f>
        <v>0</v>
      </c>
    </row>
    <row r="196" spans="2:35" s="204" customFormat="1" x14ac:dyDescent="0.25">
      <c r="B196" s="246" t="s">
        <v>446</v>
      </c>
      <c r="C196" s="273" t="s">
        <v>447</v>
      </c>
      <c r="D196" s="264" t="s">
        <v>3153</v>
      </c>
      <c r="E196" s="264"/>
      <c r="F196" s="274"/>
      <c r="G196" s="283"/>
      <c r="H196" s="266"/>
      <c r="I196" s="281"/>
      <c r="J196" s="281"/>
      <c r="K196" s="281"/>
      <c r="L196" s="282" t="s">
        <v>3154</v>
      </c>
      <c r="M196" s="284" t="s">
        <v>2962</v>
      </c>
      <c r="N196" s="269">
        <f t="shared" si="17"/>
        <v>0</v>
      </c>
      <c r="O196" s="270">
        <f t="shared" si="18"/>
        <v>0</v>
      </c>
      <c r="P196" s="271">
        <f t="shared" si="19"/>
        <v>0</v>
      </c>
      <c r="Q196" s="272">
        <f>+'NI-San_SP'!Q196+'NI-Soc_SP'!Q196+'NI-Ric_SP'!Q196</f>
        <v>0</v>
      </c>
      <c r="R196" s="272">
        <f>+'NI-San_SP'!R196+'NI-Soc_SP'!R196+'NI-Ric_SP'!R196</f>
        <v>0</v>
      </c>
      <c r="S196" s="272">
        <f>+'NI-San_SP'!S196+'NI-Soc_SP'!T196+'NI-Ric_SP'!T196</f>
        <v>0</v>
      </c>
      <c r="T196" s="272">
        <f>+'NI-San_SP'!S196+'NI-Soc_SP'!T196+'NI-Ric_SP'!T196</f>
        <v>0</v>
      </c>
      <c r="U196" s="272">
        <f>+'NI-San_SP'!T196+'NI-Soc_SP'!U196+'NI-Ric_SP'!U196</f>
        <v>0</v>
      </c>
      <c r="W196" s="272">
        <f>+'NI-San_SP'!W196+'NI-Soc_SP'!W196+'NI-Ric_SP'!W196</f>
        <v>0</v>
      </c>
      <c r="X196" s="272">
        <f>+'NI-San_SP'!X196+'NI-Soc_SP'!X196+'NI-Ric_SP'!X196</f>
        <v>0</v>
      </c>
      <c r="Y196" s="272">
        <f>+'NI-San_SP'!Y196+'NI-Soc_SP'!Y196+'NI-Ric_SP'!Y196</f>
        <v>0</v>
      </c>
      <c r="Z196" s="272">
        <f>+'NI-San_SP'!Z196+'NI-Soc_SP'!Z196+'NI-Ric_SP'!Z196</f>
        <v>0</v>
      </c>
      <c r="AA196" s="272">
        <f>+'NI-San_SP'!AA196+'NI-Soc_SP'!AA196+'NI-Ric_SP'!AA196</f>
        <v>0</v>
      </c>
      <c r="AB196" s="272">
        <f>+'NI-San_SP'!AB196+'NI-Soc_SP'!AB196+'NI-Ric_SP'!AB196</f>
        <v>0</v>
      </c>
      <c r="AC196" s="272">
        <f>+'NI-San_SP'!AC196+'NI-Soc_SP'!AC196+'NI-Ric_SP'!AC196</f>
        <v>0</v>
      </c>
      <c r="AD196" s="272">
        <f>+'NI-San_SP'!AD196+'NI-Soc_SP'!AD196+'NI-Ric_SP'!AD196</f>
        <v>0</v>
      </c>
      <c r="AE196" s="272">
        <f>+'NI-San_SP'!AE196+'NI-Soc_SP'!AE196+'NI-Ric_SP'!AE196</f>
        <v>0</v>
      </c>
    </row>
    <row r="197" spans="2:35" s="204" customFormat="1" x14ac:dyDescent="0.25">
      <c r="B197" s="246" t="s">
        <v>449</v>
      </c>
      <c r="C197" s="273" t="s">
        <v>450</v>
      </c>
      <c r="D197" s="264" t="s">
        <v>3155</v>
      </c>
      <c r="E197" s="264"/>
      <c r="F197" s="274"/>
      <c r="G197" s="283"/>
      <c r="H197" s="266"/>
      <c r="I197" s="281"/>
      <c r="J197" s="281"/>
      <c r="K197" s="281"/>
      <c r="L197" s="282" t="s">
        <v>3156</v>
      </c>
      <c r="M197" s="284" t="s">
        <v>2962</v>
      </c>
      <c r="N197" s="269">
        <f t="shared" si="17"/>
        <v>0</v>
      </c>
      <c r="O197" s="270">
        <f t="shared" si="18"/>
        <v>0</v>
      </c>
      <c r="P197" s="271">
        <f t="shared" si="19"/>
        <v>0</v>
      </c>
      <c r="Q197" s="272">
        <f>+'NI-San_SP'!Q197+'NI-Soc_SP'!Q197+'NI-Ric_SP'!Q197</f>
        <v>0</v>
      </c>
      <c r="R197" s="272">
        <f>+'NI-San_SP'!R197+'NI-Soc_SP'!R197+'NI-Ric_SP'!R197</f>
        <v>0</v>
      </c>
      <c r="S197" s="272">
        <f>+'NI-San_SP'!S197+'NI-Soc_SP'!T197+'NI-Ric_SP'!T197</f>
        <v>0</v>
      </c>
      <c r="T197" s="272">
        <f>+'NI-San_SP'!S197+'NI-Soc_SP'!T197+'NI-Ric_SP'!T197</f>
        <v>0</v>
      </c>
      <c r="U197" s="272">
        <f>+'NI-San_SP'!T197+'NI-Soc_SP'!U197+'NI-Ric_SP'!U197</f>
        <v>0</v>
      </c>
      <c r="W197" s="272">
        <f>+'NI-San_SP'!W197+'NI-Soc_SP'!W197+'NI-Ric_SP'!W197</f>
        <v>0</v>
      </c>
      <c r="X197" s="272">
        <f>+'NI-San_SP'!X197+'NI-Soc_SP'!X197+'NI-Ric_SP'!X197</f>
        <v>0</v>
      </c>
      <c r="Y197" s="272">
        <f>+'NI-San_SP'!Y197+'NI-Soc_SP'!Y197+'NI-Ric_SP'!Y197</f>
        <v>0</v>
      </c>
      <c r="Z197" s="272">
        <f>+'NI-San_SP'!Z197+'NI-Soc_SP'!Z197+'NI-Ric_SP'!Z197</f>
        <v>0</v>
      </c>
      <c r="AA197" s="272">
        <f>+'NI-San_SP'!AA197+'NI-Soc_SP'!AA197+'NI-Ric_SP'!AA197</f>
        <v>0</v>
      </c>
      <c r="AB197" s="272">
        <f>+'NI-San_SP'!AB197+'NI-Soc_SP'!AB197+'NI-Ric_SP'!AB197</f>
        <v>0</v>
      </c>
      <c r="AC197" s="272">
        <f>+'NI-San_SP'!AC197+'NI-Soc_SP'!AC197+'NI-Ric_SP'!AC197</f>
        <v>0</v>
      </c>
      <c r="AD197" s="272">
        <f>+'NI-San_SP'!AD197+'NI-Soc_SP'!AD197+'NI-Ric_SP'!AD197</f>
        <v>0</v>
      </c>
      <c r="AE197" s="272">
        <f>+'NI-San_SP'!AE197+'NI-Soc_SP'!AE197+'NI-Ric_SP'!AE197</f>
        <v>0</v>
      </c>
    </row>
    <row r="198" spans="2:35" s="204" customFormat="1" x14ac:dyDescent="0.25">
      <c r="B198" s="246" t="s">
        <v>452</v>
      </c>
      <c r="C198" s="273" t="s">
        <v>453</v>
      </c>
      <c r="D198" s="264" t="s">
        <v>3157</v>
      </c>
      <c r="E198" s="264"/>
      <c r="F198" s="274"/>
      <c r="G198" s="283"/>
      <c r="H198" s="266"/>
      <c r="I198" s="281"/>
      <c r="J198" s="281"/>
      <c r="K198" s="281"/>
      <c r="L198" s="295" t="s">
        <v>3158</v>
      </c>
      <c r="M198" s="284" t="s">
        <v>2962</v>
      </c>
      <c r="N198" s="269">
        <f t="shared" si="17"/>
        <v>0</v>
      </c>
      <c r="O198" s="270">
        <f t="shared" si="18"/>
        <v>0</v>
      </c>
      <c r="P198" s="271">
        <f t="shared" si="19"/>
        <v>0</v>
      </c>
      <c r="Q198" s="272">
        <f>+'NI-San_SP'!Q198+'NI-Soc_SP'!Q198+'NI-Ric_SP'!Q198</f>
        <v>0</v>
      </c>
      <c r="R198" s="272">
        <f>+'NI-San_SP'!R198+'NI-Soc_SP'!R198+'NI-Ric_SP'!R198</f>
        <v>0</v>
      </c>
      <c r="S198" s="272">
        <f>+'NI-San_SP'!S198+'NI-Soc_SP'!T198+'NI-Ric_SP'!T198</f>
        <v>0</v>
      </c>
      <c r="T198" s="272">
        <f>+'NI-San_SP'!S198+'NI-Soc_SP'!T198+'NI-Ric_SP'!T198</f>
        <v>0</v>
      </c>
      <c r="U198" s="272">
        <f>+'NI-San_SP'!T198+'NI-Soc_SP'!U198+'NI-Ric_SP'!U198</f>
        <v>0</v>
      </c>
      <c r="W198" s="272">
        <f>+'NI-San_SP'!W198+'NI-Soc_SP'!W198+'NI-Ric_SP'!W198</f>
        <v>0</v>
      </c>
      <c r="X198" s="272">
        <f>+'NI-San_SP'!X198+'NI-Soc_SP'!X198+'NI-Ric_SP'!X198</f>
        <v>0</v>
      </c>
      <c r="Y198" s="272">
        <f>+'NI-San_SP'!Y198+'NI-Soc_SP'!Y198+'NI-Ric_SP'!Y198</f>
        <v>0</v>
      </c>
      <c r="Z198" s="272">
        <f>+'NI-San_SP'!Z198+'NI-Soc_SP'!Z198+'NI-Ric_SP'!Z198</f>
        <v>0</v>
      </c>
      <c r="AA198" s="272">
        <f>+'NI-San_SP'!AA198+'NI-Soc_SP'!AA198+'NI-Ric_SP'!AA198</f>
        <v>0</v>
      </c>
      <c r="AB198" s="272">
        <f>+'NI-San_SP'!AB198+'NI-Soc_SP'!AB198+'NI-Ric_SP'!AB198</f>
        <v>0</v>
      </c>
      <c r="AC198" s="272">
        <f>+'NI-San_SP'!AC198+'NI-Soc_SP'!AC198+'NI-Ric_SP'!AC198</f>
        <v>0</v>
      </c>
      <c r="AD198" s="272">
        <f>+'NI-San_SP'!AD198+'NI-Soc_SP'!AD198+'NI-Ric_SP'!AD198</f>
        <v>0</v>
      </c>
      <c r="AE198" s="272">
        <f>+'NI-San_SP'!AE198+'NI-Soc_SP'!AE198+'NI-Ric_SP'!AE198</f>
        <v>0</v>
      </c>
    </row>
    <row r="199" spans="2:35" s="204" customFormat="1" x14ac:dyDescent="0.25">
      <c r="B199" s="246" t="s">
        <v>455</v>
      </c>
      <c r="C199" s="273" t="s">
        <v>456</v>
      </c>
      <c r="D199" s="264" t="s">
        <v>3159</v>
      </c>
      <c r="E199" s="264"/>
      <c r="F199" s="274"/>
      <c r="G199" s="283"/>
      <c r="H199" s="266"/>
      <c r="I199" s="281"/>
      <c r="J199" s="281"/>
      <c r="K199" s="281"/>
      <c r="L199" s="295" t="s">
        <v>3160</v>
      </c>
      <c r="M199" s="284" t="s">
        <v>2962</v>
      </c>
      <c r="N199" s="269">
        <f t="shared" si="17"/>
        <v>0</v>
      </c>
      <c r="O199" s="270">
        <f t="shared" si="18"/>
        <v>0</v>
      </c>
      <c r="P199" s="271">
        <f t="shared" si="19"/>
        <v>0</v>
      </c>
      <c r="Q199" s="272">
        <f>+'NI-San_SP'!Q199+'NI-Soc_SP'!Q199+'NI-Ric_SP'!Q199</f>
        <v>0</v>
      </c>
      <c r="R199" s="272">
        <f>+'NI-San_SP'!R199+'NI-Soc_SP'!R199+'NI-Ric_SP'!R199</f>
        <v>0</v>
      </c>
      <c r="S199" s="272">
        <f>+'NI-San_SP'!S199+'NI-Soc_SP'!T199+'NI-Ric_SP'!T199</f>
        <v>0</v>
      </c>
      <c r="T199" s="272">
        <f>+'NI-San_SP'!S199+'NI-Soc_SP'!T199+'NI-Ric_SP'!T199</f>
        <v>0</v>
      </c>
      <c r="U199" s="272">
        <f>+'NI-San_SP'!T199+'NI-Soc_SP'!U199+'NI-Ric_SP'!U199</f>
        <v>0</v>
      </c>
      <c r="W199" s="272">
        <f>+'NI-San_SP'!W199+'NI-Soc_SP'!W199+'NI-Ric_SP'!W199</f>
        <v>0</v>
      </c>
      <c r="X199" s="272">
        <f>+'NI-San_SP'!X199+'NI-Soc_SP'!X199+'NI-Ric_SP'!X199</f>
        <v>0</v>
      </c>
      <c r="Y199" s="272">
        <f>+'NI-San_SP'!Y199+'NI-Soc_SP'!Y199+'NI-Ric_SP'!Y199</f>
        <v>0</v>
      </c>
      <c r="Z199" s="272">
        <f>+'NI-San_SP'!Z199+'NI-Soc_SP'!Z199+'NI-Ric_SP'!Z199</f>
        <v>0</v>
      </c>
      <c r="AA199" s="272">
        <f>+'NI-San_SP'!AA199+'NI-Soc_SP'!AA199+'NI-Ric_SP'!AA199</f>
        <v>0</v>
      </c>
      <c r="AB199" s="272">
        <f>+'NI-San_SP'!AB199+'NI-Soc_SP'!AB199+'NI-Ric_SP'!AB199</f>
        <v>0</v>
      </c>
      <c r="AC199" s="272">
        <f>+'NI-San_SP'!AC199+'NI-Soc_SP'!AC199+'NI-Ric_SP'!AC199</f>
        <v>0</v>
      </c>
      <c r="AD199" s="272">
        <f>+'NI-San_SP'!AD199+'NI-Soc_SP'!AD199+'NI-Ric_SP'!AD199</f>
        <v>0</v>
      </c>
      <c r="AE199" s="272">
        <f>+'NI-San_SP'!AE199+'NI-Soc_SP'!AE199+'NI-Ric_SP'!AE199</f>
        <v>0</v>
      </c>
    </row>
    <row r="200" spans="2:35" s="204" customFormat="1" x14ac:dyDescent="0.25">
      <c r="B200" s="289"/>
      <c r="C200" s="289"/>
      <c r="D200" s="211"/>
      <c r="E200" s="211"/>
      <c r="F200" s="211"/>
      <c r="G200" s="211"/>
      <c r="H200" s="211"/>
      <c r="I200" s="211"/>
      <c r="J200" s="211"/>
      <c r="K200" s="211"/>
      <c r="L200" s="312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</row>
    <row r="201" spans="2:35" s="204" customFormat="1" x14ac:dyDescent="0.25">
      <c r="B201" s="246" t="s">
        <v>458</v>
      </c>
      <c r="C201" s="292" t="s">
        <v>459</v>
      </c>
      <c r="D201" s="313" t="s">
        <v>3161</v>
      </c>
      <c r="E201" s="247"/>
      <c r="F201" s="247"/>
      <c r="G201" s="247"/>
      <c r="H201" s="248"/>
      <c r="I201" s="247"/>
      <c r="J201" s="247"/>
      <c r="K201" s="249"/>
      <c r="L201" s="257" t="s">
        <v>462</v>
      </c>
      <c r="M201" s="251" t="s">
        <v>2962</v>
      </c>
      <c r="N201" s="252">
        <f>SUM(N204:N209)</f>
        <v>0</v>
      </c>
      <c r="O201" s="252">
        <f>SUM(O204:O209)</f>
        <v>0</v>
      </c>
      <c r="P201" s="259">
        <f>+O201-N201</f>
        <v>0</v>
      </c>
      <c r="Q201" s="252">
        <f>SUM(Q204:Q209)</f>
        <v>0</v>
      </c>
      <c r="R201" s="252">
        <f>SUM(R204:R209)</f>
        <v>0</v>
      </c>
      <c r="S201" s="252">
        <f>SUM(S204:S209)</f>
        <v>0</v>
      </c>
      <c r="T201" s="252">
        <f>SUM(T204:T209)</f>
        <v>0</v>
      </c>
      <c r="U201" s="252">
        <f>SUM(U204:U209)</f>
        <v>0</v>
      </c>
      <c r="W201" s="252">
        <f t="shared" ref="W201:AE201" si="20">SUM(W204:W209)</f>
        <v>0</v>
      </c>
      <c r="X201" s="252">
        <f t="shared" si="20"/>
        <v>0</v>
      </c>
      <c r="Y201" s="252">
        <f t="shared" si="20"/>
        <v>0</v>
      </c>
      <c r="Z201" s="252">
        <f t="shared" si="20"/>
        <v>0</v>
      </c>
      <c r="AA201" s="252">
        <f t="shared" si="20"/>
        <v>0</v>
      </c>
      <c r="AB201" s="252">
        <f t="shared" si="20"/>
        <v>0</v>
      </c>
      <c r="AC201" s="252">
        <f t="shared" si="20"/>
        <v>0</v>
      </c>
      <c r="AD201" s="252">
        <f t="shared" si="20"/>
        <v>0</v>
      </c>
      <c r="AE201" s="252">
        <f t="shared" si="20"/>
        <v>0</v>
      </c>
    </row>
    <row r="202" spans="2:35" s="204" customFormat="1" x14ac:dyDescent="0.25">
      <c r="B202" s="293"/>
      <c r="C202" s="293"/>
      <c r="D202" s="230"/>
      <c r="E202" s="230"/>
      <c r="F202" s="230"/>
      <c r="G202" s="230"/>
      <c r="H202" s="231"/>
      <c r="I202" s="230"/>
      <c r="J202" s="230"/>
      <c r="K202" s="230"/>
      <c r="L202" s="232"/>
      <c r="M202" s="211"/>
      <c r="N202" s="211"/>
      <c r="O202" s="211"/>
      <c r="P202" s="211"/>
      <c r="Q202" s="211"/>
      <c r="V202" s="211"/>
      <c r="W202" s="211"/>
      <c r="X202" s="211"/>
      <c r="Y202" s="211"/>
      <c r="Z202" s="211"/>
      <c r="AA202" s="211"/>
    </row>
    <row r="203" spans="2:35" s="204" customFormat="1" ht="63.75" x14ac:dyDescent="0.25">
      <c r="B203" s="294" t="s">
        <v>2968</v>
      </c>
      <c r="C203" s="294" t="s">
        <v>2969</v>
      </c>
      <c r="D203" s="206" t="s">
        <v>72</v>
      </c>
      <c r="E203" s="206"/>
      <c r="F203" s="206"/>
      <c r="G203" s="207"/>
      <c r="H203" s="207"/>
      <c r="I203" s="207"/>
      <c r="J203" s="207" t="s">
        <v>2957</v>
      </c>
      <c r="K203" s="206" t="s">
        <v>82</v>
      </c>
      <c r="L203" s="261" t="s">
        <v>2970</v>
      </c>
      <c r="M203" s="260"/>
      <c r="N203" s="256" t="str">
        <f>N$15</f>
        <v>Valore netto al 31/12/2019</v>
      </c>
      <c r="O203" s="256" t="str">
        <f>O$15</f>
        <v>Valore netto al 31/12/2020</v>
      </c>
      <c r="P203" s="256" t="str">
        <f>P$15</f>
        <v>Variazione</v>
      </c>
      <c r="Q203" s="262" t="s">
        <v>2971</v>
      </c>
      <c r="R203" s="262" t="str">
        <f>"Costo storico al 31/12/"&amp;Info!$B$3-1</f>
        <v>Costo storico al 31/12/2019</v>
      </c>
      <c r="S203" s="262" t="s">
        <v>2972</v>
      </c>
      <c r="T203" s="262" t="s">
        <v>2973</v>
      </c>
      <c r="U203" s="262" t="s">
        <v>2974</v>
      </c>
      <c r="W203" s="262" t="s">
        <v>2975</v>
      </c>
      <c r="X203" s="262" t="s">
        <v>2976</v>
      </c>
      <c r="Y203" s="262" t="s">
        <v>2977</v>
      </c>
      <c r="Z203" s="262" t="s">
        <v>2978</v>
      </c>
      <c r="AA203" s="262" t="s">
        <v>2979</v>
      </c>
      <c r="AB203" s="262" t="s">
        <v>2980</v>
      </c>
      <c r="AC203" s="262" t="s">
        <v>2981</v>
      </c>
      <c r="AD203" s="262" t="s">
        <v>2982</v>
      </c>
      <c r="AE203" s="262" t="s">
        <v>2983</v>
      </c>
    </row>
    <row r="204" spans="2:35" s="204" customFormat="1" x14ac:dyDescent="0.25">
      <c r="B204" s="246" t="s">
        <v>463</v>
      </c>
      <c r="C204" s="273" t="s">
        <v>464</v>
      </c>
      <c r="D204" s="264" t="s">
        <v>3162</v>
      </c>
      <c r="E204" s="264"/>
      <c r="F204" s="264"/>
      <c r="G204" s="265"/>
      <c r="H204" s="266"/>
      <c r="I204" s="281"/>
      <c r="J204" s="281"/>
      <c r="K204" s="281"/>
      <c r="L204" s="282" t="s">
        <v>3163</v>
      </c>
      <c r="M204" s="263" t="s">
        <v>2962</v>
      </c>
      <c r="N204" s="269">
        <f t="shared" ref="N204:N209" si="21">+R204+T204-U204</f>
        <v>0</v>
      </c>
      <c r="O204" s="270">
        <f t="shared" ref="O204:O209" si="22">+N204+S204+X204+ABS(Y204)-ABS(AA204)+ABS(Z204)+ABS(AB204)+ABS(AD204)-ABS(AE204)+AC204+W204+Q204</f>
        <v>0</v>
      </c>
      <c r="P204" s="271">
        <f t="shared" ref="P204:P209" si="23">+O204-N204</f>
        <v>0</v>
      </c>
      <c r="Q204" s="272">
        <f>+'NI-San_SP'!Q204+'NI-Soc_SP'!Q204+'NI-Ric_SP'!Q204</f>
        <v>0</v>
      </c>
      <c r="R204" s="272">
        <f>+'NI-San_SP'!R204+'NI-Soc_SP'!R204+'NI-Ric_SP'!R204</f>
        <v>0</v>
      </c>
      <c r="S204" s="272">
        <f>+'NI-San_SP'!S204+'NI-Soc_SP'!T204+'NI-Ric_SP'!T204</f>
        <v>0</v>
      </c>
      <c r="T204" s="272">
        <f>+'NI-San_SP'!T204+'NI-Soc_SP'!T204+'NI-Ric_SP'!T204</f>
        <v>0</v>
      </c>
      <c r="U204" s="272">
        <f>+'NI-San_SP'!U204+'NI-Soc_SP'!U204+'NI-Ric_SP'!U204</f>
        <v>0</v>
      </c>
      <c r="W204" s="272">
        <f>+'NI-San_SP'!W204+'NI-Soc_SP'!W204+'NI-Ric_SP'!W204</f>
        <v>0</v>
      </c>
      <c r="X204" s="272">
        <f>+'NI-San_SP'!X204+'NI-Soc_SP'!X204+'NI-Ric_SP'!X204</f>
        <v>0</v>
      </c>
      <c r="Y204" s="272">
        <f>+'NI-San_SP'!Y204+'NI-Soc_SP'!Y204+'NI-Ric_SP'!Y204</f>
        <v>0</v>
      </c>
      <c r="Z204" s="272">
        <f>+'NI-San_SP'!Z204+'NI-Soc_SP'!Z204+'NI-Ric_SP'!Z204</f>
        <v>0</v>
      </c>
      <c r="AA204" s="272">
        <f>+'NI-San_SP'!AA204+'NI-Soc_SP'!AA204+'NI-Ric_SP'!AA204</f>
        <v>0</v>
      </c>
      <c r="AB204" s="272">
        <f>+'NI-San_SP'!AB204+'NI-Soc_SP'!AB204+'NI-Ric_SP'!AB204</f>
        <v>0</v>
      </c>
      <c r="AC204" s="272">
        <f>+'NI-San_SP'!AC204+'NI-Soc_SP'!AC204+'NI-Ric_SP'!AC204</f>
        <v>0</v>
      </c>
      <c r="AD204" s="272">
        <f>+'NI-San_SP'!AD204+'NI-Soc_SP'!AD204+'NI-Ric_SP'!AD204</f>
        <v>0</v>
      </c>
      <c r="AE204" s="272">
        <f>+'NI-San_SP'!AE204+'NI-Soc_SP'!AE204+'NI-Ric_SP'!AE204</f>
        <v>0</v>
      </c>
    </row>
    <row r="205" spans="2:35" s="204" customFormat="1" x14ac:dyDescent="0.25">
      <c r="B205" s="246" t="s">
        <v>466</v>
      </c>
      <c r="C205" s="273" t="s">
        <v>467</v>
      </c>
      <c r="D205" s="264" t="s">
        <v>3164</v>
      </c>
      <c r="E205" s="264"/>
      <c r="F205" s="264"/>
      <c r="G205" s="265"/>
      <c r="H205" s="266"/>
      <c r="I205" s="281"/>
      <c r="J205" s="281"/>
      <c r="K205" s="281"/>
      <c r="L205" s="282" t="s">
        <v>3165</v>
      </c>
      <c r="M205" s="284" t="s">
        <v>2962</v>
      </c>
      <c r="N205" s="269">
        <f t="shared" si="21"/>
        <v>0</v>
      </c>
      <c r="O205" s="270">
        <f t="shared" si="22"/>
        <v>0</v>
      </c>
      <c r="P205" s="271">
        <f t="shared" si="23"/>
        <v>0</v>
      </c>
      <c r="Q205" s="272">
        <f>+'NI-San_SP'!Q205+'NI-Soc_SP'!Q205+'NI-Ric_SP'!Q205</f>
        <v>0</v>
      </c>
      <c r="R205" s="272">
        <f>+'NI-San_SP'!R205+'NI-Soc_SP'!R205+'NI-Ric_SP'!R205</f>
        <v>0</v>
      </c>
      <c r="S205" s="272">
        <f>+'NI-San_SP'!S205+'NI-Soc_SP'!T205+'NI-Ric_SP'!T205</f>
        <v>0</v>
      </c>
      <c r="T205" s="272">
        <f>+'NI-San_SP'!T205+'NI-Soc_SP'!T205+'NI-Ric_SP'!T205</f>
        <v>0</v>
      </c>
      <c r="U205" s="272">
        <f>+'NI-San_SP'!U205+'NI-Soc_SP'!U205+'NI-Ric_SP'!U205</f>
        <v>0</v>
      </c>
      <c r="W205" s="272">
        <f>+'NI-San_SP'!W205+'NI-Soc_SP'!W205+'NI-Ric_SP'!W205</f>
        <v>0</v>
      </c>
      <c r="X205" s="272">
        <f>+'NI-San_SP'!X205+'NI-Soc_SP'!X205+'NI-Ric_SP'!X205</f>
        <v>0</v>
      </c>
      <c r="Y205" s="272">
        <f>+'NI-San_SP'!Y205+'NI-Soc_SP'!Y205+'NI-Ric_SP'!Y205</f>
        <v>0</v>
      </c>
      <c r="Z205" s="272">
        <f>+'NI-San_SP'!Z205+'NI-Soc_SP'!Z205+'NI-Ric_SP'!Z205</f>
        <v>0</v>
      </c>
      <c r="AA205" s="272">
        <f>+'NI-San_SP'!AA205+'NI-Soc_SP'!AA205+'NI-Ric_SP'!AA205</f>
        <v>0</v>
      </c>
      <c r="AB205" s="272">
        <f>+'NI-San_SP'!AB205+'NI-Soc_SP'!AB205+'NI-Ric_SP'!AB205</f>
        <v>0</v>
      </c>
      <c r="AC205" s="272">
        <f>+'NI-San_SP'!AC205+'NI-Soc_SP'!AC205+'NI-Ric_SP'!AC205</f>
        <v>0</v>
      </c>
      <c r="AD205" s="272">
        <f>+'NI-San_SP'!AD205+'NI-Soc_SP'!AD205+'NI-Ric_SP'!AD205</f>
        <v>0</v>
      </c>
      <c r="AE205" s="272">
        <f>+'NI-San_SP'!AE205+'NI-Soc_SP'!AE205+'NI-Ric_SP'!AE205</f>
        <v>0</v>
      </c>
    </row>
    <row r="206" spans="2:35" s="204" customFormat="1" x14ac:dyDescent="0.25">
      <c r="B206" s="246" t="s">
        <v>469</v>
      </c>
      <c r="C206" s="273" t="s">
        <v>470</v>
      </c>
      <c r="D206" s="264" t="s">
        <v>3166</v>
      </c>
      <c r="E206" s="264"/>
      <c r="F206" s="274"/>
      <c r="G206" s="283"/>
      <c r="H206" s="266"/>
      <c r="I206" s="281"/>
      <c r="J206" s="281"/>
      <c r="K206" s="281"/>
      <c r="L206" s="282" t="s">
        <v>3167</v>
      </c>
      <c r="M206" s="284" t="s">
        <v>2962</v>
      </c>
      <c r="N206" s="269">
        <f t="shared" si="21"/>
        <v>0</v>
      </c>
      <c r="O206" s="270">
        <f t="shared" si="22"/>
        <v>0</v>
      </c>
      <c r="P206" s="271">
        <f t="shared" si="23"/>
        <v>0</v>
      </c>
      <c r="Q206" s="272">
        <f>+'NI-San_SP'!Q206+'NI-Soc_SP'!Q206+'NI-Ric_SP'!Q206</f>
        <v>0</v>
      </c>
      <c r="R206" s="272">
        <f>+'NI-San_SP'!R206+'NI-Soc_SP'!R206+'NI-Ric_SP'!R206</f>
        <v>0</v>
      </c>
      <c r="S206" s="272">
        <f>+'NI-San_SP'!S206+'NI-Soc_SP'!T206+'NI-Ric_SP'!T206</f>
        <v>0</v>
      </c>
      <c r="T206" s="272">
        <f>+'NI-San_SP'!T206+'NI-Soc_SP'!T206+'NI-Ric_SP'!T206</f>
        <v>0</v>
      </c>
      <c r="U206" s="272">
        <f>+'NI-San_SP'!U206+'NI-Soc_SP'!U206+'NI-Ric_SP'!U206</f>
        <v>0</v>
      </c>
      <c r="W206" s="272">
        <f>+'NI-San_SP'!W206+'NI-Soc_SP'!W206+'NI-Ric_SP'!W206</f>
        <v>0</v>
      </c>
      <c r="X206" s="272">
        <f>+'NI-San_SP'!X206+'NI-Soc_SP'!X206+'NI-Ric_SP'!X206</f>
        <v>0</v>
      </c>
      <c r="Y206" s="272">
        <f>+'NI-San_SP'!Y206+'NI-Soc_SP'!Y206+'NI-Ric_SP'!Y206</f>
        <v>0</v>
      </c>
      <c r="Z206" s="272">
        <f>+'NI-San_SP'!Z206+'NI-Soc_SP'!Z206+'NI-Ric_SP'!Z206</f>
        <v>0</v>
      </c>
      <c r="AA206" s="272">
        <f>+'NI-San_SP'!AA206+'NI-Soc_SP'!AA206+'NI-Ric_SP'!AA206</f>
        <v>0</v>
      </c>
      <c r="AB206" s="272">
        <f>+'NI-San_SP'!AB206+'NI-Soc_SP'!AB206+'NI-Ric_SP'!AB206</f>
        <v>0</v>
      </c>
      <c r="AC206" s="272">
        <f>+'NI-San_SP'!AC206+'NI-Soc_SP'!AC206+'NI-Ric_SP'!AC206</f>
        <v>0</v>
      </c>
      <c r="AD206" s="272">
        <f>+'NI-San_SP'!AD206+'NI-Soc_SP'!AD206+'NI-Ric_SP'!AD206</f>
        <v>0</v>
      </c>
      <c r="AE206" s="272">
        <f>+'NI-San_SP'!AE206+'NI-Soc_SP'!AE206+'NI-Ric_SP'!AE206</f>
        <v>0</v>
      </c>
    </row>
    <row r="207" spans="2:35" s="204" customFormat="1" x14ac:dyDescent="0.25">
      <c r="B207" s="246" t="s">
        <v>472</v>
      </c>
      <c r="C207" s="273" t="s">
        <v>473</v>
      </c>
      <c r="D207" s="264" t="s">
        <v>3168</v>
      </c>
      <c r="E207" s="264"/>
      <c r="F207" s="274"/>
      <c r="G207" s="283"/>
      <c r="H207" s="266"/>
      <c r="I207" s="281"/>
      <c r="J207" s="281"/>
      <c r="K207" s="281"/>
      <c r="L207" s="282" t="s">
        <v>3169</v>
      </c>
      <c r="M207" s="284" t="s">
        <v>2962</v>
      </c>
      <c r="N207" s="269">
        <f t="shared" si="21"/>
        <v>0</v>
      </c>
      <c r="O207" s="270">
        <f t="shared" si="22"/>
        <v>0</v>
      </c>
      <c r="P207" s="271">
        <f t="shared" si="23"/>
        <v>0</v>
      </c>
      <c r="Q207" s="272">
        <f>+'NI-San_SP'!Q207+'NI-Soc_SP'!Q207+'NI-Ric_SP'!Q207</f>
        <v>0</v>
      </c>
      <c r="R207" s="272">
        <f>+'NI-San_SP'!R207+'NI-Soc_SP'!R207+'NI-Ric_SP'!R207</f>
        <v>0</v>
      </c>
      <c r="S207" s="272">
        <f>+'NI-San_SP'!S207+'NI-Soc_SP'!T207+'NI-Ric_SP'!T207</f>
        <v>0</v>
      </c>
      <c r="T207" s="272">
        <f>+'NI-San_SP'!T207+'NI-Soc_SP'!T207+'NI-Ric_SP'!T207</f>
        <v>0</v>
      </c>
      <c r="U207" s="272">
        <f>+'NI-San_SP'!U207+'NI-Soc_SP'!U207+'NI-Ric_SP'!U207</f>
        <v>0</v>
      </c>
      <c r="W207" s="272">
        <f>+'NI-San_SP'!W207+'NI-Soc_SP'!W207+'NI-Ric_SP'!W207</f>
        <v>0</v>
      </c>
      <c r="X207" s="272">
        <f>+'NI-San_SP'!X207+'NI-Soc_SP'!X207+'NI-Ric_SP'!X207</f>
        <v>0</v>
      </c>
      <c r="Y207" s="272">
        <f>+'NI-San_SP'!Y207+'NI-Soc_SP'!Y207+'NI-Ric_SP'!Y207</f>
        <v>0</v>
      </c>
      <c r="Z207" s="272">
        <f>+'NI-San_SP'!Z207+'NI-Soc_SP'!Z207+'NI-Ric_SP'!Z207</f>
        <v>0</v>
      </c>
      <c r="AA207" s="272">
        <f>+'NI-San_SP'!AA207+'NI-Soc_SP'!AA207+'NI-Ric_SP'!AA207</f>
        <v>0</v>
      </c>
      <c r="AB207" s="272">
        <f>+'NI-San_SP'!AB207+'NI-Soc_SP'!AB207+'NI-Ric_SP'!AB207</f>
        <v>0</v>
      </c>
      <c r="AC207" s="272">
        <f>+'NI-San_SP'!AC207+'NI-Soc_SP'!AC207+'NI-Ric_SP'!AC207</f>
        <v>0</v>
      </c>
      <c r="AD207" s="272">
        <f>+'NI-San_SP'!AD207+'NI-Soc_SP'!AD207+'NI-Ric_SP'!AD207</f>
        <v>0</v>
      </c>
      <c r="AE207" s="272">
        <f>+'NI-San_SP'!AE207+'NI-Soc_SP'!AE207+'NI-Ric_SP'!AE207</f>
        <v>0</v>
      </c>
    </row>
    <row r="208" spans="2:35" s="204" customFormat="1" x14ac:dyDescent="0.25">
      <c r="B208" s="246" t="s">
        <v>475</v>
      </c>
      <c r="C208" s="273" t="s">
        <v>476</v>
      </c>
      <c r="D208" s="264" t="s">
        <v>3170</v>
      </c>
      <c r="E208" s="264"/>
      <c r="F208" s="274"/>
      <c r="G208" s="283"/>
      <c r="H208" s="266"/>
      <c r="I208" s="281"/>
      <c r="J208" s="281"/>
      <c r="K208" s="281"/>
      <c r="L208" s="295" t="s">
        <v>3171</v>
      </c>
      <c r="M208" s="284" t="s">
        <v>2962</v>
      </c>
      <c r="N208" s="269">
        <f t="shared" si="21"/>
        <v>0</v>
      </c>
      <c r="O208" s="270">
        <f t="shared" si="22"/>
        <v>0</v>
      </c>
      <c r="P208" s="271">
        <f t="shared" si="23"/>
        <v>0</v>
      </c>
      <c r="Q208" s="272">
        <f>+'NI-San_SP'!Q208+'NI-Soc_SP'!Q208+'NI-Ric_SP'!Q208</f>
        <v>0</v>
      </c>
      <c r="R208" s="272">
        <f>+'NI-San_SP'!R208+'NI-Soc_SP'!R208+'NI-Ric_SP'!R208</f>
        <v>0</v>
      </c>
      <c r="S208" s="272">
        <f>+'NI-San_SP'!S208+'NI-Soc_SP'!T208+'NI-Ric_SP'!T208</f>
        <v>0</v>
      </c>
      <c r="T208" s="272">
        <f>+'NI-San_SP'!T208+'NI-Soc_SP'!T208+'NI-Ric_SP'!T208</f>
        <v>0</v>
      </c>
      <c r="U208" s="272">
        <f>+'NI-San_SP'!U208+'NI-Soc_SP'!U208+'NI-Ric_SP'!U208</f>
        <v>0</v>
      </c>
      <c r="W208" s="272">
        <f>+'NI-San_SP'!W208+'NI-Soc_SP'!W208+'NI-Ric_SP'!W208</f>
        <v>0</v>
      </c>
      <c r="X208" s="272">
        <f>+'NI-San_SP'!X208+'NI-Soc_SP'!X208+'NI-Ric_SP'!X208</f>
        <v>0</v>
      </c>
      <c r="Y208" s="272">
        <f>+'NI-San_SP'!Y208+'NI-Soc_SP'!Y208+'NI-Ric_SP'!Y208</f>
        <v>0</v>
      </c>
      <c r="Z208" s="272">
        <f>+'NI-San_SP'!Z208+'NI-Soc_SP'!Z208+'NI-Ric_SP'!Z208</f>
        <v>0</v>
      </c>
      <c r="AA208" s="272">
        <f>+'NI-San_SP'!AA208+'NI-Soc_SP'!AA208+'NI-Ric_SP'!AA208</f>
        <v>0</v>
      </c>
      <c r="AB208" s="272">
        <f>+'NI-San_SP'!AB208+'NI-Soc_SP'!AB208+'NI-Ric_SP'!AB208</f>
        <v>0</v>
      </c>
      <c r="AC208" s="272">
        <f>+'NI-San_SP'!AC208+'NI-Soc_SP'!AC208+'NI-Ric_SP'!AC208</f>
        <v>0</v>
      </c>
      <c r="AD208" s="272">
        <f>+'NI-San_SP'!AD208+'NI-Soc_SP'!AD208+'NI-Ric_SP'!AD208</f>
        <v>0</v>
      </c>
      <c r="AE208" s="272">
        <f>+'NI-San_SP'!AE208+'NI-Soc_SP'!AE208+'NI-Ric_SP'!AE208</f>
        <v>0</v>
      </c>
    </row>
    <row r="209" spans="2:35" s="204" customFormat="1" x14ac:dyDescent="0.25">
      <c r="B209" s="246" t="s">
        <v>478</v>
      </c>
      <c r="C209" s="273" t="s">
        <v>479</v>
      </c>
      <c r="D209" s="264" t="s">
        <v>3172</v>
      </c>
      <c r="E209" s="264"/>
      <c r="F209" s="274"/>
      <c r="G209" s="283"/>
      <c r="H209" s="266"/>
      <c r="I209" s="281"/>
      <c r="J209" s="281"/>
      <c r="K209" s="281"/>
      <c r="L209" s="295" t="s">
        <v>3173</v>
      </c>
      <c r="M209" s="284" t="s">
        <v>2962</v>
      </c>
      <c r="N209" s="269">
        <f t="shared" si="21"/>
        <v>0</v>
      </c>
      <c r="O209" s="270">
        <f t="shared" si="22"/>
        <v>0</v>
      </c>
      <c r="P209" s="271">
        <f t="shared" si="23"/>
        <v>0</v>
      </c>
      <c r="Q209" s="272">
        <f>+'NI-San_SP'!Q209+'NI-Soc_SP'!Q209+'NI-Ric_SP'!Q209</f>
        <v>0</v>
      </c>
      <c r="R209" s="272">
        <f>+'NI-San_SP'!R209+'NI-Soc_SP'!R209+'NI-Ric_SP'!R209</f>
        <v>0</v>
      </c>
      <c r="S209" s="272">
        <f>+'NI-San_SP'!S209+'NI-Soc_SP'!T209+'NI-Ric_SP'!T209</f>
        <v>0</v>
      </c>
      <c r="T209" s="272">
        <f>+'NI-San_SP'!T209+'NI-Soc_SP'!T209+'NI-Ric_SP'!T209</f>
        <v>0</v>
      </c>
      <c r="U209" s="272">
        <f>+'NI-San_SP'!U209+'NI-Soc_SP'!U209+'NI-Ric_SP'!U209</f>
        <v>0</v>
      </c>
      <c r="W209" s="272">
        <f>+'NI-San_SP'!W209+'NI-Soc_SP'!W209+'NI-Ric_SP'!W209</f>
        <v>0</v>
      </c>
      <c r="X209" s="272">
        <f>+'NI-San_SP'!X209+'NI-Soc_SP'!X209+'NI-Ric_SP'!X209</f>
        <v>0</v>
      </c>
      <c r="Y209" s="272">
        <f>+'NI-San_SP'!Y209+'NI-Soc_SP'!Y209+'NI-Ric_SP'!Y209</f>
        <v>0</v>
      </c>
      <c r="Z209" s="272">
        <f>+'NI-San_SP'!Z209+'NI-Soc_SP'!Z209+'NI-Ric_SP'!Z209</f>
        <v>0</v>
      </c>
      <c r="AA209" s="272">
        <f>+'NI-San_SP'!AA209+'NI-Soc_SP'!AA209+'NI-Ric_SP'!AA209</f>
        <v>0</v>
      </c>
      <c r="AB209" s="272">
        <f>+'NI-San_SP'!AB209+'NI-Soc_SP'!AB209+'NI-Ric_SP'!AB209</f>
        <v>0</v>
      </c>
      <c r="AC209" s="272">
        <f>+'NI-San_SP'!AC209+'NI-Soc_SP'!AC209+'NI-Ric_SP'!AC209</f>
        <v>0</v>
      </c>
      <c r="AD209" s="272">
        <f>+'NI-San_SP'!AD209+'NI-Soc_SP'!AD209+'NI-Ric_SP'!AD209</f>
        <v>0</v>
      </c>
      <c r="AE209" s="272">
        <f>+'NI-San_SP'!AE209+'NI-Soc_SP'!AE209+'NI-Ric_SP'!AE209</f>
        <v>0</v>
      </c>
    </row>
    <row r="210" spans="2:35" s="204" customFormat="1" x14ac:dyDescent="0.25">
      <c r="B210" s="289"/>
      <c r="C210" s="289"/>
      <c r="D210" s="211"/>
      <c r="E210" s="211"/>
      <c r="F210" s="211"/>
      <c r="G210" s="211"/>
      <c r="H210" s="211"/>
      <c r="I210" s="211"/>
      <c r="J210" s="211"/>
      <c r="K210" s="211"/>
      <c r="L210" s="232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</row>
    <row r="211" spans="2:35" s="204" customFormat="1" ht="25.5" x14ac:dyDescent="0.25">
      <c r="B211" s="293"/>
      <c r="C211" s="293"/>
      <c r="D211" s="230"/>
      <c r="E211" s="230"/>
      <c r="F211" s="230"/>
      <c r="G211" s="230"/>
      <c r="H211" s="231"/>
      <c r="I211" s="230"/>
      <c r="J211" s="230"/>
      <c r="K211" s="230"/>
      <c r="L211" s="255"/>
      <c r="M211" s="244"/>
      <c r="N211" s="256" t="str">
        <f>N$15</f>
        <v>Valore netto al 31/12/2019</v>
      </c>
      <c r="O211" s="256" t="str">
        <f>O$15</f>
        <v>Valore netto al 31/12/2020</v>
      </c>
      <c r="P211" s="256" t="str">
        <f>P$15</f>
        <v>Variazione</v>
      </c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</row>
    <row r="212" spans="2:35" s="204" customFormat="1" x14ac:dyDescent="0.25">
      <c r="B212" s="246" t="s">
        <v>481</v>
      </c>
      <c r="C212" s="292" t="s">
        <v>482</v>
      </c>
      <c r="D212" s="247" t="s">
        <v>3174</v>
      </c>
      <c r="E212" s="247"/>
      <c r="F212" s="247"/>
      <c r="G212" s="247"/>
      <c r="H212" s="248"/>
      <c r="I212" s="247"/>
      <c r="J212" s="247"/>
      <c r="K212" s="249"/>
      <c r="L212" s="257" t="s">
        <v>483</v>
      </c>
      <c r="M212" s="251" t="s">
        <v>2962</v>
      </c>
      <c r="N212" s="252">
        <f>+N214+N232</f>
        <v>83203349</v>
      </c>
      <c r="O212" s="252">
        <f>+O214+O232</f>
        <v>78358402</v>
      </c>
      <c r="P212" s="253">
        <f>+O212-N212</f>
        <v>-4844947</v>
      </c>
      <c r="Q212" s="211"/>
      <c r="R212" s="211"/>
      <c r="S212" s="211"/>
      <c r="T212" s="211"/>
      <c r="U212" s="211"/>
      <c r="V212" s="211"/>
      <c r="W212" s="211"/>
      <c r="X212" s="252">
        <f>+X214+X232</f>
        <v>0</v>
      </c>
      <c r="Y212" s="211"/>
      <c r="Z212" s="211"/>
      <c r="AA212" s="211"/>
    </row>
    <row r="213" spans="2:35" s="204" customFormat="1" x14ac:dyDescent="0.25">
      <c r="B213" s="298"/>
      <c r="C213" s="298"/>
      <c r="D213" s="216"/>
      <c r="E213" s="216"/>
      <c r="F213" s="216"/>
      <c r="G213" s="216"/>
      <c r="H213" s="314"/>
      <c r="I213" s="216"/>
      <c r="J213" s="216"/>
      <c r="K213" s="216"/>
      <c r="L213" s="315"/>
      <c r="M213" s="216"/>
      <c r="N213" s="216"/>
      <c r="O213" s="216"/>
      <c r="P213" s="216"/>
      <c r="Q213" s="211"/>
      <c r="R213" s="211"/>
      <c r="S213" s="211"/>
      <c r="T213" s="211"/>
      <c r="U213" s="211"/>
      <c r="V213" s="211"/>
      <c r="W213" s="216"/>
      <c r="X213" s="216"/>
      <c r="Y213" s="211"/>
      <c r="Z213" s="211"/>
      <c r="AA213" s="211"/>
    </row>
    <row r="214" spans="2:35" s="204" customFormat="1" x14ac:dyDescent="0.25">
      <c r="B214" s="246" t="s">
        <v>484</v>
      </c>
      <c r="C214" s="292" t="s">
        <v>485</v>
      </c>
      <c r="D214" s="247" t="s">
        <v>3175</v>
      </c>
      <c r="E214" s="247"/>
      <c r="F214" s="247"/>
      <c r="G214" s="247"/>
      <c r="H214" s="248"/>
      <c r="I214" s="247"/>
      <c r="J214" s="247"/>
      <c r="K214" s="249"/>
      <c r="L214" s="276" t="s">
        <v>487</v>
      </c>
      <c r="M214" s="251" t="s">
        <v>2962</v>
      </c>
      <c r="N214" s="252">
        <f>+N216-N224</f>
        <v>6819078</v>
      </c>
      <c r="O214" s="252">
        <f>+O216-O224</f>
        <v>7044578</v>
      </c>
      <c r="P214" s="259">
        <f>+O214-N214</f>
        <v>225500</v>
      </c>
      <c r="Q214" s="211"/>
      <c r="R214" s="211"/>
      <c r="S214" s="211"/>
      <c r="T214" s="211"/>
      <c r="U214" s="211"/>
      <c r="V214" s="211"/>
      <c r="W214" s="211"/>
      <c r="X214" s="252">
        <f>+X216-X224</f>
        <v>0</v>
      </c>
      <c r="Y214" s="211"/>
      <c r="Z214" s="211"/>
      <c r="AA214" s="211"/>
    </row>
    <row r="215" spans="2:35" s="204" customFormat="1" x14ac:dyDescent="0.25">
      <c r="B215" s="293"/>
      <c r="C215" s="293"/>
      <c r="D215" s="230"/>
      <c r="E215" s="230"/>
      <c r="F215" s="230"/>
      <c r="G215" s="230"/>
      <c r="H215" s="231"/>
      <c r="I215" s="230"/>
      <c r="J215" s="230"/>
      <c r="K215" s="230"/>
      <c r="L215" s="232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2:35" s="204" customFormat="1" x14ac:dyDescent="0.25">
      <c r="B216" s="246" t="s">
        <v>488</v>
      </c>
      <c r="C216" s="292" t="s">
        <v>489</v>
      </c>
      <c r="D216" s="247" t="s">
        <v>3176</v>
      </c>
      <c r="E216" s="247"/>
      <c r="F216" s="247"/>
      <c r="G216" s="247"/>
      <c r="H216" s="248"/>
      <c r="I216" s="247"/>
      <c r="J216" s="247"/>
      <c r="K216" s="249"/>
      <c r="L216" s="276" t="s">
        <v>492</v>
      </c>
      <c r="M216" s="251" t="s">
        <v>2962</v>
      </c>
      <c r="N216" s="252">
        <f>SUM(N219:N222)</f>
        <v>6819078</v>
      </c>
      <c r="O216" s="252">
        <f>SUM(O219:O222)</f>
        <v>7044578</v>
      </c>
      <c r="P216" s="259">
        <f>+O216-N216</f>
        <v>225500</v>
      </c>
      <c r="Q216" s="252">
        <f>SUM(Q219:Q222)</f>
        <v>0</v>
      </c>
      <c r="R216" s="252">
        <f>SUM(R219:R222)</f>
        <v>6819078</v>
      </c>
      <c r="S216" s="252">
        <f>SUM(S219:S222)</f>
        <v>0</v>
      </c>
      <c r="T216" s="252">
        <f>SUM(T219:T222)</f>
        <v>0</v>
      </c>
      <c r="U216" s="252">
        <f>SUM(U219:U222)</f>
        <v>0</v>
      </c>
      <c r="V216" s="211"/>
      <c r="W216" s="252">
        <f t="shared" ref="W216:AE216" si="24">SUM(W219:W222)</f>
        <v>0</v>
      </c>
      <c r="X216" s="252">
        <f t="shared" si="24"/>
        <v>0</v>
      </c>
      <c r="Y216" s="252">
        <f t="shared" si="24"/>
        <v>0</v>
      </c>
      <c r="Z216" s="252">
        <f t="shared" si="24"/>
        <v>0</v>
      </c>
      <c r="AA216" s="252">
        <f t="shared" si="24"/>
        <v>0</v>
      </c>
      <c r="AB216" s="252">
        <f t="shared" si="24"/>
        <v>225500</v>
      </c>
      <c r="AC216" s="252">
        <f t="shared" si="24"/>
        <v>0</v>
      </c>
      <c r="AD216" s="252">
        <f t="shared" si="24"/>
        <v>0</v>
      </c>
      <c r="AE216" s="252">
        <f t="shared" si="24"/>
        <v>0</v>
      </c>
    </row>
    <row r="217" spans="2:35" s="204" customFormat="1" x14ac:dyDescent="0.25">
      <c r="B217" s="293"/>
      <c r="C217" s="293"/>
      <c r="D217" s="230"/>
      <c r="E217" s="230"/>
      <c r="F217" s="230"/>
      <c r="G217" s="230"/>
      <c r="H217" s="231"/>
      <c r="I217" s="230"/>
      <c r="J217" s="230"/>
      <c r="K217" s="230"/>
      <c r="L217" s="277"/>
      <c r="M217" s="211"/>
      <c r="N217" s="254"/>
      <c r="O217" s="211"/>
      <c r="P217" s="211"/>
      <c r="Q217" s="211"/>
      <c r="R217" s="211"/>
      <c r="T217" s="211"/>
      <c r="U217" s="211"/>
      <c r="V217" s="211"/>
      <c r="W217" s="211"/>
      <c r="X217" s="211"/>
      <c r="Y217" s="211"/>
      <c r="Z217" s="211"/>
      <c r="AA217" s="211"/>
    </row>
    <row r="218" spans="2:35" s="204" customFormat="1" ht="63.75" x14ac:dyDescent="0.25">
      <c r="B218" s="294" t="s">
        <v>2968</v>
      </c>
      <c r="C218" s="294" t="s">
        <v>2969</v>
      </c>
      <c r="D218" s="206" t="s">
        <v>72</v>
      </c>
      <c r="E218" s="206"/>
      <c r="F218" s="206"/>
      <c r="G218" s="207"/>
      <c r="H218" s="207"/>
      <c r="I218" s="207"/>
      <c r="J218" s="207" t="s">
        <v>2957</v>
      </c>
      <c r="K218" s="206" t="s">
        <v>82</v>
      </c>
      <c r="L218" s="261" t="s">
        <v>2970</v>
      </c>
      <c r="M218" s="260"/>
      <c r="N218" s="256" t="str">
        <f>N$15</f>
        <v>Valore netto al 31/12/2019</v>
      </c>
      <c r="O218" s="256" t="str">
        <f>O$15</f>
        <v>Valore netto al 31/12/2020</v>
      </c>
      <c r="P218" s="256" t="str">
        <f>P$15</f>
        <v>Variazione</v>
      </c>
      <c r="Q218" s="262" t="s">
        <v>2971</v>
      </c>
      <c r="R218" s="262" t="str">
        <f>"Costo storico al 31/12/"&amp;Info!$B$3-1</f>
        <v>Costo storico al 31/12/2019</v>
      </c>
      <c r="S218" s="262" t="s">
        <v>2972</v>
      </c>
      <c r="T218" s="262" t="s">
        <v>2973</v>
      </c>
      <c r="U218" s="262" t="s">
        <v>2974</v>
      </c>
      <c r="W218" s="262" t="s">
        <v>2975</v>
      </c>
      <c r="X218" s="262" t="s">
        <v>2976</v>
      </c>
      <c r="Y218" s="262" t="s">
        <v>2977</v>
      </c>
      <c r="Z218" s="262" t="s">
        <v>2978</v>
      </c>
      <c r="AA218" s="262" t="s">
        <v>2979</v>
      </c>
      <c r="AB218" s="262" t="s">
        <v>2980</v>
      </c>
      <c r="AC218" s="262" t="s">
        <v>2981</v>
      </c>
      <c r="AD218" s="262" t="s">
        <v>2982</v>
      </c>
      <c r="AE218" s="262" t="s">
        <v>2983</v>
      </c>
    </row>
    <row r="219" spans="2:35" s="204" customFormat="1" x14ac:dyDescent="0.25">
      <c r="B219" s="246" t="s">
        <v>493</v>
      </c>
      <c r="C219" s="273" t="s">
        <v>494</v>
      </c>
      <c r="D219" s="274" t="s">
        <v>3177</v>
      </c>
      <c r="E219" s="264"/>
      <c r="F219" s="264"/>
      <c r="G219" s="265"/>
      <c r="H219" s="266"/>
      <c r="I219" s="281"/>
      <c r="J219" s="281"/>
      <c r="K219" s="281"/>
      <c r="L219" s="282" t="s">
        <v>3178</v>
      </c>
      <c r="M219" s="263" t="s">
        <v>2962</v>
      </c>
      <c r="N219" s="269">
        <f>+R219+T219-U219</f>
        <v>933000</v>
      </c>
      <c r="O219" s="270">
        <f>+N219+S219+X219+ABS(Y219)-ABS(AA219)+ABS(Z219)+ABS(AB219)+ABS(AD219)-ABS(AE219)+AC219+W219+Q219</f>
        <v>933000</v>
      </c>
      <c r="P219" s="271">
        <f>+O219-N219</f>
        <v>0</v>
      </c>
      <c r="Q219" s="272">
        <f>+'NI-San_SP'!Q219+'NI-Soc_SP'!Q219+'NI-Ric_SP'!Q219</f>
        <v>0</v>
      </c>
      <c r="R219" s="272">
        <f>+'NI-San_SP'!R219+'NI-Soc_SP'!R219+'NI-Ric_SP'!R219</f>
        <v>933000</v>
      </c>
      <c r="S219" s="272">
        <f>+'NI-San_SP'!S219+'NI-Soc_SP'!T219+'NI-Ric_SP'!T219</f>
        <v>0</v>
      </c>
      <c r="T219" s="272">
        <f>+'NI-San_SP'!T219+'NI-Soc_SP'!T219+'NI-Ric_SP'!T219</f>
        <v>0</v>
      </c>
      <c r="U219" s="272">
        <f>+'NI-San_SP'!U219+'NI-Soc_SP'!U219+'NI-Ric_SP'!U219</f>
        <v>0</v>
      </c>
      <c r="W219" s="272">
        <f>+'NI-San_SP'!W219+'NI-Soc_SP'!W219+'NI-Ric_SP'!W219</f>
        <v>0</v>
      </c>
      <c r="X219" s="272">
        <f>+'NI-San_SP'!X219+'NI-Soc_SP'!X219+'NI-Ric_SP'!X219</f>
        <v>0</v>
      </c>
      <c r="Y219" s="272">
        <f>+'NI-San_SP'!Y219+'NI-Soc_SP'!Y219+'NI-Ric_SP'!Y219</f>
        <v>0</v>
      </c>
      <c r="Z219" s="272">
        <f>+'NI-San_SP'!Z219+'NI-Soc_SP'!Z219+'NI-Ric_SP'!Z219</f>
        <v>0</v>
      </c>
      <c r="AA219" s="272">
        <f>+'NI-San_SP'!AA219+'NI-Soc_SP'!AA219+'NI-Ric_SP'!AA219</f>
        <v>0</v>
      </c>
      <c r="AB219" s="272">
        <f>+'NI-San_SP'!AB219+'NI-Soc_SP'!AB219+'NI-Ric_SP'!AB219</f>
        <v>0</v>
      </c>
      <c r="AC219" s="272">
        <f>+'NI-San_SP'!AC219+'NI-Soc_SP'!AC219+'NI-Ric_SP'!AC219</f>
        <v>0</v>
      </c>
      <c r="AD219" s="272">
        <f>+'NI-San_SP'!AD219+'NI-Soc_SP'!AD219+'NI-Ric_SP'!AD219</f>
        <v>0</v>
      </c>
      <c r="AE219" s="272">
        <f>+'NI-San_SP'!AE219+'NI-Soc_SP'!AE219+'NI-Ric_SP'!AE219</f>
        <v>0</v>
      </c>
    </row>
    <row r="220" spans="2:35" s="204" customFormat="1" x14ac:dyDescent="0.25">
      <c r="B220" s="246" t="s">
        <v>496</v>
      </c>
      <c r="C220" s="273" t="s">
        <v>497</v>
      </c>
      <c r="D220" s="274" t="s">
        <v>3179</v>
      </c>
      <c r="E220" s="264"/>
      <c r="F220" s="264"/>
      <c r="G220" s="265"/>
      <c r="H220" s="266"/>
      <c r="I220" s="281"/>
      <c r="J220" s="281"/>
      <c r="K220" s="281"/>
      <c r="L220" s="282" t="s">
        <v>3180</v>
      </c>
      <c r="M220" s="263" t="s">
        <v>2962</v>
      </c>
      <c r="N220" s="269">
        <f>+R220+T220-U220</f>
        <v>5886078</v>
      </c>
      <c r="O220" s="270">
        <f>+N220+S220+X220+ABS(Y220)-ABS(AA220)+ABS(Z220)+ABS(AB220)+ABS(AD220)-ABS(AE220)+AC220+W220+Q220</f>
        <v>6111578</v>
      </c>
      <c r="P220" s="271">
        <f>+O220-N220</f>
        <v>225500</v>
      </c>
      <c r="Q220" s="272">
        <f>+'NI-San_SP'!Q220+'NI-Soc_SP'!Q220+'NI-Ric_SP'!Q220</f>
        <v>0</v>
      </c>
      <c r="R220" s="272">
        <f>+'NI-San_SP'!R220+'NI-Soc_SP'!R220+'NI-Ric_SP'!R220</f>
        <v>5886078</v>
      </c>
      <c r="S220" s="272">
        <f>+'NI-San_SP'!S220+'NI-Soc_SP'!T220+'NI-Ric_SP'!T220</f>
        <v>0</v>
      </c>
      <c r="T220" s="272">
        <f>+'NI-San_SP'!T220+'NI-Soc_SP'!T220+'NI-Ric_SP'!T220</f>
        <v>0</v>
      </c>
      <c r="U220" s="272">
        <f>+'NI-San_SP'!U220+'NI-Soc_SP'!U220+'NI-Ric_SP'!U220</f>
        <v>0</v>
      </c>
      <c r="W220" s="272">
        <f>+'NI-San_SP'!W220+'NI-Soc_SP'!W220+'NI-Ric_SP'!W220</f>
        <v>0</v>
      </c>
      <c r="X220" s="272">
        <f>+'NI-San_SP'!X220+'NI-Soc_SP'!X220+'NI-Ric_SP'!X220</f>
        <v>0</v>
      </c>
      <c r="Y220" s="272">
        <f>+'NI-San_SP'!Y220+'NI-Soc_SP'!Y220+'NI-Ric_SP'!Y220</f>
        <v>0</v>
      </c>
      <c r="Z220" s="272">
        <f>+'NI-San_SP'!Z220+'NI-Soc_SP'!Z220+'NI-Ric_SP'!Z220</f>
        <v>0</v>
      </c>
      <c r="AA220" s="272">
        <f>+'NI-San_SP'!AA220+'NI-Soc_SP'!AA220+'NI-Ric_SP'!AA220</f>
        <v>0</v>
      </c>
      <c r="AB220" s="272">
        <f>+'NI-San_SP'!AB220+'NI-Soc_SP'!AB220+'NI-Ric_SP'!AB220</f>
        <v>225500</v>
      </c>
      <c r="AC220" s="272">
        <f>+'NI-San_SP'!AC220+'NI-Soc_SP'!AC220+'NI-Ric_SP'!AC220</f>
        <v>0</v>
      </c>
      <c r="AD220" s="272">
        <f>+'NI-San_SP'!AD220+'NI-Soc_SP'!AD220+'NI-Ric_SP'!AD220</f>
        <v>0</v>
      </c>
      <c r="AE220" s="272">
        <f>+'NI-San_SP'!AE220+'NI-Soc_SP'!AE220+'NI-Ric_SP'!AE220</f>
        <v>0</v>
      </c>
    </row>
    <row r="221" spans="2:35" s="204" customFormat="1" x14ac:dyDescent="0.25">
      <c r="B221" s="246" t="s">
        <v>499</v>
      </c>
      <c r="C221" s="273" t="s">
        <v>500</v>
      </c>
      <c r="D221" s="274" t="s">
        <v>3181</v>
      </c>
      <c r="E221" s="264"/>
      <c r="F221" s="274"/>
      <c r="G221" s="283"/>
      <c r="H221" s="266"/>
      <c r="I221" s="281"/>
      <c r="J221" s="281"/>
      <c r="K221" s="281"/>
      <c r="L221" s="295" t="s">
        <v>3182</v>
      </c>
      <c r="M221" s="284" t="s">
        <v>2962</v>
      </c>
      <c r="N221" s="269">
        <f>+R221+T221-U221</f>
        <v>0</v>
      </c>
      <c r="O221" s="270">
        <f>+N221+S221+X221+ABS(Y221)-ABS(AA221)+ABS(Z221)+ABS(AB221)+ABS(AD221)-ABS(AE221)+AC221+W221+Q221</f>
        <v>0</v>
      </c>
      <c r="P221" s="271">
        <f>+O221-N221</f>
        <v>0</v>
      </c>
      <c r="Q221" s="272">
        <f>+'NI-San_SP'!Q221+'NI-Soc_SP'!Q221+'NI-Ric_SP'!Q221</f>
        <v>0</v>
      </c>
      <c r="R221" s="272">
        <f>+'NI-San_SP'!R221+'NI-Soc_SP'!R221+'NI-Ric_SP'!R221</f>
        <v>0</v>
      </c>
      <c r="S221" s="272">
        <f>+'NI-San_SP'!S221+'NI-Soc_SP'!T221+'NI-Ric_SP'!T221</f>
        <v>0</v>
      </c>
      <c r="T221" s="272">
        <f>+'NI-San_SP'!T221+'NI-Soc_SP'!T221+'NI-Ric_SP'!T221</f>
        <v>0</v>
      </c>
      <c r="U221" s="272">
        <f>+'NI-San_SP'!U221+'NI-Soc_SP'!U221+'NI-Ric_SP'!U221</f>
        <v>0</v>
      </c>
      <c r="W221" s="272">
        <f>+'NI-San_SP'!W221+'NI-Soc_SP'!W221+'NI-Ric_SP'!W221</f>
        <v>0</v>
      </c>
      <c r="X221" s="272">
        <f>+'NI-San_SP'!X221+'NI-Soc_SP'!X221+'NI-Ric_SP'!X221</f>
        <v>0</v>
      </c>
      <c r="Y221" s="272">
        <f>+'NI-San_SP'!Y221+'NI-Soc_SP'!Y221+'NI-Ric_SP'!Y221</f>
        <v>0</v>
      </c>
      <c r="Z221" s="272">
        <f>+'NI-San_SP'!Z221+'NI-Soc_SP'!Z221+'NI-Ric_SP'!Z221</f>
        <v>0</v>
      </c>
      <c r="AA221" s="272">
        <f>+'NI-San_SP'!AA221+'NI-Soc_SP'!AA221+'NI-Ric_SP'!AA221</f>
        <v>0</v>
      </c>
      <c r="AB221" s="272">
        <f>+'NI-San_SP'!AB221+'NI-Soc_SP'!AB221+'NI-Ric_SP'!AB221</f>
        <v>0</v>
      </c>
      <c r="AC221" s="272">
        <f>+'NI-San_SP'!AC221+'NI-Soc_SP'!AC221+'NI-Ric_SP'!AC221</f>
        <v>0</v>
      </c>
      <c r="AD221" s="272">
        <f>+'NI-San_SP'!AD221+'NI-Soc_SP'!AD221+'NI-Ric_SP'!AD221</f>
        <v>0</v>
      </c>
      <c r="AE221" s="272">
        <f>+'NI-San_SP'!AE221+'NI-Soc_SP'!AE221+'NI-Ric_SP'!AE221</f>
        <v>0</v>
      </c>
    </row>
    <row r="222" spans="2:35" s="204" customFormat="1" x14ac:dyDescent="0.25">
      <c r="B222" s="246" t="s">
        <v>502</v>
      </c>
      <c r="C222" s="273" t="s">
        <v>503</v>
      </c>
      <c r="D222" s="274" t="s">
        <v>3183</v>
      </c>
      <c r="E222" s="264"/>
      <c r="F222" s="274"/>
      <c r="G222" s="283"/>
      <c r="H222" s="266"/>
      <c r="I222" s="281"/>
      <c r="J222" s="281"/>
      <c r="K222" s="281"/>
      <c r="L222" s="295" t="s">
        <v>3184</v>
      </c>
      <c r="M222" s="284" t="s">
        <v>2962</v>
      </c>
      <c r="N222" s="269">
        <f>+R222+T222-U222</f>
        <v>0</v>
      </c>
      <c r="O222" s="270">
        <f>+N222+S222+X222+ABS(Y222)-ABS(AA222)+ABS(Z222)+ABS(AB222)+ABS(AD222)-ABS(AE222)+AC222+W222+Q222</f>
        <v>0</v>
      </c>
      <c r="P222" s="271">
        <f>+O222-N222</f>
        <v>0</v>
      </c>
      <c r="Q222" s="272">
        <f>+'NI-San_SP'!Q222+'NI-Soc_SP'!Q222+'NI-Ric_SP'!Q222</f>
        <v>0</v>
      </c>
      <c r="R222" s="272">
        <f>+'NI-San_SP'!R222+'NI-Soc_SP'!R222+'NI-Ric_SP'!R222</f>
        <v>0</v>
      </c>
      <c r="S222" s="272">
        <f>+'NI-San_SP'!S222+'NI-Soc_SP'!T222+'NI-Ric_SP'!T222</f>
        <v>0</v>
      </c>
      <c r="T222" s="272">
        <f>+'NI-San_SP'!T222+'NI-Soc_SP'!T222+'NI-Ric_SP'!T222</f>
        <v>0</v>
      </c>
      <c r="U222" s="272">
        <f>+'NI-San_SP'!U222+'NI-Soc_SP'!U222+'NI-Ric_SP'!U222</f>
        <v>0</v>
      </c>
      <c r="W222" s="272">
        <f>+'NI-San_SP'!W222+'NI-Soc_SP'!W222+'NI-Ric_SP'!W222</f>
        <v>0</v>
      </c>
      <c r="X222" s="272">
        <f>+'NI-San_SP'!X222+'NI-Soc_SP'!X222+'NI-Ric_SP'!X222</f>
        <v>0</v>
      </c>
      <c r="Y222" s="272">
        <f>+'NI-San_SP'!Y222+'NI-Soc_SP'!Y222+'NI-Ric_SP'!Y222</f>
        <v>0</v>
      </c>
      <c r="Z222" s="272">
        <f>+'NI-San_SP'!Z222+'NI-Soc_SP'!Z222+'NI-Ric_SP'!Z222</f>
        <v>0</v>
      </c>
      <c r="AA222" s="272">
        <f>+'NI-San_SP'!AA222+'NI-Soc_SP'!AA222+'NI-Ric_SP'!AA222</f>
        <v>0</v>
      </c>
      <c r="AB222" s="272">
        <f>+'NI-San_SP'!AB222+'NI-Soc_SP'!AB222+'NI-Ric_SP'!AB222</f>
        <v>0</v>
      </c>
      <c r="AC222" s="272">
        <f>+'NI-San_SP'!AC222+'NI-Soc_SP'!AC222+'NI-Ric_SP'!AC222</f>
        <v>0</v>
      </c>
      <c r="AD222" s="272">
        <f>+'NI-San_SP'!AD222+'NI-Soc_SP'!AD222+'NI-Ric_SP'!AD222</f>
        <v>0</v>
      </c>
      <c r="AE222" s="272">
        <f>+'NI-San_SP'!AE222+'NI-Soc_SP'!AE222+'NI-Ric_SP'!AE222</f>
        <v>0</v>
      </c>
    </row>
    <row r="223" spans="2:35" s="204" customFormat="1" x14ac:dyDescent="0.25">
      <c r="B223" s="293"/>
      <c r="C223" s="293"/>
      <c r="D223" s="230"/>
      <c r="E223" s="230"/>
      <c r="F223" s="230"/>
      <c r="G223" s="230"/>
      <c r="H223" s="231"/>
      <c r="I223" s="230"/>
      <c r="J223" s="230"/>
      <c r="K223" s="230"/>
      <c r="L223" s="296"/>
      <c r="M223" s="240"/>
      <c r="N223" s="254"/>
      <c r="O223" s="211"/>
      <c r="P223" s="211"/>
      <c r="Q223" s="211"/>
      <c r="R223" s="211"/>
      <c r="S223" s="211"/>
      <c r="T223" s="240"/>
      <c r="U223" s="240"/>
      <c r="V223" s="240"/>
      <c r="W223" s="240"/>
      <c r="X223" s="240"/>
      <c r="Y223" s="240"/>
      <c r="Z223" s="240"/>
      <c r="AA223" s="240"/>
    </row>
    <row r="224" spans="2:35" s="204" customFormat="1" x14ac:dyDescent="0.25">
      <c r="B224" s="246" t="s">
        <v>505</v>
      </c>
      <c r="C224" s="292" t="s">
        <v>506</v>
      </c>
      <c r="D224" s="247" t="s">
        <v>3185</v>
      </c>
      <c r="E224" s="247"/>
      <c r="F224" s="247"/>
      <c r="G224" s="247"/>
      <c r="H224" s="248"/>
      <c r="I224" s="247"/>
      <c r="J224" s="247"/>
      <c r="K224" s="249"/>
      <c r="L224" s="276" t="s">
        <v>509</v>
      </c>
      <c r="M224" s="251" t="s">
        <v>2962</v>
      </c>
      <c r="N224" s="252">
        <f>SUM(N227:N230)</f>
        <v>0</v>
      </c>
      <c r="O224" s="252">
        <f>SUM(O227:O230)</f>
        <v>0</v>
      </c>
      <c r="P224" s="259">
        <f>+O224-N224</f>
        <v>0</v>
      </c>
      <c r="Q224" s="252">
        <f>SUM(Q227:Q230)</f>
        <v>0</v>
      </c>
      <c r="R224" s="252">
        <f>SUM(R227:R230)</f>
        <v>0</v>
      </c>
      <c r="S224" s="252">
        <f>SUM(S227:S230)</f>
        <v>0</v>
      </c>
      <c r="W224" s="252">
        <f>SUM(W227:W230)</f>
        <v>0</v>
      </c>
      <c r="X224" s="252">
        <f>SUM(X227:X230)</f>
        <v>0</v>
      </c>
      <c r="Y224" s="252">
        <f>SUM(Y227:Y230)</f>
        <v>0</v>
      </c>
      <c r="Z224" s="252">
        <f>SUM(Z227:Z230)</f>
        <v>0</v>
      </c>
      <c r="AA224" s="240"/>
    </row>
    <row r="225" spans="2:31" s="204" customFormat="1" x14ac:dyDescent="0.25">
      <c r="B225" s="293"/>
      <c r="C225" s="293"/>
      <c r="D225" s="230"/>
      <c r="E225" s="230"/>
      <c r="F225" s="230"/>
      <c r="G225" s="230"/>
      <c r="H225" s="231"/>
      <c r="I225" s="230"/>
      <c r="J225" s="230"/>
      <c r="K225" s="230"/>
      <c r="L225" s="277"/>
      <c r="M225" s="211"/>
      <c r="N225" s="254"/>
      <c r="O225" s="211"/>
      <c r="P225" s="211"/>
      <c r="Q225" s="211"/>
      <c r="R225" s="211"/>
      <c r="W225" s="240"/>
      <c r="X225" s="240"/>
      <c r="Y225" s="240"/>
      <c r="Z225" s="240"/>
      <c r="AA225" s="240"/>
    </row>
    <row r="226" spans="2:31" s="204" customFormat="1" ht="63.75" x14ac:dyDescent="0.25">
      <c r="B226" s="294" t="s">
        <v>2968</v>
      </c>
      <c r="C226" s="294" t="s">
        <v>2969</v>
      </c>
      <c r="D226" s="206" t="s">
        <v>72</v>
      </c>
      <c r="E226" s="206"/>
      <c r="F226" s="206"/>
      <c r="G226" s="207"/>
      <c r="H226" s="207"/>
      <c r="I226" s="207"/>
      <c r="J226" s="207" t="s">
        <v>2957</v>
      </c>
      <c r="K226" s="206" t="s">
        <v>82</v>
      </c>
      <c r="L226" s="261" t="s">
        <v>2970</v>
      </c>
      <c r="M226" s="260"/>
      <c r="N226" s="256" t="str">
        <f>N$15</f>
        <v>Valore netto al 31/12/2019</v>
      </c>
      <c r="O226" s="256" t="str">
        <f>O$15</f>
        <v>Valore netto al 31/12/2020</v>
      </c>
      <c r="P226" s="256" t="str">
        <f>P$15</f>
        <v>Variazione</v>
      </c>
      <c r="Q226" s="262" t="s">
        <v>2971</v>
      </c>
      <c r="R226" s="262" t="str">
        <f>"Fondo ammortamento 31/12/"&amp;Info!$B$3-1</f>
        <v>Fondo ammortamento 31/12/2019</v>
      </c>
      <c r="S226" s="262" t="s">
        <v>2972</v>
      </c>
      <c r="W226" s="262" t="s">
        <v>2975</v>
      </c>
      <c r="X226" s="262" t="s">
        <v>2976</v>
      </c>
      <c r="Y226" s="262" t="s">
        <v>2989</v>
      </c>
      <c r="Z226" s="262" t="s">
        <v>2990</v>
      </c>
      <c r="AA226" s="240"/>
    </row>
    <row r="227" spans="2:31" s="204" customFormat="1" x14ac:dyDescent="0.25">
      <c r="B227" s="246" t="s">
        <v>510</v>
      </c>
      <c r="C227" s="273" t="s">
        <v>511</v>
      </c>
      <c r="D227" s="264" t="s">
        <v>3186</v>
      </c>
      <c r="E227" s="264"/>
      <c r="F227" s="264"/>
      <c r="G227" s="265"/>
      <c r="H227" s="266"/>
      <c r="I227" s="281"/>
      <c r="J227" s="281"/>
      <c r="K227" s="281"/>
      <c r="L227" s="282" t="s">
        <v>3187</v>
      </c>
      <c r="M227" s="263" t="s">
        <v>2962</v>
      </c>
      <c r="N227" s="269">
        <f>+R227</f>
        <v>0</v>
      </c>
      <c r="O227" s="270">
        <f>+R227+S227+X227-ABS(Y227)+ABS(Z227)+W227+Q227</f>
        <v>0</v>
      </c>
      <c r="P227" s="271">
        <f>+O227-N227</f>
        <v>0</v>
      </c>
      <c r="Q227" s="272">
        <f>+'NI-San_SP'!Q227+'NI-Soc_SP'!Q227+'NI-Ric_SP'!Q227</f>
        <v>0</v>
      </c>
      <c r="R227" s="272">
        <f>+'NI-San_SP'!R227+'NI-Soc_SP'!R227+'NI-Ric_SP'!R227</f>
        <v>0</v>
      </c>
      <c r="S227" s="272">
        <f>+'NI-San_SP'!S227+'NI-Soc_SP'!S227+'NI-Ric_SP'!S227</f>
        <v>0</v>
      </c>
      <c r="V227" s="211"/>
      <c r="W227" s="272">
        <f>+'NI-San_SP'!W227+'NI-Soc_SP'!W227+'NI-Ric_SP'!W227</f>
        <v>0</v>
      </c>
      <c r="X227" s="272">
        <f>+'NI-San_SP'!X227+'NI-Soc_SP'!X227+'NI-Ric_SP'!X227</f>
        <v>0</v>
      </c>
      <c r="Y227" s="272">
        <f>+'NI-San_SP'!Y227+'NI-Soc_SP'!Y227+'NI-Ric_SP'!Y227</f>
        <v>0</v>
      </c>
      <c r="Z227" s="272">
        <f>+'NI-San_SP'!Z227+'NI-Soc_SP'!Z227+'NI-Ric_SP'!Z227</f>
        <v>0</v>
      </c>
      <c r="AA227" s="240"/>
    </row>
    <row r="228" spans="2:31" s="204" customFormat="1" x14ac:dyDescent="0.25">
      <c r="B228" s="246" t="s">
        <v>513</v>
      </c>
      <c r="C228" s="273" t="s">
        <v>514</v>
      </c>
      <c r="D228" s="264" t="s">
        <v>3188</v>
      </c>
      <c r="E228" s="264"/>
      <c r="F228" s="264"/>
      <c r="G228" s="265"/>
      <c r="H228" s="266"/>
      <c r="I228" s="281"/>
      <c r="J228" s="281"/>
      <c r="K228" s="281"/>
      <c r="L228" s="282" t="s">
        <v>3189</v>
      </c>
      <c r="M228" s="263" t="s">
        <v>2962</v>
      </c>
      <c r="N228" s="269">
        <f>+R228</f>
        <v>0</v>
      </c>
      <c r="O228" s="270">
        <f>+R228+S228+X228-ABS(Y228)+ABS(Z228)+W228+Q228</f>
        <v>0</v>
      </c>
      <c r="P228" s="271">
        <f>+O228-N228</f>
        <v>0</v>
      </c>
      <c r="Q228" s="272">
        <f>+'NI-San_SP'!Q228+'NI-Soc_SP'!Q228+'NI-Ric_SP'!Q228</f>
        <v>0</v>
      </c>
      <c r="R228" s="272">
        <f>+'NI-San_SP'!R228+'NI-Soc_SP'!R228+'NI-Ric_SP'!R228</f>
        <v>0</v>
      </c>
      <c r="S228" s="272">
        <f>+'NI-San_SP'!S228+'NI-Soc_SP'!S228+'NI-Ric_SP'!S228</f>
        <v>0</v>
      </c>
      <c r="V228" s="211"/>
      <c r="W228" s="272">
        <f>+'NI-San_SP'!W228+'NI-Soc_SP'!W228+'NI-Ric_SP'!W228</f>
        <v>0</v>
      </c>
      <c r="X228" s="272">
        <f>+'NI-San_SP'!X228+'NI-Soc_SP'!X228+'NI-Ric_SP'!X228</f>
        <v>0</v>
      </c>
      <c r="Y228" s="272">
        <f>+'NI-San_SP'!Y228+'NI-Soc_SP'!Y228+'NI-Ric_SP'!Y228</f>
        <v>0</v>
      </c>
      <c r="Z228" s="272">
        <f>+'NI-San_SP'!Z228+'NI-Soc_SP'!Z228+'NI-Ric_SP'!Z228</f>
        <v>0</v>
      </c>
      <c r="AA228" s="240"/>
    </row>
    <row r="229" spans="2:31" s="204" customFormat="1" x14ac:dyDescent="0.25">
      <c r="B229" s="246" t="s">
        <v>516</v>
      </c>
      <c r="C229" s="273" t="s">
        <v>517</v>
      </c>
      <c r="D229" s="264" t="s">
        <v>3190</v>
      </c>
      <c r="E229" s="264"/>
      <c r="F229" s="274"/>
      <c r="G229" s="283"/>
      <c r="H229" s="266"/>
      <c r="I229" s="281"/>
      <c r="J229" s="281"/>
      <c r="K229" s="281"/>
      <c r="L229" s="295" t="s">
        <v>3191</v>
      </c>
      <c r="M229" s="284" t="s">
        <v>2962</v>
      </c>
      <c r="N229" s="269">
        <f>+R229</f>
        <v>0</v>
      </c>
      <c r="O229" s="270">
        <f>+R229+S229+X229-ABS(Y229)+ABS(Z229)+W229+Q229</f>
        <v>0</v>
      </c>
      <c r="P229" s="271">
        <f>+O229-N229</f>
        <v>0</v>
      </c>
      <c r="Q229" s="272">
        <f>+'NI-San_SP'!Q229+'NI-Soc_SP'!Q229+'NI-Ric_SP'!Q229</f>
        <v>0</v>
      </c>
      <c r="R229" s="272">
        <f>+'NI-San_SP'!R229+'NI-Soc_SP'!R229+'NI-Ric_SP'!R229</f>
        <v>0</v>
      </c>
      <c r="S229" s="272">
        <f>+'NI-San_SP'!S229+'NI-Soc_SP'!S229+'NI-Ric_SP'!S229</f>
        <v>0</v>
      </c>
      <c r="V229" s="211"/>
      <c r="W229" s="272">
        <f>+'NI-San_SP'!W229+'NI-Soc_SP'!W229+'NI-Ric_SP'!W229</f>
        <v>0</v>
      </c>
      <c r="X229" s="272">
        <f>+'NI-San_SP'!X229+'NI-Soc_SP'!X229+'NI-Ric_SP'!X229</f>
        <v>0</v>
      </c>
      <c r="Y229" s="272">
        <f>+'NI-San_SP'!Y229+'NI-Soc_SP'!Y229+'NI-Ric_SP'!Y229</f>
        <v>0</v>
      </c>
      <c r="Z229" s="272">
        <f>+'NI-San_SP'!Z229+'NI-Soc_SP'!Z229+'NI-Ric_SP'!Z229</f>
        <v>0</v>
      </c>
      <c r="AA229" s="240"/>
    </row>
    <row r="230" spans="2:31" s="204" customFormat="1" x14ac:dyDescent="0.25">
      <c r="B230" s="246" t="s">
        <v>519</v>
      </c>
      <c r="C230" s="273" t="s">
        <v>520</v>
      </c>
      <c r="D230" s="264" t="s">
        <v>3192</v>
      </c>
      <c r="E230" s="264"/>
      <c r="F230" s="274"/>
      <c r="G230" s="283"/>
      <c r="H230" s="266"/>
      <c r="I230" s="281"/>
      <c r="J230" s="281"/>
      <c r="K230" s="281"/>
      <c r="L230" s="295" t="s">
        <v>3193</v>
      </c>
      <c r="M230" s="284" t="s">
        <v>2962</v>
      </c>
      <c r="N230" s="269">
        <f>+R230</f>
        <v>0</v>
      </c>
      <c r="O230" s="270">
        <f>+R230+S230+X230-ABS(Y230)+ABS(Z230)+W230+Q230</f>
        <v>0</v>
      </c>
      <c r="P230" s="271">
        <f>+O230-N230</f>
        <v>0</v>
      </c>
      <c r="Q230" s="272">
        <f>+'NI-San_SP'!Q230+'NI-Soc_SP'!Q230+'NI-Ric_SP'!Q230</f>
        <v>0</v>
      </c>
      <c r="R230" s="272">
        <f>+'NI-San_SP'!R230+'NI-Soc_SP'!R230+'NI-Ric_SP'!R230</f>
        <v>0</v>
      </c>
      <c r="S230" s="272">
        <f>+'NI-San_SP'!S230+'NI-Soc_SP'!S230+'NI-Ric_SP'!S230</f>
        <v>0</v>
      </c>
      <c r="V230" s="211"/>
      <c r="W230" s="272">
        <f>+'NI-San_SP'!W230+'NI-Soc_SP'!W230+'NI-Ric_SP'!W230</f>
        <v>0</v>
      </c>
      <c r="X230" s="272">
        <f>+'NI-San_SP'!X230+'NI-Soc_SP'!X230+'NI-Ric_SP'!X230</f>
        <v>0</v>
      </c>
      <c r="Y230" s="272">
        <f>+'NI-San_SP'!Y230+'NI-Soc_SP'!Y230+'NI-Ric_SP'!Y230</f>
        <v>0</v>
      </c>
      <c r="Z230" s="272">
        <f>+'NI-San_SP'!Z230+'NI-Soc_SP'!Z230+'NI-Ric_SP'!Z230</f>
        <v>0</v>
      </c>
      <c r="AA230" s="240"/>
    </row>
    <row r="231" spans="2:31" s="204" customFormat="1" x14ac:dyDescent="0.25">
      <c r="B231" s="293"/>
      <c r="C231" s="293"/>
      <c r="D231" s="230"/>
      <c r="E231" s="230"/>
      <c r="F231" s="230"/>
      <c r="G231" s="230"/>
      <c r="H231" s="231"/>
      <c r="I231" s="230"/>
      <c r="J231" s="230"/>
      <c r="K231" s="230"/>
      <c r="L231" s="275"/>
      <c r="M231" s="216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</row>
    <row r="232" spans="2:31" s="204" customFormat="1" x14ac:dyDescent="0.25">
      <c r="B232" s="246" t="s">
        <v>522</v>
      </c>
      <c r="C232" s="292" t="s">
        <v>523</v>
      </c>
      <c r="D232" s="247" t="s">
        <v>3194</v>
      </c>
      <c r="E232" s="247"/>
      <c r="F232" s="247"/>
      <c r="G232" s="247"/>
      <c r="H232" s="248"/>
      <c r="I232" s="247"/>
      <c r="J232" s="247"/>
      <c r="K232" s="249"/>
      <c r="L232" s="276" t="s">
        <v>525</v>
      </c>
      <c r="M232" s="251" t="s">
        <v>2962</v>
      </c>
      <c r="N232" s="252">
        <f>+N234-N242</f>
        <v>76384271</v>
      </c>
      <c r="O232" s="252">
        <f>+O234-O242</f>
        <v>71313824</v>
      </c>
      <c r="P232" s="259">
        <f>+O232-N232</f>
        <v>-5070447</v>
      </c>
      <c r="Q232" s="285"/>
      <c r="R232" s="285"/>
      <c r="S232" s="285"/>
      <c r="T232" s="285"/>
      <c r="U232" s="285"/>
      <c r="V232" s="285"/>
      <c r="W232" s="211"/>
      <c r="X232" s="252">
        <f>+X234-X242</f>
        <v>0</v>
      </c>
      <c r="Y232" s="285"/>
      <c r="Z232" s="285"/>
      <c r="AA232" s="285"/>
    </row>
    <row r="233" spans="2:31" s="204" customFormat="1" x14ac:dyDescent="0.25">
      <c r="B233" s="293"/>
      <c r="C233" s="293"/>
      <c r="D233" s="230"/>
      <c r="E233" s="230"/>
      <c r="F233" s="230"/>
      <c r="G233" s="230"/>
      <c r="H233" s="231"/>
      <c r="I233" s="230"/>
      <c r="J233" s="230"/>
      <c r="K233" s="230"/>
      <c r="L233" s="275"/>
      <c r="M233" s="216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</row>
    <row r="234" spans="2:31" s="204" customFormat="1" x14ac:dyDescent="0.25">
      <c r="B234" s="246" t="s">
        <v>526</v>
      </c>
      <c r="C234" s="292" t="s">
        <v>527</v>
      </c>
      <c r="D234" s="247" t="s">
        <v>3195</v>
      </c>
      <c r="E234" s="247"/>
      <c r="F234" s="247"/>
      <c r="G234" s="247"/>
      <c r="H234" s="248"/>
      <c r="I234" s="247"/>
      <c r="J234" s="247"/>
      <c r="K234" s="249"/>
      <c r="L234" s="276" t="s">
        <v>529</v>
      </c>
      <c r="M234" s="251" t="s">
        <v>2962</v>
      </c>
      <c r="N234" s="252">
        <f>SUM(N237:N240)</f>
        <v>159915632</v>
      </c>
      <c r="O234" s="252">
        <f>SUM(O237:O240)</f>
        <v>160851591</v>
      </c>
      <c r="P234" s="259">
        <f>+O234-N234</f>
        <v>935959</v>
      </c>
      <c r="Q234" s="252">
        <f>SUM(Q237:Q240)</f>
        <v>0</v>
      </c>
      <c r="R234" s="252">
        <f>SUM(R237:R240)</f>
        <v>159915632</v>
      </c>
      <c r="S234" s="252">
        <f>SUM(S237:S240)</f>
        <v>0</v>
      </c>
      <c r="T234" s="252">
        <f>SUM(T237:T240)</f>
        <v>0</v>
      </c>
      <c r="U234" s="252">
        <f>SUM(U237:U240)</f>
        <v>0</v>
      </c>
      <c r="W234" s="252">
        <f t="shared" ref="W234:AE234" si="25">SUM(W237:W240)</f>
        <v>0</v>
      </c>
      <c r="X234" s="252">
        <f t="shared" si="25"/>
        <v>0</v>
      </c>
      <c r="Y234" s="252">
        <f t="shared" si="25"/>
        <v>0</v>
      </c>
      <c r="Z234" s="252">
        <f t="shared" si="25"/>
        <v>0</v>
      </c>
      <c r="AA234" s="252">
        <f t="shared" si="25"/>
        <v>0</v>
      </c>
      <c r="AB234" s="252">
        <f t="shared" si="25"/>
        <v>4087</v>
      </c>
      <c r="AC234" s="252">
        <f t="shared" si="25"/>
        <v>0</v>
      </c>
      <c r="AD234" s="252">
        <f t="shared" si="25"/>
        <v>931872</v>
      </c>
      <c r="AE234" s="252">
        <f t="shared" si="25"/>
        <v>0</v>
      </c>
    </row>
    <row r="235" spans="2:31" s="204" customFormat="1" x14ac:dyDescent="0.25">
      <c r="B235" s="293"/>
      <c r="C235" s="293"/>
      <c r="D235" s="230"/>
      <c r="E235" s="230"/>
      <c r="F235" s="230"/>
      <c r="G235" s="230"/>
      <c r="H235" s="231"/>
      <c r="I235" s="230"/>
      <c r="J235" s="230"/>
      <c r="K235" s="230"/>
      <c r="L235" s="277"/>
      <c r="M235" s="211"/>
      <c r="N235" s="254"/>
      <c r="O235" s="211"/>
      <c r="P235" s="211"/>
      <c r="Q235" s="211"/>
      <c r="R235" s="211"/>
      <c r="T235" s="211"/>
      <c r="U235" s="211"/>
      <c r="V235" s="211"/>
      <c r="W235" s="211"/>
      <c r="X235" s="211"/>
      <c r="Y235" s="211"/>
      <c r="Z235" s="211"/>
      <c r="AA235" s="211"/>
    </row>
    <row r="236" spans="2:31" s="204" customFormat="1" ht="63.75" x14ac:dyDescent="0.25">
      <c r="B236" s="294" t="s">
        <v>2968</v>
      </c>
      <c r="C236" s="294" t="s">
        <v>2969</v>
      </c>
      <c r="D236" s="206" t="s">
        <v>72</v>
      </c>
      <c r="E236" s="206"/>
      <c r="F236" s="206"/>
      <c r="G236" s="207"/>
      <c r="H236" s="207"/>
      <c r="I236" s="207"/>
      <c r="J236" s="207" t="s">
        <v>2957</v>
      </c>
      <c r="K236" s="206" t="s">
        <v>82</v>
      </c>
      <c r="L236" s="261" t="s">
        <v>2970</v>
      </c>
      <c r="M236" s="260"/>
      <c r="N236" s="256" t="str">
        <f>N$15</f>
        <v>Valore netto al 31/12/2019</v>
      </c>
      <c r="O236" s="256" t="str">
        <f>O$15</f>
        <v>Valore netto al 31/12/2020</v>
      </c>
      <c r="P236" s="256" t="str">
        <f>P$15</f>
        <v>Variazione</v>
      </c>
      <c r="Q236" s="262" t="s">
        <v>2971</v>
      </c>
      <c r="R236" s="262" t="str">
        <f>"Costo storico al 31/12/"&amp;Info!$B$3-1</f>
        <v>Costo storico al 31/12/2019</v>
      </c>
      <c r="S236" s="262" t="s">
        <v>2972</v>
      </c>
      <c r="T236" s="262" t="s">
        <v>2973</v>
      </c>
      <c r="U236" s="262" t="s">
        <v>2974</v>
      </c>
      <c r="W236" s="262" t="s">
        <v>2975</v>
      </c>
      <c r="X236" s="262" t="s">
        <v>2976</v>
      </c>
      <c r="Y236" s="262" t="s">
        <v>2977</v>
      </c>
      <c r="Z236" s="262" t="s">
        <v>2978</v>
      </c>
      <c r="AA236" s="262" t="s">
        <v>2979</v>
      </c>
      <c r="AB236" s="262" t="s">
        <v>2980</v>
      </c>
      <c r="AC236" s="262" t="s">
        <v>2981</v>
      </c>
      <c r="AD236" s="262" t="s">
        <v>2982</v>
      </c>
      <c r="AE236" s="262" t="s">
        <v>2983</v>
      </c>
    </row>
    <row r="237" spans="2:31" s="204" customFormat="1" x14ac:dyDescent="0.25">
      <c r="B237" s="246" t="s">
        <v>530</v>
      </c>
      <c r="C237" s="273" t="s">
        <v>531</v>
      </c>
      <c r="D237" s="264" t="s">
        <v>3196</v>
      </c>
      <c r="E237" s="264"/>
      <c r="F237" s="264"/>
      <c r="G237" s="265"/>
      <c r="H237" s="266"/>
      <c r="I237" s="281"/>
      <c r="J237" s="281"/>
      <c r="K237" s="281"/>
      <c r="L237" s="295" t="s">
        <v>3197</v>
      </c>
      <c r="M237" s="284" t="s">
        <v>2962</v>
      </c>
      <c r="N237" s="269">
        <f>+R237+T237-U237</f>
        <v>45034152</v>
      </c>
      <c r="O237" s="270">
        <f>+N237+S237+X237+ABS(Y237)-ABS(AA237)+ABS(Z237)+ABS(AB237)+ABS(AD237)-ABS(AE237)+AC237+W237+Q237</f>
        <v>45034152</v>
      </c>
      <c r="P237" s="271">
        <f>+O237-N237</f>
        <v>0</v>
      </c>
      <c r="Q237" s="272">
        <f>+'NI-San_SP'!Q237+'NI-Soc_SP'!Q237+'NI-Ric_SP'!Q237</f>
        <v>0</v>
      </c>
      <c r="R237" s="272">
        <f>+'NI-San_SP'!R237+'NI-Soc_SP'!R237+'NI-Ric_SP'!R237</f>
        <v>45034152</v>
      </c>
      <c r="S237" s="272">
        <f>+'NI-San_SP'!S237+'NI-Soc_SP'!T237+'NI-Ric_SP'!T237</f>
        <v>0</v>
      </c>
      <c r="T237" s="272">
        <f>+'NI-San_SP'!T237+'NI-Soc_SP'!T237+'NI-Ric_SP'!T237</f>
        <v>0</v>
      </c>
      <c r="U237" s="272">
        <f>+'NI-San_SP'!U237+'NI-Soc_SP'!U237+'NI-Ric_SP'!U237</f>
        <v>0</v>
      </c>
      <c r="W237" s="272">
        <f>+'NI-San_SP'!W237+'NI-Soc_SP'!W237+'NI-Ric_SP'!W237</f>
        <v>0</v>
      </c>
      <c r="X237" s="272">
        <f>+'NI-San_SP'!X237+'NI-Soc_SP'!X237+'NI-Ric_SP'!X237</f>
        <v>0</v>
      </c>
      <c r="Y237" s="272">
        <f>+'NI-San_SP'!Y237+'NI-Soc_SP'!Y237+'NI-Ric_SP'!Y237</f>
        <v>0</v>
      </c>
      <c r="Z237" s="272">
        <f>+'NI-San_SP'!Z237+'NI-Soc_SP'!Z237+'NI-Ric_SP'!Z237</f>
        <v>0</v>
      </c>
      <c r="AA237" s="272">
        <f>+'NI-San_SP'!AA237+'NI-Soc_SP'!AA237+'NI-Ric_SP'!AA237</f>
        <v>0</v>
      </c>
      <c r="AB237" s="272">
        <f>+'NI-San_SP'!AB237+'NI-Soc_SP'!AB237+'NI-Ric_SP'!AB237</f>
        <v>0</v>
      </c>
      <c r="AC237" s="272">
        <f>+'NI-San_SP'!AC237+'NI-Soc_SP'!AC237+'NI-Ric_SP'!AC237</f>
        <v>0</v>
      </c>
      <c r="AD237" s="272">
        <f>+'NI-San_SP'!AD237+'NI-Soc_SP'!AD237+'NI-Ric_SP'!AD237</f>
        <v>0</v>
      </c>
      <c r="AE237" s="272">
        <f>+'NI-San_SP'!AE237+'NI-Soc_SP'!AE237+'NI-Ric_SP'!AE237</f>
        <v>0</v>
      </c>
    </row>
    <row r="238" spans="2:31" s="204" customFormat="1" x14ac:dyDescent="0.25">
      <c r="B238" s="246" t="s">
        <v>533</v>
      </c>
      <c r="C238" s="273" t="s">
        <v>534</v>
      </c>
      <c r="D238" s="264" t="s">
        <v>3198</v>
      </c>
      <c r="E238" s="264"/>
      <c r="F238" s="264"/>
      <c r="G238" s="265"/>
      <c r="H238" s="266"/>
      <c r="I238" s="281"/>
      <c r="J238" s="281"/>
      <c r="K238" s="281"/>
      <c r="L238" s="295" t="s">
        <v>3199</v>
      </c>
      <c r="M238" s="284" t="s">
        <v>2962</v>
      </c>
      <c r="N238" s="269">
        <f>+R238+T238-U238</f>
        <v>114831536</v>
      </c>
      <c r="O238" s="270">
        <f>+N238+S238+X238+ABS(Y238)-ABS(AA238)+ABS(Z238)+ABS(AB238)+ABS(AD238)-ABS(AE238)+AC238+W238+Q238</f>
        <v>115763408</v>
      </c>
      <c r="P238" s="271">
        <f>+O238-N238</f>
        <v>931872</v>
      </c>
      <c r="Q238" s="272">
        <f>+'NI-San_SP'!Q238+'NI-Soc_SP'!Q238+'NI-Ric_SP'!Q238</f>
        <v>0</v>
      </c>
      <c r="R238" s="272">
        <f>+'NI-San_SP'!R238+'NI-Soc_SP'!R238+'NI-Ric_SP'!R238</f>
        <v>114831536</v>
      </c>
      <c r="S238" s="272">
        <f>+'NI-San_SP'!S238+'NI-Soc_SP'!T238+'NI-Ric_SP'!T238</f>
        <v>0</v>
      </c>
      <c r="T238" s="272">
        <f>+'NI-San_SP'!T238+'NI-Soc_SP'!T238+'NI-Ric_SP'!T238</f>
        <v>0</v>
      </c>
      <c r="U238" s="272">
        <f>+'NI-San_SP'!U238+'NI-Soc_SP'!U238+'NI-Ric_SP'!U238</f>
        <v>0</v>
      </c>
      <c r="W238" s="272">
        <f>+'NI-San_SP'!W238+'NI-Soc_SP'!W238+'NI-Ric_SP'!W238</f>
        <v>0</v>
      </c>
      <c r="X238" s="272">
        <f>+'NI-San_SP'!X238+'NI-Soc_SP'!X238+'NI-Ric_SP'!X238</f>
        <v>0</v>
      </c>
      <c r="Y238" s="272">
        <f>+'NI-San_SP'!Y238+'NI-Soc_SP'!Y238+'NI-Ric_SP'!Y238</f>
        <v>0</v>
      </c>
      <c r="Z238" s="272">
        <f>+'NI-San_SP'!Z238+'NI-Soc_SP'!Z238+'NI-Ric_SP'!Z238</f>
        <v>0</v>
      </c>
      <c r="AA238" s="272">
        <f>+'NI-San_SP'!AA238+'NI-Soc_SP'!AA238+'NI-Ric_SP'!AA238</f>
        <v>0</v>
      </c>
      <c r="AB238" s="272">
        <f>+'NI-San_SP'!AB238+'NI-Soc_SP'!AB238+'NI-Ric_SP'!AB238</f>
        <v>0</v>
      </c>
      <c r="AC238" s="272">
        <f>+'NI-San_SP'!AC238+'NI-Soc_SP'!AC238+'NI-Ric_SP'!AC238</f>
        <v>0</v>
      </c>
      <c r="AD238" s="272">
        <f>+'NI-San_SP'!AD238+'NI-Soc_SP'!AD238+'NI-Ric_SP'!AD238</f>
        <v>931872</v>
      </c>
      <c r="AE238" s="272">
        <f>+'NI-San_SP'!AE238+'NI-Soc_SP'!AE238+'NI-Ric_SP'!AE238</f>
        <v>0</v>
      </c>
    </row>
    <row r="239" spans="2:31" s="204" customFormat="1" x14ac:dyDescent="0.25">
      <c r="B239" s="246" t="s">
        <v>536</v>
      </c>
      <c r="C239" s="273" t="s">
        <v>537</v>
      </c>
      <c r="D239" s="264" t="s">
        <v>3200</v>
      </c>
      <c r="E239" s="264"/>
      <c r="F239" s="274"/>
      <c r="G239" s="283"/>
      <c r="H239" s="266"/>
      <c r="I239" s="281"/>
      <c r="J239" s="281"/>
      <c r="K239" s="281"/>
      <c r="L239" s="295" t="s">
        <v>3201</v>
      </c>
      <c r="M239" s="284" t="s">
        <v>2962</v>
      </c>
      <c r="N239" s="269">
        <f>+R239+T239-U239</f>
        <v>42406</v>
      </c>
      <c r="O239" s="270">
        <f>+N239+S239+X239+ABS(Y239)-ABS(AA239)+ABS(Z239)+ABS(AB239)+ABS(AD239)-ABS(AE239)+AC239+W239+Q239</f>
        <v>42406</v>
      </c>
      <c r="P239" s="271">
        <f>+O239-N239</f>
        <v>0</v>
      </c>
      <c r="Q239" s="272">
        <f>+'NI-San_SP'!Q239+'NI-Soc_SP'!Q239+'NI-Ric_SP'!Q239</f>
        <v>0</v>
      </c>
      <c r="R239" s="272">
        <f>+'NI-San_SP'!R239+'NI-Soc_SP'!R239+'NI-Ric_SP'!R239</f>
        <v>42406</v>
      </c>
      <c r="S239" s="272">
        <f>+'NI-San_SP'!S239+'NI-Soc_SP'!T239+'NI-Ric_SP'!T239</f>
        <v>0</v>
      </c>
      <c r="T239" s="272">
        <f>+'NI-San_SP'!T239+'NI-Soc_SP'!T239+'NI-Ric_SP'!T239</f>
        <v>0</v>
      </c>
      <c r="U239" s="272">
        <f>+'NI-San_SP'!U239+'NI-Soc_SP'!U239+'NI-Ric_SP'!U239</f>
        <v>0</v>
      </c>
      <c r="W239" s="272">
        <f>+'NI-San_SP'!W239+'NI-Soc_SP'!W239+'NI-Ric_SP'!W239</f>
        <v>0</v>
      </c>
      <c r="X239" s="272">
        <f>+'NI-San_SP'!X239+'NI-Soc_SP'!X239+'NI-Ric_SP'!X239</f>
        <v>0</v>
      </c>
      <c r="Y239" s="272">
        <f>+'NI-San_SP'!Y239+'NI-Soc_SP'!Y239+'NI-Ric_SP'!Y239</f>
        <v>0</v>
      </c>
      <c r="Z239" s="272">
        <f>+'NI-San_SP'!Z239+'NI-Soc_SP'!Z239+'NI-Ric_SP'!Z239</f>
        <v>0</v>
      </c>
      <c r="AA239" s="272">
        <f>+'NI-San_SP'!AA239+'NI-Soc_SP'!AA239+'NI-Ric_SP'!AA239</f>
        <v>0</v>
      </c>
      <c r="AB239" s="272">
        <f>+'NI-San_SP'!AB239+'NI-Soc_SP'!AB239+'NI-Ric_SP'!AB239</f>
        <v>0</v>
      </c>
      <c r="AC239" s="272">
        <f>+'NI-San_SP'!AC239+'NI-Soc_SP'!AC239+'NI-Ric_SP'!AC239</f>
        <v>0</v>
      </c>
      <c r="AD239" s="272">
        <f>+'NI-San_SP'!AD239+'NI-Soc_SP'!AD239+'NI-Ric_SP'!AD239</f>
        <v>0</v>
      </c>
      <c r="AE239" s="272">
        <f>+'NI-San_SP'!AE239+'NI-Soc_SP'!AE239+'NI-Ric_SP'!AE239</f>
        <v>0</v>
      </c>
    </row>
    <row r="240" spans="2:31" s="204" customFormat="1" x14ac:dyDescent="0.25">
      <c r="B240" s="246" t="s">
        <v>539</v>
      </c>
      <c r="C240" s="273" t="s">
        <v>540</v>
      </c>
      <c r="D240" s="264" t="s">
        <v>3202</v>
      </c>
      <c r="E240" s="264"/>
      <c r="F240" s="274"/>
      <c r="G240" s="283"/>
      <c r="H240" s="266"/>
      <c r="I240" s="281"/>
      <c r="J240" s="281"/>
      <c r="K240" s="281"/>
      <c r="L240" s="295" t="s">
        <v>3203</v>
      </c>
      <c r="M240" s="284" t="s">
        <v>2962</v>
      </c>
      <c r="N240" s="269">
        <f>+R240+T240-U240</f>
        <v>7538</v>
      </c>
      <c r="O240" s="270">
        <f>+N240+S240+X240+ABS(Y240)-ABS(AA240)+ABS(Z240)+ABS(AB240)+ABS(AD240)-ABS(AE240)+AC240+W240+Q240</f>
        <v>11625</v>
      </c>
      <c r="P240" s="271">
        <f>+O240-N240</f>
        <v>4087</v>
      </c>
      <c r="Q240" s="272">
        <f>+'NI-San_SP'!Q240+'NI-Soc_SP'!Q240+'NI-Ric_SP'!Q240</f>
        <v>0</v>
      </c>
      <c r="R240" s="272">
        <f>+'NI-San_SP'!R240+'NI-Soc_SP'!R240+'NI-Ric_SP'!R240</f>
        <v>7538</v>
      </c>
      <c r="S240" s="272">
        <f>+'NI-San_SP'!S240+'NI-Soc_SP'!T240+'NI-Ric_SP'!T240</f>
        <v>0</v>
      </c>
      <c r="T240" s="272">
        <f>+'NI-San_SP'!T240+'NI-Soc_SP'!T240+'NI-Ric_SP'!T240</f>
        <v>0</v>
      </c>
      <c r="U240" s="272">
        <f>+'NI-San_SP'!U240+'NI-Soc_SP'!U240+'NI-Ric_SP'!U240</f>
        <v>0</v>
      </c>
      <c r="W240" s="272">
        <f>+'NI-San_SP'!W240+'NI-Soc_SP'!W240+'NI-Ric_SP'!W240</f>
        <v>0</v>
      </c>
      <c r="X240" s="272">
        <f>+'NI-San_SP'!X240+'NI-Soc_SP'!X240+'NI-Ric_SP'!X240</f>
        <v>0</v>
      </c>
      <c r="Y240" s="272">
        <f>+'NI-San_SP'!Y240+'NI-Soc_SP'!Y240+'NI-Ric_SP'!Y240</f>
        <v>0</v>
      </c>
      <c r="Z240" s="272">
        <f>+'NI-San_SP'!Z240+'NI-Soc_SP'!Z240+'NI-Ric_SP'!Z240</f>
        <v>0</v>
      </c>
      <c r="AA240" s="272">
        <f>+'NI-San_SP'!AA240+'NI-Soc_SP'!AA240+'NI-Ric_SP'!AA240</f>
        <v>0</v>
      </c>
      <c r="AB240" s="272">
        <f>+'NI-San_SP'!AB240+'NI-Soc_SP'!AB240+'NI-Ric_SP'!AB240</f>
        <v>4087</v>
      </c>
      <c r="AC240" s="272">
        <f>+'NI-San_SP'!AC240+'NI-Soc_SP'!AC240+'NI-Ric_SP'!AC240</f>
        <v>0</v>
      </c>
      <c r="AD240" s="272">
        <f>+'NI-San_SP'!AD240+'NI-Soc_SP'!AD240+'NI-Ric_SP'!AD240</f>
        <v>0</v>
      </c>
      <c r="AE240" s="272">
        <f>+'NI-San_SP'!AE240+'NI-Soc_SP'!AE240+'NI-Ric_SP'!AE240</f>
        <v>0</v>
      </c>
    </row>
    <row r="241" spans="2:31" s="204" customFormat="1" x14ac:dyDescent="0.25">
      <c r="B241" s="293"/>
      <c r="C241" s="293"/>
      <c r="D241" s="230"/>
      <c r="E241" s="230"/>
      <c r="F241" s="230"/>
      <c r="G241" s="230"/>
      <c r="H241" s="231"/>
      <c r="I241" s="230"/>
      <c r="J241" s="230"/>
      <c r="K241" s="230"/>
      <c r="L241" s="296"/>
      <c r="M241" s="240"/>
      <c r="N241" s="254"/>
      <c r="O241" s="211"/>
      <c r="P241" s="211"/>
      <c r="Q241" s="211"/>
      <c r="R241" s="211"/>
      <c r="S241" s="211"/>
      <c r="T241" s="240"/>
      <c r="U241" s="240"/>
      <c r="V241" s="240"/>
      <c r="W241" s="240"/>
      <c r="X241" s="240"/>
      <c r="Y241" s="240"/>
      <c r="Z241" s="240"/>
      <c r="AA241" s="240"/>
    </row>
    <row r="242" spans="2:31" s="204" customFormat="1" x14ac:dyDescent="0.25">
      <c r="B242" s="246" t="s">
        <v>542</v>
      </c>
      <c r="C242" s="292" t="s">
        <v>543</v>
      </c>
      <c r="D242" s="247" t="s">
        <v>3204</v>
      </c>
      <c r="E242" s="247"/>
      <c r="F242" s="247"/>
      <c r="G242" s="247"/>
      <c r="H242" s="248"/>
      <c r="I242" s="247"/>
      <c r="J242" s="247"/>
      <c r="K242" s="249"/>
      <c r="L242" s="276" t="s">
        <v>545</v>
      </c>
      <c r="M242" s="251" t="s">
        <v>2962</v>
      </c>
      <c r="N242" s="252">
        <f>SUM(N245:N248)</f>
        <v>83531361</v>
      </c>
      <c r="O242" s="252">
        <f>SUM(O245:O248)</f>
        <v>89537767</v>
      </c>
      <c r="P242" s="259">
        <f>+O242-N242</f>
        <v>6006406</v>
      </c>
      <c r="Q242" s="252">
        <f>SUM(Q245:Q248)</f>
        <v>0</v>
      </c>
      <c r="R242" s="252">
        <f>SUM(R245:R248)</f>
        <v>83531361</v>
      </c>
      <c r="S242" s="252">
        <f>SUM(S245:S248)</f>
        <v>0</v>
      </c>
      <c r="T242" s="211"/>
      <c r="U242" s="211"/>
      <c r="V242" s="211"/>
      <c r="W242" s="252">
        <f>SUM(W245:W248)</f>
        <v>0</v>
      </c>
      <c r="X242" s="252">
        <f>SUM(X245:X248)</f>
        <v>0</v>
      </c>
      <c r="Y242" s="252">
        <f>SUM(Y245:Y248)</f>
        <v>0</v>
      </c>
      <c r="Z242" s="252">
        <f>SUM(Z245:Z248)</f>
        <v>6006406</v>
      </c>
      <c r="AA242" s="240"/>
    </row>
    <row r="243" spans="2:31" s="204" customFormat="1" x14ac:dyDescent="0.25">
      <c r="B243" s="293"/>
      <c r="C243" s="293"/>
      <c r="D243" s="230"/>
      <c r="E243" s="230"/>
      <c r="F243" s="230"/>
      <c r="G243" s="230"/>
      <c r="H243" s="231"/>
      <c r="I243" s="230"/>
      <c r="J243" s="230"/>
      <c r="K243" s="230"/>
      <c r="L243" s="277"/>
      <c r="M243" s="211"/>
      <c r="N243" s="254"/>
      <c r="O243" s="211"/>
      <c r="P243" s="211"/>
      <c r="Q243" s="211"/>
      <c r="R243" s="211"/>
      <c r="S243" s="211"/>
      <c r="T243" s="211"/>
      <c r="U243" s="211"/>
      <c r="V243" s="211"/>
      <c r="W243" s="240"/>
      <c r="X243" s="240"/>
      <c r="Y243" s="240"/>
      <c r="Z243" s="240"/>
      <c r="AA243" s="240"/>
    </row>
    <row r="244" spans="2:31" s="204" customFormat="1" ht="63.75" x14ac:dyDescent="0.25">
      <c r="B244" s="294" t="s">
        <v>2968</v>
      </c>
      <c r="C244" s="294" t="s">
        <v>2969</v>
      </c>
      <c r="D244" s="206" t="s">
        <v>72</v>
      </c>
      <c r="E244" s="206"/>
      <c r="F244" s="206"/>
      <c r="G244" s="207"/>
      <c r="H244" s="207"/>
      <c r="I244" s="207"/>
      <c r="J244" s="207" t="s">
        <v>2957</v>
      </c>
      <c r="K244" s="206" t="s">
        <v>82</v>
      </c>
      <c r="L244" s="261" t="s">
        <v>2970</v>
      </c>
      <c r="M244" s="260"/>
      <c r="N244" s="256" t="str">
        <f>N$15</f>
        <v>Valore netto al 31/12/2019</v>
      </c>
      <c r="O244" s="256" t="str">
        <f>O$15</f>
        <v>Valore netto al 31/12/2020</v>
      </c>
      <c r="P244" s="256" t="str">
        <f>P$15</f>
        <v>Variazione</v>
      </c>
      <c r="Q244" s="262" t="s">
        <v>2971</v>
      </c>
      <c r="R244" s="262" t="str">
        <f>"Fondo ammortamento 31/12/"&amp;Info!$B$3-1</f>
        <v>Fondo ammortamento 31/12/2019</v>
      </c>
      <c r="S244" s="262" t="s">
        <v>2972</v>
      </c>
      <c r="W244" s="262" t="s">
        <v>2975</v>
      </c>
      <c r="X244" s="262" t="s">
        <v>2976</v>
      </c>
      <c r="Y244" s="262" t="s">
        <v>2989</v>
      </c>
      <c r="Z244" s="262" t="s">
        <v>2990</v>
      </c>
      <c r="AA244" s="240"/>
    </row>
    <row r="245" spans="2:31" s="204" customFormat="1" ht="25.5" x14ac:dyDescent="0.25">
      <c r="B245" s="246" t="s">
        <v>546</v>
      </c>
      <c r="C245" s="273" t="s">
        <v>547</v>
      </c>
      <c r="D245" s="264" t="s">
        <v>3205</v>
      </c>
      <c r="E245" s="264"/>
      <c r="F245" s="264"/>
      <c r="G245" s="265"/>
      <c r="H245" s="266"/>
      <c r="I245" s="281"/>
      <c r="J245" s="281"/>
      <c r="K245" s="281"/>
      <c r="L245" s="295" t="s">
        <v>3206</v>
      </c>
      <c r="M245" s="284" t="s">
        <v>2962</v>
      </c>
      <c r="N245" s="269">
        <f>+R245</f>
        <v>18880695</v>
      </c>
      <c r="O245" s="270">
        <f>+R245+S245+X245-ABS(Y245)+ABS(Z245)+W245+Q245</f>
        <v>20781405</v>
      </c>
      <c r="P245" s="271">
        <f>+O245-N245</f>
        <v>1900710</v>
      </c>
      <c r="Q245" s="272">
        <f>+'NI-San_SP'!Q245+'NI-Soc_SP'!Q245+'NI-Ric_SP'!Q245</f>
        <v>0</v>
      </c>
      <c r="R245" s="272">
        <f>+'NI-San_SP'!R245+'NI-Soc_SP'!R245+'NI-Ric_SP'!R245</f>
        <v>18880695</v>
      </c>
      <c r="S245" s="272">
        <f>+'NI-San_SP'!S245+'NI-Soc_SP'!S245+'NI-Ric_SP'!S245</f>
        <v>0</v>
      </c>
      <c r="V245" s="211"/>
      <c r="W245" s="272">
        <f>+'NI-San_SP'!W245+'NI-Soc_SP'!W245+'NI-Ric_SP'!W245</f>
        <v>0</v>
      </c>
      <c r="X245" s="272">
        <f>+'NI-San_SP'!X245+'NI-Soc_SP'!X245+'NI-Ric_SP'!X245</f>
        <v>0</v>
      </c>
      <c r="Y245" s="272">
        <f>+'NI-San_SP'!Y245+'NI-Soc_SP'!Y245+'NI-Ric_SP'!Y245</f>
        <v>0</v>
      </c>
      <c r="Z245" s="272">
        <f>+'NI-San_SP'!Z245+'NI-Soc_SP'!Z245+'NI-Ric_SP'!Z245</f>
        <v>1900710</v>
      </c>
      <c r="AA245" s="240"/>
    </row>
    <row r="246" spans="2:31" s="204" customFormat="1" x14ac:dyDescent="0.25">
      <c r="B246" s="246" t="s">
        <v>549</v>
      </c>
      <c r="C246" s="273" t="s">
        <v>550</v>
      </c>
      <c r="D246" s="264" t="s">
        <v>3207</v>
      </c>
      <c r="E246" s="264"/>
      <c r="F246" s="264"/>
      <c r="G246" s="265"/>
      <c r="H246" s="266"/>
      <c r="I246" s="281"/>
      <c r="J246" s="281"/>
      <c r="K246" s="281"/>
      <c r="L246" s="295" t="s">
        <v>3208</v>
      </c>
      <c r="M246" s="284" t="s">
        <v>2962</v>
      </c>
      <c r="N246" s="269">
        <f>+R246</f>
        <v>64606002</v>
      </c>
      <c r="O246" s="270">
        <f>+R246+S246+X246-ABS(Y246)+ABS(Z246)+W246+Q246</f>
        <v>68709977</v>
      </c>
      <c r="P246" s="271">
        <f>+O246-N246</f>
        <v>4103975</v>
      </c>
      <c r="Q246" s="272">
        <f>+'NI-San_SP'!Q246+'NI-Soc_SP'!Q246+'NI-Ric_SP'!Q246</f>
        <v>0</v>
      </c>
      <c r="R246" s="272">
        <f>+'NI-San_SP'!R246+'NI-Soc_SP'!R246+'NI-Ric_SP'!R246</f>
        <v>64606002</v>
      </c>
      <c r="S246" s="272">
        <f>+'NI-San_SP'!S246+'NI-Soc_SP'!S246+'NI-Ric_SP'!S246</f>
        <v>0</v>
      </c>
      <c r="V246" s="211"/>
      <c r="W246" s="272">
        <f>+'NI-San_SP'!W246+'NI-Soc_SP'!W246+'NI-Ric_SP'!W246</f>
        <v>0</v>
      </c>
      <c r="X246" s="272">
        <f>+'NI-San_SP'!X246+'NI-Soc_SP'!X246+'NI-Ric_SP'!X246</f>
        <v>0</v>
      </c>
      <c r="Y246" s="272">
        <f>+'NI-San_SP'!Y246+'NI-Soc_SP'!Y246+'NI-Ric_SP'!Y246</f>
        <v>0</v>
      </c>
      <c r="Z246" s="272">
        <f>+'NI-San_SP'!Z246+'NI-Soc_SP'!Z246+'NI-Ric_SP'!Z246</f>
        <v>4103975</v>
      </c>
      <c r="AA246" s="240"/>
    </row>
    <row r="247" spans="2:31" s="204" customFormat="1" ht="25.5" x14ac:dyDescent="0.25">
      <c r="B247" s="246" t="s">
        <v>552</v>
      </c>
      <c r="C247" s="273" t="s">
        <v>553</v>
      </c>
      <c r="D247" s="264" t="s">
        <v>3209</v>
      </c>
      <c r="E247" s="264"/>
      <c r="F247" s="274"/>
      <c r="G247" s="283"/>
      <c r="H247" s="266"/>
      <c r="I247" s="281"/>
      <c r="J247" s="281"/>
      <c r="K247" s="281"/>
      <c r="L247" s="295" t="s">
        <v>3210</v>
      </c>
      <c r="M247" s="284" t="s">
        <v>2962</v>
      </c>
      <c r="N247" s="269">
        <f>+R247</f>
        <v>39638</v>
      </c>
      <c r="O247" s="270">
        <f>+R247+S247+X247-ABS(Y247)+ABS(Z247)+W247+Q247</f>
        <v>40469</v>
      </c>
      <c r="P247" s="271">
        <f>+O247-N247</f>
        <v>831</v>
      </c>
      <c r="Q247" s="272">
        <f>+'NI-San_SP'!Q247+'NI-Soc_SP'!Q247+'NI-Ric_SP'!Q247</f>
        <v>0</v>
      </c>
      <c r="R247" s="272">
        <f>+'NI-San_SP'!R247+'NI-Soc_SP'!R247+'NI-Ric_SP'!R247</f>
        <v>39638</v>
      </c>
      <c r="S247" s="272">
        <f>+'NI-San_SP'!S247+'NI-Soc_SP'!S247+'NI-Ric_SP'!S247</f>
        <v>0</v>
      </c>
      <c r="V247" s="211"/>
      <c r="W247" s="272">
        <f>+'NI-San_SP'!W247+'NI-Soc_SP'!W247+'NI-Ric_SP'!W247</f>
        <v>0</v>
      </c>
      <c r="X247" s="272">
        <f>+'NI-San_SP'!X247+'NI-Soc_SP'!X247+'NI-Ric_SP'!X247</f>
        <v>0</v>
      </c>
      <c r="Y247" s="272">
        <f>+'NI-San_SP'!Y247+'NI-Soc_SP'!Y247+'NI-Ric_SP'!Y247</f>
        <v>0</v>
      </c>
      <c r="Z247" s="272">
        <f>+'NI-San_SP'!Z247+'NI-Soc_SP'!Z247+'NI-Ric_SP'!Z247</f>
        <v>831</v>
      </c>
      <c r="AA247" s="240"/>
    </row>
    <row r="248" spans="2:31" s="204" customFormat="1" x14ac:dyDescent="0.25">
      <c r="B248" s="246" t="s">
        <v>555</v>
      </c>
      <c r="C248" s="273" t="s">
        <v>556</v>
      </c>
      <c r="D248" s="264" t="s">
        <v>3211</v>
      </c>
      <c r="E248" s="264"/>
      <c r="F248" s="274"/>
      <c r="G248" s="283"/>
      <c r="H248" s="266"/>
      <c r="I248" s="281"/>
      <c r="J248" s="281"/>
      <c r="K248" s="281"/>
      <c r="L248" s="295" t="s">
        <v>3212</v>
      </c>
      <c r="M248" s="284" t="s">
        <v>2962</v>
      </c>
      <c r="N248" s="269">
        <f>+R248</f>
        <v>5026</v>
      </c>
      <c r="O248" s="270">
        <f>+R248+S248+X248-ABS(Y248)+ABS(Z248)+W248+Q248</f>
        <v>5916</v>
      </c>
      <c r="P248" s="271">
        <f>+O248-N248</f>
        <v>890</v>
      </c>
      <c r="Q248" s="272">
        <f>+'NI-San_SP'!Q248+'NI-Soc_SP'!Q248+'NI-Ric_SP'!Q248</f>
        <v>0</v>
      </c>
      <c r="R248" s="272">
        <f>+'NI-San_SP'!R248+'NI-Soc_SP'!R248+'NI-Ric_SP'!R248</f>
        <v>5026</v>
      </c>
      <c r="S248" s="272">
        <f>+'NI-San_SP'!S248+'NI-Soc_SP'!S248+'NI-Ric_SP'!S248</f>
        <v>0</v>
      </c>
      <c r="V248" s="211"/>
      <c r="W248" s="272">
        <f>+'NI-San_SP'!W248+'NI-Soc_SP'!W248+'NI-Ric_SP'!W248</f>
        <v>0</v>
      </c>
      <c r="X248" s="272">
        <f>+'NI-San_SP'!X248+'NI-Soc_SP'!X248+'NI-Ric_SP'!X248</f>
        <v>0</v>
      </c>
      <c r="Y248" s="272">
        <f>+'NI-San_SP'!Y248+'NI-Soc_SP'!Y248+'NI-Ric_SP'!Y248</f>
        <v>0</v>
      </c>
      <c r="Z248" s="272">
        <f>+'NI-San_SP'!Z248+'NI-Soc_SP'!Z248+'NI-Ric_SP'!Z248</f>
        <v>890</v>
      </c>
      <c r="AA248" s="240"/>
    </row>
    <row r="249" spans="2:31" s="204" customFormat="1" x14ac:dyDescent="0.25">
      <c r="B249" s="293"/>
      <c r="C249" s="293"/>
      <c r="D249" s="230"/>
      <c r="E249" s="230"/>
      <c r="F249" s="230"/>
      <c r="G249" s="230"/>
      <c r="H249" s="231"/>
      <c r="I249" s="230"/>
      <c r="J249" s="230"/>
      <c r="K249" s="230"/>
      <c r="L249" s="275"/>
      <c r="M249" s="216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</row>
    <row r="250" spans="2:31" s="204" customFormat="1" ht="25.5" x14ac:dyDescent="0.25">
      <c r="B250" s="293"/>
      <c r="C250" s="293"/>
      <c r="D250" s="230"/>
      <c r="E250" s="230"/>
      <c r="F250" s="230"/>
      <c r="G250" s="230"/>
      <c r="H250" s="231"/>
      <c r="I250" s="230"/>
      <c r="J250" s="230"/>
      <c r="K250" s="230"/>
      <c r="L250" s="255"/>
      <c r="M250" s="244"/>
      <c r="N250" s="256" t="str">
        <f>N$15</f>
        <v>Valore netto al 31/12/2019</v>
      </c>
      <c r="O250" s="256" t="str">
        <f>O$15</f>
        <v>Valore netto al 31/12/2020</v>
      </c>
      <c r="P250" s="256" t="str">
        <f>P$15</f>
        <v>Variazione</v>
      </c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</row>
    <row r="251" spans="2:31" s="204" customFormat="1" x14ac:dyDescent="0.25">
      <c r="B251" s="246" t="s">
        <v>558</v>
      </c>
      <c r="C251" s="292" t="s">
        <v>559</v>
      </c>
      <c r="D251" s="247" t="s">
        <v>3213</v>
      </c>
      <c r="E251" s="247"/>
      <c r="F251" s="247"/>
      <c r="G251" s="247"/>
      <c r="H251" s="248"/>
      <c r="I251" s="247"/>
      <c r="J251" s="247"/>
      <c r="K251" s="249"/>
      <c r="L251" s="257" t="s">
        <v>561</v>
      </c>
      <c r="M251" s="251" t="s">
        <v>2962</v>
      </c>
      <c r="N251" s="252">
        <f>+N253-N271</f>
        <v>9616340</v>
      </c>
      <c r="O251" s="252">
        <f>+O253-O271</f>
        <v>7839531</v>
      </c>
      <c r="P251" s="253">
        <f>+O251-N251</f>
        <v>-1776809</v>
      </c>
      <c r="Q251" s="285"/>
      <c r="R251" s="285"/>
      <c r="S251" s="285"/>
      <c r="T251" s="285"/>
      <c r="U251" s="285"/>
      <c r="V251" s="285"/>
      <c r="W251" s="211"/>
      <c r="X251" s="252">
        <f>+X253-X271</f>
        <v>0</v>
      </c>
      <c r="Y251" s="285"/>
      <c r="Z251" s="285"/>
      <c r="AA251" s="285"/>
    </row>
    <row r="252" spans="2:31" s="204" customFormat="1" x14ac:dyDescent="0.25">
      <c r="B252" s="293"/>
      <c r="C252" s="293"/>
      <c r="D252" s="230"/>
      <c r="E252" s="230"/>
      <c r="F252" s="230"/>
      <c r="G252" s="230"/>
      <c r="H252" s="231"/>
      <c r="I252" s="230"/>
      <c r="J252" s="230"/>
      <c r="K252" s="230"/>
      <c r="L252" s="275"/>
      <c r="M252" s="216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</row>
    <row r="253" spans="2:31" s="204" customFormat="1" x14ac:dyDescent="0.25">
      <c r="B253" s="246" t="s">
        <v>562</v>
      </c>
      <c r="C253" s="292" t="s">
        <v>563</v>
      </c>
      <c r="D253" s="247" t="s">
        <v>3214</v>
      </c>
      <c r="E253" s="247"/>
      <c r="F253" s="247"/>
      <c r="G253" s="247"/>
      <c r="H253" s="248"/>
      <c r="I253" s="247"/>
      <c r="J253" s="247"/>
      <c r="K253" s="249"/>
      <c r="L253" s="276" t="s">
        <v>566</v>
      </c>
      <c r="M253" s="251" t="s">
        <v>2962</v>
      </c>
      <c r="N253" s="252">
        <f>SUM(N256:N269)</f>
        <v>55131929</v>
      </c>
      <c r="O253" s="252">
        <f>SUM(O256:O269)</f>
        <v>56057963</v>
      </c>
      <c r="P253" s="259">
        <f>+O253-N253</f>
        <v>926034</v>
      </c>
      <c r="Q253" s="252">
        <f>SUM(Q256:Q269)</f>
        <v>0</v>
      </c>
      <c r="R253" s="252">
        <f>SUM(R256:R269)</f>
        <v>55131929</v>
      </c>
      <c r="S253" s="252">
        <f>SUM(S256:S269)</f>
        <v>0</v>
      </c>
      <c r="T253" s="252">
        <f>SUM(T256:T269)</f>
        <v>0</v>
      </c>
      <c r="U253" s="252">
        <f>SUM(U256:U269)</f>
        <v>0</v>
      </c>
      <c r="W253" s="252">
        <f t="shared" ref="W253:AE253" si="26">SUM(W256:W269)</f>
        <v>0</v>
      </c>
      <c r="X253" s="252">
        <f t="shared" si="26"/>
        <v>0</v>
      </c>
      <c r="Y253" s="252">
        <f t="shared" si="26"/>
        <v>0</v>
      </c>
      <c r="Z253" s="252">
        <f t="shared" si="26"/>
        <v>0</v>
      </c>
      <c r="AA253" s="252">
        <f t="shared" si="26"/>
        <v>0</v>
      </c>
      <c r="AB253" s="252">
        <f t="shared" si="26"/>
        <v>0</v>
      </c>
      <c r="AC253" s="252">
        <f t="shared" si="26"/>
        <v>1198284</v>
      </c>
      <c r="AD253" s="252">
        <f t="shared" si="26"/>
        <v>0</v>
      </c>
      <c r="AE253" s="252">
        <f t="shared" si="26"/>
        <v>272250</v>
      </c>
    </row>
    <row r="254" spans="2:31" s="204" customFormat="1" x14ac:dyDescent="0.25">
      <c r="B254" s="293"/>
      <c r="C254" s="293"/>
      <c r="D254" s="230"/>
      <c r="E254" s="230"/>
      <c r="F254" s="230"/>
      <c r="G254" s="230"/>
      <c r="H254" s="231"/>
      <c r="I254" s="230"/>
      <c r="J254" s="230"/>
      <c r="K254" s="230"/>
      <c r="L254" s="232"/>
      <c r="M254" s="211"/>
      <c r="N254" s="254"/>
      <c r="O254" s="211"/>
      <c r="P254" s="211"/>
      <c r="Q254" s="211"/>
      <c r="R254" s="211"/>
      <c r="T254" s="211"/>
      <c r="U254" s="211"/>
      <c r="V254" s="211"/>
      <c r="W254" s="211"/>
      <c r="X254" s="211"/>
      <c r="Y254" s="211"/>
      <c r="Z254" s="211"/>
      <c r="AA254" s="211"/>
    </row>
    <row r="255" spans="2:31" s="204" customFormat="1" ht="63.75" x14ac:dyDescent="0.25">
      <c r="B255" s="294" t="s">
        <v>2968</v>
      </c>
      <c r="C255" s="294" t="s">
        <v>2969</v>
      </c>
      <c r="D255" s="206" t="s">
        <v>72</v>
      </c>
      <c r="E255" s="206"/>
      <c r="F255" s="206"/>
      <c r="G255" s="207"/>
      <c r="H255" s="207"/>
      <c r="I255" s="207"/>
      <c r="J255" s="207" t="s">
        <v>2957</v>
      </c>
      <c r="K255" s="206" t="s">
        <v>82</v>
      </c>
      <c r="L255" s="261" t="s">
        <v>2970</v>
      </c>
      <c r="M255" s="260"/>
      <c r="N255" s="256" t="str">
        <f>N$15</f>
        <v>Valore netto al 31/12/2019</v>
      </c>
      <c r="O255" s="256" t="str">
        <f>O$15</f>
        <v>Valore netto al 31/12/2020</v>
      </c>
      <c r="P255" s="256" t="str">
        <f>P$15</f>
        <v>Variazione</v>
      </c>
      <c r="Q255" s="262" t="s">
        <v>2971</v>
      </c>
      <c r="R255" s="262" t="str">
        <f>"Costo storico al 31/12/"&amp;Info!$B$3-1</f>
        <v>Costo storico al 31/12/2019</v>
      </c>
      <c r="S255" s="262" t="s">
        <v>2972</v>
      </c>
      <c r="T255" s="262" t="s">
        <v>2973</v>
      </c>
      <c r="U255" s="262" t="s">
        <v>2974</v>
      </c>
      <c r="W255" s="262" t="s">
        <v>2975</v>
      </c>
      <c r="X255" s="262" t="s">
        <v>2976</v>
      </c>
      <c r="Y255" s="262" t="s">
        <v>2977</v>
      </c>
      <c r="Z255" s="262" t="s">
        <v>2978</v>
      </c>
      <c r="AA255" s="262" t="s">
        <v>2979</v>
      </c>
      <c r="AB255" s="262" t="s">
        <v>2980</v>
      </c>
      <c r="AC255" s="262" t="s">
        <v>2981</v>
      </c>
      <c r="AD255" s="262" t="s">
        <v>2982</v>
      </c>
      <c r="AE255" s="262" t="s">
        <v>2983</v>
      </c>
    </row>
    <row r="256" spans="2:31" s="204" customFormat="1" x14ac:dyDescent="0.25">
      <c r="B256" s="246" t="s">
        <v>567</v>
      </c>
      <c r="C256" s="273" t="s">
        <v>568</v>
      </c>
      <c r="D256" s="264" t="s">
        <v>3215</v>
      </c>
      <c r="E256" s="264"/>
      <c r="F256" s="264"/>
      <c r="G256" s="265"/>
      <c r="H256" s="266"/>
      <c r="I256" s="281"/>
      <c r="J256" s="281"/>
      <c r="K256" s="281"/>
      <c r="L256" s="282" t="s">
        <v>3216</v>
      </c>
      <c r="M256" s="263" t="s">
        <v>2962</v>
      </c>
      <c r="N256" s="269">
        <f t="shared" ref="N256:N269" si="27">+R256+T256-U256</f>
        <v>2474536</v>
      </c>
      <c r="O256" s="270">
        <f t="shared" ref="O256:O269" si="28">+N256+S256+X256+ABS(Y256)-ABS(AA256)+ABS(Z256)+ABS(AB256)+ABS(AD256)-ABS(AE256)+AC256+W256+Q256</f>
        <v>2474536</v>
      </c>
      <c r="P256" s="271">
        <f t="shared" ref="P256:P269" si="29">+O256-N256</f>
        <v>0</v>
      </c>
      <c r="Q256" s="272">
        <f>+'NI-San_SP'!Q256+'NI-Soc_SP'!Q256+'NI-Ric_SP'!Q256</f>
        <v>0</v>
      </c>
      <c r="R256" s="272">
        <f>+'NI-San_SP'!R256+'NI-Soc_SP'!R256+'NI-Ric_SP'!R256</f>
        <v>2474536</v>
      </c>
      <c r="S256" s="272">
        <f>+'NI-San_SP'!S256+'NI-Soc_SP'!T256+'NI-Ric_SP'!T256</f>
        <v>0</v>
      </c>
      <c r="T256" s="272">
        <f>+'NI-San_SP'!T256+'NI-Soc_SP'!T256+'NI-Ric_SP'!T256</f>
        <v>0</v>
      </c>
      <c r="U256" s="272">
        <f>+'NI-San_SP'!U256+'NI-Soc_SP'!U256+'NI-Ric_SP'!U256</f>
        <v>0</v>
      </c>
      <c r="W256" s="272">
        <f>+'NI-San_SP'!W256+'NI-Soc_SP'!W256+'NI-Ric_SP'!W256</f>
        <v>0</v>
      </c>
      <c r="X256" s="272">
        <f>+'NI-San_SP'!X256+'NI-Soc_SP'!X256+'NI-Ric_SP'!X256</f>
        <v>0</v>
      </c>
      <c r="Y256" s="272">
        <f>+'NI-San_SP'!Y256+'NI-Soc_SP'!Y256+'NI-Ric_SP'!Y256</f>
        <v>0</v>
      </c>
      <c r="Z256" s="272">
        <f>+'NI-San_SP'!Z256+'NI-Soc_SP'!Z256+'NI-Ric_SP'!Z256</f>
        <v>0</v>
      </c>
      <c r="AA256" s="272">
        <f>+'NI-San_SP'!AA256+'NI-Soc_SP'!AA256+'NI-Ric_SP'!AA256</f>
        <v>0</v>
      </c>
      <c r="AB256" s="272">
        <f>+'NI-San_SP'!AB256+'NI-Soc_SP'!AB256+'NI-Ric_SP'!AB256</f>
        <v>0</v>
      </c>
      <c r="AC256" s="272">
        <f>+'NI-San_SP'!AC256+'NI-Soc_SP'!AC256+'NI-Ric_SP'!AC256</f>
        <v>0</v>
      </c>
      <c r="AD256" s="272">
        <f>+'NI-San_SP'!AD256+'NI-Soc_SP'!AD256+'NI-Ric_SP'!AD256</f>
        <v>0</v>
      </c>
      <c r="AE256" s="272">
        <f>+'NI-San_SP'!AE256+'NI-Soc_SP'!AE256+'NI-Ric_SP'!AE256</f>
        <v>0</v>
      </c>
    </row>
    <row r="257" spans="2:31" s="204" customFormat="1" x14ac:dyDescent="0.25">
      <c r="B257" s="246" t="s">
        <v>570</v>
      </c>
      <c r="C257" s="273" t="s">
        <v>571</v>
      </c>
      <c r="D257" s="264" t="s">
        <v>3217</v>
      </c>
      <c r="E257" s="264"/>
      <c r="F257" s="264"/>
      <c r="G257" s="265"/>
      <c r="H257" s="266"/>
      <c r="I257" s="281"/>
      <c r="J257" s="281"/>
      <c r="K257" s="281"/>
      <c r="L257" s="282" t="s">
        <v>3218</v>
      </c>
      <c r="M257" s="263" t="s">
        <v>2962</v>
      </c>
      <c r="N257" s="269">
        <f t="shared" si="27"/>
        <v>18659336</v>
      </c>
      <c r="O257" s="270">
        <f t="shared" si="28"/>
        <v>18654338</v>
      </c>
      <c r="P257" s="271">
        <f t="shared" si="29"/>
        <v>-4998</v>
      </c>
      <c r="Q257" s="272">
        <f>+'NI-San_SP'!Q257+'NI-Soc_SP'!Q257+'NI-Ric_SP'!Q257</f>
        <v>0</v>
      </c>
      <c r="R257" s="272">
        <f>+'NI-San_SP'!R257+'NI-Soc_SP'!R257+'NI-Ric_SP'!R257</f>
        <v>18659336</v>
      </c>
      <c r="S257" s="272">
        <f>+'NI-San_SP'!S257+'NI-Soc_SP'!T257+'NI-Ric_SP'!T257</f>
        <v>0</v>
      </c>
      <c r="T257" s="272">
        <f>+'NI-San_SP'!T257+'NI-Soc_SP'!T257+'NI-Ric_SP'!T257</f>
        <v>0</v>
      </c>
      <c r="U257" s="272">
        <f>+'NI-San_SP'!U257+'NI-Soc_SP'!U257+'NI-Ric_SP'!U257</f>
        <v>0</v>
      </c>
      <c r="W257" s="272">
        <f>+'NI-San_SP'!W257+'NI-Soc_SP'!W257+'NI-Ric_SP'!W257</f>
        <v>0</v>
      </c>
      <c r="X257" s="272">
        <f>+'NI-San_SP'!X257+'NI-Soc_SP'!X257+'NI-Ric_SP'!X257</f>
        <v>0</v>
      </c>
      <c r="Y257" s="272">
        <f>+'NI-San_SP'!Y257+'NI-Soc_SP'!Y257+'NI-Ric_SP'!Y257</f>
        <v>0</v>
      </c>
      <c r="Z257" s="272">
        <f>+'NI-San_SP'!Z257+'NI-Soc_SP'!Z257+'NI-Ric_SP'!Z257</f>
        <v>0</v>
      </c>
      <c r="AA257" s="272">
        <f>+'NI-San_SP'!AA257+'NI-Soc_SP'!AA257+'NI-Ric_SP'!AA257</f>
        <v>0</v>
      </c>
      <c r="AB257" s="272">
        <f>+'NI-San_SP'!AB257+'NI-Soc_SP'!AB257+'NI-Ric_SP'!AB257</f>
        <v>0</v>
      </c>
      <c r="AC257" s="272">
        <f>+'NI-San_SP'!AC257+'NI-Soc_SP'!AC257+'NI-Ric_SP'!AC257</f>
        <v>267252</v>
      </c>
      <c r="AD257" s="272">
        <f>+'NI-San_SP'!AD257+'NI-Soc_SP'!AD257+'NI-Ric_SP'!AD257</f>
        <v>0</v>
      </c>
      <c r="AE257" s="272">
        <f>+'NI-San_SP'!AE257+'NI-Soc_SP'!AE257+'NI-Ric_SP'!AE257</f>
        <v>272250</v>
      </c>
    </row>
    <row r="258" spans="2:31" s="204" customFormat="1" x14ac:dyDescent="0.25">
      <c r="B258" s="246" t="s">
        <v>573</v>
      </c>
      <c r="C258" s="273" t="s">
        <v>574</v>
      </c>
      <c r="D258" s="264" t="s">
        <v>3219</v>
      </c>
      <c r="E258" s="264"/>
      <c r="F258" s="274"/>
      <c r="G258" s="283"/>
      <c r="H258" s="266"/>
      <c r="I258" s="281"/>
      <c r="J258" s="281"/>
      <c r="K258" s="281"/>
      <c r="L258" s="295" t="s">
        <v>3220</v>
      </c>
      <c r="M258" s="284" t="s">
        <v>2962</v>
      </c>
      <c r="N258" s="269">
        <f t="shared" si="27"/>
        <v>10101311</v>
      </c>
      <c r="O258" s="270">
        <f t="shared" si="28"/>
        <v>10101311</v>
      </c>
      <c r="P258" s="271">
        <f t="shared" si="29"/>
        <v>0</v>
      </c>
      <c r="Q258" s="272">
        <f>+'NI-San_SP'!Q258+'NI-Soc_SP'!Q258+'NI-Ric_SP'!Q258</f>
        <v>0</v>
      </c>
      <c r="R258" s="272">
        <f>+'NI-San_SP'!R258+'NI-Soc_SP'!R258+'NI-Ric_SP'!R258</f>
        <v>10101311</v>
      </c>
      <c r="S258" s="272">
        <f>+'NI-San_SP'!S258+'NI-Soc_SP'!T258+'NI-Ric_SP'!T258</f>
        <v>0</v>
      </c>
      <c r="T258" s="272">
        <f>+'NI-San_SP'!T258+'NI-Soc_SP'!T258+'NI-Ric_SP'!T258</f>
        <v>0</v>
      </c>
      <c r="U258" s="272">
        <f>+'NI-San_SP'!U258+'NI-Soc_SP'!U258+'NI-Ric_SP'!U258</f>
        <v>0</v>
      </c>
      <c r="W258" s="272">
        <f>+'NI-San_SP'!W258+'NI-Soc_SP'!W258+'NI-Ric_SP'!W258</f>
        <v>0</v>
      </c>
      <c r="X258" s="272">
        <f>+'NI-San_SP'!X258+'NI-Soc_SP'!X258+'NI-Ric_SP'!X258</f>
        <v>0</v>
      </c>
      <c r="Y258" s="272">
        <f>+'NI-San_SP'!Y258+'NI-Soc_SP'!Y258+'NI-Ric_SP'!Y258</f>
        <v>0</v>
      </c>
      <c r="Z258" s="272">
        <f>+'NI-San_SP'!Z258+'NI-Soc_SP'!Z258+'NI-Ric_SP'!Z258</f>
        <v>0</v>
      </c>
      <c r="AA258" s="272">
        <f>+'NI-San_SP'!AA258+'NI-Soc_SP'!AA258+'NI-Ric_SP'!AA258</f>
        <v>0</v>
      </c>
      <c r="AB258" s="272">
        <f>+'NI-San_SP'!AB258+'NI-Soc_SP'!AB258+'NI-Ric_SP'!AB258</f>
        <v>0</v>
      </c>
      <c r="AC258" s="272">
        <f>+'NI-San_SP'!AC258+'NI-Soc_SP'!AC258+'NI-Ric_SP'!AC258</f>
        <v>0</v>
      </c>
      <c r="AD258" s="272">
        <f>+'NI-San_SP'!AD258+'NI-Soc_SP'!AD258+'NI-Ric_SP'!AD258</f>
        <v>0</v>
      </c>
      <c r="AE258" s="272">
        <f>+'NI-San_SP'!AE258+'NI-Soc_SP'!AE258+'NI-Ric_SP'!AE258</f>
        <v>0</v>
      </c>
    </row>
    <row r="259" spans="2:31" s="204" customFormat="1" x14ac:dyDescent="0.25">
      <c r="B259" s="246" t="s">
        <v>576</v>
      </c>
      <c r="C259" s="273" t="s">
        <v>577</v>
      </c>
      <c r="D259" s="264" t="s">
        <v>3221</v>
      </c>
      <c r="E259" s="264"/>
      <c r="F259" s="274"/>
      <c r="G259" s="283"/>
      <c r="H259" s="266"/>
      <c r="I259" s="281"/>
      <c r="J259" s="281"/>
      <c r="K259" s="281"/>
      <c r="L259" s="295" t="s">
        <v>3222</v>
      </c>
      <c r="M259" s="284" t="s">
        <v>2962</v>
      </c>
      <c r="N259" s="269">
        <f t="shared" si="27"/>
        <v>7600499</v>
      </c>
      <c r="O259" s="270">
        <f t="shared" si="28"/>
        <v>8479915</v>
      </c>
      <c r="P259" s="271">
        <f t="shared" si="29"/>
        <v>879416</v>
      </c>
      <c r="Q259" s="272">
        <f>+'NI-San_SP'!Q259+'NI-Soc_SP'!Q259+'NI-Ric_SP'!Q259</f>
        <v>0</v>
      </c>
      <c r="R259" s="272">
        <f>+'NI-San_SP'!R259+'NI-Soc_SP'!R259+'NI-Ric_SP'!R259</f>
        <v>7600499</v>
      </c>
      <c r="S259" s="272">
        <f>+'NI-San_SP'!S259+'NI-Soc_SP'!T259+'NI-Ric_SP'!T259</f>
        <v>0</v>
      </c>
      <c r="T259" s="272">
        <f>+'NI-San_SP'!T259+'NI-Soc_SP'!T259+'NI-Ric_SP'!T259</f>
        <v>0</v>
      </c>
      <c r="U259" s="272">
        <f>+'NI-San_SP'!U259+'NI-Soc_SP'!U259+'NI-Ric_SP'!U259</f>
        <v>0</v>
      </c>
      <c r="W259" s="272">
        <f>+'NI-San_SP'!W259+'NI-Soc_SP'!W259+'NI-Ric_SP'!W259</f>
        <v>0</v>
      </c>
      <c r="X259" s="272">
        <f>+'NI-San_SP'!X259+'NI-Soc_SP'!X259+'NI-Ric_SP'!X259</f>
        <v>0</v>
      </c>
      <c r="Y259" s="272">
        <f>+'NI-San_SP'!Y259+'NI-Soc_SP'!Y259+'NI-Ric_SP'!Y259</f>
        <v>0</v>
      </c>
      <c r="Z259" s="272">
        <f>+'NI-San_SP'!Z259+'NI-Soc_SP'!Z259+'NI-Ric_SP'!Z259</f>
        <v>0</v>
      </c>
      <c r="AA259" s="272">
        <f>+'NI-San_SP'!AA259+'NI-Soc_SP'!AA259+'NI-Ric_SP'!AA259</f>
        <v>0</v>
      </c>
      <c r="AB259" s="272">
        <f>+'NI-San_SP'!AB259+'NI-Soc_SP'!AB259+'NI-Ric_SP'!AB259</f>
        <v>0</v>
      </c>
      <c r="AC259" s="272">
        <f>+'NI-San_SP'!AC259+'NI-Soc_SP'!AC259+'NI-Ric_SP'!AC259</f>
        <v>879416</v>
      </c>
      <c r="AD259" s="272">
        <f>+'NI-San_SP'!AD259+'NI-Soc_SP'!AD259+'NI-Ric_SP'!AD259</f>
        <v>0</v>
      </c>
      <c r="AE259" s="272">
        <f>+'NI-San_SP'!AE259+'NI-Soc_SP'!AE259+'NI-Ric_SP'!AE259</f>
        <v>0</v>
      </c>
    </row>
    <row r="260" spans="2:31" s="204" customFormat="1" x14ac:dyDescent="0.25">
      <c r="B260" s="246" t="s">
        <v>579</v>
      </c>
      <c r="C260" s="273" t="s">
        <v>580</v>
      </c>
      <c r="D260" s="264" t="s">
        <v>3223</v>
      </c>
      <c r="E260" s="264"/>
      <c r="F260" s="274"/>
      <c r="G260" s="283"/>
      <c r="H260" s="266"/>
      <c r="I260" s="281"/>
      <c r="J260" s="281"/>
      <c r="K260" s="281"/>
      <c r="L260" s="295" t="s">
        <v>3224</v>
      </c>
      <c r="M260" s="284" t="s">
        <v>2962</v>
      </c>
      <c r="N260" s="269">
        <f t="shared" si="27"/>
        <v>501864</v>
      </c>
      <c r="O260" s="270">
        <f t="shared" si="28"/>
        <v>501864</v>
      </c>
      <c r="P260" s="271">
        <f t="shared" si="29"/>
        <v>0</v>
      </c>
      <c r="Q260" s="272">
        <f>+'NI-San_SP'!Q260+'NI-Soc_SP'!Q260+'NI-Ric_SP'!Q260</f>
        <v>0</v>
      </c>
      <c r="R260" s="272">
        <f>+'NI-San_SP'!R260+'NI-Soc_SP'!R260+'NI-Ric_SP'!R260</f>
        <v>501864</v>
      </c>
      <c r="S260" s="272">
        <f>+'NI-San_SP'!S260+'NI-Soc_SP'!T260+'NI-Ric_SP'!T260</f>
        <v>0</v>
      </c>
      <c r="T260" s="272">
        <f>+'NI-San_SP'!T260+'NI-Soc_SP'!T260+'NI-Ric_SP'!T260</f>
        <v>0</v>
      </c>
      <c r="U260" s="272">
        <f>+'NI-San_SP'!U260+'NI-Soc_SP'!U260+'NI-Ric_SP'!U260</f>
        <v>0</v>
      </c>
      <c r="W260" s="272">
        <f>+'NI-San_SP'!W260+'NI-Soc_SP'!W260+'NI-Ric_SP'!W260</f>
        <v>0</v>
      </c>
      <c r="X260" s="272">
        <f>+'NI-San_SP'!X260+'NI-Soc_SP'!X260+'NI-Ric_SP'!X260</f>
        <v>0</v>
      </c>
      <c r="Y260" s="272">
        <f>+'NI-San_SP'!Y260+'NI-Soc_SP'!Y260+'NI-Ric_SP'!Y260</f>
        <v>0</v>
      </c>
      <c r="Z260" s="272">
        <f>+'NI-San_SP'!Z260+'NI-Soc_SP'!Z260+'NI-Ric_SP'!Z260</f>
        <v>0</v>
      </c>
      <c r="AA260" s="272">
        <f>+'NI-San_SP'!AA260+'NI-Soc_SP'!AA260+'NI-Ric_SP'!AA260</f>
        <v>0</v>
      </c>
      <c r="AB260" s="272">
        <f>+'NI-San_SP'!AB260+'NI-Soc_SP'!AB260+'NI-Ric_SP'!AB260</f>
        <v>0</v>
      </c>
      <c r="AC260" s="272">
        <f>+'NI-San_SP'!AC260+'NI-Soc_SP'!AC260+'NI-Ric_SP'!AC260</f>
        <v>0</v>
      </c>
      <c r="AD260" s="272">
        <f>+'NI-San_SP'!AD260+'NI-Soc_SP'!AD260+'NI-Ric_SP'!AD260</f>
        <v>0</v>
      </c>
      <c r="AE260" s="272">
        <f>+'NI-San_SP'!AE260+'NI-Soc_SP'!AE260+'NI-Ric_SP'!AE260</f>
        <v>0</v>
      </c>
    </row>
    <row r="261" spans="2:31" s="204" customFormat="1" x14ac:dyDescent="0.25">
      <c r="B261" s="246" t="s">
        <v>582</v>
      </c>
      <c r="C261" s="273" t="s">
        <v>583</v>
      </c>
      <c r="D261" s="264" t="s">
        <v>3225</v>
      </c>
      <c r="E261" s="264"/>
      <c r="F261" s="274"/>
      <c r="G261" s="283"/>
      <c r="H261" s="266"/>
      <c r="I261" s="281"/>
      <c r="J261" s="281"/>
      <c r="K261" s="281"/>
      <c r="L261" s="295" t="s">
        <v>3226</v>
      </c>
      <c r="M261" s="284" t="s">
        <v>2962</v>
      </c>
      <c r="N261" s="269">
        <f t="shared" si="27"/>
        <v>64143</v>
      </c>
      <c r="O261" s="270">
        <f t="shared" si="28"/>
        <v>112333</v>
      </c>
      <c r="P261" s="271">
        <f t="shared" si="29"/>
        <v>48190</v>
      </c>
      <c r="Q261" s="272">
        <f>+'NI-San_SP'!Q261+'NI-Soc_SP'!Q261+'NI-Ric_SP'!Q261</f>
        <v>0</v>
      </c>
      <c r="R261" s="272">
        <f>+'NI-San_SP'!R261+'NI-Soc_SP'!R261+'NI-Ric_SP'!R261</f>
        <v>64143</v>
      </c>
      <c r="S261" s="272">
        <f>+'NI-San_SP'!S261+'NI-Soc_SP'!T261+'NI-Ric_SP'!T261</f>
        <v>0</v>
      </c>
      <c r="T261" s="272">
        <f>+'NI-San_SP'!T261+'NI-Soc_SP'!T261+'NI-Ric_SP'!T261</f>
        <v>0</v>
      </c>
      <c r="U261" s="272">
        <f>+'NI-San_SP'!U261+'NI-Soc_SP'!U261+'NI-Ric_SP'!U261</f>
        <v>0</v>
      </c>
      <c r="W261" s="272">
        <f>+'NI-San_SP'!W261+'NI-Soc_SP'!W261+'NI-Ric_SP'!W261</f>
        <v>0</v>
      </c>
      <c r="X261" s="272">
        <f>+'NI-San_SP'!X261+'NI-Soc_SP'!X261+'NI-Ric_SP'!X261</f>
        <v>0</v>
      </c>
      <c r="Y261" s="272">
        <f>+'NI-San_SP'!Y261+'NI-Soc_SP'!Y261+'NI-Ric_SP'!Y261</f>
        <v>0</v>
      </c>
      <c r="Z261" s="272">
        <f>+'NI-San_SP'!Z261+'NI-Soc_SP'!Z261+'NI-Ric_SP'!Z261</f>
        <v>0</v>
      </c>
      <c r="AA261" s="272">
        <f>+'NI-San_SP'!AA261+'NI-Soc_SP'!AA261+'NI-Ric_SP'!AA261</f>
        <v>0</v>
      </c>
      <c r="AB261" s="272">
        <f>+'NI-San_SP'!AB261+'NI-Soc_SP'!AB261+'NI-Ric_SP'!AB261</f>
        <v>0</v>
      </c>
      <c r="AC261" s="272">
        <f>+'NI-San_SP'!AC261+'NI-Soc_SP'!AC261+'NI-Ric_SP'!AC261</f>
        <v>48190</v>
      </c>
      <c r="AD261" s="272">
        <f>+'NI-San_SP'!AD261+'NI-Soc_SP'!AD261+'NI-Ric_SP'!AD261</f>
        <v>0</v>
      </c>
      <c r="AE261" s="272">
        <f>+'NI-San_SP'!AE261+'NI-Soc_SP'!AE261+'NI-Ric_SP'!AE261</f>
        <v>0</v>
      </c>
    </row>
    <row r="262" spans="2:31" s="204" customFormat="1" x14ac:dyDescent="0.25">
      <c r="B262" s="246" t="s">
        <v>585</v>
      </c>
      <c r="C262" s="273" t="s">
        <v>586</v>
      </c>
      <c r="D262" s="264" t="s">
        <v>3227</v>
      </c>
      <c r="E262" s="264"/>
      <c r="F262" s="274"/>
      <c r="G262" s="283"/>
      <c r="H262" s="266"/>
      <c r="I262" s="281"/>
      <c r="J262" s="281"/>
      <c r="K262" s="281"/>
      <c r="L262" s="295" t="s">
        <v>3228</v>
      </c>
      <c r="M262" s="284" t="s">
        <v>2962</v>
      </c>
      <c r="N262" s="269">
        <f t="shared" si="27"/>
        <v>667936</v>
      </c>
      <c r="O262" s="270">
        <f t="shared" si="28"/>
        <v>667936</v>
      </c>
      <c r="P262" s="271">
        <f t="shared" si="29"/>
        <v>0</v>
      </c>
      <c r="Q262" s="272">
        <f>+'NI-San_SP'!Q262+'NI-Soc_SP'!Q262+'NI-Ric_SP'!Q262</f>
        <v>0</v>
      </c>
      <c r="R262" s="272">
        <f>+'NI-San_SP'!R262+'NI-Soc_SP'!R262+'NI-Ric_SP'!R262</f>
        <v>667936</v>
      </c>
      <c r="S262" s="272">
        <f>+'NI-San_SP'!S262+'NI-Soc_SP'!T262+'NI-Ric_SP'!T262</f>
        <v>0</v>
      </c>
      <c r="T262" s="272">
        <f>+'NI-San_SP'!T262+'NI-Soc_SP'!T262+'NI-Ric_SP'!T262</f>
        <v>0</v>
      </c>
      <c r="U262" s="272">
        <f>+'NI-San_SP'!U262+'NI-Soc_SP'!U262+'NI-Ric_SP'!U262</f>
        <v>0</v>
      </c>
      <c r="W262" s="272">
        <f>+'NI-San_SP'!W262+'NI-Soc_SP'!W262+'NI-Ric_SP'!W262</f>
        <v>0</v>
      </c>
      <c r="X262" s="272">
        <f>+'NI-San_SP'!X262+'NI-Soc_SP'!X262+'NI-Ric_SP'!X262</f>
        <v>0</v>
      </c>
      <c r="Y262" s="272">
        <f>+'NI-San_SP'!Y262+'NI-Soc_SP'!Y262+'NI-Ric_SP'!Y262</f>
        <v>0</v>
      </c>
      <c r="Z262" s="272">
        <f>+'NI-San_SP'!Z262+'NI-Soc_SP'!Z262+'NI-Ric_SP'!Z262</f>
        <v>0</v>
      </c>
      <c r="AA262" s="272">
        <f>+'NI-San_SP'!AA262+'NI-Soc_SP'!AA262+'NI-Ric_SP'!AA262</f>
        <v>0</v>
      </c>
      <c r="AB262" s="272">
        <f>+'NI-San_SP'!AB262+'NI-Soc_SP'!AB262+'NI-Ric_SP'!AB262</f>
        <v>0</v>
      </c>
      <c r="AC262" s="272">
        <f>+'NI-San_SP'!AC262+'NI-Soc_SP'!AC262+'NI-Ric_SP'!AC262</f>
        <v>0</v>
      </c>
      <c r="AD262" s="272">
        <f>+'NI-San_SP'!AD262+'NI-Soc_SP'!AD262+'NI-Ric_SP'!AD262</f>
        <v>0</v>
      </c>
      <c r="AE262" s="272">
        <f>+'NI-San_SP'!AE262+'NI-Soc_SP'!AE262+'NI-Ric_SP'!AE262</f>
        <v>0</v>
      </c>
    </row>
    <row r="263" spans="2:31" s="204" customFormat="1" x14ac:dyDescent="0.25">
      <c r="B263" s="246" t="s">
        <v>588</v>
      </c>
      <c r="C263" s="273" t="s">
        <v>589</v>
      </c>
      <c r="D263" s="264" t="s">
        <v>3229</v>
      </c>
      <c r="E263" s="264"/>
      <c r="F263" s="274"/>
      <c r="G263" s="283"/>
      <c r="H263" s="266"/>
      <c r="I263" s="281"/>
      <c r="J263" s="281"/>
      <c r="K263" s="281"/>
      <c r="L263" s="295" t="s">
        <v>3230</v>
      </c>
      <c r="M263" s="284" t="s">
        <v>2962</v>
      </c>
      <c r="N263" s="269">
        <f t="shared" si="27"/>
        <v>448563</v>
      </c>
      <c r="O263" s="270">
        <f t="shared" si="28"/>
        <v>451989</v>
      </c>
      <c r="P263" s="271">
        <f t="shared" si="29"/>
        <v>3426</v>
      </c>
      <c r="Q263" s="272">
        <f>+'NI-San_SP'!Q263+'NI-Soc_SP'!Q263+'NI-Ric_SP'!Q263</f>
        <v>0</v>
      </c>
      <c r="R263" s="272">
        <f>+'NI-San_SP'!R263+'NI-Soc_SP'!R263+'NI-Ric_SP'!R263</f>
        <v>448563</v>
      </c>
      <c r="S263" s="272">
        <f>+'NI-San_SP'!S263+'NI-Soc_SP'!T263+'NI-Ric_SP'!T263</f>
        <v>0</v>
      </c>
      <c r="T263" s="272">
        <f>+'NI-San_SP'!T263+'NI-Soc_SP'!T263+'NI-Ric_SP'!T263</f>
        <v>0</v>
      </c>
      <c r="U263" s="272">
        <f>+'NI-San_SP'!U263+'NI-Soc_SP'!U263+'NI-Ric_SP'!U263</f>
        <v>0</v>
      </c>
      <c r="W263" s="272">
        <f>+'NI-San_SP'!W263+'NI-Soc_SP'!W263+'NI-Ric_SP'!W263</f>
        <v>0</v>
      </c>
      <c r="X263" s="272">
        <f>+'NI-San_SP'!X263+'NI-Soc_SP'!X263+'NI-Ric_SP'!X263</f>
        <v>0</v>
      </c>
      <c r="Y263" s="272">
        <f>+'NI-San_SP'!Y263+'NI-Soc_SP'!Y263+'NI-Ric_SP'!Y263</f>
        <v>0</v>
      </c>
      <c r="Z263" s="272">
        <f>+'NI-San_SP'!Z263+'NI-Soc_SP'!Z263+'NI-Ric_SP'!Z263</f>
        <v>0</v>
      </c>
      <c r="AA263" s="272">
        <f>+'NI-San_SP'!AA263+'NI-Soc_SP'!AA263+'NI-Ric_SP'!AA263</f>
        <v>0</v>
      </c>
      <c r="AB263" s="272">
        <f>+'NI-San_SP'!AB263+'NI-Soc_SP'!AB263+'NI-Ric_SP'!AB263</f>
        <v>0</v>
      </c>
      <c r="AC263" s="272">
        <f>+'NI-San_SP'!AC263+'NI-Soc_SP'!AC263+'NI-Ric_SP'!AC263</f>
        <v>3426</v>
      </c>
      <c r="AD263" s="272">
        <f>+'NI-San_SP'!AD263+'NI-Soc_SP'!AD263+'NI-Ric_SP'!AD263</f>
        <v>0</v>
      </c>
      <c r="AE263" s="272">
        <f>+'NI-San_SP'!AE263+'NI-Soc_SP'!AE263+'NI-Ric_SP'!AE263</f>
        <v>0</v>
      </c>
    </row>
    <row r="264" spans="2:31" s="204" customFormat="1" x14ac:dyDescent="0.25">
      <c r="B264" s="246" t="s">
        <v>591</v>
      </c>
      <c r="C264" s="273" t="s">
        <v>592</v>
      </c>
      <c r="D264" s="264" t="s">
        <v>3231</v>
      </c>
      <c r="E264" s="264"/>
      <c r="F264" s="274"/>
      <c r="G264" s="283"/>
      <c r="H264" s="266"/>
      <c r="I264" s="281"/>
      <c r="J264" s="281"/>
      <c r="K264" s="281"/>
      <c r="L264" s="295" t="s">
        <v>3232</v>
      </c>
      <c r="M264" s="284" t="s">
        <v>2962</v>
      </c>
      <c r="N264" s="269">
        <f t="shared" si="27"/>
        <v>1150356</v>
      </c>
      <c r="O264" s="270">
        <f t="shared" si="28"/>
        <v>1150356</v>
      </c>
      <c r="P264" s="271">
        <f t="shared" si="29"/>
        <v>0</v>
      </c>
      <c r="Q264" s="272">
        <f>+'NI-San_SP'!Q264+'NI-Soc_SP'!Q264+'NI-Ric_SP'!Q264</f>
        <v>0</v>
      </c>
      <c r="R264" s="272">
        <f>+'NI-San_SP'!R264+'NI-Soc_SP'!R264+'NI-Ric_SP'!R264</f>
        <v>1150356</v>
      </c>
      <c r="S264" s="272">
        <f>+'NI-San_SP'!S264+'NI-Soc_SP'!T264+'NI-Ric_SP'!T264</f>
        <v>0</v>
      </c>
      <c r="T264" s="272">
        <f>+'NI-San_SP'!T264+'NI-Soc_SP'!T264+'NI-Ric_SP'!T264</f>
        <v>0</v>
      </c>
      <c r="U264" s="272">
        <f>+'NI-San_SP'!U264+'NI-Soc_SP'!U264+'NI-Ric_SP'!U264</f>
        <v>0</v>
      </c>
      <c r="W264" s="272">
        <f>+'NI-San_SP'!W264+'NI-Soc_SP'!W264+'NI-Ric_SP'!W264</f>
        <v>0</v>
      </c>
      <c r="X264" s="272">
        <f>+'NI-San_SP'!X264+'NI-Soc_SP'!X264+'NI-Ric_SP'!X264</f>
        <v>0</v>
      </c>
      <c r="Y264" s="272">
        <f>+'NI-San_SP'!Y264+'NI-Soc_SP'!Y264+'NI-Ric_SP'!Y264</f>
        <v>0</v>
      </c>
      <c r="Z264" s="272">
        <f>+'NI-San_SP'!Z264+'NI-Soc_SP'!Z264+'NI-Ric_SP'!Z264</f>
        <v>0</v>
      </c>
      <c r="AA264" s="272">
        <f>+'NI-San_SP'!AA264+'NI-Soc_SP'!AA264+'NI-Ric_SP'!AA264</f>
        <v>0</v>
      </c>
      <c r="AB264" s="272">
        <f>+'NI-San_SP'!AB264+'NI-Soc_SP'!AB264+'NI-Ric_SP'!AB264</f>
        <v>0</v>
      </c>
      <c r="AC264" s="272">
        <f>+'NI-San_SP'!AC264+'NI-Soc_SP'!AC264+'NI-Ric_SP'!AC264</f>
        <v>0</v>
      </c>
      <c r="AD264" s="272">
        <f>+'NI-San_SP'!AD264+'NI-Soc_SP'!AD264+'NI-Ric_SP'!AD264</f>
        <v>0</v>
      </c>
      <c r="AE264" s="272">
        <f>+'NI-San_SP'!AE264+'NI-Soc_SP'!AE264+'NI-Ric_SP'!AE264</f>
        <v>0</v>
      </c>
    </row>
    <row r="265" spans="2:31" s="204" customFormat="1" x14ac:dyDescent="0.25">
      <c r="B265" s="246" t="s">
        <v>594</v>
      </c>
      <c r="C265" s="273" t="s">
        <v>595</v>
      </c>
      <c r="D265" s="264" t="s">
        <v>3233</v>
      </c>
      <c r="E265" s="264"/>
      <c r="F265" s="274"/>
      <c r="G265" s="283"/>
      <c r="H265" s="266"/>
      <c r="I265" s="281"/>
      <c r="J265" s="281"/>
      <c r="K265" s="281"/>
      <c r="L265" s="295" t="s">
        <v>3234</v>
      </c>
      <c r="M265" s="284" t="s">
        <v>2962</v>
      </c>
      <c r="N265" s="269">
        <f t="shared" si="27"/>
        <v>5284050</v>
      </c>
      <c r="O265" s="270">
        <f t="shared" si="28"/>
        <v>5284050</v>
      </c>
      <c r="P265" s="271">
        <f t="shared" si="29"/>
        <v>0</v>
      </c>
      <c r="Q265" s="272">
        <f>+'NI-San_SP'!Q265+'NI-Soc_SP'!Q265+'NI-Ric_SP'!Q265</f>
        <v>0</v>
      </c>
      <c r="R265" s="272">
        <f>+'NI-San_SP'!R265+'NI-Soc_SP'!R265+'NI-Ric_SP'!R265</f>
        <v>5284050</v>
      </c>
      <c r="S265" s="272">
        <f>+'NI-San_SP'!S265+'NI-Soc_SP'!T265+'NI-Ric_SP'!T265</f>
        <v>0</v>
      </c>
      <c r="T265" s="272">
        <f>+'NI-San_SP'!T265+'NI-Soc_SP'!T265+'NI-Ric_SP'!T265</f>
        <v>0</v>
      </c>
      <c r="U265" s="272">
        <f>+'NI-San_SP'!U265+'NI-Soc_SP'!U265+'NI-Ric_SP'!U265</f>
        <v>0</v>
      </c>
      <c r="W265" s="272">
        <f>+'NI-San_SP'!W265+'NI-Soc_SP'!W265+'NI-Ric_SP'!W265</f>
        <v>0</v>
      </c>
      <c r="X265" s="272">
        <f>+'NI-San_SP'!X265+'NI-Soc_SP'!X265+'NI-Ric_SP'!X265</f>
        <v>0</v>
      </c>
      <c r="Y265" s="272">
        <f>+'NI-San_SP'!Y265+'NI-Soc_SP'!Y265+'NI-Ric_SP'!Y265</f>
        <v>0</v>
      </c>
      <c r="Z265" s="272">
        <f>+'NI-San_SP'!Z265+'NI-Soc_SP'!Z265+'NI-Ric_SP'!Z265</f>
        <v>0</v>
      </c>
      <c r="AA265" s="272">
        <f>+'NI-San_SP'!AA265+'NI-Soc_SP'!AA265+'NI-Ric_SP'!AA265</f>
        <v>0</v>
      </c>
      <c r="AB265" s="272">
        <f>+'NI-San_SP'!AB265+'NI-Soc_SP'!AB265+'NI-Ric_SP'!AB265</f>
        <v>0</v>
      </c>
      <c r="AC265" s="272">
        <f>+'NI-San_SP'!AC265+'NI-Soc_SP'!AC265+'NI-Ric_SP'!AC265</f>
        <v>0</v>
      </c>
      <c r="AD265" s="272">
        <f>+'NI-San_SP'!AD265+'NI-Soc_SP'!AD265+'NI-Ric_SP'!AD265</f>
        <v>0</v>
      </c>
      <c r="AE265" s="272">
        <f>+'NI-San_SP'!AE265+'NI-Soc_SP'!AE265+'NI-Ric_SP'!AE265</f>
        <v>0</v>
      </c>
    </row>
    <row r="266" spans="2:31" s="204" customFormat="1" x14ac:dyDescent="0.25">
      <c r="B266" s="246" t="s">
        <v>597</v>
      </c>
      <c r="C266" s="273" t="s">
        <v>598</v>
      </c>
      <c r="D266" s="264" t="s">
        <v>3235</v>
      </c>
      <c r="E266" s="264"/>
      <c r="F266" s="274"/>
      <c r="G266" s="283"/>
      <c r="H266" s="266"/>
      <c r="I266" s="281"/>
      <c r="J266" s="281"/>
      <c r="K266" s="281"/>
      <c r="L266" s="295" t="s">
        <v>3236</v>
      </c>
      <c r="M266" s="284" t="s">
        <v>2962</v>
      </c>
      <c r="N266" s="269">
        <f t="shared" si="27"/>
        <v>743073</v>
      </c>
      <c r="O266" s="270">
        <f t="shared" si="28"/>
        <v>743073</v>
      </c>
      <c r="P266" s="271">
        <f t="shared" si="29"/>
        <v>0</v>
      </c>
      <c r="Q266" s="272">
        <f>+'NI-San_SP'!Q266+'NI-Soc_SP'!Q266+'NI-Ric_SP'!Q266</f>
        <v>0</v>
      </c>
      <c r="R266" s="272">
        <f>+'NI-San_SP'!R266+'NI-Soc_SP'!R266+'NI-Ric_SP'!R266</f>
        <v>743073</v>
      </c>
      <c r="S266" s="272">
        <f>+'NI-San_SP'!S266+'NI-Soc_SP'!T266+'NI-Ric_SP'!T266</f>
        <v>0</v>
      </c>
      <c r="T266" s="272">
        <f>+'NI-San_SP'!T266+'NI-Soc_SP'!T266+'NI-Ric_SP'!T266</f>
        <v>0</v>
      </c>
      <c r="U266" s="272">
        <f>+'NI-San_SP'!U266+'NI-Soc_SP'!U266+'NI-Ric_SP'!U266</f>
        <v>0</v>
      </c>
      <c r="W266" s="272">
        <f>+'NI-San_SP'!W266+'NI-Soc_SP'!W266+'NI-Ric_SP'!W266</f>
        <v>0</v>
      </c>
      <c r="X266" s="272">
        <f>+'NI-San_SP'!X266+'NI-Soc_SP'!X266+'NI-Ric_SP'!X266</f>
        <v>0</v>
      </c>
      <c r="Y266" s="272">
        <f>+'NI-San_SP'!Y266+'NI-Soc_SP'!Y266+'NI-Ric_SP'!Y266</f>
        <v>0</v>
      </c>
      <c r="Z266" s="272">
        <f>+'NI-San_SP'!Z266+'NI-Soc_SP'!Z266+'NI-Ric_SP'!Z266</f>
        <v>0</v>
      </c>
      <c r="AA266" s="272">
        <f>+'NI-San_SP'!AA266+'NI-Soc_SP'!AA266+'NI-Ric_SP'!AA266</f>
        <v>0</v>
      </c>
      <c r="AB266" s="272">
        <f>+'NI-San_SP'!AB266+'NI-Soc_SP'!AB266+'NI-Ric_SP'!AB266</f>
        <v>0</v>
      </c>
      <c r="AC266" s="272">
        <f>+'NI-San_SP'!AC266+'NI-Soc_SP'!AC266+'NI-Ric_SP'!AC266</f>
        <v>0</v>
      </c>
      <c r="AD266" s="272">
        <f>+'NI-San_SP'!AD266+'NI-Soc_SP'!AD266+'NI-Ric_SP'!AD266</f>
        <v>0</v>
      </c>
      <c r="AE266" s="272">
        <f>+'NI-San_SP'!AE266+'NI-Soc_SP'!AE266+'NI-Ric_SP'!AE266</f>
        <v>0</v>
      </c>
    </row>
    <row r="267" spans="2:31" s="204" customFormat="1" x14ac:dyDescent="0.25">
      <c r="B267" s="246" t="s">
        <v>600</v>
      </c>
      <c r="C267" s="273" t="s">
        <v>601</v>
      </c>
      <c r="D267" s="264" t="s">
        <v>3237</v>
      </c>
      <c r="E267" s="264"/>
      <c r="F267" s="274"/>
      <c r="G267" s="283"/>
      <c r="H267" s="266"/>
      <c r="I267" s="281"/>
      <c r="J267" s="281"/>
      <c r="K267" s="281"/>
      <c r="L267" s="295" t="s">
        <v>3238</v>
      </c>
      <c r="M267" s="284" t="s">
        <v>2962</v>
      </c>
      <c r="N267" s="269">
        <f t="shared" si="27"/>
        <v>25561</v>
      </c>
      <c r="O267" s="270">
        <f t="shared" si="28"/>
        <v>25561</v>
      </c>
      <c r="P267" s="271">
        <f t="shared" si="29"/>
        <v>0</v>
      </c>
      <c r="Q267" s="272">
        <f>+'NI-San_SP'!Q267+'NI-Soc_SP'!Q267+'NI-Ric_SP'!Q267</f>
        <v>0</v>
      </c>
      <c r="R267" s="272">
        <f>+'NI-San_SP'!R267+'NI-Soc_SP'!R267+'NI-Ric_SP'!R267</f>
        <v>25561</v>
      </c>
      <c r="S267" s="272">
        <f>+'NI-San_SP'!S267+'NI-Soc_SP'!T267+'NI-Ric_SP'!T267</f>
        <v>0</v>
      </c>
      <c r="T267" s="272">
        <f>+'NI-San_SP'!T267+'NI-Soc_SP'!T267+'NI-Ric_SP'!T267</f>
        <v>0</v>
      </c>
      <c r="U267" s="272">
        <f>+'NI-San_SP'!U267+'NI-Soc_SP'!U267+'NI-Ric_SP'!U267</f>
        <v>0</v>
      </c>
      <c r="W267" s="272">
        <f>+'NI-San_SP'!W267+'NI-Soc_SP'!W267+'NI-Ric_SP'!W267</f>
        <v>0</v>
      </c>
      <c r="X267" s="272">
        <f>+'NI-San_SP'!X267+'NI-Soc_SP'!X267+'NI-Ric_SP'!X267</f>
        <v>0</v>
      </c>
      <c r="Y267" s="272">
        <f>+'NI-San_SP'!Y267+'NI-Soc_SP'!Y267+'NI-Ric_SP'!Y267</f>
        <v>0</v>
      </c>
      <c r="Z267" s="272">
        <f>+'NI-San_SP'!Z267+'NI-Soc_SP'!Z267+'NI-Ric_SP'!Z267</f>
        <v>0</v>
      </c>
      <c r="AA267" s="272">
        <f>+'NI-San_SP'!AA267+'NI-Soc_SP'!AA267+'NI-Ric_SP'!AA267</f>
        <v>0</v>
      </c>
      <c r="AB267" s="272">
        <f>+'NI-San_SP'!AB267+'NI-Soc_SP'!AB267+'NI-Ric_SP'!AB267</f>
        <v>0</v>
      </c>
      <c r="AC267" s="272">
        <f>+'NI-San_SP'!AC267+'NI-Soc_SP'!AC267+'NI-Ric_SP'!AC267</f>
        <v>0</v>
      </c>
      <c r="AD267" s="272">
        <f>+'NI-San_SP'!AD267+'NI-Soc_SP'!AD267+'NI-Ric_SP'!AD267</f>
        <v>0</v>
      </c>
      <c r="AE267" s="272">
        <f>+'NI-San_SP'!AE267+'NI-Soc_SP'!AE267+'NI-Ric_SP'!AE267</f>
        <v>0</v>
      </c>
    </row>
    <row r="268" spans="2:31" s="204" customFormat="1" x14ac:dyDescent="0.25">
      <c r="B268" s="246" t="s">
        <v>603</v>
      </c>
      <c r="C268" s="273" t="s">
        <v>604</v>
      </c>
      <c r="D268" s="264" t="s">
        <v>3239</v>
      </c>
      <c r="E268" s="264"/>
      <c r="F268" s="274"/>
      <c r="G268" s="283"/>
      <c r="H268" s="266"/>
      <c r="I268" s="281"/>
      <c r="J268" s="281"/>
      <c r="K268" s="281"/>
      <c r="L268" s="295" t="s">
        <v>3240</v>
      </c>
      <c r="M268" s="284" t="s">
        <v>2962</v>
      </c>
      <c r="N268" s="269">
        <f t="shared" si="27"/>
        <v>5999678</v>
      </c>
      <c r="O268" s="270">
        <f t="shared" si="28"/>
        <v>5999678</v>
      </c>
      <c r="P268" s="271">
        <f t="shared" si="29"/>
        <v>0</v>
      </c>
      <c r="Q268" s="272">
        <f>+'NI-San_SP'!Q268+'NI-Soc_SP'!Q268+'NI-Ric_SP'!Q268</f>
        <v>0</v>
      </c>
      <c r="R268" s="272">
        <f>+'NI-San_SP'!R268+'NI-Soc_SP'!R268+'NI-Ric_SP'!R268</f>
        <v>5999678</v>
      </c>
      <c r="S268" s="272">
        <f>+'NI-San_SP'!S268+'NI-Soc_SP'!T268+'NI-Ric_SP'!T268</f>
        <v>0</v>
      </c>
      <c r="T268" s="272">
        <f>+'NI-San_SP'!T268+'NI-Soc_SP'!T268+'NI-Ric_SP'!T268</f>
        <v>0</v>
      </c>
      <c r="U268" s="272">
        <f>+'NI-San_SP'!U268+'NI-Soc_SP'!U268+'NI-Ric_SP'!U268</f>
        <v>0</v>
      </c>
      <c r="W268" s="272">
        <f>+'NI-San_SP'!W268+'NI-Soc_SP'!W268+'NI-Ric_SP'!W268</f>
        <v>0</v>
      </c>
      <c r="X268" s="272">
        <f>+'NI-San_SP'!X268+'NI-Soc_SP'!X268+'NI-Ric_SP'!X268</f>
        <v>0</v>
      </c>
      <c r="Y268" s="272">
        <f>+'NI-San_SP'!Y268+'NI-Soc_SP'!Y268+'NI-Ric_SP'!Y268</f>
        <v>0</v>
      </c>
      <c r="Z268" s="272">
        <f>+'NI-San_SP'!Z268+'NI-Soc_SP'!Z268+'NI-Ric_SP'!Z268</f>
        <v>0</v>
      </c>
      <c r="AA268" s="272">
        <f>+'NI-San_SP'!AA268+'NI-Soc_SP'!AA268+'NI-Ric_SP'!AA268</f>
        <v>0</v>
      </c>
      <c r="AB268" s="272">
        <f>+'NI-San_SP'!AB268+'NI-Soc_SP'!AB268+'NI-Ric_SP'!AB268</f>
        <v>0</v>
      </c>
      <c r="AC268" s="272">
        <f>+'NI-San_SP'!AC268+'NI-Soc_SP'!AC268+'NI-Ric_SP'!AC268</f>
        <v>0</v>
      </c>
      <c r="AD268" s="272">
        <f>+'NI-San_SP'!AD268+'NI-Soc_SP'!AD268+'NI-Ric_SP'!AD268</f>
        <v>0</v>
      </c>
      <c r="AE268" s="272">
        <f>+'NI-San_SP'!AE268+'NI-Soc_SP'!AE268+'NI-Ric_SP'!AE268</f>
        <v>0</v>
      </c>
    </row>
    <row r="269" spans="2:31" s="204" customFormat="1" x14ac:dyDescent="0.25">
      <c r="B269" s="246" t="s">
        <v>606</v>
      </c>
      <c r="C269" s="273" t="s">
        <v>607</v>
      </c>
      <c r="D269" s="264" t="s">
        <v>3241</v>
      </c>
      <c r="E269" s="264"/>
      <c r="F269" s="274"/>
      <c r="G269" s="283"/>
      <c r="H269" s="266"/>
      <c r="I269" s="281"/>
      <c r="J269" s="281"/>
      <c r="K269" s="281"/>
      <c r="L269" s="295" t="s">
        <v>3242</v>
      </c>
      <c r="M269" s="284" t="s">
        <v>2962</v>
      </c>
      <c r="N269" s="269">
        <f t="shared" si="27"/>
        <v>1411023</v>
      </c>
      <c r="O269" s="270">
        <f t="shared" si="28"/>
        <v>1411023</v>
      </c>
      <c r="P269" s="271">
        <f t="shared" si="29"/>
        <v>0</v>
      </c>
      <c r="Q269" s="272">
        <f>+'NI-San_SP'!Q269+'NI-Soc_SP'!Q269+'NI-Ric_SP'!Q269</f>
        <v>0</v>
      </c>
      <c r="R269" s="272">
        <f>+'NI-San_SP'!R269+'NI-Soc_SP'!R269+'NI-Ric_SP'!R269</f>
        <v>1411023</v>
      </c>
      <c r="S269" s="272">
        <f>+'NI-San_SP'!S269+'NI-Soc_SP'!T269+'NI-Ric_SP'!T269</f>
        <v>0</v>
      </c>
      <c r="T269" s="272">
        <f>+'NI-San_SP'!T269+'NI-Soc_SP'!T269+'NI-Ric_SP'!T269</f>
        <v>0</v>
      </c>
      <c r="U269" s="272">
        <f>+'NI-San_SP'!U269+'NI-Soc_SP'!U269+'NI-Ric_SP'!U269</f>
        <v>0</v>
      </c>
      <c r="W269" s="272">
        <f>+'NI-San_SP'!W269+'NI-Soc_SP'!W269+'NI-Ric_SP'!W269</f>
        <v>0</v>
      </c>
      <c r="X269" s="272">
        <f>+'NI-San_SP'!X269+'NI-Soc_SP'!X269+'NI-Ric_SP'!X269</f>
        <v>0</v>
      </c>
      <c r="Y269" s="272">
        <f>+'NI-San_SP'!Y269+'NI-Soc_SP'!Y269+'NI-Ric_SP'!Y269</f>
        <v>0</v>
      </c>
      <c r="Z269" s="272">
        <f>+'NI-San_SP'!Z269+'NI-Soc_SP'!Z269+'NI-Ric_SP'!Z269</f>
        <v>0</v>
      </c>
      <c r="AA269" s="272">
        <f>+'NI-San_SP'!AA269+'NI-Soc_SP'!AA269+'NI-Ric_SP'!AA269</f>
        <v>0</v>
      </c>
      <c r="AB269" s="272">
        <f>+'NI-San_SP'!AB269+'NI-Soc_SP'!AB269+'NI-Ric_SP'!AB269</f>
        <v>0</v>
      </c>
      <c r="AC269" s="272">
        <f>+'NI-San_SP'!AC269+'NI-Soc_SP'!AC269+'NI-Ric_SP'!AC269</f>
        <v>0</v>
      </c>
      <c r="AD269" s="272">
        <f>+'NI-San_SP'!AD269+'NI-Soc_SP'!AD269+'NI-Ric_SP'!AD269</f>
        <v>0</v>
      </c>
      <c r="AE269" s="272">
        <f>+'NI-San_SP'!AE269+'NI-Soc_SP'!AE269+'NI-Ric_SP'!AE269</f>
        <v>0</v>
      </c>
    </row>
    <row r="270" spans="2:31" s="204" customFormat="1" x14ac:dyDescent="0.25">
      <c r="B270" s="293"/>
      <c r="C270" s="293"/>
      <c r="D270" s="230"/>
      <c r="E270" s="230"/>
      <c r="F270" s="230"/>
      <c r="G270" s="230"/>
      <c r="H270" s="231"/>
      <c r="I270" s="230"/>
      <c r="J270" s="230"/>
      <c r="K270" s="230"/>
      <c r="L270" s="275"/>
      <c r="M270" s="216"/>
      <c r="N270" s="285"/>
      <c r="O270" s="211"/>
      <c r="P270" s="211"/>
      <c r="Q270" s="211"/>
      <c r="R270" s="211"/>
      <c r="S270" s="211"/>
      <c r="T270" s="285"/>
      <c r="U270" s="285"/>
      <c r="V270" s="285"/>
      <c r="W270" s="285"/>
      <c r="X270" s="285"/>
      <c r="Y270" s="285"/>
      <c r="Z270" s="285"/>
      <c r="AA270" s="285"/>
    </row>
    <row r="271" spans="2:31" s="204" customFormat="1" x14ac:dyDescent="0.25">
      <c r="B271" s="246" t="s">
        <v>609</v>
      </c>
      <c r="C271" s="292" t="s">
        <v>610</v>
      </c>
      <c r="D271" s="247" t="s">
        <v>3243</v>
      </c>
      <c r="E271" s="247"/>
      <c r="F271" s="247"/>
      <c r="G271" s="247"/>
      <c r="H271" s="248"/>
      <c r="I271" s="247"/>
      <c r="J271" s="247"/>
      <c r="K271" s="249"/>
      <c r="L271" s="276" t="s">
        <v>613</v>
      </c>
      <c r="M271" s="251" t="s">
        <v>2962</v>
      </c>
      <c r="N271" s="252">
        <f>SUM(N274:N287)</f>
        <v>45515589</v>
      </c>
      <c r="O271" s="252">
        <f>SUM(O274:O287)</f>
        <v>48218432</v>
      </c>
      <c r="P271" s="259">
        <f>+O271-N271</f>
        <v>2702843</v>
      </c>
      <c r="Q271" s="252">
        <f>SUM(Q274:Q287)</f>
        <v>0</v>
      </c>
      <c r="R271" s="252">
        <f>SUM(R274:R287)</f>
        <v>45515589</v>
      </c>
      <c r="S271" s="252">
        <f>SUM(S274:S287)</f>
        <v>0</v>
      </c>
      <c r="T271" s="211"/>
      <c r="U271" s="211"/>
      <c r="V271" s="211"/>
      <c r="W271" s="252">
        <f>SUM(W274:W287)</f>
        <v>0</v>
      </c>
      <c r="X271" s="252">
        <f>SUM(X274:X287)</f>
        <v>0</v>
      </c>
      <c r="Y271" s="252">
        <f>SUM(Y274:Y287)</f>
        <v>252403</v>
      </c>
      <c r="Z271" s="252">
        <f>SUM(Z274:Z287)</f>
        <v>2955246</v>
      </c>
      <c r="AA271" s="285"/>
    </row>
    <row r="272" spans="2:31" s="204" customFormat="1" x14ac:dyDescent="0.25">
      <c r="B272" s="293"/>
      <c r="C272" s="293"/>
      <c r="D272" s="230"/>
      <c r="E272" s="230"/>
      <c r="F272" s="230"/>
      <c r="G272" s="230"/>
      <c r="H272" s="231"/>
      <c r="I272" s="230"/>
      <c r="J272" s="230"/>
      <c r="K272" s="230"/>
      <c r="L272" s="232"/>
      <c r="M272" s="211"/>
      <c r="N272" s="254"/>
      <c r="O272" s="211"/>
      <c r="P272" s="211"/>
      <c r="Q272" s="211"/>
      <c r="R272" s="211"/>
      <c r="S272" s="211"/>
      <c r="T272" s="211"/>
      <c r="U272" s="211"/>
      <c r="V272" s="211"/>
      <c r="W272" s="285"/>
      <c r="X272" s="285"/>
      <c r="Y272" s="285"/>
      <c r="Z272" s="285"/>
      <c r="AA272" s="285"/>
    </row>
    <row r="273" spans="2:27" s="204" customFormat="1" ht="63.75" x14ac:dyDescent="0.25">
      <c r="B273" s="294" t="s">
        <v>2968</v>
      </c>
      <c r="C273" s="294" t="s">
        <v>2969</v>
      </c>
      <c r="D273" s="206" t="s">
        <v>72</v>
      </c>
      <c r="E273" s="206"/>
      <c r="F273" s="206"/>
      <c r="G273" s="207"/>
      <c r="H273" s="207"/>
      <c r="I273" s="207"/>
      <c r="J273" s="207" t="s">
        <v>2957</v>
      </c>
      <c r="K273" s="206" t="s">
        <v>82</v>
      </c>
      <c r="L273" s="261" t="s">
        <v>2970</v>
      </c>
      <c r="M273" s="260"/>
      <c r="N273" s="256" t="str">
        <f>N$15</f>
        <v>Valore netto al 31/12/2019</v>
      </c>
      <c r="O273" s="256" t="str">
        <f>O$15</f>
        <v>Valore netto al 31/12/2020</v>
      </c>
      <c r="P273" s="256" t="str">
        <f>P$15</f>
        <v>Variazione</v>
      </c>
      <c r="Q273" s="262" t="s">
        <v>2971</v>
      </c>
      <c r="R273" s="262" t="str">
        <f>"Fondo ammortamento 31/12/"&amp;Info!$B$3-1</f>
        <v>Fondo ammortamento 31/12/2019</v>
      </c>
      <c r="S273" s="262" t="s">
        <v>2972</v>
      </c>
      <c r="W273" s="262" t="s">
        <v>2975</v>
      </c>
      <c r="X273" s="262" t="s">
        <v>2976</v>
      </c>
      <c r="Y273" s="262" t="s">
        <v>2989</v>
      </c>
      <c r="Z273" s="262" t="s">
        <v>2990</v>
      </c>
      <c r="AA273" s="285"/>
    </row>
    <row r="274" spans="2:27" s="204" customFormat="1" x14ac:dyDescent="0.25">
      <c r="B274" s="246" t="s">
        <v>614</v>
      </c>
      <c r="C274" s="273" t="s">
        <v>615</v>
      </c>
      <c r="D274" s="264" t="s">
        <v>3244</v>
      </c>
      <c r="E274" s="264"/>
      <c r="F274" s="264"/>
      <c r="G274" s="265"/>
      <c r="H274" s="266"/>
      <c r="I274" s="281"/>
      <c r="J274" s="281"/>
      <c r="K274" s="281"/>
      <c r="L274" s="282" t="s">
        <v>3245</v>
      </c>
      <c r="M274" s="263" t="s">
        <v>2962</v>
      </c>
      <c r="N274" s="269">
        <f t="shared" ref="N274:N287" si="30">+R274</f>
        <v>1811019</v>
      </c>
      <c r="O274" s="270">
        <f t="shared" ref="O274:O287" si="31">+R274+S274+X274-ABS(Y274)+ABS(Z274)+W274+Q274</f>
        <v>1780373</v>
      </c>
      <c r="P274" s="271">
        <f t="shared" ref="P274:P287" si="32">+O274-N274</f>
        <v>-30646</v>
      </c>
      <c r="Q274" s="272">
        <f>+'NI-San_SP'!Q274+'NI-Soc_SP'!Q274+'NI-Ric_SP'!Q274</f>
        <v>0</v>
      </c>
      <c r="R274" s="272">
        <f>+'NI-San_SP'!R274+'NI-Soc_SP'!R274+'NI-Ric_SP'!R274</f>
        <v>1811019</v>
      </c>
      <c r="S274" s="272">
        <f>+'NI-San_SP'!S274+'NI-Soc_SP'!S274+'NI-Ric_SP'!S274</f>
        <v>0</v>
      </c>
      <c r="V274" s="211"/>
      <c r="W274" s="272">
        <f>+'NI-San_SP'!W274+'NI-Soc_SP'!W274+'NI-Ric_SP'!W274</f>
        <v>0</v>
      </c>
      <c r="X274" s="272">
        <f>+'NI-San_SP'!X274+'NI-Soc_SP'!X274+'NI-Ric_SP'!X274</f>
        <v>0</v>
      </c>
      <c r="Y274" s="272">
        <f>+'NI-San_SP'!Y274+'NI-Soc_SP'!Y274+'NI-Ric_SP'!Y274</f>
        <v>252403</v>
      </c>
      <c r="Z274" s="272">
        <f>+'NI-San_SP'!Z274+'NI-Soc_SP'!Z274+'NI-Ric_SP'!Z274</f>
        <v>221757</v>
      </c>
      <c r="AA274" s="285"/>
    </row>
    <row r="275" spans="2:27" s="204" customFormat="1" x14ac:dyDescent="0.25">
      <c r="B275" s="246" t="s">
        <v>617</v>
      </c>
      <c r="C275" s="273" t="s">
        <v>618</v>
      </c>
      <c r="D275" s="264" t="s">
        <v>3246</v>
      </c>
      <c r="E275" s="264"/>
      <c r="F275" s="264"/>
      <c r="G275" s="265"/>
      <c r="H275" s="266"/>
      <c r="I275" s="281"/>
      <c r="J275" s="281"/>
      <c r="K275" s="281"/>
      <c r="L275" s="282" t="s">
        <v>3247</v>
      </c>
      <c r="M275" s="263" t="s">
        <v>2962</v>
      </c>
      <c r="N275" s="269">
        <f t="shared" si="30"/>
        <v>14726759</v>
      </c>
      <c r="O275" s="270">
        <f t="shared" si="31"/>
        <v>16172836</v>
      </c>
      <c r="P275" s="271">
        <f t="shared" si="32"/>
        <v>1446077</v>
      </c>
      <c r="Q275" s="272">
        <f>+'NI-San_SP'!Q275+'NI-Soc_SP'!Q275+'NI-Ric_SP'!Q275</f>
        <v>0</v>
      </c>
      <c r="R275" s="272">
        <f>+'NI-San_SP'!R275+'NI-Soc_SP'!R275+'NI-Ric_SP'!R275</f>
        <v>14726759</v>
      </c>
      <c r="S275" s="272">
        <f>+'NI-San_SP'!S275+'NI-Soc_SP'!S275+'NI-Ric_SP'!S275</f>
        <v>0</v>
      </c>
      <c r="V275" s="211"/>
      <c r="W275" s="272">
        <f>+'NI-San_SP'!W275+'NI-Soc_SP'!W275+'NI-Ric_SP'!W275</f>
        <v>0</v>
      </c>
      <c r="X275" s="272">
        <f>+'NI-San_SP'!X275+'NI-Soc_SP'!X275+'NI-Ric_SP'!X275</f>
        <v>0</v>
      </c>
      <c r="Y275" s="272">
        <f>+'NI-San_SP'!Y275+'NI-Soc_SP'!Y275+'NI-Ric_SP'!Y275</f>
        <v>0</v>
      </c>
      <c r="Z275" s="272">
        <f>+'NI-San_SP'!Z275+'NI-Soc_SP'!Z275+'NI-Ric_SP'!Z275</f>
        <v>1446077</v>
      </c>
      <c r="AA275" s="285"/>
    </row>
    <row r="276" spans="2:27" s="204" customFormat="1" x14ac:dyDescent="0.25">
      <c r="B276" s="246" t="s">
        <v>620</v>
      </c>
      <c r="C276" s="273" t="s">
        <v>621</v>
      </c>
      <c r="D276" s="264" t="s">
        <v>3248</v>
      </c>
      <c r="E276" s="264"/>
      <c r="F276" s="274"/>
      <c r="G276" s="283"/>
      <c r="H276" s="266"/>
      <c r="I276" s="281"/>
      <c r="J276" s="281"/>
      <c r="K276" s="281"/>
      <c r="L276" s="295" t="s">
        <v>3249</v>
      </c>
      <c r="M276" s="284" t="s">
        <v>2962</v>
      </c>
      <c r="N276" s="269">
        <f t="shared" si="30"/>
        <v>9410392</v>
      </c>
      <c r="O276" s="270">
        <f t="shared" si="31"/>
        <v>9646828</v>
      </c>
      <c r="P276" s="271">
        <f t="shared" si="32"/>
        <v>236436</v>
      </c>
      <c r="Q276" s="272">
        <f>+'NI-San_SP'!Q276+'NI-Soc_SP'!Q276+'NI-Ric_SP'!Q276</f>
        <v>0</v>
      </c>
      <c r="R276" s="272">
        <f>+'NI-San_SP'!R276+'NI-Soc_SP'!R276+'NI-Ric_SP'!R276</f>
        <v>9410392</v>
      </c>
      <c r="S276" s="272">
        <f>+'NI-San_SP'!S276+'NI-Soc_SP'!S276+'NI-Ric_SP'!S276</f>
        <v>0</v>
      </c>
      <c r="V276" s="211"/>
      <c r="W276" s="272">
        <f>+'NI-San_SP'!W276+'NI-Soc_SP'!W276+'NI-Ric_SP'!W276</f>
        <v>0</v>
      </c>
      <c r="X276" s="272">
        <f>+'NI-San_SP'!X276+'NI-Soc_SP'!X276+'NI-Ric_SP'!X276</f>
        <v>0</v>
      </c>
      <c r="Y276" s="272">
        <f>+'NI-San_SP'!Y276+'NI-Soc_SP'!Y276+'NI-Ric_SP'!Y276</f>
        <v>0</v>
      </c>
      <c r="Z276" s="272">
        <f>+'NI-San_SP'!Z276+'NI-Soc_SP'!Z276+'NI-Ric_SP'!Z276</f>
        <v>236436</v>
      </c>
      <c r="AA276" s="285"/>
    </row>
    <row r="277" spans="2:27" s="204" customFormat="1" x14ac:dyDescent="0.25">
      <c r="B277" s="246" t="s">
        <v>623</v>
      </c>
      <c r="C277" s="273" t="s">
        <v>624</v>
      </c>
      <c r="D277" s="264" t="s">
        <v>3250</v>
      </c>
      <c r="E277" s="264"/>
      <c r="F277" s="274"/>
      <c r="G277" s="283"/>
      <c r="H277" s="266"/>
      <c r="I277" s="281"/>
      <c r="J277" s="281"/>
      <c r="K277" s="281"/>
      <c r="L277" s="295" t="s">
        <v>3251</v>
      </c>
      <c r="M277" s="284" t="s">
        <v>2962</v>
      </c>
      <c r="N277" s="269">
        <f t="shared" si="30"/>
        <v>6231609</v>
      </c>
      <c r="O277" s="270">
        <f t="shared" si="31"/>
        <v>6604249</v>
      </c>
      <c r="P277" s="271">
        <f t="shared" si="32"/>
        <v>372640</v>
      </c>
      <c r="Q277" s="272">
        <f>+'NI-San_SP'!Q277+'NI-Soc_SP'!Q277+'NI-Ric_SP'!Q277</f>
        <v>0</v>
      </c>
      <c r="R277" s="272">
        <f>+'NI-San_SP'!R277+'NI-Soc_SP'!R277+'NI-Ric_SP'!R277</f>
        <v>6231609</v>
      </c>
      <c r="S277" s="272">
        <f>+'NI-San_SP'!S277+'NI-Soc_SP'!S277+'NI-Ric_SP'!S277</f>
        <v>0</v>
      </c>
      <c r="V277" s="211"/>
      <c r="W277" s="272">
        <f>+'NI-San_SP'!W277+'NI-Soc_SP'!W277+'NI-Ric_SP'!W277</f>
        <v>0</v>
      </c>
      <c r="X277" s="272">
        <f>+'NI-San_SP'!X277+'NI-Soc_SP'!X277+'NI-Ric_SP'!X277</f>
        <v>0</v>
      </c>
      <c r="Y277" s="272">
        <f>+'NI-San_SP'!Y277+'NI-Soc_SP'!Y277+'NI-Ric_SP'!Y277</f>
        <v>0</v>
      </c>
      <c r="Z277" s="272">
        <f>+'NI-San_SP'!Z277+'NI-Soc_SP'!Z277+'NI-Ric_SP'!Z277</f>
        <v>372640</v>
      </c>
      <c r="AA277" s="285"/>
    </row>
    <row r="278" spans="2:27" s="204" customFormat="1" x14ac:dyDescent="0.25">
      <c r="B278" s="246" t="s">
        <v>626</v>
      </c>
      <c r="C278" s="273" t="s">
        <v>627</v>
      </c>
      <c r="D278" s="264" t="s">
        <v>3252</v>
      </c>
      <c r="E278" s="264"/>
      <c r="F278" s="274"/>
      <c r="G278" s="283"/>
      <c r="H278" s="266"/>
      <c r="I278" s="281"/>
      <c r="J278" s="281"/>
      <c r="K278" s="281"/>
      <c r="L278" s="295" t="s">
        <v>3253</v>
      </c>
      <c r="M278" s="284" t="s">
        <v>2962</v>
      </c>
      <c r="N278" s="269">
        <f t="shared" si="30"/>
        <v>496938</v>
      </c>
      <c r="O278" s="270">
        <f t="shared" si="31"/>
        <v>501035</v>
      </c>
      <c r="P278" s="271">
        <f t="shared" si="32"/>
        <v>4097</v>
      </c>
      <c r="Q278" s="272">
        <f>+'NI-San_SP'!Q278+'NI-Soc_SP'!Q278+'NI-Ric_SP'!Q278</f>
        <v>0</v>
      </c>
      <c r="R278" s="272">
        <f>+'NI-San_SP'!R278+'NI-Soc_SP'!R278+'NI-Ric_SP'!R278</f>
        <v>496938</v>
      </c>
      <c r="S278" s="272">
        <f>+'NI-San_SP'!S278+'NI-Soc_SP'!S278+'NI-Ric_SP'!S278</f>
        <v>0</v>
      </c>
      <c r="V278" s="211"/>
      <c r="W278" s="272">
        <f>+'NI-San_SP'!W278+'NI-Soc_SP'!W278+'NI-Ric_SP'!W278</f>
        <v>0</v>
      </c>
      <c r="X278" s="272">
        <f>+'NI-San_SP'!X278+'NI-Soc_SP'!X278+'NI-Ric_SP'!X278</f>
        <v>0</v>
      </c>
      <c r="Y278" s="272">
        <f>+'NI-San_SP'!Y278+'NI-Soc_SP'!Y278+'NI-Ric_SP'!Y278</f>
        <v>0</v>
      </c>
      <c r="Z278" s="272">
        <f>+'NI-San_SP'!Z278+'NI-Soc_SP'!Z278+'NI-Ric_SP'!Z278</f>
        <v>4097</v>
      </c>
      <c r="AA278" s="285"/>
    </row>
    <row r="279" spans="2:27" s="204" customFormat="1" x14ac:dyDescent="0.25">
      <c r="B279" s="246" t="s">
        <v>629</v>
      </c>
      <c r="C279" s="273" t="s">
        <v>630</v>
      </c>
      <c r="D279" s="264" t="s">
        <v>3254</v>
      </c>
      <c r="E279" s="264"/>
      <c r="F279" s="274"/>
      <c r="G279" s="283"/>
      <c r="H279" s="266"/>
      <c r="I279" s="281"/>
      <c r="J279" s="281"/>
      <c r="K279" s="281"/>
      <c r="L279" s="295" t="s">
        <v>3255</v>
      </c>
      <c r="M279" s="284" t="s">
        <v>2962</v>
      </c>
      <c r="N279" s="269">
        <f t="shared" si="30"/>
        <v>41026</v>
      </c>
      <c r="O279" s="270">
        <f t="shared" si="31"/>
        <v>50161</v>
      </c>
      <c r="P279" s="271">
        <f t="shared" si="32"/>
        <v>9135</v>
      </c>
      <c r="Q279" s="272">
        <f>+'NI-San_SP'!Q279+'NI-Soc_SP'!Q279+'NI-Ric_SP'!Q279</f>
        <v>0</v>
      </c>
      <c r="R279" s="272">
        <f>+'NI-San_SP'!R279+'NI-Soc_SP'!R279+'NI-Ric_SP'!R279</f>
        <v>41026</v>
      </c>
      <c r="S279" s="272">
        <f>+'NI-San_SP'!S279+'NI-Soc_SP'!S279+'NI-Ric_SP'!S279</f>
        <v>0</v>
      </c>
      <c r="V279" s="211"/>
      <c r="W279" s="272">
        <f>+'NI-San_SP'!W279+'NI-Soc_SP'!W279+'NI-Ric_SP'!W279</f>
        <v>0</v>
      </c>
      <c r="X279" s="272">
        <f>+'NI-San_SP'!X279+'NI-Soc_SP'!X279+'NI-Ric_SP'!X279</f>
        <v>0</v>
      </c>
      <c r="Y279" s="272">
        <f>+'NI-San_SP'!Y279+'NI-Soc_SP'!Y279+'NI-Ric_SP'!Y279</f>
        <v>0</v>
      </c>
      <c r="Z279" s="272">
        <f>+'NI-San_SP'!Z279+'NI-Soc_SP'!Z279+'NI-Ric_SP'!Z279</f>
        <v>9135</v>
      </c>
      <c r="AA279" s="285"/>
    </row>
    <row r="280" spans="2:27" s="204" customFormat="1" x14ac:dyDescent="0.25">
      <c r="B280" s="246" t="s">
        <v>632</v>
      </c>
      <c r="C280" s="273" t="s">
        <v>633</v>
      </c>
      <c r="D280" s="264" t="s">
        <v>3256</v>
      </c>
      <c r="E280" s="264"/>
      <c r="F280" s="274"/>
      <c r="G280" s="283"/>
      <c r="H280" s="266"/>
      <c r="I280" s="281"/>
      <c r="J280" s="281"/>
      <c r="K280" s="281"/>
      <c r="L280" s="295" t="s">
        <v>3257</v>
      </c>
      <c r="M280" s="284" t="s">
        <v>2962</v>
      </c>
      <c r="N280" s="269">
        <f t="shared" si="30"/>
        <v>667438</v>
      </c>
      <c r="O280" s="270">
        <f t="shared" si="31"/>
        <v>667840</v>
      </c>
      <c r="P280" s="271">
        <f t="shared" si="32"/>
        <v>402</v>
      </c>
      <c r="Q280" s="272">
        <f>+'NI-San_SP'!Q280+'NI-Soc_SP'!Q280+'NI-Ric_SP'!Q280</f>
        <v>0</v>
      </c>
      <c r="R280" s="272">
        <f>+'NI-San_SP'!R280+'NI-Soc_SP'!R280+'NI-Ric_SP'!R280</f>
        <v>667438</v>
      </c>
      <c r="S280" s="272">
        <f>+'NI-San_SP'!S280+'NI-Soc_SP'!S280+'NI-Ric_SP'!S280</f>
        <v>0</v>
      </c>
      <c r="V280" s="211"/>
      <c r="W280" s="272">
        <f>+'NI-San_SP'!W280+'NI-Soc_SP'!W280+'NI-Ric_SP'!W280</f>
        <v>0</v>
      </c>
      <c r="X280" s="272">
        <f>+'NI-San_SP'!X280+'NI-Soc_SP'!X280+'NI-Ric_SP'!X280</f>
        <v>0</v>
      </c>
      <c r="Y280" s="272">
        <f>+'NI-San_SP'!Y280+'NI-Soc_SP'!Y280+'NI-Ric_SP'!Y280</f>
        <v>0</v>
      </c>
      <c r="Z280" s="272">
        <f>+'NI-San_SP'!Z280+'NI-Soc_SP'!Z280+'NI-Ric_SP'!Z280</f>
        <v>402</v>
      </c>
      <c r="AA280" s="285"/>
    </row>
    <row r="281" spans="2:27" s="204" customFormat="1" x14ac:dyDescent="0.25">
      <c r="B281" s="246" t="s">
        <v>635</v>
      </c>
      <c r="C281" s="273" t="s">
        <v>636</v>
      </c>
      <c r="D281" s="264" t="s">
        <v>3258</v>
      </c>
      <c r="E281" s="264"/>
      <c r="F281" s="274"/>
      <c r="G281" s="283"/>
      <c r="H281" s="266"/>
      <c r="I281" s="281"/>
      <c r="J281" s="281"/>
      <c r="K281" s="281"/>
      <c r="L281" s="295" t="s">
        <v>3259</v>
      </c>
      <c r="M281" s="284" t="s">
        <v>2962</v>
      </c>
      <c r="N281" s="269">
        <f t="shared" si="30"/>
        <v>126115</v>
      </c>
      <c r="O281" s="270">
        <f t="shared" si="31"/>
        <v>170383</v>
      </c>
      <c r="P281" s="271">
        <f t="shared" si="32"/>
        <v>44268</v>
      </c>
      <c r="Q281" s="272">
        <f>+'NI-San_SP'!Q281+'NI-Soc_SP'!Q281+'NI-Ric_SP'!Q281</f>
        <v>0</v>
      </c>
      <c r="R281" s="272">
        <f>+'NI-San_SP'!R281+'NI-Soc_SP'!R281+'NI-Ric_SP'!R281</f>
        <v>126115</v>
      </c>
      <c r="S281" s="272">
        <f>+'NI-San_SP'!S281+'NI-Soc_SP'!S281+'NI-Ric_SP'!S281</f>
        <v>0</v>
      </c>
      <c r="V281" s="211"/>
      <c r="W281" s="272">
        <f>+'NI-San_SP'!W281+'NI-Soc_SP'!W281+'NI-Ric_SP'!W281</f>
        <v>0</v>
      </c>
      <c r="X281" s="272">
        <f>+'NI-San_SP'!X281+'NI-Soc_SP'!X281+'NI-Ric_SP'!X281</f>
        <v>0</v>
      </c>
      <c r="Y281" s="272">
        <f>+'NI-San_SP'!Y281+'NI-Soc_SP'!Y281+'NI-Ric_SP'!Y281</f>
        <v>0</v>
      </c>
      <c r="Z281" s="272">
        <f>+'NI-San_SP'!Z281+'NI-Soc_SP'!Z281+'NI-Ric_SP'!Z281</f>
        <v>44268</v>
      </c>
      <c r="AA281" s="285"/>
    </row>
    <row r="282" spans="2:27" s="204" customFormat="1" x14ac:dyDescent="0.25">
      <c r="B282" s="246" t="s">
        <v>638</v>
      </c>
      <c r="C282" s="273" t="s">
        <v>639</v>
      </c>
      <c r="D282" s="264" t="s">
        <v>3260</v>
      </c>
      <c r="E282" s="264"/>
      <c r="F282" s="274"/>
      <c r="G282" s="283"/>
      <c r="H282" s="266"/>
      <c r="I282" s="281"/>
      <c r="J282" s="281"/>
      <c r="K282" s="281"/>
      <c r="L282" s="295" t="s">
        <v>3261</v>
      </c>
      <c r="M282" s="284" t="s">
        <v>2962</v>
      </c>
      <c r="N282" s="269">
        <f t="shared" si="30"/>
        <v>1125180</v>
      </c>
      <c r="O282" s="270">
        <f t="shared" si="31"/>
        <v>1139446</v>
      </c>
      <c r="P282" s="271">
        <f t="shared" si="32"/>
        <v>14266</v>
      </c>
      <c r="Q282" s="272">
        <f>+'NI-San_SP'!Q282+'NI-Soc_SP'!Q282+'NI-Ric_SP'!Q282</f>
        <v>0</v>
      </c>
      <c r="R282" s="272">
        <f>+'NI-San_SP'!R282+'NI-Soc_SP'!R282+'NI-Ric_SP'!R282</f>
        <v>1125180</v>
      </c>
      <c r="S282" s="272">
        <f>+'NI-San_SP'!S282+'NI-Soc_SP'!S282+'NI-Ric_SP'!S282</f>
        <v>0</v>
      </c>
      <c r="V282" s="211"/>
      <c r="W282" s="272">
        <f>+'NI-San_SP'!W282+'NI-Soc_SP'!W282+'NI-Ric_SP'!W282</f>
        <v>0</v>
      </c>
      <c r="X282" s="272">
        <f>+'NI-San_SP'!X282+'NI-Soc_SP'!X282+'NI-Ric_SP'!X282</f>
        <v>0</v>
      </c>
      <c r="Y282" s="272">
        <f>+'NI-San_SP'!Y282+'NI-Soc_SP'!Y282+'NI-Ric_SP'!Y282</f>
        <v>0</v>
      </c>
      <c r="Z282" s="272">
        <f>+'NI-San_SP'!Z282+'NI-Soc_SP'!Z282+'NI-Ric_SP'!Z282</f>
        <v>14266</v>
      </c>
      <c r="AA282" s="285"/>
    </row>
    <row r="283" spans="2:27" s="204" customFormat="1" x14ac:dyDescent="0.25">
      <c r="B283" s="246" t="s">
        <v>641</v>
      </c>
      <c r="C283" s="273" t="s">
        <v>642</v>
      </c>
      <c r="D283" s="264" t="s">
        <v>3262</v>
      </c>
      <c r="E283" s="264"/>
      <c r="F283" s="274"/>
      <c r="G283" s="283"/>
      <c r="H283" s="266"/>
      <c r="I283" s="281"/>
      <c r="J283" s="281"/>
      <c r="K283" s="281"/>
      <c r="L283" s="295" t="s">
        <v>3263</v>
      </c>
      <c r="M283" s="284" t="s">
        <v>2962</v>
      </c>
      <c r="N283" s="269">
        <f t="shared" si="30"/>
        <v>3528624</v>
      </c>
      <c r="O283" s="270">
        <f t="shared" si="31"/>
        <v>3866339</v>
      </c>
      <c r="P283" s="271">
        <f t="shared" si="32"/>
        <v>337715</v>
      </c>
      <c r="Q283" s="272">
        <f>+'NI-San_SP'!Q283+'NI-Soc_SP'!Q283+'NI-Ric_SP'!Q283</f>
        <v>0</v>
      </c>
      <c r="R283" s="272">
        <f>+'NI-San_SP'!R283+'NI-Soc_SP'!R283+'NI-Ric_SP'!R283</f>
        <v>3528624</v>
      </c>
      <c r="S283" s="272">
        <f>+'NI-San_SP'!S283+'NI-Soc_SP'!S283+'NI-Ric_SP'!S283</f>
        <v>0</v>
      </c>
      <c r="V283" s="211"/>
      <c r="W283" s="272">
        <f>+'NI-San_SP'!W283+'NI-Soc_SP'!W283+'NI-Ric_SP'!W283</f>
        <v>0</v>
      </c>
      <c r="X283" s="272">
        <f>+'NI-San_SP'!X283+'NI-Soc_SP'!X283+'NI-Ric_SP'!X283</f>
        <v>0</v>
      </c>
      <c r="Y283" s="272">
        <f>+'NI-San_SP'!Y283+'NI-Soc_SP'!Y283+'NI-Ric_SP'!Y283</f>
        <v>0</v>
      </c>
      <c r="Z283" s="272">
        <f>+'NI-San_SP'!Z283+'NI-Soc_SP'!Z283+'NI-Ric_SP'!Z283</f>
        <v>337715</v>
      </c>
      <c r="AA283" s="285"/>
    </row>
    <row r="284" spans="2:27" s="204" customFormat="1" x14ac:dyDescent="0.25">
      <c r="B284" s="246" t="s">
        <v>644</v>
      </c>
      <c r="C284" s="273" t="s">
        <v>645</v>
      </c>
      <c r="D284" s="264" t="s">
        <v>3264</v>
      </c>
      <c r="E284" s="264"/>
      <c r="F284" s="274"/>
      <c r="G284" s="283"/>
      <c r="H284" s="266"/>
      <c r="I284" s="281"/>
      <c r="J284" s="281"/>
      <c r="K284" s="281"/>
      <c r="L284" s="295" t="s">
        <v>3265</v>
      </c>
      <c r="M284" s="284" t="s">
        <v>2962</v>
      </c>
      <c r="N284" s="269">
        <f t="shared" si="30"/>
        <v>743073</v>
      </c>
      <c r="O284" s="270">
        <f t="shared" si="31"/>
        <v>743073</v>
      </c>
      <c r="P284" s="271">
        <f t="shared" si="32"/>
        <v>0</v>
      </c>
      <c r="Q284" s="272">
        <f>+'NI-San_SP'!Q284+'NI-Soc_SP'!Q284+'NI-Ric_SP'!Q284</f>
        <v>0</v>
      </c>
      <c r="R284" s="272">
        <f>+'NI-San_SP'!R284+'NI-Soc_SP'!R284+'NI-Ric_SP'!R284</f>
        <v>743073</v>
      </c>
      <c r="S284" s="272">
        <f>+'NI-San_SP'!S284+'NI-Soc_SP'!S284+'NI-Ric_SP'!S284</f>
        <v>0</v>
      </c>
      <c r="V284" s="211"/>
      <c r="W284" s="272">
        <f>+'NI-San_SP'!W284+'NI-Soc_SP'!W284+'NI-Ric_SP'!W284</f>
        <v>0</v>
      </c>
      <c r="X284" s="272">
        <f>+'NI-San_SP'!X284+'NI-Soc_SP'!X284+'NI-Ric_SP'!X284</f>
        <v>0</v>
      </c>
      <c r="Y284" s="272">
        <f>+'NI-San_SP'!Y284+'NI-Soc_SP'!Y284+'NI-Ric_SP'!Y284</f>
        <v>0</v>
      </c>
      <c r="Z284" s="272">
        <f>+'NI-San_SP'!Z284+'NI-Soc_SP'!Z284+'NI-Ric_SP'!Z284</f>
        <v>0</v>
      </c>
      <c r="AA284" s="285"/>
    </row>
    <row r="285" spans="2:27" s="204" customFormat="1" x14ac:dyDescent="0.25">
      <c r="B285" s="246" t="s">
        <v>647</v>
      </c>
      <c r="C285" s="273" t="s">
        <v>648</v>
      </c>
      <c r="D285" s="264" t="s">
        <v>3266</v>
      </c>
      <c r="E285" s="264"/>
      <c r="F285" s="274"/>
      <c r="G285" s="283"/>
      <c r="H285" s="266"/>
      <c r="I285" s="281"/>
      <c r="J285" s="281"/>
      <c r="K285" s="281"/>
      <c r="L285" s="295" t="s">
        <v>3267</v>
      </c>
      <c r="M285" s="284" t="s">
        <v>2962</v>
      </c>
      <c r="N285" s="269">
        <f t="shared" si="30"/>
        <v>20080</v>
      </c>
      <c r="O285" s="270">
        <f t="shared" si="31"/>
        <v>23086</v>
      </c>
      <c r="P285" s="271">
        <f t="shared" si="32"/>
        <v>3006</v>
      </c>
      <c r="Q285" s="272">
        <f>+'NI-San_SP'!Q285+'NI-Soc_SP'!Q285+'NI-Ric_SP'!Q285</f>
        <v>0</v>
      </c>
      <c r="R285" s="272">
        <f>+'NI-San_SP'!R285+'NI-Soc_SP'!R285+'NI-Ric_SP'!R285</f>
        <v>20080</v>
      </c>
      <c r="S285" s="272">
        <f>+'NI-San_SP'!S285+'NI-Soc_SP'!S285+'NI-Ric_SP'!S285</f>
        <v>0</v>
      </c>
      <c r="V285" s="211"/>
      <c r="W285" s="272">
        <f>+'NI-San_SP'!W285+'NI-Soc_SP'!W285+'NI-Ric_SP'!W285</f>
        <v>0</v>
      </c>
      <c r="X285" s="272">
        <f>+'NI-San_SP'!X285+'NI-Soc_SP'!X285+'NI-Ric_SP'!X285</f>
        <v>0</v>
      </c>
      <c r="Y285" s="272">
        <f>+'NI-San_SP'!Y285+'NI-Soc_SP'!Y285+'NI-Ric_SP'!Y285</f>
        <v>0</v>
      </c>
      <c r="Z285" s="272">
        <f>+'NI-San_SP'!Z285+'NI-Soc_SP'!Z285+'NI-Ric_SP'!Z285</f>
        <v>3006</v>
      </c>
      <c r="AA285" s="285"/>
    </row>
    <row r="286" spans="2:27" s="204" customFormat="1" x14ac:dyDescent="0.25">
      <c r="B286" s="246" t="s">
        <v>650</v>
      </c>
      <c r="C286" s="273" t="s">
        <v>651</v>
      </c>
      <c r="D286" s="264" t="s">
        <v>3268</v>
      </c>
      <c r="E286" s="264"/>
      <c r="F286" s="274"/>
      <c r="G286" s="283"/>
      <c r="H286" s="266"/>
      <c r="I286" s="281"/>
      <c r="J286" s="281"/>
      <c r="K286" s="281"/>
      <c r="L286" s="295" t="s">
        <v>3269</v>
      </c>
      <c r="M286" s="284" t="s">
        <v>2962</v>
      </c>
      <c r="N286" s="269">
        <f t="shared" si="30"/>
        <v>5395184</v>
      </c>
      <c r="O286" s="270">
        <f t="shared" si="31"/>
        <v>5621796</v>
      </c>
      <c r="P286" s="271">
        <f t="shared" si="32"/>
        <v>226612</v>
      </c>
      <c r="Q286" s="272">
        <f>+'NI-San_SP'!Q286+'NI-Soc_SP'!Q286+'NI-Ric_SP'!Q286</f>
        <v>0</v>
      </c>
      <c r="R286" s="272">
        <f>+'NI-San_SP'!R286+'NI-Soc_SP'!R286+'NI-Ric_SP'!R286</f>
        <v>5395184</v>
      </c>
      <c r="S286" s="272">
        <f>+'NI-San_SP'!S286+'NI-Soc_SP'!S286+'NI-Ric_SP'!S286</f>
        <v>0</v>
      </c>
      <c r="V286" s="211"/>
      <c r="W286" s="272">
        <f>+'NI-San_SP'!W286+'NI-Soc_SP'!W286+'NI-Ric_SP'!W286</f>
        <v>0</v>
      </c>
      <c r="X286" s="272">
        <f>+'NI-San_SP'!X286+'NI-Soc_SP'!X286+'NI-Ric_SP'!X286</f>
        <v>0</v>
      </c>
      <c r="Y286" s="272">
        <f>+'NI-San_SP'!Y286+'NI-Soc_SP'!Y286+'NI-Ric_SP'!Y286</f>
        <v>0</v>
      </c>
      <c r="Z286" s="272">
        <f>+'NI-San_SP'!Z286+'NI-Soc_SP'!Z286+'NI-Ric_SP'!Z286</f>
        <v>226612</v>
      </c>
      <c r="AA286" s="285"/>
    </row>
    <row r="287" spans="2:27" s="204" customFormat="1" x14ac:dyDescent="0.25">
      <c r="B287" s="246" t="s">
        <v>653</v>
      </c>
      <c r="C287" s="273" t="s">
        <v>654</v>
      </c>
      <c r="D287" s="264" t="s">
        <v>3270</v>
      </c>
      <c r="E287" s="264"/>
      <c r="F287" s="274"/>
      <c r="G287" s="283"/>
      <c r="H287" s="266"/>
      <c r="I287" s="281"/>
      <c r="J287" s="281"/>
      <c r="K287" s="281"/>
      <c r="L287" s="295" t="s">
        <v>3271</v>
      </c>
      <c r="M287" s="284" t="s">
        <v>2962</v>
      </c>
      <c r="N287" s="269">
        <f t="shared" si="30"/>
        <v>1192152</v>
      </c>
      <c r="O287" s="270">
        <f t="shared" si="31"/>
        <v>1230987</v>
      </c>
      <c r="P287" s="271">
        <f t="shared" si="32"/>
        <v>38835</v>
      </c>
      <c r="Q287" s="272">
        <f>+'NI-San_SP'!Q287+'NI-Soc_SP'!Q287+'NI-Ric_SP'!Q287</f>
        <v>0</v>
      </c>
      <c r="R287" s="272">
        <f>+'NI-San_SP'!R287+'NI-Soc_SP'!R287+'NI-Ric_SP'!R287</f>
        <v>1192152</v>
      </c>
      <c r="S287" s="272">
        <f>+'NI-San_SP'!S287+'NI-Soc_SP'!S287+'NI-Ric_SP'!S287</f>
        <v>0</v>
      </c>
      <c r="V287" s="211"/>
      <c r="W287" s="272">
        <f>+'NI-San_SP'!W287+'NI-Soc_SP'!W287+'NI-Ric_SP'!W287</f>
        <v>0</v>
      </c>
      <c r="X287" s="272">
        <f>+'NI-San_SP'!X287+'NI-Soc_SP'!X287+'NI-Ric_SP'!X287</f>
        <v>0</v>
      </c>
      <c r="Y287" s="272">
        <f>+'NI-San_SP'!Y287+'NI-Soc_SP'!Y287+'NI-Ric_SP'!Y287</f>
        <v>0</v>
      </c>
      <c r="Z287" s="272">
        <f>+'NI-San_SP'!Z287+'NI-Soc_SP'!Z287+'NI-Ric_SP'!Z287</f>
        <v>38835</v>
      </c>
      <c r="AA287" s="285"/>
    </row>
    <row r="288" spans="2:27" s="204" customFormat="1" x14ac:dyDescent="0.25">
      <c r="B288" s="293"/>
      <c r="C288" s="293"/>
      <c r="D288" s="230"/>
      <c r="E288" s="230"/>
      <c r="F288" s="230"/>
      <c r="G288" s="230"/>
      <c r="H288" s="231"/>
      <c r="I288" s="230"/>
      <c r="J288" s="230"/>
      <c r="K288" s="230"/>
      <c r="L288" s="275"/>
      <c r="M288" s="216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</row>
    <row r="289" spans="2:31" s="204" customFormat="1" ht="25.5" x14ac:dyDescent="0.25">
      <c r="B289" s="293"/>
      <c r="C289" s="293"/>
      <c r="D289" s="230"/>
      <c r="E289" s="230"/>
      <c r="F289" s="230"/>
      <c r="G289" s="230"/>
      <c r="H289" s="231"/>
      <c r="I289" s="230"/>
      <c r="J289" s="230"/>
      <c r="K289" s="230"/>
      <c r="L289" s="255"/>
      <c r="M289" s="244"/>
      <c r="N289" s="256" t="str">
        <f>N$15</f>
        <v>Valore netto al 31/12/2019</v>
      </c>
      <c r="O289" s="256" t="str">
        <f>O$15</f>
        <v>Valore netto al 31/12/2020</v>
      </c>
      <c r="P289" s="256" t="str">
        <f>P$15</f>
        <v>Variazione</v>
      </c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</row>
    <row r="290" spans="2:31" s="204" customFormat="1" x14ac:dyDescent="0.25">
      <c r="B290" s="246" t="s">
        <v>656</v>
      </c>
      <c r="C290" s="292" t="s">
        <v>657</v>
      </c>
      <c r="D290" s="247" t="s">
        <v>3272</v>
      </c>
      <c r="E290" s="247"/>
      <c r="F290" s="247"/>
      <c r="G290" s="247"/>
      <c r="H290" s="248"/>
      <c r="I290" s="247"/>
      <c r="J290" s="247"/>
      <c r="K290" s="249"/>
      <c r="L290" s="257" t="s">
        <v>659</v>
      </c>
      <c r="M290" s="251" t="s">
        <v>2962</v>
      </c>
      <c r="N290" s="252">
        <f>+N292-N302</f>
        <v>4334548</v>
      </c>
      <c r="O290" s="252">
        <f>+O292-O302</f>
        <v>5374645</v>
      </c>
      <c r="P290" s="253">
        <f>+O290-N290</f>
        <v>1040097</v>
      </c>
      <c r="Q290" s="285"/>
      <c r="R290" s="285"/>
      <c r="S290" s="285"/>
      <c r="T290" s="285"/>
      <c r="U290" s="285"/>
      <c r="V290" s="285"/>
      <c r="W290" s="211"/>
      <c r="X290" s="252">
        <f>+X292-X302</f>
        <v>0</v>
      </c>
      <c r="Y290" s="285"/>
      <c r="Z290" s="285"/>
      <c r="AA290" s="285"/>
    </row>
    <row r="291" spans="2:31" s="204" customFormat="1" x14ac:dyDescent="0.25">
      <c r="B291" s="293"/>
      <c r="C291" s="293"/>
      <c r="D291" s="230"/>
      <c r="E291" s="230"/>
      <c r="F291" s="230"/>
      <c r="G291" s="230"/>
      <c r="H291" s="231"/>
      <c r="I291" s="230"/>
      <c r="J291" s="230"/>
      <c r="K291" s="230"/>
      <c r="L291" s="275"/>
      <c r="M291" s="216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</row>
    <row r="292" spans="2:31" s="204" customFormat="1" x14ac:dyDescent="0.25">
      <c r="B292" s="246" t="s">
        <v>660</v>
      </c>
      <c r="C292" s="292" t="s">
        <v>661</v>
      </c>
      <c r="D292" s="247" t="s">
        <v>3273</v>
      </c>
      <c r="E292" s="247"/>
      <c r="F292" s="247"/>
      <c r="G292" s="247"/>
      <c r="H292" s="248"/>
      <c r="I292" s="247"/>
      <c r="J292" s="247"/>
      <c r="K292" s="249"/>
      <c r="L292" s="276" t="s">
        <v>664</v>
      </c>
      <c r="M292" s="251" t="s">
        <v>2962</v>
      </c>
      <c r="N292" s="252">
        <f>SUM(N295:N300)</f>
        <v>67255470</v>
      </c>
      <c r="O292" s="252">
        <f>SUM(O295:O300)</f>
        <v>69161530</v>
      </c>
      <c r="P292" s="259">
        <f>+O292-N292</f>
        <v>1906060</v>
      </c>
      <c r="Q292" s="252">
        <f>SUM(Q295:Q300)</f>
        <v>0</v>
      </c>
      <c r="R292" s="252">
        <f>SUM(R295:R300)</f>
        <v>67255470</v>
      </c>
      <c r="S292" s="252">
        <f>SUM(S295:S300)</f>
        <v>0</v>
      </c>
      <c r="T292" s="252">
        <f>SUM(T295:T300)</f>
        <v>0</v>
      </c>
      <c r="U292" s="252">
        <f>SUM(U295:U300)</f>
        <v>0</v>
      </c>
      <c r="W292" s="252">
        <f t="shared" ref="W292:AE292" si="33">SUM(W295:W300)</f>
        <v>0</v>
      </c>
      <c r="X292" s="252">
        <f t="shared" si="33"/>
        <v>0</v>
      </c>
      <c r="Y292" s="252">
        <f t="shared" si="33"/>
        <v>0</v>
      </c>
      <c r="Z292" s="252">
        <f t="shared" si="33"/>
        <v>0</v>
      </c>
      <c r="AA292" s="252">
        <f t="shared" si="33"/>
        <v>0</v>
      </c>
      <c r="AB292" s="252">
        <f t="shared" si="33"/>
        <v>2044660</v>
      </c>
      <c r="AC292" s="252">
        <f t="shared" si="33"/>
        <v>0</v>
      </c>
      <c r="AD292" s="252">
        <f t="shared" si="33"/>
        <v>758906</v>
      </c>
      <c r="AE292" s="252">
        <f t="shared" si="33"/>
        <v>897506</v>
      </c>
    </row>
    <row r="293" spans="2:31" s="204" customFormat="1" x14ac:dyDescent="0.25">
      <c r="B293" s="293"/>
      <c r="C293" s="293"/>
      <c r="D293" s="230"/>
      <c r="E293" s="230"/>
      <c r="F293" s="230"/>
      <c r="G293" s="230"/>
      <c r="H293" s="231"/>
      <c r="I293" s="230"/>
      <c r="J293" s="230"/>
      <c r="K293" s="230"/>
      <c r="L293" s="241"/>
      <c r="M293" s="278"/>
      <c r="N293" s="279"/>
      <c r="O293" s="211"/>
      <c r="P293" s="211"/>
      <c r="Q293" s="211"/>
      <c r="R293" s="211"/>
      <c r="T293" s="211"/>
      <c r="U293" s="211"/>
      <c r="V293" s="211"/>
      <c r="W293" s="211"/>
      <c r="X293" s="211"/>
      <c r="Y293" s="211"/>
      <c r="Z293" s="211"/>
      <c r="AA293" s="211"/>
    </row>
    <row r="294" spans="2:31" s="204" customFormat="1" ht="63.75" x14ac:dyDescent="0.25">
      <c r="B294" s="294" t="s">
        <v>2968</v>
      </c>
      <c r="C294" s="294" t="s">
        <v>2969</v>
      </c>
      <c r="D294" s="206" t="s">
        <v>72</v>
      </c>
      <c r="E294" s="206"/>
      <c r="F294" s="206"/>
      <c r="G294" s="207"/>
      <c r="H294" s="207"/>
      <c r="I294" s="207"/>
      <c r="J294" s="207" t="s">
        <v>2957</v>
      </c>
      <c r="K294" s="206" t="s">
        <v>82</v>
      </c>
      <c r="L294" s="261" t="s">
        <v>2970</v>
      </c>
      <c r="M294" s="260"/>
      <c r="N294" s="256" t="str">
        <f>N$15</f>
        <v>Valore netto al 31/12/2019</v>
      </c>
      <c r="O294" s="256" t="str">
        <f>O$15</f>
        <v>Valore netto al 31/12/2020</v>
      </c>
      <c r="P294" s="256" t="str">
        <f>P$15</f>
        <v>Variazione</v>
      </c>
      <c r="Q294" s="262" t="s">
        <v>2971</v>
      </c>
      <c r="R294" s="262" t="str">
        <f>"Costo storico al 31/12/"&amp;Info!$B$3-1</f>
        <v>Costo storico al 31/12/2019</v>
      </c>
      <c r="S294" s="262" t="s">
        <v>2972</v>
      </c>
      <c r="T294" s="262" t="s">
        <v>2973</v>
      </c>
      <c r="U294" s="262" t="s">
        <v>2974</v>
      </c>
      <c r="W294" s="262" t="s">
        <v>2975</v>
      </c>
      <c r="X294" s="262" t="s">
        <v>2976</v>
      </c>
      <c r="Y294" s="262" t="s">
        <v>2977</v>
      </c>
      <c r="Z294" s="262" t="s">
        <v>2978</v>
      </c>
      <c r="AA294" s="262" t="s">
        <v>2979</v>
      </c>
      <c r="AB294" s="262" t="s">
        <v>2980</v>
      </c>
      <c r="AC294" s="262" t="s">
        <v>2981</v>
      </c>
      <c r="AD294" s="262" t="s">
        <v>2982</v>
      </c>
      <c r="AE294" s="262" t="s">
        <v>2983</v>
      </c>
    </row>
    <row r="295" spans="2:31" s="204" customFormat="1" x14ac:dyDescent="0.25">
      <c r="B295" s="246" t="s">
        <v>665</v>
      </c>
      <c r="C295" s="287" t="s">
        <v>666</v>
      </c>
      <c r="D295" s="274" t="s">
        <v>3274</v>
      </c>
      <c r="E295" s="264"/>
      <c r="F295" s="274"/>
      <c r="G295" s="283"/>
      <c r="H295" s="266"/>
      <c r="I295" s="281"/>
      <c r="J295" s="281"/>
      <c r="K295" s="281"/>
      <c r="L295" s="316" t="s">
        <v>3275</v>
      </c>
      <c r="M295" s="263" t="s">
        <v>2962</v>
      </c>
      <c r="N295" s="269">
        <f t="shared" ref="N295:N300" si="34">+R295+T295-U295</f>
        <v>33377126</v>
      </c>
      <c r="O295" s="270">
        <f t="shared" ref="O295:O300" si="35">+N295+S295+X295+ABS(Y295)-ABS(AA295)+ABS(Z295)+ABS(AB295)+ABS(AD295)-ABS(AE295)+AC295+W295+Q295</f>
        <v>33186215</v>
      </c>
      <c r="P295" s="271">
        <f t="shared" ref="P295:P300" si="36">+O295-N295</f>
        <v>-190911</v>
      </c>
      <c r="Q295" s="272">
        <f>+'NI-San_SP'!Q295+'NI-Soc_SP'!Q295+'NI-Ric_SP'!Q295</f>
        <v>0</v>
      </c>
      <c r="R295" s="272">
        <f>+'NI-San_SP'!R295+'NI-Soc_SP'!R295+'NI-Ric_SP'!R295</f>
        <v>33377126</v>
      </c>
      <c r="S295" s="272">
        <f>+'NI-San_SP'!S295+'NI-Soc_SP'!T295+'NI-Ric_SP'!T295</f>
        <v>0</v>
      </c>
      <c r="T295" s="272">
        <f>+'NI-San_SP'!T295+'NI-Soc_SP'!T295+'NI-Ric_SP'!T295</f>
        <v>0</v>
      </c>
      <c r="U295" s="272">
        <f>+'NI-San_SP'!U295+'NI-Soc_SP'!U295+'NI-Ric_SP'!U295</f>
        <v>0</v>
      </c>
      <c r="W295" s="272">
        <f>+'NI-San_SP'!W295+'NI-Soc_SP'!W295+'NI-Ric_SP'!W295</f>
        <v>0</v>
      </c>
      <c r="X295" s="272">
        <f>+'NI-San_SP'!X295+'NI-Soc_SP'!X295+'NI-Ric_SP'!X295</f>
        <v>0</v>
      </c>
      <c r="Y295" s="272">
        <f>+'NI-San_SP'!Y295+'NI-Soc_SP'!Y295+'NI-Ric_SP'!Y295</f>
        <v>0</v>
      </c>
      <c r="Z295" s="272">
        <f>+'NI-San_SP'!Z295+'NI-Soc_SP'!Z295+'NI-Ric_SP'!Z295</f>
        <v>0</v>
      </c>
      <c r="AA295" s="272">
        <f>+'NI-San_SP'!AA295+'NI-Soc_SP'!AA295+'NI-Ric_SP'!AA295</f>
        <v>0</v>
      </c>
      <c r="AB295" s="272">
        <f>+'NI-San_SP'!AB295+'NI-Soc_SP'!AB295+'NI-Ric_SP'!AB295</f>
        <v>0</v>
      </c>
      <c r="AC295" s="272">
        <f>+'NI-San_SP'!AC295+'NI-Soc_SP'!AC295+'NI-Ric_SP'!AC295</f>
        <v>0</v>
      </c>
      <c r="AD295" s="272">
        <f>+'NI-San_SP'!AD295+'NI-Soc_SP'!AD295+'NI-Ric_SP'!AD295</f>
        <v>0</v>
      </c>
      <c r="AE295" s="272">
        <f>+'NI-San_SP'!AE295+'NI-Soc_SP'!AE295+'NI-Ric_SP'!AE295</f>
        <v>190911</v>
      </c>
    </row>
    <row r="296" spans="2:31" s="204" customFormat="1" x14ac:dyDescent="0.25">
      <c r="B296" s="246" t="s">
        <v>668</v>
      </c>
      <c r="C296" s="287" t="s">
        <v>669</v>
      </c>
      <c r="D296" s="274" t="s">
        <v>3276</v>
      </c>
      <c r="E296" s="264"/>
      <c r="F296" s="274"/>
      <c r="G296" s="283"/>
      <c r="H296" s="266"/>
      <c r="I296" s="281"/>
      <c r="J296" s="281"/>
      <c r="K296" s="281"/>
      <c r="L296" s="316" t="s">
        <v>3277</v>
      </c>
      <c r="M296" s="284" t="s">
        <v>2962</v>
      </c>
      <c r="N296" s="269">
        <f t="shared" si="34"/>
        <v>24461079</v>
      </c>
      <c r="O296" s="270">
        <f t="shared" si="35"/>
        <v>26558050</v>
      </c>
      <c r="P296" s="271">
        <f t="shared" si="36"/>
        <v>2096971</v>
      </c>
      <c r="Q296" s="272">
        <f>+'NI-San_SP'!Q296+'NI-Soc_SP'!Q296+'NI-Ric_SP'!Q296</f>
        <v>0</v>
      </c>
      <c r="R296" s="272">
        <f>+'NI-San_SP'!R296+'NI-Soc_SP'!R296+'NI-Ric_SP'!R296</f>
        <v>24461079</v>
      </c>
      <c r="S296" s="272">
        <f>+'NI-San_SP'!S296+'NI-Soc_SP'!T296+'NI-Ric_SP'!T296</f>
        <v>0</v>
      </c>
      <c r="T296" s="272">
        <f>+'NI-San_SP'!T296+'NI-Soc_SP'!T296+'NI-Ric_SP'!T296</f>
        <v>0</v>
      </c>
      <c r="U296" s="272">
        <f>+'NI-San_SP'!U296+'NI-Soc_SP'!U296+'NI-Ric_SP'!U296</f>
        <v>0</v>
      </c>
      <c r="W296" s="272">
        <f>+'NI-San_SP'!W296+'NI-Soc_SP'!W296+'NI-Ric_SP'!W296</f>
        <v>0</v>
      </c>
      <c r="X296" s="272">
        <f>+'NI-San_SP'!X296+'NI-Soc_SP'!X296+'NI-Ric_SP'!X296</f>
        <v>0</v>
      </c>
      <c r="Y296" s="272">
        <f>+'NI-San_SP'!Y296+'NI-Soc_SP'!Y296+'NI-Ric_SP'!Y296</f>
        <v>0</v>
      </c>
      <c r="Z296" s="272">
        <f>+'NI-San_SP'!Z296+'NI-Soc_SP'!Z296+'NI-Ric_SP'!Z296</f>
        <v>0</v>
      </c>
      <c r="AA296" s="272">
        <f>+'NI-San_SP'!AA296+'NI-Soc_SP'!AA296+'NI-Ric_SP'!AA296</f>
        <v>0</v>
      </c>
      <c r="AB296" s="272">
        <f>+'NI-San_SP'!AB296+'NI-Soc_SP'!AB296+'NI-Ric_SP'!AB296</f>
        <v>2044660</v>
      </c>
      <c r="AC296" s="272">
        <f>+'NI-San_SP'!AC296+'NI-Soc_SP'!AC296+'NI-Ric_SP'!AC296</f>
        <v>0</v>
      </c>
      <c r="AD296" s="272">
        <f>+'NI-San_SP'!AD296+'NI-Soc_SP'!AD296+'NI-Ric_SP'!AD296</f>
        <v>758906</v>
      </c>
      <c r="AE296" s="272">
        <f>+'NI-San_SP'!AE296+'NI-Soc_SP'!AE296+'NI-Ric_SP'!AE296</f>
        <v>706595</v>
      </c>
    </row>
    <row r="297" spans="2:31" s="204" customFormat="1" x14ac:dyDescent="0.25">
      <c r="B297" s="246" t="s">
        <v>671</v>
      </c>
      <c r="C297" s="287" t="s">
        <v>672</v>
      </c>
      <c r="D297" s="274" t="s">
        <v>3278</v>
      </c>
      <c r="E297" s="264"/>
      <c r="F297" s="274"/>
      <c r="G297" s="283"/>
      <c r="H297" s="266"/>
      <c r="I297" s="281"/>
      <c r="J297" s="281"/>
      <c r="K297" s="281"/>
      <c r="L297" s="316" t="s">
        <v>3279</v>
      </c>
      <c r="M297" s="284" t="s">
        <v>2962</v>
      </c>
      <c r="N297" s="269">
        <f t="shared" si="34"/>
        <v>2674889</v>
      </c>
      <c r="O297" s="270">
        <f t="shared" si="35"/>
        <v>2674889</v>
      </c>
      <c r="P297" s="271">
        <f t="shared" si="36"/>
        <v>0</v>
      </c>
      <c r="Q297" s="272">
        <f>+'NI-San_SP'!Q297+'NI-Soc_SP'!Q297+'NI-Ric_SP'!Q297</f>
        <v>0</v>
      </c>
      <c r="R297" s="272">
        <f>+'NI-San_SP'!R297+'NI-Soc_SP'!R297+'NI-Ric_SP'!R297</f>
        <v>2674889</v>
      </c>
      <c r="S297" s="272">
        <f>+'NI-San_SP'!S297+'NI-Soc_SP'!T297+'NI-Ric_SP'!T297</f>
        <v>0</v>
      </c>
      <c r="T297" s="272">
        <f>+'NI-San_SP'!T297+'NI-Soc_SP'!T297+'NI-Ric_SP'!T297</f>
        <v>0</v>
      </c>
      <c r="U297" s="272">
        <f>+'NI-San_SP'!U297+'NI-Soc_SP'!U297+'NI-Ric_SP'!U297</f>
        <v>0</v>
      </c>
      <c r="W297" s="272">
        <f>+'NI-San_SP'!W297+'NI-Soc_SP'!W297+'NI-Ric_SP'!W297</f>
        <v>0</v>
      </c>
      <c r="X297" s="272">
        <f>+'NI-San_SP'!X297+'NI-Soc_SP'!X297+'NI-Ric_SP'!X297</f>
        <v>0</v>
      </c>
      <c r="Y297" s="272">
        <f>+'NI-San_SP'!Y297+'NI-Soc_SP'!Y297+'NI-Ric_SP'!Y297</f>
        <v>0</v>
      </c>
      <c r="Z297" s="272">
        <f>+'NI-San_SP'!Z297+'NI-Soc_SP'!Z297+'NI-Ric_SP'!Z297</f>
        <v>0</v>
      </c>
      <c r="AA297" s="272">
        <f>+'NI-San_SP'!AA297+'NI-Soc_SP'!AA297+'NI-Ric_SP'!AA297</f>
        <v>0</v>
      </c>
      <c r="AB297" s="272">
        <f>+'NI-San_SP'!AB297+'NI-Soc_SP'!AB297+'NI-Ric_SP'!AB297</f>
        <v>0</v>
      </c>
      <c r="AC297" s="272">
        <f>+'NI-San_SP'!AC297+'NI-Soc_SP'!AC297+'NI-Ric_SP'!AC297</f>
        <v>0</v>
      </c>
      <c r="AD297" s="272">
        <f>+'NI-San_SP'!AD297+'NI-Soc_SP'!AD297+'NI-Ric_SP'!AD297</f>
        <v>0</v>
      </c>
      <c r="AE297" s="272">
        <f>+'NI-San_SP'!AE297+'NI-Soc_SP'!AE297+'NI-Ric_SP'!AE297</f>
        <v>0</v>
      </c>
    </row>
    <row r="298" spans="2:31" s="204" customFormat="1" x14ac:dyDescent="0.25">
      <c r="B298" s="246" t="s">
        <v>674</v>
      </c>
      <c r="C298" s="287" t="s">
        <v>675</v>
      </c>
      <c r="D298" s="274" t="s">
        <v>3280</v>
      </c>
      <c r="E298" s="264"/>
      <c r="F298" s="274"/>
      <c r="G298" s="283"/>
      <c r="H298" s="266"/>
      <c r="I298" s="281"/>
      <c r="J298" s="281"/>
      <c r="K298" s="281"/>
      <c r="L298" s="316" t="s">
        <v>3281</v>
      </c>
      <c r="M298" s="284" t="s">
        <v>2962</v>
      </c>
      <c r="N298" s="269">
        <f t="shared" si="34"/>
        <v>6742376</v>
      </c>
      <c r="O298" s="270">
        <f t="shared" si="35"/>
        <v>6742376</v>
      </c>
      <c r="P298" s="271">
        <f t="shared" si="36"/>
        <v>0</v>
      </c>
      <c r="Q298" s="272">
        <f>+'NI-San_SP'!Q298+'NI-Soc_SP'!Q298+'NI-Ric_SP'!Q298</f>
        <v>0</v>
      </c>
      <c r="R298" s="272">
        <f>+'NI-San_SP'!R298+'NI-Soc_SP'!R298+'NI-Ric_SP'!R298</f>
        <v>6742376</v>
      </c>
      <c r="S298" s="272">
        <f>+'NI-San_SP'!S298+'NI-Soc_SP'!T298+'NI-Ric_SP'!T298</f>
        <v>0</v>
      </c>
      <c r="T298" s="272">
        <f>+'NI-San_SP'!T298+'NI-Soc_SP'!T298+'NI-Ric_SP'!T298</f>
        <v>0</v>
      </c>
      <c r="U298" s="272">
        <f>+'NI-San_SP'!U298+'NI-Soc_SP'!U298+'NI-Ric_SP'!U298</f>
        <v>0</v>
      </c>
      <c r="W298" s="272">
        <f>+'NI-San_SP'!W298+'NI-Soc_SP'!W298+'NI-Ric_SP'!W298</f>
        <v>0</v>
      </c>
      <c r="X298" s="272">
        <f>+'NI-San_SP'!X298+'NI-Soc_SP'!X298+'NI-Ric_SP'!X298</f>
        <v>0</v>
      </c>
      <c r="Y298" s="272">
        <f>+'NI-San_SP'!Y298+'NI-Soc_SP'!Y298+'NI-Ric_SP'!Y298</f>
        <v>0</v>
      </c>
      <c r="Z298" s="272">
        <f>+'NI-San_SP'!Z298+'NI-Soc_SP'!Z298+'NI-Ric_SP'!Z298</f>
        <v>0</v>
      </c>
      <c r="AA298" s="272">
        <f>+'NI-San_SP'!AA298+'NI-Soc_SP'!AA298+'NI-Ric_SP'!AA298</f>
        <v>0</v>
      </c>
      <c r="AB298" s="272">
        <f>+'NI-San_SP'!AB298+'NI-Soc_SP'!AB298+'NI-Ric_SP'!AB298</f>
        <v>0</v>
      </c>
      <c r="AC298" s="272">
        <f>+'NI-San_SP'!AC298+'NI-Soc_SP'!AC298+'NI-Ric_SP'!AC298</f>
        <v>0</v>
      </c>
      <c r="AD298" s="272">
        <f>+'NI-San_SP'!AD298+'NI-Soc_SP'!AD298+'NI-Ric_SP'!AD298</f>
        <v>0</v>
      </c>
      <c r="AE298" s="272">
        <f>+'NI-San_SP'!AE298+'NI-Soc_SP'!AE298+'NI-Ric_SP'!AE298</f>
        <v>0</v>
      </c>
    </row>
    <row r="299" spans="2:31" s="204" customFormat="1" x14ac:dyDescent="0.25">
      <c r="B299" s="246" t="s">
        <v>677</v>
      </c>
      <c r="C299" s="287" t="s">
        <v>678</v>
      </c>
      <c r="D299" s="274" t="s">
        <v>3282</v>
      </c>
      <c r="E299" s="264"/>
      <c r="F299" s="274"/>
      <c r="G299" s="283"/>
      <c r="H299" s="266"/>
      <c r="I299" s="281"/>
      <c r="J299" s="281"/>
      <c r="K299" s="281"/>
      <c r="L299" s="295" t="s">
        <v>3283</v>
      </c>
      <c r="M299" s="284" t="s">
        <v>2962</v>
      </c>
      <c r="N299" s="269">
        <f t="shared" si="34"/>
        <v>0</v>
      </c>
      <c r="O299" s="270">
        <f t="shared" si="35"/>
        <v>0</v>
      </c>
      <c r="P299" s="271">
        <f t="shared" si="36"/>
        <v>0</v>
      </c>
      <c r="Q299" s="272">
        <f>+'NI-San_SP'!Q299+'NI-Soc_SP'!Q299+'NI-Ric_SP'!Q299</f>
        <v>0</v>
      </c>
      <c r="R299" s="272">
        <f>+'NI-San_SP'!R299+'NI-Soc_SP'!R299+'NI-Ric_SP'!R299</f>
        <v>0</v>
      </c>
      <c r="S299" s="272">
        <f>+'NI-San_SP'!S299+'NI-Soc_SP'!T299+'NI-Ric_SP'!T299</f>
        <v>0</v>
      </c>
      <c r="T299" s="272">
        <f>+'NI-San_SP'!T299+'NI-Soc_SP'!T299+'NI-Ric_SP'!T299</f>
        <v>0</v>
      </c>
      <c r="U299" s="272">
        <f>+'NI-San_SP'!U299+'NI-Soc_SP'!U299+'NI-Ric_SP'!U299</f>
        <v>0</v>
      </c>
      <c r="W299" s="272">
        <f>+'NI-San_SP'!W299+'NI-Soc_SP'!W299+'NI-Ric_SP'!W299</f>
        <v>0</v>
      </c>
      <c r="X299" s="272">
        <f>+'NI-San_SP'!X299+'NI-Soc_SP'!X299+'NI-Ric_SP'!X299</f>
        <v>0</v>
      </c>
      <c r="Y299" s="272">
        <f>+'NI-San_SP'!Y299+'NI-Soc_SP'!Y299+'NI-Ric_SP'!Y299</f>
        <v>0</v>
      </c>
      <c r="Z299" s="272">
        <f>+'NI-San_SP'!Z299+'NI-Soc_SP'!Z299+'NI-Ric_SP'!Z299</f>
        <v>0</v>
      </c>
      <c r="AA299" s="272">
        <f>+'NI-San_SP'!AA299+'NI-Soc_SP'!AA299+'NI-Ric_SP'!AA299</f>
        <v>0</v>
      </c>
      <c r="AB299" s="272">
        <f>+'NI-San_SP'!AB299+'NI-Soc_SP'!AB299+'NI-Ric_SP'!AB299</f>
        <v>0</v>
      </c>
      <c r="AC299" s="272">
        <f>+'NI-San_SP'!AC299+'NI-Soc_SP'!AC299+'NI-Ric_SP'!AC299</f>
        <v>0</v>
      </c>
      <c r="AD299" s="272">
        <f>+'NI-San_SP'!AD299+'NI-Soc_SP'!AD299+'NI-Ric_SP'!AD299</f>
        <v>0</v>
      </c>
      <c r="AE299" s="272">
        <f>+'NI-San_SP'!AE299+'NI-Soc_SP'!AE299+'NI-Ric_SP'!AE299</f>
        <v>0</v>
      </c>
    </row>
    <row r="300" spans="2:31" s="204" customFormat="1" x14ac:dyDescent="0.25">
      <c r="B300" s="246" t="s">
        <v>680</v>
      </c>
      <c r="C300" s="287" t="s">
        <v>681</v>
      </c>
      <c r="D300" s="274" t="s">
        <v>3284</v>
      </c>
      <c r="E300" s="264"/>
      <c r="F300" s="274"/>
      <c r="G300" s="283"/>
      <c r="H300" s="266"/>
      <c r="I300" s="281"/>
      <c r="J300" s="281"/>
      <c r="K300" s="281"/>
      <c r="L300" s="295" t="s">
        <v>3285</v>
      </c>
      <c r="M300" s="284" t="s">
        <v>2962</v>
      </c>
      <c r="N300" s="269">
        <f t="shared" si="34"/>
        <v>0</v>
      </c>
      <c r="O300" s="270">
        <f t="shared" si="35"/>
        <v>0</v>
      </c>
      <c r="P300" s="271">
        <f t="shared" si="36"/>
        <v>0</v>
      </c>
      <c r="Q300" s="272">
        <f>+'NI-San_SP'!Q300+'NI-Soc_SP'!Q300+'NI-Ric_SP'!Q300</f>
        <v>0</v>
      </c>
      <c r="R300" s="272">
        <f>+'NI-San_SP'!R300+'NI-Soc_SP'!R300+'NI-Ric_SP'!R300</f>
        <v>0</v>
      </c>
      <c r="S300" s="272">
        <f>+'NI-San_SP'!S300+'NI-Soc_SP'!T300+'NI-Ric_SP'!T300</f>
        <v>0</v>
      </c>
      <c r="T300" s="272">
        <f>+'NI-San_SP'!T300+'NI-Soc_SP'!T300+'NI-Ric_SP'!T300</f>
        <v>0</v>
      </c>
      <c r="U300" s="272">
        <f>+'NI-San_SP'!U300+'NI-Soc_SP'!U300+'NI-Ric_SP'!U300</f>
        <v>0</v>
      </c>
      <c r="W300" s="272">
        <f>+'NI-San_SP'!W300+'NI-Soc_SP'!W300+'NI-Ric_SP'!W300</f>
        <v>0</v>
      </c>
      <c r="X300" s="272">
        <f>+'NI-San_SP'!X300+'NI-Soc_SP'!X300+'NI-Ric_SP'!X300</f>
        <v>0</v>
      </c>
      <c r="Y300" s="272">
        <f>+'NI-San_SP'!Y300+'NI-Soc_SP'!Y300+'NI-Ric_SP'!Y300</f>
        <v>0</v>
      </c>
      <c r="Z300" s="272">
        <f>+'NI-San_SP'!Z300+'NI-Soc_SP'!Z300+'NI-Ric_SP'!Z300</f>
        <v>0</v>
      </c>
      <c r="AA300" s="272">
        <f>+'NI-San_SP'!AA300+'NI-Soc_SP'!AA300+'NI-Ric_SP'!AA300</f>
        <v>0</v>
      </c>
      <c r="AB300" s="272">
        <f>+'NI-San_SP'!AB300+'NI-Soc_SP'!AB300+'NI-Ric_SP'!AB300</f>
        <v>0</v>
      </c>
      <c r="AC300" s="272">
        <f>+'NI-San_SP'!AC300+'NI-Soc_SP'!AC300+'NI-Ric_SP'!AC300</f>
        <v>0</v>
      </c>
      <c r="AD300" s="272">
        <f>+'NI-San_SP'!AD300+'NI-Soc_SP'!AD300+'NI-Ric_SP'!AD300</f>
        <v>0</v>
      </c>
      <c r="AE300" s="272">
        <f>+'NI-San_SP'!AE300+'NI-Soc_SP'!AE300+'NI-Ric_SP'!AE300</f>
        <v>0</v>
      </c>
    </row>
    <row r="301" spans="2:31" s="204" customFormat="1" x14ac:dyDescent="0.25">
      <c r="B301" s="293"/>
      <c r="C301" s="293"/>
      <c r="D301" s="230"/>
      <c r="E301" s="230"/>
      <c r="F301" s="230"/>
      <c r="G301" s="230"/>
      <c r="H301" s="231"/>
      <c r="I301" s="230"/>
      <c r="J301" s="230"/>
      <c r="K301" s="230"/>
      <c r="L301" s="275"/>
      <c r="M301" s="216"/>
      <c r="N301" s="285"/>
      <c r="O301" s="211"/>
      <c r="P301" s="211"/>
      <c r="Q301" s="211"/>
      <c r="R301" s="211"/>
      <c r="S301" s="211"/>
      <c r="T301" s="285"/>
      <c r="U301" s="285"/>
      <c r="V301" s="285"/>
      <c r="W301" s="285"/>
      <c r="X301" s="285"/>
      <c r="Y301" s="285"/>
      <c r="Z301" s="285"/>
      <c r="AA301" s="285"/>
    </row>
    <row r="302" spans="2:31" s="204" customFormat="1" x14ac:dyDescent="0.25">
      <c r="B302" s="246" t="s">
        <v>683</v>
      </c>
      <c r="C302" s="292" t="s">
        <v>684</v>
      </c>
      <c r="D302" s="247" t="s">
        <v>3286</v>
      </c>
      <c r="E302" s="247"/>
      <c r="F302" s="247"/>
      <c r="G302" s="247"/>
      <c r="H302" s="248"/>
      <c r="I302" s="247"/>
      <c r="J302" s="247"/>
      <c r="K302" s="249"/>
      <c r="L302" s="276" t="s">
        <v>687</v>
      </c>
      <c r="M302" s="251" t="s">
        <v>2962</v>
      </c>
      <c r="N302" s="252">
        <f>SUM(N305:N310)</f>
        <v>62920922</v>
      </c>
      <c r="O302" s="252">
        <f>SUM(O305:O310)</f>
        <v>63786885</v>
      </c>
      <c r="P302" s="259">
        <f>+O302-N302</f>
        <v>865963</v>
      </c>
      <c r="Q302" s="252">
        <f>SUM(Q305:Q310)</f>
        <v>0</v>
      </c>
      <c r="R302" s="252">
        <f>SUM(R305:R310)</f>
        <v>62920922</v>
      </c>
      <c r="S302" s="252">
        <f>SUM(S305:S310)</f>
        <v>0</v>
      </c>
      <c r="W302" s="252">
        <f>SUM(W305:W310)</f>
        <v>0</v>
      </c>
      <c r="X302" s="252">
        <f>SUM(X305:X310)</f>
        <v>0</v>
      </c>
      <c r="Y302" s="252">
        <f>SUM(Y305:Y310)</f>
        <v>897377</v>
      </c>
      <c r="Z302" s="252">
        <f>SUM(Z305:Z310)</f>
        <v>1763340</v>
      </c>
      <c r="AA302" s="285"/>
    </row>
    <row r="303" spans="2:31" s="204" customFormat="1" x14ac:dyDescent="0.25">
      <c r="B303" s="293"/>
      <c r="C303" s="293"/>
      <c r="D303" s="230"/>
      <c r="E303" s="230"/>
      <c r="F303" s="230"/>
      <c r="G303" s="230"/>
      <c r="H303" s="231"/>
      <c r="I303" s="230"/>
      <c r="J303" s="230"/>
      <c r="K303" s="230"/>
      <c r="L303" s="241"/>
      <c r="M303" s="278"/>
      <c r="N303" s="279"/>
      <c r="O303" s="211"/>
      <c r="P303" s="211"/>
      <c r="Q303" s="211"/>
      <c r="R303" s="211"/>
      <c r="W303" s="285"/>
      <c r="X303" s="285"/>
      <c r="Y303" s="285"/>
      <c r="Z303" s="285"/>
      <c r="AA303" s="285"/>
    </row>
    <row r="304" spans="2:31" s="204" customFormat="1" ht="63.75" x14ac:dyDescent="0.25">
      <c r="B304" s="294" t="s">
        <v>2968</v>
      </c>
      <c r="C304" s="294" t="s">
        <v>2969</v>
      </c>
      <c r="D304" s="206" t="s">
        <v>72</v>
      </c>
      <c r="E304" s="206"/>
      <c r="F304" s="206"/>
      <c r="G304" s="207"/>
      <c r="H304" s="207"/>
      <c r="I304" s="207"/>
      <c r="J304" s="207" t="s">
        <v>2957</v>
      </c>
      <c r="K304" s="206" t="s">
        <v>82</v>
      </c>
      <c r="L304" s="261" t="s">
        <v>2970</v>
      </c>
      <c r="M304" s="260"/>
      <c r="N304" s="256" t="str">
        <f>N$15</f>
        <v>Valore netto al 31/12/2019</v>
      </c>
      <c r="O304" s="256" t="str">
        <f>O$15</f>
        <v>Valore netto al 31/12/2020</v>
      </c>
      <c r="P304" s="256" t="str">
        <f>P$15</f>
        <v>Variazione</v>
      </c>
      <c r="Q304" s="262" t="s">
        <v>2971</v>
      </c>
      <c r="R304" s="262" t="str">
        <f>"Fondo ammortamento 31/12/"&amp;Info!$B$3-1</f>
        <v>Fondo ammortamento 31/12/2019</v>
      </c>
      <c r="S304" s="262" t="s">
        <v>2972</v>
      </c>
      <c r="W304" s="262" t="s">
        <v>2975</v>
      </c>
      <c r="X304" s="262" t="s">
        <v>2976</v>
      </c>
      <c r="Y304" s="262" t="s">
        <v>2989</v>
      </c>
      <c r="Z304" s="262" t="s">
        <v>2990</v>
      </c>
      <c r="AA304" s="285"/>
    </row>
    <row r="305" spans="2:31" s="204" customFormat="1" x14ac:dyDescent="0.25">
      <c r="B305" s="246" t="s">
        <v>688</v>
      </c>
      <c r="C305" s="287" t="s">
        <v>689</v>
      </c>
      <c r="D305" s="274" t="s">
        <v>3287</v>
      </c>
      <c r="E305" s="264"/>
      <c r="F305" s="274"/>
      <c r="G305" s="283"/>
      <c r="H305" s="266"/>
      <c r="I305" s="281"/>
      <c r="J305" s="281"/>
      <c r="K305" s="281"/>
      <c r="L305" s="316" t="s">
        <v>3288</v>
      </c>
      <c r="M305" s="263" t="s">
        <v>2962</v>
      </c>
      <c r="N305" s="269">
        <f t="shared" ref="N305:N310" si="37">+R305</f>
        <v>33346816</v>
      </c>
      <c r="O305" s="270">
        <f t="shared" ref="O305:O310" si="38">+R305+S305+X305-ABS(Y305)+ABS(Z305)+W305+Q305</f>
        <v>33174855</v>
      </c>
      <c r="P305" s="271">
        <f t="shared" ref="P305:P310" si="39">+O305-N305</f>
        <v>-171961</v>
      </c>
      <c r="Q305" s="272">
        <f>+'NI-San_SP'!Q305+'NI-Soc_SP'!Q305+'NI-Ric_SP'!Q305</f>
        <v>0</v>
      </c>
      <c r="R305" s="272">
        <f>+'NI-San_SP'!R305+'NI-Soc_SP'!R305+'NI-Ric_SP'!R305</f>
        <v>33346816</v>
      </c>
      <c r="S305" s="272">
        <f>+'NI-San_SP'!S305+'NI-Soc_SP'!S305+'NI-Ric_SP'!S305</f>
        <v>0</v>
      </c>
      <c r="V305" s="211"/>
      <c r="W305" s="272">
        <f>+'NI-San_SP'!W305+'NI-Soc_SP'!W305+'NI-Ric_SP'!W305</f>
        <v>0</v>
      </c>
      <c r="X305" s="272">
        <f>+'NI-San_SP'!X305+'NI-Soc_SP'!X305+'NI-Ric_SP'!X305</f>
        <v>0</v>
      </c>
      <c r="Y305" s="272">
        <f>+'NI-San_SP'!Y305+'NI-Soc_SP'!Y305+'NI-Ric_SP'!Y305</f>
        <v>190909</v>
      </c>
      <c r="Z305" s="272">
        <f>+'NI-San_SP'!Z305+'NI-Soc_SP'!Z305+'NI-Ric_SP'!Z305</f>
        <v>18948</v>
      </c>
      <c r="AA305" s="285"/>
    </row>
    <row r="306" spans="2:31" s="204" customFormat="1" x14ac:dyDescent="0.25">
      <c r="B306" s="246" t="s">
        <v>691</v>
      </c>
      <c r="C306" s="287" t="s">
        <v>692</v>
      </c>
      <c r="D306" s="274" t="s">
        <v>3289</v>
      </c>
      <c r="E306" s="264"/>
      <c r="F306" s="274"/>
      <c r="G306" s="283"/>
      <c r="H306" s="266"/>
      <c r="I306" s="281"/>
      <c r="J306" s="281"/>
      <c r="K306" s="281"/>
      <c r="L306" s="316" t="s">
        <v>3290</v>
      </c>
      <c r="M306" s="263" t="s">
        <v>2962</v>
      </c>
      <c r="N306" s="269">
        <f t="shared" si="37"/>
        <v>22401589</v>
      </c>
      <c r="O306" s="270">
        <f t="shared" si="38"/>
        <v>22644072</v>
      </c>
      <c r="P306" s="271">
        <f t="shared" si="39"/>
        <v>242483</v>
      </c>
      <c r="Q306" s="272">
        <f>+'NI-San_SP'!Q306+'NI-Soc_SP'!Q306+'NI-Ric_SP'!Q306</f>
        <v>0</v>
      </c>
      <c r="R306" s="272">
        <f>+'NI-San_SP'!R306+'NI-Soc_SP'!R306+'NI-Ric_SP'!R306</f>
        <v>22401589</v>
      </c>
      <c r="S306" s="272">
        <f>+'NI-San_SP'!S306+'NI-Soc_SP'!S306+'NI-Ric_SP'!S306</f>
        <v>0</v>
      </c>
      <c r="V306" s="211"/>
      <c r="W306" s="272">
        <f>+'NI-San_SP'!W306+'NI-Soc_SP'!W306+'NI-Ric_SP'!W306</f>
        <v>0</v>
      </c>
      <c r="X306" s="272">
        <f>+'NI-San_SP'!X306+'NI-Soc_SP'!X306+'NI-Ric_SP'!X306</f>
        <v>0</v>
      </c>
      <c r="Y306" s="272">
        <f>+'NI-San_SP'!Y306+'NI-Soc_SP'!Y306+'NI-Ric_SP'!Y306</f>
        <v>706468</v>
      </c>
      <c r="Z306" s="272">
        <f>+'NI-San_SP'!Z306+'NI-Soc_SP'!Z306+'NI-Ric_SP'!Z306</f>
        <v>948951</v>
      </c>
      <c r="AA306" s="285"/>
    </row>
    <row r="307" spans="2:31" s="204" customFormat="1" x14ac:dyDescent="0.25">
      <c r="B307" s="246" t="s">
        <v>694</v>
      </c>
      <c r="C307" s="287" t="s">
        <v>695</v>
      </c>
      <c r="D307" s="274" t="s">
        <v>3291</v>
      </c>
      <c r="E307" s="264"/>
      <c r="F307" s="274"/>
      <c r="G307" s="283"/>
      <c r="H307" s="266"/>
      <c r="I307" s="281"/>
      <c r="J307" s="281"/>
      <c r="K307" s="281"/>
      <c r="L307" s="316" t="s">
        <v>3292</v>
      </c>
      <c r="M307" s="284" t="s">
        <v>2962</v>
      </c>
      <c r="N307" s="269">
        <f t="shared" si="37"/>
        <v>2674889</v>
      </c>
      <c r="O307" s="270">
        <f t="shared" si="38"/>
        <v>2674889</v>
      </c>
      <c r="P307" s="271">
        <f t="shared" si="39"/>
        <v>0</v>
      </c>
      <c r="Q307" s="272">
        <f>+'NI-San_SP'!Q307+'NI-Soc_SP'!Q307+'NI-Ric_SP'!Q307</f>
        <v>0</v>
      </c>
      <c r="R307" s="272">
        <f>+'NI-San_SP'!R307+'NI-Soc_SP'!R307+'NI-Ric_SP'!R307</f>
        <v>2674889</v>
      </c>
      <c r="S307" s="272">
        <f>+'NI-San_SP'!S307+'NI-Soc_SP'!S307+'NI-Ric_SP'!S307</f>
        <v>0</v>
      </c>
      <c r="V307" s="211"/>
      <c r="W307" s="272">
        <f>+'NI-San_SP'!W307+'NI-Soc_SP'!W307+'NI-Ric_SP'!W307</f>
        <v>0</v>
      </c>
      <c r="X307" s="272">
        <f>+'NI-San_SP'!X307+'NI-Soc_SP'!X307+'NI-Ric_SP'!X307</f>
        <v>0</v>
      </c>
      <c r="Y307" s="272">
        <f>+'NI-San_SP'!Y307+'NI-Soc_SP'!Y307+'NI-Ric_SP'!Y307</f>
        <v>0</v>
      </c>
      <c r="Z307" s="272">
        <f>+'NI-San_SP'!Z307+'NI-Soc_SP'!Z307+'NI-Ric_SP'!Z307</f>
        <v>0</v>
      </c>
      <c r="AA307" s="285"/>
    </row>
    <row r="308" spans="2:31" s="204" customFormat="1" x14ac:dyDescent="0.25">
      <c r="B308" s="246" t="s">
        <v>697</v>
      </c>
      <c r="C308" s="287" t="s">
        <v>698</v>
      </c>
      <c r="D308" s="274" t="s">
        <v>3293</v>
      </c>
      <c r="E308" s="264"/>
      <c r="F308" s="274"/>
      <c r="G308" s="283"/>
      <c r="H308" s="266"/>
      <c r="I308" s="281"/>
      <c r="J308" s="281"/>
      <c r="K308" s="281"/>
      <c r="L308" s="316" t="s">
        <v>3294</v>
      </c>
      <c r="M308" s="284" t="s">
        <v>2962</v>
      </c>
      <c r="N308" s="269">
        <f t="shared" si="37"/>
        <v>4497628</v>
      </c>
      <c r="O308" s="270">
        <f t="shared" si="38"/>
        <v>5293069</v>
      </c>
      <c r="P308" s="271">
        <f t="shared" si="39"/>
        <v>795441</v>
      </c>
      <c r="Q308" s="272">
        <f>+'NI-San_SP'!Q308+'NI-Soc_SP'!Q308+'NI-Ric_SP'!Q308</f>
        <v>0</v>
      </c>
      <c r="R308" s="272">
        <f>+'NI-San_SP'!R308+'NI-Soc_SP'!R308+'NI-Ric_SP'!R308</f>
        <v>4497628</v>
      </c>
      <c r="S308" s="272">
        <f>+'NI-San_SP'!S308+'NI-Soc_SP'!S308+'NI-Ric_SP'!S308</f>
        <v>0</v>
      </c>
      <c r="V308" s="211"/>
      <c r="W308" s="272">
        <f>+'NI-San_SP'!W308+'NI-Soc_SP'!W308+'NI-Ric_SP'!W308</f>
        <v>0</v>
      </c>
      <c r="X308" s="272">
        <f>+'NI-San_SP'!X308+'NI-Soc_SP'!X308+'NI-Ric_SP'!X308</f>
        <v>0</v>
      </c>
      <c r="Y308" s="272">
        <f>+'NI-San_SP'!Y308+'NI-Soc_SP'!Y308+'NI-Ric_SP'!Y308</f>
        <v>0</v>
      </c>
      <c r="Z308" s="272">
        <f>+'NI-San_SP'!Z308+'NI-Soc_SP'!Z308+'NI-Ric_SP'!Z308</f>
        <v>795441</v>
      </c>
      <c r="AA308" s="285"/>
    </row>
    <row r="309" spans="2:31" s="204" customFormat="1" x14ac:dyDescent="0.25">
      <c r="B309" s="246" t="s">
        <v>700</v>
      </c>
      <c r="C309" s="287" t="s">
        <v>701</v>
      </c>
      <c r="D309" s="274" t="s">
        <v>3295</v>
      </c>
      <c r="E309" s="264"/>
      <c r="F309" s="274"/>
      <c r="G309" s="283"/>
      <c r="H309" s="266"/>
      <c r="I309" s="281"/>
      <c r="J309" s="281"/>
      <c r="K309" s="281"/>
      <c r="L309" s="295" t="s">
        <v>3296</v>
      </c>
      <c r="M309" s="284" t="s">
        <v>2962</v>
      </c>
      <c r="N309" s="269">
        <f t="shared" si="37"/>
        <v>0</v>
      </c>
      <c r="O309" s="270">
        <f t="shared" si="38"/>
        <v>0</v>
      </c>
      <c r="P309" s="271">
        <f t="shared" si="39"/>
        <v>0</v>
      </c>
      <c r="Q309" s="272">
        <f>+'NI-San_SP'!Q309+'NI-Soc_SP'!Q309+'NI-Ric_SP'!Q309</f>
        <v>0</v>
      </c>
      <c r="R309" s="272">
        <f>+'NI-San_SP'!R309+'NI-Soc_SP'!R309+'NI-Ric_SP'!R309</f>
        <v>0</v>
      </c>
      <c r="S309" s="272">
        <f>+'NI-San_SP'!S309+'NI-Soc_SP'!S309+'NI-Ric_SP'!S309</f>
        <v>0</v>
      </c>
      <c r="V309" s="211"/>
      <c r="W309" s="272">
        <f>+'NI-San_SP'!W309+'NI-Soc_SP'!W309+'NI-Ric_SP'!W309</f>
        <v>0</v>
      </c>
      <c r="X309" s="272">
        <f>+'NI-San_SP'!X309+'NI-Soc_SP'!X309+'NI-Ric_SP'!X309</f>
        <v>0</v>
      </c>
      <c r="Y309" s="272">
        <f>+'NI-San_SP'!Y309+'NI-Soc_SP'!Y309+'NI-Ric_SP'!Y309</f>
        <v>0</v>
      </c>
      <c r="Z309" s="272">
        <f>+'NI-San_SP'!Z309+'NI-Soc_SP'!Z309+'NI-Ric_SP'!Z309</f>
        <v>0</v>
      </c>
      <c r="AA309" s="285"/>
    </row>
    <row r="310" spans="2:31" s="204" customFormat="1" x14ac:dyDescent="0.25">
      <c r="B310" s="246" t="s">
        <v>703</v>
      </c>
      <c r="C310" s="287" t="s">
        <v>704</v>
      </c>
      <c r="D310" s="274" t="s">
        <v>3297</v>
      </c>
      <c r="E310" s="264"/>
      <c r="F310" s="274"/>
      <c r="G310" s="283"/>
      <c r="H310" s="266"/>
      <c r="I310" s="281"/>
      <c r="J310" s="281"/>
      <c r="K310" s="281"/>
      <c r="L310" s="295" t="s">
        <v>3298</v>
      </c>
      <c r="M310" s="284" t="s">
        <v>2962</v>
      </c>
      <c r="N310" s="269">
        <f t="shared" si="37"/>
        <v>0</v>
      </c>
      <c r="O310" s="270">
        <f t="shared" si="38"/>
        <v>0</v>
      </c>
      <c r="P310" s="271">
        <f t="shared" si="39"/>
        <v>0</v>
      </c>
      <c r="Q310" s="272">
        <f>+'NI-San_SP'!Q310+'NI-Soc_SP'!Q310+'NI-Ric_SP'!Q310</f>
        <v>0</v>
      </c>
      <c r="R310" s="272">
        <f>+'NI-San_SP'!R310+'NI-Soc_SP'!R310+'NI-Ric_SP'!R310</f>
        <v>0</v>
      </c>
      <c r="S310" s="272">
        <f>+'NI-San_SP'!S310+'NI-Soc_SP'!S310+'NI-Ric_SP'!S310</f>
        <v>0</v>
      </c>
      <c r="V310" s="211"/>
      <c r="W310" s="272">
        <f>+'NI-San_SP'!W310+'NI-Soc_SP'!W310+'NI-Ric_SP'!W310</f>
        <v>0</v>
      </c>
      <c r="X310" s="272">
        <f>+'NI-San_SP'!X310+'NI-Soc_SP'!X310+'NI-Ric_SP'!X310</f>
        <v>0</v>
      </c>
      <c r="Y310" s="272">
        <f>+'NI-San_SP'!Y310+'NI-Soc_SP'!Y310+'NI-Ric_SP'!Y310</f>
        <v>0</v>
      </c>
      <c r="Z310" s="272">
        <f>+'NI-San_SP'!Z310+'NI-Soc_SP'!Z310+'NI-Ric_SP'!Z310</f>
        <v>0</v>
      </c>
      <c r="AA310" s="285"/>
    </row>
    <row r="311" spans="2:31" s="204" customFormat="1" x14ac:dyDescent="0.25">
      <c r="B311" s="293"/>
      <c r="C311" s="293"/>
      <c r="D311" s="230"/>
      <c r="E311" s="230"/>
      <c r="F311" s="230"/>
      <c r="G311" s="230"/>
      <c r="H311" s="231"/>
      <c r="I311" s="230"/>
      <c r="J311" s="230"/>
      <c r="K311" s="230"/>
      <c r="L311" s="299"/>
      <c r="M311" s="317"/>
      <c r="N311" s="317"/>
      <c r="O311" s="317"/>
      <c r="P311" s="318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</row>
    <row r="312" spans="2:31" s="204" customFormat="1" ht="25.5" x14ac:dyDescent="0.25">
      <c r="B312" s="293"/>
      <c r="C312" s="293"/>
      <c r="D312" s="293"/>
      <c r="E312" s="293"/>
      <c r="F312" s="293"/>
      <c r="G312" s="293"/>
      <c r="H312" s="319"/>
      <c r="I312" s="293"/>
      <c r="J312" s="293"/>
      <c r="K312" s="293"/>
      <c r="L312" s="320"/>
      <c r="M312" s="244"/>
      <c r="N312" s="256" t="str">
        <f>N$15</f>
        <v>Valore netto al 31/12/2019</v>
      </c>
      <c r="O312" s="256" t="str">
        <f>O$15</f>
        <v>Valore netto al 31/12/2020</v>
      </c>
      <c r="P312" s="256" t="str">
        <f>P$15</f>
        <v>Variazione</v>
      </c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</row>
    <row r="313" spans="2:31" s="204" customFormat="1" x14ac:dyDescent="0.25">
      <c r="B313" s="246" t="s">
        <v>706</v>
      </c>
      <c r="C313" s="292" t="s">
        <v>707</v>
      </c>
      <c r="D313" s="247" t="s">
        <v>3299</v>
      </c>
      <c r="E313" s="247"/>
      <c r="F313" s="247"/>
      <c r="G313" s="247"/>
      <c r="H313" s="248"/>
      <c r="I313" s="247"/>
      <c r="J313" s="247"/>
      <c r="K313" s="249"/>
      <c r="L313" s="257" t="s">
        <v>709</v>
      </c>
      <c r="M313" s="251" t="s">
        <v>2962</v>
      </c>
      <c r="N313" s="252">
        <f>+N315-N327</f>
        <v>493037</v>
      </c>
      <c r="O313" s="252">
        <f>+O315-O327</f>
        <v>391047</v>
      </c>
      <c r="P313" s="253">
        <f>+O313-N313</f>
        <v>-101990</v>
      </c>
      <c r="Q313" s="285"/>
      <c r="R313" s="285"/>
      <c r="S313" s="285"/>
      <c r="T313" s="285"/>
      <c r="U313" s="285"/>
      <c r="V313" s="285"/>
      <c r="W313" s="211"/>
      <c r="X313" s="252">
        <f>+X315-X327</f>
        <v>0</v>
      </c>
      <c r="Y313" s="285"/>
      <c r="Z313" s="285"/>
      <c r="AA313" s="285"/>
    </row>
    <row r="314" spans="2:31" s="204" customFormat="1" x14ac:dyDescent="0.25">
      <c r="B314" s="293"/>
      <c r="C314" s="293"/>
      <c r="D314" s="230"/>
      <c r="E314" s="230"/>
      <c r="F314" s="230"/>
      <c r="G314" s="285"/>
      <c r="H314" s="321"/>
      <c r="I314" s="285"/>
      <c r="J314" s="285"/>
      <c r="K314" s="285"/>
      <c r="L314" s="322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</row>
    <row r="315" spans="2:31" s="204" customFormat="1" x14ac:dyDescent="0.25">
      <c r="B315" s="246" t="s">
        <v>710</v>
      </c>
      <c r="C315" s="292" t="s">
        <v>711</v>
      </c>
      <c r="D315" s="247" t="s">
        <v>3300</v>
      </c>
      <c r="E315" s="247"/>
      <c r="F315" s="247"/>
      <c r="G315" s="247"/>
      <c r="H315" s="248"/>
      <c r="I315" s="247"/>
      <c r="J315" s="247"/>
      <c r="K315" s="249"/>
      <c r="L315" s="276" t="s">
        <v>714</v>
      </c>
      <c r="M315" s="251" t="s">
        <v>2962</v>
      </c>
      <c r="N315" s="252">
        <f>SUM(N318:N325)</f>
        <v>7528290</v>
      </c>
      <c r="O315" s="252">
        <f>SUM(O318:O325)</f>
        <v>7555687</v>
      </c>
      <c r="P315" s="259">
        <f>+O315-N315</f>
        <v>27397</v>
      </c>
      <c r="Q315" s="252">
        <f>SUM(Q318:Q325)</f>
        <v>0</v>
      </c>
      <c r="R315" s="252">
        <f>SUM(R318:R325)</f>
        <v>7528290</v>
      </c>
      <c r="S315" s="252">
        <f>SUM(S318:S325)</f>
        <v>0</v>
      </c>
      <c r="T315" s="252">
        <f>SUM(T318:T325)</f>
        <v>0</v>
      </c>
      <c r="U315" s="252">
        <f>SUM(U318:U325)</f>
        <v>0</v>
      </c>
      <c r="W315" s="252">
        <f t="shared" ref="W315:AE315" si="40">SUM(W318:W325)</f>
        <v>0</v>
      </c>
      <c r="X315" s="252">
        <f t="shared" si="40"/>
        <v>0</v>
      </c>
      <c r="Y315" s="252">
        <f t="shared" si="40"/>
        <v>0</v>
      </c>
      <c r="Z315" s="252">
        <f t="shared" si="40"/>
        <v>0</v>
      </c>
      <c r="AA315" s="252">
        <f t="shared" si="40"/>
        <v>0</v>
      </c>
      <c r="AB315" s="252">
        <f t="shared" si="40"/>
        <v>47429</v>
      </c>
      <c r="AC315" s="252">
        <f t="shared" si="40"/>
        <v>0</v>
      </c>
      <c r="AD315" s="252">
        <f t="shared" si="40"/>
        <v>0</v>
      </c>
      <c r="AE315" s="252">
        <f t="shared" si="40"/>
        <v>20032</v>
      </c>
    </row>
    <row r="316" spans="2:31" s="204" customFormat="1" x14ac:dyDescent="0.25">
      <c r="B316" s="293"/>
      <c r="C316" s="293"/>
      <c r="D316" s="230"/>
      <c r="E316" s="230"/>
      <c r="F316" s="230"/>
      <c r="G316" s="230"/>
      <c r="H316" s="231"/>
      <c r="I316" s="230"/>
      <c r="J316" s="230"/>
      <c r="K316" s="230"/>
      <c r="L316" s="277"/>
      <c r="M316" s="211"/>
      <c r="N316" s="254"/>
      <c r="O316" s="211"/>
      <c r="P316" s="211"/>
      <c r="Q316" s="211"/>
      <c r="R316" s="211"/>
      <c r="T316" s="211"/>
      <c r="U316" s="211"/>
      <c r="V316" s="211"/>
      <c r="W316" s="211"/>
      <c r="X316" s="211"/>
      <c r="Y316" s="211"/>
      <c r="Z316" s="211"/>
      <c r="AA316" s="211"/>
    </row>
    <row r="317" spans="2:31" s="204" customFormat="1" ht="63.75" x14ac:dyDescent="0.25">
      <c r="B317" s="294" t="s">
        <v>2968</v>
      </c>
      <c r="C317" s="294" t="s">
        <v>2969</v>
      </c>
      <c r="D317" s="206" t="s">
        <v>72</v>
      </c>
      <c r="E317" s="206"/>
      <c r="F317" s="206"/>
      <c r="G317" s="207"/>
      <c r="H317" s="207"/>
      <c r="I317" s="207"/>
      <c r="J317" s="207" t="s">
        <v>2957</v>
      </c>
      <c r="K317" s="206" t="s">
        <v>82</v>
      </c>
      <c r="L317" s="261" t="s">
        <v>2970</v>
      </c>
      <c r="M317" s="260"/>
      <c r="N317" s="256" t="str">
        <f>N$15</f>
        <v>Valore netto al 31/12/2019</v>
      </c>
      <c r="O317" s="256" t="str">
        <f>O$15</f>
        <v>Valore netto al 31/12/2020</v>
      </c>
      <c r="P317" s="256" t="str">
        <f>P$15</f>
        <v>Variazione</v>
      </c>
      <c r="Q317" s="262" t="s">
        <v>2971</v>
      </c>
      <c r="R317" s="262" t="str">
        <f>"Costo storico al 31/12/"&amp;Info!$B$3-1</f>
        <v>Costo storico al 31/12/2019</v>
      </c>
      <c r="S317" s="262" t="s">
        <v>2972</v>
      </c>
      <c r="T317" s="262" t="s">
        <v>2973</v>
      </c>
      <c r="U317" s="262" t="s">
        <v>2974</v>
      </c>
      <c r="W317" s="262" t="s">
        <v>2975</v>
      </c>
      <c r="X317" s="262" t="s">
        <v>2976</v>
      </c>
      <c r="Y317" s="262" t="s">
        <v>2977</v>
      </c>
      <c r="Z317" s="262" t="s">
        <v>2978</v>
      </c>
      <c r="AA317" s="262" t="s">
        <v>2979</v>
      </c>
      <c r="AB317" s="262" t="s">
        <v>2980</v>
      </c>
      <c r="AC317" s="262" t="s">
        <v>2981</v>
      </c>
      <c r="AD317" s="262" t="s">
        <v>2982</v>
      </c>
      <c r="AE317" s="262" t="s">
        <v>2983</v>
      </c>
    </row>
    <row r="318" spans="2:31" s="204" customFormat="1" x14ac:dyDescent="0.25">
      <c r="B318" s="246" t="s">
        <v>715</v>
      </c>
      <c r="C318" s="287" t="s">
        <v>716</v>
      </c>
      <c r="D318" s="274" t="s">
        <v>3301</v>
      </c>
      <c r="E318" s="264"/>
      <c r="F318" s="274"/>
      <c r="G318" s="274"/>
      <c r="H318" s="266"/>
      <c r="I318" s="281"/>
      <c r="J318" s="281"/>
      <c r="K318" s="281"/>
      <c r="L318" s="282" t="s">
        <v>3302</v>
      </c>
      <c r="M318" s="263" t="s">
        <v>2962</v>
      </c>
      <c r="N318" s="269">
        <f t="shared" ref="N318:N325" si="41">+R318+T318-U318</f>
        <v>921601</v>
      </c>
      <c r="O318" s="270">
        <f t="shared" ref="O318:O325" si="42">+N318+S318+X318+ABS(Y318)-ABS(AA318)+ABS(Z318)+ABS(AB318)+ABS(AD318)-ABS(AE318)+AC318+W318+Q318</f>
        <v>920670</v>
      </c>
      <c r="P318" s="271">
        <f t="shared" ref="P318:P325" si="43">+O318-N318</f>
        <v>-931</v>
      </c>
      <c r="Q318" s="272">
        <f>+'NI-San_SP'!Q318+'NI-Soc_SP'!Q318+'NI-Ric_SP'!Q318</f>
        <v>0</v>
      </c>
      <c r="R318" s="272">
        <f>+'NI-San_SP'!R318+'NI-Soc_SP'!R318+'NI-Ric_SP'!R318</f>
        <v>921601</v>
      </c>
      <c r="S318" s="272">
        <f>+'NI-San_SP'!S318+'NI-Soc_SP'!T318+'NI-Ric_SP'!T318</f>
        <v>0</v>
      </c>
      <c r="T318" s="272">
        <f>+'NI-San_SP'!T318+'NI-Soc_SP'!T318+'NI-Ric_SP'!T318</f>
        <v>0</v>
      </c>
      <c r="U318" s="272">
        <f>+'NI-San_SP'!U318+'NI-Soc_SP'!U318+'NI-Ric_SP'!U318</f>
        <v>0</v>
      </c>
      <c r="W318" s="272">
        <f>+'NI-San_SP'!W318+'NI-Soc_SP'!W318+'NI-Ric_SP'!W318</f>
        <v>0</v>
      </c>
      <c r="X318" s="272">
        <f>+'NI-San_SP'!X318+'NI-Soc_SP'!X318+'NI-Ric_SP'!X318</f>
        <v>0</v>
      </c>
      <c r="Y318" s="272">
        <f>+'NI-San_SP'!Y318+'NI-Soc_SP'!Y318+'NI-Ric_SP'!Y318</f>
        <v>0</v>
      </c>
      <c r="Z318" s="272">
        <f>+'NI-San_SP'!Z318+'NI-Soc_SP'!Z318+'NI-Ric_SP'!Z318</f>
        <v>0</v>
      </c>
      <c r="AA318" s="272">
        <f>+'NI-San_SP'!AA318+'NI-Soc_SP'!AA318+'NI-Ric_SP'!AA318</f>
        <v>0</v>
      </c>
      <c r="AB318" s="272">
        <f>+'NI-San_SP'!AB318+'NI-Soc_SP'!AB318+'NI-Ric_SP'!AB318</f>
        <v>0</v>
      </c>
      <c r="AC318" s="272">
        <f>+'NI-San_SP'!AC318+'NI-Soc_SP'!AC318+'NI-Ric_SP'!AC318</f>
        <v>0</v>
      </c>
      <c r="AD318" s="272">
        <f>+'NI-San_SP'!AD318+'NI-Soc_SP'!AD318+'NI-Ric_SP'!AD318</f>
        <v>0</v>
      </c>
      <c r="AE318" s="272">
        <f>+'NI-San_SP'!AE318+'NI-Soc_SP'!AE318+'NI-Ric_SP'!AE318</f>
        <v>931</v>
      </c>
    </row>
    <row r="319" spans="2:31" s="204" customFormat="1" x14ac:dyDescent="0.25">
      <c r="B319" s="246" t="s">
        <v>718</v>
      </c>
      <c r="C319" s="287" t="s">
        <v>719</v>
      </c>
      <c r="D319" s="274" t="s">
        <v>3303</v>
      </c>
      <c r="E319" s="264"/>
      <c r="F319" s="274"/>
      <c r="G319" s="274"/>
      <c r="H319" s="266"/>
      <c r="I319" s="281"/>
      <c r="J319" s="281"/>
      <c r="K319" s="281"/>
      <c r="L319" s="282" t="s">
        <v>3304</v>
      </c>
      <c r="M319" s="263" t="s">
        <v>2962</v>
      </c>
      <c r="N319" s="269">
        <f t="shared" si="41"/>
        <v>943726</v>
      </c>
      <c r="O319" s="270">
        <f t="shared" si="42"/>
        <v>945389</v>
      </c>
      <c r="P319" s="271">
        <f t="shared" si="43"/>
        <v>1663</v>
      </c>
      <c r="Q319" s="272">
        <f>+'NI-San_SP'!Q319+'NI-Soc_SP'!Q319+'NI-Ric_SP'!Q319</f>
        <v>0</v>
      </c>
      <c r="R319" s="272">
        <f>+'NI-San_SP'!R319+'NI-Soc_SP'!R319+'NI-Ric_SP'!R319</f>
        <v>943726</v>
      </c>
      <c r="S319" s="272">
        <f>+'NI-San_SP'!S319+'NI-Soc_SP'!T319+'NI-Ric_SP'!T319</f>
        <v>0</v>
      </c>
      <c r="T319" s="272">
        <f>+'NI-San_SP'!T319+'NI-Soc_SP'!T319+'NI-Ric_SP'!T319</f>
        <v>0</v>
      </c>
      <c r="U319" s="272">
        <f>+'NI-San_SP'!U319+'NI-Soc_SP'!U319+'NI-Ric_SP'!U319</f>
        <v>0</v>
      </c>
      <c r="W319" s="272">
        <f>+'NI-San_SP'!W319+'NI-Soc_SP'!W319+'NI-Ric_SP'!W319</f>
        <v>0</v>
      </c>
      <c r="X319" s="272">
        <f>+'NI-San_SP'!X319+'NI-Soc_SP'!X319+'NI-Ric_SP'!X319</f>
        <v>0</v>
      </c>
      <c r="Y319" s="272">
        <f>+'NI-San_SP'!Y319+'NI-Soc_SP'!Y319+'NI-Ric_SP'!Y319</f>
        <v>0</v>
      </c>
      <c r="Z319" s="272">
        <f>+'NI-San_SP'!Z319+'NI-Soc_SP'!Z319+'NI-Ric_SP'!Z319</f>
        <v>0</v>
      </c>
      <c r="AA319" s="272">
        <f>+'NI-San_SP'!AA319+'NI-Soc_SP'!AA319+'NI-Ric_SP'!AA319</f>
        <v>0</v>
      </c>
      <c r="AB319" s="272">
        <f>+'NI-San_SP'!AB319+'NI-Soc_SP'!AB319+'NI-Ric_SP'!AB319</f>
        <v>5975</v>
      </c>
      <c r="AC319" s="272">
        <f>+'NI-San_SP'!AC319+'NI-Soc_SP'!AC319+'NI-Ric_SP'!AC319</f>
        <v>0</v>
      </c>
      <c r="AD319" s="272">
        <f>+'NI-San_SP'!AD319+'NI-Soc_SP'!AD319+'NI-Ric_SP'!AD319</f>
        <v>0</v>
      </c>
      <c r="AE319" s="272">
        <f>+'NI-San_SP'!AE319+'NI-Soc_SP'!AE319+'NI-Ric_SP'!AE319</f>
        <v>4312</v>
      </c>
    </row>
    <row r="320" spans="2:31" s="204" customFormat="1" x14ac:dyDescent="0.25">
      <c r="B320" s="246" t="s">
        <v>721</v>
      </c>
      <c r="C320" s="287" t="s">
        <v>722</v>
      </c>
      <c r="D320" s="274" t="s">
        <v>3305</v>
      </c>
      <c r="E320" s="264"/>
      <c r="F320" s="274"/>
      <c r="G320" s="274"/>
      <c r="H320" s="266"/>
      <c r="I320" s="281"/>
      <c r="J320" s="281"/>
      <c r="K320" s="281"/>
      <c r="L320" s="295" t="s">
        <v>3306</v>
      </c>
      <c r="M320" s="284" t="s">
        <v>2962</v>
      </c>
      <c r="N320" s="269">
        <f t="shared" si="41"/>
        <v>0</v>
      </c>
      <c r="O320" s="270">
        <f t="shared" si="42"/>
        <v>0</v>
      </c>
      <c r="P320" s="271">
        <f t="shared" si="43"/>
        <v>0</v>
      </c>
      <c r="Q320" s="272">
        <f>+'NI-San_SP'!Q320+'NI-Soc_SP'!Q320+'NI-Ric_SP'!Q320</f>
        <v>0</v>
      </c>
      <c r="R320" s="272">
        <f>+'NI-San_SP'!R320+'NI-Soc_SP'!R320+'NI-Ric_SP'!R320</f>
        <v>0</v>
      </c>
      <c r="S320" s="272">
        <f>+'NI-San_SP'!S320+'NI-Soc_SP'!T320+'NI-Ric_SP'!T320</f>
        <v>0</v>
      </c>
      <c r="T320" s="272">
        <f>+'NI-San_SP'!T320+'NI-Soc_SP'!T320+'NI-Ric_SP'!T320</f>
        <v>0</v>
      </c>
      <c r="U320" s="272">
        <f>+'NI-San_SP'!U320+'NI-Soc_SP'!U320+'NI-Ric_SP'!U320</f>
        <v>0</v>
      </c>
      <c r="W320" s="272">
        <f>+'NI-San_SP'!W320+'NI-Soc_SP'!W320+'NI-Ric_SP'!W320</f>
        <v>0</v>
      </c>
      <c r="X320" s="272">
        <f>+'NI-San_SP'!X320+'NI-Soc_SP'!X320+'NI-Ric_SP'!X320</f>
        <v>0</v>
      </c>
      <c r="Y320" s="272">
        <f>+'NI-San_SP'!Y320+'NI-Soc_SP'!Y320+'NI-Ric_SP'!Y320</f>
        <v>0</v>
      </c>
      <c r="Z320" s="272">
        <f>+'NI-San_SP'!Z320+'NI-Soc_SP'!Z320+'NI-Ric_SP'!Z320</f>
        <v>0</v>
      </c>
      <c r="AA320" s="272">
        <f>+'NI-San_SP'!AA320+'NI-Soc_SP'!AA320+'NI-Ric_SP'!AA320</f>
        <v>0</v>
      </c>
      <c r="AB320" s="272">
        <f>+'NI-San_SP'!AB320+'NI-Soc_SP'!AB320+'NI-Ric_SP'!AB320</f>
        <v>0</v>
      </c>
      <c r="AC320" s="272">
        <f>+'NI-San_SP'!AC320+'NI-Soc_SP'!AC320+'NI-Ric_SP'!AC320</f>
        <v>0</v>
      </c>
      <c r="AD320" s="272">
        <f>+'NI-San_SP'!AD320+'NI-Soc_SP'!AD320+'NI-Ric_SP'!AD320</f>
        <v>0</v>
      </c>
      <c r="AE320" s="272">
        <f>+'NI-San_SP'!AE320+'NI-Soc_SP'!AE320+'NI-Ric_SP'!AE320</f>
        <v>0</v>
      </c>
    </row>
    <row r="321" spans="2:31" s="204" customFormat="1" x14ac:dyDescent="0.25">
      <c r="B321" s="246" t="s">
        <v>724</v>
      </c>
      <c r="C321" s="287" t="s">
        <v>725</v>
      </c>
      <c r="D321" s="274" t="s">
        <v>3307</v>
      </c>
      <c r="E321" s="264"/>
      <c r="F321" s="274"/>
      <c r="G321" s="274"/>
      <c r="H321" s="266"/>
      <c r="I321" s="281"/>
      <c r="J321" s="281"/>
      <c r="K321" s="281"/>
      <c r="L321" s="295" t="s">
        <v>3308</v>
      </c>
      <c r="M321" s="284" t="s">
        <v>2962</v>
      </c>
      <c r="N321" s="269">
        <f t="shared" si="41"/>
        <v>0</v>
      </c>
      <c r="O321" s="270">
        <f t="shared" si="42"/>
        <v>0</v>
      </c>
      <c r="P321" s="271">
        <f t="shared" si="43"/>
        <v>0</v>
      </c>
      <c r="Q321" s="272">
        <f>+'NI-San_SP'!Q321+'NI-Soc_SP'!Q321+'NI-Ric_SP'!Q321</f>
        <v>0</v>
      </c>
      <c r="R321" s="272">
        <f>+'NI-San_SP'!R321+'NI-Soc_SP'!R321+'NI-Ric_SP'!R321</f>
        <v>0</v>
      </c>
      <c r="S321" s="272">
        <f>+'NI-San_SP'!S321+'NI-Soc_SP'!T321+'NI-Ric_SP'!T321</f>
        <v>0</v>
      </c>
      <c r="T321" s="272">
        <f>+'NI-San_SP'!T321+'NI-Soc_SP'!T321+'NI-Ric_SP'!T321</f>
        <v>0</v>
      </c>
      <c r="U321" s="272">
        <f>+'NI-San_SP'!U321+'NI-Soc_SP'!U321+'NI-Ric_SP'!U321</f>
        <v>0</v>
      </c>
      <c r="W321" s="272">
        <f>+'NI-San_SP'!W321+'NI-Soc_SP'!W321+'NI-Ric_SP'!W321</f>
        <v>0</v>
      </c>
      <c r="X321" s="272">
        <f>+'NI-San_SP'!X321+'NI-Soc_SP'!X321+'NI-Ric_SP'!X321</f>
        <v>0</v>
      </c>
      <c r="Y321" s="272">
        <f>+'NI-San_SP'!Y321+'NI-Soc_SP'!Y321+'NI-Ric_SP'!Y321</f>
        <v>0</v>
      </c>
      <c r="Z321" s="272">
        <f>+'NI-San_SP'!Z321+'NI-Soc_SP'!Z321+'NI-Ric_SP'!Z321</f>
        <v>0</v>
      </c>
      <c r="AA321" s="272">
        <f>+'NI-San_SP'!AA321+'NI-Soc_SP'!AA321+'NI-Ric_SP'!AA321</f>
        <v>0</v>
      </c>
      <c r="AB321" s="272">
        <f>+'NI-San_SP'!AB321+'NI-Soc_SP'!AB321+'NI-Ric_SP'!AB321</f>
        <v>0</v>
      </c>
      <c r="AC321" s="272">
        <f>+'NI-San_SP'!AC321+'NI-Soc_SP'!AC321+'NI-Ric_SP'!AC321</f>
        <v>0</v>
      </c>
      <c r="AD321" s="272">
        <f>+'NI-San_SP'!AD321+'NI-Soc_SP'!AD321+'NI-Ric_SP'!AD321</f>
        <v>0</v>
      </c>
      <c r="AE321" s="272">
        <f>+'NI-San_SP'!AE321+'NI-Soc_SP'!AE321+'NI-Ric_SP'!AE321</f>
        <v>0</v>
      </c>
    </row>
    <row r="322" spans="2:31" s="204" customFormat="1" x14ac:dyDescent="0.25">
      <c r="B322" s="246" t="s">
        <v>727</v>
      </c>
      <c r="C322" s="287" t="s">
        <v>728</v>
      </c>
      <c r="D322" s="274" t="s">
        <v>3309</v>
      </c>
      <c r="E322" s="264"/>
      <c r="F322" s="274"/>
      <c r="G322" s="274"/>
      <c r="H322" s="266"/>
      <c r="I322" s="281"/>
      <c r="J322" s="281"/>
      <c r="K322" s="281"/>
      <c r="L322" s="295" t="s">
        <v>3310</v>
      </c>
      <c r="M322" s="284" t="s">
        <v>2962</v>
      </c>
      <c r="N322" s="269">
        <f t="shared" si="41"/>
        <v>3720010</v>
      </c>
      <c r="O322" s="270">
        <f t="shared" si="42"/>
        <v>3709426</v>
      </c>
      <c r="P322" s="271">
        <f t="shared" si="43"/>
        <v>-10584</v>
      </c>
      <c r="Q322" s="272">
        <f>+'NI-San_SP'!Q322+'NI-Soc_SP'!Q322+'NI-Ric_SP'!Q322</f>
        <v>0</v>
      </c>
      <c r="R322" s="272">
        <f>+'NI-San_SP'!R322+'NI-Soc_SP'!R322+'NI-Ric_SP'!R322</f>
        <v>3720010</v>
      </c>
      <c r="S322" s="272">
        <f>+'NI-San_SP'!S322+'NI-Soc_SP'!T322+'NI-Ric_SP'!T322</f>
        <v>0</v>
      </c>
      <c r="T322" s="272">
        <f>+'NI-San_SP'!T322+'NI-Soc_SP'!T322+'NI-Ric_SP'!T322</f>
        <v>0</v>
      </c>
      <c r="U322" s="272">
        <f>+'NI-San_SP'!U322+'NI-Soc_SP'!U322+'NI-Ric_SP'!U322</f>
        <v>0</v>
      </c>
      <c r="W322" s="272">
        <f>+'NI-San_SP'!W322+'NI-Soc_SP'!W322+'NI-Ric_SP'!W322</f>
        <v>0</v>
      </c>
      <c r="X322" s="272">
        <f>+'NI-San_SP'!X322+'NI-Soc_SP'!X322+'NI-Ric_SP'!X322</f>
        <v>0</v>
      </c>
      <c r="Y322" s="272">
        <f>+'NI-San_SP'!Y322+'NI-Soc_SP'!Y322+'NI-Ric_SP'!Y322</f>
        <v>0</v>
      </c>
      <c r="Z322" s="272">
        <f>+'NI-San_SP'!Z322+'NI-Soc_SP'!Z322+'NI-Ric_SP'!Z322</f>
        <v>0</v>
      </c>
      <c r="AA322" s="272">
        <f>+'NI-San_SP'!AA322+'NI-Soc_SP'!AA322+'NI-Ric_SP'!AA322</f>
        <v>0</v>
      </c>
      <c r="AB322" s="272">
        <f>+'NI-San_SP'!AB322+'NI-Soc_SP'!AB322+'NI-Ric_SP'!AB322</f>
        <v>0</v>
      </c>
      <c r="AC322" s="272">
        <f>+'NI-San_SP'!AC322+'NI-Soc_SP'!AC322+'NI-Ric_SP'!AC322</f>
        <v>0</v>
      </c>
      <c r="AD322" s="272">
        <f>+'NI-San_SP'!AD322+'NI-Soc_SP'!AD322+'NI-Ric_SP'!AD322</f>
        <v>0</v>
      </c>
      <c r="AE322" s="272">
        <f>+'NI-San_SP'!AE322+'NI-Soc_SP'!AE322+'NI-Ric_SP'!AE322</f>
        <v>10584</v>
      </c>
    </row>
    <row r="323" spans="2:31" s="204" customFormat="1" x14ac:dyDescent="0.25">
      <c r="B323" s="246" t="s">
        <v>730</v>
      </c>
      <c r="C323" s="287" t="s">
        <v>731</v>
      </c>
      <c r="D323" s="274" t="s">
        <v>3311</v>
      </c>
      <c r="E323" s="264"/>
      <c r="F323" s="274"/>
      <c r="G323" s="274"/>
      <c r="H323" s="266"/>
      <c r="I323" s="281"/>
      <c r="J323" s="281"/>
      <c r="K323" s="281"/>
      <c r="L323" s="295" t="s">
        <v>3312</v>
      </c>
      <c r="M323" s="284" t="s">
        <v>2962</v>
      </c>
      <c r="N323" s="269">
        <f t="shared" si="41"/>
        <v>1942953</v>
      </c>
      <c r="O323" s="270">
        <f t="shared" si="42"/>
        <v>1980202</v>
      </c>
      <c r="P323" s="271">
        <f t="shared" si="43"/>
        <v>37249</v>
      </c>
      <c r="Q323" s="272">
        <f>+'NI-San_SP'!Q323+'NI-Soc_SP'!Q323+'NI-Ric_SP'!Q323</f>
        <v>0</v>
      </c>
      <c r="R323" s="272">
        <f>+'NI-San_SP'!R323+'NI-Soc_SP'!R323+'NI-Ric_SP'!R323</f>
        <v>1942953</v>
      </c>
      <c r="S323" s="272">
        <f>+'NI-San_SP'!S323+'NI-Soc_SP'!T323+'NI-Ric_SP'!T323</f>
        <v>0</v>
      </c>
      <c r="T323" s="272">
        <f>+'NI-San_SP'!T323+'NI-Soc_SP'!T323+'NI-Ric_SP'!T323</f>
        <v>0</v>
      </c>
      <c r="U323" s="272">
        <f>+'NI-San_SP'!U323+'NI-Soc_SP'!U323+'NI-Ric_SP'!U323</f>
        <v>0</v>
      </c>
      <c r="W323" s="272">
        <f>+'NI-San_SP'!W323+'NI-Soc_SP'!W323+'NI-Ric_SP'!W323</f>
        <v>0</v>
      </c>
      <c r="X323" s="272">
        <f>+'NI-San_SP'!X323+'NI-Soc_SP'!X323+'NI-Ric_SP'!X323</f>
        <v>0</v>
      </c>
      <c r="Y323" s="272">
        <f>+'NI-San_SP'!Y323+'NI-Soc_SP'!Y323+'NI-Ric_SP'!Y323</f>
        <v>0</v>
      </c>
      <c r="Z323" s="272">
        <f>+'NI-San_SP'!Z323+'NI-Soc_SP'!Z323+'NI-Ric_SP'!Z323</f>
        <v>0</v>
      </c>
      <c r="AA323" s="272">
        <f>+'NI-San_SP'!AA323+'NI-Soc_SP'!AA323+'NI-Ric_SP'!AA323</f>
        <v>0</v>
      </c>
      <c r="AB323" s="272">
        <f>+'NI-San_SP'!AB323+'NI-Soc_SP'!AB323+'NI-Ric_SP'!AB323</f>
        <v>41454</v>
      </c>
      <c r="AC323" s="272">
        <f>+'NI-San_SP'!AC323+'NI-Soc_SP'!AC323+'NI-Ric_SP'!AC323</f>
        <v>0</v>
      </c>
      <c r="AD323" s="272">
        <f>+'NI-San_SP'!AD323+'NI-Soc_SP'!AD323+'NI-Ric_SP'!AD323</f>
        <v>0</v>
      </c>
      <c r="AE323" s="272">
        <f>+'NI-San_SP'!AE323+'NI-Soc_SP'!AE323+'NI-Ric_SP'!AE323</f>
        <v>4205</v>
      </c>
    </row>
    <row r="324" spans="2:31" s="204" customFormat="1" x14ac:dyDescent="0.25">
      <c r="B324" s="246" t="s">
        <v>733</v>
      </c>
      <c r="C324" s="287" t="s">
        <v>734</v>
      </c>
      <c r="D324" s="274" t="s">
        <v>3313</v>
      </c>
      <c r="E324" s="264"/>
      <c r="F324" s="274"/>
      <c r="G324" s="274"/>
      <c r="H324" s="266"/>
      <c r="I324" s="281"/>
      <c r="J324" s="281"/>
      <c r="K324" s="281"/>
      <c r="L324" s="295" t="s">
        <v>3314</v>
      </c>
      <c r="M324" s="284" t="s">
        <v>2962</v>
      </c>
      <c r="N324" s="269">
        <f t="shared" si="41"/>
        <v>0</v>
      </c>
      <c r="O324" s="270">
        <f t="shared" si="42"/>
        <v>0</v>
      </c>
      <c r="P324" s="271">
        <f t="shared" si="43"/>
        <v>0</v>
      </c>
      <c r="Q324" s="272">
        <f>+'NI-San_SP'!Q324+'NI-Soc_SP'!Q324+'NI-Ric_SP'!Q324</f>
        <v>0</v>
      </c>
      <c r="R324" s="272">
        <f>+'NI-San_SP'!R324+'NI-Soc_SP'!R324+'NI-Ric_SP'!R324</f>
        <v>0</v>
      </c>
      <c r="S324" s="272">
        <f>+'NI-San_SP'!S324+'NI-Soc_SP'!T324+'NI-Ric_SP'!T324</f>
        <v>0</v>
      </c>
      <c r="T324" s="272">
        <f>+'NI-San_SP'!T324+'NI-Soc_SP'!T324+'NI-Ric_SP'!T324</f>
        <v>0</v>
      </c>
      <c r="U324" s="272">
        <f>+'NI-San_SP'!U324+'NI-Soc_SP'!U324+'NI-Ric_SP'!U324</f>
        <v>0</v>
      </c>
      <c r="W324" s="272">
        <f>+'NI-San_SP'!W324+'NI-Soc_SP'!W324+'NI-Ric_SP'!W324</f>
        <v>0</v>
      </c>
      <c r="X324" s="272">
        <f>+'NI-San_SP'!X324+'NI-Soc_SP'!X324+'NI-Ric_SP'!X324</f>
        <v>0</v>
      </c>
      <c r="Y324" s="272">
        <f>+'NI-San_SP'!Y324+'NI-Soc_SP'!Y324+'NI-Ric_SP'!Y324</f>
        <v>0</v>
      </c>
      <c r="Z324" s="272">
        <f>+'NI-San_SP'!Z324+'NI-Soc_SP'!Z324+'NI-Ric_SP'!Z324</f>
        <v>0</v>
      </c>
      <c r="AA324" s="272">
        <f>+'NI-San_SP'!AA324+'NI-Soc_SP'!AA324+'NI-Ric_SP'!AA324</f>
        <v>0</v>
      </c>
      <c r="AB324" s="272">
        <f>+'NI-San_SP'!AB324+'NI-Soc_SP'!AB324+'NI-Ric_SP'!AB324</f>
        <v>0</v>
      </c>
      <c r="AC324" s="272">
        <f>+'NI-San_SP'!AC324+'NI-Soc_SP'!AC324+'NI-Ric_SP'!AC324</f>
        <v>0</v>
      </c>
      <c r="AD324" s="272">
        <f>+'NI-San_SP'!AD324+'NI-Soc_SP'!AD324+'NI-Ric_SP'!AD324</f>
        <v>0</v>
      </c>
      <c r="AE324" s="272">
        <f>+'NI-San_SP'!AE324+'NI-Soc_SP'!AE324+'NI-Ric_SP'!AE324</f>
        <v>0</v>
      </c>
    </row>
    <row r="325" spans="2:31" s="204" customFormat="1" x14ac:dyDescent="0.25">
      <c r="B325" s="246" t="s">
        <v>736</v>
      </c>
      <c r="C325" s="287" t="s">
        <v>737</v>
      </c>
      <c r="D325" s="274" t="s">
        <v>3315</v>
      </c>
      <c r="E325" s="264"/>
      <c r="F325" s="274"/>
      <c r="G325" s="274"/>
      <c r="H325" s="266"/>
      <c r="I325" s="281"/>
      <c r="J325" s="281"/>
      <c r="K325" s="281"/>
      <c r="L325" s="295" t="s">
        <v>3316</v>
      </c>
      <c r="M325" s="284" t="s">
        <v>2962</v>
      </c>
      <c r="N325" s="269">
        <f t="shared" si="41"/>
        <v>0</v>
      </c>
      <c r="O325" s="270">
        <f t="shared" si="42"/>
        <v>0</v>
      </c>
      <c r="P325" s="271">
        <f t="shared" si="43"/>
        <v>0</v>
      </c>
      <c r="Q325" s="272">
        <f>+'NI-San_SP'!Q325+'NI-Soc_SP'!Q325+'NI-Ric_SP'!Q325</f>
        <v>0</v>
      </c>
      <c r="R325" s="272">
        <f>+'NI-San_SP'!R325+'NI-Soc_SP'!R325+'NI-Ric_SP'!R325</f>
        <v>0</v>
      </c>
      <c r="S325" s="272">
        <f>+'NI-San_SP'!S325+'NI-Soc_SP'!T325+'NI-Ric_SP'!T325</f>
        <v>0</v>
      </c>
      <c r="T325" s="272">
        <f>+'NI-San_SP'!T325+'NI-Soc_SP'!T325+'NI-Ric_SP'!T325</f>
        <v>0</v>
      </c>
      <c r="U325" s="272">
        <f>+'NI-San_SP'!U325+'NI-Soc_SP'!U325+'NI-Ric_SP'!U325</f>
        <v>0</v>
      </c>
      <c r="W325" s="272">
        <f>+'NI-San_SP'!W325+'NI-Soc_SP'!W325+'NI-Ric_SP'!W325</f>
        <v>0</v>
      </c>
      <c r="X325" s="272">
        <f>+'NI-San_SP'!X325+'NI-Soc_SP'!X325+'NI-Ric_SP'!X325</f>
        <v>0</v>
      </c>
      <c r="Y325" s="272">
        <f>+'NI-San_SP'!Y325+'NI-Soc_SP'!Y325+'NI-Ric_SP'!Y325</f>
        <v>0</v>
      </c>
      <c r="Z325" s="272">
        <f>+'NI-San_SP'!Z325+'NI-Soc_SP'!Z325+'NI-Ric_SP'!Z325</f>
        <v>0</v>
      </c>
      <c r="AA325" s="272">
        <f>+'NI-San_SP'!AA325+'NI-Soc_SP'!AA325+'NI-Ric_SP'!AA325</f>
        <v>0</v>
      </c>
      <c r="AB325" s="272">
        <f>+'NI-San_SP'!AB325+'NI-Soc_SP'!AB325+'NI-Ric_SP'!AB325</f>
        <v>0</v>
      </c>
      <c r="AC325" s="272">
        <f>+'NI-San_SP'!AC325+'NI-Soc_SP'!AC325+'NI-Ric_SP'!AC325</f>
        <v>0</v>
      </c>
      <c r="AD325" s="272">
        <f>+'NI-San_SP'!AD325+'NI-Soc_SP'!AD325+'NI-Ric_SP'!AD325</f>
        <v>0</v>
      </c>
      <c r="AE325" s="272">
        <f>+'NI-San_SP'!AE325+'NI-Soc_SP'!AE325+'NI-Ric_SP'!AE325</f>
        <v>0</v>
      </c>
    </row>
    <row r="326" spans="2:31" s="204" customFormat="1" x14ac:dyDescent="0.25">
      <c r="B326" s="293"/>
      <c r="C326" s="293"/>
      <c r="D326" s="293"/>
      <c r="E326" s="293"/>
      <c r="F326" s="293"/>
      <c r="G326" s="293"/>
      <c r="H326" s="319"/>
      <c r="I326" s="293"/>
      <c r="J326" s="293"/>
      <c r="K326" s="293"/>
      <c r="L326" s="323"/>
      <c r="M326" s="216"/>
      <c r="N326" s="285"/>
      <c r="O326" s="285"/>
      <c r="P326" s="285"/>
      <c r="Q326" s="211"/>
      <c r="R326" s="211"/>
      <c r="S326" s="211"/>
      <c r="T326" s="285"/>
      <c r="U326" s="285"/>
      <c r="V326" s="285"/>
      <c r="W326" s="285"/>
      <c r="X326" s="285"/>
      <c r="Y326" s="285"/>
      <c r="Z326" s="285"/>
      <c r="AA326" s="285"/>
    </row>
    <row r="327" spans="2:31" s="204" customFormat="1" x14ac:dyDescent="0.25">
      <c r="B327" s="246" t="s">
        <v>739</v>
      </c>
      <c r="C327" s="292" t="s">
        <v>740</v>
      </c>
      <c r="D327" s="247" t="s">
        <v>3317</v>
      </c>
      <c r="E327" s="247"/>
      <c r="F327" s="247"/>
      <c r="G327" s="247"/>
      <c r="H327" s="248"/>
      <c r="I327" s="247"/>
      <c r="J327" s="247"/>
      <c r="K327" s="249"/>
      <c r="L327" s="276" t="s">
        <v>743</v>
      </c>
      <c r="M327" s="251" t="s">
        <v>2962</v>
      </c>
      <c r="N327" s="252">
        <f>SUM(N330:N337)</f>
        <v>7035253</v>
      </c>
      <c r="O327" s="252">
        <f>SUM(O330:O337)</f>
        <v>7164640</v>
      </c>
      <c r="P327" s="259">
        <f>+O327-N327</f>
        <v>129387</v>
      </c>
      <c r="Q327" s="252">
        <f>SUM(Q330:Q337)</f>
        <v>0</v>
      </c>
      <c r="R327" s="252">
        <f>SUM(R330:R337)</f>
        <v>7035253</v>
      </c>
      <c r="S327" s="252">
        <f>SUM(S330:S337)</f>
        <v>0</v>
      </c>
      <c r="W327" s="252">
        <f>SUM(W330:W337)</f>
        <v>0</v>
      </c>
      <c r="X327" s="252">
        <f>SUM(X330:X337)</f>
        <v>0</v>
      </c>
      <c r="Y327" s="252">
        <f>SUM(Y330:Y337)</f>
        <v>19942</v>
      </c>
      <c r="Z327" s="252">
        <f>SUM(Z330:Z337)</f>
        <v>149329</v>
      </c>
      <c r="AA327" s="285"/>
    </row>
    <row r="328" spans="2:31" s="204" customFormat="1" x14ac:dyDescent="0.25">
      <c r="B328" s="293"/>
      <c r="C328" s="293"/>
      <c r="D328" s="230"/>
      <c r="E328" s="230"/>
      <c r="F328" s="230"/>
      <c r="G328" s="230"/>
      <c r="H328" s="231"/>
      <c r="I328" s="230"/>
      <c r="J328" s="230"/>
      <c r="K328" s="230"/>
      <c r="L328" s="277"/>
      <c r="M328" s="211"/>
      <c r="N328" s="254"/>
      <c r="O328" s="211"/>
      <c r="P328" s="211"/>
      <c r="Q328" s="211"/>
      <c r="R328" s="211"/>
      <c r="W328" s="285"/>
      <c r="X328" s="285"/>
      <c r="Y328" s="285"/>
      <c r="Z328" s="285"/>
      <c r="AA328" s="285"/>
    </row>
    <row r="329" spans="2:31" s="204" customFormat="1" ht="63.75" x14ac:dyDescent="0.25">
      <c r="B329" s="294" t="s">
        <v>2968</v>
      </c>
      <c r="C329" s="294" t="s">
        <v>2969</v>
      </c>
      <c r="D329" s="206" t="s">
        <v>72</v>
      </c>
      <c r="E329" s="206"/>
      <c r="F329" s="206"/>
      <c r="G329" s="207"/>
      <c r="H329" s="207"/>
      <c r="I329" s="207"/>
      <c r="J329" s="207" t="s">
        <v>2957</v>
      </c>
      <c r="K329" s="206" t="s">
        <v>82</v>
      </c>
      <c r="L329" s="261" t="s">
        <v>2970</v>
      </c>
      <c r="M329" s="260"/>
      <c r="N329" s="256" t="str">
        <f>N$15</f>
        <v>Valore netto al 31/12/2019</v>
      </c>
      <c r="O329" s="256" t="str">
        <f>O$15</f>
        <v>Valore netto al 31/12/2020</v>
      </c>
      <c r="P329" s="256" t="str">
        <f>P$15</f>
        <v>Variazione</v>
      </c>
      <c r="Q329" s="262" t="s">
        <v>2971</v>
      </c>
      <c r="R329" s="262" t="str">
        <f>"Fondo ammortamento 31/12/"&amp;Info!$B$3-1</f>
        <v>Fondo ammortamento 31/12/2019</v>
      </c>
      <c r="S329" s="262" t="s">
        <v>2972</v>
      </c>
      <c r="W329" s="262" t="s">
        <v>2975</v>
      </c>
      <c r="X329" s="262" t="s">
        <v>2976</v>
      </c>
      <c r="Y329" s="262" t="s">
        <v>2989</v>
      </c>
      <c r="Z329" s="262" t="s">
        <v>2990</v>
      </c>
      <c r="AA329" s="285"/>
    </row>
    <row r="330" spans="2:31" s="204" customFormat="1" x14ac:dyDescent="0.25">
      <c r="B330" s="246" t="s">
        <v>744</v>
      </c>
      <c r="C330" s="287" t="s">
        <v>745</v>
      </c>
      <c r="D330" s="274" t="s">
        <v>3318</v>
      </c>
      <c r="E330" s="264"/>
      <c r="F330" s="274"/>
      <c r="G330" s="274"/>
      <c r="H330" s="266"/>
      <c r="I330" s="281"/>
      <c r="J330" s="281"/>
      <c r="K330" s="281"/>
      <c r="L330" s="282" t="s">
        <v>3319</v>
      </c>
      <c r="M330" s="263" t="s">
        <v>2962</v>
      </c>
      <c r="N330" s="269">
        <f t="shared" ref="N330:N337" si="44">+R330</f>
        <v>920308</v>
      </c>
      <c r="O330" s="270">
        <f t="shared" ref="O330:O337" si="45">+R330+S330+X330-ABS(Y330)+ABS(Z330)+W330+Q330</f>
        <v>920534</v>
      </c>
      <c r="P330" s="271">
        <f t="shared" ref="P330:P337" si="46">+O330-N330</f>
        <v>226</v>
      </c>
      <c r="Q330" s="272">
        <f>+'NI-San_SP'!Q330+'NI-Soc_SP'!Q330+'NI-Ric_SP'!Q330</f>
        <v>0</v>
      </c>
      <c r="R330" s="272">
        <f>+'NI-San_SP'!R330+'NI-Soc_SP'!R330+'NI-Ric_SP'!R330</f>
        <v>920308</v>
      </c>
      <c r="S330" s="272">
        <f>+'NI-San_SP'!S330+'NI-Soc_SP'!S330+'NI-Ric_SP'!S330</f>
        <v>0</v>
      </c>
      <c r="V330" s="211"/>
      <c r="W330" s="272">
        <f>+'NI-San_SP'!W330+'NI-Soc_SP'!W330+'NI-Ric_SP'!W330</f>
        <v>0</v>
      </c>
      <c r="X330" s="272">
        <f>+'NI-San_SP'!X330+'NI-Soc_SP'!X330+'NI-Ric_SP'!X330</f>
        <v>0</v>
      </c>
      <c r="Y330" s="272">
        <f>+'NI-San_SP'!Y330+'NI-Soc_SP'!Y330+'NI-Ric_SP'!Y330</f>
        <v>931</v>
      </c>
      <c r="Z330" s="272">
        <f>+'NI-San_SP'!Z330+'NI-Soc_SP'!Z330+'NI-Ric_SP'!Z330</f>
        <v>1157</v>
      </c>
      <c r="AA330" s="285"/>
    </row>
    <row r="331" spans="2:31" s="204" customFormat="1" x14ac:dyDescent="0.25">
      <c r="B331" s="246" t="s">
        <v>747</v>
      </c>
      <c r="C331" s="287" t="s">
        <v>748</v>
      </c>
      <c r="D331" s="274" t="s">
        <v>3320</v>
      </c>
      <c r="E331" s="264"/>
      <c r="F331" s="274"/>
      <c r="G331" s="274"/>
      <c r="H331" s="266"/>
      <c r="I331" s="281"/>
      <c r="J331" s="281"/>
      <c r="K331" s="281"/>
      <c r="L331" s="282" t="s">
        <v>3321</v>
      </c>
      <c r="M331" s="263" t="s">
        <v>2962</v>
      </c>
      <c r="N331" s="269">
        <f t="shared" si="44"/>
        <v>893265</v>
      </c>
      <c r="O331" s="270">
        <f t="shared" si="45"/>
        <v>900313</v>
      </c>
      <c r="P331" s="271">
        <f t="shared" si="46"/>
        <v>7048</v>
      </c>
      <c r="Q331" s="272">
        <f>+'NI-San_SP'!Q331+'NI-Soc_SP'!Q331+'NI-Ric_SP'!Q331</f>
        <v>0</v>
      </c>
      <c r="R331" s="272">
        <f>+'NI-San_SP'!R331+'NI-Soc_SP'!R331+'NI-Ric_SP'!R331</f>
        <v>893265</v>
      </c>
      <c r="S331" s="272">
        <f>+'NI-San_SP'!S331+'NI-Soc_SP'!S331+'NI-Ric_SP'!S331</f>
        <v>0</v>
      </c>
      <c r="V331" s="211"/>
      <c r="W331" s="272">
        <f>+'NI-San_SP'!W331+'NI-Soc_SP'!W331+'NI-Ric_SP'!W331</f>
        <v>0</v>
      </c>
      <c r="X331" s="272">
        <f>+'NI-San_SP'!X331+'NI-Soc_SP'!X331+'NI-Ric_SP'!X331</f>
        <v>0</v>
      </c>
      <c r="Y331" s="272">
        <f>+'NI-San_SP'!Y331+'NI-Soc_SP'!Y331+'NI-Ric_SP'!Y331</f>
        <v>4305</v>
      </c>
      <c r="Z331" s="272">
        <f>+'NI-San_SP'!Z331+'NI-Soc_SP'!Z331+'NI-Ric_SP'!Z331</f>
        <v>11353</v>
      </c>
      <c r="AA331" s="285"/>
    </row>
    <row r="332" spans="2:31" s="204" customFormat="1" x14ac:dyDescent="0.25">
      <c r="B332" s="246" t="s">
        <v>750</v>
      </c>
      <c r="C332" s="287" t="s">
        <v>751</v>
      </c>
      <c r="D332" s="274" t="s">
        <v>3322</v>
      </c>
      <c r="E332" s="264"/>
      <c r="F332" s="274"/>
      <c r="G332" s="274"/>
      <c r="H332" s="266"/>
      <c r="I332" s="281"/>
      <c r="J332" s="281"/>
      <c r="K332" s="281"/>
      <c r="L332" s="295" t="s">
        <v>3323</v>
      </c>
      <c r="M332" s="284" t="s">
        <v>2962</v>
      </c>
      <c r="N332" s="269">
        <f t="shared" si="44"/>
        <v>0</v>
      </c>
      <c r="O332" s="270">
        <f t="shared" si="45"/>
        <v>0</v>
      </c>
      <c r="P332" s="271">
        <f t="shared" si="46"/>
        <v>0</v>
      </c>
      <c r="Q332" s="272">
        <f>+'NI-San_SP'!Q332+'NI-Soc_SP'!Q332+'NI-Ric_SP'!Q332</f>
        <v>0</v>
      </c>
      <c r="R332" s="272">
        <f>+'NI-San_SP'!R332+'NI-Soc_SP'!R332+'NI-Ric_SP'!R332</f>
        <v>0</v>
      </c>
      <c r="S332" s="272">
        <f>+'NI-San_SP'!S332+'NI-Soc_SP'!S332+'NI-Ric_SP'!S332</f>
        <v>0</v>
      </c>
      <c r="V332" s="211"/>
      <c r="W332" s="272">
        <f>+'NI-San_SP'!W332+'NI-Soc_SP'!W332+'NI-Ric_SP'!W332</f>
        <v>0</v>
      </c>
      <c r="X332" s="272">
        <f>+'NI-San_SP'!X332+'NI-Soc_SP'!X332+'NI-Ric_SP'!X332</f>
        <v>0</v>
      </c>
      <c r="Y332" s="272">
        <f>+'NI-San_SP'!Y332+'NI-Soc_SP'!Y332+'NI-Ric_SP'!Y332</f>
        <v>0</v>
      </c>
      <c r="Z332" s="272">
        <f>+'NI-San_SP'!Z332+'NI-Soc_SP'!Z332+'NI-Ric_SP'!Z332</f>
        <v>0</v>
      </c>
      <c r="AA332" s="285"/>
    </row>
    <row r="333" spans="2:31" s="204" customFormat="1" x14ac:dyDescent="0.25">
      <c r="B333" s="246" t="s">
        <v>753</v>
      </c>
      <c r="C333" s="287" t="s">
        <v>754</v>
      </c>
      <c r="D333" s="274" t="s">
        <v>3324</v>
      </c>
      <c r="E333" s="264"/>
      <c r="F333" s="274"/>
      <c r="G333" s="274"/>
      <c r="H333" s="266"/>
      <c r="I333" s="281"/>
      <c r="J333" s="281"/>
      <c r="K333" s="281"/>
      <c r="L333" s="295" t="s">
        <v>3325</v>
      </c>
      <c r="M333" s="284" t="s">
        <v>2962</v>
      </c>
      <c r="N333" s="269">
        <f t="shared" si="44"/>
        <v>0</v>
      </c>
      <c r="O333" s="270">
        <f t="shared" si="45"/>
        <v>0</v>
      </c>
      <c r="P333" s="271">
        <f t="shared" si="46"/>
        <v>0</v>
      </c>
      <c r="Q333" s="272">
        <f>+'NI-San_SP'!Q333+'NI-Soc_SP'!Q333+'NI-Ric_SP'!Q333</f>
        <v>0</v>
      </c>
      <c r="R333" s="272">
        <f>+'NI-San_SP'!R333+'NI-Soc_SP'!R333+'NI-Ric_SP'!R333</f>
        <v>0</v>
      </c>
      <c r="S333" s="272">
        <f>+'NI-San_SP'!S333+'NI-Soc_SP'!S333+'NI-Ric_SP'!S333</f>
        <v>0</v>
      </c>
      <c r="V333" s="211"/>
      <c r="W333" s="272">
        <f>+'NI-San_SP'!W333+'NI-Soc_SP'!W333+'NI-Ric_SP'!W333</f>
        <v>0</v>
      </c>
      <c r="X333" s="272">
        <f>+'NI-San_SP'!X333+'NI-Soc_SP'!X333+'NI-Ric_SP'!X333</f>
        <v>0</v>
      </c>
      <c r="Y333" s="272">
        <f>+'NI-San_SP'!Y333+'NI-Soc_SP'!Y333+'NI-Ric_SP'!Y333</f>
        <v>0</v>
      </c>
      <c r="Z333" s="272">
        <f>+'NI-San_SP'!Z333+'NI-Soc_SP'!Z333+'NI-Ric_SP'!Z333</f>
        <v>0</v>
      </c>
      <c r="AA333" s="285"/>
    </row>
    <row r="334" spans="2:31" s="204" customFormat="1" x14ac:dyDescent="0.25">
      <c r="B334" s="246" t="s">
        <v>756</v>
      </c>
      <c r="C334" s="287" t="s">
        <v>757</v>
      </c>
      <c r="D334" s="274" t="s">
        <v>3326</v>
      </c>
      <c r="E334" s="264"/>
      <c r="F334" s="274"/>
      <c r="G334" s="274"/>
      <c r="H334" s="266"/>
      <c r="I334" s="281"/>
      <c r="J334" s="281"/>
      <c r="K334" s="281"/>
      <c r="L334" s="295" t="s">
        <v>3327</v>
      </c>
      <c r="M334" s="284" t="s">
        <v>2962</v>
      </c>
      <c r="N334" s="269">
        <f t="shared" si="44"/>
        <v>3506404</v>
      </c>
      <c r="O334" s="270">
        <f t="shared" si="45"/>
        <v>3579017</v>
      </c>
      <c r="P334" s="271">
        <f t="shared" si="46"/>
        <v>72613</v>
      </c>
      <c r="Q334" s="272">
        <f>+'NI-San_SP'!Q334+'NI-Soc_SP'!Q334+'NI-Ric_SP'!Q334</f>
        <v>0</v>
      </c>
      <c r="R334" s="272">
        <f>+'NI-San_SP'!R334+'NI-Soc_SP'!R334+'NI-Ric_SP'!R334</f>
        <v>3506404</v>
      </c>
      <c r="S334" s="272">
        <f>+'NI-San_SP'!S334+'NI-Soc_SP'!S334+'NI-Ric_SP'!S334</f>
        <v>0</v>
      </c>
      <c r="V334" s="211"/>
      <c r="W334" s="272">
        <f>+'NI-San_SP'!W334+'NI-Soc_SP'!W334+'NI-Ric_SP'!W334</f>
        <v>0</v>
      </c>
      <c r="X334" s="272">
        <f>+'NI-San_SP'!X334+'NI-Soc_SP'!X334+'NI-Ric_SP'!X334</f>
        <v>0</v>
      </c>
      <c r="Y334" s="272">
        <f>+'NI-San_SP'!Y334+'NI-Soc_SP'!Y334+'NI-Ric_SP'!Y334</f>
        <v>10584</v>
      </c>
      <c r="Z334" s="272">
        <f>+'NI-San_SP'!Z334+'NI-Soc_SP'!Z334+'NI-Ric_SP'!Z334</f>
        <v>83197</v>
      </c>
      <c r="AA334" s="285"/>
    </row>
    <row r="335" spans="2:31" s="204" customFormat="1" x14ac:dyDescent="0.25">
      <c r="B335" s="246" t="s">
        <v>759</v>
      </c>
      <c r="C335" s="287" t="s">
        <v>760</v>
      </c>
      <c r="D335" s="274" t="s">
        <v>3328</v>
      </c>
      <c r="E335" s="264"/>
      <c r="F335" s="274"/>
      <c r="G335" s="274"/>
      <c r="H335" s="266"/>
      <c r="I335" s="281"/>
      <c r="J335" s="281"/>
      <c r="K335" s="281"/>
      <c r="L335" s="295" t="s">
        <v>3329</v>
      </c>
      <c r="M335" s="284" t="s">
        <v>2962</v>
      </c>
      <c r="N335" s="269">
        <f t="shared" si="44"/>
        <v>1715276</v>
      </c>
      <c r="O335" s="270">
        <f t="shared" si="45"/>
        <v>1764776</v>
      </c>
      <c r="P335" s="271">
        <f t="shared" si="46"/>
        <v>49500</v>
      </c>
      <c r="Q335" s="272">
        <f>+'NI-San_SP'!Q335+'NI-Soc_SP'!Q335+'NI-Ric_SP'!Q335</f>
        <v>0</v>
      </c>
      <c r="R335" s="272">
        <f>+'NI-San_SP'!R335+'NI-Soc_SP'!R335+'NI-Ric_SP'!R335</f>
        <v>1715276</v>
      </c>
      <c r="S335" s="272">
        <f>+'NI-San_SP'!S335+'NI-Soc_SP'!S335+'NI-Ric_SP'!S335</f>
        <v>0</v>
      </c>
      <c r="V335" s="211"/>
      <c r="W335" s="272">
        <f>+'NI-San_SP'!W335+'NI-Soc_SP'!W335+'NI-Ric_SP'!W335</f>
        <v>0</v>
      </c>
      <c r="X335" s="272">
        <f>+'NI-San_SP'!X335+'NI-Soc_SP'!X335+'NI-Ric_SP'!X335</f>
        <v>0</v>
      </c>
      <c r="Y335" s="272">
        <f>+'NI-San_SP'!Y335+'NI-Soc_SP'!Y335+'NI-Ric_SP'!Y335</f>
        <v>4122</v>
      </c>
      <c r="Z335" s="272">
        <f>+'NI-San_SP'!Z335+'NI-Soc_SP'!Z335+'NI-Ric_SP'!Z335</f>
        <v>53622</v>
      </c>
      <c r="AA335" s="285"/>
    </row>
    <row r="336" spans="2:31" s="204" customFormat="1" x14ac:dyDescent="0.25">
      <c r="B336" s="246" t="s">
        <v>762</v>
      </c>
      <c r="C336" s="287" t="s">
        <v>763</v>
      </c>
      <c r="D336" s="274" t="s">
        <v>3330</v>
      </c>
      <c r="E336" s="264"/>
      <c r="F336" s="274"/>
      <c r="G336" s="274"/>
      <c r="H336" s="266"/>
      <c r="I336" s="281"/>
      <c r="J336" s="281"/>
      <c r="K336" s="281"/>
      <c r="L336" s="295" t="s">
        <v>3331</v>
      </c>
      <c r="M336" s="284" t="s">
        <v>2962</v>
      </c>
      <c r="N336" s="269">
        <f t="shared" si="44"/>
        <v>0</v>
      </c>
      <c r="O336" s="270">
        <f t="shared" si="45"/>
        <v>0</v>
      </c>
      <c r="P336" s="271">
        <f t="shared" si="46"/>
        <v>0</v>
      </c>
      <c r="Q336" s="272">
        <f>+'NI-San_SP'!Q336+'NI-Soc_SP'!Q336+'NI-Ric_SP'!Q336</f>
        <v>0</v>
      </c>
      <c r="R336" s="272">
        <f>+'NI-San_SP'!R336+'NI-Soc_SP'!R336+'NI-Ric_SP'!R336</f>
        <v>0</v>
      </c>
      <c r="S336" s="272">
        <f>+'NI-San_SP'!S336+'NI-Soc_SP'!S336+'NI-Ric_SP'!S336</f>
        <v>0</v>
      </c>
      <c r="V336" s="211"/>
      <c r="W336" s="272">
        <f>+'NI-San_SP'!W336+'NI-Soc_SP'!W336+'NI-Ric_SP'!W336</f>
        <v>0</v>
      </c>
      <c r="X336" s="272">
        <f>+'NI-San_SP'!X336+'NI-Soc_SP'!X336+'NI-Ric_SP'!X336</f>
        <v>0</v>
      </c>
      <c r="Y336" s="272">
        <f>+'NI-San_SP'!Y336+'NI-Soc_SP'!Y336+'NI-Ric_SP'!Y336</f>
        <v>0</v>
      </c>
      <c r="Z336" s="272">
        <f>+'NI-San_SP'!Z336+'NI-Soc_SP'!Z336+'NI-Ric_SP'!Z336</f>
        <v>0</v>
      </c>
      <c r="AA336" s="285"/>
    </row>
    <row r="337" spans="2:31" s="204" customFormat="1" x14ac:dyDescent="0.25">
      <c r="B337" s="246" t="s">
        <v>765</v>
      </c>
      <c r="C337" s="287" t="s">
        <v>766</v>
      </c>
      <c r="D337" s="274" t="s">
        <v>3332</v>
      </c>
      <c r="E337" s="264"/>
      <c r="F337" s="274"/>
      <c r="G337" s="274"/>
      <c r="H337" s="266"/>
      <c r="I337" s="281"/>
      <c r="J337" s="281"/>
      <c r="K337" s="281"/>
      <c r="L337" s="295" t="s">
        <v>3333</v>
      </c>
      <c r="M337" s="284" t="s">
        <v>2962</v>
      </c>
      <c r="N337" s="269">
        <f t="shared" si="44"/>
        <v>0</v>
      </c>
      <c r="O337" s="270">
        <f t="shared" si="45"/>
        <v>0</v>
      </c>
      <c r="P337" s="271">
        <f t="shared" si="46"/>
        <v>0</v>
      </c>
      <c r="Q337" s="272">
        <f>+'NI-San_SP'!Q337+'NI-Soc_SP'!Q337+'NI-Ric_SP'!Q337</f>
        <v>0</v>
      </c>
      <c r="R337" s="272">
        <f>+'NI-San_SP'!R337+'NI-Soc_SP'!R337+'NI-Ric_SP'!R337</f>
        <v>0</v>
      </c>
      <c r="S337" s="272">
        <f>+'NI-San_SP'!S337+'NI-Soc_SP'!S337+'NI-Ric_SP'!S337</f>
        <v>0</v>
      </c>
      <c r="V337" s="211"/>
      <c r="W337" s="272">
        <f>+'NI-San_SP'!W337+'NI-Soc_SP'!W337+'NI-Ric_SP'!W337</f>
        <v>0</v>
      </c>
      <c r="X337" s="272">
        <f>+'NI-San_SP'!X337+'NI-Soc_SP'!X337+'NI-Ric_SP'!X337</f>
        <v>0</v>
      </c>
      <c r="Y337" s="272">
        <f>+'NI-San_SP'!Y337+'NI-Soc_SP'!Y337+'NI-Ric_SP'!Y337</f>
        <v>0</v>
      </c>
      <c r="Z337" s="272">
        <f>+'NI-San_SP'!Z337+'NI-Soc_SP'!Z337+'NI-Ric_SP'!Z337</f>
        <v>0</v>
      </c>
      <c r="AA337" s="285"/>
    </row>
    <row r="338" spans="2:31" s="204" customFormat="1" x14ac:dyDescent="0.25">
      <c r="B338" s="293"/>
      <c r="C338" s="293"/>
      <c r="D338" s="230"/>
      <c r="E338" s="230"/>
      <c r="F338" s="230"/>
      <c r="G338" s="230"/>
      <c r="H338" s="231"/>
      <c r="I338" s="230"/>
      <c r="J338" s="230"/>
      <c r="K338" s="230"/>
      <c r="L338" s="275"/>
      <c r="M338" s="216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</row>
    <row r="339" spans="2:31" s="204" customFormat="1" ht="25.5" x14ac:dyDescent="0.25">
      <c r="B339" s="293"/>
      <c r="C339" s="293"/>
      <c r="D339" s="230"/>
      <c r="E339" s="230"/>
      <c r="F339" s="230"/>
      <c r="G339" s="230"/>
      <c r="H339" s="231"/>
      <c r="I339" s="230"/>
      <c r="J339" s="230"/>
      <c r="K339" s="230"/>
      <c r="L339" s="255"/>
      <c r="M339" s="244"/>
      <c r="N339" s="256" t="str">
        <f>N$15</f>
        <v>Valore netto al 31/12/2019</v>
      </c>
      <c r="O339" s="256" t="str">
        <f>O$15</f>
        <v>Valore netto al 31/12/2020</v>
      </c>
      <c r="P339" s="256" t="str">
        <f>P$15</f>
        <v>Variazione</v>
      </c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</row>
    <row r="340" spans="2:31" s="204" customFormat="1" x14ac:dyDescent="0.25">
      <c r="B340" s="246" t="s">
        <v>768</v>
      </c>
      <c r="C340" s="292" t="s">
        <v>769</v>
      </c>
      <c r="D340" s="274" t="s">
        <v>3334</v>
      </c>
      <c r="E340" s="247"/>
      <c r="F340" s="247"/>
      <c r="G340" s="247"/>
      <c r="H340" s="248"/>
      <c r="I340" s="247"/>
      <c r="J340" s="247"/>
      <c r="K340" s="249"/>
      <c r="L340" s="257" t="s">
        <v>771</v>
      </c>
      <c r="M340" s="251" t="s">
        <v>2962</v>
      </c>
      <c r="N340" s="252">
        <f>+N342-N357</f>
        <v>0</v>
      </c>
      <c r="O340" s="252">
        <f>+O342-O357</f>
        <v>0</v>
      </c>
      <c r="P340" s="253">
        <f>+O340-N340</f>
        <v>0</v>
      </c>
      <c r="Q340" s="285"/>
      <c r="R340" s="285"/>
      <c r="S340" s="285"/>
      <c r="T340" s="285"/>
      <c r="U340" s="285"/>
      <c r="V340" s="285"/>
      <c r="W340" s="211"/>
      <c r="X340" s="252">
        <f>+X342-X357</f>
        <v>0</v>
      </c>
      <c r="Y340" s="285"/>
      <c r="Z340" s="285"/>
      <c r="AA340" s="285"/>
    </row>
    <row r="341" spans="2:31" s="204" customFormat="1" x14ac:dyDescent="0.25">
      <c r="B341" s="293"/>
      <c r="C341" s="293"/>
      <c r="D341" s="274"/>
      <c r="E341" s="230"/>
      <c r="F341" s="230"/>
      <c r="G341" s="285"/>
      <c r="H341" s="321"/>
      <c r="I341" s="285"/>
      <c r="J341" s="285"/>
      <c r="K341" s="285"/>
      <c r="L341" s="322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</row>
    <row r="342" spans="2:31" s="204" customFormat="1" x14ac:dyDescent="0.25">
      <c r="B342" s="246" t="s">
        <v>772</v>
      </c>
      <c r="C342" s="292" t="s">
        <v>773</v>
      </c>
      <c r="D342" s="274" t="s">
        <v>3335</v>
      </c>
      <c r="E342" s="247"/>
      <c r="F342" s="247"/>
      <c r="G342" s="247"/>
      <c r="H342" s="248"/>
      <c r="I342" s="247"/>
      <c r="J342" s="247"/>
      <c r="K342" s="249"/>
      <c r="L342" s="276" t="s">
        <v>776</v>
      </c>
      <c r="M342" s="251" t="s">
        <v>2962</v>
      </c>
      <c r="N342" s="252">
        <f>SUM(N345:N354)</f>
        <v>930515</v>
      </c>
      <c r="O342" s="252">
        <f>SUM(O345:O354)</f>
        <v>930515</v>
      </c>
      <c r="P342" s="259">
        <f>+O342-N342</f>
        <v>0</v>
      </c>
      <c r="Q342" s="252">
        <f>SUM(Q345:Q354)</f>
        <v>0</v>
      </c>
      <c r="R342" s="252">
        <f>SUM(R345:R354)</f>
        <v>930515</v>
      </c>
      <c r="S342" s="252">
        <f>SUM(S345:S354)</f>
        <v>0</v>
      </c>
      <c r="T342" s="252">
        <f>SUM(T345:T354)</f>
        <v>0</v>
      </c>
      <c r="U342" s="252">
        <f>SUM(U345:U354)</f>
        <v>0</v>
      </c>
      <c r="W342" s="252">
        <f t="shared" ref="W342:AE342" si="47">SUM(W345:W354)</f>
        <v>0</v>
      </c>
      <c r="X342" s="252">
        <f t="shared" si="47"/>
        <v>0</v>
      </c>
      <c r="Y342" s="252">
        <f t="shared" si="47"/>
        <v>0</v>
      </c>
      <c r="Z342" s="252">
        <f t="shared" si="47"/>
        <v>0</v>
      </c>
      <c r="AA342" s="252">
        <f t="shared" si="47"/>
        <v>0</v>
      </c>
      <c r="AB342" s="252">
        <f t="shared" si="47"/>
        <v>0</v>
      </c>
      <c r="AC342" s="252">
        <f t="shared" si="47"/>
        <v>0</v>
      </c>
      <c r="AD342" s="252">
        <f t="shared" si="47"/>
        <v>0</v>
      </c>
      <c r="AE342" s="252">
        <f t="shared" si="47"/>
        <v>0</v>
      </c>
    </row>
    <row r="343" spans="2:31" s="204" customFormat="1" x14ac:dyDescent="0.25">
      <c r="B343" s="293"/>
      <c r="C343" s="293"/>
      <c r="D343" s="230"/>
      <c r="E343" s="230"/>
      <c r="F343" s="230"/>
      <c r="G343" s="230"/>
      <c r="H343" s="231"/>
      <c r="I343" s="230"/>
      <c r="J343" s="230"/>
      <c r="K343" s="230"/>
      <c r="L343" s="275"/>
      <c r="M343" s="216"/>
      <c r="N343" s="285"/>
      <c r="O343" s="285"/>
      <c r="P343" s="285"/>
      <c r="Q343" s="285"/>
      <c r="R343" s="285"/>
      <c r="T343" s="285"/>
      <c r="U343" s="285"/>
      <c r="V343" s="285"/>
      <c r="W343" s="285"/>
      <c r="X343" s="285"/>
      <c r="Y343" s="285"/>
      <c r="Z343" s="285"/>
      <c r="AA343" s="285"/>
    </row>
    <row r="344" spans="2:31" s="204" customFormat="1" ht="63.75" x14ac:dyDescent="0.25">
      <c r="B344" s="294" t="s">
        <v>2968</v>
      </c>
      <c r="C344" s="294" t="s">
        <v>2969</v>
      </c>
      <c r="D344" s="206" t="s">
        <v>72</v>
      </c>
      <c r="E344" s="206"/>
      <c r="F344" s="206"/>
      <c r="G344" s="207"/>
      <c r="H344" s="207"/>
      <c r="I344" s="207"/>
      <c r="J344" s="207" t="s">
        <v>2957</v>
      </c>
      <c r="K344" s="206" t="s">
        <v>82</v>
      </c>
      <c r="L344" s="261" t="s">
        <v>2970</v>
      </c>
      <c r="M344" s="260"/>
      <c r="N344" s="256" t="str">
        <f>N$15</f>
        <v>Valore netto al 31/12/2019</v>
      </c>
      <c r="O344" s="256" t="str">
        <f>O$15</f>
        <v>Valore netto al 31/12/2020</v>
      </c>
      <c r="P344" s="256" t="str">
        <f>P$15</f>
        <v>Variazione</v>
      </c>
      <c r="Q344" s="262" t="s">
        <v>2971</v>
      </c>
      <c r="R344" s="262" t="str">
        <f>"Costo storico al 31/12/"&amp;Info!$B$3-1</f>
        <v>Costo storico al 31/12/2019</v>
      </c>
      <c r="S344" s="262" t="s">
        <v>2972</v>
      </c>
      <c r="T344" s="262" t="s">
        <v>2973</v>
      </c>
      <c r="U344" s="262" t="s">
        <v>2974</v>
      </c>
      <c r="W344" s="262" t="s">
        <v>2975</v>
      </c>
      <c r="X344" s="262" t="s">
        <v>2976</v>
      </c>
      <c r="Y344" s="262" t="s">
        <v>2977</v>
      </c>
      <c r="Z344" s="262" t="s">
        <v>2978</v>
      </c>
      <c r="AA344" s="262" t="s">
        <v>2979</v>
      </c>
      <c r="AB344" s="262" t="s">
        <v>2980</v>
      </c>
      <c r="AC344" s="262" t="s">
        <v>2981</v>
      </c>
      <c r="AD344" s="262" t="s">
        <v>2982</v>
      </c>
      <c r="AE344" s="262" t="s">
        <v>2983</v>
      </c>
    </row>
    <row r="345" spans="2:31" s="204" customFormat="1" x14ac:dyDescent="0.25">
      <c r="B345" s="246" t="s">
        <v>777</v>
      </c>
      <c r="C345" s="287" t="s">
        <v>778</v>
      </c>
      <c r="D345" s="274" t="s">
        <v>3336</v>
      </c>
      <c r="E345" s="274"/>
      <c r="F345" s="274"/>
      <c r="G345" s="274"/>
      <c r="H345" s="266"/>
      <c r="I345" s="281"/>
      <c r="J345" s="281"/>
      <c r="K345" s="281"/>
      <c r="L345" s="282" t="s">
        <v>3337</v>
      </c>
      <c r="M345" s="263" t="s">
        <v>2962</v>
      </c>
      <c r="N345" s="269">
        <f t="shared" ref="N345:N354" si="48">+R345+T345-U345</f>
        <v>383068</v>
      </c>
      <c r="O345" s="270">
        <f t="shared" ref="O345:O354" si="49">+N345+S345+X345+ABS(Y345)-ABS(AA345)+ABS(Z345)+ABS(AB345)+ABS(AD345)-ABS(AE345)+AC345+W345+Q345</f>
        <v>383068</v>
      </c>
      <c r="P345" s="271">
        <f t="shared" ref="P345:P354" si="50">+O345-N345</f>
        <v>0</v>
      </c>
      <c r="Q345" s="272">
        <f>+'NI-San_SP'!Q345+'NI-Soc_SP'!Q345+'NI-Ric_SP'!Q345</f>
        <v>0</v>
      </c>
      <c r="R345" s="272">
        <f>+'NI-San_SP'!R345+'NI-Soc_SP'!R345+'NI-Ric_SP'!R345</f>
        <v>383068</v>
      </c>
      <c r="S345" s="272">
        <f>+'NI-San_SP'!S345+'NI-Soc_SP'!T345+'NI-Ric_SP'!T345</f>
        <v>0</v>
      </c>
      <c r="T345" s="272">
        <f>+'NI-San_SP'!T345+'NI-Soc_SP'!T345+'NI-Ric_SP'!T345</f>
        <v>0</v>
      </c>
      <c r="U345" s="272">
        <f>+'NI-San_SP'!U345+'NI-Soc_SP'!U345+'NI-Ric_SP'!U345</f>
        <v>0</v>
      </c>
      <c r="W345" s="272">
        <f>+'NI-San_SP'!W345+'NI-Soc_SP'!W345+'NI-Ric_SP'!W345</f>
        <v>0</v>
      </c>
      <c r="X345" s="272">
        <f>+'NI-San_SP'!X345+'NI-Soc_SP'!X345+'NI-Ric_SP'!X345</f>
        <v>0</v>
      </c>
      <c r="Y345" s="272">
        <f>+'NI-San_SP'!Y345+'NI-Soc_SP'!Y345+'NI-Ric_SP'!Y345</f>
        <v>0</v>
      </c>
      <c r="Z345" s="272">
        <f>+'NI-San_SP'!Z345+'NI-Soc_SP'!Z345+'NI-Ric_SP'!Z345</f>
        <v>0</v>
      </c>
      <c r="AA345" s="272">
        <f>+'NI-San_SP'!AA345+'NI-Soc_SP'!AA345+'NI-Ric_SP'!AA345</f>
        <v>0</v>
      </c>
      <c r="AB345" s="272">
        <f>+'NI-San_SP'!AB345+'NI-Soc_SP'!AB345+'NI-Ric_SP'!AB345</f>
        <v>0</v>
      </c>
      <c r="AC345" s="272">
        <f>+'NI-San_SP'!AC345+'NI-Soc_SP'!AC345+'NI-Ric_SP'!AC345</f>
        <v>0</v>
      </c>
      <c r="AD345" s="272">
        <f>+'NI-San_SP'!AD345+'NI-Soc_SP'!AD345+'NI-Ric_SP'!AD345</f>
        <v>0</v>
      </c>
      <c r="AE345" s="272">
        <f>+'NI-San_SP'!AE345+'NI-Soc_SP'!AE345+'NI-Ric_SP'!AE345</f>
        <v>0</v>
      </c>
    </row>
    <row r="346" spans="2:31" s="204" customFormat="1" x14ac:dyDescent="0.25">
      <c r="B346" s="246" t="s">
        <v>780</v>
      </c>
      <c r="C346" s="287" t="s">
        <v>781</v>
      </c>
      <c r="D346" s="274" t="s">
        <v>3338</v>
      </c>
      <c r="E346" s="274"/>
      <c r="F346" s="274"/>
      <c r="G346" s="274"/>
      <c r="H346" s="266"/>
      <c r="I346" s="281"/>
      <c r="J346" s="281"/>
      <c r="K346" s="281"/>
      <c r="L346" s="282" t="s">
        <v>3339</v>
      </c>
      <c r="M346" s="263" t="s">
        <v>2962</v>
      </c>
      <c r="N346" s="269">
        <f t="shared" si="48"/>
        <v>41775</v>
      </c>
      <c r="O346" s="270">
        <f t="shared" si="49"/>
        <v>41775</v>
      </c>
      <c r="P346" s="271">
        <f t="shared" si="50"/>
        <v>0</v>
      </c>
      <c r="Q346" s="272">
        <f>+'NI-San_SP'!Q346+'NI-Soc_SP'!Q346+'NI-Ric_SP'!Q346</f>
        <v>0</v>
      </c>
      <c r="R346" s="272">
        <f>+'NI-San_SP'!R346+'NI-Soc_SP'!R346+'NI-Ric_SP'!R346</f>
        <v>41775</v>
      </c>
      <c r="S346" s="272">
        <f>+'NI-San_SP'!S346+'NI-Soc_SP'!T346+'NI-Ric_SP'!T346</f>
        <v>0</v>
      </c>
      <c r="T346" s="272">
        <f>+'NI-San_SP'!T346+'NI-Soc_SP'!T346+'NI-Ric_SP'!T346</f>
        <v>0</v>
      </c>
      <c r="U346" s="272">
        <f>+'NI-San_SP'!U346+'NI-Soc_SP'!U346+'NI-Ric_SP'!U346</f>
        <v>0</v>
      </c>
      <c r="W346" s="272">
        <f>+'NI-San_SP'!W346+'NI-Soc_SP'!W346+'NI-Ric_SP'!W346</f>
        <v>0</v>
      </c>
      <c r="X346" s="272">
        <f>+'NI-San_SP'!X346+'NI-Soc_SP'!X346+'NI-Ric_SP'!X346</f>
        <v>0</v>
      </c>
      <c r="Y346" s="272">
        <f>+'NI-San_SP'!Y346+'NI-Soc_SP'!Y346+'NI-Ric_SP'!Y346</f>
        <v>0</v>
      </c>
      <c r="Z346" s="272">
        <f>+'NI-San_SP'!Z346+'NI-Soc_SP'!Z346+'NI-Ric_SP'!Z346</f>
        <v>0</v>
      </c>
      <c r="AA346" s="272">
        <f>+'NI-San_SP'!AA346+'NI-Soc_SP'!AA346+'NI-Ric_SP'!AA346</f>
        <v>0</v>
      </c>
      <c r="AB346" s="272">
        <f>+'NI-San_SP'!AB346+'NI-Soc_SP'!AB346+'NI-Ric_SP'!AB346</f>
        <v>0</v>
      </c>
      <c r="AC346" s="272">
        <f>+'NI-San_SP'!AC346+'NI-Soc_SP'!AC346+'NI-Ric_SP'!AC346</f>
        <v>0</v>
      </c>
      <c r="AD346" s="272">
        <f>+'NI-San_SP'!AD346+'NI-Soc_SP'!AD346+'NI-Ric_SP'!AD346</f>
        <v>0</v>
      </c>
      <c r="AE346" s="272">
        <f>+'NI-San_SP'!AE346+'NI-Soc_SP'!AE346+'NI-Ric_SP'!AE346</f>
        <v>0</v>
      </c>
    </row>
    <row r="347" spans="2:31" s="204" customFormat="1" x14ac:dyDescent="0.25">
      <c r="B347" s="246" t="s">
        <v>783</v>
      </c>
      <c r="C347" s="287" t="s">
        <v>784</v>
      </c>
      <c r="D347" s="274" t="s">
        <v>3340</v>
      </c>
      <c r="E347" s="274"/>
      <c r="F347" s="274"/>
      <c r="G347" s="274"/>
      <c r="H347" s="266"/>
      <c r="I347" s="281"/>
      <c r="J347" s="281"/>
      <c r="K347" s="281"/>
      <c r="L347" s="282" t="s">
        <v>3341</v>
      </c>
      <c r="M347" s="263" t="s">
        <v>2962</v>
      </c>
      <c r="N347" s="269">
        <f t="shared" si="48"/>
        <v>211253</v>
      </c>
      <c r="O347" s="270">
        <f t="shared" si="49"/>
        <v>211253</v>
      </c>
      <c r="P347" s="271">
        <f t="shared" si="50"/>
        <v>0</v>
      </c>
      <c r="Q347" s="272">
        <f>+'NI-San_SP'!Q347+'NI-Soc_SP'!Q347+'NI-Ric_SP'!Q347</f>
        <v>0</v>
      </c>
      <c r="R347" s="272">
        <f>+'NI-San_SP'!R347+'NI-Soc_SP'!R347+'NI-Ric_SP'!R347</f>
        <v>211253</v>
      </c>
      <c r="S347" s="272">
        <f>+'NI-San_SP'!S347+'NI-Soc_SP'!T347+'NI-Ric_SP'!T347</f>
        <v>0</v>
      </c>
      <c r="T347" s="272">
        <f>+'NI-San_SP'!T347+'NI-Soc_SP'!T347+'NI-Ric_SP'!T347</f>
        <v>0</v>
      </c>
      <c r="U347" s="272">
        <f>+'NI-San_SP'!U347+'NI-Soc_SP'!U347+'NI-Ric_SP'!U347</f>
        <v>0</v>
      </c>
      <c r="W347" s="272">
        <f>+'NI-San_SP'!W347+'NI-Soc_SP'!W347+'NI-Ric_SP'!W347</f>
        <v>0</v>
      </c>
      <c r="X347" s="272">
        <f>+'NI-San_SP'!X347+'NI-Soc_SP'!X347+'NI-Ric_SP'!X347</f>
        <v>0</v>
      </c>
      <c r="Y347" s="272">
        <f>+'NI-San_SP'!Y347+'NI-Soc_SP'!Y347+'NI-Ric_SP'!Y347</f>
        <v>0</v>
      </c>
      <c r="Z347" s="272">
        <f>+'NI-San_SP'!Z347+'NI-Soc_SP'!Z347+'NI-Ric_SP'!Z347</f>
        <v>0</v>
      </c>
      <c r="AA347" s="272">
        <f>+'NI-San_SP'!AA347+'NI-Soc_SP'!AA347+'NI-Ric_SP'!AA347</f>
        <v>0</v>
      </c>
      <c r="AB347" s="272">
        <f>+'NI-San_SP'!AB347+'NI-Soc_SP'!AB347+'NI-Ric_SP'!AB347</f>
        <v>0</v>
      </c>
      <c r="AC347" s="272">
        <f>+'NI-San_SP'!AC347+'NI-Soc_SP'!AC347+'NI-Ric_SP'!AC347</f>
        <v>0</v>
      </c>
      <c r="AD347" s="272">
        <f>+'NI-San_SP'!AD347+'NI-Soc_SP'!AD347+'NI-Ric_SP'!AD347</f>
        <v>0</v>
      </c>
      <c r="AE347" s="272">
        <f>+'NI-San_SP'!AE347+'NI-Soc_SP'!AE347+'NI-Ric_SP'!AE347</f>
        <v>0</v>
      </c>
    </row>
    <row r="348" spans="2:31" s="204" customFormat="1" x14ac:dyDescent="0.25">
      <c r="B348" s="246" t="s">
        <v>786</v>
      </c>
      <c r="C348" s="287" t="s">
        <v>787</v>
      </c>
      <c r="D348" s="274" t="s">
        <v>3342</v>
      </c>
      <c r="E348" s="274"/>
      <c r="F348" s="274"/>
      <c r="G348" s="274"/>
      <c r="H348" s="266"/>
      <c r="I348" s="281"/>
      <c r="J348" s="281"/>
      <c r="K348" s="281"/>
      <c r="L348" s="282" t="s">
        <v>3343</v>
      </c>
      <c r="M348" s="263" t="s">
        <v>2962</v>
      </c>
      <c r="N348" s="269">
        <f t="shared" si="48"/>
        <v>155704</v>
      </c>
      <c r="O348" s="270">
        <f t="shared" si="49"/>
        <v>155704</v>
      </c>
      <c r="P348" s="271">
        <f t="shared" si="50"/>
        <v>0</v>
      </c>
      <c r="Q348" s="272">
        <f>+'NI-San_SP'!Q348+'NI-Soc_SP'!Q348+'NI-Ric_SP'!Q348</f>
        <v>0</v>
      </c>
      <c r="R348" s="272">
        <f>+'NI-San_SP'!R348+'NI-Soc_SP'!R348+'NI-Ric_SP'!R348</f>
        <v>155704</v>
      </c>
      <c r="S348" s="272">
        <f>+'NI-San_SP'!S348+'NI-Soc_SP'!T348+'NI-Ric_SP'!T348</f>
        <v>0</v>
      </c>
      <c r="T348" s="272">
        <f>+'NI-San_SP'!T348+'NI-Soc_SP'!T348+'NI-Ric_SP'!T348</f>
        <v>0</v>
      </c>
      <c r="U348" s="272">
        <f>+'NI-San_SP'!U348+'NI-Soc_SP'!U348+'NI-Ric_SP'!U348</f>
        <v>0</v>
      </c>
      <c r="W348" s="272">
        <f>+'NI-San_SP'!W348+'NI-Soc_SP'!W348+'NI-Ric_SP'!W348</f>
        <v>0</v>
      </c>
      <c r="X348" s="272">
        <f>+'NI-San_SP'!X348+'NI-Soc_SP'!X348+'NI-Ric_SP'!X348</f>
        <v>0</v>
      </c>
      <c r="Y348" s="272">
        <f>+'NI-San_SP'!Y348+'NI-Soc_SP'!Y348+'NI-Ric_SP'!Y348</f>
        <v>0</v>
      </c>
      <c r="Z348" s="272">
        <f>+'NI-San_SP'!Z348+'NI-Soc_SP'!Z348+'NI-Ric_SP'!Z348</f>
        <v>0</v>
      </c>
      <c r="AA348" s="272">
        <f>+'NI-San_SP'!AA348+'NI-Soc_SP'!AA348+'NI-Ric_SP'!AA348</f>
        <v>0</v>
      </c>
      <c r="AB348" s="272">
        <f>+'NI-San_SP'!AB348+'NI-Soc_SP'!AB348+'NI-Ric_SP'!AB348</f>
        <v>0</v>
      </c>
      <c r="AC348" s="272">
        <f>+'NI-San_SP'!AC348+'NI-Soc_SP'!AC348+'NI-Ric_SP'!AC348</f>
        <v>0</v>
      </c>
      <c r="AD348" s="272">
        <f>+'NI-San_SP'!AD348+'NI-Soc_SP'!AD348+'NI-Ric_SP'!AD348</f>
        <v>0</v>
      </c>
      <c r="AE348" s="272">
        <f>+'NI-San_SP'!AE348+'NI-Soc_SP'!AE348+'NI-Ric_SP'!AE348</f>
        <v>0</v>
      </c>
    </row>
    <row r="349" spans="2:31" s="204" customFormat="1" x14ac:dyDescent="0.25">
      <c r="B349" s="246" t="s">
        <v>789</v>
      </c>
      <c r="C349" s="287" t="s">
        <v>790</v>
      </c>
      <c r="D349" s="274" t="s">
        <v>3344</v>
      </c>
      <c r="E349" s="274"/>
      <c r="F349" s="274"/>
      <c r="G349" s="274"/>
      <c r="H349" s="266"/>
      <c r="I349" s="281"/>
      <c r="J349" s="281"/>
      <c r="K349" s="281"/>
      <c r="L349" s="282" t="s">
        <v>3345</v>
      </c>
      <c r="M349" s="263" t="s">
        <v>2962</v>
      </c>
      <c r="N349" s="269">
        <f t="shared" si="48"/>
        <v>0</v>
      </c>
      <c r="O349" s="270">
        <f t="shared" si="49"/>
        <v>0</v>
      </c>
      <c r="P349" s="271">
        <f t="shared" si="50"/>
        <v>0</v>
      </c>
      <c r="Q349" s="272">
        <f>+'NI-San_SP'!Q349+'NI-Soc_SP'!Q349+'NI-Ric_SP'!Q349</f>
        <v>0</v>
      </c>
      <c r="R349" s="272">
        <f>+'NI-San_SP'!R349+'NI-Soc_SP'!R349+'NI-Ric_SP'!R349</f>
        <v>0</v>
      </c>
      <c r="S349" s="272">
        <f>+'NI-San_SP'!S349+'NI-Soc_SP'!T349+'NI-Ric_SP'!T349</f>
        <v>0</v>
      </c>
      <c r="T349" s="272">
        <f>+'NI-San_SP'!T349+'NI-Soc_SP'!T349+'NI-Ric_SP'!T349</f>
        <v>0</v>
      </c>
      <c r="U349" s="272">
        <f>+'NI-San_SP'!U349+'NI-Soc_SP'!U349+'NI-Ric_SP'!U349</f>
        <v>0</v>
      </c>
      <c r="W349" s="272">
        <f>+'NI-San_SP'!W349+'NI-Soc_SP'!W349+'NI-Ric_SP'!W349</f>
        <v>0</v>
      </c>
      <c r="X349" s="272">
        <f>+'NI-San_SP'!X349+'NI-Soc_SP'!X349+'NI-Ric_SP'!X349</f>
        <v>0</v>
      </c>
      <c r="Y349" s="272">
        <f>+'NI-San_SP'!Y349+'NI-Soc_SP'!Y349+'NI-Ric_SP'!Y349</f>
        <v>0</v>
      </c>
      <c r="Z349" s="272">
        <f>+'NI-San_SP'!Z349+'NI-Soc_SP'!Z349+'NI-Ric_SP'!Z349</f>
        <v>0</v>
      </c>
      <c r="AA349" s="272">
        <f>+'NI-San_SP'!AA349+'NI-Soc_SP'!AA349+'NI-Ric_SP'!AA349</f>
        <v>0</v>
      </c>
      <c r="AB349" s="272">
        <f>+'NI-San_SP'!AB349+'NI-Soc_SP'!AB349+'NI-Ric_SP'!AB349</f>
        <v>0</v>
      </c>
      <c r="AC349" s="272">
        <f>+'NI-San_SP'!AC349+'NI-Soc_SP'!AC349+'NI-Ric_SP'!AC349</f>
        <v>0</v>
      </c>
      <c r="AD349" s="272">
        <f>+'NI-San_SP'!AD349+'NI-Soc_SP'!AD349+'NI-Ric_SP'!AD349</f>
        <v>0</v>
      </c>
      <c r="AE349" s="272">
        <f>+'NI-San_SP'!AE349+'NI-Soc_SP'!AE349+'NI-Ric_SP'!AE349</f>
        <v>0</v>
      </c>
    </row>
    <row r="350" spans="2:31" s="204" customFormat="1" x14ac:dyDescent="0.25">
      <c r="B350" s="246" t="s">
        <v>792</v>
      </c>
      <c r="C350" s="287" t="s">
        <v>793</v>
      </c>
      <c r="D350" s="274" t="s">
        <v>3346</v>
      </c>
      <c r="E350" s="274"/>
      <c r="F350" s="274"/>
      <c r="G350" s="274"/>
      <c r="H350" s="266"/>
      <c r="I350" s="281"/>
      <c r="J350" s="281"/>
      <c r="K350" s="281"/>
      <c r="L350" s="282" t="s">
        <v>3347</v>
      </c>
      <c r="M350" s="263" t="s">
        <v>2962</v>
      </c>
      <c r="N350" s="269">
        <f t="shared" si="48"/>
        <v>0</v>
      </c>
      <c r="O350" s="270">
        <f t="shared" si="49"/>
        <v>0</v>
      </c>
      <c r="P350" s="271">
        <f t="shared" si="50"/>
        <v>0</v>
      </c>
      <c r="Q350" s="272">
        <f>+'NI-San_SP'!Q350+'NI-Soc_SP'!Q350+'NI-Ric_SP'!Q350</f>
        <v>0</v>
      </c>
      <c r="R350" s="272">
        <f>+'NI-San_SP'!R350+'NI-Soc_SP'!R350+'NI-Ric_SP'!R350</f>
        <v>0</v>
      </c>
      <c r="S350" s="272">
        <f>+'NI-San_SP'!S350+'NI-Soc_SP'!T350+'NI-Ric_SP'!T350</f>
        <v>0</v>
      </c>
      <c r="T350" s="272">
        <f>+'NI-San_SP'!T350+'NI-Soc_SP'!T350+'NI-Ric_SP'!T350</f>
        <v>0</v>
      </c>
      <c r="U350" s="272">
        <f>+'NI-San_SP'!U350+'NI-Soc_SP'!U350+'NI-Ric_SP'!U350</f>
        <v>0</v>
      </c>
      <c r="W350" s="272">
        <f>+'NI-San_SP'!W350+'NI-Soc_SP'!W350+'NI-Ric_SP'!W350</f>
        <v>0</v>
      </c>
      <c r="X350" s="272">
        <f>+'NI-San_SP'!X350+'NI-Soc_SP'!X350+'NI-Ric_SP'!X350</f>
        <v>0</v>
      </c>
      <c r="Y350" s="272">
        <f>+'NI-San_SP'!Y350+'NI-Soc_SP'!Y350+'NI-Ric_SP'!Y350</f>
        <v>0</v>
      </c>
      <c r="Z350" s="272">
        <f>+'NI-San_SP'!Z350+'NI-Soc_SP'!Z350+'NI-Ric_SP'!Z350</f>
        <v>0</v>
      </c>
      <c r="AA350" s="272">
        <f>+'NI-San_SP'!AA350+'NI-Soc_SP'!AA350+'NI-Ric_SP'!AA350</f>
        <v>0</v>
      </c>
      <c r="AB350" s="272">
        <f>+'NI-San_SP'!AB350+'NI-Soc_SP'!AB350+'NI-Ric_SP'!AB350</f>
        <v>0</v>
      </c>
      <c r="AC350" s="272">
        <f>+'NI-San_SP'!AC350+'NI-Soc_SP'!AC350+'NI-Ric_SP'!AC350</f>
        <v>0</v>
      </c>
      <c r="AD350" s="272">
        <f>+'NI-San_SP'!AD350+'NI-Soc_SP'!AD350+'NI-Ric_SP'!AD350</f>
        <v>0</v>
      </c>
      <c r="AE350" s="272">
        <f>+'NI-San_SP'!AE350+'NI-Soc_SP'!AE350+'NI-Ric_SP'!AE350</f>
        <v>0</v>
      </c>
    </row>
    <row r="351" spans="2:31" s="204" customFormat="1" x14ac:dyDescent="0.25">
      <c r="B351" s="246" t="s">
        <v>795</v>
      </c>
      <c r="C351" s="287" t="s">
        <v>796</v>
      </c>
      <c r="D351" s="274" t="s">
        <v>3348</v>
      </c>
      <c r="E351" s="274"/>
      <c r="F351" s="274"/>
      <c r="G351" s="274"/>
      <c r="H351" s="266"/>
      <c r="I351" s="281"/>
      <c r="J351" s="281"/>
      <c r="K351" s="281"/>
      <c r="L351" s="295" t="s">
        <v>3349</v>
      </c>
      <c r="M351" s="284" t="s">
        <v>2962</v>
      </c>
      <c r="N351" s="269">
        <f t="shared" si="48"/>
        <v>40594</v>
      </c>
      <c r="O351" s="270">
        <f t="shared" si="49"/>
        <v>40594</v>
      </c>
      <c r="P351" s="271">
        <f t="shared" si="50"/>
        <v>0</v>
      </c>
      <c r="Q351" s="272">
        <f>+'NI-San_SP'!Q351+'NI-Soc_SP'!Q351+'NI-Ric_SP'!Q351</f>
        <v>0</v>
      </c>
      <c r="R351" s="272">
        <f>+'NI-San_SP'!R351+'NI-Soc_SP'!R351+'NI-Ric_SP'!R351</f>
        <v>40594</v>
      </c>
      <c r="S351" s="272">
        <f>+'NI-San_SP'!S351+'NI-Soc_SP'!T351+'NI-Ric_SP'!T351</f>
        <v>0</v>
      </c>
      <c r="T351" s="272">
        <f>+'NI-San_SP'!T351+'NI-Soc_SP'!T351+'NI-Ric_SP'!T351</f>
        <v>0</v>
      </c>
      <c r="U351" s="272">
        <f>+'NI-San_SP'!U351+'NI-Soc_SP'!U351+'NI-Ric_SP'!U351</f>
        <v>0</v>
      </c>
      <c r="W351" s="272">
        <f>+'NI-San_SP'!W351+'NI-Soc_SP'!W351+'NI-Ric_SP'!W351</f>
        <v>0</v>
      </c>
      <c r="X351" s="272">
        <f>+'NI-San_SP'!X351+'NI-Soc_SP'!X351+'NI-Ric_SP'!X351</f>
        <v>0</v>
      </c>
      <c r="Y351" s="272">
        <f>+'NI-San_SP'!Y351+'NI-Soc_SP'!Y351+'NI-Ric_SP'!Y351</f>
        <v>0</v>
      </c>
      <c r="Z351" s="272">
        <f>+'NI-San_SP'!Z351+'NI-Soc_SP'!Z351+'NI-Ric_SP'!Z351</f>
        <v>0</v>
      </c>
      <c r="AA351" s="272">
        <f>+'NI-San_SP'!AA351+'NI-Soc_SP'!AA351+'NI-Ric_SP'!AA351</f>
        <v>0</v>
      </c>
      <c r="AB351" s="272">
        <f>+'NI-San_SP'!AB351+'NI-Soc_SP'!AB351+'NI-Ric_SP'!AB351</f>
        <v>0</v>
      </c>
      <c r="AC351" s="272">
        <f>+'NI-San_SP'!AC351+'NI-Soc_SP'!AC351+'NI-Ric_SP'!AC351</f>
        <v>0</v>
      </c>
      <c r="AD351" s="272">
        <f>+'NI-San_SP'!AD351+'NI-Soc_SP'!AD351+'NI-Ric_SP'!AD351</f>
        <v>0</v>
      </c>
      <c r="AE351" s="272">
        <f>+'NI-San_SP'!AE351+'NI-Soc_SP'!AE351+'NI-Ric_SP'!AE351</f>
        <v>0</v>
      </c>
    </row>
    <row r="352" spans="2:31" s="204" customFormat="1" x14ac:dyDescent="0.25">
      <c r="B352" s="246" t="s">
        <v>798</v>
      </c>
      <c r="C352" s="287" t="s">
        <v>799</v>
      </c>
      <c r="D352" s="274" t="s">
        <v>3350</v>
      </c>
      <c r="E352" s="274"/>
      <c r="F352" s="274"/>
      <c r="G352" s="274"/>
      <c r="H352" s="266"/>
      <c r="I352" s="281"/>
      <c r="J352" s="281"/>
      <c r="K352" s="281"/>
      <c r="L352" s="295" t="s">
        <v>3351</v>
      </c>
      <c r="M352" s="284" t="s">
        <v>2962</v>
      </c>
      <c r="N352" s="269">
        <f t="shared" si="48"/>
        <v>98121</v>
      </c>
      <c r="O352" s="270">
        <f t="shared" si="49"/>
        <v>98121</v>
      </c>
      <c r="P352" s="271">
        <f t="shared" si="50"/>
        <v>0</v>
      </c>
      <c r="Q352" s="272">
        <f>+'NI-San_SP'!Q352+'NI-Soc_SP'!Q352+'NI-Ric_SP'!Q352</f>
        <v>0</v>
      </c>
      <c r="R352" s="272">
        <f>+'NI-San_SP'!R352+'NI-Soc_SP'!R352+'NI-Ric_SP'!R352</f>
        <v>98121</v>
      </c>
      <c r="S352" s="272">
        <f>+'NI-San_SP'!S352+'NI-Soc_SP'!T352+'NI-Ric_SP'!T352</f>
        <v>0</v>
      </c>
      <c r="T352" s="272">
        <f>+'NI-San_SP'!T352+'NI-Soc_SP'!T352+'NI-Ric_SP'!T352</f>
        <v>0</v>
      </c>
      <c r="U352" s="272">
        <f>+'NI-San_SP'!U352+'NI-Soc_SP'!U352+'NI-Ric_SP'!U352</f>
        <v>0</v>
      </c>
      <c r="W352" s="272">
        <f>+'NI-San_SP'!W352+'NI-Soc_SP'!W352+'NI-Ric_SP'!W352</f>
        <v>0</v>
      </c>
      <c r="X352" s="272">
        <f>+'NI-San_SP'!X352+'NI-Soc_SP'!X352+'NI-Ric_SP'!X352</f>
        <v>0</v>
      </c>
      <c r="Y352" s="272">
        <f>+'NI-San_SP'!Y352+'NI-Soc_SP'!Y352+'NI-Ric_SP'!Y352</f>
        <v>0</v>
      </c>
      <c r="Z352" s="272">
        <f>+'NI-San_SP'!Z352+'NI-Soc_SP'!Z352+'NI-Ric_SP'!Z352</f>
        <v>0</v>
      </c>
      <c r="AA352" s="272">
        <f>+'NI-San_SP'!AA352+'NI-Soc_SP'!AA352+'NI-Ric_SP'!AA352</f>
        <v>0</v>
      </c>
      <c r="AB352" s="272">
        <f>+'NI-San_SP'!AB352+'NI-Soc_SP'!AB352+'NI-Ric_SP'!AB352</f>
        <v>0</v>
      </c>
      <c r="AC352" s="272">
        <f>+'NI-San_SP'!AC352+'NI-Soc_SP'!AC352+'NI-Ric_SP'!AC352</f>
        <v>0</v>
      </c>
      <c r="AD352" s="272">
        <f>+'NI-San_SP'!AD352+'NI-Soc_SP'!AD352+'NI-Ric_SP'!AD352</f>
        <v>0</v>
      </c>
      <c r="AE352" s="272">
        <f>+'NI-San_SP'!AE352+'NI-Soc_SP'!AE352+'NI-Ric_SP'!AE352</f>
        <v>0</v>
      </c>
    </row>
    <row r="353" spans="2:31" s="204" customFormat="1" x14ac:dyDescent="0.25">
      <c r="B353" s="246" t="s">
        <v>801</v>
      </c>
      <c r="C353" s="287" t="s">
        <v>802</v>
      </c>
      <c r="D353" s="274" t="s">
        <v>3352</v>
      </c>
      <c r="E353" s="274"/>
      <c r="F353" s="274"/>
      <c r="G353" s="274"/>
      <c r="H353" s="266"/>
      <c r="I353" s="281"/>
      <c r="J353" s="281"/>
      <c r="K353" s="281"/>
      <c r="L353" s="295" t="s">
        <v>3353</v>
      </c>
      <c r="M353" s="284" t="s">
        <v>2962</v>
      </c>
      <c r="N353" s="269">
        <f t="shared" si="48"/>
        <v>0</v>
      </c>
      <c r="O353" s="270">
        <f t="shared" si="49"/>
        <v>0</v>
      </c>
      <c r="P353" s="271">
        <f t="shared" si="50"/>
        <v>0</v>
      </c>
      <c r="Q353" s="272">
        <f>+'NI-San_SP'!Q353+'NI-Soc_SP'!Q353+'NI-Ric_SP'!Q353</f>
        <v>0</v>
      </c>
      <c r="R353" s="272">
        <f>+'NI-San_SP'!R353+'NI-Soc_SP'!R353+'NI-Ric_SP'!R353</f>
        <v>0</v>
      </c>
      <c r="S353" s="272">
        <f>+'NI-San_SP'!S353+'NI-Soc_SP'!T353+'NI-Ric_SP'!T353</f>
        <v>0</v>
      </c>
      <c r="T353" s="272">
        <f>+'NI-San_SP'!T353+'NI-Soc_SP'!T353+'NI-Ric_SP'!T353</f>
        <v>0</v>
      </c>
      <c r="U353" s="272">
        <f>+'NI-San_SP'!U353+'NI-Soc_SP'!U353+'NI-Ric_SP'!U353</f>
        <v>0</v>
      </c>
      <c r="W353" s="272">
        <f>+'NI-San_SP'!W353+'NI-Soc_SP'!W353+'NI-Ric_SP'!W353</f>
        <v>0</v>
      </c>
      <c r="X353" s="272">
        <f>+'NI-San_SP'!X353+'NI-Soc_SP'!X353+'NI-Ric_SP'!X353</f>
        <v>0</v>
      </c>
      <c r="Y353" s="272">
        <f>+'NI-San_SP'!Y353+'NI-Soc_SP'!Y353+'NI-Ric_SP'!Y353</f>
        <v>0</v>
      </c>
      <c r="Z353" s="272">
        <f>+'NI-San_SP'!Z353+'NI-Soc_SP'!Z353+'NI-Ric_SP'!Z353</f>
        <v>0</v>
      </c>
      <c r="AA353" s="272">
        <f>+'NI-San_SP'!AA353+'NI-Soc_SP'!AA353+'NI-Ric_SP'!AA353</f>
        <v>0</v>
      </c>
      <c r="AB353" s="272">
        <f>+'NI-San_SP'!AB353+'NI-Soc_SP'!AB353+'NI-Ric_SP'!AB353</f>
        <v>0</v>
      </c>
      <c r="AC353" s="272">
        <f>+'NI-San_SP'!AC353+'NI-Soc_SP'!AC353+'NI-Ric_SP'!AC353</f>
        <v>0</v>
      </c>
      <c r="AD353" s="272">
        <f>+'NI-San_SP'!AD353+'NI-Soc_SP'!AD353+'NI-Ric_SP'!AD353</f>
        <v>0</v>
      </c>
      <c r="AE353" s="272">
        <f>+'NI-San_SP'!AE353+'NI-Soc_SP'!AE353+'NI-Ric_SP'!AE353</f>
        <v>0</v>
      </c>
    </row>
    <row r="354" spans="2:31" s="204" customFormat="1" x14ac:dyDescent="0.25">
      <c r="B354" s="246" t="s">
        <v>804</v>
      </c>
      <c r="C354" s="287" t="s">
        <v>805</v>
      </c>
      <c r="D354" s="274" t="s">
        <v>3354</v>
      </c>
      <c r="E354" s="274"/>
      <c r="F354" s="274"/>
      <c r="G354" s="274"/>
      <c r="H354" s="266"/>
      <c r="I354" s="281"/>
      <c r="J354" s="281"/>
      <c r="K354" s="281"/>
      <c r="L354" s="295" t="s">
        <v>3355</v>
      </c>
      <c r="M354" s="284" t="s">
        <v>2962</v>
      </c>
      <c r="N354" s="269">
        <f t="shared" si="48"/>
        <v>0</v>
      </c>
      <c r="O354" s="270">
        <f t="shared" si="49"/>
        <v>0</v>
      </c>
      <c r="P354" s="271">
        <f t="shared" si="50"/>
        <v>0</v>
      </c>
      <c r="Q354" s="272">
        <f>+'NI-San_SP'!Q354+'NI-Soc_SP'!Q354+'NI-Ric_SP'!Q354</f>
        <v>0</v>
      </c>
      <c r="R354" s="272">
        <f>+'NI-San_SP'!R354+'NI-Soc_SP'!R354+'NI-Ric_SP'!R354</f>
        <v>0</v>
      </c>
      <c r="S354" s="272">
        <f>+'NI-San_SP'!S354+'NI-Soc_SP'!T354+'NI-Ric_SP'!T354</f>
        <v>0</v>
      </c>
      <c r="T354" s="272">
        <f>+'NI-San_SP'!T354+'NI-Soc_SP'!T354+'NI-Ric_SP'!T354</f>
        <v>0</v>
      </c>
      <c r="U354" s="272">
        <f>+'NI-San_SP'!U354+'NI-Soc_SP'!U354+'NI-Ric_SP'!U354</f>
        <v>0</v>
      </c>
      <c r="W354" s="272">
        <f>+'NI-San_SP'!W354+'NI-Soc_SP'!W354+'NI-Ric_SP'!W354</f>
        <v>0</v>
      </c>
      <c r="X354" s="272">
        <f>+'NI-San_SP'!X354+'NI-Soc_SP'!X354+'NI-Ric_SP'!X354</f>
        <v>0</v>
      </c>
      <c r="Y354" s="272">
        <f>+'NI-San_SP'!Y354+'NI-Soc_SP'!Y354+'NI-Ric_SP'!Y354</f>
        <v>0</v>
      </c>
      <c r="Z354" s="272">
        <f>+'NI-San_SP'!Z354+'NI-Soc_SP'!Z354+'NI-Ric_SP'!Z354</f>
        <v>0</v>
      </c>
      <c r="AA354" s="272">
        <f>+'NI-San_SP'!AA354+'NI-Soc_SP'!AA354+'NI-Ric_SP'!AA354</f>
        <v>0</v>
      </c>
      <c r="AB354" s="272">
        <f>+'NI-San_SP'!AB354+'NI-Soc_SP'!AB354+'NI-Ric_SP'!AB354</f>
        <v>0</v>
      </c>
      <c r="AC354" s="272">
        <f>+'NI-San_SP'!AC354+'NI-Soc_SP'!AC354+'NI-Ric_SP'!AC354</f>
        <v>0</v>
      </c>
      <c r="AD354" s="272">
        <f>+'NI-San_SP'!AD354+'NI-Soc_SP'!AD354+'NI-Ric_SP'!AD354</f>
        <v>0</v>
      </c>
      <c r="AE354" s="272">
        <f>+'NI-San_SP'!AE354+'NI-Soc_SP'!AE354+'NI-Ric_SP'!AE354</f>
        <v>0</v>
      </c>
    </row>
    <row r="355" spans="2:31" s="204" customFormat="1" ht="25.5" x14ac:dyDescent="0.25">
      <c r="B355" s="293"/>
      <c r="C355" s="293"/>
      <c r="D355" s="230"/>
      <c r="E355" s="230"/>
      <c r="F355" s="230"/>
      <c r="G355" s="230"/>
      <c r="H355" s="231"/>
      <c r="I355" s="230"/>
      <c r="J355" s="230"/>
      <c r="K355" s="230"/>
      <c r="L355" s="296" t="s">
        <v>3356</v>
      </c>
      <c r="M355" s="216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</row>
    <row r="356" spans="2:31" s="204" customFormat="1" x14ac:dyDescent="0.25">
      <c r="B356" s="293"/>
      <c r="C356" s="293"/>
      <c r="D356" s="230"/>
      <c r="E356" s="230"/>
      <c r="F356" s="230"/>
      <c r="G356" s="230"/>
      <c r="H356" s="231"/>
      <c r="I356" s="230"/>
      <c r="J356" s="230"/>
      <c r="K356" s="230"/>
      <c r="L356" s="296"/>
      <c r="M356" s="216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</row>
    <row r="357" spans="2:31" s="204" customFormat="1" x14ac:dyDescent="0.25">
      <c r="B357" s="246" t="s">
        <v>807</v>
      </c>
      <c r="C357" s="292" t="s">
        <v>808</v>
      </c>
      <c r="D357" s="247" t="s">
        <v>3357</v>
      </c>
      <c r="E357" s="247"/>
      <c r="F357" s="247"/>
      <c r="G357" s="247"/>
      <c r="H357" s="248"/>
      <c r="I357" s="247"/>
      <c r="J357" s="247"/>
      <c r="K357" s="249"/>
      <c r="L357" s="276" t="s">
        <v>811</v>
      </c>
      <c r="M357" s="251" t="s">
        <v>2962</v>
      </c>
      <c r="N357" s="252">
        <f>SUM(N360:N369)</f>
        <v>930515</v>
      </c>
      <c r="O357" s="252">
        <f>SUM(O360:O369)</f>
        <v>930515</v>
      </c>
      <c r="P357" s="259">
        <f>+O357-N357</f>
        <v>0</v>
      </c>
      <c r="Q357" s="252">
        <f>SUM(Q360:Q369)</f>
        <v>0</v>
      </c>
      <c r="R357" s="252">
        <f>SUM(R360:R369)</f>
        <v>930515</v>
      </c>
      <c r="S357" s="252">
        <f>SUM(S360:S369)</f>
        <v>0</v>
      </c>
      <c r="W357" s="252">
        <f>SUM(W360:W369)</f>
        <v>0</v>
      </c>
      <c r="X357" s="252">
        <f>SUM(X360:X369)</f>
        <v>0</v>
      </c>
      <c r="Y357" s="252">
        <f>SUM(Y360:Y369)</f>
        <v>0</v>
      </c>
      <c r="Z357" s="252">
        <f>SUM(Z360:Z369)</f>
        <v>0</v>
      </c>
      <c r="AA357" s="285"/>
    </row>
    <row r="358" spans="2:31" s="204" customFormat="1" x14ac:dyDescent="0.25">
      <c r="B358" s="293"/>
      <c r="C358" s="293"/>
      <c r="D358" s="230"/>
      <c r="E358" s="230"/>
      <c r="F358" s="230"/>
      <c r="G358" s="230"/>
      <c r="H358" s="231"/>
      <c r="I358" s="230"/>
      <c r="J358" s="230"/>
      <c r="K358" s="230"/>
      <c r="L358" s="275"/>
      <c r="M358" s="216"/>
      <c r="N358" s="285"/>
      <c r="O358" s="211"/>
      <c r="P358" s="211"/>
      <c r="Q358" s="211"/>
      <c r="R358" s="211"/>
      <c r="W358" s="285"/>
      <c r="X358" s="285"/>
      <c r="Y358" s="285"/>
      <c r="Z358" s="285"/>
      <c r="AA358" s="285"/>
    </row>
    <row r="359" spans="2:31" s="204" customFormat="1" ht="63.75" x14ac:dyDescent="0.25">
      <c r="B359" s="294" t="s">
        <v>2968</v>
      </c>
      <c r="C359" s="294" t="s">
        <v>2969</v>
      </c>
      <c r="D359" s="206" t="s">
        <v>72</v>
      </c>
      <c r="E359" s="206"/>
      <c r="F359" s="206"/>
      <c r="G359" s="207"/>
      <c r="H359" s="207"/>
      <c r="I359" s="207"/>
      <c r="J359" s="207" t="s">
        <v>2957</v>
      </c>
      <c r="K359" s="206" t="s">
        <v>82</v>
      </c>
      <c r="L359" s="261" t="s">
        <v>2970</v>
      </c>
      <c r="M359" s="260"/>
      <c r="N359" s="256" t="str">
        <f>N$15</f>
        <v>Valore netto al 31/12/2019</v>
      </c>
      <c r="O359" s="256" t="str">
        <f>O$15</f>
        <v>Valore netto al 31/12/2020</v>
      </c>
      <c r="P359" s="256" t="str">
        <f>P$15</f>
        <v>Variazione</v>
      </c>
      <c r="Q359" s="262" t="s">
        <v>2971</v>
      </c>
      <c r="R359" s="262" t="str">
        <f>"Fondo ammortamento 31/12/"&amp;Info!$B$3-1</f>
        <v>Fondo ammortamento 31/12/2019</v>
      </c>
      <c r="S359" s="262" t="s">
        <v>2972</v>
      </c>
      <c r="W359" s="262" t="s">
        <v>2975</v>
      </c>
      <c r="X359" s="262" t="s">
        <v>2976</v>
      </c>
      <c r="Y359" s="262" t="s">
        <v>2989</v>
      </c>
      <c r="Z359" s="262" t="s">
        <v>2990</v>
      </c>
      <c r="AA359" s="285"/>
    </row>
    <row r="360" spans="2:31" s="204" customFormat="1" x14ac:dyDescent="0.25">
      <c r="B360" s="246" t="s">
        <v>812</v>
      </c>
      <c r="C360" s="287" t="s">
        <v>813</v>
      </c>
      <c r="D360" s="274" t="s">
        <v>3358</v>
      </c>
      <c r="E360" s="274"/>
      <c r="F360" s="274"/>
      <c r="G360" s="283"/>
      <c r="H360" s="266"/>
      <c r="I360" s="281"/>
      <c r="J360" s="281"/>
      <c r="K360" s="281"/>
      <c r="L360" s="282" t="s">
        <v>3359</v>
      </c>
      <c r="M360" s="263" t="s">
        <v>2962</v>
      </c>
      <c r="N360" s="269">
        <f t="shared" ref="N360:N369" si="51">+R360</f>
        <v>383068</v>
      </c>
      <c r="O360" s="270">
        <f t="shared" ref="O360:O369" si="52">+R360+S360+X360-ABS(Y360)+ABS(Z360)+W360+Q360</f>
        <v>383068</v>
      </c>
      <c r="P360" s="271">
        <f t="shared" ref="P360:P369" si="53">+O360-N360</f>
        <v>0</v>
      </c>
      <c r="Q360" s="272">
        <f>+'NI-San_SP'!Q360+'NI-Soc_SP'!Q360+'NI-Ric_SP'!Q360</f>
        <v>0</v>
      </c>
      <c r="R360" s="272">
        <f>+'NI-San_SP'!R360+'NI-Soc_SP'!R360+'NI-Ric_SP'!R360</f>
        <v>383068</v>
      </c>
      <c r="S360" s="272">
        <f>+'NI-San_SP'!S360+'NI-Soc_SP'!S360+'NI-Ric_SP'!S360</f>
        <v>0</v>
      </c>
      <c r="V360" s="211"/>
      <c r="W360" s="272">
        <f>+'NI-San_SP'!W360+'NI-Soc_SP'!W360+'NI-Ric_SP'!W360</f>
        <v>0</v>
      </c>
      <c r="X360" s="272">
        <f>+'NI-San_SP'!X360+'NI-Soc_SP'!X360+'NI-Ric_SP'!X360</f>
        <v>0</v>
      </c>
      <c r="Y360" s="272">
        <f>+'NI-San_SP'!Y360+'NI-Soc_SP'!Y360+'NI-Ric_SP'!Y360</f>
        <v>0</v>
      </c>
      <c r="Z360" s="272">
        <f>+'NI-San_SP'!Z360+'NI-Soc_SP'!Z360+'NI-Ric_SP'!Z360</f>
        <v>0</v>
      </c>
      <c r="AA360" s="285"/>
    </row>
    <row r="361" spans="2:31" s="204" customFormat="1" x14ac:dyDescent="0.25">
      <c r="B361" s="246" t="s">
        <v>815</v>
      </c>
      <c r="C361" s="287" t="s">
        <v>816</v>
      </c>
      <c r="D361" s="274" t="s">
        <v>3360</v>
      </c>
      <c r="E361" s="274"/>
      <c r="F361" s="274"/>
      <c r="G361" s="283"/>
      <c r="H361" s="266"/>
      <c r="I361" s="281"/>
      <c r="J361" s="281"/>
      <c r="K361" s="281"/>
      <c r="L361" s="282" t="s">
        <v>3361</v>
      </c>
      <c r="M361" s="263" t="s">
        <v>2962</v>
      </c>
      <c r="N361" s="269">
        <f t="shared" si="51"/>
        <v>41775</v>
      </c>
      <c r="O361" s="270">
        <f t="shared" si="52"/>
        <v>41775</v>
      </c>
      <c r="P361" s="271">
        <f t="shared" si="53"/>
        <v>0</v>
      </c>
      <c r="Q361" s="272">
        <f>+'NI-San_SP'!Q361+'NI-Soc_SP'!Q361+'NI-Ric_SP'!Q361</f>
        <v>0</v>
      </c>
      <c r="R361" s="272">
        <f>+'NI-San_SP'!R361+'NI-Soc_SP'!R361+'NI-Ric_SP'!R361</f>
        <v>41775</v>
      </c>
      <c r="S361" s="272">
        <f>+'NI-San_SP'!S361+'NI-Soc_SP'!S361+'NI-Ric_SP'!S361</f>
        <v>0</v>
      </c>
      <c r="V361" s="211"/>
      <c r="W361" s="272">
        <f>+'NI-San_SP'!W361+'NI-Soc_SP'!W361+'NI-Ric_SP'!W361</f>
        <v>0</v>
      </c>
      <c r="X361" s="272">
        <f>+'NI-San_SP'!X361+'NI-Soc_SP'!X361+'NI-Ric_SP'!X361</f>
        <v>0</v>
      </c>
      <c r="Y361" s="272">
        <f>+'NI-San_SP'!Y361+'NI-Soc_SP'!Y361+'NI-Ric_SP'!Y361</f>
        <v>0</v>
      </c>
      <c r="Z361" s="272">
        <f>+'NI-San_SP'!Z361+'NI-Soc_SP'!Z361+'NI-Ric_SP'!Z361</f>
        <v>0</v>
      </c>
      <c r="AA361" s="285"/>
    </row>
    <row r="362" spans="2:31" s="204" customFormat="1" x14ac:dyDescent="0.25">
      <c r="B362" s="246" t="s">
        <v>818</v>
      </c>
      <c r="C362" s="287" t="s">
        <v>819</v>
      </c>
      <c r="D362" s="274" t="s">
        <v>3362</v>
      </c>
      <c r="E362" s="274"/>
      <c r="F362" s="274"/>
      <c r="G362" s="283"/>
      <c r="H362" s="266"/>
      <c r="I362" s="281"/>
      <c r="J362" s="281"/>
      <c r="K362" s="281"/>
      <c r="L362" s="282" t="s">
        <v>3363</v>
      </c>
      <c r="M362" s="263" t="s">
        <v>2962</v>
      </c>
      <c r="N362" s="269">
        <f t="shared" si="51"/>
        <v>232253</v>
      </c>
      <c r="O362" s="270">
        <f t="shared" si="52"/>
        <v>232253</v>
      </c>
      <c r="P362" s="271">
        <f t="shared" si="53"/>
        <v>0</v>
      </c>
      <c r="Q362" s="272">
        <f>+'NI-San_SP'!Q362+'NI-Soc_SP'!Q362+'NI-Ric_SP'!Q362</f>
        <v>0</v>
      </c>
      <c r="R362" s="272">
        <f>+'NI-San_SP'!R362+'NI-Soc_SP'!R362+'NI-Ric_SP'!R362</f>
        <v>232253</v>
      </c>
      <c r="S362" s="272">
        <f>+'NI-San_SP'!S362+'NI-Soc_SP'!S362+'NI-Ric_SP'!S362</f>
        <v>0</v>
      </c>
      <c r="V362" s="211"/>
      <c r="W362" s="272">
        <f>+'NI-San_SP'!W362+'NI-Soc_SP'!W362+'NI-Ric_SP'!W362</f>
        <v>0</v>
      </c>
      <c r="X362" s="272">
        <f>+'NI-San_SP'!X362+'NI-Soc_SP'!X362+'NI-Ric_SP'!X362</f>
        <v>0</v>
      </c>
      <c r="Y362" s="272">
        <f>+'NI-San_SP'!Y362+'NI-Soc_SP'!Y362+'NI-Ric_SP'!Y362</f>
        <v>0</v>
      </c>
      <c r="Z362" s="272">
        <f>+'NI-San_SP'!Z362+'NI-Soc_SP'!Z362+'NI-Ric_SP'!Z362</f>
        <v>0</v>
      </c>
      <c r="AA362" s="285"/>
    </row>
    <row r="363" spans="2:31" s="204" customFormat="1" x14ac:dyDescent="0.25">
      <c r="B363" s="246" t="s">
        <v>821</v>
      </c>
      <c r="C363" s="287" t="s">
        <v>822</v>
      </c>
      <c r="D363" s="274" t="s">
        <v>3364</v>
      </c>
      <c r="E363" s="274"/>
      <c r="F363" s="274"/>
      <c r="G363" s="283"/>
      <c r="H363" s="266"/>
      <c r="I363" s="281"/>
      <c r="J363" s="281"/>
      <c r="K363" s="281"/>
      <c r="L363" s="282" t="s">
        <v>3365</v>
      </c>
      <c r="M363" s="263" t="s">
        <v>2962</v>
      </c>
      <c r="N363" s="269">
        <f t="shared" si="51"/>
        <v>134704</v>
      </c>
      <c r="O363" s="270">
        <f t="shared" si="52"/>
        <v>134704</v>
      </c>
      <c r="P363" s="271">
        <f t="shared" si="53"/>
        <v>0</v>
      </c>
      <c r="Q363" s="272">
        <f>+'NI-San_SP'!Q363+'NI-Soc_SP'!Q363+'NI-Ric_SP'!Q363</f>
        <v>0</v>
      </c>
      <c r="R363" s="272">
        <f>+'NI-San_SP'!R363+'NI-Soc_SP'!R363+'NI-Ric_SP'!R363</f>
        <v>134704</v>
      </c>
      <c r="S363" s="272">
        <f>+'NI-San_SP'!S363+'NI-Soc_SP'!S363+'NI-Ric_SP'!S363</f>
        <v>0</v>
      </c>
      <c r="V363" s="211"/>
      <c r="W363" s="272">
        <f>+'NI-San_SP'!W363+'NI-Soc_SP'!W363+'NI-Ric_SP'!W363</f>
        <v>0</v>
      </c>
      <c r="X363" s="272">
        <f>+'NI-San_SP'!X363+'NI-Soc_SP'!X363+'NI-Ric_SP'!X363</f>
        <v>0</v>
      </c>
      <c r="Y363" s="272">
        <f>+'NI-San_SP'!Y363+'NI-Soc_SP'!Y363+'NI-Ric_SP'!Y363</f>
        <v>0</v>
      </c>
      <c r="Z363" s="272">
        <f>+'NI-San_SP'!Z363+'NI-Soc_SP'!Z363+'NI-Ric_SP'!Z363</f>
        <v>0</v>
      </c>
      <c r="AA363" s="285"/>
    </row>
    <row r="364" spans="2:31" s="204" customFormat="1" x14ac:dyDescent="0.25">
      <c r="B364" s="246" t="s">
        <v>824</v>
      </c>
      <c r="C364" s="287" t="s">
        <v>825</v>
      </c>
      <c r="D364" s="274" t="s">
        <v>3366</v>
      </c>
      <c r="E364" s="274"/>
      <c r="F364" s="274"/>
      <c r="G364" s="283"/>
      <c r="H364" s="266"/>
      <c r="I364" s="281"/>
      <c r="J364" s="281"/>
      <c r="K364" s="281"/>
      <c r="L364" s="282" t="s">
        <v>3367</v>
      </c>
      <c r="M364" s="263" t="s">
        <v>2962</v>
      </c>
      <c r="N364" s="269">
        <f t="shared" si="51"/>
        <v>0</v>
      </c>
      <c r="O364" s="270">
        <f t="shared" si="52"/>
        <v>0</v>
      </c>
      <c r="P364" s="271">
        <f t="shared" si="53"/>
        <v>0</v>
      </c>
      <c r="Q364" s="272">
        <f>+'NI-San_SP'!Q364+'NI-Soc_SP'!Q364+'NI-Ric_SP'!Q364</f>
        <v>0</v>
      </c>
      <c r="R364" s="272">
        <f>+'NI-San_SP'!R364+'NI-Soc_SP'!R364+'NI-Ric_SP'!R364</f>
        <v>0</v>
      </c>
      <c r="S364" s="272">
        <f>+'NI-San_SP'!S364+'NI-Soc_SP'!S364+'NI-Ric_SP'!S364</f>
        <v>0</v>
      </c>
      <c r="V364" s="211"/>
      <c r="W364" s="272">
        <f>+'NI-San_SP'!W364+'NI-Soc_SP'!W364+'NI-Ric_SP'!W364</f>
        <v>0</v>
      </c>
      <c r="X364" s="272">
        <f>+'NI-San_SP'!X364+'NI-Soc_SP'!X364+'NI-Ric_SP'!X364</f>
        <v>0</v>
      </c>
      <c r="Y364" s="272">
        <f>+'NI-San_SP'!Y364+'NI-Soc_SP'!Y364+'NI-Ric_SP'!Y364</f>
        <v>0</v>
      </c>
      <c r="Z364" s="272">
        <f>+'NI-San_SP'!Z364+'NI-Soc_SP'!Z364+'NI-Ric_SP'!Z364</f>
        <v>0</v>
      </c>
      <c r="AA364" s="285"/>
    </row>
    <row r="365" spans="2:31" s="204" customFormat="1" x14ac:dyDescent="0.25">
      <c r="B365" s="246" t="s">
        <v>827</v>
      </c>
      <c r="C365" s="287" t="s">
        <v>828</v>
      </c>
      <c r="D365" s="274" t="s">
        <v>3368</v>
      </c>
      <c r="E365" s="274"/>
      <c r="F365" s="274"/>
      <c r="G365" s="283"/>
      <c r="H365" s="266"/>
      <c r="I365" s="281"/>
      <c r="J365" s="281"/>
      <c r="K365" s="281"/>
      <c r="L365" s="282" t="s">
        <v>3369</v>
      </c>
      <c r="M365" s="263" t="s">
        <v>2962</v>
      </c>
      <c r="N365" s="269">
        <f t="shared" si="51"/>
        <v>0</v>
      </c>
      <c r="O365" s="270">
        <f t="shared" si="52"/>
        <v>0</v>
      </c>
      <c r="P365" s="271">
        <f t="shared" si="53"/>
        <v>0</v>
      </c>
      <c r="Q365" s="272">
        <f>+'NI-San_SP'!Q365+'NI-Soc_SP'!Q365+'NI-Ric_SP'!Q365</f>
        <v>0</v>
      </c>
      <c r="R365" s="272">
        <f>+'NI-San_SP'!R365+'NI-Soc_SP'!R365+'NI-Ric_SP'!R365</f>
        <v>0</v>
      </c>
      <c r="S365" s="272">
        <f>+'NI-San_SP'!S365+'NI-Soc_SP'!S365+'NI-Ric_SP'!S365</f>
        <v>0</v>
      </c>
      <c r="V365" s="211"/>
      <c r="W365" s="272">
        <f>+'NI-San_SP'!W365+'NI-Soc_SP'!W365+'NI-Ric_SP'!W365</f>
        <v>0</v>
      </c>
      <c r="X365" s="272">
        <f>+'NI-San_SP'!X365+'NI-Soc_SP'!X365+'NI-Ric_SP'!X365</f>
        <v>0</v>
      </c>
      <c r="Y365" s="272">
        <f>+'NI-San_SP'!Y365+'NI-Soc_SP'!Y365+'NI-Ric_SP'!Y365</f>
        <v>0</v>
      </c>
      <c r="Z365" s="272">
        <f>+'NI-San_SP'!Z365+'NI-Soc_SP'!Z365+'NI-Ric_SP'!Z365</f>
        <v>0</v>
      </c>
      <c r="AA365" s="285"/>
    </row>
    <row r="366" spans="2:31" s="204" customFormat="1" x14ac:dyDescent="0.25">
      <c r="B366" s="246" t="s">
        <v>830</v>
      </c>
      <c r="C366" s="287" t="s">
        <v>831</v>
      </c>
      <c r="D366" s="274" t="s">
        <v>3370</v>
      </c>
      <c r="E366" s="274"/>
      <c r="F366" s="274"/>
      <c r="G366" s="283"/>
      <c r="H366" s="266"/>
      <c r="I366" s="281"/>
      <c r="J366" s="281"/>
      <c r="K366" s="281"/>
      <c r="L366" s="295" t="s">
        <v>3371</v>
      </c>
      <c r="M366" s="284" t="s">
        <v>2962</v>
      </c>
      <c r="N366" s="269">
        <f t="shared" si="51"/>
        <v>40594</v>
      </c>
      <c r="O366" s="270">
        <f t="shared" si="52"/>
        <v>40594</v>
      </c>
      <c r="P366" s="271">
        <f t="shared" si="53"/>
        <v>0</v>
      </c>
      <c r="Q366" s="272">
        <f>+'NI-San_SP'!Q366+'NI-Soc_SP'!Q366+'NI-Ric_SP'!Q366</f>
        <v>0</v>
      </c>
      <c r="R366" s="272">
        <f>+'NI-San_SP'!R366+'NI-Soc_SP'!R366+'NI-Ric_SP'!R366</f>
        <v>40594</v>
      </c>
      <c r="S366" s="272">
        <f>+'NI-San_SP'!S366+'NI-Soc_SP'!S366+'NI-Ric_SP'!S366</f>
        <v>0</v>
      </c>
      <c r="V366" s="211"/>
      <c r="W366" s="272">
        <f>+'NI-San_SP'!W366+'NI-Soc_SP'!W366+'NI-Ric_SP'!W366</f>
        <v>0</v>
      </c>
      <c r="X366" s="272">
        <f>+'NI-San_SP'!X366+'NI-Soc_SP'!X366+'NI-Ric_SP'!X366</f>
        <v>0</v>
      </c>
      <c r="Y366" s="272">
        <f>+'NI-San_SP'!Y366+'NI-Soc_SP'!Y366+'NI-Ric_SP'!Y366</f>
        <v>0</v>
      </c>
      <c r="Z366" s="272">
        <f>+'NI-San_SP'!Z366+'NI-Soc_SP'!Z366+'NI-Ric_SP'!Z366</f>
        <v>0</v>
      </c>
      <c r="AA366" s="285"/>
    </row>
    <row r="367" spans="2:31" s="204" customFormat="1" x14ac:dyDescent="0.25">
      <c r="B367" s="246" t="s">
        <v>833</v>
      </c>
      <c r="C367" s="287" t="s">
        <v>834</v>
      </c>
      <c r="D367" s="274" t="s">
        <v>3372</v>
      </c>
      <c r="E367" s="274"/>
      <c r="F367" s="274"/>
      <c r="G367" s="283"/>
      <c r="H367" s="266"/>
      <c r="I367" s="281"/>
      <c r="J367" s="281"/>
      <c r="K367" s="281"/>
      <c r="L367" s="295" t="s">
        <v>3373</v>
      </c>
      <c r="M367" s="284" t="s">
        <v>2962</v>
      </c>
      <c r="N367" s="269">
        <f t="shared" si="51"/>
        <v>98121</v>
      </c>
      <c r="O367" s="270">
        <f t="shared" si="52"/>
        <v>98121</v>
      </c>
      <c r="P367" s="271">
        <f t="shared" si="53"/>
        <v>0</v>
      </c>
      <c r="Q367" s="272">
        <f>+'NI-San_SP'!Q367+'NI-Soc_SP'!Q367+'NI-Ric_SP'!Q367</f>
        <v>0</v>
      </c>
      <c r="R367" s="272">
        <f>+'NI-San_SP'!R367+'NI-Soc_SP'!R367+'NI-Ric_SP'!R367</f>
        <v>98121</v>
      </c>
      <c r="S367" s="272">
        <f>+'NI-San_SP'!S367+'NI-Soc_SP'!S367+'NI-Ric_SP'!S367</f>
        <v>0</v>
      </c>
      <c r="V367" s="211"/>
      <c r="W367" s="272">
        <f>+'NI-San_SP'!W367+'NI-Soc_SP'!W367+'NI-Ric_SP'!W367</f>
        <v>0</v>
      </c>
      <c r="X367" s="272">
        <f>+'NI-San_SP'!X367+'NI-Soc_SP'!X367+'NI-Ric_SP'!X367</f>
        <v>0</v>
      </c>
      <c r="Y367" s="272">
        <f>+'NI-San_SP'!Y367+'NI-Soc_SP'!Y367+'NI-Ric_SP'!Y367</f>
        <v>0</v>
      </c>
      <c r="Z367" s="272">
        <f>+'NI-San_SP'!Z367+'NI-Soc_SP'!Z367+'NI-Ric_SP'!Z367</f>
        <v>0</v>
      </c>
      <c r="AA367" s="285"/>
    </row>
    <row r="368" spans="2:31" s="204" customFormat="1" x14ac:dyDescent="0.25">
      <c r="B368" s="246" t="s">
        <v>836</v>
      </c>
      <c r="C368" s="287" t="s">
        <v>837</v>
      </c>
      <c r="D368" s="274" t="s">
        <v>3374</v>
      </c>
      <c r="E368" s="274"/>
      <c r="F368" s="274"/>
      <c r="G368" s="283"/>
      <c r="H368" s="266"/>
      <c r="I368" s="281"/>
      <c r="J368" s="281"/>
      <c r="K368" s="281"/>
      <c r="L368" s="295" t="s">
        <v>3375</v>
      </c>
      <c r="M368" s="284" t="s">
        <v>2962</v>
      </c>
      <c r="N368" s="269">
        <f t="shared" si="51"/>
        <v>0</v>
      </c>
      <c r="O368" s="270">
        <f t="shared" si="52"/>
        <v>0</v>
      </c>
      <c r="P368" s="271">
        <f t="shared" si="53"/>
        <v>0</v>
      </c>
      <c r="Q368" s="272">
        <f>+'NI-San_SP'!Q368+'NI-Soc_SP'!Q368+'NI-Ric_SP'!Q368</f>
        <v>0</v>
      </c>
      <c r="R368" s="272">
        <f>+'NI-San_SP'!R368+'NI-Soc_SP'!R368+'NI-Ric_SP'!R368</f>
        <v>0</v>
      </c>
      <c r="S368" s="272">
        <f>+'NI-San_SP'!S368+'NI-Soc_SP'!S368+'NI-Ric_SP'!S368</f>
        <v>0</v>
      </c>
      <c r="V368" s="211"/>
      <c r="W368" s="272">
        <f>+'NI-San_SP'!W368+'NI-Soc_SP'!W368+'NI-Ric_SP'!W368</f>
        <v>0</v>
      </c>
      <c r="X368" s="272">
        <f>+'NI-San_SP'!X368+'NI-Soc_SP'!X368+'NI-Ric_SP'!X368</f>
        <v>0</v>
      </c>
      <c r="Y368" s="272">
        <f>+'NI-San_SP'!Y368+'NI-Soc_SP'!Y368+'NI-Ric_SP'!Y368</f>
        <v>0</v>
      </c>
      <c r="Z368" s="272">
        <f>+'NI-San_SP'!Z368+'NI-Soc_SP'!Z368+'NI-Ric_SP'!Z368</f>
        <v>0</v>
      </c>
      <c r="AA368" s="285"/>
    </row>
    <row r="369" spans="2:39" s="204" customFormat="1" x14ac:dyDescent="0.25">
      <c r="B369" s="246" t="s">
        <v>839</v>
      </c>
      <c r="C369" s="287" t="s">
        <v>840</v>
      </c>
      <c r="D369" s="274" t="s">
        <v>3376</v>
      </c>
      <c r="E369" s="274"/>
      <c r="F369" s="274"/>
      <c r="G369" s="283"/>
      <c r="H369" s="266"/>
      <c r="I369" s="281"/>
      <c r="J369" s="281"/>
      <c r="K369" s="281"/>
      <c r="L369" s="295" t="s">
        <v>3377</v>
      </c>
      <c r="M369" s="284" t="s">
        <v>2962</v>
      </c>
      <c r="N369" s="269">
        <f t="shared" si="51"/>
        <v>0</v>
      </c>
      <c r="O369" s="270">
        <f t="shared" si="52"/>
        <v>0</v>
      </c>
      <c r="P369" s="271">
        <f t="shared" si="53"/>
        <v>0</v>
      </c>
      <c r="Q369" s="272">
        <f>+'NI-San_SP'!Q369+'NI-Soc_SP'!Q369+'NI-Ric_SP'!Q369</f>
        <v>0</v>
      </c>
      <c r="R369" s="272">
        <f>+'NI-San_SP'!R369+'NI-Soc_SP'!R369+'NI-Ric_SP'!R369</f>
        <v>0</v>
      </c>
      <c r="S369" s="272">
        <f>+'NI-San_SP'!S369+'NI-Soc_SP'!S369+'NI-Ric_SP'!S369</f>
        <v>0</v>
      </c>
      <c r="V369" s="211"/>
      <c r="W369" s="272">
        <f>+'NI-San_SP'!W369+'NI-Soc_SP'!W369+'NI-Ric_SP'!W369</f>
        <v>0</v>
      </c>
      <c r="X369" s="272">
        <f>+'NI-San_SP'!X369+'NI-Soc_SP'!X369+'NI-Ric_SP'!X369</f>
        <v>0</v>
      </c>
      <c r="Y369" s="272">
        <f>+'NI-San_SP'!Y369+'NI-Soc_SP'!Y369+'NI-Ric_SP'!Y369</f>
        <v>0</v>
      </c>
      <c r="Z369" s="272">
        <f>+'NI-San_SP'!Z369+'NI-Soc_SP'!Z369+'NI-Ric_SP'!Z369</f>
        <v>0</v>
      </c>
      <c r="AA369" s="285"/>
    </row>
    <row r="370" spans="2:39" s="204" customFormat="1" x14ac:dyDescent="0.25">
      <c r="B370" s="289"/>
      <c r="C370" s="289"/>
      <c r="D370" s="211"/>
      <c r="E370" s="211"/>
      <c r="F370" s="211"/>
      <c r="G370" s="211"/>
      <c r="H370" s="211"/>
      <c r="I370" s="211"/>
      <c r="J370" s="211"/>
      <c r="K370" s="211"/>
      <c r="L370" s="232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</row>
    <row r="371" spans="2:39" s="204" customFormat="1" ht="25.5" x14ac:dyDescent="0.25">
      <c r="B371" s="293"/>
      <c r="C371" s="293"/>
      <c r="D371" s="304"/>
      <c r="E371" s="230"/>
      <c r="F371" s="230"/>
      <c r="G371" s="230"/>
      <c r="H371" s="231"/>
      <c r="I371" s="230"/>
      <c r="J371" s="230"/>
      <c r="K371" s="230"/>
      <c r="L371" s="255"/>
      <c r="M371" s="244"/>
      <c r="N371" s="256" t="str">
        <f>N$15</f>
        <v>Valore netto al 31/12/2019</v>
      </c>
      <c r="O371" s="256" t="str">
        <f>O$15</f>
        <v>Valore netto al 31/12/2020</v>
      </c>
      <c r="P371" s="256" t="str">
        <f>P$15</f>
        <v>Variazione</v>
      </c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</row>
    <row r="372" spans="2:39" s="204" customFormat="1" x14ac:dyDescent="0.25">
      <c r="B372" s="246" t="s">
        <v>842</v>
      </c>
      <c r="C372" s="292" t="s">
        <v>843</v>
      </c>
      <c r="D372" s="301" t="s">
        <v>3378</v>
      </c>
      <c r="E372" s="247"/>
      <c r="F372" s="247"/>
      <c r="G372" s="247"/>
      <c r="H372" s="248"/>
      <c r="I372" s="247"/>
      <c r="J372" s="247"/>
      <c r="K372" s="249"/>
      <c r="L372" s="257" t="s">
        <v>846</v>
      </c>
      <c r="M372" s="251" t="s">
        <v>2962</v>
      </c>
      <c r="N372" s="252">
        <f>+N374</f>
        <v>24416</v>
      </c>
      <c r="O372" s="252">
        <f>+O374</f>
        <v>113139</v>
      </c>
      <c r="P372" s="253">
        <f>+O372-N372</f>
        <v>88723</v>
      </c>
      <c r="Q372" s="285"/>
      <c r="R372" s="285"/>
      <c r="S372" s="285"/>
      <c r="T372" s="285"/>
      <c r="U372" s="285"/>
      <c r="V372" s="285"/>
      <c r="W372" s="211"/>
      <c r="X372" s="252">
        <f>+X374</f>
        <v>0</v>
      </c>
      <c r="Y372" s="285"/>
      <c r="Z372" s="285"/>
      <c r="AA372" s="285"/>
    </row>
    <row r="373" spans="2:39" s="204" customFormat="1" x14ac:dyDescent="0.25">
      <c r="B373" s="293"/>
      <c r="C373" s="293"/>
      <c r="D373" s="247"/>
      <c r="E373" s="230"/>
      <c r="F373" s="230"/>
      <c r="G373" s="285"/>
      <c r="H373" s="321"/>
      <c r="I373" s="285"/>
      <c r="J373" s="285"/>
      <c r="K373" s="285"/>
      <c r="L373" s="322"/>
      <c r="M373" s="285"/>
      <c r="N373" s="285"/>
      <c r="O373" s="285"/>
      <c r="P373" s="285"/>
      <c r="Q373" s="285"/>
      <c r="R373" s="285"/>
      <c r="T373" s="285"/>
      <c r="U373" s="285"/>
      <c r="V373" s="285"/>
      <c r="W373" s="285"/>
      <c r="X373" s="285"/>
      <c r="Y373" s="285"/>
      <c r="Z373" s="285"/>
      <c r="AA373" s="285"/>
    </row>
    <row r="374" spans="2:39" s="204" customFormat="1" x14ac:dyDescent="0.25">
      <c r="B374" s="246" t="s">
        <v>847</v>
      </c>
      <c r="C374" s="292" t="s">
        <v>848</v>
      </c>
      <c r="D374" s="247" t="s">
        <v>3379</v>
      </c>
      <c r="E374" s="247"/>
      <c r="F374" s="247"/>
      <c r="G374" s="247"/>
      <c r="H374" s="248"/>
      <c r="I374" s="247"/>
      <c r="J374" s="247"/>
      <c r="K374" s="249"/>
      <c r="L374" s="276" t="s">
        <v>850</v>
      </c>
      <c r="M374" s="251" t="s">
        <v>2962</v>
      </c>
      <c r="N374" s="252">
        <f>+N377</f>
        <v>24416</v>
      </c>
      <c r="O374" s="252">
        <f>+O377</f>
        <v>113139</v>
      </c>
      <c r="P374" s="259">
        <f>+O374-N374</f>
        <v>88723</v>
      </c>
      <c r="Q374" s="252">
        <f>+Q377</f>
        <v>0</v>
      </c>
      <c r="R374" s="252">
        <f>+R377</f>
        <v>24416</v>
      </c>
      <c r="S374" s="252">
        <f>+S377</f>
        <v>0</v>
      </c>
      <c r="T374" s="252">
        <f>+T377</f>
        <v>0</v>
      </c>
      <c r="U374" s="252">
        <f>+U377</f>
        <v>0</v>
      </c>
      <c r="W374" s="252">
        <f t="shared" ref="W374:AE374" si="54">+W377</f>
        <v>0</v>
      </c>
      <c r="X374" s="252">
        <f t="shared" si="54"/>
        <v>0</v>
      </c>
      <c r="Y374" s="252">
        <f t="shared" si="54"/>
        <v>0</v>
      </c>
      <c r="Z374" s="252">
        <f t="shared" si="54"/>
        <v>0</v>
      </c>
      <c r="AA374" s="252">
        <f t="shared" si="54"/>
        <v>0</v>
      </c>
      <c r="AB374" s="252">
        <f t="shared" si="54"/>
        <v>88723</v>
      </c>
      <c r="AC374" s="252">
        <f t="shared" si="54"/>
        <v>0</v>
      </c>
      <c r="AD374" s="252">
        <f t="shared" si="54"/>
        <v>0</v>
      </c>
      <c r="AE374" s="252">
        <f t="shared" si="54"/>
        <v>0</v>
      </c>
    </row>
    <row r="375" spans="2:39" s="204" customFormat="1" x14ac:dyDescent="0.25">
      <c r="B375" s="293"/>
      <c r="C375" s="293"/>
      <c r="D375" s="230"/>
      <c r="E375" s="230"/>
      <c r="F375" s="230"/>
      <c r="G375" s="230"/>
      <c r="H375" s="231"/>
      <c r="I375" s="230"/>
      <c r="J375" s="230"/>
      <c r="K375" s="230"/>
      <c r="L375" s="275"/>
      <c r="M375" s="216"/>
      <c r="N375" s="285"/>
      <c r="O375" s="285"/>
      <c r="P375" s="285"/>
      <c r="Q375" s="285"/>
      <c r="R375" s="285"/>
      <c r="T375" s="285"/>
      <c r="U375" s="285"/>
      <c r="V375" s="285"/>
      <c r="W375" s="285"/>
      <c r="X375" s="285"/>
      <c r="Y375" s="285"/>
      <c r="Z375" s="285"/>
      <c r="AA375" s="285"/>
    </row>
    <row r="376" spans="2:39" s="204" customFormat="1" ht="63.75" x14ac:dyDescent="0.25">
      <c r="B376" s="294" t="s">
        <v>2968</v>
      </c>
      <c r="C376" s="294" t="s">
        <v>2969</v>
      </c>
      <c r="D376" s="206" t="s">
        <v>72</v>
      </c>
      <c r="E376" s="206"/>
      <c r="F376" s="206"/>
      <c r="G376" s="207"/>
      <c r="H376" s="207"/>
      <c r="I376" s="207"/>
      <c r="J376" s="207" t="s">
        <v>2957</v>
      </c>
      <c r="K376" s="206" t="s">
        <v>82</v>
      </c>
      <c r="L376" s="261" t="s">
        <v>2970</v>
      </c>
      <c r="M376" s="260"/>
      <c r="N376" s="256" t="str">
        <f>N$15</f>
        <v>Valore netto al 31/12/2019</v>
      </c>
      <c r="O376" s="256" t="str">
        <f>O$15</f>
        <v>Valore netto al 31/12/2020</v>
      </c>
      <c r="P376" s="256" t="str">
        <f>P$15</f>
        <v>Variazione</v>
      </c>
      <c r="Q376" s="262" t="s">
        <v>2971</v>
      </c>
      <c r="R376" s="262" t="str">
        <f>"Costo storico al 31/12/"&amp;Info!$B$3-1</f>
        <v>Costo storico al 31/12/2019</v>
      </c>
      <c r="S376" s="262" t="s">
        <v>2972</v>
      </c>
      <c r="T376" s="262" t="s">
        <v>2973</v>
      </c>
      <c r="U376" s="262" t="s">
        <v>2974</v>
      </c>
      <c r="W376" s="262" t="s">
        <v>2975</v>
      </c>
      <c r="X376" s="262" t="s">
        <v>2976</v>
      </c>
      <c r="Y376" s="262" t="s">
        <v>2977</v>
      </c>
      <c r="Z376" s="262" t="s">
        <v>2978</v>
      </c>
      <c r="AA376" s="262" t="s">
        <v>2979</v>
      </c>
      <c r="AB376" s="262" t="s">
        <v>2980</v>
      </c>
      <c r="AC376" s="262" t="s">
        <v>2981</v>
      </c>
      <c r="AD376" s="262" t="s">
        <v>2982</v>
      </c>
      <c r="AE376" s="262" t="s">
        <v>2983</v>
      </c>
    </row>
    <row r="377" spans="2:39" s="204" customFormat="1" x14ac:dyDescent="0.25">
      <c r="B377" s="246" t="s">
        <v>851</v>
      </c>
      <c r="C377" s="287" t="s">
        <v>852</v>
      </c>
      <c r="D377" s="274" t="s">
        <v>3380</v>
      </c>
      <c r="E377" s="274"/>
      <c r="F377" s="274"/>
      <c r="G377" s="274"/>
      <c r="H377" s="266"/>
      <c r="I377" s="281"/>
      <c r="J377" s="281"/>
      <c r="K377" s="281"/>
      <c r="L377" s="282" t="s">
        <v>3381</v>
      </c>
      <c r="M377" s="263" t="s">
        <v>2962</v>
      </c>
      <c r="N377" s="269">
        <f>+R377+T377-U377</f>
        <v>24416</v>
      </c>
      <c r="O377" s="270">
        <f>+N377+S377+X377+ABS(Y377)-ABS(AA377)+ABS(Z377)+ABS(AB377)+ABS(AD377)-ABS(AE377)+AC377+W377+Q377</f>
        <v>113139</v>
      </c>
      <c r="P377" s="271">
        <f>+O377-N377</f>
        <v>88723</v>
      </c>
      <c r="Q377" s="272">
        <f>+'NI-San_SP'!Q377+'NI-Soc_SP'!Q377+'NI-Ric_SP'!Q377</f>
        <v>0</v>
      </c>
      <c r="R377" s="272">
        <f>+'NI-San_SP'!R377+'NI-Soc_SP'!R377+'NI-Ric_SP'!R377</f>
        <v>24416</v>
      </c>
      <c r="S377" s="272">
        <f>+'NI-San_SP'!S377+'NI-Soc_SP'!T377+'NI-Ric_SP'!T377</f>
        <v>0</v>
      </c>
      <c r="T377" s="272">
        <f>+'NI-San_SP'!T377+'NI-Soc_SP'!T377+'NI-Ric_SP'!T377</f>
        <v>0</v>
      </c>
      <c r="U377" s="272">
        <f>+'NI-San_SP'!U377+'NI-Soc_SP'!U377+'NI-Ric_SP'!U377</f>
        <v>0</v>
      </c>
      <c r="W377" s="272">
        <f>+'NI-San_SP'!W377+'NI-Soc_SP'!W377+'NI-Ric_SP'!W377</f>
        <v>0</v>
      </c>
      <c r="X377" s="272">
        <f>+'NI-San_SP'!X377+'NI-Soc_SP'!X377+'NI-Ric_SP'!X377</f>
        <v>0</v>
      </c>
      <c r="Y377" s="272">
        <f>+'NI-San_SP'!Y377+'NI-Soc_SP'!Y377+'NI-Ric_SP'!Y377</f>
        <v>0</v>
      </c>
      <c r="Z377" s="272">
        <f>+'NI-San_SP'!Z377+'NI-Soc_SP'!Z377+'NI-Ric_SP'!Z377</f>
        <v>0</v>
      </c>
      <c r="AA377" s="272">
        <f>+'NI-San_SP'!AA377+'NI-Soc_SP'!AA377+'NI-Ric_SP'!AA377</f>
        <v>0</v>
      </c>
      <c r="AB377" s="272">
        <f>+'NI-San_SP'!AB377+'NI-Soc_SP'!AB377+'NI-Ric_SP'!AB377</f>
        <v>88723</v>
      </c>
      <c r="AC377" s="272">
        <f>+'NI-San_SP'!AC377+'NI-Soc_SP'!AC377+'NI-Ric_SP'!AC377</f>
        <v>0</v>
      </c>
      <c r="AD377" s="272">
        <f>+'NI-San_SP'!AD377+'NI-Soc_SP'!AD377+'NI-Ric_SP'!AD377</f>
        <v>0</v>
      </c>
      <c r="AE377" s="272">
        <f>+'NI-San_SP'!AE377+'NI-Soc_SP'!AE377+'NI-Ric_SP'!AE377</f>
        <v>0</v>
      </c>
    </row>
    <row r="378" spans="2:39" s="204" customFormat="1" x14ac:dyDescent="0.25">
      <c r="B378" s="289"/>
      <c r="C378" s="289"/>
      <c r="D378" s="211"/>
      <c r="E378" s="211"/>
      <c r="F378" s="211"/>
      <c r="G378" s="211"/>
      <c r="H378" s="211"/>
      <c r="I378" s="211"/>
      <c r="J378" s="211"/>
      <c r="K378" s="211"/>
      <c r="L378" s="232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</row>
    <row r="379" spans="2:39" s="204" customFormat="1" ht="25.5" x14ac:dyDescent="0.25">
      <c r="B379" s="293"/>
      <c r="C379" s="293"/>
      <c r="D379" s="230"/>
      <c r="E379" s="230"/>
      <c r="F379" s="230"/>
      <c r="G379" s="230"/>
      <c r="H379" s="231"/>
      <c r="I379" s="230"/>
      <c r="J379" s="230"/>
      <c r="K379" s="230"/>
      <c r="L379" s="255"/>
      <c r="M379" s="244"/>
      <c r="N379" s="256" t="str">
        <f>N$15</f>
        <v>Valore netto al 31/12/2019</v>
      </c>
      <c r="O379" s="256" t="str">
        <f>O$15</f>
        <v>Valore netto al 31/12/2020</v>
      </c>
      <c r="P379" s="256" t="str">
        <f>P$15</f>
        <v>Variazione</v>
      </c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</row>
    <row r="380" spans="2:39" s="204" customFormat="1" x14ac:dyDescent="0.25">
      <c r="B380" s="246" t="s">
        <v>854</v>
      </c>
      <c r="C380" s="292" t="s">
        <v>855</v>
      </c>
      <c r="D380" s="247" t="s">
        <v>3382</v>
      </c>
      <c r="E380" s="247"/>
      <c r="F380" s="247"/>
      <c r="G380" s="247"/>
      <c r="H380" s="248"/>
      <c r="I380" s="247"/>
      <c r="J380" s="247"/>
      <c r="K380" s="249"/>
      <c r="L380" s="257" t="s">
        <v>857</v>
      </c>
      <c r="M380" s="251" t="s">
        <v>2962</v>
      </c>
      <c r="N380" s="252">
        <f>+N382-N399</f>
        <v>610241</v>
      </c>
      <c r="O380" s="252">
        <f>+O382-O399</f>
        <v>607953</v>
      </c>
      <c r="P380" s="253">
        <f>+O380-N380</f>
        <v>-2288</v>
      </c>
      <c r="Q380" s="285"/>
      <c r="R380" s="285"/>
      <c r="S380" s="285"/>
      <c r="T380" s="285"/>
      <c r="U380" s="285"/>
      <c r="V380" s="285"/>
      <c r="W380" s="211"/>
      <c r="X380" s="252">
        <f>+X382-X399</f>
        <v>0</v>
      </c>
      <c r="Y380" s="285"/>
      <c r="Z380" s="285"/>
      <c r="AA380" s="285"/>
    </row>
    <row r="381" spans="2:39" s="204" customFormat="1" x14ac:dyDescent="0.25">
      <c r="B381" s="293"/>
      <c r="C381" s="293"/>
      <c r="D381" s="230"/>
      <c r="E381" s="230"/>
      <c r="F381" s="230"/>
      <c r="G381" s="285"/>
      <c r="H381" s="321"/>
      <c r="I381" s="285"/>
      <c r="J381" s="285"/>
      <c r="K381" s="285"/>
      <c r="L381" s="322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</row>
    <row r="382" spans="2:39" s="204" customFormat="1" x14ac:dyDescent="0.25">
      <c r="B382" s="246" t="s">
        <v>858</v>
      </c>
      <c r="C382" s="292" t="s">
        <v>859</v>
      </c>
      <c r="D382" s="247" t="s">
        <v>3383</v>
      </c>
      <c r="E382" s="247"/>
      <c r="F382" s="247"/>
      <c r="G382" s="247"/>
      <c r="H382" s="248"/>
      <c r="I382" s="247"/>
      <c r="J382" s="247"/>
      <c r="K382" s="249"/>
      <c r="L382" s="276" t="s">
        <v>862</v>
      </c>
      <c r="M382" s="251" t="s">
        <v>2962</v>
      </c>
      <c r="N382" s="252">
        <f>SUM(N385:N396)</f>
        <v>9248959</v>
      </c>
      <c r="O382" s="252">
        <f>SUM(O385:O396)</f>
        <v>9220312</v>
      </c>
      <c r="P382" s="259">
        <f>+O382-N382</f>
        <v>-28647</v>
      </c>
      <c r="Q382" s="252">
        <f>SUM(Q385:Q396)</f>
        <v>0</v>
      </c>
      <c r="R382" s="252">
        <f>SUM(R385:R396)</f>
        <v>9248959</v>
      </c>
      <c r="S382" s="252">
        <f>SUM(S385:S396)</f>
        <v>0</v>
      </c>
      <c r="T382" s="252">
        <f>SUM(T385:T396)</f>
        <v>0</v>
      </c>
      <c r="U382" s="252">
        <f>SUM(U385:U396)</f>
        <v>0</v>
      </c>
      <c r="W382" s="252">
        <f t="shared" ref="W382:AE382" si="55">SUM(W385:W396)</f>
        <v>0</v>
      </c>
      <c r="X382" s="252">
        <f t="shared" si="55"/>
        <v>0</v>
      </c>
      <c r="Y382" s="252">
        <f t="shared" si="55"/>
        <v>0</v>
      </c>
      <c r="Z382" s="252">
        <f t="shared" si="55"/>
        <v>0</v>
      </c>
      <c r="AA382" s="252">
        <f t="shared" si="55"/>
        <v>0</v>
      </c>
      <c r="AB382" s="252">
        <f t="shared" si="55"/>
        <v>21265</v>
      </c>
      <c r="AC382" s="252">
        <f t="shared" si="55"/>
        <v>0</v>
      </c>
      <c r="AD382" s="252">
        <f t="shared" si="55"/>
        <v>0</v>
      </c>
      <c r="AE382" s="252">
        <f t="shared" si="55"/>
        <v>49912</v>
      </c>
    </row>
    <row r="383" spans="2:39" s="204" customFormat="1" x14ac:dyDescent="0.25">
      <c r="B383" s="293"/>
      <c r="C383" s="293"/>
      <c r="D383" s="230"/>
      <c r="E383" s="230"/>
      <c r="F383" s="230"/>
      <c r="G383" s="230"/>
      <c r="H383" s="231"/>
      <c r="I383" s="230"/>
      <c r="J383" s="230"/>
      <c r="K383" s="285"/>
      <c r="L383" s="322"/>
      <c r="M383" s="285"/>
      <c r="N383" s="285"/>
      <c r="O383" s="285"/>
      <c r="P383" s="285"/>
      <c r="Q383" s="285"/>
      <c r="R383" s="285"/>
      <c r="T383" s="285"/>
      <c r="U383" s="285"/>
      <c r="V383" s="285"/>
      <c r="W383" s="285"/>
      <c r="X383" s="285"/>
      <c r="Y383" s="285"/>
      <c r="Z383" s="285"/>
      <c r="AA383" s="285"/>
    </row>
    <row r="384" spans="2:39" s="204" customFormat="1" ht="63.75" x14ac:dyDescent="0.25">
      <c r="B384" s="294" t="s">
        <v>2968</v>
      </c>
      <c r="C384" s="294" t="s">
        <v>2969</v>
      </c>
      <c r="D384" s="206" t="s">
        <v>72</v>
      </c>
      <c r="E384" s="206"/>
      <c r="F384" s="206"/>
      <c r="G384" s="207"/>
      <c r="H384" s="207"/>
      <c r="I384" s="207"/>
      <c r="J384" s="207" t="s">
        <v>2957</v>
      </c>
      <c r="K384" s="206" t="s">
        <v>82</v>
      </c>
      <c r="L384" s="261" t="s">
        <v>2970</v>
      </c>
      <c r="M384" s="260"/>
      <c r="N384" s="256" t="str">
        <f>N$15</f>
        <v>Valore netto al 31/12/2019</v>
      </c>
      <c r="O384" s="256" t="str">
        <f>O$15</f>
        <v>Valore netto al 31/12/2020</v>
      </c>
      <c r="P384" s="256" t="str">
        <f>P$15</f>
        <v>Variazione</v>
      </c>
      <c r="Q384" s="262" t="s">
        <v>2971</v>
      </c>
      <c r="R384" s="262" t="str">
        <f>"Costo storico al 31/12/"&amp;Info!$B$3-1</f>
        <v>Costo storico al 31/12/2019</v>
      </c>
      <c r="S384" s="262" t="s">
        <v>2972</v>
      </c>
      <c r="T384" s="262" t="s">
        <v>2973</v>
      </c>
      <c r="U384" s="262" t="s">
        <v>2974</v>
      </c>
      <c r="W384" s="262" t="s">
        <v>2975</v>
      </c>
      <c r="X384" s="262" t="s">
        <v>2976</v>
      </c>
      <c r="Y384" s="262" t="s">
        <v>2977</v>
      </c>
      <c r="Z384" s="262" t="s">
        <v>2978</v>
      </c>
      <c r="AA384" s="262" t="s">
        <v>2979</v>
      </c>
      <c r="AB384" s="262" t="s">
        <v>2980</v>
      </c>
      <c r="AC384" s="262" t="s">
        <v>2981</v>
      </c>
      <c r="AD384" s="262" t="s">
        <v>2982</v>
      </c>
      <c r="AE384" s="262" t="s">
        <v>2983</v>
      </c>
    </row>
    <row r="385" spans="2:31" s="204" customFormat="1" ht="15" customHeight="1" x14ac:dyDescent="0.25">
      <c r="B385" s="246" t="s">
        <v>863</v>
      </c>
      <c r="C385" s="287" t="s">
        <v>864</v>
      </c>
      <c r="D385" s="274" t="s">
        <v>3384</v>
      </c>
      <c r="E385" s="274"/>
      <c r="F385" s="274"/>
      <c r="G385" s="283"/>
      <c r="H385" s="266"/>
      <c r="I385" s="281"/>
      <c r="J385" s="281"/>
      <c r="K385" s="281"/>
      <c r="L385" s="288" t="s">
        <v>3385</v>
      </c>
      <c r="M385" s="263" t="s">
        <v>2962</v>
      </c>
      <c r="N385" s="269">
        <f t="shared" ref="N385:N396" si="56">+R385+T385-U385</f>
        <v>3718073</v>
      </c>
      <c r="O385" s="270">
        <f t="shared" ref="O385:O396" si="57">+N385+S385+X385+ABS(Y385)-ABS(AA385)+ABS(Z385)+ABS(AB385)+ABS(AD385)-ABS(AE385)+AC385+W385+Q385</f>
        <v>3687217</v>
      </c>
      <c r="P385" s="271">
        <f t="shared" ref="P385:P396" si="58">+O385-N385</f>
        <v>-30856</v>
      </c>
      <c r="Q385" s="272">
        <f>+'NI-San_SP'!Q385+'NI-Soc_SP'!Q385+'NI-Ric_SP'!Q385</f>
        <v>0</v>
      </c>
      <c r="R385" s="272">
        <f>+'NI-San_SP'!R385+'NI-Soc_SP'!R385+'NI-Ric_SP'!R385</f>
        <v>3718073</v>
      </c>
      <c r="S385" s="272">
        <f>+'NI-San_SP'!S385+'NI-Soc_SP'!T385+'NI-Ric_SP'!T385</f>
        <v>0</v>
      </c>
      <c r="T385" s="272">
        <f>+'NI-San_SP'!S385+'NI-Soc_SP'!T385+'NI-Ric_SP'!T385</f>
        <v>0</v>
      </c>
      <c r="U385" s="272">
        <f>+'NI-San_SP'!T385+'NI-Soc_SP'!U385+'NI-Ric_SP'!U385</f>
        <v>0</v>
      </c>
      <c r="W385" s="272">
        <f>+'NI-San_SP'!W385+'NI-Soc_SP'!W385+'NI-Ric_SP'!W385</f>
        <v>0</v>
      </c>
      <c r="X385" s="272">
        <f>+'NI-San_SP'!X385+'NI-Soc_SP'!X385+'NI-Ric_SP'!X385</f>
        <v>0</v>
      </c>
      <c r="Y385" s="272">
        <f>+'NI-San_SP'!Y385+'NI-Soc_SP'!Y385+'NI-Ric_SP'!Y385</f>
        <v>0</v>
      </c>
      <c r="Z385" s="272">
        <f>+'NI-San_SP'!Z385+'NI-Soc_SP'!Z385+'NI-Ric_SP'!Z385</f>
        <v>0</v>
      </c>
      <c r="AA385" s="272">
        <f>+'NI-San_SP'!AA385+'NI-Soc_SP'!AA385+'NI-Ric_SP'!AA385</f>
        <v>0</v>
      </c>
      <c r="AB385" s="272">
        <f>+'NI-San_SP'!AB385+'NI-Soc_SP'!AB385+'NI-Ric_SP'!AB385</f>
        <v>0</v>
      </c>
      <c r="AC385" s="272">
        <f>+'NI-San_SP'!AC385+'NI-Soc_SP'!AC385+'NI-Ric_SP'!AC385</f>
        <v>0</v>
      </c>
      <c r="AD385" s="272">
        <f>+'NI-San_SP'!AD385+'NI-Soc_SP'!AD385+'NI-Ric_SP'!AD385</f>
        <v>0</v>
      </c>
      <c r="AE385" s="272">
        <f>+'NI-San_SP'!AE385+'NI-Soc_SP'!AE385+'NI-Ric_SP'!AE385</f>
        <v>30856</v>
      </c>
    </row>
    <row r="386" spans="2:31" s="204" customFormat="1" x14ac:dyDescent="0.25">
      <c r="B386" s="246" t="s">
        <v>866</v>
      </c>
      <c r="C386" s="287" t="s">
        <v>867</v>
      </c>
      <c r="D386" s="274" t="s">
        <v>3386</v>
      </c>
      <c r="E386" s="274"/>
      <c r="F386" s="274"/>
      <c r="G386" s="283"/>
      <c r="H386" s="266"/>
      <c r="I386" s="281"/>
      <c r="J386" s="281"/>
      <c r="K386" s="281"/>
      <c r="L386" s="288" t="s">
        <v>3387</v>
      </c>
      <c r="M386" s="263" t="s">
        <v>2962</v>
      </c>
      <c r="N386" s="269">
        <f t="shared" si="56"/>
        <v>1960350</v>
      </c>
      <c r="O386" s="270">
        <f t="shared" si="57"/>
        <v>1958642</v>
      </c>
      <c r="P386" s="271">
        <f t="shared" si="58"/>
        <v>-1708</v>
      </c>
      <c r="Q386" s="272">
        <f>+'NI-San_SP'!Q386+'NI-Soc_SP'!Q386+'NI-Ric_SP'!Q386</f>
        <v>0</v>
      </c>
      <c r="R386" s="272">
        <f>+'NI-San_SP'!R386+'NI-Soc_SP'!R386+'NI-Ric_SP'!R386</f>
        <v>1960350</v>
      </c>
      <c r="S386" s="272">
        <f>+'NI-San_SP'!S386+'NI-Soc_SP'!T386+'NI-Ric_SP'!T386</f>
        <v>0</v>
      </c>
      <c r="T386" s="272">
        <f>+'NI-San_SP'!S386+'NI-Soc_SP'!T386+'NI-Ric_SP'!T386</f>
        <v>0</v>
      </c>
      <c r="U386" s="272">
        <f>+'NI-San_SP'!T386+'NI-Soc_SP'!U386+'NI-Ric_SP'!U386</f>
        <v>0</v>
      </c>
      <c r="W386" s="272">
        <f>+'NI-San_SP'!W386+'NI-Soc_SP'!W386+'NI-Ric_SP'!W386</f>
        <v>0</v>
      </c>
      <c r="X386" s="272">
        <f>+'NI-San_SP'!X386+'NI-Soc_SP'!X386+'NI-Ric_SP'!X386</f>
        <v>0</v>
      </c>
      <c r="Y386" s="272">
        <f>+'NI-San_SP'!Y386+'NI-Soc_SP'!Y386+'NI-Ric_SP'!Y386</f>
        <v>0</v>
      </c>
      <c r="Z386" s="272">
        <f>+'NI-San_SP'!Z386+'NI-Soc_SP'!Z386+'NI-Ric_SP'!Z386</f>
        <v>0</v>
      </c>
      <c r="AA386" s="272">
        <f>+'NI-San_SP'!AA386+'NI-Soc_SP'!AA386+'NI-Ric_SP'!AA386</f>
        <v>0</v>
      </c>
      <c r="AB386" s="272">
        <f>+'NI-San_SP'!AB386+'NI-Soc_SP'!AB386+'NI-Ric_SP'!AB386</f>
        <v>3500</v>
      </c>
      <c r="AC386" s="272">
        <f>+'NI-San_SP'!AC386+'NI-Soc_SP'!AC386+'NI-Ric_SP'!AC386</f>
        <v>0</v>
      </c>
      <c r="AD386" s="272">
        <f>+'NI-San_SP'!AD386+'NI-Soc_SP'!AD386+'NI-Ric_SP'!AD386</f>
        <v>0</v>
      </c>
      <c r="AE386" s="272">
        <f>+'NI-San_SP'!AE386+'NI-Soc_SP'!AE386+'NI-Ric_SP'!AE386</f>
        <v>5208</v>
      </c>
    </row>
    <row r="387" spans="2:31" s="204" customFormat="1" x14ac:dyDescent="0.25">
      <c r="B387" s="246" t="s">
        <v>869</v>
      </c>
      <c r="C387" s="287" t="s">
        <v>870</v>
      </c>
      <c r="D387" s="274" t="s">
        <v>3388</v>
      </c>
      <c r="E387" s="274"/>
      <c r="F387" s="274"/>
      <c r="G387" s="283"/>
      <c r="H387" s="266"/>
      <c r="I387" s="281"/>
      <c r="J387" s="281"/>
      <c r="K387" s="281"/>
      <c r="L387" s="324" t="s">
        <v>3389</v>
      </c>
      <c r="M387" s="284" t="s">
        <v>2962</v>
      </c>
      <c r="N387" s="269">
        <f t="shared" si="56"/>
        <v>154100</v>
      </c>
      <c r="O387" s="270">
        <f t="shared" si="57"/>
        <v>148828</v>
      </c>
      <c r="P387" s="271">
        <f t="shared" si="58"/>
        <v>-5272</v>
      </c>
      <c r="Q387" s="272">
        <f>+'NI-San_SP'!Q387+'NI-Soc_SP'!Q387+'NI-Ric_SP'!Q387</f>
        <v>0</v>
      </c>
      <c r="R387" s="272">
        <f>+'NI-San_SP'!R387+'NI-Soc_SP'!R387+'NI-Ric_SP'!R387</f>
        <v>154100</v>
      </c>
      <c r="S387" s="272">
        <f>+'NI-San_SP'!S387+'NI-Soc_SP'!T387+'NI-Ric_SP'!T387</f>
        <v>0</v>
      </c>
      <c r="T387" s="272">
        <f>+'NI-San_SP'!S387+'NI-Soc_SP'!T387+'NI-Ric_SP'!T387</f>
        <v>0</v>
      </c>
      <c r="U387" s="272">
        <f>+'NI-San_SP'!T387+'NI-Soc_SP'!U387+'NI-Ric_SP'!U387</f>
        <v>0</v>
      </c>
      <c r="W387" s="272">
        <f>+'NI-San_SP'!W387+'NI-Soc_SP'!W387+'NI-Ric_SP'!W387</f>
        <v>0</v>
      </c>
      <c r="X387" s="272">
        <f>+'NI-San_SP'!X387+'NI-Soc_SP'!X387+'NI-Ric_SP'!X387</f>
        <v>0</v>
      </c>
      <c r="Y387" s="272">
        <f>+'NI-San_SP'!Y387+'NI-Soc_SP'!Y387+'NI-Ric_SP'!Y387</f>
        <v>0</v>
      </c>
      <c r="Z387" s="272">
        <f>+'NI-San_SP'!Z387+'NI-Soc_SP'!Z387+'NI-Ric_SP'!Z387</f>
        <v>0</v>
      </c>
      <c r="AA387" s="272">
        <f>+'NI-San_SP'!AA387+'NI-Soc_SP'!AA387+'NI-Ric_SP'!AA387</f>
        <v>0</v>
      </c>
      <c r="AB387" s="272">
        <f>+'NI-San_SP'!AB387+'NI-Soc_SP'!AB387+'NI-Ric_SP'!AB387</f>
        <v>0</v>
      </c>
      <c r="AC387" s="272">
        <f>+'NI-San_SP'!AC387+'NI-Soc_SP'!AC387+'NI-Ric_SP'!AC387</f>
        <v>0</v>
      </c>
      <c r="AD387" s="272">
        <f>+'NI-San_SP'!AD387+'NI-Soc_SP'!AD387+'NI-Ric_SP'!AD387</f>
        <v>0</v>
      </c>
      <c r="AE387" s="272">
        <f>+'NI-San_SP'!AE387+'NI-Soc_SP'!AE387+'NI-Ric_SP'!AE387</f>
        <v>5272</v>
      </c>
    </row>
    <row r="388" spans="2:31" s="204" customFormat="1" x14ac:dyDescent="0.25">
      <c r="B388" s="246" t="s">
        <v>872</v>
      </c>
      <c r="C388" s="287" t="s">
        <v>873</v>
      </c>
      <c r="D388" s="274" t="s">
        <v>3390</v>
      </c>
      <c r="E388" s="274"/>
      <c r="F388" s="274"/>
      <c r="G388" s="283"/>
      <c r="H388" s="266"/>
      <c r="I388" s="281"/>
      <c r="J388" s="281"/>
      <c r="K388" s="281"/>
      <c r="L388" s="324" t="s">
        <v>3391</v>
      </c>
      <c r="M388" s="284" t="s">
        <v>2962</v>
      </c>
      <c r="N388" s="269">
        <f t="shared" si="56"/>
        <v>155341</v>
      </c>
      <c r="O388" s="270">
        <f t="shared" si="57"/>
        <v>154168</v>
      </c>
      <c r="P388" s="271">
        <f t="shared" si="58"/>
        <v>-1173</v>
      </c>
      <c r="Q388" s="272">
        <f>+'NI-San_SP'!Q388+'NI-Soc_SP'!Q388+'NI-Ric_SP'!Q388</f>
        <v>0</v>
      </c>
      <c r="R388" s="272">
        <f>+'NI-San_SP'!R388+'NI-Soc_SP'!R388+'NI-Ric_SP'!R388</f>
        <v>155341</v>
      </c>
      <c r="S388" s="272">
        <f>+'NI-San_SP'!S388+'NI-Soc_SP'!T388+'NI-Ric_SP'!T388</f>
        <v>0</v>
      </c>
      <c r="T388" s="272">
        <f>+'NI-San_SP'!S388+'NI-Soc_SP'!T388+'NI-Ric_SP'!T388</f>
        <v>0</v>
      </c>
      <c r="U388" s="272">
        <f>+'NI-San_SP'!T388+'NI-Soc_SP'!U388+'NI-Ric_SP'!U388</f>
        <v>0</v>
      </c>
      <c r="W388" s="272">
        <f>+'NI-San_SP'!W388+'NI-Soc_SP'!W388+'NI-Ric_SP'!W388</f>
        <v>0</v>
      </c>
      <c r="X388" s="272">
        <f>+'NI-San_SP'!X388+'NI-Soc_SP'!X388+'NI-Ric_SP'!X388</f>
        <v>0</v>
      </c>
      <c r="Y388" s="272">
        <f>+'NI-San_SP'!Y388+'NI-Soc_SP'!Y388+'NI-Ric_SP'!Y388</f>
        <v>0</v>
      </c>
      <c r="Z388" s="272">
        <f>+'NI-San_SP'!Z388+'NI-Soc_SP'!Z388+'NI-Ric_SP'!Z388</f>
        <v>0</v>
      </c>
      <c r="AA388" s="272">
        <f>+'NI-San_SP'!AA388+'NI-Soc_SP'!AA388+'NI-Ric_SP'!AA388</f>
        <v>0</v>
      </c>
      <c r="AB388" s="272">
        <f>+'NI-San_SP'!AB388+'NI-Soc_SP'!AB388+'NI-Ric_SP'!AB388</f>
        <v>150</v>
      </c>
      <c r="AC388" s="272">
        <f>+'NI-San_SP'!AC388+'NI-Soc_SP'!AC388+'NI-Ric_SP'!AC388</f>
        <v>0</v>
      </c>
      <c r="AD388" s="272">
        <f>+'NI-San_SP'!AD388+'NI-Soc_SP'!AD388+'NI-Ric_SP'!AD388</f>
        <v>0</v>
      </c>
      <c r="AE388" s="272">
        <f>+'NI-San_SP'!AE388+'NI-Soc_SP'!AE388+'NI-Ric_SP'!AE388</f>
        <v>1323</v>
      </c>
    </row>
    <row r="389" spans="2:31" s="204" customFormat="1" x14ac:dyDescent="0.25">
      <c r="B389" s="246" t="s">
        <v>875</v>
      </c>
      <c r="C389" s="287" t="s">
        <v>876</v>
      </c>
      <c r="D389" s="274" t="s">
        <v>3392</v>
      </c>
      <c r="E389" s="274"/>
      <c r="F389" s="274"/>
      <c r="G389" s="283"/>
      <c r="H389" s="266"/>
      <c r="I389" s="281"/>
      <c r="J389" s="281"/>
      <c r="K389" s="281"/>
      <c r="L389" s="324" t="s">
        <v>3393</v>
      </c>
      <c r="M389" s="284" t="s">
        <v>2962</v>
      </c>
      <c r="N389" s="269">
        <f t="shared" si="56"/>
        <v>0</v>
      </c>
      <c r="O389" s="270">
        <f t="shared" si="57"/>
        <v>0</v>
      </c>
      <c r="P389" s="271">
        <f t="shared" si="58"/>
        <v>0</v>
      </c>
      <c r="Q389" s="272">
        <f>+'NI-San_SP'!Q389+'NI-Soc_SP'!Q389+'NI-Ric_SP'!Q389</f>
        <v>0</v>
      </c>
      <c r="R389" s="272">
        <f>+'NI-San_SP'!R389+'NI-Soc_SP'!R389+'NI-Ric_SP'!R389</f>
        <v>0</v>
      </c>
      <c r="S389" s="272">
        <f>+'NI-San_SP'!S389+'NI-Soc_SP'!T389+'NI-Ric_SP'!T389</f>
        <v>0</v>
      </c>
      <c r="T389" s="272">
        <f>+'NI-San_SP'!S389+'NI-Soc_SP'!T389+'NI-Ric_SP'!T389</f>
        <v>0</v>
      </c>
      <c r="U389" s="272">
        <f>+'NI-San_SP'!T389+'NI-Soc_SP'!U389+'NI-Ric_SP'!U389</f>
        <v>0</v>
      </c>
      <c r="W389" s="272">
        <f>+'NI-San_SP'!W389+'NI-Soc_SP'!W389+'NI-Ric_SP'!W389</f>
        <v>0</v>
      </c>
      <c r="X389" s="272">
        <f>+'NI-San_SP'!X389+'NI-Soc_SP'!X389+'NI-Ric_SP'!X389</f>
        <v>0</v>
      </c>
      <c r="Y389" s="272">
        <f>+'NI-San_SP'!Y389+'NI-Soc_SP'!Y389+'NI-Ric_SP'!Y389</f>
        <v>0</v>
      </c>
      <c r="Z389" s="272">
        <f>+'NI-San_SP'!Z389+'NI-Soc_SP'!Z389+'NI-Ric_SP'!Z389</f>
        <v>0</v>
      </c>
      <c r="AA389" s="272">
        <f>+'NI-San_SP'!AA389+'NI-Soc_SP'!AA389+'NI-Ric_SP'!AA389</f>
        <v>0</v>
      </c>
      <c r="AB389" s="272">
        <f>+'NI-San_SP'!AB389+'NI-Soc_SP'!AB389+'NI-Ric_SP'!AB389</f>
        <v>0</v>
      </c>
      <c r="AC389" s="272">
        <f>+'NI-San_SP'!AC389+'NI-Soc_SP'!AC389+'NI-Ric_SP'!AC389</f>
        <v>0</v>
      </c>
      <c r="AD389" s="272">
        <f>+'NI-San_SP'!AD389+'NI-Soc_SP'!AD389+'NI-Ric_SP'!AD389</f>
        <v>0</v>
      </c>
      <c r="AE389" s="272">
        <f>+'NI-San_SP'!AE389+'NI-Soc_SP'!AE389+'NI-Ric_SP'!AE389</f>
        <v>0</v>
      </c>
    </row>
    <row r="390" spans="2:31" s="204" customFormat="1" x14ac:dyDescent="0.25">
      <c r="B390" s="246" t="s">
        <v>878</v>
      </c>
      <c r="C390" s="287" t="s">
        <v>879</v>
      </c>
      <c r="D390" s="274" t="s">
        <v>3394</v>
      </c>
      <c r="E390" s="274"/>
      <c r="F390" s="274"/>
      <c r="G390" s="283"/>
      <c r="H390" s="266"/>
      <c r="I390" s="281"/>
      <c r="J390" s="281"/>
      <c r="K390" s="281"/>
      <c r="L390" s="324" t="s">
        <v>3395</v>
      </c>
      <c r="M390" s="284" t="s">
        <v>2962</v>
      </c>
      <c r="N390" s="269">
        <f t="shared" si="56"/>
        <v>0</v>
      </c>
      <c r="O390" s="270">
        <f t="shared" si="57"/>
        <v>0</v>
      </c>
      <c r="P390" s="271">
        <f t="shared" si="58"/>
        <v>0</v>
      </c>
      <c r="Q390" s="272">
        <f>+'NI-San_SP'!Q390+'NI-Soc_SP'!Q390+'NI-Ric_SP'!Q390</f>
        <v>0</v>
      </c>
      <c r="R390" s="272">
        <f>+'NI-San_SP'!R390+'NI-Soc_SP'!R390+'NI-Ric_SP'!R390</f>
        <v>0</v>
      </c>
      <c r="S390" s="272">
        <f>+'NI-San_SP'!S390+'NI-Soc_SP'!T390+'NI-Ric_SP'!T390</f>
        <v>0</v>
      </c>
      <c r="T390" s="272">
        <f>+'NI-San_SP'!S390+'NI-Soc_SP'!T390+'NI-Ric_SP'!T390</f>
        <v>0</v>
      </c>
      <c r="U390" s="272">
        <f>+'NI-San_SP'!T390+'NI-Soc_SP'!U390+'NI-Ric_SP'!U390</f>
        <v>0</v>
      </c>
      <c r="W390" s="272">
        <f>+'NI-San_SP'!W390+'NI-Soc_SP'!W390+'NI-Ric_SP'!W390</f>
        <v>0</v>
      </c>
      <c r="X390" s="272">
        <f>+'NI-San_SP'!X390+'NI-Soc_SP'!X390+'NI-Ric_SP'!X390</f>
        <v>0</v>
      </c>
      <c r="Y390" s="272">
        <f>+'NI-San_SP'!Y390+'NI-Soc_SP'!Y390+'NI-Ric_SP'!Y390</f>
        <v>0</v>
      </c>
      <c r="Z390" s="272">
        <f>+'NI-San_SP'!Z390+'NI-Soc_SP'!Z390+'NI-Ric_SP'!Z390</f>
        <v>0</v>
      </c>
      <c r="AA390" s="272">
        <f>+'NI-San_SP'!AA390+'NI-Soc_SP'!AA390+'NI-Ric_SP'!AA390</f>
        <v>0</v>
      </c>
      <c r="AB390" s="272">
        <f>+'NI-San_SP'!AB390+'NI-Soc_SP'!AB390+'NI-Ric_SP'!AB390</f>
        <v>0</v>
      </c>
      <c r="AC390" s="272">
        <f>+'NI-San_SP'!AC390+'NI-Soc_SP'!AC390+'NI-Ric_SP'!AC390</f>
        <v>0</v>
      </c>
      <c r="AD390" s="272">
        <f>+'NI-San_SP'!AD390+'NI-Soc_SP'!AD390+'NI-Ric_SP'!AD390</f>
        <v>0</v>
      </c>
      <c r="AE390" s="272">
        <f>+'NI-San_SP'!AE390+'NI-Soc_SP'!AE390+'NI-Ric_SP'!AE390</f>
        <v>0</v>
      </c>
    </row>
    <row r="391" spans="2:31" s="204" customFormat="1" ht="15" customHeight="1" x14ac:dyDescent="0.25">
      <c r="B391" s="246" t="s">
        <v>881</v>
      </c>
      <c r="C391" s="287" t="s">
        <v>882</v>
      </c>
      <c r="D391" s="274" t="s">
        <v>3396</v>
      </c>
      <c r="E391" s="274"/>
      <c r="F391" s="274"/>
      <c r="G391" s="283"/>
      <c r="H391" s="266"/>
      <c r="I391" s="281"/>
      <c r="J391" s="281"/>
      <c r="K391" s="281"/>
      <c r="L391" s="288" t="s">
        <v>3397</v>
      </c>
      <c r="M391" s="284" t="s">
        <v>2962</v>
      </c>
      <c r="N391" s="269">
        <f t="shared" si="56"/>
        <v>0</v>
      </c>
      <c r="O391" s="270">
        <f t="shared" si="57"/>
        <v>0</v>
      </c>
      <c r="P391" s="271">
        <f t="shared" si="58"/>
        <v>0</v>
      </c>
      <c r="Q391" s="272">
        <f>+'NI-San_SP'!Q391+'NI-Soc_SP'!Q391+'NI-Ric_SP'!Q391</f>
        <v>0</v>
      </c>
      <c r="R391" s="272">
        <f>+'NI-San_SP'!R391+'NI-Soc_SP'!R391+'NI-Ric_SP'!R391</f>
        <v>0</v>
      </c>
      <c r="S391" s="272">
        <f>+'NI-San_SP'!S391+'NI-Soc_SP'!T391+'NI-Ric_SP'!T391</f>
        <v>0</v>
      </c>
      <c r="T391" s="272">
        <f>+'NI-San_SP'!S391+'NI-Soc_SP'!T391+'NI-Ric_SP'!T391</f>
        <v>0</v>
      </c>
      <c r="U391" s="272">
        <f>+'NI-San_SP'!T391+'NI-Soc_SP'!U391+'NI-Ric_SP'!U391</f>
        <v>0</v>
      </c>
      <c r="W391" s="272">
        <f>+'NI-San_SP'!W391+'NI-Soc_SP'!W391+'NI-Ric_SP'!W391</f>
        <v>0</v>
      </c>
      <c r="X391" s="272">
        <f>+'NI-San_SP'!X391+'NI-Soc_SP'!X391+'NI-Ric_SP'!X391</f>
        <v>0</v>
      </c>
      <c r="Y391" s="272">
        <f>+'NI-San_SP'!Y391+'NI-Soc_SP'!Y391+'NI-Ric_SP'!Y391</f>
        <v>0</v>
      </c>
      <c r="Z391" s="272">
        <f>+'NI-San_SP'!Z391+'NI-Soc_SP'!Z391+'NI-Ric_SP'!Z391</f>
        <v>0</v>
      </c>
      <c r="AA391" s="272">
        <f>+'NI-San_SP'!AA391+'NI-Soc_SP'!AA391+'NI-Ric_SP'!AA391</f>
        <v>0</v>
      </c>
      <c r="AB391" s="272">
        <f>+'NI-San_SP'!AB391+'NI-Soc_SP'!AB391+'NI-Ric_SP'!AB391</f>
        <v>0</v>
      </c>
      <c r="AC391" s="272">
        <f>+'NI-San_SP'!AC391+'NI-Soc_SP'!AC391+'NI-Ric_SP'!AC391</f>
        <v>0</v>
      </c>
      <c r="AD391" s="272">
        <f>+'NI-San_SP'!AD391+'NI-Soc_SP'!AD391+'NI-Ric_SP'!AD391</f>
        <v>0</v>
      </c>
      <c r="AE391" s="272">
        <f>+'NI-San_SP'!AE391+'NI-Soc_SP'!AE391+'NI-Ric_SP'!AE391</f>
        <v>0</v>
      </c>
    </row>
    <row r="392" spans="2:31" s="204" customFormat="1" x14ac:dyDescent="0.25">
      <c r="B392" s="246" t="s">
        <v>884</v>
      </c>
      <c r="C392" s="287" t="s">
        <v>885</v>
      </c>
      <c r="D392" s="274" t="s">
        <v>3398</v>
      </c>
      <c r="E392" s="274"/>
      <c r="F392" s="274"/>
      <c r="G392" s="283"/>
      <c r="H392" s="266"/>
      <c r="I392" s="281"/>
      <c r="J392" s="281"/>
      <c r="K392" s="281"/>
      <c r="L392" s="288" t="s">
        <v>3399</v>
      </c>
      <c r="M392" s="284" t="s">
        <v>2962</v>
      </c>
      <c r="N392" s="269">
        <f t="shared" si="56"/>
        <v>0</v>
      </c>
      <c r="O392" s="270">
        <f t="shared" si="57"/>
        <v>0</v>
      </c>
      <c r="P392" s="271">
        <f t="shared" si="58"/>
        <v>0</v>
      </c>
      <c r="Q392" s="272">
        <f>+'NI-San_SP'!Q392+'NI-Soc_SP'!Q392+'NI-Ric_SP'!Q392</f>
        <v>0</v>
      </c>
      <c r="R392" s="272">
        <f>+'NI-San_SP'!R392+'NI-Soc_SP'!R392+'NI-Ric_SP'!R392</f>
        <v>0</v>
      </c>
      <c r="S392" s="272">
        <f>+'NI-San_SP'!S392+'NI-Soc_SP'!T392+'NI-Ric_SP'!T392</f>
        <v>0</v>
      </c>
      <c r="T392" s="272">
        <f>+'NI-San_SP'!S392+'NI-Soc_SP'!T392+'NI-Ric_SP'!T392</f>
        <v>0</v>
      </c>
      <c r="U392" s="272">
        <f>+'NI-San_SP'!T392+'NI-Soc_SP'!U392+'NI-Ric_SP'!U392</f>
        <v>0</v>
      </c>
      <c r="W392" s="272">
        <f>+'NI-San_SP'!W392+'NI-Soc_SP'!W392+'NI-Ric_SP'!W392</f>
        <v>0</v>
      </c>
      <c r="X392" s="272">
        <f>+'NI-San_SP'!X392+'NI-Soc_SP'!X392+'NI-Ric_SP'!X392</f>
        <v>0</v>
      </c>
      <c r="Y392" s="272">
        <f>+'NI-San_SP'!Y392+'NI-Soc_SP'!Y392+'NI-Ric_SP'!Y392</f>
        <v>0</v>
      </c>
      <c r="Z392" s="272">
        <f>+'NI-San_SP'!Z392+'NI-Soc_SP'!Z392+'NI-Ric_SP'!Z392</f>
        <v>0</v>
      </c>
      <c r="AA392" s="272">
        <f>+'NI-San_SP'!AA392+'NI-Soc_SP'!AA392+'NI-Ric_SP'!AA392</f>
        <v>0</v>
      </c>
      <c r="AB392" s="272">
        <f>+'NI-San_SP'!AB392+'NI-Soc_SP'!AB392+'NI-Ric_SP'!AB392</f>
        <v>0</v>
      </c>
      <c r="AC392" s="272">
        <f>+'NI-San_SP'!AC392+'NI-Soc_SP'!AC392+'NI-Ric_SP'!AC392</f>
        <v>0</v>
      </c>
      <c r="AD392" s="272">
        <f>+'NI-San_SP'!AD392+'NI-Soc_SP'!AD392+'NI-Ric_SP'!AD392</f>
        <v>0</v>
      </c>
      <c r="AE392" s="272">
        <f>+'NI-San_SP'!AE392+'NI-Soc_SP'!AE392+'NI-Ric_SP'!AE392</f>
        <v>0</v>
      </c>
    </row>
    <row r="393" spans="2:31" s="204" customFormat="1" ht="25.5" x14ac:dyDescent="0.25">
      <c r="B393" s="246" t="s">
        <v>887</v>
      </c>
      <c r="C393" s="287" t="s">
        <v>888</v>
      </c>
      <c r="D393" s="274" t="s">
        <v>3400</v>
      </c>
      <c r="E393" s="274"/>
      <c r="F393" s="274"/>
      <c r="G393" s="283"/>
      <c r="H393" s="266"/>
      <c r="I393" s="281"/>
      <c r="J393" s="281"/>
      <c r="K393" s="281"/>
      <c r="L393" s="288" t="s">
        <v>3401</v>
      </c>
      <c r="M393" s="284" t="s">
        <v>2962</v>
      </c>
      <c r="N393" s="269">
        <f t="shared" si="56"/>
        <v>143489</v>
      </c>
      <c r="O393" s="270">
        <f t="shared" si="57"/>
        <v>143489</v>
      </c>
      <c r="P393" s="271">
        <f t="shared" si="58"/>
        <v>0</v>
      </c>
      <c r="Q393" s="272">
        <f>+'NI-San_SP'!Q393+'NI-Soc_SP'!Q393+'NI-Ric_SP'!Q393</f>
        <v>0</v>
      </c>
      <c r="R393" s="272">
        <f>+'NI-San_SP'!R393+'NI-Soc_SP'!R393+'NI-Ric_SP'!R393</f>
        <v>143489</v>
      </c>
      <c r="S393" s="272">
        <f>+'NI-San_SP'!S393+'NI-Soc_SP'!T393+'NI-Ric_SP'!T393</f>
        <v>0</v>
      </c>
      <c r="T393" s="272">
        <f>+'NI-San_SP'!S393+'NI-Soc_SP'!T393+'NI-Ric_SP'!T393</f>
        <v>0</v>
      </c>
      <c r="U393" s="272">
        <f>+'NI-San_SP'!T393+'NI-Soc_SP'!U393+'NI-Ric_SP'!U393</f>
        <v>0</v>
      </c>
      <c r="W393" s="272">
        <f>+'NI-San_SP'!W393+'NI-Soc_SP'!W393+'NI-Ric_SP'!W393</f>
        <v>0</v>
      </c>
      <c r="X393" s="272">
        <f>+'NI-San_SP'!X393+'NI-Soc_SP'!X393+'NI-Ric_SP'!X393</f>
        <v>0</v>
      </c>
      <c r="Y393" s="272">
        <f>+'NI-San_SP'!Y393+'NI-Soc_SP'!Y393+'NI-Ric_SP'!Y393</f>
        <v>0</v>
      </c>
      <c r="Z393" s="272">
        <f>+'NI-San_SP'!Z393+'NI-Soc_SP'!Z393+'NI-Ric_SP'!Z393</f>
        <v>0</v>
      </c>
      <c r="AA393" s="272">
        <f>+'NI-San_SP'!AA393+'NI-Soc_SP'!AA393+'NI-Ric_SP'!AA393</f>
        <v>0</v>
      </c>
      <c r="AB393" s="272">
        <f>+'NI-San_SP'!AB393+'NI-Soc_SP'!AB393+'NI-Ric_SP'!AB393</f>
        <v>0</v>
      </c>
      <c r="AC393" s="272">
        <f>+'NI-San_SP'!AC393+'NI-Soc_SP'!AC393+'NI-Ric_SP'!AC393</f>
        <v>0</v>
      </c>
      <c r="AD393" s="272">
        <f>+'NI-San_SP'!AD393+'NI-Soc_SP'!AD393+'NI-Ric_SP'!AD393</f>
        <v>0</v>
      </c>
      <c r="AE393" s="272">
        <f>+'NI-San_SP'!AE393+'NI-Soc_SP'!AE393+'NI-Ric_SP'!AE393</f>
        <v>0</v>
      </c>
    </row>
    <row r="394" spans="2:31" s="204" customFormat="1" ht="15" customHeight="1" x14ac:dyDescent="0.25">
      <c r="B394" s="246" t="s">
        <v>890</v>
      </c>
      <c r="C394" s="287" t="s">
        <v>891</v>
      </c>
      <c r="D394" s="274" t="s">
        <v>3402</v>
      </c>
      <c r="E394" s="274"/>
      <c r="F394" s="274"/>
      <c r="G394" s="283"/>
      <c r="H394" s="266"/>
      <c r="I394" s="281"/>
      <c r="J394" s="281"/>
      <c r="K394" s="281"/>
      <c r="L394" s="288" t="s">
        <v>3403</v>
      </c>
      <c r="M394" s="284" t="s">
        <v>2962</v>
      </c>
      <c r="N394" s="269">
        <f t="shared" si="56"/>
        <v>16103</v>
      </c>
      <c r="O394" s="270">
        <f t="shared" si="57"/>
        <v>16103</v>
      </c>
      <c r="P394" s="271">
        <f t="shared" si="58"/>
        <v>0</v>
      </c>
      <c r="Q394" s="272">
        <f>+'NI-San_SP'!Q394+'NI-Soc_SP'!Q394+'NI-Ric_SP'!Q394</f>
        <v>0</v>
      </c>
      <c r="R394" s="272">
        <f>+'NI-San_SP'!R394+'NI-Soc_SP'!R394+'NI-Ric_SP'!R394</f>
        <v>16103</v>
      </c>
      <c r="S394" s="272">
        <f>+'NI-San_SP'!S394+'NI-Soc_SP'!T394+'NI-Ric_SP'!T394</f>
        <v>0</v>
      </c>
      <c r="T394" s="272">
        <f>+'NI-San_SP'!S394+'NI-Soc_SP'!T394+'NI-Ric_SP'!T394</f>
        <v>0</v>
      </c>
      <c r="U394" s="272">
        <f>+'NI-San_SP'!T394+'NI-Soc_SP'!U394+'NI-Ric_SP'!U394</f>
        <v>0</v>
      </c>
      <c r="W394" s="272">
        <f>+'NI-San_SP'!W394+'NI-Soc_SP'!W394+'NI-Ric_SP'!W394</f>
        <v>0</v>
      </c>
      <c r="X394" s="272">
        <f>+'NI-San_SP'!X394+'NI-Soc_SP'!X394+'NI-Ric_SP'!X394</f>
        <v>0</v>
      </c>
      <c r="Y394" s="272">
        <f>+'NI-San_SP'!Y394+'NI-Soc_SP'!Y394+'NI-Ric_SP'!Y394</f>
        <v>0</v>
      </c>
      <c r="Z394" s="272">
        <f>+'NI-San_SP'!Z394+'NI-Soc_SP'!Z394+'NI-Ric_SP'!Z394</f>
        <v>0</v>
      </c>
      <c r="AA394" s="272">
        <f>+'NI-San_SP'!AA394+'NI-Soc_SP'!AA394+'NI-Ric_SP'!AA394</f>
        <v>0</v>
      </c>
      <c r="AB394" s="272">
        <f>+'NI-San_SP'!AB394+'NI-Soc_SP'!AB394+'NI-Ric_SP'!AB394</f>
        <v>0</v>
      </c>
      <c r="AC394" s="272">
        <f>+'NI-San_SP'!AC394+'NI-Soc_SP'!AC394+'NI-Ric_SP'!AC394</f>
        <v>0</v>
      </c>
      <c r="AD394" s="272">
        <f>+'NI-San_SP'!AD394+'NI-Soc_SP'!AD394+'NI-Ric_SP'!AD394</f>
        <v>0</v>
      </c>
      <c r="AE394" s="272">
        <f>+'NI-San_SP'!AE394+'NI-Soc_SP'!AE394+'NI-Ric_SP'!AE394</f>
        <v>0</v>
      </c>
    </row>
    <row r="395" spans="2:31" s="204" customFormat="1" x14ac:dyDescent="0.25">
      <c r="B395" s="246" t="s">
        <v>893</v>
      </c>
      <c r="C395" s="287" t="s">
        <v>894</v>
      </c>
      <c r="D395" s="274" t="s">
        <v>3404</v>
      </c>
      <c r="E395" s="274"/>
      <c r="F395" s="274"/>
      <c r="G395" s="283"/>
      <c r="H395" s="266"/>
      <c r="I395" s="281"/>
      <c r="J395" s="281"/>
      <c r="K395" s="281"/>
      <c r="L395" s="295" t="s">
        <v>3405</v>
      </c>
      <c r="M395" s="284" t="s">
        <v>2962</v>
      </c>
      <c r="N395" s="269">
        <f t="shared" si="56"/>
        <v>1529613</v>
      </c>
      <c r="O395" s="270">
        <f t="shared" si="57"/>
        <v>1523350</v>
      </c>
      <c r="P395" s="271">
        <f t="shared" si="58"/>
        <v>-6263</v>
      </c>
      <c r="Q395" s="272">
        <f>+'NI-San_SP'!Q395+'NI-Soc_SP'!Q395+'NI-Ric_SP'!Q395</f>
        <v>0</v>
      </c>
      <c r="R395" s="272">
        <f>+'NI-San_SP'!R395+'NI-Soc_SP'!R395+'NI-Ric_SP'!R395</f>
        <v>1529613</v>
      </c>
      <c r="S395" s="272">
        <f>+'NI-San_SP'!S395+'NI-Soc_SP'!T395+'NI-Ric_SP'!T395</f>
        <v>0</v>
      </c>
      <c r="T395" s="272">
        <f>+'NI-San_SP'!S395+'NI-Soc_SP'!T395+'NI-Ric_SP'!T395</f>
        <v>0</v>
      </c>
      <c r="U395" s="272">
        <f>+'NI-San_SP'!T395+'NI-Soc_SP'!U395+'NI-Ric_SP'!U395</f>
        <v>0</v>
      </c>
      <c r="W395" s="272">
        <f>+'NI-San_SP'!W395+'NI-Soc_SP'!W395+'NI-Ric_SP'!W395</f>
        <v>0</v>
      </c>
      <c r="X395" s="272">
        <f>+'NI-San_SP'!X395+'NI-Soc_SP'!X395+'NI-Ric_SP'!X395</f>
        <v>0</v>
      </c>
      <c r="Y395" s="272">
        <f>+'NI-San_SP'!Y395+'NI-Soc_SP'!Y395+'NI-Ric_SP'!Y395</f>
        <v>0</v>
      </c>
      <c r="Z395" s="272">
        <f>+'NI-San_SP'!Z395+'NI-Soc_SP'!Z395+'NI-Ric_SP'!Z395</f>
        <v>0</v>
      </c>
      <c r="AA395" s="272">
        <f>+'NI-San_SP'!AA395+'NI-Soc_SP'!AA395+'NI-Ric_SP'!AA395</f>
        <v>0</v>
      </c>
      <c r="AB395" s="272">
        <f>+'NI-San_SP'!AB395+'NI-Soc_SP'!AB395+'NI-Ric_SP'!AB395</f>
        <v>0</v>
      </c>
      <c r="AC395" s="272">
        <f>+'NI-San_SP'!AC395+'NI-Soc_SP'!AC395+'NI-Ric_SP'!AC395</f>
        <v>0</v>
      </c>
      <c r="AD395" s="272">
        <f>+'NI-San_SP'!AD395+'NI-Soc_SP'!AD395+'NI-Ric_SP'!AD395</f>
        <v>0</v>
      </c>
      <c r="AE395" s="272">
        <f>+'NI-San_SP'!AE395+'NI-Soc_SP'!AE395+'NI-Ric_SP'!AE395</f>
        <v>6263</v>
      </c>
    </row>
    <row r="396" spans="2:31" s="204" customFormat="1" x14ac:dyDescent="0.25">
      <c r="B396" s="246" t="s">
        <v>896</v>
      </c>
      <c r="C396" s="287" t="s">
        <v>897</v>
      </c>
      <c r="D396" s="274" t="s">
        <v>3406</v>
      </c>
      <c r="E396" s="274"/>
      <c r="F396" s="274"/>
      <c r="G396" s="283"/>
      <c r="H396" s="266"/>
      <c r="I396" s="281"/>
      <c r="J396" s="281"/>
      <c r="K396" s="281"/>
      <c r="L396" s="295" t="s">
        <v>3407</v>
      </c>
      <c r="M396" s="284" t="s">
        <v>2962</v>
      </c>
      <c r="N396" s="269">
        <f t="shared" si="56"/>
        <v>1571890</v>
      </c>
      <c r="O396" s="270">
        <f t="shared" si="57"/>
        <v>1588515</v>
      </c>
      <c r="P396" s="271">
        <f t="shared" si="58"/>
        <v>16625</v>
      </c>
      <c r="Q396" s="272">
        <f>+'NI-San_SP'!Q396+'NI-Soc_SP'!Q396+'NI-Ric_SP'!Q396</f>
        <v>0</v>
      </c>
      <c r="R396" s="272">
        <f>+'NI-San_SP'!R396+'NI-Soc_SP'!R396+'NI-Ric_SP'!R396</f>
        <v>1571890</v>
      </c>
      <c r="S396" s="272">
        <f>+'NI-San_SP'!S396+'NI-Soc_SP'!T396+'NI-Ric_SP'!T396</f>
        <v>0</v>
      </c>
      <c r="T396" s="272">
        <f>+'NI-San_SP'!S396+'NI-Soc_SP'!T396+'NI-Ric_SP'!T396</f>
        <v>0</v>
      </c>
      <c r="U396" s="272">
        <f>+'NI-San_SP'!T396+'NI-Soc_SP'!U396+'NI-Ric_SP'!U396</f>
        <v>0</v>
      </c>
      <c r="W396" s="272">
        <f>+'NI-San_SP'!W396+'NI-Soc_SP'!W396+'NI-Ric_SP'!W396</f>
        <v>0</v>
      </c>
      <c r="X396" s="272">
        <f>+'NI-San_SP'!X396+'NI-Soc_SP'!X396+'NI-Ric_SP'!X396</f>
        <v>0</v>
      </c>
      <c r="Y396" s="272">
        <f>+'NI-San_SP'!Y396+'NI-Soc_SP'!Y396+'NI-Ric_SP'!Y396</f>
        <v>0</v>
      </c>
      <c r="Z396" s="272">
        <f>+'NI-San_SP'!Z396+'NI-Soc_SP'!Z396+'NI-Ric_SP'!Z396</f>
        <v>0</v>
      </c>
      <c r="AA396" s="272">
        <f>+'NI-San_SP'!AA396+'NI-Soc_SP'!AA396+'NI-Ric_SP'!AA396</f>
        <v>0</v>
      </c>
      <c r="AB396" s="272">
        <f>+'NI-San_SP'!AB396+'NI-Soc_SP'!AB396+'NI-Ric_SP'!AB396</f>
        <v>17615</v>
      </c>
      <c r="AC396" s="272">
        <f>+'NI-San_SP'!AC396+'NI-Soc_SP'!AC396+'NI-Ric_SP'!AC396</f>
        <v>0</v>
      </c>
      <c r="AD396" s="272">
        <f>+'NI-San_SP'!AD396+'NI-Soc_SP'!AD396+'NI-Ric_SP'!AD396</f>
        <v>0</v>
      </c>
      <c r="AE396" s="272">
        <f>+'NI-San_SP'!AE396+'NI-Soc_SP'!AE396+'NI-Ric_SP'!AE396</f>
        <v>990</v>
      </c>
    </row>
    <row r="397" spans="2:31" s="204" customFormat="1" x14ac:dyDescent="0.25">
      <c r="B397" s="293"/>
      <c r="C397" s="293"/>
      <c r="D397" s="230"/>
      <c r="E397" s="230"/>
      <c r="F397" s="230"/>
      <c r="G397" s="230"/>
      <c r="H397" s="231"/>
      <c r="I397" s="230"/>
      <c r="J397" s="230"/>
      <c r="K397" s="230"/>
      <c r="L397" s="296" t="s">
        <v>3408</v>
      </c>
      <c r="M397" s="216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</row>
    <row r="398" spans="2:31" s="204" customFormat="1" x14ac:dyDescent="0.25">
      <c r="B398" s="293"/>
      <c r="C398" s="293"/>
      <c r="D398" s="230"/>
      <c r="E398" s="230"/>
      <c r="F398" s="230"/>
      <c r="G398" s="230"/>
      <c r="H398" s="231"/>
      <c r="I398" s="230"/>
      <c r="J398" s="230"/>
      <c r="K398" s="230"/>
      <c r="L398" s="296"/>
      <c r="M398" s="216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</row>
    <row r="399" spans="2:31" s="204" customFormat="1" x14ac:dyDescent="0.25">
      <c r="B399" s="246" t="s">
        <v>899</v>
      </c>
      <c r="C399" s="292" t="s">
        <v>900</v>
      </c>
      <c r="D399" s="247" t="s">
        <v>3409</v>
      </c>
      <c r="E399" s="247"/>
      <c r="F399" s="247"/>
      <c r="G399" s="247"/>
      <c r="H399" s="248"/>
      <c r="I399" s="247"/>
      <c r="J399" s="247"/>
      <c r="K399" s="249"/>
      <c r="L399" s="276" t="s">
        <v>903</v>
      </c>
      <c r="M399" s="251" t="s">
        <v>2962</v>
      </c>
      <c r="N399" s="252">
        <f>SUM(N402:N413)</f>
        <v>8638718</v>
      </c>
      <c r="O399" s="252">
        <f>SUM(O402:O413)</f>
        <v>8612359</v>
      </c>
      <c r="P399" s="259">
        <f>+O399-N399</f>
        <v>-26359</v>
      </c>
      <c r="Q399" s="252">
        <f>SUM(Q402:Q413)</f>
        <v>0</v>
      </c>
      <c r="R399" s="252">
        <f>SUM(R402:R413)</f>
        <v>8638718</v>
      </c>
      <c r="S399" s="252">
        <f>SUM(S402:S413)</f>
        <v>0</v>
      </c>
      <c r="W399" s="252">
        <f>SUM(W402:W413)</f>
        <v>0</v>
      </c>
      <c r="X399" s="252">
        <f>SUM(X402:X413)</f>
        <v>0</v>
      </c>
      <c r="Y399" s="252">
        <f>SUM(Y402:Y413)</f>
        <v>49817</v>
      </c>
      <c r="Z399" s="252">
        <f>SUM(Z402:Z413)</f>
        <v>23458</v>
      </c>
      <c r="AA399" s="285"/>
    </row>
    <row r="400" spans="2:31" s="204" customFormat="1" x14ac:dyDescent="0.25">
      <c r="B400" s="293"/>
      <c r="C400" s="293"/>
      <c r="D400" s="230"/>
      <c r="E400" s="230"/>
      <c r="F400" s="230"/>
      <c r="G400" s="230"/>
      <c r="H400" s="231"/>
      <c r="I400" s="230"/>
      <c r="J400" s="230"/>
      <c r="K400" s="285"/>
      <c r="L400" s="322"/>
      <c r="M400" s="285"/>
      <c r="N400" s="285"/>
      <c r="O400" s="211"/>
      <c r="P400" s="211"/>
      <c r="Q400" s="211"/>
      <c r="R400" s="211"/>
      <c r="W400" s="285"/>
      <c r="X400" s="285"/>
      <c r="Y400" s="285"/>
      <c r="Z400" s="285"/>
      <c r="AA400" s="285"/>
    </row>
    <row r="401" spans="2:27" s="204" customFormat="1" ht="63.75" x14ac:dyDescent="0.25">
      <c r="B401" s="294" t="s">
        <v>2968</v>
      </c>
      <c r="C401" s="294" t="s">
        <v>2969</v>
      </c>
      <c r="D401" s="206" t="s">
        <v>72</v>
      </c>
      <c r="E401" s="206"/>
      <c r="F401" s="206"/>
      <c r="G401" s="207"/>
      <c r="H401" s="207"/>
      <c r="I401" s="207"/>
      <c r="J401" s="207" t="s">
        <v>2957</v>
      </c>
      <c r="K401" s="206" t="s">
        <v>82</v>
      </c>
      <c r="L401" s="261" t="s">
        <v>2970</v>
      </c>
      <c r="M401" s="260"/>
      <c r="N401" s="256" t="str">
        <f>N$15</f>
        <v>Valore netto al 31/12/2019</v>
      </c>
      <c r="O401" s="256" t="str">
        <f>O$15</f>
        <v>Valore netto al 31/12/2020</v>
      </c>
      <c r="P401" s="256" t="str">
        <f>P$15</f>
        <v>Variazione</v>
      </c>
      <c r="Q401" s="262" t="s">
        <v>2971</v>
      </c>
      <c r="R401" s="262" t="str">
        <f>"Fondo ammortamento 31/12/"&amp;Info!$B$3-1</f>
        <v>Fondo ammortamento 31/12/2019</v>
      </c>
      <c r="S401" s="262" t="s">
        <v>2972</v>
      </c>
      <c r="W401" s="262" t="s">
        <v>2975</v>
      </c>
      <c r="X401" s="262" t="s">
        <v>2976</v>
      </c>
      <c r="Y401" s="262" t="s">
        <v>2989</v>
      </c>
      <c r="Z401" s="262" t="s">
        <v>2990</v>
      </c>
      <c r="AA401" s="285"/>
    </row>
    <row r="402" spans="2:27" s="204" customFormat="1" ht="25.5" x14ac:dyDescent="0.25">
      <c r="B402" s="246" t="s">
        <v>904</v>
      </c>
      <c r="C402" s="287" t="s">
        <v>905</v>
      </c>
      <c r="D402" s="274" t="s">
        <v>3410</v>
      </c>
      <c r="E402" s="274"/>
      <c r="F402" s="274"/>
      <c r="G402" s="283"/>
      <c r="H402" s="266"/>
      <c r="I402" s="281"/>
      <c r="J402" s="281"/>
      <c r="K402" s="281"/>
      <c r="L402" s="288" t="s">
        <v>3411</v>
      </c>
      <c r="M402" s="263" t="s">
        <v>2962</v>
      </c>
      <c r="N402" s="269">
        <f t="shared" ref="N402:N413" si="59">+R402</f>
        <v>3717696</v>
      </c>
      <c r="O402" s="270">
        <f t="shared" ref="O402:O413" si="60">+R402+S402+X402-ABS(Y402)+ABS(Z402)+W402+Q402</f>
        <v>3687216</v>
      </c>
      <c r="P402" s="271">
        <f t="shared" ref="P402:P413" si="61">+O402-N402</f>
        <v>-30480</v>
      </c>
      <c r="Q402" s="272">
        <f>+'NI-San_SP'!Q402+'NI-Soc_SP'!Q402+'NI-Ric_SP'!Q402</f>
        <v>0</v>
      </c>
      <c r="R402" s="272">
        <f>+'NI-San_SP'!R402+'NI-Soc_SP'!R402+'NI-Ric_SP'!R402</f>
        <v>3717696</v>
      </c>
      <c r="S402" s="272">
        <f>+'NI-San_SP'!S402+'NI-Soc_SP'!S402+'NI-Ric_SP'!S402</f>
        <v>0</v>
      </c>
      <c r="V402" s="211"/>
      <c r="W402" s="272">
        <f>+'NI-San_SP'!W402+'NI-Soc_SP'!W402+'NI-Ric_SP'!W402</f>
        <v>0</v>
      </c>
      <c r="X402" s="272">
        <f>+'NI-San_SP'!X402+'NI-Soc_SP'!X402+'NI-Ric_SP'!X402</f>
        <v>0</v>
      </c>
      <c r="Y402" s="272">
        <f>+'NI-San_SP'!Y402+'NI-Soc_SP'!Y402+'NI-Ric_SP'!Y402</f>
        <v>30761</v>
      </c>
      <c r="Z402" s="272">
        <f>+'NI-San_SP'!Z402+'NI-Soc_SP'!Z402+'NI-Ric_SP'!Z402</f>
        <v>281</v>
      </c>
      <c r="AA402" s="285"/>
    </row>
    <row r="403" spans="2:27" s="204" customFormat="1" ht="25.5" x14ac:dyDescent="0.25">
      <c r="B403" s="246" t="s">
        <v>907</v>
      </c>
      <c r="C403" s="287" t="s">
        <v>908</v>
      </c>
      <c r="D403" s="274" t="s">
        <v>3412</v>
      </c>
      <c r="E403" s="274"/>
      <c r="F403" s="274"/>
      <c r="G403" s="283"/>
      <c r="H403" s="266"/>
      <c r="I403" s="281"/>
      <c r="J403" s="281"/>
      <c r="K403" s="281"/>
      <c r="L403" s="288" t="s">
        <v>3413</v>
      </c>
      <c r="M403" s="263" t="s">
        <v>2962</v>
      </c>
      <c r="N403" s="269">
        <f t="shared" si="59"/>
        <v>1934341</v>
      </c>
      <c r="O403" s="270">
        <f t="shared" si="60"/>
        <v>1939084</v>
      </c>
      <c r="P403" s="271">
        <f t="shared" si="61"/>
        <v>4743</v>
      </c>
      <c r="Q403" s="272">
        <f>+'NI-San_SP'!Q403+'NI-Soc_SP'!Q403+'NI-Ric_SP'!Q403</f>
        <v>0</v>
      </c>
      <c r="R403" s="272">
        <f>+'NI-San_SP'!R403+'NI-Soc_SP'!R403+'NI-Ric_SP'!R403</f>
        <v>1934341</v>
      </c>
      <c r="S403" s="272">
        <f>+'NI-San_SP'!S403+'NI-Soc_SP'!S403+'NI-Ric_SP'!S403</f>
        <v>0</v>
      </c>
      <c r="V403" s="211"/>
      <c r="W403" s="272">
        <f>+'NI-San_SP'!W403+'NI-Soc_SP'!W403+'NI-Ric_SP'!W403</f>
        <v>0</v>
      </c>
      <c r="X403" s="272">
        <f>+'NI-San_SP'!X403+'NI-Soc_SP'!X403+'NI-Ric_SP'!X403</f>
        <v>0</v>
      </c>
      <c r="Y403" s="272">
        <f>+'NI-San_SP'!Y403+'NI-Soc_SP'!Y403+'NI-Ric_SP'!Y403</f>
        <v>5208</v>
      </c>
      <c r="Z403" s="272">
        <f>+'NI-San_SP'!Z403+'NI-Soc_SP'!Z403+'NI-Ric_SP'!Z403</f>
        <v>9951</v>
      </c>
      <c r="AA403" s="285"/>
    </row>
    <row r="404" spans="2:27" s="204" customFormat="1" x14ac:dyDescent="0.25">
      <c r="B404" s="246" t="s">
        <v>910</v>
      </c>
      <c r="C404" s="287" t="s">
        <v>911</v>
      </c>
      <c r="D404" s="274" t="s">
        <v>3414</v>
      </c>
      <c r="E404" s="274"/>
      <c r="F404" s="274"/>
      <c r="G404" s="283"/>
      <c r="H404" s="266"/>
      <c r="I404" s="281"/>
      <c r="J404" s="281"/>
      <c r="K404" s="281"/>
      <c r="L404" s="324" t="s">
        <v>3415</v>
      </c>
      <c r="M404" s="284" t="s">
        <v>2962</v>
      </c>
      <c r="N404" s="269">
        <f t="shared" si="59"/>
        <v>154100</v>
      </c>
      <c r="O404" s="270">
        <f t="shared" si="60"/>
        <v>148828</v>
      </c>
      <c r="P404" s="271">
        <f t="shared" si="61"/>
        <v>-5272</v>
      </c>
      <c r="Q404" s="272">
        <f>+'NI-San_SP'!Q404+'NI-Soc_SP'!Q404+'NI-Ric_SP'!Q404</f>
        <v>0</v>
      </c>
      <c r="R404" s="272">
        <f>+'NI-San_SP'!R404+'NI-Soc_SP'!R404+'NI-Ric_SP'!R404</f>
        <v>154100</v>
      </c>
      <c r="S404" s="272">
        <f>+'NI-San_SP'!S404+'NI-Soc_SP'!S404+'NI-Ric_SP'!S404</f>
        <v>0</v>
      </c>
      <c r="V404" s="211"/>
      <c r="W404" s="272">
        <f>+'NI-San_SP'!W404+'NI-Soc_SP'!W404+'NI-Ric_SP'!W404</f>
        <v>0</v>
      </c>
      <c r="X404" s="272">
        <f>+'NI-San_SP'!X404+'NI-Soc_SP'!X404+'NI-Ric_SP'!X404</f>
        <v>0</v>
      </c>
      <c r="Y404" s="272">
        <f>+'NI-San_SP'!Y404+'NI-Soc_SP'!Y404+'NI-Ric_SP'!Y404</f>
        <v>5272</v>
      </c>
      <c r="Z404" s="272">
        <f>+'NI-San_SP'!Z404+'NI-Soc_SP'!Z404+'NI-Ric_SP'!Z404</f>
        <v>0</v>
      </c>
      <c r="AA404" s="285"/>
    </row>
    <row r="405" spans="2:27" s="204" customFormat="1" x14ac:dyDescent="0.25">
      <c r="B405" s="246" t="s">
        <v>913</v>
      </c>
      <c r="C405" s="287" t="s">
        <v>914</v>
      </c>
      <c r="D405" s="274" t="s">
        <v>3416</v>
      </c>
      <c r="E405" s="274"/>
      <c r="F405" s="274"/>
      <c r="G405" s="283"/>
      <c r="H405" s="266"/>
      <c r="I405" s="281"/>
      <c r="J405" s="281"/>
      <c r="K405" s="281"/>
      <c r="L405" s="324" t="s">
        <v>3417</v>
      </c>
      <c r="M405" s="284" t="s">
        <v>2962</v>
      </c>
      <c r="N405" s="269">
        <f t="shared" si="59"/>
        <v>154848</v>
      </c>
      <c r="O405" s="270">
        <f t="shared" si="60"/>
        <v>153683</v>
      </c>
      <c r="P405" s="271">
        <f t="shared" si="61"/>
        <v>-1165</v>
      </c>
      <c r="Q405" s="272">
        <f>+'NI-San_SP'!Q405+'NI-Soc_SP'!Q405+'NI-Ric_SP'!Q405</f>
        <v>0</v>
      </c>
      <c r="R405" s="272">
        <f>+'NI-San_SP'!R405+'NI-Soc_SP'!R405+'NI-Ric_SP'!R405</f>
        <v>154848</v>
      </c>
      <c r="S405" s="272">
        <f>+'NI-San_SP'!S405+'NI-Soc_SP'!S405+'NI-Ric_SP'!S405</f>
        <v>0</v>
      </c>
      <c r="V405" s="211"/>
      <c r="W405" s="272">
        <f>+'NI-San_SP'!W405+'NI-Soc_SP'!W405+'NI-Ric_SP'!W405</f>
        <v>0</v>
      </c>
      <c r="X405" s="272">
        <f>+'NI-San_SP'!X405+'NI-Soc_SP'!X405+'NI-Ric_SP'!X405</f>
        <v>0</v>
      </c>
      <c r="Y405" s="272">
        <f>+'NI-San_SP'!Y405+'NI-Soc_SP'!Y405+'NI-Ric_SP'!Y405</f>
        <v>1323</v>
      </c>
      <c r="Z405" s="272">
        <f>+'NI-San_SP'!Z405+'NI-Soc_SP'!Z405+'NI-Ric_SP'!Z405</f>
        <v>158</v>
      </c>
      <c r="AA405" s="285"/>
    </row>
    <row r="406" spans="2:27" s="204" customFormat="1" x14ac:dyDescent="0.25">
      <c r="B406" s="246" t="s">
        <v>916</v>
      </c>
      <c r="C406" s="287" t="s">
        <v>917</v>
      </c>
      <c r="D406" s="274" t="s">
        <v>3418</v>
      </c>
      <c r="E406" s="274"/>
      <c r="F406" s="274"/>
      <c r="G406" s="283"/>
      <c r="H406" s="266"/>
      <c r="I406" s="281"/>
      <c r="J406" s="281"/>
      <c r="K406" s="281"/>
      <c r="L406" s="324" t="s">
        <v>3419</v>
      </c>
      <c r="M406" s="284" t="s">
        <v>2962</v>
      </c>
      <c r="N406" s="269">
        <f t="shared" si="59"/>
        <v>0</v>
      </c>
      <c r="O406" s="270">
        <f t="shared" si="60"/>
        <v>0</v>
      </c>
      <c r="P406" s="271">
        <f t="shared" si="61"/>
        <v>0</v>
      </c>
      <c r="Q406" s="272">
        <f>+'NI-San_SP'!Q406+'NI-Soc_SP'!Q406+'NI-Ric_SP'!Q406</f>
        <v>0</v>
      </c>
      <c r="R406" s="272">
        <f>+'NI-San_SP'!R406+'NI-Soc_SP'!R406+'NI-Ric_SP'!R406</f>
        <v>0</v>
      </c>
      <c r="S406" s="272">
        <f>+'NI-San_SP'!S406+'NI-Soc_SP'!S406+'NI-Ric_SP'!S406</f>
        <v>0</v>
      </c>
      <c r="V406" s="211"/>
      <c r="W406" s="272">
        <f>+'NI-San_SP'!W406+'NI-Soc_SP'!W406+'NI-Ric_SP'!W406</f>
        <v>0</v>
      </c>
      <c r="X406" s="272">
        <f>+'NI-San_SP'!X406+'NI-Soc_SP'!X406+'NI-Ric_SP'!X406</f>
        <v>0</v>
      </c>
      <c r="Y406" s="272">
        <f>+'NI-San_SP'!Y406+'NI-Soc_SP'!Y406+'NI-Ric_SP'!Y406</f>
        <v>0</v>
      </c>
      <c r="Z406" s="272">
        <f>+'NI-San_SP'!Z406+'NI-Soc_SP'!Z406+'NI-Ric_SP'!Z406</f>
        <v>0</v>
      </c>
      <c r="AA406" s="285"/>
    </row>
    <row r="407" spans="2:27" s="204" customFormat="1" x14ac:dyDescent="0.25">
      <c r="B407" s="246" t="s">
        <v>919</v>
      </c>
      <c r="C407" s="287" t="s">
        <v>920</v>
      </c>
      <c r="D407" s="274" t="s">
        <v>3420</v>
      </c>
      <c r="E407" s="274"/>
      <c r="F407" s="274"/>
      <c r="G407" s="283"/>
      <c r="H407" s="266"/>
      <c r="I407" s="281"/>
      <c r="J407" s="281"/>
      <c r="K407" s="281"/>
      <c r="L407" s="324" t="s">
        <v>3421</v>
      </c>
      <c r="M407" s="284" t="s">
        <v>2962</v>
      </c>
      <c r="N407" s="269">
        <f t="shared" si="59"/>
        <v>0</v>
      </c>
      <c r="O407" s="270">
        <f t="shared" si="60"/>
        <v>0</v>
      </c>
      <c r="P407" s="271">
        <f t="shared" si="61"/>
        <v>0</v>
      </c>
      <c r="Q407" s="272">
        <f>+'NI-San_SP'!Q407+'NI-Soc_SP'!Q407+'NI-Ric_SP'!Q407</f>
        <v>0</v>
      </c>
      <c r="R407" s="272">
        <f>+'NI-San_SP'!R407+'NI-Soc_SP'!R407+'NI-Ric_SP'!R407</f>
        <v>0</v>
      </c>
      <c r="S407" s="272">
        <f>+'NI-San_SP'!S407+'NI-Soc_SP'!S407+'NI-Ric_SP'!S407</f>
        <v>0</v>
      </c>
      <c r="V407" s="211"/>
      <c r="W407" s="272">
        <f>+'NI-San_SP'!W407+'NI-Soc_SP'!W407+'NI-Ric_SP'!W407</f>
        <v>0</v>
      </c>
      <c r="X407" s="272">
        <f>+'NI-San_SP'!X407+'NI-Soc_SP'!X407+'NI-Ric_SP'!X407</f>
        <v>0</v>
      </c>
      <c r="Y407" s="272">
        <f>+'NI-San_SP'!Y407+'NI-Soc_SP'!Y407+'NI-Ric_SP'!Y407</f>
        <v>0</v>
      </c>
      <c r="Z407" s="272">
        <f>+'NI-San_SP'!Z407+'NI-Soc_SP'!Z407+'NI-Ric_SP'!Z407</f>
        <v>0</v>
      </c>
      <c r="AA407" s="285"/>
    </row>
    <row r="408" spans="2:27" s="204" customFormat="1" ht="25.5" x14ac:dyDescent="0.25">
      <c r="B408" s="246" t="s">
        <v>922</v>
      </c>
      <c r="C408" s="287" t="s">
        <v>923</v>
      </c>
      <c r="D408" s="274" t="s">
        <v>3422</v>
      </c>
      <c r="E408" s="274"/>
      <c r="F408" s="274"/>
      <c r="G408" s="283"/>
      <c r="H408" s="266"/>
      <c r="I408" s="281"/>
      <c r="J408" s="281"/>
      <c r="K408" s="281"/>
      <c r="L408" s="288" t="s">
        <v>3423</v>
      </c>
      <c r="M408" s="284" t="s">
        <v>2962</v>
      </c>
      <c r="N408" s="269">
        <f t="shared" si="59"/>
        <v>0</v>
      </c>
      <c r="O408" s="270">
        <f t="shared" si="60"/>
        <v>0</v>
      </c>
      <c r="P408" s="271">
        <f t="shared" si="61"/>
        <v>0</v>
      </c>
      <c r="Q408" s="272">
        <f>+'NI-San_SP'!Q408+'NI-Soc_SP'!Q408+'NI-Ric_SP'!Q408</f>
        <v>0</v>
      </c>
      <c r="R408" s="272">
        <f>+'NI-San_SP'!R408+'NI-Soc_SP'!R408+'NI-Ric_SP'!R408</f>
        <v>0</v>
      </c>
      <c r="S408" s="272">
        <f>+'NI-San_SP'!S408+'NI-Soc_SP'!S408+'NI-Ric_SP'!S408</f>
        <v>0</v>
      </c>
      <c r="V408" s="211"/>
      <c r="W408" s="272">
        <f>+'NI-San_SP'!W408+'NI-Soc_SP'!W408+'NI-Ric_SP'!W408</f>
        <v>0</v>
      </c>
      <c r="X408" s="272">
        <f>+'NI-San_SP'!X408+'NI-Soc_SP'!X408+'NI-Ric_SP'!X408</f>
        <v>0</v>
      </c>
      <c r="Y408" s="272">
        <f>+'NI-San_SP'!Y408+'NI-Soc_SP'!Y408+'NI-Ric_SP'!Y408</f>
        <v>0</v>
      </c>
      <c r="Z408" s="272">
        <f>+'NI-San_SP'!Z408+'NI-Soc_SP'!Z408+'NI-Ric_SP'!Z408</f>
        <v>0</v>
      </c>
      <c r="AA408" s="285"/>
    </row>
    <row r="409" spans="2:27" s="204" customFormat="1" ht="25.5" x14ac:dyDescent="0.25">
      <c r="B409" s="246" t="s">
        <v>925</v>
      </c>
      <c r="C409" s="287" t="s">
        <v>926</v>
      </c>
      <c r="D409" s="274" t="s">
        <v>3424</v>
      </c>
      <c r="E409" s="274"/>
      <c r="F409" s="274"/>
      <c r="G409" s="283"/>
      <c r="H409" s="266"/>
      <c r="I409" s="281"/>
      <c r="J409" s="281"/>
      <c r="K409" s="281"/>
      <c r="L409" s="288" t="s">
        <v>3425</v>
      </c>
      <c r="M409" s="284" t="s">
        <v>2962</v>
      </c>
      <c r="N409" s="269">
        <f t="shared" si="59"/>
        <v>0</v>
      </c>
      <c r="O409" s="270">
        <f t="shared" si="60"/>
        <v>0</v>
      </c>
      <c r="P409" s="271">
        <f t="shared" si="61"/>
        <v>0</v>
      </c>
      <c r="Q409" s="272">
        <f>+'NI-San_SP'!Q409+'NI-Soc_SP'!Q409+'NI-Ric_SP'!Q409</f>
        <v>0</v>
      </c>
      <c r="R409" s="272">
        <f>+'NI-San_SP'!R409+'NI-Soc_SP'!R409+'NI-Ric_SP'!R409</f>
        <v>0</v>
      </c>
      <c r="S409" s="272">
        <f>+'NI-San_SP'!S409+'NI-Soc_SP'!S409+'NI-Ric_SP'!S409</f>
        <v>0</v>
      </c>
      <c r="V409" s="211"/>
      <c r="W409" s="272">
        <f>+'NI-San_SP'!W409+'NI-Soc_SP'!W409+'NI-Ric_SP'!W409</f>
        <v>0</v>
      </c>
      <c r="X409" s="272">
        <f>+'NI-San_SP'!X409+'NI-Soc_SP'!X409+'NI-Ric_SP'!X409</f>
        <v>0</v>
      </c>
      <c r="Y409" s="272">
        <f>+'NI-San_SP'!Y409+'NI-Soc_SP'!Y409+'NI-Ric_SP'!Y409</f>
        <v>0</v>
      </c>
      <c r="Z409" s="272">
        <f>+'NI-San_SP'!Z409+'NI-Soc_SP'!Z409+'NI-Ric_SP'!Z409</f>
        <v>0</v>
      </c>
      <c r="AA409" s="285"/>
    </row>
    <row r="410" spans="2:27" s="204" customFormat="1" ht="25.5" x14ac:dyDescent="0.25">
      <c r="B410" s="246" t="s">
        <v>928</v>
      </c>
      <c r="C410" s="287" t="s">
        <v>929</v>
      </c>
      <c r="D410" s="274" t="s">
        <v>3426</v>
      </c>
      <c r="E410" s="274"/>
      <c r="F410" s="274"/>
      <c r="G410" s="283"/>
      <c r="H410" s="266"/>
      <c r="I410" s="281"/>
      <c r="J410" s="281"/>
      <c r="K410" s="281"/>
      <c r="L410" s="288" t="s">
        <v>3427</v>
      </c>
      <c r="M410" s="284" t="s">
        <v>2962</v>
      </c>
      <c r="N410" s="269">
        <f t="shared" si="59"/>
        <v>143489</v>
      </c>
      <c r="O410" s="270">
        <f t="shared" si="60"/>
        <v>143489</v>
      </c>
      <c r="P410" s="271">
        <f t="shared" si="61"/>
        <v>0</v>
      </c>
      <c r="Q410" s="272">
        <f>+'NI-San_SP'!Q410+'NI-Soc_SP'!Q410+'NI-Ric_SP'!Q410</f>
        <v>0</v>
      </c>
      <c r="R410" s="272">
        <f>+'NI-San_SP'!R410+'NI-Soc_SP'!R410+'NI-Ric_SP'!R410</f>
        <v>143489</v>
      </c>
      <c r="S410" s="272">
        <f>+'NI-San_SP'!S410+'NI-Soc_SP'!S410+'NI-Ric_SP'!S410</f>
        <v>0</v>
      </c>
      <c r="V410" s="211"/>
      <c r="W410" s="272">
        <f>+'NI-San_SP'!W410+'NI-Soc_SP'!W410+'NI-Ric_SP'!W410</f>
        <v>0</v>
      </c>
      <c r="X410" s="272">
        <f>+'NI-San_SP'!X410+'NI-Soc_SP'!X410+'NI-Ric_SP'!X410</f>
        <v>0</v>
      </c>
      <c r="Y410" s="272">
        <f>+'NI-San_SP'!Y410+'NI-Soc_SP'!Y410+'NI-Ric_SP'!Y410</f>
        <v>0</v>
      </c>
      <c r="Z410" s="272">
        <f>+'NI-San_SP'!Z410+'NI-Soc_SP'!Z410+'NI-Ric_SP'!Z410</f>
        <v>0</v>
      </c>
      <c r="AA410" s="285"/>
    </row>
    <row r="411" spans="2:27" s="204" customFormat="1" ht="25.5" x14ac:dyDescent="0.25">
      <c r="B411" s="246" t="s">
        <v>931</v>
      </c>
      <c r="C411" s="287" t="s">
        <v>932</v>
      </c>
      <c r="D411" s="274" t="s">
        <v>3428</v>
      </c>
      <c r="E411" s="274"/>
      <c r="F411" s="274"/>
      <c r="G411" s="283"/>
      <c r="H411" s="266"/>
      <c r="I411" s="281"/>
      <c r="J411" s="281"/>
      <c r="K411" s="281"/>
      <c r="L411" s="288" t="s">
        <v>3429</v>
      </c>
      <c r="M411" s="284" t="s">
        <v>2962</v>
      </c>
      <c r="N411" s="269">
        <f t="shared" si="59"/>
        <v>16103</v>
      </c>
      <c r="O411" s="270">
        <f t="shared" si="60"/>
        <v>16103</v>
      </c>
      <c r="P411" s="271">
        <f t="shared" si="61"/>
        <v>0</v>
      </c>
      <c r="Q411" s="272">
        <f>+'NI-San_SP'!Q411+'NI-Soc_SP'!Q411+'NI-Ric_SP'!Q411</f>
        <v>0</v>
      </c>
      <c r="R411" s="272">
        <f>+'NI-San_SP'!R411+'NI-Soc_SP'!R411+'NI-Ric_SP'!R411</f>
        <v>16103</v>
      </c>
      <c r="S411" s="272">
        <f>+'NI-San_SP'!S411+'NI-Soc_SP'!S411+'NI-Ric_SP'!S411</f>
        <v>0</v>
      </c>
      <c r="V411" s="211"/>
      <c r="W411" s="272">
        <f>+'NI-San_SP'!W411+'NI-Soc_SP'!W411+'NI-Ric_SP'!W411</f>
        <v>0</v>
      </c>
      <c r="X411" s="272">
        <f>+'NI-San_SP'!X411+'NI-Soc_SP'!X411+'NI-Ric_SP'!X411</f>
        <v>0</v>
      </c>
      <c r="Y411" s="272">
        <f>+'NI-San_SP'!Y411+'NI-Soc_SP'!Y411+'NI-Ric_SP'!Y411</f>
        <v>0</v>
      </c>
      <c r="Z411" s="272">
        <f>+'NI-San_SP'!Z411+'NI-Soc_SP'!Z411+'NI-Ric_SP'!Z411</f>
        <v>0</v>
      </c>
      <c r="AA411" s="285"/>
    </row>
    <row r="412" spans="2:27" s="204" customFormat="1" x14ac:dyDescent="0.25">
      <c r="B412" s="246" t="s">
        <v>934</v>
      </c>
      <c r="C412" s="287" t="s">
        <v>935</v>
      </c>
      <c r="D412" s="274" t="s">
        <v>3430</v>
      </c>
      <c r="E412" s="274"/>
      <c r="F412" s="274"/>
      <c r="G412" s="283"/>
      <c r="H412" s="266"/>
      <c r="I412" s="281"/>
      <c r="J412" s="281"/>
      <c r="K412" s="281"/>
      <c r="L412" s="295" t="s">
        <v>3431</v>
      </c>
      <c r="M412" s="284" t="s">
        <v>2962</v>
      </c>
      <c r="N412" s="269">
        <f t="shared" si="59"/>
        <v>1529088</v>
      </c>
      <c r="O412" s="270">
        <f t="shared" si="60"/>
        <v>1523105</v>
      </c>
      <c r="P412" s="271">
        <f t="shared" si="61"/>
        <v>-5983</v>
      </c>
      <c r="Q412" s="272">
        <f>+'NI-San_SP'!Q412+'NI-Soc_SP'!Q412+'NI-Ric_SP'!Q412</f>
        <v>0</v>
      </c>
      <c r="R412" s="272">
        <f>+'NI-San_SP'!R412+'NI-Soc_SP'!R412+'NI-Ric_SP'!R412</f>
        <v>1529088</v>
      </c>
      <c r="S412" s="272">
        <f>+'NI-San_SP'!S412+'NI-Soc_SP'!S412+'NI-Ric_SP'!S412</f>
        <v>0</v>
      </c>
      <c r="V412" s="211"/>
      <c r="W412" s="272">
        <f>+'NI-San_SP'!W412+'NI-Soc_SP'!W412+'NI-Ric_SP'!W412</f>
        <v>0</v>
      </c>
      <c r="X412" s="272">
        <f>+'NI-San_SP'!X412+'NI-Soc_SP'!X412+'NI-Ric_SP'!X412</f>
        <v>0</v>
      </c>
      <c r="Y412" s="272">
        <f>+'NI-San_SP'!Y412+'NI-Soc_SP'!Y412+'NI-Ric_SP'!Y412</f>
        <v>6263</v>
      </c>
      <c r="Z412" s="272">
        <f>+'NI-San_SP'!Z412+'NI-Soc_SP'!Z412+'NI-Ric_SP'!Z412</f>
        <v>280</v>
      </c>
      <c r="AA412" s="285"/>
    </row>
    <row r="413" spans="2:27" s="204" customFormat="1" x14ac:dyDescent="0.25">
      <c r="B413" s="246" t="s">
        <v>937</v>
      </c>
      <c r="C413" s="287" t="s">
        <v>938</v>
      </c>
      <c r="D413" s="274" t="s">
        <v>3432</v>
      </c>
      <c r="E413" s="274"/>
      <c r="F413" s="274"/>
      <c r="G413" s="283"/>
      <c r="H413" s="266"/>
      <c r="I413" s="281"/>
      <c r="J413" s="281"/>
      <c r="K413" s="281"/>
      <c r="L413" s="295" t="s">
        <v>3433</v>
      </c>
      <c r="M413" s="284" t="s">
        <v>2962</v>
      </c>
      <c r="N413" s="269">
        <f t="shared" si="59"/>
        <v>989053</v>
      </c>
      <c r="O413" s="270">
        <f t="shared" si="60"/>
        <v>1000851</v>
      </c>
      <c r="P413" s="271">
        <f t="shared" si="61"/>
        <v>11798</v>
      </c>
      <c r="Q413" s="272">
        <f>+'NI-San_SP'!Q413+'NI-Soc_SP'!Q413+'NI-Ric_SP'!Q413</f>
        <v>0</v>
      </c>
      <c r="R413" s="272">
        <f>+'NI-San_SP'!R413+'NI-Soc_SP'!R413+'NI-Ric_SP'!R413</f>
        <v>989053</v>
      </c>
      <c r="S413" s="272">
        <f>+'NI-San_SP'!S413+'NI-Soc_SP'!S413+'NI-Ric_SP'!S413</f>
        <v>0</v>
      </c>
      <c r="V413" s="211"/>
      <c r="W413" s="272">
        <f>+'NI-San_SP'!W413+'NI-Soc_SP'!W413+'NI-Ric_SP'!W413</f>
        <v>0</v>
      </c>
      <c r="X413" s="272">
        <f>+'NI-San_SP'!X413+'NI-Soc_SP'!X413+'NI-Ric_SP'!X413</f>
        <v>0</v>
      </c>
      <c r="Y413" s="272">
        <f>+'NI-San_SP'!Y413+'NI-Soc_SP'!Y413+'NI-Ric_SP'!Y413</f>
        <v>990</v>
      </c>
      <c r="Z413" s="272">
        <f>+'NI-San_SP'!Z413+'NI-Soc_SP'!Z413+'NI-Ric_SP'!Z413</f>
        <v>12788</v>
      </c>
      <c r="AA413" s="285"/>
    </row>
    <row r="414" spans="2:27" s="204" customFormat="1" x14ac:dyDescent="0.25">
      <c r="B414" s="293"/>
      <c r="C414" s="293"/>
      <c r="D414" s="230"/>
      <c r="E414" s="230"/>
      <c r="F414" s="230"/>
      <c r="G414" s="230"/>
      <c r="H414" s="231"/>
      <c r="I414" s="230"/>
      <c r="J414" s="230"/>
      <c r="K414" s="230"/>
      <c r="L414" s="296" t="s">
        <v>3408</v>
      </c>
      <c r="M414" s="216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</row>
    <row r="415" spans="2:27" s="204" customFormat="1" x14ac:dyDescent="0.25">
      <c r="B415" s="293"/>
      <c r="C415" s="293"/>
      <c r="D415" s="230"/>
      <c r="E415" s="230"/>
      <c r="F415" s="230"/>
      <c r="G415" s="230"/>
      <c r="H415" s="231"/>
      <c r="I415" s="230"/>
      <c r="J415" s="230"/>
      <c r="K415" s="230"/>
      <c r="L415" s="296"/>
      <c r="M415" s="216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</row>
    <row r="416" spans="2:27" s="204" customFormat="1" ht="25.5" x14ac:dyDescent="0.25">
      <c r="B416" s="293"/>
      <c r="C416" s="293"/>
      <c r="D416" s="230"/>
      <c r="E416" s="230"/>
      <c r="F416" s="230"/>
      <c r="G416" s="230"/>
      <c r="H416" s="231"/>
      <c r="I416" s="230"/>
      <c r="J416" s="230"/>
      <c r="K416" s="230"/>
      <c r="L416" s="255"/>
      <c r="M416" s="244"/>
      <c r="N416" s="256" t="str">
        <f>N$15</f>
        <v>Valore netto al 31/12/2019</v>
      </c>
      <c r="O416" s="256" t="str">
        <f>O$15</f>
        <v>Valore netto al 31/12/2020</v>
      </c>
      <c r="P416" s="256" t="str">
        <f>P$15</f>
        <v>Variazione</v>
      </c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</row>
    <row r="417" spans="2:31" s="204" customFormat="1" x14ac:dyDescent="0.25">
      <c r="B417" s="246" t="s">
        <v>940</v>
      </c>
      <c r="C417" s="292" t="s">
        <v>941</v>
      </c>
      <c r="D417" s="247" t="s">
        <v>3434</v>
      </c>
      <c r="E417" s="247"/>
      <c r="F417" s="247"/>
      <c r="G417" s="247"/>
      <c r="H417" s="248"/>
      <c r="I417" s="247"/>
      <c r="J417" s="247"/>
      <c r="K417" s="249"/>
      <c r="L417" s="257" t="s">
        <v>945</v>
      </c>
      <c r="M417" s="251" t="s">
        <v>2962</v>
      </c>
      <c r="N417" s="252">
        <f>SUM(N420:N422)</f>
        <v>1627289</v>
      </c>
      <c r="O417" s="252">
        <f>SUM(O420:O422)</f>
        <v>1212142</v>
      </c>
      <c r="P417" s="253">
        <f>+O417-N417</f>
        <v>-415147</v>
      </c>
      <c r="Q417" s="252">
        <f>SUM(Q420:Q422)</f>
        <v>0</v>
      </c>
      <c r="R417" s="252">
        <f>SUM(R420:R422)</f>
        <v>1627289</v>
      </c>
      <c r="S417" s="252">
        <f>SUM(S420:S422)</f>
        <v>0</v>
      </c>
      <c r="T417" s="252">
        <f>SUM(T420:T422)</f>
        <v>0</v>
      </c>
      <c r="U417" s="252">
        <f>SUM(U420:U422)</f>
        <v>0</v>
      </c>
      <c r="W417" s="252">
        <f t="shared" ref="W417:AE417" si="62">SUM(W420:W422)</f>
        <v>0</v>
      </c>
      <c r="X417" s="252">
        <f t="shared" si="62"/>
        <v>-696000</v>
      </c>
      <c r="Y417" s="252">
        <f t="shared" si="62"/>
        <v>0</v>
      </c>
      <c r="Z417" s="252">
        <f t="shared" si="62"/>
        <v>0</v>
      </c>
      <c r="AA417" s="252">
        <f t="shared" si="62"/>
        <v>0</v>
      </c>
      <c r="AB417" s="252">
        <f t="shared" si="62"/>
        <v>1971631</v>
      </c>
      <c r="AC417" s="252">
        <f t="shared" si="62"/>
        <v>0</v>
      </c>
      <c r="AD417" s="252">
        <f t="shared" si="62"/>
        <v>0</v>
      </c>
      <c r="AE417" s="252">
        <f t="shared" si="62"/>
        <v>1690778</v>
      </c>
    </row>
    <row r="418" spans="2:31" s="204" customFormat="1" x14ac:dyDescent="0.25">
      <c r="B418" s="293"/>
      <c r="C418" s="293"/>
      <c r="D418" s="230"/>
      <c r="E418" s="230"/>
      <c r="F418" s="230"/>
      <c r="G418" s="285"/>
      <c r="H418" s="321"/>
      <c r="I418" s="285"/>
      <c r="J418" s="285"/>
      <c r="K418" s="285"/>
      <c r="L418" s="322"/>
      <c r="M418" s="285"/>
      <c r="N418" s="285"/>
      <c r="O418" s="285"/>
      <c r="P418" s="285"/>
      <c r="Q418" s="285"/>
      <c r="R418" s="285"/>
      <c r="T418" s="285"/>
      <c r="U418" s="285"/>
      <c r="V418" s="285"/>
      <c r="W418" s="285"/>
      <c r="X418" s="285"/>
      <c r="Y418" s="285"/>
      <c r="Z418" s="285"/>
      <c r="AA418" s="285"/>
    </row>
    <row r="419" spans="2:31" s="204" customFormat="1" ht="63.75" x14ac:dyDescent="0.25">
      <c r="B419" s="294" t="s">
        <v>2968</v>
      </c>
      <c r="C419" s="294" t="s">
        <v>2969</v>
      </c>
      <c r="D419" s="206" t="s">
        <v>72</v>
      </c>
      <c r="E419" s="206"/>
      <c r="F419" s="206"/>
      <c r="G419" s="207"/>
      <c r="H419" s="207"/>
      <c r="I419" s="207"/>
      <c r="J419" s="207" t="s">
        <v>2957</v>
      </c>
      <c r="K419" s="206" t="s">
        <v>82</v>
      </c>
      <c r="L419" s="261" t="s">
        <v>2970</v>
      </c>
      <c r="M419" s="260"/>
      <c r="N419" s="256" t="str">
        <f>N$15</f>
        <v>Valore netto al 31/12/2019</v>
      </c>
      <c r="O419" s="256" t="str">
        <f>O$15</f>
        <v>Valore netto al 31/12/2020</v>
      </c>
      <c r="P419" s="256" t="str">
        <f>P$15</f>
        <v>Variazione</v>
      </c>
      <c r="Q419" s="262" t="s">
        <v>2971</v>
      </c>
      <c r="R419" s="262" t="str">
        <f>"Costo storico al 31/12/"&amp;Info!$B$3-1</f>
        <v>Costo storico al 31/12/2019</v>
      </c>
      <c r="S419" s="262" t="s">
        <v>2972</v>
      </c>
      <c r="T419" s="262" t="s">
        <v>3044</v>
      </c>
      <c r="U419" s="262" t="s">
        <v>2974</v>
      </c>
      <c r="W419" s="262" t="s">
        <v>2975</v>
      </c>
      <c r="X419" s="262" t="s">
        <v>2976</v>
      </c>
      <c r="Y419" s="262" t="s">
        <v>2977</v>
      </c>
      <c r="Z419" s="262" t="s">
        <v>2978</v>
      </c>
      <c r="AA419" s="262" t="s">
        <v>2979</v>
      </c>
      <c r="AB419" s="262" t="s">
        <v>3045</v>
      </c>
      <c r="AC419" s="262" t="s">
        <v>2981</v>
      </c>
      <c r="AD419" s="262" t="s">
        <v>3046</v>
      </c>
      <c r="AE419" s="262" t="s">
        <v>3047</v>
      </c>
    </row>
    <row r="420" spans="2:31" s="204" customFormat="1" x14ac:dyDescent="0.25">
      <c r="B420" s="246" t="s">
        <v>946</v>
      </c>
      <c r="C420" s="287" t="s">
        <v>947</v>
      </c>
      <c r="D420" s="274" t="s">
        <v>3435</v>
      </c>
      <c r="E420" s="274"/>
      <c r="F420" s="274"/>
      <c r="G420" s="283"/>
      <c r="H420" s="266"/>
      <c r="I420" s="281"/>
      <c r="J420" s="281"/>
      <c r="K420" s="281"/>
      <c r="L420" s="288" t="s">
        <v>3436</v>
      </c>
      <c r="M420" s="263" t="s">
        <v>2962</v>
      </c>
      <c r="N420" s="269">
        <f>+R420+T420-U420</f>
        <v>1627289</v>
      </c>
      <c r="O420" s="270">
        <f>+N420+S420+X420+ABS(Y420)-ABS(AA420)+ABS(Z420)+ABS(AB420)+ABS(AD420)-ABS(AE420)+AC420+W420+Q420</f>
        <v>1212142</v>
      </c>
      <c r="P420" s="271">
        <f>+O420-N420</f>
        <v>-415147</v>
      </c>
      <c r="Q420" s="272">
        <f>+'NI-San_SP'!Q420+'NI-Soc_SP'!Q420+'NI-Ric_SP'!Q420</f>
        <v>0</v>
      </c>
      <c r="R420" s="272">
        <f>+'NI-San_SP'!R420+'NI-Soc_SP'!R420+'NI-Ric_SP'!R420</f>
        <v>1627289</v>
      </c>
      <c r="S420" s="272">
        <f>+'NI-San_SP'!S420+'NI-Soc_SP'!T420+'NI-Ric_SP'!T420</f>
        <v>0</v>
      </c>
      <c r="T420" s="272">
        <f>+'NI-San_SP'!T420+'NI-Soc_SP'!T420+'NI-Ric_SP'!T420</f>
        <v>0</v>
      </c>
      <c r="U420" s="272">
        <f>+'NI-San_SP'!U420+'NI-Soc_SP'!U420+'NI-Ric_SP'!U420</f>
        <v>0</v>
      </c>
      <c r="W420" s="272">
        <f>+'NI-San_SP'!W420+'NI-Soc_SP'!W420+'NI-Ric_SP'!W420</f>
        <v>0</v>
      </c>
      <c r="X420" s="272">
        <f>+'NI-San_SP'!X420+'NI-Soc_SP'!X420+'NI-Ric_SP'!X420</f>
        <v>-696000</v>
      </c>
      <c r="Y420" s="272">
        <f>+'NI-San_SP'!Y420+'NI-Soc_SP'!Y420+'NI-Ric_SP'!Y420</f>
        <v>0</v>
      </c>
      <c r="Z420" s="272">
        <f>+'NI-San_SP'!Z420+'NI-Soc_SP'!Z420+'NI-Ric_SP'!Z420</f>
        <v>0</v>
      </c>
      <c r="AA420" s="272">
        <f>+'NI-San_SP'!AA420+'NI-Soc_SP'!AA420+'NI-Ric_SP'!AA420</f>
        <v>0</v>
      </c>
      <c r="AB420" s="272">
        <f>+'NI-San_SP'!AB420+'NI-Soc_SP'!AB420+'NI-Ric_SP'!AB420</f>
        <v>1971631</v>
      </c>
      <c r="AC420" s="272">
        <f>+'NI-San_SP'!AC420+'NI-Soc_SP'!AC420+'NI-Ric_SP'!AC420</f>
        <v>0</v>
      </c>
      <c r="AD420" s="272">
        <f>+'NI-San_SP'!AD420+'NI-Soc_SP'!AD420+'NI-Ric_SP'!AD420</f>
        <v>0</v>
      </c>
      <c r="AE420" s="272">
        <f>+'NI-San_SP'!AE420+'NI-Soc_SP'!AE420+'NI-Ric_SP'!AE420</f>
        <v>1690778</v>
      </c>
    </row>
    <row r="421" spans="2:31" s="204" customFormat="1" x14ac:dyDescent="0.25">
      <c r="B421" s="246" t="s">
        <v>949</v>
      </c>
      <c r="C421" s="287" t="s">
        <v>950</v>
      </c>
      <c r="D421" s="274" t="s">
        <v>3437</v>
      </c>
      <c r="E421" s="274"/>
      <c r="F421" s="274"/>
      <c r="G421" s="283"/>
      <c r="H421" s="266"/>
      <c r="I421" s="281"/>
      <c r="J421" s="281"/>
      <c r="K421" s="281"/>
      <c r="L421" s="288" t="s">
        <v>3438</v>
      </c>
      <c r="M421" s="284" t="s">
        <v>2962</v>
      </c>
      <c r="N421" s="269">
        <f>+R421+T421-U421</f>
        <v>0</v>
      </c>
      <c r="O421" s="270">
        <f>+N421+S421+X421+ABS(Y421)-ABS(AA421)+ABS(Z421)+ABS(AB421)+ABS(AD421)-ABS(AE421)+AC421+W421+Q421</f>
        <v>0</v>
      </c>
      <c r="P421" s="271">
        <f>+O421-N421</f>
        <v>0</v>
      </c>
      <c r="Q421" s="272">
        <f>+'NI-San_SP'!Q421+'NI-Soc_SP'!Q421+'NI-Ric_SP'!Q421</f>
        <v>0</v>
      </c>
      <c r="R421" s="272">
        <f>+'NI-San_SP'!R421+'NI-Soc_SP'!R421+'NI-Ric_SP'!R421</f>
        <v>0</v>
      </c>
      <c r="S421" s="272">
        <f>+'NI-San_SP'!S421+'NI-Soc_SP'!T421+'NI-Ric_SP'!T421</f>
        <v>0</v>
      </c>
      <c r="T421" s="272">
        <f>+'NI-San_SP'!T421+'NI-Soc_SP'!T421+'NI-Ric_SP'!T421</f>
        <v>0</v>
      </c>
      <c r="U421" s="272">
        <f>+'NI-San_SP'!U421+'NI-Soc_SP'!U421+'NI-Ric_SP'!U421</f>
        <v>0</v>
      </c>
      <c r="W421" s="272">
        <f>+'NI-San_SP'!W421+'NI-Soc_SP'!W421+'NI-Ric_SP'!W421</f>
        <v>0</v>
      </c>
      <c r="X421" s="272">
        <f>+'NI-San_SP'!X421+'NI-Soc_SP'!X421+'NI-Ric_SP'!X421</f>
        <v>0</v>
      </c>
      <c r="Y421" s="272">
        <f>+'NI-San_SP'!Y421+'NI-Soc_SP'!Y421+'NI-Ric_SP'!Y421</f>
        <v>0</v>
      </c>
      <c r="Z421" s="272">
        <f>+'NI-San_SP'!Z421+'NI-Soc_SP'!Z421+'NI-Ric_SP'!Z421</f>
        <v>0</v>
      </c>
      <c r="AA421" s="272">
        <f>+'NI-San_SP'!AA421+'NI-Soc_SP'!AA421+'NI-Ric_SP'!AA421</f>
        <v>0</v>
      </c>
      <c r="AB421" s="272">
        <f>+'NI-San_SP'!AB421+'NI-Soc_SP'!AB421+'NI-Ric_SP'!AB421</f>
        <v>0</v>
      </c>
      <c r="AC421" s="272">
        <f>+'NI-San_SP'!AC421+'NI-Soc_SP'!AC421+'NI-Ric_SP'!AC421</f>
        <v>0</v>
      </c>
      <c r="AD421" s="272">
        <f>+'NI-San_SP'!AD421+'NI-Soc_SP'!AD421+'NI-Ric_SP'!AD421</f>
        <v>0</v>
      </c>
      <c r="AE421" s="272">
        <f>+'NI-San_SP'!AE421+'NI-Soc_SP'!AE421+'NI-Ric_SP'!AE421</f>
        <v>0</v>
      </c>
    </row>
    <row r="422" spans="2:31" s="204" customFormat="1" x14ac:dyDescent="0.25">
      <c r="B422" s="246" t="s">
        <v>952</v>
      </c>
      <c r="C422" s="287" t="s">
        <v>953</v>
      </c>
      <c r="D422" s="274" t="s">
        <v>3439</v>
      </c>
      <c r="E422" s="274"/>
      <c r="F422" s="274"/>
      <c r="G422" s="283"/>
      <c r="H422" s="266"/>
      <c r="I422" s="281"/>
      <c r="J422" s="281"/>
      <c r="K422" s="281"/>
      <c r="L422" s="295" t="s">
        <v>3440</v>
      </c>
      <c r="M422" s="284" t="s">
        <v>2962</v>
      </c>
      <c r="N422" s="269">
        <f>+R422+T422-U422</f>
        <v>0</v>
      </c>
      <c r="O422" s="270">
        <f>+N422+S422+X422+ABS(Y422)-ABS(AA422)+ABS(Z422)+ABS(AB422)+ABS(AD422)-ABS(AE422)+AC422+W422+Q422</f>
        <v>0</v>
      </c>
      <c r="P422" s="271">
        <f>+O422-N422</f>
        <v>0</v>
      </c>
      <c r="Q422" s="272">
        <f>+'NI-San_SP'!Q422+'NI-Soc_SP'!Q422+'NI-Ric_SP'!Q422</f>
        <v>0</v>
      </c>
      <c r="R422" s="272">
        <f>+'NI-San_SP'!R422+'NI-Soc_SP'!R422+'NI-Ric_SP'!R422</f>
        <v>0</v>
      </c>
      <c r="S422" s="272">
        <f>+'NI-San_SP'!S422+'NI-Soc_SP'!T422+'NI-Ric_SP'!T422</f>
        <v>0</v>
      </c>
      <c r="T422" s="272">
        <f>+'NI-San_SP'!T422+'NI-Soc_SP'!T422+'NI-Ric_SP'!T422</f>
        <v>0</v>
      </c>
      <c r="U422" s="272">
        <f>+'NI-San_SP'!U422+'NI-Soc_SP'!U422+'NI-Ric_SP'!U422</f>
        <v>0</v>
      </c>
      <c r="W422" s="272">
        <f>+'NI-San_SP'!W422+'NI-Soc_SP'!W422+'NI-Ric_SP'!W422</f>
        <v>0</v>
      </c>
      <c r="X422" s="272">
        <f>+'NI-San_SP'!X422+'NI-Soc_SP'!X422+'NI-Ric_SP'!X422</f>
        <v>0</v>
      </c>
      <c r="Y422" s="272">
        <f>+'NI-San_SP'!Y422+'NI-Soc_SP'!Y422+'NI-Ric_SP'!Y422</f>
        <v>0</v>
      </c>
      <c r="Z422" s="272">
        <f>+'NI-San_SP'!Z422+'NI-Soc_SP'!Z422+'NI-Ric_SP'!Z422</f>
        <v>0</v>
      </c>
      <c r="AA422" s="272">
        <f>+'NI-San_SP'!AA422+'NI-Soc_SP'!AA422+'NI-Ric_SP'!AA422</f>
        <v>0</v>
      </c>
      <c r="AB422" s="272">
        <f>+'NI-San_SP'!AB422+'NI-Soc_SP'!AB422+'NI-Ric_SP'!AB422</f>
        <v>0</v>
      </c>
      <c r="AC422" s="272">
        <f>+'NI-San_SP'!AC422+'NI-Soc_SP'!AC422+'NI-Ric_SP'!AC422</f>
        <v>0</v>
      </c>
      <c r="AD422" s="272">
        <f>+'NI-San_SP'!AD422+'NI-Soc_SP'!AD422+'NI-Ric_SP'!AD422</f>
        <v>0</v>
      </c>
      <c r="AE422" s="272">
        <f>+'NI-San_SP'!AE422+'NI-Soc_SP'!AE422+'NI-Ric_SP'!AE422</f>
        <v>0</v>
      </c>
    </row>
    <row r="423" spans="2:31" s="204" customFormat="1" ht="38.25" x14ac:dyDescent="0.25">
      <c r="B423" s="293"/>
      <c r="C423" s="293"/>
      <c r="D423" s="230"/>
      <c r="E423" s="230"/>
      <c r="F423" s="230"/>
      <c r="G423" s="230"/>
      <c r="H423" s="231"/>
      <c r="I423" s="230"/>
      <c r="J423" s="230"/>
      <c r="K423" s="230"/>
      <c r="L423" s="296" t="s">
        <v>3441</v>
      </c>
      <c r="M423" s="216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</row>
    <row r="424" spans="2:31" s="204" customFormat="1" ht="25.5" x14ac:dyDescent="0.25">
      <c r="B424" s="293"/>
      <c r="C424" s="293"/>
      <c r="D424" s="304"/>
      <c r="E424" s="230"/>
      <c r="F424" s="230"/>
      <c r="G424" s="230"/>
      <c r="H424" s="231"/>
      <c r="I424" s="230"/>
      <c r="J424" s="230"/>
      <c r="K424" s="230"/>
      <c r="L424" s="255"/>
      <c r="M424" s="244"/>
      <c r="N424" s="256" t="str">
        <f>N$15</f>
        <v>Valore netto al 31/12/2019</v>
      </c>
      <c r="O424" s="256" t="str">
        <f>O$15</f>
        <v>Valore netto al 31/12/2020</v>
      </c>
      <c r="P424" s="256" t="str">
        <f>P$15</f>
        <v>Variazione</v>
      </c>
      <c r="Q424" s="285"/>
      <c r="R424" s="285"/>
      <c r="S424" s="285"/>
      <c r="T424" s="285"/>
      <c r="U424" s="285"/>
      <c r="V424" s="285"/>
      <c r="W424" s="285"/>
      <c r="X424" s="285"/>
      <c r="Y424" s="285"/>
      <c r="Z424" s="211"/>
      <c r="AA424" s="211"/>
    </row>
    <row r="425" spans="2:31" s="204" customFormat="1" x14ac:dyDescent="0.25">
      <c r="B425" s="246" t="s">
        <v>955</v>
      </c>
      <c r="C425" s="292" t="s">
        <v>956</v>
      </c>
      <c r="D425" s="247" t="s">
        <v>3442</v>
      </c>
      <c r="E425" s="247"/>
      <c r="F425" s="247"/>
      <c r="G425" s="247"/>
      <c r="H425" s="248"/>
      <c r="I425" s="247"/>
      <c r="J425" s="247"/>
      <c r="K425" s="249"/>
      <c r="L425" s="257" t="s">
        <v>957</v>
      </c>
      <c r="M425" s="251" t="s">
        <v>2962</v>
      </c>
      <c r="N425" s="252">
        <f>+N427+N435+N443+N449+N457+N463+N469+N474</f>
        <v>0</v>
      </c>
      <c r="O425" s="252">
        <f>+O427+O435+O443+O449+O457+O463+O469+O474</f>
        <v>0</v>
      </c>
      <c r="P425" s="253">
        <f>+O425-N425</f>
        <v>0</v>
      </c>
      <c r="Q425" s="211"/>
      <c r="R425" s="285"/>
      <c r="S425" s="285"/>
      <c r="T425" s="285"/>
      <c r="U425" s="285"/>
      <c r="V425" s="285"/>
      <c r="W425" s="211"/>
      <c r="X425" s="252">
        <f>+X427+X435+X443+X449+X457+X463+X469+X474</f>
        <v>0</v>
      </c>
      <c r="Y425" s="285"/>
      <c r="Z425" s="211"/>
      <c r="AA425" s="211"/>
    </row>
    <row r="426" spans="2:31" s="204" customFormat="1" x14ac:dyDescent="0.25">
      <c r="B426" s="293"/>
      <c r="C426" s="293"/>
      <c r="D426" s="305"/>
      <c r="E426" s="230"/>
      <c r="F426" s="230"/>
      <c r="G426" s="230"/>
      <c r="H426" s="231"/>
      <c r="I426" s="230"/>
      <c r="J426" s="230"/>
      <c r="K426" s="230"/>
      <c r="L426" s="306"/>
      <c r="M426" s="211"/>
      <c r="N426" s="254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2:31" s="204" customFormat="1" x14ac:dyDescent="0.25">
      <c r="B427" s="246" t="s">
        <v>958</v>
      </c>
      <c r="C427" s="292" t="s">
        <v>959</v>
      </c>
      <c r="D427" s="247" t="s">
        <v>3443</v>
      </c>
      <c r="E427" s="247"/>
      <c r="F427" s="247"/>
      <c r="G427" s="247"/>
      <c r="H427" s="248"/>
      <c r="I427" s="247"/>
      <c r="J427" s="247"/>
      <c r="K427" s="249"/>
      <c r="L427" s="257" t="s">
        <v>962</v>
      </c>
      <c r="M427" s="251" t="s">
        <v>2962</v>
      </c>
      <c r="N427" s="252">
        <f>SUM(N430:N433)</f>
        <v>0</v>
      </c>
      <c r="O427" s="252">
        <f>SUM(O430:O433)</f>
        <v>0</v>
      </c>
      <c r="P427" s="259">
        <f>+O427-N427</f>
        <v>0</v>
      </c>
      <c r="Q427" s="252">
        <f>SUM(Q430:Q433)</f>
        <v>0</v>
      </c>
      <c r="R427" s="252">
        <f>SUM(R430:R433)</f>
        <v>0</v>
      </c>
      <c r="S427" s="252">
        <f>SUM(S430:S433)</f>
        <v>0</v>
      </c>
      <c r="V427" s="211"/>
      <c r="W427" s="252">
        <f>SUM(W430:W433)</f>
        <v>0</v>
      </c>
      <c r="X427" s="252">
        <f>SUM(X430:X433)</f>
        <v>0</v>
      </c>
      <c r="Y427" s="252">
        <f>SUM(Y430:Y433)</f>
        <v>0</v>
      </c>
      <c r="Z427" s="252">
        <f>SUM(Z430:Z433)</f>
        <v>0</v>
      </c>
      <c r="AA427" s="211"/>
    </row>
    <row r="428" spans="2:31" s="204" customFormat="1" x14ac:dyDescent="0.25">
      <c r="B428" s="293"/>
      <c r="C428" s="293"/>
      <c r="D428" s="230"/>
      <c r="E428" s="230"/>
      <c r="F428" s="230"/>
      <c r="G428" s="230"/>
      <c r="H428" s="231"/>
      <c r="I428" s="230"/>
      <c r="J428" s="230"/>
      <c r="K428" s="230"/>
      <c r="L428" s="232"/>
      <c r="M428" s="211"/>
      <c r="N428" s="211"/>
      <c r="O428" s="211"/>
      <c r="P428" s="211"/>
      <c r="Q428" s="211"/>
      <c r="V428" s="211"/>
      <c r="W428" s="211"/>
      <c r="X428" s="211"/>
      <c r="Y428" s="211"/>
      <c r="Z428" s="211"/>
      <c r="AA428" s="211"/>
    </row>
    <row r="429" spans="2:31" s="204" customFormat="1" ht="63.75" x14ac:dyDescent="0.25">
      <c r="B429" s="294" t="s">
        <v>2968</v>
      </c>
      <c r="C429" s="294" t="s">
        <v>2969</v>
      </c>
      <c r="D429" s="206" t="s">
        <v>72</v>
      </c>
      <c r="E429" s="206"/>
      <c r="F429" s="206"/>
      <c r="G429" s="207"/>
      <c r="H429" s="207"/>
      <c r="I429" s="207"/>
      <c r="J429" s="207" t="s">
        <v>2957</v>
      </c>
      <c r="K429" s="206" t="s">
        <v>82</v>
      </c>
      <c r="L429" s="261" t="s">
        <v>2970</v>
      </c>
      <c r="M429" s="260"/>
      <c r="N429" s="256" t="str">
        <f>N$15</f>
        <v>Valore netto al 31/12/2019</v>
      </c>
      <c r="O429" s="256" t="str">
        <f>O$15</f>
        <v>Valore netto al 31/12/2020</v>
      </c>
      <c r="P429" s="256" t="str">
        <f>P$15</f>
        <v>Variazione</v>
      </c>
      <c r="Q429" s="262" t="s">
        <v>2971</v>
      </c>
      <c r="R429" s="262" t="str">
        <f>"Fondo svalutazione 31/12/"&amp;Info!$B$3-1</f>
        <v>Fondo svalutazione 31/12/2019</v>
      </c>
      <c r="S429" s="262" t="s">
        <v>2972</v>
      </c>
      <c r="V429" s="211"/>
      <c r="W429" s="262" t="s">
        <v>2975</v>
      </c>
      <c r="X429" s="262" t="s">
        <v>2976</v>
      </c>
      <c r="Y429" s="262" t="s">
        <v>3124</v>
      </c>
      <c r="Z429" s="262" t="s">
        <v>3125</v>
      </c>
      <c r="AA429" s="211"/>
      <c r="AB429" s="211"/>
      <c r="AC429" s="211"/>
      <c r="AD429" s="211"/>
      <c r="AE429" s="211"/>
    </row>
    <row r="430" spans="2:31" s="204" customFormat="1" x14ac:dyDescent="0.25">
      <c r="B430" s="246" t="s">
        <v>963</v>
      </c>
      <c r="C430" s="273" t="s">
        <v>964</v>
      </c>
      <c r="D430" s="274" t="s">
        <v>3444</v>
      </c>
      <c r="E430" s="264"/>
      <c r="F430" s="264"/>
      <c r="G430" s="265"/>
      <c r="H430" s="266"/>
      <c r="I430" s="267"/>
      <c r="J430" s="267"/>
      <c r="K430" s="267"/>
      <c r="L430" s="268" t="s">
        <v>3445</v>
      </c>
      <c r="M430" s="263" t="s">
        <v>2962</v>
      </c>
      <c r="N430" s="269">
        <f>+R430</f>
        <v>0</v>
      </c>
      <c r="O430" s="270">
        <f>+R430+S430+X430-ABS(Y430)+ABS(Z430)+W430+Q430</f>
        <v>0</v>
      </c>
      <c r="P430" s="271">
        <f>+O430-N430</f>
        <v>0</v>
      </c>
      <c r="Q430" s="272">
        <f>+'NI-San_SP'!Q430+'NI-Soc_SP'!Q430+'NI-Ric_SP'!Q430</f>
        <v>0</v>
      </c>
      <c r="R430" s="272">
        <f>+'NI-San_SP'!R430+'NI-Soc_SP'!R430+'NI-Ric_SP'!R430</f>
        <v>0</v>
      </c>
      <c r="S430" s="272">
        <f>+'NI-San_SP'!S430+'NI-Soc_SP'!S430+'NI-Ric_SP'!S430</f>
        <v>0</v>
      </c>
      <c r="V430" s="211"/>
      <c r="W430" s="272">
        <f>+'NI-San_SP'!W430+'NI-Soc_SP'!W430+'NI-Ric_SP'!W430</f>
        <v>0</v>
      </c>
      <c r="X430" s="272">
        <f>+'NI-San_SP'!X430+'NI-Soc_SP'!X430+'NI-Ric_SP'!X430</f>
        <v>0</v>
      </c>
      <c r="Y430" s="272">
        <f>+'NI-San_SP'!Y430+'NI-Soc_SP'!Y430+'NI-Ric_SP'!Y430</f>
        <v>0</v>
      </c>
      <c r="Z430" s="272">
        <f>+'NI-San_SP'!Z430+'NI-Soc_SP'!Z430+'NI-Ric_SP'!Z430</f>
        <v>0</v>
      </c>
      <c r="AA430" s="211"/>
      <c r="AB430" s="211"/>
      <c r="AC430" s="211"/>
      <c r="AD430" s="211"/>
      <c r="AE430" s="211"/>
    </row>
    <row r="431" spans="2:31" s="204" customFormat="1" x14ac:dyDescent="0.25">
      <c r="B431" s="246" t="s">
        <v>966</v>
      </c>
      <c r="C431" s="273" t="s">
        <v>967</v>
      </c>
      <c r="D431" s="274" t="s">
        <v>3446</v>
      </c>
      <c r="E431" s="264"/>
      <c r="F431" s="264"/>
      <c r="G431" s="265"/>
      <c r="H431" s="266"/>
      <c r="I431" s="267"/>
      <c r="J431" s="267"/>
      <c r="K431" s="267"/>
      <c r="L431" s="295" t="s">
        <v>3447</v>
      </c>
      <c r="M431" s="263" t="s">
        <v>2962</v>
      </c>
      <c r="N431" s="269">
        <f>+R431</f>
        <v>0</v>
      </c>
      <c r="O431" s="270">
        <f>+R431+S431+X431-ABS(Y431)+ABS(Z431)+W431+Q431</f>
        <v>0</v>
      </c>
      <c r="P431" s="271">
        <f>+O431-N431</f>
        <v>0</v>
      </c>
      <c r="Q431" s="272">
        <f>+'NI-San_SP'!Q431+'NI-Soc_SP'!Q431+'NI-Ric_SP'!Q431</f>
        <v>0</v>
      </c>
      <c r="R431" s="272">
        <f>+'NI-San_SP'!R431+'NI-Soc_SP'!R431+'NI-Ric_SP'!R431</f>
        <v>0</v>
      </c>
      <c r="S431" s="272">
        <f>+'NI-San_SP'!S431+'NI-Soc_SP'!S431+'NI-Ric_SP'!S431</f>
        <v>0</v>
      </c>
      <c r="V431" s="211"/>
      <c r="W431" s="272">
        <f>+'NI-San_SP'!W431+'NI-Soc_SP'!W431+'NI-Ric_SP'!W431</f>
        <v>0</v>
      </c>
      <c r="X431" s="272">
        <f>+'NI-San_SP'!X431+'NI-Soc_SP'!X431+'NI-Ric_SP'!X431</f>
        <v>0</v>
      </c>
      <c r="Y431" s="272">
        <f>+'NI-San_SP'!Y431+'NI-Soc_SP'!Y431+'NI-Ric_SP'!Y431</f>
        <v>0</v>
      </c>
      <c r="Z431" s="272">
        <f>+'NI-San_SP'!Z431+'NI-Soc_SP'!Z431+'NI-Ric_SP'!Z431</f>
        <v>0</v>
      </c>
      <c r="AA431" s="211"/>
      <c r="AB431" s="211"/>
      <c r="AC431" s="211"/>
      <c r="AD431" s="211"/>
      <c r="AE431" s="211"/>
    </row>
    <row r="432" spans="2:31" s="204" customFormat="1" x14ac:dyDescent="0.25">
      <c r="B432" s="246" t="s">
        <v>969</v>
      </c>
      <c r="C432" s="273" t="s">
        <v>970</v>
      </c>
      <c r="D432" s="325" t="s">
        <v>3448</v>
      </c>
      <c r="E432" s="264"/>
      <c r="F432" s="264"/>
      <c r="G432" s="265"/>
      <c r="H432" s="266"/>
      <c r="I432" s="267"/>
      <c r="J432" s="267"/>
      <c r="K432" s="267"/>
      <c r="L432" s="268" t="s">
        <v>3449</v>
      </c>
      <c r="M432" s="263" t="s">
        <v>2962</v>
      </c>
      <c r="N432" s="269">
        <f>+R432</f>
        <v>0</v>
      </c>
      <c r="O432" s="270">
        <f>+R432+S432+X432-ABS(Y432)+ABS(Z432)+W432+Q432</f>
        <v>0</v>
      </c>
      <c r="P432" s="271">
        <f>+O432-N432</f>
        <v>0</v>
      </c>
      <c r="Q432" s="272">
        <f>+'NI-San_SP'!Q432+'NI-Soc_SP'!Q432+'NI-Ric_SP'!Q432</f>
        <v>0</v>
      </c>
      <c r="R432" s="272">
        <f>+'NI-San_SP'!R432+'NI-Soc_SP'!R432+'NI-Ric_SP'!R432</f>
        <v>0</v>
      </c>
      <c r="S432" s="272">
        <f>+'NI-San_SP'!S432+'NI-Soc_SP'!S432+'NI-Ric_SP'!S432</f>
        <v>0</v>
      </c>
      <c r="V432" s="211"/>
      <c r="W432" s="272">
        <f>+'NI-San_SP'!W432+'NI-Soc_SP'!W432+'NI-Ric_SP'!W432</f>
        <v>0</v>
      </c>
      <c r="X432" s="272">
        <f>+'NI-San_SP'!X432+'NI-Soc_SP'!X432+'NI-Ric_SP'!X432</f>
        <v>0</v>
      </c>
      <c r="Y432" s="272">
        <f>+'NI-San_SP'!Y432+'NI-Soc_SP'!Y432+'NI-Ric_SP'!Y432</f>
        <v>0</v>
      </c>
      <c r="Z432" s="272">
        <f>+'NI-San_SP'!Z432+'NI-Soc_SP'!Z432+'NI-Ric_SP'!Z432</f>
        <v>0</v>
      </c>
      <c r="AA432" s="211"/>
      <c r="AB432" s="211"/>
      <c r="AC432" s="211"/>
      <c r="AD432" s="211"/>
      <c r="AE432" s="211"/>
    </row>
    <row r="433" spans="2:31" s="204" customFormat="1" x14ac:dyDescent="0.25">
      <c r="B433" s="246" t="s">
        <v>972</v>
      </c>
      <c r="C433" s="273" t="s">
        <v>973</v>
      </c>
      <c r="D433" s="325" t="s">
        <v>3450</v>
      </c>
      <c r="E433" s="274"/>
      <c r="F433" s="274"/>
      <c r="G433" s="283"/>
      <c r="H433" s="326"/>
      <c r="I433" s="281"/>
      <c r="J433" s="281"/>
      <c r="K433" s="281"/>
      <c r="L433" s="295" t="s">
        <v>3451</v>
      </c>
      <c r="M433" s="263" t="s">
        <v>2962</v>
      </c>
      <c r="N433" s="269">
        <f>+R433</f>
        <v>0</v>
      </c>
      <c r="O433" s="270">
        <f>+R433+S433+X433-ABS(Y433)+ABS(Z433)+W433+Q433</f>
        <v>0</v>
      </c>
      <c r="P433" s="271">
        <f>+O433-N433</f>
        <v>0</v>
      </c>
      <c r="Q433" s="272">
        <f>+'NI-San_SP'!Q433+'NI-Soc_SP'!Q433+'NI-Ric_SP'!Q433</f>
        <v>0</v>
      </c>
      <c r="R433" s="272">
        <f>+'NI-San_SP'!R433+'NI-Soc_SP'!R433+'NI-Ric_SP'!R433</f>
        <v>0</v>
      </c>
      <c r="S433" s="272">
        <f>+'NI-San_SP'!S433+'NI-Soc_SP'!S433+'NI-Ric_SP'!S433</f>
        <v>0</v>
      </c>
      <c r="V433" s="211"/>
      <c r="W433" s="272">
        <f>+'NI-San_SP'!W433+'NI-Soc_SP'!W433+'NI-Ric_SP'!W433</f>
        <v>0</v>
      </c>
      <c r="X433" s="272">
        <f>+'NI-San_SP'!X433+'NI-Soc_SP'!X433+'NI-Ric_SP'!X433</f>
        <v>0</v>
      </c>
      <c r="Y433" s="272">
        <f>+'NI-San_SP'!Y433+'NI-Soc_SP'!Y433+'NI-Ric_SP'!Y433</f>
        <v>0</v>
      </c>
      <c r="Z433" s="272">
        <f>+'NI-San_SP'!Z433+'NI-Soc_SP'!Z433+'NI-Ric_SP'!Z433</f>
        <v>0</v>
      </c>
      <c r="AA433" s="211"/>
      <c r="AB433" s="211"/>
      <c r="AC433" s="211"/>
      <c r="AD433" s="211"/>
      <c r="AE433" s="211"/>
    </row>
    <row r="434" spans="2:31" s="204" customFormat="1" x14ac:dyDescent="0.25">
      <c r="B434" s="293"/>
      <c r="C434" s="293"/>
      <c r="D434" s="300"/>
      <c r="E434" s="226"/>
      <c r="F434" s="226"/>
      <c r="G434" s="226"/>
      <c r="H434" s="227"/>
      <c r="I434" s="226"/>
      <c r="J434" s="226"/>
      <c r="K434" s="226"/>
      <c r="L434" s="312"/>
      <c r="M434" s="211"/>
      <c r="N434" s="254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</row>
    <row r="435" spans="2:31" s="204" customFormat="1" x14ac:dyDescent="0.25">
      <c r="B435" s="246" t="s">
        <v>975</v>
      </c>
      <c r="C435" s="292" t="s">
        <v>976</v>
      </c>
      <c r="D435" s="247" t="s">
        <v>3452</v>
      </c>
      <c r="E435" s="247"/>
      <c r="F435" s="247"/>
      <c r="G435" s="247"/>
      <c r="H435" s="248"/>
      <c r="I435" s="247"/>
      <c r="J435" s="247"/>
      <c r="K435" s="249"/>
      <c r="L435" s="257" t="s">
        <v>979</v>
      </c>
      <c r="M435" s="251" t="s">
        <v>2962</v>
      </c>
      <c r="N435" s="252">
        <f>SUM(N438:N441)</f>
        <v>0</v>
      </c>
      <c r="O435" s="252">
        <f>SUM(O438:O441)</f>
        <v>0</v>
      </c>
      <c r="P435" s="259">
        <f>+O435-N435</f>
        <v>0</v>
      </c>
      <c r="Q435" s="252">
        <f>SUM(Q438:Q441)</f>
        <v>0</v>
      </c>
      <c r="R435" s="252">
        <f>SUM(R438:R441)</f>
        <v>0</v>
      </c>
      <c r="S435" s="252">
        <f>SUM(S438:S441)</f>
        <v>0</v>
      </c>
      <c r="V435" s="211"/>
      <c r="W435" s="252">
        <f>SUM(W438:W441)</f>
        <v>0</v>
      </c>
      <c r="X435" s="252">
        <f>SUM(X438:X441)</f>
        <v>0</v>
      </c>
      <c r="Y435" s="252">
        <f>SUM(Y438:Y441)</f>
        <v>0</v>
      </c>
      <c r="Z435" s="252">
        <f>SUM(Z438:Z441)</f>
        <v>0</v>
      </c>
      <c r="AA435" s="211"/>
      <c r="AB435" s="211"/>
      <c r="AC435" s="211"/>
      <c r="AD435" s="211"/>
      <c r="AE435" s="211"/>
    </row>
    <row r="436" spans="2:31" s="204" customFormat="1" x14ac:dyDescent="0.25">
      <c r="B436" s="293"/>
      <c r="C436" s="293"/>
      <c r="D436" s="230"/>
      <c r="E436" s="230"/>
      <c r="F436" s="230"/>
      <c r="G436" s="230"/>
      <c r="H436" s="231"/>
      <c r="I436" s="230"/>
      <c r="J436" s="230"/>
      <c r="K436" s="230"/>
      <c r="L436" s="232"/>
      <c r="M436" s="211"/>
      <c r="N436" s="211"/>
      <c r="O436" s="211"/>
      <c r="P436" s="211"/>
      <c r="Q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</row>
    <row r="437" spans="2:31" s="204" customFormat="1" ht="63.75" x14ac:dyDescent="0.25">
      <c r="B437" s="294" t="s">
        <v>2968</v>
      </c>
      <c r="C437" s="294" t="s">
        <v>2969</v>
      </c>
      <c r="D437" s="206" t="s">
        <v>72</v>
      </c>
      <c r="E437" s="206"/>
      <c r="F437" s="206"/>
      <c r="G437" s="207"/>
      <c r="H437" s="207"/>
      <c r="I437" s="207"/>
      <c r="J437" s="207" t="s">
        <v>2957</v>
      </c>
      <c r="K437" s="206" t="s">
        <v>82</v>
      </c>
      <c r="L437" s="261" t="s">
        <v>2970</v>
      </c>
      <c r="M437" s="260"/>
      <c r="N437" s="256" t="str">
        <f>N$15</f>
        <v>Valore netto al 31/12/2019</v>
      </c>
      <c r="O437" s="256" t="str">
        <f>O$15</f>
        <v>Valore netto al 31/12/2020</v>
      </c>
      <c r="P437" s="256" t="str">
        <f>P$15</f>
        <v>Variazione</v>
      </c>
      <c r="Q437" s="262" t="s">
        <v>2971</v>
      </c>
      <c r="R437" s="262" t="str">
        <f>"Fondo svalutazione 31/12/"&amp;Info!$B$3-1</f>
        <v>Fondo svalutazione 31/12/2019</v>
      </c>
      <c r="S437" s="262" t="s">
        <v>2972</v>
      </c>
      <c r="V437" s="211"/>
      <c r="W437" s="262" t="s">
        <v>2975</v>
      </c>
      <c r="X437" s="262" t="s">
        <v>2976</v>
      </c>
      <c r="Y437" s="262" t="s">
        <v>3124</v>
      </c>
      <c r="Z437" s="262" t="s">
        <v>3125</v>
      </c>
      <c r="AA437" s="211"/>
      <c r="AB437" s="211"/>
      <c r="AC437" s="211"/>
      <c r="AD437" s="211"/>
      <c r="AE437" s="211"/>
    </row>
    <row r="438" spans="2:31" s="204" customFormat="1" x14ac:dyDescent="0.25">
      <c r="B438" s="246" t="s">
        <v>980</v>
      </c>
      <c r="C438" s="273" t="s">
        <v>981</v>
      </c>
      <c r="D438" s="274" t="s">
        <v>3453</v>
      </c>
      <c r="E438" s="264"/>
      <c r="F438" s="264"/>
      <c r="G438" s="265"/>
      <c r="H438" s="266"/>
      <c r="I438" s="267"/>
      <c r="J438" s="267"/>
      <c r="K438" s="267"/>
      <c r="L438" s="268" t="s">
        <v>3454</v>
      </c>
      <c r="M438" s="263" t="s">
        <v>2962</v>
      </c>
      <c r="N438" s="269">
        <f>+R438</f>
        <v>0</v>
      </c>
      <c r="O438" s="270">
        <f>+R438+S438+X438-ABS(Y438)+ABS(Z438)+W438+Q438</f>
        <v>0</v>
      </c>
      <c r="P438" s="271">
        <f>+O438-N438</f>
        <v>0</v>
      </c>
      <c r="Q438" s="272">
        <f>+'NI-San_SP'!Q438+'NI-Soc_SP'!Q438+'NI-Ric_SP'!Q438</f>
        <v>0</v>
      </c>
      <c r="R438" s="272">
        <f>+'NI-San_SP'!R438+'NI-Soc_SP'!R438+'NI-Ric_SP'!R438</f>
        <v>0</v>
      </c>
      <c r="S438" s="272">
        <f>+'NI-San_SP'!S438+'NI-Soc_SP'!S438+'NI-Ric_SP'!S438</f>
        <v>0</v>
      </c>
      <c r="V438" s="211"/>
      <c r="W438" s="272">
        <f>+'NI-San_SP'!W438+'NI-Soc_SP'!W438+'NI-Ric_SP'!W438</f>
        <v>0</v>
      </c>
      <c r="X438" s="272">
        <f>+'NI-San_SP'!X438+'NI-Soc_SP'!X438+'NI-Ric_SP'!X438</f>
        <v>0</v>
      </c>
      <c r="Y438" s="272">
        <f>+'NI-San_SP'!Y438+'NI-Soc_SP'!Y438+'NI-Ric_SP'!Y438</f>
        <v>0</v>
      </c>
      <c r="Z438" s="272">
        <f>+'NI-San_SP'!Z438+'NI-Soc_SP'!Z438+'NI-Ric_SP'!Z438</f>
        <v>0</v>
      </c>
      <c r="AA438" s="211"/>
      <c r="AB438" s="211"/>
      <c r="AC438" s="211"/>
      <c r="AD438" s="211"/>
      <c r="AE438" s="211"/>
    </row>
    <row r="439" spans="2:31" s="204" customFormat="1" x14ac:dyDescent="0.25">
      <c r="B439" s="246" t="s">
        <v>983</v>
      </c>
      <c r="C439" s="273" t="s">
        <v>984</v>
      </c>
      <c r="D439" s="274" t="s">
        <v>3455</v>
      </c>
      <c r="E439" s="264"/>
      <c r="F439" s="264"/>
      <c r="G439" s="265"/>
      <c r="H439" s="266"/>
      <c r="I439" s="267"/>
      <c r="J439" s="267"/>
      <c r="K439" s="267"/>
      <c r="L439" s="268" t="s">
        <v>3456</v>
      </c>
      <c r="M439" s="263" t="s">
        <v>2962</v>
      </c>
      <c r="N439" s="269">
        <f>+R439</f>
        <v>0</v>
      </c>
      <c r="O439" s="270">
        <f>+R439+S439+X439-ABS(Y439)+ABS(Z439)+W439+Q439</f>
        <v>0</v>
      </c>
      <c r="P439" s="271">
        <f>+O439-N439</f>
        <v>0</v>
      </c>
      <c r="Q439" s="272">
        <f>+'NI-San_SP'!Q439+'NI-Soc_SP'!Q439+'NI-Ric_SP'!Q439</f>
        <v>0</v>
      </c>
      <c r="R439" s="272">
        <f>+'NI-San_SP'!R439+'NI-Soc_SP'!R439+'NI-Ric_SP'!R439</f>
        <v>0</v>
      </c>
      <c r="S439" s="272">
        <f>+'NI-San_SP'!S439+'NI-Soc_SP'!S439+'NI-Ric_SP'!S439</f>
        <v>0</v>
      </c>
      <c r="V439" s="211"/>
      <c r="W439" s="272">
        <f>+'NI-San_SP'!W439+'NI-Soc_SP'!W439+'NI-Ric_SP'!W439</f>
        <v>0</v>
      </c>
      <c r="X439" s="272">
        <f>+'NI-San_SP'!X439+'NI-Soc_SP'!X439+'NI-Ric_SP'!X439</f>
        <v>0</v>
      </c>
      <c r="Y439" s="272">
        <f>+'NI-San_SP'!Y439+'NI-Soc_SP'!Y439+'NI-Ric_SP'!Y439</f>
        <v>0</v>
      </c>
      <c r="Z439" s="272">
        <f>+'NI-San_SP'!Z439+'NI-Soc_SP'!Z439+'NI-Ric_SP'!Z439</f>
        <v>0</v>
      </c>
      <c r="AA439" s="211"/>
      <c r="AB439" s="211"/>
      <c r="AC439" s="211"/>
      <c r="AD439" s="211"/>
      <c r="AE439" s="211"/>
    </row>
    <row r="440" spans="2:31" s="204" customFormat="1" x14ac:dyDescent="0.25">
      <c r="B440" s="246" t="s">
        <v>986</v>
      </c>
      <c r="C440" s="273" t="s">
        <v>987</v>
      </c>
      <c r="D440" s="325" t="s">
        <v>3457</v>
      </c>
      <c r="E440" s="264"/>
      <c r="F440" s="264"/>
      <c r="G440" s="265"/>
      <c r="H440" s="266"/>
      <c r="I440" s="267"/>
      <c r="J440" s="267"/>
      <c r="K440" s="267"/>
      <c r="L440" s="268" t="s">
        <v>3458</v>
      </c>
      <c r="M440" s="263" t="s">
        <v>2962</v>
      </c>
      <c r="N440" s="269">
        <f>+R440</f>
        <v>0</v>
      </c>
      <c r="O440" s="270">
        <f>+R440+S440+X440-ABS(Y440)+ABS(Z440)+W440+Q440</f>
        <v>0</v>
      </c>
      <c r="P440" s="271">
        <f>+O440-N440</f>
        <v>0</v>
      </c>
      <c r="Q440" s="272">
        <f>+'NI-San_SP'!Q440+'NI-Soc_SP'!Q440+'NI-Ric_SP'!Q440</f>
        <v>0</v>
      </c>
      <c r="R440" s="272">
        <f>+'NI-San_SP'!R440+'NI-Soc_SP'!R440+'NI-Ric_SP'!R440</f>
        <v>0</v>
      </c>
      <c r="S440" s="272">
        <f>+'NI-San_SP'!S440+'NI-Soc_SP'!S440+'NI-Ric_SP'!S440</f>
        <v>0</v>
      </c>
      <c r="V440" s="211"/>
      <c r="W440" s="272">
        <f>+'NI-San_SP'!W440+'NI-Soc_SP'!W440+'NI-Ric_SP'!W440</f>
        <v>0</v>
      </c>
      <c r="X440" s="272">
        <f>+'NI-San_SP'!X440+'NI-Soc_SP'!X440+'NI-Ric_SP'!X440</f>
        <v>0</v>
      </c>
      <c r="Y440" s="272">
        <f>+'NI-San_SP'!Y440+'NI-Soc_SP'!Y440+'NI-Ric_SP'!Y440</f>
        <v>0</v>
      </c>
      <c r="Z440" s="272">
        <f>+'NI-San_SP'!Z440+'NI-Soc_SP'!Z440+'NI-Ric_SP'!Z440</f>
        <v>0</v>
      </c>
      <c r="AA440" s="211"/>
      <c r="AB440" s="211"/>
      <c r="AC440" s="211"/>
      <c r="AD440" s="211"/>
      <c r="AE440" s="211"/>
    </row>
    <row r="441" spans="2:31" s="204" customFormat="1" x14ac:dyDescent="0.25">
      <c r="B441" s="246" t="s">
        <v>989</v>
      </c>
      <c r="C441" s="273" t="s">
        <v>990</v>
      </c>
      <c r="D441" s="325" t="s">
        <v>3459</v>
      </c>
      <c r="E441" s="274"/>
      <c r="F441" s="274"/>
      <c r="G441" s="283"/>
      <c r="H441" s="326"/>
      <c r="I441" s="281"/>
      <c r="J441" s="281"/>
      <c r="K441" s="281"/>
      <c r="L441" s="295" t="s">
        <v>3460</v>
      </c>
      <c r="M441" s="263" t="s">
        <v>2962</v>
      </c>
      <c r="N441" s="269">
        <f>+R441</f>
        <v>0</v>
      </c>
      <c r="O441" s="270">
        <f>+R441+S441+X441-ABS(Y441)+ABS(Z441)+W441+Q441</f>
        <v>0</v>
      </c>
      <c r="P441" s="271">
        <f>+O441-N441</f>
        <v>0</v>
      </c>
      <c r="Q441" s="272">
        <f>+'NI-San_SP'!Q441+'NI-Soc_SP'!Q441+'NI-Ric_SP'!Q441</f>
        <v>0</v>
      </c>
      <c r="R441" s="272">
        <f>+'NI-San_SP'!R441+'NI-Soc_SP'!R441+'NI-Ric_SP'!R441</f>
        <v>0</v>
      </c>
      <c r="S441" s="272">
        <f>+'NI-San_SP'!S441+'NI-Soc_SP'!S441+'NI-Ric_SP'!S441</f>
        <v>0</v>
      </c>
      <c r="V441" s="211"/>
      <c r="W441" s="272">
        <f>+'NI-San_SP'!W441+'NI-Soc_SP'!W441+'NI-Ric_SP'!W441</f>
        <v>0</v>
      </c>
      <c r="X441" s="272">
        <f>+'NI-San_SP'!X441+'NI-Soc_SP'!X441+'NI-Ric_SP'!X441</f>
        <v>0</v>
      </c>
      <c r="Y441" s="272">
        <f>+'NI-San_SP'!Y441+'NI-Soc_SP'!Y441+'NI-Ric_SP'!Y441</f>
        <v>0</v>
      </c>
      <c r="Z441" s="272">
        <f>+'NI-San_SP'!Z441+'NI-Soc_SP'!Z441+'NI-Ric_SP'!Z441</f>
        <v>0</v>
      </c>
      <c r="AA441" s="211"/>
      <c r="AB441" s="211"/>
      <c r="AC441" s="211"/>
      <c r="AD441" s="211"/>
      <c r="AE441" s="211"/>
    </row>
    <row r="442" spans="2:31" s="204" customFormat="1" x14ac:dyDescent="0.25">
      <c r="B442" s="293"/>
      <c r="C442" s="293"/>
      <c r="D442" s="300"/>
      <c r="E442" s="226"/>
      <c r="F442" s="226"/>
      <c r="G442" s="226"/>
      <c r="H442" s="227"/>
      <c r="I442" s="226"/>
      <c r="J442" s="226"/>
      <c r="K442" s="226"/>
      <c r="L442" s="312"/>
      <c r="M442" s="211"/>
      <c r="N442" s="254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</row>
    <row r="443" spans="2:31" s="204" customFormat="1" x14ac:dyDescent="0.25">
      <c r="B443" s="246" t="s">
        <v>992</v>
      </c>
      <c r="C443" s="292" t="s">
        <v>993</v>
      </c>
      <c r="D443" s="247" t="s">
        <v>3461</v>
      </c>
      <c r="E443" s="247"/>
      <c r="F443" s="247"/>
      <c r="G443" s="247"/>
      <c r="H443" s="248"/>
      <c r="I443" s="247"/>
      <c r="J443" s="247"/>
      <c r="K443" s="249"/>
      <c r="L443" s="257" t="s">
        <v>996</v>
      </c>
      <c r="M443" s="251" t="s">
        <v>2962</v>
      </c>
      <c r="N443" s="252">
        <f>SUM(N446:N447)</f>
        <v>0</v>
      </c>
      <c r="O443" s="252">
        <f>SUM(O446:O447)</f>
        <v>0</v>
      </c>
      <c r="P443" s="259">
        <f>+O443-N443</f>
        <v>0</v>
      </c>
      <c r="Q443" s="252">
        <f>SUM(Q446:Q447)</f>
        <v>0</v>
      </c>
      <c r="R443" s="252">
        <f>SUM(R446:R447)</f>
        <v>0</v>
      </c>
      <c r="S443" s="252">
        <f>SUM(S446:S447)</f>
        <v>0</v>
      </c>
      <c r="V443" s="211"/>
      <c r="W443" s="252">
        <f>SUM(W446:W447)</f>
        <v>0</v>
      </c>
      <c r="X443" s="252">
        <f>SUM(X446:X447)</f>
        <v>0</v>
      </c>
      <c r="Y443" s="252">
        <f>SUM(Y446:Y447)</f>
        <v>0</v>
      </c>
      <c r="Z443" s="252">
        <f>SUM(Z446:Z447)</f>
        <v>0</v>
      </c>
      <c r="AA443" s="211"/>
    </row>
    <row r="444" spans="2:31" s="204" customFormat="1" x14ac:dyDescent="0.25">
      <c r="B444" s="293"/>
      <c r="C444" s="293"/>
      <c r="D444" s="230"/>
      <c r="E444" s="230"/>
      <c r="F444" s="230"/>
      <c r="G444" s="230"/>
      <c r="H444" s="231"/>
      <c r="I444" s="230"/>
      <c r="J444" s="230"/>
      <c r="K444" s="230"/>
      <c r="L444" s="232"/>
      <c r="M444" s="211"/>
      <c r="N444" s="211"/>
      <c r="O444" s="211"/>
      <c r="P444" s="211"/>
      <c r="Q444" s="211"/>
      <c r="V444" s="211"/>
      <c r="W444" s="211"/>
      <c r="X444" s="211"/>
      <c r="Y444" s="211"/>
      <c r="Z444" s="211"/>
      <c r="AA444" s="211"/>
    </row>
    <row r="445" spans="2:31" s="204" customFormat="1" ht="63.75" x14ac:dyDescent="0.25">
      <c r="B445" s="294" t="s">
        <v>2968</v>
      </c>
      <c r="C445" s="294" t="s">
        <v>2969</v>
      </c>
      <c r="D445" s="206" t="s">
        <v>72</v>
      </c>
      <c r="E445" s="206"/>
      <c r="F445" s="206"/>
      <c r="G445" s="207"/>
      <c r="H445" s="207"/>
      <c r="I445" s="207"/>
      <c r="J445" s="207" t="s">
        <v>2957</v>
      </c>
      <c r="K445" s="206" t="s">
        <v>82</v>
      </c>
      <c r="L445" s="261" t="s">
        <v>2970</v>
      </c>
      <c r="M445" s="260"/>
      <c r="N445" s="256" t="str">
        <f>N$15</f>
        <v>Valore netto al 31/12/2019</v>
      </c>
      <c r="O445" s="256" t="str">
        <f>O$15</f>
        <v>Valore netto al 31/12/2020</v>
      </c>
      <c r="P445" s="256" t="str">
        <f>P$15</f>
        <v>Variazione</v>
      </c>
      <c r="Q445" s="262" t="s">
        <v>2971</v>
      </c>
      <c r="R445" s="262" t="str">
        <f>"Fondo svalutazione 31/12/"&amp;Info!$B$3-1</f>
        <v>Fondo svalutazione 31/12/2019</v>
      </c>
      <c r="S445" s="262" t="s">
        <v>2972</v>
      </c>
      <c r="V445" s="211"/>
      <c r="W445" s="262" t="s">
        <v>2975</v>
      </c>
      <c r="X445" s="262" t="s">
        <v>2976</v>
      </c>
      <c r="Y445" s="262" t="s">
        <v>3124</v>
      </c>
      <c r="Z445" s="262" t="s">
        <v>3125</v>
      </c>
      <c r="AA445" s="211"/>
      <c r="AB445" s="211"/>
      <c r="AC445" s="211"/>
      <c r="AD445" s="211"/>
      <c r="AE445" s="211"/>
    </row>
    <row r="446" spans="2:31" s="204" customFormat="1" x14ac:dyDescent="0.25">
      <c r="B446" s="246" t="s">
        <v>997</v>
      </c>
      <c r="C446" s="273" t="s">
        <v>998</v>
      </c>
      <c r="D446" s="274" t="s">
        <v>3462</v>
      </c>
      <c r="E446" s="264"/>
      <c r="F446" s="264"/>
      <c r="G446" s="265"/>
      <c r="H446" s="266"/>
      <c r="I446" s="267"/>
      <c r="J446" s="267"/>
      <c r="K446" s="267"/>
      <c r="L446" s="268" t="s">
        <v>3463</v>
      </c>
      <c r="M446" s="263" t="s">
        <v>2962</v>
      </c>
      <c r="N446" s="269">
        <f>+R446</f>
        <v>0</v>
      </c>
      <c r="O446" s="270">
        <f>+R446+S446+X446-ABS(Y446)+ABS(Z446)+W446+Q446</f>
        <v>0</v>
      </c>
      <c r="P446" s="271">
        <f>+O446-N446</f>
        <v>0</v>
      </c>
      <c r="Q446" s="272">
        <f>+'NI-San_SP'!Q446+'NI-Soc_SP'!Q446+'NI-Ric_SP'!Q446</f>
        <v>0</v>
      </c>
      <c r="R446" s="272">
        <f>+'NI-San_SP'!R446+'NI-Soc_SP'!R446+'NI-Ric_SP'!R446</f>
        <v>0</v>
      </c>
      <c r="S446" s="272">
        <f>+'NI-San_SP'!S446+'NI-Soc_SP'!S446+'NI-Ric_SP'!S446</f>
        <v>0</v>
      </c>
      <c r="V446" s="211"/>
      <c r="W446" s="272">
        <f>+'NI-San_SP'!W446+'NI-Soc_SP'!W446+'NI-Ric_SP'!W446</f>
        <v>0</v>
      </c>
      <c r="X446" s="272">
        <f>+'NI-San_SP'!X446+'NI-Soc_SP'!X446+'NI-Ric_SP'!X446</f>
        <v>0</v>
      </c>
      <c r="Y446" s="272">
        <f>+'NI-San_SP'!Y446+'NI-Soc_SP'!Y446+'NI-Ric_SP'!Y446</f>
        <v>0</v>
      </c>
      <c r="Z446" s="272">
        <f>+'NI-San_SP'!Z446+'NI-Soc_SP'!Z446+'NI-Ric_SP'!Z446</f>
        <v>0</v>
      </c>
      <c r="AA446" s="211"/>
      <c r="AB446" s="211"/>
      <c r="AC446" s="211"/>
      <c r="AD446" s="211"/>
      <c r="AE446" s="211"/>
    </row>
    <row r="447" spans="2:31" s="204" customFormat="1" x14ac:dyDescent="0.25">
      <c r="B447" s="246" t="s">
        <v>1000</v>
      </c>
      <c r="C447" s="273" t="s">
        <v>1001</v>
      </c>
      <c r="D447" s="274" t="s">
        <v>3464</v>
      </c>
      <c r="E447" s="274"/>
      <c r="F447" s="274"/>
      <c r="G447" s="283"/>
      <c r="H447" s="326"/>
      <c r="I447" s="281"/>
      <c r="J447" s="281"/>
      <c r="K447" s="281"/>
      <c r="L447" s="295" t="s">
        <v>3465</v>
      </c>
      <c r="M447" s="263" t="s">
        <v>2962</v>
      </c>
      <c r="N447" s="269">
        <f>+R447</f>
        <v>0</v>
      </c>
      <c r="O447" s="270">
        <f>+R447+S447+X447-ABS(Y447)+ABS(Z447)+W447+Q447</f>
        <v>0</v>
      </c>
      <c r="P447" s="271">
        <f>+O447-N447</f>
        <v>0</v>
      </c>
      <c r="Q447" s="272">
        <f>+'NI-San_SP'!Q447+'NI-Soc_SP'!Q447+'NI-Ric_SP'!Q447</f>
        <v>0</v>
      </c>
      <c r="R447" s="272">
        <f>+'NI-San_SP'!R447+'NI-Soc_SP'!R447+'NI-Ric_SP'!R447</f>
        <v>0</v>
      </c>
      <c r="S447" s="272">
        <f>+'NI-San_SP'!S447+'NI-Soc_SP'!S447+'NI-Ric_SP'!S447</f>
        <v>0</v>
      </c>
      <c r="V447" s="211"/>
      <c r="W447" s="272">
        <f>+'NI-San_SP'!W447+'NI-Soc_SP'!W447+'NI-Ric_SP'!W447</f>
        <v>0</v>
      </c>
      <c r="X447" s="272">
        <f>+'NI-San_SP'!X447+'NI-Soc_SP'!X447+'NI-Ric_SP'!X447</f>
        <v>0</v>
      </c>
      <c r="Y447" s="272">
        <f>+'NI-San_SP'!Y447+'NI-Soc_SP'!Y447+'NI-Ric_SP'!Y447</f>
        <v>0</v>
      </c>
      <c r="Z447" s="272">
        <f>+'NI-San_SP'!Z447+'NI-Soc_SP'!Z447+'NI-Ric_SP'!Z447</f>
        <v>0</v>
      </c>
      <c r="AA447" s="211"/>
      <c r="AB447" s="211"/>
      <c r="AC447" s="211"/>
      <c r="AD447" s="211"/>
      <c r="AE447" s="211"/>
    </row>
    <row r="448" spans="2:31" s="204" customFormat="1" x14ac:dyDescent="0.25">
      <c r="B448" s="293"/>
      <c r="C448" s="293"/>
      <c r="D448" s="300"/>
      <c r="E448" s="226"/>
      <c r="F448" s="226"/>
      <c r="G448" s="226"/>
      <c r="H448" s="227"/>
      <c r="I448" s="226"/>
      <c r="J448" s="226"/>
      <c r="K448" s="226"/>
      <c r="L448" s="312"/>
      <c r="M448" s="211"/>
      <c r="N448" s="254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</row>
    <row r="449" spans="2:31" s="204" customFormat="1" x14ac:dyDescent="0.25">
      <c r="B449" s="246" t="s">
        <v>1003</v>
      </c>
      <c r="C449" s="292" t="s">
        <v>1004</v>
      </c>
      <c r="D449" s="247" t="s">
        <v>3466</v>
      </c>
      <c r="E449" s="247"/>
      <c r="F449" s="247"/>
      <c r="G449" s="247"/>
      <c r="H449" s="248"/>
      <c r="I449" s="247"/>
      <c r="J449" s="247"/>
      <c r="K449" s="249"/>
      <c r="L449" s="257" t="s">
        <v>1007</v>
      </c>
      <c r="M449" s="251" t="s">
        <v>2962</v>
      </c>
      <c r="N449" s="252">
        <f>SUM(N452:N455)</f>
        <v>0</v>
      </c>
      <c r="O449" s="252">
        <f>SUM(O452:O455)</f>
        <v>0</v>
      </c>
      <c r="P449" s="259">
        <f>+O449-N449</f>
        <v>0</v>
      </c>
      <c r="Q449" s="252">
        <f>SUM(Q452:Q455)</f>
        <v>0</v>
      </c>
      <c r="R449" s="252">
        <f>SUM(R452:R455)</f>
        <v>0</v>
      </c>
      <c r="S449" s="252">
        <f>SUM(S452:S455)</f>
        <v>0</v>
      </c>
      <c r="T449" s="211"/>
      <c r="U449" s="211"/>
      <c r="V449" s="211"/>
      <c r="W449" s="252">
        <f>SUM(W452:W455)</f>
        <v>0</v>
      </c>
      <c r="X449" s="252">
        <f>SUM(X452:X455)</f>
        <v>0</v>
      </c>
      <c r="Y449" s="252">
        <f>SUM(Y452:Y455)</f>
        <v>0</v>
      </c>
      <c r="Z449" s="252">
        <f>SUM(Z452:Z455)</f>
        <v>0</v>
      </c>
      <c r="AA449" s="211"/>
      <c r="AB449" s="211"/>
      <c r="AC449" s="211"/>
      <c r="AD449" s="211"/>
      <c r="AE449" s="211"/>
    </row>
    <row r="450" spans="2:31" s="204" customFormat="1" x14ac:dyDescent="0.25">
      <c r="B450" s="293"/>
      <c r="C450" s="293"/>
      <c r="D450" s="230"/>
      <c r="E450" s="230"/>
      <c r="F450" s="230"/>
      <c r="G450" s="230"/>
      <c r="H450" s="231"/>
      <c r="I450" s="230"/>
      <c r="J450" s="230"/>
      <c r="K450" s="230"/>
      <c r="L450" s="232"/>
      <c r="M450" s="211"/>
      <c r="N450" s="211"/>
      <c r="O450" s="211"/>
      <c r="P450" s="211"/>
      <c r="Q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2:31" s="204" customFormat="1" ht="63.75" x14ac:dyDescent="0.25">
      <c r="B451" s="294" t="s">
        <v>2968</v>
      </c>
      <c r="C451" s="294" t="s">
        <v>2969</v>
      </c>
      <c r="D451" s="206" t="s">
        <v>72</v>
      </c>
      <c r="E451" s="206"/>
      <c r="F451" s="206"/>
      <c r="G451" s="207"/>
      <c r="H451" s="207"/>
      <c r="I451" s="207"/>
      <c r="J451" s="207" t="s">
        <v>2957</v>
      </c>
      <c r="K451" s="206" t="s">
        <v>82</v>
      </c>
      <c r="L451" s="261" t="s">
        <v>2970</v>
      </c>
      <c r="M451" s="260"/>
      <c r="N451" s="256" t="str">
        <f>N$15</f>
        <v>Valore netto al 31/12/2019</v>
      </c>
      <c r="O451" s="256" t="str">
        <f>O$15</f>
        <v>Valore netto al 31/12/2020</v>
      </c>
      <c r="P451" s="256" t="str">
        <f>P$15</f>
        <v>Variazione</v>
      </c>
      <c r="Q451" s="262" t="s">
        <v>2971</v>
      </c>
      <c r="R451" s="262" t="str">
        <f>"Fondo svalutazione 31/12/"&amp;Info!$B$3-1</f>
        <v>Fondo svalutazione 31/12/2019</v>
      </c>
      <c r="S451" s="262" t="s">
        <v>2972</v>
      </c>
      <c r="V451" s="211"/>
      <c r="W451" s="262" t="s">
        <v>2975</v>
      </c>
      <c r="X451" s="262" t="s">
        <v>2976</v>
      </c>
      <c r="Y451" s="262" t="s">
        <v>3124</v>
      </c>
      <c r="Z451" s="262" t="s">
        <v>3125</v>
      </c>
      <c r="AA451" s="211"/>
      <c r="AB451" s="211"/>
      <c r="AC451" s="211"/>
      <c r="AD451" s="211"/>
      <c r="AE451" s="211"/>
    </row>
    <row r="452" spans="2:31" s="204" customFormat="1" x14ac:dyDescent="0.25">
      <c r="B452" s="246" t="s">
        <v>1008</v>
      </c>
      <c r="C452" s="273" t="s">
        <v>1009</v>
      </c>
      <c r="D452" s="274" t="s">
        <v>3467</v>
      </c>
      <c r="E452" s="264"/>
      <c r="F452" s="264"/>
      <c r="G452" s="265"/>
      <c r="H452" s="266"/>
      <c r="I452" s="267"/>
      <c r="J452" s="267"/>
      <c r="K452" s="267"/>
      <c r="L452" s="268" t="s">
        <v>3468</v>
      </c>
      <c r="M452" s="263" t="s">
        <v>2962</v>
      </c>
      <c r="N452" s="269">
        <f>+R452</f>
        <v>0</v>
      </c>
      <c r="O452" s="270">
        <f>+R452+S452+X452-ABS(Y452)+ABS(Z452)+W452+Q452</f>
        <v>0</v>
      </c>
      <c r="P452" s="271">
        <f>+O452-N452</f>
        <v>0</v>
      </c>
      <c r="Q452" s="272">
        <f>+'NI-San_SP'!Q452+'NI-Soc_SP'!Q452+'NI-Ric_SP'!Q452</f>
        <v>0</v>
      </c>
      <c r="R452" s="272">
        <f>+'NI-San_SP'!R452+'NI-Soc_SP'!R452+'NI-Ric_SP'!R452</f>
        <v>0</v>
      </c>
      <c r="S452" s="272">
        <f>+'NI-San_SP'!S452+'NI-Soc_SP'!S452+'NI-Ric_SP'!S452</f>
        <v>0</v>
      </c>
      <c r="V452" s="211"/>
      <c r="W452" s="272">
        <f>+'NI-San_SP'!W452+'NI-Soc_SP'!W452+'NI-Ric_SP'!W452</f>
        <v>0</v>
      </c>
      <c r="X452" s="272">
        <f>+'NI-San_SP'!X452+'NI-Soc_SP'!X452+'NI-Ric_SP'!X452</f>
        <v>0</v>
      </c>
      <c r="Y452" s="272">
        <f>+'NI-San_SP'!Y452+'NI-Soc_SP'!Y452+'NI-Ric_SP'!Y452</f>
        <v>0</v>
      </c>
      <c r="Z452" s="272">
        <f>+'NI-San_SP'!Z452+'NI-Soc_SP'!Z452+'NI-Ric_SP'!Z452</f>
        <v>0</v>
      </c>
      <c r="AA452" s="211"/>
      <c r="AB452" s="211"/>
      <c r="AC452" s="211"/>
      <c r="AD452" s="211"/>
      <c r="AE452" s="211"/>
    </row>
    <row r="453" spans="2:31" s="204" customFormat="1" x14ac:dyDescent="0.25">
      <c r="B453" s="246" t="s">
        <v>1011</v>
      </c>
      <c r="C453" s="273" t="s">
        <v>1012</v>
      </c>
      <c r="D453" s="274" t="s">
        <v>3469</v>
      </c>
      <c r="E453" s="264"/>
      <c r="F453" s="264"/>
      <c r="G453" s="265"/>
      <c r="H453" s="266"/>
      <c r="I453" s="267"/>
      <c r="J453" s="267"/>
      <c r="K453" s="267"/>
      <c r="L453" s="268" t="s">
        <v>3470</v>
      </c>
      <c r="M453" s="263" t="s">
        <v>2962</v>
      </c>
      <c r="N453" s="269">
        <f>+R453</f>
        <v>0</v>
      </c>
      <c r="O453" s="270">
        <f>+R453+S453+X453-ABS(Y453)+ABS(Z453)+W453+Q453</f>
        <v>0</v>
      </c>
      <c r="P453" s="271">
        <f>+O453-N453</f>
        <v>0</v>
      </c>
      <c r="Q453" s="272">
        <f>+'NI-San_SP'!Q453+'NI-Soc_SP'!Q453+'NI-Ric_SP'!Q453</f>
        <v>0</v>
      </c>
      <c r="R453" s="272">
        <f>+'NI-San_SP'!R453+'NI-Soc_SP'!R453+'NI-Ric_SP'!R453</f>
        <v>0</v>
      </c>
      <c r="S453" s="272">
        <f>+'NI-San_SP'!S453+'NI-Soc_SP'!S453+'NI-Ric_SP'!S453</f>
        <v>0</v>
      </c>
      <c r="V453" s="211"/>
      <c r="W453" s="272">
        <f>+'NI-San_SP'!W453+'NI-Soc_SP'!W453+'NI-Ric_SP'!W453</f>
        <v>0</v>
      </c>
      <c r="X453" s="272">
        <f>+'NI-San_SP'!X453+'NI-Soc_SP'!X453+'NI-Ric_SP'!X453</f>
        <v>0</v>
      </c>
      <c r="Y453" s="272">
        <f>+'NI-San_SP'!Y453+'NI-Soc_SP'!Y453+'NI-Ric_SP'!Y453</f>
        <v>0</v>
      </c>
      <c r="Z453" s="272">
        <f>+'NI-San_SP'!Z453+'NI-Soc_SP'!Z453+'NI-Ric_SP'!Z453</f>
        <v>0</v>
      </c>
      <c r="AA453" s="211"/>
      <c r="AB453" s="211"/>
      <c r="AC453" s="211"/>
      <c r="AD453" s="211"/>
      <c r="AE453" s="211"/>
    </row>
    <row r="454" spans="2:31" s="204" customFormat="1" x14ac:dyDescent="0.25">
      <c r="B454" s="246" t="s">
        <v>1014</v>
      </c>
      <c r="C454" s="273" t="s">
        <v>1015</v>
      </c>
      <c r="D454" s="325" t="s">
        <v>3471</v>
      </c>
      <c r="E454" s="264"/>
      <c r="F454" s="264"/>
      <c r="G454" s="265"/>
      <c r="H454" s="266"/>
      <c r="I454" s="267"/>
      <c r="J454" s="267"/>
      <c r="K454" s="267"/>
      <c r="L454" s="268" t="s">
        <v>3472</v>
      </c>
      <c r="M454" s="263" t="s">
        <v>2962</v>
      </c>
      <c r="N454" s="269">
        <f>+R454</f>
        <v>0</v>
      </c>
      <c r="O454" s="270">
        <f>+R454+S454+X454-ABS(Y454)+ABS(Z454)+W454+Q454</f>
        <v>0</v>
      </c>
      <c r="P454" s="271">
        <f>+O454-N454</f>
        <v>0</v>
      </c>
      <c r="Q454" s="272">
        <f>+'NI-San_SP'!Q454+'NI-Soc_SP'!Q454+'NI-Ric_SP'!Q454</f>
        <v>0</v>
      </c>
      <c r="R454" s="272">
        <f>+'NI-San_SP'!R454+'NI-Soc_SP'!R454+'NI-Ric_SP'!R454</f>
        <v>0</v>
      </c>
      <c r="S454" s="272">
        <f>+'NI-San_SP'!S454+'NI-Soc_SP'!S454+'NI-Ric_SP'!S454</f>
        <v>0</v>
      </c>
      <c r="V454" s="211"/>
      <c r="W454" s="272">
        <f>+'NI-San_SP'!W454+'NI-Soc_SP'!W454+'NI-Ric_SP'!W454</f>
        <v>0</v>
      </c>
      <c r="X454" s="272">
        <f>+'NI-San_SP'!X454+'NI-Soc_SP'!X454+'NI-Ric_SP'!X454</f>
        <v>0</v>
      </c>
      <c r="Y454" s="272">
        <f>+'NI-San_SP'!Y454+'NI-Soc_SP'!Y454+'NI-Ric_SP'!Y454</f>
        <v>0</v>
      </c>
      <c r="Z454" s="272">
        <f>+'NI-San_SP'!Z454+'NI-Soc_SP'!Z454+'NI-Ric_SP'!Z454</f>
        <v>0</v>
      </c>
      <c r="AA454" s="211"/>
      <c r="AB454" s="211"/>
      <c r="AC454" s="211"/>
      <c r="AD454" s="211"/>
      <c r="AE454" s="211"/>
    </row>
    <row r="455" spans="2:31" s="204" customFormat="1" x14ac:dyDescent="0.25">
      <c r="B455" s="246" t="s">
        <v>1017</v>
      </c>
      <c r="C455" s="273" t="s">
        <v>1018</v>
      </c>
      <c r="D455" s="325" t="s">
        <v>3473</v>
      </c>
      <c r="E455" s="274"/>
      <c r="F455" s="274"/>
      <c r="G455" s="283"/>
      <c r="H455" s="326"/>
      <c r="I455" s="281"/>
      <c r="J455" s="281"/>
      <c r="K455" s="281"/>
      <c r="L455" s="268" t="s">
        <v>3474</v>
      </c>
      <c r="M455" s="263" t="s">
        <v>2962</v>
      </c>
      <c r="N455" s="269">
        <f>+R455</f>
        <v>0</v>
      </c>
      <c r="O455" s="270">
        <f>+R455+S455+X455-ABS(Y455)+ABS(Z455)+W455+Q455</f>
        <v>0</v>
      </c>
      <c r="P455" s="271">
        <f>+O455-N455</f>
        <v>0</v>
      </c>
      <c r="Q455" s="272">
        <f>+'NI-San_SP'!Q455+'NI-Soc_SP'!Q455+'NI-Ric_SP'!Q455</f>
        <v>0</v>
      </c>
      <c r="R455" s="272">
        <f>+'NI-San_SP'!R455+'NI-Soc_SP'!R455+'NI-Ric_SP'!R455</f>
        <v>0</v>
      </c>
      <c r="S455" s="272">
        <f>+'NI-San_SP'!S455+'NI-Soc_SP'!S455+'NI-Ric_SP'!S455</f>
        <v>0</v>
      </c>
      <c r="V455" s="211"/>
      <c r="W455" s="272">
        <f>+'NI-San_SP'!W455+'NI-Soc_SP'!W455+'NI-Ric_SP'!W455</f>
        <v>0</v>
      </c>
      <c r="X455" s="272">
        <f>+'NI-San_SP'!X455+'NI-Soc_SP'!X455+'NI-Ric_SP'!X455</f>
        <v>0</v>
      </c>
      <c r="Y455" s="272">
        <f>+'NI-San_SP'!Y455+'NI-Soc_SP'!Y455+'NI-Ric_SP'!Y455</f>
        <v>0</v>
      </c>
      <c r="Z455" s="272">
        <f>+'NI-San_SP'!Z455+'NI-Soc_SP'!Z455+'NI-Ric_SP'!Z455</f>
        <v>0</v>
      </c>
      <c r="AA455" s="211"/>
      <c r="AB455" s="211"/>
      <c r="AC455" s="211"/>
      <c r="AD455" s="211"/>
      <c r="AE455" s="211"/>
    </row>
    <row r="456" spans="2:31" s="204" customFormat="1" x14ac:dyDescent="0.25">
      <c r="B456" s="293"/>
      <c r="C456" s="293"/>
      <c r="D456" s="300"/>
      <c r="E456" s="226"/>
      <c r="F456" s="226"/>
      <c r="G456" s="226"/>
      <c r="H456" s="227"/>
      <c r="I456" s="226"/>
      <c r="J456" s="226"/>
      <c r="K456" s="226"/>
      <c r="L456" s="312"/>
      <c r="M456" s="211"/>
      <c r="N456" s="254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</row>
    <row r="457" spans="2:31" s="204" customFormat="1" x14ac:dyDescent="0.25">
      <c r="B457" s="246" t="s">
        <v>1020</v>
      </c>
      <c r="C457" s="292" t="s">
        <v>1021</v>
      </c>
      <c r="D457" s="247" t="s">
        <v>3475</v>
      </c>
      <c r="E457" s="247"/>
      <c r="F457" s="247"/>
      <c r="G457" s="247"/>
      <c r="H457" s="248"/>
      <c r="I457" s="247"/>
      <c r="J457" s="247"/>
      <c r="K457" s="249"/>
      <c r="L457" s="257" t="s">
        <v>1024</v>
      </c>
      <c r="M457" s="251" t="s">
        <v>2962</v>
      </c>
      <c r="N457" s="252">
        <f>SUM(N460:N461)</f>
        <v>0</v>
      </c>
      <c r="O457" s="252">
        <f>SUM(O460:O461)</f>
        <v>0</v>
      </c>
      <c r="P457" s="259">
        <f>+O457-N457</f>
        <v>0</v>
      </c>
      <c r="Q457" s="252">
        <f>SUM(Q460:Q461)</f>
        <v>0</v>
      </c>
      <c r="R457" s="252">
        <f>SUM(R460:R461)</f>
        <v>0</v>
      </c>
      <c r="S457" s="252">
        <f>SUM(S460:S461)</f>
        <v>0</v>
      </c>
      <c r="T457" s="211"/>
      <c r="U457" s="211"/>
      <c r="V457" s="211"/>
      <c r="W457" s="252">
        <f>SUM(W460:W461)</f>
        <v>0</v>
      </c>
      <c r="X457" s="252">
        <f>SUM(X460:X461)</f>
        <v>0</v>
      </c>
      <c r="Y457" s="252">
        <f>SUM(Y460:Y461)</f>
        <v>0</v>
      </c>
      <c r="Z457" s="252">
        <f>SUM(Z460:Z461)</f>
        <v>0</v>
      </c>
      <c r="AA457" s="211"/>
    </row>
    <row r="458" spans="2:31" s="204" customFormat="1" x14ac:dyDescent="0.25">
      <c r="B458" s="293"/>
      <c r="C458" s="293"/>
      <c r="D458" s="230"/>
      <c r="E458" s="230"/>
      <c r="F458" s="230"/>
      <c r="G458" s="230"/>
      <c r="H458" s="231"/>
      <c r="I458" s="230"/>
      <c r="J458" s="230"/>
      <c r="K458" s="230"/>
      <c r="L458" s="232"/>
      <c r="M458" s="211"/>
      <c r="N458" s="211"/>
      <c r="O458" s="211"/>
      <c r="P458" s="211"/>
      <c r="Q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2:31" s="204" customFormat="1" ht="63.75" x14ac:dyDescent="0.25">
      <c r="B459" s="294" t="s">
        <v>2968</v>
      </c>
      <c r="C459" s="294" t="s">
        <v>2969</v>
      </c>
      <c r="D459" s="206" t="s">
        <v>72</v>
      </c>
      <c r="E459" s="206"/>
      <c r="F459" s="206"/>
      <c r="G459" s="207"/>
      <c r="H459" s="207"/>
      <c r="I459" s="207"/>
      <c r="J459" s="207" t="s">
        <v>2957</v>
      </c>
      <c r="K459" s="206" t="s">
        <v>82</v>
      </c>
      <c r="L459" s="261" t="s">
        <v>2970</v>
      </c>
      <c r="M459" s="260"/>
      <c r="N459" s="256" t="str">
        <f>N$15</f>
        <v>Valore netto al 31/12/2019</v>
      </c>
      <c r="O459" s="256" t="str">
        <f>O$15</f>
        <v>Valore netto al 31/12/2020</v>
      </c>
      <c r="P459" s="256" t="str">
        <f>P$15</f>
        <v>Variazione</v>
      </c>
      <c r="Q459" s="262" t="s">
        <v>2971</v>
      </c>
      <c r="R459" s="262" t="str">
        <f>"Fondo svalutazione 31/12/"&amp;Info!$B$3-1</f>
        <v>Fondo svalutazione 31/12/2019</v>
      </c>
      <c r="S459" s="262" t="s">
        <v>2972</v>
      </c>
      <c r="V459" s="211"/>
      <c r="W459" s="262" t="s">
        <v>2975</v>
      </c>
      <c r="X459" s="262" t="s">
        <v>2976</v>
      </c>
      <c r="Y459" s="262" t="s">
        <v>3124</v>
      </c>
      <c r="Z459" s="262" t="s">
        <v>3125</v>
      </c>
      <c r="AA459" s="211"/>
      <c r="AB459" s="211"/>
      <c r="AC459" s="211"/>
      <c r="AD459" s="211"/>
      <c r="AE459" s="211"/>
    </row>
    <row r="460" spans="2:31" s="204" customFormat="1" x14ac:dyDescent="0.25">
      <c r="B460" s="246" t="s">
        <v>1025</v>
      </c>
      <c r="C460" s="273" t="s">
        <v>1026</v>
      </c>
      <c r="D460" s="274" t="s">
        <v>3476</v>
      </c>
      <c r="E460" s="264"/>
      <c r="F460" s="264"/>
      <c r="G460" s="265"/>
      <c r="H460" s="266"/>
      <c r="I460" s="267"/>
      <c r="J460" s="267"/>
      <c r="K460" s="267"/>
      <c r="L460" s="268" t="s">
        <v>3477</v>
      </c>
      <c r="M460" s="263" t="s">
        <v>2962</v>
      </c>
      <c r="N460" s="269">
        <f>+R460</f>
        <v>0</v>
      </c>
      <c r="O460" s="270">
        <f>+R460+S460+X460-ABS(Y460)+ABS(Z460)+W460+Q460</f>
        <v>0</v>
      </c>
      <c r="P460" s="271">
        <f>+O460-N460</f>
        <v>0</v>
      </c>
      <c r="Q460" s="272">
        <f>+'NI-San_SP'!Q460+'NI-Soc_SP'!Q460+'NI-Ric_SP'!Q460</f>
        <v>0</v>
      </c>
      <c r="R460" s="272">
        <f>+'NI-San_SP'!R460+'NI-Soc_SP'!R460+'NI-Ric_SP'!R460</f>
        <v>0</v>
      </c>
      <c r="S460" s="272">
        <f>+'NI-San_SP'!S460+'NI-Soc_SP'!S460+'NI-Ric_SP'!S460</f>
        <v>0</v>
      </c>
      <c r="V460" s="211"/>
      <c r="W460" s="272">
        <f>+'NI-San_SP'!W460+'NI-Soc_SP'!W460+'NI-Ric_SP'!W460</f>
        <v>0</v>
      </c>
      <c r="X460" s="272">
        <f>+'NI-San_SP'!X460+'NI-Soc_SP'!X460+'NI-Ric_SP'!X460</f>
        <v>0</v>
      </c>
      <c r="Y460" s="272">
        <f>+'NI-San_SP'!Y460+'NI-Soc_SP'!Y460+'NI-Ric_SP'!Y460</f>
        <v>0</v>
      </c>
      <c r="Z460" s="272">
        <f>+'NI-San_SP'!Z460+'NI-Soc_SP'!Z460+'NI-Ric_SP'!Z460</f>
        <v>0</v>
      </c>
      <c r="AA460" s="211"/>
      <c r="AB460" s="211"/>
      <c r="AC460" s="211"/>
      <c r="AD460" s="211"/>
      <c r="AE460" s="211"/>
    </row>
    <row r="461" spans="2:31" s="204" customFormat="1" x14ac:dyDescent="0.25">
      <c r="B461" s="246" t="s">
        <v>1028</v>
      </c>
      <c r="C461" s="273" t="s">
        <v>1029</v>
      </c>
      <c r="D461" s="274" t="s">
        <v>3478</v>
      </c>
      <c r="E461" s="274"/>
      <c r="F461" s="274"/>
      <c r="G461" s="283"/>
      <c r="H461" s="326"/>
      <c r="I461" s="281"/>
      <c r="J461" s="281"/>
      <c r="K461" s="281"/>
      <c r="L461" s="295" t="s">
        <v>3479</v>
      </c>
      <c r="M461" s="263" t="s">
        <v>2962</v>
      </c>
      <c r="N461" s="269">
        <f>+R461</f>
        <v>0</v>
      </c>
      <c r="O461" s="270">
        <f>+R461+S461+X461-ABS(Y461)+ABS(Z461)+W461+Q461</f>
        <v>0</v>
      </c>
      <c r="P461" s="271">
        <f>+O461-N461</f>
        <v>0</v>
      </c>
      <c r="Q461" s="272">
        <f>+'NI-San_SP'!Q461+'NI-Soc_SP'!Q461+'NI-Ric_SP'!Q461</f>
        <v>0</v>
      </c>
      <c r="R461" s="272">
        <f>+'NI-San_SP'!R461+'NI-Soc_SP'!R461+'NI-Ric_SP'!R461</f>
        <v>0</v>
      </c>
      <c r="S461" s="272">
        <f>+'NI-San_SP'!S461+'NI-Soc_SP'!S461+'NI-Ric_SP'!S461</f>
        <v>0</v>
      </c>
      <c r="V461" s="211"/>
      <c r="W461" s="272">
        <f>+'NI-San_SP'!W461+'NI-Soc_SP'!W461+'NI-Ric_SP'!W461</f>
        <v>0</v>
      </c>
      <c r="X461" s="272">
        <f>+'NI-San_SP'!X461+'NI-Soc_SP'!X461+'NI-Ric_SP'!X461</f>
        <v>0</v>
      </c>
      <c r="Y461" s="272">
        <f>+'NI-San_SP'!Y461+'NI-Soc_SP'!Y461+'NI-Ric_SP'!Y461</f>
        <v>0</v>
      </c>
      <c r="Z461" s="272">
        <f>+'NI-San_SP'!Z461+'NI-Soc_SP'!Z461+'NI-Ric_SP'!Z461</f>
        <v>0</v>
      </c>
      <c r="AA461" s="211"/>
      <c r="AB461" s="211"/>
      <c r="AC461" s="211"/>
      <c r="AD461" s="211"/>
      <c r="AE461" s="211"/>
    </row>
    <row r="462" spans="2:31" s="204" customFormat="1" x14ac:dyDescent="0.25">
      <c r="B462" s="293"/>
      <c r="C462" s="293"/>
      <c r="D462" s="300"/>
      <c r="E462" s="300"/>
      <c r="F462" s="300"/>
      <c r="G462" s="300"/>
      <c r="H462" s="327"/>
      <c r="I462" s="300"/>
      <c r="J462" s="300"/>
      <c r="K462" s="300"/>
      <c r="L462" s="312"/>
      <c r="M462" s="211"/>
      <c r="N462" s="254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</row>
    <row r="463" spans="2:31" s="204" customFormat="1" x14ac:dyDescent="0.25">
      <c r="B463" s="246" t="s">
        <v>1031</v>
      </c>
      <c r="C463" s="292" t="s">
        <v>1032</v>
      </c>
      <c r="D463" s="247" t="s">
        <v>3480</v>
      </c>
      <c r="E463" s="301"/>
      <c r="F463" s="301"/>
      <c r="G463" s="301"/>
      <c r="H463" s="328"/>
      <c r="I463" s="301"/>
      <c r="J463" s="301"/>
      <c r="K463" s="329"/>
      <c r="L463" s="257" t="s">
        <v>1035</v>
      </c>
      <c r="M463" s="251" t="s">
        <v>2962</v>
      </c>
      <c r="N463" s="252">
        <f>SUM(N466:N467)</f>
        <v>0</v>
      </c>
      <c r="O463" s="252">
        <f>SUM(O466:O467)</f>
        <v>0</v>
      </c>
      <c r="P463" s="259">
        <f>+O463-N463</f>
        <v>0</v>
      </c>
      <c r="Q463" s="252">
        <f>SUM(Q466:Q467)</f>
        <v>0</v>
      </c>
      <c r="R463" s="252">
        <f>SUM(R466:R467)</f>
        <v>0</v>
      </c>
      <c r="S463" s="252">
        <f>SUM(S466:S467)</f>
        <v>0</v>
      </c>
      <c r="T463" s="211"/>
      <c r="U463" s="211"/>
      <c r="V463" s="211"/>
      <c r="W463" s="252">
        <f>SUM(W466:W467)</f>
        <v>0</v>
      </c>
      <c r="X463" s="252">
        <f>SUM(X466:X467)</f>
        <v>0</v>
      </c>
      <c r="Y463" s="252">
        <f>SUM(Y466:Y467)</f>
        <v>0</v>
      </c>
      <c r="Z463" s="252">
        <f>SUM(Z466:Z467)</f>
        <v>0</v>
      </c>
      <c r="AA463" s="211"/>
    </row>
    <row r="464" spans="2:31" s="204" customFormat="1" x14ac:dyDescent="0.25">
      <c r="B464" s="293"/>
      <c r="C464" s="293"/>
      <c r="D464" s="230"/>
      <c r="E464" s="230"/>
      <c r="F464" s="230"/>
      <c r="G464" s="230"/>
      <c r="H464" s="231"/>
      <c r="I464" s="230"/>
      <c r="J464" s="230"/>
      <c r="K464" s="230"/>
      <c r="L464" s="232"/>
      <c r="M464" s="211"/>
      <c r="N464" s="211"/>
      <c r="O464" s="211"/>
      <c r="P464" s="211"/>
      <c r="Q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2:31" s="204" customFormat="1" ht="63.75" x14ac:dyDescent="0.25">
      <c r="B465" s="294" t="s">
        <v>2968</v>
      </c>
      <c r="C465" s="294" t="s">
        <v>2969</v>
      </c>
      <c r="D465" s="206" t="s">
        <v>72</v>
      </c>
      <c r="E465" s="206"/>
      <c r="F465" s="206"/>
      <c r="G465" s="207"/>
      <c r="H465" s="207"/>
      <c r="I465" s="207"/>
      <c r="J465" s="207" t="s">
        <v>2957</v>
      </c>
      <c r="K465" s="206" t="s">
        <v>82</v>
      </c>
      <c r="L465" s="261" t="s">
        <v>2970</v>
      </c>
      <c r="M465" s="260"/>
      <c r="N465" s="256" t="str">
        <f>N$15</f>
        <v>Valore netto al 31/12/2019</v>
      </c>
      <c r="O465" s="256" t="str">
        <f>O$15</f>
        <v>Valore netto al 31/12/2020</v>
      </c>
      <c r="P465" s="256" t="str">
        <f>P$15</f>
        <v>Variazione</v>
      </c>
      <c r="Q465" s="262" t="s">
        <v>2971</v>
      </c>
      <c r="R465" s="262" t="str">
        <f>"Fondo svalutazione 31/12/"&amp;Info!$B$3-1</f>
        <v>Fondo svalutazione 31/12/2019</v>
      </c>
      <c r="S465" s="262" t="s">
        <v>2972</v>
      </c>
      <c r="V465" s="211"/>
      <c r="W465" s="262" t="s">
        <v>2975</v>
      </c>
      <c r="X465" s="262" t="s">
        <v>2976</v>
      </c>
      <c r="Y465" s="262" t="s">
        <v>3124</v>
      </c>
      <c r="Z465" s="262" t="s">
        <v>3125</v>
      </c>
      <c r="AA465" s="211"/>
      <c r="AB465" s="211"/>
      <c r="AC465" s="211"/>
      <c r="AD465" s="211"/>
      <c r="AE465" s="211"/>
    </row>
    <row r="466" spans="2:31" s="204" customFormat="1" x14ac:dyDescent="0.25">
      <c r="B466" s="246" t="s">
        <v>1036</v>
      </c>
      <c r="C466" s="273" t="s">
        <v>1037</v>
      </c>
      <c r="D466" s="274" t="s">
        <v>3481</v>
      </c>
      <c r="E466" s="264"/>
      <c r="F466" s="264"/>
      <c r="G466" s="265"/>
      <c r="H466" s="266"/>
      <c r="I466" s="267"/>
      <c r="J466" s="267"/>
      <c r="K466" s="267"/>
      <c r="L466" s="268" t="s">
        <v>3482</v>
      </c>
      <c r="M466" s="263" t="s">
        <v>2962</v>
      </c>
      <c r="N466" s="269">
        <f>+R466</f>
        <v>0</v>
      </c>
      <c r="O466" s="270">
        <f>+R466+S466+X466-ABS(Y466)+ABS(Z466)+W466+Q466</f>
        <v>0</v>
      </c>
      <c r="P466" s="271">
        <f>+O466-N466</f>
        <v>0</v>
      </c>
      <c r="Q466" s="272">
        <f>+'NI-San_SP'!Q466+'NI-Soc_SP'!Q466+'NI-Ric_SP'!Q466</f>
        <v>0</v>
      </c>
      <c r="R466" s="272">
        <f>+'NI-San_SP'!R466+'NI-Soc_SP'!R466+'NI-Ric_SP'!R466</f>
        <v>0</v>
      </c>
      <c r="S466" s="272">
        <f>+'NI-San_SP'!S466+'NI-Soc_SP'!S466+'NI-Ric_SP'!S466</f>
        <v>0</v>
      </c>
      <c r="V466" s="211"/>
      <c r="W466" s="272">
        <f>+'NI-San_SP'!W466+'NI-Soc_SP'!W466+'NI-Ric_SP'!W466</f>
        <v>0</v>
      </c>
      <c r="X466" s="272">
        <f>+'NI-San_SP'!X466+'NI-Soc_SP'!X466+'NI-Ric_SP'!X466</f>
        <v>0</v>
      </c>
      <c r="Y466" s="272">
        <f>+'NI-San_SP'!Y466+'NI-Soc_SP'!Y466+'NI-Ric_SP'!Y466</f>
        <v>0</v>
      </c>
      <c r="Z466" s="272">
        <f>+'NI-San_SP'!Z466+'NI-Soc_SP'!Z466+'NI-Ric_SP'!Z466</f>
        <v>0</v>
      </c>
      <c r="AA466" s="211"/>
      <c r="AB466" s="211"/>
      <c r="AC466" s="211"/>
      <c r="AD466" s="211"/>
      <c r="AE466" s="211"/>
    </row>
    <row r="467" spans="2:31" s="204" customFormat="1" x14ac:dyDescent="0.25">
      <c r="B467" s="246" t="s">
        <v>1039</v>
      </c>
      <c r="C467" s="273" t="s">
        <v>1040</v>
      </c>
      <c r="D467" s="274" t="s">
        <v>3483</v>
      </c>
      <c r="E467" s="274"/>
      <c r="F467" s="274"/>
      <c r="G467" s="283"/>
      <c r="H467" s="326"/>
      <c r="I467" s="281"/>
      <c r="J467" s="281"/>
      <c r="K467" s="281"/>
      <c r="L467" s="295" t="s">
        <v>3484</v>
      </c>
      <c r="M467" s="263" t="s">
        <v>2962</v>
      </c>
      <c r="N467" s="269">
        <f>+R467</f>
        <v>0</v>
      </c>
      <c r="O467" s="270">
        <f>+R467+S467+X467-ABS(Y467)+ABS(Z467)+W467+Q467</f>
        <v>0</v>
      </c>
      <c r="P467" s="271">
        <f>+O467-N467</f>
        <v>0</v>
      </c>
      <c r="Q467" s="272">
        <f>+'NI-San_SP'!Q467+'NI-Soc_SP'!Q467+'NI-Ric_SP'!Q467</f>
        <v>0</v>
      </c>
      <c r="R467" s="272">
        <f>+'NI-San_SP'!R467+'NI-Soc_SP'!R467+'NI-Ric_SP'!R467</f>
        <v>0</v>
      </c>
      <c r="S467" s="272">
        <f>+'NI-San_SP'!S467+'NI-Soc_SP'!S467+'NI-Ric_SP'!S467</f>
        <v>0</v>
      </c>
      <c r="V467" s="211"/>
      <c r="W467" s="272">
        <f>+'NI-San_SP'!W467+'NI-Soc_SP'!W467+'NI-Ric_SP'!W467</f>
        <v>0</v>
      </c>
      <c r="X467" s="272">
        <f>+'NI-San_SP'!X467+'NI-Soc_SP'!X467+'NI-Ric_SP'!X467</f>
        <v>0</v>
      </c>
      <c r="Y467" s="272">
        <f>+'NI-San_SP'!Y467+'NI-Soc_SP'!Y467+'NI-Ric_SP'!Y467</f>
        <v>0</v>
      </c>
      <c r="Z467" s="272">
        <f>+'NI-San_SP'!Z467+'NI-Soc_SP'!Z467+'NI-Ric_SP'!Z467</f>
        <v>0</v>
      </c>
      <c r="AA467" s="211"/>
      <c r="AB467" s="211"/>
      <c r="AC467" s="211"/>
      <c r="AD467" s="211"/>
      <c r="AE467" s="211"/>
    </row>
    <row r="468" spans="2:31" s="204" customFormat="1" x14ac:dyDescent="0.25">
      <c r="B468" s="293"/>
      <c r="C468" s="293"/>
      <c r="D468" s="300"/>
      <c r="E468" s="300"/>
      <c r="F468" s="300"/>
      <c r="G468" s="300"/>
      <c r="H468" s="327"/>
      <c r="I468" s="300"/>
      <c r="J468" s="300"/>
      <c r="K468" s="300"/>
      <c r="L468" s="312"/>
      <c r="M468" s="211"/>
      <c r="N468" s="254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</row>
    <row r="469" spans="2:31" s="204" customFormat="1" x14ac:dyDescent="0.25">
      <c r="B469" s="246" t="s">
        <v>1042</v>
      </c>
      <c r="C469" s="292" t="s">
        <v>1043</v>
      </c>
      <c r="D469" s="247" t="s">
        <v>3485</v>
      </c>
      <c r="E469" s="301"/>
      <c r="F469" s="301"/>
      <c r="G469" s="301"/>
      <c r="H469" s="328"/>
      <c r="I469" s="301"/>
      <c r="J469" s="301"/>
      <c r="K469" s="329"/>
      <c r="L469" s="257" t="s">
        <v>1046</v>
      </c>
      <c r="M469" s="251" t="s">
        <v>2962</v>
      </c>
      <c r="N469" s="252">
        <f>SUM(N472:N472)</f>
        <v>0</v>
      </c>
      <c r="O469" s="252">
        <f>SUM(O472:O472)</f>
        <v>0</v>
      </c>
      <c r="P469" s="259">
        <f>+O469-N469</f>
        <v>0</v>
      </c>
      <c r="Q469" s="252">
        <f>SUM(Q472:Q472)</f>
        <v>0</v>
      </c>
      <c r="R469" s="252">
        <f>SUM(R472:R472)</f>
        <v>0</v>
      </c>
      <c r="S469" s="252">
        <f>SUM(S472:S472)</f>
        <v>0</v>
      </c>
      <c r="T469" s="211"/>
      <c r="U469" s="211"/>
      <c r="V469" s="211"/>
      <c r="W469" s="252">
        <f>SUM(W472:W472)</f>
        <v>0</v>
      </c>
      <c r="X469" s="252">
        <f>SUM(X472:X472)</f>
        <v>0</v>
      </c>
      <c r="Y469" s="252">
        <f>SUM(Y472:Y472)</f>
        <v>0</v>
      </c>
      <c r="Z469" s="252">
        <f>SUM(Z472:Z472)</f>
        <v>0</v>
      </c>
      <c r="AA469" s="211"/>
      <c r="AB469" s="211"/>
      <c r="AC469" s="211"/>
      <c r="AD469" s="211"/>
      <c r="AE469" s="211"/>
    </row>
    <row r="470" spans="2:31" s="204" customFormat="1" x14ac:dyDescent="0.25">
      <c r="B470" s="293"/>
      <c r="C470" s="293"/>
      <c r="D470" s="230"/>
      <c r="E470" s="230"/>
      <c r="F470" s="230"/>
      <c r="G470" s="230"/>
      <c r="H470" s="231"/>
      <c r="I470" s="230"/>
      <c r="J470" s="230"/>
      <c r="K470" s="230"/>
      <c r="L470" s="232"/>
      <c r="M470" s="211"/>
      <c r="N470" s="211"/>
      <c r="O470" s="211"/>
      <c r="P470" s="211"/>
      <c r="Q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</row>
    <row r="471" spans="2:31" s="204" customFormat="1" ht="63.75" x14ac:dyDescent="0.25">
      <c r="B471" s="294" t="s">
        <v>2968</v>
      </c>
      <c r="C471" s="294" t="s">
        <v>2969</v>
      </c>
      <c r="D471" s="206" t="s">
        <v>72</v>
      </c>
      <c r="E471" s="206"/>
      <c r="F471" s="206"/>
      <c r="G471" s="207"/>
      <c r="H471" s="207"/>
      <c r="I471" s="207"/>
      <c r="J471" s="207" t="s">
        <v>2957</v>
      </c>
      <c r="K471" s="206" t="s">
        <v>82</v>
      </c>
      <c r="L471" s="261" t="s">
        <v>2970</v>
      </c>
      <c r="M471" s="260"/>
      <c r="N471" s="256" t="str">
        <f>N$15</f>
        <v>Valore netto al 31/12/2019</v>
      </c>
      <c r="O471" s="256" t="str">
        <f>O$15</f>
        <v>Valore netto al 31/12/2020</v>
      </c>
      <c r="P471" s="256" t="str">
        <f>P$15</f>
        <v>Variazione</v>
      </c>
      <c r="Q471" s="262" t="s">
        <v>2971</v>
      </c>
      <c r="R471" s="262" t="str">
        <f>"Fondo svalutazione 31/12/"&amp;Info!$B$3-1</f>
        <v>Fondo svalutazione 31/12/2019</v>
      </c>
      <c r="S471" s="262" t="s">
        <v>2972</v>
      </c>
      <c r="V471" s="211"/>
      <c r="W471" s="262" t="s">
        <v>2975</v>
      </c>
      <c r="X471" s="262" t="s">
        <v>2976</v>
      </c>
      <c r="Y471" s="262" t="s">
        <v>3124</v>
      </c>
      <c r="Z471" s="262" t="s">
        <v>3125</v>
      </c>
      <c r="AA471" s="211"/>
      <c r="AB471" s="211"/>
      <c r="AC471" s="211"/>
      <c r="AD471" s="211"/>
      <c r="AE471" s="211"/>
    </row>
    <row r="472" spans="2:31" s="204" customFormat="1" x14ac:dyDescent="0.25">
      <c r="B472" s="246" t="s">
        <v>1047</v>
      </c>
      <c r="C472" s="273" t="s">
        <v>1048</v>
      </c>
      <c r="D472" s="274" t="s">
        <v>3486</v>
      </c>
      <c r="E472" s="264"/>
      <c r="F472" s="264"/>
      <c r="G472" s="265"/>
      <c r="H472" s="266"/>
      <c r="I472" s="267"/>
      <c r="J472" s="267"/>
      <c r="K472" s="267"/>
      <c r="L472" s="268" t="s">
        <v>3487</v>
      </c>
      <c r="M472" s="263" t="s">
        <v>2962</v>
      </c>
      <c r="N472" s="269">
        <f>+R472</f>
        <v>0</v>
      </c>
      <c r="O472" s="270">
        <f>+R472+S472+X472-ABS(Y472)+ABS(Z472)+W472+Q472</f>
        <v>0</v>
      </c>
      <c r="P472" s="271">
        <f>+O472-N472</f>
        <v>0</v>
      </c>
      <c r="Q472" s="272">
        <f>+'NI-San_SP'!Q472+'NI-Soc_SP'!Q472+'NI-Ric_SP'!Q472</f>
        <v>0</v>
      </c>
      <c r="R472" s="272">
        <f>+'NI-San_SP'!R472+'NI-Soc_SP'!R472+'NI-Ric_SP'!R472</f>
        <v>0</v>
      </c>
      <c r="S472" s="272">
        <f>+'NI-San_SP'!S472+'NI-Soc_SP'!S472+'NI-Ric_SP'!S472</f>
        <v>0</v>
      </c>
      <c r="V472" s="211"/>
      <c r="W472" s="272">
        <f>+'NI-San_SP'!W472+'NI-Soc_SP'!W472+'NI-Ric_SP'!W472</f>
        <v>0</v>
      </c>
      <c r="X472" s="272">
        <f>+'NI-San_SP'!X472+'NI-Soc_SP'!X472+'NI-Ric_SP'!X472</f>
        <v>0</v>
      </c>
      <c r="Y472" s="272">
        <f>+'NI-San_SP'!Y472+'NI-Soc_SP'!Y472+'NI-Ric_SP'!Y472</f>
        <v>0</v>
      </c>
      <c r="Z472" s="272">
        <f>+'NI-San_SP'!Z472+'NI-Soc_SP'!Z472+'NI-Ric_SP'!Z472</f>
        <v>0</v>
      </c>
      <c r="AA472" s="211"/>
      <c r="AB472" s="211"/>
      <c r="AC472" s="211"/>
      <c r="AD472" s="211"/>
      <c r="AE472" s="211"/>
    </row>
    <row r="473" spans="2:31" s="204" customFormat="1" x14ac:dyDescent="0.25">
      <c r="B473" s="293"/>
      <c r="C473" s="293"/>
      <c r="D473" s="300"/>
      <c r="E473" s="300"/>
      <c r="F473" s="300"/>
      <c r="G473" s="300"/>
      <c r="H473" s="327"/>
      <c r="I473" s="300"/>
      <c r="J473" s="300"/>
      <c r="K473" s="300"/>
      <c r="L473" s="312"/>
      <c r="M473" s="211"/>
      <c r="N473" s="254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</row>
    <row r="474" spans="2:31" s="204" customFormat="1" x14ac:dyDescent="0.25">
      <c r="B474" s="246" t="s">
        <v>1050</v>
      </c>
      <c r="C474" s="292" t="s">
        <v>1051</v>
      </c>
      <c r="D474" s="247" t="s">
        <v>3488</v>
      </c>
      <c r="E474" s="301"/>
      <c r="F474" s="301"/>
      <c r="G474" s="301"/>
      <c r="H474" s="328"/>
      <c r="I474" s="301"/>
      <c r="J474" s="301"/>
      <c r="K474" s="329"/>
      <c r="L474" s="257" t="s">
        <v>1054</v>
      </c>
      <c r="M474" s="251" t="s">
        <v>2962</v>
      </c>
      <c r="N474" s="252">
        <f>SUM(N477:N478)</f>
        <v>0</v>
      </c>
      <c r="O474" s="252">
        <f>SUM(O477:O478)</f>
        <v>0</v>
      </c>
      <c r="P474" s="259">
        <f>+O474-N474</f>
        <v>0</v>
      </c>
      <c r="Q474" s="252">
        <f>SUM(Q477:Q478)</f>
        <v>0</v>
      </c>
      <c r="R474" s="252">
        <f>SUM(R477:R478)</f>
        <v>0</v>
      </c>
      <c r="S474" s="252">
        <f>SUM(S477:S478)</f>
        <v>0</v>
      </c>
      <c r="T474" s="211"/>
      <c r="U474" s="211"/>
      <c r="V474" s="211"/>
      <c r="W474" s="252">
        <f>SUM(W477:W478)</f>
        <v>0</v>
      </c>
      <c r="X474" s="252">
        <f>SUM(X477:X478)</f>
        <v>0</v>
      </c>
      <c r="Y474" s="252">
        <f>SUM(Y477:Y478)</f>
        <v>0</v>
      </c>
      <c r="Z474" s="252">
        <f>SUM(Z477:Z478)</f>
        <v>0</v>
      </c>
      <c r="AA474" s="211"/>
      <c r="AB474" s="211"/>
      <c r="AC474" s="211"/>
      <c r="AD474" s="211"/>
      <c r="AE474" s="211"/>
    </row>
    <row r="475" spans="2:31" s="204" customFormat="1" x14ac:dyDescent="0.25">
      <c r="B475" s="293"/>
      <c r="C475" s="293"/>
      <c r="D475" s="230"/>
      <c r="E475" s="230"/>
      <c r="F475" s="230"/>
      <c r="G475" s="230"/>
      <c r="H475" s="231"/>
      <c r="I475" s="230"/>
      <c r="J475" s="230"/>
      <c r="K475" s="230"/>
      <c r="L475" s="232"/>
      <c r="M475" s="211"/>
      <c r="N475" s="211"/>
      <c r="O475" s="211"/>
      <c r="P475" s="211"/>
      <c r="Q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</row>
    <row r="476" spans="2:31" s="204" customFormat="1" ht="63.75" x14ac:dyDescent="0.25">
      <c r="B476" s="294" t="s">
        <v>2968</v>
      </c>
      <c r="C476" s="294" t="s">
        <v>2969</v>
      </c>
      <c r="D476" s="206" t="s">
        <v>72</v>
      </c>
      <c r="E476" s="206"/>
      <c r="F476" s="206"/>
      <c r="G476" s="207"/>
      <c r="H476" s="207"/>
      <c r="I476" s="207"/>
      <c r="J476" s="207" t="s">
        <v>2957</v>
      </c>
      <c r="K476" s="206" t="s">
        <v>82</v>
      </c>
      <c r="L476" s="261" t="s">
        <v>2970</v>
      </c>
      <c r="M476" s="260"/>
      <c r="N476" s="256" t="str">
        <f>N$15</f>
        <v>Valore netto al 31/12/2019</v>
      </c>
      <c r="O476" s="256" t="str">
        <f>O$15</f>
        <v>Valore netto al 31/12/2020</v>
      </c>
      <c r="P476" s="256" t="str">
        <f>P$15</f>
        <v>Variazione</v>
      </c>
      <c r="Q476" s="262" t="s">
        <v>2971</v>
      </c>
      <c r="R476" s="262" t="str">
        <f>"Fondo svalutazione 31/12/"&amp;Info!$B$3-1</f>
        <v>Fondo svalutazione 31/12/2019</v>
      </c>
      <c r="S476" s="262" t="s">
        <v>2972</v>
      </c>
      <c r="V476" s="211"/>
      <c r="W476" s="262" t="s">
        <v>2975</v>
      </c>
      <c r="X476" s="262" t="s">
        <v>2976</v>
      </c>
      <c r="Y476" s="262" t="s">
        <v>3124</v>
      </c>
      <c r="Z476" s="262" t="s">
        <v>3125</v>
      </c>
      <c r="AA476" s="211"/>
      <c r="AB476" s="211"/>
      <c r="AC476" s="211"/>
      <c r="AD476" s="211"/>
      <c r="AE476" s="211"/>
    </row>
    <row r="477" spans="2:31" s="204" customFormat="1" x14ac:dyDescent="0.25">
      <c r="B477" s="246" t="s">
        <v>1055</v>
      </c>
      <c r="C477" s="273" t="s">
        <v>1056</v>
      </c>
      <c r="D477" s="274" t="s">
        <v>3489</v>
      </c>
      <c r="E477" s="264"/>
      <c r="F477" s="264"/>
      <c r="G477" s="265"/>
      <c r="H477" s="266"/>
      <c r="I477" s="267"/>
      <c r="J477" s="267"/>
      <c r="K477" s="267"/>
      <c r="L477" s="268" t="s">
        <v>3490</v>
      </c>
      <c r="M477" s="263" t="s">
        <v>2962</v>
      </c>
      <c r="N477" s="269">
        <f>+R477</f>
        <v>0</v>
      </c>
      <c r="O477" s="270">
        <f>+R477+S477+X477-ABS(Y477)+ABS(Z477)+W477+Q477</f>
        <v>0</v>
      </c>
      <c r="P477" s="271">
        <f>+O477-N477</f>
        <v>0</v>
      </c>
      <c r="Q477" s="272">
        <f>+'NI-San_SP'!Q477+'NI-Soc_SP'!Q477+'NI-Ric_SP'!Q477</f>
        <v>0</v>
      </c>
      <c r="R477" s="272">
        <f>+'NI-San_SP'!R477+'NI-Soc_SP'!R477+'NI-Ric_SP'!R477</f>
        <v>0</v>
      </c>
      <c r="S477" s="272">
        <f>+'NI-San_SP'!S477+'NI-Soc_SP'!S477+'NI-Ric_SP'!S477</f>
        <v>0</v>
      </c>
      <c r="V477" s="211"/>
      <c r="W477" s="272">
        <f>+'NI-San_SP'!W477+'NI-Soc_SP'!W477+'NI-Ric_SP'!W477</f>
        <v>0</v>
      </c>
      <c r="X477" s="272">
        <f>+'NI-San_SP'!X477+'NI-Soc_SP'!X477+'NI-Ric_SP'!X477</f>
        <v>0</v>
      </c>
      <c r="Y477" s="272">
        <f>+'NI-San_SP'!Y477+'NI-Soc_SP'!Y477+'NI-Ric_SP'!Y477</f>
        <v>0</v>
      </c>
      <c r="Z477" s="272">
        <f>+'NI-San_SP'!Z477+'NI-Soc_SP'!Z477+'NI-Ric_SP'!Z477</f>
        <v>0</v>
      </c>
      <c r="AA477" s="211"/>
      <c r="AB477" s="211"/>
      <c r="AC477" s="211"/>
      <c r="AD477" s="211"/>
      <c r="AE477" s="211"/>
    </row>
    <row r="478" spans="2:31" s="204" customFormat="1" x14ac:dyDescent="0.25">
      <c r="B478" s="246" t="s">
        <v>1058</v>
      </c>
      <c r="C478" s="273" t="s">
        <v>1059</v>
      </c>
      <c r="D478" s="274" t="s">
        <v>3491</v>
      </c>
      <c r="E478" s="274"/>
      <c r="F478" s="274"/>
      <c r="G478" s="283"/>
      <c r="H478" s="326"/>
      <c r="I478" s="281"/>
      <c r="J478" s="281"/>
      <c r="K478" s="281"/>
      <c r="L478" s="295" t="s">
        <v>3492</v>
      </c>
      <c r="M478" s="263" t="s">
        <v>2962</v>
      </c>
      <c r="N478" s="269">
        <f>+R478</f>
        <v>0</v>
      </c>
      <c r="O478" s="270">
        <f>+R478+S478+X478-ABS(Y478)+ABS(Z478)+W478+Q478</f>
        <v>0</v>
      </c>
      <c r="P478" s="271">
        <f>+O478-N478</f>
        <v>0</v>
      </c>
      <c r="Q478" s="272">
        <f>+'NI-San_SP'!Q478+'NI-Soc_SP'!Q478+'NI-Ric_SP'!Q478</f>
        <v>0</v>
      </c>
      <c r="R478" s="272">
        <f>+'NI-San_SP'!R478+'NI-Soc_SP'!R478+'NI-Ric_SP'!R478</f>
        <v>0</v>
      </c>
      <c r="S478" s="272">
        <f>+'NI-San_SP'!S478+'NI-Soc_SP'!S478+'NI-Ric_SP'!S478</f>
        <v>0</v>
      </c>
      <c r="V478" s="211"/>
      <c r="W478" s="272">
        <f>+'NI-San_SP'!W478+'NI-Soc_SP'!W478+'NI-Ric_SP'!W478</f>
        <v>0</v>
      </c>
      <c r="X478" s="272">
        <f>+'NI-San_SP'!X478+'NI-Soc_SP'!X478+'NI-Ric_SP'!X478</f>
        <v>0</v>
      </c>
      <c r="Y478" s="272">
        <f>+'NI-San_SP'!Y478+'NI-Soc_SP'!Y478+'NI-Ric_SP'!Y478</f>
        <v>0</v>
      </c>
      <c r="Z478" s="272">
        <f>+'NI-San_SP'!Z478+'NI-Soc_SP'!Z478+'NI-Ric_SP'!Z478</f>
        <v>0</v>
      </c>
      <c r="AA478" s="211"/>
      <c r="AB478" s="211"/>
      <c r="AC478" s="211"/>
      <c r="AD478" s="211"/>
      <c r="AE478" s="211"/>
    </row>
    <row r="479" spans="2:31" s="204" customFormat="1" x14ac:dyDescent="0.25">
      <c r="B479" s="293"/>
      <c r="C479" s="293"/>
      <c r="D479" s="226"/>
      <c r="E479" s="226"/>
      <c r="F479" s="226"/>
      <c r="G479" s="226"/>
      <c r="H479" s="227"/>
      <c r="I479" s="226"/>
      <c r="J479" s="226"/>
      <c r="K479" s="226"/>
      <c r="L479" s="315"/>
      <c r="M479" s="211"/>
      <c r="N479" s="254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</row>
    <row r="480" spans="2:31" s="204" customFormat="1" x14ac:dyDescent="0.25">
      <c r="B480" s="293"/>
      <c r="C480" s="293"/>
      <c r="D480" s="230"/>
      <c r="E480" s="230"/>
      <c r="F480" s="230"/>
      <c r="G480" s="230"/>
      <c r="H480" s="231"/>
      <c r="I480" s="230"/>
      <c r="J480" s="230"/>
      <c r="K480" s="230"/>
      <c r="L480" s="232"/>
      <c r="M480" s="211"/>
      <c r="N480" s="254"/>
      <c r="O480" s="211"/>
      <c r="P480" s="211"/>
      <c r="Q480" s="211"/>
      <c r="R480" s="211"/>
      <c r="S480" s="211"/>
      <c r="T480" s="211"/>
      <c r="U480" s="211"/>
      <c r="V480" s="211"/>
      <c r="W480" s="285"/>
      <c r="X480" s="285"/>
      <c r="Y480" s="211"/>
      <c r="Z480" s="211"/>
      <c r="AA480" s="211"/>
      <c r="AB480" s="211"/>
      <c r="AC480" s="211"/>
      <c r="AD480" s="211"/>
      <c r="AE480" s="211"/>
    </row>
    <row r="481" spans="1:38" s="204" customFormat="1" ht="25.5" x14ac:dyDescent="0.25">
      <c r="B481" s="293"/>
      <c r="C481" s="293"/>
      <c r="D481" s="230"/>
      <c r="E481" s="230"/>
      <c r="F481" s="230"/>
      <c r="G481" s="230"/>
      <c r="H481" s="231"/>
      <c r="I481" s="230"/>
      <c r="J481" s="230"/>
      <c r="K481" s="230"/>
      <c r="L481" s="243"/>
      <c r="M481" s="244"/>
      <c r="N481" s="330" t="str">
        <f>N$15</f>
        <v>Valore netto al 31/12/2019</v>
      </c>
      <c r="O481" s="331" t="str">
        <f>O$15</f>
        <v>Valore netto al 31/12/2020</v>
      </c>
      <c r="P481" s="330" t="str">
        <f>P$15</f>
        <v>Variazione</v>
      </c>
      <c r="Q481" s="211"/>
      <c r="R481" s="211"/>
      <c r="S481" s="211"/>
      <c r="T481" s="211"/>
      <c r="U481" s="211"/>
      <c r="V481" s="211"/>
      <c r="W481" s="285"/>
      <c r="X481" s="285"/>
      <c r="Y481" s="211"/>
      <c r="Z481" s="211"/>
      <c r="AA481" s="211"/>
    </row>
    <row r="482" spans="1:38" s="204" customFormat="1" x14ac:dyDescent="0.25">
      <c r="B482" s="246" t="s">
        <v>1061</v>
      </c>
      <c r="C482" s="292" t="s">
        <v>1062</v>
      </c>
      <c r="D482" s="247" t="s">
        <v>3493</v>
      </c>
      <c r="E482" s="247"/>
      <c r="F482" s="247"/>
      <c r="G482" s="247"/>
      <c r="H482" s="248"/>
      <c r="I482" s="247"/>
      <c r="J482" s="247"/>
      <c r="K482" s="249"/>
      <c r="L482" s="250" t="s">
        <v>1063</v>
      </c>
      <c r="M482" s="251" t="s">
        <v>2962</v>
      </c>
      <c r="N482" s="252">
        <f>+N484+N493</f>
        <v>0</v>
      </c>
      <c r="O482" s="252">
        <f>+O484+O493</f>
        <v>0</v>
      </c>
      <c r="P482" s="253">
        <f>+O482-N482</f>
        <v>0</v>
      </c>
      <c r="Q482" s="211"/>
      <c r="R482" s="211"/>
      <c r="S482" s="211"/>
      <c r="T482" s="211"/>
      <c r="U482" s="211"/>
      <c r="V482" s="211"/>
      <c r="W482" s="285"/>
      <c r="X482" s="285"/>
      <c r="Y482" s="211"/>
      <c r="Z482" s="211"/>
      <c r="AA482" s="211"/>
    </row>
    <row r="483" spans="1:38" s="204" customFormat="1" x14ac:dyDescent="0.25">
      <c r="B483" s="293"/>
      <c r="C483" s="293"/>
      <c r="D483" s="230"/>
      <c r="E483" s="230"/>
      <c r="F483" s="230"/>
      <c r="G483" s="230"/>
      <c r="H483" s="231"/>
      <c r="I483" s="230"/>
      <c r="J483" s="230"/>
      <c r="K483" s="230"/>
      <c r="L483" s="232"/>
      <c r="M483" s="211"/>
      <c r="N483" s="254"/>
      <c r="O483" s="211"/>
      <c r="P483" s="211"/>
      <c r="Q483" s="211"/>
      <c r="R483" s="211"/>
      <c r="S483" s="211"/>
      <c r="T483" s="211"/>
      <c r="U483" s="211"/>
      <c r="V483" s="211"/>
      <c r="W483" s="285"/>
      <c r="X483" s="285"/>
      <c r="Y483" s="211"/>
      <c r="Z483" s="211"/>
      <c r="AA483" s="211"/>
    </row>
    <row r="484" spans="1:38" s="204" customFormat="1" x14ac:dyDescent="0.25">
      <c r="B484" s="246" t="s">
        <v>1064</v>
      </c>
      <c r="C484" s="292" t="s">
        <v>1065</v>
      </c>
      <c r="D484" s="247" t="s">
        <v>3494</v>
      </c>
      <c r="E484" s="247"/>
      <c r="F484" s="247"/>
      <c r="G484" s="247"/>
      <c r="H484" s="248"/>
      <c r="I484" s="247"/>
      <c r="J484" s="247"/>
      <c r="K484" s="249"/>
      <c r="L484" s="276" t="s">
        <v>1067</v>
      </c>
      <c r="M484" s="251" t="s">
        <v>2962</v>
      </c>
      <c r="N484" s="252">
        <f>SUM(N488:N491)</f>
        <v>0</v>
      </c>
      <c r="O484" s="252">
        <f>SUM(O488:O491)</f>
        <v>0</v>
      </c>
      <c r="P484" s="259">
        <f>+O484-N484</f>
        <v>0</v>
      </c>
      <c r="Q484" s="252">
        <f t="shared" ref="Q484:AL484" si="63">SUM(Q488:Q491)</f>
        <v>0</v>
      </c>
      <c r="R484" s="252">
        <f t="shared" si="63"/>
        <v>0</v>
      </c>
      <c r="S484" s="252">
        <f t="shared" si="63"/>
        <v>0</v>
      </c>
      <c r="T484" s="252">
        <f t="shared" si="63"/>
        <v>0</v>
      </c>
      <c r="U484" s="252">
        <f t="shared" si="63"/>
        <v>0</v>
      </c>
      <c r="V484" s="252">
        <f t="shared" si="63"/>
        <v>0</v>
      </c>
      <c r="W484" s="252">
        <f t="shared" si="63"/>
        <v>0</v>
      </c>
      <c r="X484" s="252">
        <f t="shared" si="63"/>
        <v>0</v>
      </c>
      <c r="Y484" s="252">
        <f t="shared" si="63"/>
        <v>0</v>
      </c>
      <c r="Z484" s="252">
        <f t="shared" si="63"/>
        <v>0</v>
      </c>
      <c r="AA484" s="252">
        <f t="shared" si="63"/>
        <v>0</v>
      </c>
      <c r="AB484" s="252">
        <f t="shared" si="63"/>
        <v>0</v>
      </c>
      <c r="AC484" s="252">
        <f t="shared" si="63"/>
        <v>0</v>
      </c>
      <c r="AD484" s="252">
        <f t="shared" si="63"/>
        <v>0</v>
      </c>
      <c r="AE484" s="252">
        <f t="shared" si="63"/>
        <v>0</v>
      </c>
      <c r="AF484" s="252">
        <f t="shared" si="63"/>
        <v>0</v>
      </c>
      <c r="AG484" s="252">
        <f t="shared" si="63"/>
        <v>0</v>
      </c>
      <c r="AH484" s="252">
        <f t="shared" si="63"/>
        <v>0</v>
      </c>
      <c r="AI484" s="252">
        <f t="shared" si="63"/>
        <v>0</v>
      </c>
      <c r="AJ484" s="252">
        <f t="shared" si="63"/>
        <v>0</v>
      </c>
      <c r="AK484" s="252">
        <f t="shared" si="63"/>
        <v>0</v>
      </c>
      <c r="AL484" s="252">
        <f t="shared" si="63"/>
        <v>0</v>
      </c>
    </row>
    <row r="485" spans="1:38" s="204" customFormat="1" x14ac:dyDescent="0.25">
      <c r="B485" s="298"/>
      <c r="C485" s="298"/>
      <c r="D485" s="226"/>
      <c r="E485" s="226"/>
      <c r="F485" s="226"/>
      <c r="G485" s="226"/>
      <c r="H485" s="227"/>
      <c r="I485" s="226"/>
      <c r="J485" s="226"/>
      <c r="K485" s="226"/>
      <c r="L485" s="241"/>
      <c r="M485" s="278"/>
      <c r="N485" s="279"/>
      <c r="O485" s="279"/>
      <c r="P485" s="297"/>
      <c r="Q485" s="211"/>
      <c r="R485" s="279"/>
      <c r="S485" s="279"/>
      <c r="T485" s="279"/>
      <c r="U485" s="279"/>
      <c r="V485" s="279"/>
      <c r="W485" s="279"/>
      <c r="X485" s="279"/>
      <c r="Y485" s="279"/>
      <c r="Z485" s="279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</row>
    <row r="486" spans="1:38" s="204" customFormat="1" ht="24.75" customHeight="1" x14ac:dyDescent="0.25">
      <c r="B486" s="293"/>
      <c r="C486" s="293"/>
      <c r="D486" s="230"/>
      <c r="E486" s="230"/>
      <c r="F486" s="230"/>
      <c r="G486" s="230"/>
      <c r="H486" s="231"/>
      <c r="I486" s="230"/>
      <c r="J486" s="230"/>
      <c r="K486" s="230"/>
      <c r="L486" s="332"/>
      <c r="M486" s="333"/>
      <c r="N486" s="334"/>
      <c r="O486" s="211"/>
      <c r="P486" s="211"/>
      <c r="Q486" s="211"/>
      <c r="R486" s="211"/>
      <c r="S486" s="913" t="s">
        <v>3495</v>
      </c>
      <c r="T486" s="913"/>
      <c r="U486" s="913"/>
      <c r="V486" s="335" t="s">
        <v>3496</v>
      </c>
      <c r="W486" s="336"/>
      <c r="X486" s="335" t="s">
        <v>3496</v>
      </c>
      <c r="Z486" s="211"/>
      <c r="AA486" s="211"/>
      <c r="AB486" s="285"/>
      <c r="AC486" s="211"/>
      <c r="AD486" s="211"/>
      <c r="AE486" s="904" t="str">
        <f>"VALORE NOMINALE DEI CREDITI AL 31/12/"&amp;Info!B3&amp;" PER ANNO DI FORMAZIONE"</f>
        <v>VALORE NOMINALE DEI CREDITI AL 31/12/2020 PER ANNO DI FORMAZIONE</v>
      </c>
      <c r="AF486" s="904"/>
      <c r="AG486" s="904"/>
      <c r="AH486" s="904"/>
      <c r="AI486" s="904"/>
      <c r="AJ486" s="905" t="str">
        <f>"VALORE NETTO DEI CREDITI AL 31/12/"&amp;Info!B3&amp;" PER SCADENZA"</f>
        <v>VALORE NETTO DEI CREDITI AL 31/12/2020 PER SCADENZA</v>
      </c>
      <c r="AK486" s="905"/>
      <c r="AL486" s="905"/>
    </row>
    <row r="487" spans="1:38" s="204" customFormat="1" ht="63.75" x14ac:dyDescent="0.25">
      <c r="B487" s="294" t="s">
        <v>2968</v>
      </c>
      <c r="C487" s="294" t="s">
        <v>2969</v>
      </c>
      <c r="D487" s="206" t="s">
        <v>72</v>
      </c>
      <c r="E487" s="206"/>
      <c r="F487" s="206"/>
      <c r="G487" s="207"/>
      <c r="H487" s="207"/>
      <c r="I487" s="207"/>
      <c r="J487" s="207" t="s">
        <v>2957</v>
      </c>
      <c r="K487" s="206" t="s">
        <v>82</v>
      </c>
      <c r="L487" s="261" t="s">
        <v>2970</v>
      </c>
      <c r="M487" s="260"/>
      <c r="N487" s="256" t="str">
        <f>N$15</f>
        <v>Valore netto al 31/12/2019</v>
      </c>
      <c r="O487" s="256" t="str">
        <f>O$15</f>
        <v>Valore netto al 31/12/2020</v>
      </c>
      <c r="P487" s="256" t="str">
        <f>P$15</f>
        <v>Variazione</v>
      </c>
      <c r="Q487" s="262" t="s">
        <v>2971</v>
      </c>
      <c r="R487" s="262" t="str">
        <f>"Valore iniziale LORDO al 31/12/"&amp;Info!B3-1</f>
        <v>Valore iniziale LORDO al 31/12/2019</v>
      </c>
      <c r="S487" s="337" t="s">
        <v>2972</v>
      </c>
      <c r="T487" s="337" t="s">
        <v>3497</v>
      </c>
      <c r="U487" s="337" t="s">
        <v>3495</v>
      </c>
      <c r="V487" s="338" t="s">
        <v>3498</v>
      </c>
      <c r="W487" s="262" t="s">
        <v>2975</v>
      </c>
      <c r="X487" s="338" t="s">
        <v>3499</v>
      </c>
      <c r="Y487" s="262" t="str">
        <f>"Valore finale LORDO al 31/12/"&amp;Info!B3</f>
        <v>Valore finale LORDO al 31/12/2020</v>
      </c>
      <c r="Z487" s="262" t="str">
        <f>"Fondo svalutazione crediti al 31/12/"&amp;Info!B3-1</f>
        <v>Fondo svalutazione crediti al 31/12/2019</v>
      </c>
      <c r="AA487" s="262" t="s">
        <v>3500</v>
      </c>
      <c r="AB487" s="262" t="s">
        <v>3501</v>
      </c>
      <c r="AC487" s="262" t="s">
        <v>3502</v>
      </c>
      <c r="AD487" s="262" t="str">
        <f>"Fondo svalutazione crediti al 31/12/"&amp;Info!B3</f>
        <v>Fondo svalutazione crediti al 31/12/2020</v>
      </c>
      <c r="AE487" s="339" t="s">
        <v>3503</v>
      </c>
      <c r="AF487" s="339" t="s">
        <v>3504</v>
      </c>
      <c r="AG487" s="339" t="s">
        <v>3505</v>
      </c>
      <c r="AH487" s="339" t="s">
        <v>3506</v>
      </c>
      <c r="AI487" s="339" t="s">
        <v>3507</v>
      </c>
      <c r="AJ487" s="340" t="s">
        <v>3508</v>
      </c>
      <c r="AK487" s="340" t="s">
        <v>3509</v>
      </c>
      <c r="AL487" s="340" t="s">
        <v>3510</v>
      </c>
    </row>
    <row r="488" spans="1:38" s="204" customFormat="1" x14ac:dyDescent="0.25">
      <c r="B488" s="246" t="s">
        <v>1068</v>
      </c>
      <c r="C488" s="287" t="s">
        <v>1069</v>
      </c>
      <c r="D488" s="274" t="s">
        <v>3511</v>
      </c>
      <c r="E488" s="274"/>
      <c r="F488" s="274"/>
      <c r="G488" s="283"/>
      <c r="H488" s="266"/>
      <c r="I488" s="274"/>
      <c r="J488" s="281"/>
      <c r="K488" s="281"/>
      <c r="L488" s="341" t="s">
        <v>1072</v>
      </c>
      <c r="M488" s="263" t="s">
        <v>2962</v>
      </c>
      <c r="N488" s="269">
        <f>+R488-Z488</f>
        <v>0</v>
      </c>
      <c r="O488" s="270">
        <f>+Y488-AD488</f>
        <v>0</v>
      </c>
      <c r="P488" s="271">
        <f>+O488-N488</f>
        <v>0</v>
      </c>
      <c r="Q488" s="272">
        <f>+'NI-San_SP'!Q488+'NI-Soc_SP'!Q488+'NI-Ric_SP'!Q488</f>
        <v>0</v>
      </c>
      <c r="R488" s="272">
        <f>+'NI-San_SP'!R488+'NI-Soc_SP'!R488+'NI-Ric_SP'!R488</f>
        <v>0</v>
      </c>
      <c r="S488" s="272">
        <f>+'NI-San_SP'!S488+'NI-Soc_SP'!S488+'NI-Ric_SP'!S488</f>
        <v>0</v>
      </c>
      <c r="T488" s="272">
        <f>+'NI-San_SP'!T488+'NI-Soc_SP'!T488+'NI-Ric_SP'!T488</f>
        <v>0</v>
      </c>
      <c r="U488" s="272">
        <f>+'NI-San_SP'!U488+'NI-Soc_SP'!U488+'NI-Ric_SP'!U488</f>
        <v>0</v>
      </c>
      <c r="V488" s="272">
        <f>+'NI-San_SP'!V488+'NI-Soc_SP'!V488+'NI-Ric_SP'!V488</f>
        <v>0</v>
      </c>
      <c r="W488" s="272">
        <f>+'NI-San_SP'!W488+'NI-Soc_SP'!W488+'NI-Ric_SP'!W488</f>
        <v>0</v>
      </c>
      <c r="X488" s="272">
        <f>+'NI-San_SP'!X488+'NI-Soc_SP'!X488+'NI-Ric_SP'!X488</f>
        <v>0</v>
      </c>
      <c r="Y488" s="272">
        <f>+'NI-San_SP'!Y488+'NI-Soc_SP'!Y488+'NI-Ric_SP'!Y488</f>
        <v>0</v>
      </c>
      <c r="Z488" s="272">
        <f>+'NI-San_SP'!Z488+'NI-Soc_SP'!Z488+'NI-Ric_SP'!Z488</f>
        <v>0</v>
      </c>
      <c r="AA488" s="272">
        <f>+'NI-San_SP'!AA488+'NI-Soc_SP'!AA488+'NI-Ric_SP'!AA488</f>
        <v>0</v>
      </c>
      <c r="AB488" s="272">
        <f>+'NI-San_SP'!AB488+'NI-Soc_SP'!AB488+'NI-Ric_SP'!AB488</f>
        <v>0</v>
      </c>
      <c r="AC488" s="272">
        <f>+'NI-San_SP'!AC488+'NI-Soc_SP'!AC488+'NI-Ric_SP'!AC488</f>
        <v>0</v>
      </c>
      <c r="AD488" s="272">
        <f>+'NI-San_SP'!AD488+'NI-Soc_SP'!AD488+'NI-Ric_SP'!AD488</f>
        <v>0</v>
      </c>
      <c r="AE488" s="272">
        <f>+'NI-San_SP'!AE488+'NI-Soc_SP'!AE488+'NI-Ric_SP'!AE488</f>
        <v>0</v>
      </c>
      <c r="AF488" s="272">
        <f>+'NI-San_SP'!AF488+'NI-Soc_SP'!AF488+'NI-Ric_SP'!AF488</f>
        <v>0</v>
      </c>
      <c r="AG488" s="272">
        <f>+'NI-San_SP'!AG488+'NI-Soc_SP'!AG488+'NI-Ric_SP'!AG488</f>
        <v>0</v>
      </c>
      <c r="AH488" s="272">
        <f>+'NI-San_SP'!AH488+'NI-Soc_SP'!AH488+'NI-Ric_SP'!AH488</f>
        <v>0</v>
      </c>
      <c r="AI488" s="272">
        <f>+'NI-San_SP'!AI488+'NI-Soc_SP'!AI488+'NI-Ric_SP'!AI488</f>
        <v>0</v>
      </c>
      <c r="AJ488" s="272">
        <f>+'NI-San_SP'!AJ488+'NI-Soc_SP'!AJ488+'NI-Ric_SP'!AJ488</f>
        <v>0</v>
      </c>
      <c r="AK488" s="272">
        <f>+'NI-San_SP'!AK488+'NI-Soc_SP'!AK488+'NI-Ric_SP'!AK488</f>
        <v>0</v>
      </c>
      <c r="AL488" s="272">
        <f>+'NI-San_SP'!AL488+'NI-Soc_SP'!AL488+'NI-Ric_SP'!AL488</f>
        <v>0</v>
      </c>
    </row>
    <row r="489" spans="1:38" s="204" customFormat="1" x14ac:dyDescent="0.25">
      <c r="B489" s="246" t="s">
        <v>1073</v>
      </c>
      <c r="C489" s="287" t="s">
        <v>1074</v>
      </c>
      <c r="D489" s="274" t="s">
        <v>3512</v>
      </c>
      <c r="E489" s="274"/>
      <c r="F489" s="274"/>
      <c r="G489" s="283"/>
      <c r="H489" s="266"/>
      <c r="I489" s="274"/>
      <c r="J489" s="281"/>
      <c r="K489" s="281"/>
      <c r="L489" s="341" t="s">
        <v>1077</v>
      </c>
      <c r="M489" s="263" t="s">
        <v>2962</v>
      </c>
      <c r="N489" s="269">
        <f>+R489-Z489</f>
        <v>0</v>
      </c>
      <c r="O489" s="270">
        <f>+Y489-AD489</f>
        <v>0</v>
      </c>
      <c r="P489" s="271">
        <f>+O489-N489</f>
        <v>0</v>
      </c>
      <c r="Q489" s="272">
        <f>+'NI-San_SP'!Q489+'NI-Soc_SP'!Q489+'NI-Ric_SP'!Q489</f>
        <v>0</v>
      </c>
      <c r="R489" s="272">
        <f>+'NI-San_SP'!R489+'NI-Soc_SP'!R489+'NI-Ric_SP'!R489</f>
        <v>0</v>
      </c>
      <c r="S489" s="272">
        <f>+'NI-San_SP'!S489+'NI-Soc_SP'!S489+'NI-Ric_SP'!S489</f>
        <v>0</v>
      </c>
      <c r="T489" s="272">
        <f>+'NI-San_SP'!T489+'NI-Soc_SP'!T489+'NI-Ric_SP'!T489</f>
        <v>0</v>
      </c>
      <c r="U489" s="272">
        <f>+'NI-San_SP'!U489+'NI-Soc_SP'!U489+'NI-Ric_SP'!U489</f>
        <v>0</v>
      </c>
      <c r="V489" s="272">
        <f>+'NI-San_SP'!V489+'NI-Soc_SP'!V489+'NI-Ric_SP'!V489</f>
        <v>0</v>
      </c>
      <c r="W489" s="272">
        <f>+'NI-San_SP'!W489+'NI-Soc_SP'!W489+'NI-Ric_SP'!W489</f>
        <v>0</v>
      </c>
      <c r="X489" s="272">
        <f>+'NI-San_SP'!X489+'NI-Soc_SP'!X489+'NI-Ric_SP'!X489</f>
        <v>0</v>
      </c>
      <c r="Y489" s="272">
        <f>+'NI-San_SP'!Y489+'NI-Soc_SP'!Y489+'NI-Ric_SP'!Y489</f>
        <v>0</v>
      </c>
      <c r="Z489" s="272">
        <f>+'NI-San_SP'!Z489+'NI-Soc_SP'!Z489+'NI-Ric_SP'!Z489</f>
        <v>0</v>
      </c>
      <c r="AA489" s="272">
        <f>+'NI-San_SP'!AA489+'NI-Soc_SP'!AA489+'NI-Ric_SP'!AA489</f>
        <v>0</v>
      </c>
      <c r="AB489" s="272">
        <f>+'NI-San_SP'!AB489+'NI-Soc_SP'!AB489+'NI-Ric_SP'!AB489</f>
        <v>0</v>
      </c>
      <c r="AC489" s="272">
        <f>+'NI-San_SP'!AC489+'NI-Soc_SP'!AC489+'NI-Ric_SP'!AC489</f>
        <v>0</v>
      </c>
      <c r="AD489" s="272">
        <f>+'NI-San_SP'!AD489+'NI-Soc_SP'!AD489+'NI-Ric_SP'!AD489</f>
        <v>0</v>
      </c>
      <c r="AE489" s="272">
        <f>+'NI-San_SP'!AE489+'NI-Soc_SP'!AE489+'NI-Ric_SP'!AE489</f>
        <v>0</v>
      </c>
      <c r="AF489" s="272">
        <f>+'NI-San_SP'!AF489+'NI-Soc_SP'!AF489+'NI-Ric_SP'!AF489</f>
        <v>0</v>
      </c>
      <c r="AG489" s="272">
        <f>+'NI-San_SP'!AG489+'NI-Soc_SP'!AG489+'NI-Ric_SP'!AG489</f>
        <v>0</v>
      </c>
      <c r="AH489" s="272">
        <f>+'NI-San_SP'!AH489+'NI-Soc_SP'!AH489+'NI-Ric_SP'!AH489</f>
        <v>0</v>
      </c>
      <c r="AI489" s="272">
        <f>+'NI-San_SP'!AI489+'NI-Soc_SP'!AI489+'NI-Ric_SP'!AI489</f>
        <v>0</v>
      </c>
      <c r="AJ489" s="272">
        <f>+'NI-San_SP'!AJ489+'NI-Soc_SP'!AJ489+'NI-Ric_SP'!AJ489</f>
        <v>0</v>
      </c>
      <c r="AK489" s="272">
        <f>+'NI-San_SP'!AK489+'NI-Soc_SP'!AK489+'NI-Ric_SP'!AK489</f>
        <v>0</v>
      </c>
      <c r="AL489" s="272">
        <f>+'NI-San_SP'!AL489+'NI-Soc_SP'!AL489+'NI-Ric_SP'!AL489</f>
        <v>0</v>
      </c>
    </row>
    <row r="490" spans="1:38" s="204" customFormat="1" x14ac:dyDescent="0.25">
      <c r="B490" s="246" t="s">
        <v>1078</v>
      </c>
      <c r="C490" s="287" t="s">
        <v>1079</v>
      </c>
      <c r="D490" s="274" t="s">
        <v>3513</v>
      </c>
      <c r="E490" s="274"/>
      <c r="F490" s="274"/>
      <c r="G490" s="283"/>
      <c r="H490" s="266"/>
      <c r="I490" s="274"/>
      <c r="J490" s="281"/>
      <c r="K490" s="281"/>
      <c r="L490" s="341" t="s">
        <v>1082</v>
      </c>
      <c r="M490" s="263" t="s">
        <v>2962</v>
      </c>
      <c r="N490" s="269">
        <f>+R490-Z490</f>
        <v>0</v>
      </c>
      <c r="O490" s="270">
        <f>+Y490-AD490</f>
        <v>0</v>
      </c>
      <c r="P490" s="271">
        <f>+O490-N490</f>
        <v>0</v>
      </c>
      <c r="Q490" s="272">
        <f>+'NI-San_SP'!Q490+'NI-Soc_SP'!Q490+'NI-Ric_SP'!Q490</f>
        <v>0</v>
      </c>
      <c r="R490" s="272">
        <f>+'NI-San_SP'!R490+'NI-Soc_SP'!R490+'NI-Ric_SP'!R490</f>
        <v>0</v>
      </c>
      <c r="S490" s="272">
        <f>+'NI-San_SP'!S490+'NI-Soc_SP'!S490+'NI-Ric_SP'!S490</f>
        <v>0</v>
      </c>
      <c r="T490" s="272">
        <f>+'NI-San_SP'!T490+'NI-Soc_SP'!T490+'NI-Ric_SP'!T490</f>
        <v>0</v>
      </c>
      <c r="U490" s="272">
        <f>+'NI-San_SP'!U490+'NI-Soc_SP'!U490+'NI-Ric_SP'!U490</f>
        <v>0</v>
      </c>
      <c r="V490" s="272">
        <f>+'NI-San_SP'!V490+'NI-Soc_SP'!V490+'NI-Ric_SP'!V490</f>
        <v>0</v>
      </c>
      <c r="W490" s="272">
        <f>+'NI-San_SP'!W490+'NI-Soc_SP'!W490+'NI-Ric_SP'!W490</f>
        <v>0</v>
      </c>
      <c r="X490" s="272">
        <f>+'NI-San_SP'!X490+'NI-Soc_SP'!X490+'NI-Ric_SP'!X490</f>
        <v>0</v>
      </c>
      <c r="Y490" s="272">
        <f>+'NI-San_SP'!Y490+'NI-Soc_SP'!Y490+'NI-Ric_SP'!Y490</f>
        <v>0</v>
      </c>
      <c r="Z490" s="272">
        <f>+'NI-San_SP'!Z490+'NI-Soc_SP'!Z490+'NI-Ric_SP'!Z490</f>
        <v>0</v>
      </c>
      <c r="AA490" s="272">
        <f>+'NI-San_SP'!AA490+'NI-Soc_SP'!AA490+'NI-Ric_SP'!AA490</f>
        <v>0</v>
      </c>
      <c r="AB490" s="272">
        <f>+'NI-San_SP'!AB490+'NI-Soc_SP'!AB490+'NI-Ric_SP'!AB490</f>
        <v>0</v>
      </c>
      <c r="AC490" s="272">
        <f>+'NI-San_SP'!AC490+'NI-Soc_SP'!AC490+'NI-Ric_SP'!AC490</f>
        <v>0</v>
      </c>
      <c r="AD490" s="272">
        <f>+'NI-San_SP'!AD490+'NI-Soc_SP'!AD490+'NI-Ric_SP'!AD490</f>
        <v>0</v>
      </c>
      <c r="AE490" s="272">
        <f>+'NI-San_SP'!AE490+'NI-Soc_SP'!AE490+'NI-Ric_SP'!AE490</f>
        <v>0</v>
      </c>
      <c r="AF490" s="272">
        <f>+'NI-San_SP'!AF490+'NI-Soc_SP'!AF490+'NI-Ric_SP'!AF490</f>
        <v>0</v>
      </c>
      <c r="AG490" s="272">
        <f>+'NI-San_SP'!AG490+'NI-Soc_SP'!AG490+'NI-Ric_SP'!AG490</f>
        <v>0</v>
      </c>
      <c r="AH490" s="272">
        <f>+'NI-San_SP'!AH490+'NI-Soc_SP'!AH490+'NI-Ric_SP'!AH490</f>
        <v>0</v>
      </c>
      <c r="AI490" s="272">
        <f>+'NI-San_SP'!AI490+'NI-Soc_SP'!AI490+'NI-Ric_SP'!AI490</f>
        <v>0</v>
      </c>
      <c r="AJ490" s="272">
        <f>+'NI-San_SP'!AJ490+'NI-Soc_SP'!AJ490+'NI-Ric_SP'!AJ490</f>
        <v>0</v>
      </c>
      <c r="AK490" s="272">
        <f>+'NI-San_SP'!AK490+'NI-Soc_SP'!AK490+'NI-Ric_SP'!AK490</f>
        <v>0</v>
      </c>
      <c r="AL490" s="272">
        <f>+'NI-San_SP'!AL490+'NI-Soc_SP'!AL490+'NI-Ric_SP'!AL490</f>
        <v>0</v>
      </c>
    </row>
    <row r="491" spans="1:38" s="204" customFormat="1" x14ac:dyDescent="0.25">
      <c r="B491" s="246" t="s">
        <v>1083</v>
      </c>
      <c r="C491" s="287" t="s">
        <v>1084</v>
      </c>
      <c r="D491" s="274" t="s">
        <v>3514</v>
      </c>
      <c r="E491" s="274"/>
      <c r="F491" s="274"/>
      <c r="G491" s="283"/>
      <c r="H491" s="266"/>
      <c r="I491" s="274"/>
      <c r="J491" s="281"/>
      <c r="K491" s="281"/>
      <c r="L491" s="341" t="s">
        <v>1087</v>
      </c>
      <c r="M491" s="284" t="s">
        <v>2962</v>
      </c>
      <c r="N491" s="269">
        <f>+R491-Z491</f>
        <v>0</v>
      </c>
      <c r="O491" s="270">
        <f>+Y491-AD491</f>
        <v>0</v>
      </c>
      <c r="P491" s="271">
        <f>+O491-N491</f>
        <v>0</v>
      </c>
      <c r="Q491" s="272">
        <f>+'NI-San_SP'!Q491+'NI-Soc_SP'!Q491+'NI-Ric_SP'!Q491</f>
        <v>0</v>
      </c>
      <c r="R491" s="272">
        <f>+'NI-San_SP'!R491+'NI-Soc_SP'!R491+'NI-Ric_SP'!R491</f>
        <v>0</v>
      </c>
      <c r="S491" s="272">
        <f>+'NI-San_SP'!S491+'NI-Soc_SP'!S491+'NI-Ric_SP'!S491</f>
        <v>0</v>
      </c>
      <c r="T491" s="272">
        <f>+'NI-San_SP'!T491+'NI-Soc_SP'!T491+'NI-Ric_SP'!T491</f>
        <v>0</v>
      </c>
      <c r="U491" s="272">
        <f>+'NI-San_SP'!U491+'NI-Soc_SP'!U491+'NI-Ric_SP'!U491</f>
        <v>0</v>
      </c>
      <c r="V491" s="272">
        <f>+'NI-San_SP'!V491+'NI-Soc_SP'!V491+'NI-Ric_SP'!V491</f>
        <v>0</v>
      </c>
      <c r="W491" s="272">
        <f>+'NI-San_SP'!W491+'NI-Soc_SP'!W491+'NI-Ric_SP'!W491</f>
        <v>0</v>
      </c>
      <c r="X491" s="272">
        <f>+'NI-San_SP'!X491+'NI-Soc_SP'!X491+'NI-Ric_SP'!X491</f>
        <v>0</v>
      </c>
      <c r="Y491" s="272">
        <f>+'NI-San_SP'!Y491+'NI-Soc_SP'!Y491+'NI-Ric_SP'!Y491</f>
        <v>0</v>
      </c>
      <c r="Z491" s="272">
        <f>+'NI-San_SP'!Z491+'NI-Soc_SP'!Z491+'NI-Ric_SP'!Z491</f>
        <v>0</v>
      </c>
      <c r="AA491" s="272">
        <f>+'NI-San_SP'!AA491+'NI-Soc_SP'!AA491+'NI-Ric_SP'!AA491</f>
        <v>0</v>
      </c>
      <c r="AB491" s="272">
        <f>+'NI-San_SP'!AB491+'NI-Soc_SP'!AB491+'NI-Ric_SP'!AB491</f>
        <v>0</v>
      </c>
      <c r="AC491" s="272">
        <f>+'NI-San_SP'!AC491+'NI-Soc_SP'!AC491+'NI-Ric_SP'!AC491</f>
        <v>0</v>
      </c>
      <c r="AD491" s="272">
        <f>+'NI-San_SP'!AD491+'NI-Soc_SP'!AD491+'NI-Ric_SP'!AD491</f>
        <v>0</v>
      </c>
      <c r="AE491" s="272">
        <f>+'NI-San_SP'!AE491+'NI-Soc_SP'!AE491+'NI-Ric_SP'!AE491</f>
        <v>0</v>
      </c>
      <c r="AF491" s="272">
        <f>+'NI-San_SP'!AF491+'NI-Soc_SP'!AF491+'NI-Ric_SP'!AF491</f>
        <v>0</v>
      </c>
      <c r="AG491" s="272">
        <f>+'NI-San_SP'!AG491+'NI-Soc_SP'!AG491+'NI-Ric_SP'!AG491</f>
        <v>0</v>
      </c>
      <c r="AH491" s="272">
        <f>+'NI-San_SP'!AH491+'NI-Soc_SP'!AH491+'NI-Ric_SP'!AH491</f>
        <v>0</v>
      </c>
      <c r="AI491" s="272">
        <f>+'NI-San_SP'!AI491+'NI-Soc_SP'!AI491+'NI-Ric_SP'!AI491</f>
        <v>0</v>
      </c>
      <c r="AJ491" s="272">
        <f>+'NI-San_SP'!AJ491+'NI-Soc_SP'!AJ491+'NI-Ric_SP'!AJ491</f>
        <v>0</v>
      </c>
      <c r="AK491" s="272">
        <f>+'NI-San_SP'!AK491+'NI-Soc_SP'!AK491+'NI-Ric_SP'!AK491</f>
        <v>0</v>
      </c>
      <c r="AL491" s="272">
        <f>+'NI-San_SP'!AL491+'NI-Soc_SP'!AL491+'NI-Ric_SP'!AL491</f>
        <v>0</v>
      </c>
    </row>
    <row r="492" spans="1:38" s="343" customFormat="1" x14ac:dyDescent="0.25">
      <c r="A492" s="204"/>
      <c r="B492" s="293"/>
      <c r="C492" s="293"/>
      <c r="D492" s="293"/>
      <c r="E492" s="293"/>
      <c r="F492" s="293"/>
      <c r="G492" s="293"/>
      <c r="H492" s="319"/>
      <c r="I492" s="293"/>
      <c r="J492" s="293"/>
      <c r="K492" s="293"/>
      <c r="L492" s="323"/>
      <c r="M492" s="298"/>
      <c r="N492" s="342"/>
      <c r="O492" s="342"/>
      <c r="P492" s="342"/>
      <c r="Q492" s="289"/>
      <c r="R492" s="342"/>
      <c r="S492" s="289"/>
      <c r="T492" s="342"/>
      <c r="U492" s="342"/>
      <c r="V492" s="342"/>
      <c r="W492" s="289"/>
      <c r="X492" s="289"/>
      <c r="Y492" s="289"/>
      <c r="Z492" s="289"/>
      <c r="AA492" s="289"/>
    </row>
    <row r="493" spans="1:38" s="204" customFormat="1" x14ac:dyDescent="0.25">
      <c r="B493" s="246" t="s">
        <v>1088</v>
      </c>
      <c r="C493" s="292" t="s">
        <v>1089</v>
      </c>
      <c r="D493" s="247" t="s">
        <v>3515</v>
      </c>
      <c r="E493" s="247"/>
      <c r="F493" s="247"/>
      <c r="G493" s="247"/>
      <c r="H493" s="248"/>
      <c r="I493" s="247"/>
      <c r="J493" s="247"/>
      <c r="K493" s="249"/>
      <c r="L493" s="276" t="s">
        <v>1091</v>
      </c>
      <c r="M493" s="251" t="s">
        <v>2962</v>
      </c>
      <c r="N493" s="252">
        <f>+N495+N504</f>
        <v>0</v>
      </c>
      <c r="O493" s="252">
        <f>+O495+O504</f>
        <v>0</v>
      </c>
      <c r="P493" s="259">
        <f>+O493-N493</f>
        <v>0</v>
      </c>
      <c r="Q493" s="252">
        <f t="shared" ref="Q493:AC493" si="64">+Q495+Q504</f>
        <v>0</v>
      </c>
      <c r="R493" s="252">
        <f t="shared" si="64"/>
        <v>0</v>
      </c>
      <c r="S493" s="252">
        <f t="shared" si="64"/>
        <v>0</v>
      </c>
      <c r="T493" s="252">
        <f t="shared" si="64"/>
        <v>0</v>
      </c>
      <c r="U493" s="252">
        <f t="shared" si="64"/>
        <v>0</v>
      </c>
      <c r="V493" s="252">
        <f t="shared" si="64"/>
        <v>0</v>
      </c>
      <c r="W493" s="252">
        <f t="shared" si="64"/>
        <v>0</v>
      </c>
      <c r="X493" s="252">
        <f t="shared" si="64"/>
        <v>0</v>
      </c>
      <c r="Y493" s="252">
        <f t="shared" si="64"/>
        <v>0</v>
      </c>
      <c r="Z493" s="252">
        <f t="shared" si="64"/>
        <v>0</v>
      </c>
      <c r="AA493" s="252">
        <f t="shared" si="64"/>
        <v>0</v>
      </c>
      <c r="AB493" s="252">
        <f t="shared" si="64"/>
        <v>0</v>
      </c>
      <c r="AC493" s="252">
        <f t="shared" si="64"/>
        <v>0</v>
      </c>
    </row>
    <row r="494" spans="1:38" s="204" customFormat="1" x14ac:dyDescent="0.25">
      <c r="B494" s="298"/>
      <c r="C494" s="298"/>
      <c r="D494" s="226"/>
      <c r="E494" s="226"/>
      <c r="F494" s="226"/>
      <c r="G494" s="226"/>
      <c r="H494" s="227"/>
      <c r="I494" s="226"/>
      <c r="J494" s="226"/>
      <c r="K494" s="226"/>
      <c r="L494" s="241"/>
      <c r="M494" s="278"/>
      <c r="N494" s="279"/>
      <c r="O494" s="279"/>
      <c r="P494" s="297"/>
      <c r="Q494" s="211"/>
      <c r="R494" s="279"/>
      <c r="S494" s="279"/>
      <c r="T494" s="279"/>
      <c r="U494" s="279"/>
      <c r="V494" s="279"/>
      <c r="W494" s="211"/>
      <c r="X494" s="211"/>
      <c r="Y494" s="211"/>
      <c r="Z494" s="211"/>
      <c r="AA494" s="211"/>
    </row>
    <row r="495" spans="1:38" s="204" customFormat="1" x14ac:dyDescent="0.25">
      <c r="B495" s="246" t="s">
        <v>1092</v>
      </c>
      <c r="C495" s="292" t="s">
        <v>1093</v>
      </c>
      <c r="D495" s="247" t="s">
        <v>3516</v>
      </c>
      <c r="E495" s="247"/>
      <c r="F495" s="247"/>
      <c r="G495" s="247"/>
      <c r="H495" s="248"/>
      <c r="I495" s="247"/>
      <c r="J495" s="247"/>
      <c r="K495" s="249"/>
      <c r="L495" s="276" t="s">
        <v>1096</v>
      </c>
      <c r="M495" s="251" t="s">
        <v>2962</v>
      </c>
      <c r="N495" s="252">
        <f>SUM(N498:N500)</f>
        <v>0</v>
      </c>
      <c r="O495" s="252">
        <f>SUM(O498:O500)</f>
        <v>0</v>
      </c>
      <c r="P495" s="259">
        <f>+O495-N495</f>
        <v>0</v>
      </c>
      <c r="Q495" s="252">
        <f t="shared" ref="Q495:AC495" si="65">SUM(Q498:Q500)</f>
        <v>0</v>
      </c>
      <c r="R495" s="252">
        <f t="shared" si="65"/>
        <v>0</v>
      </c>
      <c r="S495" s="252">
        <f t="shared" si="65"/>
        <v>0</v>
      </c>
      <c r="T495" s="252">
        <f t="shared" si="65"/>
        <v>0</v>
      </c>
      <c r="U495" s="252">
        <f t="shared" si="65"/>
        <v>0</v>
      </c>
      <c r="V495" s="252">
        <f t="shared" si="65"/>
        <v>0</v>
      </c>
      <c r="W495" s="252">
        <f t="shared" si="65"/>
        <v>0</v>
      </c>
      <c r="X495" s="252">
        <f t="shared" si="65"/>
        <v>0</v>
      </c>
      <c r="Y495" s="252">
        <f t="shared" si="65"/>
        <v>0</v>
      </c>
      <c r="Z495" s="252">
        <f t="shared" si="65"/>
        <v>0</v>
      </c>
      <c r="AA495" s="252">
        <f t="shared" si="65"/>
        <v>0</v>
      </c>
      <c r="AB495" s="252">
        <f t="shared" si="65"/>
        <v>0</v>
      </c>
      <c r="AC495" s="252">
        <f t="shared" si="65"/>
        <v>0</v>
      </c>
    </row>
    <row r="496" spans="1:38" s="204" customFormat="1" x14ac:dyDescent="0.25">
      <c r="B496" s="298"/>
      <c r="C496" s="298"/>
      <c r="D496" s="226"/>
      <c r="E496" s="226"/>
      <c r="F496" s="226"/>
      <c r="G496" s="226"/>
      <c r="H496" s="227"/>
      <c r="I496" s="226"/>
      <c r="J496" s="226"/>
      <c r="K496" s="226"/>
      <c r="L496" s="241"/>
      <c r="M496" s="278"/>
      <c r="N496" s="279"/>
      <c r="O496" s="279"/>
      <c r="P496" s="297"/>
      <c r="Q496" s="211"/>
      <c r="R496" s="279"/>
      <c r="S496" s="279"/>
      <c r="T496" s="279"/>
      <c r="U496" s="279"/>
      <c r="V496" s="279"/>
      <c r="W496" s="211"/>
      <c r="X496" s="211"/>
      <c r="Y496" s="211"/>
      <c r="Z496" s="211"/>
      <c r="AA496" s="211"/>
    </row>
    <row r="497" spans="1:29" s="204" customFormat="1" ht="63.75" x14ac:dyDescent="0.25">
      <c r="B497" s="294" t="s">
        <v>2968</v>
      </c>
      <c r="C497" s="294" t="s">
        <v>2969</v>
      </c>
      <c r="D497" s="206" t="s">
        <v>72</v>
      </c>
      <c r="E497" s="206"/>
      <c r="F497" s="206"/>
      <c r="G497" s="207"/>
      <c r="H497" s="207"/>
      <c r="I497" s="207"/>
      <c r="J497" s="207" t="s">
        <v>2957</v>
      </c>
      <c r="K497" s="206" t="s">
        <v>82</v>
      </c>
      <c r="L497" s="261" t="s">
        <v>2970</v>
      </c>
      <c r="M497" s="280"/>
      <c r="N497" s="256" t="str">
        <f>N$15</f>
        <v>Valore netto al 31/12/2019</v>
      </c>
      <c r="O497" s="256" t="str">
        <f>O$15</f>
        <v>Valore netto al 31/12/2020</v>
      </c>
      <c r="P497" s="256" t="str">
        <f>P$15</f>
        <v>Variazione</v>
      </c>
      <c r="Q497" s="262" t="s">
        <v>2971</v>
      </c>
      <c r="R497" s="262" t="str">
        <f>"Costo storico al 31/12/"&amp;Info!$B$3-1</f>
        <v>Costo storico al 31/12/2019</v>
      </c>
      <c r="S497" s="262" t="s">
        <v>2972</v>
      </c>
      <c r="T497" s="262" t="s">
        <v>2973</v>
      </c>
      <c r="U497" s="262" t="s">
        <v>2974</v>
      </c>
      <c r="V497" s="262" t="s">
        <v>3517</v>
      </c>
      <c r="W497" s="262" t="s">
        <v>2975</v>
      </c>
      <c r="X497" s="262" t="s">
        <v>2976</v>
      </c>
      <c r="Y497" s="262" t="s">
        <v>3518</v>
      </c>
      <c r="Z497" s="262" t="s">
        <v>2979</v>
      </c>
      <c r="AA497" s="262" t="s">
        <v>3519</v>
      </c>
      <c r="AB497" s="262" t="s">
        <v>2983</v>
      </c>
      <c r="AC497" s="262" t="s">
        <v>3520</v>
      </c>
    </row>
    <row r="498" spans="1:29" s="204" customFormat="1" ht="15" customHeight="1" x14ac:dyDescent="0.25">
      <c r="B498" s="246" t="s">
        <v>1097</v>
      </c>
      <c r="C498" s="287" t="s">
        <v>1098</v>
      </c>
      <c r="D498" s="274" t="s">
        <v>3521</v>
      </c>
      <c r="E498" s="274"/>
      <c r="F498" s="274"/>
      <c r="G498" s="283"/>
      <c r="H498" s="266"/>
      <c r="I498" s="274"/>
      <c r="J498" s="281"/>
      <c r="K498" s="281"/>
      <c r="L498" s="282" t="s">
        <v>3522</v>
      </c>
      <c r="M498" s="263" t="s">
        <v>2962</v>
      </c>
      <c r="N498" s="270">
        <f>+V498</f>
        <v>0</v>
      </c>
      <c r="O498" s="270">
        <f>+AC498</f>
        <v>0</v>
      </c>
      <c r="P498" s="271">
        <f>+O498-N498</f>
        <v>0</v>
      </c>
      <c r="Q498" s="272">
        <f>+'NI-San_SP'!Q498+'NI-Soc_SP'!Q498+'NI-Ric_SP'!Q498</f>
        <v>0</v>
      </c>
      <c r="R498" s="272">
        <f>+'NI-San_SP'!R498+'NI-Soc_SP'!R498+'NI-Ric_SP'!R498</f>
        <v>0</v>
      </c>
      <c r="S498" s="272">
        <f>+'NI-San_SP'!S498+'NI-Soc_SP'!S498+'NI-Ric_SP'!S498</f>
        <v>0</v>
      </c>
      <c r="T498" s="272">
        <f>+'NI-San_SP'!T498+'NI-Soc_SP'!T498+'NI-Ric_SP'!T498</f>
        <v>0</v>
      </c>
      <c r="U498" s="272">
        <f>+'NI-San_SP'!U498+'NI-Soc_SP'!U498+'NI-Ric_SP'!U498</f>
        <v>0</v>
      </c>
      <c r="V498" s="272">
        <f>+'NI-San_SP'!V498+'NI-Soc_SP'!V498+'NI-Ric_SP'!V498</f>
        <v>0</v>
      </c>
      <c r="W498" s="272">
        <f>+'NI-San_SP'!W498+'NI-Soc_SP'!W498+'NI-Ric_SP'!W498</f>
        <v>0</v>
      </c>
      <c r="X498" s="272">
        <f>+'NI-San_SP'!X498+'NI-Soc_SP'!X498+'NI-Ric_SP'!X498</f>
        <v>0</v>
      </c>
      <c r="Y498" s="272">
        <f>+'NI-San_SP'!Y498+'NI-Soc_SP'!Y498+'NI-Ric_SP'!Y498</f>
        <v>0</v>
      </c>
      <c r="Z498" s="272">
        <f>+'NI-San_SP'!Z498+'NI-Soc_SP'!Z498+'NI-Ric_SP'!Z498</f>
        <v>0</v>
      </c>
      <c r="AA498" s="272">
        <f>+'NI-San_SP'!AA498+'NI-Soc_SP'!AA498+'NI-Ric_SP'!AA498</f>
        <v>0</v>
      </c>
      <c r="AB498" s="272">
        <f>+'NI-San_SP'!AB498+'NI-Soc_SP'!AB498+'NI-Ric_SP'!AB498</f>
        <v>0</v>
      </c>
      <c r="AC498" s="272">
        <f>+'NI-San_SP'!AC498+'NI-Soc_SP'!AC498+'NI-Ric_SP'!AC498</f>
        <v>0</v>
      </c>
    </row>
    <row r="499" spans="1:29" s="204" customFormat="1" x14ac:dyDescent="0.25">
      <c r="B499" s="246" t="s">
        <v>1100</v>
      </c>
      <c r="C499" s="287" t="s">
        <v>1101</v>
      </c>
      <c r="D499" s="274" t="s">
        <v>3523</v>
      </c>
      <c r="E499" s="274"/>
      <c r="F499" s="274"/>
      <c r="G499" s="283"/>
      <c r="H499" s="266"/>
      <c r="I499" s="274"/>
      <c r="J499" s="281"/>
      <c r="K499" s="281"/>
      <c r="L499" s="282" t="s">
        <v>3524</v>
      </c>
      <c r="M499" s="263" t="s">
        <v>2962</v>
      </c>
      <c r="N499" s="270">
        <f>+V499</f>
        <v>0</v>
      </c>
      <c r="O499" s="270">
        <f>+AC499</f>
        <v>0</v>
      </c>
      <c r="P499" s="271">
        <f>+O499-N499</f>
        <v>0</v>
      </c>
      <c r="Q499" s="272">
        <f>+'NI-San_SP'!Q499+'NI-Soc_SP'!Q499+'NI-Ric_SP'!Q499</f>
        <v>0</v>
      </c>
      <c r="R499" s="272">
        <f>+'NI-San_SP'!R499+'NI-Soc_SP'!R499+'NI-Ric_SP'!R499</f>
        <v>0</v>
      </c>
      <c r="S499" s="272">
        <f>+'NI-San_SP'!S499+'NI-Soc_SP'!S499+'NI-Ric_SP'!S499</f>
        <v>0</v>
      </c>
      <c r="T499" s="272">
        <f>+'NI-San_SP'!T499+'NI-Soc_SP'!T499+'NI-Ric_SP'!T499</f>
        <v>0</v>
      </c>
      <c r="U499" s="272">
        <f>+'NI-San_SP'!U499+'NI-Soc_SP'!U499+'NI-Ric_SP'!U499</f>
        <v>0</v>
      </c>
      <c r="V499" s="272">
        <f>+'NI-San_SP'!V499+'NI-Soc_SP'!V499+'NI-Ric_SP'!V499</f>
        <v>0</v>
      </c>
      <c r="W499" s="272">
        <f>+'NI-San_SP'!W499+'NI-Soc_SP'!W499+'NI-Ric_SP'!W499</f>
        <v>0</v>
      </c>
      <c r="X499" s="272">
        <f>+'NI-San_SP'!X499+'NI-Soc_SP'!X499+'NI-Ric_SP'!X499</f>
        <v>0</v>
      </c>
      <c r="Y499" s="272">
        <f>+'NI-San_SP'!Y499+'NI-Soc_SP'!Y499+'NI-Ric_SP'!Y499</f>
        <v>0</v>
      </c>
      <c r="Z499" s="272">
        <f>+'NI-San_SP'!Z499+'NI-Soc_SP'!Z499+'NI-Ric_SP'!Z499</f>
        <v>0</v>
      </c>
      <c r="AA499" s="272">
        <f>+'NI-San_SP'!AA499+'NI-Soc_SP'!AA499+'NI-Ric_SP'!AA499</f>
        <v>0</v>
      </c>
      <c r="AB499" s="272">
        <f>+'NI-San_SP'!AB499+'NI-Soc_SP'!AB499+'NI-Ric_SP'!AB499</f>
        <v>0</v>
      </c>
      <c r="AC499" s="272">
        <f>+'NI-San_SP'!AC499+'NI-Soc_SP'!AC499+'NI-Ric_SP'!AC499</f>
        <v>0</v>
      </c>
    </row>
    <row r="500" spans="1:29" s="204" customFormat="1" x14ac:dyDescent="0.25">
      <c r="B500" s="246" t="s">
        <v>1103</v>
      </c>
      <c r="C500" s="287" t="s">
        <v>1104</v>
      </c>
      <c r="D500" s="274" t="s">
        <v>3525</v>
      </c>
      <c r="E500" s="274"/>
      <c r="F500" s="274"/>
      <c r="G500" s="283"/>
      <c r="H500" s="266"/>
      <c r="I500" s="274"/>
      <c r="J500" s="281"/>
      <c r="K500" s="281"/>
      <c r="L500" s="282" t="s">
        <v>3526</v>
      </c>
      <c r="M500" s="284" t="s">
        <v>2962</v>
      </c>
      <c r="N500" s="270">
        <f>+V500</f>
        <v>0</v>
      </c>
      <c r="O500" s="270">
        <f>+AC500</f>
        <v>0</v>
      </c>
      <c r="P500" s="271">
        <f>+O500-N500</f>
        <v>0</v>
      </c>
      <c r="Q500" s="272">
        <f>+'NI-San_SP'!Q500+'NI-Soc_SP'!Q500+'NI-Ric_SP'!Q500</f>
        <v>0</v>
      </c>
      <c r="R500" s="272">
        <f>+'NI-San_SP'!R500+'NI-Soc_SP'!R500+'NI-Ric_SP'!R500</f>
        <v>0</v>
      </c>
      <c r="S500" s="272">
        <f>+'NI-San_SP'!S500+'NI-Soc_SP'!S500+'NI-Ric_SP'!S500</f>
        <v>0</v>
      </c>
      <c r="T500" s="272">
        <f>+'NI-San_SP'!T500+'NI-Soc_SP'!T500+'NI-Ric_SP'!T500</f>
        <v>0</v>
      </c>
      <c r="U500" s="272">
        <f>+'NI-San_SP'!U500+'NI-Soc_SP'!U500+'NI-Ric_SP'!U500</f>
        <v>0</v>
      </c>
      <c r="V500" s="272">
        <f>+'NI-San_SP'!V500+'NI-Soc_SP'!V500+'NI-Ric_SP'!V500</f>
        <v>0</v>
      </c>
      <c r="W500" s="272">
        <f>+'NI-San_SP'!W500+'NI-Soc_SP'!W500+'NI-Ric_SP'!W500</f>
        <v>0</v>
      </c>
      <c r="X500" s="272">
        <f>+'NI-San_SP'!X500+'NI-Soc_SP'!X500+'NI-Ric_SP'!X500</f>
        <v>0</v>
      </c>
      <c r="Y500" s="272">
        <f>+'NI-San_SP'!Y500+'NI-Soc_SP'!Y500+'NI-Ric_SP'!Y500</f>
        <v>0</v>
      </c>
      <c r="Z500" s="272">
        <f>+'NI-San_SP'!Z500+'NI-Soc_SP'!Z500+'NI-Ric_SP'!Z500</f>
        <v>0</v>
      </c>
      <c r="AA500" s="272">
        <f>+'NI-San_SP'!AA500+'NI-Soc_SP'!AA500+'NI-Ric_SP'!AA500</f>
        <v>0</v>
      </c>
      <c r="AB500" s="272">
        <f>+'NI-San_SP'!AB500+'NI-Soc_SP'!AB500+'NI-Ric_SP'!AB500</f>
        <v>0</v>
      </c>
      <c r="AC500" s="272">
        <f>+'NI-San_SP'!AC500+'NI-Soc_SP'!AC500+'NI-Ric_SP'!AC500</f>
        <v>0</v>
      </c>
    </row>
    <row r="501" spans="1:29" s="204" customFormat="1" x14ac:dyDescent="0.25">
      <c r="B501" s="298"/>
      <c r="C501" s="298"/>
      <c r="D501" s="226"/>
      <c r="E501" s="226"/>
      <c r="F501" s="226"/>
      <c r="G501" s="226"/>
      <c r="H501" s="227"/>
      <c r="I501" s="226"/>
      <c r="J501" s="226"/>
      <c r="K501" s="226"/>
      <c r="L501" s="344" t="s">
        <v>3527</v>
      </c>
      <c r="M501" s="278"/>
      <c r="N501" s="279"/>
      <c r="O501" s="279"/>
      <c r="P501" s="297"/>
      <c r="Q501" s="211"/>
      <c r="R501" s="279"/>
      <c r="S501" s="279"/>
      <c r="T501" s="279"/>
      <c r="U501" s="279"/>
      <c r="V501" s="279"/>
      <c r="W501" s="211"/>
      <c r="X501" s="211"/>
      <c r="Y501" s="211"/>
      <c r="Z501" s="211"/>
      <c r="AA501" s="211"/>
    </row>
    <row r="502" spans="1:29" s="204" customFormat="1" x14ac:dyDescent="0.25">
      <c r="B502" s="298"/>
      <c r="C502" s="298"/>
      <c r="D502" s="226"/>
      <c r="E502" s="226"/>
      <c r="F502" s="226"/>
      <c r="G502" s="226"/>
      <c r="H502" s="227"/>
      <c r="I502" s="226"/>
      <c r="J502" s="226"/>
      <c r="K502" s="226"/>
      <c r="L502" s="241"/>
      <c r="M502" s="278"/>
      <c r="N502" s="279"/>
      <c r="O502" s="279"/>
      <c r="P502" s="297"/>
      <c r="Q502" s="211"/>
      <c r="R502" s="279"/>
      <c r="S502" s="279"/>
      <c r="T502" s="279"/>
      <c r="U502" s="279"/>
      <c r="V502" s="279"/>
      <c r="W502" s="211"/>
      <c r="X502" s="211"/>
      <c r="Y502" s="211"/>
      <c r="Z502" s="211"/>
      <c r="AA502" s="211"/>
    </row>
    <row r="503" spans="1:29" s="204" customFormat="1" x14ac:dyDescent="0.25">
      <c r="B503" s="298"/>
      <c r="C503" s="298"/>
      <c r="D503" s="226"/>
      <c r="E503" s="226"/>
      <c r="F503" s="226"/>
      <c r="G503" s="226"/>
      <c r="H503" s="227"/>
      <c r="I503" s="226"/>
      <c r="J503" s="226"/>
      <c r="K503" s="226"/>
      <c r="L503" s="241"/>
      <c r="M503" s="278"/>
      <c r="N503" s="279"/>
      <c r="O503" s="279"/>
      <c r="P503" s="297"/>
      <c r="Q503" s="211"/>
      <c r="R503" s="279"/>
      <c r="S503" s="279"/>
      <c r="T503" s="279"/>
      <c r="U503" s="279"/>
      <c r="V503" s="279"/>
      <c r="W503" s="211"/>
      <c r="X503" s="211"/>
      <c r="Y503" s="211"/>
      <c r="Z503" s="211"/>
      <c r="AA503" s="211"/>
    </row>
    <row r="504" spans="1:29" s="204" customFormat="1" x14ac:dyDescent="0.25">
      <c r="B504" s="246" t="s">
        <v>1106</v>
      </c>
      <c r="C504" s="292" t="s">
        <v>1107</v>
      </c>
      <c r="D504" s="247" t="s">
        <v>3528</v>
      </c>
      <c r="E504" s="247"/>
      <c r="F504" s="247"/>
      <c r="G504" s="247"/>
      <c r="H504" s="248"/>
      <c r="I504" s="247"/>
      <c r="J504" s="247"/>
      <c r="K504" s="249"/>
      <c r="L504" s="276" t="s">
        <v>1109</v>
      </c>
      <c r="M504" s="251" t="s">
        <v>2962</v>
      </c>
      <c r="N504" s="252">
        <f>SUM(N507:N510)</f>
        <v>0</v>
      </c>
      <c r="O504" s="252">
        <f>SUM(O507:O510)</f>
        <v>0</v>
      </c>
      <c r="P504" s="259">
        <f>+O504-N504</f>
        <v>0</v>
      </c>
      <c r="Q504" s="252">
        <f t="shared" ref="Q504:AC504" si="66">SUM(Q507:Q510)</f>
        <v>0</v>
      </c>
      <c r="R504" s="252">
        <f t="shared" si="66"/>
        <v>0</v>
      </c>
      <c r="S504" s="252">
        <f t="shared" si="66"/>
        <v>0</v>
      </c>
      <c r="T504" s="252">
        <f t="shared" si="66"/>
        <v>0</v>
      </c>
      <c r="U504" s="252">
        <f t="shared" si="66"/>
        <v>0</v>
      </c>
      <c r="V504" s="252">
        <f t="shared" si="66"/>
        <v>0</v>
      </c>
      <c r="W504" s="252">
        <f t="shared" si="66"/>
        <v>0</v>
      </c>
      <c r="X504" s="252">
        <f t="shared" si="66"/>
        <v>0</v>
      </c>
      <c r="Y504" s="252">
        <f t="shared" si="66"/>
        <v>0</v>
      </c>
      <c r="Z504" s="252">
        <f t="shared" si="66"/>
        <v>0</v>
      </c>
      <c r="AA504" s="252">
        <f t="shared" si="66"/>
        <v>0</v>
      </c>
      <c r="AB504" s="252">
        <f t="shared" si="66"/>
        <v>0</v>
      </c>
      <c r="AC504" s="252">
        <f t="shared" si="66"/>
        <v>0</v>
      </c>
    </row>
    <row r="505" spans="1:29" s="204" customFormat="1" x14ac:dyDescent="0.25">
      <c r="B505" s="298"/>
      <c r="C505" s="298"/>
      <c r="D505" s="226"/>
      <c r="E505" s="226"/>
      <c r="F505" s="226"/>
      <c r="G505" s="226"/>
      <c r="H505" s="227"/>
      <c r="I505" s="226"/>
      <c r="J505" s="226"/>
      <c r="K505" s="226"/>
      <c r="L505" s="241"/>
      <c r="M505" s="278"/>
      <c r="N505" s="279"/>
      <c r="O505" s="279"/>
      <c r="P505" s="297"/>
      <c r="Q505" s="211"/>
      <c r="R505" s="279"/>
      <c r="S505" s="279"/>
      <c r="T505" s="279"/>
      <c r="U505" s="279"/>
      <c r="V505" s="279"/>
      <c r="W505" s="211"/>
      <c r="X505" s="211"/>
      <c r="Y505" s="211"/>
      <c r="Z505" s="211"/>
      <c r="AA505" s="211"/>
    </row>
    <row r="506" spans="1:29" s="204" customFormat="1" ht="63.75" x14ac:dyDescent="0.25">
      <c r="B506" s="294" t="s">
        <v>2968</v>
      </c>
      <c r="C506" s="294" t="s">
        <v>2969</v>
      </c>
      <c r="D506" s="206" t="s">
        <v>72</v>
      </c>
      <c r="E506" s="206"/>
      <c r="F506" s="206"/>
      <c r="G506" s="207"/>
      <c r="H506" s="207"/>
      <c r="I506" s="207"/>
      <c r="J506" s="207" t="s">
        <v>2957</v>
      </c>
      <c r="K506" s="206" t="s">
        <v>82</v>
      </c>
      <c r="L506" s="261" t="s">
        <v>2970</v>
      </c>
      <c r="M506" s="280"/>
      <c r="N506" s="256" t="str">
        <f>N$15</f>
        <v>Valore netto al 31/12/2019</v>
      </c>
      <c r="O506" s="256" t="str">
        <f>O$15</f>
        <v>Valore netto al 31/12/2020</v>
      </c>
      <c r="P506" s="256" t="str">
        <f>P$15</f>
        <v>Variazione</v>
      </c>
      <c r="Q506" s="262" t="s">
        <v>2971</v>
      </c>
      <c r="R506" s="262" t="str">
        <f>"Costo storico al 31/12/"&amp;Info!$B$3-1</f>
        <v>Costo storico al 31/12/2019</v>
      </c>
      <c r="S506" s="262" t="s">
        <v>2972</v>
      </c>
      <c r="T506" s="262" t="s">
        <v>2973</v>
      </c>
      <c r="U506" s="262" t="s">
        <v>2974</v>
      </c>
      <c r="V506" s="262" t="s">
        <v>3517</v>
      </c>
      <c r="W506" s="262" t="s">
        <v>2975</v>
      </c>
      <c r="X506" s="262" t="s">
        <v>2976</v>
      </c>
      <c r="Y506" s="262" t="s">
        <v>3518</v>
      </c>
      <c r="Z506" s="262" t="s">
        <v>2979</v>
      </c>
      <c r="AA506" s="262" t="s">
        <v>3519</v>
      </c>
      <c r="AB506" s="262" t="s">
        <v>2983</v>
      </c>
      <c r="AC506" s="262" t="s">
        <v>3520</v>
      </c>
    </row>
    <row r="507" spans="1:29" s="204" customFormat="1" x14ac:dyDescent="0.25">
      <c r="B507" s="246" t="s">
        <v>1110</v>
      </c>
      <c r="C507" s="287" t="s">
        <v>1111</v>
      </c>
      <c r="D507" s="274" t="s">
        <v>3529</v>
      </c>
      <c r="E507" s="274"/>
      <c r="F507" s="274"/>
      <c r="G507" s="283"/>
      <c r="H507" s="266"/>
      <c r="I507" s="274"/>
      <c r="J507" s="281"/>
      <c r="K507" s="281"/>
      <c r="L507" s="282" t="s">
        <v>1113</v>
      </c>
      <c r="M507" s="284" t="s">
        <v>2962</v>
      </c>
      <c r="N507" s="270">
        <f>+V507</f>
        <v>0</v>
      </c>
      <c r="O507" s="270">
        <f>+AC507</f>
        <v>0</v>
      </c>
      <c r="P507" s="271">
        <f>+O507-N507</f>
        <v>0</v>
      </c>
      <c r="Q507" s="272">
        <f>+'NI-San_SP'!Q507+'NI-Soc_SP'!Q507+'NI-Ric_SP'!Q507</f>
        <v>0</v>
      </c>
      <c r="R507" s="272">
        <f>+'NI-San_SP'!R507+'NI-Soc_SP'!R507+'NI-Ric_SP'!R507</f>
        <v>0</v>
      </c>
      <c r="S507" s="272">
        <f>+'NI-San_SP'!S507+'NI-Soc_SP'!S507+'NI-Ric_SP'!S507</f>
        <v>0</v>
      </c>
      <c r="T507" s="272">
        <f>+'NI-San_SP'!T507+'NI-Soc_SP'!T507+'NI-Ric_SP'!T507</f>
        <v>0</v>
      </c>
      <c r="U507" s="272">
        <f>+'NI-San_SP'!U507+'NI-Soc_SP'!U507+'NI-Ric_SP'!U507</f>
        <v>0</v>
      </c>
      <c r="V507" s="272">
        <f>+'NI-San_SP'!V507+'NI-Soc_SP'!V507+'NI-Ric_SP'!V507</f>
        <v>0</v>
      </c>
      <c r="W507" s="272">
        <f>+'NI-San_SP'!W507+'NI-Soc_SP'!W507+'NI-Ric_SP'!W507</f>
        <v>0</v>
      </c>
      <c r="X507" s="272">
        <f>+'NI-San_SP'!X507+'NI-Soc_SP'!X507+'NI-Ric_SP'!X507</f>
        <v>0</v>
      </c>
      <c r="Y507" s="272">
        <f>+'NI-San_SP'!Y507+'NI-Soc_SP'!Y507+'NI-Ric_SP'!Y507</f>
        <v>0</v>
      </c>
      <c r="Z507" s="272">
        <f>+'NI-San_SP'!Z507+'NI-Soc_SP'!Z507+'NI-Ric_SP'!Z507</f>
        <v>0</v>
      </c>
      <c r="AA507" s="272">
        <f>+'NI-San_SP'!AA507+'NI-Soc_SP'!AA507+'NI-Ric_SP'!AA507</f>
        <v>0</v>
      </c>
      <c r="AB507" s="272">
        <f>+'NI-San_SP'!AB507+'NI-Soc_SP'!AB507+'NI-Ric_SP'!AB507</f>
        <v>0</v>
      </c>
      <c r="AC507" s="272">
        <f>+'NI-San_SP'!AC507+'NI-Soc_SP'!AC507+'NI-Ric_SP'!AC507</f>
        <v>0</v>
      </c>
    </row>
    <row r="508" spans="1:29" s="204" customFormat="1" x14ac:dyDescent="0.25">
      <c r="B508" s="246" t="s">
        <v>1114</v>
      </c>
      <c r="C508" s="287" t="s">
        <v>1115</v>
      </c>
      <c r="D508" s="274" t="s">
        <v>3530</v>
      </c>
      <c r="E508" s="274"/>
      <c r="F508" s="274"/>
      <c r="G508" s="283"/>
      <c r="H508" s="266"/>
      <c r="I508" s="274"/>
      <c r="J508" s="281"/>
      <c r="K508" s="281"/>
      <c r="L508" s="295" t="s">
        <v>1117</v>
      </c>
      <c r="M508" s="284" t="s">
        <v>2962</v>
      </c>
      <c r="N508" s="270">
        <f>+V508</f>
        <v>0</v>
      </c>
      <c r="O508" s="270">
        <f>+AC508</f>
        <v>0</v>
      </c>
      <c r="P508" s="271">
        <f>+O508-N508</f>
        <v>0</v>
      </c>
      <c r="Q508" s="272">
        <f>+'NI-San_SP'!Q508+'NI-Soc_SP'!Q508+'NI-Ric_SP'!Q508</f>
        <v>0</v>
      </c>
      <c r="R508" s="272">
        <f>+'NI-San_SP'!R508+'NI-Soc_SP'!R508+'NI-Ric_SP'!R508</f>
        <v>0</v>
      </c>
      <c r="S508" s="272">
        <f>+'NI-San_SP'!S508+'NI-Soc_SP'!S508+'NI-Ric_SP'!S508</f>
        <v>0</v>
      </c>
      <c r="T508" s="272">
        <f>+'NI-San_SP'!T508+'NI-Soc_SP'!T508+'NI-Ric_SP'!T508</f>
        <v>0</v>
      </c>
      <c r="U508" s="272">
        <f>+'NI-San_SP'!U508+'NI-Soc_SP'!U508+'NI-Ric_SP'!U508</f>
        <v>0</v>
      </c>
      <c r="V508" s="272">
        <f>+'NI-San_SP'!V508+'NI-Soc_SP'!V508+'NI-Ric_SP'!V508</f>
        <v>0</v>
      </c>
      <c r="W508" s="272">
        <f>+'NI-San_SP'!W508+'NI-Soc_SP'!W508+'NI-Ric_SP'!W508</f>
        <v>0</v>
      </c>
      <c r="X508" s="272">
        <f>+'NI-San_SP'!X508+'NI-Soc_SP'!X508+'NI-Ric_SP'!X508</f>
        <v>0</v>
      </c>
      <c r="Y508" s="272">
        <f>+'NI-San_SP'!Y508+'NI-Soc_SP'!Y508+'NI-Ric_SP'!Y508</f>
        <v>0</v>
      </c>
      <c r="Z508" s="272">
        <f>+'NI-San_SP'!Z508+'NI-Soc_SP'!Z508+'NI-Ric_SP'!Z508</f>
        <v>0</v>
      </c>
      <c r="AA508" s="272">
        <f>+'NI-San_SP'!AA508+'NI-Soc_SP'!AA508+'NI-Ric_SP'!AA508</f>
        <v>0</v>
      </c>
      <c r="AB508" s="272">
        <f>+'NI-San_SP'!AB508+'NI-Soc_SP'!AB508+'NI-Ric_SP'!AB508</f>
        <v>0</v>
      </c>
      <c r="AC508" s="272">
        <f>+'NI-San_SP'!AC508+'NI-Soc_SP'!AC508+'NI-Ric_SP'!AC508</f>
        <v>0</v>
      </c>
    </row>
    <row r="509" spans="1:29" s="204" customFormat="1" x14ac:dyDescent="0.25">
      <c r="B509" s="246" t="s">
        <v>1118</v>
      </c>
      <c r="C509" s="287" t="s">
        <v>1119</v>
      </c>
      <c r="D509" s="274" t="s">
        <v>3531</v>
      </c>
      <c r="E509" s="274"/>
      <c r="F509" s="274"/>
      <c r="G509" s="283"/>
      <c r="H509" s="266"/>
      <c r="I509" s="274"/>
      <c r="J509" s="281"/>
      <c r="K509" s="281"/>
      <c r="L509" s="295" t="s">
        <v>1121</v>
      </c>
      <c r="M509" s="284" t="s">
        <v>2962</v>
      </c>
      <c r="N509" s="270">
        <f>+V509</f>
        <v>0</v>
      </c>
      <c r="O509" s="270">
        <f>+AC509</f>
        <v>0</v>
      </c>
      <c r="P509" s="271">
        <f>+O509-N509</f>
        <v>0</v>
      </c>
      <c r="Q509" s="272">
        <f>+'NI-San_SP'!Q509+'NI-Soc_SP'!Q509+'NI-Ric_SP'!Q509</f>
        <v>0</v>
      </c>
      <c r="R509" s="272">
        <f>+'NI-San_SP'!R509+'NI-Soc_SP'!R509+'NI-Ric_SP'!R509</f>
        <v>0</v>
      </c>
      <c r="S509" s="272">
        <f>+'NI-San_SP'!S509+'NI-Soc_SP'!S509+'NI-Ric_SP'!S509</f>
        <v>0</v>
      </c>
      <c r="T509" s="272">
        <f>+'NI-San_SP'!T509+'NI-Soc_SP'!T509+'NI-Ric_SP'!T509</f>
        <v>0</v>
      </c>
      <c r="U509" s="272">
        <f>+'NI-San_SP'!U509+'NI-Soc_SP'!U509+'NI-Ric_SP'!U509</f>
        <v>0</v>
      </c>
      <c r="V509" s="272">
        <f>+'NI-San_SP'!V509+'NI-Soc_SP'!V509+'NI-Ric_SP'!V509</f>
        <v>0</v>
      </c>
      <c r="W509" s="272">
        <f>+'NI-San_SP'!W509+'NI-Soc_SP'!W509+'NI-Ric_SP'!W509</f>
        <v>0</v>
      </c>
      <c r="X509" s="272">
        <f>+'NI-San_SP'!X509+'NI-Soc_SP'!X509+'NI-Ric_SP'!X509</f>
        <v>0</v>
      </c>
      <c r="Y509" s="272">
        <f>+'NI-San_SP'!Y509+'NI-Soc_SP'!Y509+'NI-Ric_SP'!Y509</f>
        <v>0</v>
      </c>
      <c r="Z509" s="272">
        <f>+'NI-San_SP'!Z509+'NI-Soc_SP'!Z509+'NI-Ric_SP'!Z509</f>
        <v>0</v>
      </c>
      <c r="AA509" s="272">
        <f>+'NI-San_SP'!AA509+'NI-Soc_SP'!AA509+'NI-Ric_SP'!AA509</f>
        <v>0</v>
      </c>
      <c r="AB509" s="272">
        <f>+'NI-San_SP'!AB509+'NI-Soc_SP'!AB509+'NI-Ric_SP'!AB509</f>
        <v>0</v>
      </c>
      <c r="AC509" s="272">
        <f>+'NI-San_SP'!AC509+'NI-Soc_SP'!AC509+'NI-Ric_SP'!AC509</f>
        <v>0</v>
      </c>
    </row>
    <row r="510" spans="1:29" s="204" customFormat="1" x14ac:dyDescent="0.25">
      <c r="B510" s="246" t="s">
        <v>1122</v>
      </c>
      <c r="C510" s="287" t="s">
        <v>1123</v>
      </c>
      <c r="D510" s="274" t="s">
        <v>3532</v>
      </c>
      <c r="E510" s="274"/>
      <c r="F510" s="274"/>
      <c r="G510" s="283"/>
      <c r="H510" s="266"/>
      <c r="I510" s="274"/>
      <c r="J510" s="281"/>
      <c r="K510" s="281"/>
      <c r="L510" s="295" t="s">
        <v>1125</v>
      </c>
      <c r="M510" s="284" t="s">
        <v>2962</v>
      </c>
      <c r="N510" s="270">
        <f>+V510</f>
        <v>0</v>
      </c>
      <c r="O510" s="270">
        <f>+AC510</f>
        <v>0</v>
      </c>
      <c r="P510" s="271">
        <f>+O510-N510</f>
        <v>0</v>
      </c>
      <c r="Q510" s="272">
        <f>+'NI-San_SP'!Q510+'NI-Soc_SP'!Q510+'NI-Ric_SP'!Q510</f>
        <v>0</v>
      </c>
      <c r="R510" s="272">
        <f>+'NI-San_SP'!R510+'NI-Soc_SP'!R510+'NI-Ric_SP'!R510</f>
        <v>0</v>
      </c>
      <c r="S510" s="272">
        <f>+'NI-San_SP'!S510+'NI-Soc_SP'!S510+'NI-Ric_SP'!S510</f>
        <v>0</v>
      </c>
      <c r="T510" s="272">
        <f>+'NI-San_SP'!T510+'NI-Soc_SP'!T510+'NI-Ric_SP'!T510</f>
        <v>0</v>
      </c>
      <c r="U510" s="272">
        <f>+'NI-San_SP'!U510+'NI-Soc_SP'!U510+'NI-Ric_SP'!U510</f>
        <v>0</v>
      </c>
      <c r="V510" s="272">
        <f>+'NI-San_SP'!V510+'NI-Soc_SP'!V510+'NI-Ric_SP'!V510</f>
        <v>0</v>
      </c>
      <c r="W510" s="272">
        <f>+'NI-San_SP'!W510+'NI-Soc_SP'!W510+'NI-Ric_SP'!W510</f>
        <v>0</v>
      </c>
      <c r="X510" s="272">
        <f>+'NI-San_SP'!X510+'NI-Soc_SP'!X510+'NI-Ric_SP'!X510</f>
        <v>0</v>
      </c>
      <c r="Y510" s="272">
        <f>+'NI-San_SP'!Y510+'NI-Soc_SP'!Y510+'NI-Ric_SP'!Y510</f>
        <v>0</v>
      </c>
      <c r="Z510" s="272">
        <f>+'NI-San_SP'!Z510+'NI-Soc_SP'!Z510+'NI-Ric_SP'!Z510</f>
        <v>0</v>
      </c>
      <c r="AA510" s="272">
        <f>+'NI-San_SP'!AA510+'NI-Soc_SP'!AA510+'NI-Ric_SP'!AA510</f>
        <v>0</v>
      </c>
      <c r="AB510" s="272">
        <f>+'NI-San_SP'!AB510+'NI-Soc_SP'!AB510+'NI-Ric_SP'!AB510</f>
        <v>0</v>
      </c>
      <c r="AC510" s="272">
        <f>+'NI-San_SP'!AC510+'NI-Soc_SP'!AC510+'NI-Ric_SP'!AC510</f>
        <v>0</v>
      </c>
    </row>
    <row r="511" spans="1:29" s="204" customFormat="1" x14ac:dyDescent="0.25">
      <c r="B511" s="230"/>
      <c r="C511" s="230"/>
      <c r="D511" s="230"/>
      <c r="E511" s="230"/>
      <c r="F511" s="230"/>
      <c r="G511" s="230"/>
      <c r="H511" s="231"/>
      <c r="I511" s="230"/>
      <c r="J511" s="230"/>
      <c r="K511" s="230"/>
      <c r="L511" s="232"/>
      <c r="M511" s="211"/>
      <c r="N511" s="254"/>
      <c r="O511" s="211"/>
      <c r="P511" s="211"/>
      <c r="Q511" s="211"/>
      <c r="R511" s="211"/>
      <c r="S511" s="211"/>
      <c r="T511" s="285"/>
      <c r="U511" s="285"/>
      <c r="V511" s="211"/>
      <c r="W511" s="211"/>
      <c r="X511" s="211"/>
      <c r="Y511" s="211"/>
      <c r="Z511" s="211"/>
      <c r="AA511" s="211"/>
    </row>
    <row r="512" spans="1:29" s="204" customFormat="1" x14ac:dyDescent="0.25">
      <c r="A512" s="204">
        <f>N512-O512</f>
        <v>-24040273</v>
      </c>
      <c r="B512" s="233" t="s">
        <v>1126</v>
      </c>
      <c r="C512" s="233" t="s">
        <v>1127</v>
      </c>
      <c r="D512" s="234" t="s">
        <v>3533</v>
      </c>
      <c r="E512" s="234"/>
      <c r="F512" s="234"/>
      <c r="G512" s="234"/>
      <c r="H512" s="235"/>
      <c r="I512" s="234"/>
      <c r="J512" s="234"/>
      <c r="K512" s="234"/>
      <c r="L512" s="236" t="s">
        <v>1128</v>
      </c>
      <c r="M512" s="237" t="s">
        <v>2962</v>
      </c>
      <c r="N512" s="238">
        <f>+N515+N590+N727+N736</f>
        <v>111296606</v>
      </c>
      <c r="O512" s="238">
        <f>+O515+O590+O727+O736</f>
        <v>135336879</v>
      </c>
      <c r="P512" s="239">
        <f>+O512-N512</f>
        <v>24040273</v>
      </c>
      <c r="Q512" s="211"/>
      <c r="R512" s="211"/>
      <c r="S512" s="211"/>
      <c r="T512" s="285"/>
      <c r="U512" s="285"/>
      <c r="V512" s="211"/>
      <c r="W512" s="211"/>
      <c r="X512" s="211"/>
      <c r="Y512" s="211"/>
      <c r="Z512" s="211"/>
      <c r="AA512" s="211"/>
    </row>
    <row r="513" spans="1:28" s="204" customFormat="1" x14ac:dyDescent="0.25">
      <c r="B513" s="230"/>
      <c r="C513" s="230"/>
      <c r="D513" s="230"/>
      <c r="E513" s="230"/>
      <c r="F513" s="230"/>
      <c r="G513" s="230"/>
      <c r="H513" s="231"/>
      <c r="I513" s="230"/>
      <c r="J513" s="230"/>
      <c r="K513" s="230"/>
      <c r="L513" s="232"/>
      <c r="M513" s="211"/>
      <c r="N513" s="254"/>
      <c r="O513" s="211"/>
      <c r="P513" s="211"/>
      <c r="Q513" s="211"/>
      <c r="R513" s="211"/>
      <c r="S513" s="211"/>
      <c r="T513" s="285"/>
      <c r="U513" s="285"/>
      <c r="V513" s="211"/>
      <c r="W513" s="211"/>
      <c r="X513" s="211"/>
      <c r="Y513" s="211"/>
      <c r="Z513" s="211"/>
      <c r="AA513" s="211"/>
    </row>
    <row r="514" spans="1:28" s="204" customFormat="1" ht="25.5" x14ac:dyDescent="0.25">
      <c r="B514" s="230"/>
      <c r="C514" s="230"/>
      <c r="D514" s="230"/>
      <c r="E514" s="230"/>
      <c r="F514" s="230"/>
      <c r="G514" s="230"/>
      <c r="H514" s="231"/>
      <c r="I514" s="230"/>
      <c r="J514" s="230"/>
      <c r="K514" s="230"/>
      <c r="L514" s="243"/>
      <c r="M514" s="244"/>
      <c r="N514" s="330" t="str">
        <f>N$15</f>
        <v>Valore netto al 31/12/2019</v>
      </c>
      <c r="O514" s="331" t="str">
        <f>O$15</f>
        <v>Valore netto al 31/12/2020</v>
      </c>
      <c r="P514" s="330" t="str">
        <f>P$15</f>
        <v>Variazione</v>
      </c>
      <c r="Q514" s="211"/>
      <c r="R514" s="211"/>
      <c r="S514" s="211"/>
      <c r="T514" s="285"/>
      <c r="U514" s="285"/>
      <c r="V514" s="211"/>
      <c r="W514" s="211"/>
      <c r="X514" s="211"/>
      <c r="Y514" s="211"/>
      <c r="Z514" s="211"/>
      <c r="AA514" s="211"/>
    </row>
    <row r="515" spans="1:28" s="204" customFormat="1" x14ac:dyDescent="0.25">
      <c r="A515" s="204">
        <f>N515-O515</f>
        <v>-3618654</v>
      </c>
      <c r="B515" s="246" t="s">
        <v>1129</v>
      </c>
      <c r="C515" s="246" t="s">
        <v>1130</v>
      </c>
      <c r="D515" s="247" t="s">
        <v>3534</v>
      </c>
      <c r="E515" s="247"/>
      <c r="F515" s="247"/>
      <c r="G515" s="247"/>
      <c r="H515" s="248"/>
      <c r="I515" s="247"/>
      <c r="J515" s="247"/>
      <c r="K515" s="249"/>
      <c r="L515" s="250" t="s">
        <v>1131</v>
      </c>
      <c r="M515" s="251" t="s">
        <v>2962</v>
      </c>
      <c r="N515" s="252">
        <f>+N517+N569</f>
        <v>11430307</v>
      </c>
      <c r="O515" s="252">
        <f>+O517+O569</f>
        <v>15048961</v>
      </c>
      <c r="P515" s="253">
        <f>+O515-N515</f>
        <v>3618654</v>
      </c>
      <c r="Q515" s="211"/>
      <c r="R515" s="211"/>
      <c r="S515" s="211"/>
      <c r="T515" s="285"/>
      <c r="U515" s="285"/>
      <c r="V515" s="211"/>
      <c r="W515" s="211"/>
      <c r="X515" s="211"/>
      <c r="Y515" s="211"/>
      <c r="Z515" s="211"/>
      <c r="AA515" s="211"/>
    </row>
    <row r="516" spans="1:28" s="204" customFormat="1" x14ac:dyDescent="0.25">
      <c r="B516" s="230"/>
      <c r="C516" s="230"/>
      <c r="D516" s="230"/>
      <c r="E516" s="230"/>
      <c r="F516" s="230"/>
      <c r="G516" s="230"/>
      <c r="H516" s="231"/>
      <c r="I516" s="230"/>
      <c r="J516" s="230"/>
      <c r="K516" s="230"/>
      <c r="L516" s="299"/>
      <c r="M516" s="211"/>
      <c r="N516" s="254"/>
      <c r="O516" s="211"/>
      <c r="P516" s="211"/>
      <c r="Q516" s="211"/>
      <c r="R516" s="211"/>
      <c r="S516" s="211"/>
      <c r="T516" s="285"/>
      <c r="U516" s="285"/>
      <c r="V516" s="211"/>
      <c r="W516" s="211"/>
      <c r="X516" s="211"/>
      <c r="Y516" s="211"/>
      <c r="Z516" s="211"/>
      <c r="AA516" s="211"/>
    </row>
    <row r="517" spans="1:28" s="204" customFormat="1" x14ac:dyDescent="0.25">
      <c r="B517" s="246" t="s">
        <v>1132</v>
      </c>
      <c r="C517" s="246" t="s">
        <v>1133</v>
      </c>
      <c r="D517" s="247" t="s">
        <v>3535</v>
      </c>
      <c r="E517" s="247"/>
      <c r="F517" s="247"/>
      <c r="G517" s="247"/>
      <c r="H517" s="248"/>
      <c r="I517" s="247"/>
      <c r="J517" s="247"/>
      <c r="K517" s="249"/>
      <c r="L517" s="276" t="s">
        <v>1135</v>
      </c>
      <c r="M517" s="251" t="s">
        <v>2962</v>
      </c>
      <c r="N517" s="252">
        <f>SUM(N520:N566)</f>
        <v>11277052</v>
      </c>
      <c r="O517" s="252">
        <f>SUM(O520:O566)</f>
        <v>14894110</v>
      </c>
      <c r="P517" s="259">
        <f>+O517-N517</f>
        <v>3617058</v>
      </c>
      <c r="Q517" s="252">
        <f>SUM(Q520:Q566)</f>
        <v>0</v>
      </c>
      <c r="R517" s="252">
        <f>SUM(R522:R566)</f>
        <v>11277052</v>
      </c>
      <c r="S517" s="252">
        <f t="shared" ref="S517:AB517" si="67">SUM(S520:S566)</f>
        <v>0</v>
      </c>
      <c r="T517" s="252">
        <f t="shared" si="67"/>
        <v>0</v>
      </c>
      <c r="U517" s="252">
        <f t="shared" si="67"/>
        <v>69466724</v>
      </c>
      <c r="V517" s="252">
        <f t="shared" si="67"/>
        <v>0</v>
      </c>
      <c r="W517" s="252">
        <f t="shared" si="67"/>
        <v>0</v>
      </c>
      <c r="X517" s="252">
        <f t="shared" si="67"/>
        <v>0</v>
      </c>
      <c r="Y517" s="252">
        <f t="shared" si="67"/>
        <v>65849666</v>
      </c>
      <c r="Z517" s="252">
        <f t="shared" si="67"/>
        <v>14894110</v>
      </c>
      <c r="AA517" s="252">
        <f t="shared" si="67"/>
        <v>0</v>
      </c>
      <c r="AB517" s="252">
        <f t="shared" si="67"/>
        <v>5913496</v>
      </c>
    </row>
    <row r="518" spans="1:28" s="204" customFormat="1" x14ac:dyDescent="0.25">
      <c r="B518" s="230"/>
      <c r="C518" s="230"/>
      <c r="D518" s="230"/>
      <c r="E518" s="230"/>
      <c r="F518" s="230"/>
      <c r="G518" s="230"/>
      <c r="H518" s="231"/>
      <c r="I518" s="230"/>
      <c r="J518" s="230"/>
      <c r="K518" s="230"/>
      <c r="L518" s="232"/>
      <c r="M518" s="211"/>
      <c r="N518" s="254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1:28" s="204" customFormat="1" ht="63.75" x14ac:dyDescent="0.25">
      <c r="B519" s="294" t="s">
        <v>2968</v>
      </c>
      <c r="C519" s="294" t="s">
        <v>2969</v>
      </c>
      <c r="D519" s="206" t="s">
        <v>72</v>
      </c>
      <c r="E519" s="206"/>
      <c r="F519" s="206"/>
      <c r="G519" s="207"/>
      <c r="H519" s="207"/>
      <c r="I519" s="207"/>
      <c r="J519" s="207" t="s">
        <v>2957</v>
      </c>
      <c r="K519" s="206" t="s">
        <v>82</v>
      </c>
      <c r="L519" s="261" t="s">
        <v>2970</v>
      </c>
      <c r="M519" s="345"/>
      <c r="N519" s="256" t="str">
        <f>N$15</f>
        <v>Valore netto al 31/12/2019</v>
      </c>
      <c r="O519" s="256" t="str">
        <f>O$15</f>
        <v>Valore netto al 31/12/2020</v>
      </c>
      <c r="P519" s="256" t="str">
        <f>P$15</f>
        <v>Variazione</v>
      </c>
      <c r="Q519" s="262" t="s">
        <v>2971</v>
      </c>
      <c r="R519" s="262" t="s">
        <v>3536</v>
      </c>
      <c r="S519" s="262" t="s">
        <v>2972</v>
      </c>
      <c r="T519" s="262" t="s">
        <v>3537</v>
      </c>
      <c r="U519" s="262" t="s">
        <v>3538</v>
      </c>
      <c r="V519" s="262" t="s">
        <v>3539</v>
      </c>
      <c r="W519" s="262" t="s">
        <v>2975</v>
      </c>
      <c r="X519" s="262" t="s">
        <v>3540</v>
      </c>
      <c r="Y519" s="262" t="s">
        <v>3541</v>
      </c>
      <c r="Z519" s="346" t="s">
        <v>3542</v>
      </c>
      <c r="AA519" s="262" t="s">
        <v>3543</v>
      </c>
      <c r="AB519" s="262" t="s">
        <v>3544</v>
      </c>
    </row>
    <row r="520" spans="1:28" s="204" customFormat="1" hidden="1" x14ac:dyDescent="0.25">
      <c r="B520" s="347" t="s">
        <v>1137</v>
      </c>
      <c r="C520" s="347" t="s">
        <v>1137</v>
      </c>
      <c r="D520" s="348" t="s">
        <v>3545</v>
      </c>
      <c r="E520" s="348"/>
      <c r="F520" s="348"/>
      <c r="G520" s="348"/>
      <c r="H520" s="349"/>
      <c r="I520" s="349"/>
      <c r="J520" s="349"/>
      <c r="K520" s="349"/>
      <c r="L520" s="350" t="s">
        <v>1138</v>
      </c>
      <c r="M520" s="284" t="s">
        <v>2962</v>
      </c>
      <c r="N520" s="351"/>
      <c r="O520" s="351"/>
      <c r="P520" s="352"/>
      <c r="Q520" s="353"/>
      <c r="R520" s="354"/>
      <c r="S520" s="355"/>
      <c r="T520" s="355"/>
      <c r="U520" s="356"/>
      <c r="V520" s="355"/>
      <c r="W520" s="355"/>
      <c r="X520" s="355"/>
      <c r="Y520" s="355"/>
      <c r="Z520" s="357"/>
      <c r="AA520" s="355"/>
      <c r="AB520" s="355"/>
    </row>
    <row r="521" spans="1:28" s="204" customFormat="1" x14ac:dyDescent="0.25">
      <c r="B521" s="246" t="s">
        <v>1139</v>
      </c>
      <c r="C521" s="347" t="s">
        <v>1140</v>
      </c>
      <c r="D521" s="348" t="s">
        <v>3546</v>
      </c>
      <c r="E521" s="348"/>
      <c r="F521" s="348"/>
      <c r="G521" s="348"/>
      <c r="H521" s="349"/>
      <c r="I521" s="349"/>
      <c r="J521" s="349"/>
      <c r="K521" s="349"/>
      <c r="L521" s="350" t="s">
        <v>3547</v>
      </c>
      <c r="M521" s="284" t="s">
        <v>2962</v>
      </c>
      <c r="N521" s="351"/>
      <c r="O521" s="351"/>
      <c r="P521" s="352"/>
      <c r="Q521" s="351"/>
      <c r="R521" s="354">
        <f>+'NI-San_SP'!R521+'NI-Soc_SP'!R521+'NI-Ric_SP'!R521</f>
        <v>0</v>
      </c>
      <c r="S521" s="351"/>
      <c r="T521" s="351"/>
      <c r="U521" s="351"/>
      <c r="V521" s="351"/>
      <c r="W521" s="351"/>
      <c r="X521" s="351"/>
      <c r="Y521" s="351"/>
      <c r="Z521" s="351"/>
      <c r="AA521" s="351"/>
      <c r="AB521" s="351"/>
    </row>
    <row r="522" spans="1:28" s="204" customFormat="1" x14ac:dyDescent="0.25">
      <c r="B522" s="246" t="s">
        <v>1142</v>
      </c>
      <c r="C522" s="347" t="s">
        <v>1143</v>
      </c>
      <c r="D522" s="348" t="s">
        <v>3548</v>
      </c>
      <c r="E522" s="348"/>
      <c r="F522" s="348"/>
      <c r="G522" s="348"/>
      <c r="H522" s="349"/>
      <c r="I522" s="349"/>
      <c r="J522" s="349"/>
      <c r="K522" s="349"/>
      <c r="L522" s="350" t="s">
        <v>3549</v>
      </c>
      <c r="M522" s="284" t="s">
        <v>2962</v>
      </c>
      <c r="N522" s="270">
        <f t="shared" ref="N522:N566" si="68">+R522</f>
        <v>3842423</v>
      </c>
      <c r="O522" s="270">
        <f t="shared" ref="O522:O565" si="69">+Z522</f>
        <v>5774021</v>
      </c>
      <c r="P522" s="271">
        <f t="shared" ref="P522:P566" si="70">+O522-N522</f>
        <v>1931598</v>
      </c>
      <c r="Q522" s="272">
        <f>+'NI-San_SP'!Q522+'NI-Soc_SP'!Q522+'NI-Ric_SP'!Q522</f>
        <v>0</v>
      </c>
      <c r="R522" s="272">
        <f>+'NI-San_SP'!R522+'NI-Soc_SP'!R522+'NI-Ric_SP'!R522</f>
        <v>3842423</v>
      </c>
      <c r="S522" s="272">
        <f>+'NI-San_SP'!S522+'NI-Soc_SP'!S522+'NI-Ric_SP'!S522</f>
        <v>0</v>
      </c>
      <c r="T522" s="272">
        <f>+'NI-San_SP'!T522+'NI-Soc_SP'!T522+'NI-Ric_SP'!T522</f>
        <v>0</v>
      </c>
      <c r="U522" s="272">
        <f>+'NI-San_SP'!U522+'NI-Soc_SP'!U522+'NI-Ric_SP'!U522</f>
        <v>31869478</v>
      </c>
      <c r="V522" s="272">
        <f>+'NI-San_SP'!V522+'NI-Soc_SP'!V522+'NI-Ric_SP'!V522</f>
        <v>0</v>
      </c>
      <c r="W522" s="272">
        <f>+'NI-San_SP'!W522+'NI-Soc_SP'!W522+'NI-Ric_SP'!W522</f>
        <v>0</v>
      </c>
      <c r="X522" s="272">
        <f>+'NI-San_SP'!X522+'NI-Soc_SP'!X522+'NI-Ric_SP'!X522</f>
        <v>0</v>
      </c>
      <c r="Y522" s="272">
        <f>+'NI-San_SP'!Y522+'NI-Soc_SP'!Y522+'NI-Ric_SP'!Y522</f>
        <v>29937880</v>
      </c>
      <c r="Z522" s="272">
        <f>+'NI-San_SP'!Z522+'NI-Soc_SP'!Z522+'NI-Ric_SP'!Z522</f>
        <v>5774021</v>
      </c>
      <c r="AA522" s="272">
        <f>+'NI-San_SP'!AA522+'NI-Soc_SP'!AA522+'NI-Ric_SP'!AA522</f>
        <v>0</v>
      </c>
      <c r="AB522" s="272">
        <f>+'NI-San_SP'!AB522+'NI-Soc_SP'!AB522+'NI-Ric_SP'!AB522</f>
        <v>0</v>
      </c>
    </row>
    <row r="523" spans="1:28" s="204" customFormat="1" x14ac:dyDescent="0.25">
      <c r="B523" s="246" t="s">
        <v>1147</v>
      </c>
      <c r="C523" s="347" t="s">
        <v>1148</v>
      </c>
      <c r="D523" s="348" t="s">
        <v>3550</v>
      </c>
      <c r="E523" s="348"/>
      <c r="F523" s="348"/>
      <c r="G523" s="348"/>
      <c r="H523" s="349"/>
      <c r="I523" s="349"/>
      <c r="J523" s="349"/>
      <c r="K523" s="349"/>
      <c r="L523" s="350" t="s">
        <v>3551</v>
      </c>
      <c r="M523" s="284" t="s">
        <v>2962</v>
      </c>
      <c r="N523" s="270">
        <f t="shared" si="68"/>
        <v>273057</v>
      </c>
      <c r="O523" s="270">
        <f t="shared" si="69"/>
        <v>54317</v>
      </c>
      <c r="P523" s="271">
        <f t="shared" si="70"/>
        <v>-218740</v>
      </c>
      <c r="Q523" s="272">
        <f>+'NI-San_SP'!Q523+'NI-Soc_SP'!Q523+'NI-Ric_SP'!Q523</f>
        <v>0</v>
      </c>
      <c r="R523" s="272">
        <f>+'NI-San_SP'!R523+'NI-Soc_SP'!R523+'NI-Ric_SP'!R523</f>
        <v>273057</v>
      </c>
      <c r="S523" s="272">
        <f>+'NI-San_SP'!S523+'NI-Soc_SP'!S523+'NI-Ric_SP'!S523</f>
        <v>0</v>
      </c>
      <c r="T523" s="272">
        <f>+'NI-San_SP'!T523+'NI-Soc_SP'!T523+'NI-Ric_SP'!T523</f>
        <v>0</v>
      </c>
      <c r="U523" s="272">
        <f>+'NI-San_SP'!U523+'NI-Soc_SP'!U523+'NI-Ric_SP'!U523</f>
        <v>280896</v>
      </c>
      <c r="V523" s="272">
        <f>+'NI-San_SP'!V523+'NI-Soc_SP'!V523+'NI-Ric_SP'!V523</f>
        <v>0</v>
      </c>
      <c r="W523" s="272">
        <f>+'NI-San_SP'!W523+'NI-Soc_SP'!W523+'NI-Ric_SP'!W523</f>
        <v>0</v>
      </c>
      <c r="X523" s="272">
        <f>+'NI-San_SP'!X523+'NI-Soc_SP'!X523+'NI-Ric_SP'!X523</f>
        <v>0</v>
      </c>
      <c r="Y523" s="272">
        <f>+'NI-San_SP'!Y523+'NI-Soc_SP'!Y523+'NI-Ric_SP'!Y523</f>
        <v>499636</v>
      </c>
      <c r="Z523" s="272">
        <f>+'NI-San_SP'!Z523+'NI-Soc_SP'!Z523+'NI-Ric_SP'!Z523</f>
        <v>54317</v>
      </c>
      <c r="AA523" s="272">
        <f>+'NI-San_SP'!AA523+'NI-Soc_SP'!AA523+'NI-Ric_SP'!AA523</f>
        <v>0</v>
      </c>
      <c r="AB523" s="272">
        <f>+'NI-San_SP'!AB523+'NI-Soc_SP'!AB523+'NI-Ric_SP'!AB523</f>
        <v>0</v>
      </c>
    </row>
    <row r="524" spans="1:28" s="204" customFormat="1" x14ac:dyDescent="0.25">
      <c r="B524" s="246" t="s">
        <v>1150</v>
      </c>
      <c r="C524" s="347" t="s">
        <v>1151</v>
      </c>
      <c r="D524" s="348" t="s">
        <v>3552</v>
      </c>
      <c r="E524" s="348"/>
      <c r="F524" s="348"/>
      <c r="G524" s="348"/>
      <c r="H524" s="349"/>
      <c r="I524" s="349"/>
      <c r="J524" s="349"/>
      <c r="K524" s="349"/>
      <c r="L524" s="350" t="s">
        <v>3553</v>
      </c>
      <c r="M524" s="284" t="s">
        <v>2962</v>
      </c>
      <c r="N524" s="270">
        <f t="shared" si="68"/>
        <v>1309863</v>
      </c>
      <c r="O524" s="270">
        <f t="shared" si="69"/>
        <v>1795974</v>
      </c>
      <c r="P524" s="271">
        <f t="shared" si="70"/>
        <v>486111</v>
      </c>
      <c r="Q524" s="272">
        <f>+'NI-San_SP'!Q524+'NI-Soc_SP'!Q524+'NI-Ric_SP'!Q524</f>
        <v>0</v>
      </c>
      <c r="R524" s="272">
        <f>+'NI-San_SP'!R524+'NI-Soc_SP'!R524+'NI-Ric_SP'!R524</f>
        <v>1309863</v>
      </c>
      <c r="S524" s="272">
        <f>+'NI-San_SP'!S524+'NI-Soc_SP'!S524+'NI-Ric_SP'!S524</f>
        <v>0</v>
      </c>
      <c r="T524" s="272">
        <f>+'NI-San_SP'!T524+'NI-Soc_SP'!T524+'NI-Ric_SP'!T524</f>
        <v>0</v>
      </c>
      <c r="U524" s="272">
        <f>+'NI-San_SP'!U524+'NI-Soc_SP'!U524+'NI-Ric_SP'!U524</f>
        <v>4371576</v>
      </c>
      <c r="V524" s="272">
        <f>+'NI-San_SP'!V524+'NI-Soc_SP'!V524+'NI-Ric_SP'!V524</f>
        <v>0</v>
      </c>
      <c r="W524" s="272">
        <f>+'NI-San_SP'!W524+'NI-Soc_SP'!W524+'NI-Ric_SP'!W524</f>
        <v>0</v>
      </c>
      <c r="X524" s="272">
        <f>+'NI-San_SP'!X524+'NI-Soc_SP'!X524+'NI-Ric_SP'!X524</f>
        <v>0</v>
      </c>
      <c r="Y524" s="272">
        <f>+'NI-San_SP'!Y524+'NI-Soc_SP'!Y524+'NI-Ric_SP'!Y524</f>
        <v>3885465</v>
      </c>
      <c r="Z524" s="272">
        <f>+'NI-San_SP'!Z524+'NI-Soc_SP'!Z524+'NI-Ric_SP'!Z524</f>
        <v>1795974</v>
      </c>
      <c r="AA524" s="272">
        <f>+'NI-San_SP'!AA524+'NI-Soc_SP'!AA524+'NI-Ric_SP'!AA524</f>
        <v>0</v>
      </c>
      <c r="AB524" s="272">
        <f>+'NI-San_SP'!AB524+'NI-Soc_SP'!AB524+'NI-Ric_SP'!AB524</f>
        <v>1795976</v>
      </c>
    </row>
    <row r="525" spans="1:28" s="204" customFormat="1" x14ac:dyDescent="0.25">
      <c r="B525" s="246" t="s">
        <v>1153</v>
      </c>
      <c r="C525" s="347" t="s">
        <v>1154</v>
      </c>
      <c r="D525" s="348" t="s">
        <v>3554</v>
      </c>
      <c r="E525" s="348"/>
      <c r="F525" s="348"/>
      <c r="G525" s="348"/>
      <c r="H525" s="349"/>
      <c r="I525" s="349"/>
      <c r="J525" s="348"/>
      <c r="K525" s="349"/>
      <c r="L525" s="350" t="s">
        <v>3555</v>
      </c>
      <c r="M525" s="284" t="s">
        <v>2962</v>
      </c>
      <c r="N525" s="270">
        <f t="shared" si="68"/>
        <v>73869</v>
      </c>
      <c r="O525" s="270">
        <f t="shared" si="69"/>
        <v>103089</v>
      </c>
      <c r="P525" s="271">
        <f t="shared" si="70"/>
        <v>29220</v>
      </c>
      <c r="Q525" s="272">
        <f>+'NI-San_SP'!Q525+'NI-Soc_SP'!Q525+'NI-Ric_SP'!Q525</f>
        <v>0</v>
      </c>
      <c r="R525" s="272">
        <f>+'NI-San_SP'!R525+'NI-Soc_SP'!R525+'NI-Ric_SP'!R525</f>
        <v>73869</v>
      </c>
      <c r="S525" s="272">
        <f>+'NI-San_SP'!S525+'NI-Soc_SP'!S525+'NI-Ric_SP'!S525</f>
        <v>0</v>
      </c>
      <c r="T525" s="272">
        <f>+'NI-San_SP'!T525+'NI-Soc_SP'!T525+'NI-Ric_SP'!T525</f>
        <v>0</v>
      </c>
      <c r="U525" s="272">
        <f>+'NI-San_SP'!U525+'NI-Soc_SP'!U525+'NI-Ric_SP'!U525</f>
        <v>4508530</v>
      </c>
      <c r="V525" s="272">
        <f>+'NI-San_SP'!V525+'NI-Soc_SP'!V525+'NI-Ric_SP'!V525</f>
        <v>0</v>
      </c>
      <c r="W525" s="272">
        <f>+'NI-San_SP'!W525+'NI-Soc_SP'!W525+'NI-Ric_SP'!W525</f>
        <v>0</v>
      </c>
      <c r="X525" s="272">
        <f>+'NI-San_SP'!X525+'NI-Soc_SP'!X525+'NI-Ric_SP'!X525</f>
        <v>0</v>
      </c>
      <c r="Y525" s="272">
        <f>+'NI-San_SP'!Y525+'NI-Soc_SP'!Y525+'NI-Ric_SP'!Y525</f>
        <v>4479310</v>
      </c>
      <c r="Z525" s="272">
        <f>+'NI-San_SP'!Z525+'NI-Soc_SP'!Z525+'NI-Ric_SP'!Z525</f>
        <v>103089</v>
      </c>
      <c r="AA525" s="272">
        <f>+'NI-San_SP'!AA525+'NI-Soc_SP'!AA525+'NI-Ric_SP'!AA525</f>
        <v>0</v>
      </c>
      <c r="AB525" s="272">
        <f>+'NI-San_SP'!AB525+'NI-Soc_SP'!AB525+'NI-Ric_SP'!AB525</f>
        <v>5629</v>
      </c>
    </row>
    <row r="526" spans="1:28" s="204" customFormat="1" ht="25.5" x14ac:dyDescent="0.25">
      <c r="B526" s="246" t="s">
        <v>1156</v>
      </c>
      <c r="C526" s="347" t="s">
        <v>1157</v>
      </c>
      <c r="D526" s="348" t="s">
        <v>3556</v>
      </c>
      <c r="E526" s="348"/>
      <c r="F526" s="348"/>
      <c r="G526" s="348"/>
      <c r="H526" s="349"/>
      <c r="I526" s="349"/>
      <c r="J526" s="348"/>
      <c r="K526" s="349"/>
      <c r="L526" s="350" t="s">
        <v>3557</v>
      </c>
      <c r="M526" s="284" t="s">
        <v>2962</v>
      </c>
      <c r="N526" s="270">
        <f t="shared" si="68"/>
        <v>0</v>
      </c>
      <c r="O526" s="270">
        <f t="shared" si="69"/>
        <v>0</v>
      </c>
      <c r="P526" s="271">
        <f t="shared" si="70"/>
        <v>0</v>
      </c>
      <c r="Q526" s="272">
        <f>+'NI-San_SP'!Q526+'NI-Soc_SP'!Q526+'NI-Ric_SP'!Q526</f>
        <v>0</v>
      </c>
      <c r="R526" s="272">
        <f>+'NI-San_SP'!R526+'NI-Soc_SP'!R526+'NI-Ric_SP'!R526</f>
        <v>0</v>
      </c>
      <c r="S526" s="272">
        <f>+'NI-San_SP'!S526+'NI-Soc_SP'!S526+'NI-Ric_SP'!S526</f>
        <v>0</v>
      </c>
      <c r="T526" s="272">
        <f>+'NI-San_SP'!T526+'NI-Soc_SP'!T526+'NI-Ric_SP'!T526</f>
        <v>0</v>
      </c>
      <c r="U526" s="272">
        <f>+'NI-San_SP'!U526+'NI-Soc_SP'!U526+'NI-Ric_SP'!U526</f>
        <v>27377</v>
      </c>
      <c r="V526" s="272">
        <f>+'NI-San_SP'!V526+'NI-Soc_SP'!V526+'NI-Ric_SP'!V526</f>
        <v>0</v>
      </c>
      <c r="W526" s="272">
        <f>+'NI-San_SP'!W526+'NI-Soc_SP'!W526+'NI-Ric_SP'!W526</f>
        <v>0</v>
      </c>
      <c r="X526" s="272">
        <f>+'NI-San_SP'!X526+'NI-Soc_SP'!X526+'NI-Ric_SP'!X526</f>
        <v>0</v>
      </c>
      <c r="Y526" s="272">
        <f>+'NI-San_SP'!Y526+'NI-Soc_SP'!Y526+'NI-Ric_SP'!Y526</f>
        <v>27377</v>
      </c>
      <c r="Z526" s="272">
        <f>+'NI-San_SP'!Z526+'NI-Soc_SP'!Z526+'NI-Ric_SP'!Z526</f>
        <v>0</v>
      </c>
      <c r="AA526" s="272">
        <f>+'NI-San_SP'!AA526+'NI-Soc_SP'!AA526+'NI-Ric_SP'!AA526</f>
        <v>0</v>
      </c>
      <c r="AB526" s="272">
        <f>+'NI-San_SP'!AB526+'NI-Soc_SP'!AB526+'NI-Ric_SP'!AB526</f>
        <v>0</v>
      </c>
    </row>
    <row r="527" spans="1:28" s="204" customFormat="1" x14ac:dyDescent="0.25">
      <c r="B527" s="246" t="s">
        <v>1159</v>
      </c>
      <c r="C527" s="347" t="s">
        <v>1160</v>
      </c>
      <c r="D527" s="348" t="s">
        <v>3558</v>
      </c>
      <c r="E527" s="348"/>
      <c r="F527" s="348"/>
      <c r="G527" s="348"/>
      <c r="H527" s="349"/>
      <c r="I527" s="349"/>
      <c r="J527" s="349"/>
      <c r="K527" s="349"/>
      <c r="L527" s="350" t="s">
        <v>3559</v>
      </c>
      <c r="M527" s="284" t="s">
        <v>2962</v>
      </c>
      <c r="N527" s="270">
        <f t="shared" si="68"/>
        <v>0</v>
      </c>
      <c r="O527" s="270">
        <f t="shared" si="69"/>
        <v>0</v>
      </c>
      <c r="P527" s="271">
        <f t="shared" si="70"/>
        <v>0</v>
      </c>
      <c r="Q527" s="272">
        <f>+'NI-San_SP'!Q527+'NI-Soc_SP'!Q527+'NI-Ric_SP'!Q527</f>
        <v>0</v>
      </c>
      <c r="R527" s="272">
        <f>+'NI-San_SP'!R527+'NI-Soc_SP'!R527+'NI-Ric_SP'!R527</f>
        <v>0</v>
      </c>
      <c r="S527" s="272">
        <f>+'NI-San_SP'!S527+'NI-Soc_SP'!S527+'NI-Ric_SP'!S527</f>
        <v>0</v>
      </c>
      <c r="T527" s="272">
        <f>+'NI-San_SP'!T527+'NI-Soc_SP'!T527+'NI-Ric_SP'!T527</f>
        <v>0</v>
      </c>
      <c r="U527" s="272">
        <f>+'NI-San_SP'!U527+'NI-Soc_SP'!U527+'NI-Ric_SP'!U527</f>
        <v>0</v>
      </c>
      <c r="V527" s="272">
        <f>+'NI-San_SP'!V527+'NI-Soc_SP'!V527+'NI-Ric_SP'!V527</f>
        <v>0</v>
      </c>
      <c r="W527" s="272">
        <f>+'NI-San_SP'!W527+'NI-Soc_SP'!W527+'NI-Ric_SP'!W527</f>
        <v>0</v>
      </c>
      <c r="X527" s="272">
        <f>+'NI-San_SP'!X527+'NI-Soc_SP'!X527+'NI-Ric_SP'!X527</f>
        <v>0</v>
      </c>
      <c r="Y527" s="272">
        <f>+'NI-San_SP'!Y527+'NI-Soc_SP'!Y527+'NI-Ric_SP'!Y527</f>
        <v>0</v>
      </c>
      <c r="Z527" s="272">
        <f>+'NI-San_SP'!Z527+'NI-Soc_SP'!Z527+'NI-Ric_SP'!Z527</f>
        <v>0</v>
      </c>
      <c r="AA527" s="272">
        <f>+'NI-San_SP'!AA527+'NI-Soc_SP'!AA527+'NI-Ric_SP'!AA527</f>
        <v>0</v>
      </c>
      <c r="AB527" s="272">
        <f>+'NI-San_SP'!AB527+'NI-Soc_SP'!AB527+'NI-Ric_SP'!AB527</f>
        <v>0</v>
      </c>
    </row>
    <row r="528" spans="1:28" s="204" customFormat="1" ht="25.5" x14ac:dyDescent="0.25">
      <c r="B528" s="246" t="s">
        <v>1162</v>
      </c>
      <c r="C528" s="347" t="s">
        <v>1163</v>
      </c>
      <c r="D528" s="348" t="s">
        <v>3560</v>
      </c>
      <c r="E528" s="348"/>
      <c r="F528" s="348"/>
      <c r="G528" s="348"/>
      <c r="H528" s="349"/>
      <c r="I528" s="349"/>
      <c r="J528" s="348"/>
      <c r="K528" s="349"/>
      <c r="L528" s="350" t="s">
        <v>3561</v>
      </c>
      <c r="M528" s="284" t="s">
        <v>2962</v>
      </c>
      <c r="N528" s="270">
        <f t="shared" si="68"/>
        <v>0</v>
      </c>
      <c r="O528" s="270">
        <f t="shared" si="69"/>
        <v>0</v>
      </c>
      <c r="P528" s="271">
        <f t="shared" si="70"/>
        <v>0</v>
      </c>
      <c r="Q528" s="272">
        <f>+'NI-San_SP'!Q528+'NI-Soc_SP'!Q528+'NI-Ric_SP'!Q528</f>
        <v>0</v>
      </c>
      <c r="R528" s="272">
        <f>+'NI-San_SP'!R528+'NI-Soc_SP'!R528+'NI-Ric_SP'!R528</f>
        <v>0</v>
      </c>
      <c r="S528" s="272">
        <f>+'NI-San_SP'!S528+'NI-Soc_SP'!S528+'NI-Ric_SP'!S528</f>
        <v>0</v>
      </c>
      <c r="T528" s="272">
        <f>+'NI-San_SP'!T528+'NI-Soc_SP'!T528+'NI-Ric_SP'!T528</f>
        <v>0</v>
      </c>
      <c r="U528" s="272">
        <f>+'NI-San_SP'!U528+'NI-Soc_SP'!U528+'NI-Ric_SP'!U528</f>
        <v>0</v>
      </c>
      <c r="V528" s="272">
        <f>+'NI-San_SP'!V528+'NI-Soc_SP'!V528+'NI-Ric_SP'!V528</f>
        <v>0</v>
      </c>
      <c r="W528" s="272">
        <f>+'NI-San_SP'!W528+'NI-Soc_SP'!W528+'NI-Ric_SP'!W528</f>
        <v>0</v>
      </c>
      <c r="X528" s="272">
        <f>+'NI-San_SP'!X528+'NI-Soc_SP'!X528+'NI-Ric_SP'!X528</f>
        <v>0</v>
      </c>
      <c r="Y528" s="272">
        <f>+'NI-San_SP'!Y528+'NI-Soc_SP'!Y528+'NI-Ric_SP'!Y528</f>
        <v>0</v>
      </c>
      <c r="Z528" s="272">
        <f>+'NI-San_SP'!Z528+'NI-Soc_SP'!Z528+'NI-Ric_SP'!Z528</f>
        <v>0</v>
      </c>
      <c r="AA528" s="272">
        <f>+'NI-San_SP'!AA528+'NI-Soc_SP'!AA528+'NI-Ric_SP'!AA528</f>
        <v>0</v>
      </c>
      <c r="AB528" s="272">
        <f>+'NI-San_SP'!AB528+'NI-Soc_SP'!AB528+'NI-Ric_SP'!AB528</f>
        <v>0</v>
      </c>
    </row>
    <row r="529" spans="2:28" s="204" customFormat="1" x14ac:dyDescent="0.25">
      <c r="B529" s="246" t="s">
        <v>1165</v>
      </c>
      <c r="C529" s="347" t="s">
        <v>1166</v>
      </c>
      <c r="D529" s="348" t="s">
        <v>3562</v>
      </c>
      <c r="E529" s="348"/>
      <c r="F529" s="348"/>
      <c r="G529" s="348"/>
      <c r="H529" s="349"/>
      <c r="I529" s="349"/>
      <c r="J529" s="349"/>
      <c r="K529" s="349"/>
      <c r="L529" s="350" t="s">
        <v>3563</v>
      </c>
      <c r="M529" s="284" t="s">
        <v>2962</v>
      </c>
      <c r="N529" s="270">
        <f t="shared" si="68"/>
        <v>3942</v>
      </c>
      <c r="O529" s="270">
        <f t="shared" si="69"/>
        <v>3984</v>
      </c>
      <c r="P529" s="271">
        <f t="shared" si="70"/>
        <v>42</v>
      </c>
      <c r="Q529" s="272">
        <f>+'NI-San_SP'!Q529+'NI-Soc_SP'!Q529+'NI-Ric_SP'!Q529</f>
        <v>0</v>
      </c>
      <c r="R529" s="272">
        <f>+'NI-San_SP'!R529+'NI-Soc_SP'!R529+'NI-Ric_SP'!R529</f>
        <v>3942</v>
      </c>
      <c r="S529" s="272">
        <f>+'NI-San_SP'!S529+'NI-Soc_SP'!S529+'NI-Ric_SP'!S529</f>
        <v>0</v>
      </c>
      <c r="T529" s="272">
        <f>+'NI-San_SP'!T529+'NI-Soc_SP'!T529+'NI-Ric_SP'!T529</f>
        <v>0</v>
      </c>
      <c r="U529" s="272">
        <f>+'NI-San_SP'!U529+'NI-Soc_SP'!U529+'NI-Ric_SP'!U529</f>
        <v>492182</v>
      </c>
      <c r="V529" s="272">
        <f>+'NI-San_SP'!V529+'NI-Soc_SP'!V529+'NI-Ric_SP'!V529</f>
        <v>0</v>
      </c>
      <c r="W529" s="272">
        <f>+'NI-San_SP'!W529+'NI-Soc_SP'!W529+'NI-Ric_SP'!W529</f>
        <v>0</v>
      </c>
      <c r="X529" s="272">
        <f>+'NI-San_SP'!X529+'NI-Soc_SP'!X529+'NI-Ric_SP'!X529</f>
        <v>0</v>
      </c>
      <c r="Y529" s="272">
        <f>+'NI-San_SP'!Y529+'NI-Soc_SP'!Y529+'NI-Ric_SP'!Y529</f>
        <v>492140</v>
      </c>
      <c r="Z529" s="272">
        <f>+'NI-San_SP'!Z529+'NI-Soc_SP'!Z529+'NI-Ric_SP'!Z529</f>
        <v>3984</v>
      </c>
      <c r="AA529" s="272">
        <f>+'NI-San_SP'!AA529+'NI-Soc_SP'!AA529+'NI-Ric_SP'!AA529</f>
        <v>0</v>
      </c>
      <c r="AB529" s="272">
        <f>+'NI-San_SP'!AB529+'NI-Soc_SP'!AB529+'NI-Ric_SP'!AB529</f>
        <v>1087</v>
      </c>
    </row>
    <row r="530" spans="2:28" s="204" customFormat="1" x14ac:dyDescent="0.25">
      <c r="B530" s="246" t="s">
        <v>1168</v>
      </c>
      <c r="C530" s="347" t="s">
        <v>1169</v>
      </c>
      <c r="D530" s="348" t="s">
        <v>3564</v>
      </c>
      <c r="E530" s="348"/>
      <c r="F530" s="348"/>
      <c r="G530" s="348"/>
      <c r="H530" s="349"/>
      <c r="I530" s="349"/>
      <c r="J530" s="348"/>
      <c r="K530" s="349"/>
      <c r="L530" s="350" t="s">
        <v>3565</v>
      </c>
      <c r="M530" s="284" t="s">
        <v>2962</v>
      </c>
      <c r="N530" s="270">
        <f t="shared" si="68"/>
        <v>0</v>
      </c>
      <c r="O530" s="270">
        <f t="shared" si="69"/>
        <v>0</v>
      </c>
      <c r="P530" s="271">
        <f t="shared" si="70"/>
        <v>0</v>
      </c>
      <c r="Q530" s="272">
        <f>+'NI-San_SP'!Q530+'NI-Soc_SP'!Q530+'NI-Ric_SP'!Q530</f>
        <v>0</v>
      </c>
      <c r="R530" s="272">
        <f>+'NI-San_SP'!R530+'NI-Soc_SP'!R530+'NI-Ric_SP'!R530</f>
        <v>0</v>
      </c>
      <c r="S530" s="272">
        <f>+'NI-San_SP'!S530+'NI-Soc_SP'!S530+'NI-Ric_SP'!S530</f>
        <v>0</v>
      </c>
      <c r="T530" s="272">
        <f>+'NI-San_SP'!T530+'NI-Soc_SP'!T530+'NI-Ric_SP'!T530</f>
        <v>0</v>
      </c>
      <c r="U530" s="272">
        <f>+'NI-San_SP'!U530+'NI-Soc_SP'!U530+'NI-Ric_SP'!U530</f>
        <v>410103</v>
      </c>
      <c r="V530" s="272">
        <f>+'NI-San_SP'!V530+'NI-Soc_SP'!V530+'NI-Ric_SP'!V530</f>
        <v>0</v>
      </c>
      <c r="W530" s="272">
        <f>+'NI-San_SP'!W530+'NI-Soc_SP'!W530+'NI-Ric_SP'!W530</f>
        <v>0</v>
      </c>
      <c r="X530" s="272">
        <f>+'NI-San_SP'!X530+'NI-Soc_SP'!X530+'NI-Ric_SP'!X530</f>
        <v>0</v>
      </c>
      <c r="Y530" s="272">
        <f>+'NI-San_SP'!Y530+'NI-Soc_SP'!Y530+'NI-Ric_SP'!Y530</f>
        <v>410103</v>
      </c>
      <c r="Z530" s="272">
        <f>+'NI-San_SP'!Z530+'NI-Soc_SP'!Z530+'NI-Ric_SP'!Z530</f>
        <v>0</v>
      </c>
      <c r="AA530" s="272">
        <f>+'NI-San_SP'!AA530+'NI-Soc_SP'!AA530+'NI-Ric_SP'!AA530</f>
        <v>0</v>
      </c>
      <c r="AB530" s="272">
        <f>+'NI-San_SP'!AB530+'NI-Soc_SP'!AB530+'NI-Ric_SP'!AB530</f>
        <v>0</v>
      </c>
    </row>
    <row r="531" spans="2:28" s="204" customFormat="1" x14ac:dyDescent="0.25">
      <c r="B531" s="246" t="s">
        <v>1171</v>
      </c>
      <c r="C531" s="347" t="s">
        <v>1172</v>
      </c>
      <c r="D531" s="348" t="s">
        <v>3566</v>
      </c>
      <c r="E531" s="348"/>
      <c r="F531" s="348"/>
      <c r="G531" s="348"/>
      <c r="H531" s="349"/>
      <c r="I531" s="349"/>
      <c r="J531" s="349"/>
      <c r="K531" s="349"/>
      <c r="L531" s="350" t="s">
        <v>3567</v>
      </c>
      <c r="M531" s="284" t="s">
        <v>2962</v>
      </c>
      <c r="N531" s="270">
        <f t="shared" si="68"/>
        <v>0</v>
      </c>
      <c r="O531" s="270">
        <f t="shared" si="69"/>
        <v>0</v>
      </c>
      <c r="P531" s="271">
        <f t="shared" si="70"/>
        <v>0</v>
      </c>
      <c r="Q531" s="272">
        <f>+'NI-San_SP'!Q531+'NI-Soc_SP'!Q531+'NI-Ric_SP'!Q531</f>
        <v>0</v>
      </c>
      <c r="R531" s="272">
        <f>+'NI-San_SP'!R531+'NI-Soc_SP'!R531+'NI-Ric_SP'!R531</f>
        <v>0</v>
      </c>
      <c r="S531" s="272">
        <f>+'NI-San_SP'!S531+'NI-Soc_SP'!S531+'NI-Ric_SP'!S531</f>
        <v>0</v>
      </c>
      <c r="T531" s="272">
        <f>+'NI-San_SP'!T531+'NI-Soc_SP'!T531+'NI-Ric_SP'!T531</f>
        <v>0</v>
      </c>
      <c r="U531" s="272">
        <f>+'NI-San_SP'!U531+'NI-Soc_SP'!U531+'NI-Ric_SP'!U531</f>
        <v>0</v>
      </c>
      <c r="V531" s="272">
        <f>+'NI-San_SP'!V531+'NI-Soc_SP'!V531+'NI-Ric_SP'!V531</f>
        <v>0</v>
      </c>
      <c r="W531" s="272">
        <f>+'NI-San_SP'!W531+'NI-Soc_SP'!W531+'NI-Ric_SP'!W531</f>
        <v>0</v>
      </c>
      <c r="X531" s="272">
        <f>+'NI-San_SP'!X531+'NI-Soc_SP'!X531+'NI-Ric_SP'!X531</f>
        <v>0</v>
      </c>
      <c r="Y531" s="272">
        <f>+'NI-San_SP'!Y531+'NI-Soc_SP'!Y531+'NI-Ric_SP'!Y531</f>
        <v>0</v>
      </c>
      <c r="Z531" s="272">
        <f>+'NI-San_SP'!Z531+'NI-Soc_SP'!Z531+'NI-Ric_SP'!Z531</f>
        <v>0</v>
      </c>
      <c r="AA531" s="272">
        <f>+'NI-San_SP'!AA531+'NI-Soc_SP'!AA531+'NI-Ric_SP'!AA531</f>
        <v>0</v>
      </c>
      <c r="AB531" s="272">
        <f>+'NI-San_SP'!AB531+'NI-Soc_SP'!AB531+'NI-Ric_SP'!AB531</f>
        <v>0</v>
      </c>
    </row>
    <row r="532" spans="2:28" s="204" customFormat="1" ht="25.5" x14ac:dyDescent="0.25">
      <c r="B532" s="246" t="s">
        <v>1174</v>
      </c>
      <c r="C532" s="347" t="s">
        <v>1175</v>
      </c>
      <c r="D532" s="348" t="s">
        <v>3568</v>
      </c>
      <c r="E532" s="348"/>
      <c r="F532" s="348"/>
      <c r="G532" s="348"/>
      <c r="H532" s="349"/>
      <c r="I532" s="349"/>
      <c r="J532" s="348"/>
      <c r="K532" s="349"/>
      <c r="L532" s="350" t="s">
        <v>3569</v>
      </c>
      <c r="M532" s="284" t="s">
        <v>2962</v>
      </c>
      <c r="N532" s="270">
        <f t="shared" si="68"/>
        <v>0</v>
      </c>
      <c r="O532" s="270">
        <f t="shared" si="69"/>
        <v>0</v>
      </c>
      <c r="P532" s="271">
        <f t="shared" si="70"/>
        <v>0</v>
      </c>
      <c r="Q532" s="272">
        <f>+'NI-San_SP'!Q532+'NI-Soc_SP'!Q532+'NI-Ric_SP'!Q532</f>
        <v>0</v>
      </c>
      <c r="R532" s="272">
        <f>+'NI-San_SP'!R532+'NI-Soc_SP'!R532+'NI-Ric_SP'!R532</f>
        <v>0</v>
      </c>
      <c r="S532" s="272">
        <f>+'NI-San_SP'!S532+'NI-Soc_SP'!S532+'NI-Ric_SP'!S532</f>
        <v>0</v>
      </c>
      <c r="T532" s="272">
        <f>+'NI-San_SP'!T532+'NI-Soc_SP'!T532+'NI-Ric_SP'!T532</f>
        <v>0</v>
      </c>
      <c r="U532" s="272">
        <f>+'NI-San_SP'!U532+'NI-Soc_SP'!U532+'NI-Ric_SP'!U532</f>
        <v>0</v>
      </c>
      <c r="V532" s="272">
        <f>+'NI-San_SP'!V532+'NI-Soc_SP'!V532+'NI-Ric_SP'!V532</f>
        <v>0</v>
      </c>
      <c r="W532" s="272">
        <f>+'NI-San_SP'!W532+'NI-Soc_SP'!W532+'NI-Ric_SP'!W532</f>
        <v>0</v>
      </c>
      <c r="X532" s="272">
        <f>+'NI-San_SP'!X532+'NI-Soc_SP'!X532+'NI-Ric_SP'!X532</f>
        <v>0</v>
      </c>
      <c r="Y532" s="272">
        <f>+'NI-San_SP'!Y532+'NI-Soc_SP'!Y532+'NI-Ric_SP'!Y532</f>
        <v>0</v>
      </c>
      <c r="Z532" s="272">
        <f>+'NI-San_SP'!Z532+'NI-Soc_SP'!Z532+'NI-Ric_SP'!Z532</f>
        <v>0</v>
      </c>
      <c r="AA532" s="272">
        <f>+'NI-San_SP'!AA532+'NI-Soc_SP'!AA532+'NI-Ric_SP'!AA532</f>
        <v>0</v>
      </c>
      <c r="AB532" s="272">
        <f>+'NI-San_SP'!AB532+'NI-Soc_SP'!AB532+'NI-Ric_SP'!AB532</f>
        <v>0</v>
      </c>
    </row>
    <row r="533" spans="2:28" s="204" customFormat="1" x14ac:dyDescent="0.25">
      <c r="B533" s="246" t="s">
        <v>1177</v>
      </c>
      <c r="C533" s="347" t="s">
        <v>1178</v>
      </c>
      <c r="D533" s="348" t="s">
        <v>3570</v>
      </c>
      <c r="E533" s="348"/>
      <c r="F533" s="348"/>
      <c r="G533" s="348"/>
      <c r="H533" s="349"/>
      <c r="I533" s="349"/>
      <c r="J533" s="348"/>
      <c r="K533" s="348"/>
      <c r="L533" s="358" t="s">
        <v>3571</v>
      </c>
      <c r="M533" s="284" t="s">
        <v>2962</v>
      </c>
      <c r="N533" s="270">
        <f t="shared" si="68"/>
        <v>58055</v>
      </c>
      <c r="O533" s="270">
        <f t="shared" si="69"/>
        <v>38814</v>
      </c>
      <c r="P533" s="271">
        <f t="shared" si="70"/>
        <v>-19241</v>
      </c>
      <c r="Q533" s="272">
        <f>+'NI-San_SP'!Q533+'NI-Soc_SP'!Q533+'NI-Ric_SP'!Q533</f>
        <v>0</v>
      </c>
      <c r="R533" s="272">
        <f>+'NI-San_SP'!R533+'NI-Soc_SP'!R533+'NI-Ric_SP'!R533</f>
        <v>58055</v>
      </c>
      <c r="S533" s="272">
        <f>+'NI-San_SP'!S533+'NI-Soc_SP'!S533+'NI-Ric_SP'!S533</f>
        <v>0</v>
      </c>
      <c r="T533" s="272">
        <f>+'NI-San_SP'!T533+'NI-Soc_SP'!T533+'NI-Ric_SP'!T533</f>
        <v>0</v>
      </c>
      <c r="U533" s="272">
        <f>+'NI-San_SP'!U533+'NI-Soc_SP'!U533+'NI-Ric_SP'!U533</f>
        <v>69766</v>
      </c>
      <c r="V533" s="272">
        <f>+'NI-San_SP'!V533+'NI-Soc_SP'!V533+'NI-Ric_SP'!V533</f>
        <v>0</v>
      </c>
      <c r="W533" s="272">
        <f>+'NI-San_SP'!W533+'NI-Soc_SP'!W533+'NI-Ric_SP'!W533</f>
        <v>0</v>
      </c>
      <c r="X533" s="272">
        <f>+'NI-San_SP'!X533+'NI-Soc_SP'!X533+'NI-Ric_SP'!X533</f>
        <v>0</v>
      </c>
      <c r="Y533" s="272">
        <f>+'NI-San_SP'!Y533+'NI-Soc_SP'!Y533+'NI-Ric_SP'!Y533</f>
        <v>89007</v>
      </c>
      <c r="Z533" s="272">
        <f>+'NI-San_SP'!Z533+'NI-Soc_SP'!Z533+'NI-Ric_SP'!Z533</f>
        <v>38814</v>
      </c>
      <c r="AA533" s="272">
        <f>+'NI-San_SP'!AA533+'NI-Soc_SP'!AA533+'NI-Ric_SP'!AA533</f>
        <v>0</v>
      </c>
      <c r="AB533" s="272">
        <f>+'NI-San_SP'!AB533+'NI-Soc_SP'!AB533+'NI-Ric_SP'!AB533</f>
        <v>12389</v>
      </c>
    </row>
    <row r="534" spans="2:28" s="204" customFormat="1" x14ac:dyDescent="0.25">
      <c r="B534" s="246" t="s">
        <v>1180</v>
      </c>
      <c r="C534" s="347" t="s">
        <v>1181</v>
      </c>
      <c r="D534" s="348" t="s">
        <v>3572</v>
      </c>
      <c r="E534" s="348"/>
      <c r="F534" s="348"/>
      <c r="G534" s="348"/>
      <c r="H534" s="349"/>
      <c r="I534" s="349"/>
      <c r="J534" s="348"/>
      <c r="K534" s="348"/>
      <c r="L534" s="358" t="s">
        <v>3573</v>
      </c>
      <c r="M534" s="284" t="s">
        <v>2962</v>
      </c>
      <c r="N534" s="270">
        <f t="shared" si="68"/>
        <v>42989</v>
      </c>
      <c r="O534" s="270">
        <f t="shared" si="69"/>
        <v>52924</v>
      </c>
      <c r="P534" s="271">
        <f t="shared" si="70"/>
        <v>9935</v>
      </c>
      <c r="Q534" s="272">
        <f>+'NI-San_SP'!Q534+'NI-Soc_SP'!Q534+'NI-Ric_SP'!Q534</f>
        <v>0</v>
      </c>
      <c r="R534" s="272">
        <f>+'NI-San_SP'!R534+'NI-Soc_SP'!R534+'NI-Ric_SP'!R534</f>
        <v>42989</v>
      </c>
      <c r="S534" s="272">
        <f>+'NI-San_SP'!S534+'NI-Soc_SP'!S534+'NI-Ric_SP'!S534</f>
        <v>0</v>
      </c>
      <c r="T534" s="272">
        <f>+'NI-San_SP'!T534+'NI-Soc_SP'!T534+'NI-Ric_SP'!T534</f>
        <v>0</v>
      </c>
      <c r="U534" s="272">
        <f>+'NI-San_SP'!U534+'NI-Soc_SP'!U534+'NI-Ric_SP'!U534</f>
        <v>422194</v>
      </c>
      <c r="V534" s="272">
        <f>+'NI-San_SP'!V534+'NI-Soc_SP'!V534+'NI-Ric_SP'!V534</f>
        <v>0</v>
      </c>
      <c r="W534" s="272">
        <f>+'NI-San_SP'!W534+'NI-Soc_SP'!W534+'NI-Ric_SP'!W534</f>
        <v>0</v>
      </c>
      <c r="X534" s="272">
        <f>+'NI-San_SP'!X534+'NI-Soc_SP'!X534+'NI-Ric_SP'!X534</f>
        <v>0</v>
      </c>
      <c r="Y534" s="272">
        <f>+'NI-San_SP'!Y534+'NI-Soc_SP'!Y534+'NI-Ric_SP'!Y534</f>
        <v>412259</v>
      </c>
      <c r="Z534" s="272">
        <f>+'NI-San_SP'!Z534+'NI-Soc_SP'!Z534+'NI-Ric_SP'!Z534</f>
        <v>52924</v>
      </c>
      <c r="AA534" s="272">
        <f>+'NI-San_SP'!AA534+'NI-Soc_SP'!AA534+'NI-Ric_SP'!AA534</f>
        <v>0</v>
      </c>
      <c r="AB534" s="272">
        <f>+'NI-San_SP'!AB534+'NI-Soc_SP'!AB534+'NI-Ric_SP'!AB534</f>
        <v>26910</v>
      </c>
    </row>
    <row r="535" spans="2:28" s="204" customFormat="1" x14ac:dyDescent="0.25">
      <c r="B535" s="246" t="s">
        <v>1183</v>
      </c>
      <c r="C535" s="347" t="s">
        <v>1184</v>
      </c>
      <c r="D535" s="348" t="s">
        <v>3574</v>
      </c>
      <c r="E535" s="348"/>
      <c r="F535" s="348"/>
      <c r="G535" s="348"/>
      <c r="H535" s="349"/>
      <c r="I535" s="349"/>
      <c r="J535" s="348"/>
      <c r="K535" s="348"/>
      <c r="L535" s="358" t="s">
        <v>3575</v>
      </c>
      <c r="M535" s="284" t="s">
        <v>2962</v>
      </c>
      <c r="N535" s="270">
        <f t="shared" si="68"/>
        <v>909</v>
      </c>
      <c r="O535" s="270">
        <f t="shared" si="69"/>
        <v>1025</v>
      </c>
      <c r="P535" s="271">
        <f t="shared" si="70"/>
        <v>116</v>
      </c>
      <c r="Q535" s="272">
        <f>+'NI-San_SP'!Q535+'NI-Soc_SP'!Q535+'NI-Ric_SP'!Q535</f>
        <v>0</v>
      </c>
      <c r="R535" s="272">
        <f>+'NI-San_SP'!R535+'NI-Soc_SP'!R535+'NI-Ric_SP'!R535</f>
        <v>909</v>
      </c>
      <c r="S535" s="272">
        <f>+'NI-San_SP'!S535+'NI-Soc_SP'!S535+'NI-Ric_SP'!S535</f>
        <v>0</v>
      </c>
      <c r="T535" s="272">
        <f>+'NI-San_SP'!T535+'NI-Soc_SP'!T535+'NI-Ric_SP'!T535</f>
        <v>0</v>
      </c>
      <c r="U535" s="272">
        <f>+'NI-San_SP'!U535+'NI-Soc_SP'!U535+'NI-Ric_SP'!U535</f>
        <v>23137</v>
      </c>
      <c r="V535" s="272">
        <f>+'NI-San_SP'!V535+'NI-Soc_SP'!V535+'NI-Ric_SP'!V535</f>
        <v>0</v>
      </c>
      <c r="W535" s="272">
        <f>+'NI-San_SP'!W535+'NI-Soc_SP'!W535+'NI-Ric_SP'!W535</f>
        <v>0</v>
      </c>
      <c r="X535" s="272">
        <f>+'NI-San_SP'!X535+'NI-Soc_SP'!X535+'NI-Ric_SP'!X535</f>
        <v>0</v>
      </c>
      <c r="Y535" s="272">
        <f>+'NI-San_SP'!Y535+'NI-Soc_SP'!Y535+'NI-Ric_SP'!Y535</f>
        <v>23021</v>
      </c>
      <c r="Z535" s="272">
        <f>+'NI-San_SP'!Z535+'NI-Soc_SP'!Z535+'NI-Ric_SP'!Z535</f>
        <v>1025</v>
      </c>
      <c r="AA535" s="272">
        <f>+'NI-San_SP'!AA535+'NI-Soc_SP'!AA535+'NI-Ric_SP'!AA535</f>
        <v>0</v>
      </c>
      <c r="AB535" s="272">
        <f>+'NI-San_SP'!AB535+'NI-Soc_SP'!AB535+'NI-Ric_SP'!AB535</f>
        <v>1025</v>
      </c>
    </row>
    <row r="536" spans="2:28" s="204" customFormat="1" x14ac:dyDescent="0.25">
      <c r="B536" s="246" t="s">
        <v>1186</v>
      </c>
      <c r="C536" s="347" t="s">
        <v>1187</v>
      </c>
      <c r="D536" s="348" t="s">
        <v>3576</v>
      </c>
      <c r="E536" s="348"/>
      <c r="F536" s="348"/>
      <c r="G536" s="348"/>
      <c r="H536" s="349"/>
      <c r="I536" s="349"/>
      <c r="J536" s="349"/>
      <c r="K536" s="349"/>
      <c r="L536" s="350" t="s">
        <v>3577</v>
      </c>
      <c r="M536" s="284" t="s">
        <v>2962</v>
      </c>
      <c r="N536" s="270">
        <f t="shared" si="68"/>
        <v>105462</v>
      </c>
      <c r="O536" s="270">
        <f t="shared" si="69"/>
        <v>101610</v>
      </c>
      <c r="P536" s="271">
        <f t="shared" si="70"/>
        <v>-3852</v>
      </c>
      <c r="Q536" s="272">
        <f>+'NI-San_SP'!Q536+'NI-Soc_SP'!Q536+'NI-Ric_SP'!Q536</f>
        <v>0</v>
      </c>
      <c r="R536" s="272">
        <f>+'NI-San_SP'!R536+'NI-Soc_SP'!R536+'NI-Ric_SP'!R536</f>
        <v>105462</v>
      </c>
      <c r="S536" s="272">
        <f>+'NI-San_SP'!S536+'NI-Soc_SP'!S536+'NI-Ric_SP'!S536</f>
        <v>0</v>
      </c>
      <c r="T536" s="272">
        <f>+'NI-San_SP'!T536+'NI-Soc_SP'!T536+'NI-Ric_SP'!T536</f>
        <v>0</v>
      </c>
      <c r="U536" s="272">
        <f>+'NI-San_SP'!U536+'NI-Soc_SP'!U536+'NI-Ric_SP'!U536</f>
        <v>347963</v>
      </c>
      <c r="V536" s="272">
        <f>+'NI-San_SP'!V536+'NI-Soc_SP'!V536+'NI-Ric_SP'!V536</f>
        <v>0</v>
      </c>
      <c r="W536" s="272">
        <f>+'NI-San_SP'!W536+'NI-Soc_SP'!W536+'NI-Ric_SP'!W536</f>
        <v>0</v>
      </c>
      <c r="X536" s="272">
        <f>+'NI-San_SP'!X536+'NI-Soc_SP'!X536+'NI-Ric_SP'!X536</f>
        <v>0</v>
      </c>
      <c r="Y536" s="272">
        <f>+'NI-San_SP'!Y536+'NI-Soc_SP'!Y536+'NI-Ric_SP'!Y536</f>
        <v>351815</v>
      </c>
      <c r="Z536" s="272">
        <f>+'NI-San_SP'!Z536+'NI-Soc_SP'!Z536+'NI-Ric_SP'!Z536</f>
        <v>101610</v>
      </c>
      <c r="AA536" s="272">
        <f>+'NI-San_SP'!AA536+'NI-Soc_SP'!AA536+'NI-Ric_SP'!AA536</f>
        <v>0</v>
      </c>
      <c r="AB536" s="272">
        <f>+'NI-San_SP'!AB536+'NI-Soc_SP'!AB536+'NI-Ric_SP'!AB536</f>
        <v>20688</v>
      </c>
    </row>
    <row r="537" spans="2:28" s="204" customFormat="1" ht="25.5" x14ac:dyDescent="0.25">
      <c r="B537" s="246" t="s">
        <v>1189</v>
      </c>
      <c r="C537" s="347" t="s">
        <v>1190</v>
      </c>
      <c r="D537" s="348" t="s">
        <v>3578</v>
      </c>
      <c r="E537" s="348"/>
      <c r="F537" s="359"/>
      <c r="G537" s="359"/>
      <c r="H537" s="360"/>
      <c r="I537" s="360"/>
      <c r="J537" s="360"/>
      <c r="K537" s="360"/>
      <c r="L537" s="361" t="s">
        <v>3579</v>
      </c>
      <c r="M537" s="284" t="s">
        <v>2962</v>
      </c>
      <c r="N537" s="270">
        <f t="shared" si="68"/>
        <v>1810929</v>
      </c>
      <c r="O537" s="270">
        <f t="shared" si="69"/>
        <v>1810929</v>
      </c>
      <c r="P537" s="271">
        <f t="shared" si="70"/>
        <v>0</v>
      </c>
      <c r="Q537" s="272">
        <f>+'NI-San_SP'!Q537+'NI-Soc_SP'!Q537+'NI-Ric_SP'!Q537</f>
        <v>0</v>
      </c>
      <c r="R537" s="272">
        <f>+'NI-San_SP'!R537+'NI-Soc_SP'!R537+'NI-Ric_SP'!R537</f>
        <v>1810929</v>
      </c>
      <c r="S537" s="272">
        <f>+'NI-San_SP'!S537+'NI-Soc_SP'!S537+'NI-Ric_SP'!S537</f>
        <v>0</v>
      </c>
      <c r="T537" s="272">
        <f>+'NI-San_SP'!T537+'NI-Soc_SP'!T537+'NI-Ric_SP'!T537</f>
        <v>0</v>
      </c>
      <c r="U537" s="272">
        <f>+'NI-San_SP'!U537+'NI-Soc_SP'!U537+'NI-Ric_SP'!U537</f>
        <v>0</v>
      </c>
      <c r="V537" s="272">
        <f>+'NI-San_SP'!V537+'NI-Soc_SP'!V537+'NI-Ric_SP'!V537</f>
        <v>0</v>
      </c>
      <c r="W537" s="272">
        <f>+'NI-San_SP'!W537+'NI-Soc_SP'!W537+'NI-Ric_SP'!W537</f>
        <v>0</v>
      </c>
      <c r="X537" s="272">
        <f>+'NI-San_SP'!X537+'NI-Soc_SP'!X537+'NI-Ric_SP'!X537</f>
        <v>0</v>
      </c>
      <c r="Y537" s="272">
        <f>+'NI-San_SP'!Y537+'NI-Soc_SP'!Y537+'NI-Ric_SP'!Y537</f>
        <v>0</v>
      </c>
      <c r="Z537" s="272">
        <f>+'NI-San_SP'!Z537+'NI-Soc_SP'!Z537+'NI-Ric_SP'!Z537</f>
        <v>1810929</v>
      </c>
      <c r="AA537" s="272">
        <f>+'NI-San_SP'!AA537+'NI-Soc_SP'!AA537+'NI-Ric_SP'!AA537</f>
        <v>0</v>
      </c>
      <c r="AB537" s="272">
        <f>+'NI-San_SP'!AB537+'NI-Soc_SP'!AB537+'NI-Ric_SP'!AB537</f>
        <v>0</v>
      </c>
    </row>
    <row r="538" spans="2:28" s="204" customFormat="1" x14ac:dyDescent="0.25">
      <c r="B538" s="246" t="s">
        <v>1192</v>
      </c>
      <c r="C538" s="347" t="s">
        <v>1193</v>
      </c>
      <c r="D538" s="348" t="s">
        <v>3580</v>
      </c>
      <c r="E538" s="348"/>
      <c r="F538" s="348"/>
      <c r="G538" s="348"/>
      <c r="H538" s="349"/>
      <c r="I538" s="349"/>
      <c r="J538" s="348"/>
      <c r="K538" s="349"/>
      <c r="L538" s="361" t="s">
        <v>3581</v>
      </c>
      <c r="M538" s="284" t="s">
        <v>2962</v>
      </c>
      <c r="N538" s="270">
        <f t="shared" si="68"/>
        <v>81855</v>
      </c>
      <c r="O538" s="270">
        <f t="shared" si="69"/>
        <v>200899</v>
      </c>
      <c r="P538" s="271">
        <f t="shared" si="70"/>
        <v>119044</v>
      </c>
      <c r="Q538" s="272">
        <f>+'NI-San_SP'!Q538+'NI-Soc_SP'!Q538+'NI-Ric_SP'!Q538</f>
        <v>0</v>
      </c>
      <c r="R538" s="272">
        <f>+'NI-San_SP'!R538+'NI-Soc_SP'!R538+'NI-Ric_SP'!R538</f>
        <v>81855</v>
      </c>
      <c r="S538" s="272">
        <f>+'NI-San_SP'!S538+'NI-Soc_SP'!S538+'NI-Ric_SP'!S538</f>
        <v>0</v>
      </c>
      <c r="T538" s="272">
        <f>+'NI-San_SP'!T538+'NI-Soc_SP'!T538+'NI-Ric_SP'!T538</f>
        <v>0</v>
      </c>
      <c r="U538" s="272">
        <f>+'NI-San_SP'!U538+'NI-Soc_SP'!U538+'NI-Ric_SP'!U538</f>
        <v>954363</v>
      </c>
      <c r="V538" s="272">
        <f>+'NI-San_SP'!V538+'NI-Soc_SP'!V538+'NI-Ric_SP'!V538</f>
        <v>0</v>
      </c>
      <c r="W538" s="272">
        <f>+'NI-San_SP'!W538+'NI-Soc_SP'!W538+'NI-Ric_SP'!W538</f>
        <v>0</v>
      </c>
      <c r="X538" s="272">
        <f>+'NI-San_SP'!X538+'NI-Soc_SP'!X538+'NI-Ric_SP'!X538</f>
        <v>0</v>
      </c>
      <c r="Y538" s="272">
        <f>+'NI-San_SP'!Y538+'NI-Soc_SP'!Y538+'NI-Ric_SP'!Y538</f>
        <v>835319</v>
      </c>
      <c r="Z538" s="272">
        <f>+'NI-San_SP'!Z538+'NI-Soc_SP'!Z538+'NI-Ric_SP'!Z538</f>
        <v>200899</v>
      </c>
      <c r="AA538" s="272">
        <f>+'NI-San_SP'!AA538+'NI-Soc_SP'!AA538+'NI-Ric_SP'!AA538</f>
        <v>0</v>
      </c>
      <c r="AB538" s="272">
        <f>+'NI-San_SP'!AB538+'NI-Soc_SP'!AB538+'NI-Ric_SP'!AB538</f>
        <v>0</v>
      </c>
    </row>
    <row r="539" spans="2:28" s="204" customFormat="1" ht="25.5" x14ac:dyDescent="0.25">
      <c r="B539" s="246" t="s">
        <v>1195</v>
      </c>
      <c r="C539" s="347" t="s">
        <v>1196</v>
      </c>
      <c r="D539" s="348" t="s">
        <v>3582</v>
      </c>
      <c r="E539" s="348"/>
      <c r="F539" s="348"/>
      <c r="G539" s="348"/>
      <c r="H539" s="349"/>
      <c r="I539" s="349"/>
      <c r="J539" s="349"/>
      <c r="K539" s="349"/>
      <c r="L539" s="361" t="s">
        <v>3583</v>
      </c>
      <c r="M539" s="284" t="s">
        <v>2962</v>
      </c>
      <c r="N539" s="270">
        <f t="shared" si="68"/>
        <v>0</v>
      </c>
      <c r="O539" s="270">
        <f t="shared" si="69"/>
        <v>0</v>
      </c>
      <c r="P539" s="271">
        <f t="shared" si="70"/>
        <v>0</v>
      </c>
      <c r="Q539" s="272">
        <f>+'NI-San_SP'!Q539+'NI-Soc_SP'!Q539+'NI-Ric_SP'!Q539</f>
        <v>0</v>
      </c>
      <c r="R539" s="272">
        <f>+'NI-San_SP'!R539+'NI-Soc_SP'!R539+'NI-Ric_SP'!R539</f>
        <v>0</v>
      </c>
      <c r="S539" s="272">
        <f>+'NI-San_SP'!S539+'NI-Soc_SP'!S539+'NI-Ric_SP'!S539</f>
        <v>0</v>
      </c>
      <c r="T539" s="272">
        <f>+'NI-San_SP'!T539+'NI-Soc_SP'!T539+'NI-Ric_SP'!T539</f>
        <v>0</v>
      </c>
      <c r="U539" s="272">
        <f>+'NI-San_SP'!U539+'NI-Soc_SP'!U539+'NI-Ric_SP'!U539</f>
        <v>0</v>
      </c>
      <c r="V539" s="272">
        <f>+'NI-San_SP'!V539+'NI-Soc_SP'!V539+'NI-Ric_SP'!V539</f>
        <v>0</v>
      </c>
      <c r="W539" s="272">
        <f>+'NI-San_SP'!W539+'NI-Soc_SP'!W539+'NI-Ric_SP'!W539</f>
        <v>0</v>
      </c>
      <c r="X539" s="272">
        <f>+'NI-San_SP'!X539+'NI-Soc_SP'!X539+'NI-Ric_SP'!X539</f>
        <v>0</v>
      </c>
      <c r="Y539" s="272">
        <f>+'NI-San_SP'!Y539+'NI-Soc_SP'!Y539+'NI-Ric_SP'!Y539</f>
        <v>0</v>
      </c>
      <c r="Z539" s="272">
        <f>+'NI-San_SP'!Z539+'NI-Soc_SP'!Z539+'NI-Ric_SP'!Z539</f>
        <v>0</v>
      </c>
      <c r="AA539" s="272">
        <f>+'NI-San_SP'!AA539+'NI-Soc_SP'!AA539+'NI-Ric_SP'!AA539</f>
        <v>0</v>
      </c>
      <c r="AB539" s="272">
        <f>+'NI-San_SP'!AB539+'NI-Soc_SP'!AB539+'NI-Ric_SP'!AB539</f>
        <v>0</v>
      </c>
    </row>
    <row r="540" spans="2:28" s="204" customFormat="1" ht="25.5" x14ac:dyDescent="0.25">
      <c r="B540" s="246" t="s">
        <v>1198</v>
      </c>
      <c r="C540" s="347" t="s">
        <v>1199</v>
      </c>
      <c r="D540" s="348" t="s">
        <v>3584</v>
      </c>
      <c r="E540" s="348"/>
      <c r="F540" s="359"/>
      <c r="G540" s="359"/>
      <c r="H540" s="360"/>
      <c r="I540" s="360"/>
      <c r="J540" s="360"/>
      <c r="K540" s="360"/>
      <c r="L540" s="361" t="s">
        <v>3585</v>
      </c>
      <c r="M540" s="284" t="s">
        <v>2962</v>
      </c>
      <c r="N540" s="270">
        <f t="shared" si="68"/>
        <v>0</v>
      </c>
      <c r="O540" s="270">
        <f t="shared" si="69"/>
        <v>0</v>
      </c>
      <c r="P540" s="271">
        <f t="shared" si="70"/>
        <v>0</v>
      </c>
      <c r="Q540" s="272">
        <f>+'NI-San_SP'!Q540+'NI-Soc_SP'!Q540+'NI-Ric_SP'!Q540</f>
        <v>0</v>
      </c>
      <c r="R540" s="272">
        <f>+'NI-San_SP'!R540+'NI-Soc_SP'!R540+'NI-Ric_SP'!R540</f>
        <v>0</v>
      </c>
      <c r="S540" s="272">
        <f>+'NI-San_SP'!S540+'NI-Soc_SP'!S540+'NI-Ric_SP'!S540</f>
        <v>0</v>
      </c>
      <c r="T540" s="272">
        <f>+'NI-San_SP'!T540+'NI-Soc_SP'!T540+'NI-Ric_SP'!T540</f>
        <v>0</v>
      </c>
      <c r="U540" s="272">
        <f>+'NI-San_SP'!U540+'NI-Soc_SP'!U540+'NI-Ric_SP'!U540</f>
        <v>0</v>
      </c>
      <c r="V540" s="272">
        <f>+'NI-San_SP'!V540+'NI-Soc_SP'!V540+'NI-Ric_SP'!V540</f>
        <v>0</v>
      </c>
      <c r="W540" s="272">
        <f>+'NI-San_SP'!W540+'NI-Soc_SP'!W540+'NI-Ric_SP'!W540</f>
        <v>0</v>
      </c>
      <c r="X540" s="272">
        <f>+'NI-San_SP'!X540+'NI-Soc_SP'!X540+'NI-Ric_SP'!X540</f>
        <v>0</v>
      </c>
      <c r="Y540" s="272">
        <f>+'NI-San_SP'!Y540+'NI-Soc_SP'!Y540+'NI-Ric_SP'!Y540</f>
        <v>0</v>
      </c>
      <c r="Z540" s="272">
        <f>+'NI-San_SP'!Z540+'NI-Soc_SP'!Z540+'NI-Ric_SP'!Z540</f>
        <v>0</v>
      </c>
      <c r="AA540" s="272">
        <f>+'NI-San_SP'!AA540+'NI-Soc_SP'!AA540+'NI-Ric_SP'!AA540</f>
        <v>0</v>
      </c>
      <c r="AB540" s="272">
        <f>+'NI-San_SP'!AB540+'NI-Soc_SP'!AB540+'NI-Ric_SP'!AB540</f>
        <v>0</v>
      </c>
    </row>
    <row r="541" spans="2:28" s="204" customFormat="1" ht="25.5" x14ac:dyDescent="0.25">
      <c r="B541" s="246" t="s">
        <v>1201</v>
      </c>
      <c r="C541" s="347" t="s">
        <v>1202</v>
      </c>
      <c r="D541" s="348" t="s">
        <v>3586</v>
      </c>
      <c r="E541" s="348"/>
      <c r="F541" s="359"/>
      <c r="G541" s="359"/>
      <c r="H541" s="360"/>
      <c r="I541" s="360"/>
      <c r="J541" s="360"/>
      <c r="K541" s="360"/>
      <c r="L541" s="361" t="s">
        <v>3587</v>
      </c>
      <c r="M541" s="284" t="s">
        <v>2962</v>
      </c>
      <c r="N541" s="270">
        <f t="shared" si="68"/>
        <v>0</v>
      </c>
      <c r="O541" s="270">
        <f t="shared" si="69"/>
        <v>0</v>
      </c>
      <c r="P541" s="271">
        <f t="shared" si="70"/>
        <v>0</v>
      </c>
      <c r="Q541" s="272">
        <f>+'NI-San_SP'!Q541+'NI-Soc_SP'!Q541+'NI-Ric_SP'!Q541</f>
        <v>0</v>
      </c>
      <c r="R541" s="272">
        <f>+'NI-San_SP'!R541+'NI-Soc_SP'!R541+'NI-Ric_SP'!R541</f>
        <v>0</v>
      </c>
      <c r="S541" s="272">
        <f>+'NI-San_SP'!S541+'NI-Soc_SP'!S541+'NI-Ric_SP'!S541</f>
        <v>0</v>
      </c>
      <c r="T541" s="272">
        <f>+'NI-San_SP'!T541+'NI-Soc_SP'!T541+'NI-Ric_SP'!T541</f>
        <v>0</v>
      </c>
      <c r="U541" s="272">
        <f>+'NI-San_SP'!U541+'NI-Soc_SP'!U541+'NI-Ric_SP'!U541</f>
        <v>0</v>
      </c>
      <c r="V541" s="272">
        <f>+'NI-San_SP'!V541+'NI-Soc_SP'!V541+'NI-Ric_SP'!V541</f>
        <v>0</v>
      </c>
      <c r="W541" s="272">
        <f>+'NI-San_SP'!W541+'NI-Soc_SP'!W541+'NI-Ric_SP'!W541</f>
        <v>0</v>
      </c>
      <c r="X541" s="272">
        <f>+'NI-San_SP'!X541+'NI-Soc_SP'!X541+'NI-Ric_SP'!X541</f>
        <v>0</v>
      </c>
      <c r="Y541" s="272">
        <f>+'NI-San_SP'!Y541+'NI-Soc_SP'!Y541+'NI-Ric_SP'!Y541</f>
        <v>0</v>
      </c>
      <c r="Z541" s="272">
        <f>+'NI-San_SP'!Z541+'NI-Soc_SP'!Z541+'NI-Ric_SP'!Z541</f>
        <v>0</v>
      </c>
      <c r="AA541" s="272">
        <f>+'NI-San_SP'!AA541+'NI-Soc_SP'!AA541+'NI-Ric_SP'!AA541</f>
        <v>0</v>
      </c>
      <c r="AB541" s="272">
        <f>+'NI-San_SP'!AB541+'NI-Soc_SP'!AB541+'NI-Ric_SP'!AB541</f>
        <v>0</v>
      </c>
    </row>
    <row r="542" spans="2:28" s="204" customFormat="1" ht="25.5" x14ac:dyDescent="0.25">
      <c r="B542" s="246" t="s">
        <v>1204</v>
      </c>
      <c r="C542" s="347" t="s">
        <v>1205</v>
      </c>
      <c r="D542" s="348" t="s">
        <v>3588</v>
      </c>
      <c r="E542" s="348"/>
      <c r="F542" s="348"/>
      <c r="G542" s="348"/>
      <c r="H542" s="349"/>
      <c r="I542" s="349"/>
      <c r="J542" s="348"/>
      <c r="K542" s="349"/>
      <c r="L542" s="362" t="s">
        <v>3589</v>
      </c>
      <c r="M542" s="284" t="s">
        <v>2962</v>
      </c>
      <c r="N542" s="270">
        <f t="shared" si="68"/>
        <v>0</v>
      </c>
      <c r="O542" s="270">
        <f t="shared" si="69"/>
        <v>0</v>
      </c>
      <c r="P542" s="271">
        <f t="shared" si="70"/>
        <v>0</v>
      </c>
      <c r="Q542" s="272">
        <f>+'NI-San_SP'!Q542+'NI-Soc_SP'!Q542+'NI-Ric_SP'!Q542</f>
        <v>0</v>
      </c>
      <c r="R542" s="272">
        <f>+'NI-San_SP'!R542+'NI-Soc_SP'!R542+'NI-Ric_SP'!R542</f>
        <v>0</v>
      </c>
      <c r="S542" s="272">
        <f>+'NI-San_SP'!S542+'NI-Soc_SP'!S542+'NI-Ric_SP'!S542</f>
        <v>0</v>
      </c>
      <c r="T542" s="272">
        <f>+'NI-San_SP'!T542+'NI-Soc_SP'!T542+'NI-Ric_SP'!T542</f>
        <v>0</v>
      </c>
      <c r="U542" s="272">
        <f>+'NI-San_SP'!U542+'NI-Soc_SP'!U542+'NI-Ric_SP'!U542</f>
        <v>0</v>
      </c>
      <c r="V542" s="272">
        <f>+'NI-San_SP'!V542+'NI-Soc_SP'!V542+'NI-Ric_SP'!V542</f>
        <v>0</v>
      </c>
      <c r="W542" s="272">
        <f>+'NI-San_SP'!W542+'NI-Soc_SP'!W542+'NI-Ric_SP'!W542</f>
        <v>0</v>
      </c>
      <c r="X542" s="272">
        <f>+'NI-San_SP'!X542+'NI-Soc_SP'!X542+'NI-Ric_SP'!X542</f>
        <v>0</v>
      </c>
      <c r="Y542" s="272">
        <f>+'NI-San_SP'!Y542+'NI-Soc_SP'!Y542+'NI-Ric_SP'!Y542</f>
        <v>0</v>
      </c>
      <c r="Z542" s="272">
        <f>+'NI-San_SP'!Z542+'NI-Soc_SP'!Z542+'NI-Ric_SP'!Z542</f>
        <v>0</v>
      </c>
      <c r="AA542" s="272">
        <f>+'NI-San_SP'!AA542+'NI-Soc_SP'!AA542+'NI-Ric_SP'!AA542</f>
        <v>0</v>
      </c>
      <c r="AB542" s="272">
        <f>+'NI-San_SP'!AB542+'NI-Soc_SP'!AB542+'NI-Ric_SP'!AB542</f>
        <v>0</v>
      </c>
    </row>
    <row r="543" spans="2:28" s="204" customFormat="1" x14ac:dyDescent="0.25">
      <c r="B543" s="246" t="s">
        <v>1207</v>
      </c>
      <c r="C543" s="347" t="s">
        <v>1208</v>
      </c>
      <c r="D543" s="348" t="s">
        <v>3590</v>
      </c>
      <c r="E543" s="348"/>
      <c r="F543" s="348"/>
      <c r="G543" s="348"/>
      <c r="H543" s="349"/>
      <c r="I543" s="349"/>
      <c r="J543" s="348"/>
      <c r="K543" s="348"/>
      <c r="L543" s="363" t="s">
        <v>3591</v>
      </c>
      <c r="M543" s="284" t="s">
        <v>2962</v>
      </c>
      <c r="N543" s="270">
        <f t="shared" si="68"/>
        <v>0</v>
      </c>
      <c r="O543" s="270">
        <f t="shared" si="69"/>
        <v>0</v>
      </c>
      <c r="P543" s="271">
        <f t="shared" si="70"/>
        <v>0</v>
      </c>
      <c r="Q543" s="272">
        <f>+'NI-San_SP'!Q543+'NI-Soc_SP'!Q543+'NI-Ric_SP'!Q543</f>
        <v>0</v>
      </c>
      <c r="R543" s="272">
        <f>+'NI-San_SP'!R543+'NI-Soc_SP'!R543+'NI-Ric_SP'!R543</f>
        <v>0</v>
      </c>
      <c r="S543" s="272">
        <f>+'NI-San_SP'!S543+'NI-Soc_SP'!S543+'NI-Ric_SP'!S543</f>
        <v>0</v>
      </c>
      <c r="T543" s="272">
        <f>+'NI-San_SP'!T543+'NI-Soc_SP'!T543+'NI-Ric_SP'!T543</f>
        <v>0</v>
      </c>
      <c r="U543" s="272">
        <f>+'NI-San_SP'!U543+'NI-Soc_SP'!U543+'NI-Ric_SP'!U543</f>
        <v>0</v>
      </c>
      <c r="V543" s="272">
        <f>+'NI-San_SP'!V543+'NI-Soc_SP'!V543+'NI-Ric_SP'!V543</f>
        <v>0</v>
      </c>
      <c r="W543" s="272">
        <f>+'NI-San_SP'!W543+'NI-Soc_SP'!W543+'NI-Ric_SP'!W543</f>
        <v>0</v>
      </c>
      <c r="X543" s="272">
        <f>+'NI-San_SP'!X543+'NI-Soc_SP'!X543+'NI-Ric_SP'!X543</f>
        <v>0</v>
      </c>
      <c r="Y543" s="272">
        <f>+'NI-San_SP'!Y543+'NI-Soc_SP'!Y543+'NI-Ric_SP'!Y543</f>
        <v>0</v>
      </c>
      <c r="Z543" s="272">
        <f>+'NI-San_SP'!Z543+'NI-Soc_SP'!Z543+'NI-Ric_SP'!Z543</f>
        <v>0</v>
      </c>
      <c r="AA543" s="272">
        <f>+'NI-San_SP'!AA543+'NI-Soc_SP'!AA543+'NI-Ric_SP'!AA543</f>
        <v>0</v>
      </c>
      <c r="AB543" s="272">
        <f>+'NI-San_SP'!AB543+'NI-Soc_SP'!AB543+'NI-Ric_SP'!AB543</f>
        <v>0</v>
      </c>
    </row>
    <row r="544" spans="2:28" s="204" customFormat="1" x14ac:dyDescent="0.25">
      <c r="B544" s="246" t="s">
        <v>1210</v>
      </c>
      <c r="C544" s="347" t="s">
        <v>1211</v>
      </c>
      <c r="D544" s="348" t="s">
        <v>3592</v>
      </c>
      <c r="E544" s="348"/>
      <c r="F544" s="348"/>
      <c r="G544" s="348"/>
      <c r="H544" s="349"/>
      <c r="I544" s="349"/>
      <c r="J544" s="349"/>
      <c r="K544" s="349"/>
      <c r="L544" s="350" t="s">
        <v>3593</v>
      </c>
      <c r="M544" s="284" t="s">
        <v>2962</v>
      </c>
      <c r="N544" s="270">
        <f t="shared" si="68"/>
        <v>4952</v>
      </c>
      <c r="O544" s="270">
        <f t="shared" si="69"/>
        <v>14870</v>
      </c>
      <c r="P544" s="271">
        <f t="shared" si="70"/>
        <v>9918</v>
      </c>
      <c r="Q544" s="272">
        <f>+'NI-San_SP'!Q544+'NI-Soc_SP'!Q544+'NI-Ric_SP'!Q544</f>
        <v>0</v>
      </c>
      <c r="R544" s="272">
        <f>+'NI-San_SP'!R544+'NI-Soc_SP'!R544+'NI-Ric_SP'!R544</f>
        <v>4952</v>
      </c>
      <c r="S544" s="272">
        <f>+'NI-San_SP'!S544+'NI-Soc_SP'!S544+'NI-Ric_SP'!S544</f>
        <v>0</v>
      </c>
      <c r="T544" s="272">
        <f>+'NI-San_SP'!T544+'NI-Soc_SP'!T544+'NI-Ric_SP'!T544</f>
        <v>0</v>
      </c>
      <c r="U544" s="272">
        <f>+'NI-San_SP'!U544+'NI-Soc_SP'!U544+'NI-Ric_SP'!U544</f>
        <v>180915</v>
      </c>
      <c r="V544" s="272">
        <f>+'NI-San_SP'!V544+'NI-Soc_SP'!V544+'NI-Ric_SP'!V544</f>
        <v>0</v>
      </c>
      <c r="W544" s="272">
        <f>+'NI-San_SP'!W544+'NI-Soc_SP'!W544+'NI-Ric_SP'!W544</f>
        <v>0</v>
      </c>
      <c r="X544" s="272">
        <f>+'NI-San_SP'!X544+'NI-Soc_SP'!X544+'NI-Ric_SP'!X544</f>
        <v>0</v>
      </c>
      <c r="Y544" s="272">
        <f>+'NI-San_SP'!Y544+'NI-Soc_SP'!Y544+'NI-Ric_SP'!Y544</f>
        <v>170997</v>
      </c>
      <c r="Z544" s="272">
        <f>+'NI-San_SP'!Z544+'NI-Soc_SP'!Z544+'NI-Ric_SP'!Z544</f>
        <v>14870</v>
      </c>
      <c r="AA544" s="272">
        <f>+'NI-San_SP'!AA544+'NI-Soc_SP'!AA544+'NI-Ric_SP'!AA544</f>
        <v>0</v>
      </c>
      <c r="AB544" s="272">
        <f>+'NI-San_SP'!AB544+'NI-Soc_SP'!AB544+'NI-Ric_SP'!AB544</f>
        <v>8593</v>
      </c>
    </row>
    <row r="545" spans="2:28" s="204" customFormat="1" x14ac:dyDescent="0.25">
      <c r="B545" s="246" t="s">
        <v>1214</v>
      </c>
      <c r="C545" s="347" t="s">
        <v>1215</v>
      </c>
      <c r="D545" s="348" t="s">
        <v>3594</v>
      </c>
      <c r="E545" s="348"/>
      <c r="F545" s="348"/>
      <c r="G545" s="348"/>
      <c r="H545" s="349"/>
      <c r="I545" s="349"/>
      <c r="J545" s="349"/>
      <c r="K545" s="349"/>
      <c r="L545" s="364" t="s">
        <v>3595</v>
      </c>
      <c r="M545" s="284" t="s">
        <v>2962</v>
      </c>
      <c r="N545" s="270">
        <f t="shared" si="68"/>
        <v>1134848</v>
      </c>
      <c r="O545" s="270">
        <f t="shared" si="69"/>
        <v>1380896</v>
      </c>
      <c r="P545" s="271">
        <f t="shared" si="70"/>
        <v>246048</v>
      </c>
      <c r="Q545" s="272">
        <f>+'NI-San_SP'!Q545+'NI-Soc_SP'!Q545+'NI-Ric_SP'!Q545</f>
        <v>0</v>
      </c>
      <c r="R545" s="272">
        <f>+'NI-San_SP'!R545+'NI-Soc_SP'!R545+'NI-Ric_SP'!R545</f>
        <v>1134848</v>
      </c>
      <c r="S545" s="272">
        <f>+'NI-San_SP'!S545+'NI-Soc_SP'!S545+'NI-Ric_SP'!S545</f>
        <v>0</v>
      </c>
      <c r="T545" s="272">
        <f>+'NI-San_SP'!T545+'NI-Soc_SP'!T545+'NI-Ric_SP'!T545</f>
        <v>0</v>
      </c>
      <c r="U545" s="272">
        <f>+'NI-San_SP'!U545+'NI-Soc_SP'!U545+'NI-Ric_SP'!U545</f>
        <v>5488301</v>
      </c>
      <c r="V545" s="272">
        <f>+'NI-San_SP'!V545+'NI-Soc_SP'!V545+'NI-Ric_SP'!V545</f>
        <v>0</v>
      </c>
      <c r="W545" s="272">
        <f>+'NI-San_SP'!W545+'NI-Soc_SP'!W545+'NI-Ric_SP'!W545</f>
        <v>0</v>
      </c>
      <c r="X545" s="272">
        <f>+'NI-San_SP'!X545+'NI-Soc_SP'!X545+'NI-Ric_SP'!X545</f>
        <v>0</v>
      </c>
      <c r="Y545" s="272">
        <f>+'NI-San_SP'!Y545+'NI-Soc_SP'!Y545+'NI-Ric_SP'!Y545</f>
        <v>5242253</v>
      </c>
      <c r="Z545" s="272">
        <f>+'NI-San_SP'!Z545+'NI-Soc_SP'!Z545+'NI-Ric_SP'!Z545</f>
        <v>1380896</v>
      </c>
      <c r="AA545" s="272">
        <f>+'NI-San_SP'!AA545+'NI-Soc_SP'!AA545+'NI-Ric_SP'!AA545</f>
        <v>0</v>
      </c>
      <c r="AB545" s="272">
        <f>+'NI-San_SP'!AB545+'NI-Soc_SP'!AB545+'NI-Ric_SP'!AB545</f>
        <v>1327770</v>
      </c>
    </row>
    <row r="546" spans="2:28" s="204" customFormat="1" ht="25.5" x14ac:dyDescent="0.25">
      <c r="B546" s="246" t="s">
        <v>1218</v>
      </c>
      <c r="C546" s="347" t="s">
        <v>1219</v>
      </c>
      <c r="D546" s="348" t="s">
        <v>3596</v>
      </c>
      <c r="E546" s="348"/>
      <c r="F546" s="348"/>
      <c r="G546" s="348"/>
      <c r="H546" s="349"/>
      <c r="I546" s="349"/>
      <c r="J546" s="349"/>
      <c r="K546" s="349"/>
      <c r="L546" s="365" t="s">
        <v>3597</v>
      </c>
      <c r="M546" s="284" t="s">
        <v>2962</v>
      </c>
      <c r="N546" s="270">
        <f t="shared" si="68"/>
        <v>118111</v>
      </c>
      <c r="O546" s="270">
        <f t="shared" si="69"/>
        <v>166214</v>
      </c>
      <c r="P546" s="271">
        <f t="shared" si="70"/>
        <v>48103</v>
      </c>
      <c r="Q546" s="272">
        <f>+'NI-San_SP'!Q546+'NI-Soc_SP'!Q546+'NI-Ric_SP'!Q546</f>
        <v>0</v>
      </c>
      <c r="R546" s="272">
        <f>+'NI-San_SP'!R546+'NI-Soc_SP'!R546+'NI-Ric_SP'!R546</f>
        <v>118111</v>
      </c>
      <c r="S546" s="272">
        <f>+'NI-San_SP'!S546+'NI-Soc_SP'!S546+'NI-Ric_SP'!S546</f>
        <v>0</v>
      </c>
      <c r="T546" s="272">
        <f>+'NI-San_SP'!T546+'NI-Soc_SP'!T546+'NI-Ric_SP'!T546</f>
        <v>0</v>
      </c>
      <c r="U546" s="272">
        <f>+'NI-San_SP'!U546+'NI-Soc_SP'!U546+'NI-Ric_SP'!U546</f>
        <v>529197</v>
      </c>
      <c r="V546" s="272">
        <f>+'NI-San_SP'!V546+'NI-Soc_SP'!V546+'NI-Ric_SP'!V546</f>
        <v>0</v>
      </c>
      <c r="W546" s="272">
        <f>+'NI-San_SP'!W546+'NI-Soc_SP'!W546+'NI-Ric_SP'!W546</f>
        <v>0</v>
      </c>
      <c r="X546" s="272">
        <f>+'NI-San_SP'!X546+'NI-Soc_SP'!X546+'NI-Ric_SP'!X546</f>
        <v>0</v>
      </c>
      <c r="Y546" s="272">
        <f>+'NI-San_SP'!Y546+'NI-Soc_SP'!Y546+'NI-Ric_SP'!Y546</f>
        <v>481094</v>
      </c>
      <c r="Z546" s="272">
        <f>+'NI-San_SP'!Z546+'NI-Soc_SP'!Z546+'NI-Ric_SP'!Z546</f>
        <v>166214</v>
      </c>
      <c r="AA546" s="272">
        <f>+'NI-San_SP'!AA546+'NI-Soc_SP'!AA546+'NI-Ric_SP'!AA546</f>
        <v>0</v>
      </c>
      <c r="AB546" s="272">
        <f>+'NI-San_SP'!AB546+'NI-Soc_SP'!AB546+'NI-Ric_SP'!AB546</f>
        <v>157076</v>
      </c>
    </row>
    <row r="547" spans="2:28" s="204" customFormat="1" x14ac:dyDescent="0.25">
      <c r="B547" s="246" t="s">
        <v>1221</v>
      </c>
      <c r="C547" s="347" t="s">
        <v>1222</v>
      </c>
      <c r="D547" s="348" t="s">
        <v>3598</v>
      </c>
      <c r="E547" s="348"/>
      <c r="F547" s="348"/>
      <c r="G547" s="348"/>
      <c r="H547" s="349"/>
      <c r="I547" s="349"/>
      <c r="J547" s="348"/>
      <c r="K547" s="348"/>
      <c r="L547" s="358" t="s">
        <v>3599</v>
      </c>
      <c r="M547" s="284" t="s">
        <v>2962</v>
      </c>
      <c r="N547" s="270">
        <f t="shared" si="68"/>
        <v>100592</v>
      </c>
      <c r="O547" s="270">
        <f t="shared" si="69"/>
        <v>443546</v>
      </c>
      <c r="P547" s="271">
        <f t="shared" si="70"/>
        <v>342954</v>
      </c>
      <c r="Q547" s="272">
        <f>+'NI-San_SP'!Q547+'NI-Soc_SP'!Q547+'NI-Ric_SP'!Q547</f>
        <v>0</v>
      </c>
      <c r="R547" s="272">
        <f>+'NI-San_SP'!R547+'NI-Soc_SP'!R547+'NI-Ric_SP'!R547</f>
        <v>100592</v>
      </c>
      <c r="S547" s="272">
        <f>+'NI-San_SP'!S547+'NI-Soc_SP'!S547+'NI-Ric_SP'!S547</f>
        <v>0</v>
      </c>
      <c r="T547" s="272">
        <f>+'NI-San_SP'!T547+'NI-Soc_SP'!T547+'NI-Ric_SP'!T547</f>
        <v>0</v>
      </c>
      <c r="U547" s="272">
        <f>+'NI-San_SP'!U547+'NI-Soc_SP'!U547+'NI-Ric_SP'!U547</f>
        <v>1494435</v>
      </c>
      <c r="V547" s="272">
        <f>+'NI-San_SP'!V547+'NI-Soc_SP'!V547+'NI-Ric_SP'!V547</f>
        <v>0</v>
      </c>
      <c r="W547" s="272">
        <f>+'NI-San_SP'!W547+'NI-Soc_SP'!W547+'NI-Ric_SP'!W547</f>
        <v>0</v>
      </c>
      <c r="X547" s="272">
        <f>+'NI-San_SP'!X547+'NI-Soc_SP'!X547+'NI-Ric_SP'!X547</f>
        <v>0</v>
      </c>
      <c r="Y547" s="272">
        <f>+'NI-San_SP'!Y547+'NI-Soc_SP'!Y547+'NI-Ric_SP'!Y547</f>
        <v>1151481</v>
      </c>
      <c r="Z547" s="272">
        <f>+'NI-San_SP'!Z547+'NI-Soc_SP'!Z547+'NI-Ric_SP'!Z547</f>
        <v>443546</v>
      </c>
      <c r="AA547" s="272">
        <f>+'NI-San_SP'!AA547+'NI-Soc_SP'!AA547+'NI-Ric_SP'!AA547</f>
        <v>0</v>
      </c>
      <c r="AB547" s="272">
        <f>+'NI-San_SP'!AB547+'NI-Soc_SP'!AB547+'NI-Ric_SP'!AB547</f>
        <v>423128</v>
      </c>
    </row>
    <row r="548" spans="2:28" s="204" customFormat="1" ht="25.5" x14ac:dyDescent="0.25">
      <c r="B548" s="246" t="s">
        <v>1225</v>
      </c>
      <c r="C548" s="347" t="s">
        <v>1226</v>
      </c>
      <c r="D548" s="348" t="s">
        <v>3600</v>
      </c>
      <c r="E548" s="348"/>
      <c r="F548" s="348"/>
      <c r="G548" s="348"/>
      <c r="H548" s="349"/>
      <c r="I548" s="349"/>
      <c r="J548" s="349"/>
      <c r="K548" s="349"/>
      <c r="L548" s="364" t="s">
        <v>3601</v>
      </c>
      <c r="M548" s="284" t="s">
        <v>2962</v>
      </c>
      <c r="N548" s="270">
        <f t="shared" si="68"/>
        <v>1680968</v>
      </c>
      <c r="O548" s="270">
        <f t="shared" si="69"/>
        <v>2070428</v>
      </c>
      <c r="P548" s="271">
        <f t="shared" si="70"/>
        <v>389460</v>
      </c>
      <c r="Q548" s="272">
        <f>+'NI-San_SP'!Q548+'NI-Soc_SP'!Q548+'NI-Ric_SP'!Q548</f>
        <v>0</v>
      </c>
      <c r="R548" s="272">
        <f>+'NI-San_SP'!R548+'NI-Soc_SP'!R548+'NI-Ric_SP'!R548</f>
        <v>1680968</v>
      </c>
      <c r="S548" s="272">
        <f>+'NI-San_SP'!S548+'NI-Soc_SP'!S548+'NI-Ric_SP'!S548</f>
        <v>0</v>
      </c>
      <c r="T548" s="272">
        <f>+'NI-San_SP'!T548+'NI-Soc_SP'!T548+'NI-Ric_SP'!T548</f>
        <v>0</v>
      </c>
      <c r="U548" s="272">
        <f>+'NI-San_SP'!U548+'NI-Soc_SP'!U548+'NI-Ric_SP'!U548</f>
        <v>6344917</v>
      </c>
      <c r="V548" s="272">
        <f>+'NI-San_SP'!V548+'NI-Soc_SP'!V548+'NI-Ric_SP'!V548</f>
        <v>0</v>
      </c>
      <c r="W548" s="272">
        <f>+'NI-San_SP'!W548+'NI-Soc_SP'!W548+'NI-Ric_SP'!W548</f>
        <v>0</v>
      </c>
      <c r="X548" s="272">
        <f>+'NI-San_SP'!X548+'NI-Soc_SP'!X548+'NI-Ric_SP'!X548</f>
        <v>0</v>
      </c>
      <c r="Y548" s="272">
        <f>+'NI-San_SP'!Y548+'NI-Soc_SP'!Y548+'NI-Ric_SP'!Y548</f>
        <v>5955457</v>
      </c>
      <c r="Z548" s="272">
        <f>+'NI-San_SP'!Z548+'NI-Soc_SP'!Z548+'NI-Ric_SP'!Z548</f>
        <v>2070428</v>
      </c>
      <c r="AA548" s="272">
        <f>+'NI-San_SP'!AA548+'NI-Soc_SP'!AA548+'NI-Ric_SP'!AA548</f>
        <v>0</v>
      </c>
      <c r="AB548" s="272">
        <f>+'NI-San_SP'!AB548+'NI-Soc_SP'!AB548+'NI-Ric_SP'!AB548</f>
        <v>1376347</v>
      </c>
    </row>
    <row r="549" spans="2:28" s="204" customFormat="1" x14ac:dyDescent="0.25">
      <c r="B549" s="246" t="s">
        <v>1228</v>
      </c>
      <c r="C549" s="347" t="s">
        <v>1229</v>
      </c>
      <c r="D549" s="348" t="s">
        <v>3602</v>
      </c>
      <c r="E549" s="348"/>
      <c r="F549" s="348"/>
      <c r="G549" s="348"/>
      <c r="H549" s="349"/>
      <c r="I549" s="349"/>
      <c r="J549" s="348"/>
      <c r="K549" s="348"/>
      <c r="L549" s="358" t="s">
        <v>3603</v>
      </c>
      <c r="M549" s="284" t="s">
        <v>2962</v>
      </c>
      <c r="N549" s="270">
        <f t="shared" si="68"/>
        <v>162323</v>
      </c>
      <c r="O549" s="270">
        <f t="shared" si="69"/>
        <v>229753</v>
      </c>
      <c r="P549" s="271">
        <f t="shared" si="70"/>
        <v>67430</v>
      </c>
      <c r="Q549" s="272">
        <f>+'NI-San_SP'!Q549+'NI-Soc_SP'!Q549+'NI-Ric_SP'!Q549</f>
        <v>0</v>
      </c>
      <c r="R549" s="272">
        <f>+'NI-San_SP'!R549+'NI-Soc_SP'!R549+'NI-Ric_SP'!R549</f>
        <v>162323</v>
      </c>
      <c r="S549" s="272">
        <f>+'NI-San_SP'!S549+'NI-Soc_SP'!S549+'NI-Ric_SP'!S549</f>
        <v>0</v>
      </c>
      <c r="T549" s="272">
        <f>+'NI-San_SP'!T549+'NI-Soc_SP'!T549+'NI-Ric_SP'!T549</f>
        <v>0</v>
      </c>
      <c r="U549" s="272">
        <f>+'NI-San_SP'!U549+'NI-Soc_SP'!U549+'NI-Ric_SP'!U549</f>
        <v>1414720</v>
      </c>
      <c r="V549" s="272">
        <f>+'NI-San_SP'!V549+'NI-Soc_SP'!V549+'NI-Ric_SP'!V549</f>
        <v>0</v>
      </c>
      <c r="W549" s="272">
        <f>+'NI-San_SP'!W549+'NI-Soc_SP'!W549+'NI-Ric_SP'!W549</f>
        <v>0</v>
      </c>
      <c r="X549" s="272">
        <f>+'NI-San_SP'!X549+'NI-Soc_SP'!X549+'NI-Ric_SP'!X549</f>
        <v>0</v>
      </c>
      <c r="Y549" s="272">
        <f>+'NI-San_SP'!Y549+'NI-Soc_SP'!Y549+'NI-Ric_SP'!Y549</f>
        <v>1347290</v>
      </c>
      <c r="Z549" s="272">
        <f>+'NI-San_SP'!Z549+'NI-Soc_SP'!Z549+'NI-Ric_SP'!Z549</f>
        <v>229753</v>
      </c>
      <c r="AA549" s="272">
        <f>+'NI-San_SP'!AA549+'NI-Soc_SP'!AA549+'NI-Ric_SP'!AA549</f>
        <v>0</v>
      </c>
      <c r="AB549" s="272">
        <f>+'NI-San_SP'!AB549+'NI-Soc_SP'!AB549+'NI-Ric_SP'!AB549</f>
        <v>192965</v>
      </c>
    </row>
    <row r="550" spans="2:28" s="204" customFormat="1" x14ac:dyDescent="0.25">
      <c r="B550" s="246" t="s">
        <v>1231</v>
      </c>
      <c r="C550" s="347" t="s">
        <v>1232</v>
      </c>
      <c r="D550" s="348" t="s">
        <v>3604</v>
      </c>
      <c r="E550" s="348"/>
      <c r="F550" s="348"/>
      <c r="G550" s="348"/>
      <c r="H550" s="349"/>
      <c r="I550" s="349"/>
      <c r="J550" s="348"/>
      <c r="K550" s="348"/>
      <c r="L550" s="358" t="s">
        <v>3605</v>
      </c>
      <c r="M550" s="284" t="s">
        <v>2962</v>
      </c>
      <c r="N550" s="270">
        <f t="shared" si="68"/>
        <v>18875</v>
      </c>
      <c r="O550" s="270">
        <f t="shared" si="69"/>
        <v>13311</v>
      </c>
      <c r="P550" s="271">
        <f t="shared" si="70"/>
        <v>-5564</v>
      </c>
      <c r="Q550" s="272">
        <f>+'NI-San_SP'!Q550+'NI-Soc_SP'!Q550+'NI-Ric_SP'!Q550</f>
        <v>0</v>
      </c>
      <c r="R550" s="272">
        <f>+'NI-San_SP'!R550+'NI-Soc_SP'!R550+'NI-Ric_SP'!R550</f>
        <v>18875</v>
      </c>
      <c r="S550" s="272">
        <f>+'NI-San_SP'!S550+'NI-Soc_SP'!S550+'NI-Ric_SP'!S550</f>
        <v>0</v>
      </c>
      <c r="T550" s="272">
        <f>+'NI-San_SP'!T550+'NI-Soc_SP'!T550+'NI-Ric_SP'!T550</f>
        <v>0</v>
      </c>
      <c r="U550" s="272">
        <f>+'NI-San_SP'!U550+'NI-Soc_SP'!U550+'NI-Ric_SP'!U550</f>
        <v>644708</v>
      </c>
      <c r="V550" s="272">
        <f>+'NI-San_SP'!V550+'NI-Soc_SP'!V550+'NI-Ric_SP'!V550</f>
        <v>0</v>
      </c>
      <c r="W550" s="272">
        <f>+'NI-San_SP'!W550+'NI-Soc_SP'!W550+'NI-Ric_SP'!W550</f>
        <v>0</v>
      </c>
      <c r="X550" s="272">
        <f>+'NI-San_SP'!X550+'NI-Soc_SP'!X550+'NI-Ric_SP'!X550</f>
        <v>0</v>
      </c>
      <c r="Y550" s="272">
        <f>+'NI-San_SP'!Y550+'NI-Soc_SP'!Y550+'NI-Ric_SP'!Y550</f>
        <v>650272</v>
      </c>
      <c r="Z550" s="272">
        <f>+'NI-San_SP'!Z550+'NI-Soc_SP'!Z550+'NI-Ric_SP'!Z550</f>
        <v>13311</v>
      </c>
      <c r="AA550" s="272">
        <f>+'NI-San_SP'!AA550+'NI-Soc_SP'!AA550+'NI-Ric_SP'!AA550</f>
        <v>0</v>
      </c>
      <c r="AB550" s="272">
        <f>+'NI-San_SP'!AB550+'NI-Soc_SP'!AB550+'NI-Ric_SP'!AB550</f>
        <v>6716</v>
      </c>
    </row>
    <row r="551" spans="2:28" s="204" customFormat="1" ht="26.25" x14ac:dyDescent="0.25">
      <c r="B551" s="246" t="s">
        <v>1234</v>
      </c>
      <c r="C551" s="347" t="s">
        <v>1235</v>
      </c>
      <c r="D551" s="348" t="s">
        <v>3606</v>
      </c>
      <c r="E551" s="348"/>
      <c r="F551" s="348"/>
      <c r="G551" s="348"/>
      <c r="H551" s="349"/>
      <c r="I551" s="349"/>
      <c r="J551" s="348"/>
      <c r="K551" s="348"/>
      <c r="L551" s="358" t="s">
        <v>3607</v>
      </c>
      <c r="M551" s="284" t="s">
        <v>2962</v>
      </c>
      <c r="N551" s="270">
        <f t="shared" si="68"/>
        <v>21000</v>
      </c>
      <c r="O551" s="270">
        <f t="shared" si="69"/>
        <v>12816</v>
      </c>
      <c r="P551" s="271">
        <f t="shared" si="70"/>
        <v>-8184</v>
      </c>
      <c r="Q551" s="272">
        <f>+'NI-San_SP'!Q551+'NI-Soc_SP'!Q551+'NI-Ric_SP'!Q551</f>
        <v>0</v>
      </c>
      <c r="R551" s="272">
        <f>+'NI-San_SP'!R551+'NI-Soc_SP'!R551+'NI-Ric_SP'!R551</f>
        <v>21000</v>
      </c>
      <c r="S551" s="272">
        <f>+'NI-San_SP'!S551+'NI-Soc_SP'!S551+'NI-Ric_SP'!S551</f>
        <v>0</v>
      </c>
      <c r="T551" s="272">
        <f>+'NI-San_SP'!T551+'NI-Soc_SP'!T551+'NI-Ric_SP'!T551</f>
        <v>0</v>
      </c>
      <c r="U551" s="272">
        <f>+'NI-San_SP'!U551+'NI-Soc_SP'!U551+'NI-Ric_SP'!U551</f>
        <v>114004</v>
      </c>
      <c r="V551" s="272">
        <f>+'NI-San_SP'!V551+'NI-Soc_SP'!V551+'NI-Ric_SP'!V551</f>
        <v>0</v>
      </c>
      <c r="W551" s="272">
        <f>+'NI-San_SP'!W551+'NI-Soc_SP'!W551+'NI-Ric_SP'!W551</f>
        <v>0</v>
      </c>
      <c r="X551" s="272">
        <f>+'NI-San_SP'!X551+'NI-Soc_SP'!X551+'NI-Ric_SP'!X551</f>
        <v>0</v>
      </c>
      <c r="Y551" s="272">
        <f>+'NI-San_SP'!Y551+'NI-Soc_SP'!Y551+'NI-Ric_SP'!Y551</f>
        <v>122188</v>
      </c>
      <c r="Z551" s="272">
        <f>+'NI-San_SP'!Z551+'NI-Soc_SP'!Z551+'NI-Ric_SP'!Z551</f>
        <v>12816</v>
      </c>
      <c r="AA551" s="272">
        <f>+'NI-San_SP'!AA551+'NI-Soc_SP'!AA551+'NI-Ric_SP'!AA551</f>
        <v>0</v>
      </c>
      <c r="AB551" s="272">
        <f>+'NI-San_SP'!AB551+'NI-Soc_SP'!AB551+'NI-Ric_SP'!AB551</f>
        <v>15868</v>
      </c>
    </row>
    <row r="552" spans="2:28" s="204" customFormat="1" x14ac:dyDescent="0.25">
      <c r="B552" s="246" t="s">
        <v>1237</v>
      </c>
      <c r="C552" s="347" t="s">
        <v>1238</v>
      </c>
      <c r="D552" s="348" t="s">
        <v>3608</v>
      </c>
      <c r="E552" s="348"/>
      <c r="F552" s="348"/>
      <c r="G552" s="348"/>
      <c r="H552" s="349"/>
      <c r="I552" s="349"/>
      <c r="J552" s="349"/>
      <c r="K552" s="349"/>
      <c r="L552" s="364" t="s">
        <v>3609</v>
      </c>
      <c r="M552" s="284" t="s">
        <v>2962</v>
      </c>
      <c r="N552" s="270">
        <f t="shared" si="68"/>
        <v>0</v>
      </c>
      <c r="O552" s="270">
        <f t="shared" si="69"/>
        <v>0</v>
      </c>
      <c r="P552" s="271">
        <f t="shared" si="70"/>
        <v>0</v>
      </c>
      <c r="Q552" s="272">
        <f>+'NI-San_SP'!Q552+'NI-Soc_SP'!Q552+'NI-Ric_SP'!Q552</f>
        <v>0</v>
      </c>
      <c r="R552" s="272">
        <f>+'NI-San_SP'!R552+'NI-Soc_SP'!R552+'NI-Ric_SP'!R552</f>
        <v>0</v>
      </c>
      <c r="S552" s="272">
        <f>+'NI-San_SP'!S552+'NI-Soc_SP'!S552+'NI-Ric_SP'!S552</f>
        <v>0</v>
      </c>
      <c r="T552" s="272">
        <f>+'NI-San_SP'!T552+'NI-Soc_SP'!T552+'NI-Ric_SP'!T552</f>
        <v>0</v>
      </c>
      <c r="U552" s="272">
        <f>+'NI-San_SP'!U552+'NI-Soc_SP'!U552+'NI-Ric_SP'!U552</f>
        <v>0</v>
      </c>
      <c r="V552" s="272">
        <f>+'NI-San_SP'!V552+'NI-Soc_SP'!V552+'NI-Ric_SP'!V552</f>
        <v>0</v>
      </c>
      <c r="W552" s="272">
        <f>+'NI-San_SP'!W552+'NI-Soc_SP'!W552+'NI-Ric_SP'!W552</f>
        <v>0</v>
      </c>
      <c r="X552" s="272">
        <f>+'NI-San_SP'!X552+'NI-Soc_SP'!X552+'NI-Ric_SP'!X552</f>
        <v>0</v>
      </c>
      <c r="Y552" s="272">
        <f>+'NI-San_SP'!Y552+'NI-Soc_SP'!Y552+'NI-Ric_SP'!Y552</f>
        <v>0</v>
      </c>
      <c r="Z552" s="272">
        <f>+'NI-San_SP'!Z552+'NI-Soc_SP'!Z552+'NI-Ric_SP'!Z552</f>
        <v>0</v>
      </c>
      <c r="AA552" s="272">
        <f>+'NI-San_SP'!AA552+'NI-Soc_SP'!AA552+'NI-Ric_SP'!AA552</f>
        <v>0</v>
      </c>
      <c r="AB552" s="272">
        <f>+'NI-San_SP'!AB552+'NI-Soc_SP'!AB552+'NI-Ric_SP'!AB552</f>
        <v>0</v>
      </c>
    </row>
    <row r="553" spans="2:28" s="204" customFormat="1" ht="25.5" x14ac:dyDescent="0.25">
      <c r="B553" s="246" t="s">
        <v>1241</v>
      </c>
      <c r="C553" s="347" t="s">
        <v>1242</v>
      </c>
      <c r="D553" s="348" t="s">
        <v>3610</v>
      </c>
      <c r="E553" s="348"/>
      <c r="F553" s="348"/>
      <c r="G553" s="348"/>
      <c r="H553" s="349"/>
      <c r="I553" s="349"/>
      <c r="J553" s="348"/>
      <c r="K553" s="349"/>
      <c r="L553" s="364" t="s">
        <v>3611</v>
      </c>
      <c r="M553" s="284" t="s">
        <v>2962</v>
      </c>
      <c r="N553" s="270">
        <f t="shared" si="68"/>
        <v>0</v>
      </c>
      <c r="O553" s="270">
        <f t="shared" si="69"/>
        <v>0</v>
      </c>
      <c r="P553" s="271">
        <f t="shared" si="70"/>
        <v>0</v>
      </c>
      <c r="Q553" s="272">
        <f>+'NI-San_SP'!Q553+'NI-Soc_SP'!Q553+'NI-Ric_SP'!Q553</f>
        <v>0</v>
      </c>
      <c r="R553" s="272">
        <f>+'NI-San_SP'!R553+'NI-Soc_SP'!R553+'NI-Ric_SP'!R553</f>
        <v>0</v>
      </c>
      <c r="S553" s="272">
        <f>+'NI-San_SP'!S553+'NI-Soc_SP'!S553+'NI-Ric_SP'!S553</f>
        <v>0</v>
      </c>
      <c r="T553" s="272">
        <f>+'NI-San_SP'!T553+'NI-Soc_SP'!T553+'NI-Ric_SP'!T553</f>
        <v>0</v>
      </c>
      <c r="U553" s="272">
        <f>+'NI-San_SP'!U553+'NI-Soc_SP'!U553+'NI-Ric_SP'!U553</f>
        <v>0</v>
      </c>
      <c r="V553" s="272">
        <f>+'NI-San_SP'!V553+'NI-Soc_SP'!V553+'NI-Ric_SP'!V553</f>
        <v>0</v>
      </c>
      <c r="W553" s="272">
        <f>+'NI-San_SP'!W553+'NI-Soc_SP'!W553+'NI-Ric_SP'!W553</f>
        <v>0</v>
      </c>
      <c r="X553" s="272">
        <f>+'NI-San_SP'!X553+'NI-Soc_SP'!X553+'NI-Ric_SP'!X553</f>
        <v>0</v>
      </c>
      <c r="Y553" s="272">
        <f>+'NI-San_SP'!Y553+'NI-Soc_SP'!Y553+'NI-Ric_SP'!Y553</f>
        <v>0</v>
      </c>
      <c r="Z553" s="272">
        <f>+'NI-San_SP'!Z553+'NI-Soc_SP'!Z553+'NI-Ric_SP'!Z553</f>
        <v>0</v>
      </c>
      <c r="AA553" s="272">
        <f>+'NI-San_SP'!AA553+'NI-Soc_SP'!AA553+'NI-Ric_SP'!AA553</f>
        <v>0</v>
      </c>
      <c r="AB553" s="272">
        <f>+'NI-San_SP'!AB553+'NI-Soc_SP'!AB553+'NI-Ric_SP'!AB553</f>
        <v>0</v>
      </c>
    </row>
    <row r="554" spans="2:28" s="204" customFormat="1" ht="25.5" x14ac:dyDescent="0.25">
      <c r="B554" s="246" t="s">
        <v>1244</v>
      </c>
      <c r="C554" s="347" t="s">
        <v>1245</v>
      </c>
      <c r="D554" s="348" t="s">
        <v>3612</v>
      </c>
      <c r="E554" s="348"/>
      <c r="F554" s="348"/>
      <c r="G554" s="348"/>
      <c r="H554" s="349"/>
      <c r="I554" s="349"/>
      <c r="J554" s="348"/>
      <c r="K554" s="349"/>
      <c r="L554" s="364" t="s">
        <v>3613</v>
      </c>
      <c r="M554" s="284" t="s">
        <v>2962</v>
      </c>
      <c r="N554" s="270">
        <f t="shared" si="68"/>
        <v>0</v>
      </c>
      <c r="O554" s="270">
        <f t="shared" si="69"/>
        <v>0</v>
      </c>
      <c r="P554" s="271">
        <f t="shared" si="70"/>
        <v>0</v>
      </c>
      <c r="Q554" s="272">
        <f>+'NI-San_SP'!Q554+'NI-Soc_SP'!Q554+'NI-Ric_SP'!Q554</f>
        <v>0</v>
      </c>
      <c r="R554" s="272">
        <f>+'NI-San_SP'!R554+'NI-Soc_SP'!R554+'NI-Ric_SP'!R554</f>
        <v>0</v>
      </c>
      <c r="S554" s="272">
        <f>+'NI-San_SP'!S554+'NI-Soc_SP'!S554+'NI-Ric_SP'!S554</f>
        <v>0</v>
      </c>
      <c r="T554" s="272">
        <f>+'NI-San_SP'!T554+'NI-Soc_SP'!T554+'NI-Ric_SP'!T554</f>
        <v>0</v>
      </c>
      <c r="U554" s="272">
        <f>+'NI-San_SP'!U554+'NI-Soc_SP'!U554+'NI-Ric_SP'!U554</f>
        <v>0</v>
      </c>
      <c r="V554" s="272">
        <f>+'NI-San_SP'!V554+'NI-Soc_SP'!V554+'NI-Ric_SP'!V554</f>
        <v>0</v>
      </c>
      <c r="W554" s="272">
        <f>+'NI-San_SP'!W554+'NI-Soc_SP'!W554+'NI-Ric_SP'!W554</f>
        <v>0</v>
      </c>
      <c r="X554" s="272">
        <f>+'NI-San_SP'!X554+'NI-Soc_SP'!X554+'NI-Ric_SP'!X554</f>
        <v>0</v>
      </c>
      <c r="Y554" s="272">
        <f>+'NI-San_SP'!Y554+'NI-Soc_SP'!Y554+'NI-Ric_SP'!Y554</f>
        <v>0</v>
      </c>
      <c r="Z554" s="272">
        <f>+'NI-San_SP'!Z554+'NI-Soc_SP'!Z554+'NI-Ric_SP'!Z554</f>
        <v>0</v>
      </c>
      <c r="AA554" s="272">
        <f>+'NI-San_SP'!AA554+'NI-Soc_SP'!AA554+'NI-Ric_SP'!AA554</f>
        <v>0</v>
      </c>
      <c r="AB554" s="272">
        <f>+'NI-San_SP'!AB554+'NI-Soc_SP'!AB554+'NI-Ric_SP'!AB554</f>
        <v>0</v>
      </c>
    </row>
    <row r="555" spans="2:28" s="204" customFormat="1" ht="25.5" x14ac:dyDescent="0.25">
      <c r="B555" s="246" t="s">
        <v>1247</v>
      </c>
      <c r="C555" s="347" t="s">
        <v>1248</v>
      </c>
      <c r="D555" s="348" t="s">
        <v>3614</v>
      </c>
      <c r="E555" s="348"/>
      <c r="F555" s="348"/>
      <c r="G555" s="348"/>
      <c r="H555" s="349"/>
      <c r="I555" s="349"/>
      <c r="J555" s="348"/>
      <c r="K555" s="349"/>
      <c r="L555" s="364" t="s">
        <v>3615</v>
      </c>
      <c r="M555" s="284" t="s">
        <v>2962</v>
      </c>
      <c r="N555" s="270">
        <f t="shared" si="68"/>
        <v>0</v>
      </c>
      <c r="O555" s="270">
        <f t="shared" si="69"/>
        <v>0</v>
      </c>
      <c r="P555" s="271">
        <f t="shared" si="70"/>
        <v>0</v>
      </c>
      <c r="Q555" s="272">
        <f>+'NI-San_SP'!Q555+'NI-Soc_SP'!Q555+'NI-Ric_SP'!Q555</f>
        <v>0</v>
      </c>
      <c r="R555" s="272">
        <f>+'NI-San_SP'!R555+'NI-Soc_SP'!R555+'NI-Ric_SP'!R555</f>
        <v>0</v>
      </c>
      <c r="S555" s="272">
        <f>+'NI-San_SP'!S555+'NI-Soc_SP'!S555+'NI-Ric_SP'!S555</f>
        <v>0</v>
      </c>
      <c r="T555" s="272">
        <f>+'NI-San_SP'!T555+'NI-Soc_SP'!T555+'NI-Ric_SP'!T555</f>
        <v>0</v>
      </c>
      <c r="U555" s="272">
        <f>+'NI-San_SP'!U555+'NI-Soc_SP'!U555+'NI-Ric_SP'!U555</f>
        <v>730141</v>
      </c>
      <c r="V555" s="272">
        <f>+'NI-San_SP'!V555+'NI-Soc_SP'!V555+'NI-Ric_SP'!V555</f>
        <v>0</v>
      </c>
      <c r="W555" s="272">
        <f>+'NI-San_SP'!W555+'NI-Soc_SP'!W555+'NI-Ric_SP'!W555</f>
        <v>0</v>
      </c>
      <c r="X555" s="272">
        <f>+'NI-San_SP'!X555+'NI-Soc_SP'!X555+'NI-Ric_SP'!X555</f>
        <v>0</v>
      </c>
      <c r="Y555" s="272">
        <f>+'NI-San_SP'!Y555+'NI-Soc_SP'!Y555+'NI-Ric_SP'!Y555</f>
        <v>730141</v>
      </c>
      <c r="Z555" s="272">
        <f>+'NI-San_SP'!Z555+'NI-Soc_SP'!Z555+'NI-Ric_SP'!Z555</f>
        <v>0</v>
      </c>
      <c r="AA555" s="272">
        <f>+'NI-San_SP'!AA555+'NI-Soc_SP'!AA555+'NI-Ric_SP'!AA555</f>
        <v>0</v>
      </c>
      <c r="AB555" s="272">
        <f>+'NI-San_SP'!AB555+'NI-Soc_SP'!AB555+'NI-Ric_SP'!AB555</f>
        <v>0</v>
      </c>
    </row>
    <row r="556" spans="2:28" s="204" customFormat="1" ht="26.25" x14ac:dyDescent="0.25">
      <c r="B556" s="246" t="s">
        <v>1250</v>
      </c>
      <c r="C556" s="347" t="s">
        <v>1251</v>
      </c>
      <c r="D556" s="348" t="s">
        <v>3616</v>
      </c>
      <c r="E556" s="348"/>
      <c r="F556" s="348"/>
      <c r="G556" s="348"/>
      <c r="H556" s="349"/>
      <c r="I556" s="349"/>
      <c r="J556" s="348"/>
      <c r="K556" s="348"/>
      <c r="L556" s="358" t="s">
        <v>3617</v>
      </c>
      <c r="M556" s="284" t="s">
        <v>2962</v>
      </c>
      <c r="N556" s="270">
        <f t="shared" si="68"/>
        <v>7666</v>
      </c>
      <c r="O556" s="270">
        <f t="shared" si="69"/>
        <v>4414</v>
      </c>
      <c r="P556" s="271">
        <f t="shared" si="70"/>
        <v>-3252</v>
      </c>
      <c r="Q556" s="272">
        <f>+'NI-San_SP'!Q556+'NI-Soc_SP'!Q556+'NI-Ric_SP'!Q556</f>
        <v>0</v>
      </c>
      <c r="R556" s="272">
        <f>+'NI-San_SP'!R556+'NI-Soc_SP'!R556+'NI-Ric_SP'!R556</f>
        <v>7666</v>
      </c>
      <c r="S556" s="272">
        <f>+'NI-San_SP'!S556+'NI-Soc_SP'!S556+'NI-Ric_SP'!S556</f>
        <v>0</v>
      </c>
      <c r="T556" s="272">
        <f>+'NI-San_SP'!T556+'NI-Soc_SP'!T556+'NI-Ric_SP'!T556</f>
        <v>0</v>
      </c>
      <c r="U556" s="272">
        <f>+'NI-San_SP'!U556+'NI-Soc_SP'!U556+'NI-Ric_SP'!U556</f>
        <v>2328103</v>
      </c>
      <c r="V556" s="272">
        <f>+'NI-San_SP'!V556+'NI-Soc_SP'!V556+'NI-Ric_SP'!V556</f>
        <v>0</v>
      </c>
      <c r="W556" s="272">
        <f>+'NI-San_SP'!W556+'NI-Soc_SP'!W556+'NI-Ric_SP'!W556</f>
        <v>0</v>
      </c>
      <c r="X556" s="272">
        <f>+'NI-San_SP'!X556+'NI-Soc_SP'!X556+'NI-Ric_SP'!X556</f>
        <v>0</v>
      </c>
      <c r="Y556" s="272">
        <f>+'NI-San_SP'!Y556+'NI-Soc_SP'!Y556+'NI-Ric_SP'!Y556</f>
        <v>2331355</v>
      </c>
      <c r="Z556" s="272">
        <f>+'NI-San_SP'!Z556+'NI-Soc_SP'!Z556+'NI-Ric_SP'!Z556</f>
        <v>4414</v>
      </c>
      <c r="AA556" s="272">
        <f>+'NI-San_SP'!AA556+'NI-Soc_SP'!AA556+'NI-Ric_SP'!AA556</f>
        <v>0</v>
      </c>
      <c r="AB556" s="272">
        <f>+'NI-San_SP'!AB556+'NI-Soc_SP'!AB556+'NI-Ric_SP'!AB556</f>
        <v>4414</v>
      </c>
    </row>
    <row r="557" spans="2:28" s="204" customFormat="1" x14ac:dyDescent="0.25">
      <c r="B557" s="246" t="s">
        <v>1253</v>
      </c>
      <c r="C557" s="347" t="s">
        <v>1254</v>
      </c>
      <c r="D557" s="348" t="s">
        <v>3618</v>
      </c>
      <c r="E557" s="348"/>
      <c r="F557" s="348"/>
      <c r="G557" s="348"/>
      <c r="H557" s="349"/>
      <c r="I557" s="349"/>
      <c r="J557" s="349"/>
      <c r="K557" s="349"/>
      <c r="L557" s="364" t="s">
        <v>3619</v>
      </c>
      <c r="M557" s="284" t="s">
        <v>2962</v>
      </c>
      <c r="N557" s="270">
        <f t="shared" si="68"/>
        <v>29798</v>
      </c>
      <c r="O557" s="270">
        <f t="shared" si="69"/>
        <v>86674</v>
      </c>
      <c r="P557" s="271">
        <f t="shared" si="70"/>
        <v>56876</v>
      </c>
      <c r="Q557" s="272">
        <f>+'NI-San_SP'!Q557+'NI-Soc_SP'!Q557+'NI-Ric_SP'!Q557</f>
        <v>0</v>
      </c>
      <c r="R557" s="272">
        <f>+'NI-San_SP'!R557+'NI-Soc_SP'!R557+'NI-Ric_SP'!R557</f>
        <v>29798</v>
      </c>
      <c r="S557" s="272">
        <f>+'NI-San_SP'!S557+'NI-Soc_SP'!S557+'NI-Ric_SP'!S557</f>
        <v>0</v>
      </c>
      <c r="T557" s="272">
        <f>+'NI-San_SP'!T557+'NI-Soc_SP'!T557+'NI-Ric_SP'!T557</f>
        <v>0</v>
      </c>
      <c r="U557" s="272">
        <f>+'NI-San_SP'!U557+'NI-Soc_SP'!U557+'NI-Ric_SP'!U557</f>
        <v>396945</v>
      </c>
      <c r="V557" s="272">
        <f>+'NI-San_SP'!V557+'NI-Soc_SP'!V557+'NI-Ric_SP'!V557</f>
        <v>0</v>
      </c>
      <c r="W557" s="272">
        <f>+'NI-San_SP'!W557+'NI-Soc_SP'!W557+'NI-Ric_SP'!W557</f>
        <v>0</v>
      </c>
      <c r="X557" s="272">
        <f>+'NI-San_SP'!X557+'NI-Soc_SP'!X557+'NI-Ric_SP'!X557</f>
        <v>0</v>
      </c>
      <c r="Y557" s="272">
        <f>+'NI-San_SP'!Y557+'NI-Soc_SP'!Y557+'NI-Ric_SP'!Y557</f>
        <v>340069</v>
      </c>
      <c r="Z557" s="272">
        <f>+'NI-San_SP'!Z557+'NI-Soc_SP'!Z557+'NI-Ric_SP'!Z557</f>
        <v>86674</v>
      </c>
      <c r="AA557" s="272">
        <f>+'NI-San_SP'!AA557+'NI-Soc_SP'!AA557+'NI-Ric_SP'!AA557</f>
        <v>0</v>
      </c>
      <c r="AB557" s="272">
        <f>+'NI-San_SP'!AB557+'NI-Soc_SP'!AB557+'NI-Ric_SP'!AB557</f>
        <v>86674</v>
      </c>
    </row>
    <row r="558" spans="2:28" s="204" customFormat="1" x14ac:dyDescent="0.25">
      <c r="B558" s="246" t="s">
        <v>1256</v>
      </c>
      <c r="C558" s="347" t="s">
        <v>1257</v>
      </c>
      <c r="D558" s="348" t="s">
        <v>3620</v>
      </c>
      <c r="E558" s="348"/>
      <c r="F558" s="348"/>
      <c r="G558" s="348"/>
      <c r="H558" s="349"/>
      <c r="I558" s="349"/>
      <c r="J558" s="349"/>
      <c r="K558" s="349"/>
      <c r="L558" s="366" t="s">
        <v>3621</v>
      </c>
      <c r="M558" s="284" t="s">
        <v>2962</v>
      </c>
      <c r="N558" s="270">
        <f t="shared" si="68"/>
        <v>0</v>
      </c>
      <c r="O558" s="270">
        <f t="shared" si="69"/>
        <v>0</v>
      </c>
      <c r="P558" s="271">
        <f t="shared" si="70"/>
        <v>0</v>
      </c>
      <c r="Q558" s="272">
        <f>+'NI-San_SP'!Q558+'NI-Soc_SP'!Q558+'NI-Ric_SP'!Q558</f>
        <v>0</v>
      </c>
      <c r="R558" s="272">
        <f>+'NI-San_SP'!R558+'NI-Soc_SP'!R558+'NI-Ric_SP'!R558</f>
        <v>0</v>
      </c>
      <c r="S558" s="272">
        <f>+'NI-San_SP'!S558+'NI-Soc_SP'!S558+'NI-Ric_SP'!S558</f>
        <v>0</v>
      </c>
      <c r="T558" s="272">
        <f>+'NI-San_SP'!T558+'NI-Soc_SP'!T558+'NI-Ric_SP'!T558</f>
        <v>0</v>
      </c>
      <c r="U558" s="272">
        <f>+'NI-San_SP'!U558+'NI-Soc_SP'!U558+'NI-Ric_SP'!U558</f>
        <v>0</v>
      </c>
      <c r="V558" s="272">
        <f>+'NI-San_SP'!V558+'NI-Soc_SP'!V558+'NI-Ric_SP'!V558</f>
        <v>0</v>
      </c>
      <c r="W558" s="272">
        <f>+'NI-San_SP'!W558+'NI-Soc_SP'!W558+'NI-Ric_SP'!W558</f>
        <v>0</v>
      </c>
      <c r="X558" s="272">
        <f>+'NI-San_SP'!X558+'NI-Soc_SP'!X558+'NI-Ric_SP'!X558</f>
        <v>0</v>
      </c>
      <c r="Y558" s="272">
        <f>+'NI-San_SP'!Y558+'NI-Soc_SP'!Y558+'NI-Ric_SP'!Y558</f>
        <v>0</v>
      </c>
      <c r="Z558" s="272">
        <f>+'NI-San_SP'!Z558+'NI-Soc_SP'!Z558+'NI-Ric_SP'!Z558</f>
        <v>0</v>
      </c>
      <c r="AA558" s="272">
        <f>+'NI-San_SP'!AA558+'NI-Soc_SP'!AA558+'NI-Ric_SP'!AA558</f>
        <v>0</v>
      </c>
      <c r="AB558" s="272">
        <f>+'NI-San_SP'!AB558+'NI-Soc_SP'!AB558+'NI-Ric_SP'!AB558</f>
        <v>0</v>
      </c>
    </row>
    <row r="559" spans="2:28" s="204" customFormat="1" x14ac:dyDescent="0.25">
      <c r="B559" s="246" t="s">
        <v>1260</v>
      </c>
      <c r="C559" s="347" t="s">
        <v>1261</v>
      </c>
      <c r="D559" s="348" t="s">
        <v>3622</v>
      </c>
      <c r="E559" s="348"/>
      <c r="F559" s="348"/>
      <c r="G559" s="348"/>
      <c r="H559" s="349"/>
      <c r="I559" s="349"/>
      <c r="J559" s="349"/>
      <c r="K559" s="349"/>
      <c r="L559" s="366" t="s">
        <v>3623</v>
      </c>
      <c r="M559" s="284" t="s">
        <v>2962</v>
      </c>
      <c r="N559" s="270">
        <f t="shared" si="68"/>
        <v>320054</v>
      </c>
      <c r="O559" s="270">
        <f t="shared" si="69"/>
        <v>400582</v>
      </c>
      <c r="P559" s="271">
        <f t="shared" si="70"/>
        <v>80528</v>
      </c>
      <c r="Q559" s="272">
        <f>+'NI-San_SP'!Q559+'NI-Soc_SP'!Q559+'NI-Ric_SP'!Q559</f>
        <v>0</v>
      </c>
      <c r="R559" s="272">
        <f>+'NI-San_SP'!R559+'NI-Soc_SP'!R559+'NI-Ric_SP'!R559</f>
        <v>320054</v>
      </c>
      <c r="S559" s="272">
        <f>+'NI-San_SP'!S559+'NI-Soc_SP'!S559+'NI-Ric_SP'!S559</f>
        <v>0</v>
      </c>
      <c r="T559" s="272">
        <f>+'NI-San_SP'!T559+'NI-Soc_SP'!T559+'NI-Ric_SP'!T559</f>
        <v>0</v>
      </c>
      <c r="U559" s="272">
        <f>+'NI-San_SP'!U559+'NI-Soc_SP'!U559+'NI-Ric_SP'!U559</f>
        <v>1522323</v>
      </c>
      <c r="V559" s="272">
        <f>+'NI-San_SP'!V559+'NI-Soc_SP'!V559+'NI-Ric_SP'!V559</f>
        <v>0</v>
      </c>
      <c r="W559" s="272">
        <f>+'NI-San_SP'!W559+'NI-Soc_SP'!W559+'NI-Ric_SP'!W559</f>
        <v>0</v>
      </c>
      <c r="X559" s="272">
        <f>+'NI-San_SP'!X559+'NI-Soc_SP'!X559+'NI-Ric_SP'!X559</f>
        <v>0</v>
      </c>
      <c r="Y559" s="272">
        <f>+'NI-San_SP'!Y559+'NI-Soc_SP'!Y559+'NI-Ric_SP'!Y559</f>
        <v>1441795</v>
      </c>
      <c r="Z559" s="272">
        <f>+'NI-San_SP'!Z559+'NI-Soc_SP'!Z559+'NI-Ric_SP'!Z559</f>
        <v>400582</v>
      </c>
      <c r="AA559" s="272">
        <f>+'NI-San_SP'!AA559+'NI-Soc_SP'!AA559+'NI-Ric_SP'!AA559</f>
        <v>0</v>
      </c>
      <c r="AB559" s="272">
        <f>+'NI-San_SP'!AB559+'NI-Soc_SP'!AB559+'NI-Ric_SP'!AB559</f>
        <v>399554</v>
      </c>
    </row>
    <row r="560" spans="2:28" s="204" customFormat="1" x14ac:dyDescent="0.25">
      <c r="B560" s="246" t="s">
        <v>1263</v>
      </c>
      <c r="C560" s="347" t="s">
        <v>1264</v>
      </c>
      <c r="D560" s="348" t="s">
        <v>3624</v>
      </c>
      <c r="E560" s="348"/>
      <c r="F560" s="348"/>
      <c r="G560" s="348"/>
      <c r="H560" s="349"/>
      <c r="I560" s="349"/>
      <c r="J560" s="349"/>
      <c r="K560" s="349"/>
      <c r="L560" s="367" t="s">
        <v>3625</v>
      </c>
      <c r="M560" s="284" t="s">
        <v>2962</v>
      </c>
      <c r="N560" s="270">
        <f t="shared" si="68"/>
        <v>0</v>
      </c>
      <c r="O560" s="270">
        <f t="shared" si="69"/>
        <v>0</v>
      </c>
      <c r="P560" s="271">
        <f t="shared" si="70"/>
        <v>0</v>
      </c>
      <c r="Q560" s="272">
        <f>+'NI-San_SP'!Q560+'NI-Soc_SP'!Q560+'NI-Ric_SP'!Q560</f>
        <v>0</v>
      </c>
      <c r="R560" s="272">
        <f>+'NI-San_SP'!R560+'NI-Soc_SP'!R560+'NI-Ric_SP'!R560</f>
        <v>0</v>
      </c>
      <c r="S560" s="272">
        <f>+'NI-San_SP'!S560+'NI-Soc_SP'!S560+'NI-Ric_SP'!S560</f>
        <v>0</v>
      </c>
      <c r="T560" s="272">
        <f>+'NI-San_SP'!T560+'NI-Soc_SP'!T560+'NI-Ric_SP'!T560</f>
        <v>0</v>
      </c>
      <c r="U560" s="272">
        <f>+'NI-San_SP'!U560+'NI-Soc_SP'!U560+'NI-Ric_SP'!U560</f>
        <v>0</v>
      </c>
      <c r="V560" s="272">
        <f>+'NI-San_SP'!V560+'NI-Soc_SP'!V560+'NI-Ric_SP'!V560</f>
        <v>0</v>
      </c>
      <c r="W560" s="272">
        <f>+'NI-San_SP'!W560+'NI-Soc_SP'!W560+'NI-Ric_SP'!W560</f>
        <v>0</v>
      </c>
      <c r="X560" s="272">
        <f>+'NI-San_SP'!X560+'NI-Soc_SP'!X560+'NI-Ric_SP'!X560</f>
        <v>0</v>
      </c>
      <c r="Y560" s="272">
        <f>+'NI-San_SP'!Y560+'NI-Soc_SP'!Y560+'NI-Ric_SP'!Y560</f>
        <v>0</v>
      </c>
      <c r="Z560" s="272">
        <f>+'NI-San_SP'!Z560+'NI-Soc_SP'!Z560+'NI-Ric_SP'!Z560</f>
        <v>0</v>
      </c>
      <c r="AA560" s="272">
        <f>+'NI-San_SP'!AA560+'NI-Soc_SP'!AA560+'NI-Ric_SP'!AA560</f>
        <v>0</v>
      </c>
      <c r="AB560" s="272">
        <f>+'NI-San_SP'!AB560+'NI-Soc_SP'!AB560+'NI-Ric_SP'!AB560</f>
        <v>0</v>
      </c>
    </row>
    <row r="561" spans="2:28" s="204" customFormat="1" x14ac:dyDescent="0.25">
      <c r="B561" s="246" t="s">
        <v>1266</v>
      </c>
      <c r="C561" s="347" t="s">
        <v>1267</v>
      </c>
      <c r="D561" s="348" t="s">
        <v>3626</v>
      </c>
      <c r="E561" s="348"/>
      <c r="F561" s="348"/>
      <c r="G561" s="348"/>
      <c r="H561" s="349"/>
      <c r="I561" s="349"/>
      <c r="J561" s="349"/>
      <c r="K561" s="349"/>
      <c r="L561" s="368" t="s">
        <v>3627</v>
      </c>
      <c r="M561" s="284" t="s">
        <v>2962</v>
      </c>
      <c r="N561" s="270">
        <f t="shared" si="68"/>
        <v>0</v>
      </c>
      <c r="O561" s="270">
        <f t="shared" si="69"/>
        <v>0</v>
      </c>
      <c r="P561" s="271">
        <f t="shared" si="70"/>
        <v>0</v>
      </c>
      <c r="Q561" s="272">
        <f>+'NI-San_SP'!Q561+'NI-Soc_SP'!Q561+'NI-Ric_SP'!Q561</f>
        <v>0</v>
      </c>
      <c r="R561" s="272">
        <f>+'NI-San_SP'!R561+'NI-Soc_SP'!R561+'NI-Ric_SP'!R561</f>
        <v>0</v>
      </c>
      <c r="S561" s="272">
        <f>+'NI-San_SP'!S561+'NI-Soc_SP'!S561+'NI-Ric_SP'!S561</f>
        <v>0</v>
      </c>
      <c r="T561" s="272">
        <f>+'NI-San_SP'!T561+'NI-Soc_SP'!T561+'NI-Ric_SP'!T561</f>
        <v>0</v>
      </c>
      <c r="U561" s="272">
        <f>+'NI-San_SP'!U561+'NI-Soc_SP'!U561+'NI-Ric_SP'!U561</f>
        <v>0</v>
      </c>
      <c r="V561" s="272">
        <f>+'NI-San_SP'!V561+'NI-Soc_SP'!V561+'NI-Ric_SP'!V561</f>
        <v>0</v>
      </c>
      <c r="W561" s="272">
        <f>+'NI-San_SP'!W561+'NI-Soc_SP'!W561+'NI-Ric_SP'!W561</f>
        <v>0</v>
      </c>
      <c r="X561" s="272">
        <f>+'NI-San_SP'!X561+'NI-Soc_SP'!X561+'NI-Ric_SP'!X561</f>
        <v>0</v>
      </c>
      <c r="Y561" s="272">
        <f>+'NI-San_SP'!Y561+'NI-Soc_SP'!Y561+'NI-Ric_SP'!Y561</f>
        <v>0</v>
      </c>
      <c r="Z561" s="272">
        <f>+'NI-San_SP'!Z561+'NI-Soc_SP'!Z561+'NI-Ric_SP'!Z561</f>
        <v>0</v>
      </c>
      <c r="AA561" s="272">
        <f>+'NI-San_SP'!AA561+'NI-Soc_SP'!AA561+'NI-Ric_SP'!AA561</f>
        <v>0</v>
      </c>
      <c r="AB561" s="272">
        <f>+'NI-San_SP'!AB561+'NI-Soc_SP'!AB561+'NI-Ric_SP'!AB561</f>
        <v>0</v>
      </c>
    </row>
    <row r="562" spans="2:28" s="204" customFormat="1" x14ac:dyDescent="0.25">
      <c r="B562" s="246" t="s">
        <v>1270</v>
      </c>
      <c r="C562" s="347" t="s">
        <v>1271</v>
      </c>
      <c r="D562" s="348" t="s">
        <v>3628</v>
      </c>
      <c r="E562" s="348"/>
      <c r="F562" s="348"/>
      <c r="G562" s="348"/>
      <c r="H562" s="349"/>
      <c r="I562" s="349"/>
      <c r="J562" s="348"/>
      <c r="K562" s="348"/>
      <c r="L562" s="358" t="s">
        <v>3629</v>
      </c>
      <c r="M562" s="284" t="s">
        <v>2962</v>
      </c>
      <c r="N562" s="270">
        <f t="shared" si="68"/>
        <v>0</v>
      </c>
      <c r="O562" s="270">
        <f t="shared" si="69"/>
        <v>0</v>
      </c>
      <c r="P562" s="271">
        <f t="shared" si="70"/>
        <v>0</v>
      </c>
      <c r="Q562" s="272">
        <f>+'NI-San_SP'!Q562+'NI-Soc_SP'!Q562+'NI-Ric_SP'!Q562</f>
        <v>0</v>
      </c>
      <c r="R562" s="272">
        <f>+'NI-San_SP'!R562+'NI-Soc_SP'!R562+'NI-Ric_SP'!R562</f>
        <v>0</v>
      </c>
      <c r="S562" s="272">
        <f>+'NI-San_SP'!S562+'NI-Soc_SP'!S562+'NI-Ric_SP'!S562</f>
        <v>0</v>
      </c>
      <c r="T562" s="272">
        <f>+'NI-San_SP'!T562+'NI-Soc_SP'!T562+'NI-Ric_SP'!T562</f>
        <v>0</v>
      </c>
      <c r="U562" s="272">
        <f>+'NI-San_SP'!U562+'NI-Soc_SP'!U562+'NI-Ric_SP'!U562</f>
        <v>0</v>
      </c>
      <c r="V562" s="272">
        <f>+'NI-San_SP'!V562+'NI-Soc_SP'!V562+'NI-Ric_SP'!V562</f>
        <v>0</v>
      </c>
      <c r="W562" s="272">
        <f>+'NI-San_SP'!W562+'NI-Soc_SP'!W562+'NI-Ric_SP'!W562</f>
        <v>0</v>
      </c>
      <c r="X562" s="272">
        <f>+'NI-San_SP'!X562+'NI-Soc_SP'!X562+'NI-Ric_SP'!X562</f>
        <v>0</v>
      </c>
      <c r="Y562" s="272">
        <f>+'NI-San_SP'!Y562+'NI-Soc_SP'!Y562+'NI-Ric_SP'!Y562</f>
        <v>0</v>
      </c>
      <c r="Z562" s="272">
        <f>+'NI-San_SP'!Z562+'NI-Soc_SP'!Z562+'NI-Ric_SP'!Z562</f>
        <v>0</v>
      </c>
      <c r="AA562" s="272">
        <f>+'NI-San_SP'!AA562+'NI-Soc_SP'!AA562+'NI-Ric_SP'!AA562</f>
        <v>0</v>
      </c>
      <c r="AB562" s="272">
        <f>+'NI-San_SP'!AB562+'NI-Soc_SP'!AB562+'NI-Ric_SP'!AB562</f>
        <v>0</v>
      </c>
    </row>
    <row r="563" spans="2:28" s="204" customFormat="1" x14ac:dyDescent="0.25">
      <c r="B563" s="246" t="s">
        <v>1273</v>
      </c>
      <c r="C563" s="347" t="s">
        <v>1274</v>
      </c>
      <c r="D563" s="348" t="s">
        <v>3630</v>
      </c>
      <c r="E563" s="348"/>
      <c r="F563" s="348"/>
      <c r="G563" s="348"/>
      <c r="H563" s="349"/>
      <c r="I563" s="349"/>
      <c r="J563" s="349"/>
      <c r="K563" s="349"/>
      <c r="L563" s="368" t="s">
        <v>3631</v>
      </c>
      <c r="M563" s="284" t="s">
        <v>2962</v>
      </c>
      <c r="N563" s="270">
        <f t="shared" si="68"/>
        <v>0</v>
      </c>
      <c r="O563" s="270">
        <f t="shared" si="69"/>
        <v>0</v>
      </c>
      <c r="P563" s="271">
        <f t="shared" si="70"/>
        <v>0</v>
      </c>
      <c r="Q563" s="272">
        <f>+'NI-San_SP'!Q563+'NI-Soc_SP'!Q563+'NI-Ric_SP'!Q563</f>
        <v>0</v>
      </c>
      <c r="R563" s="272">
        <f>+'NI-San_SP'!R563+'NI-Soc_SP'!R563+'NI-Ric_SP'!R563</f>
        <v>0</v>
      </c>
      <c r="S563" s="272">
        <f>+'NI-San_SP'!S563+'NI-Soc_SP'!S563+'NI-Ric_SP'!S563</f>
        <v>0</v>
      </c>
      <c r="T563" s="272">
        <f>+'NI-San_SP'!T563+'NI-Soc_SP'!T563+'NI-Ric_SP'!T563</f>
        <v>0</v>
      </c>
      <c r="U563" s="272">
        <f>+'NI-San_SP'!U563+'NI-Soc_SP'!U563+'NI-Ric_SP'!U563</f>
        <v>4099185</v>
      </c>
      <c r="V563" s="272">
        <f>+'NI-San_SP'!V563+'NI-Soc_SP'!V563+'NI-Ric_SP'!V563</f>
        <v>0</v>
      </c>
      <c r="W563" s="272">
        <f>+'NI-San_SP'!W563+'NI-Soc_SP'!W563+'NI-Ric_SP'!W563</f>
        <v>0</v>
      </c>
      <c r="X563" s="272">
        <f>+'NI-San_SP'!X563+'NI-Soc_SP'!X563+'NI-Ric_SP'!X563</f>
        <v>0</v>
      </c>
      <c r="Y563" s="272">
        <f>+'NI-San_SP'!Y563+'NI-Soc_SP'!Y563+'NI-Ric_SP'!Y563</f>
        <v>4099185</v>
      </c>
      <c r="Z563" s="272">
        <f>+'NI-San_SP'!Z563+'NI-Soc_SP'!Z563+'NI-Ric_SP'!Z563</f>
        <v>0</v>
      </c>
      <c r="AA563" s="272">
        <f>+'NI-San_SP'!AA563+'NI-Soc_SP'!AA563+'NI-Ric_SP'!AA563</f>
        <v>0</v>
      </c>
      <c r="AB563" s="272">
        <f>+'NI-San_SP'!AB563+'NI-Soc_SP'!AB563+'NI-Ric_SP'!AB563</f>
        <v>0</v>
      </c>
    </row>
    <row r="564" spans="2:28" s="204" customFormat="1" ht="24.75" customHeight="1" x14ac:dyDescent="0.25">
      <c r="B564" s="246" t="s">
        <v>1276</v>
      </c>
      <c r="C564" s="347" t="s">
        <v>1277</v>
      </c>
      <c r="D564" s="348" t="s">
        <v>3632</v>
      </c>
      <c r="E564" s="348"/>
      <c r="F564" s="348"/>
      <c r="G564" s="348"/>
      <c r="H564" s="349"/>
      <c r="I564" s="349"/>
      <c r="J564" s="349"/>
      <c r="K564" s="349"/>
      <c r="L564" s="364" t="s">
        <v>3633</v>
      </c>
      <c r="M564" s="284" t="s">
        <v>2962</v>
      </c>
      <c r="N564" s="270">
        <f t="shared" si="68"/>
        <v>74512</v>
      </c>
      <c r="O564" s="270">
        <f t="shared" si="69"/>
        <v>133020</v>
      </c>
      <c r="P564" s="271">
        <f t="shared" si="70"/>
        <v>58508</v>
      </c>
      <c r="Q564" s="272">
        <f>+'NI-San_SP'!Q564+'NI-Soc_SP'!Q564+'NI-Ric_SP'!Q564</f>
        <v>0</v>
      </c>
      <c r="R564" s="272">
        <f>+'NI-San_SP'!R564+'NI-Soc_SP'!R564+'NI-Ric_SP'!R564</f>
        <v>74512</v>
      </c>
      <c r="S564" s="272">
        <f>+'NI-San_SP'!S564+'NI-Soc_SP'!S564+'NI-Ric_SP'!S564</f>
        <v>0</v>
      </c>
      <c r="T564" s="272">
        <f>+'NI-San_SP'!T564+'NI-Soc_SP'!T564+'NI-Ric_SP'!T564</f>
        <v>0</v>
      </c>
      <c r="U564" s="272">
        <f>+'NI-San_SP'!U564+'NI-Soc_SP'!U564+'NI-Ric_SP'!U564</f>
        <v>401265</v>
      </c>
      <c r="V564" s="272">
        <f>+'NI-San_SP'!V564+'NI-Soc_SP'!V564+'NI-Ric_SP'!V564</f>
        <v>0</v>
      </c>
      <c r="W564" s="272">
        <f>+'NI-San_SP'!W564+'NI-Soc_SP'!W564+'NI-Ric_SP'!W564</f>
        <v>0</v>
      </c>
      <c r="X564" s="272">
        <f>+'NI-San_SP'!X564+'NI-Soc_SP'!X564+'NI-Ric_SP'!X564</f>
        <v>0</v>
      </c>
      <c r="Y564" s="272">
        <f>+'NI-San_SP'!Y564+'NI-Soc_SP'!Y564+'NI-Ric_SP'!Y564</f>
        <v>342757</v>
      </c>
      <c r="Z564" s="272">
        <f>+'NI-San_SP'!Z564+'NI-Soc_SP'!Z564+'NI-Ric_SP'!Z564</f>
        <v>133020</v>
      </c>
      <c r="AA564" s="272">
        <f>+'NI-San_SP'!AA564+'NI-Soc_SP'!AA564+'NI-Ric_SP'!AA564</f>
        <v>0</v>
      </c>
      <c r="AB564" s="272">
        <f>+'NI-San_SP'!AB564+'NI-Soc_SP'!AB564+'NI-Ric_SP'!AB564</f>
        <v>50687</v>
      </c>
    </row>
    <row r="565" spans="2:28" s="204" customFormat="1" ht="25.5" x14ac:dyDescent="0.25">
      <c r="B565" s="246" t="s">
        <v>1280</v>
      </c>
      <c r="C565" s="369" t="s">
        <v>1281</v>
      </c>
      <c r="D565" s="370" t="s">
        <v>3634</v>
      </c>
      <c r="E565" s="348"/>
      <c r="F565" s="370"/>
      <c r="G565" s="370"/>
      <c r="H565" s="370"/>
      <c r="I565" s="370"/>
      <c r="J565" s="370"/>
      <c r="K565" s="370"/>
      <c r="L565" s="371" t="s">
        <v>3635</v>
      </c>
      <c r="M565" s="284" t="s">
        <v>2962</v>
      </c>
      <c r="N565" s="270">
        <f t="shared" si="68"/>
        <v>0</v>
      </c>
      <c r="O565" s="270">
        <f t="shared" si="69"/>
        <v>0</v>
      </c>
      <c r="P565" s="271">
        <f t="shared" si="70"/>
        <v>0</v>
      </c>
      <c r="Q565" s="272">
        <f>+'NI-San_SP'!Q565+'NI-Soc_SP'!Q565+'NI-Ric_SP'!Q565</f>
        <v>0</v>
      </c>
      <c r="R565" s="272">
        <f>+'NI-San_SP'!R565+'NI-Soc_SP'!R565+'NI-Ric_SP'!R565</f>
        <v>0</v>
      </c>
      <c r="S565" s="272">
        <f>+'NI-San_SP'!S565+'NI-Soc_SP'!S565+'NI-Ric_SP'!S565</f>
        <v>0</v>
      </c>
      <c r="T565" s="272">
        <f>+'NI-San_SP'!T565+'NI-Soc_SP'!T565+'NI-Ric_SP'!T565</f>
        <v>0</v>
      </c>
      <c r="U565" s="272">
        <f>+'NI-San_SP'!U565+'NI-Soc_SP'!U565+'NI-Ric_SP'!U565</f>
        <v>0</v>
      </c>
      <c r="V565" s="272">
        <f>+'NI-San_SP'!V565+'NI-Soc_SP'!V565+'NI-Ric_SP'!V565</f>
        <v>0</v>
      </c>
      <c r="W565" s="272">
        <f>+'NI-San_SP'!W565+'NI-Soc_SP'!W565+'NI-Ric_SP'!W565</f>
        <v>0</v>
      </c>
      <c r="X565" s="272">
        <f>+'NI-San_SP'!X565+'NI-Soc_SP'!X565+'NI-Ric_SP'!X565</f>
        <v>0</v>
      </c>
      <c r="Y565" s="272">
        <f>+'NI-San_SP'!Y565+'NI-Soc_SP'!Y565+'NI-Ric_SP'!Y565</f>
        <v>0</v>
      </c>
      <c r="Z565" s="272">
        <f>+'NI-San_SP'!Z565+'NI-Soc_SP'!Z565+'NI-Ric_SP'!Z565</f>
        <v>0</v>
      </c>
      <c r="AA565" s="272">
        <f>+'NI-San_SP'!AA565+'NI-Soc_SP'!AA565+'NI-Ric_SP'!AA565</f>
        <v>0</v>
      </c>
      <c r="AB565" s="272">
        <f>+'NI-San_SP'!AB565+'NI-Soc_SP'!AB565+'NI-Ric_SP'!AB565</f>
        <v>0</v>
      </c>
    </row>
    <row r="566" spans="2:28" s="204" customFormat="1" x14ac:dyDescent="0.25">
      <c r="B566" s="246" t="s">
        <v>1283</v>
      </c>
      <c r="C566" s="287" t="s">
        <v>1284</v>
      </c>
      <c r="D566" s="274" t="s">
        <v>3636</v>
      </c>
      <c r="E566" s="274"/>
      <c r="F566" s="274"/>
      <c r="G566" s="283"/>
      <c r="H566" s="326"/>
      <c r="I566" s="274"/>
      <c r="J566" s="281"/>
      <c r="K566" s="281"/>
      <c r="L566" s="372" t="s">
        <v>1288</v>
      </c>
      <c r="M566" s="373" t="s">
        <v>2962</v>
      </c>
      <c r="N566" s="270">
        <f t="shared" si="68"/>
        <v>0</v>
      </c>
      <c r="O566" s="270">
        <f>+Z566+Q566</f>
        <v>0</v>
      </c>
      <c r="P566" s="374">
        <f t="shared" si="70"/>
        <v>0</v>
      </c>
      <c r="Q566" s="211"/>
      <c r="R566" s="272">
        <f>+'NI-San_SP'!R566+'NI-Soc_SP'!R566+'NI-Ric_SP'!R566</f>
        <v>0</v>
      </c>
      <c r="S566" s="285"/>
      <c r="T566" s="211"/>
      <c r="U566" s="211"/>
      <c r="V566" s="211"/>
      <c r="W566" s="211"/>
      <c r="X566" s="211"/>
      <c r="Y566" s="211"/>
      <c r="Z566" s="272">
        <f>+'NI-San_SP'!Z566+'NI-Soc_SP'!Z566+'NI-Ric_SP'!Z566</f>
        <v>0</v>
      </c>
      <c r="AA566" s="211"/>
    </row>
    <row r="567" spans="2:28" s="204" customFormat="1" x14ac:dyDescent="0.25">
      <c r="B567" s="293"/>
      <c r="C567" s="293"/>
      <c r="D567" s="230"/>
      <c r="E567" s="230"/>
      <c r="F567" s="230"/>
      <c r="G567" s="230"/>
      <c r="H567" s="231"/>
      <c r="I567" s="230"/>
      <c r="J567" s="230"/>
      <c r="K567" s="230"/>
      <c r="L567" s="296"/>
      <c r="M567" s="216"/>
      <c r="N567" s="285"/>
      <c r="O567" s="285"/>
      <c r="P567" s="285"/>
      <c r="Q567" s="285"/>
      <c r="R567" s="285"/>
      <c r="S567" s="285"/>
      <c r="T567" s="211"/>
      <c r="U567" s="211"/>
      <c r="V567" s="211"/>
      <c r="W567" s="211"/>
      <c r="X567" s="211"/>
      <c r="Y567" s="211"/>
      <c r="Z567" s="211"/>
      <c r="AA567" s="211"/>
    </row>
    <row r="568" spans="2:28" s="204" customFormat="1" x14ac:dyDescent="0.25">
      <c r="B568" s="293"/>
      <c r="C568" s="293"/>
      <c r="D568" s="230"/>
      <c r="E568" s="230"/>
      <c r="F568" s="230"/>
      <c r="G568" s="230"/>
      <c r="H568" s="231"/>
      <c r="I568" s="230"/>
      <c r="J568" s="230"/>
      <c r="K568" s="230"/>
      <c r="L568" s="275"/>
      <c r="M568" s="216"/>
      <c r="N568" s="285"/>
      <c r="O568" s="285"/>
      <c r="P568" s="285"/>
      <c r="Q568" s="285"/>
      <c r="R568" s="285"/>
      <c r="S568" s="285"/>
      <c r="T568" s="211"/>
      <c r="U568" s="211"/>
      <c r="V568" s="211"/>
      <c r="W568" s="211"/>
      <c r="X568" s="211"/>
      <c r="Y568" s="211"/>
      <c r="Z568" s="211"/>
      <c r="AA568" s="211"/>
    </row>
    <row r="569" spans="2:28" s="204" customFormat="1" x14ac:dyDescent="0.25">
      <c r="B569" s="246" t="s">
        <v>1289</v>
      </c>
      <c r="C569" s="292" t="s">
        <v>1290</v>
      </c>
      <c r="D569" s="247" t="s">
        <v>3637</v>
      </c>
      <c r="E569" s="247"/>
      <c r="F569" s="247"/>
      <c r="G569" s="247"/>
      <c r="H569" s="248"/>
      <c r="I569" s="247"/>
      <c r="J569" s="247"/>
      <c r="K569" s="249"/>
      <c r="L569" s="276" t="s">
        <v>1292</v>
      </c>
      <c r="M569" s="251" t="s">
        <v>2962</v>
      </c>
      <c r="N569" s="252">
        <f>SUM(N572:N586)</f>
        <v>153255</v>
      </c>
      <c r="O569" s="252">
        <f>SUM(O572:O586)</f>
        <v>154851</v>
      </c>
      <c r="P569" s="259">
        <f>+O569-N569</f>
        <v>1596</v>
      </c>
      <c r="Q569" s="252">
        <f t="shared" ref="Q569:AB569" si="71">SUM(Q572:Q586)</f>
        <v>0</v>
      </c>
      <c r="R569" s="252">
        <f t="shared" si="71"/>
        <v>153255</v>
      </c>
      <c r="S569" s="252">
        <f t="shared" si="71"/>
        <v>0</v>
      </c>
      <c r="T569" s="252">
        <f t="shared" si="71"/>
        <v>0</v>
      </c>
      <c r="U569" s="252">
        <f t="shared" si="71"/>
        <v>764565</v>
      </c>
      <c r="V569" s="252">
        <f t="shared" si="71"/>
        <v>0</v>
      </c>
      <c r="W569" s="252">
        <f t="shared" si="71"/>
        <v>0</v>
      </c>
      <c r="X569" s="252">
        <f t="shared" si="71"/>
        <v>0</v>
      </c>
      <c r="Y569" s="252">
        <f t="shared" si="71"/>
        <v>762969</v>
      </c>
      <c r="Z569" s="252">
        <f t="shared" si="71"/>
        <v>154851</v>
      </c>
      <c r="AA569" s="252">
        <f t="shared" si="71"/>
        <v>0</v>
      </c>
      <c r="AB569" s="252">
        <f t="shared" si="71"/>
        <v>77981</v>
      </c>
    </row>
    <row r="570" spans="2:28" s="204" customFormat="1" x14ac:dyDescent="0.25">
      <c r="B570" s="293"/>
      <c r="C570" s="293"/>
      <c r="D570" s="230"/>
      <c r="E570" s="230"/>
      <c r="F570" s="230"/>
      <c r="G570" s="230"/>
      <c r="H570" s="231"/>
      <c r="I570" s="230"/>
      <c r="J570" s="230"/>
      <c r="K570" s="230"/>
      <c r="L570" s="277"/>
      <c r="M570" s="216"/>
      <c r="N570" s="285"/>
      <c r="O570" s="285"/>
      <c r="P570" s="285"/>
      <c r="Q570" s="285"/>
      <c r="R570" s="285"/>
      <c r="S570" s="285"/>
      <c r="T570" s="211"/>
      <c r="U570" s="211"/>
      <c r="V570" s="211"/>
      <c r="W570" s="211"/>
      <c r="X570" s="211"/>
      <c r="Y570" s="211"/>
      <c r="Z570" s="211"/>
      <c r="AA570" s="211"/>
    </row>
    <row r="571" spans="2:28" s="204" customFormat="1" ht="63.75" x14ac:dyDescent="0.25">
      <c r="B571" s="294" t="s">
        <v>2968</v>
      </c>
      <c r="C571" s="294" t="s">
        <v>2969</v>
      </c>
      <c r="D571" s="206" t="s">
        <v>72</v>
      </c>
      <c r="E571" s="206"/>
      <c r="F571" s="206"/>
      <c r="G571" s="207"/>
      <c r="H571" s="207"/>
      <c r="I571" s="207"/>
      <c r="J571" s="207" t="s">
        <v>2957</v>
      </c>
      <c r="K571" s="206" t="s">
        <v>82</v>
      </c>
      <c r="L571" s="261" t="s">
        <v>2970</v>
      </c>
      <c r="M571" s="345"/>
      <c r="N571" s="256" t="str">
        <f>N$15</f>
        <v>Valore netto al 31/12/2019</v>
      </c>
      <c r="O571" s="256" t="str">
        <f>O$15</f>
        <v>Valore netto al 31/12/2020</v>
      </c>
      <c r="P571" s="256" t="str">
        <f>P$15</f>
        <v>Variazione</v>
      </c>
      <c r="Q571" s="262" t="s">
        <v>2971</v>
      </c>
      <c r="R571" s="262" t="s">
        <v>3536</v>
      </c>
      <c r="S571" s="262" t="s">
        <v>2972</v>
      </c>
      <c r="T571" s="262" t="s">
        <v>3537</v>
      </c>
      <c r="U571" s="262" t="s">
        <v>3538</v>
      </c>
      <c r="V571" s="262" t="s">
        <v>3539</v>
      </c>
      <c r="W571" s="262" t="s">
        <v>2975</v>
      </c>
      <c r="X571" s="262" t="s">
        <v>3540</v>
      </c>
      <c r="Y571" s="262" t="s">
        <v>3541</v>
      </c>
      <c r="Z571" s="346" t="s">
        <v>3542</v>
      </c>
      <c r="AA571" s="262" t="s">
        <v>3543</v>
      </c>
      <c r="AB571" s="262" t="s">
        <v>3544</v>
      </c>
    </row>
    <row r="572" spans="2:28" s="204" customFormat="1" x14ac:dyDescent="0.25">
      <c r="B572" s="246" t="s">
        <v>1293</v>
      </c>
      <c r="C572" s="287" t="s">
        <v>1294</v>
      </c>
      <c r="D572" s="274" t="s">
        <v>3638</v>
      </c>
      <c r="E572" s="274"/>
      <c r="F572" s="274"/>
      <c r="G572" s="283"/>
      <c r="H572" s="266"/>
      <c r="I572" s="274"/>
      <c r="J572" s="281"/>
      <c r="K572" s="281"/>
      <c r="L572" s="282" t="s">
        <v>3639</v>
      </c>
      <c r="M572" s="263" t="s">
        <v>2962</v>
      </c>
      <c r="N572" s="270">
        <f t="shared" ref="N572:N586" si="72">+R572</f>
        <v>7675</v>
      </c>
      <c r="O572" s="270">
        <f t="shared" ref="O572:O586" si="73">+Z572</f>
        <v>2826</v>
      </c>
      <c r="P572" s="271">
        <f t="shared" ref="P572:P586" si="74">+O572-N572</f>
        <v>-4849</v>
      </c>
      <c r="Q572" s="272">
        <f>+'NI-San_SP'!Q572+'NI-Soc_SP'!Q572+'NI-Ric_SP'!Q572</f>
        <v>0</v>
      </c>
      <c r="R572" s="272">
        <f>+'NI-San_SP'!R572+'NI-Soc_SP'!R572+'NI-Ric_SP'!R572</f>
        <v>7675</v>
      </c>
      <c r="S572" s="272">
        <f>+'NI-San_SP'!S572+'NI-Soc_SP'!S572+'NI-Ric_SP'!S572</f>
        <v>0</v>
      </c>
      <c r="T572" s="272">
        <f>+'NI-San_SP'!T572+'NI-Soc_SP'!T572+'NI-Ric_SP'!T572</f>
        <v>0</v>
      </c>
      <c r="U572" s="272">
        <f>+'NI-San_SP'!U572+'NI-Soc_SP'!U572+'NI-Ric_SP'!U572</f>
        <v>10198</v>
      </c>
      <c r="V572" s="272">
        <f>+'NI-San_SP'!V572+'NI-Soc_SP'!V572+'NI-Ric_SP'!V572</f>
        <v>0</v>
      </c>
      <c r="W572" s="272">
        <f>+'NI-San_SP'!W572+'NI-Soc_SP'!W572+'NI-Ric_SP'!W572</f>
        <v>0</v>
      </c>
      <c r="X572" s="272">
        <f>+'NI-San_SP'!X572+'NI-Soc_SP'!X572+'NI-Ric_SP'!X572</f>
        <v>0</v>
      </c>
      <c r="Y572" s="272">
        <f>+'NI-San_SP'!Y572+'NI-Soc_SP'!Y572+'NI-Ric_SP'!Y572</f>
        <v>15047</v>
      </c>
      <c r="Z572" s="272">
        <f>+'NI-San_SP'!Z572+'NI-Soc_SP'!Z572+'NI-Ric_SP'!Z572</f>
        <v>2826</v>
      </c>
      <c r="AA572" s="272">
        <f>+'NI-San_SP'!AA572+'NI-Soc_SP'!AA572+'NI-Ric_SP'!AA572</f>
        <v>0</v>
      </c>
      <c r="AB572" s="272">
        <f>+'NI-San_SP'!AB572+'NI-Soc_SP'!AB572+'NI-Ric_SP'!AB572</f>
        <v>2364</v>
      </c>
    </row>
    <row r="573" spans="2:28" s="204" customFormat="1" x14ac:dyDescent="0.25">
      <c r="B573" s="246" t="s">
        <v>1298</v>
      </c>
      <c r="C573" s="287" t="s">
        <v>1299</v>
      </c>
      <c r="D573" s="274" t="s">
        <v>3640</v>
      </c>
      <c r="E573" s="274"/>
      <c r="F573" s="274"/>
      <c r="G573" s="283"/>
      <c r="H573" s="266"/>
      <c r="I573" s="274"/>
      <c r="J573" s="281"/>
      <c r="K573" s="281"/>
      <c r="L573" s="288" t="s">
        <v>3641</v>
      </c>
      <c r="M573" s="284" t="s">
        <v>2962</v>
      </c>
      <c r="N573" s="270">
        <f t="shared" si="72"/>
        <v>38219</v>
      </c>
      <c r="O573" s="270">
        <f t="shared" si="73"/>
        <v>48984</v>
      </c>
      <c r="P573" s="271">
        <f t="shared" si="74"/>
        <v>10765</v>
      </c>
      <c r="Q573" s="272">
        <f>+'NI-San_SP'!Q573+'NI-Soc_SP'!Q573+'NI-Ric_SP'!Q573</f>
        <v>0</v>
      </c>
      <c r="R573" s="272">
        <f>+'NI-San_SP'!R573+'NI-Soc_SP'!R573+'NI-Ric_SP'!R573</f>
        <v>38219</v>
      </c>
      <c r="S573" s="272">
        <f>+'NI-San_SP'!S573+'NI-Soc_SP'!S573+'NI-Ric_SP'!S573</f>
        <v>0</v>
      </c>
      <c r="T573" s="272">
        <f>+'NI-San_SP'!T573+'NI-Soc_SP'!T573+'NI-Ric_SP'!T573</f>
        <v>0</v>
      </c>
      <c r="U573" s="272">
        <f>+'NI-San_SP'!U573+'NI-Soc_SP'!U573+'NI-Ric_SP'!U573</f>
        <v>126151</v>
      </c>
      <c r="V573" s="272">
        <f>+'NI-San_SP'!V573+'NI-Soc_SP'!V573+'NI-Ric_SP'!V573</f>
        <v>0</v>
      </c>
      <c r="W573" s="272">
        <f>+'NI-San_SP'!W573+'NI-Soc_SP'!W573+'NI-Ric_SP'!W573</f>
        <v>0</v>
      </c>
      <c r="X573" s="272">
        <f>+'NI-San_SP'!X573+'NI-Soc_SP'!X573+'NI-Ric_SP'!X573</f>
        <v>0</v>
      </c>
      <c r="Y573" s="272">
        <f>+'NI-San_SP'!Y573+'NI-Soc_SP'!Y573+'NI-Ric_SP'!Y573</f>
        <v>115386</v>
      </c>
      <c r="Z573" s="272">
        <f>+'NI-San_SP'!Z573+'NI-Soc_SP'!Z573+'NI-Ric_SP'!Z573</f>
        <v>48984</v>
      </c>
      <c r="AA573" s="272">
        <f>+'NI-San_SP'!AA573+'NI-Soc_SP'!AA573+'NI-Ric_SP'!AA573</f>
        <v>0</v>
      </c>
      <c r="AB573" s="272">
        <f>+'NI-San_SP'!AB573+'NI-Soc_SP'!AB573+'NI-Ric_SP'!AB573</f>
        <v>16745</v>
      </c>
    </row>
    <row r="574" spans="2:28" s="204" customFormat="1" x14ac:dyDescent="0.25">
      <c r="B574" s="246" t="s">
        <v>1302</v>
      </c>
      <c r="C574" s="287" t="s">
        <v>1303</v>
      </c>
      <c r="D574" s="274" t="s">
        <v>3642</v>
      </c>
      <c r="E574" s="274"/>
      <c r="F574" s="274"/>
      <c r="G574" s="283"/>
      <c r="H574" s="266"/>
      <c r="I574" s="274"/>
      <c r="J574" s="281"/>
      <c r="K574" s="281"/>
      <c r="L574" s="288" t="s">
        <v>3643</v>
      </c>
      <c r="M574" s="284" t="s">
        <v>2962</v>
      </c>
      <c r="N574" s="270">
        <f t="shared" si="72"/>
        <v>0</v>
      </c>
      <c r="O574" s="270">
        <f t="shared" si="73"/>
        <v>0</v>
      </c>
      <c r="P574" s="271">
        <f t="shared" si="74"/>
        <v>0</v>
      </c>
      <c r="Q574" s="272">
        <f>+'NI-San_SP'!Q574+'NI-Soc_SP'!Q574+'NI-Ric_SP'!Q574</f>
        <v>0</v>
      </c>
      <c r="R574" s="272">
        <f>+'NI-San_SP'!R574+'NI-Soc_SP'!R574+'NI-Ric_SP'!R574</f>
        <v>0</v>
      </c>
      <c r="S574" s="272">
        <f>+'NI-San_SP'!S574+'NI-Soc_SP'!S574+'NI-Ric_SP'!S574</f>
        <v>0</v>
      </c>
      <c r="T574" s="272">
        <f>+'NI-San_SP'!T574+'NI-Soc_SP'!T574+'NI-Ric_SP'!T574</f>
        <v>0</v>
      </c>
      <c r="U574" s="272">
        <f>+'NI-San_SP'!U574+'NI-Soc_SP'!U574+'NI-Ric_SP'!U574</f>
        <v>0</v>
      </c>
      <c r="V574" s="272">
        <f>+'NI-San_SP'!V574+'NI-Soc_SP'!V574+'NI-Ric_SP'!V574</f>
        <v>0</v>
      </c>
      <c r="W574" s="272">
        <f>+'NI-San_SP'!W574+'NI-Soc_SP'!W574+'NI-Ric_SP'!W574</f>
        <v>0</v>
      </c>
      <c r="X574" s="272">
        <f>+'NI-San_SP'!X574+'NI-Soc_SP'!X574+'NI-Ric_SP'!X574</f>
        <v>0</v>
      </c>
      <c r="Y574" s="272">
        <f>+'NI-San_SP'!Y574+'NI-Soc_SP'!Y574+'NI-Ric_SP'!Y574</f>
        <v>0</v>
      </c>
      <c r="Z574" s="272">
        <f>+'NI-San_SP'!Z574+'NI-Soc_SP'!Z574+'NI-Ric_SP'!Z574</f>
        <v>0</v>
      </c>
      <c r="AA574" s="272">
        <f>+'NI-San_SP'!AA574+'NI-Soc_SP'!AA574+'NI-Ric_SP'!AA574</f>
        <v>0</v>
      </c>
      <c r="AB574" s="272">
        <f>+'NI-San_SP'!AB574+'NI-Soc_SP'!AB574+'NI-Ric_SP'!AB574</f>
        <v>0</v>
      </c>
    </row>
    <row r="575" spans="2:28" s="204" customFormat="1" x14ac:dyDescent="0.25">
      <c r="B575" s="246" t="s">
        <v>1306</v>
      </c>
      <c r="C575" s="287" t="s">
        <v>1307</v>
      </c>
      <c r="D575" s="274" t="s">
        <v>3644</v>
      </c>
      <c r="E575" s="274"/>
      <c r="F575" s="274"/>
      <c r="G575" s="283"/>
      <c r="H575" s="266"/>
      <c r="I575" s="274"/>
      <c r="J575" s="281"/>
      <c r="K575" s="281"/>
      <c r="L575" s="288" t="s">
        <v>3645</v>
      </c>
      <c r="M575" s="284" t="s">
        <v>2962</v>
      </c>
      <c r="N575" s="270">
        <f t="shared" si="72"/>
        <v>0</v>
      </c>
      <c r="O575" s="270">
        <f t="shared" si="73"/>
        <v>0</v>
      </c>
      <c r="P575" s="271">
        <f t="shared" si="74"/>
        <v>0</v>
      </c>
      <c r="Q575" s="272">
        <f>+'NI-San_SP'!Q575+'NI-Soc_SP'!Q575+'NI-Ric_SP'!Q575</f>
        <v>0</v>
      </c>
      <c r="R575" s="272">
        <f>+'NI-San_SP'!R575+'NI-Soc_SP'!R575+'NI-Ric_SP'!R575</f>
        <v>0</v>
      </c>
      <c r="S575" s="272">
        <f>+'NI-San_SP'!S575+'NI-Soc_SP'!S575+'NI-Ric_SP'!S575</f>
        <v>0</v>
      </c>
      <c r="T575" s="272">
        <f>+'NI-San_SP'!T575+'NI-Soc_SP'!T575+'NI-Ric_SP'!T575</f>
        <v>0</v>
      </c>
      <c r="U575" s="272">
        <f>+'NI-San_SP'!U575+'NI-Soc_SP'!U575+'NI-Ric_SP'!U575</f>
        <v>0</v>
      </c>
      <c r="V575" s="272">
        <f>+'NI-San_SP'!V575+'NI-Soc_SP'!V575+'NI-Ric_SP'!V575</f>
        <v>0</v>
      </c>
      <c r="W575" s="272">
        <f>+'NI-San_SP'!W575+'NI-Soc_SP'!W575+'NI-Ric_SP'!W575</f>
        <v>0</v>
      </c>
      <c r="X575" s="272">
        <f>+'NI-San_SP'!X575+'NI-Soc_SP'!X575+'NI-Ric_SP'!X575</f>
        <v>0</v>
      </c>
      <c r="Y575" s="272">
        <f>+'NI-San_SP'!Y575+'NI-Soc_SP'!Y575+'NI-Ric_SP'!Y575</f>
        <v>0</v>
      </c>
      <c r="Z575" s="272">
        <f>+'NI-San_SP'!Z575+'NI-Soc_SP'!Z575+'NI-Ric_SP'!Z575</f>
        <v>0</v>
      </c>
      <c r="AA575" s="272">
        <f>+'NI-San_SP'!AA575+'NI-Soc_SP'!AA575+'NI-Ric_SP'!AA575</f>
        <v>0</v>
      </c>
      <c r="AB575" s="272">
        <f>+'NI-San_SP'!AB575+'NI-Soc_SP'!AB575+'NI-Ric_SP'!AB575</f>
        <v>0</v>
      </c>
    </row>
    <row r="576" spans="2:28" s="204" customFormat="1" x14ac:dyDescent="0.25">
      <c r="B576" s="246" t="s">
        <v>1309</v>
      </c>
      <c r="C576" s="287" t="s">
        <v>1310</v>
      </c>
      <c r="D576" s="274" t="s">
        <v>3646</v>
      </c>
      <c r="E576" s="274"/>
      <c r="F576" s="274"/>
      <c r="G576" s="283"/>
      <c r="H576" s="266"/>
      <c r="I576" s="274"/>
      <c r="J576" s="281"/>
      <c r="K576" s="281"/>
      <c r="L576" s="288" t="s">
        <v>3647</v>
      </c>
      <c r="M576" s="284" t="s">
        <v>2962</v>
      </c>
      <c r="N576" s="270">
        <f t="shared" si="72"/>
        <v>60472</v>
      </c>
      <c r="O576" s="270">
        <f t="shared" si="73"/>
        <v>61030</v>
      </c>
      <c r="P576" s="271">
        <f t="shared" si="74"/>
        <v>558</v>
      </c>
      <c r="Q576" s="272">
        <f>+'NI-San_SP'!Q576+'NI-Soc_SP'!Q576+'NI-Ric_SP'!Q576</f>
        <v>0</v>
      </c>
      <c r="R576" s="272">
        <f>+'NI-San_SP'!R576+'NI-Soc_SP'!R576+'NI-Ric_SP'!R576</f>
        <v>60472</v>
      </c>
      <c r="S576" s="272">
        <f>+'NI-San_SP'!S576+'NI-Soc_SP'!S576+'NI-Ric_SP'!S576</f>
        <v>0</v>
      </c>
      <c r="T576" s="272">
        <f>+'NI-San_SP'!T576+'NI-Soc_SP'!T576+'NI-Ric_SP'!T576</f>
        <v>0</v>
      </c>
      <c r="U576" s="272">
        <f>+'NI-San_SP'!U576+'NI-Soc_SP'!U576+'NI-Ric_SP'!U576</f>
        <v>142298</v>
      </c>
      <c r="V576" s="272">
        <f>+'NI-San_SP'!V576+'NI-Soc_SP'!V576+'NI-Ric_SP'!V576</f>
        <v>0</v>
      </c>
      <c r="W576" s="272">
        <f>+'NI-San_SP'!W576+'NI-Soc_SP'!W576+'NI-Ric_SP'!W576</f>
        <v>0</v>
      </c>
      <c r="X576" s="272">
        <f>+'NI-San_SP'!X576+'NI-Soc_SP'!X576+'NI-Ric_SP'!X576</f>
        <v>0</v>
      </c>
      <c r="Y576" s="272">
        <f>+'NI-San_SP'!Y576+'NI-Soc_SP'!Y576+'NI-Ric_SP'!Y576</f>
        <v>141740</v>
      </c>
      <c r="Z576" s="272">
        <f>+'NI-San_SP'!Z576+'NI-Soc_SP'!Z576+'NI-Ric_SP'!Z576</f>
        <v>61030</v>
      </c>
      <c r="AA576" s="272">
        <f>+'NI-San_SP'!AA576+'NI-Soc_SP'!AA576+'NI-Ric_SP'!AA576</f>
        <v>0</v>
      </c>
      <c r="AB576" s="272">
        <f>+'NI-San_SP'!AB576+'NI-Soc_SP'!AB576+'NI-Ric_SP'!AB576</f>
        <v>27428</v>
      </c>
    </row>
    <row r="577" spans="1:39" s="204" customFormat="1" x14ac:dyDescent="0.25">
      <c r="B577" s="246" t="s">
        <v>1313</v>
      </c>
      <c r="C577" s="287" t="s">
        <v>1314</v>
      </c>
      <c r="D577" s="274" t="s">
        <v>3648</v>
      </c>
      <c r="E577" s="274"/>
      <c r="F577" s="274"/>
      <c r="G577" s="283"/>
      <c r="H577" s="266"/>
      <c r="I577" s="274"/>
      <c r="J577" s="281"/>
      <c r="K577" s="281"/>
      <c r="L577" s="288" t="s">
        <v>3649</v>
      </c>
      <c r="M577" s="284" t="s">
        <v>2962</v>
      </c>
      <c r="N577" s="270">
        <f t="shared" si="72"/>
        <v>27535</v>
      </c>
      <c r="O577" s="270">
        <f t="shared" si="73"/>
        <v>17650</v>
      </c>
      <c r="P577" s="271">
        <f t="shared" si="74"/>
        <v>-9885</v>
      </c>
      <c r="Q577" s="272">
        <f>+'NI-San_SP'!Q577+'NI-Soc_SP'!Q577+'NI-Ric_SP'!Q577</f>
        <v>0</v>
      </c>
      <c r="R577" s="272">
        <f>+'NI-San_SP'!R577+'NI-Soc_SP'!R577+'NI-Ric_SP'!R577</f>
        <v>27535</v>
      </c>
      <c r="S577" s="272">
        <f>+'NI-San_SP'!S577+'NI-Soc_SP'!S577+'NI-Ric_SP'!S577</f>
        <v>0</v>
      </c>
      <c r="T577" s="272">
        <f>+'NI-San_SP'!T577+'NI-Soc_SP'!T577+'NI-Ric_SP'!T577</f>
        <v>0</v>
      </c>
      <c r="U577" s="272">
        <f>+'NI-San_SP'!U577+'NI-Soc_SP'!U577+'NI-Ric_SP'!U577</f>
        <v>31247</v>
      </c>
      <c r="V577" s="272">
        <f>+'NI-San_SP'!V577+'NI-Soc_SP'!V577+'NI-Ric_SP'!V577</f>
        <v>0</v>
      </c>
      <c r="W577" s="272">
        <f>+'NI-San_SP'!W577+'NI-Soc_SP'!W577+'NI-Ric_SP'!W577</f>
        <v>0</v>
      </c>
      <c r="X577" s="272">
        <f>+'NI-San_SP'!X577+'NI-Soc_SP'!X577+'NI-Ric_SP'!X577</f>
        <v>0</v>
      </c>
      <c r="Y577" s="272">
        <f>+'NI-San_SP'!Y577+'NI-Soc_SP'!Y577+'NI-Ric_SP'!Y577</f>
        <v>41132</v>
      </c>
      <c r="Z577" s="272">
        <f>+'NI-San_SP'!Z577+'NI-Soc_SP'!Z577+'NI-Ric_SP'!Z577</f>
        <v>17650</v>
      </c>
      <c r="AA577" s="272">
        <f>+'NI-San_SP'!AA577+'NI-Soc_SP'!AA577+'NI-Ric_SP'!AA577</f>
        <v>0</v>
      </c>
      <c r="AB577" s="272">
        <f>+'NI-San_SP'!AB577+'NI-Soc_SP'!AB577+'NI-Ric_SP'!AB577</f>
        <v>12774</v>
      </c>
    </row>
    <row r="578" spans="1:39" s="204" customFormat="1" x14ac:dyDescent="0.25">
      <c r="B578" s="246" t="s">
        <v>1316</v>
      </c>
      <c r="C578" s="287" t="s">
        <v>1317</v>
      </c>
      <c r="D578" s="274" t="s">
        <v>3650</v>
      </c>
      <c r="E578" s="274"/>
      <c r="F578" s="274"/>
      <c r="G578" s="283"/>
      <c r="H578" s="266"/>
      <c r="I578" s="274"/>
      <c r="J578" s="281"/>
      <c r="K578" s="281"/>
      <c r="L578" s="295" t="s">
        <v>3651</v>
      </c>
      <c r="M578" s="284" t="s">
        <v>2962</v>
      </c>
      <c r="N578" s="270">
        <f t="shared" si="72"/>
        <v>0</v>
      </c>
      <c r="O578" s="270">
        <f t="shared" si="73"/>
        <v>0</v>
      </c>
      <c r="P578" s="271">
        <f t="shared" si="74"/>
        <v>0</v>
      </c>
      <c r="Q578" s="272">
        <f>+'NI-San_SP'!Q578+'NI-Soc_SP'!Q578+'NI-Ric_SP'!Q578</f>
        <v>0</v>
      </c>
      <c r="R578" s="272">
        <f>+'NI-San_SP'!R578+'NI-Soc_SP'!R578+'NI-Ric_SP'!R578</f>
        <v>0</v>
      </c>
      <c r="S578" s="272">
        <f>+'NI-San_SP'!S578+'NI-Soc_SP'!S578+'NI-Ric_SP'!S578</f>
        <v>0</v>
      </c>
      <c r="T578" s="272">
        <f>+'NI-San_SP'!T578+'NI-Soc_SP'!T578+'NI-Ric_SP'!T578</f>
        <v>0</v>
      </c>
      <c r="U578" s="272">
        <f>+'NI-San_SP'!U578+'NI-Soc_SP'!U578+'NI-Ric_SP'!U578</f>
        <v>0</v>
      </c>
      <c r="V578" s="272">
        <f>+'NI-San_SP'!V578+'NI-Soc_SP'!V578+'NI-Ric_SP'!V578</f>
        <v>0</v>
      </c>
      <c r="W578" s="272">
        <f>+'NI-San_SP'!W578+'NI-Soc_SP'!W578+'NI-Ric_SP'!W578</f>
        <v>0</v>
      </c>
      <c r="X578" s="272">
        <f>+'NI-San_SP'!X578+'NI-Soc_SP'!X578+'NI-Ric_SP'!X578</f>
        <v>0</v>
      </c>
      <c r="Y578" s="272">
        <f>+'NI-San_SP'!Y578+'NI-Soc_SP'!Y578+'NI-Ric_SP'!Y578</f>
        <v>0</v>
      </c>
      <c r="Z578" s="272">
        <f>+'NI-San_SP'!Z578+'NI-Soc_SP'!Z578+'NI-Ric_SP'!Z578</f>
        <v>0</v>
      </c>
      <c r="AA578" s="272">
        <f>+'NI-San_SP'!AA578+'NI-Soc_SP'!AA578+'NI-Ric_SP'!AA578</f>
        <v>0</v>
      </c>
      <c r="AB578" s="272">
        <f>+'NI-San_SP'!AB578+'NI-Soc_SP'!AB578+'NI-Ric_SP'!AB578</f>
        <v>0</v>
      </c>
    </row>
    <row r="579" spans="1:39" s="204" customFormat="1" x14ac:dyDescent="0.25">
      <c r="B579" s="246" t="s">
        <v>1320</v>
      </c>
      <c r="C579" s="287" t="s">
        <v>1321</v>
      </c>
      <c r="D579" s="274" t="s">
        <v>3652</v>
      </c>
      <c r="E579" s="274"/>
      <c r="F579" s="274"/>
      <c r="G579" s="283"/>
      <c r="H579" s="266"/>
      <c r="I579" s="274"/>
      <c r="J579" s="281"/>
      <c r="K579" s="281"/>
      <c r="L579" s="295" t="s">
        <v>3653</v>
      </c>
      <c r="M579" s="284" t="s">
        <v>2962</v>
      </c>
      <c r="N579" s="270">
        <f t="shared" si="72"/>
        <v>7053</v>
      </c>
      <c r="O579" s="270">
        <f t="shared" si="73"/>
        <v>883</v>
      </c>
      <c r="P579" s="271">
        <f t="shared" si="74"/>
        <v>-6170</v>
      </c>
      <c r="Q579" s="272">
        <f>+'NI-San_SP'!Q579+'NI-Soc_SP'!Q579+'NI-Ric_SP'!Q579</f>
        <v>0</v>
      </c>
      <c r="R579" s="272">
        <f>+'NI-San_SP'!R579+'NI-Soc_SP'!R579+'NI-Ric_SP'!R579</f>
        <v>7053</v>
      </c>
      <c r="S579" s="272">
        <f>+'NI-San_SP'!S579+'NI-Soc_SP'!S579+'NI-Ric_SP'!S579</f>
        <v>0</v>
      </c>
      <c r="T579" s="272">
        <f>+'NI-San_SP'!T579+'NI-Soc_SP'!T579+'NI-Ric_SP'!T579</f>
        <v>0</v>
      </c>
      <c r="U579" s="272">
        <f>+'NI-San_SP'!U579+'NI-Soc_SP'!U579+'NI-Ric_SP'!U579</f>
        <v>72217</v>
      </c>
      <c r="V579" s="272">
        <f>+'NI-San_SP'!V579+'NI-Soc_SP'!V579+'NI-Ric_SP'!V579</f>
        <v>0</v>
      </c>
      <c r="W579" s="272">
        <f>+'NI-San_SP'!W579+'NI-Soc_SP'!W579+'NI-Ric_SP'!W579</f>
        <v>0</v>
      </c>
      <c r="X579" s="272">
        <f>+'NI-San_SP'!X579+'NI-Soc_SP'!X579+'NI-Ric_SP'!X579</f>
        <v>0</v>
      </c>
      <c r="Y579" s="272">
        <f>+'NI-San_SP'!Y579+'NI-Soc_SP'!Y579+'NI-Ric_SP'!Y579</f>
        <v>78387</v>
      </c>
      <c r="Z579" s="272">
        <f>+'NI-San_SP'!Z579+'NI-Soc_SP'!Z579+'NI-Ric_SP'!Z579</f>
        <v>883</v>
      </c>
      <c r="AA579" s="272">
        <f>+'NI-San_SP'!AA579+'NI-Soc_SP'!AA579+'NI-Ric_SP'!AA579</f>
        <v>0</v>
      </c>
      <c r="AB579" s="272">
        <f>+'NI-San_SP'!AB579+'NI-Soc_SP'!AB579+'NI-Ric_SP'!AB579</f>
        <v>434</v>
      </c>
    </row>
    <row r="580" spans="1:39" s="204" customFormat="1" ht="25.5" x14ac:dyDescent="0.25">
      <c r="B580" s="246" t="s">
        <v>1323</v>
      </c>
      <c r="C580" s="287" t="s">
        <v>1324</v>
      </c>
      <c r="D580" s="274" t="s">
        <v>3654</v>
      </c>
      <c r="E580" s="274"/>
      <c r="F580" s="274"/>
      <c r="G580" s="283"/>
      <c r="H580" s="266"/>
      <c r="I580" s="274"/>
      <c r="J580" s="281"/>
      <c r="K580" s="281"/>
      <c r="L580" s="295" t="s">
        <v>3655</v>
      </c>
      <c r="M580" s="284" t="s">
        <v>2962</v>
      </c>
      <c r="N580" s="270">
        <f t="shared" si="72"/>
        <v>0</v>
      </c>
      <c r="O580" s="270">
        <f t="shared" si="73"/>
        <v>0</v>
      </c>
      <c r="P580" s="271">
        <f t="shared" si="74"/>
        <v>0</v>
      </c>
      <c r="Q580" s="272">
        <f>+'NI-San_SP'!Q580+'NI-Soc_SP'!Q580+'NI-Ric_SP'!Q580</f>
        <v>0</v>
      </c>
      <c r="R580" s="272">
        <f>+'NI-San_SP'!R580+'NI-Soc_SP'!R580+'NI-Ric_SP'!R580</f>
        <v>0</v>
      </c>
      <c r="S580" s="272">
        <f>+'NI-San_SP'!S580+'NI-Soc_SP'!S580+'NI-Ric_SP'!S580</f>
        <v>0</v>
      </c>
      <c r="T580" s="272">
        <f>+'NI-San_SP'!T580+'NI-Soc_SP'!T580+'NI-Ric_SP'!T580</f>
        <v>0</v>
      </c>
      <c r="U580" s="272">
        <f>+'NI-San_SP'!U580+'NI-Soc_SP'!U580+'NI-Ric_SP'!U580</f>
        <v>16791</v>
      </c>
      <c r="V580" s="272">
        <f>+'NI-San_SP'!V580+'NI-Soc_SP'!V580+'NI-Ric_SP'!V580</f>
        <v>0</v>
      </c>
      <c r="W580" s="272">
        <f>+'NI-San_SP'!W580+'NI-Soc_SP'!W580+'NI-Ric_SP'!W580</f>
        <v>0</v>
      </c>
      <c r="X580" s="272">
        <f>+'NI-San_SP'!X580+'NI-Soc_SP'!X580+'NI-Ric_SP'!X580</f>
        <v>0</v>
      </c>
      <c r="Y580" s="272">
        <f>+'NI-San_SP'!Y580+'NI-Soc_SP'!Y580+'NI-Ric_SP'!Y580</f>
        <v>16791</v>
      </c>
      <c r="Z580" s="272">
        <f>+'NI-San_SP'!Z580+'NI-Soc_SP'!Z580+'NI-Ric_SP'!Z580</f>
        <v>0</v>
      </c>
      <c r="AA580" s="272">
        <f>+'NI-San_SP'!AA580+'NI-Soc_SP'!AA580+'NI-Ric_SP'!AA580</f>
        <v>0</v>
      </c>
      <c r="AB580" s="272">
        <f>+'NI-San_SP'!AB580+'NI-Soc_SP'!AB580+'NI-Ric_SP'!AB580</f>
        <v>0</v>
      </c>
    </row>
    <row r="581" spans="1:39" s="204" customFormat="1" x14ac:dyDescent="0.25">
      <c r="B581" s="246" t="s">
        <v>1326</v>
      </c>
      <c r="C581" s="287" t="s">
        <v>1327</v>
      </c>
      <c r="D581" s="274" t="s">
        <v>3656</v>
      </c>
      <c r="E581" s="274"/>
      <c r="F581" s="274"/>
      <c r="G581" s="283"/>
      <c r="H581" s="266"/>
      <c r="I581" s="274"/>
      <c r="J581" s="281"/>
      <c r="K581" s="281"/>
      <c r="L581" s="295" t="s">
        <v>3657</v>
      </c>
      <c r="M581" s="284" t="s">
        <v>2962</v>
      </c>
      <c r="N581" s="270">
        <f t="shared" si="72"/>
        <v>10422</v>
      </c>
      <c r="O581" s="270">
        <f t="shared" si="73"/>
        <v>21569</v>
      </c>
      <c r="P581" s="271">
        <f t="shared" si="74"/>
        <v>11147</v>
      </c>
      <c r="Q581" s="272">
        <f>+'NI-San_SP'!Q581+'NI-Soc_SP'!Q581+'NI-Ric_SP'!Q581</f>
        <v>0</v>
      </c>
      <c r="R581" s="272">
        <f>+'NI-San_SP'!R581+'NI-Soc_SP'!R581+'NI-Ric_SP'!R581</f>
        <v>10422</v>
      </c>
      <c r="S581" s="272">
        <f>+'NI-San_SP'!S581+'NI-Soc_SP'!S581+'NI-Ric_SP'!S581</f>
        <v>0</v>
      </c>
      <c r="T581" s="272">
        <f>+'NI-San_SP'!T581+'NI-Soc_SP'!T581+'NI-Ric_SP'!T581</f>
        <v>0</v>
      </c>
      <c r="U581" s="272">
        <f>+'NI-San_SP'!U581+'NI-Soc_SP'!U581+'NI-Ric_SP'!U581</f>
        <v>292880</v>
      </c>
      <c r="V581" s="272">
        <f>+'NI-San_SP'!V581+'NI-Soc_SP'!V581+'NI-Ric_SP'!V581</f>
        <v>0</v>
      </c>
      <c r="W581" s="272">
        <f>+'NI-San_SP'!W581+'NI-Soc_SP'!W581+'NI-Ric_SP'!W581</f>
        <v>0</v>
      </c>
      <c r="X581" s="272">
        <f>+'NI-San_SP'!X581+'NI-Soc_SP'!X581+'NI-Ric_SP'!X581</f>
        <v>0</v>
      </c>
      <c r="Y581" s="272">
        <f>+'NI-San_SP'!Y581+'NI-Soc_SP'!Y581+'NI-Ric_SP'!Y581</f>
        <v>281733</v>
      </c>
      <c r="Z581" s="272">
        <f>+'NI-San_SP'!Z581+'NI-Soc_SP'!Z581+'NI-Ric_SP'!Z581</f>
        <v>21569</v>
      </c>
      <c r="AA581" s="272">
        <f>+'NI-San_SP'!AA581+'NI-Soc_SP'!AA581+'NI-Ric_SP'!AA581</f>
        <v>0</v>
      </c>
      <c r="AB581" s="272">
        <f>+'NI-San_SP'!AB581+'NI-Soc_SP'!AB581+'NI-Ric_SP'!AB581</f>
        <v>17594</v>
      </c>
    </row>
    <row r="582" spans="1:39" s="204" customFormat="1" x14ac:dyDescent="0.25">
      <c r="B582" s="246" t="s">
        <v>1329</v>
      </c>
      <c r="C582" s="287" t="s">
        <v>1330</v>
      </c>
      <c r="D582" s="274" t="s">
        <v>3658</v>
      </c>
      <c r="E582" s="274"/>
      <c r="F582" s="274"/>
      <c r="G582" s="283"/>
      <c r="H582" s="266"/>
      <c r="I582" s="274"/>
      <c r="J582" s="281"/>
      <c r="K582" s="281"/>
      <c r="L582" s="295" t="s">
        <v>3659</v>
      </c>
      <c r="M582" s="284" t="s">
        <v>2962</v>
      </c>
      <c r="N582" s="270">
        <f t="shared" si="72"/>
        <v>0</v>
      </c>
      <c r="O582" s="270">
        <f t="shared" si="73"/>
        <v>0</v>
      </c>
      <c r="P582" s="271">
        <f t="shared" si="74"/>
        <v>0</v>
      </c>
      <c r="Q582" s="272">
        <f>+'NI-San_SP'!Q582+'NI-Soc_SP'!Q582+'NI-Ric_SP'!Q582</f>
        <v>0</v>
      </c>
      <c r="R582" s="272">
        <f>+'NI-San_SP'!R582+'NI-Soc_SP'!R582+'NI-Ric_SP'!R582</f>
        <v>0</v>
      </c>
      <c r="S582" s="272">
        <f>+'NI-San_SP'!S582+'NI-Soc_SP'!S582+'NI-Ric_SP'!S582</f>
        <v>0</v>
      </c>
      <c r="T582" s="272">
        <f>+'NI-San_SP'!T582+'NI-Soc_SP'!T582+'NI-Ric_SP'!T582</f>
        <v>0</v>
      </c>
      <c r="U582" s="272">
        <f>+'NI-San_SP'!U582+'NI-Soc_SP'!U582+'NI-Ric_SP'!U582</f>
        <v>0</v>
      </c>
      <c r="V582" s="272">
        <f>+'NI-San_SP'!V582+'NI-Soc_SP'!V582+'NI-Ric_SP'!V582</f>
        <v>0</v>
      </c>
      <c r="W582" s="272">
        <f>+'NI-San_SP'!W582+'NI-Soc_SP'!W582+'NI-Ric_SP'!W582</f>
        <v>0</v>
      </c>
      <c r="X582" s="272">
        <f>+'NI-San_SP'!X582+'NI-Soc_SP'!X582+'NI-Ric_SP'!X582</f>
        <v>0</v>
      </c>
      <c r="Y582" s="272">
        <f>+'NI-San_SP'!Y582+'NI-Soc_SP'!Y582+'NI-Ric_SP'!Y582</f>
        <v>0</v>
      </c>
      <c r="Z582" s="272">
        <f>+'NI-San_SP'!Z582+'NI-Soc_SP'!Z582+'NI-Ric_SP'!Z582</f>
        <v>0</v>
      </c>
      <c r="AA582" s="272">
        <f>+'NI-San_SP'!AA582+'NI-Soc_SP'!AA582+'NI-Ric_SP'!AA582</f>
        <v>0</v>
      </c>
      <c r="AB582" s="272">
        <f>+'NI-San_SP'!AB582+'NI-Soc_SP'!AB582+'NI-Ric_SP'!AB582</f>
        <v>0</v>
      </c>
    </row>
    <row r="583" spans="1:39" s="204" customFormat="1" x14ac:dyDescent="0.25">
      <c r="B583" s="246" t="s">
        <v>1332</v>
      </c>
      <c r="C583" s="287" t="s">
        <v>1333</v>
      </c>
      <c r="D583" s="274" t="s">
        <v>3660</v>
      </c>
      <c r="E583" s="274"/>
      <c r="F583" s="274"/>
      <c r="G583" s="283"/>
      <c r="H583" s="266"/>
      <c r="I583" s="274"/>
      <c r="J583" s="281"/>
      <c r="K583" s="281"/>
      <c r="L583" s="295" t="s">
        <v>3661</v>
      </c>
      <c r="M583" s="284" t="s">
        <v>2962</v>
      </c>
      <c r="N583" s="270">
        <f t="shared" si="72"/>
        <v>0</v>
      </c>
      <c r="O583" s="270">
        <f t="shared" si="73"/>
        <v>0</v>
      </c>
      <c r="P583" s="271">
        <f t="shared" si="74"/>
        <v>0</v>
      </c>
      <c r="Q583" s="272">
        <f>+'NI-San_SP'!Q583+'NI-Soc_SP'!Q583+'NI-Ric_SP'!Q583</f>
        <v>0</v>
      </c>
      <c r="R583" s="272">
        <f>+'NI-San_SP'!R583+'NI-Soc_SP'!R583+'NI-Ric_SP'!R583</f>
        <v>0</v>
      </c>
      <c r="S583" s="272">
        <f>+'NI-San_SP'!S583+'NI-Soc_SP'!S583+'NI-Ric_SP'!S583</f>
        <v>0</v>
      </c>
      <c r="T583" s="272">
        <f>+'NI-San_SP'!T583+'NI-Soc_SP'!T583+'NI-Ric_SP'!T583</f>
        <v>0</v>
      </c>
      <c r="U583" s="272">
        <f>+'NI-San_SP'!U583+'NI-Soc_SP'!U583+'NI-Ric_SP'!U583</f>
        <v>41171</v>
      </c>
      <c r="V583" s="272">
        <f>+'NI-San_SP'!V583+'NI-Soc_SP'!V583+'NI-Ric_SP'!V583</f>
        <v>0</v>
      </c>
      <c r="W583" s="272">
        <f>+'NI-San_SP'!W583+'NI-Soc_SP'!W583+'NI-Ric_SP'!W583</f>
        <v>0</v>
      </c>
      <c r="X583" s="272">
        <f>+'NI-San_SP'!X583+'NI-Soc_SP'!X583+'NI-Ric_SP'!X583</f>
        <v>0</v>
      </c>
      <c r="Y583" s="272">
        <f>+'NI-San_SP'!Y583+'NI-Soc_SP'!Y583+'NI-Ric_SP'!Y583</f>
        <v>41171</v>
      </c>
      <c r="Z583" s="272">
        <f>+'NI-San_SP'!Z583+'NI-Soc_SP'!Z583+'NI-Ric_SP'!Z583</f>
        <v>0</v>
      </c>
      <c r="AA583" s="272">
        <f>+'NI-San_SP'!AA583+'NI-Soc_SP'!AA583+'NI-Ric_SP'!AA583</f>
        <v>0</v>
      </c>
      <c r="AB583" s="272">
        <f>+'NI-San_SP'!AB583+'NI-Soc_SP'!AB583+'NI-Ric_SP'!AB583</f>
        <v>0</v>
      </c>
    </row>
    <row r="584" spans="1:39" s="204" customFormat="1" x14ac:dyDescent="0.25">
      <c r="B584" s="246" t="s">
        <v>1335</v>
      </c>
      <c r="C584" s="287" t="s">
        <v>1336</v>
      </c>
      <c r="D584" s="274" t="s">
        <v>3662</v>
      </c>
      <c r="E584" s="274"/>
      <c r="F584" s="274"/>
      <c r="G584" s="283"/>
      <c r="H584" s="266"/>
      <c r="I584" s="274"/>
      <c r="J584" s="281"/>
      <c r="K584" s="281"/>
      <c r="L584" s="295" t="s">
        <v>3663</v>
      </c>
      <c r="M584" s="284" t="s">
        <v>2962</v>
      </c>
      <c r="N584" s="270">
        <f t="shared" si="72"/>
        <v>1879</v>
      </c>
      <c r="O584" s="270">
        <f t="shared" si="73"/>
        <v>1909</v>
      </c>
      <c r="P584" s="271">
        <f t="shared" si="74"/>
        <v>30</v>
      </c>
      <c r="Q584" s="272">
        <f>+'NI-San_SP'!Q584+'NI-Soc_SP'!Q584+'NI-Ric_SP'!Q584</f>
        <v>0</v>
      </c>
      <c r="R584" s="272">
        <f>+'NI-San_SP'!R584+'NI-Soc_SP'!R584+'NI-Ric_SP'!R584</f>
        <v>1879</v>
      </c>
      <c r="S584" s="272">
        <f>+'NI-San_SP'!S584+'NI-Soc_SP'!S584+'NI-Ric_SP'!S584</f>
        <v>0</v>
      </c>
      <c r="T584" s="272">
        <f>+'NI-San_SP'!T584+'NI-Soc_SP'!T584+'NI-Ric_SP'!T584</f>
        <v>0</v>
      </c>
      <c r="U584" s="272">
        <f>+'NI-San_SP'!U584+'NI-Soc_SP'!U584+'NI-Ric_SP'!U584</f>
        <v>31612</v>
      </c>
      <c r="V584" s="272">
        <f>+'NI-San_SP'!V584+'NI-Soc_SP'!V584+'NI-Ric_SP'!V584</f>
        <v>0</v>
      </c>
      <c r="W584" s="272">
        <f>+'NI-San_SP'!W584+'NI-Soc_SP'!W584+'NI-Ric_SP'!W584</f>
        <v>0</v>
      </c>
      <c r="X584" s="272">
        <f>+'NI-San_SP'!X584+'NI-Soc_SP'!X584+'NI-Ric_SP'!X584</f>
        <v>0</v>
      </c>
      <c r="Y584" s="272">
        <f>+'NI-San_SP'!Y584+'NI-Soc_SP'!Y584+'NI-Ric_SP'!Y584</f>
        <v>31582</v>
      </c>
      <c r="Z584" s="272">
        <f>+'NI-San_SP'!Z584+'NI-Soc_SP'!Z584+'NI-Ric_SP'!Z584</f>
        <v>1909</v>
      </c>
      <c r="AA584" s="272">
        <f>+'NI-San_SP'!AA584+'NI-Soc_SP'!AA584+'NI-Ric_SP'!AA584</f>
        <v>0</v>
      </c>
      <c r="AB584" s="272">
        <f>+'NI-San_SP'!AB584+'NI-Soc_SP'!AB584+'NI-Ric_SP'!AB584</f>
        <v>642</v>
      </c>
    </row>
    <row r="585" spans="1:39" s="204" customFormat="1" x14ac:dyDescent="0.25">
      <c r="B585" s="246" t="s">
        <v>1339</v>
      </c>
      <c r="C585" s="287" t="s">
        <v>1340</v>
      </c>
      <c r="D585" s="274" t="s">
        <v>3664</v>
      </c>
      <c r="E585" s="274"/>
      <c r="F585" s="274"/>
      <c r="G585" s="283"/>
      <c r="H585" s="266"/>
      <c r="I585" s="274"/>
      <c r="J585" s="281"/>
      <c r="K585" s="281"/>
      <c r="L585" s="295" t="s">
        <v>3665</v>
      </c>
      <c r="M585" s="284" t="s">
        <v>2962</v>
      </c>
      <c r="N585" s="270">
        <f t="shared" si="72"/>
        <v>0</v>
      </c>
      <c r="O585" s="270">
        <f t="shared" si="73"/>
        <v>0</v>
      </c>
      <c r="P585" s="271">
        <f t="shared" si="74"/>
        <v>0</v>
      </c>
      <c r="Q585" s="272">
        <f>+'NI-San_SP'!Q585+'NI-Soc_SP'!Q585+'NI-Ric_SP'!Q585</f>
        <v>0</v>
      </c>
      <c r="R585" s="272">
        <f>+'NI-San_SP'!R585+'NI-Soc_SP'!R585+'NI-Ric_SP'!R585</f>
        <v>0</v>
      </c>
      <c r="S585" s="272">
        <f>+'NI-San_SP'!S585+'NI-Soc_SP'!S585+'NI-Ric_SP'!S585</f>
        <v>0</v>
      </c>
      <c r="T585" s="272">
        <f>+'NI-San_SP'!T586+'NI-Soc_SP'!T585+'NI-Ric_SP'!T585</f>
        <v>0</v>
      </c>
      <c r="U585" s="272">
        <f>+'NI-San_SP'!U585+'NI-Soc_SP'!U585+'NI-Ric_SP'!U585</f>
        <v>0</v>
      </c>
      <c r="V585" s="272">
        <f>+'NI-San_SP'!V586+'NI-Soc_SP'!V585+'NI-Ric_SP'!V585</f>
        <v>0</v>
      </c>
      <c r="W585" s="272">
        <f>+'NI-San_SP'!W586+'NI-Soc_SP'!W585+'NI-Ric_SP'!W585</f>
        <v>0</v>
      </c>
      <c r="X585" s="272">
        <f>+'NI-San_SP'!X586+'NI-Soc_SP'!X585+'NI-Ric_SP'!X585</f>
        <v>0</v>
      </c>
      <c r="Y585" s="272">
        <f>+'NI-San_SP'!Y585+'NI-Soc_SP'!Y585+'NI-Ric_SP'!Y585</f>
        <v>0</v>
      </c>
      <c r="Z585" s="272">
        <f>+'NI-San_SP'!Z585+'NI-Soc_SP'!Z585+'NI-Ric_SP'!Z585</f>
        <v>0</v>
      </c>
      <c r="AA585" s="272">
        <f>+'NI-San_SP'!AA585+'NI-Soc_SP'!AA585+'NI-Ric_SP'!AA585</f>
        <v>0</v>
      </c>
      <c r="AB585" s="272">
        <f>+'NI-San_SP'!AB585+'NI-Soc_SP'!AB585+'NI-Ric_SP'!AB585</f>
        <v>0</v>
      </c>
    </row>
    <row r="586" spans="1:39" s="204" customFormat="1" x14ac:dyDescent="0.25">
      <c r="B586" s="246" t="s">
        <v>1342</v>
      </c>
      <c r="C586" s="287" t="s">
        <v>1343</v>
      </c>
      <c r="D586" s="274" t="s">
        <v>3666</v>
      </c>
      <c r="E586" s="274"/>
      <c r="F586" s="274"/>
      <c r="G586" s="283"/>
      <c r="H586" s="266"/>
      <c r="I586" s="274"/>
      <c r="J586" s="281"/>
      <c r="K586" s="281"/>
      <c r="L586" s="372" t="s">
        <v>3667</v>
      </c>
      <c r="M586" s="373" t="s">
        <v>2962</v>
      </c>
      <c r="N586" s="270">
        <f t="shared" si="72"/>
        <v>0</v>
      </c>
      <c r="O586" s="270">
        <f t="shared" si="73"/>
        <v>0</v>
      </c>
      <c r="P586" s="374">
        <f t="shared" si="74"/>
        <v>0</v>
      </c>
      <c r="Q586" s="285"/>
      <c r="R586" s="272">
        <f>+'NI-San_SP'!R586+'NI-Soc_SP'!R586+'NI-Ric_SP'!R586</f>
        <v>0</v>
      </c>
      <c r="S586" s="211"/>
      <c r="T586" s="211"/>
      <c r="U586" s="211"/>
      <c r="V586" s="211"/>
      <c r="W586" s="211"/>
      <c r="X586" s="211"/>
      <c r="Y586" s="211"/>
      <c r="Z586" s="272">
        <f>+'NI-San_SP'!Z586+'NI-Soc_SP'!Z586+'NI-Ric_SP'!Z586</f>
        <v>0</v>
      </c>
      <c r="AA586" s="211"/>
    </row>
    <row r="587" spans="1:39" s="204" customFormat="1" x14ac:dyDescent="0.25">
      <c r="B587" s="278"/>
      <c r="C587" s="278"/>
      <c r="D587" s="278"/>
      <c r="E587" s="278"/>
      <c r="F587" s="278"/>
      <c r="G587" s="278"/>
      <c r="H587" s="375"/>
      <c r="I587" s="278"/>
      <c r="J587" s="278"/>
      <c r="K587" s="278"/>
      <c r="L587" s="241"/>
      <c r="M587" s="278"/>
      <c r="N587" s="279"/>
      <c r="O587" s="211"/>
      <c r="P587" s="211"/>
      <c r="Q587" s="285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1:39" s="204" customFormat="1" x14ac:dyDescent="0.25">
      <c r="B588" s="278"/>
      <c r="C588" s="278"/>
      <c r="D588" s="278"/>
      <c r="E588" s="278"/>
      <c r="F588" s="278"/>
      <c r="G588" s="278"/>
      <c r="H588" s="375"/>
      <c r="I588" s="278"/>
      <c r="J588" s="278"/>
      <c r="K588" s="278"/>
      <c r="L588" s="241"/>
      <c r="M588" s="278"/>
      <c r="N588" s="279"/>
      <c r="O588" s="211"/>
      <c r="P588" s="211"/>
      <c r="Q588" s="285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1:39" s="204" customFormat="1" ht="25.5" x14ac:dyDescent="0.25">
      <c r="B589" s="333"/>
      <c r="C589" s="333"/>
      <c r="D589" s="333"/>
      <c r="E589" s="333"/>
      <c r="F589" s="333"/>
      <c r="G589" s="333"/>
      <c r="H589" s="376"/>
      <c r="I589" s="333"/>
      <c r="J589" s="333"/>
      <c r="K589" s="333"/>
      <c r="L589" s="243"/>
      <c r="M589" s="244"/>
      <c r="N589" s="330" t="str">
        <f>N$15</f>
        <v>Valore netto al 31/12/2019</v>
      </c>
      <c r="O589" s="331" t="str">
        <f>O$15</f>
        <v>Valore netto al 31/12/2020</v>
      </c>
      <c r="P589" s="330" t="str">
        <f>P$15</f>
        <v>Variazione</v>
      </c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1:39" s="204" customFormat="1" x14ac:dyDescent="0.25">
      <c r="A590" s="204">
        <f>N590-O590</f>
        <v>-26602241</v>
      </c>
      <c r="B590" s="246" t="s">
        <v>1348</v>
      </c>
      <c r="C590" s="246" t="s">
        <v>1349</v>
      </c>
      <c r="D590" s="247" t="s">
        <v>3668</v>
      </c>
      <c r="E590" s="247"/>
      <c r="F590" s="247"/>
      <c r="G590" s="247"/>
      <c r="H590" s="248"/>
      <c r="I590" s="247"/>
      <c r="J590" s="247"/>
      <c r="K590" s="249"/>
      <c r="L590" s="250" t="s">
        <v>1350</v>
      </c>
      <c r="M590" s="251" t="s">
        <v>2962</v>
      </c>
      <c r="N590" s="252">
        <f>+N592+N614+N653+N656+N685+N697+N702</f>
        <v>77775738</v>
      </c>
      <c r="O590" s="252">
        <f>+O592+O614+O653+O656+O685+O697+O702</f>
        <v>104377979</v>
      </c>
      <c r="P590" s="253">
        <f>+O590-N590</f>
        <v>26602241</v>
      </c>
      <c r="Q590" s="285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</row>
    <row r="591" spans="1:39" s="204" customFormat="1" x14ac:dyDescent="0.25">
      <c r="B591" s="230"/>
      <c r="C591" s="230"/>
      <c r="D591" s="230"/>
      <c r="E591" s="230"/>
      <c r="F591" s="230"/>
      <c r="G591" s="230"/>
      <c r="H591" s="231"/>
      <c r="I591" s="230"/>
      <c r="J591" s="230"/>
      <c r="K591" s="230"/>
      <c r="L591" s="232"/>
      <c r="M591" s="211"/>
      <c r="N591" s="254"/>
      <c r="O591" s="211"/>
      <c r="P591" s="211"/>
      <c r="Q591" s="211"/>
      <c r="R591" s="211"/>
      <c r="S591" s="211"/>
      <c r="T591" s="216"/>
      <c r="U591" s="216"/>
      <c r="V591" s="216"/>
      <c r="W591" s="216"/>
      <c r="X591" s="216"/>
      <c r="Y591" s="216"/>
      <c r="Z591" s="211"/>
      <c r="AA591" s="211"/>
    </row>
    <row r="592" spans="1:39" s="204" customFormat="1" x14ac:dyDescent="0.25">
      <c r="A592" s="204">
        <f>N592-O592</f>
        <v>-13602665</v>
      </c>
      <c r="B592" s="246" t="s">
        <v>1351</v>
      </c>
      <c r="C592" s="246" t="s">
        <v>1352</v>
      </c>
      <c r="D592" s="247" t="s">
        <v>3669</v>
      </c>
      <c r="E592" s="247"/>
      <c r="F592" s="247"/>
      <c r="G592" s="247"/>
      <c r="H592" s="248"/>
      <c r="I592" s="247"/>
      <c r="J592" s="247"/>
      <c r="K592" s="249"/>
      <c r="L592" s="276" t="s">
        <v>1353</v>
      </c>
      <c r="M592" s="251" t="s">
        <v>2962</v>
      </c>
      <c r="N592" s="252">
        <f>+SUM(N596:N598)+SUM(N601:N607)+N612</f>
        <v>328223</v>
      </c>
      <c r="O592" s="252">
        <f>+SUM(O596:O598)+SUM(O601:O607)+O612</f>
        <v>13930888</v>
      </c>
      <c r="P592" s="253">
        <f>+O592-N592</f>
        <v>13602665</v>
      </c>
      <c r="Q592" s="252">
        <f t="shared" ref="Q592:AM592" si="75">+SUM(Q596:Q598)+SUM(Q601:Q607)+Q612</f>
        <v>0</v>
      </c>
      <c r="R592" s="252">
        <f t="shared" si="75"/>
        <v>328223</v>
      </c>
      <c r="S592" s="252">
        <f t="shared" si="75"/>
        <v>0</v>
      </c>
      <c r="T592" s="252">
        <f t="shared" si="75"/>
        <v>0</v>
      </c>
      <c r="U592" s="252">
        <f t="shared" si="75"/>
        <v>13612612</v>
      </c>
      <c r="V592" s="252">
        <f t="shared" si="75"/>
        <v>240</v>
      </c>
      <c r="W592" s="252">
        <f t="shared" si="75"/>
        <v>0</v>
      </c>
      <c r="X592" s="252">
        <f t="shared" si="75"/>
        <v>9707</v>
      </c>
      <c r="Y592" s="252">
        <f t="shared" si="75"/>
        <v>13930888</v>
      </c>
      <c r="Z592" s="252">
        <f t="shared" si="75"/>
        <v>0</v>
      </c>
      <c r="AA592" s="252">
        <f t="shared" si="75"/>
        <v>0</v>
      </c>
      <c r="AB592" s="252">
        <f t="shared" si="75"/>
        <v>0</v>
      </c>
      <c r="AC592" s="252">
        <f t="shared" si="75"/>
        <v>0</v>
      </c>
      <c r="AD592" s="252">
        <f t="shared" si="75"/>
        <v>0</v>
      </c>
      <c r="AE592" s="252">
        <f t="shared" si="75"/>
        <v>0</v>
      </c>
      <c r="AF592" s="252">
        <f t="shared" si="75"/>
        <v>326081</v>
      </c>
      <c r="AG592" s="252">
        <f t="shared" si="75"/>
        <v>0</v>
      </c>
      <c r="AH592" s="252">
        <f t="shared" si="75"/>
        <v>1268</v>
      </c>
      <c r="AI592" s="252">
        <f t="shared" si="75"/>
        <v>634</v>
      </c>
      <c r="AJ592" s="252">
        <f t="shared" si="75"/>
        <v>13602905</v>
      </c>
      <c r="AK592" s="252">
        <f t="shared" si="75"/>
        <v>332888</v>
      </c>
      <c r="AL592" s="252">
        <f t="shared" si="75"/>
        <v>13598000</v>
      </c>
      <c r="AM592" s="252">
        <f t="shared" si="75"/>
        <v>0</v>
      </c>
    </row>
    <row r="593" spans="1:39" s="204" customFormat="1" x14ac:dyDescent="0.25">
      <c r="B593" s="216"/>
      <c r="C593" s="216"/>
      <c r="D593" s="226"/>
      <c r="E593" s="226"/>
      <c r="F593" s="226"/>
      <c r="G593" s="226"/>
      <c r="H593" s="227"/>
      <c r="I593" s="226"/>
      <c r="J593" s="226"/>
      <c r="K593" s="226"/>
      <c r="L593" s="241"/>
      <c r="M593" s="278"/>
      <c r="N593" s="279"/>
      <c r="O593" s="279"/>
      <c r="P593" s="279"/>
      <c r="Q593" s="211"/>
      <c r="R593" s="279"/>
      <c r="S593" s="279"/>
      <c r="T593" s="279"/>
      <c r="U593" s="279"/>
      <c r="V593" s="279"/>
      <c r="Y593" s="279"/>
      <c r="AA593" s="275"/>
      <c r="AB593" s="279"/>
      <c r="AC593" s="211"/>
      <c r="AD593" s="211"/>
    </row>
    <row r="594" spans="1:39" s="204" customFormat="1" ht="30" customHeight="1" x14ac:dyDescent="0.25">
      <c r="B594" s="211"/>
      <c r="C594" s="211"/>
      <c r="D594" s="211"/>
      <c r="E594" s="211"/>
      <c r="F594" s="211"/>
      <c r="G594" s="211"/>
      <c r="H594" s="353"/>
      <c r="I594" s="211"/>
      <c r="J594" s="211"/>
      <c r="K594" s="211"/>
      <c r="L594" s="232"/>
      <c r="M594" s="211"/>
      <c r="N594" s="334"/>
      <c r="O594" s="211"/>
      <c r="P594" s="211"/>
      <c r="Q594" s="211"/>
      <c r="R594" s="211"/>
      <c r="S594" s="902" t="s">
        <v>3495</v>
      </c>
      <c r="T594" s="902"/>
      <c r="U594" s="902"/>
      <c r="V594" s="335" t="s">
        <v>3496</v>
      </c>
      <c r="W594" s="336"/>
      <c r="X594" s="335" t="s">
        <v>3496</v>
      </c>
      <c r="AA594" s="211"/>
      <c r="AB594" s="211"/>
      <c r="AC594" s="285"/>
      <c r="AD594" s="211"/>
      <c r="AE594" s="211"/>
      <c r="AF594" s="904" t="str">
        <f>+AE486</f>
        <v>VALORE NOMINALE DEI CREDITI AL 31/12/2020 PER ANNO DI FORMAZIONE</v>
      </c>
      <c r="AG594" s="904"/>
      <c r="AH594" s="904"/>
      <c r="AI594" s="904"/>
      <c r="AJ594" s="904"/>
      <c r="AK594" s="905" t="str">
        <f>+AJ486</f>
        <v>VALORE NETTO DEI CREDITI AL 31/12/2020 PER SCADENZA</v>
      </c>
      <c r="AL594" s="905"/>
      <c r="AM594" s="905"/>
    </row>
    <row r="595" spans="1:39" s="204" customFormat="1" ht="63.75" x14ac:dyDescent="0.25">
      <c r="B595" s="294" t="s">
        <v>2968</v>
      </c>
      <c r="C595" s="294" t="s">
        <v>2969</v>
      </c>
      <c r="D595" s="206" t="s">
        <v>72</v>
      </c>
      <c r="E595" s="206"/>
      <c r="F595" s="206"/>
      <c r="G595" s="207"/>
      <c r="H595" s="207"/>
      <c r="I595" s="207"/>
      <c r="J595" s="207" t="s">
        <v>2957</v>
      </c>
      <c r="K595" s="206" t="s">
        <v>82</v>
      </c>
      <c r="L595" s="261" t="s">
        <v>3670</v>
      </c>
      <c r="M595" s="256"/>
      <c r="N595" s="256" t="str">
        <f>N$15</f>
        <v>Valore netto al 31/12/2019</v>
      </c>
      <c r="O595" s="256" t="str">
        <f>O$15</f>
        <v>Valore netto al 31/12/2020</v>
      </c>
      <c r="P595" s="256" t="str">
        <f>P$15</f>
        <v>Variazione</v>
      </c>
      <c r="Q595" s="262" t="s">
        <v>2971</v>
      </c>
      <c r="R595" s="262" t="str">
        <f>+R487</f>
        <v>Valore iniziale LORDO al 31/12/2019</v>
      </c>
      <c r="S595" s="337" t="s">
        <v>2972</v>
      </c>
      <c r="T595" s="337" t="s">
        <v>3497</v>
      </c>
      <c r="U595" s="337" t="s">
        <v>3495</v>
      </c>
      <c r="V595" s="338" t="s">
        <v>3498</v>
      </c>
      <c r="W595" s="262" t="s">
        <v>2975</v>
      </c>
      <c r="X595" s="338" t="s">
        <v>3499</v>
      </c>
      <c r="Y595" s="262" t="str">
        <f>+Y487</f>
        <v>Valore finale LORDO al 31/12/2020</v>
      </c>
      <c r="Z595" s="377" t="s">
        <v>3671</v>
      </c>
      <c r="AA595" s="262" t="str">
        <f>+Z487</f>
        <v>Fondo svalutazione crediti al 31/12/2019</v>
      </c>
      <c r="AB595" s="262" t="s">
        <v>3500</v>
      </c>
      <c r="AC595" s="262" t="s">
        <v>3501</v>
      </c>
      <c r="AD595" s="262" t="s">
        <v>3502</v>
      </c>
      <c r="AE595" s="262" t="str">
        <f>+AD487</f>
        <v>Fondo svalutazione crediti al 31/12/2020</v>
      </c>
      <c r="AF595" s="339" t="s">
        <v>3503</v>
      </c>
      <c r="AG595" s="339" t="s">
        <v>3504</v>
      </c>
      <c r="AH595" s="339" t="s">
        <v>3505</v>
      </c>
      <c r="AI595" s="339" t="s">
        <v>3506</v>
      </c>
      <c r="AJ595" s="339" t="s">
        <v>3507</v>
      </c>
      <c r="AK595" s="340" t="s">
        <v>3508</v>
      </c>
      <c r="AL595" s="340" t="s">
        <v>3509</v>
      </c>
      <c r="AM595" s="340" t="s">
        <v>3510</v>
      </c>
    </row>
    <row r="596" spans="1:39" s="204" customFormat="1" x14ac:dyDescent="0.25">
      <c r="B596" s="246" t="s">
        <v>1354</v>
      </c>
      <c r="C596" s="287" t="s">
        <v>1355</v>
      </c>
      <c r="D596" s="274" t="s">
        <v>3672</v>
      </c>
      <c r="E596" s="274"/>
      <c r="F596" s="274"/>
      <c r="G596" s="283"/>
      <c r="H596" s="266"/>
      <c r="I596" s="274"/>
      <c r="J596" s="281"/>
      <c r="K596" s="281"/>
      <c r="L596" s="295" t="s">
        <v>1361</v>
      </c>
      <c r="M596" s="284" t="s">
        <v>2962</v>
      </c>
      <c r="N596" s="269">
        <f>+R596-AA596</f>
        <v>0</v>
      </c>
      <c r="O596" s="270">
        <f>+Y596-AE596</f>
        <v>0</v>
      </c>
      <c r="P596" s="271">
        <f t="shared" ref="P596:P612" si="76">+O596-N596</f>
        <v>0</v>
      </c>
      <c r="Q596" s="272">
        <f>+'NI-San_SP'!Q596+'NI-Soc_SP'!Q596+'NI-Ric_SP'!Q596</f>
        <v>0</v>
      </c>
      <c r="R596" s="272">
        <f>+'NI-San_SP'!R596+'NI-Soc_SP'!R596+'NI-Ric_SP'!R596</f>
        <v>0</v>
      </c>
      <c r="S596" s="272">
        <f>+'NI-San_SP'!S596+'NI-Soc_SP'!S596+'NI-Ric_SP'!S596</f>
        <v>0</v>
      </c>
      <c r="T596" s="272">
        <f>+'NI-San_SP'!T596+'NI-Soc_SP'!T596+'NI-Ric_SP'!T596</f>
        <v>0</v>
      </c>
      <c r="U596" s="272">
        <f>+'NI-San_SP'!U596+'NI-Soc_SP'!U596+'NI-Ric_SP'!U596</f>
        <v>0</v>
      </c>
      <c r="V596" s="272">
        <f>+'NI-San_SP'!V596+'NI-Soc_SP'!V596+'NI-Ric_SP'!V596</f>
        <v>0</v>
      </c>
      <c r="W596" s="272">
        <f>+'NI-San_SP'!W596+'NI-Soc_SP'!W596+'NI-Ric_SP'!W596</f>
        <v>0</v>
      </c>
      <c r="X596" s="272">
        <f>+'NI-San_SP'!X596+'NI-Soc_SP'!X596+'NI-Ric_SP'!X596</f>
        <v>0</v>
      </c>
      <c r="Y596" s="272">
        <f>+'NI-San_SP'!Y596+'NI-Soc_SP'!Y596+'NI-Ric_SP'!Y596</f>
        <v>0</v>
      </c>
      <c r="Z596" s="272">
        <f>+'NI-San_SP'!Z596+'NI-Soc_SP'!Z596+'NI-Ric_SP'!Z596</f>
        <v>0</v>
      </c>
      <c r="AA596" s="272">
        <f>+'NI-San_SP'!AA596+'NI-Soc_SP'!AA596+'NI-Ric_SP'!AA596</f>
        <v>0</v>
      </c>
      <c r="AB596" s="272">
        <f>+'NI-San_SP'!AB596+'NI-Soc_SP'!AB596+'NI-Ric_SP'!AB596</f>
        <v>0</v>
      </c>
      <c r="AC596" s="272">
        <f>+'NI-San_SP'!AC596+'NI-Soc_SP'!AC596+'NI-Ric_SP'!AC596</f>
        <v>0</v>
      </c>
      <c r="AD596" s="272">
        <f>+'NI-San_SP'!AD596+'NI-Soc_SP'!AD596+'NI-Ric_SP'!AD596</f>
        <v>0</v>
      </c>
      <c r="AE596" s="272">
        <f>+'NI-San_SP'!AE596+'NI-Soc_SP'!AE596+'NI-Ric_SP'!AE596</f>
        <v>0</v>
      </c>
      <c r="AF596" s="272">
        <f>+'NI-San_SP'!AF596+'NI-Soc_SP'!AF596+'NI-Ric_SP'!AF596</f>
        <v>0</v>
      </c>
      <c r="AG596" s="272">
        <f>+'NI-San_SP'!AG596+'NI-Soc_SP'!AG596+'NI-Ric_SP'!AG596</f>
        <v>0</v>
      </c>
      <c r="AH596" s="272">
        <f>+'NI-San_SP'!AH596+'NI-Soc_SP'!AH596+'NI-Ric_SP'!AH596</f>
        <v>0</v>
      </c>
      <c r="AI596" s="272">
        <f>+'NI-San_SP'!AI596+'NI-Soc_SP'!AI596+'NI-Ric_SP'!AI596</f>
        <v>0</v>
      </c>
      <c r="AJ596" s="272">
        <f>+'NI-San_SP'!AJ596+'NI-Soc_SP'!AJ596+'NI-Ric_SP'!AJ596</f>
        <v>0</v>
      </c>
      <c r="AK596" s="272">
        <f>+'NI-San_SP'!AK596+'NI-Soc_SP'!AK596+'NI-Ric_SP'!AK596</f>
        <v>0</v>
      </c>
      <c r="AL596" s="272">
        <f>+'NI-San_SP'!AL596+'NI-Soc_SP'!AL596+'NI-Ric_SP'!AL596</f>
        <v>0</v>
      </c>
      <c r="AM596" s="272">
        <f>+'NI-San_SP'!AM596+'NI-Soc_SP'!AM596+'NI-Ric_SP'!AM596</f>
        <v>0</v>
      </c>
    </row>
    <row r="597" spans="1:39" s="204" customFormat="1" x14ac:dyDescent="0.25">
      <c r="B597" s="246" t="s">
        <v>1362</v>
      </c>
      <c r="C597" s="287" t="s">
        <v>1363</v>
      </c>
      <c r="D597" s="274" t="s">
        <v>3673</v>
      </c>
      <c r="E597" s="274"/>
      <c r="F597" s="274"/>
      <c r="G597" s="283"/>
      <c r="H597" s="266"/>
      <c r="I597" s="274"/>
      <c r="J597" s="281"/>
      <c r="K597" s="281"/>
      <c r="L597" s="295" t="s">
        <v>1366</v>
      </c>
      <c r="M597" s="284" t="s">
        <v>2962</v>
      </c>
      <c r="N597" s="269">
        <f>+R597-AA597</f>
        <v>0</v>
      </c>
      <c r="O597" s="270">
        <f>+Y597-AE597</f>
        <v>0</v>
      </c>
      <c r="P597" s="271">
        <f t="shared" si="76"/>
        <v>0</v>
      </c>
      <c r="Q597" s="272">
        <f>+'NI-San_SP'!Q597+'NI-Soc_SP'!Q597+'NI-Ric_SP'!Q597</f>
        <v>0</v>
      </c>
      <c r="R597" s="272">
        <f>+'NI-San_SP'!R597+'NI-Soc_SP'!R597+'NI-Ric_SP'!R597</f>
        <v>0</v>
      </c>
      <c r="S597" s="272">
        <f>+'NI-San_SP'!S597+'NI-Soc_SP'!S597+'NI-Ric_SP'!S597</f>
        <v>0</v>
      </c>
      <c r="T597" s="272">
        <f>+'NI-San_SP'!T597+'NI-Soc_SP'!T597+'NI-Ric_SP'!T597</f>
        <v>0</v>
      </c>
      <c r="U597" s="272">
        <f>+'NI-San_SP'!U597+'NI-Soc_SP'!U597+'NI-Ric_SP'!U597</f>
        <v>0</v>
      </c>
      <c r="V597" s="272">
        <f>+'NI-San_SP'!V597+'NI-Soc_SP'!V597+'NI-Ric_SP'!V597</f>
        <v>0</v>
      </c>
      <c r="W597" s="272">
        <f>+'NI-San_SP'!W597+'NI-Soc_SP'!W597+'NI-Ric_SP'!W597</f>
        <v>0</v>
      </c>
      <c r="X597" s="272">
        <f>+'NI-San_SP'!X597+'NI-Soc_SP'!X597+'NI-Ric_SP'!X597</f>
        <v>0</v>
      </c>
      <c r="Y597" s="272">
        <f>+'NI-San_SP'!Y597+'NI-Soc_SP'!Y597+'NI-Ric_SP'!Y597</f>
        <v>0</v>
      </c>
      <c r="Z597" s="272">
        <f>+'NI-San_SP'!Z597+'NI-Soc_SP'!Z597+'NI-Ric_SP'!Z597</f>
        <v>0</v>
      </c>
      <c r="AA597" s="272">
        <f>+'NI-San_SP'!AA597+'NI-Soc_SP'!AA597+'NI-Ric_SP'!AA597</f>
        <v>0</v>
      </c>
      <c r="AB597" s="272">
        <f>+'NI-San_SP'!AB597+'NI-Soc_SP'!AB597+'NI-Ric_SP'!AB597</f>
        <v>0</v>
      </c>
      <c r="AC597" s="272">
        <f>+'NI-San_SP'!AC597+'NI-Soc_SP'!AC597+'NI-Ric_SP'!AC597</f>
        <v>0</v>
      </c>
      <c r="AD597" s="272">
        <f>+'NI-San_SP'!AD597+'NI-Soc_SP'!AD597+'NI-Ric_SP'!AD597</f>
        <v>0</v>
      </c>
      <c r="AE597" s="272">
        <f>+'NI-San_SP'!AE597+'NI-Soc_SP'!AE597+'NI-Ric_SP'!AE597</f>
        <v>0</v>
      </c>
      <c r="AF597" s="272">
        <f>+'NI-San_SP'!AF597+'NI-Soc_SP'!AF597+'NI-Ric_SP'!AF597</f>
        <v>0</v>
      </c>
      <c r="AG597" s="272">
        <f>+'NI-San_SP'!AG597+'NI-Soc_SP'!AG597+'NI-Ric_SP'!AG597</f>
        <v>0</v>
      </c>
      <c r="AH597" s="272">
        <f>+'NI-San_SP'!AH597+'NI-Soc_SP'!AH597+'NI-Ric_SP'!AH597</f>
        <v>0</v>
      </c>
      <c r="AI597" s="272">
        <f>+'NI-San_SP'!AI597+'NI-Soc_SP'!AI597+'NI-Ric_SP'!AI597</f>
        <v>0</v>
      </c>
      <c r="AJ597" s="272">
        <f>+'NI-San_SP'!AJ597+'NI-Soc_SP'!AJ597+'NI-Ric_SP'!AJ597</f>
        <v>0</v>
      </c>
      <c r="AK597" s="272">
        <f>+'NI-San_SP'!AK597+'NI-Soc_SP'!AK597+'NI-Ric_SP'!AK597</f>
        <v>0</v>
      </c>
      <c r="AL597" s="272">
        <f>+'NI-San_SP'!AL597+'NI-Soc_SP'!AL597+'NI-Ric_SP'!AL597</f>
        <v>0</v>
      </c>
      <c r="AM597" s="272">
        <f>+'NI-San_SP'!AM597+'NI-Soc_SP'!AM597+'NI-Ric_SP'!AM597</f>
        <v>0</v>
      </c>
    </row>
    <row r="598" spans="1:39" s="204" customFormat="1" ht="15" customHeight="1" x14ac:dyDescent="0.25">
      <c r="B598" s="246" t="s">
        <v>1367</v>
      </c>
      <c r="C598" s="287" t="s">
        <v>1368</v>
      </c>
      <c r="D598" s="274" t="s">
        <v>3674</v>
      </c>
      <c r="E598" s="274"/>
      <c r="F598" s="274"/>
      <c r="G598" s="283"/>
      <c r="H598" s="266"/>
      <c r="I598" s="274"/>
      <c r="J598" s="281"/>
      <c r="K598" s="281"/>
      <c r="L598" s="295" t="s">
        <v>1369</v>
      </c>
      <c r="M598" s="284" t="s">
        <v>2962</v>
      </c>
      <c r="N598" s="272">
        <f>SUM(N599:N600)</f>
        <v>0</v>
      </c>
      <c r="O598" s="272">
        <f>SUM(O599:O600)</f>
        <v>0</v>
      </c>
      <c r="P598" s="378">
        <f t="shared" si="76"/>
        <v>0</v>
      </c>
      <c r="Q598" s="272">
        <f>+'NI-San_SP'!Q598+'NI-Soc_SP'!Q598+'NI-Ric_SP'!Q598</f>
        <v>0</v>
      </c>
      <c r="R598" s="272">
        <f>+'NI-San_SP'!R598+'NI-Soc_SP'!R598+'NI-Ric_SP'!R598</f>
        <v>0</v>
      </c>
      <c r="S598" s="272">
        <f>+'NI-San_SP'!S598+'NI-Soc_SP'!S598+'NI-Ric_SP'!S598</f>
        <v>0</v>
      </c>
      <c r="T598" s="272">
        <f>+'NI-San_SP'!T598+'NI-Soc_SP'!T598+'NI-Ric_SP'!T598</f>
        <v>0</v>
      </c>
      <c r="U598" s="272">
        <f>+'NI-San_SP'!U598+'NI-Soc_SP'!U598+'NI-Ric_SP'!U598</f>
        <v>0</v>
      </c>
      <c r="V598" s="272">
        <f>+'NI-San_SP'!V598+'NI-Soc_SP'!V598+'NI-Ric_SP'!V598</f>
        <v>0</v>
      </c>
      <c r="W598" s="272">
        <f>+'NI-San_SP'!W598+'NI-Soc_SP'!W598+'NI-Ric_SP'!W598</f>
        <v>0</v>
      </c>
      <c r="X598" s="272">
        <f>+'NI-San_SP'!X598+'NI-Soc_SP'!X598+'NI-Ric_SP'!X598</f>
        <v>0</v>
      </c>
      <c r="Y598" s="272">
        <f>+'NI-San_SP'!Y598+'NI-Soc_SP'!Y598+'NI-Ric_SP'!Y598</f>
        <v>0</v>
      </c>
      <c r="Z598" s="272">
        <f>+'NI-San_SP'!Z598+'NI-Soc_SP'!Z598+'NI-Ric_SP'!Z598</f>
        <v>0</v>
      </c>
      <c r="AA598" s="272">
        <f>+'NI-San_SP'!AA598+'NI-Soc_SP'!AA598+'NI-Ric_SP'!AA598</f>
        <v>0</v>
      </c>
      <c r="AB598" s="272">
        <f>+'NI-San_SP'!AB598+'NI-Soc_SP'!AB598+'NI-Ric_SP'!AB598</f>
        <v>0</v>
      </c>
      <c r="AC598" s="272">
        <f>+'NI-San_SP'!AC598+'NI-Soc_SP'!AC598+'NI-Ric_SP'!AC598</f>
        <v>0</v>
      </c>
      <c r="AD598" s="272">
        <f>+'NI-San_SP'!AD598+'NI-Soc_SP'!AD598+'NI-Ric_SP'!AD598</f>
        <v>0</v>
      </c>
      <c r="AE598" s="272">
        <f>+'NI-San_SP'!AE598+'NI-Soc_SP'!AE598+'NI-Ric_SP'!AE598</f>
        <v>0</v>
      </c>
      <c r="AF598" s="272">
        <f>+'NI-San_SP'!AF598+'NI-Soc_SP'!AF598+'NI-Ric_SP'!AF598</f>
        <v>0</v>
      </c>
      <c r="AG598" s="272">
        <f>+'NI-San_SP'!AG598+'NI-Soc_SP'!AG598+'NI-Ric_SP'!AG598</f>
        <v>0</v>
      </c>
      <c r="AH598" s="272">
        <f>+'NI-San_SP'!AH598+'NI-Soc_SP'!AH598+'NI-Ric_SP'!AH598</f>
        <v>0</v>
      </c>
      <c r="AI598" s="272">
        <f>+'NI-San_SP'!AI598+'NI-Soc_SP'!AI598+'NI-Ric_SP'!AI598</f>
        <v>0</v>
      </c>
      <c r="AJ598" s="272">
        <f>+'NI-San_SP'!AJ598+'NI-Soc_SP'!AJ598+'NI-Ric_SP'!AJ598</f>
        <v>0</v>
      </c>
      <c r="AK598" s="272">
        <f>+'NI-San_SP'!AK598+'NI-Soc_SP'!AK598+'NI-Ric_SP'!AK598</f>
        <v>0</v>
      </c>
      <c r="AL598" s="272">
        <f>+'NI-San_SP'!AL598+'NI-Soc_SP'!AL598+'NI-Ric_SP'!AL598</f>
        <v>0</v>
      </c>
      <c r="AM598" s="272">
        <f>+'NI-San_SP'!AM598+'NI-Soc_SP'!AM598+'NI-Ric_SP'!AM598</f>
        <v>0</v>
      </c>
    </row>
    <row r="599" spans="1:39" s="204" customFormat="1" ht="15" customHeight="1" x14ac:dyDescent="0.25">
      <c r="B599" s="246" t="s">
        <v>1370</v>
      </c>
      <c r="C599" s="287" t="s">
        <v>1371</v>
      </c>
      <c r="D599" s="274" t="s">
        <v>3675</v>
      </c>
      <c r="E599" s="274"/>
      <c r="F599" s="274"/>
      <c r="G599" s="283"/>
      <c r="H599" s="266"/>
      <c r="I599" s="274"/>
      <c r="J599" s="281"/>
      <c r="K599" s="281"/>
      <c r="L599" s="379" t="s">
        <v>1374</v>
      </c>
      <c r="M599" s="284" t="s">
        <v>2962</v>
      </c>
      <c r="N599" s="269">
        <f t="shared" ref="N599:N612" si="77">+R599-AA599</f>
        <v>0</v>
      </c>
      <c r="O599" s="270">
        <f t="shared" ref="O599:O612" si="78">+Y599-AE599</f>
        <v>0</v>
      </c>
      <c r="P599" s="271">
        <f t="shared" si="76"/>
        <v>0</v>
      </c>
      <c r="Q599" s="272">
        <f>+'NI-San_SP'!Q599+'NI-Soc_SP'!Q599+'NI-Ric_SP'!Q599</f>
        <v>0</v>
      </c>
      <c r="R599" s="272">
        <f>+'NI-San_SP'!R599+'NI-Soc_SP'!R599+'NI-Ric_SP'!R599</f>
        <v>0</v>
      </c>
      <c r="S599" s="272">
        <f>+'NI-San_SP'!S599+'NI-Soc_SP'!S599+'NI-Ric_SP'!S599</f>
        <v>0</v>
      </c>
      <c r="T599" s="272">
        <f>+'NI-San_SP'!T599+'NI-Soc_SP'!T599+'NI-Ric_SP'!T599</f>
        <v>0</v>
      </c>
      <c r="U599" s="272">
        <f>+'NI-San_SP'!U599+'NI-Soc_SP'!U599+'NI-Ric_SP'!U599</f>
        <v>0</v>
      </c>
      <c r="V599" s="272">
        <f>+'NI-San_SP'!V599+'NI-Soc_SP'!V599+'NI-Ric_SP'!V599</f>
        <v>0</v>
      </c>
      <c r="W599" s="272">
        <f>+'NI-San_SP'!W599+'NI-Soc_SP'!W599+'NI-Ric_SP'!W599</f>
        <v>0</v>
      </c>
      <c r="X599" s="272">
        <f>+'NI-San_SP'!X599+'NI-Soc_SP'!X599+'NI-Ric_SP'!X599</f>
        <v>0</v>
      </c>
      <c r="Y599" s="272">
        <f>+'NI-San_SP'!Y599+'NI-Soc_SP'!Y599+'NI-Ric_SP'!Y599</f>
        <v>0</v>
      </c>
      <c r="Z599" s="272">
        <f>+'NI-San_SP'!Z599+'NI-Soc_SP'!Z599+'NI-Ric_SP'!Z599</f>
        <v>0</v>
      </c>
      <c r="AA599" s="272">
        <f>+'NI-San_SP'!AA599+'NI-Soc_SP'!AA599+'NI-Ric_SP'!AA599</f>
        <v>0</v>
      </c>
      <c r="AB599" s="272">
        <f>+'NI-San_SP'!AB599+'NI-Soc_SP'!AB599+'NI-Ric_SP'!AB599</f>
        <v>0</v>
      </c>
      <c r="AC599" s="272">
        <f>+'NI-San_SP'!AC599+'NI-Soc_SP'!AC599+'NI-Ric_SP'!AC599</f>
        <v>0</v>
      </c>
      <c r="AD599" s="272">
        <f>+'NI-San_SP'!AD599+'NI-Soc_SP'!AD599+'NI-Ric_SP'!AD599</f>
        <v>0</v>
      </c>
      <c r="AE599" s="272">
        <f>+'NI-San_SP'!AE599+'NI-Soc_SP'!AE599+'NI-Ric_SP'!AE599</f>
        <v>0</v>
      </c>
      <c r="AF599" s="272">
        <f>+'NI-San_SP'!AF599+'NI-Soc_SP'!AF599+'NI-Ric_SP'!AF599</f>
        <v>0</v>
      </c>
      <c r="AG599" s="272">
        <f>+'NI-San_SP'!AG599+'NI-Soc_SP'!AG599+'NI-Ric_SP'!AG599</f>
        <v>0</v>
      </c>
      <c r="AH599" s="272">
        <f>+'NI-San_SP'!AH599+'NI-Soc_SP'!AH599+'NI-Ric_SP'!AH599</f>
        <v>0</v>
      </c>
      <c r="AI599" s="272">
        <f>+'NI-San_SP'!AI599+'NI-Soc_SP'!AI599+'NI-Ric_SP'!AI599</f>
        <v>0</v>
      </c>
      <c r="AJ599" s="272">
        <f>+'NI-San_SP'!AJ599+'NI-Soc_SP'!AJ599+'NI-Ric_SP'!AJ599</f>
        <v>0</v>
      </c>
      <c r="AK599" s="272">
        <f>+'NI-San_SP'!AK599+'NI-Soc_SP'!AK599+'NI-Ric_SP'!AK599</f>
        <v>0</v>
      </c>
      <c r="AL599" s="272">
        <f>+'NI-San_SP'!AL599+'NI-Soc_SP'!AL599+'NI-Ric_SP'!AL599</f>
        <v>0</v>
      </c>
      <c r="AM599" s="272">
        <f>+'NI-San_SP'!AM599+'NI-Soc_SP'!AM599+'NI-Ric_SP'!AM599</f>
        <v>0</v>
      </c>
    </row>
    <row r="600" spans="1:39" s="204" customFormat="1" ht="15" customHeight="1" x14ac:dyDescent="0.25">
      <c r="B600" s="246" t="s">
        <v>1375</v>
      </c>
      <c r="C600" s="287" t="s">
        <v>1376</v>
      </c>
      <c r="D600" s="274" t="s">
        <v>3676</v>
      </c>
      <c r="E600" s="274"/>
      <c r="F600" s="274"/>
      <c r="G600" s="283"/>
      <c r="H600" s="266"/>
      <c r="I600" s="274"/>
      <c r="J600" s="281"/>
      <c r="K600" s="281"/>
      <c r="L600" s="379" t="s">
        <v>1377</v>
      </c>
      <c r="M600" s="284" t="s">
        <v>2962</v>
      </c>
      <c r="N600" s="269">
        <f t="shared" si="77"/>
        <v>0</v>
      </c>
      <c r="O600" s="270">
        <f t="shared" si="78"/>
        <v>0</v>
      </c>
      <c r="P600" s="271">
        <f t="shared" si="76"/>
        <v>0</v>
      </c>
      <c r="Q600" s="272">
        <f>+'NI-San_SP'!Q600+'NI-Soc_SP'!Q600+'NI-Ric_SP'!Q600</f>
        <v>0</v>
      </c>
      <c r="R600" s="272">
        <f>+'NI-San_SP'!R600+'NI-Soc_SP'!R600+'NI-Ric_SP'!R600</f>
        <v>0</v>
      </c>
      <c r="S600" s="272">
        <f>+'NI-San_SP'!S600+'NI-Soc_SP'!S600+'NI-Ric_SP'!S600</f>
        <v>0</v>
      </c>
      <c r="T600" s="272">
        <f>+'NI-San_SP'!T600+'NI-Soc_SP'!T600+'NI-Ric_SP'!T600</f>
        <v>0</v>
      </c>
      <c r="U600" s="272">
        <f>+'NI-San_SP'!U600+'NI-Soc_SP'!U600+'NI-Ric_SP'!U600</f>
        <v>0</v>
      </c>
      <c r="V600" s="272">
        <f>+'NI-San_SP'!V600+'NI-Soc_SP'!V600+'NI-Ric_SP'!V600</f>
        <v>0</v>
      </c>
      <c r="W600" s="272">
        <f>+'NI-San_SP'!W600+'NI-Soc_SP'!W600+'NI-Ric_SP'!W600</f>
        <v>0</v>
      </c>
      <c r="X600" s="272">
        <f>+'NI-San_SP'!X600+'NI-Soc_SP'!X600+'NI-Ric_SP'!X600</f>
        <v>0</v>
      </c>
      <c r="Y600" s="272">
        <f>+'NI-San_SP'!Y600+'NI-Soc_SP'!Y600+'NI-Ric_SP'!Y600</f>
        <v>0</v>
      </c>
      <c r="Z600" s="272">
        <f>+'NI-San_SP'!Z600+'NI-Soc_SP'!Z600+'NI-Ric_SP'!Z600</f>
        <v>0</v>
      </c>
      <c r="AA600" s="272">
        <f>+'NI-San_SP'!AA600+'NI-Soc_SP'!AA600+'NI-Ric_SP'!AA600</f>
        <v>0</v>
      </c>
      <c r="AB600" s="272">
        <f>+'NI-San_SP'!AB600+'NI-Soc_SP'!AB600+'NI-Ric_SP'!AB600</f>
        <v>0</v>
      </c>
      <c r="AC600" s="272">
        <f>+'NI-San_SP'!AC600+'NI-Soc_SP'!AC600+'NI-Ric_SP'!AC600</f>
        <v>0</v>
      </c>
      <c r="AD600" s="272">
        <f>+'NI-San_SP'!AD600+'NI-Soc_SP'!AD600+'NI-Ric_SP'!AD600</f>
        <v>0</v>
      </c>
      <c r="AE600" s="272">
        <f>+'NI-San_SP'!AE600+'NI-Soc_SP'!AE600+'NI-Ric_SP'!AE600</f>
        <v>0</v>
      </c>
      <c r="AF600" s="272">
        <f>+'NI-San_SP'!AF600+'NI-Soc_SP'!AF600+'NI-Ric_SP'!AF600</f>
        <v>0</v>
      </c>
      <c r="AG600" s="272">
        <f>+'NI-San_SP'!AG600+'NI-Soc_SP'!AG600+'NI-Ric_SP'!AG600</f>
        <v>0</v>
      </c>
      <c r="AH600" s="272">
        <f>+'NI-San_SP'!AH600+'NI-Soc_SP'!AH600+'NI-Ric_SP'!AH600</f>
        <v>0</v>
      </c>
      <c r="AI600" s="272">
        <f>+'NI-San_SP'!AI600+'NI-Soc_SP'!AI600+'NI-Ric_SP'!AI600</f>
        <v>0</v>
      </c>
      <c r="AJ600" s="272">
        <f>+'NI-San_SP'!AJ600+'NI-Soc_SP'!AJ600+'NI-Ric_SP'!AJ600</f>
        <v>0</v>
      </c>
      <c r="AK600" s="272">
        <f>+'NI-San_SP'!AK600+'NI-Soc_SP'!AK600+'NI-Ric_SP'!AK600</f>
        <v>0</v>
      </c>
      <c r="AL600" s="272">
        <f>+'NI-San_SP'!AL600+'NI-Soc_SP'!AL600+'NI-Ric_SP'!AL600</f>
        <v>0</v>
      </c>
      <c r="AM600" s="272">
        <f>+'NI-San_SP'!AM600+'NI-Soc_SP'!AM600+'NI-Ric_SP'!AM600</f>
        <v>0</v>
      </c>
    </row>
    <row r="601" spans="1:39" s="204" customFormat="1" ht="15" customHeight="1" x14ac:dyDescent="0.25">
      <c r="B601" s="246" t="s">
        <v>1378</v>
      </c>
      <c r="C601" s="287" t="s">
        <v>1379</v>
      </c>
      <c r="D601" s="274" t="s">
        <v>3677</v>
      </c>
      <c r="E601" s="274"/>
      <c r="F601" s="274"/>
      <c r="G601" s="283"/>
      <c r="H601" s="266"/>
      <c r="I601" s="274"/>
      <c r="J601" s="281"/>
      <c r="K601" s="281"/>
      <c r="L601" s="295" t="s">
        <v>1381</v>
      </c>
      <c r="M601" s="284" t="s">
        <v>2962</v>
      </c>
      <c r="N601" s="269">
        <f t="shared" si="77"/>
        <v>0</v>
      </c>
      <c r="O601" s="270">
        <f t="shared" si="78"/>
        <v>0</v>
      </c>
      <c r="P601" s="271">
        <f t="shared" si="76"/>
        <v>0</v>
      </c>
      <c r="Q601" s="272">
        <f>+'NI-San_SP'!Q601+'NI-Soc_SP'!Q601+'NI-Ric_SP'!Q601</f>
        <v>0</v>
      </c>
      <c r="R601" s="272">
        <f>+'NI-San_SP'!R601+'NI-Soc_SP'!R601+'NI-Ric_SP'!R601</f>
        <v>0</v>
      </c>
      <c r="S601" s="272">
        <f>+'NI-San_SP'!S601+'NI-Soc_SP'!S601+'NI-Ric_SP'!S601</f>
        <v>0</v>
      </c>
      <c r="T601" s="272">
        <f>+'NI-San_SP'!T601+'NI-Soc_SP'!T601+'NI-Ric_SP'!T601</f>
        <v>0</v>
      </c>
      <c r="U601" s="272">
        <f>+'NI-San_SP'!U601+'NI-Soc_SP'!U601+'NI-Ric_SP'!U601</f>
        <v>0</v>
      </c>
      <c r="V601" s="272">
        <f>+'NI-San_SP'!V601+'NI-Soc_SP'!V601+'NI-Ric_SP'!V601</f>
        <v>0</v>
      </c>
      <c r="W601" s="272">
        <f>+'NI-San_SP'!W601+'NI-Soc_SP'!W601+'NI-Ric_SP'!W601</f>
        <v>0</v>
      </c>
      <c r="X601" s="272">
        <f>+'NI-San_SP'!X601+'NI-Soc_SP'!X601+'NI-Ric_SP'!X601</f>
        <v>0</v>
      </c>
      <c r="Y601" s="272">
        <f>+'NI-San_SP'!Y601+'NI-Soc_SP'!Y601+'NI-Ric_SP'!Y601</f>
        <v>0</v>
      </c>
      <c r="Z601" s="272">
        <f>+'NI-San_SP'!Z601+'NI-Soc_SP'!Z601+'NI-Ric_SP'!Z601</f>
        <v>0</v>
      </c>
      <c r="AA601" s="272">
        <f>+'NI-San_SP'!AA601+'NI-Soc_SP'!AA601+'NI-Ric_SP'!AA601</f>
        <v>0</v>
      </c>
      <c r="AB601" s="272">
        <f>+'NI-San_SP'!AB601+'NI-Soc_SP'!AB601+'NI-Ric_SP'!AB601</f>
        <v>0</v>
      </c>
      <c r="AC601" s="272">
        <f>+'NI-San_SP'!AC601+'NI-Soc_SP'!AC601+'NI-Ric_SP'!AC601</f>
        <v>0</v>
      </c>
      <c r="AD601" s="272">
        <f>+'NI-San_SP'!AD601+'NI-Soc_SP'!AD601+'NI-Ric_SP'!AD601</f>
        <v>0</v>
      </c>
      <c r="AE601" s="272">
        <f>+'NI-San_SP'!AE601+'NI-Soc_SP'!AE601+'NI-Ric_SP'!AE601</f>
        <v>0</v>
      </c>
      <c r="AF601" s="272">
        <f>+'NI-San_SP'!AF601+'NI-Soc_SP'!AF601+'NI-Ric_SP'!AF601</f>
        <v>0</v>
      </c>
      <c r="AG601" s="272">
        <f>+'NI-San_SP'!AG601+'NI-Soc_SP'!AG601+'NI-Ric_SP'!AG601</f>
        <v>0</v>
      </c>
      <c r="AH601" s="272">
        <f>+'NI-San_SP'!AH601+'NI-Soc_SP'!AH601+'NI-Ric_SP'!AH601</f>
        <v>0</v>
      </c>
      <c r="AI601" s="272">
        <f>+'NI-San_SP'!AI601+'NI-Soc_SP'!AI601+'NI-Ric_SP'!AI601</f>
        <v>0</v>
      </c>
      <c r="AJ601" s="272">
        <f>+'NI-San_SP'!AJ601+'NI-Soc_SP'!AJ601+'NI-Ric_SP'!AJ601</f>
        <v>0</v>
      </c>
      <c r="AK601" s="272">
        <f>+'NI-San_SP'!AK601+'NI-Soc_SP'!AK601+'NI-Ric_SP'!AK601</f>
        <v>0</v>
      </c>
      <c r="AL601" s="272">
        <f>+'NI-San_SP'!AL601+'NI-Soc_SP'!AL601+'NI-Ric_SP'!AL601</f>
        <v>0</v>
      </c>
      <c r="AM601" s="272">
        <f>+'NI-San_SP'!AM601+'NI-Soc_SP'!AM601+'NI-Ric_SP'!AM601</f>
        <v>0</v>
      </c>
    </row>
    <row r="602" spans="1:39" s="204" customFormat="1" ht="15" customHeight="1" x14ac:dyDescent="0.25">
      <c r="B602" s="246" t="s">
        <v>1382</v>
      </c>
      <c r="C602" s="287" t="s">
        <v>1383</v>
      </c>
      <c r="D602" s="274" t="s">
        <v>3678</v>
      </c>
      <c r="E602" s="274"/>
      <c r="F602" s="274"/>
      <c r="G602" s="283"/>
      <c r="H602" s="266"/>
      <c r="I602" s="274"/>
      <c r="J602" s="281"/>
      <c r="K602" s="281"/>
      <c r="L602" s="295" t="s">
        <v>1385</v>
      </c>
      <c r="M602" s="284" t="s">
        <v>2962</v>
      </c>
      <c r="N602" s="269">
        <f t="shared" si="77"/>
        <v>0</v>
      </c>
      <c r="O602" s="270">
        <f t="shared" si="78"/>
        <v>0</v>
      </c>
      <c r="P602" s="271">
        <f t="shared" si="76"/>
        <v>0</v>
      </c>
      <c r="Q602" s="272">
        <f>+'NI-San_SP'!Q602+'NI-Soc_SP'!Q602+'NI-Ric_SP'!Q602</f>
        <v>0</v>
      </c>
      <c r="R602" s="272">
        <f>+'NI-San_SP'!R602+'NI-Soc_SP'!R602+'NI-Ric_SP'!R602</f>
        <v>0</v>
      </c>
      <c r="S602" s="272">
        <f>+'NI-San_SP'!S602+'NI-Soc_SP'!S602+'NI-Ric_SP'!S602</f>
        <v>0</v>
      </c>
      <c r="T602" s="272">
        <f>+'NI-San_SP'!T602+'NI-Soc_SP'!T602+'NI-Ric_SP'!T602</f>
        <v>0</v>
      </c>
      <c r="U602" s="272">
        <f>+'NI-San_SP'!U602+'NI-Soc_SP'!U602+'NI-Ric_SP'!U602</f>
        <v>0</v>
      </c>
      <c r="V602" s="272">
        <f>+'NI-San_SP'!V602+'NI-Soc_SP'!V602+'NI-Ric_SP'!V602</f>
        <v>0</v>
      </c>
      <c r="W602" s="272">
        <f>+'NI-San_SP'!W602+'NI-Soc_SP'!W602+'NI-Ric_SP'!W602</f>
        <v>0</v>
      </c>
      <c r="X602" s="272">
        <f>+'NI-San_SP'!X602+'NI-Soc_SP'!X602+'NI-Ric_SP'!X602</f>
        <v>0</v>
      </c>
      <c r="Y602" s="272">
        <f>+'NI-San_SP'!Y602+'NI-Soc_SP'!Y602+'NI-Ric_SP'!Y602</f>
        <v>0</v>
      </c>
      <c r="Z602" s="272">
        <f>+'NI-San_SP'!Z602+'NI-Soc_SP'!Z602+'NI-Ric_SP'!Z602</f>
        <v>0</v>
      </c>
      <c r="AA602" s="272">
        <f>+'NI-San_SP'!AA602+'NI-Soc_SP'!AA602+'NI-Ric_SP'!AA602</f>
        <v>0</v>
      </c>
      <c r="AB602" s="272">
        <f>+'NI-San_SP'!AB602+'NI-Soc_SP'!AB602+'NI-Ric_SP'!AB602</f>
        <v>0</v>
      </c>
      <c r="AC602" s="272">
        <f>+'NI-San_SP'!AC602+'NI-Soc_SP'!AC602+'NI-Ric_SP'!AC602</f>
        <v>0</v>
      </c>
      <c r="AD602" s="272">
        <f>+'NI-San_SP'!AD602+'NI-Soc_SP'!AD602+'NI-Ric_SP'!AD602</f>
        <v>0</v>
      </c>
      <c r="AE602" s="272">
        <f>+'NI-San_SP'!AE602+'NI-Soc_SP'!AE602+'NI-Ric_SP'!AE602</f>
        <v>0</v>
      </c>
      <c r="AF602" s="272">
        <f>+'NI-San_SP'!AF602+'NI-Soc_SP'!AF602+'NI-Ric_SP'!AF602</f>
        <v>0</v>
      </c>
      <c r="AG602" s="272">
        <f>+'NI-San_SP'!AG602+'NI-Soc_SP'!AG602+'NI-Ric_SP'!AG602</f>
        <v>0</v>
      </c>
      <c r="AH602" s="272">
        <f>+'NI-San_SP'!AH602+'NI-Soc_SP'!AH602+'NI-Ric_SP'!AH602</f>
        <v>0</v>
      </c>
      <c r="AI602" s="272">
        <f>+'NI-San_SP'!AI602+'NI-Soc_SP'!AI602+'NI-Ric_SP'!AI602</f>
        <v>0</v>
      </c>
      <c r="AJ602" s="272">
        <f>+'NI-San_SP'!AJ602+'NI-Soc_SP'!AJ602+'NI-Ric_SP'!AJ602</f>
        <v>0</v>
      </c>
      <c r="AK602" s="272">
        <f>+'NI-San_SP'!AK602+'NI-Soc_SP'!AK602+'NI-Ric_SP'!AK602</f>
        <v>0</v>
      </c>
      <c r="AL602" s="272">
        <f>+'NI-San_SP'!AL602+'NI-Soc_SP'!AL602+'NI-Ric_SP'!AL602</f>
        <v>0</v>
      </c>
      <c r="AM602" s="272">
        <f>+'NI-San_SP'!AM602+'NI-Soc_SP'!AM602+'NI-Ric_SP'!AM602</f>
        <v>0</v>
      </c>
    </row>
    <row r="603" spans="1:39" s="204" customFormat="1" ht="15" customHeight="1" x14ac:dyDescent="0.25">
      <c r="B603" s="246" t="s">
        <v>1386</v>
      </c>
      <c r="C603" s="287" t="s">
        <v>1387</v>
      </c>
      <c r="D603" s="274" t="s">
        <v>3679</v>
      </c>
      <c r="E603" s="274"/>
      <c r="F603" s="274"/>
      <c r="G603" s="283"/>
      <c r="H603" s="266"/>
      <c r="I603" s="274"/>
      <c r="J603" s="281"/>
      <c r="K603" s="281"/>
      <c r="L603" s="295" t="s">
        <v>1389</v>
      </c>
      <c r="M603" s="284" t="s">
        <v>2962</v>
      </c>
      <c r="N603" s="269">
        <f t="shared" si="77"/>
        <v>0</v>
      </c>
      <c r="O603" s="270">
        <f t="shared" si="78"/>
        <v>0</v>
      </c>
      <c r="P603" s="271">
        <f t="shared" si="76"/>
        <v>0</v>
      </c>
      <c r="Q603" s="272">
        <f>+'NI-San_SP'!Q603+'NI-Soc_SP'!Q603+'NI-Ric_SP'!Q603</f>
        <v>0</v>
      </c>
      <c r="R603" s="272">
        <f>+'NI-San_SP'!R603+'NI-Soc_SP'!R603+'NI-Ric_SP'!R603</f>
        <v>0</v>
      </c>
      <c r="S603" s="272">
        <f>+'NI-San_SP'!S603+'NI-Soc_SP'!S603+'NI-Ric_SP'!S603</f>
        <v>0</v>
      </c>
      <c r="T603" s="272">
        <f>+'NI-San_SP'!T603+'NI-Soc_SP'!T603+'NI-Ric_SP'!T603</f>
        <v>0</v>
      </c>
      <c r="U603" s="272">
        <f>+'NI-San_SP'!U603+'NI-Soc_SP'!U603+'NI-Ric_SP'!U603</f>
        <v>0</v>
      </c>
      <c r="V603" s="272">
        <f>+'NI-San_SP'!V603+'NI-Soc_SP'!V603+'NI-Ric_SP'!V603</f>
        <v>0</v>
      </c>
      <c r="W603" s="272">
        <f>+'NI-San_SP'!W603+'NI-Soc_SP'!W603+'NI-Ric_SP'!W603</f>
        <v>0</v>
      </c>
      <c r="X603" s="272">
        <f>+'NI-San_SP'!X603+'NI-Soc_SP'!X603+'NI-Ric_SP'!X603</f>
        <v>0</v>
      </c>
      <c r="Y603" s="272">
        <f>+'NI-San_SP'!Y603+'NI-Soc_SP'!Y603+'NI-Ric_SP'!Y603</f>
        <v>0</v>
      </c>
      <c r="Z603" s="272">
        <f>+'NI-San_SP'!Z603+'NI-Soc_SP'!Z603+'NI-Ric_SP'!Z603</f>
        <v>0</v>
      </c>
      <c r="AA603" s="272">
        <f>+'NI-San_SP'!AA603+'NI-Soc_SP'!AA603+'NI-Ric_SP'!AA603</f>
        <v>0</v>
      </c>
      <c r="AB603" s="272">
        <f>+'NI-San_SP'!AB603+'NI-Soc_SP'!AB603+'NI-Ric_SP'!AB603</f>
        <v>0</v>
      </c>
      <c r="AC603" s="272">
        <f>+'NI-San_SP'!AC603+'NI-Soc_SP'!AC603+'NI-Ric_SP'!AC603</f>
        <v>0</v>
      </c>
      <c r="AD603" s="272">
        <f>+'NI-San_SP'!AD603+'NI-Soc_SP'!AD603+'NI-Ric_SP'!AD603</f>
        <v>0</v>
      </c>
      <c r="AE603" s="272">
        <f>+'NI-San_SP'!AE603+'NI-Soc_SP'!AE603+'NI-Ric_SP'!AE603</f>
        <v>0</v>
      </c>
      <c r="AF603" s="272">
        <f>+'NI-San_SP'!AF603+'NI-Soc_SP'!AF603+'NI-Ric_SP'!AF603</f>
        <v>0</v>
      </c>
      <c r="AG603" s="272">
        <f>+'NI-San_SP'!AG603+'NI-Soc_SP'!AG603+'NI-Ric_SP'!AG603</f>
        <v>0</v>
      </c>
      <c r="AH603" s="272">
        <f>+'NI-San_SP'!AH603+'NI-Soc_SP'!AH603+'NI-Ric_SP'!AH603</f>
        <v>0</v>
      </c>
      <c r="AI603" s="272">
        <f>+'NI-San_SP'!AI603+'NI-Soc_SP'!AI603+'NI-Ric_SP'!AI603</f>
        <v>0</v>
      </c>
      <c r="AJ603" s="272">
        <f>+'NI-San_SP'!AJ603+'NI-Soc_SP'!AJ603+'NI-Ric_SP'!AJ603</f>
        <v>0</v>
      </c>
      <c r="AK603" s="272">
        <f>+'NI-San_SP'!AK603+'NI-Soc_SP'!AK603+'NI-Ric_SP'!AK603</f>
        <v>0</v>
      </c>
      <c r="AL603" s="272">
        <f>+'NI-San_SP'!AL603+'NI-Soc_SP'!AL603+'NI-Ric_SP'!AL603</f>
        <v>0</v>
      </c>
      <c r="AM603" s="272">
        <f>+'NI-San_SP'!AM603+'NI-Soc_SP'!AM603+'NI-Ric_SP'!AM603</f>
        <v>0</v>
      </c>
    </row>
    <row r="604" spans="1:39" s="204" customFormat="1" x14ac:dyDescent="0.25">
      <c r="B604" s="246" t="s">
        <v>1390</v>
      </c>
      <c r="C604" s="287" t="s">
        <v>1391</v>
      </c>
      <c r="D604" s="274" t="s">
        <v>3680</v>
      </c>
      <c r="E604" s="274"/>
      <c r="F604" s="274"/>
      <c r="G604" s="283"/>
      <c r="H604" s="266"/>
      <c r="I604" s="274"/>
      <c r="J604" s="281"/>
      <c r="K604" s="281"/>
      <c r="L604" s="295" t="s">
        <v>1393</v>
      </c>
      <c r="M604" s="284" t="s">
        <v>2962</v>
      </c>
      <c r="N604" s="269">
        <f t="shared" si="77"/>
        <v>328223</v>
      </c>
      <c r="O604" s="270">
        <f t="shared" si="78"/>
        <v>332888</v>
      </c>
      <c r="P604" s="271">
        <f t="shared" si="76"/>
        <v>4665</v>
      </c>
      <c r="Q604" s="272">
        <f>+'NI-San_SP'!Q604+'NI-Soc_SP'!Q604+'NI-Ric_SP'!Q604</f>
        <v>0</v>
      </c>
      <c r="R604" s="272">
        <f>+'NI-San_SP'!R604+'NI-Soc_SP'!R604+'NI-Ric_SP'!R604</f>
        <v>328223</v>
      </c>
      <c r="S604" s="272">
        <f>+'NI-San_SP'!S604+'NI-Soc_SP'!S604+'NI-Ric_SP'!S604</f>
        <v>0</v>
      </c>
      <c r="T604" s="272">
        <f>+'NI-San_SP'!T604+'NI-Soc_SP'!T604+'NI-Ric_SP'!T604</f>
        <v>0</v>
      </c>
      <c r="U604" s="272">
        <f>+'NI-San_SP'!U604+'NI-Soc_SP'!U604+'NI-Ric_SP'!U604</f>
        <v>14612</v>
      </c>
      <c r="V604" s="272">
        <f>+'NI-San_SP'!V604+'NI-Soc_SP'!V604+'NI-Ric_SP'!V604</f>
        <v>240</v>
      </c>
      <c r="W604" s="272">
        <f>+'NI-San_SP'!W604+'NI-Soc_SP'!W604+'NI-Ric_SP'!W604</f>
        <v>0</v>
      </c>
      <c r="X604" s="272">
        <f>+'NI-San_SP'!X604+'NI-Soc_SP'!X604+'NI-Ric_SP'!X604</f>
        <v>9707</v>
      </c>
      <c r="Y604" s="272">
        <f>+'NI-San_SP'!Y604+'NI-Soc_SP'!Y604+'NI-Ric_SP'!Y604</f>
        <v>332888</v>
      </c>
      <c r="Z604" s="272">
        <f>+'NI-San_SP'!Z604+'NI-Soc_SP'!Z604+'NI-Ric_SP'!Z604</f>
        <v>0</v>
      </c>
      <c r="AA604" s="272">
        <f>+'NI-San_SP'!AA604+'NI-Soc_SP'!AA604+'NI-Ric_SP'!AA604</f>
        <v>0</v>
      </c>
      <c r="AB604" s="272">
        <f>+'NI-San_SP'!AB604+'NI-Soc_SP'!AB604+'NI-Ric_SP'!AB604</f>
        <v>0</v>
      </c>
      <c r="AC604" s="272">
        <f>+'NI-San_SP'!AC604+'NI-Soc_SP'!AC604+'NI-Ric_SP'!AC604</f>
        <v>0</v>
      </c>
      <c r="AD604" s="272">
        <f>+'NI-San_SP'!AD604+'NI-Soc_SP'!AD604+'NI-Ric_SP'!AD604</f>
        <v>0</v>
      </c>
      <c r="AE604" s="272">
        <f>+'NI-San_SP'!AE604+'NI-Soc_SP'!AE604+'NI-Ric_SP'!AE604</f>
        <v>0</v>
      </c>
      <c r="AF604" s="272">
        <f>+'NI-San_SP'!AF604+'NI-Soc_SP'!AF604+'NI-Ric_SP'!AF604</f>
        <v>326081</v>
      </c>
      <c r="AG604" s="272">
        <f>+'NI-San_SP'!AG604+'NI-Soc_SP'!AG604+'NI-Ric_SP'!AG604</f>
        <v>0</v>
      </c>
      <c r="AH604" s="272">
        <f>+'NI-San_SP'!AH604+'NI-Soc_SP'!AH604+'NI-Ric_SP'!AH604</f>
        <v>1268</v>
      </c>
      <c r="AI604" s="272">
        <f>+'NI-San_SP'!AI604+'NI-Soc_SP'!AI604+'NI-Ric_SP'!AI604</f>
        <v>634</v>
      </c>
      <c r="AJ604" s="272">
        <f>+'NI-San_SP'!AJ604+'NI-Soc_SP'!AJ604+'NI-Ric_SP'!AJ604</f>
        <v>4905</v>
      </c>
      <c r="AK604" s="272">
        <f>+'NI-San_SP'!AK604+'NI-Soc_SP'!AK604+'NI-Ric_SP'!AK604</f>
        <v>332888</v>
      </c>
      <c r="AL604" s="272">
        <f>+'NI-San_SP'!AL604+'NI-Soc_SP'!AL604+'NI-Ric_SP'!AL604</f>
        <v>0</v>
      </c>
      <c r="AM604" s="272">
        <f>+'NI-San_SP'!AM604+'NI-Soc_SP'!AM604+'NI-Ric_SP'!AM604</f>
        <v>0</v>
      </c>
    </row>
    <row r="605" spans="1:39" s="204" customFormat="1" x14ac:dyDescent="0.25">
      <c r="A605" s="204" t="s">
        <v>3681</v>
      </c>
      <c r="B605" s="246" t="s">
        <v>1395</v>
      </c>
      <c r="C605" s="287" t="s">
        <v>1396</v>
      </c>
      <c r="D605" s="274"/>
      <c r="E605" s="274"/>
      <c r="F605" s="274"/>
      <c r="G605" s="283"/>
      <c r="H605" s="266"/>
      <c r="I605" s="274"/>
      <c r="J605" s="281"/>
      <c r="K605" s="281"/>
      <c r="L605" s="380" t="s">
        <v>1398</v>
      </c>
      <c r="M605" s="284" t="s">
        <v>2962</v>
      </c>
      <c r="N605" s="269">
        <f t="shared" si="77"/>
        <v>0</v>
      </c>
      <c r="O605" s="270">
        <f t="shared" si="78"/>
        <v>0</v>
      </c>
      <c r="P605" s="271">
        <f t="shared" si="76"/>
        <v>0</v>
      </c>
      <c r="Q605" s="272">
        <f>+'NI-San_SP'!Q605+'NI-Soc_SP'!Q605+'NI-Ric_SP'!Q605</f>
        <v>0</v>
      </c>
      <c r="R605" s="272">
        <f>+'NI-San_SP'!R605+'NI-Soc_SP'!R605+'NI-Ric_SP'!R605</f>
        <v>0</v>
      </c>
      <c r="S605" s="272">
        <f>+'NI-San_SP'!S605+'NI-Soc_SP'!S605+'NI-Ric_SP'!S605</f>
        <v>0</v>
      </c>
      <c r="T605" s="272">
        <f>+'NI-San_SP'!T605+'NI-Soc_SP'!T605+'NI-Ric_SP'!T605</f>
        <v>0</v>
      </c>
      <c r="U605" s="272">
        <f>+'NI-San_SP'!U605+'NI-Soc_SP'!U605+'NI-Ric_SP'!U605</f>
        <v>0</v>
      </c>
      <c r="V605" s="272">
        <f>+'NI-San_SP'!V605+'NI-Soc_SP'!V605+'NI-Ric_SP'!V605</f>
        <v>0</v>
      </c>
      <c r="W605" s="272">
        <f>+'NI-San_SP'!W605+'NI-Soc_SP'!W605+'NI-Ric_SP'!W605</f>
        <v>0</v>
      </c>
      <c r="X605" s="272">
        <f>+'NI-San_SP'!X605+'NI-Soc_SP'!X605+'NI-Ric_SP'!X605</f>
        <v>0</v>
      </c>
      <c r="Y605" s="272">
        <f>+'NI-San_SP'!Y605+'NI-Soc_SP'!Y605+'NI-Ric_SP'!Y605</f>
        <v>0</v>
      </c>
      <c r="Z605" s="272">
        <f>+'NI-San_SP'!Z605+'NI-Soc_SP'!Z605+'NI-Ric_SP'!Z605</f>
        <v>0</v>
      </c>
      <c r="AA605" s="272">
        <f>+'NI-San_SP'!AA605+'NI-Soc_SP'!AA605+'NI-Ric_SP'!AA605</f>
        <v>0</v>
      </c>
      <c r="AB605" s="272">
        <f>+'NI-San_SP'!AB605+'NI-Soc_SP'!AB605+'NI-Ric_SP'!AB605</f>
        <v>0</v>
      </c>
      <c r="AC605" s="272">
        <f>+'NI-San_SP'!AC605+'NI-Soc_SP'!AC605+'NI-Ric_SP'!AC605</f>
        <v>0</v>
      </c>
      <c r="AD605" s="272">
        <f>+'NI-San_SP'!AD605+'NI-Soc_SP'!AD605+'NI-Ric_SP'!AD605</f>
        <v>0</v>
      </c>
      <c r="AE605" s="272">
        <f>+'NI-San_SP'!AE605+'NI-Soc_SP'!AE605+'NI-Ric_SP'!AE605</f>
        <v>0</v>
      </c>
      <c r="AF605" s="272">
        <f>+'NI-San_SP'!AF605+'NI-Soc_SP'!AF605+'NI-Ric_SP'!AF605</f>
        <v>0</v>
      </c>
      <c r="AG605" s="272">
        <f>+'NI-San_SP'!AG605+'NI-Soc_SP'!AG605+'NI-Ric_SP'!AG605</f>
        <v>0</v>
      </c>
      <c r="AH605" s="272">
        <f>+'NI-San_SP'!AH605+'NI-Soc_SP'!AH605+'NI-Ric_SP'!AH605</f>
        <v>0</v>
      </c>
      <c r="AI605" s="272">
        <f>+'NI-San_SP'!AI605+'NI-Soc_SP'!AI605+'NI-Ric_SP'!AI605</f>
        <v>0</v>
      </c>
      <c r="AJ605" s="272">
        <f>+'NI-San_SP'!AJ605+'NI-Soc_SP'!AJ605+'NI-Ric_SP'!AJ605</f>
        <v>0</v>
      </c>
      <c r="AK605" s="272">
        <f>+'NI-San_SP'!AK605+'NI-Soc_SP'!AK605+'NI-Ric_SP'!AK605</f>
        <v>0</v>
      </c>
      <c r="AL605" s="272">
        <f>+'NI-San_SP'!AL605+'NI-Soc_SP'!AL605+'NI-Ric_SP'!AL605</f>
        <v>0</v>
      </c>
      <c r="AM605" s="272">
        <f>+'NI-San_SP'!AM605+'NI-Soc_SP'!AM605+'NI-Ric_SP'!AM605</f>
        <v>0</v>
      </c>
    </row>
    <row r="606" spans="1:39" s="204" customFormat="1" ht="15" customHeight="1" x14ac:dyDescent="0.25">
      <c r="B606" s="246" t="s">
        <v>1399</v>
      </c>
      <c r="C606" s="287" t="s">
        <v>1400</v>
      </c>
      <c r="D606" s="274" t="s">
        <v>3682</v>
      </c>
      <c r="E606" s="274"/>
      <c r="F606" s="274"/>
      <c r="G606" s="283"/>
      <c r="H606" s="266"/>
      <c r="I606" s="274"/>
      <c r="J606" s="281"/>
      <c r="K606" s="281"/>
      <c r="L606" s="295" t="s">
        <v>3683</v>
      </c>
      <c r="M606" s="284" t="s">
        <v>2962</v>
      </c>
      <c r="N606" s="269">
        <f t="shared" si="77"/>
        <v>0</v>
      </c>
      <c r="O606" s="270">
        <f t="shared" si="78"/>
        <v>13598000</v>
      </c>
      <c r="P606" s="271">
        <f t="shared" si="76"/>
        <v>13598000</v>
      </c>
      <c r="Q606" s="272">
        <f>+'NI-San_SP'!Q606+'NI-Soc_SP'!Q606+'NI-Ric_SP'!Q606</f>
        <v>0</v>
      </c>
      <c r="R606" s="272">
        <f>+'NI-San_SP'!R606+'NI-Soc_SP'!R606+'NI-Ric_SP'!R606</f>
        <v>0</v>
      </c>
      <c r="S606" s="272">
        <f>+'NI-San_SP'!S606+'NI-Soc_SP'!S606+'NI-Ric_SP'!S606</f>
        <v>0</v>
      </c>
      <c r="T606" s="272">
        <f>+'NI-San_SP'!T606+'NI-Soc_SP'!T606+'NI-Ric_SP'!T606</f>
        <v>0</v>
      </c>
      <c r="U606" s="272">
        <f>+'NI-San_SP'!U606+'NI-Soc_SP'!U606+'NI-Ric_SP'!U606</f>
        <v>13598000</v>
      </c>
      <c r="V606" s="272">
        <f>+'NI-San_SP'!V606+'NI-Soc_SP'!V606+'NI-Ric_SP'!V606</f>
        <v>0</v>
      </c>
      <c r="W606" s="272">
        <f>+'NI-San_SP'!W606+'NI-Soc_SP'!W606+'NI-Ric_SP'!W606</f>
        <v>0</v>
      </c>
      <c r="X606" s="272">
        <f>+'NI-San_SP'!X606+'NI-Soc_SP'!X606+'NI-Ric_SP'!X606</f>
        <v>0</v>
      </c>
      <c r="Y606" s="272">
        <f>+'NI-San_SP'!Y606+'NI-Soc_SP'!Y606+'NI-Ric_SP'!Y606</f>
        <v>13598000</v>
      </c>
      <c r="Z606" s="272">
        <f>+'NI-San_SP'!Z606+'NI-Soc_SP'!Z606+'NI-Ric_SP'!Z606</f>
        <v>0</v>
      </c>
      <c r="AA606" s="272">
        <f>+'NI-San_SP'!AA606+'NI-Soc_SP'!AA606+'NI-Ric_SP'!AA606</f>
        <v>0</v>
      </c>
      <c r="AB606" s="272">
        <f>+'NI-San_SP'!AB606+'NI-Soc_SP'!AB606+'NI-Ric_SP'!AB606</f>
        <v>0</v>
      </c>
      <c r="AC606" s="272">
        <f>+'NI-San_SP'!AC606+'NI-Soc_SP'!AC606+'NI-Ric_SP'!AC606</f>
        <v>0</v>
      </c>
      <c r="AD606" s="272">
        <f>+'NI-San_SP'!AD606+'NI-Soc_SP'!AD606+'NI-Ric_SP'!AD606</f>
        <v>0</v>
      </c>
      <c r="AE606" s="272">
        <f>+'NI-San_SP'!AE606+'NI-Soc_SP'!AE606+'NI-Ric_SP'!AE606</f>
        <v>0</v>
      </c>
      <c r="AF606" s="272">
        <f>+'NI-San_SP'!AF606+'NI-Soc_SP'!AF606+'NI-Ric_SP'!AF606</f>
        <v>0</v>
      </c>
      <c r="AG606" s="272">
        <f>+'NI-San_SP'!AG606+'NI-Soc_SP'!AG606+'NI-Ric_SP'!AG606</f>
        <v>0</v>
      </c>
      <c r="AH606" s="272">
        <f>+'NI-San_SP'!AH606+'NI-Soc_SP'!AH606+'NI-Ric_SP'!AH606</f>
        <v>0</v>
      </c>
      <c r="AI606" s="272">
        <f>+'NI-San_SP'!AI606+'NI-Soc_SP'!AI606+'NI-Ric_SP'!AI606</f>
        <v>0</v>
      </c>
      <c r="AJ606" s="272">
        <f>+'NI-San_SP'!AJ606+'NI-Soc_SP'!AJ606+'NI-Ric_SP'!AJ606</f>
        <v>13598000</v>
      </c>
      <c r="AK606" s="272">
        <f>+'NI-San_SP'!AK606+'NI-Soc_SP'!AK606+'NI-Ric_SP'!AK606</f>
        <v>0</v>
      </c>
      <c r="AL606" s="272">
        <f>+'NI-San_SP'!AL606+'NI-Soc_SP'!AL606+'NI-Ric_SP'!AL606</f>
        <v>13598000</v>
      </c>
      <c r="AM606" s="272">
        <f>+'NI-San_SP'!AM606+'NI-Soc_SP'!AM606+'NI-Ric_SP'!AM606</f>
        <v>0</v>
      </c>
    </row>
    <row r="607" spans="1:39" s="204" customFormat="1" x14ac:dyDescent="0.25">
      <c r="B607" s="246" t="s">
        <v>1405</v>
      </c>
      <c r="C607" s="287" t="s">
        <v>1406</v>
      </c>
      <c r="D607" s="274" t="s">
        <v>3684</v>
      </c>
      <c r="E607" s="274"/>
      <c r="F607" s="274"/>
      <c r="G607" s="283"/>
      <c r="H607" s="266"/>
      <c r="I607" s="274"/>
      <c r="J607" s="281"/>
      <c r="K607" s="281"/>
      <c r="L607" s="295" t="s">
        <v>3685</v>
      </c>
      <c r="M607" s="284" t="s">
        <v>2962</v>
      </c>
      <c r="N607" s="272">
        <f t="shared" si="77"/>
        <v>0</v>
      </c>
      <c r="O607" s="272">
        <f t="shared" si="78"/>
        <v>0</v>
      </c>
      <c r="P607" s="378">
        <f t="shared" si="76"/>
        <v>0</v>
      </c>
      <c r="Q607" s="272">
        <f>+'NI-San_SP'!Q607+'NI-Soc_SP'!Q607+'NI-Ric_SP'!Q607</f>
        <v>0</v>
      </c>
      <c r="R607" s="272">
        <f>+'NI-San_SP'!R607+'NI-Soc_SP'!R607+'NI-Ric_SP'!R607</f>
        <v>0</v>
      </c>
      <c r="S607" s="272">
        <f>+'NI-San_SP'!S607+'NI-Soc_SP'!S607+'NI-Ric_SP'!S607</f>
        <v>0</v>
      </c>
      <c r="T607" s="272">
        <f>+'NI-San_SP'!T607+'NI-Soc_SP'!T607+'NI-Ric_SP'!T607</f>
        <v>0</v>
      </c>
      <c r="U607" s="272">
        <f>+'NI-San_SP'!U607+'NI-Soc_SP'!U607+'NI-Ric_SP'!U607</f>
        <v>0</v>
      </c>
      <c r="V607" s="272">
        <f>+'NI-San_SP'!V607+'NI-Soc_SP'!V607+'NI-Ric_SP'!V607</f>
        <v>0</v>
      </c>
      <c r="W607" s="272">
        <f>+'NI-San_SP'!W607+'NI-Soc_SP'!W607+'NI-Ric_SP'!W607</f>
        <v>0</v>
      </c>
      <c r="X607" s="272">
        <f>+'NI-San_SP'!X607+'NI-Soc_SP'!X607+'NI-Ric_SP'!X607</f>
        <v>0</v>
      </c>
      <c r="Y607" s="272">
        <f>+'NI-San_SP'!Y607+'NI-Soc_SP'!Y607+'NI-Ric_SP'!Y607</f>
        <v>0</v>
      </c>
      <c r="Z607" s="272">
        <f>+'NI-San_SP'!Z607+'NI-Soc_SP'!Z607+'NI-Ric_SP'!Z607</f>
        <v>0</v>
      </c>
      <c r="AA607" s="272">
        <f>+'NI-San_SP'!AA607+'NI-Soc_SP'!AA607+'NI-Ric_SP'!AA607</f>
        <v>0</v>
      </c>
      <c r="AB607" s="272">
        <f>+'NI-San_SP'!AB607+'NI-Soc_SP'!AB607+'NI-Ric_SP'!AB607</f>
        <v>0</v>
      </c>
      <c r="AC607" s="272">
        <f>+'NI-San_SP'!AC607+'NI-Soc_SP'!AC607+'NI-Ric_SP'!AC607</f>
        <v>0</v>
      </c>
      <c r="AD607" s="272">
        <f>+'NI-San_SP'!AD607+'NI-Soc_SP'!AD607+'NI-Ric_SP'!AD607</f>
        <v>0</v>
      </c>
      <c r="AE607" s="272">
        <f>+'NI-San_SP'!AE607+'NI-Soc_SP'!AE607+'NI-Ric_SP'!AE607</f>
        <v>0</v>
      </c>
      <c r="AF607" s="272">
        <f>+'NI-San_SP'!AF607+'NI-Soc_SP'!AF607+'NI-Ric_SP'!AF607</f>
        <v>0</v>
      </c>
      <c r="AG607" s="272">
        <f>+'NI-San_SP'!AG607+'NI-Soc_SP'!AG607+'NI-Ric_SP'!AG607</f>
        <v>0</v>
      </c>
      <c r="AH607" s="272">
        <f>+'NI-San_SP'!AH607+'NI-Soc_SP'!AH607+'NI-Ric_SP'!AH607</f>
        <v>0</v>
      </c>
      <c r="AI607" s="272">
        <f>+'NI-San_SP'!AI607+'NI-Soc_SP'!AI607+'NI-Ric_SP'!AI607</f>
        <v>0</v>
      </c>
      <c r="AJ607" s="272">
        <f>+'NI-San_SP'!AJ607+'NI-Soc_SP'!AJ607+'NI-Ric_SP'!AJ607</f>
        <v>0</v>
      </c>
      <c r="AK607" s="272">
        <f>+'NI-San_SP'!AK607+'NI-Soc_SP'!AK607+'NI-Ric_SP'!AK607</f>
        <v>0</v>
      </c>
      <c r="AL607" s="272">
        <f>+'NI-San_SP'!AL607+'NI-Soc_SP'!AL607+'NI-Ric_SP'!AL607</f>
        <v>0</v>
      </c>
      <c r="AM607" s="272">
        <f>+'NI-San_SP'!AM607+'NI-Soc_SP'!AM607+'NI-Ric_SP'!AM607</f>
        <v>0</v>
      </c>
    </row>
    <row r="608" spans="1:39" s="204" customFormat="1" ht="15" customHeight="1" x14ac:dyDescent="0.25">
      <c r="B608" s="246" t="s">
        <v>1408</v>
      </c>
      <c r="C608" s="287" t="s">
        <v>1409</v>
      </c>
      <c r="D608" s="274" t="s">
        <v>3686</v>
      </c>
      <c r="E608" s="274"/>
      <c r="F608" s="274"/>
      <c r="G608" s="283"/>
      <c r="H608" s="266"/>
      <c r="I608" s="274"/>
      <c r="J608" s="281"/>
      <c r="K608" s="281"/>
      <c r="L608" s="379" t="s">
        <v>3687</v>
      </c>
      <c r="M608" s="284" t="s">
        <v>2962</v>
      </c>
      <c r="N608" s="269">
        <f t="shared" si="77"/>
        <v>0</v>
      </c>
      <c r="O608" s="270">
        <f t="shared" si="78"/>
        <v>0</v>
      </c>
      <c r="P608" s="271">
        <f t="shared" si="76"/>
        <v>0</v>
      </c>
      <c r="Q608" s="272">
        <f>+'NI-San_SP'!Q608+'NI-Soc_SP'!Q608+'NI-Ric_SP'!Q608</f>
        <v>0</v>
      </c>
      <c r="R608" s="272">
        <f>+'NI-San_SP'!R608+'NI-Soc_SP'!R608+'NI-Ric_SP'!R608</f>
        <v>0</v>
      </c>
      <c r="S608" s="272">
        <f>+'NI-San_SP'!S608+'NI-Soc_SP'!S608+'NI-Ric_SP'!S608</f>
        <v>0</v>
      </c>
      <c r="T608" s="272">
        <f>+'NI-San_SP'!T608+'NI-Soc_SP'!T608+'NI-Ric_SP'!T608</f>
        <v>0</v>
      </c>
      <c r="U608" s="272">
        <f>+'NI-San_SP'!U608+'NI-Soc_SP'!U608+'NI-Ric_SP'!U608</f>
        <v>0</v>
      </c>
      <c r="V608" s="272">
        <f>+'NI-San_SP'!V608+'NI-Soc_SP'!V608+'NI-Ric_SP'!V608</f>
        <v>0</v>
      </c>
      <c r="W608" s="272">
        <f>+'NI-San_SP'!W608+'NI-Soc_SP'!W608+'NI-Ric_SP'!W608</f>
        <v>0</v>
      </c>
      <c r="X608" s="272">
        <f>+'NI-San_SP'!X608+'NI-Soc_SP'!X608+'NI-Ric_SP'!X608</f>
        <v>0</v>
      </c>
      <c r="Y608" s="272">
        <f>+'NI-San_SP'!Y608+'NI-Soc_SP'!Y608+'NI-Ric_SP'!Y608</f>
        <v>0</v>
      </c>
      <c r="Z608" s="272">
        <f>+'NI-San_SP'!Z608+'NI-Soc_SP'!Z608+'NI-Ric_SP'!Z608</f>
        <v>0</v>
      </c>
      <c r="AA608" s="272">
        <f>+'NI-San_SP'!AA608+'NI-Soc_SP'!AA608+'NI-Ric_SP'!AA608</f>
        <v>0</v>
      </c>
      <c r="AB608" s="272">
        <f>+'NI-San_SP'!AB608+'NI-Soc_SP'!AB608+'NI-Ric_SP'!AB608</f>
        <v>0</v>
      </c>
      <c r="AC608" s="272">
        <f>+'NI-San_SP'!AC608+'NI-Soc_SP'!AC608+'NI-Ric_SP'!AC608</f>
        <v>0</v>
      </c>
      <c r="AD608" s="272">
        <f>+'NI-San_SP'!AD608+'NI-Soc_SP'!AD608+'NI-Ric_SP'!AD608</f>
        <v>0</v>
      </c>
      <c r="AE608" s="272">
        <f>+'NI-San_SP'!AE608+'NI-Soc_SP'!AE608+'NI-Ric_SP'!AE608</f>
        <v>0</v>
      </c>
      <c r="AF608" s="272">
        <f>+'NI-San_SP'!AF608+'NI-Soc_SP'!AF608+'NI-Ric_SP'!AF608</f>
        <v>0</v>
      </c>
      <c r="AG608" s="272">
        <f>+'NI-San_SP'!AG608+'NI-Soc_SP'!AG608+'NI-Ric_SP'!AG608</f>
        <v>0</v>
      </c>
      <c r="AH608" s="272">
        <f>+'NI-San_SP'!AH608+'NI-Soc_SP'!AH608+'NI-Ric_SP'!AH608</f>
        <v>0</v>
      </c>
      <c r="AI608" s="272">
        <f>+'NI-San_SP'!AI608+'NI-Soc_SP'!AI608+'NI-Ric_SP'!AI608</f>
        <v>0</v>
      </c>
      <c r="AJ608" s="272">
        <f>+'NI-San_SP'!AJ608+'NI-Soc_SP'!AJ608+'NI-Ric_SP'!AJ608</f>
        <v>0</v>
      </c>
      <c r="AK608" s="272">
        <f>+'NI-San_SP'!AK608+'NI-Soc_SP'!AK608+'NI-Ric_SP'!AK608</f>
        <v>0</v>
      </c>
      <c r="AL608" s="272">
        <f>+'NI-San_SP'!AL608+'NI-Soc_SP'!AL608+'NI-Ric_SP'!AL608</f>
        <v>0</v>
      </c>
      <c r="AM608" s="272">
        <f>+'NI-San_SP'!AM608+'NI-Soc_SP'!AM608+'NI-Ric_SP'!AM608</f>
        <v>0</v>
      </c>
    </row>
    <row r="609" spans="1:39" s="204" customFormat="1" ht="15" customHeight="1" x14ac:dyDescent="0.25">
      <c r="B609" s="246" t="s">
        <v>1413</v>
      </c>
      <c r="C609" s="287" t="s">
        <v>1414</v>
      </c>
      <c r="D609" s="274" t="s">
        <v>3688</v>
      </c>
      <c r="E609" s="274"/>
      <c r="F609" s="274"/>
      <c r="G609" s="283"/>
      <c r="H609" s="266"/>
      <c r="I609" s="274"/>
      <c r="J609" s="281"/>
      <c r="K609" s="281"/>
      <c r="L609" s="379" t="s">
        <v>3689</v>
      </c>
      <c r="M609" s="284" t="s">
        <v>2962</v>
      </c>
      <c r="N609" s="269">
        <f t="shared" si="77"/>
        <v>0</v>
      </c>
      <c r="O609" s="270">
        <f t="shared" si="78"/>
        <v>0</v>
      </c>
      <c r="P609" s="271">
        <f t="shared" si="76"/>
        <v>0</v>
      </c>
      <c r="Q609" s="272">
        <f>+'NI-San_SP'!Q609+'NI-Soc_SP'!Q609+'NI-Ric_SP'!Q609</f>
        <v>0</v>
      </c>
      <c r="R609" s="272">
        <f>+'NI-San_SP'!R609+'NI-Soc_SP'!R609+'NI-Ric_SP'!R609</f>
        <v>0</v>
      </c>
      <c r="S609" s="272">
        <f>+'NI-San_SP'!S609+'NI-Soc_SP'!S609+'NI-Ric_SP'!S609</f>
        <v>0</v>
      </c>
      <c r="T609" s="272">
        <f>+'NI-San_SP'!T609+'NI-Soc_SP'!T609+'NI-Ric_SP'!T609</f>
        <v>0</v>
      </c>
      <c r="U609" s="272">
        <f>+'NI-San_SP'!U609+'NI-Soc_SP'!U609+'NI-Ric_SP'!U609</f>
        <v>0</v>
      </c>
      <c r="V609" s="272">
        <f>+'NI-San_SP'!V609+'NI-Soc_SP'!V609+'NI-Ric_SP'!V609</f>
        <v>0</v>
      </c>
      <c r="W609" s="272">
        <f>+'NI-San_SP'!W609+'NI-Soc_SP'!W609+'NI-Ric_SP'!W609</f>
        <v>0</v>
      </c>
      <c r="X609" s="272">
        <f>+'NI-San_SP'!X609+'NI-Soc_SP'!X609+'NI-Ric_SP'!X609</f>
        <v>0</v>
      </c>
      <c r="Y609" s="272">
        <f>+'NI-San_SP'!Y609+'NI-Soc_SP'!Y609+'NI-Ric_SP'!Y609</f>
        <v>0</v>
      </c>
      <c r="Z609" s="272">
        <f>+'NI-San_SP'!Z609+'NI-Soc_SP'!Z609+'NI-Ric_SP'!Z609</f>
        <v>0</v>
      </c>
      <c r="AA609" s="272">
        <f>+'NI-San_SP'!AA609+'NI-Soc_SP'!AA609+'NI-Ric_SP'!AA609</f>
        <v>0</v>
      </c>
      <c r="AB609" s="272">
        <f>+'NI-San_SP'!AB609+'NI-Soc_SP'!AB609+'NI-Ric_SP'!AB609</f>
        <v>0</v>
      </c>
      <c r="AC609" s="272">
        <f>+'NI-San_SP'!AC609+'NI-Soc_SP'!AC609+'NI-Ric_SP'!AC609</f>
        <v>0</v>
      </c>
      <c r="AD609" s="272">
        <f>+'NI-San_SP'!AD609+'NI-Soc_SP'!AD609+'NI-Ric_SP'!AD609</f>
        <v>0</v>
      </c>
      <c r="AE609" s="272">
        <f>+'NI-San_SP'!AE609+'NI-Soc_SP'!AE609+'NI-Ric_SP'!AE609</f>
        <v>0</v>
      </c>
      <c r="AF609" s="272">
        <f>+'NI-San_SP'!AF609+'NI-Soc_SP'!AF609+'NI-Ric_SP'!AF609</f>
        <v>0</v>
      </c>
      <c r="AG609" s="272">
        <f>+'NI-San_SP'!AG609+'NI-Soc_SP'!AG609+'NI-Ric_SP'!AG609</f>
        <v>0</v>
      </c>
      <c r="AH609" s="272">
        <f>+'NI-San_SP'!AH609+'NI-Soc_SP'!AH609+'NI-Ric_SP'!AH609</f>
        <v>0</v>
      </c>
      <c r="AI609" s="272">
        <f>+'NI-San_SP'!AI609+'NI-Soc_SP'!AI609+'NI-Ric_SP'!AI609</f>
        <v>0</v>
      </c>
      <c r="AJ609" s="272">
        <f>+'NI-San_SP'!AJ609+'NI-Soc_SP'!AJ609+'NI-Ric_SP'!AJ609</f>
        <v>0</v>
      </c>
      <c r="AK609" s="272">
        <f>+'NI-San_SP'!AK609+'NI-Soc_SP'!AK609+'NI-Ric_SP'!AK609</f>
        <v>0</v>
      </c>
      <c r="AL609" s="272">
        <f>+'NI-San_SP'!AL609+'NI-Soc_SP'!AL609+'NI-Ric_SP'!AL609</f>
        <v>0</v>
      </c>
      <c r="AM609" s="272">
        <f>+'NI-San_SP'!AM609+'NI-Soc_SP'!AM609+'NI-Ric_SP'!AM609</f>
        <v>0</v>
      </c>
    </row>
    <row r="610" spans="1:39" s="204" customFormat="1" ht="15" customHeight="1" x14ac:dyDescent="0.25">
      <c r="B610" s="246" t="s">
        <v>1419</v>
      </c>
      <c r="C610" s="287" t="s">
        <v>1420</v>
      </c>
      <c r="D610" s="274" t="s">
        <v>3690</v>
      </c>
      <c r="E610" s="274"/>
      <c r="F610" s="274"/>
      <c r="G610" s="283"/>
      <c r="H610" s="266"/>
      <c r="I610" s="274"/>
      <c r="J610" s="281"/>
      <c r="K610" s="281"/>
      <c r="L610" s="379" t="s">
        <v>3691</v>
      </c>
      <c r="M610" s="284" t="s">
        <v>2962</v>
      </c>
      <c r="N610" s="269">
        <f t="shared" si="77"/>
        <v>0</v>
      </c>
      <c r="O610" s="270">
        <f t="shared" si="78"/>
        <v>0</v>
      </c>
      <c r="P610" s="271">
        <f t="shared" si="76"/>
        <v>0</v>
      </c>
      <c r="Q610" s="272">
        <f>+'NI-San_SP'!Q610+'NI-Soc_SP'!Q610+'NI-Ric_SP'!Q610</f>
        <v>0</v>
      </c>
      <c r="R610" s="272">
        <f>+'NI-San_SP'!R610+'NI-Soc_SP'!R610+'NI-Ric_SP'!R610</f>
        <v>0</v>
      </c>
      <c r="S610" s="272">
        <f>+'NI-San_SP'!S610+'NI-Soc_SP'!S610+'NI-Ric_SP'!S610</f>
        <v>0</v>
      </c>
      <c r="T610" s="272">
        <f>+'NI-San_SP'!T610+'NI-Soc_SP'!T610+'NI-Ric_SP'!T610</f>
        <v>0</v>
      </c>
      <c r="U610" s="272">
        <f>+'NI-San_SP'!U610+'NI-Soc_SP'!U610+'NI-Ric_SP'!U610</f>
        <v>0</v>
      </c>
      <c r="V610" s="272">
        <f>+'NI-San_SP'!V610+'NI-Soc_SP'!V610+'NI-Ric_SP'!V610</f>
        <v>0</v>
      </c>
      <c r="W610" s="272">
        <f>+'NI-San_SP'!W610+'NI-Soc_SP'!W610+'NI-Ric_SP'!W610</f>
        <v>0</v>
      </c>
      <c r="X610" s="272">
        <f>+'NI-San_SP'!X610+'NI-Soc_SP'!X610+'NI-Ric_SP'!X610</f>
        <v>0</v>
      </c>
      <c r="Y610" s="272">
        <f>+'NI-San_SP'!Y610+'NI-Soc_SP'!Y610+'NI-Ric_SP'!Y610</f>
        <v>0</v>
      </c>
      <c r="Z610" s="272">
        <f>+'NI-San_SP'!Z610+'NI-Soc_SP'!Z610+'NI-Ric_SP'!Z610</f>
        <v>0</v>
      </c>
      <c r="AA610" s="272">
        <f>+'NI-San_SP'!AA610+'NI-Soc_SP'!AA610+'NI-Ric_SP'!AA610</f>
        <v>0</v>
      </c>
      <c r="AB610" s="272">
        <f>+'NI-San_SP'!AB610+'NI-Soc_SP'!AB610+'NI-Ric_SP'!AB610</f>
        <v>0</v>
      </c>
      <c r="AC610" s="272">
        <f>+'NI-San_SP'!AC610+'NI-Soc_SP'!AC610+'NI-Ric_SP'!AC610</f>
        <v>0</v>
      </c>
      <c r="AD610" s="272">
        <f>+'NI-San_SP'!AD610+'NI-Soc_SP'!AD610+'NI-Ric_SP'!AD610</f>
        <v>0</v>
      </c>
      <c r="AE610" s="272">
        <f>+'NI-San_SP'!AE610+'NI-Soc_SP'!AE610+'NI-Ric_SP'!AE610</f>
        <v>0</v>
      </c>
      <c r="AF610" s="272">
        <f>+'NI-San_SP'!AF610+'NI-Soc_SP'!AF610+'NI-Ric_SP'!AF610</f>
        <v>0</v>
      </c>
      <c r="AG610" s="272">
        <f>+'NI-San_SP'!AG610+'NI-Soc_SP'!AG610+'NI-Ric_SP'!AG610</f>
        <v>0</v>
      </c>
      <c r="AH610" s="272">
        <f>+'NI-San_SP'!AH610+'NI-Soc_SP'!AH610+'NI-Ric_SP'!AH610</f>
        <v>0</v>
      </c>
      <c r="AI610" s="272">
        <f>+'NI-San_SP'!AI610+'NI-Soc_SP'!AI610+'NI-Ric_SP'!AI610</f>
        <v>0</v>
      </c>
      <c r="AJ610" s="272">
        <f>+'NI-San_SP'!AJ610+'NI-Soc_SP'!AJ610+'NI-Ric_SP'!AJ610</f>
        <v>0</v>
      </c>
      <c r="AK610" s="272">
        <f>+'NI-San_SP'!AK610+'NI-Soc_SP'!AK610+'NI-Ric_SP'!AK610</f>
        <v>0</v>
      </c>
      <c r="AL610" s="272">
        <f>+'NI-San_SP'!AL610+'NI-Soc_SP'!AL610+'NI-Ric_SP'!AL610</f>
        <v>0</v>
      </c>
      <c r="AM610" s="272">
        <f>+'NI-San_SP'!AM610+'NI-Soc_SP'!AM610+'NI-Ric_SP'!AM610</f>
        <v>0</v>
      </c>
    </row>
    <row r="611" spans="1:39" s="204" customFormat="1" ht="15" customHeight="1" x14ac:dyDescent="0.25">
      <c r="B611" s="246" t="s">
        <v>1424</v>
      </c>
      <c r="C611" s="287" t="s">
        <v>1425</v>
      </c>
      <c r="D611" s="274" t="s">
        <v>3692</v>
      </c>
      <c r="E611" s="274"/>
      <c r="F611" s="274"/>
      <c r="G611" s="283"/>
      <c r="H611" s="266"/>
      <c r="I611" s="274"/>
      <c r="J611" s="281"/>
      <c r="K611" s="281"/>
      <c r="L611" s="379" t="s">
        <v>3693</v>
      </c>
      <c r="M611" s="284" t="s">
        <v>2962</v>
      </c>
      <c r="N611" s="269">
        <f t="shared" si="77"/>
        <v>0</v>
      </c>
      <c r="O611" s="270">
        <f t="shared" si="78"/>
        <v>0</v>
      </c>
      <c r="P611" s="271">
        <f t="shared" si="76"/>
        <v>0</v>
      </c>
      <c r="Q611" s="272">
        <f>+'NI-San_SP'!Q611+'NI-Soc_SP'!Q611+'NI-Ric_SP'!Q611</f>
        <v>0</v>
      </c>
      <c r="R611" s="272">
        <f>+'NI-San_SP'!R611+'NI-Soc_SP'!R611+'NI-Ric_SP'!R611</f>
        <v>0</v>
      </c>
      <c r="S611" s="272">
        <f>+'NI-San_SP'!S611+'NI-Soc_SP'!S611+'NI-Ric_SP'!S611</f>
        <v>0</v>
      </c>
      <c r="T611" s="272">
        <f>+'NI-San_SP'!T611+'NI-Soc_SP'!T611+'NI-Ric_SP'!T611</f>
        <v>0</v>
      </c>
      <c r="U611" s="272">
        <f>+'NI-San_SP'!U611+'NI-Soc_SP'!U611+'NI-Ric_SP'!U611</f>
        <v>0</v>
      </c>
      <c r="V611" s="272">
        <f>+'NI-San_SP'!V611+'NI-Soc_SP'!V611+'NI-Ric_SP'!V611</f>
        <v>0</v>
      </c>
      <c r="W611" s="272">
        <f>+'NI-San_SP'!W611+'NI-Soc_SP'!W611+'NI-Ric_SP'!W611</f>
        <v>0</v>
      </c>
      <c r="X611" s="272">
        <f>+'NI-San_SP'!X611+'NI-Soc_SP'!X611+'NI-Ric_SP'!X611</f>
        <v>0</v>
      </c>
      <c r="Y611" s="272">
        <f>+'NI-San_SP'!Y611+'NI-Soc_SP'!Y611+'NI-Ric_SP'!Y611</f>
        <v>0</v>
      </c>
      <c r="Z611" s="272">
        <f>+'NI-San_SP'!Z611+'NI-Soc_SP'!Z611+'NI-Ric_SP'!Z611</f>
        <v>0</v>
      </c>
      <c r="AA611" s="272">
        <f>+'NI-San_SP'!AA611+'NI-Soc_SP'!AA611+'NI-Ric_SP'!AA611</f>
        <v>0</v>
      </c>
      <c r="AB611" s="272">
        <f>+'NI-San_SP'!AB611+'NI-Soc_SP'!AB611+'NI-Ric_SP'!AB611</f>
        <v>0</v>
      </c>
      <c r="AC611" s="272">
        <f>+'NI-San_SP'!AC611+'NI-Soc_SP'!AC611+'NI-Ric_SP'!AC611</f>
        <v>0</v>
      </c>
      <c r="AD611" s="272">
        <f>+'NI-San_SP'!AD611+'NI-Soc_SP'!AD611+'NI-Ric_SP'!AD611</f>
        <v>0</v>
      </c>
      <c r="AE611" s="272">
        <f>+'NI-San_SP'!AE611+'NI-Soc_SP'!AE611+'NI-Ric_SP'!AE611</f>
        <v>0</v>
      </c>
      <c r="AF611" s="272">
        <f>+'NI-San_SP'!AF611+'NI-Soc_SP'!AF611+'NI-Ric_SP'!AF611</f>
        <v>0</v>
      </c>
      <c r="AG611" s="272">
        <f>+'NI-San_SP'!AG611+'NI-Soc_SP'!AG611+'NI-Ric_SP'!AG611</f>
        <v>0</v>
      </c>
      <c r="AH611" s="272">
        <f>+'NI-San_SP'!AH611+'NI-Soc_SP'!AH611+'NI-Ric_SP'!AH611</f>
        <v>0</v>
      </c>
      <c r="AI611" s="272">
        <f>+'NI-San_SP'!AI611+'NI-Soc_SP'!AI611+'NI-Ric_SP'!AI611</f>
        <v>0</v>
      </c>
      <c r="AJ611" s="272">
        <f>+'NI-San_SP'!AJ611+'NI-Soc_SP'!AJ611+'NI-Ric_SP'!AJ611</f>
        <v>0</v>
      </c>
      <c r="AK611" s="272">
        <f>+'NI-San_SP'!AK611+'NI-Soc_SP'!AK611+'NI-Ric_SP'!AK611</f>
        <v>0</v>
      </c>
      <c r="AL611" s="272">
        <f>+'NI-San_SP'!AL611+'NI-Soc_SP'!AL611+'NI-Ric_SP'!AL611</f>
        <v>0</v>
      </c>
      <c r="AM611" s="272">
        <f>+'NI-San_SP'!AM611+'NI-Soc_SP'!AM611+'NI-Ric_SP'!AM611</f>
        <v>0</v>
      </c>
    </row>
    <row r="612" spans="1:39" s="204" customFormat="1" x14ac:dyDescent="0.25">
      <c r="B612" s="246" t="s">
        <v>1429</v>
      </c>
      <c r="C612" s="287" t="s">
        <v>1430</v>
      </c>
      <c r="D612" s="274" t="s">
        <v>3694</v>
      </c>
      <c r="E612" s="274"/>
      <c r="F612" s="274"/>
      <c r="G612" s="283"/>
      <c r="H612" s="266"/>
      <c r="I612" s="274"/>
      <c r="J612" s="281"/>
      <c r="K612" s="281"/>
      <c r="L612" s="295" t="s">
        <v>3695</v>
      </c>
      <c r="M612" s="284" t="s">
        <v>2962</v>
      </c>
      <c r="N612" s="269">
        <f t="shared" si="77"/>
        <v>0</v>
      </c>
      <c r="O612" s="270">
        <f t="shared" si="78"/>
        <v>0</v>
      </c>
      <c r="P612" s="271">
        <f t="shared" si="76"/>
        <v>0</v>
      </c>
      <c r="Q612" s="272">
        <f>+'NI-San_SP'!Q612+'NI-Soc_SP'!Q612+'NI-Ric_SP'!Q612</f>
        <v>0</v>
      </c>
      <c r="R612" s="272">
        <f>+'NI-San_SP'!R612+'NI-Soc_SP'!R612+'NI-Ric_SP'!R612</f>
        <v>0</v>
      </c>
      <c r="S612" s="272">
        <f>+'NI-San_SP'!S612+'NI-Soc_SP'!S612+'NI-Ric_SP'!S612</f>
        <v>0</v>
      </c>
      <c r="T612" s="272">
        <f>+'NI-San_SP'!T612+'NI-Soc_SP'!T612+'NI-Ric_SP'!T612</f>
        <v>0</v>
      </c>
      <c r="U612" s="272">
        <f>+'NI-San_SP'!U612+'NI-Soc_SP'!U612+'NI-Ric_SP'!U612</f>
        <v>0</v>
      </c>
      <c r="V612" s="272">
        <f>+'NI-San_SP'!V612+'NI-Soc_SP'!V612+'NI-Ric_SP'!V612</f>
        <v>0</v>
      </c>
      <c r="W612" s="272">
        <f>+'NI-San_SP'!W612+'NI-Soc_SP'!W612+'NI-Ric_SP'!W612</f>
        <v>0</v>
      </c>
      <c r="X612" s="272">
        <f>+'NI-San_SP'!X612+'NI-Soc_SP'!X612+'NI-Ric_SP'!X612</f>
        <v>0</v>
      </c>
      <c r="Y612" s="272">
        <f>+'NI-San_SP'!Y612+'NI-Soc_SP'!Y612+'NI-Ric_SP'!Y612</f>
        <v>0</v>
      </c>
      <c r="Z612" s="272">
        <f>+'NI-San_SP'!Z612+'NI-Soc_SP'!Z612+'NI-Ric_SP'!Z612</f>
        <v>0</v>
      </c>
      <c r="AA612" s="272">
        <f>+'NI-San_SP'!AA612+'NI-Soc_SP'!AA612+'NI-Ric_SP'!AA612</f>
        <v>0</v>
      </c>
      <c r="AB612" s="272">
        <f>+'NI-San_SP'!AB612+'NI-Soc_SP'!AB612+'NI-Ric_SP'!AB612</f>
        <v>0</v>
      </c>
      <c r="AC612" s="272">
        <f>+'NI-San_SP'!AC612+'NI-Soc_SP'!AC612+'NI-Ric_SP'!AC612</f>
        <v>0</v>
      </c>
      <c r="AD612" s="272">
        <f>+'NI-San_SP'!AD612+'NI-Soc_SP'!AD612+'NI-Ric_SP'!AD612</f>
        <v>0</v>
      </c>
      <c r="AE612" s="272">
        <f>+'NI-San_SP'!AE612+'NI-Soc_SP'!AE612+'NI-Ric_SP'!AE612</f>
        <v>0</v>
      </c>
      <c r="AF612" s="272">
        <f>+'NI-San_SP'!AF612+'NI-Soc_SP'!AF612+'NI-Ric_SP'!AF612</f>
        <v>0</v>
      </c>
      <c r="AG612" s="272">
        <f>+'NI-San_SP'!AG612+'NI-Soc_SP'!AG612+'NI-Ric_SP'!AG612</f>
        <v>0</v>
      </c>
      <c r="AH612" s="272">
        <f>+'NI-San_SP'!AH612+'NI-Soc_SP'!AH612+'NI-Ric_SP'!AH612</f>
        <v>0</v>
      </c>
      <c r="AI612" s="272">
        <f>+'NI-San_SP'!AI612+'NI-Soc_SP'!AI612+'NI-Ric_SP'!AI612</f>
        <v>0</v>
      </c>
      <c r="AJ612" s="272">
        <f>+'NI-San_SP'!AJ612+'NI-Soc_SP'!AJ612+'NI-Ric_SP'!AJ612</f>
        <v>0</v>
      </c>
      <c r="AK612" s="272">
        <f>+'NI-San_SP'!AK612+'NI-Soc_SP'!AK612+'NI-Ric_SP'!AK612</f>
        <v>0</v>
      </c>
      <c r="AL612" s="272">
        <f>+'NI-San_SP'!AL612+'NI-Soc_SP'!AL612+'NI-Ric_SP'!AL612</f>
        <v>0</v>
      </c>
      <c r="AM612" s="272">
        <f>+'NI-San_SP'!AM612+'NI-Soc_SP'!AM612+'NI-Ric_SP'!AM612</f>
        <v>0</v>
      </c>
    </row>
    <row r="613" spans="1:39" s="204" customFormat="1" x14ac:dyDescent="0.25">
      <c r="B613" s="381"/>
      <c r="C613" s="381"/>
      <c r="D613" s="382"/>
      <c r="E613" s="382"/>
      <c r="F613" s="382"/>
      <c r="G613" s="382"/>
      <c r="H613" s="382"/>
      <c r="I613" s="382"/>
      <c r="J613" s="382"/>
      <c r="K613" s="382"/>
      <c r="L613" s="275"/>
      <c r="M613" s="275"/>
      <c r="N613" s="383"/>
      <c r="O613" s="383"/>
      <c r="P613" s="384"/>
      <c r="Q613" s="211"/>
      <c r="R613" s="275"/>
      <c r="S613" s="275"/>
      <c r="T613" s="275"/>
      <c r="U613" s="275"/>
      <c r="V613" s="275"/>
      <c r="W613" s="275"/>
      <c r="X613" s="275"/>
      <c r="Y613" s="275"/>
      <c r="Z613" s="385"/>
      <c r="AA613" s="385"/>
      <c r="AB613" s="275"/>
      <c r="AC613" s="213"/>
      <c r="AD613" s="213"/>
    </row>
    <row r="614" spans="1:39" s="204" customFormat="1" x14ac:dyDescent="0.25">
      <c r="A614" s="204">
        <f>N614-O614</f>
        <v>-18150111</v>
      </c>
      <c r="B614" s="246" t="s">
        <v>1434</v>
      </c>
      <c r="C614" s="292" t="s">
        <v>1435</v>
      </c>
      <c r="D614" s="247" t="s">
        <v>3696</v>
      </c>
      <c r="E614" s="247"/>
      <c r="F614" s="247"/>
      <c r="G614" s="247"/>
      <c r="H614" s="248"/>
      <c r="I614" s="247"/>
      <c r="J614" s="247"/>
      <c r="K614" s="249"/>
      <c r="L614" s="276" t="s">
        <v>1436</v>
      </c>
      <c r="M614" s="251" t="s">
        <v>2962</v>
      </c>
      <c r="N614" s="252">
        <f>+N618+N641+N648+N649</f>
        <v>56089659</v>
      </c>
      <c r="O614" s="252">
        <f>+O618+O641+O648+O649</f>
        <v>74239770</v>
      </c>
      <c r="P614" s="253">
        <f>+O614-N614</f>
        <v>18150111</v>
      </c>
      <c r="Q614" s="252">
        <f t="shared" ref="Q614:AM614" si="79">+Q618+Q641+Q648+Q649</f>
        <v>0</v>
      </c>
      <c r="R614" s="252">
        <f t="shared" si="79"/>
        <v>56089659</v>
      </c>
      <c r="S614" s="252">
        <f t="shared" si="79"/>
        <v>0</v>
      </c>
      <c r="T614" s="252">
        <f t="shared" si="79"/>
        <v>0</v>
      </c>
      <c r="U614" s="252">
        <f t="shared" si="79"/>
        <v>89250013</v>
      </c>
      <c r="V614" s="252">
        <f t="shared" si="79"/>
        <v>11856478</v>
      </c>
      <c r="W614" s="252">
        <f t="shared" si="79"/>
        <v>0</v>
      </c>
      <c r="X614" s="252">
        <f t="shared" si="79"/>
        <v>59243424</v>
      </c>
      <c r="Y614" s="252">
        <f t="shared" si="79"/>
        <v>74239770</v>
      </c>
      <c r="Z614" s="252">
        <f t="shared" si="79"/>
        <v>0</v>
      </c>
      <c r="AA614" s="252">
        <f t="shared" si="79"/>
        <v>0</v>
      </c>
      <c r="AB614" s="252">
        <f t="shared" si="79"/>
        <v>0</v>
      </c>
      <c r="AC614" s="252">
        <f t="shared" si="79"/>
        <v>0</v>
      </c>
      <c r="AD614" s="252">
        <f t="shared" si="79"/>
        <v>0</v>
      </c>
      <c r="AE614" s="252">
        <f t="shared" si="79"/>
        <v>0</v>
      </c>
      <c r="AF614" s="252">
        <f t="shared" si="79"/>
        <v>12115886</v>
      </c>
      <c r="AG614" s="252">
        <f t="shared" si="79"/>
        <v>3026827</v>
      </c>
      <c r="AH614" s="252">
        <f t="shared" si="79"/>
        <v>17381066</v>
      </c>
      <c r="AI614" s="252">
        <f t="shared" si="79"/>
        <v>11709402</v>
      </c>
      <c r="AJ614" s="252">
        <f t="shared" si="79"/>
        <v>30006589</v>
      </c>
      <c r="AK614" s="252">
        <f t="shared" si="79"/>
        <v>73117646</v>
      </c>
      <c r="AL614" s="252">
        <f t="shared" si="79"/>
        <v>1122124</v>
      </c>
      <c r="AM614" s="252">
        <f t="shared" si="79"/>
        <v>0</v>
      </c>
    </row>
    <row r="615" spans="1:39" s="204" customFormat="1" x14ac:dyDescent="0.25">
      <c r="B615" s="298"/>
      <c r="C615" s="298"/>
      <c r="D615" s="226"/>
      <c r="E615" s="226"/>
      <c r="F615" s="226"/>
      <c r="G615" s="226"/>
      <c r="H615" s="227"/>
      <c r="I615" s="226"/>
      <c r="J615" s="226"/>
      <c r="K615" s="226"/>
      <c r="L615" s="241"/>
      <c r="M615" s="278"/>
      <c r="N615" s="279"/>
      <c r="O615" s="279"/>
      <c r="P615" s="279"/>
      <c r="Q615" s="211"/>
      <c r="R615" s="279"/>
      <c r="S615" s="279"/>
      <c r="T615" s="279"/>
      <c r="U615" s="279"/>
      <c r="V615" s="279"/>
      <c r="Y615" s="279"/>
      <c r="Z615" s="275"/>
      <c r="AA615" s="275"/>
      <c r="AB615" s="279"/>
      <c r="AC615" s="211"/>
      <c r="AD615" s="211"/>
    </row>
    <row r="616" spans="1:39" s="204" customFormat="1" ht="27" customHeight="1" x14ac:dyDescent="0.25">
      <c r="B616" s="289"/>
      <c r="C616" s="289"/>
      <c r="D616" s="211"/>
      <c r="E616" s="211"/>
      <c r="F616" s="211"/>
      <c r="G616" s="211"/>
      <c r="H616" s="353"/>
      <c r="I616" s="211"/>
      <c r="J616" s="211"/>
      <c r="K616" s="211"/>
      <c r="L616" s="232"/>
      <c r="M616" s="211"/>
      <c r="N616" s="334"/>
      <c r="O616" s="211"/>
      <c r="P616" s="211"/>
      <c r="Q616" s="211"/>
      <c r="R616" s="211"/>
      <c r="S616" s="902" t="s">
        <v>3495</v>
      </c>
      <c r="T616" s="902"/>
      <c r="U616" s="902"/>
      <c r="V616" s="335" t="s">
        <v>3496</v>
      </c>
      <c r="W616" s="336"/>
      <c r="X616" s="335" t="s">
        <v>3496</v>
      </c>
      <c r="Z616" s="211"/>
      <c r="AA616" s="211"/>
      <c r="AB616" s="211"/>
      <c r="AC616" s="285"/>
      <c r="AD616" s="211"/>
      <c r="AE616" s="211"/>
      <c r="AF616" s="904" t="str">
        <f>+AF594</f>
        <v>VALORE NOMINALE DEI CREDITI AL 31/12/2020 PER ANNO DI FORMAZIONE</v>
      </c>
      <c r="AG616" s="904"/>
      <c r="AH616" s="904"/>
      <c r="AI616" s="904"/>
      <c r="AJ616" s="904"/>
      <c r="AK616" s="905" t="str">
        <f>+AK594</f>
        <v>VALORE NETTO DEI CREDITI AL 31/12/2020 PER SCADENZA</v>
      </c>
      <c r="AL616" s="905"/>
      <c r="AM616" s="905"/>
    </row>
    <row r="617" spans="1:39" s="204" customFormat="1" ht="63.75" x14ac:dyDescent="0.25">
      <c r="B617" s="294" t="s">
        <v>2968</v>
      </c>
      <c r="C617" s="294" t="s">
        <v>2969</v>
      </c>
      <c r="D617" s="206" t="s">
        <v>72</v>
      </c>
      <c r="E617" s="206"/>
      <c r="F617" s="206"/>
      <c r="G617" s="207"/>
      <c r="H617" s="207"/>
      <c r="I617" s="207"/>
      <c r="J617" s="207" t="s">
        <v>2957</v>
      </c>
      <c r="K617" s="206" t="s">
        <v>82</v>
      </c>
      <c r="L617" s="261" t="s">
        <v>3670</v>
      </c>
      <c r="M617" s="256"/>
      <c r="N617" s="256" t="str">
        <f>N$15</f>
        <v>Valore netto al 31/12/2019</v>
      </c>
      <c r="O617" s="256" t="str">
        <f>O$15</f>
        <v>Valore netto al 31/12/2020</v>
      </c>
      <c r="P617" s="256" t="str">
        <f>P$15</f>
        <v>Variazione</v>
      </c>
      <c r="Q617" s="262" t="s">
        <v>2971</v>
      </c>
      <c r="R617" s="262" t="str">
        <f>+R595</f>
        <v>Valore iniziale LORDO al 31/12/2019</v>
      </c>
      <c r="S617" s="337" t="s">
        <v>2972</v>
      </c>
      <c r="T617" s="337" t="s">
        <v>3497</v>
      </c>
      <c r="U617" s="337" t="s">
        <v>3495</v>
      </c>
      <c r="V617" s="338" t="s">
        <v>3498</v>
      </c>
      <c r="W617" s="262" t="s">
        <v>2975</v>
      </c>
      <c r="X617" s="338" t="s">
        <v>3499</v>
      </c>
      <c r="Y617" s="262" t="str">
        <f>+Y595</f>
        <v>Valore finale LORDO al 31/12/2020</v>
      </c>
      <c r="Z617" s="337" t="str">
        <f>+Z595</f>
        <v>Di cui Fatture da emettere</v>
      </c>
      <c r="AA617" s="262" t="str">
        <f>+AA595</f>
        <v>Fondo svalutazione crediti al 31/12/2019</v>
      </c>
      <c r="AB617" s="262" t="s">
        <v>3500</v>
      </c>
      <c r="AC617" s="262" t="s">
        <v>3501</v>
      </c>
      <c r="AD617" s="262" t="s">
        <v>3502</v>
      </c>
      <c r="AE617" s="262" t="str">
        <f>+AE595</f>
        <v>Fondo svalutazione crediti al 31/12/2020</v>
      </c>
      <c r="AF617" s="339" t="s">
        <v>3503</v>
      </c>
      <c r="AG617" s="339" t="s">
        <v>3504</v>
      </c>
      <c r="AH617" s="339" t="s">
        <v>3505</v>
      </c>
      <c r="AI617" s="339" t="s">
        <v>3506</v>
      </c>
      <c r="AJ617" s="339" t="s">
        <v>3507</v>
      </c>
      <c r="AK617" s="340" t="s">
        <v>3508</v>
      </c>
      <c r="AL617" s="340" t="s">
        <v>3509</v>
      </c>
      <c r="AM617" s="340" t="s">
        <v>3510</v>
      </c>
    </row>
    <row r="618" spans="1:39" s="204" customFormat="1" ht="15" customHeight="1" x14ac:dyDescent="0.25">
      <c r="B618" s="246"/>
      <c r="C618" s="287" t="s">
        <v>1438</v>
      </c>
      <c r="D618" s="274" t="s">
        <v>3697</v>
      </c>
      <c r="E618" s="274"/>
      <c r="F618" s="274"/>
      <c r="G618" s="283"/>
      <c r="H618" s="266"/>
      <c r="I618" s="274"/>
      <c r="J618" s="281"/>
      <c r="K618" s="281"/>
      <c r="L618" s="295" t="s">
        <v>1440</v>
      </c>
      <c r="M618" s="284" t="s">
        <v>2962</v>
      </c>
      <c r="N618" s="272">
        <f>+N619+N620+N621+N629+N630+N634+N635+N636+N637+N639+N638+N640</f>
        <v>26822800</v>
      </c>
      <c r="O618" s="272">
        <f>+O619+O620+O621+O629+O630+O634+O635+O636+O637+O639+O638+O640</f>
        <v>44597343</v>
      </c>
      <c r="P618" s="378">
        <f t="shared" ref="P618:P649" si="80">+O618-N618</f>
        <v>17774543</v>
      </c>
      <c r="Q618" s="272">
        <f>+Q619+Q620+Q621+Q629+Q630+Q634+Q635+Q636+Q637+Q639+Q638+Q640</f>
        <v>0</v>
      </c>
      <c r="R618" s="272">
        <f>+'NI-San_SP'!R618+'NI-Soc_SP'!R618+'NI-Ric_SP'!R618</f>
        <v>26822800</v>
      </c>
      <c r="S618" s="272">
        <f t="shared" ref="S618:AM618" si="81">+S619+S620+S621+S629+S630+S634+S635+S636+S637+S639+S638+S640</f>
        <v>0</v>
      </c>
      <c r="T618" s="272">
        <f t="shared" si="81"/>
        <v>0</v>
      </c>
      <c r="U618" s="272">
        <f t="shared" si="81"/>
        <v>84250013</v>
      </c>
      <c r="V618" s="272">
        <f t="shared" si="81"/>
        <v>9732046</v>
      </c>
      <c r="W618" s="272">
        <f t="shared" si="81"/>
        <v>0</v>
      </c>
      <c r="X618" s="272">
        <f t="shared" si="81"/>
        <v>56743424</v>
      </c>
      <c r="Y618" s="272">
        <f t="shared" si="81"/>
        <v>44597343</v>
      </c>
      <c r="Z618" s="272">
        <f t="shared" si="81"/>
        <v>0</v>
      </c>
      <c r="AA618" s="272">
        <f t="shared" si="81"/>
        <v>0</v>
      </c>
      <c r="AB618" s="272">
        <f t="shared" si="81"/>
        <v>0</v>
      </c>
      <c r="AC618" s="272">
        <f t="shared" si="81"/>
        <v>0</v>
      </c>
      <c r="AD618" s="272">
        <f t="shared" si="81"/>
        <v>0</v>
      </c>
      <c r="AE618" s="272">
        <f t="shared" si="81"/>
        <v>0</v>
      </c>
      <c r="AF618" s="272">
        <f t="shared" si="81"/>
        <v>5523745</v>
      </c>
      <c r="AG618" s="272">
        <f t="shared" si="81"/>
        <v>936607</v>
      </c>
      <c r="AH618" s="272">
        <f t="shared" si="81"/>
        <v>4385000</v>
      </c>
      <c r="AI618" s="272">
        <f t="shared" si="81"/>
        <v>6245402</v>
      </c>
      <c r="AJ618" s="272">
        <f t="shared" si="81"/>
        <v>27506589</v>
      </c>
      <c r="AK618" s="272">
        <f t="shared" si="81"/>
        <v>43475219</v>
      </c>
      <c r="AL618" s="272">
        <f t="shared" si="81"/>
        <v>1122124</v>
      </c>
      <c r="AM618" s="272">
        <f t="shared" si="81"/>
        <v>0</v>
      </c>
    </row>
    <row r="619" spans="1:39" s="204" customFormat="1" ht="15" customHeight="1" x14ac:dyDescent="0.25">
      <c r="B619" s="246"/>
      <c r="C619" s="287" t="s">
        <v>1441</v>
      </c>
      <c r="D619" s="274" t="s">
        <v>3698</v>
      </c>
      <c r="E619" s="274"/>
      <c r="F619" s="274"/>
      <c r="G619" s="283"/>
      <c r="H619" s="266"/>
      <c r="I619" s="274"/>
      <c r="J619" s="281"/>
      <c r="K619" s="281"/>
      <c r="L619" s="379" t="s">
        <v>3699</v>
      </c>
      <c r="M619" s="284" t="s">
        <v>2962</v>
      </c>
      <c r="N619" s="269">
        <f>+R619-AA619</f>
        <v>0</v>
      </c>
      <c r="O619" s="270">
        <f>+Y619-AE619</f>
        <v>0</v>
      </c>
      <c r="P619" s="271">
        <f t="shared" si="80"/>
        <v>0</v>
      </c>
      <c r="Q619" s="272">
        <f>+'NI-San_SP'!Q619+'NI-Soc_SP'!Q619+'NI-Ric_SP'!Q619</f>
        <v>0</v>
      </c>
      <c r="R619" s="272">
        <f>+'NI-San_SP'!R619+'NI-Soc_SP'!R619+'NI-Ric_SP'!R619</f>
        <v>0</v>
      </c>
      <c r="S619" s="272">
        <f>+'NI-San_SP'!S619+'NI-Soc_SP'!S619+'NI-Ric_SP'!S619</f>
        <v>0</v>
      </c>
      <c r="T619" s="272">
        <f>+'NI-San_SP'!T619+'NI-Soc_SP'!T619+'NI-Ric_SP'!T619</f>
        <v>0</v>
      </c>
      <c r="U619" s="272">
        <f>+'NI-San_SP'!U619+'NI-Soc_SP'!U619+'NI-Ric_SP'!U619</f>
        <v>0</v>
      </c>
      <c r="V619" s="272">
        <f>+'NI-San_SP'!V619+'NI-Soc_SP'!V619+'NI-Ric_SP'!V619</f>
        <v>0</v>
      </c>
      <c r="W619" s="272">
        <f>+'NI-San_SP'!W619+'NI-Soc_SP'!W619+'NI-Ric_SP'!W619</f>
        <v>0</v>
      </c>
      <c r="X619" s="272">
        <f>+'NI-San_SP'!X619+'NI-Soc_SP'!X619+'NI-Ric_SP'!X619</f>
        <v>0</v>
      </c>
      <c r="Y619" s="272">
        <f>+'NI-San_SP'!Y619+'NI-Soc_SP'!Y619+'NI-Ric_SP'!Y619</f>
        <v>0</v>
      </c>
      <c r="Z619" s="272">
        <f>+'NI-San_SP'!Z619+'NI-Soc_SP'!Z619+'NI-Ric_SP'!Z619</f>
        <v>0</v>
      </c>
      <c r="AA619" s="272">
        <f>+'NI-San_SP'!AA619+'NI-Soc_SP'!AA619+'NI-Ric_SP'!AA619</f>
        <v>0</v>
      </c>
      <c r="AB619" s="272">
        <f>+'NI-San_SP'!AB619+'NI-Soc_SP'!AB619+'NI-Ric_SP'!AB619</f>
        <v>0</v>
      </c>
      <c r="AC619" s="272">
        <f>+'NI-San_SP'!AC619+'NI-Soc_SP'!AC619+'NI-Ric_SP'!AC619</f>
        <v>0</v>
      </c>
      <c r="AD619" s="272">
        <f>+'NI-San_SP'!AD619+'NI-Soc_SP'!AD619+'NI-Ric_SP'!AD619</f>
        <v>0</v>
      </c>
      <c r="AE619" s="272">
        <f>+'NI-San_SP'!AE619+'NI-Soc_SP'!AE619+'NI-Ric_SP'!AE619</f>
        <v>0</v>
      </c>
      <c r="AF619" s="272">
        <f>+'NI-San_SP'!AF619+'NI-Soc_SP'!AF619+'NI-Ric_SP'!AF619</f>
        <v>0</v>
      </c>
      <c r="AG619" s="272">
        <f>+'NI-San_SP'!AG619+'NI-Soc_SP'!AG619+'NI-Ric_SP'!AG619</f>
        <v>0</v>
      </c>
      <c r="AH619" s="272">
        <f>+'NI-San_SP'!AH619+'NI-Soc_SP'!AH619+'NI-Ric_SP'!AH619</f>
        <v>0</v>
      </c>
      <c r="AI619" s="272">
        <f>+'NI-San_SP'!AI619+'NI-Soc_SP'!AI619+'NI-Ric_SP'!AI619</f>
        <v>0</v>
      </c>
      <c r="AJ619" s="272">
        <f>+'NI-San_SP'!AJ619+'NI-Soc_SP'!AJ619+'NI-Ric_SP'!AJ619</f>
        <v>0</v>
      </c>
      <c r="AK619" s="272">
        <f>+'NI-San_SP'!AK619+'NI-Soc_SP'!AK619+'NI-Ric_SP'!AK619</f>
        <v>0</v>
      </c>
      <c r="AL619" s="272">
        <f>+'NI-San_SP'!AL619+'NI-Soc_SP'!AL619+'NI-Ric_SP'!AL619</f>
        <v>0</v>
      </c>
      <c r="AM619" s="272">
        <f>+'NI-San_SP'!AM619+'NI-Soc_SP'!AM619+'NI-Ric_SP'!AM619</f>
        <v>0</v>
      </c>
    </row>
    <row r="620" spans="1:39" s="204" customFormat="1" x14ac:dyDescent="0.25">
      <c r="B620" s="246" t="s">
        <v>1437</v>
      </c>
      <c r="C620" s="287" t="s">
        <v>1446</v>
      </c>
      <c r="D620" s="274" t="s">
        <v>3700</v>
      </c>
      <c r="E620" s="274"/>
      <c r="F620" s="274"/>
      <c r="G620" s="283"/>
      <c r="H620" s="266"/>
      <c r="I620" s="274"/>
      <c r="J620" s="281"/>
      <c r="K620" s="281"/>
      <c r="L620" s="379" t="s">
        <v>3701</v>
      </c>
      <c r="M620" s="284" t="s">
        <v>2962</v>
      </c>
      <c r="N620" s="269">
        <f>+R620-AA620</f>
        <v>0</v>
      </c>
      <c r="O620" s="270">
        <f>+Y620-AE620</f>
        <v>0</v>
      </c>
      <c r="P620" s="271">
        <f t="shared" si="80"/>
        <v>0</v>
      </c>
      <c r="Q620" s="272">
        <f>+'NI-San_SP'!Q620+'NI-Soc_SP'!Q620+'NI-Ric_SP'!Q620</f>
        <v>0</v>
      </c>
      <c r="R620" s="272">
        <f>+'NI-San_SP'!R620+'NI-Soc_SP'!R620+'NI-Ric_SP'!R620</f>
        <v>0</v>
      </c>
      <c r="S620" s="272">
        <f>+'NI-San_SP'!S620+'NI-Soc_SP'!S620+'NI-Ric_SP'!S620</f>
        <v>0</v>
      </c>
      <c r="T620" s="272">
        <f>+'NI-San_SP'!T620+'NI-Soc_SP'!T620+'NI-Ric_SP'!T620</f>
        <v>0</v>
      </c>
      <c r="U620" s="272">
        <f>+'NI-San_SP'!U620+'NI-Soc_SP'!U620+'NI-Ric_SP'!U620</f>
        <v>0</v>
      </c>
      <c r="V620" s="272">
        <f>+'NI-San_SP'!V620+'NI-Soc_SP'!V620+'NI-Ric_SP'!V620</f>
        <v>0</v>
      </c>
      <c r="W620" s="272">
        <f>+'NI-San_SP'!W620+'NI-Soc_SP'!W620+'NI-Ric_SP'!W620</f>
        <v>0</v>
      </c>
      <c r="X620" s="272">
        <f>+'NI-San_SP'!X620+'NI-Soc_SP'!X620+'NI-Ric_SP'!X620</f>
        <v>0</v>
      </c>
      <c r="Y620" s="272">
        <f>+'NI-San_SP'!Y620+'NI-Soc_SP'!Y620+'NI-Ric_SP'!Y620</f>
        <v>0</v>
      </c>
      <c r="Z620" s="272">
        <f>+'NI-San_SP'!Z620+'NI-Soc_SP'!Z620+'NI-Ric_SP'!Z620</f>
        <v>0</v>
      </c>
      <c r="AA620" s="272">
        <f>+'NI-San_SP'!AA620+'NI-Soc_SP'!AA620+'NI-Ric_SP'!AA620</f>
        <v>0</v>
      </c>
      <c r="AB620" s="272">
        <f>+'NI-San_SP'!AB620+'NI-Soc_SP'!AB620+'NI-Ric_SP'!AB620</f>
        <v>0</v>
      </c>
      <c r="AC620" s="272">
        <f>+'NI-San_SP'!AC620+'NI-Soc_SP'!AC620+'NI-Ric_SP'!AC620</f>
        <v>0</v>
      </c>
      <c r="AD620" s="272">
        <f>+'NI-San_SP'!AD620+'NI-Soc_SP'!AD620+'NI-Ric_SP'!AD620</f>
        <v>0</v>
      </c>
      <c r="AE620" s="272">
        <f>+'NI-San_SP'!AE620+'NI-Soc_SP'!AE620+'NI-Ric_SP'!AE620</f>
        <v>0</v>
      </c>
      <c r="AF620" s="272">
        <f>+'NI-San_SP'!AF620+'NI-Soc_SP'!AF620+'NI-Ric_SP'!AF620</f>
        <v>0</v>
      </c>
      <c r="AG620" s="272">
        <f>+'NI-San_SP'!AG620+'NI-Soc_SP'!AG620+'NI-Ric_SP'!AG620</f>
        <v>0</v>
      </c>
      <c r="AH620" s="272">
        <f>+'NI-San_SP'!AH620+'NI-Soc_SP'!AH620+'NI-Ric_SP'!AH620</f>
        <v>0</v>
      </c>
      <c r="AI620" s="272">
        <f>+'NI-San_SP'!AI620+'NI-Soc_SP'!AI620+'NI-Ric_SP'!AI620</f>
        <v>0</v>
      </c>
      <c r="AJ620" s="272">
        <f>+'NI-San_SP'!AJ620+'NI-Soc_SP'!AJ620+'NI-Ric_SP'!AJ620</f>
        <v>0</v>
      </c>
      <c r="AK620" s="272">
        <f>+'NI-San_SP'!AK620+'NI-Soc_SP'!AK620+'NI-Ric_SP'!AK620</f>
        <v>0</v>
      </c>
      <c r="AL620" s="272">
        <f>+'NI-San_SP'!AL620+'NI-Soc_SP'!AL620+'NI-Ric_SP'!AL620</f>
        <v>0</v>
      </c>
      <c r="AM620" s="272">
        <f>+'NI-San_SP'!AM620+'NI-Soc_SP'!AM620+'NI-Ric_SP'!AM620</f>
        <v>0</v>
      </c>
    </row>
    <row r="621" spans="1:39" s="204" customFormat="1" x14ac:dyDescent="0.25">
      <c r="B621" s="246" t="s">
        <v>1450</v>
      </c>
      <c r="C621" s="287" t="s">
        <v>1451</v>
      </c>
      <c r="D621" s="274" t="s">
        <v>3702</v>
      </c>
      <c r="E621" s="274"/>
      <c r="F621" s="274"/>
      <c r="G621" s="283"/>
      <c r="H621" s="266"/>
      <c r="I621" s="274"/>
      <c r="J621" s="281"/>
      <c r="K621" s="281"/>
      <c r="L621" s="379" t="s">
        <v>3703</v>
      </c>
      <c r="M621" s="284" t="s">
        <v>2962</v>
      </c>
      <c r="N621" s="272">
        <f>SUM(N622:N628)</f>
        <v>11488510</v>
      </c>
      <c r="O621" s="272">
        <f>SUM(O622:O628)</f>
        <v>36727183</v>
      </c>
      <c r="P621" s="378">
        <f t="shared" si="80"/>
        <v>25238673</v>
      </c>
      <c r="Q621" s="272">
        <f>+'NI-San_SP'!Q621+'NI-Soc_SP'!Q621+'NI-Ric_SP'!Q621</f>
        <v>0</v>
      </c>
      <c r="R621" s="272">
        <f>+'NI-San_SP'!R621+'NI-Soc_SP'!R621+'NI-Ric_SP'!R621</f>
        <v>11488510</v>
      </c>
      <c r="S621" s="272">
        <f>+'NI-San_SP'!S621+'NI-Soc_SP'!S621+'NI-Ric_SP'!S621</f>
        <v>0</v>
      </c>
      <c r="T621" s="272">
        <f>+'NI-San_SP'!T621+'NI-Soc_SP'!T621+'NI-Ric_SP'!T621</f>
        <v>0</v>
      </c>
      <c r="U621" s="272">
        <f>+'NI-San_SP'!U621+'NI-Soc_SP'!U621+'NI-Ric_SP'!U621</f>
        <v>63539046</v>
      </c>
      <c r="V621" s="272">
        <f>+'NI-San_SP'!V621+'NI-Soc_SP'!V621+'NI-Ric_SP'!V621</f>
        <v>1760666</v>
      </c>
      <c r="W621" s="272">
        <f>+'NI-San_SP'!W621+'NI-Soc_SP'!W621+'NI-Ric_SP'!W621</f>
        <v>0</v>
      </c>
      <c r="X621" s="272">
        <f>+'NI-San_SP'!X621+'NI-Soc_SP'!X621+'NI-Ric_SP'!X621</f>
        <v>36539707</v>
      </c>
      <c r="Y621" s="272">
        <f>+'NI-San_SP'!Y621+'NI-Soc_SP'!Y621+'NI-Ric_SP'!Y621</f>
        <v>36727183</v>
      </c>
      <c r="Z621" s="272">
        <f>+'NI-San_SP'!Z621+'NI-Soc_SP'!Z621+'NI-Ric_SP'!Z621</f>
        <v>0</v>
      </c>
      <c r="AA621" s="272">
        <f>+'NI-San_SP'!AA621+'NI-Soc_SP'!AA621+'NI-Ric_SP'!AA621</f>
        <v>0</v>
      </c>
      <c r="AB621" s="272">
        <f>+'NI-San_SP'!AB621+'NI-Soc_SP'!AB621+'NI-Ric_SP'!AB621</f>
        <v>0</v>
      </c>
      <c r="AC621" s="272">
        <f>+'NI-San_SP'!AC621+'NI-Soc_SP'!AC621+'NI-Ric_SP'!AC621</f>
        <v>0</v>
      </c>
      <c r="AD621" s="272">
        <f>+'NI-San_SP'!AD621+'NI-Soc_SP'!AD621+'NI-Ric_SP'!AD621</f>
        <v>0</v>
      </c>
      <c r="AE621" s="272">
        <f>+'NI-San_SP'!AE621+'NI-Soc_SP'!AE621+'NI-Ric_SP'!AE621</f>
        <v>0</v>
      </c>
      <c r="AF621" s="272">
        <f>+'NI-San_SP'!AF621+'NI-Soc_SP'!AF621+'NI-Ric_SP'!AF621</f>
        <v>194000</v>
      </c>
      <c r="AG621" s="272">
        <f>+'NI-San_SP'!AG621+'NI-Soc_SP'!AG621+'NI-Ric_SP'!AG621</f>
        <v>893000</v>
      </c>
      <c r="AH621" s="272">
        <f>+'NI-San_SP'!AH621+'NI-Soc_SP'!AH621+'NI-Ric_SP'!AH621</f>
        <v>2634000</v>
      </c>
      <c r="AI621" s="272">
        <f>+'NI-San_SP'!AI621+'NI-Soc_SP'!AI621+'NI-Ric_SP'!AI621</f>
        <v>6006844</v>
      </c>
      <c r="AJ621" s="272">
        <f>+'NI-San_SP'!AJ621+'NI-Soc_SP'!AJ621+'NI-Ric_SP'!AJ621</f>
        <v>26999339</v>
      </c>
      <c r="AK621" s="272">
        <f>+'NI-San_SP'!AK621+'NI-Soc_SP'!AK621+'NI-Ric_SP'!AK621</f>
        <v>35605059</v>
      </c>
      <c r="AL621" s="272">
        <f>+'NI-San_SP'!AL621+'NI-Soc_SP'!AL621+'NI-Ric_SP'!AL621</f>
        <v>1122124</v>
      </c>
      <c r="AM621" s="272">
        <f>+'NI-San_SP'!AM621+'NI-Soc_SP'!AM621+'NI-Ric_SP'!AM621</f>
        <v>0</v>
      </c>
    </row>
    <row r="622" spans="1:39" s="204" customFormat="1" x14ac:dyDescent="0.25">
      <c r="B622" s="246" t="s">
        <v>1453</v>
      </c>
      <c r="C622" s="287" t="s">
        <v>1454</v>
      </c>
      <c r="D622" s="274" t="s">
        <v>3704</v>
      </c>
      <c r="E622" s="274"/>
      <c r="F622" s="274"/>
      <c r="G622" s="283"/>
      <c r="H622" s="266"/>
      <c r="I622" s="274"/>
      <c r="J622" s="281"/>
      <c r="K622" s="281"/>
      <c r="L622" s="97" t="s">
        <v>3705</v>
      </c>
      <c r="M622" s="284" t="s">
        <v>2962</v>
      </c>
      <c r="N622" s="269">
        <f t="shared" ref="N622:N629" si="82">+R622-AA622</f>
        <v>0</v>
      </c>
      <c r="O622" s="270">
        <f t="shared" ref="O622:O629" si="83">+Y622-AE622</f>
        <v>0</v>
      </c>
      <c r="P622" s="271">
        <f t="shared" si="80"/>
        <v>0</v>
      </c>
      <c r="Q622" s="272">
        <f>+'NI-San_SP'!Q622+'NI-Soc_SP'!Q622+'NI-Ric_SP'!Q622</f>
        <v>0</v>
      </c>
      <c r="R622" s="272">
        <f>+'NI-San_SP'!R622+'NI-Soc_SP'!R622+'NI-Ric_SP'!R622</f>
        <v>0</v>
      </c>
      <c r="S622" s="272">
        <f>+'NI-San_SP'!S622+'NI-Soc_SP'!S622+'NI-Ric_SP'!S622</f>
        <v>0</v>
      </c>
      <c r="T622" s="272">
        <f>+'NI-San_SP'!T622+'NI-Soc_SP'!T622+'NI-Ric_SP'!T622</f>
        <v>0</v>
      </c>
      <c r="U622" s="272">
        <f>+'NI-San_SP'!U622+'NI-Soc_SP'!U622+'NI-Ric_SP'!U622</f>
        <v>0</v>
      </c>
      <c r="V622" s="272">
        <f>+'NI-San_SP'!V622+'NI-Soc_SP'!V622+'NI-Ric_SP'!V622</f>
        <v>0</v>
      </c>
      <c r="W622" s="272">
        <f>+'NI-San_SP'!W622+'NI-Soc_SP'!W622+'NI-Ric_SP'!W622</f>
        <v>0</v>
      </c>
      <c r="X622" s="272">
        <f>+'NI-San_SP'!X622+'NI-Soc_SP'!X622+'NI-Ric_SP'!X622</f>
        <v>0</v>
      </c>
      <c r="Y622" s="272">
        <f>+'NI-San_SP'!Y622+'NI-Soc_SP'!Y622+'NI-Ric_SP'!Y622</f>
        <v>0</v>
      </c>
      <c r="Z622" s="272">
        <f>+'NI-San_SP'!Z622+'NI-Soc_SP'!Z622+'NI-Ric_SP'!Z622</f>
        <v>0</v>
      </c>
      <c r="AA622" s="272">
        <f>+'NI-San_SP'!AA622+'NI-Soc_SP'!AA622+'NI-Ric_SP'!AA622</f>
        <v>0</v>
      </c>
      <c r="AB622" s="272">
        <f>+'NI-San_SP'!AB622+'NI-Soc_SP'!AB622+'NI-Ric_SP'!AB622</f>
        <v>0</v>
      </c>
      <c r="AC622" s="272">
        <f>+'NI-San_SP'!AC622+'NI-Soc_SP'!AC622+'NI-Ric_SP'!AC622</f>
        <v>0</v>
      </c>
      <c r="AD622" s="272">
        <f>+'NI-San_SP'!AD622+'NI-Soc_SP'!AD622+'NI-Ric_SP'!AD622</f>
        <v>0</v>
      </c>
      <c r="AE622" s="272">
        <f>+'NI-San_SP'!AE622+'NI-Soc_SP'!AE622+'NI-Ric_SP'!AE622</f>
        <v>0</v>
      </c>
      <c r="AF622" s="272">
        <f>+'NI-San_SP'!AF622+'NI-Soc_SP'!AF622+'NI-Ric_SP'!AF622</f>
        <v>0</v>
      </c>
      <c r="AG622" s="272">
        <f>+'NI-San_SP'!AG622+'NI-Soc_SP'!AG622+'NI-Ric_SP'!AG622</f>
        <v>0</v>
      </c>
      <c r="AH622" s="272">
        <f>+'NI-San_SP'!AH622+'NI-Soc_SP'!AH622+'NI-Ric_SP'!AH622</f>
        <v>0</v>
      </c>
      <c r="AI622" s="272">
        <f>+'NI-San_SP'!AI622+'NI-Soc_SP'!AI622+'NI-Ric_SP'!AI622</f>
        <v>0</v>
      </c>
      <c r="AJ622" s="272">
        <f>+'NI-San_SP'!AJ622+'NI-Soc_SP'!AJ622+'NI-Ric_SP'!AJ622</f>
        <v>0</v>
      </c>
      <c r="AK622" s="272">
        <f>+'NI-San_SP'!AK622+'NI-Soc_SP'!AK622+'NI-Ric_SP'!AK622</f>
        <v>0</v>
      </c>
      <c r="AL622" s="272">
        <f>+'NI-San_SP'!AL622+'NI-Soc_SP'!AL622+'NI-Ric_SP'!AL622</f>
        <v>0</v>
      </c>
      <c r="AM622" s="272">
        <f>+'NI-San_SP'!AM622+'NI-Soc_SP'!AM622+'NI-Ric_SP'!AM622</f>
        <v>0</v>
      </c>
    </row>
    <row r="623" spans="1:39" s="204" customFormat="1" x14ac:dyDescent="0.25">
      <c r="B623" s="246" t="s">
        <v>1457</v>
      </c>
      <c r="C623" s="287" t="s">
        <v>1458</v>
      </c>
      <c r="D623" s="274" t="s">
        <v>3706</v>
      </c>
      <c r="E623" s="274"/>
      <c r="F623" s="274"/>
      <c r="G623" s="283"/>
      <c r="H623" s="266"/>
      <c r="I623" s="274"/>
      <c r="J623" s="281"/>
      <c r="K623" s="281"/>
      <c r="L623" s="97" t="s">
        <v>3707</v>
      </c>
      <c r="M623" s="284" t="s">
        <v>2962</v>
      </c>
      <c r="N623" s="269">
        <f t="shared" si="82"/>
        <v>0</v>
      </c>
      <c r="O623" s="270">
        <f t="shared" si="83"/>
        <v>0</v>
      </c>
      <c r="P623" s="271">
        <f t="shared" si="80"/>
        <v>0</v>
      </c>
      <c r="Q623" s="272">
        <f>+'NI-San_SP'!Q623+'NI-Soc_SP'!Q623+'NI-Ric_SP'!Q623</f>
        <v>0</v>
      </c>
      <c r="R623" s="272">
        <f>+'NI-San_SP'!R623+'NI-Soc_SP'!R623+'NI-Ric_SP'!R623</f>
        <v>0</v>
      </c>
      <c r="S623" s="272">
        <f>+'NI-San_SP'!S623+'NI-Soc_SP'!S623+'NI-Ric_SP'!S623</f>
        <v>0</v>
      </c>
      <c r="T623" s="272">
        <f>+'NI-San_SP'!T623+'NI-Soc_SP'!T623+'NI-Ric_SP'!T623</f>
        <v>0</v>
      </c>
      <c r="U623" s="272">
        <f>+'NI-San_SP'!U623+'NI-Soc_SP'!U623+'NI-Ric_SP'!U623</f>
        <v>0</v>
      </c>
      <c r="V623" s="272">
        <f>+'NI-San_SP'!V623+'NI-Soc_SP'!V623+'NI-Ric_SP'!V623</f>
        <v>0</v>
      </c>
      <c r="W623" s="272">
        <f>+'NI-San_SP'!W623+'NI-Soc_SP'!W623+'NI-Ric_SP'!W623</f>
        <v>0</v>
      </c>
      <c r="X623" s="272">
        <f>+'NI-San_SP'!X623+'NI-Soc_SP'!X623+'NI-Ric_SP'!X623</f>
        <v>0</v>
      </c>
      <c r="Y623" s="272">
        <f>+'NI-San_SP'!Y623+'NI-Soc_SP'!Y623+'NI-Ric_SP'!Y623</f>
        <v>0</v>
      </c>
      <c r="Z623" s="272">
        <f>+'NI-San_SP'!Z623+'NI-Soc_SP'!Z623+'NI-Ric_SP'!Z623</f>
        <v>0</v>
      </c>
      <c r="AA623" s="272">
        <f>+'NI-San_SP'!AA623+'NI-Soc_SP'!AA623+'NI-Ric_SP'!AA623</f>
        <v>0</v>
      </c>
      <c r="AB623" s="272">
        <f>+'NI-San_SP'!AB623+'NI-Soc_SP'!AB623+'NI-Ric_SP'!AB623</f>
        <v>0</v>
      </c>
      <c r="AC623" s="272">
        <f>+'NI-San_SP'!AC623+'NI-Soc_SP'!AC623+'NI-Ric_SP'!AC623</f>
        <v>0</v>
      </c>
      <c r="AD623" s="272">
        <f>+'NI-San_SP'!AD623+'NI-Soc_SP'!AD623+'NI-Ric_SP'!AD623</f>
        <v>0</v>
      </c>
      <c r="AE623" s="272">
        <f>+'NI-San_SP'!AE623+'NI-Soc_SP'!AE623+'NI-Ric_SP'!AE623</f>
        <v>0</v>
      </c>
      <c r="AF623" s="272">
        <f>+'NI-San_SP'!AF623+'NI-Soc_SP'!AF623+'NI-Ric_SP'!AF623</f>
        <v>0</v>
      </c>
      <c r="AG623" s="272">
        <f>+'NI-San_SP'!AG623+'NI-Soc_SP'!AG623+'NI-Ric_SP'!AG623</f>
        <v>0</v>
      </c>
      <c r="AH623" s="272">
        <f>+'NI-San_SP'!AH623+'NI-Soc_SP'!AH623+'NI-Ric_SP'!AH623</f>
        <v>0</v>
      </c>
      <c r="AI623" s="272">
        <f>+'NI-San_SP'!AI623+'NI-Soc_SP'!AI623+'NI-Ric_SP'!AI623</f>
        <v>0</v>
      </c>
      <c r="AJ623" s="272">
        <f>+'NI-San_SP'!AJ623+'NI-Soc_SP'!AJ623+'NI-Ric_SP'!AJ623</f>
        <v>0</v>
      </c>
      <c r="AK623" s="272">
        <f>+'NI-San_SP'!AK623+'NI-Soc_SP'!AK623+'NI-Ric_SP'!AK623</f>
        <v>0</v>
      </c>
      <c r="AL623" s="272">
        <f>+'NI-San_SP'!AL623+'NI-Soc_SP'!AL623+'NI-Ric_SP'!AL623</f>
        <v>0</v>
      </c>
      <c r="AM623" s="272">
        <f>+'NI-San_SP'!AM623+'NI-Soc_SP'!AM623+'NI-Ric_SP'!AM623</f>
        <v>0</v>
      </c>
    </row>
    <row r="624" spans="1:39" s="204" customFormat="1" x14ac:dyDescent="0.25">
      <c r="B624" s="246" t="s">
        <v>1460</v>
      </c>
      <c r="C624" s="287" t="s">
        <v>1461</v>
      </c>
      <c r="D624" s="274" t="s">
        <v>3708</v>
      </c>
      <c r="E624" s="274"/>
      <c r="F624" s="274"/>
      <c r="G624" s="283"/>
      <c r="H624" s="266"/>
      <c r="I624" s="274"/>
      <c r="J624" s="281"/>
      <c r="K624" s="281"/>
      <c r="L624" s="97" t="s">
        <v>3709</v>
      </c>
      <c r="M624" s="284" t="s">
        <v>2962</v>
      </c>
      <c r="N624" s="269">
        <f t="shared" si="82"/>
        <v>0</v>
      </c>
      <c r="O624" s="270">
        <f t="shared" si="83"/>
        <v>0</v>
      </c>
      <c r="P624" s="271">
        <f t="shared" si="80"/>
        <v>0</v>
      </c>
      <c r="Q624" s="272">
        <f>+'NI-San_SP'!Q624+'NI-Soc_SP'!Q624+'NI-Ric_SP'!Q624</f>
        <v>0</v>
      </c>
      <c r="R624" s="272">
        <f>+'NI-San_SP'!R624+'NI-Soc_SP'!R624+'NI-Ric_SP'!R624</f>
        <v>0</v>
      </c>
      <c r="S624" s="272">
        <f>+'NI-San_SP'!S624+'NI-Soc_SP'!S624+'NI-Ric_SP'!S624</f>
        <v>0</v>
      </c>
      <c r="T624" s="272">
        <f>+'NI-San_SP'!T624+'NI-Soc_SP'!T624+'NI-Ric_SP'!T624</f>
        <v>0</v>
      </c>
      <c r="U624" s="272">
        <f>+'NI-San_SP'!U624+'NI-Soc_SP'!U624+'NI-Ric_SP'!U624</f>
        <v>15675885</v>
      </c>
      <c r="V624" s="272">
        <f>+'NI-San_SP'!V624+'NI-Soc_SP'!V624+'NI-Ric_SP'!V624</f>
        <v>0</v>
      </c>
      <c r="W624" s="272">
        <f>+'NI-San_SP'!W624+'NI-Soc_SP'!W624+'NI-Ric_SP'!W624</f>
        <v>0</v>
      </c>
      <c r="X624" s="272">
        <f>+'NI-San_SP'!X624+'NI-Soc_SP'!X624+'NI-Ric_SP'!X624</f>
        <v>15675885</v>
      </c>
      <c r="Y624" s="272">
        <f>+'NI-San_SP'!Y624+'NI-Soc_SP'!Y624+'NI-Ric_SP'!Y624</f>
        <v>0</v>
      </c>
      <c r="Z624" s="272">
        <f>+'NI-San_SP'!Z624+'NI-Soc_SP'!Z624+'NI-Ric_SP'!Z624</f>
        <v>0</v>
      </c>
      <c r="AA624" s="272">
        <f>+'NI-San_SP'!AA624+'NI-Soc_SP'!AA624+'NI-Ric_SP'!AA624</f>
        <v>0</v>
      </c>
      <c r="AB624" s="272">
        <f>+'NI-San_SP'!AB624+'NI-Soc_SP'!AB624+'NI-Ric_SP'!AB624</f>
        <v>0</v>
      </c>
      <c r="AC624" s="272">
        <f>+'NI-San_SP'!AC624+'NI-Soc_SP'!AC624+'NI-Ric_SP'!AC624</f>
        <v>0</v>
      </c>
      <c r="AD624" s="272">
        <f>+'NI-San_SP'!AD624+'NI-Soc_SP'!AD624+'NI-Ric_SP'!AD624</f>
        <v>0</v>
      </c>
      <c r="AE624" s="272">
        <f>+'NI-San_SP'!AE624+'NI-Soc_SP'!AE624+'NI-Ric_SP'!AE624</f>
        <v>0</v>
      </c>
      <c r="AF624" s="272">
        <f>+'NI-San_SP'!AF624+'NI-Soc_SP'!AF624+'NI-Ric_SP'!AF624</f>
        <v>0</v>
      </c>
      <c r="AG624" s="272">
        <f>+'NI-San_SP'!AG624+'NI-Soc_SP'!AG624+'NI-Ric_SP'!AG624</f>
        <v>0</v>
      </c>
      <c r="AH624" s="272">
        <f>+'NI-San_SP'!AH624+'NI-Soc_SP'!AH624+'NI-Ric_SP'!AH624</f>
        <v>0</v>
      </c>
      <c r="AI624" s="272">
        <f>+'NI-San_SP'!AI624+'NI-Soc_SP'!AI624+'NI-Ric_SP'!AI624</f>
        <v>0</v>
      </c>
      <c r="AJ624" s="272">
        <f>+'NI-San_SP'!AJ624+'NI-Soc_SP'!AJ624+'NI-Ric_SP'!AJ624</f>
        <v>0</v>
      </c>
      <c r="AK624" s="272">
        <f>+'NI-San_SP'!AK624+'NI-Soc_SP'!AK624+'NI-Ric_SP'!AK624</f>
        <v>0</v>
      </c>
      <c r="AL624" s="272">
        <f>+'NI-San_SP'!AL624+'NI-Soc_SP'!AL624+'NI-Ric_SP'!AL624</f>
        <v>0</v>
      </c>
      <c r="AM624" s="272">
        <f>+'NI-San_SP'!AM624+'NI-Soc_SP'!AM624+'NI-Ric_SP'!AM624</f>
        <v>0</v>
      </c>
    </row>
    <row r="625" spans="1:39" s="204" customFormat="1" x14ac:dyDescent="0.25">
      <c r="B625" s="246" t="s">
        <v>1463</v>
      </c>
      <c r="C625" s="287" t="s">
        <v>1464</v>
      </c>
      <c r="D625" s="274" t="s">
        <v>3710</v>
      </c>
      <c r="E625" s="274"/>
      <c r="F625" s="274"/>
      <c r="G625" s="283"/>
      <c r="H625" s="266"/>
      <c r="I625" s="274"/>
      <c r="J625" s="281"/>
      <c r="K625" s="281"/>
      <c r="L625" s="386" t="s">
        <v>3711</v>
      </c>
      <c r="M625" s="284" t="s">
        <v>2962</v>
      </c>
      <c r="N625" s="269">
        <f t="shared" si="82"/>
        <v>10332910</v>
      </c>
      <c r="O625" s="270">
        <f t="shared" si="83"/>
        <v>29430790</v>
      </c>
      <c r="P625" s="271">
        <f t="shared" si="80"/>
        <v>19097880</v>
      </c>
      <c r="Q625" s="272">
        <f>+'NI-San_SP'!Q625+'NI-Soc_SP'!Q625+'NI-Ric_SP'!Q625</f>
        <v>0</v>
      </c>
      <c r="R625" s="272">
        <f>+'NI-San_SP'!R625+'NI-Soc_SP'!R625+'NI-Ric_SP'!R625</f>
        <v>10332910</v>
      </c>
      <c r="S625" s="272">
        <f>+'NI-San_SP'!S625+'NI-Soc_SP'!S625+'NI-Ric_SP'!S625</f>
        <v>0</v>
      </c>
      <c r="T625" s="272">
        <f>+'NI-San_SP'!T625+'NI-Soc_SP'!T625+'NI-Ric_SP'!T625</f>
        <v>0</v>
      </c>
      <c r="U625" s="272">
        <f>+'NI-San_SP'!U625+'NI-Soc_SP'!U625+'NI-Ric_SP'!U625</f>
        <v>35859930</v>
      </c>
      <c r="V625" s="272">
        <f>+'NI-San_SP'!V625+'NI-Soc_SP'!V625+'NI-Ric_SP'!V625</f>
        <v>1713066</v>
      </c>
      <c r="W625" s="272">
        <f>+'NI-San_SP'!W625+'NI-Soc_SP'!W625+'NI-Ric_SP'!W625</f>
        <v>0</v>
      </c>
      <c r="X625" s="272">
        <f>+'NI-San_SP'!X625+'NI-Soc_SP'!X625+'NI-Ric_SP'!X625</f>
        <v>15048984</v>
      </c>
      <c r="Y625" s="272">
        <f>+'NI-San_SP'!Y625+'NI-Soc_SP'!Y625+'NI-Ric_SP'!Y625</f>
        <v>29430790</v>
      </c>
      <c r="Z625" s="272">
        <f>+'NI-San_SP'!Z625+'NI-Soc_SP'!Z625+'NI-Ric_SP'!Z625</f>
        <v>0</v>
      </c>
      <c r="AA625" s="272">
        <f>+'NI-San_SP'!AA625+'NI-Soc_SP'!AA625+'NI-Ric_SP'!AA625</f>
        <v>0</v>
      </c>
      <c r="AB625" s="272">
        <f>+'NI-San_SP'!AB625+'NI-Soc_SP'!AB625+'NI-Ric_SP'!AB625</f>
        <v>0</v>
      </c>
      <c r="AC625" s="272">
        <f>+'NI-San_SP'!AC625+'NI-Soc_SP'!AC625+'NI-Ric_SP'!AC625</f>
        <v>0</v>
      </c>
      <c r="AD625" s="272">
        <f>+'NI-San_SP'!AD625+'NI-Soc_SP'!AD625+'NI-Ric_SP'!AD625</f>
        <v>0</v>
      </c>
      <c r="AE625" s="272">
        <f>+'NI-San_SP'!AE625+'NI-Soc_SP'!AE625+'NI-Ric_SP'!AE625</f>
        <v>0</v>
      </c>
      <c r="AF625" s="272">
        <f>+'NI-San_SP'!AF625+'NI-Soc_SP'!AF625+'NI-Ric_SP'!AF625</f>
        <v>0</v>
      </c>
      <c r="AG625" s="272">
        <f>+'NI-San_SP'!AG625+'NI-Soc_SP'!AG625+'NI-Ric_SP'!AG625</f>
        <v>0</v>
      </c>
      <c r="AH625" s="272">
        <f>+'NI-San_SP'!AH625+'NI-Soc_SP'!AH625+'NI-Ric_SP'!AH625</f>
        <v>2634000</v>
      </c>
      <c r="AI625" s="272">
        <f>+'NI-San_SP'!AI625+'NI-Soc_SP'!AI625+'NI-Ric_SP'!AI625</f>
        <v>5985844</v>
      </c>
      <c r="AJ625" s="272">
        <f>+'NI-San_SP'!AJ625+'NI-Soc_SP'!AJ625+'NI-Ric_SP'!AJ625</f>
        <v>20810946</v>
      </c>
      <c r="AK625" s="272">
        <f>+'NI-San_SP'!AK625+'NI-Soc_SP'!AK625+'NI-Ric_SP'!AK625</f>
        <v>29430790</v>
      </c>
      <c r="AL625" s="272">
        <f>+'NI-San_SP'!AL625+'NI-Soc_SP'!AL625+'NI-Ric_SP'!AL625</f>
        <v>0</v>
      </c>
      <c r="AM625" s="272">
        <f>+'NI-San_SP'!AM625+'NI-Soc_SP'!AM625+'NI-Ric_SP'!AM625</f>
        <v>0</v>
      </c>
    </row>
    <row r="626" spans="1:39" s="204" customFormat="1" x14ac:dyDescent="0.25">
      <c r="B626" s="246" t="s">
        <v>1466</v>
      </c>
      <c r="C626" s="287" t="s">
        <v>1467</v>
      </c>
      <c r="D626" s="274" t="s">
        <v>3712</v>
      </c>
      <c r="E626" s="274"/>
      <c r="F626" s="274"/>
      <c r="G626" s="283"/>
      <c r="H626" s="266"/>
      <c r="I626" s="274"/>
      <c r="J626" s="281"/>
      <c r="K626" s="281"/>
      <c r="L626" s="97" t="s">
        <v>3713</v>
      </c>
      <c r="M626" s="284" t="s">
        <v>2962</v>
      </c>
      <c r="N626" s="269">
        <f t="shared" si="82"/>
        <v>1119067</v>
      </c>
      <c r="O626" s="270">
        <f t="shared" si="83"/>
        <v>1262229</v>
      </c>
      <c r="P626" s="271">
        <f t="shared" si="80"/>
        <v>143162</v>
      </c>
      <c r="Q626" s="272">
        <f>+'NI-San_SP'!Q626+'NI-Soc_SP'!Q626+'NI-Ric_SP'!Q626</f>
        <v>0</v>
      </c>
      <c r="R626" s="272">
        <f>+'NI-San_SP'!R626+'NI-Soc_SP'!R626+'NI-Ric_SP'!R626</f>
        <v>1119067</v>
      </c>
      <c r="S626" s="272">
        <f>+'NI-San_SP'!S626+'NI-Soc_SP'!S626+'NI-Ric_SP'!S626</f>
        <v>0</v>
      </c>
      <c r="T626" s="272">
        <f>+'NI-San_SP'!T626+'NI-Soc_SP'!T626+'NI-Ric_SP'!T626</f>
        <v>0</v>
      </c>
      <c r="U626" s="272">
        <f>+'NI-San_SP'!U626+'NI-Soc_SP'!U626+'NI-Ric_SP'!U626</f>
        <v>1119524</v>
      </c>
      <c r="V626" s="272">
        <f>+'NI-San_SP'!V626+'NI-Soc_SP'!V626+'NI-Ric_SP'!V626</f>
        <v>32067</v>
      </c>
      <c r="W626" s="272">
        <f>+'NI-San_SP'!W626+'NI-Soc_SP'!W626+'NI-Ric_SP'!W626</f>
        <v>0</v>
      </c>
      <c r="X626" s="272">
        <f>+'NI-San_SP'!X626+'NI-Soc_SP'!X626+'NI-Ric_SP'!X626</f>
        <v>944295</v>
      </c>
      <c r="Y626" s="272">
        <f>+'NI-San_SP'!Y626+'NI-Soc_SP'!Y626+'NI-Ric_SP'!Y626</f>
        <v>1262229</v>
      </c>
      <c r="Z626" s="272">
        <f>+'NI-San_SP'!Z626+'NI-Soc_SP'!Z626+'NI-Ric_SP'!Z626</f>
        <v>0</v>
      </c>
      <c r="AA626" s="272">
        <f>+'NI-San_SP'!AA626+'NI-Soc_SP'!AA626+'NI-Ric_SP'!AA626</f>
        <v>0</v>
      </c>
      <c r="AB626" s="272">
        <f>+'NI-San_SP'!AB626+'NI-Soc_SP'!AB626+'NI-Ric_SP'!AB626</f>
        <v>0</v>
      </c>
      <c r="AC626" s="272">
        <f>+'NI-San_SP'!AC626+'NI-Soc_SP'!AC626+'NI-Ric_SP'!AC626</f>
        <v>0</v>
      </c>
      <c r="AD626" s="272">
        <f>+'NI-San_SP'!AD626+'NI-Soc_SP'!AD626+'NI-Ric_SP'!AD626</f>
        <v>0</v>
      </c>
      <c r="AE626" s="272">
        <f>+'NI-San_SP'!AE626+'NI-Soc_SP'!AE626+'NI-Ric_SP'!AE626</f>
        <v>0</v>
      </c>
      <c r="AF626" s="272">
        <f>+'NI-San_SP'!AF626+'NI-Soc_SP'!AF626+'NI-Ric_SP'!AF626</f>
        <v>194000</v>
      </c>
      <c r="AG626" s="272">
        <f>+'NI-San_SP'!AG626+'NI-Soc_SP'!AG626+'NI-Ric_SP'!AG626</f>
        <v>893000</v>
      </c>
      <c r="AH626" s="272">
        <f>+'NI-San_SP'!AH626+'NI-Soc_SP'!AH626+'NI-Ric_SP'!AH626</f>
        <v>0</v>
      </c>
      <c r="AI626" s="272">
        <f>+'NI-San_SP'!AI626+'NI-Soc_SP'!AI626+'NI-Ric_SP'!AI626</f>
        <v>21000</v>
      </c>
      <c r="AJ626" s="272">
        <f>+'NI-San_SP'!AJ626+'NI-Soc_SP'!AJ626+'NI-Ric_SP'!AJ626</f>
        <v>154229</v>
      </c>
      <c r="AK626" s="272">
        <f>+'NI-San_SP'!AK626+'NI-Soc_SP'!AK626+'NI-Ric_SP'!AK626</f>
        <v>175229</v>
      </c>
      <c r="AL626" s="272">
        <f>+'NI-San_SP'!AL626+'NI-Soc_SP'!AL626+'NI-Ric_SP'!AL626</f>
        <v>1087000</v>
      </c>
      <c r="AM626" s="272">
        <f>+'NI-San_SP'!AM626+'NI-Soc_SP'!AM626+'NI-Ric_SP'!AM626</f>
        <v>0</v>
      </c>
    </row>
    <row r="627" spans="1:39" s="204" customFormat="1" x14ac:dyDescent="0.25">
      <c r="B627" s="246" t="s">
        <v>1469</v>
      </c>
      <c r="C627" s="287" t="s">
        <v>1470</v>
      </c>
      <c r="D627" s="274" t="s">
        <v>3714</v>
      </c>
      <c r="E627" s="274"/>
      <c r="F627" s="274"/>
      <c r="G627" s="283"/>
      <c r="H627" s="266"/>
      <c r="I627" s="274"/>
      <c r="J627" s="281"/>
      <c r="K627" s="281"/>
      <c r="L627" s="97" t="s">
        <v>3715</v>
      </c>
      <c r="M627" s="284" t="s">
        <v>2962</v>
      </c>
      <c r="N627" s="269">
        <f t="shared" si="82"/>
        <v>36533</v>
      </c>
      <c r="O627" s="270">
        <f t="shared" si="83"/>
        <v>35124</v>
      </c>
      <c r="P627" s="271">
        <f t="shared" si="80"/>
        <v>-1409</v>
      </c>
      <c r="Q627" s="272">
        <f>+'NI-San_SP'!Q627+'NI-Soc_SP'!Q627+'NI-Ric_SP'!Q627</f>
        <v>0</v>
      </c>
      <c r="R627" s="272">
        <f>+'NI-San_SP'!R627+'NI-Soc_SP'!R627+'NI-Ric_SP'!R627</f>
        <v>36533</v>
      </c>
      <c r="S627" s="272">
        <f>+'NI-San_SP'!S627+'NI-Soc_SP'!S627+'NI-Ric_SP'!S627</f>
        <v>0</v>
      </c>
      <c r="T627" s="272">
        <f>+'NI-San_SP'!T627+'NI-Soc_SP'!T627+'NI-Ric_SP'!T627</f>
        <v>0</v>
      </c>
      <c r="U627" s="272">
        <f>+'NI-San_SP'!U627+'NI-Soc_SP'!U627+'NI-Ric_SP'!U627</f>
        <v>1276224</v>
      </c>
      <c r="V627" s="272">
        <f>+'NI-San_SP'!V627+'NI-Soc_SP'!V627+'NI-Ric_SP'!V627</f>
        <v>15533</v>
      </c>
      <c r="W627" s="272">
        <f>+'NI-San_SP'!W627+'NI-Soc_SP'!W627+'NI-Ric_SP'!W627</f>
        <v>0</v>
      </c>
      <c r="X627" s="272">
        <f>+'NI-San_SP'!X627+'NI-Soc_SP'!X627+'NI-Ric_SP'!X627</f>
        <v>1262100</v>
      </c>
      <c r="Y627" s="272">
        <f>+'NI-San_SP'!Y627+'NI-Soc_SP'!Y627+'NI-Ric_SP'!Y627</f>
        <v>35124</v>
      </c>
      <c r="Z627" s="272">
        <f>+'NI-San_SP'!Z627+'NI-Soc_SP'!Z627+'NI-Ric_SP'!Z627</f>
        <v>0</v>
      </c>
      <c r="AA627" s="272">
        <f>+'NI-San_SP'!AA627+'NI-Soc_SP'!AA627+'NI-Ric_SP'!AA627</f>
        <v>0</v>
      </c>
      <c r="AB627" s="272">
        <f>+'NI-San_SP'!AB627+'NI-Soc_SP'!AB627+'NI-Ric_SP'!AB627</f>
        <v>0</v>
      </c>
      <c r="AC627" s="272">
        <f>+'NI-San_SP'!AC627+'NI-Soc_SP'!AC627+'NI-Ric_SP'!AC627</f>
        <v>0</v>
      </c>
      <c r="AD627" s="272">
        <f>+'NI-San_SP'!AD627+'NI-Soc_SP'!AD627+'NI-Ric_SP'!AD627</f>
        <v>0</v>
      </c>
      <c r="AE627" s="272">
        <f>+'NI-San_SP'!AE627+'NI-Soc_SP'!AE627+'NI-Ric_SP'!AE627</f>
        <v>0</v>
      </c>
      <c r="AF627" s="272">
        <f>+'NI-San_SP'!AF627+'NI-Soc_SP'!AF627+'NI-Ric_SP'!AF627</f>
        <v>0</v>
      </c>
      <c r="AG627" s="272">
        <f>+'NI-San_SP'!AG627+'NI-Soc_SP'!AG627+'NI-Ric_SP'!AG627</f>
        <v>0</v>
      </c>
      <c r="AH627" s="272">
        <f>+'NI-San_SP'!AH627+'NI-Soc_SP'!AH627+'NI-Ric_SP'!AH627</f>
        <v>0</v>
      </c>
      <c r="AI627" s="272">
        <f>+'NI-San_SP'!AI627+'NI-Soc_SP'!AI627+'NI-Ric_SP'!AI627</f>
        <v>0</v>
      </c>
      <c r="AJ627" s="272">
        <f>+'NI-San_SP'!AJ627+'NI-Soc_SP'!AJ627+'NI-Ric_SP'!AJ627</f>
        <v>35124</v>
      </c>
      <c r="AK627" s="272">
        <f>+'NI-San_SP'!AK627+'NI-Soc_SP'!AK627+'NI-Ric_SP'!AK627</f>
        <v>0</v>
      </c>
      <c r="AL627" s="272">
        <f>+'NI-San_SP'!AL627+'NI-Soc_SP'!AL627+'NI-Ric_SP'!AL627</f>
        <v>35124</v>
      </c>
      <c r="AM627" s="272">
        <f>+'NI-San_SP'!AM627+'NI-Soc_SP'!AM627+'NI-Ric_SP'!AM627</f>
        <v>0</v>
      </c>
    </row>
    <row r="628" spans="1:39" s="204" customFormat="1" x14ac:dyDescent="0.25">
      <c r="B628" s="287" t="s">
        <v>1473</v>
      </c>
      <c r="C628" s="287" t="s">
        <v>1474</v>
      </c>
      <c r="D628" s="274"/>
      <c r="E628" s="274"/>
      <c r="F628" s="274"/>
      <c r="G628" s="283"/>
      <c r="H628" s="266"/>
      <c r="I628" s="274"/>
      <c r="J628" s="281"/>
      <c r="K628" s="281"/>
      <c r="L628" s="97" t="s">
        <v>1475</v>
      </c>
      <c r="M628" s="284" t="s">
        <v>2962</v>
      </c>
      <c r="N628" s="269">
        <f t="shared" si="82"/>
        <v>0</v>
      </c>
      <c r="O628" s="270">
        <f t="shared" si="83"/>
        <v>5999040</v>
      </c>
      <c r="P628" s="271">
        <f t="shared" si="80"/>
        <v>5999040</v>
      </c>
      <c r="Q628" s="272">
        <f>+'NI-San_SP'!Q628+'NI-Soc_SP'!Q628+'NI-Ric_SP'!Q628</f>
        <v>0</v>
      </c>
      <c r="R628" s="272">
        <f>+'NI-San_SP'!R628+'NI-Soc_SP'!R628+'NI-Ric_SP'!R628</f>
        <v>0</v>
      </c>
      <c r="S628" s="272">
        <f>+'NI-San_SP'!S628+'NI-Soc_SP'!S628+'NI-Ric_SP'!S628</f>
        <v>0</v>
      </c>
      <c r="T628" s="272">
        <f>+'NI-San_SP'!T628+'NI-Soc_SP'!T628+'NI-Ric_SP'!T628</f>
        <v>0</v>
      </c>
      <c r="U628" s="272">
        <f>+'NI-San_SP'!U628+'NI-Soc_SP'!U628+'NI-Ric_SP'!U628</f>
        <v>9607483</v>
      </c>
      <c r="V628" s="272">
        <f>+'NI-San_SP'!V628+'NI-Soc_SP'!V628+'NI-Ric_SP'!V628</f>
        <v>0</v>
      </c>
      <c r="W628" s="272">
        <f>+'NI-San_SP'!W628+'NI-Soc_SP'!W628+'NI-Ric_SP'!W628</f>
        <v>0</v>
      </c>
      <c r="X628" s="272">
        <f>+'NI-San_SP'!X628+'NI-Soc_SP'!X628+'NI-Ric_SP'!X628</f>
        <v>3608443</v>
      </c>
      <c r="Y628" s="272">
        <f>+'NI-San_SP'!Y628+'NI-Soc_SP'!Y628+'NI-Ric_SP'!Y628</f>
        <v>5999040</v>
      </c>
      <c r="Z628" s="272">
        <f>+'NI-San_SP'!Z628+'NI-Soc_SP'!Z628+'NI-Ric_SP'!Z628</f>
        <v>0</v>
      </c>
      <c r="AA628" s="272">
        <f>+'NI-San_SP'!AA628+'NI-Soc_SP'!AA628+'NI-Ric_SP'!AA628</f>
        <v>0</v>
      </c>
      <c r="AB628" s="272">
        <f>+'NI-San_SP'!AB628+'NI-Soc_SP'!AB628+'NI-Ric_SP'!AB628</f>
        <v>0</v>
      </c>
      <c r="AC628" s="272">
        <f>+'NI-San_SP'!AC628+'NI-Soc_SP'!AC628+'NI-Ric_SP'!AC628</f>
        <v>0</v>
      </c>
      <c r="AD628" s="272">
        <f>+'NI-San_SP'!AD628+'NI-Soc_SP'!AD628+'NI-Ric_SP'!AD628</f>
        <v>0</v>
      </c>
      <c r="AE628" s="272">
        <f>+'NI-San_SP'!AE628+'NI-Soc_SP'!AE628+'NI-Ric_SP'!AE628</f>
        <v>0</v>
      </c>
      <c r="AF628" s="272">
        <f>+'NI-San_SP'!AF628+'NI-Soc_SP'!AF628+'NI-Ric_SP'!AF628</f>
        <v>0</v>
      </c>
      <c r="AG628" s="272">
        <f>+'NI-San_SP'!AG628+'NI-Soc_SP'!AG628+'NI-Ric_SP'!AG628</f>
        <v>0</v>
      </c>
      <c r="AH628" s="272">
        <f>+'NI-San_SP'!AH628+'NI-Soc_SP'!AH628+'NI-Ric_SP'!AH628</f>
        <v>0</v>
      </c>
      <c r="AI628" s="272">
        <f>+'NI-San_SP'!AI628+'NI-Soc_SP'!AI628+'NI-Ric_SP'!AI628</f>
        <v>0</v>
      </c>
      <c r="AJ628" s="272">
        <f>+'NI-San_SP'!AJ628+'NI-Soc_SP'!AJ628+'NI-Ric_SP'!AJ628</f>
        <v>5999040</v>
      </c>
      <c r="AK628" s="272">
        <f>+'NI-San_SP'!AK628+'NI-Soc_SP'!AK628+'NI-Ric_SP'!AK628</f>
        <v>5999040</v>
      </c>
      <c r="AL628" s="272">
        <f>+'NI-San_SP'!AL628+'NI-Soc_SP'!AL628+'NI-Ric_SP'!AL628</f>
        <v>0</v>
      </c>
      <c r="AM628" s="272">
        <f>+'NI-San_SP'!AM628+'NI-Soc_SP'!AM628+'NI-Ric_SP'!AM628</f>
        <v>0</v>
      </c>
    </row>
    <row r="629" spans="1:39" s="204" customFormat="1" ht="25.5" x14ac:dyDescent="0.25">
      <c r="B629" s="246" t="s">
        <v>1476</v>
      </c>
      <c r="C629" s="287" t="s">
        <v>1477</v>
      </c>
      <c r="D629" s="274" t="s">
        <v>3716</v>
      </c>
      <c r="E629" s="274"/>
      <c r="F629" s="274"/>
      <c r="G629" s="283"/>
      <c r="H629" s="266"/>
      <c r="I629" s="274"/>
      <c r="J629" s="281"/>
      <c r="K629" s="281"/>
      <c r="L629" s="379" t="s">
        <v>3717</v>
      </c>
      <c r="M629" s="284" t="s">
        <v>2962</v>
      </c>
      <c r="N629" s="269">
        <f t="shared" si="82"/>
        <v>0</v>
      </c>
      <c r="O629" s="270">
        <f t="shared" si="83"/>
        <v>0</v>
      </c>
      <c r="P629" s="271">
        <f t="shared" si="80"/>
        <v>0</v>
      </c>
      <c r="Q629" s="272">
        <f>+'NI-San_SP'!Q629+'NI-Soc_SP'!Q629+'NI-Ric_SP'!Q629</f>
        <v>0</v>
      </c>
      <c r="R629" s="272">
        <f>+'NI-San_SP'!R629+'NI-Soc_SP'!R629+'NI-Ric_SP'!R629</f>
        <v>0</v>
      </c>
      <c r="S629" s="272">
        <f>+'NI-San_SP'!S629+'NI-Soc_SP'!S629+'NI-Ric_SP'!S629</f>
        <v>0</v>
      </c>
      <c r="T629" s="272">
        <f>+'NI-San_SP'!T629+'NI-Soc_SP'!T629+'NI-Ric_SP'!T629</f>
        <v>0</v>
      </c>
      <c r="U629" s="272">
        <f>+'NI-San_SP'!U629+'NI-Soc_SP'!U629+'NI-Ric_SP'!U629</f>
        <v>0</v>
      </c>
      <c r="V629" s="272">
        <f>+'NI-San_SP'!V629+'NI-Soc_SP'!V629+'NI-Ric_SP'!V629</f>
        <v>0</v>
      </c>
      <c r="W629" s="272">
        <f>+'NI-San_SP'!W629+'NI-Soc_SP'!W629+'NI-Ric_SP'!W629</f>
        <v>0</v>
      </c>
      <c r="X629" s="272">
        <f>+'NI-San_SP'!X629+'NI-Soc_SP'!X629+'NI-Ric_SP'!X629</f>
        <v>0</v>
      </c>
      <c r="Y629" s="272">
        <f>+'NI-San_SP'!Y629+'NI-Soc_SP'!Y629+'NI-Ric_SP'!Y629</f>
        <v>0</v>
      </c>
      <c r="Z629" s="272">
        <f>+'NI-San_SP'!Z629+'NI-Soc_SP'!Z629+'NI-Ric_SP'!Z629</f>
        <v>0</v>
      </c>
      <c r="AA629" s="272">
        <f>+'NI-San_SP'!AA629+'NI-Soc_SP'!AA629+'NI-Ric_SP'!AA629</f>
        <v>0</v>
      </c>
      <c r="AB629" s="272">
        <f>+'NI-San_SP'!AB629+'NI-Soc_SP'!AB629+'NI-Ric_SP'!AB629</f>
        <v>0</v>
      </c>
      <c r="AC629" s="272">
        <f>+'NI-San_SP'!AC629+'NI-Soc_SP'!AC629+'NI-Ric_SP'!AC629</f>
        <v>0</v>
      </c>
      <c r="AD629" s="272">
        <f>+'NI-San_SP'!AD629+'NI-Soc_SP'!AD629+'NI-Ric_SP'!AD629</f>
        <v>0</v>
      </c>
      <c r="AE629" s="272">
        <f>+'NI-San_SP'!AE629+'NI-Soc_SP'!AE629+'NI-Ric_SP'!AE629</f>
        <v>0</v>
      </c>
      <c r="AF629" s="272">
        <f>+'NI-San_SP'!AF629+'NI-Soc_SP'!AF629+'NI-Ric_SP'!AF629</f>
        <v>0</v>
      </c>
      <c r="AG629" s="272">
        <f>+'NI-San_SP'!AG629+'NI-Soc_SP'!AG629+'NI-Ric_SP'!AG629</f>
        <v>0</v>
      </c>
      <c r="AH629" s="272">
        <f>+'NI-San_SP'!AH629+'NI-Soc_SP'!AH629+'NI-Ric_SP'!AH629</f>
        <v>0</v>
      </c>
      <c r="AI629" s="272">
        <f>+'NI-San_SP'!AI629+'NI-Soc_SP'!AI629+'NI-Ric_SP'!AI629</f>
        <v>0</v>
      </c>
      <c r="AJ629" s="272">
        <f>+'NI-San_SP'!AJ629+'NI-Soc_SP'!AJ629+'NI-Ric_SP'!AJ629</f>
        <v>0</v>
      </c>
      <c r="AK629" s="272">
        <f>+'NI-San_SP'!AK629+'NI-Soc_SP'!AK629+'NI-Ric_SP'!AK629</f>
        <v>0</v>
      </c>
      <c r="AL629" s="272">
        <f>+'NI-San_SP'!AL629+'NI-Soc_SP'!AL629+'NI-Ric_SP'!AL629</f>
        <v>0</v>
      </c>
      <c r="AM629" s="272">
        <f>+'NI-San_SP'!AM629+'NI-Soc_SP'!AM629+'NI-Ric_SP'!AM629</f>
        <v>0</v>
      </c>
    </row>
    <row r="630" spans="1:39" s="204" customFormat="1" ht="25.5" x14ac:dyDescent="0.25">
      <c r="B630" s="246" t="s">
        <v>1481</v>
      </c>
      <c r="C630" s="287" t="s">
        <v>1482</v>
      </c>
      <c r="D630" s="274" t="s">
        <v>3718</v>
      </c>
      <c r="E630" s="274"/>
      <c r="F630" s="274"/>
      <c r="G630" s="283"/>
      <c r="H630" s="266"/>
      <c r="I630" s="274"/>
      <c r="J630" s="281"/>
      <c r="K630" s="281"/>
      <c r="L630" s="379" t="s">
        <v>3719</v>
      </c>
      <c r="M630" s="284" t="s">
        <v>2962</v>
      </c>
      <c r="N630" s="272">
        <f>SUM(N631:N633)</f>
        <v>0</v>
      </c>
      <c r="O630" s="272">
        <f>SUM(O631:O633)</f>
        <v>0</v>
      </c>
      <c r="P630" s="378">
        <f t="shared" si="80"/>
        <v>0</v>
      </c>
      <c r="Q630" s="272">
        <f>+'NI-San_SP'!Q630+'NI-Soc_SP'!Q630+'NI-Ric_SP'!Q630</f>
        <v>0</v>
      </c>
      <c r="R630" s="272">
        <f>+'NI-San_SP'!R630+'NI-Soc_SP'!R630+'NI-Ric_SP'!R630</f>
        <v>0</v>
      </c>
      <c r="S630" s="272">
        <f>+'NI-San_SP'!S630+'NI-Soc_SP'!S630+'NI-Ric_SP'!S630</f>
        <v>0</v>
      </c>
      <c r="T630" s="272">
        <f>+'NI-San_SP'!T630+'NI-Soc_SP'!T630+'NI-Ric_SP'!T630</f>
        <v>0</v>
      </c>
      <c r="U630" s="272">
        <f>+'NI-San_SP'!U630+'NI-Soc_SP'!U630+'NI-Ric_SP'!U630</f>
        <v>0</v>
      </c>
      <c r="V630" s="272">
        <f>+'NI-San_SP'!V630+'NI-Soc_SP'!V630+'NI-Ric_SP'!V630</f>
        <v>0</v>
      </c>
      <c r="W630" s="272">
        <f>+'NI-San_SP'!W630+'NI-Soc_SP'!W630+'NI-Ric_SP'!W630</f>
        <v>0</v>
      </c>
      <c r="X630" s="272">
        <f>+'NI-San_SP'!X630+'NI-Soc_SP'!X630+'NI-Ric_SP'!X630</f>
        <v>0</v>
      </c>
      <c r="Y630" s="272">
        <f>+'NI-San_SP'!Y630+'NI-Soc_SP'!Y630+'NI-Ric_SP'!Y630</f>
        <v>0</v>
      </c>
      <c r="Z630" s="272">
        <f>+'NI-San_SP'!Z630+'NI-Soc_SP'!Z630+'NI-Ric_SP'!Z630</f>
        <v>0</v>
      </c>
      <c r="AA630" s="272">
        <f>+'NI-San_SP'!AA630+'NI-Soc_SP'!AA630+'NI-Ric_SP'!AA630</f>
        <v>0</v>
      </c>
      <c r="AB630" s="272">
        <f>+'NI-San_SP'!AB630+'NI-Soc_SP'!AB630+'NI-Ric_SP'!AB630</f>
        <v>0</v>
      </c>
      <c r="AC630" s="272">
        <f>+'NI-San_SP'!AC630+'NI-Soc_SP'!AC630+'NI-Ric_SP'!AC630</f>
        <v>0</v>
      </c>
      <c r="AD630" s="272">
        <f>+'NI-San_SP'!AD630+'NI-Soc_SP'!AD630+'NI-Ric_SP'!AD630</f>
        <v>0</v>
      </c>
      <c r="AE630" s="272">
        <f>+'NI-San_SP'!AE630+'NI-Soc_SP'!AE630+'NI-Ric_SP'!AE630</f>
        <v>0</v>
      </c>
      <c r="AF630" s="272">
        <f>+'NI-San_SP'!AF630+'NI-Soc_SP'!AF630+'NI-Ric_SP'!AF630</f>
        <v>0</v>
      </c>
      <c r="AG630" s="272">
        <f>+'NI-San_SP'!AG630+'NI-Soc_SP'!AG630+'NI-Ric_SP'!AG630</f>
        <v>0</v>
      </c>
      <c r="AH630" s="272">
        <f>+'NI-San_SP'!AH630+'NI-Soc_SP'!AH630+'NI-Ric_SP'!AH630</f>
        <v>0</v>
      </c>
      <c r="AI630" s="272">
        <f>+'NI-San_SP'!AI630+'NI-Soc_SP'!AI630+'NI-Ric_SP'!AI630</f>
        <v>0</v>
      </c>
      <c r="AJ630" s="272">
        <f>+'NI-San_SP'!AJ630+'NI-Soc_SP'!AJ630+'NI-Ric_SP'!AJ630</f>
        <v>0</v>
      </c>
      <c r="AK630" s="272">
        <f>+'NI-San_SP'!AK630+'NI-Soc_SP'!AK630+'NI-Ric_SP'!AK630</f>
        <v>0</v>
      </c>
      <c r="AL630" s="272">
        <f>+'NI-San_SP'!AL630+'NI-Soc_SP'!AL630+'NI-Ric_SP'!AL630</f>
        <v>0</v>
      </c>
      <c r="AM630" s="272">
        <f>+'NI-San_SP'!AM630+'NI-Soc_SP'!AM630+'NI-Ric_SP'!AM630</f>
        <v>0</v>
      </c>
    </row>
    <row r="631" spans="1:39" s="204" customFormat="1" ht="25.5" x14ac:dyDescent="0.25">
      <c r="B631" s="246" t="s">
        <v>1485</v>
      </c>
      <c r="C631" s="287" t="s">
        <v>1486</v>
      </c>
      <c r="D631" s="274" t="s">
        <v>3720</v>
      </c>
      <c r="E631" s="274"/>
      <c r="F631" s="274"/>
      <c r="G631" s="283"/>
      <c r="H631" s="266"/>
      <c r="I631" s="274"/>
      <c r="J631" s="281"/>
      <c r="K631" s="281"/>
      <c r="L631" s="97" t="s">
        <v>3721</v>
      </c>
      <c r="M631" s="284" t="s">
        <v>2962</v>
      </c>
      <c r="N631" s="269">
        <f t="shared" ref="N631:N640" si="84">+R631-AA631</f>
        <v>0</v>
      </c>
      <c r="O631" s="270">
        <f t="shared" ref="O631:O640" si="85">+Y631-AE631</f>
        <v>0</v>
      </c>
      <c r="P631" s="271">
        <f t="shared" si="80"/>
        <v>0</v>
      </c>
      <c r="Q631" s="272">
        <f>+'NI-San_SP'!Q631+'NI-Soc_SP'!Q631+'NI-Ric_SP'!Q631</f>
        <v>0</v>
      </c>
      <c r="R631" s="272">
        <f>+'NI-San_SP'!R631+'NI-Soc_SP'!R631+'NI-Ric_SP'!R631</f>
        <v>0</v>
      </c>
      <c r="S631" s="272">
        <f>+'NI-San_SP'!S631+'NI-Soc_SP'!S631+'NI-Ric_SP'!S631</f>
        <v>0</v>
      </c>
      <c r="T631" s="272">
        <f>+'NI-San_SP'!T631+'NI-Soc_SP'!T631+'NI-Ric_SP'!T631</f>
        <v>0</v>
      </c>
      <c r="U631" s="272">
        <f>+'NI-San_SP'!U631+'NI-Soc_SP'!U631+'NI-Ric_SP'!U631</f>
        <v>0</v>
      </c>
      <c r="V631" s="272">
        <f>+'NI-San_SP'!V631+'NI-Soc_SP'!V631+'NI-Ric_SP'!V631</f>
        <v>0</v>
      </c>
      <c r="W631" s="272">
        <f>+'NI-San_SP'!W631+'NI-Soc_SP'!W631+'NI-Ric_SP'!W631</f>
        <v>0</v>
      </c>
      <c r="X631" s="272">
        <f>+'NI-San_SP'!X631+'NI-Soc_SP'!X631+'NI-Ric_SP'!X631</f>
        <v>0</v>
      </c>
      <c r="Y631" s="272">
        <f>+'NI-San_SP'!Y631+'NI-Soc_SP'!Y631+'NI-Ric_SP'!Y631</f>
        <v>0</v>
      </c>
      <c r="Z631" s="272">
        <f>+'NI-San_SP'!Z631+'NI-Soc_SP'!Z631+'NI-Ric_SP'!Z631</f>
        <v>0</v>
      </c>
      <c r="AA631" s="272">
        <f>+'NI-San_SP'!AA631+'NI-Soc_SP'!AA631+'NI-Ric_SP'!AA631</f>
        <v>0</v>
      </c>
      <c r="AB631" s="272">
        <f>+'NI-San_SP'!AB631+'NI-Soc_SP'!AB631+'NI-Ric_SP'!AB631</f>
        <v>0</v>
      </c>
      <c r="AC631" s="272">
        <f>+'NI-San_SP'!AC631+'NI-Soc_SP'!AC631+'NI-Ric_SP'!AC631</f>
        <v>0</v>
      </c>
      <c r="AD631" s="272">
        <f>+'NI-San_SP'!AD631+'NI-Soc_SP'!AD631+'NI-Ric_SP'!AD631</f>
        <v>0</v>
      </c>
      <c r="AE631" s="272">
        <f>+'NI-San_SP'!AE631+'NI-Soc_SP'!AE631+'NI-Ric_SP'!AE631</f>
        <v>0</v>
      </c>
      <c r="AF631" s="272">
        <f>+'NI-San_SP'!AF631+'NI-Soc_SP'!AF631+'NI-Ric_SP'!AF631</f>
        <v>0</v>
      </c>
      <c r="AG631" s="272">
        <f>+'NI-San_SP'!AG631+'NI-Soc_SP'!AG631+'NI-Ric_SP'!AG631</f>
        <v>0</v>
      </c>
      <c r="AH631" s="272">
        <f>+'NI-San_SP'!AH631+'NI-Soc_SP'!AH631+'NI-Ric_SP'!AH631</f>
        <v>0</v>
      </c>
      <c r="AI631" s="272">
        <f>+'NI-San_SP'!AI631+'NI-Soc_SP'!AI631+'NI-Ric_SP'!AI631</f>
        <v>0</v>
      </c>
      <c r="AJ631" s="272">
        <f>+'NI-San_SP'!AJ631+'NI-Soc_SP'!AJ631+'NI-Ric_SP'!AJ631</f>
        <v>0</v>
      </c>
      <c r="AK631" s="272">
        <f>+'NI-San_SP'!AK631+'NI-Soc_SP'!AK631+'NI-Ric_SP'!AK631</f>
        <v>0</v>
      </c>
      <c r="AL631" s="272">
        <f>+'NI-San_SP'!AL631+'NI-Soc_SP'!AL631+'NI-Ric_SP'!AL631</f>
        <v>0</v>
      </c>
      <c r="AM631" s="272">
        <f>+'NI-San_SP'!AM631+'NI-Soc_SP'!AM631+'NI-Ric_SP'!AM631</f>
        <v>0</v>
      </c>
    </row>
    <row r="632" spans="1:39" s="204" customFormat="1" ht="25.5" x14ac:dyDescent="0.25">
      <c r="B632" s="246" t="s">
        <v>1488</v>
      </c>
      <c r="C632" s="287" t="s">
        <v>1489</v>
      </c>
      <c r="D632" s="274" t="s">
        <v>3722</v>
      </c>
      <c r="E632" s="274"/>
      <c r="F632" s="274"/>
      <c r="G632" s="283"/>
      <c r="H632" s="266"/>
      <c r="I632" s="274"/>
      <c r="J632" s="281"/>
      <c r="K632" s="281"/>
      <c r="L632" s="97" t="s">
        <v>3723</v>
      </c>
      <c r="M632" s="284" t="s">
        <v>2962</v>
      </c>
      <c r="N632" s="269">
        <f t="shared" si="84"/>
        <v>0</v>
      </c>
      <c r="O632" s="270">
        <f t="shared" si="85"/>
        <v>0</v>
      </c>
      <c r="P632" s="271">
        <f t="shared" si="80"/>
        <v>0</v>
      </c>
      <c r="Q632" s="272">
        <f>+'NI-San_SP'!Q632+'NI-Soc_SP'!Q632+'NI-Ric_SP'!Q632</f>
        <v>0</v>
      </c>
      <c r="R632" s="272">
        <f>+'NI-San_SP'!R632+'NI-Soc_SP'!R632+'NI-Ric_SP'!R632</f>
        <v>0</v>
      </c>
      <c r="S632" s="272">
        <f>+'NI-San_SP'!S632+'NI-Soc_SP'!S632+'NI-Ric_SP'!S632</f>
        <v>0</v>
      </c>
      <c r="T632" s="272">
        <f>+'NI-San_SP'!T632+'NI-Soc_SP'!T632+'NI-Ric_SP'!T632</f>
        <v>0</v>
      </c>
      <c r="U632" s="272">
        <f>+'NI-San_SP'!U632+'NI-Soc_SP'!U632+'NI-Ric_SP'!U632</f>
        <v>0</v>
      </c>
      <c r="V632" s="272">
        <f>+'NI-San_SP'!V632+'NI-Soc_SP'!V632+'NI-Ric_SP'!V632</f>
        <v>0</v>
      </c>
      <c r="W632" s="272">
        <f>+'NI-San_SP'!W632+'NI-Soc_SP'!W632+'NI-Ric_SP'!W632</f>
        <v>0</v>
      </c>
      <c r="X632" s="272">
        <f>+'NI-San_SP'!X632+'NI-Soc_SP'!X632+'NI-Ric_SP'!X632</f>
        <v>0</v>
      </c>
      <c r="Y632" s="272">
        <f>+'NI-San_SP'!Y632+'NI-Soc_SP'!Y632+'NI-Ric_SP'!Y632</f>
        <v>0</v>
      </c>
      <c r="Z632" s="272">
        <f>+'NI-San_SP'!Z632+'NI-Soc_SP'!Z632+'NI-Ric_SP'!Z632</f>
        <v>0</v>
      </c>
      <c r="AA632" s="272">
        <f>+'NI-San_SP'!AA632+'NI-Soc_SP'!AA632+'NI-Ric_SP'!AA632</f>
        <v>0</v>
      </c>
      <c r="AB632" s="272">
        <f>+'NI-San_SP'!AB632+'NI-Soc_SP'!AB632+'NI-Ric_SP'!AB632</f>
        <v>0</v>
      </c>
      <c r="AC632" s="272">
        <f>+'NI-San_SP'!AC632+'NI-Soc_SP'!AC632+'NI-Ric_SP'!AC632</f>
        <v>0</v>
      </c>
      <c r="AD632" s="272">
        <f>+'NI-San_SP'!AD632+'NI-Soc_SP'!AD632+'NI-Ric_SP'!AD632</f>
        <v>0</v>
      </c>
      <c r="AE632" s="272">
        <f>+'NI-San_SP'!AE632+'NI-Soc_SP'!AE632+'NI-Ric_SP'!AE632</f>
        <v>0</v>
      </c>
      <c r="AF632" s="272">
        <f>+'NI-San_SP'!AF632+'NI-Soc_SP'!AF632+'NI-Ric_SP'!AF632</f>
        <v>0</v>
      </c>
      <c r="AG632" s="272">
        <f>+'NI-San_SP'!AG632+'NI-Soc_SP'!AG632+'NI-Ric_SP'!AG632</f>
        <v>0</v>
      </c>
      <c r="AH632" s="272">
        <f>+'NI-San_SP'!AH632+'NI-Soc_SP'!AH632+'NI-Ric_SP'!AH632</f>
        <v>0</v>
      </c>
      <c r="AI632" s="272">
        <f>+'NI-San_SP'!AI632+'NI-Soc_SP'!AI632+'NI-Ric_SP'!AI632</f>
        <v>0</v>
      </c>
      <c r="AJ632" s="272">
        <f>+'NI-San_SP'!AJ632+'NI-Soc_SP'!AJ632+'NI-Ric_SP'!AJ632</f>
        <v>0</v>
      </c>
      <c r="AK632" s="272">
        <f>+'NI-San_SP'!AK632+'NI-Soc_SP'!AK632+'NI-Ric_SP'!AK632</f>
        <v>0</v>
      </c>
      <c r="AL632" s="272">
        <f>+'NI-San_SP'!AL632+'NI-Soc_SP'!AL632+'NI-Ric_SP'!AL632</f>
        <v>0</v>
      </c>
      <c r="AM632" s="272">
        <f>+'NI-San_SP'!AM632+'NI-Soc_SP'!AM632+'NI-Ric_SP'!AM632</f>
        <v>0</v>
      </c>
    </row>
    <row r="633" spans="1:39" s="204" customFormat="1" ht="25.5" x14ac:dyDescent="0.25">
      <c r="B633" s="246" t="s">
        <v>1491</v>
      </c>
      <c r="C633" s="287" t="s">
        <v>1492</v>
      </c>
      <c r="D633" s="274" t="s">
        <v>3724</v>
      </c>
      <c r="E633" s="274"/>
      <c r="F633" s="274"/>
      <c r="G633" s="283"/>
      <c r="H633" s="266"/>
      <c r="I633" s="274"/>
      <c r="J633" s="281"/>
      <c r="K633" s="281"/>
      <c r="L633" s="97" t="s">
        <v>3725</v>
      </c>
      <c r="M633" s="284" t="s">
        <v>2962</v>
      </c>
      <c r="N633" s="269">
        <f t="shared" si="84"/>
        <v>0</v>
      </c>
      <c r="O633" s="270">
        <f t="shared" si="85"/>
        <v>0</v>
      </c>
      <c r="P633" s="271">
        <f t="shared" si="80"/>
        <v>0</v>
      </c>
      <c r="Q633" s="272">
        <f>+'NI-San_SP'!Q633+'NI-Soc_SP'!Q633+'NI-Ric_SP'!Q633</f>
        <v>0</v>
      </c>
      <c r="R633" s="272">
        <f>+'NI-San_SP'!R633+'NI-Soc_SP'!R633+'NI-Ric_SP'!R633</f>
        <v>0</v>
      </c>
      <c r="S633" s="272">
        <f>+'NI-San_SP'!S633+'NI-Soc_SP'!S633+'NI-Ric_SP'!S633</f>
        <v>0</v>
      </c>
      <c r="T633" s="272">
        <f>+'NI-San_SP'!T633+'NI-Soc_SP'!T633+'NI-Ric_SP'!T633</f>
        <v>0</v>
      </c>
      <c r="U633" s="272">
        <f>+'NI-San_SP'!U633+'NI-Soc_SP'!U633+'NI-Ric_SP'!U633</f>
        <v>0</v>
      </c>
      <c r="V633" s="272">
        <f>+'NI-San_SP'!V633+'NI-Soc_SP'!V633+'NI-Ric_SP'!V633</f>
        <v>0</v>
      </c>
      <c r="W633" s="272">
        <f>+'NI-San_SP'!W633+'NI-Soc_SP'!W633+'NI-Ric_SP'!W633</f>
        <v>0</v>
      </c>
      <c r="X633" s="272">
        <f>+'NI-San_SP'!X633+'NI-Soc_SP'!X633+'NI-Ric_SP'!X633</f>
        <v>0</v>
      </c>
      <c r="Y633" s="272">
        <f>+'NI-San_SP'!Y633+'NI-Soc_SP'!Y633+'NI-Ric_SP'!Y633</f>
        <v>0</v>
      </c>
      <c r="Z633" s="272">
        <f>+'NI-San_SP'!Z633+'NI-Soc_SP'!Z633+'NI-Ric_SP'!Z633</f>
        <v>0</v>
      </c>
      <c r="AA633" s="272">
        <f>+'NI-San_SP'!AA633+'NI-Soc_SP'!AA633+'NI-Ric_SP'!AA633</f>
        <v>0</v>
      </c>
      <c r="AB633" s="272">
        <f>+'NI-San_SP'!AB633+'NI-Soc_SP'!AB633+'NI-Ric_SP'!AB633</f>
        <v>0</v>
      </c>
      <c r="AC633" s="272">
        <f>+'NI-San_SP'!AC633+'NI-Soc_SP'!AC633+'NI-Ric_SP'!AC633</f>
        <v>0</v>
      </c>
      <c r="AD633" s="272">
        <f>+'NI-San_SP'!AD633+'NI-Soc_SP'!AD633+'NI-Ric_SP'!AD633</f>
        <v>0</v>
      </c>
      <c r="AE633" s="272">
        <f>+'NI-San_SP'!AE633+'NI-Soc_SP'!AE633+'NI-Ric_SP'!AE633</f>
        <v>0</v>
      </c>
      <c r="AF633" s="272">
        <f>+'NI-San_SP'!AF633+'NI-Soc_SP'!AF633+'NI-Ric_SP'!AF633</f>
        <v>0</v>
      </c>
      <c r="AG633" s="272">
        <f>+'NI-San_SP'!AG633+'NI-Soc_SP'!AG633+'NI-Ric_SP'!AG633</f>
        <v>0</v>
      </c>
      <c r="AH633" s="272">
        <f>+'NI-San_SP'!AH633+'NI-Soc_SP'!AH633+'NI-Ric_SP'!AH633</f>
        <v>0</v>
      </c>
      <c r="AI633" s="272">
        <f>+'NI-San_SP'!AI633+'NI-Soc_SP'!AI633+'NI-Ric_SP'!AI633</f>
        <v>0</v>
      </c>
      <c r="AJ633" s="272">
        <f>+'NI-San_SP'!AJ633+'NI-Soc_SP'!AJ633+'NI-Ric_SP'!AJ633</f>
        <v>0</v>
      </c>
      <c r="AK633" s="272">
        <f>+'NI-San_SP'!AK633+'NI-Soc_SP'!AK633+'NI-Ric_SP'!AK633</f>
        <v>0</v>
      </c>
      <c r="AL633" s="272">
        <f>+'NI-San_SP'!AL633+'NI-Soc_SP'!AL633+'NI-Ric_SP'!AL633</f>
        <v>0</v>
      </c>
      <c r="AM633" s="272">
        <f>+'NI-San_SP'!AM633+'NI-Soc_SP'!AM633+'NI-Ric_SP'!AM633</f>
        <v>0</v>
      </c>
    </row>
    <row r="634" spans="1:39" s="204" customFormat="1" x14ac:dyDescent="0.25">
      <c r="B634" s="246" t="s">
        <v>1494</v>
      </c>
      <c r="C634" s="287" t="s">
        <v>1495</v>
      </c>
      <c r="D634" s="274" t="s">
        <v>3726</v>
      </c>
      <c r="E634" s="274"/>
      <c r="F634" s="274"/>
      <c r="G634" s="283"/>
      <c r="H634" s="266"/>
      <c r="I634" s="274"/>
      <c r="J634" s="281"/>
      <c r="K634" s="281"/>
      <c r="L634" s="379" t="s">
        <v>3727</v>
      </c>
      <c r="M634" s="284" t="s">
        <v>2962</v>
      </c>
      <c r="N634" s="269">
        <f t="shared" si="84"/>
        <v>0</v>
      </c>
      <c r="O634" s="270">
        <f t="shared" si="85"/>
        <v>0</v>
      </c>
      <c r="P634" s="271">
        <f t="shared" si="80"/>
        <v>0</v>
      </c>
      <c r="Q634" s="272">
        <f>+'NI-San_SP'!Q634+'NI-Soc_SP'!Q634+'NI-Ric_SP'!Q634</f>
        <v>0</v>
      </c>
      <c r="R634" s="272">
        <f>+'NI-San_SP'!R634+'NI-Soc_SP'!R634+'NI-Ric_SP'!R634</f>
        <v>0</v>
      </c>
      <c r="S634" s="272">
        <f>+'NI-San_SP'!S634+'NI-Soc_SP'!S634+'NI-Ric_SP'!S634</f>
        <v>0</v>
      </c>
      <c r="T634" s="272">
        <f>+'NI-San_SP'!T634+'NI-Soc_SP'!T634+'NI-Ric_SP'!T634</f>
        <v>0</v>
      </c>
      <c r="U634" s="272">
        <f>+'NI-San_SP'!U634+'NI-Soc_SP'!U634+'NI-Ric_SP'!U634</f>
        <v>0</v>
      </c>
      <c r="V634" s="272">
        <f>+'NI-San_SP'!V634+'NI-Soc_SP'!V634+'NI-Ric_SP'!V634</f>
        <v>0</v>
      </c>
      <c r="W634" s="272">
        <f>+'NI-San_SP'!W634+'NI-Soc_SP'!W634+'NI-Ric_SP'!W634</f>
        <v>0</v>
      </c>
      <c r="X634" s="272">
        <f>+'NI-San_SP'!X634+'NI-Soc_SP'!X634+'NI-Ric_SP'!X634</f>
        <v>0</v>
      </c>
      <c r="Y634" s="272">
        <f>+'NI-San_SP'!Y634+'NI-Soc_SP'!Y634+'NI-Ric_SP'!Y634</f>
        <v>0</v>
      </c>
      <c r="Z634" s="272">
        <f>+'NI-San_SP'!Z634+'NI-Soc_SP'!Z634+'NI-Ric_SP'!Z634</f>
        <v>0</v>
      </c>
      <c r="AA634" s="272">
        <f>+'NI-San_SP'!AA634+'NI-Soc_SP'!AA634+'NI-Ric_SP'!AA634</f>
        <v>0</v>
      </c>
      <c r="AB634" s="272">
        <f>+'NI-San_SP'!AB634+'NI-Soc_SP'!AB634+'NI-Ric_SP'!AB634</f>
        <v>0</v>
      </c>
      <c r="AC634" s="272">
        <f>+'NI-San_SP'!AC634+'NI-Soc_SP'!AC634+'NI-Ric_SP'!AC634</f>
        <v>0</v>
      </c>
      <c r="AD634" s="272">
        <f>+'NI-San_SP'!AD634+'NI-Soc_SP'!AD634+'NI-Ric_SP'!AD634</f>
        <v>0</v>
      </c>
      <c r="AE634" s="272">
        <f>+'NI-San_SP'!AE634+'NI-Soc_SP'!AE634+'NI-Ric_SP'!AE634</f>
        <v>0</v>
      </c>
      <c r="AF634" s="272">
        <f>+'NI-San_SP'!AF634+'NI-Soc_SP'!AF634+'NI-Ric_SP'!AF634</f>
        <v>0</v>
      </c>
      <c r="AG634" s="272">
        <f>+'NI-San_SP'!AG634+'NI-Soc_SP'!AG634+'NI-Ric_SP'!AG634</f>
        <v>0</v>
      </c>
      <c r="AH634" s="272">
        <f>+'NI-San_SP'!AH634+'NI-Soc_SP'!AH634+'NI-Ric_SP'!AH634</f>
        <v>0</v>
      </c>
      <c r="AI634" s="272">
        <f>+'NI-San_SP'!AI634+'NI-Soc_SP'!AI634+'NI-Ric_SP'!AI634</f>
        <v>0</v>
      </c>
      <c r="AJ634" s="272">
        <f>+'NI-San_SP'!AJ634+'NI-Soc_SP'!AJ634+'NI-Ric_SP'!AJ634</f>
        <v>0</v>
      </c>
      <c r="AK634" s="272">
        <f>+'NI-San_SP'!AK634+'NI-Soc_SP'!AK634+'NI-Ric_SP'!AK634</f>
        <v>0</v>
      </c>
      <c r="AL634" s="272">
        <f>+'NI-San_SP'!AL634+'NI-Soc_SP'!AL634+'NI-Ric_SP'!AL634</f>
        <v>0</v>
      </c>
      <c r="AM634" s="272">
        <f>+'NI-San_SP'!AM634+'NI-Soc_SP'!AM634+'NI-Ric_SP'!AM634</f>
        <v>0</v>
      </c>
    </row>
    <row r="635" spans="1:39" s="204" customFormat="1" ht="25.5" x14ac:dyDescent="0.25">
      <c r="B635" s="246" t="s">
        <v>1498</v>
      </c>
      <c r="C635" s="287" t="s">
        <v>1499</v>
      </c>
      <c r="D635" s="274" t="s">
        <v>3728</v>
      </c>
      <c r="E635" s="274"/>
      <c r="F635" s="274"/>
      <c r="G635" s="283"/>
      <c r="H635" s="266"/>
      <c r="I635" s="274"/>
      <c r="J635" s="281"/>
      <c r="K635" s="281"/>
      <c r="L635" s="379" t="s">
        <v>3729</v>
      </c>
      <c r="M635" s="284" t="s">
        <v>2962</v>
      </c>
      <c r="N635" s="269">
        <f t="shared" si="84"/>
        <v>0</v>
      </c>
      <c r="O635" s="270">
        <f t="shared" si="85"/>
        <v>0</v>
      </c>
      <c r="P635" s="271">
        <f t="shared" si="80"/>
        <v>0</v>
      </c>
      <c r="Q635" s="272">
        <f>+'NI-San_SP'!Q635+'NI-Soc_SP'!Q635+'NI-Ric_SP'!Q635</f>
        <v>0</v>
      </c>
      <c r="R635" s="272">
        <f>+'NI-San_SP'!R635+'NI-Soc_SP'!R635+'NI-Ric_SP'!R635</f>
        <v>0</v>
      </c>
      <c r="S635" s="272">
        <f>+'NI-San_SP'!S635+'NI-Soc_SP'!S635+'NI-Ric_SP'!S635</f>
        <v>0</v>
      </c>
      <c r="T635" s="272">
        <f>+'NI-San_SP'!T635+'NI-Soc_SP'!T635+'NI-Ric_SP'!T635</f>
        <v>0</v>
      </c>
      <c r="U635" s="272">
        <f>+'NI-San_SP'!U635+'NI-Soc_SP'!U635+'NI-Ric_SP'!U635</f>
        <v>0</v>
      </c>
      <c r="V635" s="272">
        <f>+'NI-San_SP'!V635+'NI-Soc_SP'!V635+'NI-Ric_SP'!V635</f>
        <v>0</v>
      </c>
      <c r="W635" s="272">
        <f>+'NI-San_SP'!W635+'NI-Soc_SP'!W635+'NI-Ric_SP'!W635</f>
        <v>0</v>
      </c>
      <c r="X635" s="272">
        <f>+'NI-San_SP'!X635+'NI-Soc_SP'!X635+'NI-Ric_SP'!X635</f>
        <v>0</v>
      </c>
      <c r="Y635" s="272">
        <f>+'NI-San_SP'!Y635+'NI-Soc_SP'!Y635+'NI-Ric_SP'!Y635</f>
        <v>0</v>
      </c>
      <c r="Z635" s="272">
        <f>+'NI-San_SP'!Z635+'NI-Soc_SP'!Z635+'NI-Ric_SP'!Z635</f>
        <v>0</v>
      </c>
      <c r="AA635" s="272">
        <f>+'NI-San_SP'!AA635+'NI-Soc_SP'!AA635+'NI-Ric_SP'!AA635</f>
        <v>0</v>
      </c>
      <c r="AB635" s="272">
        <f>+'NI-San_SP'!AB635+'NI-Soc_SP'!AB635+'NI-Ric_SP'!AB635</f>
        <v>0</v>
      </c>
      <c r="AC635" s="272">
        <f>+'NI-San_SP'!AC635+'NI-Soc_SP'!AC635+'NI-Ric_SP'!AC635</f>
        <v>0</v>
      </c>
      <c r="AD635" s="272">
        <f>+'NI-San_SP'!AD635+'NI-Soc_SP'!AD635+'NI-Ric_SP'!AD635</f>
        <v>0</v>
      </c>
      <c r="AE635" s="272">
        <f>+'NI-San_SP'!AE635+'NI-Soc_SP'!AE635+'NI-Ric_SP'!AE635</f>
        <v>0</v>
      </c>
      <c r="AF635" s="272">
        <f>+'NI-San_SP'!AF635+'NI-Soc_SP'!AF635+'NI-Ric_SP'!AF635</f>
        <v>0</v>
      </c>
      <c r="AG635" s="272">
        <f>+'NI-San_SP'!AG635+'NI-Soc_SP'!AG635+'NI-Ric_SP'!AG635</f>
        <v>0</v>
      </c>
      <c r="AH635" s="272">
        <f>+'NI-San_SP'!AH635+'NI-Soc_SP'!AH635+'NI-Ric_SP'!AH635</f>
        <v>0</v>
      </c>
      <c r="AI635" s="272">
        <f>+'NI-San_SP'!AI635+'NI-Soc_SP'!AI635+'NI-Ric_SP'!AI635</f>
        <v>0</v>
      </c>
      <c r="AJ635" s="272">
        <f>+'NI-San_SP'!AJ635+'NI-Soc_SP'!AJ635+'NI-Ric_SP'!AJ635</f>
        <v>0</v>
      </c>
      <c r="AK635" s="272">
        <f>+'NI-San_SP'!AK635+'NI-Soc_SP'!AK635+'NI-Ric_SP'!AK635</f>
        <v>0</v>
      </c>
      <c r="AL635" s="272">
        <f>+'NI-San_SP'!AL635+'NI-Soc_SP'!AL635+'NI-Ric_SP'!AL635</f>
        <v>0</v>
      </c>
      <c r="AM635" s="272">
        <f>+'NI-San_SP'!AM635+'NI-Soc_SP'!AM635+'NI-Ric_SP'!AM635</f>
        <v>0</v>
      </c>
    </row>
    <row r="636" spans="1:39" s="204" customFormat="1" ht="25.5" x14ac:dyDescent="0.25">
      <c r="B636" s="246" t="s">
        <v>1503</v>
      </c>
      <c r="C636" s="287" t="s">
        <v>1504</v>
      </c>
      <c r="D636" s="274" t="s">
        <v>3730</v>
      </c>
      <c r="E636" s="274"/>
      <c r="F636" s="274"/>
      <c r="G636" s="283"/>
      <c r="H636" s="266"/>
      <c r="I636" s="274"/>
      <c r="J636" s="281"/>
      <c r="K636" s="281"/>
      <c r="L636" s="379" t="s">
        <v>3731</v>
      </c>
      <c r="M636" s="284" t="s">
        <v>2962</v>
      </c>
      <c r="N636" s="269">
        <f t="shared" si="84"/>
        <v>0</v>
      </c>
      <c r="O636" s="270">
        <f t="shared" si="85"/>
        <v>0</v>
      </c>
      <c r="P636" s="271">
        <f t="shared" si="80"/>
        <v>0</v>
      </c>
      <c r="Q636" s="272">
        <f>+'NI-San_SP'!Q636+'NI-Soc_SP'!Q636+'NI-Ric_SP'!Q636</f>
        <v>0</v>
      </c>
      <c r="R636" s="272">
        <f>+'NI-San_SP'!R636+'NI-Soc_SP'!R636+'NI-Ric_SP'!R636</f>
        <v>0</v>
      </c>
      <c r="S636" s="272">
        <f>+'NI-San_SP'!S636+'NI-Soc_SP'!S636+'NI-Ric_SP'!S636</f>
        <v>0</v>
      </c>
      <c r="T636" s="272">
        <f>+'NI-San_SP'!T636+'NI-Soc_SP'!T636+'NI-Ric_SP'!T636</f>
        <v>0</v>
      </c>
      <c r="U636" s="272">
        <f>+'NI-San_SP'!U636+'NI-Soc_SP'!U636+'NI-Ric_SP'!U636</f>
        <v>0</v>
      </c>
      <c r="V636" s="272">
        <f>+'NI-San_SP'!V636+'NI-Soc_SP'!V636+'NI-Ric_SP'!V636</f>
        <v>0</v>
      </c>
      <c r="W636" s="272">
        <f>+'NI-San_SP'!W636+'NI-Soc_SP'!W636+'NI-Ric_SP'!W636</f>
        <v>0</v>
      </c>
      <c r="X636" s="272">
        <f>+'NI-San_SP'!X636+'NI-Soc_SP'!X636+'NI-Ric_SP'!X636</f>
        <v>0</v>
      </c>
      <c r="Y636" s="272">
        <f>+'NI-San_SP'!Y636+'NI-Soc_SP'!Y636+'NI-Ric_SP'!Y636</f>
        <v>0</v>
      </c>
      <c r="Z636" s="272">
        <f>+'NI-San_SP'!Z636+'NI-Soc_SP'!Z636+'NI-Ric_SP'!Z636</f>
        <v>0</v>
      </c>
      <c r="AA636" s="272">
        <f>+'NI-San_SP'!AA636+'NI-Soc_SP'!AA636+'NI-Ric_SP'!AA636</f>
        <v>0</v>
      </c>
      <c r="AB636" s="272">
        <f>+'NI-San_SP'!AB636+'NI-Soc_SP'!AB636+'NI-Ric_SP'!AB636</f>
        <v>0</v>
      </c>
      <c r="AC636" s="272">
        <f>+'NI-San_SP'!AC636+'NI-Soc_SP'!AC636+'NI-Ric_SP'!AC636</f>
        <v>0</v>
      </c>
      <c r="AD636" s="272">
        <f>+'NI-San_SP'!AD636+'NI-Soc_SP'!AD636+'NI-Ric_SP'!AD636</f>
        <v>0</v>
      </c>
      <c r="AE636" s="272">
        <f>+'NI-San_SP'!AE636+'NI-Soc_SP'!AE636+'NI-Ric_SP'!AE636</f>
        <v>0</v>
      </c>
      <c r="AF636" s="272">
        <f>+'NI-San_SP'!AF636+'NI-Soc_SP'!AF636+'NI-Ric_SP'!AF636</f>
        <v>0</v>
      </c>
      <c r="AG636" s="272">
        <f>+'NI-San_SP'!AG636+'NI-Soc_SP'!AG636+'NI-Ric_SP'!AG636</f>
        <v>0</v>
      </c>
      <c r="AH636" s="272">
        <f>+'NI-San_SP'!AH636+'NI-Soc_SP'!AH636+'NI-Ric_SP'!AH636</f>
        <v>0</v>
      </c>
      <c r="AI636" s="272">
        <f>+'NI-San_SP'!AI636+'NI-Soc_SP'!AI636+'NI-Ric_SP'!AI636</f>
        <v>0</v>
      </c>
      <c r="AJ636" s="272">
        <f>+'NI-San_SP'!AJ636+'NI-Soc_SP'!AJ636+'NI-Ric_SP'!AJ636</f>
        <v>0</v>
      </c>
      <c r="AK636" s="272">
        <f>+'NI-San_SP'!AK636+'NI-Soc_SP'!AK636+'NI-Ric_SP'!AK636</f>
        <v>0</v>
      </c>
      <c r="AL636" s="272">
        <f>+'NI-San_SP'!AL636+'NI-Soc_SP'!AL636+'NI-Ric_SP'!AL636</f>
        <v>0</v>
      </c>
      <c r="AM636" s="272">
        <f>+'NI-San_SP'!AM636+'NI-Soc_SP'!AM636+'NI-Ric_SP'!AM636</f>
        <v>0</v>
      </c>
    </row>
    <row r="637" spans="1:39" s="204" customFormat="1" x14ac:dyDescent="0.25">
      <c r="B637" s="246" t="s">
        <v>1508</v>
      </c>
      <c r="C637" s="287" t="s">
        <v>1509</v>
      </c>
      <c r="D637" s="274" t="s">
        <v>3732</v>
      </c>
      <c r="E637" s="274"/>
      <c r="F637" s="274"/>
      <c r="G637" s="283"/>
      <c r="H637" s="266"/>
      <c r="I637" s="274"/>
      <c r="J637" s="281"/>
      <c r="K637" s="281"/>
      <c r="L637" s="379" t="s">
        <v>3733</v>
      </c>
      <c r="M637" s="284" t="s">
        <v>2962</v>
      </c>
      <c r="N637" s="269">
        <f t="shared" si="84"/>
        <v>15334290</v>
      </c>
      <c r="O637" s="270">
        <f t="shared" si="85"/>
        <v>7870160</v>
      </c>
      <c r="P637" s="271">
        <f t="shared" si="80"/>
        <v>-7464130</v>
      </c>
      <c r="Q637" s="272">
        <f>+'NI-San_SP'!Q637+'NI-Soc_SP'!Q637+'NI-Ric_SP'!Q637</f>
        <v>0</v>
      </c>
      <c r="R637" s="272">
        <f>+'NI-San_SP'!R637+'NI-Soc_SP'!R637+'NI-Ric_SP'!R637</f>
        <v>15334290</v>
      </c>
      <c r="S637" s="272">
        <f>+'NI-San_SP'!S637+'NI-Soc_SP'!S637+'NI-Ric_SP'!S637</f>
        <v>0</v>
      </c>
      <c r="T637" s="272">
        <f>+'NI-San_SP'!T637+'NI-Soc_SP'!T637+'NI-Ric_SP'!T637</f>
        <v>0</v>
      </c>
      <c r="U637" s="272">
        <f>+'NI-San_SP'!U637+'NI-Soc_SP'!U637+'NI-Ric_SP'!U637</f>
        <v>20710967</v>
      </c>
      <c r="V637" s="272">
        <f>+'NI-San_SP'!V637+'NI-Soc_SP'!V637+'NI-Ric_SP'!V637</f>
        <v>7971380</v>
      </c>
      <c r="W637" s="272">
        <f>+'NI-San_SP'!W637+'NI-Soc_SP'!W637+'NI-Ric_SP'!W637</f>
        <v>0</v>
      </c>
      <c r="X637" s="272">
        <f>+'NI-San_SP'!X637+'NI-Soc_SP'!X637+'NI-Ric_SP'!X637</f>
        <v>20203717</v>
      </c>
      <c r="Y637" s="272">
        <f>+'NI-San_SP'!Y637+'NI-Soc_SP'!Y637+'NI-Ric_SP'!Y637</f>
        <v>7870160</v>
      </c>
      <c r="Z637" s="272">
        <f>+'NI-San_SP'!Z637+'NI-Soc_SP'!Z637+'NI-Ric_SP'!Z637</f>
        <v>0</v>
      </c>
      <c r="AA637" s="272">
        <f>+'NI-San_SP'!AA637+'NI-Soc_SP'!AA637+'NI-Ric_SP'!AA637</f>
        <v>0</v>
      </c>
      <c r="AB637" s="272">
        <f>+'NI-San_SP'!AB637+'NI-Soc_SP'!AB637+'NI-Ric_SP'!AB637</f>
        <v>0</v>
      </c>
      <c r="AC637" s="272">
        <f>+'NI-San_SP'!AC637+'NI-Soc_SP'!AC637+'NI-Ric_SP'!AC637</f>
        <v>0</v>
      </c>
      <c r="AD637" s="272">
        <f>+'NI-San_SP'!AD637+'NI-Soc_SP'!AD637+'NI-Ric_SP'!AD637</f>
        <v>0</v>
      </c>
      <c r="AE637" s="272">
        <f>+'NI-San_SP'!AE637+'NI-Soc_SP'!AE637+'NI-Ric_SP'!AE637</f>
        <v>0</v>
      </c>
      <c r="AF637" s="272">
        <f>+'NI-San_SP'!AF637+'NI-Soc_SP'!AF637+'NI-Ric_SP'!AF637</f>
        <v>5329745</v>
      </c>
      <c r="AG637" s="272">
        <f>+'NI-San_SP'!AG637+'NI-Soc_SP'!AG637+'NI-Ric_SP'!AG637</f>
        <v>43607</v>
      </c>
      <c r="AH637" s="272">
        <f>+'NI-San_SP'!AH637+'NI-Soc_SP'!AH637+'NI-Ric_SP'!AH637</f>
        <v>1751000</v>
      </c>
      <c r="AI637" s="272">
        <f>+'NI-San_SP'!AI637+'NI-Soc_SP'!AI637+'NI-Ric_SP'!AI637</f>
        <v>238558</v>
      </c>
      <c r="AJ637" s="272">
        <f>+'NI-San_SP'!AJ637+'NI-Soc_SP'!AJ637+'NI-Ric_SP'!AJ637</f>
        <v>507250</v>
      </c>
      <c r="AK637" s="272">
        <f>+'NI-San_SP'!AK637+'NI-Soc_SP'!AK637+'NI-Ric_SP'!AK637</f>
        <v>7870160</v>
      </c>
      <c r="AL637" s="272">
        <f>+'NI-San_SP'!AL637+'NI-Soc_SP'!AL637+'NI-Ric_SP'!AL637</f>
        <v>0</v>
      </c>
      <c r="AM637" s="272">
        <f>+'NI-San_SP'!AM637+'NI-Soc_SP'!AM637+'NI-Ric_SP'!AM637</f>
        <v>0</v>
      </c>
    </row>
    <row r="638" spans="1:39" s="204" customFormat="1" ht="25.5" x14ac:dyDescent="0.25">
      <c r="A638" s="204" t="s">
        <v>3681</v>
      </c>
      <c r="B638" s="246" t="s">
        <v>1513</v>
      </c>
      <c r="C638" s="287" t="s">
        <v>1514</v>
      </c>
      <c r="D638" s="274"/>
      <c r="E638" s="274"/>
      <c r="F638" s="274"/>
      <c r="G638" s="283"/>
      <c r="H638" s="266"/>
      <c r="I638" s="274"/>
      <c r="J638" s="281"/>
      <c r="K638" s="281"/>
      <c r="L638" s="387" t="s">
        <v>3734</v>
      </c>
      <c r="M638" s="284" t="s">
        <v>2962</v>
      </c>
      <c r="N638" s="269">
        <f t="shared" si="84"/>
        <v>0</v>
      </c>
      <c r="O638" s="270">
        <f t="shared" si="85"/>
        <v>0</v>
      </c>
      <c r="P638" s="271">
        <f t="shared" si="80"/>
        <v>0</v>
      </c>
      <c r="Q638" s="272">
        <f>+'NI-San_SP'!Q638+'NI-Soc_SP'!Q638+'NI-Ric_SP'!Q638</f>
        <v>0</v>
      </c>
      <c r="R638" s="272">
        <f>+'NI-San_SP'!R638+'NI-Soc_SP'!R638+'NI-Ric_SP'!R638</f>
        <v>0</v>
      </c>
      <c r="S638" s="272">
        <f>+'NI-San_SP'!S638+'NI-Soc_SP'!S638+'NI-Ric_SP'!S638</f>
        <v>0</v>
      </c>
      <c r="T638" s="272">
        <f>+'NI-San_SP'!T638+'NI-Soc_SP'!T638+'NI-Ric_SP'!T638</f>
        <v>0</v>
      </c>
      <c r="U638" s="272">
        <f>+'NI-San_SP'!U638+'NI-Soc_SP'!U638+'NI-Ric_SP'!U638</f>
        <v>0</v>
      </c>
      <c r="V638" s="272">
        <f>+'NI-San_SP'!V638+'NI-Soc_SP'!V638+'NI-Ric_SP'!V638</f>
        <v>0</v>
      </c>
      <c r="W638" s="272">
        <f>+'NI-San_SP'!W638+'NI-Soc_SP'!W638+'NI-Ric_SP'!W638</f>
        <v>0</v>
      </c>
      <c r="X638" s="272">
        <f>+'NI-San_SP'!X638+'NI-Soc_SP'!X638+'NI-Ric_SP'!X638</f>
        <v>0</v>
      </c>
      <c r="Y638" s="272">
        <f>+'NI-San_SP'!Y638+'NI-Soc_SP'!Y638+'NI-Ric_SP'!Y638</f>
        <v>0</v>
      </c>
      <c r="Z638" s="272">
        <f>+'NI-San_SP'!Z638+'NI-Soc_SP'!Z638+'NI-Ric_SP'!Z638</f>
        <v>0</v>
      </c>
      <c r="AA638" s="272">
        <f>+'NI-San_SP'!AA638+'NI-Soc_SP'!AA638+'NI-Ric_SP'!AA638</f>
        <v>0</v>
      </c>
      <c r="AB638" s="272">
        <f>+'NI-San_SP'!AB638+'NI-Soc_SP'!AB638+'NI-Ric_SP'!AB638</f>
        <v>0</v>
      </c>
      <c r="AC638" s="272">
        <f>+'NI-San_SP'!AC638+'NI-Soc_SP'!AC638+'NI-Ric_SP'!AC638</f>
        <v>0</v>
      </c>
      <c r="AD638" s="272">
        <f>+'NI-San_SP'!AD638+'NI-Soc_SP'!AD638+'NI-Ric_SP'!AD638</f>
        <v>0</v>
      </c>
      <c r="AE638" s="272">
        <f>+'NI-San_SP'!AE638+'NI-Soc_SP'!AE638+'NI-Ric_SP'!AE638</f>
        <v>0</v>
      </c>
      <c r="AF638" s="272">
        <f>+'NI-San_SP'!AF638+'NI-Soc_SP'!AF638+'NI-Ric_SP'!AF638</f>
        <v>0</v>
      </c>
      <c r="AG638" s="272">
        <f>+'NI-San_SP'!AG638+'NI-Soc_SP'!AG638+'NI-Ric_SP'!AG638</f>
        <v>0</v>
      </c>
      <c r="AH638" s="272">
        <f>+'NI-San_SP'!AH638+'NI-Soc_SP'!AH638+'NI-Ric_SP'!AH638</f>
        <v>0</v>
      </c>
      <c r="AI638" s="272">
        <f>+'NI-San_SP'!AI638+'NI-Soc_SP'!AI638+'NI-Ric_SP'!AI638</f>
        <v>0</v>
      </c>
      <c r="AJ638" s="272">
        <f>+'NI-San_SP'!AJ638+'NI-Soc_SP'!AJ638+'NI-Ric_SP'!AJ638</f>
        <v>0</v>
      </c>
      <c r="AK638" s="272">
        <f>+'NI-San_SP'!AK638+'NI-Soc_SP'!AK638+'NI-Ric_SP'!AK638</f>
        <v>0</v>
      </c>
      <c r="AL638" s="272">
        <f>+'NI-San_SP'!AL638+'NI-Soc_SP'!AL638+'NI-Ric_SP'!AL638</f>
        <v>0</v>
      </c>
      <c r="AM638" s="272">
        <f>+'NI-San_SP'!AM638+'NI-Soc_SP'!AM638+'NI-Ric_SP'!AM638</f>
        <v>0</v>
      </c>
    </row>
    <row r="639" spans="1:39" s="204" customFormat="1" x14ac:dyDescent="0.25">
      <c r="B639" s="246" t="s">
        <v>1518</v>
      </c>
      <c r="C639" s="287" t="s">
        <v>1519</v>
      </c>
      <c r="D639" s="274" t="s">
        <v>3735</v>
      </c>
      <c r="E639" s="274"/>
      <c r="F639" s="274"/>
      <c r="G639" s="283"/>
      <c r="H639" s="266"/>
      <c r="I639" s="274"/>
      <c r="J639" s="281"/>
      <c r="K639" s="281"/>
      <c r="L639" s="284" t="s">
        <v>3736</v>
      </c>
      <c r="M639" s="284" t="s">
        <v>2962</v>
      </c>
      <c r="N639" s="269">
        <f t="shared" si="84"/>
        <v>0</v>
      </c>
      <c r="O639" s="270">
        <f t="shared" si="85"/>
        <v>0</v>
      </c>
      <c r="P639" s="271">
        <f t="shared" si="80"/>
        <v>0</v>
      </c>
      <c r="Q639" s="272">
        <f>+'NI-San_SP'!Q639+'NI-Soc_SP'!Q639+'NI-Ric_SP'!Q639</f>
        <v>0</v>
      </c>
      <c r="R639" s="272">
        <f>+'NI-San_SP'!R639+'NI-Soc_SP'!R639+'NI-Ric_SP'!R639</f>
        <v>0</v>
      </c>
      <c r="S639" s="272">
        <f>+'NI-San_SP'!S639+'NI-Soc_SP'!S639+'NI-Ric_SP'!S639</f>
        <v>0</v>
      </c>
      <c r="T639" s="272">
        <f>+'NI-San_SP'!T639+'NI-Soc_SP'!T639+'NI-Ric_SP'!T639</f>
        <v>0</v>
      </c>
      <c r="U639" s="272">
        <f>+'NI-San_SP'!U639+'NI-Soc_SP'!U639+'NI-Ric_SP'!U639</f>
        <v>0</v>
      </c>
      <c r="V639" s="272">
        <f>+'NI-San_SP'!V639+'NI-Soc_SP'!V639+'NI-Ric_SP'!V639</f>
        <v>0</v>
      </c>
      <c r="W639" s="272">
        <f>+'NI-San_SP'!W639+'NI-Soc_SP'!W639+'NI-Ric_SP'!W639</f>
        <v>0</v>
      </c>
      <c r="X639" s="272">
        <f>+'NI-San_SP'!X639+'NI-Soc_SP'!X639+'NI-Ric_SP'!X639</f>
        <v>0</v>
      </c>
      <c r="Y639" s="272">
        <f>+'NI-San_SP'!Y639+'NI-Soc_SP'!Y639+'NI-Ric_SP'!Y639</f>
        <v>0</v>
      </c>
      <c r="Z639" s="272">
        <f>+'NI-San_SP'!Z639+'NI-Soc_SP'!Z639+'NI-Ric_SP'!Z639</f>
        <v>0</v>
      </c>
      <c r="AA639" s="272">
        <f>+'NI-San_SP'!AA639+'NI-Soc_SP'!AA639+'NI-Ric_SP'!AA639</f>
        <v>0</v>
      </c>
      <c r="AB639" s="272">
        <f>+'NI-San_SP'!AB639+'NI-Soc_SP'!AB639+'NI-Ric_SP'!AB639</f>
        <v>0</v>
      </c>
      <c r="AC639" s="272">
        <f>+'NI-San_SP'!AC639+'NI-Soc_SP'!AC639+'NI-Ric_SP'!AC639</f>
        <v>0</v>
      </c>
      <c r="AD639" s="272">
        <f>+'NI-San_SP'!AD639+'NI-Soc_SP'!AD639+'NI-Ric_SP'!AD639</f>
        <v>0</v>
      </c>
      <c r="AE639" s="272">
        <f>+'NI-San_SP'!AE639+'NI-Soc_SP'!AE639+'NI-Ric_SP'!AE639</f>
        <v>0</v>
      </c>
      <c r="AF639" s="272">
        <f>+'NI-San_SP'!AF639+'NI-Soc_SP'!AF639+'NI-Ric_SP'!AF639</f>
        <v>0</v>
      </c>
      <c r="AG639" s="272">
        <f>+'NI-San_SP'!AG639+'NI-Soc_SP'!AG639+'NI-Ric_SP'!AG639</f>
        <v>0</v>
      </c>
      <c r="AH639" s="272">
        <f>+'NI-San_SP'!AH639+'NI-Soc_SP'!AH639+'NI-Ric_SP'!AH639</f>
        <v>0</v>
      </c>
      <c r="AI639" s="272">
        <f>+'NI-San_SP'!AI639+'NI-Soc_SP'!AI639+'NI-Ric_SP'!AI639</f>
        <v>0</v>
      </c>
      <c r="AJ639" s="272">
        <f>+'NI-San_SP'!AJ639+'NI-Soc_SP'!AJ639+'NI-Ric_SP'!AJ639</f>
        <v>0</v>
      </c>
      <c r="AK639" s="272">
        <f>+'NI-San_SP'!AK639+'NI-Soc_SP'!AK639+'NI-Ric_SP'!AK639</f>
        <v>0</v>
      </c>
      <c r="AL639" s="272">
        <f>+'NI-San_SP'!AL639+'NI-Soc_SP'!AL639+'NI-Ric_SP'!AL639</f>
        <v>0</v>
      </c>
      <c r="AM639" s="272">
        <f>+'NI-San_SP'!AM639+'NI-Soc_SP'!AM639+'NI-Ric_SP'!AM639</f>
        <v>0</v>
      </c>
    </row>
    <row r="640" spans="1:39" s="204" customFormat="1" ht="25.5" x14ac:dyDescent="0.25">
      <c r="A640" s="204" t="s">
        <v>3681</v>
      </c>
      <c r="B640" s="246" t="s">
        <v>1523</v>
      </c>
      <c r="C640" s="287" t="s">
        <v>1524</v>
      </c>
      <c r="D640" s="274"/>
      <c r="E640" s="274"/>
      <c r="F640" s="274"/>
      <c r="G640" s="283"/>
      <c r="H640" s="266"/>
      <c r="I640" s="274"/>
      <c r="J640" s="281"/>
      <c r="K640" s="281"/>
      <c r="L640" s="387" t="s">
        <v>3737</v>
      </c>
      <c r="M640" s="284" t="s">
        <v>2962</v>
      </c>
      <c r="N640" s="269">
        <f t="shared" si="84"/>
        <v>0</v>
      </c>
      <c r="O640" s="270">
        <f t="shared" si="85"/>
        <v>0</v>
      </c>
      <c r="P640" s="271">
        <f t="shared" si="80"/>
        <v>0</v>
      </c>
      <c r="Q640" s="272">
        <f>+'NI-San_SP'!Q640+'NI-Soc_SP'!Q640+'NI-Ric_SP'!Q640</f>
        <v>0</v>
      </c>
      <c r="R640" s="272">
        <f>+'NI-San_SP'!R640+'NI-Soc_SP'!R640+'NI-Ric_SP'!R640</f>
        <v>0</v>
      </c>
      <c r="S640" s="272">
        <f>+'NI-San_SP'!S640+'NI-Soc_SP'!S640+'NI-Ric_SP'!S640</f>
        <v>0</v>
      </c>
      <c r="T640" s="272"/>
      <c r="U640" s="272">
        <f>+'NI-San_SP'!U640+'NI-Soc_SP'!U640+'NI-Ric_SP'!U640</f>
        <v>0</v>
      </c>
      <c r="V640" s="272">
        <f>+'NI-San_SP'!V640+'NI-Soc_SP'!V640+'NI-Ric_SP'!V640</f>
        <v>0</v>
      </c>
      <c r="W640" s="272">
        <f>+'NI-San_SP'!W640+'NI-Soc_SP'!W640+'NI-Ric_SP'!W640</f>
        <v>0</v>
      </c>
      <c r="X640" s="272">
        <f>+'NI-San_SP'!X640+'NI-Soc_SP'!X640+'NI-Ric_SP'!X640</f>
        <v>0</v>
      </c>
      <c r="Y640" s="272">
        <f>+'NI-San_SP'!Y640+'NI-Soc_SP'!Y640+'NI-Ric_SP'!Y640</f>
        <v>0</v>
      </c>
      <c r="Z640" s="272">
        <f>+'NI-San_SP'!Z640+'NI-Soc_SP'!Z640+'NI-Ric_SP'!Z640</f>
        <v>0</v>
      </c>
      <c r="AA640" s="272">
        <f>+'NI-San_SP'!AA640+'NI-Soc_SP'!AA640+'NI-Ric_SP'!AA640</f>
        <v>0</v>
      </c>
      <c r="AB640" s="272">
        <f>+'NI-San_SP'!AB640+'NI-Soc_SP'!AB640+'NI-Ric_SP'!AB640</f>
        <v>0</v>
      </c>
      <c r="AC640" s="272">
        <f>+'NI-San_SP'!AC640+'NI-Soc_SP'!AC640+'NI-Ric_SP'!AC640</f>
        <v>0</v>
      </c>
      <c r="AD640" s="272">
        <f>+'NI-San_SP'!AD640+'NI-Soc_SP'!AD640+'NI-Ric_SP'!AD640</f>
        <v>0</v>
      </c>
      <c r="AE640" s="272">
        <f>+'NI-San_SP'!AE640+'NI-Soc_SP'!AE640+'NI-Ric_SP'!AE640</f>
        <v>0</v>
      </c>
      <c r="AF640" s="272">
        <f>+'NI-San_SP'!AF640+'NI-Soc_SP'!AF640+'NI-Ric_SP'!AF640</f>
        <v>0</v>
      </c>
      <c r="AG640" s="272">
        <f>+'NI-San_SP'!AG640+'NI-Soc_SP'!AG640+'NI-Ric_SP'!AG640</f>
        <v>0</v>
      </c>
      <c r="AH640" s="272">
        <f>+'NI-San_SP'!AH640+'NI-Soc_SP'!AH640+'NI-Ric_SP'!AH640</f>
        <v>0</v>
      </c>
      <c r="AI640" s="272">
        <f>+'NI-San_SP'!AI640+'NI-Soc_SP'!AI640+'NI-Ric_SP'!AI640</f>
        <v>0</v>
      </c>
      <c r="AJ640" s="272">
        <f>+'NI-San_SP'!AJ640+'NI-Soc_SP'!AJ640+'NI-Ric_SP'!AJ640</f>
        <v>0</v>
      </c>
      <c r="AK640" s="272">
        <f>+'NI-San_SP'!AK640+'NI-Soc_SP'!AK640+'NI-Ric_SP'!AK640</f>
        <v>0</v>
      </c>
      <c r="AL640" s="272">
        <f>+'NI-San_SP'!AL640+'NI-Soc_SP'!AL640+'NI-Ric_SP'!AL640</f>
        <v>0</v>
      </c>
      <c r="AM640" s="272">
        <f>+'NI-San_SP'!AM640+'NI-Soc_SP'!AM640+'NI-Ric_SP'!AM640</f>
        <v>0</v>
      </c>
    </row>
    <row r="641" spans="1:39" s="204" customFormat="1" ht="24.75" customHeight="1" x14ac:dyDescent="0.25">
      <c r="B641" s="246" t="s">
        <v>1528</v>
      </c>
      <c r="C641" s="287" t="s">
        <v>1529</v>
      </c>
      <c r="D641" s="274" t="s">
        <v>3738</v>
      </c>
      <c r="E641" s="274"/>
      <c r="F641" s="274"/>
      <c r="G641" s="283"/>
      <c r="H641" s="266"/>
      <c r="I641" s="274"/>
      <c r="J641" s="281"/>
      <c r="K641" s="281"/>
      <c r="L641" s="295" t="s">
        <v>1530</v>
      </c>
      <c r="M641" s="284" t="s">
        <v>2962</v>
      </c>
      <c r="N641" s="272">
        <f>SUM(N642:N647)</f>
        <v>29266859</v>
      </c>
      <c r="O641" s="272">
        <f>SUM(O642:O647)</f>
        <v>29642427</v>
      </c>
      <c r="P641" s="378">
        <f t="shared" si="80"/>
        <v>375568</v>
      </c>
      <c r="Q641" s="272">
        <f>+'NI-San_SP'!Q641+'NI-Soc_SP'!Q641+'NI-Ric_SP'!Q641</f>
        <v>0</v>
      </c>
      <c r="R641" s="272">
        <f>+'NI-San_SP'!R641+'NI-Soc_SP'!R641+'NI-Ric_SP'!R641</f>
        <v>29266859</v>
      </c>
      <c r="S641" s="272">
        <f>+'NI-San_SP'!S641+'NI-Soc_SP'!S641+'NI-Ric_SP'!S641</f>
        <v>0</v>
      </c>
      <c r="T641" s="272">
        <f>+'NI-San_SP'!T641+'NI-Soc_SP'!T641+'NI-Ric_SP'!T641</f>
        <v>0</v>
      </c>
      <c r="U641" s="272">
        <f>+'NI-San_SP'!U641+'NI-Soc_SP'!U641+'NI-Ric_SP'!U641</f>
        <v>5000000</v>
      </c>
      <c r="V641" s="272">
        <f>+'NI-San_SP'!V641+'NI-Soc_SP'!V641+'NI-Ric_SP'!V641</f>
        <v>2124432</v>
      </c>
      <c r="W641" s="272">
        <f>+'NI-San_SP'!W641+'NI-Soc_SP'!W641+'NI-Ric_SP'!W641</f>
        <v>0</v>
      </c>
      <c r="X641" s="272">
        <f>+'NI-San_SP'!X641+'NI-Soc_SP'!X641+'NI-Ric_SP'!X641</f>
        <v>2500000</v>
      </c>
      <c r="Y641" s="272">
        <f>+'NI-San_SP'!Y641+'NI-Soc_SP'!Y641+'NI-Ric_SP'!Y641</f>
        <v>29642427</v>
      </c>
      <c r="Z641" s="272">
        <f>+'NI-San_SP'!Z641+'NI-Soc_SP'!Z641+'NI-Ric_SP'!Z641</f>
        <v>0</v>
      </c>
      <c r="AA641" s="272">
        <f>+'NI-San_SP'!AA641+'NI-Soc_SP'!AA641+'NI-Ric_SP'!AA641</f>
        <v>0</v>
      </c>
      <c r="AB641" s="272">
        <f>+'NI-San_SP'!AB641+'NI-Soc_SP'!AB641+'NI-Ric_SP'!AB641</f>
        <v>0</v>
      </c>
      <c r="AC641" s="272">
        <f>+'NI-San_SP'!AC641+'NI-Soc_SP'!AC641+'NI-Ric_SP'!AC641</f>
        <v>0</v>
      </c>
      <c r="AD641" s="272">
        <f>+'NI-San_SP'!AD641+'NI-Soc_SP'!AD641+'NI-Ric_SP'!AD641</f>
        <v>0</v>
      </c>
      <c r="AE641" s="272">
        <f>+'NI-San_SP'!AE641+'NI-Soc_SP'!AE641+'NI-Ric_SP'!AE641</f>
        <v>0</v>
      </c>
      <c r="AF641" s="272">
        <f>+'NI-San_SP'!AF641+'NI-Soc_SP'!AF641+'NI-Ric_SP'!AF641</f>
        <v>6592141</v>
      </c>
      <c r="AG641" s="272">
        <f>+'NI-San_SP'!AG641+'NI-Soc_SP'!AG641+'NI-Ric_SP'!AG641</f>
        <v>2090220</v>
      </c>
      <c r="AH641" s="272">
        <f>+'NI-San_SP'!AH641+'NI-Soc_SP'!AH641+'NI-Ric_SP'!AH641</f>
        <v>12996066</v>
      </c>
      <c r="AI641" s="272">
        <f>+'NI-San_SP'!AI641+'NI-Soc_SP'!AI641+'NI-Ric_SP'!AI641</f>
        <v>5464000</v>
      </c>
      <c r="AJ641" s="272">
        <f>+'NI-San_SP'!AJ641+'NI-Soc_SP'!AJ641+'NI-Ric_SP'!AJ641</f>
        <v>2500000</v>
      </c>
      <c r="AK641" s="272">
        <f>+'NI-San_SP'!AK641+'NI-Soc_SP'!AK641+'NI-Ric_SP'!AK641</f>
        <v>29642427</v>
      </c>
      <c r="AL641" s="272">
        <f>+'NI-San_SP'!AL641+'NI-Soc_SP'!AL641+'NI-Ric_SP'!AL641</f>
        <v>0</v>
      </c>
      <c r="AM641" s="272">
        <f>+'NI-San_SP'!AM641+'NI-Soc_SP'!AM641+'NI-Ric_SP'!AM641</f>
        <v>0</v>
      </c>
    </row>
    <row r="642" spans="1:39" s="204" customFormat="1" ht="25.5" x14ac:dyDescent="0.25">
      <c r="B642" s="246" t="s">
        <v>1531</v>
      </c>
      <c r="C642" s="287" t="s">
        <v>1532</v>
      </c>
      <c r="D642" s="274" t="s">
        <v>3739</v>
      </c>
      <c r="E642" s="274"/>
      <c r="F642" s="274"/>
      <c r="G642" s="283"/>
      <c r="H642" s="266"/>
      <c r="I642" s="274"/>
      <c r="J642" s="281"/>
      <c r="K642" s="281"/>
      <c r="L642" s="379" t="s">
        <v>1536</v>
      </c>
      <c r="M642" s="284" t="s">
        <v>2962</v>
      </c>
      <c r="N642" s="269">
        <f t="shared" ref="N642:N649" si="86">+R642-AA642</f>
        <v>29266859</v>
      </c>
      <c r="O642" s="270">
        <f t="shared" ref="O642:O649" si="87">+Y642-AE642</f>
        <v>29642427</v>
      </c>
      <c r="P642" s="271">
        <f t="shared" si="80"/>
        <v>375568</v>
      </c>
      <c r="Q642" s="272">
        <f>+'NI-San_SP'!Q642+'NI-Soc_SP'!Q642+'NI-Ric_SP'!Q642</f>
        <v>0</v>
      </c>
      <c r="R642" s="272">
        <f>+'NI-San_SP'!R642+'NI-Soc_SP'!R642+'NI-Ric_SP'!R642</f>
        <v>29266859</v>
      </c>
      <c r="S642" s="272">
        <f>+'NI-San_SP'!S642+'NI-Soc_SP'!S642+'NI-Ric_SP'!S642</f>
        <v>0</v>
      </c>
      <c r="T642" s="272">
        <f>+'NI-San_SP'!T642+'NI-Soc_SP'!T642+'NI-Ric_SP'!T642</f>
        <v>0</v>
      </c>
      <c r="U642" s="272">
        <f>+'NI-San_SP'!U642+'NI-Soc_SP'!U642+'NI-Ric_SP'!U642</f>
        <v>5000000</v>
      </c>
      <c r="V642" s="272">
        <f>+'NI-San_SP'!V642+'NI-Soc_SP'!V642+'NI-Ric_SP'!V642</f>
        <v>2124432</v>
      </c>
      <c r="W642" s="272">
        <f>+'NI-San_SP'!W642+'NI-Soc_SP'!W642+'NI-Ric_SP'!W642</f>
        <v>0</v>
      </c>
      <c r="X642" s="272">
        <f>+'NI-San_SP'!X642+'NI-Soc_SP'!X642+'NI-Ric_SP'!X642</f>
        <v>2500000</v>
      </c>
      <c r="Y642" s="272">
        <f>+'NI-San_SP'!Y642+'NI-Soc_SP'!Y642+'NI-Ric_SP'!Y642</f>
        <v>29642427</v>
      </c>
      <c r="Z642" s="272">
        <f>+'NI-San_SP'!Z642+'NI-Soc_SP'!Z642+'NI-Ric_SP'!Z642</f>
        <v>0</v>
      </c>
      <c r="AA642" s="272">
        <f>+'NI-San_SP'!AA642+'NI-Soc_SP'!AA642+'NI-Ric_SP'!AA642</f>
        <v>0</v>
      </c>
      <c r="AB642" s="272">
        <f>+'NI-San_SP'!AB642+'NI-Soc_SP'!AB642+'NI-Ric_SP'!AB642</f>
        <v>0</v>
      </c>
      <c r="AC642" s="272">
        <f>+'NI-San_SP'!AC642+'NI-Soc_SP'!AC642+'NI-Ric_SP'!AC642</f>
        <v>0</v>
      </c>
      <c r="AD642" s="272">
        <f>+'NI-San_SP'!AD642+'NI-Soc_SP'!AD642+'NI-Ric_SP'!AD642</f>
        <v>0</v>
      </c>
      <c r="AE642" s="272">
        <f>+'NI-San_SP'!AE642+'NI-Soc_SP'!AE642+'NI-Ric_SP'!AE642</f>
        <v>0</v>
      </c>
      <c r="AF642" s="272">
        <f>+'NI-San_SP'!AF642+'NI-Soc_SP'!AF642+'NI-Ric_SP'!AF642</f>
        <v>6592141</v>
      </c>
      <c r="AG642" s="272">
        <f>+'NI-San_SP'!AG642+'NI-Soc_SP'!AG642+'NI-Ric_SP'!AG642</f>
        <v>2090220</v>
      </c>
      <c r="AH642" s="272">
        <f>+'NI-San_SP'!AH642+'NI-Soc_SP'!AH642+'NI-Ric_SP'!AH642</f>
        <v>12996066</v>
      </c>
      <c r="AI642" s="272">
        <f>+'NI-San_SP'!AI642+'NI-Soc_SP'!AI642+'NI-Ric_SP'!AI642</f>
        <v>5464000</v>
      </c>
      <c r="AJ642" s="272">
        <f>+'NI-San_SP'!AJ642+'NI-Soc_SP'!AJ642+'NI-Ric_SP'!AJ642</f>
        <v>2500000</v>
      </c>
      <c r="AK642" s="272">
        <f>+'NI-San_SP'!AK642+'NI-Soc_SP'!AK642+'NI-Ric_SP'!AK642</f>
        <v>29642427</v>
      </c>
      <c r="AL642" s="272">
        <f>+'NI-San_SP'!AL642+'NI-Soc_SP'!AL642+'NI-Ric_SP'!AL642</f>
        <v>0</v>
      </c>
      <c r="AM642" s="272">
        <f>+'NI-San_SP'!AM642+'NI-Soc_SP'!AM642+'NI-Ric_SP'!AM642</f>
        <v>0</v>
      </c>
    </row>
    <row r="643" spans="1:39" s="204" customFormat="1" ht="26.25" customHeight="1" x14ac:dyDescent="0.25">
      <c r="B643" s="246" t="s">
        <v>1537</v>
      </c>
      <c r="C643" s="287" t="s">
        <v>1538</v>
      </c>
      <c r="D643" s="274" t="s">
        <v>3740</v>
      </c>
      <c r="E643" s="274"/>
      <c r="F643" s="274"/>
      <c r="G643" s="283"/>
      <c r="H643" s="266"/>
      <c r="I643" s="274"/>
      <c r="J643" s="281"/>
      <c r="K643" s="281"/>
      <c r="L643" s="379" t="s">
        <v>3741</v>
      </c>
      <c r="M643" s="284" t="s">
        <v>2962</v>
      </c>
      <c r="N643" s="269">
        <f t="shared" si="86"/>
        <v>0</v>
      </c>
      <c r="O643" s="270">
        <f t="shared" si="87"/>
        <v>0</v>
      </c>
      <c r="P643" s="271">
        <f t="shared" si="80"/>
        <v>0</v>
      </c>
      <c r="Q643" s="272">
        <f>+'NI-San_SP'!Q643+'NI-Soc_SP'!Q643+'NI-Ric_SP'!Q643</f>
        <v>0</v>
      </c>
      <c r="R643" s="272">
        <f>+'NI-San_SP'!R643+'NI-Soc_SP'!R643+'NI-Ric_SP'!R643</f>
        <v>0</v>
      </c>
      <c r="S643" s="272">
        <f>+'NI-San_SP'!S643+'NI-Soc_SP'!S643+'NI-Ric_SP'!S643</f>
        <v>0</v>
      </c>
      <c r="T643" s="272">
        <f>+'NI-San_SP'!T643+'NI-Soc_SP'!T643+'NI-Ric_SP'!T643</f>
        <v>0</v>
      </c>
      <c r="U643" s="272">
        <f>+'NI-San_SP'!U643+'NI-Soc_SP'!U643+'NI-Ric_SP'!U643</f>
        <v>0</v>
      </c>
      <c r="V643" s="272">
        <f>+'NI-San_SP'!V643+'NI-Soc_SP'!V643+'NI-Ric_SP'!V643</f>
        <v>0</v>
      </c>
      <c r="W643" s="272">
        <f>+'NI-San_SP'!W643+'NI-Soc_SP'!W643+'NI-Ric_SP'!W643</f>
        <v>0</v>
      </c>
      <c r="X643" s="272">
        <f>+'NI-San_SP'!X643+'NI-Soc_SP'!X643+'NI-Ric_SP'!X643</f>
        <v>0</v>
      </c>
      <c r="Y643" s="272">
        <f>+'NI-San_SP'!Y643+'NI-Soc_SP'!Y643+'NI-Ric_SP'!Y643</f>
        <v>0</v>
      </c>
      <c r="Z643" s="272">
        <f>+'NI-San_SP'!Z643+'NI-Soc_SP'!Z643+'NI-Ric_SP'!Z643</f>
        <v>0</v>
      </c>
      <c r="AA643" s="272">
        <f>+'NI-San_SP'!AA643+'NI-Soc_SP'!AA643+'NI-Ric_SP'!AA643</f>
        <v>0</v>
      </c>
      <c r="AB643" s="272">
        <f>+'NI-San_SP'!AB643+'NI-Soc_SP'!AB643+'NI-Ric_SP'!AB643</f>
        <v>0</v>
      </c>
      <c r="AC643" s="272">
        <f>+'NI-San_SP'!AC643+'NI-Soc_SP'!AC643+'NI-Ric_SP'!AC643</f>
        <v>0</v>
      </c>
      <c r="AD643" s="272">
        <f>+'NI-San_SP'!AD643+'NI-Soc_SP'!AD643+'NI-Ric_SP'!AD643</f>
        <v>0</v>
      </c>
      <c r="AE643" s="272">
        <f>+'NI-San_SP'!AE643+'NI-Soc_SP'!AE643+'NI-Ric_SP'!AE643</f>
        <v>0</v>
      </c>
      <c r="AF643" s="272">
        <f>+'NI-San_SP'!AF643+'NI-Soc_SP'!AF643+'NI-Ric_SP'!AF643</f>
        <v>0</v>
      </c>
      <c r="AG643" s="272">
        <f>+'NI-San_SP'!AG643+'NI-Soc_SP'!AG643+'NI-Ric_SP'!AG643</f>
        <v>0</v>
      </c>
      <c r="AH643" s="272">
        <f>+'NI-San_SP'!AH643+'NI-Soc_SP'!AH643+'NI-Ric_SP'!AH643</f>
        <v>0</v>
      </c>
      <c r="AI643" s="272">
        <f>+'NI-San_SP'!AI643+'NI-Soc_SP'!AI643+'NI-Ric_SP'!AI643</f>
        <v>0</v>
      </c>
      <c r="AJ643" s="272">
        <f>+'NI-San_SP'!AJ643+'NI-Soc_SP'!AJ643+'NI-Ric_SP'!AJ643</f>
        <v>0</v>
      </c>
      <c r="AK643" s="272">
        <f>+'NI-San_SP'!AK643+'NI-Soc_SP'!AK643+'NI-Ric_SP'!AK643</f>
        <v>0</v>
      </c>
      <c r="AL643" s="272">
        <f>+'NI-San_SP'!AL643+'NI-Soc_SP'!AL643+'NI-Ric_SP'!AL643</f>
        <v>0</v>
      </c>
      <c r="AM643" s="272">
        <f>+'NI-San_SP'!AM643+'NI-Soc_SP'!AM643+'NI-Ric_SP'!AM643</f>
        <v>0</v>
      </c>
    </row>
    <row r="644" spans="1:39" s="204" customFormat="1" x14ac:dyDescent="0.25">
      <c r="B644" s="246" t="s">
        <v>1543</v>
      </c>
      <c r="C644" s="287" t="s">
        <v>1544</v>
      </c>
      <c r="D644" s="274" t="s">
        <v>3742</v>
      </c>
      <c r="E644" s="274"/>
      <c r="F644" s="274"/>
      <c r="G644" s="283"/>
      <c r="H644" s="266"/>
      <c r="I644" s="274"/>
      <c r="J644" s="281"/>
      <c r="K644" s="281"/>
      <c r="L644" s="379" t="s">
        <v>1548</v>
      </c>
      <c r="M644" s="284" t="s">
        <v>2962</v>
      </c>
      <c r="N644" s="269">
        <f t="shared" si="86"/>
        <v>0</v>
      </c>
      <c r="O644" s="270">
        <f t="shared" si="87"/>
        <v>0</v>
      </c>
      <c r="P644" s="271">
        <f t="shared" si="80"/>
        <v>0</v>
      </c>
      <c r="Q644" s="272">
        <f>+'NI-San_SP'!Q644+'NI-Soc_SP'!Q644+'NI-Ric_SP'!Q644</f>
        <v>0</v>
      </c>
      <c r="R644" s="272">
        <f>+'NI-San_SP'!R644+'NI-Soc_SP'!R644+'NI-Ric_SP'!R644</f>
        <v>0</v>
      </c>
      <c r="S644" s="272">
        <f>+'NI-San_SP'!S644+'NI-Soc_SP'!S644+'NI-Ric_SP'!S644</f>
        <v>0</v>
      </c>
      <c r="T644" s="272">
        <f>+'NI-San_SP'!T644+'NI-Soc_SP'!T644+'NI-Ric_SP'!T644</f>
        <v>0</v>
      </c>
      <c r="U644" s="272">
        <f>+'NI-San_SP'!U644+'NI-Soc_SP'!U644+'NI-Ric_SP'!U644</f>
        <v>0</v>
      </c>
      <c r="V644" s="272">
        <f>+'NI-San_SP'!V644+'NI-Soc_SP'!V644+'NI-Ric_SP'!V644</f>
        <v>0</v>
      </c>
      <c r="W644" s="272">
        <f>+'NI-San_SP'!W644+'NI-Soc_SP'!W644+'NI-Ric_SP'!W644</f>
        <v>0</v>
      </c>
      <c r="X644" s="272">
        <f>+'NI-San_SP'!X644+'NI-Soc_SP'!X644+'NI-Ric_SP'!X644</f>
        <v>0</v>
      </c>
      <c r="Y644" s="272">
        <f>+'NI-San_SP'!Y644+'NI-Soc_SP'!Y644+'NI-Ric_SP'!Y644</f>
        <v>0</v>
      </c>
      <c r="Z644" s="272">
        <f>+'NI-San_SP'!Z644+'NI-Soc_SP'!Z644+'NI-Ric_SP'!Z644</f>
        <v>0</v>
      </c>
      <c r="AA644" s="272">
        <f>+'NI-San_SP'!AA644+'NI-Soc_SP'!AA644+'NI-Ric_SP'!AA644</f>
        <v>0</v>
      </c>
      <c r="AB644" s="272">
        <f>+'NI-San_SP'!AB644+'NI-Soc_SP'!AB644+'NI-Ric_SP'!AB644</f>
        <v>0</v>
      </c>
      <c r="AC644" s="272">
        <f>+'NI-San_SP'!AC644+'NI-Soc_SP'!AC644+'NI-Ric_SP'!AC644</f>
        <v>0</v>
      </c>
      <c r="AD644" s="272">
        <f>+'NI-San_SP'!AD644+'NI-Soc_SP'!AD644+'NI-Ric_SP'!AD644</f>
        <v>0</v>
      </c>
      <c r="AE644" s="272">
        <f>+'NI-San_SP'!AE644+'NI-Soc_SP'!AE644+'NI-Ric_SP'!AE644</f>
        <v>0</v>
      </c>
      <c r="AF644" s="272">
        <f>+'NI-San_SP'!AF644+'NI-Soc_SP'!AF644+'NI-Ric_SP'!AF644</f>
        <v>0</v>
      </c>
      <c r="AG644" s="272">
        <f>+'NI-San_SP'!AG644+'NI-Soc_SP'!AG644+'NI-Ric_SP'!AG644</f>
        <v>0</v>
      </c>
      <c r="AH644" s="272">
        <f>+'NI-San_SP'!AH644+'NI-Soc_SP'!AH644+'NI-Ric_SP'!AH644</f>
        <v>0</v>
      </c>
      <c r="AI644" s="272">
        <f>+'NI-San_SP'!AI644+'NI-Soc_SP'!AI644+'NI-Ric_SP'!AI644</f>
        <v>0</v>
      </c>
      <c r="AJ644" s="272">
        <f>+'NI-San_SP'!AJ644+'NI-Soc_SP'!AJ644+'NI-Ric_SP'!AJ644</f>
        <v>0</v>
      </c>
      <c r="AK644" s="272">
        <f>+'NI-San_SP'!AK644+'NI-Soc_SP'!AK644+'NI-Ric_SP'!AK644</f>
        <v>0</v>
      </c>
      <c r="AL644" s="272">
        <f>+'NI-San_SP'!AL644+'NI-Soc_SP'!AL644+'NI-Ric_SP'!AL644</f>
        <v>0</v>
      </c>
      <c r="AM644" s="272">
        <f>+'NI-San_SP'!AM644+'NI-Soc_SP'!AM644+'NI-Ric_SP'!AM644</f>
        <v>0</v>
      </c>
    </row>
    <row r="645" spans="1:39" s="204" customFormat="1" x14ac:dyDescent="0.25">
      <c r="A645" s="204" t="s">
        <v>3681</v>
      </c>
      <c r="B645" s="246" t="s">
        <v>1549</v>
      </c>
      <c r="C645" s="287" t="s">
        <v>1550</v>
      </c>
      <c r="D645" s="274"/>
      <c r="E645" s="274"/>
      <c r="F645" s="274"/>
      <c r="G645" s="283"/>
      <c r="H645" s="266"/>
      <c r="I645" s="274"/>
      <c r="J645" s="281"/>
      <c r="K645" s="281"/>
      <c r="L645" s="388" t="s">
        <v>3743</v>
      </c>
      <c r="M645" s="284" t="s">
        <v>2962</v>
      </c>
      <c r="N645" s="269">
        <f t="shared" si="86"/>
        <v>0</v>
      </c>
      <c r="O645" s="270">
        <f t="shared" si="87"/>
        <v>0</v>
      </c>
      <c r="P645" s="271">
        <f t="shared" si="80"/>
        <v>0</v>
      </c>
      <c r="Q645" s="272">
        <f>+'NI-San_SP'!Q645+'NI-Soc_SP'!Q645+'NI-Ric_SP'!Q645</f>
        <v>0</v>
      </c>
      <c r="R645" s="272">
        <f>+'NI-San_SP'!R645+'NI-Soc_SP'!R645+'NI-Ric_SP'!R645</f>
        <v>0</v>
      </c>
      <c r="S645" s="272">
        <f>+'NI-San_SP'!S645+'NI-Soc_SP'!S645+'NI-Ric_SP'!S645</f>
        <v>0</v>
      </c>
      <c r="T645" s="272">
        <f>+'NI-San_SP'!T645+'NI-Soc_SP'!T645+'NI-Ric_SP'!T645</f>
        <v>0</v>
      </c>
      <c r="U645" s="272">
        <f>+'NI-San_SP'!U645+'NI-Soc_SP'!U645+'NI-Ric_SP'!U645</f>
        <v>0</v>
      </c>
      <c r="V645" s="272">
        <f>+'NI-San_SP'!V645+'NI-Soc_SP'!V645+'NI-Ric_SP'!V645</f>
        <v>0</v>
      </c>
      <c r="W645" s="272">
        <f>+'NI-San_SP'!W645+'NI-Soc_SP'!W645+'NI-Ric_SP'!W645</f>
        <v>0</v>
      </c>
      <c r="X645" s="272">
        <f>+'NI-San_SP'!X645+'NI-Soc_SP'!X645+'NI-Ric_SP'!X645</f>
        <v>0</v>
      </c>
      <c r="Y645" s="272">
        <f>+'NI-San_SP'!Y645+'NI-Soc_SP'!Y645+'NI-Ric_SP'!Y645</f>
        <v>0</v>
      </c>
      <c r="Z645" s="272">
        <f>+'NI-San_SP'!Z645+'NI-Soc_SP'!Z645+'NI-Ric_SP'!Z645</f>
        <v>0</v>
      </c>
      <c r="AA645" s="272">
        <f>+'NI-San_SP'!AA645+'NI-Soc_SP'!AA645+'NI-Ric_SP'!AA645</f>
        <v>0</v>
      </c>
      <c r="AB645" s="272">
        <f>+'NI-San_SP'!AB645+'NI-Soc_SP'!AB645+'NI-Ric_SP'!AB645</f>
        <v>0</v>
      </c>
      <c r="AC645" s="272">
        <f>+'NI-San_SP'!AC645+'NI-Soc_SP'!AC645+'NI-Ric_SP'!AC645</f>
        <v>0</v>
      </c>
      <c r="AD645" s="272">
        <f>+'NI-San_SP'!AD645+'NI-Soc_SP'!AD645+'NI-Ric_SP'!AD645</f>
        <v>0</v>
      </c>
      <c r="AE645" s="272">
        <f>+'NI-San_SP'!AE645+'NI-Soc_SP'!AE645+'NI-Ric_SP'!AE645</f>
        <v>0</v>
      </c>
      <c r="AF645" s="272">
        <f>+'NI-San_SP'!AF645+'NI-Soc_SP'!AF645+'NI-Ric_SP'!AF645</f>
        <v>0</v>
      </c>
      <c r="AG645" s="272">
        <f>+'NI-San_SP'!AG645+'NI-Soc_SP'!AG645+'NI-Ric_SP'!AG645</f>
        <v>0</v>
      </c>
      <c r="AH645" s="272">
        <f>+'NI-San_SP'!AH645+'NI-Soc_SP'!AH645+'NI-Ric_SP'!AH645</f>
        <v>0</v>
      </c>
      <c r="AI645" s="272">
        <f>+'NI-San_SP'!AI645+'NI-Soc_SP'!AI645+'NI-Ric_SP'!AI645</f>
        <v>0</v>
      </c>
      <c r="AJ645" s="272">
        <f>+'NI-San_SP'!AJ645+'NI-Soc_SP'!AJ645+'NI-Ric_SP'!AJ645</f>
        <v>0</v>
      </c>
      <c r="AK645" s="272">
        <f>+'NI-San_SP'!AK645+'NI-Soc_SP'!AK645+'NI-Ric_SP'!AK645</f>
        <v>0</v>
      </c>
      <c r="AL645" s="272">
        <f>+'NI-San_SP'!AL645+'NI-Soc_SP'!AL645+'NI-Ric_SP'!AL645</f>
        <v>0</v>
      </c>
      <c r="AM645" s="272">
        <f>+'NI-San_SP'!AM645+'NI-Soc_SP'!AM645+'NI-Ric_SP'!AM645</f>
        <v>0</v>
      </c>
    </row>
    <row r="646" spans="1:39" s="204" customFormat="1" x14ac:dyDescent="0.25">
      <c r="B646" s="246" t="s">
        <v>1554</v>
      </c>
      <c r="C646" s="287" t="s">
        <v>1555</v>
      </c>
      <c r="D646" s="389" t="s">
        <v>3744</v>
      </c>
      <c r="E646" s="389"/>
      <c r="F646" s="389"/>
      <c r="G646" s="390"/>
      <c r="H646" s="391"/>
      <c r="I646" s="389"/>
      <c r="J646" s="389"/>
      <c r="K646" s="389"/>
      <c r="L646" s="392" t="s">
        <v>1558</v>
      </c>
      <c r="M646" s="287" t="s">
        <v>2962</v>
      </c>
      <c r="N646" s="269">
        <f t="shared" si="86"/>
        <v>0</v>
      </c>
      <c r="O646" s="270">
        <f t="shared" si="87"/>
        <v>0</v>
      </c>
      <c r="P646" s="271">
        <f t="shared" si="80"/>
        <v>0</v>
      </c>
      <c r="Q646" s="272">
        <f>+'NI-San_SP'!Q646+'NI-Soc_SP'!Q646+'NI-Ric_SP'!Q646</f>
        <v>0</v>
      </c>
      <c r="R646" s="272">
        <f>+'NI-San_SP'!R646+'NI-Soc_SP'!R646+'NI-Ric_SP'!R646</f>
        <v>0</v>
      </c>
      <c r="S646" s="272">
        <f>+'NI-San_SP'!S646+'NI-Soc_SP'!S646+'NI-Ric_SP'!S646</f>
        <v>0</v>
      </c>
      <c r="T646" s="272">
        <f>+'NI-San_SP'!T646+'NI-Soc_SP'!T646+'NI-Ric_SP'!T646</f>
        <v>0</v>
      </c>
      <c r="U646" s="272">
        <f>+'NI-San_SP'!U646+'NI-Soc_SP'!U646+'NI-Ric_SP'!U646</f>
        <v>0</v>
      </c>
      <c r="V646" s="272">
        <f>+'NI-San_SP'!V646+'NI-Soc_SP'!V646+'NI-Ric_SP'!V646</f>
        <v>0</v>
      </c>
      <c r="W646" s="272">
        <f>+'NI-San_SP'!W646+'NI-Soc_SP'!W646+'NI-Ric_SP'!W646</f>
        <v>0</v>
      </c>
      <c r="X646" s="272">
        <f>+'NI-San_SP'!X646+'NI-Soc_SP'!X646+'NI-Ric_SP'!X646</f>
        <v>0</v>
      </c>
      <c r="Y646" s="272">
        <f>+'NI-San_SP'!Y646+'NI-Soc_SP'!Y646+'NI-Ric_SP'!Y646</f>
        <v>0</v>
      </c>
      <c r="Z646" s="272">
        <f>+'NI-San_SP'!Z646+'NI-Soc_SP'!Z646+'NI-Ric_SP'!Z646</f>
        <v>0</v>
      </c>
      <c r="AA646" s="272">
        <f>+'NI-San_SP'!AA646+'NI-Soc_SP'!AA646+'NI-Ric_SP'!AA646</f>
        <v>0</v>
      </c>
      <c r="AB646" s="272">
        <f>+'NI-San_SP'!AB646+'NI-Soc_SP'!AB646+'NI-Ric_SP'!AB646</f>
        <v>0</v>
      </c>
      <c r="AC646" s="272">
        <f>+'NI-San_SP'!AC646+'NI-Soc_SP'!AC646+'NI-Ric_SP'!AC646</f>
        <v>0</v>
      </c>
      <c r="AD646" s="272">
        <f>+'NI-San_SP'!AD646+'NI-Soc_SP'!AD646+'NI-Ric_SP'!AD646</f>
        <v>0</v>
      </c>
      <c r="AE646" s="272">
        <f>+'NI-San_SP'!AE646+'NI-Soc_SP'!AE646+'NI-Ric_SP'!AE646</f>
        <v>0</v>
      </c>
      <c r="AF646" s="272">
        <f>+'NI-San_SP'!AF646+'NI-Soc_SP'!AF646+'NI-Ric_SP'!AF646</f>
        <v>0</v>
      </c>
      <c r="AG646" s="272">
        <f>+'NI-San_SP'!AG646+'NI-Soc_SP'!AG646+'NI-Ric_SP'!AG646</f>
        <v>0</v>
      </c>
      <c r="AH646" s="272">
        <f>+'NI-San_SP'!AH646+'NI-Soc_SP'!AH646+'NI-Ric_SP'!AH646</f>
        <v>0</v>
      </c>
      <c r="AI646" s="272">
        <f>+'NI-San_SP'!AI646+'NI-Soc_SP'!AI646+'NI-Ric_SP'!AI646</f>
        <v>0</v>
      </c>
      <c r="AJ646" s="272">
        <f>+'NI-San_SP'!AJ646+'NI-Soc_SP'!AJ646+'NI-Ric_SP'!AJ646</f>
        <v>0</v>
      </c>
      <c r="AK646" s="272">
        <f>+'NI-San_SP'!AK646+'NI-Soc_SP'!AK646+'NI-Ric_SP'!AK646</f>
        <v>0</v>
      </c>
      <c r="AL646" s="272">
        <f>+'NI-San_SP'!AL646+'NI-Soc_SP'!AL646+'NI-Ric_SP'!AL646</f>
        <v>0</v>
      </c>
      <c r="AM646" s="272">
        <f>+'NI-San_SP'!AM646+'NI-Soc_SP'!AM646+'NI-Ric_SP'!AM646</f>
        <v>0</v>
      </c>
    </row>
    <row r="647" spans="1:39" s="204" customFormat="1" ht="25.5" x14ac:dyDescent="0.25">
      <c r="B647" s="246" t="s">
        <v>1559</v>
      </c>
      <c r="C647" s="287" t="s">
        <v>1560</v>
      </c>
      <c r="D647" s="389" t="s">
        <v>3745</v>
      </c>
      <c r="E647" s="389"/>
      <c r="F647" s="389"/>
      <c r="G647" s="390"/>
      <c r="H647" s="391"/>
      <c r="I647" s="389"/>
      <c r="J647" s="389"/>
      <c r="K647" s="389"/>
      <c r="L647" s="392" t="s">
        <v>1562</v>
      </c>
      <c r="M647" s="287" t="s">
        <v>2962</v>
      </c>
      <c r="N647" s="269">
        <f t="shared" si="86"/>
        <v>0</v>
      </c>
      <c r="O647" s="270">
        <f t="shared" si="87"/>
        <v>0</v>
      </c>
      <c r="P647" s="271">
        <f t="shared" si="80"/>
        <v>0</v>
      </c>
      <c r="Q647" s="272">
        <f>+'NI-San_SP'!Q647+'NI-Soc_SP'!Q647+'NI-Ric_SP'!Q647</f>
        <v>0</v>
      </c>
      <c r="R647" s="272">
        <f>+'NI-San_SP'!R647+'NI-Soc_SP'!R647+'NI-Ric_SP'!R647</f>
        <v>0</v>
      </c>
      <c r="S647" s="272">
        <f>+'NI-San_SP'!S647+'NI-Soc_SP'!S647+'NI-Ric_SP'!S647</f>
        <v>0</v>
      </c>
      <c r="T647" s="272">
        <f>+'NI-San_SP'!T647+'NI-Soc_SP'!T647+'NI-Ric_SP'!T647</f>
        <v>0</v>
      </c>
      <c r="U647" s="272">
        <f>+'NI-San_SP'!U647+'NI-Soc_SP'!U647+'NI-Ric_SP'!U647</f>
        <v>0</v>
      </c>
      <c r="V647" s="272">
        <f>+'NI-San_SP'!V647+'NI-Soc_SP'!V647+'NI-Ric_SP'!V647</f>
        <v>0</v>
      </c>
      <c r="W647" s="272">
        <f>+'NI-San_SP'!W647+'NI-Soc_SP'!W647+'NI-Ric_SP'!W647</f>
        <v>0</v>
      </c>
      <c r="X647" s="272">
        <f>+'NI-San_SP'!X647+'NI-Soc_SP'!X647+'NI-Ric_SP'!X647</f>
        <v>0</v>
      </c>
      <c r="Y647" s="272">
        <f>+'NI-San_SP'!Y647+'NI-Soc_SP'!Y647+'NI-Ric_SP'!Y647</f>
        <v>0</v>
      </c>
      <c r="Z647" s="272">
        <f>+'NI-San_SP'!Z647+'NI-Soc_SP'!Z647+'NI-Ric_SP'!Z647</f>
        <v>0</v>
      </c>
      <c r="AA647" s="272">
        <f>+'NI-San_SP'!AA647+'NI-Soc_SP'!AA647+'NI-Ric_SP'!AA647</f>
        <v>0</v>
      </c>
      <c r="AB647" s="272">
        <f>+'NI-San_SP'!AB647+'NI-Soc_SP'!AB647+'NI-Ric_SP'!AB647</f>
        <v>0</v>
      </c>
      <c r="AC647" s="272">
        <f>+'NI-San_SP'!AC647+'NI-Soc_SP'!AC647+'NI-Ric_SP'!AC647</f>
        <v>0</v>
      </c>
      <c r="AD647" s="272">
        <f>+'NI-San_SP'!AD647+'NI-Soc_SP'!AD647+'NI-Ric_SP'!AD647</f>
        <v>0</v>
      </c>
      <c r="AE647" s="272">
        <f>+'NI-San_SP'!AE647+'NI-Soc_SP'!AE647+'NI-Ric_SP'!AE647</f>
        <v>0</v>
      </c>
      <c r="AF647" s="272">
        <f>+'NI-San_SP'!AF647+'NI-Soc_SP'!AF647+'NI-Ric_SP'!AF647</f>
        <v>0</v>
      </c>
      <c r="AG647" s="272">
        <f>+'NI-San_SP'!AG647+'NI-Soc_SP'!AG647+'NI-Ric_SP'!AG647</f>
        <v>0</v>
      </c>
      <c r="AH647" s="272">
        <f>+'NI-San_SP'!AH647+'NI-Soc_SP'!AH647+'NI-Ric_SP'!AH647</f>
        <v>0</v>
      </c>
      <c r="AI647" s="272">
        <f>+'NI-San_SP'!AI647+'NI-Soc_SP'!AI647+'NI-Ric_SP'!AI647</f>
        <v>0</v>
      </c>
      <c r="AJ647" s="272">
        <f>+'NI-San_SP'!AJ647+'NI-Soc_SP'!AJ647+'NI-Ric_SP'!AJ647</f>
        <v>0</v>
      </c>
      <c r="AK647" s="272">
        <f>+'NI-San_SP'!AK647+'NI-Soc_SP'!AK647+'NI-Ric_SP'!AK647</f>
        <v>0</v>
      </c>
      <c r="AL647" s="272">
        <f>+'NI-San_SP'!AL647+'NI-Soc_SP'!AL647+'NI-Ric_SP'!AL647</f>
        <v>0</v>
      </c>
      <c r="AM647" s="272">
        <f>+'NI-San_SP'!AM647+'NI-Soc_SP'!AM647+'NI-Ric_SP'!AM647</f>
        <v>0</v>
      </c>
    </row>
    <row r="648" spans="1:39" s="204" customFormat="1" x14ac:dyDescent="0.25">
      <c r="A648" s="204" t="s">
        <v>3681</v>
      </c>
      <c r="B648" s="246" t="s">
        <v>1563</v>
      </c>
      <c r="C648" s="287" t="s">
        <v>1564</v>
      </c>
      <c r="D648" s="393"/>
      <c r="E648" s="393"/>
      <c r="F648" s="393"/>
      <c r="G648" s="394"/>
      <c r="H648" s="395"/>
      <c r="I648" s="393"/>
      <c r="J648" s="393"/>
      <c r="K648" s="393"/>
      <c r="L648" s="396" t="s">
        <v>1567</v>
      </c>
      <c r="M648" s="287" t="s">
        <v>2962</v>
      </c>
      <c r="N648" s="269">
        <f t="shared" si="86"/>
        <v>0</v>
      </c>
      <c r="O648" s="270">
        <f t="shared" si="87"/>
        <v>0</v>
      </c>
      <c r="P648" s="271">
        <f t="shared" si="80"/>
        <v>0</v>
      </c>
      <c r="Q648" s="272">
        <f>+'NI-San_SP'!Q648+'NI-Soc_SP'!Q648+'NI-Ric_SP'!Q648</f>
        <v>0</v>
      </c>
      <c r="R648" s="272">
        <f>+'NI-San_SP'!R648+'NI-Soc_SP'!R648+'NI-Ric_SP'!R648</f>
        <v>0</v>
      </c>
      <c r="S648" s="272">
        <f>+'NI-San_SP'!S648+'NI-Soc_SP'!S648+'NI-Ric_SP'!S648</f>
        <v>0</v>
      </c>
      <c r="T648" s="272">
        <f>+'NI-San_SP'!T648+'NI-Soc_SP'!T648+'NI-Ric_SP'!T648</f>
        <v>0</v>
      </c>
      <c r="U648" s="272">
        <f>+'NI-San_SP'!U648+'NI-Soc_SP'!U648+'NI-Ric_SP'!U648</f>
        <v>0</v>
      </c>
      <c r="V648" s="272">
        <f>+'NI-San_SP'!V648+'NI-Soc_SP'!V648+'NI-Ric_SP'!V648</f>
        <v>0</v>
      </c>
      <c r="W648" s="272">
        <f>+'NI-San_SP'!W648+'NI-Soc_SP'!W648+'NI-Ric_SP'!W648</f>
        <v>0</v>
      </c>
      <c r="X648" s="272">
        <f>+'NI-San_SP'!X648+'NI-Soc_SP'!X648+'NI-Ric_SP'!X648</f>
        <v>0</v>
      </c>
      <c r="Y648" s="272">
        <f>+'NI-San_SP'!Y648+'NI-Soc_SP'!Y648+'NI-Ric_SP'!Y648</f>
        <v>0</v>
      </c>
      <c r="Z648" s="272">
        <f>+'NI-San_SP'!Z648+'NI-Soc_SP'!Z648+'NI-Ric_SP'!Z648</f>
        <v>0</v>
      </c>
      <c r="AA648" s="272">
        <f>+'NI-San_SP'!AA648+'NI-Soc_SP'!AA648+'NI-Ric_SP'!AA648</f>
        <v>0</v>
      </c>
      <c r="AB648" s="272">
        <f>+'NI-San_SP'!AB648+'NI-Soc_SP'!AB648+'NI-Ric_SP'!AB648</f>
        <v>0</v>
      </c>
      <c r="AC648" s="272">
        <f>+'NI-San_SP'!AC648+'NI-Soc_SP'!AC648+'NI-Ric_SP'!AC648</f>
        <v>0</v>
      </c>
      <c r="AD648" s="272">
        <f>+'NI-San_SP'!AD648+'NI-Soc_SP'!AD648+'NI-Ric_SP'!AD648</f>
        <v>0</v>
      </c>
      <c r="AE648" s="272">
        <f>+'NI-San_SP'!AE648+'NI-Soc_SP'!AE648+'NI-Ric_SP'!AE648</f>
        <v>0</v>
      </c>
      <c r="AF648" s="272">
        <f>+'NI-San_SP'!AF648+'NI-Soc_SP'!AF648+'NI-Ric_SP'!AF648</f>
        <v>0</v>
      </c>
      <c r="AG648" s="272">
        <f>+'NI-San_SP'!AG648+'NI-Soc_SP'!AG648+'NI-Ric_SP'!AG648</f>
        <v>0</v>
      </c>
      <c r="AH648" s="272">
        <f>+'NI-San_SP'!AH648+'NI-Soc_SP'!AH648+'NI-Ric_SP'!AH648</f>
        <v>0</v>
      </c>
      <c r="AI648" s="272">
        <f>+'NI-San_SP'!AI648+'NI-Soc_SP'!AI648+'NI-Ric_SP'!AI648</f>
        <v>0</v>
      </c>
      <c r="AJ648" s="272">
        <f>+'NI-San_SP'!AJ648+'NI-Soc_SP'!AJ648+'NI-Ric_SP'!AJ648</f>
        <v>0</v>
      </c>
      <c r="AK648" s="272">
        <f>+'NI-San_SP'!AK648+'NI-Soc_SP'!AK648+'NI-Ric_SP'!AK648</f>
        <v>0</v>
      </c>
      <c r="AL648" s="272">
        <f>+'NI-San_SP'!AL648+'NI-Soc_SP'!AL648+'NI-Ric_SP'!AL648</f>
        <v>0</v>
      </c>
      <c r="AM648" s="272">
        <f>+'NI-San_SP'!AM648+'NI-Soc_SP'!AM648+'NI-Ric_SP'!AM648</f>
        <v>0</v>
      </c>
    </row>
    <row r="649" spans="1:39" s="204" customFormat="1" ht="25.5" x14ac:dyDescent="0.25">
      <c r="A649" s="204" t="s">
        <v>3681</v>
      </c>
      <c r="B649" s="246" t="s">
        <v>1568</v>
      </c>
      <c r="C649" s="287" t="s">
        <v>1569</v>
      </c>
      <c r="D649" s="393"/>
      <c r="E649" s="393"/>
      <c r="F649" s="393"/>
      <c r="G649" s="394"/>
      <c r="H649" s="395"/>
      <c r="I649" s="393"/>
      <c r="J649" s="393"/>
      <c r="K649" s="393"/>
      <c r="L649" s="396" t="s">
        <v>1571</v>
      </c>
      <c r="M649" s="287" t="s">
        <v>2962</v>
      </c>
      <c r="N649" s="269">
        <f t="shared" si="86"/>
        <v>0</v>
      </c>
      <c r="O649" s="270">
        <f t="shared" si="87"/>
        <v>0</v>
      </c>
      <c r="P649" s="271">
        <f t="shared" si="80"/>
        <v>0</v>
      </c>
      <c r="Q649" s="272">
        <f>+'NI-San_SP'!Q649+'NI-Soc_SP'!Q649+'NI-Ric_SP'!Q649</f>
        <v>0</v>
      </c>
      <c r="R649" s="272">
        <f>+'NI-San_SP'!R649+'NI-Soc_SP'!R649+'NI-Ric_SP'!R649</f>
        <v>0</v>
      </c>
      <c r="S649" s="272">
        <f>+'NI-San_SP'!S649+'NI-Soc_SP'!S649+'NI-Ric_SP'!S649</f>
        <v>0</v>
      </c>
      <c r="T649" s="272">
        <f>+'NI-San_SP'!T649+'NI-Soc_SP'!T649+'NI-Ric_SP'!T649</f>
        <v>0</v>
      </c>
      <c r="U649" s="272">
        <f>+'NI-San_SP'!U649+'NI-Soc_SP'!U649+'NI-Ric_SP'!U649</f>
        <v>0</v>
      </c>
      <c r="V649" s="272">
        <f>+'NI-San_SP'!V649+'NI-Soc_SP'!V649+'NI-Ric_SP'!V649</f>
        <v>0</v>
      </c>
      <c r="W649" s="272">
        <f>+'NI-San_SP'!W649+'NI-Soc_SP'!W649+'NI-Ric_SP'!W649</f>
        <v>0</v>
      </c>
      <c r="X649" s="272">
        <f>+'NI-San_SP'!X649+'NI-Soc_SP'!X649+'NI-Ric_SP'!X649</f>
        <v>0</v>
      </c>
      <c r="Y649" s="272">
        <f>+'NI-San_SP'!Y649+'NI-Soc_SP'!Y649+'NI-Ric_SP'!Y649</f>
        <v>0</v>
      </c>
      <c r="Z649" s="272">
        <f>+'NI-San_SP'!Z649+'NI-Soc_SP'!Z649+'NI-Ric_SP'!Z649</f>
        <v>0</v>
      </c>
      <c r="AA649" s="272">
        <f>+'NI-San_SP'!AA649+'NI-Soc_SP'!AA649+'NI-Ric_SP'!AA649</f>
        <v>0</v>
      </c>
      <c r="AB649" s="272">
        <f>+'NI-San_SP'!AB649+'NI-Soc_SP'!AB649+'NI-Ric_SP'!AB649</f>
        <v>0</v>
      </c>
      <c r="AC649" s="272">
        <f>+'NI-San_SP'!AC649+'NI-Soc_SP'!AC649+'NI-Ric_SP'!AC649</f>
        <v>0</v>
      </c>
      <c r="AD649" s="272">
        <f>+'NI-San_SP'!AD649+'NI-Soc_SP'!AD649+'NI-Ric_SP'!AD649</f>
        <v>0</v>
      </c>
      <c r="AE649" s="272">
        <f>+'NI-San_SP'!AE649+'NI-Soc_SP'!AE649+'NI-Ric_SP'!AE649</f>
        <v>0</v>
      </c>
      <c r="AF649" s="272">
        <f>+'NI-San_SP'!AF649+'NI-Soc_SP'!AF649+'NI-Ric_SP'!AF649</f>
        <v>0</v>
      </c>
      <c r="AG649" s="272">
        <f>+'NI-San_SP'!AG649+'NI-Soc_SP'!AG649+'NI-Ric_SP'!AG649</f>
        <v>0</v>
      </c>
      <c r="AH649" s="272">
        <f>+'NI-San_SP'!AH649+'NI-Soc_SP'!AH649+'NI-Ric_SP'!AH649</f>
        <v>0</v>
      </c>
      <c r="AI649" s="272">
        <f>+'NI-San_SP'!AI649+'NI-Soc_SP'!AI649+'NI-Ric_SP'!AI649</f>
        <v>0</v>
      </c>
      <c r="AJ649" s="272">
        <f>+'NI-San_SP'!AJ649+'NI-Soc_SP'!AJ649+'NI-Ric_SP'!AJ649</f>
        <v>0</v>
      </c>
      <c r="AK649" s="272">
        <f>+'NI-San_SP'!AK649+'NI-Soc_SP'!AK649+'NI-Ric_SP'!AK649</f>
        <v>0</v>
      </c>
      <c r="AL649" s="272">
        <f>+'NI-San_SP'!AL649+'NI-Soc_SP'!AL649+'NI-Ric_SP'!AL649</f>
        <v>0</v>
      </c>
      <c r="AM649" s="272">
        <f>+'NI-San_SP'!AM649+'NI-Soc_SP'!AM649+'NI-Ric_SP'!AM649</f>
        <v>0</v>
      </c>
    </row>
    <row r="650" spans="1:39" s="204" customFormat="1" x14ac:dyDescent="0.25">
      <c r="B650" s="211"/>
      <c r="C650" s="211"/>
      <c r="D650" s="211"/>
      <c r="E650" s="211"/>
      <c r="F650" s="211"/>
      <c r="G650" s="211"/>
      <c r="H650" s="353"/>
      <c r="I650" s="211"/>
      <c r="J650" s="211"/>
      <c r="K650" s="211"/>
      <c r="L650" s="232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Y650" s="211"/>
      <c r="Z650" s="211"/>
      <c r="AA650" s="211"/>
      <c r="AB650" s="213"/>
      <c r="AC650" s="213"/>
    </row>
    <row r="651" spans="1:39" s="204" customFormat="1" ht="25.5" customHeight="1" x14ac:dyDescent="0.25">
      <c r="B651" s="211"/>
      <c r="C651" s="211"/>
      <c r="D651" s="211"/>
      <c r="E651" s="211"/>
      <c r="F651" s="211"/>
      <c r="G651" s="211"/>
      <c r="H651" s="353"/>
      <c r="I651" s="211"/>
      <c r="J651" s="211"/>
      <c r="K651" s="211"/>
      <c r="L651" s="232"/>
      <c r="M651" s="211"/>
      <c r="N651" s="211"/>
      <c r="O651" s="211"/>
      <c r="P651" s="211"/>
      <c r="Q651" s="211"/>
      <c r="R651" s="211"/>
      <c r="S651" s="911" t="s">
        <v>3495</v>
      </c>
      <c r="T651" s="911"/>
      <c r="U651" s="397"/>
      <c r="V651" s="335" t="s">
        <v>3496</v>
      </c>
      <c r="W651" s="336"/>
      <c r="X651" s="335" t="s">
        <v>3496</v>
      </c>
      <c r="Z651" s="211"/>
      <c r="AA651" s="211"/>
      <c r="AB651" s="211"/>
      <c r="AC651" s="285"/>
      <c r="AD651" s="211"/>
      <c r="AE651" s="211"/>
      <c r="AF651" s="904" t="str">
        <f>+AF616</f>
        <v>VALORE NOMINALE DEI CREDITI AL 31/12/2020 PER ANNO DI FORMAZIONE</v>
      </c>
      <c r="AG651" s="904"/>
      <c r="AH651" s="904"/>
      <c r="AI651" s="904"/>
      <c r="AJ651" s="904"/>
      <c r="AK651" s="905" t="str">
        <f>+AK616</f>
        <v>VALORE NETTO DEI CREDITI AL 31/12/2020 PER SCADENZA</v>
      </c>
      <c r="AL651" s="905"/>
      <c r="AM651" s="905"/>
    </row>
    <row r="652" spans="1:39" s="204" customFormat="1" ht="63.75" x14ac:dyDescent="0.25">
      <c r="B652" s="211"/>
      <c r="C652" s="211"/>
      <c r="D652" s="211"/>
      <c r="E652" s="211"/>
      <c r="F652" s="211"/>
      <c r="G652" s="211"/>
      <c r="H652" s="353"/>
      <c r="I652" s="211"/>
      <c r="J652" s="211"/>
      <c r="K652" s="211"/>
      <c r="L652" s="255"/>
      <c r="M652" s="244"/>
      <c r="N652" s="256" t="str">
        <f>N$15</f>
        <v>Valore netto al 31/12/2019</v>
      </c>
      <c r="O652" s="256" t="str">
        <f>O$15</f>
        <v>Valore netto al 31/12/2020</v>
      </c>
      <c r="P652" s="256" t="str">
        <f>P$15</f>
        <v>Variazione</v>
      </c>
      <c r="Q652" s="262" t="s">
        <v>2971</v>
      </c>
      <c r="R652" s="262" t="str">
        <f>+R617</f>
        <v>Valore iniziale LORDO al 31/12/2019</v>
      </c>
      <c r="S652" s="337" t="s">
        <v>2972</v>
      </c>
      <c r="T652" s="337" t="s">
        <v>3497</v>
      </c>
      <c r="U652" s="337" t="s">
        <v>3495</v>
      </c>
      <c r="V652" s="338" t="s">
        <v>3498</v>
      </c>
      <c r="W652" s="262" t="s">
        <v>2975</v>
      </c>
      <c r="X652" s="338" t="s">
        <v>3499</v>
      </c>
      <c r="Y652" s="262" t="str">
        <f>+Y617</f>
        <v>Valore finale LORDO al 31/12/2020</v>
      </c>
      <c r="Z652" s="337" t="str">
        <f>+Z617</f>
        <v>Di cui Fatture da emettere</v>
      </c>
      <c r="AA652" s="262" t="str">
        <f>+AA617</f>
        <v>Fondo svalutazione crediti al 31/12/2019</v>
      </c>
      <c r="AB652" s="262" t="s">
        <v>3500</v>
      </c>
      <c r="AC652" s="262" t="s">
        <v>3501</v>
      </c>
      <c r="AD652" s="262" t="s">
        <v>3502</v>
      </c>
      <c r="AE652" s="262" t="str">
        <f>+AE617</f>
        <v>Fondo svalutazione crediti al 31/12/2020</v>
      </c>
      <c r="AF652" s="339" t="s">
        <v>3503</v>
      </c>
      <c r="AG652" s="339" t="s">
        <v>3504</v>
      </c>
      <c r="AH652" s="339" t="s">
        <v>3505</v>
      </c>
      <c r="AI652" s="339" t="s">
        <v>3506</v>
      </c>
      <c r="AJ652" s="339" t="s">
        <v>3507</v>
      </c>
      <c r="AK652" s="340" t="s">
        <v>3508</v>
      </c>
      <c r="AL652" s="340" t="s">
        <v>3509</v>
      </c>
      <c r="AM652" s="340" t="s">
        <v>3510</v>
      </c>
    </row>
    <row r="653" spans="1:39" s="204" customFormat="1" x14ac:dyDescent="0.25">
      <c r="B653" s="246" t="s">
        <v>1572</v>
      </c>
      <c r="C653" s="292" t="s">
        <v>1573</v>
      </c>
      <c r="D653" s="247" t="s">
        <v>3746</v>
      </c>
      <c r="E653" s="247"/>
      <c r="F653" s="247"/>
      <c r="G653" s="247"/>
      <c r="H653" s="248"/>
      <c r="I653" s="247"/>
      <c r="J653" s="398"/>
      <c r="K653" s="399"/>
      <c r="L653" s="400" t="s">
        <v>3747</v>
      </c>
      <c r="M653" s="251" t="s">
        <v>2962</v>
      </c>
      <c r="N653" s="401">
        <f>+R653-AA653</f>
        <v>5546</v>
      </c>
      <c r="O653" s="402">
        <f>+Y653-AE653</f>
        <v>22120</v>
      </c>
      <c r="P653" s="253">
        <f>+O653-N653</f>
        <v>16574</v>
      </c>
      <c r="Q653" s="272">
        <f>+'NI-San_SP'!Q653+'NI-Soc_SP'!Q653+'NI-Ric_SP'!Q653</f>
        <v>0</v>
      </c>
      <c r="R653" s="272">
        <f>+'NI-San_SP'!R653+'NI-Soc_SP'!R653+'NI-Ric_SP'!R653</f>
        <v>5546</v>
      </c>
      <c r="S653" s="272">
        <f>+'NI-San_SP'!S653+'NI-Soc_SP'!S653+'NI-Ric_SP'!S653</f>
        <v>0</v>
      </c>
      <c r="T653" s="272">
        <f>+'NI-San_SP'!T653+'NI-Soc_SP'!T653+'NI-Ric_SP'!T653</f>
        <v>0</v>
      </c>
      <c r="U653" s="272">
        <f>+'NI-San_SP'!U653+'NI-Soc_SP'!U653+'NI-Ric_SP'!U653</f>
        <v>66526</v>
      </c>
      <c r="V653" s="272">
        <f>+'NI-San_SP'!V653+'NI-Soc_SP'!V653+'NI-Ric_SP'!V653</f>
        <v>5546</v>
      </c>
      <c r="W653" s="272">
        <f>+'NI-San_SP'!W653+'NI-Soc_SP'!W653+'NI-Ric_SP'!W653</f>
        <v>0</v>
      </c>
      <c r="X653" s="272">
        <f>+'NI-San_SP'!X653+'NI-Soc_SP'!X653+'NI-Ric_SP'!X653</f>
        <v>44406</v>
      </c>
      <c r="Y653" s="272">
        <f>+'NI-San_SP'!Y653+'NI-Soc_SP'!Y653+'NI-Ric_SP'!Y653</f>
        <v>22120</v>
      </c>
      <c r="Z653" s="272">
        <f>+'NI-San_SP'!Z653+'NI-Soc_SP'!Z653+'NI-Ric_SP'!Z653</f>
        <v>2452</v>
      </c>
      <c r="AA653" s="272">
        <f>+'NI-San_SP'!AA653+'NI-Soc_SP'!AA653+'NI-Ric_SP'!AA653</f>
        <v>0</v>
      </c>
      <c r="AB653" s="272">
        <f>+'NI-San_SP'!AB653+'NI-Soc_SP'!AB653+'NI-Ric_SP'!AB653</f>
        <v>0</v>
      </c>
      <c r="AC653" s="272">
        <f>+'NI-San_SP'!AC653+'NI-Soc_SP'!AC653+'NI-Ric_SP'!AC653</f>
        <v>0</v>
      </c>
      <c r="AD653" s="272">
        <f>+'NI-San_SP'!AD653+'NI-Soc_SP'!AD653+'NI-Ric_SP'!AD653</f>
        <v>0</v>
      </c>
      <c r="AE653" s="272">
        <f>+'NI-San_SP'!AE653+'NI-Soc_SP'!AE653+'NI-Ric_SP'!AE653</f>
        <v>0</v>
      </c>
      <c r="AF653" s="272">
        <f>+'NI-San_SP'!AF653+'NI-Soc_SP'!AF653+'NI-Ric_SP'!AF653</f>
        <v>0</v>
      </c>
      <c r="AG653" s="272">
        <f>+'NI-San_SP'!AG653+'NI-Soc_SP'!AG653+'NI-Ric_SP'!AG653</f>
        <v>0</v>
      </c>
      <c r="AH653" s="272">
        <f>+'NI-San_SP'!AH653+'NI-Soc_SP'!AH653+'NI-Ric_SP'!AH653</f>
        <v>0</v>
      </c>
      <c r="AI653" s="272">
        <f>+'NI-San_SP'!AI653+'NI-Soc_SP'!AI653+'NI-Ric_SP'!AI653</f>
        <v>0</v>
      </c>
      <c r="AJ653" s="272">
        <f>+'NI-San_SP'!AJ653+'NI-Soc_SP'!AJ653+'NI-Ric_SP'!AJ653</f>
        <v>22120</v>
      </c>
      <c r="AK653" s="272">
        <f>+'NI-San_SP'!AK653+'NI-Soc_SP'!AK653+'NI-Ric_SP'!AK653</f>
        <v>22120</v>
      </c>
      <c r="AL653" s="272">
        <f>+'NI-San_SP'!AL653+'NI-Soc_SP'!AL653+'NI-Ric_SP'!AL653</f>
        <v>0</v>
      </c>
      <c r="AM653" s="272">
        <f>+'NI-San_SP'!AM653+'NI-Soc_SP'!AM653+'NI-Ric_SP'!AM653</f>
        <v>0</v>
      </c>
    </row>
    <row r="654" spans="1:39" s="204" customFormat="1" x14ac:dyDescent="0.25">
      <c r="B654" s="298"/>
      <c r="C654" s="298"/>
      <c r="D654" s="226"/>
      <c r="E654" s="226"/>
      <c r="F654" s="226"/>
      <c r="G654" s="226"/>
      <c r="H654" s="227"/>
      <c r="I654" s="226"/>
      <c r="J654" s="226"/>
      <c r="K654" s="226"/>
      <c r="L654" s="403"/>
      <c r="M654" s="278"/>
      <c r="N654" s="279"/>
      <c r="O654" s="279"/>
      <c r="P654" s="404"/>
      <c r="Q654" s="211"/>
      <c r="R654" s="211"/>
      <c r="S654" s="211"/>
      <c r="T654" s="211"/>
      <c r="U654" s="211"/>
      <c r="V654" s="211"/>
      <c r="Y654" s="211"/>
      <c r="Z654" s="211"/>
      <c r="AA654" s="211"/>
      <c r="AB654" s="211"/>
      <c r="AC654" s="211"/>
    </row>
    <row r="655" spans="1:39" s="204" customFormat="1" x14ac:dyDescent="0.25">
      <c r="B655" s="289"/>
      <c r="C655" s="289"/>
      <c r="D655" s="211"/>
      <c r="E655" s="211"/>
      <c r="F655" s="211"/>
      <c r="G655" s="211"/>
      <c r="H655" s="353"/>
      <c r="I655" s="211"/>
      <c r="J655" s="211"/>
      <c r="K655" s="211"/>
      <c r="L655" s="255"/>
      <c r="M655" s="405"/>
      <c r="N655" s="279"/>
      <c r="O655" s="279"/>
      <c r="P655" s="404"/>
      <c r="Q655" s="211"/>
      <c r="R655" s="211"/>
      <c r="S655" s="211"/>
      <c r="T655" s="211"/>
      <c r="U655" s="211"/>
      <c r="V655" s="211"/>
      <c r="Y655" s="211"/>
      <c r="Z655" s="211"/>
      <c r="AA655" s="211"/>
      <c r="AB655" s="211"/>
      <c r="AC655" s="211"/>
    </row>
    <row r="656" spans="1:39" s="204" customFormat="1" x14ac:dyDescent="0.25">
      <c r="B656" s="246" t="s">
        <v>1578</v>
      </c>
      <c r="C656" s="292" t="s">
        <v>1579</v>
      </c>
      <c r="D656" s="247" t="s">
        <v>3748</v>
      </c>
      <c r="E656" s="247"/>
      <c r="F656" s="247"/>
      <c r="G656" s="247"/>
      <c r="H656" s="248"/>
      <c r="I656" s="247"/>
      <c r="J656" s="247"/>
      <c r="K656" s="249"/>
      <c r="L656" s="400" t="s">
        <v>1581</v>
      </c>
      <c r="M656" s="251" t="s">
        <v>2962</v>
      </c>
      <c r="N656" s="252">
        <f>+N660+N675+N677+N676+N678+N679+N680</f>
        <v>18276645</v>
      </c>
      <c r="O656" s="252">
        <f>+O660+O675+O677+O676+O678+O679+O680</f>
        <v>12947177</v>
      </c>
      <c r="P656" s="253">
        <f>+O656-N656</f>
        <v>-5329468</v>
      </c>
      <c r="Q656" s="252">
        <f t="shared" ref="Q656:AM656" si="88">+Q660+Q675+Q677+Q676+Q678+Q679+Q680</f>
        <v>0</v>
      </c>
      <c r="R656" s="252">
        <f t="shared" si="88"/>
        <v>18276645</v>
      </c>
      <c r="S656" s="252">
        <f t="shared" si="88"/>
        <v>0</v>
      </c>
      <c r="T656" s="252">
        <f t="shared" si="88"/>
        <v>0</v>
      </c>
      <c r="U656" s="252">
        <f t="shared" si="88"/>
        <v>230318123</v>
      </c>
      <c r="V656" s="252">
        <f t="shared" si="88"/>
        <v>17336335</v>
      </c>
      <c r="W656" s="252">
        <f t="shared" si="88"/>
        <v>0</v>
      </c>
      <c r="X656" s="252">
        <f t="shared" si="88"/>
        <v>218311256</v>
      </c>
      <c r="Y656" s="252">
        <f t="shared" si="88"/>
        <v>12947177</v>
      </c>
      <c r="Z656" s="252">
        <f t="shared" si="88"/>
        <v>8727903</v>
      </c>
      <c r="AA656" s="252">
        <f t="shared" si="88"/>
        <v>0</v>
      </c>
      <c r="AB656" s="252">
        <f t="shared" si="88"/>
        <v>0</v>
      </c>
      <c r="AC656" s="252">
        <f t="shared" si="88"/>
        <v>0</v>
      </c>
      <c r="AD656" s="252">
        <f t="shared" si="88"/>
        <v>0</v>
      </c>
      <c r="AE656" s="252">
        <f t="shared" si="88"/>
        <v>0</v>
      </c>
      <c r="AF656" s="252">
        <f t="shared" si="88"/>
        <v>743459</v>
      </c>
      <c r="AG656" s="252">
        <f t="shared" si="88"/>
        <v>0</v>
      </c>
      <c r="AH656" s="252">
        <f t="shared" si="88"/>
        <v>18819</v>
      </c>
      <c r="AI656" s="252">
        <f t="shared" si="88"/>
        <v>178036</v>
      </c>
      <c r="AJ656" s="252">
        <f t="shared" si="88"/>
        <v>12006863</v>
      </c>
      <c r="AK656" s="252">
        <f t="shared" si="88"/>
        <v>12947177</v>
      </c>
      <c r="AL656" s="252">
        <f t="shared" si="88"/>
        <v>0</v>
      </c>
      <c r="AM656" s="252">
        <f t="shared" si="88"/>
        <v>0</v>
      </c>
    </row>
    <row r="657" spans="2:39" s="204" customFormat="1" x14ac:dyDescent="0.25">
      <c r="B657" s="298"/>
      <c r="C657" s="298"/>
      <c r="D657" s="226"/>
      <c r="E657" s="226"/>
      <c r="F657" s="226"/>
      <c r="G657" s="226"/>
      <c r="H657" s="227"/>
      <c r="I657" s="226"/>
      <c r="J657" s="226"/>
      <c r="K657" s="226"/>
      <c r="L657" s="403"/>
      <c r="M657" s="278"/>
      <c r="N657" s="279"/>
      <c r="O657" s="279"/>
      <c r="P657" s="404"/>
      <c r="Q657" s="211"/>
      <c r="R657" s="279"/>
      <c r="S657" s="279"/>
      <c r="T657" s="279"/>
      <c r="U657" s="279"/>
      <c r="V657" s="279"/>
      <c r="Y657" s="279"/>
      <c r="Z657" s="279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</row>
    <row r="658" spans="2:39" s="204" customFormat="1" ht="25.5" customHeight="1" x14ac:dyDescent="0.25">
      <c r="B658" s="289"/>
      <c r="C658" s="289"/>
      <c r="D658" s="211"/>
      <c r="E658" s="211"/>
      <c r="F658" s="211"/>
      <c r="G658" s="211"/>
      <c r="H658" s="353"/>
      <c r="I658" s="211"/>
      <c r="J658" s="211"/>
      <c r="K658" s="211"/>
      <c r="L658" s="232"/>
      <c r="M658" s="211"/>
      <c r="N658" s="211"/>
      <c r="O658" s="211"/>
      <c r="P658" s="211"/>
      <c r="Q658" s="211"/>
      <c r="R658" s="211"/>
      <c r="S658" s="902" t="s">
        <v>3495</v>
      </c>
      <c r="T658" s="902"/>
      <c r="U658" s="902"/>
      <c r="V658" s="335" t="s">
        <v>3496</v>
      </c>
      <c r="W658" s="336"/>
      <c r="X658" s="335" t="s">
        <v>3496</v>
      </c>
      <c r="Z658" s="211"/>
      <c r="AA658" s="211"/>
      <c r="AB658" s="211"/>
      <c r="AC658" s="285"/>
      <c r="AD658" s="211"/>
      <c r="AE658" s="211"/>
      <c r="AF658" s="904" t="str">
        <f>+AF651</f>
        <v>VALORE NOMINALE DEI CREDITI AL 31/12/2020 PER ANNO DI FORMAZIONE</v>
      </c>
      <c r="AG658" s="904"/>
      <c r="AH658" s="904"/>
      <c r="AI658" s="904"/>
      <c r="AJ658" s="904"/>
      <c r="AK658" s="905" t="str">
        <f>+AK651</f>
        <v>VALORE NETTO DEI CREDITI AL 31/12/2020 PER SCADENZA</v>
      </c>
      <c r="AL658" s="905"/>
      <c r="AM658" s="905"/>
    </row>
    <row r="659" spans="2:39" s="204" customFormat="1" ht="51.75" customHeight="1" x14ac:dyDescent="0.25">
      <c r="B659" s="294" t="s">
        <v>2968</v>
      </c>
      <c r="C659" s="294" t="s">
        <v>2969</v>
      </c>
      <c r="D659" s="206" t="s">
        <v>72</v>
      </c>
      <c r="E659" s="206"/>
      <c r="F659" s="206"/>
      <c r="G659" s="207"/>
      <c r="H659" s="207"/>
      <c r="I659" s="207"/>
      <c r="J659" s="207" t="s">
        <v>2957</v>
      </c>
      <c r="K659" s="206" t="s">
        <v>82</v>
      </c>
      <c r="L659" s="261" t="s">
        <v>3670</v>
      </c>
      <c r="M659" s="256"/>
      <c r="N659" s="256" t="str">
        <f>N$15</f>
        <v>Valore netto al 31/12/2019</v>
      </c>
      <c r="O659" s="256" t="str">
        <f>O$15</f>
        <v>Valore netto al 31/12/2020</v>
      </c>
      <c r="P659" s="256" t="str">
        <f>P$15</f>
        <v>Variazione</v>
      </c>
      <c r="Q659" s="262" t="s">
        <v>2971</v>
      </c>
      <c r="R659" s="262" t="str">
        <f>+R652</f>
        <v>Valore iniziale LORDO al 31/12/2019</v>
      </c>
      <c r="S659" s="337" t="s">
        <v>2972</v>
      </c>
      <c r="T659" s="337" t="s">
        <v>3497</v>
      </c>
      <c r="U659" s="337" t="s">
        <v>3495</v>
      </c>
      <c r="V659" s="338" t="s">
        <v>3498</v>
      </c>
      <c r="W659" s="262" t="s">
        <v>2975</v>
      </c>
      <c r="X659" s="338" t="s">
        <v>3499</v>
      </c>
      <c r="Y659" s="262" t="str">
        <f>+Y652</f>
        <v>Valore finale LORDO al 31/12/2020</v>
      </c>
      <c r="Z659" s="337" t="str">
        <f>+Z652</f>
        <v>Di cui Fatture da emettere</v>
      </c>
      <c r="AA659" s="262" t="str">
        <f>+AA652</f>
        <v>Fondo svalutazione crediti al 31/12/2019</v>
      </c>
      <c r="AB659" s="262" t="s">
        <v>3500</v>
      </c>
      <c r="AC659" s="262" t="s">
        <v>3501</v>
      </c>
      <c r="AD659" s="262" t="s">
        <v>3502</v>
      </c>
      <c r="AE659" s="262" t="str">
        <f>+AE652</f>
        <v>Fondo svalutazione crediti al 31/12/2020</v>
      </c>
      <c r="AF659" s="339" t="s">
        <v>3503</v>
      </c>
      <c r="AG659" s="339" t="s">
        <v>3504</v>
      </c>
      <c r="AH659" s="339" t="s">
        <v>3505</v>
      </c>
      <c r="AI659" s="339" t="s">
        <v>3506</v>
      </c>
      <c r="AJ659" s="339" t="s">
        <v>3507</v>
      </c>
      <c r="AK659" s="340" t="s">
        <v>3508</v>
      </c>
      <c r="AL659" s="340" t="s">
        <v>3509</v>
      </c>
      <c r="AM659" s="340" t="s">
        <v>3510</v>
      </c>
    </row>
    <row r="660" spans="2:39" s="204" customFormat="1" x14ac:dyDescent="0.25">
      <c r="B660" s="246" t="s">
        <v>1582</v>
      </c>
      <c r="C660" s="287" t="s">
        <v>1583</v>
      </c>
      <c r="D660" s="274" t="s">
        <v>3749</v>
      </c>
      <c r="E660" s="274"/>
      <c r="F660" s="274"/>
      <c r="G660" s="283"/>
      <c r="H660" s="266"/>
      <c r="I660" s="274"/>
      <c r="J660" s="281"/>
      <c r="K660" s="281"/>
      <c r="L660" s="295" t="s">
        <v>1584</v>
      </c>
      <c r="M660" s="284" t="s">
        <v>2962</v>
      </c>
      <c r="N660" s="272">
        <f>+N661+N664+N667+N673+N674</f>
        <v>18170863</v>
      </c>
      <c r="O660" s="272">
        <f>+O661+O664+O667+O673+O674</f>
        <v>11890177</v>
      </c>
      <c r="P660" s="378">
        <f t="shared" ref="P660:P680" si="89">+O660-N660</f>
        <v>-6280686</v>
      </c>
      <c r="Q660" s="272">
        <f>+'NI-San_SP'!Q660+'NI-Soc_SP'!Q660+'NI-Ric_SP'!Q660</f>
        <v>0</v>
      </c>
      <c r="R660" s="272">
        <f>+'NI-San_SP'!R660+'NI-Soc_SP'!R660+'NI-Ric_SP'!R660</f>
        <v>18170863</v>
      </c>
      <c r="S660" s="272">
        <f>+'NI-San_SP'!S660+'NI-Soc_SP'!S660+'NI-Ric_SP'!S660</f>
        <v>0</v>
      </c>
      <c r="T660" s="272">
        <f>+'NI-San_SP'!T660+'NI-Soc_SP'!T660+'NI-Ric_SP'!T660</f>
        <v>-12429</v>
      </c>
      <c r="U660" s="272">
        <f>+'NI-San_SP'!U660+'NI-Soc_SP'!U660+'NI-Ric_SP'!U660</f>
        <v>229255138</v>
      </c>
      <c r="V660" s="272">
        <f>+'NI-San_SP'!V660+'NI-Soc_SP'!V660+'NI-Ric_SP'!V660</f>
        <v>17297687</v>
      </c>
      <c r="W660" s="272">
        <f>+'NI-San_SP'!W660+'NI-Soc_SP'!W660+'NI-Ric_SP'!W660</f>
        <v>0</v>
      </c>
      <c r="X660" s="272">
        <f>+'NI-San_SP'!X660+'NI-Soc_SP'!X660+'NI-Ric_SP'!X660</f>
        <v>218225708</v>
      </c>
      <c r="Y660" s="272">
        <f>+'NI-San_SP'!Y660+'NI-Soc_SP'!Y660+'NI-Ric_SP'!Y660</f>
        <v>11890177</v>
      </c>
      <c r="Z660" s="272">
        <f>+'NI-San_SP'!Z660+'NI-Soc_SP'!Z660+'NI-Ric_SP'!Z660</f>
        <v>8631794</v>
      </c>
      <c r="AA660" s="272">
        <f>+'NI-San_SP'!AA660+'NI-Soc_SP'!AA660+'NI-Ric_SP'!AA660</f>
        <v>0</v>
      </c>
      <c r="AB660" s="272">
        <f>+'NI-San_SP'!AB660+'NI-Soc_SP'!AB660+'NI-Ric_SP'!AB660</f>
        <v>0</v>
      </c>
      <c r="AC660" s="272">
        <f>+'NI-San_SP'!AC660+'NI-Soc_SP'!AC660+'NI-Ric_SP'!AC660</f>
        <v>0</v>
      </c>
      <c r="AD660" s="272">
        <f>+'NI-San_SP'!AD660+'NI-Soc_SP'!AD660+'NI-Ric_SP'!AD660</f>
        <v>0</v>
      </c>
      <c r="AE660" s="272">
        <f>+'NI-San_SP'!AE660+'NI-Soc_SP'!AE660+'NI-Ric_SP'!AE660</f>
        <v>0</v>
      </c>
      <c r="AF660" s="272">
        <f>+'NI-San_SP'!AF660+'NI-Soc_SP'!AF660+'NI-Ric_SP'!AF660</f>
        <v>689078</v>
      </c>
      <c r="AG660" s="272">
        <f>+'NI-San_SP'!AG660+'NI-Soc_SP'!AG660+'NI-Ric_SP'!AG660</f>
        <v>0</v>
      </c>
      <c r="AH660" s="272">
        <f>+'NI-San_SP'!AH660+'NI-Soc_SP'!AH660+'NI-Ric_SP'!AH660</f>
        <v>8937</v>
      </c>
      <c r="AI660" s="272">
        <f>+'NI-San_SP'!AI660+'NI-Soc_SP'!AI660+'NI-Ric_SP'!AI660</f>
        <v>175163</v>
      </c>
      <c r="AJ660" s="272">
        <f>+'NI-San_SP'!AJ660+'NI-Soc_SP'!AJ660+'NI-Ric_SP'!AJ660</f>
        <v>11016999</v>
      </c>
      <c r="AK660" s="272">
        <f>+'NI-San_SP'!AK660+'NI-Soc_SP'!AK660+'NI-Ric_SP'!AK660</f>
        <v>11890177</v>
      </c>
      <c r="AL660" s="272">
        <f>+'NI-San_SP'!AL660+'NI-Soc_SP'!AL660+'NI-Ric_SP'!AL660</f>
        <v>0</v>
      </c>
      <c r="AM660" s="272">
        <f>+'NI-San_SP'!AM660+'NI-Soc_SP'!AM660+'NI-Ric_SP'!AM660</f>
        <v>0</v>
      </c>
    </row>
    <row r="661" spans="2:39" s="204" customFormat="1" ht="25.5" x14ac:dyDescent="0.25">
      <c r="B661" s="246" t="s">
        <v>1585</v>
      </c>
      <c r="C661" s="287" t="s">
        <v>1586</v>
      </c>
      <c r="D661" s="274" t="s">
        <v>3750</v>
      </c>
      <c r="E661" s="274"/>
      <c r="F661" s="274"/>
      <c r="G661" s="283"/>
      <c r="H661" s="266"/>
      <c r="I661" s="274"/>
      <c r="J661" s="281"/>
      <c r="K661" s="281"/>
      <c r="L661" s="379" t="s">
        <v>1588</v>
      </c>
      <c r="M661" s="284" t="s">
        <v>2962</v>
      </c>
      <c r="N661" s="272">
        <f>N662+N663</f>
        <v>0</v>
      </c>
      <c r="O661" s="272">
        <f>O662+O663</f>
        <v>0</v>
      </c>
      <c r="P661" s="378">
        <f t="shared" si="89"/>
        <v>0</v>
      </c>
      <c r="Q661" s="272">
        <f>+'NI-San_SP'!Q661+'NI-Soc_SP'!Q661+'NI-Ric_SP'!Q661</f>
        <v>0</v>
      </c>
      <c r="R661" s="272">
        <f>+'NI-San_SP'!R661+'NI-Soc_SP'!R661+'NI-Ric_SP'!R661</f>
        <v>0</v>
      </c>
      <c r="S661" s="272">
        <f>+'NI-San_SP'!S661+'NI-Soc_SP'!S661+'NI-Ric_SP'!S661</f>
        <v>0</v>
      </c>
      <c r="T661" s="272">
        <f>+'NI-San_SP'!T661+'NI-Soc_SP'!T661+'NI-Ric_SP'!T661</f>
        <v>0</v>
      </c>
      <c r="U661" s="272">
        <f>+'NI-San_SP'!U661+'NI-Soc_SP'!U661+'NI-Ric_SP'!U661</f>
        <v>0</v>
      </c>
      <c r="V661" s="272">
        <f>+'NI-San_SP'!V661+'NI-Soc_SP'!V661+'NI-Ric_SP'!V661</f>
        <v>0</v>
      </c>
      <c r="W661" s="272">
        <f>+'NI-San_SP'!W661+'NI-Soc_SP'!W661+'NI-Ric_SP'!W661</f>
        <v>0</v>
      </c>
      <c r="X661" s="272">
        <f>+'NI-San_SP'!X661+'NI-Soc_SP'!X661+'NI-Ric_SP'!X661</f>
        <v>0</v>
      </c>
      <c r="Y661" s="272">
        <f>+'NI-San_SP'!Y661+'NI-Soc_SP'!Y661+'NI-Ric_SP'!Y661</f>
        <v>0</v>
      </c>
      <c r="Z661" s="272">
        <f>+'NI-San_SP'!Z661+'NI-Soc_SP'!Z661+'NI-Ric_SP'!Z661</f>
        <v>0</v>
      </c>
      <c r="AA661" s="272">
        <f>+'NI-San_SP'!AA661+'NI-Soc_SP'!AA661+'NI-Ric_SP'!AA661</f>
        <v>0</v>
      </c>
      <c r="AB661" s="272">
        <f>+'NI-San_SP'!AB661+'NI-Soc_SP'!AB661+'NI-Ric_SP'!AB661</f>
        <v>0</v>
      </c>
      <c r="AC661" s="272">
        <f>+'NI-San_SP'!AC661+'NI-Soc_SP'!AC661+'NI-Ric_SP'!AC661</f>
        <v>0</v>
      </c>
      <c r="AD661" s="272">
        <f>+'NI-San_SP'!AD661+'NI-Soc_SP'!AD661+'NI-Ric_SP'!AD661</f>
        <v>0</v>
      </c>
      <c r="AE661" s="272">
        <f>+'NI-San_SP'!AE661+'NI-Soc_SP'!AE661+'NI-Ric_SP'!AE661</f>
        <v>0</v>
      </c>
      <c r="AF661" s="272">
        <f>+'NI-San_SP'!AF661+'NI-Soc_SP'!AF661+'NI-Ric_SP'!AF661</f>
        <v>0</v>
      </c>
      <c r="AG661" s="272">
        <f>+'NI-San_SP'!AG661+'NI-Soc_SP'!AG661+'NI-Ric_SP'!AG661</f>
        <v>0</v>
      </c>
      <c r="AH661" s="272">
        <f>+'NI-San_SP'!AH661+'NI-Soc_SP'!AH661+'NI-Ric_SP'!AH661</f>
        <v>0</v>
      </c>
      <c r="AI661" s="272">
        <f>+'NI-San_SP'!AI661+'NI-Soc_SP'!AI661+'NI-Ric_SP'!AI661</f>
        <v>0</v>
      </c>
      <c r="AJ661" s="272">
        <f>+'NI-San_SP'!AJ661+'NI-Soc_SP'!AJ661+'NI-Ric_SP'!AJ661</f>
        <v>0</v>
      </c>
      <c r="AK661" s="272">
        <f>+'NI-San_SP'!AK661+'NI-Soc_SP'!AK661+'NI-Ric_SP'!AK661</f>
        <v>0</v>
      </c>
      <c r="AL661" s="272">
        <f>+'NI-San_SP'!AL661+'NI-Soc_SP'!AL661+'NI-Ric_SP'!AL661</f>
        <v>0</v>
      </c>
      <c r="AM661" s="272">
        <f>+'NI-San_SP'!AM661+'NI-Soc_SP'!AM661+'NI-Ric_SP'!AM661</f>
        <v>0</v>
      </c>
    </row>
    <row r="662" spans="2:39" s="204" customFormat="1" ht="25.5" hidden="1" x14ac:dyDescent="0.25">
      <c r="B662" s="246" t="s">
        <v>1589</v>
      </c>
      <c r="C662" s="287" t="s">
        <v>1590</v>
      </c>
      <c r="D662" s="274" t="s">
        <v>3751</v>
      </c>
      <c r="E662" s="274"/>
      <c r="F662" s="274"/>
      <c r="G662" s="283"/>
      <c r="H662" s="266"/>
      <c r="I662" s="274"/>
      <c r="J662" s="281"/>
      <c r="K662" s="281"/>
      <c r="L662" s="406" t="s">
        <v>1592</v>
      </c>
      <c r="M662" s="284" t="s">
        <v>2962</v>
      </c>
      <c r="N662" s="269">
        <f>+R662-AA662</f>
        <v>0</v>
      </c>
      <c r="O662" s="270">
        <f>+Y662-AE662</f>
        <v>0</v>
      </c>
      <c r="P662" s="271">
        <f t="shared" si="89"/>
        <v>0</v>
      </c>
      <c r="Q662" s="272">
        <f>+'NI-San_SP'!Q662+'NI-Soc_SP'!Q662+'NI-Ric_SP'!Q662</f>
        <v>0</v>
      </c>
      <c r="R662" s="272">
        <f>+'NI-San_SP'!R662+'NI-Soc_SP'!R662+'NI-Ric_SP'!R662</f>
        <v>0</v>
      </c>
      <c r="S662" s="272">
        <f>+'NI-San_SP'!S662+'NI-Soc_SP'!S662+'NI-Ric_SP'!S662</f>
        <v>0</v>
      </c>
      <c r="T662" s="272">
        <f>+'NI-San_SP'!T662+'NI-Soc_SP'!T662+'NI-Ric_SP'!T662</f>
        <v>0</v>
      </c>
      <c r="U662" s="272">
        <f>+'NI-San_SP'!U662+'NI-Soc_SP'!U662+'NI-Ric_SP'!U662</f>
        <v>0</v>
      </c>
      <c r="V662" s="272">
        <f>+'NI-San_SP'!V662+'NI-Soc_SP'!V662+'NI-Ric_SP'!V662</f>
        <v>0</v>
      </c>
      <c r="W662" s="272">
        <f>+'NI-San_SP'!W662+'NI-Soc_SP'!W662+'NI-Ric_SP'!W662</f>
        <v>0</v>
      </c>
      <c r="X662" s="272">
        <f>+'NI-San_SP'!X662+'NI-Soc_SP'!X662+'NI-Ric_SP'!X662</f>
        <v>0</v>
      </c>
      <c r="Y662" s="272">
        <f>+'NI-San_SP'!Y662+'NI-Soc_SP'!Y662+'NI-Ric_SP'!Y662</f>
        <v>0</v>
      </c>
      <c r="Z662" s="272">
        <f>+'NI-San_SP'!Z662+'NI-Soc_SP'!Z662+'NI-Ric_SP'!Z662</f>
        <v>0</v>
      </c>
      <c r="AA662" s="272">
        <f>+'NI-San_SP'!AA662+'NI-Soc_SP'!AA662+'NI-Ric_SP'!AA662</f>
        <v>0</v>
      </c>
      <c r="AB662" s="272">
        <f>+'NI-San_SP'!AB662+'NI-Soc_SP'!AB662+'NI-Ric_SP'!AB662</f>
        <v>0</v>
      </c>
      <c r="AC662" s="272">
        <f>+'NI-San_SP'!AC662+'NI-Soc_SP'!AC662+'NI-Ric_SP'!AC662</f>
        <v>0</v>
      </c>
      <c r="AD662" s="272">
        <f>+'NI-San_SP'!AD662+'NI-Soc_SP'!AD662+'NI-Ric_SP'!AD662</f>
        <v>0</v>
      </c>
      <c r="AE662" s="272">
        <f>+'NI-San_SP'!AE662+'NI-Soc_SP'!AE662+'NI-Ric_SP'!AE662</f>
        <v>0</v>
      </c>
      <c r="AF662" s="272">
        <f>+'NI-San_SP'!AF662+'NI-Soc_SP'!AF662+'NI-Ric_SP'!AF662</f>
        <v>0</v>
      </c>
      <c r="AG662" s="272">
        <f>+'NI-San_SP'!AG662+'NI-Soc_SP'!AG662+'NI-Ric_SP'!AG662</f>
        <v>0</v>
      </c>
      <c r="AH662" s="272">
        <f>+'NI-San_SP'!AH662+'NI-Soc_SP'!AH662+'NI-Ric_SP'!AH662</f>
        <v>0</v>
      </c>
      <c r="AI662" s="272">
        <f>+'NI-San_SP'!AI662+'NI-Soc_SP'!AI662+'NI-Ric_SP'!AI662</f>
        <v>0</v>
      </c>
      <c r="AJ662" s="272">
        <f>+'NI-San_SP'!AJ662+'NI-Soc_SP'!AJ662+'NI-Ric_SP'!AJ662</f>
        <v>0</v>
      </c>
      <c r="AK662" s="272">
        <f>+'NI-San_SP'!AK662+'NI-Soc_SP'!AK662+'NI-Ric_SP'!AK662</f>
        <v>0</v>
      </c>
      <c r="AL662" s="272">
        <f>+'NI-San_SP'!AL662+'NI-Soc_SP'!AL662+'NI-Ric_SP'!AL662</f>
        <v>0</v>
      </c>
      <c r="AM662" s="272">
        <f>+'NI-San_SP'!AM662+'NI-Soc_SP'!AM662+'NI-Ric_SP'!AM662</f>
        <v>0</v>
      </c>
    </row>
    <row r="663" spans="2:39" s="204" customFormat="1" ht="25.5" x14ac:dyDescent="0.25">
      <c r="B663" s="246" t="s">
        <v>1593</v>
      </c>
      <c r="C663" s="287" t="s">
        <v>1594</v>
      </c>
      <c r="D663" s="274" t="s">
        <v>3752</v>
      </c>
      <c r="E663" s="274"/>
      <c r="F663" s="274"/>
      <c r="G663" s="283"/>
      <c r="H663" s="266"/>
      <c r="I663" s="274"/>
      <c r="J663" s="281"/>
      <c r="K663" s="281"/>
      <c r="L663" s="406" t="s">
        <v>3753</v>
      </c>
      <c r="M663" s="284" t="s">
        <v>2962</v>
      </c>
      <c r="N663" s="269">
        <f>+R663-AA663</f>
        <v>0</v>
      </c>
      <c r="O663" s="270">
        <f>+Y663-AE663</f>
        <v>0</v>
      </c>
      <c r="P663" s="271">
        <f t="shared" si="89"/>
        <v>0</v>
      </c>
      <c r="Q663" s="272">
        <f>+'NI-San_SP'!Q663+'NI-Soc_SP'!Q663+'NI-Ric_SP'!Q663</f>
        <v>0</v>
      </c>
      <c r="R663" s="272">
        <f>+'NI-San_SP'!R663+'NI-Soc_SP'!R663+'NI-Ric_SP'!R663</f>
        <v>0</v>
      </c>
      <c r="S663" s="272">
        <f>+'NI-San_SP'!S663+'NI-Soc_SP'!S663+'NI-Ric_SP'!S663</f>
        <v>0</v>
      </c>
      <c r="T663" s="272">
        <f>+'NI-San_SP'!T663+'NI-Soc_SP'!T663+'NI-Ric_SP'!T663</f>
        <v>0</v>
      </c>
      <c r="U663" s="272">
        <f>+'NI-San_SP'!U663+'NI-Soc_SP'!U663+'NI-Ric_SP'!U663</f>
        <v>0</v>
      </c>
      <c r="V663" s="272">
        <f>+'NI-San_SP'!V663+'NI-Soc_SP'!V663+'NI-Ric_SP'!V663</f>
        <v>0</v>
      </c>
      <c r="W663" s="272">
        <f>+'NI-San_SP'!W663+'NI-Soc_SP'!W663+'NI-Ric_SP'!W663</f>
        <v>0</v>
      </c>
      <c r="X663" s="272">
        <f>+'NI-San_SP'!X663+'NI-Soc_SP'!X663+'NI-Ric_SP'!X663</f>
        <v>0</v>
      </c>
      <c r="Y663" s="272">
        <f>+'NI-San_SP'!Y663+'NI-Soc_SP'!Y663+'NI-Ric_SP'!Y663</f>
        <v>0</v>
      </c>
      <c r="Z663" s="272">
        <f>+'NI-San_SP'!Z663+'NI-Soc_SP'!Z663+'NI-Ric_SP'!Z663</f>
        <v>0</v>
      </c>
      <c r="AA663" s="272">
        <f>+'NI-San_SP'!AA663+'NI-Soc_SP'!AA663+'NI-Ric_SP'!AA663</f>
        <v>0</v>
      </c>
      <c r="AB663" s="272">
        <f>+'NI-San_SP'!AB663+'NI-Soc_SP'!AB663+'NI-Ric_SP'!AB663</f>
        <v>0</v>
      </c>
      <c r="AC663" s="272">
        <f>+'NI-San_SP'!AC663+'NI-Soc_SP'!AC663+'NI-Ric_SP'!AC663</f>
        <v>0</v>
      </c>
      <c r="AD663" s="272">
        <f>+'NI-San_SP'!AD663+'NI-Soc_SP'!AD663+'NI-Ric_SP'!AD663</f>
        <v>0</v>
      </c>
      <c r="AE663" s="272">
        <f>+'NI-San_SP'!AE663+'NI-Soc_SP'!AE663+'NI-Ric_SP'!AE663</f>
        <v>0</v>
      </c>
      <c r="AF663" s="272">
        <f>+'NI-San_SP'!AF663+'NI-Soc_SP'!AF663+'NI-Ric_SP'!AF663</f>
        <v>0</v>
      </c>
      <c r="AG663" s="272">
        <f>+'NI-San_SP'!AG663+'NI-Soc_SP'!AG663+'NI-Ric_SP'!AG663</f>
        <v>0</v>
      </c>
      <c r="AH663" s="272">
        <f>+'NI-San_SP'!AH663+'NI-Soc_SP'!AH663+'NI-Ric_SP'!AH663</f>
        <v>0</v>
      </c>
      <c r="AI663" s="272">
        <f>+'NI-San_SP'!AI663+'NI-Soc_SP'!AI663+'NI-Ric_SP'!AI663</f>
        <v>0</v>
      </c>
      <c r="AJ663" s="272">
        <f>+'NI-San_SP'!AJ663+'NI-Soc_SP'!AJ663+'NI-Ric_SP'!AJ663</f>
        <v>0</v>
      </c>
      <c r="AK663" s="272">
        <f>+'NI-San_SP'!AK663+'NI-Soc_SP'!AK663+'NI-Ric_SP'!AK663</f>
        <v>0</v>
      </c>
      <c r="AL663" s="272">
        <f>+'NI-San_SP'!AL663+'NI-Soc_SP'!AL663+'NI-Ric_SP'!AL663</f>
        <v>0</v>
      </c>
      <c r="AM663" s="272">
        <f>+'NI-San_SP'!AM663+'NI-Soc_SP'!AM663+'NI-Ric_SP'!AM663</f>
        <v>0</v>
      </c>
    </row>
    <row r="664" spans="2:39" s="204" customFormat="1" ht="25.5" x14ac:dyDescent="0.25">
      <c r="B664" s="246" t="s">
        <v>1596</v>
      </c>
      <c r="C664" s="287" t="s">
        <v>1597</v>
      </c>
      <c r="D664" s="274" t="s">
        <v>3754</v>
      </c>
      <c r="E664" s="274"/>
      <c r="F664" s="274"/>
      <c r="G664" s="283"/>
      <c r="H664" s="266"/>
      <c r="I664" s="274"/>
      <c r="J664" s="281"/>
      <c r="K664" s="281"/>
      <c r="L664" s="379" t="s">
        <v>1599</v>
      </c>
      <c r="M664" s="284" t="s">
        <v>2962</v>
      </c>
      <c r="N664" s="272">
        <f>+N665+N666</f>
        <v>0</v>
      </c>
      <c r="O664" s="272">
        <f>+O665+O666</f>
        <v>0</v>
      </c>
      <c r="P664" s="378">
        <f t="shared" si="89"/>
        <v>0</v>
      </c>
      <c r="Q664" s="272">
        <f>+'NI-San_SP'!Q664+'NI-Soc_SP'!Q664+'NI-Ric_SP'!Q664</f>
        <v>0</v>
      </c>
      <c r="R664" s="272">
        <f>+'NI-San_SP'!R664+'NI-Soc_SP'!R664+'NI-Ric_SP'!R664</f>
        <v>0</v>
      </c>
      <c r="S664" s="272">
        <f>+'NI-San_SP'!S664+'NI-Soc_SP'!S664+'NI-Ric_SP'!S664</f>
        <v>0</v>
      </c>
      <c r="T664" s="272">
        <f>+'NI-San_SP'!T664+'NI-Soc_SP'!T664+'NI-Ric_SP'!T664</f>
        <v>0</v>
      </c>
      <c r="U664" s="272">
        <f>+'NI-San_SP'!U664+'NI-Soc_SP'!U664+'NI-Ric_SP'!U664</f>
        <v>0</v>
      </c>
      <c r="V664" s="272">
        <f>+'NI-San_SP'!V664+'NI-Soc_SP'!V664+'NI-Ric_SP'!V664</f>
        <v>0</v>
      </c>
      <c r="W664" s="272">
        <f>+'NI-San_SP'!W664+'NI-Soc_SP'!W664+'NI-Ric_SP'!W664</f>
        <v>0</v>
      </c>
      <c r="X664" s="272">
        <f>+'NI-San_SP'!X664+'NI-Soc_SP'!X664+'NI-Ric_SP'!X664</f>
        <v>0</v>
      </c>
      <c r="Y664" s="272">
        <f>+'NI-San_SP'!Y664+'NI-Soc_SP'!Y664+'NI-Ric_SP'!Y664</f>
        <v>0</v>
      </c>
      <c r="Z664" s="272">
        <f>+'NI-San_SP'!Z664+'NI-Soc_SP'!Z664+'NI-Ric_SP'!Z664</f>
        <v>0</v>
      </c>
      <c r="AA664" s="272">
        <f>+'NI-San_SP'!AA664+'NI-Soc_SP'!AA664+'NI-Ric_SP'!AA664</f>
        <v>0</v>
      </c>
      <c r="AB664" s="272">
        <f>+'NI-San_SP'!AB664+'NI-Soc_SP'!AB664+'NI-Ric_SP'!AB664</f>
        <v>0</v>
      </c>
      <c r="AC664" s="272">
        <f>+'NI-San_SP'!AC664+'NI-Soc_SP'!AC664+'NI-Ric_SP'!AC664</f>
        <v>0</v>
      </c>
      <c r="AD664" s="272">
        <f>+'NI-San_SP'!AD664+'NI-Soc_SP'!AD664+'NI-Ric_SP'!AD664</f>
        <v>0</v>
      </c>
      <c r="AE664" s="272">
        <f>+'NI-San_SP'!AE664+'NI-Soc_SP'!AE664+'NI-Ric_SP'!AE664</f>
        <v>0</v>
      </c>
      <c r="AF664" s="272">
        <f>+'NI-San_SP'!AF664+'NI-Soc_SP'!AF664+'NI-Ric_SP'!AF664</f>
        <v>0</v>
      </c>
      <c r="AG664" s="272">
        <f>+'NI-San_SP'!AG664+'NI-Soc_SP'!AG664+'NI-Ric_SP'!AG664</f>
        <v>0</v>
      </c>
      <c r="AH664" s="272">
        <f>+'NI-San_SP'!AH664+'NI-Soc_SP'!AH664+'NI-Ric_SP'!AH664</f>
        <v>0</v>
      </c>
      <c r="AI664" s="272">
        <f>+'NI-San_SP'!AI664+'NI-Soc_SP'!AI664+'NI-Ric_SP'!AI664</f>
        <v>0</v>
      </c>
      <c r="AJ664" s="272">
        <f>+'NI-San_SP'!AJ664+'NI-Soc_SP'!AJ664+'NI-Ric_SP'!AJ664</f>
        <v>0</v>
      </c>
      <c r="AK664" s="272">
        <f>+'NI-San_SP'!AK664+'NI-Soc_SP'!AK664+'NI-Ric_SP'!AK664</f>
        <v>0</v>
      </c>
      <c r="AL664" s="272">
        <f>+'NI-San_SP'!AL664+'NI-Soc_SP'!AL664+'NI-Ric_SP'!AL664</f>
        <v>0</v>
      </c>
      <c r="AM664" s="272">
        <f>+'NI-San_SP'!AM664+'NI-Soc_SP'!AM664+'NI-Ric_SP'!AM664</f>
        <v>0</v>
      </c>
    </row>
    <row r="665" spans="2:39" s="204" customFormat="1" ht="25.5" hidden="1" x14ac:dyDescent="0.25">
      <c r="B665" s="246" t="s">
        <v>1600</v>
      </c>
      <c r="C665" s="287" t="s">
        <v>1601</v>
      </c>
      <c r="D665" s="274" t="s">
        <v>3755</v>
      </c>
      <c r="E665" s="274"/>
      <c r="F665" s="274"/>
      <c r="G665" s="283"/>
      <c r="H665" s="266"/>
      <c r="I665" s="274"/>
      <c r="J665" s="281"/>
      <c r="K665" s="281"/>
      <c r="L665" s="406" t="s">
        <v>1602</v>
      </c>
      <c r="M665" s="284" t="s">
        <v>2962</v>
      </c>
      <c r="N665" s="269">
        <f>+R665-AA665</f>
        <v>0</v>
      </c>
      <c r="O665" s="270">
        <f>+Y665-AE665</f>
        <v>0</v>
      </c>
      <c r="P665" s="271">
        <f t="shared" si="89"/>
        <v>0</v>
      </c>
      <c r="Q665" s="272">
        <f>+'NI-San_SP'!Q665+'NI-Soc_SP'!Q665+'NI-Ric_SP'!Q665</f>
        <v>0</v>
      </c>
      <c r="R665" s="272">
        <f>+'NI-San_SP'!R665+'NI-Soc_SP'!R665+'NI-Ric_SP'!R665</f>
        <v>0</v>
      </c>
      <c r="S665" s="272">
        <f>+'NI-San_SP'!S665+'NI-Soc_SP'!S665+'NI-Ric_SP'!S665</f>
        <v>0</v>
      </c>
      <c r="T665" s="272">
        <f>+'NI-San_SP'!T665+'NI-Soc_SP'!T665+'NI-Ric_SP'!T665</f>
        <v>0</v>
      </c>
      <c r="U665" s="272">
        <f>+'NI-San_SP'!U665+'NI-Soc_SP'!U665+'NI-Ric_SP'!U665</f>
        <v>0</v>
      </c>
      <c r="V665" s="272">
        <f>+'NI-San_SP'!V665+'NI-Soc_SP'!V665+'NI-Ric_SP'!V665</f>
        <v>0</v>
      </c>
      <c r="W665" s="272">
        <f>+'NI-San_SP'!W665+'NI-Soc_SP'!W665+'NI-Ric_SP'!W665</f>
        <v>0</v>
      </c>
      <c r="X665" s="272">
        <f>+'NI-San_SP'!X665+'NI-Soc_SP'!X665+'NI-Ric_SP'!X665</f>
        <v>0</v>
      </c>
      <c r="Y665" s="272">
        <f>+'NI-San_SP'!Y665+'NI-Soc_SP'!Y665+'NI-Ric_SP'!Y665</f>
        <v>0</v>
      </c>
      <c r="Z665" s="272">
        <f>+'NI-San_SP'!Z665+'NI-Soc_SP'!Z665+'NI-Ric_SP'!Z665</f>
        <v>0</v>
      </c>
      <c r="AA665" s="272">
        <f>+'NI-San_SP'!AA665+'NI-Soc_SP'!AA665+'NI-Ric_SP'!AA665</f>
        <v>0</v>
      </c>
      <c r="AB665" s="272">
        <f>+'NI-San_SP'!AB665+'NI-Soc_SP'!AB665+'NI-Ric_SP'!AB665</f>
        <v>0</v>
      </c>
      <c r="AC665" s="272">
        <f>+'NI-San_SP'!AC665+'NI-Soc_SP'!AC665+'NI-Ric_SP'!AC665</f>
        <v>0</v>
      </c>
      <c r="AD665" s="272">
        <f>+'NI-San_SP'!AD665+'NI-Soc_SP'!AD665+'NI-Ric_SP'!AD665</f>
        <v>0</v>
      </c>
      <c r="AE665" s="272">
        <f>+'NI-San_SP'!AE665+'NI-Soc_SP'!AE665+'NI-Ric_SP'!AE665</f>
        <v>0</v>
      </c>
      <c r="AF665" s="272">
        <f>+'NI-San_SP'!AF665+'NI-Soc_SP'!AF665+'NI-Ric_SP'!AF665</f>
        <v>0</v>
      </c>
      <c r="AG665" s="272">
        <f>+'NI-San_SP'!AG665+'NI-Soc_SP'!AG665+'NI-Ric_SP'!AG665</f>
        <v>0</v>
      </c>
      <c r="AH665" s="272">
        <f>+'NI-San_SP'!AH665+'NI-Soc_SP'!AH665+'NI-Ric_SP'!AH665</f>
        <v>0</v>
      </c>
      <c r="AI665" s="272">
        <f>+'NI-San_SP'!AI665+'NI-Soc_SP'!AI665+'NI-Ric_SP'!AI665</f>
        <v>0</v>
      </c>
      <c r="AJ665" s="272">
        <f>+'NI-San_SP'!AJ665+'NI-Soc_SP'!AJ665+'NI-Ric_SP'!AJ665</f>
        <v>0</v>
      </c>
      <c r="AK665" s="272">
        <f>+'NI-San_SP'!AK665+'NI-Soc_SP'!AK665+'NI-Ric_SP'!AK665</f>
        <v>0</v>
      </c>
      <c r="AL665" s="272">
        <f>+'NI-San_SP'!AL665+'NI-Soc_SP'!AL665+'NI-Ric_SP'!AL665</f>
        <v>0</v>
      </c>
      <c r="AM665" s="272">
        <f>+'NI-San_SP'!AM665+'NI-Soc_SP'!AM665+'NI-Ric_SP'!AM665</f>
        <v>0</v>
      </c>
    </row>
    <row r="666" spans="2:39" s="204" customFormat="1" ht="25.5" x14ac:dyDescent="0.25">
      <c r="B666" s="246" t="s">
        <v>1603</v>
      </c>
      <c r="C666" s="287" t="s">
        <v>1604</v>
      </c>
      <c r="D666" s="274" t="s">
        <v>3756</v>
      </c>
      <c r="E666" s="274"/>
      <c r="F666" s="274"/>
      <c r="G666" s="283"/>
      <c r="H666" s="266"/>
      <c r="I666" s="274"/>
      <c r="J666" s="281"/>
      <c r="K666" s="281"/>
      <c r="L666" s="406" t="s">
        <v>3757</v>
      </c>
      <c r="M666" s="284" t="s">
        <v>2962</v>
      </c>
      <c r="N666" s="269">
        <f>+R666-AA666</f>
        <v>0</v>
      </c>
      <c r="O666" s="270">
        <f>+Y666-AE666</f>
        <v>0</v>
      </c>
      <c r="P666" s="271">
        <f t="shared" si="89"/>
        <v>0</v>
      </c>
      <c r="Q666" s="272">
        <f>+'NI-San_SP'!Q666+'NI-Soc_SP'!Q666+'NI-Ric_SP'!Q666</f>
        <v>0</v>
      </c>
      <c r="R666" s="272">
        <f>+'NI-San_SP'!R666+'NI-Soc_SP'!R666+'NI-Ric_SP'!R666</f>
        <v>0</v>
      </c>
      <c r="S666" s="272">
        <f>+'NI-San_SP'!S666+'NI-Soc_SP'!S666+'NI-Ric_SP'!S666</f>
        <v>0</v>
      </c>
      <c r="T666" s="272">
        <f>+'NI-San_SP'!T666+'NI-Soc_SP'!T666+'NI-Ric_SP'!T666</f>
        <v>0</v>
      </c>
      <c r="U666" s="272">
        <f>+'NI-San_SP'!U666+'NI-Soc_SP'!U666+'NI-Ric_SP'!U666</f>
        <v>0</v>
      </c>
      <c r="V666" s="272">
        <f>+'NI-San_SP'!V666+'NI-Soc_SP'!V666+'NI-Ric_SP'!V666</f>
        <v>0</v>
      </c>
      <c r="W666" s="272">
        <f>+'NI-San_SP'!W666+'NI-Soc_SP'!W666+'NI-Ric_SP'!W666</f>
        <v>0</v>
      </c>
      <c r="X666" s="272">
        <f>+'NI-San_SP'!X666+'NI-Soc_SP'!X666+'NI-Ric_SP'!X666</f>
        <v>0</v>
      </c>
      <c r="Y666" s="272">
        <f>+'NI-San_SP'!Y666+'NI-Soc_SP'!Y666+'NI-Ric_SP'!Y666</f>
        <v>0</v>
      </c>
      <c r="Z666" s="272">
        <f>+'NI-San_SP'!Z666+'NI-Soc_SP'!Z666+'NI-Ric_SP'!Z666</f>
        <v>0</v>
      </c>
      <c r="AA666" s="272">
        <f>+'NI-San_SP'!AA666+'NI-Soc_SP'!AA666+'NI-Ric_SP'!AA666</f>
        <v>0</v>
      </c>
      <c r="AB666" s="272">
        <f>+'NI-San_SP'!AB666+'NI-Soc_SP'!AB666+'NI-Ric_SP'!AB666</f>
        <v>0</v>
      </c>
      <c r="AC666" s="272">
        <f>+'NI-San_SP'!AC666+'NI-Soc_SP'!AC666+'NI-Ric_SP'!AC666</f>
        <v>0</v>
      </c>
      <c r="AD666" s="272">
        <f>+'NI-San_SP'!AD666+'NI-Soc_SP'!AD666+'NI-Ric_SP'!AD666</f>
        <v>0</v>
      </c>
      <c r="AE666" s="272">
        <f>+'NI-San_SP'!AE666+'NI-Soc_SP'!AE666+'NI-Ric_SP'!AE666</f>
        <v>0</v>
      </c>
      <c r="AF666" s="272">
        <f>+'NI-San_SP'!AF666+'NI-Soc_SP'!AF666+'NI-Ric_SP'!AF666</f>
        <v>0</v>
      </c>
      <c r="AG666" s="272">
        <f>+'NI-San_SP'!AG666+'NI-Soc_SP'!AG666+'NI-Ric_SP'!AG666</f>
        <v>0</v>
      </c>
      <c r="AH666" s="272">
        <f>+'NI-San_SP'!AH666+'NI-Soc_SP'!AH666+'NI-Ric_SP'!AH666</f>
        <v>0</v>
      </c>
      <c r="AI666" s="272">
        <f>+'NI-San_SP'!AI666+'NI-Soc_SP'!AI666+'NI-Ric_SP'!AI666</f>
        <v>0</v>
      </c>
      <c r="AJ666" s="272">
        <f>+'NI-San_SP'!AJ666+'NI-Soc_SP'!AJ666+'NI-Ric_SP'!AJ666</f>
        <v>0</v>
      </c>
      <c r="AK666" s="272">
        <f>+'NI-San_SP'!AK666+'NI-Soc_SP'!AK666+'NI-Ric_SP'!AK666</f>
        <v>0</v>
      </c>
      <c r="AL666" s="272">
        <f>+'NI-San_SP'!AL666+'NI-Soc_SP'!AL666+'NI-Ric_SP'!AL666</f>
        <v>0</v>
      </c>
      <c r="AM666" s="272">
        <f>+'NI-San_SP'!AM666+'NI-Soc_SP'!AM666+'NI-Ric_SP'!AM666</f>
        <v>0</v>
      </c>
    </row>
    <row r="667" spans="2:39" s="204" customFormat="1" ht="25.5" x14ac:dyDescent="0.25">
      <c r="B667" s="246" t="s">
        <v>1606</v>
      </c>
      <c r="C667" s="287" t="s">
        <v>1607</v>
      </c>
      <c r="D667" s="274" t="s">
        <v>3758</v>
      </c>
      <c r="E667" s="274"/>
      <c r="F667" s="274"/>
      <c r="G667" s="283"/>
      <c r="H667" s="266"/>
      <c r="I667" s="274"/>
      <c r="J667" s="281"/>
      <c r="K667" s="281"/>
      <c r="L667" s="379" t="s">
        <v>1610</v>
      </c>
      <c r="M667" s="284" t="s">
        <v>2962</v>
      </c>
      <c r="N667" s="272">
        <f>SUM(N668:N672)</f>
        <v>18170863</v>
      </c>
      <c r="O667" s="272">
        <f>SUM(O668:O672)</f>
        <v>11890177</v>
      </c>
      <c r="P667" s="378">
        <f t="shared" si="89"/>
        <v>-6280686</v>
      </c>
      <c r="Q667" s="272">
        <f>+'NI-San_SP'!Q667+'NI-Soc_SP'!Q667+'NI-Ric_SP'!Q667</f>
        <v>0</v>
      </c>
      <c r="R667" s="272">
        <f>+'NI-San_SP'!R667+'NI-Soc_SP'!R667+'NI-Ric_SP'!R667</f>
        <v>18170863</v>
      </c>
      <c r="S667" s="272">
        <f>+'NI-San_SP'!S667+'NI-Soc_SP'!S667+'NI-Ric_SP'!S667</f>
        <v>0</v>
      </c>
      <c r="T667" s="272">
        <f>+'NI-San_SP'!T667+'NI-Soc_SP'!T667+'NI-Ric_SP'!T667</f>
        <v>-12429</v>
      </c>
      <c r="U667" s="272">
        <f>+'NI-San_SP'!U667+'NI-Soc_SP'!U667+'NI-Ric_SP'!U667</f>
        <v>229255138</v>
      </c>
      <c r="V667" s="272">
        <f>+'NI-San_SP'!V667+'NI-Soc_SP'!V667+'NI-Ric_SP'!V667</f>
        <v>17297687</v>
      </c>
      <c r="W667" s="272">
        <f>+'NI-San_SP'!W667+'NI-Soc_SP'!W667+'NI-Ric_SP'!W667</f>
        <v>0</v>
      </c>
      <c r="X667" s="272">
        <f>+'NI-San_SP'!X667+'NI-Soc_SP'!X667+'NI-Ric_SP'!X667</f>
        <v>218225708</v>
      </c>
      <c r="Y667" s="272">
        <f>+'NI-San_SP'!Y667+'NI-Soc_SP'!Y667+'NI-Ric_SP'!Y667</f>
        <v>11890177</v>
      </c>
      <c r="Z667" s="272">
        <f>+'NI-San_SP'!Z667+'NI-Soc_SP'!Z667+'NI-Ric_SP'!Z667</f>
        <v>8631794</v>
      </c>
      <c r="AA667" s="272">
        <f>+'NI-San_SP'!AA667+'NI-Soc_SP'!AA667+'NI-Ric_SP'!AA667</f>
        <v>0</v>
      </c>
      <c r="AB667" s="272">
        <f>+'NI-San_SP'!AB667+'NI-Soc_SP'!AB667+'NI-Ric_SP'!AB667</f>
        <v>0</v>
      </c>
      <c r="AC667" s="272">
        <f>+'NI-San_SP'!AC667+'NI-Soc_SP'!AC667+'NI-Ric_SP'!AC667</f>
        <v>0</v>
      </c>
      <c r="AD667" s="272">
        <f>+'NI-San_SP'!AD667+'NI-Soc_SP'!AD667+'NI-Ric_SP'!AD667</f>
        <v>0</v>
      </c>
      <c r="AE667" s="272">
        <f>+'NI-San_SP'!AE667+'NI-Soc_SP'!AE667+'NI-Ric_SP'!AE667</f>
        <v>0</v>
      </c>
      <c r="AF667" s="272">
        <f>+'NI-San_SP'!AF667+'NI-Soc_SP'!AF667+'NI-Ric_SP'!AF667</f>
        <v>689078</v>
      </c>
      <c r="AG667" s="272">
        <f>+'NI-San_SP'!AG667+'NI-Soc_SP'!AG667+'NI-Ric_SP'!AG667</f>
        <v>0</v>
      </c>
      <c r="AH667" s="272">
        <f>+'NI-San_SP'!AH667+'NI-Soc_SP'!AH667+'NI-Ric_SP'!AH667</f>
        <v>8937</v>
      </c>
      <c r="AI667" s="272">
        <f>+'NI-San_SP'!AI667+'NI-Soc_SP'!AI667+'NI-Ric_SP'!AI667</f>
        <v>175163</v>
      </c>
      <c r="AJ667" s="272">
        <f>+'NI-San_SP'!AJ667+'NI-Soc_SP'!AJ667+'NI-Ric_SP'!AJ667</f>
        <v>11016999</v>
      </c>
      <c r="AK667" s="272">
        <f>+'NI-San_SP'!AK667+'NI-Soc_SP'!AK667+'NI-Ric_SP'!AK667</f>
        <v>11890177</v>
      </c>
      <c r="AL667" s="272">
        <f>+'NI-San_SP'!AL667+'NI-Soc_SP'!AL667+'NI-Ric_SP'!AL667</f>
        <v>0</v>
      </c>
      <c r="AM667" s="272">
        <f>+'NI-San_SP'!AM667+'NI-Soc_SP'!AM667+'NI-Ric_SP'!AM667</f>
        <v>0</v>
      </c>
    </row>
    <row r="668" spans="2:39" s="204" customFormat="1" hidden="1" x14ac:dyDescent="0.25">
      <c r="B668" s="246" t="s">
        <v>1611</v>
      </c>
      <c r="C668" s="287" t="s">
        <v>1612</v>
      </c>
      <c r="D668" s="274" t="s">
        <v>3759</v>
      </c>
      <c r="E668" s="274"/>
      <c r="F668" s="274"/>
      <c r="G668" s="283"/>
      <c r="H668" s="266"/>
      <c r="I668" s="274"/>
      <c r="J668" s="281"/>
      <c r="K668" s="281"/>
      <c r="L668" s="406" t="s">
        <v>1613</v>
      </c>
      <c r="M668" s="284" t="s">
        <v>2962</v>
      </c>
      <c r="N668" s="269">
        <f t="shared" ref="N668:N680" si="90">+R668-AA668</f>
        <v>0</v>
      </c>
      <c r="O668" s="270">
        <f t="shared" ref="O668:O680" si="91">+Y668-AE668</f>
        <v>0</v>
      </c>
      <c r="P668" s="271">
        <f t="shared" si="89"/>
        <v>0</v>
      </c>
      <c r="Q668" s="272">
        <f>+'NI-San_SP'!Q668+'NI-Soc_SP'!Q668+'NI-Ric_SP'!Q668</f>
        <v>0</v>
      </c>
      <c r="R668" s="272">
        <f>+'NI-San_SP'!R668+'NI-Soc_SP'!R668+'NI-Ric_SP'!R668</f>
        <v>0</v>
      </c>
      <c r="S668" s="272">
        <f>+'NI-San_SP'!S668+'NI-Soc_SP'!S668+'NI-Ric_SP'!S668</f>
        <v>0</v>
      </c>
      <c r="T668" s="272">
        <f>+'NI-San_SP'!T668+'NI-Soc_SP'!T668+'NI-Ric_SP'!T668</f>
        <v>0</v>
      </c>
      <c r="U668" s="272">
        <f>+'NI-San_SP'!U668+'NI-Soc_SP'!U668+'NI-Ric_SP'!U668</f>
        <v>0</v>
      </c>
      <c r="V668" s="272">
        <f>+'NI-San_SP'!V668+'NI-Soc_SP'!V668+'NI-Ric_SP'!V668</f>
        <v>0</v>
      </c>
      <c r="W668" s="272">
        <f>+'NI-San_SP'!W668+'NI-Soc_SP'!W668+'NI-Ric_SP'!W668</f>
        <v>0</v>
      </c>
      <c r="X668" s="272">
        <f>+'NI-San_SP'!X668+'NI-Soc_SP'!X668+'NI-Ric_SP'!X668</f>
        <v>0</v>
      </c>
      <c r="Y668" s="272">
        <f>+'NI-San_SP'!Y668+'NI-Soc_SP'!Y668+'NI-Ric_SP'!Y668</f>
        <v>0</v>
      </c>
      <c r="Z668" s="272">
        <f>+'NI-San_SP'!Z668+'NI-Soc_SP'!Z668+'NI-Ric_SP'!Z668</f>
        <v>0</v>
      </c>
      <c r="AA668" s="272">
        <f>+'NI-San_SP'!AA668+'NI-Soc_SP'!AA668+'NI-Ric_SP'!AA668</f>
        <v>0</v>
      </c>
      <c r="AB668" s="272">
        <f>+'NI-San_SP'!AB668+'NI-Soc_SP'!AB668+'NI-Ric_SP'!AB668</f>
        <v>0</v>
      </c>
      <c r="AC668" s="272">
        <f>+'NI-San_SP'!AC668+'NI-Soc_SP'!AC668+'NI-Ric_SP'!AC668</f>
        <v>0</v>
      </c>
      <c r="AD668" s="272">
        <f>+'NI-San_SP'!AD668+'NI-Soc_SP'!AD668+'NI-Ric_SP'!AD668</f>
        <v>0</v>
      </c>
      <c r="AE668" s="272">
        <f>+'NI-San_SP'!AE668+'NI-Soc_SP'!AE668+'NI-Ric_SP'!AE668</f>
        <v>0</v>
      </c>
      <c r="AF668" s="272">
        <f>+'NI-San_SP'!AF668+'NI-Soc_SP'!AF668+'NI-Ric_SP'!AF668</f>
        <v>0</v>
      </c>
      <c r="AG668" s="272">
        <f>+'NI-San_SP'!AG668+'NI-Soc_SP'!AG668+'NI-Ric_SP'!AG668</f>
        <v>0</v>
      </c>
      <c r="AH668" s="272">
        <f>+'NI-San_SP'!AH668+'NI-Soc_SP'!AH668+'NI-Ric_SP'!AH668</f>
        <v>0</v>
      </c>
      <c r="AI668" s="272">
        <f>+'NI-San_SP'!AI668+'NI-Soc_SP'!AI668+'NI-Ric_SP'!AI668</f>
        <v>0</v>
      </c>
      <c r="AJ668" s="272">
        <f>+'NI-San_SP'!AJ668+'NI-Soc_SP'!AJ668+'NI-Ric_SP'!AJ668</f>
        <v>0</v>
      </c>
      <c r="AK668" s="272">
        <f>+'NI-San_SP'!AK668+'NI-Soc_SP'!AK668+'NI-Ric_SP'!AK668</f>
        <v>0</v>
      </c>
      <c r="AL668" s="272">
        <f>+'NI-San_SP'!AL668+'NI-Soc_SP'!AL668+'NI-Ric_SP'!AL668</f>
        <v>0</v>
      </c>
      <c r="AM668" s="272">
        <f>+'NI-San_SP'!AM668+'NI-Soc_SP'!AM668+'NI-Ric_SP'!AM668</f>
        <v>0</v>
      </c>
    </row>
    <row r="669" spans="2:39" s="204" customFormat="1" x14ac:dyDescent="0.25">
      <c r="B669" s="246" t="s">
        <v>1614</v>
      </c>
      <c r="C669" s="287" t="s">
        <v>1615</v>
      </c>
      <c r="D669" s="274" t="s">
        <v>3760</v>
      </c>
      <c r="E669" s="274"/>
      <c r="F669" s="274"/>
      <c r="G669" s="283"/>
      <c r="H669" s="266"/>
      <c r="I669" s="274"/>
      <c r="J669" s="281"/>
      <c r="K669" s="281"/>
      <c r="L669" s="406" t="s">
        <v>3761</v>
      </c>
      <c r="M669" s="284" t="s">
        <v>2962</v>
      </c>
      <c r="N669" s="269">
        <f t="shared" si="90"/>
        <v>13676102</v>
      </c>
      <c r="O669" s="270">
        <f t="shared" si="91"/>
        <v>8863133</v>
      </c>
      <c r="P669" s="271">
        <f t="shared" si="89"/>
        <v>-4812969</v>
      </c>
      <c r="Q669" s="272">
        <f>+'NI-San_SP'!Q669+'NI-Soc_SP'!Q669+'NI-Ric_SP'!Q669</f>
        <v>0</v>
      </c>
      <c r="R669" s="272">
        <f>+'NI-San_SP'!R669+'NI-Soc_SP'!R669+'NI-Ric_SP'!R669</f>
        <v>13676102</v>
      </c>
      <c r="S669" s="272">
        <f>+'NI-San_SP'!S669+'NI-Soc_SP'!S669+'NI-Ric_SP'!S669</f>
        <v>0</v>
      </c>
      <c r="T669" s="272">
        <f>+'NI-San_SP'!T669+'NI-Soc_SP'!T669+'NI-Ric_SP'!T669</f>
        <v>-5488</v>
      </c>
      <c r="U669" s="272">
        <f>+'NI-San_SP'!U669+'NI-Soc_SP'!U669+'NI-Ric_SP'!U669</f>
        <v>221234630</v>
      </c>
      <c r="V669" s="272">
        <f>+'NI-San_SP'!V669+'NI-Soc_SP'!V669+'NI-Ric_SP'!V669</f>
        <v>12965607</v>
      </c>
      <c r="W669" s="272">
        <f>+'NI-San_SP'!W669+'NI-Soc_SP'!W669+'NI-Ric_SP'!W669</f>
        <v>0</v>
      </c>
      <c r="X669" s="272">
        <f>+'NI-San_SP'!X669+'NI-Soc_SP'!X669+'NI-Ric_SP'!X669</f>
        <v>213076504</v>
      </c>
      <c r="Y669" s="272">
        <f>+'NI-San_SP'!Y669+'NI-Soc_SP'!Y669+'NI-Ric_SP'!Y669</f>
        <v>8863133</v>
      </c>
      <c r="Z669" s="272">
        <f>+'NI-San_SP'!Z669+'NI-Soc_SP'!Z669+'NI-Ric_SP'!Z669</f>
        <v>6781487</v>
      </c>
      <c r="AA669" s="272">
        <f>+'NI-San_SP'!AA669+'NI-Soc_SP'!AA669+'NI-Ric_SP'!AA669</f>
        <v>0</v>
      </c>
      <c r="AB669" s="272">
        <f>+'NI-San_SP'!AB669+'NI-Soc_SP'!AB669+'NI-Ric_SP'!AB669</f>
        <v>0</v>
      </c>
      <c r="AC669" s="272">
        <f>+'NI-San_SP'!AC669+'NI-Soc_SP'!AC669+'NI-Ric_SP'!AC669</f>
        <v>0</v>
      </c>
      <c r="AD669" s="272">
        <f>+'NI-San_SP'!AD669+'NI-Soc_SP'!AD669+'NI-Ric_SP'!AD669</f>
        <v>0</v>
      </c>
      <c r="AE669" s="272">
        <f>+'NI-San_SP'!AE669+'NI-Soc_SP'!AE669+'NI-Ric_SP'!AE669</f>
        <v>0</v>
      </c>
      <c r="AF669" s="272">
        <f>+'NI-San_SP'!AF669+'NI-Soc_SP'!AF669+'NI-Ric_SP'!AF669</f>
        <v>689078</v>
      </c>
      <c r="AG669" s="272">
        <f>+'NI-San_SP'!AG669+'NI-Soc_SP'!AG669+'NI-Ric_SP'!AG669</f>
        <v>0</v>
      </c>
      <c r="AH669" s="272">
        <f>+'NI-San_SP'!AH669+'NI-Soc_SP'!AH669+'NI-Ric_SP'!AH669</f>
        <v>6146</v>
      </c>
      <c r="AI669" s="272">
        <f>+'NI-San_SP'!AI669+'NI-Soc_SP'!AI669+'NI-Ric_SP'!AI669</f>
        <v>15273</v>
      </c>
      <c r="AJ669" s="272">
        <f>+'NI-San_SP'!AJ669+'NI-Soc_SP'!AJ669+'NI-Ric_SP'!AJ669</f>
        <v>8152636</v>
      </c>
      <c r="AK669" s="272">
        <f>+'NI-San_SP'!AK669+'NI-Soc_SP'!AK669+'NI-Ric_SP'!AK669</f>
        <v>8863133</v>
      </c>
      <c r="AL669" s="272">
        <f>+'NI-San_SP'!AL669+'NI-Soc_SP'!AL669+'NI-Ric_SP'!AL669</f>
        <v>0</v>
      </c>
      <c r="AM669" s="272">
        <f>+'NI-San_SP'!AM669+'NI-Soc_SP'!AM669+'NI-Ric_SP'!AM669</f>
        <v>0</v>
      </c>
    </row>
    <row r="670" spans="2:39" s="204" customFormat="1" hidden="1" x14ac:dyDescent="0.25">
      <c r="B670" s="246" t="s">
        <v>1617</v>
      </c>
      <c r="C670" s="287" t="s">
        <v>1618</v>
      </c>
      <c r="D670" s="274" t="s">
        <v>3762</v>
      </c>
      <c r="E670" s="274"/>
      <c r="F670" s="274"/>
      <c r="G670" s="283"/>
      <c r="H670" s="266"/>
      <c r="I670" s="274"/>
      <c r="J670" s="281"/>
      <c r="K670" s="281"/>
      <c r="L670" s="406" t="s">
        <v>1619</v>
      </c>
      <c r="M670" s="284" t="s">
        <v>2962</v>
      </c>
      <c r="N670" s="269">
        <f t="shared" si="90"/>
        <v>0</v>
      </c>
      <c r="O670" s="270">
        <f t="shared" si="91"/>
        <v>0</v>
      </c>
      <c r="P670" s="271">
        <f t="shared" si="89"/>
        <v>0</v>
      </c>
      <c r="Q670" s="272">
        <f>+'NI-San_SP'!Q670+'NI-Soc_SP'!Q670+'NI-Ric_SP'!Q670</f>
        <v>0</v>
      </c>
      <c r="R670" s="272">
        <f>+'NI-San_SP'!R670+'NI-Soc_SP'!R670+'NI-Ric_SP'!R670</f>
        <v>0</v>
      </c>
      <c r="S670" s="272">
        <f>+'NI-San_SP'!S670+'NI-Soc_SP'!S670+'NI-Ric_SP'!S670</f>
        <v>0</v>
      </c>
      <c r="T670" s="272">
        <f>+'NI-San_SP'!T670+'NI-Soc_SP'!T670+'NI-Ric_SP'!T670</f>
        <v>0</v>
      </c>
      <c r="U670" s="272">
        <f>+'NI-San_SP'!U670+'NI-Soc_SP'!U670+'NI-Ric_SP'!U670</f>
        <v>0</v>
      </c>
      <c r="V670" s="272">
        <f>+'NI-San_SP'!V670+'NI-Soc_SP'!V670+'NI-Ric_SP'!V670</f>
        <v>0</v>
      </c>
      <c r="W670" s="272">
        <f>+'NI-San_SP'!W670+'NI-Soc_SP'!W670+'NI-Ric_SP'!W670</f>
        <v>0</v>
      </c>
      <c r="X670" s="272">
        <f>+'NI-San_SP'!X670+'NI-Soc_SP'!X670+'NI-Ric_SP'!X670</f>
        <v>0</v>
      </c>
      <c r="Y670" s="272">
        <f>+'NI-San_SP'!Y670+'NI-Soc_SP'!Y670+'NI-Ric_SP'!Y670</f>
        <v>0</v>
      </c>
      <c r="Z670" s="272">
        <f>+'NI-San_SP'!Z670+'NI-Soc_SP'!Z670+'NI-Ric_SP'!Z670</f>
        <v>0</v>
      </c>
      <c r="AA670" s="272">
        <f>+'NI-San_SP'!AA670+'NI-Soc_SP'!AA670+'NI-Ric_SP'!AA670</f>
        <v>0</v>
      </c>
      <c r="AB670" s="272">
        <f>+'NI-San_SP'!AB670+'NI-Soc_SP'!AB670+'NI-Ric_SP'!AB670</f>
        <v>0</v>
      </c>
      <c r="AC670" s="272">
        <f>+'NI-San_SP'!AC670+'NI-Soc_SP'!AC670+'NI-Ric_SP'!AC670</f>
        <v>0</v>
      </c>
      <c r="AD670" s="272">
        <f>+'NI-San_SP'!AD670+'NI-Soc_SP'!AD670+'NI-Ric_SP'!AD670</f>
        <v>0</v>
      </c>
      <c r="AE670" s="272">
        <f>+'NI-San_SP'!AE670+'NI-Soc_SP'!AE670+'NI-Ric_SP'!AE670</f>
        <v>0</v>
      </c>
      <c r="AF670" s="272">
        <f>+'NI-San_SP'!AF670+'NI-Soc_SP'!AF670+'NI-Ric_SP'!AF670</f>
        <v>0</v>
      </c>
      <c r="AG670" s="272">
        <f>+'NI-San_SP'!AG670+'NI-Soc_SP'!AG670+'NI-Ric_SP'!AG670</f>
        <v>0</v>
      </c>
      <c r="AH670" s="272">
        <f>+'NI-San_SP'!AH670+'NI-Soc_SP'!AH670+'NI-Ric_SP'!AH670</f>
        <v>0</v>
      </c>
      <c r="AI670" s="272">
        <f>+'NI-San_SP'!AI670+'NI-Soc_SP'!AI670+'NI-Ric_SP'!AI670</f>
        <v>0</v>
      </c>
      <c r="AJ670" s="272">
        <f>+'NI-San_SP'!AJ670+'NI-Soc_SP'!AJ670+'NI-Ric_SP'!AJ670</f>
        <v>0</v>
      </c>
      <c r="AK670" s="272">
        <f>+'NI-San_SP'!AK670+'NI-Soc_SP'!AK670+'NI-Ric_SP'!AK670</f>
        <v>0</v>
      </c>
      <c r="AL670" s="272">
        <f>+'NI-San_SP'!AL670+'NI-Soc_SP'!AL670+'NI-Ric_SP'!AL670</f>
        <v>0</v>
      </c>
      <c r="AM670" s="272">
        <f>+'NI-San_SP'!AM670+'NI-Soc_SP'!AM670+'NI-Ric_SP'!AM670</f>
        <v>0</v>
      </c>
    </row>
    <row r="671" spans="2:39" s="204" customFormat="1" x14ac:dyDescent="0.25">
      <c r="B671" s="246" t="s">
        <v>1620</v>
      </c>
      <c r="C671" s="287" t="s">
        <v>1621</v>
      </c>
      <c r="D671" s="274" t="s">
        <v>3763</v>
      </c>
      <c r="E671" s="274"/>
      <c r="F671" s="274"/>
      <c r="G671" s="283"/>
      <c r="H671" s="266"/>
      <c r="I671" s="274"/>
      <c r="J671" s="281"/>
      <c r="K671" s="281"/>
      <c r="L671" s="406" t="s">
        <v>3764</v>
      </c>
      <c r="M671" s="284" t="s">
        <v>2962</v>
      </c>
      <c r="N671" s="269">
        <f t="shared" si="90"/>
        <v>3624273</v>
      </c>
      <c r="O671" s="270">
        <f t="shared" si="91"/>
        <v>2178793</v>
      </c>
      <c r="P671" s="271">
        <f t="shared" si="89"/>
        <v>-1445480</v>
      </c>
      <c r="Q671" s="272">
        <f>+'NI-San_SP'!Q671+'NI-Soc_SP'!Q671+'NI-Ric_SP'!Q671</f>
        <v>0</v>
      </c>
      <c r="R671" s="272">
        <f>+'NI-San_SP'!R671+'NI-Soc_SP'!R671+'NI-Ric_SP'!R671</f>
        <v>3624273</v>
      </c>
      <c r="S671" s="272">
        <f>+'NI-San_SP'!S671+'NI-Soc_SP'!S671+'NI-Ric_SP'!S671</f>
        <v>0</v>
      </c>
      <c r="T671" s="272">
        <f>+'NI-San_SP'!T671+'NI-Soc_SP'!T671+'NI-Ric_SP'!T671</f>
        <v>-5752</v>
      </c>
      <c r="U671" s="272">
        <f>+'NI-San_SP'!U671+'NI-Soc_SP'!U671+'NI-Ric_SP'!U671</f>
        <v>5581587</v>
      </c>
      <c r="V671" s="272">
        <f>+'NI-San_SP'!V671+'NI-Soc_SP'!V671+'NI-Ric_SP'!V671</f>
        <v>3461592</v>
      </c>
      <c r="W671" s="272">
        <f>+'NI-San_SP'!W671+'NI-Soc_SP'!W671+'NI-Ric_SP'!W671</f>
        <v>0</v>
      </c>
      <c r="X671" s="272">
        <f>+'NI-San_SP'!X671+'NI-Soc_SP'!X671+'NI-Ric_SP'!X671</f>
        <v>3559723</v>
      </c>
      <c r="Y671" s="272">
        <f>+'NI-San_SP'!Y671+'NI-Soc_SP'!Y671+'NI-Ric_SP'!Y671</f>
        <v>2178793</v>
      </c>
      <c r="Z671" s="272">
        <f>+'NI-San_SP'!Z671+'NI-Soc_SP'!Z671+'NI-Ric_SP'!Z671</f>
        <v>1507286</v>
      </c>
      <c r="AA671" s="272">
        <f>+'NI-San_SP'!AA671+'NI-Soc_SP'!AA671+'NI-Ric_SP'!AA671</f>
        <v>0</v>
      </c>
      <c r="AB671" s="272">
        <f>+'NI-San_SP'!AB671+'NI-Soc_SP'!AB671+'NI-Ric_SP'!AB671</f>
        <v>0</v>
      </c>
      <c r="AC671" s="272">
        <f>+'NI-San_SP'!AC671+'NI-Soc_SP'!AC671+'NI-Ric_SP'!AC671</f>
        <v>0</v>
      </c>
      <c r="AD671" s="272">
        <f>+'NI-San_SP'!AD671+'NI-Soc_SP'!AD671+'NI-Ric_SP'!AD671</f>
        <v>0</v>
      </c>
      <c r="AE671" s="272">
        <f>+'NI-San_SP'!AE671+'NI-Soc_SP'!AE671+'NI-Ric_SP'!AE671</f>
        <v>0</v>
      </c>
      <c r="AF671" s="272">
        <f>+'NI-San_SP'!AF671+'NI-Soc_SP'!AF671+'NI-Ric_SP'!AF671</f>
        <v>0</v>
      </c>
      <c r="AG671" s="272">
        <f>+'NI-San_SP'!AG671+'NI-Soc_SP'!AG671+'NI-Ric_SP'!AG671</f>
        <v>0</v>
      </c>
      <c r="AH671" s="272">
        <f>+'NI-San_SP'!AH671+'NI-Soc_SP'!AH671+'NI-Ric_SP'!AH671</f>
        <v>2791</v>
      </c>
      <c r="AI671" s="272">
        <f>+'NI-San_SP'!AI671+'NI-Soc_SP'!AI671+'NI-Ric_SP'!AI671</f>
        <v>159890</v>
      </c>
      <c r="AJ671" s="272">
        <f>+'NI-San_SP'!AJ671+'NI-Soc_SP'!AJ671+'NI-Ric_SP'!AJ671</f>
        <v>2016112</v>
      </c>
      <c r="AK671" s="272">
        <f>+'NI-San_SP'!AK671+'NI-Soc_SP'!AK671+'NI-Ric_SP'!AK671</f>
        <v>2178793</v>
      </c>
      <c r="AL671" s="272">
        <f>+'NI-San_SP'!AL671+'NI-Soc_SP'!AL671+'NI-Ric_SP'!AL671</f>
        <v>0</v>
      </c>
      <c r="AM671" s="272">
        <f>+'NI-San_SP'!AM671+'NI-Soc_SP'!AM671+'NI-Ric_SP'!AM671</f>
        <v>0</v>
      </c>
    </row>
    <row r="672" spans="2:39" s="204" customFormat="1" x14ac:dyDescent="0.25">
      <c r="B672" s="246" t="s">
        <v>1623</v>
      </c>
      <c r="C672" s="287" t="s">
        <v>1624</v>
      </c>
      <c r="D672" s="274" t="s">
        <v>3765</v>
      </c>
      <c r="E672" s="274"/>
      <c r="F672" s="274"/>
      <c r="G672" s="283"/>
      <c r="H672" s="266"/>
      <c r="I672" s="274"/>
      <c r="J672" s="281"/>
      <c r="K672" s="281"/>
      <c r="L672" s="406" t="s">
        <v>3766</v>
      </c>
      <c r="M672" s="284" t="s">
        <v>2962</v>
      </c>
      <c r="N672" s="269">
        <f t="shared" si="90"/>
        <v>870488</v>
      </c>
      <c r="O672" s="270">
        <f t="shared" si="91"/>
        <v>848251</v>
      </c>
      <c r="P672" s="271">
        <f t="shared" si="89"/>
        <v>-22237</v>
      </c>
      <c r="Q672" s="272">
        <f>+'NI-San_SP'!Q672+'NI-Soc_SP'!Q672+'NI-Ric_SP'!Q672</f>
        <v>0</v>
      </c>
      <c r="R672" s="272">
        <f>+'NI-San_SP'!R672+'NI-Soc_SP'!R672+'NI-Ric_SP'!R672</f>
        <v>870488</v>
      </c>
      <c r="S672" s="272">
        <f>+'NI-San_SP'!S672+'NI-Soc_SP'!S672+'NI-Ric_SP'!S672</f>
        <v>0</v>
      </c>
      <c r="T672" s="272">
        <f>+'NI-San_SP'!T672+'NI-Soc_SP'!T672+'NI-Ric_SP'!T672</f>
        <v>-1189</v>
      </c>
      <c r="U672" s="272">
        <f>+'NI-San_SP'!U672+'NI-Soc_SP'!U672+'NI-Ric_SP'!U672</f>
        <v>2438921</v>
      </c>
      <c r="V672" s="272">
        <f>+'NI-San_SP'!V672+'NI-Soc_SP'!V672+'NI-Ric_SP'!V672</f>
        <v>870488</v>
      </c>
      <c r="W672" s="272">
        <f>+'NI-San_SP'!W672+'NI-Soc_SP'!W672+'NI-Ric_SP'!W672</f>
        <v>0</v>
      </c>
      <c r="X672" s="272">
        <f>+'NI-San_SP'!X672+'NI-Soc_SP'!X672+'NI-Ric_SP'!X672</f>
        <v>1589481</v>
      </c>
      <c r="Y672" s="272">
        <f>+'NI-San_SP'!Y672+'NI-Soc_SP'!Y672+'NI-Ric_SP'!Y672</f>
        <v>848251</v>
      </c>
      <c r="Z672" s="272">
        <f>+'NI-San_SP'!Z672+'NI-Soc_SP'!Z672+'NI-Ric_SP'!Z672</f>
        <v>343021</v>
      </c>
      <c r="AA672" s="272">
        <f>+'NI-San_SP'!AA672+'NI-Soc_SP'!AA672+'NI-Ric_SP'!AA672</f>
        <v>0</v>
      </c>
      <c r="AB672" s="272">
        <f>+'NI-San_SP'!AB672+'NI-Soc_SP'!AB672+'NI-Ric_SP'!AB672</f>
        <v>0</v>
      </c>
      <c r="AC672" s="272">
        <f>+'NI-San_SP'!AC672+'NI-Soc_SP'!AC672+'NI-Ric_SP'!AC672</f>
        <v>0</v>
      </c>
      <c r="AD672" s="272">
        <f>+'NI-San_SP'!AD672+'NI-Soc_SP'!AD672+'NI-Ric_SP'!AD672</f>
        <v>0</v>
      </c>
      <c r="AE672" s="272">
        <f>+'NI-San_SP'!AE672+'NI-Soc_SP'!AE672+'NI-Ric_SP'!AE672</f>
        <v>0</v>
      </c>
      <c r="AF672" s="272">
        <f>+'NI-San_SP'!AF672+'NI-Soc_SP'!AF672+'NI-Ric_SP'!AF672</f>
        <v>0</v>
      </c>
      <c r="AG672" s="272">
        <f>+'NI-San_SP'!AG672+'NI-Soc_SP'!AG672+'NI-Ric_SP'!AG672</f>
        <v>0</v>
      </c>
      <c r="AH672" s="272">
        <f>+'NI-San_SP'!AH672+'NI-Soc_SP'!AH672+'NI-Ric_SP'!AH672</f>
        <v>0</v>
      </c>
      <c r="AI672" s="272">
        <f>+'NI-San_SP'!AI672+'NI-Soc_SP'!AI672+'NI-Ric_SP'!AI672</f>
        <v>0</v>
      </c>
      <c r="AJ672" s="272">
        <f>+'NI-San_SP'!AJ672+'NI-Soc_SP'!AJ672+'NI-Ric_SP'!AJ672</f>
        <v>848251</v>
      </c>
      <c r="AK672" s="272">
        <f>+'NI-San_SP'!AK672+'NI-Soc_SP'!AK672+'NI-Ric_SP'!AK672</f>
        <v>848251</v>
      </c>
      <c r="AL672" s="272">
        <f>+'NI-San_SP'!AL672+'NI-Soc_SP'!AL672+'NI-Ric_SP'!AL672</f>
        <v>0</v>
      </c>
      <c r="AM672" s="272">
        <f>+'NI-San_SP'!AM672+'NI-Soc_SP'!AM672+'NI-Ric_SP'!AM672</f>
        <v>0</v>
      </c>
    </row>
    <row r="673" spans="1:39" s="204" customFormat="1" x14ac:dyDescent="0.25">
      <c r="B673" s="246" t="s">
        <v>1626</v>
      </c>
      <c r="C673" s="287" t="s">
        <v>1627</v>
      </c>
      <c r="D673" s="274" t="s">
        <v>3767</v>
      </c>
      <c r="E673" s="274"/>
      <c r="F673" s="274"/>
      <c r="G673" s="283"/>
      <c r="H673" s="266"/>
      <c r="I673" s="274"/>
      <c r="J673" s="281"/>
      <c r="K673" s="281"/>
      <c r="L673" s="379" t="s">
        <v>1629</v>
      </c>
      <c r="M673" s="284" t="s">
        <v>2962</v>
      </c>
      <c r="N673" s="269">
        <f t="shared" si="90"/>
        <v>0</v>
      </c>
      <c r="O673" s="270">
        <f t="shared" si="91"/>
        <v>0</v>
      </c>
      <c r="P673" s="271">
        <f t="shared" si="89"/>
        <v>0</v>
      </c>
      <c r="Q673" s="272">
        <f>+'NI-San_SP'!Q673+'NI-Soc_SP'!Q673+'NI-Ric_SP'!Q673</f>
        <v>0</v>
      </c>
      <c r="R673" s="272">
        <f>+'NI-San_SP'!R673+'NI-Soc_SP'!R673+'NI-Ric_SP'!R673</f>
        <v>0</v>
      </c>
      <c r="S673" s="272">
        <f>+'NI-San_SP'!S673+'NI-Soc_SP'!S673+'NI-Ric_SP'!S673</f>
        <v>0</v>
      </c>
      <c r="T673" s="272">
        <f>+'NI-San_SP'!T673+'NI-Soc_SP'!T673+'NI-Ric_SP'!T673</f>
        <v>0</v>
      </c>
      <c r="U673" s="272">
        <f>+'NI-San_SP'!U673+'NI-Soc_SP'!U673+'NI-Ric_SP'!U673</f>
        <v>0</v>
      </c>
      <c r="V673" s="272">
        <f>+'NI-San_SP'!V673+'NI-Soc_SP'!V673+'NI-Ric_SP'!V673</f>
        <v>0</v>
      </c>
      <c r="W673" s="272">
        <f>+'NI-San_SP'!W673+'NI-Soc_SP'!W673+'NI-Ric_SP'!W673</f>
        <v>0</v>
      </c>
      <c r="X673" s="272">
        <f>+'NI-San_SP'!X673+'NI-Soc_SP'!X673+'NI-Ric_SP'!X673</f>
        <v>0</v>
      </c>
      <c r="Y673" s="272">
        <f>+'NI-San_SP'!Y673+'NI-Soc_SP'!Y673+'NI-Ric_SP'!Y673</f>
        <v>0</v>
      </c>
      <c r="Z673" s="272">
        <f>+'NI-San_SP'!Z673+'NI-Soc_SP'!Z673+'NI-Ric_SP'!Z673</f>
        <v>0</v>
      </c>
      <c r="AA673" s="272">
        <f>+'NI-San_SP'!AA673+'NI-Soc_SP'!AA673+'NI-Ric_SP'!AA673</f>
        <v>0</v>
      </c>
      <c r="AB673" s="272">
        <f>+'NI-San_SP'!AB673+'NI-Soc_SP'!AB673+'NI-Ric_SP'!AB673</f>
        <v>0</v>
      </c>
      <c r="AC673" s="272">
        <f>+'NI-San_SP'!AC673+'NI-Soc_SP'!AC673+'NI-Ric_SP'!AC673</f>
        <v>0</v>
      </c>
      <c r="AD673" s="272">
        <f>+'NI-San_SP'!AD673+'NI-Soc_SP'!AD673+'NI-Ric_SP'!AD673</f>
        <v>0</v>
      </c>
      <c r="AE673" s="272">
        <f>+'NI-San_SP'!AE673+'NI-Soc_SP'!AE673+'NI-Ric_SP'!AE673</f>
        <v>0</v>
      </c>
      <c r="AF673" s="272">
        <f>+'NI-San_SP'!AF673+'NI-Soc_SP'!AF673+'NI-Ric_SP'!AF673</f>
        <v>0</v>
      </c>
      <c r="AG673" s="272">
        <f>+'NI-San_SP'!AG673+'NI-Soc_SP'!AG673+'NI-Ric_SP'!AG673</f>
        <v>0</v>
      </c>
      <c r="AH673" s="272">
        <f>+'NI-San_SP'!AH673+'NI-Soc_SP'!AH673+'NI-Ric_SP'!AH673</f>
        <v>0</v>
      </c>
      <c r="AI673" s="272">
        <f>+'NI-San_SP'!AI673+'NI-Soc_SP'!AI673+'NI-Ric_SP'!AI673</f>
        <v>0</v>
      </c>
      <c r="AJ673" s="272">
        <f>+'NI-San_SP'!AJ673+'NI-Soc_SP'!AJ673+'NI-Ric_SP'!AJ673</f>
        <v>0</v>
      </c>
      <c r="AK673" s="272">
        <f>+'NI-San_SP'!AK673+'NI-Soc_SP'!AK673+'NI-Ric_SP'!AK673</f>
        <v>0</v>
      </c>
      <c r="AL673" s="272">
        <f>+'NI-San_SP'!AL673+'NI-Soc_SP'!AL673+'NI-Ric_SP'!AL673</f>
        <v>0</v>
      </c>
      <c r="AM673" s="272">
        <f>+'NI-San_SP'!AM673+'NI-Soc_SP'!AM673+'NI-Ric_SP'!AM673</f>
        <v>0</v>
      </c>
    </row>
    <row r="674" spans="1:39" s="204" customFormat="1" x14ac:dyDescent="0.25">
      <c r="B674" s="246" t="s">
        <v>1630</v>
      </c>
      <c r="C674" s="287" t="s">
        <v>1631</v>
      </c>
      <c r="D674" s="274" t="s">
        <v>3768</v>
      </c>
      <c r="E674" s="274"/>
      <c r="F674" s="274"/>
      <c r="G674" s="283"/>
      <c r="H674" s="266"/>
      <c r="I674" s="274"/>
      <c r="J674" s="281"/>
      <c r="K674" s="281"/>
      <c r="L674" s="379" t="s">
        <v>1633</v>
      </c>
      <c r="M674" s="284" t="s">
        <v>2962</v>
      </c>
      <c r="N674" s="269">
        <f t="shared" si="90"/>
        <v>0</v>
      </c>
      <c r="O674" s="270">
        <f t="shared" si="91"/>
        <v>0</v>
      </c>
      <c r="P674" s="271">
        <f t="shared" si="89"/>
        <v>0</v>
      </c>
      <c r="Q674" s="272">
        <f>+'NI-San_SP'!Q674+'NI-Soc_SP'!Q674+'NI-Ric_SP'!Q674</f>
        <v>0</v>
      </c>
      <c r="R674" s="272">
        <f>+'NI-San_SP'!R674+'NI-Soc_SP'!R674+'NI-Ric_SP'!R674</f>
        <v>0</v>
      </c>
      <c r="S674" s="272">
        <f>+'NI-San_SP'!S674+'NI-Soc_SP'!S674+'NI-Ric_SP'!S674</f>
        <v>0</v>
      </c>
      <c r="T674" s="272">
        <f>+'NI-San_SP'!T674+'NI-Soc_SP'!T674+'NI-Ric_SP'!T674</f>
        <v>0</v>
      </c>
      <c r="U674" s="272">
        <f>+'NI-San_SP'!U674+'NI-Soc_SP'!U674+'NI-Ric_SP'!U674</f>
        <v>0</v>
      </c>
      <c r="V674" s="272">
        <f>+'NI-San_SP'!V674+'NI-Soc_SP'!V674+'NI-Ric_SP'!V674</f>
        <v>0</v>
      </c>
      <c r="W674" s="272">
        <f>+'NI-San_SP'!W674+'NI-Soc_SP'!W674+'NI-Ric_SP'!W674</f>
        <v>0</v>
      </c>
      <c r="X674" s="272">
        <f>+'NI-San_SP'!X674+'NI-Soc_SP'!X674+'NI-Ric_SP'!X674</f>
        <v>0</v>
      </c>
      <c r="Y674" s="272">
        <f>+'NI-San_SP'!Y674+'NI-Soc_SP'!Y674+'NI-Ric_SP'!Y674</f>
        <v>0</v>
      </c>
      <c r="Z674" s="272">
        <f>+'NI-San_SP'!Z674+'NI-Soc_SP'!Z674+'NI-Ric_SP'!Z674</f>
        <v>0</v>
      </c>
      <c r="AA674" s="272">
        <f>+'NI-San_SP'!AA674+'NI-Soc_SP'!AA674+'NI-Ric_SP'!AA674</f>
        <v>0</v>
      </c>
      <c r="AB674" s="272">
        <f>+'NI-San_SP'!AB674+'NI-Soc_SP'!AB674+'NI-Ric_SP'!AB674</f>
        <v>0</v>
      </c>
      <c r="AC674" s="272">
        <f>+'NI-San_SP'!AC674+'NI-Soc_SP'!AC674+'NI-Ric_SP'!AC674</f>
        <v>0</v>
      </c>
      <c r="AD674" s="272">
        <f>+'NI-San_SP'!AD674+'NI-Soc_SP'!AD674+'NI-Ric_SP'!AD674</f>
        <v>0</v>
      </c>
      <c r="AE674" s="272">
        <f>+'NI-San_SP'!AE674+'NI-Soc_SP'!AE674+'NI-Ric_SP'!AE674</f>
        <v>0</v>
      </c>
      <c r="AF674" s="272">
        <f>+'NI-San_SP'!AF674+'NI-Soc_SP'!AF674+'NI-Ric_SP'!AF674</f>
        <v>0</v>
      </c>
      <c r="AG674" s="272">
        <f>+'NI-San_SP'!AG674+'NI-Soc_SP'!AG674+'NI-Ric_SP'!AG674</f>
        <v>0</v>
      </c>
      <c r="AH674" s="272">
        <f>+'NI-San_SP'!AH674+'NI-Soc_SP'!AH674+'NI-Ric_SP'!AH674</f>
        <v>0</v>
      </c>
      <c r="AI674" s="272">
        <f>+'NI-San_SP'!AI674+'NI-Soc_SP'!AI674+'NI-Ric_SP'!AI674</f>
        <v>0</v>
      </c>
      <c r="AJ674" s="272">
        <f>+'NI-San_SP'!AJ674+'NI-Soc_SP'!AJ674+'NI-Ric_SP'!AJ674</f>
        <v>0</v>
      </c>
      <c r="AK674" s="272">
        <f>+'NI-San_SP'!AK674+'NI-Soc_SP'!AK674+'NI-Ric_SP'!AK674</f>
        <v>0</v>
      </c>
      <c r="AL674" s="272">
        <f>+'NI-San_SP'!AL674+'NI-Soc_SP'!AL674+'NI-Ric_SP'!AL674</f>
        <v>0</v>
      </c>
      <c r="AM674" s="272">
        <f>+'NI-San_SP'!AM674+'NI-Soc_SP'!AM674+'NI-Ric_SP'!AM674</f>
        <v>0</v>
      </c>
    </row>
    <row r="675" spans="1:39" x14ac:dyDescent="0.25">
      <c r="A675" s="204"/>
      <c r="B675" s="246" t="s">
        <v>1634</v>
      </c>
      <c r="C675" s="287" t="s">
        <v>1635</v>
      </c>
      <c r="D675" s="274" t="s">
        <v>3769</v>
      </c>
      <c r="E675" s="274"/>
      <c r="F675" s="274"/>
      <c r="G675" s="283"/>
      <c r="H675" s="266"/>
      <c r="I675" s="274"/>
      <c r="J675" s="281"/>
      <c r="K675" s="281"/>
      <c r="L675" s="407" t="s">
        <v>1637</v>
      </c>
      <c r="M675" s="284" t="s">
        <v>2962</v>
      </c>
      <c r="N675" s="269">
        <f t="shared" si="90"/>
        <v>0</v>
      </c>
      <c r="O675" s="269">
        <f t="shared" si="91"/>
        <v>0</v>
      </c>
      <c r="P675" s="408">
        <f t="shared" si="89"/>
        <v>0</v>
      </c>
      <c r="Q675" s="272">
        <f>+'NI-San_SP'!Q675+'NI-Soc_SP'!Q675+'NI-Ric_SP'!Q675</f>
        <v>0</v>
      </c>
      <c r="R675" s="272">
        <f>+'NI-San_SP'!R675+'NI-Soc_SP'!R675+'NI-Ric_SP'!R675</f>
        <v>0</v>
      </c>
      <c r="S675" s="272">
        <f>+'NI-San_SP'!S675+'NI-Soc_SP'!S675+'NI-Ric_SP'!S675</f>
        <v>0</v>
      </c>
      <c r="T675" s="272">
        <f>+'NI-San_SP'!T675+'NI-Soc_SP'!T675+'NI-Ric_SP'!T675</f>
        <v>0</v>
      </c>
      <c r="U675" s="272">
        <f>+'NI-San_SP'!U675+'NI-Soc_SP'!U675+'NI-Ric_SP'!U675</f>
        <v>0</v>
      </c>
      <c r="V675" s="272">
        <f>+'NI-San_SP'!V675+'NI-Soc_SP'!V675+'NI-Ric_SP'!V675</f>
        <v>0</v>
      </c>
      <c r="W675" s="272">
        <f>+'NI-San_SP'!W675+'NI-Soc_SP'!W675+'NI-Ric_SP'!W675</f>
        <v>0</v>
      </c>
      <c r="X675" s="272">
        <f>+'NI-San_SP'!X675+'NI-Soc_SP'!X675+'NI-Ric_SP'!X675</f>
        <v>0</v>
      </c>
      <c r="Y675" s="272">
        <f>+'NI-San_SP'!Y675+'NI-Soc_SP'!Y675+'NI-Ric_SP'!Y675</f>
        <v>0</v>
      </c>
      <c r="Z675" s="272">
        <f>+'NI-San_SP'!Z675+'NI-Soc_SP'!Z675+'NI-Ric_SP'!Z675</f>
        <v>0</v>
      </c>
      <c r="AA675" s="272">
        <f>+'NI-San_SP'!AA675+'NI-Soc_SP'!AA675+'NI-Ric_SP'!AA675</f>
        <v>0</v>
      </c>
      <c r="AB675" s="272">
        <f>+'NI-San_SP'!AB675+'NI-Soc_SP'!AB675+'NI-Ric_SP'!AB675</f>
        <v>0</v>
      </c>
      <c r="AC675" s="272">
        <f>+'NI-San_SP'!AC675+'NI-Soc_SP'!AC675+'NI-Ric_SP'!AC675</f>
        <v>0</v>
      </c>
      <c r="AD675" s="272">
        <f>+'NI-San_SP'!AD675+'NI-Soc_SP'!AD675+'NI-Ric_SP'!AD675</f>
        <v>0</v>
      </c>
      <c r="AE675" s="272">
        <f>+'NI-San_SP'!AE675+'NI-Soc_SP'!AE675+'NI-Ric_SP'!AE675</f>
        <v>0</v>
      </c>
      <c r="AF675" s="272">
        <f>+'NI-San_SP'!AF675+'NI-Soc_SP'!AF675+'NI-Ric_SP'!AF675</f>
        <v>0</v>
      </c>
      <c r="AG675" s="272">
        <f>+'NI-San_SP'!AG675+'NI-Soc_SP'!AG675+'NI-Ric_SP'!AG675</f>
        <v>0</v>
      </c>
      <c r="AH675" s="272">
        <f>+'NI-San_SP'!AH675+'NI-Soc_SP'!AH675+'NI-Ric_SP'!AH675</f>
        <v>0</v>
      </c>
      <c r="AI675" s="272">
        <f>+'NI-San_SP'!AI675+'NI-Soc_SP'!AI675+'NI-Ric_SP'!AI675</f>
        <v>0</v>
      </c>
      <c r="AJ675" s="272">
        <f>+'NI-San_SP'!AJ675+'NI-Soc_SP'!AJ675+'NI-Ric_SP'!AJ675</f>
        <v>0</v>
      </c>
      <c r="AK675" s="272">
        <f>+'NI-San_SP'!AK675+'NI-Soc_SP'!AK675+'NI-Ric_SP'!AK675</f>
        <v>0</v>
      </c>
      <c r="AL675" s="272">
        <f>+'NI-San_SP'!AL675+'NI-Soc_SP'!AL675+'NI-Ric_SP'!AL675</f>
        <v>0</v>
      </c>
      <c r="AM675" s="272">
        <f>+'NI-San_SP'!AM675+'NI-Soc_SP'!AM675+'NI-Ric_SP'!AM675</f>
        <v>0</v>
      </c>
    </row>
    <row r="676" spans="1:39" ht="38.25" x14ac:dyDescent="0.25">
      <c r="A676" s="204" t="s">
        <v>1394</v>
      </c>
      <c r="B676" s="246" t="s">
        <v>1638</v>
      </c>
      <c r="C676" s="287" t="s">
        <v>1639</v>
      </c>
      <c r="D676" s="274"/>
      <c r="E676" s="274"/>
      <c r="F676" s="274"/>
      <c r="G676" s="283"/>
      <c r="H676" s="266"/>
      <c r="I676" s="274"/>
      <c r="J676" s="281"/>
      <c r="K676" s="281"/>
      <c r="L676" s="396" t="s">
        <v>1642</v>
      </c>
      <c r="M676" s="284" t="s">
        <v>2962</v>
      </c>
      <c r="N676" s="269">
        <f t="shared" si="90"/>
        <v>0</v>
      </c>
      <c r="O676" s="269">
        <f t="shared" si="91"/>
        <v>0</v>
      </c>
      <c r="P676" s="408">
        <f t="shared" si="89"/>
        <v>0</v>
      </c>
      <c r="Q676" s="272">
        <f>+'NI-San_SP'!Q676+'NI-Soc_SP'!Q676+'NI-Ric_SP'!Q676</f>
        <v>0</v>
      </c>
      <c r="R676" s="272">
        <f>+'NI-San_SP'!R676+'NI-Soc_SP'!R676+'NI-Ric_SP'!R676</f>
        <v>0</v>
      </c>
      <c r="S676" s="272">
        <f>+'NI-San_SP'!S676+'NI-Soc_SP'!S676+'NI-Ric_SP'!S676</f>
        <v>0</v>
      </c>
      <c r="T676" s="272">
        <f>+'NI-San_SP'!T676+'NI-Soc_SP'!T676+'NI-Ric_SP'!T676</f>
        <v>0</v>
      </c>
      <c r="U676" s="272">
        <f>+'NI-San_SP'!U676+'NI-Soc_SP'!U676+'NI-Ric_SP'!U676</f>
        <v>0</v>
      </c>
      <c r="V676" s="272">
        <f>+'NI-San_SP'!V676+'NI-Soc_SP'!V676+'NI-Ric_SP'!V676</f>
        <v>0</v>
      </c>
      <c r="W676" s="272">
        <f>+'NI-San_SP'!W676+'NI-Soc_SP'!W676+'NI-Ric_SP'!W676</f>
        <v>0</v>
      </c>
      <c r="X676" s="272">
        <f>+'NI-San_SP'!X676+'NI-Soc_SP'!X676+'NI-Ric_SP'!X676</f>
        <v>0</v>
      </c>
      <c r="Y676" s="272">
        <f>+'NI-San_SP'!Y676+'NI-Soc_SP'!Y676+'NI-Ric_SP'!Y676</f>
        <v>0</v>
      </c>
      <c r="Z676" s="272">
        <f>+'NI-San_SP'!Z676+'NI-Soc_SP'!Z676+'NI-Ric_SP'!Z676</f>
        <v>0</v>
      </c>
      <c r="AA676" s="272">
        <f>+'NI-San_SP'!AA676+'NI-Soc_SP'!AA676+'NI-Ric_SP'!AA676</f>
        <v>0</v>
      </c>
      <c r="AB676" s="272">
        <f>+'NI-San_SP'!AB676+'NI-Soc_SP'!AB676+'NI-Ric_SP'!AB676</f>
        <v>0</v>
      </c>
      <c r="AC676" s="272">
        <f>+'NI-San_SP'!AC676+'NI-Soc_SP'!AC676+'NI-Ric_SP'!AC676</f>
        <v>0</v>
      </c>
      <c r="AD676" s="272">
        <f>+'NI-San_SP'!AD676+'NI-Soc_SP'!AD676+'NI-Ric_SP'!AD676</f>
        <v>0</v>
      </c>
      <c r="AE676" s="272">
        <f>+'NI-San_SP'!AE676+'NI-Soc_SP'!AE676+'NI-Ric_SP'!AE676</f>
        <v>0</v>
      </c>
      <c r="AF676" s="272">
        <f>+'NI-San_SP'!AF676+'NI-Soc_SP'!AF676+'NI-Ric_SP'!AF676</f>
        <v>0</v>
      </c>
      <c r="AG676" s="272">
        <f>+'NI-San_SP'!AG676+'NI-Soc_SP'!AG676+'NI-Ric_SP'!AG676</f>
        <v>0</v>
      </c>
      <c r="AH676" s="272">
        <f>+'NI-San_SP'!AH676+'NI-Soc_SP'!AH676+'NI-Ric_SP'!AH676</f>
        <v>0</v>
      </c>
      <c r="AI676" s="272">
        <f>+'NI-San_SP'!AI676+'NI-Soc_SP'!AI676+'NI-Ric_SP'!AI676</f>
        <v>0</v>
      </c>
      <c r="AJ676" s="272">
        <f>+'NI-San_SP'!AJ676+'NI-Soc_SP'!AJ676+'NI-Ric_SP'!AJ676</f>
        <v>0</v>
      </c>
      <c r="AK676" s="272">
        <f>+'NI-San_SP'!AK676+'NI-Soc_SP'!AK676+'NI-Ric_SP'!AK676</f>
        <v>0</v>
      </c>
      <c r="AL676" s="272">
        <f>+'NI-San_SP'!AL676+'NI-Soc_SP'!AL676+'NI-Ric_SP'!AL676</f>
        <v>0</v>
      </c>
      <c r="AM676" s="272">
        <f>+'NI-San_SP'!AM676+'NI-Soc_SP'!AM676+'NI-Ric_SP'!AM676</f>
        <v>0</v>
      </c>
    </row>
    <row r="677" spans="1:39" s="204" customFormat="1" x14ac:dyDescent="0.25">
      <c r="B677" s="246" t="s">
        <v>1643</v>
      </c>
      <c r="C677" s="287" t="s">
        <v>1644</v>
      </c>
      <c r="D677" s="274" t="s">
        <v>3770</v>
      </c>
      <c r="E677" s="274"/>
      <c r="F677" s="274"/>
      <c r="G677" s="283"/>
      <c r="H677" s="266"/>
      <c r="I677" s="274"/>
      <c r="J677" s="281"/>
      <c r="K677" s="281"/>
      <c r="L677" s="295" t="s">
        <v>1647</v>
      </c>
      <c r="M677" s="284" t="s">
        <v>2962</v>
      </c>
      <c r="N677" s="269">
        <f t="shared" si="90"/>
        <v>105782</v>
      </c>
      <c r="O677" s="270">
        <f t="shared" si="91"/>
        <v>1057000</v>
      </c>
      <c r="P677" s="271">
        <f t="shared" si="89"/>
        <v>951218</v>
      </c>
      <c r="Q677" s="272">
        <f>+'NI-San_SP'!Q677+'NI-Soc_SP'!Q677+'NI-Ric_SP'!Q677</f>
        <v>0</v>
      </c>
      <c r="R677" s="272">
        <f>+'NI-San_SP'!R677+'NI-Soc_SP'!R677+'NI-Ric_SP'!R677</f>
        <v>105782</v>
      </c>
      <c r="S677" s="272">
        <f>+'NI-San_SP'!S677+'NI-Soc_SP'!S677+'NI-Ric_SP'!S677</f>
        <v>0</v>
      </c>
      <c r="T677" s="272">
        <f>+'NI-San_SP'!T677+'NI-Soc_SP'!T677+'NI-Ric_SP'!T677</f>
        <v>12429</v>
      </c>
      <c r="U677" s="272">
        <f>+'NI-San_SP'!U677+'NI-Soc_SP'!U677+'NI-Ric_SP'!U677</f>
        <v>1062985</v>
      </c>
      <c r="V677" s="272">
        <f>+'NI-San_SP'!V677+'NI-Soc_SP'!V677+'NI-Ric_SP'!V677</f>
        <v>38648</v>
      </c>
      <c r="W677" s="272">
        <f>+'NI-San_SP'!W677+'NI-Soc_SP'!W677+'NI-Ric_SP'!W677</f>
        <v>0</v>
      </c>
      <c r="X677" s="272">
        <f>+'NI-San_SP'!X677+'NI-Soc_SP'!X677+'NI-Ric_SP'!X677</f>
        <v>85548</v>
      </c>
      <c r="Y677" s="272">
        <f>+'NI-San_SP'!Y677+'NI-Soc_SP'!Y677+'NI-Ric_SP'!Y677</f>
        <v>1057000</v>
      </c>
      <c r="Z677" s="272">
        <f>+'NI-San_SP'!Z677+'NI-Soc_SP'!Z677+'NI-Ric_SP'!Z677</f>
        <v>96109</v>
      </c>
      <c r="AA677" s="272">
        <f>+'NI-San_SP'!AA677+'NI-Soc_SP'!AA677+'NI-Ric_SP'!AA677</f>
        <v>0</v>
      </c>
      <c r="AB677" s="272">
        <f>+'NI-San_SP'!AB677+'NI-Soc_SP'!AB677+'NI-Ric_SP'!AB677</f>
        <v>0</v>
      </c>
      <c r="AC677" s="272">
        <f>+'NI-San_SP'!AC677+'NI-Soc_SP'!AC677+'NI-Ric_SP'!AC677</f>
        <v>0</v>
      </c>
      <c r="AD677" s="272">
        <f>+'NI-San_SP'!AD677+'NI-Soc_SP'!AD677+'NI-Ric_SP'!AD677</f>
        <v>0</v>
      </c>
      <c r="AE677" s="272">
        <f>+'NI-San_SP'!AE677+'NI-Soc_SP'!AE677+'NI-Ric_SP'!AE677</f>
        <v>0</v>
      </c>
      <c r="AF677" s="272">
        <f>+'NI-San_SP'!AF677+'NI-Soc_SP'!AF677+'NI-Ric_SP'!AF677</f>
        <v>54381</v>
      </c>
      <c r="AG677" s="272">
        <f>+'NI-San_SP'!AG677+'NI-Soc_SP'!AG677+'NI-Ric_SP'!AG677</f>
        <v>0</v>
      </c>
      <c r="AH677" s="272">
        <f>+'NI-San_SP'!AH677+'NI-Soc_SP'!AH677+'NI-Ric_SP'!AH677</f>
        <v>9882</v>
      </c>
      <c r="AI677" s="272">
        <f>+'NI-San_SP'!AI677+'NI-Soc_SP'!AI677+'NI-Ric_SP'!AI677</f>
        <v>2873</v>
      </c>
      <c r="AJ677" s="272">
        <f>+'NI-San_SP'!AJ677+'NI-Soc_SP'!AJ677+'NI-Ric_SP'!AJ677</f>
        <v>989864</v>
      </c>
      <c r="AK677" s="272">
        <f>+'NI-San_SP'!AK677+'NI-Soc_SP'!AK677+'NI-Ric_SP'!AK677</f>
        <v>1057000</v>
      </c>
      <c r="AL677" s="272">
        <f>+'NI-San_SP'!AL677+'NI-Soc_SP'!AL677+'NI-Ric_SP'!AL677</f>
        <v>0</v>
      </c>
      <c r="AM677" s="272">
        <f>+'NI-San_SP'!AM677+'NI-Soc_SP'!AM677+'NI-Ric_SP'!AM677</f>
        <v>0</v>
      </c>
    </row>
    <row r="678" spans="1:39" s="204" customFormat="1" ht="25.5" x14ac:dyDescent="0.25">
      <c r="A678" s="204" t="s">
        <v>1394</v>
      </c>
      <c r="B678" s="246" t="s">
        <v>1648</v>
      </c>
      <c r="C678" s="287" t="s">
        <v>1649</v>
      </c>
      <c r="D678" s="226"/>
      <c r="E678" s="226"/>
      <c r="F678" s="226"/>
      <c r="G678" s="290"/>
      <c r="H678" s="227"/>
      <c r="I678" s="226"/>
      <c r="J678" s="409"/>
      <c r="K678" s="409"/>
      <c r="L678" s="396" t="s">
        <v>1651</v>
      </c>
      <c r="M678" s="284" t="s">
        <v>2962</v>
      </c>
      <c r="N678" s="269">
        <f t="shared" si="90"/>
        <v>0</v>
      </c>
      <c r="O678" s="270">
        <f t="shared" si="91"/>
        <v>0</v>
      </c>
      <c r="P678" s="271">
        <f t="shared" si="89"/>
        <v>0</v>
      </c>
      <c r="Q678" s="272">
        <f>+'NI-San_SP'!Q678+'NI-Soc_SP'!Q678+'NI-Ric_SP'!Q678</f>
        <v>0</v>
      </c>
      <c r="R678" s="272">
        <f>+'NI-San_SP'!R678+'NI-Soc_SP'!R678+'NI-Ric_SP'!R678</f>
        <v>0</v>
      </c>
      <c r="S678" s="272">
        <f>+'NI-San_SP'!S678+'NI-Soc_SP'!S678+'NI-Ric_SP'!S678</f>
        <v>0</v>
      </c>
      <c r="T678" s="272">
        <f>+'NI-San_SP'!T678+'NI-Soc_SP'!T678+'NI-Ric_SP'!T678</f>
        <v>0</v>
      </c>
      <c r="U678" s="272">
        <f>+'NI-San_SP'!U678+'NI-Soc_SP'!U678+'NI-Ric_SP'!U678</f>
        <v>0</v>
      </c>
      <c r="V678" s="272">
        <f>+'NI-San_SP'!V678+'NI-Soc_SP'!V678+'NI-Ric_SP'!V678</f>
        <v>0</v>
      </c>
      <c r="W678" s="272">
        <f>+'NI-San_SP'!W678+'NI-Soc_SP'!W678+'NI-Ric_SP'!W678</f>
        <v>0</v>
      </c>
      <c r="X678" s="272">
        <f>+'NI-San_SP'!X678+'NI-Soc_SP'!X678+'NI-Ric_SP'!X678</f>
        <v>0</v>
      </c>
      <c r="Y678" s="272">
        <f>+'NI-San_SP'!Y678+'NI-Soc_SP'!Y678+'NI-Ric_SP'!Y678</f>
        <v>0</v>
      </c>
      <c r="Z678" s="272">
        <f>+'NI-San_SP'!Z678+'NI-Soc_SP'!Z678+'NI-Ric_SP'!Z678</f>
        <v>0</v>
      </c>
      <c r="AA678" s="272">
        <f>+'NI-San_SP'!AA678+'NI-Soc_SP'!AA678+'NI-Ric_SP'!AA678</f>
        <v>0</v>
      </c>
      <c r="AB678" s="272">
        <f>+'NI-San_SP'!AB678+'NI-Soc_SP'!AB678+'NI-Ric_SP'!AB678</f>
        <v>0</v>
      </c>
      <c r="AC678" s="272">
        <f>+'NI-San_SP'!AC678+'NI-Soc_SP'!AC678+'NI-Ric_SP'!AC678</f>
        <v>0</v>
      </c>
      <c r="AD678" s="272">
        <f>+'NI-San_SP'!AD678+'NI-Soc_SP'!AD678+'NI-Ric_SP'!AD678</f>
        <v>0</v>
      </c>
      <c r="AE678" s="272">
        <f>+'NI-San_SP'!AE678+'NI-Soc_SP'!AE678+'NI-Ric_SP'!AE678</f>
        <v>0</v>
      </c>
      <c r="AF678" s="272">
        <f>+'NI-San_SP'!AF678+'NI-Soc_SP'!AF678+'NI-Ric_SP'!AF678</f>
        <v>0</v>
      </c>
      <c r="AG678" s="272">
        <f>+'NI-San_SP'!AG678+'NI-Soc_SP'!AG678+'NI-Ric_SP'!AG678</f>
        <v>0</v>
      </c>
      <c r="AH678" s="272">
        <f>+'NI-San_SP'!AH678+'NI-Soc_SP'!AH678+'NI-Ric_SP'!AH678</f>
        <v>0</v>
      </c>
      <c r="AI678" s="272">
        <f>+'NI-San_SP'!AI678+'NI-Soc_SP'!AI678+'NI-Ric_SP'!AI678</f>
        <v>0</v>
      </c>
      <c r="AJ678" s="272">
        <f>+'NI-San_SP'!AJ678+'NI-Soc_SP'!AJ678+'NI-Ric_SP'!AJ678</f>
        <v>0</v>
      </c>
      <c r="AK678" s="272">
        <f>+'NI-San_SP'!AK678+'NI-Soc_SP'!AK678+'NI-Ric_SP'!AK678</f>
        <v>0</v>
      </c>
      <c r="AL678" s="272">
        <f>+'NI-San_SP'!AL678+'NI-Soc_SP'!AL678+'NI-Ric_SP'!AL678</f>
        <v>0</v>
      </c>
      <c r="AM678" s="272">
        <f>+'NI-San_SP'!AM678+'NI-Soc_SP'!AM678+'NI-Ric_SP'!AM678</f>
        <v>0</v>
      </c>
    </row>
    <row r="679" spans="1:39" s="204" customFormat="1" ht="25.5" x14ac:dyDescent="0.25">
      <c r="A679" s="204" t="s">
        <v>1394</v>
      </c>
      <c r="B679" s="246" t="s">
        <v>1652</v>
      </c>
      <c r="C679" s="287" t="s">
        <v>1653</v>
      </c>
      <c r="D679" s="226"/>
      <c r="E679" s="226"/>
      <c r="F679" s="226"/>
      <c r="G679" s="290"/>
      <c r="H679" s="227"/>
      <c r="I679" s="226"/>
      <c r="J679" s="409"/>
      <c r="K679" s="409"/>
      <c r="L679" s="396" t="s">
        <v>1654</v>
      </c>
      <c r="M679" s="284" t="s">
        <v>2962</v>
      </c>
      <c r="N679" s="269">
        <f t="shared" si="90"/>
        <v>0</v>
      </c>
      <c r="O679" s="270">
        <f t="shared" si="91"/>
        <v>0</v>
      </c>
      <c r="P679" s="271">
        <f t="shared" si="89"/>
        <v>0</v>
      </c>
      <c r="Q679" s="272">
        <f>+'NI-San_SP'!Q679+'NI-Soc_SP'!Q679+'NI-Ric_SP'!Q679</f>
        <v>0</v>
      </c>
      <c r="R679" s="272">
        <f>+'NI-San_SP'!R679+'NI-Soc_SP'!R679+'NI-Ric_SP'!R679</f>
        <v>0</v>
      </c>
      <c r="S679" s="272">
        <f>+'NI-San_SP'!S679+'NI-Soc_SP'!S679+'NI-Ric_SP'!S679</f>
        <v>0</v>
      </c>
      <c r="T679" s="272">
        <f>+'NI-San_SP'!T679+'NI-Soc_SP'!T679+'NI-Ric_SP'!T679</f>
        <v>0</v>
      </c>
      <c r="U679" s="272">
        <f>+'NI-San_SP'!U679+'NI-Soc_SP'!U679+'NI-Ric_SP'!U679</f>
        <v>0</v>
      </c>
      <c r="V679" s="272">
        <f>+'NI-San_SP'!V679+'NI-Soc_SP'!V679+'NI-Ric_SP'!V679</f>
        <v>0</v>
      </c>
      <c r="W679" s="272">
        <f>+'NI-San_SP'!W679+'NI-Soc_SP'!W679+'NI-Ric_SP'!W679</f>
        <v>0</v>
      </c>
      <c r="X679" s="272">
        <f>+'NI-San_SP'!X679+'NI-Soc_SP'!X679+'NI-Ric_SP'!X679</f>
        <v>0</v>
      </c>
      <c r="Y679" s="272">
        <f>+'NI-San_SP'!Y679+'NI-Soc_SP'!Y679+'NI-Ric_SP'!Y679</f>
        <v>0</v>
      </c>
      <c r="Z679" s="272">
        <f>+'NI-San_SP'!Z679+'NI-Soc_SP'!Z679+'NI-Ric_SP'!Z679</f>
        <v>0</v>
      </c>
      <c r="AA679" s="272">
        <f>+'NI-San_SP'!AA679+'NI-Soc_SP'!AA679+'NI-Ric_SP'!AA679</f>
        <v>0</v>
      </c>
      <c r="AB679" s="272">
        <f>+'NI-San_SP'!AB679+'NI-Soc_SP'!AB679+'NI-Ric_SP'!AB679</f>
        <v>0</v>
      </c>
      <c r="AC679" s="272">
        <f>+'NI-San_SP'!AC679+'NI-Soc_SP'!AC679+'NI-Ric_SP'!AC679</f>
        <v>0</v>
      </c>
      <c r="AD679" s="272">
        <f>+'NI-San_SP'!AD679+'NI-Soc_SP'!AD679+'NI-Ric_SP'!AD679</f>
        <v>0</v>
      </c>
      <c r="AE679" s="272">
        <f>+'NI-San_SP'!AE679+'NI-Soc_SP'!AE679+'NI-Ric_SP'!AE679</f>
        <v>0</v>
      </c>
      <c r="AF679" s="272">
        <f>+'NI-San_SP'!AF679+'NI-Soc_SP'!AF679+'NI-Ric_SP'!AF679</f>
        <v>0</v>
      </c>
      <c r="AG679" s="272">
        <f>+'NI-San_SP'!AG679+'NI-Soc_SP'!AG679+'NI-Ric_SP'!AG679</f>
        <v>0</v>
      </c>
      <c r="AH679" s="272">
        <f>+'NI-San_SP'!AH679+'NI-Soc_SP'!AH679+'NI-Ric_SP'!AH679</f>
        <v>0</v>
      </c>
      <c r="AI679" s="272">
        <f>+'NI-San_SP'!AI679+'NI-Soc_SP'!AI679+'NI-Ric_SP'!AI679</f>
        <v>0</v>
      </c>
      <c r="AJ679" s="272">
        <f>+'NI-San_SP'!AJ679+'NI-Soc_SP'!AJ679+'NI-Ric_SP'!AJ679</f>
        <v>0</v>
      </c>
      <c r="AK679" s="272">
        <f>+'NI-San_SP'!AK679+'NI-Soc_SP'!AK679+'NI-Ric_SP'!AK679</f>
        <v>0</v>
      </c>
      <c r="AL679" s="272">
        <f>+'NI-San_SP'!AL679+'NI-Soc_SP'!AL679+'NI-Ric_SP'!AL679</f>
        <v>0</v>
      </c>
      <c r="AM679" s="272">
        <f>+'NI-San_SP'!AM679+'NI-Soc_SP'!AM679+'NI-Ric_SP'!AM679</f>
        <v>0</v>
      </c>
    </row>
    <row r="680" spans="1:39" s="204" customFormat="1" ht="25.5" x14ac:dyDescent="0.25">
      <c r="A680" s="204" t="s">
        <v>1394</v>
      </c>
      <c r="B680" s="246" t="s">
        <v>1655</v>
      </c>
      <c r="C680" s="287" t="s">
        <v>1656</v>
      </c>
      <c r="D680" s="226"/>
      <c r="E680" s="226"/>
      <c r="F680" s="226"/>
      <c r="G680" s="290"/>
      <c r="H680" s="227"/>
      <c r="I680" s="226"/>
      <c r="J680" s="409"/>
      <c r="K680" s="409"/>
      <c r="L680" s="396" t="s">
        <v>1657</v>
      </c>
      <c r="M680" s="284" t="s">
        <v>2962</v>
      </c>
      <c r="N680" s="269">
        <f t="shared" si="90"/>
        <v>0</v>
      </c>
      <c r="O680" s="270">
        <f t="shared" si="91"/>
        <v>0</v>
      </c>
      <c r="P680" s="271">
        <f t="shared" si="89"/>
        <v>0</v>
      </c>
      <c r="Q680" s="272">
        <f>+'NI-San_SP'!Q680+'NI-Soc_SP'!Q680+'NI-Ric_SP'!Q680</f>
        <v>0</v>
      </c>
      <c r="R680" s="272">
        <f>+'NI-San_SP'!R680+'NI-Soc_SP'!R680+'NI-Ric_SP'!R680</f>
        <v>0</v>
      </c>
      <c r="S680" s="272">
        <f>+'NI-San_SP'!S680+'NI-Soc_SP'!S680+'NI-Ric_SP'!S680</f>
        <v>0</v>
      </c>
      <c r="T680" s="272">
        <f>+'NI-San_SP'!T680+'NI-Soc_SP'!T680+'NI-Ric_SP'!T680</f>
        <v>0</v>
      </c>
      <c r="U680" s="272">
        <f>+'NI-San_SP'!U680+'NI-Soc_SP'!U680+'NI-Ric_SP'!U680</f>
        <v>0</v>
      </c>
      <c r="V680" s="272">
        <f>+'NI-San_SP'!V680+'NI-Soc_SP'!V680+'NI-Ric_SP'!V680</f>
        <v>0</v>
      </c>
      <c r="W680" s="272">
        <f>+'NI-San_SP'!W680+'NI-Soc_SP'!W680+'NI-Ric_SP'!W680</f>
        <v>0</v>
      </c>
      <c r="X680" s="272">
        <f>+'NI-San_SP'!X680+'NI-Soc_SP'!X680+'NI-Ric_SP'!X680</f>
        <v>0</v>
      </c>
      <c r="Y680" s="272">
        <f>+'NI-San_SP'!Y680+'NI-Soc_SP'!Y680+'NI-Ric_SP'!Y680</f>
        <v>0</v>
      </c>
      <c r="Z680" s="272">
        <f>+'NI-San_SP'!Z680+'NI-Soc_SP'!Z680+'NI-Ric_SP'!Z680</f>
        <v>0</v>
      </c>
      <c r="AA680" s="272">
        <f>+'NI-San_SP'!AA680+'NI-Soc_SP'!AA680+'NI-Ric_SP'!AA680</f>
        <v>0</v>
      </c>
      <c r="AB680" s="272">
        <f>+'NI-San_SP'!AB680+'NI-Soc_SP'!AB680+'NI-Ric_SP'!AB680</f>
        <v>0</v>
      </c>
      <c r="AC680" s="272">
        <f>+'NI-San_SP'!AC680+'NI-Soc_SP'!AC680+'NI-Ric_SP'!AC680</f>
        <v>0</v>
      </c>
      <c r="AD680" s="272">
        <f>+'NI-San_SP'!AD680+'NI-Soc_SP'!AD680+'NI-Ric_SP'!AD680</f>
        <v>0</v>
      </c>
      <c r="AE680" s="272">
        <f>+'NI-San_SP'!AE680+'NI-Soc_SP'!AE680+'NI-Ric_SP'!AE680</f>
        <v>0</v>
      </c>
      <c r="AF680" s="272">
        <f>+'NI-San_SP'!AF680+'NI-Soc_SP'!AF680+'NI-Ric_SP'!AF680</f>
        <v>0</v>
      </c>
      <c r="AG680" s="272">
        <f>+'NI-San_SP'!AG680+'NI-Soc_SP'!AG680+'NI-Ric_SP'!AG680</f>
        <v>0</v>
      </c>
      <c r="AH680" s="272">
        <f>+'NI-San_SP'!AH680+'NI-Soc_SP'!AH680+'NI-Ric_SP'!AH680</f>
        <v>0</v>
      </c>
      <c r="AI680" s="272">
        <f>+'NI-San_SP'!AI680+'NI-Soc_SP'!AI680+'NI-Ric_SP'!AI680</f>
        <v>0</v>
      </c>
      <c r="AJ680" s="272">
        <f>+'NI-San_SP'!AJ680+'NI-Soc_SP'!AJ680+'NI-Ric_SP'!AJ680</f>
        <v>0</v>
      </c>
      <c r="AK680" s="272">
        <f>+'NI-San_SP'!AK680+'NI-Soc_SP'!AK680+'NI-Ric_SP'!AK680</f>
        <v>0</v>
      </c>
      <c r="AL680" s="272">
        <f>+'NI-San_SP'!AL680+'NI-Soc_SP'!AL680+'NI-Ric_SP'!AL680</f>
        <v>0</v>
      </c>
      <c r="AM680" s="272">
        <f>+'NI-San_SP'!AM680+'NI-Soc_SP'!AM680+'NI-Ric_SP'!AM680</f>
        <v>0</v>
      </c>
    </row>
    <row r="681" spans="1:39" s="204" customFormat="1" x14ac:dyDescent="0.25">
      <c r="B681" s="211"/>
      <c r="C681" s="211"/>
      <c r="D681" s="211"/>
      <c r="E681" s="211"/>
      <c r="F681" s="211"/>
      <c r="G681" s="211"/>
      <c r="H681" s="353"/>
      <c r="I681" s="211"/>
      <c r="J681" s="211"/>
      <c r="K681" s="211"/>
      <c r="L681" s="232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Y681" s="211"/>
      <c r="Z681" s="211"/>
      <c r="AA681" s="211"/>
      <c r="AB681" s="211"/>
      <c r="AC681" s="211"/>
    </row>
    <row r="682" spans="1:39" s="204" customFormat="1" x14ac:dyDescent="0.25">
      <c r="B682" s="211"/>
      <c r="C682" s="211"/>
      <c r="D682" s="211"/>
      <c r="E682" s="211"/>
      <c r="F682" s="211"/>
      <c r="G682" s="211"/>
      <c r="H682" s="353"/>
      <c r="I682" s="211"/>
      <c r="J682" s="211"/>
      <c r="K682" s="211"/>
      <c r="L682" s="232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Y682" s="211"/>
      <c r="Z682" s="211"/>
      <c r="AA682" s="211"/>
      <c r="AB682" s="211"/>
      <c r="AC682" s="211"/>
    </row>
    <row r="683" spans="1:39" s="204" customFormat="1" x14ac:dyDescent="0.25">
      <c r="B683" s="211"/>
      <c r="C683" s="211"/>
      <c r="D683" s="211"/>
      <c r="E683" s="211"/>
      <c r="F683" s="211"/>
      <c r="G683" s="211"/>
      <c r="H683" s="353"/>
      <c r="I683" s="211"/>
      <c r="J683" s="211"/>
      <c r="K683" s="211"/>
      <c r="L683" s="232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Y683" s="211"/>
      <c r="Z683" s="211"/>
      <c r="AA683" s="211"/>
      <c r="AB683" s="211"/>
      <c r="AC683" s="211"/>
    </row>
    <row r="684" spans="1:39" s="204" customFormat="1" ht="25.5" x14ac:dyDescent="0.25">
      <c r="B684" s="211"/>
      <c r="C684" s="211"/>
      <c r="D684" s="211"/>
      <c r="E684" s="211"/>
      <c r="F684" s="211"/>
      <c r="G684" s="211"/>
      <c r="H684" s="353"/>
      <c r="I684" s="211"/>
      <c r="J684" s="211"/>
      <c r="K684" s="211"/>
      <c r="L684" s="255"/>
      <c r="M684" s="244"/>
      <c r="N684" s="256" t="str">
        <f>N$15</f>
        <v>Valore netto al 31/12/2019</v>
      </c>
      <c r="O684" s="256" t="str">
        <f>O$15</f>
        <v>Valore netto al 31/12/2020</v>
      </c>
      <c r="P684" s="256" t="str">
        <f>P$15</f>
        <v>Variazione</v>
      </c>
      <c r="Q684" s="211"/>
      <c r="R684" s="211"/>
      <c r="S684" s="211"/>
      <c r="T684" s="211"/>
      <c r="U684" s="211"/>
      <c r="V684" s="211"/>
      <c r="Y684" s="211"/>
      <c r="Z684" s="211"/>
      <c r="AA684" s="211"/>
      <c r="AB684" s="211"/>
      <c r="AC684" s="211"/>
    </row>
    <row r="685" spans="1:39" s="204" customFormat="1" ht="27" customHeight="1" x14ac:dyDescent="0.25">
      <c r="B685" s="246" t="s">
        <v>1658</v>
      </c>
      <c r="C685" s="292" t="s">
        <v>1659</v>
      </c>
      <c r="D685" s="247" t="s">
        <v>3771</v>
      </c>
      <c r="E685" s="247"/>
      <c r="F685" s="247"/>
      <c r="G685" s="247"/>
      <c r="H685" s="248"/>
      <c r="I685" s="247"/>
      <c r="J685" s="398"/>
      <c r="K685" s="399"/>
      <c r="L685" s="400" t="s">
        <v>1662</v>
      </c>
      <c r="M685" s="251" t="s">
        <v>2962</v>
      </c>
      <c r="N685" s="410">
        <f>+N689+N692+N693</f>
        <v>0</v>
      </c>
      <c r="O685" s="410">
        <f>+O689+O692+O693</f>
        <v>0</v>
      </c>
      <c r="P685" s="253">
        <f>+O685-N685</f>
        <v>0</v>
      </c>
      <c r="Q685" s="410">
        <f t="shared" ref="Q685:AM685" si="92">+Q689+Q692+Q693</f>
        <v>0</v>
      </c>
      <c r="R685" s="410">
        <f t="shared" si="92"/>
        <v>0</v>
      </c>
      <c r="S685" s="410">
        <f t="shared" si="92"/>
        <v>0</v>
      </c>
      <c r="T685" s="410">
        <f t="shared" si="92"/>
        <v>0</v>
      </c>
      <c r="U685" s="410">
        <f t="shared" si="92"/>
        <v>0</v>
      </c>
      <c r="V685" s="410">
        <f t="shared" si="92"/>
        <v>0</v>
      </c>
      <c r="W685" s="410">
        <f t="shared" si="92"/>
        <v>0</v>
      </c>
      <c r="X685" s="410">
        <f t="shared" si="92"/>
        <v>0</v>
      </c>
      <c r="Y685" s="410">
        <f t="shared" si="92"/>
        <v>0</v>
      </c>
      <c r="Z685" s="410">
        <f t="shared" si="92"/>
        <v>0</v>
      </c>
      <c r="AA685" s="410">
        <f t="shared" si="92"/>
        <v>0</v>
      </c>
      <c r="AB685" s="410">
        <f t="shared" si="92"/>
        <v>0</v>
      </c>
      <c r="AC685" s="410">
        <f t="shared" si="92"/>
        <v>0</v>
      </c>
      <c r="AD685" s="410">
        <f t="shared" si="92"/>
        <v>0</v>
      </c>
      <c r="AE685" s="410">
        <f t="shared" si="92"/>
        <v>0</v>
      </c>
      <c r="AF685" s="410">
        <f t="shared" si="92"/>
        <v>0</v>
      </c>
      <c r="AG685" s="410">
        <f t="shared" si="92"/>
        <v>0</v>
      </c>
      <c r="AH685" s="410">
        <f t="shared" si="92"/>
        <v>0</v>
      </c>
      <c r="AI685" s="410">
        <f t="shared" si="92"/>
        <v>0</v>
      </c>
      <c r="AJ685" s="410">
        <f t="shared" si="92"/>
        <v>0</v>
      </c>
      <c r="AK685" s="410">
        <f t="shared" si="92"/>
        <v>0</v>
      </c>
      <c r="AL685" s="410">
        <f t="shared" si="92"/>
        <v>0</v>
      </c>
      <c r="AM685" s="410">
        <f t="shared" si="92"/>
        <v>0</v>
      </c>
    </row>
    <row r="686" spans="1:39" s="204" customFormat="1" x14ac:dyDescent="0.25">
      <c r="B686" s="216"/>
      <c r="C686" s="216"/>
      <c r="D686" s="226"/>
      <c r="E686" s="226"/>
      <c r="F686" s="226"/>
      <c r="G686" s="226"/>
      <c r="H686" s="227"/>
      <c r="I686" s="226"/>
      <c r="J686" s="226"/>
      <c r="K686" s="226"/>
      <c r="L686" s="403"/>
      <c r="M686" s="278"/>
      <c r="N686" s="279"/>
      <c r="O686" s="279"/>
      <c r="P686" s="404"/>
      <c r="Q686" s="211"/>
      <c r="R686" s="279"/>
      <c r="S686" s="279"/>
      <c r="T686" s="279"/>
      <c r="U686" s="279"/>
      <c r="V686" s="279"/>
      <c r="Y686" s="279"/>
      <c r="Z686" s="211"/>
      <c r="AA686" s="211"/>
      <c r="AB686" s="211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1:39" s="204" customFormat="1" ht="25.5" customHeight="1" x14ac:dyDescent="0.25">
      <c r="B687" s="211"/>
      <c r="C687" s="211"/>
      <c r="D687" s="211"/>
      <c r="E687" s="211"/>
      <c r="F687" s="211"/>
      <c r="G687" s="211"/>
      <c r="H687" s="353"/>
      <c r="I687" s="211"/>
      <c r="J687" s="211"/>
      <c r="K687" s="211"/>
      <c r="L687" s="232"/>
      <c r="M687" s="211"/>
      <c r="N687" s="211"/>
      <c r="O687" s="211"/>
      <c r="P687" s="211"/>
      <c r="Q687" s="211"/>
      <c r="R687" s="211"/>
      <c r="S687" s="911" t="s">
        <v>3495</v>
      </c>
      <c r="T687" s="911"/>
      <c r="U687" s="397"/>
      <c r="V687" s="335" t="s">
        <v>3496</v>
      </c>
      <c r="W687" s="336"/>
      <c r="X687" s="335" t="s">
        <v>3496</v>
      </c>
      <c r="Z687" s="211"/>
      <c r="AA687" s="211"/>
      <c r="AB687" s="211"/>
      <c r="AC687" s="285"/>
      <c r="AD687" s="211"/>
      <c r="AE687" s="211"/>
      <c r="AF687" s="904" t="str">
        <f>+AF658</f>
        <v>VALORE NOMINALE DEI CREDITI AL 31/12/2020 PER ANNO DI FORMAZIONE</v>
      </c>
      <c r="AG687" s="904"/>
      <c r="AH687" s="904"/>
      <c r="AI687" s="904"/>
      <c r="AJ687" s="904"/>
      <c r="AK687" s="905" t="str">
        <f>+AK658</f>
        <v>VALORE NETTO DEI CREDITI AL 31/12/2020 PER SCADENZA</v>
      </c>
      <c r="AL687" s="905"/>
      <c r="AM687" s="905"/>
    </row>
    <row r="688" spans="1:39" s="204" customFormat="1" ht="51.75" customHeight="1" x14ac:dyDescent="0.25">
      <c r="B688" s="260" t="s">
        <v>2968</v>
      </c>
      <c r="C688" s="260" t="s">
        <v>2969</v>
      </c>
      <c r="D688" s="206" t="s">
        <v>72</v>
      </c>
      <c r="E688" s="206"/>
      <c r="F688" s="206"/>
      <c r="G688" s="207"/>
      <c r="H688" s="207"/>
      <c r="I688" s="207"/>
      <c r="J688" s="207" t="s">
        <v>2957</v>
      </c>
      <c r="K688" s="206" t="s">
        <v>82</v>
      </c>
      <c r="L688" s="261" t="s">
        <v>3670</v>
      </c>
      <c r="M688" s="256"/>
      <c r="N688" s="256" t="str">
        <f>N$15</f>
        <v>Valore netto al 31/12/2019</v>
      </c>
      <c r="O688" s="256" t="str">
        <f>O$15</f>
        <v>Valore netto al 31/12/2020</v>
      </c>
      <c r="P688" s="256" t="str">
        <f>P$15</f>
        <v>Variazione</v>
      </c>
      <c r="Q688" s="262" t="s">
        <v>2971</v>
      </c>
      <c r="R688" s="262" t="str">
        <f>+R659</f>
        <v>Valore iniziale LORDO al 31/12/2019</v>
      </c>
      <c r="S688" s="337"/>
      <c r="T688" s="337" t="s">
        <v>3497</v>
      </c>
      <c r="U688" s="337" t="s">
        <v>3495</v>
      </c>
      <c r="V688" s="338" t="s">
        <v>3498</v>
      </c>
      <c r="W688" s="262" t="s">
        <v>2975</v>
      </c>
      <c r="X688" s="338" t="s">
        <v>3499</v>
      </c>
      <c r="Y688" s="262" t="str">
        <f>+Y659</f>
        <v>Valore finale LORDO al 31/12/2020</v>
      </c>
      <c r="Z688" s="337" t="str">
        <f>+Z659</f>
        <v>Di cui Fatture da emettere</v>
      </c>
      <c r="AA688" s="262" t="str">
        <f>+AA659</f>
        <v>Fondo svalutazione crediti al 31/12/2019</v>
      </c>
      <c r="AB688" s="262" t="s">
        <v>3500</v>
      </c>
      <c r="AC688" s="262" t="s">
        <v>3501</v>
      </c>
      <c r="AD688" s="262" t="s">
        <v>3502</v>
      </c>
      <c r="AE688" s="262" t="str">
        <f>+AE659</f>
        <v>Fondo svalutazione crediti al 31/12/2020</v>
      </c>
      <c r="AF688" s="339" t="s">
        <v>3503</v>
      </c>
      <c r="AG688" s="339" t="s">
        <v>3504</v>
      </c>
      <c r="AH688" s="339" t="s">
        <v>3505</v>
      </c>
      <c r="AI688" s="339" t="s">
        <v>3506</v>
      </c>
      <c r="AJ688" s="339" t="s">
        <v>3507</v>
      </c>
      <c r="AK688" s="340" t="s">
        <v>3508</v>
      </c>
      <c r="AL688" s="340" t="s">
        <v>3509</v>
      </c>
      <c r="AM688" s="340" t="s">
        <v>3510</v>
      </c>
    </row>
    <row r="689" spans="2:55" s="204" customFormat="1" x14ac:dyDescent="0.25">
      <c r="B689" s="246" t="s">
        <v>1663</v>
      </c>
      <c r="C689" s="287" t="s">
        <v>1664</v>
      </c>
      <c r="D689" s="411" t="s">
        <v>3772</v>
      </c>
      <c r="E689" s="411"/>
      <c r="F689" s="411"/>
      <c r="G689" s="412"/>
      <c r="H689" s="413"/>
      <c r="I689" s="411"/>
      <c r="J689" s="411"/>
      <c r="K689" s="411"/>
      <c r="L689" s="407" t="s">
        <v>1666</v>
      </c>
      <c r="M689" s="284" t="s">
        <v>2962</v>
      </c>
      <c r="N689" s="272">
        <f>+N690+N691</f>
        <v>0</v>
      </c>
      <c r="O689" s="272">
        <f>+O690+O691</f>
        <v>0</v>
      </c>
      <c r="P689" s="378">
        <f>+O689-N689</f>
        <v>0</v>
      </c>
      <c r="Q689" s="272">
        <f>+'NI-San_SP'!Q689+'NI-Soc_SP'!Q689+'NI-Ric_SP'!Q689</f>
        <v>0</v>
      </c>
      <c r="R689" s="272">
        <f>+'NI-San_SP'!R689+'NI-Soc_SP'!R689+'NI-Ric_SP'!R689</f>
        <v>0</v>
      </c>
      <c r="S689" s="272">
        <f>+'NI-San_SP'!S689+'NI-Soc_SP'!S689+'NI-Ric_SP'!S689</f>
        <v>0</v>
      </c>
      <c r="T689" s="272">
        <f>+'NI-San_SP'!T689+'NI-Soc_SP'!T689+'NI-Ric_SP'!T689</f>
        <v>0</v>
      </c>
      <c r="U689" s="272">
        <f>+'NI-San_SP'!U689+'NI-Soc_SP'!U689+'NI-Ric_SP'!U689</f>
        <v>0</v>
      </c>
      <c r="V689" s="272">
        <f>+'NI-San_SP'!V689+'NI-Soc_SP'!V689+'NI-Ric_SP'!V689</f>
        <v>0</v>
      </c>
      <c r="W689" s="272">
        <f>+'NI-San_SP'!W689+'NI-Soc_SP'!W689+'NI-Ric_SP'!W689</f>
        <v>0</v>
      </c>
      <c r="X689" s="272">
        <f>+'NI-San_SP'!X689+'NI-Soc_SP'!X689+'NI-Ric_SP'!X689</f>
        <v>0</v>
      </c>
      <c r="Y689" s="272">
        <f>+'NI-San_SP'!Y689+'NI-Soc_SP'!Y689+'NI-Ric_SP'!Y689</f>
        <v>0</v>
      </c>
      <c r="Z689" s="272">
        <f>+'NI-San_SP'!Z689+'NI-Soc_SP'!Z689+'NI-Ric_SP'!Z689</f>
        <v>0</v>
      </c>
      <c r="AA689" s="272">
        <f>+'NI-San_SP'!AA689+'NI-Soc_SP'!AA689+'NI-Ric_SP'!AA689</f>
        <v>0</v>
      </c>
      <c r="AB689" s="272">
        <f>+'NI-San_SP'!AB689+'NI-Soc_SP'!AB689+'NI-Ric_SP'!AB689</f>
        <v>0</v>
      </c>
      <c r="AC689" s="272">
        <f>+'NI-San_SP'!AC689+'NI-Soc_SP'!AC689+'NI-Ric_SP'!AC689</f>
        <v>0</v>
      </c>
      <c r="AD689" s="272">
        <f>+'NI-San_SP'!AD689+'NI-Soc_SP'!AD689+'NI-Ric_SP'!AD689</f>
        <v>0</v>
      </c>
      <c r="AE689" s="272">
        <f>+'NI-San_SP'!AE689+'NI-Soc_SP'!AE689+'NI-Ric_SP'!AE689</f>
        <v>0</v>
      </c>
      <c r="AF689" s="272">
        <f>+'NI-San_SP'!AF689+'NI-Soc_SP'!AF689+'NI-Ric_SP'!AF689</f>
        <v>0</v>
      </c>
      <c r="AG689" s="272">
        <f>+'NI-San_SP'!AG689+'NI-Soc_SP'!AG689+'NI-Ric_SP'!AG689</f>
        <v>0</v>
      </c>
      <c r="AH689" s="272">
        <f>+'NI-San_SP'!AH689+'NI-Soc_SP'!AH689+'NI-Ric_SP'!AH689</f>
        <v>0</v>
      </c>
      <c r="AI689" s="272">
        <f>+'NI-San_SP'!AI689+'NI-Soc_SP'!AI689+'NI-Ric_SP'!AI689</f>
        <v>0</v>
      </c>
      <c r="AJ689" s="272">
        <f>+'NI-San_SP'!AJ689+'NI-Soc_SP'!AJ689+'NI-Ric_SP'!AJ689</f>
        <v>0</v>
      </c>
      <c r="AK689" s="272">
        <f>+'NI-San_SP'!AK689+'NI-Soc_SP'!AK689+'NI-Ric_SP'!AK689</f>
        <v>0</v>
      </c>
      <c r="AL689" s="272">
        <f>+'NI-San_SP'!AL689+'NI-Soc_SP'!AL689+'NI-Ric_SP'!AL689</f>
        <v>0</v>
      </c>
      <c r="AM689" s="272">
        <f>+'NI-San_SP'!AM689+'NI-Soc_SP'!AM689+'NI-Ric_SP'!AM689</f>
        <v>0</v>
      </c>
    </row>
    <row r="690" spans="2:55" s="204" customFormat="1" x14ac:dyDescent="0.25">
      <c r="B690" s="246" t="s">
        <v>1667</v>
      </c>
      <c r="C690" s="287" t="s">
        <v>1668</v>
      </c>
      <c r="D690" s="411" t="s">
        <v>3773</v>
      </c>
      <c r="E690" s="411"/>
      <c r="F690" s="411"/>
      <c r="G690" s="412"/>
      <c r="H690" s="413"/>
      <c r="I690" s="411"/>
      <c r="J690" s="411"/>
      <c r="K690" s="411"/>
      <c r="L690" s="392" t="s">
        <v>3774</v>
      </c>
      <c r="M690" s="284" t="s">
        <v>2962</v>
      </c>
      <c r="N690" s="269">
        <f>+R690-AA690</f>
        <v>0</v>
      </c>
      <c r="O690" s="270">
        <f>+Y690-AE690</f>
        <v>0</v>
      </c>
      <c r="P690" s="271">
        <f>+O690-N690</f>
        <v>0</v>
      </c>
      <c r="Q690" s="272">
        <f>+'NI-San_SP'!Q690+'NI-Soc_SP'!Q690+'NI-Ric_SP'!Q690</f>
        <v>0</v>
      </c>
      <c r="R690" s="272">
        <f>+'NI-San_SP'!R690+'NI-Soc_SP'!R690+'NI-Ric_SP'!R690</f>
        <v>0</v>
      </c>
      <c r="S690" s="272">
        <f>+'NI-San_SP'!S690+'NI-Soc_SP'!S690+'NI-Ric_SP'!S690</f>
        <v>0</v>
      </c>
      <c r="T690" s="272">
        <f>+'NI-San_SP'!T690+'NI-Soc_SP'!T690+'NI-Ric_SP'!T690</f>
        <v>0</v>
      </c>
      <c r="U690" s="272">
        <f>+'NI-San_SP'!U690+'NI-Soc_SP'!U690+'NI-Ric_SP'!U690</f>
        <v>0</v>
      </c>
      <c r="V690" s="272">
        <f>+'NI-San_SP'!V690+'NI-Soc_SP'!V690+'NI-Ric_SP'!V690</f>
        <v>0</v>
      </c>
      <c r="W690" s="272">
        <f>+'NI-San_SP'!W690+'NI-Soc_SP'!W690+'NI-Ric_SP'!W690</f>
        <v>0</v>
      </c>
      <c r="X690" s="272">
        <f>+'NI-San_SP'!X690+'NI-Soc_SP'!X690+'NI-Ric_SP'!X690</f>
        <v>0</v>
      </c>
      <c r="Y690" s="272">
        <f>+'NI-San_SP'!Y690+'NI-Soc_SP'!Y690+'NI-Ric_SP'!Y690</f>
        <v>0</v>
      </c>
      <c r="Z690" s="272">
        <f>+'NI-San_SP'!Z690+'NI-Soc_SP'!Z690+'NI-Ric_SP'!Z690</f>
        <v>0</v>
      </c>
      <c r="AA690" s="272">
        <f>+'NI-San_SP'!AA690+'NI-Soc_SP'!AA690+'NI-Ric_SP'!AA690</f>
        <v>0</v>
      </c>
      <c r="AB690" s="272">
        <f>+'NI-San_SP'!AB690+'NI-Soc_SP'!AB690+'NI-Ric_SP'!AB690</f>
        <v>0</v>
      </c>
      <c r="AC690" s="272">
        <f>+'NI-San_SP'!AC690+'NI-Soc_SP'!AC690+'NI-Ric_SP'!AC690</f>
        <v>0</v>
      </c>
      <c r="AD690" s="272">
        <f>+'NI-San_SP'!AD690+'NI-Soc_SP'!AD690+'NI-Ric_SP'!AD690</f>
        <v>0</v>
      </c>
      <c r="AE690" s="272">
        <f>+'NI-San_SP'!AE690+'NI-Soc_SP'!AE690+'NI-Ric_SP'!AE690</f>
        <v>0</v>
      </c>
      <c r="AF690" s="272">
        <f>+'NI-San_SP'!AF690+'NI-Soc_SP'!AF690+'NI-Ric_SP'!AF690</f>
        <v>0</v>
      </c>
      <c r="AG690" s="272">
        <f>+'NI-San_SP'!AG690+'NI-Soc_SP'!AG690+'NI-Ric_SP'!AG690</f>
        <v>0</v>
      </c>
      <c r="AH690" s="272">
        <f>+'NI-San_SP'!AH690+'NI-Soc_SP'!AH690+'NI-Ric_SP'!AH690</f>
        <v>0</v>
      </c>
      <c r="AI690" s="272">
        <f>+'NI-San_SP'!AI690+'NI-Soc_SP'!AI690+'NI-Ric_SP'!AI690</f>
        <v>0</v>
      </c>
      <c r="AJ690" s="272">
        <f>+'NI-San_SP'!AJ690+'NI-Soc_SP'!AJ690+'NI-Ric_SP'!AJ690</f>
        <v>0</v>
      </c>
      <c r="AK690" s="272">
        <f>+'NI-San_SP'!AK690+'NI-Soc_SP'!AK690+'NI-Ric_SP'!AK690</f>
        <v>0</v>
      </c>
      <c r="AL690" s="272">
        <f>+'NI-San_SP'!AL690+'NI-Soc_SP'!AL690+'NI-Ric_SP'!AL690</f>
        <v>0</v>
      </c>
      <c r="AM690" s="272">
        <f>+'NI-San_SP'!AM690+'NI-Soc_SP'!AM690+'NI-Ric_SP'!AM690</f>
        <v>0</v>
      </c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</row>
    <row r="691" spans="2:55" s="204" customFormat="1" x14ac:dyDescent="0.25">
      <c r="B691" s="246" t="s">
        <v>1670</v>
      </c>
      <c r="C691" s="287" t="s">
        <v>1671</v>
      </c>
      <c r="D691" s="411" t="s">
        <v>3775</v>
      </c>
      <c r="E691" s="411"/>
      <c r="F691" s="411"/>
      <c r="G691" s="412"/>
      <c r="H691" s="413"/>
      <c r="I691" s="411"/>
      <c r="J691" s="411"/>
      <c r="K691" s="411"/>
      <c r="L691" s="414" t="s">
        <v>3776</v>
      </c>
      <c r="M691" s="284" t="s">
        <v>2962</v>
      </c>
      <c r="N691" s="269">
        <f>+R691-AA691</f>
        <v>0</v>
      </c>
      <c r="O691" s="270">
        <f>+Y691-AE691</f>
        <v>0</v>
      </c>
      <c r="P691" s="271">
        <f>+O691-N691</f>
        <v>0</v>
      </c>
      <c r="Q691" s="272">
        <f>+'NI-San_SP'!Q691+'NI-Soc_SP'!Q691+'NI-Ric_SP'!Q691</f>
        <v>0</v>
      </c>
      <c r="R691" s="272">
        <f>+'NI-San_SP'!R691+'NI-Soc_SP'!R691+'NI-Ric_SP'!R691</f>
        <v>0</v>
      </c>
      <c r="S691" s="272">
        <f>+'NI-San_SP'!S691+'NI-Soc_SP'!S691+'NI-Ric_SP'!S691</f>
        <v>0</v>
      </c>
      <c r="T691" s="272">
        <f>+'NI-San_SP'!T691+'NI-Soc_SP'!T691+'NI-Ric_SP'!T691</f>
        <v>0</v>
      </c>
      <c r="U691" s="272">
        <f>+'NI-San_SP'!U691+'NI-Soc_SP'!U691+'NI-Ric_SP'!U691</f>
        <v>0</v>
      </c>
      <c r="V691" s="272">
        <f>+'NI-San_SP'!V691+'NI-Soc_SP'!V691+'NI-Ric_SP'!V691</f>
        <v>0</v>
      </c>
      <c r="W691" s="272">
        <f>+'NI-San_SP'!W691+'NI-Soc_SP'!W691+'NI-Ric_SP'!W691</f>
        <v>0</v>
      </c>
      <c r="X691" s="272">
        <f>+'NI-San_SP'!X691+'NI-Soc_SP'!X691+'NI-Ric_SP'!X691</f>
        <v>0</v>
      </c>
      <c r="Y691" s="272">
        <f>+'NI-San_SP'!Y691+'NI-Soc_SP'!Y691+'NI-Ric_SP'!Y691</f>
        <v>0</v>
      </c>
      <c r="Z691" s="272">
        <f>+'NI-San_SP'!Z691+'NI-Soc_SP'!Z691+'NI-Ric_SP'!Z691</f>
        <v>0</v>
      </c>
      <c r="AA691" s="272">
        <f>+'NI-San_SP'!AA691+'NI-Soc_SP'!AA691+'NI-Ric_SP'!AA691</f>
        <v>0</v>
      </c>
      <c r="AB691" s="272">
        <f>+'NI-San_SP'!AB691+'NI-Soc_SP'!AB691+'NI-Ric_SP'!AB691</f>
        <v>0</v>
      </c>
      <c r="AC691" s="272">
        <f>+'NI-San_SP'!AC691+'NI-Soc_SP'!AC691+'NI-Ric_SP'!AC691</f>
        <v>0</v>
      </c>
      <c r="AD691" s="272">
        <f>+'NI-San_SP'!AD691+'NI-Soc_SP'!AD691+'NI-Ric_SP'!AD691</f>
        <v>0</v>
      </c>
      <c r="AE691" s="272">
        <f>+'NI-San_SP'!AE691+'NI-Soc_SP'!AE691+'NI-Ric_SP'!AE691</f>
        <v>0</v>
      </c>
      <c r="AF691" s="272">
        <f>+'NI-San_SP'!AF691+'NI-Soc_SP'!AF691+'NI-Ric_SP'!AF691</f>
        <v>0</v>
      </c>
      <c r="AG691" s="272">
        <f>+'NI-San_SP'!AG691+'NI-Soc_SP'!AG691+'NI-Ric_SP'!AG691</f>
        <v>0</v>
      </c>
      <c r="AH691" s="272">
        <f>+'NI-San_SP'!AH691+'NI-Soc_SP'!AH691+'NI-Ric_SP'!AH691</f>
        <v>0</v>
      </c>
      <c r="AI691" s="272">
        <f>+'NI-San_SP'!AI691+'NI-Soc_SP'!AI691+'NI-Ric_SP'!AI691</f>
        <v>0</v>
      </c>
      <c r="AJ691" s="272">
        <f>+'NI-San_SP'!AJ691+'NI-Soc_SP'!AJ691+'NI-Ric_SP'!AJ691</f>
        <v>0</v>
      </c>
      <c r="AK691" s="272">
        <f>+'NI-San_SP'!AK691+'NI-Soc_SP'!AK691+'NI-Ric_SP'!AK691</f>
        <v>0</v>
      </c>
      <c r="AL691" s="272">
        <f>+'NI-San_SP'!AL691+'NI-Soc_SP'!AL691+'NI-Ric_SP'!AL691</f>
        <v>0</v>
      </c>
      <c r="AM691" s="272">
        <f>+'NI-San_SP'!AM691+'NI-Soc_SP'!AM691+'NI-Ric_SP'!AM691</f>
        <v>0</v>
      </c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</row>
    <row r="692" spans="2:55" s="204" customFormat="1" x14ac:dyDescent="0.25">
      <c r="B692" s="246" t="s">
        <v>1673</v>
      </c>
      <c r="C692" s="287" t="s">
        <v>1674</v>
      </c>
      <c r="D692" s="411" t="s">
        <v>3777</v>
      </c>
      <c r="E692" s="411"/>
      <c r="F692" s="411"/>
      <c r="G692" s="412"/>
      <c r="H692" s="413"/>
      <c r="I692" s="411"/>
      <c r="J692" s="411"/>
      <c r="K692" s="411"/>
      <c r="L692" s="287" t="s">
        <v>1676</v>
      </c>
      <c r="M692" s="284" t="s">
        <v>2962</v>
      </c>
      <c r="N692" s="269">
        <f>+R692-AA692</f>
        <v>0</v>
      </c>
      <c r="O692" s="270">
        <f>+Y692-AE692</f>
        <v>0</v>
      </c>
      <c r="P692" s="271">
        <f>+O692-N692</f>
        <v>0</v>
      </c>
      <c r="Q692" s="272">
        <f>+'NI-San_SP'!Q692+'NI-Soc_SP'!Q692+'NI-Ric_SP'!Q692</f>
        <v>0</v>
      </c>
      <c r="R692" s="272">
        <f>+'NI-San_SP'!R692+'NI-Soc_SP'!R692+'NI-Ric_SP'!R692</f>
        <v>0</v>
      </c>
      <c r="S692" s="272">
        <f>+'NI-San_SP'!S692+'NI-Soc_SP'!S692+'NI-Ric_SP'!S692</f>
        <v>0</v>
      </c>
      <c r="T692" s="272">
        <f>+'NI-San_SP'!T692+'NI-Soc_SP'!T692+'NI-Ric_SP'!T692</f>
        <v>0</v>
      </c>
      <c r="U692" s="272">
        <f>+'NI-San_SP'!U692+'NI-Soc_SP'!U692+'NI-Ric_SP'!U692</f>
        <v>0</v>
      </c>
      <c r="V692" s="272">
        <f>+'NI-San_SP'!V692+'NI-Soc_SP'!V692+'NI-Ric_SP'!V692</f>
        <v>0</v>
      </c>
      <c r="W692" s="272">
        <f>+'NI-San_SP'!W692+'NI-Soc_SP'!W692+'NI-Ric_SP'!W692</f>
        <v>0</v>
      </c>
      <c r="X692" s="272">
        <f>+'NI-San_SP'!X692+'NI-Soc_SP'!X692+'NI-Ric_SP'!X692</f>
        <v>0</v>
      </c>
      <c r="Y692" s="272">
        <f>+'NI-San_SP'!Y692+'NI-Soc_SP'!Y692+'NI-Ric_SP'!Y692</f>
        <v>0</v>
      </c>
      <c r="Z692" s="272">
        <f>+'NI-San_SP'!Z692+'NI-Soc_SP'!Z692+'NI-Ric_SP'!Z692</f>
        <v>0</v>
      </c>
      <c r="AA692" s="272">
        <f>+'NI-San_SP'!AA692+'NI-Soc_SP'!AA692+'NI-Ric_SP'!AA692</f>
        <v>0</v>
      </c>
      <c r="AB692" s="272">
        <f>+'NI-San_SP'!AB692+'NI-Soc_SP'!AB692+'NI-Ric_SP'!AB692</f>
        <v>0</v>
      </c>
      <c r="AC692" s="272">
        <f>+'NI-San_SP'!AC692+'NI-Soc_SP'!AC692+'NI-Ric_SP'!AC692</f>
        <v>0</v>
      </c>
      <c r="AD692" s="272">
        <f>+'NI-San_SP'!AD692+'NI-Soc_SP'!AD692+'NI-Ric_SP'!AD692</f>
        <v>0</v>
      </c>
      <c r="AE692" s="272">
        <f>+'NI-San_SP'!AE692+'NI-Soc_SP'!AE692+'NI-Ric_SP'!AE692</f>
        <v>0</v>
      </c>
      <c r="AF692" s="272">
        <f>+'NI-San_SP'!AF692+'NI-Soc_SP'!AF692+'NI-Ric_SP'!AF692</f>
        <v>0</v>
      </c>
      <c r="AG692" s="272">
        <f>+'NI-San_SP'!AG692+'NI-Soc_SP'!AG692+'NI-Ric_SP'!AG692</f>
        <v>0</v>
      </c>
      <c r="AH692" s="272">
        <f>+'NI-San_SP'!AH692+'NI-Soc_SP'!AH692+'NI-Ric_SP'!AH692</f>
        <v>0</v>
      </c>
      <c r="AI692" s="272">
        <f>+'NI-San_SP'!AI692+'NI-Soc_SP'!AI692+'NI-Ric_SP'!AI692</f>
        <v>0</v>
      </c>
      <c r="AJ692" s="272">
        <f>+'NI-San_SP'!AJ692+'NI-Soc_SP'!AJ692+'NI-Ric_SP'!AJ692</f>
        <v>0</v>
      </c>
      <c r="AK692" s="272">
        <f>+'NI-San_SP'!AK692+'NI-Soc_SP'!AK692+'NI-Ric_SP'!AK692</f>
        <v>0</v>
      </c>
      <c r="AL692" s="272">
        <f>+'NI-San_SP'!AL692+'NI-Soc_SP'!AL692+'NI-Ric_SP'!AL692</f>
        <v>0</v>
      </c>
      <c r="AM692" s="272">
        <f>+'NI-San_SP'!AM692+'NI-Soc_SP'!AM692+'NI-Ric_SP'!AM692</f>
        <v>0</v>
      </c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</row>
    <row r="693" spans="2:55" s="204" customFormat="1" x14ac:dyDescent="0.25">
      <c r="B693" s="246" t="s">
        <v>1677</v>
      </c>
      <c r="C693" s="287" t="s">
        <v>1678</v>
      </c>
      <c r="D693" s="411" t="s">
        <v>3778</v>
      </c>
      <c r="E693" s="411"/>
      <c r="F693" s="411"/>
      <c r="G693" s="412"/>
      <c r="H693" s="413"/>
      <c r="I693" s="411"/>
      <c r="J693" s="411"/>
      <c r="K693" s="411"/>
      <c r="L693" s="287" t="s">
        <v>1680</v>
      </c>
      <c r="M693" s="284" t="s">
        <v>2962</v>
      </c>
      <c r="N693" s="269">
        <f>+R693-AA693</f>
        <v>0</v>
      </c>
      <c r="O693" s="270">
        <f>+Y693-AE693</f>
        <v>0</v>
      </c>
      <c r="P693" s="271">
        <f>+O693-N693</f>
        <v>0</v>
      </c>
      <c r="Q693" s="272">
        <f>+'NI-San_SP'!Q693+'NI-Soc_SP'!Q693+'NI-Ric_SP'!Q693</f>
        <v>0</v>
      </c>
      <c r="R693" s="272">
        <f>+'NI-San_SP'!R693+'NI-Soc_SP'!R693+'NI-Ric_SP'!R693</f>
        <v>0</v>
      </c>
      <c r="S693" s="272">
        <f>+'NI-San_SP'!S693+'NI-Soc_SP'!S693+'NI-Ric_SP'!S693</f>
        <v>0</v>
      </c>
      <c r="T693" s="272">
        <f>+'NI-San_SP'!T693+'NI-Soc_SP'!T693+'NI-Ric_SP'!T693</f>
        <v>0</v>
      </c>
      <c r="U693" s="272">
        <f>+'NI-San_SP'!U693+'NI-Soc_SP'!U693+'NI-Ric_SP'!U693</f>
        <v>0</v>
      </c>
      <c r="V693" s="272">
        <f>+'NI-San_SP'!V693+'NI-Soc_SP'!V693+'NI-Ric_SP'!V693</f>
        <v>0</v>
      </c>
      <c r="W693" s="272">
        <f>+'NI-San_SP'!W693+'NI-Soc_SP'!W693+'NI-Ric_SP'!W693</f>
        <v>0</v>
      </c>
      <c r="X693" s="272">
        <f>+'NI-San_SP'!X693+'NI-Soc_SP'!X693+'NI-Ric_SP'!X693</f>
        <v>0</v>
      </c>
      <c r="Y693" s="272">
        <f>+'NI-San_SP'!Y693+'NI-Soc_SP'!Y693+'NI-Ric_SP'!Y693</f>
        <v>0</v>
      </c>
      <c r="Z693" s="272">
        <f>+'NI-San_SP'!Z693+'NI-Soc_SP'!Z693+'NI-Ric_SP'!Z693</f>
        <v>0</v>
      </c>
      <c r="AA693" s="272">
        <f>+'NI-San_SP'!AA693+'NI-Soc_SP'!AA693+'NI-Ric_SP'!AA693</f>
        <v>0</v>
      </c>
      <c r="AB693" s="272">
        <f>+'NI-San_SP'!AB693+'NI-Soc_SP'!AB693+'NI-Ric_SP'!AB693</f>
        <v>0</v>
      </c>
      <c r="AC693" s="272">
        <f>+'NI-San_SP'!AC693+'NI-Soc_SP'!AC693+'NI-Ric_SP'!AC693</f>
        <v>0</v>
      </c>
      <c r="AD693" s="272">
        <f>+'NI-San_SP'!AD693+'NI-Soc_SP'!AD693+'NI-Ric_SP'!AD693</f>
        <v>0</v>
      </c>
      <c r="AE693" s="272">
        <f>+'NI-San_SP'!AE693+'NI-Soc_SP'!AE693+'NI-Ric_SP'!AE693</f>
        <v>0</v>
      </c>
      <c r="AF693" s="272">
        <f>+'NI-San_SP'!AF693+'NI-Soc_SP'!AF693+'NI-Ric_SP'!AF693</f>
        <v>0</v>
      </c>
      <c r="AG693" s="272">
        <f>+'NI-San_SP'!AG693+'NI-Soc_SP'!AG693+'NI-Ric_SP'!AG693</f>
        <v>0</v>
      </c>
      <c r="AH693" s="272">
        <f>+'NI-San_SP'!AH693+'NI-Soc_SP'!AH693+'NI-Ric_SP'!AH693</f>
        <v>0</v>
      </c>
      <c r="AI693" s="272">
        <f>+'NI-San_SP'!AI693+'NI-Soc_SP'!AI693+'NI-Ric_SP'!AI693</f>
        <v>0</v>
      </c>
      <c r="AJ693" s="272">
        <f>+'NI-San_SP'!AJ693+'NI-Soc_SP'!AJ693+'NI-Ric_SP'!AJ693</f>
        <v>0</v>
      </c>
      <c r="AK693" s="272">
        <f>+'NI-San_SP'!AK693+'NI-Soc_SP'!AK693+'NI-Ric_SP'!AK693</f>
        <v>0</v>
      </c>
      <c r="AL693" s="272">
        <f>+'NI-San_SP'!AL693+'NI-Soc_SP'!AL693+'NI-Ric_SP'!AL693</f>
        <v>0</v>
      </c>
      <c r="AM693" s="272">
        <f>+'NI-San_SP'!AM693+'NI-Soc_SP'!AM693+'NI-Ric_SP'!AM693</f>
        <v>0</v>
      </c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</row>
    <row r="694" spans="2:55" s="204" customFormat="1" x14ac:dyDescent="0.25"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</row>
    <row r="695" spans="2:55" s="204" customFormat="1" ht="25.5" customHeight="1" x14ac:dyDescent="0.25">
      <c r="B695" s="211"/>
      <c r="C695" s="211"/>
      <c r="D695" s="211"/>
      <c r="E695" s="211"/>
      <c r="F695" s="211"/>
      <c r="G695" s="211"/>
      <c r="H695" s="353"/>
      <c r="I695" s="211"/>
      <c r="J695" s="211"/>
      <c r="K695" s="211"/>
      <c r="L695" s="232"/>
      <c r="M695" s="211"/>
      <c r="N695" s="211"/>
      <c r="O695" s="211"/>
      <c r="P695" s="211"/>
      <c r="Q695" s="211"/>
      <c r="R695" s="211"/>
      <c r="S695" s="910" t="s">
        <v>3495</v>
      </c>
      <c r="T695" s="910"/>
      <c r="U695" s="910"/>
      <c r="V695" s="335" t="s">
        <v>3496</v>
      </c>
      <c r="W695" s="336"/>
      <c r="X695" s="335" t="s">
        <v>3496</v>
      </c>
      <c r="Z695" s="211"/>
      <c r="AA695" s="211"/>
      <c r="AB695" s="211"/>
      <c r="AC695" s="285"/>
      <c r="AD695" s="211"/>
      <c r="AE695" s="211"/>
      <c r="AF695" s="904" t="str">
        <f>+AF687</f>
        <v>VALORE NOMINALE DEI CREDITI AL 31/12/2020 PER ANNO DI FORMAZIONE</v>
      </c>
      <c r="AG695" s="904"/>
      <c r="AH695" s="904"/>
      <c r="AI695" s="904"/>
      <c r="AJ695" s="904"/>
      <c r="AK695" s="905" t="str">
        <f>+AK687</f>
        <v>VALORE NETTO DEI CREDITI AL 31/12/2020 PER SCADENZA</v>
      </c>
      <c r="AL695" s="905"/>
      <c r="AM695" s="905"/>
    </row>
    <row r="696" spans="2:55" s="204" customFormat="1" ht="51" x14ac:dyDescent="0.25">
      <c r="B696" s="211"/>
      <c r="C696" s="211"/>
      <c r="D696" s="211"/>
      <c r="E696" s="211"/>
      <c r="F696" s="211"/>
      <c r="G696" s="211"/>
      <c r="H696" s="353"/>
      <c r="I696" s="211"/>
      <c r="J696" s="211"/>
      <c r="K696" s="211"/>
      <c r="L696" s="255"/>
      <c r="M696" s="244"/>
      <c r="N696" s="256" t="str">
        <f>N$15</f>
        <v>Valore netto al 31/12/2019</v>
      </c>
      <c r="O696" s="256" t="str">
        <f>O$15</f>
        <v>Valore netto al 31/12/2020</v>
      </c>
      <c r="P696" s="256" t="str">
        <f>P$15</f>
        <v>Variazione</v>
      </c>
      <c r="Q696" s="262" t="s">
        <v>2971</v>
      </c>
      <c r="R696" s="262" t="str">
        <f>+R688</f>
        <v>Valore iniziale LORDO al 31/12/2019</v>
      </c>
      <c r="S696" s="337" t="s">
        <v>3497</v>
      </c>
      <c r="T696" s="337" t="s">
        <v>3497</v>
      </c>
      <c r="U696" s="337" t="s">
        <v>3495</v>
      </c>
      <c r="V696" s="338" t="s">
        <v>3498</v>
      </c>
      <c r="W696" s="262" t="s">
        <v>2975</v>
      </c>
      <c r="X696" s="338" t="s">
        <v>3499</v>
      </c>
      <c r="Y696" s="262" t="str">
        <f>+Y688</f>
        <v>Valore finale LORDO al 31/12/2020</v>
      </c>
      <c r="Z696" s="337" t="str">
        <f>+Z688</f>
        <v>Di cui Fatture da emettere</v>
      </c>
      <c r="AA696" s="262" t="str">
        <f>+AA688</f>
        <v>Fondo svalutazione crediti al 31/12/2019</v>
      </c>
      <c r="AB696" s="262" t="s">
        <v>3500</v>
      </c>
      <c r="AC696" s="262" t="s">
        <v>3501</v>
      </c>
      <c r="AD696" s="262" t="s">
        <v>3502</v>
      </c>
      <c r="AE696" s="262" t="str">
        <f>+AE688</f>
        <v>Fondo svalutazione crediti al 31/12/2020</v>
      </c>
      <c r="AF696" s="339" t="s">
        <v>3503</v>
      </c>
      <c r="AG696" s="339" t="s">
        <v>3504</v>
      </c>
      <c r="AH696" s="339" t="s">
        <v>3505</v>
      </c>
      <c r="AI696" s="339" t="s">
        <v>3506</v>
      </c>
      <c r="AJ696" s="339" t="s">
        <v>3507</v>
      </c>
      <c r="AK696" s="340" t="s">
        <v>3508</v>
      </c>
      <c r="AL696" s="340" t="s">
        <v>3509</v>
      </c>
      <c r="AM696" s="340" t="s">
        <v>3510</v>
      </c>
    </row>
    <row r="697" spans="2:55" s="204" customFormat="1" x14ac:dyDescent="0.25">
      <c r="B697" s="246" t="s">
        <v>1681</v>
      </c>
      <c r="C697" s="292" t="s">
        <v>1682</v>
      </c>
      <c r="D697" s="247" t="s">
        <v>3779</v>
      </c>
      <c r="E697" s="247"/>
      <c r="F697" s="247"/>
      <c r="G697" s="247"/>
      <c r="H697" s="248"/>
      <c r="I697" s="247"/>
      <c r="J697" s="398"/>
      <c r="K697" s="399"/>
      <c r="L697" s="400" t="s">
        <v>2856</v>
      </c>
      <c r="M697" s="251" t="s">
        <v>2962</v>
      </c>
      <c r="N697" s="401">
        <f>+R697-AA697</f>
        <v>0</v>
      </c>
      <c r="O697" s="402">
        <f>+Y697-AE697</f>
        <v>1087</v>
      </c>
      <c r="P697" s="253">
        <f>+O697-N697</f>
        <v>1087</v>
      </c>
      <c r="Q697" s="272">
        <f>+'NI-San_SP'!Q697+'NI-Soc_SP'!Q697+'NI-Ric_SP'!Q697</f>
        <v>0</v>
      </c>
      <c r="R697" s="272">
        <f>+'NI-San_SP'!R697+'NI-Soc_SP'!R697+'NI-Ric_SP'!R697</f>
        <v>0</v>
      </c>
      <c r="S697" s="272">
        <f>+'NI-San_SP'!S697+'NI-Soc_SP'!S697+'NI-Ric_SP'!S697</f>
        <v>0</v>
      </c>
      <c r="T697" s="272">
        <f>+'NI-San_SP'!T697+'NI-Soc_SP'!T697+'NI-Ric_SP'!T697</f>
        <v>0</v>
      </c>
      <c r="U697" s="272">
        <f>+'NI-San_SP'!U697+'NI-Soc_SP'!U697+'NI-Ric_SP'!U697</f>
        <v>220911</v>
      </c>
      <c r="V697" s="272">
        <f>+'NI-San_SP'!V697+'NI-Soc_SP'!V697+'NI-Ric_SP'!V697</f>
        <v>0</v>
      </c>
      <c r="W697" s="272">
        <f>+'NI-San_SP'!W697+'NI-Soc_SP'!W697+'NI-Ric_SP'!W697</f>
        <v>0</v>
      </c>
      <c r="X697" s="272">
        <f>+'NI-San_SP'!X697+'NI-Soc_SP'!X697+'NI-Ric_SP'!X697</f>
        <v>219824</v>
      </c>
      <c r="Y697" s="272">
        <f>+'NI-San_SP'!Y697+'NI-Soc_SP'!Y697+'NI-Ric_SP'!Y697</f>
        <v>1087</v>
      </c>
      <c r="Z697" s="272">
        <f>+'NI-San_SP'!Z697+'NI-Soc_SP'!Z697+'NI-Ric_SP'!Z697</f>
        <v>0</v>
      </c>
      <c r="AA697" s="272">
        <f>+'NI-San_SP'!AA697+'NI-Soc_SP'!AA697+'NI-Ric_SP'!AA697</f>
        <v>0</v>
      </c>
      <c r="AB697" s="272">
        <f>+'NI-San_SP'!AB697+'NI-Soc_SP'!AB697+'NI-Ric_SP'!AB697</f>
        <v>0</v>
      </c>
      <c r="AC697" s="272">
        <f>+'NI-San_SP'!AC697+'NI-Soc_SP'!AC697+'NI-Ric_SP'!AC697</f>
        <v>0</v>
      </c>
      <c r="AD697" s="272">
        <f>+'NI-San_SP'!AD697+'NI-Soc_SP'!AD697+'NI-Ric_SP'!AD697</f>
        <v>0</v>
      </c>
      <c r="AE697" s="272">
        <f>+'NI-San_SP'!AE697+'NI-Soc_SP'!AE697+'NI-Ric_SP'!AE697</f>
        <v>0</v>
      </c>
      <c r="AF697" s="272">
        <f>+'NI-San_SP'!AF697+'NI-Soc_SP'!AF697+'NI-Ric_SP'!AF697</f>
        <v>0</v>
      </c>
      <c r="AG697" s="272">
        <f>+'NI-San_SP'!AG697+'NI-Soc_SP'!AG697+'NI-Ric_SP'!AG697</f>
        <v>0</v>
      </c>
      <c r="AH697" s="272">
        <f>+'NI-San_SP'!AH697+'NI-Soc_SP'!AH697+'NI-Ric_SP'!AH697</f>
        <v>0</v>
      </c>
      <c r="AI697" s="272">
        <f>+'NI-San_SP'!AI697+'NI-Soc_SP'!AI697+'NI-Ric_SP'!AI697</f>
        <v>0</v>
      </c>
      <c r="AJ697" s="272">
        <f>+'NI-San_SP'!AJ697+'NI-Soc_SP'!AJ697+'NI-Ric_SP'!AJ697</f>
        <v>1087</v>
      </c>
      <c r="AK697" s="272">
        <f>+'NI-San_SP'!AK697+'NI-Soc_SP'!AK697+'NI-Ric_SP'!AK697</f>
        <v>1087</v>
      </c>
      <c r="AL697" s="272">
        <f>+'NI-San_SP'!AL697+'NI-Soc_SP'!AL697+'NI-Ric_SP'!AL697</f>
        <v>0</v>
      </c>
      <c r="AM697" s="272">
        <f>+'NI-San_SP'!AM697+'NI-Soc_SP'!AM697+'NI-Ric_SP'!AM697</f>
        <v>0</v>
      </c>
    </row>
    <row r="698" spans="2:55" s="204" customFormat="1" x14ac:dyDescent="0.25"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</row>
    <row r="699" spans="2:55" s="204" customFormat="1" x14ac:dyDescent="0.25"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</row>
    <row r="700" spans="2:55" s="204" customFormat="1" x14ac:dyDescent="0.25">
      <c r="B700" s="211"/>
      <c r="C700" s="211"/>
      <c r="D700" s="211"/>
      <c r="E700" s="211"/>
      <c r="F700" s="211"/>
      <c r="G700" s="211"/>
      <c r="H700" s="353"/>
      <c r="I700" s="211"/>
      <c r="J700" s="211"/>
      <c r="K700" s="211"/>
      <c r="L700" s="232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Y700" s="211"/>
      <c r="Z700" s="211"/>
      <c r="AA700" s="211"/>
      <c r="AB700" s="211"/>
      <c r="AC700" s="211"/>
    </row>
    <row r="701" spans="2:55" s="204" customFormat="1" ht="25.5" x14ac:dyDescent="0.25">
      <c r="B701" s="211"/>
      <c r="C701" s="211"/>
      <c r="D701" s="211"/>
      <c r="E701" s="211"/>
      <c r="F701" s="211"/>
      <c r="G701" s="211"/>
      <c r="H701" s="353"/>
      <c r="I701" s="211"/>
      <c r="J701" s="211"/>
      <c r="K701" s="211"/>
      <c r="L701" s="255"/>
      <c r="M701" s="244"/>
      <c r="N701" s="256" t="str">
        <f>N$15</f>
        <v>Valore netto al 31/12/2019</v>
      </c>
      <c r="O701" s="256" t="str">
        <f>O$15</f>
        <v>Valore netto al 31/12/2020</v>
      </c>
      <c r="P701" s="256" t="str">
        <f>P$15</f>
        <v>Variazione</v>
      </c>
      <c r="Q701" s="211"/>
      <c r="R701" s="211"/>
      <c r="S701" s="211"/>
      <c r="T701" s="211"/>
      <c r="U701" s="211"/>
      <c r="V701" s="211"/>
      <c r="Y701" s="211"/>
      <c r="Z701" s="211"/>
      <c r="AA701" s="211"/>
      <c r="AB701" s="211"/>
      <c r="AC701" s="211"/>
    </row>
    <row r="702" spans="2:55" s="204" customFormat="1" x14ac:dyDescent="0.25">
      <c r="B702" s="246" t="s">
        <v>1687</v>
      </c>
      <c r="C702" s="292" t="s">
        <v>1688</v>
      </c>
      <c r="D702" s="247" t="s">
        <v>3780</v>
      </c>
      <c r="E702" s="247"/>
      <c r="F702" s="247"/>
      <c r="G702" s="247"/>
      <c r="H702" s="248"/>
      <c r="I702" s="247"/>
      <c r="J702" s="398"/>
      <c r="K702" s="399"/>
      <c r="L702" s="400" t="s">
        <v>1690</v>
      </c>
      <c r="M702" s="251" t="s">
        <v>2962</v>
      </c>
      <c r="N702" s="410">
        <f>+N707+N708+N709+N710+N711+N712+N722</f>
        <v>3075665</v>
      </c>
      <c r="O702" s="410">
        <f>+O707+O708+O709+O710+O711+O712+O722</f>
        <v>3236937</v>
      </c>
      <c r="P702" s="253">
        <f>+O702-N702</f>
        <v>161272</v>
      </c>
      <c r="Q702" s="410">
        <f t="shared" ref="Q702:AA702" si="93">+Q707+Q708+Q709+Q710+Q711+Q712+Q722</f>
        <v>0</v>
      </c>
      <c r="R702" s="410">
        <f t="shared" si="93"/>
        <v>3143156</v>
      </c>
      <c r="S702" s="410">
        <f t="shared" si="93"/>
        <v>0</v>
      </c>
      <c r="T702" s="410">
        <f t="shared" si="93"/>
        <v>0</v>
      </c>
      <c r="U702" s="410">
        <f t="shared" si="93"/>
        <v>11822531</v>
      </c>
      <c r="V702" s="410">
        <f t="shared" si="93"/>
        <v>2333966</v>
      </c>
      <c r="W702" s="410">
        <f t="shared" si="93"/>
        <v>0</v>
      </c>
      <c r="X702" s="410">
        <f t="shared" si="93"/>
        <v>9282260</v>
      </c>
      <c r="Y702" s="410">
        <f t="shared" si="93"/>
        <v>3349461</v>
      </c>
      <c r="Z702" s="410">
        <f t="shared" si="93"/>
        <v>652187</v>
      </c>
      <c r="AA702" s="410">
        <f t="shared" si="93"/>
        <v>67491</v>
      </c>
      <c r="AB702" s="410">
        <f t="shared" ref="AB702:AM702" si="94">+AC707+AC708+AC709+AC710+AC711+AC712+AC722</f>
        <v>6967</v>
      </c>
      <c r="AC702" s="410">
        <f t="shared" si="94"/>
        <v>52000</v>
      </c>
      <c r="AD702" s="410">
        <f t="shared" si="94"/>
        <v>112524</v>
      </c>
      <c r="AE702" s="410">
        <f t="shared" si="94"/>
        <v>99003</v>
      </c>
      <c r="AF702" s="410">
        <f t="shared" si="94"/>
        <v>29031</v>
      </c>
      <c r="AG702" s="410">
        <f t="shared" si="94"/>
        <v>52538</v>
      </c>
      <c r="AH702" s="410">
        <f t="shared" si="94"/>
        <v>390904</v>
      </c>
      <c r="AI702" s="410">
        <f t="shared" si="94"/>
        <v>2777985</v>
      </c>
      <c r="AJ702" s="410">
        <f t="shared" si="94"/>
        <v>3236937</v>
      </c>
      <c r="AK702" s="410">
        <f t="shared" si="94"/>
        <v>0</v>
      </c>
      <c r="AL702" s="410">
        <f t="shared" si="94"/>
        <v>0</v>
      </c>
      <c r="AM702" s="410">
        <f t="shared" si="94"/>
        <v>0</v>
      </c>
    </row>
    <row r="703" spans="2:55" s="204" customFormat="1" x14ac:dyDescent="0.25">
      <c r="B703" s="216"/>
      <c r="C703" s="216"/>
      <c r="D703" s="226"/>
      <c r="E703" s="226"/>
      <c r="F703" s="226"/>
      <c r="G703" s="226"/>
      <c r="H703" s="227"/>
      <c r="I703" s="226"/>
      <c r="J703" s="226"/>
      <c r="K703" s="226"/>
      <c r="L703" s="403"/>
      <c r="M703" s="278"/>
      <c r="N703" s="279"/>
      <c r="O703" s="279"/>
      <c r="P703" s="404"/>
      <c r="Q703" s="211"/>
      <c r="R703" s="279"/>
      <c r="S703" s="279"/>
      <c r="T703" s="279"/>
      <c r="U703" s="279"/>
      <c r="V703" s="279"/>
      <c r="Y703" s="279"/>
      <c r="Z703" s="211"/>
      <c r="AA703" s="211"/>
      <c r="AB703" s="211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55" s="204" customFormat="1" ht="25.5" customHeight="1" x14ac:dyDescent="0.25">
      <c r="B704" s="211"/>
      <c r="C704" s="211"/>
      <c r="D704" s="211"/>
      <c r="E704" s="211"/>
      <c r="F704" s="211"/>
      <c r="G704" s="211"/>
      <c r="H704" s="353"/>
      <c r="I704" s="211"/>
      <c r="J704" s="211"/>
      <c r="K704" s="211"/>
      <c r="L704" s="232"/>
      <c r="M704" s="211"/>
      <c r="N704" s="211"/>
      <c r="O704" s="211"/>
      <c r="P704" s="211"/>
      <c r="Q704" s="211"/>
      <c r="R704" s="211"/>
      <c r="S704" s="910" t="s">
        <v>3495</v>
      </c>
      <c r="T704" s="910"/>
      <c r="U704" s="910"/>
      <c r="V704" s="335" t="s">
        <v>3496</v>
      </c>
      <c r="W704" s="336"/>
      <c r="X704" s="335" t="s">
        <v>3496</v>
      </c>
      <c r="Z704" s="211"/>
      <c r="AA704" s="211"/>
      <c r="AB704" s="211"/>
      <c r="AC704" s="285"/>
      <c r="AD704" s="211"/>
      <c r="AE704" s="211"/>
      <c r="AF704" s="904" t="str">
        <f>+AF695</f>
        <v>VALORE NOMINALE DEI CREDITI AL 31/12/2020 PER ANNO DI FORMAZIONE</v>
      </c>
      <c r="AG704" s="904"/>
      <c r="AH704" s="904"/>
      <c r="AI704" s="904"/>
      <c r="AJ704" s="904"/>
      <c r="AK704" s="905" t="str">
        <f>+AK695</f>
        <v>VALORE NETTO DEI CREDITI AL 31/12/2020 PER SCADENZA</v>
      </c>
      <c r="AL704" s="905"/>
      <c r="AM704" s="905"/>
    </row>
    <row r="705" spans="2:55" s="204" customFormat="1" ht="51.75" customHeight="1" x14ac:dyDescent="0.25">
      <c r="B705" s="260" t="s">
        <v>2968</v>
      </c>
      <c r="C705" s="260" t="s">
        <v>2969</v>
      </c>
      <c r="D705" s="206" t="s">
        <v>72</v>
      </c>
      <c r="E705" s="206"/>
      <c r="F705" s="206"/>
      <c r="G705" s="207"/>
      <c r="H705" s="207"/>
      <c r="I705" s="207"/>
      <c r="J705" s="207" t="s">
        <v>2957</v>
      </c>
      <c r="K705" s="206" t="s">
        <v>82</v>
      </c>
      <c r="L705" s="261" t="s">
        <v>3670</v>
      </c>
      <c r="M705" s="256"/>
      <c r="N705" s="256" t="str">
        <f>N$15</f>
        <v>Valore netto al 31/12/2019</v>
      </c>
      <c r="O705" s="256" t="str">
        <f>O$15</f>
        <v>Valore netto al 31/12/2020</v>
      </c>
      <c r="P705" s="256" t="str">
        <f>P$15</f>
        <v>Variazione</v>
      </c>
      <c r="Q705" s="262" t="s">
        <v>2971</v>
      </c>
      <c r="R705" s="262" t="str">
        <f>+R696</f>
        <v>Valore iniziale LORDO al 31/12/2019</v>
      </c>
      <c r="S705" s="337" t="s">
        <v>3497</v>
      </c>
      <c r="T705" s="337" t="s">
        <v>3497</v>
      </c>
      <c r="U705" s="337" t="s">
        <v>3495</v>
      </c>
      <c r="V705" s="338" t="s">
        <v>3498</v>
      </c>
      <c r="W705" s="262" t="s">
        <v>2975</v>
      </c>
      <c r="X705" s="338" t="s">
        <v>3499</v>
      </c>
      <c r="Y705" s="262" t="str">
        <f>+Y696</f>
        <v>Valore finale LORDO al 31/12/2020</v>
      </c>
      <c r="Z705" s="337" t="str">
        <f>+Z696</f>
        <v>Di cui Fatture da emettere</v>
      </c>
      <c r="AA705" s="262" t="str">
        <f>+AA696</f>
        <v>Fondo svalutazione crediti al 31/12/2019</v>
      </c>
      <c r="AB705" s="262" t="s">
        <v>3500</v>
      </c>
      <c r="AC705" s="262" t="s">
        <v>3501</v>
      </c>
      <c r="AD705" s="262" t="s">
        <v>3502</v>
      </c>
      <c r="AE705" s="262" t="str">
        <f>+AE696</f>
        <v>Fondo svalutazione crediti al 31/12/2020</v>
      </c>
      <c r="AF705" s="339" t="s">
        <v>3503</v>
      </c>
      <c r="AG705" s="339" t="s">
        <v>3504</v>
      </c>
      <c r="AH705" s="339" t="s">
        <v>3505</v>
      </c>
      <c r="AI705" s="339" t="s">
        <v>3506</v>
      </c>
      <c r="AJ705" s="339" t="s">
        <v>3507</v>
      </c>
      <c r="AK705" s="340" t="s">
        <v>3508</v>
      </c>
      <c r="AL705" s="340" t="s">
        <v>3509</v>
      </c>
      <c r="AM705" s="340" t="s">
        <v>3510</v>
      </c>
    </row>
    <row r="706" spans="2:55" s="204" customFormat="1" x14ac:dyDescent="0.25">
      <c r="B706" s="246" t="s">
        <v>1691</v>
      </c>
      <c r="C706" s="287" t="s">
        <v>1692</v>
      </c>
      <c r="D706" s="274" t="s">
        <v>3781</v>
      </c>
      <c r="E706" s="274"/>
      <c r="F706" s="274"/>
      <c r="G706" s="283"/>
      <c r="H706" s="266"/>
      <c r="I706" s="274"/>
      <c r="J706" s="281"/>
      <c r="K706" s="281"/>
      <c r="L706" s="295" t="s">
        <v>1693</v>
      </c>
      <c r="M706" s="284" t="s">
        <v>2962</v>
      </c>
      <c r="N706" s="269">
        <f t="shared" ref="N706:N711" si="95">+R706-AA706</f>
        <v>0</v>
      </c>
      <c r="O706" s="270">
        <f>O707+O708</f>
        <v>2554509</v>
      </c>
      <c r="P706" s="271">
        <f t="shared" ref="P706:P724" si="96">+O706-N706</f>
        <v>2554509</v>
      </c>
      <c r="Q706" s="272">
        <f>+'NI-San_SP'!Q706+'NI-Soc_SP'!Q706+'NI-Ric_SP'!Q706</f>
        <v>0</v>
      </c>
      <c r="R706" s="272">
        <f>+'NI-San_SP'!R706+'NI-Soc_SP'!R706+'NI-Ric_SP'!R706</f>
        <v>0</v>
      </c>
      <c r="S706" s="272">
        <f>+'NI-San_SP'!S706+'NI-Soc_SP'!S706+'NI-Ric_SP'!S706</f>
        <v>0</v>
      </c>
      <c r="T706" s="272">
        <f>+'NI-San_SP'!T706+'NI-Soc_SP'!T706+'NI-Ric_SP'!T706</f>
        <v>0</v>
      </c>
      <c r="U706" s="272">
        <f>+'NI-San_SP'!U706+'NI-Soc_SP'!U706+'NI-Ric_SP'!U706</f>
        <v>0</v>
      </c>
      <c r="V706" s="272">
        <f>+'NI-San_SP'!V706+'NI-Soc_SP'!V706+'NI-Ric_SP'!V706</f>
        <v>0</v>
      </c>
      <c r="W706" s="272">
        <f>+'NI-San_SP'!W706+'NI-Soc_SP'!W706+'NI-Ric_SP'!W706</f>
        <v>0</v>
      </c>
      <c r="X706" s="272">
        <f>+'NI-San_SP'!X706+'NI-Soc_SP'!X706+'NI-Ric_SP'!X706</f>
        <v>0</v>
      </c>
      <c r="Y706" s="272">
        <f>+'NI-San_SP'!Y706+'NI-Soc_SP'!Y706+'NI-Ric_SP'!Y706</f>
        <v>0</v>
      </c>
      <c r="Z706" s="272">
        <f>+'NI-San_SP'!Z706+'NI-Soc_SP'!Z706+'NI-Ric_SP'!Z706</f>
        <v>0</v>
      </c>
      <c r="AA706" s="272">
        <f>+'NI-San_SP'!AA706+'NI-Soc_SP'!AA706+'NI-Ric_SP'!AA706</f>
        <v>0</v>
      </c>
      <c r="AB706" s="272">
        <f>+'NI-San_SP'!AB706+'NI-Soc_SP'!AB706+'NI-Ric_SP'!AB706</f>
        <v>0</v>
      </c>
      <c r="AC706" s="272">
        <f>+'NI-San_SP'!AC706+'NI-Soc_SP'!AC706+'NI-Ric_SP'!AC706</f>
        <v>0</v>
      </c>
      <c r="AD706" s="272">
        <f>+'NI-San_SP'!AD706+'NI-Soc_SP'!AD706+'NI-Ric_SP'!AD706</f>
        <v>0</v>
      </c>
      <c r="AE706" s="272">
        <f>+'NI-San_SP'!AE706+'NI-Soc_SP'!AE706+'NI-Ric_SP'!AE706</f>
        <v>0</v>
      </c>
      <c r="AF706" s="272">
        <f>+'NI-San_SP'!AF706+'NI-Soc_SP'!AF706+'NI-Ric_SP'!AF706</f>
        <v>0</v>
      </c>
      <c r="AG706" s="272">
        <f>+'NI-San_SP'!AG706+'NI-Soc_SP'!AG706+'NI-Ric_SP'!AG706</f>
        <v>0</v>
      </c>
      <c r="AH706" s="272">
        <f>+'NI-San_SP'!AH706+'NI-Soc_SP'!AH706+'NI-Ric_SP'!AH706</f>
        <v>0</v>
      </c>
      <c r="AI706" s="272">
        <f>+'NI-San_SP'!AI706+'NI-Soc_SP'!AI706+'NI-Ric_SP'!AI706</f>
        <v>0</v>
      </c>
      <c r="AJ706" s="272">
        <f>+'NI-San_SP'!AJ706+'NI-Soc_SP'!AJ706+'NI-Ric_SP'!AJ706</f>
        <v>0</v>
      </c>
      <c r="AK706" s="272">
        <f>+'NI-San_SP'!AK706+'NI-Soc_SP'!AK706+'NI-Ric_SP'!AK706</f>
        <v>0</v>
      </c>
      <c r="AL706" s="272">
        <f>+'NI-San_SP'!AL706+'NI-Soc_SP'!AL706+'NI-Ric_SP'!AL706</f>
        <v>0</v>
      </c>
      <c r="AM706" s="272">
        <f>+'NI-San_SP'!AM706+'NI-Soc_SP'!AM706+'NI-Ric_SP'!AM706</f>
        <v>0</v>
      </c>
    </row>
    <row r="707" spans="2:55" s="204" customFormat="1" x14ac:dyDescent="0.25">
      <c r="B707" s="246" t="s">
        <v>1694</v>
      </c>
      <c r="C707" s="287" t="s">
        <v>1695</v>
      </c>
      <c r="D707" s="274" t="s">
        <v>3781</v>
      </c>
      <c r="E707" s="274"/>
      <c r="F707" s="274"/>
      <c r="G707" s="283"/>
      <c r="H707" s="266"/>
      <c r="I707" s="274"/>
      <c r="J707" s="281"/>
      <c r="K707" s="281"/>
      <c r="L707" s="392" t="s">
        <v>3782</v>
      </c>
      <c r="M707" s="284" t="s">
        <v>2962</v>
      </c>
      <c r="N707" s="269">
        <f t="shared" si="95"/>
        <v>1236070</v>
      </c>
      <c r="O707" s="270">
        <f>+Y707-AE707</f>
        <v>2406565</v>
      </c>
      <c r="P707" s="271">
        <f t="shared" si="96"/>
        <v>1170495</v>
      </c>
      <c r="Q707" s="272">
        <f>+'NI-San_SP'!Q707+'NI-Soc_SP'!Q707+'NI-Ric_SP'!Q707</f>
        <v>0</v>
      </c>
      <c r="R707" s="272">
        <f>+'NI-San_SP'!R707+'NI-Soc_SP'!R707+'NI-Ric_SP'!R707</f>
        <v>1303561</v>
      </c>
      <c r="S707" s="272">
        <f>+'NI-San_SP'!S707+'NI-Soc_SP'!S707+'NI-Ric_SP'!S707</f>
        <v>0</v>
      </c>
      <c r="T707" s="272">
        <f>+'NI-San_SP'!T707+'NI-Soc_SP'!T707+'NI-Ric_SP'!T707</f>
        <v>0</v>
      </c>
      <c r="U707" s="272">
        <f>+'NI-San_SP'!U707+'NI-Soc_SP'!U707+'NI-Ric_SP'!U707</f>
        <v>8336124</v>
      </c>
      <c r="V707" s="272">
        <f>+'NI-San_SP'!V707+'NI-Soc_SP'!V707+'NI-Ric_SP'!V707</f>
        <v>718430</v>
      </c>
      <c r="W707" s="272">
        <f>+'NI-San_SP'!W707+'NI-Soc_SP'!W707+'NI-Ric_SP'!W707</f>
        <v>0</v>
      </c>
      <c r="X707" s="272">
        <f>+'NI-San_SP'!X707+'NI-Soc_SP'!X707+'NI-Ric_SP'!X707</f>
        <v>6402166</v>
      </c>
      <c r="Y707" s="272">
        <f>+'NI-San_SP'!Y707+'NI-Soc_SP'!Y707+'NI-Ric_SP'!Y707</f>
        <v>2519089</v>
      </c>
      <c r="Z707" s="272">
        <f>+'NI-San_SP'!Z707+'NI-Soc_SP'!Z707+'NI-Ric_SP'!Z707</f>
        <v>631039</v>
      </c>
      <c r="AA707" s="272">
        <f>+'NI-San_SP'!AA707+'NI-Soc_SP'!AA707+'NI-Ric_SP'!AA707</f>
        <v>67491</v>
      </c>
      <c r="AB707" s="272">
        <f>+'NI-San_SP'!AB707+'NI-Soc_SP'!AB707+'NI-Ric_SP'!AB707</f>
        <v>0</v>
      </c>
      <c r="AC707" s="272">
        <f>+'NI-San_SP'!AC707+'NI-Soc_SP'!AC707+'NI-Ric_SP'!AC707</f>
        <v>6967</v>
      </c>
      <c r="AD707" s="272">
        <f>+'NI-San_SP'!AD707+'NI-Soc_SP'!AD707+'NI-Ric_SP'!AD707</f>
        <v>52000</v>
      </c>
      <c r="AE707" s="272">
        <f>+'NI-San_SP'!AE707+'NI-Soc_SP'!AE707+'NI-Ric_SP'!AE707</f>
        <v>112524</v>
      </c>
      <c r="AF707" s="272">
        <f>+'NI-San_SP'!AF707+'NI-Soc_SP'!AF707+'NI-Ric_SP'!AF707</f>
        <v>99003</v>
      </c>
      <c r="AG707" s="272">
        <f>+'NI-San_SP'!AG707+'NI-Soc_SP'!AG707+'NI-Ric_SP'!AG707</f>
        <v>29031</v>
      </c>
      <c r="AH707" s="272">
        <f>+'NI-San_SP'!AH707+'NI-Soc_SP'!AH707+'NI-Ric_SP'!AH707</f>
        <v>52538</v>
      </c>
      <c r="AI707" s="272">
        <f>+'NI-San_SP'!AI707+'NI-Soc_SP'!AI707+'NI-Ric_SP'!AI707</f>
        <v>337068</v>
      </c>
      <c r="AJ707" s="272">
        <f>+'NI-San_SP'!AJ707+'NI-Soc_SP'!AJ707+'NI-Ric_SP'!AJ707</f>
        <v>2001449</v>
      </c>
      <c r="AK707" s="272">
        <f>+'NI-San_SP'!AK707+'NI-Soc_SP'!AK707+'NI-Ric_SP'!AK707</f>
        <v>2406565</v>
      </c>
      <c r="AL707" s="272">
        <f>+'NI-San_SP'!AL707+'NI-Soc_SP'!AL707+'NI-Ric_SP'!AL707</f>
        <v>0</v>
      </c>
      <c r="AM707" s="272">
        <f>+'NI-San_SP'!AM707+'NI-Soc_SP'!AM707+'NI-Ric_SP'!AM707</f>
        <v>0</v>
      </c>
    </row>
    <row r="708" spans="2:55" s="204" customFormat="1" x14ac:dyDescent="0.25">
      <c r="B708" s="246" t="s">
        <v>3783</v>
      </c>
      <c r="C708" s="287" t="s">
        <v>1699</v>
      </c>
      <c r="D708" s="274" t="s">
        <v>3781</v>
      </c>
      <c r="E708" s="274"/>
      <c r="F708" s="274"/>
      <c r="G708" s="283"/>
      <c r="H708" s="266"/>
      <c r="I708" s="274"/>
      <c r="J708" s="281"/>
      <c r="K708" s="281"/>
      <c r="L708" s="392" t="s">
        <v>3784</v>
      </c>
      <c r="M708" s="284" t="s">
        <v>2962</v>
      </c>
      <c r="N708" s="269">
        <f t="shared" si="95"/>
        <v>901238</v>
      </c>
      <c r="O708" s="270">
        <f>+Y708-AE708</f>
        <v>147944</v>
      </c>
      <c r="P708" s="271">
        <f t="shared" si="96"/>
        <v>-753294</v>
      </c>
      <c r="Q708" s="272">
        <f>+'NI-San_SP'!Q708+'NI-Soc_SP'!Q708+'NI-Ric_SP'!Q708</f>
        <v>0</v>
      </c>
      <c r="R708" s="272">
        <f>+'NI-San_SP'!R708+'NI-Soc_SP'!R708+'NI-Ric_SP'!R708</f>
        <v>901238</v>
      </c>
      <c r="S708" s="272">
        <f>+'NI-San_SP'!S708+'NI-Soc_SP'!S708+'NI-Ric_SP'!S708</f>
        <v>0</v>
      </c>
      <c r="T708" s="272">
        <f>+'NI-San_SP'!T708+'NI-Soc_SP'!T708+'NI-Ric_SP'!T708</f>
        <v>0</v>
      </c>
      <c r="U708" s="272">
        <f>+'NI-San_SP'!U708+'NI-Soc_SP'!U708+'NI-Ric_SP'!U708</f>
        <v>147944</v>
      </c>
      <c r="V708" s="272">
        <f>+'NI-San_SP'!V708+'NI-Soc_SP'!V708+'NI-Ric_SP'!V708</f>
        <v>901238</v>
      </c>
      <c r="W708" s="272">
        <f>+'NI-San_SP'!W708+'NI-Soc_SP'!W708+'NI-Ric_SP'!W708</f>
        <v>0</v>
      </c>
      <c r="X708" s="272">
        <f>+'NI-San_SP'!X708+'NI-Soc_SP'!X708+'NI-Ric_SP'!X708</f>
        <v>0</v>
      </c>
      <c r="Y708" s="272">
        <f>+'NI-San_SP'!Y708+'NI-Soc_SP'!Y708+'NI-Ric_SP'!Y708</f>
        <v>147944</v>
      </c>
      <c r="Z708" s="272">
        <f>+'NI-San_SP'!Z708+'NI-Soc_SP'!Z708+'NI-Ric_SP'!Z708</f>
        <v>0</v>
      </c>
      <c r="AA708" s="272">
        <f>+'NI-San_SP'!AA708+'NI-Soc_SP'!AA708+'NI-Ric_SP'!AA708</f>
        <v>0</v>
      </c>
      <c r="AB708" s="272">
        <f>+'NI-San_SP'!AB708+'NI-Soc_SP'!AB708+'NI-Ric_SP'!AB708</f>
        <v>0</v>
      </c>
      <c r="AC708" s="272">
        <f>+'NI-San_SP'!AC708+'NI-Soc_SP'!AC708+'NI-Ric_SP'!AC708</f>
        <v>0</v>
      </c>
      <c r="AD708" s="272">
        <f>+'NI-San_SP'!AD708+'NI-Soc_SP'!AD708+'NI-Ric_SP'!AD708</f>
        <v>0</v>
      </c>
      <c r="AE708" s="272">
        <f>+'NI-San_SP'!AE708+'NI-Soc_SP'!AE708+'NI-Ric_SP'!AE708</f>
        <v>0</v>
      </c>
      <c r="AF708" s="272">
        <f>+'NI-San_SP'!AF708+'NI-Soc_SP'!AF708+'NI-Ric_SP'!AF708</f>
        <v>0</v>
      </c>
      <c r="AG708" s="272">
        <f>+'NI-San_SP'!AG708+'NI-Soc_SP'!AG708+'NI-Ric_SP'!AG708</f>
        <v>0</v>
      </c>
      <c r="AH708" s="272">
        <f>+'NI-San_SP'!AH708+'NI-Soc_SP'!AH708+'NI-Ric_SP'!AH708</f>
        <v>0</v>
      </c>
      <c r="AI708" s="272">
        <f>+'NI-San_SP'!AI708+'NI-Soc_SP'!AI708+'NI-Ric_SP'!AI708</f>
        <v>0</v>
      </c>
      <c r="AJ708" s="272">
        <f>+'NI-San_SP'!AJ708+'NI-Soc_SP'!AJ708+'NI-Ric_SP'!AJ708</f>
        <v>147944</v>
      </c>
      <c r="AK708" s="272">
        <f>+'NI-San_SP'!AK708+'NI-Soc_SP'!AK708+'NI-Ric_SP'!AK708</f>
        <v>147944</v>
      </c>
      <c r="AL708" s="272">
        <f>+'NI-San_SP'!AL708+'NI-Soc_SP'!AL708+'NI-Ric_SP'!AL708</f>
        <v>0</v>
      </c>
      <c r="AM708" s="272">
        <f>+'NI-San_SP'!AM708+'NI-Soc_SP'!AM708+'NI-Ric_SP'!AM708</f>
        <v>0</v>
      </c>
    </row>
    <row r="709" spans="2:55" s="204" customFormat="1" x14ac:dyDescent="0.25">
      <c r="B709" s="246" t="s">
        <v>1701</v>
      </c>
      <c r="C709" s="287" t="s">
        <v>1702</v>
      </c>
      <c r="D709" s="274" t="s">
        <v>3785</v>
      </c>
      <c r="E709" s="274"/>
      <c r="F709" s="274"/>
      <c r="G709" s="283"/>
      <c r="H709" s="266"/>
      <c r="I709" s="274"/>
      <c r="J709" s="281"/>
      <c r="K709" s="281"/>
      <c r="L709" s="295" t="s">
        <v>3786</v>
      </c>
      <c r="M709" s="284" t="s">
        <v>2962</v>
      </c>
      <c r="N709" s="269">
        <f t="shared" si="95"/>
        <v>0</v>
      </c>
      <c r="O709" s="270">
        <f>+Y709-AE709</f>
        <v>0</v>
      </c>
      <c r="P709" s="271">
        <f t="shared" si="96"/>
        <v>0</v>
      </c>
      <c r="Q709" s="272">
        <f>+'NI-San_SP'!Q709+'NI-Soc_SP'!Q709+'NI-Ric_SP'!Q709</f>
        <v>0</v>
      </c>
      <c r="R709" s="272">
        <f>+'NI-San_SP'!R709+'NI-Soc_SP'!R709+'NI-Ric_SP'!R709</f>
        <v>0</v>
      </c>
      <c r="S709" s="272">
        <f>+'NI-San_SP'!S709+'NI-Soc_SP'!S709+'NI-Ric_SP'!S709</f>
        <v>0</v>
      </c>
      <c r="T709" s="272">
        <f>+'NI-San_SP'!T709+'NI-Soc_SP'!T709+'NI-Ric_SP'!T709</f>
        <v>0</v>
      </c>
      <c r="U709" s="272">
        <f>+'NI-San_SP'!U709+'NI-Soc_SP'!U709+'NI-Ric_SP'!U709</f>
        <v>0</v>
      </c>
      <c r="V709" s="272">
        <f>+'NI-San_SP'!V709+'NI-Soc_SP'!V709+'NI-Ric_SP'!V709</f>
        <v>0</v>
      </c>
      <c r="W709" s="272">
        <f>+'NI-San_SP'!W709+'NI-Soc_SP'!W709+'NI-Ric_SP'!W709</f>
        <v>0</v>
      </c>
      <c r="X709" s="272">
        <f>+'NI-San_SP'!X709+'NI-Soc_SP'!X709+'NI-Ric_SP'!X709</f>
        <v>0</v>
      </c>
      <c r="Y709" s="272">
        <f>+'NI-San_SP'!Y709+'NI-Soc_SP'!Y709+'NI-Ric_SP'!Y709</f>
        <v>0</v>
      </c>
      <c r="Z709" s="272">
        <f>+'NI-San_SP'!Z709+'NI-Soc_SP'!Z709+'NI-Ric_SP'!Z709</f>
        <v>0</v>
      </c>
      <c r="AA709" s="272">
        <f>+'NI-San_SP'!AA709+'NI-Soc_SP'!AA709+'NI-Ric_SP'!AA709</f>
        <v>0</v>
      </c>
      <c r="AB709" s="272">
        <f>+'NI-San_SP'!AB709+'NI-Soc_SP'!AB709+'NI-Ric_SP'!AB709</f>
        <v>0</v>
      </c>
      <c r="AC709" s="272">
        <f>+'NI-San_SP'!AC709+'NI-Soc_SP'!AC709+'NI-Ric_SP'!AC709</f>
        <v>0</v>
      </c>
      <c r="AD709" s="272">
        <f>+'NI-San_SP'!AD709+'NI-Soc_SP'!AD709+'NI-Ric_SP'!AD709</f>
        <v>0</v>
      </c>
      <c r="AE709" s="272">
        <f>+'NI-San_SP'!AE709+'NI-Soc_SP'!AE709+'NI-Ric_SP'!AE709</f>
        <v>0</v>
      </c>
      <c r="AF709" s="272">
        <f>+'NI-San_SP'!AF709+'NI-Soc_SP'!AF709+'NI-Ric_SP'!AF709</f>
        <v>0</v>
      </c>
      <c r="AG709" s="272">
        <f>+'NI-San_SP'!AG709+'NI-Soc_SP'!AG709+'NI-Ric_SP'!AG709</f>
        <v>0</v>
      </c>
      <c r="AH709" s="272">
        <f>+'NI-San_SP'!AH709+'NI-Soc_SP'!AH709+'NI-Ric_SP'!AH709</f>
        <v>0</v>
      </c>
      <c r="AI709" s="272">
        <f>+'NI-San_SP'!AI709+'NI-Soc_SP'!AI709+'NI-Ric_SP'!AI709</f>
        <v>0</v>
      </c>
      <c r="AJ709" s="272">
        <f>+'NI-San_SP'!AJ709+'NI-Soc_SP'!AJ709+'NI-Ric_SP'!AJ709</f>
        <v>0</v>
      </c>
      <c r="AK709" s="272">
        <f>+'NI-San_SP'!AK709+'NI-Soc_SP'!AK709+'NI-Ric_SP'!AK709</f>
        <v>0</v>
      </c>
      <c r="AL709" s="272">
        <f>+'NI-San_SP'!AL709+'NI-Soc_SP'!AL709+'NI-Ric_SP'!AL709</f>
        <v>0</v>
      </c>
      <c r="AM709" s="272">
        <f>+'NI-San_SP'!AM709+'NI-Soc_SP'!AM709+'NI-Ric_SP'!AM709</f>
        <v>0</v>
      </c>
    </row>
    <row r="710" spans="2:55" s="204" customFormat="1" x14ac:dyDescent="0.25">
      <c r="B710" s="246" t="s">
        <v>1705</v>
      </c>
      <c r="C710" s="287" t="s">
        <v>1706</v>
      </c>
      <c r="D710" s="274" t="s">
        <v>3787</v>
      </c>
      <c r="E710" s="274"/>
      <c r="F710" s="274"/>
      <c r="G710" s="283"/>
      <c r="H710" s="266"/>
      <c r="I710" s="274"/>
      <c r="J710" s="281"/>
      <c r="K710" s="281"/>
      <c r="L710" s="295" t="s">
        <v>1708</v>
      </c>
      <c r="M710" s="284" t="s">
        <v>2962</v>
      </c>
      <c r="N710" s="269">
        <f t="shared" si="95"/>
        <v>110146</v>
      </c>
      <c r="O710" s="270">
        <f>+Y710-AE710</f>
        <v>147943</v>
      </c>
      <c r="P710" s="271">
        <f t="shared" si="96"/>
        <v>37797</v>
      </c>
      <c r="Q710" s="272">
        <f>+'NI-San_SP'!Q710+'NI-Soc_SP'!Q710+'NI-Ric_SP'!Q710</f>
        <v>0</v>
      </c>
      <c r="R710" s="272">
        <f>+'NI-San_SP'!R710+'NI-Soc_SP'!R710+'NI-Ric_SP'!R710</f>
        <v>110146</v>
      </c>
      <c r="S710" s="272">
        <f>+'NI-San_SP'!S710+'NI-Soc_SP'!S710+'NI-Ric_SP'!S710</f>
        <v>0</v>
      </c>
      <c r="T710" s="272">
        <f>+'NI-San_SP'!T710+'NI-Soc_SP'!T710+'NI-Ric_SP'!T710</f>
        <v>0</v>
      </c>
      <c r="U710" s="272">
        <f>+'NI-San_SP'!U710+'NI-Soc_SP'!U710+'NI-Ric_SP'!U710</f>
        <v>175820</v>
      </c>
      <c r="V710" s="272">
        <f>+'NI-San_SP'!V710+'NI-Soc_SP'!V710+'NI-Ric_SP'!V710</f>
        <v>56310</v>
      </c>
      <c r="W710" s="272">
        <f>+'NI-San_SP'!W710+'NI-Soc_SP'!W710+'NI-Ric_SP'!W710</f>
        <v>0</v>
      </c>
      <c r="X710" s="272">
        <f>+'NI-San_SP'!X710+'NI-Soc_SP'!X710+'NI-Ric_SP'!X710</f>
        <v>81713</v>
      </c>
      <c r="Y710" s="272">
        <f>+'NI-San_SP'!Y710+'NI-Soc_SP'!Y710+'NI-Ric_SP'!Y710</f>
        <v>147943</v>
      </c>
      <c r="Z710" s="272">
        <f>+'NI-San_SP'!Z710+'NI-Soc_SP'!Z710+'NI-Ric_SP'!Z710</f>
        <v>21148</v>
      </c>
      <c r="AA710" s="272">
        <f>+'NI-San_SP'!AA710+'NI-Soc_SP'!AA710+'NI-Ric_SP'!AA710</f>
        <v>0</v>
      </c>
      <c r="AB710" s="272">
        <f>+'NI-San_SP'!AB710+'NI-Soc_SP'!AB710+'NI-Ric_SP'!AB710</f>
        <v>0</v>
      </c>
      <c r="AC710" s="272">
        <f>+'NI-San_SP'!AC710+'NI-Soc_SP'!AC710+'NI-Ric_SP'!AC710</f>
        <v>0</v>
      </c>
      <c r="AD710" s="272">
        <f>+'NI-San_SP'!AD710+'NI-Soc_SP'!AD710+'NI-Ric_SP'!AD710</f>
        <v>0</v>
      </c>
      <c r="AE710" s="272">
        <f>+'NI-San_SP'!AE710+'NI-Soc_SP'!AE710+'NI-Ric_SP'!AE710</f>
        <v>0</v>
      </c>
      <c r="AF710" s="272">
        <f>+'NI-San_SP'!AF710+'NI-Soc_SP'!AF710+'NI-Ric_SP'!AF710</f>
        <v>0</v>
      </c>
      <c r="AG710" s="272">
        <f>+'NI-San_SP'!AG710+'NI-Soc_SP'!AG710+'NI-Ric_SP'!AG710</f>
        <v>0</v>
      </c>
      <c r="AH710" s="272">
        <f>+'NI-San_SP'!AH710+'NI-Soc_SP'!AH710+'NI-Ric_SP'!AH710</f>
        <v>0</v>
      </c>
      <c r="AI710" s="272">
        <f>+'NI-San_SP'!AI710+'NI-Soc_SP'!AI710+'NI-Ric_SP'!AI710</f>
        <v>53836</v>
      </c>
      <c r="AJ710" s="272">
        <f>+'NI-San_SP'!AJ710+'NI-Soc_SP'!AJ710+'NI-Ric_SP'!AJ710</f>
        <v>94107</v>
      </c>
      <c r="AK710" s="272">
        <f>+'NI-San_SP'!AK710+'NI-Soc_SP'!AK710+'NI-Ric_SP'!AK710</f>
        <v>147943</v>
      </c>
      <c r="AL710" s="272">
        <f>+'NI-San_SP'!AL710+'NI-Soc_SP'!AL710+'NI-Ric_SP'!AL710</f>
        <v>0</v>
      </c>
      <c r="AM710" s="272">
        <f>+'NI-San_SP'!AM710+'NI-Soc_SP'!AM710+'NI-Ric_SP'!AM710</f>
        <v>0</v>
      </c>
    </row>
    <row r="711" spans="2:55" s="204" customFormat="1" x14ac:dyDescent="0.25">
      <c r="B711" s="246" t="s">
        <v>1709</v>
      </c>
      <c r="C711" s="287" t="s">
        <v>1710</v>
      </c>
      <c r="D711" s="274" t="s">
        <v>3788</v>
      </c>
      <c r="E711" s="274"/>
      <c r="F711" s="274"/>
      <c r="G711" s="283"/>
      <c r="H711" s="266"/>
      <c r="I711" s="274"/>
      <c r="J711" s="281"/>
      <c r="K711" s="281"/>
      <c r="L711" s="295" t="s">
        <v>1712</v>
      </c>
      <c r="M711" s="284" t="s">
        <v>2962</v>
      </c>
      <c r="N711" s="269">
        <f t="shared" si="95"/>
        <v>0</v>
      </c>
      <c r="O711" s="270">
        <f>+Y711-AE711</f>
        <v>0</v>
      </c>
      <c r="P711" s="271">
        <f t="shared" si="96"/>
        <v>0</v>
      </c>
      <c r="Q711" s="272">
        <f>+'NI-San_SP'!Q711+'NI-Soc_SP'!Q711+'NI-Ric_SP'!Q711</f>
        <v>0</v>
      </c>
      <c r="R711" s="272">
        <f>+'NI-San_SP'!R711+'NI-Soc_SP'!R711+'NI-Ric_SP'!R711</f>
        <v>0</v>
      </c>
      <c r="S711" s="272">
        <f>+'NI-San_SP'!S711+'NI-Soc_SP'!S711+'NI-Ric_SP'!S711</f>
        <v>0</v>
      </c>
      <c r="T711" s="272">
        <f>+'NI-San_SP'!T711+'NI-Soc_SP'!T711+'NI-Ric_SP'!T711</f>
        <v>0</v>
      </c>
      <c r="U711" s="272">
        <f>+'NI-San_SP'!U711+'NI-Soc_SP'!U711+'NI-Ric_SP'!U711</f>
        <v>0</v>
      </c>
      <c r="V711" s="272">
        <f>+'NI-San_SP'!V711+'NI-Soc_SP'!V711+'NI-Ric_SP'!V711</f>
        <v>0</v>
      </c>
      <c r="W711" s="272">
        <f>+'NI-San_SP'!W711+'NI-Soc_SP'!W711+'NI-Ric_SP'!W711</f>
        <v>0</v>
      </c>
      <c r="X711" s="272">
        <f>+'NI-San_SP'!X711+'NI-Soc_SP'!X711+'NI-Ric_SP'!X711</f>
        <v>0</v>
      </c>
      <c r="Y711" s="272">
        <f>+'NI-San_SP'!Y711+'NI-Soc_SP'!Y711+'NI-Ric_SP'!Y711</f>
        <v>0</v>
      </c>
      <c r="Z711" s="272">
        <f>+'NI-San_SP'!Z711+'NI-Soc_SP'!Z711+'NI-Ric_SP'!Z711</f>
        <v>0</v>
      </c>
      <c r="AA711" s="272">
        <f>+'NI-San_SP'!AA711+'NI-Soc_SP'!AA711+'NI-Ric_SP'!AA711</f>
        <v>0</v>
      </c>
      <c r="AB711" s="272">
        <f>+'NI-San_SP'!AB711+'NI-Soc_SP'!AB711+'NI-Ric_SP'!AB711</f>
        <v>0</v>
      </c>
      <c r="AC711" s="272">
        <f>+'NI-San_SP'!AC711+'NI-Soc_SP'!AC711+'NI-Ric_SP'!AC711</f>
        <v>0</v>
      </c>
      <c r="AD711" s="272">
        <f>+'NI-San_SP'!AD711+'NI-Soc_SP'!AD711+'NI-Ric_SP'!AD711</f>
        <v>0</v>
      </c>
      <c r="AE711" s="272">
        <f>+'NI-San_SP'!AE711+'NI-Soc_SP'!AE711+'NI-Ric_SP'!AE711</f>
        <v>0</v>
      </c>
      <c r="AF711" s="272">
        <f>+'NI-San_SP'!AF711+'NI-Soc_SP'!AF711+'NI-Ric_SP'!AF711</f>
        <v>0</v>
      </c>
      <c r="AG711" s="272">
        <f>+'NI-San_SP'!AG711+'NI-Soc_SP'!AG711+'NI-Ric_SP'!AG711</f>
        <v>0</v>
      </c>
      <c r="AH711" s="272">
        <f>+'NI-San_SP'!AH711+'NI-Soc_SP'!AH711+'NI-Ric_SP'!AH711</f>
        <v>0</v>
      </c>
      <c r="AI711" s="272">
        <f>+'NI-San_SP'!AI711+'NI-Soc_SP'!AI711+'NI-Ric_SP'!AI711</f>
        <v>0</v>
      </c>
      <c r="AJ711" s="272">
        <f>+'NI-San_SP'!AJ711+'NI-Soc_SP'!AJ711+'NI-Ric_SP'!AJ711</f>
        <v>0</v>
      </c>
      <c r="AK711" s="272">
        <f>+'NI-San_SP'!AK711+'NI-Soc_SP'!AK711+'NI-Ric_SP'!AK711</f>
        <v>0</v>
      </c>
      <c r="AL711" s="272">
        <f>+'NI-San_SP'!AL711+'NI-Soc_SP'!AL711+'NI-Ric_SP'!AL711</f>
        <v>0</v>
      </c>
      <c r="AM711" s="272">
        <f>+'NI-San_SP'!AM711+'NI-Soc_SP'!AM711+'NI-Ric_SP'!AM711</f>
        <v>0</v>
      </c>
    </row>
    <row r="712" spans="2:55" s="204" customFormat="1" x14ac:dyDescent="0.25">
      <c r="B712" s="246" t="s">
        <v>1713</v>
      </c>
      <c r="C712" s="287" t="s">
        <v>1714</v>
      </c>
      <c r="D712" s="274" t="s">
        <v>3789</v>
      </c>
      <c r="E712" s="274"/>
      <c r="F712" s="274"/>
      <c r="G712" s="283"/>
      <c r="H712" s="266"/>
      <c r="I712" s="274"/>
      <c r="J712" s="281"/>
      <c r="K712" s="281"/>
      <c r="L712" s="295" t="s">
        <v>1715</v>
      </c>
      <c r="M712" s="284" t="s">
        <v>2962</v>
      </c>
      <c r="N712" s="272">
        <f>+N713+N716</f>
        <v>828211</v>
      </c>
      <c r="O712" s="272">
        <f>+O713+O716+O721</f>
        <v>534485</v>
      </c>
      <c r="P712" s="378">
        <f t="shared" si="96"/>
        <v>-293726</v>
      </c>
      <c r="Q712" s="272">
        <f>+'NI-San_SP'!Q712+'NI-Soc_SP'!Q712+'NI-Ric_SP'!Q712</f>
        <v>0</v>
      </c>
      <c r="R712" s="272">
        <f>+'NI-San_SP'!R712+'NI-Soc_SP'!R712+'NI-Ric_SP'!R712</f>
        <v>828211</v>
      </c>
      <c r="S712" s="272">
        <f>+'NI-San_SP'!S712+'NI-Soc_SP'!S712+'NI-Ric_SP'!S712</f>
        <v>0</v>
      </c>
      <c r="T712" s="272">
        <f>+'NI-San_SP'!T712+'NI-Soc_SP'!T712+'NI-Ric_SP'!T712</f>
        <v>0</v>
      </c>
      <c r="U712" s="272">
        <f>+'NI-San_SP'!U712+'NI-Soc_SP'!U712+'NI-Ric_SP'!U712</f>
        <v>3162643</v>
      </c>
      <c r="V712" s="272">
        <f>+'NI-San_SP'!V712+'NI-Soc_SP'!V712+'NI-Ric_SP'!V712</f>
        <v>657988</v>
      </c>
      <c r="W712" s="272">
        <f>+'NI-San_SP'!W712+'NI-Soc_SP'!W712+'NI-Ric_SP'!W712</f>
        <v>0</v>
      </c>
      <c r="X712" s="272">
        <f>+'NI-San_SP'!X712+'NI-Soc_SP'!X712+'NI-Ric_SP'!X712</f>
        <v>2798381</v>
      </c>
      <c r="Y712" s="272">
        <f>+'NI-San_SP'!Y712+'NI-Soc_SP'!Y712+'NI-Ric_SP'!Y712</f>
        <v>534485</v>
      </c>
      <c r="Z712" s="272">
        <f>+'NI-San_SP'!Z712+'NI-Soc_SP'!Z712+'NI-Ric_SP'!Z712</f>
        <v>0</v>
      </c>
      <c r="AA712" s="272">
        <f>+'NI-San_SP'!AA712+'NI-Soc_SP'!AA712+'NI-Ric_SP'!AA712</f>
        <v>0</v>
      </c>
      <c r="AB712" s="272">
        <f>+'NI-San_SP'!AB712+'NI-Soc_SP'!AB712+'NI-Ric_SP'!AB712</f>
        <v>0</v>
      </c>
      <c r="AC712" s="272">
        <f>+'NI-San_SP'!AC712+'NI-Soc_SP'!AC712+'NI-Ric_SP'!AC712</f>
        <v>0</v>
      </c>
      <c r="AD712" s="272">
        <f>+'NI-San_SP'!AD712+'NI-Soc_SP'!AD712+'NI-Ric_SP'!AD712</f>
        <v>0</v>
      </c>
      <c r="AE712" s="272">
        <f>+'NI-San_SP'!AE712+'NI-Soc_SP'!AE712+'NI-Ric_SP'!AE712</f>
        <v>0</v>
      </c>
      <c r="AF712" s="272">
        <f>+'NI-San_SP'!AF712+'NI-Soc_SP'!AF712+'NI-Ric_SP'!AF712</f>
        <v>0</v>
      </c>
      <c r="AG712" s="272">
        <f>+'NI-San_SP'!AG712+'NI-Soc_SP'!AG712+'NI-Ric_SP'!AG712</f>
        <v>0</v>
      </c>
      <c r="AH712" s="272">
        <f>+'NI-San_SP'!AH712+'NI-Soc_SP'!AH712+'NI-Ric_SP'!AH712</f>
        <v>0</v>
      </c>
      <c r="AI712" s="272">
        <f>+'NI-San_SP'!AI712+'NI-Soc_SP'!AI712+'NI-Ric_SP'!AI712</f>
        <v>0</v>
      </c>
      <c r="AJ712" s="272">
        <f>+'NI-San_SP'!AJ712+'NI-Soc_SP'!AJ712+'NI-Ric_SP'!AJ712</f>
        <v>534485</v>
      </c>
      <c r="AK712" s="272">
        <f>+'NI-San_SP'!AK712+'NI-Soc_SP'!AK712+'NI-Ric_SP'!AK712</f>
        <v>534485</v>
      </c>
      <c r="AL712" s="272">
        <f>+'NI-San_SP'!AL712+'NI-Soc_SP'!AL712+'NI-Ric_SP'!AL712</f>
        <v>0</v>
      </c>
      <c r="AM712" s="272">
        <f>+'NI-San_SP'!AM712+'NI-Soc_SP'!AM712+'NI-Ric_SP'!AM712</f>
        <v>0</v>
      </c>
    </row>
    <row r="713" spans="2:55" s="204" customFormat="1" x14ac:dyDescent="0.25">
      <c r="B713" s="246" t="s">
        <v>1716</v>
      </c>
      <c r="C713" s="287" t="s">
        <v>1717</v>
      </c>
      <c r="D713" s="274" t="s">
        <v>3790</v>
      </c>
      <c r="E713" s="274"/>
      <c r="F713" s="274"/>
      <c r="G713" s="283"/>
      <c r="H713" s="266"/>
      <c r="I713" s="274"/>
      <c r="J713" s="281"/>
      <c r="K713" s="281"/>
      <c r="L713" s="379" t="s">
        <v>1719</v>
      </c>
      <c r="M713" s="284" t="s">
        <v>2962</v>
      </c>
      <c r="N713" s="272">
        <f>+N714+N715</f>
        <v>828211</v>
      </c>
      <c r="O713" s="272">
        <f>+O714+O715</f>
        <v>534485</v>
      </c>
      <c r="P713" s="378">
        <f t="shared" si="96"/>
        <v>-293726</v>
      </c>
      <c r="Q713" s="272">
        <f>+'NI-San_SP'!Q713+'NI-Soc_SP'!Q713+'NI-Ric_SP'!Q713</f>
        <v>0</v>
      </c>
      <c r="R713" s="272">
        <f>+'NI-San_SP'!R713+'NI-Soc_SP'!R713+'NI-Ric_SP'!R713</f>
        <v>828211</v>
      </c>
      <c r="S713" s="272">
        <f>+'NI-San_SP'!S713+'NI-Soc_SP'!S713+'NI-Ric_SP'!S713</f>
        <v>0</v>
      </c>
      <c r="T713" s="272">
        <f>+'NI-San_SP'!T713+'NI-Soc_SP'!T713+'NI-Ric_SP'!T713</f>
        <v>0</v>
      </c>
      <c r="U713" s="272">
        <f>+'NI-San_SP'!U713+'NI-Soc_SP'!U713+'NI-Ric_SP'!U713</f>
        <v>3162643</v>
      </c>
      <c r="V713" s="272">
        <f>+'NI-San_SP'!V713+'NI-Soc_SP'!V713+'NI-Ric_SP'!V713</f>
        <v>657988</v>
      </c>
      <c r="W713" s="272">
        <f>+'NI-San_SP'!W713+'NI-Soc_SP'!W713+'NI-Ric_SP'!W713</f>
        <v>0</v>
      </c>
      <c r="X713" s="272">
        <f>+'NI-San_SP'!X713+'NI-Soc_SP'!X713+'NI-Ric_SP'!X713</f>
        <v>2798381</v>
      </c>
      <c r="Y713" s="272">
        <f>+'NI-San_SP'!Y713+'NI-Soc_SP'!Y713+'NI-Ric_SP'!Y713</f>
        <v>534485</v>
      </c>
      <c r="Z713" s="272">
        <f>+'NI-San_SP'!Z713+'NI-Soc_SP'!Z713+'NI-Ric_SP'!Z713</f>
        <v>0</v>
      </c>
      <c r="AA713" s="272">
        <f>+'NI-San_SP'!AA713+'NI-Soc_SP'!AA713+'NI-Ric_SP'!AA713</f>
        <v>0</v>
      </c>
      <c r="AB713" s="272">
        <f>+'NI-San_SP'!AB713+'NI-Soc_SP'!AB713+'NI-Ric_SP'!AB713</f>
        <v>0</v>
      </c>
      <c r="AC713" s="272">
        <f>+'NI-San_SP'!AC713+'NI-Soc_SP'!AC713+'NI-Ric_SP'!AC713</f>
        <v>0</v>
      </c>
      <c r="AD713" s="272">
        <f>+'NI-San_SP'!AD713+'NI-Soc_SP'!AD713+'NI-Ric_SP'!AD713</f>
        <v>0</v>
      </c>
      <c r="AE713" s="272">
        <f>+'NI-San_SP'!AE713+'NI-Soc_SP'!AE713+'NI-Ric_SP'!AE713</f>
        <v>0</v>
      </c>
      <c r="AF713" s="272">
        <f>+'NI-San_SP'!AF713+'NI-Soc_SP'!AF713+'NI-Ric_SP'!AF713</f>
        <v>0</v>
      </c>
      <c r="AG713" s="272">
        <f>+'NI-San_SP'!AG713+'NI-Soc_SP'!AG713+'NI-Ric_SP'!AG713</f>
        <v>0</v>
      </c>
      <c r="AH713" s="272">
        <f>+'NI-San_SP'!AH713+'NI-Soc_SP'!AH713+'NI-Ric_SP'!AH713</f>
        <v>0</v>
      </c>
      <c r="AI713" s="272">
        <f>+'NI-San_SP'!AI713+'NI-Soc_SP'!AI713+'NI-Ric_SP'!AI713</f>
        <v>0</v>
      </c>
      <c r="AJ713" s="272">
        <f>+'NI-San_SP'!AJ713+'NI-Soc_SP'!AJ713+'NI-Ric_SP'!AJ713</f>
        <v>534485</v>
      </c>
      <c r="AK713" s="272">
        <f>+'NI-San_SP'!AK713+'NI-Soc_SP'!AK713+'NI-Ric_SP'!AK713</f>
        <v>534485</v>
      </c>
      <c r="AL713" s="272">
        <f>+'NI-San_SP'!AL713+'NI-Soc_SP'!AL713+'NI-Ric_SP'!AL713</f>
        <v>0</v>
      </c>
      <c r="AM713" s="272">
        <f>+'NI-San_SP'!AM713+'NI-Soc_SP'!AM713+'NI-Ric_SP'!AM713</f>
        <v>0</v>
      </c>
    </row>
    <row r="714" spans="2:55" s="204" customFormat="1" x14ac:dyDescent="0.25">
      <c r="B714" s="246" t="s">
        <v>1720</v>
      </c>
      <c r="C714" s="287" t="s">
        <v>1721</v>
      </c>
      <c r="D714" s="274" t="s">
        <v>3791</v>
      </c>
      <c r="E714" s="274"/>
      <c r="F714" s="274"/>
      <c r="G714" s="283"/>
      <c r="H714" s="266"/>
      <c r="I714" s="274"/>
      <c r="J714" s="281"/>
      <c r="K714" s="281"/>
      <c r="L714" s="97" t="s">
        <v>3792</v>
      </c>
      <c r="M714" s="284" t="s">
        <v>2962</v>
      </c>
      <c r="N714" s="269">
        <f>+R714-AA714</f>
        <v>0</v>
      </c>
      <c r="O714" s="270">
        <f>+Y714-AE714</f>
        <v>0</v>
      </c>
      <c r="P714" s="271">
        <f t="shared" si="96"/>
        <v>0</v>
      </c>
      <c r="Q714" s="272">
        <f>+'NI-San_SP'!Q714+'NI-Soc_SP'!Q714+'NI-Ric_SP'!Q714</f>
        <v>0</v>
      </c>
      <c r="R714" s="272">
        <f>+'NI-San_SP'!R714+'NI-Soc_SP'!R714+'NI-Ric_SP'!R714</f>
        <v>0</v>
      </c>
      <c r="S714" s="272">
        <f>+'NI-San_SP'!S714+'NI-Soc_SP'!S714+'NI-Ric_SP'!S714</f>
        <v>0</v>
      </c>
      <c r="T714" s="272">
        <f>+'NI-San_SP'!T714+'NI-Soc_SP'!T714+'NI-Ric_SP'!T714</f>
        <v>0</v>
      </c>
      <c r="U714" s="272">
        <f>+'NI-San_SP'!U714+'NI-Soc_SP'!U714+'NI-Ric_SP'!U714</f>
        <v>0</v>
      </c>
      <c r="V714" s="272">
        <f>+'NI-San_SP'!V714+'NI-Soc_SP'!V714+'NI-Ric_SP'!V714</f>
        <v>0</v>
      </c>
      <c r="W714" s="272">
        <f>+'NI-San_SP'!W714+'NI-Soc_SP'!W714+'NI-Ric_SP'!W714</f>
        <v>0</v>
      </c>
      <c r="X714" s="272">
        <f>+'NI-San_SP'!X714+'NI-Soc_SP'!X714+'NI-Ric_SP'!X714</f>
        <v>0</v>
      </c>
      <c r="Y714" s="272">
        <f>+'NI-San_SP'!Y714+'NI-Soc_SP'!Y714+'NI-Ric_SP'!Y714</f>
        <v>0</v>
      </c>
      <c r="Z714" s="272">
        <f>+'NI-San_SP'!Z714+'NI-Soc_SP'!Z714+'NI-Ric_SP'!Z714</f>
        <v>0</v>
      </c>
      <c r="AA714" s="272">
        <f>+'NI-San_SP'!AA714+'NI-Soc_SP'!AA714+'NI-Ric_SP'!AA714</f>
        <v>0</v>
      </c>
      <c r="AB714" s="272">
        <f>+'NI-San_SP'!AB714+'NI-Soc_SP'!AB714+'NI-Ric_SP'!AB714</f>
        <v>0</v>
      </c>
      <c r="AC714" s="272">
        <f>+'NI-San_SP'!AC714+'NI-Soc_SP'!AC714+'NI-Ric_SP'!AC714</f>
        <v>0</v>
      </c>
      <c r="AD714" s="272">
        <f>+'NI-San_SP'!AD714+'NI-Soc_SP'!AD714+'NI-Ric_SP'!AD714</f>
        <v>0</v>
      </c>
      <c r="AE714" s="272">
        <f>+'NI-San_SP'!AE714+'NI-Soc_SP'!AE714+'NI-Ric_SP'!AE714</f>
        <v>0</v>
      </c>
      <c r="AF714" s="272">
        <f>+'NI-San_SP'!AF714+'NI-Soc_SP'!AF714+'NI-Ric_SP'!AF714</f>
        <v>0</v>
      </c>
      <c r="AG714" s="272">
        <f>+'NI-San_SP'!AG714+'NI-Soc_SP'!AG714+'NI-Ric_SP'!AG714</f>
        <v>0</v>
      </c>
      <c r="AH714" s="272">
        <f>+'NI-San_SP'!AH714+'NI-Soc_SP'!AH714+'NI-Ric_SP'!AH714</f>
        <v>0</v>
      </c>
      <c r="AI714" s="272">
        <f>+'NI-San_SP'!AI714+'NI-Soc_SP'!AI714+'NI-Ric_SP'!AI714</f>
        <v>0</v>
      </c>
      <c r="AJ714" s="272">
        <f>+'NI-San_SP'!AJ714+'NI-Soc_SP'!AJ714+'NI-Ric_SP'!AJ714</f>
        <v>0</v>
      </c>
      <c r="AK714" s="272">
        <f>+'NI-San_SP'!AK714+'NI-Soc_SP'!AK714+'NI-Ric_SP'!AK714</f>
        <v>0</v>
      </c>
      <c r="AL714" s="272">
        <f>+'NI-San_SP'!AL714+'NI-Soc_SP'!AL714+'NI-Ric_SP'!AL714</f>
        <v>0</v>
      </c>
      <c r="AM714" s="272">
        <f>+'NI-San_SP'!AM714+'NI-Soc_SP'!AM714+'NI-Ric_SP'!AM714</f>
        <v>0</v>
      </c>
      <c r="AX714" s="211"/>
      <c r="AY714" s="211"/>
      <c r="AZ714" s="211"/>
      <c r="BA714" s="211"/>
      <c r="BB714" s="211"/>
      <c r="BC714" s="211"/>
    </row>
    <row r="715" spans="2:55" s="204" customFormat="1" x14ac:dyDescent="0.25">
      <c r="B715" s="246" t="s">
        <v>1724</v>
      </c>
      <c r="C715" s="287" t="s">
        <v>1725</v>
      </c>
      <c r="D715" s="274" t="s">
        <v>3793</v>
      </c>
      <c r="E715" s="274"/>
      <c r="F715" s="274"/>
      <c r="G715" s="283"/>
      <c r="H715" s="266"/>
      <c r="I715" s="274"/>
      <c r="J715" s="281"/>
      <c r="K715" s="281"/>
      <c r="L715" s="97" t="s">
        <v>3794</v>
      </c>
      <c r="M715" s="284" t="s">
        <v>2962</v>
      </c>
      <c r="N715" s="269">
        <f>+R715-AA715</f>
        <v>828211</v>
      </c>
      <c r="O715" s="270">
        <f>+Y715-AE715</f>
        <v>534485</v>
      </c>
      <c r="P715" s="271">
        <f t="shared" si="96"/>
        <v>-293726</v>
      </c>
      <c r="Q715" s="272">
        <f>+'NI-San_SP'!Q715+'NI-Soc_SP'!Q715+'NI-Ric_SP'!Q715</f>
        <v>0</v>
      </c>
      <c r="R715" s="272">
        <f>+'NI-San_SP'!R715+'NI-Soc_SP'!R715+'NI-Ric_SP'!R715</f>
        <v>828211</v>
      </c>
      <c r="S715" s="272">
        <f>+'NI-San_SP'!S715+'NI-Soc_SP'!S715+'NI-Ric_SP'!S715</f>
        <v>0</v>
      </c>
      <c r="T715" s="272">
        <f>+'NI-San_SP'!T715+'NI-Soc_SP'!T715+'NI-Ric_SP'!T715</f>
        <v>0</v>
      </c>
      <c r="U715" s="272">
        <f>+'NI-San_SP'!U715+'NI-Soc_SP'!U715+'NI-Ric_SP'!U715</f>
        <v>3162643</v>
      </c>
      <c r="V715" s="272">
        <f>+'NI-San_SP'!V715+'NI-Soc_SP'!V715+'NI-Ric_SP'!V715</f>
        <v>657988</v>
      </c>
      <c r="W715" s="272">
        <f>+'NI-San_SP'!W715+'NI-Soc_SP'!W715+'NI-Ric_SP'!W715</f>
        <v>0</v>
      </c>
      <c r="X715" s="272">
        <f>+'NI-San_SP'!X715+'NI-Soc_SP'!X715+'NI-Ric_SP'!X715</f>
        <v>2798381</v>
      </c>
      <c r="Y715" s="272">
        <f>+'NI-San_SP'!Y715+'NI-Soc_SP'!Y715+'NI-Ric_SP'!Y715</f>
        <v>534485</v>
      </c>
      <c r="Z715" s="272">
        <f>+'NI-San_SP'!Z715+'NI-Soc_SP'!Z715+'NI-Ric_SP'!Z715</f>
        <v>0</v>
      </c>
      <c r="AA715" s="272">
        <f>+'NI-San_SP'!AA715+'NI-Soc_SP'!AA715+'NI-Ric_SP'!AA715</f>
        <v>0</v>
      </c>
      <c r="AB715" s="272">
        <f>+'NI-San_SP'!AB715+'NI-Soc_SP'!AB715+'NI-Ric_SP'!AB715</f>
        <v>0</v>
      </c>
      <c r="AC715" s="272">
        <f>+'NI-San_SP'!AC715+'NI-Soc_SP'!AC715+'NI-Ric_SP'!AC715</f>
        <v>0</v>
      </c>
      <c r="AD715" s="272">
        <f>+'NI-San_SP'!AD715+'NI-Soc_SP'!AD715+'NI-Ric_SP'!AD715</f>
        <v>0</v>
      </c>
      <c r="AE715" s="272">
        <f>+'NI-San_SP'!AE715+'NI-Soc_SP'!AE715+'NI-Ric_SP'!AE715</f>
        <v>0</v>
      </c>
      <c r="AF715" s="272">
        <f>+'NI-San_SP'!AF715+'NI-Soc_SP'!AF715+'NI-Ric_SP'!AF715</f>
        <v>0</v>
      </c>
      <c r="AG715" s="272">
        <f>+'NI-San_SP'!AG715+'NI-Soc_SP'!AG715+'NI-Ric_SP'!AG715</f>
        <v>0</v>
      </c>
      <c r="AH715" s="272">
        <f>+'NI-San_SP'!AH715+'NI-Soc_SP'!AH715+'NI-Ric_SP'!AH715</f>
        <v>0</v>
      </c>
      <c r="AI715" s="272">
        <f>+'NI-San_SP'!AI715+'NI-Soc_SP'!AI715+'NI-Ric_SP'!AI715</f>
        <v>0</v>
      </c>
      <c r="AJ715" s="272">
        <f>+'NI-San_SP'!AJ715+'NI-Soc_SP'!AJ715+'NI-Ric_SP'!AJ715</f>
        <v>534485</v>
      </c>
      <c r="AK715" s="272">
        <f>+'NI-San_SP'!AK715+'NI-Soc_SP'!AK715+'NI-Ric_SP'!AK715</f>
        <v>534485</v>
      </c>
      <c r="AL715" s="272">
        <f>+'NI-San_SP'!AL715+'NI-Soc_SP'!AL715+'NI-Ric_SP'!AL715</f>
        <v>0</v>
      </c>
      <c r="AM715" s="272">
        <f>+'NI-San_SP'!AM715+'NI-Soc_SP'!AM715+'NI-Ric_SP'!AM715</f>
        <v>0</v>
      </c>
      <c r="AX715" s="211"/>
      <c r="AY715" s="211"/>
      <c r="AZ715" s="211"/>
      <c r="BA715" s="211"/>
      <c r="BB715" s="211"/>
      <c r="BC715" s="211"/>
    </row>
    <row r="716" spans="2:55" s="204" customFormat="1" x14ac:dyDescent="0.25">
      <c r="B716" s="246" t="e">
        <f>NA()</f>
        <v>#N/A</v>
      </c>
      <c r="C716" s="287" t="s">
        <v>1727</v>
      </c>
      <c r="D716" s="274" t="s">
        <v>3795</v>
      </c>
      <c r="E716" s="274"/>
      <c r="F716" s="274"/>
      <c r="G716" s="283"/>
      <c r="H716" s="266"/>
      <c r="I716" s="274"/>
      <c r="J716" s="281"/>
      <c r="K716" s="281"/>
      <c r="L716" s="379" t="s">
        <v>1728</v>
      </c>
      <c r="M716" s="284" t="s">
        <v>2962</v>
      </c>
      <c r="N716" s="415">
        <f>SUM(N717:N720)</f>
        <v>0</v>
      </c>
      <c r="O716" s="415">
        <f>SUM(O717:O720)</f>
        <v>0</v>
      </c>
      <c r="P716" s="416">
        <f t="shared" si="96"/>
        <v>0</v>
      </c>
      <c r="Q716" s="415">
        <f t="shared" ref="Q716:AM716" si="97">SUM(Q717:Q720)</f>
        <v>0</v>
      </c>
      <c r="R716" s="415">
        <f t="shared" si="97"/>
        <v>0</v>
      </c>
      <c r="S716" s="415">
        <f t="shared" si="97"/>
        <v>0</v>
      </c>
      <c r="T716" s="415">
        <f t="shared" si="97"/>
        <v>0</v>
      </c>
      <c r="U716" s="415">
        <f t="shared" si="97"/>
        <v>0</v>
      </c>
      <c r="V716" s="415">
        <f t="shared" si="97"/>
        <v>0</v>
      </c>
      <c r="W716" s="415">
        <f t="shared" si="97"/>
        <v>0</v>
      </c>
      <c r="X716" s="415">
        <f t="shared" si="97"/>
        <v>0</v>
      </c>
      <c r="Y716" s="415">
        <f t="shared" si="97"/>
        <v>0</v>
      </c>
      <c r="Z716" s="415">
        <f t="shared" si="97"/>
        <v>0</v>
      </c>
      <c r="AA716" s="415">
        <f t="shared" si="97"/>
        <v>0</v>
      </c>
      <c r="AB716" s="415">
        <f t="shared" si="97"/>
        <v>0</v>
      </c>
      <c r="AC716" s="415">
        <f t="shared" si="97"/>
        <v>0</v>
      </c>
      <c r="AD716" s="415">
        <f t="shared" si="97"/>
        <v>0</v>
      </c>
      <c r="AE716" s="415">
        <f t="shared" si="97"/>
        <v>0</v>
      </c>
      <c r="AF716" s="415">
        <f t="shared" si="97"/>
        <v>0</v>
      </c>
      <c r="AG716" s="415">
        <f t="shared" si="97"/>
        <v>0</v>
      </c>
      <c r="AH716" s="415">
        <f t="shared" si="97"/>
        <v>0</v>
      </c>
      <c r="AI716" s="415">
        <f t="shared" si="97"/>
        <v>0</v>
      </c>
      <c r="AJ716" s="415">
        <f t="shared" si="97"/>
        <v>0</v>
      </c>
      <c r="AK716" s="415">
        <f t="shared" si="97"/>
        <v>0</v>
      </c>
      <c r="AL716" s="415">
        <f t="shared" si="97"/>
        <v>0</v>
      </c>
      <c r="AM716" s="415">
        <f t="shared" si="97"/>
        <v>0</v>
      </c>
      <c r="AX716" s="211"/>
      <c r="AY716" s="211"/>
      <c r="AZ716" s="211"/>
      <c r="BA716" s="211"/>
      <c r="BB716" s="211"/>
      <c r="BC716" s="211"/>
    </row>
    <row r="717" spans="2:55" s="204" customFormat="1" x14ac:dyDescent="0.25">
      <c r="B717" s="246" t="s">
        <v>1729</v>
      </c>
      <c r="C717" s="287" t="s">
        <v>1730</v>
      </c>
      <c r="D717" s="274" t="s">
        <v>3796</v>
      </c>
      <c r="E717" s="274"/>
      <c r="F717" s="274"/>
      <c r="G717" s="283"/>
      <c r="H717" s="266"/>
      <c r="I717" s="274"/>
      <c r="J717" s="281"/>
      <c r="K717" s="281"/>
      <c r="L717" s="97" t="s">
        <v>3797</v>
      </c>
      <c r="M717" s="284" t="s">
        <v>2962</v>
      </c>
      <c r="N717" s="417">
        <f>(+R717-AA717)*0</f>
        <v>0</v>
      </c>
      <c r="O717" s="417">
        <f>+Y717-AE717</f>
        <v>0</v>
      </c>
      <c r="P717" s="418">
        <f t="shared" si="96"/>
        <v>0</v>
      </c>
      <c r="Q717" s="417">
        <f>(+'NI-San_SP'!Q717+'NI-Soc_SP'!Q717+'NI-Ric_SP'!Q717)*0</f>
        <v>0</v>
      </c>
      <c r="R717" s="417">
        <f>(+'NI-San_SP'!R717+'NI-Soc_SP'!R717+'NI-Ric_SP'!R717)*0</f>
        <v>0</v>
      </c>
      <c r="S717" s="417">
        <f>(+'NI-San_SP'!S717+'NI-Soc_SP'!S717+'NI-Ric_SP'!S717)*0</f>
        <v>0</v>
      </c>
      <c r="T717" s="417">
        <f>(+'NI-San_SP'!T717+'NI-Soc_SP'!T717+'NI-Ric_SP'!T717)*0</f>
        <v>0</v>
      </c>
      <c r="U717" s="417">
        <f>(+'NI-San_SP'!U717+'NI-Soc_SP'!U717+'NI-Ric_SP'!U717)*0</f>
        <v>0</v>
      </c>
      <c r="V717" s="417">
        <f>(+'NI-San_SP'!V717+'NI-Soc_SP'!V717+'NI-Ric_SP'!V717)*0</f>
        <v>0</v>
      </c>
      <c r="W717" s="417">
        <f>(+'NI-San_SP'!W717+'NI-Soc_SP'!W717+'NI-Ric_SP'!W717)*0</f>
        <v>0</v>
      </c>
      <c r="X717" s="417">
        <f>(+'NI-San_SP'!X717+'NI-Soc_SP'!X717+'NI-Ric_SP'!X717)*0</f>
        <v>0</v>
      </c>
      <c r="Y717" s="417">
        <f>(+'NI-San_SP'!Y717+'NI-Soc_SP'!Y717+'NI-Ric_SP'!Y717)*0</f>
        <v>0</v>
      </c>
      <c r="Z717" s="417">
        <f>(+'NI-San_SP'!Z717+'NI-Soc_SP'!Z717+'NI-Ric_SP'!Z717)*0</f>
        <v>0</v>
      </c>
      <c r="AA717" s="417">
        <f>(+'NI-San_SP'!AA717+'NI-Soc_SP'!AA717+'NI-Ric_SP'!AA717)*0</f>
        <v>0</v>
      </c>
      <c r="AB717" s="417">
        <f>(+'NI-San_SP'!AB717+'NI-Soc_SP'!AB717+'NI-Ric_SP'!AB717)*0</f>
        <v>0</v>
      </c>
      <c r="AC717" s="417">
        <f>(+'NI-San_SP'!AC717+'NI-Soc_SP'!AC717+'NI-Ric_SP'!AC717)*0</f>
        <v>0</v>
      </c>
      <c r="AD717" s="417">
        <f>(+'NI-San_SP'!AD717+'NI-Soc_SP'!AD717+'NI-Ric_SP'!AD717)*0</f>
        <v>0</v>
      </c>
      <c r="AE717" s="417">
        <f>(+'NI-San_SP'!AE717+'NI-Soc_SP'!AE717+'NI-Ric_SP'!AE717)*0</f>
        <v>0</v>
      </c>
      <c r="AF717" s="417">
        <f>(+'NI-San_SP'!AF717+'NI-Soc_SP'!AF717+'NI-Ric_SP'!AF717)*0</f>
        <v>0</v>
      </c>
      <c r="AG717" s="417">
        <f>(+'NI-San_SP'!AG717+'NI-Soc_SP'!AG717+'NI-Ric_SP'!AG717)*0</f>
        <v>0</v>
      </c>
      <c r="AH717" s="417">
        <f>(+'NI-San_SP'!AH717+'NI-Soc_SP'!AH717+'NI-Ric_SP'!AH717)*0</f>
        <v>0</v>
      </c>
      <c r="AI717" s="417">
        <f>(+'NI-San_SP'!AI717+'NI-Soc_SP'!AI717+'NI-Ric_SP'!AI717)*0</f>
        <v>0</v>
      </c>
      <c r="AJ717" s="417">
        <f>(+'NI-San_SP'!AJ717+'NI-Soc_SP'!AJ717+'NI-Ric_SP'!AJ717)*0</f>
        <v>0</v>
      </c>
      <c r="AK717" s="417">
        <f>(+'NI-San_SP'!AK717+'NI-Soc_SP'!AK717+'NI-Ric_SP'!AK717)*0</f>
        <v>0</v>
      </c>
      <c r="AL717" s="417">
        <f>(+'NI-San_SP'!AL717+'NI-Soc_SP'!AL717+'NI-Ric_SP'!AL717)*0</f>
        <v>0</v>
      </c>
      <c r="AM717" s="417">
        <f>(+'NI-San_SP'!AM717+'NI-Soc_SP'!AM717+'NI-Ric_SP'!AM717)*0</f>
        <v>0</v>
      </c>
      <c r="AX717" s="211"/>
      <c r="AY717" s="211"/>
      <c r="AZ717" s="211"/>
      <c r="BA717" s="211"/>
      <c r="BB717" s="211"/>
      <c r="BC717" s="211"/>
    </row>
    <row r="718" spans="2:55" s="204" customFormat="1" hidden="1" x14ac:dyDescent="0.25">
      <c r="B718" s="246" t="s">
        <v>1732</v>
      </c>
      <c r="C718" s="287" t="s">
        <v>1733</v>
      </c>
      <c r="D718" s="274" t="s">
        <v>3798</v>
      </c>
      <c r="E718" s="274"/>
      <c r="F718" s="274"/>
      <c r="G718" s="283"/>
      <c r="H718" s="266"/>
      <c r="I718" s="274"/>
      <c r="J718" s="281"/>
      <c r="K718" s="281"/>
      <c r="L718" s="97" t="s">
        <v>1734</v>
      </c>
      <c r="M718" s="284" t="s">
        <v>2962</v>
      </c>
      <c r="N718" s="417">
        <f>(+R718-AA718)*0</f>
        <v>0</v>
      </c>
      <c r="O718" s="417">
        <f>+Y718-AE718</f>
        <v>0</v>
      </c>
      <c r="P718" s="418">
        <f t="shared" si="96"/>
        <v>0</v>
      </c>
      <c r="Q718" s="417">
        <f>(+'NI-San_SP'!Q718+'NI-Soc_SP'!Q718+'NI-Ric_SP'!Q718)*0</f>
        <v>0</v>
      </c>
      <c r="R718" s="417">
        <f>(+'NI-San_SP'!R718+'NI-Soc_SP'!R718+'NI-Ric_SP'!R718)*0</f>
        <v>0</v>
      </c>
      <c r="S718" s="417">
        <f>(+'NI-San_SP'!S718+'NI-Soc_SP'!S718+'NI-Ric_SP'!S718)*0</f>
        <v>0</v>
      </c>
      <c r="T718" s="417">
        <f>(+'NI-San_SP'!T718+'NI-Soc_SP'!T718+'NI-Ric_SP'!T718)*0</f>
        <v>0</v>
      </c>
      <c r="U718" s="417">
        <f>(+'NI-San_SP'!U718+'NI-Soc_SP'!U718+'NI-Ric_SP'!U718)*0</f>
        <v>0</v>
      </c>
      <c r="V718" s="417">
        <f>(+'NI-San_SP'!V718+'NI-Soc_SP'!V718+'NI-Ric_SP'!V718)*0</f>
        <v>0</v>
      </c>
      <c r="W718" s="417">
        <f>(+'NI-San_SP'!W718+'NI-Soc_SP'!W718+'NI-Ric_SP'!W718)*0</f>
        <v>0</v>
      </c>
      <c r="X718" s="417">
        <f>(+'NI-San_SP'!X718+'NI-Soc_SP'!X718+'NI-Ric_SP'!X718)*0</f>
        <v>0</v>
      </c>
      <c r="Y718" s="417">
        <f>(+'NI-San_SP'!Y718+'NI-Soc_SP'!Y718+'NI-Ric_SP'!Y718)*0</f>
        <v>0</v>
      </c>
      <c r="Z718" s="417">
        <f>(+'NI-San_SP'!Z718+'NI-Soc_SP'!Z718+'NI-Ric_SP'!Z718)*0</f>
        <v>0</v>
      </c>
      <c r="AA718" s="417">
        <f>(+'NI-San_SP'!AA718+'NI-Soc_SP'!AA718+'NI-Ric_SP'!AA718)*0</f>
        <v>0</v>
      </c>
      <c r="AB718" s="417">
        <f>(+'NI-San_SP'!AB718+'NI-Soc_SP'!AB718+'NI-Ric_SP'!AB718)*0</f>
        <v>0</v>
      </c>
      <c r="AC718" s="417">
        <f>(+'NI-San_SP'!AC718+'NI-Soc_SP'!AC718+'NI-Ric_SP'!AC718)*0</f>
        <v>0</v>
      </c>
      <c r="AD718" s="417">
        <f>(+'NI-San_SP'!AD718+'NI-Soc_SP'!AD718+'NI-Ric_SP'!AD718)*0</f>
        <v>0</v>
      </c>
      <c r="AE718" s="417">
        <f>(+'NI-San_SP'!AE718+'NI-Soc_SP'!AE718+'NI-Ric_SP'!AE718)*0</f>
        <v>0</v>
      </c>
      <c r="AF718" s="417">
        <f>(+'NI-San_SP'!AF718+'NI-Soc_SP'!AF718+'NI-Ric_SP'!AF718)*0</f>
        <v>0</v>
      </c>
      <c r="AG718" s="417">
        <f>(+'NI-San_SP'!AG718+'NI-Soc_SP'!AG718+'NI-Ric_SP'!AG718)*0</f>
        <v>0</v>
      </c>
      <c r="AH718" s="417">
        <f>(+'NI-San_SP'!AH718+'NI-Soc_SP'!AH718+'NI-Ric_SP'!AH718)*0</f>
        <v>0</v>
      </c>
      <c r="AI718" s="417">
        <f>(+'NI-San_SP'!AI718+'NI-Soc_SP'!AI718+'NI-Ric_SP'!AI718)*0</f>
        <v>0</v>
      </c>
      <c r="AJ718" s="417">
        <f>(+'NI-San_SP'!AJ718+'NI-Soc_SP'!AJ718+'NI-Ric_SP'!AJ718)*0</f>
        <v>0</v>
      </c>
      <c r="AK718" s="417">
        <f>(+'NI-San_SP'!AK718+'NI-Soc_SP'!AK718+'NI-Ric_SP'!AK718)*0</f>
        <v>0</v>
      </c>
      <c r="AL718" s="417">
        <f>(+'NI-San_SP'!AL718+'NI-Soc_SP'!AL718+'NI-Ric_SP'!AL718)*0</f>
        <v>0</v>
      </c>
      <c r="AM718" s="417">
        <f>(+'NI-San_SP'!AM718+'NI-Soc_SP'!AM718+'NI-Ric_SP'!AM718)*0</f>
        <v>0</v>
      </c>
      <c r="AX718" s="211"/>
      <c r="AY718" s="211"/>
      <c r="AZ718" s="211"/>
      <c r="BA718" s="211"/>
      <c r="BB718" s="211"/>
      <c r="BC718" s="211"/>
    </row>
    <row r="719" spans="2:55" s="204" customFormat="1" x14ac:dyDescent="0.25">
      <c r="B719" s="246" t="s">
        <v>1735</v>
      </c>
      <c r="C719" s="287" t="s">
        <v>1736</v>
      </c>
      <c r="D719" s="274" t="s">
        <v>3799</v>
      </c>
      <c r="E719" s="274"/>
      <c r="F719" s="274"/>
      <c r="G719" s="283"/>
      <c r="H719" s="266"/>
      <c r="I719" s="274"/>
      <c r="J719" s="281"/>
      <c r="K719" s="281"/>
      <c r="L719" s="97" t="s">
        <v>3800</v>
      </c>
      <c r="M719" s="284" t="s">
        <v>2962</v>
      </c>
      <c r="N719" s="417">
        <f>(+R719-AA719)*0</f>
        <v>0</v>
      </c>
      <c r="O719" s="417">
        <f>+Y719-AE719</f>
        <v>0</v>
      </c>
      <c r="P719" s="418">
        <f t="shared" si="96"/>
        <v>0</v>
      </c>
      <c r="Q719" s="417">
        <f>(+'NI-San_SP'!Q719+'NI-Soc_SP'!Q719+'NI-Ric_SP'!Q719)*0</f>
        <v>0</v>
      </c>
      <c r="R719" s="417">
        <f>(+'NI-San_SP'!R719+'NI-Soc_SP'!R719+'NI-Ric_SP'!R719)*0</f>
        <v>0</v>
      </c>
      <c r="S719" s="417">
        <f>(+'NI-San_SP'!S719+'NI-Soc_SP'!S719+'NI-Ric_SP'!S719)*0</f>
        <v>0</v>
      </c>
      <c r="T719" s="417">
        <f>(+'NI-San_SP'!T719+'NI-Soc_SP'!T719+'NI-Ric_SP'!T719)*0</f>
        <v>0</v>
      </c>
      <c r="U719" s="417">
        <f>(+'NI-San_SP'!U719+'NI-Soc_SP'!U719+'NI-Ric_SP'!U719)*0</f>
        <v>0</v>
      </c>
      <c r="V719" s="417">
        <f>(+'NI-San_SP'!V719+'NI-Soc_SP'!V719+'NI-Ric_SP'!V719)*0</f>
        <v>0</v>
      </c>
      <c r="W719" s="417">
        <f>(+'NI-San_SP'!W719+'NI-Soc_SP'!W719+'NI-Ric_SP'!W719)*0</f>
        <v>0</v>
      </c>
      <c r="X719" s="417">
        <f>(+'NI-San_SP'!X719+'NI-Soc_SP'!X719+'NI-Ric_SP'!X719)*0</f>
        <v>0</v>
      </c>
      <c r="Y719" s="417">
        <f>(+'NI-San_SP'!Y719+'NI-Soc_SP'!Y719+'NI-Ric_SP'!Y719)*0</f>
        <v>0</v>
      </c>
      <c r="Z719" s="417">
        <f>(+'NI-San_SP'!Z719+'NI-Soc_SP'!Z719+'NI-Ric_SP'!Z719)*0</f>
        <v>0</v>
      </c>
      <c r="AA719" s="417">
        <f>(+'NI-San_SP'!AA719+'NI-Soc_SP'!AA719+'NI-Ric_SP'!AA719)*0</f>
        <v>0</v>
      </c>
      <c r="AB719" s="417">
        <f>(+'NI-San_SP'!AB719+'NI-Soc_SP'!AB719+'NI-Ric_SP'!AB719)*0</f>
        <v>0</v>
      </c>
      <c r="AC719" s="417">
        <f>(+'NI-San_SP'!AC719+'NI-Soc_SP'!AC719+'NI-Ric_SP'!AC719)*0</f>
        <v>0</v>
      </c>
      <c r="AD719" s="417">
        <f>(+'NI-San_SP'!AD719+'NI-Soc_SP'!AD719+'NI-Ric_SP'!AD719)*0</f>
        <v>0</v>
      </c>
      <c r="AE719" s="417">
        <f>(+'NI-San_SP'!AE719+'NI-Soc_SP'!AE719+'NI-Ric_SP'!AE719)*0</f>
        <v>0</v>
      </c>
      <c r="AF719" s="417">
        <f>(+'NI-San_SP'!AF719+'NI-Soc_SP'!AF719+'NI-Ric_SP'!AF719)*0</f>
        <v>0</v>
      </c>
      <c r="AG719" s="417">
        <f>(+'NI-San_SP'!AG719+'NI-Soc_SP'!AG719+'NI-Ric_SP'!AG719)*0</f>
        <v>0</v>
      </c>
      <c r="AH719" s="417">
        <f>(+'NI-San_SP'!AH719+'NI-Soc_SP'!AH719+'NI-Ric_SP'!AH719)*0</f>
        <v>0</v>
      </c>
      <c r="AI719" s="417">
        <f>(+'NI-San_SP'!AI719+'NI-Soc_SP'!AI719+'NI-Ric_SP'!AI719)*0</f>
        <v>0</v>
      </c>
      <c r="AJ719" s="417">
        <f>(+'NI-San_SP'!AJ719+'NI-Soc_SP'!AJ719+'NI-Ric_SP'!AJ719)*0</f>
        <v>0</v>
      </c>
      <c r="AK719" s="417">
        <f>(+'NI-San_SP'!AK719+'NI-Soc_SP'!AK719+'NI-Ric_SP'!AK719)*0</f>
        <v>0</v>
      </c>
      <c r="AL719" s="417">
        <f>(+'NI-San_SP'!AL719+'NI-Soc_SP'!AL719+'NI-Ric_SP'!AL719)*0</f>
        <v>0</v>
      </c>
      <c r="AM719" s="417">
        <f>(+'NI-San_SP'!AM719+'NI-Soc_SP'!AM719+'NI-Ric_SP'!AM719)*0</f>
        <v>0</v>
      </c>
      <c r="AX719" s="211"/>
      <c r="AY719" s="211"/>
      <c r="AZ719" s="211"/>
      <c r="BA719" s="211"/>
      <c r="BB719" s="211"/>
      <c r="BC719" s="211"/>
    </row>
    <row r="720" spans="2:55" s="204" customFormat="1" x14ac:dyDescent="0.25">
      <c r="B720" s="246" t="s">
        <v>1738</v>
      </c>
      <c r="C720" s="287" t="s">
        <v>1739</v>
      </c>
      <c r="D720" s="274" t="s">
        <v>3801</v>
      </c>
      <c r="E720" s="274"/>
      <c r="F720" s="274"/>
      <c r="G720" s="283"/>
      <c r="H720" s="266"/>
      <c r="I720" s="274"/>
      <c r="J720" s="281"/>
      <c r="K720" s="281"/>
      <c r="L720" s="97" t="s">
        <v>3802</v>
      </c>
      <c r="M720" s="284" t="s">
        <v>2962</v>
      </c>
      <c r="N720" s="417">
        <f>(+R720-AA720)*0</f>
        <v>0</v>
      </c>
      <c r="O720" s="417">
        <f>+Y720-AE720</f>
        <v>0</v>
      </c>
      <c r="P720" s="418">
        <f t="shared" si="96"/>
        <v>0</v>
      </c>
      <c r="Q720" s="417">
        <f>(+'NI-San_SP'!Q720+'NI-Soc_SP'!Q720+'NI-Ric_SP'!Q720)*0</f>
        <v>0</v>
      </c>
      <c r="R720" s="417">
        <f>(+'NI-San_SP'!R720+'NI-Soc_SP'!R720+'NI-Ric_SP'!R720)*0</f>
        <v>0</v>
      </c>
      <c r="S720" s="417">
        <f>(+'NI-San_SP'!S720+'NI-Soc_SP'!S720+'NI-Ric_SP'!S720)*0</f>
        <v>0</v>
      </c>
      <c r="T720" s="417">
        <f>(+'NI-San_SP'!T720+'NI-Soc_SP'!T720+'NI-Ric_SP'!T720)*0</f>
        <v>0</v>
      </c>
      <c r="U720" s="417">
        <f>(+'NI-San_SP'!U720+'NI-Soc_SP'!U720+'NI-Ric_SP'!U720)*0</f>
        <v>0</v>
      </c>
      <c r="V720" s="417">
        <f>(+'NI-San_SP'!V720+'NI-Soc_SP'!V720+'NI-Ric_SP'!V720)*0</f>
        <v>0</v>
      </c>
      <c r="W720" s="417">
        <f>(+'NI-San_SP'!W720+'NI-Soc_SP'!W720+'NI-Ric_SP'!W720)*0</f>
        <v>0</v>
      </c>
      <c r="X720" s="417">
        <f>(+'NI-San_SP'!X720+'NI-Soc_SP'!X720+'NI-Ric_SP'!X720)*0</f>
        <v>0</v>
      </c>
      <c r="Y720" s="417">
        <f>(+'NI-San_SP'!Y720+'NI-Soc_SP'!Y720+'NI-Ric_SP'!Y720)*0</f>
        <v>0</v>
      </c>
      <c r="Z720" s="417">
        <f>(+'NI-San_SP'!Z720+'NI-Soc_SP'!Z720+'NI-Ric_SP'!Z720)*0</f>
        <v>0</v>
      </c>
      <c r="AA720" s="417">
        <f>(+'NI-San_SP'!AA720+'NI-Soc_SP'!AA720+'NI-Ric_SP'!AA720)*0</f>
        <v>0</v>
      </c>
      <c r="AB720" s="417">
        <f>(+'NI-San_SP'!AB720+'NI-Soc_SP'!AB720+'NI-Ric_SP'!AB720)*0</f>
        <v>0</v>
      </c>
      <c r="AC720" s="417">
        <f>(+'NI-San_SP'!AC720+'NI-Soc_SP'!AC720+'NI-Ric_SP'!AC720)*0</f>
        <v>0</v>
      </c>
      <c r="AD720" s="417">
        <f>(+'NI-San_SP'!AD720+'NI-Soc_SP'!AD720+'NI-Ric_SP'!AD720)*0</f>
        <v>0</v>
      </c>
      <c r="AE720" s="417">
        <f>(+'NI-San_SP'!AE720+'NI-Soc_SP'!AE720+'NI-Ric_SP'!AE720)*0</f>
        <v>0</v>
      </c>
      <c r="AF720" s="417">
        <f>(+'NI-San_SP'!AF720+'NI-Soc_SP'!AF720+'NI-Ric_SP'!AF720)*0</f>
        <v>0</v>
      </c>
      <c r="AG720" s="417">
        <f>(+'NI-San_SP'!AG720+'NI-Soc_SP'!AG720+'NI-Ric_SP'!AG720)*0</f>
        <v>0</v>
      </c>
      <c r="AH720" s="417">
        <f>(+'NI-San_SP'!AH720+'NI-Soc_SP'!AH720+'NI-Ric_SP'!AH720)*0</f>
        <v>0</v>
      </c>
      <c r="AI720" s="417">
        <f>(+'NI-San_SP'!AI720+'NI-Soc_SP'!AI720+'NI-Ric_SP'!AI720)*0</f>
        <v>0</v>
      </c>
      <c r="AJ720" s="417">
        <f>(+'NI-San_SP'!AJ720+'NI-Soc_SP'!AJ720+'NI-Ric_SP'!AJ720)*0</f>
        <v>0</v>
      </c>
      <c r="AK720" s="417">
        <f>(+'NI-San_SP'!AK720+'NI-Soc_SP'!AK720+'NI-Ric_SP'!AK720)*0</f>
        <v>0</v>
      </c>
      <c r="AL720" s="417">
        <f>(+'NI-San_SP'!AL720+'NI-Soc_SP'!AL720+'NI-Ric_SP'!AL720)*0</f>
        <v>0</v>
      </c>
      <c r="AM720" s="417">
        <f>(+'NI-San_SP'!AM720+'NI-Soc_SP'!AM720+'NI-Ric_SP'!AM720)*0</f>
        <v>0</v>
      </c>
      <c r="AX720" s="211"/>
      <c r="AY720" s="211"/>
      <c r="AZ720" s="211"/>
      <c r="BA720" s="211"/>
      <c r="BB720" s="211"/>
      <c r="BC720" s="211"/>
    </row>
    <row r="721" spans="1:55" s="204" customFormat="1" x14ac:dyDescent="0.25">
      <c r="A721" s="204" t="s">
        <v>3681</v>
      </c>
      <c r="B721" s="246" t="s">
        <v>1741</v>
      </c>
      <c r="C721" s="124" t="s">
        <v>1742</v>
      </c>
      <c r="D721" s="226"/>
      <c r="E721" s="226"/>
      <c r="F721" s="226"/>
      <c r="G721" s="290"/>
      <c r="H721" s="227"/>
      <c r="I721" s="226"/>
      <c r="J721" s="409"/>
      <c r="K721" s="409"/>
      <c r="L721" s="387" t="s">
        <v>3803</v>
      </c>
      <c r="M721" s="284" t="s">
        <v>2962</v>
      </c>
      <c r="N721" s="269">
        <f>+R721-AA721</f>
        <v>0</v>
      </c>
      <c r="O721" s="270">
        <f>+Y721-AE721</f>
        <v>0</v>
      </c>
      <c r="P721" s="271">
        <f t="shared" si="96"/>
        <v>0</v>
      </c>
      <c r="Q721" s="272">
        <f>+'NI-San_SP'!Q721+'NI-Soc_SP'!Q721+'NI-Ric_SP'!Q721</f>
        <v>0</v>
      </c>
      <c r="R721" s="272">
        <f>+'NI-San_SP'!R721+'NI-Soc_SP'!R721+'NI-Ric_SP'!R721</f>
        <v>0</v>
      </c>
      <c r="S721" s="272">
        <f>+'NI-San_SP'!S721+'NI-Soc_SP'!S721+'NI-Ric_SP'!S721</f>
        <v>0</v>
      </c>
      <c r="T721" s="272">
        <f>+'NI-San_SP'!T721+'NI-Soc_SP'!T721+'NI-Ric_SP'!T721</f>
        <v>0</v>
      </c>
      <c r="U721" s="272">
        <f>+'NI-San_SP'!U721+'NI-Soc_SP'!U721+'NI-Ric_SP'!U721</f>
        <v>0</v>
      </c>
      <c r="V721" s="272">
        <f>+'NI-San_SP'!V721+'NI-Soc_SP'!V721+'NI-Ric_SP'!V721</f>
        <v>0</v>
      </c>
      <c r="W721" s="272">
        <f>+'NI-San_SP'!W721+'NI-Soc_SP'!W721+'NI-Ric_SP'!W721</f>
        <v>0</v>
      </c>
      <c r="X721" s="272">
        <f>+'NI-San_SP'!X721+'NI-Soc_SP'!X721+'NI-Ric_SP'!X721</f>
        <v>0</v>
      </c>
      <c r="Y721" s="272">
        <f>+'NI-San_SP'!Y721+'NI-Soc_SP'!Y721+'NI-Ric_SP'!Y721</f>
        <v>0</v>
      </c>
      <c r="Z721" s="272">
        <f>+'NI-San_SP'!Z721+'NI-Soc_SP'!Z721+'NI-Ric_SP'!Z721</f>
        <v>0</v>
      </c>
      <c r="AA721" s="272">
        <f>+'NI-San_SP'!AA721+'NI-Soc_SP'!AA721+'NI-Ric_SP'!AA721</f>
        <v>0</v>
      </c>
      <c r="AB721" s="272">
        <f>+'NI-San_SP'!AB721+'NI-Soc_SP'!AB721+'NI-Ric_SP'!AB721</f>
        <v>0</v>
      </c>
      <c r="AC721" s="272">
        <f>+'NI-San_SP'!AC721+'NI-Soc_SP'!AC721+'NI-Ric_SP'!AC721</f>
        <v>0</v>
      </c>
      <c r="AD721" s="272">
        <f>+'NI-San_SP'!AD721+'NI-Soc_SP'!AD721+'NI-Ric_SP'!AD721</f>
        <v>0</v>
      </c>
      <c r="AE721" s="272">
        <f>+'NI-San_SP'!AE721+'NI-Soc_SP'!AE721+'NI-Ric_SP'!AE721</f>
        <v>0</v>
      </c>
      <c r="AF721" s="272">
        <f>+'NI-San_SP'!AF721+'NI-Soc_SP'!AF721+'NI-Ric_SP'!AF721</f>
        <v>0</v>
      </c>
      <c r="AG721" s="272">
        <f>+'NI-San_SP'!AG721+'NI-Soc_SP'!AG721+'NI-Ric_SP'!AG721</f>
        <v>0</v>
      </c>
      <c r="AH721" s="272">
        <f>+'NI-San_SP'!AH721+'NI-Soc_SP'!AH721+'NI-Ric_SP'!AH721</f>
        <v>0</v>
      </c>
      <c r="AI721" s="272">
        <f>+'NI-San_SP'!AI721+'NI-Soc_SP'!AI721+'NI-Ric_SP'!AI721</f>
        <v>0</v>
      </c>
      <c r="AJ721" s="272">
        <f>+'NI-San_SP'!AJ721+'NI-Soc_SP'!AJ721+'NI-Ric_SP'!AJ721</f>
        <v>0</v>
      </c>
      <c r="AK721" s="272">
        <f>+'NI-San_SP'!AK721+'NI-Soc_SP'!AK721+'NI-Ric_SP'!AK721</f>
        <v>0</v>
      </c>
      <c r="AL721" s="272">
        <f>+'NI-San_SP'!AL721+'NI-Soc_SP'!AL721+'NI-Ric_SP'!AL721</f>
        <v>0</v>
      </c>
      <c r="AM721" s="272">
        <f>+'NI-San_SP'!AM721+'NI-Soc_SP'!AM721+'NI-Ric_SP'!AM721</f>
        <v>0</v>
      </c>
      <c r="AX721" s="211"/>
      <c r="AY721" s="211"/>
      <c r="AZ721" s="211"/>
      <c r="BA721" s="211"/>
      <c r="BB721" s="211"/>
      <c r="BC721" s="211"/>
    </row>
    <row r="722" spans="1:55" s="204" customFormat="1" ht="25.5" x14ac:dyDescent="0.25">
      <c r="A722" s="204" t="s">
        <v>3681</v>
      </c>
      <c r="B722" s="246" t="s">
        <v>1746</v>
      </c>
      <c r="C722" s="124" t="s">
        <v>1747</v>
      </c>
      <c r="D722" s="226"/>
      <c r="E722" s="226"/>
      <c r="F722" s="226"/>
      <c r="G722" s="290"/>
      <c r="H722" s="227"/>
      <c r="I722" s="226"/>
      <c r="J722" s="409"/>
      <c r="K722" s="409"/>
      <c r="L722" s="387" t="s">
        <v>1748</v>
      </c>
      <c r="M722" s="284" t="s">
        <v>2962</v>
      </c>
      <c r="N722" s="269">
        <f>SUM(N723:N724)</f>
        <v>0</v>
      </c>
      <c r="O722" s="270">
        <f>SUM(O723:O724)</f>
        <v>0</v>
      </c>
      <c r="P722" s="271">
        <f t="shared" si="96"/>
        <v>0</v>
      </c>
      <c r="Q722" s="272">
        <f t="shared" ref="Q722:AM722" si="98">SUM(Q723:Q724)</f>
        <v>0</v>
      </c>
      <c r="R722" s="272">
        <f t="shared" si="98"/>
        <v>0</v>
      </c>
      <c r="S722" s="272">
        <f t="shared" si="98"/>
        <v>0</v>
      </c>
      <c r="T722" s="272">
        <f t="shared" si="98"/>
        <v>0</v>
      </c>
      <c r="U722" s="272">
        <f t="shared" si="98"/>
        <v>0</v>
      </c>
      <c r="V722" s="272">
        <f t="shared" si="98"/>
        <v>0</v>
      </c>
      <c r="W722" s="272">
        <f t="shared" si="98"/>
        <v>0</v>
      </c>
      <c r="X722" s="272">
        <f t="shared" si="98"/>
        <v>0</v>
      </c>
      <c r="Y722" s="272">
        <f t="shared" si="98"/>
        <v>0</v>
      </c>
      <c r="Z722" s="272">
        <f t="shared" si="98"/>
        <v>0</v>
      </c>
      <c r="AA722" s="272">
        <f t="shared" si="98"/>
        <v>0</v>
      </c>
      <c r="AB722" s="272">
        <f t="shared" si="98"/>
        <v>0</v>
      </c>
      <c r="AC722" s="272">
        <f t="shared" si="98"/>
        <v>0</v>
      </c>
      <c r="AD722" s="272">
        <f t="shared" si="98"/>
        <v>0</v>
      </c>
      <c r="AE722" s="272">
        <f t="shared" si="98"/>
        <v>0</v>
      </c>
      <c r="AF722" s="272">
        <f t="shared" si="98"/>
        <v>0</v>
      </c>
      <c r="AG722" s="272">
        <f t="shared" si="98"/>
        <v>0</v>
      </c>
      <c r="AH722" s="272">
        <f t="shared" si="98"/>
        <v>0</v>
      </c>
      <c r="AI722" s="272">
        <f t="shared" si="98"/>
        <v>0</v>
      </c>
      <c r="AJ722" s="272">
        <f t="shared" si="98"/>
        <v>0</v>
      </c>
      <c r="AK722" s="272">
        <f t="shared" si="98"/>
        <v>0</v>
      </c>
      <c r="AL722" s="272">
        <f t="shared" si="98"/>
        <v>0</v>
      </c>
      <c r="AM722" s="272">
        <f t="shared" si="98"/>
        <v>0</v>
      </c>
      <c r="AX722" s="211"/>
      <c r="AY722" s="211"/>
      <c r="AZ722" s="211"/>
      <c r="BA722" s="211"/>
      <c r="BB722" s="211"/>
      <c r="BC722" s="211"/>
    </row>
    <row r="723" spans="1:55" s="204" customFormat="1" ht="25.5" x14ac:dyDescent="0.25">
      <c r="A723" s="204" t="s">
        <v>3681</v>
      </c>
      <c r="B723" s="246" t="s">
        <v>1749</v>
      </c>
      <c r="C723" s="124" t="s">
        <v>1750</v>
      </c>
      <c r="D723" s="226"/>
      <c r="E723" s="226"/>
      <c r="F723" s="226"/>
      <c r="G723" s="290"/>
      <c r="H723" s="227"/>
      <c r="I723" s="226"/>
      <c r="J723" s="409"/>
      <c r="K723" s="409"/>
      <c r="L723" s="419" t="s">
        <v>1752</v>
      </c>
      <c r="M723" s="284" t="s">
        <v>2962</v>
      </c>
      <c r="N723" s="269">
        <f>+R723-AA723</f>
        <v>0</v>
      </c>
      <c r="O723" s="270">
        <f>+Y723-AE723</f>
        <v>0</v>
      </c>
      <c r="P723" s="271">
        <f t="shared" si="96"/>
        <v>0</v>
      </c>
      <c r="Q723" s="272">
        <f>+'NI-San_SP'!Q723+'NI-Soc_SP'!Q723+'NI-Ric_SP'!Q723</f>
        <v>0</v>
      </c>
      <c r="R723" s="272">
        <f>+'NI-San_SP'!R723+'NI-Soc_SP'!R723+'NI-Ric_SP'!R723</f>
        <v>0</v>
      </c>
      <c r="S723" s="272">
        <f>+'NI-San_SP'!S723+'NI-Soc_SP'!S723+'NI-Ric_SP'!S723</f>
        <v>0</v>
      </c>
      <c r="T723" s="272">
        <f>+'NI-San_SP'!T723+'NI-Soc_SP'!T723+'NI-Ric_SP'!T723</f>
        <v>0</v>
      </c>
      <c r="U723" s="272">
        <f>+'NI-San_SP'!U723+'NI-Soc_SP'!U723+'NI-Ric_SP'!U723</f>
        <v>0</v>
      </c>
      <c r="V723" s="272">
        <f>+'NI-San_SP'!V723+'NI-Soc_SP'!V723+'NI-Ric_SP'!V723</f>
        <v>0</v>
      </c>
      <c r="W723" s="272">
        <f>+'NI-San_SP'!W723+'NI-Soc_SP'!W723+'NI-Ric_SP'!W723</f>
        <v>0</v>
      </c>
      <c r="X723" s="272">
        <f>+'NI-San_SP'!X723+'NI-Soc_SP'!X723+'NI-Ric_SP'!X723</f>
        <v>0</v>
      </c>
      <c r="Y723" s="272">
        <f>+'NI-San_SP'!Y723+'NI-Soc_SP'!Y723+'NI-Ric_SP'!Y723</f>
        <v>0</v>
      </c>
      <c r="Z723" s="272">
        <f>+'NI-San_SP'!Z723+'NI-Soc_SP'!Z723+'NI-Ric_SP'!Z723</f>
        <v>0</v>
      </c>
      <c r="AA723" s="272">
        <f>+'NI-San_SP'!AA723+'NI-Soc_SP'!AA723+'NI-Ric_SP'!AA723</f>
        <v>0</v>
      </c>
      <c r="AB723" s="272">
        <f>+'NI-San_SP'!AB723+'NI-Soc_SP'!AB723+'NI-Ric_SP'!AB723</f>
        <v>0</v>
      </c>
      <c r="AC723" s="272">
        <f>+'NI-San_SP'!AC723+'NI-Soc_SP'!AC723+'NI-Ric_SP'!AC723</f>
        <v>0</v>
      </c>
      <c r="AD723" s="272">
        <f>+'NI-San_SP'!AD723+'NI-Soc_SP'!AD723+'NI-Ric_SP'!AD723</f>
        <v>0</v>
      </c>
      <c r="AE723" s="272">
        <f>+'NI-San_SP'!AE723+'NI-Soc_SP'!AE723+'NI-Ric_SP'!AE723</f>
        <v>0</v>
      </c>
      <c r="AF723" s="272">
        <f>+'NI-San_SP'!AF723+'NI-Soc_SP'!AF723+'NI-Ric_SP'!AF723</f>
        <v>0</v>
      </c>
      <c r="AG723" s="272">
        <f>+'NI-San_SP'!AG723+'NI-Soc_SP'!AG723+'NI-Ric_SP'!AG723</f>
        <v>0</v>
      </c>
      <c r="AH723" s="272">
        <f>+'NI-San_SP'!AH723+'NI-Soc_SP'!AH723+'NI-Ric_SP'!AH723</f>
        <v>0</v>
      </c>
      <c r="AI723" s="272">
        <f>+'NI-San_SP'!AI723+'NI-Soc_SP'!AI723+'NI-Ric_SP'!AI723</f>
        <v>0</v>
      </c>
      <c r="AJ723" s="272">
        <f>+'NI-San_SP'!AJ723+'NI-Soc_SP'!AJ723+'NI-Ric_SP'!AJ723</f>
        <v>0</v>
      </c>
      <c r="AK723" s="272">
        <f>+'NI-San_SP'!AK723+'NI-Soc_SP'!AK723+'NI-Ric_SP'!AK723</f>
        <v>0</v>
      </c>
      <c r="AL723" s="272">
        <f>+'NI-San_SP'!AL723+'NI-Soc_SP'!AL723+'NI-Ric_SP'!AL723</f>
        <v>0</v>
      </c>
      <c r="AM723" s="272">
        <f>+'NI-San_SP'!AM723+'NI-Soc_SP'!AM723+'NI-Ric_SP'!AM723</f>
        <v>0</v>
      </c>
      <c r="AX723" s="211"/>
      <c r="AY723" s="211"/>
      <c r="AZ723" s="211"/>
      <c r="BA723" s="211"/>
      <c r="BB723" s="211"/>
      <c r="BC723" s="211"/>
    </row>
    <row r="724" spans="1:55" s="204" customFormat="1" x14ac:dyDescent="0.25">
      <c r="A724" s="204" t="s">
        <v>3681</v>
      </c>
      <c r="B724" s="246" t="s">
        <v>1753</v>
      </c>
      <c r="C724" s="124" t="s">
        <v>1754</v>
      </c>
      <c r="D724" s="226"/>
      <c r="E724" s="226"/>
      <c r="F724" s="226"/>
      <c r="G724" s="290"/>
      <c r="H724" s="227"/>
      <c r="I724" s="226"/>
      <c r="J724" s="409"/>
      <c r="K724" s="409"/>
      <c r="L724" s="419" t="s">
        <v>1756</v>
      </c>
      <c r="M724" s="284" t="s">
        <v>2962</v>
      </c>
      <c r="N724" s="269">
        <f>+R724-AA724</f>
        <v>0</v>
      </c>
      <c r="O724" s="270">
        <f>+Y724-AE724</f>
        <v>0</v>
      </c>
      <c r="P724" s="271">
        <f t="shared" si="96"/>
        <v>0</v>
      </c>
      <c r="Q724" s="272">
        <f>+'NI-San_SP'!Q724+'NI-Soc_SP'!Q724+'NI-Ric_SP'!Q724</f>
        <v>0</v>
      </c>
      <c r="R724" s="272">
        <f>+'NI-San_SP'!R724+'NI-Soc_SP'!R724+'NI-Ric_SP'!R724</f>
        <v>0</v>
      </c>
      <c r="S724" s="272">
        <f>+'NI-San_SP'!S724+'NI-Soc_SP'!S724+'NI-Ric_SP'!S724</f>
        <v>0</v>
      </c>
      <c r="T724" s="272">
        <f>+'NI-San_SP'!T724+'NI-Soc_SP'!T724+'NI-Ric_SP'!T724</f>
        <v>0</v>
      </c>
      <c r="U724" s="272">
        <f>+'NI-San_SP'!U724+'NI-Soc_SP'!U724+'NI-Ric_SP'!U724</f>
        <v>0</v>
      </c>
      <c r="V724" s="272">
        <f>+'NI-San_SP'!V724+'NI-Soc_SP'!V724+'NI-Ric_SP'!V724</f>
        <v>0</v>
      </c>
      <c r="W724" s="272">
        <f>+'NI-San_SP'!W724+'NI-Soc_SP'!W724+'NI-Ric_SP'!W724</f>
        <v>0</v>
      </c>
      <c r="X724" s="272">
        <f>+'NI-San_SP'!X724+'NI-Soc_SP'!X724+'NI-Ric_SP'!X724</f>
        <v>0</v>
      </c>
      <c r="Y724" s="272">
        <f>+'NI-San_SP'!Y724+'NI-Soc_SP'!Y724+'NI-Ric_SP'!Y724</f>
        <v>0</v>
      </c>
      <c r="Z724" s="272">
        <f>+'NI-San_SP'!Z724+'NI-Soc_SP'!Z724+'NI-Ric_SP'!Z724</f>
        <v>0</v>
      </c>
      <c r="AA724" s="272">
        <f>+'NI-San_SP'!AA724+'NI-Soc_SP'!AA724+'NI-Ric_SP'!AA724</f>
        <v>0</v>
      </c>
      <c r="AB724" s="272">
        <f>+'NI-San_SP'!AB724+'NI-Soc_SP'!AB724+'NI-Ric_SP'!AB724</f>
        <v>0</v>
      </c>
      <c r="AC724" s="272">
        <f>+'NI-San_SP'!AC724+'NI-Soc_SP'!AC724+'NI-Ric_SP'!AC724</f>
        <v>0</v>
      </c>
      <c r="AD724" s="272">
        <f>+'NI-San_SP'!AD724+'NI-Soc_SP'!AD724+'NI-Ric_SP'!AD724</f>
        <v>0</v>
      </c>
      <c r="AE724" s="272">
        <f>+'NI-San_SP'!AE724+'NI-Soc_SP'!AE724+'NI-Ric_SP'!AE724</f>
        <v>0</v>
      </c>
      <c r="AF724" s="272">
        <f>+'NI-San_SP'!AF724+'NI-Soc_SP'!AF724+'NI-Ric_SP'!AF724</f>
        <v>0</v>
      </c>
      <c r="AG724" s="272">
        <f>+'NI-San_SP'!AG724+'NI-Soc_SP'!AG724+'NI-Ric_SP'!AG724</f>
        <v>0</v>
      </c>
      <c r="AH724" s="272">
        <f>+'NI-San_SP'!AH724+'NI-Soc_SP'!AH724+'NI-Ric_SP'!AH724</f>
        <v>0</v>
      </c>
      <c r="AI724" s="272">
        <f>+'NI-San_SP'!AI724+'NI-Soc_SP'!AI724+'NI-Ric_SP'!AI724</f>
        <v>0</v>
      </c>
      <c r="AJ724" s="272">
        <f>+'NI-San_SP'!AJ724+'NI-Soc_SP'!AJ724+'NI-Ric_SP'!AJ724</f>
        <v>0</v>
      </c>
      <c r="AK724" s="272">
        <f>+'NI-San_SP'!AK724+'NI-Soc_SP'!AK724+'NI-Ric_SP'!AK724</f>
        <v>0</v>
      </c>
      <c r="AL724" s="272">
        <f>+'NI-San_SP'!AL724+'NI-Soc_SP'!AL724+'NI-Ric_SP'!AL724</f>
        <v>0</v>
      </c>
      <c r="AM724" s="272">
        <f>+'NI-San_SP'!AM724+'NI-Soc_SP'!AM724+'NI-Ric_SP'!AM724</f>
        <v>0</v>
      </c>
      <c r="AX724" s="211"/>
      <c r="AY724" s="211"/>
      <c r="AZ724" s="211"/>
      <c r="BA724" s="211"/>
      <c r="BB724" s="211"/>
      <c r="BC724" s="211"/>
    </row>
    <row r="725" spans="1:55" s="204" customFormat="1" x14ac:dyDescent="0.25"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</row>
    <row r="726" spans="1:55" s="204" customFormat="1" x14ac:dyDescent="0.25">
      <c r="B726" s="230"/>
      <c r="C726" s="230"/>
      <c r="D726" s="230"/>
      <c r="E726" s="230"/>
      <c r="F726" s="230"/>
      <c r="G726" s="230"/>
      <c r="H726" s="231"/>
      <c r="I726" s="230"/>
      <c r="J726" s="230"/>
      <c r="K726" s="230"/>
      <c r="L726" s="232"/>
      <c r="M726" s="211"/>
      <c r="N726" s="254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</row>
    <row r="727" spans="1:55" s="204" customFormat="1" x14ac:dyDescent="0.25">
      <c r="B727" s="246" t="s">
        <v>1757</v>
      </c>
      <c r="C727" s="246" t="s">
        <v>1758</v>
      </c>
      <c r="D727" s="247" t="s">
        <v>3804</v>
      </c>
      <c r="E727" s="247"/>
      <c r="F727" s="247"/>
      <c r="G727" s="247"/>
      <c r="H727" s="248"/>
      <c r="I727" s="247"/>
      <c r="J727" s="247"/>
      <c r="K727" s="249"/>
      <c r="L727" s="250" t="s">
        <v>1759</v>
      </c>
      <c r="M727" s="251" t="s">
        <v>2962</v>
      </c>
      <c r="N727" s="252">
        <f>SUM(N730:N733)</f>
        <v>0</v>
      </c>
      <c r="O727" s="252">
        <f>SUM(O730:O733)</f>
        <v>0</v>
      </c>
      <c r="P727" s="253">
        <f>+O727-N727</f>
        <v>0</v>
      </c>
      <c r="Q727" s="252">
        <f t="shared" ref="Q727:AC727" si="99">SUM(Q730:Q733)</f>
        <v>0</v>
      </c>
      <c r="R727" s="252">
        <f t="shared" si="99"/>
        <v>0</v>
      </c>
      <c r="S727" s="252">
        <f t="shared" si="99"/>
        <v>0</v>
      </c>
      <c r="T727" s="252">
        <f t="shared" si="99"/>
        <v>0</v>
      </c>
      <c r="U727" s="252">
        <f t="shared" si="99"/>
        <v>0</v>
      </c>
      <c r="V727" s="252">
        <f t="shared" si="99"/>
        <v>0</v>
      </c>
      <c r="W727" s="252">
        <f t="shared" si="99"/>
        <v>0</v>
      </c>
      <c r="X727" s="252">
        <f t="shared" si="99"/>
        <v>0</v>
      </c>
      <c r="Y727" s="252">
        <f t="shared" si="99"/>
        <v>0</v>
      </c>
      <c r="Z727" s="252">
        <f t="shared" si="99"/>
        <v>0</v>
      </c>
      <c r="AA727" s="252">
        <f t="shared" si="99"/>
        <v>0</v>
      </c>
      <c r="AB727" s="252">
        <f t="shared" si="99"/>
        <v>0</v>
      </c>
      <c r="AC727" s="252">
        <f t="shared" si="99"/>
        <v>0</v>
      </c>
    </row>
    <row r="728" spans="1:55" s="204" customFormat="1" x14ac:dyDescent="0.25">
      <c r="B728" s="230"/>
      <c r="C728" s="230"/>
      <c r="D728" s="230"/>
      <c r="E728" s="230"/>
      <c r="F728" s="230"/>
      <c r="G728" s="230"/>
      <c r="H728" s="231"/>
      <c r="I728" s="230"/>
      <c r="J728" s="230"/>
      <c r="K728" s="230"/>
      <c r="L728" s="420"/>
      <c r="M728" s="211"/>
      <c r="N728" s="254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</row>
    <row r="729" spans="1:55" s="204" customFormat="1" ht="63.75" x14ac:dyDescent="0.25">
      <c r="B729" s="260" t="s">
        <v>2968</v>
      </c>
      <c r="C729" s="260" t="s">
        <v>2969</v>
      </c>
      <c r="D729" s="206" t="s">
        <v>72</v>
      </c>
      <c r="E729" s="206"/>
      <c r="F729" s="206"/>
      <c r="G729" s="207"/>
      <c r="H729" s="207"/>
      <c r="I729" s="207"/>
      <c r="J729" s="207" t="s">
        <v>2957</v>
      </c>
      <c r="K729" s="206" t="s">
        <v>82</v>
      </c>
      <c r="L729" s="261" t="s">
        <v>3670</v>
      </c>
      <c r="M729" s="256"/>
      <c r="N729" s="256" t="str">
        <f>N$15</f>
        <v>Valore netto al 31/12/2019</v>
      </c>
      <c r="O729" s="256" t="str">
        <f>O$15</f>
        <v>Valore netto al 31/12/2020</v>
      </c>
      <c r="P729" s="256" t="str">
        <f>P$15</f>
        <v>Variazione</v>
      </c>
      <c r="Q729" s="262" t="s">
        <v>2971</v>
      </c>
      <c r="R729" s="262" t="str">
        <f>"Costo storico al 31/12/"&amp;Info!$B$3-1</f>
        <v>Costo storico al 31/12/2019</v>
      </c>
      <c r="S729" s="262" t="s">
        <v>2972</v>
      </c>
      <c r="T729" s="262" t="s">
        <v>2973</v>
      </c>
      <c r="U729" s="262" t="s">
        <v>2974</v>
      </c>
      <c r="V729" s="262" t="s">
        <v>3517</v>
      </c>
      <c r="W729" s="262" t="s">
        <v>2975</v>
      </c>
      <c r="X729" s="262" t="s">
        <v>2976</v>
      </c>
      <c r="Y729" s="262" t="s">
        <v>3518</v>
      </c>
      <c r="Z729" s="262" t="s">
        <v>2979</v>
      </c>
      <c r="AA729" s="262" t="s">
        <v>3519</v>
      </c>
      <c r="AB729" s="262" t="s">
        <v>2983</v>
      </c>
      <c r="AC729" s="262" t="s">
        <v>3520</v>
      </c>
    </row>
    <row r="730" spans="1:55" s="204" customFormat="1" x14ac:dyDescent="0.25">
      <c r="B730" s="246" t="s">
        <v>1760</v>
      </c>
      <c r="C730" s="284" t="s">
        <v>1761</v>
      </c>
      <c r="D730" s="274" t="s">
        <v>3805</v>
      </c>
      <c r="E730" s="274"/>
      <c r="F730" s="274"/>
      <c r="G730" s="283"/>
      <c r="H730" s="266"/>
      <c r="I730" s="274"/>
      <c r="J730" s="281"/>
      <c r="K730" s="281"/>
      <c r="L730" s="295" t="s">
        <v>3806</v>
      </c>
      <c r="M730" s="284" t="s">
        <v>2962</v>
      </c>
      <c r="N730" s="270">
        <f>+V730</f>
        <v>0</v>
      </c>
      <c r="O730" s="270">
        <f>+AC730</f>
        <v>0</v>
      </c>
      <c r="P730" s="271">
        <f>+O730-N730</f>
        <v>0</v>
      </c>
      <c r="Q730" s="272">
        <f>+'NI-San_SP'!Q730+'NI-Soc_SP'!Q730+'NI-Ric_SP'!Q730</f>
        <v>0</v>
      </c>
      <c r="R730" s="272">
        <f>+'NI-San_SP'!R730+'NI-Soc_SP'!R730+'NI-Ric_SP'!R730</f>
        <v>0</v>
      </c>
      <c r="S730" s="272">
        <f>+'NI-San_SP'!S730+'NI-Soc_SP'!S730+'NI-Ric_SP'!S730</f>
        <v>0</v>
      </c>
      <c r="T730" s="272">
        <f>+'NI-San_SP'!T730+'NI-Soc_SP'!T730+'NI-Ric_SP'!T730</f>
        <v>0</v>
      </c>
      <c r="U730" s="272"/>
      <c r="V730" s="272">
        <f>+'NI-San_SP'!V730+'NI-Soc_SP'!V730+'NI-Ric_SP'!V730</f>
        <v>0</v>
      </c>
      <c r="W730" s="272">
        <f>+'NI-San_SP'!W730+'NI-Soc_SP'!W730+'NI-Ric_SP'!W730</f>
        <v>0</v>
      </c>
      <c r="X730" s="272">
        <f>+'NI-San_SP'!X730+'NI-Soc_SP'!X730+'NI-Ric_SP'!X730</f>
        <v>0</v>
      </c>
      <c r="Y730" s="272">
        <f>+'NI-San_SP'!Y730+'NI-Soc_SP'!Y730+'NI-Ric_SP'!Y730</f>
        <v>0</v>
      </c>
      <c r="Z730" s="272">
        <f>+'NI-San_SP'!Z730+'NI-Soc_SP'!Z730+'NI-Ric_SP'!Z730</f>
        <v>0</v>
      </c>
      <c r="AA730" s="272">
        <f>+'NI-San_SP'!AA730+'NI-Soc_SP'!AA730+'NI-Ric_SP'!AA730</f>
        <v>0</v>
      </c>
      <c r="AB730" s="272">
        <f>+'NI-San_SP'!AB730+'NI-Soc_SP'!AB730+'NI-Ric_SP'!AB730</f>
        <v>0</v>
      </c>
      <c r="AC730" s="272">
        <f>+'NI-San_SP'!AC730+'NI-Soc_SP'!AC730+'NI-Ric_SP'!AC730</f>
        <v>0</v>
      </c>
    </row>
    <row r="731" spans="1:55" s="204" customFormat="1" x14ac:dyDescent="0.25">
      <c r="B731" s="246" t="s">
        <v>1765</v>
      </c>
      <c r="C731" s="287" t="s">
        <v>1766</v>
      </c>
      <c r="D731" s="274" t="s">
        <v>3807</v>
      </c>
      <c r="E731" s="274"/>
      <c r="F731" s="274"/>
      <c r="G731" s="283"/>
      <c r="H731" s="266"/>
      <c r="I731" s="274"/>
      <c r="J731" s="281"/>
      <c r="K731" s="281"/>
      <c r="L731" s="295" t="s">
        <v>3808</v>
      </c>
      <c r="M731" s="284" t="s">
        <v>2962</v>
      </c>
      <c r="N731" s="270">
        <f>+V731</f>
        <v>0</v>
      </c>
      <c r="O731" s="270">
        <f>+AC731</f>
        <v>0</v>
      </c>
      <c r="P731" s="271">
        <f>+O731-N731</f>
        <v>0</v>
      </c>
      <c r="Q731" s="272">
        <f>+'NI-San_SP'!Q731+'NI-Soc_SP'!Q731+'NI-Ric_SP'!Q731</f>
        <v>0</v>
      </c>
      <c r="R731" s="272">
        <f>+'NI-San_SP'!R731+'NI-Soc_SP'!R731+'NI-Ric_SP'!R731</f>
        <v>0</v>
      </c>
      <c r="S731" s="272">
        <f>+'NI-San_SP'!S731+'NI-Soc_SP'!S731+'NI-Ric_SP'!S731</f>
        <v>0</v>
      </c>
      <c r="T731" s="272">
        <f>+'NI-San_SP'!T731+'NI-Soc_SP'!T731+'NI-Ric_SP'!T731</f>
        <v>0</v>
      </c>
      <c r="U731" s="272"/>
      <c r="V731" s="272">
        <f>+'NI-San_SP'!V731+'NI-Soc_SP'!V731+'NI-Ric_SP'!V731</f>
        <v>0</v>
      </c>
      <c r="W731" s="272">
        <f>+'NI-San_SP'!W731+'NI-Soc_SP'!W731+'NI-Ric_SP'!W731</f>
        <v>0</v>
      </c>
      <c r="X731" s="272">
        <f>+'NI-San_SP'!X731+'NI-Soc_SP'!X731+'NI-Ric_SP'!X731</f>
        <v>0</v>
      </c>
      <c r="Y731" s="272">
        <f>+'NI-San_SP'!Y731+'NI-Soc_SP'!Y731+'NI-Ric_SP'!Y731</f>
        <v>0</v>
      </c>
      <c r="Z731" s="272">
        <f>+'NI-San_SP'!Z731+'NI-Soc_SP'!Z731+'NI-Ric_SP'!Z731</f>
        <v>0</v>
      </c>
      <c r="AA731" s="272">
        <f>+'NI-San_SP'!AA731+'NI-Soc_SP'!AA731+'NI-Ric_SP'!AA731</f>
        <v>0</v>
      </c>
      <c r="AB731" s="272">
        <f>+'NI-San_SP'!AB731+'NI-Soc_SP'!AB731+'NI-Ric_SP'!AB731</f>
        <v>0</v>
      </c>
      <c r="AC731" s="272">
        <f>+'NI-San_SP'!AC731+'NI-Soc_SP'!AC731+'NI-Ric_SP'!AC731</f>
        <v>0</v>
      </c>
    </row>
    <row r="732" spans="1:55" s="204" customFormat="1" x14ac:dyDescent="0.25">
      <c r="B732" s="246" t="s">
        <v>1767</v>
      </c>
      <c r="C732" s="284" t="s">
        <v>1768</v>
      </c>
      <c r="D732" s="274" t="s">
        <v>3809</v>
      </c>
      <c r="E732" s="274"/>
      <c r="F732" s="274"/>
      <c r="G732" s="283"/>
      <c r="H732" s="266"/>
      <c r="I732" s="274"/>
      <c r="J732" s="281"/>
      <c r="K732" s="281"/>
      <c r="L732" s="295" t="s">
        <v>3810</v>
      </c>
      <c r="M732" s="284" t="s">
        <v>2962</v>
      </c>
      <c r="N732" s="270">
        <f>+V732</f>
        <v>0</v>
      </c>
      <c r="O732" s="270">
        <f>+AC732</f>
        <v>0</v>
      </c>
      <c r="P732" s="271">
        <f>+O732-N732</f>
        <v>0</v>
      </c>
      <c r="Q732" s="272">
        <f>+'NI-San_SP'!Q732+'NI-Soc_SP'!Q732+'NI-Ric_SP'!Q732</f>
        <v>0</v>
      </c>
      <c r="R732" s="272">
        <f>+'NI-San_SP'!R732+'NI-Soc_SP'!R732+'NI-Ric_SP'!R732</f>
        <v>0</v>
      </c>
      <c r="S732" s="272">
        <f>+'NI-San_SP'!S732+'NI-Soc_SP'!S732+'NI-Ric_SP'!S732</f>
        <v>0</v>
      </c>
      <c r="T732" s="272">
        <f>+'NI-San_SP'!T732+'NI-Soc_SP'!T732+'NI-Ric_SP'!T732</f>
        <v>0</v>
      </c>
      <c r="U732" s="272"/>
      <c r="V732" s="272">
        <f>+'NI-San_SP'!V732+'NI-Soc_SP'!V732+'NI-Ric_SP'!V732</f>
        <v>0</v>
      </c>
      <c r="W732" s="272">
        <f>+'NI-San_SP'!W732+'NI-Soc_SP'!W732+'NI-Ric_SP'!W732</f>
        <v>0</v>
      </c>
      <c r="X732" s="272">
        <f>+'NI-San_SP'!X732+'NI-Soc_SP'!X732+'NI-Ric_SP'!X732</f>
        <v>0</v>
      </c>
      <c r="Y732" s="272">
        <f>+'NI-San_SP'!Y732+'NI-Soc_SP'!Y732+'NI-Ric_SP'!Y732</f>
        <v>0</v>
      </c>
      <c r="Z732" s="272">
        <f>+'NI-San_SP'!Z732+'NI-Soc_SP'!Z732+'NI-Ric_SP'!Z732</f>
        <v>0</v>
      </c>
      <c r="AA732" s="272">
        <f>+'NI-San_SP'!AA732+'NI-Soc_SP'!AA732+'NI-Ric_SP'!AA732</f>
        <v>0</v>
      </c>
      <c r="AB732" s="272">
        <f>+'NI-San_SP'!AB732+'NI-Soc_SP'!AB732+'NI-Ric_SP'!AB732</f>
        <v>0</v>
      </c>
      <c r="AC732" s="272">
        <f>+'NI-San_SP'!AC732+'NI-Soc_SP'!AC732+'NI-Ric_SP'!AC732</f>
        <v>0</v>
      </c>
    </row>
    <row r="733" spans="1:55" s="204" customFormat="1" x14ac:dyDescent="0.25">
      <c r="B733" s="246" t="s">
        <v>1769</v>
      </c>
      <c r="C733" s="284" t="s">
        <v>1770</v>
      </c>
      <c r="D733" s="274" t="s">
        <v>3811</v>
      </c>
      <c r="E733" s="274"/>
      <c r="F733" s="274"/>
      <c r="G733" s="283"/>
      <c r="H733" s="266"/>
      <c r="I733" s="274"/>
      <c r="J733" s="281"/>
      <c r="K733" s="281"/>
      <c r="L733" s="295" t="s">
        <v>3812</v>
      </c>
      <c r="M733" s="284" t="s">
        <v>2962</v>
      </c>
      <c r="N733" s="270">
        <f>+V733</f>
        <v>0</v>
      </c>
      <c r="O733" s="270">
        <f>+AC733</f>
        <v>0</v>
      </c>
      <c r="P733" s="271">
        <f>+O733-N733</f>
        <v>0</v>
      </c>
      <c r="Q733" s="272">
        <f>+'NI-San_SP'!Q733+'NI-Soc_SP'!Q733+'NI-Ric_SP'!Q733</f>
        <v>0</v>
      </c>
      <c r="R733" s="272">
        <f>+'NI-San_SP'!R733+'NI-Soc_SP'!R733+'NI-Ric_SP'!R733</f>
        <v>0</v>
      </c>
      <c r="S733" s="272">
        <f>+'NI-San_SP'!S733+'NI-Soc_SP'!S733+'NI-Ric_SP'!S733</f>
        <v>0</v>
      </c>
      <c r="T733" s="272">
        <f>+'NI-San_SP'!T733+'NI-Soc_SP'!T733+'NI-Ric_SP'!T733</f>
        <v>0</v>
      </c>
      <c r="U733" s="272"/>
      <c r="V733" s="272">
        <f>+'NI-San_SP'!V733+'NI-Soc_SP'!V733+'NI-Ric_SP'!V733</f>
        <v>0</v>
      </c>
      <c r="W733" s="272">
        <f>+'NI-San_SP'!W733+'NI-Soc_SP'!W733+'NI-Ric_SP'!W733</f>
        <v>0</v>
      </c>
      <c r="X733" s="272">
        <f>+'NI-San_SP'!X733+'NI-Soc_SP'!X733+'NI-Ric_SP'!X733</f>
        <v>0</v>
      </c>
      <c r="Y733" s="272">
        <f>+'NI-San_SP'!Y733+'NI-Soc_SP'!Y733+'NI-Ric_SP'!Y733</f>
        <v>0</v>
      </c>
      <c r="Z733" s="272">
        <f>+'NI-San_SP'!Z733+'NI-Soc_SP'!Z733+'NI-Ric_SP'!Z733</f>
        <v>0</v>
      </c>
      <c r="AA733" s="272">
        <f>+'NI-San_SP'!AA733+'NI-Soc_SP'!AA733+'NI-Ric_SP'!AA733</f>
        <v>0</v>
      </c>
      <c r="AB733" s="272">
        <f>+'NI-San_SP'!AB733+'NI-Soc_SP'!AB733+'NI-Ric_SP'!AB733</f>
        <v>0</v>
      </c>
      <c r="AC733" s="272">
        <f>+'NI-San_SP'!AC733+'NI-Soc_SP'!AC733+'NI-Ric_SP'!AC733</f>
        <v>0</v>
      </c>
    </row>
    <row r="734" spans="1:55" s="204" customFormat="1" x14ac:dyDescent="0.25"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344" t="s">
        <v>3813</v>
      </c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</row>
    <row r="735" spans="1:55" s="204" customFormat="1" x14ac:dyDescent="0.25"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32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</row>
    <row r="736" spans="1:55" s="204" customFormat="1" x14ac:dyDescent="0.25">
      <c r="B736" s="246" t="s">
        <v>1775</v>
      </c>
      <c r="C736" s="246" t="s">
        <v>1776</v>
      </c>
      <c r="D736" s="247" t="s">
        <v>3814</v>
      </c>
      <c r="E736" s="247"/>
      <c r="F736" s="247"/>
      <c r="G736" s="247"/>
      <c r="H736" s="248"/>
      <c r="I736" s="247"/>
      <c r="J736" s="247"/>
      <c r="K736" s="249"/>
      <c r="L736" s="250" t="s">
        <v>1777</v>
      </c>
      <c r="M736" s="251" t="s">
        <v>2962</v>
      </c>
      <c r="N736" s="252">
        <f>SUM(N739:N742)</f>
        <v>22090561</v>
      </c>
      <c r="O736" s="252">
        <f>SUM(O739:O742)</f>
        <v>15909939</v>
      </c>
      <c r="P736" s="253">
        <f>+O736-N736</f>
        <v>-6180622</v>
      </c>
      <c r="Q736" s="252">
        <f t="shared" ref="Q736:V736" si="100">SUM(Q739:Q742)</f>
        <v>0</v>
      </c>
      <c r="R736" s="252">
        <f t="shared" si="100"/>
        <v>22090561</v>
      </c>
      <c r="S736" s="252">
        <f t="shared" si="100"/>
        <v>0</v>
      </c>
      <c r="T736" s="252">
        <f t="shared" si="100"/>
        <v>287288949</v>
      </c>
      <c r="U736" s="252">
        <f t="shared" si="100"/>
        <v>0</v>
      </c>
      <c r="V736" s="252">
        <f t="shared" si="100"/>
        <v>15909939</v>
      </c>
      <c r="W736" s="211"/>
      <c r="X736" s="211"/>
      <c r="Y736" s="211"/>
      <c r="Z736" s="211"/>
      <c r="AA736" s="211"/>
    </row>
    <row r="737" spans="2:27" s="204" customFormat="1" x14ac:dyDescent="0.25"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32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</row>
    <row r="738" spans="2:27" s="204" customFormat="1" ht="63.75" x14ac:dyDescent="0.25">
      <c r="B738" s="260" t="s">
        <v>2968</v>
      </c>
      <c r="C738" s="260" t="s">
        <v>2969</v>
      </c>
      <c r="D738" s="206" t="s">
        <v>72</v>
      </c>
      <c r="E738" s="206"/>
      <c r="F738" s="206"/>
      <c r="G738" s="207"/>
      <c r="H738" s="207"/>
      <c r="I738" s="207"/>
      <c r="J738" s="207" t="s">
        <v>2957</v>
      </c>
      <c r="K738" s="206" t="s">
        <v>82</v>
      </c>
      <c r="L738" s="261" t="s">
        <v>3670</v>
      </c>
      <c r="M738" s="256"/>
      <c r="N738" s="256" t="str">
        <f>N$15</f>
        <v>Valore netto al 31/12/2019</v>
      </c>
      <c r="O738" s="256" t="str">
        <f>O$15</f>
        <v>Valore netto al 31/12/2020</v>
      </c>
      <c r="P738" s="256" t="str">
        <f>P$15</f>
        <v>Variazione</v>
      </c>
      <c r="Q738" s="262" t="s">
        <v>2971</v>
      </c>
      <c r="R738" s="262" t="s">
        <v>3517</v>
      </c>
      <c r="S738" s="262" t="s">
        <v>2972</v>
      </c>
      <c r="T738" s="262" t="s">
        <v>3496</v>
      </c>
      <c r="U738" s="262" t="s">
        <v>3495</v>
      </c>
      <c r="V738" s="262" t="s">
        <v>3815</v>
      </c>
      <c r="W738" s="211"/>
      <c r="X738" s="211"/>
      <c r="Y738" s="211"/>
      <c r="Z738" s="211"/>
      <c r="AA738" s="211"/>
    </row>
    <row r="739" spans="2:27" s="204" customFormat="1" x14ac:dyDescent="0.25">
      <c r="B739" s="246" t="s">
        <v>1778</v>
      </c>
      <c r="C739" s="284" t="s">
        <v>1779</v>
      </c>
      <c r="D739" s="274" t="s">
        <v>3816</v>
      </c>
      <c r="E739" s="274"/>
      <c r="F739" s="274"/>
      <c r="G739" s="283"/>
      <c r="H739" s="266"/>
      <c r="I739" s="274"/>
      <c r="J739" s="281"/>
      <c r="K739" s="281"/>
      <c r="L739" s="421" t="s">
        <v>3817</v>
      </c>
      <c r="M739" s="263" t="s">
        <v>2962</v>
      </c>
      <c r="N739" s="408">
        <f>+R739</f>
        <v>54618</v>
      </c>
      <c r="O739" s="408">
        <f>+V739</f>
        <v>83937</v>
      </c>
      <c r="P739" s="271">
        <f>+O739-N739</f>
        <v>29319</v>
      </c>
      <c r="Q739" s="272">
        <f>+'NI-San_SP'!Q739+'NI-Soc_SP'!Q739+'NI-Ric_SP'!Q739</f>
        <v>0</v>
      </c>
      <c r="R739" s="272">
        <f>+'NI-San_SP'!R739+'NI-Soc_SP'!R739+'NI-Ric_SP'!R739</f>
        <v>54618</v>
      </c>
      <c r="S739" s="272">
        <f>+'NI-San_SP'!S739+'NI-Soc_SP'!S739+'NI-Ric_SP'!S739</f>
        <v>0</v>
      </c>
      <c r="T739" s="272">
        <f>+'NI-San_SP'!T739+'NI-Soc_SP'!T739+'NI-Ric_SP'!T739</f>
        <v>5607713</v>
      </c>
      <c r="U739" s="272"/>
      <c r="V739" s="272">
        <f>+'NI-San_SP'!V739+'NI-Soc_SP'!V739+'NI-Ric_SP'!V739</f>
        <v>83937</v>
      </c>
      <c r="W739" s="211"/>
      <c r="X739" s="211"/>
      <c r="Y739" s="211"/>
      <c r="Z739" s="211"/>
      <c r="AA739" s="211"/>
    </row>
    <row r="740" spans="2:27" s="204" customFormat="1" x14ac:dyDescent="0.25">
      <c r="B740" s="246" t="s">
        <v>1784</v>
      </c>
      <c r="C740" s="284" t="s">
        <v>1785</v>
      </c>
      <c r="D740" s="274" t="s">
        <v>3818</v>
      </c>
      <c r="E740" s="274"/>
      <c r="F740" s="274"/>
      <c r="G740" s="283"/>
      <c r="H740" s="266"/>
      <c r="I740" s="274"/>
      <c r="J740" s="281"/>
      <c r="K740" s="281"/>
      <c r="L740" s="422" t="s">
        <v>3819</v>
      </c>
      <c r="M740" s="284" t="s">
        <v>2962</v>
      </c>
      <c r="N740" s="408">
        <f>+R740</f>
        <v>22019007</v>
      </c>
      <c r="O740" s="408">
        <f>+V740</f>
        <v>15810342</v>
      </c>
      <c r="P740" s="271">
        <f>+O740-N740</f>
        <v>-6208665</v>
      </c>
      <c r="Q740" s="272">
        <f>+'NI-San_SP'!Q740+'NI-Soc_SP'!Q740+'NI-Ric_SP'!Q740</f>
        <v>0</v>
      </c>
      <c r="R740" s="272">
        <f>+'NI-San_SP'!R740+'NI-Soc_SP'!R740+'NI-Ric_SP'!R740</f>
        <v>22019007</v>
      </c>
      <c r="S740" s="272">
        <f>+'NI-San_SP'!S740+'NI-Soc_SP'!S740+'NI-Ric_SP'!S740</f>
        <v>0</v>
      </c>
      <c r="T740" s="272">
        <f>+'NI-San_SP'!T740+'NI-Soc_SP'!T740+'NI-Ric_SP'!T740</f>
        <v>281665576</v>
      </c>
      <c r="U740" s="272"/>
      <c r="V740" s="272">
        <f>+'NI-San_SP'!V740+'NI-Soc_SP'!V740+'NI-Ric_SP'!V740</f>
        <v>15810342</v>
      </c>
      <c r="W740" s="211"/>
      <c r="X740" s="211"/>
      <c r="Y740" s="211"/>
      <c r="Z740" s="211"/>
      <c r="AA740" s="211"/>
    </row>
    <row r="741" spans="2:27" s="204" customFormat="1" x14ac:dyDescent="0.25">
      <c r="B741" s="246" t="s">
        <v>1790</v>
      </c>
      <c r="C741" s="287" t="s">
        <v>1791</v>
      </c>
      <c r="D741" s="274" t="s">
        <v>3820</v>
      </c>
      <c r="E741" s="274"/>
      <c r="F741" s="274"/>
      <c r="G741" s="283"/>
      <c r="H741" s="266"/>
      <c r="I741" s="274"/>
      <c r="J741" s="281"/>
      <c r="K741" s="281"/>
      <c r="L741" s="422" t="s">
        <v>3821</v>
      </c>
      <c r="M741" s="284" t="s">
        <v>2962</v>
      </c>
      <c r="N741" s="408">
        <f>+R741</f>
        <v>0</v>
      </c>
      <c r="O741" s="408">
        <f>+V741</f>
        <v>0</v>
      </c>
      <c r="P741" s="271">
        <f>+O741-N741</f>
        <v>0</v>
      </c>
      <c r="Q741" s="272">
        <f>+'NI-San_SP'!Q741+'NI-Soc_SP'!Q741+'NI-Ric_SP'!Q741</f>
        <v>0</v>
      </c>
      <c r="R741" s="272">
        <f>+'NI-San_SP'!R741+'NI-Soc_SP'!R741+'NI-Ric_SP'!R741</f>
        <v>0</v>
      </c>
      <c r="S741" s="272">
        <f>+'NI-San_SP'!S741+'NI-Soc_SP'!S741+'NI-Ric_SP'!S741</f>
        <v>0</v>
      </c>
      <c r="T741" s="272">
        <f>+'NI-San_SP'!T741+'NI-Soc_SP'!T741+'NI-Ric_SP'!T741</f>
        <v>0</v>
      </c>
      <c r="U741" s="272"/>
      <c r="V741" s="272">
        <f>+'NI-San_SP'!V741+'NI-Soc_SP'!V741+'NI-Ric_SP'!V741</f>
        <v>0</v>
      </c>
      <c r="W741" s="211"/>
      <c r="X741" s="211"/>
      <c r="Y741" s="211"/>
      <c r="Z741" s="211"/>
      <c r="AA741" s="211"/>
    </row>
    <row r="742" spans="2:27" s="204" customFormat="1" x14ac:dyDescent="0.25">
      <c r="B742" s="246" t="s">
        <v>1796</v>
      </c>
      <c r="C742" s="284" t="s">
        <v>1797</v>
      </c>
      <c r="D742" s="274" t="s">
        <v>3822</v>
      </c>
      <c r="E742" s="274"/>
      <c r="F742" s="274"/>
      <c r="G742" s="283"/>
      <c r="H742" s="266"/>
      <c r="I742" s="274"/>
      <c r="J742" s="281"/>
      <c r="K742" s="281"/>
      <c r="L742" s="422" t="s">
        <v>3823</v>
      </c>
      <c r="M742" s="284" t="s">
        <v>2962</v>
      </c>
      <c r="N742" s="408">
        <f>+R742</f>
        <v>16936</v>
      </c>
      <c r="O742" s="408">
        <f>+V742</f>
        <v>15660</v>
      </c>
      <c r="P742" s="271">
        <f>+O742-N742</f>
        <v>-1276</v>
      </c>
      <c r="Q742" s="272">
        <f>+'NI-San_SP'!Q742+'NI-Soc_SP'!Q742+'NI-Ric_SP'!Q742</f>
        <v>0</v>
      </c>
      <c r="R742" s="272">
        <f>+'NI-San_SP'!R742+'NI-Soc_SP'!R742+'NI-Ric_SP'!R742</f>
        <v>16936</v>
      </c>
      <c r="S742" s="272">
        <f>+'NI-San_SP'!S742+'NI-Soc_SP'!S742+'NI-Ric_SP'!S742</f>
        <v>0</v>
      </c>
      <c r="T742" s="272">
        <f>+'NI-San_SP'!T742+'NI-Soc_SP'!T742+'NI-Ric_SP'!T742</f>
        <v>15660</v>
      </c>
      <c r="U742" s="272"/>
      <c r="V742" s="272">
        <f>+'NI-San_SP'!V742+'NI-Soc_SP'!V742+'NI-Ric_SP'!V742</f>
        <v>15660</v>
      </c>
      <c r="W742" s="211"/>
      <c r="X742" s="211"/>
      <c r="Y742" s="211"/>
      <c r="Z742" s="211"/>
      <c r="AA742" s="211"/>
    </row>
    <row r="743" spans="2:27" s="204" customFormat="1" ht="26.25" x14ac:dyDescent="0.25">
      <c r="B743" s="230"/>
      <c r="C743" s="230"/>
      <c r="D743" s="230"/>
      <c r="E743" s="230"/>
      <c r="F743" s="230"/>
      <c r="G743" s="230"/>
      <c r="H743" s="231"/>
      <c r="I743" s="230"/>
      <c r="J743" s="230"/>
      <c r="K743" s="230"/>
      <c r="L743" s="232" t="s">
        <v>3824</v>
      </c>
      <c r="M743" s="230"/>
      <c r="N743" s="230"/>
      <c r="O743" s="230"/>
      <c r="P743" s="423"/>
      <c r="Q743" s="213"/>
      <c r="R743" s="213"/>
      <c r="S743" s="211"/>
      <c r="T743" s="211"/>
      <c r="U743" s="211"/>
      <c r="V743" s="211"/>
      <c r="W743" s="211"/>
      <c r="X743" s="211"/>
      <c r="Y743" s="211"/>
      <c r="Z743" s="211"/>
      <c r="AA743" s="211"/>
    </row>
    <row r="744" spans="2:27" s="204" customFormat="1" ht="26.25" x14ac:dyDescent="0.25">
      <c r="B744" s="230"/>
      <c r="C744" s="230"/>
      <c r="D744" s="230"/>
      <c r="E744" s="230"/>
      <c r="F744" s="230"/>
      <c r="G744" s="230"/>
      <c r="H744" s="231"/>
      <c r="I744" s="230"/>
      <c r="J744" s="230"/>
      <c r="K744" s="230"/>
      <c r="L744" s="232" t="s">
        <v>3825</v>
      </c>
      <c r="M744" s="230"/>
      <c r="N744" s="230"/>
      <c r="O744" s="230"/>
      <c r="P744" s="423"/>
      <c r="Q744" s="213"/>
      <c r="R744" s="213"/>
      <c r="S744" s="211"/>
      <c r="T744" s="211"/>
      <c r="U744" s="211"/>
      <c r="V744" s="211"/>
      <c r="W744" s="211"/>
      <c r="X744" s="211"/>
      <c r="Y744" s="211"/>
      <c r="Z744" s="211"/>
      <c r="AA744" s="211"/>
    </row>
    <row r="745" spans="2:27" s="204" customFormat="1" x14ac:dyDescent="0.25">
      <c r="B745" s="230"/>
      <c r="C745" s="230"/>
      <c r="D745" s="230"/>
      <c r="E745" s="230"/>
      <c r="F745" s="230"/>
      <c r="G745" s="230"/>
      <c r="H745" s="231"/>
      <c r="I745" s="230"/>
      <c r="J745" s="230"/>
      <c r="K745" s="230"/>
      <c r="L745" s="299"/>
      <c r="M745" s="384"/>
      <c r="N745" s="384"/>
      <c r="O745" s="384"/>
      <c r="P745" s="384"/>
      <c r="Q745" s="384"/>
      <c r="R745" s="384"/>
      <c r="S745" s="384"/>
      <c r="T745" s="384"/>
      <c r="U745" s="384"/>
      <c r="V745" s="384"/>
      <c r="W745" s="211"/>
      <c r="X745" s="211"/>
      <c r="Y745" s="211"/>
      <c r="Z745" s="211"/>
      <c r="AA745" s="211"/>
    </row>
    <row r="746" spans="2:27" s="204" customFormat="1" x14ac:dyDescent="0.25">
      <c r="B746" s="246" t="s">
        <v>1802</v>
      </c>
      <c r="C746" s="233" t="s">
        <v>1803</v>
      </c>
      <c r="D746" s="234" t="s">
        <v>3826</v>
      </c>
      <c r="E746" s="234"/>
      <c r="F746" s="234"/>
      <c r="G746" s="234"/>
      <c r="H746" s="235"/>
      <c r="I746" s="234"/>
      <c r="J746" s="234"/>
      <c r="K746" s="234"/>
      <c r="L746" s="236" t="s">
        <v>1805</v>
      </c>
      <c r="M746" s="237" t="s">
        <v>2962</v>
      </c>
      <c r="N746" s="238">
        <f>+N748+N758</f>
        <v>33745</v>
      </c>
      <c r="O746" s="238">
        <f>+O748+O758</f>
        <v>8490</v>
      </c>
      <c r="P746" s="239">
        <f>+O746-N746</f>
        <v>-25255</v>
      </c>
      <c r="Q746" s="254"/>
      <c r="R746" s="254"/>
      <c r="S746" s="254"/>
      <c r="T746" s="254"/>
      <c r="U746" s="254"/>
      <c r="V746" s="254"/>
      <c r="W746" s="211"/>
      <c r="X746" s="211"/>
      <c r="Y746" s="211"/>
      <c r="Z746" s="211"/>
      <c r="AA746" s="211"/>
    </row>
    <row r="747" spans="2:27" s="204" customFormat="1" x14ac:dyDescent="0.25">
      <c r="B747" s="216"/>
      <c r="C747" s="216"/>
      <c r="D747" s="226"/>
      <c r="E747" s="226"/>
      <c r="F747" s="226"/>
      <c r="G747" s="226"/>
      <c r="H747" s="227"/>
      <c r="I747" s="226"/>
      <c r="J747" s="226"/>
      <c r="K747" s="226"/>
      <c r="L747" s="241"/>
      <c r="M747" s="216"/>
      <c r="N747" s="254"/>
      <c r="O747" s="254"/>
      <c r="P747" s="254"/>
      <c r="Q747" s="254"/>
      <c r="R747" s="254"/>
      <c r="S747" s="254"/>
      <c r="T747" s="254"/>
      <c r="U747" s="254"/>
      <c r="V747" s="254"/>
      <c r="W747" s="211"/>
      <c r="X747" s="211"/>
      <c r="Y747" s="211"/>
      <c r="Z747" s="211"/>
      <c r="AA747" s="211"/>
    </row>
    <row r="748" spans="2:27" s="204" customFormat="1" x14ac:dyDescent="0.25">
      <c r="B748" s="246" t="s">
        <v>1806</v>
      </c>
      <c r="C748" s="246" t="s">
        <v>1807</v>
      </c>
      <c r="D748" s="247" t="s">
        <v>3827</v>
      </c>
      <c r="E748" s="247"/>
      <c r="F748" s="247"/>
      <c r="G748" s="247"/>
      <c r="H748" s="248"/>
      <c r="I748" s="247"/>
      <c r="J748" s="247"/>
      <c r="K748" s="249"/>
      <c r="L748" s="250" t="s">
        <v>1809</v>
      </c>
      <c r="M748" s="251" t="s">
        <v>2962</v>
      </c>
      <c r="N748" s="252">
        <f>+N751+N752</f>
        <v>0</v>
      </c>
      <c r="O748" s="252">
        <f>+O751+O752</f>
        <v>0</v>
      </c>
      <c r="P748" s="253">
        <f>+O748-N748</f>
        <v>0</v>
      </c>
      <c r="Q748" s="252">
        <f>+Q751+Q752</f>
        <v>0</v>
      </c>
      <c r="R748" s="252">
        <f>+R751+R752</f>
        <v>0</v>
      </c>
      <c r="S748" s="252">
        <f>+S751+S752</f>
        <v>0</v>
      </c>
      <c r="T748" s="252">
        <f>+T751+T752</f>
        <v>0</v>
      </c>
      <c r="U748" s="252">
        <f>+U751+U752</f>
        <v>0</v>
      </c>
      <c r="V748" s="211"/>
      <c r="W748" s="211"/>
      <c r="X748" s="211"/>
      <c r="Y748" s="211"/>
      <c r="Z748" s="211"/>
      <c r="AA748" s="211"/>
    </row>
    <row r="749" spans="2:27" s="204" customFormat="1" x14ac:dyDescent="0.25">
      <c r="B749" s="230"/>
      <c r="C749" s="230"/>
      <c r="D749" s="230"/>
      <c r="E749" s="230"/>
      <c r="F749" s="230"/>
      <c r="G749" s="230"/>
      <c r="H749" s="231"/>
      <c r="I749" s="230"/>
      <c r="J749" s="230"/>
      <c r="K749" s="230"/>
      <c r="L749" s="299"/>
      <c r="M749" s="254"/>
      <c r="N749" s="254"/>
      <c r="O749" s="254"/>
      <c r="P749" s="254"/>
      <c r="Q749" s="254"/>
      <c r="R749" s="254"/>
      <c r="T749" s="254"/>
      <c r="U749" s="254"/>
      <c r="V749" s="254"/>
      <c r="W749" s="211"/>
      <c r="X749" s="211"/>
      <c r="Y749" s="211"/>
      <c r="Z749" s="211"/>
      <c r="AA749" s="211"/>
    </row>
    <row r="750" spans="2:27" s="204" customFormat="1" ht="63.75" x14ac:dyDescent="0.25">
      <c r="B750" s="260" t="s">
        <v>2968</v>
      </c>
      <c r="C750" s="260" t="s">
        <v>2969</v>
      </c>
      <c r="D750" s="206" t="s">
        <v>72</v>
      </c>
      <c r="E750" s="206"/>
      <c r="F750" s="206"/>
      <c r="G750" s="207"/>
      <c r="H750" s="207"/>
      <c r="I750" s="207"/>
      <c r="J750" s="207" t="s">
        <v>2957</v>
      </c>
      <c r="K750" s="206" t="s">
        <v>82</v>
      </c>
      <c r="L750" s="261" t="s">
        <v>3670</v>
      </c>
      <c r="M750" s="256"/>
      <c r="N750" s="256" t="str">
        <f>N$15</f>
        <v>Valore netto al 31/12/2019</v>
      </c>
      <c r="O750" s="256" t="str">
        <f>O$15</f>
        <v>Valore netto al 31/12/2020</v>
      </c>
      <c r="P750" s="256" t="str">
        <f>P$15</f>
        <v>Variazione</v>
      </c>
      <c r="Q750" s="262" t="s">
        <v>2971</v>
      </c>
      <c r="R750" s="262" t="str">
        <f>+N750</f>
        <v>Valore netto al 31/12/2019</v>
      </c>
      <c r="S750" s="262" t="s">
        <v>2972</v>
      </c>
      <c r="T750" s="262" t="str">
        <f>"Entro 12 mesi ("&amp;Info!B3&amp;")"</f>
        <v>Entro 12 mesi (2020)</v>
      </c>
      <c r="U750" s="262" t="str">
        <f>"Oltre 12 mesi ("&amp;Info!B3&amp;")"</f>
        <v>Oltre 12 mesi (2020)</v>
      </c>
      <c r="V750" s="211"/>
      <c r="W750" s="211"/>
      <c r="X750" s="211"/>
      <c r="Y750" s="211"/>
      <c r="Z750" s="211"/>
      <c r="AA750" s="211"/>
    </row>
    <row r="751" spans="2:27" s="204" customFormat="1" x14ac:dyDescent="0.25">
      <c r="B751" s="246" t="s">
        <v>1810</v>
      </c>
      <c r="C751" s="287" t="s">
        <v>1811</v>
      </c>
      <c r="D751" s="274" t="s">
        <v>3828</v>
      </c>
      <c r="E751" s="274"/>
      <c r="F751" s="274"/>
      <c r="G751" s="283"/>
      <c r="H751" s="266"/>
      <c r="I751" s="274"/>
      <c r="J751" s="281"/>
      <c r="K751" s="281"/>
      <c r="L751" s="424" t="s">
        <v>1813</v>
      </c>
      <c r="M751" s="263" t="s">
        <v>2962</v>
      </c>
      <c r="N751" s="408">
        <f>+R751</f>
        <v>0</v>
      </c>
      <c r="O751" s="408">
        <f>+T751+U751+Q751</f>
        <v>0</v>
      </c>
      <c r="P751" s="271">
        <f>+O751-N751</f>
        <v>0</v>
      </c>
      <c r="Q751" s="272">
        <f>+'NI-San_SP'!Q751+'NI-Soc_SP'!Q751+'NI-Ric_SP'!Q751</f>
        <v>0</v>
      </c>
      <c r="R751" s="272">
        <f>+'NI-San_SP'!R751+'NI-Soc_SP'!R751+'NI-Ric_SP'!R751</f>
        <v>0</v>
      </c>
      <c r="S751" s="272">
        <f>+'NI-San_SP'!S751+'NI-Soc_SP'!T751+'NI-Ric_SP'!T751</f>
        <v>0</v>
      </c>
      <c r="T751" s="272">
        <f>+'NI-San_SP'!T751+'NI-Soc_SP'!T751+'NI-Ric_SP'!T751</f>
        <v>0</v>
      </c>
      <c r="U751" s="272">
        <f>+'NI-San_SP'!U751+'NI-Soc_SP'!U751+'NI-Ric_SP'!U751</f>
        <v>0</v>
      </c>
      <c r="V751" s="254"/>
      <c r="W751" s="211"/>
      <c r="X751" s="211"/>
      <c r="Y751" s="211"/>
      <c r="Z751" s="211"/>
      <c r="AA751" s="211"/>
    </row>
    <row r="752" spans="2:27" s="204" customFormat="1" x14ac:dyDescent="0.25">
      <c r="B752" s="246" t="s">
        <v>1814</v>
      </c>
      <c r="C752" s="287" t="s">
        <v>1815</v>
      </c>
      <c r="D752" s="274" t="s">
        <v>3829</v>
      </c>
      <c r="E752" s="274"/>
      <c r="F752" s="274"/>
      <c r="G752" s="283"/>
      <c r="H752" s="266"/>
      <c r="I752" s="274"/>
      <c r="J752" s="281"/>
      <c r="K752" s="281"/>
      <c r="L752" s="424" t="s">
        <v>1817</v>
      </c>
      <c r="M752" s="284" t="s">
        <v>2962</v>
      </c>
      <c r="N752" s="378">
        <f>SUM(N753:N755)</f>
        <v>0</v>
      </c>
      <c r="O752" s="378">
        <f>SUM(O753:O755)</f>
        <v>0</v>
      </c>
      <c r="P752" s="378">
        <f>+O752-N752</f>
        <v>0</v>
      </c>
      <c r="Q752" s="272">
        <f>+'NI-San_SP'!Q752+'NI-Soc_SP'!Q752+'NI-Ric_SP'!Q752</f>
        <v>0</v>
      </c>
      <c r="R752" s="272">
        <f>+'NI-San_SP'!R752+'NI-Soc_SP'!R752+'NI-Ric_SP'!R752</f>
        <v>0</v>
      </c>
      <c r="S752" s="272">
        <f>+'NI-San_SP'!S752+'NI-Soc_SP'!T752+'NI-Ric_SP'!T752</f>
        <v>0</v>
      </c>
      <c r="T752" s="272">
        <f>+'NI-San_SP'!T752+'NI-Soc_SP'!T752+'NI-Ric_SP'!T752</f>
        <v>0</v>
      </c>
      <c r="U752" s="272">
        <f>+'NI-San_SP'!U752+'NI-Soc_SP'!U752+'NI-Ric_SP'!U752</f>
        <v>0</v>
      </c>
      <c r="V752" s="254"/>
      <c r="W752" s="211"/>
      <c r="X752" s="211"/>
      <c r="Y752" s="211"/>
      <c r="Z752" s="211"/>
      <c r="AA752" s="211"/>
    </row>
    <row r="753" spans="1:27" s="204" customFormat="1" x14ac:dyDescent="0.25">
      <c r="B753" s="246" t="s">
        <v>1818</v>
      </c>
      <c r="C753" s="287" t="s">
        <v>1819</v>
      </c>
      <c r="D753" s="274" t="s">
        <v>3830</v>
      </c>
      <c r="E753" s="274"/>
      <c r="F753" s="274"/>
      <c r="G753" s="283"/>
      <c r="H753" s="266"/>
      <c r="I753" s="274"/>
      <c r="J753" s="281"/>
      <c r="K753" s="281"/>
      <c r="L753" s="425" t="s">
        <v>3831</v>
      </c>
      <c r="M753" s="263" t="s">
        <v>2962</v>
      </c>
      <c r="N753" s="408">
        <f>+R753</f>
        <v>0</v>
      </c>
      <c r="O753" s="408">
        <f>+T753+U753+Q753</f>
        <v>0</v>
      </c>
      <c r="P753" s="271">
        <f>+O753-N753</f>
        <v>0</v>
      </c>
      <c r="Q753" s="272">
        <f>+'NI-San_SP'!Q753+'NI-Soc_SP'!Q753+'NI-Ric_SP'!Q753</f>
        <v>0</v>
      </c>
      <c r="R753" s="272">
        <f>+'NI-San_SP'!R753+'NI-Soc_SP'!R753+'NI-Ric_SP'!R753</f>
        <v>0</v>
      </c>
      <c r="S753" s="272">
        <f>+'NI-San_SP'!S753+'NI-Soc_SP'!T753+'NI-Ric_SP'!T753</f>
        <v>0</v>
      </c>
      <c r="T753" s="272">
        <f>+'NI-San_SP'!T753+'NI-Soc_SP'!T753+'NI-Ric_SP'!T753</f>
        <v>0</v>
      </c>
      <c r="U753" s="272">
        <f>+'NI-San_SP'!U753+'NI-Soc_SP'!U753+'NI-Ric_SP'!U753</f>
        <v>0</v>
      </c>
      <c r="V753" s="254"/>
      <c r="W753" s="211"/>
      <c r="X753" s="211"/>
      <c r="Y753" s="211"/>
      <c r="Z753" s="211"/>
      <c r="AA753" s="211"/>
    </row>
    <row r="754" spans="1:27" s="204" customFormat="1" hidden="1" x14ac:dyDescent="0.25">
      <c r="B754" s="246" t="s">
        <v>1821</v>
      </c>
      <c r="C754" s="287" t="s">
        <v>1822</v>
      </c>
      <c r="D754" s="274" t="s">
        <v>3832</v>
      </c>
      <c r="E754" s="274"/>
      <c r="F754" s="274"/>
      <c r="G754" s="283"/>
      <c r="H754" s="266"/>
      <c r="I754" s="274"/>
      <c r="J754" s="281"/>
      <c r="K754" s="281"/>
      <c r="L754" s="426" t="s">
        <v>1823</v>
      </c>
      <c r="M754" s="284" t="s">
        <v>2962</v>
      </c>
      <c r="N754" s="408">
        <f>+R754</f>
        <v>0</v>
      </c>
      <c r="O754" s="408">
        <f>+T754+U754+Q754</f>
        <v>0</v>
      </c>
      <c r="P754" s="271">
        <f>+O754-N754</f>
        <v>0</v>
      </c>
      <c r="Q754" s="272">
        <f>+'NI-San_SP'!Q754+'NI-Soc_SP'!Q754+'NI-Ric_SP'!Q754</f>
        <v>0</v>
      </c>
      <c r="R754" s="272">
        <f>+'NI-San_SP'!R754+'NI-Soc_SP'!R754+'NI-Ric_SP'!R754</f>
        <v>0</v>
      </c>
      <c r="S754" s="272">
        <f>+'NI-San_SP'!S754+'NI-Soc_SP'!T754+'NI-Ric_SP'!T754</f>
        <v>0</v>
      </c>
      <c r="T754" s="272">
        <f>+'NI-San_SP'!T754+'NI-Soc_SP'!T754+'NI-Ric_SP'!T754</f>
        <v>0</v>
      </c>
      <c r="U754" s="272">
        <f>+'NI-San_SP'!U754+'NI-Soc_SP'!U754+'NI-Ric_SP'!U754</f>
        <v>0</v>
      </c>
      <c r="V754" s="254"/>
      <c r="W754" s="211"/>
      <c r="X754" s="211"/>
      <c r="Y754" s="211"/>
      <c r="Z754" s="211"/>
      <c r="AA754" s="211"/>
    </row>
    <row r="755" spans="1:27" s="204" customFormat="1" x14ac:dyDescent="0.25">
      <c r="B755" s="246" t="s">
        <v>1824</v>
      </c>
      <c r="C755" s="287" t="s">
        <v>1825</v>
      </c>
      <c r="D755" s="274" t="s">
        <v>3833</v>
      </c>
      <c r="E755" s="274"/>
      <c r="F755" s="274"/>
      <c r="G755" s="283"/>
      <c r="H755" s="266"/>
      <c r="I755" s="274"/>
      <c r="J755" s="281"/>
      <c r="K755" s="281"/>
      <c r="L755" s="426" t="s">
        <v>3834</v>
      </c>
      <c r="M755" s="284" t="s">
        <v>2962</v>
      </c>
      <c r="N755" s="408">
        <f>+R755</f>
        <v>0</v>
      </c>
      <c r="O755" s="408">
        <f>+T755+U755+Q755</f>
        <v>0</v>
      </c>
      <c r="P755" s="271">
        <f>+O755-N755</f>
        <v>0</v>
      </c>
      <c r="Q755" s="272">
        <f>+'NI-San_SP'!Q755+'NI-Soc_SP'!Q755+'NI-Ric_SP'!Q755</f>
        <v>0</v>
      </c>
      <c r="R755" s="272">
        <f>+'NI-San_SP'!R755+'NI-Soc_SP'!R755+'NI-Ric_SP'!R755</f>
        <v>0</v>
      </c>
      <c r="S755" s="272">
        <f>+'NI-San_SP'!S755+'NI-Soc_SP'!T755+'NI-Ric_SP'!T755</f>
        <v>0</v>
      </c>
      <c r="T755" s="272">
        <f>+'NI-San_SP'!T755+'NI-Soc_SP'!T755+'NI-Ric_SP'!T755</f>
        <v>0</v>
      </c>
      <c r="U755" s="272">
        <f>+'NI-San_SP'!U755+'NI-Soc_SP'!U755+'NI-Ric_SP'!U755</f>
        <v>0</v>
      </c>
      <c r="V755" s="254"/>
      <c r="W755" s="211"/>
      <c r="X755" s="211"/>
      <c r="Y755" s="211"/>
      <c r="Z755" s="211"/>
      <c r="AA755" s="211"/>
    </row>
    <row r="756" spans="1:27" ht="27.75" customHeight="1" x14ac:dyDescent="0.25">
      <c r="A756" s="204"/>
      <c r="L756" s="344" t="s">
        <v>3835</v>
      </c>
    </row>
    <row r="757" spans="1:27" s="204" customFormat="1" x14ac:dyDescent="0.25">
      <c r="B757" s="230"/>
      <c r="C757" s="230"/>
      <c r="D757" s="230"/>
      <c r="E757" s="230"/>
      <c r="F757" s="230"/>
      <c r="G757" s="230"/>
      <c r="H757" s="231"/>
      <c r="I757" s="230"/>
      <c r="J757" s="230"/>
      <c r="K757" s="230"/>
      <c r="L757" s="315"/>
      <c r="M757" s="216"/>
      <c r="N757" s="278"/>
      <c r="O757" s="278"/>
      <c r="P757" s="278"/>
      <c r="Q757" s="216"/>
      <c r="R757" s="278"/>
      <c r="S757" s="278"/>
      <c r="T757" s="278"/>
      <c r="U757" s="278"/>
      <c r="V757" s="278"/>
      <c r="W757" s="216"/>
      <c r="X757" s="216"/>
      <c r="Y757" s="216"/>
      <c r="Z757" s="216"/>
      <c r="AA757" s="216"/>
    </row>
    <row r="758" spans="1:27" s="204" customFormat="1" x14ac:dyDescent="0.25">
      <c r="B758" s="246" t="s">
        <v>1827</v>
      </c>
      <c r="C758" s="246" t="s">
        <v>1828</v>
      </c>
      <c r="D758" s="247" t="s">
        <v>3836</v>
      </c>
      <c r="E758" s="247"/>
      <c r="F758" s="247"/>
      <c r="G758" s="247"/>
      <c r="H758" s="248"/>
      <c r="I758" s="247"/>
      <c r="J758" s="247"/>
      <c r="K758" s="249"/>
      <c r="L758" s="250" t="s">
        <v>1830</v>
      </c>
      <c r="M758" s="251" t="s">
        <v>2962</v>
      </c>
      <c r="N758" s="252">
        <f>+N761+N762</f>
        <v>33745</v>
      </c>
      <c r="O758" s="252">
        <f>+O761+O762</f>
        <v>8490</v>
      </c>
      <c r="P758" s="253">
        <f>+O758-N758</f>
        <v>-25255</v>
      </c>
      <c r="Q758" s="252">
        <f>+Q761+Q762</f>
        <v>0</v>
      </c>
      <c r="R758" s="252">
        <f>+R761+R762</f>
        <v>33745</v>
      </c>
      <c r="S758" s="252">
        <f>+S761+S762</f>
        <v>0</v>
      </c>
      <c r="T758" s="252">
        <f>+T761+T762</f>
        <v>8490</v>
      </c>
      <c r="U758" s="252">
        <f>+U761+U762</f>
        <v>0</v>
      </c>
      <c r="V758" s="211"/>
      <c r="W758" s="211"/>
      <c r="X758" s="211"/>
      <c r="Y758" s="211"/>
      <c r="Z758" s="211"/>
      <c r="AA758" s="211"/>
    </row>
    <row r="759" spans="1:27" s="204" customFormat="1" x14ac:dyDescent="0.25">
      <c r="B759" s="230"/>
      <c r="C759" s="230"/>
      <c r="D759" s="230"/>
      <c r="E759" s="230"/>
      <c r="F759" s="230"/>
      <c r="G759" s="230"/>
      <c r="H759" s="231"/>
      <c r="I759" s="230"/>
      <c r="J759" s="230"/>
      <c r="K759" s="230"/>
      <c r="L759" s="315"/>
      <c r="M759" s="216"/>
      <c r="N759" s="278"/>
      <c r="O759" s="278"/>
      <c r="P759" s="278"/>
      <c r="Q759" s="216"/>
      <c r="R759" s="278"/>
      <c r="T759" s="278"/>
      <c r="U759" s="278"/>
      <c r="V759" s="278"/>
      <c r="W759" s="216"/>
      <c r="X759" s="216"/>
      <c r="Y759" s="216"/>
      <c r="Z759" s="216"/>
      <c r="AA759" s="216"/>
    </row>
    <row r="760" spans="1:27" s="204" customFormat="1" ht="63.75" x14ac:dyDescent="0.25">
      <c r="B760" s="260" t="s">
        <v>2968</v>
      </c>
      <c r="C760" s="260" t="s">
        <v>2969</v>
      </c>
      <c r="D760" s="206" t="s">
        <v>72</v>
      </c>
      <c r="E760" s="206"/>
      <c r="F760" s="206"/>
      <c r="G760" s="207"/>
      <c r="H760" s="207"/>
      <c r="I760" s="207"/>
      <c r="J760" s="207" t="s">
        <v>2957</v>
      </c>
      <c r="K760" s="206" t="s">
        <v>82</v>
      </c>
      <c r="L760" s="261" t="s">
        <v>3670</v>
      </c>
      <c r="M760" s="256"/>
      <c r="N760" s="256" t="str">
        <f>N$15</f>
        <v>Valore netto al 31/12/2019</v>
      </c>
      <c r="O760" s="256" t="str">
        <f>O$15</f>
        <v>Valore netto al 31/12/2020</v>
      </c>
      <c r="P760" s="256" t="str">
        <f>P$15</f>
        <v>Variazione</v>
      </c>
      <c r="Q760" s="262" t="s">
        <v>2971</v>
      </c>
      <c r="R760" s="262" t="str">
        <f>+N760</f>
        <v>Valore netto al 31/12/2019</v>
      </c>
      <c r="S760" s="262" t="s">
        <v>2972</v>
      </c>
      <c r="T760" s="262" t="str">
        <f>"Entro 12 mesi ("&amp;Info!B3&amp;")"</f>
        <v>Entro 12 mesi (2020)</v>
      </c>
      <c r="U760" s="262" t="str">
        <f>"Oltre 12 mesi ("&amp;Info!B3&amp;")"</f>
        <v>Oltre 12 mesi (2020)</v>
      </c>
      <c r="V760" s="211"/>
      <c r="W760" s="211"/>
      <c r="X760" s="211"/>
      <c r="Y760" s="211"/>
      <c r="Z760" s="211"/>
      <c r="AA760" s="211"/>
    </row>
    <row r="761" spans="1:27" s="204" customFormat="1" x14ac:dyDescent="0.25">
      <c r="B761" s="246" t="s">
        <v>1831</v>
      </c>
      <c r="C761" s="287" t="s">
        <v>1832</v>
      </c>
      <c r="D761" s="274" t="s">
        <v>3837</v>
      </c>
      <c r="E761" s="274"/>
      <c r="F761" s="274"/>
      <c r="G761" s="283"/>
      <c r="H761" s="266"/>
      <c r="I761" s="274"/>
      <c r="J761" s="281"/>
      <c r="K761" s="281"/>
      <c r="L761" s="421" t="s">
        <v>1834</v>
      </c>
      <c r="M761" s="263" t="s">
        <v>2962</v>
      </c>
      <c r="N761" s="408">
        <f>+R761</f>
        <v>33745</v>
      </c>
      <c r="O761" s="408">
        <f>+T761+U761+Q761</f>
        <v>8490</v>
      </c>
      <c r="P761" s="271">
        <f>+O761-N761</f>
        <v>-25255</v>
      </c>
      <c r="Q761" s="272">
        <f>+'NI-San_SP'!Q761+'NI-Soc_SP'!Q761+'NI-Ric_SP'!Q761</f>
        <v>0</v>
      </c>
      <c r="R761" s="272">
        <f>+'NI-San_SP'!R761+'NI-Soc_SP'!R761+'NI-Ric_SP'!R761</f>
        <v>33745</v>
      </c>
      <c r="S761" s="272">
        <f>+'NI-San_SP'!S761+'NI-Soc_SP'!T761+'NI-Ric_SP'!T761</f>
        <v>0</v>
      </c>
      <c r="T761" s="272">
        <f>+'NI-San_SP'!T761+'NI-Soc_SP'!T761+'NI-Ric_SP'!T761</f>
        <v>8490</v>
      </c>
      <c r="U761" s="272">
        <f>+'NI-San_SP'!U761+'NI-Soc_SP'!U761+'NI-Ric_SP'!U761</f>
        <v>0</v>
      </c>
      <c r="V761" s="254"/>
      <c r="W761" s="211"/>
      <c r="X761" s="211"/>
      <c r="Y761" s="211"/>
      <c r="Z761" s="211"/>
      <c r="AA761" s="211"/>
    </row>
    <row r="762" spans="1:27" s="204" customFormat="1" x14ac:dyDescent="0.25">
      <c r="B762" s="246" t="s">
        <v>1835</v>
      </c>
      <c r="C762" s="287" t="s">
        <v>1836</v>
      </c>
      <c r="D762" s="274" t="s">
        <v>3838</v>
      </c>
      <c r="E762" s="274"/>
      <c r="F762" s="274"/>
      <c r="G762" s="283"/>
      <c r="H762" s="266"/>
      <c r="I762" s="274"/>
      <c r="J762" s="281"/>
      <c r="K762" s="281"/>
      <c r="L762" s="421" t="s">
        <v>1838</v>
      </c>
      <c r="M762" s="284" t="s">
        <v>2962</v>
      </c>
      <c r="N762" s="408">
        <f>+R762</f>
        <v>0</v>
      </c>
      <c r="O762" s="408">
        <f>+T762+U762+Q762</f>
        <v>0</v>
      </c>
      <c r="P762" s="271">
        <f>+O762-N762</f>
        <v>0</v>
      </c>
      <c r="Q762" s="272">
        <f>+'NI-San_SP'!Q762+'NI-Soc_SP'!Q762+'NI-Ric_SP'!Q762</f>
        <v>0</v>
      </c>
      <c r="R762" s="272">
        <f>+'NI-San_SP'!R762+'NI-Soc_SP'!R762+'NI-Ric_SP'!R762</f>
        <v>0</v>
      </c>
      <c r="S762" s="272">
        <f>+'NI-San_SP'!S762+'NI-Soc_SP'!T762+'NI-Ric_SP'!T762</f>
        <v>0</v>
      </c>
      <c r="T762" s="272">
        <f>+'NI-San_SP'!T762+'NI-Soc_SP'!T762+'NI-Ric_SP'!T762</f>
        <v>0</v>
      </c>
      <c r="U762" s="272">
        <f>+'NI-San_SP'!U762+'NI-Soc_SP'!U762+'NI-Ric_SP'!U762</f>
        <v>0</v>
      </c>
      <c r="V762" s="254"/>
      <c r="W762" s="211"/>
      <c r="X762" s="211"/>
      <c r="Y762" s="211"/>
      <c r="Z762" s="211"/>
      <c r="AA762" s="211"/>
    </row>
    <row r="763" spans="1:27" ht="26.25" x14ac:dyDescent="0.25">
      <c r="A763" s="204"/>
      <c r="L763" s="344" t="s">
        <v>3839</v>
      </c>
    </row>
    <row r="764" spans="1:27" s="204" customFormat="1" x14ac:dyDescent="0.25"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32"/>
      <c r="M764" s="211"/>
      <c r="N764" s="211"/>
      <c r="O764" s="211"/>
      <c r="P764" s="211"/>
      <c r="Q764" s="211"/>
      <c r="R764" s="254"/>
      <c r="S764" s="254"/>
      <c r="T764" s="254"/>
      <c r="U764" s="254"/>
      <c r="V764" s="254"/>
      <c r="W764" s="211"/>
      <c r="X764" s="211"/>
      <c r="Y764" s="211"/>
      <c r="Z764" s="211"/>
      <c r="AA764" s="211"/>
    </row>
    <row r="765" spans="1:27" s="204" customFormat="1" x14ac:dyDescent="0.25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315"/>
      <c r="M765" s="216"/>
      <c r="N765" s="216"/>
      <c r="O765" s="216"/>
      <c r="P765" s="216"/>
      <c r="Q765" s="216"/>
      <c r="R765" s="278"/>
      <c r="S765" s="278"/>
      <c r="T765" s="278"/>
      <c r="U765" s="278"/>
      <c r="V765" s="278"/>
      <c r="W765" s="216"/>
      <c r="X765" s="216"/>
      <c r="Y765" s="216"/>
      <c r="Z765" s="216"/>
      <c r="AA765" s="216"/>
    </row>
    <row r="766" spans="1:27" s="204" customFormat="1" x14ac:dyDescent="0.25">
      <c r="B766" s="236" t="s">
        <v>1839</v>
      </c>
      <c r="C766" s="236" t="s">
        <v>1840</v>
      </c>
      <c r="D766" s="234" t="s">
        <v>3840</v>
      </c>
      <c r="E766" s="234"/>
      <c r="F766" s="234"/>
      <c r="G766" s="234"/>
      <c r="H766" s="235"/>
      <c r="I766" s="234"/>
      <c r="J766" s="234"/>
      <c r="K766" s="234"/>
      <c r="L766" s="236" t="s">
        <v>1841</v>
      </c>
      <c r="M766" s="237" t="s">
        <v>2962</v>
      </c>
      <c r="N766" s="238">
        <f>+N769+N770+N771+N773+N772</f>
        <v>7562304</v>
      </c>
      <c r="O766" s="238">
        <f>+O769+O770+O771+O773+O772</f>
        <v>8399763</v>
      </c>
      <c r="P766" s="239">
        <f>+O766-N766</f>
        <v>837459</v>
      </c>
      <c r="Q766" s="216"/>
      <c r="R766" s="278"/>
      <c r="S766" s="278"/>
      <c r="T766" s="278"/>
      <c r="U766" s="278"/>
      <c r="V766" s="278"/>
      <c r="W766" s="216"/>
      <c r="X766" s="216"/>
      <c r="Y766" s="216"/>
      <c r="Z766" s="216"/>
      <c r="AA766" s="216"/>
    </row>
    <row r="767" spans="1:27" s="204" customFormat="1" x14ac:dyDescent="0.25">
      <c r="B767" s="230"/>
      <c r="C767" s="230"/>
      <c r="D767" s="230"/>
      <c r="E767" s="230"/>
      <c r="F767" s="230"/>
      <c r="G767" s="230"/>
      <c r="H767" s="231"/>
      <c r="I767" s="230"/>
      <c r="J767" s="230"/>
      <c r="K767" s="230"/>
      <c r="L767" s="315"/>
      <c r="M767" s="216"/>
      <c r="N767" s="278"/>
      <c r="O767" s="278"/>
      <c r="P767" s="278"/>
      <c r="Q767" s="216"/>
      <c r="R767" s="278"/>
      <c r="S767" s="278"/>
      <c r="T767" s="278"/>
      <c r="U767" s="278"/>
      <c r="V767" s="278"/>
      <c r="W767" s="216"/>
      <c r="X767" s="216"/>
      <c r="Y767" s="216"/>
      <c r="Z767" s="216"/>
      <c r="AA767" s="216"/>
    </row>
    <row r="768" spans="1:27" s="204" customFormat="1" ht="63.75" x14ac:dyDescent="0.25">
      <c r="B768" s="260" t="s">
        <v>2968</v>
      </c>
      <c r="C768" s="260" t="s">
        <v>2969</v>
      </c>
      <c r="D768" s="206" t="s">
        <v>72</v>
      </c>
      <c r="E768" s="206"/>
      <c r="F768" s="206"/>
      <c r="G768" s="207"/>
      <c r="H768" s="207"/>
      <c r="I768" s="207"/>
      <c r="J768" s="207" t="s">
        <v>2957</v>
      </c>
      <c r="K768" s="206" t="s">
        <v>82</v>
      </c>
      <c r="L768" s="261" t="s">
        <v>3670</v>
      </c>
      <c r="M768" s="256"/>
      <c r="N768" s="256" t="str">
        <f>N$15</f>
        <v>Valore netto al 31/12/2019</v>
      </c>
      <c r="O768" s="256" t="str">
        <f>O$15</f>
        <v>Valore netto al 31/12/2020</v>
      </c>
      <c r="P768" s="256" t="str">
        <f>P$15</f>
        <v>Variazione</v>
      </c>
      <c r="Q768" s="262" t="s">
        <v>2971</v>
      </c>
      <c r="R768" s="262" t="s">
        <v>3517</v>
      </c>
      <c r="S768" s="262" t="s">
        <v>2972</v>
      </c>
      <c r="T768" s="262" t="s">
        <v>3495</v>
      </c>
      <c r="U768" s="262" t="s">
        <v>3496</v>
      </c>
      <c r="V768" s="262" t="s">
        <v>3815</v>
      </c>
      <c r="W768" s="211"/>
      <c r="X768" s="211"/>
      <c r="Y768" s="211"/>
      <c r="Z768" s="211"/>
      <c r="AA768" s="211"/>
    </row>
    <row r="769" spans="1:27" s="204" customFormat="1" x14ac:dyDescent="0.25">
      <c r="B769" s="246" t="s">
        <v>1842</v>
      </c>
      <c r="C769" s="284" t="s">
        <v>1843</v>
      </c>
      <c r="D769" s="274" t="s">
        <v>3841</v>
      </c>
      <c r="E769" s="274"/>
      <c r="F769" s="274"/>
      <c r="G769" s="283"/>
      <c r="H769" s="266"/>
      <c r="I769" s="427"/>
      <c r="J769" s="281"/>
      <c r="K769" s="281"/>
      <c r="L769" s="422" t="s">
        <v>1846</v>
      </c>
      <c r="M769" s="284" t="s">
        <v>2962</v>
      </c>
      <c r="N769" s="408">
        <f>+R769</f>
        <v>0</v>
      </c>
      <c r="O769" s="408">
        <f>+V769</f>
        <v>0</v>
      </c>
      <c r="P769" s="271">
        <f>+O769-N769</f>
        <v>0</v>
      </c>
      <c r="Q769" s="272">
        <f>+'NI-San_SP'!Q769+'NI-Soc_SP'!Q769+'NI-Ric_SP'!Q769</f>
        <v>0</v>
      </c>
      <c r="R769" s="272">
        <f>+'NI-San_SP'!R769+'NI-Soc_SP'!R769+'NI-Ric_SP'!R769</f>
        <v>0</v>
      </c>
      <c r="S769" s="272">
        <f>+'NI-San_SP'!S769+'NI-Soc_SP'!S769+'NI-Ric_SP'!S769</f>
        <v>0</v>
      </c>
      <c r="T769" s="272">
        <f>+'NI-San_SP'!T769+'NI-Soc_SP'!T769+'NI-Ric_SP'!T769</f>
        <v>0</v>
      </c>
      <c r="U769" s="272">
        <f>+'NI-San_SP'!U769+'NI-Soc_SP'!U769+'NI-Ric_SP'!U769</f>
        <v>0</v>
      </c>
      <c r="V769" s="272">
        <f>+'NI-San_SP'!V769+'NI-Soc_SP'!V769+'NI-Ric_SP'!V769</f>
        <v>0</v>
      </c>
      <c r="W769" s="211"/>
      <c r="X769" s="211"/>
      <c r="Y769" s="211"/>
      <c r="Z769" s="211"/>
      <c r="AA769" s="211"/>
    </row>
    <row r="770" spans="1:27" s="204" customFormat="1" x14ac:dyDescent="0.25">
      <c r="B770" s="246" t="s">
        <v>1847</v>
      </c>
      <c r="C770" s="284" t="s">
        <v>1848</v>
      </c>
      <c r="D770" s="274" t="s">
        <v>3842</v>
      </c>
      <c r="E770" s="274"/>
      <c r="F770" s="274"/>
      <c r="G770" s="283"/>
      <c r="H770" s="266"/>
      <c r="I770" s="427"/>
      <c r="J770" s="281"/>
      <c r="K770" s="281"/>
      <c r="L770" s="422" t="s">
        <v>1851</v>
      </c>
      <c r="M770" s="284" t="s">
        <v>2962</v>
      </c>
      <c r="N770" s="408">
        <f>+R770</f>
        <v>0</v>
      </c>
      <c r="O770" s="408">
        <f>+V770</f>
        <v>0</v>
      </c>
      <c r="P770" s="271">
        <f>+O770-N770</f>
        <v>0</v>
      </c>
      <c r="Q770" s="272">
        <f>+'NI-San_SP'!Q770+'NI-Soc_SP'!Q770+'NI-Ric_SP'!Q770</f>
        <v>0</v>
      </c>
      <c r="R770" s="272">
        <f>+'NI-San_SP'!R770+'NI-Soc_SP'!R770+'NI-Ric_SP'!R770</f>
        <v>0</v>
      </c>
      <c r="S770" s="272">
        <f>+'NI-San_SP'!S770+'NI-Soc_SP'!S770+'NI-Ric_SP'!S770</f>
        <v>0</v>
      </c>
      <c r="T770" s="272">
        <f>+'NI-San_SP'!T770+'NI-Soc_SP'!T770+'NI-Ric_SP'!T770</f>
        <v>0</v>
      </c>
      <c r="U770" s="272">
        <f>+'NI-San_SP'!U770+'NI-Soc_SP'!U770+'NI-Ric_SP'!U770</f>
        <v>0</v>
      </c>
      <c r="V770" s="272">
        <f>+'NI-San_SP'!V770+'NI-Soc_SP'!V770+'NI-Ric_SP'!V770</f>
        <v>0</v>
      </c>
      <c r="W770" s="211"/>
      <c r="X770" s="211"/>
      <c r="Y770" s="211"/>
      <c r="Z770" s="211"/>
      <c r="AA770" s="211"/>
    </row>
    <row r="771" spans="1:27" s="204" customFormat="1" x14ac:dyDescent="0.25">
      <c r="B771" s="246" t="s">
        <v>1852</v>
      </c>
      <c r="C771" s="284" t="s">
        <v>1853</v>
      </c>
      <c r="D771" s="274" t="s">
        <v>3843</v>
      </c>
      <c r="E771" s="274"/>
      <c r="F771" s="274"/>
      <c r="G771" s="283"/>
      <c r="H771" s="266"/>
      <c r="I771" s="427"/>
      <c r="J771" s="281"/>
      <c r="K771" s="281"/>
      <c r="L771" s="422" t="s">
        <v>1856</v>
      </c>
      <c r="M771" s="284" t="s">
        <v>2962</v>
      </c>
      <c r="N771" s="408">
        <f>+R771</f>
        <v>7812</v>
      </c>
      <c r="O771" s="408">
        <f>+V771</f>
        <v>7812</v>
      </c>
      <c r="P771" s="271">
        <f>+O771-N771</f>
        <v>0</v>
      </c>
      <c r="Q771" s="272">
        <f>+'NI-San_SP'!Q771+'NI-Soc_SP'!Q771+'NI-Ric_SP'!Q771</f>
        <v>0</v>
      </c>
      <c r="R771" s="272">
        <f>+'NI-San_SP'!R771+'NI-Soc_SP'!R771+'NI-Ric_SP'!R771</f>
        <v>7812</v>
      </c>
      <c r="S771" s="272">
        <f>+'NI-San_SP'!S771+'NI-Soc_SP'!S771+'NI-Ric_SP'!S771</f>
        <v>0</v>
      </c>
      <c r="T771" s="272">
        <f>+'NI-San_SP'!T771+'NI-Soc_SP'!T771+'NI-Ric_SP'!T771</f>
        <v>0</v>
      </c>
      <c r="U771" s="272">
        <f>+'NI-San_SP'!U771+'NI-Soc_SP'!U771+'NI-Ric_SP'!U771</f>
        <v>0</v>
      </c>
      <c r="V771" s="272">
        <f>+'NI-San_SP'!V771+'NI-Soc_SP'!V771+'NI-Ric_SP'!V771</f>
        <v>7812</v>
      </c>
      <c r="W771" s="211"/>
      <c r="X771" s="211"/>
      <c r="Y771" s="211"/>
      <c r="Z771" s="211"/>
      <c r="AA771" s="211"/>
    </row>
    <row r="772" spans="1:27" s="204" customFormat="1" x14ac:dyDescent="0.25">
      <c r="A772" s="204" t="s">
        <v>3681</v>
      </c>
      <c r="B772" s="246" t="s">
        <v>1857</v>
      </c>
      <c r="C772" s="428" t="s">
        <v>1858</v>
      </c>
      <c r="D772" s="274"/>
      <c r="E772" s="274"/>
      <c r="F772" s="274"/>
      <c r="G772" s="283"/>
      <c r="H772" s="266"/>
      <c r="I772" s="427"/>
      <c r="J772" s="281"/>
      <c r="K772" s="281"/>
      <c r="L772" s="429" t="s">
        <v>1861</v>
      </c>
      <c r="M772" s="284" t="s">
        <v>2962</v>
      </c>
      <c r="N772" s="408">
        <f>+R772</f>
        <v>0</v>
      </c>
      <c r="O772" s="408">
        <f>+V772</f>
        <v>0</v>
      </c>
      <c r="P772" s="271">
        <f>+O772-N772</f>
        <v>0</v>
      </c>
      <c r="Q772" s="272">
        <f>+'NI-San_SP'!Q772+'NI-Soc_SP'!Q772+'NI-Ric_SP'!Q772</f>
        <v>0</v>
      </c>
      <c r="R772" s="272">
        <f>+'NI-San_SP'!R772+'NI-Soc_SP'!R772+'NI-Ric_SP'!R772</f>
        <v>0</v>
      </c>
      <c r="S772" s="272">
        <f>+'NI-San_SP'!S772+'NI-Soc_SP'!S772+'NI-Ric_SP'!S772</f>
        <v>0</v>
      </c>
      <c r="T772" s="272">
        <f>+'NI-San_SP'!T772+'NI-Soc_SP'!T772+'NI-Ric_SP'!T772</f>
        <v>0</v>
      </c>
      <c r="U772" s="272">
        <f>+'NI-San_SP'!U772+'NI-Soc_SP'!U772+'NI-Ric_SP'!U772</f>
        <v>0</v>
      </c>
      <c r="V772" s="272">
        <f>+'NI-San_SP'!V772+'NI-Soc_SP'!V772+'NI-Ric_SP'!V772</f>
        <v>0</v>
      </c>
      <c r="W772" s="211"/>
      <c r="X772" s="211"/>
      <c r="Y772" s="211"/>
      <c r="Z772" s="211"/>
      <c r="AA772" s="211"/>
    </row>
    <row r="773" spans="1:27" x14ac:dyDescent="0.25">
      <c r="A773" s="204"/>
      <c r="B773" s="246" t="s">
        <v>1862</v>
      </c>
      <c r="C773" s="284" t="s">
        <v>1863</v>
      </c>
      <c r="D773" s="274" t="s">
        <v>3844</v>
      </c>
      <c r="E773" s="274"/>
      <c r="F773" s="274"/>
      <c r="G773" s="283"/>
      <c r="H773" s="266"/>
      <c r="I773" s="427"/>
      <c r="J773" s="281"/>
      <c r="K773" s="281"/>
      <c r="L773" s="422" t="s">
        <v>3845</v>
      </c>
      <c r="M773" s="284" t="s">
        <v>2962</v>
      </c>
      <c r="N773" s="378">
        <f>SUM(N774:N787)</f>
        <v>7554492</v>
      </c>
      <c r="O773" s="378">
        <f>SUM(O774:O787)</f>
        <v>8391951</v>
      </c>
      <c r="P773" s="378">
        <f>+O773-N773</f>
        <v>837459</v>
      </c>
      <c r="Q773" s="272">
        <f>+'NI-San_SP'!Q773+'NI-Soc_SP'!Q773+'NI-Ric_SP'!Q773</f>
        <v>0</v>
      </c>
      <c r="R773" s="272">
        <f>+'NI-San_SP'!R773+'NI-Soc_SP'!R773+'NI-Ric_SP'!R773</f>
        <v>7554492</v>
      </c>
      <c r="S773" s="272">
        <f>+'NI-San_SP'!S773+'NI-Soc_SP'!S773+'NI-Ric_SP'!S773</f>
        <v>0</v>
      </c>
      <c r="T773" s="272">
        <f>+'NI-San_SP'!T773+'NI-Soc_SP'!T773+'NI-Ric_SP'!T773</f>
        <v>1058706</v>
      </c>
      <c r="U773" s="272">
        <f>+'NI-San_SP'!U773+'NI-Soc_SP'!U773+'NI-Ric_SP'!U773</f>
        <v>221247</v>
      </c>
      <c r="V773" s="272">
        <f>+'NI-San_SP'!V773+'NI-Soc_SP'!V773+'NI-Ric_SP'!V773</f>
        <v>8391951</v>
      </c>
    </row>
    <row r="774" spans="1:27" s="204" customFormat="1" x14ac:dyDescent="0.25">
      <c r="B774" s="246" t="s">
        <v>1866</v>
      </c>
      <c r="C774" s="284" t="s">
        <v>1867</v>
      </c>
      <c r="D774" s="274" t="s">
        <v>3846</v>
      </c>
      <c r="E774" s="274"/>
      <c r="F774" s="274"/>
      <c r="G774" s="283"/>
      <c r="H774" s="266"/>
      <c r="I774" s="427"/>
      <c r="J774" s="281"/>
      <c r="K774" s="281"/>
      <c r="L774" s="422" t="s">
        <v>3847</v>
      </c>
      <c r="M774" s="284" t="s">
        <v>2962</v>
      </c>
      <c r="N774" s="352"/>
      <c r="O774" s="352"/>
      <c r="P774" s="352"/>
      <c r="Q774" s="352"/>
      <c r="R774" s="354">
        <f>+'NI-San_SP'!R774+'NI-Soc_SP'!R774+'NI-Ric_SP'!R774</f>
        <v>0</v>
      </c>
      <c r="S774" s="352"/>
      <c r="T774" s="352"/>
      <c r="U774" s="352"/>
      <c r="V774" s="352"/>
      <c r="W774" s="211"/>
      <c r="X774" s="211"/>
      <c r="Y774" s="211"/>
      <c r="Z774" s="211"/>
      <c r="AA774" s="211"/>
    </row>
    <row r="775" spans="1:27" s="204" customFormat="1" x14ac:dyDescent="0.25">
      <c r="B775" s="246" t="s">
        <v>1869</v>
      </c>
      <c r="C775" s="284" t="s">
        <v>1870</v>
      </c>
      <c r="D775" s="274" t="s">
        <v>3848</v>
      </c>
      <c r="E775" s="274"/>
      <c r="F775" s="274"/>
      <c r="G775" s="283"/>
      <c r="H775" s="266"/>
      <c r="I775" s="427"/>
      <c r="J775" s="281"/>
      <c r="K775" s="281"/>
      <c r="L775" s="430" t="s">
        <v>3849</v>
      </c>
      <c r="M775" s="284" t="s">
        <v>2962</v>
      </c>
      <c r="N775" s="408">
        <f>+R775</f>
        <v>153200</v>
      </c>
      <c r="O775" s="408">
        <f>+V775</f>
        <v>153200</v>
      </c>
      <c r="P775" s="271">
        <f>+O775-N775</f>
        <v>0</v>
      </c>
      <c r="Q775" s="272">
        <f>+'NI-San_SP'!Q775+'NI-Soc_SP'!Q775+'NI-Ric_SP'!Q775</f>
        <v>0</v>
      </c>
      <c r="R775" s="272">
        <f>+'NI-San_SP'!R775+'NI-Soc_SP'!R775+'NI-Ric_SP'!R775</f>
        <v>153200</v>
      </c>
      <c r="S775" s="272">
        <f>+'NI-San_SP'!S775+'NI-Soc_SP'!S775+'NI-Ric_SP'!S775</f>
        <v>0</v>
      </c>
      <c r="T775" s="272">
        <f>+'NI-San_SP'!T775+'NI-Soc_SP'!T775+'NI-Ric_SP'!T775</f>
        <v>0</v>
      </c>
      <c r="U775" s="272">
        <f>+'NI-San_SP'!U775+'NI-Soc_SP'!U775+'NI-Ric_SP'!U775</f>
        <v>0</v>
      </c>
      <c r="V775" s="272">
        <f>+'NI-San_SP'!V775+'NI-Soc_SP'!V775+'NI-Ric_SP'!V775</f>
        <v>153200</v>
      </c>
      <c r="W775" s="211"/>
      <c r="X775" s="211"/>
      <c r="Y775" s="211"/>
      <c r="Z775" s="211"/>
      <c r="AA775" s="211"/>
    </row>
    <row r="776" spans="1:27" s="204" customFormat="1" x14ac:dyDescent="0.25">
      <c r="B776" s="246" t="s">
        <v>1872</v>
      </c>
      <c r="C776" s="284" t="s">
        <v>1873</v>
      </c>
      <c r="D776" s="274" t="s">
        <v>3850</v>
      </c>
      <c r="E776" s="274"/>
      <c r="F776" s="274"/>
      <c r="G776" s="283"/>
      <c r="H776" s="266"/>
      <c r="I776" s="427"/>
      <c r="J776" s="281"/>
      <c r="K776" s="281"/>
      <c r="L776" s="430" t="s">
        <v>3851</v>
      </c>
      <c r="M776" s="284" t="s">
        <v>2962</v>
      </c>
      <c r="N776" s="408">
        <f>+R776</f>
        <v>0</v>
      </c>
      <c r="O776" s="408">
        <f>+V776</f>
        <v>0</v>
      </c>
      <c r="P776" s="271">
        <f>+O776-N776</f>
        <v>0</v>
      </c>
      <c r="Q776" s="272">
        <f>+'NI-San_SP'!Q776+'NI-Soc_SP'!Q776+'NI-Ric_SP'!Q776</f>
        <v>0</v>
      </c>
      <c r="R776" s="272">
        <f>+'NI-San_SP'!R776+'NI-Soc_SP'!R776+'NI-Ric_SP'!R776</f>
        <v>0</v>
      </c>
      <c r="S776" s="272">
        <f>+'NI-San_SP'!S776+'NI-Soc_SP'!S776+'NI-Ric_SP'!S776</f>
        <v>0</v>
      </c>
      <c r="T776" s="272">
        <f>+'NI-San_SP'!T776+'NI-Soc_SP'!T776+'NI-Ric_SP'!T776</f>
        <v>0</v>
      </c>
      <c r="U776" s="272">
        <f>+'NI-San_SP'!U776+'NI-Soc_SP'!U776+'NI-Ric_SP'!U776</f>
        <v>0</v>
      </c>
      <c r="V776" s="272">
        <f>+'NI-San_SP'!V776+'NI-Soc_SP'!V776+'NI-Ric_SP'!V776</f>
        <v>0</v>
      </c>
      <c r="W776" s="211"/>
      <c r="X776" s="211"/>
      <c r="Y776" s="211"/>
      <c r="Z776" s="211"/>
      <c r="AA776" s="211"/>
    </row>
    <row r="777" spans="1:27" s="204" customFormat="1" x14ac:dyDescent="0.25">
      <c r="B777" s="246" t="s">
        <v>1875</v>
      </c>
      <c r="C777" s="284" t="s">
        <v>1876</v>
      </c>
      <c r="D777" s="274" t="s">
        <v>3852</v>
      </c>
      <c r="E777" s="274"/>
      <c r="F777" s="274"/>
      <c r="G777" s="283"/>
      <c r="H777" s="266"/>
      <c r="I777" s="427"/>
      <c r="J777" s="281"/>
      <c r="K777" s="281"/>
      <c r="L777" s="430" t="s">
        <v>3853</v>
      </c>
      <c r="M777" s="284" t="s">
        <v>2962</v>
      </c>
      <c r="N777" s="408">
        <f>+R777</f>
        <v>0</v>
      </c>
      <c r="O777" s="408">
        <f>+V777</f>
        <v>0</v>
      </c>
      <c r="P777" s="271">
        <f>+O777-N777</f>
        <v>0</v>
      </c>
      <c r="Q777" s="272">
        <f>+'NI-San_SP'!Q777+'NI-Soc_SP'!Q777+'NI-Ric_SP'!Q777</f>
        <v>0</v>
      </c>
      <c r="R777" s="272">
        <f>+'NI-San_SP'!R777+'NI-Soc_SP'!R777+'NI-Ric_SP'!R777</f>
        <v>0</v>
      </c>
      <c r="S777" s="272">
        <f>+'NI-San_SP'!S777+'NI-Soc_SP'!S777+'NI-Ric_SP'!S777</f>
        <v>0</v>
      </c>
      <c r="T777" s="272">
        <f>+'NI-San_SP'!T777+'NI-Soc_SP'!T777+'NI-Ric_SP'!T777</f>
        <v>0</v>
      </c>
      <c r="U777" s="272">
        <f>+'NI-San_SP'!U777+'NI-Soc_SP'!U777+'NI-Ric_SP'!U777</f>
        <v>0</v>
      </c>
      <c r="V777" s="272">
        <f>+'NI-San_SP'!V777+'NI-Soc_SP'!V777+'NI-Ric_SP'!V777</f>
        <v>0</v>
      </c>
      <c r="W777" s="211"/>
      <c r="X777" s="211"/>
      <c r="Y777" s="211"/>
      <c r="Z777" s="211"/>
      <c r="AA777" s="211"/>
    </row>
    <row r="778" spans="1:27" s="204" customFormat="1" x14ac:dyDescent="0.25">
      <c r="B778" s="246" t="s">
        <v>1878</v>
      </c>
      <c r="C778" s="284" t="s">
        <v>1879</v>
      </c>
      <c r="D778" s="274" t="s">
        <v>3854</v>
      </c>
      <c r="E778" s="274"/>
      <c r="F778" s="274"/>
      <c r="G778" s="283"/>
      <c r="H778" s="266"/>
      <c r="I778" s="427"/>
      <c r="J778" s="281"/>
      <c r="K778" s="281"/>
      <c r="L778" s="422" t="s">
        <v>3855</v>
      </c>
      <c r="M778" s="284" t="s">
        <v>2962</v>
      </c>
      <c r="N778" s="352"/>
      <c r="O778" s="352"/>
      <c r="P778" s="352"/>
      <c r="Q778" s="352"/>
      <c r="R778" s="354">
        <f>+'NI-San_SP'!R778+'NI-Soc_SP'!R778+'NI-Ric_SP'!R778</f>
        <v>0</v>
      </c>
      <c r="S778" s="352"/>
      <c r="T778" s="352"/>
      <c r="U778" s="352"/>
      <c r="V778" s="352"/>
      <c r="W778" s="211"/>
      <c r="X778" s="211"/>
      <c r="Y778" s="211"/>
      <c r="Z778" s="211"/>
      <c r="AA778" s="211"/>
    </row>
    <row r="779" spans="1:27" s="204" customFormat="1" x14ac:dyDescent="0.25">
      <c r="B779" s="246" t="s">
        <v>1881</v>
      </c>
      <c r="C779" s="284" t="s">
        <v>1882</v>
      </c>
      <c r="D779" s="274" t="s">
        <v>3856</v>
      </c>
      <c r="E779" s="274"/>
      <c r="F779" s="274"/>
      <c r="G779" s="283"/>
      <c r="H779" s="266"/>
      <c r="I779" s="427"/>
      <c r="J779" s="281"/>
      <c r="K779" s="281"/>
      <c r="L779" s="430" t="s">
        <v>3857</v>
      </c>
      <c r="M779" s="284"/>
      <c r="N779" s="408">
        <f>+R779</f>
        <v>7401292</v>
      </c>
      <c r="O779" s="408">
        <f>+V779</f>
        <v>8238751</v>
      </c>
      <c r="P779" s="271">
        <f>+O779-N779</f>
        <v>837459</v>
      </c>
      <c r="Q779" s="272">
        <f>+'NI-San_SP'!Q779+'NI-Soc_SP'!Q779+'NI-Ric_SP'!Q779</f>
        <v>0</v>
      </c>
      <c r="R779" s="272">
        <f>+'NI-San_SP'!R779+'NI-Soc_SP'!R779+'NI-Ric_SP'!R779</f>
        <v>7401292</v>
      </c>
      <c r="S779" s="272">
        <f>+'NI-San_SP'!S779+'NI-Soc_SP'!S779+'NI-Ric_SP'!S779</f>
        <v>0</v>
      </c>
      <c r="T779" s="272">
        <f>+'NI-San_SP'!T779+'NI-Soc_SP'!T779+'NI-Ric_SP'!T779</f>
        <v>1058706</v>
      </c>
      <c r="U779" s="272">
        <f>+'NI-San_SP'!U779+'NI-Soc_SP'!U779+'NI-Ric_SP'!U779</f>
        <v>221247</v>
      </c>
      <c r="V779" s="272">
        <f>+'NI-San_SP'!V779+'NI-Soc_SP'!V779+'NI-Ric_SP'!V779</f>
        <v>8238751</v>
      </c>
      <c r="W779" s="211"/>
      <c r="X779" s="211"/>
      <c r="Y779" s="211"/>
      <c r="Z779" s="211"/>
      <c r="AA779" s="211"/>
    </row>
    <row r="780" spans="1:27" s="204" customFormat="1" x14ac:dyDescent="0.25">
      <c r="B780" s="246" t="s">
        <v>1884</v>
      </c>
      <c r="C780" s="284" t="s">
        <v>1885</v>
      </c>
      <c r="D780" s="274" t="s">
        <v>3858</v>
      </c>
      <c r="E780" s="274"/>
      <c r="F780" s="274"/>
      <c r="G780" s="283"/>
      <c r="H780" s="266"/>
      <c r="I780" s="427"/>
      <c r="J780" s="281"/>
      <c r="K780" s="281"/>
      <c r="L780" s="430" t="s">
        <v>3859</v>
      </c>
      <c r="M780" s="284"/>
      <c r="N780" s="408">
        <f>+R780</f>
        <v>0</v>
      </c>
      <c r="O780" s="408">
        <f>+V780</f>
        <v>0</v>
      </c>
      <c r="P780" s="271">
        <f>+O780-N780</f>
        <v>0</v>
      </c>
      <c r="Q780" s="272">
        <f>+'NI-San_SP'!Q780+'NI-Soc_SP'!Q780+'NI-Ric_SP'!Q780</f>
        <v>0</v>
      </c>
      <c r="R780" s="272">
        <f>+'NI-San_SP'!R780+'NI-Soc_SP'!R780+'NI-Ric_SP'!R780</f>
        <v>0</v>
      </c>
      <c r="S780" s="272">
        <f>+'NI-San_SP'!S780+'NI-Soc_SP'!S780+'NI-Ric_SP'!S780</f>
        <v>0</v>
      </c>
      <c r="T780" s="272">
        <f>+'NI-San_SP'!T780+'NI-Soc_SP'!T780+'NI-Ric_SP'!T780</f>
        <v>0</v>
      </c>
      <c r="U780" s="272">
        <f>+'NI-San_SP'!U780+'NI-Soc_SP'!U780+'NI-Ric_SP'!U780</f>
        <v>0</v>
      </c>
      <c r="V780" s="272">
        <f>+'NI-San_SP'!V780+'NI-Soc_SP'!V780+'NI-Ric_SP'!V780</f>
        <v>0</v>
      </c>
      <c r="W780" s="211"/>
      <c r="X780" s="211"/>
      <c r="Y780" s="211"/>
      <c r="Z780" s="211"/>
      <c r="AA780" s="211"/>
    </row>
    <row r="781" spans="1:27" s="204" customFormat="1" x14ac:dyDescent="0.25">
      <c r="B781" s="246" t="s">
        <v>1887</v>
      </c>
      <c r="C781" s="284" t="s">
        <v>1888</v>
      </c>
      <c r="D781" s="274" t="s">
        <v>3860</v>
      </c>
      <c r="E781" s="274"/>
      <c r="F781" s="274"/>
      <c r="G781" s="283"/>
      <c r="H781" s="266"/>
      <c r="I781" s="427"/>
      <c r="J781" s="281"/>
      <c r="K781" s="281"/>
      <c r="L781" s="430" t="s">
        <v>3861</v>
      </c>
      <c r="M781" s="284"/>
      <c r="N781" s="408">
        <f>+R781</f>
        <v>0</v>
      </c>
      <c r="O781" s="408">
        <f>+V781</f>
        <v>0</v>
      </c>
      <c r="P781" s="271">
        <f>+O781-N781</f>
        <v>0</v>
      </c>
      <c r="Q781" s="272">
        <f>+'NI-San_SP'!Q781+'NI-Soc_SP'!Q781+'NI-Ric_SP'!Q781</f>
        <v>0</v>
      </c>
      <c r="R781" s="272">
        <f>+'NI-San_SP'!R781+'NI-Soc_SP'!R781+'NI-Ric_SP'!R781</f>
        <v>0</v>
      </c>
      <c r="S781" s="272">
        <f>+'NI-San_SP'!S781+'NI-Soc_SP'!S781+'NI-Ric_SP'!S781</f>
        <v>0</v>
      </c>
      <c r="T781" s="272">
        <f>+'NI-San_SP'!T781+'NI-Soc_SP'!T781+'NI-Ric_SP'!T781</f>
        <v>0</v>
      </c>
      <c r="U781" s="272">
        <f>+'NI-San_SP'!U781+'NI-Soc_SP'!U781+'NI-Ric_SP'!U781</f>
        <v>0</v>
      </c>
      <c r="V781" s="272">
        <f>+'NI-San_SP'!V781+'NI-Soc_SP'!V781+'NI-Ric_SP'!V781</f>
        <v>0</v>
      </c>
      <c r="W781" s="211"/>
      <c r="X781" s="211"/>
      <c r="Y781" s="211"/>
      <c r="Z781" s="211"/>
      <c r="AA781" s="211"/>
    </row>
    <row r="782" spans="1:27" s="204" customFormat="1" x14ac:dyDescent="0.25">
      <c r="B782" s="246" t="s">
        <v>1890</v>
      </c>
      <c r="C782" s="284" t="s">
        <v>1891</v>
      </c>
      <c r="D782" s="274" t="s">
        <v>3862</v>
      </c>
      <c r="E782" s="274"/>
      <c r="F782" s="274"/>
      <c r="G782" s="283"/>
      <c r="H782" s="266"/>
      <c r="I782" s="427"/>
      <c r="J782" s="281"/>
      <c r="K782" s="281"/>
      <c r="L782" s="422" t="s">
        <v>3863</v>
      </c>
      <c r="M782" s="284" t="s">
        <v>2962</v>
      </c>
      <c r="N782" s="408">
        <f>+R782</f>
        <v>0</v>
      </c>
      <c r="O782" s="408">
        <f>+V782</f>
        <v>0</v>
      </c>
      <c r="P782" s="271">
        <f>+O782-N782</f>
        <v>0</v>
      </c>
      <c r="Q782" s="272">
        <f>+'NI-San_SP'!Q782+'NI-Soc_SP'!Q782+'NI-Ric_SP'!Q782</f>
        <v>0</v>
      </c>
      <c r="R782" s="272">
        <f>+'NI-San_SP'!R782+'NI-Soc_SP'!R782+'NI-Ric_SP'!R782</f>
        <v>0</v>
      </c>
      <c r="S782" s="272">
        <f>+'NI-San_SP'!S782+'NI-Soc_SP'!S782+'NI-Ric_SP'!S782</f>
        <v>0</v>
      </c>
      <c r="T782" s="272">
        <f>+'NI-San_SP'!T782+'NI-Soc_SP'!T782+'NI-Ric_SP'!T782</f>
        <v>0</v>
      </c>
      <c r="U782" s="272">
        <f>+'NI-San_SP'!U782+'NI-Soc_SP'!U782+'NI-Ric_SP'!U782</f>
        <v>0</v>
      </c>
      <c r="V782" s="272">
        <f>+'NI-San_SP'!V782+'NI-Soc_SP'!V782+'NI-Ric_SP'!V782</f>
        <v>0</v>
      </c>
      <c r="W782" s="211"/>
      <c r="X782" s="211"/>
      <c r="Y782" s="211"/>
      <c r="Z782" s="211"/>
      <c r="AA782" s="211"/>
    </row>
    <row r="783" spans="1:27" s="204" customFormat="1" x14ac:dyDescent="0.25">
      <c r="B783" s="246" t="s">
        <v>1893</v>
      </c>
      <c r="C783" s="284" t="s">
        <v>1894</v>
      </c>
      <c r="D783" s="274" t="s">
        <v>3864</v>
      </c>
      <c r="E783" s="274"/>
      <c r="F783" s="274"/>
      <c r="G783" s="283"/>
      <c r="H783" s="266"/>
      <c r="I783" s="427"/>
      <c r="J783" s="281"/>
      <c r="K783" s="281"/>
      <c r="L783" s="422" t="s">
        <v>3865</v>
      </c>
      <c r="M783" s="284" t="s">
        <v>2962</v>
      </c>
      <c r="N783" s="352"/>
      <c r="O783" s="352"/>
      <c r="P783" s="352"/>
      <c r="Q783" s="352"/>
      <c r="R783" s="354">
        <f>+'NI-San_SP'!R783+'NI-Soc_SP'!R783+'NI-Ric_SP'!R783</f>
        <v>0</v>
      </c>
      <c r="S783" s="352"/>
      <c r="T783" s="352"/>
      <c r="U783" s="352"/>
      <c r="V783" s="352"/>
      <c r="W783" s="211"/>
      <c r="X783" s="211"/>
      <c r="Y783" s="211"/>
      <c r="Z783" s="211"/>
      <c r="AA783" s="211"/>
    </row>
    <row r="784" spans="1:27" s="204" customFormat="1" x14ac:dyDescent="0.25">
      <c r="B784" s="246" t="s">
        <v>1896</v>
      </c>
      <c r="C784" s="284" t="s">
        <v>1897</v>
      </c>
      <c r="D784" s="274" t="s">
        <v>3866</v>
      </c>
      <c r="E784" s="274"/>
      <c r="F784" s="274"/>
      <c r="G784" s="283"/>
      <c r="H784" s="266"/>
      <c r="I784" s="427"/>
      <c r="J784" s="281"/>
      <c r="K784" s="281"/>
      <c r="L784" s="430" t="s">
        <v>3867</v>
      </c>
      <c r="M784" s="284" t="s">
        <v>2962</v>
      </c>
      <c r="N784" s="408">
        <f>+R784</f>
        <v>0</v>
      </c>
      <c r="O784" s="408">
        <f>+V784</f>
        <v>0</v>
      </c>
      <c r="P784" s="271">
        <f>+O784-N784</f>
        <v>0</v>
      </c>
      <c r="Q784" s="272">
        <f>+'NI-San_SP'!Q784+'NI-Soc_SP'!Q784+'NI-Ric_SP'!Q784</f>
        <v>0</v>
      </c>
      <c r="R784" s="272">
        <f>+'NI-San_SP'!R784+'NI-Soc_SP'!R784+'NI-Ric_SP'!R784</f>
        <v>0</v>
      </c>
      <c r="S784" s="272">
        <f>+'NI-San_SP'!S784+'NI-Soc_SP'!S784+'NI-Ric_SP'!S784</f>
        <v>0</v>
      </c>
      <c r="T784" s="272">
        <f>+'NI-San_SP'!T784+'NI-Soc_SP'!T784+'NI-Ric_SP'!T784</f>
        <v>0</v>
      </c>
      <c r="U784" s="272">
        <f>+'NI-San_SP'!U784+'NI-Soc_SP'!U784+'NI-Ric_SP'!U784</f>
        <v>0</v>
      </c>
      <c r="V784" s="272">
        <f>+'NI-San_SP'!V784+'NI-Soc_SP'!V784+'NI-Ric_SP'!V784</f>
        <v>0</v>
      </c>
      <c r="W784" s="211"/>
      <c r="X784" s="211"/>
      <c r="Y784" s="211"/>
      <c r="Z784" s="211"/>
      <c r="AA784" s="211"/>
    </row>
    <row r="785" spans="1:29" s="204" customFormat="1" x14ac:dyDescent="0.25">
      <c r="B785" s="246" t="s">
        <v>1899</v>
      </c>
      <c r="C785" s="284" t="s">
        <v>1900</v>
      </c>
      <c r="D785" s="274" t="s">
        <v>3868</v>
      </c>
      <c r="E785" s="274"/>
      <c r="F785" s="274"/>
      <c r="G785" s="283"/>
      <c r="H785" s="266"/>
      <c r="I785" s="427"/>
      <c r="J785" s="281"/>
      <c r="K785" s="281"/>
      <c r="L785" s="430" t="s">
        <v>3869</v>
      </c>
      <c r="M785" s="284" t="s">
        <v>2962</v>
      </c>
      <c r="N785" s="408">
        <f>+R785</f>
        <v>0</v>
      </c>
      <c r="O785" s="408">
        <f>+V785</f>
        <v>0</v>
      </c>
      <c r="P785" s="271">
        <f>+O785-N785</f>
        <v>0</v>
      </c>
      <c r="Q785" s="272">
        <f>+'NI-San_SP'!Q785+'NI-Soc_SP'!Q785+'NI-Ric_SP'!Q785</f>
        <v>0</v>
      </c>
      <c r="R785" s="272">
        <f>+'NI-San_SP'!R785+'NI-Soc_SP'!R785+'NI-Ric_SP'!R785</f>
        <v>0</v>
      </c>
      <c r="S785" s="272">
        <f>+'NI-San_SP'!S785+'NI-Soc_SP'!S785+'NI-Ric_SP'!S785</f>
        <v>0</v>
      </c>
      <c r="T785" s="272">
        <f>+'NI-San_SP'!T785+'NI-Soc_SP'!T785+'NI-Ric_SP'!T785</f>
        <v>0</v>
      </c>
      <c r="U785" s="272">
        <f>+'NI-San_SP'!U785+'NI-Soc_SP'!U785+'NI-Ric_SP'!U785</f>
        <v>0</v>
      </c>
      <c r="V785" s="272">
        <f>+'NI-San_SP'!V785+'NI-Soc_SP'!V785+'NI-Ric_SP'!V785</f>
        <v>0</v>
      </c>
      <c r="W785" s="211"/>
      <c r="X785" s="211"/>
      <c r="Y785" s="211"/>
      <c r="Z785" s="211"/>
      <c r="AA785" s="211"/>
    </row>
    <row r="786" spans="1:29" s="204" customFormat="1" x14ac:dyDescent="0.25">
      <c r="B786" s="246" t="s">
        <v>1902</v>
      </c>
      <c r="C786" s="284" t="s">
        <v>1903</v>
      </c>
      <c r="D786" s="274" t="s">
        <v>3870</v>
      </c>
      <c r="E786" s="274"/>
      <c r="F786" s="274"/>
      <c r="G786" s="283"/>
      <c r="H786" s="266"/>
      <c r="I786" s="427"/>
      <c r="J786" s="281"/>
      <c r="K786" s="281"/>
      <c r="L786" s="430" t="s">
        <v>3871</v>
      </c>
      <c r="M786" s="284" t="s">
        <v>2962</v>
      </c>
      <c r="N786" s="408">
        <f>+R786</f>
        <v>0</v>
      </c>
      <c r="O786" s="408">
        <f>+V786</f>
        <v>0</v>
      </c>
      <c r="P786" s="271">
        <f>+O786-N786</f>
        <v>0</v>
      </c>
      <c r="Q786" s="272">
        <f>+'NI-San_SP'!Q786+'NI-Soc_SP'!Q786+'NI-Ric_SP'!Q786</f>
        <v>0</v>
      </c>
      <c r="R786" s="272">
        <f>+'NI-San_SP'!R786+'NI-Soc_SP'!R786+'NI-Ric_SP'!R786</f>
        <v>0</v>
      </c>
      <c r="S786" s="272">
        <f>+'NI-San_SP'!S786+'NI-Soc_SP'!S786+'NI-Ric_SP'!S786</f>
        <v>0</v>
      </c>
      <c r="T786" s="272">
        <f>+'NI-San_SP'!T786+'NI-Soc_SP'!T786+'NI-Ric_SP'!T786</f>
        <v>0</v>
      </c>
      <c r="U786" s="272">
        <f>+'NI-San_SP'!U786+'NI-Soc_SP'!U786+'NI-Ric_SP'!U786</f>
        <v>0</v>
      </c>
      <c r="V786" s="272">
        <f>+'NI-San_SP'!V786+'NI-Soc_SP'!V786+'NI-Ric_SP'!V786</f>
        <v>0</v>
      </c>
      <c r="W786" s="211"/>
      <c r="X786" s="211"/>
      <c r="Y786" s="211"/>
      <c r="Z786" s="211"/>
      <c r="AA786" s="211"/>
    </row>
    <row r="787" spans="1:29" s="204" customFormat="1" x14ac:dyDescent="0.25">
      <c r="B787" s="246" t="s">
        <v>1905</v>
      </c>
      <c r="C787" s="284" t="s">
        <v>1906</v>
      </c>
      <c r="D787" s="274" t="s">
        <v>3872</v>
      </c>
      <c r="E787" s="274"/>
      <c r="F787" s="274"/>
      <c r="G787" s="283"/>
      <c r="H787" s="266"/>
      <c r="I787" s="427"/>
      <c r="J787" s="281"/>
      <c r="K787" s="281"/>
      <c r="L787" s="430" t="s">
        <v>3873</v>
      </c>
      <c r="M787" s="284" t="s">
        <v>2962</v>
      </c>
      <c r="N787" s="408">
        <f>+R787</f>
        <v>0</v>
      </c>
      <c r="O787" s="408">
        <f>+V787</f>
        <v>0</v>
      </c>
      <c r="P787" s="271">
        <f>+O787-N787</f>
        <v>0</v>
      </c>
      <c r="Q787" s="272">
        <f>+'NI-San_SP'!Q787+'NI-Soc_SP'!Q787+'NI-Ric_SP'!Q787</f>
        <v>0</v>
      </c>
      <c r="R787" s="272">
        <f>+'NI-San_SP'!R787+'NI-Soc_SP'!R787+'NI-Ric_SP'!R787</f>
        <v>0</v>
      </c>
      <c r="S787" s="272">
        <f>+'NI-San_SP'!S787+'NI-Soc_SP'!S787+'NI-Ric_SP'!S787</f>
        <v>0</v>
      </c>
      <c r="T787" s="272">
        <f>+'NI-San_SP'!T787+'NI-Soc_SP'!T787+'NI-Ric_SP'!T787</f>
        <v>0</v>
      </c>
      <c r="U787" s="272">
        <f>+'NI-San_SP'!U787+'NI-Soc_SP'!U787+'NI-Ric_SP'!U787</f>
        <v>0</v>
      </c>
      <c r="V787" s="272">
        <f>+'NI-San_SP'!V787+'NI-Soc_SP'!V787+'NI-Ric_SP'!V787</f>
        <v>0</v>
      </c>
      <c r="W787" s="211"/>
      <c r="X787" s="211"/>
      <c r="Y787" s="211"/>
      <c r="Z787" s="211"/>
      <c r="AA787" s="211"/>
    </row>
    <row r="788" spans="1:29" s="204" customFormat="1" x14ac:dyDescent="0.25">
      <c r="B788" s="230"/>
      <c r="C788" s="230"/>
      <c r="D788" s="230"/>
      <c r="E788" s="230"/>
      <c r="F788" s="230"/>
      <c r="G788" s="230"/>
      <c r="H788" s="231"/>
      <c r="I788" s="230"/>
      <c r="J788" s="230"/>
      <c r="K788" s="230"/>
      <c r="L788" s="232"/>
      <c r="M788" s="211"/>
      <c r="N788" s="254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</row>
    <row r="789" spans="1:29" s="204" customFormat="1" x14ac:dyDescent="0.25">
      <c r="B789" s="230"/>
      <c r="C789" s="230"/>
      <c r="D789" s="230"/>
      <c r="E789" s="230"/>
      <c r="F789" s="230"/>
      <c r="G789" s="211"/>
      <c r="H789" s="353"/>
      <c r="I789" s="211"/>
      <c r="J789" s="211"/>
      <c r="K789" s="211"/>
      <c r="L789" s="232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</row>
    <row r="790" spans="1:29" s="204" customFormat="1" x14ac:dyDescent="0.25">
      <c r="A790" s="204">
        <f>O790-N790</f>
        <v>18399672</v>
      </c>
      <c r="B790" s="246">
        <v>0</v>
      </c>
      <c r="C790" s="218" t="s">
        <v>1908</v>
      </c>
      <c r="D790" s="219" t="s">
        <v>3874</v>
      </c>
      <c r="E790" s="219"/>
      <c r="F790" s="219"/>
      <c r="G790" s="219"/>
      <c r="H790" s="220"/>
      <c r="I790" s="219"/>
      <c r="J790" s="219"/>
      <c r="K790" s="219"/>
      <c r="L790" s="221" t="s">
        <v>1909</v>
      </c>
      <c r="M790" s="222" t="s">
        <v>2962</v>
      </c>
      <c r="N790" s="223">
        <f>+N792+N821+N889+N906+N1053</f>
        <v>213910168</v>
      </c>
      <c r="O790" s="223">
        <f>+O792+O821+O889+O906+O1053</f>
        <v>232309840</v>
      </c>
      <c r="P790" s="223">
        <f>+O790-N790</f>
        <v>18399672</v>
      </c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</row>
    <row r="791" spans="1:29" s="204" customFormat="1" x14ac:dyDescent="0.25">
      <c r="B791" s="230"/>
      <c r="C791" s="230"/>
      <c r="D791" s="230"/>
      <c r="E791" s="230"/>
      <c r="F791" s="230"/>
      <c r="G791" s="230"/>
      <c r="H791" s="231"/>
      <c r="I791" s="230"/>
      <c r="J791" s="230"/>
      <c r="K791" s="230"/>
      <c r="L791" s="232"/>
      <c r="M791" s="211"/>
      <c r="N791" s="254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</row>
    <row r="792" spans="1:29" s="204" customFormat="1" x14ac:dyDescent="0.25">
      <c r="A792" s="204">
        <f>O792-N792</f>
        <v>14172722</v>
      </c>
      <c r="B792" s="246" t="s">
        <v>1910</v>
      </c>
      <c r="C792" s="233" t="s">
        <v>1911</v>
      </c>
      <c r="D792" s="234" t="s">
        <v>3875</v>
      </c>
      <c r="E792" s="234"/>
      <c r="F792" s="234"/>
      <c r="G792" s="234"/>
      <c r="H792" s="235"/>
      <c r="I792" s="234"/>
      <c r="J792" s="234"/>
      <c r="K792" s="234"/>
      <c r="L792" s="236" t="s">
        <v>1912</v>
      </c>
      <c r="M792" s="237" t="s">
        <v>2962</v>
      </c>
      <c r="N792" s="238">
        <f>+N795+N796+N805+N806+N812+N816+N817</f>
        <v>114274462</v>
      </c>
      <c r="O792" s="238">
        <f>+O795+O796+O805+O806+O812+O816+O817</f>
        <v>128447184</v>
      </c>
      <c r="P792" s="239">
        <f>+O792-N792</f>
        <v>14172722</v>
      </c>
      <c r="Q792" s="238">
        <f t="shared" ref="Q792:Z792" si="101">+Q795+Q796+Q805+Q806+Q812+Q816+Q817</f>
        <v>0</v>
      </c>
      <c r="R792" s="238">
        <f t="shared" si="101"/>
        <v>114274462</v>
      </c>
      <c r="S792" s="238">
        <f t="shared" si="101"/>
        <v>0</v>
      </c>
      <c r="T792" s="238">
        <f t="shared" si="101"/>
        <v>0</v>
      </c>
      <c r="U792" s="238">
        <f t="shared" si="101"/>
        <v>22183730</v>
      </c>
      <c r="V792" s="238">
        <f t="shared" si="101"/>
        <v>8348078</v>
      </c>
      <c r="W792" s="238">
        <f t="shared" si="101"/>
        <v>0</v>
      </c>
      <c r="X792" s="238">
        <f t="shared" si="101"/>
        <v>337070</v>
      </c>
      <c r="Y792" s="238">
        <f t="shared" si="101"/>
        <v>14172722</v>
      </c>
      <c r="Z792" s="238">
        <f t="shared" si="101"/>
        <v>128447184</v>
      </c>
      <c r="AA792" s="211"/>
    </row>
    <row r="793" spans="1:29" s="204" customFormat="1" x14ac:dyDescent="0.25">
      <c r="B793" s="230"/>
      <c r="C793" s="230"/>
      <c r="D793" s="230"/>
      <c r="E793" s="230"/>
      <c r="F793" s="230"/>
      <c r="G793" s="230"/>
      <c r="H793" s="231"/>
      <c r="I793" s="230"/>
      <c r="J793" s="230"/>
      <c r="K793" s="230"/>
      <c r="L793" s="232"/>
      <c r="M793" s="211"/>
      <c r="N793" s="254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909" t="s">
        <v>3876</v>
      </c>
      <c r="AB793" s="909"/>
      <c r="AC793" s="909"/>
    </row>
    <row r="794" spans="1:29" s="204" customFormat="1" ht="63.75" x14ac:dyDescent="0.25">
      <c r="B794" s="260" t="s">
        <v>2968</v>
      </c>
      <c r="C794" s="260" t="s">
        <v>2969</v>
      </c>
      <c r="D794" s="206" t="s">
        <v>72</v>
      </c>
      <c r="E794" s="206"/>
      <c r="F794" s="206"/>
      <c r="G794" s="207"/>
      <c r="H794" s="207"/>
      <c r="I794" s="207"/>
      <c r="J794" s="207" t="s">
        <v>2957</v>
      </c>
      <c r="K794" s="206" t="s">
        <v>82</v>
      </c>
      <c r="L794" s="431" t="s">
        <v>3670</v>
      </c>
      <c r="M794" s="432"/>
      <c r="N794" s="256" t="str">
        <f>N$15</f>
        <v>Valore netto al 31/12/2019</v>
      </c>
      <c r="O794" s="256" t="str">
        <f>O$15</f>
        <v>Valore netto al 31/12/2020</v>
      </c>
      <c r="P794" s="256" t="str">
        <f>P$15</f>
        <v>Variazione</v>
      </c>
      <c r="Q794" s="262" t="s">
        <v>2971</v>
      </c>
      <c r="R794" s="256" t="s">
        <v>3877</v>
      </c>
      <c r="S794" s="262" t="s">
        <v>2972</v>
      </c>
      <c r="T794" s="256" t="s">
        <v>3878</v>
      </c>
      <c r="U794" s="262" t="s">
        <v>3879</v>
      </c>
      <c r="V794" s="262" t="s">
        <v>3880</v>
      </c>
      <c r="W794" s="262" t="s">
        <v>2975</v>
      </c>
      <c r="X794" s="262" t="s">
        <v>3881</v>
      </c>
      <c r="Y794" s="262" t="s">
        <v>3882</v>
      </c>
      <c r="Z794" s="256" t="s">
        <v>3883</v>
      </c>
      <c r="AA794" s="433" t="s">
        <v>3884</v>
      </c>
      <c r="AB794" s="433" t="s">
        <v>3885</v>
      </c>
      <c r="AC794" s="433" t="s">
        <v>3886</v>
      </c>
    </row>
    <row r="795" spans="1:29" s="204" customFormat="1" x14ac:dyDescent="0.25">
      <c r="B795" s="246" t="s">
        <v>1913</v>
      </c>
      <c r="C795" s="287" t="s">
        <v>1914</v>
      </c>
      <c r="D795" s="274" t="s">
        <v>3887</v>
      </c>
      <c r="E795" s="274"/>
      <c r="F795" s="274"/>
      <c r="G795" s="283"/>
      <c r="H795" s="266"/>
      <c r="I795" s="274"/>
      <c r="J795" s="281"/>
      <c r="K795" s="434"/>
      <c r="L795" s="295" t="s">
        <v>1918</v>
      </c>
      <c r="M795" s="284" t="s">
        <v>2962</v>
      </c>
      <c r="N795" s="435">
        <f>+R795</f>
        <v>27529020</v>
      </c>
      <c r="O795" s="435">
        <f>+Z795</f>
        <v>27529020</v>
      </c>
      <c r="P795" s="271">
        <f t="shared" ref="P795:P817" si="102">+O795-N795</f>
        <v>0</v>
      </c>
      <c r="Q795" s="272">
        <f>+'NI-San_SP'!Q795+'NI-Soc_SP'!Q795+'NI-Ric_SP'!Q795</f>
        <v>0</v>
      </c>
      <c r="R795" s="272">
        <f>+'NI-San_SP'!R795+'NI-Soc_SP'!R795+'NI-Ric_SP'!R795</f>
        <v>27529020</v>
      </c>
      <c r="S795" s="272">
        <f>+'NI-San_SP'!S795+'NI-Soc_SP'!S795+'NI-Ric_SP'!S795</f>
        <v>0</v>
      </c>
      <c r="T795" s="272">
        <f>+'NI-San_SP'!T795+'NI-Soc_SP'!T795+'NI-Ric_SP'!T795</f>
        <v>0</v>
      </c>
      <c r="U795" s="272">
        <f>+'NI-San_SP'!U795+'NI-Soc_SP'!U795+'NI-Ric_SP'!U795</f>
        <v>0</v>
      </c>
      <c r="V795" s="272">
        <f>+'NI-San_SP'!V795+'NI-Soc_SP'!V795+'NI-Ric_SP'!V795</f>
        <v>0</v>
      </c>
      <c r="W795" s="272">
        <f>+'NI-San_SP'!W795+'NI-Soc_SP'!W795+'NI-Ric_SP'!W795</f>
        <v>0</v>
      </c>
      <c r="X795" s="272">
        <f>+'NI-San_SP'!X795+'NI-Soc_SP'!X795+'NI-Ric_SP'!X795</f>
        <v>0</v>
      </c>
      <c r="Y795" s="272">
        <f>+'NI-San_SP'!Y795+'NI-Soc_SP'!Y795+'NI-Ric_SP'!Y795</f>
        <v>0</v>
      </c>
      <c r="Z795" s="272">
        <f>+'NI-San_SP'!Z795+'NI-Soc_SP'!Z795+'NI-Ric_SP'!Z795</f>
        <v>27529020</v>
      </c>
      <c r="AA795" s="272">
        <f>+'NI-San_SP'!AA795+'NI-Soc_SP'!AA795+'NI-Ric_SP'!AA795</f>
        <v>0</v>
      </c>
      <c r="AB795" s="272">
        <f>+'NI-San_SP'!AB795+'NI-Soc_SP'!AB795+'NI-Ric_SP'!AB795</f>
        <v>0</v>
      </c>
      <c r="AC795" s="272">
        <f>+'NI-San_SP'!AC795+'NI-Soc_SP'!AC795+'NI-Ric_SP'!AC795</f>
        <v>0</v>
      </c>
    </row>
    <row r="796" spans="1:29" s="204" customFormat="1" x14ac:dyDescent="0.25">
      <c r="B796" s="246" t="s">
        <v>1919</v>
      </c>
      <c r="C796" s="287" t="s">
        <v>1920</v>
      </c>
      <c r="D796" s="274" t="s">
        <v>3888</v>
      </c>
      <c r="E796" s="274"/>
      <c r="F796" s="274"/>
      <c r="G796" s="283"/>
      <c r="H796" s="266"/>
      <c r="I796" s="274"/>
      <c r="J796" s="281"/>
      <c r="K796" s="281"/>
      <c r="L796" s="295" t="s">
        <v>1921</v>
      </c>
      <c r="M796" s="284" t="s">
        <v>2962</v>
      </c>
      <c r="N796" s="436">
        <f>+N797+N798+N802+N803+N804</f>
        <v>74830150</v>
      </c>
      <c r="O796" s="436">
        <f>+O797+O798+O802+O803+O804</f>
        <v>88220877</v>
      </c>
      <c r="P796" s="378">
        <f t="shared" si="102"/>
        <v>13390727</v>
      </c>
      <c r="Q796" s="272">
        <f>+'NI-San_SP'!Q796+'NI-Soc_SP'!Q796+'NI-Ric_SP'!Q796</f>
        <v>0</v>
      </c>
      <c r="R796" s="272">
        <f>+'NI-San_SP'!R796+'NI-Soc_SP'!R796+'NI-Ric_SP'!R796</f>
        <v>74830150</v>
      </c>
      <c r="S796" s="272">
        <f>+'NI-San_SP'!S796+'NI-Soc_SP'!S796+'NI-Ric_SP'!S796</f>
        <v>0</v>
      </c>
      <c r="T796" s="272">
        <f>+'NI-San_SP'!T796+'NI-Soc_SP'!T796+'NI-Ric_SP'!T796</f>
        <v>0</v>
      </c>
      <c r="U796" s="272">
        <f>+'NI-San_SP'!U796+'NI-Soc_SP'!U796+'NI-Ric_SP'!U796</f>
        <v>20826709</v>
      </c>
      <c r="V796" s="272">
        <f>+'NI-San_SP'!V796+'NI-Soc_SP'!V796+'NI-Ric_SP'!V796</f>
        <v>7792899</v>
      </c>
      <c r="W796" s="272">
        <f>+'NI-San_SP'!W796+'NI-Soc_SP'!W796+'NI-Ric_SP'!W796</f>
        <v>0</v>
      </c>
      <c r="X796" s="272">
        <f>+'NI-San_SP'!X796+'NI-Soc_SP'!X796+'NI-Ric_SP'!X796</f>
        <v>356917</v>
      </c>
      <c r="Y796" s="272">
        <f>+'NI-San_SP'!Y796+'NI-Soc_SP'!Y796+'NI-Ric_SP'!Y796</f>
        <v>13390727</v>
      </c>
      <c r="Z796" s="272">
        <f>+'NI-San_SP'!Z796+'NI-Soc_SP'!Z796+'NI-Ric_SP'!Z796</f>
        <v>88220877</v>
      </c>
      <c r="AA796" s="272">
        <f>+'NI-San_SP'!AA796+'NI-Soc_SP'!AA796+'NI-Ric_SP'!AA796</f>
        <v>0</v>
      </c>
      <c r="AB796" s="272">
        <f>+'NI-San_SP'!AB796+'NI-Soc_SP'!AB796+'NI-Ric_SP'!AB796</f>
        <v>0</v>
      </c>
      <c r="AC796" s="272">
        <f>+'NI-San_SP'!AC796+'NI-Soc_SP'!AC796+'NI-Ric_SP'!AC796</f>
        <v>0</v>
      </c>
    </row>
    <row r="797" spans="1:29" s="204" customFormat="1" x14ac:dyDescent="0.25">
      <c r="B797" s="246" t="s">
        <v>1922</v>
      </c>
      <c r="C797" s="287" t="s">
        <v>1923</v>
      </c>
      <c r="D797" s="274" t="s">
        <v>3889</v>
      </c>
      <c r="E797" s="274"/>
      <c r="F797" s="274"/>
      <c r="G797" s="283"/>
      <c r="H797" s="266"/>
      <c r="I797" s="427"/>
      <c r="J797" s="281"/>
      <c r="K797" s="281"/>
      <c r="L797" s="379" t="s">
        <v>1927</v>
      </c>
      <c r="M797" s="284" t="s">
        <v>2962</v>
      </c>
      <c r="N797" s="435">
        <f>+R797</f>
        <v>27609856</v>
      </c>
      <c r="O797" s="435">
        <f>+Z797</f>
        <v>25372331</v>
      </c>
      <c r="P797" s="271">
        <f t="shared" si="102"/>
        <v>-2237525</v>
      </c>
      <c r="Q797" s="272">
        <f>+'NI-San_SP'!Q797+'NI-Soc_SP'!Q797+'NI-Ric_SP'!Q797</f>
        <v>0</v>
      </c>
      <c r="R797" s="272">
        <f>+'NI-San_SP'!R797+'NI-Soc_SP'!R797+'NI-Ric_SP'!R797</f>
        <v>27609856</v>
      </c>
      <c r="S797" s="272">
        <f>+'NI-San_SP'!S797+'NI-Soc_SP'!S797+'NI-Ric_SP'!S797</f>
        <v>0</v>
      </c>
      <c r="T797" s="272">
        <f>+'NI-San_SP'!T797+'NI-Soc_SP'!T797+'NI-Ric_SP'!T797</f>
        <v>0</v>
      </c>
      <c r="U797" s="272">
        <f>+'NI-San_SP'!U797+'NI-Soc_SP'!U797+'NI-Ric_SP'!U797</f>
        <v>0</v>
      </c>
      <c r="V797" s="272">
        <f>+'NI-San_SP'!V797+'NI-Soc_SP'!V797+'NI-Ric_SP'!V797</f>
        <v>2237525</v>
      </c>
      <c r="W797" s="272">
        <f>+'NI-San_SP'!W797+'NI-Soc_SP'!W797+'NI-Ric_SP'!W797</f>
        <v>0</v>
      </c>
      <c r="X797" s="272">
        <f>+'NI-San_SP'!X797+'NI-Soc_SP'!X797+'NI-Ric_SP'!X797</f>
        <v>0</v>
      </c>
      <c r="Y797" s="272">
        <f>+'NI-San_SP'!Y797+'NI-Soc_SP'!Y797+'NI-Ric_SP'!Y797</f>
        <v>-2237525</v>
      </c>
      <c r="Z797" s="272">
        <f>+'NI-San_SP'!Z797+'NI-Soc_SP'!Z797+'NI-Ric_SP'!Z797</f>
        <v>25372331</v>
      </c>
      <c r="AA797" s="272">
        <f>+'NI-San_SP'!AA797+'NI-Soc_SP'!AA797+'NI-Ric_SP'!AA797</f>
        <v>0</v>
      </c>
      <c r="AB797" s="272">
        <f>+'NI-San_SP'!AB797+'NI-Soc_SP'!AB797+'NI-Ric_SP'!AB797</f>
        <v>0</v>
      </c>
      <c r="AC797" s="272">
        <f>+'NI-San_SP'!AC797+'NI-Soc_SP'!AC797+'NI-Ric_SP'!AC797</f>
        <v>0</v>
      </c>
    </row>
    <row r="798" spans="1:29" s="204" customFormat="1" x14ac:dyDescent="0.25">
      <c r="B798" s="246" t="s">
        <v>1928</v>
      </c>
      <c r="C798" s="287" t="s">
        <v>1929</v>
      </c>
      <c r="D798" s="274" t="s">
        <v>3890</v>
      </c>
      <c r="E798" s="274"/>
      <c r="F798" s="274"/>
      <c r="G798" s="437"/>
      <c r="H798" s="266"/>
      <c r="I798" s="437"/>
      <c r="J798" s="281"/>
      <c r="K798" s="281"/>
      <c r="L798" s="379" t="s">
        <v>1931</v>
      </c>
      <c r="M798" s="284" t="s">
        <v>2962</v>
      </c>
      <c r="N798" s="436">
        <f>SUM(N799:N801)</f>
        <v>0</v>
      </c>
      <c r="O798" s="436">
        <f>SUM(O799:O801)</f>
        <v>13598000</v>
      </c>
      <c r="P798" s="378">
        <f t="shared" si="102"/>
        <v>13598000</v>
      </c>
      <c r="Q798" s="272">
        <f>+'NI-San_SP'!Q798+'NI-Soc_SP'!Q798+'NI-Ric_SP'!Q798</f>
        <v>0</v>
      </c>
      <c r="R798" s="272">
        <f>+'NI-San_SP'!R798+'NI-Soc_SP'!R798+'NI-Ric_SP'!R798</f>
        <v>0</v>
      </c>
      <c r="S798" s="272">
        <f>+'NI-San_SP'!S798+'NI-Soc_SP'!S798+'NI-Ric_SP'!S798</f>
        <v>0</v>
      </c>
      <c r="T798" s="272">
        <f>+'NI-San_SP'!T798+'NI-Soc_SP'!T798+'NI-Ric_SP'!T798</f>
        <v>0</v>
      </c>
      <c r="U798" s="272">
        <f>+'NI-San_SP'!U798+'NI-Soc_SP'!U798+'NI-Ric_SP'!U798</f>
        <v>13598000</v>
      </c>
      <c r="V798" s="272">
        <f>+'NI-San_SP'!V798+'NI-Soc_SP'!V798+'NI-Ric_SP'!V798</f>
        <v>0</v>
      </c>
      <c r="W798" s="272">
        <f>+'NI-San_SP'!W798+'NI-Soc_SP'!W798+'NI-Ric_SP'!W798</f>
        <v>0</v>
      </c>
      <c r="X798" s="272">
        <f>+'NI-San_SP'!X798+'NI-Soc_SP'!X798+'NI-Ric_SP'!X798</f>
        <v>0</v>
      </c>
      <c r="Y798" s="272">
        <f>+'NI-San_SP'!Y798+'NI-Soc_SP'!Y798+'NI-Ric_SP'!Y798</f>
        <v>13598000</v>
      </c>
      <c r="Z798" s="272">
        <f>+'NI-San_SP'!Z798+'NI-Soc_SP'!Z798+'NI-Ric_SP'!Z798</f>
        <v>13598000</v>
      </c>
      <c r="AA798" s="272">
        <f>+'NI-San_SP'!AA798+'NI-Soc_SP'!AA798+'NI-Ric_SP'!AA798</f>
        <v>0</v>
      </c>
      <c r="AB798" s="272">
        <f>+'NI-San_SP'!AB798+'NI-Soc_SP'!AB798+'NI-Ric_SP'!AB798</f>
        <v>0</v>
      </c>
      <c r="AC798" s="272">
        <f>+'NI-San_SP'!AC798+'NI-Soc_SP'!AC798+'NI-Ric_SP'!AC798</f>
        <v>0</v>
      </c>
    </row>
    <row r="799" spans="1:29" s="204" customFormat="1" x14ac:dyDescent="0.25">
      <c r="B799" s="246" t="s">
        <v>1932</v>
      </c>
      <c r="C799" s="287" t="s">
        <v>1933</v>
      </c>
      <c r="D799" s="274" t="s">
        <v>3891</v>
      </c>
      <c r="E799" s="274"/>
      <c r="F799" s="274"/>
      <c r="G799" s="437"/>
      <c r="H799" s="266"/>
      <c r="I799" s="437"/>
      <c r="J799" s="281"/>
      <c r="K799" s="281"/>
      <c r="L799" s="97" t="s">
        <v>1936</v>
      </c>
      <c r="M799" s="284" t="s">
        <v>2962</v>
      </c>
      <c r="N799" s="435">
        <f t="shared" ref="N799:N805" si="103">+R799</f>
        <v>0</v>
      </c>
      <c r="O799" s="435">
        <f t="shared" ref="O799:O805" si="104">+Z799</f>
        <v>0</v>
      </c>
      <c r="P799" s="271">
        <f t="shared" si="102"/>
        <v>0</v>
      </c>
      <c r="Q799" s="272">
        <f>+'NI-San_SP'!Q799+'NI-Soc_SP'!Q799+'NI-Ric_SP'!Q799</f>
        <v>0</v>
      </c>
      <c r="R799" s="272">
        <f>+'NI-San_SP'!R799+'NI-Soc_SP'!R799+'NI-Ric_SP'!R799</f>
        <v>0</v>
      </c>
      <c r="S799" s="272">
        <f>+'NI-San_SP'!S799+'NI-Soc_SP'!S799+'NI-Ric_SP'!S799</f>
        <v>0</v>
      </c>
      <c r="T799" s="272">
        <f>+'NI-San_SP'!T799+'NI-Soc_SP'!T799+'NI-Ric_SP'!T799</f>
        <v>0</v>
      </c>
      <c r="U799" s="272">
        <f>+'NI-San_SP'!U799+'NI-Soc_SP'!U799+'NI-Ric_SP'!U799</f>
        <v>0</v>
      </c>
      <c r="V799" s="272">
        <f>+'NI-San_SP'!V799+'NI-Soc_SP'!V799+'NI-Ric_SP'!V799</f>
        <v>0</v>
      </c>
      <c r="W799" s="272">
        <f>+'NI-San_SP'!W799+'NI-Soc_SP'!W799+'NI-Ric_SP'!W799</f>
        <v>0</v>
      </c>
      <c r="X799" s="272">
        <f>+'NI-San_SP'!X799+'NI-Soc_SP'!X799+'NI-Ric_SP'!X799</f>
        <v>0</v>
      </c>
      <c r="Y799" s="272">
        <f>+'NI-San_SP'!Y799+'NI-Soc_SP'!Y799+'NI-Ric_SP'!Y799</f>
        <v>0</v>
      </c>
      <c r="Z799" s="272">
        <f>+'NI-San_SP'!Z799+'NI-Soc_SP'!Z799+'NI-Ric_SP'!Z799</f>
        <v>0</v>
      </c>
      <c r="AA799" s="272">
        <f>+'NI-San_SP'!AA799+'NI-Soc_SP'!AA799+'NI-Ric_SP'!AA799</f>
        <v>0</v>
      </c>
      <c r="AB799" s="272">
        <f>+'NI-San_SP'!AB799+'NI-Soc_SP'!AB799+'NI-Ric_SP'!AB799</f>
        <v>0</v>
      </c>
      <c r="AC799" s="272">
        <f>+'NI-San_SP'!AC799+'NI-Soc_SP'!AC799+'NI-Ric_SP'!AC799</f>
        <v>0</v>
      </c>
    </row>
    <row r="800" spans="1:29" s="204" customFormat="1" x14ac:dyDescent="0.25">
      <c r="B800" s="246" t="s">
        <v>1937</v>
      </c>
      <c r="C800" s="287" t="s">
        <v>1938</v>
      </c>
      <c r="D800" s="274" t="s">
        <v>3892</v>
      </c>
      <c r="E800" s="274"/>
      <c r="F800" s="274"/>
      <c r="G800" s="437"/>
      <c r="H800" s="266"/>
      <c r="I800" s="437"/>
      <c r="J800" s="281"/>
      <c r="K800" s="281"/>
      <c r="L800" s="97" t="s">
        <v>1941</v>
      </c>
      <c r="M800" s="284" t="s">
        <v>2962</v>
      </c>
      <c r="N800" s="435">
        <f t="shared" si="103"/>
        <v>0</v>
      </c>
      <c r="O800" s="435">
        <f t="shared" si="104"/>
        <v>0</v>
      </c>
      <c r="P800" s="271">
        <f t="shared" si="102"/>
        <v>0</v>
      </c>
      <c r="Q800" s="272">
        <f>+'NI-San_SP'!Q800+'NI-Soc_SP'!Q800+'NI-Ric_SP'!Q800</f>
        <v>0</v>
      </c>
      <c r="R800" s="272">
        <f>+'NI-San_SP'!R800+'NI-Soc_SP'!R800+'NI-Ric_SP'!R800</f>
        <v>0</v>
      </c>
      <c r="S800" s="272">
        <f>+'NI-San_SP'!S800+'NI-Soc_SP'!S800+'NI-Ric_SP'!S800</f>
        <v>0</v>
      </c>
      <c r="T800" s="272">
        <f>+'NI-San_SP'!T800+'NI-Soc_SP'!T800+'NI-Ric_SP'!T800</f>
        <v>0</v>
      </c>
      <c r="U800" s="272">
        <f>+'NI-San_SP'!U800+'NI-Soc_SP'!U800+'NI-Ric_SP'!U800</f>
        <v>0</v>
      </c>
      <c r="V800" s="272">
        <f>+'NI-San_SP'!V800+'NI-Soc_SP'!V800+'NI-Ric_SP'!V800</f>
        <v>0</v>
      </c>
      <c r="W800" s="272">
        <f>+'NI-San_SP'!W800+'NI-Soc_SP'!W800+'NI-Ric_SP'!W800</f>
        <v>0</v>
      </c>
      <c r="X800" s="272">
        <f>+'NI-San_SP'!X800+'NI-Soc_SP'!X800+'NI-Ric_SP'!X800</f>
        <v>0</v>
      </c>
      <c r="Y800" s="272">
        <f>+'NI-San_SP'!Y800+'NI-Soc_SP'!Y800+'NI-Ric_SP'!Y800</f>
        <v>0</v>
      </c>
      <c r="Z800" s="272">
        <f>+'NI-San_SP'!Z800+'NI-Soc_SP'!Z800+'NI-Ric_SP'!Z800</f>
        <v>0</v>
      </c>
      <c r="AA800" s="272">
        <f>+'NI-San_SP'!AA800+'NI-Soc_SP'!AA800+'NI-Ric_SP'!AA800</f>
        <v>0</v>
      </c>
      <c r="AB800" s="272">
        <f>+'NI-San_SP'!AB800+'NI-Soc_SP'!AB800+'NI-Ric_SP'!AB800</f>
        <v>0</v>
      </c>
      <c r="AC800" s="272">
        <f>+'NI-San_SP'!AC800+'NI-Soc_SP'!AC800+'NI-Ric_SP'!AC800</f>
        <v>0</v>
      </c>
    </row>
    <row r="801" spans="2:29" s="204" customFormat="1" x14ac:dyDescent="0.25">
      <c r="B801" s="246" t="s">
        <v>1942</v>
      </c>
      <c r="C801" s="287" t="s">
        <v>1943</v>
      </c>
      <c r="D801" s="274" t="s">
        <v>3893</v>
      </c>
      <c r="E801" s="274"/>
      <c r="F801" s="274"/>
      <c r="G801" s="437"/>
      <c r="H801" s="266"/>
      <c r="I801" s="437"/>
      <c r="J801" s="281"/>
      <c r="K801" s="281"/>
      <c r="L801" s="97" t="s">
        <v>1946</v>
      </c>
      <c r="M801" s="284" t="s">
        <v>2962</v>
      </c>
      <c r="N801" s="435">
        <f t="shared" si="103"/>
        <v>0</v>
      </c>
      <c r="O801" s="435">
        <f t="shared" si="104"/>
        <v>13598000</v>
      </c>
      <c r="P801" s="271">
        <f t="shared" si="102"/>
        <v>13598000</v>
      </c>
      <c r="Q801" s="272">
        <f>+'NI-San_SP'!Q801+'NI-Soc_SP'!Q801+'NI-Ric_SP'!Q801</f>
        <v>0</v>
      </c>
      <c r="R801" s="272">
        <f>+'NI-San_SP'!R801+'NI-Soc_SP'!R801+'NI-Ric_SP'!R801</f>
        <v>0</v>
      </c>
      <c r="S801" s="272">
        <f>+'NI-San_SP'!S801+'NI-Soc_SP'!S801+'NI-Ric_SP'!S801</f>
        <v>0</v>
      </c>
      <c r="T801" s="272">
        <f>+'NI-San_SP'!T801+'NI-Soc_SP'!T801+'NI-Ric_SP'!T801</f>
        <v>0</v>
      </c>
      <c r="U801" s="272">
        <f>+'NI-San_SP'!U801+'NI-Soc_SP'!U801+'NI-Ric_SP'!U801</f>
        <v>13598000</v>
      </c>
      <c r="V801" s="272">
        <f>+'NI-San_SP'!V801+'NI-Soc_SP'!V801+'NI-Ric_SP'!V801</f>
        <v>0</v>
      </c>
      <c r="W801" s="272">
        <f>+'NI-San_SP'!W801+'NI-Soc_SP'!W801+'NI-Ric_SP'!W801</f>
        <v>0</v>
      </c>
      <c r="X801" s="272">
        <f>+'NI-San_SP'!X801+'NI-Soc_SP'!X801+'NI-Ric_SP'!X801</f>
        <v>0</v>
      </c>
      <c r="Y801" s="272">
        <f>+'NI-San_SP'!Y801+'NI-Soc_SP'!Y801+'NI-Ric_SP'!Y801</f>
        <v>13598000</v>
      </c>
      <c r="Z801" s="272">
        <f>+'NI-San_SP'!Z801+'NI-Soc_SP'!Z801+'NI-Ric_SP'!Z801</f>
        <v>13598000</v>
      </c>
      <c r="AA801" s="272">
        <f>+'NI-San_SP'!AA801+'NI-Soc_SP'!AA801+'NI-Ric_SP'!AA801</f>
        <v>0</v>
      </c>
      <c r="AB801" s="272">
        <f>+'NI-San_SP'!AB801+'NI-Soc_SP'!AB801+'NI-Ric_SP'!AB801</f>
        <v>0</v>
      </c>
      <c r="AC801" s="272">
        <f>+'NI-San_SP'!AC801+'NI-Soc_SP'!AC801+'NI-Ric_SP'!AC801</f>
        <v>0</v>
      </c>
    </row>
    <row r="802" spans="2:29" s="204" customFormat="1" x14ac:dyDescent="0.25">
      <c r="B802" s="246" t="s">
        <v>1947</v>
      </c>
      <c r="C802" s="287" t="s">
        <v>1948</v>
      </c>
      <c r="D802" s="274" t="s">
        <v>3894</v>
      </c>
      <c r="E802" s="274"/>
      <c r="F802" s="274"/>
      <c r="G802" s="437"/>
      <c r="H802" s="266"/>
      <c r="I802" s="437"/>
      <c r="J802" s="281"/>
      <c r="K802" s="281"/>
      <c r="L802" s="379" t="s">
        <v>1952</v>
      </c>
      <c r="M802" s="284" t="s">
        <v>2962</v>
      </c>
      <c r="N802" s="435">
        <f t="shared" si="103"/>
        <v>47015826</v>
      </c>
      <c r="O802" s="435">
        <f t="shared" si="104"/>
        <v>47453477</v>
      </c>
      <c r="P802" s="271">
        <f t="shared" si="102"/>
        <v>437651</v>
      </c>
      <c r="Q802" s="272">
        <f>+'NI-San_SP'!Q802+'NI-Soc_SP'!Q802+'NI-Ric_SP'!Q802</f>
        <v>0</v>
      </c>
      <c r="R802" s="272">
        <f>+'NI-San_SP'!R802+'NI-Soc_SP'!R802+'NI-Ric_SP'!R802</f>
        <v>47015826</v>
      </c>
      <c r="S802" s="272">
        <f>+'NI-San_SP'!S802+'NI-Soc_SP'!S802+'NI-Ric_SP'!S802</f>
        <v>0</v>
      </c>
      <c r="T802" s="272">
        <f>+'NI-San_SP'!T802+'NI-Soc_SP'!T802+'NI-Ric_SP'!T802</f>
        <v>0</v>
      </c>
      <c r="U802" s="272">
        <f>+'NI-San_SP'!U802+'NI-Soc_SP'!U802+'NI-Ric_SP'!U802</f>
        <v>5519109</v>
      </c>
      <c r="V802" s="272">
        <f>+'NI-San_SP'!V802+'NI-Soc_SP'!V802+'NI-Ric_SP'!V802</f>
        <v>5081355</v>
      </c>
      <c r="W802" s="272">
        <f>+'NI-San_SP'!W802+'NI-Soc_SP'!W802+'NI-Ric_SP'!W802</f>
        <v>0</v>
      </c>
      <c r="X802" s="272">
        <f>+'NI-San_SP'!X802+'NI-Soc_SP'!X802+'NI-Ric_SP'!X802</f>
        <v>-103</v>
      </c>
      <c r="Y802" s="272">
        <f>+'NI-San_SP'!Y802+'NI-Soc_SP'!Y802+'NI-Ric_SP'!Y802</f>
        <v>437651</v>
      </c>
      <c r="Z802" s="272">
        <f>+'NI-San_SP'!Z802+'NI-Soc_SP'!Z802+'NI-Ric_SP'!Z802</f>
        <v>47453477</v>
      </c>
      <c r="AA802" s="272">
        <f>+'NI-San_SP'!AA802+'NI-Soc_SP'!AA802+'NI-Ric_SP'!AA802</f>
        <v>0</v>
      </c>
      <c r="AB802" s="272">
        <f>+'NI-San_SP'!AB802+'NI-Soc_SP'!AB802+'NI-Ric_SP'!AB802</f>
        <v>0</v>
      </c>
      <c r="AC802" s="272">
        <f>+'NI-San_SP'!AC802+'NI-Soc_SP'!AC802+'NI-Ric_SP'!AC802</f>
        <v>0</v>
      </c>
    </row>
    <row r="803" spans="2:29" s="204" customFormat="1" x14ac:dyDescent="0.25">
      <c r="B803" s="246" t="s">
        <v>1953</v>
      </c>
      <c r="C803" s="287" t="s">
        <v>1954</v>
      </c>
      <c r="D803" s="274" t="s">
        <v>3895</v>
      </c>
      <c r="E803" s="274"/>
      <c r="F803" s="274"/>
      <c r="G803" s="437"/>
      <c r="H803" s="266"/>
      <c r="I803" s="437"/>
      <c r="J803" s="281"/>
      <c r="K803" s="281"/>
      <c r="L803" s="379" t="s">
        <v>1958</v>
      </c>
      <c r="M803" s="284" t="s">
        <v>2962</v>
      </c>
      <c r="N803" s="435">
        <f t="shared" si="103"/>
        <v>0</v>
      </c>
      <c r="O803" s="435">
        <f t="shared" si="104"/>
        <v>0</v>
      </c>
      <c r="P803" s="271">
        <f t="shared" si="102"/>
        <v>0</v>
      </c>
      <c r="Q803" s="272">
        <f>+'NI-San_SP'!Q803+'NI-Soc_SP'!Q803+'NI-Ric_SP'!Q803</f>
        <v>0</v>
      </c>
      <c r="R803" s="272">
        <f>+'NI-San_SP'!R803+'NI-Soc_SP'!R803+'NI-Ric_SP'!R803</f>
        <v>0</v>
      </c>
      <c r="S803" s="272">
        <f>+'NI-San_SP'!S803+'NI-Soc_SP'!S803+'NI-Ric_SP'!S803</f>
        <v>0</v>
      </c>
      <c r="T803" s="272">
        <f>+'NI-San_SP'!T803+'NI-Soc_SP'!T803+'NI-Ric_SP'!T803</f>
        <v>474019</v>
      </c>
      <c r="U803" s="272">
        <f>+'NI-San_SP'!U803+'NI-Soc_SP'!U803+'NI-Ric_SP'!U803</f>
        <v>0</v>
      </c>
      <c r="V803" s="272">
        <f>+'NI-San_SP'!V803+'NI-Soc_SP'!V803+'NI-Ric_SP'!V803</f>
        <v>474019</v>
      </c>
      <c r="W803" s="272">
        <f>+'NI-San_SP'!W803+'NI-Soc_SP'!W803+'NI-Ric_SP'!W803</f>
        <v>0</v>
      </c>
      <c r="X803" s="272">
        <f>+'NI-San_SP'!X803+'NI-Soc_SP'!X803+'NI-Ric_SP'!X803</f>
        <v>0</v>
      </c>
      <c r="Y803" s="272">
        <f>+'NI-San_SP'!Y803+'NI-Soc_SP'!Y803+'NI-Ric_SP'!Y803</f>
        <v>0</v>
      </c>
      <c r="Z803" s="272">
        <f>+'NI-San_SP'!Z803+'NI-Soc_SP'!Z803+'NI-Ric_SP'!Z803</f>
        <v>0</v>
      </c>
      <c r="AA803" s="272">
        <f>+'NI-San_SP'!AA803+'NI-Soc_SP'!AA803+'NI-Ric_SP'!AA803</f>
        <v>0</v>
      </c>
      <c r="AB803" s="272">
        <f>+'NI-San_SP'!AB803+'NI-Soc_SP'!AB803+'NI-Ric_SP'!AB803</f>
        <v>0</v>
      </c>
      <c r="AC803" s="272">
        <f>+'NI-San_SP'!AC803+'NI-Soc_SP'!AC803+'NI-Ric_SP'!AC803</f>
        <v>0</v>
      </c>
    </row>
    <row r="804" spans="2:29" s="204" customFormat="1" x14ac:dyDescent="0.25">
      <c r="B804" s="246" t="s">
        <v>1959</v>
      </c>
      <c r="C804" s="287" t="s">
        <v>1960</v>
      </c>
      <c r="D804" s="274" t="s">
        <v>3896</v>
      </c>
      <c r="E804" s="274"/>
      <c r="F804" s="274"/>
      <c r="G804" s="437"/>
      <c r="H804" s="266"/>
      <c r="I804" s="437"/>
      <c r="J804" s="281"/>
      <c r="K804" s="281"/>
      <c r="L804" s="379" t="s">
        <v>1964</v>
      </c>
      <c r="M804" s="284" t="s">
        <v>2962</v>
      </c>
      <c r="N804" s="435">
        <f t="shared" si="103"/>
        <v>204468</v>
      </c>
      <c r="O804" s="435">
        <f t="shared" si="104"/>
        <v>1797069</v>
      </c>
      <c r="P804" s="271">
        <f t="shared" si="102"/>
        <v>1592601</v>
      </c>
      <c r="Q804" s="272">
        <f>+'NI-San_SP'!Q804+'NI-Soc_SP'!Q804+'NI-Ric_SP'!Q804</f>
        <v>0</v>
      </c>
      <c r="R804" s="272">
        <f>+'NI-San_SP'!R804+'NI-Soc_SP'!R804+'NI-Ric_SP'!R804</f>
        <v>204468</v>
      </c>
      <c r="S804" s="272">
        <f>+'NI-San_SP'!S804+'NI-Soc_SP'!S804+'NI-Ric_SP'!S804</f>
        <v>0</v>
      </c>
      <c r="T804" s="272">
        <f>+'NI-San_SP'!T804+'NI-Soc_SP'!T804+'NI-Ric_SP'!T804</f>
        <v>-474019</v>
      </c>
      <c r="U804" s="272">
        <f>+'NI-San_SP'!U804+'NI-Soc_SP'!U804+'NI-Ric_SP'!U804</f>
        <v>1709600</v>
      </c>
      <c r="V804" s="272">
        <f>+'NI-San_SP'!V804+'NI-Soc_SP'!V804+'NI-Ric_SP'!V804</f>
        <v>0</v>
      </c>
      <c r="W804" s="272">
        <f>+'NI-San_SP'!W804+'NI-Soc_SP'!W804+'NI-Ric_SP'!W804</f>
        <v>0</v>
      </c>
      <c r="X804" s="272">
        <f>+'NI-San_SP'!X804+'NI-Soc_SP'!X804+'NI-Ric_SP'!X804</f>
        <v>357020</v>
      </c>
      <c r="Y804" s="272">
        <f>+'NI-San_SP'!Y804+'NI-Soc_SP'!Y804+'NI-Ric_SP'!Y804</f>
        <v>1592601</v>
      </c>
      <c r="Z804" s="272">
        <f>+'NI-San_SP'!Z804+'NI-Soc_SP'!Z804+'NI-Ric_SP'!Z804</f>
        <v>1797069</v>
      </c>
      <c r="AA804" s="272">
        <f>+'NI-San_SP'!AA804+'NI-Soc_SP'!AA804+'NI-Ric_SP'!AA804</f>
        <v>0</v>
      </c>
      <c r="AB804" s="272">
        <f>+'NI-San_SP'!AB804+'NI-Soc_SP'!AB804+'NI-Ric_SP'!AB804</f>
        <v>0</v>
      </c>
      <c r="AC804" s="272">
        <f>+'NI-San_SP'!AC804+'NI-Soc_SP'!AC804+'NI-Ric_SP'!AC804</f>
        <v>0</v>
      </c>
    </row>
    <row r="805" spans="2:29" s="204" customFormat="1" x14ac:dyDescent="0.25">
      <c r="B805" s="246" t="s">
        <v>1965</v>
      </c>
      <c r="C805" s="287" t="s">
        <v>1966</v>
      </c>
      <c r="D805" s="274" t="s">
        <v>3897</v>
      </c>
      <c r="E805" s="274"/>
      <c r="F805" s="274"/>
      <c r="G805" s="283"/>
      <c r="H805" s="266"/>
      <c r="I805" s="274"/>
      <c r="J805" s="281"/>
      <c r="K805" s="281"/>
      <c r="L805" s="295" t="s">
        <v>1970</v>
      </c>
      <c r="M805" s="284" t="s">
        <v>2962</v>
      </c>
      <c r="N805" s="435">
        <f t="shared" si="103"/>
        <v>10575860</v>
      </c>
      <c r="O805" s="435">
        <f t="shared" si="104"/>
        <v>11361912</v>
      </c>
      <c r="P805" s="271">
        <f t="shared" si="102"/>
        <v>786052</v>
      </c>
      <c r="Q805" s="272">
        <f>+'NI-San_SP'!Q805+'NI-Soc_SP'!Q805+'NI-Ric_SP'!Q805</f>
        <v>0</v>
      </c>
      <c r="R805" s="272">
        <f>+'NI-San_SP'!R805+'NI-Soc_SP'!R805+'NI-Ric_SP'!R805</f>
        <v>10575860</v>
      </c>
      <c r="S805" s="272">
        <f>+'NI-San_SP'!S805+'NI-Soc_SP'!S805+'NI-Ric_SP'!S805</f>
        <v>0</v>
      </c>
      <c r="T805" s="272">
        <f>+'NI-San_SP'!T805+'NI-Soc_SP'!T805+'NI-Ric_SP'!T805</f>
        <v>0</v>
      </c>
      <c r="U805" s="272">
        <f>+'NI-San_SP'!U805+'NI-Soc_SP'!U805+'NI-Ric_SP'!U805</f>
        <v>1357021</v>
      </c>
      <c r="V805" s="272">
        <f>+'NI-San_SP'!V805+'NI-Soc_SP'!V805+'NI-Ric_SP'!V805</f>
        <v>551122</v>
      </c>
      <c r="W805" s="272">
        <f>+'NI-San_SP'!W805+'NI-Soc_SP'!W805+'NI-Ric_SP'!W805</f>
        <v>0</v>
      </c>
      <c r="X805" s="272">
        <f>+'NI-San_SP'!X805+'NI-Soc_SP'!X805+'NI-Ric_SP'!X805</f>
        <v>-19847</v>
      </c>
      <c r="Y805" s="272">
        <f>+'NI-San_SP'!Y805+'NI-Soc_SP'!Y805+'NI-Ric_SP'!Y805</f>
        <v>786052</v>
      </c>
      <c r="Z805" s="272">
        <f>+'NI-San_SP'!Z805+'NI-Soc_SP'!Z805+'NI-Ric_SP'!Z805</f>
        <v>11361912</v>
      </c>
      <c r="AA805" s="272">
        <f>+'NI-San_SP'!AA805+'NI-Soc_SP'!AA805+'NI-Ric_SP'!AA805</f>
        <v>0</v>
      </c>
      <c r="AB805" s="272">
        <f>+'NI-San_SP'!AB805+'NI-Soc_SP'!AB805+'NI-Ric_SP'!AB805</f>
        <v>0</v>
      </c>
      <c r="AC805" s="272">
        <f>+'NI-San_SP'!AC805+'NI-Soc_SP'!AC805+'NI-Ric_SP'!AC805</f>
        <v>0</v>
      </c>
    </row>
    <row r="806" spans="2:29" s="204" customFormat="1" x14ac:dyDescent="0.25">
      <c r="B806" s="246" t="s">
        <v>1971</v>
      </c>
      <c r="C806" s="287" t="s">
        <v>1972</v>
      </c>
      <c r="D806" s="274" t="s">
        <v>3898</v>
      </c>
      <c r="E806" s="274"/>
      <c r="F806" s="274"/>
      <c r="G806" s="437"/>
      <c r="H806" s="266"/>
      <c r="I806" s="437"/>
      <c r="J806" s="281"/>
      <c r="K806" s="281"/>
      <c r="L806" s="295" t="s">
        <v>1975</v>
      </c>
      <c r="M806" s="284" t="s">
        <v>2962</v>
      </c>
      <c r="N806" s="436">
        <f>SUM(N807:N811)</f>
        <v>1339432</v>
      </c>
      <c r="O806" s="436">
        <f>SUM(O807:O811)</f>
        <v>1335375</v>
      </c>
      <c r="P806" s="378">
        <f t="shared" si="102"/>
        <v>-4057</v>
      </c>
      <c r="Q806" s="272">
        <f>+'NI-San_SP'!Q806+'NI-Soc_SP'!Q806+'NI-Ric_SP'!Q806</f>
        <v>0</v>
      </c>
      <c r="R806" s="272">
        <f>+'NI-San_SP'!R806+'NI-Soc_SP'!R806+'NI-Ric_SP'!R806</f>
        <v>1339432</v>
      </c>
      <c r="S806" s="272">
        <f>+'NI-San_SP'!S806+'NI-Soc_SP'!S806+'NI-Ric_SP'!S806</f>
        <v>0</v>
      </c>
      <c r="T806" s="272">
        <f>+'NI-San_SP'!T806+'NI-Soc_SP'!T806+'NI-Ric_SP'!T806</f>
        <v>0</v>
      </c>
      <c r="U806" s="272">
        <f>+'NI-San_SP'!U806+'NI-Soc_SP'!U806+'NI-Ric_SP'!U806</f>
        <v>0</v>
      </c>
      <c r="V806" s="272">
        <f>+'NI-San_SP'!V806+'NI-Soc_SP'!V806+'NI-Ric_SP'!V806</f>
        <v>4057</v>
      </c>
      <c r="W806" s="272">
        <f>+'NI-San_SP'!W806+'NI-Soc_SP'!W806+'NI-Ric_SP'!W806</f>
        <v>0</v>
      </c>
      <c r="X806" s="272">
        <f>+'NI-San_SP'!X806+'NI-Soc_SP'!X806+'NI-Ric_SP'!X806</f>
        <v>0</v>
      </c>
      <c r="Y806" s="272">
        <f>+'NI-San_SP'!Y806+'NI-Soc_SP'!Y806+'NI-Ric_SP'!Y806</f>
        <v>-4057</v>
      </c>
      <c r="Z806" s="272">
        <f>+'NI-San_SP'!Z806+'NI-Soc_SP'!Z806+'NI-Ric_SP'!Z806</f>
        <v>1335375</v>
      </c>
      <c r="AA806" s="272">
        <f>+'NI-San_SP'!AA806+'NI-Soc_SP'!AA806+'NI-Ric_SP'!AA806</f>
        <v>0</v>
      </c>
      <c r="AB806" s="272">
        <f>+'NI-San_SP'!AB806+'NI-Soc_SP'!AB806+'NI-Ric_SP'!AB806</f>
        <v>0</v>
      </c>
      <c r="AC806" s="272">
        <f>+'NI-San_SP'!AC806+'NI-Soc_SP'!AC806+'NI-Ric_SP'!AC806</f>
        <v>0</v>
      </c>
    </row>
    <row r="807" spans="2:29" s="204" customFormat="1" x14ac:dyDescent="0.25">
      <c r="B807" s="246" t="s">
        <v>1976</v>
      </c>
      <c r="C807" s="287" t="s">
        <v>1977</v>
      </c>
      <c r="D807" s="274" t="s">
        <v>3899</v>
      </c>
      <c r="E807" s="274"/>
      <c r="F807" s="274"/>
      <c r="G807" s="437"/>
      <c r="H807" s="266"/>
      <c r="I807" s="437"/>
      <c r="J807" s="281"/>
      <c r="K807" s="281"/>
      <c r="L807" s="379" t="s">
        <v>1979</v>
      </c>
      <c r="M807" s="284" t="s">
        <v>2962</v>
      </c>
      <c r="N807" s="435">
        <f>+R807</f>
        <v>0</v>
      </c>
      <c r="O807" s="435">
        <f>+Z807</f>
        <v>0</v>
      </c>
      <c r="P807" s="271">
        <f t="shared" si="102"/>
        <v>0</v>
      </c>
      <c r="Q807" s="272">
        <f>+'NI-San_SP'!Q807+'NI-Soc_SP'!Q807+'NI-Ric_SP'!Q807</f>
        <v>0</v>
      </c>
      <c r="R807" s="272">
        <f>+'NI-San_SP'!R807+'NI-Soc_SP'!R807+'NI-Ric_SP'!R807</f>
        <v>0</v>
      </c>
      <c r="S807" s="272">
        <f>+'NI-San_SP'!S807+'NI-Soc_SP'!S807+'NI-Ric_SP'!S807</f>
        <v>0</v>
      </c>
      <c r="T807" s="272">
        <f>+'NI-San_SP'!T807+'NI-Soc_SP'!T807+'NI-Ric_SP'!T807</f>
        <v>0</v>
      </c>
      <c r="U807" s="272">
        <f>+'NI-San_SP'!U807+'NI-Soc_SP'!U807+'NI-Ric_SP'!U807</f>
        <v>0</v>
      </c>
      <c r="V807" s="272">
        <f>+'NI-San_SP'!V807+'NI-Soc_SP'!V807+'NI-Ric_SP'!V807</f>
        <v>0</v>
      </c>
      <c r="W807" s="272">
        <f>+'NI-San_SP'!W807+'NI-Soc_SP'!W807+'NI-Ric_SP'!W807</f>
        <v>0</v>
      </c>
      <c r="X807" s="272">
        <f>+'NI-San_SP'!X807+'NI-Soc_SP'!X807+'NI-Ric_SP'!X807</f>
        <v>0</v>
      </c>
      <c r="Y807" s="272">
        <f>+'NI-San_SP'!Y807+'NI-Soc_SP'!Y807+'NI-Ric_SP'!Y807</f>
        <v>0</v>
      </c>
      <c r="Z807" s="272">
        <f>+'NI-San_SP'!Z807+'NI-Soc_SP'!Z807+'NI-Ric_SP'!Z807</f>
        <v>0</v>
      </c>
      <c r="AA807" s="272">
        <f>+'NI-San_SP'!AA807+'NI-Soc_SP'!AA807+'NI-Ric_SP'!AA807</f>
        <v>0</v>
      </c>
      <c r="AB807" s="272">
        <f>+'NI-San_SP'!AB807+'NI-Soc_SP'!AB807+'NI-Ric_SP'!AB807</f>
        <v>0</v>
      </c>
      <c r="AC807" s="272">
        <f>+'NI-San_SP'!AC807+'NI-Soc_SP'!AC807+'NI-Ric_SP'!AC807</f>
        <v>0</v>
      </c>
    </row>
    <row r="808" spans="2:29" s="204" customFormat="1" x14ac:dyDescent="0.25">
      <c r="B808" s="246" t="s">
        <v>1980</v>
      </c>
      <c r="C808" s="287" t="s">
        <v>1981</v>
      </c>
      <c r="D808" s="274" t="s">
        <v>3900</v>
      </c>
      <c r="E808" s="274"/>
      <c r="F808" s="274"/>
      <c r="G808" s="283"/>
      <c r="H808" s="266"/>
      <c r="I808" s="427"/>
      <c r="J808" s="281"/>
      <c r="K808" s="281"/>
      <c r="L808" s="379" t="s">
        <v>1983</v>
      </c>
      <c r="M808" s="284" t="s">
        <v>2962</v>
      </c>
      <c r="N808" s="435">
        <f>+R808</f>
        <v>1333457</v>
      </c>
      <c r="O808" s="435">
        <f>+Z808</f>
        <v>1333457</v>
      </c>
      <c r="P808" s="271">
        <f t="shared" si="102"/>
        <v>0</v>
      </c>
      <c r="Q808" s="272">
        <f>+'NI-San_SP'!Q808+'NI-Soc_SP'!Q808+'NI-Ric_SP'!Q808</f>
        <v>0</v>
      </c>
      <c r="R808" s="272">
        <f>+'NI-San_SP'!R808+'NI-Soc_SP'!R808+'NI-Ric_SP'!R808</f>
        <v>1333457</v>
      </c>
      <c r="S808" s="272">
        <f>+'NI-San_SP'!S808+'NI-Soc_SP'!S808+'NI-Ric_SP'!S808</f>
        <v>0</v>
      </c>
      <c r="T808" s="272">
        <f>+'NI-San_SP'!T808+'NI-Soc_SP'!T808+'NI-Ric_SP'!T808</f>
        <v>0</v>
      </c>
      <c r="U808" s="272">
        <f>+'NI-San_SP'!U808+'NI-Soc_SP'!U808+'NI-Ric_SP'!U808</f>
        <v>0</v>
      </c>
      <c r="V808" s="272">
        <f>+'NI-San_SP'!V808+'NI-Soc_SP'!V808+'NI-Ric_SP'!V808</f>
        <v>0</v>
      </c>
      <c r="W808" s="272">
        <f>+'NI-San_SP'!W808+'NI-Soc_SP'!W808+'NI-Ric_SP'!W808</f>
        <v>0</v>
      </c>
      <c r="X808" s="272">
        <f>+'NI-San_SP'!X808+'NI-Soc_SP'!X808+'NI-Ric_SP'!X808</f>
        <v>0</v>
      </c>
      <c r="Y808" s="272">
        <f>+'NI-San_SP'!Y808+'NI-Soc_SP'!Y808+'NI-Ric_SP'!Y808</f>
        <v>0</v>
      </c>
      <c r="Z808" s="272">
        <f>+'NI-San_SP'!Z808+'NI-Soc_SP'!Z808+'NI-Ric_SP'!Z808</f>
        <v>1333457</v>
      </c>
      <c r="AA808" s="272">
        <f>+'NI-San_SP'!AA808+'NI-Soc_SP'!AA808+'NI-Ric_SP'!AA808</f>
        <v>0</v>
      </c>
      <c r="AB808" s="272">
        <f>+'NI-San_SP'!AB808+'NI-Soc_SP'!AB808+'NI-Ric_SP'!AB808</f>
        <v>0</v>
      </c>
      <c r="AC808" s="272">
        <f>+'NI-San_SP'!AC808+'NI-Soc_SP'!AC808+'NI-Ric_SP'!AC808</f>
        <v>0</v>
      </c>
    </row>
    <row r="809" spans="2:29" s="204" customFormat="1" x14ac:dyDescent="0.25">
      <c r="B809" s="246" t="s">
        <v>1984</v>
      </c>
      <c r="C809" s="287" t="s">
        <v>1985</v>
      </c>
      <c r="D809" s="274" t="s">
        <v>3901</v>
      </c>
      <c r="E809" s="274"/>
      <c r="F809" s="274"/>
      <c r="G809" s="437"/>
      <c r="H809" s="266"/>
      <c r="I809" s="437"/>
      <c r="J809" s="281"/>
      <c r="K809" s="281"/>
      <c r="L809" s="379" t="s">
        <v>1987</v>
      </c>
      <c r="M809" s="284" t="s">
        <v>2962</v>
      </c>
      <c r="N809" s="435">
        <f>+R809</f>
        <v>0</v>
      </c>
      <c r="O809" s="435">
        <f>+Z809</f>
        <v>0</v>
      </c>
      <c r="P809" s="271">
        <f t="shared" si="102"/>
        <v>0</v>
      </c>
      <c r="Q809" s="272">
        <f>+'NI-San_SP'!Q809+'NI-Soc_SP'!Q809+'NI-Ric_SP'!Q809</f>
        <v>0</v>
      </c>
      <c r="R809" s="272">
        <f>+'NI-San_SP'!R809+'NI-Soc_SP'!R809+'NI-Ric_SP'!R809</f>
        <v>0</v>
      </c>
      <c r="S809" s="272">
        <f>+'NI-San_SP'!S809+'NI-Soc_SP'!S809+'NI-Ric_SP'!S809</f>
        <v>0</v>
      </c>
      <c r="T809" s="272">
        <f>+'NI-San_SP'!T809+'NI-Soc_SP'!T809+'NI-Ric_SP'!T809</f>
        <v>0</v>
      </c>
      <c r="U809" s="272">
        <f>+'NI-San_SP'!U809+'NI-Soc_SP'!U809+'NI-Ric_SP'!U809</f>
        <v>0</v>
      </c>
      <c r="V809" s="272">
        <f>+'NI-San_SP'!V809+'NI-Soc_SP'!V809+'NI-Ric_SP'!V809</f>
        <v>0</v>
      </c>
      <c r="W809" s="272">
        <f>+'NI-San_SP'!W809+'NI-Soc_SP'!W809+'NI-Ric_SP'!W809</f>
        <v>0</v>
      </c>
      <c r="X809" s="272">
        <f>+'NI-San_SP'!X809+'NI-Soc_SP'!X809+'NI-Ric_SP'!X809</f>
        <v>0</v>
      </c>
      <c r="Y809" s="272">
        <f>+'NI-San_SP'!Y809+'NI-Soc_SP'!Y809+'NI-Ric_SP'!Y809</f>
        <v>0</v>
      </c>
      <c r="Z809" s="272">
        <f>+'NI-San_SP'!Z809+'NI-Soc_SP'!Z809+'NI-Ric_SP'!Z809</f>
        <v>0</v>
      </c>
      <c r="AA809" s="272">
        <f>+'NI-San_SP'!AA809+'NI-Soc_SP'!AA809+'NI-Ric_SP'!AA809</f>
        <v>0</v>
      </c>
      <c r="AB809" s="272">
        <f>+'NI-San_SP'!AB809+'NI-Soc_SP'!AB809+'NI-Ric_SP'!AB809</f>
        <v>0</v>
      </c>
      <c r="AC809" s="272">
        <f>+'NI-San_SP'!AC809+'NI-Soc_SP'!AC809+'NI-Ric_SP'!AC809</f>
        <v>0</v>
      </c>
    </row>
    <row r="810" spans="2:29" s="204" customFormat="1" x14ac:dyDescent="0.25">
      <c r="B810" s="246" t="s">
        <v>1988</v>
      </c>
      <c r="C810" s="287" t="s">
        <v>1989</v>
      </c>
      <c r="D810" s="274" t="s">
        <v>3902</v>
      </c>
      <c r="E810" s="274"/>
      <c r="F810" s="274"/>
      <c r="G810" s="283"/>
      <c r="H810" s="266"/>
      <c r="I810" s="427"/>
      <c r="J810" s="281"/>
      <c r="K810" s="281"/>
      <c r="L810" s="379" t="s">
        <v>1991</v>
      </c>
      <c r="M810" s="284" t="s">
        <v>2962</v>
      </c>
      <c r="N810" s="435">
        <f>+R810</f>
        <v>0</v>
      </c>
      <c r="O810" s="435">
        <f>+Z810</f>
        <v>0</v>
      </c>
      <c r="P810" s="271">
        <f t="shared" si="102"/>
        <v>0</v>
      </c>
      <c r="Q810" s="272">
        <f>+'NI-San_SP'!Q810+'NI-Soc_SP'!Q810+'NI-Ric_SP'!Q810</f>
        <v>0</v>
      </c>
      <c r="R810" s="272">
        <f>+'NI-San_SP'!R810+'NI-Soc_SP'!R810+'NI-Ric_SP'!R810</f>
        <v>0</v>
      </c>
      <c r="S810" s="272">
        <f>+'NI-San_SP'!S810+'NI-Soc_SP'!S810+'NI-Ric_SP'!S810</f>
        <v>0</v>
      </c>
      <c r="T810" s="272">
        <f>+'NI-San_SP'!T810+'NI-Soc_SP'!T810+'NI-Ric_SP'!T810</f>
        <v>0</v>
      </c>
      <c r="U810" s="272">
        <f>+'NI-San_SP'!U810+'NI-Soc_SP'!U810+'NI-Ric_SP'!U810</f>
        <v>0</v>
      </c>
      <c r="V810" s="272">
        <f>+'NI-San_SP'!V810+'NI-Soc_SP'!V810+'NI-Ric_SP'!V810</f>
        <v>0</v>
      </c>
      <c r="W810" s="272">
        <f>+'NI-San_SP'!W810+'NI-Soc_SP'!W810+'NI-Ric_SP'!W810</f>
        <v>0</v>
      </c>
      <c r="X810" s="272">
        <f>+'NI-San_SP'!X810+'NI-Soc_SP'!X810+'NI-Ric_SP'!X810</f>
        <v>0</v>
      </c>
      <c r="Y810" s="272">
        <f>+'NI-San_SP'!Y810+'NI-Soc_SP'!Y810+'NI-Ric_SP'!Y810</f>
        <v>0</v>
      </c>
      <c r="Z810" s="272">
        <f>+'NI-San_SP'!Z810+'NI-Soc_SP'!Z810+'NI-Ric_SP'!Z810</f>
        <v>0</v>
      </c>
      <c r="AA810" s="272">
        <f>+'NI-San_SP'!AA810+'NI-Soc_SP'!AA810+'NI-Ric_SP'!AA810</f>
        <v>0</v>
      </c>
      <c r="AB810" s="272">
        <f>+'NI-San_SP'!AB810+'NI-Soc_SP'!AB810+'NI-Ric_SP'!AB810</f>
        <v>0</v>
      </c>
      <c r="AC810" s="272">
        <f>+'NI-San_SP'!AC810+'NI-Soc_SP'!AC810+'NI-Ric_SP'!AC810</f>
        <v>0</v>
      </c>
    </row>
    <row r="811" spans="2:29" s="204" customFormat="1" x14ac:dyDescent="0.25">
      <c r="B811" s="246" t="s">
        <v>1992</v>
      </c>
      <c r="C811" s="287" t="s">
        <v>1993</v>
      </c>
      <c r="D811" s="274" t="s">
        <v>3903</v>
      </c>
      <c r="E811" s="274"/>
      <c r="F811" s="274"/>
      <c r="G811" s="283"/>
      <c r="H811" s="266"/>
      <c r="I811" s="427"/>
      <c r="J811" s="281"/>
      <c r="K811" s="281"/>
      <c r="L811" s="379" t="s">
        <v>1995</v>
      </c>
      <c r="M811" s="284" t="s">
        <v>2962</v>
      </c>
      <c r="N811" s="435">
        <f>+R811</f>
        <v>5975</v>
      </c>
      <c r="O811" s="435">
        <f>+Z811</f>
        <v>1918</v>
      </c>
      <c r="P811" s="271">
        <f t="shared" si="102"/>
        <v>-4057</v>
      </c>
      <c r="Q811" s="272">
        <f>+'NI-San_SP'!Q811+'NI-Soc_SP'!Q811+'NI-Ric_SP'!Q811</f>
        <v>0</v>
      </c>
      <c r="R811" s="272">
        <f>+'NI-San_SP'!R811+'NI-Soc_SP'!R811+'NI-Ric_SP'!R811</f>
        <v>5975</v>
      </c>
      <c r="S811" s="272">
        <f>+'NI-San_SP'!S811+'NI-Soc_SP'!S811+'NI-Ric_SP'!S811</f>
        <v>0</v>
      </c>
      <c r="T811" s="272">
        <f>+'NI-San_SP'!T811+'NI-Soc_SP'!T811+'NI-Ric_SP'!T811</f>
        <v>0</v>
      </c>
      <c r="U811" s="272">
        <f>+'NI-San_SP'!U811+'NI-Soc_SP'!U811+'NI-Ric_SP'!U811</f>
        <v>0</v>
      </c>
      <c r="V811" s="272">
        <f>+'NI-San_SP'!V811+'NI-Soc_SP'!V811+'NI-Ric_SP'!V811</f>
        <v>4057</v>
      </c>
      <c r="W811" s="272">
        <f>+'NI-San_SP'!W811+'NI-Soc_SP'!W811+'NI-Ric_SP'!W811</f>
        <v>0</v>
      </c>
      <c r="X811" s="272">
        <f>+'NI-San_SP'!X811+'NI-Soc_SP'!X811+'NI-Ric_SP'!X811</f>
        <v>0</v>
      </c>
      <c r="Y811" s="272">
        <f>+'NI-San_SP'!Y811+'NI-Soc_SP'!Y811+'NI-Ric_SP'!Y811</f>
        <v>-4057</v>
      </c>
      <c r="Z811" s="272">
        <f>+'NI-San_SP'!Z811+'NI-Soc_SP'!Z811+'NI-Ric_SP'!Z811</f>
        <v>1918</v>
      </c>
      <c r="AA811" s="272">
        <f>+'NI-San_SP'!AA811+'NI-Soc_SP'!AA811+'NI-Ric_SP'!AA811</f>
        <v>0</v>
      </c>
      <c r="AB811" s="272">
        <f>+'NI-San_SP'!AB811+'NI-Soc_SP'!AB811+'NI-Ric_SP'!AB811</f>
        <v>0</v>
      </c>
      <c r="AC811" s="272">
        <f>+'NI-San_SP'!AC811+'NI-Soc_SP'!AC811+'NI-Ric_SP'!AC811</f>
        <v>0</v>
      </c>
    </row>
    <row r="812" spans="2:29" s="204" customFormat="1" x14ac:dyDescent="0.25">
      <c r="B812" s="246" t="s">
        <v>1996</v>
      </c>
      <c r="C812" s="287" t="s">
        <v>1997</v>
      </c>
      <c r="D812" s="274" t="s">
        <v>3904</v>
      </c>
      <c r="E812" s="274"/>
      <c r="F812" s="274"/>
      <c r="G812" s="283"/>
      <c r="H812" s="266"/>
      <c r="I812" s="274"/>
      <c r="J812" s="281"/>
      <c r="K812" s="281"/>
      <c r="L812" s="295" t="s">
        <v>2000</v>
      </c>
      <c r="M812" s="284" t="s">
        <v>2962</v>
      </c>
      <c r="N812" s="436">
        <f>SUM(N813:N815)</f>
        <v>0</v>
      </c>
      <c r="O812" s="436">
        <f>SUM(O813:O815)</f>
        <v>0</v>
      </c>
      <c r="P812" s="378">
        <f t="shared" si="102"/>
        <v>0</v>
      </c>
      <c r="Q812" s="272">
        <f>+'NI-San_SP'!Q812+'NI-Soc_SP'!Q812+'NI-Ric_SP'!Q812</f>
        <v>0</v>
      </c>
      <c r="R812" s="272">
        <f>+'NI-San_SP'!R812+'NI-Soc_SP'!R812+'NI-Ric_SP'!R812</f>
        <v>0</v>
      </c>
      <c r="S812" s="272">
        <f>+'NI-San_SP'!S812+'NI-Soc_SP'!S812+'NI-Ric_SP'!S812</f>
        <v>0</v>
      </c>
      <c r="T812" s="272">
        <f>+'NI-San_SP'!T812+'NI-Soc_SP'!T812+'NI-Ric_SP'!T812</f>
        <v>0</v>
      </c>
      <c r="U812" s="272">
        <f>+'NI-San_SP'!U812+'NI-Soc_SP'!U812+'NI-Ric_SP'!U812</f>
        <v>0</v>
      </c>
      <c r="V812" s="272">
        <f>+'NI-San_SP'!V812+'NI-Soc_SP'!V812+'NI-Ric_SP'!V812</f>
        <v>0</v>
      </c>
      <c r="W812" s="272">
        <f>+'NI-San_SP'!W812+'NI-Soc_SP'!W812+'NI-Ric_SP'!W812</f>
        <v>0</v>
      </c>
      <c r="X812" s="272">
        <f>+'NI-San_SP'!X812+'NI-Soc_SP'!X812+'NI-Ric_SP'!X812</f>
        <v>0</v>
      </c>
      <c r="Y812" s="272">
        <f>+'NI-San_SP'!Y812+'NI-Soc_SP'!Y812+'NI-Ric_SP'!Y812</f>
        <v>0</v>
      </c>
      <c r="Z812" s="272">
        <f>+'NI-San_SP'!Z812+'NI-Soc_SP'!Z812+'NI-Ric_SP'!Z812</f>
        <v>0</v>
      </c>
      <c r="AA812" s="272">
        <f>+'NI-San_SP'!AA812+'NI-Soc_SP'!AA812+'NI-Ric_SP'!AA812</f>
        <v>0</v>
      </c>
      <c r="AB812" s="272">
        <f>+'NI-San_SP'!AB812+'NI-Soc_SP'!AB812+'NI-Ric_SP'!AB812</f>
        <v>0</v>
      </c>
      <c r="AC812" s="272">
        <f>+'NI-San_SP'!AC812+'NI-Soc_SP'!AC812+'NI-Ric_SP'!AC812</f>
        <v>0</v>
      </c>
    </row>
    <row r="813" spans="2:29" s="204" customFormat="1" x14ac:dyDescent="0.25">
      <c r="B813" s="246" t="s">
        <v>2001</v>
      </c>
      <c r="C813" s="287" t="s">
        <v>2002</v>
      </c>
      <c r="D813" s="274" t="s">
        <v>3905</v>
      </c>
      <c r="E813" s="274"/>
      <c r="F813" s="274"/>
      <c r="G813" s="390"/>
      <c r="H813" s="391"/>
      <c r="I813" s="389"/>
      <c r="J813" s="281"/>
      <c r="K813" s="281"/>
      <c r="L813" s="379" t="s">
        <v>2004</v>
      </c>
      <c r="M813" s="284" t="s">
        <v>2962</v>
      </c>
      <c r="N813" s="435">
        <f>+R813</f>
        <v>0</v>
      </c>
      <c r="O813" s="435">
        <f>+Z813</f>
        <v>0</v>
      </c>
      <c r="P813" s="271">
        <f t="shared" si="102"/>
        <v>0</v>
      </c>
      <c r="Q813" s="272">
        <f>+'NI-San_SP'!Q813+'NI-Soc_SP'!Q813+'NI-Ric_SP'!Q813</f>
        <v>0</v>
      </c>
      <c r="R813" s="272">
        <f>+'NI-San_SP'!R813+'NI-Soc_SP'!R813+'NI-Ric_SP'!R813</f>
        <v>0</v>
      </c>
      <c r="S813" s="272">
        <f>+'NI-San_SP'!S813+'NI-Soc_SP'!S813+'NI-Ric_SP'!S813</f>
        <v>0</v>
      </c>
      <c r="T813" s="272">
        <f>+'NI-San_SP'!T813+'NI-Soc_SP'!T813+'NI-Ric_SP'!T813</f>
        <v>0</v>
      </c>
      <c r="U813" s="272">
        <f>+'NI-San_SP'!U813+'NI-Soc_SP'!U813+'NI-Ric_SP'!U813</f>
        <v>0</v>
      </c>
      <c r="V813" s="272">
        <f>+'NI-San_SP'!V813+'NI-Soc_SP'!V813+'NI-Ric_SP'!V813</f>
        <v>0</v>
      </c>
      <c r="W813" s="272">
        <f>+'NI-San_SP'!W813+'NI-Soc_SP'!W813+'NI-Ric_SP'!W813</f>
        <v>0</v>
      </c>
      <c r="X813" s="272">
        <f>+'NI-San_SP'!X813+'NI-Soc_SP'!X813+'NI-Ric_SP'!X813</f>
        <v>0</v>
      </c>
      <c r="Y813" s="272">
        <f>+'NI-San_SP'!Y813+'NI-Soc_SP'!Y813+'NI-Ric_SP'!Y813</f>
        <v>0</v>
      </c>
      <c r="Z813" s="272">
        <f>+'NI-San_SP'!Z813+'NI-Soc_SP'!Z813+'NI-Ric_SP'!Z813</f>
        <v>0</v>
      </c>
      <c r="AA813" s="272">
        <f>+'NI-San_SP'!AA813+'NI-Soc_SP'!AA813+'NI-Ric_SP'!AA813</f>
        <v>0</v>
      </c>
      <c r="AB813" s="272">
        <f>+'NI-San_SP'!AB813+'NI-Soc_SP'!AB813+'NI-Ric_SP'!AB813</f>
        <v>0</v>
      </c>
      <c r="AC813" s="272">
        <f>+'NI-San_SP'!AC813+'NI-Soc_SP'!AC813+'NI-Ric_SP'!AC813</f>
        <v>0</v>
      </c>
    </row>
    <row r="814" spans="2:29" s="204" customFormat="1" x14ac:dyDescent="0.25">
      <c r="B814" s="246" t="s">
        <v>2005</v>
      </c>
      <c r="C814" s="287" t="s">
        <v>2006</v>
      </c>
      <c r="D814" s="274" t="s">
        <v>3906</v>
      </c>
      <c r="E814" s="274"/>
      <c r="F814" s="274"/>
      <c r="G814" s="437"/>
      <c r="H814" s="266"/>
      <c r="I814" s="437"/>
      <c r="J814" s="281"/>
      <c r="K814" s="281"/>
      <c r="L814" s="379" t="s">
        <v>2008</v>
      </c>
      <c r="M814" s="284" t="s">
        <v>2962</v>
      </c>
      <c r="N814" s="435">
        <f>+R814</f>
        <v>0</v>
      </c>
      <c r="O814" s="435">
        <f>+Z814</f>
        <v>0</v>
      </c>
      <c r="P814" s="271">
        <f t="shared" si="102"/>
        <v>0</v>
      </c>
      <c r="Q814" s="272">
        <f>+'NI-San_SP'!Q814+'NI-Soc_SP'!Q814+'NI-Ric_SP'!Q814</f>
        <v>0</v>
      </c>
      <c r="R814" s="272">
        <f>+'NI-San_SP'!R814+'NI-Soc_SP'!R814+'NI-Ric_SP'!R814</f>
        <v>0</v>
      </c>
      <c r="S814" s="272">
        <f>+'NI-San_SP'!S814+'NI-Soc_SP'!S814+'NI-Ric_SP'!S814</f>
        <v>0</v>
      </c>
      <c r="T814" s="272">
        <f>+'NI-San_SP'!T814+'NI-Soc_SP'!T814+'NI-Ric_SP'!T814</f>
        <v>0</v>
      </c>
      <c r="U814" s="272">
        <f>+'NI-San_SP'!U814+'NI-Soc_SP'!U814+'NI-Ric_SP'!U814</f>
        <v>0</v>
      </c>
      <c r="V814" s="272">
        <f>+'NI-San_SP'!V814+'NI-Soc_SP'!V814+'NI-Ric_SP'!V814</f>
        <v>0</v>
      </c>
      <c r="W814" s="272">
        <f>+'NI-San_SP'!W814+'NI-Soc_SP'!W814+'NI-Ric_SP'!W814</f>
        <v>0</v>
      </c>
      <c r="X814" s="272">
        <f>+'NI-San_SP'!X814+'NI-Soc_SP'!X814+'NI-Ric_SP'!X814</f>
        <v>0</v>
      </c>
      <c r="Y814" s="272">
        <f>+'NI-San_SP'!Y814+'NI-Soc_SP'!Y814+'NI-Ric_SP'!Y814</f>
        <v>0</v>
      </c>
      <c r="Z814" s="272">
        <f>+'NI-San_SP'!Z814+'NI-Soc_SP'!Z814+'NI-Ric_SP'!Z814</f>
        <v>0</v>
      </c>
      <c r="AA814" s="272">
        <f>+'NI-San_SP'!AA814+'NI-Soc_SP'!AA814+'NI-Ric_SP'!AA814</f>
        <v>0</v>
      </c>
      <c r="AB814" s="272">
        <f>+'NI-San_SP'!AB814+'NI-Soc_SP'!AB814+'NI-Ric_SP'!AB814</f>
        <v>0</v>
      </c>
      <c r="AC814" s="272">
        <f>+'NI-San_SP'!AC814+'NI-Soc_SP'!AC814+'NI-Ric_SP'!AC814</f>
        <v>0</v>
      </c>
    </row>
    <row r="815" spans="2:29" s="204" customFormat="1" x14ac:dyDescent="0.25">
      <c r="B815" s="246" t="s">
        <v>2009</v>
      </c>
      <c r="C815" s="287" t="s">
        <v>2010</v>
      </c>
      <c r="D815" s="274" t="s">
        <v>3907</v>
      </c>
      <c r="E815" s="274"/>
      <c r="F815" s="274"/>
      <c r="G815" s="437"/>
      <c r="H815" s="266"/>
      <c r="I815" s="437"/>
      <c r="J815" s="281"/>
      <c r="K815" s="281"/>
      <c r="L815" s="379" t="s">
        <v>2012</v>
      </c>
      <c r="M815" s="284" t="s">
        <v>2962</v>
      </c>
      <c r="N815" s="435">
        <f>+R815</f>
        <v>0</v>
      </c>
      <c r="O815" s="435">
        <f>+Z815</f>
        <v>0</v>
      </c>
      <c r="P815" s="271">
        <f t="shared" si="102"/>
        <v>0</v>
      </c>
      <c r="Q815" s="272">
        <f>+'NI-San_SP'!Q815+'NI-Soc_SP'!Q815+'NI-Ric_SP'!Q815</f>
        <v>0</v>
      </c>
      <c r="R815" s="272">
        <f>+'NI-San_SP'!R815+'NI-Soc_SP'!R815+'NI-Ric_SP'!R815</f>
        <v>0</v>
      </c>
      <c r="S815" s="272">
        <f>+'NI-San_SP'!S815+'NI-Soc_SP'!S815+'NI-Ric_SP'!S815</f>
        <v>0</v>
      </c>
      <c r="T815" s="272">
        <f>+'NI-San_SP'!T815+'NI-Soc_SP'!T815+'NI-Ric_SP'!T815</f>
        <v>0</v>
      </c>
      <c r="U815" s="272">
        <f>+'NI-San_SP'!U815+'NI-Soc_SP'!U815+'NI-Ric_SP'!U815</f>
        <v>0</v>
      </c>
      <c r="V815" s="272">
        <f>+'NI-San_SP'!V815+'NI-Soc_SP'!V815+'NI-Ric_SP'!V815</f>
        <v>0</v>
      </c>
      <c r="W815" s="272">
        <f>+'NI-San_SP'!W815+'NI-Soc_SP'!W815+'NI-Ric_SP'!W815</f>
        <v>0</v>
      </c>
      <c r="X815" s="272">
        <f>+'NI-San_SP'!X815+'NI-Soc_SP'!X815+'NI-Ric_SP'!X815</f>
        <v>0</v>
      </c>
      <c r="Y815" s="272">
        <f>+'NI-San_SP'!Y815+'NI-Soc_SP'!Y815+'NI-Ric_SP'!Y815</f>
        <v>0</v>
      </c>
      <c r="Z815" s="272">
        <f>+'NI-San_SP'!Z815+'NI-Soc_SP'!Z815+'NI-Ric_SP'!Z815</f>
        <v>0</v>
      </c>
      <c r="AA815" s="272">
        <f>+'NI-San_SP'!AA815+'NI-Soc_SP'!AA815+'NI-Ric_SP'!AA815</f>
        <v>0</v>
      </c>
      <c r="AB815" s="272">
        <f>+'NI-San_SP'!AB815+'NI-Soc_SP'!AB815+'NI-Ric_SP'!AB815</f>
        <v>0</v>
      </c>
      <c r="AC815" s="272">
        <f>+'NI-San_SP'!AC815+'NI-Soc_SP'!AC815+'NI-Ric_SP'!AC815</f>
        <v>0</v>
      </c>
    </row>
    <row r="816" spans="2:29" s="204" customFormat="1" x14ac:dyDescent="0.25">
      <c r="B816" s="246" t="s">
        <v>2013</v>
      </c>
      <c r="C816" s="287" t="s">
        <v>2014</v>
      </c>
      <c r="D816" s="274" t="s">
        <v>3908</v>
      </c>
      <c r="E816" s="274"/>
      <c r="F816" s="274"/>
      <c r="G816" s="283"/>
      <c r="H816" s="266"/>
      <c r="I816" s="427"/>
      <c r="J816" s="281"/>
      <c r="K816" s="281"/>
      <c r="L816" s="295" t="s">
        <v>2018</v>
      </c>
      <c r="M816" s="284" t="s">
        <v>2962</v>
      </c>
      <c r="N816" s="435">
        <f>+R816</f>
        <v>0</v>
      </c>
      <c r="O816" s="435">
        <f>+Z816</f>
        <v>0</v>
      </c>
      <c r="P816" s="271">
        <f t="shared" si="102"/>
        <v>0</v>
      </c>
      <c r="Q816" s="272">
        <f>+'NI-San_SP'!Q816+'NI-Soc_SP'!Q816+'NI-Ric_SP'!Q816</f>
        <v>0</v>
      </c>
      <c r="R816" s="272">
        <f>+'NI-San_SP'!R816+'NI-Soc_SP'!R816+'NI-Ric_SP'!R816</f>
        <v>0</v>
      </c>
      <c r="S816" s="272">
        <f>+'NI-San_SP'!S816+'NI-Soc_SP'!S816+'NI-Ric_SP'!S816</f>
        <v>0</v>
      </c>
      <c r="T816" s="272">
        <f>+'NI-San_SP'!T816+'NI-Soc_SP'!T816+'NI-Ric_SP'!T816</f>
        <v>0</v>
      </c>
      <c r="U816" s="272">
        <f>+'NI-San_SP'!U816+'NI-Soc_SP'!U816+'NI-Ric_SP'!U816</f>
        <v>0</v>
      </c>
      <c r="V816" s="272">
        <f>+'NI-San_SP'!V816+'NI-Soc_SP'!V816+'NI-Ric_SP'!V816</f>
        <v>0</v>
      </c>
      <c r="W816" s="272">
        <f>+'NI-San_SP'!W816+'NI-Soc_SP'!W816+'NI-Ric_SP'!W816</f>
        <v>0</v>
      </c>
      <c r="X816" s="272">
        <f>+'NI-San_SP'!X816+'NI-Soc_SP'!X816+'NI-Ric_SP'!X816</f>
        <v>0</v>
      </c>
      <c r="Y816" s="272">
        <f>+'NI-San_SP'!Y816+'NI-Soc_SP'!Y816+'NI-Ric_SP'!Y816</f>
        <v>0</v>
      </c>
      <c r="Z816" s="272">
        <f>+'NI-San_SP'!Z816+'NI-Soc_SP'!Z816+'NI-Ric_SP'!Z816</f>
        <v>0</v>
      </c>
      <c r="AA816" s="272">
        <f>+'NI-San_SP'!AA816+'NI-Soc_SP'!AA816+'NI-Ric_SP'!AA816</f>
        <v>0</v>
      </c>
      <c r="AB816" s="272">
        <f>+'NI-San_SP'!AB816+'NI-Soc_SP'!AB816+'NI-Ric_SP'!AB816</f>
        <v>0</v>
      </c>
      <c r="AC816" s="272">
        <f>+'NI-San_SP'!AC816+'NI-Soc_SP'!AC816+'NI-Ric_SP'!AC816</f>
        <v>0</v>
      </c>
    </row>
    <row r="817" spans="2:29" s="204" customFormat="1" x14ac:dyDescent="0.25">
      <c r="B817" s="246" t="s">
        <v>2019</v>
      </c>
      <c r="C817" s="287" t="s">
        <v>2020</v>
      </c>
      <c r="D817" s="274" t="s">
        <v>3909</v>
      </c>
      <c r="E817" s="274"/>
      <c r="F817" s="274"/>
      <c r="G817" s="283"/>
      <c r="H817" s="266"/>
      <c r="I817" s="274"/>
      <c r="J817" s="281"/>
      <c r="K817" s="281"/>
      <c r="L817" s="295" t="s">
        <v>2024</v>
      </c>
      <c r="M817" s="284" t="s">
        <v>2962</v>
      </c>
      <c r="N817" s="438">
        <f>+R817</f>
        <v>0</v>
      </c>
      <c r="O817" s="438">
        <f>+Z817+Q817</f>
        <v>0</v>
      </c>
      <c r="P817" s="271">
        <f t="shared" si="102"/>
        <v>0</v>
      </c>
      <c r="Q817" s="272">
        <f>+'NI-San_SP'!Q817+'NI-Soc_SP'!Q817+'NI-Ric_SP'!Q817</f>
        <v>0</v>
      </c>
      <c r="R817" s="272">
        <f>+'NI-San_SP'!R817+'NI-Soc_SP'!R817+'NI-Ric_SP'!R817</f>
        <v>0</v>
      </c>
      <c r="S817" s="272">
        <f>+'NI-San_SP'!S817+'NI-Soc_SP'!S817+'NI-Ric_SP'!S817</f>
        <v>0</v>
      </c>
      <c r="T817" s="272">
        <f>+'NI-San_SP'!T817+'NI-Soc_SP'!T817+'NI-Ric_SP'!T817</f>
        <v>0</v>
      </c>
      <c r="U817" s="272">
        <f>+'NI-San_SP'!U817+'NI-Soc_SP'!U817+'NI-Ric_SP'!U817</f>
        <v>0</v>
      </c>
      <c r="V817" s="272">
        <f>+'NI-San_SP'!V817+'NI-Soc_SP'!V817+'NI-Ric_SP'!V817</f>
        <v>0</v>
      </c>
      <c r="W817" s="272">
        <f>+'NI-San_SP'!W817+'NI-Soc_SP'!W817+'NI-Ric_SP'!W817</f>
        <v>0</v>
      </c>
      <c r="X817" s="272">
        <f>+'NI-San_SP'!X817+'NI-Soc_SP'!X817+'NI-Ric_SP'!X817</f>
        <v>0</v>
      </c>
      <c r="Y817" s="272">
        <f>+'NI-San_SP'!Y817+'NI-Soc_SP'!Y817+'NI-Ric_SP'!Y817</f>
        <v>0</v>
      </c>
      <c r="Z817" s="272">
        <f>+'NI-San_SP'!Z817+'NI-Soc_SP'!Z817+'NI-Ric_SP'!Z817</f>
        <v>0</v>
      </c>
      <c r="AA817" s="272">
        <f>+'NI-San_SP'!AA817+'NI-Soc_SP'!AA817+'NI-Ric_SP'!AA817</f>
        <v>0</v>
      </c>
      <c r="AB817" s="272">
        <f>+'NI-San_SP'!AB817+'NI-Soc_SP'!AB817+'NI-Ric_SP'!AB817</f>
        <v>0</v>
      </c>
      <c r="AC817" s="272">
        <f>+'NI-San_SP'!AC817+'NI-Soc_SP'!AC817+'NI-Ric_SP'!AC817</f>
        <v>0</v>
      </c>
    </row>
    <row r="818" spans="2:29" s="204" customFormat="1" ht="39.75" customHeight="1" x14ac:dyDescent="0.25">
      <c r="B818" s="384"/>
      <c r="C818" s="384"/>
      <c r="D818" s="382"/>
      <c r="E818" s="382"/>
      <c r="F818" s="382"/>
      <c r="G818" s="382"/>
      <c r="H818" s="382"/>
      <c r="I818" s="382"/>
      <c r="J818" s="382"/>
      <c r="K818" s="382"/>
      <c r="L818" s="344" t="s">
        <v>3910</v>
      </c>
      <c r="M818" s="439"/>
      <c r="N818" s="383"/>
      <c r="O818" s="383"/>
      <c r="P818" s="383"/>
      <c r="Q818" s="383"/>
      <c r="R818" s="275"/>
      <c r="S818" s="275"/>
      <c r="T818" s="383"/>
      <c r="U818" s="383"/>
      <c r="V818" s="211"/>
      <c r="W818" s="211"/>
      <c r="X818" s="211"/>
      <c r="Y818" s="440"/>
      <c r="Z818" s="440"/>
      <c r="AA818" s="440"/>
    </row>
    <row r="819" spans="2:29" s="204" customFormat="1" x14ac:dyDescent="0.25">
      <c r="B819" s="384"/>
      <c r="C819" s="384"/>
      <c r="D819" s="382"/>
      <c r="E819" s="382"/>
      <c r="F819" s="382"/>
      <c r="G819" s="382"/>
      <c r="H819" s="382"/>
      <c r="I819" s="382"/>
      <c r="J819" s="382"/>
      <c r="K819" s="382"/>
      <c r="L819" s="275"/>
      <c r="M819" s="439"/>
      <c r="N819" s="383"/>
      <c r="O819" s="383"/>
      <c r="P819" s="383"/>
      <c r="Q819" s="383"/>
      <c r="R819" s="275"/>
      <c r="S819" s="275"/>
      <c r="T819" s="383"/>
      <c r="U819" s="383"/>
      <c r="V819" s="211"/>
      <c r="W819" s="211"/>
      <c r="X819" s="211"/>
      <c r="Y819" s="440"/>
      <c r="Z819" s="440"/>
      <c r="AA819" s="440"/>
    </row>
    <row r="820" spans="2:29" s="204" customFormat="1" x14ac:dyDescent="0.25">
      <c r="B820" s="230"/>
      <c r="C820" s="230"/>
      <c r="D820" s="230"/>
      <c r="E820" s="230"/>
      <c r="F820" s="230"/>
      <c r="G820" s="230"/>
      <c r="H820" s="231"/>
      <c r="I820" s="230"/>
      <c r="J820" s="230"/>
      <c r="K820" s="230"/>
      <c r="L820" s="232"/>
      <c r="M820" s="211"/>
      <c r="N820" s="254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</row>
    <row r="821" spans="2:29" s="204" customFormat="1" x14ac:dyDescent="0.25">
      <c r="B821" s="233" t="s">
        <v>2025</v>
      </c>
      <c r="C821" s="233" t="s">
        <v>2026</v>
      </c>
      <c r="D821" s="234" t="s">
        <v>3911</v>
      </c>
      <c r="E821" s="234"/>
      <c r="F821" s="234"/>
      <c r="G821" s="234"/>
      <c r="H821" s="235"/>
      <c r="I821" s="234"/>
      <c r="J821" s="234"/>
      <c r="K821" s="234"/>
      <c r="L821" s="236" t="s">
        <v>2027</v>
      </c>
      <c r="M821" s="237" t="s">
        <v>2962</v>
      </c>
      <c r="N821" s="238">
        <f>+N823+N829+N840+N852+N871</f>
        <v>10526155</v>
      </c>
      <c r="O821" s="238">
        <f>+O823+O829+O840+O852+O871</f>
        <v>13929770</v>
      </c>
      <c r="P821" s="239">
        <f>+O821-N821</f>
        <v>3403615</v>
      </c>
      <c r="Q821" s="238">
        <f t="shared" ref="Q821:X821" si="105">+Q823+Q829+Q840+Q852+Q871</f>
        <v>0</v>
      </c>
      <c r="R821" s="238">
        <f t="shared" si="105"/>
        <v>10526155</v>
      </c>
      <c r="S821" s="238">
        <f t="shared" si="105"/>
        <v>0</v>
      </c>
      <c r="T821" s="238">
        <f t="shared" si="105"/>
        <v>8717099</v>
      </c>
      <c r="U821" s="238">
        <f t="shared" si="105"/>
        <v>1343</v>
      </c>
      <c r="V821" s="238">
        <f t="shared" si="105"/>
        <v>4957497</v>
      </c>
      <c r="W821" s="238">
        <f t="shared" si="105"/>
        <v>0</v>
      </c>
      <c r="X821" s="238">
        <f t="shared" si="105"/>
        <v>13929770</v>
      </c>
      <c r="Y821" s="211"/>
      <c r="Z821" s="211"/>
      <c r="AA821" s="211"/>
    </row>
    <row r="822" spans="2:29" s="204" customFormat="1" x14ac:dyDescent="0.25">
      <c r="B822" s="230"/>
      <c r="C822" s="230"/>
      <c r="D822" s="230"/>
      <c r="E822" s="230"/>
      <c r="F822" s="230"/>
      <c r="G822" s="230"/>
      <c r="H822" s="231"/>
      <c r="I822" s="230"/>
      <c r="J822" s="211"/>
      <c r="K822" s="211"/>
      <c r="L822" s="232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</row>
    <row r="823" spans="2:29" s="204" customFormat="1" x14ac:dyDescent="0.25">
      <c r="B823" s="246" t="s">
        <v>2028</v>
      </c>
      <c r="C823" s="246" t="s">
        <v>2029</v>
      </c>
      <c r="D823" s="247" t="s">
        <v>3912</v>
      </c>
      <c r="E823" s="247"/>
      <c r="F823" s="247"/>
      <c r="G823" s="247"/>
      <c r="H823" s="248"/>
      <c r="I823" s="247"/>
      <c r="J823" s="247"/>
      <c r="K823" s="249"/>
      <c r="L823" s="441" t="s">
        <v>2033</v>
      </c>
      <c r="M823" s="251" t="s">
        <v>2962</v>
      </c>
      <c r="N823" s="252">
        <f>SUM(N826:N827)</f>
        <v>0</v>
      </c>
      <c r="O823" s="252">
        <f>SUM(O826:O827)</f>
        <v>0</v>
      </c>
      <c r="P823" s="253">
        <f>+O823-N823</f>
        <v>0</v>
      </c>
      <c r="Q823" s="252">
        <f t="shared" ref="Q823:X823" si="106">SUM(Q826:Q827)</f>
        <v>0</v>
      </c>
      <c r="R823" s="252">
        <f t="shared" si="106"/>
        <v>0</v>
      </c>
      <c r="S823" s="252">
        <f t="shared" si="106"/>
        <v>0</v>
      </c>
      <c r="T823" s="252">
        <f t="shared" si="106"/>
        <v>0</v>
      </c>
      <c r="U823" s="252">
        <f t="shared" si="106"/>
        <v>0</v>
      </c>
      <c r="V823" s="252">
        <f t="shared" si="106"/>
        <v>0</v>
      </c>
      <c r="W823" s="252">
        <f t="shared" si="106"/>
        <v>0</v>
      </c>
      <c r="X823" s="252">
        <f t="shared" si="106"/>
        <v>0</v>
      </c>
      <c r="Y823" s="211"/>
      <c r="Z823" s="211"/>
      <c r="AA823" s="211"/>
    </row>
    <row r="824" spans="2:29" s="204" customFormat="1" x14ac:dyDescent="0.25">
      <c r="B824" s="211"/>
      <c r="C824" s="211"/>
      <c r="D824" s="211"/>
      <c r="E824" s="211"/>
      <c r="F824" s="211"/>
      <c r="G824" s="211"/>
      <c r="H824" s="353"/>
      <c r="I824" s="211"/>
      <c r="J824" s="211"/>
      <c r="K824" s="211"/>
      <c r="L824" s="243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</row>
    <row r="825" spans="2:29" s="204" customFormat="1" ht="63.75" x14ac:dyDescent="0.25">
      <c r="B825" s="260" t="s">
        <v>2968</v>
      </c>
      <c r="C825" s="260" t="s">
        <v>2969</v>
      </c>
      <c r="D825" s="206" t="s">
        <v>72</v>
      </c>
      <c r="E825" s="206"/>
      <c r="F825" s="206"/>
      <c r="G825" s="207"/>
      <c r="H825" s="207"/>
      <c r="I825" s="207"/>
      <c r="J825" s="207" t="s">
        <v>2957</v>
      </c>
      <c r="K825" s="206" t="s">
        <v>82</v>
      </c>
      <c r="L825" s="261" t="s">
        <v>3670</v>
      </c>
      <c r="M825" s="256"/>
      <c r="N825" s="256" t="str">
        <f>N$15</f>
        <v>Valore netto al 31/12/2019</v>
      </c>
      <c r="O825" s="256" t="str">
        <f>O$15</f>
        <v>Valore netto al 31/12/2020</v>
      </c>
      <c r="P825" s="256" t="str">
        <f>P$15</f>
        <v>Variazione</v>
      </c>
      <c r="Q825" s="262" t="s">
        <v>2971</v>
      </c>
      <c r="R825" s="442" t="s">
        <v>3877</v>
      </c>
      <c r="S825" s="262" t="s">
        <v>2972</v>
      </c>
      <c r="T825" s="442" t="s">
        <v>3913</v>
      </c>
      <c r="U825" s="442" t="s">
        <v>3914</v>
      </c>
      <c r="V825" s="442" t="s">
        <v>3915</v>
      </c>
      <c r="W825" s="262" t="s">
        <v>2975</v>
      </c>
      <c r="X825" s="442" t="s">
        <v>3883</v>
      </c>
      <c r="Y825" s="211"/>
      <c r="Z825" s="211"/>
      <c r="AA825" s="211"/>
    </row>
    <row r="826" spans="2:29" s="204" customFormat="1" x14ac:dyDescent="0.25">
      <c r="B826" s="246" t="s">
        <v>2034</v>
      </c>
      <c r="C826" s="284" t="s">
        <v>2035</v>
      </c>
      <c r="D826" s="274" t="s">
        <v>3916</v>
      </c>
      <c r="E826" s="274"/>
      <c r="F826" s="274"/>
      <c r="G826" s="283"/>
      <c r="H826" s="266"/>
      <c r="I826" s="274"/>
      <c r="J826" s="281"/>
      <c r="K826" s="281"/>
      <c r="L826" s="295" t="s">
        <v>3917</v>
      </c>
      <c r="M826" s="284" t="s">
        <v>2962</v>
      </c>
      <c r="N826" s="443">
        <f>+R826</f>
        <v>0</v>
      </c>
      <c r="O826" s="443">
        <f>+X826</f>
        <v>0</v>
      </c>
      <c r="P826" s="271">
        <f>+O826-N826</f>
        <v>0</v>
      </c>
      <c r="Q826" s="272">
        <f>+'NI-San_SP'!Q826+'NI-Soc_SP'!Q826+'NI-Ric_SP'!Q826</f>
        <v>0</v>
      </c>
      <c r="R826" s="272">
        <f>+'NI-San_SP'!R826+'NI-Soc_SP'!R826+'NI-Ric_SP'!R826</f>
        <v>0</v>
      </c>
      <c r="S826" s="272">
        <f>+'NI-San_SP'!S826+'NI-Soc_SP'!S826+'NI-Ric_SP'!S826</f>
        <v>0</v>
      </c>
      <c r="T826" s="272">
        <f>+'NI-San_SP'!T826+'NI-Soc_SP'!T826+'NI-Ric_SP'!T826</f>
        <v>0</v>
      </c>
      <c r="U826" s="272">
        <f>+'NI-San_SP'!U826+'NI-Soc_SP'!U826+'NI-Ric_SP'!U826</f>
        <v>0</v>
      </c>
      <c r="V826" s="272">
        <f>+'NI-San_SP'!V826+'NI-Soc_SP'!V826+'NI-Ric_SP'!V826</f>
        <v>0</v>
      </c>
      <c r="W826" s="272">
        <f>+'NI-San_SP'!W826+'NI-Soc_SP'!W826+'NI-Ric_SP'!W826</f>
        <v>0</v>
      </c>
      <c r="X826" s="272">
        <f>+'NI-San_SP'!X826+'NI-Soc_SP'!X826+'NI-Ric_SP'!X826</f>
        <v>0</v>
      </c>
      <c r="Y826" s="211"/>
      <c r="Z826" s="211"/>
      <c r="AA826" s="211"/>
    </row>
    <row r="827" spans="2:29" s="204" customFormat="1" x14ac:dyDescent="0.25">
      <c r="B827" s="246" t="s">
        <v>2037</v>
      </c>
      <c r="C827" s="284" t="s">
        <v>2038</v>
      </c>
      <c r="D827" s="274" t="s">
        <v>3918</v>
      </c>
      <c r="E827" s="274"/>
      <c r="F827" s="274"/>
      <c r="G827" s="283"/>
      <c r="H827" s="266"/>
      <c r="I827" s="274"/>
      <c r="J827" s="281"/>
      <c r="K827" s="281"/>
      <c r="L827" s="295" t="s">
        <v>3919</v>
      </c>
      <c r="M827" s="284" t="s">
        <v>2962</v>
      </c>
      <c r="N827" s="443">
        <f>+R827</f>
        <v>0</v>
      </c>
      <c r="O827" s="443">
        <f>+X827</f>
        <v>0</v>
      </c>
      <c r="P827" s="271">
        <f>+O827-N827</f>
        <v>0</v>
      </c>
      <c r="Q827" s="272">
        <f>+'NI-San_SP'!Q827+'NI-Soc_SP'!Q827+'NI-Ric_SP'!Q827</f>
        <v>0</v>
      </c>
      <c r="R827" s="272">
        <f>+'NI-San_SP'!R827+'NI-Soc_SP'!R827+'NI-Ric_SP'!R827</f>
        <v>0</v>
      </c>
      <c r="S827" s="272">
        <f>+'NI-San_SP'!S827+'NI-Soc_SP'!S827+'NI-Ric_SP'!S827</f>
        <v>0</v>
      </c>
      <c r="T827" s="272">
        <f>+'NI-San_SP'!T827+'NI-Soc_SP'!T827+'NI-Ric_SP'!T827</f>
        <v>0</v>
      </c>
      <c r="U827" s="272">
        <f>+'NI-San_SP'!U827+'NI-Soc_SP'!U827+'NI-Ric_SP'!U827</f>
        <v>0</v>
      </c>
      <c r="V827" s="272">
        <f>+'NI-San_SP'!V827+'NI-Soc_SP'!V827+'NI-Ric_SP'!V827</f>
        <v>0</v>
      </c>
      <c r="W827" s="272">
        <f>+'NI-San_SP'!W827+'NI-Soc_SP'!W827+'NI-Ric_SP'!W827</f>
        <v>0</v>
      </c>
      <c r="X827" s="272">
        <f>+'NI-San_SP'!X827+'NI-Soc_SP'!X827+'NI-Ric_SP'!X827</f>
        <v>0</v>
      </c>
      <c r="Y827" s="211"/>
      <c r="Z827" s="211"/>
      <c r="AA827" s="211"/>
    </row>
    <row r="828" spans="2:29" s="204" customFormat="1" x14ac:dyDescent="0.25"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32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</row>
    <row r="829" spans="2:29" s="204" customFormat="1" x14ac:dyDescent="0.25">
      <c r="B829" s="246" t="s">
        <v>2040</v>
      </c>
      <c r="C829" s="246" t="s">
        <v>2041</v>
      </c>
      <c r="D829" s="247" t="s">
        <v>3920</v>
      </c>
      <c r="E829" s="247"/>
      <c r="F829" s="247"/>
      <c r="G829" s="247"/>
      <c r="H829" s="248"/>
      <c r="I829" s="247"/>
      <c r="J829" s="247"/>
      <c r="K829" s="249"/>
      <c r="L829" s="441" t="s">
        <v>2043</v>
      </c>
      <c r="M829" s="251" t="s">
        <v>2962</v>
      </c>
      <c r="N829" s="252">
        <f>SUM(N832:N838)</f>
        <v>5016560</v>
      </c>
      <c r="O829" s="252">
        <f>SUM(O832:O838)</f>
        <v>6227161</v>
      </c>
      <c r="P829" s="253">
        <f>+O829-N829</f>
        <v>1210601</v>
      </c>
      <c r="Q829" s="252">
        <f t="shared" ref="Q829:X829" si="107">SUM(Q832:Q838)</f>
        <v>0</v>
      </c>
      <c r="R829" s="252">
        <f t="shared" si="107"/>
        <v>5016560</v>
      </c>
      <c r="S829" s="252">
        <f t="shared" si="107"/>
        <v>0</v>
      </c>
      <c r="T829" s="252">
        <f t="shared" si="107"/>
        <v>2941000</v>
      </c>
      <c r="U829" s="252">
        <f t="shared" si="107"/>
        <v>0</v>
      </c>
      <c r="V829" s="252">
        <f t="shared" si="107"/>
        <v>1730399</v>
      </c>
      <c r="W829" s="252">
        <f t="shared" si="107"/>
        <v>0</v>
      </c>
      <c r="X829" s="252">
        <f t="shared" si="107"/>
        <v>6227161</v>
      </c>
      <c r="Y829" s="211"/>
      <c r="Z829" s="211"/>
      <c r="AA829" s="211"/>
    </row>
    <row r="830" spans="2:29" s="204" customFormat="1" x14ac:dyDescent="0.25"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32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</row>
    <row r="831" spans="2:29" s="204" customFormat="1" ht="63.75" x14ac:dyDescent="0.25">
      <c r="B831" s="260" t="s">
        <v>2968</v>
      </c>
      <c r="C831" s="260" t="s">
        <v>2969</v>
      </c>
      <c r="D831" s="206" t="s">
        <v>72</v>
      </c>
      <c r="E831" s="206"/>
      <c r="F831" s="206"/>
      <c r="G831" s="207"/>
      <c r="H831" s="207"/>
      <c r="I831" s="207"/>
      <c r="J831" s="207" t="s">
        <v>2957</v>
      </c>
      <c r="K831" s="206" t="s">
        <v>82</v>
      </c>
      <c r="L831" s="256" t="s">
        <v>3670</v>
      </c>
      <c r="M831" s="256"/>
      <c r="N831" s="256" t="str">
        <f>N$15</f>
        <v>Valore netto al 31/12/2019</v>
      </c>
      <c r="O831" s="256" t="str">
        <f>O$15</f>
        <v>Valore netto al 31/12/2020</v>
      </c>
      <c r="P831" s="256" t="str">
        <f>P$15</f>
        <v>Variazione</v>
      </c>
      <c r="Q831" s="262" t="s">
        <v>2971</v>
      </c>
      <c r="R831" s="442" t="s">
        <v>3877</v>
      </c>
      <c r="S831" s="262" t="s">
        <v>2972</v>
      </c>
      <c r="T831" s="442" t="s">
        <v>3913</v>
      </c>
      <c r="U831" s="442" t="s">
        <v>3914</v>
      </c>
      <c r="V831" s="442" t="s">
        <v>3915</v>
      </c>
      <c r="W831" s="262" t="s">
        <v>2975</v>
      </c>
      <c r="X831" s="442" t="s">
        <v>3883</v>
      </c>
      <c r="Y831" s="211"/>
      <c r="Z831" s="211"/>
      <c r="AA831" s="211"/>
    </row>
    <row r="832" spans="2:29" s="204" customFormat="1" x14ac:dyDescent="0.25">
      <c r="B832" s="246" t="s">
        <v>2044</v>
      </c>
      <c r="C832" s="284" t="s">
        <v>2045</v>
      </c>
      <c r="D832" s="274" t="s">
        <v>3921</v>
      </c>
      <c r="E832" s="274"/>
      <c r="F832" s="274"/>
      <c r="G832" s="283"/>
      <c r="H832" s="266"/>
      <c r="I832" s="274"/>
      <c r="J832" s="281"/>
      <c r="K832" s="281"/>
      <c r="L832" s="282" t="s">
        <v>2048</v>
      </c>
      <c r="M832" s="284" t="s">
        <v>2962</v>
      </c>
      <c r="N832" s="443">
        <f t="shared" ref="N832:N838" si="108">+R832</f>
        <v>40746</v>
      </c>
      <c r="O832" s="443">
        <f t="shared" ref="O832:O838" si="109">+X832</f>
        <v>6457</v>
      </c>
      <c r="P832" s="271">
        <f t="shared" ref="P832:P838" si="110">+O832-N832</f>
        <v>-34289</v>
      </c>
      <c r="Q832" s="272">
        <f>+'NI-San_SP'!Q832+'NI-Soc_SP'!Q832+'NI-Ric_SP'!Q832</f>
        <v>0</v>
      </c>
      <c r="R832" s="272">
        <f>+'NI-San_SP'!R832+'NI-Soc_SP'!R832+'NI-Ric_SP'!R832</f>
        <v>40746</v>
      </c>
      <c r="S832" s="272">
        <f>+'NI-San_SP'!S832+'NI-Soc_SP'!S832+'NI-Ric_SP'!S832</f>
        <v>0</v>
      </c>
      <c r="T832" s="272">
        <f>+'NI-San_SP'!T832+'NI-Soc_SP'!T832+'NI-Ric_SP'!T832</f>
        <v>0</v>
      </c>
      <c r="U832" s="272">
        <f>+'NI-San_SP'!U832+'NI-Soc_SP'!U832+'NI-Ric_SP'!U832</f>
        <v>0</v>
      </c>
      <c r="V832" s="272">
        <f>+'NI-San_SP'!V832+'NI-Soc_SP'!V832+'NI-Ric_SP'!V832</f>
        <v>34289</v>
      </c>
      <c r="W832" s="272">
        <f>+'NI-San_SP'!W832+'NI-Soc_SP'!W832+'NI-Ric_SP'!W832</f>
        <v>0</v>
      </c>
      <c r="X832" s="272">
        <f>+'NI-San_SP'!X832+'NI-Soc_SP'!X832+'NI-Ric_SP'!X832</f>
        <v>6457</v>
      </c>
      <c r="Y832" s="211"/>
      <c r="Z832" s="211"/>
      <c r="AA832" s="211"/>
    </row>
    <row r="833" spans="1:27" s="204" customFormat="1" x14ac:dyDescent="0.25">
      <c r="B833" s="246" t="s">
        <v>2049</v>
      </c>
      <c r="C833" s="284" t="s">
        <v>2050</v>
      </c>
      <c r="D833" s="274" t="s">
        <v>3922</v>
      </c>
      <c r="E833" s="274"/>
      <c r="F833" s="274"/>
      <c r="G833" s="283"/>
      <c r="H833" s="266"/>
      <c r="I833" s="274"/>
      <c r="J833" s="281"/>
      <c r="K833" s="281"/>
      <c r="L833" s="295" t="s">
        <v>2053</v>
      </c>
      <c r="M833" s="284" t="s">
        <v>2962</v>
      </c>
      <c r="N833" s="443">
        <f t="shared" si="108"/>
        <v>40507</v>
      </c>
      <c r="O833" s="443">
        <f t="shared" si="109"/>
        <v>40507</v>
      </c>
      <c r="P833" s="271">
        <f t="shared" si="110"/>
        <v>0</v>
      </c>
      <c r="Q833" s="272">
        <f>+'NI-San_SP'!Q833+'NI-Soc_SP'!Q833+'NI-Ric_SP'!Q833</f>
        <v>0</v>
      </c>
      <c r="R833" s="272">
        <f>+'NI-San_SP'!R833+'NI-Soc_SP'!R833+'NI-Ric_SP'!R833</f>
        <v>40507</v>
      </c>
      <c r="S833" s="272">
        <f>+'NI-San_SP'!S833+'NI-Soc_SP'!S833+'NI-Ric_SP'!S833</f>
        <v>0</v>
      </c>
      <c r="T833" s="272">
        <f>+'NI-San_SP'!T833+'NI-Soc_SP'!T833+'NI-Ric_SP'!T833</f>
        <v>0</v>
      </c>
      <c r="U833" s="272">
        <f>+'NI-San_SP'!U833+'NI-Soc_SP'!U833+'NI-Ric_SP'!U833</f>
        <v>0</v>
      </c>
      <c r="V833" s="272">
        <f>+'NI-San_SP'!V833+'NI-Soc_SP'!V833+'NI-Ric_SP'!V833</f>
        <v>0</v>
      </c>
      <c r="W833" s="272">
        <f>+'NI-San_SP'!W833+'NI-Soc_SP'!W833+'NI-Ric_SP'!W833</f>
        <v>0</v>
      </c>
      <c r="X833" s="272">
        <f>+'NI-San_SP'!X833+'NI-Soc_SP'!X833+'NI-Ric_SP'!X833</f>
        <v>40507</v>
      </c>
      <c r="Y833" s="211"/>
      <c r="Z833" s="211"/>
      <c r="AA833" s="211"/>
    </row>
    <row r="834" spans="1:27" s="204" customFormat="1" x14ac:dyDescent="0.25">
      <c r="B834" s="246" t="s">
        <v>2054</v>
      </c>
      <c r="C834" s="284" t="s">
        <v>2055</v>
      </c>
      <c r="D834" s="274" t="s">
        <v>3923</v>
      </c>
      <c r="E834" s="274"/>
      <c r="F834" s="274"/>
      <c r="G834" s="283"/>
      <c r="H834" s="266"/>
      <c r="I834" s="274"/>
      <c r="J834" s="281"/>
      <c r="K834" s="281"/>
      <c r="L834" s="295" t="s">
        <v>2058</v>
      </c>
      <c r="M834" s="284" t="s">
        <v>2962</v>
      </c>
      <c r="N834" s="443">
        <f t="shared" si="108"/>
        <v>0</v>
      </c>
      <c r="O834" s="443">
        <f t="shared" si="109"/>
        <v>0</v>
      </c>
      <c r="P834" s="271">
        <f t="shared" si="110"/>
        <v>0</v>
      </c>
      <c r="Q834" s="272">
        <f>+'NI-San_SP'!Q834+'NI-Soc_SP'!Q834+'NI-Ric_SP'!Q834</f>
        <v>0</v>
      </c>
      <c r="R834" s="272">
        <f>+'NI-San_SP'!R834+'NI-Soc_SP'!R834+'NI-Ric_SP'!R834</f>
        <v>0</v>
      </c>
      <c r="S834" s="272">
        <f>+'NI-San_SP'!S834+'NI-Soc_SP'!S834+'NI-Ric_SP'!S834</f>
        <v>0</v>
      </c>
      <c r="T834" s="272">
        <f>+'NI-San_SP'!T834+'NI-Soc_SP'!T834+'NI-Ric_SP'!T834</f>
        <v>0</v>
      </c>
      <c r="U834" s="272">
        <f>+'NI-San_SP'!U834+'NI-Soc_SP'!U834+'NI-Ric_SP'!U834</f>
        <v>0</v>
      </c>
      <c r="V834" s="272">
        <f>+'NI-San_SP'!V834+'NI-Soc_SP'!V834+'NI-Ric_SP'!V834</f>
        <v>0</v>
      </c>
      <c r="W834" s="272">
        <f>+'NI-San_SP'!W834+'NI-Soc_SP'!W834+'NI-Ric_SP'!W834</f>
        <v>0</v>
      </c>
      <c r="X834" s="272">
        <f>+'NI-San_SP'!X834+'NI-Soc_SP'!X834+'NI-Ric_SP'!X834</f>
        <v>0</v>
      </c>
      <c r="Y834" s="211"/>
      <c r="Z834" s="211"/>
      <c r="AA834" s="211"/>
    </row>
    <row r="835" spans="1:27" s="204" customFormat="1" x14ac:dyDescent="0.25">
      <c r="B835" s="246" t="s">
        <v>2059</v>
      </c>
      <c r="C835" s="284" t="s">
        <v>2060</v>
      </c>
      <c r="D835" s="274" t="s">
        <v>3924</v>
      </c>
      <c r="E835" s="274"/>
      <c r="F835" s="274"/>
      <c r="G835" s="283"/>
      <c r="H835" s="266"/>
      <c r="I835" s="274"/>
      <c r="J835" s="281"/>
      <c r="K835" s="281"/>
      <c r="L835" s="295" t="s">
        <v>2063</v>
      </c>
      <c r="M835" s="284" t="s">
        <v>2962</v>
      </c>
      <c r="N835" s="443">
        <f t="shared" si="108"/>
        <v>4935307</v>
      </c>
      <c r="O835" s="443">
        <f t="shared" si="109"/>
        <v>6180197</v>
      </c>
      <c r="P835" s="271">
        <f t="shared" si="110"/>
        <v>1244890</v>
      </c>
      <c r="Q835" s="272">
        <f>+'NI-San_SP'!Q835+'NI-Soc_SP'!Q835+'NI-Ric_SP'!Q835</f>
        <v>0</v>
      </c>
      <c r="R835" s="272">
        <f>+'NI-San_SP'!R835+'NI-Soc_SP'!R835+'NI-Ric_SP'!R835</f>
        <v>4935307</v>
      </c>
      <c r="S835" s="272">
        <f>+'NI-San_SP'!S835+'NI-Soc_SP'!S835+'NI-Ric_SP'!S835</f>
        <v>0</v>
      </c>
      <c r="T835" s="272">
        <f>+'NI-San_SP'!T835+'NI-Soc_SP'!T835+'NI-Ric_SP'!T835</f>
        <v>2941000</v>
      </c>
      <c r="U835" s="272">
        <f>+'NI-San_SP'!U835+'NI-Soc_SP'!U835+'NI-Ric_SP'!U835</f>
        <v>0</v>
      </c>
      <c r="V835" s="272">
        <f>+'NI-San_SP'!V835+'NI-Soc_SP'!V835+'NI-Ric_SP'!V835</f>
        <v>1696110</v>
      </c>
      <c r="W835" s="272">
        <f>+'NI-San_SP'!W835+'NI-Soc_SP'!W835+'NI-Ric_SP'!W835</f>
        <v>0</v>
      </c>
      <c r="X835" s="272">
        <f>+'NI-San_SP'!X835+'NI-Soc_SP'!X835+'NI-Ric_SP'!X835</f>
        <v>6180197</v>
      </c>
      <c r="Y835" s="211"/>
      <c r="Z835" s="211"/>
      <c r="AA835" s="211"/>
    </row>
    <row r="836" spans="1:27" s="204" customFormat="1" x14ac:dyDescent="0.25">
      <c r="A836" s="204" t="s">
        <v>3681</v>
      </c>
      <c r="B836" s="246" t="s">
        <v>2064</v>
      </c>
      <c r="C836" s="284" t="s">
        <v>2065</v>
      </c>
      <c r="D836" s="274"/>
      <c r="E836" s="274"/>
      <c r="F836" s="274"/>
      <c r="G836" s="283"/>
      <c r="H836" s="266"/>
      <c r="I836" s="274"/>
      <c r="J836" s="281"/>
      <c r="K836" s="281"/>
      <c r="L836" s="396" t="s">
        <v>2067</v>
      </c>
      <c r="M836" s="284" t="s">
        <v>2962</v>
      </c>
      <c r="N836" s="443">
        <f t="shared" si="108"/>
        <v>0</v>
      </c>
      <c r="O836" s="443">
        <f t="shared" si="109"/>
        <v>0</v>
      </c>
      <c r="P836" s="271">
        <f t="shared" si="110"/>
        <v>0</v>
      </c>
      <c r="Q836" s="272">
        <f>+'NI-San_SP'!Q836+'NI-Soc_SP'!Q836+'NI-Ric_SP'!Q836</f>
        <v>0</v>
      </c>
      <c r="R836" s="272">
        <f>+'NI-San_SP'!R836+'NI-Soc_SP'!R836+'NI-Ric_SP'!R836</f>
        <v>0</v>
      </c>
      <c r="S836" s="272">
        <f>+'NI-San_SP'!S836+'NI-Soc_SP'!S836+'NI-Ric_SP'!S836</f>
        <v>0</v>
      </c>
      <c r="T836" s="272">
        <f>+'NI-San_SP'!T836+'NI-Soc_SP'!T836+'NI-Ric_SP'!T836</f>
        <v>0</v>
      </c>
      <c r="U836" s="272">
        <f>+'NI-San_SP'!U836+'NI-Soc_SP'!U836+'NI-Ric_SP'!U836</f>
        <v>0</v>
      </c>
      <c r="V836" s="272">
        <f>+'NI-San_SP'!V836+'NI-Soc_SP'!V836+'NI-Ric_SP'!V836</f>
        <v>0</v>
      </c>
      <c r="W836" s="272">
        <f>+'NI-San_SP'!W836+'NI-Soc_SP'!W836+'NI-Ric_SP'!W836</f>
        <v>0</v>
      </c>
      <c r="X836" s="272">
        <f>+'NI-San_SP'!X836+'NI-Soc_SP'!X836+'NI-Ric_SP'!X836</f>
        <v>0</v>
      </c>
      <c r="Y836" s="211"/>
      <c r="Z836" s="211"/>
      <c r="AA836" s="211"/>
    </row>
    <row r="837" spans="1:27" s="204" customFormat="1" x14ac:dyDescent="0.25">
      <c r="A837" s="204" t="s">
        <v>3681</v>
      </c>
      <c r="B837" s="246" t="s">
        <v>2068</v>
      </c>
      <c r="C837" s="284" t="s">
        <v>2069</v>
      </c>
      <c r="D837" s="274"/>
      <c r="E837" s="274"/>
      <c r="F837" s="274"/>
      <c r="G837" s="283"/>
      <c r="H837" s="266"/>
      <c r="I837" s="274"/>
      <c r="J837" s="281"/>
      <c r="K837" s="281"/>
      <c r="L837" s="396" t="s">
        <v>2071</v>
      </c>
      <c r="M837" s="284" t="s">
        <v>2962</v>
      </c>
      <c r="N837" s="443">
        <f t="shared" si="108"/>
        <v>0</v>
      </c>
      <c r="O837" s="443">
        <f t="shared" si="109"/>
        <v>0</v>
      </c>
      <c r="P837" s="271">
        <f t="shared" si="110"/>
        <v>0</v>
      </c>
      <c r="Q837" s="272">
        <f>+'NI-San_SP'!Q837+'NI-Soc_SP'!Q837+'NI-Ric_SP'!Q837</f>
        <v>0</v>
      </c>
      <c r="R837" s="272">
        <f>+'NI-San_SP'!R837+'NI-Soc_SP'!R837+'NI-Ric_SP'!R837</f>
        <v>0</v>
      </c>
      <c r="S837" s="272">
        <f>+'NI-San_SP'!S837+'NI-Soc_SP'!S837+'NI-Ric_SP'!S837</f>
        <v>0</v>
      </c>
      <c r="T837" s="272">
        <f>+'NI-San_SP'!T837+'NI-Soc_SP'!T837+'NI-Ric_SP'!T837</f>
        <v>0</v>
      </c>
      <c r="U837" s="272">
        <f>+'NI-San_SP'!U837+'NI-Soc_SP'!U837+'NI-Ric_SP'!U837</f>
        <v>0</v>
      </c>
      <c r="V837" s="272">
        <f>+'NI-San_SP'!V837+'NI-Soc_SP'!V837+'NI-Ric_SP'!V837</f>
        <v>0</v>
      </c>
      <c r="W837" s="272">
        <f>+'NI-San_SP'!W837+'NI-Soc_SP'!W837+'NI-Ric_SP'!W837</f>
        <v>0</v>
      </c>
      <c r="X837" s="272">
        <f>+'NI-San_SP'!X837+'NI-Soc_SP'!X837+'NI-Ric_SP'!X837</f>
        <v>0</v>
      </c>
      <c r="Y837" s="211"/>
      <c r="Z837" s="211"/>
      <c r="AA837" s="211"/>
    </row>
    <row r="838" spans="1:27" s="204" customFormat="1" x14ac:dyDescent="0.25">
      <c r="B838" s="246" t="s">
        <v>2072</v>
      </c>
      <c r="C838" s="284" t="s">
        <v>2073</v>
      </c>
      <c r="D838" s="274" t="s">
        <v>3925</v>
      </c>
      <c r="E838" s="274"/>
      <c r="F838" s="274"/>
      <c r="G838" s="283"/>
      <c r="H838" s="266"/>
      <c r="I838" s="274"/>
      <c r="J838" s="281"/>
      <c r="K838" s="281"/>
      <c r="L838" s="295" t="s">
        <v>3926</v>
      </c>
      <c r="M838" s="284" t="s">
        <v>2962</v>
      </c>
      <c r="N838" s="443">
        <f t="shared" si="108"/>
        <v>0</v>
      </c>
      <c r="O838" s="443">
        <f t="shared" si="109"/>
        <v>0</v>
      </c>
      <c r="P838" s="271">
        <f t="shared" si="110"/>
        <v>0</v>
      </c>
      <c r="Q838" s="272">
        <f>+'NI-San_SP'!Q838+'NI-Soc_SP'!Q838+'NI-Ric_SP'!Q838</f>
        <v>0</v>
      </c>
      <c r="R838" s="272">
        <f>+'NI-San_SP'!R838+'NI-Soc_SP'!R838+'NI-Ric_SP'!R838</f>
        <v>0</v>
      </c>
      <c r="S838" s="272">
        <f>+'NI-San_SP'!S838+'NI-Soc_SP'!S838+'NI-Ric_SP'!S838</f>
        <v>0</v>
      </c>
      <c r="T838" s="272">
        <f>+'NI-San_SP'!T838+'NI-Soc_SP'!T838+'NI-Ric_SP'!T838</f>
        <v>0</v>
      </c>
      <c r="U838" s="272">
        <f>+'NI-San_SP'!U838+'NI-Soc_SP'!U838+'NI-Ric_SP'!U838</f>
        <v>0</v>
      </c>
      <c r="V838" s="272">
        <f>+'NI-San_SP'!V838+'NI-Soc_SP'!V838+'NI-Ric_SP'!V838</f>
        <v>0</v>
      </c>
      <c r="W838" s="272">
        <f>+'NI-San_SP'!W838+'NI-Soc_SP'!W838+'NI-Ric_SP'!W838</f>
        <v>0</v>
      </c>
      <c r="X838" s="272">
        <f>+'NI-San_SP'!X838+'NI-Soc_SP'!X838+'NI-Ric_SP'!X838</f>
        <v>0</v>
      </c>
      <c r="Y838" s="211"/>
      <c r="Z838" s="211"/>
      <c r="AA838" s="211"/>
    </row>
    <row r="839" spans="1:27" s="204" customFormat="1" x14ac:dyDescent="0.25">
      <c r="B839" s="384"/>
      <c r="C839" s="384"/>
      <c r="D839" s="382"/>
      <c r="E839" s="382"/>
      <c r="F839" s="382"/>
      <c r="G839" s="382"/>
      <c r="H839" s="382"/>
      <c r="I839" s="382"/>
      <c r="J839" s="382"/>
      <c r="K839" s="382"/>
      <c r="L839" s="275"/>
      <c r="M839" s="275"/>
      <c r="N839" s="383"/>
      <c r="O839" s="383"/>
      <c r="P839" s="384"/>
      <c r="Q839" s="211"/>
      <c r="R839" s="444"/>
      <c r="S839" s="444"/>
      <c r="T839" s="211"/>
      <c r="U839" s="211"/>
      <c r="V839" s="211"/>
      <c r="W839" s="211"/>
      <c r="X839" s="211"/>
      <c r="Y839" s="211"/>
      <c r="Z839" s="211"/>
      <c r="AA839" s="211"/>
    </row>
    <row r="840" spans="1:27" s="204" customFormat="1" x14ac:dyDescent="0.25">
      <c r="B840" s="246" t="s">
        <v>2077</v>
      </c>
      <c r="C840" s="246" t="s">
        <v>2078</v>
      </c>
      <c r="D840" s="247" t="s">
        <v>3927</v>
      </c>
      <c r="E840" s="247"/>
      <c r="F840" s="247"/>
      <c r="G840" s="247"/>
      <c r="H840" s="248"/>
      <c r="I840" s="247"/>
      <c r="J840" s="247"/>
      <c r="K840" s="249"/>
      <c r="L840" s="441" t="s">
        <v>2080</v>
      </c>
      <c r="M840" s="251" t="s">
        <v>2962</v>
      </c>
      <c r="N840" s="252">
        <f>SUM(N843:N849)</f>
        <v>0</v>
      </c>
      <c r="O840" s="252">
        <f>SUM(O843:O849)</f>
        <v>0</v>
      </c>
      <c r="P840" s="253">
        <f>+O840-N840</f>
        <v>0</v>
      </c>
      <c r="Q840" s="252">
        <f t="shared" ref="Q840:X840" si="111">SUM(Q843:Q849)</f>
        <v>0</v>
      </c>
      <c r="R840" s="252">
        <f t="shared" si="111"/>
        <v>0</v>
      </c>
      <c r="S840" s="252">
        <f t="shared" si="111"/>
        <v>0</v>
      </c>
      <c r="T840" s="252">
        <f t="shared" si="111"/>
        <v>0</v>
      </c>
      <c r="U840" s="252">
        <f t="shared" si="111"/>
        <v>0</v>
      </c>
      <c r="V840" s="252">
        <f t="shared" si="111"/>
        <v>0</v>
      </c>
      <c r="W840" s="252">
        <f t="shared" si="111"/>
        <v>0</v>
      </c>
      <c r="X840" s="252">
        <f t="shared" si="111"/>
        <v>0</v>
      </c>
      <c r="Y840" s="211"/>
      <c r="Z840" s="211"/>
      <c r="AA840" s="211"/>
    </row>
    <row r="841" spans="1:27" s="447" customFormat="1" hidden="1" x14ac:dyDescent="0.25">
      <c r="A841" s="204"/>
      <c r="B841" s="445"/>
      <c r="C841" s="445"/>
      <c r="D841" s="445"/>
      <c r="E841" s="445"/>
      <c r="F841" s="445"/>
      <c r="G841" s="445"/>
      <c r="H841" s="445"/>
      <c r="I841" s="445"/>
      <c r="J841" s="445"/>
      <c r="K841" s="445"/>
      <c r="L841" s="446"/>
      <c r="M841" s="445"/>
      <c r="N841" s="445"/>
      <c r="O841" s="445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</row>
    <row r="842" spans="1:27" s="447" customFormat="1" ht="25.5" hidden="1" x14ac:dyDescent="0.25">
      <c r="A842" s="204"/>
      <c r="B842" s="448" t="s">
        <v>2968</v>
      </c>
      <c r="C842" s="448" t="s">
        <v>2969</v>
      </c>
      <c r="D842" s="449" t="s">
        <v>72</v>
      </c>
      <c r="E842" s="449"/>
      <c r="F842" s="449"/>
      <c r="G842" s="450"/>
      <c r="H842" s="450"/>
      <c r="I842" s="450"/>
      <c r="J842" s="450" t="s">
        <v>2957</v>
      </c>
      <c r="K842" s="449" t="s">
        <v>82</v>
      </c>
      <c r="L842" s="451" t="s">
        <v>3670</v>
      </c>
      <c r="M842" s="451"/>
      <c r="N842" s="452" t="str">
        <f>+N831</f>
        <v>Valore netto al 31/12/2019</v>
      </c>
      <c r="O842" s="452" t="str">
        <f>+O831</f>
        <v>Valore netto al 31/12/2020</v>
      </c>
      <c r="P842" s="448" t="s">
        <v>3928</v>
      </c>
      <c r="Q842" s="445"/>
      <c r="R842" s="453" t="s">
        <v>3877</v>
      </c>
      <c r="S842" s="453" t="s">
        <v>3913</v>
      </c>
      <c r="T842" s="453" t="s">
        <v>3914</v>
      </c>
      <c r="U842" s="453"/>
      <c r="V842" s="453" t="s">
        <v>3915</v>
      </c>
      <c r="W842" s="453" t="s">
        <v>3883</v>
      </c>
      <c r="X842" s="453" t="s">
        <v>3883</v>
      </c>
      <c r="Y842" s="445"/>
      <c r="Z842" s="445"/>
      <c r="AA842" s="445"/>
    </row>
    <row r="843" spans="1:27" s="447" customFormat="1" hidden="1" x14ac:dyDescent="0.25">
      <c r="A843" s="204"/>
      <c r="B843" s="454" t="s">
        <v>2082</v>
      </c>
      <c r="C843" s="454" t="s">
        <v>2082</v>
      </c>
      <c r="D843" s="455" t="s">
        <v>3929</v>
      </c>
      <c r="E843" s="455"/>
      <c r="F843" s="455"/>
      <c r="G843" s="456"/>
      <c r="H843" s="457"/>
      <c r="I843" s="455"/>
      <c r="J843" s="455"/>
      <c r="K843" s="455"/>
      <c r="L843" s="458" t="s">
        <v>2085</v>
      </c>
      <c r="M843" s="454" t="s">
        <v>2962</v>
      </c>
      <c r="N843" s="459">
        <f t="shared" ref="N843:N850" si="112">+R843</f>
        <v>0</v>
      </c>
      <c r="O843" s="459">
        <f t="shared" ref="O843:O850" si="113">+X843</f>
        <v>0</v>
      </c>
      <c r="P843" s="460">
        <f t="shared" ref="P843:P850" si="114">+O843-N843</f>
        <v>0</v>
      </c>
      <c r="Q843" s="445"/>
      <c r="R843" s="460"/>
      <c r="S843" s="460"/>
      <c r="T843" s="460"/>
      <c r="U843" s="460"/>
      <c r="V843" s="460"/>
      <c r="W843" s="460">
        <f t="shared" ref="W843:W850" si="115">+Q843+R843+S843-T843</f>
        <v>0</v>
      </c>
      <c r="X843" s="460">
        <f t="shared" ref="X843:X850" si="116">+R843+S843+T843-V843</f>
        <v>0</v>
      </c>
      <c r="Y843" s="445"/>
      <c r="Z843" s="445" t="s">
        <v>3930</v>
      </c>
      <c r="AA843" s="445"/>
    </row>
    <row r="844" spans="1:27" s="447" customFormat="1" hidden="1" x14ac:dyDescent="0.25">
      <c r="A844" s="204"/>
      <c r="B844" s="454" t="s">
        <v>2087</v>
      </c>
      <c r="C844" s="454" t="s">
        <v>2087</v>
      </c>
      <c r="D844" s="455" t="s">
        <v>3931</v>
      </c>
      <c r="E844" s="455"/>
      <c r="F844" s="455"/>
      <c r="G844" s="456"/>
      <c r="H844" s="457"/>
      <c r="I844" s="455"/>
      <c r="J844" s="455"/>
      <c r="K844" s="455"/>
      <c r="L844" s="461" t="s">
        <v>2090</v>
      </c>
      <c r="M844" s="454" t="s">
        <v>2962</v>
      </c>
      <c r="N844" s="459">
        <f t="shared" si="112"/>
        <v>0</v>
      </c>
      <c r="O844" s="459">
        <f t="shared" si="113"/>
        <v>0</v>
      </c>
      <c r="P844" s="460">
        <f t="shared" si="114"/>
        <v>0</v>
      </c>
      <c r="Q844" s="445"/>
      <c r="R844" s="460"/>
      <c r="S844" s="460"/>
      <c r="T844" s="460"/>
      <c r="U844" s="460"/>
      <c r="V844" s="460"/>
      <c r="W844" s="460">
        <f t="shared" si="115"/>
        <v>0</v>
      </c>
      <c r="X844" s="460">
        <f t="shared" si="116"/>
        <v>0</v>
      </c>
      <c r="Y844" s="445"/>
      <c r="Z844" s="445" t="s">
        <v>3932</v>
      </c>
      <c r="AA844" s="445"/>
    </row>
    <row r="845" spans="1:27" s="447" customFormat="1" hidden="1" x14ac:dyDescent="0.25">
      <c r="A845" s="204"/>
      <c r="B845" s="454" t="s">
        <v>2092</v>
      </c>
      <c r="C845" s="454" t="s">
        <v>2092</v>
      </c>
      <c r="D845" s="455" t="s">
        <v>3933</v>
      </c>
      <c r="E845" s="455"/>
      <c r="F845" s="455"/>
      <c r="G845" s="456"/>
      <c r="H845" s="457"/>
      <c r="I845" s="455"/>
      <c r="J845" s="455"/>
      <c r="K845" s="455"/>
      <c r="L845" s="461" t="s">
        <v>2095</v>
      </c>
      <c r="M845" s="454" t="s">
        <v>2962</v>
      </c>
      <c r="N845" s="459">
        <f t="shared" si="112"/>
        <v>0</v>
      </c>
      <c r="O845" s="459">
        <f t="shared" si="113"/>
        <v>0</v>
      </c>
      <c r="P845" s="460">
        <f t="shared" si="114"/>
        <v>0</v>
      </c>
      <c r="Q845" s="445"/>
      <c r="R845" s="460"/>
      <c r="S845" s="460"/>
      <c r="T845" s="460"/>
      <c r="U845" s="460"/>
      <c r="V845" s="460"/>
      <c r="W845" s="460">
        <f t="shared" si="115"/>
        <v>0</v>
      </c>
      <c r="X845" s="460">
        <f t="shared" si="116"/>
        <v>0</v>
      </c>
      <c r="Y845" s="445"/>
      <c r="Z845" s="445"/>
      <c r="AA845" s="445"/>
    </row>
    <row r="846" spans="1:27" s="447" customFormat="1" hidden="1" x14ac:dyDescent="0.25">
      <c r="A846" s="204"/>
      <c r="B846" s="454" t="s">
        <v>2097</v>
      </c>
      <c r="C846" s="454" t="s">
        <v>2097</v>
      </c>
      <c r="D846" s="455" t="s">
        <v>3934</v>
      </c>
      <c r="E846" s="455"/>
      <c r="F846" s="455"/>
      <c r="G846" s="456"/>
      <c r="H846" s="457"/>
      <c r="I846" s="455"/>
      <c r="J846" s="455"/>
      <c r="K846" s="455"/>
      <c r="L846" s="461" t="s">
        <v>2100</v>
      </c>
      <c r="M846" s="454" t="s">
        <v>2962</v>
      </c>
      <c r="N846" s="459">
        <f t="shared" si="112"/>
        <v>0</v>
      </c>
      <c r="O846" s="459">
        <f t="shared" si="113"/>
        <v>0</v>
      </c>
      <c r="P846" s="460">
        <f t="shared" si="114"/>
        <v>0</v>
      </c>
      <c r="Q846" s="445"/>
      <c r="R846" s="460"/>
      <c r="S846" s="460"/>
      <c r="T846" s="460"/>
      <c r="U846" s="460"/>
      <c r="V846" s="460"/>
      <c r="W846" s="460">
        <f t="shared" si="115"/>
        <v>0</v>
      </c>
      <c r="X846" s="460">
        <f t="shared" si="116"/>
        <v>0</v>
      </c>
      <c r="Y846" s="445"/>
      <c r="Z846" s="445"/>
      <c r="AA846" s="445"/>
    </row>
    <row r="847" spans="1:27" s="447" customFormat="1" hidden="1" x14ac:dyDescent="0.25">
      <c r="A847" s="204"/>
      <c r="B847" s="454" t="s">
        <v>2102</v>
      </c>
      <c r="C847" s="454" t="s">
        <v>2102</v>
      </c>
      <c r="D847" s="455" t="s">
        <v>3935</v>
      </c>
      <c r="E847" s="455"/>
      <c r="F847" s="455"/>
      <c r="G847" s="456"/>
      <c r="H847" s="457"/>
      <c r="I847" s="455"/>
      <c r="J847" s="455"/>
      <c r="K847" s="455"/>
      <c r="L847" s="461" t="s">
        <v>2105</v>
      </c>
      <c r="M847" s="454" t="s">
        <v>2962</v>
      </c>
      <c r="N847" s="459">
        <f t="shared" si="112"/>
        <v>0</v>
      </c>
      <c r="O847" s="459">
        <f t="shared" si="113"/>
        <v>0</v>
      </c>
      <c r="P847" s="460">
        <f t="shared" si="114"/>
        <v>0</v>
      </c>
      <c r="Q847" s="445"/>
      <c r="R847" s="460"/>
      <c r="S847" s="460"/>
      <c r="T847" s="460"/>
      <c r="U847" s="460"/>
      <c r="V847" s="460"/>
      <c r="W847" s="460">
        <f t="shared" si="115"/>
        <v>0</v>
      </c>
      <c r="X847" s="460">
        <f t="shared" si="116"/>
        <v>0</v>
      </c>
      <c r="Y847" s="445"/>
      <c r="Z847" s="445"/>
      <c r="AA847" s="445"/>
    </row>
    <row r="848" spans="1:27" s="447" customFormat="1" hidden="1" x14ac:dyDescent="0.25">
      <c r="A848" s="204"/>
      <c r="B848" s="454" t="s">
        <v>2107</v>
      </c>
      <c r="C848" s="454" t="s">
        <v>2107</v>
      </c>
      <c r="D848" s="455" t="s">
        <v>3936</v>
      </c>
      <c r="E848" s="455"/>
      <c r="F848" s="455"/>
      <c r="G848" s="456"/>
      <c r="H848" s="457"/>
      <c r="I848" s="455"/>
      <c r="J848" s="455"/>
      <c r="K848" s="455"/>
      <c r="L848" s="461" t="s">
        <v>2110</v>
      </c>
      <c r="M848" s="454" t="s">
        <v>2962</v>
      </c>
      <c r="N848" s="459">
        <f t="shared" si="112"/>
        <v>0</v>
      </c>
      <c r="O848" s="459">
        <f t="shared" si="113"/>
        <v>0</v>
      </c>
      <c r="P848" s="460">
        <f t="shared" si="114"/>
        <v>0</v>
      </c>
      <c r="Q848" s="445"/>
      <c r="R848" s="460"/>
      <c r="S848" s="460"/>
      <c r="T848" s="460"/>
      <c r="U848" s="460"/>
      <c r="V848" s="460"/>
      <c r="W848" s="460">
        <f t="shared" si="115"/>
        <v>0</v>
      </c>
      <c r="X848" s="460">
        <f t="shared" si="116"/>
        <v>0</v>
      </c>
      <c r="Y848" s="445"/>
      <c r="Z848" s="445"/>
      <c r="AA848" s="445"/>
    </row>
    <row r="849" spans="1:27" s="447" customFormat="1" hidden="1" x14ac:dyDescent="0.25">
      <c r="A849" s="204"/>
      <c r="B849" s="454" t="s">
        <v>2112</v>
      </c>
      <c r="C849" s="454" t="s">
        <v>2112</v>
      </c>
      <c r="D849" s="455" t="s">
        <v>3937</v>
      </c>
      <c r="E849" s="455"/>
      <c r="F849" s="455"/>
      <c r="G849" s="456"/>
      <c r="H849" s="457"/>
      <c r="I849" s="455"/>
      <c r="J849" s="455"/>
      <c r="K849" s="455"/>
      <c r="L849" s="461" t="s">
        <v>2115</v>
      </c>
      <c r="M849" s="454" t="s">
        <v>2962</v>
      </c>
      <c r="N849" s="459">
        <f t="shared" si="112"/>
        <v>0</v>
      </c>
      <c r="O849" s="459">
        <f t="shared" si="113"/>
        <v>0</v>
      </c>
      <c r="P849" s="460">
        <f t="shared" si="114"/>
        <v>0</v>
      </c>
      <c r="Q849" s="445"/>
      <c r="R849" s="460"/>
      <c r="S849" s="460"/>
      <c r="T849" s="460"/>
      <c r="U849" s="460"/>
      <c r="V849" s="460"/>
      <c r="W849" s="460">
        <f t="shared" si="115"/>
        <v>0</v>
      </c>
      <c r="X849" s="460">
        <f t="shared" si="116"/>
        <v>0</v>
      </c>
      <c r="Y849" s="445"/>
      <c r="Z849" s="445"/>
      <c r="AA849" s="445"/>
    </row>
    <row r="850" spans="1:27" s="447" customFormat="1" hidden="1" x14ac:dyDescent="0.25">
      <c r="A850" s="204" t="s">
        <v>3681</v>
      </c>
      <c r="B850" s="462" t="s">
        <v>2118</v>
      </c>
      <c r="C850" s="462" t="s">
        <v>2118</v>
      </c>
      <c r="D850" s="463"/>
      <c r="E850" s="463"/>
      <c r="F850" s="463"/>
      <c r="G850" s="464"/>
      <c r="H850" s="465"/>
      <c r="I850" s="463"/>
      <c r="J850" s="463"/>
      <c r="K850" s="463"/>
      <c r="L850" s="466"/>
      <c r="M850" s="454" t="s">
        <v>2962</v>
      </c>
      <c r="N850" s="459">
        <f t="shared" si="112"/>
        <v>0</v>
      </c>
      <c r="O850" s="459">
        <f t="shared" si="113"/>
        <v>0</v>
      </c>
      <c r="P850" s="460">
        <f t="shared" si="114"/>
        <v>0</v>
      </c>
      <c r="Q850" s="445"/>
      <c r="R850" s="460"/>
      <c r="S850" s="460"/>
      <c r="T850" s="460"/>
      <c r="U850" s="460"/>
      <c r="V850" s="460"/>
      <c r="W850" s="460">
        <f t="shared" si="115"/>
        <v>0</v>
      </c>
      <c r="X850" s="460">
        <f t="shared" si="116"/>
        <v>0</v>
      </c>
      <c r="Y850" s="445"/>
      <c r="Z850" s="445"/>
      <c r="AA850" s="445"/>
    </row>
    <row r="851" spans="1:27" s="204" customFormat="1" x14ac:dyDescent="0.25">
      <c r="B851" s="381"/>
      <c r="C851" s="381"/>
      <c r="D851" s="382"/>
      <c r="E851" s="382"/>
      <c r="F851" s="382"/>
      <c r="G851" s="382"/>
      <c r="H851" s="382"/>
      <c r="I851" s="382"/>
      <c r="J851" s="382"/>
      <c r="K851" s="382"/>
      <c r="L851" s="275"/>
      <c r="M851" s="275"/>
      <c r="N851" s="383"/>
      <c r="O851" s="383"/>
      <c r="P851" s="384"/>
      <c r="Q851" s="211"/>
      <c r="R851" s="444"/>
      <c r="S851" s="444"/>
      <c r="T851" s="211"/>
      <c r="U851" s="211"/>
      <c r="V851" s="211"/>
      <c r="W851" s="211"/>
      <c r="X851" s="211"/>
      <c r="Y851" s="211"/>
      <c r="Z851" s="211"/>
      <c r="AA851" s="211"/>
    </row>
    <row r="852" spans="1:27" s="204" customFormat="1" x14ac:dyDescent="0.25">
      <c r="B852" s="246" t="s">
        <v>2122</v>
      </c>
      <c r="C852" s="292" t="s">
        <v>2123</v>
      </c>
      <c r="D852" s="247" t="s">
        <v>3938</v>
      </c>
      <c r="E852" s="247"/>
      <c r="F852" s="247"/>
      <c r="G852" s="247"/>
      <c r="H852" s="248"/>
      <c r="I852" s="247"/>
      <c r="J852" s="247"/>
      <c r="K852" s="249"/>
      <c r="L852" s="441" t="s">
        <v>2125</v>
      </c>
      <c r="M852" s="251" t="s">
        <v>2962</v>
      </c>
      <c r="N852" s="252">
        <f>+N856+N861+N862+N868+N855</f>
        <v>1471536</v>
      </c>
      <c r="O852" s="252">
        <f>+O856+O861+O862+O868+O855</f>
        <v>5205388</v>
      </c>
      <c r="P852" s="253">
        <f>+O852-N852</f>
        <v>3733852</v>
      </c>
      <c r="Q852" s="252">
        <f>+Q856+Q861+Q862+Q868+Q855</f>
        <v>0</v>
      </c>
      <c r="R852" s="252">
        <f>+R856+R861+R862+R868+R855</f>
        <v>1471536</v>
      </c>
      <c r="S852" s="252">
        <f>+S856+S861+S862+S868+S855</f>
        <v>0</v>
      </c>
      <c r="T852" s="252">
        <f>+T856+T861+T862+T868+T855</f>
        <v>4396209</v>
      </c>
      <c r="U852" s="252">
        <f>SUM(U855:U861)</f>
        <v>0</v>
      </c>
      <c r="V852" s="252">
        <f>+V856+V861+V862+V868+V855</f>
        <v>305027</v>
      </c>
      <c r="W852" s="252">
        <f>+W856+W861+W862+W868+W855</f>
        <v>0</v>
      </c>
      <c r="X852" s="252">
        <f>+X856+X861+X862+X868+X855</f>
        <v>5205388</v>
      </c>
      <c r="Y852" s="211"/>
      <c r="Z852" s="211"/>
      <c r="AA852" s="211"/>
    </row>
    <row r="853" spans="1:27" s="204" customFormat="1" x14ac:dyDescent="0.25"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32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</row>
    <row r="854" spans="1:27" s="204" customFormat="1" ht="63.75" x14ac:dyDescent="0.25">
      <c r="B854" s="260" t="s">
        <v>2968</v>
      </c>
      <c r="C854" s="260" t="s">
        <v>2969</v>
      </c>
      <c r="D854" s="206" t="s">
        <v>72</v>
      </c>
      <c r="E854" s="206"/>
      <c r="F854" s="206"/>
      <c r="G854" s="207"/>
      <c r="H854" s="207"/>
      <c r="I854" s="207"/>
      <c r="J854" s="207" t="s">
        <v>2957</v>
      </c>
      <c r="K854" s="206" t="s">
        <v>82</v>
      </c>
      <c r="L854" s="256" t="s">
        <v>3670</v>
      </c>
      <c r="M854" s="256"/>
      <c r="N854" s="256" t="str">
        <f>N$15</f>
        <v>Valore netto al 31/12/2019</v>
      </c>
      <c r="O854" s="256" t="str">
        <f>O$15</f>
        <v>Valore netto al 31/12/2020</v>
      </c>
      <c r="P854" s="256" t="str">
        <f>P$15</f>
        <v>Variazione</v>
      </c>
      <c r="Q854" s="262" t="s">
        <v>2971</v>
      </c>
      <c r="R854" s="442" t="s">
        <v>3877</v>
      </c>
      <c r="S854" s="262" t="s">
        <v>2972</v>
      </c>
      <c r="T854" s="442" t="s">
        <v>3913</v>
      </c>
      <c r="U854" s="442" t="s">
        <v>3914</v>
      </c>
      <c r="V854" s="442" t="s">
        <v>3915</v>
      </c>
      <c r="W854" s="262" t="s">
        <v>2975</v>
      </c>
      <c r="X854" s="442" t="s">
        <v>3883</v>
      </c>
      <c r="Y854" s="211"/>
      <c r="Z854" s="211"/>
      <c r="AA854" s="211"/>
    </row>
    <row r="855" spans="1:27" s="204" customFormat="1" ht="25.5" x14ac:dyDescent="0.25">
      <c r="A855" s="204" t="s">
        <v>3681</v>
      </c>
      <c r="B855" s="246" t="s">
        <v>2126</v>
      </c>
      <c r="C855" s="467" t="s">
        <v>2127</v>
      </c>
      <c r="D855" s="382"/>
      <c r="E855" s="382"/>
      <c r="F855" s="382"/>
      <c r="G855" s="382"/>
      <c r="H855" s="382"/>
      <c r="I855" s="382"/>
      <c r="J855" s="382"/>
      <c r="K855" s="382"/>
      <c r="L855" s="468" t="s">
        <v>2129</v>
      </c>
      <c r="M855" s="284" t="s">
        <v>2962</v>
      </c>
      <c r="N855" s="443">
        <f>+R855</f>
        <v>0</v>
      </c>
      <c r="O855" s="443">
        <f>+X855</f>
        <v>2975516</v>
      </c>
      <c r="P855" s="271">
        <f t="shared" ref="P855:P868" si="117">+O855-N855</f>
        <v>2975516</v>
      </c>
      <c r="Q855" s="272">
        <f>+'NI-San_SP'!Q855+'NI-Soc_SP'!Q855+'NI-Ric_SP'!Q855</f>
        <v>0</v>
      </c>
      <c r="R855" s="272">
        <f>+'NI-San_SP'!R855+'NI-Soc_SP'!R855+'NI-Ric_SP'!R855</f>
        <v>0</v>
      </c>
      <c r="S855" s="272">
        <f>+'NI-San_SP'!S855+'NI-Soc_SP'!S855+'NI-Ric_SP'!S855</f>
        <v>0</v>
      </c>
      <c r="T855" s="272">
        <f>+'NI-San_SP'!T855+'NI-Soc_SP'!T855+'NI-Ric_SP'!T855</f>
        <v>2975516</v>
      </c>
      <c r="U855" s="272">
        <f>+'NI-San_SP'!U855+'NI-Soc_SP'!U855+'NI-Ric_SP'!U855</f>
        <v>0</v>
      </c>
      <c r="V855" s="272">
        <f>+'NI-San_SP'!V855+'NI-Soc_SP'!V855+'NI-Ric_SP'!V855</f>
        <v>0</v>
      </c>
      <c r="W855" s="272">
        <f>+'NI-San_SP'!W855+'NI-Soc_SP'!W855+'NI-Ric_SP'!W855</f>
        <v>0</v>
      </c>
      <c r="X855" s="272">
        <f>+'NI-San_SP'!X855+'NI-Soc_SP'!X855+'NI-Ric_SP'!X855</f>
        <v>2975516</v>
      </c>
      <c r="Y855" s="211"/>
      <c r="Z855" s="211"/>
      <c r="AA855" s="211"/>
    </row>
    <row r="856" spans="1:27" s="204" customFormat="1" ht="48.75" customHeight="1" x14ac:dyDescent="0.25">
      <c r="B856" s="246" t="s">
        <v>2130</v>
      </c>
      <c r="C856" s="287" t="s">
        <v>2131</v>
      </c>
      <c r="D856" s="284" t="s">
        <v>3939</v>
      </c>
      <c r="E856" s="274"/>
      <c r="F856" s="274"/>
      <c r="G856" s="283"/>
      <c r="H856" s="266"/>
      <c r="I856" s="274"/>
      <c r="J856" s="281"/>
      <c r="K856" s="281"/>
      <c r="L856" s="469" t="s">
        <v>2134</v>
      </c>
      <c r="M856" s="284" t="s">
        <v>2962</v>
      </c>
      <c r="N856" s="470">
        <f>SUM(N857:N860)</f>
        <v>43697</v>
      </c>
      <c r="O856" s="470">
        <f>SUM(O857:O860)</f>
        <v>94291</v>
      </c>
      <c r="P856" s="378">
        <f t="shared" si="117"/>
        <v>50594</v>
      </c>
      <c r="Q856" s="272">
        <f>+'NI-San_SP'!Q856+'NI-Soc_SP'!Q856+'NI-Ric_SP'!Q856</f>
        <v>0</v>
      </c>
      <c r="R856" s="272">
        <f>+'NI-San_SP'!R856+'NI-Soc_SP'!R856+'NI-Ric_SP'!R856</f>
        <v>43697</v>
      </c>
      <c r="S856" s="272">
        <f>+'NI-San_SP'!S856+'NI-Soc_SP'!S856+'NI-Ric_SP'!S856</f>
        <v>0</v>
      </c>
      <c r="T856" s="272">
        <f>+'NI-San_SP'!T856+'NI-Soc_SP'!T856+'NI-Ric_SP'!T856</f>
        <v>50594</v>
      </c>
      <c r="U856" s="272">
        <f>+'NI-San_SP'!U856+'NI-Soc_SP'!U856+'NI-Ric_SP'!U856</f>
        <v>0</v>
      </c>
      <c r="V856" s="272">
        <f>+'NI-San_SP'!V856+'NI-Soc_SP'!V856+'NI-Ric_SP'!V856</f>
        <v>0</v>
      </c>
      <c r="W856" s="272">
        <f>+'NI-San_SP'!W856+'NI-Soc_SP'!W856+'NI-Ric_SP'!W856</f>
        <v>0</v>
      </c>
      <c r="X856" s="272">
        <f>+'NI-San_SP'!X856+'NI-Soc_SP'!X856+'NI-Ric_SP'!X856</f>
        <v>94291</v>
      </c>
      <c r="Y856" s="211"/>
      <c r="Z856" s="211"/>
      <c r="AA856" s="211"/>
    </row>
    <row r="857" spans="1:27" s="204" customFormat="1" ht="39" customHeight="1" x14ac:dyDescent="0.25">
      <c r="B857" s="246" t="s">
        <v>2135</v>
      </c>
      <c r="C857" s="287" t="s">
        <v>2136</v>
      </c>
      <c r="D857" s="284" t="s">
        <v>3940</v>
      </c>
      <c r="E857" s="274"/>
      <c r="F857" s="274"/>
      <c r="G857" s="283"/>
      <c r="H857" s="266"/>
      <c r="I857" s="274"/>
      <c r="J857" s="281"/>
      <c r="K857" s="281"/>
      <c r="L857" s="471" t="s">
        <v>3941</v>
      </c>
      <c r="M857" s="284" t="s">
        <v>2962</v>
      </c>
      <c r="N857" s="443">
        <f>+R857</f>
        <v>0</v>
      </c>
      <c r="O857" s="443">
        <f>+X857</f>
        <v>0</v>
      </c>
      <c r="P857" s="271">
        <f t="shared" si="117"/>
        <v>0</v>
      </c>
      <c r="Q857" s="272">
        <f>+'NI-San_SP'!Q857+'NI-Soc_SP'!Q857+'NI-Ric_SP'!Q857</f>
        <v>0</v>
      </c>
      <c r="R857" s="272">
        <f>+'NI-San_SP'!R857+'NI-Soc_SP'!R857+'NI-Ric_SP'!R857</f>
        <v>0</v>
      </c>
      <c r="S857" s="272">
        <f>+'NI-San_SP'!S857+'NI-Soc_SP'!S857+'NI-Ric_SP'!S857</f>
        <v>0</v>
      </c>
      <c r="T857" s="272">
        <f>+'NI-San_SP'!T857+'NI-Soc_SP'!T857+'NI-Ric_SP'!T857</f>
        <v>0</v>
      </c>
      <c r="U857" s="272">
        <f>+'NI-San_SP'!U857+'NI-Soc_SP'!U857+'NI-Ric_SP'!U857</f>
        <v>0</v>
      </c>
      <c r="V857" s="272">
        <f>+'NI-San_SP'!V857+'NI-Soc_SP'!V857+'NI-Ric_SP'!V857</f>
        <v>0</v>
      </c>
      <c r="W857" s="272">
        <f>+'NI-San_SP'!W857+'NI-Soc_SP'!W857+'NI-Ric_SP'!W857</f>
        <v>0</v>
      </c>
      <c r="X857" s="272">
        <f>+'NI-San_SP'!X857+'NI-Soc_SP'!X857+'NI-Ric_SP'!X857</f>
        <v>0</v>
      </c>
      <c r="Y857" s="211"/>
      <c r="Z857" s="211"/>
      <c r="AA857" s="211"/>
    </row>
    <row r="858" spans="1:27" s="204" customFormat="1" ht="40.5" customHeight="1" x14ac:dyDescent="0.25">
      <c r="B858" s="246" t="s">
        <v>2138</v>
      </c>
      <c r="C858" s="287" t="s">
        <v>2139</v>
      </c>
      <c r="D858" s="284" t="s">
        <v>3942</v>
      </c>
      <c r="E858" s="274"/>
      <c r="F858" s="274"/>
      <c r="G858" s="283"/>
      <c r="H858" s="266"/>
      <c r="I858" s="274"/>
      <c r="J858" s="281"/>
      <c r="K858" s="281"/>
      <c r="L858" s="471" t="s">
        <v>3943</v>
      </c>
      <c r="M858" s="284" t="s">
        <v>2962</v>
      </c>
      <c r="N858" s="443">
        <f>+R858</f>
        <v>24140</v>
      </c>
      <c r="O858" s="443">
        <f>+X858</f>
        <v>24140</v>
      </c>
      <c r="P858" s="271">
        <f t="shared" si="117"/>
        <v>0</v>
      </c>
      <c r="Q858" s="272">
        <f>+'NI-San_SP'!Q858+'NI-Soc_SP'!Q858+'NI-Ric_SP'!Q858</f>
        <v>0</v>
      </c>
      <c r="R858" s="272">
        <f>+'NI-San_SP'!R858+'NI-Soc_SP'!R858+'NI-Ric_SP'!R858</f>
        <v>24140</v>
      </c>
      <c r="S858" s="272">
        <f>+'NI-San_SP'!S858+'NI-Soc_SP'!S858+'NI-Ric_SP'!S858</f>
        <v>0</v>
      </c>
      <c r="T858" s="272">
        <f>+'NI-San_SP'!T858+'NI-Soc_SP'!T858+'NI-Ric_SP'!T858</f>
        <v>0</v>
      </c>
      <c r="U858" s="272">
        <f>+'NI-San_SP'!U858+'NI-Soc_SP'!U858+'NI-Ric_SP'!U858</f>
        <v>0</v>
      </c>
      <c r="V858" s="272">
        <f>+'NI-San_SP'!V858+'NI-Soc_SP'!V858+'NI-Ric_SP'!V858</f>
        <v>0</v>
      </c>
      <c r="W858" s="272">
        <f>+'NI-San_SP'!W858+'NI-Soc_SP'!W858+'NI-Ric_SP'!W858</f>
        <v>0</v>
      </c>
      <c r="X858" s="272">
        <f>+'NI-San_SP'!X858+'NI-Soc_SP'!X858+'NI-Ric_SP'!X858</f>
        <v>24140</v>
      </c>
      <c r="Y858" s="211"/>
      <c r="Z858" s="211"/>
      <c r="AA858" s="211"/>
    </row>
    <row r="859" spans="1:27" s="204" customFormat="1" ht="25.5" x14ac:dyDescent="0.25">
      <c r="B859" s="246" t="s">
        <v>2141</v>
      </c>
      <c r="C859" s="287" t="s">
        <v>2142</v>
      </c>
      <c r="D859" s="284" t="s">
        <v>3944</v>
      </c>
      <c r="E859" s="274"/>
      <c r="F859" s="274"/>
      <c r="G859" s="283"/>
      <c r="H859" s="266"/>
      <c r="I859" s="274"/>
      <c r="J859" s="281"/>
      <c r="K859" s="281"/>
      <c r="L859" s="471" t="s">
        <v>3945</v>
      </c>
      <c r="M859" s="284" t="s">
        <v>2962</v>
      </c>
      <c r="N859" s="443">
        <f>+R859</f>
        <v>0</v>
      </c>
      <c r="O859" s="443">
        <f>+X859</f>
        <v>0</v>
      </c>
      <c r="P859" s="271">
        <f t="shared" si="117"/>
        <v>0</v>
      </c>
      <c r="Q859" s="272">
        <f>+'NI-San_SP'!Q859+'NI-Soc_SP'!Q859+'NI-Ric_SP'!Q859</f>
        <v>0</v>
      </c>
      <c r="R859" s="272">
        <f>+'NI-San_SP'!R859+'NI-Soc_SP'!R859+'NI-Ric_SP'!R859</f>
        <v>0</v>
      </c>
      <c r="S859" s="272">
        <f>+'NI-San_SP'!S859+'NI-Soc_SP'!S859+'NI-Ric_SP'!S859</f>
        <v>0</v>
      </c>
      <c r="T859" s="272">
        <f>+'NI-San_SP'!T859+'NI-Soc_SP'!T859+'NI-Ric_SP'!T859</f>
        <v>0</v>
      </c>
      <c r="U859" s="272">
        <f>+'NI-San_SP'!U859+'NI-Soc_SP'!U859+'NI-Ric_SP'!U859</f>
        <v>0</v>
      </c>
      <c r="V859" s="272">
        <f>+'NI-San_SP'!V859+'NI-Soc_SP'!V859+'NI-Ric_SP'!V859</f>
        <v>0</v>
      </c>
      <c r="W859" s="272">
        <f>+'NI-San_SP'!W859+'NI-Soc_SP'!W859+'NI-Ric_SP'!W859</f>
        <v>0</v>
      </c>
      <c r="X859" s="272">
        <f>+'NI-San_SP'!X859+'NI-Soc_SP'!X859+'NI-Ric_SP'!X859</f>
        <v>0</v>
      </c>
      <c r="Y859" s="211"/>
      <c r="Z859" s="211"/>
      <c r="AA859" s="211"/>
    </row>
    <row r="860" spans="1:27" s="204" customFormat="1" ht="25.5" x14ac:dyDescent="0.25">
      <c r="B860" s="246" t="s">
        <v>2144</v>
      </c>
      <c r="C860" s="287" t="s">
        <v>2145</v>
      </c>
      <c r="D860" s="284" t="s">
        <v>3946</v>
      </c>
      <c r="E860" s="274"/>
      <c r="F860" s="274"/>
      <c r="G860" s="283"/>
      <c r="H860" s="266"/>
      <c r="I860" s="274"/>
      <c r="J860" s="281"/>
      <c r="K860" s="281"/>
      <c r="L860" s="471" t="s">
        <v>3947</v>
      </c>
      <c r="M860" s="284" t="s">
        <v>2962</v>
      </c>
      <c r="N860" s="443">
        <f>+R860</f>
        <v>19557</v>
      </c>
      <c r="O860" s="443">
        <f>+X860</f>
        <v>70151</v>
      </c>
      <c r="P860" s="271">
        <f t="shared" si="117"/>
        <v>50594</v>
      </c>
      <c r="Q860" s="272">
        <f>+'NI-San_SP'!Q860+'NI-Soc_SP'!Q860+'NI-Ric_SP'!Q860</f>
        <v>0</v>
      </c>
      <c r="R860" s="272">
        <f>+'NI-San_SP'!R860+'NI-Soc_SP'!R860+'NI-Ric_SP'!R860</f>
        <v>19557</v>
      </c>
      <c r="S860" s="272">
        <f>+'NI-San_SP'!S860+'NI-Soc_SP'!S860+'NI-Ric_SP'!S860</f>
        <v>0</v>
      </c>
      <c r="T860" s="272">
        <f>+'NI-San_SP'!T860+'NI-Soc_SP'!T860+'NI-Ric_SP'!T860</f>
        <v>50594</v>
      </c>
      <c r="U860" s="272">
        <f>+'NI-San_SP'!U860+'NI-Soc_SP'!U860+'NI-Ric_SP'!U860</f>
        <v>0</v>
      </c>
      <c r="V860" s="272">
        <f>+'NI-San_SP'!V860+'NI-Soc_SP'!V860+'NI-Ric_SP'!V860</f>
        <v>0</v>
      </c>
      <c r="W860" s="272">
        <f>+'NI-San_SP'!W860+'NI-Soc_SP'!W860+'NI-Ric_SP'!W860</f>
        <v>0</v>
      </c>
      <c r="X860" s="272">
        <f>+'NI-San_SP'!X860+'NI-Soc_SP'!X860+'NI-Ric_SP'!X860</f>
        <v>70151</v>
      </c>
      <c r="Y860" s="211"/>
      <c r="Z860" s="211"/>
      <c r="AA860" s="211"/>
    </row>
    <row r="861" spans="1:27" s="204" customFormat="1" x14ac:dyDescent="0.25">
      <c r="B861" s="246" t="s">
        <v>2147</v>
      </c>
      <c r="C861" s="287" t="s">
        <v>2148</v>
      </c>
      <c r="D861" s="284" t="s">
        <v>3948</v>
      </c>
      <c r="E861" s="274"/>
      <c r="F861" s="274"/>
      <c r="G861" s="283"/>
      <c r="H861" s="266"/>
      <c r="I861" s="274"/>
      <c r="J861" s="281"/>
      <c r="K861" s="281"/>
      <c r="L861" s="469" t="s">
        <v>3949</v>
      </c>
      <c r="M861" s="284" t="s">
        <v>2962</v>
      </c>
      <c r="N861" s="443">
        <f>+R861</f>
        <v>3393</v>
      </c>
      <c r="O861" s="443">
        <f>+X861</f>
        <v>35608</v>
      </c>
      <c r="P861" s="271">
        <f t="shared" si="117"/>
        <v>32215</v>
      </c>
      <c r="Q861" s="272">
        <f>+'NI-San_SP'!Q861+'NI-Soc_SP'!Q861+'NI-Ric_SP'!Q861</f>
        <v>0</v>
      </c>
      <c r="R861" s="272">
        <f>+'NI-San_SP'!R861+'NI-Soc_SP'!R861+'NI-Ric_SP'!R861</f>
        <v>3393</v>
      </c>
      <c r="S861" s="272">
        <f>+'NI-San_SP'!S861+'NI-Soc_SP'!S861+'NI-Ric_SP'!S861</f>
        <v>0</v>
      </c>
      <c r="T861" s="272">
        <f>+'NI-San_SP'!T861+'NI-Soc_SP'!T861+'NI-Ric_SP'!T861</f>
        <v>32215</v>
      </c>
      <c r="U861" s="272">
        <f>+'NI-San_SP'!U861+'NI-Soc_SP'!U861+'NI-Ric_SP'!U861</f>
        <v>0</v>
      </c>
      <c r="V861" s="272">
        <f>+'NI-San_SP'!V861+'NI-Soc_SP'!V861+'NI-Ric_SP'!V861</f>
        <v>0</v>
      </c>
      <c r="W861" s="272">
        <f>+'NI-San_SP'!W861+'NI-Soc_SP'!W861+'NI-Ric_SP'!W861</f>
        <v>0</v>
      </c>
      <c r="X861" s="272">
        <f>+'NI-San_SP'!X861+'NI-Soc_SP'!X861+'NI-Ric_SP'!X861</f>
        <v>35608</v>
      </c>
      <c r="Y861" s="211"/>
      <c r="Z861" s="211"/>
      <c r="AA861" s="211"/>
    </row>
    <row r="862" spans="1:27" s="204" customFormat="1" x14ac:dyDescent="0.25">
      <c r="B862" s="246" t="s">
        <v>2152</v>
      </c>
      <c r="C862" s="287" t="s">
        <v>2153</v>
      </c>
      <c r="D862" s="284" t="s">
        <v>3950</v>
      </c>
      <c r="E862" s="274"/>
      <c r="F862" s="274"/>
      <c r="G862" s="283"/>
      <c r="H862" s="266"/>
      <c r="I862" s="274"/>
      <c r="J862" s="281"/>
      <c r="K862" s="281"/>
      <c r="L862" s="469" t="s">
        <v>3951</v>
      </c>
      <c r="M862" s="284" t="s">
        <v>2962</v>
      </c>
      <c r="N862" s="470">
        <f>SUM(N863:N867)</f>
        <v>0</v>
      </c>
      <c r="O862" s="470">
        <f>SUM(O863:O867)</f>
        <v>0</v>
      </c>
      <c r="P862" s="378">
        <f t="shared" si="117"/>
        <v>0</v>
      </c>
      <c r="Q862" s="272">
        <f>+'NI-San_SP'!Q862+'NI-Soc_SP'!Q862+'NI-Ric_SP'!Q862</f>
        <v>0</v>
      </c>
      <c r="R862" s="272">
        <f>+'NI-San_SP'!R862+'NI-Soc_SP'!R862+'NI-Ric_SP'!R862</f>
        <v>0</v>
      </c>
      <c r="S862" s="272">
        <f>+'NI-San_SP'!S862+'NI-Soc_SP'!S862+'NI-Ric_SP'!S862</f>
        <v>0</v>
      </c>
      <c r="T862" s="272">
        <f>+'NI-San_SP'!T862+'NI-Soc_SP'!T862+'NI-Ric_SP'!T862</f>
        <v>0</v>
      </c>
      <c r="U862" s="272">
        <f>+'NI-San_SP'!U862+'NI-Soc_SP'!U862+'NI-Ric_SP'!U862</f>
        <v>0</v>
      </c>
      <c r="V862" s="272">
        <f>+'NI-San_SP'!V862+'NI-Soc_SP'!V862+'NI-Ric_SP'!V862</f>
        <v>0</v>
      </c>
      <c r="W862" s="272">
        <f>+'NI-San_SP'!W862+'NI-Soc_SP'!W862+'NI-Ric_SP'!W862</f>
        <v>0</v>
      </c>
      <c r="X862" s="272">
        <f>+'NI-San_SP'!X862+'NI-Soc_SP'!X862+'NI-Ric_SP'!X862</f>
        <v>0</v>
      </c>
      <c r="Y862" s="211"/>
      <c r="Z862" s="211"/>
      <c r="AA862" s="211"/>
    </row>
    <row r="863" spans="1:27" s="204" customFormat="1" ht="25.5" x14ac:dyDescent="0.25">
      <c r="B863" s="246" t="s">
        <v>2157</v>
      </c>
      <c r="C863" s="287" t="s">
        <v>2158</v>
      </c>
      <c r="D863" s="284" t="s">
        <v>3952</v>
      </c>
      <c r="E863" s="274"/>
      <c r="F863" s="274"/>
      <c r="G863" s="283"/>
      <c r="H863" s="266"/>
      <c r="I863" s="274"/>
      <c r="J863" s="281"/>
      <c r="K863" s="281"/>
      <c r="L863" s="471" t="s">
        <v>3953</v>
      </c>
      <c r="M863" s="284" t="s">
        <v>2962</v>
      </c>
      <c r="N863" s="443">
        <f t="shared" ref="N863:N868" si="118">+R863</f>
        <v>0</v>
      </c>
      <c r="O863" s="443">
        <f t="shared" ref="O863:O868" si="119">+X863</f>
        <v>0</v>
      </c>
      <c r="P863" s="271">
        <f t="shared" si="117"/>
        <v>0</v>
      </c>
      <c r="Q863" s="272">
        <f>+'NI-San_SP'!Q863+'NI-Soc_SP'!Q863+'NI-Ric_SP'!Q863</f>
        <v>0</v>
      </c>
      <c r="R863" s="272">
        <f>+'NI-San_SP'!R863+'NI-Soc_SP'!R863+'NI-Ric_SP'!R863</f>
        <v>0</v>
      </c>
      <c r="S863" s="272">
        <f>+'NI-San_SP'!S863+'NI-Soc_SP'!S863+'NI-Ric_SP'!S863</f>
        <v>0</v>
      </c>
      <c r="T863" s="272">
        <f>+'NI-San_SP'!T863+'NI-Soc_SP'!T863+'NI-Ric_SP'!T863</f>
        <v>0</v>
      </c>
      <c r="U863" s="272">
        <f>+'NI-San_SP'!U863+'NI-Soc_SP'!U863+'NI-Ric_SP'!U863</f>
        <v>0</v>
      </c>
      <c r="V863" s="272">
        <f>+'NI-San_SP'!V863+'NI-Soc_SP'!V863+'NI-Ric_SP'!V863</f>
        <v>0</v>
      </c>
      <c r="W863" s="272">
        <f>+'NI-San_SP'!W863+'NI-Soc_SP'!W863+'NI-Ric_SP'!W863</f>
        <v>0</v>
      </c>
      <c r="X863" s="272">
        <f>+'NI-San_SP'!X863+'NI-Soc_SP'!X863+'NI-Ric_SP'!X863</f>
        <v>0</v>
      </c>
      <c r="Y863" s="211"/>
      <c r="Z863" s="211"/>
      <c r="AA863" s="211"/>
    </row>
    <row r="864" spans="1:27" s="204" customFormat="1" ht="25.5" x14ac:dyDescent="0.25">
      <c r="B864" s="246" t="s">
        <v>2160</v>
      </c>
      <c r="C864" s="287" t="s">
        <v>2161</v>
      </c>
      <c r="D864" s="284" t="s">
        <v>3954</v>
      </c>
      <c r="E864" s="274"/>
      <c r="F864" s="274"/>
      <c r="G864" s="283"/>
      <c r="H864" s="266"/>
      <c r="I864" s="274"/>
      <c r="J864" s="281"/>
      <c r="K864" s="281"/>
      <c r="L864" s="471" t="s">
        <v>3955</v>
      </c>
      <c r="M864" s="284" t="s">
        <v>2962</v>
      </c>
      <c r="N864" s="443">
        <f t="shared" si="118"/>
        <v>0</v>
      </c>
      <c r="O864" s="443">
        <f t="shared" si="119"/>
        <v>0</v>
      </c>
      <c r="P864" s="271">
        <f t="shared" si="117"/>
        <v>0</v>
      </c>
      <c r="Q864" s="272">
        <f>+'NI-San_SP'!Q864+'NI-Soc_SP'!Q864+'NI-Ric_SP'!Q864</f>
        <v>0</v>
      </c>
      <c r="R864" s="272">
        <f>+'NI-San_SP'!R864+'NI-Soc_SP'!R864+'NI-Ric_SP'!R864</f>
        <v>0</v>
      </c>
      <c r="S864" s="272">
        <f>+'NI-San_SP'!S864+'NI-Soc_SP'!S864+'NI-Ric_SP'!S864</f>
        <v>0</v>
      </c>
      <c r="T864" s="272">
        <f>+'NI-San_SP'!T864+'NI-Soc_SP'!T864+'NI-Ric_SP'!T864</f>
        <v>0</v>
      </c>
      <c r="U864" s="272">
        <f>+'NI-San_SP'!U864+'NI-Soc_SP'!U864+'NI-Ric_SP'!U864</f>
        <v>0</v>
      </c>
      <c r="V864" s="272">
        <f>+'NI-San_SP'!V864+'NI-Soc_SP'!V864+'NI-Ric_SP'!V864</f>
        <v>0</v>
      </c>
      <c r="W864" s="272">
        <f>+'NI-San_SP'!W864+'NI-Soc_SP'!W864+'NI-Ric_SP'!W864</f>
        <v>0</v>
      </c>
      <c r="X864" s="272">
        <f>+'NI-San_SP'!X864+'NI-Soc_SP'!X864+'NI-Ric_SP'!X864</f>
        <v>0</v>
      </c>
      <c r="Y864" s="211"/>
      <c r="Z864" s="211"/>
      <c r="AA864" s="211"/>
    </row>
    <row r="865" spans="2:27" s="204" customFormat="1" ht="25.5" x14ac:dyDescent="0.25">
      <c r="B865" s="246" t="s">
        <v>2163</v>
      </c>
      <c r="C865" s="287" t="s">
        <v>2164</v>
      </c>
      <c r="D865" s="284" t="s">
        <v>3956</v>
      </c>
      <c r="E865" s="274"/>
      <c r="F865" s="274"/>
      <c r="G865" s="283"/>
      <c r="H865" s="266"/>
      <c r="I865" s="274"/>
      <c r="J865" s="281"/>
      <c r="K865" s="281"/>
      <c r="L865" s="471" t="s">
        <v>3957</v>
      </c>
      <c r="M865" s="284" t="s">
        <v>2962</v>
      </c>
      <c r="N865" s="443">
        <f t="shared" si="118"/>
        <v>0</v>
      </c>
      <c r="O865" s="443">
        <f t="shared" si="119"/>
        <v>0</v>
      </c>
      <c r="P865" s="271">
        <f t="shared" si="117"/>
        <v>0</v>
      </c>
      <c r="Q865" s="272">
        <f>+'NI-San_SP'!Q865+'NI-Soc_SP'!Q865+'NI-Ric_SP'!Q865</f>
        <v>0</v>
      </c>
      <c r="R865" s="272">
        <f>+'NI-San_SP'!R865+'NI-Soc_SP'!R865+'NI-Ric_SP'!R865</f>
        <v>0</v>
      </c>
      <c r="S865" s="272">
        <f>+'NI-San_SP'!S865+'NI-Soc_SP'!S865+'NI-Ric_SP'!S865</f>
        <v>0</v>
      </c>
      <c r="T865" s="272">
        <f>+'NI-San_SP'!T865+'NI-Soc_SP'!T865+'NI-Ric_SP'!T865</f>
        <v>0</v>
      </c>
      <c r="U865" s="272">
        <f>+'NI-San_SP'!U865+'NI-Soc_SP'!U865+'NI-Ric_SP'!U865</f>
        <v>0</v>
      </c>
      <c r="V865" s="272">
        <f>+'NI-San_SP'!V865+'NI-Soc_SP'!V865+'NI-Ric_SP'!V865</f>
        <v>0</v>
      </c>
      <c r="W865" s="272">
        <f>+'NI-San_SP'!W865+'NI-Soc_SP'!W865+'NI-Ric_SP'!W865</f>
        <v>0</v>
      </c>
      <c r="X865" s="272">
        <f>+'NI-San_SP'!X865+'NI-Soc_SP'!X865+'NI-Ric_SP'!X865</f>
        <v>0</v>
      </c>
      <c r="Y865" s="211"/>
      <c r="Z865" s="211"/>
      <c r="AA865" s="211"/>
    </row>
    <row r="866" spans="2:27" s="204" customFormat="1" ht="25.5" x14ac:dyDescent="0.25">
      <c r="B866" s="246" t="s">
        <v>2166</v>
      </c>
      <c r="C866" s="287" t="s">
        <v>2167</v>
      </c>
      <c r="D866" s="284" t="s">
        <v>3958</v>
      </c>
      <c r="E866" s="274"/>
      <c r="F866" s="274"/>
      <c r="G866" s="283"/>
      <c r="H866" s="266"/>
      <c r="I866" s="274"/>
      <c r="J866" s="281"/>
      <c r="K866" s="281"/>
      <c r="L866" s="471" t="s">
        <v>3959</v>
      </c>
      <c r="M866" s="284" t="s">
        <v>2962</v>
      </c>
      <c r="N866" s="443">
        <f t="shared" si="118"/>
        <v>0</v>
      </c>
      <c r="O866" s="443">
        <f t="shared" si="119"/>
        <v>0</v>
      </c>
      <c r="P866" s="271">
        <f t="shared" si="117"/>
        <v>0</v>
      </c>
      <c r="Q866" s="272">
        <f>+'NI-San_SP'!Q866+'NI-Soc_SP'!Q866+'NI-Ric_SP'!Q866</f>
        <v>0</v>
      </c>
      <c r="R866" s="272">
        <f>+'NI-San_SP'!R866+'NI-Soc_SP'!R866+'NI-Ric_SP'!R866</f>
        <v>0</v>
      </c>
      <c r="S866" s="272">
        <f>+'NI-San_SP'!S866+'NI-Soc_SP'!S866+'NI-Ric_SP'!S866</f>
        <v>0</v>
      </c>
      <c r="T866" s="272">
        <f>+'NI-San_SP'!T866+'NI-Soc_SP'!T866+'NI-Ric_SP'!T866</f>
        <v>0</v>
      </c>
      <c r="U866" s="272">
        <f>+'NI-San_SP'!U866+'NI-Soc_SP'!U866+'NI-Ric_SP'!U866</f>
        <v>0</v>
      </c>
      <c r="V866" s="272">
        <f>+'NI-San_SP'!V866+'NI-Soc_SP'!V866+'NI-Ric_SP'!V866</f>
        <v>0</v>
      </c>
      <c r="W866" s="272">
        <f>+'NI-San_SP'!W866+'NI-Soc_SP'!W866+'NI-Ric_SP'!W866</f>
        <v>0</v>
      </c>
      <c r="X866" s="272">
        <f>+'NI-San_SP'!X866+'NI-Soc_SP'!X866+'NI-Ric_SP'!X866</f>
        <v>0</v>
      </c>
      <c r="Y866" s="211"/>
      <c r="Z866" s="211"/>
      <c r="AA866" s="211"/>
    </row>
    <row r="867" spans="2:27" s="204" customFormat="1" ht="25.5" x14ac:dyDescent="0.25">
      <c r="B867" s="246" t="s">
        <v>2169</v>
      </c>
      <c r="C867" s="287" t="s">
        <v>2170</v>
      </c>
      <c r="D867" s="284" t="s">
        <v>3960</v>
      </c>
      <c r="E867" s="274"/>
      <c r="F867" s="274"/>
      <c r="G867" s="283"/>
      <c r="H867" s="266"/>
      <c r="I867" s="274"/>
      <c r="J867" s="281"/>
      <c r="K867" s="281"/>
      <c r="L867" s="471" t="s">
        <v>3961</v>
      </c>
      <c r="M867" s="284" t="s">
        <v>2962</v>
      </c>
      <c r="N867" s="443">
        <f t="shared" si="118"/>
        <v>0</v>
      </c>
      <c r="O867" s="443">
        <f t="shared" si="119"/>
        <v>0</v>
      </c>
      <c r="P867" s="271">
        <f t="shared" si="117"/>
        <v>0</v>
      </c>
      <c r="Q867" s="272">
        <f>+'NI-San_SP'!Q867+'NI-Soc_SP'!Q867+'NI-Ric_SP'!Q867</f>
        <v>0</v>
      </c>
      <c r="R867" s="272">
        <f>+'NI-San_SP'!R867+'NI-Soc_SP'!R867+'NI-Ric_SP'!R867</f>
        <v>0</v>
      </c>
      <c r="S867" s="272">
        <f>+'NI-San_SP'!S867+'NI-Soc_SP'!S867+'NI-Ric_SP'!S867</f>
        <v>0</v>
      </c>
      <c r="T867" s="272">
        <f>+'NI-San_SP'!T867+'NI-Soc_SP'!T867+'NI-Ric_SP'!T867</f>
        <v>0</v>
      </c>
      <c r="U867" s="272">
        <f>+'NI-San_SP'!U867+'NI-Soc_SP'!U867+'NI-Ric_SP'!U867</f>
        <v>0</v>
      </c>
      <c r="V867" s="272">
        <f>+'NI-San_SP'!V867+'NI-Soc_SP'!V867+'NI-Ric_SP'!V867</f>
        <v>0</v>
      </c>
      <c r="W867" s="272">
        <f>+'NI-San_SP'!W867+'NI-Soc_SP'!W867+'NI-Ric_SP'!W867</f>
        <v>0</v>
      </c>
      <c r="X867" s="272">
        <f>+'NI-San_SP'!X867+'NI-Soc_SP'!X867+'NI-Ric_SP'!X867</f>
        <v>0</v>
      </c>
      <c r="Y867" s="211"/>
      <c r="Z867" s="211"/>
      <c r="AA867" s="211"/>
    </row>
    <row r="868" spans="2:27" s="204" customFormat="1" x14ac:dyDescent="0.25">
      <c r="B868" s="246" t="s">
        <v>2172</v>
      </c>
      <c r="C868" s="287" t="s">
        <v>2173</v>
      </c>
      <c r="D868" s="284" t="s">
        <v>3962</v>
      </c>
      <c r="E868" s="274"/>
      <c r="F868" s="274"/>
      <c r="G868" s="283"/>
      <c r="H868" s="266"/>
      <c r="I868" s="274"/>
      <c r="J868" s="281"/>
      <c r="K868" s="281"/>
      <c r="L868" s="469" t="s">
        <v>3963</v>
      </c>
      <c r="M868" s="284" t="s">
        <v>2962</v>
      </c>
      <c r="N868" s="443">
        <f t="shared" si="118"/>
        <v>1424446</v>
      </c>
      <c r="O868" s="443">
        <f t="shared" si="119"/>
        <v>2099973</v>
      </c>
      <c r="P868" s="271">
        <f t="shared" si="117"/>
        <v>675527</v>
      </c>
      <c r="Q868" s="272">
        <f>+'NI-San_SP'!Q868+'NI-Soc_SP'!Q868+'NI-Ric_SP'!Q868</f>
        <v>0</v>
      </c>
      <c r="R868" s="272">
        <f>+'NI-San_SP'!R868+'NI-Soc_SP'!R868+'NI-Ric_SP'!R868</f>
        <v>1424446</v>
      </c>
      <c r="S868" s="272">
        <f>+'NI-San_SP'!S868+'NI-Soc_SP'!S868+'NI-Ric_SP'!S868</f>
        <v>0</v>
      </c>
      <c r="T868" s="272">
        <f>+'NI-San_SP'!T868+'NI-Soc_SP'!T868+'NI-Ric_SP'!T868</f>
        <v>1337884</v>
      </c>
      <c r="U868" s="272">
        <f>+'NI-San_SP'!U868+'NI-Soc_SP'!U868+'NI-Ric_SP'!U868</f>
        <v>-357330</v>
      </c>
      <c r="V868" s="272">
        <f>+'NI-San_SP'!V868+'NI-Soc_SP'!V868+'NI-Ric_SP'!V868</f>
        <v>305027</v>
      </c>
      <c r="W868" s="272">
        <f>+'NI-San_SP'!W868+'NI-Soc_SP'!W868+'NI-Ric_SP'!W868</f>
        <v>0</v>
      </c>
      <c r="X868" s="272">
        <f>+'NI-San_SP'!X868+'NI-Soc_SP'!X868+'NI-Ric_SP'!X868</f>
        <v>2099973</v>
      </c>
      <c r="Y868" s="211"/>
      <c r="Z868" s="211"/>
      <c r="AA868" s="211"/>
    </row>
    <row r="869" spans="2:27" s="204" customFormat="1" x14ac:dyDescent="0.25">
      <c r="B869" s="384"/>
      <c r="C869" s="384"/>
      <c r="D869" s="382"/>
      <c r="E869" s="382"/>
      <c r="F869" s="382"/>
      <c r="G869" s="382"/>
      <c r="H869" s="382"/>
      <c r="I869" s="382"/>
      <c r="J869" s="382"/>
      <c r="K869" s="382"/>
      <c r="L869" s="275"/>
      <c r="M869" s="275"/>
      <c r="N869" s="383"/>
      <c r="O869" s="383"/>
      <c r="P869" s="384"/>
      <c r="Q869" s="211"/>
      <c r="R869" s="444"/>
      <c r="S869" s="444"/>
      <c r="T869" s="211"/>
      <c r="U869" s="211"/>
      <c r="V869" s="211"/>
      <c r="W869" s="211"/>
      <c r="X869" s="211"/>
      <c r="Y869" s="211"/>
      <c r="Z869" s="211"/>
      <c r="AA869" s="211"/>
    </row>
    <row r="870" spans="2:27" s="204" customFormat="1" x14ac:dyDescent="0.25"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32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</row>
    <row r="871" spans="2:27" s="204" customFormat="1" x14ac:dyDescent="0.25">
      <c r="B871" s="246" t="s">
        <v>2177</v>
      </c>
      <c r="C871" s="246" t="s">
        <v>2178</v>
      </c>
      <c r="D871" s="247" t="s">
        <v>3964</v>
      </c>
      <c r="E871" s="247"/>
      <c r="F871" s="247"/>
      <c r="G871" s="247"/>
      <c r="H871" s="248"/>
      <c r="I871" s="247"/>
      <c r="J871" s="247"/>
      <c r="K871" s="249"/>
      <c r="L871" s="441" t="s">
        <v>2180</v>
      </c>
      <c r="M871" s="251" t="s">
        <v>2962</v>
      </c>
      <c r="N871" s="252">
        <f>+N874+N877+N884+N885+N886</f>
        <v>4038059</v>
      </c>
      <c r="O871" s="252">
        <f>+O874+O877+O884+O885+O886</f>
        <v>2497221</v>
      </c>
      <c r="P871" s="253">
        <f>+O871-N871</f>
        <v>-1540838</v>
      </c>
      <c r="Q871" s="252">
        <f t="shared" ref="Q871:X871" si="120">+Q874+Q877+Q884+Q885+Q886</f>
        <v>0</v>
      </c>
      <c r="R871" s="252">
        <f t="shared" si="120"/>
        <v>4038059</v>
      </c>
      <c r="S871" s="252">
        <f t="shared" si="120"/>
        <v>0</v>
      </c>
      <c r="T871" s="252">
        <f t="shared" si="120"/>
        <v>1379890</v>
      </c>
      <c r="U871" s="252">
        <f t="shared" si="120"/>
        <v>1343</v>
      </c>
      <c r="V871" s="252">
        <f t="shared" si="120"/>
        <v>2922071</v>
      </c>
      <c r="W871" s="252">
        <f t="shared" si="120"/>
        <v>0</v>
      </c>
      <c r="X871" s="252">
        <f t="shared" si="120"/>
        <v>2497221</v>
      </c>
      <c r="Y871" s="211"/>
      <c r="Z871" s="211"/>
      <c r="AA871" s="211"/>
    </row>
    <row r="872" spans="2:27" s="204" customFormat="1" x14ac:dyDescent="0.25"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32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</row>
    <row r="873" spans="2:27" s="204" customFormat="1" ht="63.75" x14ac:dyDescent="0.25">
      <c r="B873" s="260" t="s">
        <v>2968</v>
      </c>
      <c r="C873" s="260" t="s">
        <v>2969</v>
      </c>
      <c r="D873" s="206" t="s">
        <v>72</v>
      </c>
      <c r="E873" s="206"/>
      <c r="F873" s="206"/>
      <c r="G873" s="207"/>
      <c r="H873" s="207"/>
      <c r="I873" s="207"/>
      <c r="J873" s="207" t="s">
        <v>2957</v>
      </c>
      <c r="K873" s="206" t="s">
        <v>82</v>
      </c>
      <c r="L873" s="261" t="s">
        <v>3670</v>
      </c>
      <c r="M873" s="256"/>
      <c r="N873" s="256" t="str">
        <f>N$15</f>
        <v>Valore netto al 31/12/2019</v>
      </c>
      <c r="O873" s="256" t="str">
        <f>O$15</f>
        <v>Valore netto al 31/12/2020</v>
      </c>
      <c r="P873" s="256" t="str">
        <f>P$15</f>
        <v>Variazione</v>
      </c>
      <c r="Q873" s="262" t="s">
        <v>2971</v>
      </c>
      <c r="R873" s="442" t="s">
        <v>3877</v>
      </c>
      <c r="S873" s="262" t="s">
        <v>2972</v>
      </c>
      <c r="T873" s="442" t="s">
        <v>3913</v>
      </c>
      <c r="U873" s="442" t="s">
        <v>3914</v>
      </c>
      <c r="V873" s="442" t="s">
        <v>3915</v>
      </c>
      <c r="W873" s="262" t="s">
        <v>2975</v>
      </c>
      <c r="X873" s="442" t="s">
        <v>3883</v>
      </c>
      <c r="Y873" s="211"/>
      <c r="Z873" s="211"/>
      <c r="AA873" s="211"/>
    </row>
    <row r="874" spans="2:27" s="204" customFormat="1" x14ac:dyDescent="0.25">
      <c r="B874" s="246" t="s">
        <v>2181</v>
      </c>
      <c r="C874" s="287" t="s">
        <v>2182</v>
      </c>
      <c r="D874" s="472" t="s">
        <v>3965</v>
      </c>
      <c r="E874" s="274"/>
      <c r="F874" s="274"/>
      <c r="G874" s="283"/>
      <c r="H874" s="266"/>
      <c r="I874" s="274"/>
      <c r="J874" s="281"/>
      <c r="K874" s="281"/>
      <c r="L874" s="473" t="s">
        <v>2185</v>
      </c>
      <c r="M874" s="284" t="s">
        <v>2962</v>
      </c>
      <c r="N874" s="470">
        <f>SUM(N875:N876)</f>
        <v>0</v>
      </c>
      <c r="O874" s="470">
        <f>SUM(O875:O876)</f>
        <v>0</v>
      </c>
      <c r="P874" s="378">
        <f t="shared" ref="P874:P886" si="121">+O874-N874</f>
        <v>0</v>
      </c>
      <c r="Q874" s="272">
        <f>+'NI-San_SP'!Q874+'NI-Soc_SP'!Q874+'NI-Ric_SP'!Q874</f>
        <v>0</v>
      </c>
      <c r="R874" s="272">
        <f>+'NI-San_SP'!R874+'NI-Soc_SP'!R874+'NI-Ric_SP'!R874</f>
        <v>0</v>
      </c>
      <c r="S874" s="272">
        <f>+'NI-San_SP'!S874+'NI-Soc_SP'!S874+'NI-Ric_SP'!S874</f>
        <v>0</v>
      </c>
      <c r="T874" s="272">
        <f>+'NI-San_SP'!T874+'NI-Soc_SP'!T874+'NI-Ric_SP'!T874</f>
        <v>0</v>
      </c>
      <c r="U874" s="272">
        <f>+'NI-San_SP'!U874+'NI-Soc_SP'!U874+'NI-Ric_SP'!U874</f>
        <v>0</v>
      </c>
      <c r="V874" s="272">
        <f>+'NI-San_SP'!V874+'NI-Soc_SP'!V874+'NI-Ric_SP'!V874</f>
        <v>0</v>
      </c>
      <c r="W874" s="272">
        <f>+'NI-San_SP'!W874+'NI-Soc_SP'!W874+'NI-Ric_SP'!W874</f>
        <v>0</v>
      </c>
      <c r="X874" s="272">
        <f>+'NI-San_SP'!X874+'NI-Soc_SP'!X874+'NI-Ric_SP'!X874</f>
        <v>0</v>
      </c>
      <c r="Y874" s="211"/>
      <c r="Z874" s="211"/>
      <c r="AA874" s="211"/>
    </row>
    <row r="875" spans="2:27" s="204" customFormat="1" x14ac:dyDescent="0.25">
      <c r="B875" s="246" t="s">
        <v>2186</v>
      </c>
      <c r="C875" s="287" t="s">
        <v>2187</v>
      </c>
      <c r="D875" s="472" t="s">
        <v>3966</v>
      </c>
      <c r="E875" s="274"/>
      <c r="F875" s="274"/>
      <c r="G875" s="283"/>
      <c r="H875" s="266"/>
      <c r="I875" s="274"/>
      <c r="J875" s="281"/>
      <c r="K875" s="281"/>
      <c r="L875" s="474" t="s">
        <v>3967</v>
      </c>
      <c r="M875" s="284" t="s">
        <v>2962</v>
      </c>
      <c r="N875" s="443">
        <f>+R875</f>
        <v>0</v>
      </c>
      <c r="O875" s="443">
        <f>+X875</f>
        <v>0</v>
      </c>
      <c r="P875" s="271">
        <f t="shared" si="121"/>
        <v>0</v>
      </c>
      <c r="Q875" s="272">
        <f>+'NI-San_SP'!Q875+'NI-Soc_SP'!Q875+'NI-Ric_SP'!Q875</f>
        <v>0</v>
      </c>
      <c r="R875" s="272">
        <f>+'NI-San_SP'!R875+'NI-Soc_SP'!R875+'NI-Ric_SP'!R875</f>
        <v>0</v>
      </c>
      <c r="S875" s="272">
        <f>+'NI-San_SP'!S875+'NI-Soc_SP'!S875+'NI-Ric_SP'!S875</f>
        <v>0</v>
      </c>
      <c r="T875" s="272">
        <f>+'NI-San_SP'!T875+'NI-Soc_SP'!T875+'NI-Ric_SP'!T875</f>
        <v>0</v>
      </c>
      <c r="U875" s="272">
        <f>+'NI-San_SP'!U875+'NI-Soc_SP'!U875+'NI-Ric_SP'!U875</f>
        <v>0</v>
      </c>
      <c r="V875" s="272">
        <f>+'NI-San_SP'!V875+'NI-Soc_SP'!V875+'NI-Ric_SP'!V875</f>
        <v>0</v>
      </c>
      <c r="W875" s="272">
        <f>+'NI-San_SP'!W875+'NI-Soc_SP'!W875+'NI-Ric_SP'!W875</f>
        <v>0</v>
      </c>
      <c r="X875" s="272">
        <f>+'NI-San_SP'!X875+'NI-Soc_SP'!X875+'NI-Ric_SP'!X875</f>
        <v>0</v>
      </c>
      <c r="Y875" s="211"/>
      <c r="Z875" s="211"/>
      <c r="AA875" s="211"/>
    </row>
    <row r="876" spans="2:27" s="204" customFormat="1" x14ac:dyDescent="0.25">
      <c r="B876" s="246" t="s">
        <v>2189</v>
      </c>
      <c r="C876" s="287" t="s">
        <v>2190</v>
      </c>
      <c r="D876" s="472" t="s">
        <v>3968</v>
      </c>
      <c r="E876" s="274"/>
      <c r="F876" s="274"/>
      <c r="G876" s="283"/>
      <c r="H876" s="266"/>
      <c r="I876" s="274"/>
      <c r="J876" s="281"/>
      <c r="K876" s="281"/>
      <c r="L876" s="474" t="s">
        <v>3969</v>
      </c>
      <c r="M876" s="284" t="s">
        <v>2962</v>
      </c>
      <c r="N876" s="443">
        <f>+R876</f>
        <v>0</v>
      </c>
      <c r="O876" s="443">
        <f>+X876</f>
        <v>0</v>
      </c>
      <c r="P876" s="271">
        <f t="shared" si="121"/>
        <v>0</v>
      </c>
      <c r="Q876" s="272">
        <f>+'NI-San_SP'!Q876+'NI-Soc_SP'!Q876+'NI-Ric_SP'!Q876</f>
        <v>0</v>
      </c>
      <c r="R876" s="272">
        <f>+'NI-San_SP'!R876+'NI-Soc_SP'!R876+'NI-Ric_SP'!R876</f>
        <v>0</v>
      </c>
      <c r="S876" s="272">
        <f>+'NI-San_SP'!S876+'NI-Soc_SP'!S876+'NI-Ric_SP'!S876</f>
        <v>0</v>
      </c>
      <c r="T876" s="272">
        <f>+'NI-San_SP'!T876+'NI-Soc_SP'!T876+'NI-Ric_SP'!T876</f>
        <v>0</v>
      </c>
      <c r="U876" s="272">
        <f>+'NI-San_SP'!U876+'NI-Soc_SP'!U876+'NI-Ric_SP'!U876</f>
        <v>0</v>
      </c>
      <c r="V876" s="272">
        <f>+'NI-San_SP'!V876+'NI-Soc_SP'!V876+'NI-Ric_SP'!V876</f>
        <v>0</v>
      </c>
      <c r="W876" s="272">
        <f>+'NI-San_SP'!W876+'NI-Soc_SP'!W876+'NI-Ric_SP'!W876</f>
        <v>0</v>
      </c>
      <c r="X876" s="272">
        <f>+'NI-San_SP'!X876+'NI-Soc_SP'!X876+'NI-Ric_SP'!X876</f>
        <v>0</v>
      </c>
      <c r="Y876" s="211"/>
      <c r="Z876" s="211"/>
      <c r="AA876" s="211"/>
    </row>
    <row r="877" spans="2:27" s="204" customFormat="1" x14ac:dyDescent="0.25">
      <c r="B877" s="246" t="s">
        <v>2192</v>
      </c>
      <c r="C877" s="287" t="s">
        <v>2193</v>
      </c>
      <c r="D877" s="472" t="s">
        <v>3970</v>
      </c>
      <c r="E877" s="274"/>
      <c r="F877" s="274"/>
      <c r="G877" s="283"/>
      <c r="H877" s="266"/>
      <c r="I877" s="274"/>
      <c r="J877" s="281"/>
      <c r="K877" s="281"/>
      <c r="L877" s="473" t="s">
        <v>2195</v>
      </c>
      <c r="M877" s="284" t="s">
        <v>2962</v>
      </c>
      <c r="N877" s="470">
        <f>SUM(N878:N882)</f>
        <v>3646599</v>
      </c>
      <c r="O877" s="470">
        <f>SUM(O878:O882)</f>
        <v>2015917</v>
      </c>
      <c r="P877" s="378">
        <f t="shared" si="121"/>
        <v>-1630682</v>
      </c>
      <c r="Q877" s="272">
        <f>+'NI-San_SP'!Q877+'NI-Soc_SP'!Q877+'NI-Ric_SP'!Q877</f>
        <v>0</v>
      </c>
      <c r="R877" s="272">
        <f>+'NI-San_SP'!R877+'NI-Soc_SP'!R877+'NI-Ric_SP'!R877</f>
        <v>3646599</v>
      </c>
      <c r="S877" s="272">
        <f>+'NI-San_SP'!S877+'NI-Soc_SP'!S877+'NI-Ric_SP'!S877</f>
        <v>0</v>
      </c>
      <c r="T877" s="272">
        <f>+'NI-San_SP'!T877+'NI-Soc_SP'!T877+'NI-Ric_SP'!T877</f>
        <v>1125088</v>
      </c>
      <c r="U877" s="272">
        <f>+'NI-San_SP'!U877+'NI-Soc_SP'!U877+'NI-Ric_SP'!U877</f>
        <v>0</v>
      </c>
      <c r="V877" s="272">
        <f>+'NI-San_SP'!V877+'NI-Soc_SP'!V877+'NI-Ric_SP'!V877</f>
        <v>2755770</v>
      </c>
      <c r="W877" s="272">
        <f>+'NI-San_SP'!W877+'NI-Soc_SP'!W877+'NI-Ric_SP'!W877</f>
        <v>0</v>
      </c>
      <c r="X877" s="272">
        <f>+'NI-San_SP'!X877+'NI-Soc_SP'!X877+'NI-Ric_SP'!X877</f>
        <v>2015917</v>
      </c>
      <c r="Y877" s="211"/>
      <c r="Z877" s="211"/>
      <c r="AA877" s="211"/>
    </row>
    <row r="878" spans="2:27" s="204" customFormat="1" x14ac:dyDescent="0.25">
      <c r="B878" s="246" t="s">
        <v>2196</v>
      </c>
      <c r="C878" s="287" t="s">
        <v>2197</v>
      </c>
      <c r="D878" s="284" t="s">
        <v>3971</v>
      </c>
      <c r="E878" s="274"/>
      <c r="F878" s="274"/>
      <c r="G878" s="283"/>
      <c r="H878" s="266"/>
      <c r="I878" s="274"/>
      <c r="J878" s="281"/>
      <c r="K878" s="281"/>
      <c r="L878" s="475" t="s">
        <v>3972</v>
      </c>
      <c r="M878" s="284" t="s">
        <v>2962</v>
      </c>
      <c r="N878" s="443">
        <f t="shared" ref="N878:N886" si="122">+R878</f>
        <v>3135468</v>
      </c>
      <c r="O878" s="443">
        <f>+X878</f>
        <v>1287375</v>
      </c>
      <c r="P878" s="271">
        <f t="shared" si="121"/>
        <v>-1848093</v>
      </c>
      <c r="Q878" s="272">
        <f>+'NI-San_SP'!Q878+'NI-Soc_SP'!Q878+'NI-Ric_SP'!Q878</f>
        <v>0</v>
      </c>
      <c r="R878" s="272">
        <f>+'NI-San_SP'!R878+'NI-Soc_SP'!R878+'NI-Ric_SP'!R878</f>
        <v>3135468</v>
      </c>
      <c r="S878" s="272">
        <f>+'NI-San_SP'!S878+'NI-Soc_SP'!S878+'NI-Ric_SP'!S878</f>
        <v>0</v>
      </c>
      <c r="T878" s="272">
        <f>+'NI-San_SP'!T878+'NI-Soc_SP'!T878+'NI-Ric_SP'!T878</f>
        <v>627218</v>
      </c>
      <c r="U878" s="272">
        <f>+'NI-San_SP'!U878+'NI-Soc_SP'!U878+'NI-Ric_SP'!U878</f>
        <v>0</v>
      </c>
      <c r="V878" s="272">
        <f>+'NI-San_SP'!V878+'NI-Soc_SP'!V878+'NI-Ric_SP'!V878</f>
        <v>2475311</v>
      </c>
      <c r="W878" s="272">
        <f>+'NI-San_SP'!W878+'NI-Soc_SP'!W878+'NI-Ric_SP'!W878</f>
        <v>0</v>
      </c>
      <c r="X878" s="272">
        <f>+'NI-San_SP'!X878+'NI-Soc_SP'!X878+'NI-Ric_SP'!X878</f>
        <v>1287375</v>
      </c>
      <c r="Y878" s="211"/>
      <c r="Z878" s="211"/>
      <c r="AA878" s="211"/>
    </row>
    <row r="879" spans="2:27" s="204" customFormat="1" x14ac:dyDescent="0.25">
      <c r="B879" s="246" t="s">
        <v>2200</v>
      </c>
      <c r="C879" s="287" t="s">
        <v>2201</v>
      </c>
      <c r="D879" s="284" t="s">
        <v>3973</v>
      </c>
      <c r="E879" s="274"/>
      <c r="F879" s="274"/>
      <c r="G879" s="283"/>
      <c r="H879" s="266"/>
      <c r="I879" s="274"/>
      <c r="J879" s="281"/>
      <c r="K879" s="281"/>
      <c r="L879" s="475" t="s">
        <v>3974</v>
      </c>
      <c r="M879" s="284" t="s">
        <v>2962</v>
      </c>
      <c r="N879" s="443">
        <f t="shared" si="122"/>
        <v>261497</v>
      </c>
      <c r="O879" s="443">
        <f>+X879</f>
        <v>55369</v>
      </c>
      <c r="P879" s="271">
        <f t="shared" si="121"/>
        <v>-206128</v>
      </c>
      <c r="Q879" s="272">
        <f>+'NI-San_SP'!Q879+'NI-Soc_SP'!Q879+'NI-Ric_SP'!Q879</f>
        <v>0</v>
      </c>
      <c r="R879" s="272">
        <f>+'NI-San_SP'!R879+'NI-Soc_SP'!R879+'NI-Ric_SP'!R879</f>
        <v>261497</v>
      </c>
      <c r="S879" s="272">
        <f>+'NI-San_SP'!S879+'NI-Soc_SP'!S879+'NI-Ric_SP'!S879</f>
        <v>0</v>
      </c>
      <c r="T879" s="272">
        <f>+'NI-San_SP'!T879+'NI-Soc_SP'!T879+'NI-Ric_SP'!T879</f>
        <v>16463</v>
      </c>
      <c r="U879" s="272">
        <f>+'NI-San_SP'!U879+'NI-Soc_SP'!U879+'NI-Ric_SP'!U879</f>
        <v>0</v>
      </c>
      <c r="V879" s="272">
        <f>+'NI-San_SP'!V879+'NI-Soc_SP'!V879+'NI-Ric_SP'!V879</f>
        <v>222591</v>
      </c>
      <c r="W879" s="272">
        <f>+'NI-San_SP'!W879+'NI-Soc_SP'!W879+'NI-Ric_SP'!W879</f>
        <v>0</v>
      </c>
      <c r="X879" s="272">
        <f>+'NI-San_SP'!X879+'NI-Soc_SP'!X879+'NI-Ric_SP'!X879</f>
        <v>55369</v>
      </c>
      <c r="Y879" s="211"/>
      <c r="Z879" s="211"/>
      <c r="AA879" s="211"/>
    </row>
    <row r="880" spans="2:27" s="204" customFormat="1" x14ac:dyDescent="0.25">
      <c r="B880" s="246" t="s">
        <v>2203</v>
      </c>
      <c r="C880" s="287" t="s">
        <v>2204</v>
      </c>
      <c r="D880" s="284" t="s">
        <v>3975</v>
      </c>
      <c r="E880" s="274"/>
      <c r="F880" s="274"/>
      <c r="G880" s="283"/>
      <c r="H880" s="266"/>
      <c r="I880" s="274"/>
      <c r="J880" s="281"/>
      <c r="K880" s="281"/>
      <c r="L880" s="475" t="s">
        <v>3976</v>
      </c>
      <c r="M880" s="284" t="s">
        <v>2962</v>
      </c>
      <c r="N880" s="443">
        <f t="shared" si="122"/>
        <v>98913</v>
      </c>
      <c r="O880" s="443">
        <f>+X880</f>
        <v>562641</v>
      </c>
      <c r="P880" s="271">
        <f t="shared" si="121"/>
        <v>463728</v>
      </c>
      <c r="Q880" s="272">
        <f>+'NI-San_SP'!Q880+'NI-Soc_SP'!Q880+'NI-Ric_SP'!Q880</f>
        <v>0</v>
      </c>
      <c r="R880" s="272">
        <f>+'NI-San_SP'!R880+'NI-Soc_SP'!R880+'NI-Ric_SP'!R880</f>
        <v>98913</v>
      </c>
      <c r="S880" s="272">
        <f>+'NI-San_SP'!S880+'NI-Soc_SP'!S880+'NI-Ric_SP'!S880</f>
        <v>0</v>
      </c>
      <c r="T880" s="272">
        <f>+'NI-San_SP'!T880+'NI-Soc_SP'!T880+'NI-Ric_SP'!T880</f>
        <v>463728</v>
      </c>
      <c r="U880" s="272">
        <f>+'NI-San_SP'!U880+'NI-Soc_SP'!U880+'NI-Ric_SP'!U880</f>
        <v>0</v>
      </c>
      <c r="V880" s="272">
        <f>+'NI-San_SP'!V880+'NI-Soc_SP'!V880+'NI-Ric_SP'!V880</f>
        <v>0</v>
      </c>
      <c r="W880" s="272">
        <f>+'NI-San_SP'!W880+'NI-Soc_SP'!W880+'NI-Ric_SP'!W880</f>
        <v>0</v>
      </c>
      <c r="X880" s="272">
        <f>+'NI-San_SP'!X880+'NI-Soc_SP'!X880+'NI-Ric_SP'!X880</f>
        <v>562641</v>
      </c>
      <c r="Y880" s="211"/>
      <c r="Z880" s="211"/>
      <c r="AA880" s="211"/>
    </row>
    <row r="881" spans="1:27" s="204" customFormat="1" x14ac:dyDescent="0.25">
      <c r="B881" s="246" t="s">
        <v>2206</v>
      </c>
      <c r="C881" s="287" t="s">
        <v>2207</v>
      </c>
      <c r="D881" s="284" t="s">
        <v>3977</v>
      </c>
      <c r="E881" s="274"/>
      <c r="F881" s="274"/>
      <c r="G881" s="283"/>
      <c r="H881" s="266"/>
      <c r="I881" s="274"/>
      <c r="J881" s="281"/>
      <c r="K881" s="281"/>
      <c r="L881" s="475" t="s">
        <v>3978</v>
      </c>
      <c r="M881" s="284" t="s">
        <v>2962</v>
      </c>
      <c r="N881" s="443">
        <f t="shared" si="122"/>
        <v>0</v>
      </c>
      <c r="O881" s="443">
        <f>+X881</f>
        <v>0</v>
      </c>
      <c r="P881" s="271">
        <f t="shared" si="121"/>
        <v>0</v>
      </c>
      <c r="Q881" s="272">
        <f>+'NI-San_SP'!Q881+'NI-Soc_SP'!Q881+'NI-Ric_SP'!Q881</f>
        <v>0</v>
      </c>
      <c r="R881" s="272">
        <f>+'NI-San_SP'!R881+'NI-Soc_SP'!R881+'NI-Ric_SP'!R881</f>
        <v>0</v>
      </c>
      <c r="S881" s="272">
        <f>+'NI-San_SP'!S881+'NI-Soc_SP'!S881+'NI-Ric_SP'!S881</f>
        <v>0</v>
      </c>
      <c r="T881" s="272">
        <f>+'NI-San_SP'!T881+'NI-Soc_SP'!T881+'NI-Ric_SP'!T881</f>
        <v>0</v>
      </c>
      <c r="U881" s="272">
        <f>+'NI-San_SP'!U881+'NI-Soc_SP'!U881+'NI-Ric_SP'!U881</f>
        <v>0</v>
      </c>
      <c r="V881" s="272">
        <f>+'NI-San_SP'!V881+'NI-Soc_SP'!V881+'NI-Ric_SP'!V881</f>
        <v>0</v>
      </c>
      <c r="W881" s="272">
        <f>+'NI-San_SP'!W881+'NI-Soc_SP'!W881+'NI-Ric_SP'!W881</f>
        <v>0</v>
      </c>
      <c r="X881" s="272">
        <f>+'NI-San_SP'!X881+'NI-Soc_SP'!X881+'NI-Ric_SP'!X881</f>
        <v>0</v>
      </c>
      <c r="Y881" s="211"/>
      <c r="Z881" s="211"/>
      <c r="AA881" s="211"/>
    </row>
    <row r="882" spans="1:27" s="204" customFormat="1" x14ac:dyDescent="0.25">
      <c r="B882" s="246" t="s">
        <v>2210</v>
      </c>
      <c r="C882" s="287" t="s">
        <v>2211</v>
      </c>
      <c r="D882" s="284" t="s">
        <v>3979</v>
      </c>
      <c r="E882" s="274"/>
      <c r="F882" s="274"/>
      <c r="G882" s="283"/>
      <c r="H882" s="266"/>
      <c r="I882" s="274"/>
      <c r="J882" s="281"/>
      <c r="K882" s="281"/>
      <c r="L882" s="476" t="s">
        <v>3980</v>
      </c>
      <c r="M882" s="284" t="s">
        <v>2962</v>
      </c>
      <c r="N882" s="443">
        <f t="shared" si="122"/>
        <v>150721</v>
      </c>
      <c r="O882" s="443">
        <f>+X882</f>
        <v>110532</v>
      </c>
      <c r="P882" s="271">
        <f t="shared" si="121"/>
        <v>-40189</v>
      </c>
      <c r="Q882" s="272">
        <f>+'NI-San_SP'!Q882+'NI-Soc_SP'!Q882+'NI-Ric_SP'!Q882</f>
        <v>0</v>
      </c>
      <c r="R882" s="272">
        <f>+'NI-San_SP'!R882+'NI-Soc_SP'!R882+'NI-Ric_SP'!R882</f>
        <v>150721</v>
      </c>
      <c r="S882" s="272">
        <f>+'NI-San_SP'!S882+'NI-Soc_SP'!S882+'NI-Ric_SP'!S882</f>
        <v>0</v>
      </c>
      <c r="T882" s="272">
        <f>+'NI-San_SP'!T882+'NI-Soc_SP'!T882+'NI-Ric_SP'!T882</f>
        <v>17679</v>
      </c>
      <c r="U882" s="272">
        <f>+'NI-San_SP'!U882+'NI-Soc_SP'!U882+'NI-Ric_SP'!U882</f>
        <v>0</v>
      </c>
      <c r="V882" s="272">
        <f>+'NI-San_SP'!V882+'NI-Soc_SP'!V882+'NI-Ric_SP'!V882</f>
        <v>57868</v>
      </c>
      <c r="W882" s="272">
        <f>+'NI-San_SP'!W882+'NI-Soc_SP'!W882+'NI-Ric_SP'!W882</f>
        <v>0</v>
      </c>
      <c r="X882" s="272">
        <f>+'NI-San_SP'!X882+'NI-Soc_SP'!X882+'NI-Ric_SP'!X882</f>
        <v>110532</v>
      </c>
      <c r="Y882" s="211"/>
      <c r="Z882" s="211"/>
      <c r="AA882" s="211"/>
    </row>
    <row r="883" spans="1:27" s="204" customFormat="1" x14ac:dyDescent="0.25">
      <c r="B883" s="246" t="s">
        <v>2214</v>
      </c>
      <c r="C883" s="287" t="s">
        <v>2215</v>
      </c>
      <c r="D883" s="472" t="s">
        <v>3981</v>
      </c>
      <c r="E883" s="274"/>
      <c r="F883" s="274"/>
      <c r="G883" s="283"/>
      <c r="H883" s="266"/>
      <c r="I883" s="274"/>
      <c r="J883" s="281"/>
      <c r="K883" s="281"/>
      <c r="L883" s="295" t="s">
        <v>2216</v>
      </c>
      <c r="M883" s="284" t="s">
        <v>2962</v>
      </c>
      <c r="N883" s="443">
        <f t="shared" si="122"/>
        <v>0</v>
      </c>
      <c r="O883" s="443"/>
      <c r="P883" s="271">
        <f t="shared" si="121"/>
        <v>0</v>
      </c>
      <c r="Q883" s="272">
        <f>+'NI-San_SP'!Q883+'NI-Soc_SP'!Q883+'NI-Ric_SP'!Q883</f>
        <v>0</v>
      </c>
      <c r="R883" s="272">
        <f>+'NI-San_SP'!R883+'NI-Soc_SP'!R883+'NI-Ric_SP'!R883</f>
        <v>0</v>
      </c>
      <c r="S883" s="272">
        <f>+'NI-San_SP'!S883+'NI-Soc_SP'!S883+'NI-Ric_SP'!S883</f>
        <v>0</v>
      </c>
      <c r="T883" s="272">
        <f>+'NI-San_SP'!T883+'NI-Soc_SP'!T883+'NI-Ric_SP'!T883</f>
        <v>0</v>
      </c>
      <c r="U883" s="272">
        <f>+'NI-San_SP'!U883+'NI-Soc_SP'!U883+'NI-Ric_SP'!U883</f>
        <v>0</v>
      </c>
      <c r="V883" s="272">
        <f>+'NI-San_SP'!V883+'NI-Soc_SP'!V883+'NI-Ric_SP'!V883</f>
        <v>0</v>
      </c>
      <c r="W883" s="272">
        <f>+'NI-San_SP'!W883+'NI-Soc_SP'!W883+'NI-Ric_SP'!W883</f>
        <v>0</v>
      </c>
      <c r="X883" s="272">
        <f>+'NI-San_SP'!X883+'NI-Soc_SP'!X883+'NI-Ric_SP'!X883</f>
        <v>0</v>
      </c>
      <c r="Y883" s="211"/>
      <c r="Z883" s="211"/>
      <c r="AA883" s="211"/>
    </row>
    <row r="884" spans="1:27" s="204" customFormat="1" x14ac:dyDescent="0.25">
      <c r="B884" s="246" t="s">
        <v>2217</v>
      </c>
      <c r="C884" s="287" t="s">
        <v>2218</v>
      </c>
      <c r="D884" s="472" t="s">
        <v>3981</v>
      </c>
      <c r="E884" s="274"/>
      <c r="F884" s="274"/>
      <c r="G884" s="283"/>
      <c r="H884" s="266"/>
      <c r="I884" s="274"/>
      <c r="J884" s="281"/>
      <c r="K884" s="281"/>
      <c r="L884" s="476" t="s">
        <v>3982</v>
      </c>
      <c r="M884" s="284" t="s">
        <v>2962</v>
      </c>
      <c r="N884" s="443">
        <f t="shared" si="122"/>
        <v>80954</v>
      </c>
      <c r="O884" s="443">
        <f>+X884</f>
        <v>0</v>
      </c>
      <c r="P884" s="271">
        <f t="shared" si="121"/>
        <v>-80954</v>
      </c>
      <c r="Q884" s="272">
        <f>+'NI-San_SP'!Q884+'NI-Soc_SP'!Q884+'NI-Ric_SP'!Q884</f>
        <v>0</v>
      </c>
      <c r="R884" s="272">
        <f>+'NI-San_SP'!R884+'NI-Soc_SP'!R884+'NI-Ric_SP'!R884</f>
        <v>80954</v>
      </c>
      <c r="S884" s="272">
        <f>+'NI-San_SP'!S884+'NI-Soc_SP'!S884+'NI-Ric_SP'!S884</f>
        <v>0</v>
      </c>
      <c r="T884" s="272">
        <f>+'NI-San_SP'!T884+'NI-Soc_SP'!T884+'NI-Ric_SP'!T884</f>
        <v>0</v>
      </c>
      <c r="U884" s="272">
        <f>+'NI-San_SP'!U884+'NI-Soc_SP'!U884+'NI-Ric_SP'!U884</f>
        <v>-80954</v>
      </c>
      <c r="V884" s="272">
        <f>+'NI-San_SP'!V884+'NI-Soc_SP'!V884+'NI-Ric_SP'!V884</f>
        <v>0</v>
      </c>
      <c r="W884" s="272">
        <f>+'NI-San_SP'!W884+'NI-Soc_SP'!W884+'NI-Ric_SP'!W884</f>
        <v>0</v>
      </c>
      <c r="X884" s="272">
        <f>+'NI-San_SP'!X884+'NI-Soc_SP'!X884+'NI-Ric_SP'!X884</f>
        <v>0</v>
      </c>
      <c r="Y884" s="211"/>
      <c r="Z884" s="211"/>
      <c r="AA884" s="211"/>
    </row>
    <row r="885" spans="1:27" s="204" customFormat="1" x14ac:dyDescent="0.25">
      <c r="B885" s="246" t="s">
        <v>2222</v>
      </c>
      <c r="C885" s="287" t="s">
        <v>2223</v>
      </c>
      <c r="D885" s="472" t="s">
        <v>3981</v>
      </c>
      <c r="E885" s="274"/>
      <c r="F885" s="274"/>
      <c r="G885" s="283"/>
      <c r="H885" s="266"/>
      <c r="I885" s="274"/>
      <c r="J885" s="281"/>
      <c r="K885" s="281"/>
      <c r="L885" s="476" t="s">
        <v>3983</v>
      </c>
      <c r="M885" s="284" t="s">
        <v>2962</v>
      </c>
      <c r="N885" s="443">
        <f t="shared" si="122"/>
        <v>131187</v>
      </c>
      <c r="O885" s="443">
        <f>+X885</f>
        <v>35114</v>
      </c>
      <c r="P885" s="271">
        <f t="shared" si="121"/>
        <v>-96073</v>
      </c>
      <c r="Q885" s="272">
        <f>+'NI-San_SP'!Q885+'NI-Soc_SP'!Q885+'NI-Ric_SP'!Q885</f>
        <v>0</v>
      </c>
      <c r="R885" s="272">
        <f>+'NI-San_SP'!R885+'NI-Soc_SP'!R885+'NI-Ric_SP'!R885</f>
        <v>131187</v>
      </c>
      <c r="S885" s="272">
        <f>+'NI-San_SP'!S885+'NI-Soc_SP'!S885+'NI-Ric_SP'!S885</f>
        <v>0</v>
      </c>
      <c r="T885" s="272">
        <f>+'NI-San_SP'!T885+'NI-Soc_SP'!T885+'NI-Ric_SP'!T885</f>
        <v>70228</v>
      </c>
      <c r="U885" s="272">
        <f>+'NI-San_SP'!U885+'NI-Soc_SP'!U885+'NI-Ric_SP'!U885</f>
        <v>0</v>
      </c>
      <c r="V885" s="272">
        <f>+'NI-San_SP'!V885+'NI-Soc_SP'!V885+'NI-Ric_SP'!V885</f>
        <v>166301</v>
      </c>
      <c r="W885" s="272">
        <f>+'NI-San_SP'!W885+'NI-Soc_SP'!W885+'NI-Ric_SP'!W885</f>
        <v>0</v>
      </c>
      <c r="X885" s="272">
        <f>+'NI-San_SP'!X885+'NI-Soc_SP'!X885+'NI-Ric_SP'!X885</f>
        <v>35114</v>
      </c>
      <c r="Y885" s="211"/>
      <c r="Z885" s="211"/>
      <c r="AA885" s="211"/>
    </row>
    <row r="886" spans="1:27" s="204" customFormat="1" x14ac:dyDescent="0.25">
      <c r="A886" s="204" t="s">
        <v>3681</v>
      </c>
      <c r="B886" s="246" t="s">
        <v>2225</v>
      </c>
      <c r="C886" s="124" t="s">
        <v>2226</v>
      </c>
      <c r="D886" s="477"/>
      <c r="E886" s="226"/>
      <c r="F886" s="226"/>
      <c r="G886" s="290"/>
      <c r="H886" s="227"/>
      <c r="I886" s="226"/>
      <c r="J886" s="409"/>
      <c r="K886" s="409"/>
      <c r="L886" s="396" t="s">
        <v>2228</v>
      </c>
      <c r="M886" s="284" t="s">
        <v>2962</v>
      </c>
      <c r="N886" s="443">
        <f t="shared" si="122"/>
        <v>179319</v>
      </c>
      <c r="O886" s="443">
        <f>+X886</f>
        <v>446190</v>
      </c>
      <c r="P886" s="271">
        <f t="shared" si="121"/>
        <v>266871</v>
      </c>
      <c r="Q886" s="272">
        <f>+'NI-San_SP'!Q886+'NI-Soc_SP'!Q886+'NI-Ric_SP'!Q886</f>
        <v>0</v>
      </c>
      <c r="R886" s="272">
        <f>+'NI-San_SP'!R886+'NI-Soc_SP'!R886+'NI-Ric_SP'!R886</f>
        <v>179319</v>
      </c>
      <c r="S886" s="272">
        <f>+'NI-San_SP'!S886+'NI-Soc_SP'!S886+'NI-Ric_SP'!S886</f>
        <v>0</v>
      </c>
      <c r="T886" s="272">
        <f>+'NI-San_SP'!T886+'NI-Soc_SP'!T886+'NI-Ric_SP'!T886</f>
        <v>184574</v>
      </c>
      <c r="U886" s="272">
        <f>+'NI-San_SP'!U886+'NI-Soc_SP'!U886+'NI-Ric_SP'!U886</f>
        <v>82297</v>
      </c>
      <c r="V886" s="272">
        <f>+'NI-San_SP'!V886+'NI-Soc_SP'!V886+'NI-Ric_SP'!V886</f>
        <v>0</v>
      </c>
      <c r="W886" s="272">
        <f>+'NI-San_SP'!W886+'NI-Soc_SP'!W886+'NI-Ric_SP'!W886</f>
        <v>0</v>
      </c>
      <c r="X886" s="272">
        <f>+'NI-San_SP'!X886+'NI-Soc_SP'!X886+'NI-Ric_SP'!X886</f>
        <v>446190</v>
      </c>
      <c r="Y886" s="211"/>
      <c r="Z886" s="211"/>
      <c r="AA886" s="211"/>
    </row>
    <row r="887" spans="1:27" s="204" customFormat="1" x14ac:dyDescent="0.25"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32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</row>
    <row r="888" spans="1:27" s="204" customFormat="1" x14ac:dyDescent="0.25">
      <c r="B888" s="230"/>
      <c r="C888" s="230"/>
      <c r="D888" s="230"/>
      <c r="E888" s="230"/>
      <c r="F888" s="230"/>
      <c r="G888" s="230"/>
      <c r="H888" s="231"/>
      <c r="I888" s="230"/>
      <c r="J888" s="230"/>
      <c r="K888" s="230"/>
      <c r="L888" s="478"/>
      <c r="M888" s="211"/>
      <c r="N888" s="254"/>
      <c r="O888" s="211"/>
      <c r="P888" s="211"/>
      <c r="Q888" s="211"/>
      <c r="R888" s="211"/>
      <c r="S888" s="479"/>
      <c r="T888" s="479"/>
      <c r="U888" s="479"/>
      <c r="V888" s="479"/>
      <c r="W888" s="211"/>
      <c r="X888" s="211"/>
      <c r="Y888" s="211"/>
      <c r="Z888" s="211"/>
      <c r="AA888" s="211"/>
    </row>
    <row r="889" spans="1:27" s="204" customFormat="1" x14ac:dyDescent="0.25">
      <c r="B889" s="233" t="s">
        <v>2229</v>
      </c>
      <c r="C889" s="233" t="s">
        <v>2230</v>
      </c>
      <c r="D889" s="234" t="s">
        <v>3984</v>
      </c>
      <c r="E889" s="234"/>
      <c r="F889" s="234"/>
      <c r="G889" s="234"/>
      <c r="H889" s="235"/>
      <c r="I889" s="234"/>
      <c r="J889" s="234"/>
      <c r="K889" s="234"/>
      <c r="L889" s="236" t="s">
        <v>2231</v>
      </c>
      <c r="M889" s="237" t="s">
        <v>2962</v>
      </c>
      <c r="N889" s="238">
        <f>+N891+N900+N903</f>
        <v>1058912</v>
      </c>
      <c r="O889" s="238">
        <f>+O891+O900+O903</f>
        <v>1012499</v>
      </c>
      <c r="P889" s="239">
        <f>+O889-N889</f>
        <v>-46413</v>
      </c>
      <c r="Q889" s="238">
        <f t="shared" ref="Q889:X889" si="123">+Q891+Q900+Q903</f>
        <v>0</v>
      </c>
      <c r="R889" s="238">
        <f t="shared" si="123"/>
        <v>1058912</v>
      </c>
      <c r="S889" s="238">
        <f t="shared" si="123"/>
        <v>70737</v>
      </c>
      <c r="T889" s="238">
        <f t="shared" si="123"/>
        <v>0</v>
      </c>
      <c r="U889" s="238">
        <f t="shared" si="123"/>
        <v>117150</v>
      </c>
      <c r="V889" s="238">
        <f t="shared" si="123"/>
        <v>117150</v>
      </c>
      <c r="W889" s="238">
        <f t="shared" si="123"/>
        <v>0</v>
      </c>
      <c r="X889" s="238">
        <f t="shared" si="123"/>
        <v>1012499</v>
      </c>
      <c r="Y889" s="211"/>
      <c r="Z889" s="211"/>
      <c r="AA889" s="211"/>
    </row>
    <row r="890" spans="1:27" s="204" customFormat="1" x14ac:dyDescent="0.25">
      <c r="B890" s="230"/>
      <c r="C890" s="230"/>
      <c r="D890" s="230"/>
      <c r="E890" s="230"/>
      <c r="F890" s="230"/>
      <c r="G890" s="230"/>
      <c r="H890" s="231"/>
      <c r="I890" s="230"/>
      <c r="J890" s="230"/>
      <c r="K890" s="230"/>
      <c r="L890" s="232"/>
      <c r="M890" s="211"/>
      <c r="N890" s="254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</row>
    <row r="891" spans="1:27" s="204" customFormat="1" x14ac:dyDescent="0.25">
      <c r="B891" s="246" t="s">
        <v>2232</v>
      </c>
      <c r="C891" s="246" t="s">
        <v>2233</v>
      </c>
      <c r="D891" s="247" t="s">
        <v>3985</v>
      </c>
      <c r="E891" s="247"/>
      <c r="F891" s="247"/>
      <c r="G891" s="247"/>
      <c r="H891" s="248"/>
      <c r="I891" s="247"/>
      <c r="J891" s="247"/>
      <c r="K891" s="249"/>
      <c r="L891" s="441" t="s">
        <v>2237</v>
      </c>
      <c r="M891" s="251" t="s">
        <v>2962</v>
      </c>
      <c r="N891" s="252">
        <f>SUM(N894:N896)</f>
        <v>1026550</v>
      </c>
      <c r="O891" s="252">
        <f>SUM(O894:O896)</f>
        <v>980137</v>
      </c>
      <c r="P891" s="253">
        <f>+O891-N891</f>
        <v>-46413</v>
      </c>
      <c r="Q891" s="252">
        <f t="shared" ref="Q891:X891" si="124">SUM(Q894:Q896)</f>
        <v>0</v>
      </c>
      <c r="R891" s="252">
        <f t="shared" si="124"/>
        <v>1026550</v>
      </c>
      <c r="S891" s="252">
        <f t="shared" si="124"/>
        <v>70737</v>
      </c>
      <c r="T891" s="252">
        <f t="shared" si="124"/>
        <v>0</v>
      </c>
      <c r="U891" s="252">
        <f t="shared" si="124"/>
        <v>117150</v>
      </c>
      <c r="V891" s="252">
        <f t="shared" si="124"/>
        <v>117150</v>
      </c>
      <c r="W891" s="252">
        <f t="shared" si="124"/>
        <v>0</v>
      </c>
      <c r="X891" s="252">
        <f t="shared" si="124"/>
        <v>980137</v>
      </c>
      <c r="Y891" s="211"/>
      <c r="Z891" s="211"/>
      <c r="AA891" s="211"/>
    </row>
    <row r="892" spans="1:27" s="204" customFormat="1" x14ac:dyDescent="0.25">
      <c r="B892" s="230"/>
      <c r="C892" s="230"/>
      <c r="D892" s="230"/>
      <c r="E892" s="230"/>
      <c r="F892" s="230"/>
      <c r="G892" s="230"/>
      <c r="H892" s="231"/>
      <c r="I892" s="230"/>
      <c r="J892" s="230"/>
      <c r="K892" s="230"/>
      <c r="L892" s="232"/>
      <c r="M892" s="211"/>
      <c r="N892" s="254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</row>
    <row r="893" spans="1:27" s="204" customFormat="1" ht="63.75" x14ac:dyDescent="0.25">
      <c r="B893" s="260" t="s">
        <v>2968</v>
      </c>
      <c r="C893" s="260" t="s">
        <v>2969</v>
      </c>
      <c r="D893" s="206" t="s">
        <v>72</v>
      </c>
      <c r="E893" s="206"/>
      <c r="F893" s="206"/>
      <c r="G893" s="207"/>
      <c r="H893" s="207"/>
      <c r="I893" s="207"/>
      <c r="J893" s="207" t="s">
        <v>2957</v>
      </c>
      <c r="K893" s="206" t="s">
        <v>82</v>
      </c>
      <c r="L893" s="261" t="s">
        <v>3670</v>
      </c>
      <c r="M893" s="480"/>
      <c r="N893" s="256" t="str">
        <f>N$15</f>
        <v>Valore netto al 31/12/2019</v>
      </c>
      <c r="O893" s="256" t="str">
        <f>O$15</f>
        <v>Valore netto al 31/12/2020</v>
      </c>
      <c r="P893" s="256" t="str">
        <f>P$15</f>
        <v>Variazione</v>
      </c>
      <c r="Q893" s="262" t="s">
        <v>2971</v>
      </c>
      <c r="R893" s="442" t="s">
        <v>3877</v>
      </c>
      <c r="S893" s="262" t="s">
        <v>2972</v>
      </c>
      <c r="T893" s="442" t="s">
        <v>3913</v>
      </c>
      <c r="U893" s="442" t="s">
        <v>3914</v>
      </c>
      <c r="V893" s="442" t="s">
        <v>3915</v>
      </c>
      <c r="W893" s="262" t="s">
        <v>2975</v>
      </c>
      <c r="X893" s="442" t="s">
        <v>3883</v>
      </c>
      <c r="Y893" s="211"/>
      <c r="Z893" s="211"/>
      <c r="AA893" s="211"/>
    </row>
    <row r="894" spans="1:27" s="204" customFormat="1" x14ac:dyDescent="0.25">
      <c r="B894" s="246" t="s">
        <v>2238</v>
      </c>
      <c r="C894" s="284" t="s">
        <v>2239</v>
      </c>
      <c r="D894" s="274" t="s">
        <v>3986</v>
      </c>
      <c r="E894" s="274"/>
      <c r="F894" s="274"/>
      <c r="G894" s="283"/>
      <c r="H894" s="266"/>
      <c r="I894" s="274"/>
      <c r="J894" s="281"/>
      <c r="K894" s="281"/>
      <c r="L894" s="422" t="s">
        <v>3987</v>
      </c>
      <c r="M894" s="284" t="s">
        <v>2962</v>
      </c>
      <c r="N894" s="443">
        <f>+R894</f>
        <v>0</v>
      </c>
      <c r="O894" s="443">
        <f>+X894</f>
        <v>0</v>
      </c>
      <c r="P894" s="271">
        <f>+O894-N894</f>
        <v>0</v>
      </c>
      <c r="Q894" s="272">
        <f>+'NI-San_SP'!Q894+'NI-Soc_SP'!Q894+'NI-Ric_SP'!Q894</f>
        <v>0</v>
      </c>
      <c r="R894" s="272">
        <f>+'NI-San_SP'!R894+'NI-Soc_SP'!R894+'NI-Ric_SP'!R894</f>
        <v>0</v>
      </c>
      <c r="S894" s="272">
        <f>+'NI-San_SP'!T894+'NI-Soc_SP'!S894+'NI-Ric_SP'!S894</f>
        <v>0</v>
      </c>
      <c r="T894" s="272">
        <f>+'NI-San_SP'!U894+'NI-Soc_SP'!T894+'NI-Ric_SP'!T894</f>
        <v>0</v>
      </c>
      <c r="U894" s="272">
        <f>+'NI-San_SP'!V894+'NI-Soc_SP'!U894+'NI-Ric_SP'!U894</f>
        <v>0</v>
      </c>
      <c r="V894" s="272">
        <f>+'NI-San_SP'!V894+'NI-Soc_SP'!V894+'NI-Ric_SP'!V894</f>
        <v>0</v>
      </c>
      <c r="W894" s="272">
        <f>+'NI-San_SP'!W894+'NI-Soc_SP'!W894+'NI-Ric_SP'!W894</f>
        <v>0</v>
      </c>
      <c r="X894" s="272">
        <f>+'NI-San_SP'!X894+'NI-Soc_SP'!X894+'NI-Ric_SP'!X894</f>
        <v>0</v>
      </c>
      <c r="Y894" s="211"/>
      <c r="Z894" s="211"/>
      <c r="AA894" s="211"/>
    </row>
    <row r="895" spans="1:27" s="204" customFormat="1" x14ac:dyDescent="0.25">
      <c r="B895" s="246" t="s">
        <v>2241</v>
      </c>
      <c r="C895" s="284" t="s">
        <v>2242</v>
      </c>
      <c r="D895" s="274" t="s">
        <v>3988</v>
      </c>
      <c r="E895" s="274"/>
      <c r="F895" s="274"/>
      <c r="G895" s="283"/>
      <c r="H895" s="266"/>
      <c r="I895" s="274"/>
      <c r="J895" s="281"/>
      <c r="K895" s="281"/>
      <c r="L895" s="422" t="s">
        <v>3989</v>
      </c>
      <c r="M895" s="284" t="s">
        <v>2962</v>
      </c>
      <c r="N895" s="443">
        <f>+R895</f>
        <v>118000</v>
      </c>
      <c r="O895" s="443">
        <f>+X895</f>
        <v>118000</v>
      </c>
      <c r="P895" s="271">
        <f>+O895-N895</f>
        <v>0</v>
      </c>
      <c r="Q895" s="272">
        <f>+'NI-San_SP'!Q895+'NI-Soc_SP'!Q895+'NI-Ric_SP'!Q895</f>
        <v>0</v>
      </c>
      <c r="R895" s="272">
        <f>+'NI-San_SP'!R895+'NI-Soc_SP'!R895+'NI-Ric_SP'!R895</f>
        <v>118000</v>
      </c>
      <c r="S895" s="272">
        <f>+'NI-San_SP'!T895+'NI-Soc_SP'!S895+'NI-Ric_SP'!S895</f>
        <v>0</v>
      </c>
      <c r="T895" s="272">
        <f>+'NI-San_SP'!U895+'NI-Soc_SP'!T895+'NI-Ric_SP'!T895</f>
        <v>0</v>
      </c>
      <c r="U895" s="272">
        <f>+'NI-San_SP'!V895+'NI-Soc_SP'!U895+'NI-Ric_SP'!U895</f>
        <v>0</v>
      </c>
      <c r="V895" s="272">
        <f>+'NI-San_SP'!V895+'NI-Soc_SP'!V895+'NI-Ric_SP'!V895</f>
        <v>0</v>
      </c>
      <c r="W895" s="272">
        <f>+'NI-San_SP'!W895+'NI-Soc_SP'!W895+'NI-Ric_SP'!W895</f>
        <v>0</v>
      </c>
      <c r="X895" s="272">
        <f>+'NI-San_SP'!X895+'NI-Soc_SP'!X895+'NI-Ric_SP'!X895</f>
        <v>118000</v>
      </c>
      <c r="Y895" s="211"/>
      <c r="Z895" s="211"/>
      <c r="AA895" s="211"/>
    </row>
    <row r="896" spans="1:27" s="204" customFormat="1" x14ac:dyDescent="0.25">
      <c r="B896" s="246" t="s">
        <v>2244</v>
      </c>
      <c r="C896" s="284" t="s">
        <v>2245</v>
      </c>
      <c r="D896" s="274" t="s">
        <v>3990</v>
      </c>
      <c r="E896" s="274"/>
      <c r="F896" s="274"/>
      <c r="G896" s="283"/>
      <c r="H896" s="266"/>
      <c r="I896" s="274"/>
      <c r="J896" s="281"/>
      <c r="K896" s="281"/>
      <c r="L896" s="422" t="s">
        <v>3991</v>
      </c>
      <c r="M896" s="284" t="s">
        <v>2962</v>
      </c>
      <c r="N896" s="443">
        <f>+R896</f>
        <v>908550</v>
      </c>
      <c r="O896" s="443">
        <f>+X896</f>
        <v>862137</v>
      </c>
      <c r="P896" s="271">
        <f>+O896-N896</f>
        <v>-46413</v>
      </c>
      <c r="Q896" s="272">
        <f>+'NI-San_SP'!Q896+'NI-Soc_SP'!Q896+'NI-Ric_SP'!Q896</f>
        <v>0</v>
      </c>
      <c r="R896" s="272">
        <f>+'NI-San_SP'!R896+'NI-Soc_SP'!R896+'NI-Ric_SP'!R896</f>
        <v>908550</v>
      </c>
      <c r="S896" s="272">
        <f>+'NI-San_SP'!T896+'NI-Soc_SP'!S896+'NI-Ric_SP'!S896</f>
        <v>70737</v>
      </c>
      <c r="T896" s="272">
        <f>+'NI-San_SP'!U896+'NI-Soc_SP'!T896+'NI-Ric_SP'!T896</f>
        <v>0</v>
      </c>
      <c r="U896" s="272">
        <f>+'NI-San_SP'!V896+'NI-Soc_SP'!U896+'NI-Ric_SP'!U896</f>
        <v>117150</v>
      </c>
      <c r="V896" s="272">
        <f>+'NI-San_SP'!V896+'NI-Soc_SP'!V896+'NI-Ric_SP'!V896</f>
        <v>117150</v>
      </c>
      <c r="W896" s="272">
        <f>+'NI-San_SP'!W896+'NI-Soc_SP'!W896+'NI-Ric_SP'!W896</f>
        <v>0</v>
      </c>
      <c r="X896" s="272">
        <f>+'NI-San_SP'!X896+'NI-Soc_SP'!X896+'NI-Ric_SP'!X896</f>
        <v>862137</v>
      </c>
      <c r="Y896" s="211"/>
      <c r="Z896" s="211"/>
      <c r="AA896" s="211"/>
    </row>
    <row r="897" spans="1:36" s="204" customFormat="1" ht="26.25" x14ac:dyDescent="0.25">
      <c r="B897" s="230"/>
      <c r="C897" s="230"/>
      <c r="D897" s="230"/>
      <c r="E897" s="230"/>
      <c r="F897" s="230"/>
      <c r="G897" s="230"/>
      <c r="H897" s="231"/>
      <c r="I897" s="230"/>
      <c r="J897" s="230"/>
      <c r="K897" s="230"/>
      <c r="L897" s="232" t="s">
        <v>3992</v>
      </c>
      <c r="M897" s="211"/>
      <c r="N897" s="254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</row>
    <row r="898" spans="1:36" s="204" customFormat="1" x14ac:dyDescent="0.25">
      <c r="B898" s="230"/>
      <c r="C898" s="230"/>
      <c r="D898" s="230"/>
      <c r="E898" s="230"/>
      <c r="F898" s="230"/>
      <c r="G898" s="230"/>
      <c r="H898" s="231"/>
      <c r="I898" s="230"/>
      <c r="J898" s="230"/>
      <c r="K898" s="230"/>
      <c r="L898" s="232"/>
      <c r="M898" s="211"/>
      <c r="N898" s="481"/>
      <c r="O898" s="481"/>
      <c r="P898" s="48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</row>
    <row r="899" spans="1:36" s="204" customFormat="1" ht="63.75" x14ac:dyDescent="0.25">
      <c r="B899" s="230"/>
      <c r="C899" s="230"/>
      <c r="D899" s="230"/>
      <c r="E899" s="230"/>
      <c r="F899" s="230"/>
      <c r="G899" s="230"/>
      <c r="H899" s="231"/>
      <c r="I899" s="230"/>
      <c r="J899" s="230"/>
      <c r="K899" s="230"/>
      <c r="L899" s="232"/>
      <c r="M899" s="211"/>
      <c r="N899" s="256" t="str">
        <f>N$15</f>
        <v>Valore netto al 31/12/2019</v>
      </c>
      <c r="O899" s="256" t="str">
        <f>O$15</f>
        <v>Valore netto al 31/12/2020</v>
      </c>
      <c r="P899" s="256" t="str">
        <f>P$15</f>
        <v>Variazione</v>
      </c>
      <c r="Q899" s="262" t="s">
        <v>2971</v>
      </c>
      <c r="R899" s="442" t="s">
        <v>3877</v>
      </c>
      <c r="S899" s="262" t="s">
        <v>2972</v>
      </c>
      <c r="T899" s="442" t="s">
        <v>3913</v>
      </c>
      <c r="U899" s="442" t="s">
        <v>3914</v>
      </c>
      <c r="V899" s="442" t="s">
        <v>3915</v>
      </c>
      <c r="W899" s="262" t="s">
        <v>2975</v>
      </c>
      <c r="X899" s="442" t="s">
        <v>3883</v>
      </c>
      <c r="Y899" s="211"/>
      <c r="Z899" s="211"/>
      <c r="AA899" s="211"/>
    </row>
    <row r="900" spans="1:36" s="204" customFormat="1" x14ac:dyDescent="0.25">
      <c r="B900" s="246" t="s">
        <v>2247</v>
      </c>
      <c r="C900" s="246" t="s">
        <v>2248</v>
      </c>
      <c r="D900" s="247" t="s">
        <v>3993</v>
      </c>
      <c r="E900" s="247"/>
      <c r="F900" s="247"/>
      <c r="G900" s="247"/>
      <c r="H900" s="248"/>
      <c r="I900" s="247"/>
      <c r="J900" s="398"/>
      <c r="K900" s="399"/>
      <c r="L900" s="441" t="s">
        <v>2252</v>
      </c>
      <c r="M900" s="251" t="s">
        <v>2962</v>
      </c>
      <c r="N900" s="482">
        <f>+R900</f>
        <v>32362</v>
      </c>
      <c r="O900" s="483">
        <f>+X900</f>
        <v>32362</v>
      </c>
      <c r="P900" s="484">
        <f>+O900-N900</f>
        <v>0</v>
      </c>
      <c r="Q900" s="272">
        <f>+'NI-San_SP'!Q900+'NI-Soc_SP'!Q900+'NI-Ric_SP'!Q900</f>
        <v>0</v>
      </c>
      <c r="R900" s="272">
        <f>+'NI-San_SP'!R900+'NI-Soc_SP'!R900+'NI-Ric_SP'!R900</f>
        <v>32362</v>
      </c>
      <c r="S900" s="272">
        <f>+'NI-San_SP'!T900+'NI-Soc_SP'!S900+'NI-Ric_SP'!S900</f>
        <v>0</v>
      </c>
      <c r="T900" s="272">
        <f>+'NI-San_SP'!U900+'NI-Soc_SP'!T900+'NI-Ric_SP'!T900</f>
        <v>0</v>
      </c>
      <c r="U900" s="272">
        <f>+'NI-San_SP'!V900+'NI-Soc_SP'!U900+'NI-Ric_SP'!U900</f>
        <v>0</v>
      </c>
      <c r="V900" s="272">
        <f>+'NI-San_SP'!V900+'NI-Soc_SP'!V900+'NI-Ric_SP'!V900</f>
        <v>0</v>
      </c>
      <c r="W900" s="272">
        <f>+'NI-San_SP'!W900+'NI-Soc_SP'!W900+'NI-Ric_SP'!W900</f>
        <v>0</v>
      </c>
      <c r="X900" s="272">
        <f>+'NI-San_SP'!X900+'NI-Soc_SP'!X900+'NI-Ric_SP'!X900</f>
        <v>32362</v>
      </c>
      <c r="Y900" s="211"/>
      <c r="Z900" s="211"/>
      <c r="AA900" s="211"/>
    </row>
    <row r="901" spans="1:36" s="204" customFormat="1" x14ac:dyDescent="0.25">
      <c r="B901" s="230"/>
      <c r="C901" s="230"/>
      <c r="D901" s="230"/>
      <c r="E901" s="230"/>
      <c r="F901" s="230"/>
      <c r="G901" s="230"/>
      <c r="H901" s="231"/>
      <c r="I901" s="230"/>
      <c r="J901" s="230"/>
      <c r="K901" s="230"/>
      <c r="L901" s="232"/>
      <c r="M901" s="211"/>
      <c r="N901" s="481"/>
      <c r="O901" s="481"/>
      <c r="P901" s="48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</row>
    <row r="902" spans="1:36" s="204" customFormat="1" ht="63.75" x14ac:dyDescent="0.25">
      <c r="B902" s="230"/>
      <c r="C902" s="230"/>
      <c r="D902" s="230"/>
      <c r="E902" s="230"/>
      <c r="F902" s="230"/>
      <c r="G902" s="230"/>
      <c r="H902" s="231"/>
      <c r="I902" s="230"/>
      <c r="J902" s="230"/>
      <c r="K902" s="230"/>
      <c r="L902" s="232"/>
      <c r="M902" s="211"/>
      <c r="N902" s="256" t="str">
        <f>N$15</f>
        <v>Valore netto al 31/12/2019</v>
      </c>
      <c r="O902" s="256" t="str">
        <f>O$15</f>
        <v>Valore netto al 31/12/2020</v>
      </c>
      <c r="P902" s="256" t="str">
        <f>P$15</f>
        <v>Variazione</v>
      </c>
      <c r="Q902" s="262" t="s">
        <v>2971</v>
      </c>
      <c r="R902" s="442" t="s">
        <v>3877</v>
      </c>
      <c r="S902" s="262" t="s">
        <v>2972</v>
      </c>
      <c r="T902" s="442" t="s">
        <v>3913</v>
      </c>
      <c r="U902" s="442" t="s">
        <v>3914</v>
      </c>
      <c r="V902" s="442" t="s">
        <v>3915</v>
      </c>
      <c r="W902" s="262" t="s">
        <v>2975</v>
      </c>
      <c r="X902" s="442" t="s">
        <v>3883</v>
      </c>
      <c r="Y902" s="211"/>
      <c r="Z902" s="211"/>
      <c r="AA902" s="211"/>
    </row>
    <row r="903" spans="1:36" s="204" customFormat="1" x14ac:dyDescent="0.25">
      <c r="A903" s="204" t="s">
        <v>3681</v>
      </c>
      <c r="B903" s="246" t="s">
        <v>2253</v>
      </c>
      <c r="C903" s="79" t="s">
        <v>2254</v>
      </c>
      <c r="D903" s="247" t="s">
        <v>3993</v>
      </c>
      <c r="E903" s="247"/>
      <c r="F903" s="247"/>
      <c r="G903" s="247"/>
      <c r="H903" s="248"/>
      <c r="I903" s="247"/>
      <c r="J903" s="398"/>
      <c r="K903" s="399"/>
      <c r="L903" s="441" t="s">
        <v>2256</v>
      </c>
      <c r="M903" s="251"/>
      <c r="N903" s="482">
        <f>+R903</f>
        <v>0</v>
      </c>
      <c r="O903" s="483">
        <f>+X903</f>
        <v>0</v>
      </c>
      <c r="P903" s="484">
        <f>+O903-N903</f>
        <v>0</v>
      </c>
      <c r="Q903" s="272">
        <f>+'NI-San_SP'!Q903+'NI-Soc_SP'!Q903+'NI-Ric_SP'!Q903</f>
        <v>0</v>
      </c>
      <c r="R903" s="272">
        <f>+'NI-San_SP'!R903+'NI-Soc_SP'!R903+'NI-Ric_SP'!R903</f>
        <v>0</v>
      </c>
      <c r="S903" s="272">
        <f>+'NI-San_SP'!S903+'NI-Soc_SP'!S903+'NI-Ric_SP'!S903</f>
        <v>0</v>
      </c>
      <c r="T903" s="272">
        <f>+'NI-San_SP'!T903+'NI-Soc_SP'!T903+'NI-Ric_SP'!T903</f>
        <v>0</v>
      </c>
      <c r="U903" s="272">
        <f>+'NI-San_SP'!U903+'NI-Soc_SP'!U903+'NI-Ric_SP'!U903</f>
        <v>0</v>
      </c>
      <c r="V903" s="272">
        <f>+'NI-San_SP'!V903+'NI-Soc_SP'!V903+'NI-Ric_SP'!V903</f>
        <v>0</v>
      </c>
      <c r="W903" s="272">
        <f>+'NI-San_SP'!W903+'NI-Soc_SP'!W903+'NI-Ric_SP'!W903</f>
        <v>0</v>
      </c>
      <c r="X903" s="272">
        <f>+'NI-San_SP'!X903+'NI-Soc_SP'!X903+'NI-Ric_SP'!X903</f>
        <v>0</v>
      </c>
      <c r="Y903" s="211"/>
      <c r="Z903" s="211"/>
      <c r="AA903" s="211"/>
    </row>
    <row r="904" spans="1:36" s="204" customFormat="1" x14ac:dyDescent="0.25">
      <c r="B904" s="230"/>
      <c r="C904" s="230"/>
      <c r="D904" s="230"/>
      <c r="E904" s="230"/>
      <c r="F904" s="230"/>
      <c r="G904" s="230"/>
      <c r="H904" s="231"/>
      <c r="I904" s="230"/>
      <c r="J904" s="230"/>
      <c r="K904" s="230"/>
      <c r="L904" s="232"/>
      <c r="M904" s="211"/>
      <c r="N904" s="481"/>
      <c r="O904" s="481"/>
      <c r="P904" s="48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</row>
    <row r="905" spans="1:36" s="204" customFormat="1" x14ac:dyDescent="0.25">
      <c r="B905" s="230"/>
      <c r="C905" s="230"/>
      <c r="D905" s="230"/>
      <c r="E905" s="230"/>
      <c r="F905" s="230"/>
      <c r="G905" s="230"/>
      <c r="H905" s="231"/>
      <c r="I905" s="230"/>
      <c r="J905" s="230"/>
      <c r="K905" s="230"/>
      <c r="L905" s="232"/>
      <c r="M905" s="211"/>
      <c r="N905" s="481"/>
      <c r="O905" s="481"/>
      <c r="P905" s="481"/>
      <c r="Q905" s="211"/>
      <c r="R905" s="481"/>
      <c r="S905" s="481"/>
      <c r="T905" s="481"/>
      <c r="U905" s="481"/>
      <c r="V905" s="481"/>
      <c r="W905" s="211"/>
      <c r="X905" s="211"/>
      <c r="Y905" s="211"/>
      <c r="Z905" s="211"/>
      <c r="AA905" s="211"/>
    </row>
    <row r="906" spans="1:36" s="204" customFormat="1" x14ac:dyDescent="0.25">
      <c r="B906" s="236" t="s">
        <v>2257</v>
      </c>
      <c r="C906" s="233" t="s">
        <v>2258</v>
      </c>
      <c r="D906" s="234" t="s">
        <v>3994</v>
      </c>
      <c r="E906" s="234"/>
      <c r="F906" s="234"/>
      <c r="G906" s="234"/>
      <c r="H906" s="235"/>
      <c r="I906" s="234"/>
      <c r="J906" s="234"/>
      <c r="K906" s="234"/>
      <c r="L906" s="236" t="s">
        <v>2259</v>
      </c>
      <c r="M906" s="237" t="s">
        <v>2962</v>
      </c>
      <c r="N906" s="238">
        <f>+N910+N913+N923+N942+N944+N986+N999+N1018+N1022+N1026+N1030</f>
        <v>88013080</v>
      </c>
      <c r="O906" s="238">
        <f>+O910+O913+O923+O942+O944+O986+O999+O1018+O1022+O1026+O1030</f>
        <v>88880850</v>
      </c>
      <c r="P906" s="239">
        <f>+O906-N906</f>
        <v>867770</v>
      </c>
      <c r="Q906" s="238">
        <f t="shared" ref="Q906:AJ906" si="125">+Q910+Q913+Q923+Q942+Q944+Q986+Q999+Q1018+Q1022+Q1026+Q1030</f>
        <v>0</v>
      </c>
      <c r="R906" s="238">
        <f t="shared" si="125"/>
        <v>88013080</v>
      </c>
      <c r="S906" s="238">
        <f t="shared" si="125"/>
        <v>0</v>
      </c>
      <c r="T906" s="238">
        <f t="shared" si="125"/>
        <v>4755272</v>
      </c>
      <c r="U906" s="238">
        <f t="shared" si="125"/>
        <v>134357032</v>
      </c>
      <c r="V906" s="238">
        <f t="shared" si="125"/>
        <v>437700949</v>
      </c>
      <c r="W906" s="238">
        <f t="shared" si="125"/>
        <v>0</v>
      </c>
      <c r="X906" s="238">
        <f t="shared" si="125"/>
        <v>59486118</v>
      </c>
      <c r="Y906" s="238">
        <f t="shared" si="125"/>
        <v>377347061</v>
      </c>
      <c r="Z906" s="238">
        <f t="shared" si="125"/>
        <v>88880850</v>
      </c>
      <c r="AA906" s="238">
        <f t="shared" si="125"/>
        <v>9022148</v>
      </c>
      <c r="AB906" s="238">
        <f t="shared" si="125"/>
        <v>5336736</v>
      </c>
      <c r="AC906" s="238">
        <f t="shared" si="125"/>
        <v>3585168</v>
      </c>
      <c r="AD906" s="238">
        <f t="shared" si="125"/>
        <v>142750</v>
      </c>
      <c r="AE906" s="238">
        <f t="shared" si="125"/>
        <v>4505701</v>
      </c>
      <c r="AF906" s="238">
        <f t="shared" si="125"/>
        <v>1781162</v>
      </c>
      <c r="AG906" s="238">
        <f t="shared" si="125"/>
        <v>78864011</v>
      </c>
      <c r="AH906" s="238">
        <f t="shared" si="125"/>
        <v>76593843</v>
      </c>
      <c r="AI906" s="238">
        <f t="shared" si="125"/>
        <v>12150301</v>
      </c>
      <c r="AJ906" s="238">
        <f t="shared" si="125"/>
        <v>134648</v>
      </c>
    </row>
    <row r="907" spans="1:36" s="204" customFormat="1" x14ac:dyDescent="0.25"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Z907" s="213"/>
      <c r="AA907" s="213"/>
      <c r="AB907" s="213"/>
      <c r="AC907" s="211"/>
      <c r="AD907" s="211"/>
    </row>
    <row r="908" spans="1:36" s="204" customFormat="1" ht="18" customHeight="1" x14ac:dyDescent="0.25">
      <c r="B908" s="230"/>
      <c r="C908" s="230"/>
      <c r="D908" s="230"/>
      <c r="E908" s="230"/>
      <c r="F908" s="230"/>
      <c r="G908" s="230"/>
      <c r="H908" s="231"/>
      <c r="I908" s="230"/>
      <c r="J908" s="230"/>
      <c r="K908" s="230"/>
      <c r="L908" s="232"/>
      <c r="M908" s="211"/>
      <c r="N908" s="254"/>
      <c r="O908" s="211"/>
      <c r="P908" s="211"/>
      <c r="Q908" s="211"/>
      <c r="R908" s="211"/>
      <c r="S908" s="211"/>
      <c r="U908" s="910" t="s">
        <v>3495</v>
      </c>
      <c r="V908" s="910"/>
      <c r="W908" s="485"/>
      <c r="X908" s="903" t="s">
        <v>3496</v>
      </c>
      <c r="Y908" s="903"/>
      <c r="Z908" s="211"/>
      <c r="AA908" s="211"/>
      <c r="AB908" s="211"/>
      <c r="AC908" s="904" t="str">
        <f>"VALORE DEI DEBITI AL 31/12/"&amp;Info!B3&amp;" PER ANNO DI FORMAZIONE"</f>
        <v>VALORE DEI DEBITI AL 31/12/2020 PER ANNO DI FORMAZIONE</v>
      </c>
      <c r="AD908" s="904"/>
      <c r="AE908" s="904"/>
      <c r="AF908" s="904"/>
      <c r="AG908" s="904"/>
      <c r="AH908" s="905" t="str">
        <f>"Debiti al 31/12/"&amp;Info!B3&amp;" per scadenza"</f>
        <v>Debiti al 31/12/2020 per scadenza</v>
      </c>
      <c r="AI908" s="905"/>
      <c r="AJ908" s="905"/>
    </row>
    <row r="909" spans="1:36" s="204" customFormat="1" ht="63.75" x14ac:dyDescent="0.25">
      <c r="B909" s="211"/>
      <c r="C909" s="211"/>
      <c r="D909" s="211"/>
      <c r="E909" s="211"/>
      <c r="F909" s="211"/>
      <c r="G909" s="211"/>
      <c r="H909" s="353"/>
      <c r="I909" s="211"/>
      <c r="J909" s="211"/>
      <c r="K909" s="211"/>
      <c r="L909" s="255"/>
      <c r="M909" s="244"/>
      <c r="N909" s="256" t="str">
        <f>N$15</f>
        <v>Valore netto al 31/12/2019</v>
      </c>
      <c r="O909" s="256" t="str">
        <f>O$15</f>
        <v>Valore netto al 31/12/2020</v>
      </c>
      <c r="P909" s="256" t="str">
        <f>P$15</f>
        <v>Variazione</v>
      </c>
      <c r="Q909" s="262" t="s">
        <v>2971</v>
      </c>
      <c r="R909" s="262" t="s">
        <v>3517</v>
      </c>
      <c r="S909" s="262" t="s">
        <v>2972</v>
      </c>
      <c r="T909" s="486" t="s">
        <v>3995</v>
      </c>
      <c r="U909" s="337" t="s">
        <v>3996</v>
      </c>
      <c r="V909" s="337" t="s">
        <v>3495</v>
      </c>
      <c r="W909" s="262" t="s">
        <v>2975</v>
      </c>
      <c r="X909" s="338" t="s">
        <v>3498</v>
      </c>
      <c r="Y909" s="338" t="s">
        <v>3499</v>
      </c>
      <c r="Z909" s="262" t="s">
        <v>3815</v>
      </c>
      <c r="AA909" s="377" t="s">
        <v>3997</v>
      </c>
      <c r="AB909" s="377" t="s">
        <v>3998</v>
      </c>
      <c r="AC909" s="339" t="s">
        <v>3503</v>
      </c>
      <c r="AD909" s="339" t="s">
        <v>3504</v>
      </c>
      <c r="AE909" s="339" t="s">
        <v>3505</v>
      </c>
      <c r="AF909" s="339" t="s">
        <v>3506</v>
      </c>
      <c r="AG909" s="339" t="s">
        <v>3507</v>
      </c>
      <c r="AH909" s="340" t="s">
        <v>3508</v>
      </c>
      <c r="AI909" s="340" t="s">
        <v>3509</v>
      </c>
      <c r="AJ909" s="340" t="s">
        <v>3510</v>
      </c>
    </row>
    <row r="910" spans="1:36" s="204" customFormat="1" x14ac:dyDescent="0.25">
      <c r="B910" s="246" t="s">
        <v>2260</v>
      </c>
      <c r="C910" s="246" t="s">
        <v>2261</v>
      </c>
      <c r="D910" s="247" t="s">
        <v>3999</v>
      </c>
      <c r="E910" s="247"/>
      <c r="F910" s="247"/>
      <c r="G910" s="247"/>
      <c r="H910" s="248"/>
      <c r="I910" s="247"/>
      <c r="J910" s="398"/>
      <c r="K910" s="399"/>
      <c r="L910" s="400" t="s">
        <v>2265</v>
      </c>
      <c r="M910" s="251" t="s">
        <v>2962</v>
      </c>
      <c r="N910" s="410">
        <f>+R910</f>
        <v>655134</v>
      </c>
      <c r="O910" s="487">
        <f>+Z910</f>
        <v>220693</v>
      </c>
      <c r="P910" s="253">
        <f>+O910-N910</f>
        <v>-434441</v>
      </c>
      <c r="Q910" s="272">
        <f>+'NI-San_SP'!Q910+'NI-Soc_SP'!Q910+'NI-Ric_SP'!Q910</f>
        <v>0</v>
      </c>
      <c r="R910" s="272">
        <f>+'NI-San_SP'!R910+'NI-Soc_SP'!R910+'NI-Ric_SP'!R910</f>
        <v>655134</v>
      </c>
      <c r="S910" s="272">
        <f>+'NI-San_SP'!S910+'NI-Soc_SP'!S910+'NI-Ric_SP'!S910</f>
        <v>0</v>
      </c>
      <c r="T910" s="272">
        <f>+'NI-San_SP'!T910+'NI-Soc_SP'!T910+'NI-Ric_SP'!T910</f>
        <v>0</v>
      </c>
      <c r="U910" s="272">
        <f>+'NI-San_SP'!U910+'NI-Soc_SP'!U910+'NI-Ric_SP'!U910</f>
        <v>0</v>
      </c>
      <c r="V910" s="272">
        <f>+'NI-San_SP'!V910+'NI-Soc_SP'!V910+'NI-Ric_SP'!V910</f>
        <v>0</v>
      </c>
      <c r="W910" s="272">
        <f>+'NI-San_SP'!W910+'NI-Soc_SP'!W910+'NI-Ric_SP'!W910</f>
        <v>0</v>
      </c>
      <c r="X910" s="272">
        <f>+'NI-San_SP'!X910+'NI-Soc_SP'!X910+'NI-Ric_SP'!X910</f>
        <v>434441</v>
      </c>
      <c r="Y910" s="272">
        <f>+'NI-San_SP'!Y910+'NI-Soc_SP'!Y910+'NI-Ric_SP'!Y910</f>
        <v>0</v>
      </c>
      <c r="Z910" s="272">
        <f>+'NI-San_SP'!Z910+'NI-Soc_SP'!Z910+'NI-Ric_SP'!Z910</f>
        <v>220693</v>
      </c>
      <c r="AA910" s="272">
        <f>+'NI-San_SP'!AA910+'NI-Soc_SP'!AA910+'NI-Ric_SP'!AA910</f>
        <v>0</v>
      </c>
      <c r="AB910" s="272">
        <f>+'NI-San_SP'!AB910+'NI-Soc_SP'!AB910+'NI-Ric_SP'!AB910</f>
        <v>0</v>
      </c>
      <c r="AC910" s="272">
        <f>+'NI-San_SP'!AC910+'NI-Soc_SP'!AC910+'NI-Ric_SP'!AC910</f>
        <v>0</v>
      </c>
      <c r="AD910" s="272">
        <f>+'NI-San_SP'!AD910+'NI-Soc_SP'!AD910+'NI-Ric_SP'!AD910</f>
        <v>0</v>
      </c>
      <c r="AE910" s="272">
        <f>+'NI-San_SP'!AE910+'NI-Soc_SP'!AE910+'NI-Ric_SP'!AE910</f>
        <v>0</v>
      </c>
      <c r="AF910" s="272">
        <f>+'NI-San_SP'!AF910+'NI-Soc_SP'!AF910+'NI-Ric_SP'!AF910</f>
        <v>0</v>
      </c>
      <c r="AG910" s="272">
        <f>+'NI-San_SP'!AG910+'NI-Soc_SP'!AG910+'NI-Ric_SP'!AG910</f>
        <v>220693</v>
      </c>
      <c r="AH910" s="272">
        <f>+'NI-San_SP'!AH910+'NI-Soc_SP'!AH910+'NI-Ric_SP'!AH910</f>
        <v>220693</v>
      </c>
      <c r="AI910" s="272">
        <f>+'NI-San_SP'!AI910+'NI-Soc_SP'!AI910+'NI-Ric_SP'!AI910</f>
        <v>0</v>
      </c>
      <c r="AJ910" s="272">
        <f>+'NI-San_SP'!AJ910+'NI-Soc_SP'!AJ910+'NI-Ric_SP'!AJ910</f>
        <v>0</v>
      </c>
    </row>
    <row r="911" spans="1:36" s="204" customFormat="1" ht="26.25" x14ac:dyDescent="0.25">
      <c r="B911" s="230"/>
      <c r="C911" s="230"/>
      <c r="D911" s="230"/>
      <c r="E911" s="230"/>
      <c r="F911" s="230"/>
      <c r="G911" s="230"/>
      <c r="H911" s="231"/>
      <c r="I911" s="230"/>
      <c r="J911" s="230"/>
      <c r="K911" s="230"/>
      <c r="L911" s="232" t="s">
        <v>4000</v>
      </c>
      <c r="M911" s="211"/>
      <c r="N911" s="254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Z911" s="211"/>
      <c r="AA911" s="211"/>
      <c r="AB911" s="211"/>
      <c r="AC911" s="211"/>
      <c r="AD911" s="211"/>
    </row>
    <row r="912" spans="1:36" s="204" customFormat="1" x14ac:dyDescent="0.25">
      <c r="B912" s="230"/>
      <c r="C912" s="230"/>
      <c r="D912" s="230"/>
      <c r="E912" s="230"/>
      <c r="F912" s="230"/>
      <c r="G912" s="230"/>
      <c r="H912" s="231"/>
      <c r="I912" s="230"/>
      <c r="J912" s="230"/>
      <c r="K912" s="230"/>
      <c r="L912" s="232"/>
      <c r="M912" s="211"/>
      <c r="N912" s="254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Z912" s="211"/>
      <c r="AA912" s="211"/>
      <c r="AB912" s="211"/>
      <c r="AC912" s="211"/>
      <c r="AD912" s="211"/>
    </row>
    <row r="913" spans="1:36" s="204" customFormat="1" x14ac:dyDescent="0.25">
      <c r="B913" s="246" t="s">
        <v>2266</v>
      </c>
      <c r="C913" s="246" t="s">
        <v>2267</v>
      </c>
      <c r="D913" s="247" t="s">
        <v>4001</v>
      </c>
      <c r="E913" s="247"/>
      <c r="F913" s="247"/>
      <c r="G913" s="247"/>
      <c r="H913" s="248"/>
      <c r="I913" s="247"/>
      <c r="J913" s="247"/>
      <c r="K913" s="249"/>
      <c r="L913" s="441" t="s">
        <v>2271</v>
      </c>
      <c r="M913" s="251" t="s">
        <v>2962</v>
      </c>
      <c r="N913" s="252">
        <f>SUM(N917:N921)</f>
        <v>0</v>
      </c>
      <c r="O913" s="252">
        <f>SUM(O917:O921)</f>
        <v>1148</v>
      </c>
      <c r="P913" s="253">
        <f>+O913-N913</f>
        <v>1148</v>
      </c>
      <c r="Q913" s="252">
        <f t="shared" ref="Q913:AJ913" si="126">SUM(Q917:Q921)</f>
        <v>0</v>
      </c>
      <c r="R913" s="252">
        <f t="shared" si="126"/>
        <v>0</v>
      </c>
      <c r="S913" s="252">
        <f t="shared" si="126"/>
        <v>0</v>
      </c>
      <c r="T913" s="252">
        <f t="shared" si="126"/>
        <v>0</v>
      </c>
      <c r="U913" s="252">
        <f t="shared" si="126"/>
        <v>0</v>
      </c>
      <c r="V913" s="252">
        <f t="shared" si="126"/>
        <v>12903</v>
      </c>
      <c r="W913" s="252">
        <f t="shared" si="126"/>
        <v>0</v>
      </c>
      <c r="X913" s="252">
        <f t="shared" si="126"/>
        <v>0</v>
      </c>
      <c r="Y913" s="252">
        <f t="shared" si="126"/>
        <v>11755</v>
      </c>
      <c r="Z913" s="252">
        <f t="shared" si="126"/>
        <v>1148</v>
      </c>
      <c r="AA913" s="252">
        <f t="shared" si="126"/>
        <v>0</v>
      </c>
      <c r="AB913" s="252">
        <f t="shared" si="126"/>
        <v>0</v>
      </c>
      <c r="AC913" s="252">
        <f t="shared" si="126"/>
        <v>0</v>
      </c>
      <c r="AD913" s="252">
        <f t="shared" si="126"/>
        <v>0</v>
      </c>
      <c r="AE913" s="252">
        <f t="shared" si="126"/>
        <v>0</v>
      </c>
      <c r="AF913" s="252">
        <f t="shared" si="126"/>
        <v>0</v>
      </c>
      <c r="AG913" s="252">
        <f t="shared" si="126"/>
        <v>1148</v>
      </c>
      <c r="AH913" s="252">
        <f t="shared" si="126"/>
        <v>0</v>
      </c>
      <c r="AI913" s="252">
        <f t="shared" si="126"/>
        <v>1148</v>
      </c>
      <c r="AJ913" s="252">
        <f t="shared" si="126"/>
        <v>0</v>
      </c>
    </row>
    <row r="914" spans="1:36" s="204" customFormat="1" x14ac:dyDescent="0.25">
      <c r="B914" s="216"/>
      <c r="C914" s="216"/>
      <c r="D914" s="226"/>
      <c r="E914" s="226"/>
      <c r="F914" s="226"/>
      <c r="G914" s="226"/>
      <c r="H914" s="227"/>
      <c r="I914" s="226"/>
      <c r="J914" s="226"/>
      <c r="K914" s="226"/>
      <c r="L914" s="403"/>
      <c r="M914" s="278"/>
      <c r="N914" s="279"/>
      <c r="O914" s="279"/>
      <c r="P914" s="404"/>
      <c r="Q914" s="211"/>
      <c r="R914" s="279"/>
      <c r="S914" s="211"/>
      <c r="T914" s="211"/>
      <c r="U914" s="211"/>
      <c r="V914" s="211"/>
      <c r="W914" s="211"/>
      <c r="X914" s="211"/>
      <c r="Z914" s="211"/>
      <c r="AA914" s="211"/>
      <c r="AB914" s="211"/>
      <c r="AC914" s="211"/>
      <c r="AD914" s="211"/>
    </row>
    <row r="915" spans="1:36" s="204" customFormat="1" ht="15.75" customHeight="1" x14ac:dyDescent="0.25">
      <c r="B915" s="230"/>
      <c r="C915" s="230"/>
      <c r="D915" s="230"/>
      <c r="E915" s="230"/>
      <c r="F915" s="230"/>
      <c r="G915" s="230"/>
      <c r="H915" s="231"/>
      <c r="I915" s="230"/>
      <c r="J915" s="230"/>
      <c r="K915" s="230"/>
      <c r="L915" s="232"/>
      <c r="M915" s="211"/>
      <c r="N915" s="254"/>
      <c r="O915" s="211"/>
      <c r="P915" s="211"/>
      <c r="Q915" s="211"/>
      <c r="R915" s="211"/>
      <c r="S915" s="211"/>
      <c r="U915" s="910" t="s">
        <v>3495</v>
      </c>
      <c r="V915" s="910"/>
      <c r="W915" s="485"/>
      <c r="X915" s="903" t="s">
        <v>3496</v>
      </c>
      <c r="Y915" s="903"/>
      <c r="Z915" s="211"/>
      <c r="AA915" s="211"/>
      <c r="AB915" s="211"/>
      <c r="AC915" s="904" t="str">
        <f>+AC908</f>
        <v>VALORE DEI DEBITI AL 31/12/2020 PER ANNO DI FORMAZIONE</v>
      </c>
      <c r="AD915" s="904"/>
      <c r="AE915" s="904"/>
      <c r="AF915" s="904"/>
      <c r="AG915" s="904"/>
      <c r="AH915" s="905" t="str">
        <f>+AH908</f>
        <v>Debiti al 31/12/2020 per scadenza</v>
      </c>
      <c r="AI915" s="905"/>
      <c r="AJ915" s="905"/>
    </row>
    <row r="916" spans="1:36" s="204" customFormat="1" ht="63.75" x14ac:dyDescent="0.25">
      <c r="B916" s="260" t="s">
        <v>2968</v>
      </c>
      <c r="C916" s="260" t="s">
        <v>2969</v>
      </c>
      <c r="D916" s="206" t="s">
        <v>72</v>
      </c>
      <c r="E916" s="206"/>
      <c r="F916" s="206"/>
      <c r="G916" s="207"/>
      <c r="H916" s="207"/>
      <c r="I916" s="207"/>
      <c r="J916" s="207" t="s">
        <v>2957</v>
      </c>
      <c r="K916" s="206" t="s">
        <v>82</v>
      </c>
      <c r="L916" s="261" t="s">
        <v>3670</v>
      </c>
      <c r="M916" s="480"/>
      <c r="N916" s="256" t="str">
        <f>N$15</f>
        <v>Valore netto al 31/12/2019</v>
      </c>
      <c r="O916" s="256" t="str">
        <f>O$15</f>
        <v>Valore netto al 31/12/2020</v>
      </c>
      <c r="P916" s="256" t="str">
        <f>P$15</f>
        <v>Variazione</v>
      </c>
      <c r="Q916" s="262" t="s">
        <v>2971</v>
      </c>
      <c r="R916" s="262" t="s">
        <v>3517</v>
      </c>
      <c r="S916" s="262" t="s">
        <v>2972</v>
      </c>
      <c r="T916" s="486" t="s">
        <v>3995</v>
      </c>
      <c r="U916" s="337" t="s">
        <v>3996</v>
      </c>
      <c r="V916" s="337" t="s">
        <v>3495</v>
      </c>
      <c r="W916" s="262" t="s">
        <v>2975</v>
      </c>
      <c r="X916" s="338" t="s">
        <v>3498</v>
      </c>
      <c r="Y916" s="338" t="s">
        <v>3499</v>
      </c>
      <c r="Z916" s="262" t="s">
        <v>3815</v>
      </c>
      <c r="AA916" s="377" t="s">
        <v>3997</v>
      </c>
      <c r="AB916" s="377" t="s">
        <v>3998</v>
      </c>
      <c r="AC916" s="339" t="s">
        <v>3503</v>
      </c>
      <c r="AD916" s="339" t="s">
        <v>3504</v>
      </c>
      <c r="AE916" s="339" t="s">
        <v>3505</v>
      </c>
      <c r="AF916" s="339" t="s">
        <v>3506</v>
      </c>
      <c r="AG916" s="339" t="s">
        <v>3507</v>
      </c>
      <c r="AH916" s="340" t="s">
        <v>3508</v>
      </c>
      <c r="AI916" s="340" t="s">
        <v>3509</v>
      </c>
      <c r="AJ916" s="340" t="s">
        <v>3510</v>
      </c>
    </row>
    <row r="917" spans="1:36" s="204" customFormat="1" x14ac:dyDescent="0.25">
      <c r="B917" s="246" t="s">
        <v>2272</v>
      </c>
      <c r="C917" s="287" t="s">
        <v>2273</v>
      </c>
      <c r="D917" s="284" t="s">
        <v>4002</v>
      </c>
      <c r="E917" s="274"/>
      <c r="F917" s="274"/>
      <c r="G917" s="283"/>
      <c r="H917" s="266"/>
      <c r="I917" s="274"/>
      <c r="J917" s="281"/>
      <c r="K917" s="281"/>
      <c r="L917" s="488" t="s">
        <v>2275</v>
      </c>
      <c r="M917" s="284" t="s">
        <v>2962</v>
      </c>
      <c r="N917" s="489">
        <f>+R917</f>
        <v>0</v>
      </c>
      <c r="O917" s="489">
        <f>+Z917</f>
        <v>0</v>
      </c>
      <c r="P917" s="271">
        <f>+O917-N917</f>
        <v>0</v>
      </c>
      <c r="Q917" s="272">
        <f>+'NI-San_SP'!Q917+'NI-Soc_SP'!Q917+'NI-Ric_SP'!Q917</f>
        <v>0</v>
      </c>
      <c r="R917" s="272">
        <f>+'NI-San_SP'!R917+'NI-Soc_SP'!R917+'NI-Ric_SP'!R917</f>
        <v>0</v>
      </c>
      <c r="S917" s="272">
        <f>+'NI-San_SP'!S917+'NI-Soc_SP'!S917+'NI-Ric_SP'!S917</f>
        <v>0</v>
      </c>
      <c r="T917" s="272">
        <f>+'NI-San_SP'!T917+'NI-Soc_SP'!T917+'NI-Ric_SP'!T917</f>
        <v>0</v>
      </c>
      <c r="U917" s="272">
        <f>+'NI-San_SP'!U917+'NI-Soc_SP'!U917+'NI-Ric_SP'!U917</f>
        <v>0</v>
      </c>
      <c r="V917" s="272">
        <f>+'NI-San_SP'!V917+'NI-Soc_SP'!V917+'NI-Ric_SP'!V917</f>
        <v>0</v>
      </c>
      <c r="W917" s="272">
        <f>+'NI-San_SP'!W917+'NI-Soc_SP'!W917+'NI-Ric_SP'!W917</f>
        <v>0</v>
      </c>
      <c r="X917" s="272">
        <f>+'NI-San_SP'!X917+'NI-Soc_SP'!X917+'NI-Ric_SP'!X917</f>
        <v>0</v>
      </c>
      <c r="Y917" s="272">
        <f>+'NI-San_SP'!Y917+'NI-Soc_SP'!Y917+'NI-Ric_SP'!Y917</f>
        <v>0</v>
      </c>
      <c r="Z917" s="272">
        <f>+'NI-San_SP'!Z917+'NI-Soc_SP'!Z917+'NI-Ric_SP'!Z917</f>
        <v>0</v>
      </c>
      <c r="AA917" s="272">
        <f>+'NI-San_SP'!AA917+'NI-Soc_SP'!AA917+'NI-Ric_SP'!AA917</f>
        <v>0</v>
      </c>
      <c r="AB917" s="272">
        <f>+'NI-San_SP'!AB917+'NI-Soc_SP'!AB917+'NI-Ric_SP'!AB917</f>
        <v>0</v>
      </c>
      <c r="AC917" s="272">
        <f>+'NI-San_SP'!AC917+'NI-Soc_SP'!AC917+'NI-Ric_SP'!AC917</f>
        <v>0</v>
      </c>
      <c r="AD917" s="272">
        <f>+'NI-San_SP'!AD917+'NI-Soc_SP'!AD917+'NI-Ric_SP'!AD917</f>
        <v>0</v>
      </c>
      <c r="AE917" s="272">
        <f>+'NI-San_SP'!AE917+'NI-Soc_SP'!AE917+'NI-Ric_SP'!AE917</f>
        <v>0</v>
      </c>
      <c r="AF917" s="272">
        <f>+'NI-San_SP'!AF917+'NI-Soc_SP'!AF917+'NI-Ric_SP'!AF917</f>
        <v>0</v>
      </c>
      <c r="AG917" s="272">
        <f>+'NI-San_SP'!AG917+'NI-Soc_SP'!AG917+'NI-Ric_SP'!AG917</f>
        <v>0</v>
      </c>
      <c r="AH917" s="272">
        <f>+'NI-San_SP'!AH917+'NI-Soc_SP'!AH917+'NI-Ric_SP'!AH917</f>
        <v>0</v>
      </c>
      <c r="AI917" s="272">
        <f>+'NI-San_SP'!AI917+'NI-Soc_SP'!AI917+'NI-Ric_SP'!AI917</f>
        <v>0</v>
      </c>
      <c r="AJ917" s="272">
        <f>+'NI-San_SP'!AJ917+'NI-Soc_SP'!AJ917+'NI-Ric_SP'!AJ917</f>
        <v>0</v>
      </c>
    </row>
    <row r="918" spans="1:36" s="204" customFormat="1" x14ac:dyDescent="0.25">
      <c r="B918" s="246" t="s">
        <v>2276</v>
      </c>
      <c r="C918" s="287" t="s">
        <v>2277</v>
      </c>
      <c r="D918" s="284" t="s">
        <v>4003</v>
      </c>
      <c r="E918" s="274"/>
      <c r="F918" s="274"/>
      <c r="G918" s="283"/>
      <c r="H918" s="266"/>
      <c r="I918" s="274"/>
      <c r="J918" s="281"/>
      <c r="K918" s="281"/>
      <c r="L918" s="488" t="s">
        <v>2279</v>
      </c>
      <c r="M918" s="284" t="s">
        <v>2962</v>
      </c>
      <c r="N918" s="489">
        <f>+R918</f>
        <v>0</v>
      </c>
      <c r="O918" s="489">
        <f>+Z918</f>
        <v>0</v>
      </c>
      <c r="P918" s="271">
        <f>+O918-N918</f>
        <v>0</v>
      </c>
      <c r="Q918" s="272">
        <f>+'NI-San_SP'!Q918+'NI-Soc_SP'!Q918+'NI-Ric_SP'!Q918</f>
        <v>0</v>
      </c>
      <c r="R918" s="272">
        <f>+'NI-San_SP'!R918+'NI-Soc_SP'!R918+'NI-Ric_SP'!R918</f>
        <v>0</v>
      </c>
      <c r="S918" s="272">
        <f>+'NI-San_SP'!S918+'NI-Soc_SP'!S918+'NI-Ric_SP'!S918</f>
        <v>0</v>
      </c>
      <c r="T918" s="272">
        <f>+'NI-San_SP'!T918+'NI-Soc_SP'!T918+'NI-Ric_SP'!T918</f>
        <v>0</v>
      </c>
      <c r="U918" s="272">
        <f>+'NI-San_SP'!U918+'NI-Soc_SP'!U918+'NI-Ric_SP'!U918</f>
        <v>0</v>
      </c>
      <c r="V918" s="272">
        <f>+'NI-San_SP'!V918+'NI-Soc_SP'!V918+'NI-Ric_SP'!V918</f>
        <v>0</v>
      </c>
      <c r="W918" s="272">
        <f>+'NI-San_SP'!W918+'NI-Soc_SP'!W918+'NI-Ric_SP'!W918</f>
        <v>0</v>
      </c>
      <c r="X918" s="272">
        <f>+'NI-San_SP'!X918+'NI-Soc_SP'!X918+'NI-Ric_SP'!X918</f>
        <v>0</v>
      </c>
      <c r="Y918" s="272">
        <f>+'NI-San_SP'!Y918+'NI-Soc_SP'!Y918+'NI-Ric_SP'!Y918</f>
        <v>0</v>
      </c>
      <c r="Z918" s="272">
        <f>+'NI-San_SP'!Z918+'NI-Soc_SP'!Z918+'NI-Ric_SP'!Z918</f>
        <v>0</v>
      </c>
      <c r="AA918" s="272">
        <f>+'NI-San_SP'!AA918+'NI-Soc_SP'!AA918+'NI-Ric_SP'!AA918</f>
        <v>0</v>
      </c>
      <c r="AB918" s="272">
        <f>+'NI-San_SP'!AB918+'NI-Soc_SP'!AB918+'NI-Ric_SP'!AB918</f>
        <v>0</v>
      </c>
      <c r="AC918" s="272">
        <f>+'NI-San_SP'!AC918+'NI-Soc_SP'!AC918+'NI-Ric_SP'!AC918</f>
        <v>0</v>
      </c>
      <c r="AD918" s="272">
        <f>+'NI-San_SP'!AD918+'NI-Soc_SP'!AD918+'NI-Ric_SP'!AD918</f>
        <v>0</v>
      </c>
      <c r="AE918" s="272">
        <f>+'NI-San_SP'!AE918+'NI-Soc_SP'!AE918+'NI-Ric_SP'!AE918</f>
        <v>0</v>
      </c>
      <c r="AF918" s="272">
        <f>+'NI-San_SP'!AF918+'NI-Soc_SP'!AF918+'NI-Ric_SP'!AF918</f>
        <v>0</v>
      </c>
      <c r="AG918" s="272">
        <f>+'NI-San_SP'!AG918+'NI-Soc_SP'!AG918+'NI-Ric_SP'!AG918</f>
        <v>0</v>
      </c>
      <c r="AH918" s="272">
        <f>+'NI-San_SP'!AH918+'NI-Soc_SP'!AH918+'NI-Ric_SP'!AH918</f>
        <v>0</v>
      </c>
      <c r="AI918" s="272">
        <f>+'NI-San_SP'!AI918+'NI-Soc_SP'!AI918+'NI-Ric_SP'!AI918</f>
        <v>0</v>
      </c>
      <c r="AJ918" s="272">
        <f>+'NI-San_SP'!AJ918+'NI-Soc_SP'!AJ918+'NI-Ric_SP'!AJ918</f>
        <v>0</v>
      </c>
    </row>
    <row r="919" spans="1:36" s="204" customFormat="1" x14ac:dyDescent="0.25">
      <c r="B919" s="246" t="s">
        <v>2280</v>
      </c>
      <c r="C919" s="287" t="s">
        <v>2281</v>
      </c>
      <c r="D919" s="284" t="s">
        <v>4004</v>
      </c>
      <c r="E919" s="274"/>
      <c r="F919" s="274"/>
      <c r="G919" s="283"/>
      <c r="H919" s="266"/>
      <c r="I919" s="274"/>
      <c r="J919" s="281"/>
      <c r="K919" s="281"/>
      <c r="L919" s="488" t="s">
        <v>2283</v>
      </c>
      <c r="M919" s="284" t="s">
        <v>2962</v>
      </c>
      <c r="N919" s="489">
        <f>+R919</f>
        <v>0</v>
      </c>
      <c r="O919" s="489">
        <f>+Z919</f>
        <v>0</v>
      </c>
      <c r="P919" s="271">
        <f>+O919-N919</f>
        <v>0</v>
      </c>
      <c r="Q919" s="272">
        <f>+'NI-San_SP'!Q919+'NI-Soc_SP'!Q919+'NI-Ric_SP'!Q919</f>
        <v>0</v>
      </c>
      <c r="R919" s="272">
        <f>+'NI-San_SP'!R919+'NI-Soc_SP'!R919+'NI-Ric_SP'!R919</f>
        <v>0</v>
      </c>
      <c r="S919" s="272">
        <f>+'NI-San_SP'!S919+'NI-Soc_SP'!S919+'NI-Ric_SP'!S919</f>
        <v>0</v>
      </c>
      <c r="T919" s="272">
        <f>+'NI-San_SP'!T919+'NI-Soc_SP'!T919+'NI-Ric_SP'!T919</f>
        <v>0</v>
      </c>
      <c r="U919" s="272">
        <f>+'NI-San_SP'!U919+'NI-Soc_SP'!U919+'NI-Ric_SP'!U919</f>
        <v>0</v>
      </c>
      <c r="V919" s="272">
        <f>+'NI-San_SP'!V919+'NI-Soc_SP'!V919+'NI-Ric_SP'!V919</f>
        <v>0</v>
      </c>
      <c r="W919" s="272">
        <f>+'NI-San_SP'!W919+'NI-Soc_SP'!W919+'NI-Ric_SP'!W919</f>
        <v>0</v>
      </c>
      <c r="X919" s="272">
        <f>+'NI-San_SP'!X919+'NI-Soc_SP'!X919+'NI-Ric_SP'!X919</f>
        <v>0</v>
      </c>
      <c r="Y919" s="272">
        <f>+'NI-San_SP'!Y919+'NI-Soc_SP'!Y919+'NI-Ric_SP'!Y919</f>
        <v>0</v>
      </c>
      <c r="Z919" s="272">
        <f>+'NI-San_SP'!Z919+'NI-Soc_SP'!Z919+'NI-Ric_SP'!Z919</f>
        <v>0</v>
      </c>
      <c r="AA919" s="272">
        <f>+'NI-San_SP'!AA919+'NI-Soc_SP'!AA919+'NI-Ric_SP'!AA919</f>
        <v>0</v>
      </c>
      <c r="AB919" s="272">
        <f>+'NI-San_SP'!AB919+'NI-Soc_SP'!AB919+'NI-Ric_SP'!AB919</f>
        <v>0</v>
      </c>
      <c r="AC919" s="272">
        <f>+'NI-San_SP'!AC919+'NI-Soc_SP'!AC919+'NI-Ric_SP'!AC919</f>
        <v>0</v>
      </c>
      <c r="AD919" s="272">
        <f>+'NI-San_SP'!AD919+'NI-Soc_SP'!AD919+'NI-Ric_SP'!AD919</f>
        <v>0</v>
      </c>
      <c r="AE919" s="272">
        <f>+'NI-San_SP'!AE919+'NI-Soc_SP'!AE919+'NI-Ric_SP'!AE919</f>
        <v>0</v>
      </c>
      <c r="AF919" s="272">
        <f>+'NI-San_SP'!AF919+'NI-Soc_SP'!AF919+'NI-Ric_SP'!AF919</f>
        <v>0</v>
      </c>
      <c r="AG919" s="272">
        <f>+'NI-San_SP'!AG919+'NI-Soc_SP'!AG919+'NI-Ric_SP'!AG919</f>
        <v>0</v>
      </c>
      <c r="AH919" s="272">
        <f>+'NI-San_SP'!AH919+'NI-Soc_SP'!AH919+'NI-Ric_SP'!AH919</f>
        <v>0</v>
      </c>
      <c r="AI919" s="272">
        <f>+'NI-San_SP'!AI919+'NI-Soc_SP'!AI919+'NI-Ric_SP'!AI919</f>
        <v>0</v>
      </c>
      <c r="AJ919" s="272">
        <f>+'NI-San_SP'!AJ919+'NI-Soc_SP'!AJ919+'NI-Ric_SP'!AJ919</f>
        <v>0</v>
      </c>
    </row>
    <row r="920" spans="1:36" s="204" customFormat="1" x14ac:dyDescent="0.25">
      <c r="B920" s="246" t="s">
        <v>2284</v>
      </c>
      <c r="C920" s="287" t="s">
        <v>2285</v>
      </c>
      <c r="D920" s="284" t="s">
        <v>4005</v>
      </c>
      <c r="E920" s="274"/>
      <c r="F920" s="274"/>
      <c r="G920" s="283"/>
      <c r="H920" s="266"/>
      <c r="I920" s="274"/>
      <c r="J920" s="281"/>
      <c r="K920" s="281"/>
      <c r="L920" s="488" t="s">
        <v>2287</v>
      </c>
      <c r="M920" s="284" t="s">
        <v>2962</v>
      </c>
      <c r="N920" s="489">
        <f>+R920</f>
        <v>0</v>
      </c>
      <c r="O920" s="489">
        <f>+Z920</f>
        <v>0</v>
      </c>
      <c r="P920" s="271">
        <f>+O920-N920</f>
        <v>0</v>
      </c>
      <c r="Q920" s="272">
        <f>+'NI-San_SP'!Q920+'NI-Soc_SP'!Q920+'NI-Ric_SP'!Q920</f>
        <v>0</v>
      </c>
      <c r="R920" s="272">
        <f>+'NI-San_SP'!R920+'NI-Soc_SP'!R920+'NI-Ric_SP'!R920</f>
        <v>0</v>
      </c>
      <c r="S920" s="272">
        <f>+'NI-San_SP'!S920+'NI-Soc_SP'!S920+'NI-Ric_SP'!S920</f>
        <v>0</v>
      </c>
      <c r="T920" s="272">
        <f>+'NI-San_SP'!T920+'NI-Soc_SP'!T920+'NI-Ric_SP'!T920</f>
        <v>0</v>
      </c>
      <c r="U920" s="272">
        <f>+'NI-San_SP'!U920+'NI-Soc_SP'!U920+'NI-Ric_SP'!U920</f>
        <v>0</v>
      </c>
      <c r="V920" s="272">
        <f>+'NI-San_SP'!V920+'NI-Soc_SP'!V920+'NI-Ric_SP'!V920</f>
        <v>0</v>
      </c>
      <c r="W920" s="272">
        <f>+'NI-San_SP'!W920+'NI-Soc_SP'!W920+'NI-Ric_SP'!W920</f>
        <v>0</v>
      </c>
      <c r="X920" s="272">
        <f>+'NI-San_SP'!X920+'NI-Soc_SP'!X920+'NI-Ric_SP'!X920</f>
        <v>0</v>
      </c>
      <c r="Y920" s="272">
        <f>+'NI-San_SP'!Y920+'NI-Soc_SP'!Y920+'NI-Ric_SP'!Y920</f>
        <v>0</v>
      </c>
      <c r="Z920" s="272">
        <f>+'NI-San_SP'!Z920+'NI-Soc_SP'!Z920+'NI-Ric_SP'!Z920</f>
        <v>0</v>
      </c>
      <c r="AA920" s="272">
        <f>+'NI-San_SP'!AA920+'NI-Soc_SP'!AA920+'NI-Ric_SP'!AA920</f>
        <v>0</v>
      </c>
      <c r="AB920" s="272">
        <f>+'NI-San_SP'!AB920+'NI-Soc_SP'!AB920+'NI-Ric_SP'!AB920</f>
        <v>0</v>
      </c>
      <c r="AC920" s="272">
        <f>+'NI-San_SP'!AC920+'NI-Soc_SP'!AC920+'NI-Ric_SP'!AC920</f>
        <v>0</v>
      </c>
      <c r="AD920" s="272">
        <f>+'NI-San_SP'!AD920+'NI-Soc_SP'!AD920+'NI-Ric_SP'!AD920</f>
        <v>0</v>
      </c>
      <c r="AE920" s="272">
        <f>+'NI-San_SP'!AE920+'NI-Soc_SP'!AE920+'NI-Ric_SP'!AE920</f>
        <v>0</v>
      </c>
      <c r="AF920" s="272">
        <f>+'NI-San_SP'!AF920+'NI-Soc_SP'!AF920+'NI-Ric_SP'!AF920</f>
        <v>0</v>
      </c>
      <c r="AG920" s="272">
        <f>+'NI-San_SP'!AG920+'NI-Soc_SP'!AG920+'NI-Ric_SP'!AG920</f>
        <v>0</v>
      </c>
      <c r="AH920" s="272">
        <f>+'NI-San_SP'!AH920+'NI-Soc_SP'!AH920+'NI-Ric_SP'!AH920</f>
        <v>0</v>
      </c>
      <c r="AI920" s="272">
        <f>+'NI-San_SP'!AI920+'NI-Soc_SP'!AI920+'NI-Ric_SP'!AI920</f>
        <v>0</v>
      </c>
      <c r="AJ920" s="272">
        <f>+'NI-San_SP'!AJ920+'NI-Soc_SP'!AJ920+'NI-Ric_SP'!AJ920</f>
        <v>0</v>
      </c>
    </row>
    <row r="921" spans="1:36" s="204" customFormat="1" x14ac:dyDescent="0.25">
      <c r="B921" s="246" t="s">
        <v>2288</v>
      </c>
      <c r="C921" s="287" t="s">
        <v>2289</v>
      </c>
      <c r="D921" s="284" t="s">
        <v>4006</v>
      </c>
      <c r="E921" s="274"/>
      <c r="F921" s="274"/>
      <c r="G921" s="283"/>
      <c r="H921" s="266"/>
      <c r="I921" s="274"/>
      <c r="J921" s="281"/>
      <c r="K921" s="281"/>
      <c r="L921" s="488" t="s">
        <v>2291</v>
      </c>
      <c r="M921" s="284" t="s">
        <v>2962</v>
      </c>
      <c r="N921" s="489">
        <f>+R921</f>
        <v>0</v>
      </c>
      <c r="O921" s="489">
        <f>+Z921</f>
        <v>1148</v>
      </c>
      <c r="P921" s="271">
        <f>+O921-N921</f>
        <v>1148</v>
      </c>
      <c r="Q921" s="272">
        <f>+'NI-San_SP'!Q921+'NI-Soc_SP'!Q921+'NI-Ric_SP'!Q921</f>
        <v>0</v>
      </c>
      <c r="R921" s="272">
        <f>+'NI-San_SP'!R921+'NI-Soc_SP'!R921+'NI-Ric_SP'!R921</f>
        <v>0</v>
      </c>
      <c r="S921" s="272">
        <f>+'NI-San_SP'!S921+'NI-Soc_SP'!S921+'NI-Ric_SP'!S921</f>
        <v>0</v>
      </c>
      <c r="T921" s="272">
        <f>+'NI-San_SP'!T921+'NI-Soc_SP'!T921+'NI-Ric_SP'!T921</f>
        <v>0</v>
      </c>
      <c r="U921" s="272">
        <f>+'NI-San_SP'!U921+'NI-Soc_SP'!U921+'NI-Ric_SP'!U921</f>
        <v>0</v>
      </c>
      <c r="V921" s="272">
        <f>+'NI-San_SP'!V921+'NI-Soc_SP'!V921+'NI-Ric_SP'!V921</f>
        <v>12903</v>
      </c>
      <c r="W921" s="272">
        <f>+'NI-San_SP'!W921+'NI-Soc_SP'!W921+'NI-Ric_SP'!W921</f>
        <v>0</v>
      </c>
      <c r="X921" s="272">
        <f>+'NI-San_SP'!X921+'NI-Soc_SP'!X921+'NI-Ric_SP'!X921</f>
        <v>0</v>
      </c>
      <c r="Y921" s="272">
        <f>+'NI-San_SP'!Y921+'NI-Soc_SP'!Y921+'NI-Ric_SP'!Y921</f>
        <v>11755</v>
      </c>
      <c r="Z921" s="272">
        <f>+'NI-San_SP'!Z921+'NI-Soc_SP'!Z921+'NI-Ric_SP'!Z921</f>
        <v>1148</v>
      </c>
      <c r="AA921" s="272">
        <f>+'NI-San_SP'!AA921+'NI-Soc_SP'!AA921+'NI-Ric_SP'!AA921</f>
        <v>0</v>
      </c>
      <c r="AB921" s="272">
        <f>+'NI-San_SP'!AB921+'NI-Soc_SP'!AB921+'NI-Ric_SP'!AB921</f>
        <v>0</v>
      </c>
      <c r="AC921" s="272">
        <f>+'NI-San_SP'!AC921+'NI-Soc_SP'!AC921+'NI-Ric_SP'!AC921</f>
        <v>0</v>
      </c>
      <c r="AD921" s="272">
        <f>+'NI-San_SP'!AD921+'NI-Soc_SP'!AD921+'NI-Ric_SP'!AD921</f>
        <v>0</v>
      </c>
      <c r="AE921" s="272">
        <f>+'NI-San_SP'!AE921+'NI-Soc_SP'!AE921+'NI-Ric_SP'!AE921</f>
        <v>0</v>
      </c>
      <c r="AF921" s="272">
        <f>+'NI-San_SP'!AF921+'NI-Soc_SP'!AF921+'NI-Ric_SP'!AF921</f>
        <v>0</v>
      </c>
      <c r="AG921" s="272">
        <f>+'NI-San_SP'!AG921+'NI-Soc_SP'!AG921+'NI-Ric_SP'!AG921</f>
        <v>1148</v>
      </c>
      <c r="AH921" s="272">
        <f>+'NI-San_SP'!AH921+'NI-Soc_SP'!AH921+'NI-Ric_SP'!AH921</f>
        <v>0</v>
      </c>
      <c r="AI921" s="272">
        <f>+'NI-San_SP'!AI921+'NI-Soc_SP'!AI921+'NI-Ric_SP'!AI921</f>
        <v>1148</v>
      </c>
      <c r="AJ921" s="272">
        <f>+'NI-San_SP'!AJ921+'NI-Soc_SP'!AJ921+'NI-Ric_SP'!AJ921</f>
        <v>0</v>
      </c>
    </row>
    <row r="922" spans="1:36" s="204" customFormat="1" x14ac:dyDescent="0.25">
      <c r="B922" s="298"/>
      <c r="C922" s="298"/>
      <c r="D922" s="226"/>
      <c r="E922" s="226"/>
      <c r="F922" s="226"/>
      <c r="G922" s="290"/>
      <c r="H922" s="227"/>
      <c r="I922" s="22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</row>
    <row r="923" spans="1:36" s="204" customFormat="1" x14ac:dyDescent="0.25">
      <c r="B923" s="246" t="s">
        <v>2292</v>
      </c>
      <c r="C923" s="292" t="s">
        <v>2293</v>
      </c>
      <c r="D923" s="247" t="s">
        <v>4007</v>
      </c>
      <c r="E923" s="247"/>
      <c r="F923" s="247"/>
      <c r="G923" s="247"/>
      <c r="H923" s="248"/>
      <c r="I923" s="247"/>
      <c r="J923" s="247"/>
      <c r="K923" s="249"/>
      <c r="L923" s="441" t="s">
        <v>2296</v>
      </c>
      <c r="M923" s="251" t="s">
        <v>2962</v>
      </c>
      <c r="N923" s="252">
        <f>SUM(N927:N938)</f>
        <v>18076651</v>
      </c>
      <c r="O923" s="252">
        <f>SUM(O927:O938)</f>
        <v>18076651</v>
      </c>
      <c r="P923" s="253">
        <f>+O923-N923</f>
        <v>0</v>
      </c>
      <c r="Q923" s="252">
        <f t="shared" ref="Q923:AJ923" si="127">SUM(Q927:Q938)</f>
        <v>0</v>
      </c>
      <c r="R923" s="252">
        <f t="shared" si="127"/>
        <v>18076651</v>
      </c>
      <c r="S923" s="252">
        <f t="shared" si="127"/>
        <v>0</v>
      </c>
      <c r="T923" s="252">
        <f t="shared" si="127"/>
        <v>0</v>
      </c>
      <c r="U923" s="252">
        <f t="shared" si="127"/>
        <v>0</v>
      </c>
      <c r="V923" s="252">
        <f t="shared" si="127"/>
        <v>2000</v>
      </c>
      <c r="W923" s="252">
        <f t="shared" si="127"/>
        <v>0</v>
      </c>
      <c r="X923" s="252">
        <f t="shared" si="127"/>
        <v>0</v>
      </c>
      <c r="Y923" s="252">
        <f t="shared" si="127"/>
        <v>2000</v>
      </c>
      <c r="Z923" s="252">
        <f t="shared" si="127"/>
        <v>18076651</v>
      </c>
      <c r="AA923" s="252">
        <f t="shared" si="127"/>
        <v>0</v>
      </c>
      <c r="AB923" s="252">
        <f t="shared" si="127"/>
        <v>0</v>
      </c>
      <c r="AC923" s="252">
        <f t="shared" si="127"/>
        <v>0</v>
      </c>
      <c r="AD923" s="252">
        <f t="shared" si="127"/>
        <v>0</v>
      </c>
      <c r="AE923" s="252">
        <f t="shared" si="127"/>
        <v>0</v>
      </c>
      <c r="AF923" s="252">
        <f t="shared" si="127"/>
        <v>0</v>
      </c>
      <c r="AG923" s="252">
        <f t="shared" si="127"/>
        <v>18076651</v>
      </c>
      <c r="AH923" s="252">
        <f t="shared" si="127"/>
        <v>18076651</v>
      </c>
      <c r="AI923" s="252">
        <f t="shared" si="127"/>
        <v>0</v>
      </c>
      <c r="AJ923" s="252">
        <f t="shared" si="127"/>
        <v>0</v>
      </c>
    </row>
    <row r="924" spans="1:36" s="204" customFormat="1" x14ac:dyDescent="0.25">
      <c r="B924" s="298"/>
      <c r="C924" s="298"/>
      <c r="D924" s="226"/>
      <c r="E924" s="226"/>
      <c r="F924" s="226"/>
      <c r="G924" s="226"/>
      <c r="H924" s="227"/>
      <c r="I924" s="226"/>
      <c r="J924" s="226"/>
      <c r="K924" s="226"/>
      <c r="L924" s="403"/>
      <c r="M924" s="278"/>
      <c r="N924" s="279"/>
      <c r="O924" s="279"/>
      <c r="P924" s="404"/>
      <c r="Q924" s="211"/>
      <c r="R924" s="279"/>
      <c r="S924" s="211"/>
      <c r="T924" s="211"/>
      <c r="U924" s="211"/>
      <c r="V924" s="211"/>
      <c r="W924" s="211"/>
      <c r="X924" s="211"/>
      <c r="Z924" s="211"/>
      <c r="AA924" s="211"/>
      <c r="AB924" s="211"/>
      <c r="AC924" s="211"/>
      <c r="AD924" s="211"/>
    </row>
    <row r="925" spans="1:36" s="204" customFormat="1" ht="15.75" customHeight="1" x14ac:dyDescent="0.25">
      <c r="B925" s="293"/>
      <c r="C925" s="293"/>
      <c r="D925" s="230"/>
      <c r="E925" s="230"/>
      <c r="F925" s="230"/>
      <c r="G925" s="230"/>
      <c r="H925" s="231"/>
      <c r="I925" s="230"/>
      <c r="J925" s="230"/>
      <c r="K925" s="230"/>
      <c r="L925" s="232"/>
      <c r="M925" s="211"/>
      <c r="N925" s="254"/>
      <c r="O925" s="211"/>
      <c r="P925" s="211"/>
      <c r="Q925" s="211"/>
      <c r="R925" s="211"/>
      <c r="S925" s="211"/>
      <c r="U925" s="902" t="s">
        <v>3495</v>
      </c>
      <c r="V925" s="902"/>
      <c r="W925" s="490"/>
      <c r="X925" s="906" t="s">
        <v>3496</v>
      </c>
      <c r="Y925" s="906"/>
      <c r="Z925" s="211"/>
      <c r="AA925" s="211"/>
      <c r="AB925" s="211"/>
      <c r="AC925" s="907" t="str">
        <f>+AC915</f>
        <v>VALORE DEI DEBITI AL 31/12/2020 PER ANNO DI FORMAZIONE</v>
      </c>
      <c r="AD925" s="907"/>
      <c r="AE925" s="907"/>
      <c r="AF925" s="907"/>
      <c r="AG925" s="907"/>
      <c r="AH925" s="908" t="str">
        <f>+AH915</f>
        <v>Debiti al 31/12/2020 per scadenza</v>
      </c>
      <c r="AI925" s="908"/>
      <c r="AJ925" s="908"/>
    </row>
    <row r="926" spans="1:36" s="204" customFormat="1" ht="63.75" x14ac:dyDescent="0.25">
      <c r="B926" s="294" t="s">
        <v>2968</v>
      </c>
      <c r="C926" s="294" t="s">
        <v>2969</v>
      </c>
      <c r="D926" s="206" t="s">
        <v>72</v>
      </c>
      <c r="E926" s="206"/>
      <c r="F926" s="206"/>
      <c r="G926" s="207"/>
      <c r="H926" s="207"/>
      <c r="I926" s="207"/>
      <c r="J926" s="207" t="s">
        <v>2957</v>
      </c>
      <c r="K926" s="206" t="s">
        <v>82</v>
      </c>
      <c r="L926" s="431" t="s">
        <v>3670</v>
      </c>
      <c r="M926" s="491"/>
      <c r="N926" s="256" t="str">
        <f>N$15</f>
        <v>Valore netto al 31/12/2019</v>
      </c>
      <c r="O926" s="256" t="str">
        <f>O$15</f>
        <v>Valore netto al 31/12/2020</v>
      </c>
      <c r="P926" s="256" t="str">
        <f>P$15</f>
        <v>Variazione</v>
      </c>
      <c r="Q926" s="262" t="s">
        <v>2971</v>
      </c>
      <c r="R926" s="262" t="s">
        <v>3517</v>
      </c>
      <c r="S926" s="262" t="s">
        <v>2972</v>
      </c>
      <c r="T926" s="486" t="s">
        <v>3995</v>
      </c>
      <c r="U926" s="337" t="s">
        <v>3996</v>
      </c>
      <c r="V926" s="337" t="s">
        <v>3495</v>
      </c>
      <c r="W926" s="262" t="s">
        <v>2975</v>
      </c>
      <c r="X926" s="492" t="s">
        <v>3498</v>
      </c>
      <c r="Y926" s="492" t="s">
        <v>3499</v>
      </c>
      <c r="Z926" s="262" t="s">
        <v>3815</v>
      </c>
      <c r="AA926" s="377" t="s">
        <v>3997</v>
      </c>
      <c r="AB926" s="377" t="s">
        <v>3998</v>
      </c>
      <c r="AC926" s="493" t="s">
        <v>3503</v>
      </c>
      <c r="AD926" s="493" t="s">
        <v>3504</v>
      </c>
      <c r="AE926" s="493" t="s">
        <v>3505</v>
      </c>
      <c r="AF926" s="493" t="s">
        <v>3506</v>
      </c>
      <c r="AG926" s="493" t="s">
        <v>3507</v>
      </c>
      <c r="AH926" s="494" t="s">
        <v>3508</v>
      </c>
      <c r="AI926" s="494" t="s">
        <v>3509</v>
      </c>
      <c r="AJ926" s="495" t="s">
        <v>3510</v>
      </c>
    </row>
    <row r="927" spans="1:36" s="204" customFormat="1" x14ac:dyDescent="0.25">
      <c r="B927" s="246" t="s">
        <v>2297</v>
      </c>
      <c r="C927" s="287" t="s">
        <v>2298</v>
      </c>
      <c r="D927" s="284" t="s">
        <v>4008</v>
      </c>
      <c r="E927" s="274"/>
      <c r="F927" s="274"/>
      <c r="G927" s="283"/>
      <c r="H927" s="266"/>
      <c r="I927" s="274"/>
      <c r="J927" s="281"/>
      <c r="K927" s="281"/>
      <c r="L927" s="488" t="s">
        <v>4009</v>
      </c>
      <c r="M927" s="284" t="s">
        <v>2962</v>
      </c>
      <c r="N927" s="408">
        <f t="shared" ref="N927:N938" si="128">+R927</f>
        <v>0</v>
      </c>
      <c r="O927" s="408">
        <f t="shared" ref="O927:O938" si="129">+Z927</f>
        <v>0</v>
      </c>
      <c r="P927" s="271">
        <f t="shared" ref="P927:P938" si="130">+O927-N927</f>
        <v>0</v>
      </c>
      <c r="Q927" s="272">
        <f>+'NI-San_SP'!Q927+'NI-Soc_SP'!Q927+'NI-Ric_SP'!Q927</f>
        <v>0</v>
      </c>
      <c r="R927" s="272">
        <f>+'NI-San_SP'!R927+'NI-Soc_SP'!R927+'NI-Ric_SP'!R927</f>
        <v>0</v>
      </c>
      <c r="S927" s="272">
        <f>+'NI-San_SP'!S927+'NI-Soc_SP'!S927+'NI-Ric_SP'!S927</f>
        <v>0</v>
      </c>
      <c r="T927" s="272">
        <f>+'NI-San_SP'!T927+'NI-Soc_SP'!T927+'NI-Ric_SP'!T927</f>
        <v>0</v>
      </c>
      <c r="U927" s="272">
        <f>+'NI-San_SP'!U927+'NI-Soc_SP'!U927+'NI-Ric_SP'!U927</f>
        <v>0</v>
      </c>
      <c r="V927" s="272">
        <f>+'NI-San_SP'!V927+'NI-Soc_SP'!V927+'NI-Ric_SP'!V927</f>
        <v>0</v>
      </c>
      <c r="W927" s="272">
        <f>+'NI-San_SP'!W927+'NI-Soc_SP'!W927+'NI-Ric_SP'!W927</f>
        <v>0</v>
      </c>
      <c r="X927" s="272">
        <f>+'NI-San_SP'!X927+'NI-Soc_SP'!X927+'NI-Ric_SP'!X927</f>
        <v>0</v>
      </c>
      <c r="Y927" s="272">
        <f>+'NI-San_SP'!Y927+'NI-Soc_SP'!Y927+'NI-Ric_SP'!Y927</f>
        <v>0</v>
      </c>
      <c r="Z927" s="272">
        <f>+'NI-San_SP'!Z927+'NI-Soc_SP'!Z927+'NI-Ric_SP'!Z927</f>
        <v>0</v>
      </c>
      <c r="AA927" s="272">
        <f>+'NI-San_SP'!AA927+'NI-Soc_SP'!AA927+'NI-Ric_SP'!AA927</f>
        <v>0</v>
      </c>
      <c r="AB927" s="272">
        <f>+'NI-San_SP'!AB927+'NI-Soc_SP'!AB927+'NI-Ric_SP'!AB927</f>
        <v>0</v>
      </c>
      <c r="AC927" s="272">
        <f>+'NI-San_SP'!AC927+'NI-Soc_SP'!AC927+'NI-Ric_SP'!AC927</f>
        <v>0</v>
      </c>
      <c r="AD927" s="272">
        <f>+'NI-San_SP'!AD927+'NI-Soc_SP'!AD927+'NI-Ric_SP'!AD927</f>
        <v>0</v>
      </c>
      <c r="AE927" s="272">
        <f>+'NI-San_SP'!AE927+'NI-Soc_SP'!AE927+'NI-Ric_SP'!AE927</f>
        <v>0</v>
      </c>
      <c r="AF927" s="272">
        <f>+'NI-San_SP'!AF927+'NI-Soc_SP'!AF927+'NI-Ric_SP'!AF927</f>
        <v>0</v>
      </c>
      <c r="AG927" s="272">
        <f>+'NI-San_SP'!AG927+'NI-Soc_SP'!AG927+'NI-Ric_SP'!AG927</f>
        <v>0</v>
      </c>
      <c r="AH927" s="272">
        <f>+'NI-San_SP'!AH927+'NI-Soc_SP'!AH927+'NI-Ric_SP'!AH927</f>
        <v>0</v>
      </c>
      <c r="AI927" s="272">
        <f>+'NI-San_SP'!AI927+'NI-Soc_SP'!AI927+'NI-Ric_SP'!AI927</f>
        <v>0</v>
      </c>
      <c r="AJ927" s="272">
        <f>+'NI-San_SP'!AJ927+'NI-Soc_SP'!AJ927+'NI-Ric_SP'!AJ927</f>
        <v>0</v>
      </c>
    </row>
    <row r="928" spans="1:36" s="204" customFormat="1" x14ac:dyDescent="0.25">
      <c r="A928" s="204" t="s">
        <v>3681</v>
      </c>
      <c r="B928" s="246" t="s">
        <v>2301</v>
      </c>
      <c r="C928" s="95" t="s">
        <v>2302</v>
      </c>
      <c r="D928" s="284"/>
      <c r="E928" s="274"/>
      <c r="F928" s="274"/>
      <c r="G928" s="283"/>
      <c r="H928" s="266"/>
      <c r="I928" s="274"/>
      <c r="J928" s="281"/>
      <c r="K928" s="281"/>
      <c r="L928" s="496" t="s">
        <v>2304</v>
      </c>
      <c r="M928" s="284" t="s">
        <v>2962</v>
      </c>
      <c r="N928" s="408">
        <f t="shared" si="128"/>
        <v>0</v>
      </c>
      <c r="O928" s="408">
        <f t="shared" si="129"/>
        <v>0</v>
      </c>
      <c r="P928" s="271">
        <f t="shared" si="130"/>
        <v>0</v>
      </c>
      <c r="Q928" s="272">
        <f>+'NI-San_SP'!Q928+'NI-Soc_SP'!Q928+'NI-Ric_SP'!Q928</f>
        <v>0</v>
      </c>
      <c r="R928" s="272">
        <f>+'NI-San_SP'!R928+'NI-Soc_SP'!R928+'NI-Ric_SP'!R928</f>
        <v>0</v>
      </c>
      <c r="S928" s="272">
        <f>+'NI-San_SP'!S928+'NI-Soc_SP'!S928+'NI-Ric_SP'!S928</f>
        <v>0</v>
      </c>
      <c r="T928" s="272">
        <f>+'NI-San_SP'!T928+'NI-Soc_SP'!T928+'NI-Ric_SP'!T928</f>
        <v>0</v>
      </c>
      <c r="U928" s="272">
        <f>+'NI-San_SP'!U928+'NI-Soc_SP'!U928+'NI-Ric_SP'!U928</f>
        <v>0</v>
      </c>
      <c r="V928" s="272">
        <f>+'NI-San_SP'!V928+'NI-Soc_SP'!V928+'NI-Ric_SP'!V928</f>
        <v>0</v>
      </c>
      <c r="W928" s="272">
        <f>+'NI-San_SP'!W928+'NI-Soc_SP'!W928+'NI-Ric_SP'!W928</f>
        <v>0</v>
      </c>
      <c r="X928" s="272">
        <f>+'NI-San_SP'!X928+'NI-Soc_SP'!X928+'NI-Ric_SP'!X928</f>
        <v>0</v>
      </c>
      <c r="Y928" s="272">
        <f>+'NI-San_SP'!Y928+'NI-Soc_SP'!Y928+'NI-Ric_SP'!Y928</f>
        <v>0</v>
      </c>
      <c r="Z928" s="272">
        <f>+'NI-San_SP'!Z928+'NI-Soc_SP'!Z928+'NI-Ric_SP'!Z928</f>
        <v>0</v>
      </c>
      <c r="AA928" s="272">
        <f>+'NI-San_SP'!AA928+'NI-Soc_SP'!AA928+'NI-Ric_SP'!AA928</f>
        <v>0</v>
      </c>
      <c r="AB928" s="272">
        <f>+'NI-San_SP'!AB928+'NI-Soc_SP'!AB928+'NI-Ric_SP'!AB928</f>
        <v>0</v>
      </c>
      <c r="AC928" s="272">
        <f>+'NI-San_SP'!AC928+'NI-Soc_SP'!AC928+'NI-Ric_SP'!AC928</f>
        <v>0</v>
      </c>
      <c r="AD928" s="272">
        <f>+'NI-San_SP'!AD928+'NI-Soc_SP'!AD928+'NI-Ric_SP'!AD928</f>
        <v>0</v>
      </c>
      <c r="AE928" s="272">
        <f>+'NI-San_SP'!AE928+'NI-Soc_SP'!AE928+'NI-Ric_SP'!AE928</f>
        <v>0</v>
      </c>
      <c r="AF928" s="272">
        <f>+'NI-San_SP'!AF928+'NI-Soc_SP'!AF928+'NI-Ric_SP'!AF928</f>
        <v>0</v>
      </c>
      <c r="AG928" s="272">
        <f>+'NI-San_SP'!AG928+'NI-Soc_SP'!AG928+'NI-Ric_SP'!AG928</f>
        <v>0</v>
      </c>
      <c r="AH928" s="272">
        <f>+'NI-San_SP'!AH928+'NI-Soc_SP'!AH928+'NI-Ric_SP'!AH928</f>
        <v>0</v>
      </c>
      <c r="AI928" s="272">
        <f>+'NI-San_SP'!AI928+'NI-Soc_SP'!AI928+'NI-Ric_SP'!AI928</f>
        <v>0</v>
      </c>
      <c r="AJ928" s="272">
        <f>+'NI-San_SP'!AJ928+'NI-Soc_SP'!AJ928+'NI-Ric_SP'!AJ928</f>
        <v>0</v>
      </c>
    </row>
    <row r="929" spans="1:36" s="204" customFormat="1" ht="25.5" customHeight="1" x14ac:dyDescent="0.25">
      <c r="B929" s="246" t="s">
        <v>2305</v>
      </c>
      <c r="C929" s="287" t="s">
        <v>2306</v>
      </c>
      <c r="D929" s="284" t="s">
        <v>4010</v>
      </c>
      <c r="E929" s="274"/>
      <c r="F929" s="274"/>
      <c r="G929" s="283"/>
      <c r="H929" s="326"/>
      <c r="I929" s="274"/>
      <c r="J929" s="281"/>
      <c r="K929" s="281"/>
      <c r="L929" s="488" t="s">
        <v>4011</v>
      </c>
      <c r="M929" s="284" t="s">
        <v>2962</v>
      </c>
      <c r="N929" s="408">
        <f t="shared" si="128"/>
        <v>0</v>
      </c>
      <c r="O929" s="408">
        <f t="shared" si="129"/>
        <v>0</v>
      </c>
      <c r="P929" s="271">
        <f t="shared" si="130"/>
        <v>0</v>
      </c>
      <c r="Q929" s="272">
        <f>+'NI-San_SP'!Q929+'NI-Soc_SP'!Q929+'NI-Ric_SP'!Q929</f>
        <v>0</v>
      </c>
      <c r="R929" s="272">
        <f>+'NI-San_SP'!R929+'NI-Soc_SP'!R929+'NI-Ric_SP'!R929</f>
        <v>0</v>
      </c>
      <c r="S929" s="272">
        <f>+'NI-San_SP'!S929+'NI-Soc_SP'!S929+'NI-Ric_SP'!S929</f>
        <v>0</v>
      </c>
      <c r="T929" s="272">
        <f>+'NI-San_SP'!T929+'NI-Soc_SP'!T929+'NI-Ric_SP'!T929</f>
        <v>0</v>
      </c>
      <c r="U929" s="272">
        <f>+'NI-San_SP'!U929+'NI-Soc_SP'!U929+'NI-Ric_SP'!U929</f>
        <v>0</v>
      </c>
      <c r="V929" s="272">
        <f>+'NI-San_SP'!V929+'NI-Soc_SP'!V929+'NI-Ric_SP'!V929</f>
        <v>0</v>
      </c>
      <c r="W929" s="272">
        <f>+'NI-San_SP'!W929+'NI-Soc_SP'!W929+'NI-Ric_SP'!W929</f>
        <v>0</v>
      </c>
      <c r="X929" s="272">
        <f>+'NI-San_SP'!X929+'NI-Soc_SP'!X929+'NI-Ric_SP'!X929</f>
        <v>0</v>
      </c>
      <c r="Y929" s="272">
        <f>+'NI-San_SP'!Y929+'NI-Soc_SP'!Y929+'NI-Ric_SP'!Y929</f>
        <v>0</v>
      </c>
      <c r="Z929" s="272">
        <f>+'NI-San_SP'!Z929+'NI-Soc_SP'!Z929+'NI-Ric_SP'!Z929</f>
        <v>0</v>
      </c>
      <c r="AA929" s="272">
        <f>+'NI-San_SP'!AA929+'NI-Soc_SP'!AA929+'NI-Ric_SP'!AA929</f>
        <v>0</v>
      </c>
      <c r="AB929" s="272">
        <f>+'NI-San_SP'!AB929+'NI-Soc_SP'!AB929+'NI-Ric_SP'!AB929</f>
        <v>0</v>
      </c>
      <c r="AC929" s="272">
        <f>+'NI-San_SP'!AC929+'NI-Soc_SP'!AC929+'NI-Ric_SP'!AC929</f>
        <v>0</v>
      </c>
      <c r="AD929" s="272">
        <f>+'NI-San_SP'!AD929+'NI-Soc_SP'!AD929+'NI-Ric_SP'!AD929</f>
        <v>0</v>
      </c>
      <c r="AE929" s="272">
        <f>+'NI-San_SP'!AE929+'NI-Soc_SP'!AE929+'NI-Ric_SP'!AE929</f>
        <v>0</v>
      </c>
      <c r="AF929" s="272">
        <f>+'NI-San_SP'!AF929+'NI-Soc_SP'!AF929+'NI-Ric_SP'!AF929</f>
        <v>0</v>
      </c>
      <c r="AG929" s="272">
        <f>+'NI-San_SP'!AG929+'NI-Soc_SP'!AG929+'NI-Ric_SP'!AG929</f>
        <v>0</v>
      </c>
      <c r="AH929" s="272">
        <f>+'NI-San_SP'!AH929+'NI-Soc_SP'!AH929+'NI-Ric_SP'!AH929</f>
        <v>0</v>
      </c>
      <c r="AI929" s="272">
        <f>+'NI-San_SP'!AI929+'NI-Soc_SP'!AI929+'NI-Ric_SP'!AI929</f>
        <v>0</v>
      </c>
      <c r="AJ929" s="272">
        <f>+'NI-San_SP'!AJ929+'NI-Soc_SP'!AJ929+'NI-Ric_SP'!AJ929</f>
        <v>0</v>
      </c>
    </row>
    <row r="930" spans="1:36" s="204" customFormat="1" ht="24.75" customHeight="1" x14ac:dyDescent="0.25">
      <c r="B930" s="246" t="s">
        <v>2309</v>
      </c>
      <c r="C930" s="287" t="s">
        <v>2310</v>
      </c>
      <c r="D930" s="284" t="s">
        <v>4012</v>
      </c>
      <c r="E930" s="274"/>
      <c r="F930" s="274"/>
      <c r="G930" s="283"/>
      <c r="H930" s="326"/>
      <c r="I930" s="274"/>
      <c r="J930" s="281"/>
      <c r="K930" s="281"/>
      <c r="L930" s="488" t="s">
        <v>4013</v>
      </c>
      <c r="M930" s="284" t="s">
        <v>2962</v>
      </c>
      <c r="N930" s="408">
        <f t="shared" si="128"/>
        <v>0</v>
      </c>
      <c r="O930" s="408">
        <f t="shared" si="129"/>
        <v>0</v>
      </c>
      <c r="P930" s="271">
        <f t="shared" si="130"/>
        <v>0</v>
      </c>
      <c r="Q930" s="272">
        <f>+'NI-San_SP'!Q930+'NI-Soc_SP'!Q930+'NI-Ric_SP'!Q930</f>
        <v>0</v>
      </c>
      <c r="R930" s="272">
        <f>+'NI-San_SP'!R930+'NI-Soc_SP'!R930+'NI-Ric_SP'!R930</f>
        <v>0</v>
      </c>
      <c r="S930" s="272">
        <f>+'NI-San_SP'!S930+'NI-Soc_SP'!S930+'NI-Ric_SP'!S930</f>
        <v>0</v>
      </c>
      <c r="T930" s="272">
        <f>+'NI-San_SP'!U930+'NI-Soc_SP'!T930+'NI-Ric_SP'!T930</f>
        <v>0</v>
      </c>
      <c r="U930" s="272">
        <f>+'NI-San_SP'!V930+'NI-Soc_SP'!U930+'NI-Ric_SP'!U930</f>
        <v>0</v>
      </c>
      <c r="V930" s="272">
        <f>+'NI-San_SP'!V930+'NI-Soc_SP'!V930+'NI-Ric_SP'!V930</f>
        <v>0</v>
      </c>
      <c r="W930" s="272">
        <f>+'NI-San_SP'!W930+'NI-Soc_SP'!W930+'NI-Ric_SP'!W930</f>
        <v>0</v>
      </c>
      <c r="X930" s="272">
        <f>+'NI-San_SP'!X930+'NI-Soc_SP'!X930+'NI-Ric_SP'!X930</f>
        <v>0</v>
      </c>
      <c r="Y930" s="272">
        <f>+'NI-San_SP'!Y930+'NI-Soc_SP'!Y930+'NI-Ric_SP'!Y930</f>
        <v>0</v>
      </c>
      <c r="Z930" s="272">
        <f>+'NI-San_SP'!Z930+'NI-Soc_SP'!Z930+'NI-Ric_SP'!Z930</f>
        <v>0</v>
      </c>
      <c r="AA930" s="272">
        <f>+'NI-San_SP'!AA930+'NI-Soc_SP'!AA930+'NI-Ric_SP'!AA930</f>
        <v>0</v>
      </c>
      <c r="AB930" s="272">
        <f>+'NI-San_SP'!AB930+'NI-Soc_SP'!AB930+'NI-Ric_SP'!AB930</f>
        <v>0</v>
      </c>
      <c r="AC930" s="272">
        <f>+'NI-San_SP'!AC930+'NI-Soc_SP'!AC930+'NI-Ric_SP'!AC930</f>
        <v>0</v>
      </c>
      <c r="AD930" s="272">
        <f>+'NI-San_SP'!AD930+'NI-Soc_SP'!AD930+'NI-Ric_SP'!AD930</f>
        <v>0</v>
      </c>
      <c r="AE930" s="272">
        <f>+'NI-San_SP'!AE930+'NI-Soc_SP'!AE930+'NI-Ric_SP'!AE930</f>
        <v>0</v>
      </c>
      <c r="AF930" s="272">
        <f>+'NI-San_SP'!AF930+'NI-Soc_SP'!AF930+'NI-Ric_SP'!AF930</f>
        <v>0</v>
      </c>
      <c r="AG930" s="272">
        <f>+'NI-San_SP'!AG930+'NI-Soc_SP'!AG930+'NI-Ric_SP'!AG930</f>
        <v>0</v>
      </c>
      <c r="AH930" s="272">
        <f>+'NI-San_SP'!AH930+'NI-Soc_SP'!AH930+'NI-Ric_SP'!AH930</f>
        <v>0</v>
      </c>
      <c r="AI930" s="272">
        <f>+'NI-San_SP'!AI930+'NI-Soc_SP'!AI930+'NI-Ric_SP'!AI930</f>
        <v>0</v>
      </c>
      <c r="AJ930" s="272">
        <f>+'NI-San_SP'!AJ930+'NI-Soc_SP'!AJ930+'NI-Ric_SP'!AJ930</f>
        <v>0</v>
      </c>
    </row>
    <row r="931" spans="1:36" s="204" customFormat="1" ht="15" customHeight="1" x14ac:dyDescent="0.25">
      <c r="A931" s="204" t="s">
        <v>3681</v>
      </c>
      <c r="B931" s="246" t="s">
        <v>2313</v>
      </c>
      <c r="C931" s="95" t="s">
        <v>2314</v>
      </c>
      <c r="D931" s="284"/>
      <c r="E931" s="274"/>
      <c r="F931" s="274"/>
      <c r="G931" s="283"/>
      <c r="H931" s="326"/>
      <c r="I931" s="274"/>
      <c r="J931" s="281"/>
      <c r="K931" s="281"/>
      <c r="L931" s="496" t="s">
        <v>2316</v>
      </c>
      <c r="M931" s="284" t="s">
        <v>2962</v>
      </c>
      <c r="N931" s="408">
        <f t="shared" si="128"/>
        <v>0</v>
      </c>
      <c r="O931" s="408">
        <f t="shared" si="129"/>
        <v>0</v>
      </c>
      <c r="P931" s="271">
        <f t="shared" si="130"/>
        <v>0</v>
      </c>
      <c r="Q931" s="272">
        <f>+'NI-San_SP'!Q931+'NI-Soc_SP'!Q931+'NI-Ric_SP'!Q931</f>
        <v>0</v>
      </c>
      <c r="R931" s="272">
        <f>+'NI-San_SP'!R931+'NI-Soc_SP'!R931+'NI-Ric_SP'!R931</f>
        <v>0</v>
      </c>
      <c r="S931" s="272">
        <f>+'NI-San_SP'!S931+'NI-Soc_SP'!S931+'NI-Ric_SP'!S931</f>
        <v>0</v>
      </c>
      <c r="T931" s="272"/>
      <c r="U931" s="272"/>
      <c r="V931" s="272"/>
      <c r="W931" s="272">
        <f>+'NI-San_SP'!W931+'NI-Soc_SP'!W931+'NI-Ric_SP'!W931</f>
        <v>0</v>
      </c>
      <c r="X931" s="272">
        <f>+'NI-San_SP'!X931+'NI-Soc_SP'!X931+'NI-Ric_SP'!X931</f>
        <v>0</v>
      </c>
      <c r="Y931" s="272"/>
      <c r="Z931" s="272">
        <f>+'NI-San_SP'!Z931+'NI-Soc_SP'!Z931+'NI-Ric_SP'!Z931</f>
        <v>0</v>
      </c>
      <c r="AA931" s="272">
        <f>+'NI-San_SP'!AA931+'NI-Soc_SP'!AA931+'NI-Ric_SP'!AA931</f>
        <v>0</v>
      </c>
      <c r="AB931" s="272">
        <f>+'NI-San_SP'!AB931+'NI-Soc_SP'!AB931+'NI-Ric_SP'!AB931</f>
        <v>0</v>
      </c>
      <c r="AC931" s="272">
        <f>+'NI-San_SP'!AC931+'NI-Soc_SP'!AC931+'NI-Ric_SP'!AC931</f>
        <v>0</v>
      </c>
      <c r="AD931" s="272">
        <f>+'NI-San_SP'!AD931+'NI-Soc_SP'!AD931+'NI-Ric_SP'!AD931</f>
        <v>0</v>
      </c>
      <c r="AE931" s="272">
        <f>+'NI-San_SP'!AE931+'NI-Soc_SP'!AE931+'NI-Ric_SP'!AE931</f>
        <v>0</v>
      </c>
      <c r="AF931" s="272">
        <f>+'NI-San_SP'!AF931+'NI-Soc_SP'!AF931+'NI-Ric_SP'!AF931</f>
        <v>0</v>
      </c>
      <c r="AG931" s="272">
        <f>+'NI-San_SP'!AG931+'NI-Soc_SP'!AG931+'NI-Ric_SP'!AG931</f>
        <v>0</v>
      </c>
      <c r="AH931" s="272">
        <f>+'NI-San_SP'!AH931+'NI-Soc_SP'!AH931+'NI-Ric_SP'!AH931</f>
        <v>0</v>
      </c>
      <c r="AI931" s="272">
        <f>+'NI-San_SP'!AI931+'NI-Soc_SP'!AI931+'NI-Ric_SP'!AI931</f>
        <v>0</v>
      </c>
      <c r="AJ931" s="272">
        <f>+'NI-San_SP'!AJ931+'NI-Soc_SP'!AJ931+'NI-Ric_SP'!AJ931</f>
        <v>0</v>
      </c>
    </row>
    <row r="932" spans="1:36" s="204" customFormat="1" x14ac:dyDescent="0.25">
      <c r="B932" s="246" t="s">
        <v>2317</v>
      </c>
      <c r="C932" s="287" t="s">
        <v>2318</v>
      </c>
      <c r="D932" s="284" t="s">
        <v>4014</v>
      </c>
      <c r="E932" s="274"/>
      <c r="F932" s="274"/>
      <c r="G932" s="283"/>
      <c r="H932" s="326"/>
      <c r="I932" s="274"/>
      <c r="J932" s="281"/>
      <c r="K932" s="281"/>
      <c r="L932" s="488" t="s">
        <v>4015</v>
      </c>
      <c r="M932" s="284" t="s">
        <v>2962</v>
      </c>
      <c r="N932" s="408">
        <f t="shared" si="128"/>
        <v>18076651</v>
      </c>
      <c r="O932" s="408">
        <f t="shared" si="129"/>
        <v>18076651</v>
      </c>
      <c r="P932" s="271">
        <f t="shared" si="130"/>
        <v>0</v>
      </c>
      <c r="Q932" s="272">
        <f>+'NI-San_SP'!Q932+'NI-Soc_SP'!Q932+'NI-Ric_SP'!Q932</f>
        <v>0</v>
      </c>
      <c r="R932" s="272">
        <f>+'NI-San_SP'!R932+'NI-Soc_SP'!R932+'NI-Ric_SP'!R932</f>
        <v>18076651</v>
      </c>
      <c r="S932" s="272">
        <f>+'NI-San_SP'!S932+'NI-Soc_SP'!S932+'NI-Ric_SP'!S932</f>
        <v>0</v>
      </c>
      <c r="T932" s="272">
        <f>+'NI-San_SP'!T932+'NI-Soc_SP'!T932+'NI-Ric_SP'!T932</f>
        <v>0</v>
      </c>
      <c r="U932" s="272">
        <f>+'NI-San_SP'!U932+'NI-Soc_SP'!U932+'NI-Ric_SP'!U932</f>
        <v>0</v>
      </c>
      <c r="V932" s="272">
        <f>+'NI-San_SP'!V932+'NI-Soc_SP'!V932+'NI-Ric_SP'!V932</f>
        <v>0</v>
      </c>
      <c r="W932" s="272">
        <f>+'NI-San_SP'!W932+'NI-Soc_SP'!W932+'NI-Ric_SP'!W932</f>
        <v>0</v>
      </c>
      <c r="X932" s="272">
        <f>+'NI-San_SP'!X932+'NI-Soc_SP'!X932+'NI-Ric_SP'!X932</f>
        <v>0</v>
      </c>
      <c r="Y932" s="272">
        <f>+'NI-San_SP'!Y932+'NI-Soc_SP'!Y932+'NI-Ric_SP'!Y932</f>
        <v>0</v>
      </c>
      <c r="Z932" s="272">
        <f>+'NI-San_SP'!Z932+'NI-Soc_SP'!Z932+'NI-Ric_SP'!Z932</f>
        <v>18076651</v>
      </c>
      <c r="AA932" s="272">
        <f>+'NI-San_SP'!AA932+'NI-Soc_SP'!AA932+'NI-Ric_SP'!AA932</f>
        <v>0</v>
      </c>
      <c r="AB932" s="272">
        <f>+'NI-San_SP'!AB932+'NI-Soc_SP'!AB932+'NI-Ric_SP'!AB932</f>
        <v>0</v>
      </c>
      <c r="AC932" s="272">
        <f>+'NI-San_SP'!AC932+'NI-Soc_SP'!AC932+'NI-Ric_SP'!AC932</f>
        <v>0</v>
      </c>
      <c r="AD932" s="272">
        <f>+'NI-San_SP'!AD932+'NI-Soc_SP'!AD932+'NI-Ric_SP'!AD932</f>
        <v>0</v>
      </c>
      <c r="AE932" s="272">
        <f>+'NI-San_SP'!AE932+'NI-Soc_SP'!AE932+'NI-Ric_SP'!AE932</f>
        <v>0</v>
      </c>
      <c r="AF932" s="272">
        <f>+'NI-San_SP'!AF932+'NI-Soc_SP'!AF932+'NI-Ric_SP'!AF932</f>
        <v>0</v>
      </c>
      <c r="AG932" s="272">
        <f>+'NI-San_SP'!AG932+'NI-Soc_SP'!AG932+'NI-Ric_SP'!AG932</f>
        <v>18076651</v>
      </c>
      <c r="AH932" s="272">
        <f>+'NI-San_SP'!AH932+'NI-Soc_SP'!AH932+'NI-Ric_SP'!AH932</f>
        <v>18076651</v>
      </c>
      <c r="AI932" s="272">
        <f>+'NI-San_SP'!AI932+'NI-Soc_SP'!AI932+'NI-Ric_SP'!AI932</f>
        <v>0</v>
      </c>
      <c r="AJ932" s="272">
        <f>+'NI-San_SP'!AJ932+'NI-Soc_SP'!AJ932+'NI-Ric_SP'!AJ932</f>
        <v>0</v>
      </c>
    </row>
    <row r="933" spans="1:36" s="204" customFormat="1" ht="39" x14ac:dyDescent="0.25">
      <c r="A933" s="204" t="s">
        <v>3681</v>
      </c>
      <c r="B933" s="246" t="s">
        <v>2321</v>
      </c>
      <c r="C933" s="95" t="s">
        <v>2322</v>
      </c>
      <c r="D933" s="284"/>
      <c r="E933" s="274"/>
      <c r="F933" s="274"/>
      <c r="G933" s="283"/>
      <c r="H933" s="326"/>
      <c r="I933" s="274"/>
      <c r="J933" s="281"/>
      <c r="K933" s="281"/>
      <c r="L933" s="496" t="s">
        <v>2324</v>
      </c>
      <c r="M933" s="284" t="s">
        <v>2962</v>
      </c>
      <c r="N933" s="408">
        <f t="shared" si="128"/>
        <v>0</v>
      </c>
      <c r="O933" s="408">
        <f t="shared" si="129"/>
        <v>0</v>
      </c>
      <c r="P933" s="271">
        <f t="shared" si="130"/>
        <v>0</v>
      </c>
      <c r="Q933" s="272">
        <f>+'NI-San_SP'!Q933+'NI-Soc_SP'!Q933+'NI-Ric_SP'!Q933</f>
        <v>0</v>
      </c>
      <c r="R933" s="272">
        <f>+'NI-San_SP'!R933+'NI-Soc_SP'!R933+'NI-Ric_SP'!R933</f>
        <v>0</v>
      </c>
      <c r="S933" s="272">
        <f>+'NI-San_SP'!S933+'NI-Soc_SP'!S933+'NI-Ric_SP'!S933</f>
        <v>0</v>
      </c>
      <c r="T933" s="272">
        <f>+'NI-San_SP'!T933+'NI-Soc_SP'!T933+'NI-Ric_SP'!T933</f>
        <v>0</v>
      </c>
      <c r="U933" s="272">
        <f>+'NI-San_SP'!U933+'NI-Soc_SP'!U933+'NI-Ric_SP'!U933</f>
        <v>0</v>
      </c>
      <c r="V933" s="272">
        <f>+'NI-San_SP'!V933+'NI-Soc_SP'!V933+'NI-Ric_SP'!V933</f>
        <v>0</v>
      </c>
      <c r="W933" s="272">
        <f>+'NI-San_SP'!W933+'NI-Soc_SP'!W933+'NI-Ric_SP'!W933</f>
        <v>0</v>
      </c>
      <c r="X933" s="272">
        <f>+'NI-San_SP'!X933+'NI-Soc_SP'!X933+'NI-Ric_SP'!X933</f>
        <v>0</v>
      </c>
      <c r="Y933" s="272">
        <f>+'NI-San_SP'!Y933+'NI-Soc_SP'!Y933+'NI-Ric_SP'!Y933</f>
        <v>0</v>
      </c>
      <c r="Z933" s="272">
        <f>+'NI-San_SP'!Z933+'NI-Soc_SP'!Z933+'NI-Ric_SP'!Z933</f>
        <v>0</v>
      </c>
      <c r="AA933" s="272">
        <f>+'NI-San_SP'!AA933+'NI-Soc_SP'!AA933+'NI-Ric_SP'!AA933</f>
        <v>0</v>
      </c>
      <c r="AB933" s="272">
        <f>+'NI-San_SP'!AB933+'NI-Soc_SP'!AB933+'NI-Ric_SP'!AB933</f>
        <v>0</v>
      </c>
      <c r="AC933" s="272">
        <f>+'NI-San_SP'!AC933+'NI-Soc_SP'!AC933+'NI-Ric_SP'!AC933</f>
        <v>0</v>
      </c>
      <c r="AD933" s="272">
        <f>+'NI-San_SP'!AD933+'NI-Soc_SP'!AD933+'NI-Ric_SP'!AD933</f>
        <v>0</v>
      </c>
      <c r="AE933" s="272">
        <f>+'NI-San_SP'!AE933+'NI-Soc_SP'!AE933+'NI-Ric_SP'!AE933</f>
        <v>0</v>
      </c>
      <c r="AF933" s="272">
        <f>+'NI-San_SP'!AF933+'NI-Soc_SP'!AF933+'NI-Ric_SP'!AF933</f>
        <v>0</v>
      </c>
      <c r="AG933" s="272">
        <f>+'NI-San_SP'!AG933+'NI-Soc_SP'!AG933+'NI-Ric_SP'!AG933</f>
        <v>0</v>
      </c>
      <c r="AH933" s="272">
        <f>+'NI-San_SP'!AH933+'NI-Soc_SP'!AH933+'NI-Ric_SP'!AH933</f>
        <v>0</v>
      </c>
      <c r="AI933" s="272">
        <f>+'NI-San_SP'!AI933+'NI-Soc_SP'!AI933+'NI-Ric_SP'!AI933</f>
        <v>0</v>
      </c>
      <c r="AJ933" s="272">
        <f>+'NI-San_SP'!AJ933+'NI-Soc_SP'!AJ933+'NI-Ric_SP'!AJ933</f>
        <v>0</v>
      </c>
    </row>
    <row r="934" spans="1:36" s="204" customFormat="1" x14ac:dyDescent="0.25">
      <c r="A934" s="204" t="s">
        <v>3681</v>
      </c>
      <c r="B934" s="246" t="s">
        <v>2325</v>
      </c>
      <c r="C934" s="95" t="s">
        <v>2326</v>
      </c>
      <c r="D934" s="284"/>
      <c r="E934" s="274"/>
      <c r="F934" s="274"/>
      <c r="G934" s="283"/>
      <c r="H934" s="326"/>
      <c r="I934" s="274"/>
      <c r="J934" s="281"/>
      <c r="K934" s="281"/>
      <c r="L934" s="496" t="s">
        <v>2328</v>
      </c>
      <c r="M934" s="284" t="s">
        <v>2962</v>
      </c>
      <c r="N934" s="408">
        <f t="shared" si="128"/>
        <v>0</v>
      </c>
      <c r="O934" s="408">
        <f t="shared" si="129"/>
        <v>0</v>
      </c>
      <c r="P934" s="271">
        <f t="shared" si="130"/>
        <v>0</v>
      </c>
      <c r="Q934" s="272">
        <f>+'NI-San_SP'!Q934+'NI-Soc_SP'!Q934+'NI-Ric_SP'!Q934</f>
        <v>0</v>
      </c>
      <c r="R934" s="272">
        <f>+'NI-San_SP'!R934+'NI-Soc_SP'!R934+'NI-Ric_SP'!R934</f>
        <v>0</v>
      </c>
      <c r="S934" s="272">
        <f>+'NI-San_SP'!S934+'NI-Soc_SP'!S934+'NI-Ric_SP'!S934</f>
        <v>0</v>
      </c>
      <c r="T934" s="272">
        <f>+'NI-San_SP'!T934+'NI-Soc_SP'!T934+'NI-Ric_SP'!T934</f>
        <v>0</v>
      </c>
      <c r="U934" s="272">
        <f>+'NI-San_SP'!U934+'NI-Soc_SP'!U934+'NI-Ric_SP'!U934</f>
        <v>0</v>
      </c>
      <c r="V934" s="272">
        <f>+'NI-San_SP'!V934+'NI-Soc_SP'!V934+'NI-Ric_SP'!V934</f>
        <v>0</v>
      </c>
      <c r="W934" s="272">
        <f>+'NI-San_SP'!W934+'NI-Soc_SP'!W934+'NI-Ric_SP'!W934</f>
        <v>0</v>
      </c>
      <c r="X934" s="272">
        <f>+'NI-San_SP'!X934+'NI-Soc_SP'!X934+'NI-Ric_SP'!X934</f>
        <v>0</v>
      </c>
      <c r="Y934" s="272"/>
      <c r="Z934" s="272">
        <f>+'NI-San_SP'!Z934+'NI-Soc_SP'!Z934+'NI-Ric_SP'!Z934</f>
        <v>0</v>
      </c>
      <c r="AA934" s="272">
        <f>+'NI-San_SP'!AA934+'NI-Soc_SP'!AA934+'NI-Ric_SP'!AA934</f>
        <v>0</v>
      </c>
      <c r="AB934" s="272">
        <f>+'NI-San_SP'!AB934+'NI-Soc_SP'!AB934+'NI-Ric_SP'!AB934</f>
        <v>0</v>
      </c>
      <c r="AC934" s="272">
        <f>+'NI-San_SP'!AC934+'NI-Soc_SP'!AC934+'NI-Ric_SP'!AC934</f>
        <v>0</v>
      </c>
      <c r="AD934" s="272">
        <f>+'NI-San_SP'!AD934+'NI-Soc_SP'!AD934+'NI-Ric_SP'!AD934</f>
        <v>0</v>
      </c>
      <c r="AE934" s="272">
        <f>+'NI-San_SP'!AE934+'NI-Soc_SP'!AE934+'NI-Ric_SP'!AE934</f>
        <v>0</v>
      </c>
      <c r="AF934" s="272">
        <f>+'NI-San_SP'!AF934+'NI-Soc_SP'!AF934+'NI-Ric_SP'!AF934</f>
        <v>0</v>
      </c>
      <c r="AG934" s="272">
        <f>+'NI-San_SP'!AG934+'NI-Soc_SP'!AG934+'NI-Ric_SP'!AG934</f>
        <v>0</v>
      </c>
      <c r="AH934" s="272">
        <f>+'NI-San_SP'!AH934+'NI-Soc_SP'!AH934+'NI-Ric_SP'!AH934</f>
        <v>0</v>
      </c>
      <c r="AI934" s="272">
        <f>+'NI-San_SP'!AI934+'NI-Soc_SP'!AI934+'NI-Ric_SP'!AI934</f>
        <v>0</v>
      </c>
      <c r="AJ934" s="272">
        <f>+'NI-San_SP'!AJ934+'NI-Soc_SP'!AJ934+'NI-Ric_SP'!AJ934</f>
        <v>0</v>
      </c>
    </row>
    <row r="935" spans="1:36" s="204" customFormat="1" x14ac:dyDescent="0.25">
      <c r="A935" s="204" t="s">
        <v>3681</v>
      </c>
      <c r="B935" s="246" t="s">
        <v>2329</v>
      </c>
      <c r="C935" s="95" t="s">
        <v>2330</v>
      </c>
      <c r="D935" s="284"/>
      <c r="E935" s="274"/>
      <c r="F935" s="274"/>
      <c r="G935" s="283"/>
      <c r="H935" s="326"/>
      <c r="I935" s="274"/>
      <c r="J935" s="281"/>
      <c r="K935" s="281"/>
      <c r="L935" s="496" t="s">
        <v>2332</v>
      </c>
      <c r="M935" s="284" t="s">
        <v>2962</v>
      </c>
      <c r="N935" s="408">
        <f t="shared" si="128"/>
        <v>0</v>
      </c>
      <c r="O935" s="408">
        <f t="shared" si="129"/>
        <v>0</v>
      </c>
      <c r="P935" s="271">
        <f t="shared" si="130"/>
        <v>0</v>
      </c>
      <c r="Q935" s="272">
        <f>+'NI-San_SP'!Q935+'NI-Soc_SP'!Q935+'NI-Ric_SP'!Q935</f>
        <v>0</v>
      </c>
      <c r="R935" s="272">
        <f>+'NI-San_SP'!R935+'NI-Soc_SP'!R935+'NI-Ric_SP'!R935</f>
        <v>0</v>
      </c>
      <c r="S935" s="272">
        <f>+'NI-San_SP'!S935+'NI-Soc_SP'!S935+'NI-Ric_SP'!S935</f>
        <v>0</v>
      </c>
      <c r="T935" s="272">
        <f>+'NI-San_SP'!T935+'NI-Soc_SP'!T935+'NI-Ric_SP'!T935</f>
        <v>0</v>
      </c>
      <c r="U935" s="272">
        <f>+'NI-San_SP'!U935+'NI-Soc_SP'!U935+'NI-Ric_SP'!U935</f>
        <v>0</v>
      </c>
      <c r="V935" s="272">
        <f>+'NI-San_SP'!V935+'NI-Soc_SP'!V935+'NI-Ric_SP'!V935</f>
        <v>0</v>
      </c>
      <c r="W935" s="272">
        <f>+'NI-San_SP'!W935+'NI-Soc_SP'!W935+'NI-Ric_SP'!W935</f>
        <v>0</v>
      </c>
      <c r="X935" s="272">
        <f>+'NI-San_SP'!X935+'NI-Soc_SP'!X935+'NI-Ric_SP'!X935</f>
        <v>0</v>
      </c>
      <c r="Y935" s="272"/>
      <c r="Z935" s="272">
        <f>+'NI-San_SP'!Z935+'NI-Soc_SP'!Z935+'NI-Ric_SP'!Z935</f>
        <v>0</v>
      </c>
      <c r="AA935" s="272">
        <f>+'NI-San_SP'!AA935+'NI-Soc_SP'!AA935+'NI-Ric_SP'!AA935</f>
        <v>0</v>
      </c>
      <c r="AB935" s="272">
        <f>+'NI-San_SP'!AB935+'NI-Soc_SP'!AB935+'NI-Ric_SP'!AB935</f>
        <v>0</v>
      </c>
      <c r="AC935" s="272">
        <f>+'NI-San_SP'!AC935+'NI-Soc_SP'!AC935+'NI-Ric_SP'!AC935</f>
        <v>0</v>
      </c>
      <c r="AD935" s="272">
        <f>+'NI-San_SP'!AD935+'NI-Soc_SP'!AD935+'NI-Ric_SP'!AD935</f>
        <v>0</v>
      </c>
      <c r="AE935" s="272">
        <f>+'NI-San_SP'!AE935+'NI-Soc_SP'!AE935+'NI-Ric_SP'!AE935</f>
        <v>0</v>
      </c>
      <c r="AF935" s="272">
        <f>+'NI-San_SP'!AF935+'NI-Soc_SP'!AF935+'NI-Ric_SP'!AF935</f>
        <v>0</v>
      </c>
      <c r="AG935" s="272">
        <f>+'NI-San_SP'!AG935+'NI-Soc_SP'!AG935+'NI-Ric_SP'!AG935</f>
        <v>0</v>
      </c>
      <c r="AH935" s="272">
        <f>+'NI-San_SP'!AH935+'NI-Soc_SP'!AH935+'NI-Ric_SP'!AH935</f>
        <v>0</v>
      </c>
      <c r="AI935" s="272">
        <f>+'NI-San_SP'!AI935+'NI-Soc_SP'!AI935+'NI-Ric_SP'!AI935</f>
        <v>0</v>
      </c>
      <c r="AJ935" s="272">
        <f>+'NI-San_SP'!AJ935+'NI-Soc_SP'!AJ935+'NI-Ric_SP'!AJ935</f>
        <v>0</v>
      </c>
    </row>
    <row r="936" spans="1:36" s="204" customFormat="1" x14ac:dyDescent="0.25">
      <c r="B936" s="246" t="s">
        <v>2333</v>
      </c>
      <c r="C936" s="287" t="s">
        <v>2334</v>
      </c>
      <c r="D936" s="284" t="s">
        <v>4016</v>
      </c>
      <c r="E936" s="274"/>
      <c r="F936" s="274"/>
      <c r="G936" s="283"/>
      <c r="H936" s="326"/>
      <c r="I936" s="274"/>
      <c r="J936" s="281"/>
      <c r="K936" s="281"/>
      <c r="L936" s="488" t="s">
        <v>4017</v>
      </c>
      <c r="M936" s="284" t="s">
        <v>2962</v>
      </c>
      <c r="N936" s="408">
        <f t="shared" si="128"/>
        <v>0</v>
      </c>
      <c r="O936" s="408">
        <f t="shared" si="129"/>
        <v>0</v>
      </c>
      <c r="P936" s="271">
        <f t="shared" si="130"/>
        <v>0</v>
      </c>
      <c r="Q936" s="272">
        <f>+'NI-San_SP'!Q936+'NI-Soc_SP'!Q936+'NI-Ric_SP'!Q936</f>
        <v>0</v>
      </c>
      <c r="R936" s="272">
        <f>+'NI-San_SP'!R936+'NI-Soc_SP'!R936+'NI-Ric_SP'!R936</f>
        <v>0</v>
      </c>
      <c r="S936" s="272">
        <f>+'NI-San_SP'!S936+'NI-Soc_SP'!S936+'NI-Ric_SP'!S936</f>
        <v>0</v>
      </c>
      <c r="T936" s="272">
        <f>+'NI-San_SP'!T936+'NI-Soc_SP'!T936+'NI-Ric_SP'!T936</f>
        <v>0</v>
      </c>
      <c r="U936" s="272">
        <f>+'NI-San_SP'!U936+'NI-Soc_SP'!U936+'NI-Ric_SP'!U936</f>
        <v>0</v>
      </c>
      <c r="V936" s="272">
        <f>+'NI-San_SP'!V936+'NI-Soc_SP'!V936+'NI-Ric_SP'!V936</f>
        <v>2000</v>
      </c>
      <c r="W936" s="272">
        <f>+'NI-San_SP'!W936+'NI-Soc_SP'!W936+'NI-Ric_SP'!W936</f>
        <v>0</v>
      </c>
      <c r="X936" s="272">
        <f>+'NI-San_SP'!X936+'NI-Soc_SP'!X936+'NI-Ric_SP'!X936</f>
        <v>0</v>
      </c>
      <c r="Y936" s="272">
        <f>+'NI-San_SP'!Y936+'NI-Soc_SP'!Y936+'NI-Ric_SP'!Y936</f>
        <v>2000</v>
      </c>
      <c r="Z936" s="272">
        <f>+'NI-San_SP'!Z936+'NI-Soc_SP'!Z936+'NI-Ric_SP'!Z936</f>
        <v>0</v>
      </c>
      <c r="AA936" s="272">
        <f>+'NI-San_SP'!AA936+'NI-Soc_SP'!AA936+'NI-Ric_SP'!AA936</f>
        <v>0</v>
      </c>
      <c r="AB936" s="272">
        <f>+'NI-San_SP'!AB936+'NI-Soc_SP'!AB936+'NI-Ric_SP'!AB936</f>
        <v>0</v>
      </c>
      <c r="AC936" s="272">
        <f>+'NI-San_SP'!AC936+'NI-Soc_SP'!AC936+'NI-Ric_SP'!AC936</f>
        <v>0</v>
      </c>
      <c r="AD936" s="272">
        <f>+'NI-San_SP'!AD936+'NI-Soc_SP'!AD936+'NI-Ric_SP'!AD936</f>
        <v>0</v>
      </c>
      <c r="AE936" s="272">
        <f>+'NI-San_SP'!AE936+'NI-Soc_SP'!AE936+'NI-Ric_SP'!AE936</f>
        <v>0</v>
      </c>
      <c r="AF936" s="272">
        <f>+'NI-San_SP'!AF936+'NI-Soc_SP'!AF936+'NI-Ric_SP'!AF936</f>
        <v>0</v>
      </c>
      <c r="AG936" s="272">
        <f>+'NI-San_SP'!AG936+'NI-Soc_SP'!AG936+'NI-Ric_SP'!AG936</f>
        <v>0</v>
      </c>
      <c r="AH936" s="272">
        <f>+'NI-San_SP'!AH936+'NI-Soc_SP'!AH936+'NI-Ric_SP'!AH936</f>
        <v>0</v>
      </c>
      <c r="AI936" s="272">
        <f>+'NI-San_SP'!AI936+'NI-Soc_SP'!AI936+'NI-Ric_SP'!AI936</f>
        <v>0</v>
      </c>
      <c r="AJ936" s="272">
        <f>+'NI-San_SP'!AJ936+'NI-Soc_SP'!AJ936+'NI-Ric_SP'!AJ936</f>
        <v>0</v>
      </c>
    </row>
    <row r="937" spans="1:36" s="204" customFormat="1" x14ac:dyDescent="0.25">
      <c r="B937" s="246" t="s">
        <v>2337</v>
      </c>
      <c r="C937" s="287" t="s">
        <v>2338</v>
      </c>
      <c r="D937" s="284" t="s">
        <v>4018</v>
      </c>
      <c r="E937" s="274"/>
      <c r="F937" s="274"/>
      <c r="G937" s="283"/>
      <c r="H937" s="326"/>
      <c r="I937" s="274"/>
      <c r="J937" s="281"/>
      <c r="K937" s="281"/>
      <c r="L937" s="488" t="s">
        <v>4019</v>
      </c>
      <c r="M937" s="284" t="s">
        <v>2962</v>
      </c>
      <c r="N937" s="408">
        <f t="shared" si="128"/>
        <v>0</v>
      </c>
      <c r="O937" s="408">
        <f t="shared" si="129"/>
        <v>0</v>
      </c>
      <c r="P937" s="271">
        <f t="shared" si="130"/>
        <v>0</v>
      </c>
      <c r="Q937" s="272">
        <f>+'NI-San_SP'!Q937+'NI-Soc_SP'!Q937+'NI-Ric_SP'!Q937</f>
        <v>0</v>
      </c>
      <c r="R937" s="272">
        <f>+'NI-San_SP'!R937+'NI-Soc_SP'!R937+'NI-Ric_SP'!R937</f>
        <v>0</v>
      </c>
      <c r="S937" s="272">
        <f>+'NI-San_SP'!S937+'NI-Soc_SP'!S937+'NI-Ric_SP'!S937</f>
        <v>0</v>
      </c>
      <c r="T937" s="272">
        <f>+'NI-San_SP'!T937+'NI-Soc_SP'!T937+'NI-Ric_SP'!T937</f>
        <v>0</v>
      </c>
      <c r="U937" s="272">
        <f>+'NI-San_SP'!U937+'NI-Soc_SP'!U937+'NI-Ric_SP'!U937</f>
        <v>0</v>
      </c>
      <c r="V937" s="272">
        <f>+'NI-San_SP'!V937+'NI-Soc_SP'!V937+'NI-Ric_SP'!V937</f>
        <v>0</v>
      </c>
      <c r="W937" s="272">
        <f>+'NI-San_SP'!W937+'NI-Soc_SP'!W937+'NI-Ric_SP'!W937</f>
        <v>0</v>
      </c>
      <c r="X937" s="272">
        <f>+'NI-San_SP'!X937+'NI-Soc_SP'!X937+'NI-Ric_SP'!X937</f>
        <v>0</v>
      </c>
      <c r="Y937" s="272">
        <f>+'NI-San_SP'!Y937+'NI-Soc_SP'!Y937+'NI-Ric_SP'!Y937</f>
        <v>0</v>
      </c>
      <c r="Z937" s="272">
        <f>+'NI-San_SP'!Z937+'NI-Soc_SP'!Z937+'NI-Ric_SP'!Z937</f>
        <v>0</v>
      </c>
      <c r="AA937" s="272">
        <f>+'NI-San_SP'!AA937+'NI-Soc_SP'!AA937+'NI-Ric_SP'!AA937</f>
        <v>0</v>
      </c>
      <c r="AB937" s="272">
        <f>+'NI-San_SP'!AB937+'NI-Soc_SP'!AB937+'NI-Ric_SP'!AB937</f>
        <v>0</v>
      </c>
      <c r="AC937" s="272">
        <f>+'NI-San_SP'!AC937+'NI-Soc_SP'!AC937+'NI-Ric_SP'!AC937</f>
        <v>0</v>
      </c>
      <c r="AD937" s="272">
        <f>+'NI-San_SP'!AD937+'NI-Soc_SP'!AD937+'NI-Ric_SP'!AD937</f>
        <v>0</v>
      </c>
      <c r="AE937" s="272">
        <f>+'NI-San_SP'!AE937+'NI-Soc_SP'!AE937+'NI-Ric_SP'!AE937</f>
        <v>0</v>
      </c>
      <c r="AF937" s="272">
        <f>+'NI-San_SP'!AF937+'NI-Soc_SP'!AF937+'NI-Ric_SP'!AF937</f>
        <v>0</v>
      </c>
      <c r="AG937" s="272">
        <f>+'NI-San_SP'!AG937+'NI-Soc_SP'!AG937+'NI-Ric_SP'!AG937</f>
        <v>0</v>
      </c>
      <c r="AH937" s="272">
        <f>+'NI-San_SP'!AH937+'NI-Soc_SP'!AH937+'NI-Ric_SP'!AH937</f>
        <v>0</v>
      </c>
      <c r="AI937" s="272">
        <f>+'NI-San_SP'!AI937+'NI-Soc_SP'!AI937+'NI-Ric_SP'!AI937</f>
        <v>0</v>
      </c>
      <c r="AJ937" s="272">
        <f>+'NI-San_SP'!AJ937+'NI-Soc_SP'!AJ937+'NI-Ric_SP'!AJ937</f>
        <v>0</v>
      </c>
    </row>
    <row r="938" spans="1:36" s="204" customFormat="1" x14ac:dyDescent="0.25">
      <c r="B938" s="246" t="s">
        <v>2340</v>
      </c>
      <c r="C938" s="287" t="s">
        <v>2341</v>
      </c>
      <c r="D938" s="284" t="s">
        <v>4020</v>
      </c>
      <c r="E938" s="274"/>
      <c r="F938" s="274"/>
      <c r="G938" s="283"/>
      <c r="H938" s="326"/>
      <c r="I938" s="274"/>
      <c r="J938" s="281"/>
      <c r="K938" s="281"/>
      <c r="L938" s="488" t="s">
        <v>4021</v>
      </c>
      <c r="M938" s="284" t="s">
        <v>2962</v>
      </c>
      <c r="N938" s="408">
        <f t="shared" si="128"/>
        <v>0</v>
      </c>
      <c r="O938" s="408">
        <f t="shared" si="129"/>
        <v>0</v>
      </c>
      <c r="P938" s="271">
        <f t="shared" si="130"/>
        <v>0</v>
      </c>
      <c r="Q938" s="272">
        <f>+'NI-San_SP'!Q938+'NI-Soc_SP'!Q938+'NI-Ric_SP'!Q938</f>
        <v>0</v>
      </c>
      <c r="R938" s="272">
        <f>+'NI-San_SP'!R938+'NI-Soc_SP'!R938+'NI-Ric_SP'!R938</f>
        <v>0</v>
      </c>
      <c r="S938" s="272">
        <f>+'NI-San_SP'!S938+'NI-Soc_SP'!S938+'NI-Ric_SP'!S938</f>
        <v>0</v>
      </c>
      <c r="T938" s="272">
        <f>+'NI-San_SP'!T938+'NI-Soc_SP'!T938+'NI-Ric_SP'!T938</f>
        <v>0</v>
      </c>
      <c r="U938" s="272">
        <f>+'NI-San_SP'!U938+'NI-Soc_SP'!U938+'NI-Ric_SP'!U938</f>
        <v>0</v>
      </c>
      <c r="V938" s="272">
        <f>+'NI-San_SP'!V938+'NI-Soc_SP'!V938+'NI-Ric_SP'!V938</f>
        <v>0</v>
      </c>
      <c r="W938" s="272">
        <f>+'NI-San_SP'!W938+'NI-Soc_SP'!W938+'NI-Ric_SP'!W938</f>
        <v>0</v>
      </c>
      <c r="X938" s="272">
        <f>+'NI-San_SP'!X938+'NI-Soc_SP'!X938+'NI-Ric_SP'!X938</f>
        <v>0</v>
      </c>
      <c r="Y938" s="272">
        <f>+'NI-San_SP'!Y938+'NI-Soc_SP'!Y938+'NI-Ric_SP'!Y938</f>
        <v>0</v>
      </c>
      <c r="Z938" s="272">
        <f>+'NI-San_SP'!Z938+'NI-Soc_SP'!Z938+'NI-Ric_SP'!Z938</f>
        <v>0</v>
      </c>
      <c r="AA938" s="272">
        <f>+'NI-San_SP'!AA938+'NI-Soc_SP'!AA938+'NI-Ric_SP'!AA938</f>
        <v>0</v>
      </c>
      <c r="AB938" s="272">
        <f>+'NI-San_SP'!AB938+'NI-Soc_SP'!AB938+'NI-Ric_SP'!AB938</f>
        <v>0</v>
      </c>
      <c r="AC938" s="272">
        <f>+'NI-San_SP'!AC938+'NI-Soc_SP'!AC938+'NI-Ric_SP'!AC938</f>
        <v>0</v>
      </c>
      <c r="AD938" s="272">
        <f>+'NI-San_SP'!AD938+'NI-Soc_SP'!AD938+'NI-Ric_SP'!AD938</f>
        <v>0</v>
      </c>
      <c r="AE938" s="272">
        <f>+'NI-San_SP'!AE938+'NI-Soc_SP'!AE938+'NI-Ric_SP'!AE938</f>
        <v>0</v>
      </c>
      <c r="AF938" s="272">
        <f>+'NI-San_SP'!AF938+'NI-Soc_SP'!AF938+'NI-Ric_SP'!AF938</f>
        <v>0</v>
      </c>
      <c r="AG938" s="272">
        <f>+'NI-San_SP'!AG938+'NI-Soc_SP'!AG938+'NI-Ric_SP'!AG938</f>
        <v>0</v>
      </c>
      <c r="AH938" s="272">
        <f>+'NI-San_SP'!AH938+'NI-Soc_SP'!AH938+'NI-Ric_SP'!AH938</f>
        <v>0</v>
      </c>
      <c r="AI938" s="272">
        <f>+'NI-San_SP'!AI938+'NI-Soc_SP'!AI938+'NI-Ric_SP'!AI938</f>
        <v>0</v>
      </c>
      <c r="AJ938" s="272">
        <f>+'NI-San_SP'!AJ938+'NI-Soc_SP'!AJ938+'NI-Ric_SP'!AJ938</f>
        <v>0</v>
      </c>
    </row>
    <row r="939" spans="1:36" s="204" customFormat="1" x14ac:dyDescent="0.25">
      <c r="B939" s="298"/>
      <c r="C939" s="298"/>
      <c r="D939" s="226"/>
      <c r="E939" s="226"/>
      <c r="F939" s="22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Z939" s="216"/>
      <c r="AA939" s="216"/>
      <c r="AB939" s="216"/>
      <c r="AC939" s="216"/>
      <c r="AD939" s="216"/>
    </row>
    <row r="940" spans="1:36" s="204" customFormat="1" ht="15.75" customHeight="1" x14ac:dyDescent="0.25">
      <c r="B940" s="302"/>
      <c r="C940" s="302"/>
      <c r="D940" s="226"/>
      <c r="E940" s="226"/>
      <c r="F940" s="226"/>
      <c r="G940" s="226"/>
      <c r="H940" s="227"/>
      <c r="I940" s="226"/>
      <c r="J940" s="226"/>
      <c r="K940" s="226"/>
      <c r="L940" s="315"/>
      <c r="M940" s="216"/>
      <c r="N940" s="254"/>
      <c r="O940" s="216"/>
      <c r="P940" s="216"/>
      <c r="Q940" s="216"/>
      <c r="R940" s="211"/>
      <c r="S940" s="211"/>
      <c r="U940" s="902" t="s">
        <v>3495</v>
      </c>
      <c r="V940" s="902"/>
      <c r="W940" s="485"/>
      <c r="X940" s="903" t="s">
        <v>3496</v>
      </c>
      <c r="Y940" s="903"/>
      <c r="Z940" s="211"/>
      <c r="AA940" s="211"/>
      <c r="AB940" s="211"/>
      <c r="AC940" s="904" t="str">
        <f>+AC925</f>
        <v>VALORE DEI DEBITI AL 31/12/2020 PER ANNO DI FORMAZIONE</v>
      </c>
      <c r="AD940" s="904"/>
      <c r="AE940" s="904"/>
      <c r="AF940" s="904"/>
      <c r="AG940" s="904"/>
      <c r="AH940" s="905" t="str">
        <f>+AH925</f>
        <v>Debiti al 31/12/2020 per scadenza</v>
      </c>
      <c r="AI940" s="905"/>
      <c r="AJ940" s="905"/>
    </row>
    <row r="941" spans="1:36" s="204" customFormat="1" ht="63.75" x14ac:dyDescent="0.25">
      <c r="B941" s="289"/>
      <c r="C941" s="289"/>
      <c r="D941" s="211"/>
      <c r="E941" s="211"/>
      <c r="F941" s="211"/>
      <c r="G941" s="211"/>
      <c r="H941" s="353"/>
      <c r="I941" s="211"/>
      <c r="J941" s="211"/>
      <c r="K941" s="211"/>
      <c r="L941" s="255"/>
      <c r="M941" s="244"/>
      <c r="N941" s="256" t="str">
        <f>N$15</f>
        <v>Valore netto al 31/12/2019</v>
      </c>
      <c r="O941" s="256" t="str">
        <f>O$15</f>
        <v>Valore netto al 31/12/2020</v>
      </c>
      <c r="P941" s="256" t="str">
        <f>P$15</f>
        <v>Variazione</v>
      </c>
      <c r="Q941" s="262" t="s">
        <v>2971</v>
      </c>
      <c r="R941" s="346" t="s">
        <v>3517</v>
      </c>
      <c r="S941" s="262" t="s">
        <v>2972</v>
      </c>
      <c r="T941" s="486" t="s">
        <v>3995</v>
      </c>
      <c r="U941" s="337" t="s">
        <v>3996</v>
      </c>
      <c r="V941" s="337" t="s">
        <v>3495</v>
      </c>
      <c r="W941" s="262" t="s">
        <v>2975</v>
      </c>
      <c r="X941" s="338" t="s">
        <v>3498</v>
      </c>
      <c r="Y941" s="338" t="s">
        <v>3499</v>
      </c>
      <c r="Z941" s="262" t="s">
        <v>3815</v>
      </c>
      <c r="AA941" s="497" t="s">
        <v>3997</v>
      </c>
      <c r="AB941" s="377" t="s">
        <v>3998</v>
      </c>
      <c r="AC941" s="339" t="s">
        <v>3503</v>
      </c>
      <c r="AD941" s="339" t="s">
        <v>3504</v>
      </c>
      <c r="AE941" s="339" t="s">
        <v>3505</v>
      </c>
      <c r="AF941" s="339" t="s">
        <v>3506</v>
      </c>
      <c r="AG941" s="339" t="s">
        <v>3507</v>
      </c>
      <c r="AH941" s="340" t="s">
        <v>3508</v>
      </c>
      <c r="AI941" s="340" t="s">
        <v>3509</v>
      </c>
      <c r="AJ941" s="340" t="s">
        <v>3510</v>
      </c>
    </row>
    <row r="942" spans="1:36" s="204" customFormat="1" x14ac:dyDescent="0.25">
      <c r="B942" s="246" t="s">
        <v>2343</v>
      </c>
      <c r="C942" s="292" t="s">
        <v>2344</v>
      </c>
      <c r="D942" s="247" t="s">
        <v>4022</v>
      </c>
      <c r="E942" s="247"/>
      <c r="F942" s="247"/>
      <c r="G942" s="247"/>
      <c r="H942" s="248"/>
      <c r="I942" s="247"/>
      <c r="J942" s="398"/>
      <c r="K942" s="399"/>
      <c r="L942" s="400" t="s">
        <v>2348</v>
      </c>
      <c r="M942" s="251" t="s">
        <v>2962</v>
      </c>
      <c r="N942" s="410">
        <f>+R942</f>
        <v>513</v>
      </c>
      <c r="O942" s="487">
        <f>+Z942</f>
        <v>15671</v>
      </c>
      <c r="P942" s="498">
        <f>+O942-N942</f>
        <v>15158</v>
      </c>
      <c r="Q942" s="487">
        <f>+AB942</f>
        <v>0</v>
      </c>
      <c r="R942" s="272">
        <f>+'NI-San_SP'!R942+'NI-Soc_SP'!R942+'NI-Ric_SP'!R942</f>
        <v>513</v>
      </c>
      <c r="S942" s="272">
        <f>+'NI-San_SP'!S942+'NI-Soc_SP'!S942+'NI-Ric_SP'!S942</f>
        <v>0</v>
      </c>
      <c r="T942" s="272">
        <f>+'NI-San_SP'!T942+'NI-Soc_SP'!T942+'NI-Ric_SP'!T942</f>
        <v>0</v>
      </c>
      <c r="U942" s="272">
        <f>+'NI-San_SP'!U942+'NI-Soc_SP'!U942+'NI-Ric_SP'!U942</f>
        <v>0</v>
      </c>
      <c r="V942" s="272">
        <f>+'NI-San_SP'!V942+'NI-Soc_SP'!V942+'NI-Ric_SP'!V942</f>
        <v>20460</v>
      </c>
      <c r="W942" s="272">
        <f>+'NI-San_SP'!W942+'NI-Soc_SP'!W942+'NI-Ric_SP'!W942</f>
        <v>0</v>
      </c>
      <c r="X942" s="272">
        <f>+'NI-San_SP'!X942+'NI-Soc_SP'!X942+'NI-Ric_SP'!X942</f>
        <v>280</v>
      </c>
      <c r="Y942" s="272">
        <f>+'NI-San_SP'!Y942+'NI-Soc_SP'!Y942+'NI-Ric_SP'!Y942</f>
        <v>5022</v>
      </c>
      <c r="Z942" s="272">
        <f>+'NI-San_SP'!Z942+'NI-Soc_SP'!Z942+'NI-Ric_SP'!Z942</f>
        <v>15671</v>
      </c>
      <c r="AA942" s="272">
        <f>+'NI-San_SP'!AA942+'NI-Soc_SP'!AA942+'NI-Ric_SP'!AA942</f>
        <v>0</v>
      </c>
      <c r="AB942" s="272">
        <f>+'NI-San_SP'!AB942+'NI-Soc_SP'!AB942+'NI-Ric_SP'!AB942</f>
        <v>0</v>
      </c>
      <c r="AC942" s="272">
        <f>+'NI-San_SP'!AC942+'NI-Soc_SP'!AC942+'NI-Ric_SP'!AC942</f>
        <v>1913</v>
      </c>
      <c r="AD942" s="272">
        <f>+'NI-San_SP'!AD942+'NI-Soc_SP'!AD942+'NI-Ric_SP'!AD942</f>
        <v>0</v>
      </c>
      <c r="AE942" s="272">
        <f>+'NI-San_SP'!AE942+'NI-Soc_SP'!AE942+'NI-Ric_SP'!AE942</f>
        <v>3925</v>
      </c>
      <c r="AF942" s="272">
        <f>+'NI-San_SP'!AF942+'NI-Soc_SP'!AF942+'NI-Ric_SP'!AF942</f>
        <v>6206</v>
      </c>
      <c r="AG942" s="272">
        <f>+'NI-San_SP'!AG942+'NI-Soc_SP'!AG942+'NI-Ric_SP'!AG942</f>
        <v>3627</v>
      </c>
      <c r="AH942" s="272">
        <f>+'NI-San_SP'!AH942+'NI-Soc_SP'!AH942+'NI-Ric_SP'!AH942</f>
        <v>15671</v>
      </c>
      <c r="AI942" s="272">
        <f>+'NI-San_SP'!AI942+'NI-Soc_SP'!AI942+'NI-Ric_SP'!AI942</f>
        <v>0</v>
      </c>
      <c r="AJ942" s="272">
        <f>+'NI-San_SP'!AJ942+'NI-Soc_SP'!AJ942+'NI-Ric_SP'!AJ942</f>
        <v>0</v>
      </c>
    </row>
    <row r="943" spans="1:36" s="204" customFormat="1" x14ac:dyDescent="0.25">
      <c r="B943" s="302"/>
      <c r="C943" s="302"/>
      <c r="D943" s="226"/>
      <c r="E943" s="226"/>
      <c r="F943" s="226"/>
      <c r="G943" s="226"/>
      <c r="H943" s="227"/>
      <c r="I943" s="226"/>
      <c r="J943" s="226"/>
      <c r="K943" s="226"/>
      <c r="L943" s="315"/>
      <c r="M943" s="216"/>
      <c r="N943" s="254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Z943" s="216"/>
      <c r="AA943" s="216"/>
      <c r="AB943" s="216"/>
      <c r="AC943" s="216"/>
      <c r="AD943" s="216"/>
    </row>
    <row r="944" spans="1:36" s="204" customFormat="1" x14ac:dyDescent="0.25">
      <c r="B944" s="246" t="s">
        <v>2349</v>
      </c>
      <c r="C944" s="292" t="s">
        <v>2350</v>
      </c>
      <c r="D944" s="247" t="s">
        <v>4023</v>
      </c>
      <c r="E944" s="247"/>
      <c r="F944" s="247"/>
      <c r="G944" s="247"/>
      <c r="H944" s="248"/>
      <c r="I944" s="247"/>
      <c r="J944" s="247"/>
      <c r="K944" s="249"/>
      <c r="L944" s="441" t="s">
        <v>2353</v>
      </c>
      <c r="M944" s="251" t="s">
        <v>2962</v>
      </c>
      <c r="N944" s="252">
        <f>+N948+N976+N979</f>
        <v>10599074</v>
      </c>
      <c r="O944" s="252">
        <f>+O948+O976+O979</f>
        <v>11209212</v>
      </c>
      <c r="P944" s="253">
        <f>+O944-N944</f>
        <v>610138</v>
      </c>
      <c r="Q944" s="252">
        <f t="shared" ref="Q944:AJ944" si="131">+Q948+Q976+Q979</f>
        <v>0</v>
      </c>
      <c r="R944" s="252">
        <f t="shared" si="131"/>
        <v>10599074</v>
      </c>
      <c r="S944" s="252">
        <f t="shared" si="131"/>
        <v>0</v>
      </c>
      <c r="T944" s="252">
        <f t="shared" si="131"/>
        <v>0</v>
      </c>
      <c r="U944" s="252">
        <f t="shared" si="131"/>
        <v>-31344</v>
      </c>
      <c r="V944" s="252">
        <f t="shared" si="131"/>
        <v>7332548</v>
      </c>
      <c r="W944" s="252">
        <f t="shared" si="131"/>
        <v>0</v>
      </c>
      <c r="X944" s="252">
        <f t="shared" si="131"/>
        <v>4943515</v>
      </c>
      <c r="Y944" s="252">
        <f t="shared" si="131"/>
        <v>1747551</v>
      </c>
      <c r="Z944" s="252">
        <f t="shared" si="131"/>
        <v>11209212</v>
      </c>
      <c r="AA944" s="252">
        <f t="shared" si="131"/>
        <v>1544778</v>
      </c>
      <c r="AB944" s="252">
        <f t="shared" si="131"/>
        <v>0</v>
      </c>
      <c r="AC944" s="252">
        <f t="shared" si="131"/>
        <v>292457</v>
      </c>
      <c r="AD944" s="252">
        <f t="shared" si="131"/>
        <v>21290</v>
      </c>
      <c r="AE944" s="252">
        <f t="shared" si="131"/>
        <v>4293335</v>
      </c>
      <c r="AF944" s="252">
        <f t="shared" si="131"/>
        <v>982893</v>
      </c>
      <c r="AG944" s="252">
        <f t="shared" si="131"/>
        <v>5619237</v>
      </c>
      <c r="AH944" s="252">
        <f t="shared" si="131"/>
        <v>4201207</v>
      </c>
      <c r="AI944" s="252">
        <f t="shared" si="131"/>
        <v>7008005</v>
      </c>
      <c r="AJ944" s="252">
        <f t="shared" si="131"/>
        <v>0</v>
      </c>
    </row>
    <row r="945" spans="2:36" s="204" customFormat="1" x14ac:dyDescent="0.25">
      <c r="B945" s="298"/>
      <c r="C945" s="298"/>
      <c r="D945" s="226"/>
      <c r="E945" s="226"/>
      <c r="F945" s="226"/>
      <c r="G945" s="226"/>
      <c r="H945" s="227"/>
      <c r="I945" s="226"/>
      <c r="J945" s="226"/>
      <c r="K945" s="226"/>
      <c r="L945" s="403"/>
      <c r="M945" s="278"/>
      <c r="N945" s="279"/>
      <c r="O945" s="279"/>
      <c r="P945" s="404"/>
      <c r="Q945" s="216"/>
      <c r="R945" s="279"/>
      <c r="S945" s="216"/>
      <c r="T945" s="216"/>
      <c r="U945" s="216"/>
      <c r="V945" s="216"/>
      <c r="W945" s="216"/>
      <c r="X945" s="216"/>
      <c r="Z945" s="216"/>
      <c r="AA945" s="216"/>
      <c r="AB945" s="216"/>
      <c r="AC945" s="216"/>
      <c r="AD945" s="216"/>
    </row>
    <row r="946" spans="2:36" s="204" customFormat="1" ht="15.75" customHeight="1" x14ac:dyDescent="0.25">
      <c r="B946" s="293"/>
      <c r="C946" s="293"/>
      <c r="D946" s="230"/>
      <c r="E946" s="230"/>
      <c r="F946" s="230"/>
      <c r="G946" s="230"/>
      <c r="H946" s="231"/>
      <c r="I946" s="230"/>
      <c r="J946" s="230"/>
      <c r="K946" s="230"/>
      <c r="L946" s="232"/>
      <c r="M946" s="211"/>
      <c r="N946" s="254"/>
      <c r="O946" s="211"/>
      <c r="P946" s="211"/>
      <c r="Q946" s="216"/>
      <c r="R946" s="211"/>
      <c r="S946" s="211"/>
      <c r="U946" s="902" t="s">
        <v>3495</v>
      </c>
      <c r="V946" s="902"/>
      <c r="W946" s="485"/>
      <c r="X946" s="903" t="s">
        <v>3496</v>
      </c>
      <c r="Y946" s="903"/>
      <c r="Z946" s="211"/>
      <c r="AA946" s="211"/>
      <c r="AB946" s="211"/>
      <c r="AC946" s="904" t="str">
        <f>+AC940</f>
        <v>VALORE DEI DEBITI AL 31/12/2020 PER ANNO DI FORMAZIONE</v>
      </c>
      <c r="AD946" s="904"/>
      <c r="AE946" s="904"/>
      <c r="AF946" s="904"/>
      <c r="AG946" s="904"/>
      <c r="AH946" s="905" t="str">
        <f>+AH940</f>
        <v>Debiti al 31/12/2020 per scadenza</v>
      </c>
      <c r="AI946" s="905"/>
      <c r="AJ946" s="905"/>
    </row>
    <row r="947" spans="2:36" s="204" customFormat="1" ht="63.75" x14ac:dyDescent="0.25">
      <c r="B947" s="499" t="s">
        <v>2968</v>
      </c>
      <c r="C947" s="499" t="s">
        <v>2969</v>
      </c>
      <c r="D947" s="500" t="s">
        <v>72</v>
      </c>
      <c r="E947" s="500"/>
      <c r="F947" s="500"/>
      <c r="G947" s="501"/>
      <c r="H947" s="501"/>
      <c r="I947" s="501"/>
      <c r="J947" s="501" t="s">
        <v>2957</v>
      </c>
      <c r="K947" s="500" t="s">
        <v>82</v>
      </c>
      <c r="L947" s="431" t="s">
        <v>3670</v>
      </c>
      <c r="M947" s="480"/>
      <c r="N947" s="256" t="str">
        <f>N$15</f>
        <v>Valore netto al 31/12/2019</v>
      </c>
      <c r="O947" s="256" t="str">
        <f>O$15</f>
        <v>Valore netto al 31/12/2020</v>
      </c>
      <c r="P947" s="256" t="str">
        <f>P$15</f>
        <v>Variazione</v>
      </c>
      <c r="Q947" s="262" t="s">
        <v>2971</v>
      </c>
      <c r="R947" s="502" t="s">
        <v>3517</v>
      </c>
      <c r="S947" s="262" t="s">
        <v>2972</v>
      </c>
      <c r="T947" s="486" t="s">
        <v>3995</v>
      </c>
      <c r="U947" s="337" t="s">
        <v>3996</v>
      </c>
      <c r="V947" s="337" t="s">
        <v>3495</v>
      </c>
      <c r="W947" s="262" t="s">
        <v>2975</v>
      </c>
      <c r="X947" s="338" t="s">
        <v>3498</v>
      </c>
      <c r="Y947" s="338" t="s">
        <v>3499</v>
      </c>
      <c r="Z947" s="262" t="s">
        <v>3815</v>
      </c>
      <c r="AA947" s="377" t="s">
        <v>3997</v>
      </c>
      <c r="AB947" s="377" t="s">
        <v>3998</v>
      </c>
      <c r="AC947" s="339" t="s">
        <v>3503</v>
      </c>
      <c r="AD947" s="339" t="s">
        <v>3504</v>
      </c>
      <c r="AE947" s="339" t="s">
        <v>3505</v>
      </c>
      <c r="AF947" s="339" t="s">
        <v>3506</v>
      </c>
      <c r="AG947" s="339" t="s">
        <v>3507</v>
      </c>
      <c r="AH947" s="340" t="s">
        <v>3508</v>
      </c>
      <c r="AI947" s="340" t="s">
        <v>3509</v>
      </c>
      <c r="AJ947" s="340" t="s">
        <v>3510</v>
      </c>
    </row>
    <row r="948" spans="2:36" s="204" customFormat="1" x14ac:dyDescent="0.25">
      <c r="B948" s="246" t="s">
        <v>2354</v>
      </c>
      <c r="C948" s="287" t="s">
        <v>2355</v>
      </c>
      <c r="D948" s="284" t="s">
        <v>4024</v>
      </c>
      <c r="E948" s="274"/>
      <c r="F948" s="437"/>
      <c r="G948" s="437"/>
      <c r="H948" s="437"/>
      <c r="I948" s="437"/>
      <c r="J948" s="437"/>
      <c r="K948" s="437"/>
      <c r="L948" s="295" t="s">
        <v>2356</v>
      </c>
      <c r="M948" s="284" t="s">
        <v>2962</v>
      </c>
      <c r="N948" s="378">
        <f>+N949+N956+N957+N958+N962+N963+N969+N970</f>
        <v>10560835</v>
      </c>
      <c r="O948" s="378">
        <f>+O949+O956+O957+O958+O962+O963+O969+O970+O971+O972+O973+O974+O975</f>
        <v>11201709</v>
      </c>
      <c r="P948" s="378">
        <f t="shared" ref="P948:P984" si="132">+O948-N948</f>
        <v>640874</v>
      </c>
      <c r="Q948" s="272">
        <f>+'NI-San_SP'!Q948+'NI-Soc_SP'!Q948+'NI-Ric_SP'!Q948</f>
        <v>0</v>
      </c>
      <c r="R948" s="272">
        <f>+'NI-San_SP'!R948+'NI-Soc_SP'!R948+'NI-Ric_SP'!R948</f>
        <v>10560835</v>
      </c>
      <c r="S948" s="272">
        <f>+'NI-San_SP'!S948+'NI-Soc_SP'!S948+'NI-Ric_SP'!S948</f>
        <v>0</v>
      </c>
      <c r="T948" s="272">
        <f>+'NI-San_SP'!T948+'NI-Soc_SP'!T948+'NI-Ric_SP'!T948</f>
        <v>0</v>
      </c>
      <c r="U948" s="272">
        <f>+'NI-San_SP'!U948+'NI-Soc_SP'!U948+'NI-Ric_SP'!U948</f>
        <v>-31344</v>
      </c>
      <c r="V948" s="272">
        <f>+'NI-San_SP'!V948+'NI-Soc_SP'!V948+'NI-Ric_SP'!V948</f>
        <v>7309709</v>
      </c>
      <c r="W948" s="272">
        <f>+'NI-San_SP'!W948+'NI-Soc_SP'!W948+'NI-Ric_SP'!W948</f>
        <v>0</v>
      </c>
      <c r="X948" s="272">
        <f>+'NI-San_SP'!X948+'NI-Soc_SP'!X948+'NI-Ric_SP'!X948</f>
        <v>4912780</v>
      </c>
      <c r="Y948" s="272">
        <f>+'NI-San_SP'!Y948+'NI-Soc_SP'!Y948+'NI-Ric_SP'!Y948</f>
        <v>1724711</v>
      </c>
      <c r="Z948" s="272">
        <f>+'NI-San_SP'!Z948+'NI-Soc_SP'!Z948+'NI-Ric_SP'!Z948</f>
        <v>11201709</v>
      </c>
      <c r="AA948" s="272">
        <f>+'NI-San_SP'!AA948+'NI-Soc_SP'!AA948+'NI-Ric_SP'!AA948</f>
        <v>1542009</v>
      </c>
      <c r="AB948" s="272">
        <f>+'NI-San_SP'!AB948+'NI-Soc_SP'!AB948+'NI-Ric_SP'!AB948</f>
        <v>0</v>
      </c>
      <c r="AC948" s="272">
        <f>+'NI-San_SP'!AC948+'NI-Soc_SP'!AC948+'NI-Ric_SP'!AC948</f>
        <v>292166</v>
      </c>
      <c r="AD948" s="272">
        <f>+'NI-San_SP'!AD948+'NI-Soc_SP'!AD948+'NI-Ric_SP'!AD948</f>
        <v>21290</v>
      </c>
      <c r="AE948" s="272">
        <f>+'NI-San_SP'!AE948+'NI-Soc_SP'!AE948+'NI-Ric_SP'!AE948</f>
        <v>4293276</v>
      </c>
      <c r="AF948" s="272">
        <f>+'NI-San_SP'!AF948+'NI-Soc_SP'!AF948+'NI-Ric_SP'!AF948</f>
        <v>982893</v>
      </c>
      <c r="AG948" s="272">
        <f>+'NI-San_SP'!AG948+'NI-Soc_SP'!AG948+'NI-Ric_SP'!AG948</f>
        <v>5612084</v>
      </c>
      <c r="AH948" s="272">
        <f>+'NI-San_SP'!AH948+'NI-Soc_SP'!AH948+'NI-Ric_SP'!AH948</f>
        <v>4193704</v>
      </c>
      <c r="AI948" s="272">
        <f>+'NI-San_SP'!AI948+'NI-Soc_SP'!AI948+'NI-Ric_SP'!AI948</f>
        <v>7008005</v>
      </c>
      <c r="AJ948" s="272">
        <f>+'NI-San_SP'!AJ948+'NI-Soc_SP'!AJ948+'NI-Ric_SP'!AJ948</f>
        <v>0</v>
      </c>
    </row>
    <row r="949" spans="2:36" s="204" customFormat="1" x14ac:dyDescent="0.25">
      <c r="B949" s="246" t="s">
        <v>2357</v>
      </c>
      <c r="C949" s="287" t="s">
        <v>2358</v>
      </c>
      <c r="D949" s="284" t="s">
        <v>4025</v>
      </c>
      <c r="E949" s="274"/>
      <c r="F949" s="437"/>
      <c r="G949" s="437"/>
      <c r="H949" s="437"/>
      <c r="I949" s="437"/>
      <c r="J949" s="437"/>
      <c r="K949" s="437"/>
      <c r="L949" s="379" t="s">
        <v>2360</v>
      </c>
      <c r="M949" s="284" t="s">
        <v>2962</v>
      </c>
      <c r="N949" s="378">
        <f>SUM(N950:N955)</f>
        <v>0</v>
      </c>
      <c r="O949" s="378">
        <f>SUM(O950:O955)</f>
        <v>0</v>
      </c>
      <c r="P949" s="378">
        <f t="shared" si="132"/>
        <v>0</v>
      </c>
      <c r="Q949" s="272">
        <f>+'NI-San_SP'!Q949+'NI-Soc_SP'!Q949+'NI-Ric_SP'!Q949</f>
        <v>0</v>
      </c>
      <c r="R949" s="272">
        <f>+'NI-San_SP'!R949+'NI-Soc_SP'!R949+'NI-Ric_SP'!R949</f>
        <v>0</v>
      </c>
      <c r="S949" s="272">
        <f>+'NI-San_SP'!S949+'NI-Soc_SP'!S949+'NI-Ric_SP'!S949</f>
        <v>0</v>
      </c>
      <c r="T949" s="272">
        <f>+'NI-San_SP'!T949+'NI-Soc_SP'!T949+'NI-Ric_SP'!T949</f>
        <v>0</v>
      </c>
      <c r="U949" s="272">
        <f>+'NI-San_SP'!U949+'NI-Soc_SP'!U949+'NI-Ric_SP'!U949</f>
        <v>0</v>
      </c>
      <c r="V949" s="272">
        <f>+'NI-San_SP'!V949+'NI-Soc_SP'!V949+'NI-Ric_SP'!V949</f>
        <v>0</v>
      </c>
      <c r="W949" s="272">
        <f>+'NI-San_SP'!W949+'NI-Soc_SP'!W949+'NI-Ric_SP'!W949</f>
        <v>0</v>
      </c>
      <c r="X949" s="272">
        <f>+'NI-San_SP'!X949+'NI-Soc_SP'!X949+'NI-Ric_SP'!X949</f>
        <v>0</v>
      </c>
      <c r="Y949" s="272">
        <f>+'NI-San_SP'!Y949+'NI-Soc_SP'!Y949+'NI-Ric_SP'!Y949</f>
        <v>0</v>
      </c>
      <c r="Z949" s="272">
        <f>+'NI-San_SP'!Z949+'NI-Soc_SP'!Z949+'NI-Ric_SP'!Z949</f>
        <v>0</v>
      </c>
      <c r="AA949" s="272">
        <f>+'NI-San_SP'!AA949+'NI-Soc_SP'!AA949+'NI-Ric_SP'!AA949</f>
        <v>0</v>
      </c>
      <c r="AB949" s="272">
        <f>+'NI-San_SP'!AB949+'NI-Soc_SP'!AB949+'NI-Ric_SP'!AB949</f>
        <v>0</v>
      </c>
      <c r="AC949" s="272">
        <f>+'NI-San_SP'!AC949+'NI-Soc_SP'!AC949+'NI-Ric_SP'!AC949</f>
        <v>0</v>
      </c>
      <c r="AD949" s="272">
        <f>+'NI-San_SP'!AD949+'NI-Soc_SP'!AD949+'NI-Ric_SP'!AD949</f>
        <v>0</v>
      </c>
      <c r="AE949" s="272">
        <f>+'NI-San_SP'!AE949+'NI-Soc_SP'!AE949+'NI-Ric_SP'!AE949</f>
        <v>0</v>
      </c>
      <c r="AF949" s="272">
        <f>+'NI-San_SP'!AF949+'NI-Soc_SP'!AF949+'NI-Ric_SP'!AF949</f>
        <v>0</v>
      </c>
      <c r="AG949" s="272">
        <f>+'NI-San_SP'!AG949+'NI-Soc_SP'!AG949+'NI-Ric_SP'!AG949</f>
        <v>0</v>
      </c>
      <c r="AH949" s="272">
        <f>+'NI-San_SP'!AH949+'NI-Soc_SP'!AH949+'NI-Ric_SP'!AH949</f>
        <v>0</v>
      </c>
      <c r="AI949" s="272">
        <f>+'NI-San_SP'!AI949+'NI-Soc_SP'!AI949+'NI-Ric_SP'!AI949</f>
        <v>0</v>
      </c>
      <c r="AJ949" s="272">
        <f>+'NI-San_SP'!AJ949+'NI-Soc_SP'!AJ949+'NI-Ric_SP'!AJ949</f>
        <v>0</v>
      </c>
    </row>
    <row r="950" spans="2:36" s="204" customFormat="1" hidden="1" x14ac:dyDescent="0.25">
      <c r="B950" s="246" t="s">
        <v>2361</v>
      </c>
      <c r="C950" s="287" t="s">
        <v>2362</v>
      </c>
      <c r="D950" s="284" t="s">
        <v>4026</v>
      </c>
      <c r="E950" s="274"/>
      <c r="F950" s="437"/>
      <c r="G950" s="437"/>
      <c r="H950" s="437"/>
      <c r="I950" s="437"/>
      <c r="J950" s="437"/>
      <c r="K950" s="437"/>
      <c r="L950" s="97" t="s">
        <v>2364</v>
      </c>
      <c r="M950" s="284" t="s">
        <v>2962</v>
      </c>
      <c r="N950" s="408">
        <f t="shared" ref="N950:N957" si="133">+R950</f>
        <v>0</v>
      </c>
      <c r="O950" s="408">
        <f t="shared" ref="O950:O957" si="134">+Z950</f>
        <v>0</v>
      </c>
      <c r="P950" s="271">
        <f t="shared" si="132"/>
        <v>0</v>
      </c>
      <c r="Q950" s="272">
        <f>+'NI-San_SP'!Q950+'NI-Soc_SP'!Q950+'NI-Ric_SP'!Q950</f>
        <v>0</v>
      </c>
      <c r="R950" s="272">
        <f>+'NI-San_SP'!R950+'NI-Soc_SP'!R950+'NI-Ric_SP'!R950</f>
        <v>0</v>
      </c>
      <c r="S950" s="272">
        <f>+'NI-San_SP'!S950+'NI-Soc_SP'!S950+'NI-Ric_SP'!S950</f>
        <v>0</v>
      </c>
      <c r="T950" s="272">
        <f>+'NI-San_SP'!T950+'NI-Soc_SP'!T950+'NI-Ric_SP'!T950</f>
        <v>0</v>
      </c>
      <c r="U950" s="272">
        <f>+'NI-San_SP'!U950+'NI-Soc_SP'!U950+'NI-Ric_SP'!U950</f>
        <v>0</v>
      </c>
      <c r="V950" s="272">
        <f>+'NI-San_SP'!V950+'NI-Soc_SP'!V950+'NI-Ric_SP'!V950</f>
        <v>0</v>
      </c>
      <c r="W950" s="272">
        <f>+'NI-San_SP'!W950+'NI-Soc_SP'!W950+'NI-Ric_SP'!W950</f>
        <v>0</v>
      </c>
      <c r="X950" s="272">
        <f>+'NI-San_SP'!X950+'NI-Soc_SP'!X950+'NI-Ric_SP'!X950</f>
        <v>0</v>
      </c>
      <c r="Y950" s="272">
        <f>+'NI-San_SP'!Y950+'NI-Soc_SP'!Y950+'NI-Ric_SP'!Y950</f>
        <v>0</v>
      </c>
      <c r="Z950" s="272">
        <f>+'NI-San_SP'!Z950+'NI-Soc_SP'!Z950+'NI-Ric_SP'!Z950</f>
        <v>0</v>
      </c>
      <c r="AA950" s="272">
        <f>+'NI-San_SP'!AA950+'NI-Soc_SP'!AA950+'NI-Ric_SP'!AA950</f>
        <v>0</v>
      </c>
      <c r="AB950" s="272">
        <f>+'NI-San_SP'!AB950+'NI-Soc_SP'!AB950+'NI-Ric_SP'!AB950</f>
        <v>0</v>
      </c>
      <c r="AC950" s="272">
        <f>+'NI-San_SP'!AC950+'NI-Soc_SP'!AC950+'NI-Ric_SP'!AC950</f>
        <v>0</v>
      </c>
      <c r="AD950" s="272">
        <f>+'NI-San_SP'!AD950+'NI-Soc_SP'!AD950+'NI-Ric_SP'!AD950</f>
        <v>0</v>
      </c>
      <c r="AE950" s="272">
        <f>+'NI-San_SP'!AE950+'NI-Soc_SP'!AE950+'NI-Ric_SP'!AE950</f>
        <v>0</v>
      </c>
      <c r="AF950" s="272">
        <f>+'NI-San_SP'!AF950+'NI-Soc_SP'!AF950+'NI-Ric_SP'!AF950</f>
        <v>0</v>
      </c>
      <c r="AG950" s="272">
        <f>+'NI-San_SP'!AG950+'NI-Soc_SP'!AG950+'NI-Ric_SP'!AG950</f>
        <v>0</v>
      </c>
      <c r="AH950" s="272">
        <f>+'NI-San_SP'!AH950+'NI-Soc_SP'!AH950+'NI-Ric_SP'!AH950</f>
        <v>0</v>
      </c>
      <c r="AI950" s="272">
        <f>+'NI-San_SP'!AI950+'NI-Soc_SP'!AI950+'NI-Ric_SP'!AI950</f>
        <v>0</v>
      </c>
      <c r="AJ950" s="272">
        <f>+'NI-San_SP'!AJ950+'NI-Soc_SP'!AJ950+'NI-Ric_SP'!AJ950</f>
        <v>0</v>
      </c>
    </row>
    <row r="951" spans="2:36" s="204" customFormat="1" x14ac:dyDescent="0.25">
      <c r="B951" s="246" t="s">
        <v>2365</v>
      </c>
      <c r="C951" s="287" t="s">
        <v>2366</v>
      </c>
      <c r="D951" s="284" t="s">
        <v>4027</v>
      </c>
      <c r="E951" s="274"/>
      <c r="F951" s="437"/>
      <c r="G951" s="437"/>
      <c r="H951" s="437"/>
      <c r="I951" s="437"/>
      <c r="J951" s="437"/>
      <c r="K951" s="437"/>
      <c r="L951" s="97" t="s">
        <v>4028</v>
      </c>
      <c r="M951" s="284" t="s">
        <v>2962</v>
      </c>
      <c r="N951" s="408">
        <f t="shared" si="133"/>
        <v>0</v>
      </c>
      <c r="O951" s="408">
        <f t="shared" si="134"/>
        <v>0</v>
      </c>
      <c r="P951" s="271">
        <f t="shared" si="132"/>
        <v>0</v>
      </c>
      <c r="Q951" s="272">
        <f>+'NI-San_SP'!Q951+'NI-Soc_SP'!Q951+'NI-Ric_SP'!Q951</f>
        <v>0</v>
      </c>
      <c r="R951" s="272">
        <f>+'NI-San_SP'!R951+'NI-Soc_SP'!R951+'NI-Ric_SP'!R951</f>
        <v>0</v>
      </c>
      <c r="S951" s="272">
        <f>+'NI-San_SP'!S951+'NI-Soc_SP'!S951+'NI-Ric_SP'!S951</f>
        <v>0</v>
      </c>
      <c r="T951" s="272">
        <f>+'NI-San_SP'!T951+'NI-Soc_SP'!T951+'NI-Ric_SP'!T951</f>
        <v>0</v>
      </c>
      <c r="U951" s="272">
        <f>+'NI-San_SP'!U951+'NI-Soc_SP'!U951+'NI-Ric_SP'!U951</f>
        <v>0</v>
      </c>
      <c r="V951" s="272">
        <f>+'NI-San_SP'!V951+'NI-Soc_SP'!V951+'NI-Ric_SP'!V951</f>
        <v>0</v>
      </c>
      <c r="W951" s="272">
        <f>+'NI-San_SP'!W951+'NI-Soc_SP'!W951+'NI-Ric_SP'!W951</f>
        <v>0</v>
      </c>
      <c r="X951" s="272">
        <f>+'NI-San_SP'!X951+'NI-Soc_SP'!X951+'NI-Ric_SP'!X951</f>
        <v>0</v>
      </c>
      <c r="Y951" s="272">
        <f>+'NI-San_SP'!Y951+'NI-Soc_SP'!Y951+'NI-Ric_SP'!Y951</f>
        <v>0</v>
      </c>
      <c r="Z951" s="272">
        <f>+'NI-San_SP'!Z951+'NI-Soc_SP'!Z951+'NI-Ric_SP'!Z951</f>
        <v>0</v>
      </c>
      <c r="AA951" s="272">
        <f>+'NI-San_SP'!AA951+'NI-Soc_SP'!AA951+'NI-Ric_SP'!AA951</f>
        <v>0</v>
      </c>
      <c r="AB951" s="272">
        <f>+'NI-San_SP'!AB951+'NI-Soc_SP'!AB951+'NI-Ric_SP'!AB951</f>
        <v>0</v>
      </c>
      <c r="AC951" s="272">
        <f>+'NI-San_SP'!AC951+'NI-Soc_SP'!AC951+'NI-Ric_SP'!AC951</f>
        <v>0</v>
      </c>
      <c r="AD951" s="272">
        <f>+'NI-San_SP'!AD951+'NI-Soc_SP'!AD951+'NI-Ric_SP'!AD951</f>
        <v>0</v>
      </c>
      <c r="AE951" s="272">
        <f>+'NI-San_SP'!AE951+'NI-Soc_SP'!AE951+'NI-Ric_SP'!AE951</f>
        <v>0</v>
      </c>
      <c r="AF951" s="272">
        <f>+'NI-San_SP'!AF951+'NI-Soc_SP'!AF951+'NI-Ric_SP'!AF951</f>
        <v>0</v>
      </c>
      <c r="AG951" s="272">
        <f>+'NI-San_SP'!AG951+'NI-Soc_SP'!AG951+'NI-Ric_SP'!AG951</f>
        <v>0</v>
      </c>
      <c r="AH951" s="272">
        <f>+'NI-San_SP'!AH951+'NI-Soc_SP'!AH951+'NI-Ric_SP'!AH951</f>
        <v>0</v>
      </c>
      <c r="AI951" s="272">
        <f>+'NI-San_SP'!AI951+'NI-Soc_SP'!AI951+'NI-Ric_SP'!AI951</f>
        <v>0</v>
      </c>
      <c r="AJ951" s="272">
        <f>+'NI-San_SP'!AJ951+'NI-Soc_SP'!AJ951+'NI-Ric_SP'!AJ951</f>
        <v>0</v>
      </c>
    </row>
    <row r="952" spans="2:36" s="204" customFormat="1" hidden="1" x14ac:dyDescent="0.25">
      <c r="B952" s="246" t="s">
        <v>2368</v>
      </c>
      <c r="C952" s="287" t="s">
        <v>2369</v>
      </c>
      <c r="D952" s="284" t="s">
        <v>4029</v>
      </c>
      <c r="E952" s="274"/>
      <c r="F952" s="437"/>
      <c r="G952" s="437"/>
      <c r="H952" s="437"/>
      <c r="I952" s="437"/>
      <c r="J952" s="437"/>
      <c r="K952" s="437"/>
      <c r="L952" s="97" t="s">
        <v>2370</v>
      </c>
      <c r="M952" s="284" t="s">
        <v>2962</v>
      </c>
      <c r="N952" s="408">
        <f t="shared" si="133"/>
        <v>0</v>
      </c>
      <c r="O952" s="408">
        <f t="shared" si="134"/>
        <v>0</v>
      </c>
      <c r="P952" s="271">
        <f t="shared" si="132"/>
        <v>0</v>
      </c>
      <c r="Q952" s="272">
        <f>+'NI-San_SP'!Q952+'NI-Soc_SP'!Q952+'NI-Ric_SP'!Q952</f>
        <v>0</v>
      </c>
      <c r="R952" s="272">
        <f>+'NI-San_SP'!R952+'NI-Soc_SP'!R952+'NI-Ric_SP'!R952</f>
        <v>0</v>
      </c>
      <c r="S952" s="272">
        <f>+'NI-San_SP'!S952+'NI-Soc_SP'!S952+'NI-Ric_SP'!S952</f>
        <v>0</v>
      </c>
      <c r="T952" s="272">
        <f>+'NI-San_SP'!T952+'NI-Soc_SP'!T952+'NI-Ric_SP'!T952</f>
        <v>0</v>
      </c>
      <c r="U952" s="272">
        <f>+'NI-San_SP'!U952+'NI-Soc_SP'!U952+'NI-Ric_SP'!U952</f>
        <v>0</v>
      </c>
      <c r="V952" s="272">
        <f>+'NI-San_SP'!V952+'NI-Soc_SP'!V952+'NI-Ric_SP'!V952</f>
        <v>0</v>
      </c>
      <c r="W952" s="272">
        <f>+'NI-San_SP'!W952+'NI-Soc_SP'!W952+'NI-Ric_SP'!W952</f>
        <v>0</v>
      </c>
      <c r="X952" s="272">
        <f>+'NI-San_SP'!X952+'NI-Soc_SP'!X952+'NI-Ric_SP'!X952</f>
        <v>0</v>
      </c>
      <c r="Y952" s="272">
        <f>+'NI-San_SP'!Y952+'NI-Soc_SP'!Y952+'NI-Ric_SP'!Y952</f>
        <v>0</v>
      </c>
      <c r="Z952" s="272">
        <f>+'NI-San_SP'!Z952+'NI-Soc_SP'!Z952+'NI-Ric_SP'!Z952</f>
        <v>0</v>
      </c>
      <c r="AA952" s="272">
        <f>+'NI-San_SP'!AA952+'NI-Soc_SP'!AA952+'NI-Ric_SP'!AA952</f>
        <v>0</v>
      </c>
      <c r="AB952" s="272">
        <f>+'NI-San_SP'!AB952+'NI-Soc_SP'!AB952+'NI-Ric_SP'!AB952</f>
        <v>0</v>
      </c>
      <c r="AC952" s="272">
        <f>+'NI-San_SP'!AC952+'NI-Soc_SP'!AC952+'NI-Ric_SP'!AC952</f>
        <v>0</v>
      </c>
      <c r="AD952" s="272">
        <f>+'NI-San_SP'!AD952+'NI-Soc_SP'!AD952+'NI-Ric_SP'!AD952</f>
        <v>0</v>
      </c>
      <c r="AE952" s="272">
        <f>+'NI-San_SP'!AE952+'NI-Soc_SP'!AE952+'NI-Ric_SP'!AE952</f>
        <v>0</v>
      </c>
      <c r="AF952" s="272">
        <f>+'NI-San_SP'!AF952+'NI-Soc_SP'!AF952+'NI-Ric_SP'!AF952</f>
        <v>0</v>
      </c>
      <c r="AG952" s="272">
        <f>+'NI-San_SP'!AG952+'NI-Soc_SP'!AG952+'NI-Ric_SP'!AG952</f>
        <v>0</v>
      </c>
      <c r="AH952" s="272">
        <f>+'NI-San_SP'!AH952+'NI-Soc_SP'!AH952+'NI-Ric_SP'!AH952</f>
        <v>0</v>
      </c>
      <c r="AI952" s="272">
        <f>+'NI-San_SP'!AI952+'NI-Soc_SP'!AI952+'NI-Ric_SP'!AI952</f>
        <v>0</v>
      </c>
      <c r="AJ952" s="272">
        <f>+'NI-San_SP'!AJ952+'NI-Soc_SP'!AJ952+'NI-Ric_SP'!AJ952</f>
        <v>0</v>
      </c>
    </row>
    <row r="953" spans="2:36" s="204" customFormat="1" x14ac:dyDescent="0.25">
      <c r="B953" s="246" t="s">
        <v>2371</v>
      </c>
      <c r="C953" s="287" t="s">
        <v>2372</v>
      </c>
      <c r="D953" s="284" t="s">
        <v>4030</v>
      </c>
      <c r="E953" s="274"/>
      <c r="F953" s="437"/>
      <c r="G953" s="437"/>
      <c r="H953" s="437"/>
      <c r="I953" s="437"/>
      <c r="J953" s="437"/>
      <c r="K953" s="437"/>
      <c r="L953" s="97" t="s">
        <v>4031</v>
      </c>
      <c r="M953" s="284" t="s">
        <v>2962</v>
      </c>
      <c r="N953" s="408">
        <f t="shared" si="133"/>
        <v>0</v>
      </c>
      <c r="O953" s="408">
        <f t="shared" si="134"/>
        <v>0</v>
      </c>
      <c r="P953" s="271">
        <f t="shared" si="132"/>
        <v>0</v>
      </c>
      <c r="Q953" s="272">
        <f>+'NI-San_SP'!Q953+'NI-Soc_SP'!Q953+'NI-Ric_SP'!Q953</f>
        <v>0</v>
      </c>
      <c r="R953" s="272">
        <f>+'NI-San_SP'!R953+'NI-Soc_SP'!R953+'NI-Ric_SP'!R953</f>
        <v>0</v>
      </c>
      <c r="S953" s="272">
        <f>+'NI-San_SP'!S953+'NI-Soc_SP'!S953+'NI-Ric_SP'!S953</f>
        <v>0</v>
      </c>
      <c r="T953" s="272">
        <f>+'NI-San_SP'!T953+'NI-Soc_SP'!T953+'NI-Ric_SP'!T953</f>
        <v>0</v>
      </c>
      <c r="U953" s="272">
        <f>+'NI-San_SP'!U953+'NI-Soc_SP'!U953+'NI-Ric_SP'!U953</f>
        <v>0</v>
      </c>
      <c r="V953" s="272">
        <f>+'NI-San_SP'!V953+'NI-Soc_SP'!V953+'NI-Ric_SP'!V953</f>
        <v>0</v>
      </c>
      <c r="W953" s="272">
        <f>+'NI-San_SP'!W953+'NI-Soc_SP'!W953+'NI-Ric_SP'!W953</f>
        <v>0</v>
      </c>
      <c r="X953" s="272">
        <f>+'NI-San_SP'!X953+'NI-Soc_SP'!X953+'NI-Ric_SP'!X953</f>
        <v>0</v>
      </c>
      <c r="Y953" s="272">
        <f>+'NI-San_SP'!Y953+'NI-Soc_SP'!Y953+'NI-Ric_SP'!Y953</f>
        <v>0</v>
      </c>
      <c r="Z953" s="272">
        <f>+'NI-San_SP'!Z953+'NI-Soc_SP'!Z953+'NI-Ric_SP'!Z953</f>
        <v>0</v>
      </c>
      <c r="AA953" s="272">
        <f>+'NI-San_SP'!AA953+'NI-Soc_SP'!AA953+'NI-Ric_SP'!AA953</f>
        <v>0</v>
      </c>
      <c r="AB953" s="272">
        <f>+'NI-San_SP'!AB953+'NI-Soc_SP'!AB953+'NI-Ric_SP'!AB953</f>
        <v>0</v>
      </c>
      <c r="AC953" s="272">
        <f>+'NI-San_SP'!AC953+'NI-Soc_SP'!AC953+'NI-Ric_SP'!AC953</f>
        <v>0</v>
      </c>
      <c r="AD953" s="272">
        <f>+'NI-San_SP'!AD953+'NI-Soc_SP'!AD953+'NI-Ric_SP'!AD953</f>
        <v>0</v>
      </c>
      <c r="AE953" s="272">
        <f>+'NI-San_SP'!AE953+'NI-Soc_SP'!AE953+'NI-Ric_SP'!AE953</f>
        <v>0</v>
      </c>
      <c r="AF953" s="272">
        <f>+'NI-San_SP'!AF953+'NI-Soc_SP'!AF953+'NI-Ric_SP'!AF953</f>
        <v>0</v>
      </c>
      <c r="AG953" s="272">
        <f>+'NI-San_SP'!AG953+'NI-Soc_SP'!AG953+'NI-Ric_SP'!AG953</f>
        <v>0</v>
      </c>
      <c r="AH953" s="272">
        <f>+'NI-San_SP'!AH953+'NI-Soc_SP'!AH953+'NI-Ric_SP'!AH953</f>
        <v>0</v>
      </c>
      <c r="AI953" s="272">
        <f>+'NI-San_SP'!AI953+'NI-Soc_SP'!AI953+'NI-Ric_SP'!AI953</f>
        <v>0</v>
      </c>
      <c r="AJ953" s="272">
        <f>+'NI-San_SP'!AJ953+'NI-Soc_SP'!AJ953+'NI-Ric_SP'!AJ953</f>
        <v>0</v>
      </c>
    </row>
    <row r="954" spans="2:36" s="204" customFormat="1" ht="25.5" x14ac:dyDescent="0.25">
      <c r="B954" s="246" t="s">
        <v>2374</v>
      </c>
      <c r="C954" s="287" t="s">
        <v>2375</v>
      </c>
      <c r="D954" s="284" t="s">
        <v>4032</v>
      </c>
      <c r="E954" s="274"/>
      <c r="F954" s="437"/>
      <c r="G954" s="437"/>
      <c r="H954" s="437"/>
      <c r="I954" s="437"/>
      <c r="J954" s="437"/>
      <c r="K954" s="437"/>
      <c r="L954" s="97" t="s">
        <v>4033</v>
      </c>
      <c r="M954" s="284" t="s">
        <v>2962</v>
      </c>
      <c r="N954" s="408">
        <f t="shared" si="133"/>
        <v>0</v>
      </c>
      <c r="O954" s="408">
        <f t="shared" si="134"/>
        <v>0</v>
      </c>
      <c r="P954" s="271">
        <f t="shared" si="132"/>
        <v>0</v>
      </c>
      <c r="Q954" s="272">
        <f>+'NI-San_SP'!Q954+'NI-Soc_SP'!Q954+'NI-Ric_SP'!Q954</f>
        <v>0</v>
      </c>
      <c r="R954" s="272">
        <f>+'NI-San_SP'!R954+'NI-Soc_SP'!R954+'NI-Ric_SP'!R954</f>
        <v>0</v>
      </c>
      <c r="S954" s="272">
        <f>+'NI-San_SP'!S954+'NI-Soc_SP'!S954+'NI-Ric_SP'!S954</f>
        <v>0</v>
      </c>
      <c r="T954" s="272">
        <f>+'NI-San_SP'!T954+'NI-Soc_SP'!T954+'NI-Ric_SP'!T954</f>
        <v>0</v>
      </c>
      <c r="U954" s="272">
        <f>+'NI-San_SP'!U954+'NI-Soc_SP'!U954+'NI-Ric_SP'!U954</f>
        <v>0</v>
      </c>
      <c r="V954" s="272">
        <f>+'NI-San_SP'!V954+'NI-Soc_SP'!V954+'NI-Ric_SP'!V954</f>
        <v>0</v>
      </c>
      <c r="W954" s="272">
        <f>+'NI-San_SP'!W954+'NI-Soc_SP'!W954+'NI-Ric_SP'!W954</f>
        <v>0</v>
      </c>
      <c r="X954" s="272">
        <f>+'NI-San_SP'!X954+'NI-Soc_SP'!X954+'NI-Ric_SP'!X954</f>
        <v>0</v>
      </c>
      <c r="Y954" s="272">
        <f>+'NI-San_SP'!Y954+'NI-Soc_SP'!Y954+'NI-Ric_SP'!Y954</f>
        <v>0</v>
      </c>
      <c r="Z954" s="272">
        <f>+'NI-San_SP'!Z954+'NI-Soc_SP'!Z954+'NI-Ric_SP'!Z954</f>
        <v>0</v>
      </c>
      <c r="AA954" s="272">
        <f>+'NI-San_SP'!AA954+'NI-Soc_SP'!AA954+'NI-Ric_SP'!AA954</f>
        <v>0</v>
      </c>
      <c r="AB954" s="272">
        <f>+'NI-San_SP'!AB954+'NI-Soc_SP'!AB954+'NI-Ric_SP'!AB954</f>
        <v>0</v>
      </c>
      <c r="AC954" s="272">
        <f>+'NI-San_SP'!AC954+'NI-Soc_SP'!AC954+'NI-Ric_SP'!AC954</f>
        <v>0</v>
      </c>
      <c r="AD954" s="272">
        <f>+'NI-San_SP'!AD954+'NI-Soc_SP'!AD954+'NI-Ric_SP'!AD954</f>
        <v>0</v>
      </c>
      <c r="AE954" s="272">
        <f>+'NI-San_SP'!AE954+'NI-Soc_SP'!AE954+'NI-Ric_SP'!AE954</f>
        <v>0</v>
      </c>
      <c r="AF954" s="272">
        <f>+'NI-San_SP'!AF954+'NI-Soc_SP'!AF954+'NI-Ric_SP'!AF954</f>
        <v>0</v>
      </c>
      <c r="AG954" s="272">
        <f>+'NI-San_SP'!AG954+'NI-Soc_SP'!AG954+'NI-Ric_SP'!AG954</f>
        <v>0</v>
      </c>
      <c r="AH954" s="272">
        <f>+'NI-San_SP'!AH954+'NI-Soc_SP'!AH954+'NI-Ric_SP'!AH954</f>
        <v>0</v>
      </c>
      <c r="AI954" s="272">
        <f>+'NI-San_SP'!AI954+'NI-Soc_SP'!AI954+'NI-Ric_SP'!AI954</f>
        <v>0</v>
      </c>
      <c r="AJ954" s="272">
        <f>+'NI-San_SP'!AJ954+'NI-Soc_SP'!AJ954+'NI-Ric_SP'!AJ954</f>
        <v>0</v>
      </c>
    </row>
    <row r="955" spans="2:36" s="204" customFormat="1" ht="25.5" x14ac:dyDescent="0.25">
      <c r="B955" s="246" t="s">
        <v>2377</v>
      </c>
      <c r="C955" s="287" t="s">
        <v>2378</v>
      </c>
      <c r="D955" s="284"/>
      <c r="E955" s="274"/>
      <c r="F955" s="437"/>
      <c r="G955" s="437"/>
      <c r="H955" s="437"/>
      <c r="I955" s="437"/>
      <c r="J955" s="437"/>
      <c r="K955" s="437"/>
      <c r="L955" s="97" t="s">
        <v>2379</v>
      </c>
      <c r="M955" s="284" t="s">
        <v>2962</v>
      </c>
      <c r="N955" s="408">
        <f t="shared" si="133"/>
        <v>0</v>
      </c>
      <c r="O955" s="408">
        <f t="shared" si="134"/>
        <v>0</v>
      </c>
      <c r="P955" s="271">
        <f t="shared" si="132"/>
        <v>0</v>
      </c>
      <c r="Q955" s="272">
        <f>+'NI-San_SP'!Q955+'NI-Soc_SP'!Q955+'NI-Ric_SP'!Q955</f>
        <v>0</v>
      </c>
      <c r="R955" s="272">
        <f>+'NI-San_SP'!R955+'NI-Soc_SP'!R955+'NI-Ric_SP'!R955</f>
        <v>0</v>
      </c>
      <c r="S955" s="272">
        <f>+'NI-San_SP'!S955+'NI-Soc_SP'!S955+'NI-Ric_SP'!S955</f>
        <v>0</v>
      </c>
      <c r="T955" s="272">
        <f>+'NI-San_SP'!T955+'NI-Soc_SP'!T955+'NI-Ric_SP'!T955</f>
        <v>0</v>
      </c>
      <c r="U955" s="272">
        <f>+'NI-San_SP'!U955+'NI-Soc_SP'!U955+'NI-Ric_SP'!U955</f>
        <v>0</v>
      </c>
      <c r="V955" s="272">
        <f>+'NI-San_SP'!V955+'NI-Soc_SP'!V955+'NI-Ric_SP'!V955</f>
        <v>0</v>
      </c>
      <c r="W955" s="272">
        <f>+'NI-San_SP'!W955+'NI-Soc_SP'!W955+'NI-Ric_SP'!W955</f>
        <v>0</v>
      </c>
      <c r="X955" s="272">
        <f>+'NI-San_SP'!X955+'NI-Soc_SP'!X955+'NI-Ric_SP'!X955</f>
        <v>0</v>
      </c>
      <c r="Y955" s="272">
        <f>+'NI-San_SP'!Y955+'NI-Soc_SP'!Y955+'NI-Ric_SP'!Y955</f>
        <v>0</v>
      </c>
      <c r="Z955" s="272">
        <f>+'NI-San_SP'!Z955+'NI-Soc_SP'!Z955+'NI-Ric_SP'!Z955</f>
        <v>0</v>
      </c>
      <c r="AA955" s="272">
        <f>+'NI-San_SP'!AA955+'NI-Soc_SP'!AA955+'NI-Ric_SP'!AA955</f>
        <v>0</v>
      </c>
      <c r="AB955" s="272">
        <f>+'NI-San_SP'!AB955+'NI-Soc_SP'!AB955+'NI-Ric_SP'!AB955</f>
        <v>0</v>
      </c>
      <c r="AC955" s="272">
        <f>+'NI-San_SP'!AC955+'NI-Soc_SP'!AC955+'NI-Ric_SP'!AC955</f>
        <v>0</v>
      </c>
      <c r="AD955" s="272">
        <f>+'NI-San_SP'!AD955+'NI-Soc_SP'!AD955+'NI-Ric_SP'!AD955</f>
        <v>0</v>
      </c>
      <c r="AE955" s="272">
        <f>+'NI-San_SP'!AE955+'NI-Soc_SP'!AE955+'NI-Ric_SP'!AE955</f>
        <v>0</v>
      </c>
      <c r="AF955" s="272">
        <f>+'NI-San_SP'!AF955+'NI-Soc_SP'!AF955+'NI-Ric_SP'!AF955</f>
        <v>0</v>
      </c>
      <c r="AG955" s="272">
        <f>+'NI-San_SP'!AG955+'NI-Soc_SP'!AG955+'NI-Ric_SP'!AG955</f>
        <v>0</v>
      </c>
      <c r="AH955" s="272">
        <f>+'NI-San_SP'!AH955+'NI-Soc_SP'!AH955+'NI-Ric_SP'!AH955</f>
        <v>0</v>
      </c>
      <c r="AI955" s="272">
        <f>+'NI-San_SP'!AI955+'NI-Soc_SP'!AI955+'NI-Ric_SP'!AI955</f>
        <v>0</v>
      </c>
      <c r="AJ955" s="272">
        <f>+'NI-San_SP'!AJ955+'NI-Soc_SP'!AJ955+'NI-Ric_SP'!AJ955</f>
        <v>0</v>
      </c>
    </row>
    <row r="956" spans="2:36" s="204" customFormat="1" ht="25.5" x14ac:dyDescent="0.25">
      <c r="B956" s="246" t="s">
        <v>2380</v>
      </c>
      <c r="C956" s="287" t="s">
        <v>2381</v>
      </c>
      <c r="D956" s="284" t="s">
        <v>4034</v>
      </c>
      <c r="E956" s="274"/>
      <c r="F956" s="437"/>
      <c r="G956" s="437"/>
      <c r="H956" s="437"/>
      <c r="I956" s="437"/>
      <c r="J956" s="437"/>
      <c r="K956" s="437"/>
      <c r="L956" s="379" t="s">
        <v>2384</v>
      </c>
      <c r="M956" s="284" t="s">
        <v>2962</v>
      </c>
      <c r="N956" s="408">
        <f t="shared" si="133"/>
        <v>0</v>
      </c>
      <c r="O956" s="408">
        <f t="shared" si="134"/>
        <v>0</v>
      </c>
      <c r="P956" s="271">
        <f t="shared" si="132"/>
        <v>0</v>
      </c>
      <c r="Q956" s="272">
        <f>+'NI-San_SP'!Q956+'NI-Soc_SP'!Q956+'NI-Ric_SP'!Q956</f>
        <v>0</v>
      </c>
      <c r="R956" s="272">
        <f>+'NI-San_SP'!R956+'NI-Soc_SP'!R956+'NI-Ric_SP'!R956</f>
        <v>0</v>
      </c>
      <c r="S956" s="272">
        <f>+'NI-San_SP'!S956+'NI-Soc_SP'!S956+'NI-Ric_SP'!S956</f>
        <v>0</v>
      </c>
      <c r="T956" s="272">
        <f>+'NI-San_SP'!T956+'NI-Soc_SP'!T956+'NI-Ric_SP'!T956</f>
        <v>0</v>
      </c>
      <c r="U956" s="272">
        <f>+'NI-San_SP'!U956+'NI-Soc_SP'!U956+'NI-Ric_SP'!U956</f>
        <v>0</v>
      </c>
      <c r="V956" s="272">
        <f>+'NI-San_SP'!V956+'NI-Soc_SP'!V956+'NI-Ric_SP'!V956</f>
        <v>0</v>
      </c>
      <c r="W956" s="272">
        <f>+'NI-San_SP'!W956+'NI-Soc_SP'!W956+'NI-Ric_SP'!W956</f>
        <v>0</v>
      </c>
      <c r="X956" s="272">
        <f>+'NI-San_SP'!X956+'NI-Soc_SP'!X956+'NI-Ric_SP'!X956</f>
        <v>0</v>
      </c>
      <c r="Y956" s="272">
        <f>+'NI-San_SP'!Y956+'NI-Soc_SP'!Y956+'NI-Ric_SP'!Y956</f>
        <v>0</v>
      </c>
      <c r="Z956" s="272">
        <f>+'NI-San_SP'!Z956+'NI-Soc_SP'!Z956+'NI-Ric_SP'!Z956</f>
        <v>0</v>
      </c>
      <c r="AA956" s="272">
        <f>+'NI-San_SP'!AA956+'NI-Soc_SP'!AA956+'NI-Ric_SP'!AA956</f>
        <v>0</v>
      </c>
      <c r="AB956" s="272">
        <f>+'NI-San_SP'!AB956+'NI-Soc_SP'!AB956+'NI-Ric_SP'!AB956</f>
        <v>0</v>
      </c>
      <c r="AC956" s="272">
        <f>+'NI-San_SP'!AC956+'NI-Soc_SP'!AC956+'NI-Ric_SP'!AC956</f>
        <v>0</v>
      </c>
      <c r="AD956" s="272">
        <f>+'NI-San_SP'!AD956+'NI-Soc_SP'!AD956+'NI-Ric_SP'!AD956</f>
        <v>0</v>
      </c>
      <c r="AE956" s="272">
        <f>+'NI-San_SP'!AE956+'NI-Soc_SP'!AE956+'NI-Ric_SP'!AE956</f>
        <v>0</v>
      </c>
      <c r="AF956" s="272">
        <f>+'NI-San_SP'!AF956+'NI-Soc_SP'!AF956+'NI-Ric_SP'!AF956</f>
        <v>0</v>
      </c>
      <c r="AG956" s="272">
        <f>+'NI-San_SP'!AG956+'NI-Soc_SP'!AG956+'NI-Ric_SP'!AG956</f>
        <v>0</v>
      </c>
      <c r="AH956" s="272">
        <f>+'NI-San_SP'!AH956+'NI-Soc_SP'!AH956+'NI-Ric_SP'!AH956</f>
        <v>0</v>
      </c>
      <c r="AI956" s="272">
        <f>+'NI-San_SP'!AI956+'NI-Soc_SP'!AI956+'NI-Ric_SP'!AI956</f>
        <v>0</v>
      </c>
      <c r="AJ956" s="272">
        <f>+'NI-San_SP'!AJ956+'NI-Soc_SP'!AJ956+'NI-Ric_SP'!AJ956</f>
        <v>0</v>
      </c>
    </row>
    <row r="957" spans="2:36" s="204" customFormat="1" ht="25.5" x14ac:dyDescent="0.25">
      <c r="B957" s="246" t="s">
        <v>2385</v>
      </c>
      <c r="C957" s="287" t="s">
        <v>2386</v>
      </c>
      <c r="D957" s="284" t="s">
        <v>4035</v>
      </c>
      <c r="E957" s="274"/>
      <c r="F957" s="437"/>
      <c r="G957" s="437"/>
      <c r="H957" s="437"/>
      <c r="I957" s="437"/>
      <c r="J957" s="437"/>
      <c r="K957" s="437"/>
      <c r="L957" s="379" t="s">
        <v>2389</v>
      </c>
      <c r="M957" s="284" t="s">
        <v>2962</v>
      </c>
      <c r="N957" s="408">
        <f t="shared" si="133"/>
        <v>0</v>
      </c>
      <c r="O957" s="408">
        <f t="shared" si="134"/>
        <v>0</v>
      </c>
      <c r="P957" s="271">
        <f t="shared" si="132"/>
        <v>0</v>
      </c>
      <c r="Q957" s="272">
        <f>+'NI-San_SP'!Q957+'NI-Soc_SP'!Q957+'NI-Ric_SP'!Q957</f>
        <v>0</v>
      </c>
      <c r="R957" s="272">
        <f>+'NI-San_SP'!R957+'NI-Soc_SP'!R957+'NI-Ric_SP'!R957</f>
        <v>0</v>
      </c>
      <c r="S957" s="272">
        <f>+'NI-San_SP'!S957+'NI-Soc_SP'!S957+'NI-Ric_SP'!S957</f>
        <v>0</v>
      </c>
      <c r="T957" s="272">
        <f>+'NI-San_SP'!T957+'NI-Soc_SP'!T957+'NI-Ric_SP'!T957</f>
        <v>0</v>
      </c>
      <c r="U957" s="272">
        <f>+'NI-San_SP'!U957+'NI-Soc_SP'!U957+'NI-Ric_SP'!U957</f>
        <v>0</v>
      </c>
      <c r="V957" s="272">
        <f>+'NI-San_SP'!V957+'NI-Soc_SP'!V957+'NI-Ric_SP'!V957</f>
        <v>0</v>
      </c>
      <c r="W957" s="272">
        <f>+'NI-San_SP'!W957+'NI-Soc_SP'!W957+'NI-Ric_SP'!W957</f>
        <v>0</v>
      </c>
      <c r="X957" s="272">
        <f>+'NI-San_SP'!X957+'NI-Soc_SP'!X957+'NI-Ric_SP'!X957</f>
        <v>0</v>
      </c>
      <c r="Y957" s="272">
        <f>+'NI-San_SP'!Y957+'NI-Soc_SP'!Y957+'NI-Ric_SP'!Y957</f>
        <v>0</v>
      </c>
      <c r="Z957" s="272">
        <f>+'NI-San_SP'!Z957+'NI-Soc_SP'!Z957+'NI-Ric_SP'!Z957</f>
        <v>0</v>
      </c>
      <c r="AA957" s="272">
        <f>+'NI-San_SP'!AA957+'NI-Soc_SP'!AA957+'NI-Ric_SP'!AA957</f>
        <v>0</v>
      </c>
      <c r="AB957" s="272">
        <f>+'NI-San_SP'!AB957+'NI-Soc_SP'!AB957+'NI-Ric_SP'!AB957</f>
        <v>0</v>
      </c>
      <c r="AC957" s="272">
        <f>+'NI-San_SP'!AC957+'NI-Soc_SP'!AC957+'NI-Ric_SP'!AC957</f>
        <v>0</v>
      </c>
      <c r="AD957" s="272">
        <f>+'NI-San_SP'!AD957+'NI-Soc_SP'!AD957+'NI-Ric_SP'!AD957</f>
        <v>0</v>
      </c>
      <c r="AE957" s="272">
        <f>+'NI-San_SP'!AE957+'NI-Soc_SP'!AE957+'NI-Ric_SP'!AE957</f>
        <v>0</v>
      </c>
      <c r="AF957" s="272">
        <f>+'NI-San_SP'!AF957+'NI-Soc_SP'!AF957+'NI-Ric_SP'!AF957</f>
        <v>0</v>
      </c>
      <c r="AG957" s="272">
        <f>+'NI-San_SP'!AG957+'NI-Soc_SP'!AG957+'NI-Ric_SP'!AG957</f>
        <v>0</v>
      </c>
      <c r="AH957" s="272">
        <f>+'NI-San_SP'!AH957+'NI-Soc_SP'!AH957+'NI-Ric_SP'!AH957</f>
        <v>0</v>
      </c>
      <c r="AI957" s="272">
        <f>+'NI-San_SP'!AI957+'NI-Soc_SP'!AI957+'NI-Ric_SP'!AI957</f>
        <v>0</v>
      </c>
      <c r="AJ957" s="272">
        <f>+'NI-San_SP'!AJ957+'NI-Soc_SP'!AJ957+'NI-Ric_SP'!AJ957</f>
        <v>0</v>
      </c>
    </row>
    <row r="958" spans="2:36" s="204" customFormat="1" ht="25.5" x14ac:dyDescent="0.25">
      <c r="B958" s="246" t="s">
        <v>2390</v>
      </c>
      <c r="C958" s="287" t="s">
        <v>2391</v>
      </c>
      <c r="D958" s="284" t="s">
        <v>4036</v>
      </c>
      <c r="E958" s="274"/>
      <c r="F958" s="437"/>
      <c r="G958" s="437"/>
      <c r="H958" s="437"/>
      <c r="I958" s="437"/>
      <c r="J958" s="437"/>
      <c r="K958" s="437"/>
      <c r="L958" s="379" t="s">
        <v>2393</v>
      </c>
      <c r="M958" s="284" t="s">
        <v>2962</v>
      </c>
      <c r="N958" s="378">
        <f>SUM(N959:N961)</f>
        <v>4157082</v>
      </c>
      <c r="O958" s="378">
        <f>SUM(O959:O961)</f>
        <v>4157082</v>
      </c>
      <c r="P958" s="378">
        <f t="shared" si="132"/>
        <v>0</v>
      </c>
      <c r="Q958" s="272">
        <f>+'NI-San_SP'!Q958+'NI-Soc_SP'!Q958+'NI-Ric_SP'!Q958</f>
        <v>0</v>
      </c>
      <c r="R958" s="272">
        <f>+'NI-San_SP'!R958+'NI-Soc_SP'!R958+'NI-Ric_SP'!R958</f>
        <v>4157082</v>
      </c>
      <c r="S958" s="272">
        <f>+'NI-San_SP'!S958+'NI-Soc_SP'!S958+'NI-Ric_SP'!S958</f>
        <v>0</v>
      </c>
      <c r="T958" s="272">
        <f>+'NI-San_SP'!T958+'NI-Soc_SP'!T958+'NI-Ric_SP'!T958</f>
        <v>0</v>
      </c>
      <c r="U958" s="272">
        <f>+'NI-San_SP'!U958+'NI-Soc_SP'!U958+'NI-Ric_SP'!U958</f>
        <v>0</v>
      </c>
      <c r="V958" s="272">
        <f>+'NI-San_SP'!V958+'NI-Soc_SP'!V958+'NI-Ric_SP'!V958</f>
        <v>0</v>
      </c>
      <c r="W958" s="272">
        <f>+'NI-San_SP'!W958+'NI-Soc_SP'!W958+'NI-Ric_SP'!W958</f>
        <v>0</v>
      </c>
      <c r="X958" s="272">
        <f>+'NI-San_SP'!X958+'NI-Soc_SP'!X958+'NI-Ric_SP'!X958</f>
        <v>0</v>
      </c>
      <c r="Y958" s="272">
        <f>+'NI-San_SP'!Y958+'NI-Soc_SP'!Y958+'NI-Ric_SP'!Y958</f>
        <v>0</v>
      </c>
      <c r="Z958" s="272">
        <f>+'NI-San_SP'!Z958+'NI-Soc_SP'!Z958+'NI-Ric_SP'!Z958</f>
        <v>4157082</v>
      </c>
      <c r="AA958" s="272">
        <f>+'NI-San_SP'!AA958+'NI-Soc_SP'!AA958+'NI-Ric_SP'!AA958</f>
        <v>0</v>
      </c>
      <c r="AB958" s="272">
        <f>+'NI-San_SP'!AB958+'NI-Soc_SP'!AB958+'NI-Ric_SP'!AB958</f>
        <v>0</v>
      </c>
      <c r="AC958" s="272">
        <f>+'NI-San_SP'!AC958+'NI-Soc_SP'!AC958+'NI-Ric_SP'!AC958</f>
        <v>0</v>
      </c>
      <c r="AD958" s="272">
        <f>+'NI-San_SP'!AD958+'NI-Soc_SP'!AD958+'NI-Ric_SP'!AD958</f>
        <v>0</v>
      </c>
      <c r="AE958" s="272">
        <f>+'NI-San_SP'!AE958+'NI-Soc_SP'!AE958+'NI-Ric_SP'!AE958</f>
        <v>4157082</v>
      </c>
      <c r="AF958" s="272">
        <f>+'NI-San_SP'!AF958+'NI-Soc_SP'!AF958+'NI-Ric_SP'!AF958</f>
        <v>0</v>
      </c>
      <c r="AG958" s="272">
        <f>+'NI-San_SP'!AG958+'NI-Soc_SP'!AG958+'NI-Ric_SP'!AG958</f>
        <v>0</v>
      </c>
      <c r="AH958" s="272">
        <f>+'NI-San_SP'!AH958+'NI-Soc_SP'!AH958+'NI-Ric_SP'!AH958</f>
        <v>4157082</v>
      </c>
      <c r="AI958" s="272">
        <f>+'NI-San_SP'!AI958+'NI-Soc_SP'!AI958+'NI-Ric_SP'!AI958</f>
        <v>0</v>
      </c>
      <c r="AJ958" s="272">
        <f>+'NI-San_SP'!AJ958+'NI-Soc_SP'!AJ958+'NI-Ric_SP'!AJ958</f>
        <v>0</v>
      </c>
    </row>
    <row r="959" spans="2:36" s="204" customFormat="1" ht="15" hidden="1" customHeight="1" x14ac:dyDescent="0.25">
      <c r="B959" s="246" t="s">
        <v>2394</v>
      </c>
      <c r="C959" s="287" t="s">
        <v>2395</v>
      </c>
      <c r="D959" s="284" t="s">
        <v>4037</v>
      </c>
      <c r="E959" s="274"/>
      <c r="F959" s="437"/>
      <c r="G959" s="437"/>
      <c r="H959" s="437"/>
      <c r="I959" s="437"/>
      <c r="J959" s="437"/>
      <c r="K959" s="437"/>
      <c r="L959" s="503" t="s">
        <v>2397</v>
      </c>
      <c r="M959" s="284" t="s">
        <v>2962</v>
      </c>
      <c r="N959" s="408">
        <f>+R959</f>
        <v>0</v>
      </c>
      <c r="O959" s="408">
        <f>+Z959</f>
        <v>0</v>
      </c>
      <c r="P959" s="271">
        <f t="shared" si="132"/>
        <v>0</v>
      </c>
      <c r="Q959" s="272">
        <f>+'NI-San_SP'!Q959+'NI-Soc_SP'!Q959+'NI-Ric_SP'!Q959</f>
        <v>0</v>
      </c>
      <c r="R959" s="272">
        <f>+'NI-San_SP'!R959+'NI-Soc_SP'!R959+'NI-Ric_SP'!R959</f>
        <v>0</v>
      </c>
      <c r="S959" s="272">
        <f>+'NI-San_SP'!S959+'NI-Soc_SP'!S959+'NI-Ric_SP'!S959</f>
        <v>0</v>
      </c>
      <c r="T959" s="272">
        <f>+'NI-San_SP'!T959+'NI-Soc_SP'!T959+'NI-Ric_SP'!T959</f>
        <v>0</v>
      </c>
      <c r="U959" s="272">
        <f>+'NI-San_SP'!U959+'NI-Soc_SP'!U959+'NI-Ric_SP'!U959</f>
        <v>0</v>
      </c>
      <c r="V959" s="272">
        <f>+'NI-San_SP'!V959+'NI-Soc_SP'!V959+'NI-Ric_SP'!V959</f>
        <v>0</v>
      </c>
      <c r="W959" s="272">
        <f>+'NI-San_SP'!W959+'NI-Soc_SP'!W959+'NI-Ric_SP'!W959</f>
        <v>0</v>
      </c>
      <c r="X959" s="272">
        <f>+'NI-San_SP'!X959+'NI-Soc_SP'!X959+'NI-Ric_SP'!X959</f>
        <v>0</v>
      </c>
      <c r="Y959" s="272">
        <f>+'NI-San_SP'!Y959+'NI-Soc_SP'!Y959+'NI-Ric_SP'!Y959</f>
        <v>0</v>
      </c>
      <c r="Z959" s="272">
        <f>+'NI-San_SP'!Z959+'NI-Soc_SP'!Z959+'NI-Ric_SP'!Z959</f>
        <v>0</v>
      </c>
      <c r="AA959" s="272">
        <f>+'NI-San_SP'!AA959+'NI-Soc_SP'!AA959+'NI-Ric_SP'!AA959</f>
        <v>0</v>
      </c>
      <c r="AB959" s="272">
        <f>+'NI-San_SP'!AB959+'NI-Soc_SP'!AB959+'NI-Ric_SP'!AB959</f>
        <v>0</v>
      </c>
      <c r="AC959" s="272">
        <f>+'NI-San_SP'!AC959+'NI-Soc_SP'!AC959+'NI-Ric_SP'!AC959</f>
        <v>0</v>
      </c>
      <c r="AD959" s="272">
        <f>+'NI-San_SP'!AD959+'NI-Soc_SP'!AD959+'NI-Ric_SP'!AD959</f>
        <v>0</v>
      </c>
      <c r="AE959" s="272">
        <f>+'NI-San_SP'!AE959+'NI-Soc_SP'!AE959+'NI-Ric_SP'!AE959</f>
        <v>0</v>
      </c>
      <c r="AF959" s="272">
        <f>+'NI-San_SP'!AF959+'NI-Soc_SP'!AF959+'NI-Ric_SP'!AF959</f>
        <v>0</v>
      </c>
      <c r="AG959" s="272">
        <f>+'NI-San_SP'!AG959+'NI-Soc_SP'!AG959+'NI-Ric_SP'!AG959</f>
        <v>0</v>
      </c>
      <c r="AH959" s="272">
        <f>+'NI-San_SP'!AH959+'NI-Soc_SP'!AH959+'NI-Ric_SP'!AH959</f>
        <v>0</v>
      </c>
      <c r="AI959" s="272">
        <f>+'NI-San_SP'!AI959+'NI-Soc_SP'!AI959+'NI-Ric_SP'!AI959</f>
        <v>0</v>
      </c>
      <c r="AJ959" s="272">
        <f>+'NI-San_SP'!AJ959+'NI-Soc_SP'!AJ959+'NI-Ric_SP'!AJ959</f>
        <v>0</v>
      </c>
    </row>
    <row r="960" spans="2:36" s="204" customFormat="1" ht="15" customHeight="1" x14ac:dyDescent="0.25">
      <c r="B960" s="246" t="s">
        <v>2398</v>
      </c>
      <c r="C960" s="287" t="s">
        <v>2399</v>
      </c>
      <c r="D960" s="284" t="s">
        <v>4038</v>
      </c>
      <c r="E960" s="274"/>
      <c r="F960" s="437"/>
      <c r="G960" s="437"/>
      <c r="H960" s="437"/>
      <c r="I960" s="437"/>
      <c r="J960" s="437"/>
      <c r="K960" s="437"/>
      <c r="L960" s="503" t="s">
        <v>4039</v>
      </c>
      <c r="M960" s="284" t="s">
        <v>2962</v>
      </c>
      <c r="N960" s="408">
        <f>+R960</f>
        <v>4157082</v>
      </c>
      <c r="O960" s="408">
        <f>+Z960</f>
        <v>4157082</v>
      </c>
      <c r="P960" s="271">
        <f t="shared" si="132"/>
        <v>0</v>
      </c>
      <c r="Q960" s="272">
        <f>+'NI-San_SP'!Q960+'NI-Soc_SP'!Q960+'NI-Ric_SP'!Q960</f>
        <v>0</v>
      </c>
      <c r="R960" s="272">
        <f>+'NI-San_SP'!R960+'NI-Soc_SP'!R960+'NI-Ric_SP'!R960</f>
        <v>4157082</v>
      </c>
      <c r="S960" s="272">
        <f>+'NI-San_SP'!S960+'NI-Soc_SP'!S960+'NI-Ric_SP'!S960</f>
        <v>0</v>
      </c>
      <c r="T960" s="272">
        <f>+'NI-San_SP'!T960+'NI-Soc_SP'!T960+'NI-Ric_SP'!T960</f>
        <v>0</v>
      </c>
      <c r="U960" s="272">
        <f>+'NI-San_SP'!U960+'NI-Soc_SP'!U960+'NI-Ric_SP'!U960</f>
        <v>0</v>
      </c>
      <c r="V960" s="272">
        <f>+'NI-San_SP'!V960+'NI-Soc_SP'!V960+'NI-Ric_SP'!V960</f>
        <v>0</v>
      </c>
      <c r="W960" s="272">
        <f>+'NI-San_SP'!W960+'NI-Soc_SP'!W960+'NI-Ric_SP'!W960</f>
        <v>0</v>
      </c>
      <c r="X960" s="272">
        <f>+'NI-San_SP'!X960+'NI-Soc_SP'!X960+'NI-Ric_SP'!X960</f>
        <v>0</v>
      </c>
      <c r="Y960" s="272">
        <f>+'NI-San_SP'!Y960+'NI-Soc_SP'!Y960+'NI-Ric_SP'!Y960</f>
        <v>0</v>
      </c>
      <c r="Z960" s="272">
        <f>+'NI-San_SP'!Z960+'NI-Soc_SP'!Z960+'NI-Ric_SP'!Z960</f>
        <v>4157082</v>
      </c>
      <c r="AA960" s="272">
        <f>+'NI-San_SP'!AA960+'NI-Soc_SP'!AA960+'NI-Ric_SP'!AA960</f>
        <v>0</v>
      </c>
      <c r="AB960" s="272">
        <f>+'NI-San_SP'!AB960+'NI-Soc_SP'!AB960+'NI-Ric_SP'!AB960</f>
        <v>0</v>
      </c>
      <c r="AC960" s="272">
        <f>+'NI-San_SP'!AC960+'NI-Soc_SP'!AC960+'NI-Ric_SP'!AC960</f>
        <v>0</v>
      </c>
      <c r="AD960" s="272">
        <f>+'NI-San_SP'!AD960+'NI-Soc_SP'!AD960+'NI-Ric_SP'!AD960</f>
        <v>0</v>
      </c>
      <c r="AE960" s="272">
        <f>+'NI-San_SP'!AE960+'NI-Soc_SP'!AE960+'NI-Ric_SP'!AE960</f>
        <v>4157082</v>
      </c>
      <c r="AF960" s="272">
        <f>+'NI-San_SP'!AF960+'NI-Soc_SP'!AF960+'NI-Ric_SP'!AF960</f>
        <v>0</v>
      </c>
      <c r="AG960" s="272">
        <f>+'NI-San_SP'!AG960+'NI-Soc_SP'!AG960+'NI-Ric_SP'!AG960</f>
        <v>0</v>
      </c>
      <c r="AH960" s="272">
        <f>+'NI-San_SP'!AH960+'NI-Soc_SP'!AH960+'NI-Ric_SP'!AH960</f>
        <v>4157082</v>
      </c>
      <c r="AI960" s="272">
        <f>+'NI-San_SP'!AI960+'NI-Soc_SP'!AI960+'NI-Ric_SP'!AI960</f>
        <v>0</v>
      </c>
      <c r="AJ960" s="272">
        <f>+'NI-San_SP'!AJ960+'NI-Soc_SP'!AJ960+'NI-Ric_SP'!AJ960</f>
        <v>0</v>
      </c>
    </row>
    <row r="961" spans="1:36" s="204" customFormat="1" ht="26.25" x14ac:dyDescent="0.25">
      <c r="B961" s="246" t="s">
        <v>2401</v>
      </c>
      <c r="C961" s="287" t="s">
        <v>2402</v>
      </c>
      <c r="D961" s="287" t="s">
        <v>4040</v>
      </c>
      <c r="E961" s="274"/>
      <c r="F961" s="437"/>
      <c r="G961" s="437"/>
      <c r="H961" s="437"/>
      <c r="I961" s="437"/>
      <c r="J961" s="437"/>
      <c r="K961" s="437"/>
      <c r="L961" s="503" t="s">
        <v>4041</v>
      </c>
      <c r="M961" s="284" t="s">
        <v>2962</v>
      </c>
      <c r="N961" s="408">
        <f>+R961</f>
        <v>0</v>
      </c>
      <c r="O961" s="408">
        <f>+Z961</f>
        <v>0</v>
      </c>
      <c r="P961" s="271">
        <f t="shared" si="132"/>
        <v>0</v>
      </c>
      <c r="Q961" s="272">
        <f>+'NI-San_SP'!Q961+'NI-Soc_SP'!Q961+'NI-Ric_SP'!Q961</f>
        <v>0</v>
      </c>
      <c r="R961" s="272">
        <f>+'NI-San_SP'!R961+'NI-Soc_SP'!R961+'NI-Ric_SP'!R961</f>
        <v>0</v>
      </c>
      <c r="S961" s="272">
        <f>+'NI-San_SP'!S961+'NI-Soc_SP'!S961+'NI-Ric_SP'!S961</f>
        <v>0</v>
      </c>
      <c r="T961" s="272">
        <f>+'NI-San_SP'!T961+'NI-Soc_SP'!T961+'NI-Ric_SP'!T961</f>
        <v>0</v>
      </c>
      <c r="U961" s="272">
        <f>+'NI-San_SP'!U961+'NI-Soc_SP'!U961+'NI-Ric_SP'!U961</f>
        <v>0</v>
      </c>
      <c r="V961" s="272">
        <f>+'NI-San_SP'!V961+'NI-Soc_SP'!V961+'NI-Ric_SP'!V961</f>
        <v>0</v>
      </c>
      <c r="W961" s="272">
        <f>+'NI-San_SP'!W961+'NI-Soc_SP'!W961+'NI-Ric_SP'!W961</f>
        <v>0</v>
      </c>
      <c r="X961" s="272">
        <f>+'NI-San_SP'!X961+'NI-Soc_SP'!X961+'NI-Ric_SP'!X961</f>
        <v>0</v>
      </c>
      <c r="Y961" s="272">
        <f>+'NI-San_SP'!Y961+'NI-Soc_SP'!Y961+'NI-Ric_SP'!Y961</f>
        <v>0</v>
      </c>
      <c r="Z961" s="272">
        <f>+'NI-San_SP'!Z961+'NI-Soc_SP'!Z961+'NI-Ric_SP'!Z961</f>
        <v>0</v>
      </c>
      <c r="AA961" s="272">
        <f>+'NI-San_SP'!AA961+'NI-Soc_SP'!AA961+'NI-Ric_SP'!AA961</f>
        <v>0</v>
      </c>
      <c r="AB961" s="272">
        <f>+'NI-San_SP'!AB961+'NI-Soc_SP'!AB961+'NI-Ric_SP'!AB961</f>
        <v>0</v>
      </c>
      <c r="AC961" s="272">
        <f>+'NI-San_SP'!AC961+'NI-Soc_SP'!AC961+'NI-Ric_SP'!AC961</f>
        <v>0</v>
      </c>
      <c r="AD961" s="272">
        <f>+'NI-San_SP'!AD961+'NI-Soc_SP'!AD961+'NI-Ric_SP'!AD961</f>
        <v>0</v>
      </c>
      <c r="AE961" s="272">
        <f>+'NI-San_SP'!AE961+'NI-Soc_SP'!AE961+'NI-Ric_SP'!AE961</f>
        <v>0</v>
      </c>
      <c r="AF961" s="272">
        <f>+'NI-San_SP'!AF961+'NI-Soc_SP'!AF961+'NI-Ric_SP'!AF961</f>
        <v>0</v>
      </c>
      <c r="AG961" s="272">
        <f>+'NI-San_SP'!AG961+'NI-Soc_SP'!AG961+'NI-Ric_SP'!AG961</f>
        <v>0</v>
      </c>
      <c r="AH961" s="272">
        <f>+'NI-San_SP'!AH961+'NI-Soc_SP'!AH961+'NI-Ric_SP'!AH961</f>
        <v>0</v>
      </c>
      <c r="AI961" s="272">
        <f>+'NI-San_SP'!AI961+'NI-Soc_SP'!AI961+'NI-Ric_SP'!AI961</f>
        <v>0</v>
      </c>
      <c r="AJ961" s="272">
        <f>+'NI-San_SP'!AJ961+'NI-Soc_SP'!AJ961+'NI-Ric_SP'!AJ961</f>
        <v>0</v>
      </c>
    </row>
    <row r="962" spans="1:36" s="204" customFormat="1" ht="25.5" x14ac:dyDescent="0.25">
      <c r="B962" s="246" t="s">
        <v>2404</v>
      </c>
      <c r="C962" s="287" t="s">
        <v>2405</v>
      </c>
      <c r="D962" s="284" t="s">
        <v>4042</v>
      </c>
      <c r="E962" s="274"/>
      <c r="F962" s="437"/>
      <c r="G962" s="437"/>
      <c r="H962" s="437"/>
      <c r="I962" s="437"/>
      <c r="J962" s="437"/>
      <c r="K962" s="437"/>
      <c r="L962" s="379" t="s">
        <v>2407</v>
      </c>
      <c r="M962" s="284" t="s">
        <v>2962</v>
      </c>
      <c r="N962" s="408">
        <f>+R962</f>
        <v>0</v>
      </c>
      <c r="O962" s="408">
        <f>+Z962</f>
        <v>0</v>
      </c>
      <c r="P962" s="271">
        <f t="shared" si="132"/>
        <v>0</v>
      </c>
      <c r="Q962" s="272">
        <f>+'NI-San_SP'!Q962+'NI-Soc_SP'!Q962+'NI-Ric_SP'!Q962</f>
        <v>0</v>
      </c>
      <c r="R962" s="272">
        <f>+'NI-San_SP'!R962+'NI-Soc_SP'!R962+'NI-Ric_SP'!R962</f>
        <v>0</v>
      </c>
      <c r="S962" s="272">
        <f>+'NI-San_SP'!S962+'NI-Soc_SP'!S962+'NI-Ric_SP'!S962</f>
        <v>0</v>
      </c>
      <c r="T962" s="272">
        <f>+'NI-San_SP'!T962+'NI-Soc_SP'!T962+'NI-Ric_SP'!T962</f>
        <v>0</v>
      </c>
      <c r="U962" s="272">
        <f>+'NI-San_SP'!U962+'NI-Soc_SP'!U962+'NI-Ric_SP'!U962</f>
        <v>0</v>
      </c>
      <c r="V962" s="272">
        <f>+'NI-San_SP'!V962+'NI-Soc_SP'!V962+'NI-Ric_SP'!V962</f>
        <v>0</v>
      </c>
      <c r="W962" s="272">
        <f>+'NI-San_SP'!W962+'NI-Soc_SP'!W962+'NI-Ric_SP'!W962</f>
        <v>0</v>
      </c>
      <c r="X962" s="272">
        <f>+'NI-San_SP'!X962+'NI-Soc_SP'!X962+'NI-Ric_SP'!X962</f>
        <v>0</v>
      </c>
      <c r="Y962" s="272">
        <f>+'NI-San_SP'!Y962+'NI-Soc_SP'!Y962+'NI-Ric_SP'!Y962</f>
        <v>0</v>
      </c>
      <c r="Z962" s="272">
        <f>+'NI-San_SP'!Z962+'NI-Soc_SP'!Z962+'NI-Ric_SP'!Z962</f>
        <v>0</v>
      </c>
      <c r="AA962" s="272">
        <f>+'NI-San_SP'!AA962+'NI-Soc_SP'!AA962+'NI-Ric_SP'!AA962</f>
        <v>0</v>
      </c>
      <c r="AB962" s="272">
        <f>+'NI-San_SP'!AB962+'NI-Soc_SP'!AB962+'NI-Ric_SP'!AB962</f>
        <v>0</v>
      </c>
      <c r="AC962" s="272">
        <f>+'NI-San_SP'!AC962+'NI-Soc_SP'!AC962+'NI-Ric_SP'!AC962</f>
        <v>0</v>
      </c>
      <c r="AD962" s="272">
        <f>+'NI-San_SP'!AD962+'NI-Soc_SP'!AD962+'NI-Ric_SP'!AD962</f>
        <v>0</v>
      </c>
      <c r="AE962" s="272">
        <f>+'NI-San_SP'!AE962+'NI-Soc_SP'!AE962+'NI-Ric_SP'!AE962</f>
        <v>0</v>
      </c>
      <c r="AF962" s="272">
        <f>+'NI-San_SP'!AF962+'NI-Soc_SP'!AF962+'NI-Ric_SP'!AF962</f>
        <v>0</v>
      </c>
      <c r="AG962" s="272">
        <f>+'NI-San_SP'!AG962+'NI-Soc_SP'!AG962+'NI-Ric_SP'!AG962</f>
        <v>0</v>
      </c>
      <c r="AH962" s="272">
        <f>+'NI-San_SP'!AH962+'NI-Soc_SP'!AH962+'NI-Ric_SP'!AH962</f>
        <v>0</v>
      </c>
      <c r="AI962" s="272">
        <f>+'NI-San_SP'!AI962+'NI-Soc_SP'!AI962+'NI-Ric_SP'!AI962</f>
        <v>0</v>
      </c>
      <c r="AJ962" s="272">
        <f>+'NI-San_SP'!AJ962+'NI-Soc_SP'!AJ962+'NI-Ric_SP'!AJ962</f>
        <v>0</v>
      </c>
    </row>
    <row r="963" spans="1:36" s="204" customFormat="1" ht="25.5" x14ac:dyDescent="0.25">
      <c r="B963" s="246" t="s">
        <v>2408</v>
      </c>
      <c r="C963" s="287" t="s">
        <v>2409</v>
      </c>
      <c r="D963" s="284" t="s">
        <v>4043</v>
      </c>
      <c r="E963" s="274"/>
      <c r="F963" s="437"/>
      <c r="G963" s="437"/>
      <c r="H963" s="437"/>
      <c r="I963" s="437"/>
      <c r="J963" s="437"/>
      <c r="K963" s="437"/>
      <c r="L963" s="379" t="s">
        <v>2412</v>
      </c>
      <c r="M963" s="284" t="s">
        <v>2962</v>
      </c>
      <c r="N963" s="378">
        <f>SUM(N964:N968)</f>
        <v>6403753</v>
      </c>
      <c r="O963" s="378">
        <f>SUM(O964:O968)</f>
        <v>7044627</v>
      </c>
      <c r="P963" s="378">
        <f t="shared" si="132"/>
        <v>640874</v>
      </c>
      <c r="Q963" s="378">
        <f>SUM(Q964:Q968)</f>
        <v>0</v>
      </c>
      <c r="R963" s="272">
        <f>+'NI-San_SP'!R963+'NI-Soc_SP'!R963+'NI-Ric_SP'!R963</f>
        <v>6403753</v>
      </c>
      <c r="S963" s="378">
        <f>SUM(S964:S968)</f>
        <v>0</v>
      </c>
      <c r="T963" s="378">
        <f>SUM(T964:T968)</f>
        <v>0</v>
      </c>
      <c r="U963" s="272">
        <f>+'NI-San_SP'!U963+'NI-Soc_SP'!U963+'NI-Ric_SP'!U963</f>
        <v>-31344</v>
      </c>
      <c r="V963" s="378">
        <f t="shared" ref="V963:AJ963" si="135">SUM(V964:V968)</f>
        <v>7309709</v>
      </c>
      <c r="W963" s="378">
        <f t="shared" si="135"/>
        <v>0</v>
      </c>
      <c r="X963" s="378">
        <f t="shared" si="135"/>
        <v>4912780</v>
      </c>
      <c r="Y963" s="378">
        <f t="shared" si="135"/>
        <v>1724711</v>
      </c>
      <c r="Z963" s="378">
        <f t="shared" si="135"/>
        <v>7044627</v>
      </c>
      <c r="AA963" s="378">
        <f t="shared" si="135"/>
        <v>1542009</v>
      </c>
      <c r="AB963" s="378">
        <f t="shared" si="135"/>
        <v>0</v>
      </c>
      <c r="AC963" s="378">
        <f t="shared" si="135"/>
        <v>292166</v>
      </c>
      <c r="AD963" s="378">
        <f t="shared" si="135"/>
        <v>21290</v>
      </c>
      <c r="AE963" s="378">
        <f t="shared" si="135"/>
        <v>136194</v>
      </c>
      <c r="AF963" s="378">
        <f t="shared" si="135"/>
        <v>982893</v>
      </c>
      <c r="AG963" s="378">
        <f t="shared" si="135"/>
        <v>5612084</v>
      </c>
      <c r="AH963" s="378">
        <f t="shared" si="135"/>
        <v>36622</v>
      </c>
      <c r="AI963" s="378">
        <f t="shared" si="135"/>
        <v>7008005</v>
      </c>
      <c r="AJ963" s="378">
        <f t="shared" si="135"/>
        <v>0</v>
      </c>
    </row>
    <row r="964" spans="1:36" s="204" customFormat="1" hidden="1" x14ac:dyDescent="0.25">
      <c r="B964" s="246" t="s">
        <v>2413</v>
      </c>
      <c r="C964" s="287" t="s">
        <v>2414</v>
      </c>
      <c r="D964" s="284" t="s">
        <v>4044</v>
      </c>
      <c r="E964" s="274"/>
      <c r="F964" s="437"/>
      <c r="G964" s="437"/>
      <c r="H964" s="437"/>
      <c r="I964" s="437"/>
      <c r="J964" s="437"/>
      <c r="K964" s="437"/>
      <c r="L964" s="504" t="s">
        <v>2415</v>
      </c>
      <c r="M964" s="284" t="s">
        <v>2962</v>
      </c>
      <c r="N964" s="408">
        <f t="shared" ref="N964:N975" si="136">+R964</f>
        <v>0</v>
      </c>
      <c r="O964" s="408">
        <f t="shared" ref="O964:O975" si="137">+Z964</f>
        <v>0</v>
      </c>
      <c r="P964" s="271">
        <f t="shared" si="132"/>
        <v>0</v>
      </c>
      <c r="Q964" s="272">
        <f>+'NI-San_SP'!Q964+'NI-Soc_SP'!Q964+'NI-Ric_SP'!Q964</f>
        <v>0</v>
      </c>
      <c r="R964" s="272">
        <f>+'NI-San_SP'!R964+'NI-Soc_SP'!R964+'NI-Ric_SP'!R964</f>
        <v>0</v>
      </c>
      <c r="S964" s="272">
        <f>+'NI-San_SP'!S964+'NI-Soc_SP'!S964+'NI-Ric_SP'!S964</f>
        <v>0</v>
      </c>
      <c r="T964" s="272">
        <f>+'NI-San_SP'!T964+'NI-Soc_SP'!T964+'NI-Ric_SP'!T964</f>
        <v>0</v>
      </c>
      <c r="U964" s="272">
        <f>+'NI-San_SP'!U964+'NI-Soc_SP'!U964+'NI-Ric_SP'!U964</f>
        <v>0</v>
      </c>
      <c r="V964" s="272">
        <f>+'NI-San_SP'!V964+'NI-Soc_SP'!V964+'NI-Ric_SP'!V964</f>
        <v>0</v>
      </c>
      <c r="W964" s="272">
        <f>+'NI-San_SP'!W964+'NI-Soc_SP'!W964+'NI-Ric_SP'!W964</f>
        <v>0</v>
      </c>
      <c r="X964" s="272">
        <f>+'NI-San_SP'!X964+'NI-Soc_SP'!X964+'NI-Ric_SP'!X964</f>
        <v>0</v>
      </c>
      <c r="Y964" s="272">
        <f>+'NI-San_SP'!Y964+'NI-Soc_SP'!Y964+'NI-Ric_SP'!Y964</f>
        <v>0</v>
      </c>
      <c r="Z964" s="272">
        <f>+'NI-San_SP'!Z964+'NI-Soc_SP'!Z964+'NI-Ric_SP'!Z964</f>
        <v>0</v>
      </c>
      <c r="AA964" s="272">
        <f>+'NI-San_SP'!AA964+'NI-Soc_SP'!AA964+'NI-Ric_SP'!AA964</f>
        <v>0</v>
      </c>
      <c r="AB964" s="272">
        <f>+'NI-San_SP'!AB964+'NI-Soc_SP'!AB964+'NI-Ric_SP'!AB964</f>
        <v>0</v>
      </c>
      <c r="AC964" s="272">
        <f>+'NI-San_SP'!AC964+'NI-Soc_SP'!AC964+'NI-Ric_SP'!AC964</f>
        <v>0</v>
      </c>
      <c r="AD964" s="272">
        <f>+'NI-San_SP'!AD964+'NI-Soc_SP'!AD964+'NI-Ric_SP'!AD964</f>
        <v>0</v>
      </c>
      <c r="AE964" s="272">
        <f>+'NI-San_SP'!AE964+'NI-Soc_SP'!AE964+'NI-Ric_SP'!AE964</f>
        <v>0</v>
      </c>
      <c r="AF964" s="272">
        <f>+'NI-San_SP'!AF964+'NI-Soc_SP'!AF964+'NI-Ric_SP'!AF964</f>
        <v>0</v>
      </c>
      <c r="AG964" s="272">
        <f>+'NI-San_SP'!AG964+'NI-Soc_SP'!AG964+'NI-Ric_SP'!AG964</f>
        <v>0</v>
      </c>
      <c r="AH964" s="272">
        <f>+'NI-San_SP'!AH964+'NI-Soc_SP'!AH964+'NI-Ric_SP'!AH964</f>
        <v>0</v>
      </c>
      <c r="AI964" s="272">
        <f>+'NI-San_SP'!AI964+'NI-Soc_SP'!AI964+'NI-Ric_SP'!AI964</f>
        <v>0</v>
      </c>
      <c r="AJ964" s="272">
        <f>+'NI-San_SP'!AJ964+'NI-Soc_SP'!AJ964+'NI-Ric_SP'!AJ964</f>
        <v>0</v>
      </c>
    </row>
    <row r="965" spans="1:36" s="204" customFormat="1" x14ac:dyDescent="0.25">
      <c r="B965" s="246" t="s">
        <v>2416</v>
      </c>
      <c r="C965" s="287" t="s">
        <v>2417</v>
      </c>
      <c r="D965" s="284" t="s">
        <v>4045</v>
      </c>
      <c r="E965" s="274"/>
      <c r="F965" s="437"/>
      <c r="G965" s="437"/>
      <c r="H965" s="437"/>
      <c r="I965" s="437"/>
      <c r="J965" s="437"/>
      <c r="K965" s="437"/>
      <c r="L965" s="504" t="s">
        <v>4046</v>
      </c>
      <c r="M965" s="284" t="s">
        <v>2962</v>
      </c>
      <c r="N965" s="408">
        <f t="shared" si="136"/>
        <v>1503487</v>
      </c>
      <c r="O965" s="408">
        <f t="shared" si="137"/>
        <v>1252035</v>
      </c>
      <c r="P965" s="271">
        <f t="shared" si="132"/>
        <v>-251452</v>
      </c>
      <c r="Q965" s="272">
        <f>+'NI-San_SP'!Q965+'NI-Soc_SP'!Q965+'NI-Ric_SP'!Q965</f>
        <v>0</v>
      </c>
      <c r="R965" s="272">
        <f>+'NI-San_SP'!R965+'NI-Soc_SP'!R965+'NI-Ric_SP'!R965</f>
        <v>1503487</v>
      </c>
      <c r="S965" s="272">
        <f>+'NI-San_SP'!S965+'NI-Soc_SP'!S965+'NI-Ric_SP'!S965</f>
        <v>0</v>
      </c>
      <c r="T965" s="272">
        <f>+'NI-San_SP'!T965+'NI-Soc_SP'!T965+'NI-Ric_SP'!T965</f>
        <v>0</v>
      </c>
      <c r="U965" s="272">
        <f>+'NI-San_SP'!U965+'NI-Soc_SP'!U965+'NI-Ric_SP'!U965</f>
        <v>-2842</v>
      </c>
      <c r="V965" s="272">
        <f>+'NI-San_SP'!V965+'NI-Soc_SP'!V965+'NI-Ric_SP'!V965</f>
        <v>1044289</v>
      </c>
      <c r="W965" s="272">
        <f>+'NI-San_SP'!W965+'NI-Soc_SP'!W965+'NI-Ric_SP'!W965</f>
        <v>0</v>
      </c>
      <c r="X965" s="272">
        <f>+'NI-San_SP'!X965+'NI-Soc_SP'!X965+'NI-Ric_SP'!X965</f>
        <v>934806</v>
      </c>
      <c r="Y965" s="272">
        <f>+'NI-San_SP'!Y965+'NI-Soc_SP'!Y965+'NI-Ric_SP'!Y965</f>
        <v>358093</v>
      </c>
      <c r="Z965" s="272">
        <f>+'NI-San_SP'!Z965+'NI-Soc_SP'!Z965+'NI-Ric_SP'!Z965</f>
        <v>1252035</v>
      </c>
      <c r="AA965" s="272">
        <f>+'NI-San_SP'!AA965+'NI-Soc_SP'!AA965+'NI-Ric_SP'!AA965</f>
        <v>373255</v>
      </c>
      <c r="AB965" s="272">
        <f>+'NI-San_SP'!AB965+'NI-Soc_SP'!AB965+'NI-Ric_SP'!AB965</f>
        <v>0</v>
      </c>
      <c r="AC965" s="272">
        <f>+'NI-San_SP'!AC965+'NI-Soc_SP'!AC965+'NI-Ric_SP'!AC965</f>
        <v>292166</v>
      </c>
      <c r="AD965" s="272">
        <f>+'NI-San_SP'!AD965+'NI-Soc_SP'!AD965+'NI-Ric_SP'!AD965</f>
        <v>12002</v>
      </c>
      <c r="AE965" s="272">
        <f>+'NI-San_SP'!AE965+'NI-Soc_SP'!AE965+'NI-Ric_SP'!AE965</f>
        <v>123753</v>
      </c>
      <c r="AF965" s="272">
        <f>+'NI-San_SP'!AF965+'NI-Soc_SP'!AF965+'NI-Ric_SP'!AF965</f>
        <v>123753</v>
      </c>
      <c r="AG965" s="272">
        <f>+'NI-San_SP'!AG965+'NI-Soc_SP'!AG965+'NI-Ric_SP'!AG965</f>
        <v>700361</v>
      </c>
      <c r="AH965" s="272">
        <f>+'NI-San_SP'!AH965+'NI-Soc_SP'!AH965+'NI-Ric_SP'!AH965</f>
        <v>0</v>
      </c>
      <c r="AI965" s="272">
        <f>+'NI-San_SP'!AI965+'NI-Soc_SP'!AI965+'NI-Ric_SP'!AI965</f>
        <v>1252035</v>
      </c>
      <c r="AJ965" s="272">
        <f>+'NI-San_SP'!AJ965+'NI-Soc_SP'!AJ965+'NI-Ric_SP'!AJ965</f>
        <v>0</v>
      </c>
    </row>
    <row r="966" spans="1:36" s="204" customFormat="1" hidden="1" x14ac:dyDescent="0.25">
      <c r="B966" s="246" t="s">
        <v>2419</v>
      </c>
      <c r="C966" s="287" t="s">
        <v>2420</v>
      </c>
      <c r="D966" s="284" t="s">
        <v>4047</v>
      </c>
      <c r="E966" s="274"/>
      <c r="F966" s="437"/>
      <c r="G966" s="437"/>
      <c r="H966" s="437"/>
      <c r="I966" s="437"/>
      <c r="J966" s="437"/>
      <c r="K966" s="437"/>
      <c r="L966" s="504" t="s">
        <v>2421</v>
      </c>
      <c r="M966" s="284" t="s">
        <v>2962</v>
      </c>
      <c r="N966" s="408">
        <f t="shared" si="136"/>
        <v>0</v>
      </c>
      <c r="O966" s="408">
        <f t="shared" si="137"/>
        <v>0</v>
      </c>
      <c r="P966" s="271">
        <f t="shared" si="132"/>
        <v>0</v>
      </c>
      <c r="Q966" s="272">
        <f>+'NI-San_SP'!Q966+'NI-Soc_SP'!Q966+'NI-Ric_SP'!Q966</f>
        <v>0</v>
      </c>
      <c r="R966" s="272">
        <f>+'NI-San_SP'!R966+'NI-Soc_SP'!R966+'NI-Ric_SP'!R966</f>
        <v>0</v>
      </c>
      <c r="S966" s="272">
        <f>+'NI-San_SP'!S966+'NI-Soc_SP'!S966+'NI-Ric_SP'!S966</f>
        <v>0</v>
      </c>
      <c r="T966" s="272">
        <f>+'NI-San_SP'!T966+'NI-Soc_SP'!T966+'NI-Ric_SP'!T966</f>
        <v>0</v>
      </c>
      <c r="U966" s="272">
        <f>+'NI-San_SP'!U966+'NI-Soc_SP'!U966+'NI-Ric_SP'!U966</f>
        <v>0</v>
      </c>
      <c r="V966" s="272">
        <f>+'NI-San_SP'!V966+'NI-Soc_SP'!V966+'NI-Ric_SP'!V966</f>
        <v>0</v>
      </c>
      <c r="W966" s="272">
        <f>+'NI-San_SP'!W966+'NI-Soc_SP'!W966+'NI-Ric_SP'!W966</f>
        <v>0</v>
      </c>
      <c r="X966" s="272">
        <f>+'NI-San_SP'!X966+'NI-Soc_SP'!X966+'NI-Ric_SP'!X966</f>
        <v>0</v>
      </c>
      <c r="Y966" s="272">
        <f>+'NI-San_SP'!Y966+'NI-Soc_SP'!Y966+'NI-Ric_SP'!Y966</f>
        <v>0</v>
      </c>
      <c r="Z966" s="272">
        <f>+'NI-San_SP'!Z966+'NI-Soc_SP'!Z966+'NI-Ric_SP'!Z966</f>
        <v>0</v>
      </c>
      <c r="AA966" s="272">
        <f>+'NI-San_SP'!AA966+'NI-Soc_SP'!AA966+'NI-Ric_SP'!AA966</f>
        <v>0</v>
      </c>
      <c r="AB966" s="272">
        <f>+'NI-San_SP'!AB966+'NI-Soc_SP'!AB966+'NI-Ric_SP'!AB966</f>
        <v>0</v>
      </c>
      <c r="AC966" s="272">
        <f>+'NI-San_SP'!AC966+'NI-Soc_SP'!AC966+'NI-Ric_SP'!AC966</f>
        <v>0</v>
      </c>
      <c r="AD966" s="272">
        <f>+'NI-San_SP'!AD966+'NI-Soc_SP'!AD966+'NI-Ric_SP'!AD966</f>
        <v>0</v>
      </c>
      <c r="AE966" s="272">
        <f>+'NI-San_SP'!AE966+'NI-Soc_SP'!AE966+'NI-Ric_SP'!AE966</f>
        <v>0</v>
      </c>
      <c r="AF966" s="272">
        <f>+'NI-San_SP'!AF966+'NI-Soc_SP'!AF966+'NI-Ric_SP'!AF966</f>
        <v>0</v>
      </c>
      <c r="AG966" s="272">
        <f>+'NI-San_SP'!AG966+'NI-Soc_SP'!AG966+'NI-Ric_SP'!AG966</f>
        <v>0</v>
      </c>
      <c r="AH966" s="272">
        <f>+'NI-San_SP'!AH966+'NI-Soc_SP'!AH966+'NI-Ric_SP'!AH966</f>
        <v>0</v>
      </c>
      <c r="AI966" s="272">
        <f>+'NI-San_SP'!AI966+'NI-Soc_SP'!AI966+'NI-Ric_SP'!AI966</f>
        <v>0</v>
      </c>
      <c r="AJ966" s="272">
        <f>+'NI-San_SP'!AJ966+'NI-Soc_SP'!AJ966+'NI-Ric_SP'!AJ966</f>
        <v>0</v>
      </c>
    </row>
    <row r="967" spans="1:36" s="204" customFormat="1" x14ac:dyDescent="0.25">
      <c r="B967" s="246" t="s">
        <v>2422</v>
      </c>
      <c r="C967" s="287" t="s">
        <v>2423</v>
      </c>
      <c r="D967" s="284" t="s">
        <v>4048</v>
      </c>
      <c r="E967" s="274"/>
      <c r="F967" s="437"/>
      <c r="G967" s="437"/>
      <c r="H967" s="437"/>
      <c r="I967" s="437"/>
      <c r="J967" s="437"/>
      <c r="K967" s="437"/>
      <c r="L967" s="504" t="s">
        <v>4049</v>
      </c>
      <c r="M967" s="284" t="s">
        <v>2962</v>
      </c>
      <c r="N967" s="408">
        <f t="shared" si="136"/>
        <v>4815221</v>
      </c>
      <c r="O967" s="408">
        <f t="shared" si="137"/>
        <v>5757416</v>
      </c>
      <c r="P967" s="271">
        <f t="shared" si="132"/>
        <v>942195</v>
      </c>
      <c r="Q967" s="272">
        <f>+'NI-San_SP'!Q967+'NI-Soc_SP'!Q967+'NI-Ric_SP'!Q967</f>
        <v>0</v>
      </c>
      <c r="R967" s="272">
        <f>+'NI-San_SP'!R967+'NI-Soc_SP'!R967+'NI-Ric_SP'!R967</f>
        <v>4815221</v>
      </c>
      <c r="S967" s="272">
        <f>+'NI-San_SP'!S967+'NI-Soc_SP'!S967+'NI-Ric_SP'!S967</f>
        <v>0</v>
      </c>
      <c r="T967" s="272">
        <f>+'NI-San_SP'!T967+'NI-Soc_SP'!T967+'NI-Ric_SP'!T967</f>
        <v>0</v>
      </c>
      <c r="U967" s="272">
        <f>+'NI-San_SP'!U967+'NI-Soc_SP'!U967+'NI-Ric_SP'!U967</f>
        <v>1446</v>
      </c>
      <c r="V967" s="272">
        <f>+'NI-San_SP'!V967+'NI-Soc_SP'!V967+'NI-Ric_SP'!V967</f>
        <v>6122143</v>
      </c>
      <c r="W967" s="272">
        <f>+'NI-San_SP'!W967+'NI-Soc_SP'!W967+'NI-Ric_SP'!W967</f>
        <v>0</v>
      </c>
      <c r="X967" s="272">
        <f>+'NI-San_SP'!X967+'NI-Soc_SP'!X967+'NI-Ric_SP'!X967</f>
        <v>3892929</v>
      </c>
      <c r="Y967" s="272">
        <f>+'NI-San_SP'!Y967+'NI-Soc_SP'!Y967+'NI-Ric_SP'!Y967</f>
        <v>1288465</v>
      </c>
      <c r="Z967" s="272">
        <f>+'NI-San_SP'!Z967+'NI-Soc_SP'!Z967+'NI-Ric_SP'!Z967</f>
        <v>5757416</v>
      </c>
      <c r="AA967" s="272">
        <f>+'NI-San_SP'!AA967+'NI-Soc_SP'!AA967+'NI-Ric_SP'!AA967</f>
        <v>1141639</v>
      </c>
      <c r="AB967" s="272">
        <f>+'NI-San_SP'!AB967+'NI-Soc_SP'!AB967+'NI-Ric_SP'!AB967</f>
        <v>0</v>
      </c>
      <c r="AC967" s="272">
        <f>+'NI-San_SP'!AC967+'NI-Soc_SP'!AC967+'NI-Ric_SP'!AC967</f>
        <v>0</v>
      </c>
      <c r="AD967" s="272">
        <f>+'NI-San_SP'!AD967+'NI-Soc_SP'!AD967+'NI-Ric_SP'!AD967</f>
        <v>9288</v>
      </c>
      <c r="AE967" s="272">
        <f>+'NI-San_SP'!AE967+'NI-Soc_SP'!AE967+'NI-Ric_SP'!AE967</f>
        <v>12441</v>
      </c>
      <c r="AF967" s="272">
        <f>+'NI-San_SP'!AF967+'NI-Soc_SP'!AF967+'NI-Ric_SP'!AF967</f>
        <v>859140</v>
      </c>
      <c r="AG967" s="272">
        <f>+'NI-San_SP'!AG967+'NI-Soc_SP'!AG967+'NI-Ric_SP'!AG967</f>
        <v>4876547</v>
      </c>
      <c r="AH967" s="272">
        <f>+'NI-San_SP'!AH967+'NI-Soc_SP'!AH967+'NI-Ric_SP'!AH967</f>
        <v>1446</v>
      </c>
      <c r="AI967" s="272">
        <f>+'NI-San_SP'!AI967+'NI-Soc_SP'!AI967+'NI-Ric_SP'!AI967</f>
        <v>5755970</v>
      </c>
      <c r="AJ967" s="272">
        <f>+'NI-San_SP'!AJ967+'NI-Soc_SP'!AJ967+'NI-Ric_SP'!AJ967</f>
        <v>0</v>
      </c>
    </row>
    <row r="968" spans="1:36" s="204" customFormat="1" x14ac:dyDescent="0.25">
      <c r="B968" s="246" t="s">
        <v>2425</v>
      </c>
      <c r="C968" s="287" t="s">
        <v>2426</v>
      </c>
      <c r="D968" s="284" t="s">
        <v>4050</v>
      </c>
      <c r="E968" s="274"/>
      <c r="F968" s="437"/>
      <c r="G968" s="437"/>
      <c r="H968" s="437"/>
      <c r="I968" s="437"/>
      <c r="J968" s="437"/>
      <c r="K968" s="437"/>
      <c r="L968" s="504" t="s">
        <v>4051</v>
      </c>
      <c r="M968" s="284" t="s">
        <v>2962</v>
      </c>
      <c r="N968" s="408">
        <f t="shared" si="136"/>
        <v>85045</v>
      </c>
      <c r="O968" s="408">
        <f t="shared" si="137"/>
        <v>35176</v>
      </c>
      <c r="P968" s="271">
        <f t="shared" si="132"/>
        <v>-49869</v>
      </c>
      <c r="Q968" s="272">
        <f>+'NI-San_SP'!Q968+'NI-Soc_SP'!Q968+'NI-Ric_SP'!Q968</f>
        <v>0</v>
      </c>
      <c r="R968" s="272">
        <f>+'NI-San_SP'!R968+'NI-Soc_SP'!R968+'NI-Ric_SP'!R968</f>
        <v>85045</v>
      </c>
      <c r="S968" s="272">
        <f>+'NI-San_SP'!S968+'NI-Soc_SP'!S968+'NI-Ric_SP'!S968</f>
        <v>0</v>
      </c>
      <c r="T968" s="272">
        <f>+'NI-San_SP'!T968+'NI-Soc_SP'!T968+'NI-Ric_SP'!T968</f>
        <v>0</v>
      </c>
      <c r="U968" s="272">
        <f>+'NI-San_SP'!U968+'NI-Soc_SP'!U968+'NI-Ric_SP'!U968</f>
        <v>-29948</v>
      </c>
      <c r="V968" s="272">
        <f>+'NI-San_SP'!V968+'NI-Soc_SP'!V968+'NI-Ric_SP'!V968</f>
        <v>143277</v>
      </c>
      <c r="W968" s="272">
        <f>+'NI-San_SP'!W968+'NI-Soc_SP'!W968+'NI-Ric_SP'!W968</f>
        <v>0</v>
      </c>
      <c r="X968" s="272">
        <f>+'NI-San_SP'!X968+'NI-Soc_SP'!X968+'NI-Ric_SP'!X968</f>
        <v>85045</v>
      </c>
      <c r="Y968" s="272">
        <f>+'NI-San_SP'!Y968+'NI-Soc_SP'!Y968+'NI-Ric_SP'!Y968</f>
        <v>78153</v>
      </c>
      <c r="Z968" s="272">
        <f>+'NI-San_SP'!Z968+'NI-Soc_SP'!Z968+'NI-Ric_SP'!Z968</f>
        <v>35176</v>
      </c>
      <c r="AA968" s="272">
        <f>+'NI-San_SP'!AA968+'NI-Soc_SP'!AA968+'NI-Ric_SP'!AA968</f>
        <v>27115</v>
      </c>
      <c r="AB968" s="272">
        <f>+'NI-San_SP'!AB968+'NI-Soc_SP'!AB968+'NI-Ric_SP'!AB968</f>
        <v>0</v>
      </c>
      <c r="AC968" s="272">
        <f>+'NI-San_SP'!AC968+'NI-Soc_SP'!AC968+'NI-Ric_SP'!AC968</f>
        <v>0</v>
      </c>
      <c r="AD968" s="272">
        <f>+'NI-San_SP'!AD968+'NI-Soc_SP'!AD968+'NI-Ric_SP'!AD968</f>
        <v>0</v>
      </c>
      <c r="AE968" s="272">
        <f>+'NI-San_SP'!AE968+'NI-Soc_SP'!AE968+'NI-Ric_SP'!AE968</f>
        <v>0</v>
      </c>
      <c r="AF968" s="272">
        <f>+'NI-San_SP'!AF968+'NI-Soc_SP'!AF968+'NI-Ric_SP'!AF968</f>
        <v>0</v>
      </c>
      <c r="AG968" s="272">
        <f>+'NI-San_SP'!AG968+'NI-Soc_SP'!AG968+'NI-Ric_SP'!AG968</f>
        <v>35176</v>
      </c>
      <c r="AH968" s="272">
        <f>+'NI-San_SP'!AH968+'NI-Soc_SP'!AH968+'NI-Ric_SP'!AH968</f>
        <v>35176</v>
      </c>
      <c r="AI968" s="272">
        <f>+'NI-San_SP'!AI968+'NI-Soc_SP'!AI968+'NI-Ric_SP'!AI968</f>
        <v>0</v>
      </c>
      <c r="AJ968" s="272">
        <f>+'NI-San_SP'!AJ968+'NI-Soc_SP'!AJ968+'NI-Ric_SP'!AJ968</f>
        <v>0</v>
      </c>
    </row>
    <row r="969" spans="1:36" s="204" customFormat="1" x14ac:dyDescent="0.25">
      <c r="B969" s="246" t="s">
        <v>2428</v>
      </c>
      <c r="C969" s="287" t="s">
        <v>2429</v>
      </c>
      <c r="D969" s="284" t="s">
        <v>4052</v>
      </c>
      <c r="E969" s="274"/>
      <c r="F969" s="437"/>
      <c r="G969" s="437"/>
      <c r="H969" s="437"/>
      <c r="I969" s="437"/>
      <c r="J969" s="437"/>
      <c r="K969" s="437"/>
      <c r="L969" s="379" t="s">
        <v>2431</v>
      </c>
      <c r="M969" s="284" t="s">
        <v>2962</v>
      </c>
      <c r="N969" s="408">
        <f t="shared" si="136"/>
        <v>0</v>
      </c>
      <c r="O969" s="408">
        <f t="shared" si="137"/>
        <v>0</v>
      </c>
      <c r="P969" s="271">
        <f t="shared" si="132"/>
        <v>0</v>
      </c>
      <c r="Q969" s="272">
        <f>+'NI-San_SP'!Q969+'NI-Soc_SP'!Q969+'NI-Ric_SP'!Q969</f>
        <v>0</v>
      </c>
      <c r="R969" s="272">
        <f>+'NI-San_SP'!R969+'NI-Soc_SP'!R969+'NI-Ric_SP'!R969</f>
        <v>0</v>
      </c>
      <c r="S969" s="272">
        <f>+'NI-San_SP'!S969+'NI-Soc_SP'!S969+'NI-Ric_SP'!S969</f>
        <v>0</v>
      </c>
      <c r="T969" s="272">
        <f>+'NI-San_SP'!T969+'NI-Soc_SP'!T969+'NI-Ric_SP'!T969</f>
        <v>0</v>
      </c>
      <c r="U969" s="272">
        <f>+'NI-San_SP'!U969+'NI-Soc_SP'!U969+'NI-Ric_SP'!U969</f>
        <v>0</v>
      </c>
      <c r="V969" s="272">
        <f>+'NI-San_SP'!V969+'NI-Soc_SP'!V969+'NI-Ric_SP'!V969</f>
        <v>0</v>
      </c>
      <c r="W969" s="272">
        <f>+'NI-San_SP'!W969+'NI-Soc_SP'!W969+'NI-Ric_SP'!W969</f>
        <v>0</v>
      </c>
      <c r="X969" s="272">
        <f>+'NI-San_SP'!X969+'NI-Soc_SP'!X969+'NI-Ric_SP'!X969</f>
        <v>0</v>
      </c>
      <c r="Y969" s="272">
        <f>+'NI-San_SP'!Y969+'NI-Soc_SP'!Y969+'NI-Ric_SP'!Y969</f>
        <v>0</v>
      </c>
      <c r="Z969" s="272">
        <f>+'NI-San_SP'!Z969+'NI-Soc_SP'!Z969+'NI-Ric_SP'!Z969</f>
        <v>0</v>
      </c>
      <c r="AA969" s="272">
        <f>+'NI-San_SP'!AA969+'NI-Soc_SP'!AA969+'NI-Ric_SP'!AA969</f>
        <v>0</v>
      </c>
      <c r="AB969" s="272">
        <f>+'NI-San_SP'!AB969+'NI-Soc_SP'!AB969+'NI-Ric_SP'!AB969</f>
        <v>0</v>
      </c>
      <c r="AC969" s="272">
        <f>+'NI-San_SP'!AC969+'NI-Soc_SP'!AC969+'NI-Ric_SP'!AC969</f>
        <v>0</v>
      </c>
      <c r="AD969" s="272">
        <f>+'NI-San_SP'!AD969+'NI-Soc_SP'!AD969+'NI-Ric_SP'!AD969</f>
        <v>0</v>
      </c>
      <c r="AE969" s="272">
        <f>+'NI-San_SP'!AE969+'NI-Soc_SP'!AE969+'NI-Ric_SP'!AE969</f>
        <v>0</v>
      </c>
      <c r="AF969" s="272">
        <f>+'NI-San_SP'!AF969+'NI-Soc_SP'!AF969+'NI-Ric_SP'!AF969</f>
        <v>0</v>
      </c>
      <c r="AG969" s="272">
        <f>+'NI-San_SP'!AG969+'NI-Soc_SP'!AG969+'NI-Ric_SP'!AG969</f>
        <v>0</v>
      </c>
      <c r="AH969" s="272">
        <f>+'NI-San_SP'!AH969+'NI-Soc_SP'!AH969+'NI-Ric_SP'!AH969</f>
        <v>0</v>
      </c>
      <c r="AI969" s="272">
        <f>+'NI-San_SP'!AI969+'NI-Soc_SP'!AI969+'NI-Ric_SP'!AI969</f>
        <v>0</v>
      </c>
      <c r="AJ969" s="272">
        <f>+'NI-San_SP'!AJ969+'NI-Soc_SP'!AJ969+'NI-Ric_SP'!AJ969</f>
        <v>0</v>
      </c>
    </row>
    <row r="970" spans="1:36" s="204" customFormat="1" x14ac:dyDescent="0.25">
      <c r="B970" s="246" t="s">
        <v>2432</v>
      </c>
      <c r="C970" s="287" t="s">
        <v>2433</v>
      </c>
      <c r="D970" s="284" t="s">
        <v>4053</v>
      </c>
      <c r="E970" s="274"/>
      <c r="F970" s="437"/>
      <c r="G970" s="437"/>
      <c r="H970" s="437"/>
      <c r="I970" s="437"/>
      <c r="J970" s="437"/>
      <c r="K970" s="437"/>
      <c r="L970" s="379" t="s">
        <v>2435</v>
      </c>
      <c r="M970" s="284" t="s">
        <v>2962</v>
      </c>
      <c r="N970" s="408">
        <f t="shared" si="136"/>
        <v>0</v>
      </c>
      <c r="O970" s="408">
        <f t="shared" si="137"/>
        <v>0</v>
      </c>
      <c r="P970" s="271">
        <f t="shared" si="132"/>
        <v>0</v>
      </c>
      <c r="Q970" s="272">
        <f>+'NI-San_SP'!Q970+'NI-Soc_SP'!Q970+'NI-Ric_SP'!Q970</f>
        <v>0</v>
      </c>
      <c r="R970" s="272">
        <f>+'NI-San_SP'!R970+'NI-Soc_SP'!R970+'NI-Ric_SP'!R970</f>
        <v>0</v>
      </c>
      <c r="S970" s="272">
        <f>+'NI-San_SP'!S970+'NI-Soc_SP'!S970+'NI-Ric_SP'!S970</f>
        <v>0</v>
      </c>
      <c r="T970" s="272">
        <f>+'NI-San_SP'!T970+'NI-Soc_SP'!T970+'NI-Ric_SP'!T970</f>
        <v>0</v>
      </c>
      <c r="U970" s="272">
        <f>+'NI-San_SP'!U970+'NI-Soc_SP'!U970+'NI-Ric_SP'!U970</f>
        <v>0</v>
      </c>
      <c r="V970" s="272">
        <f>+'NI-San_SP'!V970+'NI-Soc_SP'!V970+'NI-Ric_SP'!V970</f>
        <v>0</v>
      </c>
      <c r="W970" s="272">
        <f>+'NI-San_SP'!W970+'NI-Soc_SP'!W970+'NI-Ric_SP'!W970</f>
        <v>0</v>
      </c>
      <c r="X970" s="272">
        <f>+'NI-San_SP'!X970+'NI-Soc_SP'!X970+'NI-Ric_SP'!X970</f>
        <v>0</v>
      </c>
      <c r="Y970" s="272">
        <f>+'NI-San_SP'!Y970+'NI-Soc_SP'!Y970+'NI-Ric_SP'!Y970</f>
        <v>0</v>
      </c>
      <c r="Z970" s="272">
        <f>+'NI-San_SP'!Z970+'NI-Soc_SP'!Z970+'NI-Ric_SP'!Z970</f>
        <v>0</v>
      </c>
      <c r="AA970" s="272">
        <f>+'NI-San_SP'!AA970+'NI-Soc_SP'!AA970+'NI-Ric_SP'!AA970</f>
        <v>0</v>
      </c>
      <c r="AB970" s="272">
        <f>+'NI-San_SP'!AB970+'NI-Soc_SP'!AB970+'NI-Ric_SP'!AB970</f>
        <v>0</v>
      </c>
      <c r="AC970" s="272">
        <f>+'NI-San_SP'!AC970+'NI-Soc_SP'!AC970+'NI-Ric_SP'!AC970</f>
        <v>0</v>
      </c>
      <c r="AD970" s="272">
        <f>+'NI-San_SP'!AD970+'NI-Soc_SP'!AD970+'NI-Ric_SP'!AD970</f>
        <v>0</v>
      </c>
      <c r="AE970" s="272">
        <f>+'NI-San_SP'!AE970+'NI-Soc_SP'!AE970+'NI-Ric_SP'!AE970</f>
        <v>0</v>
      </c>
      <c r="AF970" s="272">
        <f>+'NI-San_SP'!AF970+'NI-Soc_SP'!AF970+'NI-Ric_SP'!AF970</f>
        <v>0</v>
      </c>
      <c r="AG970" s="272">
        <f>+'NI-San_SP'!AG970+'NI-Soc_SP'!AG970+'NI-Ric_SP'!AG970</f>
        <v>0</v>
      </c>
      <c r="AH970" s="272">
        <f>+'NI-San_SP'!AH970+'NI-Soc_SP'!AH970+'NI-Ric_SP'!AH970</f>
        <v>0</v>
      </c>
      <c r="AI970" s="272">
        <f>+'NI-San_SP'!AI970+'NI-Soc_SP'!AI970+'NI-Ric_SP'!AI970</f>
        <v>0</v>
      </c>
      <c r="AJ970" s="272">
        <f>+'NI-San_SP'!AJ970+'NI-Soc_SP'!AJ970+'NI-Ric_SP'!AJ970</f>
        <v>0</v>
      </c>
    </row>
    <row r="971" spans="1:36" s="204" customFormat="1" ht="25.5" x14ac:dyDescent="0.25">
      <c r="A971" s="204" t="s">
        <v>3681</v>
      </c>
      <c r="B971" s="246" t="s">
        <v>2436</v>
      </c>
      <c r="C971" s="79" t="s">
        <v>2437</v>
      </c>
      <c r="D971" s="284"/>
      <c r="E971" s="274"/>
      <c r="F971" s="437"/>
      <c r="G971" s="437"/>
      <c r="H971" s="437"/>
      <c r="I971" s="437"/>
      <c r="J971" s="437"/>
      <c r="K971" s="437"/>
      <c r="L971" s="387" t="s">
        <v>4054</v>
      </c>
      <c r="M971" s="284" t="s">
        <v>2962</v>
      </c>
      <c r="N971" s="408">
        <f t="shared" si="136"/>
        <v>0</v>
      </c>
      <c r="O971" s="408">
        <f t="shared" si="137"/>
        <v>0</v>
      </c>
      <c r="P971" s="271">
        <f t="shared" si="132"/>
        <v>0</v>
      </c>
      <c r="Q971" s="272">
        <f>+'NI-San_SP'!Q971+'NI-Soc_SP'!Q971+'NI-Ric_SP'!Q971</f>
        <v>0</v>
      </c>
      <c r="R971" s="272">
        <f>+'NI-San_SP'!R971+'NI-Soc_SP'!R971+'NI-Ric_SP'!R971</f>
        <v>0</v>
      </c>
      <c r="S971" s="272">
        <f>+'NI-San_SP'!S971+'NI-Soc_SP'!S971+'NI-Ric_SP'!S971</f>
        <v>0</v>
      </c>
      <c r="T971" s="272">
        <f>+'NI-San_SP'!T971+'NI-Soc_SP'!T971+'NI-Ric_SP'!T971</f>
        <v>0</v>
      </c>
      <c r="U971" s="272">
        <f>+'NI-San_SP'!U971+'NI-Soc_SP'!U971+'NI-Ric_SP'!U971</f>
        <v>0</v>
      </c>
      <c r="V971" s="272">
        <f>+'NI-San_SP'!V971+'NI-Soc_SP'!V971+'NI-Ric_SP'!V971</f>
        <v>0</v>
      </c>
      <c r="W971" s="272">
        <f>+'NI-San_SP'!W971+'NI-Soc_SP'!W971+'NI-Ric_SP'!W971</f>
        <v>0</v>
      </c>
      <c r="X971" s="272"/>
      <c r="Y971" s="272">
        <f>+'NI-San_SP'!Y971+'NI-Soc_SP'!Y971+'NI-Ric_SP'!Y971</f>
        <v>0</v>
      </c>
      <c r="Z971" s="272">
        <f>+'NI-San_SP'!Z971+'NI-Soc_SP'!Z971+'NI-Ric_SP'!Z971</f>
        <v>0</v>
      </c>
      <c r="AA971" s="272">
        <f>+'NI-San_SP'!AA971+'NI-Soc_SP'!AA971+'NI-Ric_SP'!AA971</f>
        <v>0</v>
      </c>
      <c r="AB971" s="272">
        <f>+'NI-San_SP'!AB971+'NI-Soc_SP'!AB971+'NI-Ric_SP'!AB971</f>
        <v>0</v>
      </c>
      <c r="AC971" s="272">
        <f>+'NI-San_SP'!AC971+'NI-Soc_SP'!AC971+'NI-Ric_SP'!AC971</f>
        <v>0</v>
      </c>
      <c r="AD971" s="272">
        <f>+'NI-San_SP'!AD971+'NI-Soc_SP'!AD971+'NI-Ric_SP'!AD971</f>
        <v>0</v>
      </c>
      <c r="AE971" s="272">
        <f>+'NI-San_SP'!AE971+'NI-Soc_SP'!AE971+'NI-Ric_SP'!AE971</f>
        <v>0</v>
      </c>
      <c r="AF971" s="272">
        <f>+'NI-San_SP'!AF971+'NI-Soc_SP'!AF971+'NI-Ric_SP'!AF971</f>
        <v>0</v>
      </c>
      <c r="AG971" s="272">
        <f>+'NI-San_SP'!AG971+'NI-Soc_SP'!AG971+'NI-Ric_SP'!AG971</f>
        <v>0</v>
      </c>
      <c r="AH971" s="272">
        <f>+'NI-San_SP'!AH971+'NI-Soc_SP'!AH971+'NI-Ric_SP'!AH971</f>
        <v>0</v>
      </c>
      <c r="AI971" s="272">
        <f>+'NI-San_SP'!AI971+'NI-Soc_SP'!AI971+'NI-Ric_SP'!AI971</f>
        <v>0</v>
      </c>
      <c r="AJ971" s="272">
        <f>+'NI-San_SP'!AJ971+'NI-Soc_SP'!AJ971+'NI-Ric_SP'!AJ971</f>
        <v>0</v>
      </c>
    </row>
    <row r="972" spans="1:36" s="204" customFormat="1" ht="25.5" x14ac:dyDescent="0.25">
      <c r="A972" s="204" t="s">
        <v>3681</v>
      </c>
      <c r="B972" s="246" t="s">
        <v>2440</v>
      </c>
      <c r="C972" s="79" t="s">
        <v>2441</v>
      </c>
      <c r="D972" s="284"/>
      <c r="E972" s="274"/>
      <c r="F972" s="437"/>
      <c r="G972" s="437"/>
      <c r="H972" s="437"/>
      <c r="I972" s="437"/>
      <c r="J972" s="437"/>
      <c r="K972" s="437"/>
      <c r="L972" s="387" t="s">
        <v>2443</v>
      </c>
      <c r="M972" s="284" t="s">
        <v>2962</v>
      </c>
      <c r="N972" s="408">
        <f t="shared" si="136"/>
        <v>0</v>
      </c>
      <c r="O972" s="408">
        <f t="shared" si="137"/>
        <v>0</v>
      </c>
      <c r="P972" s="271">
        <f t="shared" si="132"/>
        <v>0</v>
      </c>
      <c r="Q972" s="272">
        <f>+'NI-San_SP'!Q972+'NI-Soc_SP'!Q972+'NI-Ric_SP'!Q972</f>
        <v>0</v>
      </c>
      <c r="R972" s="272">
        <f>+'NI-San_SP'!R972+'NI-Soc_SP'!R972+'NI-Ric_SP'!R972</f>
        <v>0</v>
      </c>
      <c r="S972" s="272">
        <f>+'NI-San_SP'!S972+'NI-Soc_SP'!S972+'NI-Ric_SP'!S972</f>
        <v>0</v>
      </c>
      <c r="T972" s="272">
        <f>+'NI-San_SP'!T972+'NI-Soc_SP'!T972+'NI-Ric_SP'!T972</f>
        <v>0</v>
      </c>
      <c r="U972" s="272">
        <f>+'NI-San_SP'!U972+'NI-Soc_SP'!U972+'NI-Ric_SP'!U972</f>
        <v>0</v>
      </c>
      <c r="V972" s="272">
        <f>+'NI-San_SP'!V972+'NI-Soc_SP'!V972+'NI-Ric_SP'!V972</f>
        <v>0</v>
      </c>
      <c r="W972" s="272">
        <f>+'NI-San_SP'!W972+'NI-Soc_SP'!W972+'NI-Ric_SP'!W972</f>
        <v>0</v>
      </c>
      <c r="X972" s="272"/>
      <c r="Y972" s="272">
        <f>+'NI-San_SP'!Y972+'NI-Soc_SP'!Y972+'NI-Ric_SP'!Y972</f>
        <v>0</v>
      </c>
      <c r="Z972" s="272">
        <f>+'NI-San_SP'!Z972+'NI-Soc_SP'!Z972+'NI-Ric_SP'!Z972</f>
        <v>0</v>
      </c>
      <c r="AA972" s="272">
        <f>+'NI-San_SP'!AA972+'NI-Soc_SP'!AA972+'NI-Ric_SP'!AA972</f>
        <v>0</v>
      </c>
      <c r="AB972" s="272">
        <f>+'NI-San_SP'!AB972+'NI-Soc_SP'!AB972+'NI-Ric_SP'!AB972</f>
        <v>0</v>
      </c>
      <c r="AC972" s="272">
        <f>+'NI-San_SP'!AC972+'NI-Soc_SP'!AC972+'NI-Ric_SP'!AC972</f>
        <v>0</v>
      </c>
      <c r="AD972" s="272">
        <f>+'NI-San_SP'!AD972+'NI-Soc_SP'!AD972+'NI-Ric_SP'!AD972</f>
        <v>0</v>
      </c>
      <c r="AE972" s="272">
        <f>+'NI-San_SP'!AE972+'NI-Soc_SP'!AE972+'NI-Ric_SP'!AE972</f>
        <v>0</v>
      </c>
      <c r="AF972" s="272">
        <f>+'NI-San_SP'!AF972+'NI-Soc_SP'!AF972+'NI-Ric_SP'!AF972</f>
        <v>0</v>
      </c>
      <c r="AG972" s="272">
        <f>+'NI-San_SP'!AG972+'NI-Soc_SP'!AG972+'NI-Ric_SP'!AG972</f>
        <v>0</v>
      </c>
      <c r="AH972" s="272">
        <f>+'NI-San_SP'!AH972+'NI-Soc_SP'!AH972+'NI-Ric_SP'!AH972</f>
        <v>0</v>
      </c>
      <c r="AI972" s="272">
        <f>+'NI-San_SP'!AI972+'NI-Soc_SP'!AI972+'NI-Ric_SP'!AI972</f>
        <v>0</v>
      </c>
      <c r="AJ972" s="272">
        <f>+'NI-San_SP'!AJ972+'NI-Soc_SP'!AJ972+'NI-Ric_SP'!AJ972</f>
        <v>0</v>
      </c>
    </row>
    <row r="973" spans="1:36" s="204" customFormat="1" ht="25.5" x14ac:dyDescent="0.25">
      <c r="A973" s="204" t="s">
        <v>3681</v>
      </c>
      <c r="B973" s="246" t="s">
        <v>2444</v>
      </c>
      <c r="C973" s="79" t="s">
        <v>2445</v>
      </c>
      <c r="D973" s="284"/>
      <c r="E973" s="274"/>
      <c r="F973" s="437"/>
      <c r="G973" s="437"/>
      <c r="H973" s="437"/>
      <c r="I973" s="437"/>
      <c r="J973" s="437"/>
      <c r="K973" s="437"/>
      <c r="L973" s="387" t="s">
        <v>2446</v>
      </c>
      <c r="M973" s="284" t="s">
        <v>2962</v>
      </c>
      <c r="N973" s="408">
        <f t="shared" si="136"/>
        <v>0</v>
      </c>
      <c r="O973" s="408">
        <f t="shared" si="137"/>
        <v>0</v>
      </c>
      <c r="P973" s="271">
        <f t="shared" si="132"/>
        <v>0</v>
      </c>
      <c r="Q973" s="272">
        <f>+'NI-San_SP'!Q973+'NI-Soc_SP'!Q973+'NI-Ric_SP'!Q973</f>
        <v>0</v>
      </c>
      <c r="R973" s="272">
        <f>+'NI-San_SP'!R973+'NI-Soc_SP'!R973+'NI-Ric_SP'!R973</f>
        <v>0</v>
      </c>
      <c r="S973" s="272">
        <f>+'NI-San_SP'!S973+'NI-Soc_SP'!S973+'NI-Ric_SP'!S973</f>
        <v>0</v>
      </c>
      <c r="T973" s="272">
        <f>+'NI-San_SP'!T973+'NI-Soc_SP'!T973+'NI-Ric_SP'!T973</f>
        <v>0</v>
      </c>
      <c r="U973" s="272">
        <f>+'NI-San_SP'!U973+'NI-Soc_SP'!U973+'NI-Ric_SP'!U973</f>
        <v>0</v>
      </c>
      <c r="V973" s="272">
        <f>+'NI-San_SP'!V973+'NI-Soc_SP'!V973+'NI-Ric_SP'!V973</f>
        <v>0</v>
      </c>
      <c r="W973" s="272">
        <f>+'NI-San_SP'!W973+'NI-Soc_SP'!W973+'NI-Ric_SP'!W973</f>
        <v>0</v>
      </c>
      <c r="X973" s="272"/>
      <c r="Y973" s="272">
        <f>+'NI-San_SP'!Y973+'NI-Soc_SP'!Y973+'NI-Ric_SP'!Y973</f>
        <v>0</v>
      </c>
      <c r="Z973" s="272">
        <f>+'NI-San_SP'!Z973+'NI-Soc_SP'!Z973+'NI-Ric_SP'!Z973</f>
        <v>0</v>
      </c>
      <c r="AA973" s="272">
        <f>+'NI-San_SP'!AA973+'NI-Soc_SP'!AA973+'NI-Ric_SP'!AA973</f>
        <v>0</v>
      </c>
      <c r="AB973" s="272">
        <f>+'NI-San_SP'!AB973+'NI-Soc_SP'!AB973+'NI-Ric_SP'!AB973</f>
        <v>0</v>
      </c>
      <c r="AC973" s="272">
        <f>+'NI-San_SP'!AC973+'NI-Soc_SP'!AC973+'NI-Ric_SP'!AC973</f>
        <v>0</v>
      </c>
      <c r="AD973" s="272">
        <f>+'NI-San_SP'!AD973+'NI-Soc_SP'!AD973+'NI-Ric_SP'!AD973</f>
        <v>0</v>
      </c>
      <c r="AE973" s="272">
        <f>+'NI-San_SP'!AE973+'NI-Soc_SP'!AE973+'NI-Ric_SP'!AE973</f>
        <v>0</v>
      </c>
      <c r="AF973" s="272">
        <f>+'NI-San_SP'!AF973+'NI-Soc_SP'!AF973+'NI-Ric_SP'!AF973</f>
        <v>0</v>
      </c>
      <c r="AG973" s="272">
        <f>+'NI-San_SP'!AG973+'NI-Soc_SP'!AG973+'NI-Ric_SP'!AG973</f>
        <v>0</v>
      </c>
      <c r="AH973" s="272">
        <f>+'NI-San_SP'!AH973+'NI-Soc_SP'!AH973+'NI-Ric_SP'!AH973</f>
        <v>0</v>
      </c>
      <c r="AI973" s="272">
        <f>+'NI-San_SP'!AI973+'NI-Soc_SP'!AI973+'NI-Ric_SP'!AI973</f>
        <v>0</v>
      </c>
      <c r="AJ973" s="272">
        <f>+'NI-San_SP'!AJ973+'NI-Soc_SP'!AJ973+'NI-Ric_SP'!AJ973</f>
        <v>0</v>
      </c>
    </row>
    <row r="974" spans="1:36" s="204" customFormat="1" ht="25.5" x14ac:dyDescent="0.25">
      <c r="A974" s="204" t="s">
        <v>3681</v>
      </c>
      <c r="B974" s="246" t="s">
        <v>2447</v>
      </c>
      <c r="C974" s="79" t="s">
        <v>2448</v>
      </c>
      <c r="D974" s="284"/>
      <c r="E974" s="274"/>
      <c r="F974" s="437"/>
      <c r="G974" s="437"/>
      <c r="H974" s="437"/>
      <c r="I974" s="437"/>
      <c r="J974" s="437"/>
      <c r="K974" s="437"/>
      <c r="L974" s="387" t="s">
        <v>2449</v>
      </c>
      <c r="M974" s="284" t="s">
        <v>2962</v>
      </c>
      <c r="N974" s="408">
        <f t="shared" si="136"/>
        <v>0</v>
      </c>
      <c r="O974" s="408">
        <f t="shared" si="137"/>
        <v>0</v>
      </c>
      <c r="P974" s="271">
        <f t="shared" si="132"/>
        <v>0</v>
      </c>
      <c r="Q974" s="272">
        <f>+'NI-San_SP'!Q974+'NI-Soc_SP'!Q974+'NI-Ric_SP'!Q974</f>
        <v>0</v>
      </c>
      <c r="R974" s="272">
        <f>+'NI-San_SP'!R974+'NI-Soc_SP'!R974+'NI-Ric_SP'!R974</f>
        <v>0</v>
      </c>
      <c r="S974" s="272">
        <f>+'NI-San_SP'!S974+'NI-Soc_SP'!S974+'NI-Ric_SP'!S974</f>
        <v>0</v>
      </c>
      <c r="T974" s="272">
        <f>+'NI-San_SP'!T974+'NI-Soc_SP'!T974+'NI-Ric_SP'!T974</f>
        <v>0</v>
      </c>
      <c r="U974" s="272">
        <f>+'NI-San_SP'!U974+'NI-Soc_SP'!U974+'NI-Ric_SP'!U974</f>
        <v>0</v>
      </c>
      <c r="V974" s="272">
        <f>+'NI-San_SP'!V974+'NI-Soc_SP'!V974+'NI-Ric_SP'!V974</f>
        <v>0</v>
      </c>
      <c r="W974" s="272">
        <f>+'NI-San_SP'!W974+'NI-Soc_SP'!W974+'NI-Ric_SP'!W974</f>
        <v>0</v>
      </c>
      <c r="X974" s="272"/>
      <c r="Y974" s="272">
        <f>+'NI-San_SP'!Y974+'NI-Soc_SP'!Y974+'NI-Ric_SP'!Y974</f>
        <v>0</v>
      </c>
      <c r="Z974" s="272">
        <f>+'NI-San_SP'!Z974+'NI-Soc_SP'!Z974+'NI-Ric_SP'!Z974</f>
        <v>0</v>
      </c>
      <c r="AA974" s="272">
        <f>+'NI-San_SP'!AA974+'NI-Soc_SP'!AA974+'NI-Ric_SP'!AA974</f>
        <v>0</v>
      </c>
      <c r="AB974" s="272">
        <f>+'NI-San_SP'!AB974+'NI-Soc_SP'!AB974+'NI-Ric_SP'!AB974</f>
        <v>0</v>
      </c>
      <c r="AC974" s="272">
        <f>+'NI-San_SP'!AC974+'NI-Soc_SP'!AC974+'NI-Ric_SP'!AC974</f>
        <v>0</v>
      </c>
      <c r="AD974" s="272">
        <f>+'NI-San_SP'!AD974+'NI-Soc_SP'!AD974+'NI-Ric_SP'!AD974</f>
        <v>0</v>
      </c>
      <c r="AE974" s="272">
        <f>+'NI-San_SP'!AE974+'NI-Soc_SP'!AE974+'NI-Ric_SP'!AE974</f>
        <v>0</v>
      </c>
      <c r="AF974" s="272">
        <f>+'NI-San_SP'!AF974+'NI-Soc_SP'!AF974+'NI-Ric_SP'!AF974</f>
        <v>0</v>
      </c>
      <c r="AG974" s="272">
        <f>+'NI-San_SP'!AG974+'NI-Soc_SP'!AG974+'NI-Ric_SP'!AG974</f>
        <v>0</v>
      </c>
      <c r="AH974" s="272">
        <f>+'NI-San_SP'!AH974+'NI-Soc_SP'!AH974+'NI-Ric_SP'!AH974</f>
        <v>0</v>
      </c>
      <c r="AI974" s="272">
        <f>+'NI-San_SP'!AI974+'NI-Soc_SP'!AI974+'NI-Ric_SP'!AI974</f>
        <v>0</v>
      </c>
      <c r="AJ974" s="272">
        <f>+'NI-San_SP'!AJ974+'NI-Soc_SP'!AJ974+'NI-Ric_SP'!AJ974</f>
        <v>0</v>
      </c>
    </row>
    <row r="975" spans="1:36" s="204" customFormat="1" ht="25.5" x14ac:dyDescent="0.25">
      <c r="A975" s="204" t="s">
        <v>3681</v>
      </c>
      <c r="B975" s="246" t="s">
        <v>2450</v>
      </c>
      <c r="C975" s="79" t="s">
        <v>2451</v>
      </c>
      <c r="D975" s="284"/>
      <c r="E975" s="274"/>
      <c r="F975" s="437"/>
      <c r="G975" s="437"/>
      <c r="H975" s="437"/>
      <c r="I975" s="437"/>
      <c r="J975" s="437"/>
      <c r="K975" s="437"/>
      <c r="L975" s="387" t="s">
        <v>2453</v>
      </c>
      <c r="M975" s="284" t="s">
        <v>2962</v>
      </c>
      <c r="N975" s="408">
        <f t="shared" si="136"/>
        <v>0</v>
      </c>
      <c r="O975" s="408">
        <f t="shared" si="137"/>
        <v>0</v>
      </c>
      <c r="P975" s="271">
        <f t="shared" si="132"/>
        <v>0</v>
      </c>
      <c r="Q975" s="272">
        <f>+'NI-San_SP'!Q975+'NI-Soc_SP'!Q975+'NI-Ric_SP'!Q975</f>
        <v>0</v>
      </c>
      <c r="R975" s="272">
        <f>+'NI-San_SP'!R975+'NI-Soc_SP'!R975+'NI-Ric_SP'!R975</f>
        <v>0</v>
      </c>
      <c r="S975" s="272">
        <f>+'NI-San_SP'!S975+'NI-Soc_SP'!S975+'NI-Ric_SP'!S975</f>
        <v>0</v>
      </c>
      <c r="T975" s="272">
        <f>+'NI-San_SP'!T975+'NI-Soc_SP'!T975+'NI-Ric_SP'!T975</f>
        <v>0</v>
      </c>
      <c r="U975" s="272">
        <f>+'NI-San_SP'!U975+'NI-Soc_SP'!U975+'NI-Ric_SP'!U975</f>
        <v>0</v>
      </c>
      <c r="V975" s="272">
        <f>+'NI-San_SP'!V975+'NI-Soc_SP'!V975+'NI-Ric_SP'!V975</f>
        <v>0</v>
      </c>
      <c r="W975" s="272">
        <f>+'NI-San_SP'!W975+'NI-Soc_SP'!W975+'NI-Ric_SP'!W975</f>
        <v>0</v>
      </c>
      <c r="X975" s="272"/>
      <c r="Y975" s="272">
        <f>+'NI-San_SP'!Y975+'NI-Soc_SP'!Y975+'NI-Ric_SP'!Y975</f>
        <v>0</v>
      </c>
      <c r="Z975" s="272">
        <f>+'NI-San_SP'!Z975+'NI-Soc_SP'!Z975+'NI-Ric_SP'!Z975</f>
        <v>0</v>
      </c>
      <c r="AA975" s="272">
        <f>+'NI-San_SP'!AA975+'NI-Soc_SP'!AA975+'NI-Ric_SP'!AA975</f>
        <v>0</v>
      </c>
      <c r="AB975" s="272">
        <f>+'NI-San_SP'!AB975+'NI-Soc_SP'!AB975+'NI-Ric_SP'!AB975</f>
        <v>0</v>
      </c>
      <c r="AC975" s="272">
        <f>+'NI-San_SP'!AC975+'NI-Soc_SP'!AC975+'NI-Ric_SP'!AC975</f>
        <v>0</v>
      </c>
      <c r="AD975" s="272">
        <f>+'NI-San_SP'!AD975+'NI-Soc_SP'!AD975+'NI-Ric_SP'!AD975</f>
        <v>0</v>
      </c>
      <c r="AE975" s="272">
        <f>+'NI-San_SP'!AE975+'NI-Soc_SP'!AE975+'NI-Ric_SP'!AE975</f>
        <v>0</v>
      </c>
      <c r="AF975" s="272">
        <f>+'NI-San_SP'!AF975+'NI-Soc_SP'!AF975+'NI-Ric_SP'!AF975</f>
        <v>0</v>
      </c>
      <c r="AG975" s="272">
        <f>+'NI-San_SP'!AG975+'NI-Soc_SP'!AG975+'NI-Ric_SP'!AG975</f>
        <v>0</v>
      </c>
      <c r="AH975" s="272">
        <f>+'NI-San_SP'!AH975+'NI-Soc_SP'!AH975+'NI-Ric_SP'!AH975</f>
        <v>0</v>
      </c>
      <c r="AI975" s="272">
        <f>+'NI-San_SP'!AI975+'NI-Soc_SP'!AI975+'NI-Ric_SP'!AI975</f>
        <v>0</v>
      </c>
      <c r="AJ975" s="272">
        <f>+'NI-San_SP'!AJ975+'NI-Soc_SP'!AJ975+'NI-Ric_SP'!AJ975</f>
        <v>0</v>
      </c>
    </row>
    <row r="976" spans="1:36" s="204" customFormat="1" x14ac:dyDescent="0.25">
      <c r="B976" s="246" t="s">
        <v>2454</v>
      </c>
      <c r="C976" s="287" t="s">
        <v>2455</v>
      </c>
      <c r="D976" s="284" t="s">
        <v>4055</v>
      </c>
      <c r="E976" s="274"/>
      <c r="F976" s="437"/>
      <c r="G976" s="437"/>
      <c r="H976" s="437"/>
      <c r="I976" s="437"/>
      <c r="J976" s="437"/>
      <c r="K976" s="437"/>
      <c r="L976" s="295" t="s">
        <v>2458</v>
      </c>
      <c r="M976" s="284" t="s">
        <v>2962</v>
      </c>
      <c r="N976" s="378">
        <f>SUM(N977:N978)</f>
        <v>38239</v>
      </c>
      <c r="O976" s="378">
        <f>SUM(O977:O978)</f>
        <v>7503</v>
      </c>
      <c r="P976" s="378">
        <f t="shared" si="132"/>
        <v>-30736</v>
      </c>
      <c r="Q976" s="272">
        <f>+'NI-San_SP'!Q976+'NI-Soc_SP'!Q976+'NI-Ric_SP'!Q976</f>
        <v>0</v>
      </c>
      <c r="R976" s="272">
        <f>+'NI-San_SP'!R976+'NI-Soc_SP'!R976+'NI-Ric_SP'!R976</f>
        <v>38239</v>
      </c>
      <c r="S976" s="272">
        <f>+'NI-San_SP'!S976+'NI-Soc_SP'!S976+'NI-Ric_SP'!S976</f>
        <v>0</v>
      </c>
      <c r="T976" s="272">
        <f>+'NI-San_SP'!T976+'NI-Soc_SP'!T976+'NI-Ric_SP'!T976</f>
        <v>0</v>
      </c>
      <c r="U976" s="272">
        <f>+'NI-San_SP'!U976+'NI-Soc_SP'!U976+'NI-Ric_SP'!U976</f>
        <v>0</v>
      </c>
      <c r="V976" s="272">
        <f>+'NI-San_SP'!V976+'NI-Soc_SP'!V976+'NI-Ric_SP'!V976</f>
        <v>22839</v>
      </c>
      <c r="W976" s="272">
        <f>+'NI-San_SP'!W976+'NI-Soc_SP'!W976+'NI-Ric_SP'!W976</f>
        <v>0</v>
      </c>
      <c r="X976" s="272">
        <f>+'NI-San_SP'!X976+'NI-Soc_SP'!X976+'NI-Ric_SP'!X976</f>
        <v>30735</v>
      </c>
      <c r="Y976" s="272">
        <f>+'NI-San_SP'!Y976+'NI-Soc_SP'!Y976+'NI-Ric_SP'!Y976</f>
        <v>22840</v>
      </c>
      <c r="Z976" s="272">
        <f>+'NI-San_SP'!Z976+'NI-Soc_SP'!Z976+'NI-Ric_SP'!Z976</f>
        <v>7503</v>
      </c>
      <c r="AA976" s="272">
        <f>+'NI-San_SP'!AA976+'NI-Soc_SP'!AA976+'NI-Ric_SP'!AA976</f>
        <v>2769</v>
      </c>
      <c r="AB976" s="272">
        <f>+'NI-San_SP'!AB976+'NI-Soc_SP'!AB976+'NI-Ric_SP'!AB976</f>
        <v>0</v>
      </c>
      <c r="AC976" s="272">
        <f>+'NI-San_SP'!AC976+'NI-Soc_SP'!AC976+'NI-Ric_SP'!AC976</f>
        <v>291</v>
      </c>
      <c r="AD976" s="272">
        <f>+'NI-San_SP'!AD976+'NI-Soc_SP'!AD976+'NI-Ric_SP'!AD976</f>
        <v>0</v>
      </c>
      <c r="AE976" s="272">
        <f>+'NI-San_SP'!AE976+'NI-Soc_SP'!AE976+'NI-Ric_SP'!AE976</f>
        <v>59</v>
      </c>
      <c r="AF976" s="272">
        <f>+'NI-San_SP'!AF976+'NI-Soc_SP'!AF976+'NI-Ric_SP'!AF976</f>
        <v>0</v>
      </c>
      <c r="AG976" s="272">
        <f>+'NI-San_SP'!AG976+'NI-Soc_SP'!AG976+'NI-Ric_SP'!AG976</f>
        <v>7153</v>
      </c>
      <c r="AH976" s="272">
        <f>+'NI-San_SP'!AH976+'NI-Soc_SP'!AH976+'NI-Ric_SP'!AH976</f>
        <v>7503</v>
      </c>
      <c r="AI976" s="272">
        <f>+'NI-San_SP'!AI976+'NI-Soc_SP'!AI976+'NI-Ric_SP'!AI976</f>
        <v>0</v>
      </c>
      <c r="AJ976" s="272">
        <f>+'NI-San_SP'!AJ976+'NI-Soc_SP'!AJ976+'NI-Ric_SP'!AJ976</f>
        <v>0</v>
      </c>
    </row>
    <row r="977" spans="1:36" s="204" customFormat="1" ht="25.5" x14ac:dyDescent="0.25">
      <c r="B977" s="246" t="s">
        <v>2459</v>
      </c>
      <c r="C977" s="287" t="s">
        <v>2460</v>
      </c>
      <c r="D977" s="284" t="s">
        <v>4056</v>
      </c>
      <c r="E977" s="274"/>
      <c r="F977" s="437"/>
      <c r="G977" s="437"/>
      <c r="H977" s="437"/>
      <c r="I977" s="437"/>
      <c r="J977" s="437"/>
      <c r="K977" s="437"/>
      <c r="L977" s="379" t="s">
        <v>2461</v>
      </c>
      <c r="M977" s="284" t="s">
        <v>2962</v>
      </c>
      <c r="N977" s="408">
        <f>+R977</f>
        <v>38239</v>
      </c>
      <c r="O977" s="408">
        <f>+Z977</f>
        <v>7503</v>
      </c>
      <c r="P977" s="271">
        <f t="shared" si="132"/>
        <v>-30736</v>
      </c>
      <c r="Q977" s="272">
        <f>+'NI-San_SP'!Q977+'NI-Soc_SP'!Q977+'NI-Ric_SP'!Q977</f>
        <v>0</v>
      </c>
      <c r="R977" s="272">
        <f>+'NI-San_SP'!R977+'NI-Soc_SP'!R977+'NI-Ric_SP'!R977</f>
        <v>38239</v>
      </c>
      <c r="S977" s="272">
        <f>+'NI-San_SP'!S977+'NI-Soc_SP'!S977+'NI-Ric_SP'!S977</f>
        <v>0</v>
      </c>
      <c r="T977" s="272">
        <f>+'NI-San_SP'!T977+'NI-Soc_SP'!T977+'NI-Ric_SP'!T977</f>
        <v>0</v>
      </c>
      <c r="U977" s="272">
        <f>+'NI-San_SP'!U977+'NI-Soc_SP'!U977+'NI-Ric_SP'!U977</f>
        <v>0</v>
      </c>
      <c r="V977" s="272">
        <f>+'NI-San_SP'!V977+'NI-Soc_SP'!V977+'NI-Ric_SP'!V977</f>
        <v>22839</v>
      </c>
      <c r="W977" s="272">
        <f>+'NI-San_SP'!W977+'NI-Soc_SP'!W977+'NI-Ric_SP'!W977</f>
        <v>0</v>
      </c>
      <c r="X977" s="272">
        <f>+'NI-San_SP'!X977+'NI-Soc_SP'!X977+'NI-Ric_SP'!X977</f>
        <v>30735</v>
      </c>
      <c r="Y977" s="272">
        <f>+'NI-San_SP'!Y977+'NI-Soc_SP'!Y977+'NI-Ric_SP'!Y977</f>
        <v>22840</v>
      </c>
      <c r="Z977" s="272">
        <f>+'NI-San_SP'!Z977+'NI-Soc_SP'!Z977+'NI-Ric_SP'!Z977</f>
        <v>7503</v>
      </c>
      <c r="AA977" s="272">
        <f>+'NI-San_SP'!AA977+'NI-Soc_SP'!AA977+'NI-Ric_SP'!AA977</f>
        <v>2769</v>
      </c>
      <c r="AB977" s="272">
        <f>+'NI-San_SP'!AB977+'NI-Soc_SP'!AB977+'NI-Ric_SP'!AB977</f>
        <v>0</v>
      </c>
      <c r="AC977" s="272">
        <f>+'NI-San_SP'!AC977+'NI-Soc_SP'!AC977+'NI-Ric_SP'!AC977</f>
        <v>291</v>
      </c>
      <c r="AD977" s="272">
        <f>+'NI-San_SP'!AD977+'NI-Soc_SP'!AD977+'NI-Ric_SP'!AD977</f>
        <v>0</v>
      </c>
      <c r="AE977" s="272">
        <f>+'NI-San_SP'!AE977+'NI-Soc_SP'!AE977+'NI-Ric_SP'!AE977</f>
        <v>59</v>
      </c>
      <c r="AF977" s="272">
        <f>+'NI-San_SP'!AF977+'NI-Soc_SP'!AF977+'NI-Ric_SP'!AF977</f>
        <v>0</v>
      </c>
      <c r="AG977" s="272">
        <f>+'NI-San_SP'!AG977+'NI-Soc_SP'!AG977+'NI-Ric_SP'!AG977</f>
        <v>7153</v>
      </c>
      <c r="AH977" s="272">
        <f>+'NI-San_SP'!AH977+'NI-Soc_SP'!AH977+'NI-Ric_SP'!AH977</f>
        <v>7503</v>
      </c>
      <c r="AI977" s="272">
        <f>+'NI-San_SP'!AI977+'NI-Soc_SP'!AI977+'NI-Ric_SP'!AI977</f>
        <v>0</v>
      </c>
      <c r="AJ977" s="272">
        <f>+'NI-San_SP'!AJ977+'NI-Soc_SP'!AJ977+'NI-Ric_SP'!AJ977</f>
        <v>0</v>
      </c>
    </row>
    <row r="978" spans="1:36" s="204" customFormat="1" x14ac:dyDescent="0.25">
      <c r="B978" s="246" t="s">
        <v>2462</v>
      </c>
      <c r="C978" s="287" t="s">
        <v>2463</v>
      </c>
      <c r="D978" s="284" t="s">
        <v>4057</v>
      </c>
      <c r="E978" s="274"/>
      <c r="F978" s="437"/>
      <c r="G978" s="437"/>
      <c r="H978" s="437"/>
      <c r="I978" s="437"/>
      <c r="J978" s="437"/>
      <c r="K978" s="437"/>
      <c r="L978" s="379" t="s">
        <v>2464</v>
      </c>
      <c r="M978" s="284" t="s">
        <v>2962</v>
      </c>
      <c r="N978" s="408">
        <f>+R978</f>
        <v>0</v>
      </c>
      <c r="O978" s="408">
        <f>+Z978</f>
        <v>0</v>
      </c>
      <c r="P978" s="271">
        <f t="shared" si="132"/>
        <v>0</v>
      </c>
      <c r="Q978" s="272">
        <f>+'NI-San_SP'!Q978+'NI-Soc_SP'!Q978+'NI-Ric_SP'!Q978</f>
        <v>0</v>
      </c>
      <c r="R978" s="272">
        <f>+'NI-San_SP'!R978+'NI-Soc_SP'!R978+'NI-Ric_SP'!R978</f>
        <v>0</v>
      </c>
      <c r="S978" s="272">
        <f>+'NI-San_SP'!S978+'NI-Soc_SP'!S978+'NI-Ric_SP'!S978</f>
        <v>0</v>
      </c>
      <c r="T978" s="272">
        <f>+'NI-San_SP'!T978+'NI-Soc_SP'!T978+'NI-Ric_SP'!T978</f>
        <v>0</v>
      </c>
      <c r="U978" s="272">
        <f>+'NI-San_SP'!U978+'NI-Soc_SP'!U978+'NI-Ric_SP'!U978</f>
        <v>0</v>
      </c>
      <c r="V978" s="272">
        <f>+'NI-San_SP'!V978+'NI-Soc_SP'!V978+'NI-Ric_SP'!V978</f>
        <v>0</v>
      </c>
      <c r="W978" s="272">
        <f>+'NI-San_SP'!W978+'NI-Soc_SP'!W978+'NI-Ric_SP'!W978</f>
        <v>0</v>
      </c>
      <c r="X978" s="272">
        <f>+'NI-San_SP'!X978+'NI-Soc_SP'!X978+'NI-Ric_SP'!X978</f>
        <v>0</v>
      </c>
      <c r="Y978" s="272">
        <f>+'NI-San_SP'!Y978+'NI-Soc_SP'!Y978+'NI-Ric_SP'!Y978</f>
        <v>0</v>
      </c>
      <c r="Z978" s="272">
        <f>+'NI-San_SP'!Z978+'NI-Soc_SP'!Z978+'NI-Ric_SP'!Z978</f>
        <v>0</v>
      </c>
      <c r="AA978" s="272">
        <f>+'NI-San_SP'!AA978+'NI-Soc_SP'!AA978+'NI-Ric_SP'!AA978</f>
        <v>0</v>
      </c>
      <c r="AB978" s="272">
        <f>+'NI-San_SP'!AB978+'NI-Soc_SP'!AB978+'NI-Ric_SP'!AB978</f>
        <v>0</v>
      </c>
      <c r="AC978" s="272">
        <f>+'NI-San_SP'!AC978+'NI-Soc_SP'!AC978+'NI-Ric_SP'!AC978</f>
        <v>0</v>
      </c>
      <c r="AD978" s="272">
        <f>+'NI-San_SP'!AD978+'NI-Soc_SP'!AD978+'NI-Ric_SP'!AD978</f>
        <v>0</v>
      </c>
      <c r="AE978" s="272">
        <f>+'NI-San_SP'!AE978+'NI-Soc_SP'!AE978+'NI-Ric_SP'!AE978</f>
        <v>0</v>
      </c>
      <c r="AF978" s="272">
        <f>+'NI-San_SP'!AF978+'NI-Soc_SP'!AF978+'NI-Ric_SP'!AF978</f>
        <v>0</v>
      </c>
      <c r="AG978" s="272">
        <f>+'NI-San_SP'!AG978+'NI-Soc_SP'!AG978+'NI-Ric_SP'!AG978</f>
        <v>0</v>
      </c>
      <c r="AH978" s="272">
        <f>+'NI-San_SP'!AH978+'NI-Soc_SP'!AH978+'NI-Ric_SP'!AH978</f>
        <v>0</v>
      </c>
      <c r="AI978" s="272">
        <f>+'NI-San_SP'!AI978+'NI-Soc_SP'!AI978+'NI-Ric_SP'!AI978</f>
        <v>0</v>
      </c>
      <c r="AJ978" s="272">
        <f>+'NI-San_SP'!AJ978+'NI-Soc_SP'!AJ978+'NI-Ric_SP'!AJ978</f>
        <v>0</v>
      </c>
    </row>
    <row r="979" spans="1:36" s="204" customFormat="1" ht="25.5" x14ac:dyDescent="0.25">
      <c r="B979" s="246" t="s">
        <v>2465</v>
      </c>
      <c r="C979" s="287" t="s">
        <v>2466</v>
      </c>
      <c r="D979" s="284" t="s">
        <v>4058</v>
      </c>
      <c r="E979" s="274"/>
      <c r="F979" s="437"/>
      <c r="G979" s="437"/>
      <c r="H979" s="437"/>
      <c r="I979" s="437"/>
      <c r="J979" s="437"/>
      <c r="K979" s="437"/>
      <c r="L979" s="295" t="s">
        <v>2469</v>
      </c>
      <c r="M979" s="284" t="s">
        <v>2962</v>
      </c>
      <c r="N979" s="378">
        <f>SUM(N980:N985)</f>
        <v>0</v>
      </c>
      <c r="O979" s="378">
        <f>SUM(O980:O985)</f>
        <v>0</v>
      </c>
      <c r="P979" s="378">
        <f t="shared" si="132"/>
        <v>0</v>
      </c>
      <c r="Q979" s="378">
        <f>SUM(Q980:Q985)</f>
        <v>0</v>
      </c>
      <c r="R979" s="378">
        <f>SUM(R980:R985)</f>
        <v>0</v>
      </c>
      <c r="S979" s="378">
        <f>SUM(S980:S985)</f>
        <v>0</v>
      </c>
      <c r="T979" s="378">
        <f>SUM(T980:T985)</f>
        <v>0</v>
      </c>
      <c r="U979" s="272">
        <f>+'NI-San_SP'!U979+'NI-Soc_SP'!U979+'NI-Ric_SP'!U979</f>
        <v>0</v>
      </c>
      <c r="V979" s="378">
        <f t="shared" ref="V979:AJ979" si="138">SUM(V980:V985)</f>
        <v>0</v>
      </c>
      <c r="W979" s="378">
        <f t="shared" si="138"/>
        <v>0</v>
      </c>
      <c r="X979" s="378">
        <f t="shared" si="138"/>
        <v>0</v>
      </c>
      <c r="Y979" s="378">
        <f t="shared" si="138"/>
        <v>0</v>
      </c>
      <c r="Z979" s="378">
        <f t="shared" si="138"/>
        <v>0</v>
      </c>
      <c r="AA979" s="378">
        <f t="shared" si="138"/>
        <v>0</v>
      </c>
      <c r="AB979" s="378">
        <f t="shared" si="138"/>
        <v>0</v>
      </c>
      <c r="AC979" s="378">
        <f t="shared" si="138"/>
        <v>0</v>
      </c>
      <c r="AD979" s="378">
        <f t="shared" si="138"/>
        <v>0</v>
      </c>
      <c r="AE979" s="378">
        <f t="shared" si="138"/>
        <v>0</v>
      </c>
      <c r="AF979" s="378">
        <f t="shared" si="138"/>
        <v>0</v>
      </c>
      <c r="AG979" s="378">
        <f t="shared" si="138"/>
        <v>0</v>
      </c>
      <c r="AH979" s="378">
        <f t="shared" si="138"/>
        <v>0</v>
      </c>
      <c r="AI979" s="378">
        <f t="shared" si="138"/>
        <v>0</v>
      </c>
      <c r="AJ979" s="378">
        <f t="shared" si="138"/>
        <v>0</v>
      </c>
    </row>
    <row r="980" spans="1:36" s="204" customFormat="1" ht="25.5" x14ac:dyDescent="0.25">
      <c r="A980" s="204" t="s">
        <v>3681</v>
      </c>
      <c r="B980" s="246" t="s">
        <v>2470</v>
      </c>
      <c r="C980" s="79" t="s">
        <v>2471</v>
      </c>
      <c r="D980" s="216"/>
      <c r="E980" s="226"/>
      <c r="F980" s="382"/>
      <c r="G980" s="382"/>
      <c r="H980" s="382"/>
      <c r="I980" s="382"/>
      <c r="J980" s="382"/>
      <c r="K980" s="382"/>
      <c r="L980" s="387" t="s">
        <v>2473</v>
      </c>
      <c r="M980" s="284" t="s">
        <v>2962</v>
      </c>
      <c r="N980" s="408">
        <f>+R980</f>
        <v>0</v>
      </c>
      <c r="O980" s="408">
        <f>+Z980</f>
        <v>0</v>
      </c>
      <c r="P980" s="271">
        <f t="shared" si="132"/>
        <v>0</v>
      </c>
      <c r="Q980" s="272">
        <f>+'NI-San_SP'!Q980+'NI-Soc_SP'!Q980+'NI-Ric_SP'!Q980</f>
        <v>0</v>
      </c>
      <c r="R980" s="272">
        <f>+'NI-San_SP'!R980+'NI-Soc_SP'!R980+'NI-Ric_SP'!R980</f>
        <v>0</v>
      </c>
      <c r="S980" s="272">
        <f>+'NI-San_SP'!S980+'NI-Soc_SP'!S980+'NI-Ric_SP'!S980</f>
        <v>0</v>
      </c>
      <c r="T980" s="272">
        <f>+'NI-San_SP'!T980+'NI-Soc_SP'!T980+'NI-Ric_SP'!T980</f>
        <v>0</v>
      </c>
      <c r="U980" s="272">
        <f>+'NI-San_SP'!U980+'NI-Soc_SP'!U980+'NI-Ric_SP'!U980</f>
        <v>0</v>
      </c>
      <c r="V980" s="272">
        <f>+'NI-San_SP'!V980+'NI-Soc_SP'!V980+'NI-Ric_SP'!V980</f>
        <v>0</v>
      </c>
      <c r="W980" s="272">
        <f>+'NI-San_SP'!W980+'NI-Soc_SP'!W980+'NI-Ric_SP'!W980</f>
        <v>0</v>
      </c>
      <c r="X980" s="272">
        <f>+'NI-San_SP'!X980+'NI-Soc_SP'!X980+'NI-Ric_SP'!X980</f>
        <v>0</v>
      </c>
      <c r="Y980" s="272">
        <f>+'NI-San_SP'!Y980+'NI-Soc_SP'!Y980+'NI-Ric_SP'!Y980</f>
        <v>0</v>
      </c>
      <c r="Z980" s="272">
        <f>+'NI-San_SP'!Z980+'NI-Soc_SP'!Z980+'NI-Ric_SP'!Z980</f>
        <v>0</v>
      </c>
      <c r="AA980" s="272">
        <f>+'NI-San_SP'!AA980+'NI-Soc_SP'!AA980+'NI-Ric_SP'!AA980</f>
        <v>0</v>
      </c>
      <c r="AB980" s="272">
        <f>+'NI-San_SP'!AB980+'NI-Soc_SP'!AB980+'NI-Ric_SP'!AB980</f>
        <v>0</v>
      </c>
      <c r="AC980" s="272">
        <f>+'NI-San_SP'!AC980+'NI-Soc_SP'!AC980+'NI-Ric_SP'!AC980</f>
        <v>0</v>
      </c>
      <c r="AD980" s="272">
        <f>+'NI-San_SP'!AD980+'NI-Soc_SP'!AD980+'NI-Ric_SP'!AD980</f>
        <v>0</v>
      </c>
      <c r="AE980" s="272">
        <f>+'NI-San_SP'!AE980+'NI-Soc_SP'!AE980+'NI-Ric_SP'!AE980</f>
        <v>0</v>
      </c>
      <c r="AF980" s="272">
        <f>+'NI-San_SP'!AF980+'NI-Soc_SP'!AF980+'NI-Ric_SP'!AF980</f>
        <v>0</v>
      </c>
      <c r="AG980" s="272">
        <f>+'NI-San_SP'!AG980+'NI-Soc_SP'!AG980+'NI-Ric_SP'!AG980</f>
        <v>0</v>
      </c>
      <c r="AH980" s="272">
        <f>+'NI-San_SP'!AH980+'NI-Soc_SP'!AH980+'NI-Ric_SP'!AH980</f>
        <v>0</v>
      </c>
      <c r="AI980" s="272">
        <f>+'NI-San_SP'!AI980+'NI-Soc_SP'!AI980+'NI-Ric_SP'!AI980</f>
        <v>0</v>
      </c>
      <c r="AJ980" s="272">
        <f>+'NI-San_SP'!AJ980+'NI-Soc_SP'!AJ980+'NI-Ric_SP'!AJ980</f>
        <v>0</v>
      </c>
    </row>
    <row r="981" spans="1:36" s="204" customFormat="1" ht="25.5" x14ac:dyDescent="0.25">
      <c r="A981" s="204" t="s">
        <v>3681</v>
      </c>
      <c r="B981" s="246" t="s">
        <v>2474</v>
      </c>
      <c r="C981" s="79" t="s">
        <v>2475</v>
      </c>
      <c r="D981" s="216"/>
      <c r="E981" s="226"/>
      <c r="F981" s="382"/>
      <c r="G981" s="382"/>
      <c r="H981" s="382"/>
      <c r="I981" s="382"/>
      <c r="J981" s="382"/>
      <c r="K981" s="382"/>
      <c r="L981" s="387" t="s">
        <v>2477</v>
      </c>
      <c r="M981" s="284" t="s">
        <v>2962</v>
      </c>
      <c r="N981" s="408">
        <f>+R981</f>
        <v>0</v>
      </c>
      <c r="O981" s="408">
        <f>+Z981</f>
        <v>0</v>
      </c>
      <c r="P981" s="271">
        <f t="shared" si="132"/>
        <v>0</v>
      </c>
      <c r="Q981" s="272">
        <f>+'NI-San_SP'!Q981+'NI-Soc_SP'!Q981+'NI-Ric_SP'!Q981</f>
        <v>0</v>
      </c>
      <c r="R981" s="272">
        <f>+'NI-San_SP'!R981+'NI-Soc_SP'!R981+'NI-Ric_SP'!R981</f>
        <v>0</v>
      </c>
      <c r="S981" s="272">
        <f>+'NI-San_SP'!S981+'NI-Soc_SP'!S981+'NI-Ric_SP'!S981</f>
        <v>0</v>
      </c>
      <c r="T981" s="272">
        <f>+'NI-San_SP'!T981+'NI-Soc_SP'!T981+'NI-Ric_SP'!T981</f>
        <v>0</v>
      </c>
      <c r="U981" s="272">
        <f>+'NI-San_SP'!U981+'NI-Soc_SP'!U981+'NI-Ric_SP'!U981</f>
        <v>0</v>
      </c>
      <c r="V981" s="272">
        <f>+'NI-San_SP'!V981+'NI-Soc_SP'!V981+'NI-Ric_SP'!V981</f>
        <v>0</v>
      </c>
      <c r="W981" s="272">
        <f>+'NI-San_SP'!W981+'NI-Soc_SP'!W981+'NI-Ric_SP'!W981</f>
        <v>0</v>
      </c>
      <c r="X981" s="272">
        <f>+'NI-San_SP'!X981+'NI-Soc_SP'!X981+'NI-Ric_SP'!X981</f>
        <v>0</v>
      </c>
      <c r="Y981" s="272">
        <f>+'NI-San_SP'!Y981+'NI-Soc_SP'!Y981+'NI-Ric_SP'!Y981</f>
        <v>0</v>
      </c>
      <c r="Z981" s="272">
        <f>+'NI-San_SP'!Z981+'NI-Soc_SP'!Z981+'NI-Ric_SP'!Z981</f>
        <v>0</v>
      </c>
      <c r="AA981" s="272">
        <f>+'NI-San_SP'!AA981+'NI-Soc_SP'!AA981+'NI-Ric_SP'!AA981</f>
        <v>0</v>
      </c>
      <c r="AB981" s="272">
        <f>+'NI-San_SP'!AB981+'NI-Soc_SP'!AB981+'NI-Ric_SP'!AB981</f>
        <v>0</v>
      </c>
      <c r="AC981" s="272">
        <f>+'NI-San_SP'!AC981+'NI-Soc_SP'!AC981+'NI-Ric_SP'!AC981</f>
        <v>0</v>
      </c>
      <c r="AD981" s="272">
        <f>+'NI-San_SP'!AD981+'NI-Soc_SP'!AD981+'NI-Ric_SP'!AD981</f>
        <v>0</v>
      </c>
      <c r="AE981" s="272">
        <f>+'NI-San_SP'!AE981+'NI-Soc_SP'!AE981+'NI-Ric_SP'!AE981</f>
        <v>0</v>
      </c>
      <c r="AF981" s="272">
        <f>+'NI-San_SP'!AF981+'NI-Soc_SP'!AF981+'NI-Ric_SP'!AF981</f>
        <v>0</v>
      </c>
      <c r="AG981" s="272">
        <f>+'NI-San_SP'!AG981+'NI-Soc_SP'!AG981+'NI-Ric_SP'!AG981</f>
        <v>0</v>
      </c>
      <c r="AH981" s="272">
        <f>+'NI-San_SP'!AH981+'NI-Soc_SP'!AH981+'NI-Ric_SP'!AH981</f>
        <v>0</v>
      </c>
      <c r="AI981" s="272">
        <f>+'NI-San_SP'!AI981+'NI-Soc_SP'!AI981+'NI-Ric_SP'!AI981</f>
        <v>0</v>
      </c>
      <c r="AJ981" s="272">
        <f>+'NI-San_SP'!AJ981+'NI-Soc_SP'!AJ981+'NI-Ric_SP'!AJ981</f>
        <v>0</v>
      </c>
    </row>
    <row r="982" spans="1:36" s="204" customFormat="1" ht="25.5" x14ac:dyDescent="0.25">
      <c r="A982" s="204" t="s">
        <v>3681</v>
      </c>
      <c r="B982" s="246" t="s">
        <v>2478</v>
      </c>
      <c r="C982" s="79" t="s">
        <v>2479</v>
      </c>
      <c r="D982" s="216"/>
      <c r="E982" s="226"/>
      <c r="F982" s="382"/>
      <c r="G982" s="382"/>
      <c r="H982" s="382"/>
      <c r="I982" s="382"/>
      <c r="J982" s="382"/>
      <c r="K982" s="382"/>
      <c r="L982" s="387" t="s">
        <v>2481</v>
      </c>
      <c r="M982" s="284" t="s">
        <v>2962</v>
      </c>
      <c r="N982" s="408">
        <f>+R982</f>
        <v>0</v>
      </c>
      <c r="O982" s="408">
        <f>+Z982</f>
        <v>0</v>
      </c>
      <c r="P982" s="271">
        <f t="shared" si="132"/>
        <v>0</v>
      </c>
      <c r="Q982" s="272">
        <f>+'NI-San_SP'!Q982+'NI-Soc_SP'!Q982+'NI-Ric_SP'!Q982</f>
        <v>0</v>
      </c>
      <c r="R982" s="272">
        <f>+'NI-San_SP'!R982+'NI-Soc_SP'!R982+'NI-Ric_SP'!R982</f>
        <v>0</v>
      </c>
      <c r="S982" s="272">
        <f>+'NI-San_SP'!S982+'NI-Soc_SP'!S982+'NI-Ric_SP'!S982</f>
        <v>0</v>
      </c>
      <c r="T982" s="272">
        <f>+'NI-San_SP'!T982+'NI-Soc_SP'!T982+'NI-Ric_SP'!T982</f>
        <v>0</v>
      </c>
      <c r="U982" s="272">
        <f>+'NI-San_SP'!U982+'NI-Soc_SP'!U982+'NI-Ric_SP'!U982</f>
        <v>0</v>
      </c>
      <c r="V982" s="272">
        <f>+'NI-San_SP'!V982+'NI-Soc_SP'!V982+'NI-Ric_SP'!V982</f>
        <v>0</v>
      </c>
      <c r="W982" s="272">
        <f>+'NI-San_SP'!W982+'NI-Soc_SP'!W982+'NI-Ric_SP'!W982</f>
        <v>0</v>
      </c>
      <c r="X982" s="272">
        <f>+'NI-San_SP'!X982+'NI-Soc_SP'!X982+'NI-Ric_SP'!X982</f>
        <v>0</v>
      </c>
      <c r="Y982" s="272">
        <f>+'NI-San_SP'!Y982+'NI-Soc_SP'!Y982+'NI-Ric_SP'!Y982</f>
        <v>0</v>
      </c>
      <c r="Z982" s="272">
        <f>+'NI-San_SP'!Z982+'NI-Soc_SP'!Z982+'NI-Ric_SP'!Z982</f>
        <v>0</v>
      </c>
      <c r="AA982" s="272">
        <f>+'NI-San_SP'!AA982+'NI-Soc_SP'!AA982+'NI-Ric_SP'!AA982</f>
        <v>0</v>
      </c>
      <c r="AB982" s="272">
        <f>+'NI-San_SP'!AB982+'NI-Soc_SP'!AB982+'NI-Ric_SP'!AB982</f>
        <v>0</v>
      </c>
      <c r="AC982" s="272">
        <f>+'NI-San_SP'!AC982+'NI-Soc_SP'!AC982+'NI-Ric_SP'!AC982</f>
        <v>0</v>
      </c>
      <c r="AD982" s="272">
        <f>+'NI-San_SP'!AD982+'NI-Soc_SP'!AD982+'NI-Ric_SP'!AD982</f>
        <v>0</v>
      </c>
      <c r="AE982" s="272">
        <f>+'NI-San_SP'!AE982+'NI-Soc_SP'!AE982+'NI-Ric_SP'!AE982</f>
        <v>0</v>
      </c>
      <c r="AF982" s="272">
        <f>+'NI-San_SP'!AF982+'NI-Soc_SP'!AF982+'NI-Ric_SP'!AF982</f>
        <v>0</v>
      </c>
      <c r="AG982" s="272">
        <f>+'NI-San_SP'!AG982+'NI-Soc_SP'!AG982+'NI-Ric_SP'!AG982</f>
        <v>0</v>
      </c>
      <c r="AH982" s="272">
        <f>+'NI-San_SP'!AH982+'NI-Soc_SP'!AH982+'NI-Ric_SP'!AH982</f>
        <v>0</v>
      </c>
      <c r="AI982" s="272">
        <f>+'NI-San_SP'!AI982+'NI-Soc_SP'!AI982+'NI-Ric_SP'!AI982</f>
        <v>0</v>
      </c>
      <c r="AJ982" s="272">
        <f>+'NI-San_SP'!AJ982+'NI-Soc_SP'!AJ982+'NI-Ric_SP'!AJ982</f>
        <v>0</v>
      </c>
    </row>
    <row r="983" spans="1:36" s="204" customFormat="1" ht="38.25" x14ac:dyDescent="0.25">
      <c r="A983" s="204" t="s">
        <v>3681</v>
      </c>
      <c r="B983" s="246" t="s">
        <v>2482</v>
      </c>
      <c r="C983" s="79" t="s">
        <v>2483</v>
      </c>
      <c r="D983" s="216"/>
      <c r="E983" s="226"/>
      <c r="F983" s="382"/>
      <c r="G983" s="382"/>
      <c r="H983" s="382"/>
      <c r="I983" s="382"/>
      <c r="J983" s="382"/>
      <c r="K983" s="382"/>
      <c r="L983" s="387" t="s">
        <v>2485</v>
      </c>
      <c r="M983" s="284" t="s">
        <v>2962</v>
      </c>
      <c r="N983" s="408">
        <f>+R983</f>
        <v>0</v>
      </c>
      <c r="O983" s="408">
        <f>+Z983</f>
        <v>0</v>
      </c>
      <c r="P983" s="271">
        <f t="shared" si="132"/>
        <v>0</v>
      </c>
      <c r="Q983" s="272">
        <f>+'NI-San_SP'!Q983+'NI-Soc_SP'!Q983+'NI-Ric_SP'!Q983</f>
        <v>0</v>
      </c>
      <c r="R983" s="272">
        <f>+'NI-San_SP'!R983+'NI-Soc_SP'!R983+'NI-Ric_SP'!R983</f>
        <v>0</v>
      </c>
      <c r="S983" s="272">
        <f>+'NI-San_SP'!S983+'NI-Soc_SP'!S983+'NI-Ric_SP'!S983</f>
        <v>0</v>
      </c>
      <c r="T983" s="272">
        <f>+'NI-San_SP'!T983+'NI-Soc_SP'!T983+'NI-Ric_SP'!T983</f>
        <v>0</v>
      </c>
      <c r="U983" s="272">
        <f>+'NI-San_SP'!U983+'NI-Soc_SP'!U983+'NI-Ric_SP'!U983</f>
        <v>0</v>
      </c>
      <c r="V983" s="272">
        <f>+'NI-San_SP'!V983+'NI-Soc_SP'!V983+'NI-Ric_SP'!V983</f>
        <v>0</v>
      </c>
      <c r="W983" s="272">
        <f>+'NI-San_SP'!W983+'NI-Soc_SP'!W983+'NI-Ric_SP'!W983</f>
        <v>0</v>
      </c>
      <c r="X983" s="272">
        <f>+'NI-San_SP'!X983+'NI-Soc_SP'!X983+'NI-Ric_SP'!X983</f>
        <v>0</v>
      </c>
      <c r="Y983" s="272">
        <f>+'NI-San_SP'!Y983+'NI-Soc_SP'!Y983+'NI-Ric_SP'!Y983</f>
        <v>0</v>
      </c>
      <c r="Z983" s="272">
        <f>+'NI-San_SP'!Z983+'NI-Soc_SP'!Z983+'NI-Ric_SP'!Z983</f>
        <v>0</v>
      </c>
      <c r="AA983" s="272">
        <f>+'NI-San_SP'!AA983+'NI-Soc_SP'!AA983+'NI-Ric_SP'!AA983</f>
        <v>0</v>
      </c>
      <c r="AB983" s="272">
        <f>+'NI-San_SP'!AB983+'NI-Soc_SP'!AB983+'NI-Ric_SP'!AB983</f>
        <v>0</v>
      </c>
      <c r="AC983" s="272">
        <f>+'NI-San_SP'!AC983+'NI-Soc_SP'!AC983+'NI-Ric_SP'!AC983</f>
        <v>0</v>
      </c>
      <c r="AD983" s="272">
        <f>+'NI-San_SP'!AD983+'NI-Soc_SP'!AD983+'NI-Ric_SP'!AD983</f>
        <v>0</v>
      </c>
      <c r="AE983" s="272">
        <f>+'NI-San_SP'!AE983+'NI-Soc_SP'!AE983+'NI-Ric_SP'!AE983</f>
        <v>0</v>
      </c>
      <c r="AF983" s="272">
        <f>+'NI-San_SP'!AF983+'NI-Soc_SP'!AF983+'NI-Ric_SP'!AF983</f>
        <v>0</v>
      </c>
      <c r="AG983" s="272">
        <f>+'NI-San_SP'!AG983+'NI-Soc_SP'!AG983+'NI-Ric_SP'!AG983</f>
        <v>0</v>
      </c>
      <c r="AH983" s="272">
        <f>+'NI-San_SP'!AH983+'NI-Soc_SP'!AH983+'NI-Ric_SP'!AH983</f>
        <v>0</v>
      </c>
      <c r="AI983" s="272">
        <f>+'NI-San_SP'!AI983+'NI-Soc_SP'!AI983+'NI-Ric_SP'!AI983</f>
        <v>0</v>
      </c>
      <c r="AJ983" s="272">
        <f>+'NI-San_SP'!AJ983+'NI-Soc_SP'!AJ983+'NI-Ric_SP'!AJ983</f>
        <v>0</v>
      </c>
    </row>
    <row r="984" spans="1:36" s="204" customFormat="1" ht="25.5" x14ac:dyDescent="0.25">
      <c r="A984" s="204" t="s">
        <v>3681</v>
      </c>
      <c r="B984" s="246" t="s">
        <v>2486</v>
      </c>
      <c r="C984" s="79" t="s">
        <v>2487</v>
      </c>
      <c r="D984" s="216"/>
      <c r="E984" s="226"/>
      <c r="F984" s="382"/>
      <c r="G984" s="382"/>
      <c r="H984" s="382"/>
      <c r="I984" s="382"/>
      <c r="J984" s="382"/>
      <c r="K984" s="382"/>
      <c r="L984" s="387" t="s">
        <v>2489</v>
      </c>
      <c r="M984" s="284" t="s">
        <v>2962</v>
      </c>
      <c r="N984" s="408">
        <f>+R984</f>
        <v>0</v>
      </c>
      <c r="O984" s="408">
        <f>+Z984</f>
        <v>0</v>
      </c>
      <c r="P984" s="271">
        <f t="shared" si="132"/>
        <v>0</v>
      </c>
      <c r="Q984" s="272">
        <f>+'NI-San_SP'!Q984+'NI-Soc_SP'!Q984+'NI-Ric_SP'!Q984</f>
        <v>0</v>
      </c>
      <c r="R984" s="272">
        <f>+'NI-San_SP'!R984+'NI-Soc_SP'!R984+'NI-Ric_SP'!R984</f>
        <v>0</v>
      </c>
      <c r="S984" s="272">
        <f>+'NI-San_SP'!S984+'NI-Soc_SP'!S984+'NI-Ric_SP'!S984</f>
        <v>0</v>
      </c>
      <c r="T984" s="272">
        <f>+'NI-San_SP'!T984+'NI-Soc_SP'!T984+'NI-Ric_SP'!T984</f>
        <v>0</v>
      </c>
      <c r="U984" s="272">
        <f>+'NI-San_SP'!U984+'NI-Soc_SP'!U984+'NI-Ric_SP'!U984</f>
        <v>0</v>
      </c>
      <c r="V984" s="272">
        <f>+'NI-San_SP'!V984+'NI-Soc_SP'!V984+'NI-Ric_SP'!V984</f>
        <v>0</v>
      </c>
      <c r="W984" s="272">
        <f>+'NI-San_SP'!W984+'NI-Soc_SP'!W984+'NI-Ric_SP'!W984</f>
        <v>0</v>
      </c>
      <c r="X984" s="272">
        <f>+'NI-San_SP'!X984+'NI-Soc_SP'!X984+'NI-Ric_SP'!X984</f>
        <v>0</v>
      </c>
      <c r="Y984" s="272">
        <f>+'NI-San_SP'!Y984+'NI-Soc_SP'!Y984+'NI-Ric_SP'!Y984</f>
        <v>0</v>
      </c>
      <c r="Z984" s="272">
        <f>+'NI-San_SP'!Z984+'NI-Soc_SP'!Z984+'NI-Ric_SP'!Z984</f>
        <v>0</v>
      </c>
      <c r="AA984" s="272">
        <f>+'NI-San_SP'!AA984+'NI-Soc_SP'!AA984+'NI-Ric_SP'!AA984</f>
        <v>0</v>
      </c>
      <c r="AB984" s="272">
        <f>+'NI-San_SP'!AB984+'NI-Soc_SP'!AB984+'NI-Ric_SP'!AB984</f>
        <v>0</v>
      </c>
      <c r="AC984" s="272">
        <f>+'NI-San_SP'!AC984+'NI-Soc_SP'!AC984+'NI-Ric_SP'!AC984</f>
        <v>0</v>
      </c>
      <c r="AD984" s="272">
        <f>+'NI-San_SP'!AD984+'NI-Soc_SP'!AD984+'NI-Ric_SP'!AD984</f>
        <v>0</v>
      </c>
      <c r="AE984" s="272">
        <f>+'NI-San_SP'!AE984+'NI-Soc_SP'!AE984+'NI-Ric_SP'!AE984</f>
        <v>0</v>
      </c>
      <c r="AF984" s="272">
        <f>+'NI-San_SP'!AF984+'NI-Soc_SP'!AF984+'NI-Ric_SP'!AF984</f>
        <v>0</v>
      </c>
      <c r="AG984" s="272">
        <f>+'NI-San_SP'!AG984+'NI-Soc_SP'!AG984+'NI-Ric_SP'!AG984</f>
        <v>0</v>
      </c>
      <c r="AH984" s="272">
        <f>+'NI-San_SP'!AH984+'NI-Soc_SP'!AH984+'NI-Ric_SP'!AH984</f>
        <v>0</v>
      </c>
      <c r="AI984" s="272">
        <f>+'NI-San_SP'!AI984+'NI-Soc_SP'!AI984+'NI-Ric_SP'!AI984</f>
        <v>0</v>
      </c>
      <c r="AJ984" s="272">
        <f>+'NI-San_SP'!AJ984+'NI-Soc_SP'!AJ984+'NI-Ric_SP'!AJ984</f>
        <v>0</v>
      </c>
    </row>
    <row r="985" spans="1:36" s="204" customFormat="1" x14ac:dyDescent="0.25">
      <c r="B985" s="381"/>
      <c r="C985" s="381"/>
      <c r="D985" s="382"/>
      <c r="E985" s="382"/>
      <c r="F985" s="382"/>
      <c r="G985" s="382"/>
      <c r="H985" s="382"/>
      <c r="I985" s="382"/>
      <c r="J985" s="382"/>
      <c r="K985" s="382"/>
      <c r="L985" s="505"/>
      <c r="M985" s="216"/>
      <c r="N985" s="383"/>
      <c r="O985" s="383"/>
      <c r="P985" s="384"/>
      <c r="Q985" s="216"/>
      <c r="R985" s="275"/>
      <c r="S985" s="216"/>
      <c r="T985" s="216"/>
      <c r="U985" s="216"/>
      <c r="V985" s="216"/>
      <c r="W985" s="216"/>
      <c r="X985" s="216"/>
      <c r="Z985" s="216"/>
      <c r="AA985" s="216"/>
      <c r="AB985" s="216"/>
      <c r="AC985" s="216"/>
      <c r="AD985" s="216"/>
    </row>
    <row r="986" spans="1:36" s="204" customFormat="1" ht="25.5" x14ac:dyDescent="0.25">
      <c r="B986" s="246" t="s">
        <v>2490</v>
      </c>
      <c r="C986" s="246" t="s">
        <v>2491</v>
      </c>
      <c r="D986" s="247" t="s">
        <v>4059</v>
      </c>
      <c r="E986" s="247"/>
      <c r="F986" s="247"/>
      <c r="G986" s="247"/>
      <c r="H986" s="248"/>
      <c r="I986" s="247"/>
      <c r="J986" s="247"/>
      <c r="K986" s="249"/>
      <c r="L986" s="441" t="s">
        <v>2494</v>
      </c>
      <c r="M986" s="251" t="s">
        <v>2962</v>
      </c>
      <c r="N986" s="252">
        <f>+N990+N993+N994</f>
        <v>0</v>
      </c>
      <c r="O986" s="252">
        <f>+O990+O993+O994</f>
        <v>0</v>
      </c>
      <c r="P986" s="253">
        <f>+O986-N986</f>
        <v>0</v>
      </c>
      <c r="Q986" s="216"/>
      <c r="R986" s="252">
        <f t="shared" ref="R986:AJ986" si="139">+R990+R993+R994</f>
        <v>0</v>
      </c>
      <c r="S986" s="252">
        <f t="shared" si="139"/>
        <v>0</v>
      </c>
      <c r="T986" s="252">
        <f t="shared" si="139"/>
        <v>0</v>
      </c>
      <c r="U986" s="252">
        <f t="shared" si="139"/>
        <v>0</v>
      </c>
      <c r="V986" s="252">
        <f t="shared" si="139"/>
        <v>0</v>
      </c>
      <c r="W986" s="252">
        <f t="shared" si="139"/>
        <v>0</v>
      </c>
      <c r="X986" s="252">
        <f t="shared" si="139"/>
        <v>0</v>
      </c>
      <c r="Y986" s="252">
        <f t="shared" si="139"/>
        <v>0</v>
      </c>
      <c r="Z986" s="252">
        <f t="shared" si="139"/>
        <v>0</v>
      </c>
      <c r="AA986" s="252">
        <f t="shared" si="139"/>
        <v>0</v>
      </c>
      <c r="AB986" s="252">
        <f t="shared" si="139"/>
        <v>0</v>
      </c>
      <c r="AC986" s="252">
        <f t="shared" si="139"/>
        <v>0</v>
      </c>
      <c r="AD986" s="252">
        <f t="shared" si="139"/>
        <v>0</v>
      </c>
      <c r="AE986" s="252">
        <f t="shared" si="139"/>
        <v>0</v>
      </c>
      <c r="AF986" s="252">
        <f t="shared" si="139"/>
        <v>0</v>
      </c>
      <c r="AG986" s="252">
        <f t="shared" si="139"/>
        <v>0</v>
      </c>
      <c r="AH986" s="252">
        <f t="shared" si="139"/>
        <v>0</v>
      </c>
      <c r="AI986" s="252">
        <f t="shared" si="139"/>
        <v>0</v>
      </c>
      <c r="AJ986" s="252">
        <f t="shared" si="139"/>
        <v>0</v>
      </c>
    </row>
    <row r="987" spans="1:36" s="204" customFormat="1" x14ac:dyDescent="0.25">
      <c r="B987" s="216"/>
      <c r="C987" s="216"/>
      <c r="D987" s="226"/>
      <c r="E987" s="226"/>
      <c r="F987" s="226"/>
      <c r="G987" s="226"/>
      <c r="H987" s="227"/>
      <c r="I987" s="226"/>
      <c r="J987" s="226"/>
      <c r="K987" s="226"/>
      <c r="L987" s="403"/>
      <c r="M987" s="278"/>
      <c r="N987" s="279"/>
      <c r="O987" s="279"/>
      <c r="P987" s="404"/>
      <c r="Q987" s="216"/>
      <c r="R987" s="279"/>
      <c r="S987" s="216"/>
      <c r="T987" s="216"/>
      <c r="U987" s="216"/>
      <c r="V987" s="216"/>
      <c r="W987" s="216"/>
      <c r="X987" s="216"/>
      <c r="Z987" s="216"/>
      <c r="AA987" s="216"/>
      <c r="AB987" s="216"/>
      <c r="AC987" s="216"/>
      <c r="AD987" s="216"/>
    </row>
    <row r="988" spans="1:36" s="204" customFormat="1" ht="15.75" customHeight="1" x14ac:dyDescent="0.25">
      <c r="B988" s="230"/>
      <c r="C988" s="230"/>
      <c r="D988" s="230"/>
      <c r="E988" s="230"/>
      <c r="F988" s="230"/>
      <c r="G988" s="230"/>
      <c r="H988" s="231"/>
      <c r="I988" s="230"/>
      <c r="J988" s="230"/>
      <c r="K988" s="230"/>
      <c r="L988" s="232"/>
      <c r="M988" s="211"/>
      <c r="N988" s="254"/>
      <c r="O988" s="211"/>
      <c r="P988" s="211"/>
      <c r="Q988" s="216"/>
      <c r="R988" s="211"/>
      <c r="S988" s="211"/>
      <c r="U988" s="902" t="s">
        <v>3495</v>
      </c>
      <c r="V988" s="902"/>
      <c r="W988" s="485"/>
      <c r="X988" s="903" t="s">
        <v>3496</v>
      </c>
      <c r="Y988" s="903"/>
      <c r="Z988" s="211"/>
      <c r="AA988" s="211"/>
      <c r="AB988" s="211"/>
      <c r="AC988" s="904" t="str">
        <f>+AC946</f>
        <v>VALORE DEI DEBITI AL 31/12/2020 PER ANNO DI FORMAZIONE</v>
      </c>
      <c r="AD988" s="904"/>
      <c r="AE988" s="904"/>
      <c r="AF988" s="904"/>
      <c r="AG988" s="904"/>
      <c r="AH988" s="905" t="str">
        <f>+AH946</f>
        <v>Debiti al 31/12/2020 per scadenza</v>
      </c>
      <c r="AI988" s="905"/>
      <c r="AJ988" s="905"/>
    </row>
    <row r="989" spans="1:36" s="204" customFormat="1" ht="63.75" x14ac:dyDescent="0.25">
      <c r="B989" s="506" t="s">
        <v>2968</v>
      </c>
      <c r="C989" s="506" t="s">
        <v>2969</v>
      </c>
      <c r="D989" s="500" t="s">
        <v>72</v>
      </c>
      <c r="E989" s="500"/>
      <c r="F989" s="500"/>
      <c r="G989" s="501"/>
      <c r="H989" s="501"/>
      <c r="I989" s="501"/>
      <c r="J989" s="501" t="s">
        <v>2957</v>
      </c>
      <c r="K989" s="500" t="s">
        <v>82</v>
      </c>
      <c r="L989" s="431" t="s">
        <v>3670</v>
      </c>
      <c r="M989" s="480"/>
      <c r="N989" s="256" t="str">
        <f>N$15</f>
        <v>Valore netto al 31/12/2019</v>
      </c>
      <c r="O989" s="256" t="str">
        <f>O$15</f>
        <v>Valore netto al 31/12/2020</v>
      </c>
      <c r="P989" s="256" t="str">
        <f>P$15</f>
        <v>Variazione</v>
      </c>
      <c r="Q989" s="262" t="s">
        <v>2971</v>
      </c>
      <c r="R989" s="262" t="s">
        <v>3517</v>
      </c>
      <c r="S989" s="262" t="s">
        <v>2972</v>
      </c>
      <c r="T989" s="486" t="s">
        <v>3995</v>
      </c>
      <c r="U989" s="337" t="s">
        <v>3996</v>
      </c>
      <c r="V989" s="337" t="s">
        <v>3495</v>
      </c>
      <c r="W989" s="262" t="s">
        <v>2975</v>
      </c>
      <c r="X989" s="338" t="s">
        <v>3498</v>
      </c>
      <c r="Y989" s="338" t="s">
        <v>3499</v>
      </c>
      <c r="Z989" s="346" t="s">
        <v>3815</v>
      </c>
      <c r="AA989" s="497" t="s">
        <v>3997</v>
      </c>
      <c r="AB989" s="377" t="s">
        <v>3998</v>
      </c>
      <c r="AC989" s="339" t="s">
        <v>3503</v>
      </c>
      <c r="AD989" s="339" t="s">
        <v>3504</v>
      </c>
      <c r="AE989" s="339" t="s">
        <v>3505</v>
      </c>
      <c r="AF989" s="339" t="s">
        <v>3506</v>
      </c>
      <c r="AG989" s="339" t="s">
        <v>3507</v>
      </c>
      <c r="AH989" s="340" t="s">
        <v>3508</v>
      </c>
      <c r="AI989" s="340" t="s">
        <v>3509</v>
      </c>
      <c r="AJ989" s="340" t="s">
        <v>3510</v>
      </c>
    </row>
    <row r="990" spans="1:36" s="204" customFormat="1" x14ac:dyDescent="0.25">
      <c r="B990" s="246" t="s">
        <v>2495</v>
      </c>
      <c r="C990" s="287" t="s">
        <v>2496</v>
      </c>
      <c r="D990" s="284" t="s">
        <v>4060</v>
      </c>
      <c r="E990" s="274"/>
      <c r="F990" s="437"/>
      <c r="G990" s="437"/>
      <c r="H990" s="437"/>
      <c r="I990" s="437"/>
      <c r="J990" s="437"/>
      <c r="K990" s="437"/>
      <c r="L990" s="295" t="s">
        <v>2498</v>
      </c>
      <c r="M990" s="284" t="s">
        <v>2962</v>
      </c>
      <c r="N990" s="378">
        <f>SUM(N991:N992)</f>
        <v>0</v>
      </c>
      <c r="O990" s="378">
        <f>SUM(O991:O992)</f>
        <v>0</v>
      </c>
      <c r="P990" s="378">
        <f t="shared" ref="P990:P996" si="140">+O990-N990</f>
        <v>0</v>
      </c>
      <c r="Q990" s="272">
        <f>+'NI-San_SP'!Q990+'NI-Soc_SP'!Q990+'NI-Ric_SP'!Q990</f>
        <v>0</v>
      </c>
      <c r="R990" s="272">
        <f>+'NI-San_SP'!R990+'NI-Soc_SP'!R990+'NI-Ric_SP'!R990</f>
        <v>0</v>
      </c>
      <c r="S990" s="272">
        <f>+'NI-San_SP'!S990+'NI-Soc_SP'!S990+'NI-Ric_SP'!S990</f>
        <v>0</v>
      </c>
      <c r="T990" s="272">
        <f>+'NI-San_SP'!T990+'NI-Soc_SP'!T990+'NI-Ric_SP'!T990</f>
        <v>0</v>
      </c>
      <c r="U990" s="272">
        <f>+'NI-San_SP'!U990+'NI-Soc_SP'!U990+'NI-Ric_SP'!U990</f>
        <v>0</v>
      </c>
      <c r="V990" s="272">
        <f>+'NI-San_SP'!V990+'NI-Soc_SP'!V990+'NI-Ric_SP'!V990</f>
        <v>0</v>
      </c>
      <c r="W990" s="272">
        <f>+'NI-San_SP'!W990+'NI-Soc_SP'!W990+'NI-Ric_SP'!W990</f>
        <v>0</v>
      </c>
      <c r="X990" s="272">
        <f>+'NI-San_SP'!X990+'NI-Soc_SP'!X990+'NI-Ric_SP'!X990</f>
        <v>0</v>
      </c>
      <c r="Y990" s="272">
        <f>+'NI-San_SP'!Y990+'NI-Soc_SP'!Y990+'NI-Ric_SP'!Y990</f>
        <v>0</v>
      </c>
      <c r="Z990" s="272">
        <f>+'NI-San_SP'!Z990+'NI-Soc_SP'!Z990+'NI-Ric_SP'!Z990</f>
        <v>0</v>
      </c>
      <c r="AA990" s="272">
        <f>+'NI-San_SP'!AA990+'NI-Soc_SP'!AA990+'NI-Ric_SP'!AA990</f>
        <v>0</v>
      </c>
      <c r="AB990" s="272">
        <f>+'NI-San_SP'!AB990+'NI-Soc_SP'!AB990+'NI-Ric_SP'!AB990</f>
        <v>0</v>
      </c>
      <c r="AC990" s="272">
        <f>+'NI-San_SP'!AC990+'NI-Soc_SP'!AC990+'NI-Ric_SP'!AC990</f>
        <v>0</v>
      </c>
      <c r="AD990" s="272">
        <f>+'NI-San_SP'!AD990+'NI-Soc_SP'!AD990+'NI-Ric_SP'!AD990</f>
        <v>0</v>
      </c>
      <c r="AE990" s="272">
        <f>+'NI-San_SP'!AE990+'NI-Soc_SP'!AE990+'NI-Ric_SP'!AE990</f>
        <v>0</v>
      </c>
      <c r="AF990" s="272">
        <f>+'NI-San_SP'!AF990+'NI-Soc_SP'!AF990+'NI-Ric_SP'!AF990</f>
        <v>0</v>
      </c>
      <c r="AG990" s="272">
        <f>+'NI-San_SP'!AG990+'NI-Soc_SP'!AG990+'NI-Ric_SP'!AG990</f>
        <v>0</v>
      </c>
      <c r="AH990" s="272">
        <f>+'NI-San_SP'!AH990+'NI-Soc_SP'!AH990+'NI-Ric_SP'!AH990</f>
        <v>0</v>
      </c>
      <c r="AI990" s="272">
        <f>+'NI-San_SP'!AI990+'NI-Soc_SP'!AI990+'NI-Ric_SP'!AI990</f>
        <v>0</v>
      </c>
      <c r="AJ990" s="272">
        <f>+'NI-San_SP'!AJ990+'NI-Soc_SP'!AJ990+'NI-Ric_SP'!AJ990</f>
        <v>0</v>
      </c>
    </row>
    <row r="991" spans="1:36" s="204" customFormat="1" x14ac:dyDescent="0.25">
      <c r="B991" s="246" t="s">
        <v>2499</v>
      </c>
      <c r="C991" s="287" t="s">
        <v>2500</v>
      </c>
      <c r="D991" s="284" t="s">
        <v>4061</v>
      </c>
      <c r="E991" s="274"/>
      <c r="F991" s="437"/>
      <c r="G991" s="437"/>
      <c r="H991" s="437"/>
      <c r="I991" s="437"/>
      <c r="J991" s="437"/>
      <c r="K991" s="437"/>
      <c r="L991" s="406" t="s">
        <v>4062</v>
      </c>
      <c r="M991" s="284" t="s">
        <v>2962</v>
      </c>
      <c r="N991" s="408">
        <f>+R991</f>
        <v>0</v>
      </c>
      <c r="O991" s="408">
        <f>+Z991</f>
        <v>0</v>
      </c>
      <c r="P991" s="271">
        <f t="shared" si="140"/>
        <v>0</v>
      </c>
      <c r="Q991" s="272">
        <f>+'NI-San_SP'!Q991+'NI-Soc_SP'!Q991+'NI-Ric_SP'!Q991</f>
        <v>0</v>
      </c>
      <c r="R991" s="272">
        <f>+'NI-San_SP'!R991+'NI-Soc_SP'!R991+'NI-Ric_SP'!R991</f>
        <v>0</v>
      </c>
      <c r="S991" s="272">
        <f>+'NI-San_SP'!S991+'NI-Soc_SP'!S991+'NI-Ric_SP'!S991</f>
        <v>0</v>
      </c>
      <c r="T991" s="272">
        <f>+'NI-San_SP'!T991+'NI-Soc_SP'!T991+'NI-Ric_SP'!T991</f>
        <v>0</v>
      </c>
      <c r="U991" s="272">
        <f>+'NI-San_SP'!U991+'NI-Soc_SP'!U991+'NI-Ric_SP'!U991</f>
        <v>0</v>
      </c>
      <c r="V991" s="272">
        <f>+'NI-San_SP'!V991+'NI-Soc_SP'!V991+'NI-Ric_SP'!V991</f>
        <v>0</v>
      </c>
      <c r="W991" s="272">
        <f>+'NI-San_SP'!W991+'NI-Soc_SP'!W991+'NI-Ric_SP'!W991</f>
        <v>0</v>
      </c>
      <c r="X991" s="272">
        <f>+'NI-San_SP'!X991+'NI-Soc_SP'!X991+'NI-Ric_SP'!X991</f>
        <v>0</v>
      </c>
      <c r="Y991" s="272">
        <f>+'NI-San_SP'!Y991+'NI-Soc_SP'!Y991+'NI-Ric_SP'!Y991</f>
        <v>0</v>
      </c>
      <c r="Z991" s="272">
        <f>+'NI-San_SP'!Z991+'NI-Soc_SP'!Z991+'NI-Ric_SP'!Z991</f>
        <v>0</v>
      </c>
      <c r="AA991" s="272">
        <f>+'NI-San_SP'!AA991+'NI-Soc_SP'!AA991+'NI-Ric_SP'!AA991</f>
        <v>0</v>
      </c>
      <c r="AB991" s="272">
        <f>+'NI-San_SP'!AB991+'NI-Soc_SP'!AB991+'NI-Ric_SP'!AB991</f>
        <v>0</v>
      </c>
      <c r="AC991" s="272">
        <f>+'NI-San_SP'!AC991+'NI-Soc_SP'!AC991+'NI-Ric_SP'!AC991</f>
        <v>0</v>
      </c>
      <c r="AD991" s="272">
        <f>+'NI-San_SP'!AD991+'NI-Soc_SP'!AD991+'NI-Ric_SP'!AD991</f>
        <v>0</v>
      </c>
      <c r="AE991" s="272">
        <f>+'NI-San_SP'!AE991+'NI-Soc_SP'!AE991+'NI-Ric_SP'!AE991</f>
        <v>0</v>
      </c>
      <c r="AF991" s="272">
        <f>+'NI-San_SP'!AF991+'NI-Soc_SP'!AF991+'NI-Ric_SP'!AF991</f>
        <v>0</v>
      </c>
      <c r="AG991" s="272">
        <f>+'NI-San_SP'!AG991+'NI-Soc_SP'!AG991+'NI-Ric_SP'!AG991</f>
        <v>0</v>
      </c>
      <c r="AH991" s="272">
        <f>+'NI-San_SP'!AH991+'NI-Soc_SP'!AH991+'NI-Ric_SP'!AH991</f>
        <v>0</v>
      </c>
      <c r="AI991" s="272">
        <f>+'NI-San_SP'!AI991+'NI-Soc_SP'!AI991+'NI-Ric_SP'!AI991</f>
        <v>0</v>
      </c>
      <c r="AJ991" s="272">
        <f>+'NI-San_SP'!AJ991+'NI-Soc_SP'!AJ991+'NI-Ric_SP'!AJ991</f>
        <v>0</v>
      </c>
    </row>
    <row r="992" spans="1:36" s="204" customFormat="1" x14ac:dyDescent="0.25">
      <c r="B992" s="246" t="s">
        <v>2502</v>
      </c>
      <c r="C992" s="287" t="s">
        <v>2503</v>
      </c>
      <c r="D992" s="284" t="s">
        <v>4063</v>
      </c>
      <c r="E992" s="274"/>
      <c r="F992" s="437"/>
      <c r="G992" s="437"/>
      <c r="H992" s="437"/>
      <c r="I992" s="437"/>
      <c r="J992" s="437"/>
      <c r="K992" s="437"/>
      <c r="L992" s="406" t="s">
        <v>4064</v>
      </c>
      <c r="M992" s="284" t="s">
        <v>2962</v>
      </c>
      <c r="N992" s="408">
        <f>+R992</f>
        <v>0</v>
      </c>
      <c r="O992" s="408">
        <f>+Z992</f>
        <v>0</v>
      </c>
      <c r="P992" s="271">
        <f t="shared" si="140"/>
        <v>0</v>
      </c>
      <c r="Q992" s="272">
        <f>+'NI-San_SP'!Q992+'NI-Soc_SP'!Q992+'NI-Ric_SP'!Q992</f>
        <v>0</v>
      </c>
      <c r="R992" s="272">
        <f>+'NI-San_SP'!R992+'NI-Soc_SP'!R992+'NI-Ric_SP'!R992</f>
        <v>0</v>
      </c>
      <c r="S992" s="272">
        <f>+'NI-San_SP'!S992+'NI-Soc_SP'!S992+'NI-Ric_SP'!S992</f>
        <v>0</v>
      </c>
      <c r="T992" s="272">
        <f>+'NI-San_SP'!T992+'NI-Soc_SP'!T992+'NI-Ric_SP'!T992</f>
        <v>0</v>
      </c>
      <c r="U992" s="272">
        <f>+'NI-San_SP'!U992+'NI-Soc_SP'!U992+'NI-Ric_SP'!U992</f>
        <v>0</v>
      </c>
      <c r="V992" s="272">
        <f>+'NI-San_SP'!V992+'NI-Soc_SP'!V992+'NI-Ric_SP'!V992</f>
        <v>0</v>
      </c>
      <c r="W992" s="272">
        <f>+'NI-San_SP'!W992+'NI-Soc_SP'!W992+'NI-Ric_SP'!W992</f>
        <v>0</v>
      </c>
      <c r="X992" s="272">
        <f>+'NI-San_SP'!X992+'NI-Soc_SP'!X992+'NI-Ric_SP'!X992</f>
        <v>0</v>
      </c>
      <c r="Y992" s="272">
        <f>+'NI-San_SP'!Y992+'NI-Soc_SP'!Y992+'NI-Ric_SP'!Y992</f>
        <v>0</v>
      </c>
      <c r="Z992" s="272">
        <f>+'NI-San_SP'!Z992+'NI-Soc_SP'!Z992+'NI-Ric_SP'!Z992</f>
        <v>0</v>
      </c>
      <c r="AA992" s="272">
        <f>+'NI-San_SP'!AA992+'NI-Soc_SP'!AA992+'NI-Ric_SP'!AA992</f>
        <v>0</v>
      </c>
      <c r="AB992" s="272">
        <f>+'NI-San_SP'!AB992+'NI-Soc_SP'!AB992+'NI-Ric_SP'!AB992</f>
        <v>0</v>
      </c>
      <c r="AC992" s="272">
        <f>+'NI-San_SP'!AC992+'NI-Soc_SP'!AC992+'NI-Ric_SP'!AC992</f>
        <v>0</v>
      </c>
      <c r="AD992" s="272">
        <f>+'NI-San_SP'!AD992+'NI-Soc_SP'!AD992+'NI-Ric_SP'!AD992</f>
        <v>0</v>
      </c>
      <c r="AE992" s="272">
        <f>+'NI-San_SP'!AE992+'NI-Soc_SP'!AE992+'NI-Ric_SP'!AE992</f>
        <v>0</v>
      </c>
      <c r="AF992" s="272">
        <f>+'NI-San_SP'!AF992+'NI-Soc_SP'!AF992+'NI-Ric_SP'!AF992</f>
        <v>0</v>
      </c>
      <c r="AG992" s="272">
        <f>+'NI-San_SP'!AG992+'NI-Soc_SP'!AG992+'NI-Ric_SP'!AG992</f>
        <v>0</v>
      </c>
      <c r="AH992" s="272">
        <f>+'NI-San_SP'!AH992+'NI-Soc_SP'!AH992+'NI-Ric_SP'!AH992</f>
        <v>0</v>
      </c>
      <c r="AI992" s="272">
        <f>+'NI-San_SP'!AI992+'NI-Soc_SP'!AI992+'NI-Ric_SP'!AI992</f>
        <v>0</v>
      </c>
      <c r="AJ992" s="272">
        <f>+'NI-San_SP'!AJ992+'NI-Soc_SP'!AJ992+'NI-Ric_SP'!AJ992</f>
        <v>0</v>
      </c>
    </row>
    <row r="993" spans="2:36" s="204" customFormat="1" x14ac:dyDescent="0.25">
      <c r="B993" s="246" t="s">
        <v>2505</v>
      </c>
      <c r="C993" s="287" t="s">
        <v>2506</v>
      </c>
      <c r="D993" s="284" t="s">
        <v>4065</v>
      </c>
      <c r="E993" s="274"/>
      <c r="F993" s="437"/>
      <c r="G993" s="437"/>
      <c r="H993" s="437"/>
      <c r="I993" s="437"/>
      <c r="J993" s="437"/>
      <c r="K993" s="437"/>
      <c r="L993" s="295" t="s">
        <v>2508</v>
      </c>
      <c r="M993" s="284" t="s">
        <v>2962</v>
      </c>
      <c r="N993" s="408">
        <f>+R993</f>
        <v>0</v>
      </c>
      <c r="O993" s="408">
        <f>+Z993</f>
        <v>0</v>
      </c>
      <c r="P993" s="271">
        <f t="shared" si="140"/>
        <v>0</v>
      </c>
      <c r="Q993" s="272">
        <f>+'NI-San_SP'!Q993+'NI-Soc_SP'!Q993+'NI-Ric_SP'!Q993</f>
        <v>0</v>
      </c>
      <c r="R993" s="272">
        <f>+'NI-San_SP'!R993+'NI-Soc_SP'!R993+'NI-Ric_SP'!R993</f>
        <v>0</v>
      </c>
      <c r="S993" s="272">
        <f>+'NI-San_SP'!S993+'NI-Soc_SP'!S993+'NI-Ric_SP'!S993</f>
        <v>0</v>
      </c>
      <c r="T993" s="272">
        <f>+'NI-San_SP'!T993+'NI-Soc_SP'!T993+'NI-Ric_SP'!T993</f>
        <v>0</v>
      </c>
      <c r="U993" s="272">
        <f>+'NI-San_SP'!U993+'NI-Soc_SP'!U993+'NI-Ric_SP'!U993</f>
        <v>0</v>
      </c>
      <c r="V993" s="272">
        <f>+'NI-San_SP'!V993+'NI-Soc_SP'!V993+'NI-Ric_SP'!V993</f>
        <v>0</v>
      </c>
      <c r="W993" s="272">
        <f>+'NI-San_SP'!W993+'NI-Soc_SP'!W993+'NI-Ric_SP'!W993</f>
        <v>0</v>
      </c>
      <c r="X993" s="272">
        <f>+'NI-San_SP'!X993+'NI-Soc_SP'!X993+'NI-Ric_SP'!X993</f>
        <v>0</v>
      </c>
      <c r="Y993" s="272">
        <f>+'NI-San_SP'!Y993+'NI-Soc_SP'!Y993+'NI-Ric_SP'!Y993</f>
        <v>0</v>
      </c>
      <c r="Z993" s="272">
        <f>+'NI-San_SP'!Z993+'NI-Soc_SP'!Z993+'NI-Ric_SP'!Z993</f>
        <v>0</v>
      </c>
      <c r="AA993" s="272">
        <f>+'NI-San_SP'!AA993+'NI-Soc_SP'!AA993+'NI-Ric_SP'!AA993</f>
        <v>0</v>
      </c>
      <c r="AB993" s="272">
        <f>+'NI-San_SP'!AB993+'NI-Soc_SP'!AB993+'NI-Ric_SP'!AB993</f>
        <v>0</v>
      </c>
      <c r="AC993" s="272">
        <f>+'NI-San_SP'!AC993+'NI-Soc_SP'!AC993+'NI-Ric_SP'!AC993</f>
        <v>0</v>
      </c>
      <c r="AD993" s="272">
        <f>+'NI-San_SP'!AD993+'NI-Soc_SP'!AD993+'NI-Ric_SP'!AD993</f>
        <v>0</v>
      </c>
      <c r="AE993" s="272">
        <f>+'NI-San_SP'!AE993+'NI-Soc_SP'!AE993+'NI-Ric_SP'!AE993</f>
        <v>0</v>
      </c>
      <c r="AF993" s="272">
        <f>+'NI-San_SP'!AF993+'NI-Soc_SP'!AF993+'NI-Ric_SP'!AF993</f>
        <v>0</v>
      </c>
      <c r="AG993" s="272">
        <f>+'NI-San_SP'!AG993+'NI-Soc_SP'!AG993+'NI-Ric_SP'!AG993</f>
        <v>0</v>
      </c>
      <c r="AH993" s="272">
        <f>+'NI-San_SP'!AH993+'NI-Soc_SP'!AH993+'NI-Ric_SP'!AH993</f>
        <v>0</v>
      </c>
      <c r="AI993" s="272">
        <f>+'NI-San_SP'!AI993+'NI-Soc_SP'!AI993+'NI-Ric_SP'!AI993</f>
        <v>0</v>
      </c>
      <c r="AJ993" s="272">
        <f>+'NI-San_SP'!AJ993+'NI-Soc_SP'!AJ993+'NI-Ric_SP'!AJ993</f>
        <v>0</v>
      </c>
    </row>
    <row r="994" spans="2:36" s="204" customFormat="1" x14ac:dyDescent="0.25">
      <c r="B994" s="246" t="s">
        <v>2509</v>
      </c>
      <c r="C994" s="287" t="s">
        <v>2510</v>
      </c>
      <c r="D994" s="284" t="s">
        <v>4066</v>
      </c>
      <c r="E994" s="274"/>
      <c r="F994" s="437"/>
      <c r="G994" s="437"/>
      <c r="H994" s="437"/>
      <c r="I994" s="437"/>
      <c r="J994" s="437"/>
      <c r="K994" s="437"/>
      <c r="L994" s="295" t="s">
        <v>2512</v>
      </c>
      <c r="M994" s="284" t="s">
        <v>2962</v>
      </c>
      <c r="N994" s="378">
        <f>SUM(N995:N996)</f>
        <v>0</v>
      </c>
      <c r="O994" s="378">
        <f>SUM(O995:O996)</f>
        <v>0</v>
      </c>
      <c r="P994" s="378">
        <f t="shared" si="140"/>
        <v>0</v>
      </c>
      <c r="Q994" s="272">
        <f>+'NI-San_SP'!Q994+'NI-Soc_SP'!Q994+'NI-Ric_SP'!Q994</f>
        <v>0</v>
      </c>
      <c r="R994" s="272">
        <f>+'NI-San_SP'!R994+'NI-Soc_SP'!R994+'NI-Ric_SP'!R994</f>
        <v>0</v>
      </c>
      <c r="S994" s="272">
        <f>+'NI-San_SP'!S994+'NI-Soc_SP'!S994+'NI-Ric_SP'!S994</f>
        <v>0</v>
      </c>
      <c r="T994" s="272">
        <f>+'NI-San_SP'!T994+'NI-Soc_SP'!T994+'NI-Ric_SP'!T994</f>
        <v>0</v>
      </c>
      <c r="U994" s="272">
        <f>+'NI-San_SP'!U994+'NI-Soc_SP'!U994+'NI-Ric_SP'!U994</f>
        <v>0</v>
      </c>
      <c r="V994" s="272">
        <f>+'NI-San_SP'!V994+'NI-Soc_SP'!V994+'NI-Ric_SP'!V994</f>
        <v>0</v>
      </c>
      <c r="W994" s="272">
        <f>+'NI-San_SP'!W994+'NI-Soc_SP'!W994+'NI-Ric_SP'!W994</f>
        <v>0</v>
      </c>
      <c r="X994" s="272">
        <f>+'NI-San_SP'!X994+'NI-Soc_SP'!X994+'NI-Ric_SP'!X994</f>
        <v>0</v>
      </c>
      <c r="Y994" s="272">
        <f>+'NI-San_SP'!Y994+'NI-Soc_SP'!Y994+'NI-Ric_SP'!Y994</f>
        <v>0</v>
      </c>
      <c r="Z994" s="272">
        <f>+'NI-San_SP'!Z994+'NI-Soc_SP'!Z994+'NI-Ric_SP'!Z994</f>
        <v>0</v>
      </c>
      <c r="AA994" s="272">
        <f>+'NI-San_SP'!AA994+'NI-Soc_SP'!AA994+'NI-Ric_SP'!AA994</f>
        <v>0</v>
      </c>
      <c r="AB994" s="272">
        <f>+'NI-San_SP'!AB994+'NI-Soc_SP'!AB994+'NI-Ric_SP'!AB994</f>
        <v>0</v>
      </c>
      <c r="AC994" s="272">
        <f>+'NI-San_SP'!AC994+'NI-Soc_SP'!AC994+'NI-Ric_SP'!AC994</f>
        <v>0</v>
      </c>
      <c r="AD994" s="272">
        <f>+'NI-San_SP'!AD994+'NI-Soc_SP'!AD994+'NI-Ric_SP'!AD994</f>
        <v>0</v>
      </c>
      <c r="AE994" s="272">
        <f>+'NI-San_SP'!AE994+'NI-Soc_SP'!AE994+'NI-Ric_SP'!AE994</f>
        <v>0</v>
      </c>
      <c r="AF994" s="272">
        <f>+'NI-San_SP'!AF994+'NI-Soc_SP'!AF994+'NI-Ric_SP'!AF994</f>
        <v>0</v>
      </c>
      <c r="AG994" s="272">
        <f>+'NI-San_SP'!AG994+'NI-Soc_SP'!AG994+'NI-Ric_SP'!AG994</f>
        <v>0</v>
      </c>
      <c r="AH994" s="272">
        <f>+'NI-San_SP'!AH994+'NI-Soc_SP'!AH994+'NI-Ric_SP'!AH994</f>
        <v>0</v>
      </c>
      <c r="AI994" s="272">
        <f>+'NI-San_SP'!AI994+'NI-Soc_SP'!AI994+'NI-Ric_SP'!AI994</f>
        <v>0</v>
      </c>
      <c r="AJ994" s="272">
        <f>+'NI-San_SP'!AJ994+'NI-Soc_SP'!AJ994+'NI-Ric_SP'!AJ994</f>
        <v>0</v>
      </c>
    </row>
    <row r="995" spans="2:36" s="204" customFormat="1" x14ac:dyDescent="0.25">
      <c r="B995" s="246" t="s">
        <v>2513</v>
      </c>
      <c r="C995" s="287" t="s">
        <v>2514</v>
      </c>
      <c r="D995" s="284" t="s">
        <v>4067</v>
      </c>
      <c r="E995" s="274"/>
      <c r="F995" s="437"/>
      <c r="G995" s="437"/>
      <c r="H995" s="437"/>
      <c r="I995" s="437"/>
      <c r="J995" s="437"/>
      <c r="K995" s="437"/>
      <c r="L995" s="406" t="s">
        <v>4068</v>
      </c>
      <c r="M995" s="284" t="s">
        <v>2962</v>
      </c>
      <c r="N995" s="408">
        <f>+R995</f>
        <v>0</v>
      </c>
      <c r="O995" s="408">
        <f>+Z995</f>
        <v>0</v>
      </c>
      <c r="P995" s="271">
        <f t="shared" si="140"/>
        <v>0</v>
      </c>
      <c r="Q995" s="272">
        <f>+'NI-San_SP'!Q995+'NI-Soc_SP'!Q995+'NI-Ric_SP'!Q995</f>
        <v>0</v>
      </c>
      <c r="R995" s="272">
        <f>+'NI-San_SP'!R995+'NI-Soc_SP'!R995+'NI-Ric_SP'!R995</f>
        <v>0</v>
      </c>
      <c r="S995" s="272">
        <f>+'NI-San_SP'!S995+'NI-Soc_SP'!S995+'NI-Ric_SP'!S995</f>
        <v>0</v>
      </c>
      <c r="T995" s="272">
        <f>+'NI-San_SP'!T995+'NI-Soc_SP'!T995+'NI-Ric_SP'!T995</f>
        <v>0</v>
      </c>
      <c r="U995" s="272">
        <f>+'NI-San_SP'!U995+'NI-Soc_SP'!U995+'NI-Ric_SP'!U995</f>
        <v>0</v>
      </c>
      <c r="V995" s="272">
        <f>+'NI-San_SP'!V995+'NI-Soc_SP'!V995+'NI-Ric_SP'!V995</f>
        <v>0</v>
      </c>
      <c r="W995" s="272">
        <f>+'NI-San_SP'!W995+'NI-Soc_SP'!W995+'NI-Ric_SP'!W995</f>
        <v>0</v>
      </c>
      <c r="X995" s="272">
        <f>+'NI-San_SP'!X995+'NI-Soc_SP'!X995+'NI-Ric_SP'!X995</f>
        <v>0</v>
      </c>
      <c r="Y995" s="272">
        <f>+'NI-San_SP'!Y995+'NI-Soc_SP'!Y995+'NI-Ric_SP'!Y995</f>
        <v>0</v>
      </c>
      <c r="Z995" s="272">
        <f>+'NI-San_SP'!Z995+'NI-Soc_SP'!Z995+'NI-Ric_SP'!Z995</f>
        <v>0</v>
      </c>
      <c r="AA995" s="272">
        <f>+'NI-San_SP'!AA995+'NI-Soc_SP'!AA995+'NI-Ric_SP'!AA995</f>
        <v>0</v>
      </c>
      <c r="AB995" s="272">
        <f>+'NI-San_SP'!AB995+'NI-Soc_SP'!AB995+'NI-Ric_SP'!AB995</f>
        <v>0</v>
      </c>
      <c r="AC995" s="272">
        <f>+'NI-San_SP'!AC995+'NI-Soc_SP'!AC995+'NI-Ric_SP'!AC995</f>
        <v>0</v>
      </c>
      <c r="AD995" s="272">
        <f>+'NI-San_SP'!AD995+'NI-Soc_SP'!AD995+'NI-Ric_SP'!AD995</f>
        <v>0</v>
      </c>
      <c r="AE995" s="272">
        <f>+'NI-San_SP'!AE995+'NI-Soc_SP'!AE995+'NI-Ric_SP'!AE995</f>
        <v>0</v>
      </c>
      <c r="AF995" s="272">
        <f>+'NI-San_SP'!AF995+'NI-Soc_SP'!AF995+'NI-Ric_SP'!AF995</f>
        <v>0</v>
      </c>
      <c r="AG995" s="272">
        <f>+'NI-San_SP'!AG995+'NI-Soc_SP'!AG995+'NI-Ric_SP'!AG995</f>
        <v>0</v>
      </c>
      <c r="AH995" s="272">
        <f>+'NI-San_SP'!AH995+'NI-Soc_SP'!AH995+'NI-Ric_SP'!AH995</f>
        <v>0</v>
      </c>
      <c r="AI995" s="272">
        <f>+'NI-San_SP'!AI995+'NI-Soc_SP'!AI995+'NI-Ric_SP'!AI995</f>
        <v>0</v>
      </c>
      <c r="AJ995" s="272">
        <f>+'NI-San_SP'!AJ995+'NI-Soc_SP'!AJ995+'NI-Ric_SP'!AJ995</f>
        <v>0</v>
      </c>
    </row>
    <row r="996" spans="2:36" s="204" customFormat="1" x14ac:dyDescent="0.25">
      <c r="B996" s="246" t="s">
        <v>2516</v>
      </c>
      <c r="C996" s="287" t="s">
        <v>2517</v>
      </c>
      <c r="D996" s="284" t="s">
        <v>4069</v>
      </c>
      <c r="E996" s="274"/>
      <c r="F996" s="437"/>
      <c r="G996" s="437"/>
      <c r="H996" s="437"/>
      <c r="I996" s="437"/>
      <c r="J996" s="437"/>
      <c r="K996" s="437"/>
      <c r="L996" s="406" t="s">
        <v>4070</v>
      </c>
      <c r="M996" s="284" t="s">
        <v>2962</v>
      </c>
      <c r="N996" s="408">
        <f>+R996</f>
        <v>0</v>
      </c>
      <c r="O996" s="408">
        <f>+Z996</f>
        <v>0</v>
      </c>
      <c r="P996" s="271">
        <f t="shared" si="140"/>
        <v>0</v>
      </c>
      <c r="Q996" s="272">
        <f>+'NI-San_SP'!Q996+'NI-Soc_SP'!Q996+'NI-Ric_SP'!Q996</f>
        <v>0</v>
      </c>
      <c r="R996" s="272">
        <f>+'NI-San_SP'!R996+'NI-Soc_SP'!R996+'NI-Ric_SP'!R996</f>
        <v>0</v>
      </c>
      <c r="S996" s="272">
        <f>+'NI-San_SP'!S996+'NI-Soc_SP'!S996+'NI-Ric_SP'!S996</f>
        <v>0</v>
      </c>
      <c r="T996" s="272">
        <f>+'NI-San_SP'!T996+'NI-Soc_SP'!T996+'NI-Ric_SP'!T996</f>
        <v>0</v>
      </c>
      <c r="U996" s="272">
        <f>+'NI-San_SP'!U996+'NI-Soc_SP'!U996+'NI-Ric_SP'!U996</f>
        <v>0</v>
      </c>
      <c r="V996" s="272">
        <f>+'NI-San_SP'!V996+'NI-Soc_SP'!V996+'NI-Ric_SP'!V996</f>
        <v>0</v>
      </c>
      <c r="W996" s="272">
        <f>+'NI-San_SP'!W996+'NI-Soc_SP'!W996+'NI-Ric_SP'!W996</f>
        <v>0</v>
      </c>
      <c r="X996" s="272">
        <f>+'NI-San_SP'!X996+'NI-Soc_SP'!X996+'NI-Ric_SP'!X996</f>
        <v>0</v>
      </c>
      <c r="Y996" s="272">
        <f>+'NI-San_SP'!Y996+'NI-Soc_SP'!Y996+'NI-Ric_SP'!Y996</f>
        <v>0</v>
      </c>
      <c r="Z996" s="272">
        <f>+'NI-San_SP'!Z996+'NI-Soc_SP'!Z996+'NI-Ric_SP'!Z996</f>
        <v>0</v>
      </c>
      <c r="AA996" s="272">
        <f>+'NI-San_SP'!AA996+'NI-Soc_SP'!AA996+'NI-Ric_SP'!AA996</f>
        <v>0</v>
      </c>
      <c r="AB996" s="272">
        <f>+'NI-San_SP'!AB996+'NI-Soc_SP'!AB996+'NI-Ric_SP'!AB996</f>
        <v>0</v>
      </c>
      <c r="AC996" s="272">
        <f>+'NI-San_SP'!AC996+'NI-Soc_SP'!AC996+'NI-Ric_SP'!AC996</f>
        <v>0</v>
      </c>
      <c r="AD996" s="272">
        <f>+'NI-San_SP'!AD996+'NI-Soc_SP'!AD996+'NI-Ric_SP'!AD996</f>
        <v>0</v>
      </c>
      <c r="AE996" s="272">
        <f>+'NI-San_SP'!AE996+'NI-Soc_SP'!AE996+'NI-Ric_SP'!AE996</f>
        <v>0</v>
      </c>
      <c r="AF996" s="272">
        <f>+'NI-San_SP'!AF996+'NI-Soc_SP'!AF996+'NI-Ric_SP'!AF996</f>
        <v>0</v>
      </c>
      <c r="AG996" s="272">
        <f>+'NI-San_SP'!AG996+'NI-Soc_SP'!AG996+'NI-Ric_SP'!AG996</f>
        <v>0</v>
      </c>
      <c r="AH996" s="272">
        <f>+'NI-San_SP'!AH996+'NI-Soc_SP'!AH996+'NI-Ric_SP'!AH996</f>
        <v>0</v>
      </c>
      <c r="AI996" s="272">
        <f>+'NI-San_SP'!AI996+'NI-Soc_SP'!AI996+'NI-Ric_SP'!AI996</f>
        <v>0</v>
      </c>
      <c r="AJ996" s="272">
        <f>+'NI-San_SP'!AJ996+'NI-Soc_SP'!AJ996+'NI-Ric_SP'!AJ996</f>
        <v>0</v>
      </c>
    </row>
    <row r="997" spans="2:36" s="204" customFormat="1" x14ac:dyDescent="0.25">
      <c r="B997" s="381"/>
      <c r="C997" s="381"/>
      <c r="D997" s="382"/>
      <c r="E997" s="382"/>
      <c r="F997" s="382"/>
      <c r="G997" s="382"/>
      <c r="H997" s="382"/>
      <c r="I997" s="382"/>
      <c r="J997" s="382"/>
      <c r="K997" s="382"/>
      <c r="L997" s="505"/>
      <c r="M997" s="216"/>
      <c r="N997" s="383"/>
      <c r="O997" s="383"/>
      <c r="P997" s="384"/>
      <c r="Q997" s="216"/>
      <c r="R997" s="275"/>
      <c r="S997" s="216"/>
      <c r="T997" s="216"/>
      <c r="U997" s="216"/>
      <c r="V997" s="216"/>
      <c r="W997" s="216"/>
      <c r="X997" s="216"/>
      <c r="Z997" s="216"/>
      <c r="AA997" s="216"/>
      <c r="AB997" s="216"/>
      <c r="AC997" s="216"/>
      <c r="AD997" s="216"/>
    </row>
    <row r="998" spans="2:36" s="204" customFormat="1" x14ac:dyDescent="0.25">
      <c r="B998" s="302"/>
      <c r="C998" s="302"/>
      <c r="D998" s="226"/>
      <c r="E998" s="226"/>
      <c r="F998" s="226"/>
      <c r="G998" s="226"/>
      <c r="H998" s="227"/>
      <c r="I998" s="226"/>
      <c r="J998" s="226"/>
      <c r="K998" s="226"/>
      <c r="L998" s="315"/>
      <c r="M998" s="216"/>
      <c r="N998" s="254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Z998" s="216"/>
      <c r="AA998" s="216"/>
      <c r="AB998" s="216"/>
      <c r="AC998" s="216"/>
      <c r="AD998" s="216"/>
    </row>
    <row r="999" spans="2:36" s="204" customFormat="1" x14ac:dyDescent="0.25">
      <c r="B999" s="246" t="s">
        <v>2519</v>
      </c>
      <c r="C999" s="292" t="s">
        <v>2520</v>
      </c>
      <c r="D999" s="247" t="s">
        <v>4071</v>
      </c>
      <c r="E999" s="247"/>
      <c r="F999" s="247"/>
      <c r="G999" s="247"/>
      <c r="H999" s="248"/>
      <c r="I999" s="247"/>
      <c r="J999" s="247"/>
      <c r="K999" s="249"/>
      <c r="L999" s="441" t="s">
        <v>2523</v>
      </c>
      <c r="M999" s="251" t="s">
        <v>2962</v>
      </c>
      <c r="N999" s="252">
        <f>+N1003+N1011</f>
        <v>32537849</v>
      </c>
      <c r="O999" s="252">
        <f>+O1003+O1011</f>
        <v>31686580</v>
      </c>
      <c r="P999" s="253">
        <f>+O999-N999</f>
        <v>-851269</v>
      </c>
      <c r="Q999" s="252">
        <f t="shared" ref="Q999:AJ999" si="141">+Q1003+Q1011</f>
        <v>0</v>
      </c>
      <c r="R999" s="252">
        <f t="shared" si="141"/>
        <v>32537849</v>
      </c>
      <c r="S999" s="252">
        <f t="shared" si="141"/>
        <v>0</v>
      </c>
      <c r="T999" s="252">
        <f t="shared" si="141"/>
        <v>4755272</v>
      </c>
      <c r="U999" s="252">
        <f t="shared" si="141"/>
        <v>0</v>
      </c>
      <c r="V999" s="252">
        <f t="shared" si="141"/>
        <v>114172849</v>
      </c>
      <c r="W999" s="252">
        <f t="shared" si="141"/>
        <v>0</v>
      </c>
      <c r="X999" s="252">
        <f t="shared" si="141"/>
        <v>28722282</v>
      </c>
      <c r="Y999" s="252">
        <f t="shared" si="141"/>
        <v>86301836</v>
      </c>
      <c r="Z999" s="252">
        <f t="shared" si="141"/>
        <v>31686580</v>
      </c>
      <c r="AA999" s="252">
        <f t="shared" si="141"/>
        <v>7019467</v>
      </c>
      <c r="AB999" s="252">
        <f t="shared" si="141"/>
        <v>5336736</v>
      </c>
      <c r="AC999" s="252">
        <f t="shared" si="141"/>
        <v>3228801</v>
      </c>
      <c r="AD999" s="252">
        <f t="shared" si="141"/>
        <v>82314</v>
      </c>
      <c r="AE999" s="252">
        <f t="shared" si="141"/>
        <v>116441</v>
      </c>
      <c r="AF999" s="252">
        <f t="shared" si="141"/>
        <v>448499</v>
      </c>
      <c r="AG999" s="252">
        <f t="shared" si="141"/>
        <v>27810525</v>
      </c>
      <c r="AH999" s="252">
        <f t="shared" si="141"/>
        <v>31686580</v>
      </c>
      <c r="AI999" s="252">
        <f t="shared" si="141"/>
        <v>0</v>
      </c>
      <c r="AJ999" s="252">
        <f t="shared" si="141"/>
        <v>0</v>
      </c>
    </row>
    <row r="1000" spans="2:36" s="204" customFormat="1" x14ac:dyDescent="0.25">
      <c r="B1000" s="293"/>
      <c r="C1000" s="293"/>
      <c r="D1000" s="230"/>
      <c r="E1000" s="230"/>
      <c r="F1000" s="230"/>
      <c r="G1000" s="230"/>
      <c r="H1000" s="231"/>
      <c r="I1000" s="230"/>
      <c r="J1000" s="230"/>
      <c r="K1000" s="230"/>
      <c r="L1000" s="232"/>
      <c r="M1000" s="211"/>
      <c r="N1000" s="254"/>
      <c r="O1000" s="211"/>
      <c r="P1000" s="211"/>
      <c r="Q1000" s="216"/>
      <c r="R1000" s="216"/>
      <c r="S1000" s="216"/>
      <c r="T1000" s="216"/>
      <c r="U1000" s="216"/>
      <c r="V1000" s="216"/>
      <c r="W1000" s="216"/>
      <c r="X1000" s="216"/>
      <c r="Z1000" s="216"/>
      <c r="AA1000" s="216"/>
      <c r="AB1000" s="216"/>
      <c r="AC1000" s="216"/>
      <c r="AD1000" s="216"/>
    </row>
    <row r="1001" spans="2:36" s="204" customFormat="1" ht="15.75" customHeight="1" x14ac:dyDescent="0.25">
      <c r="B1001" s="293"/>
      <c r="C1001" s="293"/>
      <c r="D1001" s="230"/>
      <c r="E1001" s="230"/>
      <c r="F1001" s="230"/>
      <c r="G1001" s="230"/>
      <c r="H1001" s="231"/>
      <c r="I1001" s="230"/>
      <c r="J1001" s="230"/>
      <c r="K1001" s="230"/>
      <c r="L1001" s="232"/>
      <c r="M1001" s="211"/>
      <c r="N1001" s="254"/>
      <c r="O1001" s="211"/>
      <c r="P1001" s="211"/>
      <c r="Q1001" s="216"/>
      <c r="R1001" s="211"/>
      <c r="S1001" s="211"/>
      <c r="U1001" s="902" t="s">
        <v>3495</v>
      </c>
      <c r="V1001" s="902"/>
      <c r="W1001" s="485"/>
      <c r="X1001" s="903" t="s">
        <v>3496</v>
      </c>
      <c r="Y1001" s="903"/>
      <c r="Z1001" s="211"/>
      <c r="AA1001" s="211"/>
      <c r="AB1001" s="211"/>
      <c r="AC1001" s="904" t="str">
        <f>+AC988</f>
        <v>VALORE DEI DEBITI AL 31/12/2020 PER ANNO DI FORMAZIONE</v>
      </c>
      <c r="AD1001" s="904"/>
      <c r="AE1001" s="904"/>
      <c r="AF1001" s="904"/>
      <c r="AG1001" s="904"/>
      <c r="AH1001" s="905" t="str">
        <f>+AH988</f>
        <v>Debiti al 31/12/2020 per scadenza</v>
      </c>
      <c r="AI1001" s="905"/>
      <c r="AJ1001" s="905"/>
    </row>
    <row r="1002" spans="2:36" s="204" customFormat="1" ht="63.75" x14ac:dyDescent="0.25">
      <c r="B1002" s="294" t="s">
        <v>2968</v>
      </c>
      <c r="C1002" s="294" t="s">
        <v>2969</v>
      </c>
      <c r="D1002" s="206" t="s">
        <v>72</v>
      </c>
      <c r="E1002" s="206"/>
      <c r="F1002" s="206"/>
      <c r="G1002" s="207"/>
      <c r="H1002" s="207"/>
      <c r="I1002" s="207"/>
      <c r="J1002" s="207" t="s">
        <v>2957</v>
      </c>
      <c r="K1002" s="206" t="s">
        <v>82</v>
      </c>
      <c r="L1002" s="261" t="s">
        <v>3670</v>
      </c>
      <c r="M1002" s="480"/>
      <c r="N1002" s="256" t="str">
        <f>N$15</f>
        <v>Valore netto al 31/12/2019</v>
      </c>
      <c r="O1002" s="256" t="str">
        <f>O$15</f>
        <v>Valore netto al 31/12/2020</v>
      </c>
      <c r="P1002" s="256" t="str">
        <f>P$15</f>
        <v>Variazione</v>
      </c>
      <c r="Q1002" s="262" t="s">
        <v>2971</v>
      </c>
      <c r="R1002" s="346" t="s">
        <v>3517</v>
      </c>
      <c r="S1002" s="262" t="s">
        <v>2972</v>
      </c>
      <c r="T1002" s="486" t="s">
        <v>3995</v>
      </c>
      <c r="U1002" s="337" t="s">
        <v>3996</v>
      </c>
      <c r="V1002" s="337" t="s">
        <v>3495</v>
      </c>
      <c r="W1002" s="262" t="s">
        <v>2975</v>
      </c>
      <c r="X1002" s="338" t="s">
        <v>3498</v>
      </c>
      <c r="Y1002" s="338" t="s">
        <v>3499</v>
      </c>
      <c r="Z1002" s="346" t="s">
        <v>3815</v>
      </c>
      <c r="AA1002" s="497" t="s">
        <v>3997</v>
      </c>
      <c r="AB1002" s="377" t="s">
        <v>3998</v>
      </c>
      <c r="AC1002" s="339" t="s">
        <v>3503</v>
      </c>
      <c r="AD1002" s="339" t="s">
        <v>3504</v>
      </c>
      <c r="AE1002" s="339" t="s">
        <v>3505</v>
      </c>
      <c r="AF1002" s="339" t="s">
        <v>3506</v>
      </c>
      <c r="AG1002" s="339" t="s">
        <v>3507</v>
      </c>
      <c r="AH1002" s="340" t="s">
        <v>3508</v>
      </c>
      <c r="AI1002" s="340" t="s">
        <v>3509</v>
      </c>
      <c r="AJ1002" s="340" t="s">
        <v>3510</v>
      </c>
    </row>
    <row r="1003" spans="2:36" s="204" customFormat="1" ht="25.5" x14ac:dyDescent="0.25">
      <c r="B1003" s="246" t="s">
        <v>2524</v>
      </c>
      <c r="C1003" s="287" t="s">
        <v>2525</v>
      </c>
      <c r="D1003" s="284" t="s">
        <v>4072</v>
      </c>
      <c r="E1003" s="274"/>
      <c r="F1003" s="274"/>
      <c r="G1003" s="283"/>
      <c r="H1003" s="266"/>
      <c r="I1003" s="274"/>
      <c r="J1003" s="281"/>
      <c r="K1003" s="281"/>
      <c r="L1003" s="296" t="s">
        <v>2527</v>
      </c>
      <c r="M1003" s="284" t="s">
        <v>2962</v>
      </c>
      <c r="N1003" s="378">
        <f>SUM(N1004:N1010)</f>
        <v>103034</v>
      </c>
      <c r="O1003" s="378">
        <f>SUM(O1004:O1010)</f>
        <v>232322</v>
      </c>
      <c r="P1003" s="378">
        <f t="shared" ref="P1003:P1014" si="142">+O1003-N1003</f>
        <v>129288</v>
      </c>
      <c r="Q1003" s="378">
        <f>SUM(Q1004:Q1010)</f>
        <v>0</v>
      </c>
      <c r="R1003" s="378">
        <f>SUM(R1004:R1010)</f>
        <v>103034</v>
      </c>
      <c r="S1003" s="378">
        <f>SUM(S1004:S1010)</f>
        <v>0</v>
      </c>
      <c r="T1003" s="378">
        <f>SUM(T1004:T1010)</f>
        <v>0</v>
      </c>
      <c r="U1003" s="378">
        <f t="shared" ref="U1003:U1014" si="143">SUM(U1004:U1010)</f>
        <v>0</v>
      </c>
      <c r="V1003" s="378">
        <f t="shared" ref="V1003:AJ1003" si="144">SUM(V1004:V1010)</f>
        <v>281881</v>
      </c>
      <c r="W1003" s="378">
        <f t="shared" si="144"/>
        <v>0</v>
      </c>
      <c r="X1003" s="378">
        <f t="shared" si="144"/>
        <v>103034</v>
      </c>
      <c r="Y1003" s="378">
        <f t="shared" si="144"/>
        <v>49559</v>
      </c>
      <c r="Z1003" s="378">
        <f t="shared" si="144"/>
        <v>232322</v>
      </c>
      <c r="AA1003" s="378">
        <f t="shared" si="144"/>
        <v>110697</v>
      </c>
      <c r="AB1003" s="378">
        <f t="shared" si="144"/>
        <v>0</v>
      </c>
      <c r="AC1003" s="378">
        <f t="shared" si="144"/>
        <v>0</v>
      </c>
      <c r="AD1003" s="378">
        <f t="shared" si="144"/>
        <v>0</v>
      </c>
      <c r="AE1003" s="378">
        <f t="shared" si="144"/>
        <v>0</v>
      </c>
      <c r="AF1003" s="378">
        <f t="shared" si="144"/>
        <v>0</v>
      </c>
      <c r="AG1003" s="378">
        <f t="shared" si="144"/>
        <v>232322</v>
      </c>
      <c r="AH1003" s="378">
        <f t="shared" si="144"/>
        <v>232322</v>
      </c>
      <c r="AI1003" s="378">
        <f t="shared" si="144"/>
        <v>0</v>
      </c>
      <c r="AJ1003" s="378">
        <f t="shared" si="144"/>
        <v>0</v>
      </c>
    </row>
    <row r="1004" spans="2:36" s="204" customFormat="1" x14ac:dyDescent="0.25">
      <c r="B1004" s="246" t="s">
        <v>2528</v>
      </c>
      <c r="C1004" s="287" t="s">
        <v>2529</v>
      </c>
      <c r="D1004" s="284" t="s">
        <v>4073</v>
      </c>
      <c r="E1004" s="274"/>
      <c r="F1004" s="274"/>
      <c r="G1004" s="283"/>
      <c r="H1004" s="266"/>
      <c r="I1004" s="274"/>
      <c r="J1004" s="281"/>
      <c r="K1004" s="281"/>
      <c r="L1004" s="507" t="s">
        <v>4074</v>
      </c>
      <c r="M1004" s="284" t="s">
        <v>2962</v>
      </c>
      <c r="N1004" s="408">
        <f t="shared" ref="N1004:N1010" si="145">+R1004</f>
        <v>103034</v>
      </c>
      <c r="O1004" s="408">
        <f t="shared" ref="O1004:O1010" si="146">+Z1004</f>
        <v>248027</v>
      </c>
      <c r="P1004" s="271">
        <f t="shared" si="142"/>
        <v>144993</v>
      </c>
      <c r="Q1004" s="272">
        <f>+'NI-San_SP'!Q1004+'NI-Soc_SP'!Q1004+'NI-Ric_SP'!Q1004</f>
        <v>0</v>
      </c>
      <c r="R1004" s="272">
        <f>+'NI-San_SP'!R1004+'NI-Soc_SP'!R1004+'NI-Ric_SP'!R1004</f>
        <v>103034</v>
      </c>
      <c r="S1004" s="272">
        <f>+'NI-San_SP'!S1004+'NI-Soc_SP'!S1004+'NI-Ric_SP'!S1004</f>
        <v>0</v>
      </c>
      <c r="T1004" s="272">
        <f>+'NI-San_SP'!T1004+'NI-Soc_SP'!T1004+'NI-Ric_SP'!T1004</f>
        <v>0</v>
      </c>
      <c r="U1004" s="378">
        <f t="shared" si="143"/>
        <v>0</v>
      </c>
      <c r="V1004" s="272">
        <f>+'NI-San_SP'!V1004+'NI-Soc_SP'!V1004+'NI-Ric_SP'!V1004</f>
        <v>281881</v>
      </c>
      <c r="W1004" s="272">
        <f>+'NI-San_SP'!W1004+'NI-Soc_SP'!W1004+'NI-Ric_SP'!W1004</f>
        <v>0</v>
      </c>
      <c r="X1004" s="272">
        <f>+'NI-San_SP'!X1004+'NI-Soc_SP'!X1004+'NI-Ric_SP'!X1004</f>
        <v>87329</v>
      </c>
      <c r="Y1004" s="272">
        <f>+'NI-San_SP'!Y1004+'NI-Soc_SP'!Y1004+'NI-Ric_SP'!Y1004</f>
        <v>49559</v>
      </c>
      <c r="Z1004" s="272">
        <f>+'NI-San_SP'!Z1004+'NI-Soc_SP'!Z1004+'NI-Ric_SP'!Z1004</f>
        <v>248027</v>
      </c>
      <c r="AA1004" s="272">
        <f>+'NI-San_SP'!AA1004+'NI-Soc_SP'!AA1004+'NI-Ric_SP'!AA1004</f>
        <v>110697</v>
      </c>
      <c r="AB1004" s="272">
        <f>+'NI-San_SP'!AB1004+'NI-Soc_SP'!AB1004+'NI-Ric_SP'!AB1004</f>
        <v>0</v>
      </c>
      <c r="AC1004" s="272">
        <f>+'NI-San_SP'!AC1004+'NI-Soc_SP'!AC1004+'NI-Ric_SP'!AC1004</f>
        <v>0</v>
      </c>
      <c r="AD1004" s="272">
        <f>+'NI-San_SP'!AD1004+'NI-Soc_SP'!AD1004+'NI-Ric_SP'!AD1004</f>
        <v>0</v>
      </c>
      <c r="AE1004" s="272">
        <f>+'NI-San_SP'!AE1004+'NI-Soc_SP'!AE1004+'NI-Ric_SP'!AE1004</f>
        <v>0</v>
      </c>
      <c r="AF1004" s="272">
        <f>+'NI-San_SP'!AF1004+'NI-Soc_SP'!AF1004+'NI-Ric_SP'!AF1004</f>
        <v>0</v>
      </c>
      <c r="AG1004" s="272">
        <f>+'NI-San_SP'!AG1004+'NI-Soc_SP'!AG1004+'NI-Ric_SP'!AG1004</f>
        <v>248027</v>
      </c>
      <c r="AH1004" s="272">
        <f>+'NI-San_SP'!AH1004+'NI-Soc_SP'!AH1004+'NI-Ric_SP'!AH1004</f>
        <v>248027</v>
      </c>
      <c r="AI1004" s="272">
        <f>+'NI-San_SP'!AI1004+'NI-Soc_SP'!AI1004+'NI-Ric_SP'!AI1004</f>
        <v>0</v>
      </c>
      <c r="AJ1004" s="272">
        <f>+'NI-San_SP'!AJ1004+'NI-Soc_SP'!AJ1004+'NI-Ric_SP'!AJ1004</f>
        <v>0</v>
      </c>
    </row>
    <row r="1005" spans="2:36" s="204" customFormat="1" x14ac:dyDescent="0.25">
      <c r="B1005" s="246" t="s">
        <v>2532</v>
      </c>
      <c r="C1005" s="287" t="s">
        <v>2533</v>
      </c>
      <c r="D1005" s="284" t="s">
        <v>4075</v>
      </c>
      <c r="E1005" s="274"/>
      <c r="F1005" s="274"/>
      <c r="G1005" s="283"/>
      <c r="H1005" s="266"/>
      <c r="I1005" s="274"/>
      <c r="J1005" s="281"/>
      <c r="K1005" s="281"/>
      <c r="L1005" s="507" t="s">
        <v>4076</v>
      </c>
      <c r="M1005" s="284" t="s">
        <v>2962</v>
      </c>
      <c r="N1005" s="408">
        <f t="shared" si="145"/>
        <v>0</v>
      </c>
      <c r="O1005" s="408">
        <f t="shared" si="146"/>
        <v>0</v>
      </c>
      <c r="P1005" s="271">
        <f t="shared" si="142"/>
        <v>0</v>
      </c>
      <c r="Q1005" s="272">
        <f>+'NI-San_SP'!Q1005+'NI-Soc_SP'!Q1005+'NI-Ric_SP'!Q1005</f>
        <v>0</v>
      </c>
      <c r="R1005" s="272">
        <f>+'NI-San_SP'!R1005+'NI-Soc_SP'!R1005+'NI-Ric_SP'!R1005</f>
        <v>0</v>
      </c>
      <c r="S1005" s="272">
        <f>+'NI-San_SP'!S1005+'NI-Soc_SP'!S1005+'NI-Ric_SP'!S1005</f>
        <v>0</v>
      </c>
      <c r="T1005" s="272">
        <f>+'NI-San_SP'!T1005+'NI-Soc_SP'!T1005+'NI-Ric_SP'!T1005</f>
        <v>0</v>
      </c>
      <c r="U1005" s="378">
        <f t="shared" si="143"/>
        <v>0</v>
      </c>
      <c r="V1005" s="272">
        <f>+'NI-San_SP'!V1005+'NI-Soc_SP'!V1005+'NI-Ric_SP'!V1005</f>
        <v>0</v>
      </c>
      <c r="W1005" s="272">
        <f>+'NI-San_SP'!W1005+'NI-Soc_SP'!W1005+'NI-Ric_SP'!W1005</f>
        <v>0</v>
      </c>
      <c r="X1005" s="272">
        <f>+'NI-San_SP'!X1005+'NI-Soc_SP'!X1005+'NI-Ric_SP'!X1005</f>
        <v>0</v>
      </c>
      <c r="Y1005" s="272">
        <f>+'NI-San_SP'!Y1005+'NI-Soc_SP'!Y1005+'NI-Ric_SP'!Y1005</f>
        <v>0</v>
      </c>
      <c r="Z1005" s="272">
        <f>+'NI-San_SP'!Z1005+'NI-Soc_SP'!Z1005+'NI-Ric_SP'!Z1005</f>
        <v>0</v>
      </c>
      <c r="AA1005" s="272">
        <f>+'NI-San_SP'!AA1005+'NI-Soc_SP'!AA1005+'NI-Ric_SP'!AA1005</f>
        <v>0</v>
      </c>
      <c r="AB1005" s="272">
        <f>+'NI-San_SP'!AB1005+'NI-Soc_SP'!AB1005+'NI-Ric_SP'!AB1005</f>
        <v>0</v>
      </c>
      <c r="AC1005" s="272">
        <f>+'NI-San_SP'!AC1005+'NI-Soc_SP'!AC1005+'NI-Ric_SP'!AC1005</f>
        <v>0</v>
      </c>
      <c r="AD1005" s="272">
        <f>+'NI-San_SP'!AD1005+'NI-Soc_SP'!AD1005+'NI-Ric_SP'!AD1005</f>
        <v>0</v>
      </c>
      <c r="AE1005" s="272">
        <f>+'NI-San_SP'!AE1005+'NI-Soc_SP'!AE1005+'NI-Ric_SP'!AE1005</f>
        <v>0</v>
      </c>
      <c r="AF1005" s="272">
        <f>+'NI-San_SP'!AF1005+'NI-Soc_SP'!AF1005+'NI-Ric_SP'!AF1005</f>
        <v>0</v>
      </c>
      <c r="AG1005" s="272">
        <f>+'NI-San_SP'!AG1005+'NI-Soc_SP'!AG1005+'NI-Ric_SP'!AG1005</f>
        <v>0</v>
      </c>
      <c r="AH1005" s="272">
        <f>+'NI-San_SP'!AH1005+'NI-Soc_SP'!AH1005+'NI-Ric_SP'!AH1005</f>
        <v>0</v>
      </c>
      <c r="AI1005" s="272">
        <f>+'NI-San_SP'!AI1005+'NI-Soc_SP'!AI1005+'NI-Ric_SP'!AI1005</f>
        <v>0</v>
      </c>
      <c r="AJ1005" s="272">
        <f>+'NI-San_SP'!AJ1005+'NI-Soc_SP'!AJ1005+'NI-Ric_SP'!AJ1005</f>
        <v>0</v>
      </c>
    </row>
    <row r="1006" spans="2:36" s="204" customFormat="1" x14ac:dyDescent="0.25">
      <c r="B1006" s="246" t="s">
        <v>2535</v>
      </c>
      <c r="C1006" s="287" t="s">
        <v>2536</v>
      </c>
      <c r="D1006" s="284" t="s">
        <v>4077</v>
      </c>
      <c r="E1006" s="274"/>
      <c r="F1006" s="274"/>
      <c r="G1006" s="283"/>
      <c r="H1006" s="266"/>
      <c r="I1006" s="274"/>
      <c r="J1006" s="281"/>
      <c r="K1006" s="281"/>
      <c r="L1006" s="507" t="s">
        <v>4078</v>
      </c>
      <c r="M1006" s="284" t="s">
        <v>2962</v>
      </c>
      <c r="N1006" s="408">
        <f t="shared" si="145"/>
        <v>0</v>
      </c>
      <c r="O1006" s="408">
        <f t="shared" si="146"/>
        <v>0</v>
      </c>
      <c r="P1006" s="271">
        <f t="shared" si="142"/>
        <v>0</v>
      </c>
      <c r="Q1006" s="272">
        <f>+'NI-San_SP'!Q1006+'NI-Soc_SP'!Q1006+'NI-Ric_SP'!Q1006</f>
        <v>0</v>
      </c>
      <c r="R1006" s="272">
        <f>+'NI-San_SP'!R1006+'NI-Soc_SP'!R1006+'NI-Ric_SP'!R1006</f>
        <v>0</v>
      </c>
      <c r="S1006" s="272">
        <f>+'NI-San_SP'!S1006+'NI-Soc_SP'!S1006+'NI-Ric_SP'!S1006</f>
        <v>0</v>
      </c>
      <c r="T1006" s="272">
        <f>+'NI-San_SP'!T1006+'NI-Soc_SP'!T1006+'NI-Ric_SP'!T1006</f>
        <v>0</v>
      </c>
      <c r="U1006" s="378">
        <f t="shared" si="143"/>
        <v>0</v>
      </c>
      <c r="V1006" s="272">
        <f>+'NI-San_SP'!V1006+'NI-Soc_SP'!V1006+'NI-Ric_SP'!V1006</f>
        <v>0</v>
      </c>
      <c r="W1006" s="272">
        <f>+'NI-San_SP'!W1006+'NI-Soc_SP'!W1006+'NI-Ric_SP'!W1006</f>
        <v>0</v>
      </c>
      <c r="X1006" s="272">
        <f>+'NI-San_SP'!X1006+'NI-Soc_SP'!X1006+'NI-Ric_SP'!X1006</f>
        <v>0</v>
      </c>
      <c r="Y1006" s="272">
        <f>+'NI-San_SP'!Y1006+'NI-Soc_SP'!Y1006+'NI-Ric_SP'!Y1006</f>
        <v>0</v>
      </c>
      <c r="Z1006" s="272">
        <f>+'NI-San_SP'!Z1006+'NI-Soc_SP'!Z1006+'NI-Ric_SP'!Z1006</f>
        <v>0</v>
      </c>
      <c r="AA1006" s="272">
        <f>+'NI-San_SP'!AA1006+'NI-Soc_SP'!AA1006+'NI-Ric_SP'!AA1006</f>
        <v>0</v>
      </c>
      <c r="AB1006" s="272">
        <f>+'NI-San_SP'!AB1006+'NI-Soc_SP'!AB1006+'NI-Ric_SP'!AB1006</f>
        <v>0</v>
      </c>
      <c r="AC1006" s="272">
        <f>+'NI-San_SP'!AC1006+'NI-Soc_SP'!AC1006+'NI-Ric_SP'!AC1006</f>
        <v>0</v>
      </c>
      <c r="AD1006" s="272">
        <f>+'NI-San_SP'!AD1006+'NI-Soc_SP'!AD1006+'NI-Ric_SP'!AD1006</f>
        <v>0</v>
      </c>
      <c r="AE1006" s="272">
        <f>+'NI-San_SP'!AE1006+'NI-Soc_SP'!AE1006+'NI-Ric_SP'!AE1006</f>
        <v>0</v>
      </c>
      <c r="AF1006" s="272">
        <f>+'NI-San_SP'!AF1006+'NI-Soc_SP'!AF1006+'NI-Ric_SP'!AF1006</f>
        <v>0</v>
      </c>
      <c r="AG1006" s="272">
        <f>+'NI-San_SP'!AG1006+'NI-Soc_SP'!AG1006+'NI-Ric_SP'!AG1006</f>
        <v>0</v>
      </c>
      <c r="AH1006" s="272">
        <f>+'NI-San_SP'!AH1006+'NI-Soc_SP'!AH1006+'NI-Ric_SP'!AH1006</f>
        <v>0</v>
      </c>
      <c r="AI1006" s="272">
        <f>+'NI-San_SP'!AI1006+'NI-Soc_SP'!AI1006+'NI-Ric_SP'!AI1006</f>
        <v>0</v>
      </c>
      <c r="AJ1006" s="272">
        <f>+'NI-San_SP'!AJ1006+'NI-Soc_SP'!AJ1006+'NI-Ric_SP'!AJ1006</f>
        <v>0</v>
      </c>
    </row>
    <row r="1007" spans="2:36" s="204" customFormat="1" x14ac:dyDescent="0.25">
      <c r="B1007" s="246" t="s">
        <v>2538</v>
      </c>
      <c r="C1007" s="287" t="s">
        <v>2539</v>
      </c>
      <c r="D1007" s="284" t="s">
        <v>4079</v>
      </c>
      <c r="E1007" s="274"/>
      <c r="F1007" s="274"/>
      <c r="G1007" s="283"/>
      <c r="H1007" s="266"/>
      <c r="I1007" s="274"/>
      <c r="J1007" s="281"/>
      <c r="K1007" s="281"/>
      <c r="L1007" s="507" t="s">
        <v>4080</v>
      </c>
      <c r="M1007" s="284" t="s">
        <v>2962</v>
      </c>
      <c r="N1007" s="408">
        <f t="shared" si="145"/>
        <v>0</v>
      </c>
      <c r="O1007" s="408">
        <f t="shared" si="146"/>
        <v>0</v>
      </c>
      <c r="P1007" s="271">
        <f t="shared" si="142"/>
        <v>0</v>
      </c>
      <c r="Q1007" s="272">
        <f>+'NI-San_SP'!Q1007+'NI-Soc_SP'!Q1007+'NI-Ric_SP'!Q1007</f>
        <v>0</v>
      </c>
      <c r="R1007" s="272">
        <f>+'NI-San_SP'!R1007+'NI-Soc_SP'!R1007+'NI-Ric_SP'!R1007</f>
        <v>0</v>
      </c>
      <c r="S1007" s="272">
        <f>+'NI-San_SP'!S1007+'NI-Soc_SP'!S1007+'NI-Ric_SP'!S1007</f>
        <v>0</v>
      </c>
      <c r="T1007" s="272">
        <f>+'NI-San_SP'!T1007+'NI-Soc_SP'!T1007+'NI-Ric_SP'!T1007</f>
        <v>0</v>
      </c>
      <c r="U1007" s="378">
        <f t="shared" si="143"/>
        <v>0</v>
      </c>
      <c r="V1007" s="272">
        <f>+'NI-San_SP'!V1007+'NI-Soc_SP'!V1007+'NI-Ric_SP'!V1007</f>
        <v>0</v>
      </c>
      <c r="W1007" s="272">
        <f>+'NI-San_SP'!W1007+'NI-Soc_SP'!W1007+'NI-Ric_SP'!W1007</f>
        <v>0</v>
      </c>
      <c r="X1007" s="272">
        <f>+'NI-San_SP'!X1007+'NI-Soc_SP'!X1007+'NI-Ric_SP'!X1007</f>
        <v>0</v>
      </c>
      <c r="Y1007" s="272">
        <f>+'NI-San_SP'!Y1007+'NI-Soc_SP'!Y1007+'NI-Ric_SP'!Y1007</f>
        <v>0</v>
      </c>
      <c r="Z1007" s="272">
        <f>+'NI-San_SP'!Z1007+'NI-Soc_SP'!Z1007+'NI-Ric_SP'!Z1007</f>
        <v>0</v>
      </c>
      <c r="AA1007" s="272">
        <f>+'NI-San_SP'!AA1007+'NI-Soc_SP'!AA1007+'NI-Ric_SP'!AA1007</f>
        <v>0</v>
      </c>
      <c r="AB1007" s="272">
        <f>+'NI-San_SP'!AB1007+'NI-Soc_SP'!AB1007+'NI-Ric_SP'!AB1007</f>
        <v>0</v>
      </c>
      <c r="AC1007" s="272">
        <f>+'NI-San_SP'!AC1007+'NI-Soc_SP'!AC1007+'NI-Ric_SP'!AC1007</f>
        <v>0</v>
      </c>
      <c r="AD1007" s="272">
        <f>+'NI-San_SP'!AD1007+'NI-Soc_SP'!AD1007+'NI-Ric_SP'!AD1007</f>
        <v>0</v>
      </c>
      <c r="AE1007" s="272">
        <f>+'NI-San_SP'!AE1007+'NI-Soc_SP'!AE1007+'NI-Ric_SP'!AE1007</f>
        <v>0</v>
      </c>
      <c r="AF1007" s="272">
        <f>+'NI-San_SP'!AF1007+'NI-Soc_SP'!AF1007+'NI-Ric_SP'!AF1007</f>
        <v>0</v>
      </c>
      <c r="AG1007" s="272">
        <f>+'NI-San_SP'!AG1007+'NI-Soc_SP'!AG1007+'NI-Ric_SP'!AG1007</f>
        <v>0</v>
      </c>
      <c r="AH1007" s="272">
        <f>+'NI-San_SP'!AH1007+'NI-Soc_SP'!AH1007+'NI-Ric_SP'!AH1007</f>
        <v>0</v>
      </c>
      <c r="AI1007" s="272">
        <f>+'NI-San_SP'!AI1007+'NI-Soc_SP'!AI1007+'NI-Ric_SP'!AI1007</f>
        <v>0</v>
      </c>
      <c r="AJ1007" s="272">
        <f>+'NI-San_SP'!AJ1007+'NI-Soc_SP'!AJ1007+'NI-Ric_SP'!AJ1007</f>
        <v>0</v>
      </c>
    </row>
    <row r="1008" spans="2:36" s="204" customFormat="1" x14ac:dyDescent="0.25">
      <c r="B1008" s="246" t="s">
        <v>2541</v>
      </c>
      <c r="C1008" s="287" t="s">
        <v>2542</v>
      </c>
      <c r="D1008" s="284" t="s">
        <v>4081</v>
      </c>
      <c r="E1008" s="274"/>
      <c r="F1008" s="274"/>
      <c r="G1008" s="283"/>
      <c r="H1008" s="266"/>
      <c r="I1008" s="274"/>
      <c r="J1008" s="281"/>
      <c r="K1008" s="281"/>
      <c r="L1008" s="507" t="s">
        <v>4082</v>
      </c>
      <c r="M1008" s="284" t="s">
        <v>2962</v>
      </c>
      <c r="N1008" s="408">
        <f t="shared" si="145"/>
        <v>0</v>
      </c>
      <c r="O1008" s="408">
        <f t="shared" si="146"/>
        <v>0</v>
      </c>
      <c r="P1008" s="271">
        <f t="shared" si="142"/>
        <v>0</v>
      </c>
      <c r="Q1008" s="272">
        <f>+'NI-San_SP'!Q1008+'NI-Soc_SP'!Q1008+'NI-Ric_SP'!Q1008</f>
        <v>0</v>
      </c>
      <c r="R1008" s="272">
        <f>+'NI-San_SP'!R1008+'NI-Soc_SP'!R1008+'NI-Ric_SP'!R1008</f>
        <v>0</v>
      </c>
      <c r="S1008" s="272">
        <f>+'NI-San_SP'!S1008+'NI-Soc_SP'!S1008+'NI-Ric_SP'!S1008</f>
        <v>0</v>
      </c>
      <c r="T1008" s="272">
        <f>+'NI-San_SP'!T1008+'NI-Soc_SP'!T1008+'NI-Ric_SP'!T1008</f>
        <v>0</v>
      </c>
      <c r="U1008" s="378">
        <f t="shared" si="143"/>
        <v>0</v>
      </c>
      <c r="V1008" s="272">
        <f>+'NI-San_SP'!V1008+'NI-Soc_SP'!V1008+'NI-Ric_SP'!V1008</f>
        <v>0</v>
      </c>
      <c r="W1008" s="272">
        <f>+'NI-San_SP'!W1008+'NI-Soc_SP'!W1008+'NI-Ric_SP'!W1008</f>
        <v>0</v>
      </c>
      <c r="X1008" s="272">
        <f>+'NI-San_SP'!X1008+'NI-Soc_SP'!X1008+'NI-Ric_SP'!X1008</f>
        <v>0</v>
      </c>
      <c r="Y1008" s="272">
        <f>+'NI-San_SP'!Y1008+'NI-Soc_SP'!Y1008+'NI-Ric_SP'!Y1008</f>
        <v>0</v>
      </c>
      <c r="Z1008" s="272">
        <f>+'NI-San_SP'!Z1008+'NI-Soc_SP'!Z1008+'NI-Ric_SP'!Z1008</f>
        <v>0</v>
      </c>
      <c r="AA1008" s="272">
        <f>+'NI-San_SP'!AA1008+'NI-Soc_SP'!AA1008+'NI-Ric_SP'!AA1008</f>
        <v>0</v>
      </c>
      <c r="AB1008" s="272">
        <f>+'NI-San_SP'!AB1008+'NI-Soc_SP'!AB1008+'NI-Ric_SP'!AB1008</f>
        <v>0</v>
      </c>
      <c r="AC1008" s="272">
        <f>+'NI-San_SP'!AC1008+'NI-Soc_SP'!AC1008+'NI-Ric_SP'!AC1008</f>
        <v>0</v>
      </c>
      <c r="AD1008" s="272">
        <f>+'NI-San_SP'!AD1008+'NI-Soc_SP'!AD1008+'NI-Ric_SP'!AD1008</f>
        <v>0</v>
      </c>
      <c r="AE1008" s="272">
        <f>+'NI-San_SP'!AE1008+'NI-Soc_SP'!AE1008+'NI-Ric_SP'!AE1008</f>
        <v>0</v>
      </c>
      <c r="AF1008" s="272">
        <f>+'NI-San_SP'!AF1008+'NI-Soc_SP'!AF1008+'NI-Ric_SP'!AF1008</f>
        <v>0</v>
      </c>
      <c r="AG1008" s="272">
        <f>+'NI-San_SP'!AG1008+'NI-Soc_SP'!AG1008+'NI-Ric_SP'!AG1008</f>
        <v>0</v>
      </c>
      <c r="AH1008" s="272">
        <f>+'NI-San_SP'!AH1008+'NI-Soc_SP'!AH1008+'NI-Ric_SP'!AH1008</f>
        <v>0</v>
      </c>
      <c r="AI1008" s="272">
        <f>+'NI-San_SP'!AI1008+'NI-Soc_SP'!AI1008+'NI-Ric_SP'!AI1008</f>
        <v>0</v>
      </c>
      <c r="AJ1008" s="272">
        <f>+'NI-San_SP'!AJ1008+'NI-Soc_SP'!AJ1008+'NI-Ric_SP'!AJ1008</f>
        <v>0</v>
      </c>
    </row>
    <row r="1009" spans="1:36" s="204" customFormat="1" ht="26.25" x14ac:dyDescent="0.25">
      <c r="B1009" s="246" t="s">
        <v>2544</v>
      </c>
      <c r="C1009" s="287" t="s">
        <v>2545</v>
      </c>
      <c r="D1009" s="284" t="s">
        <v>4083</v>
      </c>
      <c r="E1009" s="274"/>
      <c r="F1009" s="274"/>
      <c r="G1009" s="283"/>
      <c r="H1009" s="266"/>
      <c r="I1009" s="274"/>
      <c r="J1009" s="281"/>
      <c r="K1009" s="281"/>
      <c r="L1009" s="507" t="s">
        <v>4084</v>
      </c>
      <c r="M1009" s="284" t="s">
        <v>2962</v>
      </c>
      <c r="N1009" s="408">
        <f t="shared" si="145"/>
        <v>0</v>
      </c>
      <c r="O1009" s="408">
        <f t="shared" si="146"/>
        <v>0</v>
      </c>
      <c r="P1009" s="271">
        <f t="shared" si="142"/>
        <v>0</v>
      </c>
      <c r="Q1009" s="272">
        <f>+'NI-San_SP'!Q1009+'NI-Soc_SP'!Q1009+'NI-Ric_SP'!Q1009</f>
        <v>0</v>
      </c>
      <c r="R1009" s="272">
        <f>+'NI-San_SP'!R1009+'NI-Soc_SP'!R1009+'NI-Ric_SP'!R1009</f>
        <v>0</v>
      </c>
      <c r="S1009" s="272">
        <f>+'NI-San_SP'!S1009+'NI-Soc_SP'!S1009+'NI-Ric_SP'!S1009</f>
        <v>0</v>
      </c>
      <c r="T1009" s="272">
        <f>+'NI-San_SP'!T1009+'NI-Soc_SP'!T1009+'NI-Ric_SP'!T1009</f>
        <v>0</v>
      </c>
      <c r="U1009" s="378">
        <f t="shared" si="143"/>
        <v>0</v>
      </c>
      <c r="V1009" s="272">
        <f>+'NI-San_SP'!V1009+'NI-Soc_SP'!V1009+'NI-Ric_SP'!V1009</f>
        <v>0</v>
      </c>
      <c r="W1009" s="272">
        <f>+'NI-San_SP'!W1009+'NI-Soc_SP'!W1009+'NI-Ric_SP'!W1009</f>
        <v>0</v>
      </c>
      <c r="X1009" s="272">
        <f>+'NI-San_SP'!X1009+'NI-Soc_SP'!X1009+'NI-Ric_SP'!X1009</f>
        <v>0</v>
      </c>
      <c r="Y1009" s="272">
        <f>+'NI-San_SP'!Y1009+'NI-Soc_SP'!Y1009+'NI-Ric_SP'!Y1009</f>
        <v>0</v>
      </c>
      <c r="Z1009" s="272">
        <f>+'NI-San_SP'!Z1009+'NI-Soc_SP'!Z1009+'NI-Ric_SP'!Z1009</f>
        <v>0</v>
      </c>
      <c r="AA1009" s="272">
        <f>+'NI-San_SP'!AA1009+'NI-Soc_SP'!AA1009+'NI-Ric_SP'!AA1009</f>
        <v>0</v>
      </c>
      <c r="AB1009" s="272">
        <f>+'NI-San_SP'!AB1009+'NI-Soc_SP'!AB1009+'NI-Ric_SP'!AB1009</f>
        <v>0</v>
      </c>
      <c r="AC1009" s="272">
        <f>+'NI-San_SP'!AC1009+'NI-Soc_SP'!AC1009+'NI-Ric_SP'!AC1009</f>
        <v>0</v>
      </c>
      <c r="AD1009" s="272">
        <f>+'NI-San_SP'!AD1009+'NI-Soc_SP'!AD1009+'NI-Ric_SP'!AD1009</f>
        <v>0</v>
      </c>
      <c r="AE1009" s="272">
        <f>+'NI-San_SP'!AE1009+'NI-Soc_SP'!AE1009+'NI-Ric_SP'!AE1009</f>
        <v>0</v>
      </c>
      <c r="AF1009" s="272">
        <f>+'NI-San_SP'!AF1009+'NI-Soc_SP'!AF1009+'NI-Ric_SP'!AF1009</f>
        <v>0</v>
      </c>
      <c r="AG1009" s="272">
        <f>+'NI-San_SP'!AG1009+'NI-Soc_SP'!AG1009+'NI-Ric_SP'!AG1009</f>
        <v>0</v>
      </c>
      <c r="AH1009" s="272">
        <f>+'NI-San_SP'!AH1009+'NI-Soc_SP'!AH1009+'NI-Ric_SP'!AH1009</f>
        <v>0</v>
      </c>
      <c r="AI1009" s="272">
        <f>+'NI-San_SP'!AI1009+'NI-Soc_SP'!AI1009+'NI-Ric_SP'!AI1009</f>
        <v>0</v>
      </c>
      <c r="AJ1009" s="272">
        <f>+'NI-San_SP'!AJ1009+'NI-Soc_SP'!AJ1009+'NI-Ric_SP'!AJ1009</f>
        <v>0</v>
      </c>
    </row>
    <row r="1010" spans="1:36" s="204" customFormat="1" x14ac:dyDescent="0.25">
      <c r="A1010" s="204" t="s">
        <v>3681</v>
      </c>
      <c r="B1010" s="246" t="s">
        <v>2547</v>
      </c>
      <c r="C1010" s="95" t="s">
        <v>2548</v>
      </c>
      <c r="D1010" s="284"/>
      <c r="E1010" s="274"/>
      <c r="F1010" s="274"/>
      <c r="G1010" s="283"/>
      <c r="H1010" s="266"/>
      <c r="I1010" s="274"/>
      <c r="J1010" s="281"/>
      <c r="K1010" s="281"/>
      <c r="L1010" s="496" t="s">
        <v>2550</v>
      </c>
      <c r="M1010" s="284" t="s">
        <v>2962</v>
      </c>
      <c r="N1010" s="408">
        <f t="shared" si="145"/>
        <v>0</v>
      </c>
      <c r="O1010" s="408">
        <f t="shared" si="146"/>
        <v>-15705</v>
      </c>
      <c r="P1010" s="271">
        <f t="shared" si="142"/>
        <v>-15705</v>
      </c>
      <c r="Q1010" s="272">
        <f>+'NI-San_SP'!Q1010+'NI-Soc_SP'!Q1010+'NI-Ric_SP'!Q1010</f>
        <v>0</v>
      </c>
      <c r="R1010" s="272">
        <f>+'NI-San_SP'!R1010+'NI-Soc_SP'!R1010+'NI-Ric_SP'!R1010</f>
        <v>0</v>
      </c>
      <c r="S1010" s="272">
        <f>+'NI-San_SP'!S1010+'NI-Soc_SP'!S1010+'NI-Ric_SP'!S1010</f>
        <v>0</v>
      </c>
      <c r="T1010" s="272">
        <f>+'NI-San_SP'!T1010+'NI-Soc_SP'!T1010+'NI-Ric_SP'!T1010</f>
        <v>0</v>
      </c>
      <c r="U1010" s="378">
        <f t="shared" si="143"/>
        <v>0</v>
      </c>
      <c r="V1010" s="272">
        <f>+'NI-San_SP'!V1010+'NI-Soc_SP'!V1010+'NI-Ric_SP'!V1010</f>
        <v>0</v>
      </c>
      <c r="W1010" s="272">
        <f>+'NI-San_SP'!W1010+'NI-Soc_SP'!W1010+'NI-Ric_SP'!W1010</f>
        <v>0</v>
      </c>
      <c r="X1010" s="272">
        <f>+'NI-San_SP'!X1010+'NI-Soc_SP'!X1010+'NI-Ric_SP'!X1010</f>
        <v>15705</v>
      </c>
      <c r="Y1010" s="272">
        <f>+'NI-San_SP'!Y1010+'NI-Soc_SP'!Y1010+'NI-Ric_SP'!Y1010</f>
        <v>0</v>
      </c>
      <c r="Z1010" s="272">
        <f>+'NI-San_SP'!Z1010+'NI-Soc_SP'!Z1010+'NI-Ric_SP'!Z1010</f>
        <v>-15705</v>
      </c>
      <c r="AA1010" s="272">
        <f>+'NI-San_SP'!AA1010+'NI-Soc_SP'!AA1010+'NI-Ric_SP'!AA1010</f>
        <v>0</v>
      </c>
      <c r="AB1010" s="272">
        <f>+'NI-San_SP'!AB1010+'NI-Soc_SP'!AB1010+'NI-Ric_SP'!AB1010</f>
        <v>0</v>
      </c>
      <c r="AC1010" s="272">
        <f>+'NI-San_SP'!AC1010+'NI-Soc_SP'!AC1010+'NI-Ric_SP'!AC1010</f>
        <v>0</v>
      </c>
      <c r="AD1010" s="272">
        <f>+'NI-San_SP'!AD1010+'NI-Soc_SP'!AD1010+'NI-Ric_SP'!AD1010</f>
        <v>0</v>
      </c>
      <c r="AE1010" s="272">
        <f>+'NI-San_SP'!AE1010+'NI-Soc_SP'!AE1010+'NI-Ric_SP'!AE1010</f>
        <v>0</v>
      </c>
      <c r="AF1010" s="272">
        <f>+'NI-San_SP'!AF1010+'NI-Soc_SP'!AF1010+'NI-Ric_SP'!AF1010</f>
        <v>0</v>
      </c>
      <c r="AG1010" s="272">
        <f>+'NI-San_SP'!AG1010+'NI-Soc_SP'!AG1010+'NI-Ric_SP'!AG1010</f>
        <v>-15705</v>
      </c>
      <c r="AH1010" s="272">
        <f>+'NI-San_SP'!AH1010+'NI-Soc_SP'!AH1010+'NI-Ric_SP'!AH1010</f>
        <v>-15705</v>
      </c>
      <c r="AI1010" s="272">
        <f>+'NI-San_SP'!AI1010+'NI-Soc_SP'!AI1010+'NI-Ric_SP'!AI1010</f>
        <v>0</v>
      </c>
      <c r="AJ1010" s="272">
        <f>+'NI-San_SP'!AJ1010+'NI-Soc_SP'!AJ1010+'NI-Ric_SP'!AJ1010</f>
        <v>0</v>
      </c>
    </row>
    <row r="1011" spans="1:36" s="204" customFormat="1" x14ac:dyDescent="0.25">
      <c r="B1011" s="246" t="s">
        <v>2551</v>
      </c>
      <c r="C1011" s="287" t="s">
        <v>2552</v>
      </c>
      <c r="D1011" s="284" t="s">
        <v>4085</v>
      </c>
      <c r="E1011" s="274"/>
      <c r="F1011" s="274"/>
      <c r="G1011" s="283"/>
      <c r="H1011" s="266"/>
      <c r="I1011" s="274"/>
      <c r="J1011" s="281"/>
      <c r="K1011" s="281"/>
      <c r="L1011" s="488" t="s">
        <v>2554</v>
      </c>
      <c r="M1011" s="284" t="s">
        <v>2962</v>
      </c>
      <c r="N1011" s="378">
        <f>SUM(N1012:N1013)</f>
        <v>32434815</v>
      </c>
      <c r="O1011" s="378">
        <f>SUM(O1012:O1014)</f>
        <v>31454258</v>
      </c>
      <c r="P1011" s="378">
        <f t="shared" si="142"/>
        <v>-980557</v>
      </c>
      <c r="Q1011" s="272">
        <f>+'NI-San_SP'!Q1011+'NI-Soc_SP'!Q1011+'NI-Ric_SP'!Q1011</f>
        <v>0</v>
      </c>
      <c r="R1011" s="272">
        <f>+'NI-San_SP'!R1011+'NI-Soc_SP'!R1011+'NI-Ric_SP'!R1011</f>
        <v>32434815</v>
      </c>
      <c r="S1011" s="272">
        <f>+'NI-San_SP'!S1011+'NI-Soc_SP'!S1011+'NI-Ric_SP'!S1011</f>
        <v>0</v>
      </c>
      <c r="T1011" s="272">
        <f>+'NI-San_SP'!T1011+'NI-Soc_SP'!T1011+'NI-Ric_SP'!T1011</f>
        <v>4755272</v>
      </c>
      <c r="U1011" s="378">
        <f t="shared" si="143"/>
        <v>0</v>
      </c>
      <c r="V1011" s="272">
        <f>+'NI-San_SP'!V1011+'NI-Soc_SP'!V1011+'NI-Ric_SP'!V1011</f>
        <v>113890968</v>
      </c>
      <c r="W1011" s="272">
        <f>+'NI-San_SP'!W1011+'NI-Soc_SP'!W1011+'NI-Ric_SP'!W1011</f>
        <v>0</v>
      </c>
      <c r="X1011" s="272">
        <f>+'NI-San_SP'!X1011+'NI-Soc_SP'!X1011+'NI-Ric_SP'!X1011</f>
        <v>28619248</v>
      </c>
      <c r="Y1011" s="272">
        <f>+'NI-San_SP'!Y1011+'NI-Soc_SP'!Y1011+'NI-Ric_SP'!Y1011</f>
        <v>86252277</v>
      </c>
      <c r="Z1011" s="272">
        <f>+'NI-San_SP'!Z1011+'NI-Soc_SP'!Z1011+'NI-Ric_SP'!Z1011</f>
        <v>31454258</v>
      </c>
      <c r="AA1011" s="272">
        <f>+'NI-San_SP'!AA1011+'NI-Soc_SP'!AA1011+'NI-Ric_SP'!AA1011</f>
        <v>6908770</v>
      </c>
      <c r="AB1011" s="272">
        <f>+'NI-San_SP'!AB1011+'NI-Soc_SP'!AB1011+'NI-Ric_SP'!AB1011</f>
        <v>5336736</v>
      </c>
      <c r="AC1011" s="272">
        <f>+'NI-San_SP'!AC1011+'NI-Soc_SP'!AC1011+'NI-Ric_SP'!AC1011</f>
        <v>3228801</v>
      </c>
      <c r="AD1011" s="272">
        <f>+'NI-San_SP'!AD1011+'NI-Soc_SP'!AD1011+'NI-Ric_SP'!AD1011</f>
        <v>82314</v>
      </c>
      <c r="AE1011" s="272">
        <f>+'NI-San_SP'!AE1011+'NI-Soc_SP'!AE1011+'NI-Ric_SP'!AE1011</f>
        <v>116441</v>
      </c>
      <c r="AF1011" s="272">
        <f>+'NI-San_SP'!AF1011+'NI-Soc_SP'!AF1011+'NI-Ric_SP'!AF1011</f>
        <v>448499</v>
      </c>
      <c r="AG1011" s="272">
        <f>+'NI-San_SP'!AG1011+'NI-Soc_SP'!AG1011+'NI-Ric_SP'!AG1011</f>
        <v>27578203</v>
      </c>
      <c r="AH1011" s="272">
        <f>+'NI-San_SP'!AH1011+'NI-Soc_SP'!AH1011+'NI-Ric_SP'!AH1011</f>
        <v>31454258</v>
      </c>
      <c r="AI1011" s="272">
        <f>+'NI-San_SP'!AI1011+'NI-Soc_SP'!AI1011+'NI-Ric_SP'!AI1011</f>
        <v>0</v>
      </c>
      <c r="AJ1011" s="272">
        <f>+'NI-San_SP'!AJ1011+'NI-Soc_SP'!AJ1011+'NI-Ric_SP'!AJ1011</f>
        <v>0</v>
      </c>
    </row>
    <row r="1012" spans="1:36" s="204" customFormat="1" x14ac:dyDescent="0.25">
      <c r="B1012" s="246" t="s">
        <v>2555</v>
      </c>
      <c r="C1012" s="287" t="s">
        <v>2556</v>
      </c>
      <c r="D1012" s="284" t="s">
        <v>4086</v>
      </c>
      <c r="E1012" s="274"/>
      <c r="F1012" s="274"/>
      <c r="G1012" s="283"/>
      <c r="H1012" s="266"/>
      <c r="I1012" s="274"/>
      <c r="J1012" s="281"/>
      <c r="K1012" s="281"/>
      <c r="L1012" s="507" t="s">
        <v>4087</v>
      </c>
      <c r="M1012" s="284" t="s">
        <v>2962</v>
      </c>
      <c r="N1012" s="408">
        <f>+R1012</f>
        <v>22592054</v>
      </c>
      <c r="O1012" s="408">
        <f>+Z1012</f>
        <v>20683115</v>
      </c>
      <c r="P1012" s="271">
        <f t="shared" si="142"/>
        <v>-1908939</v>
      </c>
      <c r="Q1012" s="272">
        <f>+'NI-San_SP'!Q1012+'NI-Soc_SP'!Q1012+'NI-Ric_SP'!Q1012</f>
        <v>0</v>
      </c>
      <c r="R1012" s="272">
        <f>+'NI-San_SP'!R1012+'NI-Soc_SP'!R1012+'NI-Ric_SP'!R1012</f>
        <v>22592054</v>
      </c>
      <c r="S1012" s="272">
        <f>+'NI-San_SP'!S1012+'NI-Soc_SP'!S1012+'NI-Ric_SP'!S1012</f>
        <v>0</v>
      </c>
      <c r="T1012" s="272">
        <f>+'NI-San_SP'!T1012+'NI-Soc_SP'!T1012+'NI-Ric_SP'!T1012</f>
        <v>4755272</v>
      </c>
      <c r="U1012" s="378">
        <f t="shared" si="143"/>
        <v>0</v>
      </c>
      <c r="V1012" s="272">
        <f>+'NI-San_SP'!V1012+'NI-Soc_SP'!V1012+'NI-Ric_SP'!V1012</f>
        <v>79828026</v>
      </c>
      <c r="W1012" s="272">
        <f>+'NI-San_SP'!W1012+'NI-Soc_SP'!W1012+'NI-Ric_SP'!W1012</f>
        <v>0</v>
      </c>
      <c r="X1012" s="272">
        <f>+'NI-San_SP'!X1012+'NI-Soc_SP'!X1012+'NI-Ric_SP'!X1012</f>
        <v>19444903</v>
      </c>
      <c r="Y1012" s="272">
        <f>+'NI-San_SP'!Y1012+'NI-Soc_SP'!Y1012+'NI-Ric_SP'!Y1012</f>
        <v>62292062</v>
      </c>
      <c r="Z1012" s="272">
        <f>+'NI-San_SP'!Z1012+'NI-Soc_SP'!Z1012+'NI-Ric_SP'!Z1012</f>
        <v>20683115</v>
      </c>
      <c r="AA1012" s="272">
        <f>+'NI-San_SP'!AA1012+'NI-Soc_SP'!AA1012+'NI-Ric_SP'!AA1012</f>
        <v>2248537</v>
      </c>
      <c r="AB1012" s="272">
        <f>+'NI-San_SP'!AB1012+'NI-Soc_SP'!AB1012+'NI-Ric_SP'!AB1012</f>
        <v>5336736</v>
      </c>
      <c r="AC1012" s="272">
        <f>+'NI-San_SP'!AC1012+'NI-Soc_SP'!AC1012+'NI-Ric_SP'!AC1012</f>
        <v>3021685</v>
      </c>
      <c r="AD1012" s="272">
        <f>+'NI-San_SP'!AD1012+'NI-Soc_SP'!AD1012+'NI-Ric_SP'!AD1012</f>
        <v>0</v>
      </c>
      <c r="AE1012" s="272">
        <f>+'NI-San_SP'!AE1012+'NI-Soc_SP'!AE1012+'NI-Ric_SP'!AE1012</f>
        <v>38288</v>
      </c>
      <c r="AF1012" s="272">
        <f>+'NI-San_SP'!AF1012+'NI-Soc_SP'!AF1012+'NI-Ric_SP'!AF1012</f>
        <v>159785</v>
      </c>
      <c r="AG1012" s="272">
        <f>+'NI-San_SP'!AG1012+'NI-Soc_SP'!AG1012+'NI-Ric_SP'!AG1012</f>
        <v>17463357</v>
      </c>
      <c r="AH1012" s="272">
        <f>+'NI-San_SP'!AH1012+'NI-Soc_SP'!AH1012+'NI-Ric_SP'!AH1012</f>
        <v>20683115</v>
      </c>
      <c r="AI1012" s="272">
        <f>+'NI-San_SP'!AI1012+'NI-Soc_SP'!AI1012+'NI-Ric_SP'!AI1012</f>
        <v>0</v>
      </c>
      <c r="AJ1012" s="272">
        <f>+'NI-San_SP'!AJ1012+'NI-Soc_SP'!AJ1012+'NI-Ric_SP'!AJ1012</f>
        <v>0</v>
      </c>
    </row>
    <row r="1013" spans="1:36" s="204" customFormat="1" x14ac:dyDescent="0.25">
      <c r="B1013" s="246" t="s">
        <v>2559</v>
      </c>
      <c r="C1013" s="287" t="s">
        <v>2560</v>
      </c>
      <c r="D1013" s="284" t="s">
        <v>4088</v>
      </c>
      <c r="E1013" s="274"/>
      <c r="F1013" s="274"/>
      <c r="G1013" s="283"/>
      <c r="H1013" s="266"/>
      <c r="I1013" s="274"/>
      <c r="J1013" s="281"/>
      <c r="K1013" s="281"/>
      <c r="L1013" s="507" t="s">
        <v>4089</v>
      </c>
      <c r="M1013" s="284" t="s">
        <v>2962</v>
      </c>
      <c r="N1013" s="408">
        <f>+R1013</f>
        <v>9842761</v>
      </c>
      <c r="O1013" s="408">
        <f>+Z1013</f>
        <v>11326921</v>
      </c>
      <c r="P1013" s="271">
        <f t="shared" si="142"/>
        <v>1484160</v>
      </c>
      <c r="Q1013" s="272">
        <f>+'NI-San_SP'!Q1013+'NI-Soc_SP'!Q1013+'NI-Ric_SP'!Q1013</f>
        <v>0</v>
      </c>
      <c r="R1013" s="272">
        <f>+'NI-San_SP'!R1013+'NI-Soc_SP'!R1013+'NI-Ric_SP'!R1013</f>
        <v>9842761</v>
      </c>
      <c r="S1013" s="272">
        <f>+'NI-San_SP'!S1013+'NI-Soc_SP'!S1013+'NI-Ric_SP'!S1013</f>
        <v>0</v>
      </c>
      <c r="T1013" s="272">
        <f>+'NI-San_SP'!T1013+'NI-Soc_SP'!T1013+'NI-Ric_SP'!T1013</f>
        <v>0</v>
      </c>
      <c r="U1013" s="378">
        <f t="shared" si="143"/>
        <v>0</v>
      </c>
      <c r="V1013" s="272">
        <f>+'NI-San_SP'!V1013+'NI-Soc_SP'!V1013+'NI-Ric_SP'!V1013</f>
        <v>34062942</v>
      </c>
      <c r="W1013" s="272">
        <f>+'NI-San_SP'!W1013+'NI-Soc_SP'!W1013+'NI-Ric_SP'!W1013</f>
        <v>0</v>
      </c>
      <c r="X1013" s="272">
        <f>+'NI-San_SP'!X1013+'NI-Soc_SP'!X1013+'NI-Ric_SP'!X1013</f>
        <v>9159963</v>
      </c>
      <c r="Y1013" s="272">
        <f>+'NI-San_SP'!Y1013+'NI-Soc_SP'!Y1013+'NI-Ric_SP'!Y1013</f>
        <v>23418819</v>
      </c>
      <c r="Z1013" s="272">
        <f>+'NI-San_SP'!Z1013+'NI-Soc_SP'!Z1013+'NI-Ric_SP'!Z1013</f>
        <v>11326921</v>
      </c>
      <c r="AA1013" s="272">
        <f>+'NI-San_SP'!AA1013+'NI-Soc_SP'!AA1013+'NI-Ric_SP'!AA1013</f>
        <v>4660233</v>
      </c>
      <c r="AB1013" s="272">
        <f>+'NI-San_SP'!AB1013+'NI-Soc_SP'!AB1013+'NI-Ric_SP'!AB1013</f>
        <v>0</v>
      </c>
      <c r="AC1013" s="272">
        <f>+'NI-San_SP'!AC1013+'NI-Soc_SP'!AC1013+'NI-Ric_SP'!AC1013</f>
        <v>207116</v>
      </c>
      <c r="AD1013" s="272">
        <f>+'NI-San_SP'!AD1013+'NI-Soc_SP'!AD1013+'NI-Ric_SP'!AD1013</f>
        <v>82314</v>
      </c>
      <c r="AE1013" s="272">
        <f>+'NI-San_SP'!AE1013+'NI-Soc_SP'!AE1013+'NI-Ric_SP'!AE1013</f>
        <v>78153</v>
      </c>
      <c r="AF1013" s="272">
        <f>+'NI-San_SP'!AF1013+'NI-Soc_SP'!AF1013+'NI-Ric_SP'!AF1013</f>
        <v>288714</v>
      </c>
      <c r="AG1013" s="272">
        <f>+'NI-San_SP'!AG1013+'NI-Soc_SP'!AG1013+'NI-Ric_SP'!AG1013</f>
        <v>10670624</v>
      </c>
      <c r="AH1013" s="272">
        <f>+'NI-San_SP'!AH1013+'NI-Soc_SP'!AH1013+'NI-Ric_SP'!AH1013</f>
        <v>11326921</v>
      </c>
      <c r="AI1013" s="272">
        <f>+'NI-San_SP'!AI1013+'NI-Soc_SP'!AI1013+'NI-Ric_SP'!AI1013</f>
        <v>0</v>
      </c>
      <c r="AJ1013" s="272">
        <f>+'NI-San_SP'!AJ1013+'NI-Soc_SP'!AJ1013+'NI-Ric_SP'!AJ1013</f>
        <v>0</v>
      </c>
    </row>
    <row r="1014" spans="1:36" s="204" customFormat="1" x14ac:dyDescent="0.25">
      <c r="A1014" s="204" t="s">
        <v>3681</v>
      </c>
      <c r="B1014" s="246" t="s">
        <v>2562</v>
      </c>
      <c r="C1014" s="95" t="s">
        <v>2563</v>
      </c>
      <c r="D1014" s="216"/>
      <c r="E1014" s="226"/>
      <c r="F1014" s="226"/>
      <c r="G1014" s="290"/>
      <c r="H1014" s="227"/>
      <c r="I1014" s="226"/>
      <c r="J1014" s="409"/>
      <c r="K1014" s="409"/>
      <c r="L1014" s="496" t="s">
        <v>2565</v>
      </c>
      <c r="M1014" s="284" t="s">
        <v>2962</v>
      </c>
      <c r="N1014" s="408">
        <f>+R1014</f>
        <v>0</v>
      </c>
      <c r="O1014" s="408">
        <f>+Z1014</f>
        <v>-555778</v>
      </c>
      <c r="P1014" s="271">
        <f t="shared" si="142"/>
        <v>-555778</v>
      </c>
      <c r="Q1014" s="272">
        <f>+'NI-San_SP'!Q1014+'NI-Soc_SP'!Q1014+'NI-Ric_SP'!Q1014</f>
        <v>0</v>
      </c>
      <c r="R1014" s="272">
        <f>+'NI-San_SP'!R1014+'NI-Soc_SP'!R1014+'NI-Ric_SP'!R1014</f>
        <v>0</v>
      </c>
      <c r="S1014" s="272">
        <f>+'NI-San_SP'!S1014+'NI-Soc_SP'!S1014+'NI-Ric_SP'!S1014</f>
        <v>0</v>
      </c>
      <c r="T1014" s="272">
        <f>+'NI-San_SP'!T1014+'NI-Soc_SP'!T1014+'NI-Ric_SP'!T1014</f>
        <v>0</v>
      </c>
      <c r="U1014" s="378">
        <f t="shared" si="143"/>
        <v>0</v>
      </c>
      <c r="V1014" s="272">
        <f>+'NI-San_SP'!V1014+'NI-Soc_SP'!V1014+'NI-Ric_SP'!V1014</f>
        <v>0</v>
      </c>
      <c r="W1014" s="272">
        <f>+'NI-San_SP'!W1014+'NI-Soc_SP'!W1014+'NI-Ric_SP'!W1014</f>
        <v>0</v>
      </c>
      <c r="X1014" s="272">
        <f>+'NI-San_SP'!X1014+'NI-Soc_SP'!X1014+'NI-Ric_SP'!X1014</f>
        <v>14382</v>
      </c>
      <c r="Y1014" s="272">
        <f>+'NI-San_SP'!Y1014+'NI-Soc_SP'!Y1014+'NI-Ric_SP'!Y1014</f>
        <v>541396</v>
      </c>
      <c r="Z1014" s="272">
        <f>+'NI-San_SP'!Z1014+'NI-Soc_SP'!Z1014+'NI-Ric_SP'!Z1014</f>
        <v>-555778</v>
      </c>
      <c r="AA1014" s="272">
        <f>+'NI-San_SP'!AA1014+'NI-Soc_SP'!AA1014+'NI-Ric_SP'!AA1014</f>
        <v>0</v>
      </c>
      <c r="AB1014" s="272">
        <f>+'NI-San_SP'!AB1014+'NI-Soc_SP'!AB1014+'NI-Ric_SP'!AB1014</f>
        <v>0</v>
      </c>
      <c r="AC1014" s="272">
        <f>+'NI-San_SP'!AC1014+'NI-Soc_SP'!AC1014+'NI-Ric_SP'!AC1014</f>
        <v>0</v>
      </c>
      <c r="AD1014" s="272">
        <f>+'NI-San_SP'!AD1014+'NI-Soc_SP'!AD1014+'NI-Ric_SP'!AD1014</f>
        <v>0</v>
      </c>
      <c r="AE1014" s="272">
        <f>+'NI-San_SP'!AE1014+'NI-Soc_SP'!AE1014+'NI-Ric_SP'!AE1014</f>
        <v>0</v>
      </c>
      <c r="AF1014" s="272">
        <f>+'NI-San_SP'!AF1014+'NI-Soc_SP'!AF1014+'NI-Ric_SP'!AF1014</f>
        <v>0</v>
      </c>
      <c r="AG1014" s="272">
        <f>+'NI-San_SP'!AG1014+'NI-Soc_SP'!AG1014+'NI-Ric_SP'!AG1014</f>
        <v>-555778</v>
      </c>
      <c r="AH1014" s="272">
        <f>+'NI-San_SP'!AH1014+'NI-Soc_SP'!AH1014+'NI-Ric_SP'!AH1014</f>
        <v>-555778</v>
      </c>
      <c r="AI1014" s="272">
        <f>+'NI-San_SP'!AI1014+'NI-Soc_SP'!AI1014+'NI-Ric_SP'!AI1014</f>
        <v>0</v>
      </c>
      <c r="AJ1014" s="272">
        <f>+'NI-San_SP'!AJ1014+'NI-Soc_SP'!AJ1014+'NI-Ric_SP'!AJ1014</f>
        <v>0</v>
      </c>
    </row>
    <row r="1015" spans="1:36" s="204" customFormat="1" x14ac:dyDescent="0.25">
      <c r="B1015" s="302"/>
      <c r="C1015" s="302"/>
      <c r="D1015" s="226"/>
      <c r="E1015" s="226"/>
      <c r="F1015" s="226"/>
      <c r="G1015" s="226"/>
      <c r="H1015" s="227"/>
      <c r="I1015" s="226"/>
      <c r="J1015" s="226"/>
      <c r="K1015" s="226"/>
      <c r="L1015" s="315"/>
      <c r="M1015" s="216"/>
      <c r="N1015" s="254"/>
      <c r="O1015" s="216"/>
      <c r="P1015" s="216"/>
      <c r="Q1015" s="216"/>
      <c r="R1015" s="216"/>
      <c r="S1015" s="216"/>
      <c r="T1015" s="216"/>
      <c r="U1015" s="216"/>
      <c r="V1015" s="216"/>
      <c r="W1015" s="216"/>
      <c r="X1015" s="216"/>
      <c r="Z1015" s="216"/>
      <c r="AA1015" s="216"/>
      <c r="AB1015" s="216"/>
      <c r="AC1015" s="216"/>
      <c r="AD1015" s="216"/>
    </row>
    <row r="1016" spans="1:36" s="204" customFormat="1" ht="15.75" customHeight="1" x14ac:dyDescent="0.25">
      <c r="B1016" s="302"/>
      <c r="C1016" s="302"/>
      <c r="D1016" s="226"/>
      <c r="E1016" s="226"/>
      <c r="F1016" s="226"/>
      <c r="G1016" s="226"/>
      <c r="H1016" s="227"/>
      <c r="I1016" s="226"/>
      <c r="J1016" s="226"/>
      <c r="K1016" s="226"/>
      <c r="L1016" s="315"/>
      <c r="M1016" s="216"/>
      <c r="N1016" s="254"/>
      <c r="O1016" s="216"/>
      <c r="P1016" s="216"/>
      <c r="Q1016" s="216"/>
      <c r="R1016" s="211"/>
      <c r="S1016" s="211"/>
      <c r="U1016" s="902" t="s">
        <v>3495</v>
      </c>
      <c r="V1016" s="902"/>
      <c r="W1016" s="490"/>
      <c r="X1016" s="906" t="s">
        <v>3496</v>
      </c>
      <c r="Y1016" s="906"/>
      <c r="Z1016" s="211"/>
      <c r="AA1016" s="211"/>
      <c r="AB1016" s="211"/>
      <c r="AC1016" s="907" t="str">
        <f>+AC1001</f>
        <v>VALORE DEI DEBITI AL 31/12/2020 PER ANNO DI FORMAZIONE</v>
      </c>
      <c r="AD1016" s="907"/>
      <c r="AE1016" s="907"/>
      <c r="AF1016" s="907"/>
      <c r="AG1016" s="907"/>
      <c r="AH1016" s="908" t="str">
        <f>+AH1001</f>
        <v>Debiti al 31/12/2020 per scadenza</v>
      </c>
      <c r="AI1016" s="908"/>
      <c r="AJ1016" s="908"/>
    </row>
    <row r="1017" spans="1:36" s="204" customFormat="1" ht="63.75" x14ac:dyDescent="0.25">
      <c r="B1017" s="211"/>
      <c r="C1017" s="211"/>
      <c r="D1017" s="211"/>
      <c r="E1017" s="211"/>
      <c r="F1017" s="211"/>
      <c r="G1017" s="211"/>
      <c r="H1017" s="353"/>
      <c r="I1017" s="211"/>
      <c r="J1017" s="211"/>
      <c r="K1017" s="211"/>
      <c r="L1017" s="255"/>
      <c r="M1017" s="244"/>
      <c r="N1017" s="256" t="str">
        <f>N$15</f>
        <v>Valore netto al 31/12/2019</v>
      </c>
      <c r="O1017" s="256" t="str">
        <f>O$15</f>
        <v>Valore netto al 31/12/2020</v>
      </c>
      <c r="P1017" s="256" t="str">
        <f>P$15</f>
        <v>Variazione</v>
      </c>
      <c r="Q1017" s="262" t="s">
        <v>2971</v>
      </c>
      <c r="R1017" s="262" t="s">
        <v>3517</v>
      </c>
      <c r="S1017" s="262" t="s">
        <v>2972</v>
      </c>
      <c r="T1017" s="486" t="s">
        <v>3995</v>
      </c>
      <c r="U1017" s="337" t="s">
        <v>3996</v>
      </c>
      <c r="V1017" s="337" t="s">
        <v>3495</v>
      </c>
      <c r="W1017" s="262" t="s">
        <v>2975</v>
      </c>
      <c r="X1017" s="492" t="s">
        <v>3498</v>
      </c>
      <c r="Y1017" s="492" t="s">
        <v>3499</v>
      </c>
      <c r="Z1017" s="262" t="s">
        <v>3815</v>
      </c>
      <c r="AA1017" s="377" t="s">
        <v>3997</v>
      </c>
      <c r="AB1017" s="377" t="s">
        <v>3998</v>
      </c>
      <c r="AC1017" s="493" t="s">
        <v>3503</v>
      </c>
      <c r="AD1017" s="493" t="s">
        <v>3504</v>
      </c>
      <c r="AE1017" s="493" t="s">
        <v>3505</v>
      </c>
      <c r="AF1017" s="493" t="s">
        <v>3506</v>
      </c>
      <c r="AG1017" s="493" t="s">
        <v>3507</v>
      </c>
      <c r="AH1017" s="494" t="s">
        <v>3508</v>
      </c>
      <c r="AI1017" s="494" t="s">
        <v>3509</v>
      </c>
      <c r="AJ1017" s="495" t="s">
        <v>3510</v>
      </c>
    </row>
    <row r="1018" spans="1:36" s="204" customFormat="1" x14ac:dyDescent="0.25">
      <c r="B1018" s="246" t="s">
        <v>2566</v>
      </c>
      <c r="C1018" s="292" t="s">
        <v>2567</v>
      </c>
      <c r="D1018" s="247" t="s">
        <v>4090</v>
      </c>
      <c r="E1018" s="247"/>
      <c r="F1018" s="247"/>
      <c r="G1018" s="247"/>
      <c r="H1018" s="248"/>
      <c r="I1018" s="247"/>
      <c r="J1018" s="398"/>
      <c r="K1018" s="399"/>
      <c r="L1018" s="400" t="s">
        <v>2571</v>
      </c>
      <c r="M1018" s="251" t="s">
        <v>2962</v>
      </c>
      <c r="N1018" s="410">
        <f>+R1018</f>
        <v>0</v>
      </c>
      <c r="O1018" s="487">
        <f>+Z1018</f>
        <v>2058</v>
      </c>
      <c r="P1018" s="253">
        <f>+O1018-N1018</f>
        <v>2058</v>
      </c>
      <c r="Q1018" s="272">
        <f>+'NI-San_SP'!Q1018+'NI-Soc_SP'!Q1018+'NI-Ric_SP'!Q1018</f>
        <v>0</v>
      </c>
      <c r="R1018" s="272">
        <f>+'NI-San_SP'!R1018+'NI-Soc_SP'!R1018+'NI-Ric_SP'!R1018</f>
        <v>0</v>
      </c>
      <c r="S1018" s="272">
        <f>+'NI-San_SP'!T1018+'NI-Soc_SP'!S1018+'NI-Ric_SP'!S1018</f>
        <v>0</v>
      </c>
      <c r="T1018" s="272">
        <f>+'NI-San_SP'!T1018+'NI-Soc_SP'!T1018+'NI-Ric_SP'!T1018</f>
        <v>0</v>
      </c>
      <c r="U1018" s="272">
        <f>+'NI-San_SP'!U1018+'NI-Soc_SP'!U1018+'NI-Ric_SP'!U1018</f>
        <v>0</v>
      </c>
      <c r="V1018" s="272">
        <f>+'NI-San_SP'!V1018+'NI-Soc_SP'!V1018+'NI-Ric_SP'!V1018</f>
        <v>18808</v>
      </c>
      <c r="W1018" s="272">
        <f>+'NI-San_SP'!W1018+'NI-Soc_SP'!W1018+'NI-Ric_SP'!W1018</f>
        <v>0</v>
      </c>
      <c r="X1018" s="272">
        <f>+'NI-San_SP'!X1018+'NI-Soc_SP'!X1018+'NI-Ric_SP'!X1018</f>
        <v>0</v>
      </c>
      <c r="Y1018" s="272">
        <f>+'NI-San_SP'!Y1018+'NI-Soc_SP'!Y1018+'NI-Ric_SP'!Y1018</f>
        <v>16750</v>
      </c>
      <c r="Z1018" s="272">
        <f>+'NI-San_SP'!Z1018+'NI-Soc_SP'!Z1018+'NI-Ric_SP'!Z1018</f>
        <v>2058</v>
      </c>
      <c r="AA1018" s="272">
        <f>+'NI-San_SP'!AA1018+'NI-Soc_SP'!AA1018+'NI-Ric_SP'!AA1018</f>
        <v>0</v>
      </c>
      <c r="AB1018" s="272">
        <f>+'NI-San_SP'!AB1018+'NI-Soc_SP'!AB1018+'NI-Ric_SP'!AB1018</f>
        <v>0</v>
      </c>
      <c r="AC1018" s="272">
        <f>+'NI-San_SP'!AC1018+'NI-Soc_SP'!AC1018+'NI-Ric_SP'!AC1018</f>
        <v>0</v>
      </c>
      <c r="AD1018" s="272">
        <f>+'NI-San_SP'!AD1018+'NI-Soc_SP'!AD1018+'NI-Ric_SP'!AD1018</f>
        <v>0</v>
      </c>
      <c r="AE1018" s="272">
        <f>+'NI-San_SP'!AE1018+'NI-Soc_SP'!AE1018+'NI-Ric_SP'!AE1018</f>
        <v>0</v>
      </c>
      <c r="AF1018" s="272">
        <f>+'NI-San_SP'!AF1018+'NI-Soc_SP'!AF1018+'NI-Ric_SP'!AF1018</f>
        <v>0</v>
      </c>
      <c r="AG1018" s="272">
        <f>+'NI-San_SP'!AG1018+'NI-Soc_SP'!AG1018+'NI-Ric_SP'!AG1018</f>
        <v>0</v>
      </c>
      <c r="AH1018" s="272">
        <f>+'NI-San_SP'!AH1018+'NI-Soc_SP'!AH1018+'NI-Ric_SP'!AH1018</f>
        <v>0</v>
      </c>
      <c r="AI1018" s="272">
        <f>+'NI-San_SP'!AI1018+'NI-Soc_SP'!AI1018+'NI-Ric_SP'!AI1018</f>
        <v>0</v>
      </c>
      <c r="AJ1018" s="272">
        <f>+'NI-San_SP'!AJ1018+'NI-Soc_SP'!AJ1018+'NI-Ric_SP'!AJ1018</f>
        <v>0</v>
      </c>
    </row>
    <row r="1019" spans="1:36" s="204" customFormat="1" ht="26.25" x14ac:dyDescent="0.25">
      <c r="B1019" s="302"/>
      <c r="C1019" s="302"/>
      <c r="D1019" s="226"/>
      <c r="E1019" s="226"/>
      <c r="F1019" s="226"/>
      <c r="G1019" s="226"/>
      <c r="H1019" s="227"/>
      <c r="I1019" s="226"/>
      <c r="J1019" s="226"/>
      <c r="K1019" s="226"/>
      <c r="L1019" s="232" t="s">
        <v>4091</v>
      </c>
      <c r="M1019" s="216"/>
      <c r="N1019" s="254"/>
      <c r="O1019" s="216"/>
      <c r="P1019" s="216"/>
      <c r="Q1019" s="216"/>
      <c r="R1019" s="216"/>
      <c r="S1019" s="216"/>
      <c r="T1019" s="216"/>
      <c r="U1019" s="216"/>
      <c r="V1019" s="216"/>
      <c r="W1019" s="216"/>
      <c r="X1019" s="216"/>
      <c r="Z1019" s="216"/>
      <c r="AA1019" s="216"/>
      <c r="AB1019" s="216"/>
      <c r="AC1019" s="216"/>
      <c r="AD1019" s="216"/>
    </row>
    <row r="1020" spans="1:36" s="204" customFormat="1" ht="15.75" customHeight="1" x14ac:dyDescent="0.25">
      <c r="B1020" s="302"/>
      <c r="C1020" s="302"/>
      <c r="D1020" s="226"/>
      <c r="E1020" s="226"/>
      <c r="F1020" s="226"/>
      <c r="G1020" s="226"/>
      <c r="H1020" s="227"/>
      <c r="I1020" s="226"/>
      <c r="J1020" s="226"/>
      <c r="K1020" s="226"/>
      <c r="L1020" s="315"/>
      <c r="M1020" s="216"/>
      <c r="N1020" s="254"/>
      <c r="O1020" s="216"/>
      <c r="P1020" s="216"/>
      <c r="Q1020" s="216"/>
      <c r="R1020" s="211"/>
      <c r="S1020" s="211"/>
      <c r="U1020" s="902" t="s">
        <v>3495</v>
      </c>
      <c r="V1020" s="902"/>
      <c r="W1020" s="485"/>
      <c r="X1020" s="903" t="s">
        <v>3496</v>
      </c>
      <c r="Y1020" s="903"/>
      <c r="Z1020" s="211"/>
      <c r="AA1020" s="211"/>
      <c r="AB1020" s="211"/>
      <c r="AC1020" s="904" t="str">
        <f>+AC1016</f>
        <v>VALORE DEI DEBITI AL 31/12/2020 PER ANNO DI FORMAZIONE</v>
      </c>
      <c r="AD1020" s="904"/>
      <c r="AE1020" s="904"/>
      <c r="AF1020" s="904"/>
      <c r="AG1020" s="904"/>
      <c r="AH1020" s="905" t="str">
        <f>+AH1016</f>
        <v>Debiti al 31/12/2020 per scadenza</v>
      </c>
      <c r="AI1020" s="905"/>
      <c r="AJ1020" s="905"/>
    </row>
    <row r="1021" spans="1:36" s="204" customFormat="1" ht="63.75" x14ac:dyDescent="0.25">
      <c r="B1021" s="289"/>
      <c r="C1021" s="289"/>
      <c r="D1021" s="211"/>
      <c r="E1021" s="211"/>
      <c r="F1021" s="211"/>
      <c r="G1021" s="211"/>
      <c r="H1021" s="353"/>
      <c r="I1021" s="211"/>
      <c r="J1021" s="211"/>
      <c r="K1021" s="211"/>
      <c r="L1021" s="255"/>
      <c r="M1021" s="244"/>
      <c r="N1021" s="256" t="str">
        <f>N$15</f>
        <v>Valore netto al 31/12/2019</v>
      </c>
      <c r="O1021" s="256" t="str">
        <f>O$15</f>
        <v>Valore netto al 31/12/2020</v>
      </c>
      <c r="P1021" s="256" t="str">
        <f>P$15</f>
        <v>Variazione</v>
      </c>
      <c r="Q1021" s="262" t="s">
        <v>2971</v>
      </c>
      <c r="R1021" s="346" t="s">
        <v>3517</v>
      </c>
      <c r="S1021" s="262" t="s">
        <v>2972</v>
      </c>
      <c r="T1021" s="486" t="s">
        <v>3995</v>
      </c>
      <c r="U1021" s="337" t="s">
        <v>3996</v>
      </c>
      <c r="V1021" s="337" t="s">
        <v>3495</v>
      </c>
      <c r="W1021" s="262" t="s">
        <v>2975</v>
      </c>
      <c r="X1021" s="338" t="s">
        <v>3498</v>
      </c>
      <c r="Y1021" s="338" t="s">
        <v>3499</v>
      </c>
      <c r="Z1021" s="346" t="s">
        <v>3815</v>
      </c>
      <c r="AA1021" s="497" t="s">
        <v>3997</v>
      </c>
      <c r="AB1021" s="377" t="s">
        <v>3998</v>
      </c>
      <c r="AC1021" s="339" t="s">
        <v>3503</v>
      </c>
      <c r="AD1021" s="339" t="s">
        <v>3504</v>
      </c>
      <c r="AE1021" s="339" t="s">
        <v>3505</v>
      </c>
      <c r="AF1021" s="339" t="s">
        <v>3506</v>
      </c>
      <c r="AG1021" s="339" t="s">
        <v>3507</v>
      </c>
      <c r="AH1021" s="340" t="s">
        <v>3508</v>
      </c>
      <c r="AI1021" s="340" t="s">
        <v>3509</v>
      </c>
      <c r="AJ1021" s="340" t="s">
        <v>3510</v>
      </c>
    </row>
    <row r="1022" spans="1:36" s="217" customFormat="1" x14ac:dyDescent="0.25">
      <c r="A1022" s="204"/>
      <c r="B1022" s="246" t="s">
        <v>2572</v>
      </c>
      <c r="C1022" s="292" t="s">
        <v>2573</v>
      </c>
      <c r="D1022" s="247" t="s">
        <v>4092</v>
      </c>
      <c r="E1022" s="247"/>
      <c r="F1022" s="247"/>
      <c r="G1022" s="247"/>
      <c r="H1022" s="248"/>
      <c r="I1022" s="247"/>
      <c r="J1022" s="398"/>
      <c r="K1022" s="399"/>
      <c r="L1022" s="400" t="s">
        <v>2577</v>
      </c>
      <c r="M1022" s="251" t="s">
        <v>2962</v>
      </c>
      <c r="N1022" s="410">
        <f>+R1022</f>
        <v>5353825</v>
      </c>
      <c r="O1022" s="487">
        <f>+Z1022</f>
        <v>5141148</v>
      </c>
      <c r="P1022" s="253">
        <f>+O1022-N1022</f>
        <v>-212677</v>
      </c>
      <c r="Q1022" s="272">
        <f>+'NI-San_SP'!Q1022+'NI-Soc_SP'!Q1022+'NI-Ric_SP'!Q1022</f>
        <v>0</v>
      </c>
      <c r="R1022" s="272">
        <f>+'NI-San_SP'!R1022+'NI-Soc_SP'!R1022+'NI-Ric_SP'!R1022</f>
        <v>5353825</v>
      </c>
      <c r="S1022" s="272">
        <f>+'NI-San_SP'!T1022+'NI-Soc_SP'!S1022+'NI-Ric_SP'!S1022</f>
        <v>0</v>
      </c>
      <c r="T1022" s="272">
        <f>+'NI-San_SP'!U1022+'NI-Soc_SP'!T1022+'NI-Ric_SP'!T1022</f>
        <v>0</v>
      </c>
      <c r="U1022" s="272">
        <f>+'NI-San_SP'!V1022+'NI-Soc_SP'!U1022+'NI-Ric_SP'!U1022</f>
        <v>76791085</v>
      </c>
      <c r="V1022" s="272">
        <f>+'NI-San_SP'!V1022+'NI-Soc_SP'!V1022+'NI-Ric_SP'!V1022</f>
        <v>76791085</v>
      </c>
      <c r="W1022" s="272">
        <f>+'NI-San_SP'!W1022+'NI-Soc_SP'!W1022+'NI-Ric_SP'!W1022</f>
        <v>0</v>
      </c>
      <c r="X1022" s="272">
        <f>+'NI-San_SP'!X1022+'NI-Soc_SP'!X1022+'NI-Ric_SP'!X1022</f>
        <v>5186990</v>
      </c>
      <c r="Y1022" s="272">
        <f>+'NI-San_SP'!Y1022+'NI-Soc_SP'!Y1022+'NI-Ric_SP'!Y1022</f>
        <v>71816772</v>
      </c>
      <c r="Z1022" s="272">
        <f>+'NI-San_SP'!Z1022+'NI-Soc_SP'!Z1022+'NI-Ric_SP'!Z1022</f>
        <v>5141148</v>
      </c>
      <c r="AA1022" s="272">
        <f>+'NI-San_SP'!AA1022+'NI-Soc_SP'!AA1022+'NI-Ric_SP'!AA1022</f>
        <v>0</v>
      </c>
      <c r="AB1022" s="272">
        <f>+'NI-San_SP'!AB1022+'NI-Soc_SP'!AB1022+'NI-Ric_SP'!AB1022</f>
        <v>0</v>
      </c>
      <c r="AC1022" s="272">
        <f>+'NI-San_SP'!AC1022+'NI-Soc_SP'!AC1022+'NI-Ric_SP'!AC1022</f>
        <v>0</v>
      </c>
      <c r="AD1022" s="272">
        <f>+'NI-San_SP'!AD1022+'NI-Soc_SP'!AD1022+'NI-Ric_SP'!AD1022</f>
        <v>0</v>
      </c>
      <c r="AE1022" s="272">
        <f>+'NI-San_SP'!AE1022+'NI-Soc_SP'!AE1022+'NI-Ric_SP'!AE1022</f>
        <v>0</v>
      </c>
      <c r="AF1022" s="272">
        <f>+'NI-San_SP'!AF1022+'NI-Soc_SP'!AF1022+'NI-Ric_SP'!AF1022</f>
        <v>0</v>
      </c>
      <c r="AG1022" s="272">
        <f>+'NI-San_SP'!AG1022+'NI-Soc_SP'!AG1022+'NI-Ric_SP'!AG1022</f>
        <v>5141148</v>
      </c>
      <c r="AH1022" s="272">
        <f>+'NI-San_SP'!AH1022+'NI-Soc_SP'!AH1022+'NI-Ric_SP'!AH1022</f>
        <v>0</v>
      </c>
      <c r="AI1022" s="272">
        <f>+'NI-San_SP'!AI1022+'NI-Soc_SP'!AI1022+'NI-Ric_SP'!AI1022</f>
        <v>5141148</v>
      </c>
      <c r="AJ1022" s="272">
        <f>+'NI-San_SP'!AJ1022+'NI-Soc_SP'!AJ1022+'NI-Ric_SP'!AJ1022</f>
        <v>0</v>
      </c>
    </row>
    <row r="1023" spans="1:36" s="204" customFormat="1" x14ac:dyDescent="0.25">
      <c r="B1023" s="302"/>
      <c r="C1023" s="302"/>
      <c r="D1023" s="226"/>
      <c r="E1023" s="226"/>
      <c r="F1023" s="226"/>
      <c r="G1023" s="226"/>
      <c r="H1023" s="227"/>
      <c r="I1023" s="226"/>
      <c r="J1023" s="226"/>
      <c r="K1023" s="226"/>
      <c r="L1023" s="315"/>
      <c r="M1023" s="216"/>
      <c r="N1023" s="254"/>
      <c r="O1023" s="216"/>
      <c r="P1023" s="216"/>
      <c r="Q1023" s="216"/>
      <c r="R1023" s="216"/>
      <c r="S1023" s="216"/>
      <c r="T1023" s="216"/>
      <c r="U1023" s="216"/>
      <c r="V1023" s="216"/>
      <c r="W1023" s="216"/>
      <c r="X1023" s="216"/>
      <c r="Z1023" s="216"/>
      <c r="AA1023" s="216"/>
      <c r="AB1023" s="216"/>
      <c r="AC1023" s="216"/>
      <c r="AD1023" s="216"/>
    </row>
    <row r="1024" spans="1:36" s="204" customFormat="1" ht="15.75" customHeight="1" x14ac:dyDescent="0.25">
      <c r="B1024" s="302"/>
      <c r="C1024" s="302"/>
      <c r="D1024" s="226"/>
      <c r="E1024" s="226"/>
      <c r="F1024" s="226"/>
      <c r="G1024" s="226"/>
      <c r="H1024" s="227"/>
      <c r="I1024" s="226"/>
      <c r="J1024" s="226"/>
      <c r="K1024" s="226"/>
      <c r="L1024" s="315"/>
      <c r="M1024" s="216"/>
      <c r="N1024" s="254"/>
      <c r="O1024" s="216"/>
      <c r="P1024" s="216"/>
      <c r="Q1024" s="216"/>
      <c r="R1024" s="211"/>
      <c r="S1024" s="211"/>
      <c r="U1024" s="902" t="s">
        <v>3495</v>
      </c>
      <c r="V1024" s="902"/>
      <c r="W1024" s="485"/>
      <c r="X1024" s="903" t="s">
        <v>3496</v>
      </c>
      <c r="Y1024" s="903"/>
      <c r="Z1024" s="211"/>
      <c r="AA1024" s="211"/>
      <c r="AB1024" s="211"/>
      <c r="AC1024" s="904" t="str">
        <f>+AC1020</f>
        <v>VALORE DEI DEBITI AL 31/12/2020 PER ANNO DI FORMAZIONE</v>
      </c>
      <c r="AD1024" s="904"/>
      <c r="AE1024" s="904"/>
      <c r="AF1024" s="904"/>
      <c r="AG1024" s="904"/>
      <c r="AH1024" s="905" t="str">
        <f>+AH1020</f>
        <v>Debiti al 31/12/2020 per scadenza</v>
      </c>
      <c r="AI1024" s="905"/>
      <c r="AJ1024" s="905"/>
    </row>
    <row r="1025" spans="1:36" s="217" customFormat="1" ht="63.75" x14ac:dyDescent="0.25">
      <c r="A1025" s="204"/>
      <c r="B1025" s="289"/>
      <c r="C1025" s="289"/>
      <c r="D1025" s="211"/>
      <c r="E1025" s="211"/>
      <c r="F1025" s="211"/>
      <c r="G1025" s="211"/>
      <c r="H1025" s="353"/>
      <c r="I1025" s="211"/>
      <c r="J1025" s="211"/>
      <c r="K1025" s="211"/>
      <c r="L1025" s="255"/>
      <c r="M1025" s="244"/>
      <c r="N1025" s="256" t="str">
        <f>N$15</f>
        <v>Valore netto al 31/12/2019</v>
      </c>
      <c r="O1025" s="256" t="str">
        <f>O$15</f>
        <v>Valore netto al 31/12/2020</v>
      </c>
      <c r="P1025" s="256" t="str">
        <f>P$15</f>
        <v>Variazione</v>
      </c>
      <c r="Q1025" s="262" t="s">
        <v>2971</v>
      </c>
      <c r="R1025" s="262" t="s">
        <v>3517</v>
      </c>
      <c r="S1025" s="262" t="s">
        <v>2972</v>
      </c>
      <c r="T1025" s="486" t="s">
        <v>3995</v>
      </c>
      <c r="U1025" s="337" t="s">
        <v>3996</v>
      </c>
      <c r="V1025" s="337" t="s">
        <v>3495</v>
      </c>
      <c r="W1025" s="262" t="s">
        <v>2975</v>
      </c>
      <c r="X1025" s="338" t="s">
        <v>3498</v>
      </c>
      <c r="Y1025" s="338" t="s">
        <v>3499</v>
      </c>
      <c r="Z1025" s="346" t="s">
        <v>3815</v>
      </c>
      <c r="AA1025" s="497" t="s">
        <v>3997</v>
      </c>
      <c r="AB1025" s="377" t="s">
        <v>3998</v>
      </c>
      <c r="AC1025" s="339" t="s">
        <v>3503</v>
      </c>
      <c r="AD1025" s="339" t="s">
        <v>3504</v>
      </c>
      <c r="AE1025" s="339" t="s">
        <v>3505</v>
      </c>
      <c r="AF1025" s="339" t="s">
        <v>3506</v>
      </c>
      <c r="AG1025" s="339" t="s">
        <v>3507</v>
      </c>
      <c r="AH1025" s="340" t="s">
        <v>3508</v>
      </c>
      <c r="AI1025" s="340" t="s">
        <v>3509</v>
      </c>
      <c r="AJ1025" s="340" t="s">
        <v>3510</v>
      </c>
    </row>
    <row r="1026" spans="1:36" s="217" customFormat="1" x14ac:dyDescent="0.25">
      <c r="A1026" s="204"/>
      <c r="B1026" s="246" t="s">
        <v>2578</v>
      </c>
      <c r="C1026" s="292" t="s">
        <v>2579</v>
      </c>
      <c r="D1026" s="247" t="s">
        <v>4093</v>
      </c>
      <c r="E1026" s="247"/>
      <c r="F1026" s="247"/>
      <c r="G1026" s="247"/>
      <c r="H1026" s="248"/>
      <c r="I1026" s="247"/>
      <c r="J1026" s="398"/>
      <c r="K1026" s="399"/>
      <c r="L1026" s="400" t="s">
        <v>2583</v>
      </c>
      <c r="M1026" s="251" t="s">
        <v>2962</v>
      </c>
      <c r="N1026" s="410">
        <f>+R1026</f>
        <v>8411731</v>
      </c>
      <c r="O1026" s="487">
        <f>+Z1026</f>
        <v>8853515</v>
      </c>
      <c r="P1026" s="253">
        <f>+O1026-N1026</f>
        <v>441784</v>
      </c>
      <c r="Q1026" s="272">
        <f>+'NI-San_SP'!Q1026+'NI-Soc_SP'!Q1026+'NI-Ric_SP'!Q1026</f>
        <v>0</v>
      </c>
      <c r="R1026" s="272">
        <f>+'NI-San_SP'!R1026+'NI-Soc_SP'!R1026+'NI-Ric_SP'!R1026</f>
        <v>8411731</v>
      </c>
      <c r="S1026" s="272">
        <f>+'NI-San_SP'!T1026+'NI-Soc_SP'!S1026+'NI-Ric_SP'!S1026</f>
        <v>0</v>
      </c>
      <c r="T1026" s="272">
        <f>+'NI-San_SP'!U1026+'NI-Soc_SP'!T1026+'NI-Ric_SP'!T1026</f>
        <v>0</v>
      </c>
      <c r="U1026" s="272">
        <f>+'NI-San_SP'!V1026+'NI-Soc_SP'!U1026+'NI-Ric_SP'!U1026</f>
        <v>57565947</v>
      </c>
      <c r="V1026" s="272">
        <f>+'NI-San_SP'!V1026+'NI-Soc_SP'!V1026+'NI-Ric_SP'!V1026</f>
        <v>57565947</v>
      </c>
      <c r="W1026" s="272">
        <f>+'NI-San_SP'!W1026+'NI-Soc_SP'!W1026+'NI-Ric_SP'!W1026</f>
        <v>0</v>
      </c>
      <c r="X1026" s="272">
        <f>+'NI-San_SP'!X1026+'NI-Soc_SP'!X1026+'NI-Ric_SP'!X1026</f>
        <v>8390895</v>
      </c>
      <c r="Y1026" s="272">
        <f>+'NI-San_SP'!Y1026+'NI-Soc_SP'!Y1026+'NI-Ric_SP'!Y1026</f>
        <v>48733268</v>
      </c>
      <c r="Z1026" s="272">
        <f>+'NI-San_SP'!Z1026+'NI-Soc_SP'!Z1026+'NI-Ric_SP'!Z1026</f>
        <v>8853515</v>
      </c>
      <c r="AA1026" s="272">
        <f>+'NI-San_SP'!AA1026+'NI-Soc_SP'!AA1026+'NI-Ric_SP'!AA1026</f>
        <v>0</v>
      </c>
      <c r="AB1026" s="272">
        <f>+'NI-San_SP'!AB1026+'NI-Soc_SP'!AB1026+'NI-Ric_SP'!AB1026</f>
        <v>0</v>
      </c>
      <c r="AC1026" s="272">
        <f>+'NI-San_SP'!AC1026+'NI-Soc_SP'!AC1026+'NI-Ric_SP'!AC1026</f>
        <v>0</v>
      </c>
      <c r="AD1026" s="272">
        <f>+'NI-San_SP'!AD1026+'NI-Soc_SP'!AD1026+'NI-Ric_SP'!AD1026</f>
        <v>0</v>
      </c>
      <c r="AE1026" s="272">
        <f>+'NI-San_SP'!AE1026+'NI-Soc_SP'!AE1026+'NI-Ric_SP'!AE1026</f>
        <v>0</v>
      </c>
      <c r="AF1026" s="272">
        <f>+'NI-San_SP'!AF1026+'NI-Soc_SP'!AF1026+'NI-Ric_SP'!AF1026</f>
        <v>20837</v>
      </c>
      <c r="AG1026" s="272">
        <f>+'NI-San_SP'!AG1026+'NI-Soc_SP'!AG1026+'NI-Ric_SP'!AG1026</f>
        <v>8832678</v>
      </c>
      <c r="AH1026" s="272">
        <f>+'NI-San_SP'!AH1026+'NI-Soc_SP'!AH1026+'NI-Ric_SP'!AH1026</f>
        <v>8853515</v>
      </c>
      <c r="AI1026" s="272">
        <f>+'NI-San_SP'!AI1026+'NI-Soc_SP'!AI1026+'NI-Ric_SP'!AI1026</f>
        <v>0</v>
      </c>
      <c r="AJ1026" s="272">
        <f>+'NI-San_SP'!AJ1026+'NI-Soc_SP'!AJ1026+'NI-Ric_SP'!AJ1026</f>
        <v>0</v>
      </c>
    </row>
    <row r="1027" spans="1:36" s="204" customFormat="1" x14ac:dyDescent="0.25">
      <c r="B1027" s="302"/>
      <c r="C1027" s="302"/>
      <c r="D1027" s="226"/>
      <c r="E1027" s="226"/>
      <c r="F1027" s="226"/>
      <c r="G1027" s="226"/>
      <c r="H1027" s="227"/>
      <c r="I1027" s="226"/>
      <c r="J1027" s="226"/>
      <c r="K1027" s="226"/>
      <c r="L1027" s="315"/>
      <c r="M1027" s="216"/>
      <c r="N1027" s="254"/>
      <c r="O1027" s="216"/>
      <c r="P1027" s="216"/>
      <c r="Q1027" s="216"/>
      <c r="R1027" s="216"/>
      <c r="S1027" s="216"/>
      <c r="T1027" s="216"/>
      <c r="U1027" s="216"/>
      <c r="V1027" s="216"/>
      <c r="W1027" s="216"/>
      <c r="X1027" s="216"/>
      <c r="Z1027" s="216"/>
      <c r="AA1027" s="216"/>
      <c r="AB1027" s="216"/>
      <c r="AC1027" s="216"/>
      <c r="AD1027" s="216"/>
    </row>
    <row r="1028" spans="1:36" s="204" customFormat="1" x14ac:dyDescent="0.25">
      <c r="B1028" s="302"/>
      <c r="C1028" s="302"/>
      <c r="D1028" s="226"/>
      <c r="E1028" s="226"/>
      <c r="F1028" s="226"/>
      <c r="G1028" s="226"/>
      <c r="H1028" s="227"/>
      <c r="I1028" s="226"/>
      <c r="J1028" s="226"/>
      <c r="K1028" s="226"/>
      <c r="L1028" s="315"/>
      <c r="M1028" s="216"/>
      <c r="N1028" s="254"/>
      <c r="O1028" s="216"/>
      <c r="P1028" s="216"/>
      <c r="Q1028" s="216"/>
      <c r="R1028" s="216"/>
      <c r="S1028" s="216"/>
      <c r="T1028" s="216"/>
      <c r="U1028" s="216"/>
      <c r="V1028" s="216"/>
      <c r="W1028" s="216"/>
      <c r="X1028" s="216"/>
      <c r="Z1028" s="216"/>
      <c r="AA1028" s="216"/>
      <c r="AB1028" s="216"/>
      <c r="AC1028" s="216"/>
      <c r="AD1028" s="216"/>
    </row>
    <row r="1029" spans="1:36" s="204" customFormat="1" x14ac:dyDescent="0.25">
      <c r="B1029" s="302"/>
      <c r="C1029" s="302"/>
      <c r="D1029" s="226"/>
      <c r="E1029" s="226"/>
      <c r="F1029" s="226"/>
      <c r="G1029" s="226"/>
      <c r="H1029" s="227"/>
      <c r="I1029" s="226"/>
      <c r="J1029" s="226"/>
      <c r="K1029" s="226"/>
      <c r="L1029" s="315"/>
      <c r="M1029" s="216"/>
      <c r="N1029" s="254"/>
      <c r="O1029" s="216"/>
      <c r="P1029" s="216"/>
      <c r="Q1029" s="216"/>
      <c r="R1029" s="216"/>
      <c r="S1029" s="216"/>
      <c r="T1029" s="216"/>
      <c r="U1029" s="216"/>
      <c r="V1029" s="216"/>
      <c r="W1029" s="216"/>
      <c r="X1029" s="216"/>
      <c r="Z1029" s="216"/>
      <c r="AA1029" s="216"/>
      <c r="AB1029" s="216"/>
      <c r="AC1029" s="216"/>
      <c r="AD1029" s="216"/>
    </row>
    <row r="1030" spans="1:36" s="204" customFormat="1" x14ac:dyDescent="0.25">
      <c r="B1030" s="246" t="s">
        <v>2584</v>
      </c>
      <c r="C1030" s="292" t="s">
        <v>2585</v>
      </c>
      <c r="D1030" s="247" t="s">
        <v>4094</v>
      </c>
      <c r="E1030" s="247"/>
      <c r="F1030" s="247"/>
      <c r="G1030" s="247"/>
      <c r="H1030" s="248"/>
      <c r="I1030" s="247"/>
      <c r="J1030" s="247"/>
      <c r="K1030" s="249"/>
      <c r="L1030" s="441" t="s">
        <v>2587</v>
      </c>
      <c r="M1030" s="251" t="s">
        <v>2962</v>
      </c>
      <c r="N1030" s="252">
        <f>+N1034+N1035+N1042+N1043</f>
        <v>12378303</v>
      </c>
      <c r="O1030" s="252">
        <f>+O1034+O1035+O1042+O1043</f>
        <v>13674174</v>
      </c>
      <c r="P1030" s="253">
        <f>+O1030-N1030</f>
        <v>1295871</v>
      </c>
      <c r="Q1030" s="252">
        <f t="shared" ref="Q1030:AJ1030" si="147">+Q1034+Q1035+Q1042+Q1043</f>
        <v>0</v>
      </c>
      <c r="R1030" s="252">
        <f t="shared" si="147"/>
        <v>12378303</v>
      </c>
      <c r="S1030" s="252">
        <f t="shared" si="147"/>
        <v>0</v>
      </c>
      <c r="T1030" s="252">
        <f t="shared" si="147"/>
        <v>0</v>
      </c>
      <c r="U1030" s="252">
        <f t="shared" si="147"/>
        <v>31344</v>
      </c>
      <c r="V1030" s="252">
        <f t="shared" si="147"/>
        <v>181784349</v>
      </c>
      <c r="W1030" s="252">
        <f t="shared" si="147"/>
        <v>0</v>
      </c>
      <c r="X1030" s="252">
        <f t="shared" si="147"/>
        <v>11807715</v>
      </c>
      <c r="Y1030" s="252">
        <f t="shared" si="147"/>
        <v>168712107</v>
      </c>
      <c r="Z1030" s="252">
        <f t="shared" si="147"/>
        <v>13674174</v>
      </c>
      <c r="AA1030" s="252">
        <f t="shared" si="147"/>
        <v>457903</v>
      </c>
      <c r="AB1030" s="252">
        <f t="shared" si="147"/>
        <v>0</v>
      </c>
      <c r="AC1030" s="252">
        <f t="shared" si="147"/>
        <v>61997</v>
      </c>
      <c r="AD1030" s="252">
        <f t="shared" si="147"/>
        <v>39146</v>
      </c>
      <c r="AE1030" s="252">
        <f t="shared" si="147"/>
        <v>92000</v>
      </c>
      <c r="AF1030" s="252">
        <f t="shared" si="147"/>
        <v>322727</v>
      </c>
      <c r="AG1030" s="252">
        <f t="shared" si="147"/>
        <v>13158304</v>
      </c>
      <c r="AH1030" s="252">
        <f t="shared" si="147"/>
        <v>13539526</v>
      </c>
      <c r="AI1030" s="252">
        <f t="shared" si="147"/>
        <v>0</v>
      </c>
      <c r="AJ1030" s="252">
        <f t="shared" si="147"/>
        <v>134648</v>
      </c>
    </row>
    <row r="1031" spans="1:36" s="204" customFormat="1" x14ac:dyDescent="0.25">
      <c r="B1031" s="298"/>
      <c r="C1031" s="298"/>
      <c r="D1031" s="226"/>
      <c r="E1031" s="226"/>
      <c r="F1031" s="226"/>
      <c r="G1031" s="226"/>
      <c r="H1031" s="227"/>
      <c r="I1031" s="226"/>
      <c r="J1031" s="226"/>
      <c r="K1031" s="226"/>
      <c r="L1031" s="403"/>
      <c r="M1031" s="278"/>
      <c r="N1031" s="279"/>
      <c r="O1031" s="279"/>
      <c r="P1031" s="404"/>
      <c r="Q1031" s="216"/>
      <c r="R1031" s="279"/>
      <c r="S1031" s="216"/>
      <c r="T1031" s="216"/>
      <c r="U1031" s="216"/>
      <c r="V1031" s="216"/>
      <c r="W1031" s="216"/>
      <c r="X1031" s="216"/>
      <c r="Z1031" s="216"/>
      <c r="AA1031" s="216"/>
      <c r="AB1031" s="216"/>
      <c r="AC1031" s="216"/>
      <c r="AD1031" s="216"/>
    </row>
    <row r="1032" spans="1:36" s="204" customFormat="1" ht="15.75" customHeight="1" x14ac:dyDescent="0.25">
      <c r="B1032" s="293"/>
      <c r="C1032" s="293"/>
      <c r="D1032" s="230"/>
      <c r="E1032" s="230"/>
      <c r="F1032" s="230"/>
      <c r="G1032" s="230"/>
      <c r="H1032" s="231"/>
      <c r="I1032" s="230"/>
      <c r="J1032" s="230"/>
      <c r="K1032" s="230"/>
      <c r="L1032" s="232"/>
      <c r="M1032" s="211"/>
      <c r="N1032" s="254"/>
      <c r="O1032" s="211"/>
      <c r="P1032" s="211"/>
      <c r="Q1032" s="216"/>
      <c r="R1032" s="211"/>
      <c r="S1032" s="211"/>
      <c r="U1032" s="902" t="s">
        <v>3495</v>
      </c>
      <c r="V1032" s="902"/>
      <c r="W1032" s="485"/>
      <c r="X1032" s="903" t="s">
        <v>3496</v>
      </c>
      <c r="Y1032" s="903"/>
      <c r="Z1032" s="211"/>
      <c r="AA1032" s="211"/>
      <c r="AB1032" s="211"/>
      <c r="AC1032" s="904" t="str">
        <f>+AC1024</f>
        <v>VALORE DEI DEBITI AL 31/12/2020 PER ANNO DI FORMAZIONE</v>
      </c>
      <c r="AD1032" s="904"/>
      <c r="AE1032" s="904"/>
      <c r="AF1032" s="904"/>
      <c r="AG1032" s="904"/>
      <c r="AH1032" s="905" t="str">
        <f>+AH1024</f>
        <v>Debiti al 31/12/2020 per scadenza</v>
      </c>
      <c r="AI1032" s="905"/>
      <c r="AJ1032" s="905"/>
    </row>
    <row r="1033" spans="1:36" s="217" customFormat="1" ht="63.75" x14ac:dyDescent="0.25">
      <c r="A1033" s="204"/>
      <c r="B1033" s="294" t="s">
        <v>2968</v>
      </c>
      <c r="C1033" s="294" t="s">
        <v>2969</v>
      </c>
      <c r="D1033" s="206" t="s">
        <v>72</v>
      </c>
      <c r="E1033" s="206"/>
      <c r="F1033" s="206"/>
      <c r="G1033" s="207"/>
      <c r="H1033" s="207"/>
      <c r="I1033" s="207"/>
      <c r="J1033" s="207" t="s">
        <v>2957</v>
      </c>
      <c r="K1033" s="206" t="s">
        <v>82</v>
      </c>
      <c r="L1033" s="431" t="s">
        <v>3670</v>
      </c>
      <c r="M1033" s="480"/>
      <c r="N1033" s="256" t="str">
        <f>N$15</f>
        <v>Valore netto al 31/12/2019</v>
      </c>
      <c r="O1033" s="256" t="str">
        <f>O$15</f>
        <v>Valore netto al 31/12/2020</v>
      </c>
      <c r="P1033" s="256" t="str">
        <f>P$15</f>
        <v>Variazione</v>
      </c>
      <c r="Q1033" s="262" t="s">
        <v>2971</v>
      </c>
      <c r="R1033" s="262" t="s">
        <v>3517</v>
      </c>
      <c r="S1033" s="262" t="s">
        <v>2972</v>
      </c>
      <c r="T1033" s="486" t="s">
        <v>3995</v>
      </c>
      <c r="U1033" s="337" t="s">
        <v>3996</v>
      </c>
      <c r="V1033" s="337" t="s">
        <v>3495</v>
      </c>
      <c r="W1033" s="262" t="s">
        <v>2975</v>
      </c>
      <c r="X1033" s="338" t="s">
        <v>3498</v>
      </c>
      <c r="Y1033" s="338" t="s">
        <v>3499</v>
      </c>
      <c r="Z1033" s="262" t="s">
        <v>3815</v>
      </c>
      <c r="AA1033" s="377" t="s">
        <v>3997</v>
      </c>
      <c r="AB1033" s="377" t="s">
        <v>3998</v>
      </c>
      <c r="AC1033" s="339" t="s">
        <v>3503</v>
      </c>
      <c r="AD1033" s="339" t="s">
        <v>3504</v>
      </c>
      <c r="AE1033" s="339" t="s">
        <v>3505</v>
      </c>
      <c r="AF1033" s="339" t="s">
        <v>3506</v>
      </c>
      <c r="AG1033" s="339" t="s">
        <v>3507</v>
      </c>
      <c r="AH1033" s="340" t="s">
        <v>3508</v>
      </c>
      <c r="AI1033" s="340" t="s">
        <v>3509</v>
      </c>
      <c r="AJ1033" s="340" t="s">
        <v>3510</v>
      </c>
    </row>
    <row r="1034" spans="1:36" s="217" customFormat="1" x14ac:dyDescent="0.25">
      <c r="A1034" s="204"/>
      <c r="B1034" s="246" t="s">
        <v>2588</v>
      </c>
      <c r="C1034" s="287" t="s">
        <v>2589</v>
      </c>
      <c r="D1034" s="380" t="s">
        <v>4095</v>
      </c>
      <c r="E1034" s="274"/>
      <c r="F1034" s="274"/>
      <c r="G1034" s="283"/>
      <c r="H1034" s="266"/>
      <c r="I1034" s="274"/>
      <c r="J1034" s="281"/>
      <c r="K1034" s="281"/>
      <c r="L1034" s="295" t="s">
        <v>2592</v>
      </c>
      <c r="M1034" s="284" t="s">
        <v>2962</v>
      </c>
      <c r="N1034" s="408">
        <f>+R1034</f>
        <v>0</v>
      </c>
      <c r="O1034" s="408">
        <f>+Z1034</f>
        <v>0</v>
      </c>
      <c r="P1034" s="271">
        <f t="shared" ref="P1034:P1045" si="148">+O1034-N1034</f>
        <v>0</v>
      </c>
      <c r="Q1034" s="272">
        <f>+'NI-San_SP'!Q1034+'NI-Soc_SP'!Q1034+'NI-Ric_SP'!Q1034</f>
        <v>0</v>
      </c>
      <c r="R1034" s="272">
        <f>+'NI-San_SP'!R1034+'NI-Soc_SP'!R1034+'NI-Ric_SP'!R1034</f>
        <v>0</v>
      </c>
      <c r="S1034" s="272">
        <f>+'NI-San_SP'!S1034+'NI-Soc_SP'!S1034+'NI-Ric_SP'!S1034</f>
        <v>0</v>
      </c>
      <c r="T1034" s="272">
        <f>+'NI-San_SP'!T1034+'NI-Soc_SP'!T1034+'NI-Ric_SP'!T1034</f>
        <v>0</v>
      </c>
      <c r="U1034" s="272">
        <f>+'NI-San_SP'!U1034+'NI-Soc_SP'!U1034+'NI-Ric_SP'!U1034</f>
        <v>0</v>
      </c>
      <c r="V1034" s="272">
        <f>+'NI-San_SP'!V1034+'NI-Soc_SP'!V1034+'NI-Ric_SP'!V1034</f>
        <v>0</v>
      </c>
      <c r="W1034" s="272">
        <f>+'NI-San_SP'!W1034+'NI-Soc_SP'!W1034+'NI-Ric_SP'!W1034</f>
        <v>0</v>
      </c>
      <c r="X1034" s="272">
        <f>+'NI-San_SP'!X1034+'NI-Soc_SP'!X1034+'NI-Ric_SP'!X1034</f>
        <v>0</v>
      </c>
      <c r="Y1034" s="272">
        <f>+'NI-San_SP'!Y1034+'NI-Soc_SP'!Y1034+'NI-Ric_SP'!Y1034</f>
        <v>0</v>
      </c>
      <c r="Z1034" s="272">
        <f>+'NI-San_SP'!Z1034+'NI-Soc_SP'!Z1034+'NI-Ric_SP'!Z1034</f>
        <v>0</v>
      </c>
      <c r="AA1034" s="272">
        <f>+'NI-San_SP'!AA1034+'NI-Soc_SP'!AA1034+'NI-Ric_SP'!AA1034</f>
        <v>0</v>
      </c>
      <c r="AB1034" s="272">
        <f>+'NI-San_SP'!AB1034+'NI-Soc_SP'!AB1034+'NI-Ric_SP'!AB1034</f>
        <v>0</v>
      </c>
      <c r="AC1034" s="272">
        <f>+'NI-San_SP'!AC1034+'NI-Soc_SP'!AC1034+'NI-Ric_SP'!AC1034</f>
        <v>0</v>
      </c>
      <c r="AD1034" s="272">
        <f>+'NI-San_SP'!AD1034+'NI-Soc_SP'!AD1034+'NI-Ric_SP'!AD1034</f>
        <v>0</v>
      </c>
      <c r="AE1034" s="272">
        <f>+'NI-San_SP'!AE1034+'NI-Soc_SP'!AE1034+'NI-Ric_SP'!AE1034</f>
        <v>0</v>
      </c>
      <c r="AF1034" s="272">
        <f>+'NI-San_SP'!AF1034+'NI-Soc_SP'!AF1034+'NI-Ric_SP'!AF1034</f>
        <v>0</v>
      </c>
      <c r="AG1034" s="272">
        <f>+'NI-San_SP'!AG1034+'NI-Soc_SP'!AG1034+'NI-Ric_SP'!AG1034</f>
        <v>0</v>
      </c>
      <c r="AH1034" s="272">
        <f>+'NI-San_SP'!AH1034+'NI-Soc_SP'!AH1034+'NI-Ric_SP'!AH1034</f>
        <v>0</v>
      </c>
      <c r="AI1034" s="272">
        <f>+'NI-San_SP'!AI1034+'NI-Soc_SP'!AI1034+'NI-Ric_SP'!AI1034</f>
        <v>0</v>
      </c>
      <c r="AJ1034" s="272">
        <f>+'NI-San_SP'!AJ1034+'NI-Soc_SP'!AJ1034+'NI-Ric_SP'!AJ1034</f>
        <v>0</v>
      </c>
    </row>
    <row r="1035" spans="1:36" s="217" customFormat="1" x14ac:dyDescent="0.25">
      <c r="A1035" s="204"/>
      <c r="B1035" s="246" t="s">
        <v>2593</v>
      </c>
      <c r="C1035" s="287" t="s">
        <v>2594</v>
      </c>
      <c r="D1035" s="380" t="s">
        <v>4096</v>
      </c>
      <c r="E1035" s="274"/>
      <c r="F1035" s="274"/>
      <c r="G1035" s="283"/>
      <c r="H1035" s="266"/>
      <c r="I1035" s="274"/>
      <c r="J1035" s="281"/>
      <c r="K1035" s="281"/>
      <c r="L1035" s="295" t="s">
        <v>4097</v>
      </c>
      <c r="M1035" s="284" t="s">
        <v>2962</v>
      </c>
      <c r="N1035" s="378">
        <f>SUM(N1037:N1041)</f>
        <v>10890396</v>
      </c>
      <c r="O1035" s="378">
        <f>SUM(O1036:O1041)</f>
        <v>11708546</v>
      </c>
      <c r="P1035" s="378">
        <f t="shared" si="148"/>
        <v>818150</v>
      </c>
      <c r="Q1035" s="272">
        <f>+'NI-San_SP'!Q1035+'NI-Soc_SP'!Q1035+'NI-Ric_SP'!Q1035</f>
        <v>0</v>
      </c>
      <c r="R1035" s="272">
        <f>+'NI-San_SP'!R1035+'NI-Soc_SP'!R1035+'NI-Ric_SP'!R1035</f>
        <v>10890396</v>
      </c>
      <c r="S1035" s="272">
        <f>+'NI-San_SP'!S1035+'NI-Soc_SP'!S1035+'NI-Ric_SP'!S1035</f>
        <v>0</v>
      </c>
      <c r="T1035" s="272">
        <f>+'NI-San_SP'!T1035+'NI-Soc_SP'!T1035+'NI-Ric_SP'!T1035</f>
        <v>0</v>
      </c>
      <c r="U1035" s="272">
        <f>+'NI-San_SP'!U1035+'NI-Soc_SP'!U1035+'NI-Ric_SP'!U1035</f>
        <v>0</v>
      </c>
      <c r="V1035" s="272">
        <f>+'NI-San_SP'!V1035+'NI-Soc_SP'!V1035+'NI-Ric_SP'!V1035</f>
        <v>165963981</v>
      </c>
      <c r="W1035" s="272">
        <f>+'NI-San_SP'!W1035+'NI-Soc_SP'!W1035+'NI-Ric_SP'!W1035</f>
        <v>0</v>
      </c>
      <c r="X1035" s="272">
        <f>+'NI-San_SP'!X1035+'NI-Soc_SP'!X1035+'NI-Ric_SP'!X1035</f>
        <v>10890396</v>
      </c>
      <c r="Y1035" s="272">
        <f>+'NI-San_SP'!Y1035+'NI-Soc_SP'!Y1035+'NI-Ric_SP'!Y1035</f>
        <v>154255435</v>
      </c>
      <c r="Z1035" s="272">
        <f>+'NI-San_SP'!Z1035+'NI-Soc_SP'!Z1035+'NI-Ric_SP'!Z1035</f>
        <v>11708546</v>
      </c>
      <c r="AA1035" s="272">
        <f>+'NI-San_SP'!AA1035+'NI-Soc_SP'!AA1035+'NI-Ric_SP'!AA1035</f>
        <v>0</v>
      </c>
      <c r="AB1035" s="272">
        <f>+'NI-San_SP'!AB1035+'NI-Soc_SP'!AB1035+'NI-Ric_SP'!AB1035</f>
        <v>0</v>
      </c>
      <c r="AC1035" s="272">
        <f>+'NI-San_SP'!AC1035+'NI-Soc_SP'!AC1035+'NI-Ric_SP'!AC1035</f>
        <v>0</v>
      </c>
      <c r="AD1035" s="272">
        <f>+'NI-San_SP'!AD1035+'NI-Soc_SP'!AD1035+'NI-Ric_SP'!AD1035</f>
        <v>0</v>
      </c>
      <c r="AE1035" s="272">
        <f>+'NI-San_SP'!AE1035+'NI-Soc_SP'!AE1035+'NI-Ric_SP'!AE1035</f>
        <v>0</v>
      </c>
      <c r="AF1035" s="272">
        <f>+'NI-San_SP'!AF1035+'NI-Soc_SP'!AF1035+'NI-Ric_SP'!AF1035</f>
        <v>0</v>
      </c>
      <c r="AG1035" s="272">
        <f>+'NI-San_SP'!AG1035+'NI-Soc_SP'!AG1035+'NI-Ric_SP'!AG1035</f>
        <v>11708546</v>
      </c>
      <c r="AH1035" s="272">
        <f>+'NI-San_SP'!AH1035+'NI-Soc_SP'!AH1035+'NI-Ric_SP'!AH1035</f>
        <v>11708546</v>
      </c>
      <c r="AI1035" s="272">
        <f>+'NI-San_SP'!AI1035+'NI-Soc_SP'!AI1035+'NI-Ric_SP'!AI1035</f>
        <v>0</v>
      </c>
      <c r="AJ1035" s="272">
        <f>+'NI-San_SP'!AJ1035+'NI-Soc_SP'!AJ1035+'NI-Ric_SP'!AJ1035</f>
        <v>0</v>
      </c>
    </row>
    <row r="1036" spans="1:36" s="217" customFormat="1" x14ac:dyDescent="0.25">
      <c r="A1036" s="204"/>
      <c r="B1036" s="246" t="s">
        <v>2598</v>
      </c>
      <c r="C1036" s="287" t="s">
        <v>2599</v>
      </c>
      <c r="D1036" s="380" t="s">
        <v>4098</v>
      </c>
      <c r="E1036" s="274"/>
      <c r="F1036" s="274"/>
      <c r="G1036" s="283"/>
      <c r="H1036" s="266"/>
      <c r="I1036" s="274"/>
      <c r="J1036" s="281"/>
      <c r="K1036" s="281"/>
      <c r="L1036" s="430" t="s">
        <v>4099</v>
      </c>
      <c r="M1036" s="284" t="s">
        <v>2962</v>
      </c>
      <c r="N1036" s="408">
        <f t="shared" ref="N1036:N1042" si="149">+R1036</f>
        <v>0</v>
      </c>
      <c r="O1036" s="408"/>
      <c r="P1036" s="271">
        <f t="shared" si="148"/>
        <v>0</v>
      </c>
      <c r="Q1036" s="272">
        <f>+'NI-San_SP'!Q1036+'NI-Soc_SP'!Q1036+'NI-Ric_SP'!Q1036</f>
        <v>0</v>
      </c>
      <c r="R1036" s="272">
        <f>+'NI-San_SP'!R1036+'NI-Soc_SP'!R1036+'NI-Ric_SP'!R1036</f>
        <v>0</v>
      </c>
      <c r="S1036" s="272">
        <f>+'NI-San_SP'!S1036+'NI-Soc_SP'!S1036+'NI-Ric_SP'!S1036</f>
        <v>0</v>
      </c>
      <c r="T1036" s="272">
        <f>+'NI-San_SP'!T1036+'NI-Soc_SP'!T1036+'NI-Ric_SP'!T1036</f>
        <v>0</v>
      </c>
      <c r="U1036" s="272">
        <f>+'NI-San_SP'!U1036+'NI-Soc_SP'!U1036+'NI-Ric_SP'!U1036</f>
        <v>0</v>
      </c>
      <c r="V1036" s="272">
        <f>+'NI-San_SP'!V1036+'NI-Soc_SP'!V1036+'NI-Ric_SP'!V1036</f>
        <v>0</v>
      </c>
      <c r="W1036" s="272">
        <f>+'NI-San_SP'!W1036+'NI-Soc_SP'!W1036+'NI-Ric_SP'!W1036</f>
        <v>0</v>
      </c>
      <c r="X1036" s="272">
        <f>+'NI-San_SP'!X1036+'NI-Soc_SP'!X1036+'NI-Ric_SP'!X1036</f>
        <v>0</v>
      </c>
      <c r="Y1036" s="272">
        <f>+'NI-San_SP'!Y1036+'NI-Soc_SP'!Y1036+'NI-Ric_SP'!Y1036</f>
        <v>0</v>
      </c>
      <c r="Z1036" s="272">
        <f>+'NI-San_SP'!Z1036+'NI-Soc_SP'!Z1036+'NI-Ric_SP'!Z1036</f>
        <v>0</v>
      </c>
      <c r="AA1036" s="272">
        <f>+'NI-San_SP'!AA1036+'NI-Soc_SP'!AA1036+'NI-Ric_SP'!AA1036</f>
        <v>0</v>
      </c>
      <c r="AB1036" s="272">
        <f>+'NI-San_SP'!AB1036+'NI-Soc_SP'!AB1036+'NI-Ric_SP'!AB1036</f>
        <v>0</v>
      </c>
      <c r="AC1036" s="272">
        <f>+'NI-San_SP'!AC1036+'NI-Soc_SP'!AC1036+'NI-Ric_SP'!AC1036</f>
        <v>0</v>
      </c>
      <c r="AD1036" s="272">
        <f>+'NI-San_SP'!AD1036+'NI-Soc_SP'!AD1036+'NI-Ric_SP'!AD1036</f>
        <v>0</v>
      </c>
      <c r="AE1036" s="272">
        <f>+'NI-San_SP'!AE1036+'NI-Soc_SP'!AE1036+'NI-Ric_SP'!AE1036</f>
        <v>0</v>
      </c>
      <c r="AF1036" s="272">
        <f>+'NI-San_SP'!AF1036+'NI-Soc_SP'!AF1036+'NI-Ric_SP'!AF1036</f>
        <v>0</v>
      </c>
      <c r="AG1036" s="272">
        <f>+'NI-San_SP'!AG1036+'NI-Soc_SP'!AG1036+'NI-Ric_SP'!AG1036</f>
        <v>0</v>
      </c>
      <c r="AH1036" s="272">
        <f>+'NI-San_SP'!AH1036+'NI-Soc_SP'!AH1036+'NI-Ric_SP'!AH1036</f>
        <v>0</v>
      </c>
      <c r="AI1036" s="272">
        <f>+'NI-San_SP'!AI1036+'NI-Soc_SP'!AI1036+'NI-Ric_SP'!AI1036</f>
        <v>0</v>
      </c>
      <c r="AJ1036" s="272">
        <f>+'NI-San_SP'!AJ1036+'NI-Soc_SP'!AJ1036+'NI-Ric_SP'!AJ1036</f>
        <v>0</v>
      </c>
    </row>
    <row r="1037" spans="1:36" s="217" customFormat="1" x14ac:dyDescent="0.25">
      <c r="A1037" s="204"/>
      <c r="B1037" s="246" t="s">
        <v>2601</v>
      </c>
      <c r="C1037" s="287" t="s">
        <v>2602</v>
      </c>
      <c r="D1037" s="287"/>
      <c r="E1037" s="411"/>
      <c r="F1037" s="411"/>
      <c r="G1037" s="412"/>
      <c r="H1037" s="413"/>
      <c r="I1037" s="411"/>
      <c r="J1037" s="411"/>
      <c r="K1037" s="411"/>
      <c r="L1037" s="508" t="s">
        <v>4100</v>
      </c>
      <c r="M1037" s="284" t="s">
        <v>2962</v>
      </c>
      <c r="N1037" s="408">
        <f t="shared" si="149"/>
        <v>1666314</v>
      </c>
      <c r="O1037" s="408">
        <f t="shared" ref="O1037:O1042" si="150">+Z1037</f>
        <v>1590265</v>
      </c>
      <c r="P1037" s="271">
        <f t="shared" si="148"/>
        <v>-76049</v>
      </c>
      <c r="Q1037" s="272">
        <f>+'NI-San_SP'!Q1037+'NI-Soc_SP'!Q1037+'NI-Ric_SP'!Q1037</f>
        <v>0</v>
      </c>
      <c r="R1037" s="272">
        <f>+'NI-San_SP'!R1037+'NI-Soc_SP'!R1037+'NI-Ric_SP'!R1037</f>
        <v>1666314</v>
      </c>
      <c r="S1037" s="272">
        <f>+'NI-San_SP'!S1037+'NI-Soc_SP'!S1037+'NI-Ric_SP'!S1037</f>
        <v>0</v>
      </c>
      <c r="T1037" s="272">
        <f>+'NI-San_SP'!T1037+'NI-Soc_SP'!T1037+'NI-Ric_SP'!T1037</f>
        <v>0</v>
      </c>
      <c r="U1037" s="272">
        <f>+'NI-San_SP'!U1037+'NI-Soc_SP'!U1037+'NI-Ric_SP'!U1037</f>
        <v>0</v>
      </c>
      <c r="V1037" s="272">
        <f>+'NI-San_SP'!Y1037+'NI-Soc_SP'!V1037+'NI-Ric_SP'!V1037</f>
        <v>2001208</v>
      </c>
      <c r="W1037" s="272">
        <f>+'NI-San_SP'!W1037+'NI-Soc_SP'!W1037+'NI-Ric_SP'!W1037</f>
        <v>0</v>
      </c>
      <c r="X1037" s="272">
        <f>+'NI-San_SP'!X1037+'NI-Soc_SP'!X1037+'NI-Ric_SP'!X1037</f>
        <v>1666314</v>
      </c>
      <c r="Y1037" s="272">
        <f>+'NI-San_SP'!Y1037+'NI-Soc_SP'!Y1037+'NI-Ric_SP'!Y1037</f>
        <v>2001208</v>
      </c>
      <c r="Z1037" s="272">
        <f>+'NI-San_SP'!Z1037+'NI-Soc_SP'!Z1037+'NI-Ric_SP'!Z1037</f>
        <v>1590265</v>
      </c>
      <c r="AA1037" s="272">
        <f>+'NI-San_SP'!AA1037+'NI-Soc_SP'!AA1037+'NI-Ric_SP'!AA1037</f>
        <v>0</v>
      </c>
      <c r="AB1037" s="272">
        <f>+'NI-San_SP'!AB1037+'NI-Soc_SP'!AB1037+'NI-Ric_SP'!AB1037</f>
        <v>0</v>
      </c>
      <c r="AC1037" s="272">
        <f>+'NI-San_SP'!AC1037+'NI-Soc_SP'!AC1037+'NI-Ric_SP'!AC1037</f>
        <v>0</v>
      </c>
      <c r="AD1037" s="272">
        <f>+'NI-San_SP'!AD1037+'NI-Soc_SP'!AD1037+'NI-Ric_SP'!AD1037</f>
        <v>0</v>
      </c>
      <c r="AE1037" s="272">
        <f>+'NI-San_SP'!AE1037+'NI-Soc_SP'!AE1037+'NI-Ric_SP'!AE1037</f>
        <v>0</v>
      </c>
      <c r="AF1037" s="272">
        <f>+'NI-San_SP'!AF1037+'NI-Soc_SP'!AF1037+'NI-Ric_SP'!AF1037</f>
        <v>0</v>
      </c>
      <c r="AG1037" s="272">
        <f>+'NI-San_SP'!AG1037+'NI-Soc_SP'!AG1037+'NI-Ric_SP'!AG1037</f>
        <v>1590265</v>
      </c>
      <c r="AH1037" s="272">
        <f>+'NI-San_SP'!AH1037+'NI-Soc_SP'!AH1037+'NI-Ric_SP'!AH1037</f>
        <v>1590265</v>
      </c>
      <c r="AI1037" s="272">
        <f>+'NI-San_SP'!AI1037+'NI-Soc_SP'!AI1037+'NI-Ric_SP'!AI1037</f>
        <v>0</v>
      </c>
      <c r="AJ1037" s="272">
        <f>+'NI-San_SP'!AJ1037+'NI-Soc_SP'!AJ1037+'NI-Ric_SP'!AJ1037</f>
        <v>0</v>
      </c>
    </row>
    <row r="1038" spans="1:36" s="217" customFormat="1" x14ac:dyDescent="0.25">
      <c r="A1038" s="204"/>
      <c r="B1038" s="246" t="s">
        <v>2604</v>
      </c>
      <c r="C1038" s="287" t="s">
        <v>2605</v>
      </c>
      <c r="D1038" s="287"/>
      <c r="E1038" s="411"/>
      <c r="F1038" s="411"/>
      <c r="G1038" s="412"/>
      <c r="H1038" s="413"/>
      <c r="I1038" s="411"/>
      <c r="J1038" s="411"/>
      <c r="K1038" s="411"/>
      <c r="L1038" s="508" t="s">
        <v>4101</v>
      </c>
      <c r="M1038" s="284" t="s">
        <v>2962</v>
      </c>
      <c r="N1038" s="408">
        <f t="shared" si="149"/>
        <v>9224082</v>
      </c>
      <c r="O1038" s="408">
        <f t="shared" si="150"/>
        <v>10118281</v>
      </c>
      <c r="P1038" s="271">
        <f t="shared" si="148"/>
        <v>894199</v>
      </c>
      <c r="Q1038" s="272">
        <f>+'NI-San_SP'!Q1038+'NI-Soc_SP'!Q1038+'NI-Ric_SP'!Q1038</f>
        <v>0</v>
      </c>
      <c r="R1038" s="272">
        <f>+'NI-San_SP'!R1038+'NI-Soc_SP'!R1038+'NI-Ric_SP'!R1038</f>
        <v>9224082</v>
      </c>
      <c r="S1038" s="272">
        <f>+'NI-San_SP'!S1038+'NI-Soc_SP'!S1038+'NI-Ric_SP'!S1038</f>
        <v>0</v>
      </c>
      <c r="T1038" s="272">
        <f>+'NI-San_SP'!T1038+'NI-Soc_SP'!T1038+'NI-Ric_SP'!T1038</f>
        <v>0</v>
      </c>
      <c r="U1038" s="272">
        <f>+'NI-San_SP'!U1038+'NI-Soc_SP'!U1038+'NI-Ric_SP'!U1038</f>
        <v>0</v>
      </c>
      <c r="V1038" s="272">
        <f>+'NI-San_SP'!V1038+'NI-Soc_SP'!V1038+'NI-Ric_SP'!V1038</f>
        <v>162372508</v>
      </c>
      <c r="W1038" s="272">
        <f>+'NI-San_SP'!W1038+'NI-Soc_SP'!W1038+'NI-Ric_SP'!W1038</f>
        <v>0</v>
      </c>
      <c r="X1038" s="272">
        <f>+'NI-San_SP'!X1038+'NI-Soc_SP'!X1038+'NI-Ric_SP'!X1038</f>
        <v>9224082</v>
      </c>
      <c r="Y1038" s="272">
        <f>+'NI-San_SP'!Y1038+'NI-Soc_SP'!Y1038+'NI-Ric_SP'!Y1038</f>
        <v>152254227</v>
      </c>
      <c r="Z1038" s="272">
        <f>+'NI-San_SP'!Z1038+'NI-Soc_SP'!Z1038+'NI-Ric_SP'!Z1038</f>
        <v>10118281</v>
      </c>
      <c r="AA1038" s="272">
        <f>+'NI-San_SP'!AA1038+'NI-Soc_SP'!AA1038+'NI-Ric_SP'!AA1038</f>
        <v>0</v>
      </c>
      <c r="AB1038" s="272">
        <f>+'NI-San_SP'!AB1038+'NI-Soc_SP'!AB1038+'NI-Ric_SP'!AB1038</f>
        <v>0</v>
      </c>
      <c r="AC1038" s="272">
        <f>+'NI-San_SP'!AC1038+'NI-Soc_SP'!AC1038+'NI-Ric_SP'!AC1038</f>
        <v>0</v>
      </c>
      <c r="AD1038" s="272">
        <f>+'NI-San_SP'!AD1038+'NI-Soc_SP'!AD1038+'NI-Ric_SP'!AD1038</f>
        <v>0</v>
      </c>
      <c r="AE1038" s="272">
        <f>+'NI-San_SP'!AE1038+'NI-Soc_SP'!AE1038+'NI-Ric_SP'!AE1038</f>
        <v>0</v>
      </c>
      <c r="AF1038" s="272">
        <f>+'NI-San_SP'!AF1038+'NI-Soc_SP'!AF1038+'NI-Ric_SP'!AF1038</f>
        <v>0</v>
      </c>
      <c r="AG1038" s="272">
        <f>+'NI-San_SP'!AG1038+'NI-Soc_SP'!AG1038+'NI-Ric_SP'!AG1038</f>
        <v>10118281</v>
      </c>
      <c r="AH1038" s="272">
        <f>+'NI-San_SP'!AH1038+'NI-Soc_SP'!AH1038+'NI-Ric_SP'!AH1038</f>
        <v>10118281</v>
      </c>
      <c r="AI1038" s="272">
        <f>+'NI-San_SP'!AI1038+'NI-Soc_SP'!AI1038+'NI-Ric_SP'!AI1038</f>
        <v>0</v>
      </c>
      <c r="AJ1038" s="272">
        <f>+'NI-San_SP'!AJ1038+'NI-Soc_SP'!AJ1038+'NI-Ric_SP'!AJ1038</f>
        <v>0</v>
      </c>
    </row>
    <row r="1039" spans="1:36" s="217" customFormat="1" x14ac:dyDescent="0.25">
      <c r="A1039" s="204"/>
      <c r="B1039" s="246" t="s">
        <v>2607</v>
      </c>
      <c r="C1039" s="287" t="s">
        <v>2608</v>
      </c>
      <c r="D1039" s="380" t="s">
        <v>4102</v>
      </c>
      <c r="E1039" s="274"/>
      <c r="F1039" s="274"/>
      <c r="G1039" s="283"/>
      <c r="H1039" s="266"/>
      <c r="I1039" s="274"/>
      <c r="J1039" s="281"/>
      <c r="K1039" s="281"/>
      <c r="L1039" s="430" t="s">
        <v>4103</v>
      </c>
      <c r="M1039" s="284" t="s">
        <v>2962</v>
      </c>
      <c r="N1039" s="408">
        <f t="shared" si="149"/>
        <v>0</v>
      </c>
      <c r="O1039" s="408">
        <f t="shared" si="150"/>
        <v>0</v>
      </c>
      <c r="P1039" s="271">
        <f t="shared" si="148"/>
        <v>0</v>
      </c>
      <c r="Q1039" s="272">
        <f>+'NI-San_SP'!Q1039+'NI-Soc_SP'!Q1039+'NI-Ric_SP'!Q1039</f>
        <v>0</v>
      </c>
      <c r="R1039" s="272">
        <f>+'NI-San_SP'!R1039+'NI-Soc_SP'!R1039+'NI-Ric_SP'!R1039</f>
        <v>0</v>
      </c>
      <c r="S1039" s="272">
        <f>+'NI-San_SP'!S1039+'NI-Soc_SP'!S1039+'NI-Ric_SP'!S1039</f>
        <v>0</v>
      </c>
      <c r="T1039" s="272">
        <f>+'NI-San_SP'!T1039+'NI-Soc_SP'!T1039+'NI-Ric_SP'!T1039</f>
        <v>0</v>
      </c>
      <c r="U1039" s="272">
        <f>+'NI-San_SP'!U1039+'NI-Soc_SP'!U1039+'NI-Ric_SP'!U1039</f>
        <v>0</v>
      </c>
      <c r="V1039" s="272">
        <f>+'NI-San_SP'!V1039+'NI-Soc_SP'!V1039+'NI-Ric_SP'!V1039</f>
        <v>0</v>
      </c>
      <c r="W1039" s="272">
        <f>+'NI-San_SP'!W1039+'NI-Soc_SP'!W1039+'NI-Ric_SP'!W1039</f>
        <v>0</v>
      </c>
      <c r="X1039" s="272">
        <f>+'NI-San_SP'!X1039+'NI-Soc_SP'!X1039+'NI-Ric_SP'!X1039</f>
        <v>0</v>
      </c>
      <c r="Y1039" s="272">
        <f>+'NI-San_SP'!Y1039+'NI-Soc_SP'!Y1039+'NI-Ric_SP'!Y1039</f>
        <v>0</v>
      </c>
      <c r="Z1039" s="272">
        <f>+'NI-San_SP'!Z1039+'NI-Soc_SP'!Z1039+'NI-Ric_SP'!Z1039</f>
        <v>0</v>
      </c>
      <c r="AA1039" s="272">
        <f>+'NI-San_SP'!AA1039+'NI-Soc_SP'!AA1039+'NI-Ric_SP'!AA1039</f>
        <v>0</v>
      </c>
      <c r="AB1039" s="272">
        <f>+'NI-San_SP'!AB1039+'NI-Soc_SP'!AB1039+'NI-Ric_SP'!AB1039</f>
        <v>0</v>
      </c>
      <c r="AC1039" s="272">
        <f>+'NI-San_SP'!AC1039+'NI-Soc_SP'!AC1039+'NI-Ric_SP'!AC1039</f>
        <v>0</v>
      </c>
      <c r="AD1039" s="272">
        <f>+'NI-San_SP'!AD1039+'NI-Soc_SP'!AD1039+'NI-Ric_SP'!AD1039</f>
        <v>0</v>
      </c>
      <c r="AE1039" s="272">
        <f>+'NI-San_SP'!AE1039+'NI-Soc_SP'!AE1039+'NI-Ric_SP'!AE1039</f>
        <v>0</v>
      </c>
      <c r="AF1039" s="272">
        <f>+'NI-San_SP'!AF1039+'NI-Soc_SP'!AF1039+'NI-Ric_SP'!AF1039</f>
        <v>0</v>
      </c>
      <c r="AG1039" s="272">
        <f>+'NI-San_SP'!AG1039+'NI-Soc_SP'!AG1039+'NI-Ric_SP'!AG1039</f>
        <v>0</v>
      </c>
      <c r="AH1039" s="272">
        <f>+'NI-San_SP'!AH1039+'NI-Soc_SP'!AH1039+'NI-Ric_SP'!AH1039</f>
        <v>0</v>
      </c>
      <c r="AI1039" s="272">
        <f>+'NI-San_SP'!AI1039+'NI-Soc_SP'!AI1039+'NI-Ric_SP'!AI1039</f>
        <v>0</v>
      </c>
      <c r="AJ1039" s="272">
        <f>+'NI-San_SP'!AJ1039+'NI-Soc_SP'!AJ1039+'NI-Ric_SP'!AJ1039</f>
        <v>0</v>
      </c>
    </row>
    <row r="1040" spans="1:36" s="217" customFormat="1" x14ac:dyDescent="0.25">
      <c r="A1040" s="204"/>
      <c r="B1040" s="246" t="s">
        <v>2610</v>
      </c>
      <c r="C1040" s="287" t="s">
        <v>2611</v>
      </c>
      <c r="D1040" s="380" t="s">
        <v>4104</v>
      </c>
      <c r="E1040" s="274"/>
      <c r="F1040" s="274"/>
      <c r="G1040" s="283"/>
      <c r="H1040" s="266"/>
      <c r="I1040" s="274"/>
      <c r="J1040" s="281"/>
      <c r="K1040" s="281"/>
      <c r="L1040" s="430" t="s">
        <v>4105</v>
      </c>
      <c r="M1040" s="284" t="s">
        <v>2962</v>
      </c>
      <c r="N1040" s="408">
        <f t="shared" si="149"/>
        <v>0</v>
      </c>
      <c r="O1040" s="408">
        <f t="shared" si="150"/>
        <v>0</v>
      </c>
      <c r="P1040" s="271">
        <f t="shared" si="148"/>
        <v>0</v>
      </c>
      <c r="Q1040" s="272">
        <f>+'NI-San_SP'!Q1040+'NI-Soc_SP'!Q1040+'NI-Ric_SP'!Q1040</f>
        <v>0</v>
      </c>
      <c r="R1040" s="272">
        <f>+'NI-San_SP'!R1040+'NI-Soc_SP'!R1040+'NI-Ric_SP'!R1040</f>
        <v>0</v>
      </c>
      <c r="S1040" s="272">
        <f>+'NI-San_SP'!S1040+'NI-Soc_SP'!S1040+'NI-Ric_SP'!S1040</f>
        <v>0</v>
      </c>
      <c r="T1040" s="272">
        <f>+'NI-San_SP'!T1040+'NI-Soc_SP'!T1040+'NI-Ric_SP'!T1040</f>
        <v>0</v>
      </c>
      <c r="U1040" s="272">
        <f>+'NI-San_SP'!U1040+'NI-Soc_SP'!U1040+'NI-Ric_SP'!U1040</f>
        <v>0</v>
      </c>
      <c r="V1040" s="272">
        <f>+'NI-San_SP'!V1040+'NI-Soc_SP'!V1040+'NI-Ric_SP'!V1040</f>
        <v>0</v>
      </c>
      <c r="W1040" s="272">
        <f>+'NI-San_SP'!W1040+'NI-Soc_SP'!W1040+'NI-Ric_SP'!W1040</f>
        <v>0</v>
      </c>
      <c r="X1040" s="272">
        <f>+'NI-San_SP'!X1040+'NI-Soc_SP'!X1040+'NI-Ric_SP'!X1040</f>
        <v>0</v>
      </c>
      <c r="Y1040" s="272">
        <f>+'NI-San_SP'!Y1040+'NI-Soc_SP'!Y1040+'NI-Ric_SP'!Y1040</f>
        <v>0</v>
      </c>
      <c r="Z1040" s="272">
        <f>+'NI-San_SP'!Z1040+'NI-Soc_SP'!Z1040+'NI-Ric_SP'!Z1040</f>
        <v>0</v>
      </c>
      <c r="AA1040" s="272">
        <f>+'NI-San_SP'!AA1040+'NI-Soc_SP'!AA1040+'NI-Ric_SP'!AA1040</f>
        <v>0</v>
      </c>
      <c r="AB1040" s="272">
        <f>+'NI-San_SP'!AB1040+'NI-Soc_SP'!AB1040+'NI-Ric_SP'!AB1040</f>
        <v>0</v>
      </c>
      <c r="AC1040" s="272">
        <f>+'NI-San_SP'!AC1040+'NI-Soc_SP'!AC1040+'NI-Ric_SP'!AC1040</f>
        <v>0</v>
      </c>
      <c r="AD1040" s="272">
        <f>+'NI-San_SP'!AD1040+'NI-Soc_SP'!AD1040+'NI-Ric_SP'!AD1040</f>
        <v>0</v>
      </c>
      <c r="AE1040" s="272">
        <f>+'NI-San_SP'!AE1040+'NI-Soc_SP'!AE1040+'NI-Ric_SP'!AE1040</f>
        <v>0</v>
      </c>
      <c r="AF1040" s="272">
        <f>+'NI-San_SP'!AF1040+'NI-Soc_SP'!AF1040+'NI-Ric_SP'!AF1040</f>
        <v>0</v>
      </c>
      <c r="AG1040" s="272">
        <f>+'NI-San_SP'!AG1040+'NI-Soc_SP'!AG1040+'NI-Ric_SP'!AG1040</f>
        <v>0</v>
      </c>
      <c r="AH1040" s="272">
        <f>+'NI-San_SP'!AH1040+'NI-Soc_SP'!AH1040+'NI-Ric_SP'!AH1040</f>
        <v>0</v>
      </c>
      <c r="AI1040" s="272">
        <f>+'NI-San_SP'!AI1040+'NI-Soc_SP'!AI1040+'NI-Ric_SP'!AI1040</f>
        <v>0</v>
      </c>
      <c r="AJ1040" s="272">
        <f>+'NI-San_SP'!AJ1040+'NI-Soc_SP'!AJ1040+'NI-Ric_SP'!AJ1040</f>
        <v>0</v>
      </c>
    </row>
    <row r="1041" spans="1:36" s="217" customFormat="1" x14ac:dyDescent="0.25">
      <c r="A1041" s="204"/>
      <c r="B1041" s="246" t="s">
        <v>2613</v>
      </c>
      <c r="C1041" s="287" t="s">
        <v>2614</v>
      </c>
      <c r="D1041" s="380" t="s">
        <v>4106</v>
      </c>
      <c r="E1041" s="274"/>
      <c r="F1041" s="274"/>
      <c r="G1041" s="283"/>
      <c r="H1041" s="266"/>
      <c r="I1041" s="274"/>
      <c r="J1041" s="281"/>
      <c r="K1041" s="281"/>
      <c r="L1041" s="430" t="s">
        <v>4107</v>
      </c>
      <c r="M1041" s="284" t="s">
        <v>2962</v>
      </c>
      <c r="N1041" s="408">
        <f t="shared" si="149"/>
        <v>0</v>
      </c>
      <c r="O1041" s="408">
        <f t="shared" si="150"/>
        <v>0</v>
      </c>
      <c r="P1041" s="271">
        <f t="shared" si="148"/>
        <v>0</v>
      </c>
      <c r="Q1041" s="272">
        <f>+'NI-San_SP'!Q1041+'NI-Soc_SP'!Q1041+'NI-Ric_SP'!Q1041</f>
        <v>0</v>
      </c>
      <c r="R1041" s="272">
        <f>+'NI-San_SP'!R1041+'NI-Soc_SP'!R1041+'NI-Ric_SP'!R1041</f>
        <v>0</v>
      </c>
      <c r="S1041" s="272">
        <f>+'NI-San_SP'!S1041+'NI-Soc_SP'!S1041+'NI-Ric_SP'!S1041</f>
        <v>0</v>
      </c>
      <c r="T1041" s="272">
        <f>+'NI-San_SP'!T1041+'NI-Soc_SP'!T1041+'NI-Ric_SP'!T1041</f>
        <v>0</v>
      </c>
      <c r="U1041" s="272">
        <f>+'NI-San_SP'!U1041+'NI-Soc_SP'!U1041+'NI-Ric_SP'!U1041</f>
        <v>0</v>
      </c>
      <c r="V1041" s="272">
        <f>+'NI-San_SP'!V1041+'NI-Soc_SP'!V1041+'NI-Ric_SP'!V1041</f>
        <v>0</v>
      </c>
      <c r="W1041" s="272">
        <f>+'NI-San_SP'!W1041+'NI-Soc_SP'!W1041+'NI-Ric_SP'!W1041</f>
        <v>0</v>
      </c>
      <c r="X1041" s="272">
        <f>+'NI-San_SP'!X1041+'NI-Soc_SP'!X1041+'NI-Ric_SP'!X1041</f>
        <v>0</v>
      </c>
      <c r="Y1041" s="272">
        <f>+'NI-San_SP'!Y1041+'NI-Soc_SP'!Y1041+'NI-Ric_SP'!Y1041</f>
        <v>0</v>
      </c>
      <c r="Z1041" s="272">
        <f>+'NI-San_SP'!Z1041+'NI-Soc_SP'!Z1041+'NI-Ric_SP'!Z1041</f>
        <v>0</v>
      </c>
      <c r="AA1041" s="272">
        <f>+'NI-San_SP'!AA1041+'NI-Soc_SP'!AA1041+'NI-Ric_SP'!AA1041</f>
        <v>0</v>
      </c>
      <c r="AB1041" s="272">
        <f>+'NI-San_SP'!AB1041+'NI-Soc_SP'!AB1041+'NI-Ric_SP'!AB1041</f>
        <v>0</v>
      </c>
      <c r="AC1041" s="272">
        <f>+'NI-San_SP'!AC1041+'NI-Soc_SP'!AC1041+'NI-Ric_SP'!AC1041</f>
        <v>0</v>
      </c>
      <c r="AD1041" s="272">
        <f>+'NI-San_SP'!AD1041+'NI-Soc_SP'!AD1041+'NI-Ric_SP'!AD1041</f>
        <v>0</v>
      </c>
      <c r="AE1041" s="272">
        <f>+'NI-San_SP'!AE1041+'NI-Soc_SP'!AE1041+'NI-Ric_SP'!AE1041</f>
        <v>0</v>
      </c>
      <c r="AF1041" s="272">
        <f>+'NI-San_SP'!AF1041+'NI-Soc_SP'!AF1041+'NI-Ric_SP'!AF1041</f>
        <v>0</v>
      </c>
      <c r="AG1041" s="272">
        <f>+'NI-San_SP'!AG1041+'NI-Soc_SP'!AG1041+'NI-Ric_SP'!AG1041</f>
        <v>0</v>
      </c>
      <c r="AH1041" s="272">
        <f>+'NI-San_SP'!AH1041+'NI-Soc_SP'!AH1041+'NI-Ric_SP'!AH1041</f>
        <v>0</v>
      </c>
      <c r="AI1041" s="272">
        <f>+'NI-San_SP'!AI1041+'NI-Soc_SP'!AI1041+'NI-Ric_SP'!AI1041</f>
        <v>0</v>
      </c>
      <c r="AJ1041" s="272">
        <f>+'NI-San_SP'!AJ1041+'NI-Soc_SP'!AJ1041+'NI-Ric_SP'!AJ1041</f>
        <v>0</v>
      </c>
    </row>
    <row r="1042" spans="1:36" s="217" customFormat="1" x14ac:dyDescent="0.25">
      <c r="A1042" s="204"/>
      <c r="B1042" s="246" t="s">
        <v>2616</v>
      </c>
      <c r="C1042" s="287" t="s">
        <v>2617</v>
      </c>
      <c r="D1042" s="380" t="s">
        <v>4108</v>
      </c>
      <c r="E1042" s="274"/>
      <c r="F1042" s="274"/>
      <c r="G1042" s="283"/>
      <c r="H1042" s="266"/>
      <c r="I1042" s="274"/>
      <c r="J1042" s="281"/>
      <c r="K1042" s="281"/>
      <c r="L1042" s="295" t="s">
        <v>2619</v>
      </c>
      <c r="M1042" s="284" t="s">
        <v>2962</v>
      </c>
      <c r="N1042" s="408">
        <f t="shared" si="149"/>
        <v>0</v>
      </c>
      <c r="O1042" s="408">
        <f t="shared" si="150"/>
        <v>0</v>
      </c>
      <c r="P1042" s="271">
        <f t="shared" si="148"/>
        <v>0</v>
      </c>
      <c r="Q1042" s="272">
        <f>+'NI-San_SP'!Q1042+'NI-Soc_SP'!Q1042+'NI-Ric_SP'!Q1042</f>
        <v>0</v>
      </c>
      <c r="R1042" s="272">
        <f>+'NI-San_SP'!R1042+'NI-Soc_SP'!R1042+'NI-Ric_SP'!R1042</f>
        <v>0</v>
      </c>
      <c r="S1042" s="272">
        <f>+'NI-San_SP'!S1042+'NI-Soc_SP'!S1042+'NI-Ric_SP'!S1042</f>
        <v>0</v>
      </c>
      <c r="T1042" s="272">
        <f>+'NI-San_SP'!T1042+'NI-Soc_SP'!T1042+'NI-Ric_SP'!T1042</f>
        <v>0</v>
      </c>
      <c r="U1042" s="272">
        <f>+'NI-San_SP'!U1042+'NI-Soc_SP'!U1042+'NI-Ric_SP'!U1042</f>
        <v>0</v>
      </c>
      <c r="V1042" s="272">
        <f>+'NI-San_SP'!V1042+'NI-Soc_SP'!V1042+'NI-Ric_SP'!V1042</f>
        <v>0</v>
      </c>
      <c r="W1042" s="272">
        <f>+'NI-San_SP'!W1042+'NI-Soc_SP'!W1042+'NI-Ric_SP'!W1042</f>
        <v>0</v>
      </c>
      <c r="X1042" s="272">
        <f>+'NI-San_SP'!X1042+'NI-Soc_SP'!X1042+'NI-Ric_SP'!X1042</f>
        <v>0</v>
      </c>
      <c r="Y1042" s="272">
        <f>+'NI-San_SP'!Y1042+'NI-Soc_SP'!Y1042+'NI-Ric_SP'!Y1042</f>
        <v>0</v>
      </c>
      <c r="Z1042" s="272">
        <f>+'NI-San_SP'!Z1042+'NI-Soc_SP'!Z1042+'NI-Ric_SP'!Z1042</f>
        <v>0</v>
      </c>
      <c r="AA1042" s="272">
        <f>+'NI-San_SP'!AA1042+'NI-Soc_SP'!AA1042+'NI-Ric_SP'!AA1042</f>
        <v>0</v>
      </c>
      <c r="AB1042" s="272">
        <f>+'NI-San_SP'!AB1042+'NI-Soc_SP'!AB1042+'NI-Ric_SP'!AB1042</f>
        <v>0</v>
      </c>
      <c r="AC1042" s="272">
        <f>+'NI-San_SP'!AC1042+'NI-Soc_SP'!AC1042+'NI-Ric_SP'!AC1042</f>
        <v>0</v>
      </c>
      <c r="AD1042" s="272">
        <f>+'NI-San_SP'!AD1042+'NI-Soc_SP'!AD1042+'NI-Ric_SP'!AD1042</f>
        <v>0</v>
      </c>
      <c r="AE1042" s="272">
        <f>+'NI-San_SP'!AE1042+'NI-Soc_SP'!AE1042+'NI-Ric_SP'!AE1042</f>
        <v>0</v>
      </c>
      <c r="AF1042" s="272">
        <f>+'NI-San_SP'!AF1042+'NI-Soc_SP'!AF1042+'NI-Ric_SP'!AF1042</f>
        <v>0</v>
      </c>
      <c r="AG1042" s="272">
        <f>+'NI-San_SP'!AG1042+'NI-Soc_SP'!AG1042+'NI-Ric_SP'!AG1042</f>
        <v>0</v>
      </c>
      <c r="AH1042" s="272">
        <f>+'NI-San_SP'!AH1042+'NI-Soc_SP'!AH1042+'NI-Ric_SP'!AH1042</f>
        <v>0</v>
      </c>
      <c r="AI1042" s="272">
        <f>+'NI-San_SP'!AI1042+'NI-Soc_SP'!AI1042+'NI-Ric_SP'!AI1042</f>
        <v>0</v>
      </c>
      <c r="AJ1042" s="272">
        <f>+'NI-San_SP'!AJ1042+'NI-Soc_SP'!AJ1042+'NI-Ric_SP'!AJ1042</f>
        <v>0</v>
      </c>
    </row>
    <row r="1043" spans="1:36" s="217" customFormat="1" x14ac:dyDescent="0.25">
      <c r="A1043" s="204"/>
      <c r="B1043" s="246" t="s">
        <v>2620</v>
      </c>
      <c r="C1043" s="287" t="s">
        <v>2621</v>
      </c>
      <c r="D1043" s="380" t="s">
        <v>4109</v>
      </c>
      <c r="E1043" s="274"/>
      <c r="F1043" s="274"/>
      <c r="G1043" s="283"/>
      <c r="H1043" s="266"/>
      <c r="I1043" s="274"/>
      <c r="J1043" s="281"/>
      <c r="K1043" s="281"/>
      <c r="L1043" s="295" t="s">
        <v>2623</v>
      </c>
      <c r="M1043" s="284" t="s">
        <v>2962</v>
      </c>
      <c r="N1043" s="378">
        <f>+N1044+N1045+N1046</f>
        <v>1487907</v>
      </c>
      <c r="O1043" s="378">
        <f>+O1044+O1045+O1046</f>
        <v>1965628</v>
      </c>
      <c r="P1043" s="378">
        <f t="shared" si="148"/>
        <v>477721</v>
      </c>
      <c r="Q1043" s="272">
        <f>+'NI-San_SP'!Q1043+'NI-Soc_SP'!Q1043+'NI-Ric_SP'!Q1043</f>
        <v>0</v>
      </c>
      <c r="R1043" s="272">
        <f>+'NI-San_SP'!R1043+'NI-Soc_SP'!R1043+'NI-Ric_SP'!R1043</f>
        <v>1487907</v>
      </c>
      <c r="S1043" s="272">
        <f>+'NI-San_SP'!S1043+'NI-Soc_SP'!S1043+'NI-Ric_SP'!S1043</f>
        <v>0</v>
      </c>
      <c r="T1043" s="272">
        <f>+'NI-San_SP'!T1043+'NI-Soc_SP'!T1043+'NI-Ric_SP'!T1043</f>
        <v>0</v>
      </c>
      <c r="U1043" s="272">
        <f>+'NI-San_SP'!U1043+'NI-Soc_SP'!U1043+'NI-Ric_SP'!U1043</f>
        <v>31344</v>
      </c>
      <c r="V1043" s="272">
        <f>+'NI-San_SP'!V1043+'NI-Soc_SP'!V1043+'NI-Ric_SP'!V1043</f>
        <v>15820368</v>
      </c>
      <c r="W1043" s="272">
        <f>+'NI-San_SP'!W1043+'NI-Soc_SP'!W1043+'NI-Ric_SP'!W1043</f>
        <v>0</v>
      </c>
      <c r="X1043" s="272">
        <f>+'NI-San_SP'!X1043+'NI-Soc_SP'!X1043+'NI-Ric_SP'!X1043</f>
        <v>917319</v>
      </c>
      <c r="Y1043" s="272">
        <f>+'NI-San_SP'!Y1043+'NI-Soc_SP'!Y1043+'NI-Ric_SP'!Y1043</f>
        <v>14456672</v>
      </c>
      <c r="Z1043" s="272">
        <f>+'NI-San_SP'!Z1043+'NI-Soc_SP'!Z1043+'NI-Ric_SP'!Z1043</f>
        <v>1965628</v>
      </c>
      <c r="AA1043" s="272">
        <f>+'NI-San_SP'!AA1043+'NI-Soc_SP'!AA1043+'NI-Ric_SP'!AA1043</f>
        <v>457903</v>
      </c>
      <c r="AB1043" s="272">
        <f>+'NI-San_SP'!AB1043+'NI-Soc_SP'!AB1043+'NI-Ric_SP'!AB1043</f>
        <v>0</v>
      </c>
      <c r="AC1043" s="272">
        <f>+'NI-San_SP'!AC1043+'NI-Soc_SP'!AC1043+'NI-Ric_SP'!AC1043</f>
        <v>61997</v>
      </c>
      <c r="AD1043" s="272">
        <f>+'NI-San_SP'!AD1043+'NI-Soc_SP'!AD1043+'NI-Ric_SP'!AD1043</f>
        <v>39146</v>
      </c>
      <c r="AE1043" s="272">
        <f>+'NI-San_SP'!AE1043+'NI-Soc_SP'!AE1043+'NI-Ric_SP'!AE1043</f>
        <v>92000</v>
      </c>
      <c r="AF1043" s="272">
        <f>+'NI-San_SP'!AF1043+'NI-Soc_SP'!AF1043+'NI-Ric_SP'!AF1043</f>
        <v>322727</v>
      </c>
      <c r="AG1043" s="272">
        <f>+'NI-San_SP'!AG1043+'NI-Soc_SP'!AG1043+'NI-Ric_SP'!AG1043</f>
        <v>1449758</v>
      </c>
      <c r="AH1043" s="272">
        <f>+'NI-San_SP'!AH1043+'NI-Soc_SP'!AH1043+'NI-Ric_SP'!AH1043</f>
        <v>1830980</v>
      </c>
      <c r="AI1043" s="272">
        <f>+'NI-San_SP'!AI1043+'NI-Soc_SP'!AI1043+'NI-Ric_SP'!AI1043</f>
        <v>0</v>
      </c>
      <c r="AJ1043" s="272">
        <f>+'NI-San_SP'!AJ1043+'NI-Soc_SP'!AJ1043+'NI-Ric_SP'!AJ1043</f>
        <v>134648</v>
      </c>
    </row>
    <row r="1044" spans="1:36" s="217" customFormat="1" x14ac:dyDescent="0.25">
      <c r="A1044" s="204"/>
      <c r="B1044" s="246" t="s">
        <v>2624</v>
      </c>
      <c r="C1044" s="287" t="s">
        <v>2625</v>
      </c>
      <c r="D1044" s="380" t="s">
        <v>4110</v>
      </c>
      <c r="E1044" s="274"/>
      <c r="F1044" s="274"/>
      <c r="G1044" s="283"/>
      <c r="H1044" s="266"/>
      <c r="I1044" s="274"/>
      <c r="J1044" s="281"/>
      <c r="K1044" s="281"/>
      <c r="L1044" s="509" t="s">
        <v>2627</v>
      </c>
      <c r="M1044" s="284" t="s">
        <v>2962</v>
      </c>
      <c r="N1044" s="408">
        <f>+R1044</f>
        <v>1257591</v>
      </c>
      <c r="O1044" s="408">
        <f>+Z1044</f>
        <v>1797128</v>
      </c>
      <c r="P1044" s="271">
        <f t="shared" si="148"/>
        <v>539537</v>
      </c>
      <c r="Q1044" s="272">
        <f>+'NI-San_SP'!Q1044+'NI-Soc_SP'!Q1044+'NI-Ric_SP'!Q1044</f>
        <v>0</v>
      </c>
      <c r="R1044" s="272">
        <f>+'NI-San_SP'!R1044+'NI-Soc_SP'!R1044+'NI-Ric_SP'!R1044</f>
        <v>1257591</v>
      </c>
      <c r="S1044" s="272">
        <f>+'NI-San_SP'!S1044+'NI-Soc_SP'!S1044+'NI-Ric_SP'!S1044</f>
        <v>0</v>
      </c>
      <c r="T1044" s="272">
        <f>+'NI-San_SP'!T1044+'NI-Soc_SP'!T1044+'NI-Ric_SP'!T1044</f>
        <v>0</v>
      </c>
      <c r="U1044" s="272">
        <f>+'NI-San_SP'!U1044+'NI-Soc_SP'!U1044+'NI-Ric_SP'!U1044</f>
        <v>31344</v>
      </c>
      <c r="V1044" s="272">
        <f>+'NI-San_SP'!V1044+'NI-Soc_SP'!V1044+'NI-Ric_SP'!V1044</f>
        <v>15771758</v>
      </c>
      <c r="W1044" s="272">
        <f>+'NI-San_SP'!W1044+'NI-Soc_SP'!W1044+'NI-Ric_SP'!W1044</f>
        <v>0</v>
      </c>
      <c r="X1044" s="272">
        <f>+'NI-San_SP'!X1044+'NI-Soc_SP'!X1044+'NI-Ric_SP'!X1044</f>
        <v>879580</v>
      </c>
      <c r="Y1044" s="272">
        <f>+'NI-San_SP'!Y1044+'NI-Soc_SP'!Y1044+'NI-Ric_SP'!Y1044</f>
        <v>14383985</v>
      </c>
      <c r="Z1044" s="272">
        <f>+'NI-San_SP'!Z1044+'NI-Soc_SP'!Z1044+'NI-Ric_SP'!Z1044</f>
        <v>1797128</v>
      </c>
      <c r="AA1044" s="272">
        <f>+'NI-San_SP'!AA1044+'NI-Soc_SP'!AA1044+'NI-Ric_SP'!AA1044</f>
        <v>457903</v>
      </c>
      <c r="AB1044" s="272">
        <f>+'NI-San_SP'!AB1044+'NI-Soc_SP'!AB1044+'NI-Ric_SP'!AB1044</f>
        <v>0</v>
      </c>
      <c r="AC1044" s="272">
        <f>+'NI-San_SP'!AC1044+'NI-Soc_SP'!AC1044+'NI-Ric_SP'!AC1044</f>
        <v>61997</v>
      </c>
      <c r="AD1044" s="272">
        <f>+'NI-San_SP'!AD1044+'NI-Soc_SP'!AD1044+'NI-Ric_SP'!AD1044</f>
        <v>39146</v>
      </c>
      <c r="AE1044" s="272">
        <f>+'NI-San_SP'!AE1044+'NI-Soc_SP'!AE1044+'NI-Ric_SP'!AE1044</f>
        <v>79000</v>
      </c>
      <c r="AF1044" s="272">
        <f>+'NI-San_SP'!AF1044+'NI-Soc_SP'!AF1044+'NI-Ric_SP'!AF1044</f>
        <v>193227</v>
      </c>
      <c r="AG1044" s="272">
        <f>+'NI-San_SP'!AG1044+'NI-Soc_SP'!AG1044+'NI-Ric_SP'!AG1044</f>
        <v>1423758</v>
      </c>
      <c r="AH1044" s="272">
        <f>+'NI-San_SP'!AH1044+'NI-Soc_SP'!AH1044+'NI-Ric_SP'!AH1044</f>
        <v>1662480</v>
      </c>
      <c r="AI1044" s="272">
        <f>+'NI-San_SP'!AI1044+'NI-Soc_SP'!AI1044+'NI-Ric_SP'!AI1044</f>
        <v>0</v>
      </c>
      <c r="AJ1044" s="272">
        <f>+'NI-San_SP'!AJ1044+'NI-Soc_SP'!AJ1044+'NI-Ric_SP'!AJ1044</f>
        <v>134648</v>
      </c>
    </row>
    <row r="1045" spans="1:36" s="217" customFormat="1" x14ac:dyDescent="0.25">
      <c r="A1045" s="204"/>
      <c r="B1045" s="246" t="s">
        <v>2628</v>
      </c>
      <c r="C1045" s="287" t="s">
        <v>2629</v>
      </c>
      <c r="D1045" s="380" t="s">
        <v>4111</v>
      </c>
      <c r="E1045" s="274"/>
      <c r="F1045" s="274"/>
      <c r="G1045" s="283"/>
      <c r="H1045" s="266"/>
      <c r="I1045" s="274"/>
      <c r="J1045" s="281"/>
      <c r="K1045" s="281"/>
      <c r="L1045" s="509" t="s">
        <v>2630</v>
      </c>
      <c r="M1045" s="284" t="s">
        <v>2962</v>
      </c>
      <c r="N1045" s="408">
        <f>+R1045</f>
        <v>230316</v>
      </c>
      <c r="O1045" s="408">
        <f>+Z1045</f>
        <v>168500</v>
      </c>
      <c r="P1045" s="271">
        <f t="shared" si="148"/>
        <v>-61816</v>
      </c>
      <c r="Q1045" s="272">
        <f>+'NI-San_SP'!Q1045+'NI-Soc_SP'!Q1045+'NI-Ric_SP'!Q1045</f>
        <v>0</v>
      </c>
      <c r="R1045" s="272">
        <f>+'NI-San_SP'!R1045+'NI-Soc_SP'!R1045+'NI-Ric_SP'!R1045</f>
        <v>230316</v>
      </c>
      <c r="S1045" s="272">
        <f>+'NI-San_SP'!S1045+'NI-Soc_SP'!S1045+'NI-Ric_SP'!S1045</f>
        <v>0</v>
      </c>
      <c r="T1045" s="272">
        <f>+'NI-San_SP'!T1045+'NI-Soc_SP'!T1045+'NI-Ric_SP'!T1045</f>
        <v>0</v>
      </c>
      <c r="U1045" s="272">
        <f>+'NI-San_SP'!U1045+'NI-Soc_SP'!U1045+'NI-Ric_SP'!U1045</f>
        <v>0</v>
      </c>
      <c r="V1045" s="272">
        <f>+'NI-San_SP'!V1045+'NI-Soc_SP'!V1045+'NI-Ric_SP'!V1045</f>
        <v>48610</v>
      </c>
      <c r="W1045" s="272">
        <f>+'NI-San_SP'!W1045+'NI-Soc_SP'!W1045+'NI-Ric_SP'!W1045</f>
        <v>0</v>
      </c>
      <c r="X1045" s="272">
        <f>+'NI-San_SP'!X1045+'NI-Soc_SP'!X1045+'NI-Ric_SP'!X1045</f>
        <v>37739</v>
      </c>
      <c r="Y1045" s="272">
        <f>+'NI-San_SP'!Y1045+'NI-Soc_SP'!Y1045+'NI-Ric_SP'!Y1045</f>
        <v>72687</v>
      </c>
      <c r="Z1045" s="272">
        <f>+'NI-San_SP'!Z1045+'NI-Soc_SP'!Z1045+'NI-Ric_SP'!Z1045</f>
        <v>168500</v>
      </c>
      <c r="AA1045" s="272">
        <f>+'NI-San_SP'!AA1045+'NI-Soc_SP'!AA1045+'NI-Ric_SP'!AA1045</f>
        <v>0</v>
      </c>
      <c r="AB1045" s="272">
        <f>+'NI-San_SP'!AB1045+'NI-Soc_SP'!AB1045+'NI-Ric_SP'!AB1045</f>
        <v>0</v>
      </c>
      <c r="AC1045" s="272">
        <f>+'NI-San_SP'!AC1045+'NI-Soc_SP'!AC1045+'NI-Ric_SP'!AC1045</f>
        <v>0</v>
      </c>
      <c r="AD1045" s="272">
        <f>+'NI-San_SP'!AD1045+'NI-Soc_SP'!AD1045+'NI-Ric_SP'!AD1045</f>
        <v>0</v>
      </c>
      <c r="AE1045" s="272">
        <f>+'NI-San_SP'!AE1045+'NI-Soc_SP'!AE1045+'NI-Ric_SP'!AE1045</f>
        <v>13000</v>
      </c>
      <c r="AF1045" s="272">
        <f>+'NI-San_SP'!AF1045+'NI-Soc_SP'!AF1045+'NI-Ric_SP'!AF1045</f>
        <v>129500</v>
      </c>
      <c r="AG1045" s="272">
        <f>+'NI-San_SP'!AG1045+'NI-Soc_SP'!AG1045+'NI-Ric_SP'!AG1045</f>
        <v>26000</v>
      </c>
      <c r="AH1045" s="272">
        <f>+'NI-San_SP'!AH1045+'NI-Soc_SP'!AH1045+'NI-Ric_SP'!AH1045</f>
        <v>168500</v>
      </c>
      <c r="AI1045" s="272">
        <f>+'NI-San_SP'!AI1045+'NI-Soc_SP'!AI1045+'NI-Ric_SP'!AI1045</f>
        <v>0</v>
      </c>
      <c r="AJ1045" s="272">
        <f>+'NI-San_SP'!AJ1045+'NI-Soc_SP'!AJ1045+'NI-Ric_SP'!AJ1045</f>
        <v>0</v>
      </c>
    </row>
    <row r="1046" spans="1:36" s="217" customFormat="1" x14ac:dyDescent="0.25">
      <c r="A1046" s="204"/>
      <c r="B1046" s="246" t="s">
        <v>2631</v>
      </c>
      <c r="C1046" s="287" t="s">
        <v>2632</v>
      </c>
      <c r="D1046" s="380" t="s">
        <v>4112</v>
      </c>
      <c r="E1046" s="274"/>
      <c r="F1046" s="274"/>
      <c r="G1046" s="283"/>
      <c r="H1046" s="266"/>
      <c r="I1046" s="274"/>
      <c r="J1046" s="281"/>
      <c r="K1046" s="281"/>
      <c r="L1046" s="509" t="s">
        <v>2633</v>
      </c>
      <c r="M1046" s="284" t="s">
        <v>2962</v>
      </c>
      <c r="N1046" s="510">
        <f t="shared" ref="N1046:AJ1046" si="151">SUM(N1047:N1050)</f>
        <v>0</v>
      </c>
      <c r="O1046" s="510">
        <f t="shared" si="151"/>
        <v>0</v>
      </c>
      <c r="P1046" s="510">
        <f t="shared" si="151"/>
        <v>0</v>
      </c>
      <c r="Q1046" s="510">
        <f t="shared" si="151"/>
        <v>0</v>
      </c>
      <c r="R1046" s="510">
        <f t="shared" si="151"/>
        <v>0</v>
      </c>
      <c r="S1046" s="510">
        <f t="shared" si="151"/>
        <v>0</v>
      </c>
      <c r="T1046" s="510">
        <f t="shared" si="151"/>
        <v>0</v>
      </c>
      <c r="U1046" s="510">
        <f t="shared" si="151"/>
        <v>0</v>
      </c>
      <c r="V1046" s="510">
        <f t="shared" si="151"/>
        <v>0</v>
      </c>
      <c r="W1046" s="510">
        <f t="shared" si="151"/>
        <v>0</v>
      </c>
      <c r="X1046" s="510">
        <f t="shared" si="151"/>
        <v>0</v>
      </c>
      <c r="Y1046" s="510">
        <f t="shared" si="151"/>
        <v>0</v>
      </c>
      <c r="Z1046" s="510">
        <f t="shared" si="151"/>
        <v>0</v>
      </c>
      <c r="AA1046" s="510">
        <f t="shared" si="151"/>
        <v>0</v>
      </c>
      <c r="AB1046" s="510">
        <f t="shared" si="151"/>
        <v>0</v>
      </c>
      <c r="AC1046" s="510">
        <f t="shared" si="151"/>
        <v>0</v>
      </c>
      <c r="AD1046" s="510">
        <f t="shared" si="151"/>
        <v>0</v>
      </c>
      <c r="AE1046" s="510">
        <f t="shared" si="151"/>
        <v>0</v>
      </c>
      <c r="AF1046" s="510">
        <f t="shared" si="151"/>
        <v>0</v>
      </c>
      <c r="AG1046" s="510">
        <f t="shared" si="151"/>
        <v>0</v>
      </c>
      <c r="AH1046" s="510">
        <f t="shared" si="151"/>
        <v>0</v>
      </c>
      <c r="AI1046" s="510">
        <f t="shared" si="151"/>
        <v>0</v>
      </c>
      <c r="AJ1046" s="510">
        <f t="shared" si="151"/>
        <v>0</v>
      </c>
    </row>
    <row r="1047" spans="1:36" s="217" customFormat="1" x14ac:dyDescent="0.25">
      <c r="A1047" s="204"/>
      <c r="B1047" s="246" t="s">
        <v>2634</v>
      </c>
      <c r="C1047" s="287" t="s">
        <v>2635</v>
      </c>
      <c r="D1047" s="380" t="s">
        <v>4113</v>
      </c>
      <c r="E1047" s="274"/>
      <c r="F1047" s="274"/>
      <c r="G1047" s="283"/>
      <c r="H1047" s="266"/>
      <c r="I1047" s="274"/>
      <c r="J1047" s="281"/>
      <c r="K1047" s="281"/>
      <c r="L1047" s="430" t="s">
        <v>4114</v>
      </c>
      <c r="M1047" s="284" t="s">
        <v>2962</v>
      </c>
      <c r="N1047" s="418">
        <f>+R1047*0</f>
        <v>0</v>
      </c>
      <c r="O1047" s="418">
        <f>+Z1047*0</f>
        <v>0</v>
      </c>
      <c r="P1047" s="418">
        <f>+O1047-N1047</f>
        <v>0</v>
      </c>
      <c r="Q1047" s="417">
        <f>('NI-San_SP'!Q1047+'NI-Soc_SP'!Q1047+'NI-Ric_SP'!Q1047)*0</f>
        <v>0</v>
      </c>
      <c r="R1047" s="417">
        <f>('NI-San_SP'!R1047+'NI-Soc_SP'!R1047+'NI-Ric_SP'!R1047)*0</f>
        <v>0</v>
      </c>
      <c r="S1047" s="417">
        <f>('NI-San_SP'!S1047+'NI-Soc_SP'!S1047+'NI-Ric_SP'!S1047)*0</f>
        <v>0</v>
      </c>
      <c r="T1047" s="417">
        <f>('NI-San_SP'!T1047+'NI-Soc_SP'!T1047+'NI-Ric_SP'!T1047)*0</f>
        <v>0</v>
      </c>
      <c r="U1047" s="417">
        <f>('NI-San_SP'!U1047+'NI-Soc_SP'!U1047+'NI-Ric_SP'!U1047)*0</f>
        <v>0</v>
      </c>
      <c r="V1047" s="417">
        <f>('NI-San_SP'!V1047+'NI-Soc_SP'!V1047+'NI-Ric_SP'!V1047)*0</f>
        <v>0</v>
      </c>
      <c r="W1047" s="417">
        <f>('NI-San_SP'!W1047+'NI-Soc_SP'!W1047+'NI-Ric_SP'!W1047)*0</f>
        <v>0</v>
      </c>
      <c r="X1047" s="417">
        <f>('NI-San_SP'!X1047+'NI-Soc_SP'!X1047+'NI-Ric_SP'!X1047)*0</f>
        <v>0</v>
      </c>
      <c r="Y1047" s="417">
        <f>('NI-San_SP'!Y1047+'NI-Soc_SP'!Y1047+'NI-Ric_SP'!Y1047)*0</f>
        <v>0</v>
      </c>
      <c r="Z1047" s="417">
        <f>('NI-San_SP'!Z1047+'NI-Soc_SP'!Z1047+'NI-Ric_SP'!Z1047)*0</f>
        <v>0</v>
      </c>
      <c r="AA1047" s="417">
        <f>('NI-San_SP'!AA1047+'NI-Soc_SP'!AA1047+'NI-Ric_SP'!AA1047)*0</f>
        <v>0</v>
      </c>
      <c r="AB1047" s="417">
        <f>('NI-San_SP'!AB1047+'NI-Soc_SP'!AB1047+'NI-Ric_SP'!AB1047)*0</f>
        <v>0</v>
      </c>
      <c r="AC1047" s="417">
        <f>('NI-San_SP'!AC1047+'NI-Soc_SP'!AC1047+'NI-Ric_SP'!AC1047)*0</f>
        <v>0</v>
      </c>
      <c r="AD1047" s="417">
        <f>('NI-San_SP'!AD1047+'NI-Soc_SP'!AD1047+'NI-Ric_SP'!AD1047)*0</f>
        <v>0</v>
      </c>
      <c r="AE1047" s="417">
        <f>('NI-San_SP'!AE1047+'NI-Soc_SP'!AE1047+'NI-Ric_SP'!AE1047)*0</f>
        <v>0</v>
      </c>
      <c r="AF1047" s="417">
        <f>('NI-San_SP'!AF1047+'NI-Soc_SP'!AF1047+'NI-Ric_SP'!AF1047)*0</f>
        <v>0</v>
      </c>
      <c r="AG1047" s="417">
        <f>('NI-San_SP'!AG1047+'NI-Soc_SP'!AG1047+'NI-Ric_SP'!AG1047)*0</f>
        <v>0</v>
      </c>
      <c r="AH1047" s="417">
        <f>('NI-San_SP'!AH1047+'NI-Soc_SP'!AH1047+'NI-Ric_SP'!AH1047)*0</f>
        <v>0</v>
      </c>
      <c r="AI1047" s="417">
        <f>('NI-San_SP'!AI1047+'NI-Soc_SP'!AI1047+'NI-Ric_SP'!AI1047)*0</f>
        <v>0</v>
      </c>
      <c r="AJ1047" s="417">
        <f>('NI-San_SP'!AJ1047+'NI-Soc_SP'!AJ1047+'NI-Ric_SP'!AJ1047)*0</f>
        <v>0</v>
      </c>
    </row>
    <row r="1048" spans="1:36" s="217" customFormat="1" hidden="1" x14ac:dyDescent="0.25">
      <c r="A1048" s="204"/>
      <c r="B1048" s="246" t="s">
        <v>2637</v>
      </c>
      <c r="C1048" s="287" t="s">
        <v>2638</v>
      </c>
      <c r="D1048" s="380" t="s">
        <v>4115</v>
      </c>
      <c r="E1048" s="274"/>
      <c r="F1048" s="274"/>
      <c r="G1048" s="283"/>
      <c r="H1048" s="266"/>
      <c r="I1048" s="274"/>
      <c r="J1048" s="281"/>
      <c r="K1048" s="281"/>
      <c r="L1048" s="430" t="s">
        <v>2639</v>
      </c>
      <c r="M1048" s="284" t="s">
        <v>2962</v>
      </c>
      <c r="N1048" s="418">
        <f>+R1048*0</f>
        <v>0</v>
      </c>
      <c r="O1048" s="418">
        <f>+Z1048</f>
        <v>0</v>
      </c>
      <c r="P1048" s="418">
        <f>+O1048-N1048</f>
        <v>0</v>
      </c>
      <c r="Q1048" s="417">
        <f>('NI-San_SP'!Q1048+'NI-Soc_SP'!Q1048+'NI-Ric_SP'!Q1048)*0</f>
        <v>0</v>
      </c>
      <c r="R1048" s="417">
        <f>('NI-San_SP'!R1048+'NI-Soc_SP'!R1048+'NI-Ric_SP'!R1048)*0</f>
        <v>0</v>
      </c>
      <c r="S1048" s="417">
        <f>('NI-San_SP'!S1048+'NI-Soc_SP'!S1048+'NI-Ric_SP'!S1048)*0</f>
        <v>0</v>
      </c>
      <c r="T1048" s="417">
        <f>('NI-San_SP'!T1048+'NI-Soc_SP'!T1048+'NI-Ric_SP'!T1048)*0</f>
        <v>0</v>
      </c>
      <c r="U1048" s="417">
        <f>('NI-San_SP'!U1048+'NI-Soc_SP'!U1048+'NI-Ric_SP'!U1048)*0</f>
        <v>0</v>
      </c>
      <c r="V1048" s="417">
        <f>('NI-San_SP'!V1048+'NI-Soc_SP'!V1048+'NI-Ric_SP'!V1048)*0</f>
        <v>0</v>
      </c>
      <c r="W1048" s="417">
        <f>('NI-San_SP'!W1048+'NI-Soc_SP'!V1048+'NI-Ric_SP'!V1048)*0</f>
        <v>0</v>
      </c>
      <c r="X1048" s="417">
        <f>('NI-San_SP'!X1048+'NI-Soc_SP'!W1048+'NI-Ric_SP'!W1048)*0</f>
        <v>0</v>
      </c>
      <c r="Y1048" s="417">
        <f>('NI-San_SP'!Y1048+'NI-Soc_SP'!Y1048+'NI-Ric_SP'!Y1048)*0</f>
        <v>0</v>
      </c>
      <c r="Z1048" s="417">
        <f>('NI-San_SP'!Z1048+'NI-Soc_SP'!Z1048+'NI-Ric_SP'!Z1048)*0</f>
        <v>0</v>
      </c>
      <c r="AA1048" s="417">
        <f>('NI-San_SP'!AA1048+'NI-Soc_SP'!AA1048+'NI-Ric_SP'!AA1048)*0</f>
        <v>0</v>
      </c>
      <c r="AB1048" s="417">
        <f>('NI-San_SP'!AB1048+'NI-Soc_SP'!AB1048+'NI-Ric_SP'!AB1048)*0</f>
        <v>0</v>
      </c>
      <c r="AC1048" s="417">
        <f>('NI-San_SP'!AC1048+'NI-Soc_SP'!AC1048+'NI-Ric_SP'!AC1048)*0</f>
        <v>0</v>
      </c>
      <c r="AD1048" s="417">
        <f>('NI-San_SP'!AD1048+'NI-Soc_SP'!AD1048+'NI-Ric_SP'!AD1048)*0</f>
        <v>0</v>
      </c>
      <c r="AE1048" s="417">
        <f>('NI-San_SP'!AE1048+'NI-Soc_SP'!AE1048+'NI-Ric_SP'!AE1048)*0</f>
        <v>0</v>
      </c>
      <c r="AF1048" s="417">
        <f>('NI-San_SP'!AF1048+'NI-Soc_SP'!AF1048+'NI-Ric_SP'!AF1048)*0</f>
        <v>0</v>
      </c>
      <c r="AG1048" s="417">
        <f>('NI-San_SP'!AG1048+'NI-Soc_SP'!AG1048+'NI-Ric_SP'!AG1048)*0</f>
        <v>0</v>
      </c>
      <c r="AH1048" s="417">
        <f>('NI-San_SP'!AH1048+'NI-Soc_SP'!AH1048+'NI-Ric_SP'!AH1048)*0</f>
        <v>0</v>
      </c>
      <c r="AI1048" s="417">
        <f>('NI-San_SP'!AI1048+'NI-Soc_SP'!AI1048+'NI-Ric_SP'!AI1048)*0</f>
        <v>0</v>
      </c>
      <c r="AJ1048" s="417">
        <f>('NI-San_SP'!AJ1048+'NI-Soc_SP'!AJ1048+'NI-Ric_SP'!AJ1048)*0</f>
        <v>0</v>
      </c>
    </row>
    <row r="1049" spans="1:36" s="217" customFormat="1" x14ac:dyDescent="0.25">
      <c r="A1049" s="204"/>
      <c r="B1049" s="246" t="s">
        <v>2640</v>
      </c>
      <c r="C1049" s="287" t="s">
        <v>2641</v>
      </c>
      <c r="D1049" s="380" t="s">
        <v>4116</v>
      </c>
      <c r="E1049" s="274"/>
      <c r="F1049" s="274"/>
      <c r="G1049" s="283"/>
      <c r="H1049" s="266"/>
      <c r="I1049" s="274"/>
      <c r="J1049" s="281"/>
      <c r="K1049" s="281"/>
      <c r="L1049" s="430" t="s">
        <v>4117</v>
      </c>
      <c r="M1049" s="284" t="s">
        <v>2962</v>
      </c>
      <c r="N1049" s="418">
        <f>+R1049*0</f>
        <v>0</v>
      </c>
      <c r="O1049" s="418">
        <f>+Z1049*0</f>
        <v>0</v>
      </c>
      <c r="P1049" s="418">
        <f>+O1049-N1049</f>
        <v>0</v>
      </c>
      <c r="Q1049" s="417">
        <f>('NI-San_SP'!Q1049+'NI-Soc_SP'!Q1049+'NI-Ric_SP'!Q1049)*0</f>
        <v>0</v>
      </c>
      <c r="R1049" s="417">
        <f>('NI-San_SP'!R1049+'NI-Soc_SP'!R1049+'NI-Ric_SP'!R1049)*0</f>
        <v>0</v>
      </c>
      <c r="S1049" s="417">
        <f>('NI-San_SP'!S1049+'NI-Soc_SP'!S1049+'NI-Ric_SP'!S1049)*0</f>
        <v>0</v>
      </c>
      <c r="T1049" s="417">
        <f>('NI-San_SP'!T1049+'NI-Soc_SP'!T1049+'NI-Ric_SP'!T1049)*0</f>
        <v>0</v>
      </c>
      <c r="U1049" s="417">
        <f>('NI-San_SP'!U1049+'NI-Soc_SP'!U1049+'NI-Ric_SP'!U1049)*0</f>
        <v>0</v>
      </c>
      <c r="V1049" s="417">
        <f>('NI-San_SP'!V1049+'NI-Soc_SP'!V1049+'NI-Ric_SP'!V1049)*0</f>
        <v>0</v>
      </c>
      <c r="W1049" s="417">
        <f>('NI-San_SP'!W1049+'NI-Soc_SP'!W1049+'NI-Ric_SP'!W1049)*0</f>
        <v>0</v>
      </c>
      <c r="X1049" s="417">
        <f>('NI-San_SP'!X1049+'NI-Soc_SP'!X1049+'NI-Ric_SP'!X1049)*0</f>
        <v>0</v>
      </c>
      <c r="Y1049" s="417">
        <f>('NI-San_SP'!Y1049+'NI-Soc_SP'!Y1049+'NI-Ric_SP'!Y1049)*0</f>
        <v>0</v>
      </c>
      <c r="Z1049" s="417">
        <f>('NI-San_SP'!Z1049+'NI-Soc_SP'!Z1049+'NI-Ric_SP'!Z1049)*0</f>
        <v>0</v>
      </c>
      <c r="AA1049" s="417">
        <f>('NI-San_SP'!AA1049+'NI-Soc_SP'!AA1049+'NI-Ric_SP'!AA1049)*0</f>
        <v>0</v>
      </c>
      <c r="AB1049" s="417">
        <f>('NI-San_SP'!AB1049+'NI-Soc_SP'!AB1049+'NI-Ric_SP'!AB1049)*0</f>
        <v>0</v>
      </c>
      <c r="AC1049" s="417">
        <f>('NI-San_SP'!AC1049+'NI-Soc_SP'!AC1049+'NI-Ric_SP'!AC1049)*0</f>
        <v>0</v>
      </c>
      <c r="AD1049" s="417">
        <f>('NI-San_SP'!AD1049+'NI-Soc_SP'!AD1049+'NI-Ric_SP'!AD1049)*0</f>
        <v>0</v>
      </c>
      <c r="AE1049" s="417">
        <f>('NI-San_SP'!AE1049+'NI-Soc_SP'!AE1049+'NI-Ric_SP'!AE1049)*0</f>
        <v>0</v>
      </c>
      <c r="AF1049" s="417">
        <f>('NI-San_SP'!AF1049+'NI-Soc_SP'!AF1049+'NI-Ric_SP'!AF1049)*0</f>
        <v>0</v>
      </c>
      <c r="AG1049" s="417">
        <f>('NI-San_SP'!AG1049+'NI-Soc_SP'!AG1049+'NI-Ric_SP'!AG1049)*0</f>
        <v>0</v>
      </c>
      <c r="AH1049" s="417">
        <f>('NI-San_SP'!AH1049+'NI-Soc_SP'!AH1049+'NI-Ric_SP'!AH1049)*0</f>
        <v>0</v>
      </c>
      <c r="AI1049" s="417">
        <f>('NI-San_SP'!AI1049+'NI-Soc_SP'!AI1049+'NI-Ric_SP'!AI1049)*0</f>
        <v>0</v>
      </c>
      <c r="AJ1049" s="417">
        <f>('NI-San_SP'!AJ1049+'NI-Soc_SP'!AJ1049+'NI-Ric_SP'!AJ1049)*0</f>
        <v>0</v>
      </c>
    </row>
    <row r="1050" spans="1:36" s="217" customFormat="1" x14ac:dyDescent="0.25">
      <c r="A1050" s="204"/>
      <c r="B1050" s="246" t="s">
        <v>2643</v>
      </c>
      <c r="C1050" s="287" t="s">
        <v>2644</v>
      </c>
      <c r="D1050" s="380" t="s">
        <v>4118</v>
      </c>
      <c r="E1050" s="274"/>
      <c r="F1050" s="274"/>
      <c r="G1050" s="283"/>
      <c r="H1050" s="266"/>
      <c r="I1050" s="274"/>
      <c r="J1050" s="281"/>
      <c r="K1050" s="281"/>
      <c r="L1050" s="430" t="s">
        <v>4119</v>
      </c>
      <c r="M1050" s="284" t="s">
        <v>2962</v>
      </c>
      <c r="N1050" s="418">
        <f>+R1050*0</f>
        <v>0</v>
      </c>
      <c r="O1050" s="418">
        <f>+Z1050*0</f>
        <v>0</v>
      </c>
      <c r="P1050" s="418">
        <f>+O1050-N1050</f>
        <v>0</v>
      </c>
      <c r="Q1050" s="417">
        <f>('NI-San_SP'!Q1050+'NI-Soc_SP'!Q1050+'NI-Ric_SP'!Q1050)*0</f>
        <v>0</v>
      </c>
      <c r="R1050" s="417">
        <f>('NI-San_SP'!R1050+'NI-Soc_SP'!R1050+'NI-Ric_SP'!R1050)*0</f>
        <v>0</v>
      </c>
      <c r="S1050" s="417">
        <f>('NI-San_SP'!S1050+'NI-Soc_SP'!S1050+'NI-Ric_SP'!S1050)*0</f>
        <v>0</v>
      </c>
      <c r="T1050" s="417">
        <f>('NI-San_SP'!T1050+'NI-Soc_SP'!T1050+'NI-Ric_SP'!T1050)*0</f>
        <v>0</v>
      </c>
      <c r="U1050" s="417">
        <f>('NI-San_SP'!U1050+'NI-Soc_SP'!U1050+'NI-Ric_SP'!U1050)*0</f>
        <v>0</v>
      </c>
      <c r="V1050" s="417">
        <f>('NI-San_SP'!V1050+'NI-Soc_SP'!V1050+'NI-Ric_SP'!V1050)*0</f>
        <v>0</v>
      </c>
      <c r="W1050" s="417">
        <f>('NI-San_SP'!W1050+'NI-Soc_SP'!W1050+'NI-Ric_SP'!W1050)*0</f>
        <v>0</v>
      </c>
      <c r="X1050" s="417">
        <f>('NI-San_SP'!X1050+'NI-Soc_SP'!X1050+'NI-Ric_SP'!X1050)*0</f>
        <v>0</v>
      </c>
      <c r="Y1050" s="417">
        <f>('NI-San_SP'!Y1050+'NI-Soc_SP'!Y1050+'NI-Ric_SP'!Y1050)*0</f>
        <v>0</v>
      </c>
      <c r="Z1050" s="417">
        <f>('NI-San_SP'!Z1050+'NI-Soc_SP'!Z1050+'NI-Ric_SP'!Z1050)*0</f>
        <v>0</v>
      </c>
      <c r="AA1050" s="417">
        <f>('NI-San_SP'!AA1050+'NI-Soc_SP'!AA1050+'NI-Ric_SP'!AA1050)*0</f>
        <v>0</v>
      </c>
      <c r="AB1050" s="417">
        <f>('NI-San_SP'!AB1050+'NI-Soc_SP'!AB1050+'NI-Ric_SP'!AB1050)*0</f>
        <v>0</v>
      </c>
      <c r="AC1050" s="417">
        <f>('NI-San_SP'!AC1050+'NI-Soc_SP'!AC1050+'NI-Ric_SP'!AC1050)*0</f>
        <v>0</v>
      </c>
      <c r="AD1050" s="417">
        <f>('NI-San_SP'!AD1050+'NI-Soc_SP'!AD1050+'NI-Ric_SP'!AD1050)*0</f>
        <v>0</v>
      </c>
      <c r="AE1050" s="417">
        <f>('NI-San_SP'!AE1050+'NI-Soc_SP'!AE1050+'NI-Ric_SP'!AE1050)*0</f>
        <v>0</v>
      </c>
      <c r="AF1050" s="417">
        <f>('NI-San_SP'!AF1050+'NI-Soc_SP'!AF1050+'NI-Ric_SP'!AF1050)*0</f>
        <v>0</v>
      </c>
      <c r="AG1050" s="417">
        <f>('NI-San_SP'!AG1050+'NI-Soc_SP'!AG1050+'NI-Ric_SP'!AG1050)*0</f>
        <v>0</v>
      </c>
      <c r="AH1050" s="417">
        <f>('NI-San_SP'!AH1050+'NI-Soc_SP'!AH1050+'NI-Ric_SP'!AH1050)*0</f>
        <v>0</v>
      </c>
      <c r="AI1050" s="417">
        <f>('NI-San_SP'!AI1050+'NI-Soc_SP'!AI1050+'NI-Ric_SP'!AI1050)*0</f>
        <v>0</v>
      </c>
      <c r="AJ1050" s="417">
        <f>('NI-San_SP'!AJ1050+'NI-Soc_SP'!AJ1050+'NI-Ric_SP'!AJ1050)*0</f>
        <v>0</v>
      </c>
    </row>
    <row r="1051" spans="1:36" s="204" customFormat="1" x14ac:dyDescent="0.25">
      <c r="B1051" s="293"/>
      <c r="C1051" s="293"/>
      <c r="D1051" s="230"/>
      <c r="E1051" s="230"/>
      <c r="F1051" s="230"/>
      <c r="G1051" s="230"/>
      <c r="H1051" s="231"/>
      <c r="I1051" s="230"/>
      <c r="J1051" s="230"/>
      <c r="K1051" s="230"/>
      <c r="L1051" s="232"/>
      <c r="M1051" s="211"/>
      <c r="N1051" s="254"/>
      <c r="O1051" s="211"/>
      <c r="P1051" s="211"/>
      <c r="Q1051" s="211"/>
      <c r="R1051" s="211"/>
      <c r="S1051" s="211"/>
      <c r="T1051" s="211"/>
      <c r="U1051" s="211"/>
      <c r="V1051" s="211"/>
      <c r="W1051" s="211"/>
      <c r="X1051" s="211"/>
      <c r="Y1051" s="211"/>
      <c r="Z1051" s="211"/>
      <c r="AA1051" s="211"/>
    </row>
    <row r="1052" spans="1:36" s="204" customFormat="1" x14ac:dyDescent="0.25">
      <c r="B1052" s="293"/>
      <c r="C1052" s="293"/>
      <c r="D1052" s="230"/>
      <c r="E1052" s="230"/>
      <c r="F1052" s="230"/>
      <c r="G1052" s="230"/>
      <c r="H1052" s="231"/>
      <c r="I1052" s="230"/>
      <c r="J1052" s="230"/>
      <c r="K1052" s="230"/>
      <c r="L1052" s="232"/>
      <c r="M1052" s="211"/>
      <c r="N1052" s="254"/>
      <c r="O1052" s="211"/>
      <c r="P1052" s="211"/>
      <c r="Q1052" s="211"/>
      <c r="R1052" s="211"/>
      <c r="S1052" s="211"/>
      <c r="T1052" s="211"/>
      <c r="U1052" s="211"/>
      <c r="V1052" s="211"/>
      <c r="W1052" s="211"/>
      <c r="X1052" s="211"/>
      <c r="Y1052" s="211"/>
      <c r="Z1052" s="211"/>
      <c r="AA1052" s="211"/>
    </row>
    <row r="1053" spans="1:36" s="204" customFormat="1" x14ac:dyDescent="0.25">
      <c r="B1053" s="246" t="s">
        <v>2646</v>
      </c>
      <c r="C1053" s="511" t="s">
        <v>2647</v>
      </c>
      <c r="D1053" s="234" t="s">
        <v>4120</v>
      </c>
      <c r="E1053" s="234"/>
      <c r="F1053" s="234"/>
      <c r="G1053" s="234"/>
      <c r="H1053" s="235"/>
      <c r="I1053" s="234"/>
      <c r="J1053" s="234"/>
      <c r="K1053" s="234"/>
      <c r="L1053" s="236" t="s">
        <v>2649</v>
      </c>
      <c r="M1053" s="237" t="s">
        <v>2962</v>
      </c>
      <c r="N1053" s="238">
        <f>+N1055+N1067</f>
        <v>37559</v>
      </c>
      <c r="O1053" s="238">
        <f>+O1055+O1067</f>
        <v>39537</v>
      </c>
      <c r="P1053" s="239">
        <f>+O1053-N1053</f>
        <v>1978</v>
      </c>
      <c r="Q1053" s="211"/>
      <c r="R1053" s="211"/>
      <c r="S1053" s="211"/>
      <c r="T1053" s="211"/>
      <c r="U1053" s="211"/>
      <c r="V1053" s="211"/>
      <c r="W1053" s="211"/>
      <c r="X1053" s="211"/>
      <c r="Y1053" s="211"/>
      <c r="Z1053" s="211"/>
      <c r="AA1053" s="211"/>
    </row>
    <row r="1054" spans="1:36" s="204" customFormat="1" x14ac:dyDescent="0.25">
      <c r="B1054" s="293"/>
      <c r="C1054" s="293"/>
      <c r="D1054" s="230"/>
      <c r="E1054" s="230"/>
      <c r="F1054" s="230"/>
      <c r="G1054" s="230"/>
      <c r="H1054" s="231"/>
      <c r="I1054" s="230"/>
      <c r="J1054" s="230"/>
      <c r="K1054" s="230"/>
      <c r="L1054" s="512"/>
      <c r="M1054" s="513"/>
      <c r="N1054" s="513"/>
      <c r="O1054" s="513"/>
      <c r="P1054" s="513"/>
      <c r="Q1054" s="513"/>
      <c r="R1054" s="513"/>
      <c r="S1054" s="513"/>
      <c r="T1054" s="513"/>
      <c r="U1054" s="513"/>
      <c r="V1054" s="211"/>
      <c r="W1054" s="211"/>
      <c r="X1054" s="211"/>
      <c r="Y1054" s="211"/>
      <c r="Z1054" s="211"/>
      <c r="AA1054" s="211"/>
    </row>
    <row r="1055" spans="1:36" s="204" customFormat="1" x14ac:dyDescent="0.25">
      <c r="B1055" s="246" t="s">
        <v>2650</v>
      </c>
      <c r="C1055" s="292" t="s">
        <v>2651</v>
      </c>
      <c r="D1055" s="247" t="s">
        <v>4121</v>
      </c>
      <c r="E1055" s="247"/>
      <c r="F1055" s="247"/>
      <c r="G1055" s="247"/>
      <c r="H1055" s="248"/>
      <c r="I1055" s="247"/>
      <c r="J1055" s="247"/>
      <c r="K1055" s="249"/>
      <c r="L1055" s="250" t="s">
        <v>2653</v>
      </c>
      <c r="M1055" s="251" t="s">
        <v>2962</v>
      </c>
      <c r="N1055" s="252">
        <f>+N1058+N1059</f>
        <v>0</v>
      </c>
      <c r="O1055" s="252">
        <f>+O1058+O1059</f>
        <v>0</v>
      </c>
      <c r="P1055" s="253">
        <f>+O1055-N1055</f>
        <v>0</v>
      </c>
      <c r="Q1055" s="252">
        <f>+Q1058+Q1059</f>
        <v>0</v>
      </c>
      <c r="R1055" s="252">
        <f>+R1058+R1059</f>
        <v>0</v>
      </c>
      <c r="S1055" s="252">
        <f>+S1058+S1059</f>
        <v>0</v>
      </c>
      <c r="T1055" s="252">
        <f>+T1058+T1059</f>
        <v>0</v>
      </c>
      <c r="U1055" s="252">
        <f>+U1058+U1059</f>
        <v>0</v>
      </c>
      <c r="V1055" s="211"/>
      <c r="W1055" s="211"/>
      <c r="X1055" s="211"/>
      <c r="Y1055" s="211"/>
      <c r="Z1055" s="211"/>
      <c r="AA1055" s="211"/>
    </row>
    <row r="1056" spans="1:36" s="204" customFormat="1" x14ac:dyDescent="0.25">
      <c r="B1056" s="293"/>
      <c r="C1056" s="293"/>
      <c r="D1056" s="230"/>
      <c r="E1056" s="230"/>
      <c r="F1056" s="230"/>
      <c r="G1056" s="230"/>
      <c r="H1056" s="231"/>
      <c r="I1056" s="230"/>
      <c r="J1056" s="230"/>
      <c r="K1056" s="230"/>
      <c r="L1056" s="299"/>
      <c r="M1056" s="254"/>
      <c r="N1056" s="254"/>
      <c r="O1056" s="254"/>
      <c r="P1056" s="254"/>
      <c r="Q1056" s="211"/>
      <c r="R1056" s="211"/>
      <c r="T1056" s="211"/>
      <c r="U1056" s="211"/>
      <c r="V1056" s="211"/>
      <c r="W1056" s="211"/>
      <c r="X1056" s="211"/>
      <c r="Y1056" s="211"/>
      <c r="Z1056" s="211"/>
      <c r="AA1056" s="211"/>
    </row>
    <row r="1057" spans="1:27" s="204" customFormat="1" ht="63.75" x14ac:dyDescent="0.25">
      <c r="B1057" s="294" t="s">
        <v>2968</v>
      </c>
      <c r="C1057" s="294" t="s">
        <v>2969</v>
      </c>
      <c r="D1057" s="206" t="s">
        <v>72</v>
      </c>
      <c r="E1057" s="206"/>
      <c r="F1057" s="206"/>
      <c r="G1057" s="207"/>
      <c r="H1057" s="207"/>
      <c r="I1057" s="207"/>
      <c r="J1057" s="207" t="s">
        <v>2957</v>
      </c>
      <c r="K1057" s="206" t="s">
        <v>82</v>
      </c>
      <c r="L1057" s="261" t="s">
        <v>3670</v>
      </c>
      <c r="M1057" s="256"/>
      <c r="N1057" s="256" t="str">
        <f>N$15</f>
        <v>Valore netto al 31/12/2019</v>
      </c>
      <c r="O1057" s="256" t="str">
        <f>O$15</f>
        <v>Valore netto al 31/12/2020</v>
      </c>
      <c r="P1057" s="256" t="str">
        <f>P$15</f>
        <v>Variazione</v>
      </c>
      <c r="Q1057" s="262" t="s">
        <v>2971</v>
      </c>
      <c r="R1057" s="262" t="str">
        <f>+N1057</f>
        <v>Valore netto al 31/12/2019</v>
      </c>
      <c r="S1057" s="262" t="s">
        <v>2972</v>
      </c>
      <c r="T1057" s="262" t="str">
        <f>+T750</f>
        <v>Entro 12 mesi (2020)</v>
      </c>
      <c r="U1057" s="262" t="str">
        <f>+U750</f>
        <v>Oltre 12 mesi (2020)</v>
      </c>
      <c r="V1057" s="211"/>
      <c r="W1057" s="211"/>
      <c r="X1057" s="211"/>
      <c r="Y1057" s="211"/>
      <c r="Z1057" s="211"/>
      <c r="AA1057" s="211"/>
    </row>
    <row r="1058" spans="1:27" s="204" customFormat="1" x14ac:dyDescent="0.25">
      <c r="B1058" s="246" t="s">
        <v>2654</v>
      </c>
      <c r="C1058" s="287" t="s">
        <v>2655</v>
      </c>
      <c r="D1058" s="274" t="s">
        <v>4122</v>
      </c>
      <c r="E1058" s="274"/>
      <c r="F1058" s="274"/>
      <c r="G1058" s="283"/>
      <c r="H1058" s="266"/>
      <c r="I1058" s="274"/>
      <c r="J1058" s="281"/>
      <c r="K1058" s="281"/>
      <c r="L1058" s="424" t="s">
        <v>2657</v>
      </c>
      <c r="M1058" s="263" t="s">
        <v>2962</v>
      </c>
      <c r="N1058" s="408">
        <f>+R1058</f>
        <v>0</v>
      </c>
      <c r="O1058" s="408">
        <f>+T1058+S1058+U1058+Q1058</f>
        <v>0</v>
      </c>
      <c r="P1058" s="271">
        <f t="shared" ref="P1058:P1064" si="152">+O1058-N1058</f>
        <v>0</v>
      </c>
      <c r="Q1058" s="272">
        <f>+'NI-San_SP'!Q1058+'NI-Soc_SP'!Q1058+'NI-Ric_SP'!Q1058</f>
        <v>0</v>
      </c>
      <c r="R1058" s="272">
        <f>+'NI-San_SP'!R1058+'NI-Soc_SP'!R1058+'NI-Ric_SP'!R1058</f>
        <v>0</v>
      </c>
      <c r="S1058" s="272">
        <f>+'NI-San_SP'!S1058+'NI-Soc_SP'!T1058+'NI-Ric_SP'!T1058</f>
        <v>0</v>
      </c>
      <c r="T1058" s="272">
        <f>+'NI-San_SP'!T1058+'NI-Soc_SP'!T1058+'NI-Ric_SP'!T1058</f>
        <v>0</v>
      </c>
      <c r="U1058" s="272">
        <f>+'NI-San_SP'!U1058+'NI-Soc_SP'!U1058+'NI-Ric_SP'!U1058</f>
        <v>0</v>
      </c>
      <c r="V1058" s="254"/>
      <c r="W1058" s="211"/>
      <c r="X1058" s="211"/>
      <c r="Y1058" s="211"/>
      <c r="Z1058" s="211"/>
      <c r="AA1058" s="211"/>
    </row>
    <row r="1059" spans="1:27" s="204" customFormat="1" x14ac:dyDescent="0.25">
      <c r="B1059" s="246" t="s">
        <v>2658</v>
      </c>
      <c r="C1059" s="287" t="s">
        <v>2659</v>
      </c>
      <c r="D1059" s="274" t="s">
        <v>4123</v>
      </c>
      <c r="E1059" s="274"/>
      <c r="F1059" s="274"/>
      <c r="G1059" s="283"/>
      <c r="H1059" s="266"/>
      <c r="I1059" s="274"/>
      <c r="J1059" s="281"/>
      <c r="K1059" s="281"/>
      <c r="L1059" s="424" t="s">
        <v>2661</v>
      </c>
      <c r="M1059" s="284" t="s">
        <v>2962</v>
      </c>
      <c r="N1059" s="378">
        <f>SUM(N1060:N1064)</f>
        <v>0</v>
      </c>
      <c r="O1059" s="378">
        <f>SUM(O1060:O1064)</f>
        <v>0</v>
      </c>
      <c r="P1059" s="378">
        <f t="shared" si="152"/>
        <v>0</v>
      </c>
      <c r="Q1059" s="272">
        <f>+'NI-San_SP'!Q1059+'NI-Soc_SP'!Q1059+'NI-Ric_SP'!Q1059</f>
        <v>0</v>
      </c>
      <c r="R1059" s="272">
        <f>+'NI-San_SP'!R1059+'NI-Soc_SP'!R1059+'NI-Ric_SP'!R1059</f>
        <v>0</v>
      </c>
      <c r="S1059" s="272">
        <f>+'NI-San_SP'!S1059+'NI-Soc_SP'!T1059+'NI-Ric_SP'!T1059</f>
        <v>0</v>
      </c>
      <c r="T1059" s="272">
        <f>+'NI-San_SP'!T1059+'NI-Soc_SP'!T1059+'NI-Ric_SP'!T1059</f>
        <v>0</v>
      </c>
      <c r="U1059" s="272">
        <f>+'NI-San_SP'!U1059+'NI-Soc_SP'!U1059+'NI-Ric_SP'!U1059</f>
        <v>0</v>
      </c>
      <c r="V1059" s="254"/>
      <c r="W1059" s="211"/>
      <c r="X1059" s="211"/>
      <c r="Y1059" s="211"/>
      <c r="Z1059" s="211"/>
      <c r="AA1059" s="211"/>
    </row>
    <row r="1060" spans="1:27" s="204" customFormat="1" hidden="1" x14ac:dyDescent="0.25">
      <c r="B1060" s="246" t="s">
        <v>2662</v>
      </c>
      <c r="C1060" s="287" t="s">
        <v>2663</v>
      </c>
      <c r="D1060" s="274" t="s">
        <v>4124</v>
      </c>
      <c r="E1060" s="274"/>
      <c r="F1060" s="274"/>
      <c r="G1060" s="283"/>
      <c r="H1060" s="266"/>
      <c r="I1060" s="274"/>
      <c r="J1060" s="281"/>
      <c r="K1060" s="281"/>
      <c r="L1060" s="406" t="s">
        <v>2664</v>
      </c>
      <c r="M1060" s="263" t="s">
        <v>2962</v>
      </c>
      <c r="N1060" s="408">
        <f>+R1060</f>
        <v>0</v>
      </c>
      <c r="O1060" s="408">
        <f>+T1060+U1060</f>
        <v>0</v>
      </c>
      <c r="P1060" s="271">
        <f t="shared" si="152"/>
        <v>0</v>
      </c>
      <c r="Q1060" s="272">
        <f>+'NI-San_SP'!Q1060+'NI-Soc_SP'!Q1060+'NI-Ric_SP'!Q1060</f>
        <v>0</v>
      </c>
      <c r="R1060" s="272">
        <f>+'NI-San_SP'!R1060+'NI-Soc_SP'!R1060+'NI-Ric_SP'!R1060</f>
        <v>0</v>
      </c>
      <c r="S1060" s="272">
        <f>+'NI-San_SP'!S1060+'NI-Soc_SP'!T1060+'NI-Ric_SP'!T1060</f>
        <v>0</v>
      </c>
      <c r="T1060" s="272">
        <f>+'NI-San_SP'!T1060+'NI-Soc_SP'!T1060+'NI-Ric_SP'!T1060</f>
        <v>0</v>
      </c>
      <c r="U1060" s="272">
        <f>+'NI-San_SP'!U1060+'NI-Soc_SP'!U1060+'NI-Ric_SP'!U1060</f>
        <v>0</v>
      </c>
      <c r="V1060" s="254"/>
      <c r="W1060" s="211"/>
      <c r="X1060" s="211"/>
      <c r="Y1060" s="211"/>
      <c r="Z1060" s="211"/>
      <c r="AA1060" s="211"/>
    </row>
    <row r="1061" spans="1:27" s="204" customFormat="1" x14ac:dyDescent="0.25">
      <c r="B1061" s="246" t="s">
        <v>2665</v>
      </c>
      <c r="C1061" s="287" t="s">
        <v>2666</v>
      </c>
      <c r="D1061" s="274" t="s">
        <v>4125</v>
      </c>
      <c r="E1061" s="274"/>
      <c r="F1061" s="274"/>
      <c r="G1061" s="283"/>
      <c r="H1061" s="266"/>
      <c r="I1061" s="274"/>
      <c r="J1061" s="281"/>
      <c r="K1061" s="281"/>
      <c r="L1061" s="406" t="s">
        <v>4126</v>
      </c>
      <c r="M1061" s="263" t="s">
        <v>2962</v>
      </c>
      <c r="N1061" s="408">
        <f>+R1061</f>
        <v>0</v>
      </c>
      <c r="O1061" s="408">
        <f>+T1061+S1061+U1061+Q1061</f>
        <v>0</v>
      </c>
      <c r="P1061" s="271">
        <f t="shared" si="152"/>
        <v>0</v>
      </c>
      <c r="Q1061" s="272">
        <f>+'NI-San_SP'!Q1061+'NI-Soc_SP'!Q1061+'NI-Ric_SP'!Q1061</f>
        <v>0</v>
      </c>
      <c r="R1061" s="272">
        <f>+'NI-San_SP'!R1061+'NI-Soc_SP'!R1061+'NI-Ric_SP'!R1061</f>
        <v>0</v>
      </c>
      <c r="S1061" s="272">
        <f>+'NI-San_SP'!S1061+'NI-Soc_SP'!T1061+'NI-Ric_SP'!T1061</f>
        <v>0</v>
      </c>
      <c r="T1061" s="272">
        <f>+'NI-San_SP'!T1061+'NI-Soc_SP'!T1061+'NI-Ric_SP'!T1061</f>
        <v>0</v>
      </c>
      <c r="U1061" s="272">
        <f>+'NI-San_SP'!U1061+'NI-Soc_SP'!U1061+'NI-Ric_SP'!U1061</f>
        <v>0</v>
      </c>
      <c r="V1061" s="254"/>
      <c r="W1061" s="211"/>
      <c r="X1061" s="211"/>
      <c r="Y1061" s="211"/>
      <c r="Z1061" s="211"/>
      <c r="AA1061" s="211"/>
    </row>
    <row r="1062" spans="1:27" s="204" customFormat="1" x14ac:dyDescent="0.25">
      <c r="B1062" s="246" t="s">
        <v>2668</v>
      </c>
      <c r="C1062" s="287" t="s">
        <v>2669</v>
      </c>
      <c r="D1062" s="274" t="s">
        <v>4127</v>
      </c>
      <c r="E1062" s="274"/>
      <c r="F1062" s="274"/>
      <c r="G1062" s="283"/>
      <c r="H1062" s="266"/>
      <c r="I1062" s="274"/>
      <c r="J1062" s="281"/>
      <c r="K1062" s="281"/>
      <c r="L1062" s="406" t="s">
        <v>4128</v>
      </c>
      <c r="M1062" s="263" t="s">
        <v>2962</v>
      </c>
      <c r="N1062" s="408">
        <f>+R1062</f>
        <v>0</v>
      </c>
      <c r="O1062" s="408">
        <f>+T1062+S1062+U1062+Q1062</f>
        <v>0</v>
      </c>
      <c r="P1062" s="271">
        <f t="shared" si="152"/>
        <v>0</v>
      </c>
      <c r="Q1062" s="272">
        <f>+'NI-San_SP'!Q1062+'NI-Soc_SP'!Q1062+'NI-Ric_SP'!Q1062</f>
        <v>0</v>
      </c>
      <c r="R1062" s="272">
        <f>+'NI-San_SP'!R1062+'NI-Soc_SP'!R1062+'NI-Ric_SP'!R1062</f>
        <v>0</v>
      </c>
      <c r="S1062" s="272">
        <f>+'NI-San_SP'!S1062+'NI-Soc_SP'!T1062+'NI-Ric_SP'!T1062</f>
        <v>0</v>
      </c>
      <c r="T1062" s="272">
        <f>+'NI-San_SP'!T1062+'NI-Soc_SP'!T1062+'NI-Ric_SP'!T1062</f>
        <v>0</v>
      </c>
      <c r="U1062" s="272">
        <f>+'NI-San_SP'!U1062+'NI-Soc_SP'!U1062+'NI-Ric_SP'!U1062</f>
        <v>0</v>
      </c>
      <c r="V1062" s="254"/>
      <c r="W1062" s="211"/>
      <c r="X1062" s="211"/>
      <c r="Y1062" s="211"/>
      <c r="Z1062" s="211"/>
      <c r="AA1062" s="211"/>
    </row>
    <row r="1063" spans="1:27" s="204" customFormat="1" hidden="1" x14ac:dyDescent="0.25">
      <c r="B1063" s="246" t="s">
        <v>2671</v>
      </c>
      <c r="C1063" s="287" t="s">
        <v>2672</v>
      </c>
      <c r="D1063" s="274" t="s">
        <v>4129</v>
      </c>
      <c r="E1063" s="274"/>
      <c r="F1063" s="274"/>
      <c r="G1063" s="283"/>
      <c r="H1063" s="266"/>
      <c r="I1063" s="274"/>
      <c r="J1063" s="281"/>
      <c r="K1063" s="281"/>
      <c r="L1063" s="406" t="s">
        <v>2673</v>
      </c>
      <c r="M1063" s="263" t="s">
        <v>2962</v>
      </c>
      <c r="N1063" s="408">
        <f>+R1063</f>
        <v>0</v>
      </c>
      <c r="O1063" s="408">
        <f>+T1063+S1063+U1063+Q1063</f>
        <v>0</v>
      </c>
      <c r="P1063" s="271">
        <f t="shared" si="152"/>
        <v>0</v>
      </c>
      <c r="Q1063" s="272">
        <f>+'NI-San_SP'!Q1063+'NI-Soc_SP'!Q1063+'NI-Ric_SP'!Q1063</f>
        <v>0</v>
      </c>
      <c r="R1063" s="272">
        <f>+'NI-San_SP'!R1063+'NI-Soc_SP'!R1063+'NI-Ric_SP'!R1063</f>
        <v>0</v>
      </c>
      <c r="S1063" s="272">
        <f>+'NI-San_SP'!S1063+'NI-Soc_SP'!T1063+'NI-Ric_SP'!T1063</f>
        <v>0</v>
      </c>
      <c r="T1063" s="272">
        <f>+'NI-San_SP'!T1063+'NI-Soc_SP'!T1063+'NI-Ric_SP'!T1063</f>
        <v>0</v>
      </c>
      <c r="U1063" s="272">
        <f>+'NI-San_SP'!U1063+'NI-Soc_SP'!U1063+'NI-Ric_SP'!U1063</f>
        <v>0</v>
      </c>
      <c r="V1063" s="254"/>
      <c r="W1063" s="211"/>
      <c r="X1063" s="211"/>
      <c r="Y1063" s="211"/>
      <c r="Z1063" s="211"/>
      <c r="AA1063" s="211"/>
    </row>
    <row r="1064" spans="1:27" s="204" customFormat="1" x14ac:dyDescent="0.25">
      <c r="B1064" s="246" t="s">
        <v>2674</v>
      </c>
      <c r="C1064" s="287" t="s">
        <v>2675</v>
      </c>
      <c r="D1064" s="274" t="s">
        <v>4130</v>
      </c>
      <c r="E1064" s="274"/>
      <c r="F1064" s="274"/>
      <c r="G1064" s="283"/>
      <c r="H1064" s="266"/>
      <c r="I1064" s="274"/>
      <c r="J1064" s="281"/>
      <c r="K1064" s="281"/>
      <c r="L1064" s="406" t="s">
        <v>4131</v>
      </c>
      <c r="M1064" s="263" t="s">
        <v>2962</v>
      </c>
      <c r="N1064" s="408">
        <f>+R1064</f>
        <v>0</v>
      </c>
      <c r="O1064" s="408">
        <f>+T1064+S1064+U1064+Q1064</f>
        <v>0</v>
      </c>
      <c r="P1064" s="271">
        <f t="shared" si="152"/>
        <v>0</v>
      </c>
      <c r="Q1064" s="272">
        <f>+'NI-San_SP'!Q1064+'NI-Soc_SP'!Q1064+'NI-Ric_SP'!Q1064</f>
        <v>0</v>
      </c>
      <c r="R1064" s="272">
        <f>+'NI-San_SP'!R1064+'NI-Soc_SP'!R1064+'NI-Ric_SP'!R1064</f>
        <v>0</v>
      </c>
      <c r="S1064" s="272">
        <f>+'NI-San_SP'!S1064+'NI-Soc_SP'!T1064+'NI-Ric_SP'!T1064</f>
        <v>0</v>
      </c>
      <c r="T1064" s="272">
        <f>+'NI-San_SP'!T1064+'NI-Soc_SP'!T1064+'NI-Ric_SP'!T1064</f>
        <v>0</v>
      </c>
      <c r="U1064" s="272">
        <f>+'NI-San_SP'!U1064+'NI-Soc_SP'!U1064+'NI-Ric_SP'!U1064</f>
        <v>0</v>
      </c>
      <c r="V1064" s="254"/>
      <c r="W1064" s="211"/>
      <c r="X1064" s="211"/>
      <c r="Y1064" s="211"/>
      <c r="Z1064" s="211"/>
      <c r="AA1064" s="211"/>
    </row>
    <row r="1065" spans="1:27" s="204" customFormat="1" ht="26.25" x14ac:dyDescent="0.25">
      <c r="B1065" s="230"/>
      <c r="C1065" s="230"/>
      <c r="D1065" s="230"/>
      <c r="E1065" s="230"/>
      <c r="F1065" s="230"/>
      <c r="G1065" s="230"/>
      <c r="H1065" s="231"/>
      <c r="I1065" s="230"/>
      <c r="J1065" s="230"/>
      <c r="K1065" s="230"/>
      <c r="L1065" s="344" t="s">
        <v>4132</v>
      </c>
      <c r="M1065" s="230"/>
      <c r="N1065" s="230"/>
      <c r="O1065" s="230"/>
      <c r="P1065" s="423"/>
      <c r="Q1065" s="213"/>
      <c r="R1065" s="213"/>
      <c r="S1065" s="213"/>
      <c r="T1065" s="213"/>
      <c r="U1065" s="213"/>
      <c r="V1065" s="213"/>
      <c r="W1065" s="211"/>
      <c r="X1065" s="211"/>
      <c r="Y1065" s="211"/>
      <c r="Z1065" s="211"/>
      <c r="AA1065" s="211"/>
    </row>
    <row r="1066" spans="1:27" s="204" customFormat="1" x14ac:dyDescent="0.25">
      <c r="B1066" s="230"/>
      <c r="C1066" s="230"/>
      <c r="D1066" s="230"/>
      <c r="E1066" s="230"/>
      <c r="F1066" s="230"/>
      <c r="G1066" s="230"/>
      <c r="H1066" s="231"/>
      <c r="I1066" s="230"/>
      <c r="J1066" s="230"/>
      <c r="K1066" s="230"/>
      <c r="L1066" s="514"/>
      <c r="M1066" s="230"/>
      <c r="N1066" s="230"/>
      <c r="O1066" s="230"/>
      <c r="P1066" s="423"/>
      <c r="Q1066" s="213"/>
      <c r="R1066" s="213"/>
      <c r="S1066" s="213"/>
      <c r="T1066" s="213"/>
      <c r="U1066" s="213"/>
      <c r="V1066" s="213"/>
      <c r="W1066" s="211"/>
      <c r="X1066" s="211"/>
      <c r="Y1066" s="211"/>
      <c r="Z1066" s="211"/>
      <c r="AA1066" s="211"/>
    </row>
    <row r="1067" spans="1:27" s="204" customFormat="1" x14ac:dyDescent="0.25">
      <c r="B1067" s="246" t="s">
        <v>2677</v>
      </c>
      <c r="C1067" s="246" t="s">
        <v>2678</v>
      </c>
      <c r="D1067" s="247" t="s">
        <v>4133</v>
      </c>
      <c r="E1067" s="247"/>
      <c r="F1067" s="247"/>
      <c r="G1067" s="247"/>
      <c r="H1067" s="248"/>
      <c r="I1067" s="247"/>
      <c r="J1067" s="247"/>
      <c r="K1067" s="249"/>
      <c r="L1067" s="250" t="s">
        <v>2680</v>
      </c>
      <c r="M1067" s="251" t="s">
        <v>2962</v>
      </c>
      <c r="N1067" s="252">
        <f>+N1070+N1071+N1072</f>
        <v>37559</v>
      </c>
      <c r="O1067" s="252">
        <f>+O1070+O1071+O1072</f>
        <v>39537</v>
      </c>
      <c r="P1067" s="253">
        <f>+O1067-N1067</f>
        <v>1978</v>
      </c>
      <c r="Q1067" s="252">
        <f>+Q1070+Q1071+Q1072</f>
        <v>0</v>
      </c>
      <c r="R1067" s="252">
        <f>+R1070+R1071+R1072</f>
        <v>37559</v>
      </c>
      <c r="S1067" s="252">
        <f>+S1070+S1071+S1072</f>
        <v>0</v>
      </c>
      <c r="T1067" s="252">
        <f>+T1070+T1071+T1072</f>
        <v>39537</v>
      </c>
      <c r="U1067" s="252">
        <f>+U1070+U1071+U1072</f>
        <v>0</v>
      </c>
      <c r="V1067" s="211"/>
      <c r="W1067" s="211"/>
      <c r="X1067" s="211"/>
      <c r="Y1067" s="211"/>
      <c r="Z1067" s="211"/>
      <c r="AA1067" s="211"/>
    </row>
    <row r="1068" spans="1:27" s="204" customFormat="1" x14ac:dyDescent="0.25">
      <c r="B1068" s="230"/>
      <c r="C1068" s="230"/>
      <c r="D1068" s="230"/>
      <c r="E1068" s="230"/>
      <c r="F1068" s="230"/>
      <c r="G1068" s="230"/>
      <c r="H1068" s="231"/>
      <c r="I1068" s="230"/>
      <c r="J1068" s="230"/>
      <c r="K1068" s="230"/>
      <c r="L1068" s="299"/>
      <c r="M1068" s="254"/>
      <c r="N1068" s="254"/>
      <c r="O1068" s="254"/>
      <c r="P1068" s="254"/>
      <c r="Q1068" s="211"/>
      <c r="R1068" s="211"/>
      <c r="S1068" s="211"/>
      <c r="T1068" s="211"/>
      <c r="U1068" s="211"/>
      <c r="V1068" s="211"/>
      <c r="W1068" s="211"/>
      <c r="X1068" s="211"/>
      <c r="Y1068" s="211"/>
      <c r="Z1068" s="211"/>
      <c r="AA1068" s="211"/>
    </row>
    <row r="1069" spans="1:27" s="204" customFormat="1" ht="63.75" x14ac:dyDescent="0.25">
      <c r="B1069" s="260" t="s">
        <v>2968</v>
      </c>
      <c r="C1069" s="260" t="s">
        <v>2969</v>
      </c>
      <c r="D1069" s="206" t="s">
        <v>72</v>
      </c>
      <c r="E1069" s="206"/>
      <c r="F1069" s="206"/>
      <c r="G1069" s="207"/>
      <c r="H1069" s="207"/>
      <c r="I1069" s="207"/>
      <c r="J1069" s="207" t="s">
        <v>2957</v>
      </c>
      <c r="K1069" s="206" t="s">
        <v>82</v>
      </c>
      <c r="L1069" s="261" t="s">
        <v>3670</v>
      </c>
      <c r="M1069" s="256"/>
      <c r="N1069" s="256" t="str">
        <f>N$15</f>
        <v>Valore netto al 31/12/2019</v>
      </c>
      <c r="O1069" s="256" t="str">
        <f>O$15</f>
        <v>Valore netto al 31/12/2020</v>
      </c>
      <c r="P1069" s="256" t="str">
        <f>P$15</f>
        <v>Variazione</v>
      </c>
      <c r="Q1069" s="262" t="s">
        <v>2971</v>
      </c>
      <c r="R1069" s="262" t="str">
        <f>+N1069</f>
        <v>Valore netto al 31/12/2019</v>
      </c>
      <c r="S1069" s="262" t="s">
        <v>2972</v>
      </c>
      <c r="T1069" s="262" t="str">
        <f>+T1057</f>
        <v>Entro 12 mesi (2020)</v>
      </c>
      <c r="U1069" s="262" t="str">
        <f>+U1057</f>
        <v>Oltre 12 mesi (2020)</v>
      </c>
      <c r="V1069" s="211"/>
      <c r="W1069" s="211"/>
      <c r="X1069" s="211"/>
      <c r="Y1069" s="211"/>
      <c r="Z1069" s="211"/>
      <c r="AA1069" s="211"/>
    </row>
    <row r="1070" spans="1:27" s="204" customFormat="1" x14ac:dyDescent="0.25">
      <c r="B1070" s="246" t="s">
        <v>2681</v>
      </c>
      <c r="C1070" s="284" t="s">
        <v>2682</v>
      </c>
      <c r="D1070" s="274" t="s">
        <v>4134</v>
      </c>
      <c r="E1070" s="274"/>
      <c r="F1070" s="274"/>
      <c r="G1070" s="283"/>
      <c r="H1070" s="266"/>
      <c r="I1070" s="274"/>
      <c r="J1070" s="281"/>
      <c r="K1070" s="281"/>
      <c r="L1070" s="421" t="s">
        <v>2684</v>
      </c>
      <c r="M1070" s="263" t="s">
        <v>2962</v>
      </c>
      <c r="N1070" s="408">
        <f>+R1070</f>
        <v>37559</v>
      </c>
      <c r="O1070" s="408">
        <f>+T1070+S1070+U1070+Q1070</f>
        <v>39537</v>
      </c>
      <c r="P1070" s="271">
        <f>+O1070-N1070</f>
        <v>1978</v>
      </c>
      <c r="Q1070" s="272">
        <f>+'NI-San_SP'!Q1070+'NI-Soc_SP'!Q1070+'NI-Ric_SP'!Q1070</f>
        <v>0</v>
      </c>
      <c r="R1070" s="272">
        <f>+'NI-San_SP'!R1070+'NI-Soc_SP'!R1070+'NI-Ric_SP'!R1070</f>
        <v>37559</v>
      </c>
      <c r="S1070" s="272">
        <f>+'NI-San_SP'!S1070+'NI-Soc_SP'!T1070+'NI-Ric_SP'!T1070</f>
        <v>0</v>
      </c>
      <c r="T1070" s="272">
        <f>+'NI-San_SP'!T1070+'NI-Soc_SP'!T1070+'NI-Ric_SP'!T1070</f>
        <v>39537</v>
      </c>
      <c r="U1070" s="272">
        <f>+'NI-San_SP'!U1070+'NI-Soc_SP'!U1070+'NI-Ric_SP'!U1070</f>
        <v>0</v>
      </c>
      <c r="V1070" s="211"/>
      <c r="W1070" s="211"/>
      <c r="X1070" s="211"/>
      <c r="Y1070" s="211"/>
      <c r="Z1070" s="211"/>
      <c r="AA1070" s="211"/>
    </row>
    <row r="1071" spans="1:27" s="204" customFormat="1" x14ac:dyDescent="0.25">
      <c r="B1071" s="246" t="s">
        <v>2685</v>
      </c>
      <c r="C1071" s="284" t="s">
        <v>2686</v>
      </c>
      <c r="D1071" s="274" t="s">
        <v>4135</v>
      </c>
      <c r="E1071" s="274"/>
      <c r="F1071" s="274"/>
      <c r="G1071" s="283"/>
      <c r="H1071" s="266"/>
      <c r="I1071" s="274"/>
      <c r="J1071" s="281"/>
      <c r="K1071" s="281"/>
      <c r="L1071" s="421" t="s">
        <v>2688</v>
      </c>
      <c r="M1071" s="284" t="s">
        <v>2962</v>
      </c>
      <c r="N1071" s="408">
        <f>+R1071</f>
        <v>0</v>
      </c>
      <c r="O1071" s="408">
        <f>+T1071+S1071+U1071+Q1071</f>
        <v>0</v>
      </c>
      <c r="P1071" s="271">
        <f>+O1071-N1071</f>
        <v>0</v>
      </c>
      <c r="Q1071" s="272">
        <f>+'NI-San_SP'!Q1071+'NI-Soc_SP'!Q1071+'NI-Ric_SP'!Q1071</f>
        <v>0</v>
      </c>
      <c r="R1071" s="272">
        <f>+'NI-San_SP'!R1071+'NI-Soc_SP'!R1071+'NI-Ric_SP'!R1071</f>
        <v>0</v>
      </c>
      <c r="S1071" s="272">
        <f>+'NI-San_SP'!S1071+'NI-Soc_SP'!T1071+'NI-Ric_SP'!T1071</f>
        <v>0</v>
      </c>
      <c r="T1071" s="272">
        <f>+'NI-San_SP'!T1071+'NI-Soc_SP'!T1071+'NI-Ric_SP'!T1071</f>
        <v>0</v>
      </c>
      <c r="U1071" s="272">
        <f>+'NI-San_SP'!U1071+'NI-Soc_SP'!U1071+'NI-Ric_SP'!U1071</f>
        <v>0</v>
      </c>
      <c r="V1071" s="211"/>
      <c r="W1071" s="211"/>
      <c r="X1071" s="211"/>
      <c r="Y1071" s="211"/>
      <c r="Z1071" s="211"/>
      <c r="AA1071" s="211"/>
    </row>
    <row r="1072" spans="1:27" s="204" customFormat="1" ht="39" x14ac:dyDescent="0.25">
      <c r="A1072" s="204" t="s">
        <v>3681</v>
      </c>
      <c r="B1072" s="246" t="s">
        <v>2689</v>
      </c>
      <c r="C1072" s="79" t="s">
        <v>2690</v>
      </c>
      <c r="D1072" s="226"/>
      <c r="E1072" s="226"/>
      <c r="F1072" s="226"/>
      <c r="G1072" s="290"/>
      <c r="H1072" s="227"/>
      <c r="I1072" s="226"/>
      <c r="J1072" s="409"/>
      <c r="K1072" s="409"/>
      <c r="L1072" s="515" t="s">
        <v>2692</v>
      </c>
      <c r="M1072" s="284" t="s">
        <v>2962</v>
      </c>
      <c r="N1072" s="408">
        <f>+R1072</f>
        <v>0</v>
      </c>
      <c r="O1072" s="408">
        <f>+T1072+S1072+U1072+Q1072</f>
        <v>0</v>
      </c>
      <c r="P1072" s="271">
        <f>+O1072-N1072</f>
        <v>0</v>
      </c>
      <c r="Q1072" s="272">
        <f>+'NI-San_SP'!Q1072+'NI-Soc_SP'!Q1072+'NI-Ric_SP'!Q1072</f>
        <v>0</v>
      </c>
      <c r="R1072" s="272">
        <f>+'NI-San_SP'!R1072+'NI-Soc_SP'!R1072+'NI-Ric_SP'!R1072</f>
        <v>0</v>
      </c>
      <c r="S1072" s="272">
        <f>+'NI-San_SP'!S1072+'NI-Soc_SP'!T1072+'NI-Ric_SP'!T1072</f>
        <v>0</v>
      </c>
      <c r="T1072" s="272">
        <f>+'NI-San_SP'!T1072+'NI-Soc_SP'!T1072+'NI-Ric_SP'!T1072</f>
        <v>0</v>
      </c>
      <c r="U1072" s="272">
        <f>+'NI-San_SP'!U1072+'NI-Soc_SP'!U1072+'NI-Ric_SP'!U1072</f>
        <v>0</v>
      </c>
      <c r="V1072" s="211"/>
      <c r="W1072" s="211"/>
      <c r="X1072" s="211"/>
      <c r="Y1072" s="211"/>
      <c r="Z1072" s="211"/>
      <c r="AA1072" s="211"/>
    </row>
    <row r="1073" spans="1:27" s="204" customFormat="1" ht="26.25" x14ac:dyDescent="0.25">
      <c r="B1073" s="384"/>
      <c r="C1073" s="384"/>
      <c r="D1073" s="382"/>
      <c r="E1073" s="382"/>
      <c r="F1073" s="382"/>
      <c r="G1073" s="382"/>
      <c r="H1073" s="382"/>
      <c r="I1073" s="382"/>
      <c r="J1073" s="382"/>
      <c r="K1073" s="382"/>
      <c r="L1073" s="344" t="s">
        <v>4136</v>
      </c>
      <c r="M1073" s="275"/>
      <c r="N1073" s="383"/>
      <c r="O1073" s="383"/>
      <c r="P1073" s="384"/>
      <c r="Q1073" s="211"/>
      <c r="R1073" s="211"/>
      <c r="S1073" s="211"/>
      <c r="T1073" s="211"/>
      <c r="U1073" s="211"/>
      <c r="V1073" s="211"/>
      <c r="W1073" s="211"/>
      <c r="X1073" s="211"/>
      <c r="Y1073" s="211"/>
      <c r="Z1073" s="211"/>
      <c r="AA1073" s="211"/>
    </row>
    <row r="1074" spans="1:27" s="217" customFormat="1" x14ac:dyDescent="0.25">
      <c r="A1074" s="204"/>
      <c r="B1074" s="230"/>
      <c r="C1074" s="230"/>
      <c r="D1074" s="230"/>
      <c r="E1074" s="230"/>
      <c r="F1074" s="230"/>
      <c r="G1074" s="230"/>
      <c r="H1074" s="231"/>
      <c r="I1074" s="230"/>
      <c r="J1074" s="230"/>
      <c r="K1074" s="230"/>
      <c r="L1074" s="232"/>
      <c r="M1074" s="211"/>
      <c r="N1074" s="254"/>
      <c r="O1074" s="211"/>
      <c r="P1074" s="211"/>
      <c r="Q1074" s="211"/>
      <c r="R1074" s="216"/>
      <c r="S1074" s="216"/>
      <c r="T1074" s="216"/>
      <c r="U1074" s="216"/>
      <c r="V1074" s="216"/>
      <c r="W1074" s="211"/>
      <c r="X1074" s="211"/>
      <c r="Y1074" s="211"/>
      <c r="Z1074" s="211"/>
      <c r="AA1074" s="211"/>
    </row>
    <row r="1075" spans="1:27" s="204" customFormat="1" x14ac:dyDescent="0.25">
      <c r="B1075" s="233" t="s">
        <v>2693</v>
      </c>
      <c r="C1075" s="233" t="s">
        <v>2694</v>
      </c>
      <c r="D1075" s="234" t="s">
        <v>4137</v>
      </c>
      <c r="E1075" s="234"/>
      <c r="F1075" s="234"/>
      <c r="G1075" s="234"/>
      <c r="H1075" s="235"/>
      <c r="I1075" s="234"/>
      <c r="J1075" s="234"/>
      <c r="K1075" s="234"/>
      <c r="L1075" s="236" t="s">
        <v>4138</v>
      </c>
      <c r="M1075" s="237" t="s">
        <v>2962</v>
      </c>
      <c r="N1075" s="238">
        <f>+SUM(N1078:N1082)</f>
        <v>7562304</v>
      </c>
      <c r="O1075" s="238">
        <f>+SUM(O1078:O1082)</f>
        <v>8399763</v>
      </c>
      <c r="P1075" s="238">
        <f>+SUM(P1078:P1082)</f>
        <v>837459</v>
      </c>
      <c r="Q1075" s="211"/>
      <c r="R1075" s="216"/>
      <c r="S1075" s="216"/>
      <c r="T1075" s="216"/>
      <c r="U1075" s="216"/>
      <c r="V1075" s="216"/>
      <c r="W1075" s="211"/>
      <c r="X1075" s="211"/>
      <c r="Y1075" s="211"/>
      <c r="Z1075" s="211"/>
      <c r="AA1075" s="211"/>
    </row>
    <row r="1076" spans="1:27" s="204" customFormat="1" x14ac:dyDescent="0.25">
      <c r="B1076" s="230"/>
      <c r="C1076" s="230"/>
      <c r="D1076" s="230"/>
      <c r="E1076" s="230"/>
      <c r="F1076" s="230"/>
      <c r="G1076" s="230"/>
      <c r="H1076" s="231"/>
      <c r="I1076" s="230"/>
      <c r="J1076" s="230"/>
      <c r="K1076" s="230"/>
      <c r="L1076" s="315"/>
      <c r="M1076" s="216"/>
      <c r="N1076" s="278"/>
      <c r="O1076" s="278"/>
      <c r="P1076" s="278"/>
      <c r="Q1076" s="211"/>
      <c r="R1076" s="216"/>
      <c r="S1076" s="216"/>
      <c r="T1076" s="216"/>
      <c r="U1076" s="216"/>
      <c r="V1076" s="216"/>
      <c r="W1076" s="211"/>
      <c r="X1076" s="211"/>
      <c r="Y1076" s="211"/>
      <c r="Z1076" s="211"/>
      <c r="AA1076" s="211"/>
    </row>
    <row r="1077" spans="1:27" s="204" customFormat="1" ht="63.75" x14ac:dyDescent="0.25">
      <c r="B1077" s="260" t="s">
        <v>2968</v>
      </c>
      <c r="C1077" s="260" t="s">
        <v>2969</v>
      </c>
      <c r="D1077" s="206" t="s">
        <v>72</v>
      </c>
      <c r="E1077" s="206"/>
      <c r="F1077" s="206"/>
      <c r="G1077" s="207"/>
      <c r="H1077" s="207"/>
      <c r="I1077" s="207"/>
      <c r="J1077" s="207" t="s">
        <v>2957</v>
      </c>
      <c r="K1077" s="206" t="s">
        <v>82</v>
      </c>
      <c r="L1077" s="261" t="s">
        <v>3670</v>
      </c>
      <c r="M1077" s="256"/>
      <c r="N1077" s="256" t="str">
        <f>N$15</f>
        <v>Valore netto al 31/12/2019</v>
      </c>
      <c r="O1077" s="256" t="str">
        <f>O$15</f>
        <v>Valore netto al 31/12/2020</v>
      </c>
      <c r="P1077" s="256" t="str">
        <f>P$15</f>
        <v>Variazione</v>
      </c>
      <c r="Q1077" s="262" t="s">
        <v>2971</v>
      </c>
      <c r="R1077" s="262" t="s">
        <v>3517</v>
      </c>
      <c r="S1077" s="262" t="s">
        <v>2972</v>
      </c>
      <c r="T1077" s="262" t="s">
        <v>3495</v>
      </c>
      <c r="U1077" s="262" t="s">
        <v>3496</v>
      </c>
      <c r="V1077" s="262" t="s">
        <v>3815</v>
      </c>
      <c r="W1077" s="211"/>
      <c r="X1077" s="211"/>
      <c r="Y1077" s="211"/>
      <c r="Z1077" s="211"/>
      <c r="AA1077" s="211"/>
    </row>
    <row r="1078" spans="1:27" s="204" customFormat="1" x14ac:dyDescent="0.25">
      <c r="B1078" s="246" t="s">
        <v>2696</v>
      </c>
      <c r="C1078" s="284" t="s">
        <v>2697</v>
      </c>
      <c r="D1078" s="274" t="s">
        <v>4139</v>
      </c>
      <c r="E1078" s="274"/>
      <c r="F1078" s="274"/>
      <c r="G1078" s="283"/>
      <c r="H1078" s="266"/>
      <c r="I1078" s="427"/>
      <c r="J1078" s="281"/>
      <c r="K1078" s="281"/>
      <c r="L1078" s="422" t="s">
        <v>4140</v>
      </c>
      <c r="M1078" s="284" t="s">
        <v>2962</v>
      </c>
      <c r="N1078" s="408">
        <f>+R1078</f>
        <v>0</v>
      </c>
      <c r="O1078" s="408">
        <f>V1078</f>
        <v>0</v>
      </c>
      <c r="P1078" s="271">
        <f>+O1078-N1078</f>
        <v>0</v>
      </c>
      <c r="Q1078" s="272">
        <f>+'NI-San_SP'!R1078+'NI-Soc_SP'!Q1078+'NI-Ric_SP'!Q1078</f>
        <v>0</v>
      </c>
      <c r="R1078" s="272">
        <f>+'NI-San_SP'!R1078+'NI-Soc_SP'!R1078+'NI-Ric_SP'!R1078</f>
        <v>0</v>
      </c>
      <c r="S1078" s="272">
        <f>+'NI-San_SP'!T1078+'NI-Soc_SP'!S1078+'NI-Ric_SP'!S1078</f>
        <v>0</v>
      </c>
      <c r="T1078" s="272">
        <f>+'NI-San_SP'!U1078+'NI-Soc_SP'!T1078+'NI-Ric_SP'!T1078</f>
        <v>0</v>
      </c>
      <c r="U1078" s="272">
        <f>+'NI-San_SP'!V1078+'NI-Soc_SP'!U1078+'NI-Ric_SP'!U1078</f>
        <v>0</v>
      </c>
      <c r="V1078" s="272">
        <f>+'NI-San_SP'!V1078+'NI-Soc_SP'!V1078+'NI-Ric_SP'!V1078</f>
        <v>0</v>
      </c>
      <c r="W1078" s="211"/>
      <c r="X1078" s="211"/>
      <c r="Y1078" s="211"/>
      <c r="Z1078" s="211"/>
      <c r="AA1078" s="211"/>
    </row>
    <row r="1079" spans="1:27" s="204" customFormat="1" x14ac:dyDescent="0.25">
      <c r="B1079" s="246" t="s">
        <v>2701</v>
      </c>
      <c r="C1079" s="284" t="s">
        <v>2702</v>
      </c>
      <c r="D1079" s="274" t="s">
        <v>4141</v>
      </c>
      <c r="E1079" s="274"/>
      <c r="F1079" s="274"/>
      <c r="G1079" s="283"/>
      <c r="H1079" s="266"/>
      <c r="I1079" s="427"/>
      <c r="J1079" s="281"/>
      <c r="K1079" s="281"/>
      <c r="L1079" s="422" t="s">
        <v>4142</v>
      </c>
      <c r="M1079" s="284" t="s">
        <v>2962</v>
      </c>
      <c r="N1079" s="408">
        <f>+R1079</f>
        <v>0</v>
      </c>
      <c r="O1079" s="408">
        <f>V1079</f>
        <v>0</v>
      </c>
      <c r="P1079" s="271">
        <f>+O1079-N1079</f>
        <v>0</v>
      </c>
      <c r="Q1079" s="272">
        <f>+'NI-San_SP'!R1079+'NI-Soc_SP'!Q1079+'NI-Ric_SP'!Q1079</f>
        <v>0</v>
      </c>
      <c r="R1079" s="272">
        <f>+'NI-San_SP'!R1079+'NI-Soc_SP'!R1079+'NI-Ric_SP'!R1079</f>
        <v>0</v>
      </c>
      <c r="S1079" s="272">
        <f>+'NI-San_SP'!T1079+'NI-Soc_SP'!S1079+'NI-Ric_SP'!S1079</f>
        <v>0</v>
      </c>
      <c r="T1079" s="272">
        <f>+'NI-San_SP'!U1079+'NI-Soc_SP'!T1079+'NI-Ric_SP'!T1079</f>
        <v>0</v>
      </c>
      <c r="U1079" s="272">
        <f>+'NI-San_SP'!V1079+'NI-Soc_SP'!U1079+'NI-Ric_SP'!U1079</f>
        <v>0</v>
      </c>
      <c r="V1079" s="272">
        <f>+'NI-San_SP'!V1079+'NI-Soc_SP'!V1079+'NI-Ric_SP'!V1079</f>
        <v>0</v>
      </c>
      <c r="W1079" s="211"/>
      <c r="X1079" s="211"/>
      <c r="Y1079" s="211"/>
      <c r="Z1079" s="211"/>
      <c r="AA1079" s="211"/>
    </row>
    <row r="1080" spans="1:27" s="204" customFormat="1" x14ac:dyDescent="0.25">
      <c r="B1080" s="246" t="s">
        <v>2706</v>
      </c>
      <c r="C1080" s="284" t="s">
        <v>2707</v>
      </c>
      <c r="D1080" s="274" t="s">
        <v>4143</v>
      </c>
      <c r="E1080" s="274"/>
      <c r="F1080" s="274"/>
      <c r="G1080" s="283"/>
      <c r="H1080" s="266"/>
      <c r="I1080" s="427"/>
      <c r="J1080" s="281"/>
      <c r="K1080" s="281"/>
      <c r="L1080" s="422" t="s">
        <v>4144</v>
      </c>
      <c r="M1080" s="284" t="s">
        <v>2962</v>
      </c>
      <c r="N1080" s="408">
        <f>+R1080</f>
        <v>7812</v>
      </c>
      <c r="O1080" s="408">
        <f>V1080</f>
        <v>7812</v>
      </c>
      <c r="P1080" s="271">
        <f>+O1080-N1080</f>
        <v>0</v>
      </c>
      <c r="Q1080" s="272">
        <f>+'NI-San_SP'!R1080+'NI-Soc_SP'!Q1080+'NI-Ric_SP'!Q1080</f>
        <v>7812</v>
      </c>
      <c r="R1080" s="272">
        <f>+'NI-San_SP'!R1080+'NI-Soc_SP'!R1080+'NI-Ric_SP'!R1080</f>
        <v>7812</v>
      </c>
      <c r="S1080" s="272">
        <f>+'NI-San_SP'!T1080+'NI-Soc_SP'!S1080+'NI-Ric_SP'!S1080</f>
        <v>0</v>
      </c>
      <c r="T1080" s="272">
        <f>+'NI-San_SP'!U1080+'NI-Soc_SP'!T1080+'NI-Ric_SP'!T1080</f>
        <v>0</v>
      </c>
      <c r="U1080" s="272">
        <f>+'NI-San_SP'!V1080+'NI-Soc_SP'!U1080+'NI-Ric_SP'!U1080</f>
        <v>7812</v>
      </c>
      <c r="V1080" s="272">
        <f>+'NI-San_SP'!V1080+'NI-Soc_SP'!V1080+'NI-Ric_SP'!V1080</f>
        <v>7812</v>
      </c>
      <c r="W1080" s="211"/>
      <c r="X1080" s="211"/>
      <c r="Y1080" s="211"/>
      <c r="Z1080" s="211"/>
      <c r="AA1080" s="211"/>
    </row>
    <row r="1081" spans="1:27" s="204" customFormat="1" x14ac:dyDescent="0.25">
      <c r="A1081" s="204" t="s">
        <v>3681</v>
      </c>
      <c r="B1081" s="246" t="s">
        <v>2711</v>
      </c>
      <c r="C1081" s="79" t="s">
        <v>2712</v>
      </c>
      <c r="D1081" s="274"/>
      <c r="E1081" s="274"/>
      <c r="F1081" s="274"/>
      <c r="G1081" s="283"/>
      <c r="H1081" s="266"/>
      <c r="I1081" s="427"/>
      <c r="J1081" s="281"/>
      <c r="K1081" s="281"/>
      <c r="L1081" s="429" t="s">
        <v>2715</v>
      </c>
      <c r="M1081" s="284" t="s">
        <v>2962</v>
      </c>
      <c r="N1081" s="408">
        <f>+R1081</f>
        <v>0</v>
      </c>
      <c r="O1081" s="408">
        <f>V1081</f>
        <v>0</v>
      </c>
      <c r="P1081" s="271">
        <f>+O1081-N1081</f>
        <v>0</v>
      </c>
      <c r="Q1081" s="272">
        <f>+'NI-San_SP'!R1081+'NI-Soc_SP'!Q1081+'NI-Ric_SP'!Q1081</f>
        <v>0</v>
      </c>
      <c r="R1081" s="272">
        <f>+'NI-San_SP'!R1081+'NI-Soc_SP'!R1081+'NI-Ric_SP'!R1081</f>
        <v>0</v>
      </c>
      <c r="S1081" s="272">
        <f>+'NI-San_SP'!T1081+'NI-Soc_SP'!S1081+'NI-Ric_SP'!S1081</f>
        <v>0</v>
      </c>
      <c r="T1081" s="272">
        <f>+'NI-San_SP'!U1081+'NI-Soc_SP'!T1081+'NI-Ric_SP'!T1081</f>
        <v>0</v>
      </c>
      <c r="U1081" s="272">
        <f>+'NI-San_SP'!V1081+'NI-Soc_SP'!U1081+'NI-Ric_SP'!U1081</f>
        <v>0</v>
      </c>
      <c r="V1081" s="272">
        <f>+'NI-San_SP'!V1081+'NI-Soc_SP'!V1081+'NI-Ric_SP'!V1081</f>
        <v>0</v>
      </c>
      <c r="W1081" s="211"/>
      <c r="X1081" s="211"/>
      <c r="Y1081" s="211"/>
      <c r="Z1081" s="211"/>
      <c r="AA1081" s="211"/>
    </row>
    <row r="1082" spans="1:27" s="204" customFormat="1" x14ac:dyDescent="0.25">
      <c r="B1082" s="246" t="s">
        <v>2716</v>
      </c>
      <c r="C1082" s="284" t="s">
        <v>2717</v>
      </c>
      <c r="D1082" s="274" t="s">
        <v>4145</v>
      </c>
      <c r="E1082" s="274"/>
      <c r="F1082" s="274"/>
      <c r="G1082" s="283"/>
      <c r="H1082" s="266"/>
      <c r="I1082" s="427"/>
      <c r="J1082" s="281"/>
      <c r="K1082" s="281"/>
      <c r="L1082" s="422" t="s">
        <v>4146</v>
      </c>
      <c r="M1082" s="284" t="s">
        <v>2962</v>
      </c>
      <c r="N1082" s="378">
        <f>SUM(N1083:N1096)</f>
        <v>7554492</v>
      </c>
      <c r="O1082" s="378">
        <f>SUM(O1083:O1096)</f>
        <v>8391951</v>
      </c>
      <c r="P1082" s="378">
        <f>+O1082-N1082</f>
        <v>837459</v>
      </c>
      <c r="Q1082" s="378">
        <f>SUM(Q1083:Q1096)</f>
        <v>7554492</v>
      </c>
      <c r="R1082" s="378">
        <f>SUM(R1084:R1086)+SUM(R1088:R1091)+SUM(R1093:R1096)</f>
        <v>7554492</v>
      </c>
      <c r="S1082" s="378">
        <f>SUM(S1083:S1096)</f>
        <v>1058706</v>
      </c>
      <c r="T1082" s="378">
        <f>SUM(T1083:T1096)</f>
        <v>221247</v>
      </c>
      <c r="U1082" s="378">
        <f>SUM(U1083:U1096)</f>
        <v>8391951</v>
      </c>
      <c r="V1082" s="378">
        <f>SUM(V1083:V1096)</f>
        <v>8391951</v>
      </c>
      <c r="W1082" s="211"/>
      <c r="X1082" s="211"/>
      <c r="Y1082" s="211"/>
      <c r="Z1082" s="211"/>
      <c r="AA1082" s="211"/>
    </row>
    <row r="1083" spans="1:27" s="204" customFormat="1" x14ac:dyDescent="0.25">
      <c r="B1083" s="246" t="s">
        <v>2720</v>
      </c>
      <c r="C1083" s="284" t="s">
        <v>2721</v>
      </c>
      <c r="D1083" s="274" t="s">
        <v>4147</v>
      </c>
      <c r="E1083" s="274"/>
      <c r="F1083" s="274"/>
      <c r="G1083" s="283"/>
      <c r="H1083" s="266"/>
      <c r="I1083" s="427"/>
      <c r="J1083" s="281"/>
      <c r="K1083" s="281"/>
      <c r="L1083" s="422" t="s">
        <v>4148</v>
      </c>
      <c r="M1083" s="284" t="s">
        <v>2962</v>
      </c>
      <c r="N1083" s="354"/>
      <c r="O1083" s="354"/>
      <c r="P1083" s="354"/>
      <c r="Q1083" s="354"/>
      <c r="R1083" s="354">
        <f>+'NI-San_SP'!R1083+'NI-Soc_SP'!R1083+'NI-Ric_SP'!R1083</f>
        <v>0</v>
      </c>
      <c r="S1083" s="354"/>
      <c r="T1083" s="354"/>
      <c r="U1083" s="354"/>
      <c r="V1083" s="354"/>
      <c r="W1083" s="211"/>
      <c r="X1083" s="211"/>
      <c r="Y1083" s="211"/>
      <c r="Z1083" s="211"/>
      <c r="AA1083" s="211"/>
    </row>
    <row r="1084" spans="1:27" s="204" customFormat="1" x14ac:dyDescent="0.25">
      <c r="B1084" s="246" t="s">
        <v>2723</v>
      </c>
      <c r="C1084" s="284" t="s">
        <v>2724</v>
      </c>
      <c r="D1084" s="274" t="s">
        <v>4149</v>
      </c>
      <c r="E1084" s="274"/>
      <c r="F1084" s="274"/>
      <c r="G1084" s="283"/>
      <c r="H1084" s="266"/>
      <c r="I1084" s="427"/>
      <c r="J1084" s="281"/>
      <c r="K1084" s="281"/>
      <c r="L1084" s="430" t="s">
        <v>4150</v>
      </c>
      <c r="M1084" s="284" t="s">
        <v>2962</v>
      </c>
      <c r="N1084" s="408">
        <f>+R1084</f>
        <v>153200</v>
      </c>
      <c r="O1084" s="408">
        <f>V1084</f>
        <v>153200</v>
      </c>
      <c r="P1084" s="271">
        <f>+O1084-N1084</f>
        <v>0</v>
      </c>
      <c r="Q1084" s="272">
        <f>+'NI-San_SP'!R1084+'NI-Soc_SP'!Q1084+'NI-Ric_SP'!Q1084</f>
        <v>153200</v>
      </c>
      <c r="R1084" s="272">
        <f>+'NI-San_SP'!R1084+'NI-Soc_SP'!R1084+'NI-Ric_SP'!R1084</f>
        <v>153200</v>
      </c>
      <c r="S1084" s="272">
        <f>+'NI-San_SP'!T1084+'NI-Soc_SP'!S1084+'NI-Ric_SP'!S1084</f>
        <v>0</v>
      </c>
      <c r="T1084" s="272">
        <f>+'NI-San_SP'!U1084+'NI-Soc_SP'!T1084+'NI-Ric_SP'!T1084</f>
        <v>0</v>
      </c>
      <c r="U1084" s="272">
        <f>+'NI-San_SP'!V1084+'NI-Soc_SP'!U1084+'NI-Ric_SP'!U1084</f>
        <v>153200</v>
      </c>
      <c r="V1084" s="272">
        <f>+'NI-San_SP'!V1084+'NI-Soc_SP'!V1084+'NI-Ric_SP'!V1084</f>
        <v>153200</v>
      </c>
      <c r="W1084" s="211"/>
      <c r="X1084" s="211"/>
      <c r="Y1084" s="211"/>
      <c r="Z1084" s="211"/>
      <c r="AA1084" s="211"/>
    </row>
    <row r="1085" spans="1:27" s="204" customFormat="1" x14ac:dyDescent="0.25">
      <c r="B1085" s="246" t="s">
        <v>2725</v>
      </c>
      <c r="C1085" s="284" t="s">
        <v>2726</v>
      </c>
      <c r="D1085" s="274" t="s">
        <v>4151</v>
      </c>
      <c r="E1085" s="274"/>
      <c r="F1085" s="274"/>
      <c r="G1085" s="283"/>
      <c r="H1085" s="266"/>
      <c r="I1085" s="427"/>
      <c r="J1085" s="281"/>
      <c r="K1085" s="281"/>
      <c r="L1085" s="430" t="s">
        <v>4152</v>
      </c>
      <c r="M1085" s="284" t="s">
        <v>2962</v>
      </c>
      <c r="N1085" s="408">
        <f>+R1085</f>
        <v>0</v>
      </c>
      <c r="O1085" s="408">
        <f>V1085</f>
        <v>0</v>
      </c>
      <c r="P1085" s="271">
        <f>+O1085-N1085</f>
        <v>0</v>
      </c>
      <c r="Q1085" s="272">
        <f>+'NI-San_SP'!R1085+'NI-Soc_SP'!Q1085+'NI-Ric_SP'!Q1085</f>
        <v>0</v>
      </c>
      <c r="R1085" s="272">
        <f>+'NI-San_SP'!R1085+'NI-Soc_SP'!R1085+'NI-Ric_SP'!R1085</f>
        <v>0</v>
      </c>
      <c r="S1085" s="272">
        <f>+'NI-San_SP'!T1085+'NI-Soc_SP'!S1085+'NI-Ric_SP'!S1085</f>
        <v>0</v>
      </c>
      <c r="T1085" s="272">
        <f>+'NI-San_SP'!U1085+'NI-Soc_SP'!T1085+'NI-Ric_SP'!T1085</f>
        <v>0</v>
      </c>
      <c r="U1085" s="272">
        <f>+'NI-San_SP'!V1085+'NI-Soc_SP'!U1085+'NI-Ric_SP'!U1085</f>
        <v>0</v>
      </c>
      <c r="V1085" s="272">
        <f>+'NI-San_SP'!V1085+'NI-Soc_SP'!V1085+'NI-Ric_SP'!V1085</f>
        <v>0</v>
      </c>
      <c r="W1085" s="211"/>
      <c r="X1085" s="211"/>
      <c r="Y1085" s="211"/>
      <c r="Z1085" s="211"/>
      <c r="AA1085" s="211"/>
    </row>
    <row r="1086" spans="1:27" s="204" customFormat="1" x14ac:dyDescent="0.25">
      <c r="B1086" s="246" t="s">
        <v>2727</v>
      </c>
      <c r="C1086" s="284" t="s">
        <v>2728</v>
      </c>
      <c r="D1086" s="274" t="s">
        <v>4153</v>
      </c>
      <c r="E1086" s="274"/>
      <c r="F1086" s="274"/>
      <c r="G1086" s="283"/>
      <c r="H1086" s="266"/>
      <c r="I1086" s="427"/>
      <c r="J1086" s="281"/>
      <c r="K1086" s="281"/>
      <c r="L1086" s="430" t="s">
        <v>4154</v>
      </c>
      <c r="M1086" s="284" t="s">
        <v>2962</v>
      </c>
      <c r="N1086" s="408">
        <f>+R1086</f>
        <v>0</v>
      </c>
      <c r="O1086" s="408">
        <f>V1086</f>
        <v>0</v>
      </c>
      <c r="P1086" s="271">
        <f>+O1086-N1086</f>
        <v>0</v>
      </c>
      <c r="Q1086" s="272">
        <f>+'NI-San_SP'!R1086+'NI-Soc_SP'!Q1086+'NI-Ric_SP'!Q1086</f>
        <v>0</v>
      </c>
      <c r="R1086" s="272">
        <f>+'NI-San_SP'!R1086+'NI-Soc_SP'!R1086+'NI-Ric_SP'!R1086</f>
        <v>0</v>
      </c>
      <c r="S1086" s="272">
        <f>+'NI-San_SP'!T1086+'NI-Soc_SP'!S1086+'NI-Ric_SP'!S1086</f>
        <v>0</v>
      </c>
      <c r="T1086" s="272">
        <f>+'NI-San_SP'!U1086+'NI-Soc_SP'!T1086+'NI-Ric_SP'!T1086</f>
        <v>0</v>
      </c>
      <c r="U1086" s="272">
        <f>+'NI-San_SP'!V1086+'NI-Soc_SP'!U1086+'NI-Ric_SP'!U1086</f>
        <v>0</v>
      </c>
      <c r="V1086" s="272">
        <f>+'NI-San_SP'!V1086+'NI-Soc_SP'!V1086+'NI-Ric_SP'!V1086</f>
        <v>0</v>
      </c>
      <c r="W1086" s="211"/>
      <c r="X1086" s="211"/>
      <c r="Y1086" s="211"/>
      <c r="Z1086" s="211"/>
      <c r="AA1086" s="211"/>
    </row>
    <row r="1087" spans="1:27" s="204" customFormat="1" x14ac:dyDescent="0.25">
      <c r="B1087" s="246" t="s">
        <v>2729</v>
      </c>
      <c r="C1087" s="284" t="s">
        <v>2730</v>
      </c>
      <c r="D1087" s="274" t="s">
        <v>4155</v>
      </c>
      <c r="E1087" s="274"/>
      <c r="F1087" s="274"/>
      <c r="G1087" s="283"/>
      <c r="H1087" s="266"/>
      <c r="I1087" s="427"/>
      <c r="J1087" s="281"/>
      <c r="K1087" s="281"/>
      <c r="L1087" s="422" t="s">
        <v>4156</v>
      </c>
      <c r="M1087" s="284" t="s">
        <v>2962</v>
      </c>
      <c r="N1087" s="354"/>
      <c r="O1087" s="354"/>
      <c r="P1087" s="354"/>
      <c r="Q1087" s="354"/>
      <c r="R1087" s="354">
        <f>+'NI-San_SP'!R1087+'NI-Soc_SP'!R1087+'NI-Ric_SP'!R1087</f>
        <v>0</v>
      </c>
      <c r="S1087" s="354"/>
      <c r="T1087" s="354"/>
      <c r="U1087" s="354"/>
      <c r="V1087" s="354"/>
      <c r="W1087" s="211"/>
      <c r="X1087" s="211"/>
      <c r="Y1087" s="211"/>
      <c r="Z1087" s="211"/>
      <c r="AA1087" s="211"/>
    </row>
    <row r="1088" spans="1:27" s="204" customFormat="1" x14ac:dyDescent="0.25">
      <c r="B1088" s="246" t="s">
        <v>2732</v>
      </c>
      <c r="C1088" s="284" t="s">
        <v>2733</v>
      </c>
      <c r="D1088" s="274" t="s">
        <v>4157</v>
      </c>
      <c r="E1088" s="274"/>
      <c r="F1088" s="274"/>
      <c r="G1088" s="283"/>
      <c r="H1088" s="266"/>
      <c r="I1088" s="427"/>
      <c r="J1088" s="281"/>
      <c r="K1088" s="281"/>
      <c r="L1088" s="430" t="s">
        <v>4158</v>
      </c>
      <c r="M1088" s="284" t="s">
        <v>2962</v>
      </c>
      <c r="N1088" s="408">
        <f>+R1088</f>
        <v>7401292</v>
      </c>
      <c r="O1088" s="408">
        <f>V1088</f>
        <v>8238751</v>
      </c>
      <c r="P1088" s="271">
        <f>+O1088-N1088</f>
        <v>837459</v>
      </c>
      <c r="Q1088" s="272">
        <f>+'NI-San_SP'!R1088+'NI-Soc_SP'!Q1088+'NI-Ric_SP'!Q1088</f>
        <v>7401292</v>
      </c>
      <c r="R1088" s="272">
        <f>+'NI-San_SP'!R1088+'NI-Soc_SP'!R1088+'NI-Ric_SP'!R1088</f>
        <v>7401292</v>
      </c>
      <c r="S1088" s="272">
        <f>+'NI-San_SP'!T1088+'NI-Soc_SP'!S1088+'NI-Ric_SP'!S1088</f>
        <v>1058706</v>
      </c>
      <c r="T1088" s="272">
        <f>+'NI-San_SP'!U1088+'NI-Soc_SP'!T1088+'NI-Ric_SP'!T1088</f>
        <v>221247</v>
      </c>
      <c r="U1088" s="272">
        <f>+'NI-San_SP'!V1088+'NI-Soc_SP'!U1088+'NI-Ric_SP'!U1088</f>
        <v>8238751</v>
      </c>
      <c r="V1088" s="272">
        <f>+'NI-San_SP'!V1088+'NI-Soc_SP'!V1088+'NI-Ric_SP'!V1088</f>
        <v>8238751</v>
      </c>
      <c r="W1088" s="211"/>
      <c r="X1088" s="211"/>
      <c r="Y1088" s="211"/>
      <c r="Z1088" s="211"/>
      <c r="AA1088" s="211"/>
    </row>
    <row r="1089" spans="1:27" s="204" customFormat="1" x14ac:dyDescent="0.25">
      <c r="B1089" s="246" t="s">
        <v>2734</v>
      </c>
      <c r="C1089" s="284" t="s">
        <v>2735</v>
      </c>
      <c r="D1089" s="274" t="s">
        <v>4159</v>
      </c>
      <c r="E1089" s="274"/>
      <c r="F1089" s="274"/>
      <c r="G1089" s="283"/>
      <c r="H1089" s="266"/>
      <c r="I1089" s="427"/>
      <c r="J1089" s="281"/>
      <c r="K1089" s="281"/>
      <c r="L1089" s="430" t="s">
        <v>4160</v>
      </c>
      <c r="M1089" s="284" t="s">
        <v>2962</v>
      </c>
      <c r="N1089" s="408">
        <f>+R1089</f>
        <v>0</v>
      </c>
      <c r="O1089" s="408">
        <f>V1089</f>
        <v>0</v>
      </c>
      <c r="P1089" s="271">
        <f>+O1089-N1089</f>
        <v>0</v>
      </c>
      <c r="Q1089" s="272">
        <f>+'NI-San_SP'!R1089+'NI-Soc_SP'!Q1089+'NI-Ric_SP'!Q1089</f>
        <v>0</v>
      </c>
      <c r="R1089" s="272">
        <f>+'NI-San_SP'!R1089+'NI-Soc_SP'!R1089+'NI-Ric_SP'!R1089</f>
        <v>0</v>
      </c>
      <c r="S1089" s="272">
        <f>+'NI-San_SP'!T1089+'NI-Soc_SP'!S1089+'NI-Ric_SP'!S1089</f>
        <v>0</v>
      </c>
      <c r="T1089" s="272">
        <f>+'NI-San_SP'!U1089+'NI-Soc_SP'!T1089+'NI-Ric_SP'!T1089</f>
        <v>0</v>
      </c>
      <c r="U1089" s="272">
        <f>+'NI-San_SP'!V1089+'NI-Soc_SP'!U1089+'NI-Ric_SP'!U1089</f>
        <v>0</v>
      </c>
      <c r="V1089" s="272">
        <f>+'NI-San_SP'!V1089+'NI-Soc_SP'!V1089+'NI-Ric_SP'!V1089</f>
        <v>0</v>
      </c>
      <c r="W1089" s="211"/>
      <c r="X1089" s="211"/>
      <c r="Y1089" s="211"/>
      <c r="Z1089" s="211"/>
      <c r="AA1089" s="211"/>
    </row>
    <row r="1090" spans="1:27" s="204" customFormat="1" x14ac:dyDescent="0.25">
      <c r="B1090" s="246" t="s">
        <v>2736</v>
      </c>
      <c r="C1090" s="284" t="s">
        <v>2737</v>
      </c>
      <c r="D1090" s="274" t="s">
        <v>4161</v>
      </c>
      <c r="E1090" s="274"/>
      <c r="F1090" s="274"/>
      <c r="G1090" s="283"/>
      <c r="H1090" s="266"/>
      <c r="I1090" s="427"/>
      <c r="J1090" s="281"/>
      <c r="K1090" s="281"/>
      <c r="L1090" s="430" t="s">
        <v>4162</v>
      </c>
      <c r="M1090" s="284" t="s">
        <v>2962</v>
      </c>
      <c r="N1090" s="408">
        <f>+R1090</f>
        <v>0</v>
      </c>
      <c r="O1090" s="408">
        <f>V1090</f>
        <v>0</v>
      </c>
      <c r="P1090" s="271">
        <f>+O1090-N1090</f>
        <v>0</v>
      </c>
      <c r="Q1090" s="272">
        <f>+'NI-San_SP'!R1090+'NI-Soc_SP'!Q1090+'NI-Ric_SP'!Q1090</f>
        <v>0</v>
      </c>
      <c r="R1090" s="272">
        <f>+'NI-San_SP'!R1090+'NI-Soc_SP'!R1090+'NI-Ric_SP'!R1090</f>
        <v>0</v>
      </c>
      <c r="S1090" s="272">
        <f>+'NI-San_SP'!T1090+'NI-Soc_SP'!S1090+'NI-Ric_SP'!S1090</f>
        <v>0</v>
      </c>
      <c r="T1090" s="272">
        <f>+'NI-San_SP'!U1090+'NI-Soc_SP'!T1090+'NI-Ric_SP'!T1090</f>
        <v>0</v>
      </c>
      <c r="U1090" s="272">
        <f>+'NI-San_SP'!V1090+'NI-Soc_SP'!U1090+'NI-Ric_SP'!U1090</f>
        <v>0</v>
      </c>
      <c r="V1090" s="272">
        <f>+'NI-San_SP'!V1090+'NI-Soc_SP'!V1090+'NI-Ric_SP'!V1090</f>
        <v>0</v>
      </c>
      <c r="W1090" s="211"/>
      <c r="X1090" s="211"/>
      <c r="Y1090" s="211"/>
      <c r="Z1090" s="211"/>
      <c r="AA1090" s="211"/>
    </row>
    <row r="1091" spans="1:27" x14ac:dyDescent="0.25">
      <c r="A1091" s="204"/>
      <c r="B1091" s="246" t="s">
        <v>2738</v>
      </c>
      <c r="C1091" s="284" t="s">
        <v>2739</v>
      </c>
      <c r="D1091" s="274" t="s">
        <v>4163</v>
      </c>
      <c r="E1091" s="274"/>
      <c r="F1091" s="274"/>
      <c r="G1091" s="283"/>
      <c r="H1091" s="266"/>
      <c r="I1091" s="427"/>
      <c r="J1091" s="281"/>
      <c r="K1091" s="281"/>
      <c r="L1091" s="422" t="s">
        <v>4164</v>
      </c>
      <c r="M1091" s="284" t="s">
        <v>2962</v>
      </c>
      <c r="N1091" s="408">
        <f>+R1091</f>
        <v>0</v>
      </c>
      <c r="O1091" s="408">
        <f>V1091</f>
        <v>0</v>
      </c>
      <c r="P1091" s="271">
        <f>+O1091-N1091</f>
        <v>0</v>
      </c>
      <c r="Q1091" s="272">
        <f>+'NI-San_SP'!R1091+'NI-Soc_SP'!Q1091+'NI-Ric_SP'!Q1091</f>
        <v>0</v>
      </c>
      <c r="R1091" s="272">
        <f>+'NI-San_SP'!R1091+'NI-Soc_SP'!R1091+'NI-Ric_SP'!R1091</f>
        <v>0</v>
      </c>
      <c r="S1091" s="272">
        <f>+'NI-San_SP'!T1091+'NI-Soc_SP'!S1091+'NI-Ric_SP'!S1091</f>
        <v>0</v>
      </c>
      <c r="T1091" s="272">
        <f>+'NI-San_SP'!U1091+'NI-Soc_SP'!T1091+'NI-Ric_SP'!T1091</f>
        <v>0</v>
      </c>
      <c r="U1091" s="272">
        <f>+'NI-San_SP'!V1091+'NI-Soc_SP'!U1091+'NI-Ric_SP'!U1091</f>
        <v>0</v>
      </c>
      <c r="V1091" s="272">
        <f>+'NI-San_SP'!V1091+'NI-Soc_SP'!V1091+'NI-Ric_SP'!V1091</f>
        <v>0</v>
      </c>
    </row>
    <row r="1092" spans="1:27" x14ac:dyDescent="0.25">
      <c r="A1092" s="204"/>
      <c r="B1092" s="246" t="s">
        <v>2740</v>
      </c>
      <c r="C1092" s="284" t="s">
        <v>2741</v>
      </c>
      <c r="D1092" s="274" t="s">
        <v>4165</v>
      </c>
      <c r="E1092" s="274"/>
      <c r="F1092" s="274"/>
      <c r="G1092" s="283"/>
      <c r="H1092" s="266"/>
      <c r="I1092" s="427"/>
      <c r="J1092" s="281"/>
      <c r="K1092" s="281"/>
      <c r="L1092" s="422" t="s">
        <v>4166</v>
      </c>
      <c r="M1092" s="284" t="s">
        <v>2962</v>
      </c>
      <c r="N1092" s="354"/>
      <c r="O1092" s="354"/>
      <c r="P1092" s="354"/>
      <c r="Q1092" s="354"/>
      <c r="R1092" s="354">
        <f>+'NI-San_SP'!R1092+'NI-Soc_SP'!R1092+'NI-Ric_SP'!R1092</f>
        <v>0</v>
      </c>
      <c r="S1092" s="354"/>
      <c r="T1092" s="354"/>
      <c r="U1092" s="354"/>
      <c r="V1092" s="354"/>
    </row>
    <row r="1093" spans="1:27" x14ac:dyDescent="0.25">
      <c r="A1093" s="204"/>
      <c r="B1093" s="246" t="s">
        <v>2742</v>
      </c>
      <c r="C1093" s="284" t="s">
        <v>2743</v>
      </c>
      <c r="D1093" s="274" t="s">
        <v>4167</v>
      </c>
      <c r="E1093" s="274"/>
      <c r="F1093" s="274"/>
      <c r="G1093" s="283"/>
      <c r="H1093" s="266"/>
      <c r="I1093" s="427"/>
      <c r="J1093" s="281"/>
      <c r="K1093" s="281"/>
      <c r="L1093" s="430" t="s">
        <v>4168</v>
      </c>
      <c r="M1093" s="284" t="s">
        <v>2962</v>
      </c>
      <c r="N1093" s="408">
        <f>+R1093</f>
        <v>0</v>
      </c>
      <c r="O1093" s="408">
        <f>V1093</f>
        <v>0</v>
      </c>
      <c r="P1093" s="271">
        <f>+O1093-N1093</f>
        <v>0</v>
      </c>
      <c r="Q1093" s="272">
        <f>+'NI-San_SP'!R1093+'NI-Soc_SP'!Q1093+'NI-Ric_SP'!Q1093</f>
        <v>0</v>
      </c>
      <c r="R1093" s="272">
        <f>+'NI-San_SP'!R1093+'NI-Soc_SP'!R1093+'NI-Ric_SP'!R1093</f>
        <v>0</v>
      </c>
      <c r="S1093" s="272">
        <f>+'NI-San_SP'!T1093+'NI-Soc_SP'!S1093+'NI-Ric_SP'!S1093</f>
        <v>0</v>
      </c>
      <c r="T1093" s="272">
        <f>+'NI-San_SP'!U1093+'NI-Soc_SP'!T1093+'NI-Ric_SP'!T1093</f>
        <v>0</v>
      </c>
      <c r="U1093" s="272">
        <f>+'NI-San_SP'!V1093+'NI-Soc_SP'!U1093+'NI-Ric_SP'!U1093</f>
        <v>0</v>
      </c>
      <c r="V1093" s="272">
        <f>+'NI-San_SP'!V1093+'NI-Soc_SP'!V1093+'NI-Ric_SP'!V1093</f>
        <v>0</v>
      </c>
    </row>
    <row r="1094" spans="1:27" x14ac:dyDescent="0.25">
      <c r="A1094" s="204"/>
      <c r="B1094" s="246" t="s">
        <v>2744</v>
      </c>
      <c r="C1094" s="284" t="s">
        <v>2745</v>
      </c>
      <c r="D1094" s="274" t="s">
        <v>4169</v>
      </c>
      <c r="E1094" s="274"/>
      <c r="F1094" s="274"/>
      <c r="G1094" s="283"/>
      <c r="H1094" s="266"/>
      <c r="I1094" s="427"/>
      <c r="J1094" s="281"/>
      <c r="K1094" s="281"/>
      <c r="L1094" s="430" t="s">
        <v>4170</v>
      </c>
      <c r="M1094" s="284" t="s">
        <v>2962</v>
      </c>
      <c r="N1094" s="408">
        <f>+R1094</f>
        <v>0</v>
      </c>
      <c r="O1094" s="408">
        <f>V1094</f>
        <v>0</v>
      </c>
      <c r="P1094" s="271">
        <f>+O1094-N1094</f>
        <v>0</v>
      </c>
      <c r="Q1094" s="272">
        <f>+'NI-San_SP'!R1094+'NI-Soc_SP'!Q1094+'NI-Ric_SP'!Q1094</f>
        <v>0</v>
      </c>
      <c r="R1094" s="272">
        <f>+'NI-San_SP'!R1094+'NI-Soc_SP'!R1094+'NI-Ric_SP'!R1094</f>
        <v>0</v>
      </c>
      <c r="S1094" s="272">
        <f>+'NI-San_SP'!T1094+'NI-Soc_SP'!S1094+'NI-Ric_SP'!S1094</f>
        <v>0</v>
      </c>
      <c r="T1094" s="272">
        <f>+'NI-San_SP'!U1094+'NI-Soc_SP'!T1094+'NI-Ric_SP'!T1094</f>
        <v>0</v>
      </c>
      <c r="U1094" s="272">
        <f>+'NI-San_SP'!V1094+'NI-Soc_SP'!U1094+'NI-Ric_SP'!U1094</f>
        <v>0</v>
      </c>
      <c r="V1094" s="272">
        <f>+'NI-San_SP'!V1094+'NI-Soc_SP'!V1094+'NI-Ric_SP'!V1094</f>
        <v>0</v>
      </c>
    </row>
    <row r="1095" spans="1:27" x14ac:dyDescent="0.25">
      <c r="A1095" s="204"/>
      <c r="B1095" s="246" t="s">
        <v>2746</v>
      </c>
      <c r="C1095" s="284" t="s">
        <v>2747</v>
      </c>
      <c r="D1095" s="274" t="s">
        <v>4171</v>
      </c>
      <c r="E1095" s="274"/>
      <c r="F1095" s="274"/>
      <c r="G1095" s="283"/>
      <c r="H1095" s="266"/>
      <c r="I1095" s="427"/>
      <c r="J1095" s="281"/>
      <c r="K1095" s="281"/>
      <c r="L1095" s="430" t="s">
        <v>4172</v>
      </c>
      <c r="M1095" s="284" t="s">
        <v>2962</v>
      </c>
      <c r="N1095" s="408">
        <f>+R1095</f>
        <v>0</v>
      </c>
      <c r="O1095" s="408">
        <f>V1095</f>
        <v>0</v>
      </c>
      <c r="P1095" s="271">
        <f>+O1095-N1095</f>
        <v>0</v>
      </c>
      <c r="Q1095" s="272">
        <f>+'NI-San_SP'!R1095+'NI-Soc_SP'!Q1095+'NI-Ric_SP'!Q1095</f>
        <v>0</v>
      </c>
      <c r="R1095" s="272">
        <f>+'NI-San_SP'!R1095+'NI-Soc_SP'!R1095+'NI-Ric_SP'!R1095</f>
        <v>0</v>
      </c>
      <c r="S1095" s="272">
        <f>+'NI-San_SP'!T1095+'NI-Soc_SP'!S1095+'NI-Ric_SP'!S1095</f>
        <v>0</v>
      </c>
      <c r="T1095" s="272">
        <f>+'NI-San_SP'!U1095+'NI-Soc_SP'!T1095+'NI-Ric_SP'!T1095</f>
        <v>0</v>
      </c>
      <c r="U1095" s="272">
        <f>+'NI-San_SP'!V1095+'NI-Soc_SP'!U1095+'NI-Ric_SP'!U1095</f>
        <v>0</v>
      </c>
      <c r="V1095" s="272">
        <f>+'NI-San_SP'!V1095+'NI-Soc_SP'!V1095+'NI-Ric_SP'!V1095</f>
        <v>0</v>
      </c>
    </row>
    <row r="1096" spans="1:27" x14ac:dyDescent="0.25">
      <c r="A1096" s="204"/>
      <c r="B1096" s="246" t="s">
        <v>2748</v>
      </c>
      <c r="C1096" s="284" t="s">
        <v>2749</v>
      </c>
      <c r="D1096" s="274" t="s">
        <v>4173</v>
      </c>
      <c r="E1096" s="274"/>
      <c r="F1096" s="274"/>
      <c r="G1096" s="283"/>
      <c r="H1096" s="266"/>
      <c r="I1096" s="427"/>
      <c r="J1096" s="281"/>
      <c r="K1096" s="281"/>
      <c r="L1096" s="430" t="s">
        <v>4174</v>
      </c>
      <c r="M1096" s="284" t="s">
        <v>2962</v>
      </c>
      <c r="N1096" s="408">
        <f>+R1096</f>
        <v>0</v>
      </c>
      <c r="O1096" s="408">
        <f>V1096</f>
        <v>0</v>
      </c>
      <c r="P1096" s="271">
        <f>+O1096-N1096</f>
        <v>0</v>
      </c>
      <c r="Q1096" s="272">
        <f>+'NI-San_SP'!R1096+'NI-Soc_SP'!Q1096+'NI-Ric_SP'!Q1096</f>
        <v>0</v>
      </c>
      <c r="R1096" s="272">
        <f>+'NI-San_SP'!R1096+'NI-Soc_SP'!R1096+'NI-Ric_SP'!R1096</f>
        <v>0</v>
      </c>
      <c r="S1096" s="272">
        <f>+'NI-San_SP'!T1096+'NI-Soc_SP'!S1096+'NI-Ric_SP'!S1096</f>
        <v>0</v>
      </c>
      <c r="T1096" s="272">
        <f>+'NI-San_SP'!U1096+'NI-Soc_SP'!T1096+'NI-Ric_SP'!T1096</f>
        <v>0</v>
      </c>
      <c r="U1096" s="272">
        <f>+'NI-San_SP'!V1096+'NI-Soc_SP'!U1096+'NI-Ric_SP'!U1096</f>
        <v>0</v>
      </c>
      <c r="V1096" s="272">
        <f>+'NI-San_SP'!V1096+'NI-Soc_SP'!V1096+'NI-Ric_SP'!V1096</f>
        <v>0</v>
      </c>
    </row>
  </sheetData>
  <sheetProtection password="9E7F" sheet="1" objects="1" scenarios="1"/>
  <mergeCells count="70">
    <mergeCell ref="L6:N6"/>
    <mergeCell ref="S486:U486"/>
    <mergeCell ref="AE486:AI486"/>
    <mergeCell ref="AJ486:AL486"/>
    <mergeCell ref="S594:U594"/>
    <mergeCell ref="AF594:AJ594"/>
    <mergeCell ref="AK594:AM594"/>
    <mergeCell ref="S616:U616"/>
    <mergeCell ref="AF616:AJ616"/>
    <mergeCell ref="AK616:AM616"/>
    <mergeCell ref="S651:T651"/>
    <mergeCell ref="AF651:AJ651"/>
    <mergeCell ref="AK651:AM651"/>
    <mergeCell ref="S658:U658"/>
    <mergeCell ref="AF658:AJ658"/>
    <mergeCell ref="AK658:AM658"/>
    <mergeCell ref="S687:T687"/>
    <mergeCell ref="AF687:AJ687"/>
    <mergeCell ref="AK687:AM687"/>
    <mergeCell ref="S695:U695"/>
    <mergeCell ref="AF695:AJ695"/>
    <mergeCell ref="AK695:AM695"/>
    <mergeCell ref="S704:U704"/>
    <mergeCell ref="AF704:AJ704"/>
    <mergeCell ref="AK704:AM704"/>
    <mergeCell ref="AA793:AC793"/>
    <mergeCell ref="U908:V908"/>
    <mergeCell ref="X908:Y908"/>
    <mergeCell ref="AC908:AG908"/>
    <mergeCell ref="AH908:AJ908"/>
    <mergeCell ref="U915:V915"/>
    <mergeCell ref="X915:Y915"/>
    <mergeCell ref="AC915:AG915"/>
    <mergeCell ref="AH915:AJ915"/>
    <mergeCell ref="U925:V925"/>
    <mergeCell ref="X925:Y925"/>
    <mergeCell ref="AC925:AG925"/>
    <mergeCell ref="AH925:AJ925"/>
    <mergeCell ref="U940:V940"/>
    <mergeCell ref="X940:Y940"/>
    <mergeCell ref="AC940:AG940"/>
    <mergeCell ref="AH940:AJ940"/>
    <mergeCell ref="U946:V946"/>
    <mergeCell ref="X946:Y946"/>
    <mergeCell ref="AC946:AG946"/>
    <mergeCell ref="AH946:AJ946"/>
    <mergeCell ref="U988:V988"/>
    <mergeCell ref="X988:Y988"/>
    <mergeCell ref="AC988:AG988"/>
    <mergeCell ref="AH988:AJ988"/>
    <mergeCell ref="AC1024:AG1024"/>
    <mergeCell ref="AH1024:AJ1024"/>
    <mergeCell ref="U1001:V1001"/>
    <mergeCell ref="X1001:Y1001"/>
    <mergeCell ref="AC1001:AG1001"/>
    <mergeCell ref="AH1001:AJ1001"/>
    <mergeCell ref="U1016:V1016"/>
    <mergeCell ref="X1016:Y1016"/>
    <mergeCell ref="AC1016:AG1016"/>
    <mergeCell ref="AH1016:AJ1016"/>
    <mergeCell ref="U1032:V1032"/>
    <mergeCell ref="X1032:Y1032"/>
    <mergeCell ref="AC1032:AG1032"/>
    <mergeCell ref="AH1032:AJ1032"/>
    <mergeCell ref="U1020:V1020"/>
    <mergeCell ref="X1020:Y1020"/>
    <mergeCell ref="AC1020:AG1020"/>
    <mergeCell ref="AH1020:AJ1020"/>
    <mergeCell ref="U1024:V1024"/>
    <mergeCell ref="X1024:Y1024"/>
  </mergeCells>
  <conditionalFormatting sqref="S888:V888">
    <cfRule type="cellIs" dxfId="45" priority="1" stopIfTrue="1" operator="notEqual">
      <formula>""</formula>
    </cfRule>
  </conditionalFormatting>
  <conditionalFormatting sqref="N901:P901 N898:P898 X905:AA905 N904:P905">
    <cfRule type="cellIs" dxfId="44" priority="2" stopIfTrue="1" operator="equal">
      <formula>"Errore!"</formula>
    </cfRule>
  </conditionalFormatting>
  <conditionalFormatting sqref="W905">
    <cfRule type="cellIs" dxfId="43" priority="3" stopIfTrue="1" operator="equal">
      <formula>"Errore!"</formula>
    </cfRule>
  </conditionalFormatting>
  <dataValidations count="1">
    <dataValidation type="whole" allowBlank="1" showErrorMessage="1" error="La cella accetta solo valori positivi fino a 9.999.999" sqref="P613 P839 P842 P851 P869 P985 P997 P1073">
      <formula1>0</formula1>
      <formula2>9999999</formula2>
    </dataValidation>
  </dataValidations>
  <pageMargins left="0.37013888888888891" right="0.25" top="0.30972222222222223" bottom="0.32013888888888886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096"/>
  <sheetViews>
    <sheetView showGridLines="0" tabSelected="1" topLeftCell="B1000" zoomScale="90" zoomScaleNormal="90" zoomScaleSheetLayoutView="50" workbookViewId="0">
      <selection activeCell="L1003" sqref="L1003"/>
    </sheetView>
  </sheetViews>
  <sheetFormatPr defaultRowHeight="15" x14ac:dyDescent="0.25"/>
  <cols>
    <col min="1" max="1" width="28.28515625" hidden="1" customWidth="1"/>
    <col min="2" max="2" width="17.42578125" customWidth="1"/>
    <col min="3" max="3" width="39.28515625" customWidth="1"/>
    <col min="4" max="4" width="20" hidden="1" customWidth="1"/>
    <col min="5" max="5" width="10.28515625" hidden="1" customWidth="1"/>
    <col min="6" max="6" width="12.5703125" hidden="1" customWidth="1"/>
    <col min="7" max="7" width="9.7109375" hidden="1" customWidth="1"/>
    <col min="8" max="8" width="8.85546875" hidden="1" customWidth="1"/>
    <col min="9" max="9" width="12" hidden="1" customWidth="1"/>
    <col min="10" max="10" width="7.42578125" hidden="1" customWidth="1"/>
    <col min="11" max="11" width="12.5703125" hidden="1" customWidth="1"/>
    <col min="12" max="12" width="70.5703125" style="197" customWidth="1"/>
    <col min="13" max="13" width="2.85546875" customWidth="1"/>
    <col min="14" max="14" width="13.42578125" customWidth="1"/>
    <col min="15" max="15" width="14.42578125" customWidth="1"/>
    <col min="16" max="16" width="13.85546875" customWidth="1"/>
    <col min="17" max="17" width="21.85546875" hidden="1" customWidth="1"/>
    <col min="18" max="18" width="15.28515625" customWidth="1"/>
    <col min="19" max="19" width="17" customWidth="1"/>
    <col min="20" max="21" width="15.140625" customWidth="1"/>
    <col min="22" max="22" width="19.5703125" customWidth="1"/>
    <col min="23" max="27" width="15" customWidth="1"/>
    <col min="28" max="28" width="18.140625" customWidth="1"/>
    <col min="29" max="29" width="15.28515625" customWidth="1"/>
    <col min="30" max="33" width="14.28515625" customWidth="1"/>
    <col min="34" max="36" width="13.5703125" customWidth="1"/>
    <col min="37" max="37" width="14.7109375" customWidth="1"/>
    <col min="38" max="38" width="13.28515625" customWidth="1"/>
    <col min="39" max="42" width="9.140625" style="204" customWidth="1"/>
  </cols>
  <sheetData>
    <row r="1" spans="1:38" s="204" customFormat="1" x14ac:dyDescent="0.25">
      <c r="B1" s="199"/>
      <c r="C1" s="199"/>
      <c r="D1" s="200">
        <v>1</v>
      </c>
      <c r="E1" s="201"/>
      <c r="F1" s="200"/>
      <c r="G1" s="201"/>
      <c r="H1" s="200"/>
      <c r="I1" s="201"/>
      <c r="J1" s="200">
        <v>7</v>
      </c>
      <c r="K1" s="201">
        <v>8</v>
      </c>
      <c r="L1" s="200">
        <v>9</v>
      </c>
      <c r="M1" s="201">
        <v>10</v>
      </c>
      <c r="N1" s="200">
        <v>11</v>
      </c>
      <c r="O1" s="201">
        <v>12</v>
      </c>
      <c r="P1" s="200">
        <v>13</v>
      </c>
      <c r="Q1" s="201">
        <v>14</v>
      </c>
      <c r="R1" s="216"/>
      <c r="S1" s="216"/>
      <c r="T1" s="216"/>
      <c r="U1" s="216"/>
      <c r="V1" s="201"/>
      <c r="W1" s="516"/>
      <c r="X1" s="516"/>
      <c r="Y1" s="516"/>
      <c r="Z1" s="201"/>
      <c r="AA1" s="516"/>
      <c r="AB1" s="201"/>
      <c r="AC1" s="516"/>
      <c r="AD1" s="201"/>
      <c r="AE1" s="516"/>
      <c r="AF1" s="201"/>
      <c r="AG1" s="516"/>
      <c r="AH1" s="201"/>
      <c r="AI1" s="516"/>
      <c r="AJ1" s="201"/>
      <c r="AK1" s="516"/>
      <c r="AL1" s="201"/>
    </row>
    <row r="2" spans="1:38" s="204" customFormat="1" hidden="1" x14ac:dyDescent="0.25">
      <c r="A2" s="203"/>
      <c r="B2"/>
      <c r="C2"/>
      <c r="D2"/>
      <c r="E2"/>
      <c r="F2"/>
      <c r="G2"/>
      <c r="H2"/>
      <c r="I2"/>
      <c r="J2"/>
      <c r="K2"/>
      <c r="L2" s="197"/>
      <c r="M2"/>
      <c r="N2">
        <v>0</v>
      </c>
      <c r="O2">
        <v>0</v>
      </c>
      <c r="P2">
        <v>0</v>
      </c>
      <c r="Q2"/>
      <c r="R2" s="216"/>
      <c r="S2" s="216"/>
      <c r="T2" s="216"/>
      <c r="U2" s="216"/>
      <c r="V2"/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</row>
    <row r="3" spans="1:38" s="204" customFormat="1" hidden="1" x14ac:dyDescent="0.25">
      <c r="A3" s="203"/>
      <c r="B3"/>
      <c r="C3"/>
      <c r="D3"/>
      <c r="E3"/>
      <c r="F3"/>
      <c r="G3"/>
      <c r="H3"/>
      <c r="I3"/>
      <c r="J3"/>
      <c r="K3"/>
      <c r="L3" s="197"/>
      <c r="M3"/>
      <c r="N3">
        <v>0</v>
      </c>
      <c r="O3">
        <v>0</v>
      </c>
      <c r="P3">
        <v>0</v>
      </c>
      <c r="Q3"/>
      <c r="R3" s="216"/>
      <c r="S3" s="216"/>
      <c r="T3" s="216"/>
      <c r="U3" s="216"/>
      <c r="V3"/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38" s="204" customFormat="1" hidden="1" x14ac:dyDescent="0.25">
      <c r="A4" s="203"/>
      <c r="B4"/>
      <c r="C4"/>
      <c r="D4"/>
      <c r="E4"/>
      <c r="F4"/>
      <c r="G4"/>
      <c r="H4"/>
      <c r="I4"/>
      <c r="J4"/>
      <c r="K4"/>
      <c r="L4" s="197"/>
      <c r="M4"/>
      <c r="N4">
        <v>0</v>
      </c>
      <c r="O4">
        <v>0</v>
      </c>
      <c r="P4">
        <v>0</v>
      </c>
      <c r="Q4"/>
      <c r="R4" s="216"/>
      <c r="S4" s="216"/>
      <c r="T4" s="216"/>
      <c r="U4" s="216"/>
      <c r="V4"/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38" s="204" customFormat="1" ht="31.5" x14ac:dyDescent="0.25">
      <c r="B5" s="205" t="s">
        <v>2956</v>
      </c>
      <c r="C5" s="205" t="s">
        <v>2956</v>
      </c>
      <c r="D5" s="206" t="s">
        <v>72</v>
      </c>
      <c r="E5" s="206"/>
      <c r="F5" s="206"/>
      <c r="G5" s="207"/>
      <c r="H5" s="207"/>
      <c r="I5" s="207"/>
      <c r="J5" s="207" t="s">
        <v>2957</v>
      </c>
      <c r="K5" s="208" t="s">
        <v>2958</v>
      </c>
      <c r="L5" s="209" t="str">
        <f>"Tabelle allegate alla nota integrativa di: "&amp;Info!C2&amp;" Stato patrimoniale al 31/12/"&amp;Info!B3</f>
        <v>Tabelle allegate alla nota integrativa di: ASST DI CREMONA Stato patrimoniale al 31/12/2020</v>
      </c>
      <c r="M5" s="210"/>
      <c r="N5" s="210"/>
      <c r="O5" s="211"/>
      <c r="P5" s="211"/>
      <c r="Q5" s="203"/>
      <c r="R5" s="216"/>
      <c r="S5" s="216"/>
      <c r="T5" s="216"/>
      <c r="U5" s="216"/>
      <c r="V5" s="211"/>
      <c r="W5" s="211"/>
      <c r="X5" s="211"/>
      <c r="Y5" s="211"/>
      <c r="Z5" s="211"/>
      <c r="AA5" s="211"/>
    </row>
    <row r="6" spans="1:38" s="204" customFormat="1" ht="15.75" x14ac:dyDescent="0.25">
      <c r="B6" s="213"/>
      <c r="C6" s="213"/>
      <c r="D6" s="213"/>
      <c r="E6" s="213"/>
      <c r="F6" s="213"/>
      <c r="G6" s="213"/>
      <c r="H6" s="214"/>
      <c r="I6" s="213"/>
      <c r="J6" s="213"/>
      <c r="K6" s="213"/>
      <c r="L6" s="912" t="s">
        <v>4175</v>
      </c>
      <c r="M6" s="912"/>
      <c r="N6" s="912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</row>
    <row r="7" spans="1:38" s="204" customFormat="1" ht="18" x14ac:dyDescent="0.25">
      <c r="B7" s="213"/>
      <c r="C7" s="213"/>
      <c r="D7" s="213"/>
      <c r="E7" s="213"/>
      <c r="F7" s="213"/>
      <c r="G7" s="213"/>
      <c r="H7" s="214"/>
      <c r="I7" s="213"/>
      <c r="J7" s="213"/>
      <c r="K7" s="213"/>
      <c r="L7" s="215" t="s">
        <v>2960</v>
      </c>
      <c r="M7" s="210"/>
      <c r="N7" s="216"/>
      <c r="O7" s="216"/>
      <c r="P7" s="216"/>
      <c r="Q7" s="211"/>
      <c r="R7" s="216"/>
      <c r="S7" s="216"/>
      <c r="T7" s="216"/>
      <c r="U7" s="216"/>
      <c r="V7" s="216"/>
      <c r="W7" s="211"/>
      <c r="X7" s="211"/>
      <c r="Y7" s="211"/>
      <c r="Z7" s="211"/>
      <c r="AA7" s="211"/>
    </row>
    <row r="8" spans="1:38" s="204" customFormat="1" ht="18" x14ac:dyDescent="0.25">
      <c r="B8" s="213"/>
      <c r="C8" s="213"/>
      <c r="D8" s="213"/>
      <c r="E8" s="213"/>
      <c r="F8" s="213"/>
      <c r="G8" s="213"/>
      <c r="H8" s="214"/>
      <c r="I8" s="213"/>
      <c r="J8" s="213"/>
      <c r="K8" s="213"/>
      <c r="L8" s="215"/>
      <c r="M8" s="210"/>
      <c r="N8" s="216"/>
      <c r="O8" s="216"/>
      <c r="P8" s="216"/>
      <c r="Q8" s="211"/>
      <c r="R8" s="216"/>
      <c r="S8" s="216"/>
      <c r="T8" s="216"/>
      <c r="U8" s="216"/>
      <c r="V8" s="216"/>
      <c r="W8" s="211"/>
      <c r="X8" s="211"/>
      <c r="Y8" s="211"/>
      <c r="Z8" s="211"/>
      <c r="AA8" s="211"/>
    </row>
    <row r="9" spans="1:38" s="204" customFormat="1" ht="18" x14ac:dyDescent="0.25">
      <c r="B9" s="217"/>
      <c r="C9" s="217"/>
      <c r="D9" s="213"/>
      <c r="E9" s="213"/>
      <c r="F9" s="213"/>
      <c r="G9" s="213"/>
      <c r="H9" s="214"/>
      <c r="I9" s="213"/>
      <c r="J9" s="213"/>
      <c r="K9" s="213"/>
      <c r="L9" s="215"/>
      <c r="M9" s="210"/>
      <c r="N9" s="216"/>
      <c r="O9" s="216"/>
      <c r="P9" s="216"/>
      <c r="Q9" s="211"/>
      <c r="R9" s="216"/>
      <c r="S9" s="216"/>
      <c r="T9" s="216"/>
      <c r="U9" s="216"/>
      <c r="V9" s="216"/>
      <c r="W9" s="211"/>
      <c r="X9" s="211"/>
      <c r="Y9" s="211"/>
      <c r="Z9" s="211"/>
      <c r="AA9" s="211"/>
    </row>
    <row r="10" spans="1:38" s="204" customFormat="1" x14ac:dyDescent="0.25">
      <c r="B10" s="218"/>
      <c r="C10" s="218" t="s">
        <v>109</v>
      </c>
      <c r="D10" s="219" t="s">
        <v>2961</v>
      </c>
      <c r="E10" s="219"/>
      <c r="F10" s="219"/>
      <c r="G10" s="219"/>
      <c r="H10" s="220"/>
      <c r="I10" s="219"/>
      <c r="J10" s="219"/>
      <c r="K10" s="219"/>
      <c r="L10" s="221" t="s">
        <v>112</v>
      </c>
      <c r="M10" s="222" t="s">
        <v>2962</v>
      </c>
      <c r="N10" s="223">
        <f>+N13+N512+N746</f>
        <v>213910168</v>
      </c>
      <c r="O10" s="223">
        <f>+O13+O512+O746</f>
        <v>232309840</v>
      </c>
      <c r="P10" s="223">
        <f>+O10-N10</f>
        <v>18399672</v>
      </c>
      <c r="Q10" s="211"/>
      <c r="R10" s="216">
        <f>O10-O790</f>
        <v>0</v>
      </c>
      <c r="S10" s="224">
        <f>S13+S512+S746+S766</f>
        <v>0</v>
      </c>
      <c r="T10" s="225" t="str">
        <f>IF(S10&lt;&gt;0,"SQUADRATURA ATTIVO  PER GIROCONTI SU NUOVI CONTI SP","")</f>
        <v/>
      </c>
      <c r="U10" s="216"/>
      <c r="V10" s="216"/>
      <c r="W10" s="211"/>
      <c r="X10" s="211"/>
      <c r="Y10" s="211"/>
      <c r="Z10" s="211"/>
      <c r="AA10" s="211"/>
    </row>
    <row r="11" spans="1:38" s="204" customFormat="1" x14ac:dyDescent="0.25">
      <c r="B11" s="216"/>
      <c r="C11" s="216"/>
      <c r="D11" s="226"/>
      <c r="E11" s="226"/>
      <c r="F11" s="226"/>
      <c r="G11" s="226"/>
      <c r="H11" s="227"/>
      <c r="I11" s="226"/>
      <c r="J11" s="226"/>
      <c r="K11" s="226"/>
      <c r="L11" s="228"/>
      <c r="M11" s="229"/>
      <c r="N11" s="216"/>
      <c r="O11" s="216"/>
      <c r="P11" s="216"/>
      <c r="Q11" s="211"/>
      <c r="R11" s="216"/>
      <c r="S11" s="216"/>
      <c r="T11" s="216"/>
      <c r="U11" s="216"/>
      <c r="V11" s="216"/>
      <c r="W11" s="211"/>
      <c r="X11" s="211"/>
      <c r="Y11" s="211"/>
      <c r="Z11" s="211"/>
      <c r="AA11" s="211"/>
    </row>
    <row r="12" spans="1:38" s="204" customFormat="1" x14ac:dyDescent="0.25">
      <c r="B12" s="230"/>
      <c r="C12" s="230"/>
      <c r="D12" s="230"/>
      <c r="E12" s="230"/>
      <c r="F12" s="230"/>
      <c r="G12" s="230"/>
      <c r="H12" s="231"/>
      <c r="I12" s="230"/>
      <c r="J12" s="230"/>
      <c r="K12" s="230"/>
      <c r="L12" s="232"/>
      <c r="M12" s="211"/>
      <c r="N12" s="216"/>
      <c r="O12" s="216"/>
      <c r="P12" s="216"/>
      <c r="Q12" s="211"/>
      <c r="R12" s="216"/>
      <c r="S12" s="216"/>
      <c r="T12" s="216"/>
      <c r="U12" s="216"/>
      <c r="V12" s="216"/>
      <c r="W12" s="211"/>
      <c r="X12" s="211"/>
      <c r="Y12" s="211"/>
      <c r="Z12" s="211"/>
      <c r="AA12" s="211"/>
    </row>
    <row r="13" spans="1:38" s="204" customFormat="1" x14ac:dyDescent="0.25">
      <c r="B13" s="233" t="s">
        <v>113</v>
      </c>
      <c r="C13" s="233" t="s">
        <v>114</v>
      </c>
      <c r="D13" s="234" t="s">
        <v>2963</v>
      </c>
      <c r="E13" s="234"/>
      <c r="F13" s="234"/>
      <c r="G13" s="234"/>
      <c r="H13" s="235"/>
      <c r="I13" s="234"/>
      <c r="J13" s="234"/>
      <c r="K13" s="234"/>
      <c r="L13" s="236" t="s">
        <v>115</v>
      </c>
      <c r="M13" s="237" t="s">
        <v>2962</v>
      </c>
      <c r="N13" s="238">
        <f>+N16+N186+N482</f>
        <v>102579817</v>
      </c>
      <c r="O13" s="238">
        <f>+O16+O186+O482</f>
        <v>96964471</v>
      </c>
      <c r="P13" s="239">
        <f>+O13-N13</f>
        <v>-5615346</v>
      </c>
      <c r="Q13" s="211"/>
      <c r="R13" s="240"/>
      <c r="S13" s="224">
        <f>S16+S186+S481</f>
        <v>0</v>
      </c>
      <c r="T13" s="240"/>
      <c r="U13" s="240"/>
      <c r="V13" s="240"/>
      <c r="W13" s="211"/>
      <c r="X13" s="211"/>
      <c r="Y13" s="211"/>
      <c r="Z13" s="211"/>
      <c r="AA13" s="211"/>
    </row>
    <row r="14" spans="1:38" s="204" customFormat="1" x14ac:dyDescent="0.25">
      <c r="B14" s="216"/>
      <c r="C14" s="216"/>
      <c r="D14" s="226"/>
      <c r="E14" s="226"/>
      <c r="F14" s="226"/>
      <c r="G14" s="226"/>
      <c r="H14" s="227"/>
      <c r="I14" s="226"/>
      <c r="J14" s="226"/>
      <c r="K14" s="226"/>
      <c r="L14" s="241"/>
      <c r="M14" s="242"/>
      <c r="N14" s="240"/>
      <c r="O14" s="240"/>
      <c r="P14" s="211"/>
      <c r="Q14" s="211"/>
      <c r="R14" s="240"/>
      <c r="S14" s="240"/>
      <c r="T14" s="240"/>
      <c r="U14" s="240"/>
      <c r="V14" s="240"/>
      <c r="W14" s="211"/>
      <c r="X14" s="211"/>
      <c r="Y14" s="211"/>
      <c r="Z14" s="211"/>
      <c r="AA14" s="211"/>
    </row>
    <row r="15" spans="1:38" s="204" customFormat="1" ht="26.25" x14ac:dyDescent="0.25">
      <c r="B15" s="230"/>
      <c r="C15" s="230"/>
      <c r="D15" s="230"/>
      <c r="E15" s="230"/>
      <c r="F15" s="230"/>
      <c r="G15" s="230"/>
      <c r="H15" s="231"/>
      <c r="I15" s="230"/>
      <c r="J15" s="230"/>
      <c r="K15" s="230"/>
      <c r="L15" s="243"/>
      <c r="M15" s="244"/>
      <c r="N15" s="245" t="str">
        <f>"Valore netto al 31/12/"&amp;Info!$B$3-1</f>
        <v>Valore netto al 31/12/2019</v>
      </c>
      <c r="O15" s="307" t="str">
        <f>"Valore netto al 31/12/"&amp;Info!B3</f>
        <v>Valore netto al 31/12/2020</v>
      </c>
      <c r="P15" s="245" t="s">
        <v>3928</v>
      </c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38" s="204" customFormat="1" x14ac:dyDescent="0.25">
      <c r="B16" s="246" t="s">
        <v>116</v>
      </c>
      <c r="C16" s="246" t="s">
        <v>117</v>
      </c>
      <c r="D16" s="247" t="s">
        <v>2964</v>
      </c>
      <c r="E16" s="247"/>
      <c r="F16" s="247"/>
      <c r="G16" s="247"/>
      <c r="H16" s="248"/>
      <c r="I16" s="247"/>
      <c r="J16" s="247"/>
      <c r="K16" s="249"/>
      <c r="L16" s="250" t="s">
        <v>118</v>
      </c>
      <c r="M16" s="251" t="s">
        <v>2962</v>
      </c>
      <c r="N16" s="252">
        <f>+N20+N36+N51+N86+N94-N159</f>
        <v>1505977</v>
      </c>
      <c r="O16" s="252">
        <f>+O20+O36+O51+O86+O94-O159</f>
        <v>1902992</v>
      </c>
      <c r="P16" s="253">
        <f>+O16-N16</f>
        <v>397015</v>
      </c>
      <c r="Q16" s="211"/>
      <c r="R16" s="211"/>
      <c r="S16" s="224">
        <f>+S20+S36+S51+T86+S94-S159</f>
        <v>0</v>
      </c>
      <c r="T16" s="225" t="str">
        <f>IF(S16&lt;&gt;0,"SQUADRATURA ATTIVO A.I. PER GIROCONTI SU NUOVI CONTI SP","")</f>
        <v/>
      </c>
      <c r="U16" s="211"/>
      <c r="V16" s="211"/>
      <c r="W16" s="517"/>
      <c r="X16" s="224">
        <f>+X20+X36+X51+X86+X94-X159</f>
        <v>-916867</v>
      </c>
      <c r="Z16" s="211"/>
      <c r="AA16" s="211"/>
      <c r="AD16" s="224">
        <f>+AD22+AD38+AD53+AD69+AD94-AE86</f>
        <v>0</v>
      </c>
      <c r="AE16" s="211" t="s">
        <v>2965</v>
      </c>
    </row>
    <row r="17" spans="2:38" s="204" customFormat="1" x14ac:dyDescent="0.25">
      <c r="B17" s="230"/>
      <c r="C17" s="230"/>
      <c r="D17" s="230"/>
      <c r="E17" s="230"/>
      <c r="F17" s="230"/>
      <c r="G17" s="230"/>
      <c r="H17" s="231"/>
      <c r="I17" s="230"/>
      <c r="J17" s="230"/>
      <c r="K17" s="230"/>
      <c r="L17" s="232"/>
      <c r="M17" s="211"/>
      <c r="N17" s="254"/>
      <c r="O17" s="211"/>
      <c r="P17" s="211"/>
      <c r="Q17" s="211"/>
      <c r="R17" s="211"/>
      <c r="S17" s="211"/>
      <c r="T17" s="211"/>
      <c r="U17" s="211"/>
      <c r="V17" s="211"/>
      <c r="W17" s="298"/>
      <c r="X17" s="211"/>
      <c r="Y17" s="211"/>
      <c r="Z17" s="211"/>
      <c r="AA17" s="211"/>
    </row>
    <row r="18" spans="2:38" s="204" customFormat="1" x14ac:dyDescent="0.25">
      <c r="B18" s="230"/>
      <c r="C18" s="230"/>
      <c r="D18" s="230"/>
      <c r="E18" s="230"/>
      <c r="F18" s="230"/>
      <c r="G18" s="230"/>
      <c r="H18" s="231"/>
      <c r="I18" s="230"/>
      <c r="J18" s="230"/>
      <c r="K18" s="230"/>
      <c r="L18" s="232"/>
      <c r="M18" s="211"/>
      <c r="N18" s="254"/>
      <c r="O18" s="211"/>
      <c r="P18" s="211"/>
      <c r="Q18" s="211"/>
      <c r="R18" s="211"/>
      <c r="S18" s="211"/>
      <c r="T18" s="211"/>
      <c r="U18" s="211"/>
      <c r="V18" s="211"/>
      <c r="W18" s="298"/>
      <c r="X18" s="211"/>
      <c r="Y18" s="211"/>
      <c r="Z18" s="211"/>
      <c r="AA18" s="211"/>
    </row>
    <row r="19" spans="2:38" s="204" customFormat="1" ht="25.5" x14ac:dyDescent="0.25">
      <c r="B19" s="230"/>
      <c r="C19" s="230"/>
      <c r="D19" s="230"/>
      <c r="E19" s="230"/>
      <c r="F19" s="230"/>
      <c r="G19" s="230"/>
      <c r="H19" s="231"/>
      <c r="I19" s="230"/>
      <c r="J19" s="230"/>
      <c r="K19" s="230"/>
      <c r="L19" s="255"/>
      <c r="M19" s="244"/>
      <c r="N19" s="518" t="str">
        <f>N$15</f>
        <v>Valore netto al 31/12/2019</v>
      </c>
      <c r="O19" s="518" t="str">
        <f>O$15</f>
        <v>Valore netto al 31/12/2020</v>
      </c>
      <c r="P19" s="518" t="str">
        <f>P$15</f>
        <v>Variazione</v>
      </c>
      <c r="Q19" s="211"/>
      <c r="R19" s="211"/>
      <c r="S19" s="211"/>
      <c r="T19" s="211"/>
      <c r="U19" s="211"/>
      <c r="V19" s="211"/>
      <c r="W19" s="298"/>
      <c r="X19" s="211"/>
      <c r="Y19" s="211"/>
      <c r="Z19" s="211"/>
      <c r="AA19" s="211"/>
    </row>
    <row r="20" spans="2:38" s="204" customFormat="1" x14ac:dyDescent="0.25">
      <c r="B20" s="246" t="s">
        <v>119</v>
      </c>
      <c r="C20" s="246" t="s">
        <v>120</v>
      </c>
      <c r="D20" s="247" t="s">
        <v>2966</v>
      </c>
      <c r="E20" s="247"/>
      <c r="F20" s="247"/>
      <c r="G20" s="247"/>
      <c r="H20" s="248"/>
      <c r="I20" s="247"/>
      <c r="J20" s="247"/>
      <c r="K20" s="249"/>
      <c r="L20" s="257" t="s">
        <v>122</v>
      </c>
      <c r="M20" s="251" t="s">
        <v>2962</v>
      </c>
      <c r="N20" s="252">
        <f>+N22-N28</f>
        <v>0</v>
      </c>
      <c r="O20" s="252">
        <f>+O22-O28</f>
        <v>0</v>
      </c>
      <c r="P20" s="253">
        <f>+O20-N20</f>
        <v>0</v>
      </c>
      <c r="Q20" s="211"/>
      <c r="R20" s="211"/>
      <c r="S20" s="252">
        <f>+S22-S28</f>
        <v>0</v>
      </c>
      <c r="T20" s="211"/>
      <c r="U20" s="211"/>
      <c r="V20" s="211"/>
      <c r="W20" s="517"/>
      <c r="X20" s="252">
        <f>+X22-X28</f>
        <v>0</v>
      </c>
      <c r="Y20" s="211"/>
      <c r="Z20" s="211"/>
      <c r="AA20" s="211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</row>
    <row r="21" spans="2:38" s="204" customFormat="1" x14ac:dyDescent="0.25">
      <c r="B21" s="230"/>
      <c r="C21" s="230"/>
      <c r="D21" s="230"/>
      <c r="E21" s="230"/>
      <c r="F21" s="230"/>
      <c r="G21" s="230"/>
      <c r="H21" s="231"/>
      <c r="I21" s="230"/>
      <c r="J21" s="230"/>
      <c r="K21" s="230"/>
      <c r="L21" s="232"/>
      <c r="M21" s="211"/>
      <c r="N21" s="254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2:38" s="204" customFormat="1" x14ac:dyDescent="0.25">
      <c r="B22" s="246" t="s">
        <v>123</v>
      </c>
      <c r="C22" s="246" t="s">
        <v>124</v>
      </c>
      <c r="D22" s="247" t="s">
        <v>2967</v>
      </c>
      <c r="E22" s="247"/>
      <c r="F22" s="247"/>
      <c r="G22" s="247"/>
      <c r="H22" s="248"/>
      <c r="I22" s="247"/>
      <c r="J22" s="247"/>
      <c r="K22" s="249"/>
      <c r="L22" s="258" t="s">
        <v>127</v>
      </c>
      <c r="M22" s="251" t="s">
        <v>2962</v>
      </c>
      <c r="N22" s="252">
        <f>SUM(N25:N26)</f>
        <v>79200</v>
      </c>
      <c r="O22" s="252">
        <f>SUM(O25:O26)</f>
        <v>79200</v>
      </c>
      <c r="P22" s="259">
        <f>+O22-N22</f>
        <v>0</v>
      </c>
      <c r="Q22" s="252">
        <f>SUM(Q25:Q26)</f>
        <v>0</v>
      </c>
      <c r="R22" s="252">
        <f>SUM(R25:R26)</f>
        <v>79200</v>
      </c>
      <c r="S22" s="252">
        <f>SUM(S25:S26)</f>
        <v>0</v>
      </c>
      <c r="T22" s="252">
        <f>SUM(T25:T26)</f>
        <v>0</v>
      </c>
      <c r="U22" s="252">
        <f>SUM(U25:U26)</f>
        <v>0</v>
      </c>
      <c r="W22" s="252">
        <f>SUM(W25:W26)</f>
        <v>0</v>
      </c>
      <c r="X22" s="252">
        <f>SUM(X25:X26)</f>
        <v>0</v>
      </c>
      <c r="Y22" s="252">
        <f>SUM(Y25:Y26)</f>
        <v>0</v>
      </c>
      <c r="Z22" s="252">
        <f>SUM(AA25:AA26)</f>
        <v>0</v>
      </c>
      <c r="AA22" s="252">
        <f>SUM(Z25:Z26)</f>
        <v>0</v>
      </c>
      <c r="AB22" s="252">
        <f>SUM(AB25:AB26)</f>
        <v>0</v>
      </c>
      <c r="AC22" s="252">
        <f>SUM(AC25:AC26)</f>
        <v>0</v>
      </c>
      <c r="AD22" s="252">
        <f>SUM(AD25:AD26)</f>
        <v>0</v>
      </c>
      <c r="AE22" s="252">
        <f>SUM(AE25:AE26)</f>
        <v>0</v>
      </c>
    </row>
    <row r="23" spans="2:38" s="204" customFormat="1" x14ac:dyDescent="0.25">
      <c r="B23" s="230"/>
      <c r="C23" s="230"/>
      <c r="D23" s="230"/>
      <c r="E23" s="230"/>
      <c r="F23" s="230"/>
      <c r="G23" s="230"/>
      <c r="H23" s="231"/>
      <c r="I23" s="230"/>
      <c r="J23" s="230"/>
      <c r="K23" s="230"/>
      <c r="L23" s="232"/>
      <c r="M23" s="211"/>
      <c r="N23" s="254"/>
      <c r="O23" s="211"/>
      <c r="P23" s="211"/>
      <c r="Q23" s="211"/>
      <c r="W23" s="211"/>
      <c r="X23" s="211"/>
      <c r="Y23" s="211"/>
      <c r="Z23" s="211"/>
      <c r="AA23" s="211"/>
      <c r="AB23" s="211"/>
      <c r="AC23" s="211"/>
      <c r="AD23" s="211"/>
      <c r="AE23" s="211"/>
    </row>
    <row r="24" spans="2:38" s="204" customFormat="1" ht="51" x14ac:dyDescent="0.25">
      <c r="B24" s="260" t="s">
        <v>2968</v>
      </c>
      <c r="C24" s="260" t="s">
        <v>2969</v>
      </c>
      <c r="D24" s="206" t="s">
        <v>72</v>
      </c>
      <c r="E24" s="206"/>
      <c r="F24" s="206"/>
      <c r="G24" s="207"/>
      <c r="H24" s="207"/>
      <c r="I24" s="207"/>
      <c r="J24" s="207" t="s">
        <v>2957</v>
      </c>
      <c r="K24" s="206" t="s">
        <v>82</v>
      </c>
      <c r="L24" s="261" t="s">
        <v>2970</v>
      </c>
      <c r="M24" s="260"/>
      <c r="N24" s="256" t="str">
        <f>N$15</f>
        <v>Valore netto al 31/12/2019</v>
      </c>
      <c r="O24" s="256" t="str">
        <f>O$15</f>
        <v>Valore netto al 31/12/2020</v>
      </c>
      <c r="P24" s="256" t="str">
        <f>P$15</f>
        <v>Variazione</v>
      </c>
      <c r="Q24" s="262" t="s">
        <v>2971</v>
      </c>
      <c r="R24" s="262" t="str">
        <f>"Costo storico al 31/12/"&amp;Info!$B$3-1</f>
        <v>Costo storico al 31/12/2019</v>
      </c>
      <c r="S24" s="262" t="s">
        <v>2972</v>
      </c>
      <c r="T24" s="262" t="s">
        <v>2973</v>
      </c>
      <c r="U24" s="262" t="s">
        <v>2974</v>
      </c>
      <c r="W24" s="262" t="s">
        <v>2975</v>
      </c>
      <c r="X24" s="262" t="s">
        <v>2976</v>
      </c>
      <c r="Y24" s="262" t="s">
        <v>2977</v>
      </c>
      <c r="Z24" s="262" t="s">
        <v>2978</v>
      </c>
      <c r="AA24" s="262" t="s">
        <v>2979</v>
      </c>
      <c r="AB24" s="262" t="s">
        <v>2980</v>
      </c>
      <c r="AC24" s="262" t="s">
        <v>2981</v>
      </c>
      <c r="AD24" s="262" t="s">
        <v>2982</v>
      </c>
      <c r="AE24" s="262" t="s">
        <v>2983</v>
      </c>
    </row>
    <row r="25" spans="2:38" s="204" customFormat="1" x14ac:dyDescent="0.25">
      <c r="B25" s="263" t="s">
        <v>128</v>
      </c>
      <c r="C25" s="263" t="s">
        <v>129</v>
      </c>
      <c r="D25" s="264" t="s">
        <v>2984</v>
      </c>
      <c r="E25" s="264"/>
      <c r="F25" s="264"/>
      <c r="G25" s="265"/>
      <c r="H25" s="266"/>
      <c r="I25" s="267"/>
      <c r="J25" s="267"/>
      <c r="K25" s="267"/>
      <c r="L25" s="268" t="s">
        <v>2985</v>
      </c>
      <c r="M25" s="263" t="s">
        <v>2962</v>
      </c>
      <c r="N25" s="269">
        <f>+R25+T25-U25</f>
        <v>79200</v>
      </c>
      <c r="O25" s="270">
        <f>+N25+S25+X25+ABS(Y25)-ABS(AA25)+ABS(Z25)+ABS(AB25)+ABS(AD25)-ABS(AE25)+AC25+W25+Q25</f>
        <v>79200</v>
      </c>
      <c r="P25" s="519">
        <f>+O25-N25</f>
        <v>0</v>
      </c>
      <c r="Q25" s="520"/>
      <c r="R25" s="354">
        <f>IF(ISERROR(VLOOKUP("SAN"&amp;$C25,ESTR_PREC_SP!$A$2:$G$2000,4,FALSE))=TRUE,0,VLOOKUP("SAN"&amp;$C25,ESTR_PREC_SP!$A$2:$G$2000,4,FALSE))</f>
        <v>79200</v>
      </c>
      <c r="S25" s="521"/>
      <c r="T25" s="521"/>
      <c r="U25" s="521"/>
      <c r="W25" s="520"/>
      <c r="X25" s="520"/>
      <c r="Y25" s="520"/>
      <c r="Z25" s="520"/>
      <c r="AA25" s="520"/>
      <c r="AB25" s="520"/>
      <c r="AC25" s="520"/>
      <c r="AD25" s="520"/>
      <c r="AE25" s="520"/>
    </row>
    <row r="26" spans="2:38" s="204" customFormat="1" x14ac:dyDescent="0.25">
      <c r="B26" s="273" t="s">
        <v>131</v>
      </c>
      <c r="C26" s="273" t="s">
        <v>132</v>
      </c>
      <c r="D26" s="274" t="s">
        <v>2986</v>
      </c>
      <c r="E26" s="264"/>
      <c r="F26" s="264"/>
      <c r="G26" s="265"/>
      <c r="H26" s="266"/>
      <c r="I26" s="267"/>
      <c r="J26" s="267"/>
      <c r="K26" s="267"/>
      <c r="L26" s="268" t="s">
        <v>2987</v>
      </c>
      <c r="M26" s="263" t="s">
        <v>2962</v>
      </c>
      <c r="N26" s="269">
        <f>+R26+T26-U26</f>
        <v>0</v>
      </c>
      <c r="O26" s="270">
        <f>+N26+S26+X26+ABS(Y26)-ABS(AA26)+ABS(Z26)+ABS(AB26)+ABS(AD26)-ABS(AE26)+AC26+W26+Q26</f>
        <v>0</v>
      </c>
      <c r="P26" s="271">
        <f>+O26-N26</f>
        <v>0</v>
      </c>
      <c r="Q26" s="520"/>
      <c r="R26" s="354">
        <f>IF(ISERROR(VLOOKUP("SAN"&amp;$C26,ESTR_PREC_SP!$A$2:$G$2000,4,FALSE))=TRUE,0,VLOOKUP("SAN"&amp;$C26,ESTR_PREC_SP!$A$2:$G$2000,4,FALSE))</f>
        <v>0</v>
      </c>
      <c r="S26" s="521"/>
      <c r="T26" s="521"/>
      <c r="U26" s="521"/>
      <c r="W26" s="520"/>
      <c r="X26" s="520"/>
      <c r="Y26" s="520"/>
      <c r="Z26" s="520"/>
      <c r="AA26" s="520"/>
      <c r="AB26" s="520"/>
      <c r="AC26" s="520"/>
      <c r="AD26" s="520"/>
      <c r="AE26" s="520"/>
    </row>
    <row r="27" spans="2:38" s="204" customFormat="1" x14ac:dyDescent="0.25">
      <c r="B27" s="230"/>
      <c r="C27" s="230"/>
      <c r="D27" s="230"/>
      <c r="E27" s="230"/>
      <c r="F27" s="230"/>
      <c r="G27" s="230"/>
      <c r="H27" s="231"/>
      <c r="I27" s="230"/>
      <c r="J27" s="230"/>
      <c r="K27" s="230"/>
      <c r="L27" s="275"/>
      <c r="M27" s="211"/>
      <c r="N27" s="254"/>
      <c r="O27" s="211"/>
      <c r="P27" s="211"/>
      <c r="Q27" s="211"/>
      <c r="R27" s="211"/>
      <c r="S27" s="216"/>
      <c r="T27" s="216"/>
      <c r="U27" s="216"/>
      <c r="V27" s="216"/>
      <c r="W27" s="211"/>
      <c r="X27" s="211"/>
      <c r="Y27" s="211"/>
      <c r="Z27" s="211"/>
      <c r="AA27" s="211"/>
    </row>
    <row r="28" spans="2:38" s="204" customFormat="1" x14ac:dyDescent="0.25">
      <c r="B28" s="246" t="s">
        <v>134</v>
      </c>
      <c r="C28" s="246" t="s">
        <v>135</v>
      </c>
      <c r="D28" s="247" t="s">
        <v>2988</v>
      </c>
      <c r="E28" s="247"/>
      <c r="F28" s="247"/>
      <c r="G28" s="247"/>
      <c r="H28" s="248"/>
      <c r="I28" s="247"/>
      <c r="J28" s="247"/>
      <c r="K28" s="249"/>
      <c r="L28" s="276" t="s">
        <v>138</v>
      </c>
      <c r="M28" s="251" t="s">
        <v>2962</v>
      </c>
      <c r="N28" s="252">
        <f>SUM(N31:N32)</f>
        <v>79200</v>
      </c>
      <c r="O28" s="252">
        <f>SUM(O31:O32)</f>
        <v>79200</v>
      </c>
      <c r="P28" s="259">
        <f>+O28-N28</f>
        <v>0</v>
      </c>
      <c r="Q28" s="252">
        <f>SUM(Q31:Q32)</f>
        <v>0</v>
      </c>
      <c r="R28" s="252">
        <f>SUM(R31:R32)</f>
        <v>79200</v>
      </c>
      <c r="S28" s="252">
        <f>SUM(S31:S32)</f>
        <v>0</v>
      </c>
      <c r="V28" s="211"/>
      <c r="W28" s="252">
        <f>SUM(W31:W32)</f>
        <v>0</v>
      </c>
      <c r="X28" s="252">
        <f>SUM(X31:X32)</f>
        <v>0</v>
      </c>
      <c r="Y28" s="252">
        <f>SUM(Y31:Y32)</f>
        <v>0</v>
      </c>
      <c r="Z28" s="252">
        <f>SUM(Z31:Z32)</f>
        <v>0</v>
      </c>
      <c r="AA28" s="211"/>
    </row>
    <row r="29" spans="2:38" s="204" customFormat="1" x14ac:dyDescent="0.25">
      <c r="B29" s="230"/>
      <c r="C29" s="230"/>
      <c r="D29" s="230"/>
      <c r="E29" s="230"/>
      <c r="F29" s="230"/>
      <c r="G29" s="230"/>
      <c r="H29" s="231"/>
      <c r="I29" s="230"/>
      <c r="J29" s="230"/>
      <c r="K29" s="230"/>
      <c r="L29" s="232"/>
      <c r="M29" s="211"/>
      <c r="N29" s="211"/>
      <c r="O29" s="211"/>
      <c r="P29" s="211"/>
      <c r="Q29" s="211"/>
      <c r="V29" s="211"/>
      <c r="W29" s="211"/>
      <c r="X29" s="211"/>
      <c r="Y29" s="211"/>
      <c r="Z29" s="211"/>
      <c r="AA29" s="211"/>
    </row>
    <row r="30" spans="2:38" s="204" customFormat="1" ht="51" x14ac:dyDescent="0.25">
      <c r="B30" s="260" t="s">
        <v>2968</v>
      </c>
      <c r="C30" s="260" t="s">
        <v>2969</v>
      </c>
      <c r="D30" s="206" t="s">
        <v>72</v>
      </c>
      <c r="E30" s="206"/>
      <c r="F30" s="206"/>
      <c r="G30" s="207"/>
      <c r="H30" s="207"/>
      <c r="I30" s="207"/>
      <c r="J30" s="207" t="s">
        <v>2957</v>
      </c>
      <c r="K30" s="206" t="s">
        <v>82</v>
      </c>
      <c r="L30" s="261" t="s">
        <v>2970</v>
      </c>
      <c r="M30" s="260"/>
      <c r="N30" s="256" t="str">
        <f>N$15</f>
        <v>Valore netto al 31/12/2019</v>
      </c>
      <c r="O30" s="256" t="str">
        <f>O$15</f>
        <v>Valore netto al 31/12/2020</v>
      </c>
      <c r="P30" s="256" t="str">
        <f>P$15</f>
        <v>Variazione</v>
      </c>
      <c r="Q30" s="262" t="s">
        <v>2971</v>
      </c>
      <c r="R30" s="262" t="str">
        <f>"Fondo ammortamento 31/12/"&amp;Info!$B$3-1</f>
        <v>Fondo ammortamento 31/12/2019</v>
      </c>
      <c r="S30" s="262" t="s">
        <v>2972</v>
      </c>
      <c r="V30" s="211"/>
      <c r="W30" s="262" t="s">
        <v>2975</v>
      </c>
      <c r="X30" s="262" t="s">
        <v>2976</v>
      </c>
      <c r="Y30" s="262" t="s">
        <v>2989</v>
      </c>
      <c r="Z30" s="262" t="s">
        <v>2990</v>
      </c>
      <c r="AA30" s="211"/>
    </row>
    <row r="31" spans="2:38" s="204" customFormat="1" x14ac:dyDescent="0.25">
      <c r="B31" s="263" t="s">
        <v>139</v>
      </c>
      <c r="C31" s="263" t="s">
        <v>140</v>
      </c>
      <c r="D31" s="264" t="s">
        <v>2991</v>
      </c>
      <c r="E31" s="264"/>
      <c r="F31" s="264"/>
      <c r="G31" s="265"/>
      <c r="H31" s="266"/>
      <c r="I31" s="267"/>
      <c r="J31" s="267"/>
      <c r="K31" s="267"/>
      <c r="L31" s="268" t="s">
        <v>2992</v>
      </c>
      <c r="M31" s="263" t="s">
        <v>2962</v>
      </c>
      <c r="N31" s="269">
        <f>+R31</f>
        <v>79200</v>
      </c>
      <c r="O31" s="270">
        <f>+R31+S31+X31-ABS(Y31)+ABS(Z31)+W31+Q31</f>
        <v>79200</v>
      </c>
      <c r="P31" s="519">
        <f>+O31-N31</f>
        <v>0</v>
      </c>
      <c r="Q31" s="520"/>
      <c r="R31" s="354">
        <f>IF(ISERROR(VLOOKUP("SAN"&amp;$C31,ESTR_PREC_SP!$A$2:$G$2000,4,FALSE))=TRUE,0,VLOOKUP("SAN"&amp;$C31,ESTR_PREC_SP!$A$2:$G$2000,4,FALSE))</f>
        <v>79200</v>
      </c>
      <c r="S31" s="521"/>
      <c r="V31" s="211"/>
      <c r="W31" s="520"/>
      <c r="X31" s="520"/>
      <c r="Y31" s="520"/>
      <c r="Z31" s="520"/>
      <c r="AA31" s="211"/>
    </row>
    <row r="32" spans="2:38" s="204" customFormat="1" x14ac:dyDescent="0.25">
      <c r="B32" s="273" t="s">
        <v>142</v>
      </c>
      <c r="C32" s="273" t="s">
        <v>143</v>
      </c>
      <c r="D32" s="274" t="s">
        <v>2993</v>
      </c>
      <c r="E32" s="264"/>
      <c r="F32" s="264"/>
      <c r="G32" s="265"/>
      <c r="H32" s="266"/>
      <c r="I32" s="267"/>
      <c r="J32" s="267"/>
      <c r="K32" s="267"/>
      <c r="L32" s="268" t="s">
        <v>2994</v>
      </c>
      <c r="M32" s="263" t="s">
        <v>2962</v>
      </c>
      <c r="N32" s="269">
        <f>+R32</f>
        <v>0</v>
      </c>
      <c r="O32" s="270">
        <f>+R32+S32+X32-ABS(Y32)+ABS(Z32)+W32+Q32</f>
        <v>0</v>
      </c>
      <c r="P32" s="271">
        <f>+O32-N32</f>
        <v>0</v>
      </c>
      <c r="Q32" s="520"/>
      <c r="R32" s="354">
        <f>IF(ISERROR(VLOOKUP("SAN"&amp;$C32,ESTR_PREC_SP!$A$2:$G$2000,4,FALSE))=TRUE,0,VLOOKUP("SAN"&amp;$C32,ESTR_PREC_SP!$A$2:$G$2000,4,FALSE))</f>
        <v>0</v>
      </c>
      <c r="S32" s="521"/>
      <c r="V32" s="211"/>
      <c r="W32" s="520"/>
      <c r="X32" s="520"/>
      <c r="Y32" s="520"/>
      <c r="Z32" s="520"/>
      <c r="AA32" s="211"/>
    </row>
    <row r="33" spans="2:31" s="204" customFormat="1" x14ac:dyDescent="0.25">
      <c r="B33" s="230"/>
      <c r="C33" s="230"/>
      <c r="D33" s="230"/>
      <c r="E33" s="230"/>
      <c r="F33" s="230"/>
      <c r="G33" s="230"/>
      <c r="H33" s="231"/>
      <c r="I33" s="230"/>
      <c r="J33" s="230"/>
      <c r="K33" s="230"/>
      <c r="L33" s="232"/>
      <c r="M33" s="211"/>
      <c r="N33" s="254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2:31" s="204" customFormat="1" x14ac:dyDescent="0.25">
      <c r="B34" s="230"/>
      <c r="C34" s="230"/>
      <c r="D34" s="230"/>
      <c r="E34" s="230"/>
      <c r="F34" s="230"/>
      <c r="G34" s="230"/>
      <c r="H34" s="231"/>
      <c r="I34" s="230"/>
      <c r="J34" s="230"/>
      <c r="K34" s="230"/>
      <c r="L34" s="232"/>
      <c r="M34" s="211"/>
      <c r="N34" s="254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2:31" s="204" customFormat="1" ht="25.5" x14ac:dyDescent="0.25">
      <c r="B35" s="230"/>
      <c r="C35" s="230"/>
      <c r="D35" s="230"/>
      <c r="E35" s="230"/>
      <c r="F35" s="230"/>
      <c r="G35" s="230"/>
      <c r="H35" s="231"/>
      <c r="I35" s="230"/>
      <c r="J35" s="230"/>
      <c r="K35" s="230"/>
      <c r="L35" s="255"/>
      <c r="M35" s="244"/>
      <c r="N35" s="518" t="str">
        <f>N$15</f>
        <v>Valore netto al 31/12/2019</v>
      </c>
      <c r="O35" s="518" t="str">
        <f>O$15</f>
        <v>Valore netto al 31/12/2020</v>
      </c>
      <c r="P35" s="518" t="str">
        <f>P$15</f>
        <v>Variazione</v>
      </c>
      <c r="Q35" s="216"/>
      <c r="R35" s="216"/>
      <c r="S35" s="216"/>
      <c r="T35" s="216"/>
      <c r="U35" s="216"/>
      <c r="V35" s="216"/>
      <c r="W35" s="211"/>
      <c r="X35" s="211"/>
      <c r="Y35" s="211"/>
      <c r="Z35" s="211"/>
      <c r="AA35" s="211"/>
    </row>
    <row r="36" spans="2:31" s="204" customFormat="1" x14ac:dyDescent="0.25">
      <c r="B36" s="246" t="s">
        <v>145</v>
      </c>
      <c r="C36" s="246" t="s">
        <v>146</v>
      </c>
      <c r="D36" s="247" t="s">
        <v>2995</v>
      </c>
      <c r="E36" s="247"/>
      <c r="F36" s="247"/>
      <c r="G36" s="247"/>
      <c r="H36" s="248"/>
      <c r="I36" s="247"/>
      <c r="J36" s="247"/>
      <c r="K36" s="249"/>
      <c r="L36" s="257" t="s">
        <v>148</v>
      </c>
      <c r="M36" s="251" t="s">
        <v>2962</v>
      </c>
      <c r="N36" s="252">
        <f>+N38-N44</f>
        <v>0</v>
      </c>
      <c r="O36" s="252">
        <f>+O38-O44</f>
        <v>0</v>
      </c>
      <c r="P36" s="253">
        <f>+O36-N36</f>
        <v>0</v>
      </c>
      <c r="Q36" s="216"/>
      <c r="R36" s="216"/>
      <c r="S36" s="252">
        <f>+S38-S44</f>
        <v>0</v>
      </c>
      <c r="T36" s="216"/>
      <c r="U36" s="216"/>
      <c r="V36" s="216"/>
      <c r="W36" s="211"/>
      <c r="X36" s="252">
        <f>+X38-X44</f>
        <v>0</v>
      </c>
      <c r="Y36" s="211"/>
      <c r="Z36" s="211"/>
      <c r="AA36" s="211"/>
    </row>
    <row r="37" spans="2:31" s="204" customFormat="1" x14ac:dyDescent="0.25">
      <c r="B37" s="230"/>
      <c r="C37" s="230"/>
      <c r="D37" s="230"/>
      <c r="E37" s="230"/>
      <c r="F37" s="230"/>
      <c r="G37" s="230"/>
      <c r="H37" s="231"/>
      <c r="I37" s="230"/>
      <c r="J37" s="230"/>
      <c r="K37" s="230"/>
      <c r="L37" s="277"/>
      <c r="M37" s="278"/>
      <c r="N37" s="279"/>
      <c r="O37" s="211"/>
      <c r="P37" s="211"/>
      <c r="Q37" s="211"/>
      <c r="R37" s="216"/>
      <c r="S37" s="216"/>
      <c r="T37" s="216"/>
      <c r="U37" s="216"/>
      <c r="V37" s="216"/>
      <c r="W37" s="211"/>
      <c r="X37" s="211"/>
      <c r="Y37" s="211"/>
      <c r="Z37" s="211"/>
      <c r="AA37" s="211"/>
    </row>
    <row r="38" spans="2:31" s="204" customFormat="1" x14ac:dyDescent="0.25">
      <c r="B38" s="246" t="s">
        <v>149</v>
      </c>
      <c r="C38" s="246" t="s">
        <v>150</v>
      </c>
      <c r="D38" s="247" t="s">
        <v>2996</v>
      </c>
      <c r="E38" s="247"/>
      <c r="F38" s="247"/>
      <c r="G38" s="247"/>
      <c r="H38" s="248"/>
      <c r="I38" s="247"/>
      <c r="J38" s="247"/>
      <c r="K38" s="249"/>
      <c r="L38" s="276" t="s">
        <v>153</v>
      </c>
      <c r="M38" s="251" t="s">
        <v>2962</v>
      </c>
      <c r="N38" s="252">
        <f>SUM(N41:N42)</f>
        <v>0</v>
      </c>
      <c r="O38" s="252">
        <f>SUM(O41:O42)</f>
        <v>0</v>
      </c>
      <c r="P38" s="259">
        <f>+O38-N38</f>
        <v>0</v>
      </c>
      <c r="Q38" s="252">
        <f>SUM(Q41:Q42)</f>
        <v>0</v>
      </c>
      <c r="R38" s="252">
        <f>SUM(R41:R42)</f>
        <v>0</v>
      </c>
      <c r="S38" s="252">
        <f>SUM(S41:S42)</f>
        <v>0</v>
      </c>
      <c r="T38" s="252">
        <f>SUM(T41:T42)</f>
        <v>0</v>
      </c>
      <c r="U38" s="252">
        <f>SUM(U41:U42)</f>
        <v>0</v>
      </c>
      <c r="V38" s="216"/>
      <c r="W38" s="252">
        <f t="shared" ref="W38:AE38" si="0">SUM(W41:W42)</f>
        <v>0</v>
      </c>
      <c r="X38" s="252">
        <f t="shared" si="0"/>
        <v>0</v>
      </c>
      <c r="Y38" s="252">
        <f t="shared" si="0"/>
        <v>0</v>
      </c>
      <c r="Z38" s="252">
        <f t="shared" si="0"/>
        <v>0</v>
      </c>
      <c r="AA38" s="252">
        <f t="shared" si="0"/>
        <v>0</v>
      </c>
      <c r="AB38" s="252">
        <f t="shared" si="0"/>
        <v>0</v>
      </c>
      <c r="AC38" s="252">
        <f t="shared" si="0"/>
        <v>0</v>
      </c>
      <c r="AD38" s="252">
        <f t="shared" si="0"/>
        <v>0</v>
      </c>
      <c r="AE38" s="252">
        <f t="shared" si="0"/>
        <v>0</v>
      </c>
    </row>
    <row r="39" spans="2:31" s="204" customFormat="1" x14ac:dyDescent="0.25">
      <c r="B39" s="230"/>
      <c r="C39" s="230"/>
      <c r="D39" s="230"/>
      <c r="E39" s="230"/>
      <c r="F39" s="230"/>
      <c r="G39" s="230"/>
      <c r="H39" s="231"/>
      <c r="I39" s="230"/>
      <c r="J39" s="230"/>
      <c r="K39" s="230"/>
      <c r="L39" s="277"/>
      <c r="M39" s="278"/>
      <c r="N39" s="279"/>
      <c r="O39" s="211"/>
      <c r="P39" s="211"/>
      <c r="Q39" s="211"/>
      <c r="R39" s="216"/>
      <c r="T39" s="216"/>
      <c r="U39" s="216"/>
      <c r="V39" s="216"/>
      <c r="W39" s="211"/>
      <c r="X39" s="211"/>
      <c r="Y39" s="211"/>
      <c r="Z39" s="211"/>
      <c r="AA39" s="211"/>
    </row>
    <row r="40" spans="2:31" s="204" customFormat="1" ht="51" x14ac:dyDescent="0.25">
      <c r="B40" s="260" t="s">
        <v>2968</v>
      </c>
      <c r="C40" s="260" t="s">
        <v>2969</v>
      </c>
      <c r="D40" s="206" t="s">
        <v>72</v>
      </c>
      <c r="E40" s="206"/>
      <c r="F40" s="206"/>
      <c r="G40" s="207"/>
      <c r="H40" s="207"/>
      <c r="I40" s="207"/>
      <c r="J40" s="207" t="s">
        <v>2957</v>
      </c>
      <c r="K40" s="206" t="s">
        <v>82</v>
      </c>
      <c r="L40" s="261" t="s">
        <v>2970</v>
      </c>
      <c r="M40" s="280"/>
      <c r="N40" s="256" t="str">
        <f>N$15</f>
        <v>Valore netto al 31/12/2019</v>
      </c>
      <c r="O40" s="256" t="str">
        <f>O$15</f>
        <v>Valore netto al 31/12/2020</v>
      </c>
      <c r="P40" s="256" t="str">
        <f>P$15</f>
        <v>Variazione</v>
      </c>
      <c r="Q40" s="262" t="s">
        <v>2971</v>
      </c>
      <c r="R40" s="262" t="str">
        <f>"Costo storico al 31/12/"&amp;Info!$B$3-1</f>
        <v>Costo storico al 31/12/2019</v>
      </c>
      <c r="S40" s="262" t="s">
        <v>2972</v>
      </c>
      <c r="T40" s="262" t="s">
        <v>2973</v>
      </c>
      <c r="U40" s="262" t="s">
        <v>2974</v>
      </c>
      <c r="W40" s="262" t="s">
        <v>2975</v>
      </c>
      <c r="X40" s="262" t="s">
        <v>2976</v>
      </c>
      <c r="Y40" s="262" t="s">
        <v>2977</v>
      </c>
      <c r="Z40" s="262" t="s">
        <v>2978</v>
      </c>
      <c r="AA40" s="262" t="s">
        <v>2979</v>
      </c>
      <c r="AB40" s="262" t="s">
        <v>2980</v>
      </c>
      <c r="AC40" s="262" t="s">
        <v>2981</v>
      </c>
      <c r="AD40" s="262" t="s">
        <v>2982</v>
      </c>
      <c r="AE40" s="262" t="s">
        <v>2983</v>
      </c>
    </row>
    <row r="41" spans="2:31" s="204" customFormat="1" x14ac:dyDescent="0.25">
      <c r="B41" s="263" t="s">
        <v>154</v>
      </c>
      <c r="C41" s="263" t="s">
        <v>155</v>
      </c>
      <c r="D41" s="264" t="s">
        <v>2997</v>
      </c>
      <c r="E41" s="264"/>
      <c r="F41" s="264"/>
      <c r="G41" s="265"/>
      <c r="H41" s="266"/>
      <c r="I41" s="281"/>
      <c r="J41" s="281"/>
      <c r="K41" s="281"/>
      <c r="L41" s="282" t="s">
        <v>2998</v>
      </c>
      <c r="M41" s="263" t="s">
        <v>2962</v>
      </c>
      <c r="N41" s="269">
        <f>+R41+T41-U41</f>
        <v>0</v>
      </c>
      <c r="O41" s="270">
        <f>+N41+S41+X41+ABS(Y41)-ABS(AA41)+ABS(Z41)+ABS(AB41)+ABS(AD41)-ABS(AE41)+AC41+W41+Q41</f>
        <v>0</v>
      </c>
      <c r="P41" s="519">
        <f>+O41-N41</f>
        <v>0</v>
      </c>
      <c r="Q41" s="520"/>
      <c r="R41" s="354">
        <f>IF(ISERROR(VLOOKUP("SAN"&amp;$C41,ESTR_PREC_SP!$A$2:$G$2000,4,FALSE))=TRUE,0,VLOOKUP("SAN"&amp;$C41,ESTR_PREC_SP!$A$2:$G$2000,4,FALSE))</f>
        <v>0</v>
      </c>
      <c r="S41" s="521"/>
      <c r="T41" s="521"/>
      <c r="U41" s="521"/>
      <c r="W41" s="520"/>
      <c r="X41" s="520"/>
      <c r="Y41" s="520"/>
      <c r="Z41" s="520"/>
      <c r="AA41" s="520"/>
      <c r="AB41" s="520"/>
      <c r="AC41" s="520"/>
      <c r="AD41" s="520"/>
      <c r="AE41" s="520"/>
    </row>
    <row r="42" spans="2:31" s="204" customFormat="1" x14ac:dyDescent="0.25">
      <c r="B42" s="273" t="s">
        <v>157</v>
      </c>
      <c r="C42" s="273" t="s">
        <v>158</v>
      </c>
      <c r="D42" s="274" t="s">
        <v>2999</v>
      </c>
      <c r="E42" s="264"/>
      <c r="F42" s="274"/>
      <c r="G42" s="283"/>
      <c r="H42" s="266"/>
      <c r="I42" s="281"/>
      <c r="J42" s="281"/>
      <c r="K42" s="281"/>
      <c r="L42" s="282" t="s">
        <v>3000</v>
      </c>
      <c r="M42" s="284" t="s">
        <v>2962</v>
      </c>
      <c r="N42" s="269">
        <f>+R42+T42-U42</f>
        <v>0</v>
      </c>
      <c r="O42" s="270">
        <f>+N42+S42+X42+ABS(Y42)-ABS(AA42)+ABS(Z42)+ABS(AB42)+ABS(AD42)-ABS(AE42)+AC42+W42+Q42</f>
        <v>0</v>
      </c>
      <c r="P42" s="271">
        <f>+O42-N42</f>
        <v>0</v>
      </c>
      <c r="Q42" s="520"/>
      <c r="R42" s="354">
        <f>IF(ISERROR(VLOOKUP("SAN"&amp;$C42,ESTR_PREC_SP!$A$2:$G$2000,4,FALSE))=TRUE,0,VLOOKUP("SAN"&amp;$C42,ESTR_PREC_SP!$A$2:$G$2000,4,FALSE))</f>
        <v>0</v>
      </c>
      <c r="S42" s="521"/>
      <c r="T42" s="521"/>
      <c r="U42" s="521"/>
      <c r="W42" s="520"/>
      <c r="X42" s="520"/>
      <c r="Y42" s="520"/>
      <c r="Z42" s="520"/>
      <c r="AA42" s="520"/>
      <c r="AB42" s="520"/>
      <c r="AC42" s="520"/>
      <c r="AD42" s="520"/>
      <c r="AE42" s="520"/>
    </row>
    <row r="43" spans="2:31" s="204" customFormat="1" x14ac:dyDescent="0.25">
      <c r="B43" s="230"/>
      <c r="C43" s="230"/>
      <c r="D43" s="230"/>
      <c r="E43" s="230"/>
      <c r="F43" s="230"/>
      <c r="G43" s="230"/>
      <c r="H43" s="231"/>
      <c r="I43" s="230"/>
      <c r="J43" s="230"/>
      <c r="K43" s="230"/>
      <c r="L43" s="275"/>
      <c r="M43" s="216"/>
      <c r="N43" s="285"/>
      <c r="O43" s="211"/>
      <c r="P43" s="211"/>
      <c r="Q43" s="211"/>
      <c r="R43" s="216"/>
      <c r="S43" s="216"/>
      <c r="T43" s="285"/>
      <c r="U43" s="285"/>
      <c r="V43" s="285"/>
      <c r="W43" s="285"/>
      <c r="X43" s="285"/>
      <c r="Y43" s="285"/>
      <c r="Z43" s="285"/>
      <c r="AA43" s="285"/>
    </row>
    <row r="44" spans="2:31" s="204" customFormat="1" x14ac:dyDescent="0.25">
      <c r="B44" s="246" t="s">
        <v>160</v>
      </c>
      <c r="C44" s="246" t="s">
        <v>161</v>
      </c>
      <c r="D44" s="247" t="s">
        <v>3001</v>
      </c>
      <c r="E44" s="247"/>
      <c r="F44" s="247"/>
      <c r="G44" s="247"/>
      <c r="H44" s="248"/>
      <c r="I44" s="247"/>
      <c r="J44" s="247"/>
      <c r="K44" s="249"/>
      <c r="L44" s="276" t="s">
        <v>164</v>
      </c>
      <c r="M44" s="251" t="s">
        <v>2962</v>
      </c>
      <c r="N44" s="252">
        <f>SUM(N47:N48)</f>
        <v>0</v>
      </c>
      <c r="O44" s="252">
        <f>SUM(O47:O48)</f>
        <v>0</v>
      </c>
      <c r="P44" s="259">
        <f>+O44-N44</f>
        <v>0</v>
      </c>
      <c r="Q44" s="252">
        <f>SUM(Q47:Q48)</f>
        <v>0</v>
      </c>
      <c r="R44" s="252">
        <f>SUM(R47:R48)</f>
        <v>0</v>
      </c>
      <c r="S44" s="252">
        <f>SUM(S47:S48)</f>
        <v>0</v>
      </c>
      <c r="V44" s="211"/>
      <c r="W44" s="252">
        <f>SUM(W47:W48)</f>
        <v>0</v>
      </c>
      <c r="X44" s="252">
        <f>SUM(X47:X48)</f>
        <v>0</v>
      </c>
      <c r="Y44" s="252">
        <f>SUM(Y47:Y48)</f>
        <v>0</v>
      </c>
      <c r="Z44" s="252">
        <f>SUM(Z47:Z48)</f>
        <v>0</v>
      </c>
      <c r="AA44" s="285"/>
    </row>
    <row r="45" spans="2:31" s="204" customFormat="1" x14ac:dyDescent="0.25">
      <c r="B45" s="230"/>
      <c r="C45" s="230"/>
      <c r="D45" s="230"/>
      <c r="E45" s="230"/>
      <c r="F45" s="230"/>
      <c r="G45" s="230"/>
      <c r="H45" s="231"/>
      <c r="I45" s="230"/>
      <c r="J45" s="230"/>
      <c r="K45" s="230"/>
      <c r="L45" s="241"/>
      <c r="M45" s="278"/>
      <c r="N45" s="286"/>
      <c r="O45" s="211"/>
      <c r="P45" s="211"/>
      <c r="Q45" s="211"/>
      <c r="V45" s="211"/>
      <c r="W45" s="211"/>
      <c r="X45" s="211"/>
      <c r="Y45" s="211"/>
      <c r="Z45" s="211"/>
      <c r="AA45" s="285"/>
    </row>
    <row r="46" spans="2:31" s="204" customFormat="1" ht="51" x14ac:dyDescent="0.25">
      <c r="B46" s="260" t="s">
        <v>2968</v>
      </c>
      <c r="C46" s="260" t="s">
        <v>2969</v>
      </c>
      <c r="D46" s="206" t="s">
        <v>72</v>
      </c>
      <c r="E46" s="206"/>
      <c r="F46" s="206"/>
      <c r="G46" s="207"/>
      <c r="H46" s="207"/>
      <c r="I46" s="207"/>
      <c r="J46" s="207" t="s">
        <v>2957</v>
      </c>
      <c r="K46" s="206" t="s">
        <v>82</v>
      </c>
      <c r="L46" s="261" t="s">
        <v>2970</v>
      </c>
      <c r="M46" s="280"/>
      <c r="N46" s="256" t="str">
        <f>N$15</f>
        <v>Valore netto al 31/12/2019</v>
      </c>
      <c r="O46" s="256" t="str">
        <f>O$15</f>
        <v>Valore netto al 31/12/2020</v>
      </c>
      <c r="P46" s="256" t="str">
        <f>P$15</f>
        <v>Variazione</v>
      </c>
      <c r="Q46" s="262" t="s">
        <v>2971</v>
      </c>
      <c r="R46" s="262" t="str">
        <f>"Fondo ammortamento 31/12/"&amp;Info!$B$3-1</f>
        <v>Fondo ammortamento 31/12/2019</v>
      </c>
      <c r="S46" s="262" t="s">
        <v>2972</v>
      </c>
      <c r="V46" s="211"/>
      <c r="W46" s="262" t="s">
        <v>2975</v>
      </c>
      <c r="X46" s="262" t="s">
        <v>2976</v>
      </c>
      <c r="Y46" s="262" t="s">
        <v>2989</v>
      </c>
      <c r="Z46" s="262" t="s">
        <v>2990</v>
      </c>
      <c r="AA46" s="285"/>
    </row>
    <row r="47" spans="2:31" s="204" customFormat="1" x14ac:dyDescent="0.25">
      <c r="B47" s="263" t="s">
        <v>165</v>
      </c>
      <c r="C47" s="263" t="s">
        <v>166</v>
      </c>
      <c r="D47" s="264" t="s">
        <v>3002</v>
      </c>
      <c r="E47" s="264"/>
      <c r="F47" s="264"/>
      <c r="G47" s="283"/>
      <c r="H47" s="266"/>
      <c r="I47" s="281"/>
      <c r="J47" s="281"/>
      <c r="K47" s="281"/>
      <c r="L47" s="282" t="s">
        <v>3003</v>
      </c>
      <c r="M47" s="263" t="s">
        <v>2962</v>
      </c>
      <c r="N47" s="269">
        <f>+R47</f>
        <v>0</v>
      </c>
      <c r="O47" s="270">
        <f>+R47+S47+X47-ABS(Y47)+ABS(Z47)+W47+Q47</f>
        <v>0</v>
      </c>
      <c r="P47" s="271">
        <f>+O47-N47</f>
        <v>0</v>
      </c>
      <c r="Q47" s="520"/>
      <c r="R47" s="354">
        <f>IF(ISERROR(VLOOKUP("SAN"&amp;$C47,ESTR_PREC_SP!$A$2:$G$2000,4,FALSE))=TRUE,0,VLOOKUP("SAN"&amp;$C47,ESTR_PREC_SP!$A$2:$G$2000,4,FALSE))</f>
        <v>0</v>
      </c>
      <c r="S47" s="521"/>
      <c r="V47" s="211"/>
      <c r="W47" s="520"/>
      <c r="X47" s="520"/>
      <c r="Y47" s="520"/>
      <c r="Z47" s="520"/>
      <c r="AA47" s="285"/>
    </row>
    <row r="48" spans="2:31" s="204" customFormat="1" x14ac:dyDescent="0.25">
      <c r="B48" s="287" t="s">
        <v>168</v>
      </c>
      <c r="C48" s="287" t="s">
        <v>169</v>
      </c>
      <c r="D48" s="274" t="s">
        <v>3004</v>
      </c>
      <c r="E48" s="264"/>
      <c r="F48" s="274"/>
      <c r="G48" s="283"/>
      <c r="H48" s="266"/>
      <c r="I48" s="281"/>
      <c r="J48" s="281"/>
      <c r="K48" s="281"/>
      <c r="L48" s="282" t="s">
        <v>3005</v>
      </c>
      <c r="M48" s="284" t="s">
        <v>2962</v>
      </c>
      <c r="N48" s="269">
        <f>+R48</f>
        <v>0</v>
      </c>
      <c r="O48" s="270">
        <f>+R48+S48+X48-ABS(Y48)+ABS(Z48)+W48+Q48</f>
        <v>0</v>
      </c>
      <c r="P48" s="271">
        <f>+O48-N48</f>
        <v>0</v>
      </c>
      <c r="Q48" s="520"/>
      <c r="R48" s="354">
        <f>IF(ISERROR(VLOOKUP("SAN"&amp;$C48,ESTR_PREC_SP!$A$2:$G$2000,4,FALSE))=TRUE,0,VLOOKUP("SAN"&amp;$C48,ESTR_PREC_SP!$A$2:$G$2000,4,FALSE))</f>
        <v>0</v>
      </c>
      <c r="S48" s="521"/>
      <c r="V48" s="211"/>
      <c r="W48" s="520"/>
      <c r="X48" s="520"/>
      <c r="Y48" s="520"/>
      <c r="Z48" s="520"/>
      <c r="AA48" s="285"/>
    </row>
    <row r="49" spans="2:31" s="204" customFormat="1" x14ac:dyDescent="0.25">
      <c r="B49" s="230"/>
      <c r="C49" s="230"/>
      <c r="D49" s="230"/>
      <c r="E49" s="230"/>
      <c r="F49" s="230"/>
      <c r="G49" s="230"/>
      <c r="H49" s="231"/>
      <c r="I49" s="230"/>
      <c r="J49" s="230"/>
      <c r="K49" s="230"/>
      <c r="L49" s="232"/>
      <c r="M49" s="216"/>
      <c r="N49" s="285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2:31" s="204" customFormat="1" ht="25.5" x14ac:dyDescent="0.25">
      <c r="B50" s="230"/>
      <c r="C50" s="230"/>
      <c r="D50" s="230"/>
      <c r="E50" s="230"/>
      <c r="F50" s="230"/>
      <c r="G50" s="230"/>
      <c r="H50" s="231"/>
      <c r="I50" s="230"/>
      <c r="J50" s="230"/>
      <c r="K50" s="230"/>
      <c r="L50" s="255"/>
      <c r="M50" s="244"/>
      <c r="N50" s="518" t="str">
        <f>N$15</f>
        <v>Valore netto al 31/12/2019</v>
      </c>
      <c r="O50" s="518" t="str">
        <f>O$15</f>
        <v>Valore netto al 31/12/2020</v>
      </c>
      <c r="P50" s="518" t="str">
        <f>P$15</f>
        <v>Variazione</v>
      </c>
      <c r="Q50" s="216"/>
      <c r="R50" s="211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2:31" s="204" customFormat="1" ht="27" customHeight="1" x14ac:dyDescent="0.25">
      <c r="B51" s="246" t="s">
        <v>171</v>
      </c>
      <c r="C51" s="246" t="s">
        <v>172</v>
      </c>
      <c r="D51" s="247" t="s">
        <v>3006</v>
      </c>
      <c r="E51" s="247"/>
      <c r="F51" s="247"/>
      <c r="G51" s="247"/>
      <c r="H51" s="248"/>
      <c r="I51" s="247"/>
      <c r="J51" s="247"/>
      <c r="K51" s="249"/>
      <c r="L51" s="257" t="s">
        <v>174</v>
      </c>
      <c r="M51" s="251" t="s">
        <v>2962</v>
      </c>
      <c r="N51" s="252">
        <f>+N53-N61+N69-N77</f>
        <v>1622</v>
      </c>
      <c r="O51" s="252">
        <f>+O53-O61+O69-O77</f>
        <v>0</v>
      </c>
      <c r="P51" s="253">
        <f>+O51-N51</f>
        <v>-1622</v>
      </c>
      <c r="Q51" s="216"/>
      <c r="R51" s="211"/>
      <c r="S51" s="252">
        <f>+S53-S61+S69-S77</f>
        <v>0</v>
      </c>
      <c r="T51" s="211"/>
      <c r="U51" s="211"/>
      <c r="V51" s="211"/>
      <c r="W51" s="211"/>
      <c r="X51" s="252">
        <f>+X53-X61+X69-X77</f>
        <v>0</v>
      </c>
      <c r="Y51" s="211"/>
      <c r="Z51" s="211"/>
      <c r="AA51" s="211"/>
    </row>
    <row r="52" spans="2:31" s="204" customFormat="1" x14ac:dyDescent="0.25">
      <c r="B52" s="230"/>
      <c r="C52" s="230"/>
      <c r="D52" s="230"/>
      <c r="E52" s="230"/>
      <c r="F52" s="230"/>
      <c r="G52" s="230"/>
      <c r="H52" s="231"/>
      <c r="I52" s="230"/>
      <c r="J52" s="230"/>
      <c r="K52" s="230"/>
      <c r="L52" s="277"/>
      <c r="M52" s="216"/>
      <c r="N52" s="285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2:31" s="204" customFormat="1" ht="26.25" x14ac:dyDescent="0.25">
      <c r="B53" s="246" t="s">
        <v>175</v>
      </c>
      <c r="C53" s="246" t="s">
        <v>176</v>
      </c>
      <c r="D53" s="247" t="s">
        <v>3007</v>
      </c>
      <c r="E53" s="247"/>
      <c r="F53" s="247"/>
      <c r="G53" s="247"/>
      <c r="H53" s="248"/>
      <c r="I53" s="247"/>
      <c r="J53" s="247"/>
      <c r="K53" s="249"/>
      <c r="L53" s="276" t="s">
        <v>179</v>
      </c>
      <c r="M53" s="251" t="s">
        <v>2962</v>
      </c>
      <c r="N53" s="252">
        <f>SUM(N56:N59)</f>
        <v>5790214</v>
      </c>
      <c r="O53" s="252">
        <f>SUM(O56:O59)</f>
        <v>5790214</v>
      </c>
      <c r="P53" s="259">
        <f>+O53-N53</f>
        <v>0</v>
      </c>
      <c r="Q53" s="252">
        <f>SUM(Q56:Q59)</f>
        <v>0</v>
      </c>
      <c r="R53" s="252">
        <f>SUM(R56:R59)</f>
        <v>5790214</v>
      </c>
      <c r="S53" s="252">
        <f>SUM(S56:S59)</f>
        <v>0</v>
      </c>
      <c r="T53" s="252">
        <f>SUM(T56:T59)</f>
        <v>0</v>
      </c>
      <c r="U53" s="252">
        <f>SUM(U56:U59)</f>
        <v>0</v>
      </c>
      <c r="V53" s="216"/>
      <c r="W53" s="252">
        <f t="shared" ref="W53:AE53" si="1">SUM(W56:W59)</f>
        <v>0</v>
      </c>
      <c r="X53" s="252">
        <f t="shared" si="1"/>
        <v>0</v>
      </c>
      <c r="Y53" s="252">
        <f t="shared" si="1"/>
        <v>0</v>
      </c>
      <c r="Z53" s="252">
        <f t="shared" si="1"/>
        <v>0</v>
      </c>
      <c r="AA53" s="252">
        <f t="shared" si="1"/>
        <v>0</v>
      </c>
      <c r="AB53" s="252">
        <f t="shared" si="1"/>
        <v>0</v>
      </c>
      <c r="AC53" s="252">
        <f t="shared" si="1"/>
        <v>0</v>
      </c>
      <c r="AD53" s="252">
        <f t="shared" si="1"/>
        <v>0</v>
      </c>
      <c r="AE53" s="252">
        <f t="shared" si="1"/>
        <v>0</v>
      </c>
    </row>
    <row r="54" spans="2:31" s="204" customFormat="1" x14ac:dyDescent="0.25">
      <c r="B54" s="230"/>
      <c r="C54" s="230"/>
      <c r="D54" s="230"/>
      <c r="E54" s="230"/>
      <c r="F54" s="230"/>
      <c r="G54" s="230"/>
      <c r="H54" s="231"/>
      <c r="I54" s="230"/>
      <c r="J54" s="230"/>
      <c r="K54" s="230"/>
      <c r="L54" s="277"/>
      <c r="M54" s="216"/>
      <c r="N54" s="285"/>
      <c r="O54" s="211"/>
      <c r="P54" s="211"/>
      <c r="Q54" s="211"/>
      <c r="R54" s="216"/>
      <c r="T54" s="216"/>
      <c r="U54" s="216"/>
      <c r="V54" s="216"/>
      <c r="W54" s="211"/>
      <c r="X54" s="211"/>
      <c r="Y54" s="211"/>
      <c r="Z54" s="211"/>
      <c r="AA54" s="211"/>
    </row>
    <row r="55" spans="2:31" s="204" customFormat="1" ht="51" x14ac:dyDescent="0.25">
      <c r="B55" s="260" t="s">
        <v>2968</v>
      </c>
      <c r="C55" s="260" t="s">
        <v>2969</v>
      </c>
      <c r="D55" s="206" t="s">
        <v>72</v>
      </c>
      <c r="E55" s="206"/>
      <c r="F55" s="206"/>
      <c r="G55" s="207"/>
      <c r="H55" s="207"/>
      <c r="I55" s="207"/>
      <c r="J55" s="207" t="s">
        <v>2957</v>
      </c>
      <c r="K55" s="206" t="s">
        <v>82</v>
      </c>
      <c r="L55" s="261" t="s">
        <v>2970</v>
      </c>
      <c r="M55" s="280"/>
      <c r="N55" s="256" t="str">
        <f>N$15</f>
        <v>Valore netto al 31/12/2019</v>
      </c>
      <c r="O55" s="256" t="str">
        <f>O$15</f>
        <v>Valore netto al 31/12/2020</v>
      </c>
      <c r="P55" s="256" t="str">
        <f>P$15</f>
        <v>Variazione</v>
      </c>
      <c r="Q55" s="262" t="s">
        <v>2971</v>
      </c>
      <c r="R55" s="262" t="str">
        <f>"Costo storico al 31/12/"&amp;Info!$B$3-1</f>
        <v>Costo storico al 31/12/2019</v>
      </c>
      <c r="S55" s="262" t="s">
        <v>2972</v>
      </c>
      <c r="T55" s="262" t="s">
        <v>2973</v>
      </c>
      <c r="U55" s="262" t="s">
        <v>2974</v>
      </c>
      <c r="W55" s="262" t="s">
        <v>2975</v>
      </c>
      <c r="X55" s="262" t="s">
        <v>2976</v>
      </c>
      <c r="Y55" s="262" t="s">
        <v>2977</v>
      </c>
      <c r="Z55" s="262" t="s">
        <v>2978</v>
      </c>
      <c r="AA55" s="262" t="s">
        <v>2979</v>
      </c>
      <c r="AB55" s="262" t="s">
        <v>2980</v>
      </c>
      <c r="AC55" s="262" t="s">
        <v>2981</v>
      </c>
      <c r="AD55" s="262" t="s">
        <v>2982</v>
      </c>
      <c r="AE55" s="262" t="s">
        <v>2983</v>
      </c>
    </row>
    <row r="56" spans="2:31" s="204" customFormat="1" x14ac:dyDescent="0.25">
      <c r="B56" s="263" t="s">
        <v>180</v>
      </c>
      <c r="C56" s="263" t="s">
        <v>181</v>
      </c>
      <c r="D56" s="264" t="s">
        <v>3008</v>
      </c>
      <c r="E56" s="264"/>
      <c r="F56" s="264"/>
      <c r="G56" s="265"/>
      <c r="H56" s="266"/>
      <c r="I56" s="281"/>
      <c r="J56" s="281"/>
      <c r="K56" s="281"/>
      <c r="L56" s="282" t="s">
        <v>3009</v>
      </c>
      <c r="M56" s="263" t="s">
        <v>2962</v>
      </c>
      <c r="N56" s="269">
        <f>+R56+T56-U56</f>
        <v>0</v>
      </c>
      <c r="O56" s="270">
        <f>+N56+S56+X56+ABS(Y56)-ABS(AA56)+ABS(Z56)+ABS(AB56)+ABS(AD56)-ABS(AE56)+AC56+W56+Q56</f>
        <v>0</v>
      </c>
      <c r="P56" s="271">
        <f>+O56-N56</f>
        <v>0</v>
      </c>
      <c r="Q56" s="520"/>
      <c r="R56" s="354">
        <f>IF(ISERROR(VLOOKUP("SAN"&amp;$C56,ESTR_PREC_SP!$A$2:$G$2000,4,FALSE))=TRUE,0,VLOOKUP("SAN"&amp;$C56,ESTR_PREC_SP!$A$2:$G$2000,4,FALSE))</f>
        <v>0</v>
      </c>
      <c r="S56" s="521"/>
      <c r="T56" s="521"/>
      <c r="U56" s="521"/>
      <c r="W56" s="520"/>
      <c r="X56" s="520"/>
      <c r="Y56" s="520"/>
      <c r="Z56" s="520"/>
      <c r="AA56" s="520"/>
      <c r="AB56" s="520"/>
      <c r="AC56" s="520"/>
      <c r="AD56" s="520"/>
      <c r="AE56" s="520"/>
    </row>
    <row r="57" spans="2:31" s="204" customFormat="1" x14ac:dyDescent="0.25">
      <c r="B57" s="273" t="s">
        <v>183</v>
      </c>
      <c r="C57" s="273" t="s">
        <v>184</v>
      </c>
      <c r="D57" s="264" t="s">
        <v>3010</v>
      </c>
      <c r="E57" s="264"/>
      <c r="F57" s="264"/>
      <c r="G57" s="265"/>
      <c r="H57" s="266"/>
      <c r="I57" s="281"/>
      <c r="J57" s="281"/>
      <c r="K57" s="281"/>
      <c r="L57" s="282" t="s">
        <v>3011</v>
      </c>
      <c r="M57" s="263" t="s">
        <v>2962</v>
      </c>
      <c r="N57" s="269">
        <f>+R57+T57-U57</f>
        <v>0</v>
      </c>
      <c r="O57" s="270">
        <f>+N57+S57+X57+ABS(Y57)-ABS(AA57)+ABS(Z57)+ABS(AB57)+ABS(AD57)-ABS(AE57)+AC57+W57+Q57</f>
        <v>0</v>
      </c>
      <c r="P57" s="271">
        <f>+O57-N57</f>
        <v>0</v>
      </c>
      <c r="Q57" s="520"/>
      <c r="R57" s="354">
        <f>IF(ISERROR(VLOOKUP("SAN"&amp;$C57,ESTR_PREC_SP!$A$2:$G$2000,4,FALSE))=TRUE,0,VLOOKUP("SAN"&amp;$C57,ESTR_PREC_SP!$A$2:$G$2000,4,FALSE))</f>
        <v>0</v>
      </c>
      <c r="S57" s="521"/>
      <c r="T57" s="521"/>
      <c r="U57" s="521"/>
      <c r="W57" s="520"/>
      <c r="X57" s="520"/>
      <c r="Y57" s="520"/>
      <c r="Z57" s="520"/>
      <c r="AA57" s="520"/>
      <c r="AB57" s="520"/>
      <c r="AC57" s="520"/>
      <c r="AD57" s="520"/>
      <c r="AE57" s="520"/>
    </row>
    <row r="58" spans="2:31" s="204" customFormat="1" ht="25.5" x14ac:dyDescent="0.25">
      <c r="B58" s="273" t="s">
        <v>186</v>
      </c>
      <c r="C58" s="273" t="s">
        <v>187</v>
      </c>
      <c r="D58" s="274" t="s">
        <v>3012</v>
      </c>
      <c r="E58" s="264"/>
      <c r="F58" s="274"/>
      <c r="G58" s="283"/>
      <c r="H58" s="266"/>
      <c r="I58" s="281"/>
      <c r="J58" s="281"/>
      <c r="K58" s="281"/>
      <c r="L58" s="288" t="s">
        <v>3013</v>
      </c>
      <c r="M58" s="284" t="s">
        <v>2962</v>
      </c>
      <c r="N58" s="269">
        <f>+R58+T58-U58</f>
        <v>5113477</v>
      </c>
      <c r="O58" s="270">
        <f>+N58+S58+X58+ABS(Y58)-ABS(AA58)+ABS(Z58)+ABS(AB58)+ABS(AD58)-ABS(AE58)+AC58+W58+Q58</f>
        <v>5113477</v>
      </c>
      <c r="P58" s="271">
        <f>+O58-N58</f>
        <v>0</v>
      </c>
      <c r="Q58" s="520"/>
      <c r="R58" s="354">
        <f>IF(ISERROR(VLOOKUP("SAN"&amp;$C58,ESTR_PREC_SP!$A$2:$G$2000,4,FALSE))=TRUE,0,VLOOKUP("SAN"&amp;$C58,ESTR_PREC_SP!$A$2:$G$2000,4,FALSE))</f>
        <v>5113477</v>
      </c>
      <c r="S58" s="521"/>
      <c r="T58" s="521"/>
      <c r="U58" s="521"/>
      <c r="W58" s="520"/>
      <c r="X58" s="520"/>
      <c r="Y58" s="520"/>
      <c r="Z58" s="520"/>
      <c r="AA58" s="520"/>
      <c r="AB58" s="520"/>
      <c r="AC58" s="520"/>
      <c r="AD58" s="520"/>
      <c r="AE58" s="520"/>
    </row>
    <row r="59" spans="2:31" s="204" customFormat="1" ht="25.5" x14ac:dyDescent="0.25">
      <c r="B59" s="273" t="s">
        <v>189</v>
      </c>
      <c r="C59" s="273" t="s">
        <v>190</v>
      </c>
      <c r="D59" s="274" t="s">
        <v>3014</v>
      </c>
      <c r="E59" s="264"/>
      <c r="F59" s="274"/>
      <c r="G59" s="283"/>
      <c r="H59" s="266"/>
      <c r="I59" s="281"/>
      <c r="J59" s="281"/>
      <c r="K59" s="281"/>
      <c r="L59" s="288" t="s">
        <v>3015</v>
      </c>
      <c r="M59" s="284" t="s">
        <v>2962</v>
      </c>
      <c r="N59" s="269">
        <f>+R59+T59-U59</f>
        <v>676737</v>
      </c>
      <c r="O59" s="270">
        <f>+N59+S59+X59+ABS(Y59)-ABS(AA59)+ABS(Z59)+ABS(AB59)+ABS(AD59)-ABS(AE59)+AC59+W59+Q59</f>
        <v>676737</v>
      </c>
      <c r="P59" s="271">
        <f>+O59-N59</f>
        <v>0</v>
      </c>
      <c r="Q59" s="520"/>
      <c r="R59" s="354">
        <f>IF(ISERROR(VLOOKUP("SAN"&amp;$C59,ESTR_PREC_SP!$A$2:$G$2000,4,FALSE))=TRUE,0,VLOOKUP("SAN"&amp;$C59,ESTR_PREC_SP!$A$2:$G$2000,4,FALSE))</f>
        <v>676737</v>
      </c>
      <c r="S59" s="521"/>
      <c r="T59" s="521"/>
      <c r="U59" s="521"/>
      <c r="W59" s="520"/>
      <c r="X59" s="520"/>
      <c r="Y59" s="520"/>
      <c r="Z59" s="520"/>
      <c r="AA59" s="520"/>
      <c r="AB59" s="520"/>
      <c r="AC59" s="520"/>
      <c r="AD59" s="520"/>
      <c r="AE59" s="520"/>
    </row>
    <row r="60" spans="2:31" s="204" customFormat="1" x14ac:dyDescent="0.25">
      <c r="B60" s="230"/>
      <c r="C60" s="230"/>
      <c r="D60" s="230"/>
      <c r="E60" s="230"/>
      <c r="F60" s="230"/>
      <c r="G60" s="230"/>
      <c r="H60" s="231"/>
      <c r="I60" s="230"/>
      <c r="J60" s="230"/>
      <c r="K60" s="230"/>
      <c r="L60" s="275"/>
      <c r="M60" s="216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11"/>
    </row>
    <row r="61" spans="2:31" s="204" customFormat="1" ht="26.25" x14ac:dyDescent="0.25">
      <c r="B61" s="246" t="s">
        <v>192</v>
      </c>
      <c r="C61" s="246" t="s">
        <v>193</v>
      </c>
      <c r="D61" s="247" t="s">
        <v>3016</v>
      </c>
      <c r="E61" s="247"/>
      <c r="F61" s="247"/>
      <c r="G61" s="247"/>
      <c r="H61" s="248"/>
      <c r="I61" s="247"/>
      <c r="J61" s="247"/>
      <c r="K61" s="249"/>
      <c r="L61" s="276" t="s">
        <v>196</v>
      </c>
      <c r="M61" s="251" t="s">
        <v>2962</v>
      </c>
      <c r="N61" s="252">
        <f>SUM(N64:N67)</f>
        <v>5788592</v>
      </c>
      <c r="O61" s="252">
        <f>SUM(O64:O67)</f>
        <v>5790214</v>
      </c>
      <c r="P61" s="259">
        <f>+O61-N61</f>
        <v>1622</v>
      </c>
      <c r="Q61" s="252">
        <f>SUM(Q64:Q67)</f>
        <v>0</v>
      </c>
      <c r="R61" s="252">
        <f>SUM(R64:R67)</f>
        <v>5788592</v>
      </c>
      <c r="S61" s="252">
        <f>SUM(S64:S67)</f>
        <v>0</v>
      </c>
      <c r="V61" s="211"/>
      <c r="W61" s="252">
        <f>SUM(W64:W67)</f>
        <v>0</v>
      </c>
      <c r="X61" s="252">
        <f>SUM(X64:X67)</f>
        <v>0</v>
      </c>
      <c r="Y61" s="252">
        <f>SUM(Y64:Y67)</f>
        <v>0</v>
      </c>
      <c r="Z61" s="252">
        <f>SUM(Z64:Z67)</f>
        <v>1622</v>
      </c>
      <c r="AA61" s="211"/>
    </row>
    <row r="62" spans="2:31" s="204" customFormat="1" x14ac:dyDescent="0.25">
      <c r="B62" s="230"/>
      <c r="C62" s="230"/>
      <c r="D62" s="230"/>
      <c r="E62" s="230"/>
      <c r="F62" s="230"/>
      <c r="G62" s="230"/>
      <c r="H62" s="231"/>
      <c r="I62" s="230"/>
      <c r="J62" s="230"/>
      <c r="K62" s="230"/>
      <c r="L62" s="277"/>
      <c r="M62" s="216"/>
      <c r="N62" s="285"/>
      <c r="O62" s="211"/>
      <c r="P62" s="211"/>
      <c r="Q62" s="211"/>
      <c r="V62" s="211"/>
      <c r="W62" s="211"/>
      <c r="X62" s="211"/>
      <c r="Y62" s="211"/>
      <c r="Z62" s="211"/>
      <c r="AA62" s="285"/>
    </row>
    <row r="63" spans="2:31" s="204" customFormat="1" ht="51" x14ac:dyDescent="0.25">
      <c r="B63" s="260" t="s">
        <v>2968</v>
      </c>
      <c r="C63" s="260" t="s">
        <v>2969</v>
      </c>
      <c r="D63" s="206" t="s">
        <v>72</v>
      </c>
      <c r="E63" s="206"/>
      <c r="F63" s="206"/>
      <c r="G63" s="207"/>
      <c r="H63" s="207"/>
      <c r="I63" s="207"/>
      <c r="J63" s="207" t="s">
        <v>2957</v>
      </c>
      <c r="K63" s="206" t="s">
        <v>82</v>
      </c>
      <c r="L63" s="261" t="s">
        <v>2970</v>
      </c>
      <c r="M63" s="280"/>
      <c r="N63" s="256" t="str">
        <f>N$15</f>
        <v>Valore netto al 31/12/2019</v>
      </c>
      <c r="O63" s="256" t="str">
        <f>O$15</f>
        <v>Valore netto al 31/12/2020</v>
      </c>
      <c r="P63" s="256" t="str">
        <f>P$15</f>
        <v>Variazione</v>
      </c>
      <c r="Q63" s="262" t="s">
        <v>2971</v>
      </c>
      <c r="R63" s="262" t="str">
        <f>"Fondo ammortamento 31/12/"&amp;Info!$B$3-1</f>
        <v>Fondo ammortamento 31/12/2019</v>
      </c>
      <c r="S63" s="262" t="s">
        <v>2972</v>
      </c>
      <c r="V63" s="211"/>
      <c r="W63" s="262" t="s">
        <v>2975</v>
      </c>
      <c r="X63" s="262" t="s">
        <v>2976</v>
      </c>
      <c r="Y63" s="262" t="s">
        <v>2989</v>
      </c>
      <c r="Z63" s="262" t="s">
        <v>2990</v>
      </c>
      <c r="AA63" s="285"/>
    </row>
    <row r="64" spans="2:31" s="204" customFormat="1" x14ac:dyDescent="0.25">
      <c r="B64" s="263" t="s">
        <v>197</v>
      </c>
      <c r="C64" s="263" t="s">
        <v>198</v>
      </c>
      <c r="D64" s="274" t="s">
        <v>3017</v>
      </c>
      <c r="E64" s="264"/>
      <c r="F64" s="264"/>
      <c r="G64" s="265"/>
      <c r="H64" s="266"/>
      <c r="I64" s="281"/>
      <c r="J64" s="281"/>
      <c r="K64" s="281"/>
      <c r="L64" s="282" t="s">
        <v>3018</v>
      </c>
      <c r="M64" s="263" t="s">
        <v>2962</v>
      </c>
      <c r="N64" s="269">
        <f>+R64</f>
        <v>0</v>
      </c>
      <c r="O64" s="270">
        <f>+R64+S64+X64-ABS(Y64)+ABS(Z64)+W64+Q64</f>
        <v>0</v>
      </c>
      <c r="P64" s="271">
        <f>+O64-N64</f>
        <v>0</v>
      </c>
      <c r="Q64" s="520"/>
      <c r="R64" s="354">
        <f>IF(ISERROR(VLOOKUP("SAN"&amp;$C64,ESTR_PREC_SP!$A$2:$G$2000,4,FALSE))=TRUE,0,VLOOKUP("SAN"&amp;$C64,ESTR_PREC_SP!$A$2:$G$2000,4,FALSE))</f>
        <v>0</v>
      </c>
      <c r="S64" s="521"/>
      <c r="V64" s="211"/>
      <c r="W64" s="520"/>
      <c r="X64" s="520"/>
      <c r="Y64" s="520"/>
      <c r="Z64" s="520"/>
      <c r="AA64" s="285"/>
    </row>
    <row r="65" spans="2:35" s="204" customFormat="1" x14ac:dyDescent="0.25">
      <c r="B65" s="273" t="s">
        <v>200</v>
      </c>
      <c r="C65" s="273" t="s">
        <v>201</v>
      </c>
      <c r="D65" s="274" t="s">
        <v>3019</v>
      </c>
      <c r="E65" s="264"/>
      <c r="F65" s="264"/>
      <c r="G65" s="265"/>
      <c r="H65" s="266"/>
      <c r="I65" s="281"/>
      <c r="J65" s="281"/>
      <c r="K65" s="281"/>
      <c r="L65" s="282" t="s">
        <v>3020</v>
      </c>
      <c r="M65" s="263" t="s">
        <v>2962</v>
      </c>
      <c r="N65" s="269">
        <f>+R65</f>
        <v>0</v>
      </c>
      <c r="O65" s="270">
        <f>+R65+S65+X65-ABS(Y65)+ABS(Z65)+W65+Q65</f>
        <v>0</v>
      </c>
      <c r="P65" s="271">
        <f>+O65-N65</f>
        <v>0</v>
      </c>
      <c r="Q65" s="520"/>
      <c r="R65" s="354">
        <f>IF(ISERROR(VLOOKUP("SAN"&amp;$C65,ESTR_PREC_SP!$A$2:$G$2000,4,FALSE))=TRUE,0,VLOOKUP("SAN"&amp;$C65,ESTR_PREC_SP!$A$2:$G$2000,4,FALSE))</f>
        <v>0</v>
      </c>
      <c r="S65" s="521"/>
      <c r="V65" s="211"/>
      <c r="W65" s="520"/>
      <c r="X65" s="520"/>
      <c r="Y65" s="520"/>
      <c r="Z65" s="520"/>
      <c r="AA65" s="285"/>
    </row>
    <row r="66" spans="2:35" s="204" customFormat="1" ht="25.5" x14ac:dyDescent="0.25">
      <c r="B66" s="273" t="s">
        <v>203</v>
      </c>
      <c r="C66" s="273" t="s">
        <v>204</v>
      </c>
      <c r="D66" s="274" t="s">
        <v>3021</v>
      </c>
      <c r="E66" s="264"/>
      <c r="F66" s="274"/>
      <c r="G66" s="283"/>
      <c r="H66" s="266"/>
      <c r="I66" s="281"/>
      <c r="J66" s="281"/>
      <c r="K66" s="281"/>
      <c r="L66" s="288" t="s">
        <v>3022</v>
      </c>
      <c r="M66" s="284" t="s">
        <v>2962</v>
      </c>
      <c r="N66" s="269">
        <f>+R66</f>
        <v>5111855</v>
      </c>
      <c r="O66" s="270">
        <f>+R66+S66+X66-ABS(Y66)+ABS(Z66)+W66+Q66</f>
        <v>5113477</v>
      </c>
      <c r="P66" s="271">
        <f>+O66-N66</f>
        <v>1622</v>
      </c>
      <c r="Q66" s="520"/>
      <c r="R66" s="354">
        <f>IF(ISERROR(VLOOKUP("SAN"&amp;$C66,ESTR_PREC_SP!$A$2:$G$2000,4,FALSE))=TRUE,0,VLOOKUP("SAN"&amp;$C66,ESTR_PREC_SP!$A$2:$G$2000,4,FALSE))</f>
        <v>5111855</v>
      </c>
      <c r="S66" s="521"/>
      <c r="V66" s="211"/>
      <c r="W66" s="520"/>
      <c r="X66" s="520"/>
      <c r="Y66" s="520"/>
      <c r="Z66" s="520">
        <v>1622</v>
      </c>
      <c r="AA66" s="285"/>
    </row>
    <row r="67" spans="2:35" s="204" customFormat="1" ht="25.5" x14ac:dyDescent="0.25">
      <c r="B67" s="273" t="s">
        <v>206</v>
      </c>
      <c r="C67" s="273" t="s">
        <v>207</v>
      </c>
      <c r="D67" s="274" t="s">
        <v>3023</v>
      </c>
      <c r="E67" s="264"/>
      <c r="F67" s="274"/>
      <c r="G67" s="283"/>
      <c r="H67" s="266"/>
      <c r="I67" s="281"/>
      <c r="J67" s="281"/>
      <c r="K67" s="281"/>
      <c r="L67" s="288" t="s">
        <v>3024</v>
      </c>
      <c r="M67" s="284" t="s">
        <v>2962</v>
      </c>
      <c r="N67" s="269">
        <f>+R67</f>
        <v>676737</v>
      </c>
      <c r="O67" s="270">
        <f>+R67+S67+X67-ABS(Y67)+ABS(Z67)+W67+Q67</f>
        <v>676737</v>
      </c>
      <c r="P67" s="271">
        <f>+O67-N67</f>
        <v>0</v>
      </c>
      <c r="Q67" s="520"/>
      <c r="R67" s="354">
        <f>IF(ISERROR(VLOOKUP("SAN"&amp;$C67,ESTR_PREC_SP!$A$2:$G$2000,4,FALSE))=TRUE,0,VLOOKUP("SAN"&amp;$C67,ESTR_PREC_SP!$A$2:$G$2000,4,FALSE))</f>
        <v>676737</v>
      </c>
      <c r="S67" s="521"/>
      <c r="V67" s="211"/>
      <c r="W67" s="520"/>
      <c r="X67" s="520"/>
      <c r="Y67" s="520"/>
      <c r="Z67" s="520"/>
      <c r="AA67" s="285"/>
    </row>
    <row r="68" spans="2:35" s="204" customFormat="1" x14ac:dyDescent="0.25">
      <c r="B68" s="289"/>
      <c r="C68" s="289"/>
      <c r="D68" s="226"/>
      <c r="E68" s="226"/>
      <c r="F68" s="226"/>
      <c r="G68" s="290"/>
      <c r="H68" s="290"/>
      <c r="I68" s="290"/>
      <c r="J68" s="290"/>
      <c r="K68" s="290"/>
      <c r="L68" s="291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</row>
    <row r="69" spans="2:35" s="204" customFormat="1" ht="26.25" x14ac:dyDescent="0.25">
      <c r="B69" s="292" t="s">
        <v>209</v>
      </c>
      <c r="C69" s="292" t="s">
        <v>210</v>
      </c>
      <c r="D69" s="274" t="s">
        <v>3025</v>
      </c>
      <c r="E69" s="247"/>
      <c r="F69" s="247"/>
      <c r="G69" s="247"/>
      <c r="H69" s="248"/>
      <c r="I69" s="247"/>
      <c r="J69" s="247"/>
      <c r="K69" s="249"/>
      <c r="L69" s="276" t="s">
        <v>212</v>
      </c>
      <c r="M69" s="251" t="s">
        <v>2962</v>
      </c>
      <c r="N69" s="252">
        <f>SUM(N72:N75)</f>
        <v>0</v>
      </c>
      <c r="O69" s="252">
        <f>SUM(O72:O75)</f>
        <v>0</v>
      </c>
      <c r="P69" s="259">
        <f>+O69-N69</f>
        <v>0</v>
      </c>
      <c r="Q69" s="252">
        <f>SUM(Q72:Q75)</f>
        <v>0</v>
      </c>
      <c r="R69" s="252">
        <f>SUM(R72:R75)</f>
        <v>0</v>
      </c>
      <c r="S69" s="252">
        <f>SUM(T72:T75)</f>
        <v>0</v>
      </c>
      <c r="T69" s="252">
        <f>SUM(U72:U75)</f>
        <v>0</v>
      </c>
      <c r="U69" s="252">
        <f>SUM(V72:V75)</f>
        <v>0</v>
      </c>
      <c r="V69" s="216"/>
      <c r="W69" s="252">
        <f t="shared" ref="W69:AE69" si="2">SUM(W72:W75)</f>
        <v>0</v>
      </c>
      <c r="X69" s="252">
        <f t="shared" si="2"/>
        <v>0</v>
      </c>
      <c r="Y69" s="252">
        <f t="shared" si="2"/>
        <v>0</v>
      </c>
      <c r="Z69" s="252">
        <f t="shared" si="2"/>
        <v>0</v>
      </c>
      <c r="AA69" s="252">
        <f t="shared" si="2"/>
        <v>0</v>
      </c>
      <c r="AB69" s="252">
        <f t="shared" si="2"/>
        <v>0</v>
      </c>
      <c r="AC69" s="252">
        <f t="shared" si="2"/>
        <v>0</v>
      </c>
      <c r="AD69" s="252">
        <f t="shared" si="2"/>
        <v>0</v>
      </c>
      <c r="AE69" s="252">
        <f t="shared" si="2"/>
        <v>0</v>
      </c>
    </row>
    <row r="70" spans="2:35" s="204" customFormat="1" x14ac:dyDescent="0.25">
      <c r="B70" s="293"/>
      <c r="C70" s="293"/>
      <c r="D70" s="274"/>
      <c r="E70" s="230"/>
      <c r="F70" s="230"/>
      <c r="G70" s="230"/>
      <c r="H70" s="231"/>
      <c r="I70" s="230"/>
      <c r="J70" s="230"/>
      <c r="K70" s="230"/>
      <c r="L70" s="277"/>
      <c r="M70" s="216"/>
      <c r="N70" s="285"/>
      <c r="O70" s="211"/>
      <c r="P70" s="211"/>
      <c r="Q70" s="211"/>
      <c r="R70" s="216"/>
      <c r="S70" s="216"/>
      <c r="T70" s="216"/>
      <c r="U70" s="216"/>
      <c r="V70" s="216"/>
      <c r="W70" s="211"/>
      <c r="X70" s="211"/>
      <c r="Y70" s="211"/>
      <c r="Z70" s="211"/>
      <c r="AA70" s="211"/>
    </row>
    <row r="71" spans="2:35" s="204" customFormat="1" ht="51" x14ac:dyDescent="0.25">
      <c r="B71" s="294" t="s">
        <v>2968</v>
      </c>
      <c r="C71" s="294" t="s">
        <v>2969</v>
      </c>
      <c r="D71" s="274" t="s">
        <v>72</v>
      </c>
      <c r="E71" s="206"/>
      <c r="F71" s="206"/>
      <c r="G71" s="207"/>
      <c r="H71" s="207"/>
      <c r="I71" s="207"/>
      <c r="J71" s="207" t="s">
        <v>2957</v>
      </c>
      <c r="K71" s="206" t="s">
        <v>82</v>
      </c>
      <c r="L71" s="261" t="s">
        <v>2970</v>
      </c>
      <c r="M71" s="280"/>
      <c r="N71" s="256" t="str">
        <f>N$15</f>
        <v>Valore netto al 31/12/2019</v>
      </c>
      <c r="O71" s="256" t="str">
        <f>O$15</f>
        <v>Valore netto al 31/12/2020</v>
      </c>
      <c r="P71" s="256" t="str">
        <f>P$15</f>
        <v>Variazione</v>
      </c>
      <c r="Q71" s="262" t="s">
        <v>2971</v>
      </c>
      <c r="R71" s="262" t="str">
        <f>"Costo storico al 31/12/"&amp;Info!$B$3-1</f>
        <v>Costo storico al 31/12/2019</v>
      </c>
      <c r="S71" s="262" t="s">
        <v>2972</v>
      </c>
      <c r="T71" s="262" t="s">
        <v>2973</v>
      </c>
      <c r="U71" s="262" t="s">
        <v>2974</v>
      </c>
      <c r="W71" s="262" t="s">
        <v>2975</v>
      </c>
      <c r="X71" s="262" t="s">
        <v>2976</v>
      </c>
      <c r="Y71" s="262" t="s">
        <v>2977</v>
      </c>
      <c r="Z71" s="262" t="s">
        <v>2978</v>
      </c>
      <c r="AA71" s="262" t="s">
        <v>2979</v>
      </c>
      <c r="AB71" s="262" t="s">
        <v>2980</v>
      </c>
      <c r="AC71" s="262" t="s">
        <v>2981</v>
      </c>
      <c r="AD71" s="262" t="s">
        <v>2982</v>
      </c>
      <c r="AE71" s="262" t="s">
        <v>2983</v>
      </c>
    </row>
    <row r="72" spans="2:35" s="204" customFormat="1" x14ac:dyDescent="0.25">
      <c r="B72" s="273" t="s">
        <v>213</v>
      </c>
      <c r="C72" s="273" t="s">
        <v>214</v>
      </c>
      <c r="D72" s="274" t="s">
        <v>3026</v>
      </c>
      <c r="E72" s="264"/>
      <c r="F72" s="264"/>
      <c r="G72" s="265"/>
      <c r="H72" s="266"/>
      <c r="I72" s="281"/>
      <c r="J72" s="281"/>
      <c r="K72" s="281"/>
      <c r="L72" s="282" t="s">
        <v>3027</v>
      </c>
      <c r="M72" s="263" t="s">
        <v>2962</v>
      </c>
      <c r="N72" s="269">
        <f>+R72+T72-U72</f>
        <v>0</v>
      </c>
      <c r="O72" s="270">
        <f>+N72+S72+X72+ABS(Y72)-ABS(AA72)+ABS(Z72)+ABS(AB72)+ABS(AD72)-ABS(AE72)+AC72+W72+Q72</f>
        <v>0</v>
      </c>
      <c r="P72" s="271">
        <f>+O72-N72</f>
        <v>0</v>
      </c>
      <c r="Q72" s="520"/>
      <c r="R72" s="354">
        <f>IF(ISERROR(VLOOKUP("SAN"&amp;$C72,ESTR_PREC_SP!$A$2:$G$2000,4,FALSE))=TRUE,0,VLOOKUP("SAN"&amp;$C72,ESTR_PREC_SP!$A$2:$G$2000,4,FALSE))</f>
        <v>0</v>
      </c>
      <c r="S72" s="521"/>
      <c r="T72" s="521"/>
      <c r="U72" s="521"/>
      <c r="W72" s="520"/>
      <c r="X72" s="520"/>
      <c r="Y72" s="520"/>
      <c r="Z72" s="520"/>
      <c r="AA72" s="520"/>
      <c r="AB72" s="520"/>
      <c r="AC72" s="520"/>
      <c r="AD72" s="520"/>
      <c r="AE72" s="520"/>
    </row>
    <row r="73" spans="2:35" s="204" customFormat="1" x14ac:dyDescent="0.25">
      <c r="B73" s="273" t="s">
        <v>216</v>
      </c>
      <c r="C73" s="273" t="s">
        <v>217</v>
      </c>
      <c r="D73" s="274" t="s">
        <v>3028</v>
      </c>
      <c r="E73" s="264"/>
      <c r="F73" s="264"/>
      <c r="G73" s="265"/>
      <c r="H73" s="266"/>
      <c r="I73" s="281"/>
      <c r="J73" s="281"/>
      <c r="K73" s="281"/>
      <c r="L73" s="282" t="s">
        <v>3029</v>
      </c>
      <c r="M73" s="263" t="s">
        <v>2962</v>
      </c>
      <c r="N73" s="269">
        <f>+R73+T73-U73</f>
        <v>0</v>
      </c>
      <c r="O73" s="270">
        <f>+N73+S73+X73+ABS(Y73)-ABS(AA73)+ABS(Z73)+ABS(AB73)+ABS(AD73)-ABS(AE73)+AC73+W73+Q73</f>
        <v>0</v>
      </c>
      <c r="P73" s="271">
        <f>+O73-N73</f>
        <v>0</v>
      </c>
      <c r="Q73" s="520"/>
      <c r="R73" s="354">
        <f>IF(ISERROR(VLOOKUP("SAN"&amp;$C73,ESTR_PREC_SP!$A$2:$G$2000,4,FALSE))=TRUE,0,VLOOKUP("SAN"&amp;$C73,ESTR_PREC_SP!$A$2:$G$2000,4,FALSE))</f>
        <v>0</v>
      </c>
      <c r="S73" s="521"/>
      <c r="T73" s="521"/>
      <c r="U73" s="521"/>
      <c r="W73" s="520"/>
      <c r="X73" s="520"/>
      <c r="Y73" s="520"/>
      <c r="Z73" s="520"/>
      <c r="AA73" s="520"/>
      <c r="AB73" s="520"/>
      <c r="AC73" s="520"/>
      <c r="AD73" s="520"/>
      <c r="AE73" s="520"/>
    </row>
    <row r="74" spans="2:35" s="204" customFormat="1" x14ac:dyDescent="0.25">
      <c r="B74" s="273" t="s">
        <v>219</v>
      </c>
      <c r="C74" s="273" t="s">
        <v>220</v>
      </c>
      <c r="D74" s="274" t="s">
        <v>3030</v>
      </c>
      <c r="E74" s="264"/>
      <c r="F74" s="274"/>
      <c r="G74" s="283"/>
      <c r="H74" s="266"/>
      <c r="I74" s="281"/>
      <c r="J74" s="281"/>
      <c r="K74" s="281"/>
      <c r="L74" s="288" t="s">
        <v>3031</v>
      </c>
      <c r="M74" s="284" t="s">
        <v>2962</v>
      </c>
      <c r="N74" s="269">
        <f>+R74+T74-U74</f>
        <v>0</v>
      </c>
      <c r="O74" s="270">
        <f>+N74+S74+X74+ABS(Y74)-ABS(AA74)+ABS(Z74)+ABS(AB74)+ABS(AD74)-ABS(AE74)+AC74+W74+Q74</f>
        <v>0</v>
      </c>
      <c r="P74" s="271">
        <f>+O74-N74</f>
        <v>0</v>
      </c>
      <c r="Q74" s="520"/>
      <c r="R74" s="354">
        <f>IF(ISERROR(VLOOKUP("SAN"&amp;$C74,ESTR_PREC_SP!$A$2:$G$2000,4,FALSE))=TRUE,0,VLOOKUP("SAN"&amp;$C74,ESTR_PREC_SP!$A$2:$G$2000,4,FALSE))</f>
        <v>0</v>
      </c>
      <c r="S74" s="521"/>
      <c r="T74" s="521"/>
      <c r="U74" s="521"/>
      <c r="W74" s="520"/>
      <c r="X74" s="520"/>
      <c r="Y74" s="520"/>
      <c r="Z74" s="520"/>
      <c r="AA74" s="520"/>
      <c r="AB74" s="520"/>
      <c r="AC74" s="520"/>
      <c r="AD74" s="520"/>
      <c r="AE74" s="520"/>
    </row>
    <row r="75" spans="2:35" s="204" customFormat="1" x14ac:dyDescent="0.25">
      <c r="B75" s="273" t="s">
        <v>222</v>
      </c>
      <c r="C75" s="273" t="s">
        <v>223</v>
      </c>
      <c r="D75" s="274" t="s">
        <v>3032</v>
      </c>
      <c r="E75" s="264"/>
      <c r="F75" s="274"/>
      <c r="G75" s="283"/>
      <c r="H75" s="266"/>
      <c r="I75" s="281"/>
      <c r="J75" s="281"/>
      <c r="K75" s="281"/>
      <c r="L75" s="288" t="s">
        <v>3033</v>
      </c>
      <c r="M75" s="284" t="s">
        <v>2962</v>
      </c>
      <c r="N75" s="269">
        <f>+R75+T75-U75</f>
        <v>0</v>
      </c>
      <c r="O75" s="270">
        <f>+N75+S75+X75+ABS(Y75)-ABS(AA75)+ABS(Z75)+ABS(AB75)+ABS(AD75)-ABS(AE75)+AC75+W75+Q75</f>
        <v>0</v>
      </c>
      <c r="P75" s="271">
        <f>+O75-N75</f>
        <v>0</v>
      </c>
      <c r="Q75" s="520"/>
      <c r="R75" s="354">
        <f>IF(ISERROR(VLOOKUP("SAN"&amp;$C75,ESTR_PREC_SP!$A$2:$G$2000,4,FALSE))=TRUE,0,VLOOKUP("SAN"&amp;$C75,ESTR_PREC_SP!$A$2:$G$2000,4,FALSE))</f>
        <v>0</v>
      </c>
      <c r="S75" s="521"/>
      <c r="T75" s="521"/>
      <c r="U75" s="521"/>
      <c r="W75" s="520"/>
      <c r="X75" s="520"/>
      <c r="Y75" s="520"/>
      <c r="Z75" s="520"/>
      <c r="AA75" s="520"/>
      <c r="AB75" s="520"/>
      <c r="AC75" s="520"/>
      <c r="AD75" s="520"/>
      <c r="AE75" s="520"/>
    </row>
    <row r="76" spans="2:35" s="204" customFormat="1" x14ac:dyDescent="0.25">
      <c r="B76" s="293"/>
      <c r="C76" s="293"/>
      <c r="D76" s="230"/>
      <c r="E76" s="230"/>
      <c r="F76" s="230"/>
      <c r="G76" s="230"/>
      <c r="H76" s="231"/>
      <c r="I76" s="230"/>
      <c r="J76" s="230"/>
      <c r="K76" s="230"/>
      <c r="L76" s="275"/>
      <c r="M76" s="216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11"/>
    </row>
    <row r="77" spans="2:35" s="204" customFormat="1" ht="26.25" x14ac:dyDescent="0.25">
      <c r="B77" s="292" t="s">
        <v>225</v>
      </c>
      <c r="C77" s="292" t="s">
        <v>226</v>
      </c>
      <c r="D77" s="274" t="s">
        <v>3034</v>
      </c>
      <c r="E77" s="247"/>
      <c r="F77" s="247"/>
      <c r="G77" s="247"/>
      <c r="H77" s="248"/>
      <c r="I77" s="247"/>
      <c r="J77" s="247"/>
      <c r="K77" s="249"/>
      <c r="L77" s="276" t="s">
        <v>228</v>
      </c>
      <c r="M77" s="251" t="s">
        <v>2962</v>
      </c>
      <c r="N77" s="252">
        <f>SUM(N80:N83)</f>
        <v>0</v>
      </c>
      <c r="O77" s="252">
        <f>SUM(O80:O83)</f>
        <v>0</v>
      </c>
      <c r="P77" s="259">
        <f>+O77-N77</f>
        <v>0</v>
      </c>
      <c r="Q77" s="252">
        <f>SUM(Q80:Q83)</f>
        <v>0</v>
      </c>
      <c r="R77" s="252">
        <f>SUM(R80:R83)</f>
        <v>0</v>
      </c>
      <c r="S77" s="252">
        <f>SUM(S80:S83)</f>
        <v>0</v>
      </c>
      <c r="V77" s="211"/>
      <c r="W77" s="252">
        <f>SUM(W80:W83)</f>
        <v>0</v>
      </c>
      <c r="X77" s="252">
        <f>SUM(X80:X83)</f>
        <v>0</v>
      </c>
      <c r="Y77" s="252">
        <f>SUM(Y80:Y83)</f>
        <v>0</v>
      </c>
      <c r="Z77" s="252">
        <f>SUM(Z80:Z83)</f>
        <v>0</v>
      </c>
      <c r="AA77" s="211"/>
    </row>
    <row r="78" spans="2:35" s="204" customFormat="1" x14ac:dyDescent="0.25">
      <c r="B78" s="293"/>
      <c r="C78" s="293"/>
      <c r="D78" s="230"/>
      <c r="E78" s="230"/>
      <c r="F78" s="230"/>
      <c r="G78" s="230"/>
      <c r="H78" s="231"/>
      <c r="I78" s="230"/>
      <c r="J78" s="230"/>
      <c r="K78" s="230"/>
      <c r="L78" s="277"/>
      <c r="M78" s="216"/>
      <c r="N78" s="285"/>
      <c r="O78" s="211"/>
      <c r="P78" s="211"/>
      <c r="Q78" s="211"/>
      <c r="V78" s="211"/>
      <c r="W78" s="211"/>
      <c r="X78" s="211"/>
      <c r="Y78" s="211"/>
      <c r="Z78" s="211"/>
      <c r="AA78" s="285"/>
    </row>
    <row r="79" spans="2:35" s="204" customFormat="1" ht="51" x14ac:dyDescent="0.25">
      <c r="B79" s="294" t="s">
        <v>2968</v>
      </c>
      <c r="C79" s="294" t="s">
        <v>2969</v>
      </c>
      <c r="D79" s="206" t="s">
        <v>72</v>
      </c>
      <c r="E79" s="206"/>
      <c r="F79" s="206"/>
      <c r="G79" s="207"/>
      <c r="H79" s="207"/>
      <c r="I79" s="207"/>
      <c r="J79" s="207" t="s">
        <v>2957</v>
      </c>
      <c r="K79" s="206" t="s">
        <v>82</v>
      </c>
      <c r="L79" s="261" t="s">
        <v>2970</v>
      </c>
      <c r="M79" s="280"/>
      <c r="N79" s="256" t="str">
        <f>N$15</f>
        <v>Valore netto al 31/12/2019</v>
      </c>
      <c r="O79" s="256" t="str">
        <f>O$15</f>
        <v>Valore netto al 31/12/2020</v>
      </c>
      <c r="P79" s="256" t="str">
        <f>P$15</f>
        <v>Variazione</v>
      </c>
      <c r="Q79" s="262" t="s">
        <v>2971</v>
      </c>
      <c r="R79" s="262" t="str">
        <f>"Fondo ammortamento 31/12/"&amp;Info!$B$3-1</f>
        <v>Fondo ammortamento 31/12/2019</v>
      </c>
      <c r="S79" s="262" t="s">
        <v>2972</v>
      </c>
      <c r="V79" s="211"/>
      <c r="W79" s="262" t="s">
        <v>2975</v>
      </c>
      <c r="X79" s="262" t="s">
        <v>2976</v>
      </c>
      <c r="Y79" s="262" t="s">
        <v>2989</v>
      </c>
      <c r="Z79" s="262" t="s">
        <v>2990</v>
      </c>
      <c r="AA79" s="285"/>
    </row>
    <row r="80" spans="2:35" s="204" customFormat="1" x14ac:dyDescent="0.25">
      <c r="B80" s="273" t="s">
        <v>229</v>
      </c>
      <c r="C80" s="273" t="s">
        <v>230</v>
      </c>
      <c r="D80" s="274" t="s">
        <v>3035</v>
      </c>
      <c r="E80" s="264"/>
      <c r="F80" s="264"/>
      <c r="G80" s="265"/>
      <c r="H80" s="266"/>
      <c r="I80" s="281"/>
      <c r="J80" s="281"/>
      <c r="K80" s="281"/>
      <c r="L80" s="282" t="s">
        <v>3027</v>
      </c>
      <c r="M80" s="263" t="s">
        <v>2962</v>
      </c>
      <c r="N80" s="269">
        <f>+R80</f>
        <v>0</v>
      </c>
      <c r="O80" s="270">
        <f>+R80+S80+X80-ABS(Y80)+ABS(Z80)+W80+Q80</f>
        <v>0</v>
      </c>
      <c r="P80" s="271">
        <f>+O80-N80</f>
        <v>0</v>
      </c>
      <c r="Q80" s="520"/>
      <c r="R80" s="354">
        <f>IF(ISERROR(VLOOKUP("SAN"&amp;$C80,ESTR_PREC_SP!$A$2:$G$2000,4,FALSE))=TRUE,0,VLOOKUP("SAN"&amp;$C80,ESTR_PREC_SP!$A$2:$G$2000,4,FALSE))</f>
        <v>0</v>
      </c>
      <c r="S80" s="521"/>
      <c r="V80" s="211"/>
      <c r="W80" s="520"/>
      <c r="X80" s="520"/>
      <c r="Y80" s="520"/>
      <c r="Z80" s="520"/>
      <c r="AA80" s="285"/>
    </row>
    <row r="81" spans="2:31" s="204" customFormat="1" x14ac:dyDescent="0.25">
      <c r="B81" s="273" t="s">
        <v>232</v>
      </c>
      <c r="C81" s="273" t="s">
        <v>233</v>
      </c>
      <c r="D81" s="274" t="s">
        <v>3037</v>
      </c>
      <c r="E81" s="264"/>
      <c r="F81" s="264"/>
      <c r="G81" s="265"/>
      <c r="H81" s="266"/>
      <c r="I81" s="281"/>
      <c r="J81" s="281"/>
      <c r="K81" s="281"/>
      <c r="L81" s="282" t="s">
        <v>3029</v>
      </c>
      <c r="M81" s="263" t="s">
        <v>2962</v>
      </c>
      <c r="N81" s="269">
        <f>+R81</f>
        <v>0</v>
      </c>
      <c r="O81" s="270">
        <f>+R81+S81+X81-ABS(Y81)+ABS(Z81)+W81+Q81</f>
        <v>0</v>
      </c>
      <c r="P81" s="271">
        <f>+O81-N81</f>
        <v>0</v>
      </c>
      <c r="Q81" s="520"/>
      <c r="R81" s="354">
        <f>IF(ISERROR(VLOOKUP("SAN"&amp;$C81,ESTR_PREC_SP!$A$2:$G$2000,4,FALSE))=TRUE,0,VLOOKUP("SAN"&amp;$C81,ESTR_PREC_SP!$A$2:$G$2000,4,FALSE))</f>
        <v>0</v>
      </c>
      <c r="S81" s="521"/>
      <c r="V81" s="211"/>
      <c r="W81" s="520"/>
      <c r="X81" s="520"/>
      <c r="Y81" s="520"/>
      <c r="Z81" s="520"/>
      <c r="AA81" s="285"/>
    </row>
    <row r="82" spans="2:31" s="204" customFormat="1" x14ac:dyDescent="0.25">
      <c r="B82" s="273" t="s">
        <v>235</v>
      </c>
      <c r="C82" s="273" t="s">
        <v>236</v>
      </c>
      <c r="D82" s="274" t="s">
        <v>3039</v>
      </c>
      <c r="E82" s="264"/>
      <c r="F82" s="274"/>
      <c r="G82" s="283"/>
      <c r="H82" s="266"/>
      <c r="I82" s="281"/>
      <c r="J82" s="281"/>
      <c r="K82" s="281"/>
      <c r="L82" s="288" t="s">
        <v>3031</v>
      </c>
      <c r="M82" s="284" t="s">
        <v>2962</v>
      </c>
      <c r="N82" s="269">
        <f>+R82</f>
        <v>0</v>
      </c>
      <c r="O82" s="270">
        <f>+R82+S82+X82-ABS(Y82)+ABS(Z82)+W82+Q82</f>
        <v>0</v>
      </c>
      <c r="P82" s="271">
        <f>+O82-N82</f>
        <v>0</v>
      </c>
      <c r="Q82" s="520"/>
      <c r="R82" s="354">
        <f>IF(ISERROR(VLOOKUP("SAN"&amp;$C82,ESTR_PREC_SP!$A$2:$G$2000,4,FALSE))=TRUE,0,VLOOKUP("SAN"&amp;$C82,ESTR_PREC_SP!$A$2:$G$2000,4,FALSE))</f>
        <v>0</v>
      </c>
      <c r="S82" s="521"/>
      <c r="V82" s="211"/>
      <c r="W82" s="520"/>
      <c r="X82" s="520"/>
      <c r="Y82" s="520"/>
      <c r="Z82" s="520"/>
      <c r="AA82" s="285"/>
    </row>
    <row r="83" spans="2:31" s="204" customFormat="1" x14ac:dyDescent="0.25">
      <c r="B83" s="273" t="s">
        <v>238</v>
      </c>
      <c r="C83" s="273" t="s">
        <v>239</v>
      </c>
      <c r="D83" s="274" t="s">
        <v>3041</v>
      </c>
      <c r="E83" s="264"/>
      <c r="F83" s="274"/>
      <c r="G83" s="283"/>
      <c r="H83" s="266"/>
      <c r="I83" s="281"/>
      <c r="J83" s="281"/>
      <c r="K83" s="281"/>
      <c r="L83" s="288" t="s">
        <v>3033</v>
      </c>
      <c r="M83" s="284" t="s">
        <v>2962</v>
      </c>
      <c r="N83" s="269">
        <f>+R83</f>
        <v>0</v>
      </c>
      <c r="O83" s="270">
        <f>+R83+S83+X83-ABS(Y83)+ABS(Z83)+W83+Q83</f>
        <v>0</v>
      </c>
      <c r="P83" s="271">
        <f>+O83-N83</f>
        <v>0</v>
      </c>
      <c r="Q83" s="520"/>
      <c r="R83" s="354">
        <f>IF(ISERROR(VLOOKUP("SAN"&amp;$C83,ESTR_PREC_SP!$A$2:$G$2000,4,FALSE))=TRUE,0,VLOOKUP("SAN"&amp;$C83,ESTR_PREC_SP!$A$2:$G$2000,4,FALSE))</f>
        <v>0</v>
      </c>
      <c r="S83" s="521"/>
      <c r="V83" s="211"/>
      <c r="W83" s="520"/>
      <c r="X83" s="520"/>
      <c r="Y83" s="520"/>
      <c r="Z83" s="520"/>
      <c r="AA83" s="285"/>
    </row>
    <row r="84" spans="2:31" s="204" customFormat="1" x14ac:dyDescent="0.25">
      <c r="B84" s="293"/>
      <c r="C84" s="293"/>
      <c r="D84" s="230"/>
      <c r="E84" s="230"/>
      <c r="F84" s="230"/>
      <c r="G84" s="230"/>
      <c r="H84" s="231"/>
      <c r="I84" s="230"/>
      <c r="J84" s="230"/>
      <c r="K84" s="230"/>
      <c r="L84" s="275"/>
      <c r="M84" s="216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</row>
    <row r="85" spans="2:31" s="204" customFormat="1" ht="25.5" x14ac:dyDescent="0.25">
      <c r="B85" s="293"/>
      <c r="C85" s="293"/>
      <c r="D85" s="230"/>
      <c r="E85" s="230"/>
      <c r="F85" s="230"/>
      <c r="G85" s="230"/>
      <c r="H85" s="231"/>
      <c r="I85" s="230"/>
      <c r="J85" s="230"/>
      <c r="K85" s="230"/>
      <c r="L85" s="255"/>
      <c r="M85" s="244"/>
      <c r="N85" s="256" t="str">
        <f>N$15</f>
        <v>Valore netto al 31/12/2019</v>
      </c>
      <c r="O85" s="256" t="str">
        <f>O$15</f>
        <v>Valore netto al 31/12/2020</v>
      </c>
      <c r="P85" s="256" t="str">
        <f>P$15</f>
        <v>Variazione</v>
      </c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</row>
    <row r="86" spans="2:31" s="204" customFormat="1" x14ac:dyDescent="0.25">
      <c r="B86" s="246" t="s">
        <v>241</v>
      </c>
      <c r="C86" s="246" t="s">
        <v>242</v>
      </c>
      <c r="D86" s="247" t="s">
        <v>3043</v>
      </c>
      <c r="E86" s="247"/>
      <c r="F86" s="247"/>
      <c r="G86" s="247"/>
      <c r="H86" s="248"/>
      <c r="I86" s="247"/>
      <c r="J86" s="247"/>
      <c r="K86" s="249"/>
      <c r="L86" s="257" t="s">
        <v>246</v>
      </c>
      <c r="M86" s="251" t="s">
        <v>2962</v>
      </c>
      <c r="N86" s="252">
        <f>SUM(N89:N90)</f>
        <v>1247582</v>
      </c>
      <c r="O86" s="252">
        <f>SUM(O89:O90)</f>
        <v>541999</v>
      </c>
      <c r="P86" s="253">
        <f>+O86-N86</f>
        <v>-705583</v>
      </c>
      <c r="Q86" s="252">
        <f>SUM(Q89:Q90)</f>
        <v>0</v>
      </c>
      <c r="R86" s="252">
        <f>SUM(R89:R90)</f>
        <v>1247582</v>
      </c>
      <c r="S86" s="252">
        <f>SUM(S89:S90)</f>
        <v>0</v>
      </c>
      <c r="T86" s="252">
        <f>SUM(T89:T90)</f>
        <v>0</v>
      </c>
      <c r="U86" s="252">
        <f>SUM(U89:U90)</f>
        <v>0</v>
      </c>
      <c r="V86" s="216"/>
      <c r="W86" s="252">
        <f t="shared" ref="W86:AE86" si="3">SUM(W89:W90)</f>
        <v>0</v>
      </c>
      <c r="X86" s="252">
        <f t="shared" si="3"/>
        <v>-916867</v>
      </c>
      <c r="Y86" s="252">
        <f t="shared" si="3"/>
        <v>0</v>
      </c>
      <c r="Z86" s="252">
        <f t="shared" si="3"/>
        <v>0</v>
      </c>
      <c r="AA86" s="252">
        <f t="shared" si="3"/>
        <v>0</v>
      </c>
      <c r="AB86" s="252">
        <f t="shared" si="3"/>
        <v>211284</v>
      </c>
      <c r="AC86" s="252">
        <f t="shared" si="3"/>
        <v>0</v>
      </c>
      <c r="AD86" s="252">
        <f t="shared" si="3"/>
        <v>0</v>
      </c>
      <c r="AE86" s="252">
        <f t="shared" si="3"/>
        <v>0</v>
      </c>
    </row>
    <row r="87" spans="2:31" s="204" customFormat="1" x14ac:dyDescent="0.25">
      <c r="B87" s="230"/>
      <c r="C87" s="230"/>
      <c r="D87" s="230"/>
      <c r="E87" s="230"/>
      <c r="F87" s="230"/>
      <c r="G87" s="230"/>
      <c r="H87" s="231"/>
      <c r="I87" s="230"/>
      <c r="J87" s="230"/>
      <c r="K87" s="230"/>
      <c r="L87" s="277"/>
      <c r="M87" s="211"/>
      <c r="N87" s="254"/>
      <c r="O87" s="211"/>
      <c r="P87" s="211"/>
      <c r="Q87" s="211"/>
      <c r="R87" s="216"/>
      <c r="T87" s="216"/>
      <c r="U87" s="216"/>
      <c r="V87" s="216"/>
      <c r="W87" s="211"/>
      <c r="X87" s="211"/>
      <c r="Y87" s="211"/>
      <c r="Z87" s="211"/>
      <c r="AA87" s="211"/>
    </row>
    <row r="88" spans="2:31" s="204" customFormat="1" ht="51" x14ac:dyDescent="0.25">
      <c r="B88" s="260" t="s">
        <v>2968</v>
      </c>
      <c r="C88" s="260" t="s">
        <v>2969</v>
      </c>
      <c r="D88" s="206" t="s">
        <v>72</v>
      </c>
      <c r="E88" s="206"/>
      <c r="F88" s="206"/>
      <c r="G88" s="207"/>
      <c r="H88" s="207"/>
      <c r="I88" s="207"/>
      <c r="J88" s="207" t="s">
        <v>2957</v>
      </c>
      <c r="K88" s="206" t="s">
        <v>82</v>
      </c>
      <c r="L88" s="261" t="s">
        <v>2970</v>
      </c>
      <c r="M88" s="280"/>
      <c r="N88" s="256" t="str">
        <f>N$15</f>
        <v>Valore netto al 31/12/2019</v>
      </c>
      <c r="O88" s="256" t="str">
        <f>O$15</f>
        <v>Valore netto al 31/12/2020</v>
      </c>
      <c r="P88" s="256" t="str">
        <f>P$15</f>
        <v>Variazione</v>
      </c>
      <c r="Q88" s="262" t="s">
        <v>2971</v>
      </c>
      <c r="R88" s="262" t="str">
        <f>"Costo storico al 31/12/"&amp;Info!$B$3-1</f>
        <v>Costo storico al 31/12/2019</v>
      </c>
      <c r="S88" s="262" t="s">
        <v>2972</v>
      </c>
      <c r="T88" s="262" t="s">
        <v>3044</v>
      </c>
      <c r="U88" s="262" t="s">
        <v>2974</v>
      </c>
      <c r="W88" s="262" t="s">
        <v>2975</v>
      </c>
      <c r="X88" s="262" t="s">
        <v>2976</v>
      </c>
      <c r="Y88" s="262" t="s">
        <v>2977</v>
      </c>
      <c r="Z88" s="262" t="s">
        <v>2978</v>
      </c>
      <c r="AA88" s="262" t="s">
        <v>2979</v>
      </c>
      <c r="AB88" s="262" t="s">
        <v>3045</v>
      </c>
      <c r="AC88" s="262" t="s">
        <v>2981</v>
      </c>
      <c r="AD88" s="262" t="s">
        <v>3046</v>
      </c>
      <c r="AE88" s="262" t="s">
        <v>3047</v>
      </c>
    </row>
    <row r="89" spans="2:31" s="204" customFormat="1" x14ac:dyDescent="0.25">
      <c r="B89" s="263" t="s">
        <v>247</v>
      </c>
      <c r="C89" s="263" t="s">
        <v>248</v>
      </c>
      <c r="D89" s="264" t="s">
        <v>3048</v>
      </c>
      <c r="E89" s="264"/>
      <c r="F89" s="264"/>
      <c r="G89" s="265"/>
      <c r="H89" s="266"/>
      <c r="I89" s="281"/>
      <c r="J89" s="281"/>
      <c r="K89" s="281"/>
      <c r="L89" s="295" t="s">
        <v>3049</v>
      </c>
      <c r="M89" s="284" t="s">
        <v>2962</v>
      </c>
      <c r="N89" s="269">
        <f>+R89+T89-U89</f>
        <v>1247582</v>
      </c>
      <c r="O89" s="270">
        <f>+N89+S89+X89+ABS(Y89)-ABS(AA89)+ABS(Z89)+ABS(AB89)+ABS(AD89)-ABS(AE89)+AC89+W89+Q89</f>
        <v>541999</v>
      </c>
      <c r="P89" s="271">
        <f>+O89-N89</f>
        <v>-705583</v>
      </c>
      <c r="Q89" s="520"/>
      <c r="R89" s="354">
        <f>IF(ISERROR(VLOOKUP("SAN"&amp;$C89,ESTR_PREC_SP!$A$2:$G$2000,4,FALSE))=TRUE,0,VLOOKUP("SAN"&amp;$C89,ESTR_PREC_SP!$A$2:$G$2000,4,FALSE))</f>
        <v>1247582</v>
      </c>
      <c r="S89" s="521"/>
      <c r="T89" s="521"/>
      <c r="U89" s="521"/>
      <c r="W89" s="520"/>
      <c r="X89" s="520">
        <f>-916867</f>
        <v>-916867</v>
      </c>
      <c r="Y89" s="520"/>
      <c r="Z89" s="520"/>
      <c r="AA89" s="520"/>
      <c r="AB89" s="520">
        <f>228974-17690</f>
        <v>211284</v>
      </c>
      <c r="AC89" s="521"/>
      <c r="AD89" s="520"/>
      <c r="AE89" s="520"/>
    </row>
    <row r="90" spans="2:31" s="204" customFormat="1" x14ac:dyDescent="0.25">
      <c r="B90" s="263" t="s">
        <v>250</v>
      </c>
      <c r="C90" s="263" t="s">
        <v>251</v>
      </c>
      <c r="D90" s="274" t="s">
        <v>3050</v>
      </c>
      <c r="E90" s="264"/>
      <c r="F90" s="274"/>
      <c r="G90" s="283"/>
      <c r="H90" s="266"/>
      <c r="I90" s="281"/>
      <c r="J90" s="281"/>
      <c r="K90" s="281"/>
      <c r="L90" s="295" t="s">
        <v>3051</v>
      </c>
      <c r="M90" s="284" t="s">
        <v>2962</v>
      </c>
      <c r="N90" s="269">
        <f>+R90+T90-U90</f>
        <v>0</v>
      </c>
      <c r="O90" s="270">
        <f>+N90+S90+X90+ABS(Y90)-ABS(AA90)+ABS(Z90)+ABS(AB90)+ABS(AD90)-ABS(AE90)+AC90+W90+Q90</f>
        <v>0</v>
      </c>
      <c r="P90" s="271">
        <f>+O90-N90</f>
        <v>0</v>
      </c>
      <c r="Q90" s="520"/>
      <c r="R90" s="354">
        <f>IF(ISERROR(VLOOKUP("SAN"&amp;$C90,ESTR_PREC_SP!$A$2:$G$2000,4,FALSE))=TRUE,0,VLOOKUP("SAN"&amp;$C90,ESTR_PREC_SP!$A$2:$G$2000,4,FALSE))</f>
        <v>0</v>
      </c>
      <c r="S90" s="521"/>
      <c r="T90" s="521"/>
      <c r="U90" s="521"/>
      <c r="W90" s="520"/>
      <c r="X90" s="520"/>
      <c r="Y90" s="520"/>
      <c r="Z90" s="520"/>
      <c r="AA90" s="520"/>
      <c r="AB90" s="520"/>
      <c r="AC90" s="521"/>
      <c r="AD90" s="520"/>
      <c r="AE90" s="520"/>
    </row>
    <row r="91" spans="2:31" s="204" customFormat="1" ht="38.25" x14ac:dyDescent="0.25">
      <c r="B91" s="230"/>
      <c r="C91" s="230"/>
      <c r="D91" s="230"/>
      <c r="E91" s="230"/>
      <c r="F91" s="230"/>
      <c r="G91" s="230"/>
      <c r="H91" s="231"/>
      <c r="I91" s="230"/>
      <c r="J91" s="230"/>
      <c r="K91" s="230"/>
      <c r="L91" s="296" t="s">
        <v>3052</v>
      </c>
      <c r="M91" s="216"/>
      <c r="N91" s="285"/>
      <c r="O91" s="285"/>
      <c r="P91" s="285"/>
      <c r="Q91" s="211"/>
      <c r="R91" s="285"/>
      <c r="S91" s="285"/>
      <c r="T91" s="285"/>
      <c r="U91" s="285"/>
      <c r="V91" s="285"/>
      <c r="W91" s="285"/>
      <c r="X91" s="285"/>
      <c r="Y91" s="285"/>
      <c r="Z91" s="211"/>
      <c r="AA91" s="211"/>
    </row>
    <row r="92" spans="2:31" s="204" customFormat="1" x14ac:dyDescent="0.25">
      <c r="B92" s="230"/>
      <c r="C92" s="230"/>
      <c r="D92" s="230"/>
      <c r="E92" s="230"/>
      <c r="F92" s="230"/>
      <c r="G92" s="230"/>
      <c r="H92" s="231"/>
      <c r="I92" s="230"/>
      <c r="J92" s="230"/>
      <c r="K92" s="230"/>
      <c r="L92" s="296"/>
      <c r="M92" s="216"/>
      <c r="N92" s="285"/>
      <c r="O92" s="285"/>
      <c r="P92" s="285"/>
      <c r="Q92" s="211"/>
      <c r="R92" s="285"/>
      <c r="S92" s="285"/>
      <c r="T92" s="285"/>
      <c r="U92" s="285"/>
      <c r="V92" s="285"/>
      <c r="W92" s="285"/>
      <c r="X92" s="285"/>
      <c r="Y92" s="285"/>
      <c r="Z92" s="211"/>
      <c r="AA92" s="211"/>
    </row>
    <row r="93" spans="2:31" s="204" customFormat="1" ht="25.5" x14ac:dyDescent="0.25">
      <c r="B93" s="230"/>
      <c r="C93" s="230"/>
      <c r="D93" s="230"/>
      <c r="E93" s="230"/>
      <c r="F93" s="230"/>
      <c r="G93" s="230"/>
      <c r="H93" s="231"/>
      <c r="I93" s="230"/>
      <c r="J93" s="230"/>
      <c r="K93" s="230"/>
      <c r="L93" s="255"/>
      <c r="M93" s="244"/>
      <c r="N93" s="256" t="str">
        <f>N$15</f>
        <v>Valore netto al 31/12/2019</v>
      </c>
      <c r="O93" s="256" t="str">
        <f>O$15</f>
        <v>Valore netto al 31/12/2020</v>
      </c>
      <c r="P93" s="256" t="str">
        <f>P$15</f>
        <v>Variazione</v>
      </c>
      <c r="Q93" s="285"/>
      <c r="R93" s="285"/>
      <c r="S93" s="285"/>
      <c r="T93" s="285"/>
      <c r="U93" s="285"/>
      <c r="V93" s="285"/>
      <c r="W93" s="285"/>
      <c r="X93" s="285"/>
      <c r="Y93" s="285"/>
      <c r="Z93" s="211"/>
      <c r="AA93" s="211"/>
    </row>
    <row r="94" spans="2:31" s="204" customFormat="1" x14ac:dyDescent="0.25">
      <c r="B94" s="246" t="s">
        <v>253</v>
      </c>
      <c r="C94" s="246" t="s">
        <v>254</v>
      </c>
      <c r="D94" s="247" t="s">
        <v>3053</v>
      </c>
      <c r="E94" s="247"/>
      <c r="F94" s="247"/>
      <c r="G94" s="247"/>
      <c r="H94" s="248"/>
      <c r="I94" s="247"/>
      <c r="J94" s="247"/>
      <c r="K94" s="249"/>
      <c r="L94" s="257" t="s">
        <v>256</v>
      </c>
      <c r="M94" s="251" t="s">
        <v>2962</v>
      </c>
      <c r="N94" s="252">
        <f>+N96-N108+N118-N124+N130-N136+N142-N150</f>
        <v>256773</v>
      </c>
      <c r="O94" s="252">
        <f>+O96-O108+O118-O124+O130-O136+O142-O150</f>
        <v>1360993</v>
      </c>
      <c r="P94" s="253">
        <f>+O94-N94</f>
        <v>1104220</v>
      </c>
      <c r="Q94" s="252">
        <f>+Q96-Q108+Q118-Q124+Q130-Q136+Q142-Q150</f>
        <v>0</v>
      </c>
      <c r="R94" s="252">
        <f>+R96-R108+R118-R124+R130-R136+R142-R150</f>
        <v>256773</v>
      </c>
      <c r="S94" s="252">
        <f>+S96-S108+S118-S124+S130-S136+T142-S150</f>
        <v>0</v>
      </c>
      <c r="T94" s="252">
        <f>+T96-T108+T118-T124+T130-T136+U142-T150</f>
        <v>0</v>
      </c>
      <c r="U94" s="252">
        <f>+U96-U108+U118-U124+U130-U136+V142-U150</f>
        <v>0</v>
      </c>
      <c r="V94" s="211"/>
      <c r="W94" s="252">
        <f t="shared" ref="W94:AE94" si="4">+W96-W108+W118-W124+W130-W136+W142-W150</f>
        <v>0</v>
      </c>
      <c r="X94" s="252">
        <f t="shared" si="4"/>
        <v>0</v>
      </c>
      <c r="Y94" s="252">
        <f t="shared" si="4"/>
        <v>0</v>
      </c>
      <c r="Z94" s="252">
        <f t="shared" si="4"/>
        <v>-168240</v>
      </c>
      <c r="AA94" s="252">
        <f t="shared" si="4"/>
        <v>0</v>
      </c>
      <c r="AB94" s="252">
        <f t="shared" si="4"/>
        <v>0</v>
      </c>
      <c r="AC94" s="252">
        <f t="shared" si="4"/>
        <v>1272460</v>
      </c>
      <c r="AD94" s="252">
        <f t="shared" si="4"/>
        <v>0</v>
      </c>
      <c r="AE94" s="252">
        <f t="shared" si="4"/>
        <v>0</v>
      </c>
    </row>
    <row r="95" spans="2:31" s="204" customFormat="1" x14ac:dyDescent="0.25">
      <c r="B95" s="230"/>
      <c r="C95" s="230"/>
      <c r="D95" s="230"/>
      <c r="E95" s="230"/>
      <c r="F95" s="230"/>
      <c r="G95" s="230"/>
      <c r="H95" s="231"/>
      <c r="I95" s="230"/>
      <c r="J95" s="230"/>
      <c r="K95" s="230"/>
      <c r="L95" s="232"/>
      <c r="M95" s="211"/>
      <c r="N95" s="254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</row>
    <row r="96" spans="2:31" s="204" customFormat="1" x14ac:dyDescent="0.25">
      <c r="B96" s="246" t="s">
        <v>257</v>
      </c>
      <c r="C96" s="246" t="s">
        <v>258</v>
      </c>
      <c r="D96" s="247" t="s">
        <v>3054</v>
      </c>
      <c r="E96" s="247"/>
      <c r="F96" s="247"/>
      <c r="G96" s="247"/>
      <c r="H96" s="248"/>
      <c r="I96" s="247"/>
      <c r="J96" s="247"/>
      <c r="K96" s="249"/>
      <c r="L96" s="276" t="s">
        <v>261</v>
      </c>
      <c r="M96" s="251" t="s">
        <v>2962</v>
      </c>
      <c r="N96" s="252">
        <f>SUM(N99:N106)</f>
        <v>8880683</v>
      </c>
      <c r="O96" s="252">
        <f>SUM(O99:O106)</f>
        <v>10153143</v>
      </c>
      <c r="P96" s="259">
        <f>+O96-N96</f>
        <v>1272460</v>
      </c>
      <c r="Q96" s="252">
        <f>SUM(Q99:Q106)</f>
        <v>0</v>
      </c>
      <c r="R96" s="252">
        <f>SUM(R99:R106)</f>
        <v>8880683</v>
      </c>
      <c r="S96" s="252">
        <f>SUM(T99:T106)</f>
        <v>0</v>
      </c>
      <c r="T96" s="252">
        <f>SUM(U99:U106)</f>
        <v>0</v>
      </c>
      <c r="U96" s="252">
        <f>SUM(V99:V106)</f>
        <v>0</v>
      </c>
      <c r="V96" s="216"/>
      <c r="W96" s="252">
        <f t="shared" ref="W96:AE96" si="5">SUM(W99:W106)</f>
        <v>0</v>
      </c>
      <c r="X96" s="252">
        <f t="shared" si="5"/>
        <v>0</v>
      </c>
      <c r="Y96" s="252">
        <f t="shared" si="5"/>
        <v>0</v>
      </c>
      <c r="Z96" s="252">
        <f t="shared" si="5"/>
        <v>0</v>
      </c>
      <c r="AA96" s="252">
        <f t="shared" si="5"/>
        <v>0</v>
      </c>
      <c r="AB96" s="252">
        <f t="shared" si="5"/>
        <v>0</v>
      </c>
      <c r="AC96" s="252">
        <f t="shared" si="5"/>
        <v>1272460</v>
      </c>
      <c r="AD96" s="252">
        <f t="shared" si="5"/>
        <v>0</v>
      </c>
      <c r="AE96" s="252">
        <f t="shared" si="5"/>
        <v>0</v>
      </c>
    </row>
    <row r="97" spans="2:31" s="204" customFormat="1" x14ac:dyDescent="0.25">
      <c r="B97" s="216"/>
      <c r="C97" s="216"/>
      <c r="D97" s="226"/>
      <c r="E97" s="226"/>
      <c r="F97" s="226"/>
      <c r="G97" s="226"/>
      <c r="H97" s="227"/>
      <c r="I97" s="226"/>
      <c r="J97" s="226"/>
      <c r="K97" s="226"/>
      <c r="L97" s="241"/>
      <c r="M97" s="278"/>
      <c r="N97" s="279"/>
      <c r="O97" s="279"/>
      <c r="P97" s="297"/>
      <c r="Q97" s="211"/>
      <c r="R97" s="216"/>
      <c r="S97" s="216"/>
      <c r="T97" s="216"/>
      <c r="U97" s="216"/>
      <c r="V97" s="216"/>
      <c r="W97" s="211"/>
      <c r="X97" s="211"/>
      <c r="Y97" s="211"/>
      <c r="Z97" s="211"/>
      <c r="AA97" s="211"/>
    </row>
    <row r="98" spans="2:31" s="204" customFormat="1" ht="51" x14ac:dyDescent="0.25">
      <c r="B98" s="294" t="s">
        <v>2968</v>
      </c>
      <c r="C98" s="294" t="s">
        <v>2969</v>
      </c>
      <c r="D98" s="206" t="s">
        <v>72</v>
      </c>
      <c r="E98" s="206"/>
      <c r="F98" s="206"/>
      <c r="G98" s="207"/>
      <c r="H98" s="207"/>
      <c r="I98" s="207"/>
      <c r="J98" s="207" t="s">
        <v>2957</v>
      </c>
      <c r="K98" s="206" t="s">
        <v>82</v>
      </c>
      <c r="L98" s="261" t="s">
        <v>2970</v>
      </c>
      <c r="M98" s="280"/>
      <c r="N98" s="256" t="str">
        <f>N$15</f>
        <v>Valore netto al 31/12/2019</v>
      </c>
      <c r="O98" s="256" t="str">
        <f>O$15</f>
        <v>Valore netto al 31/12/2020</v>
      </c>
      <c r="P98" s="256" t="str">
        <f>P$15</f>
        <v>Variazione</v>
      </c>
      <c r="Q98" s="262" t="s">
        <v>2971</v>
      </c>
      <c r="R98" s="262" t="str">
        <f>"Costo storico al 31/12/"&amp;Info!$B$3-1</f>
        <v>Costo storico al 31/12/2019</v>
      </c>
      <c r="S98" s="262" t="s">
        <v>2972</v>
      </c>
      <c r="T98" s="262" t="s">
        <v>2973</v>
      </c>
      <c r="U98" s="262" t="s">
        <v>2974</v>
      </c>
      <c r="W98" s="262" t="s">
        <v>2975</v>
      </c>
      <c r="X98" s="262" t="s">
        <v>2976</v>
      </c>
      <c r="Y98" s="262" t="s">
        <v>2977</v>
      </c>
      <c r="Z98" s="262" t="s">
        <v>2978</v>
      </c>
      <c r="AA98" s="262" t="s">
        <v>2979</v>
      </c>
      <c r="AB98" s="262" t="s">
        <v>2980</v>
      </c>
      <c r="AC98" s="262" t="s">
        <v>2981</v>
      </c>
      <c r="AD98" s="262" t="s">
        <v>2982</v>
      </c>
      <c r="AE98" s="262" t="s">
        <v>2983</v>
      </c>
    </row>
    <row r="99" spans="2:31" s="204" customFormat="1" x14ac:dyDescent="0.25">
      <c r="B99" s="273" t="s">
        <v>262</v>
      </c>
      <c r="C99" s="273" t="s">
        <v>263</v>
      </c>
      <c r="D99" s="274" t="s">
        <v>3055</v>
      </c>
      <c r="E99" s="264"/>
      <c r="F99" s="264"/>
      <c r="G99" s="265"/>
      <c r="H99" s="266"/>
      <c r="I99" s="281"/>
      <c r="J99" s="281"/>
      <c r="K99" s="281"/>
      <c r="L99" s="282" t="s">
        <v>3056</v>
      </c>
      <c r="M99" s="263" t="s">
        <v>2962</v>
      </c>
      <c r="N99" s="269">
        <f t="shared" ref="N99:N106" si="6">+R99+T99-U99</f>
        <v>0</v>
      </c>
      <c r="O99" s="270">
        <f t="shared" ref="O99:O106" si="7">+N99+S99+X99+ABS(Y99)-ABS(AA99)+ABS(Z99)+ABS(AB99)+ABS(AD99)-ABS(AE99)+AC99+W99+Q99</f>
        <v>0</v>
      </c>
      <c r="P99" s="271">
        <f t="shared" ref="P99:P106" si="8">+O99-N99</f>
        <v>0</v>
      </c>
      <c r="Q99" s="520"/>
      <c r="R99" s="354">
        <f>IF(ISERROR(VLOOKUP("SAN"&amp;$C99,ESTR_PREC_SP!$A$2:$G$2000,4,FALSE))=TRUE,0,VLOOKUP("SAN"&amp;$C99,ESTR_PREC_SP!$A$2:$G$2000,4,FALSE))</f>
        <v>0</v>
      </c>
      <c r="S99" s="521"/>
      <c r="T99" s="521"/>
      <c r="U99" s="521"/>
      <c r="W99" s="520"/>
      <c r="X99" s="520"/>
      <c r="Y99" s="520"/>
      <c r="Z99" s="520"/>
      <c r="AA99" s="520"/>
      <c r="AB99" s="520"/>
      <c r="AC99" s="520"/>
      <c r="AD99" s="520"/>
      <c r="AE99" s="520"/>
    </row>
    <row r="100" spans="2:31" s="204" customFormat="1" x14ac:dyDescent="0.25">
      <c r="B100" s="273" t="s">
        <v>265</v>
      </c>
      <c r="C100" s="273" t="s">
        <v>266</v>
      </c>
      <c r="D100" s="274" t="s">
        <v>3057</v>
      </c>
      <c r="E100" s="264"/>
      <c r="F100" s="264"/>
      <c r="G100" s="265"/>
      <c r="H100" s="266"/>
      <c r="I100" s="281"/>
      <c r="J100" s="281"/>
      <c r="K100" s="281"/>
      <c r="L100" s="282" t="s">
        <v>3058</v>
      </c>
      <c r="M100" s="263" t="s">
        <v>2962</v>
      </c>
      <c r="N100" s="269">
        <f t="shared" si="6"/>
        <v>0</v>
      </c>
      <c r="O100" s="270">
        <f t="shared" si="7"/>
        <v>0</v>
      </c>
      <c r="P100" s="271">
        <f t="shared" si="8"/>
        <v>0</v>
      </c>
      <c r="Q100" s="520"/>
      <c r="R100" s="354">
        <f>IF(ISERROR(VLOOKUP("SAN"&amp;$C100,ESTR_PREC_SP!$A$2:$G$2000,4,FALSE))=TRUE,0,VLOOKUP("SAN"&amp;$C100,ESTR_PREC_SP!$A$2:$G$2000,4,FALSE))</f>
        <v>0</v>
      </c>
      <c r="S100" s="521"/>
      <c r="T100" s="521"/>
      <c r="U100" s="521"/>
      <c r="W100" s="520"/>
      <c r="X100" s="520"/>
      <c r="Y100" s="520"/>
      <c r="Z100" s="520"/>
      <c r="AA100" s="520"/>
      <c r="AB100" s="520"/>
      <c r="AC100" s="520"/>
      <c r="AD100" s="520"/>
      <c r="AE100" s="520"/>
    </row>
    <row r="101" spans="2:31" s="204" customFormat="1" x14ac:dyDescent="0.25">
      <c r="B101" s="273" t="s">
        <v>268</v>
      </c>
      <c r="C101" s="273" t="s">
        <v>269</v>
      </c>
      <c r="D101" s="274" t="s">
        <v>3059</v>
      </c>
      <c r="E101" s="264"/>
      <c r="F101" s="274"/>
      <c r="G101" s="283"/>
      <c r="H101" s="266"/>
      <c r="I101" s="281"/>
      <c r="J101" s="281"/>
      <c r="K101" s="281"/>
      <c r="L101" s="282" t="s">
        <v>3060</v>
      </c>
      <c r="M101" s="284" t="s">
        <v>2962</v>
      </c>
      <c r="N101" s="269">
        <f t="shared" si="6"/>
        <v>6481811</v>
      </c>
      <c r="O101" s="270">
        <f t="shared" si="7"/>
        <v>7754271</v>
      </c>
      <c r="P101" s="271">
        <f t="shared" si="8"/>
        <v>1272460</v>
      </c>
      <c r="Q101" s="520"/>
      <c r="R101" s="354">
        <f>IF(ISERROR(VLOOKUP("SAN"&amp;$C101,ESTR_PREC_SP!$A$2:$G$2000,4,FALSE))=TRUE,0,VLOOKUP("SAN"&amp;$C101,ESTR_PREC_SP!$A$2:$G$2000,4,FALSE))</f>
        <v>6481811</v>
      </c>
      <c r="S101" s="521"/>
      <c r="T101" s="521"/>
      <c r="U101" s="521"/>
      <c r="W101" s="520"/>
      <c r="X101" s="520"/>
      <c r="Y101" s="520"/>
      <c r="Z101" s="520"/>
      <c r="AA101" s="520"/>
      <c r="AB101" s="520"/>
      <c r="AC101" s="520">
        <v>1272460</v>
      </c>
      <c r="AD101" s="520"/>
      <c r="AE101" s="520"/>
    </row>
    <row r="102" spans="2:31" s="204" customFormat="1" x14ac:dyDescent="0.25">
      <c r="B102" s="273" t="s">
        <v>271</v>
      </c>
      <c r="C102" s="273" t="s">
        <v>272</v>
      </c>
      <c r="D102" s="274" t="s">
        <v>3061</v>
      </c>
      <c r="E102" s="264"/>
      <c r="F102" s="274"/>
      <c r="G102" s="283"/>
      <c r="H102" s="266"/>
      <c r="I102" s="281"/>
      <c r="J102" s="281"/>
      <c r="K102" s="281"/>
      <c r="L102" s="282" t="s">
        <v>3062</v>
      </c>
      <c r="M102" s="284" t="s">
        <v>2962</v>
      </c>
      <c r="N102" s="269">
        <f t="shared" si="6"/>
        <v>2398872</v>
      </c>
      <c r="O102" s="270">
        <f t="shared" si="7"/>
        <v>2398872</v>
      </c>
      <c r="P102" s="271">
        <f t="shared" si="8"/>
        <v>0</v>
      </c>
      <c r="Q102" s="520"/>
      <c r="R102" s="354">
        <f>IF(ISERROR(VLOOKUP("SAN"&amp;$C102,ESTR_PREC_SP!$A$2:$G$2000,4,FALSE))=TRUE,0,VLOOKUP("SAN"&amp;$C102,ESTR_PREC_SP!$A$2:$G$2000,4,FALSE))</f>
        <v>2398872</v>
      </c>
      <c r="S102" s="521"/>
      <c r="T102" s="521"/>
      <c r="U102" s="521"/>
      <c r="W102" s="520"/>
      <c r="X102" s="520"/>
      <c r="Y102" s="520"/>
      <c r="Z102" s="520"/>
      <c r="AA102" s="520"/>
      <c r="AB102" s="520"/>
      <c r="AC102" s="520"/>
      <c r="AD102" s="520"/>
      <c r="AE102" s="520"/>
    </row>
    <row r="103" spans="2:31" s="204" customFormat="1" x14ac:dyDescent="0.25">
      <c r="B103" s="273" t="s">
        <v>274</v>
      </c>
      <c r="C103" s="273" t="s">
        <v>275</v>
      </c>
      <c r="D103" s="274" t="s">
        <v>3063</v>
      </c>
      <c r="E103" s="264"/>
      <c r="F103" s="274"/>
      <c r="G103" s="283"/>
      <c r="H103" s="266"/>
      <c r="I103" s="281"/>
      <c r="J103" s="281"/>
      <c r="K103" s="281"/>
      <c r="L103" s="282" t="s">
        <v>3064</v>
      </c>
      <c r="M103" s="284" t="s">
        <v>2962</v>
      </c>
      <c r="N103" s="269">
        <f t="shared" si="6"/>
        <v>0</v>
      </c>
      <c r="O103" s="270">
        <f t="shared" si="7"/>
        <v>0</v>
      </c>
      <c r="P103" s="271">
        <f t="shared" si="8"/>
        <v>0</v>
      </c>
      <c r="Q103" s="520"/>
      <c r="R103" s="354">
        <f>IF(ISERROR(VLOOKUP("SAN"&amp;$C103,ESTR_PREC_SP!$A$2:$G$2000,4,FALSE))=TRUE,0,VLOOKUP("SAN"&amp;$C103,ESTR_PREC_SP!$A$2:$G$2000,4,FALSE))</f>
        <v>0</v>
      </c>
      <c r="S103" s="521"/>
      <c r="T103" s="521"/>
      <c r="U103" s="521"/>
      <c r="W103" s="520"/>
      <c r="X103" s="520"/>
      <c r="Y103" s="520"/>
      <c r="Z103" s="520"/>
      <c r="AA103" s="520"/>
      <c r="AB103" s="520"/>
      <c r="AC103" s="520"/>
      <c r="AD103" s="520"/>
      <c r="AE103" s="520"/>
    </row>
    <row r="104" spans="2:31" s="204" customFormat="1" x14ac:dyDescent="0.25">
      <c r="B104" s="273" t="s">
        <v>277</v>
      </c>
      <c r="C104" s="273" t="s">
        <v>278</v>
      </c>
      <c r="D104" s="274" t="s">
        <v>3065</v>
      </c>
      <c r="E104" s="264"/>
      <c r="F104" s="274"/>
      <c r="G104" s="283"/>
      <c r="H104" s="266"/>
      <c r="I104" s="281"/>
      <c r="J104" s="281"/>
      <c r="K104" s="281"/>
      <c r="L104" s="282" t="s">
        <v>3066</v>
      </c>
      <c r="M104" s="284" t="s">
        <v>2962</v>
      </c>
      <c r="N104" s="269">
        <f t="shared" si="6"/>
        <v>0</v>
      </c>
      <c r="O104" s="270">
        <f t="shared" si="7"/>
        <v>0</v>
      </c>
      <c r="P104" s="271">
        <f t="shared" si="8"/>
        <v>0</v>
      </c>
      <c r="Q104" s="520"/>
      <c r="R104" s="354">
        <f>IF(ISERROR(VLOOKUP("SAN"&amp;$C104,ESTR_PREC_SP!$A$2:$G$2000,4,FALSE))=TRUE,0,VLOOKUP("SAN"&amp;$C104,ESTR_PREC_SP!$A$2:$G$2000,4,FALSE))</f>
        <v>0</v>
      </c>
      <c r="S104" s="521"/>
      <c r="T104" s="521"/>
      <c r="U104" s="521"/>
      <c r="W104" s="520"/>
      <c r="X104" s="520"/>
      <c r="Y104" s="520"/>
      <c r="Z104" s="520"/>
      <c r="AA104" s="520"/>
      <c r="AB104" s="520"/>
      <c r="AC104" s="520"/>
      <c r="AD104" s="520"/>
      <c r="AE104" s="520"/>
    </row>
    <row r="105" spans="2:31" s="204" customFormat="1" x14ac:dyDescent="0.25">
      <c r="B105" s="273" t="s">
        <v>280</v>
      </c>
      <c r="C105" s="273" t="s">
        <v>281</v>
      </c>
      <c r="D105" s="274" t="s">
        <v>3067</v>
      </c>
      <c r="E105" s="264"/>
      <c r="F105" s="274"/>
      <c r="G105" s="283"/>
      <c r="H105" s="266"/>
      <c r="I105" s="281"/>
      <c r="J105" s="281"/>
      <c r="K105" s="281"/>
      <c r="L105" s="282" t="s">
        <v>3068</v>
      </c>
      <c r="M105" s="284" t="s">
        <v>2962</v>
      </c>
      <c r="N105" s="269">
        <f t="shared" si="6"/>
        <v>0</v>
      </c>
      <c r="O105" s="270">
        <f t="shared" si="7"/>
        <v>0</v>
      </c>
      <c r="P105" s="271">
        <f t="shared" si="8"/>
        <v>0</v>
      </c>
      <c r="Q105" s="520"/>
      <c r="R105" s="354">
        <f>IF(ISERROR(VLOOKUP("SAN"&amp;$C105,ESTR_PREC_SP!$A$2:$G$2000,4,FALSE))=TRUE,0,VLOOKUP("SAN"&amp;$C105,ESTR_PREC_SP!$A$2:$G$2000,4,FALSE))</f>
        <v>0</v>
      </c>
      <c r="S105" s="521"/>
      <c r="T105" s="521"/>
      <c r="U105" s="521"/>
      <c r="W105" s="520"/>
      <c r="X105" s="520"/>
      <c r="Y105" s="520"/>
      <c r="Z105" s="520"/>
      <c r="AA105" s="520"/>
      <c r="AB105" s="520"/>
      <c r="AC105" s="520"/>
      <c r="AD105" s="520"/>
      <c r="AE105" s="520"/>
    </row>
    <row r="106" spans="2:31" s="204" customFormat="1" x14ac:dyDescent="0.25">
      <c r="B106" s="273" t="s">
        <v>283</v>
      </c>
      <c r="C106" s="273" t="s">
        <v>284</v>
      </c>
      <c r="D106" s="274" t="s">
        <v>3069</v>
      </c>
      <c r="E106" s="264"/>
      <c r="F106" s="274"/>
      <c r="G106" s="283"/>
      <c r="H106" s="266"/>
      <c r="I106" s="281"/>
      <c r="J106" s="281"/>
      <c r="K106" s="281"/>
      <c r="L106" s="282" t="s">
        <v>3070</v>
      </c>
      <c r="M106" s="284" t="s">
        <v>2962</v>
      </c>
      <c r="N106" s="269">
        <f t="shared" si="6"/>
        <v>0</v>
      </c>
      <c r="O106" s="270">
        <f t="shared" si="7"/>
        <v>0</v>
      </c>
      <c r="P106" s="271">
        <f t="shared" si="8"/>
        <v>0</v>
      </c>
      <c r="Q106" s="520"/>
      <c r="R106" s="354">
        <f>IF(ISERROR(VLOOKUP("SAN"&amp;$C106,ESTR_PREC_SP!$A$2:$G$2000,4,FALSE))=TRUE,0,VLOOKUP("SAN"&amp;$C106,ESTR_PREC_SP!$A$2:$G$2000,4,FALSE))</f>
        <v>0</v>
      </c>
      <c r="S106" s="521"/>
      <c r="T106" s="521"/>
      <c r="U106" s="521"/>
      <c r="W106" s="520"/>
      <c r="X106" s="520"/>
      <c r="Y106" s="520"/>
      <c r="Z106" s="520"/>
      <c r="AA106" s="520"/>
      <c r="AB106" s="520"/>
      <c r="AC106" s="520"/>
      <c r="AD106" s="520"/>
      <c r="AE106" s="520"/>
    </row>
    <row r="107" spans="2:31" s="204" customFormat="1" x14ac:dyDescent="0.25">
      <c r="B107" s="298"/>
      <c r="C107" s="298"/>
      <c r="D107" s="226"/>
      <c r="E107" s="226"/>
      <c r="F107" s="226"/>
      <c r="G107" s="226"/>
      <c r="H107" s="227"/>
      <c r="I107" s="226"/>
      <c r="J107" s="226"/>
      <c r="K107" s="226"/>
      <c r="L107" s="241"/>
      <c r="M107" s="278"/>
      <c r="N107" s="279"/>
      <c r="O107" s="279"/>
      <c r="P107" s="297"/>
      <c r="Q107" s="211"/>
      <c r="R107" s="279"/>
      <c r="S107" s="279"/>
      <c r="T107" s="279"/>
      <c r="U107" s="279"/>
      <c r="V107" s="279"/>
      <c r="W107" s="279"/>
      <c r="X107" s="279"/>
      <c r="Y107" s="279"/>
      <c r="Z107" s="279"/>
      <c r="AA107" s="211"/>
    </row>
    <row r="108" spans="2:31" s="204" customFormat="1" x14ac:dyDescent="0.25">
      <c r="B108" s="292" t="s">
        <v>286</v>
      </c>
      <c r="C108" s="292" t="s">
        <v>287</v>
      </c>
      <c r="D108" s="247" t="s">
        <v>3071</v>
      </c>
      <c r="E108" s="247"/>
      <c r="F108" s="247"/>
      <c r="G108" s="247"/>
      <c r="H108" s="248"/>
      <c r="I108" s="247"/>
      <c r="J108" s="247"/>
      <c r="K108" s="249"/>
      <c r="L108" s="276" t="s">
        <v>290</v>
      </c>
      <c r="M108" s="251" t="s">
        <v>2962</v>
      </c>
      <c r="N108" s="252">
        <f>SUM(N111:N116)</f>
        <v>8623910</v>
      </c>
      <c r="O108" s="252">
        <f>SUM(O111:O116)</f>
        <v>8792150</v>
      </c>
      <c r="P108" s="259">
        <f>+O108-N108</f>
        <v>168240</v>
      </c>
      <c r="Q108" s="252">
        <f>SUM(Q111:Q116)</f>
        <v>0</v>
      </c>
      <c r="R108" s="252">
        <f>SUM(R111:R116)</f>
        <v>8623910</v>
      </c>
      <c r="S108" s="252">
        <f>SUM(S111:S116)</f>
        <v>0</v>
      </c>
      <c r="V108" s="211"/>
      <c r="W108" s="252">
        <f>SUM(W111:W116)</f>
        <v>0</v>
      </c>
      <c r="X108" s="252">
        <f>SUM(X111:X116)</f>
        <v>0</v>
      </c>
      <c r="Y108" s="252">
        <f>SUM(Y111:Y116)</f>
        <v>0</v>
      </c>
      <c r="Z108" s="252">
        <f>SUM(Z111:Z116)</f>
        <v>168240</v>
      </c>
      <c r="AA108" s="211"/>
    </row>
    <row r="109" spans="2:31" s="204" customFormat="1" x14ac:dyDescent="0.25">
      <c r="B109" s="293"/>
      <c r="C109" s="293"/>
      <c r="D109" s="230"/>
      <c r="E109" s="230"/>
      <c r="F109" s="230"/>
      <c r="G109" s="230"/>
      <c r="H109" s="231"/>
      <c r="I109" s="230"/>
      <c r="J109" s="230"/>
      <c r="K109" s="230"/>
      <c r="L109" s="299"/>
      <c r="M109" s="211"/>
      <c r="N109" s="254"/>
      <c r="O109" s="211"/>
      <c r="P109" s="211"/>
      <c r="Q109" s="211"/>
      <c r="V109" s="211"/>
      <c r="W109" s="211"/>
      <c r="X109" s="211"/>
      <c r="Y109" s="211"/>
      <c r="Z109" s="211"/>
      <c r="AA109" s="211"/>
    </row>
    <row r="110" spans="2:31" s="204" customFormat="1" ht="51" x14ac:dyDescent="0.25">
      <c r="B110" s="294" t="s">
        <v>2968</v>
      </c>
      <c r="C110" s="294" t="s">
        <v>2969</v>
      </c>
      <c r="D110" s="206" t="s">
        <v>72</v>
      </c>
      <c r="E110" s="206"/>
      <c r="F110" s="206"/>
      <c r="G110" s="207"/>
      <c r="H110" s="207"/>
      <c r="I110" s="207"/>
      <c r="J110" s="207" t="s">
        <v>2957</v>
      </c>
      <c r="K110" s="206" t="s">
        <v>82</v>
      </c>
      <c r="L110" s="261" t="s">
        <v>2970</v>
      </c>
      <c r="M110" s="280"/>
      <c r="N110" s="256" t="str">
        <f>N$15</f>
        <v>Valore netto al 31/12/2019</v>
      </c>
      <c r="O110" s="256" t="str">
        <f>O$15</f>
        <v>Valore netto al 31/12/2020</v>
      </c>
      <c r="P110" s="256" t="str">
        <f>P$15</f>
        <v>Variazione</v>
      </c>
      <c r="Q110" s="262" t="s">
        <v>2971</v>
      </c>
      <c r="R110" s="262" t="str">
        <f>"Fondo ammortamento 31/12/"&amp;Info!$B$3-1</f>
        <v>Fondo ammortamento 31/12/2019</v>
      </c>
      <c r="S110" s="262" t="s">
        <v>2972</v>
      </c>
      <c r="V110" s="211"/>
      <c r="W110" s="262" t="s">
        <v>2975</v>
      </c>
      <c r="X110" s="262" t="s">
        <v>2976</v>
      </c>
      <c r="Y110" s="262" t="s">
        <v>2989</v>
      </c>
      <c r="Z110" s="262" t="s">
        <v>2990</v>
      </c>
      <c r="AA110" s="211"/>
    </row>
    <row r="111" spans="2:31" s="204" customFormat="1" x14ac:dyDescent="0.25">
      <c r="B111" s="273" t="s">
        <v>291</v>
      </c>
      <c r="C111" s="273" t="s">
        <v>292</v>
      </c>
      <c r="D111" s="264" t="s">
        <v>3072</v>
      </c>
      <c r="E111" s="264"/>
      <c r="F111" s="264"/>
      <c r="G111" s="265"/>
      <c r="H111" s="266"/>
      <c r="I111" s="281"/>
      <c r="J111" s="281"/>
      <c r="K111" s="281"/>
      <c r="L111" s="282" t="s">
        <v>3073</v>
      </c>
      <c r="M111" s="263" t="s">
        <v>2962</v>
      </c>
      <c r="N111" s="269">
        <f t="shared" ref="N111:N116" si="9">+R111</f>
        <v>0</v>
      </c>
      <c r="O111" s="270">
        <f t="shared" ref="O111:O116" si="10">+R111+S111+X111-ABS(Y111)+ABS(Z111)+W111+Q111</f>
        <v>0</v>
      </c>
      <c r="P111" s="271">
        <f t="shared" ref="P111:P116" si="11">+O111-N111</f>
        <v>0</v>
      </c>
      <c r="Q111" s="520"/>
      <c r="R111" s="354">
        <f>IF(ISERROR(VLOOKUP("SAN"&amp;$C111,ESTR_PREC_SP!$A$2:$G$2000,4,FALSE))=TRUE,0,VLOOKUP("SAN"&amp;$C111,ESTR_PREC_SP!$A$2:$G$2000,4,FALSE))</f>
        <v>0</v>
      </c>
      <c r="S111" s="521"/>
      <c r="V111" s="211"/>
      <c r="W111" s="520"/>
      <c r="X111" s="520"/>
      <c r="Y111" s="520"/>
      <c r="Z111" s="520"/>
      <c r="AA111" s="211"/>
    </row>
    <row r="112" spans="2:31" s="204" customFormat="1" x14ac:dyDescent="0.25">
      <c r="B112" s="273" t="s">
        <v>294</v>
      </c>
      <c r="C112" s="273" t="s">
        <v>295</v>
      </c>
      <c r="D112" s="264" t="s">
        <v>3074</v>
      </c>
      <c r="E112" s="264"/>
      <c r="F112" s="264"/>
      <c r="G112" s="265"/>
      <c r="H112" s="266"/>
      <c r="I112" s="281"/>
      <c r="J112" s="281"/>
      <c r="K112" s="281"/>
      <c r="L112" s="282" t="s">
        <v>3075</v>
      </c>
      <c r="M112" s="263" t="s">
        <v>2962</v>
      </c>
      <c r="N112" s="269">
        <f t="shared" si="9"/>
        <v>0</v>
      </c>
      <c r="O112" s="270">
        <f t="shared" si="10"/>
        <v>0</v>
      </c>
      <c r="P112" s="271">
        <f t="shared" si="11"/>
        <v>0</v>
      </c>
      <c r="Q112" s="520"/>
      <c r="R112" s="354">
        <f>IF(ISERROR(VLOOKUP("SAN"&amp;$C112,ESTR_PREC_SP!$A$2:$G$2000,4,FALSE))=TRUE,0,VLOOKUP("SAN"&amp;$C112,ESTR_PREC_SP!$A$2:$G$2000,4,FALSE))</f>
        <v>0</v>
      </c>
      <c r="S112" s="521"/>
      <c r="V112" s="211"/>
      <c r="W112" s="520"/>
      <c r="X112" s="520"/>
      <c r="Y112" s="520"/>
      <c r="Z112" s="520"/>
      <c r="AA112" s="211"/>
    </row>
    <row r="113" spans="2:31" s="204" customFormat="1" x14ac:dyDescent="0.25">
      <c r="B113" s="273" t="s">
        <v>297</v>
      </c>
      <c r="C113" s="273" t="s">
        <v>298</v>
      </c>
      <c r="D113" s="264" t="s">
        <v>3076</v>
      </c>
      <c r="E113" s="264"/>
      <c r="F113" s="274"/>
      <c r="G113" s="283"/>
      <c r="H113" s="266"/>
      <c r="I113" s="281"/>
      <c r="J113" s="281"/>
      <c r="K113" s="281"/>
      <c r="L113" s="282" t="s">
        <v>3077</v>
      </c>
      <c r="M113" s="284" t="s">
        <v>2962</v>
      </c>
      <c r="N113" s="269">
        <f t="shared" si="9"/>
        <v>6376663</v>
      </c>
      <c r="O113" s="270">
        <f t="shared" si="10"/>
        <v>6535935</v>
      </c>
      <c r="P113" s="271">
        <f t="shared" si="11"/>
        <v>159272</v>
      </c>
      <c r="Q113" s="520"/>
      <c r="R113" s="354">
        <f>IF(ISERROR(VLOOKUP("SAN"&amp;$C113,ESTR_PREC_SP!$A$2:$G$2000,4,FALSE))=TRUE,0,VLOOKUP("SAN"&amp;$C113,ESTR_PREC_SP!$A$2:$G$2000,4,FALSE))</f>
        <v>6376663</v>
      </c>
      <c r="S113" s="521"/>
      <c r="V113" s="211"/>
      <c r="W113" s="520"/>
      <c r="X113" s="520"/>
      <c r="Y113" s="520"/>
      <c r="Z113" s="520">
        <f>159273-1</f>
        <v>159272</v>
      </c>
      <c r="AA113" s="211"/>
    </row>
    <row r="114" spans="2:31" s="204" customFormat="1" x14ac:dyDescent="0.25">
      <c r="B114" s="273" t="s">
        <v>300</v>
      </c>
      <c r="C114" s="273" t="s">
        <v>301</v>
      </c>
      <c r="D114" s="264" t="s">
        <v>3078</v>
      </c>
      <c r="E114" s="264"/>
      <c r="F114" s="274"/>
      <c r="G114" s="283"/>
      <c r="H114" s="266"/>
      <c r="I114" s="281"/>
      <c r="J114" s="281"/>
      <c r="K114" s="281"/>
      <c r="L114" s="282" t="s">
        <v>3079</v>
      </c>
      <c r="M114" s="284" t="s">
        <v>2962</v>
      </c>
      <c r="N114" s="269">
        <f t="shared" si="9"/>
        <v>2247247</v>
      </c>
      <c r="O114" s="270">
        <f t="shared" si="10"/>
        <v>2256215</v>
      </c>
      <c r="P114" s="271">
        <f t="shared" si="11"/>
        <v>8968</v>
      </c>
      <c r="Q114" s="520"/>
      <c r="R114" s="354">
        <f>IF(ISERROR(VLOOKUP("SAN"&amp;$C114,ESTR_PREC_SP!$A$2:$G$2000,4,FALSE))=TRUE,0,VLOOKUP("SAN"&amp;$C114,ESTR_PREC_SP!$A$2:$G$2000,4,FALSE))</f>
        <v>2247247</v>
      </c>
      <c r="S114" s="521"/>
      <c r="V114" s="211"/>
      <c r="W114" s="520"/>
      <c r="X114" s="520"/>
      <c r="Y114" s="520"/>
      <c r="Z114" s="520">
        <v>8968</v>
      </c>
      <c r="AA114" s="211"/>
    </row>
    <row r="115" spans="2:31" s="204" customFormat="1" x14ac:dyDescent="0.25">
      <c r="B115" s="273" t="s">
        <v>303</v>
      </c>
      <c r="C115" s="273" t="s">
        <v>304</v>
      </c>
      <c r="D115" s="264" t="s">
        <v>3080</v>
      </c>
      <c r="E115" s="264"/>
      <c r="F115" s="274"/>
      <c r="G115" s="283"/>
      <c r="H115" s="266"/>
      <c r="I115" s="281"/>
      <c r="J115" s="281"/>
      <c r="K115" s="281"/>
      <c r="L115" s="282" t="s">
        <v>3081</v>
      </c>
      <c r="M115" s="284" t="s">
        <v>2962</v>
      </c>
      <c r="N115" s="269">
        <f t="shared" si="9"/>
        <v>0</v>
      </c>
      <c r="O115" s="270">
        <f t="shared" si="10"/>
        <v>0</v>
      </c>
      <c r="P115" s="271">
        <f t="shared" si="11"/>
        <v>0</v>
      </c>
      <c r="Q115" s="520"/>
      <c r="R115" s="354">
        <f>IF(ISERROR(VLOOKUP("SAN"&amp;$C115,ESTR_PREC_SP!$A$2:$G$2000,4,FALSE))=TRUE,0,VLOOKUP("SAN"&amp;$C115,ESTR_PREC_SP!$A$2:$G$2000,4,FALSE))</f>
        <v>0</v>
      </c>
      <c r="S115" s="521"/>
      <c r="V115" s="211"/>
      <c r="W115" s="520"/>
      <c r="X115" s="520"/>
      <c r="Y115" s="520"/>
      <c r="Z115" s="520"/>
      <c r="AA115" s="211"/>
    </row>
    <row r="116" spans="2:31" s="204" customFormat="1" x14ac:dyDescent="0.25">
      <c r="B116" s="273" t="s">
        <v>306</v>
      </c>
      <c r="C116" s="273" t="s">
        <v>307</v>
      </c>
      <c r="D116" s="264" t="s">
        <v>3082</v>
      </c>
      <c r="E116" s="264"/>
      <c r="F116" s="274"/>
      <c r="G116" s="283"/>
      <c r="H116" s="266"/>
      <c r="I116" s="281"/>
      <c r="J116" s="281"/>
      <c r="K116" s="281"/>
      <c r="L116" s="282" t="s">
        <v>3083</v>
      </c>
      <c r="M116" s="284" t="s">
        <v>2962</v>
      </c>
      <c r="N116" s="269">
        <f t="shared" si="9"/>
        <v>0</v>
      </c>
      <c r="O116" s="270">
        <f t="shared" si="10"/>
        <v>0</v>
      </c>
      <c r="P116" s="271">
        <f t="shared" si="11"/>
        <v>0</v>
      </c>
      <c r="Q116" s="520"/>
      <c r="R116" s="354">
        <f>IF(ISERROR(VLOOKUP("SAN"&amp;$C116,ESTR_PREC_SP!$A$2:$G$2000,4,FALSE))=TRUE,0,VLOOKUP("SAN"&amp;$C116,ESTR_PREC_SP!$A$2:$G$2000,4,FALSE))</f>
        <v>0</v>
      </c>
      <c r="S116" s="521"/>
      <c r="V116" s="211"/>
      <c r="W116" s="520"/>
      <c r="X116" s="520"/>
      <c r="Y116" s="520"/>
      <c r="Z116" s="520"/>
      <c r="AA116" s="211"/>
    </row>
    <row r="117" spans="2:31" s="204" customFormat="1" x14ac:dyDescent="0.25">
      <c r="B117" s="298"/>
      <c r="C117" s="298"/>
      <c r="D117" s="300"/>
      <c r="E117" s="226"/>
      <c r="F117" s="226"/>
      <c r="G117" s="226"/>
      <c r="H117" s="227"/>
      <c r="I117" s="226"/>
      <c r="J117" s="226"/>
      <c r="K117" s="226"/>
      <c r="L117" s="241"/>
      <c r="M117" s="278"/>
      <c r="N117" s="279"/>
      <c r="O117" s="279"/>
      <c r="P117" s="297"/>
      <c r="Q117" s="211"/>
      <c r="R117" s="279"/>
      <c r="S117" s="279"/>
      <c r="T117" s="279"/>
      <c r="U117" s="279"/>
      <c r="V117" s="279"/>
      <c r="W117" s="279"/>
      <c r="X117" s="279"/>
      <c r="Y117" s="279"/>
      <c r="Z117" s="279"/>
      <c r="AA117" s="211"/>
    </row>
    <row r="118" spans="2:31" s="204" customFormat="1" x14ac:dyDescent="0.25">
      <c r="B118" s="292" t="s">
        <v>309</v>
      </c>
      <c r="C118" s="292" t="s">
        <v>310</v>
      </c>
      <c r="D118" s="301" t="s">
        <v>3084</v>
      </c>
      <c r="E118" s="247"/>
      <c r="F118" s="247"/>
      <c r="G118" s="247"/>
      <c r="H118" s="248"/>
      <c r="I118" s="247"/>
      <c r="J118" s="247"/>
      <c r="K118" s="249"/>
      <c r="L118" s="258" t="s">
        <v>312</v>
      </c>
      <c r="M118" s="251" t="s">
        <v>2962</v>
      </c>
      <c r="N118" s="252">
        <f>SUM(N121:N122)</f>
        <v>0</v>
      </c>
      <c r="O118" s="252">
        <f>SUM(O121:O122)</f>
        <v>0</v>
      </c>
      <c r="P118" s="259">
        <f>+O118-N118</f>
        <v>0</v>
      </c>
      <c r="Q118" s="252">
        <f>SUM(Q121:Q122)</f>
        <v>0</v>
      </c>
      <c r="R118" s="252">
        <f>SUM(R121:R122)</f>
        <v>0</v>
      </c>
      <c r="S118" s="252">
        <f>SUM(T121:T122)</f>
        <v>0</v>
      </c>
      <c r="T118" s="252">
        <f>SUM(U121:U122)</f>
        <v>0</v>
      </c>
      <c r="U118" s="279"/>
      <c r="V118" s="216"/>
      <c r="W118" s="252">
        <f t="shared" ref="W118:AE118" si="12">SUM(W121:W122)</f>
        <v>0</v>
      </c>
      <c r="X118" s="252">
        <f t="shared" si="12"/>
        <v>0</v>
      </c>
      <c r="Y118" s="252">
        <f t="shared" si="12"/>
        <v>0</v>
      </c>
      <c r="Z118" s="252">
        <f t="shared" si="12"/>
        <v>0</v>
      </c>
      <c r="AA118" s="252">
        <f t="shared" si="12"/>
        <v>0</v>
      </c>
      <c r="AB118" s="252">
        <f t="shared" si="12"/>
        <v>0</v>
      </c>
      <c r="AC118" s="252">
        <f t="shared" si="12"/>
        <v>0</v>
      </c>
      <c r="AD118" s="252">
        <f t="shared" si="12"/>
        <v>0</v>
      </c>
      <c r="AE118" s="252">
        <f t="shared" si="12"/>
        <v>0</v>
      </c>
    </row>
    <row r="119" spans="2:31" s="204" customFormat="1" x14ac:dyDescent="0.25">
      <c r="B119" s="293"/>
      <c r="C119" s="293"/>
      <c r="D119" s="230"/>
      <c r="E119" s="230"/>
      <c r="F119" s="230"/>
      <c r="G119" s="230"/>
      <c r="H119" s="231"/>
      <c r="I119" s="230"/>
      <c r="J119" s="230"/>
      <c r="K119" s="230"/>
      <c r="L119" s="232"/>
      <c r="M119" s="211"/>
      <c r="N119" s="254"/>
      <c r="O119" s="211"/>
      <c r="P119" s="211"/>
      <c r="Q119" s="211"/>
      <c r="R119" s="216"/>
      <c r="S119" s="216"/>
      <c r="T119" s="216"/>
      <c r="U119" s="216"/>
      <c r="V119" s="216"/>
      <c r="W119" s="211"/>
      <c r="X119" s="211"/>
      <c r="Y119" s="211"/>
      <c r="Z119" s="211"/>
      <c r="AA119" s="211"/>
    </row>
    <row r="120" spans="2:31" s="204" customFormat="1" ht="51" x14ac:dyDescent="0.25">
      <c r="B120" s="294" t="s">
        <v>2968</v>
      </c>
      <c r="C120" s="294" t="s">
        <v>2969</v>
      </c>
      <c r="D120" s="206" t="s">
        <v>72</v>
      </c>
      <c r="E120" s="206"/>
      <c r="F120" s="206"/>
      <c r="G120" s="207"/>
      <c r="H120" s="207"/>
      <c r="I120" s="207"/>
      <c r="J120" s="207" t="s">
        <v>2957</v>
      </c>
      <c r="K120" s="206" t="s">
        <v>82</v>
      </c>
      <c r="L120" s="261" t="s">
        <v>2970</v>
      </c>
      <c r="M120" s="260"/>
      <c r="N120" s="256" t="str">
        <f>N$15</f>
        <v>Valore netto al 31/12/2019</v>
      </c>
      <c r="O120" s="256" t="str">
        <f>O$15</f>
        <v>Valore netto al 31/12/2020</v>
      </c>
      <c r="P120" s="256" t="str">
        <f>P$15</f>
        <v>Variazione</v>
      </c>
      <c r="Q120" s="262" t="s">
        <v>2971</v>
      </c>
      <c r="R120" s="262" t="str">
        <f>"Costo storico al 31/12/"&amp;Info!$B$3-1</f>
        <v>Costo storico al 31/12/2019</v>
      </c>
      <c r="S120" s="262" t="s">
        <v>2972</v>
      </c>
      <c r="T120" s="262" t="s">
        <v>2973</v>
      </c>
      <c r="U120" s="262" t="s">
        <v>2974</v>
      </c>
      <c r="W120" s="262" t="s">
        <v>2975</v>
      </c>
      <c r="X120" s="262" t="s">
        <v>2976</v>
      </c>
      <c r="Y120" s="262" t="s">
        <v>2977</v>
      </c>
      <c r="Z120" s="262" t="s">
        <v>2978</v>
      </c>
      <c r="AA120" s="262" t="s">
        <v>2979</v>
      </c>
      <c r="AB120" s="262" t="s">
        <v>2980</v>
      </c>
      <c r="AC120" s="262" t="s">
        <v>2981</v>
      </c>
      <c r="AD120" s="262" t="s">
        <v>2982</v>
      </c>
      <c r="AE120" s="262" t="s">
        <v>2983</v>
      </c>
    </row>
    <row r="121" spans="2:31" s="204" customFormat="1" x14ac:dyDescent="0.25">
      <c r="B121" s="273" t="s">
        <v>313</v>
      </c>
      <c r="C121" s="273" t="s">
        <v>314</v>
      </c>
      <c r="D121" s="264" t="s">
        <v>3085</v>
      </c>
      <c r="E121" s="264"/>
      <c r="F121" s="264"/>
      <c r="G121" s="265"/>
      <c r="H121" s="266"/>
      <c r="I121" s="267"/>
      <c r="J121" s="267"/>
      <c r="K121" s="267"/>
      <c r="L121" s="268" t="s">
        <v>3086</v>
      </c>
      <c r="M121" s="263" t="s">
        <v>2962</v>
      </c>
      <c r="N121" s="269">
        <f>+R121+T121-U121</f>
        <v>0</v>
      </c>
      <c r="O121" s="270">
        <f>+N121+S121+X121+ABS(Y121)-ABS(AA121)+ABS(Z121)+ABS(AB121)+ABS(AD121)-ABS(AE121)+AC121+W121+Q121</f>
        <v>0</v>
      </c>
      <c r="P121" s="271">
        <f>+O121-N121</f>
        <v>0</v>
      </c>
      <c r="Q121" s="520"/>
      <c r="R121" s="354">
        <f>IF(ISERROR(VLOOKUP("SAN"&amp;$C121,ESTR_PREC_SP!$A$2:$G$2000,4,FALSE))=TRUE,0,VLOOKUP("SAN"&amp;$C121,ESTR_PREC_SP!$A$2:$G$2000,4,FALSE))</f>
        <v>0</v>
      </c>
      <c r="S121" s="521"/>
      <c r="T121" s="521"/>
      <c r="U121" s="521"/>
      <c r="W121" s="520"/>
      <c r="X121" s="520"/>
      <c r="Y121" s="520"/>
      <c r="Z121" s="520"/>
      <c r="AA121" s="520"/>
      <c r="AB121" s="520"/>
      <c r="AC121" s="520"/>
      <c r="AD121" s="520"/>
      <c r="AE121" s="520"/>
    </row>
    <row r="122" spans="2:31" s="204" customFormat="1" x14ac:dyDescent="0.25">
      <c r="B122" s="273" t="s">
        <v>316</v>
      </c>
      <c r="C122" s="273" t="s">
        <v>317</v>
      </c>
      <c r="D122" s="264" t="s">
        <v>3087</v>
      </c>
      <c r="E122" s="264"/>
      <c r="F122" s="264"/>
      <c r="G122" s="265"/>
      <c r="H122" s="266"/>
      <c r="I122" s="267"/>
      <c r="J122" s="267"/>
      <c r="K122" s="267"/>
      <c r="L122" s="268" t="s">
        <v>3088</v>
      </c>
      <c r="M122" s="263" t="s">
        <v>2962</v>
      </c>
      <c r="N122" s="269">
        <f>+R122+T122-U122</f>
        <v>0</v>
      </c>
      <c r="O122" s="270">
        <f>+N122+S122+X122+ABS(Y122)-ABS(AA122)+ABS(Z122)+ABS(AB122)+ABS(AD122)-ABS(AE122)+AC122+W122+Q122</f>
        <v>0</v>
      </c>
      <c r="P122" s="271">
        <f>+O122-N122</f>
        <v>0</v>
      </c>
      <c r="Q122" s="520"/>
      <c r="R122" s="354">
        <f>IF(ISERROR(VLOOKUP("SAN"&amp;$C122,ESTR_PREC_SP!$A$2:$G$2000,4,FALSE))=TRUE,0,VLOOKUP("SAN"&amp;$C122,ESTR_PREC_SP!$A$2:$G$2000,4,FALSE))</f>
        <v>0</v>
      </c>
      <c r="S122" s="521"/>
      <c r="T122" s="521"/>
      <c r="U122" s="521"/>
      <c r="W122" s="520"/>
      <c r="X122" s="520"/>
      <c r="Y122" s="520"/>
      <c r="Z122" s="520"/>
      <c r="AA122" s="520"/>
      <c r="AB122" s="520"/>
      <c r="AC122" s="520"/>
      <c r="AD122" s="520"/>
      <c r="AE122" s="520"/>
    </row>
    <row r="123" spans="2:31" s="204" customFormat="1" x14ac:dyDescent="0.25">
      <c r="B123" s="293"/>
      <c r="C123" s="293"/>
      <c r="D123" s="300"/>
      <c r="E123" s="230"/>
      <c r="F123" s="230"/>
      <c r="G123" s="230"/>
      <c r="H123" s="231"/>
      <c r="I123" s="230"/>
      <c r="J123" s="230"/>
      <c r="K123" s="230"/>
      <c r="L123" s="275"/>
      <c r="M123" s="211"/>
      <c r="N123" s="254"/>
      <c r="O123" s="211"/>
      <c r="P123" s="211"/>
      <c r="Q123" s="211"/>
      <c r="R123" s="211"/>
      <c r="S123" s="216"/>
      <c r="T123" s="216"/>
      <c r="U123" s="216"/>
      <c r="V123" s="216"/>
      <c r="W123" s="211"/>
      <c r="X123" s="211"/>
      <c r="Y123" s="211"/>
      <c r="Z123" s="211"/>
      <c r="AA123" s="211"/>
    </row>
    <row r="124" spans="2:31" s="204" customFormat="1" x14ac:dyDescent="0.25">
      <c r="B124" s="292" t="s">
        <v>319</v>
      </c>
      <c r="C124" s="292" t="s">
        <v>320</v>
      </c>
      <c r="D124" s="301" t="s">
        <v>3089</v>
      </c>
      <c r="E124" s="247"/>
      <c r="F124" s="247"/>
      <c r="G124" s="247"/>
      <c r="H124" s="248"/>
      <c r="I124" s="247"/>
      <c r="J124" s="247"/>
      <c r="K124" s="249"/>
      <c r="L124" s="276" t="s">
        <v>322</v>
      </c>
      <c r="M124" s="251" t="s">
        <v>2962</v>
      </c>
      <c r="N124" s="252">
        <f>SUM(N127:N128)</f>
        <v>0</v>
      </c>
      <c r="O124" s="252">
        <f>SUM(O127:O128)</f>
        <v>0</v>
      </c>
      <c r="P124" s="259">
        <f>+O124-N124</f>
        <v>0</v>
      </c>
      <c r="Q124" s="252">
        <f>SUM(Q127:Q128)</f>
        <v>0</v>
      </c>
      <c r="R124" s="252">
        <f>SUM(R127:R128)</f>
        <v>0</v>
      </c>
      <c r="S124" s="252">
        <f>SUM(S127:S128)</f>
        <v>0</v>
      </c>
      <c r="V124" s="211"/>
      <c r="W124" s="252">
        <f>SUM(W127:W128)</f>
        <v>0</v>
      </c>
      <c r="X124" s="252">
        <f>SUM(X127:X128)</f>
        <v>0</v>
      </c>
      <c r="Y124" s="252">
        <f>SUM(Y127:Y128)</f>
        <v>0</v>
      </c>
      <c r="Z124" s="252">
        <f>SUM(Z127:Z128)</f>
        <v>0</v>
      </c>
      <c r="AA124" s="211"/>
    </row>
    <row r="125" spans="2:31" s="204" customFormat="1" x14ac:dyDescent="0.25">
      <c r="B125" s="293"/>
      <c r="C125" s="293"/>
      <c r="D125" s="230"/>
      <c r="E125" s="230"/>
      <c r="F125" s="230"/>
      <c r="G125" s="230"/>
      <c r="H125" s="231"/>
      <c r="I125" s="230"/>
      <c r="J125" s="230"/>
      <c r="K125" s="230"/>
      <c r="L125" s="232"/>
      <c r="M125" s="211"/>
      <c r="N125" s="211"/>
      <c r="O125" s="211"/>
      <c r="P125" s="211"/>
      <c r="Q125" s="211"/>
      <c r="V125" s="211"/>
      <c r="W125" s="211"/>
      <c r="X125" s="211"/>
      <c r="Y125" s="211"/>
      <c r="Z125" s="211"/>
      <c r="AA125" s="211"/>
    </row>
    <row r="126" spans="2:31" s="204" customFormat="1" ht="51" x14ac:dyDescent="0.25">
      <c r="B126" s="294" t="s">
        <v>2968</v>
      </c>
      <c r="C126" s="294" t="s">
        <v>2969</v>
      </c>
      <c r="D126" s="206" t="s">
        <v>72</v>
      </c>
      <c r="E126" s="206"/>
      <c r="F126" s="206"/>
      <c r="G126" s="207"/>
      <c r="H126" s="207"/>
      <c r="I126" s="207"/>
      <c r="J126" s="207" t="s">
        <v>2957</v>
      </c>
      <c r="K126" s="206" t="s">
        <v>82</v>
      </c>
      <c r="L126" s="261" t="s">
        <v>2970</v>
      </c>
      <c r="M126" s="260"/>
      <c r="N126" s="256" t="str">
        <f>N$15</f>
        <v>Valore netto al 31/12/2019</v>
      </c>
      <c r="O126" s="256" t="str">
        <f>O$15</f>
        <v>Valore netto al 31/12/2020</v>
      </c>
      <c r="P126" s="256" t="str">
        <f>P$15</f>
        <v>Variazione</v>
      </c>
      <c r="Q126" s="262" t="s">
        <v>2971</v>
      </c>
      <c r="R126" s="262" t="str">
        <f>"Fondo ammortamento 31/12/"&amp;Info!$B$3-1</f>
        <v>Fondo ammortamento 31/12/2019</v>
      </c>
      <c r="S126" s="262" t="s">
        <v>2972</v>
      </c>
      <c r="V126" s="211"/>
      <c r="W126" s="262" t="s">
        <v>2975</v>
      </c>
      <c r="X126" s="262" t="s">
        <v>2976</v>
      </c>
      <c r="Y126" s="262" t="s">
        <v>2989</v>
      </c>
      <c r="Z126" s="262" t="s">
        <v>2990</v>
      </c>
      <c r="AA126" s="211"/>
    </row>
    <row r="127" spans="2:31" s="204" customFormat="1" x14ac:dyDescent="0.25">
      <c r="B127" s="273" t="s">
        <v>323</v>
      </c>
      <c r="C127" s="273" t="s">
        <v>324</v>
      </c>
      <c r="D127" s="264" t="s">
        <v>3090</v>
      </c>
      <c r="E127" s="264"/>
      <c r="F127" s="264"/>
      <c r="G127" s="265"/>
      <c r="H127" s="266"/>
      <c r="I127" s="267"/>
      <c r="J127" s="267"/>
      <c r="K127" s="267"/>
      <c r="L127" s="268" t="s">
        <v>3091</v>
      </c>
      <c r="M127" s="263" t="s">
        <v>2962</v>
      </c>
      <c r="N127" s="269">
        <f>+R127</f>
        <v>0</v>
      </c>
      <c r="O127" s="270">
        <f>+R127+S127+X127-ABS(Y127)+ABS(Z127)+W127+Q127</f>
        <v>0</v>
      </c>
      <c r="P127" s="271">
        <f>+O127-N127</f>
        <v>0</v>
      </c>
      <c r="Q127" s="520"/>
      <c r="R127" s="354">
        <f>IF(ISERROR(VLOOKUP("SAN"&amp;$C127,ESTR_PREC_SP!$A$2:$G$2000,4,FALSE))=TRUE,0,VLOOKUP("SAN"&amp;$C127,ESTR_PREC_SP!$A$2:$G$2000,4,FALSE))</f>
        <v>0</v>
      </c>
      <c r="S127" s="521"/>
      <c r="V127" s="211"/>
      <c r="W127" s="520"/>
      <c r="X127" s="520"/>
      <c r="Y127" s="520"/>
      <c r="Z127" s="520"/>
      <c r="AA127" s="211"/>
    </row>
    <row r="128" spans="2:31" s="204" customFormat="1" x14ac:dyDescent="0.25">
      <c r="B128" s="273" t="s">
        <v>326</v>
      </c>
      <c r="C128" s="273" t="s">
        <v>327</v>
      </c>
      <c r="D128" s="264" t="s">
        <v>3092</v>
      </c>
      <c r="E128" s="264"/>
      <c r="F128" s="264"/>
      <c r="G128" s="265"/>
      <c r="H128" s="266"/>
      <c r="I128" s="267"/>
      <c r="J128" s="267"/>
      <c r="K128" s="267"/>
      <c r="L128" s="268" t="s">
        <v>3093</v>
      </c>
      <c r="M128" s="263" t="s">
        <v>2962</v>
      </c>
      <c r="N128" s="269">
        <f>+R128</f>
        <v>0</v>
      </c>
      <c r="O128" s="270">
        <f>+R128+S128+X128-ABS(Y128)+ABS(Z128)+W128+Q128</f>
        <v>0</v>
      </c>
      <c r="P128" s="271">
        <f>+O128-N128</f>
        <v>0</v>
      </c>
      <c r="Q128" s="520"/>
      <c r="R128" s="354">
        <f>IF(ISERROR(VLOOKUP("SAN"&amp;$C128,ESTR_PREC_SP!$A$2:$G$2000,4,FALSE))=TRUE,0,VLOOKUP("SAN"&amp;$C128,ESTR_PREC_SP!$A$2:$G$2000,4,FALSE))</f>
        <v>0</v>
      </c>
      <c r="S128" s="521"/>
      <c r="V128" s="211"/>
      <c r="W128" s="520"/>
      <c r="X128" s="520"/>
      <c r="Y128" s="520"/>
      <c r="Z128" s="520"/>
      <c r="AA128" s="211"/>
    </row>
    <row r="129" spans="2:31" s="204" customFormat="1" x14ac:dyDescent="0.25">
      <c r="B129" s="293"/>
      <c r="C129" s="293"/>
      <c r="D129" s="300"/>
      <c r="E129" s="230"/>
      <c r="F129" s="230"/>
      <c r="G129" s="230"/>
      <c r="H129" s="231"/>
      <c r="I129" s="230"/>
      <c r="J129" s="230"/>
      <c r="K129" s="230"/>
      <c r="L129" s="232"/>
      <c r="M129" s="211"/>
      <c r="N129" s="254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2:31" s="204" customFormat="1" x14ac:dyDescent="0.25">
      <c r="B130" s="292" t="s">
        <v>329</v>
      </c>
      <c r="C130" s="292" t="s">
        <v>330</v>
      </c>
      <c r="D130" s="301" t="s">
        <v>3094</v>
      </c>
      <c r="E130" s="247"/>
      <c r="F130" s="247"/>
      <c r="G130" s="247"/>
      <c r="H130" s="248"/>
      <c r="I130" s="247"/>
      <c r="J130" s="247"/>
      <c r="K130" s="249"/>
      <c r="L130" s="258" t="s">
        <v>332</v>
      </c>
      <c r="M130" s="251" t="s">
        <v>2962</v>
      </c>
      <c r="N130" s="252">
        <f>SUM(N133:N134)</f>
        <v>0</v>
      </c>
      <c r="O130" s="252">
        <f>SUM(O133:O134)</f>
        <v>0</v>
      </c>
      <c r="P130" s="259">
        <f>+O130-N130</f>
        <v>0</v>
      </c>
      <c r="Q130" s="252">
        <f>SUM(Q133:Q134)</f>
        <v>0</v>
      </c>
      <c r="R130" s="252">
        <f>SUM(R133:R134)</f>
        <v>0</v>
      </c>
      <c r="S130" s="252">
        <f>SUM(T133:T134)</f>
        <v>0</v>
      </c>
      <c r="T130" s="252">
        <f>SUM(U133:U134)</f>
        <v>0</v>
      </c>
      <c r="U130" s="252">
        <f>SUM(V133:V134)</f>
        <v>0</v>
      </c>
      <c r="V130" s="216"/>
      <c r="W130" s="252">
        <f t="shared" ref="W130:AE130" si="13">SUM(W133:W134)</f>
        <v>0</v>
      </c>
      <c r="X130" s="252">
        <f t="shared" si="13"/>
        <v>0</v>
      </c>
      <c r="Y130" s="252">
        <f t="shared" si="13"/>
        <v>0</v>
      </c>
      <c r="Z130" s="252">
        <f t="shared" si="13"/>
        <v>0</v>
      </c>
      <c r="AA130" s="252">
        <f t="shared" si="13"/>
        <v>0</v>
      </c>
      <c r="AB130" s="252">
        <f t="shared" si="13"/>
        <v>0</v>
      </c>
      <c r="AC130" s="252">
        <f t="shared" si="13"/>
        <v>0</v>
      </c>
      <c r="AD130" s="252">
        <f t="shared" si="13"/>
        <v>0</v>
      </c>
      <c r="AE130" s="252">
        <f t="shared" si="13"/>
        <v>0</v>
      </c>
    </row>
    <row r="131" spans="2:31" s="204" customFormat="1" x14ac:dyDescent="0.25">
      <c r="B131" s="293"/>
      <c r="C131" s="293"/>
      <c r="D131" s="230"/>
      <c r="E131" s="230"/>
      <c r="F131" s="230"/>
      <c r="G131" s="230"/>
      <c r="H131" s="231"/>
      <c r="I131" s="230"/>
      <c r="J131" s="230"/>
      <c r="K131" s="230"/>
      <c r="L131" s="232"/>
      <c r="M131" s="211"/>
      <c r="N131" s="254"/>
      <c r="O131" s="211"/>
      <c r="P131" s="211"/>
      <c r="Q131" s="211"/>
      <c r="R131" s="216"/>
      <c r="S131" s="216"/>
      <c r="T131" s="216"/>
      <c r="U131" s="216"/>
      <c r="V131" s="216"/>
      <c r="W131" s="211"/>
      <c r="X131" s="211"/>
      <c r="Y131" s="211"/>
      <c r="Z131" s="211"/>
      <c r="AA131" s="211"/>
    </row>
    <row r="132" spans="2:31" s="204" customFormat="1" ht="51" x14ac:dyDescent="0.25">
      <c r="B132" s="294" t="s">
        <v>2968</v>
      </c>
      <c r="C132" s="294" t="s">
        <v>2969</v>
      </c>
      <c r="D132" s="206" t="s">
        <v>72</v>
      </c>
      <c r="E132" s="206"/>
      <c r="F132" s="206"/>
      <c r="G132" s="207"/>
      <c r="H132" s="207"/>
      <c r="I132" s="207"/>
      <c r="J132" s="207" t="s">
        <v>2957</v>
      </c>
      <c r="K132" s="206" t="s">
        <v>82</v>
      </c>
      <c r="L132" s="261" t="s">
        <v>2970</v>
      </c>
      <c r="M132" s="260"/>
      <c r="N132" s="256" t="str">
        <f>N$15</f>
        <v>Valore netto al 31/12/2019</v>
      </c>
      <c r="O132" s="256" t="str">
        <f>O$15</f>
        <v>Valore netto al 31/12/2020</v>
      </c>
      <c r="P132" s="256" t="str">
        <f>P$15</f>
        <v>Variazione</v>
      </c>
      <c r="Q132" s="262" t="s">
        <v>2971</v>
      </c>
      <c r="R132" s="262" t="str">
        <f>"Costo storico al 31/12/"&amp;Info!$B$3-1</f>
        <v>Costo storico al 31/12/2019</v>
      </c>
      <c r="S132" s="262" t="s">
        <v>2972</v>
      </c>
      <c r="T132" s="262" t="s">
        <v>2973</v>
      </c>
      <c r="U132" s="262" t="s">
        <v>2974</v>
      </c>
      <c r="W132" s="262" t="s">
        <v>2975</v>
      </c>
      <c r="X132" s="262" t="s">
        <v>2976</v>
      </c>
      <c r="Y132" s="262" t="s">
        <v>2977</v>
      </c>
      <c r="Z132" s="262" t="s">
        <v>2978</v>
      </c>
      <c r="AA132" s="262" t="s">
        <v>2979</v>
      </c>
      <c r="AB132" s="262" t="s">
        <v>2980</v>
      </c>
      <c r="AC132" s="262" t="s">
        <v>2981</v>
      </c>
      <c r="AD132" s="262" t="s">
        <v>2982</v>
      </c>
      <c r="AE132" s="262" t="s">
        <v>2983</v>
      </c>
    </row>
    <row r="133" spans="2:31" s="204" customFormat="1" x14ac:dyDescent="0.25">
      <c r="B133" s="273" t="s">
        <v>333</v>
      </c>
      <c r="C133" s="273" t="s">
        <v>334</v>
      </c>
      <c r="D133" s="264" t="s">
        <v>3095</v>
      </c>
      <c r="E133" s="264"/>
      <c r="F133" s="264"/>
      <c r="G133" s="265"/>
      <c r="H133" s="266"/>
      <c r="I133" s="267"/>
      <c r="J133" s="267"/>
      <c r="K133" s="267"/>
      <c r="L133" s="268" t="s">
        <v>3096</v>
      </c>
      <c r="M133" s="263" t="s">
        <v>2962</v>
      </c>
      <c r="N133" s="269">
        <f>+R133+T133-U133</f>
        <v>0</v>
      </c>
      <c r="O133" s="270">
        <f>+N133+S133+X133+ABS(Y133)-ABS(AA133)+ABS(Z133)+ABS(AB133)+ABS(AD133)-ABS(AE133)+AC133+W133+Q133</f>
        <v>0</v>
      </c>
      <c r="P133" s="271">
        <f>+O133-N133</f>
        <v>0</v>
      </c>
      <c r="Q133" s="520"/>
      <c r="R133" s="354">
        <f>IF(ISERROR(VLOOKUP("SAN"&amp;$C133,ESTR_PREC_SP!$A$2:$G$2000,4,FALSE))=TRUE,0,VLOOKUP("SAN"&amp;$C133,ESTR_PREC_SP!$A$2:$G$2000,4,FALSE))</f>
        <v>0</v>
      </c>
      <c r="S133" s="521"/>
      <c r="T133" s="521"/>
      <c r="U133" s="521"/>
      <c r="W133" s="520"/>
      <c r="X133" s="520"/>
      <c r="Y133" s="520"/>
      <c r="Z133" s="520"/>
      <c r="AA133" s="520"/>
      <c r="AB133" s="520"/>
      <c r="AC133" s="520"/>
      <c r="AD133" s="520"/>
      <c r="AE133" s="520"/>
    </row>
    <row r="134" spans="2:31" s="204" customFormat="1" x14ac:dyDescent="0.25">
      <c r="B134" s="273" t="s">
        <v>336</v>
      </c>
      <c r="C134" s="273" t="s">
        <v>337</v>
      </c>
      <c r="D134" s="264" t="s">
        <v>3097</v>
      </c>
      <c r="E134" s="264"/>
      <c r="F134" s="264"/>
      <c r="G134" s="265"/>
      <c r="H134" s="266"/>
      <c r="I134" s="267"/>
      <c r="J134" s="267"/>
      <c r="K134" s="267"/>
      <c r="L134" s="268" t="s">
        <v>3098</v>
      </c>
      <c r="M134" s="263" t="s">
        <v>2962</v>
      </c>
      <c r="N134" s="269">
        <f>+R134+T134-U134</f>
        <v>0</v>
      </c>
      <c r="O134" s="270">
        <f>+N134+S134+X134+ABS(Y134)-ABS(AA134)+ABS(Z134)+ABS(AB134)+ABS(AD134)-ABS(AE134)+AC134+W134+Q134</f>
        <v>0</v>
      </c>
      <c r="P134" s="271">
        <f>+O134-N134</f>
        <v>0</v>
      </c>
      <c r="Q134" s="520"/>
      <c r="R134" s="354">
        <f>IF(ISERROR(VLOOKUP("SAN"&amp;$C134,ESTR_PREC_SP!$A$2:$G$2000,4,FALSE))=TRUE,0,VLOOKUP("SAN"&amp;$C134,ESTR_PREC_SP!$A$2:$G$2000,4,FALSE))</f>
        <v>0</v>
      </c>
      <c r="S134" s="521"/>
      <c r="T134" s="521"/>
      <c r="U134" s="521"/>
      <c r="W134" s="520"/>
      <c r="X134" s="520"/>
      <c r="Y134" s="520"/>
      <c r="Z134" s="520"/>
      <c r="AA134" s="520"/>
      <c r="AB134" s="520"/>
      <c r="AC134" s="520"/>
      <c r="AD134" s="520"/>
      <c r="AE134" s="520"/>
    </row>
    <row r="135" spans="2:31" s="204" customFormat="1" x14ac:dyDescent="0.25">
      <c r="B135" s="293"/>
      <c r="C135" s="293"/>
      <c r="D135" s="300"/>
      <c r="E135" s="230"/>
      <c r="F135" s="230"/>
      <c r="G135" s="230"/>
      <c r="H135" s="231"/>
      <c r="I135" s="230"/>
      <c r="J135" s="230"/>
      <c r="K135" s="230"/>
      <c r="L135" s="275"/>
      <c r="M135" s="211"/>
      <c r="N135" s="254"/>
      <c r="O135" s="211"/>
      <c r="P135" s="211"/>
      <c r="Q135" s="211"/>
      <c r="R135" s="211"/>
      <c r="S135" s="216"/>
      <c r="T135" s="216"/>
      <c r="U135" s="216"/>
      <c r="V135" s="216"/>
      <c r="W135" s="211"/>
      <c r="X135" s="211"/>
      <c r="Y135" s="211"/>
      <c r="Z135" s="211"/>
      <c r="AA135" s="211"/>
    </row>
    <row r="136" spans="2:31" s="204" customFormat="1" x14ac:dyDescent="0.25">
      <c r="B136" s="292" t="s">
        <v>339</v>
      </c>
      <c r="C136" s="292" t="s">
        <v>340</v>
      </c>
      <c r="D136" s="301" t="s">
        <v>3099</v>
      </c>
      <c r="E136" s="247"/>
      <c r="F136" s="247"/>
      <c r="G136" s="247"/>
      <c r="H136" s="248"/>
      <c r="I136" s="247"/>
      <c r="J136" s="247"/>
      <c r="K136" s="249"/>
      <c r="L136" s="276" t="s">
        <v>342</v>
      </c>
      <c r="M136" s="251" t="s">
        <v>2962</v>
      </c>
      <c r="N136" s="252">
        <f>SUM(N139:N140)</f>
        <v>0</v>
      </c>
      <c r="O136" s="252">
        <f>SUM(O139:O140)</f>
        <v>0</v>
      </c>
      <c r="P136" s="259">
        <f>+O136-N136</f>
        <v>0</v>
      </c>
      <c r="Q136" s="252">
        <f>SUM(Q139:Q140)</f>
        <v>0</v>
      </c>
      <c r="R136" s="252">
        <f>SUM(R139:R140)</f>
        <v>0</v>
      </c>
      <c r="S136" s="252">
        <f>SUM(S139:S140)</f>
        <v>0</v>
      </c>
      <c r="V136" s="211"/>
      <c r="W136" s="252">
        <f>SUM(W139:W140)</f>
        <v>0</v>
      </c>
      <c r="X136" s="252">
        <f>SUM(X139:X140)</f>
        <v>0</v>
      </c>
      <c r="Y136" s="252">
        <f>SUM(Y139:Y140)</f>
        <v>0</v>
      </c>
      <c r="Z136" s="252">
        <f>SUM(Z139:Z140)</f>
        <v>0</v>
      </c>
      <c r="AA136" s="211"/>
    </row>
    <row r="137" spans="2:31" s="204" customFormat="1" x14ac:dyDescent="0.25">
      <c r="B137" s="293"/>
      <c r="C137" s="293"/>
      <c r="D137" s="230"/>
      <c r="E137" s="230"/>
      <c r="F137" s="230"/>
      <c r="G137" s="230"/>
      <c r="H137" s="231"/>
      <c r="I137" s="230"/>
      <c r="J137" s="230"/>
      <c r="K137" s="230"/>
      <c r="L137" s="232"/>
      <c r="M137" s="211"/>
      <c r="N137" s="211"/>
      <c r="O137" s="211"/>
      <c r="P137" s="211"/>
      <c r="Q137" s="211"/>
      <c r="V137" s="211"/>
      <c r="W137" s="211"/>
      <c r="X137" s="211"/>
      <c r="Y137" s="211"/>
      <c r="Z137" s="211"/>
      <c r="AA137" s="211"/>
    </row>
    <row r="138" spans="2:31" s="204" customFormat="1" ht="51" x14ac:dyDescent="0.25">
      <c r="B138" s="294" t="s">
        <v>2968</v>
      </c>
      <c r="C138" s="294" t="s">
        <v>2969</v>
      </c>
      <c r="D138" s="206" t="s">
        <v>72</v>
      </c>
      <c r="E138" s="206"/>
      <c r="F138" s="206"/>
      <c r="G138" s="207"/>
      <c r="H138" s="207"/>
      <c r="I138" s="207"/>
      <c r="J138" s="207" t="s">
        <v>2957</v>
      </c>
      <c r="K138" s="206" t="s">
        <v>82</v>
      </c>
      <c r="L138" s="261" t="s">
        <v>2970</v>
      </c>
      <c r="M138" s="260"/>
      <c r="N138" s="256" t="str">
        <f>N$15</f>
        <v>Valore netto al 31/12/2019</v>
      </c>
      <c r="O138" s="256" t="str">
        <f>O$15</f>
        <v>Valore netto al 31/12/2020</v>
      </c>
      <c r="P138" s="256" t="str">
        <f>P$15</f>
        <v>Variazione</v>
      </c>
      <c r="Q138" s="262" t="s">
        <v>2971</v>
      </c>
      <c r="R138" s="262" t="str">
        <f>"Fondo ammortamento 31/12/"&amp;Info!$B$3-1</f>
        <v>Fondo ammortamento 31/12/2019</v>
      </c>
      <c r="S138" s="262" t="s">
        <v>2972</v>
      </c>
      <c r="V138" s="211"/>
      <c r="W138" s="262" t="s">
        <v>2975</v>
      </c>
      <c r="X138" s="262" t="s">
        <v>2976</v>
      </c>
      <c r="Y138" s="262" t="s">
        <v>2989</v>
      </c>
      <c r="Z138" s="262" t="s">
        <v>2990</v>
      </c>
      <c r="AA138" s="211"/>
    </row>
    <row r="139" spans="2:31" s="204" customFormat="1" x14ac:dyDescent="0.25">
      <c r="B139" s="273" t="s">
        <v>343</v>
      </c>
      <c r="C139" s="273" t="s">
        <v>344</v>
      </c>
      <c r="D139" s="264" t="s">
        <v>3100</v>
      </c>
      <c r="E139" s="264"/>
      <c r="F139" s="264"/>
      <c r="G139" s="265"/>
      <c r="H139" s="266"/>
      <c r="I139" s="267"/>
      <c r="J139" s="267"/>
      <c r="K139" s="267"/>
      <c r="L139" s="268" t="s">
        <v>3101</v>
      </c>
      <c r="M139" s="263" t="s">
        <v>2962</v>
      </c>
      <c r="N139" s="269">
        <f>+R139</f>
        <v>0</v>
      </c>
      <c r="O139" s="270">
        <f>+R139+S139+X139-ABS(Y139)+ABS(Z139)+W139+Q139</f>
        <v>0</v>
      </c>
      <c r="P139" s="271">
        <f>+O139-N139</f>
        <v>0</v>
      </c>
      <c r="Q139" s="520"/>
      <c r="R139" s="354">
        <f>IF(ISERROR(VLOOKUP("SAN"&amp;$C139,ESTR_PREC_SP!$A$2:$G$2000,4,FALSE))=TRUE,0,VLOOKUP("SAN"&amp;$C139,ESTR_PREC_SP!$A$2:$G$2000,4,FALSE))</f>
        <v>0</v>
      </c>
      <c r="S139" s="521"/>
      <c r="V139" s="211"/>
      <c r="W139" s="520"/>
      <c r="X139" s="520"/>
      <c r="Y139" s="520"/>
      <c r="Z139" s="520"/>
      <c r="AA139" s="211"/>
    </row>
    <row r="140" spans="2:31" s="204" customFormat="1" x14ac:dyDescent="0.25">
      <c r="B140" s="273" t="s">
        <v>346</v>
      </c>
      <c r="C140" s="273" t="s">
        <v>347</v>
      </c>
      <c r="D140" s="264" t="s">
        <v>3102</v>
      </c>
      <c r="E140" s="264"/>
      <c r="F140" s="264"/>
      <c r="G140" s="265"/>
      <c r="H140" s="266"/>
      <c r="I140" s="267"/>
      <c r="J140" s="267"/>
      <c r="K140" s="267"/>
      <c r="L140" s="268" t="s">
        <v>3103</v>
      </c>
      <c r="M140" s="263" t="s">
        <v>2962</v>
      </c>
      <c r="N140" s="269">
        <f>+R140</f>
        <v>0</v>
      </c>
      <c r="O140" s="270">
        <f>+R140+S140+X140-ABS(Y140)+ABS(Z140)+W140+Q140</f>
        <v>0</v>
      </c>
      <c r="P140" s="271">
        <f>+O140-N140</f>
        <v>0</v>
      </c>
      <c r="Q140" s="520"/>
      <c r="R140" s="354">
        <f>IF(ISERROR(VLOOKUP("SAN"&amp;$C140,ESTR_PREC_SP!$A$2:$G$2000,4,FALSE))=TRUE,0,VLOOKUP("SAN"&amp;$C140,ESTR_PREC_SP!$A$2:$G$2000,4,FALSE))</f>
        <v>0</v>
      </c>
      <c r="S140" s="521"/>
      <c r="V140" s="211"/>
      <c r="W140" s="520"/>
      <c r="X140" s="520"/>
      <c r="Y140" s="520"/>
      <c r="Z140" s="520"/>
      <c r="AA140" s="211"/>
    </row>
    <row r="141" spans="2:31" s="204" customFormat="1" x14ac:dyDescent="0.25">
      <c r="B141" s="293"/>
      <c r="C141" s="293"/>
      <c r="D141" s="300"/>
      <c r="E141" s="230"/>
      <c r="F141" s="230"/>
      <c r="G141" s="230"/>
      <c r="H141" s="231"/>
      <c r="I141" s="230"/>
      <c r="J141" s="230"/>
      <c r="K141" s="230"/>
      <c r="L141" s="232"/>
      <c r="M141" s="211"/>
      <c r="N141" s="254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2:31" s="204" customFormat="1" x14ac:dyDescent="0.25">
      <c r="B142" s="292" t="s">
        <v>349</v>
      </c>
      <c r="C142" s="292" t="s">
        <v>350</v>
      </c>
      <c r="D142" s="301" t="s">
        <v>3104</v>
      </c>
      <c r="E142" s="247"/>
      <c r="F142" s="247"/>
      <c r="G142" s="247"/>
      <c r="H142" s="248"/>
      <c r="I142" s="247"/>
      <c r="J142" s="247"/>
      <c r="K142" s="249"/>
      <c r="L142" s="258" t="s">
        <v>352</v>
      </c>
      <c r="M142" s="251" t="s">
        <v>2962</v>
      </c>
      <c r="N142" s="252">
        <f>SUM(N145:N148)</f>
        <v>1650</v>
      </c>
      <c r="O142" s="252">
        <f>SUM(O145:O148)</f>
        <v>1650</v>
      </c>
      <c r="P142" s="259">
        <f>+O142-N142</f>
        <v>0</v>
      </c>
      <c r="Q142" s="252">
        <f>SUM(Q145:Q148)</f>
        <v>0</v>
      </c>
      <c r="R142" s="252">
        <f>SUM(R145:R148)</f>
        <v>1650</v>
      </c>
      <c r="S142" s="252">
        <f>SUM(S145:S148)</f>
        <v>0</v>
      </c>
      <c r="T142" s="252">
        <f>SUM(S145:S148)</f>
        <v>0</v>
      </c>
      <c r="U142" s="252">
        <f>SUM(T145:T148)</f>
        <v>0</v>
      </c>
      <c r="V142" s="216"/>
      <c r="W142" s="252">
        <f t="shared" ref="W142:AE142" si="14">SUM(W145:W148)</f>
        <v>0</v>
      </c>
      <c r="X142" s="252">
        <f t="shared" si="14"/>
        <v>0</v>
      </c>
      <c r="Y142" s="252">
        <f t="shared" si="14"/>
        <v>0</v>
      </c>
      <c r="Z142" s="252">
        <f t="shared" si="14"/>
        <v>0</v>
      </c>
      <c r="AA142" s="252">
        <f t="shared" si="14"/>
        <v>0</v>
      </c>
      <c r="AB142" s="252">
        <f t="shared" si="14"/>
        <v>0</v>
      </c>
      <c r="AC142" s="252">
        <f t="shared" si="14"/>
        <v>0</v>
      </c>
      <c r="AD142" s="252">
        <f t="shared" si="14"/>
        <v>0</v>
      </c>
      <c r="AE142" s="252">
        <f t="shared" si="14"/>
        <v>0</v>
      </c>
    </row>
    <row r="143" spans="2:31" s="204" customFormat="1" x14ac:dyDescent="0.25">
      <c r="B143" s="293"/>
      <c r="C143" s="293"/>
      <c r="D143" s="230"/>
      <c r="E143" s="230"/>
      <c r="F143" s="230"/>
      <c r="G143" s="230"/>
      <c r="H143" s="231"/>
      <c r="I143" s="230"/>
      <c r="J143" s="230"/>
      <c r="K143" s="230"/>
      <c r="L143" s="232"/>
      <c r="M143" s="211"/>
      <c r="N143" s="254"/>
      <c r="O143" s="211"/>
      <c r="P143" s="211"/>
      <c r="Q143" s="211"/>
      <c r="R143" s="216"/>
      <c r="T143" s="216"/>
      <c r="U143" s="216"/>
      <c r="V143" s="216"/>
      <c r="W143" s="211"/>
      <c r="X143" s="211"/>
      <c r="Y143" s="211"/>
      <c r="Z143" s="211"/>
      <c r="AA143" s="211"/>
    </row>
    <row r="144" spans="2:31" s="204" customFormat="1" ht="51" x14ac:dyDescent="0.25">
      <c r="B144" s="294" t="s">
        <v>2968</v>
      </c>
      <c r="C144" s="294" t="s">
        <v>2969</v>
      </c>
      <c r="D144" s="206" t="s">
        <v>72</v>
      </c>
      <c r="E144" s="206"/>
      <c r="F144" s="206"/>
      <c r="G144" s="207"/>
      <c r="H144" s="207"/>
      <c r="I144" s="207"/>
      <c r="J144" s="207" t="s">
        <v>2957</v>
      </c>
      <c r="K144" s="206" t="s">
        <v>82</v>
      </c>
      <c r="L144" s="261" t="s">
        <v>2970</v>
      </c>
      <c r="M144" s="260"/>
      <c r="N144" s="256" t="str">
        <f>N$15</f>
        <v>Valore netto al 31/12/2019</v>
      </c>
      <c r="O144" s="256" t="str">
        <f>O$15</f>
        <v>Valore netto al 31/12/2020</v>
      </c>
      <c r="P144" s="256" t="str">
        <f>P$15</f>
        <v>Variazione</v>
      </c>
      <c r="Q144" s="262" t="s">
        <v>2971</v>
      </c>
      <c r="R144" s="262" t="str">
        <f>"Costo storico al 31/12/"&amp;Info!$B$3-1</f>
        <v>Costo storico al 31/12/2019</v>
      </c>
      <c r="S144" s="262" t="s">
        <v>2972</v>
      </c>
      <c r="T144" s="262" t="s">
        <v>2973</v>
      </c>
      <c r="U144" s="262" t="s">
        <v>2974</v>
      </c>
      <c r="W144" s="262" t="s">
        <v>2975</v>
      </c>
      <c r="X144" s="262" t="s">
        <v>2976</v>
      </c>
      <c r="Y144" s="262" t="s">
        <v>2977</v>
      </c>
      <c r="Z144" s="262" t="s">
        <v>2978</v>
      </c>
      <c r="AA144" s="262" t="s">
        <v>2979</v>
      </c>
      <c r="AB144" s="262" t="s">
        <v>2980</v>
      </c>
      <c r="AC144" s="262" t="s">
        <v>2981</v>
      </c>
      <c r="AD144" s="262" t="s">
        <v>2982</v>
      </c>
      <c r="AE144" s="262" t="s">
        <v>2983</v>
      </c>
    </row>
    <row r="145" spans="2:34" s="204" customFormat="1" x14ac:dyDescent="0.25">
      <c r="B145" s="273" t="s">
        <v>353</v>
      </c>
      <c r="C145" s="273" t="s">
        <v>354</v>
      </c>
      <c r="D145" s="264" t="s">
        <v>3105</v>
      </c>
      <c r="E145" s="264"/>
      <c r="F145" s="264"/>
      <c r="G145" s="265"/>
      <c r="H145" s="266"/>
      <c r="I145" s="267"/>
      <c r="J145" s="267"/>
      <c r="K145" s="267"/>
      <c r="L145" s="268" t="s">
        <v>3106</v>
      </c>
      <c r="M145" s="263" t="s">
        <v>2962</v>
      </c>
      <c r="N145" s="269">
        <f>+R145+S145-T145</f>
        <v>1650</v>
      </c>
      <c r="O145" s="270">
        <f>+N145+S145+X145+ABS(Y145)-ABS(AA145)+ABS(Z145)+ABS(AB145)+ABS(AD145)-ABS(AE145)+AC145+W145+Q145</f>
        <v>1650</v>
      </c>
      <c r="P145" s="271">
        <f>+O145-N145</f>
        <v>0</v>
      </c>
      <c r="Q145" s="520"/>
      <c r="R145" s="354">
        <f>IF(ISERROR(VLOOKUP("SAN"&amp;$C145,ESTR_PREC_SP!$A$2:$G$2000,4,FALSE))=TRUE,0,VLOOKUP("SAN"&amp;$C145,ESTR_PREC_SP!$A$2:$G$2000,4,FALSE))</f>
        <v>1650</v>
      </c>
      <c r="S145" s="521"/>
      <c r="T145" s="521"/>
      <c r="U145" s="521"/>
      <c r="W145" s="520"/>
      <c r="X145" s="520"/>
      <c r="Y145" s="520"/>
      <c r="Z145" s="520"/>
      <c r="AA145" s="520"/>
      <c r="AB145" s="520"/>
      <c r="AC145" s="520"/>
      <c r="AD145" s="520"/>
      <c r="AE145" s="520"/>
    </row>
    <row r="146" spans="2:34" s="204" customFormat="1" x14ac:dyDescent="0.25">
      <c r="B146" s="273" t="s">
        <v>356</v>
      </c>
      <c r="C146" s="273" t="s">
        <v>357</v>
      </c>
      <c r="D146" s="264" t="s">
        <v>3107</v>
      </c>
      <c r="E146" s="264"/>
      <c r="F146" s="264"/>
      <c r="G146" s="265"/>
      <c r="H146" s="266"/>
      <c r="I146" s="267"/>
      <c r="J146" s="267"/>
      <c r="K146" s="267"/>
      <c r="L146" s="268" t="s">
        <v>3108</v>
      </c>
      <c r="M146" s="263" t="s">
        <v>2962</v>
      </c>
      <c r="N146" s="269">
        <f>+R146+S146-T146</f>
        <v>0</v>
      </c>
      <c r="O146" s="270">
        <f>+N146+S146+X146+ABS(Y146)-ABS(AA146)+ABS(Z146)+ABS(AB146)+ABS(AD146)-ABS(AE146)+AC146+W146+Q146</f>
        <v>0</v>
      </c>
      <c r="P146" s="271">
        <f>+O146-N146</f>
        <v>0</v>
      </c>
      <c r="Q146" s="520"/>
      <c r="R146" s="354">
        <f>IF(ISERROR(VLOOKUP("SAN"&amp;$C146,ESTR_PREC_SP!$A$2:$G$2000,4,FALSE))=TRUE,0,VLOOKUP("SAN"&amp;$C146,ESTR_PREC_SP!$A$2:$G$2000,4,FALSE))</f>
        <v>0</v>
      </c>
      <c r="S146" s="521"/>
      <c r="T146" s="521"/>
      <c r="U146" s="521"/>
      <c r="W146" s="520"/>
      <c r="X146" s="520"/>
      <c r="Y146" s="520"/>
      <c r="Z146" s="520"/>
      <c r="AA146" s="520"/>
      <c r="AB146" s="520"/>
      <c r="AC146" s="520"/>
      <c r="AD146" s="520"/>
      <c r="AE146" s="520"/>
    </row>
    <row r="147" spans="2:34" s="204" customFormat="1" x14ac:dyDescent="0.25">
      <c r="B147" s="273" t="s">
        <v>359</v>
      </c>
      <c r="C147" s="273" t="s">
        <v>360</v>
      </c>
      <c r="D147" s="264" t="s">
        <v>3109</v>
      </c>
      <c r="E147" s="264"/>
      <c r="F147" s="264"/>
      <c r="G147" s="265"/>
      <c r="H147" s="266"/>
      <c r="I147" s="267"/>
      <c r="J147" s="267"/>
      <c r="K147" s="267"/>
      <c r="L147" s="268" t="s">
        <v>3110</v>
      </c>
      <c r="M147" s="263" t="s">
        <v>2962</v>
      </c>
      <c r="N147" s="269">
        <f>+R147+S147-T147</f>
        <v>0</v>
      </c>
      <c r="O147" s="270">
        <f>+N147+S147+X147+ABS(Y147)-ABS(AA147)+ABS(Z147)+ABS(AB147)+ABS(AD147)-ABS(AE147)+AC147+W147+Q147</f>
        <v>0</v>
      </c>
      <c r="P147" s="271">
        <f>+O147-N147</f>
        <v>0</v>
      </c>
      <c r="Q147" s="520"/>
      <c r="R147" s="354">
        <f>IF(ISERROR(VLOOKUP("SAN"&amp;$C147,ESTR_PREC_SP!$A$2:$G$2000,4,FALSE))=TRUE,0,VLOOKUP("SAN"&amp;$C147,ESTR_PREC_SP!$A$2:$G$2000,4,FALSE))</f>
        <v>0</v>
      </c>
      <c r="S147" s="521"/>
      <c r="T147" s="521"/>
      <c r="U147" s="521"/>
      <c r="W147" s="520"/>
      <c r="X147" s="520"/>
      <c r="Y147" s="520"/>
      <c r="Z147" s="520"/>
      <c r="AA147" s="520"/>
      <c r="AB147" s="520"/>
      <c r="AC147" s="520"/>
      <c r="AD147" s="520"/>
      <c r="AE147" s="520"/>
    </row>
    <row r="148" spans="2:34" s="204" customFormat="1" x14ac:dyDescent="0.25">
      <c r="B148" s="273" t="s">
        <v>362</v>
      </c>
      <c r="C148" s="273" t="s">
        <v>363</v>
      </c>
      <c r="D148" s="264" t="s">
        <v>3111</v>
      </c>
      <c r="E148" s="264"/>
      <c r="F148" s="264"/>
      <c r="G148" s="265"/>
      <c r="H148" s="266"/>
      <c r="I148" s="267"/>
      <c r="J148" s="267"/>
      <c r="K148" s="267"/>
      <c r="L148" s="268" t="s">
        <v>3112</v>
      </c>
      <c r="M148" s="263" t="s">
        <v>2962</v>
      </c>
      <c r="N148" s="269">
        <f>+R148+S148-T148</f>
        <v>0</v>
      </c>
      <c r="O148" s="270">
        <f>+N148+S148+X148+ABS(Y148)-ABS(AA148)+ABS(Z148)+ABS(AB148)+ABS(AD148)-ABS(AE148)+AC148+W148+Q148</f>
        <v>0</v>
      </c>
      <c r="P148" s="271">
        <f>+O148-N148</f>
        <v>0</v>
      </c>
      <c r="Q148" s="520"/>
      <c r="R148" s="354">
        <f>IF(ISERROR(VLOOKUP("SAN"&amp;$C148,ESTR_PREC_SP!$A$2:$G$2000,4,FALSE))=TRUE,0,VLOOKUP("SAN"&amp;$C148,ESTR_PREC_SP!$A$2:$G$2000,4,FALSE))</f>
        <v>0</v>
      </c>
      <c r="S148" s="521"/>
      <c r="T148" s="521"/>
      <c r="U148" s="521"/>
      <c r="W148" s="520"/>
      <c r="X148" s="520"/>
      <c r="Y148" s="520"/>
      <c r="Z148" s="520"/>
      <c r="AA148" s="520"/>
      <c r="AB148" s="520"/>
      <c r="AC148" s="520"/>
      <c r="AD148" s="520"/>
      <c r="AE148" s="520"/>
    </row>
    <row r="149" spans="2:34" s="204" customFormat="1" x14ac:dyDescent="0.25">
      <c r="B149" s="293"/>
      <c r="C149" s="293"/>
      <c r="D149" s="300"/>
      <c r="E149" s="230"/>
      <c r="F149" s="230"/>
      <c r="G149" s="230"/>
      <c r="H149" s="231"/>
      <c r="I149" s="230"/>
      <c r="J149" s="230"/>
      <c r="K149" s="230"/>
      <c r="L149" s="275"/>
      <c r="M149" s="211"/>
      <c r="N149" s="254"/>
      <c r="O149" s="211"/>
      <c r="P149" s="211"/>
      <c r="Q149" s="211"/>
      <c r="R149" s="285"/>
      <c r="S149" s="285"/>
      <c r="T149" s="285"/>
      <c r="U149" s="285"/>
      <c r="V149" s="285"/>
      <c r="W149" s="285"/>
      <c r="X149" s="285"/>
      <c r="Y149" s="285"/>
      <c r="Z149" s="285"/>
      <c r="AA149" s="211"/>
    </row>
    <row r="150" spans="2:34" s="204" customFormat="1" x14ac:dyDescent="0.25">
      <c r="B150" s="292" t="s">
        <v>365</v>
      </c>
      <c r="C150" s="292" t="s">
        <v>366</v>
      </c>
      <c r="D150" s="301" t="s">
        <v>3113</v>
      </c>
      <c r="E150" s="247"/>
      <c r="F150" s="247"/>
      <c r="G150" s="247"/>
      <c r="H150" s="248"/>
      <c r="I150" s="247"/>
      <c r="J150" s="247"/>
      <c r="K150" s="249"/>
      <c r="L150" s="276" t="s">
        <v>368</v>
      </c>
      <c r="M150" s="251" t="s">
        <v>2962</v>
      </c>
      <c r="N150" s="252">
        <f>SUM(N153:N156)</f>
        <v>1650</v>
      </c>
      <c r="O150" s="252">
        <f>SUM(O153:O156)</f>
        <v>1650</v>
      </c>
      <c r="P150" s="259">
        <f>+O150-N150</f>
        <v>0</v>
      </c>
      <c r="Q150" s="252">
        <f>SUM(Q153:Q156)</f>
        <v>0</v>
      </c>
      <c r="R150" s="252">
        <f>SUM(R153:R156)</f>
        <v>1650</v>
      </c>
      <c r="S150" s="252">
        <f>SUM(S153:S156)</f>
        <v>0</v>
      </c>
      <c r="V150" s="211"/>
      <c r="W150" s="252">
        <f>SUM(W153:W156)</f>
        <v>0</v>
      </c>
      <c r="X150" s="252">
        <f>SUM(X153:X156)</f>
        <v>0</v>
      </c>
      <c r="Y150" s="252">
        <f>SUM(Y153:Y156)</f>
        <v>0</v>
      </c>
      <c r="Z150" s="252">
        <f>SUM(Z153:Z156)</f>
        <v>0</v>
      </c>
      <c r="AA150" s="211"/>
    </row>
    <row r="151" spans="2:34" s="204" customFormat="1" x14ac:dyDescent="0.25">
      <c r="B151" s="293"/>
      <c r="C151" s="293"/>
      <c r="D151" s="230"/>
      <c r="E151" s="230"/>
      <c r="F151" s="230"/>
      <c r="G151" s="230"/>
      <c r="H151" s="231"/>
      <c r="I151" s="230"/>
      <c r="J151" s="230"/>
      <c r="K151" s="230"/>
      <c r="L151" s="232"/>
      <c r="M151" s="211"/>
      <c r="N151" s="211"/>
      <c r="O151" s="211"/>
      <c r="P151" s="211"/>
      <c r="Q151" s="211"/>
      <c r="V151" s="211"/>
      <c r="W151" s="211"/>
      <c r="X151" s="211"/>
      <c r="Y151" s="211"/>
      <c r="Z151" s="211"/>
      <c r="AA151" s="285"/>
    </row>
    <row r="152" spans="2:34" s="204" customFormat="1" ht="51" x14ac:dyDescent="0.25">
      <c r="B152" s="294" t="s">
        <v>2968</v>
      </c>
      <c r="C152" s="294" t="s">
        <v>2969</v>
      </c>
      <c r="D152" s="206" t="s">
        <v>72</v>
      </c>
      <c r="E152" s="206"/>
      <c r="F152" s="206"/>
      <c r="G152" s="207"/>
      <c r="H152" s="207"/>
      <c r="I152" s="207"/>
      <c r="J152" s="207" t="s">
        <v>2957</v>
      </c>
      <c r="K152" s="206" t="s">
        <v>82</v>
      </c>
      <c r="L152" s="261" t="s">
        <v>2970</v>
      </c>
      <c r="M152" s="260"/>
      <c r="N152" s="256" t="str">
        <f>N$15</f>
        <v>Valore netto al 31/12/2019</v>
      </c>
      <c r="O152" s="256" t="str">
        <f>O$15</f>
        <v>Valore netto al 31/12/2020</v>
      </c>
      <c r="P152" s="256" t="str">
        <f>P$15</f>
        <v>Variazione</v>
      </c>
      <c r="Q152" s="262" t="s">
        <v>2971</v>
      </c>
      <c r="R152" s="262" t="str">
        <f>"Fondo ammortamento 31/12/"&amp;Info!$B$3-1</f>
        <v>Fondo ammortamento 31/12/2019</v>
      </c>
      <c r="S152" s="262" t="s">
        <v>2972</v>
      </c>
      <c r="V152" s="211"/>
      <c r="W152" s="262" t="s">
        <v>2975</v>
      </c>
      <c r="X152" s="262" t="s">
        <v>2976</v>
      </c>
      <c r="Y152" s="262" t="s">
        <v>2989</v>
      </c>
      <c r="Z152" s="262" t="s">
        <v>2990</v>
      </c>
      <c r="AA152" s="285"/>
    </row>
    <row r="153" spans="2:34" s="204" customFormat="1" x14ac:dyDescent="0.25">
      <c r="B153" s="273" t="s">
        <v>369</v>
      </c>
      <c r="C153" s="273" t="s">
        <v>370</v>
      </c>
      <c r="D153" s="264" t="s">
        <v>3114</v>
      </c>
      <c r="E153" s="264"/>
      <c r="F153" s="264"/>
      <c r="G153" s="265"/>
      <c r="H153" s="266"/>
      <c r="I153" s="267"/>
      <c r="J153" s="267"/>
      <c r="K153" s="267"/>
      <c r="L153" s="268" t="s">
        <v>3115</v>
      </c>
      <c r="M153" s="263" t="s">
        <v>2962</v>
      </c>
      <c r="N153" s="269">
        <f>+R153</f>
        <v>1650</v>
      </c>
      <c r="O153" s="270">
        <f>+R153+S153+X153-ABS(Y153)+ABS(Z153)+W153+Q153</f>
        <v>1650</v>
      </c>
      <c r="P153" s="271">
        <f>+O153-N153</f>
        <v>0</v>
      </c>
      <c r="Q153" s="520"/>
      <c r="R153" s="354">
        <f>IF(ISERROR(VLOOKUP("SAN"&amp;$C153,ESTR_PREC_SP!$A$2:$G$2000,4,FALSE))=TRUE,0,VLOOKUP("SAN"&amp;$C153,ESTR_PREC_SP!$A$2:$G$2000,4,FALSE))</f>
        <v>1650</v>
      </c>
      <c r="S153" s="521"/>
      <c r="V153" s="211"/>
      <c r="W153" s="520"/>
      <c r="X153" s="520"/>
      <c r="Y153" s="520"/>
      <c r="Z153" s="520"/>
      <c r="AA153" s="285"/>
    </row>
    <row r="154" spans="2:34" s="204" customFormat="1" x14ac:dyDescent="0.25">
      <c r="B154" s="273" t="s">
        <v>372</v>
      </c>
      <c r="C154" s="273" t="s">
        <v>373</v>
      </c>
      <c r="D154" s="264" t="s">
        <v>3116</v>
      </c>
      <c r="E154" s="264"/>
      <c r="F154" s="264"/>
      <c r="G154" s="265"/>
      <c r="H154" s="266"/>
      <c r="I154" s="267"/>
      <c r="J154" s="267"/>
      <c r="K154" s="267"/>
      <c r="L154" s="268" t="s">
        <v>3117</v>
      </c>
      <c r="M154" s="263" t="s">
        <v>2962</v>
      </c>
      <c r="N154" s="269">
        <f>+R154</f>
        <v>0</v>
      </c>
      <c r="O154" s="270">
        <f>+R154+S154+X154-ABS(Y154)+ABS(Z154)+W154+Q154</f>
        <v>0</v>
      </c>
      <c r="P154" s="271">
        <f>+O154-N154</f>
        <v>0</v>
      </c>
      <c r="Q154" s="520"/>
      <c r="R154" s="354">
        <f>IF(ISERROR(VLOOKUP("SAN"&amp;$C154,ESTR_PREC_SP!$A$2:$G$2000,4,FALSE))=TRUE,0,VLOOKUP("SAN"&amp;$C154,ESTR_PREC_SP!$A$2:$G$2000,4,FALSE))</f>
        <v>0</v>
      </c>
      <c r="S154" s="521"/>
      <c r="V154" s="211"/>
      <c r="W154" s="520"/>
      <c r="X154" s="520"/>
      <c r="Y154" s="520"/>
      <c r="Z154" s="520"/>
      <c r="AA154" s="285"/>
    </row>
    <row r="155" spans="2:34" s="204" customFormat="1" x14ac:dyDescent="0.25">
      <c r="B155" s="273" t="s">
        <v>375</v>
      </c>
      <c r="C155" s="273" t="s">
        <v>376</v>
      </c>
      <c r="D155" s="264" t="s">
        <v>3118</v>
      </c>
      <c r="E155" s="264"/>
      <c r="F155" s="264"/>
      <c r="G155" s="265"/>
      <c r="H155" s="266"/>
      <c r="I155" s="267"/>
      <c r="J155" s="267"/>
      <c r="K155" s="267"/>
      <c r="L155" s="268" t="s">
        <v>3119</v>
      </c>
      <c r="M155" s="263" t="s">
        <v>2962</v>
      </c>
      <c r="N155" s="269">
        <f>+R155</f>
        <v>0</v>
      </c>
      <c r="O155" s="270">
        <f>+R155+S155+X155-ABS(Y155)+ABS(Z155)+W155+Q155</f>
        <v>0</v>
      </c>
      <c r="P155" s="271">
        <f>+O155-N155</f>
        <v>0</v>
      </c>
      <c r="Q155" s="520"/>
      <c r="R155" s="354">
        <f>IF(ISERROR(VLOOKUP("SAN"&amp;$C155,ESTR_PREC_SP!$A$2:$G$2000,4,FALSE))=TRUE,0,VLOOKUP("SAN"&amp;$C155,ESTR_PREC_SP!$A$2:$G$2000,4,FALSE))</f>
        <v>0</v>
      </c>
      <c r="S155" s="521"/>
      <c r="V155" s="211"/>
      <c r="W155" s="520"/>
      <c r="X155" s="520"/>
      <c r="Y155" s="520"/>
      <c r="Z155" s="520"/>
      <c r="AA155" s="285"/>
    </row>
    <row r="156" spans="2:34" s="204" customFormat="1" x14ac:dyDescent="0.25">
      <c r="B156" s="273" t="s">
        <v>378</v>
      </c>
      <c r="C156" s="273" t="s">
        <v>379</v>
      </c>
      <c r="D156" s="264" t="s">
        <v>3120</v>
      </c>
      <c r="E156" s="264"/>
      <c r="F156" s="264"/>
      <c r="G156" s="265"/>
      <c r="H156" s="266"/>
      <c r="I156" s="267"/>
      <c r="J156" s="267"/>
      <c r="K156" s="267"/>
      <c r="L156" s="268" t="s">
        <v>3121</v>
      </c>
      <c r="M156" s="263" t="s">
        <v>2962</v>
      </c>
      <c r="N156" s="269">
        <f>+R156</f>
        <v>0</v>
      </c>
      <c r="O156" s="270">
        <f>+R156+S156+X156-ABS(Y156)+ABS(Z156)+W156+Q156</f>
        <v>0</v>
      </c>
      <c r="P156" s="271">
        <f>+O156-N156</f>
        <v>0</v>
      </c>
      <c r="Q156" s="520"/>
      <c r="R156" s="354">
        <f>IF(ISERROR(VLOOKUP("SAN"&amp;$C156,ESTR_PREC_SP!$A$2:$G$2000,4,FALSE))=TRUE,0,VLOOKUP("SAN"&amp;$C156,ESTR_PREC_SP!$A$2:$G$2000,4,FALSE))</f>
        <v>0</v>
      </c>
      <c r="S156" s="521"/>
      <c r="V156" s="211"/>
      <c r="W156" s="520"/>
      <c r="X156" s="520"/>
      <c r="Y156" s="520"/>
      <c r="Z156" s="520"/>
      <c r="AA156" s="285"/>
    </row>
    <row r="157" spans="2:34" s="204" customFormat="1" x14ac:dyDescent="0.25">
      <c r="B157" s="302"/>
      <c r="C157" s="302"/>
      <c r="D157" s="226"/>
      <c r="E157" s="226"/>
      <c r="F157" s="226"/>
      <c r="G157" s="226"/>
      <c r="H157" s="226"/>
      <c r="I157" s="226"/>
      <c r="J157" s="226"/>
      <c r="K157" s="226"/>
      <c r="L157" s="303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</row>
    <row r="158" spans="2:34" s="204" customFormat="1" ht="25.5" x14ac:dyDescent="0.25">
      <c r="B158" s="293"/>
      <c r="C158" s="293"/>
      <c r="D158" s="304"/>
      <c r="E158" s="230"/>
      <c r="F158" s="230"/>
      <c r="G158" s="230"/>
      <c r="H158" s="231"/>
      <c r="I158" s="230"/>
      <c r="J158" s="230"/>
      <c r="K158" s="230"/>
      <c r="L158" s="255"/>
      <c r="M158" s="244"/>
      <c r="N158" s="256" t="str">
        <f>N$15</f>
        <v>Valore netto al 31/12/2019</v>
      </c>
      <c r="O158" s="256" t="str">
        <f>O$15</f>
        <v>Valore netto al 31/12/2020</v>
      </c>
      <c r="P158" s="256" t="str">
        <f>P$15</f>
        <v>Variazione</v>
      </c>
      <c r="Q158" s="285"/>
      <c r="R158" s="285"/>
      <c r="S158" s="285"/>
      <c r="T158" s="285"/>
      <c r="U158" s="285"/>
      <c r="V158" s="285"/>
      <c r="W158" s="285"/>
      <c r="X158" s="285"/>
      <c r="Y158" s="285"/>
      <c r="Z158" s="211"/>
      <c r="AA158" s="211"/>
    </row>
    <row r="159" spans="2:34" s="204" customFormat="1" x14ac:dyDescent="0.25">
      <c r="B159" s="292" t="s">
        <v>381</v>
      </c>
      <c r="C159" s="292" t="s">
        <v>382</v>
      </c>
      <c r="D159" s="301" t="s">
        <v>3122</v>
      </c>
      <c r="E159" s="247"/>
      <c r="F159" s="247"/>
      <c r="G159" s="247"/>
      <c r="H159" s="248"/>
      <c r="I159" s="247"/>
      <c r="J159" s="247"/>
      <c r="K159" s="249"/>
      <c r="L159" s="257" t="s">
        <v>383</v>
      </c>
      <c r="M159" s="251" t="s">
        <v>2962</v>
      </c>
      <c r="N159" s="252">
        <f>+N161+N167+N173+N179</f>
        <v>0</v>
      </c>
      <c r="O159" s="252">
        <f>+O161+O167+O173+O179</f>
        <v>0</v>
      </c>
      <c r="P159" s="253">
        <f>+O159-N159</f>
        <v>0</v>
      </c>
      <c r="Q159" s="285"/>
      <c r="R159" s="285"/>
      <c r="S159" s="285"/>
      <c r="T159" s="285"/>
      <c r="U159" s="285"/>
      <c r="V159" s="285"/>
      <c r="W159" s="285"/>
      <c r="X159" s="252">
        <f>+X161+X167+X173+X179</f>
        <v>0</v>
      </c>
      <c r="Y159" s="285"/>
      <c r="Z159" s="211"/>
      <c r="AA159" s="211"/>
    </row>
    <row r="160" spans="2:34" s="204" customFormat="1" x14ac:dyDescent="0.25">
      <c r="B160" s="293"/>
      <c r="C160" s="293"/>
      <c r="D160" s="305"/>
      <c r="E160" s="230"/>
      <c r="F160" s="230"/>
      <c r="G160" s="230"/>
      <c r="H160" s="231"/>
      <c r="I160" s="230"/>
      <c r="J160" s="230"/>
      <c r="K160" s="230"/>
      <c r="L160" s="306"/>
      <c r="M160" s="211"/>
      <c r="N160" s="254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2:32" s="204" customFormat="1" x14ac:dyDescent="0.25">
      <c r="B161" s="292" t="s">
        <v>384</v>
      </c>
      <c r="C161" s="292" t="s">
        <v>385</v>
      </c>
      <c r="D161" s="301" t="s">
        <v>3123</v>
      </c>
      <c r="E161" s="247"/>
      <c r="F161" s="247"/>
      <c r="G161" s="247"/>
      <c r="H161" s="248"/>
      <c r="I161" s="247"/>
      <c r="J161" s="247"/>
      <c r="K161" s="249"/>
      <c r="L161" s="257" t="s">
        <v>388</v>
      </c>
      <c r="M161" s="251" t="s">
        <v>2962</v>
      </c>
      <c r="N161" s="252">
        <f>SUM(N164:N165)</f>
        <v>0</v>
      </c>
      <c r="O161" s="252">
        <f>SUM(O164:O165)</f>
        <v>0</v>
      </c>
      <c r="P161" s="259">
        <f>+O161-N161</f>
        <v>0</v>
      </c>
      <c r="Q161" s="252">
        <f>SUM(Q164:Q165)</f>
        <v>0</v>
      </c>
      <c r="R161" s="252">
        <f>SUM(R164:R165)</f>
        <v>0</v>
      </c>
      <c r="S161" s="252">
        <f>SUM(S164:S165)</f>
        <v>0</v>
      </c>
      <c r="V161" s="211"/>
      <c r="W161" s="252">
        <f>SUM(W164:W165)</f>
        <v>0</v>
      </c>
      <c r="X161" s="252">
        <f>SUM(X164:X165)</f>
        <v>0</v>
      </c>
      <c r="Y161" s="252">
        <f>SUM(Y164:Y165)</f>
        <v>0</v>
      </c>
      <c r="Z161" s="252">
        <f>SUM(Z164:Z165)</f>
        <v>0</v>
      </c>
      <c r="AA161" s="211"/>
    </row>
    <row r="162" spans="2:32" s="204" customFormat="1" x14ac:dyDescent="0.25">
      <c r="B162" s="293"/>
      <c r="C162" s="293"/>
      <c r="D162" s="230"/>
      <c r="E162" s="230"/>
      <c r="F162" s="230"/>
      <c r="G162" s="230"/>
      <c r="H162" s="231"/>
      <c r="I162" s="230"/>
      <c r="J162" s="230"/>
      <c r="K162" s="230"/>
      <c r="L162" s="232"/>
      <c r="M162" s="211"/>
      <c r="N162" s="211"/>
      <c r="O162" s="211"/>
      <c r="P162" s="211"/>
      <c r="Q162" s="211"/>
      <c r="V162" s="211"/>
      <c r="W162" s="211"/>
      <c r="X162" s="211"/>
      <c r="Y162" s="211"/>
      <c r="Z162" s="211"/>
      <c r="AA162" s="211"/>
    </row>
    <row r="163" spans="2:32" s="204" customFormat="1" ht="51" x14ac:dyDescent="0.25">
      <c r="B163" s="294" t="s">
        <v>2968</v>
      </c>
      <c r="C163" s="294" t="s">
        <v>2969</v>
      </c>
      <c r="D163" s="206" t="s">
        <v>72</v>
      </c>
      <c r="E163" s="206"/>
      <c r="F163" s="206"/>
      <c r="G163" s="207"/>
      <c r="H163" s="207"/>
      <c r="I163" s="207"/>
      <c r="J163" s="207" t="s">
        <v>2957</v>
      </c>
      <c r="K163" s="206" t="s">
        <v>82</v>
      </c>
      <c r="L163" s="261" t="s">
        <v>2970</v>
      </c>
      <c r="M163" s="260"/>
      <c r="N163" s="256" t="str">
        <f>N$15</f>
        <v>Valore netto al 31/12/2019</v>
      </c>
      <c r="O163" s="256" t="str">
        <f>O$15</f>
        <v>Valore netto al 31/12/2020</v>
      </c>
      <c r="P163" s="256" t="str">
        <f>P$15</f>
        <v>Variazione</v>
      </c>
      <c r="Q163" s="262" t="s">
        <v>2971</v>
      </c>
      <c r="R163" s="262" t="str">
        <f>"Fondo svalutazione 31/12/"&amp;Info!$B$3-1</f>
        <v>Fondo svalutazione 31/12/2019</v>
      </c>
      <c r="S163" s="262" t="s">
        <v>2972</v>
      </c>
      <c r="V163" s="211"/>
      <c r="W163" s="262" t="s">
        <v>2975</v>
      </c>
      <c r="X163" s="262" t="s">
        <v>2976</v>
      </c>
      <c r="Y163" s="262" t="s">
        <v>3124</v>
      </c>
      <c r="Z163" s="262" t="s">
        <v>3125</v>
      </c>
      <c r="AA163" s="211"/>
      <c r="AB163" s="211"/>
      <c r="AC163" s="211"/>
      <c r="AD163" s="211"/>
      <c r="AE163" s="211"/>
      <c r="AF163" s="211"/>
    </row>
    <row r="164" spans="2:32" s="204" customFormat="1" x14ac:dyDescent="0.25">
      <c r="B164" s="273" t="s">
        <v>389</v>
      </c>
      <c r="C164" s="273" t="s">
        <v>390</v>
      </c>
      <c r="D164" s="264" t="s">
        <v>3126</v>
      </c>
      <c r="E164" s="264"/>
      <c r="F164" s="264"/>
      <c r="G164" s="265"/>
      <c r="H164" s="266"/>
      <c r="I164" s="267"/>
      <c r="J164" s="267"/>
      <c r="K164" s="267"/>
      <c r="L164" s="268" t="s">
        <v>3127</v>
      </c>
      <c r="M164" s="263" t="s">
        <v>2962</v>
      </c>
      <c r="N164" s="269">
        <f>+R164</f>
        <v>0</v>
      </c>
      <c r="O164" s="270">
        <f>+R164+S164+X164-ABS(Y164)+ABS(Z164)+W164+Q164</f>
        <v>0</v>
      </c>
      <c r="P164" s="271">
        <f>+O164-N164</f>
        <v>0</v>
      </c>
      <c r="Q164" s="520"/>
      <c r="R164" s="354">
        <f>IF(ISERROR(VLOOKUP("SAN"&amp;$C164,ESTR_PREC_SP!$A$2:$G$2000,4,FALSE))=TRUE,0,VLOOKUP("SAN"&amp;$C164,ESTR_PREC_SP!$A$2:$G$2000,4,FALSE))</f>
        <v>0</v>
      </c>
      <c r="S164" s="521"/>
      <c r="V164" s="211"/>
      <c r="W164" s="520"/>
      <c r="X164" s="520"/>
      <c r="Y164" s="520"/>
      <c r="Z164" s="520"/>
      <c r="AA164" s="211"/>
      <c r="AB164" s="211"/>
      <c r="AC164" s="211"/>
      <c r="AD164" s="211"/>
      <c r="AE164" s="211"/>
      <c r="AF164" s="211"/>
    </row>
    <row r="165" spans="2:32" s="204" customFormat="1" x14ac:dyDescent="0.25">
      <c r="B165" s="273" t="s">
        <v>392</v>
      </c>
      <c r="C165" s="273" t="s">
        <v>393</v>
      </c>
      <c r="D165" s="274" t="s">
        <v>3128</v>
      </c>
      <c r="E165" s="264"/>
      <c r="F165" s="264"/>
      <c r="G165" s="265"/>
      <c r="H165" s="266"/>
      <c r="I165" s="267"/>
      <c r="J165" s="267"/>
      <c r="K165" s="267"/>
      <c r="L165" s="268" t="s">
        <v>3129</v>
      </c>
      <c r="M165" s="263" t="s">
        <v>2962</v>
      </c>
      <c r="N165" s="269">
        <f>+R165</f>
        <v>0</v>
      </c>
      <c r="O165" s="270">
        <f>+R165+S165+X165-ABS(Y165)+ABS(Z165)+W165+Q165</f>
        <v>0</v>
      </c>
      <c r="P165" s="271">
        <f>+O165-N165</f>
        <v>0</v>
      </c>
      <c r="Q165" s="520"/>
      <c r="R165" s="354">
        <f>IF(ISERROR(VLOOKUP("SAN"&amp;$C165,ESTR_PREC_SP!$A$2:$G$2000,4,FALSE))=TRUE,0,VLOOKUP("SAN"&amp;$C165,ESTR_PREC_SP!$A$2:$G$2000,4,FALSE))</f>
        <v>0</v>
      </c>
      <c r="S165" s="521"/>
      <c r="V165" s="211"/>
      <c r="W165" s="520"/>
      <c r="X165" s="520"/>
      <c r="Y165" s="520"/>
      <c r="Z165" s="520"/>
      <c r="AA165" s="211"/>
      <c r="AB165" s="211"/>
      <c r="AC165" s="211"/>
      <c r="AD165" s="211"/>
      <c r="AE165" s="211"/>
      <c r="AF165" s="211"/>
    </row>
    <row r="166" spans="2:32" s="204" customFormat="1" x14ac:dyDescent="0.25">
      <c r="B166" s="293"/>
      <c r="C166" s="293"/>
      <c r="D166" s="304"/>
      <c r="E166" s="230"/>
      <c r="F166" s="230"/>
      <c r="G166" s="230"/>
      <c r="H166" s="231"/>
      <c r="I166" s="230"/>
      <c r="J166" s="230"/>
      <c r="K166" s="230"/>
      <c r="L166" s="306"/>
      <c r="M166" s="211"/>
      <c r="N166" s="254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2:32" s="204" customFormat="1" x14ac:dyDescent="0.25">
      <c r="B167" s="292" t="s">
        <v>395</v>
      </c>
      <c r="C167" s="292" t="s">
        <v>396</v>
      </c>
      <c r="D167" s="301" t="s">
        <v>3130</v>
      </c>
      <c r="E167" s="247"/>
      <c r="F167" s="247"/>
      <c r="G167" s="247"/>
      <c r="H167" s="248"/>
      <c r="I167" s="247"/>
      <c r="J167" s="247"/>
      <c r="K167" s="249"/>
      <c r="L167" s="257" t="s">
        <v>399</v>
      </c>
      <c r="M167" s="251" t="s">
        <v>2962</v>
      </c>
      <c r="N167" s="252">
        <f>SUM(N170:N171)</f>
        <v>0</v>
      </c>
      <c r="O167" s="252">
        <f>SUM(O170:O171)</f>
        <v>0</v>
      </c>
      <c r="P167" s="259">
        <f>+O167-N167</f>
        <v>0</v>
      </c>
      <c r="Q167" s="252">
        <f>SUM(Q170:Q171)</f>
        <v>0</v>
      </c>
      <c r="R167" s="252">
        <f>SUM(R170:R171)</f>
        <v>0</v>
      </c>
      <c r="S167" s="252">
        <f>SUM(S170:S171)</f>
        <v>0</v>
      </c>
      <c r="V167" s="211"/>
      <c r="W167" s="252">
        <f>SUM(W170:W171)</f>
        <v>0</v>
      </c>
      <c r="X167" s="252">
        <f>SUM(X170:X171)</f>
        <v>0</v>
      </c>
      <c r="Y167" s="252">
        <f>SUM(Y170:Y171)</f>
        <v>0</v>
      </c>
      <c r="Z167" s="252">
        <f>SUM(Z170:Z171)</f>
        <v>0</v>
      </c>
      <c r="AA167" s="211"/>
    </row>
    <row r="168" spans="2:32" s="204" customFormat="1" x14ac:dyDescent="0.25">
      <c r="B168" s="293"/>
      <c r="C168" s="293"/>
      <c r="D168" s="230"/>
      <c r="E168" s="230"/>
      <c r="F168" s="230"/>
      <c r="G168" s="230"/>
      <c r="H168" s="231"/>
      <c r="I168" s="230"/>
      <c r="J168" s="230"/>
      <c r="K168" s="230"/>
      <c r="L168" s="232"/>
      <c r="M168" s="211"/>
      <c r="N168" s="211"/>
      <c r="O168" s="211"/>
      <c r="P168" s="211"/>
      <c r="Q168" s="211"/>
      <c r="V168" s="211"/>
      <c r="W168" s="211"/>
      <c r="X168" s="211"/>
      <c r="Y168" s="211"/>
      <c r="Z168" s="211"/>
      <c r="AA168" s="211"/>
    </row>
    <row r="169" spans="2:32" s="204" customFormat="1" ht="51" x14ac:dyDescent="0.25">
      <c r="B169" s="294" t="s">
        <v>2968</v>
      </c>
      <c r="C169" s="294" t="s">
        <v>2969</v>
      </c>
      <c r="D169" s="206" t="s">
        <v>72</v>
      </c>
      <c r="E169" s="206"/>
      <c r="F169" s="206"/>
      <c r="G169" s="207"/>
      <c r="H169" s="207"/>
      <c r="I169" s="207"/>
      <c r="J169" s="207" t="s">
        <v>2957</v>
      </c>
      <c r="K169" s="206" t="s">
        <v>82</v>
      </c>
      <c r="L169" s="261" t="s">
        <v>2970</v>
      </c>
      <c r="M169" s="260"/>
      <c r="N169" s="256" t="str">
        <f>N$15</f>
        <v>Valore netto al 31/12/2019</v>
      </c>
      <c r="O169" s="256" t="str">
        <f>O$15</f>
        <v>Valore netto al 31/12/2020</v>
      </c>
      <c r="P169" s="256" t="str">
        <f>P$15</f>
        <v>Variazione</v>
      </c>
      <c r="Q169" s="262" t="s">
        <v>2971</v>
      </c>
      <c r="R169" s="262" t="str">
        <f>"Fondo svalutazione 31/12/"&amp;Info!$B$3-1</f>
        <v>Fondo svalutazione 31/12/2019</v>
      </c>
      <c r="S169" s="262" t="s">
        <v>2972</v>
      </c>
      <c r="V169" s="211"/>
      <c r="W169" s="262" t="s">
        <v>2975</v>
      </c>
      <c r="X169" s="262" t="s">
        <v>2976</v>
      </c>
      <c r="Y169" s="262" t="s">
        <v>3124</v>
      </c>
      <c r="Z169" s="262" t="s">
        <v>3125</v>
      </c>
      <c r="AA169" s="211"/>
      <c r="AB169" s="211"/>
      <c r="AC169" s="211"/>
      <c r="AD169" s="211"/>
      <c r="AE169" s="211"/>
    </row>
    <row r="170" spans="2:32" s="204" customFormat="1" x14ac:dyDescent="0.25">
      <c r="B170" s="273" t="s">
        <v>400</v>
      </c>
      <c r="C170" s="273" t="s">
        <v>401</v>
      </c>
      <c r="D170" s="264" t="s">
        <v>3131</v>
      </c>
      <c r="E170" s="264"/>
      <c r="F170" s="264"/>
      <c r="G170" s="265"/>
      <c r="H170" s="266"/>
      <c r="I170" s="267"/>
      <c r="J170" s="267"/>
      <c r="K170" s="267"/>
      <c r="L170" s="268" t="s">
        <v>3132</v>
      </c>
      <c r="M170" s="263" t="s">
        <v>2962</v>
      </c>
      <c r="N170" s="269">
        <f>+R170+S170-T170</f>
        <v>0</v>
      </c>
      <c r="O170" s="270">
        <f>+R170+S170+X170-ABS(Y170)+ABS(Z170)+W170+Q170</f>
        <v>0</v>
      </c>
      <c r="P170" s="271">
        <f>+O170-N170</f>
        <v>0</v>
      </c>
      <c r="Q170" s="520"/>
      <c r="R170" s="354">
        <f>IF(ISERROR(VLOOKUP("SAN"&amp;$C170,ESTR_PREC_SP!$A$2:$G$2000,4,FALSE))=TRUE,0,VLOOKUP("SAN"&amp;$C170,ESTR_PREC_SP!$A$2:$G$2000,4,FALSE))</f>
        <v>0</v>
      </c>
      <c r="S170" s="521"/>
      <c r="V170" s="211"/>
      <c r="W170" s="520"/>
      <c r="X170" s="520"/>
      <c r="Y170" s="520"/>
      <c r="Z170" s="520"/>
      <c r="AA170" s="211"/>
      <c r="AB170" s="211"/>
      <c r="AC170" s="211"/>
      <c r="AD170" s="211"/>
      <c r="AE170" s="211"/>
    </row>
    <row r="171" spans="2:32" s="204" customFormat="1" x14ac:dyDescent="0.25">
      <c r="B171" s="273" t="s">
        <v>403</v>
      </c>
      <c r="C171" s="273" t="s">
        <v>404</v>
      </c>
      <c r="D171" s="274" t="s">
        <v>3133</v>
      </c>
      <c r="E171" s="264"/>
      <c r="F171" s="264"/>
      <c r="G171" s="265"/>
      <c r="H171" s="266"/>
      <c r="I171" s="267"/>
      <c r="J171" s="267"/>
      <c r="K171" s="267"/>
      <c r="L171" s="268" t="s">
        <v>3134</v>
      </c>
      <c r="M171" s="263" t="s">
        <v>2962</v>
      </c>
      <c r="N171" s="269">
        <f>+R171+S171-T171</f>
        <v>0</v>
      </c>
      <c r="O171" s="270">
        <f>+R171+S171+X171-ABS(Y171)+ABS(Z171)+W171+Q171</f>
        <v>0</v>
      </c>
      <c r="P171" s="271">
        <f>+O171-N171</f>
        <v>0</v>
      </c>
      <c r="Q171" s="520"/>
      <c r="R171" s="354">
        <f>IF(ISERROR(VLOOKUP("SAN"&amp;$C171,ESTR_PREC_SP!$A$2:$G$2000,4,FALSE))=TRUE,0,VLOOKUP("SAN"&amp;$C171,ESTR_PREC_SP!$A$2:$G$2000,4,FALSE))</f>
        <v>0</v>
      </c>
      <c r="S171" s="521"/>
      <c r="V171" s="211"/>
      <c r="W171" s="520"/>
      <c r="X171" s="520"/>
      <c r="Y171" s="520"/>
      <c r="Z171" s="520"/>
      <c r="AA171" s="211"/>
      <c r="AB171" s="211"/>
      <c r="AC171" s="211"/>
      <c r="AD171" s="211"/>
      <c r="AE171" s="211"/>
    </row>
    <row r="172" spans="2:32" s="204" customFormat="1" x14ac:dyDescent="0.25">
      <c r="B172" s="293"/>
      <c r="C172" s="293"/>
      <c r="D172" s="304"/>
      <c r="E172" s="230"/>
      <c r="F172" s="230"/>
      <c r="G172" s="230"/>
      <c r="H172" s="231"/>
      <c r="I172" s="230"/>
      <c r="J172" s="230"/>
      <c r="K172" s="230"/>
      <c r="L172" s="306"/>
      <c r="M172" s="211"/>
      <c r="N172" s="254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</row>
    <row r="173" spans="2:32" s="204" customFormat="1" ht="26.25" customHeight="1" x14ac:dyDescent="0.25">
      <c r="B173" s="292" t="s">
        <v>406</v>
      </c>
      <c r="C173" s="292" t="s">
        <v>407</v>
      </c>
      <c r="D173" s="301" t="s">
        <v>3135</v>
      </c>
      <c r="E173" s="247"/>
      <c r="F173" s="247"/>
      <c r="G173" s="247"/>
      <c r="H173" s="248"/>
      <c r="I173" s="247"/>
      <c r="J173" s="247"/>
      <c r="K173" s="249"/>
      <c r="L173" s="257" t="s">
        <v>410</v>
      </c>
      <c r="M173" s="251" t="s">
        <v>2962</v>
      </c>
      <c r="N173" s="252">
        <f>SUM(N176:N177)</f>
        <v>0</v>
      </c>
      <c r="O173" s="252">
        <f>SUM(O176:O177)</f>
        <v>0</v>
      </c>
      <c r="P173" s="259">
        <f>+O173-N173</f>
        <v>0</v>
      </c>
      <c r="Q173" s="252">
        <f>SUM(Q176:Q177)</f>
        <v>0</v>
      </c>
      <c r="R173" s="252">
        <f>SUM(R176:R177)</f>
        <v>0</v>
      </c>
      <c r="S173" s="252">
        <f>SUM(S176:S177)</f>
        <v>0</v>
      </c>
      <c r="V173" s="211"/>
      <c r="W173" s="252">
        <f>SUM(W176:W177)</f>
        <v>0</v>
      </c>
      <c r="X173" s="252">
        <f>SUM(X176:X177)</f>
        <v>0</v>
      </c>
      <c r="Y173" s="252">
        <f>SUM(Y176:Y177)</f>
        <v>0</v>
      </c>
      <c r="Z173" s="252">
        <f>SUM(Z176:Z177)</f>
        <v>0</v>
      </c>
      <c r="AA173" s="211"/>
    </row>
    <row r="174" spans="2:32" s="204" customFormat="1" x14ac:dyDescent="0.25">
      <c r="B174" s="293"/>
      <c r="C174" s="293"/>
      <c r="D174" s="230"/>
      <c r="E174" s="230"/>
      <c r="F174" s="230"/>
      <c r="G174" s="230"/>
      <c r="H174" s="231"/>
      <c r="I174" s="230"/>
      <c r="J174" s="230"/>
      <c r="K174" s="230"/>
      <c r="L174" s="232"/>
      <c r="M174" s="211"/>
      <c r="N174" s="211"/>
      <c r="O174" s="211"/>
      <c r="P174" s="211"/>
      <c r="Q174" s="211"/>
      <c r="V174" s="211"/>
      <c r="W174" s="211"/>
      <c r="X174" s="211"/>
      <c r="Y174" s="211"/>
      <c r="Z174" s="211"/>
      <c r="AA174" s="211"/>
    </row>
    <row r="175" spans="2:32" s="204" customFormat="1" ht="51" x14ac:dyDescent="0.25">
      <c r="B175" s="294" t="s">
        <v>2968</v>
      </c>
      <c r="C175" s="294" t="s">
        <v>2969</v>
      </c>
      <c r="D175" s="206" t="s">
        <v>72</v>
      </c>
      <c r="E175" s="206"/>
      <c r="F175" s="206"/>
      <c r="G175" s="207"/>
      <c r="H175" s="207"/>
      <c r="I175" s="207"/>
      <c r="J175" s="207" t="s">
        <v>2957</v>
      </c>
      <c r="K175" s="206" t="s">
        <v>82</v>
      </c>
      <c r="L175" s="261" t="s">
        <v>2970</v>
      </c>
      <c r="M175" s="260"/>
      <c r="N175" s="256" t="str">
        <f>N$15</f>
        <v>Valore netto al 31/12/2019</v>
      </c>
      <c r="O175" s="256" t="str">
        <f>O$15</f>
        <v>Valore netto al 31/12/2020</v>
      </c>
      <c r="P175" s="256" t="str">
        <f>P$15</f>
        <v>Variazione</v>
      </c>
      <c r="Q175" s="262" t="s">
        <v>2971</v>
      </c>
      <c r="R175" s="262" t="str">
        <f>"Fondo svalutazione 31/12/"&amp;Info!$B$3-1</f>
        <v>Fondo svalutazione 31/12/2019</v>
      </c>
      <c r="S175" s="262" t="s">
        <v>2972</v>
      </c>
      <c r="V175" s="211"/>
      <c r="W175" s="262" t="s">
        <v>2975</v>
      </c>
      <c r="X175" s="262" t="s">
        <v>2976</v>
      </c>
      <c r="Y175" s="262" t="s">
        <v>3124</v>
      </c>
      <c r="Z175" s="262" t="s">
        <v>3125</v>
      </c>
      <c r="AA175" s="211"/>
      <c r="AB175" s="211"/>
      <c r="AC175" s="211"/>
      <c r="AD175" s="211"/>
      <c r="AE175" s="211"/>
    </row>
    <row r="176" spans="2:32" s="204" customFormat="1" x14ac:dyDescent="0.25">
      <c r="B176" s="273" t="s">
        <v>411</v>
      </c>
      <c r="C176" s="273" t="s">
        <v>412</v>
      </c>
      <c r="D176" s="264" t="s">
        <v>3136</v>
      </c>
      <c r="E176" s="264"/>
      <c r="F176" s="264"/>
      <c r="G176" s="265"/>
      <c r="H176" s="266"/>
      <c r="I176" s="267"/>
      <c r="J176" s="267"/>
      <c r="K176" s="267"/>
      <c r="L176" s="268" t="s">
        <v>3137</v>
      </c>
      <c r="M176" s="263" t="s">
        <v>2962</v>
      </c>
      <c r="N176" s="269">
        <f>+R176+S176-T176</f>
        <v>0</v>
      </c>
      <c r="O176" s="270">
        <f>+R176+S176+X176-ABS(Y176)+ABS(Z176)+W176+Q176</f>
        <v>0</v>
      </c>
      <c r="P176" s="271">
        <f>+O176-N176</f>
        <v>0</v>
      </c>
      <c r="Q176" s="520"/>
      <c r="R176" s="354">
        <f>IF(ISERROR(VLOOKUP("SAN"&amp;$C176,ESTR_PREC_SP!$A$2:$G$2000,4,FALSE))=TRUE,0,VLOOKUP("SAN"&amp;$C176,ESTR_PREC_SP!$A$2:$G$2000,4,FALSE))</f>
        <v>0</v>
      </c>
      <c r="S176" s="521"/>
      <c r="V176" s="211"/>
      <c r="W176" s="520"/>
      <c r="X176" s="520"/>
      <c r="Y176" s="520"/>
      <c r="Z176" s="520"/>
      <c r="AA176" s="211"/>
      <c r="AB176" s="211"/>
      <c r="AC176" s="211"/>
      <c r="AD176" s="211"/>
      <c r="AE176" s="211"/>
    </row>
    <row r="177" spans="2:31" s="204" customFormat="1" x14ac:dyDescent="0.25">
      <c r="B177" s="273" t="s">
        <v>414</v>
      </c>
      <c r="C177" s="273" t="s">
        <v>415</v>
      </c>
      <c r="D177" s="274" t="s">
        <v>3138</v>
      </c>
      <c r="E177" s="264"/>
      <c r="F177" s="264"/>
      <c r="G177" s="265"/>
      <c r="H177" s="266"/>
      <c r="I177" s="267"/>
      <c r="J177" s="267"/>
      <c r="K177" s="267"/>
      <c r="L177" s="268" t="s">
        <v>3139</v>
      </c>
      <c r="M177" s="263" t="s">
        <v>2962</v>
      </c>
      <c r="N177" s="269">
        <f>+R177+S177-T177</f>
        <v>0</v>
      </c>
      <c r="O177" s="270">
        <f>+R177+S177+X177-ABS(Y177)+ABS(Z177)+W177+Q177</f>
        <v>0</v>
      </c>
      <c r="P177" s="271">
        <f>+O177-N177</f>
        <v>0</v>
      </c>
      <c r="Q177" s="520"/>
      <c r="R177" s="354">
        <f>IF(ISERROR(VLOOKUP("SAN"&amp;$C177,ESTR_PREC_SP!$A$2:$G$2000,4,FALSE))=TRUE,0,VLOOKUP("SAN"&amp;$C177,ESTR_PREC_SP!$A$2:$G$2000,4,FALSE))</f>
        <v>0</v>
      </c>
      <c r="S177" s="521"/>
      <c r="V177" s="211"/>
      <c r="W177" s="520"/>
      <c r="X177" s="520"/>
      <c r="Y177" s="520"/>
      <c r="Z177" s="520"/>
      <c r="AA177" s="211"/>
      <c r="AB177" s="211"/>
      <c r="AC177" s="211"/>
      <c r="AD177" s="211"/>
      <c r="AE177" s="211"/>
    </row>
    <row r="178" spans="2:31" s="204" customFormat="1" x14ac:dyDescent="0.25">
      <c r="B178" s="293"/>
      <c r="C178" s="293"/>
      <c r="D178" s="304"/>
      <c r="E178" s="230"/>
      <c r="F178" s="230"/>
      <c r="G178" s="230"/>
      <c r="H178" s="231"/>
      <c r="I178" s="230"/>
      <c r="J178" s="230"/>
      <c r="K178" s="230"/>
      <c r="L178" s="306"/>
      <c r="M178" s="211"/>
      <c r="N178" s="254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2:31" s="204" customFormat="1" x14ac:dyDescent="0.25">
      <c r="B179" s="292" t="s">
        <v>417</v>
      </c>
      <c r="C179" s="292" t="s">
        <v>418</v>
      </c>
      <c r="D179" s="301" t="s">
        <v>3140</v>
      </c>
      <c r="E179" s="247"/>
      <c r="F179" s="247"/>
      <c r="G179" s="247"/>
      <c r="H179" s="248"/>
      <c r="I179" s="247"/>
      <c r="J179" s="247"/>
      <c r="K179" s="249"/>
      <c r="L179" s="257" t="s">
        <v>421</v>
      </c>
      <c r="M179" s="251" t="s">
        <v>2962</v>
      </c>
      <c r="N179" s="252">
        <f>SUM(N182:N183)</f>
        <v>0</v>
      </c>
      <c r="O179" s="252">
        <f>SUM(O182:O183)</f>
        <v>0</v>
      </c>
      <c r="P179" s="259">
        <f>+O179-N179</f>
        <v>0</v>
      </c>
      <c r="Q179" s="252">
        <f>SUM(Q182:Q183)</f>
        <v>0</v>
      </c>
      <c r="R179" s="252">
        <f>SUM(R182:R183)</f>
        <v>0</v>
      </c>
      <c r="S179" s="252">
        <f>SUM(S182:S183)</f>
        <v>0</v>
      </c>
      <c r="V179" s="211"/>
      <c r="W179" s="252">
        <f>SUM(W182:W183)</f>
        <v>0</v>
      </c>
      <c r="X179" s="252">
        <f>SUM(X182:X183)</f>
        <v>0</v>
      </c>
      <c r="Y179" s="252">
        <f>SUM(Y182:Y183)</f>
        <v>0</v>
      </c>
      <c r="Z179" s="252">
        <f>SUM(Z182:Z183)</f>
        <v>0</v>
      </c>
      <c r="AA179" s="211"/>
    </row>
    <row r="180" spans="2:31" s="204" customFormat="1" x14ac:dyDescent="0.25">
      <c r="B180" s="293"/>
      <c r="C180" s="293"/>
      <c r="D180" s="230"/>
      <c r="E180" s="230"/>
      <c r="F180" s="230"/>
      <c r="G180" s="230"/>
      <c r="H180" s="231"/>
      <c r="I180" s="230"/>
      <c r="J180" s="230"/>
      <c r="K180" s="230"/>
      <c r="L180" s="232"/>
      <c r="M180" s="211"/>
      <c r="N180" s="211"/>
      <c r="O180" s="211"/>
      <c r="P180" s="211"/>
      <c r="Q180" s="211"/>
      <c r="V180" s="211"/>
      <c r="W180" s="211"/>
      <c r="X180" s="211"/>
      <c r="Y180" s="211"/>
      <c r="Z180" s="211"/>
      <c r="AA180" s="211"/>
    </row>
    <row r="181" spans="2:31" s="204" customFormat="1" ht="51" x14ac:dyDescent="0.25">
      <c r="B181" s="294" t="s">
        <v>2968</v>
      </c>
      <c r="C181" s="294" t="s">
        <v>2969</v>
      </c>
      <c r="D181" s="206" t="s">
        <v>72</v>
      </c>
      <c r="E181" s="206"/>
      <c r="F181" s="206"/>
      <c r="G181" s="207"/>
      <c r="H181" s="207"/>
      <c r="I181" s="207"/>
      <c r="J181" s="207" t="s">
        <v>2957</v>
      </c>
      <c r="K181" s="206" t="s">
        <v>82</v>
      </c>
      <c r="L181" s="261" t="s">
        <v>2970</v>
      </c>
      <c r="M181" s="260"/>
      <c r="N181" s="256" t="str">
        <f>N$15</f>
        <v>Valore netto al 31/12/2019</v>
      </c>
      <c r="O181" s="256" t="str">
        <f>O$15</f>
        <v>Valore netto al 31/12/2020</v>
      </c>
      <c r="P181" s="256" t="str">
        <f>P$15</f>
        <v>Variazione</v>
      </c>
      <c r="Q181" s="262" t="s">
        <v>2971</v>
      </c>
      <c r="R181" s="262" t="str">
        <f>"Fondo svalutazione 31/12/"&amp;Info!$B$3-1</f>
        <v>Fondo svalutazione 31/12/2019</v>
      </c>
      <c r="S181" s="262" t="s">
        <v>2972</v>
      </c>
      <c r="V181" s="211"/>
      <c r="W181" s="262" t="s">
        <v>2975</v>
      </c>
      <c r="X181" s="262" t="s">
        <v>2976</v>
      </c>
      <c r="Y181" s="262" t="s">
        <v>3124</v>
      </c>
      <c r="Z181" s="262" t="s">
        <v>3125</v>
      </c>
      <c r="AA181" s="211"/>
      <c r="AB181" s="211"/>
      <c r="AC181" s="211"/>
      <c r="AD181" s="211"/>
      <c r="AE181" s="211"/>
    </row>
    <row r="182" spans="2:31" s="204" customFormat="1" x14ac:dyDescent="0.25">
      <c r="B182" s="273" t="s">
        <v>422</v>
      </c>
      <c r="C182" s="273" t="s">
        <v>423</v>
      </c>
      <c r="D182" s="264" t="s">
        <v>3141</v>
      </c>
      <c r="E182" s="264"/>
      <c r="F182" s="264"/>
      <c r="G182" s="265"/>
      <c r="H182" s="266"/>
      <c r="I182" s="267"/>
      <c r="J182" s="267"/>
      <c r="K182" s="267"/>
      <c r="L182" s="268" t="s">
        <v>3142</v>
      </c>
      <c r="M182" s="263" t="s">
        <v>2962</v>
      </c>
      <c r="N182" s="269">
        <f>+R182+S182-T182</f>
        <v>0</v>
      </c>
      <c r="O182" s="270">
        <f>+R182+S182+X182-ABS(Y182)+ABS(Z182)+W182+Q182</f>
        <v>0</v>
      </c>
      <c r="P182" s="271">
        <f>+O182-N182</f>
        <v>0</v>
      </c>
      <c r="Q182" s="520"/>
      <c r="R182" s="354">
        <f>IF(ISERROR(VLOOKUP("SAN"&amp;$C182,ESTR_PREC_SP!$A$2:$G$2000,4,FALSE))=TRUE,0,VLOOKUP("SAN"&amp;$C182,ESTR_PREC_SP!$A$2:$G$2000,4,FALSE))</f>
        <v>0</v>
      </c>
      <c r="S182" s="354">
        <f>IF(ISERROR(VLOOKUP("SAN"&amp;$C182,ESTR_PREC_SP!$A$2:$G$2000,4,FALSE))=TRUE,0,VLOOKUP("SAN"&amp;$C182,ESTR_PREC_SP!$A$2:$G$2000,4,FALSE))</f>
        <v>0</v>
      </c>
      <c r="V182" s="211"/>
      <c r="W182" s="520"/>
      <c r="X182" s="520"/>
      <c r="Y182" s="520"/>
      <c r="Z182" s="520"/>
      <c r="AA182" s="211"/>
      <c r="AB182" s="211"/>
      <c r="AC182" s="211"/>
      <c r="AD182" s="211"/>
      <c r="AE182" s="211"/>
    </row>
    <row r="183" spans="2:31" s="204" customFormat="1" x14ac:dyDescent="0.25">
      <c r="B183" s="273" t="s">
        <v>425</v>
      </c>
      <c r="C183" s="273" t="s">
        <v>426</v>
      </c>
      <c r="D183" s="264" t="s">
        <v>3143</v>
      </c>
      <c r="E183" s="264"/>
      <c r="F183" s="264"/>
      <c r="G183" s="265"/>
      <c r="H183" s="266"/>
      <c r="I183" s="267"/>
      <c r="J183" s="267"/>
      <c r="K183" s="267"/>
      <c r="L183" s="268" t="s">
        <v>3144</v>
      </c>
      <c r="M183" s="263" t="s">
        <v>2962</v>
      </c>
      <c r="N183" s="269">
        <f>+R183+S183-T183</f>
        <v>0</v>
      </c>
      <c r="O183" s="270">
        <f>+R183+S183+X183-ABS(Y183)+ABS(Z183)+W183+Q183</f>
        <v>0</v>
      </c>
      <c r="P183" s="271">
        <f>+O183-N183</f>
        <v>0</v>
      </c>
      <c r="Q183" s="520"/>
      <c r="R183" s="354">
        <f>IF(ISERROR(VLOOKUP("SAN"&amp;$C183,ESTR_PREC_SP!$A$2:$G$2000,4,FALSE))=TRUE,0,VLOOKUP("SAN"&amp;$C183,ESTR_PREC_SP!$A$2:$G$2000,4,FALSE))</f>
        <v>0</v>
      </c>
      <c r="S183" s="354">
        <f>IF(ISERROR(VLOOKUP("SAN"&amp;$C183,ESTR_PREC_SP!$A$2:$G$2000,4,FALSE))=TRUE,0,VLOOKUP("SAN"&amp;$C183,ESTR_PREC_SP!$A$2:$G$2000,4,FALSE))</f>
        <v>0</v>
      </c>
      <c r="V183" s="211"/>
      <c r="W183" s="520"/>
      <c r="X183" s="520"/>
      <c r="Y183" s="520"/>
      <c r="Z183" s="520"/>
      <c r="AA183" s="211"/>
      <c r="AB183" s="211"/>
      <c r="AC183" s="211"/>
      <c r="AD183" s="211"/>
      <c r="AE183" s="211"/>
    </row>
    <row r="184" spans="2:31" s="204" customFormat="1" x14ac:dyDescent="0.25">
      <c r="B184" s="293"/>
      <c r="C184" s="293"/>
      <c r="D184" s="230"/>
      <c r="E184" s="230"/>
      <c r="F184" s="230"/>
      <c r="G184" s="230"/>
      <c r="H184" s="231"/>
      <c r="I184" s="230"/>
      <c r="J184" s="230"/>
      <c r="K184" s="230"/>
      <c r="L184" s="232"/>
      <c r="M184" s="211"/>
      <c r="N184" s="254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2:31" s="204" customFormat="1" ht="25.5" x14ac:dyDescent="0.25">
      <c r="B185" s="293"/>
      <c r="C185" s="293"/>
      <c r="D185" s="230"/>
      <c r="E185" s="230"/>
      <c r="F185" s="230"/>
      <c r="G185" s="230"/>
      <c r="H185" s="231"/>
      <c r="I185" s="230"/>
      <c r="J185" s="230"/>
      <c r="K185" s="230"/>
      <c r="L185" s="243"/>
      <c r="M185" s="244"/>
      <c r="N185" s="330" t="str">
        <f>N$15</f>
        <v>Valore netto al 31/12/2019</v>
      </c>
      <c r="O185" s="331" t="str">
        <f>O$15</f>
        <v>Valore netto al 31/12/2020</v>
      </c>
      <c r="P185" s="330" t="str">
        <f>P$15</f>
        <v>Variazione</v>
      </c>
      <c r="Q185" s="211"/>
      <c r="R185" s="211"/>
      <c r="S185" s="308"/>
      <c r="T185" s="308"/>
      <c r="U185" s="308"/>
      <c r="V185" s="308"/>
      <c r="W185" s="308"/>
      <c r="X185" s="308"/>
      <c r="Y185" s="211"/>
      <c r="Z185" s="211"/>
      <c r="AA185" s="211"/>
    </row>
    <row r="186" spans="2:31" s="204" customFormat="1" x14ac:dyDescent="0.25">
      <c r="B186" s="292" t="s">
        <v>428</v>
      </c>
      <c r="C186" s="292" t="s">
        <v>429</v>
      </c>
      <c r="D186" s="247" t="s">
        <v>3145</v>
      </c>
      <c r="E186" s="247"/>
      <c r="F186" s="247"/>
      <c r="G186" s="247"/>
      <c r="H186" s="248"/>
      <c r="I186" s="247"/>
      <c r="J186" s="247"/>
      <c r="K186" s="249"/>
      <c r="L186" s="309" t="s">
        <v>430</v>
      </c>
      <c r="M186" s="310" t="s">
        <v>2962</v>
      </c>
      <c r="N186" s="224">
        <f>+N189+N212+N251+N290+N313+N340+N380+N417+N372-N425</f>
        <v>101073840</v>
      </c>
      <c r="O186" s="224">
        <f>+O189+O212+O251+O290+O313+O340+O380+O417+O372-O425</f>
        <v>95061479</v>
      </c>
      <c r="P186" s="311">
        <f>+O186-N186</f>
        <v>-6012361</v>
      </c>
      <c r="Q186" s="211"/>
      <c r="R186" s="211"/>
      <c r="S186" s="224">
        <f>+S189+S212+S251+S290+S313+S340+S380+S417+S372-S425</f>
        <v>0</v>
      </c>
      <c r="T186" s="225" t="str">
        <f>IF(S186&lt;&gt;0,"SQUADRATURA ATTIVO A.II. PER GIROCONTI SU NUOVI CONTI SP","")</f>
        <v/>
      </c>
      <c r="U186" s="308"/>
      <c r="V186" s="308"/>
      <c r="W186" s="211"/>
      <c r="X186" s="224">
        <f>+X189+X212+X251+X290+X313+X340+X380+X417+X372-X425</f>
        <v>-696000</v>
      </c>
      <c r="Y186" s="211"/>
      <c r="Z186" s="211"/>
      <c r="AA186" s="211"/>
      <c r="AD186" s="224">
        <f>+AD189+AD216+AD234+AD253+AD292+AD315+AD342+AD374+AD382-AE417</f>
        <v>0</v>
      </c>
      <c r="AE186" s="211" t="s">
        <v>3146</v>
      </c>
    </row>
    <row r="187" spans="2:31" s="204" customFormat="1" x14ac:dyDescent="0.25">
      <c r="B187" s="293"/>
      <c r="C187" s="293"/>
      <c r="D187" s="230"/>
      <c r="E187" s="230"/>
      <c r="F187" s="230"/>
      <c r="G187" s="230"/>
      <c r="H187" s="231"/>
      <c r="I187" s="230"/>
      <c r="J187" s="230"/>
      <c r="K187" s="230"/>
      <c r="L187" s="232"/>
      <c r="M187" s="211"/>
      <c r="N187" s="254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2:31" s="204" customFormat="1" ht="25.5" x14ac:dyDescent="0.25">
      <c r="B188" s="293"/>
      <c r="C188" s="293"/>
      <c r="D188" s="230"/>
      <c r="E188" s="230"/>
      <c r="F188" s="230"/>
      <c r="G188" s="230"/>
      <c r="H188" s="231"/>
      <c r="I188" s="230"/>
      <c r="J188" s="230"/>
      <c r="K188" s="230"/>
      <c r="L188" s="255"/>
      <c r="M188" s="244"/>
      <c r="N188" s="256" t="str">
        <f>N$15</f>
        <v>Valore netto al 31/12/2019</v>
      </c>
      <c r="O188" s="256" t="str">
        <f>O$15</f>
        <v>Valore netto al 31/12/2020</v>
      </c>
      <c r="P188" s="256" t="str">
        <f>P$15</f>
        <v>Variazione</v>
      </c>
      <c r="Q188" s="211"/>
      <c r="R188" s="211"/>
      <c r="S188" s="211"/>
      <c r="T188" s="211"/>
      <c r="U188" s="211"/>
      <c r="W188" s="211"/>
      <c r="X188" s="211"/>
      <c r="Y188" s="211"/>
      <c r="Z188" s="211"/>
      <c r="AA188" s="211"/>
    </row>
    <row r="189" spans="2:31" s="204" customFormat="1" x14ac:dyDescent="0.25">
      <c r="B189" s="292" t="s">
        <v>431</v>
      </c>
      <c r="C189" s="292" t="s">
        <v>432</v>
      </c>
      <c r="D189" s="247" t="s">
        <v>3147</v>
      </c>
      <c r="E189" s="247"/>
      <c r="F189" s="247"/>
      <c r="G189" s="247"/>
      <c r="H189" s="248"/>
      <c r="I189" s="247"/>
      <c r="J189" s="247"/>
      <c r="K189" s="249"/>
      <c r="L189" s="257" t="s">
        <v>434</v>
      </c>
      <c r="M189" s="251" t="s">
        <v>2962</v>
      </c>
      <c r="N189" s="252">
        <f>+N191+N201</f>
        <v>1164620</v>
      </c>
      <c r="O189" s="252">
        <f>+O191+O201</f>
        <v>1164620</v>
      </c>
      <c r="P189" s="253">
        <f>+O189-N189</f>
        <v>0</v>
      </c>
      <c r="Q189" s="252">
        <f>+Q191+Q201</f>
        <v>0</v>
      </c>
      <c r="R189" s="252">
        <f>+R191+R201</f>
        <v>1164620</v>
      </c>
      <c r="S189" s="252">
        <f>+S191+S201</f>
        <v>0</v>
      </c>
      <c r="T189" s="252">
        <f>+T191+T201</f>
        <v>0</v>
      </c>
      <c r="U189" s="252">
        <f>+U191+U201</f>
        <v>0</v>
      </c>
      <c r="W189" s="252">
        <f t="shared" ref="W189:AE189" si="15">+W191+W201</f>
        <v>0</v>
      </c>
      <c r="X189" s="252">
        <f t="shared" si="15"/>
        <v>0</v>
      </c>
      <c r="Y189" s="252">
        <f t="shared" si="15"/>
        <v>0</v>
      </c>
      <c r="Z189" s="252">
        <f t="shared" si="15"/>
        <v>0</v>
      </c>
      <c r="AA189" s="252">
        <f t="shared" si="15"/>
        <v>0</v>
      </c>
      <c r="AB189" s="252">
        <f t="shared" si="15"/>
        <v>0</v>
      </c>
      <c r="AC189" s="252">
        <f t="shared" si="15"/>
        <v>0</v>
      </c>
      <c r="AD189" s="252">
        <f t="shared" si="15"/>
        <v>0</v>
      </c>
      <c r="AE189" s="252">
        <f t="shared" si="15"/>
        <v>0</v>
      </c>
    </row>
    <row r="190" spans="2:31" s="204" customFormat="1" x14ac:dyDescent="0.25">
      <c r="B190" s="293"/>
      <c r="C190" s="293"/>
      <c r="D190" s="230"/>
      <c r="E190" s="230"/>
      <c r="F190" s="230"/>
      <c r="G190" s="230"/>
      <c r="H190" s="231"/>
      <c r="I190" s="230"/>
      <c r="J190" s="230"/>
      <c r="K190" s="230"/>
      <c r="L190" s="306"/>
      <c r="M190" s="211"/>
      <c r="N190" s="254"/>
      <c r="O190" s="211"/>
      <c r="P190" s="211"/>
      <c r="Q190" s="211"/>
      <c r="R190" s="211"/>
      <c r="S190" s="211"/>
      <c r="T190" s="211"/>
      <c r="U190" s="211"/>
      <c r="W190" s="211"/>
      <c r="X190" s="211"/>
      <c r="Y190" s="211"/>
      <c r="Z190" s="211"/>
      <c r="AA190" s="211"/>
    </row>
    <row r="191" spans="2:31" s="204" customFormat="1" x14ac:dyDescent="0.25">
      <c r="B191" s="292" t="s">
        <v>435</v>
      </c>
      <c r="C191" s="292" t="s">
        <v>436</v>
      </c>
      <c r="D191" s="247" t="s">
        <v>3148</v>
      </c>
      <c r="E191" s="247"/>
      <c r="F191" s="247"/>
      <c r="G191" s="247"/>
      <c r="H191" s="248"/>
      <c r="I191" s="247"/>
      <c r="J191" s="247"/>
      <c r="K191" s="249"/>
      <c r="L191" s="257" t="s">
        <v>439</v>
      </c>
      <c r="M191" s="251" t="s">
        <v>2962</v>
      </c>
      <c r="N191" s="252">
        <f>SUM(N194:N199)</f>
        <v>1164620</v>
      </c>
      <c r="O191" s="252">
        <f>SUM(O194:O199)</f>
        <v>1164620</v>
      </c>
      <c r="P191" s="259">
        <f>+O191-N191</f>
        <v>0</v>
      </c>
      <c r="Q191" s="252">
        <f>SUM(Q194:Q199)</f>
        <v>0</v>
      </c>
      <c r="R191" s="252">
        <f>SUM(R194:R199)</f>
        <v>1164620</v>
      </c>
      <c r="S191" s="252">
        <f>SUM(S194:S199)</f>
        <v>0</v>
      </c>
      <c r="T191" s="252">
        <f>SUM(T194:T199)</f>
        <v>0</v>
      </c>
      <c r="U191" s="252">
        <f>SUM(U194:U199)</f>
        <v>0</v>
      </c>
      <c r="W191" s="252">
        <f t="shared" ref="W191:AE191" si="16">SUM(W194:W199)</f>
        <v>0</v>
      </c>
      <c r="X191" s="252">
        <f t="shared" si="16"/>
        <v>0</v>
      </c>
      <c r="Y191" s="252">
        <f t="shared" si="16"/>
        <v>0</v>
      </c>
      <c r="Z191" s="252">
        <f t="shared" si="16"/>
        <v>0</v>
      </c>
      <c r="AA191" s="252">
        <f t="shared" si="16"/>
        <v>0</v>
      </c>
      <c r="AB191" s="252">
        <f t="shared" si="16"/>
        <v>0</v>
      </c>
      <c r="AC191" s="252">
        <f t="shared" si="16"/>
        <v>0</v>
      </c>
      <c r="AD191" s="252">
        <f t="shared" si="16"/>
        <v>0</v>
      </c>
      <c r="AE191" s="252">
        <f t="shared" si="16"/>
        <v>0</v>
      </c>
    </row>
    <row r="192" spans="2:31" s="204" customFormat="1" x14ac:dyDescent="0.25">
      <c r="B192" s="293"/>
      <c r="C192" s="293"/>
      <c r="D192" s="230"/>
      <c r="E192" s="230"/>
      <c r="F192" s="230"/>
      <c r="G192" s="230"/>
      <c r="H192" s="231"/>
      <c r="I192" s="230"/>
      <c r="J192" s="230"/>
      <c r="K192" s="230"/>
      <c r="L192" s="232"/>
      <c r="M192" s="211"/>
      <c r="N192" s="211"/>
      <c r="O192" s="211"/>
      <c r="P192" s="211"/>
      <c r="Q192" s="211"/>
      <c r="W192" s="522"/>
      <c r="X192" s="523"/>
      <c r="Y192" s="211"/>
      <c r="Z192" s="211"/>
      <c r="AA192" s="211"/>
    </row>
    <row r="193" spans="2:35" s="204" customFormat="1" ht="51" x14ac:dyDescent="0.25">
      <c r="B193" s="294" t="s">
        <v>2968</v>
      </c>
      <c r="C193" s="294" t="s">
        <v>2969</v>
      </c>
      <c r="D193" s="206" t="s">
        <v>72</v>
      </c>
      <c r="E193" s="206"/>
      <c r="F193" s="206"/>
      <c r="G193" s="207"/>
      <c r="H193" s="207"/>
      <c r="I193" s="207"/>
      <c r="J193" s="207" t="s">
        <v>2957</v>
      </c>
      <c r="K193" s="206" t="s">
        <v>82</v>
      </c>
      <c r="L193" s="261" t="s">
        <v>2970</v>
      </c>
      <c r="M193" s="260"/>
      <c r="N193" s="256" t="str">
        <f>N$15</f>
        <v>Valore netto al 31/12/2019</v>
      </c>
      <c r="O193" s="256" t="str">
        <f>O$15</f>
        <v>Valore netto al 31/12/2020</v>
      </c>
      <c r="P193" s="256" t="str">
        <f>P$15</f>
        <v>Variazione</v>
      </c>
      <c r="Q193" s="262" t="s">
        <v>2971</v>
      </c>
      <c r="R193" s="262" t="str">
        <f>"Costo storico al 31/12/"&amp;Info!$B$3-1</f>
        <v>Costo storico al 31/12/2019</v>
      </c>
      <c r="S193" s="262" t="s">
        <v>2972</v>
      </c>
      <c r="T193" s="262" t="s">
        <v>2973</v>
      </c>
      <c r="U193" s="262" t="s">
        <v>2974</v>
      </c>
      <c r="W193" s="262" t="s">
        <v>2975</v>
      </c>
      <c r="X193" s="262" t="s">
        <v>2976</v>
      </c>
      <c r="Y193" s="262" t="s">
        <v>2977</v>
      </c>
      <c r="Z193" s="262" t="s">
        <v>2978</v>
      </c>
      <c r="AA193" s="262" t="s">
        <v>2979</v>
      </c>
      <c r="AB193" s="262" t="s">
        <v>2980</v>
      </c>
      <c r="AC193" s="262" t="s">
        <v>2981</v>
      </c>
      <c r="AD193" s="262" t="s">
        <v>2982</v>
      </c>
      <c r="AE193" s="262" t="s">
        <v>2983</v>
      </c>
    </row>
    <row r="194" spans="2:35" s="204" customFormat="1" x14ac:dyDescent="0.25">
      <c r="B194" s="273" t="s">
        <v>440</v>
      </c>
      <c r="C194" s="273" t="s">
        <v>441</v>
      </c>
      <c r="D194" s="264" t="s">
        <v>3149</v>
      </c>
      <c r="E194" s="264"/>
      <c r="F194" s="264"/>
      <c r="G194" s="265"/>
      <c r="H194" s="266"/>
      <c r="I194" s="281"/>
      <c r="J194" s="281"/>
      <c r="K194" s="281"/>
      <c r="L194" s="282" t="s">
        <v>3150</v>
      </c>
      <c r="M194" s="263" t="s">
        <v>2962</v>
      </c>
      <c r="N194" s="269">
        <f t="shared" ref="N194:N199" si="17">+R194+S194-T194</f>
        <v>34000</v>
      </c>
      <c r="O194" s="270">
        <f t="shared" ref="O194:O199" si="18">+N194+S194+X194+ABS(Y194)-ABS(AA194)+ABS(Z194)+ABS(AB194)+ABS(AD194)-ABS(AE194)+AC194+W194+Q194</f>
        <v>34000</v>
      </c>
      <c r="P194" s="271">
        <f t="shared" ref="P194:P199" si="19">+O194-N194</f>
        <v>0</v>
      </c>
      <c r="Q194" s="520"/>
      <c r="R194" s="354">
        <f>IF(ISERROR(VLOOKUP("SAN"&amp;$C194,ESTR_PREC_SP!$A$2:$G$2000,4,FALSE))=TRUE,0,VLOOKUP("SAN"&amp;$C194,ESTR_PREC_SP!$A$2:$G$2000,4,FALSE))</f>
        <v>34000</v>
      </c>
      <c r="S194" s="521"/>
      <c r="T194" s="521"/>
      <c r="U194" s="521"/>
      <c r="W194" s="520"/>
      <c r="X194" s="520"/>
      <c r="Y194" s="520"/>
      <c r="Z194" s="520"/>
      <c r="AA194" s="520"/>
      <c r="AB194" s="520"/>
      <c r="AC194" s="520"/>
      <c r="AD194" s="521"/>
      <c r="AE194" s="520"/>
    </row>
    <row r="195" spans="2:35" s="204" customFormat="1" x14ac:dyDescent="0.25">
      <c r="B195" s="273" t="s">
        <v>443</v>
      </c>
      <c r="C195" s="273" t="s">
        <v>444</v>
      </c>
      <c r="D195" s="264" t="s">
        <v>3151</v>
      </c>
      <c r="E195" s="264"/>
      <c r="F195" s="264"/>
      <c r="G195" s="265"/>
      <c r="H195" s="266"/>
      <c r="I195" s="281"/>
      <c r="J195" s="281"/>
      <c r="K195" s="281"/>
      <c r="L195" s="282" t="s">
        <v>3152</v>
      </c>
      <c r="M195" s="284" t="s">
        <v>2962</v>
      </c>
      <c r="N195" s="269">
        <f t="shared" si="17"/>
        <v>1130620</v>
      </c>
      <c r="O195" s="270">
        <f t="shared" si="18"/>
        <v>1130620</v>
      </c>
      <c r="P195" s="271">
        <f t="shared" si="19"/>
        <v>0</v>
      </c>
      <c r="Q195" s="520"/>
      <c r="R195" s="354">
        <f>IF(ISERROR(VLOOKUP("SAN"&amp;$C195,ESTR_PREC_SP!$A$2:$G$2000,4,FALSE))=TRUE,0,VLOOKUP("SAN"&amp;$C195,ESTR_PREC_SP!$A$2:$G$2000,4,FALSE))</f>
        <v>1130620</v>
      </c>
      <c r="S195" s="521"/>
      <c r="T195" s="521"/>
      <c r="U195" s="521"/>
      <c r="W195" s="520"/>
      <c r="X195" s="520"/>
      <c r="Y195" s="520"/>
      <c r="Z195" s="520"/>
      <c r="AA195" s="520"/>
      <c r="AB195" s="520"/>
      <c r="AC195" s="520"/>
      <c r="AD195" s="521"/>
      <c r="AE195" s="520"/>
    </row>
    <row r="196" spans="2:35" s="204" customFormat="1" x14ac:dyDescent="0.25">
      <c r="B196" s="273" t="s">
        <v>446</v>
      </c>
      <c r="C196" s="273" t="s">
        <v>447</v>
      </c>
      <c r="D196" s="264" t="s">
        <v>3153</v>
      </c>
      <c r="E196" s="264"/>
      <c r="F196" s="274"/>
      <c r="G196" s="283"/>
      <c r="H196" s="266"/>
      <c r="I196" s="281"/>
      <c r="J196" s="281"/>
      <c r="K196" s="281"/>
      <c r="L196" s="282" t="s">
        <v>3154</v>
      </c>
      <c r="M196" s="284" t="s">
        <v>2962</v>
      </c>
      <c r="N196" s="269">
        <f t="shared" si="17"/>
        <v>0</v>
      </c>
      <c r="O196" s="270">
        <f t="shared" si="18"/>
        <v>0</v>
      </c>
      <c r="P196" s="271">
        <f t="shared" si="19"/>
        <v>0</v>
      </c>
      <c r="Q196" s="520"/>
      <c r="R196" s="354">
        <f>IF(ISERROR(VLOOKUP("SAN"&amp;$C196,ESTR_PREC_SP!$A$2:$G$2000,4,FALSE))=TRUE,0,VLOOKUP("SAN"&amp;$C196,ESTR_PREC_SP!$A$2:$G$2000,4,FALSE))</f>
        <v>0</v>
      </c>
      <c r="S196" s="521"/>
      <c r="T196" s="521"/>
      <c r="U196" s="521"/>
      <c r="W196" s="520"/>
      <c r="X196" s="520"/>
      <c r="Y196" s="520"/>
      <c r="Z196" s="520"/>
      <c r="AA196" s="520"/>
      <c r="AB196" s="520"/>
      <c r="AC196" s="520"/>
      <c r="AD196" s="521"/>
      <c r="AE196" s="520"/>
    </row>
    <row r="197" spans="2:35" s="204" customFormat="1" x14ac:dyDescent="0.25">
      <c r="B197" s="273" t="s">
        <v>449</v>
      </c>
      <c r="C197" s="273" t="s">
        <v>450</v>
      </c>
      <c r="D197" s="264" t="s">
        <v>3155</v>
      </c>
      <c r="E197" s="264"/>
      <c r="F197" s="274"/>
      <c r="G197" s="283"/>
      <c r="H197" s="266"/>
      <c r="I197" s="281"/>
      <c r="J197" s="281"/>
      <c r="K197" s="281"/>
      <c r="L197" s="282" t="s">
        <v>3156</v>
      </c>
      <c r="M197" s="284" t="s">
        <v>2962</v>
      </c>
      <c r="N197" s="269">
        <f t="shared" si="17"/>
        <v>0</v>
      </c>
      <c r="O197" s="270">
        <f t="shared" si="18"/>
        <v>0</v>
      </c>
      <c r="P197" s="271">
        <f t="shared" si="19"/>
        <v>0</v>
      </c>
      <c r="Q197" s="520"/>
      <c r="R197" s="354">
        <f>IF(ISERROR(VLOOKUP("SAN"&amp;$C197,ESTR_PREC_SP!$A$2:$G$2000,4,FALSE))=TRUE,0,VLOOKUP("SAN"&amp;$C197,ESTR_PREC_SP!$A$2:$G$2000,4,FALSE))</f>
        <v>0</v>
      </c>
      <c r="S197" s="521"/>
      <c r="T197" s="521"/>
      <c r="U197" s="521"/>
      <c r="W197" s="520"/>
      <c r="X197" s="520"/>
      <c r="Y197" s="520"/>
      <c r="Z197" s="520"/>
      <c r="AA197" s="520"/>
      <c r="AB197" s="520"/>
      <c r="AC197" s="520"/>
      <c r="AD197" s="521"/>
      <c r="AE197" s="520"/>
    </row>
    <row r="198" spans="2:35" s="204" customFormat="1" x14ac:dyDescent="0.25">
      <c r="B198" s="273" t="s">
        <v>452</v>
      </c>
      <c r="C198" s="273" t="s">
        <v>453</v>
      </c>
      <c r="D198" s="264" t="s">
        <v>3157</v>
      </c>
      <c r="E198" s="264"/>
      <c r="F198" s="274"/>
      <c r="G198" s="283"/>
      <c r="H198" s="266"/>
      <c r="I198" s="281"/>
      <c r="J198" s="281"/>
      <c r="K198" s="281"/>
      <c r="L198" s="295" t="s">
        <v>3158</v>
      </c>
      <c r="M198" s="284" t="s">
        <v>2962</v>
      </c>
      <c r="N198" s="269">
        <f t="shared" si="17"/>
        <v>0</v>
      </c>
      <c r="O198" s="270">
        <f t="shared" si="18"/>
        <v>0</v>
      </c>
      <c r="P198" s="271">
        <f t="shared" si="19"/>
        <v>0</v>
      </c>
      <c r="Q198" s="520"/>
      <c r="R198" s="354">
        <f>IF(ISERROR(VLOOKUP("SAN"&amp;$C198,ESTR_PREC_SP!$A$2:$G$2000,4,FALSE))=TRUE,0,VLOOKUP("SAN"&amp;$C198,ESTR_PREC_SP!$A$2:$G$2000,4,FALSE))</f>
        <v>0</v>
      </c>
      <c r="S198" s="521"/>
      <c r="T198" s="521"/>
      <c r="U198" s="521"/>
      <c r="W198" s="520"/>
      <c r="X198" s="520"/>
      <c r="Y198" s="520"/>
      <c r="Z198" s="520"/>
      <c r="AA198" s="520"/>
      <c r="AB198" s="520"/>
      <c r="AC198" s="520"/>
      <c r="AD198" s="521"/>
      <c r="AE198" s="520"/>
    </row>
    <row r="199" spans="2:35" s="204" customFormat="1" x14ac:dyDescent="0.25">
      <c r="B199" s="273" t="s">
        <v>455</v>
      </c>
      <c r="C199" s="273" t="s">
        <v>456</v>
      </c>
      <c r="D199" s="264" t="s">
        <v>3159</v>
      </c>
      <c r="E199" s="264"/>
      <c r="F199" s="274"/>
      <c r="G199" s="283"/>
      <c r="H199" s="266"/>
      <c r="I199" s="281"/>
      <c r="J199" s="281"/>
      <c r="K199" s="281"/>
      <c r="L199" s="295" t="s">
        <v>3160</v>
      </c>
      <c r="M199" s="284" t="s">
        <v>2962</v>
      </c>
      <c r="N199" s="269">
        <f t="shared" si="17"/>
        <v>0</v>
      </c>
      <c r="O199" s="270">
        <f t="shared" si="18"/>
        <v>0</v>
      </c>
      <c r="P199" s="271">
        <f t="shared" si="19"/>
        <v>0</v>
      </c>
      <c r="Q199" s="520"/>
      <c r="R199" s="354">
        <f>IF(ISERROR(VLOOKUP("SAN"&amp;$C199,ESTR_PREC_SP!$A$2:$G$2000,4,FALSE))=TRUE,0,VLOOKUP("SAN"&amp;$C199,ESTR_PREC_SP!$A$2:$G$2000,4,FALSE))</f>
        <v>0</v>
      </c>
      <c r="S199" s="521"/>
      <c r="T199" s="521"/>
      <c r="U199" s="521"/>
      <c r="W199" s="520"/>
      <c r="X199" s="520"/>
      <c r="Y199" s="520"/>
      <c r="Z199" s="520"/>
      <c r="AA199" s="520"/>
      <c r="AB199" s="520"/>
      <c r="AC199" s="520"/>
      <c r="AD199" s="521"/>
      <c r="AE199" s="520"/>
    </row>
    <row r="200" spans="2:35" s="204" customFormat="1" x14ac:dyDescent="0.25">
      <c r="B200" s="289"/>
      <c r="C200" s="289"/>
      <c r="D200" s="211"/>
      <c r="E200" s="211"/>
      <c r="F200" s="211"/>
      <c r="G200" s="211"/>
      <c r="H200" s="211"/>
      <c r="I200" s="211"/>
      <c r="J200" s="211"/>
      <c r="K200" s="211"/>
      <c r="L200" s="312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</row>
    <row r="201" spans="2:35" s="204" customFormat="1" x14ac:dyDescent="0.25">
      <c r="B201" s="292" t="s">
        <v>458</v>
      </c>
      <c r="C201" s="292" t="s">
        <v>459</v>
      </c>
      <c r="D201" s="313" t="s">
        <v>3161</v>
      </c>
      <c r="E201" s="247"/>
      <c r="F201" s="247"/>
      <c r="G201" s="247"/>
      <c r="H201" s="248"/>
      <c r="I201" s="247"/>
      <c r="J201" s="247"/>
      <c r="K201" s="249"/>
      <c r="L201" s="257" t="s">
        <v>462</v>
      </c>
      <c r="M201" s="251" t="s">
        <v>2962</v>
      </c>
      <c r="N201" s="252">
        <f>SUM(N204:N209)</f>
        <v>0</v>
      </c>
      <c r="O201" s="252">
        <f>SUM(O204:O209)</f>
        <v>0</v>
      </c>
      <c r="P201" s="259">
        <f>+O201-N201</f>
        <v>0</v>
      </c>
      <c r="Q201" s="252">
        <f>SUM(Q204:Q209)</f>
        <v>0</v>
      </c>
      <c r="R201" s="252">
        <f>SUM(R204:R209)</f>
        <v>0</v>
      </c>
      <c r="S201" s="252">
        <f>SUM(S204:S209)</f>
        <v>0</v>
      </c>
      <c r="T201" s="252">
        <f>SUM(T204:T209)</f>
        <v>0</v>
      </c>
      <c r="U201" s="252">
        <f>SUM(U204:U209)</f>
        <v>0</v>
      </c>
      <c r="W201" s="252">
        <f t="shared" ref="W201:AE201" si="20">SUM(W204:W209)</f>
        <v>0</v>
      </c>
      <c r="X201" s="252">
        <f t="shared" si="20"/>
        <v>0</v>
      </c>
      <c r="Y201" s="252">
        <f t="shared" si="20"/>
        <v>0</v>
      </c>
      <c r="Z201" s="252">
        <f t="shared" si="20"/>
        <v>0</v>
      </c>
      <c r="AA201" s="252">
        <f t="shared" si="20"/>
        <v>0</v>
      </c>
      <c r="AB201" s="252">
        <f t="shared" si="20"/>
        <v>0</v>
      </c>
      <c r="AC201" s="252">
        <f t="shared" si="20"/>
        <v>0</v>
      </c>
      <c r="AD201" s="252">
        <f t="shared" si="20"/>
        <v>0</v>
      </c>
      <c r="AE201" s="252">
        <f t="shared" si="20"/>
        <v>0</v>
      </c>
    </row>
    <row r="202" spans="2:35" s="204" customFormat="1" x14ac:dyDescent="0.25">
      <c r="B202" s="293"/>
      <c r="C202" s="293"/>
      <c r="D202" s="230"/>
      <c r="E202" s="230"/>
      <c r="F202" s="230"/>
      <c r="G202" s="230"/>
      <c r="H202" s="231"/>
      <c r="I202" s="230"/>
      <c r="J202" s="230"/>
      <c r="K202" s="230"/>
      <c r="L202" s="232"/>
      <c r="M202" s="211"/>
      <c r="N202" s="211"/>
      <c r="O202" s="211"/>
      <c r="P202" s="211"/>
      <c r="Q202" s="211"/>
      <c r="V202" s="211"/>
      <c r="W202" s="211"/>
      <c r="X202" s="211"/>
      <c r="Y202" s="211"/>
      <c r="Z202" s="211"/>
      <c r="AA202" s="211"/>
    </row>
    <row r="203" spans="2:35" s="204" customFormat="1" ht="51" x14ac:dyDescent="0.25">
      <c r="B203" s="294" t="s">
        <v>2968</v>
      </c>
      <c r="C203" s="294" t="s">
        <v>2969</v>
      </c>
      <c r="D203" s="206" t="s">
        <v>72</v>
      </c>
      <c r="E203" s="206"/>
      <c r="F203" s="206"/>
      <c r="G203" s="207"/>
      <c r="H203" s="207"/>
      <c r="I203" s="207"/>
      <c r="J203" s="207" t="s">
        <v>2957</v>
      </c>
      <c r="K203" s="206" t="s">
        <v>82</v>
      </c>
      <c r="L203" s="261" t="s">
        <v>2970</v>
      </c>
      <c r="M203" s="260"/>
      <c r="N203" s="256" t="str">
        <f>N$15</f>
        <v>Valore netto al 31/12/2019</v>
      </c>
      <c r="O203" s="256" t="str">
        <f>O$15</f>
        <v>Valore netto al 31/12/2020</v>
      </c>
      <c r="P203" s="256" t="str">
        <f>P$15</f>
        <v>Variazione</v>
      </c>
      <c r="Q203" s="262" t="s">
        <v>2971</v>
      </c>
      <c r="R203" s="262" t="str">
        <f>"Costo storico al 31/12/"&amp;Info!$B$3-1</f>
        <v>Costo storico al 31/12/2019</v>
      </c>
      <c r="S203" s="262" t="s">
        <v>2972</v>
      </c>
      <c r="T203" s="262" t="s">
        <v>2973</v>
      </c>
      <c r="U203" s="262" t="s">
        <v>2974</v>
      </c>
      <c r="W203" s="262" t="s">
        <v>2975</v>
      </c>
      <c r="X203" s="262" t="s">
        <v>2976</v>
      </c>
      <c r="Y203" s="262" t="s">
        <v>2977</v>
      </c>
      <c r="Z203" s="262" t="s">
        <v>2978</v>
      </c>
      <c r="AA203" s="262" t="s">
        <v>2979</v>
      </c>
      <c r="AB203" s="262" t="s">
        <v>2980</v>
      </c>
      <c r="AC203" s="262" t="s">
        <v>2981</v>
      </c>
      <c r="AD203" s="262" t="s">
        <v>2982</v>
      </c>
      <c r="AE203" s="262" t="s">
        <v>2983</v>
      </c>
    </row>
    <row r="204" spans="2:35" s="204" customFormat="1" x14ac:dyDescent="0.25">
      <c r="B204" s="273" t="s">
        <v>463</v>
      </c>
      <c r="C204" s="273" t="s">
        <v>464</v>
      </c>
      <c r="D204" s="264" t="s">
        <v>3162</v>
      </c>
      <c r="E204" s="264"/>
      <c r="F204" s="264"/>
      <c r="G204" s="265"/>
      <c r="H204" s="266"/>
      <c r="I204" s="281"/>
      <c r="J204" s="281"/>
      <c r="K204" s="281"/>
      <c r="L204" s="282" t="s">
        <v>3163</v>
      </c>
      <c r="M204" s="263" t="s">
        <v>2962</v>
      </c>
      <c r="N204" s="269">
        <f t="shared" ref="N204:N209" si="21">+R204+T204-U204</f>
        <v>0</v>
      </c>
      <c r="O204" s="270">
        <f t="shared" ref="O204:O209" si="22">+N204+S204+X204+ABS(Y204)-ABS(AA204)+ABS(Z204)+ABS(AB204)+ABS(AD204)-ABS(AE204)+AC204+W204+Q204</f>
        <v>0</v>
      </c>
      <c r="P204" s="271">
        <f t="shared" ref="P204:P209" si="23">+O204-N204</f>
        <v>0</v>
      </c>
      <c r="Q204" s="520"/>
      <c r="R204" s="354">
        <f>IF(ISERROR(VLOOKUP("SAN"&amp;$C204,ESTR_PREC_SP!$A$2:$G$2000,4,FALSE))=TRUE,0,VLOOKUP("SAN"&amp;$C204,ESTR_PREC_SP!$A$2:$G$2000,4,FALSE))</f>
        <v>0</v>
      </c>
      <c r="S204" s="521"/>
      <c r="T204" s="521"/>
      <c r="U204" s="521"/>
      <c r="W204" s="520"/>
      <c r="X204" s="520"/>
      <c r="Y204" s="520"/>
      <c r="Z204" s="520"/>
      <c r="AA204" s="520"/>
      <c r="AB204" s="520"/>
      <c r="AC204" s="520"/>
      <c r="AD204" s="521"/>
      <c r="AE204" s="520"/>
    </row>
    <row r="205" spans="2:35" s="204" customFormat="1" x14ac:dyDescent="0.25">
      <c r="B205" s="273" t="s">
        <v>466</v>
      </c>
      <c r="C205" s="273" t="s">
        <v>467</v>
      </c>
      <c r="D205" s="264" t="s">
        <v>3164</v>
      </c>
      <c r="E205" s="264"/>
      <c r="F205" s="264"/>
      <c r="G205" s="265"/>
      <c r="H205" s="266"/>
      <c r="I205" s="281"/>
      <c r="J205" s="281"/>
      <c r="K205" s="281"/>
      <c r="L205" s="282" t="s">
        <v>3165</v>
      </c>
      <c r="M205" s="284" t="s">
        <v>2962</v>
      </c>
      <c r="N205" s="269">
        <f t="shared" si="21"/>
        <v>0</v>
      </c>
      <c r="O205" s="270">
        <f t="shared" si="22"/>
        <v>0</v>
      </c>
      <c r="P205" s="271">
        <f t="shared" si="23"/>
        <v>0</v>
      </c>
      <c r="Q205" s="520"/>
      <c r="R205" s="354">
        <f>IF(ISERROR(VLOOKUP("SAN"&amp;$C205,ESTR_PREC_SP!$A$2:$G$2000,4,FALSE))=TRUE,0,VLOOKUP("SAN"&amp;$C205,ESTR_PREC_SP!$A$2:$G$2000,4,FALSE))</f>
        <v>0</v>
      </c>
      <c r="S205" s="521"/>
      <c r="T205" s="521"/>
      <c r="U205" s="521"/>
      <c r="W205" s="520"/>
      <c r="X205" s="520"/>
      <c r="Y205" s="520"/>
      <c r="Z205" s="520"/>
      <c r="AA205" s="520"/>
      <c r="AB205" s="520"/>
      <c r="AC205" s="520"/>
      <c r="AD205" s="521"/>
      <c r="AE205" s="520"/>
    </row>
    <row r="206" spans="2:35" s="204" customFormat="1" x14ac:dyDescent="0.25">
      <c r="B206" s="273" t="s">
        <v>469</v>
      </c>
      <c r="C206" s="273" t="s">
        <v>470</v>
      </c>
      <c r="D206" s="264" t="s">
        <v>3166</v>
      </c>
      <c r="E206" s="264"/>
      <c r="F206" s="274"/>
      <c r="G206" s="283"/>
      <c r="H206" s="266"/>
      <c r="I206" s="281"/>
      <c r="J206" s="281"/>
      <c r="K206" s="281"/>
      <c r="L206" s="282" t="s">
        <v>3167</v>
      </c>
      <c r="M206" s="284" t="s">
        <v>2962</v>
      </c>
      <c r="N206" s="269">
        <f t="shared" si="21"/>
        <v>0</v>
      </c>
      <c r="O206" s="270">
        <f t="shared" si="22"/>
        <v>0</v>
      </c>
      <c r="P206" s="271">
        <f t="shared" si="23"/>
        <v>0</v>
      </c>
      <c r="Q206" s="520"/>
      <c r="R206" s="354">
        <f>IF(ISERROR(VLOOKUP("SAN"&amp;$C206,ESTR_PREC_SP!$A$2:$G$2000,4,FALSE))=TRUE,0,VLOOKUP("SAN"&amp;$C206,ESTR_PREC_SP!$A$2:$G$2000,4,FALSE))</f>
        <v>0</v>
      </c>
      <c r="S206" s="521"/>
      <c r="T206" s="521"/>
      <c r="U206" s="521"/>
      <c r="W206" s="520"/>
      <c r="X206" s="520"/>
      <c r="Y206" s="520"/>
      <c r="Z206" s="520"/>
      <c r="AA206" s="520"/>
      <c r="AB206" s="520"/>
      <c r="AC206" s="520"/>
      <c r="AD206" s="521"/>
      <c r="AE206" s="520"/>
    </row>
    <row r="207" spans="2:35" s="204" customFormat="1" x14ac:dyDescent="0.25">
      <c r="B207" s="273" t="s">
        <v>472</v>
      </c>
      <c r="C207" s="273" t="s">
        <v>473</v>
      </c>
      <c r="D207" s="264" t="s">
        <v>3168</v>
      </c>
      <c r="E207" s="264"/>
      <c r="F207" s="274"/>
      <c r="G207" s="283"/>
      <c r="H207" s="266"/>
      <c r="I207" s="281"/>
      <c r="J207" s="281"/>
      <c r="K207" s="281"/>
      <c r="L207" s="282" t="s">
        <v>3169</v>
      </c>
      <c r="M207" s="284" t="s">
        <v>2962</v>
      </c>
      <c r="N207" s="269">
        <f t="shared" si="21"/>
        <v>0</v>
      </c>
      <c r="O207" s="270">
        <f t="shared" si="22"/>
        <v>0</v>
      </c>
      <c r="P207" s="271">
        <f t="shared" si="23"/>
        <v>0</v>
      </c>
      <c r="Q207" s="520"/>
      <c r="R207" s="354">
        <f>IF(ISERROR(VLOOKUP("SAN"&amp;$C207,ESTR_PREC_SP!$A$2:$G$2000,4,FALSE))=TRUE,0,VLOOKUP("SAN"&amp;$C207,ESTR_PREC_SP!$A$2:$G$2000,4,FALSE))</f>
        <v>0</v>
      </c>
      <c r="S207" s="521"/>
      <c r="T207" s="521"/>
      <c r="U207" s="521"/>
      <c r="W207" s="520"/>
      <c r="X207" s="520"/>
      <c r="Y207" s="520"/>
      <c r="Z207" s="520"/>
      <c r="AA207" s="520"/>
      <c r="AB207" s="520"/>
      <c r="AC207" s="520"/>
      <c r="AD207" s="521"/>
      <c r="AE207" s="520"/>
    </row>
    <row r="208" spans="2:35" s="204" customFormat="1" x14ac:dyDescent="0.25">
      <c r="B208" s="273" t="s">
        <v>475</v>
      </c>
      <c r="C208" s="273" t="s">
        <v>476</v>
      </c>
      <c r="D208" s="264" t="s">
        <v>3170</v>
      </c>
      <c r="E208" s="264"/>
      <c r="F208" s="274"/>
      <c r="G208" s="283"/>
      <c r="H208" s="266"/>
      <c r="I208" s="281"/>
      <c r="J208" s="281"/>
      <c r="K208" s="281"/>
      <c r="L208" s="295" t="s">
        <v>3171</v>
      </c>
      <c r="M208" s="284" t="s">
        <v>2962</v>
      </c>
      <c r="N208" s="269">
        <f t="shared" si="21"/>
        <v>0</v>
      </c>
      <c r="O208" s="270">
        <f t="shared" si="22"/>
        <v>0</v>
      </c>
      <c r="P208" s="271">
        <f t="shared" si="23"/>
        <v>0</v>
      </c>
      <c r="Q208" s="520"/>
      <c r="R208" s="354">
        <f>IF(ISERROR(VLOOKUP("SAN"&amp;$C208,ESTR_PREC_SP!$A$2:$G$2000,4,FALSE))=TRUE,0,VLOOKUP("SAN"&amp;$C208,ESTR_PREC_SP!$A$2:$G$2000,4,FALSE))</f>
        <v>0</v>
      </c>
      <c r="S208" s="521"/>
      <c r="T208" s="521"/>
      <c r="U208" s="521"/>
      <c r="W208" s="520"/>
      <c r="X208" s="520"/>
      <c r="Y208" s="520"/>
      <c r="Z208" s="520"/>
      <c r="AA208" s="520"/>
      <c r="AB208" s="520"/>
      <c r="AC208" s="520"/>
      <c r="AD208" s="521"/>
      <c r="AE208" s="520"/>
    </row>
    <row r="209" spans="2:35" s="204" customFormat="1" x14ac:dyDescent="0.25">
      <c r="B209" s="273" t="s">
        <v>478</v>
      </c>
      <c r="C209" s="273" t="s">
        <v>479</v>
      </c>
      <c r="D209" s="264" t="s">
        <v>3172</v>
      </c>
      <c r="E209" s="264"/>
      <c r="F209" s="274"/>
      <c r="G209" s="283"/>
      <c r="H209" s="266"/>
      <c r="I209" s="281"/>
      <c r="J209" s="281"/>
      <c r="K209" s="281"/>
      <c r="L209" s="295" t="s">
        <v>3173</v>
      </c>
      <c r="M209" s="284" t="s">
        <v>2962</v>
      </c>
      <c r="N209" s="269">
        <f t="shared" si="21"/>
        <v>0</v>
      </c>
      <c r="O209" s="270">
        <f t="shared" si="22"/>
        <v>0</v>
      </c>
      <c r="P209" s="271">
        <f t="shared" si="23"/>
        <v>0</v>
      </c>
      <c r="Q209" s="520"/>
      <c r="R209" s="354">
        <f>IF(ISERROR(VLOOKUP("SAN"&amp;$C209,ESTR_PREC_SP!$A$2:$G$2000,4,FALSE))=TRUE,0,VLOOKUP("SAN"&amp;$C209,ESTR_PREC_SP!$A$2:$G$2000,4,FALSE))</f>
        <v>0</v>
      </c>
      <c r="S209" s="521"/>
      <c r="T209" s="521"/>
      <c r="U209" s="521"/>
      <c r="W209" s="520"/>
      <c r="X209" s="520"/>
      <c r="Y209" s="520"/>
      <c r="Z209" s="520"/>
      <c r="AA209" s="520"/>
      <c r="AB209" s="520"/>
      <c r="AC209" s="520"/>
      <c r="AD209" s="521"/>
      <c r="AE209" s="520"/>
    </row>
    <row r="210" spans="2:35" s="204" customFormat="1" x14ac:dyDescent="0.25">
      <c r="B210" s="289"/>
      <c r="C210" s="289"/>
      <c r="D210" s="211"/>
      <c r="E210" s="211"/>
      <c r="F210" s="211"/>
      <c r="G210" s="211"/>
      <c r="H210" s="211"/>
      <c r="I210" s="211"/>
      <c r="J210" s="211"/>
      <c r="K210" s="211"/>
      <c r="L210" s="232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</row>
    <row r="211" spans="2:35" s="204" customFormat="1" ht="25.5" x14ac:dyDescent="0.25">
      <c r="B211" s="293"/>
      <c r="C211" s="293"/>
      <c r="D211" s="230"/>
      <c r="E211" s="230"/>
      <c r="F211" s="230"/>
      <c r="G211" s="230"/>
      <c r="H211" s="231"/>
      <c r="I211" s="230"/>
      <c r="J211" s="230"/>
      <c r="K211" s="230"/>
      <c r="L211" s="255"/>
      <c r="M211" s="244"/>
      <c r="N211" s="256" t="str">
        <f>N$15</f>
        <v>Valore netto al 31/12/2019</v>
      </c>
      <c r="O211" s="256" t="str">
        <f>O$15</f>
        <v>Valore netto al 31/12/2020</v>
      </c>
      <c r="P211" s="256" t="str">
        <f>P$15</f>
        <v>Variazione</v>
      </c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</row>
    <row r="212" spans="2:35" s="204" customFormat="1" x14ac:dyDescent="0.25">
      <c r="B212" s="292" t="s">
        <v>481</v>
      </c>
      <c r="C212" s="292" t="s">
        <v>482</v>
      </c>
      <c r="D212" s="247" t="s">
        <v>3174</v>
      </c>
      <c r="E212" s="247"/>
      <c r="F212" s="247"/>
      <c r="G212" s="247"/>
      <c r="H212" s="248"/>
      <c r="I212" s="247"/>
      <c r="J212" s="247"/>
      <c r="K212" s="249"/>
      <c r="L212" s="257" t="s">
        <v>483</v>
      </c>
      <c r="M212" s="251" t="s">
        <v>2962</v>
      </c>
      <c r="N212" s="252">
        <f>+N214+N232</f>
        <v>83203349</v>
      </c>
      <c r="O212" s="252">
        <f>+O214+O232</f>
        <v>78358402</v>
      </c>
      <c r="P212" s="253">
        <f>+O212-N212</f>
        <v>-4844947</v>
      </c>
      <c r="Q212" s="211"/>
      <c r="R212" s="211"/>
      <c r="S212" s="252">
        <f>+S214+S232</f>
        <v>0</v>
      </c>
      <c r="T212" s="211"/>
      <c r="U212" s="211"/>
      <c r="V212" s="211"/>
      <c r="W212" s="211"/>
      <c r="X212" s="252">
        <f>+X214+X232</f>
        <v>0</v>
      </c>
      <c r="Y212" s="211"/>
      <c r="Z212" s="211"/>
      <c r="AA212" s="211"/>
    </row>
    <row r="213" spans="2:35" s="204" customFormat="1" x14ac:dyDescent="0.25">
      <c r="B213" s="298"/>
      <c r="C213" s="298"/>
      <c r="D213" s="216"/>
      <c r="E213" s="216"/>
      <c r="F213" s="216"/>
      <c r="G213" s="216"/>
      <c r="H213" s="314"/>
      <c r="I213" s="216"/>
      <c r="J213" s="216"/>
      <c r="K213" s="216"/>
      <c r="L213" s="315"/>
      <c r="M213" s="216"/>
      <c r="N213" s="216"/>
      <c r="O213" s="216"/>
      <c r="P213" s="216"/>
      <c r="Q213" s="211"/>
      <c r="R213" s="211"/>
      <c r="S213" s="211"/>
      <c r="T213" s="211"/>
      <c r="U213" s="211"/>
      <c r="V213" s="211"/>
      <c r="W213" s="216"/>
      <c r="X213" s="216"/>
      <c r="Y213" s="211"/>
      <c r="Z213" s="211"/>
      <c r="AA213" s="211"/>
    </row>
    <row r="214" spans="2:35" s="204" customFormat="1" x14ac:dyDescent="0.25">
      <c r="B214" s="292" t="s">
        <v>484</v>
      </c>
      <c r="C214" s="292" t="s">
        <v>485</v>
      </c>
      <c r="D214" s="247" t="s">
        <v>3175</v>
      </c>
      <c r="E214" s="247"/>
      <c r="F214" s="247"/>
      <c r="G214" s="247"/>
      <c r="H214" s="248"/>
      <c r="I214" s="247"/>
      <c r="J214" s="247"/>
      <c r="K214" s="249"/>
      <c r="L214" s="276" t="s">
        <v>487</v>
      </c>
      <c r="M214" s="251" t="s">
        <v>2962</v>
      </c>
      <c r="N214" s="252">
        <f>+N216-N224</f>
        <v>6819078</v>
      </c>
      <c r="O214" s="252">
        <f>+O216-O224</f>
        <v>7044578</v>
      </c>
      <c r="P214" s="259">
        <f>+O214-N214</f>
        <v>225500</v>
      </c>
      <c r="Q214" s="211"/>
      <c r="R214" s="211"/>
      <c r="S214" s="252">
        <f>+S216-S224</f>
        <v>0</v>
      </c>
      <c r="T214" s="211"/>
      <c r="U214" s="211"/>
      <c r="V214" s="211"/>
      <c r="W214" s="211"/>
      <c r="X214" s="252">
        <f>+X216-X224</f>
        <v>0</v>
      </c>
      <c r="Y214" s="211"/>
      <c r="Z214" s="211"/>
      <c r="AA214" s="211"/>
    </row>
    <row r="215" spans="2:35" s="204" customFormat="1" x14ac:dyDescent="0.25">
      <c r="B215" s="293"/>
      <c r="C215" s="293"/>
      <c r="D215" s="230"/>
      <c r="E215" s="230"/>
      <c r="F215" s="230"/>
      <c r="G215" s="230"/>
      <c r="H215" s="231"/>
      <c r="I215" s="230"/>
      <c r="J215" s="230"/>
      <c r="K215" s="230"/>
      <c r="L215" s="232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2:35" s="204" customFormat="1" x14ac:dyDescent="0.25">
      <c r="B216" s="292" t="s">
        <v>488</v>
      </c>
      <c r="C216" s="292" t="s">
        <v>489</v>
      </c>
      <c r="D216" s="247" t="s">
        <v>3176</v>
      </c>
      <c r="E216" s="247"/>
      <c r="F216" s="247"/>
      <c r="G216" s="247"/>
      <c r="H216" s="248"/>
      <c r="I216" s="247"/>
      <c r="J216" s="247"/>
      <c r="K216" s="249"/>
      <c r="L216" s="276" t="s">
        <v>492</v>
      </c>
      <c r="M216" s="251" t="s">
        <v>2962</v>
      </c>
      <c r="N216" s="252">
        <f>SUM(N219:N222)</f>
        <v>6819078</v>
      </c>
      <c r="O216" s="252">
        <f>SUM(O219:O222)</f>
        <v>7044578</v>
      </c>
      <c r="P216" s="259">
        <f>+O216-N216</f>
        <v>225500</v>
      </c>
      <c r="Q216" s="252">
        <f>SUM(Q219:Q222)</f>
        <v>0</v>
      </c>
      <c r="R216" s="252">
        <f>SUM(R219:R222)</f>
        <v>6819078</v>
      </c>
      <c r="S216" s="252">
        <f>SUM(S219:S222)</f>
        <v>0</v>
      </c>
      <c r="T216" s="252">
        <f>SUM(T219:T222)</f>
        <v>0</v>
      </c>
      <c r="U216" s="252">
        <f>SUM(U219:U222)</f>
        <v>0</v>
      </c>
      <c r="V216" s="211"/>
      <c r="W216" s="252">
        <f t="shared" ref="W216:AE216" si="24">SUM(W219:W222)</f>
        <v>0</v>
      </c>
      <c r="X216" s="252">
        <f t="shared" si="24"/>
        <v>0</v>
      </c>
      <c r="Y216" s="252">
        <f t="shared" si="24"/>
        <v>0</v>
      </c>
      <c r="Z216" s="252">
        <f t="shared" si="24"/>
        <v>0</v>
      </c>
      <c r="AA216" s="252">
        <f t="shared" si="24"/>
        <v>0</v>
      </c>
      <c r="AB216" s="252">
        <f t="shared" si="24"/>
        <v>225500</v>
      </c>
      <c r="AC216" s="252">
        <f t="shared" si="24"/>
        <v>0</v>
      </c>
      <c r="AD216" s="252">
        <f t="shared" si="24"/>
        <v>0</v>
      </c>
      <c r="AE216" s="252">
        <f t="shared" si="24"/>
        <v>0</v>
      </c>
    </row>
    <row r="217" spans="2:35" s="204" customFormat="1" x14ac:dyDescent="0.25">
      <c r="B217" s="293"/>
      <c r="C217" s="293"/>
      <c r="D217" s="230"/>
      <c r="E217" s="230"/>
      <c r="F217" s="230"/>
      <c r="G217" s="230"/>
      <c r="H217" s="231"/>
      <c r="I217" s="230"/>
      <c r="J217" s="230"/>
      <c r="K217" s="230"/>
      <c r="L217" s="277"/>
      <c r="M217" s="211"/>
      <c r="N217" s="254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</row>
    <row r="218" spans="2:35" s="204" customFormat="1" ht="51" x14ac:dyDescent="0.25">
      <c r="B218" s="294" t="s">
        <v>2968</v>
      </c>
      <c r="C218" s="294" t="s">
        <v>2969</v>
      </c>
      <c r="D218" s="206" t="s">
        <v>72</v>
      </c>
      <c r="E218" s="206"/>
      <c r="F218" s="206"/>
      <c r="G218" s="207"/>
      <c r="H218" s="207"/>
      <c r="I218" s="207"/>
      <c r="J218" s="207" t="s">
        <v>2957</v>
      </c>
      <c r="K218" s="206" t="s">
        <v>82</v>
      </c>
      <c r="L218" s="261" t="s">
        <v>2970</v>
      </c>
      <c r="M218" s="260"/>
      <c r="N218" s="256" t="str">
        <f>N$15</f>
        <v>Valore netto al 31/12/2019</v>
      </c>
      <c r="O218" s="256" t="str">
        <f>O$15</f>
        <v>Valore netto al 31/12/2020</v>
      </c>
      <c r="P218" s="256" t="str">
        <f>P$15</f>
        <v>Variazione</v>
      </c>
      <c r="Q218" s="262" t="s">
        <v>2971</v>
      </c>
      <c r="R218" s="262" t="str">
        <f>"Costo storico al 31/12/"&amp;Info!$B$3-1</f>
        <v>Costo storico al 31/12/2019</v>
      </c>
      <c r="S218" s="262" t="s">
        <v>2972</v>
      </c>
      <c r="T218" s="262" t="s">
        <v>2973</v>
      </c>
      <c r="U218" s="262" t="s">
        <v>2974</v>
      </c>
      <c r="W218" s="262" t="s">
        <v>2975</v>
      </c>
      <c r="X218" s="262" t="s">
        <v>2976</v>
      </c>
      <c r="Y218" s="262" t="s">
        <v>2977</v>
      </c>
      <c r="Z218" s="262" t="s">
        <v>2978</v>
      </c>
      <c r="AA218" s="262" t="s">
        <v>2979</v>
      </c>
      <c r="AB218" s="262" t="s">
        <v>2980</v>
      </c>
      <c r="AC218" s="262" t="s">
        <v>2981</v>
      </c>
      <c r="AD218" s="262" t="s">
        <v>2982</v>
      </c>
      <c r="AE218" s="262" t="s">
        <v>2983</v>
      </c>
    </row>
    <row r="219" spans="2:35" s="204" customFormat="1" x14ac:dyDescent="0.25">
      <c r="B219" s="273" t="s">
        <v>493</v>
      </c>
      <c r="C219" s="273" t="s">
        <v>494</v>
      </c>
      <c r="D219" s="274" t="s">
        <v>3177</v>
      </c>
      <c r="E219" s="264"/>
      <c r="F219" s="264"/>
      <c r="G219" s="265"/>
      <c r="H219" s="266"/>
      <c r="I219" s="281"/>
      <c r="J219" s="281"/>
      <c r="K219" s="281"/>
      <c r="L219" s="282" t="s">
        <v>3178</v>
      </c>
      <c r="M219" s="263" t="s">
        <v>2962</v>
      </c>
      <c r="N219" s="269">
        <f>+R219+T219-U219</f>
        <v>933000</v>
      </c>
      <c r="O219" s="270">
        <f>+N219+S219+X219+ABS(Y219)-ABS(AA219)+ABS(Z219)+ABS(AB219)+ABS(AD219)-ABS(AE219)+AC219+W219+Q219</f>
        <v>933000</v>
      </c>
      <c r="P219" s="271">
        <f>+O219-N219</f>
        <v>0</v>
      </c>
      <c r="Q219" s="520"/>
      <c r="R219" s="354">
        <f>IF(ISERROR(VLOOKUP("SAN"&amp;$C219,ESTR_PREC_SP!$A$2:$G$2000,4,FALSE))=TRUE,0,VLOOKUP("SAN"&amp;$C219,ESTR_PREC_SP!$A$2:$G$2000,4,FALSE))</f>
        <v>933000</v>
      </c>
      <c r="S219" s="521"/>
      <c r="T219" s="521"/>
      <c r="U219" s="521"/>
      <c r="W219" s="520"/>
      <c r="X219" s="520"/>
      <c r="Y219" s="520"/>
      <c r="Z219" s="520"/>
      <c r="AA219" s="520"/>
      <c r="AB219" s="520"/>
      <c r="AC219" s="520"/>
      <c r="AD219" s="520"/>
      <c r="AE219" s="520"/>
    </row>
    <row r="220" spans="2:35" s="204" customFormat="1" x14ac:dyDescent="0.25">
      <c r="B220" s="273" t="s">
        <v>496</v>
      </c>
      <c r="C220" s="273" t="s">
        <v>497</v>
      </c>
      <c r="D220" s="274" t="s">
        <v>3179</v>
      </c>
      <c r="E220" s="264"/>
      <c r="F220" s="264"/>
      <c r="G220" s="265"/>
      <c r="H220" s="266"/>
      <c r="I220" s="281"/>
      <c r="J220" s="281"/>
      <c r="K220" s="281"/>
      <c r="L220" s="282" t="s">
        <v>3180</v>
      </c>
      <c r="M220" s="263" t="s">
        <v>2962</v>
      </c>
      <c r="N220" s="269">
        <f>+R220+T220-U220</f>
        <v>5886078</v>
      </c>
      <c r="O220" s="270">
        <f>+N220+S220+X220+ABS(Y220)-ABS(AA220)+ABS(Z220)+ABS(AB220)+ABS(AD220)-ABS(AE220)+AC220+W220+Q220</f>
        <v>6111578</v>
      </c>
      <c r="P220" s="271">
        <f>+O220-N220</f>
        <v>225500</v>
      </c>
      <c r="Q220" s="520"/>
      <c r="R220" s="354">
        <f>IF(ISERROR(VLOOKUP("SAN"&amp;$C220,ESTR_PREC_SP!$A$2:$G$2000,4,FALSE))=TRUE,0,VLOOKUP("SAN"&amp;$C220,ESTR_PREC_SP!$A$2:$G$2000,4,FALSE))</f>
        <v>5886078</v>
      </c>
      <c r="S220" s="521"/>
      <c r="T220" s="521"/>
      <c r="U220" s="521"/>
      <c r="W220" s="520"/>
      <c r="X220" s="520"/>
      <c r="Y220" s="520"/>
      <c r="Z220" s="520"/>
      <c r="AA220" s="520"/>
      <c r="AB220" s="520">
        <v>225500</v>
      </c>
      <c r="AC220" s="520"/>
      <c r="AD220" s="520"/>
      <c r="AE220" s="520"/>
    </row>
    <row r="221" spans="2:35" s="204" customFormat="1" x14ac:dyDescent="0.25">
      <c r="B221" s="273" t="s">
        <v>499</v>
      </c>
      <c r="C221" s="273" t="s">
        <v>500</v>
      </c>
      <c r="D221" s="274" t="s">
        <v>3181</v>
      </c>
      <c r="E221" s="264"/>
      <c r="F221" s="274"/>
      <c r="G221" s="283"/>
      <c r="H221" s="266"/>
      <c r="I221" s="281"/>
      <c r="J221" s="281"/>
      <c r="K221" s="281"/>
      <c r="L221" s="295" t="s">
        <v>3182</v>
      </c>
      <c r="M221" s="284" t="s">
        <v>2962</v>
      </c>
      <c r="N221" s="269">
        <f>+R221+T221-U221</f>
        <v>0</v>
      </c>
      <c r="O221" s="270">
        <f>+N221+S221+X221+ABS(Y221)-ABS(AA221)+ABS(Z221)+ABS(AB221)+ABS(AD221)-ABS(AE221)+AC221+W221+Q221</f>
        <v>0</v>
      </c>
      <c r="P221" s="271">
        <f>+O221-N221</f>
        <v>0</v>
      </c>
      <c r="Q221" s="520"/>
      <c r="R221" s="354">
        <f>IF(ISERROR(VLOOKUP("SAN"&amp;$C221,ESTR_PREC_SP!$A$2:$G$2000,4,FALSE))=TRUE,0,VLOOKUP("SAN"&amp;$C221,ESTR_PREC_SP!$A$2:$G$2000,4,FALSE))</f>
        <v>0</v>
      </c>
      <c r="S221" s="521"/>
      <c r="T221" s="521"/>
      <c r="U221" s="521"/>
      <c r="W221" s="520"/>
      <c r="X221" s="520"/>
      <c r="Y221" s="520"/>
      <c r="Z221" s="520"/>
      <c r="AA221" s="520"/>
      <c r="AB221" s="520"/>
      <c r="AC221" s="520"/>
      <c r="AD221" s="520"/>
      <c r="AE221" s="520"/>
    </row>
    <row r="222" spans="2:35" s="204" customFormat="1" x14ac:dyDescent="0.25">
      <c r="B222" s="273" t="s">
        <v>502</v>
      </c>
      <c r="C222" s="273" t="s">
        <v>503</v>
      </c>
      <c r="D222" s="274" t="s">
        <v>3183</v>
      </c>
      <c r="E222" s="264"/>
      <c r="F222" s="274"/>
      <c r="G222" s="283"/>
      <c r="H222" s="266"/>
      <c r="I222" s="281"/>
      <c r="J222" s="281"/>
      <c r="K222" s="281"/>
      <c r="L222" s="295" t="s">
        <v>3184</v>
      </c>
      <c r="M222" s="284" t="s">
        <v>2962</v>
      </c>
      <c r="N222" s="269">
        <f>+R222+T222-U222</f>
        <v>0</v>
      </c>
      <c r="O222" s="270">
        <f>+N222+S222+X222+ABS(Y222)-ABS(AA222)+ABS(Z222)+ABS(AB222)+ABS(AD222)-ABS(AE222)+AC222+W222+Q222</f>
        <v>0</v>
      </c>
      <c r="P222" s="271">
        <f>+O222-N222</f>
        <v>0</v>
      </c>
      <c r="Q222" s="520"/>
      <c r="R222" s="354">
        <f>IF(ISERROR(VLOOKUP("SAN"&amp;$C222,ESTR_PREC_SP!$A$2:$G$2000,4,FALSE))=TRUE,0,VLOOKUP("SAN"&amp;$C222,ESTR_PREC_SP!$A$2:$G$2000,4,FALSE))</f>
        <v>0</v>
      </c>
      <c r="S222" s="521"/>
      <c r="T222" s="521"/>
      <c r="U222" s="521"/>
      <c r="W222" s="520"/>
      <c r="X222" s="520"/>
      <c r="Y222" s="520"/>
      <c r="Z222" s="520"/>
      <c r="AA222" s="520"/>
      <c r="AB222" s="520"/>
      <c r="AC222" s="520"/>
      <c r="AD222" s="520"/>
      <c r="AE222" s="520"/>
    </row>
    <row r="223" spans="2:35" s="204" customFormat="1" x14ac:dyDescent="0.25">
      <c r="B223" s="293"/>
      <c r="C223" s="293"/>
      <c r="D223" s="230"/>
      <c r="E223" s="230"/>
      <c r="F223" s="230"/>
      <c r="G223" s="230"/>
      <c r="H223" s="231"/>
      <c r="I223" s="230"/>
      <c r="J223" s="230"/>
      <c r="K223" s="230"/>
      <c r="L223" s="296"/>
      <c r="M223" s="240"/>
      <c r="N223" s="254"/>
      <c r="O223" s="211"/>
      <c r="P223" s="211"/>
      <c r="Q223" s="211"/>
      <c r="R223" s="211"/>
      <c r="S223" s="211"/>
      <c r="T223" s="240"/>
      <c r="U223" s="240"/>
      <c r="V223" s="240"/>
      <c r="W223" s="240"/>
      <c r="X223" s="240"/>
      <c r="Y223" s="240"/>
      <c r="Z223" s="240"/>
      <c r="AA223" s="240"/>
    </row>
    <row r="224" spans="2:35" s="204" customFormat="1" x14ac:dyDescent="0.25">
      <c r="B224" s="292" t="s">
        <v>505</v>
      </c>
      <c r="C224" s="292" t="s">
        <v>506</v>
      </c>
      <c r="D224" s="247" t="s">
        <v>3185</v>
      </c>
      <c r="E224" s="247"/>
      <c r="F224" s="247"/>
      <c r="G224" s="247"/>
      <c r="H224" s="248"/>
      <c r="I224" s="247"/>
      <c r="J224" s="247"/>
      <c r="K224" s="249"/>
      <c r="L224" s="276" t="s">
        <v>509</v>
      </c>
      <c r="M224" s="251" t="s">
        <v>2962</v>
      </c>
      <c r="N224" s="252">
        <f>SUM(N227:N230)</f>
        <v>0</v>
      </c>
      <c r="O224" s="252">
        <f>SUM(O227:O230)</f>
        <v>0</v>
      </c>
      <c r="P224" s="259">
        <f>+O224-N224</f>
        <v>0</v>
      </c>
      <c r="Q224" s="252">
        <f>SUM(Q227:Q230)</f>
        <v>0</v>
      </c>
      <c r="R224" s="252">
        <f>SUM(R227:R230)</f>
        <v>0</v>
      </c>
      <c r="S224" s="252">
        <f>SUM(S227:S230)</f>
        <v>0</v>
      </c>
      <c r="W224" s="252">
        <f>SUM(W227:W230)</f>
        <v>0</v>
      </c>
      <c r="X224" s="252">
        <f>SUM(X227:X230)</f>
        <v>0</v>
      </c>
      <c r="Y224" s="252">
        <f>SUM(Y227:Y230)</f>
        <v>0</v>
      </c>
      <c r="Z224" s="252">
        <f>SUM(Z227:Z230)</f>
        <v>0</v>
      </c>
      <c r="AA224" s="240"/>
    </row>
    <row r="225" spans="2:31" s="204" customFormat="1" x14ac:dyDescent="0.25">
      <c r="B225" s="293"/>
      <c r="C225" s="293"/>
      <c r="D225" s="230"/>
      <c r="E225" s="230"/>
      <c r="F225" s="230"/>
      <c r="G225" s="230"/>
      <c r="H225" s="231"/>
      <c r="I225" s="230"/>
      <c r="J225" s="230"/>
      <c r="K225" s="230"/>
      <c r="L225" s="277"/>
      <c r="M225" s="211"/>
      <c r="N225" s="254"/>
      <c r="O225" s="211"/>
      <c r="P225" s="211"/>
      <c r="Q225" s="211"/>
      <c r="R225" s="211"/>
      <c r="W225" s="240"/>
      <c r="X225" s="240"/>
      <c r="Y225" s="240"/>
      <c r="Z225" s="240"/>
      <c r="AA225" s="240"/>
    </row>
    <row r="226" spans="2:31" s="204" customFormat="1" ht="51" x14ac:dyDescent="0.25">
      <c r="B226" s="294" t="s">
        <v>2968</v>
      </c>
      <c r="C226" s="294" t="s">
        <v>2969</v>
      </c>
      <c r="D226" s="206" t="s">
        <v>72</v>
      </c>
      <c r="E226" s="206"/>
      <c r="F226" s="206"/>
      <c r="G226" s="207"/>
      <c r="H226" s="207"/>
      <c r="I226" s="207"/>
      <c r="J226" s="207" t="s">
        <v>2957</v>
      </c>
      <c r="K226" s="206" t="s">
        <v>82</v>
      </c>
      <c r="L226" s="261" t="s">
        <v>2970</v>
      </c>
      <c r="M226" s="260"/>
      <c r="N226" s="256" t="str">
        <f>N$15</f>
        <v>Valore netto al 31/12/2019</v>
      </c>
      <c r="O226" s="256" t="str">
        <f>O$15</f>
        <v>Valore netto al 31/12/2020</v>
      </c>
      <c r="P226" s="256" t="str">
        <f>P$15</f>
        <v>Variazione</v>
      </c>
      <c r="Q226" s="262" t="s">
        <v>2971</v>
      </c>
      <c r="R226" s="262" t="str">
        <f>"Fondo ammortamento 31/12/"&amp;Info!$B$3-1</f>
        <v>Fondo ammortamento 31/12/2019</v>
      </c>
      <c r="S226" s="262" t="s">
        <v>2972</v>
      </c>
      <c r="W226" s="262" t="s">
        <v>2975</v>
      </c>
      <c r="X226" s="262" t="s">
        <v>2976</v>
      </c>
      <c r="Y226" s="262" t="s">
        <v>2989</v>
      </c>
      <c r="Z226" s="262" t="s">
        <v>2990</v>
      </c>
      <c r="AA226" s="240"/>
    </row>
    <row r="227" spans="2:31" s="204" customFormat="1" x14ac:dyDescent="0.25">
      <c r="B227" s="273" t="s">
        <v>510</v>
      </c>
      <c r="C227" s="273" t="s">
        <v>511</v>
      </c>
      <c r="D227" s="264" t="s">
        <v>3186</v>
      </c>
      <c r="E227" s="264"/>
      <c r="F227" s="264"/>
      <c r="G227" s="265"/>
      <c r="H227" s="266"/>
      <c r="I227" s="281"/>
      <c r="J227" s="281"/>
      <c r="K227" s="281"/>
      <c r="L227" s="282" t="s">
        <v>3187</v>
      </c>
      <c r="M227" s="263" t="s">
        <v>2962</v>
      </c>
      <c r="N227" s="269">
        <f>+R227</f>
        <v>0</v>
      </c>
      <c r="O227" s="270">
        <f>+R227+S227+X227-ABS(Y227)+ABS(Z227)+W227+Q227</f>
        <v>0</v>
      </c>
      <c r="P227" s="271">
        <f>+O227-N227</f>
        <v>0</v>
      </c>
      <c r="Q227" s="520"/>
      <c r="R227" s="354">
        <f>IF(ISERROR(VLOOKUP("SAN"&amp;$C227,ESTR_PREC_SP!$A$2:$G$2000,4,FALSE))=TRUE,0,VLOOKUP("SAN"&amp;$C227,ESTR_PREC_SP!$A$2:$G$2000,4,FALSE))</f>
        <v>0</v>
      </c>
      <c r="S227" s="521"/>
      <c r="V227" s="211"/>
      <c r="W227" s="520"/>
      <c r="X227" s="520"/>
      <c r="Y227" s="520"/>
      <c r="Z227" s="520"/>
      <c r="AA227" s="240"/>
    </row>
    <row r="228" spans="2:31" s="204" customFormat="1" x14ac:dyDescent="0.25">
      <c r="B228" s="273" t="s">
        <v>513</v>
      </c>
      <c r="C228" s="273" t="s">
        <v>514</v>
      </c>
      <c r="D228" s="264" t="s">
        <v>3188</v>
      </c>
      <c r="E228" s="264"/>
      <c r="F228" s="264"/>
      <c r="G228" s="265"/>
      <c r="H228" s="266"/>
      <c r="I228" s="281"/>
      <c r="J228" s="281"/>
      <c r="K228" s="281"/>
      <c r="L228" s="282" t="s">
        <v>3189</v>
      </c>
      <c r="M228" s="263" t="s">
        <v>2962</v>
      </c>
      <c r="N228" s="269">
        <f>+R228</f>
        <v>0</v>
      </c>
      <c r="O228" s="270">
        <f>+R228+S228+X228-ABS(Y228)+ABS(Z228)+W228+Q228</f>
        <v>0</v>
      </c>
      <c r="P228" s="271">
        <f>+O228-N228</f>
        <v>0</v>
      </c>
      <c r="Q228" s="520"/>
      <c r="R228" s="354">
        <f>IF(ISERROR(VLOOKUP("SAN"&amp;$C228,ESTR_PREC_SP!$A$2:$G$2000,4,FALSE))=TRUE,0,VLOOKUP("SAN"&amp;$C228,ESTR_PREC_SP!$A$2:$G$2000,4,FALSE))</f>
        <v>0</v>
      </c>
      <c r="S228" s="521"/>
      <c r="V228" s="211"/>
      <c r="W228" s="520"/>
      <c r="X228" s="520"/>
      <c r="Y228" s="520"/>
      <c r="Z228" s="520"/>
      <c r="AA228" s="240"/>
    </row>
    <row r="229" spans="2:31" s="204" customFormat="1" x14ac:dyDescent="0.25">
      <c r="B229" s="273" t="s">
        <v>516</v>
      </c>
      <c r="C229" s="273" t="s">
        <v>517</v>
      </c>
      <c r="D229" s="264" t="s">
        <v>3190</v>
      </c>
      <c r="E229" s="264"/>
      <c r="F229" s="274"/>
      <c r="G229" s="283"/>
      <c r="H229" s="266"/>
      <c r="I229" s="281"/>
      <c r="J229" s="281"/>
      <c r="K229" s="281"/>
      <c r="L229" s="295" t="s">
        <v>3191</v>
      </c>
      <c r="M229" s="284" t="s">
        <v>2962</v>
      </c>
      <c r="N229" s="269">
        <f>+R229</f>
        <v>0</v>
      </c>
      <c r="O229" s="270">
        <f>+R229+S229+X229-ABS(Y229)+ABS(Z229)+W229+Q229</f>
        <v>0</v>
      </c>
      <c r="P229" s="271">
        <f>+O229-N229</f>
        <v>0</v>
      </c>
      <c r="Q229" s="520"/>
      <c r="R229" s="354">
        <f>IF(ISERROR(VLOOKUP("SAN"&amp;$C229,ESTR_PREC_SP!$A$2:$G$2000,4,FALSE))=TRUE,0,VLOOKUP("SAN"&amp;$C229,ESTR_PREC_SP!$A$2:$G$2000,4,FALSE))</f>
        <v>0</v>
      </c>
      <c r="S229" s="521"/>
      <c r="V229" s="211"/>
      <c r="W229" s="520"/>
      <c r="X229" s="520"/>
      <c r="Y229" s="520"/>
      <c r="Z229" s="520"/>
      <c r="AA229" s="240"/>
    </row>
    <row r="230" spans="2:31" s="204" customFormat="1" x14ac:dyDescent="0.25">
      <c r="B230" s="273" t="s">
        <v>519</v>
      </c>
      <c r="C230" s="273" t="s">
        <v>520</v>
      </c>
      <c r="D230" s="264" t="s">
        <v>3192</v>
      </c>
      <c r="E230" s="264"/>
      <c r="F230" s="274"/>
      <c r="G230" s="283"/>
      <c r="H230" s="266"/>
      <c r="I230" s="281"/>
      <c r="J230" s="281"/>
      <c r="K230" s="281"/>
      <c r="L230" s="295" t="s">
        <v>3193</v>
      </c>
      <c r="M230" s="284" t="s">
        <v>2962</v>
      </c>
      <c r="N230" s="269">
        <f>+R230</f>
        <v>0</v>
      </c>
      <c r="O230" s="270">
        <f>+R230+S230+X230-ABS(Y230)+ABS(Z230)+W230+Q230</f>
        <v>0</v>
      </c>
      <c r="P230" s="271">
        <f>+O230-N230</f>
        <v>0</v>
      </c>
      <c r="Q230" s="520"/>
      <c r="R230" s="354">
        <f>IF(ISERROR(VLOOKUP("SAN"&amp;$C230,ESTR_PREC_SP!$A$2:$G$2000,4,FALSE))=TRUE,0,VLOOKUP("SAN"&amp;$C230,ESTR_PREC_SP!$A$2:$G$2000,4,FALSE))</f>
        <v>0</v>
      </c>
      <c r="S230" s="521"/>
      <c r="V230" s="211"/>
      <c r="W230" s="520"/>
      <c r="X230" s="520"/>
      <c r="Y230" s="520"/>
      <c r="Z230" s="520"/>
      <c r="AA230" s="240"/>
    </row>
    <row r="231" spans="2:31" s="204" customFormat="1" x14ac:dyDescent="0.25">
      <c r="B231" s="293"/>
      <c r="C231" s="293"/>
      <c r="D231" s="230"/>
      <c r="E231" s="230"/>
      <c r="F231" s="230"/>
      <c r="G231" s="230"/>
      <c r="H231" s="231"/>
      <c r="I231" s="230"/>
      <c r="J231" s="230"/>
      <c r="K231" s="230"/>
      <c r="L231" s="275"/>
      <c r="M231" s="216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</row>
    <row r="232" spans="2:31" s="204" customFormat="1" x14ac:dyDescent="0.25">
      <c r="B232" s="292" t="s">
        <v>522</v>
      </c>
      <c r="C232" s="292" t="s">
        <v>523</v>
      </c>
      <c r="D232" s="247" t="s">
        <v>3194</v>
      </c>
      <c r="E232" s="247"/>
      <c r="F232" s="247"/>
      <c r="G232" s="247"/>
      <c r="H232" s="248"/>
      <c r="I232" s="247"/>
      <c r="J232" s="247"/>
      <c r="K232" s="249"/>
      <c r="L232" s="276" t="s">
        <v>525</v>
      </c>
      <c r="M232" s="251" t="s">
        <v>2962</v>
      </c>
      <c r="N232" s="252">
        <f>+N234-N242</f>
        <v>76384271</v>
      </c>
      <c r="O232" s="252">
        <f>+O234-O242</f>
        <v>71313824</v>
      </c>
      <c r="P232" s="259">
        <f>+O232-N232</f>
        <v>-5070447</v>
      </c>
      <c r="Q232" s="285"/>
      <c r="R232" s="285"/>
      <c r="S232" s="285"/>
      <c r="T232" s="285"/>
      <c r="U232" s="285"/>
      <c r="V232" s="285"/>
      <c r="W232" s="211"/>
      <c r="X232" s="252">
        <f>+X234-X242</f>
        <v>0</v>
      </c>
      <c r="Y232" s="285"/>
      <c r="Z232" s="285"/>
      <c r="AA232" s="285"/>
    </row>
    <row r="233" spans="2:31" s="204" customFormat="1" x14ac:dyDescent="0.25">
      <c r="B233" s="293"/>
      <c r="C233" s="293"/>
      <c r="D233" s="230"/>
      <c r="E233" s="230"/>
      <c r="F233" s="230"/>
      <c r="G233" s="230"/>
      <c r="H233" s="231"/>
      <c r="I233" s="230"/>
      <c r="J233" s="230"/>
      <c r="K233" s="230"/>
      <c r="L233" s="275"/>
      <c r="M233" s="216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</row>
    <row r="234" spans="2:31" s="204" customFormat="1" x14ac:dyDescent="0.25">
      <c r="B234" s="292" t="s">
        <v>526</v>
      </c>
      <c r="C234" s="292" t="s">
        <v>527</v>
      </c>
      <c r="D234" s="247" t="s">
        <v>3195</v>
      </c>
      <c r="E234" s="247"/>
      <c r="F234" s="247"/>
      <c r="G234" s="247"/>
      <c r="H234" s="248"/>
      <c r="I234" s="247"/>
      <c r="J234" s="247"/>
      <c r="K234" s="249"/>
      <c r="L234" s="276" t="s">
        <v>529</v>
      </c>
      <c r="M234" s="251" t="s">
        <v>2962</v>
      </c>
      <c r="N234" s="252">
        <f>SUM(N237:N240)</f>
        <v>159915632</v>
      </c>
      <c r="O234" s="252">
        <f>SUM(O237:O240)</f>
        <v>160851591</v>
      </c>
      <c r="P234" s="259">
        <f>+O234-N234</f>
        <v>935959</v>
      </c>
      <c r="Q234" s="252">
        <f>SUM(Q237:Q240)</f>
        <v>0</v>
      </c>
      <c r="R234" s="252">
        <f>SUM(R237:R240)</f>
        <v>159915632</v>
      </c>
      <c r="S234" s="252">
        <f>SUM(T237:T240)</f>
        <v>0</v>
      </c>
      <c r="T234" s="252">
        <f>SUM(U237:U240)</f>
        <v>0</v>
      </c>
      <c r="U234" s="252">
        <f>SUM(V237:V240)</f>
        <v>0</v>
      </c>
      <c r="W234" s="252">
        <f t="shared" ref="W234:AE234" si="25">SUM(W237:W240)</f>
        <v>0</v>
      </c>
      <c r="X234" s="252">
        <f t="shared" si="25"/>
        <v>0</v>
      </c>
      <c r="Y234" s="252">
        <f t="shared" si="25"/>
        <v>0</v>
      </c>
      <c r="Z234" s="252">
        <f t="shared" si="25"/>
        <v>0</v>
      </c>
      <c r="AA234" s="252">
        <f t="shared" si="25"/>
        <v>0</v>
      </c>
      <c r="AB234" s="252">
        <f t="shared" si="25"/>
        <v>4087</v>
      </c>
      <c r="AC234" s="252">
        <f t="shared" si="25"/>
        <v>0</v>
      </c>
      <c r="AD234" s="252">
        <f t="shared" si="25"/>
        <v>931872</v>
      </c>
      <c r="AE234" s="252">
        <f t="shared" si="25"/>
        <v>0</v>
      </c>
    </row>
    <row r="235" spans="2:31" s="204" customFormat="1" x14ac:dyDescent="0.25">
      <c r="B235" s="293"/>
      <c r="C235" s="293"/>
      <c r="D235" s="230"/>
      <c r="E235" s="230"/>
      <c r="F235" s="230"/>
      <c r="G235" s="230"/>
      <c r="H235" s="231"/>
      <c r="I235" s="230"/>
      <c r="J235" s="230"/>
      <c r="K235" s="230"/>
      <c r="L235" s="277"/>
      <c r="M235" s="211"/>
      <c r="N235" s="254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</row>
    <row r="236" spans="2:31" s="204" customFormat="1" ht="51" x14ac:dyDescent="0.25">
      <c r="B236" s="294" t="s">
        <v>2968</v>
      </c>
      <c r="C236" s="294" t="s">
        <v>2969</v>
      </c>
      <c r="D236" s="206" t="s">
        <v>72</v>
      </c>
      <c r="E236" s="206"/>
      <c r="F236" s="206"/>
      <c r="G236" s="207"/>
      <c r="H236" s="207"/>
      <c r="I236" s="207"/>
      <c r="J236" s="207" t="s">
        <v>2957</v>
      </c>
      <c r="K236" s="206" t="s">
        <v>82</v>
      </c>
      <c r="L236" s="261" t="s">
        <v>2970</v>
      </c>
      <c r="M236" s="260"/>
      <c r="N236" s="256" t="str">
        <f>N$15</f>
        <v>Valore netto al 31/12/2019</v>
      </c>
      <c r="O236" s="256" t="str">
        <f>O$15</f>
        <v>Valore netto al 31/12/2020</v>
      </c>
      <c r="P236" s="256" t="str">
        <f>P$15</f>
        <v>Variazione</v>
      </c>
      <c r="Q236" s="262" t="s">
        <v>2971</v>
      </c>
      <c r="R236" s="262" t="str">
        <f>"Costo storico al 31/12/"&amp;Info!$B$3-1</f>
        <v>Costo storico al 31/12/2019</v>
      </c>
      <c r="S236" s="262" t="s">
        <v>2972</v>
      </c>
      <c r="T236" s="262" t="s">
        <v>2973</v>
      </c>
      <c r="U236" s="262" t="s">
        <v>2974</v>
      </c>
      <c r="W236" s="262" t="s">
        <v>2975</v>
      </c>
      <c r="X236" s="262" t="s">
        <v>2976</v>
      </c>
      <c r="Y236" s="262" t="s">
        <v>2977</v>
      </c>
      <c r="Z236" s="262" t="s">
        <v>2978</v>
      </c>
      <c r="AA236" s="262" t="s">
        <v>2979</v>
      </c>
      <c r="AB236" s="262" t="s">
        <v>2980</v>
      </c>
      <c r="AC236" s="262" t="s">
        <v>2981</v>
      </c>
      <c r="AD236" s="262" t="s">
        <v>2982</v>
      </c>
      <c r="AE236" s="262" t="s">
        <v>2983</v>
      </c>
    </row>
    <row r="237" spans="2:31" s="204" customFormat="1" x14ac:dyDescent="0.25">
      <c r="B237" s="273" t="s">
        <v>530</v>
      </c>
      <c r="C237" s="273" t="s">
        <v>531</v>
      </c>
      <c r="D237" s="264" t="s">
        <v>3196</v>
      </c>
      <c r="E237" s="264"/>
      <c r="F237" s="264"/>
      <c r="G237" s="265"/>
      <c r="H237" s="266"/>
      <c r="I237" s="281"/>
      <c r="J237" s="281"/>
      <c r="K237" s="281"/>
      <c r="L237" s="295" t="s">
        <v>3197</v>
      </c>
      <c r="M237" s="284" t="s">
        <v>2962</v>
      </c>
      <c r="N237" s="269">
        <f>+R237+T237-U237</f>
        <v>45034152</v>
      </c>
      <c r="O237" s="270">
        <f>+N237+S237+X237+ABS(Y237)-ABS(AA237)+ABS(Z237)+ABS(AB237)+ABS(AD237)-ABS(AE237)+AC237+W237+Q237</f>
        <v>45034152</v>
      </c>
      <c r="P237" s="271">
        <f>+O237-N237</f>
        <v>0</v>
      </c>
      <c r="Q237" s="520"/>
      <c r="R237" s="354">
        <f>IF(ISERROR(VLOOKUP("SAN"&amp;$C237,ESTR_PREC_SP!$A$2:$G$2000,4,FALSE))=TRUE,0,VLOOKUP("SAN"&amp;$C237,ESTR_PREC_SP!$A$2:$G$2000,4,FALSE))</f>
        <v>45034152</v>
      </c>
      <c r="S237" s="521"/>
      <c r="T237" s="521"/>
      <c r="U237" s="521"/>
      <c r="W237" s="520"/>
      <c r="X237" s="520"/>
      <c r="Y237" s="520"/>
      <c r="Z237" s="520"/>
      <c r="AA237" s="520"/>
      <c r="AB237" s="520"/>
      <c r="AC237" s="520"/>
      <c r="AD237" s="520"/>
      <c r="AE237" s="520"/>
    </row>
    <row r="238" spans="2:31" s="204" customFormat="1" x14ac:dyDescent="0.25">
      <c r="B238" s="273" t="s">
        <v>533</v>
      </c>
      <c r="C238" s="273" t="s">
        <v>534</v>
      </c>
      <c r="D238" s="264" t="s">
        <v>3198</v>
      </c>
      <c r="E238" s="264"/>
      <c r="F238" s="264"/>
      <c r="G238" s="265"/>
      <c r="H238" s="266"/>
      <c r="I238" s="281"/>
      <c r="J238" s="281"/>
      <c r="K238" s="281"/>
      <c r="L238" s="295" t="s">
        <v>3199</v>
      </c>
      <c r="M238" s="284" t="s">
        <v>2962</v>
      </c>
      <c r="N238" s="269">
        <f>+R238+T238-U238</f>
        <v>114831536</v>
      </c>
      <c r="O238" s="270">
        <f>+N238+S238+X238+ABS(Y238)-ABS(AA238)+ABS(Z238)+ABS(AB238)+ABS(AD238)-ABS(AE238)+AC238+W238+Q238</f>
        <v>115763408</v>
      </c>
      <c r="P238" s="271">
        <f>+O238-N238</f>
        <v>931872</v>
      </c>
      <c r="Q238" s="520"/>
      <c r="R238" s="354">
        <f>IF(ISERROR(VLOOKUP("SAN"&amp;$C238,ESTR_PREC_SP!$A$2:$G$2000,4,FALSE))=TRUE,0,VLOOKUP("SAN"&amp;$C238,ESTR_PREC_SP!$A$2:$G$2000,4,FALSE))</f>
        <v>114831536</v>
      </c>
      <c r="S238" s="521"/>
      <c r="T238" s="521"/>
      <c r="U238" s="521"/>
      <c r="W238" s="520"/>
      <c r="X238" s="520"/>
      <c r="Y238" s="520"/>
      <c r="Z238" s="520"/>
      <c r="AA238" s="520"/>
      <c r="AB238" s="520"/>
      <c r="AC238" s="520"/>
      <c r="AD238" s="520">
        <v>931872</v>
      </c>
      <c r="AE238" s="520"/>
    </row>
    <row r="239" spans="2:31" s="204" customFormat="1" x14ac:dyDescent="0.25">
      <c r="B239" s="273" t="s">
        <v>536</v>
      </c>
      <c r="C239" s="273" t="s">
        <v>537</v>
      </c>
      <c r="D239" s="264" t="s">
        <v>3200</v>
      </c>
      <c r="E239" s="264"/>
      <c r="F239" s="274"/>
      <c r="G239" s="283"/>
      <c r="H239" s="266"/>
      <c r="I239" s="281"/>
      <c r="J239" s="281"/>
      <c r="K239" s="281"/>
      <c r="L239" s="295" t="s">
        <v>3201</v>
      </c>
      <c r="M239" s="284" t="s">
        <v>2962</v>
      </c>
      <c r="N239" s="269">
        <f>+R239+T239-U239</f>
        <v>42406</v>
      </c>
      <c r="O239" s="270">
        <f>+N239+S239+X239+ABS(Y239)-ABS(AA239)+ABS(Z239)+ABS(AB239)+ABS(AD239)-ABS(AE239)+AC239+W239+Q239</f>
        <v>42406</v>
      </c>
      <c r="P239" s="271">
        <f>+O239-N239</f>
        <v>0</v>
      </c>
      <c r="Q239" s="520"/>
      <c r="R239" s="354">
        <f>IF(ISERROR(VLOOKUP("SAN"&amp;$C239,ESTR_PREC_SP!$A$2:$G$2000,4,FALSE))=TRUE,0,VLOOKUP("SAN"&amp;$C239,ESTR_PREC_SP!$A$2:$G$2000,4,FALSE))</f>
        <v>42406</v>
      </c>
      <c r="S239" s="521"/>
      <c r="T239" s="521"/>
      <c r="U239" s="521"/>
      <c r="W239" s="520"/>
      <c r="X239" s="520"/>
      <c r="Y239" s="520"/>
      <c r="Z239" s="520"/>
      <c r="AA239" s="520"/>
      <c r="AB239" s="520"/>
      <c r="AC239" s="520"/>
      <c r="AD239" s="520"/>
      <c r="AE239" s="520"/>
    </row>
    <row r="240" spans="2:31" s="204" customFormat="1" x14ac:dyDescent="0.25">
      <c r="B240" s="273" t="s">
        <v>539</v>
      </c>
      <c r="C240" s="273" t="s">
        <v>540</v>
      </c>
      <c r="D240" s="264" t="s">
        <v>3202</v>
      </c>
      <c r="E240" s="264"/>
      <c r="F240" s="274"/>
      <c r="G240" s="283"/>
      <c r="H240" s="266"/>
      <c r="I240" s="281"/>
      <c r="J240" s="281"/>
      <c r="K240" s="281"/>
      <c r="L240" s="295" t="s">
        <v>3203</v>
      </c>
      <c r="M240" s="284" t="s">
        <v>2962</v>
      </c>
      <c r="N240" s="269">
        <f>+R240+T240-U240</f>
        <v>7538</v>
      </c>
      <c r="O240" s="270">
        <f>+N240+S240+X240+ABS(Y240)-ABS(AA240)+ABS(Z240)+ABS(AB240)+ABS(AD240)-ABS(AE240)+AC240+W240+Q240</f>
        <v>11625</v>
      </c>
      <c r="P240" s="271">
        <f>+O240-N240</f>
        <v>4087</v>
      </c>
      <c r="Q240" s="520"/>
      <c r="R240" s="354">
        <f>IF(ISERROR(VLOOKUP("SAN"&amp;$C240,ESTR_PREC_SP!$A$2:$G$2000,4,FALSE))=TRUE,0,VLOOKUP("SAN"&amp;$C240,ESTR_PREC_SP!$A$2:$G$2000,4,FALSE))</f>
        <v>7538</v>
      </c>
      <c r="S240" s="521"/>
      <c r="T240" s="521"/>
      <c r="U240" s="521"/>
      <c r="W240" s="520"/>
      <c r="X240" s="520"/>
      <c r="Y240" s="520"/>
      <c r="Z240" s="520"/>
      <c r="AA240" s="520"/>
      <c r="AB240" s="520">
        <v>4087</v>
      </c>
      <c r="AC240" s="520"/>
      <c r="AD240" s="520"/>
      <c r="AE240" s="520"/>
    </row>
    <row r="241" spans="2:31" s="204" customFormat="1" x14ac:dyDescent="0.25">
      <c r="B241" s="293"/>
      <c r="C241" s="293"/>
      <c r="D241" s="230"/>
      <c r="E241" s="230"/>
      <c r="F241" s="230"/>
      <c r="G241" s="230"/>
      <c r="H241" s="231"/>
      <c r="I241" s="230"/>
      <c r="J241" s="230"/>
      <c r="K241" s="230"/>
      <c r="L241" s="296"/>
      <c r="M241" s="240"/>
      <c r="N241" s="254"/>
      <c r="O241" s="211"/>
      <c r="P241" s="211"/>
      <c r="Q241" s="211"/>
      <c r="R241" s="211"/>
      <c r="S241" s="211"/>
      <c r="T241" s="240"/>
      <c r="U241" s="240"/>
      <c r="V241" s="240"/>
      <c r="W241" s="240"/>
      <c r="X241" s="240"/>
      <c r="Y241" s="240"/>
      <c r="Z241" s="240"/>
      <c r="AA241" s="240"/>
    </row>
    <row r="242" spans="2:31" s="204" customFormat="1" x14ac:dyDescent="0.25">
      <c r="B242" s="292" t="s">
        <v>542</v>
      </c>
      <c r="C242" s="292" t="s">
        <v>543</v>
      </c>
      <c r="D242" s="247" t="s">
        <v>3204</v>
      </c>
      <c r="E242" s="247"/>
      <c r="F242" s="247"/>
      <c r="G242" s="247"/>
      <c r="H242" s="248"/>
      <c r="I242" s="247"/>
      <c r="J242" s="247"/>
      <c r="K242" s="249"/>
      <c r="L242" s="276" t="s">
        <v>545</v>
      </c>
      <c r="M242" s="251" t="s">
        <v>2962</v>
      </c>
      <c r="N242" s="252">
        <f>SUM(N245:N248)</f>
        <v>83531361</v>
      </c>
      <c r="O242" s="252">
        <f>SUM(O245:O248)</f>
        <v>89537767</v>
      </c>
      <c r="P242" s="259">
        <f>+O242-N242</f>
        <v>6006406</v>
      </c>
      <c r="Q242" s="252">
        <f>SUM(Q245:Q248)</f>
        <v>0</v>
      </c>
      <c r="R242" s="252">
        <f>SUM(R245:R248)</f>
        <v>83531361</v>
      </c>
      <c r="S242" s="252">
        <f>SUM(S245:S248)</f>
        <v>0</v>
      </c>
      <c r="T242" s="211"/>
      <c r="U242" s="211"/>
      <c r="V242" s="211"/>
      <c r="W242" s="252">
        <f>SUM(W245:W248)</f>
        <v>0</v>
      </c>
      <c r="X242" s="252">
        <f>SUM(X245:X248)</f>
        <v>0</v>
      </c>
      <c r="Y242" s="252">
        <f>SUM(Y245:Y248)</f>
        <v>0</v>
      </c>
      <c r="Z242" s="252">
        <f>SUM(Z245:Z248)</f>
        <v>6006406</v>
      </c>
      <c r="AA242" s="240"/>
    </row>
    <row r="243" spans="2:31" s="204" customFormat="1" x14ac:dyDescent="0.25">
      <c r="B243" s="293"/>
      <c r="C243" s="293"/>
      <c r="D243" s="230"/>
      <c r="E243" s="230"/>
      <c r="F243" s="230"/>
      <c r="G243" s="230"/>
      <c r="H243" s="231"/>
      <c r="I243" s="230"/>
      <c r="J243" s="230"/>
      <c r="K243" s="230"/>
      <c r="L243" s="277"/>
      <c r="M243" s="211"/>
      <c r="N243" s="254"/>
      <c r="O243" s="211"/>
      <c r="P243" s="211"/>
      <c r="Q243" s="211"/>
      <c r="R243" s="211"/>
      <c r="S243" s="211"/>
      <c r="T243" s="211"/>
      <c r="U243" s="211"/>
      <c r="V243" s="211"/>
      <c r="W243" s="240"/>
      <c r="X243" s="240"/>
      <c r="Y243" s="240"/>
      <c r="Z243" s="240"/>
      <c r="AA243" s="240"/>
    </row>
    <row r="244" spans="2:31" s="204" customFormat="1" ht="51" x14ac:dyDescent="0.25">
      <c r="B244" s="294" t="s">
        <v>2968</v>
      </c>
      <c r="C244" s="294" t="s">
        <v>2969</v>
      </c>
      <c r="D244" s="206" t="s">
        <v>72</v>
      </c>
      <c r="E244" s="206"/>
      <c r="F244" s="206"/>
      <c r="G244" s="207"/>
      <c r="H244" s="207"/>
      <c r="I244" s="207"/>
      <c r="J244" s="207" t="s">
        <v>2957</v>
      </c>
      <c r="K244" s="206" t="s">
        <v>82</v>
      </c>
      <c r="L244" s="261" t="s">
        <v>2970</v>
      </c>
      <c r="M244" s="260"/>
      <c r="N244" s="256" t="str">
        <f>N$15</f>
        <v>Valore netto al 31/12/2019</v>
      </c>
      <c r="O244" s="256" t="str">
        <f>O$15</f>
        <v>Valore netto al 31/12/2020</v>
      </c>
      <c r="P244" s="256" t="str">
        <f>P$15</f>
        <v>Variazione</v>
      </c>
      <c r="Q244" s="262" t="s">
        <v>2971</v>
      </c>
      <c r="R244" s="262" t="str">
        <f>"Fondo ammortamento 31/12/"&amp;Info!$B$3-1</f>
        <v>Fondo ammortamento 31/12/2019</v>
      </c>
      <c r="S244" s="262" t="s">
        <v>2972</v>
      </c>
      <c r="W244" s="262" t="s">
        <v>2975</v>
      </c>
      <c r="X244" s="262" t="s">
        <v>2976</v>
      </c>
      <c r="Y244" s="262" t="s">
        <v>2989</v>
      </c>
      <c r="Z244" s="262" t="s">
        <v>2990</v>
      </c>
      <c r="AA244" s="240"/>
    </row>
    <row r="245" spans="2:31" s="204" customFormat="1" ht="25.5" x14ac:dyDescent="0.25">
      <c r="B245" s="273" t="s">
        <v>546</v>
      </c>
      <c r="C245" s="273" t="s">
        <v>547</v>
      </c>
      <c r="D245" s="264" t="s">
        <v>3205</v>
      </c>
      <c r="E245" s="264"/>
      <c r="F245" s="264"/>
      <c r="G245" s="265"/>
      <c r="H245" s="266"/>
      <c r="I245" s="281"/>
      <c r="J245" s="281"/>
      <c r="K245" s="281"/>
      <c r="L245" s="295" t="s">
        <v>3206</v>
      </c>
      <c r="M245" s="284" t="s">
        <v>2962</v>
      </c>
      <c r="N245" s="269">
        <f>+R245</f>
        <v>18880695</v>
      </c>
      <c r="O245" s="270">
        <f>+R245+S245+X245-ABS(Y245)+ABS(Z245)+W245+Q245</f>
        <v>20781405</v>
      </c>
      <c r="P245" s="271">
        <f>+O245-N245</f>
        <v>1900710</v>
      </c>
      <c r="Q245" s="520"/>
      <c r="R245" s="354">
        <f>IF(ISERROR(VLOOKUP("SAN"&amp;$C245,ESTR_PREC_SP!$A$2:$G$2000,4,FALSE))=TRUE,0,VLOOKUP("SAN"&amp;$C245,ESTR_PREC_SP!$A$2:$G$2000,4,FALSE))</f>
        <v>18880695</v>
      </c>
      <c r="S245" s="521"/>
      <c r="V245" s="211"/>
      <c r="W245" s="520"/>
      <c r="X245" s="520"/>
      <c r="Y245" s="520"/>
      <c r="Z245" s="520">
        <v>1900710</v>
      </c>
      <c r="AA245" s="240"/>
    </row>
    <row r="246" spans="2:31" s="204" customFormat="1" x14ac:dyDescent="0.25">
      <c r="B246" s="273" t="s">
        <v>549</v>
      </c>
      <c r="C246" s="273" t="s">
        <v>550</v>
      </c>
      <c r="D246" s="264" t="s">
        <v>3207</v>
      </c>
      <c r="E246" s="264"/>
      <c r="F246" s="264"/>
      <c r="G246" s="265"/>
      <c r="H246" s="266"/>
      <c r="I246" s="281"/>
      <c r="J246" s="281"/>
      <c r="K246" s="281"/>
      <c r="L246" s="295" t="s">
        <v>3208</v>
      </c>
      <c r="M246" s="284" t="s">
        <v>2962</v>
      </c>
      <c r="N246" s="269">
        <f>+R246</f>
        <v>64606002</v>
      </c>
      <c r="O246" s="270">
        <f>+R246+S246+X246-ABS(Y246)+ABS(Z246)+W246+Q246</f>
        <v>68709977</v>
      </c>
      <c r="P246" s="271">
        <f>+O246-N246</f>
        <v>4103975</v>
      </c>
      <c r="Q246" s="520"/>
      <c r="R246" s="354">
        <f>IF(ISERROR(VLOOKUP("SAN"&amp;$C246,ESTR_PREC_SP!$A$2:$G$2000,4,FALSE))=TRUE,0,VLOOKUP("SAN"&amp;$C246,ESTR_PREC_SP!$A$2:$G$2000,4,FALSE))</f>
        <v>64606002</v>
      </c>
      <c r="S246" s="521"/>
      <c r="V246" s="211"/>
      <c r="W246" s="520"/>
      <c r="X246" s="520"/>
      <c r="Y246" s="520"/>
      <c r="Z246" s="520">
        <f>4103974+1</f>
        <v>4103975</v>
      </c>
      <c r="AA246" s="240"/>
    </row>
    <row r="247" spans="2:31" s="204" customFormat="1" ht="25.5" x14ac:dyDescent="0.25">
      <c r="B247" s="273" t="s">
        <v>552</v>
      </c>
      <c r="C247" s="273" t="s">
        <v>553</v>
      </c>
      <c r="D247" s="264" t="s">
        <v>3209</v>
      </c>
      <c r="E247" s="264"/>
      <c r="F247" s="274"/>
      <c r="G247" s="283"/>
      <c r="H247" s="266"/>
      <c r="I247" s="281"/>
      <c r="J247" s="281"/>
      <c r="K247" s="281"/>
      <c r="L247" s="295" t="s">
        <v>3210</v>
      </c>
      <c r="M247" s="284" t="s">
        <v>2962</v>
      </c>
      <c r="N247" s="269">
        <f>+R247</f>
        <v>39638</v>
      </c>
      <c r="O247" s="270">
        <f>+R247+S247+X247-ABS(Y247)+ABS(Z247)+W247+Q247</f>
        <v>40469</v>
      </c>
      <c r="P247" s="271">
        <f>+O247-N247</f>
        <v>831</v>
      </c>
      <c r="Q247" s="520"/>
      <c r="R247" s="354">
        <f>IF(ISERROR(VLOOKUP("SAN"&amp;$C247,ESTR_PREC_SP!$A$2:$G$2000,4,FALSE))=TRUE,0,VLOOKUP("SAN"&amp;$C247,ESTR_PREC_SP!$A$2:$G$2000,4,FALSE))</f>
        <v>39638</v>
      </c>
      <c r="S247" s="521"/>
      <c r="V247" s="211"/>
      <c r="W247" s="520"/>
      <c r="X247" s="520"/>
      <c r="Y247" s="520"/>
      <c r="Z247" s="520">
        <v>831</v>
      </c>
      <c r="AA247" s="240"/>
    </row>
    <row r="248" spans="2:31" s="204" customFormat="1" x14ac:dyDescent="0.25">
      <c r="B248" s="273" t="s">
        <v>555</v>
      </c>
      <c r="C248" s="273" t="s">
        <v>556</v>
      </c>
      <c r="D248" s="264" t="s">
        <v>3211</v>
      </c>
      <c r="E248" s="264"/>
      <c r="F248" s="274"/>
      <c r="G248" s="283"/>
      <c r="H248" s="266"/>
      <c r="I248" s="281"/>
      <c r="J248" s="281"/>
      <c r="K248" s="281"/>
      <c r="L248" s="295" t="s">
        <v>3212</v>
      </c>
      <c r="M248" s="284" t="s">
        <v>2962</v>
      </c>
      <c r="N248" s="269">
        <f>+R248</f>
        <v>5026</v>
      </c>
      <c r="O248" s="270">
        <f>+R248+S248+X248-ABS(Y248)+ABS(Z248)+W248+Q248</f>
        <v>5916</v>
      </c>
      <c r="P248" s="271">
        <f>+O248-N248</f>
        <v>890</v>
      </c>
      <c r="Q248" s="520"/>
      <c r="R248" s="354">
        <f>IF(ISERROR(VLOOKUP("SAN"&amp;$C248,ESTR_PREC_SP!$A$2:$G$2000,4,FALSE))=TRUE,0,VLOOKUP("SAN"&amp;$C248,ESTR_PREC_SP!$A$2:$G$2000,4,FALSE))</f>
        <v>5026</v>
      </c>
      <c r="S248" s="521"/>
      <c r="V248" s="211"/>
      <c r="W248" s="520"/>
      <c r="X248" s="520"/>
      <c r="Y248" s="520"/>
      <c r="Z248" s="520">
        <v>890</v>
      </c>
      <c r="AA248" s="240"/>
    </row>
    <row r="249" spans="2:31" s="204" customFormat="1" x14ac:dyDescent="0.25">
      <c r="B249" s="293"/>
      <c r="C249" s="293"/>
      <c r="D249" s="230"/>
      <c r="E249" s="230"/>
      <c r="F249" s="230"/>
      <c r="G249" s="230"/>
      <c r="H249" s="231"/>
      <c r="I249" s="230"/>
      <c r="J249" s="230"/>
      <c r="K249" s="230"/>
      <c r="L249" s="275"/>
      <c r="M249" s="216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</row>
    <row r="250" spans="2:31" s="204" customFormat="1" ht="25.5" x14ac:dyDescent="0.25">
      <c r="B250" s="293"/>
      <c r="C250" s="293"/>
      <c r="D250" s="230"/>
      <c r="E250" s="230"/>
      <c r="F250" s="230"/>
      <c r="G250" s="230"/>
      <c r="H250" s="231"/>
      <c r="I250" s="230"/>
      <c r="J250" s="230"/>
      <c r="K250" s="230"/>
      <c r="L250" s="255"/>
      <c r="M250" s="244"/>
      <c r="N250" s="256" t="str">
        <f>N$15</f>
        <v>Valore netto al 31/12/2019</v>
      </c>
      <c r="O250" s="256" t="str">
        <f>O$15</f>
        <v>Valore netto al 31/12/2020</v>
      </c>
      <c r="P250" s="256" t="str">
        <f>P$15</f>
        <v>Variazione</v>
      </c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</row>
    <row r="251" spans="2:31" s="204" customFormat="1" x14ac:dyDescent="0.25">
      <c r="B251" s="292" t="s">
        <v>558</v>
      </c>
      <c r="C251" s="292" t="s">
        <v>559</v>
      </c>
      <c r="D251" s="247" t="s">
        <v>3213</v>
      </c>
      <c r="E251" s="247"/>
      <c r="F251" s="247"/>
      <c r="G251" s="247"/>
      <c r="H251" s="248"/>
      <c r="I251" s="247"/>
      <c r="J251" s="247"/>
      <c r="K251" s="249"/>
      <c r="L251" s="257" t="s">
        <v>561</v>
      </c>
      <c r="M251" s="251" t="s">
        <v>2962</v>
      </c>
      <c r="N251" s="252">
        <f>+N253-N271</f>
        <v>9616340</v>
      </c>
      <c r="O251" s="252">
        <f>+O253-O271</f>
        <v>7839531</v>
      </c>
      <c r="P251" s="253">
        <f>+O251-N251</f>
        <v>-1776809</v>
      </c>
      <c r="Q251" s="285"/>
      <c r="R251" s="285"/>
      <c r="S251" s="252">
        <f>+S253-S271</f>
        <v>0</v>
      </c>
      <c r="T251" s="285"/>
      <c r="U251" s="285"/>
      <c r="V251" s="285"/>
      <c r="W251" s="211"/>
      <c r="X251" s="252">
        <f>+X253-X271</f>
        <v>0</v>
      </c>
      <c r="Y251" s="285"/>
      <c r="Z251" s="285"/>
      <c r="AA251" s="285"/>
    </row>
    <row r="252" spans="2:31" s="204" customFormat="1" x14ac:dyDescent="0.25">
      <c r="B252" s="293"/>
      <c r="C252" s="293"/>
      <c r="D252" s="230"/>
      <c r="E252" s="230"/>
      <c r="F252" s="230"/>
      <c r="G252" s="230"/>
      <c r="H252" s="231"/>
      <c r="I252" s="230"/>
      <c r="J252" s="230"/>
      <c r="K252" s="230"/>
      <c r="L252" s="275"/>
      <c r="M252" s="216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</row>
    <row r="253" spans="2:31" s="204" customFormat="1" x14ac:dyDescent="0.25">
      <c r="B253" s="292" t="s">
        <v>562</v>
      </c>
      <c r="C253" s="292" t="s">
        <v>563</v>
      </c>
      <c r="D253" s="247" t="s">
        <v>3214</v>
      </c>
      <c r="E253" s="247"/>
      <c r="F253" s="247"/>
      <c r="G253" s="247"/>
      <c r="H253" s="248"/>
      <c r="I253" s="247"/>
      <c r="J253" s="247"/>
      <c r="K253" s="249"/>
      <c r="L253" s="276" t="s">
        <v>566</v>
      </c>
      <c r="M253" s="251" t="s">
        <v>2962</v>
      </c>
      <c r="N253" s="252">
        <f>SUM(N256:N269)</f>
        <v>55131929</v>
      </c>
      <c r="O253" s="252">
        <f>SUM(O256:O269)</f>
        <v>56057963</v>
      </c>
      <c r="P253" s="259">
        <f>+O253-N253</f>
        <v>926034</v>
      </c>
      <c r="Q253" s="252">
        <f>SUM(Q256:Q269)</f>
        <v>0</v>
      </c>
      <c r="R253" s="252">
        <f>SUM(R256:R269)</f>
        <v>55131929</v>
      </c>
      <c r="S253" s="252">
        <f>SUM(T256:T269)</f>
        <v>0</v>
      </c>
      <c r="T253" s="252">
        <f>SUM(U256:U269)</f>
        <v>0</v>
      </c>
      <c r="U253" s="252">
        <f>SUM(V256:V269)</f>
        <v>0</v>
      </c>
      <c r="W253" s="252">
        <f t="shared" ref="W253:AE253" si="26">SUM(W256:W269)</f>
        <v>0</v>
      </c>
      <c r="X253" s="252">
        <f t="shared" si="26"/>
        <v>0</v>
      </c>
      <c r="Y253" s="252">
        <f t="shared" si="26"/>
        <v>0</v>
      </c>
      <c r="Z253" s="252">
        <f t="shared" si="26"/>
        <v>0</v>
      </c>
      <c r="AA253" s="252">
        <f t="shared" si="26"/>
        <v>0</v>
      </c>
      <c r="AB253" s="252">
        <f t="shared" si="26"/>
        <v>0</v>
      </c>
      <c r="AC253" s="252">
        <f t="shared" si="26"/>
        <v>1198284</v>
      </c>
      <c r="AD253" s="252">
        <f t="shared" si="26"/>
        <v>0</v>
      </c>
      <c r="AE253" s="252">
        <f t="shared" si="26"/>
        <v>272250</v>
      </c>
    </row>
    <row r="254" spans="2:31" s="204" customFormat="1" x14ac:dyDescent="0.25">
      <c r="B254" s="293"/>
      <c r="C254" s="293"/>
      <c r="D254" s="230"/>
      <c r="E254" s="230"/>
      <c r="F254" s="230"/>
      <c r="G254" s="230"/>
      <c r="H254" s="231"/>
      <c r="I254" s="230"/>
      <c r="J254" s="230"/>
      <c r="K254" s="230"/>
      <c r="L254" s="232"/>
      <c r="M254" s="211"/>
      <c r="N254" s="254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</row>
    <row r="255" spans="2:31" s="204" customFormat="1" ht="51" x14ac:dyDescent="0.25">
      <c r="B255" s="294" t="s">
        <v>2968</v>
      </c>
      <c r="C255" s="294" t="s">
        <v>2969</v>
      </c>
      <c r="D255" s="206" t="s">
        <v>72</v>
      </c>
      <c r="E255" s="206"/>
      <c r="F255" s="206"/>
      <c r="G255" s="207"/>
      <c r="H255" s="207"/>
      <c r="I255" s="207"/>
      <c r="J255" s="207" t="s">
        <v>2957</v>
      </c>
      <c r="K255" s="206" t="s">
        <v>82</v>
      </c>
      <c r="L255" s="261" t="s">
        <v>2970</v>
      </c>
      <c r="M255" s="260"/>
      <c r="N255" s="256" t="str">
        <f>N$15</f>
        <v>Valore netto al 31/12/2019</v>
      </c>
      <c r="O255" s="256" t="str">
        <f>O$15</f>
        <v>Valore netto al 31/12/2020</v>
      </c>
      <c r="P255" s="256" t="str">
        <f>P$15</f>
        <v>Variazione</v>
      </c>
      <c r="Q255" s="262" t="s">
        <v>2971</v>
      </c>
      <c r="R255" s="262" t="str">
        <f>"Costo storico al 31/12/"&amp;Info!$B$3-1</f>
        <v>Costo storico al 31/12/2019</v>
      </c>
      <c r="S255" s="262" t="s">
        <v>2972</v>
      </c>
      <c r="T255" s="262" t="s">
        <v>2973</v>
      </c>
      <c r="U255" s="262" t="s">
        <v>2974</v>
      </c>
      <c r="W255" s="262" t="s">
        <v>2975</v>
      </c>
      <c r="X255" s="262" t="s">
        <v>2976</v>
      </c>
      <c r="Y255" s="262" t="s">
        <v>2977</v>
      </c>
      <c r="Z255" s="262" t="s">
        <v>2978</v>
      </c>
      <c r="AA255" s="262" t="s">
        <v>2979</v>
      </c>
      <c r="AB255" s="262" t="s">
        <v>2980</v>
      </c>
      <c r="AC255" s="262" t="s">
        <v>2981</v>
      </c>
      <c r="AD255" s="262" t="s">
        <v>2982</v>
      </c>
      <c r="AE255" s="262" t="s">
        <v>2983</v>
      </c>
    </row>
    <row r="256" spans="2:31" s="204" customFormat="1" x14ac:dyDescent="0.25">
      <c r="B256" s="273" t="s">
        <v>567</v>
      </c>
      <c r="C256" s="273" t="s">
        <v>568</v>
      </c>
      <c r="D256" s="264" t="s">
        <v>3215</v>
      </c>
      <c r="E256" s="264"/>
      <c r="F256" s="264"/>
      <c r="G256" s="265"/>
      <c r="H256" s="266"/>
      <c r="I256" s="281"/>
      <c r="J256" s="281"/>
      <c r="K256" s="281"/>
      <c r="L256" s="282" t="s">
        <v>3216</v>
      </c>
      <c r="M256" s="263" t="s">
        <v>2962</v>
      </c>
      <c r="N256" s="269">
        <f t="shared" ref="N256:N269" si="27">+R256+T256-U256</f>
        <v>2474536</v>
      </c>
      <c r="O256" s="270">
        <f t="shared" ref="O256:O269" si="28">+N256+S256+X256+ABS(Y256)-ABS(AA256)+ABS(Z256)+ABS(AB256)+ABS(AD256)-ABS(AE256)+AC256+W256+Q256</f>
        <v>2474536</v>
      </c>
      <c r="P256" s="271">
        <f t="shared" ref="P256:P269" si="29">+O256-N256</f>
        <v>0</v>
      </c>
      <c r="Q256" s="520"/>
      <c r="R256" s="354">
        <f>IF(ISERROR(VLOOKUP("SAN"&amp;$C256,ESTR_PREC_SP!$A$2:$G$2000,4,FALSE))=TRUE,0,VLOOKUP("SAN"&amp;$C256,ESTR_PREC_SP!$A$2:$G$2000,4,FALSE))</f>
        <v>2474536</v>
      </c>
      <c r="S256" s="521"/>
      <c r="T256" s="521"/>
      <c r="U256" s="521"/>
      <c r="W256" s="520"/>
      <c r="X256" s="520"/>
      <c r="Y256" s="520"/>
      <c r="Z256" s="520"/>
      <c r="AA256" s="520"/>
      <c r="AB256" s="520"/>
      <c r="AC256" s="520"/>
      <c r="AD256" s="520"/>
      <c r="AE256" s="520"/>
    </row>
    <row r="257" spans="2:31" s="204" customFormat="1" x14ac:dyDescent="0.25">
      <c r="B257" s="273" t="s">
        <v>570</v>
      </c>
      <c r="C257" s="273" t="s">
        <v>571</v>
      </c>
      <c r="D257" s="264" t="s">
        <v>3217</v>
      </c>
      <c r="E257" s="264"/>
      <c r="F257" s="264"/>
      <c r="G257" s="265"/>
      <c r="H257" s="266"/>
      <c r="I257" s="281"/>
      <c r="J257" s="281"/>
      <c r="K257" s="281"/>
      <c r="L257" s="282" t="s">
        <v>3218</v>
      </c>
      <c r="M257" s="263" t="s">
        <v>2962</v>
      </c>
      <c r="N257" s="269">
        <f t="shared" si="27"/>
        <v>18659336</v>
      </c>
      <c r="O257" s="270">
        <f t="shared" si="28"/>
        <v>18654338</v>
      </c>
      <c r="P257" s="271">
        <f t="shared" si="29"/>
        <v>-4998</v>
      </c>
      <c r="Q257" s="520"/>
      <c r="R257" s="354">
        <f>IF(ISERROR(VLOOKUP("SAN"&amp;$C257,ESTR_PREC_SP!$A$2:$G$2000,4,FALSE))=TRUE,0,VLOOKUP("SAN"&amp;$C257,ESTR_PREC_SP!$A$2:$G$2000,4,FALSE))</f>
        <v>18659336</v>
      </c>
      <c r="S257" s="521"/>
      <c r="T257" s="521"/>
      <c r="U257" s="521"/>
      <c r="W257" s="520"/>
      <c r="X257" s="520"/>
      <c r="Y257" s="520"/>
      <c r="Z257" s="520"/>
      <c r="AA257" s="520"/>
      <c r="AB257" s="520"/>
      <c r="AC257" s="520">
        <v>267252</v>
      </c>
      <c r="AD257" s="520"/>
      <c r="AE257" s="520">
        <v>272250</v>
      </c>
    </row>
    <row r="258" spans="2:31" s="204" customFormat="1" x14ac:dyDescent="0.25">
      <c r="B258" s="273" t="s">
        <v>573</v>
      </c>
      <c r="C258" s="273" t="s">
        <v>574</v>
      </c>
      <c r="D258" s="264" t="s">
        <v>3219</v>
      </c>
      <c r="E258" s="264"/>
      <c r="F258" s="274"/>
      <c r="G258" s="283"/>
      <c r="H258" s="266"/>
      <c r="I258" s="281"/>
      <c r="J258" s="281"/>
      <c r="K258" s="281"/>
      <c r="L258" s="295" t="s">
        <v>3220</v>
      </c>
      <c r="M258" s="284" t="s">
        <v>2962</v>
      </c>
      <c r="N258" s="269">
        <f t="shared" si="27"/>
        <v>10101311</v>
      </c>
      <c r="O258" s="270">
        <f t="shared" si="28"/>
        <v>10101311</v>
      </c>
      <c r="P258" s="271">
        <f t="shared" si="29"/>
        <v>0</v>
      </c>
      <c r="Q258" s="520"/>
      <c r="R258" s="354">
        <f>IF(ISERROR(VLOOKUP("SAN"&amp;$C258,ESTR_PREC_SP!$A$2:$G$2000,4,FALSE))=TRUE,0,VLOOKUP("SAN"&amp;$C258,ESTR_PREC_SP!$A$2:$G$2000,4,FALSE))</f>
        <v>10101311</v>
      </c>
      <c r="S258" s="521"/>
      <c r="T258" s="521"/>
      <c r="U258" s="521"/>
      <c r="W258" s="520"/>
      <c r="X258" s="520"/>
      <c r="Y258" s="520"/>
      <c r="Z258" s="520"/>
      <c r="AA258" s="520"/>
      <c r="AB258" s="520"/>
      <c r="AC258" s="520"/>
      <c r="AD258" s="520"/>
      <c r="AE258" s="520"/>
    </row>
    <row r="259" spans="2:31" s="204" customFormat="1" x14ac:dyDescent="0.25">
      <c r="B259" s="273" t="s">
        <v>576</v>
      </c>
      <c r="C259" s="273" t="s">
        <v>577</v>
      </c>
      <c r="D259" s="264" t="s">
        <v>3221</v>
      </c>
      <c r="E259" s="264"/>
      <c r="F259" s="274"/>
      <c r="G259" s="283"/>
      <c r="H259" s="266"/>
      <c r="I259" s="281"/>
      <c r="J259" s="281"/>
      <c r="K259" s="281"/>
      <c r="L259" s="295" t="s">
        <v>3222</v>
      </c>
      <c r="M259" s="284" t="s">
        <v>2962</v>
      </c>
      <c r="N259" s="269">
        <f t="shared" si="27"/>
        <v>7600499</v>
      </c>
      <c r="O259" s="270">
        <f t="shared" si="28"/>
        <v>8479915</v>
      </c>
      <c r="P259" s="271">
        <f t="shared" si="29"/>
        <v>879416</v>
      </c>
      <c r="Q259" s="520"/>
      <c r="R259" s="354">
        <f>IF(ISERROR(VLOOKUP("SAN"&amp;$C259,ESTR_PREC_SP!$A$2:$G$2000,4,FALSE))=TRUE,0,VLOOKUP("SAN"&amp;$C259,ESTR_PREC_SP!$A$2:$G$2000,4,FALSE))</f>
        <v>7600499</v>
      </c>
      <c r="S259" s="521"/>
      <c r="T259" s="521"/>
      <c r="U259" s="521"/>
      <c r="W259" s="520"/>
      <c r="X259" s="520"/>
      <c r="Y259" s="520"/>
      <c r="Z259" s="520"/>
      <c r="AA259" s="520"/>
      <c r="AB259" s="520"/>
      <c r="AC259" s="520">
        <f>222515+656901</f>
        <v>879416</v>
      </c>
      <c r="AD259" s="520"/>
      <c r="AE259" s="520"/>
    </row>
    <row r="260" spans="2:31" s="204" customFormat="1" x14ac:dyDescent="0.25">
      <c r="B260" s="273" t="s">
        <v>579</v>
      </c>
      <c r="C260" s="273" t="s">
        <v>580</v>
      </c>
      <c r="D260" s="264" t="s">
        <v>3223</v>
      </c>
      <c r="E260" s="264"/>
      <c r="F260" s="274"/>
      <c r="G260" s="283"/>
      <c r="H260" s="266"/>
      <c r="I260" s="281"/>
      <c r="J260" s="281"/>
      <c r="K260" s="281"/>
      <c r="L260" s="295" t="s">
        <v>3224</v>
      </c>
      <c r="M260" s="284" t="s">
        <v>2962</v>
      </c>
      <c r="N260" s="269">
        <f t="shared" si="27"/>
        <v>501864</v>
      </c>
      <c r="O260" s="270">
        <f t="shared" si="28"/>
        <v>501864</v>
      </c>
      <c r="P260" s="271">
        <f t="shared" si="29"/>
        <v>0</v>
      </c>
      <c r="Q260" s="520"/>
      <c r="R260" s="354">
        <f>IF(ISERROR(VLOOKUP("SAN"&amp;$C260,ESTR_PREC_SP!$A$2:$G$2000,4,FALSE))=TRUE,0,VLOOKUP("SAN"&amp;$C260,ESTR_PREC_SP!$A$2:$G$2000,4,FALSE))</f>
        <v>501864</v>
      </c>
      <c r="S260" s="521"/>
      <c r="T260" s="521"/>
      <c r="U260" s="521"/>
      <c r="W260" s="520"/>
      <c r="X260" s="520"/>
      <c r="Y260" s="520"/>
      <c r="Z260" s="520"/>
      <c r="AA260" s="520"/>
      <c r="AB260" s="520"/>
      <c r="AC260" s="520"/>
      <c r="AD260" s="520"/>
      <c r="AE260" s="520"/>
    </row>
    <row r="261" spans="2:31" s="204" customFormat="1" x14ac:dyDescent="0.25">
      <c r="B261" s="273" t="s">
        <v>582</v>
      </c>
      <c r="C261" s="273" t="s">
        <v>583</v>
      </c>
      <c r="D261" s="264" t="s">
        <v>3225</v>
      </c>
      <c r="E261" s="264"/>
      <c r="F261" s="274"/>
      <c r="G261" s="283"/>
      <c r="H261" s="266"/>
      <c r="I261" s="281"/>
      <c r="J261" s="281"/>
      <c r="K261" s="281"/>
      <c r="L261" s="295" t="s">
        <v>3226</v>
      </c>
      <c r="M261" s="284" t="s">
        <v>2962</v>
      </c>
      <c r="N261" s="269">
        <f t="shared" si="27"/>
        <v>64143</v>
      </c>
      <c r="O261" s="270">
        <f t="shared" si="28"/>
        <v>112333</v>
      </c>
      <c r="P261" s="271">
        <f t="shared" si="29"/>
        <v>48190</v>
      </c>
      <c r="Q261" s="520"/>
      <c r="R261" s="354">
        <f>IF(ISERROR(VLOOKUP("SAN"&amp;$C261,ESTR_PREC_SP!$A$2:$G$2000,4,FALSE))=TRUE,0,VLOOKUP("SAN"&amp;$C261,ESTR_PREC_SP!$A$2:$G$2000,4,FALSE))</f>
        <v>64143</v>
      </c>
      <c r="S261" s="521"/>
      <c r="T261" s="521"/>
      <c r="U261" s="521"/>
      <c r="W261" s="520"/>
      <c r="X261" s="520"/>
      <c r="Y261" s="520"/>
      <c r="Z261" s="520"/>
      <c r="AA261" s="520"/>
      <c r="AB261" s="520"/>
      <c r="AC261" s="520">
        <v>48190</v>
      </c>
      <c r="AD261" s="520"/>
      <c r="AE261" s="520"/>
    </row>
    <row r="262" spans="2:31" s="204" customFormat="1" x14ac:dyDescent="0.25">
      <c r="B262" s="273" t="s">
        <v>585</v>
      </c>
      <c r="C262" s="273" t="s">
        <v>586</v>
      </c>
      <c r="D262" s="264" t="s">
        <v>3227</v>
      </c>
      <c r="E262" s="264"/>
      <c r="F262" s="274"/>
      <c r="G262" s="283"/>
      <c r="H262" s="266"/>
      <c r="I262" s="281"/>
      <c r="J262" s="281"/>
      <c r="K262" s="281"/>
      <c r="L262" s="295" t="s">
        <v>3228</v>
      </c>
      <c r="M262" s="284" t="s">
        <v>2962</v>
      </c>
      <c r="N262" s="269">
        <f t="shared" si="27"/>
        <v>667936</v>
      </c>
      <c r="O262" s="270">
        <f t="shared" si="28"/>
        <v>667936</v>
      </c>
      <c r="P262" s="271">
        <f t="shared" si="29"/>
        <v>0</v>
      </c>
      <c r="Q262" s="520"/>
      <c r="R262" s="354">
        <f>IF(ISERROR(VLOOKUP("SAN"&amp;$C262,ESTR_PREC_SP!$A$2:$G$2000,4,FALSE))=TRUE,0,VLOOKUP("SAN"&amp;$C262,ESTR_PREC_SP!$A$2:$G$2000,4,FALSE))</f>
        <v>667936</v>
      </c>
      <c r="S262" s="521"/>
      <c r="T262" s="521"/>
      <c r="U262" s="521"/>
      <c r="W262" s="520"/>
      <c r="X262" s="520"/>
      <c r="Y262" s="520"/>
      <c r="Z262" s="520"/>
      <c r="AA262" s="520"/>
      <c r="AB262" s="520"/>
      <c r="AC262" s="520"/>
      <c r="AD262" s="520"/>
      <c r="AE262" s="520"/>
    </row>
    <row r="263" spans="2:31" s="204" customFormat="1" x14ac:dyDescent="0.25">
      <c r="B263" s="273" t="s">
        <v>588</v>
      </c>
      <c r="C263" s="273" t="s">
        <v>589</v>
      </c>
      <c r="D263" s="264" t="s">
        <v>3229</v>
      </c>
      <c r="E263" s="264"/>
      <c r="F263" s="274"/>
      <c r="G263" s="283"/>
      <c r="H263" s="266"/>
      <c r="I263" s="281"/>
      <c r="J263" s="281"/>
      <c r="K263" s="281"/>
      <c r="L263" s="295" t="s">
        <v>3230</v>
      </c>
      <c r="M263" s="284" t="s">
        <v>2962</v>
      </c>
      <c r="N263" s="269">
        <f t="shared" si="27"/>
        <v>448563</v>
      </c>
      <c r="O263" s="270">
        <f t="shared" si="28"/>
        <v>451989</v>
      </c>
      <c r="P263" s="271">
        <f t="shared" si="29"/>
        <v>3426</v>
      </c>
      <c r="Q263" s="520"/>
      <c r="R263" s="354">
        <f>IF(ISERROR(VLOOKUP("SAN"&amp;$C263,ESTR_PREC_SP!$A$2:$G$2000,4,FALSE))=TRUE,0,VLOOKUP("SAN"&amp;$C263,ESTR_PREC_SP!$A$2:$G$2000,4,FALSE))</f>
        <v>448563</v>
      </c>
      <c r="S263" s="521"/>
      <c r="T263" s="521"/>
      <c r="U263" s="521"/>
      <c r="W263" s="520"/>
      <c r="X263" s="520"/>
      <c r="Y263" s="520"/>
      <c r="Z263" s="520"/>
      <c r="AA263" s="520"/>
      <c r="AB263" s="520"/>
      <c r="AC263" s="520">
        <v>3426</v>
      </c>
      <c r="AD263" s="520"/>
      <c r="AE263" s="520"/>
    </row>
    <row r="264" spans="2:31" s="204" customFormat="1" x14ac:dyDescent="0.25">
      <c r="B264" s="273" t="s">
        <v>591</v>
      </c>
      <c r="C264" s="273" t="s">
        <v>592</v>
      </c>
      <c r="D264" s="264" t="s">
        <v>3231</v>
      </c>
      <c r="E264" s="264"/>
      <c r="F264" s="274"/>
      <c r="G264" s="283"/>
      <c r="H264" s="266"/>
      <c r="I264" s="281"/>
      <c r="J264" s="281"/>
      <c r="K264" s="281"/>
      <c r="L264" s="295" t="s">
        <v>3232</v>
      </c>
      <c r="M264" s="284" t="s">
        <v>2962</v>
      </c>
      <c r="N264" s="269">
        <f t="shared" si="27"/>
        <v>1150356</v>
      </c>
      <c r="O264" s="270">
        <f t="shared" si="28"/>
        <v>1150356</v>
      </c>
      <c r="P264" s="271">
        <f t="shared" si="29"/>
        <v>0</v>
      </c>
      <c r="Q264" s="520"/>
      <c r="R264" s="354">
        <f>IF(ISERROR(VLOOKUP("SAN"&amp;$C264,ESTR_PREC_SP!$A$2:$G$2000,4,FALSE))=TRUE,0,VLOOKUP("SAN"&amp;$C264,ESTR_PREC_SP!$A$2:$G$2000,4,FALSE))</f>
        <v>1150356</v>
      </c>
      <c r="S264" s="521"/>
      <c r="T264" s="521"/>
      <c r="U264" s="521"/>
      <c r="W264" s="520"/>
      <c r="X264" s="520"/>
      <c r="Y264" s="520"/>
      <c r="Z264" s="520"/>
      <c r="AA264" s="520"/>
      <c r="AB264" s="520"/>
      <c r="AC264" s="520"/>
      <c r="AD264" s="520"/>
      <c r="AE264" s="520"/>
    </row>
    <row r="265" spans="2:31" s="204" customFormat="1" x14ac:dyDescent="0.25">
      <c r="B265" s="273" t="s">
        <v>594</v>
      </c>
      <c r="C265" s="273" t="s">
        <v>595</v>
      </c>
      <c r="D265" s="264" t="s">
        <v>3233</v>
      </c>
      <c r="E265" s="264"/>
      <c r="F265" s="274"/>
      <c r="G265" s="283"/>
      <c r="H265" s="266"/>
      <c r="I265" s="281"/>
      <c r="J265" s="281"/>
      <c r="K265" s="281"/>
      <c r="L265" s="295" t="s">
        <v>3234</v>
      </c>
      <c r="M265" s="284" t="s">
        <v>2962</v>
      </c>
      <c r="N265" s="269">
        <f t="shared" si="27"/>
        <v>5284050</v>
      </c>
      <c r="O265" s="270">
        <f t="shared" si="28"/>
        <v>5284050</v>
      </c>
      <c r="P265" s="271">
        <f t="shared" si="29"/>
        <v>0</v>
      </c>
      <c r="Q265" s="520"/>
      <c r="R265" s="354">
        <f>IF(ISERROR(VLOOKUP("SAN"&amp;$C265,ESTR_PREC_SP!$A$2:$G$2000,4,FALSE))=TRUE,0,VLOOKUP("SAN"&amp;$C265,ESTR_PREC_SP!$A$2:$G$2000,4,FALSE))</f>
        <v>5284050</v>
      </c>
      <c r="S265" s="521"/>
      <c r="T265" s="521"/>
      <c r="U265" s="521"/>
      <c r="W265" s="520"/>
      <c r="X265" s="520"/>
      <c r="Y265" s="520"/>
      <c r="Z265" s="520"/>
      <c r="AA265" s="520"/>
      <c r="AB265" s="520"/>
      <c r="AC265" s="520"/>
      <c r="AD265" s="520"/>
      <c r="AE265" s="520"/>
    </row>
    <row r="266" spans="2:31" s="204" customFormat="1" x14ac:dyDescent="0.25">
      <c r="B266" s="273" t="s">
        <v>597</v>
      </c>
      <c r="C266" s="273" t="s">
        <v>598</v>
      </c>
      <c r="D266" s="264" t="s">
        <v>3235</v>
      </c>
      <c r="E266" s="264"/>
      <c r="F266" s="274"/>
      <c r="G266" s="283"/>
      <c r="H266" s="266"/>
      <c r="I266" s="281"/>
      <c r="J266" s="281"/>
      <c r="K266" s="281"/>
      <c r="L266" s="295" t="s">
        <v>3236</v>
      </c>
      <c r="M266" s="284" t="s">
        <v>2962</v>
      </c>
      <c r="N266" s="269">
        <f t="shared" si="27"/>
        <v>743073</v>
      </c>
      <c r="O266" s="270">
        <f t="shared" si="28"/>
        <v>743073</v>
      </c>
      <c r="P266" s="271">
        <f t="shared" si="29"/>
        <v>0</v>
      </c>
      <c r="Q266" s="520"/>
      <c r="R266" s="354">
        <f>IF(ISERROR(VLOOKUP("SAN"&amp;$C266,ESTR_PREC_SP!$A$2:$G$2000,4,FALSE))=TRUE,0,VLOOKUP("SAN"&amp;$C266,ESTR_PREC_SP!$A$2:$G$2000,4,FALSE))</f>
        <v>743073</v>
      </c>
      <c r="S266" s="521"/>
      <c r="T266" s="521"/>
      <c r="U266" s="521"/>
      <c r="W266" s="520"/>
      <c r="X266" s="520"/>
      <c r="Y266" s="520"/>
      <c r="Z266" s="520"/>
      <c r="AA266" s="520"/>
      <c r="AB266" s="520"/>
      <c r="AC266" s="520"/>
      <c r="AD266" s="520"/>
      <c r="AE266" s="520"/>
    </row>
    <row r="267" spans="2:31" s="204" customFormat="1" x14ac:dyDescent="0.25">
      <c r="B267" s="273" t="s">
        <v>600</v>
      </c>
      <c r="C267" s="273" t="s">
        <v>601</v>
      </c>
      <c r="D267" s="264" t="s">
        <v>3237</v>
      </c>
      <c r="E267" s="264"/>
      <c r="F267" s="274"/>
      <c r="G267" s="283"/>
      <c r="H267" s="266"/>
      <c r="I267" s="281"/>
      <c r="J267" s="281"/>
      <c r="K267" s="281"/>
      <c r="L267" s="295" t="s">
        <v>3238</v>
      </c>
      <c r="M267" s="284" t="s">
        <v>2962</v>
      </c>
      <c r="N267" s="269">
        <f t="shared" si="27"/>
        <v>25561</v>
      </c>
      <c r="O267" s="270">
        <f t="shared" si="28"/>
        <v>25561</v>
      </c>
      <c r="P267" s="271">
        <f t="shared" si="29"/>
        <v>0</v>
      </c>
      <c r="Q267" s="520"/>
      <c r="R267" s="354">
        <f>IF(ISERROR(VLOOKUP("SAN"&amp;$C267,ESTR_PREC_SP!$A$2:$G$2000,4,FALSE))=TRUE,0,VLOOKUP("SAN"&amp;$C267,ESTR_PREC_SP!$A$2:$G$2000,4,FALSE))</f>
        <v>25561</v>
      </c>
      <c r="S267" s="521"/>
      <c r="T267" s="521"/>
      <c r="U267" s="521"/>
      <c r="W267" s="520"/>
      <c r="X267" s="520"/>
      <c r="Y267" s="520"/>
      <c r="Z267" s="520"/>
      <c r="AA267" s="520"/>
      <c r="AB267" s="520"/>
      <c r="AC267" s="520"/>
      <c r="AD267" s="520"/>
      <c r="AE267" s="520"/>
    </row>
    <row r="268" spans="2:31" s="204" customFormat="1" x14ac:dyDescent="0.25">
      <c r="B268" s="273" t="s">
        <v>603</v>
      </c>
      <c r="C268" s="273" t="s">
        <v>604</v>
      </c>
      <c r="D268" s="264" t="s">
        <v>3239</v>
      </c>
      <c r="E268" s="264"/>
      <c r="F268" s="274"/>
      <c r="G268" s="283"/>
      <c r="H268" s="266"/>
      <c r="I268" s="281"/>
      <c r="J268" s="281"/>
      <c r="K268" s="281"/>
      <c r="L268" s="295" t="s">
        <v>3240</v>
      </c>
      <c r="M268" s="284" t="s">
        <v>2962</v>
      </c>
      <c r="N268" s="269">
        <f t="shared" si="27"/>
        <v>5999678</v>
      </c>
      <c r="O268" s="270">
        <f t="shared" si="28"/>
        <v>5999678</v>
      </c>
      <c r="P268" s="271">
        <f t="shared" si="29"/>
        <v>0</v>
      </c>
      <c r="Q268" s="520"/>
      <c r="R268" s="354">
        <f>IF(ISERROR(VLOOKUP("SAN"&amp;$C268,ESTR_PREC_SP!$A$2:$G$2000,4,FALSE))=TRUE,0,VLOOKUP("SAN"&amp;$C268,ESTR_PREC_SP!$A$2:$G$2000,4,FALSE))</f>
        <v>5999678</v>
      </c>
      <c r="S268" s="521"/>
      <c r="T268" s="521"/>
      <c r="U268" s="521"/>
      <c r="W268" s="520"/>
      <c r="X268" s="520"/>
      <c r="Y268" s="520"/>
      <c r="Z268" s="520"/>
      <c r="AA268" s="520"/>
      <c r="AB268" s="520"/>
      <c r="AC268" s="520"/>
      <c r="AD268" s="520"/>
      <c r="AE268" s="520"/>
    </row>
    <row r="269" spans="2:31" s="204" customFormat="1" x14ac:dyDescent="0.25">
      <c r="B269" s="273" t="s">
        <v>606</v>
      </c>
      <c r="C269" s="273" t="s">
        <v>607</v>
      </c>
      <c r="D269" s="264" t="s">
        <v>3241</v>
      </c>
      <c r="E269" s="264"/>
      <c r="F269" s="274"/>
      <c r="G269" s="283"/>
      <c r="H269" s="266"/>
      <c r="I269" s="281"/>
      <c r="J269" s="281"/>
      <c r="K269" s="281"/>
      <c r="L269" s="295" t="s">
        <v>3242</v>
      </c>
      <c r="M269" s="284" t="s">
        <v>2962</v>
      </c>
      <c r="N269" s="269">
        <f t="shared" si="27"/>
        <v>1411023</v>
      </c>
      <c r="O269" s="270">
        <f t="shared" si="28"/>
        <v>1411023</v>
      </c>
      <c r="P269" s="271">
        <f t="shared" si="29"/>
        <v>0</v>
      </c>
      <c r="Q269" s="520"/>
      <c r="R269" s="354">
        <f>IF(ISERROR(VLOOKUP("SAN"&amp;$C269,ESTR_PREC_SP!$A$2:$G$2000,4,FALSE))=TRUE,0,VLOOKUP("SAN"&amp;$C269,ESTR_PREC_SP!$A$2:$G$2000,4,FALSE))</f>
        <v>1411023</v>
      </c>
      <c r="S269" s="521"/>
      <c r="T269" s="521"/>
      <c r="U269" s="521"/>
      <c r="W269" s="520"/>
      <c r="X269" s="520"/>
      <c r="Y269" s="520"/>
      <c r="Z269" s="520"/>
      <c r="AA269" s="520"/>
      <c r="AB269" s="520"/>
      <c r="AC269" s="520"/>
      <c r="AD269" s="520"/>
      <c r="AE269" s="520"/>
    </row>
    <row r="270" spans="2:31" s="204" customFormat="1" x14ac:dyDescent="0.25">
      <c r="B270" s="293"/>
      <c r="C270" s="293"/>
      <c r="D270" s="230"/>
      <c r="E270" s="230"/>
      <c r="F270" s="230"/>
      <c r="G270" s="230"/>
      <c r="H270" s="231"/>
      <c r="I270" s="230"/>
      <c r="J270" s="230"/>
      <c r="K270" s="230"/>
      <c r="L270" s="275"/>
      <c r="M270" s="216"/>
      <c r="N270" s="285"/>
      <c r="O270" s="211"/>
      <c r="P270" s="211"/>
      <c r="Q270" s="211"/>
      <c r="R270" s="211"/>
      <c r="S270" s="211"/>
      <c r="T270" s="285"/>
      <c r="U270" s="285"/>
      <c r="V270" s="285"/>
      <c r="W270" s="285"/>
      <c r="X270" s="285"/>
      <c r="Y270" s="285"/>
      <c r="Z270" s="285"/>
      <c r="AA270" s="285"/>
    </row>
    <row r="271" spans="2:31" s="204" customFormat="1" x14ac:dyDescent="0.25">
      <c r="B271" s="292" t="s">
        <v>609</v>
      </c>
      <c r="C271" s="292" t="s">
        <v>610</v>
      </c>
      <c r="D271" s="247" t="s">
        <v>3243</v>
      </c>
      <c r="E271" s="247"/>
      <c r="F271" s="247"/>
      <c r="G271" s="247"/>
      <c r="H271" s="248"/>
      <c r="I271" s="247"/>
      <c r="J271" s="247"/>
      <c r="K271" s="249"/>
      <c r="L271" s="276" t="s">
        <v>613</v>
      </c>
      <c r="M271" s="251" t="s">
        <v>2962</v>
      </c>
      <c r="N271" s="252">
        <f>SUM(N274:N287)</f>
        <v>45515589</v>
      </c>
      <c r="O271" s="252">
        <f>SUM(O274:O287)</f>
        <v>48218432</v>
      </c>
      <c r="P271" s="259">
        <f>+O271-N271</f>
        <v>2702843</v>
      </c>
      <c r="Q271" s="252">
        <f>SUM(Q274:Q287)</f>
        <v>0</v>
      </c>
      <c r="R271" s="252">
        <f>SUM(R274:R287)</f>
        <v>45515589</v>
      </c>
      <c r="S271" s="252">
        <f>SUM(S274:S287)</f>
        <v>0</v>
      </c>
      <c r="T271" s="211"/>
      <c r="U271" s="211"/>
      <c r="V271" s="211"/>
      <c r="W271" s="252">
        <f>SUM(W274:W287)</f>
        <v>0</v>
      </c>
      <c r="X271" s="252">
        <f>SUM(X274:X287)</f>
        <v>0</v>
      </c>
      <c r="Y271" s="252">
        <f>SUM(Y274:Y287)</f>
        <v>252403</v>
      </c>
      <c r="Z271" s="252">
        <f>SUM(Z274:Z287)</f>
        <v>2955246</v>
      </c>
      <c r="AA271" s="285"/>
    </row>
    <row r="272" spans="2:31" s="204" customFormat="1" x14ac:dyDescent="0.25">
      <c r="B272" s="293"/>
      <c r="C272" s="293"/>
      <c r="D272" s="230"/>
      <c r="E272" s="230"/>
      <c r="F272" s="230"/>
      <c r="G272" s="230"/>
      <c r="H272" s="231"/>
      <c r="I272" s="230"/>
      <c r="J272" s="230"/>
      <c r="K272" s="230"/>
      <c r="L272" s="232"/>
      <c r="M272" s="211"/>
      <c r="N272" s="254"/>
      <c r="O272" s="211"/>
      <c r="P272" s="211"/>
      <c r="Q272" s="211"/>
      <c r="R272" s="211"/>
      <c r="S272" s="211"/>
      <c r="T272" s="211"/>
      <c r="U272" s="211"/>
      <c r="V272" s="211"/>
      <c r="W272" s="285"/>
      <c r="X272" s="285"/>
      <c r="Y272" s="285"/>
      <c r="Z272" s="285"/>
      <c r="AA272" s="285"/>
    </row>
    <row r="273" spans="2:27" s="204" customFormat="1" ht="51" x14ac:dyDescent="0.25">
      <c r="B273" s="294" t="s">
        <v>2968</v>
      </c>
      <c r="C273" s="294" t="s">
        <v>2969</v>
      </c>
      <c r="D273" s="206" t="s">
        <v>72</v>
      </c>
      <c r="E273" s="206"/>
      <c r="F273" s="206"/>
      <c r="G273" s="207"/>
      <c r="H273" s="207"/>
      <c r="I273" s="207"/>
      <c r="J273" s="207" t="s">
        <v>2957</v>
      </c>
      <c r="K273" s="206" t="s">
        <v>82</v>
      </c>
      <c r="L273" s="261" t="s">
        <v>2970</v>
      </c>
      <c r="M273" s="260"/>
      <c r="N273" s="256" t="str">
        <f>N$15</f>
        <v>Valore netto al 31/12/2019</v>
      </c>
      <c r="O273" s="256" t="str">
        <f>O$15</f>
        <v>Valore netto al 31/12/2020</v>
      </c>
      <c r="P273" s="256" t="str">
        <f>P$15</f>
        <v>Variazione</v>
      </c>
      <c r="Q273" s="262" t="s">
        <v>2971</v>
      </c>
      <c r="R273" s="262" t="str">
        <f>"Fondo ammortamento 31/12/"&amp;Info!$B$3-1</f>
        <v>Fondo ammortamento 31/12/2019</v>
      </c>
      <c r="S273" s="262" t="s">
        <v>2972</v>
      </c>
      <c r="W273" s="262" t="s">
        <v>2975</v>
      </c>
      <c r="X273" s="262" t="s">
        <v>2976</v>
      </c>
      <c r="Y273" s="262" t="s">
        <v>2989</v>
      </c>
      <c r="Z273" s="262" t="s">
        <v>2990</v>
      </c>
      <c r="AA273" s="285"/>
    </row>
    <row r="274" spans="2:27" s="204" customFormat="1" x14ac:dyDescent="0.25">
      <c r="B274" s="273" t="s">
        <v>614</v>
      </c>
      <c r="C274" s="273" t="s">
        <v>615</v>
      </c>
      <c r="D274" s="264" t="s">
        <v>3244</v>
      </c>
      <c r="E274" s="264"/>
      <c r="F274" s="264"/>
      <c r="G274" s="265"/>
      <c r="H274" s="266"/>
      <c r="I274" s="281"/>
      <c r="J274" s="281"/>
      <c r="K274" s="281"/>
      <c r="L274" s="282" t="s">
        <v>3245</v>
      </c>
      <c r="M274" s="263" t="s">
        <v>2962</v>
      </c>
      <c r="N274" s="269">
        <f t="shared" ref="N274:N287" si="30">+R274</f>
        <v>1811019</v>
      </c>
      <c r="O274" s="270">
        <f t="shared" ref="O274:O287" si="31">+R274+S274+X274-ABS(Y274)+ABS(Z274)+W274+Q274</f>
        <v>1780373</v>
      </c>
      <c r="P274" s="271">
        <f t="shared" ref="P274:P287" si="32">+O274-N274</f>
        <v>-30646</v>
      </c>
      <c r="Q274" s="520"/>
      <c r="R274" s="354">
        <f>IF(ISERROR(VLOOKUP("SAN"&amp;$C274,ESTR_PREC_SP!$A$2:$G$2000,4,FALSE))=TRUE,0,VLOOKUP("SAN"&amp;$C274,ESTR_PREC_SP!$A$2:$G$2000,4,FALSE))</f>
        <v>1811019</v>
      </c>
      <c r="S274" s="521"/>
      <c r="V274" s="211"/>
      <c r="W274" s="520"/>
      <c r="X274" s="520"/>
      <c r="Y274" s="520">
        <v>252403</v>
      </c>
      <c r="Z274" s="520">
        <v>221757</v>
      </c>
      <c r="AA274" s="285"/>
    </row>
    <row r="275" spans="2:27" s="204" customFormat="1" x14ac:dyDescent="0.25">
      <c r="B275" s="273" t="s">
        <v>617</v>
      </c>
      <c r="C275" s="273" t="s">
        <v>618</v>
      </c>
      <c r="D275" s="264" t="s">
        <v>3246</v>
      </c>
      <c r="E275" s="264"/>
      <c r="F275" s="264"/>
      <c r="G275" s="265"/>
      <c r="H275" s="266"/>
      <c r="I275" s="281"/>
      <c r="J275" s="281"/>
      <c r="K275" s="281"/>
      <c r="L275" s="282" t="s">
        <v>3247</v>
      </c>
      <c r="M275" s="263" t="s">
        <v>2962</v>
      </c>
      <c r="N275" s="269">
        <f t="shared" si="30"/>
        <v>14726759</v>
      </c>
      <c r="O275" s="270">
        <f t="shared" si="31"/>
        <v>16172836</v>
      </c>
      <c r="P275" s="271">
        <f t="shared" si="32"/>
        <v>1446077</v>
      </c>
      <c r="Q275" s="520"/>
      <c r="R275" s="354">
        <f>IF(ISERROR(VLOOKUP("SAN"&amp;$C275,ESTR_PREC_SP!$A$2:$G$2000,4,FALSE))=TRUE,0,VLOOKUP("SAN"&amp;$C275,ESTR_PREC_SP!$A$2:$G$2000,4,FALSE))</f>
        <v>14726759</v>
      </c>
      <c r="S275" s="521"/>
      <c r="V275" s="211"/>
      <c r="W275" s="520"/>
      <c r="X275" s="520"/>
      <c r="Y275" s="520"/>
      <c r="Z275" s="520">
        <f>1446078-1</f>
        <v>1446077</v>
      </c>
      <c r="AA275" s="285"/>
    </row>
    <row r="276" spans="2:27" s="204" customFormat="1" x14ac:dyDescent="0.25">
      <c r="B276" s="273" t="s">
        <v>620</v>
      </c>
      <c r="C276" s="273" t="s">
        <v>621</v>
      </c>
      <c r="D276" s="264" t="s">
        <v>3248</v>
      </c>
      <c r="E276" s="264"/>
      <c r="F276" s="274"/>
      <c r="G276" s="283"/>
      <c r="H276" s="266"/>
      <c r="I276" s="281"/>
      <c r="J276" s="281"/>
      <c r="K276" s="281"/>
      <c r="L276" s="295" t="s">
        <v>3249</v>
      </c>
      <c r="M276" s="284" t="s">
        <v>2962</v>
      </c>
      <c r="N276" s="269">
        <f t="shared" si="30"/>
        <v>9410392</v>
      </c>
      <c r="O276" s="270">
        <f t="shared" si="31"/>
        <v>9646828</v>
      </c>
      <c r="P276" s="271">
        <f t="shared" si="32"/>
        <v>236436</v>
      </c>
      <c r="Q276" s="520"/>
      <c r="R276" s="354">
        <f>IF(ISERROR(VLOOKUP("SAN"&amp;$C276,ESTR_PREC_SP!$A$2:$G$2000,4,FALSE))=TRUE,0,VLOOKUP("SAN"&amp;$C276,ESTR_PREC_SP!$A$2:$G$2000,4,FALSE))</f>
        <v>9410392</v>
      </c>
      <c r="S276" s="521"/>
      <c r="V276" s="211"/>
      <c r="W276" s="520"/>
      <c r="X276" s="520"/>
      <c r="Y276" s="520"/>
      <c r="Z276" s="520">
        <v>236436</v>
      </c>
      <c r="AA276" s="285"/>
    </row>
    <row r="277" spans="2:27" s="204" customFormat="1" x14ac:dyDescent="0.25">
      <c r="B277" s="273" t="s">
        <v>623</v>
      </c>
      <c r="C277" s="273" t="s">
        <v>624</v>
      </c>
      <c r="D277" s="264" t="s">
        <v>3250</v>
      </c>
      <c r="E277" s="264"/>
      <c r="F277" s="274"/>
      <c r="G277" s="283"/>
      <c r="H277" s="266"/>
      <c r="I277" s="281"/>
      <c r="J277" s="281"/>
      <c r="K277" s="281"/>
      <c r="L277" s="295" t="s">
        <v>3251</v>
      </c>
      <c r="M277" s="284" t="s">
        <v>2962</v>
      </c>
      <c r="N277" s="269">
        <f t="shared" si="30"/>
        <v>6231609</v>
      </c>
      <c r="O277" s="270">
        <f t="shared" si="31"/>
        <v>6604249</v>
      </c>
      <c r="P277" s="271">
        <f t="shared" si="32"/>
        <v>372640</v>
      </c>
      <c r="Q277" s="520"/>
      <c r="R277" s="354">
        <f>IF(ISERROR(VLOOKUP("SAN"&amp;$C277,ESTR_PREC_SP!$A$2:$G$2000,4,FALSE))=TRUE,0,VLOOKUP("SAN"&amp;$C277,ESTR_PREC_SP!$A$2:$G$2000,4,FALSE))</f>
        <v>6231609</v>
      </c>
      <c r="S277" s="521"/>
      <c r="V277" s="211"/>
      <c r="W277" s="520"/>
      <c r="X277" s="520"/>
      <c r="Y277" s="520"/>
      <c r="Z277" s="520">
        <v>372640</v>
      </c>
      <c r="AA277" s="285"/>
    </row>
    <row r="278" spans="2:27" s="204" customFormat="1" x14ac:dyDescent="0.25">
      <c r="B278" s="273" t="s">
        <v>626</v>
      </c>
      <c r="C278" s="273" t="s">
        <v>627</v>
      </c>
      <c r="D278" s="264" t="s">
        <v>3252</v>
      </c>
      <c r="E278" s="264"/>
      <c r="F278" s="274"/>
      <c r="G278" s="283"/>
      <c r="H278" s="266"/>
      <c r="I278" s="281"/>
      <c r="J278" s="281"/>
      <c r="K278" s="281"/>
      <c r="L278" s="295" t="s">
        <v>3253</v>
      </c>
      <c r="M278" s="284" t="s">
        <v>2962</v>
      </c>
      <c r="N278" s="269">
        <f t="shared" si="30"/>
        <v>496938</v>
      </c>
      <c r="O278" s="270">
        <f t="shared" si="31"/>
        <v>501035</v>
      </c>
      <c r="P278" s="271">
        <f t="shared" si="32"/>
        <v>4097</v>
      </c>
      <c r="Q278" s="520"/>
      <c r="R278" s="354">
        <f>IF(ISERROR(VLOOKUP("SAN"&amp;$C278,ESTR_PREC_SP!$A$2:$G$2000,4,FALSE))=TRUE,0,VLOOKUP("SAN"&amp;$C278,ESTR_PREC_SP!$A$2:$G$2000,4,FALSE))</f>
        <v>496938</v>
      </c>
      <c r="S278" s="521"/>
      <c r="V278" s="211"/>
      <c r="W278" s="520"/>
      <c r="X278" s="520"/>
      <c r="Y278" s="520"/>
      <c r="Z278" s="520">
        <v>4097</v>
      </c>
      <c r="AA278" s="285"/>
    </row>
    <row r="279" spans="2:27" s="204" customFormat="1" x14ac:dyDescent="0.25">
      <c r="B279" s="273" t="s">
        <v>629</v>
      </c>
      <c r="C279" s="273" t="s">
        <v>630</v>
      </c>
      <c r="D279" s="264" t="s">
        <v>3254</v>
      </c>
      <c r="E279" s="264"/>
      <c r="F279" s="274"/>
      <c r="G279" s="283"/>
      <c r="H279" s="266"/>
      <c r="I279" s="281"/>
      <c r="J279" s="281"/>
      <c r="K279" s="281"/>
      <c r="L279" s="295" t="s">
        <v>3255</v>
      </c>
      <c r="M279" s="284" t="s">
        <v>2962</v>
      </c>
      <c r="N279" s="269">
        <f t="shared" si="30"/>
        <v>41026</v>
      </c>
      <c r="O279" s="270">
        <f t="shared" si="31"/>
        <v>50161</v>
      </c>
      <c r="P279" s="271">
        <f t="shared" si="32"/>
        <v>9135</v>
      </c>
      <c r="Q279" s="520"/>
      <c r="R279" s="354">
        <f>IF(ISERROR(VLOOKUP("SAN"&amp;$C279,ESTR_PREC_SP!$A$2:$G$2000,4,FALSE))=TRUE,0,VLOOKUP("SAN"&amp;$C279,ESTR_PREC_SP!$A$2:$G$2000,4,FALSE))</f>
        <v>41026</v>
      </c>
      <c r="S279" s="521"/>
      <c r="V279" s="211"/>
      <c r="W279" s="520"/>
      <c r="X279" s="520"/>
      <c r="Y279" s="520"/>
      <c r="Z279" s="520">
        <v>9135</v>
      </c>
      <c r="AA279" s="285"/>
    </row>
    <row r="280" spans="2:27" s="204" customFormat="1" x14ac:dyDescent="0.25">
      <c r="B280" s="273" t="s">
        <v>632</v>
      </c>
      <c r="C280" s="273" t="s">
        <v>633</v>
      </c>
      <c r="D280" s="264" t="s">
        <v>3256</v>
      </c>
      <c r="E280" s="264"/>
      <c r="F280" s="274"/>
      <c r="G280" s="283"/>
      <c r="H280" s="266"/>
      <c r="I280" s="281"/>
      <c r="J280" s="281"/>
      <c r="K280" s="281"/>
      <c r="L280" s="295" t="s">
        <v>3257</v>
      </c>
      <c r="M280" s="284" t="s">
        <v>2962</v>
      </c>
      <c r="N280" s="269">
        <f t="shared" si="30"/>
        <v>667438</v>
      </c>
      <c r="O280" s="270">
        <f t="shared" si="31"/>
        <v>667840</v>
      </c>
      <c r="P280" s="271">
        <f t="shared" si="32"/>
        <v>402</v>
      </c>
      <c r="Q280" s="520"/>
      <c r="R280" s="354">
        <f>IF(ISERROR(VLOOKUP("SAN"&amp;$C280,ESTR_PREC_SP!$A$2:$G$2000,4,FALSE))=TRUE,0,VLOOKUP("SAN"&amp;$C280,ESTR_PREC_SP!$A$2:$G$2000,4,FALSE))</f>
        <v>667438</v>
      </c>
      <c r="S280" s="521"/>
      <c r="V280" s="211"/>
      <c r="W280" s="520"/>
      <c r="X280" s="520"/>
      <c r="Y280" s="520"/>
      <c r="Z280" s="520">
        <v>402</v>
      </c>
      <c r="AA280" s="285"/>
    </row>
    <row r="281" spans="2:27" s="204" customFormat="1" x14ac:dyDescent="0.25">
      <c r="B281" s="273" t="s">
        <v>635</v>
      </c>
      <c r="C281" s="273" t="s">
        <v>636</v>
      </c>
      <c r="D281" s="264" t="s">
        <v>3258</v>
      </c>
      <c r="E281" s="264"/>
      <c r="F281" s="274"/>
      <c r="G281" s="283"/>
      <c r="H281" s="266"/>
      <c r="I281" s="281"/>
      <c r="J281" s="281"/>
      <c r="K281" s="281"/>
      <c r="L281" s="295" t="s">
        <v>3259</v>
      </c>
      <c r="M281" s="284" t="s">
        <v>2962</v>
      </c>
      <c r="N281" s="269">
        <f t="shared" si="30"/>
        <v>126115</v>
      </c>
      <c r="O281" s="270">
        <f t="shared" si="31"/>
        <v>170383</v>
      </c>
      <c r="P281" s="271">
        <f t="shared" si="32"/>
        <v>44268</v>
      </c>
      <c r="Q281" s="520"/>
      <c r="R281" s="354">
        <f>IF(ISERROR(VLOOKUP("SAN"&amp;$C281,ESTR_PREC_SP!$A$2:$G$2000,4,FALSE))=TRUE,0,VLOOKUP("SAN"&amp;$C281,ESTR_PREC_SP!$A$2:$G$2000,4,FALSE))</f>
        <v>126115</v>
      </c>
      <c r="S281" s="521"/>
      <c r="V281" s="211"/>
      <c r="W281" s="520"/>
      <c r="X281" s="520"/>
      <c r="Y281" s="520"/>
      <c r="Z281" s="520">
        <v>44268</v>
      </c>
      <c r="AA281" s="285"/>
    </row>
    <row r="282" spans="2:27" s="204" customFormat="1" x14ac:dyDescent="0.25">
      <c r="B282" s="273" t="s">
        <v>638</v>
      </c>
      <c r="C282" s="273" t="s">
        <v>639</v>
      </c>
      <c r="D282" s="264" t="s">
        <v>3260</v>
      </c>
      <c r="E282" s="264"/>
      <c r="F282" s="274"/>
      <c r="G282" s="283"/>
      <c r="H282" s="266"/>
      <c r="I282" s="281"/>
      <c r="J282" s="281"/>
      <c r="K282" s="281"/>
      <c r="L282" s="295" t="s">
        <v>3261</v>
      </c>
      <c r="M282" s="284" t="s">
        <v>2962</v>
      </c>
      <c r="N282" s="269">
        <f t="shared" si="30"/>
        <v>1125180</v>
      </c>
      <c r="O282" s="270">
        <f t="shared" si="31"/>
        <v>1139446</v>
      </c>
      <c r="P282" s="271">
        <f t="shared" si="32"/>
        <v>14266</v>
      </c>
      <c r="Q282" s="520"/>
      <c r="R282" s="354">
        <f>IF(ISERROR(VLOOKUP("SAN"&amp;$C282,ESTR_PREC_SP!$A$2:$G$2000,4,FALSE))=TRUE,0,VLOOKUP("SAN"&amp;$C282,ESTR_PREC_SP!$A$2:$G$2000,4,FALSE))</f>
        <v>1125180</v>
      </c>
      <c r="S282" s="521"/>
      <c r="V282" s="211"/>
      <c r="W282" s="520"/>
      <c r="X282" s="520"/>
      <c r="Y282" s="520"/>
      <c r="Z282" s="520">
        <v>14266</v>
      </c>
      <c r="AA282" s="285"/>
    </row>
    <row r="283" spans="2:27" s="204" customFormat="1" x14ac:dyDescent="0.25">
      <c r="B283" s="273" t="s">
        <v>641</v>
      </c>
      <c r="C283" s="273" t="s">
        <v>642</v>
      </c>
      <c r="D283" s="264" t="s">
        <v>3262</v>
      </c>
      <c r="E283" s="264"/>
      <c r="F283" s="274"/>
      <c r="G283" s="283"/>
      <c r="H283" s="266"/>
      <c r="I283" s="281"/>
      <c r="J283" s="281"/>
      <c r="K283" s="281"/>
      <c r="L283" s="295" t="s">
        <v>3263</v>
      </c>
      <c r="M283" s="284" t="s">
        <v>2962</v>
      </c>
      <c r="N283" s="269">
        <f t="shared" si="30"/>
        <v>3528624</v>
      </c>
      <c r="O283" s="270">
        <f t="shared" si="31"/>
        <v>3866339</v>
      </c>
      <c r="P283" s="271">
        <f t="shared" si="32"/>
        <v>337715</v>
      </c>
      <c r="Q283" s="520"/>
      <c r="R283" s="354">
        <f>IF(ISERROR(VLOOKUP("SAN"&amp;$C283,ESTR_PREC_SP!$A$2:$G$2000,4,FALSE))=TRUE,0,VLOOKUP("SAN"&amp;$C283,ESTR_PREC_SP!$A$2:$G$2000,4,FALSE))</f>
        <v>3528624</v>
      </c>
      <c r="S283" s="521"/>
      <c r="V283" s="211"/>
      <c r="W283" s="520"/>
      <c r="X283" s="520"/>
      <c r="Y283" s="520"/>
      <c r="Z283" s="520">
        <v>337715</v>
      </c>
      <c r="AA283" s="285"/>
    </row>
    <row r="284" spans="2:27" s="204" customFormat="1" x14ac:dyDescent="0.25">
      <c r="B284" s="273" t="s">
        <v>644</v>
      </c>
      <c r="C284" s="273" t="s">
        <v>645</v>
      </c>
      <c r="D284" s="264" t="s">
        <v>3264</v>
      </c>
      <c r="E284" s="264"/>
      <c r="F284" s="274"/>
      <c r="G284" s="283"/>
      <c r="H284" s="266"/>
      <c r="I284" s="281"/>
      <c r="J284" s="281"/>
      <c r="K284" s="281"/>
      <c r="L284" s="295" t="s">
        <v>3265</v>
      </c>
      <c r="M284" s="284" t="s">
        <v>2962</v>
      </c>
      <c r="N284" s="269">
        <f t="shared" si="30"/>
        <v>743073</v>
      </c>
      <c r="O284" s="270">
        <f t="shared" si="31"/>
        <v>743073</v>
      </c>
      <c r="P284" s="271">
        <f t="shared" si="32"/>
        <v>0</v>
      </c>
      <c r="Q284" s="520"/>
      <c r="R284" s="354">
        <f>IF(ISERROR(VLOOKUP("SAN"&amp;$C284,ESTR_PREC_SP!$A$2:$G$2000,4,FALSE))=TRUE,0,VLOOKUP("SAN"&amp;$C284,ESTR_PREC_SP!$A$2:$G$2000,4,FALSE))</f>
        <v>743073</v>
      </c>
      <c r="S284" s="521"/>
      <c r="V284" s="211"/>
      <c r="W284" s="520"/>
      <c r="X284" s="520"/>
      <c r="Y284" s="520"/>
      <c r="Z284" s="520">
        <v>0</v>
      </c>
      <c r="AA284" s="285"/>
    </row>
    <row r="285" spans="2:27" s="204" customFormat="1" x14ac:dyDescent="0.25">
      <c r="B285" s="273" t="s">
        <v>647</v>
      </c>
      <c r="C285" s="273" t="s">
        <v>648</v>
      </c>
      <c r="D285" s="264" t="s">
        <v>3266</v>
      </c>
      <c r="E285" s="264"/>
      <c r="F285" s="274"/>
      <c r="G285" s="283"/>
      <c r="H285" s="266"/>
      <c r="I285" s="281"/>
      <c r="J285" s="281"/>
      <c r="K285" s="281"/>
      <c r="L285" s="295" t="s">
        <v>3267</v>
      </c>
      <c r="M285" s="284" t="s">
        <v>2962</v>
      </c>
      <c r="N285" s="269">
        <f t="shared" si="30"/>
        <v>20080</v>
      </c>
      <c r="O285" s="270">
        <f t="shared" si="31"/>
        <v>23086</v>
      </c>
      <c r="P285" s="271">
        <f t="shared" si="32"/>
        <v>3006</v>
      </c>
      <c r="Q285" s="520"/>
      <c r="R285" s="354">
        <f>IF(ISERROR(VLOOKUP("SAN"&amp;$C285,ESTR_PREC_SP!$A$2:$G$2000,4,FALSE))=TRUE,0,VLOOKUP("SAN"&amp;$C285,ESTR_PREC_SP!$A$2:$G$2000,4,FALSE))</f>
        <v>20080</v>
      </c>
      <c r="S285" s="521"/>
      <c r="V285" s="211"/>
      <c r="W285" s="520"/>
      <c r="X285" s="520"/>
      <c r="Y285" s="520"/>
      <c r="Z285" s="520">
        <v>3006</v>
      </c>
      <c r="AA285" s="285"/>
    </row>
    <row r="286" spans="2:27" s="204" customFormat="1" x14ac:dyDescent="0.25">
      <c r="B286" s="273" t="s">
        <v>650</v>
      </c>
      <c r="C286" s="273" t="s">
        <v>651</v>
      </c>
      <c r="D286" s="264" t="s">
        <v>3268</v>
      </c>
      <c r="E286" s="264"/>
      <c r="F286" s="274"/>
      <c r="G286" s="283"/>
      <c r="H286" s="266"/>
      <c r="I286" s="281"/>
      <c r="J286" s="281"/>
      <c r="K286" s="281"/>
      <c r="L286" s="295" t="s">
        <v>3269</v>
      </c>
      <c r="M286" s="284" t="s">
        <v>2962</v>
      </c>
      <c r="N286" s="269">
        <f t="shared" si="30"/>
        <v>5395184</v>
      </c>
      <c r="O286" s="270">
        <f t="shared" si="31"/>
        <v>5621796</v>
      </c>
      <c r="P286" s="271">
        <f t="shared" si="32"/>
        <v>226612</v>
      </c>
      <c r="Q286" s="520"/>
      <c r="R286" s="354">
        <f>IF(ISERROR(VLOOKUP("SAN"&amp;$C286,ESTR_PREC_SP!$A$2:$G$2000,4,FALSE))=TRUE,0,VLOOKUP("SAN"&amp;$C286,ESTR_PREC_SP!$A$2:$G$2000,4,FALSE))</f>
        <v>5395184</v>
      </c>
      <c r="S286" s="521"/>
      <c r="V286" s="211"/>
      <c r="W286" s="520"/>
      <c r="X286" s="520"/>
      <c r="Y286" s="520"/>
      <c r="Z286" s="520">
        <v>226612</v>
      </c>
      <c r="AA286" s="285"/>
    </row>
    <row r="287" spans="2:27" s="204" customFormat="1" x14ac:dyDescent="0.25">
      <c r="B287" s="273" t="s">
        <v>653</v>
      </c>
      <c r="C287" s="273" t="s">
        <v>654</v>
      </c>
      <c r="D287" s="264" t="s">
        <v>3270</v>
      </c>
      <c r="E287" s="264"/>
      <c r="F287" s="274"/>
      <c r="G287" s="283"/>
      <c r="H287" s="266"/>
      <c r="I287" s="281"/>
      <c r="J287" s="281"/>
      <c r="K287" s="281"/>
      <c r="L287" s="295" t="s">
        <v>3271</v>
      </c>
      <c r="M287" s="284" t="s">
        <v>2962</v>
      </c>
      <c r="N287" s="269">
        <f t="shared" si="30"/>
        <v>1192152</v>
      </c>
      <c r="O287" s="270">
        <f t="shared" si="31"/>
        <v>1230987</v>
      </c>
      <c r="P287" s="271">
        <f t="shared" si="32"/>
        <v>38835</v>
      </c>
      <c r="Q287" s="520"/>
      <c r="R287" s="354">
        <f>IF(ISERROR(VLOOKUP("SAN"&amp;$C287,ESTR_PREC_SP!$A$2:$G$2000,4,FALSE))=TRUE,0,VLOOKUP("SAN"&amp;$C287,ESTR_PREC_SP!$A$2:$G$2000,4,FALSE))</f>
        <v>1192152</v>
      </c>
      <c r="S287" s="521"/>
      <c r="V287" s="211"/>
      <c r="W287" s="520"/>
      <c r="X287" s="520"/>
      <c r="Y287" s="520"/>
      <c r="Z287" s="520">
        <v>38835</v>
      </c>
      <c r="AA287" s="285"/>
    </row>
    <row r="288" spans="2:27" s="204" customFormat="1" x14ac:dyDescent="0.25">
      <c r="B288" s="293"/>
      <c r="C288" s="293"/>
      <c r="D288" s="230"/>
      <c r="E288" s="230"/>
      <c r="F288" s="230"/>
      <c r="G288" s="230"/>
      <c r="H288" s="231"/>
      <c r="I288" s="230"/>
      <c r="J288" s="230"/>
      <c r="K288" s="230"/>
      <c r="L288" s="275"/>
      <c r="M288" s="216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</row>
    <row r="289" spans="2:31" s="204" customFormat="1" ht="25.5" x14ac:dyDescent="0.25">
      <c r="B289" s="293"/>
      <c r="C289" s="293"/>
      <c r="D289" s="230"/>
      <c r="E289" s="230"/>
      <c r="F289" s="230"/>
      <c r="G289" s="230"/>
      <c r="H289" s="231"/>
      <c r="I289" s="230"/>
      <c r="J289" s="230"/>
      <c r="K289" s="230"/>
      <c r="L289" s="255"/>
      <c r="M289" s="244"/>
      <c r="N289" s="256" t="str">
        <f>N$15</f>
        <v>Valore netto al 31/12/2019</v>
      </c>
      <c r="O289" s="256" t="str">
        <f>O$15</f>
        <v>Valore netto al 31/12/2020</v>
      </c>
      <c r="P289" s="256" t="str">
        <f>P$15</f>
        <v>Variazione</v>
      </c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</row>
    <row r="290" spans="2:31" s="204" customFormat="1" x14ac:dyDescent="0.25">
      <c r="B290" s="292" t="s">
        <v>656</v>
      </c>
      <c r="C290" s="292" t="s">
        <v>657</v>
      </c>
      <c r="D290" s="247" t="s">
        <v>3272</v>
      </c>
      <c r="E290" s="247"/>
      <c r="F290" s="247"/>
      <c r="G290" s="247"/>
      <c r="H290" s="248"/>
      <c r="I290" s="247"/>
      <c r="J290" s="247"/>
      <c r="K290" s="249"/>
      <c r="L290" s="257" t="s">
        <v>659</v>
      </c>
      <c r="M290" s="251" t="s">
        <v>2962</v>
      </c>
      <c r="N290" s="252">
        <f>+N292-N302</f>
        <v>4334548</v>
      </c>
      <c r="O290" s="252">
        <f>+O292-O302</f>
        <v>5374645</v>
      </c>
      <c r="P290" s="253">
        <f>+O290-N290</f>
        <v>1040097</v>
      </c>
      <c r="Q290" s="285"/>
      <c r="R290" s="285"/>
      <c r="S290" s="252">
        <f>+S292-S302</f>
        <v>0</v>
      </c>
      <c r="T290" s="285"/>
      <c r="U290" s="285"/>
      <c r="V290" s="285"/>
      <c r="W290" s="211"/>
      <c r="X290" s="252">
        <f>+X292-X302</f>
        <v>0</v>
      </c>
      <c r="Y290" s="285"/>
      <c r="Z290" s="285"/>
      <c r="AA290" s="285"/>
    </row>
    <row r="291" spans="2:31" s="204" customFormat="1" x14ac:dyDescent="0.25">
      <c r="B291" s="293"/>
      <c r="C291" s="293"/>
      <c r="D291" s="230"/>
      <c r="E291" s="230"/>
      <c r="F291" s="230"/>
      <c r="G291" s="230"/>
      <c r="H291" s="231"/>
      <c r="I291" s="230"/>
      <c r="J291" s="230"/>
      <c r="K291" s="230"/>
      <c r="L291" s="275"/>
      <c r="M291" s="216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</row>
    <row r="292" spans="2:31" s="204" customFormat="1" x14ac:dyDescent="0.25">
      <c r="B292" s="292" t="s">
        <v>660</v>
      </c>
      <c r="C292" s="292" t="s">
        <v>661</v>
      </c>
      <c r="D292" s="247" t="s">
        <v>3273</v>
      </c>
      <c r="E292" s="247"/>
      <c r="F292" s="247"/>
      <c r="G292" s="247"/>
      <c r="H292" s="248"/>
      <c r="I292" s="247"/>
      <c r="J292" s="247"/>
      <c r="K292" s="249"/>
      <c r="L292" s="276" t="s">
        <v>664</v>
      </c>
      <c r="M292" s="251" t="s">
        <v>2962</v>
      </c>
      <c r="N292" s="252">
        <f>SUM(N295:N300)</f>
        <v>67255470</v>
      </c>
      <c r="O292" s="252">
        <f>SUM(O295:O300)</f>
        <v>69161530</v>
      </c>
      <c r="P292" s="259">
        <f>+O292-N292</f>
        <v>1906060</v>
      </c>
      <c r="Q292" s="252">
        <f>SUM(Q295:Q300)</f>
        <v>0</v>
      </c>
      <c r="R292" s="252">
        <f>SUM(R295:R300)</f>
        <v>67255470</v>
      </c>
      <c r="S292" s="252">
        <f>SUM(S295:S300)</f>
        <v>0</v>
      </c>
      <c r="T292" s="252">
        <f>SUM(T295:T300)</f>
        <v>0</v>
      </c>
      <c r="U292" s="252">
        <f>SUM(U295:U300)</f>
        <v>0</v>
      </c>
      <c r="W292" s="252">
        <f t="shared" ref="W292:AE292" si="33">SUM(W295:W300)</f>
        <v>0</v>
      </c>
      <c r="X292" s="252">
        <f t="shared" si="33"/>
        <v>0</v>
      </c>
      <c r="Y292" s="252">
        <f t="shared" si="33"/>
        <v>0</v>
      </c>
      <c r="Z292" s="252">
        <f t="shared" si="33"/>
        <v>0</v>
      </c>
      <c r="AA292" s="252">
        <f t="shared" si="33"/>
        <v>0</v>
      </c>
      <c r="AB292" s="252">
        <f t="shared" si="33"/>
        <v>2044660</v>
      </c>
      <c r="AC292" s="252">
        <f t="shared" si="33"/>
        <v>0</v>
      </c>
      <c r="AD292" s="252">
        <f t="shared" si="33"/>
        <v>758906</v>
      </c>
      <c r="AE292" s="252">
        <f t="shared" si="33"/>
        <v>897506</v>
      </c>
    </row>
    <row r="293" spans="2:31" s="204" customFormat="1" x14ac:dyDescent="0.25">
      <c r="B293" s="293"/>
      <c r="C293" s="293"/>
      <c r="D293" s="230"/>
      <c r="E293" s="230"/>
      <c r="F293" s="230"/>
      <c r="G293" s="230"/>
      <c r="H293" s="231"/>
      <c r="I293" s="230"/>
      <c r="J293" s="230"/>
      <c r="K293" s="230"/>
      <c r="L293" s="241"/>
      <c r="M293" s="278"/>
      <c r="N293" s="279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</row>
    <row r="294" spans="2:31" s="204" customFormat="1" ht="51" x14ac:dyDescent="0.25">
      <c r="B294" s="294" t="s">
        <v>2968</v>
      </c>
      <c r="C294" s="294" t="s">
        <v>2969</v>
      </c>
      <c r="D294" s="206" t="s">
        <v>72</v>
      </c>
      <c r="E294" s="206"/>
      <c r="F294" s="206"/>
      <c r="G294" s="207"/>
      <c r="H294" s="207"/>
      <c r="I294" s="207"/>
      <c r="J294" s="207" t="s">
        <v>2957</v>
      </c>
      <c r="K294" s="206" t="s">
        <v>82</v>
      </c>
      <c r="L294" s="261" t="s">
        <v>2970</v>
      </c>
      <c r="M294" s="260"/>
      <c r="N294" s="256" t="str">
        <f>N$15</f>
        <v>Valore netto al 31/12/2019</v>
      </c>
      <c r="O294" s="256" t="str">
        <f>O$15</f>
        <v>Valore netto al 31/12/2020</v>
      </c>
      <c r="P294" s="256" t="str">
        <f>P$15</f>
        <v>Variazione</v>
      </c>
      <c r="Q294" s="262" t="s">
        <v>2971</v>
      </c>
      <c r="R294" s="262" t="str">
        <f>"Costo storico al 31/12/"&amp;Info!$B$3-1</f>
        <v>Costo storico al 31/12/2019</v>
      </c>
      <c r="S294" s="262" t="s">
        <v>2972</v>
      </c>
      <c r="T294" s="262" t="s">
        <v>2973</v>
      </c>
      <c r="U294" s="262" t="s">
        <v>2974</v>
      </c>
      <c r="W294" s="262" t="s">
        <v>2975</v>
      </c>
      <c r="X294" s="262" t="s">
        <v>2976</v>
      </c>
      <c r="Y294" s="262" t="s">
        <v>2977</v>
      </c>
      <c r="Z294" s="262" t="s">
        <v>2978</v>
      </c>
      <c r="AA294" s="262" t="s">
        <v>2979</v>
      </c>
      <c r="AB294" s="262" t="s">
        <v>2980</v>
      </c>
      <c r="AC294" s="262" t="s">
        <v>2981</v>
      </c>
      <c r="AD294" s="262" t="s">
        <v>2982</v>
      </c>
      <c r="AE294" s="262" t="s">
        <v>2983</v>
      </c>
    </row>
    <row r="295" spans="2:31" s="204" customFormat="1" x14ac:dyDescent="0.25">
      <c r="B295" s="287" t="s">
        <v>665</v>
      </c>
      <c r="C295" s="287" t="s">
        <v>666</v>
      </c>
      <c r="D295" s="274" t="s">
        <v>3274</v>
      </c>
      <c r="E295" s="264"/>
      <c r="F295" s="274"/>
      <c r="G295" s="283"/>
      <c r="H295" s="266"/>
      <c r="I295" s="281"/>
      <c r="J295" s="281"/>
      <c r="K295" s="281"/>
      <c r="L295" s="316" t="s">
        <v>3275</v>
      </c>
      <c r="M295" s="263" t="s">
        <v>2962</v>
      </c>
      <c r="N295" s="269">
        <f t="shared" ref="N295:N300" si="34">+R295+T295-U295</f>
        <v>33377126</v>
      </c>
      <c r="O295" s="270">
        <f t="shared" ref="O295:O300" si="35">+N295+S295+X295+ABS(Y295)-ABS(AA295)+ABS(Z295)+ABS(AB295)+ABS(AD295)-ABS(AE295)+AC295+W295+Q295</f>
        <v>33186215</v>
      </c>
      <c r="P295" s="271">
        <f t="shared" ref="P295:P300" si="36">+O295-N295</f>
        <v>-190911</v>
      </c>
      <c r="Q295" s="520"/>
      <c r="R295" s="354">
        <f>IF(ISERROR(VLOOKUP("SAN"&amp;$C295,ESTR_PREC_SP!$A$2:$G$2000,4,FALSE))=TRUE,0,VLOOKUP("SAN"&amp;$C295,ESTR_PREC_SP!$A$2:$G$2000,4,FALSE))</f>
        <v>33377126</v>
      </c>
      <c r="S295" s="521"/>
      <c r="T295" s="521"/>
      <c r="U295" s="521"/>
      <c r="W295" s="520"/>
      <c r="X295" s="520"/>
      <c r="Y295" s="520"/>
      <c r="Z295" s="520"/>
      <c r="AA295" s="520"/>
      <c r="AB295" s="520"/>
      <c r="AC295" s="520"/>
      <c r="AD295" s="520"/>
      <c r="AE295" s="520">
        <v>190911</v>
      </c>
    </row>
    <row r="296" spans="2:31" s="204" customFormat="1" x14ac:dyDescent="0.25">
      <c r="B296" s="287" t="s">
        <v>668</v>
      </c>
      <c r="C296" s="287" t="s">
        <v>669</v>
      </c>
      <c r="D296" s="274" t="s">
        <v>3276</v>
      </c>
      <c r="E296" s="264"/>
      <c r="F296" s="274"/>
      <c r="G296" s="283"/>
      <c r="H296" s="266"/>
      <c r="I296" s="281"/>
      <c r="J296" s="281"/>
      <c r="K296" s="281"/>
      <c r="L296" s="316" t="s">
        <v>3277</v>
      </c>
      <c r="M296" s="284" t="s">
        <v>2962</v>
      </c>
      <c r="N296" s="269">
        <f t="shared" si="34"/>
        <v>24461079</v>
      </c>
      <c r="O296" s="270">
        <f t="shared" si="35"/>
        <v>26558050</v>
      </c>
      <c r="P296" s="271">
        <f t="shared" si="36"/>
        <v>2096971</v>
      </c>
      <c r="Q296" s="520"/>
      <c r="R296" s="354">
        <f>IF(ISERROR(VLOOKUP("SAN"&amp;$C296,ESTR_PREC_SP!$A$2:$G$2000,4,FALSE))=TRUE,0,VLOOKUP("SAN"&amp;$C296,ESTR_PREC_SP!$A$2:$G$2000,4,FALSE))</f>
        <v>24461079</v>
      </c>
      <c r="S296" s="521"/>
      <c r="T296" s="521"/>
      <c r="U296" s="521"/>
      <c r="W296" s="520"/>
      <c r="X296" s="520"/>
      <c r="Y296" s="520"/>
      <c r="Z296" s="520"/>
      <c r="AA296" s="520"/>
      <c r="AB296" s="520">
        <f>+2803566-758906</f>
        <v>2044660</v>
      </c>
      <c r="AC296" s="520"/>
      <c r="AD296" s="520">
        <v>758906</v>
      </c>
      <c r="AE296" s="520">
        <v>706595</v>
      </c>
    </row>
    <row r="297" spans="2:31" s="204" customFormat="1" x14ac:dyDescent="0.25">
      <c r="B297" s="287" t="s">
        <v>671</v>
      </c>
      <c r="C297" s="287" t="s">
        <v>672</v>
      </c>
      <c r="D297" s="274" t="s">
        <v>3278</v>
      </c>
      <c r="E297" s="264"/>
      <c r="F297" s="274"/>
      <c r="G297" s="283"/>
      <c r="H297" s="266"/>
      <c r="I297" s="281"/>
      <c r="J297" s="281"/>
      <c r="K297" s="281"/>
      <c r="L297" s="316" t="s">
        <v>3279</v>
      </c>
      <c r="M297" s="284" t="s">
        <v>2962</v>
      </c>
      <c r="N297" s="269">
        <f t="shared" si="34"/>
        <v>2674889</v>
      </c>
      <c r="O297" s="270">
        <f t="shared" si="35"/>
        <v>2674889</v>
      </c>
      <c r="P297" s="271">
        <f t="shared" si="36"/>
        <v>0</v>
      </c>
      <c r="Q297" s="520"/>
      <c r="R297" s="354">
        <f>IF(ISERROR(VLOOKUP("SAN"&amp;$C297,ESTR_PREC_SP!$A$2:$G$2000,4,FALSE))=TRUE,0,VLOOKUP("SAN"&amp;$C297,ESTR_PREC_SP!$A$2:$G$2000,4,FALSE))</f>
        <v>2674889</v>
      </c>
      <c r="S297" s="521"/>
      <c r="T297" s="521"/>
      <c r="U297" s="521"/>
      <c r="W297" s="520"/>
      <c r="X297" s="520"/>
      <c r="Y297" s="520"/>
      <c r="Z297" s="520"/>
      <c r="AA297" s="520"/>
      <c r="AB297" s="520"/>
      <c r="AC297" s="520"/>
      <c r="AD297" s="520"/>
      <c r="AE297" s="520"/>
    </row>
    <row r="298" spans="2:31" s="204" customFormat="1" x14ac:dyDescent="0.25">
      <c r="B298" s="287" t="s">
        <v>674</v>
      </c>
      <c r="C298" s="287" t="s">
        <v>675</v>
      </c>
      <c r="D298" s="274" t="s">
        <v>3280</v>
      </c>
      <c r="E298" s="264"/>
      <c r="F298" s="274"/>
      <c r="G298" s="283"/>
      <c r="H298" s="266"/>
      <c r="I298" s="281"/>
      <c r="J298" s="281"/>
      <c r="K298" s="281"/>
      <c r="L298" s="316" t="s">
        <v>3281</v>
      </c>
      <c r="M298" s="284" t="s">
        <v>2962</v>
      </c>
      <c r="N298" s="269">
        <f t="shared" si="34"/>
        <v>6742376</v>
      </c>
      <c r="O298" s="270">
        <f t="shared" si="35"/>
        <v>6742376</v>
      </c>
      <c r="P298" s="271">
        <f t="shared" si="36"/>
        <v>0</v>
      </c>
      <c r="Q298" s="520"/>
      <c r="R298" s="354">
        <f>IF(ISERROR(VLOOKUP("SAN"&amp;$C298,ESTR_PREC_SP!$A$2:$G$2000,4,FALSE))=TRUE,0,VLOOKUP("SAN"&amp;$C298,ESTR_PREC_SP!$A$2:$G$2000,4,FALSE))</f>
        <v>6742376</v>
      </c>
      <c r="S298" s="521"/>
      <c r="T298" s="521"/>
      <c r="U298" s="521"/>
      <c r="W298" s="520"/>
      <c r="X298" s="520"/>
      <c r="Y298" s="520"/>
      <c r="Z298" s="520"/>
      <c r="AA298" s="520"/>
      <c r="AB298" s="520"/>
      <c r="AC298" s="520"/>
      <c r="AD298" s="520"/>
      <c r="AE298" s="520"/>
    </row>
    <row r="299" spans="2:31" s="204" customFormat="1" x14ac:dyDescent="0.25">
      <c r="B299" s="287" t="s">
        <v>677</v>
      </c>
      <c r="C299" s="287" t="s">
        <v>678</v>
      </c>
      <c r="D299" s="274" t="s">
        <v>3282</v>
      </c>
      <c r="E299" s="264"/>
      <c r="F299" s="274"/>
      <c r="G299" s="283"/>
      <c r="H299" s="266"/>
      <c r="I299" s="281"/>
      <c r="J299" s="281"/>
      <c r="K299" s="281"/>
      <c r="L299" s="295" t="s">
        <v>3283</v>
      </c>
      <c r="M299" s="284" t="s">
        <v>2962</v>
      </c>
      <c r="N299" s="269">
        <f t="shared" si="34"/>
        <v>0</v>
      </c>
      <c r="O299" s="270">
        <f t="shared" si="35"/>
        <v>0</v>
      </c>
      <c r="P299" s="271">
        <f t="shared" si="36"/>
        <v>0</v>
      </c>
      <c r="Q299" s="520"/>
      <c r="R299" s="354">
        <f>IF(ISERROR(VLOOKUP("SAN"&amp;$C299,ESTR_PREC_SP!$A$2:$G$2000,4,FALSE))=TRUE,0,VLOOKUP("SAN"&amp;$C299,ESTR_PREC_SP!$A$2:$G$2000,4,FALSE))</f>
        <v>0</v>
      </c>
      <c r="S299" s="521"/>
      <c r="T299" s="521"/>
      <c r="U299" s="521"/>
      <c r="W299" s="520"/>
      <c r="X299" s="520"/>
      <c r="Y299" s="520"/>
      <c r="Z299" s="520"/>
      <c r="AA299" s="520"/>
      <c r="AB299" s="520"/>
      <c r="AC299" s="520"/>
      <c r="AD299" s="520"/>
      <c r="AE299" s="520"/>
    </row>
    <row r="300" spans="2:31" s="204" customFormat="1" x14ac:dyDescent="0.25">
      <c r="B300" s="287" t="s">
        <v>680</v>
      </c>
      <c r="C300" s="287" t="s">
        <v>681</v>
      </c>
      <c r="D300" s="274" t="s">
        <v>3284</v>
      </c>
      <c r="E300" s="264"/>
      <c r="F300" s="274"/>
      <c r="G300" s="283"/>
      <c r="H300" s="266"/>
      <c r="I300" s="281"/>
      <c r="J300" s="281"/>
      <c r="K300" s="281"/>
      <c r="L300" s="295" t="s">
        <v>3285</v>
      </c>
      <c r="M300" s="284" t="s">
        <v>2962</v>
      </c>
      <c r="N300" s="269">
        <f t="shared" si="34"/>
        <v>0</v>
      </c>
      <c r="O300" s="270">
        <f t="shared" si="35"/>
        <v>0</v>
      </c>
      <c r="P300" s="271">
        <f t="shared" si="36"/>
        <v>0</v>
      </c>
      <c r="Q300" s="520"/>
      <c r="R300" s="354">
        <f>IF(ISERROR(VLOOKUP("SAN"&amp;$C300,ESTR_PREC_SP!$A$2:$G$2000,4,FALSE))=TRUE,0,VLOOKUP("SAN"&amp;$C300,ESTR_PREC_SP!$A$2:$G$2000,4,FALSE))</f>
        <v>0</v>
      </c>
      <c r="S300" s="521"/>
      <c r="T300" s="521"/>
      <c r="U300" s="521"/>
      <c r="W300" s="520"/>
      <c r="X300" s="520"/>
      <c r="Y300" s="520"/>
      <c r="Z300" s="520"/>
      <c r="AA300" s="520"/>
      <c r="AB300" s="520"/>
      <c r="AC300" s="520"/>
      <c r="AD300" s="520"/>
      <c r="AE300" s="520"/>
    </row>
    <row r="301" spans="2:31" s="204" customFormat="1" x14ac:dyDescent="0.25">
      <c r="B301" s="293"/>
      <c r="C301" s="293"/>
      <c r="D301" s="230"/>
      <c r="E301" s="230"/>
      <c r="F301" s="230"/>
      <c r="G301" s="230"/>
      <c r="H301" s="231"/>
      <c r="I301" s="230"/>
      <c r="J301" s="230"/>
      <c r="K301" s="230"/>
      <c r="L301" s="275"/>
      <c r="M301" s="216"/>
      <c r="N301" s="285"/>
      <c r="O301" s="211"/>
      <c r="P301" s="211"/>
      <c r="Q301" s="211"/>
      <c r="R301" s="211"/>
      <c r="S301" s="211"/>
      <c r="T301" s="285"/>
      <c r="U301" s="285"/>
      <c r="V301" s="285"/>
      <c r="W301" s="285"/>
      <c r="X301" s="285"/>
      <c r="Y301" s="285"/>
      <c r="Z301" s="285"/>
      <c r="AA301" s="285"/>
    </row>
    <row r="302" spans="2:31" s="204" customFormat="1" x14ac:dyDescent="0.25">
      <c r="B302" s="292" t="s">
        <v>683</v>
      </c>
      <c r="C302" s="292" t="s">
        <v>684</v>
      </c>
      <c r="D302" s="247" t="s">
        <v>3286</v>
      </c>
      <c r="E302" s="247"/>
      <c r="F302" s="247"/>
      <c r="G302" s="247"/>
      <c r="H302" s="248"/>
      <c r="I302" s="247"/>
      <c r="J302" s="247"/>
      <c r="K302" s="249"/>
      <c r="L302" s="276" t="s">
        <v>687</v>
      </c>
      <c r="M302" s="251" t="s">
        <v>2962</v>
      </c>
      <c r="N302" s="252">
        <f>SUM(N305:N310)</f>
        <v>62920922</v>
      </c>
      <c r="O302" s="252">
        <f>SUM(O305:O310)</f>
        <v>63786885</v>
      </c>
      <c r="P302" s="259">
        <f>+O302-N302</f>
        <v>865963</v>
      </c>
      <c r="Q302" s="252">
        <f>SUM(Q305:Q310)</f>
        <v>0</v>
      </c>
      <c r="R302" s="252">
        <f>SUM(R305:R310)</f>
        <v>62920922</v>
      </c>
      <c r="S302" s="252">
        <f>SUM(S305:S310)</f>
        <v>0</v>
      </c>
      <c r="W302" s="252">
        <f>SUM(W305:W310)</f>
        <v>0</v>
      </c>
      <c r="X302" s="252">
        <f>SUM(X305:X310)</f>
        <v>0</v>
      </c>
      <c r="Y302" s="252">
        <f>SUM(Y305:Y310)</f>
        <v>897377</v>
      </c>
      <c r="Z302" s="252">
        <f>SUM(Z305:Z310)</f>
        <v>1763340</v>
      </c>
      <c r="AA302" s="285"/>
    </row>
    <row r="303" spans="2:31" s="204" customFormat="1" x14ac:dyDescent="0.25">
      <c r="B303" s="293"/>
      <c r="C303" s="293"/>
      <c r="D303" s="230"/>
      <c r="E303" s="230"/>
      <c r="F303" s="230"/>
      <c r="G303" s="230"/>
      <c r="H303" s="231"/>
      <c r="I303" s="230"/>
      <c r="J303" s="230"/>
      <c r="K303" s="230"/>
      <c r="L303" s="241"/>
      <c r="M303" s="278"/>
      <c r="N303" s="279"/>
      <c r="O303" s="211"/>
      <c r="P303" s="211"/>
      <c r="Q303" s="211"/>
      <c r="R303" s="211"/>
      <c r="W303" s="285"/>
      <c r="X303" s="285"/>
      <c r="Y303" s="285"/>
      <c r="Z303" s="285"/>
      <c r="AA303" s="285"/>
    </row>
    <row r="304" spans="2:31" s="204" customFormat="1" ht="51" x14ac:dyDescent="0.25">
      <c r="B304" s="294" t="s">
        <v>2968</v>
      </c>
      <c r="C304" s="294" t="s">
        <v>2969</v>
      </c>
      <c r="D304" s="206" t="s">
        <v>72</v>
      </c>
      <c r="E304" s="206"/>
      <c r="F304" s="206"/>
      <c r="G304" s="207"/>
      <c r="H304" s="207"/>
      <c r="I304" s="207"/>
      <c r="J304" s="207" t="s">
        <v>2957</v>
      </c>
      <c r="K304" s="206" t="s">
        <v>82</v>
      </c>
      <c r="L304" s="261" t="s">
        <v>2970</v>
      </c>
      <c r="M304" s="260"/>
      <c r="N304" s="256" t="str">
        <f>N$15</f>
        <v>Valore netto al 31/12/2019</v>
      </c>
      <c r="O304" s="256" t="str">
        <f>O$15</f>
        <v>Valore netto al 31/12/2020</v>
      </c>
      <c r="P304" s="256" t="str">
        <f>P$15</f>
        <v>Variazione</v>
      </c>
      <c r="Q304" s="262" t="s">
        <v>2971</v>
      </c>
      <c r="R304" s="262" t="str">
        <f>"Fondo ammortamento 31/12/"&amp;Info!$B$3-1</f>
        <v>Fondo ammortamento 31/12/2019</v>
      </c>
      <c r="S304" s="262" t="s">
        <v>2972</v>
      </c>
      <c r="W304" s="262" t="s">
        <v>2975</v>
      </c>
      <c r="X304" s="262" t="s">
        <v>2976</v>
      </c>
      <c r="Y304" s="262" t="s">
        <v>2989</v>
      </c>
      <c r="Z304" s="262" t="s">
        <v>2990</v>
      </c>
      <c r="AA304" s="285"/>
    </row>
    <row r="305" spans="2:31" s="204" customFormat="1" x14ac:dyDescent="0.25">
      <c r="B305" s="287" t="s">
        <v>688</v>
      </c>
      <c r="C305" s="287" t="s">
        <v>689</v>
      </c>
      <c r="D305" s="274" t="s">
        <v>3287</v>
      </c>
      <c r="E305" s="264"/>
      <c r="F305" s="274"/>
      <c r="G305" s="283"/>
      <c r="H305" s="266"/>
      <c r="I305" s="281"/>
      <c r="J305" s="281"/>
      <c r="K305" s="281"/>
      <c r="L305" s="316" t="s">
        <v>3288</v>
      </c>
      <c r="M305" s="263" t="s">
        <v>2962</v>
      </c>
      <c r="N305" s="269">
        <f t="shared" ref="N305:N310" si="37">+R305</f>
        <v>33346816</v>
      </c>
      <c r="O305" s="270">
        <f t="shared" ref="O305:O310" si="38">+R305+S305+X305-ABS(Y305)+ABS(Z305)+W305+Q305</f>
        <v>33174855</v>
      </c>
      <c r="P305" s="271">
        <f t="shared" ref="P305:P310" si="39">+O305-N305</f>
        <v>-171961</v>
      </c>
      <c r="Q305" s="520"/>
      <c r="R305" s="354">
        <f>IF(ISERROR(VLOOKUP("SAN"&amp;$C305,ESTR_PREC_SP!$A$2:$G$2000,4,FALSE))=TRUE,0,VLOOKUP("SAN"&amp;$C305,ESTR_PREC_SP!$A$2:$G$2000,4,FALSE))</f>
        <v>33346816</v>
      </c>
      <c r="S305" s="521"/>
      <c r="V305" s="211"/>
      <c r="W305" s="520"/>
      <c r="X305" s="520"/>
      <c r="Y305" s="520">
        <f>190911-2</f>
        <v>190909</v>
      </c>
      <c r="Z305" s="520">
        <v>18948</v>
      </c>
      <c r="AA305" s="285"/>
    </row>
    <row r="306" spans="2:31" s="204" customFormat="1" x14ac:dyDescent="0.25">
      <c r="B306" s="287" t="s">
        <v>691</v>
      </c>
      <c r="C306" s="287" t="s">
        <v>692</v>
      </c>
      <c r="D306" s="274" t="s">
        <v>3289</v>
      </c>
      <c r="E306" s="264"/>
      <c r="F306" s="274"/>
      <c r="G306" s="283"/>
      <c r="H306" s="266"/>
      <c r="I306" s="281"/>
      <c r="J306" s="281"/>
      <c r="K306" s="281"/>
      <c r="L306" s="316" t="s">
        <v>3290</v>
      </c>
      <c r="M306" s="263" t="s">
        <v>2962</v>
      </c>
      <c r="N306" s="269">
        <f t="shared" si="37"/>
        <v>22401589</v>
      </c>
      <c r="O306" s="270">
        <f t="shared" si="38"/>
        <v>22644072</v>
      </c>
      <c r="P306" s="271">
        <f t="shared" si="39"/>
        <v>242483</v>
      </c>
      <c r="Q306" s="520"/>
      <c r="R306" s="354">
        <f>IF(ISERROR(VLOOKUP("SAN"&amp;$C306,ESTR_PREC_SP!$A$2:$G$2000,4,FALSE))=TRUE,0,VLOOKUP("SAN"&amp;$C306,ESTR_PREC_SP!$A$2:$G$2000,4,FALSE))</f>
        <v>22401589</v>
      </c>
      <c r="S306" s="521"/>
      <c r="V306" s="211"/>
      <c r="W306" s="520"/>
      <c r="X306" s="520"/>
      <c r="Y306" s="520">
        <f>706470-2</f>
        <v>706468</v>
      </c>
      <c r="Z306" s="520">
        <f>948956-1-4</f>
        <v>948951</v>
      </c>
      <c r="AA306" s="285"/>
    </row>
    <row r="307" spans="2:31" s="204" customFormat="1" x14ac:dyDescent="0.25">
      <c r="B307" s="287" t="s">
        <v>694</v>
      </c>
      <c r="C307" s="287" t="s">
        <v>695</v>
      </c>
      <c r="D307" s="274" t="s">
        <v>3291</v>
      </c>
      <c r="E307" s="264"/>
      <c r="F307" s="274"/>
      <c r="G307" s="283"/>
      <c r="H307" s="266"/>
      <c r="I307" s="281"/>
      <c r="J307" s="281"/>
      <c r="K307" s="281"/>
      <c r="L307" s="316" t="s">
        <v>3292</v>
      </c>
      <c r="M307" s="284" t="s">
        <v>2962</v>
      </c>
      <c r="N307" s="269">
        <f t="shared" si="37"/>
        <v>2674889</v>
      </c>
      <c r="O307" s="270">
        <f t="shared" si="38"/>
        <v>2674889</v>
      </c>
      <c r="P307" s="271">
        <f t="shared" si="39"/>
        <v>0</v>
      </c>
      <c r="Q307" s="520"/>
      <c r="R307" s="354">
        <f>IF(ISERROR(VLOOKUP("SAN"&amp;$C307,ESTR_PREC_SP!$A$2:$G$2000,4,FALSE))=TRUE,0,VLOOKUP("SAN"&amp;$C307,ESTR_PREC_SP!$A$2:$G$2000,4,FALSE))</f>
        <v>2674889</v>
      </c>
      <c r="S307" s="521"/>
      <c r="V307" s="211"/>
      <c r="W307" s="520"/>
      <c r="X307" s="520"/>
      <c r="Y307" s="520"/>
      <c r="Z307" s="520"/>
      <c r="AA307" s="285"/>
    </row>
    <row r="308" spans="2:31" s="204" customFormat="1" x14ac:dyDescent="0.25">
      <c r="B308" s="287" t="s">
        <v>697</v>
      </c>
      <c r="C308" s="287" t="s">
        <v>698</v>
      </c>
      <c r="D308" s="274" t="s">
        <v>3293</v>
      </c>
      <c r="E308" s="264"/>
      <c r="F308" s="274"/>
      <c r="G308" s="283"/>
      <c r="H308" s="266"/>
      <c r="I308" s="281"/>
      <c r="J308" s="281"/>
      <c r="K308" s="281"/>
      <c r="L308" s="316" t="s">
        <v>3294</v>
      </c>
      <c r="M308" s="284" t="s">
        <v>2962</v>
      </c>
      <c r="N308" s="269">
        <f t="shared" si="37"/>
        <v>4497628</v>
      </c>
      <c r="O308" s="270">
        <f t="shared" si="38"/>
        <v>5293069</v>
      </c>
      <c r="P308" s="271">
        <f t="shared" si="39"/>
        <v>795441</v>
      </c>
      <c r="Q308" s="520"/>
      <c r="R308" s="354">
        <f>IF(ISERROR(VLOOKUP("SAN"&amp;$C308,ESTR_PREC_SP!$A$2:$G$2000,4,FALSE))=TRUE,0,VLOOKUP("SAN"&amp;$C308,ESTR_PREC_SP!$A$2:$G$2000,4,FALSE))</f>
        <v>4497628</v>
      </c>
      <c r="S308" s="521"/>
      <c r="V308" s="211"/>
      <c r="W308" s="520"/>
      <c r="X308" s="520"/>
      <c r="Y308" s="520"/>
      <c r="Z308" s="520">
        <f>795441</f>
        <v>795441</v>
      </c>
      <c r="AA308" s="285"/>
    </row>
    <row r="309" spans="2:31" s="204" customFormat="1" x14ac:dyDescent="0.25">
      <c r="B309" s="287" t="s">
        <v>700</v>
      </c>
      <c r="C309" s="287" t="s">
        <v>701</v>
      </c>
      <c r="D309" s="274" t="s">
        <v>3295</v>
      </c>
      <c r="E309" s="264"/>
      <c r="F309" s="274"/>
      <c r="G309" s="283"/>
      <c r="H309" s="266"/>
      <c r="I309" s="281"/>
      <c r="J309" s="281"/>
      <c r="K309" s="281"/>
      <c r="L309" s="295" t="s">
        <v>3296</v>
      </c>
      <c r="M309" s="284" t="s">
        <v>2962</v>
      </c>
      <c r="N309" s="269">
        <f t="shared" si="37"/>
        <v>0</v>
      </c>
      <c r="O309" s="270">
        <f t="shared" si="38"/>
        <v>0</v>
      </c>
      <c r="P309" s="271">
        <f t="shared" si="39"/>
        <v>0</v>
      </c>
      <c r="Q309" s="520"/>
      <c r="R309" s="354">
        <f>IF(ISERROR(VLOOKUP("SAN"&amp;$C309,ESTR_PREC_SP!$A$2:$G$2000,4,FALSE))=TRUE,0,VLOOKUP("SAN"&amp;$C309,ESTR_PREC_SP!$A$2:$G$2000,4,FALSE))</f>
        <v>0</v>
      </c>
      <c r="S309" s="521"/>
      <c r="V309" s="211"/>
      <c r="W309" s="520"/>
      <c r="X309" s="520"/>
      <c r="Y309" s="520"/>
      <c r="Z309" s="520"/>
      <c r="AA309" s="285"/>
    </row>
    <row r="310" spans="2:31" s="204" customFormat="1" x14ac:dyDescent="0.25">
      <c r="B310" s="287" t="s">
        <v>703</v>
      </c>
      <c r="C310" s="287" t="s">
        <v>704</v>
      </c>
      <c r="D310" s="274" t="s">
        <v>3297</v>
      </c>
      <c r="E310" s="264"/>
      <c r="F310" s="274"/>
      <c r="G310" s="283"/>
      <c r="H310" s="266"/>
      <c r="I310" s="281"/>
      <c r="J310" s="281"/>
      <c r="K310" s="281"/>
      <c r="L310" s="295" t="s">
        <v>3298</v>
      </c>
      <c r="M310" s="284" t="s">
        <v>2962</v>
      </c>
      <c r="N310" s="269">
        <f t="shared" si="37"/>
        <v>0</v>
      </c>
      <c r="O310" s="270">
        <f t="shared" si="38"/>
        <v>0</v>
      </c>
      <c r="P310" s="271">
        <f t="shared" si="39"/>
        <v>0</v>
      </c>
      <c r="Q310" s="520"/>
      <c r="R310" s="354">
        <f>IF(ISERROR(VLOOKUP("SAN"&amp;$C310,ESTR_PREC_SP!$A$2:$G$2000,4,FALSE))=TRUE,0,VLOOKUP("SAN"&amp;$C310,ESTR_PREC_SP!$A$2:$G$2000,4,FALSE))</f>
        <v>0</v>
      </c>
      <c r="S310" s="521"/>
      <c r="V310" s="211"/>
      <c r="W310" s="520"/>
      <c r="X310" s="520"/>
      <c r="Y310" s="520"/>
      <c r="Z310" s="520"/>
      <c r="AA310" s="285"/>
    </row>
    <row r="311" spans="2:31" s="204" customFormat="1" x14ac:dyDescent="0.25">
      <c r="B311" s="293"/>
      <c r="C311" s="293"/>
      <c r="D311" s="230"/>
      <c r="E311" s="230"/>
      <c r="F311" s="230"/>
      <c r="G311" s="230"/>
      <c r="H311" s="231"/>
      <c r="I311" s="230"/>
      <c r="J311" s="230"/>
      <c r="K311" s="230"/>
      <c r="L311" s="299"/>
      <c r="M311" s="317"/>
      <c r="N311" s="317"/>
      <c r="O311" s="317"/>
      <c r="P311" s="318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</row>
    <row r="312" spans="2:31" s="204" customFormat="1" ht="25.5" x14ac:dyDescent="0.25">
      <c r="B312" s="293"/>
      <c r="C312" s="293"/>
      <c r="D312" s="293"/>
      <c r="E312" s="293"/>
      <c r="F312" s="293"/>
      <c r="G312" s="293"/>
      <c r="H312" s="319"/>
      <c r="I312" s="293"/>
      <c r="J312" s="293"/>
      <c r="K312" s="293"/>
      <c r="L312" s="320"/>
      <c r="M312" s="244"/>
      <c r="N312" s="256" t="str">
        <f>N$15</f>
        <v>Valore netto al 31/12/2019</v>
      </c>
      <c r="O312" s="256" t="str">
        <f>O$15</f>
        <v>Valore netto al 31/12/2020</v>
      </c>
      <c r="P312" s="256" t="str">
        <f>P$15</f>
        <v>Variazione</v>
      </c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</row>
    <row r="313" spans="2:31" s="204" customFormat="1" x14ac:dyDescent="0.25">
      <c r="B313" s="292" t="s">
        <v>706</v>
      </c>
      <c r="C313" s="292" t="s">
        <v>707</v>
      </c>
      <c r="D313" s="247" t="s">
        <v>3299</v>
      </c>
      <c r="E313" s="247"/>
      <c r="F313" s="247"/>
      <c r="G313" s="247"/>
      <c r="H313" s="248"/>
      <c r="I313" s="247"/>
      <c r="J313" s="247"/>
      <c r="K313" s="249"/>
      <c r="L313" s="257" t="s">
        <v>709</v>
      </c>
      <c r="M313" s="251" t="s">
        <v>2962</v>
      </c>
      <c r="N313" s="252">
        <f>+N315-N327</f>
        <v>493037</v>
      </c>
      <c r="O313" s="252">
        <f>+O315-O327</f>
        <v>391047</v>
      </c>
      <c r="P313" s="253">
        <f>+O313-N313</f>
        <v>-101990</v>
      </c>
      <c r="Q313" s="285"/>
      <c r="R313" s="285"/>
      <c r="S313" s="252">
        <f>+S315-S327</f>
        <v>0</v>
      </c>
      <c r="T313" s="285"/>
      <c r="U313" s="285"/>
      <c r="V313" s="285"/>
      <c r="W313" s="211"/>
      <c r="X313" s="252">
        <f>+X315-X327</f>
        <v>0</v>
      </c>
      <c r="Y313" s="285"/>
      <c r="Z313" s="285"/>
      <c r="AA313" s="285"/>
    </row>
    <row r="314" spans="2:31" s="204" customFormat="1" x14ac:dyDescent="0.25">
      <c r="B314" s="293"/>
      <c r="C314" s="293"/>
      <c r="D314" s="230"/>
      <c r="E314" s="230"/>
      <c r="F314" s="230"/>
      <c r="G314" s="285"/>
      <c r="H314" s="321"/>
      <c r="I314" s="285"/>
      <c r="J314" s="285"/>
      <c r="K314" s="285"/>
      <c r="L314" s="322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</row>
    <row r="315" spans="2:31" s="204" customFormat="1" x14ac:dyDescent="0.25">
      <c r="B315" s="292" t="s">
        <v>710</v>
      </c>
      <c r="C315" s="292" t="s">
        <v>711</v>
      </c>
      <c r="D315" s="247" t="s">
        <v>3300</v>
      </c>
      <c r="E315" s="247"/>
      <c r="F315" s="247"/>
      <c r="G315" s="247"/>
      <c r="H315" s="248"/>
      <c r="I315" s="247"/>
      <c r="J315" s="247"/>
      <c r="K315" s="249"/>
      <c r="L315" s="276" t="s">
        <v>714</v>
      </c>
      <c r="M315" s="251" t="s">
        <v>2962</v>
      </c>
      <c r="N315" s="252">
        <f>SUM(N318:N325)</f>
        <v>7528290</v>
      </c>
      <c r="O315" s="252">
        <f>SUM(O318:O325)</f>
        <v>7555687</v>
      </c>
      <c r="P315" s="259">
        <f>+O315-N315</f>
        <v>27397</v>
      </c>
      <c r="Q315" s="252">
        <f>SUM(Q318:Q325)</f>
        <v>0</v>
      </c>
      <c r="R315" s="252">
        <f>SUM(R318:R325)</f>
        <v>7528290</v>
      </c>
      <c r="S315" s="252">
        <f>SUM(S318:S325)</f>
        <v>0</v>
      </c>
      <c r="T315" s="252">
        <f>SUM(T318:T325)</f>
        <v>0</v>
      </c>
      <c r="U315" s="252">
        <f>SUM(U318:U325)</f>
        <v>0</v>
      </c>
      <c r="W315" s="252">
        <f t="shared" ref="W315:AE315" si="40">SUM(W318:W325)</f>
        <v>0</v>
      </c>
      <c r="X315" s="252">
        <f t="shared" si="40"/>
        <v>0</v>
      </c>
      <c r="Y315" s="252">
        <f t="shared" si="40"/>
        <v>0</v>
      </c>
      <c r="Z315" s="252">
        <f t="shared" si="40"/>
        <v>0</v>
      </c>
      <c r="AA315" s="252">
        <f t="shared" si="40"/>
        <v>0</v>
      </c>
      <c r="AB315" s="252">
        <f t="shared" si="40"/>
        <v>47429</v>
      </c>
      <c r="AC315" s="252">
        <f t="shared" si="40"/>
        <v>0</v>
      </c>
      <c r="AD315" s="252">
        <f t="shared" si="40"/>
        <v>0</v>
      </c>
      <c r="AE315" s="252">
        <f t="shared" si="40"/>
        <v>20032</v>
      </c>
    </row>
    <row r="316" spans="2:31" s="204" customFormat="1" x14ac:dyDescent="0.25">
      <c r="B316" s="293"/>
      <c r="C316" s="293"/>
      <c r="D316" s="230"/>
      <c r="E316" s="230"/>
      <c r="F316" s="230"/>
      <c r="G316" s="230"/>
      <c r="H316" s="231"/>
      <c r="I316" s="230"/>
      <c r="J316" s="230"/>
      <c r="K316" s="230"/>
      <c r="L316" s="277"/>
      <c r="M316" s="211"/>
      <c r="N316" s="254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</row>
    <row r="317" spans="2:31" s="204" customFormat="1" ht="51" x14ac:dyDescent="0.25">
      <c r="B317" s="294" t="s">
        <v>2968</v>
      </c>
      <c r="C317" s="294" t="s">
        <v>2969</v>
      </c>
      <c r="D317" s="206" t="s">
        <v>72</v>
      </c>
      <c r="E317" s="206"/>
      <c r="F317" s="206"/>
      <c r="G317" s="207"/>
      <c r="H317" s="207"/>
      <c r="I317" s="207"/>
      <c r="J317" s="207" t="s">
        <v>2957</v>
      </c>
      <c r="K317" s="206" t="s">
        <v>82</v>
      </c>
      <c r="L317" s="261" t="s">
        <v>2970</v>
      </c>
      <c r="M317" s="260"/>
      <c r="N317" s="256" t="str">
        <f>N$15</f>
        <v>Valore netto al 31/12/2019</v>
      </c>
      <c r="O317" s="256" t="str">
        <f>O$15</f>
        <v>Valore netto al 31/12/2020</v>
      </c>
      <c r="P317" s="256" t="str">
        <f>P$15</f>
        <v>Variazione</v>
      </c>
      <c r="Q317" s="262" t="s">
        <v>2971</v>
      </c>
      <c r="R317" s="262" t="str">
        <f>"Costo storico al 31/12/"&amp;Info!$B$3-1</f>
        <v>Costo storico al 31/12/2019</v>
      </c>
      <c r="S317" s="262" t="s">
        <v>2972</v>
      </c>
      <c r="T317" s="262" t="s">
        <v>2973</v>
      </c>
      <c r="U317" s="262" t="s">
        <v>2974</v>
      </c>
      <c r="W317" s="262" t="s">
        <v>2975</v>
      </c>
      <c r="X317" s="262" t="s">
        <v>2976</v>
      </c>
      <c r="Y317" s="262" t="s">
        <v>2977</v>
      </c>
      <c r="Z317" s="262" t="s">
        <v>2978</v>
      </c>
      <c r="AA317" s="262" t="s">
        <v>2979</v>
      </c>
      <c r="AB317" s="262" t="s">
        <v>2980</v>
      </c>
      <c r="AC317" s="262" t="s">
        <v>2981</v>
      </c>
      <c r="AD317" s="262" t="s">
        <v>2982</v>
      </c>
      <c r="AE317" s="262" t="s">
        <v>2983</v>
      </c>
    </row>
    <row r="318" spans="2:31" s="204" customFormat="1" x14ac:dyDescent="0.25">
      <c r="B318" s="287" t="s">
        <v>715</v>
      </c>
      <c r="C318" s="287" t="s">
        <v>716</v>
      </c>
      <c r="D318" s="274" t="s">
        <v>3301</v>
      </c>
      <c r="E318" s="264"/>
      <c r="F318" s="274"/>
      <c r="G318" s="274"/>
      <c r="H318" s="266"/>
      <c r="I318" s="281"/>
      <c r="J318" s="281"/>
      <c r="K318" s="281"/>
      <c r="L318" s="282" t="s">
        <v>3302</v>
      </c>
      <c r="M318" s="263" t="s">
        <v>2962</v>
      </c>
      <c r="N318" s="269">
        <f t="shared" ref="N318:N325" si="41">+R318+T318-U318</f>
        <v>921601</v>
      </c>
      <c r="O318" s="270">
        <f t="shared" ref="O318:O325" si="42">+N318+S318+X318+ABS(Y318)-ABS(AA318)+ABS(Z318)+ABS(AB318)+ABS(AD318)-ABS(AE318)+AC318+W318+Q318</f>
        <v>920670</v>
      </c>
      <c r="P318" s="271">
        <f t="shared" ref="P318:P325" si="43">+O318-N318</f>
        <v>-931</v>
      </c>
      <c r="Q318" s="520"/>
      <c r="R318" s="354">
        <f>IF(ISERROR(VLOOKUP("SAN"&amp;$C318,ESTR_PREC_SP!$A$2:$G$2000,4,FALSE))=TRUE,0,VLOOKUP("SAN"&amp;$C318,ESTR_PREC_SP!$A$2:$G$2000,4,FALSE))</f>
        <v>921601</v>
      </c>
      <c r="S318" s="521"/>
      <c r="T318" s="521"/>
      <c r="U318" s="521"/>
      <c r="W318" s="520"/>
      <c r="X318" s="520"/>
      <c r="Y318" s="520"/>
      <c r="Z318" s="520"/>
      <c r="AA318" s="520"/>
      <c r="AB318" s="520"/>
      <c r="AC318" s="520"/>
      <c r="AD318" s="520"/>
      <c r="AE318" s="520">
        <v>931</v>
      </c>
    </row>
    <row r="319" spans="2:31" s="204" customFormat="1" x14ac:dyDescent="0.25">
      <c r="B319" s="287" t="s">
        <v>718</v>
      </c>
      <c r="C319" s="287" t="s">
        <v>719</v>
      </c>
      <c r="D319" s="274" t="s">
        <v>3303</v>
      </c>
      <c r="E319" s="264"/>
      <c r="F319" s="274"/>
      <c r="G319" s="274"/>
      <c r="H319" s="266"/>
      <c r="I319" s="281"/>
      <c r="J319" s="281"/>
      <c r="K319" s="281"/>
      <c r="L319" s="282" t="s">
        <v>3304</v>
      </c>
      <c r="M319" s="263" t="s">
        <v>2962</v>
      </c>
      <c r="N319" s="269">
        <f t="shared" si="41"/>
        <v>943726</v>
      </c>
      <c r="O319" s="270">
        <f t="shared" si="42"/>
        <v>945389</v>
      </c>
      <c r="P319" s="271">
        <f t="shared" si="43"/>
        <v>1663</v>
      </c>
      <c r="Q319" s="520"/>
      <c r="R319" s="354">
        <f>IF(ISERROR(VLOOKUP("SAN"&amp;$C319,ESTR_PREC_SP!$A$2:$G$2000,4,FALSE))=TRUE,0,VLOOKUP("SAN"&amp;$C319,ESTR_PREC_SP!$A$2:$G$2000,4,FALSE))</f>
        <v>943726</v>
      </c>
      <c r="S319" s="521"/>
      <c r="T319" s="521"/>
      <c r="U319" s="521"/>
      <c r="W319" s="520"/>
      <c r="X319" s="520"/>
      <c r="Y319" s="520"/>
      <c r="Z319" s="520"/>
      <c r="AA319" s="520"/>
      <c r="AB319" s="520">
        <f>5974+1</f>
        <v>5975</v>
      </c>
      <c r="AC319" s="520"/>
      <c r="AD319" s="520"/>
      <c r="AE319" s="520">
        <v>4312</v>
      </c>
    </row>
    <row r="320" spans="2:31" s="204" customFormat="1" x14ac:dyDescent="0.25">
      <c r="B320" s="287" t="s">
        <v>721</v>
      </c>
      <c r="C320" s="287" t="s">
        <v>722</v>
      </c>
      <c r="D320" s="274" t="s">
        <v>3305</v>
      </c>
      <c r="E320" s="264"/>
      <c r="F320" s="274"/>
      <c r="G320" s="274"/>
      <c r="H320" s="266"/>
      <c r="I320" s="281"/>
      <c r="J320" s="281"/>
      <c r="K320" s="281"/>
      <c r="L320" s="295" t="s">
        <v>3306</v>
      </c>
      <c r="M320" s="284" t="s">
        <v>2962</v>
      </c>
      <c r="N320" s="269">
        <f t="shared" si="41"/>
        <v>0</v>
      </c>
      <c r="O320" s="270">
        <f t="shared" si="42"/>
        <v>0</v>
      </c>
      <c r="P320" s="271">
        <f t="shared" si="43"/>
        <v>0</v>
      </c>
      <c r="Q320" s="520"/>
      <c r="R320" s="354">
        <f>IF(ISERROR(VLOOKUP("SAN"&amp;$C320,ESTR_PREC_SP!$A$2:$G$2000,4,FALSE))=TRUE,0,VLOOKUP("SAN"&amp;$C320,ESTR_PREC_SP!$A$2:$G$2000,4,FALSE))</f>
        <v>0</v>
      </c>
      <c r="S320" s="521"/>
      <c r="T320" s="521"/>
      <c r="U320" s="521"/>
      <c r="W320" s="520"/>
      <c r="X320" s="520"/>
      <c r="Y320" s="520"/>
      <c r="Z320" s="520"/>
      <c r="AA320" s="520"/>
      <c r="AB320" s="520"/>
      <c r="AC320" s="520"/>
      <c r="AD320" s="520"/>
      <c r="AE320" s="520"/>
    </row>
    <row r="321" spans="2:31" s="204" customFormat="1" x14ac:dyDescent="0.25">
      <c r="B321" s="287" t="s">
        <v>724</v>
      </c>
      <c r="C321" s="287" t="s">
        <v>725</v>
      </c>
      <c r="D321" s="274" t="s">
        <v>3307</v>
      </c>
      <c r="E321" s="264"/>
      <c r="F321" s="274"/>
      <c r="G321" s="274"/>
      <c r="H321" s="266"/>
      <c r="I321" s="281"/>
      <c r="J321" s="281"/>
      <c r="K321" s="281"/>
      <c r="L321" s="295" t="s">
        <v>3308</v>
      </c>
      <c r="M321" s="284" t="s">
        <v>2962</v>
      </c>
      <c r="N321" s="269">
        <f t="shared" si="41"/>
        <v>0</v>
      </c>
      <c r="O321" s="270">
        <f t="shared" si="42"/>
        <v>0</v>
      </c>
      <c r="P321" s="271">
        <f t="shared" si="43"/>
        <v>0</v>
      </c>
      <c r="Q321" s="520"/>
      <c r="R321" s="354">
        <f>IF(ISERROR(VLOOKUP("SAN"&amp;$C321,ESTR_PREC_SP!$A$2:$G$2000,4,FALSE))=TRUE,0,VLOOKUP("SAN"&amp;$C321,ESTR_PREC_SP!$A$2:$G$2000,4,FALSE))</f>
        <v>0</v>
      </c>
      <c r="S321" s="521"/>
      <c r="T321" s="521"/>
      <c r="U321" s="521"/>
      <c r="W321" s="520"/>
      <c r="X321" s="520"/>
      <c r="Y321" s="520"/>
      <c r="Z321" s="520"/>
      <c r="AA321" s="520"/>
      <c r="AB321" s="520"/>
      <c r="AC321" s="520"/>
      <c r="AD321" s="520"/>
      <c r="AE321" s="520"/>
    </row>
    <row r="322" spans="2:31" s="204" customFormat="1" x14ac:dyDescent="0.25">
      <c r="B322" s="287" t="s">
        <v>727</v>
      </c>
      <c r="C322" s="287" t="s">
        <v>728</v>
      </c>
      <c r="D322" s="274" t="s">
        <v>3309</v>
      </c>
      <c r="E322" s="264"/>
      <c r="F322" s="274"/>
      <c r="G322" s="274"/>
      <c r="H322" s="266"/>
      <c r="I322" s="281"/>
      <c r="J322" s="281"/>
      <c r="K322" s="281"/>
      <c r="L322" s="295" t="s">
        <v>3310</v>
      </c>
      <c r="M322" s="284" t="s">
        <v>2962</v>
      </c>
      <c r="N322" s="269">
        <f t="shared" si="41"/>
        <v>3720010</v>
      </c>
      <c r="O322" s="270">
        <f t="shared" si="42"/>
        <v>3709426</v>
      </c>
      <c r="P322" s="271">
        <f t="shared" si="43"/>
        <v>-10584</v>
      </c>
      <c r="Q322" s="520"/>
      <c r="R322" s="354">
        <f>IF(ISERROR(VLOOKUP("SAN"&amp;$C322,ESTR_PREC_SP!$A$2:$G$2000,4,FALSE))=TRUE,0,VLOOKUP("SAN"&amp;$C322,ESTR_PREC_SP!$A$2:$G$2000,4,FALSE))</f>
        <v>3720010</v>
      </c>
      <c r="S322" s="521"/>
      <c r="T322" s="521"/>
      <c r="U322" s="521"/>
      <c r="W322" s="520"/>
      <c r="X322" s="520"/>
      <c r="Y322" s="520"/>
      <c r="Z322" s="520"/>
      <c r="AA322" s="520"/>
      <c r="AB322" s="520"/>
      <c r="AC322" s="520"/>
      <c r="AD322" s="520"/>
      <c r="AE322" s="520">
        <v>10584</v>
      </c>
    </row>
    <row r="323" spans="2:31" s="204" customFormat="1" x14ac:dyDescent="0.25">
      <c r="B323" s="287" t="s">
        <v>730</v>
      </c>
      <c r="C323" s="287" t="s">
        <v>731</v>
      </c>
      <c r="D323" s="274" t="s">
        <v>3311</v>
      </c>
      <c r="E323" s="264"/>
      <c r="F323" s="274"/>
      <c r="G323" s="274"/>
      <c r="H323" s="266"/>
      <c r="I323" s="281"/>
      <c r="J323" s="281"/>
      <c r="K323" s="281"/>
      <c r="L323" s="295" t="s">
        <v>3312</v>
      </c>
      <c r="M323" s="284" t="s">
        <v>2962</v>
      </c>
      <c r="N323" s="269">
        <f t="shared" si="41"/>
        <v>1942953</v>
      </c>
      <c r="O323" s="270">
        <f t="shared" si="42"/>
        <v>1980202</v>
      </c>
      <c r="P323" s="271">
        <f t="shared" si="43"/>
        <v>37249</v>
      </c>
      <c r="Q323" s="520"/>
      <c r="R323" s="354">
        <f>IF(ISERROR(VLOOKUP("SAN"&amp;$C323,ESTR_PREC_SP!$A$2:$G$2000,4,FALSE))=TRUE,0,VLOOKUP("SAN"&amp;$C323,ESTR_PREC_SP!$A$2:$G$2000,4,FALSE))</f>
        <v>1942953</v>
      </c>
      <c r="S323" s="521"/>
      <c r="T323" s="521"/>
      <c r="U323" s="521"/>
      <c r="W323" s="520"/>
      <c r="X323" s="520"/>
      <c r="Y323" s="520"/>
      <c r="Z323" s="520"/>
      <c r="AA323" s="520"/>
      <c r="AB323" s="520">
        <f>41453+1</f>
        <v>41454</v>
      </c>
      <c r="AC323" s="520"/>
      <c r="AD323" s="520"/>
      <c r="AE323" s="520">
        <v>4205</v>
      </c>
    </row>
    <row r="324" spans="2:31" s="204" customFormat="1" x14ac:dyDescent="0.25">
      <c r="B324" s="287" t="s">
        <v>733</v>
      </c>
      <c r="C324" s="287" t="s">
        <v>734</v>
      </c>
      <c r="D324" s="274" t="s">
        <v>3313</v>
      </c>
      <c r="E324" s="264"/>
      <c r="F324" s="274"/>
      <c r="G324" s="274"/>
      <c r="H324" s="266"/>
      <c r="I324" s="281"/>
      <c r="J324" s="281"/>
      <c r="K324" s="281"/>
      <c r="L324" s="295" t="s">
        <v>3314</v>
      </c>
      <c r="M324" s="284" t="s">
        <v>2962</v>
      </c>
      <c r="N324" s="269">
        <f t="shared" si="41"/>
        <v>0</v>
      </c>
      <c r="O324" s="270">
        <f t="shared" si="42"/>
        <v>0</v>
      </c>
      <c r="P324" s="271">
        <f t="shared" si="43"/>
        <v>0</v>
      </c>
      <c r="Q324" s="520"/>
      <c r="R324" s="354">
        <f>IF(ISERROR(VLOOKUP("SAN"&amp;$C324,ESTR_PREC_SP!$A$2:$G$2000,4,FALSE))=TRUE,0,VLOOKUP("SAN"&amp;$C324,ESTR_PREC_SP!$A$2:$G$2000,4,FALSE))</f>
        <v>0</v>
      </c>
      <c r="S324" s="521"/>
      <c r="T324" s="521"/>
      <c r="U324" s="521"/>
      <c r="W324" s="520"/>
      <c r="X324" s="520"/>
      <c r="Y324" s="520"/>
      <c r="Z324" s="520"/>
      <c r="AA324" s="520"/>
      <c r="AB324" s="520"/>
      <c r="AC324" s="520"/>
      <c r="AD324" s="520"/>
      <c r="AE324" s="520"/>
    </row>
    <row r="325" spans="2:31" s="204" customFormat="1" x14ac:dyDescent="0.25">
      <c r="B325" s="287" t="s">
        <v>736</v>
      </c>
      <c r="C325" s="287" t="s">
        <v>737</v>
      </c>
      <c r="D325" s="274" t="s">
        <v>3315</v>
      </c>
      <c r="E325" s="264"/>
      <c r="F325" s="274"/>
      <c r="G325" s="274"/>
      <c r="H325" s="266"/>
      <c r="I325" s="281"/>
      <c r="J325" s="281"/>
      <c r="K325" s="281"/>
      <c r="L325" s="295" t="s">
        <v>3316</v>
      </c>
      <c r="M325" s="284" t="s">
        <v>2962</v>
      </c>
      <c r="N325" s="269">
        <f t="shared" si="41"/>
        <v>0</v>
      </c>
      <c r="O325" s="270">
        <f t="shared" si="42"/>
        <v>0</v>
      </c>
      <c r="P325" s="271">
        <f t="shared" si="43"/>
        <v>0</v>
      </c>
      <c r="Q325" s="520"/>
      <c r="R325" s="354">
        <f>IF(ISERROR(VLOOKUP("SAN"&amp;$C325,ESTR_PREC_SP!$A$2:$G$2000,4,FALSE))=TRUE,0,VLOOKUP("SAN"&amp;$C325,ESTR_PREC_SP!$A$2:$G$2000,4,FALSE))</f>
        <v>0</v>
      </c>
      <c r="S325" s="521"/>
      <c r="T325" s="521"/>
      <c r="U325" s="521"/>
      <c r="W325" s="520"/>
      <c r="X325" s="520"/>
      <c r="Y325" s="520"/>
      <c r="Z325" s="520"/>
      <c r="AA325" s="520"/>
      <c r="AB325" s="520"/>
      <c r="AC325" s="520"/>
      <c r="AD325" s="520"/>
      <c r="AE325" s="520"/>
    </row>
    <row r="326" spans="2:31" s="204" customFormat="1" x14ac:dyDescent="0.25">
      <c r="B326" s="293"/>
      <c r="C326" s="293"/>
      <c r="D326" s="293"/>
      <c r="E326" s="293"/>
      <c r="F326" s="293"/>
      <c r="G326" s="293"/>
      <c r="H326" s="319"/>
      <c r="I326" s="293"/>
      <c r="J326" s="293"/>
      <c r="K326" s="293"/>
      <c r="L326" s="323"/>
      <c r="M326" s="216"/>
      <c r="N326" s="285"/>
      <c r="O326" s="285"/>
      <c r="P326" s="285"/>
      <c r="Q326" s="211"/>
      <c r="R326" s="211"/>
      <c r="S326" s="211"/>
      <c r="T326" s="285"/>
      <c r="U326" s="285"/>
      <c r="V326" s="285"/>
      <c r="W326" s="285"/>
      <c r="X326" s="285"/>
      <c r="Y326" s="285"/>
      <c r="Z326" s="285"/>
      <c r="AA326" s="285"/>
    </row>
    <row r="327" spans="2:31" s="204" customFormat="1" x14ac:dyDescent="0.25">
      <c r="B327" s="292" t="s">
        <v>739</v>
      </c>
      <c r="C327" s="292" t="s">
        <v>740</v>
      </c>
      <c r="D327" s="247" t="s">
        <v>3317</v>
      </c>
      <c r="E327" s="247"/>
      <c r="F327" s="247"/>
      <c r="G327" s="247"/>
      <c r="H327" s="248"/>
      <c r="I327" s="247"/>
      <c r="J327" s="247"/>
      <c r="K327" s="249"/>
      <c r="L327" s="276" t="s">
        <v>743</v>
      </c>
      <c r="M327" s="251" t="s">
        <v>2962</v>
      </c>
      <c r="N327" s="252">
        <f>SUM(N330:N337)</f>
        <v>7035253</v>
      </c>
      <c r="O327" s="252">
        <f>SUM(O330:O337)</f>
        <v>7164640</v>
      </c>
      <c r="P327" s="259">
        <f>+O327-N327</f>
        <v>129387</v>
      </c>
      <c r="Q327" s="252">
        <f>SUM(Q330:Q337)</f>
        <v>0</v>
      </c>
      <c r="R327" s="252">
        <f>SUM(R330:R337)</f>
        <v>7035253</v>
      </c>
      <c r="S327" s="252">
        <f>SUM(T330:T337)</f>
        <v>0</v>
      </c>
      <c r="W327" s="252">
        <f>SUM(W330:W337)</f>
        <v>0</v>
      </c>
      <c r="X327" s="252">
        <f>SUM(X330:X337)</f>
        <v>0</v>
      </c>
      <c r="Y327" s="252">
        <f>SUM(Y330:Y337)</f>
        <v>19942</v>
      </c>
      <c r="Z327" s="252">
        <f>SUM(Z330:Z337)</f>
        <v>149329</v>
      </c>
      <c r="AA327" s="285"/>
    </row>
    <row r="328" spans="2:31" s="204" customFormat="1" x14ac:dyDescent="0.25">
      <c r="B328" s="293"/>
      <c r="C328" s="293"/>
      <c r="D328" s="230"/>
      <c r="E328" s="230"/>
      <c r="F328" s="230"/>
      <c r="G328" s="230"/>
      <c r="H328" s="231"/>
      <c r="I328" s="230"/>
      <c r="J328" s="230"/>
      <c r="K328" s="230"/>
      <c r="L328" s="277"/>
      <c r="M328" s="211"/>
      <c r="N328" s="254"/>
      <c r="O328" s="211"/>
      <c r="P328" s="211"/>
      <c r="Q328" s="211"/>
      <c r="R328" s="211"/>
      <c r="W328" s="285"/>
      <c r="X328" s="285"/>
      <c r="Y328" s="285"/>
      <c r="Z328" s="285"/>
      <c r="AA328" s="285"/>
    </row>
    <row r="329" spans="2:31" s="204" customFormat="1" ht="51" x14ac:dyDescent="0.25">
      <c r="B329" s="294" t="s">
        <v>2968</v>
      </c>
      <c r="C329" s="294" t="s">
        <v>2969</v>
      </c>
      <c r="D329" s="206" t="s">
        <v>72</v>
      </c>
      <c r="E329" s="206"/>
      <c r="F329" s="206"/>
      <c r="G329" s="207"/>
      <c r="H329" s="207"/>
      <c r="I329" s="207"/>
      <c r="J329" s="207" t="s">
        <v>2957</v>
      </c>
      <c r="K329" s="206" t="s">
        <v>82</v>
      </c>
      <c r="L329" s="261" t="s">
        <v>2970</v>
      </c>
      <c r="M329" s="260"/>
      <c r="N329" s="256" t="str">
        <f>N$15</f>
        <v>Valore netto al 31/12/2019</v>
      </c>
      <c r="O329" s="256" t="str">
        <f>O$15</f>
        <v>Valore netto al 31/12/2020</v>
      </c>
      <c r="P329" s="256" t="str">
        <f>P$15</f>
        <v>Variazione</v>
      </c>
      <c r="Q329" s="262" t="s">
        <v>2971</v>
      </c>
      <c r="R329" s="262" t="str">
        <f>"Fondo ammortamento 31/12/"&amp;Info!$B$3-1</f>
        <v>Fondo ammortamento 31/12/2019</v>
      </c>
      <c r="S329" s="262" t="s">
        <v>2972</v>
      </c>
      <c r="W329" s="262" t="s">
        <v>2975</v>
      </c>
      <c r="X329" s="262" t="s">
        <v>2976</v>
      </c>
      <c r="Y329" s="262" t="s">
        <v>2989</v>
      </c>
      <c r="Z329" s="262" t="s">
        <v>2990</v>
      </c>
      <c r="AA329" s="285"/>
    </row>
    <row r="330" spans="2:31" s="204" customFormat="1" x14ac:dyDescent="0.25">
      <c r="B330" s="287" t="s">
        <v>744</v>
      </c>
      <c r="C330" s="287" t="s">
        <v>745</v>
      </c>
      <c r="D330" s="274" t="s">
        <v>3318</v>
      </c>
      <c r="E330" s="264"/>
      <c r="F330" s="274"/>
      <c r="G330" s="274"/>
      <c r="H330" s="266"/>
      <c r="I330" s="281"/>
      <c r="J330" s="281"/>
      <c r="K330" s="281"/>
      <c r="L330" s="282" t="s">
        <v>3319</v>
      </c>
      <c r="M330" s="263" t="s">
        <v>2962</v>
      </c>
      <c r="N330" s="269">
        <f t="shared" ref="N330:N337" si="44">+R330</f>
        <v>920308</v>
      </c>
      <c r="O330" s="270">
        <f t="shared" ref="O330:O337" si="45">+R330+S330+X330-ABS(Y330)+ABS(Z330)+W330+Q330</f>
        <v>920534</v>
      </c>
      <c r="P330" s="271">
        <f t="shared" ref="P330:P337" si="46">+O330-N330</f>
        <v>226</v>
      </c>
      <c r="Q330" s="520"/>
      <c r="R330" s="354">
        <f>IF(ISERROR(VLOOKUP("SAN"&amp;$C330,ESTR_PREC_SP!$A$2:$G$2000,4,FALSE))=TRUE,0,VLOOKUP("SAN"&amp;$C330,ESTR_PREC_SP!$A$2:$G$2000,4,FALSE))</f>
        <v>920308</v>
      </c>
      <c r="S330" s="521"/>
      <c r="V330" s="211"/>
      <c r="W330" s="520"/>
      <c r="X330" s="520"/>
      <c r="Y330" s="520">
        <v>931</v>
      </c>
      <c r="Z330" s="520">
        <v>1157</v>
      </c>
      <c r="AA330" s="285"/>
    </row>
    <row r="331" spans="2:31" s="204" customFormat="1" x14ac:dyDescent="0.25">
      <c r="B331" s="287" t="s">
        <v>747</v>
      </c>
      <c r="C331" s="287" t="s">
        <v>748</v>
      </c>
      <c r="D331" s="274" t="s">
        <v>3320</v>
      </c>
      <c r="E331" s="264"/>
      <c r="F331" s="274"/>
      <c r="G331" s="274"/>
      <c r="H331" s="266"/>
      <c r="I331" s="281"/>
      <c r="J331" s="281"/>
      <c r="K331" s="281"/>
      <c r="L331" s="282" t="s">
        <v>3321</v>
      </c>
      <c r="M331" s="263" t="s">
        <v>2962</v>
      </c>
      <c r="N331" s="269">
        <f t="shared" si="44"/>
        <v>893265</v>
      </c>
      <c r="O331" s="270">
        <f t="shared" si="45"/>
        <v>900313</v>
      </c>
      <c r="P331" s="271">
        <f t="shared" si="46"/>
        <v>7048</v>
      </c>
      <c r="Q331" s="520"/>
      <c r="R331" s="354">
        <f>IF(ISERROR(VLOOKUP("SAN"&amp;$C331,ESTR_PREC_SP!$A$2:$G$2000,4,FALSE))=TRUE,0,VLOOKUP("SAN"&amp;$C331,ESTR_PREC_SP!$A$2:$G$2000,4,FALSE))</f>
        <v>893265</v>
      </c>
      <c r="S331" s="521"/>
      <c r="V331" s="211"/>
      <c r="W331" s="520"/>
      <c r="X331" s="520"/>
      <c r="Y331" s="520">
        <v>4305</v>
      </c>
      <c r="Z331" s="520">
        <v>11353</v>
      </c>
      <c r="AA331" s="285"/>
    </row>
    <row r="332" spans="2:31" s="204" customFormat="1" x14ac:dyDescent="0.25">
      <c r="B332" s="287" t="s">
        <v>750</v>
      </c>
      <c r="C332" s="287" t="s">
        <v>751</v>
      </c>
      <c r="D332" s="274" t="s">
        <v>3322</v>
      </c>
      <c r="E332" s="264"/>
      <c r="F332" s="274"/>
      <c r="G332" s="274"/>
      <c r="H332" s="266"/>
      <c r="I332" s="281"/>
      <c r="J332" s="281"/>
      <c r="K332" s="281"/>
      <c r="L332" s="295" t="s">
        <v>3323</v>
      </c>
      <c r="M332" s="284" t="s">
        <v>2962</v>
      </c>
      <c r="N332" s="269">
        <f t="shared" si="44"/>
        <v>0</v>
      </c>
      <c r="O332" s="270">
        <f t="shared" si="45"/>
        <v>0</v>
      </c>
      <c r="P332" s="271">
        <f t="shared" si="46"/>
        <v>0</v>
      </c>
      <c r="Q332" s="520"/>
      <c r="R332" s="354">
        <f>IF(ISERROR(VLOOKUP("SAN"&amp;$C332,ESTR_PREC_SP!$A$2:$G$2000,4,FALSE))=TRUE,0,VLOOKUP("SAN"&amp;$C332,ESTR_PREC_SP!$A$2:$G$2000,4,FALSE))</f>
        <v>0</v>
      </c>
      <c r="S332" s="521"/>
      <c r="V332" s="211"/>
      <c r="W332" s="520"/>
      <c r="X332" s="520"/>
      <c r="Y332" s="520"/>
      <c r="Z332" s="520"/>
      <c r="AA332" s="285"/>
    </row>
    <row r="333" spans="2:31" s="204" customFormat="1" x14ac:dyDescent="0.25">
      <c r="B333" s="287" t="s">
        <v>753</v>
      </c>
      <c r="C333" s="287" t="s">
        <v>754</v>
      </c>
      <c r="D333" s="274" t="s">
        <v>3324</v>
      </c>
      <c r="E333" s="264"/>
      <c r="F333" s="274"/>
      <c r="G333" s="274"/>
      <c r="H333" s="266"/>
      <c r="I333" s="281"/>
      <c r="J333" s="281"/>
      <c r="K333" s="281"/>
      <c r="L333" s="295" t="s">
        <v>3325</v>
      </c>
      <c r="M333" s="284" t="s">
        <v>2962</v>
      </c>
      <c r="N333" s="269">
        <f t="shared" si="44"/>
        <v>0</v>
      </c>
      <c r="O333" s="270">
        <f t="shared" si="45"/>
        <v>0</v>
      </c>
      <c r="P333" s="271">
        <f t="shared" si="46"/>
        <v>0</v>
      </c>
      <c r="Q333" s="520"/>
      <c r="R333" s="354">
        <f>IF(ISERROR(VLOOKUP("SAN"&amp;$C333,ESTR_PREC_SP!$A$2:$G$2000,4,FALSE))=TRUE,0,VLOOKUP("SAN"&amp;$C333,ESTR_PREC_SP!$A$2:$G$2000,4,FALSE))</f>
        <v>0</v>
      </c>
      <c r="S333" s="521"/>
      <c r="V333" s="211"/>
      <c r="W333" s="520"/>
      <c r="X333" s="520"/>
      <c r="Y333" s="520"/>
      <c r="Z333" s="520"/>
      <c r="AA333" s="285"/>
    </row>
    <row r="334" spans="2:31" s="204" customFormat="1" x14ac:dyDescent="0.25">
      <c r="B334" s="287" t="s">
        <v>756</v>
      </c>
      <c r="C334" s="287" t="s">
        <v>757</v>
      </c>
      <c r="D334" s="274" t="s">
        <v>3326</v>
      </c>
      <c r="E334" s="264"/>
      <c r="F334" s="274"/>
      <c r="G334" s="274"/>
      <c r="H334" s="266"/>
      <c r="I334" s="281"/>
      <c r="J334" s="281"/>
      <c r="K334" s="281"/>
      <c r="L334" s="295" t="s">
        <v>3327</v>
      </c>
      <c r="M334" s="284" t="s">
        <v>2962</v>
      </c>
      <c r="N334" s="269">
        <f t="shared" si="44"/>
        <v>3506404</v>
      </c>
      <c r="O334" s="270">
        <f t="shared" si="45"/>
        <v>3579017</v>
      </c>
      <c r="P334" s="271">
        <f t="shared" si="46"/>
        <v>72613</v>
      </c>
      <c r="Q334" s="520"/>
      <c r="R334" s="354">
        <f>IF(ISERROR(VLOOKUP("SAN"&amp;$C334,ESTR_PREC_SP!$A$2:$G$2000,4,FALSE))=TRUE,0,VLOOKUP("SAN"&amp;$C334,ESTR_PREC_SP!$A$2:$G$2000,4,FALSE))</f>
        <v>3506404</v>
      </c>
      <c r="S334" s="521"/>
      <c r="V334" s="211"/>
      <c r="W334" s="520"/>
      <c r="X334" s="520"/>
      <c r="Y334" s="520">
        <v>10584</v>
      </c>
      <c r="Z334" s="520">
        <v>83197</v>
      </c>
      <c r="AA334" s="285"/>
    </row>
    <row r="335" spans="2:31" s="204" customFormat="1" x14ac:dyDescent="0.25">
      <c r="B335" s="287" t="s">
        <v>759</v>
      </c>
      <c r="C335" s="287" t="s">
        <v>760</v>
      </c>
      <c r="D335" s="274" t="s">
        <v>3328</v>
      </c>
      <c r="E335" s="264"/>
      <c r="F335" s="274"/>
      <c r="G335" s="274"/>
      <c r="H335" s="266"/>
      <c r="I335" s="281"/>
      <c r="J335" s="281"/>
      <c r="K335" s="281"/>
      <c r="L335" s="295" t="s">
        <v>3329</v>
      </c>
      <c r="M335" s="284" t="s">
        <v>2962</v>
      </c>
      <c r="N335" s="269">
        <f t="shared" si="44"/>
        <v>1715276</v>
      </c>
      <c r="O335" s="270">
        <f t="shared" si="45"/>
        <v>1764776</v>
      </c>
      <c r="P335" s="271">
        <f t="shared" si="46"/>
        <v>49500</v>
      </c>
      <c r="Q335" s="520"/>
      <c r="R335" s="354">
        <f>IF(ISERROR(VLOOKUP("SAN"&amp;$C335,ESTR_PREC_SP!$A$2:$G$2000,4,FALSE))=TRUE,0,VLOOKUP("SAN"&amp;$C335,ESTR_PREC_SP!$A$2:$G$2000,4,FALSE))</f>
        <v>1715276</v>
      </c>
      <c r="S335" s="521"/>
      <c r="V335" s="211"/>
      <c r="W335" s="520"/>
      <c r="X335" s="520"/>
      <c r="Y335" s="520">
        <f>+4102+20</f>
        <v>4122</v>
      </c>
      <c r="Z335" s="520">
        <v>53622</v>
      </c>
      <c r="AA335" s="285"/>
    </row>
    <row r="336" spans="2:31" s="204" customFormat="1" x14ac:dyDescent="0.25">
      <c r="B336" s="287" t="s">
        <v>762</v>
      </c>
      <c r="C336" s="287" t="s">
        <v>763</v>
      </c>
      <c r="D336" s="274" t="s">
        <v>3330</v>
      </c>
      <c r="E336" s="264"/>
      <c r="F336" s="274"/>
      <c r="G336" s="274"/>
      <c r="H336" s="266"/>
      <c r="I336" s="281"/>
      <c r="J336" s="281"/>
      <c r="K336" s="281"/>
      <c r="L336" s="295" t="s">
        <v>3331</v>
      </c>
      <c r="M336" s="284" t="s">
        <v>2962</v>
      </c>
      <c r="N336" s="269">
        <f t="shared" si="44"/>
        <v>0</v>
      </c>
      <c r="O336" s="270">
        <f t="shared" si="45"/>
        <v>0</v>
      </c>
      <c r="P336" s="271">
        <f t="shared" si="46"/>
        <v>0</v>
      </c>
      <c r="Q336" s="520"/>
      <c r="R336" s="354">
        <f>IF(ISERROR(VLOOKUP("SAN"&amp;$C336,ESTR_PREC_SP!$A$2:$G$2000,4,FALSE))=TRUE,0,VLOOKUP("SAN"&amp;$C336,ESTR_PREC_SP!$A$2:$G$2000,4,FALSE))</f>
        <v>0</v>
      </c>
      <c r="S336" s="521"/>
      <c r="V336" s="211"/>
      <c r="W336" s="520"/>
      <c r="X336" s="520"/>
      <c r="Y336" s="520"/>
      <c r="Z336" s="520"/>
      <c r="AA336" s="285"/>
    </row>
    <row r="337" spans="2:31" s="204" customFormat="1" x14ac:dyDescent="0.25">
      <c r="B337" s="287" t="s">
        <v>765</v>
      </c>
      <c r="C337" s="287" t="s">
        <v>766</v>
      </c>
      <c r="D337" s="274" t="s">
        <v>3332</v>
      </c>
      <c r="E337" s="264"/>
      <c r="F337" s="274"/>
      <c r="G337" s="274"/>
      <c r="H337" s="266"/>
      <c r="I337" s="281"/>
      <c r="J337" s="281"/>
      <c r="K337" s="281"/>
      <c r="L337" s="295" t="s">
        <v>3333</v>
      </c>
      <c r="M337" s="284" t="s">
        <v>2962</v>
      </c>
      <c r="N337" s="269">
        <f t="shared" si="44"/>
        <v>0</v>
      </c>
      <c r="O337" s="270">
        <f t="shared" si="45"/>
        <v>0</v>
      </c>
      <c r="P337" s="271">
        <f t="shared" si="46"/>
        <v>0</v>
      </c>
      <c r="Q337" s="520"/>
      <c r="R337" s="354">
        <f>IF(ISERROR(VLOOKUP("SAN"&amp;$C337,ESTR_PREC_SP!$A$2:$G$2000,4,FALSE))=TRUE,0,VLOOKUP("SAN"&amp;$C337,ESTR_PREC_SP!$A$2:$G$2000,4,FALSE))</f>
        <v>0</v>
      </c>
      <c r="S337" s="521"/>
      <c r="V337" s="211"/>
      <c r="W337" s="520"/>
      <c r="X337" s="520"/>
      <c r="Y337" s="520"/>
      <c r="Z337" s="520"/>
      <c r="AA337" s="285"/>
    </row>
    <row r="338" spans="2:31" s="204" customFormat="1" x14ac:dyDescent="0.25">
      <c r="B338" s="293"/>
      <c r="C338" s="293"/>
      <c r="D338" s="230"/>
      <c r="E338" s="230"/>
      <c r="F338" s="230"/>
      <c r="G338" s="230"/>
      <c r="H338" s="231"/>
      <c r="I338" s="230"/>
      <c r="J338" s="230"/>
      <c r="K338" s="230"/>
      <c r="L338" s="275"/>
      <c r="M338" s="216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</row>
    <row r="339" spans="2:31" s="204" customFormat="1" ht="25.5" x14ac:dyDescent="0.25">
      <c r="B339" s="293"/>
      <c r="C339" s="293"/>
      <c r="D339" s="230"/>
      <c r="E339" s="230"/>
      <c r="F339" s="230"/>
      <c r="G339" s="230"/>
      <c r="H339" s="231"/>
      <c r="I339" s="230"/>
      <c r="J339" s="230"/>
      <c r="K339" s="230"/>
      <c r="L339" s="255"/>
      <c r="M339" s="244"/>
      <c r="N339" s="256" t="str">
        <f>N$15</f>
        <v>Valore netto al 31/12/2019</v>
      </c>
      <c r="O339" s="256" t="str">
        <f>O$15</f>
        <v>Valore netto al 31/12/2020</v>
      </c>
      <c r="P339" s="256" t="str">
        <f>P$15</f>
        <v>Variazione</v>
      </c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</row>
    <row r="340" spans="2:31" s="204" customFormat="1" x14ac:dyDescent="0.25">
      <c r="B340" s="292" t="s">
        <v>768</v>
      </c>
      <c r="C340" s="292" t="s">
        <v>769</v>
      </c>
      <c r="D340" s="274" t="s">
        <v>3334</v>
      </c>
      <c r="E340" s="247"/>
      <c r="F340" s="247"/>
      <c r="G340" s="247"/>
      <c r="H340" s="248"/>
      <c r="I340" s="247"/>
      <c r="J340" s="247"/>
      <c r="K340" s="249"/>
      <c r="L340" s="257" t="s">
        <v>771</v>
      </c>
      <c r="M340" s="251" t="s">
        <v>2962</v>
      </c>
      <c r="N340" s="252">
        <f>+N342-N357</f>
        <v>0</v>
      </c>
      <c r="O340" s="252">
        <f>+O342-O357</f>
        <v>0</v>
      </c>
      <c r="P340" s="253">
        <f>+O340-N340</f>
        <v>0</v>
      </c>
      <c r="Q340" s="285"/>
      <c r="R340" s="285"/>
      <c r="S340" s="285"/>
      <c r="T340" s="285"/>
      <c r="U340" s="285"/>
      <c r="V340" s="285"/>
      <c r="W340" s="211"/>
      <c r="X340" s="252">
        <f>+X342-X357</f>
        <v>0</v>
      </c>
      <c r="Y340" s="285"/>
      <c r="Z340" s="285"/>
      <c r="AA340" s="285"/>
    </row>
    <row r="341" spans="2:31" s="204" customFormat="1" x14ac:dyDescent="0.25">
      <c r="B341" s="293"/>
      <c r="C341" s="293"/>
      <c r="D341" s="274"/>
      <c r="E341" s="230"/>
      <c r="F341" s="230"/>
      <c r="G341" s="285"/>
      <c r="H341" s="321"/>
      <c r="I341" s="285"/>
      <c r="J341" s="285"/>
      <c r="K341" s="285"/>
      <c r="L341" s="322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</row>
    <row r="342" spans="2:31" s="204" customFormat="1" x14ac:dyDescent="0.25">
      <c r="B342" s="292" t="s">
        <v>772</v>
      </c>
      <c r="C342" s="292" t="s">
        <v>773</v>
      </c>
      <c r="D342" s="274" t="s">
        <v>3335</v>
      </c>
      <c r="E342" s="247"/>
      <c r="F342" s="247"/>
      <c r="G342" s="247"/>
      <c r="H342" s="248"/>
      <c r="I342" s="247"/>
      <c r="J342" s="247"/>
      <c r="K342" s="249"/>
      <c r="L342" s="276" t="s">
        <v>776</v>
      </c>
      <c r="M342" s="251" t="s">
        <v>2962</v>
      </c>
      <c r="N342" s="252">
        <f>SUM(N345:N354)</f>
        <v>930515</v>
      </c>
      <c r="O342" s="252">
        <f>SUM(O345:O354)</f>
        <v>930515</v>
      </c>
      <c r="P342" s="259">
        <f>+O342-N342</f>
        <v>0</v>
      </c>
      <c r="Q342" s="252">
        <f>SUM(Q345:Q354)</f>
        <v>0</v>
      </c>
      <c r="R342" s="252">
        <f>SUM(R345:R354)</f>
        <v>930515</v>
      </c>
      <c r="S342" s="252">
        <f>SUM(S345:S354)</f>
        <v>0</v>
      </c>
      <c r="T342" s="252">
        <f>SUM(T345:T354)</f>
        <v>0</v>
      </c>
      <c r="U342" s="252">
        <f>SUM(U345:U354)</f>
        <v>0</v>
      </c>
      <c r="W342" s="252">
        <f t="shared" ref="W342:AE342" si="47">SUM(W345:W354)</f>
        <v>0</v>
      </c>
      <c r="X342" s="252">
        <f t="shared" si="47"/>
        <v>0</v>
      </c>
      <c r="Y342" s="252">
        <f t="shared" si="47"/>
        <v>0</v>
      </c>
      <c r="Z342" s="252">
        <f t="shared" si="47"/>
        <v>0</v>
      </c>
      <c r="AA342" s="252">
        <f t="shared" si="47"/>
        <v>0</v>
      </c>
      <c r="AB342" s="252">
        <f t="shared" si="47"/>
        <v>0</v>
      </c>
      <c r="AC342" s="252">
        <f t="shared" si="47"/>
        <v>0</v>
      </c>
      <c r="AD342" s="252">
        <f t="shared" si="47"/>
        <v>0</v>
      </c>
      <c r="AE342" s="252">
        <f t="shared" si="47"/>
        <v>0</v>
      </c>
    </row>
    <row r="343" spans="2:31" s="204" customFormat="1" x14ac:dyDescent="0.25">
      <c r="B343" s="293"/>
      <c r="C343" s="293"/>
      <c r="D343" s="230"/>
      <c r="E343" s="230"/>
      <c r="F343" s="230"/>
      <c r="G343" s="230"/>
      <c r="H343" s="231"/>
      <c r="I343" s="230"/>
      <c r="J343" s="230"/>
      <c r="K343" s="230"/>
      <c r="L343" s="275"/>
      <c r="M343" s="216"/>
      <c r="N343" s="285"/>
      <c r="O343" s="285"/>
      <c r="P343" s="285"/>
      <c r="Q343" s="285"/>
      <c r="R343" s="285"/>
      <c r="T343" s="285"/>
      <c r="U343" s="285"/>
      <c r="V343" s="285"/>
      <c r="W343" s="285"/>
      <c r="X343" s="285"/>
      <c r="Y343" s="285"/>
      <c r="Z343" s="285"/>
      <c r="AA343" s="285"/>
    </row>
    <row r="344" spans="2:31" s="204" customFormat="1" ht="51" x14ac:dyDescent="0.25">
      <c r="B344" s="294" t="s">
        <v>2968</v>
      </c>
      <c r="C344" s="294" t="s">
        <v>2969</v>
      </c>
      <c r="D344" s="206" t="s">
        <v>72</v>
      </c>
      <c r="E344" s="206"/>
      <c r="F344" s="206"/>
      <c r="G344" s="207"/>
      <c r="H344" s="207"/>
      <c r="I344" s="207"/>
      <c r="J344" s="207" t="s">
        <v>2957</v>
      </c>
      <c r="K344" s="206" t="s">
        <v>82</v>
      </c>
      <c r="L344" s="261" t="s">
        <v>2970</v>
      </c>
      <c r="M344" s="260"/>
      <c r="N344" s="256" t="str">
        <f>N$15</f>
        <v>Valore netto al 31/12/2019</v>
      </c>
      <c r="O344" s="256" t="str">
        <f>O$15</f>
        <v>Valore netto al 31/12/2020</v>
      </c>
      <c r="P344" s="256" t="str">
        <f>P$15</f>
        <v>Variazione</v>
      </c>
      <c r="Q344" s="262" t="s">
        <v>2971</v>
      </c>
      <c r="R344" s="262" t="str">
        <f>"Costo storico al 31/12/"&amp;Info!$B$3-1</f>
        <v>Costo storico al 31/12/2019</v>
      </c>
      <c r="S344" s="262" t="s">
        <v>2972</v>
      </c>
      <c r="T344" s="262" t="s">
        <v>2973</v>
      </c>
      <c r="U344" s="262" t="s">
        <v>2974</v>
      </c>
      <c r="W344" s="262" t="s">
        <v>2975</v>
      </c>
      <c r="X344" s="262" t="s">
        <v>2976</v>
      </c>
      <c r="Y344" s="262" t="s">
        <v>2977</v>
      </c>
      <c r="Z344" s="262" t="s">
        <v>2978</v>
      </c>
      <c r="AA344" s="262" t="s">
        <v>2979</v>
      </c>
      <c r="AB344" s="262" t="s">
        <v>2980</v>
      </c>
      <c r="AC344" s="262" t="s">
        <v>2981</v>
      </c>
      <c r="AD344" s="262" t="s">
        <v>2982</v>
      </c>
      <c r="AE344" s="262" t="s">
        <v>2983</v>
      </c>
    </row>
    <row r="345" spans="2:31" s="204" customFormat="1" x14ac:dyDescent="0.25">
      <c r="B345" s="287" t="s">
        <v>777</v>
      </c>
      <c r="C345" s="287" t="s">
        <v>778</v>
      </c>
      <c r="D345" s="274" t="s">
        <v>3336</v>
      </c>
      <c r="E345" s="274"/>
      <c r="F345" s="274"/>
      <c r="G345" s="274"/>
      <c r="H345" s="266"/>
      <c r="I345" s="281"/>
      <c r="J345" s="281"/>
      <c r="K345" s="281"/>
      <c r="L345" s="282" t="s">
        <v>3337</v>
      </c>
      <c r="M345" s="263" t="s">
        <v>2962</v>
      </c>
      <c r="N345" s="269">
        <f t="shared" ref="N345:N354" si="48">+R345+T345-U345</f>
        <v>383068</v>
      </c>
      <c r="O345" s="270">
        <f t="shared" ref="O345:O354" si="49">+N345+S345+X345+ABS(Y345)-ABS(AA345)+ABS(Z345)+ABS(AB345)+ABS(AD345)-ABS(AE345)+AC345+W345+Q345</f>
        <v>383068</v>
      </c>
      <c r="P345" s="271">
        <f t="shared" ref="P345:P354" si="50">+O345-N345</f>
        <v>0</v>
      </c>
      <c r="Q345" s="520"/>
      <c r="R345" s="354">
        <f>IF(ISERROR(VLOOKUP("SAN"&amp;$C345,ESTR_PREC_SP!$A$2:$G$2000,4,FALSE))=TRUE,0,VLOOKUP("SAN"&amp;$C345,ESTR_PREC_SP!$A$2:$G$2000,4,FALSE))</f>
        <v>383068</v>
      </c>
      <c r="S345" s="521"/>
      <c r="T345" s="521"/>
      <c r="U345" s="521"/>
      <c r="W345" s="520"/>
      <c r="X345" s="520"/>
      <c r="Y345" s="520"/>
      <c r="Z345" s="520"/>
      <c r="AA345" s="520"/>
      <c r="AB345" s="520"/>
      <c r="AC345" s="520"/>
      <c r="AD345" s="520"/>
      <c r="AE345" s="520"/>
    </row>
    <row r="346" spans="2:31" s="204" customFormat="1" x14ac:dyDescent="0.25">
      <c r="B346" s="287" t="s">
        <v>780</v>
      </c>
      <c r="C346" s="287" t="s">
        <v>781</v>
      </c>
      <c r="D346" s="274" t="s">
        <v>3338</v>
      </c>
      <c r="E346" s="274"/>
      <c r="F346" s="274"/>
      <c r="G346" s="274"/>
      <c r="H346" s="266"/>
      <c r="I346" s="281"/>
      <c r="J346" s="281"/>
      <c r="K346" s="281"/>
      <c r="L346" s="282" t="s">
        <v>3339</v>
      </c>
      <c r="M346" s="263" t="s">
        <v>2962</v>
      </c>
      <c r="N346" s="269">
        <f t="shared" si="48"/>
        <v>41775</v>
      </c>
      <c r="O346" s="270">
        <f t="shared" si="49"/>
        <v>41775</v>
      </c>
      <c r="P346" s="271">
        <f t="shared" si="50"/>
        <v>0</v>
      </c>
      <c r="Q346" s="520"/>
      <c r="R346" s="354">
        <f>IF(ISERROR(VLOOKUP("SAN"&amp;$C346,ESTR_PREC_SP!$A$2:$G$2000,4,FALSE))=TRUE,0,VLOOKUP("SAN"&amp;$C346,ESTR_PREC_SP!$A$2:$G$2000,4,FALSE))</f>
        <v>41775</v>
      </c>
      <c r="S346" s="521"/>
      <c r="T346" s="521"/>
      <c r="U346" s="521"/>
      <c r="W346" s="520"/>
      <c r="X346" s="520"/>
      <c r="Y346" s="520"/>
      <c r="Z346" s="520"/>
      <c r="AA346" s="520"/>
      <c r="AB346" s="520"/>
      <c r="AC346" s="520"/>
      <c r="AD346" s="520"/>
      <c r="AE346" s="520"/>
    </row>
    <row r="347" spans="2:31" s="204" customFormat="1" x14ac:dyDescent="0.25">
      <c r="B347" s="287" t="s">
        <v>783</v>
      </c>
      <c r="C347" s="287" t="s">
        <v>784</v>
      </c>
      <c r="D347" s="274" t="s">
        <v>3340</v>
      </c>
      <c r="E347" s="274"/>
      <c r="F347" s="274"/>
      <c r="G347" s="274"/>
      <c r="H347" s="266"/>
      <c r="I347" s="281"/>
      <c r="J347" s="281"/>
      <c r="K347" s="281"/>
      <c r="L347" s="282" t="s">
        <v>3341</v>
      </c>
      <c r="M347" s="263" t="s">
        <v>2962</v>
      </c>
      <c r="N347" s="269">
        <f t="shared" si="48"/>
        <v>211253</v>
      </c>
      <c r="O347" s="270">
        <f t="shared" si="49"/>
        <v>211253</v>
      </c>
      <c r="P347" s="271">
        <f t="shared" si="50"/>
        <v>0</v>
      </c>
      <c r="Q347" s="520"/>
      <c r="R347" s="354">
        <f>IF(ISERROR(VLOOKUP("SAN"&amp;$C347,ESTR_PREC_SP!$A$2:$G$2000,4,FALSE))=TRUE,0,VLOOKUP("SAN"&amp;$C347,ESTR_PREC_SP!$A$2:$G$2000,4,FALSE))</f>
        <v>211253</v>
      </c>
      <c r="S347" s="521"/>
      <c r="T347" s="521"/>
      <c r="U347" s="521"/>
      <c r="W347" s="520"/>
      <c r="X347" s="520"/>
      <c r="Y347" s="520"/>
      <c r="Z347" s="520"/>
      <c r="AA347" s="520"/>
      <c r="AB347" s="520"/>
      <c r="AC347" s="520"/>
      <c r="AD347" s="520"/>
      <c r="AE347" s="520"/>
    </row>
    <row r="348" spans="2:31" s="204" customFormat="1" x14ac:dyDescent="0.25">
      <c r="B348" s="287" t="s">
        <v>786</v>
      </c>
      <c r="C348" s="287" t="s">
        <v>787</v>
      </c>
      <c r="D348" s="274" t="s">
        <v>3342</v>
      </c>
      <c r="E348" s="274"/>
      <c r="F348" s="274"/>
      <c r="G348" s="274"/>
      <c r="H348" s="266"/>
      <c r="I348" s="281"/>
      <c r="J348" s="281"/>
      <c r="K348" s="281"/>
      <c r="L348" s="282" t="s">
        <v>3343</v>
      </c>
      <c r="M348" s="263" t="s">
        <v>2962</v>
      </c>
      <c r="N348" s="269">
        <f t="shared" si="48"/>
        <v>155704</v>
      </c>
      <c r="O348" s="270">
        <f t="shared" si="49"/>
        <v>155704</v>
      </c>
      <c r="P348" s="271">
        <f t="shared" si="50"/>
        <v>0</v>
      </c>
      <c r="Q348" s="520"/>
      <c r="R348" s="354">
        <f>IF(ISERROR(VLOOKUP("SAN"&amp;$C348,ESTR_PREC_SP!$A$2:$G$2000,4,FALSE))=TRUE,0,VLOOKUP("SAN"&amp;$C348,ESTR_PREC_SP!$A$2:$G$2000,4,FALSE))</f>
        <v>155704</v>
      </c>
      <c r="S348" s="521"/>
      <c r="T348" s="521"/>
      <c r="U348" s="521"/>
      <c r="W348" s="520"/>
      <c r="X348" s="520"/>
      <c r="Y348" s="520"/>
      <c r="Z348" s="520"/>
      <c r="AA348" s="520"/>
      <c r="AB348" s="520"/>
      <c r="AC348" s="520"/>
      <c r="AD348" s="520"/>
      <c r="AE348" s="520"/>
    </row>
    <row r="349" spans="2:31" s="204" customFormat="1" x14ac:dyDescent="0.25">
      <c r="B349" s="287" t="s">
        <v>789</v>
      </c>
      <c r="C349" s="287" t="s">
        <v>790</v>
      </c>
      <c r="D349" s="274" t="s">
        <v>3344</v>
      </c>
      <c r="E349" s="274"/>
      <c r="F349" s="274"/>
      <c r="G349" s="274"/>
      <c r="H349" s="266"/>
      <c r="I349" s="281"/>
      <c r="J349" s="281"/>
      <c r="K349" s="281"/>
      <c r="L349" s="282" t="s">
        <v>3345</v>
      </c>
      <c r="M349" s="263" t="s">
        <v>2962</v>
      </c>
      <c r="N349" s="269">
        <f t="shared" si="48"/>
        <v>0</v>
      </c>
      <c r="O349" s="270">
        <f t="shared" si="49"/>
        <v>0</v>
      </c>
      <c r="P349" s="271">
        <f t="shared" si="50"/>
        <v>0</v>
      </c>
      <c r="Q349" s="520"/>
      <c r="R349" s="354">
        <f>IF(ISERROR(VLOOKUP("SAN"&amp;$C349,ESTR_PREC_SP!$A$2:$G$2000,4,FALSE))=TRUE,0,VLOOKUP("SAN"&amp;$C349,ESTR_PREC_SP!$A$2:$G$2000,4,FALSE))</f>
        <v>0</v>
      </c>
      <c r="S349" s="521"/>
      <c r="T349" s="521"/>
      <c r="U349" s="521"/>
      <c r="W349" s="520"/>
      <c r="X349" s="520"/>
      <c r="Y349" s="520"/>
      <c r="Z349" s="520"/>
      <c r="AA349" s="520"/>
      <c r="AB349" s="520"/>
      <c r="AC349" s="520"/>
      <c r="AD349" s="520"/>
      <c r="AE349" s="520"/>
    </row>
    <row r="350" spans="2:31" s="204" customFormat="1" x14ac:dyDescent="0.25">
      <c r="B350" s="287" t="s">
        <v>792</v>
      </c>
      <c r="C350" s="287" t="s">
        <v>793</v>
      </c>
      <c r="D350" s="274" t="s">
        <v>3346</v>
      </c>
      <c r="E350" s="274"/>
      <c r="F350" s="274"/>
      <c r="G350" s="274"/>
      <c r="H350" s="266"/>
      <c r="I350" s="281"/>
      <c r="J350" s="281"/>
      <c r="K350" s="281"/>
      <c r="L350" s="282" t="s">
        <v>3347</v>
      </c>
      <c r="M350" s="263" t="s">
        <v>2962</v>
      </c>
      <c r="N350" s="269">
        <f t="shared" si="48"/>
        <v>0</v>
      </c>
      <c r="O350" s="270">
        <f t="shared" si="49"/>
        <v>0</v>
      </c>
      <c r="P350" s="271">
        <f t="shared" si="50"/>
        <v>0</v>
      </c>
      <c r="Q350" s="520"/>
      <c r="R350" s="354">
        <f>IF(ISERROR(VLOOKUP("SAN"&amp;$C350,ESTR_PREC_SP!$A$2:$G$2000,4,FALSE))=TRUE,0,VLOOKUP("SAN"&amp;$C350,ESTR_PREC_SP!$A$2:$G$2000,4,FALSE))</f>
        <v>0</v>
      </c>
      <c r="S350" s="521"/>
      <c r="T350" s="521"/>
      <c r="U350" s="521"/>
      <c r="W350" s="520"/>
      <c r="X350" s="520"/>
      <c r="Y350" s="520"/>
      <c r="Z350" s="520"/>
      <c r="AA350" s="520"/>
      <c r="AB350" s="520"/>
      <c r="AC350" s="520"/>
      <c r="AD350" s="520"/>
      <c r="AE350" s="520"/>
    </row>
    <row r="351" spans="2:31" s="204" customFormat="1" x14ac:dyDescent="0.25">
      <c r="B351" s="287" t="s">
        <v>795</v>
      </c>
      <c r="C351" s="287" t="s">
        <v>796</v>
      </c>
      <c r="D351" s="274" t="s">
        <v>3348</v>
      </c>
      <c r="E351" s="274"/>
      <c r="F351" s="274"/>
      <c r="G351" s="274"/>
      <c r="H351" s="266"/>
      <c r="I351" s="281"/>
      <c r="J351" s="281"/>
      <c r="K351" s="281"/>
      <c r="L351" s="295" t="s">
        <v>3349</v>
      </c>
      <c r="M351" s="284" t="s">
        <v>2962</v>
      </c>
      <c r="N351" s="269">
        <f t="shared" si="48"/>
        <v>40594</v>
      </c>
      <c r="O351" s="270">
        <f t="shared" si="49"/>
        <v>40594</v>
      </c>
      <c r="P351" s="271">
        <f t="shared" si="50"/>
        <v>0</v>
      </c>
      <c r="Q351" s="520"/>
      <c r="R351" s="354">
        <f>IF(ISERROR(VLOOKUP("SAN"&amp;$C351,ESTR_PREC_SP!$A$2:$G$2000,4,FALSE))=TRUE,0,VLOOKUP("SAN"&amp;$C351,ESTR_PREC_SP!$A$2:$G$2000,4,FALSE))</f>
        <v>40594</v>
      </c>
      <c r="S351" s="521"/>
      <c r="T351" s="521"/>
      <c r="U351" s="521"/>
      <c r="W351" s="520"/>
      <c r="X351" s="520"/>
      <c r="Y351" s="520"/>
      <c r="Z351" s="520"/>
      <c r="AA351" s="520"/>
      <c r="AB351" s="520"/>
      <c r="AC351" s="520"/>
      <c r="AD351" s="520"/>
      <c r="AE351" s="520"/>
    </row>
    <row r="352" spans="2:31" s="204" customFormat="1" x14ac:dyDescent="0.25">
      <c r="B352" s="287" t="s">
        <v>798</v>
      </c>
      <c r="C352" s="287" t="s">
        <v>799</v>
      </c>
      <c r="D352" s="274" t="s">
        <v>3350</v>
      </c>
      <c r="E352" s="274"/>
      <c r="F352" s="274"/>
      <c r="G352" s="274"/>
      <c r="H352" s="266"/>
      <c r="I352" s="281"/>
      <c r="J352" s="281"/>
      <c r="K352" s="281"/>
      <c r="L352" s="295" t="s">
        <v>3351</v>
      </c>
      <c r="M352" s="284" t="s">
        <v>2962</v>
      </c>
      <c r="N352" s="269">
        <f t="shared" si="48"/>
        <v>98121</v>
      </c>
      <c r="O352" s="270">
        <f t="shared" si="49"/>
        <v>98121</v>
      </c>
      <c r="P352" s="271">
        <f t="shared" si="50"/>
        <v>0</v>
      </c>
      <c r="Q352" s="520"/>
      <c r="R352" s="354">
        <f>IF(ISERROR(VLOOKUP("SAN"&amp;$C352,ESTR_PREC_SP!$A$2:$G$2000,4,FALSE))=TRUE,0,VLOOKUP("SAN"&amp;$C352,ESTR_PREC_SP!$A$2:$G$2000,4,FALSE))</f>
        <v>98121</v>
      </c>
      <c r="S352" s="521"/>
      <c r="T352" s="521"/>
      <c r="U352" s="521"/>
      <c r="W352" s="520"/>
      <c r="X352" s="520"/>
      <c r="Y352" s="520"/>
      <c r="Z352" s="520"/>
      <c r="AA352" s="520"/>
      <c r="AB352" s="520"/>
      <c r="AC352" s="520"/>
      <c r="AD352" s="520"/>
      <c r="AE352" s="520"/>
    </row>
    <row r="353" spans="2:31" s="204" customFormat="1" x14ac:dyDescent="0.25">
      <c r="B353" s="287" t="s">
        <v>801</v>
      </c>
      <c r="C353" s="287" t="s">
        <v>802</v>
      </c>
      <c r="D353" s="274" t="s">
        <v>3352</v>
      </c>
      <c r="E353" s="274"/>
      <c r="F353" s="274"/>
      <c r="G353" s="274"/>
      <c r="H353" s="266"/>
      <c r="I353" s="281"/>
      <c r="J353" s="281"/>
      <c r="K353" s="281"/>
      <c r="L353" s="295" t="s">
        <v>3353</v>
      </c>
      <c r="M353" s="284" t="s">
        <v>2962</v>
      </c>
      <c r="N353" s="269">
        <f t="shared" si="48"/>
        <v>0</v>
      </c>
      <c r="O353" s="270">
        <f t="shared" si="49"/>
        <v>0</v>
      </c>
      <c r="P353" s="271">
        <f t="shared" si="50"/>
        <v>0</v>
      </c>
      <c r="Q353" s="520"/>
      <c r="R353" s="354">
        <f>IF(ISERROR(VLOOKUP("SAN"&amp;$C353,ESTR_PREC_SP!$A$2:$G$2000,4,FALSE))=TRUE,0,VLOOKUP("SAN"&amp;$C353,ESTR_PREC_SP!$A$2:$G$2000,4,FALSE))</f>
        <v>0</v>
      </c>
      <c r="S353" s="521"/>
      <c r="T353" s="521"/>
      <c r="U353" s="521"/>
      <c r="W353" s="520"/>
      <c r="X353" s="520"/>
      <c r="Y353" s="520"/>
      <c r="Z353" s="520"/>
      <c r="AA353" s="520"/>
      <c r="AB353" s="520"/>
      <c r="AC353" s="520"/>
      <c r="AD353" s="520"/>
      <c r="AE353" s="520"/>
    </row>
    <row r="354" spans="2:31" s="204" customFormat="1" x14ac:dyDescent="0.25">
      <c r="B354" s="287" t="s">
        <v>804</v>
      </c>
      <c r="C354" s="287" t="s">
        <v>805</v>
      </c>
      <c r="D354" s="274" t="s">
        <v>3354</v>
      </c>
      <c r="E354" s="274"/>
      <c r="F354" s="274"/>
      <c r="G354" s="274"/>
      <c r="H354" s="266"/>
      <c r="I354" s="281"/>
      <c r="J354" s="281"/>
      <c r="K354" s="281"/>
      <c r="L354" s="295" t="s">
        <v>3355</v>
      </c>
      <c r="M354" s="284" t="s">
        <v>2962</v>
      </c>
      <c r="N354" s="269">
        <f t="shared" si="48"/>
        <v>0</v>
      </c>
      <c r="O354" s="270">
        <f t="shared" si="49"/>
        <v>0</v>
      </c>
      <c r="P354" s="271">
        <f t="shared" si="50"/>
        <v>0</v>
      </c>
      <c r="Q354" s="520"/>
      <c r="R354" s="354">
        <f>IF(ISERROR(VLOOKUP("SAN"&amp;$C354,ESTR_PREC_SP!$A$2:$G$2000,4,FALSE))=TRUE,0,VLOOKUP("SAN"&amp;$C354,ESTR_PREC_SP!$A$2:$G$2000,4,FALSE))</f>
        <v>0</v>
      </c>
      <c r="S354" s="521"/>
      <c r="T354" s="521"/>
      <c r="U354" s="521"/>
      <c r="W354" s="520"/>
      <c r="X354" s="520"/>
      <c r="Y354" s="520"/>
      <c r="Z354" s="520"/>
      <c r="AA354" s="520"/>
      <c r="AB354" s="520"/>
      <c r="AC354" s="520"/>
      <c r="AD354" s="520"/>
      <c r="AE354" s="520"/>
    </row>
    <row r="355" spans="2:31" s="204" customFormat="1" ht="25.5" x14ac:dyDescent="0.25">
      <c r="B355" s="293"/>
      <c r="C355" s="293"/>
      <c r="D355" s="230"/>
      <c r="E355" s="230"/>
      <c r="F355" s="230"/>
      <c r="G355" s="230"/>
      <c r="H355" s="231"/>
      <c r="I355" s="230"/>
      <c r="J355" s="230"/>
      <c r="K355" s="230"/>
      <c r="L355" s="296" t="s">
        <v>3356</v>
      </c>
      <c r="M355" s="216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</row>
    <row r="356" spans="2:31" s="204" customFormat="1" x14ac:dyDescent="0.25">
      <c r="B356" s="293"/>
      <c r="C356" s="293"/>
      <c r="D356" s="230"/>
      <c r="E356" s="230"/>
      <c r="F356" s="230"/>
      <c r="G356" s="230"/>
      <c r="H356" s="231"/>
      <c r="I356" s="230"/>
      <c r="J356" s="230"/>
      <c r="K356" s="230"/>
      <c r="L356" s="296"/>
      <c r="M356" s="216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</row>
    <row r="357" spans="2:31" s="204" customFormat="1" x14ac:dyDescent="0.25">
      <c r="B357" s="292" t="s">
        <v>807</v>
      </c>
      <c r="C357" s="292" t="s">
        <v>808</v>
      </c>
      <c r="D357" s="247" t="s">
        <v>3357</v>
      </c>
      <c r="E357" s="247"/>
      <c r="F357" s="247"/>
      <c r="G357" s="247"/>
      <c r="H357" s="248"/>
      <c r="I357" s="247"/>
      <c r="J357" s="247"/>
      <c r="K357" s="249"/>
      <c r="L357" s="276" t="s">
        <v>811</v>
      </c>
      <c r="M357" s="251" t="s">
        <v>2962</v>
      </c>
      <c r="N357" s="252">
        <f>SUM(N360:N369)</f>
        <v>930515</v>
      </c>
      <c r="O357" s="252">
        <f>SUM(O360:O369)</f>
        <v>930515</v>
      </c>
      <c r="P357" s="259">
        <f>+O357-N357</f>
        <v>0</v>
      </c>
      <c r="Q357" s="252">
        <f>SUM(Q360:Q369)</f>
        <v>0</v>
      </c>
      <c r="R357" s="252">
        <f>SUM(R360:R369)</f>
        <v>930515</v>
      </c>
      <c r="S357" s="252">
        <f>SUM(S360:S369)</f>
        <v>0</v>
      </c>
      <c r="W357" s="252">
        <f>SUM(W360:W369)</f>
        <v>0</v>
      </c>
      <c r="X357" s="252">
        <f>SUM(X360:X369)</f>
        <v>0</v>
      </c>
      <c r="Y357" s="252">
        <f>SUM(Y360:Y369)</f>
        <v>0</v>
      </c>
      <c r="Z357" s="252">
        <f>SUM(Z360:Z369)</f>
        <v>0</v>
      </c>
      <c r="AA357" s="285"/>
    </row>
    <row r="358" spans="2:31" s="204" customFormat="1" x14ac:dyDescent="0.25">
      <c r="B358" s="293"/>
      <c r="C358" s="293"/>
      <c r="D358" s="230"/>
      <c r="E358" s="230"/>
      <c r="F358" s="230"/>
      <c r="G358" s="230"/>
      <c r="H358" s="231"/>
      <c r="I358" s="230"/>
      <c r="J358" s="230"/>
      <c r="K358" s="230"/>
      <c r="L358" s="275"/>
      <c r="M358" s="216"/>
      <c r="N358" s="285"/>
      <c r="O358" s="211"/>
      <c r="P358" s="211"/>
      <c r="Q358" s="211"/>
      <c r="R358" s="211"/>
      <c r="W358" s="285"/>
      <c r="X358" s="285"/>
      <c r="Y358" s="285"/>
      <c r="Z358" s="285"/>
      <c r="AA358" s="285"/>
    </row>
    <row r="359" spans="2:31" s="204" customFormat="1" ht="51" x14ac:dyDescent="0.25">
      <c r="B359" s="294" t="s">
        <v>2968</v>
      </c>
      <c r="C359" s="294" t="s">
        <v>2969</v>
      </c>
      <c r="D359" s="206" t="s">
        <v>72</v>
      </c>
      <c r="E359" s="206"/>
      <c r="F359" s="206"/>
      <c r="G359" s="207"/>
      <c r="H359" s="207"/>
      <c r="I359" s="207"/>
      <c r="J359" s="207" t="s">
        <v>2957</v>
      </c>
      <c r="K359" s="206" t="s">
        <v>82</v>
      </c>
      <c r="L359" s="261" t="s">
        <v>2970</v>
      </c>
      <c r="M359" s="260"/>
      <c r="N359" s="256" t="str">
        <f>N$15</f>
        <v>Valore netto al 31/12/2019</v>
      </c>
      <c r="O359" s="256" t="str">
        <f>O$15</f>
        <v>Valore netto al 31/12/2020</v>
      </c>
      <c r="P359" s="256" t="str">
        <f>P$15</f>
        <v>Variazione</v>
      </c>
      <c r="Q359" s="262" t="s">
        <v>2971</v>
      </c>
      <c r="R359" s="262" t="str">
        <f>"Fondo ammortamento 31/12/"&amp;Info!$B$3-1</f>
        <v>Fondo ammortamento 31/12/2019</v>
      </c>
      <c r="S359" s="262" t="s">
        <v>2972</v>
      </c>
      <c r="W359" s="262" t="s">
        <v>2975</v>
      </c>
      <c r="X359" s="262" t="s">
        <v>2976</v>
      </c>
      <c r="Y359" s="262" t="s">
        <v>2989</v>
      </c>
      <c r="Z359" s="262" t="s">
        <v>2990</v>
      </c>
      <c r="AA359" s="285"/>
    </row>
    <row r="360" spans="2:31" s="204" customFormat="1" x14ac:dyDescent="0.25">
      <c r="B360" s="287" t="s">
        <v>812</v>
      </c>
      <c r="C360" s="287" t="s">
        <v>813</v>
      </c>
      <c r="D360" s="274" t="s">
        <v>3358</v>
      </c>
      <c r="E360" s="274"/>
      <c r="F360" s="274"/>
      <c r="G360" s="283"/>
      <c r="H360" s="266"/>
      <c r="I360" s="281"/>
      <c r="J360" s="281"/>
      <c r="K360" s="281"/>
      <c r="L360" s="282" t="s">
        <v>3359</v>
      </c>
      <c r="M360" s="263" t="s">
        <v>2962</v>
      </c>
      <c r="N360" s="269">
        <f t="shared" ref="N360:N369" si="51">+R360</f>
        <v>383068</v>
      </c>
      <c r="O360" s="270">
        <f t="shared" ref="O360:O369" si="52">+R360+S360+X360-ABS(Y360)+ABS(Z360)+W360+Q360</f>
        <v>383068</v>
      </c>
      <c r="P360" s="271">
        <f t="shared" ref="P360:P369" si="53">+O360-N360</f>
        <v>0</v>
      </c>
      <c r="Q360" s="520"/>
      <c r="R360" s="354">
        <f>IF(ISERROR(VLOOKUP("SAN"&amp;$C360,ESTR_PREC_SP!$A$2:$G$2000,4,FALSE))=TRUE,0,VLOOKUP("SAN"&amp;$C360,ESTR_PREC_SP!$A$2:$G$2000,4,FALSE))</f>
        <v>383068</v>
      </c>
      <c r="S360" s="521"/>
      <c r="V360" s="211"/>
      <c r="W360" s="520"/>
      <c r="X360" s="520"/>
      <c r="Y360" s="520"/>
      <c r="Z360" s="520"/>
      <c r="AA360" s="285"/>
    </row>
    <row r="361" spans="2:31" s="204" customFormat="1" x14ac:dyDescent="0.25">
      <c r="B361" s="287" t="s">
        <v>815</v>
      </c>
      <c r="C361" s="287" t="s">
        <v>816</v>
      </c>
      <c r="D361" s="274" t="s">
        <v>3360</v>
      </c>
      <c r="E361" s="274"/>
      <c r="F361" s="274"/>
      <c r="G361" s="283"/>
      <c r="H361" s="266"/>
      <c r="I361" s="281"/>
      <c r="J361" s="281"/>
      <c r="K361" s="281"/>
      <c r="L361" s="282" t="s">
        <v>3361</v>
      </c>
      <c r="M361" s="263" t="s">
        <v>2962</v>
      </c>
      <c r="N361" s="269">
        <f t="shared" si="51"/>
        <v>41775</v>
      </c>
      <c r="O361" s="270">
        <f t="shared" si="52"/>
        <v>41775</v>
      </c>
      <c r="P361" s="271">
        <f t="shared" si="53"/>
        <v>0</v>
      </c>
      <c r="Q361" s="520"/>
      <c r="R361" s="354">
        <f>IF(ISERROR(VLOOKUP("SAN"&amp;$C361,ESTR_PREC_SP!$A$2:$G$2000,4,FALSE))=TRUE,0,VLOOKUP("SAN"&amp;$C361,ESTR_PREC_SP!$A$2:$G$2000,4,FALSE))</f>
        <v>41775</v>
      </c>
      <c r="S361" s="521"/>
      <c r="V361" s="211"/>
      <c r="W361" s="520"/>
      <c r="X361" s="520"/>
      <c r="Y361" s="520"/>
      <c r="Z361" s="520"/>
      <c r="AA361" s="285"/>
    </row>
    <row r="362" spans="2:31" s="204" customFormat="1" x14ac:dyDescent="0.25">
      <c r="B362" s="287" t="s">
        <v>818</v>
      </c>
      <c r="C362" s="287" t="s">
        <v>819</v>
      </c>
      <c r="D362" s="274" t="s">
        <v>3362</v>
      </c>
      <c r="E362" s="274"/>
      <c r="F362" s="274"/>
      <c r="G362" s="283"/>
      <c r="H362" s="266"/>
      <c r="I362" s="281"/>
      <c r="J362" s="281"/>
      <c r="K362" s="281"/>
      <c r="L362" s="282" t="s">
        <v>3363</v>
      </c>
      <c r="M362" s="263" t="s">
        <v>2962</v>
      </c>
      <c r="N362" s="269">
        <f t="shared" si="51"/>
        <v>232253</v>
      </c>
      <c r="O362" s="270">
        <f t="shared" si="52"/>
        <v>232253</v>
      </c>
      <c r="P362" s="271">
        <f t="shared" si="53"/>
        <v>0</v>
      </c>
      <c r="Q362" s="520"/>
      <c r="R362" s="354">
        <f>IF(ISERROR(VLOOKUP("SAN"&amp;$C362,ESTR_PREC_SP!$A$2:$G$2000,4,FALSE))=TRUE,0,VLOOKUP("SAN"&amp;$C362,ESTR_PREC_SP!$A$2:$G$2000,4,FALSE))</f>
        <v>232253</v>
      </c>
      <c r="S362" s="521"/>
      <c r="V362" s="211"/>
      <c r="W362" s="520"/>
      <c r="X362" s="520"/>
      <c r="Y362" s="520"/>
      <c r="Z362" s="520"/>
      <c r="AA362" s="285"/>
    </row>
    <row r="363" spans="2:31" s="204" customFormat="1" x14ac:dyDescent="0.25">
      <c r="B363" s="287" t="s">
        <v>821</v>
      </c>
      <c r="C363" s="287" t="s">
        <v>822</v>
      </c>
      <c r="D363" s="274" t="s">
        <v>3364</v>
      </c>
      <c r="E363" s="274"/>
      <c r="F363" s="274"/>
      <c r="G363" s="283"/>
      <c r="H363" s="266"/>
      <c r="I363" s="281"/>
      <c r="J363" s="281"/>
      <c r="K363" s="281"/>
      <c r="L363" s="282" t="s">
        <v>3365</v>
      </c>
      <c r="M363" s="263" t="s">
        <v>2962</v>
      </c>
      <c r="N363" s="269">
        <f t="shared" si="51"/>
        <v>134704</v>
      </c>
      <c r="O363" s="270">
        <f t="shared" si="52"/>
        <v>134704</v>
      </c>
      <c r="P363" s="271">
        <f t="shared" si="53"/>
        <v>0</v>
      </c>
      <c r="Q363" s="520"/>
      <c r="R363" s="354">
        <f>IF(ISERROR(VLOOKUP("SAN"&amp;$C363,ESTR_PREC_SP!$A$2:$G$2000,4,FALSE))=TRUE,0,VLOOKUP("SAN"&amp;$C363,ESTR_PREC_SP!$A$2:$G$2000,4,FALSE))</f>
        <v>134704</v>
      </c>
      <c r="S363" s="521"/>
      <c r="V363" s="211"/>
      <c r="W363" s="520"/>
      <c r="X363" s="520"/>
      <c r="Y363" s="520"/>
      <c r="Z363" s="520"/>
      <c r="AA363" s="285"/>
    </row>
    <row r="364" spans="2:31" s="204" customFormat="1" x14ac:dyDescent="0.25">
      <c r="B364" s="287" t="s">
        <v>824</v>
      </c>
      <c r="C364" s="287" t="s">
        <v>825</v>
      </c>
      <c r="D364" s="274" t="s">
        <v>3366</v>
      </c>
      <c r="E364" s="274"/>
      <c r="F364" s="274"/>
      <c r="G364" s="283"/>
      <c r="H364" s="266"/>
      <c r="I364" s="281"/>
      <c r="J364" s="281"/>
      <c r="K364" s="281"/>
      <c r="L364" s="282" t="s">
        <v>3367</v>
      </c>
      <c r="M364" s="263" t="s">
        <v>2962</v>
      </c>
      <c r="N364" s="269">
        <f t="shared" si="51"/>
        <v>0</v>
      </c>
      <c r="O364" s="270">
        <f t="shared" si="52"/>
        <v>0</v>
      </c>
      <c r="P364" s="271">
        <f t="shared" si="53"/>
        <v>0</v>
      </c>
      <c r="Q364" s="520"/>
      <c r="R364" s="354">
        <f>IF(ISERROR(VLOOKUP("SAN"&amp;$C364,ESTR_PREC_SP!$A$2:$G$2000,4,FALSE))=TRUE,0,VLOOKUP("SAN"&amp;$C364,ESTR_PREC_SP!$A$2:$G$2000,4,FALSE))</f>
        <v>0</v>
      </c>
      <c r="S364" s="521"/>
      <c r="V364" s="211"/>
      <c r="W364" s="520"/>
      <c r="X364" s="520"/>
      <c r="Y364" s="520"/>
      <c r="Z364" s="520"/>
      <c r="AA364" s="285"/>
    </row>
    <row r="365" spans="2:31" s="204" customFormat="1" x14ac:dyDescent="0.25">
      <c r="B365" s="287" t="s">
        <v>827</v>
      </c>
      <c r="C365" s="287" t="s">
        <v>828</v>
      </c>
      <c r="D365" s="274" t="s">
        <v>3368</v>
      </c>
      <c r="E365" s="274"/>
      <c r="F365" s="274"/>
      <c r="G365" s="283"/>
      <c r="H365" s="266"/>
      <c r="I365" s="281"/>
      <c r="J365" s="281"/>
      <c r="K365" s="281"/>
      <c r="L365" s="282" t="s">
        <v>3369</v>
      </c>
      <c r="M365" s="263" t="s">
        <v>2962</v>
      </c>
      <c r="N365" s="269">
        <f t="shared" si="51"/>
        <v>0</v>
      </c>
      <c r="O365" s="270">
        <f t="shared" si="52"/>
        <v>0</v>
      </c>
      <c r="P365" s="271">
        <f t="shared" si="53"/>
        <v>0</v>
      </c>
      <c r="Q365" s="520"/>
      <c r="R365" s="354">
        <f>IF(ISERROR(VLOOKUP("SAN"&amp;$C365,ESTR_PREC_SP!$A$2:$G$2000,4,FALSE))=TRUE,0,VLOOKUP("SAN"&amp;$C365,ESTR_PREC_SP!$A$2:$G$2000,4,FALSE))</f>
        <v>0</v>
      </c>
      <c r="S365" s="521"/>
      <c r="V365" s="211"/>
      <c r="W365" s="520"/>
      <c r="X365" s="520"/>
      <c r="Y365" s="520"/>
      <c r="Z365" s="520"/>
      <c r="AA365" s="285"/>
    </row>
    <row r="366" spans="2:31" s="204" customFormat="1" x14ac:dyDescent="0.25">
      <c r="B366" s="287" t="s">
        <v>830</v>
      </c>
      <c r="C366" s="287" t="s">
        <v>831</v>
      </c>
      <c r="D366" s="274" t="s">
        <v>3370</v>
      </c>
      <c r="E366" s="274"/>
      <c r="F366" s="274"/>
      <c r="G366" s="283"/>
      <c r="H366" s="266"/>
      <c r="I366" s="281"/>
      <c r="J366" s="281"/>
      <c r="K366" s="281"/>
      <c r="L366" s="295" t="s">
        <v>3371</v>
      </c>
      <c r="M366" s="284" t="s">
        <v>2962</v>
      </c>
      <c r="N366" s="269">
        <f t="shared" si="51"/>
        <v>40594</v>
      </c>
      <c r="O366" s="270">
        <f t="shared" si="52"/>
        <v>40594</v>
      </c>
      <c r="P366" s="271">
        <f t="shared" si="53"/>
        <v>0</v>
      </c>
      <c r="Q366" s="520"/>
      <c r="R366" s="354">
        <f>IF(ISERROR(VLOOKUP("SAN"&amp;$C366,ESTR_PREC_SP!$A$2:$G$2000,4,FALSE))=TRUE,0,VLOOKUP("SAN"&amp;$C366,ESTR_PREC_SP!$A$2:$G$2000,4,FALSE))</f>
        <v>40594</v>
      </c>
      <c r="S366" s="521"/>
      <c r="V366" s="211"/>
      <c r="W366" s="520"/>
      <c r="X366" s="520"/>
      <c r="Y366" s="520"/>
      <c r="Z366" s="520"/>
      <c r="AA366" s="285"/>
    </row>
    <row r="367" spans="2:31" s="204" customFormat="1" x14ac:dyDescent="0.25">
      <c r="B367" s="287" t="s">
        <v>833</v>
      </c>
      <c r="C367" s="287" t="s">
        <v>834</v>
      </c>
      <c r="D367" s="274" t="s">
        <v>3372</v>
      </c>
      <c r="E367" s="274"/>
      <c r="F367" s="274"/>
      <c r="G367" s="283"/>
      <c r="H367" s="266"/>
      <c r="I367" s="281"/>
      <c r="J367" s="281"/>
      <c r="K367" s="281"/>
      <c r="L367" s="295" t="s">
        <v>3373</v>
      </c>
      <c r="M367" s="284" t="s">
        <v>2962</v>
      </c>
      <c r="N367" s="269">
        <f t="shared" si="51"/>
        <v>98121</v>
      </c>
      <c r="O367" s="270">
        <f t="shared" si="52"/>
        <v>98121</v>
      </c>
      <c r="P367" s="271">
        <f t="shared" si="53"/>
        <v>0</v>
      </c>
      <c r="Q367" s="520"/>
      <c r="R367" s="354">
        <f>IF(ISERROR(VLOOKUP("SAN"&amp;$C367,ESTR_PREC_SP!$A$2:$G$2000,4,FALSE))=TRUE,0,VLOOKUP("SAN"&amp;$C367,ESTR_PREC_SP!$A$2:$G$2000,4,FALSE))</f>
        <v>98121</v>
      </c>
      <c r="S367" s="521"/>
      <c r="V367" s="211"/>
      <c r="W367" s="520"/>
      <c r="X367" s="520"/>
      <c r="Y367" s="520"/>
      <c r="Z367" s="520"/>
      <c r="AA367" s="285"/>
    </row>
    <row r="368" spans="2:31" s="204" customFormat="1" x14ac:dyDescent="0.25">
      <c r="B368" s="287" t="s">
        <v>836</v>
      </c>
      <c r="C368" s="287" t="s">
        <v>837</v>
      </c>
      <c r="D368" s="274" t="s">
        <v>3374</v>
      </c>
      <c r="E368" s="274"/>
      <c r="F368" s="274"/>
      <c r="G368" s="283"/>
      <c r="H368" s="266"/>
      <c r="I368" s="281"/>
      <c r="J368" s="281"/>
      <c r="K368" s="281"/>
      <c r="L368" s="295" t="s">
        <v>3375</v>
      </c>
      <c r="M368" s="284" t="s">
        <v>2962</v>
      </c>
      <c r="N368" s="269">
        <f t="shared" si="51"/>
        <v>0</v>
      </c>
      <c r="O368" s="270">
        <f t="shared" si="52"/>
        <v>0</v>
      </c>
      <c r="P368" s="271">
        <f t="shared" si="53"/>
        <v>0</v>
      </c>
      <c r="Q368" s="520"/>
      <c r="R368" s="354">
        <f>IF(ISERROR(VLOOKUP("SAN"&amp;$C368,ESTR_PREC_SP!$A$2:$G$2000,4,FALSE))=TRUE,0,VLOOKUP("SAN"&amp;$C368,ESTR_PREC_SP!$A$2:$G$2000,4,FALSE))</f>
        <v>0</v>
      </c>
      <c r="S368" s="521"/>
      <c r="V368" s="211"/>
      <c r="W368" s="520"/>
      <c r="X368" s="520"/>
      <c r="Y368" s="520"/>
      <c r="Z368" s="520"/>
      <c r="AA368" s="285"/>
    </row>
    <row r="369" spans="2:38" s="204" customFormat="1" x14ac:dyDescent="0.25">
      <c r="B369" s="287" t="s">
        <v>839</v>
      </c>
      <c r="C369" s="287" t="s">
        <v>840</v>
      </c>
      <c r="D369" s="274" t="s">
        <v>3376</v>
      </c>
      <c r="E369" s="274"/>
      <c r="F369" s="274"/>
      <c r="G369" s="283"/>
      <c r="H369" s="266"/>
      <c r="I369" s="281"/>
      <c r="J369" s="281"/>
      <c r="K369" s="281"/>
      <c r="L369" s="295" t="s">
        <v>3377</v>
      </c>
      <c r="M369" s="284" t="s">
        <v>2962</v>
      </c>
      <c r="N369" s="269">
        <f t="shared" si="51"/>
        <v>0</v>
      </c>
      <c r="O369" s="270">
        <f t="shared" si="52"/>
        <v>0</v>
      </c>
      <c r="P369" s="271">
        <f t="shared" si="53"/>
        <v>0</v>
      </c>
      <c r="Q369" s="520"/>
      <c r="R369" s="354">
        <f>IF(ISERROR(VLOOKUP("SAN"&amp;$C369,ESTR_PREC_SP!$A$2:$G$2000,4,FALSE))=TRUE,0,VLOOKUP("SAN"&amp;$C369,ESTR_PREC_SP!$A$2:$G$2000,4,FALSE))</f>
        <v>0</v>
      </c>
      <c r="S369" s="521"/>
      <c r="V369" s="211"/>
      <c r="W369" s="520"/>
      <c r="X369" s="520"/>
      <c r="Y369" s="520"/>
      <c r="Z369" s="520"/>
      <c r="AA369" s="285"/>
    </row>
    <row r="370" spans="2:38" s="204" customFormat="1" x14ac:dyDescent="0.25">
      <c r="B370" s="289"/>
      <c r="C370" s="289"/>
      <c r="D370" s="211"/>
      <c r="E370" s="211"/>
      <c r="F370" s="211"/>
      <c r="G370" s="211"/>
      <c r="H370" s="211"/>
      <c r="I370" s="211"/>
      <c r="J370" s="211"/>
      <c r="K370" s="211"/>
      <c r="L370" s="232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</row>
    <row r="371" spans="2:38" s="204" customFormat="1" ht="25.5" x14ac:dyDescent="0.25">
      <c r="B371" s="293"/>
      <c r="C371" s="293"/>
      <c r="D371" s="304"/>
      <c r="E371" s="230"/>
      <c r="F371" s="230"/>
      <c r="G371" s="230"/>
      <c r="H371" s="231"/>
      <c r="I371" s="230"/>
      <c r="J371" s="230"/>
      <c r="K371" s="230"/>
      <c r="L371" s="255"/>
      <c r="M371" s="244"/>
      <c r="N371" s="256" t="str">
        <f>N$15</f>
        <v>Valore netto al 31/12/2019</v>
      </c>
      <c r="O371" s="256" t="str">
        <f>O$15</f>
        <v>Valore netto al 31/12/2020</v>
      </c>
      <c r="P371" s="256" t="str">
        <f>P$15</f>
        <v>Variazione</v>
      </c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</row>
    <row r="372" spans="2:38" s="204" customFormat="1" x14ac:dyDescent="0.25">
      <c r="B372" s="292" t="s">
        <v>842</v>
      </c>
      <c r="C372" s="292" t="s">
        <v>843</v>
      </c>
      <c r="D372" s="301" t="s">
        <v>3378</v>
      </c>
      <c r="E372" s="247"/>
      <c r="F372" s="247"/>
      <c r="G372" s="247"/>
      <c r="H372" s="248"/>
      <c r="I372" s="247"/>
      <c r="J372" s="247"/>
      <c r="K372" s="249"/>
      <c r="L372" s="257" t="s">
        <v>846</v>
      </c>
      <c r="M372" s="251" t="s">
        <v>2962</v>
      </c>
      <c r="N372" s="252">
        <f>+N374</f>
        <v>24416</v>
      </c>
      <c r="O372" s="252">
        <f>+O374</f>
        <v>113139</v>
      </c>
      <c r="P372" s="253">
        <f>+O372-N372</f>
        <v>88723</v>
      </c>
      <c r="Q372" s="285"/>
      <c r="R372" s="285"/>
      <c r="S372" s="252">
        <f>+S374</f>
        <v>0</v>
      </c>
      <c r="T372" s="285"/>
      <c r="U372" s="285"/>
      <c r="V372" s="285"/>
      <c r="W372" s="211"/>
      <c r="X372" s="252">
        <f>+X374</f>
        <v>0</v>
      </c>
      <c r="Y372" s="285"/>
      <c r="Z372" s="285"/>
      <c r="AA372" s="285"/>
    </row>
    <row r="373" spans="2:38" s="204" customFormat="1" x14ac:dyDescent="0.25">
      <c r="B373" s="293"/>
      <c r="C373" s="293"/>
      <c r="D373" s="247"/>
      <c r="E373" s="230"/>
      <c r="F373" s="230"/>
      <c r="G373" s="285"/>
      <c r="H373" s="321"/>
      <c r="I373" s="285"/>
      <c r="J373" s="285"/>
      <c r="K373" s="285"/>
      <c r="L373" s="322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</row>
    <row r="374" spans="2:38" s="204" customFormat="1" x14ac:dyDescent="0.25">
      <c r="B374" s="292" t="s">
        <v>847</v>
      </c>
      <c r="C374" s="292" t="s">
        <v>848</v>
      </c>
      <c r="D374" s="247" t="s">
        <v>3379</v>
      </c>
      <c r="E374" s="247"/>
      <c r="F374" s="247"/>
      <c r="G374" s="247"/>
      <c r="H374" s="248"/>
      <c r="I374" s="247"/>
      <c r="J374" s="247"/>
      <c r="K374" s="249"/>
      <c r="L374" s="276" t="s">
        <v>850</v>
      </c>
      <c r="M374" s="251" t="s">
        <v>2962</v>
      </c>
      <c r="N374" s="252">
        <f>+N377</f>
        <v>24416</v>
      </c>
      <c r="O374" s="252">
        <f>+O377</f>
        <v>113139</v>
      </c>
      <c r="P374" s="259">
        <f>+O374-N374</f>
        <v>88723</v>
      </c>
      <c r="Q374" s="252">
        <f>+Q377</f>
        <v>0</v>
      </c>
      <c r="R374" s="252">
        <f>+R377</f>
        <v>24416</v>
      </c>
      <c r="S374" s="252">
        <f>+T377</f>
        <v>0</v>
      </c>
      <c r="T374" s="252">
        <f>+U377</f>
        <v>0</v>
      </c>
      <c r="U374" s="252">
        <f>+V377</f>
        <v>0</v>
      </c>
      <c r="W374" s="252">
        <f t="shared" ref="W374:AE374" si="54">+W377</f>
        <v>0</v>
      </c>
      <c r="X374" s="252">
        <f t="shared" si="54"/>
        <v>0</v>
      </c>
      <c r="Y374" s="252">
        <f t="shared" si="54"/>
        <v>0</v>
      </c>
      <c r="Z374" s="252">
        <f t="shared" si="54"/>
        <v>0</v>
      </c>
      <c r="AA374" s="252">
        <f t="shared" si="54"/>
        <v>0</v>
      </c>
      <c r="AB374" s="252">
        <f t="shared" si="54"/>
        <v>88723</v>
      </c>
      <c r="AC374" s="252">
        <f t="shared" si="54"/>
        <v>0</v>
      </c>
      <c r="AD374" s="252">
        <f t="shared" si="54"/>
        <v>0</v>
      </c>
      <c r="AE374" s="252">
        <f t="shared" si="54"/>
        <v>0</v>
      </c>
    </row>
    <row r="375" spans="2:38" s="204" customFormat="1" x14ac:dyDescent="0.25">
      <c r="B375" s="293"/>
      <c r="C375" s="293"/>
      <c r="D375" s="230"/>
      <c r="E375" s="230"/>
      <c r="F375" s="230"/>
      <c r="G375" s="230"/>
      <c r="H375" s="231"/>
      <c r="I375" s="230"/>
      <c r="J375" s="230"/>
      <c r="K375" s="230"/>
      <c r="L375" s="275"/>
      <c r="M375" s="216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</row>
    <row r="376" spans="2:38" s="204" customFormat="1" ht="51" x14ac:dyDescent="0.25">
      <c r="B376" s="294" t="s">
        <v>2968</v>
      </c>
      <c r="C376" s="294" t="s">
        <v>2969</v>
      </c>
      <c r="D376" s="206" t="s">
        <v>72</v>
      </c>
      <c r="E376" s="206"/>
      <c r="F376" s="206"/>
      <c r="G376" s="207"/>
      <c r="H376" s="207"/>
      <c r="I376" s="207"/>
      <c r="J376" s="207" t="s">
        <v>2957</v>
      </c>
      <c r="K376" s="206" t="s">
        <v>82</v>
      </c>
      <c r="L376" s="261" t="s">
        <v>2970</v>
      </c>
      <c r="M376" s="260"/>
      <c r="N376" s="256" t="str">
        <f>N$15</f>
        <v>Valore netto al 31/12/2019</v>
      </c>
      <c r="O376" s="256" t="str">
        <f>O$15</f>
        <v>Valore netto al 31/12/2020</v>
      </c>
      <c r="P376" s="256" t="str">
        <f>P$15</f>
        <v>Variazione</v>
      </c>
      <c r="Q376" s="262" t="s">
        <v>2971</v>
      </c>
      <c r="R376" s="262" t="str">
        <f>"Costo storico al 31/12/"&amp;Info!$B$3-1</f>
        <v>Costo storico al 31/12/2019</v>
      </c>
      <c r="S376" s="262" t="s">
        <v>2972</v>
      </c>
      <c r="T376" s="262" t="s">
        <v>2973</v>
      </c>
      <c r="U376" s="262" t="s">
        <v>2974</v>
      </c>
      <c r="W376" s="262" t="s">
        <v>2975</v>
      </c>
      <c r="X376" s="262" t="s">
        <v>2976</v>
      </c>
      <c r="Y376" s="262" t="s">
        <v>2977</v>
      </c>
      <c r="Z376" s="262" t="s">
        <v>2978</v>
      </c>
      <c r="AA376" s="262" t="s">
        <v>2979</v>
      </c>
      <c r="AB376" s="262" t="s">
        <v>2980</v>
      </c>
      <c r="AC376" s="262" t="s">
        <v>2981</v>
      </c>
      <c r="AD376" s="262" t="s">
        <v>2982</v>
      </c>
      <c r="AE376" s="262" t="s">
        <v>2983</v>
      </c>
    </row>
    <row r="377" spans="2:38" s="204" customFormat="1" x14ac:dyDescent="0.25">
      <c r="B377" s="287" t="s">
        <v>851</v>
      </c>
      <c r="C377" s="287" t="s">
        <v>852</v>
      </c>
      <c r="D377" s="274" t="s">
        <v>3380</v>
      </c>
      <c r="E377" s="274"/>
      <c r="F377" s="274"/>
      <c r="G377" s="274"/>
      <c r="H377" s="266"/>
      <c r="I377" s="281"/>
      <c r="J377" s="281"/>
      <c r="K377" s="281"/>
      <c r="L377" s="282" t="s">
        <v>3381</v>
      </c>
      <c r="M377" s="263" t="s">
        <v>2962</v>
      </c>
      <c r="N377" s="269">
        <f>+R377+T377-U377</f>
        <v>24416</v>
      </c>
      <c r="O377" s="270">
        <f>+N377+S377+X377+ABS(Y377)-ABS(AA377)+ABS(Z377)+ABS(AB377)+ABS(AD377)-ABS(AE377)+AC377+W377+Q377</f>
        <v>113139</v>
      </c>
      <c r="P377" s="271">
        <f>+O377-N377</f>
        <v>88723</v>
      </c>
      <c r="Q377" s="520"/>
      <c r="R377" s="354">
        <f>IF(ISERROR(VLOOKUP("SAN"&amp;$C377,ESTR_PREC_SP!$A$2:$G$2000,4,FALSE))=TRUE,0,VLOOKUP("SAN"&amp;$C377,ESTR_PREC_SP!$A$2:$G$2000,4,FALSE))</f>
        <v>24416</v>
      </c>
      <c r="S377" s="521"/>
      <c r="T377" s="521"/>
      <c r="U377" s="521"/>
      <c r="W377" s="520"/>
      <c r="X377" s="520"/>
      <c r="Y377" s="520"/>
      <c r="Z377" s="520"/>
      <c r="AA377" s="520"/>
      <c r="AB377" s="520">
        <f>88722+1</f>
        <v>88723</v>
      </c>
      <c r="AC377" s="520"/>
      <c r="AD377" s="520"/>
      <c r="AE377" s="520"/>
    </row>
    <row r="378" spans="2:38" s="204" customFormat="1" x14ac:dyDescent="0.25">
      <c r="B378" s="289"/>
      <c r="C378" s="289"/>
      <c r="D378" s="211"/>
      <c r="E378" s="211"/>
      <c r="F378" s="211"/>
      <c r="G378" s="211"/>
      <c r="H378" s="211"/>
      <c r="I378" s="211"/>
      <c r="J378" s="211"/>
      <c r="K378" s="211"/>
      <c r="L378" s="232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</row>
    <row r="379" spans="2:38" s="204" customFormat="1" ht="25.5" x14ac:dyDescent="0.25">
      <c r="B379" s="293"/>
      <c r="C379" s="293"/>
      <c r="D379" s="230"/>
      <c r="E379" s="230"/>
      <c r="F379" s="230"/>
      <c r="G379" s="230"/>
      <c r="H379" s="231"/>
      <c r="I379" s="230"/>
      <c r="J379" s="230"/>
      <c r="K379" s="230"/>
      <c r="L379" s="255"/>
      <c r="M379" s="244"/>
      <c r="N379" s="256" t="str">
        <f>N$15</f>
        <v>Valore netto al 31/12/2019</v>
      </c>
      <c r="O379" s="256" t="str">
        <f>O$15</f>
        <v>Valore netto al 31/12/2020</v>
      </c>
      <c r="P379" s="256" t="str">
        <f>P$15</f>
        <v>Variazione</v>
      </c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</row>
    <row r="380" spans="2:38" s="204" customFormat="1" x14ac:dyDescent="0.25">
      <c r="B380" s="292" t="s">
        <v>854</v>
      </c>
      <c r="C380" s="292" t="s">
        <v>855</v>
      </c>
      <c r="D380" s="247" t="s">
        <v>3382</v>
      </c>
      <c r="E380" s="247"/>
      <c r="F380" s="247"/>
      <c r="G380" s="247"/>
      <c r="H380" s="248"/>
      <c r="I380" s="247"/>
      <c r="J380" s="247"/>
      <c r="K380" s="249"/>
      <c r="L380" s="257" t="s">
        <v>857</v>
      </c>
      <c r="M380" s="251" t="s">
        <v>2962</v>
      </c>
      <c r="N380" s="252">
        <f>+N382-N399</f>
        <v>610241</v>
      </c>
      <c r="O380" s="252">
        <f>+O382-O399</f>
        <v>607953</v>
      </c>
      <c r="P380" s="253">
        <f>+O380-N380</f>
        <v>-2288</v>
      </c>
      <c r="Q380" s="285"/>
      <c r="R380" s="285"/>
      <c r="S380" s="252">
        <f>+S382-S399</f>
        <v>0</v>
      </c>
      <c r="T380" s="285"/>
      <c r="U380" s="285"/>
      <c r="V380" s="285"/>
      <c r="W380" s="211"/>
      <c r="X380" s="252">
        <f>+X382-X399</f>
        <v>0</v>
      </c>
      <c r="Y380" s="285"/>
      <c r="Z380" s="285"/>
      <c r="AA380" s="285"/>
    </row>
    <row r="381" spans="2:38" s="204" customFormat="1" x14ac:dyDescent="0.25">
      <c r="B381" s="293"/>
      <c r="C381" s="293"/>
      <c r="D381" s="230"/>
      <c r="E381" s="230"/>
      <c r="F381" s="230"/>
      <c r="G381" s="285"/>
      <c r="H381" s="321"/>
      <c r="I381" s="285"/>
      <c r="J381" s="285"/>
      <c r="K381" s="285"/>
      <c r="L381" s="322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</row>
    <row r="382" spans="2:38" s="204" customFormat="1" x14ac:dyDescent="0.25">
      <c r="B382" s="292" t="s">
        <v>858</v>
      </c>
      <c r="C382" s="292" t="s">
        <v>859</v>
      </c>
      <c r="D382" s="247" t="s">
        <v>3383</v>
      </c>
      <c r="E382" s="247"/>
      <c r="F382" s="247"/>
      <c r="G382" s="247"/>
      <c r="H382" s="248"/>
      <c r="I382" s="247"/>
      <c r="J382" s="247"/>
      <c r="K382" s="249"/>
      <c r="L382" s="276" t="s">
        <v>862</v>
      </c>
      <c r="M382" s="251" t="s">
        <v>2962</v>
      </c>
      <c r="N382" s="252">
        <f>SUM(N385:N396)</f>
        <v>9248959</v>
      </c>
      <c r="O382" s="252">
        <f>SUM(O385:O396)</f>
        <v>9220312</v>
      </c>
      <c r="P382" s="259">
        <f>+O382-N382</f>
        <v>-28647</v>
      </c>
      <c r="Q382" s="252">
        <f>SUM(Q385:Q396)</f>
        <v>0</v>
      </c>
      <c r="R382" s="252">
        <f>SUM(R385:R396)</f>
        <v>9248959</v>
      </c>
      <c r="S382" s="252">
        <f>+T385</f>
        <v>0</v>
      </c>
      <c r="T382" s="252">
        <f>SUM(S385:S396)</f>
        <v>0</v>
      </c>
      <c r="U382" s="252">
        <f>SUM(T385:T396)</f>
        <v>0</v>
      </c>
      <c r="W382" s="252">
        <f t="shared" ref="W382:AE382" si="55">SUM(W385:W396)</f>
        <v>0</v>
      </c>
      <c r="X382" s="252">
        <f t="shared" si="55"/>
        <v>0</v>
      </c>
      <c r="Y382" s="252">
        <f t="shared" si="55"/>
        <v>0</v>
      </c>
      <c r="Z382" s="252">
        <f t="shared" si="55"/>
        <v>0</v>
      </c>
      <c r="AA382" s="252">
        <f t="shared" si="55"/>
        <v>0</v>
      </c>
      <c r="AB382" s="252">
        <f t="shared" si="55"/>
        <v>21265</v>
      </c>
      <c r="AC382" s="252">
        <f t="shared" si="55"/>
        <v>0</v>
      </c>
      <c r="AD382" s="252">
        <f t="shared" si="55"/>
        <v>0</v>
      </c>
      <c r="AE382" s="252">
        <f t="shared" si="55"/>
        <v>49912</v>
      </c>
    </row>
    <row r="383" spans="2:38" s="204" customFormat="1" x14ac:dyDescent="0.25">
      <c r="B383" s="293"/>
      <c r="C383" s="293"/>
      <c r="D383" s="230"/>
      <c r="E383" s="230"/>
      <c r="F383" s="230"/>
      <c r="G383" s="230"/>
      <c r="H383" s="231"/>
      <c r="I383" s="230"/>
      <c r="J383" s="230"/>
      <c r="K383" s="285"/>
      <c r="L383" s="322"/>
      <c r="M383" s="285"/>
      <c r="N383" s="285"/>
      <c r="O383" s="285"/>
      <c r="P383" s="285"/>
      <c r="Q383" s="285"/>
      <c r="R383" s="285"/>
      <c r="T383" s="285"/>
      <c r="U383" s="285"/>
      <c r="V383" s="285"/>
      <c r="W383" s="285"/>
      <c r="X383" s="285"/>
      <c r="Y383" s="285"/>
      <c r="Z383" s="285"/>
      <c r="AA383" s="285"/>
    </row>
    <row r="384" spans="2:38" s="204" customFormat="1" ht="51" x14ac:dyDescent="0.25">
      <c r="B384" s="294" t="s">
        <v>2968</v>
      </c>
      <c r="C384" s="294" t="s">
        <v>2969</v>
      </c>
      <c r="D384" s="206" t="s">
        <v>72</v>
      </c>
      <c r="E384" s="206"/>
      <c r="F384" s="206"/>
      <c r="G384" s="207"/>
      <c r="H384" s="207"/>
      <c r="I384" s="207"/>
      <c r="J384" s="207" t="s">
        <v>2957</v>
      </c>
      <c r="K384" s="206" t="s">
        <v>82</v>
      </c>
      <c r="L384" s="261" t="s">
        <v>2970</v>
      </c>
      <c r="M384" s="260"/>
      <c r="N384" s="256" t="str">
        <f>N$15</f>
        <v>Valore netto al 31/12/2019</v>
      </c>
      <c r="O384" s="256" t="str">
        <f>O$15</f>
        <v>Valore netto al 31/12/2020</v>
      </c>
      <c r="P384" s="256" t="str">
        <f>P$15</f>
        <v>Variazione</v>
      </c>
      <c r="Q384" s="262" t="s">
        <v>2971</v>
      </c>
      <c r="R384" s="262" t="str">
        <f>"Costo storico al 31/12/"&amp;Info!$B$3-1</f>
        <v>Costo storico al 31/12/2019</v>
      </c>
      <c r="S384" s="262" t="s">
        <v>2972</v>
      </c>
      <c r="T384" s="262" t="s">
        <v>2973</v>
      </c>
      <c r="U384" s="262" t="s">
        <v>2974</v>
      </c>
      <c r="W384" s="262" t="s">
        <v>2975</v>
      </c>
      <c r="X384" s="262" t="s">
        <v>2976</v>
      </c>
      <c r="Y384" s="262" t="s">
        <v>2977</v>
      </c>
      <c r="Z384" s="262" t="s">
        <v>2978</v>
      </c>
      <c r="AA384" s="262" t="s">
        <v>2979</v>
      </c>
      <c r="AB384" s="262" t="s">
        <v>2980</v>
      </c>
      <c r="AC384" s="262" t="s">
        <v>2981</v>
      </c>
      <c r="AD384" s="262" t="s">
        <v>2982</v>
      </c>
      <c r="AE384" s="262" t="s">
        <v>2983</v>
      </c>
    </row>
    <row r="385" spans="2:31" s="204" customFormat="1" ht="15" customHeight="1" x14ac:dyDescent="0.25">
      <c r="B385" s="287" t="s">
        <v>863</v>
      </c>
      <c r="C385" s="287" t="s">
        <v>864</v>
      </c>
      <c r="D385" s="274" t="s">
        <v>3384</v>
      </c>
      <c r="E385" s="274"/>
      <c r="F385" s="274"/>
      <c r="G385" s="283"/>
      <c r="H385" s="266"/>
      <c r="I385" s="281"/>
      <c r="J385" s="281"/>
      <c r="K385" s="281"/>
      <c r="L385" s="288" t="s">
        <v>3385</v>
      </c>
      <c r="M385" s="263" t="s">
        <v>2962</v>
      </c>
      <c r="N385" s="269">
        <f t="shared" ref="N385:N396" si="56">+R385+S385-T385</f>
        <v>3718073</v>
      </c>
      <c r="O385" s="270">
        <f t="shared" ref="O385:O396" si="57">+N385+S385+X385+ABS(Y385)-ABS(AA385)+ABS(Z385)+ABS(AB385)+ABS(AD385)-ABS(AE385)+AC385+W385+Q385</f>
        <v>3687217</v>
      </c>
      <c r="P385" s="271">
        <f t="shared" ref="P385:P396" si="58">+O385-N385</f>
        <v>-30856</v>
      </c>
      <c r="Q385" s="520"/>
      <c r="R385" s="354">
        <f>IF(ISERROR(VLOOKUP("SAN"&amp;$C385,ESTR_PREC_SP!$A$2:$G$2000,4,FALSE))=TRUE,0,VLOOKUP("SAN"&amp;$C385,ESTR_PREC_SP!$A$2:$G$2000,4,FALSE))</f>
        <v>3718073</v>
      </c>
      <c r="S385" s="521"/>
      <c r="T385" s="521"/>
      <c r="U385" s="524"/>
      <c r="W385" s="520"/>
      <c r="X385" s="520"/>
      <c r="Y385" s="520"/>
      <c r="Z385" s="520"/>
      <c r="AA385" s="520"/>
      <c r="AB385" s="520"/>
      <c r="AC385" s="520"/>
      <c r="AD385" s="520"/>
      <c r="AE385" s="520">
        <v>30856</v>
      </c>
    </row>
    <row r="386" spans="2:31" s="204" customFormat="1" x14ac:dyDescent="0.25">
      <c r="B386" s="287" t="s">
        <v>866</v>
      </c>
      <c r="C386" s="287" t="s">
        <v>867</v>
      </c>
      <c r="D386" s="274" t="s">
        <v>3386</v>
      </c>
      <c r="E386" s="274"/>
      <c r="F386" s="274"/>
      <c r="G386" s="283"/>
      <c r="H386" s="266"/>
      <c r="I386" s="281"/>
      <c r="J386" s="281"/>
      <c r="K386" s="281"/>
      <c r="L386" s="288" t="s">
        <v>3387</v>
      </c>
      <c r="M386" s="263" t="s">
        <v>2962</v>
      </c>
      <c r="N386" s="269">
        <f t="shared" si="56"/>
        <v>1960350</v>
      </c>
      <c r="O386" s="270">
        <f t="shared" si="57"/>
        <v>1958642</v>
      </c>
      <c r="P386" s="271">
        <f t="shared" si="58"/>
        <v>-1708</v>
      </c>
      <c r="Q386" s="520"/>
      <c r="R386" s="354">
        <f>IF(ISERROR(VLOOKUP("SAN"&amp;$C386,ESTR_PREC_SP!$A$2:$G$2000,4,FALSE))=TRUE,0,VLOOKUP("SAN"&amp;$C386,ESTR_PREC_SP!$A$2:$G$2000,4,FALSE))</f>
        <v>1960350</v>
      </c>
      <c r="S386" s="521"/>
      <c r="T386" s="521"/>
      <c r="U386" s="524"/>
      <c r="W386" s="520"/>
      <c r="X386" s="520"/>
      <c r="Y386" s="520"/>
      <c r="Z386" s="520"/>
      <c r="AA386" s="520"/>
      <c r="AB386" s="520">
        <v>3500</v>
      </c>
      <c r="AC386" s="520"/>
      <c r="AD386" s="520"/>
      <c r="AE386" s="520">
        <v>5208</v>
      </c>
    </row>
    <row r="387" spans="2:31" s="204" customFormat="1" x14ac:dyDescent="0.25">
      <c r="B387" s="287" t="s">
        <v>869</v>
      </c>
      <c r="C387" s="287" t="s">
        <v>870</v>
      </c>
      <c r="D387" s="274" t="s">
        <v>3388</v>
      </c>
      <c r="E387" s="274"/>
      <c r="F387" s="274"/>
      <c r="G387" s="283"/>
      <c r="H387" s="266"/>
      <c r="I387" s="281"/>
      <c r="J387" s="281"/>
      <c r="K387" s="281"/>
      <c r="L387" s="324" t="s">
        <v>3389</v>
      </c>
      <c r="M387" s="284" t="s">
        <v>2962</v>
      </c>
      <c r="N387" s="269">
        <f t="shared" si="56"/>
        <v>154100</v>
      </c>
      <c r="O387" s="270">
        <f t="shared" si="57"/>
        <v>148828</v>
      </c>
      <c r="P387" s="271">
        <f t="shared" si="58"/>
        <v>-5272</v>
      </c>
      <c r="Q387" s="520"/>
      <c r="R387" s="354">
        <f>IF(ISERROR(VLOOKUP("SAN"&amp;$C387,ESTR_PREC_SP!$A$2:$G$2000,4,FALSE))=TRUE,0,VLOOKUP("SAN"&amp;$C387,ESTR_PREC_SP!$A$2:$G$2000,4,FALSE))</f>
        <v>154100</v>
      </c>
      <c r="S387" s="521"/>
      <c r="T387" s="521"/>
      <c r="U387" s="524"/>
      <c r="W387" s="520"/>
      <c r="X387" s="520"/>
      <c r="Y387" s="520"/>
      <c r="Z387" s="520"/>
      <c r="AA387" s="520"/>
      <c r="AB387" s="520"/>
      <c r="AC387" s="520"/>
      <c r="AD387" s="520"/>
      <c r="AE387" s="520">
        <v>5272</v>
      </c>
    </row>
    <row r="388" spans="2:31" s="204" customFormat="1" x14ac:dyDescent="0.25">
      <c r="B388" s="287" t="s">
        <v>872</v>
      </c>
      <c r="C388" s="287" t="s">
        <v>873</v>
      </c>
      <c r="D388" s="274" t="s">
        <v>3390</v>
      </c>
      <c r="E388" s="274"/>
      <c r="F388" s="274"/>
      <c r="G388" s="283"/>
      <c r="H388" s="266"/>
      <c r="I388" s="281"/>
      <c r="J388" s="281"/>
      <c r="K388" s="281"/>
      <c r="L388" s="324" t="s">
        <v>3391</v>
      </c>
      <c r="M388" s="284" t="s">
        <v>2962</v>
      </c>
      <c r="N388" s="269">
        <f t="shared" si="56"/>
        <v>155341</v>
      </c>
      <c r="O388" s="270">
        <f t="shared" si="57"/>
        <v>154168</v>
      </c>
      <c r="P388" s="271">
        <f t="shared" si="58"/>
        <v>-1173</v>
      </c>
      <c r="Q388" s="520"/>
      <c r="R388" s="354">
        <f>IF(ISERROR(VLOOKUP("SAN"&amp;$C388,ESTR_PREC_SP!$A$2:$G$2000,4,FALSE))=TRUE,0,VLOOKUP("SAN"&amp;$C388,ESTR_PREC_SP!$A$2:$G$2000,4,FALSE))</f>
        <v>155341</v>
      </c>
      <c r="S388" s="521"/>
      <c r="T388" s="521"/>
      <c r="U388" s="524"/>
      <c r="W388" s="520"/>
      <c r="X388" s="520"/>
      <c r="Y388" s="520"/>
      <c r="Z388" s="520"/>
      <c r="AA388" s="520"/>
      <c r="AB388" s="520">
        <v>150</v>
      </c>
      <c r="AC388" s="520"/>
      <c r="AD388" s="520"/>
      <c r="AE388" s="520">
        <v>1323</v>
      </c>
    </row>
    <row r="389" spans="2:31" s="204" customFormat="1" x14ac:dyDescent="0.25">
      <c r="B389" s="287" t="s">
        <v>875</v>
      </c>
      <c r="C389" s="287" t="s">
        <v>876</v>
      </c>
      <c r="D389" s="274" t="s">
        <v>3392</v>
      </c>
      <c r="E389" s="274"/>
      <c r="F389" s="274"/>
      <c r="G389" s="283"/>
      <c r="H389" s="266"/>
      <c r="I389" s="281"/>
      <c r="J389" s="281"/>
      <c r="K389" s="281"/>
      <c r="L389" s="324" t="s">
        <v>3393</v>
      </c>
      <c r="M389" s="284" t="s">
        <v>2962</v>
      </c>
      <c r="N389" s="269">
        <f t="shared" si="56"/>
        <v>0</v>
      </c>
      <c r="O389" s="270">
        <f t="shared" si="57"/>
        <v>0</v>
      </c>
      <c r="P389" s="271">
        <f t="shared" si="58"/>
        <v>0</v>
      </c>
      <c r="Q389" s="520"/>
      <c r="R389" s="354">
        <f>IF(ISERROR(VLOOKUP("SAN"&amp;$C389,ESTR_PREC_SP!$A$2:$G$2000,4,FALSE))=TRUE,0,VLOOKUP("SAN"&amp;$C389,ESTR_PREC_SP!$A$2:$G$2000,4,FALSE))</f>
        <v>0</v>
      </c>
      <c r="S389" s="521"/>
      <c r="T389" s="521"/>
      <c r="U389" s="524"/>
      <c r="W389" s="520"/>
      <c r="X389" s="520"/>
      <c r="Y389" s="520"/>
      <c r="Z389" s="520"/>
      <c r="AA389" s="520"/>
      <c r="AB389" s="520"/>
      <c r="AC389" s="520"/>
      <c r="AD389" s="520"/>
      <c r="AE389" s="520"/>
    </row>
    <row r="390" spans="2:31" s="204" customFormat="1" x14ac:dyDescent="0.25">
      <c r="B390" s="287" t="s">
        <v>878</v>
      </c>
      <c r="C390" s="287" t="s">
        <v>879</v>
      </c>
      <c r="D390" s="274" t="s">
        <v>3394</v>
      </c>
      <c r="E390" s="274"/>
      <c r="F390" s="274"/>
      <c r="G390" s="283"/>
      <c r="H390" s="266"/>
      <c r="I390" s="281"/>
      <c r="J390" s="281"/>
      <c r="K390" s="281"/>
      <c r="L390" s="324" t="s">
        <v>3395</v>
      </c>
      <c r="M390" s="284" t="s">
        <v>2962</v>
      </c>
      <c r="N390" s="269">
        <f t="shared" si="56"/>
        <v>0</v>
      </c>
      <c r="O390" s="270">
        <f t="shared" si="57"/>
        <v>0</v>
      </c>
      <c r="P390" s="271">
        <f t="shared" si="58"/>
        <v>0</v>
      </c>
      <c r="Q390" s="520"/>
      <c r="R390" s="354">
        <f>IF(ISERROR(VLOOKUP("SAN"&amp;$C390,ESTR_PREC_SP!$A$2:$G$2000,4,FALSE))=TRUE,0,VLOOKUP("SAN"&amp;$C390,ESTR_PREC_SP!$A$2:$G$2000,4,FALSE))</f>
        <v>0</v>
      </c>
      <c r="S390" s="521"/>
      <c r="T390" s="521"/>
      <c r="U390" s="524"/>
      <c r="W390" s="520"/>
      <c r="X390" s="520"/>
      <c r="Y390" s="520"/>
      <c r="Z390" s="520"/>
      <c r="AA390" s="520"/>
      <c r="AB390" s="520"/>
      <c r="AC390" s="520"/>
      <c r="AD390" s="520"/>
      <c r="AE390" s="520"/>
    </row>
    <row r="391" spans="2:31" s="204" customFormat="1" ht="15" customHeight="1" x14ac:dyDescent="0.25">
      <c r="B391" s="287" t="s">
        <v>881</v>
      </c>
      <c r="C391" s="287" t="s">
        <v>882</v>
      </c>
      <c r="D391" s="274" t="s">
        <v>3396</v>
      </c>
      <c r="E391" s="274"/>
      <c r="F391" s="274"/>
      <c r="G391" s="283"/>
      <c r="H391" s="266"/>
      <c r="I391" s="281"/>
      <c r="J391" s="281"/>
      <c r="K391" s="281"/>
      <c r="L391" s="288" t="s">
        <v>3397</v>
      </c>
      <c r="M391" s="284" t="s">
        <v>2962</v>
      </c>
      <c r="N391" s="269">
        <f t="shared" si="56"/>
        <v>0</v>
      </c>
      <c r="O391" s="270">
        <f t="shared" si="57"/>
        <v>0</v>
      </c>
      <c r="P391" s="271">
        <f t="shared" si="58"/>
        <v>0</v>
      </c>
      <c r="Q391" s="520"/>
      <c r="R391" s="354">
        <f>IF(ISERROR(VLOOKUP("SAN"&amp;$C391,ESTR_PREC_SP!$A$2:$G$2000,4,FALSE))=TRUE,0,VLOOKUP("SAN"&amp;$C391,ESTR_PREC_SP!$A$2:$G$2000,4,FALSE))</f>
        <v>0</v>
      </c>
      <c r="S391" s="521"/>
      <c r="T391" s="521"/>
      <c r="U391" s="524"/>
      <c r="W391" s="520"/>
      <c r="X391" s="520"/>
      <c r="Y391" s="520"/>
      <c r="Z391" s="520"/>
      <c r="AA391" s="520"/>
      <c r="AB391" s="520"/>
      <c r="AC391" s="520"/>
      <c r="AD391" s="520"/>
      <c r="AE391" s="520"/>
    </row>
    <row r="392" spans="2:31" s="204" customFormat="1" x14ac:dyDescent="0.25">
      <c r="B392" s="287" t="s">
        <v>884</v>
      </c>
      <c r="C392" s="287" t="s">
        <v>885</v>
      </c>
      <c r="D392" s="274" t="s">
        <v>3398</v>
      </c>
      <c r="E392" s="274"/>
      <c r="F392" s="274"/>
      <c r="G392" s="283"/>
      <c r="H392" s="266"/>
      <c r="I392" s="281"/>
      <c r="J392" s="281"/>
      <c r="K392" s="281"/>
      <c r="L392" s="288" t="s">
        <v>3399</v>
      </c>
      <c r="M392" s="284" t="s">
        <v>2962</v>
      </c>
      <c r="N392" s="269">
        <f t="shared" si="56"/>
        <v>0</v>
      </c>
      <c r="O392" s="270">
        <f t="shared" si="57"/>
        <v>0</v>
      </c>
      <c r="P392" s="271">
        <f t="shared" si="58"/>
        <v>0</v>
      </c>
      <c r="Q392" s="520"/>
      <c r="R392" s="354">
        <f>IF(ISERROR(VLOOKUP("SAN"&amp;$C392,ESTR_PREC_SP!$A$2:$G$2000,4,FALSE))=TRUE,0,VLOOKUP("SAN"&amp;$C392,ESTR_PREC_SP!$A$2:$G$2000,4,FALSE))</f>
        <v>0</v>
      </c>
      <c r="S392" s="521"/>
      <c r="T392" s="521"/>
      <c r="U392" s="524"/>
      <c r="W392" s="520"/>
      <c r="X392" s="520"/>
      <c r="Y392" s="520"/>
      <c r="Z392" s="520"/>
      <c r="AA392" s="520"/>
      <c r="AB392" s="520"/>
      <c r="AC392" s="520"/>
      <c r="AD392" s="520"/>
      <c r="AE392" s="520"/>
    </row>
    <row r="393" spans="2:31" s="204" customFormat="1" ht="25.5" x14ac:dyDescent="0.25">
      <c r="B393" s="287" t="s">
        <v>887</v>
      </c>
      <c r="C393" s="287" t="s">
        <v>888</v>
      </c>
      <c r="D393" s="274" t="s">
        <v>3400</v>
      </c>
      <c r="E393" s="274"/>
      <c r="F393" s="274"/>
      <c r="G393" s="283"/>
      <c r="H393" s="266"/>
      <c r="I393" s="281"/>
      <c r="J393" s="281"/>
      <c r="K393" s="281"/>
      <c r="L393" s="288" t="s">
        <v>3401</v>
      </c>
      <c r="M393" s="284" t="s">
        <v>2962</v>
      </c>
      <c r="N393" s="269">
        <f t="shared" si="56"/>
        <v>143489</v>
      </c>
      <c r="O393" s="270">
        <f t="shared" si="57"/>
        <v>143489</v>
      </c>
      <c r="P393" s="271">
        <f t="shared" si="58"/>
        <v>0</v>
      </c>
      <c r="Q393" s="520"/>
      <c r="R393" s="354">
        <f>IF(ISERROR(VLOOKUP("SAN"&amp;$C393,ESTR_PREC_SP!$A$2:$G$2000,4,FALSE))=TRUE,0,VLOOKUP("SAN"&amp;$C393,ESTR_PREC_SP!$A$2:$G$2000,4,FALSE))</f>
        <v>143489</v>
      </c>
      <c r="S393" s="521"/>
      <c r="T393" s="521"/>
      <c r="U393" s="524"/>
      <c r="W393" s="520"/>
      <c r="X393" s="520"/>
      <c r="Y393" s="520"/>
      <c r="Z393" s="520"/>
      <c r="AA393" s="520"/>
      <c r="AB393" s="520"/>
      <c r="AC393" s="520"/>
      <c r="AD393" s="520"/>
      <c r="AE393" s="520"/>
    </row>
    <row r="394" spans="2:31" s="204" customFormat="1" ht="15" customHeight="1" x14ac:dyDescent="0.25">
      <c r="B394" s="287" t="s">
        <v>890</v>
      </c>
      <c r="C394" s="287" t="s">
        <v>891</v>
      </c>
      <c r="D394" s="274" t="s">
        <v>3402</v>
      </c>
      <c r="E394" s="274"/>
      <c r="F394" s="274"/>
      <c r="G394" s="283"/>
      <c r="H394" s="266"/>
      <c r="I394" s="281"/>
      <c r="J394" s="281"/>
      <c r="K394" s="281"/>
      <c r="L394" s="288" t="s">
        <v>3403</v>
      </c>
      <c r="M394" s="284" t="s">
        <v>2962</v>
      </c>
      <c r="N394" s="269">
        <f t="shared" si="56"/>
        <v>16103</v>
      </c>
      <c r="O394" s="270">
        <f t="shared" si="57"/>
        <v>16103</v>
      </c>
      <c r="P394" s="271">
        <f t="shared" si="58"/>
        <v>0</v>
      </c>
      <c r="Q394" s="520"/>
      <c r="R394" s="354">
        <f>IF(ISERROR(VLOOKUP("SAN"&amp;$C394,ESTR_PREC_SP!$A$2:$G$2000,4,FALSE))=TRUE,0,VLOOKUP("SAN"&amp;$C394,ESTR_PREC_SP!$A$2:$G$2000,4,FALSE))</f>
        <v>16103</v>
      </c>
      <c r="S394" s="521"/>
      <c r="T394" s="521"/>
      <c r="U394" s="524"/>
      <c r="W394" s="520"/>
      <c r="X394" s="520"/>
      <c r="Y394" s="520"/>
      <c r="Z394" s="520"/>
      <c r="AA394" s="520"/>
      <c r="AB394" s="520"/>
      <c r="AC394" s="520"/>
      <c r="AD394" s="520"/>
      <c r="AE394" s="520"/>
    </row>
    <row r="395" spans="2:31" s="204" customFormat="1" x14ac:dyDescent="0.25">
      <c r="B395" s="287" t="s">
        <v>893</v>
      </c>
      <c r="C395" s="287" t="s">
        <v>894</v>
      </c>
      <c r="D395" s="274" t="s">
        <v>3404</v>
      </c>
      <c r="E395" s="274"/>
      <c r="F395" s="274"/>
      <c r="G395" s="283"/>
      <c r="H395" s="266"/>
      <c r="I395" s="281"/>
      <c r="J395" s="281"/>
      <c r="K395" s="281"/>
      <c r="L395" s="295" t="s">
        <v>3405</v>
      </c>
      <c r="M395" s="284" t="s">
        <v>2962</v>
      </c>
      <c r="N395" s="269">
        <f t="shared" si="56"/>
        <v>1529613</v>
      </c>
      <c r="O395" s="270">
        <f t="shared" si="57"/>
        <v>1523350</v>
      </c>
      <c r="P395" s="271">
        <f t="shared" si="58"/>
        <v>-6263</v>
      </c>
      <c r="Q395" s="520"/>
      <c r="R395" s="354">
        <f>IF(ISERROR(VLOOKUP("SAN"&amp;$C395,ESTR_PREC_SP!$A$2:$G$2000,4,FALSE))=TRUE,0,VLOOKUP("SAN"&amp;$C395,ESTR_PREC_SP!$A$2:$G$2000,4,FALSE))</f>
        <v>1529613</v>
      </c>
      <c r="S395" s="521"/>
      <c r="T395" s="521"/>
      <c r="U395" s="524"/>
      <c r="W395" s="520"/>
      <c r="X395" s="520"/>
      <c r="Y395" s="520"/>
      <c r="Z395" s="520"/>
      <c r="AA395" s="520"/>
      <c r="AB395" s="520"/>
      <c r="AC395" s="520"/>
      <c r="AD395" s="520"/>
      <c r="AE395" s="520">
        <v>6263</v>
      </c>
    </row>
    <row r="396" spans="2:31" s="204" customFormat="1" x14ac:dyDescent="0.25">
      <c r="B396" s="287" t="s">
        <v>896</v>
      </c>
      <c r="C396" s="287" t="s">
        <v>897</v>
      </c>
      <c r="D396" s="274" t="s">
        <v>3406</v>
      </c>
      <c r="E396" s="274"/>
      <c r="F396" s="274"/>
      <c r="G396" s="283"/>
      <c r="H396" s="266"/>
      <c r="I396" s="281"/>
      <c r="J396" s="281"/>
      <c r="K396" s="281"/>
      <c r="L396" s="295" t="s">
        <v>3407</v>
      </c>
      <c r="M396" s="284" t="s">
        <v>2962</v>
      </c>
      <c r="N396" s="269">
        <f t="shared" si="56"/>
        <v>1571890</v>
      </c>
      <c r="O396" s="270">
        <f t="shared" si="57"/>
        <v>1588515</v>
      </c>
      <c r="P396" s="271">
        <f t="shared" si="58"/>
        <v>16625</v>
      </c>
      <c r="Q396" s="520"/>
      <c r="R396" s="354">
        <f>IF(ISERROR(VLOOKUP("SAN"&amp;$C396,ESTR_PREC_SP!$A$2:$G$2000,4,FALSE))=TRUE,0,VLOOKUP("SAN"&amp;$C396,ESTR_PREC_SP!$A$2:$G$2000,4,FALSE))</f>
        <v>1571890</v>
      </c>
      <c r="S396" s="521"/>
      <c r="T396" s="521"/>
      <c r="U396" s="524"/>
      <c r="W396" s="520"/>
      <c r="X396" s="520"/>
      <c r="Y396" s="520"/>
      <c r="Z396" s="520"/>
      <c r="AA396" s="520"/>
      <c r="AB396" s="520">
        <v>17615</v>
      </c>
      <c r="AC396" s="520"/>
      <c r="AD396" s="520"/>
      <c r="AE396" s="520">
        <v>990</v>
      </c>
    </row>
    <row r="397" spans="2:31" s="204" customFormat="1" x14ac:dyDescent="0.25">
      <c r="B397" s="293"/>
      <c r="C397" s="293"/>
      <c r="D397" s="230"/>
      <c r="E397" s="230"/>
      <c r="F397" s="230"/>
      <c r="G397" s="230"/>
      <c r="H397" s="231"/>
      <c r="I397" s="230"/>
      <c r="J397" s="230"/>
      <c r="K397" s="230"/>
      <c r="L397" s="296" t="s">
        <v>3408</v>
      </c>
      <c r="M397" s="216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</row>
    <row r="398" spans="2:31" s="204" customFormat="1" x14ac:dyDescent="0.25">
      <c r="B398" s="293"/>
      <c r="C398" s="293"/>
      <c r="D398" s="230"/>
      <c r="E398" s="230"/>
      <c r="F398" s="230"/>
      <c r="G398" s="230"/>
      <c r="H398" s="231"/>
      <c r="I398" s="230"/>
      <c r="J398" s="230"/>
      <c r="K398" s="230"/>
      <c r="L398" s="296"/>
      <c r="M398" s="216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</row>
    <row r="399" spans="2:31" s="204" customFormat="1" x14ac:dyDescent="0.25">
      <c r="B399" s="292" t="s">
        <v>899</v>
      </c>
      <c r="C399" s="292" t="s">
        <v>900</v>
      </c>
      <c r="D399" s="247" t="s">
        <v>3409</v>
      </c>
      <c r="E399" s="247"/>
      <c r="F399" s="247"/>
      <c r="G399" s="247"/>
      <c r="H399" s="248"/>
      <c r="I399" s="247"/>
      <c r="J399" s="247"/>
      <c r="K399" s="249"/>
      <c r="L399" s="276" t="s">
        <v>903</v>
      </c>
      <c r="M399" s="251" t="s">
        <v>2962</v>
      </c>
      <c r="N399" s="252">
        <f>SUM(N402:N413)</f>
        <v>8638718</v>
      </c>
      <c r="O399" s="252">
        <f>SUM(O402:O413)</f>
        <v>8612359</v>
      </c>
      <c r="P399" s="259">
        <f>+O399-N399</f>
        <v>-26359</v>
      </c>
      <c r="Q399" s="252">
        <f>SUM(Q402:Q413)</f>
        <v>0</v>
      </c>
      <c r="R399" s="252">
        <f>SUM(R402:R413)</f>
        <v>8638718</v>
      </c>
      <c r="S399" s="252">
        <f>+T402</f>
        <v>0</v>
      </c>
      <c r="W399" s="252">
        <f>SUM(W402:W413)</f>
        <v>0</v>
      </c>
      <c r="X399" s="252">
        <f>SUM(X402:X413)</f>
        <v>0</v>
      </c>
      <c r="Y399" s="252">
        <f>SUM(Y402:Y413)</f>
        <v>49817</v>
      </c>
      <c r="Z399" s="252">
        <f>SUM(Z402:Z413)</f>
        <v>23458</v>
      </c>
      <c r="AA399" s="285"/>
    </row>
    <row r="400" spans="2:31" s="204" customFormat="1" x14ac:dyDescent="0.25">
      <c r="B400" s="293"/>
      <c r="C400" s="293"/>
      <c r="D400" s="230"/>
      <c r="E400" s="230"/>
      <c r="F400" s="230"/>
      <c r="G400" s="230"/>
      <c r="H400" s="231"/>
      <c r="I400" s="230"/>
      <c r="J400" s="230"/>
      <c r="K400" s="285"/>
      <c r="L400" s="322"/>
      <c r="M400" s="285"/>
      <c r="N400" s="285"/>
      <c r="O400" s="211"/>
      <c r="P400" s="211"/>
      <c r="Q400" s="211"/>
      <c r="R400" s="211"/>
      <c r="W400" s="285"/>
      <c r="X400" s="285"/>
      <c r="Y400" s="285"/>
      <c r="Z400" s="285"/>
      <c r="AA400" s="285"/>
    </row>
    <row r="401" spans="2:27" s="204" customFormat="1" ht="51" x14ac:dyDescent="0.25">
      <c r="B401" s="294" t="s">
        <v>2968</v>
      </c>
      <c r="C401" s="294" t="s">
        <v>2969</v>
      </c>
      <c r="D401" s="206" t="s">
        <v>72</v>
      </c>
      <c r="E401" s="206"/>
      <c r="F401" s="206"/>
      <c r="G401" s="207"/>
      <c r="H401" s="207"/>
      <c r="I401" s="207"/>
      <c r="J401" s="207" t="s">
        <v>2957</v>
      </c>
      <c r="K401" s="206" t="s">
        <v>82</v>
      </c>
      <c r="L401" s="261" t="s">
        <v>2970</v>
      </c>
      <c r="M401" s="260"/>
      <c r="N401" s="256" t="str">
        <f>N$15</f>
        <v>Valore netto al 31/12/2019</v>
      </c>
      <c r="O401" s="256" t="str">
        <f>O$15</f>
        <v>Valore netto al 31/12/2020</v>
      </c>
      <c r="P401" s="256" t="str">
        <f>P$15</f>
        <v>Variazione</v>
      </c>
      <c r="Q401" s="262" t="s">
        <v>2971</v>
      </c>
      <c r="R401" s="262" t="str">
        <f>"Fondo ammortamento 31/12/"&amp;Info!$B$3-1</f>
        <v>Fondo ammortamento 31/12/2019</v>
      </c>
      <c r="S401" s="262" t="s">
        <v>2972</v>
      </c>
      <c r="W401" s="262" t="s">
        <v>2975</v>
      </c>
      <c r="X401" s="262" t="s">
        <v>2976</v>
      </c>
      <c r="Y401" s="262" t="s">
        <v>2989</v>
      </c>
      <c r="Z401" s="262" t="s">
        <v>2990</v>
      </c>
      <c r="AA401" s="285"/>
    </row>
    <row r="402" spans="2:27" s="204" customFormat="1" ht="25.5" x14ac:dyDescent="0.25">
      <c r="B402" s="287" t="s">
        <v>904</v>
      </c>
      <c r="C402" s="287" t="s">
        <v>905</v>
      </c>
      <c r="D402" s="274" t="s">
        <v>3410</v>
      </c>
      <c r="E402" s="274"/>
      <c r="F402" s="274"/>
      <c r="G402" s="283"/>
      <c r="H402" s="266"/>
      <c r="I402" s="281"/>
      <c r="J402" s="281"/>
      <c r="K402" s="281"/>
      <c r="L402" s="288" t="s">
        <v>3411</v>
      </c>
      <c r="M402" s="263" t="s">
        <v>2962</v>
      </c>
      <c r="N402" s="269">
        <f t="shared" ref="N402:N413" si="59">+R402</f>
        <v>3717696</v>
      </c>
      <c r="O402" s="270">
        <f t="shared" ref="O402:O413" si="60">+R402+S402+X402-ABS(Y402)+ABS(Z402)+W402+Q402</f>
        <v>3687216</v>
      </c>
      <c r="P402" s="271">
        <f t="shared" ref="P402:P413" si="61">+O402-N402</f>
        <v>-30480</v>
      </c>
      <c r="Q402" s="520"/>
      <c r="R402" s="354">
        <f>IF(ISERROR(VLOOKUP("SAN"&amp;$C402,ESTR_PREC_SP!$A$2:$G$2000,4,FALSE))=TRUE,0,VLOOKUP("SAN"&amp;$C402,ESTR_PREC_SP!$A$2:$G$2000,4,FALSE))</f>
        <v>3717696</v>
      </c>
      <c r="S402" s="521"/>
      <c r="V402" s="211"/>
      <c r="W402" s="520"/>
      <c r="X402" s="520"/>
      <c r="Y402" s="520">
        <v>30761</v>
      </c>
      <c r="Z402" s="520">
        <v>281</v>
      </c>
      <c r="AA402" s="285"/>
    </row>
    <row r="403" spans="2:27" s="204" customFormat="1" ht="25.5" x14ac:dyDescent="0.25">
      <c r="B403" s="287" t="s">
        <v>907</v>
      </c>
      <c r="C403" s="287" t="s">
        <v>908</v>
      </c>
      <c r="D403" s="274" t="s">
        <v>3412</v>
      </c>
      <c r="E403" s="274"/>
      <c r="F403" s="274"/>
      <c r="G403" s="283"/>
      <c r="H403" s="266"/>
      <c r="I403" s="281"/>
      <c r="J403" s="281"/>
      <c r="K403" s="281"/>
      <c r="L403" s="288" t="s">
        <v>3413</v>
      </c>
      <c r="M403" s="263" t="s">
        <v>2962</v>
      </c>
      <c r="N403" s="269">
        <f t="shared" si="59"/>
        <v>1934341</v>
      </c>
      <c r="O403" s="270">
        <f t="shared" si="60"/>
        <v>1939084</v>
      </c>
      <c r="P403" s="271">
        <f t="shared" si="61"/>
        <v>4743</v>
      </c>
      <c r="Q403" s="520"/>
      <c r="R403" s="354">
        <f>IF(ISERROR(VLOOKUP("SAN"&amp;$C403,ESTR_PREC_SP!$A$2:$G$2000,4,FALSE))=TRUE,0,VLOOKUP("SAN"&amp;$C403,ESTR_PREC_SP!$A$2:$G$2000,4,FALSE))</f>
        <v>1934341</v>
      </c>
      <c r="S403" s="521"/>
      <c r="V403" s="211"/>
      <c r="W403" s="520"/>
      <c r="X403" s="520"/>
      <c r="Y403" s="520">
        <v>5208</v>
      </c>
      <c r="Z403" s="520">
        <f>9950+1</f>
        <v>9951</v>
      </c>
      <c r="AA403" s="285"/>
    </row>
    <row r="404" spans="2:27" s="204" customFormat="1" x14ac:dyDescent="0.25">
      <c r="B404" s="287" t="s">
        <v>910</v>
      </c>
      <c r="C404" s="287" t="s">
        <v>911</v>
      </c>
      <c r="D404" s="274" t="s">
        <v>3414</v>
      </c>
      <c r="E404" s="274"/>
      <c r="F404" s="274"/>
      <c r="G404" s="283"/>
      <c r="H404" s="266"/>
      <c r="I404" s="281"/>
      <c r="J404" s="281"/>
      <c r="K404" s="281"/>
      <c r="L404" s="324" t="s">
        <v>3415</v>
      </c>
      <c r="M404" s="284" t="s">
        <v>2962</v>
      </c>
      <c r="N404" s="269">
        <f t="shared" si="59"/>
        <v>154100</v>
      </c>
      <c r="O404" s="270">
        <f t="shared" si="60"/>
        <v>148828</v>
      </c>
      <c r="P404" s="271">
        <f t="shared" si="61"/>
        <v>-5272</v>
      </c>
      <c r="Q404" s="520"/>
      <c r="R404" s="354">
        <f>IF(ISERROR(VLOOKUP("SAN"&amp;$C404,ESTR_PREC_SP!$A$2:$G$2000,4,FALSE))=TRUE,0,VLOOKUP("SAN"&amp;$C404,ESTR_PREC_SP!$A$2:$G$2000,4,FALSE))</f>
        <v>154100</v>
      </c>
      <c r="S404" s="521"/>
      <c r="V404" s="211"/>
      <c r="W404" s="520"/>
      <c r="X404" s="520"/>
      <c r="Y404" s="520">
        <v>5272</v>
      </c>
      <c r="Z404" s="520">
        <v>0</v>
      </c>
      <c r="AA404" s="285"/>
    </row>
    <row r="405" spans="2:27" s="204" customFormat="1" x14ac:dyDescent="0.25">
      <c r="B405" s="287" t="s">
        <v>913</v>
      </c>
      <c r="C405" s="287" t="s">
        <v>914</v>
      </c>
      <c r="D405" s="274" t="s">
        <v>3416</v>
      </c>
      <c r="E405" s="274"/>
      <c r="F405" s="274"/>
      <c r="G405" s="283"/>
      <c r="H405" s="266"/>
      <c r="I405" s="281"/>
      <c r="J405" s="281"/>
      <c r="K405" s="281"/>
      <c r="L405" s="324" t="s">
        <v>3417</v>
      </c>
      <c r="M405" s="284" t="s">
        <v>2962</v>
      </c>
      <c r="N405" s="269">
        <f t="shared" si="59"/>
        <v>154848</v>
      </c>
      <c r="O405" s="270">
        <f t="shared" si="60"/>
        <v>153683</v>
      </c>
      <c r="P405" s="271">
        <f t="shared" si="61"/>
        <v>-1165</v>
      </c>
      <c r="Q405" s="520"/>
      <c r="R405" s="354">
        <f>IF(ISERROR(VLOOKUP("SAN"&amp;$C405,ESTR_PREC_SP!$A$2:$G$2000,4,FALSE))=TRUE,0,VLOOKUP("SAN"&amp;$C405,ESTR_PREC_SP!$A$2:$G$2000,4,FALSE))</f>
        <v>154848</v>
      </c>
      <c r="S405" s="521"/>
      <c r="V405" s="211"/>
      <c r="W405" s="520"/>
      <c r="X405" s="520"/>
      <c r="Y405" s="520">
        <v>1323</v>
      </c>
      <c r="Z405" s="520">
        <v>158</v>
      </c>
      <c r="AA405" s="285"/>
    </row>
    <row r="406" spans="2:27" s="204" customFormat="1" x14ac:dyDescent="0.25">
      <c r="B406" s="287" t="s">
        <v>916</v>
      </c>
      <c r="C406" s="287" t="s">
        <v>917</v>
      </c>
      <c r="D406" s="274" t="s">
        <v>3418</v>
      </c>
      <c r="E406" s="274"/>
      <c r="F406" s="274"/>
      <c r="G406" s="283"/>
      <c r="H406" s="266"/>
      <c r="I406" s="281"/>
      <c r="J406" s="281"/>
      <c r="K406" s="281"/>
      <c r="L406" s="324" t="s">
        <v>3419</v>
      </c>
      <c r="M406" s="284" t="s">
        <v>2962</v>
      </c>
      <c r="N406" s="269">
        <f t="shared" si="59"/>
        <v>0</v>
      </c>
      <c r="O406" s="270">
        <f t="shared" si="60"/>
        <v>0</v>
      </c>
      <c r="P406" s="271">
        <f t="shared" si="61"/>
        <v>0</v>
      </c>
      <c r="Q406" s="520"/>
      <c r="R406" s="354">
        <f>IF(ISERROR(VLOOKUP("SAN"&amp;$C406,ESTR_PREC_SP!$A$2:$G$2000,4,FALSE))=TRUE,0,VLOOKUP("SAN"&amp;$C406,ESTR_PREC_SP!$A$2:$G$2000,4,FALSE))</f>
        <v>0</v>
      </c>
      <c r="S406" s="521"/>
      <c r="V406" s="211"/>
      <c r="W406" s="520"/>
      <c r="X406" s="520"/>
      <c r="Y406" s="520"/>
      <c r="Z406" s="520"/>
      <c r="AA406" s="285"/>
    </row>
    <row r="407" spans="2:27" s="204" customFormat="1" x14ac:dyDescent="0.25">
      <c r="B407" s="287" t="s">
        <v>919</v>
      </c>
      <c r="C407" s="287" t="s">
        <v>920</v>
      </c>
      <c r="D407" s="274" t="s">
        <v>3420</v>
      </c>
      <c r="E407" s="274"/>
      <c r="F407" s="274"/>
      <c r="G407" s="283"/>
      <c r="H407" s="266"/>
      <c r="I407" s="281"/>
      <c r="J407" s="281"/>
      <c r="K407" s="281"/>
      <c r="L407" s="324" t="s">
        <v>3421</v>
      </c>
      <c r="M407" s="284" t="s">
        <v>2962</v>
      </c>
      <c r="N407" s="269">
        <f t="shared" si="59"/>
        <v>0</v>
      </c>
      <c r="O407" s="270">
        <f t="shared" si="60"/>
        <v>0</v>
      </c>
      <c r="P407" s="271">
        <f t="shared" si="61"/>
        <v>0</v>
      </c>
      <c r="Q407" s="520"/>
      <c r="R407" s="354">
        <f>IF(ISERROR(VLOOKUP("SAN"&amp;$C407,ESTR_PREC_SP!$A$2:$G$2000,4,FALSE))=TRUE,0,VLOOKUP("SAN"&amp;$C407,ESTR_PREC_SP!$A$2:$G$2000,4,FALSE))</f>
        <v>0</v>
      </c>
      <c r="S407" s="521"/>
      <c r="V407" s="211"/>
      <c r="W407" s="520"/>
      <c r="X407" s="520"/>
      <c r="Y407" s="520"/>
      <c r="Z407" s="520"/>
      <c r="AA407" s="285"/>
    </row>
    <row r="408" spans="2:27" s="204" customFormat="1" ht="25.5" x14ac:dyDescent="0.25">
      <c r="B408" s="287" t="s">
        <v>922</v>
      </c>
      <c r="C408" s="287" t="s">
        <v>923</v>
      </c>
      <c r="D408" s="274" t="s">
        <v>3422</v>
      </c>
      <c r="E408" s="274"/>
      <c r="F408" s="274"/>
      <c r="G408" s="283"/>
      <c r="H408" s="266"/>
      <c r="I408" s="281"/>
      <c r="J408" s="281"/>
      <c r="K408" s="281"/>
      <c r="L408" s="288" t="s">
        <v>3423</v>
      </c>
      <c r="M408" s="284" t="s">
        <v>2962</v>
      </c>
      <c r="N408" s="269">
        <f t="shared" si="59"/>
        <v>0</v>
      </c>
      <c r="O408" s="270">
        <f t="shared" si="60"/>
        <v>0</v>
      </c>
      <c r="P408" s="271">
        <f t="shared" si="61"/>
        <v>0</v>
      </c>
      <c r="Q408" s="520"/>
      <c r="R408" s="354">
        <f>IF(ISERROR(VLOOKUP("SAN"&amp;$C408,ESTR_PREC_SP!$A$2:$G$2000,4,FALSE))=TRUE,0,VLOOKUP("SAN"&amp;$C408,ESTR_PREC_SP!$A$2:$G$2000,4,FALSE))</f>
        <v>0</v>
      </c>
      <c r="S408" s="521"/>
      <c r="V408" s="211"/>
      <c r="W408" s="520"/>
      <c r="X408" s="520"/>
      <c r="Y408" s="520"/>
      <c r="Z408" s="520"/>
      <c r="AA408" s="285"/>
    </row>
    <row r="409" spans="2:27" s="204" customFormat="1" ht="25.5" x14ac:dyDescent="0.25">
      <c r="B409" s="287" t="s">
        <v>925</v>
      </c>
      <c r="C409" s="287" t="s">
        <v>926</v>
      </c>
      <c r="D409" s="274" t="s">
        <v>3424</v>
      </c>
      <c r="E409" s="274"/>
      <c r="F409" s="274"/>
      <c r="G409" s="283"/>
      <c r="H409" s="266"/>
      <c r="I409" s="281"/>
      <c r="J409" s="281"/>
      <c r="K409" s="281"/>
      <c r="L409" s="288" t="s">
        <v>3425</v>
      </c>
      <c r="M409" s="284" t="s">
        <v>2962</v>
      </c>
      <c r="N409" s="269">
        <f t="shared" si="59"/>
        <v>0</v>
      </c>
      <c r="O409" s="270">
        <f t="shared" si="60"/>
        <v>0</v>
      </c>
      <c r="P409" s="271">
        <f t="shared" si="61"/>
        <v>0</v>
      </c>
      <c r="Q409" s="520"/>
      <c r="R409" s="354">
        <f>IF(ISERROR(VLOOKUP("SAN"&amp;$C409,ESTR_PREC_SP!$A$2:$G$2000,4,FALSE))=TRUE,0,VLOOKUP("SAN"&amp;$C409,ESTR_PREC_SP!$A$2:$G$2000,4,FALSE))</f>
        <v>0</v>
      </c>
      <c r="S409" s="521"/>
      <c r="V409" s="211"/>
      <c r="W409" s="520"/>
      <c r="X409" s="520"/>
      <c r="Y409" s="520"/>
      <c r="Z409" s="520"/>
      <c r="AA409" s="285"/>
    </row>
    <row r="410" spans="2:27" s="204" customFormat="1" ht="25.5" x14ac:dyDescent="0.25">
      <c r="B410" s="287" t="s">
        <v>928</v>
      </c>
      <c r="C410" s="287" t="s">
        <v>929</v>
      </c>
      <c r="D410" s="274" t="s">
        <v>3426</v>
      </c>
      <c r="E410" s="274"/>
      <c r="F410" s="274"/>
      <c r="G410" s="283"/>
      <c r="H410" s="266"/>
      <c r="I410" s="281"/>
      <c r="J410" s="281"/>
      <c r="K410" s="281"/>
      <c r="L410" s="288" t="s">
        <v>3427</v>
      </c>
      <c r="M410" s="284" t="s">
        <v>2962</v>
      </c>
      <c r="N410" s="269">
        <f t="shared" si="59"/>
        <v>143489</v>
      </c>
      <c r="O410" s="270">
        <f t="shared" si="60"/>
        <v>143489</v>
      </c>
      <c r="P410" s="271">
        <f t="shared" si="61"/>
        <v>0</v>
      </c>
      <c r="Q410" s="520"/>
      <c r="R410" s="354">
        <f>IF(ISERROR(VLOOKUP("SAN"&amp;$C410,ESTR_PREC_SP!$A$2:$G$2000,4,FALSE))=TRUE,0,VLOOKUP("SAN"&amp;$C410,ESTR_PREC_SP!$A$2:$G$2000,4,FALSE))</f>
        <v>143489</v>
      </c>
      <c r="S410" s="521"/>
      <c r="V410" s="211"/>
      <c r="W410" s="520"/>
      <c r="X410" s="520"/>
      <c r="Y410" s="520"/>
      <c r="Z410" s="520"/>
      <c r="AA410" s="285"/>
    </row>
    <row r="411" spans="2:27" s="204" customFormat="1" ht="25.5" x14ac:dyDescent="0.25">
      <c r="B411" s="287" t="s">
        <v>931</v>
      </c>
      <c r="C411" s="287" t="s">
        <v>932</v>
      </c>
      <c r="D411" s="274" t="s">
        <v>3428</v>
      </c>
      <c r="E411" s="274"/>
      <c r="F411" s="274"/>
      <c r="G411" s="283"/>
      <c r="H411" s="266"/>
      <c r="I411" s="281"/>
      <c r="J411" s="281"/>
      <c r="K411" s="281"/>
      <c r="L411" s="288" t="s">
        <v>3429</v>
      </c>
      <c r="M411" s="284" t="s">
        <v>2962</v>
      </c>
      <c r="N411" s="269">
        <f t="shared" si="59"/>
        <v>16103</v>
      </c>
      <c r="O411" s="270">
        <f t="shared" si="60"/>
        <v>16103</v>
      </c>
      <c r="P411" s="271">
        <f t="shared" si="61"/>
        <v>0</v>
      </c>
      <c r="Q411" s="520"/>
      <c r="R411" s="354">
        <f>IF(ISERROR(VLOOKUP("SAN"&amp;$C411,ESTR_PREC_SP!$A$2:$G$2000,4,FALSE))=TRUE,0,VLOOKUP("SAN"&amp;$C411,ESTR_PREC_SP!$A$2:$G$2000,4,FALSE))</f>
        <v>16103</v>
      </c>
      <c r="S411" s="521"/>
      <c r="V411" s="211"/>
      <c r="W411" s="520"/>
      <c r="X411" s="520"/>
      <c r="Y411" s="520"/>
      <c r="Z411" s="520"/>
      <c r="AA411" s="285"/>
    </row>
    <row r="412" spans="2:27" s="204" customFormat="1" x14ac:dyDescent="0.25">
      <c r="B412" s="287" t="s">
        <v>934</v>
      </c>
      <c r="C412" s="287" t="s">
        <v>935</v>
      </c>
      <c r="D412" s="274" t="s">
        <v>3430</v>
      </c>
      <c r="E412" s="274"/>
      <c r="F412" s="274"/>
      <c r="G412" s="283"/>
      <c r="H412" s="266"/>
      <c r="I412" s="281"/>
      <c r="J412" s="281"/>
      <c r="K412" s="281"/>
      <c r="L412" s="295" t="s">
        <v>3431</v>
      </c>
      <c r="M412" s="284" t="s">
        <v>2962</v>
      </c>
      <c r="N412" s="269">
        <f t="shared" si="59"/>
        <v>1529088</v>
      </c>
      <c r="O412" s="270">
        <f t="shared" si="60"/>
        <v>1523105</v>
      </c>
      <c r="P412" s="271">
        <f t="shared" si="61"/>
        <v>-5983</v>
      </c>
      <c r="Q412" s="520"/>
      <c r="R412" s="354">
        <f>IF(ISERROR(VLOOKUP("SAN"&amp;$C412,ESTR_PREC_SP!$A$2:$G$2000,4,FALSE))=TRUE,0,VLOOKUP("SAN"&amp;$C412,ESTR_PREC_SP!$A$2:$G$2000,4,FALSE))</f>
        <v>1529088</v>
      </c>
      <c r="S412" s="521"/>
      <c r="V412" s="211"/>
      <c r="W412" s="520"/>
      <c r="X412" s="520"/>
      <c r="Y412" s="520">
        <v>6263</v>
      </c>
      <c r="Z412" s="520">
        <v>280</v>
      </c>
      <c r="AA412" s="285"/>
    </row>
    <row r="413" spans="2:27" s="204" customFormat="1" x14ac:dyDescent="0.25">
      <c r="B413" s="287" t="s">
        <v>937</v>
      </c>
      <c r="C413" s="287" t="s">
        <v>938</v>
      </c>
      <c r="D413" s="274" t="s">
        <v>3432</v>
      </c>
      <c r="E413" s="274"/>
      <c r="F413" s="274"/>
      <c r="G413" s="283"/>
      <c r="H413" s="266"/>
      <c r="I413" s="281"/>
      <c r="J413" s="281"/>
      <c r="K413" s="281"/>
      <c r="L413" s="295" t="s">
        <v>3433</v>
      </c>
      <c r="M413" s="284" t="s">
        <v>2962</v>
      </c>
      <c r="N413" s="269">
        <f t="shared" si="59"/>
        <v>989053</v>
      </c>
      <c r="O413" s="270">
        <f t="shared" si="60"/>
        <v>1000851</v>
      </c>
      <c r="P413" s="271">
        <f t="shared" si="61"/>
        <v>11798</v>
      </c>
      <c r="Q413" s="520"/>
      <c r="R413" s="354">
        <f>IF(ISERROR(VLOOKUP("SAN"&amp;$C413,ESTR_PREC_SP!$A$2:$G$2000,4,FALSE))=TRUE,0,VLOOKUP("SAN"&amp;$C413,ESTR_PREC_SP!$A$2:$G$2000,4,FALSE))</f>
        <v>989053</v>
      </c>
      <c r="S413" s="521"/>
      <c r="V413" s="211"/>
      <c r="W413" s="520"/>
      <c r="X413" s="520"/>
      <c r="Y413" s="520">
        <v>990</v>
      </c>
      <c r="Z413" s="520">
        <f>12787+1</f>
        <v>12788</v>
      </c>
      <c r="AA413" s="285"/>
    </row>
    <row r="414" spans="2:27" s="204" customFormat="1" x14ac:dyDescent="0.25">
      <c r="B414" s="293"/>
      <c r="C414" s="293"/>
      <c r="D414" s="230"/>
      <c r="E414" s="230"/>
      <c r="F414" s="230"/>
      <c r="G414" s="230"/>
      <c r="H414" s="231"/>
      <c r="I414" s="230"/>
      <c r="J414" s="230"/>
      <c r="K414" s="230"/>
      <c r="L414" s="296" t="s">
        <v>3408</v>
      </c>
      <c r="M414" s="216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</row>
    <row r="415" spans="2:27" s="204" customFormat="1" x14ac:dyDescent="0.25">
      <c r="B415" s="293"/>
      <c r="C415" s="293"/>
      <c r="D415" s="230"/>
      <c r="E415" s="230"/>
      <c r="F415" s="230"/>
      <c r="G415" s="230"/>
      <c r="H415" s="231"/>
      <c r="I415" s="230"/>
      <c r="J415" s="230"/>
      <c r="K415" s="230"/>
      <c r="L415" s="296"/>
      <c r="M415" s="216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</row>
    <row r="416" spans="2:27" s="204" customFormat="1" ht="25.5" x14ac:dyDescent="0.25">
      <c r="B416" s="293"/>
      <c r="C416" s="293"/>
      <c r="D416" s="230"/>
      <c r="E416" s="230"/>
      <c r="F416" s="230"/>
      <c r="G416" s="230"/>
      <c r="H416" s="231"/>
      <c r="I416" s="230"/>
      <c r="J416" s="230"/>
      <c r="K416" s="230"/>
      <c r="L416" s="255"/>
      <c r="M416" s="244"/>
      <c r="N416" s="256" t="str">
        <f>N$15</f>
        <v>Valore netto al 31/12/2019</v>
      </c>
      <c r="O416" s="256" t="str">
        <f>O$15</f>
        <v>Valore netto al 31/12/2020</v>
      </c>
      <c r="P416" s="256" t="str">
        <f>P$15</f>
        <v>Variazione</v>
      </c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</row>
    <row r="417" spans="2:31" s="204" customFormat="1" x14ac:dyDescent="0.25">
      <c r="B417" s="292" t="s">
        <v>940</v>
      </c>
      <c r="C417" s="292" t="s">
        <v>941</v>
      </c>
      <c r="D417" s="247" t="s">
        <v>3434</v>
      </c>
      <c r="E417" s="247"/>
      <c r="F417" s="247"/>
      <c r="G417" s="247"/>
      <c r="H417" s="248"/>
      <c r="I417" s="247"/>
      <c r="J417" s="247"/>
      <c r="K417" s="249"/>
      <c r="L417" s="257" t="s">
        <v>945</v>
      </c>
      <c r="M417" s="251" t="s">
        <v>2962</v>
      </c>
      <c r="N417" s="252">
        <f>SUM(N420:N422)</f>
        <v>1627289</v>
      </c>
      <c r="O417" s="252">
        <f>SUM(O420:O422)</f>
        <v>1212142</v>
      </c>
      <c r="P417" s="253">
        <f>+O417-N417</f>
        <v>-415147</v>
      </c>
      <c r="Q417" s="252">
        <f>SUM(Q420:Q422)</f>
        <v>0</v>
      </c>
      <c r="R417" s="252">
        <f>SUM(R420:R422)</f>
        <v>1627289</v>
      </c>
      <c r="S417" s="252">
        <f>SUM(T420:T422)</f>
        <v>0</v>
      </c>
      <c r="T417" s="252">
        <f>SUM(U420:U422)</f>
        <v>0</v>
      </c>
      <c r="U417" s="252">
        <f>SUM(V420:V422)</f>
        <v>0</v>
      </c>
      <c r="W417" s="252">
        <f t="shared" ref="W417:AE417" si="62">SUM(W420:W422)</f>
        <v>0</v>
      </c>
      <c r="X417" s="252">
        <f t="shared" si="62"/>
        <v>-696000</v>
      </c>
      <c r="Y417" s="252">
        <f t="shared" si="62"/>
        <v>0</v>
      </c>
      <c r="Z417" s="252">
        <f t="shared" si="62"/>
        <v>0</v>
      </c>
      <c r="AA417" s="252">
        <f t="shared" si="62"/>
        <v>0</v>
      </c>
      <c r="AB417" s="252">
        <f t="shared" si="62"/>
        <v>1971631</v>
      </c>
      <c r="AC417" s="252">
        <f t="shared" si="62"/>
        <v>0</v>
      </c>
      <c r="AD417" s="252">
        <f t="shared" si="62"/>
        <v>0</v>
      </c>
      <c r="AE417" s="252">
        <f t="shared" si="62"/>
        <v>1690778</v>
      </c>
    </row>
    <row r="418" spans="2:31" s="204" customFormat="1" x14ac:dyDescent="0.25">
      <c r="B418" s="293"/>
      <c r="C418" s="293"/>
      <c r="D418" s="230"/>
      <c r="E418" s="230"/>
      <c r="F418" s="230"/>
      <c r="G418" s="285"/>
      <c r="H418" s="321"/>
      <c r="I418" s="285"/>
      <c r="J418" s="285"/>
      <c r="K418" s="285"/>
      <c r="L418" s="322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  <c r="Z418" s="285"/>
      <c r="AA418" s="285"/>
    </row>
    <row r="419" spans="2:31" s="204" customFormat="1" ht="51" x14ac:dyDescent="0.25">
      <c r="B419" s="294" t="s">
        <v>2968</v>
      </c>
      <c r="C419" s="294" t="s">
        <v>2969</v>
      </c>
      <c r="D419" s="206" t="s">
        <v>72</v>
      </c>
      <c r="E419" s="206"/>
      <c r="F419" s="206"/>
      <c r="G419" s="207"/>
      <c r="H419" s="207"/>
      <c r="I419" s="207"/>
      <c r="J419" s="207" t="s">
        <v>2957</v>
      </c>
      <c r="K419" s="206" t="s">
        <v>82</v>
      </c>
      <c r="L419" s="261" t="s">
        <v>2970</v>
      </c>
      <c r="M419" s="260"/>
      <c r="N419" s="256" t="str">
        <f>N$15</f>
        <v>Valore netto al 31/12/2019</v>
      </c>
      <c r="O419" s="256" t="str">
        <f>O$15</f>
        <v>Valore netto al 31/12/2020</v>
      </c>
      <c r="P419" s="256" t="str">
        <f>P$15</f>
        <v>Variazione</v>
      </c>
      <c r="Q419" s="262" t="s">
        <v>2971</v>
      </c>
      <c r="R419" s="262" t="str">
        <f>"Costo storico al 31/12/"&amp;Info!$B$3-1</f>
        <v>Costo storico al 31/12/2019</v>
      </c>
      <c r="S419" s="262" t="s">
        <v>2972</v>
      </c>
      <c r="T419" s="262" t="s">
        <v>3044</v>
      </c>
      <c r="U419" s="262" t="s">
        <v>2974</v>
      </c>
      <c r="W419" s="262" t="s">
        <v>2975</v>
      </c>
      <c r="X419" s="262" t="s">
        <v>2976</v>
      </c>
      <c r="Y419" s="262" t="s">
        <v>2977</v>
      </c>
      <c r="Z419" s="262" t="s">
        <v>2978</v>
      </c>
      <c r="AA419" s="262" t="s">
        <v>2979</v>
      </c>
      <c r="AB419" s="262" t="s">
        <v>3045</v>
      </c>
      <c r="AC419" s="262" t="s">
        <v>2981</v>
      </c>
      <c r="AD419" s="262" t="s">
        <v>3046</v>
      </c>
      <c r="AE419" s="262" t="s">
        <v>3047</v>
      </c>
    </row>
    <row r="420" spans="2:31" s="204" customFormat="1" x14ac:dyDescent="0.25">
      <c r="B420" s="287" t="s">
        <v>946</v>
      </c>
      <c r="C420" s="287" t="s">
        <v>947</v>
      </c>
      <c r="D420" s="274" t="s">
        <v>3435</v>
      </c>
      <c r="E420" s="274"/>
      <c r="F420" s="274"/>
      <c r="G420" s="283"/>
      <c r="H420" s="266"/>
      <c r="I420" s="281"/>
      <c r="J420" s="281"/>
      <c r="K420" s="281"/>
      <c r="L420" s="288" t="s">
        <v>3436</v>
      </c>
      <c r="M420" s="263" t="s">
        <v>2962</v>
      </c>
      <c r="N420" s="269">
        <f>+R420+T420-U420</f>
        <v>1627289</v>
      </c>
      <c r="O420" s="270">
        <f>+N420+S420+X420+ABS(Y420)-ABS(AA420)+ABS(Z420)+ABS(AB420)+ABS(AD420)-ABS(AE420)+AC420+W420+Q420</f>
        <v>1212142</v>
      </c>
      <c r="P420" s="271">
        <f>+O420-N420</f>
        <v>-415147</v>
      </c>
      <c r="Q420" s="520"/>
      <c r="R420" s="354">
        <f>IF(ISERROR(VLOOKUP("SAN"&amp;$C420,ESTR_PREC_SP!$A$2:$G$2000,4,FALSE))=TRUE,0,VLOOKUP("SAN"&amp;$C420,ESTR_PREC_SP!$A$2:$G$2000,4,FALSE))</f>
        <v>1627289</v>
      </c>
      <c r="S420" s="521"/>
      <c r="T420" s="521"/>
      <c r="U420" s="521"/>
      <c r="W420" s="520"/>
      <c r="X420" s="520">
        <v>-696000</v>
      </c>
      <c r="Y420" s="520"/>
      <c r="Z420" s="520"/>
      <c r="AA420" s="520"/>
      <c r="AB420" s="520">
        <f>1452522+519109</f>
        <v>1971631</v>
      </c>
      <c r="AC420" s="521"/>
      <c r="AD420" s="520"/>
      <c r="AE420" s="520">
        <f>+2386778-696000</f>
        <v>1690778</v>
      </c>
    </row>
    <row r="421" spans="2:31" s="204" customFormat="1" x14ac:dyDescent="0.25">
      <c r="B421" s="287" t="s">
        <v>949</v>
      </c>
      <c r="C421" s="287" t="s">
        <v>950</v>
      </c>
      <c r="D421" s="274" t="s">
        <v>3437</v>
      </c>
      <c r="E421" s="274"/>
      <c r="F421" s="274"/>
      <c r="G421" s="283"/>
      <c r="H421" s="266"/>
      <c r="I421" s="281"/>
      <c r="J421" s="281"/>
      <c r="K421" s="281"/>
      <c r="L421" s="288" t="s">
        <v>3438</v>
      </c>
      <c r="M421" s="284" t="s">
        <v>2962</v>
      </c>
      <c r="N421" s="269">
        <f>+R421+T421-U421</f>
        <v>0</v>
      </c>
      <c r="O421" s="270">
        <f>+N421+S421+X421+ABS(Y421)-ABS(AA421)+ABS(Z421)+ABS(AB421)+ABS(AD421)-ABS(AE421)+AC421+W421+Q421</f>
        <v>0</v>
      </c>
      <c r="P421" s="271">
        <f>+O421-N421</f>
        <v>0</v>
      </c>
      <c r="Q421" s="520"/>
      <c r="R421" s="354">
        <f>IF(ISERROR(VLOOKUP("SAN"&amp;$C421,ESTR_PREC_SP!$A$2:$G$2000,4,FALSE))=TRUE,0,VLOOKUP("SAN"&amp;$C421,ESTR_PREC_SP!$A$2:$G$2000,4,FALSE))</f>
        <v>0</v>
      </c>
      <c r="S421" s="521"/>
      <c r="T421" s="521"/>
      <c r="U421" s="521"/>
      <c r="W421" s="520"/>
      <c r="X421" s="520"/>
      <c r="Y421" s="520"/>
      <c r="Z421" s="520"/>
      <c r="AA421" s="520"/>
      <c r="AB421" s="520"/>
      <c r="AC421" s="521"/>
      <c r="AD421" s="520"/>
      <c r="AE421" s="520"/>
    </row>
    <row r="422" spans="2:31" s="204" customFormat="1" x14ac:dyDescent="0.25">
      <c r="B422" s="287" t="s">
        <v>952</v>
      </c>
      <c r="C422" s="287" t="s">
        <v>953</v>
      </c>
      <c r="D422" s="274" t="s">
        <v>3439</v>
      </c>
      <c r="E422" s="274"/>
      <c r="F422" s="274"/>
      <c r="G422" s="283"/>
      <c r="H422" s="266"/>
      <c r="I422" s="281"/>
      <c r="J422" s="281"/>
      <c r="K422" s="281"/>
      <c r="L422" s="295" t="s">
        <v>3440</v>
      </c>
      <c r="M422" s="284" t="s">
        <v>2962</v>
      </c>
      <c r="N422" s="269">
        <f>+R422+T422-U422</f>
        <v>0</v>
      </c>
      <c r="O422" s="270">
        <f>+N422+S422+X422+ABS(Y422)-ABS(AA422)+ABS(Z422)+ABS(AB422)+ABS(AD422)-ABS(AE422)+AC422+W422+Q422</f>
        <v>0</v>
      </c>
      <c r="P422" s="271">
        <f>+O422-N422</f>
        <v>0</v>
      </c>
      <c r="Q422" s="520"/>
      <c r="R422" s="354">
        <f>IF(ISERROR(VLOOKUP("SAN"&amp;$C422,ESTR_PREC_SP!$A$2:$G$2000,4,FALSE))=TRUE,0,VLOOKUP("SAN"&amp;$C422,ESTR_PREC_SP!$A$2:$G$2000,4,FALSE))</f>
        <v>0</v>
      </c>
      <c r="S422" s="521"/>
      <c r="T422" s="521"/>
      <c r="U422" s="521"/>
      <c r="W422" s="520"/>
      <c r="X422" s="520"/>
      <c r="Y422" s="520"/>
      <c r="Z422" s="520"/>
      <c r="AA422" s="520"/>
      <c r="AB422" s="520"/>
      <c r="AC422" s="521"/>
      <c r="AD422" s="520"/>
      <c r="AE422" s="520"/>
    </row>
    <row r="423" spans="2:31" s="204" customFormat="1" ht="38.25" x14ac:dyDescent="0.25">
      <c r="B423" s="293"/>
      <c r="C423" s="293"/>
      <c r="D423" s="230"/>
      <c r="E423" s="230"/>
      <c r="F423" s="230"/>
      <c r="G423" s="230"/>
      <c r="H423" s="231"/>
      <c r="I423" s="230"/>
      <c r="J423" s="230"/>
      <c r="K423" s="230"/>
      <c r="L423" s="296" t="s">
        <v>3441</v>
      </c>
      <c r="M423" s="216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</row>
    <row r="424" spans="2:31" s="204" customFormat="1" ht="25.5" x14ac:dyDescent="0.25">
      <c r="B424" s="293"/>
      <c r="C424" s="293"/>
      <c r="D424" s="304"/>
      <c r="E424" s="230"/>
      <c r="F424" s="230"/>
      <c r="G424" s="230"/>
      <c r="H424" s="231"/>
      <c r="I424" s="230"/>
      <c r="J424" s="230"/>
      <c r="K424" s="230"/>
      <c r="L424" s="255"/>
      <c r="M424" s="244"/>
      <c r="N424" s="256" t="str">
        <f>N$15</f>
        <v>Valore netto al 31/12/2019</v>
      </c>
      <c r="O424" s="256" t="str">
        <f>O$15</f>
        <v>Valore netto al 31/12/2020</v>
      </c>
      <c r="P424" s="256" t="str">
        <f>P$15</f>
        <v>Variazione</v>
      </c>
      <c r="Q424" s="285"/>
      <c r="R424" s="285"/>
      <c r="S424" s="285"/>
      <c r="T424" s="285"/>
      <c r="U424" s="285"/>
      <c r="V424" s="285"/>
      <c r="W424" s="285"/>
      <c r="X424" s="285"/>
      <c r="Y424" s="285"/>
      <c r="Z424" s="211"/>
      <c r="AA424" s="211"/>
    </row>
    <row r="425" spans="2:31" s="204" customFormat="1" x14ac:dyDescent="0.25">
      <c r="B425" s="292" t="s">
        <v>955</v>
      </c>
      <c r="C425" s="292" t="s">
        <v>956</v>
      </c>
      <c r="D425" s="247" t="s">
        <v>3442</v>
      </c>
      <c r="E425" s="247"/>
      <c r="F425" s="247"/>
      <c r="G425" s="247"/>
      <c r="H425" s="248"/>
      <c r="I425" s="247"/>
      <c r="J425" s="247"/>
      <c r="K425" s="249"/>
      <c r="L425" s="257" t="s">
        <v>957</v>
      </c>
      <c r="M425" s="251" t="s">
        <v>2962</v>
      </c>
      <c r="N425" s="252">
        <f>+N427+N435+N443+N449+N457+N463+N469+N474</f>
        <v>0</v>
      </c>
      <c r="O425" s="252">
        <f>+O427+O435+O443+O449+O457+O463+O469+O474</f>
        <v>0</v>
      </c>
      <c r="P425" s="253">
        <f>+O425-N425</f>
        <v>0</v>
      </c>
      <c r="Q425" s="211"/>
      <c r="R425" s="285"/>
      <c r="S425" s="252">
        <f>+S427+S435+S443+S449+S457+S463+S469+S474</f>
        <v>0</v>
      </c>
      <c r="T425" s="285"/>
      <c r="U425" s="285"/>
      <c r="V425" s="285"/>
      <c r="W425" s="211"/>
      <c r="X425" s="252">
        <f>+X427+X435+X443+X449+X457+X463+X469+X474</f>
        <v>0</v>
      </c>
      <c r="Y425" s="285"/>
      <c r="Z425" s="211"/>
      <c r="AA425" s="211"/>
    </row>
    <row r="426" spans="2:31" s="204" customFormat="1" x14ac:dyDescent="0.25">
      <c r="B426" s="293"/>
      <c r="C426" s="293"/>
      <c r="D426" s="305"/>
      <c r="E426" s="230"/>
      <c r="F426" s="230"/>
      <c r="G426" s="230"/>
      <c r="H426" s="231"/>
      <c r="I426" s="230"/>
      <c r="J426" s="230"/>
      <c r="K426" s="230"/>
      <c r="L426" s="306"/>
      <c r="M426" s="211"/>
      <c r="N426" s="254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2:31" s="204" customFormat="1" x14ac:dyDescent="0.25">
      <c r="B427" s="292" t="s">
        <v>958</v>
      </c>
      <c r="C427" s="292" t="s">
        <v>959</v>
      </c>
      <c r="D427" s="247" t="s">
        <v>3443</v>
      </c>
      <c r="E427" s="247"/>
      <c r="F427" s="247"/>
      <c r="G427" s="247"/>
      <c r="H427" s="248"/>
      <c r="I427" s="247"/>
      <c r="J427" s="247"/>
      <c r="K427" s="249"/>
      <c r="L427" s="257" t="s">
        <v>962</v>
      </c>
      <c r="M427" s="251" t="s">
        <v>2962</v>
      </c>
      <c r="N427" s="252">
        <f>SUM(N430:N433)</f>
        <v>0</v>
      </c>
      <c r="O427" s="252">
        <f>SUM(O430:O433)</f>
        <v>0</v>
      </c>
      <c r="P427" s="259">
        <f>+O427-N427</f>
        <v>0</v>
      </c>
      <c r="Q427" s="252">
        <f>SUM(Q430:Q433)</f>
        <v>0</v>
      </c>
      <c r="R427" s="252">
        <f>SUM(R430:R433)</f>
        <v>0</v>
      </c>
      <c r="S427" s="252">
        <f>SUM(S430:S433)</f>
        <v>0</v>
      </c>
      <c r="V427" s="211"/>
      <c r="W427" s="252">
        <f>SUM(W430:W433)</f>
        <v>0</v>
      </c>
      <c r="X427" s="252">
        <f>SUM(X430:X433)</f>
        <v>0</v>
      </c>
      <c r="Y427" s="252">
        <f>SUM(Y430:Y433)</f>
        <v>0</v>
      </c>
      <c r="Z427" s="252">
        <f>SUM(Z430:Z433)</f>
        <v>0</v>
      </c>
      <c r="AA427" s="211"/>
    </row>
    <row r="428" spans="2:31" s="204" customFormat="1" x14ac:dyDescent="0.25">
      <c r="B428" s="293"/>
      <c r="C428" s="293"/>
      <c r="D428" s="230"/>
      <c r="E428" s="230"/>
      <c r="F428" s="230"/>
      <c r="G428" s="230"/>
      <c r="H428" s="231"/>
      <c r="I428" s="230"/>
      <c r="J428" s="230"/>
      <c r="K428" s="230"/>
      <c r="L428" s="232"/>
      <c r="M428" s="211"/>
      <c r="N428" s="211"/>
      <c r="O428" s="211"/>
      <c r="P428" s="211"/>
      <c r="Q428" s="211"/>
      <c r="V428" s="211"/>
      <c r="W428" s="211"/>
      <c r="X428" s="211"/>
      <c r="Y428" s="211"/>
      <c r="Z428" s="211"/>
      <c r="AA428" s="211"/>
    </row>
    <row r="429" spans="2:31" s="204" customFormat="1" ht="51" x14ac:dyDescent="0.25">
      <c r="B429" s="294" t="s">
        <v>2968</v>
      </c>
      <c r="C429" s="294" t="s">
        <v>2969</v>
      </c>
      <c r="D429" s="206" t="s">
        <v>72</v>
      </c>
      <c r="E429" s="206"/>
      <c r="F429" s="206"/>
      <c r="G429" s="207"/>
      <c r="H429" s="207"/>
      <c r="I429" s="207"/>
      <c r="J429" s="207" t="s">
        <v>2957</v>
      </c>
      <c r="K429" s="206" t="s">
        <v>82</v>
      </c>
      <c r="L429" s="261" t="s">
        <v>2970</v>
      </c>
      <c r="M429" s="260"/>
      <c r="N429" s="256" t="str">
        <f>N$15</f>
        <v>Valore netto al 31/12/2019</v>
      </c>
      <c r="O429" s="256" t="str">
        <f>O$15</f>
        <v>Valore netto al 31/12/2020</v>
      </c>
      <c r="P429" s="256" t="str">
        <f>P$15</f>
        <v>Variazione</v>
      </c>
      <c r="Q429" s="262" t="s">
        <v>2971</v>
      </c>
      <c r="R429" s="262" t="str">
        <f>"Fondo svalutazione 31/12/"&amp;Info!$B$3-1</f>
        <v>Fondo svalutazione 31/12/2019</v>
      </c>
      <c r="S429" s="262" t="s">
        <v>2972</v>
      </c>
      <c r="V429" s="211"/>
      <c r="W429" s="262" t="s">
        <v>2975</v>
      </c>
      <c r="X429" s="262" t="s">
        <v>2976</v>
      </c>
      <c r="Y429" s="262" t="s">
        <v>3124</v>
      </c>
      <c r="Z429" s="262" t="s">
        <v>3125</v>
      </c>
      <c r="AA429" s="211"/>
      <c r="AB429" s="211"/>
      <c r="AC429" s="211"/>
      <c r="AD429" s="211"/>
      <c r="AE429" s="211"/>
    </row>
    <row r="430" spans="2:31" s="204" customFormat="1" x14ac:dyDescent="0.25">
      <c r="B430" s="273" t="s">
        <v>963</v>
      </c>
      <c r="C430" s="273" t="s">
        <v>964</v>
      </c>
      <c r="D430" s="274" t="s">
        <v>3444</v>
      </c>
      <c r="E430" s="264"/>
      <c r="F430" s="264"/>
      <c r="G430" s="265"/>
      <c r="H430" s="266"/>
      <c r="I430" s="267"/>
      <c r="J430" s="267"/>
      <c r="K430" s="267"/>
      <c r="L430" s="268" t="s">
        <v>3445</v>
      </c>
      <c r="M430" s="263" t="s">
        <v>2962</v>
      </c>
      <c r="N430" s="269">
        <f>+R430</f>
        <v>0</v>
      </c>
      <c r="O430" s="270">
        <f>+R430+S430+X430-ABS(Y430)+ABS(Z430)+W430+Q430</f>
        <v>0</v>
      </c>
      <c r="P430" s="271">
        <f>+O430-N430</f>
        <v>0</v>
      </c>
      <c r="Q430" s="520"/>
      <c r="R430" s="354">
        <f>IF(ISERROR(VLOOKUP("SAN"&amp;$C430,ESTR_PREC_SP!$A$2:$G$2000,4,FALSE))=TRUE,0,VLOOKUP("SAN"&amp;$C430,ESTR_PREC_SP!$A$2:$G$2000,4,FALSE))</f>
        <v>0</v>
      </c>
      <c r="S430" s="521"/>
      <c r="V430" s="211"/>
      <c r="W430" s="520"/>
      <c r="X430" s="520"/>
      <c r="Y430" s="520"/>
      <c r="Z430" s="520"/>
      <c r="AA430" s="211"/>
      <c r="AB430" s="211"/>
      <c r="AC430" s="211"/>
      <c r="AD430" s="211"/>
      <c r="AE430" s="211"/>
    </row>
    <row r="431" spans="2:31" s="204" customFormat="1" x14ac:dyDescent="0.25">
      <c r="B431" s="273" t="s">
        <v>966</v>
      </c>
      <c r="C431" s="273" t="s">
        <v>967</v>
      </c>
      <c r="D431" s="274" t="s">
        <v>3446</v>
      </c>
      <c r="E431" s="264"/>
      <c r="F431" s="264"/>
      <c r="G431" s="265"/>
      <c r="H431" s="266"/>
      <c r="I431" s="267"/>
      <c r="J431" s="267"/>
      <c r="K431" s="267"/>
      <c r="L431" s="295" t="s">
        <v>3447</v>
      </c>
      <c r="M431" s="263" t="s">
        <v>2962</v>
      </c>
      <c r="N431" s="269">
        <f>+R431</f>
        <v>0</v>
      </c>
      <c r="O431" s="270">
        <f>+R431+S431+X431-ABS(Y431)+ABS(Z431)+W431+Q431</f>
        <v>0</v>
      </c>
      <c r="P431" s="271">
        <f>+O431-N431</f>
        <v>0</v>
      </c>
      <c r="Q431" s="520"/>
      <c r="R431" s="354">
        <f>IF(ISERROR(VLOOKUP("SAN"&amp;$C431,ESTR_PREC_SP!$A$2:$G$2000,4,FALSE))=TRUE,0,VLOOKUP("SAN"&amp;$C431,ESTR_PREC_SP!$A$2:$G$2000,4,FALSE))</f>
        <v>0</v>
      </c>
      <c r="S431" s="521"/>
      <c r="V431" s="211"/>
      <c r="W431" s="520"/>
      <c r="X431" s="520"/>
      <c r="Y431" s="520"/>
      <c r="Z431" s="520"/>
      <c r="AA431" s="211"/>
      <c r="AB431" s="211"/>
      <c r="AC431" s="211"/>
      <c r="AD431" s="211"/>
      <c r="AE431" s="211"/>
    </row>
    <row r="432" spans="2:31" s="204" customFormat="1" x14ac:dyDescent="0.25">
      <c r="B432" s="273" t="s">
        <v>969</v>
      </c>
      <c r="C432" s="273" t="s">
        <v>970</v>
      </c>
      <c r="D432" s="325" t="s">
        <v>3448</v>
      </c>
      <c r="E432" s="264"/>
      <c r="F432" s="264"/>
      <c r="G432" s="265"/>
      <c r="H432" s="266"/>
      <c r="I432" s="267"/>
      <c r="J432" s="267"/>
      <c r="K432" s="267"/>
      <c r="L432" s="268" t="s">
        <v>3449</v>
      </c>
      <c r="M432" s="263" t="s">
        <v>2962</v>
      </c>
      <c r="N432" s="269">
        <f>+R432</f>
        <v>0</v>
      </c>
      <c r="O432" s="270">
        <f>+R432+S432+X432-ABS(Y432)+ABS(Z432)+W432+Q432</f>
        <v>0</v>
      </c>
      <c r="P432" s="271">
        <f>+O432-N432</f>
        <v>0</v>
      </c>
      <c r="Q432" s="520"/>
      <c r="R432" s="354">
        <f>IF(ISERROR(VLOOKUP("SAN"&amp;$C432,ESTR_PREC_SP!$A$2:$G$2000,4,FALSE))=TRUE,0,VLOOKUP("SAN"&amp;$C432,ESTR_PREC_SP!$A$2:$G$2000,4,FALSE))</f>
        <v>0</v>
      </c>
      <c r="S432" s="521"/>
      <c r="V432" s="211"/>
      <c r="W432" s="520"/>
      <c r="X432" s="520"/>
      <c r="Y432" s="520"/>
      <c r="Z432" s="520"/>
      <c r="AA432" s="211"/>
      <c r="AB432" s="211"/>
      <c r="AC432" s="211"/>
      <c r="AD432" s="211"/>
      <c r="AE432" s="211"/>
    </row>
    <row r="433" spans="2:31" s="204" customFormat="1" x14ac:dyDescent="0.25">
      <c r="B433" s="273" t="s">
        <v>972</v>
      </c>
      <c r="C433" s="273" t="s">
        <v>973</v>
      </c>
      <c r="D433" s="325" t="s">
        <v>3450</v>
      </c>
      <c r="E433" s="274"/>
      <c r="F433" s="274"/>
      <c r="G433" s="283"/>
      <c r="H433" s="326"/>
      <c r="I433" s="281"/>
      <c r="J433" s="281"/>
      <c r="K433" s="281"/>
      <c r="L433" s="295" t="s">
        <v>3451</v>
      </c>
      <c r="M433" s="263" t="s">
        <v>2962</v>
      </c>
      <c r="N433" s="269">
        <f>+R433</f>
        <v>0</v>
      </c>
      <c r="O433" s="270">
        <f>+R433+S433+X433-ABS(Y433)+ABS(Z433)+W433+Q433</f>
        <v>0</v>
      </c>
      <c r="P433" s="271">
        <f>+O433-N433</f>
        <v>0</v>
      </c>
      <c r="Q433" s="520"/>
      <c r="R433" s="354">
        <f>IF(ISERROR(VLOOKUP("SAN"&amp;$C433,ESTR_PREC_SP!$A$2:$G$2000,4,FALSE))=TRUE,0,VLOOKUP("SAN"&amp;$C433,ESTR_PREC_SP!$A$2:$G$2000,4,FALSE))</f>
        <v>0</v>
      </c>
      <c r="S433" s="521"/>
      <c r="V433" s="211"/>
      <c r="W433" s="520"/>
      <c r="X433" s="520"/>
      <c r="Y433" s="520"/>
      <c r="Z433" s="520"/>
      <c r="AA433" s="211"/>
      <c r="AB433" s="211"/>
      <c r="AC433" s="211"/>
      <c r="AD433" s="211"/>
      <c r="AE433" s="211"/>
    </row>
    <row r="434" spans="2:31" s="204" customFormat="1" x14ac:dyDescent="0.25">
      <c r="B434" s="293"/>
      <c r="C434" s="293"/>
      <c r="D434" s="300"/>
      <c r="E434" s="226"/>
      <c r="F434" s="226"/>
      <c r="G434" s="226"/>
      <c r="H434" s="227"/>
      <c r="I434" s="226"/>
      <c r="J434" s="226"/>
      <c r="K434" s="226"/>
      <c r="L434" s="312"/>
      <c r="M434" s="211"/>
      <c r="N434" s="254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</row>
    <row r="435" spans="2:31" s="204" customFormat="1" x14ac:dyDescent="0.25">
      <c r="B435" s="292" t="s">
        <v>975</v>
      </c>
      <c r="C435" s="292" t="s">
        <v>976</v>
      </c>
      <c r="D435" s="247" t="s">
        <v>3452</v>
      </c>
      <c r="E435" s="247"/>
      <c r="F435" s="247"/>
      <c r="G435" s="247"/>
      <c r="H435" s="248"/>
      <c r="I435" s="247"/>
      <c r="J435" s="247"/>
      <c r="K435" s="249"/>
      <c r="L435" s="257" t="s">
        <v>979</v>
      </c>
      <c r="M435" s="251" t="s">
        <v>2962</v>
      </c>
      <c r="N435" s="252">
        <f>SUM(N438:N441)</f>
        <v>0</v>
      </c>
      <c r="O435" s="252">
        <f>SUM(O438:O441)</f>
        <v>0</v>
      </c>
      <c r="P435" s="259">
        <f>+O435-N435</f>
        <v>0</v>
      </c>
      <c r="Q435" s="252">
        <f>SUM(Q438:Q441)</f>
        <v>0</v>
      </c>
      <c r="R435" s="252">
        <f>SUM(R438:R441)</f>
        <v>0</v>
      </c>
      <c r="S435" s="252">
        <f>SUM(S438:S441)</f>
        <v>0</v>
      </c>
      <c r="V435" s="211"/>
      <c r="W435" s="252">
        <f>SUM(W438:W441)</f>
        <v>0</v>
      </c>
      <c r="X435" s="252">
        <f>SUM(X438:X441)</f>
        <v>0</v>
      </c>
      <c r="Y435" s="252">
        <f>SUM(Y438:Y441)</f>
        <v>0</v>
      </c>
      <c r="Z435" s="252">
        <f>SUM(Z438:Z441)</f>
        <v>0</v>
      </c>
      <c r="AA435" s="211"/>
      <c r="AB435" s="211"/>
      <c r="AC435" s="211"/>
      <c r="AD435" s="211"/>
      <c r="AE435" s="211"/>
    </row>
    <row r="436" spans="2:31" s="204" customFormat="1" x14ac:dyDescent="0.25">
      <c r="B436" s="293"/>
      <c r="C436" s="293"/>
      <c r="D436" s="230"/>
      <c r="E436" s="230"/>
      <c r="F436" s="230"/>
      <c r="G436" s="230"/>
      <c r="H436" s="231"/>
      <c r="I436" s="230"/>
      <c r="J436" s="230"/>
      <c r="K436" s="230"/>
      <c r="L436" s="232"/>
      <c r="M436" s="211"/>
      <c r="N436" s="211"/>
      <c r="O436" s="211"/>
      <c r="P436" s="211"/>
      <c r="Q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</row>
    <row r="437" spans="2:31" s="204" customFormat="1" ht="51" x14ac:dyDescent="0.25">
      <c r="B437" s="294" t="s">
        <v>2968</v>
      </c>
      <c r="C437" s="294" t="s">
        <v>2969</v>
      </c>
      <c r="D437" s="206" t="s">
        <v>72</v>
      </c>
      <c r="E437" s="206"/>
      <c r="F437" s="206"/>
      <c r="G437" s="207"/>
      <c r="H437" s="207"/>
      <c r="I437" s="207"/>
      <c r="J437" s="207" t="s">
        <v>2957</v>
      </c>
      <c r="K437" s="206" t="s">
        <v>82</v>
      </c>
      <c r="L437" s="261" t="s">
        <v>2970</v>
      </c>
      <c r="M437" s="260"/>
      <c r="N437" s="256" t="str">
        <f>N$15</f>
        <v>Valore netto al 31/12/2019</v>
      </c>
      <c r="O437" s="256" t="str">
        <f>O$15</f>
        <v>Valore netto al 31/12/2020</v>
      </c>
      <c r="P437" s="256" t="str">
        <f>P$15</f>
        <v>Variazione</v>
      </c>
      <c r="Q437" s="262" t="s">
        <v>2971</v>
      </c>
      <c r="R437" s="262" t="str">
        <f>"Fondo svalutazione 31/12/"&amp;Info!$B$3-1</f>
        <v>Fondo svalutazione 31/12/2019</v>
      </c>
      <c r="S437" s="262" t="s">
        <v>2972</v>
      </c>
      <c r="V437" s="211"/>
      <c r="W437" s="262" t="s">
        <v>2975</v>
      </c>
      <c r="X437" s="262" t="s">
        <v>2976</v>
      </c>
      <c r="Y437" s="262" t="s">
        <v>3124</v>
      </c>
      <c r="Z437" s="262" t="s">
        <v>3125</v>
      </c>
      <c r="AA437" s="211"/>
      <c r="AB437" s="211"/>
      <c r="AC437" s="211"/>
      <c r="AD437" s="211"/>
      <c r="AE437" s="211"/>
    </row>
    <row r="438" spans="2:31" s="204" customFormat="1" x14ac:dyDescent="0.25">
      <c r="B438" s="273" t="s">
        <v>980</v>
      </c>
      <c r="C438" s="273" t="s">
        <v>981</v>
      </c>
      <c r="D438" s="274" t="s">
        <v>3453</v>
      </c>
      <c r="E438" s="264"/>
      <c r="F438" s="264"/>
      <c r="G438" s="265"/>
      <c r="H438" s="266"/>
      <c r="I438" s="267"/>
      <c r="J438" s="267"/>
      <c r="K438" s="267"/>
      <c r="L438" s="268" t="s">
        <v>3454</v>
      </c>
      <c r="M438" s="263" t="s">
        <v>2962</v>
      </c>
      <c r="N438" s="269">
        <f>+R438</f>
        <v>0</v>
      </c>
      <c r="O438" s="270">
        <f>+R438+S438+X438-ABS(Y438)+ABS(Z438)+W438+Q438</f>
        <v>0</v>
      </c>
      <c r="P438" s="271">
        <f>+O438-N438</f>
        <v>0</v>
      </c>
      <c r="Q438" s="520"/>
      <c r="R438" s="354">
        <f>IF(ISERROR(VLOOKUP("SAN"&amp;$C438,ESTR_PREC_SP!$A$2:$G$2000,4,FALSE))=TRUE,0,VLOOKUP("SAN"&amp;$C438,ESTR_PREC_SP!$A$2:$G$2000,4,FALSE))</f>
        <v>0</v>
      </c>
      <c r="S438" s="521"/>
      <c r="V438" s="211"/>
      <c r="W438" s="520"/>
      <c r="X438" s="520"/>
      <c r="Y438" s="520"/>
      <c r="Z438" s="520"/>
      <c r="AA438" s="211"/>
      <c r="AB438" s="211"/>
      <c r="AC438" s="211"/>
      <c r="AD438" s="211"/>
      <c r="AE438" s="211"/>
    </row>
    <row r="439" spans="2:31" s="204" customFormat="1" x14ac:dyDescent="0.25">
      <c r="B439" s="273" t="s">
        <v>983</v>
      </c>
      <c r="C439" s="273" t="s">
        <v>984</v>
      </c>
      <c r="D439" s="274" t="s">
        <v>3455</v>
      </c>
      <c r="E439" s="264"/>
      <c r="F439" s="264"/>
      <c r="G439" s="265"/>
      <c r="H439" s="266"/>
      <c r="I439" s="267"/>
      <c r="J439" s="267"/>
      <c r="K439" s="267"/>
      <c r="L439" s="268" t="s">
        <v>3456</v>
      </c>
      <c r="M439" s="263" t="s">
        <v>2962</v>
      </c>
      <c r="N439" s="269">
        <f>+R439</f>
        <v>0</v>
      </c>
      <c r="O439" s="270">
        <f>+R439+S439+X439-ABS(Y439)+ABS(Z439)+W439+Q439</f>
        <v>0</v>
      </c>
      <c r="P439" s="271">
        <f>+O439-N439</f>
        <v>0</v>
      </c>
      <c r="Q439" s="520"/>
      <c r="R439" s="354">
        <f>IF(ISERROR(VLOOKUP("SAN"&amp;$C439,ESTR_PREC_SP!$A$2:$G$2000,4,FALSE))=TRUE,0,VLOOKUP("SAN"&amp;$C439,ESTR_PREC_SP!$A$2:$G$2000,4,FALSE))</f>
        <v>0</v>
      </c>
      <c r="S439" s="521"/>
      <c r="V439" s="211"/>
      <c r="W439" s="520"/>
      <c r="X439" s="520"/>
      <c r="Y439" s="520"/>
      <c r="Z439" s="520"/>
      <c r="AA439" s="211"/>
      <c r="AB439" s="211"/>
      <c r="AC439" s="211"/>
      <c r="AD439" s="211"/>
      <c r="AE439" s="211"/>
    </row>
    <row r="440" spans="2:31" s="204" customFormat="1" x14ac:dyDescent="0.25">
      <c r="B440" s="273" t="s">
        <v>986</v>
      </c>
      <c r="C440" s="273" t="s">
        <v>987</v>
      </c>
      <c r="D440" s="325" t="s">
        <v>3457</v>
      </c>
      <c r="E440" s="264"/>
      <c r="F440" s="264"/>
      <c r="G440" s="265"/>
      <c r="H440" s="266"/>
      <c r="I440" s="267"/>
      <c r="J440" s="267"/>
      <c r="K440" s="267"/>
      <c r="L440" s="268" t="s">
        <v>3458</v>
      </c>
      <c r="M440" s="263" t="s">
        <v>2962</v>
      </c>
      <c r="N440" s="269">
        <f>+R440</f>
        <v>0</v>
      </c>
      <c r="O440" s="270">
        <f>+R440+S440+X440-ABS(Y440)+ABS(Z440)+W440+Q440</f>
        <v>0</v>
      </c>
      <c r="P440" s="271">
        <f>+O440-N440</f>
        <v>0</v>
      </c>
      <c r="Q440" s="520"/>
      <c r="R440" s="354">
        <f>IF(ISERROR(VLOOKUP("SAN"&amp;$C440,ESTR_PREC_SP!$A$2:$G$2000,4,FALSE))=TRUE,0,VLOOKUP("SAN"&amp;$C440,ESTR_PREC_SP!$A$2:$G$2000,4,FALSE))</f>
        <v>0</v>
      </c>
      <c r="S440" s="521"/>
      <c r="V440" s="211"/>
      <c r="W440" s="520"/>
      <c r="X440" s="520"/>
      <c r="Y440" s="520"/>
      <c r="Z440" s="520"/>
      <c r="AA440" s="211"/>
      <c r="AB440" s="211"/>
      <c r="AC440" s="211"/>
      <c r="AD440" s="211"/>
      <c r="AE440" s="211"/>
    </row>
    <row r="441" spans="2:31" s="204" customFormat="1" x14ac:dyDescent="0.25">
      <c r="B441" s="273" t="s">
        <v>989</v>
      </c>
      <c r="C441" s="273" t="s">
        <v>990</v>
      </c>
      <c r="D441" s="325" t="s">
        <v>3459</v>
      </c>
      <c r="E441" s="274"/>
      <c r="F441" s="274"/>
      <c r="G441" s="283"/>
      <c r="H441" s="326"/>
      <c r="I441" s="281"/>
      <c r="J441" s="281"/>
      <c r="K441" s="281"/>
      <c r="L441" s="295" t="s">
        <v>3460</v>
      </c>
      <c r="M441" s="263" t="s">
        <v>2962</v>
      </c>
      <c r="N441" s="269">
        <f>+R441</f>
        <v>0</v>
      </c>
      <c r="O441" s="270">
        <f>+R441+S441+X441-ABS(Y441)+ABS(Z441)+W441+Q441</f>
        <v>0</v>
      </c>
      <c r="P441" s="271">
        <f>+O441-N441</f>
        <v>0</v>
      </c>
      <c r="Q441" s="520"/>
      <c r="R441" s="354">
        <f>IF(ISERROR(VLOOKUP("SAN"&amp;$C441,ESTR_PREC_SP!$A$2:$G$2000,4,FALSE))=TRUE,0,VLOOKUP("SAN"&amp;$C441,ESTR_PREC_SP!$A$2:$G$2000,4,FALSE))</f>
        <v>0</v>
      </c>
      <c r="S441" s="521"/>
      <c r="V441" s="211"/>
      <c r="W441" s="520"/>
      <c r="X441" s="520"/>
      <c r="Y441" s="520"/>
      <c r="Z441" s="520"/>
      <c r="AA441" s="211"/>
      <c r="AB441" s="211"/>
      <c r="AC441" s="211"/>
      <c r="AD441" s="211"/>
      <c r="AE441" s="211"/>
    </row>
    <row r="442" spans="2:31" s="204" customFormat="1" x14ac:dyDescent="0.25">
      <c r="B442" s="293"/>
      <c r="C442" s="293"/>
      <c r="D442" s="300"/>
      <c r="E442" s="226"/>
      <c r="F442" s="226"/>
      <c r="G442" s="226"/>
      <c r="H442" s="227"/>
      <c r="I442" s="226"/>
      <c r="J442" s="226"/>
      <c r="K442" s="226"/>
      <c r="L442" s="312"/>
      <c r="M442" s="211"/>
      <c r="N442" s="254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</row>
    <row r="443" spans="2:31" s="204" customFormat="1" x14ac:dyDescent="0.25">
      <c r="B443" s="292" t="s">
        <v>992</v>
      </c>
      <c r="C443" s="292" t="s">
        <v>993</v>
      </c>
      <c r="D443" s="247" t="s">
        <v>3461</v>
      </c>
      <c r="E443" s="247"/>
      <c r="F443" s="247"/>
      <c r="G443" s="247"/>
      <c r="H443" s="248"/>
      <c r="I443" s="247"/>
      <c r="J443" s="247"/>
      <c r="K443" s="249"/>
      <c r="L443" s="257" t="s">
        <v>996</v>
      </c>
      <c r="M443" s="251" t="s">
        <v>2962</v>
      </c>
      <c r="N443" s="252">
        <f>SUM(N446:N447)</f>
        <v>0</v>
      </c>
      <c r="O443" s="252">
        <f>SUM(O446:O447)</f>
        <v>0</v>
      </c>
      <c r="P443" s="259">
        <f>+O443-N443</f>
        <v>0</v>
      </c>
      <c r="Q443" s="252">
        <f>SUM(Q446:Q447)</f>
        <v>0</v>
      </c>
      <c r="R443" s="252">
        <f>SUM(R446:R447)</f>
        <v>0</v>
      </c>
      <c r="S443" s="252">
        <f>SUM(S446:S447)</f>
        <v>0</v>
      </c>
      <c r="V443" s="211"/>
      <c r="W443" s="252">
        <f>SUM(W446:W447)</f>
        <v>0</v>
      </c>
      <c r="X443" s="252">
        <f>SUM(X446:X447)</f>
        <v>0</v>
      </c>
      <c r="Y443" s="252">
        <f>SUM(Y446:Y447)</f>
        <v>0</v>
      </c>
      <c r="Z443" s="252">
        <f>SUM(Z446:Z447)</f>
        <v>0</v>
      </c>
      <c r="AA443" s="211"/>
    </row>
    <row r="444" spans="2:31" s="204" customFormat="1" x14ac:dyDescent="0.25">
      <c r="B444" s="293"/>
      <c r="C444" s="293"/>
      <c r="D444" s="230"/>
      <c r="E444" s="230"/>
      <c r="F444" s="230"/>
      <c r="G444" s="230"/>
      <c r="H444" s="231"/>
      <c r="I444" s="230"/>
      <c r="J444" s="230"/>
      <c r="K444" s="230"/>
      <c r="L444" s="232"/>
      <c r="M444" s="211"/>
      <c r="N444" s="211"/>
      <c r="O444" s="211"/>
      <c r="P444" s="211"/>
      <c r="Q444" s="211"/>
      <c r="V444" s="211"/>
      <c r="W444" s="211"/>
      <c r="X444" s="211"/>
      <c r="Y444" s="211"/>
      <c r="Z444" s="211"/>
      <c r="AA444" s="211"/>
    </row>
    <row r="445" spans="2:31" s="204" customFormat="1" ht="51" x14ac:dyDescent="0.25">
      <c r="B445" s="294" t="s">
        <v>2968</v>
      </c>
      <c r="C445" s="294" t="s">
        <v>2969</v>
      </c>
      <c r="D445" s="206" t="s">
        <v>72</v>
      </c>
      <c r="E445" s="206"/>
      <c r="F445" s="206"/>
      <c r="G445" s="207"/>
      <c r="H445" s="207"/>
      <c r="I445" s="207"/>
      <c r="J445" s="207" t="s">
        <v>2957</v>
      </c>
      <c r="K445" s="206" t="s">
        <v>82</v>
      </c>
      <c r="L445" s="261" t="s">
        <v>2970</v>
      </c>
      <c r="M445" s="260"/>
      <c r="N445" s="256" t="str">
        <f>N$15</f>
        <v>Valore netto al 31/12/2019</v>
      </c>
      <c r="O445" s="256" t="str">
        <f>O$15</f>
        <v>Valore netto al 31/12/2020</v>
      </c>
      <c r="P445" s="256" t="str">
        <f>P$15</f>
        <v>Variazione</v>
      </c>
      <c r="Q445" s="262" t="s">
        <v>2971</v>
      </c>
      <c r="R445" s="262" t="str">
        <f>"Fondo svalutazione 31/12/"&amp;Info!$B$3-1</f>
        <v>Fondo svalutazione 31/12/2019</v>
      </c>
      <c r="S445" s="262" t="s">
        <v>2972</v>
      </c>
      <c r="V445" s="211"/>
      <c r="W445" s="262" t="s">
        <v>2975</v>
      </c>
      <c r="X445" s="262" t="s">
        <v>2976</v>
      </c>
      <c r="Y445" s="262" t="s">
        <v>3124</v>
      </c>
      <c r="Z445" s="262" t="s">
        <v>3125</v>
      </c>
      <c r="AA445" s="211"/>
      <c r="AB445" s="211"/>
      <c r="AC445" s="211"/>
      <c r="AD445" s="211"/>
      <c r="AE445" s="211"/>
    </row>
    <row r="446" spans="2:31" s="204" customFormat="1" x14ac:dyDescent="0.25">
      <c r="B446" s="273" t="s">
        <v>997</v>
      </c>
      <c r="C446" s="273" t="s">
        <v>998</v>
      </c>
      <c r="D446" s="274" t="s">
        <v>3462</v>
      </c>
      <c r="E446" s="264"/>
      <c r="F446" s="264"/>
      <c r="G446" s="265"/>
      <c r="H446" s="266"/>
      <c r="I446" s="267"/>
      <c r="J446" s="267"/>
      <c r="K446" s="267"/>
      <c r="L446" s="268" t="s">
        <v>3463</v>
      </c>
      <c r="M446" s="263" t="s">
        <v>2962</v>
      </c>
      <c r="N446" s="269">
        <f>+R446</f>
        <v>0</v>
      </c>
      <c r="O446" s="270">
        <f>+R446+S446+X446-ABS(Y446)+ABS(Z446)+W446+Q446</f>
        <v>0</v>
      </c>
      <c r="P446" s="271">
        <f>+O446-N446</f>
        <v>0</v>
      </c>
      <c r="Q446" s="520"/>
      <c r="R446" s="354">
        <f>IF(ISERROR(VLOOKUP("SAN"&amp;$C446,ESTR_PREC_SP!$A$2:$G$2000,4,FALSE))=TRUE,0,VLOOKUP("SAN"&amp;$C446,ESTR_PREC_SP!$A$2:$G$2000,4,FALSE))</f>
        <v>0</v>
      </c>
      <c r="S446" s="521"/>
      <c r="V446" s="211"/>
      <c r="W446" s="520"/>
      <c r="X446" s="520"/>
      <c r="Y446" s="520"/>
      <c r="Z446" s="520"/>
      <c r="AA446" s="211"/>
      <c r="AB446" s="211"/>
      <c r="AC446" s="211"/>
      <c r="AD446" s="211"/>
      <c r="AE446" s="211"/>
    </row>
    <row r="447" spans="2:31" s="204" customFormat="1" x14ac:dyDescent="0.25">
      <c r="B447" s="273" t="s">
        <v>1000</v>
      </c>
      <c r="C447" s="273" t="s">
        <v>1001</v>
      </c>
      <c r="D447" s="274" t="s">
        <v>3464</v>
      </c>
      <c r="E447" s="274"/>
      <c r="F447" s="274"/>
      <c r="G447" s="283"/>
      <c r="H447" s="326"/>
      <c r="I447" s="281"/>
      <c r="J447" s="281"/>
      <c r="K447" s="281"/>
      <c r="L447" s="295" t="s">
        <v>3465</v>
      </c>
      <c r="M447" s="263" t="s">
        <v>2962</v>
      </c>
      <c r="N447" s="269">
        <f>+R447</f>
        <v>0</v>
      </c>
      <c r="O447" s="270">
        <f>+R447+S447+X447-ABS(Y447)+ABS(Z447)+W447+Q447</f>
        <v>0</v>
      </c>
      <c r="P447" s="271">
        <f>+O447-N447</f>
        <v>0</v>
      </c>
      <c r="Q447" s="520"/>
      <c r="R447" s="354">
        <f>IF(ISERROR(VLOOKUP("SAN"&amp;$C447,ESTR_PREC_SP!$A$2:$G$2000,4,FALSE))=TRUE,0,VLOOKUP("SAN"&amp;$C447,ESTR_PREC_SP!$A$2:$G$2000,4,FALSE))</f>
        <v>0</v>
      </c>
      <c r="S447" s="521"/>
      <c r="V447" s="211"/>
      <c r="W447" s="520"/>
      <c r="X447" s="520"/>
      <c r="Y447" s="520"/>
      <c r="Z447" s="520"/>
      <c r="AA447" s="211"/>
      <c r="AB447" s="211"/>
      <c r="AC447" s="211"/>
      <c r="AD447" s="211"/>
      <c r="AE447" s="211"/>
    </row>
    <row r="448" spans="2:31" s="204" customFormat="1" x14ac:dyDescent="0.25">
      <c r="B448" s="293"/>
      <c r="C448" s="293"/>
      <c r="D448" s="300"/>
      <c r="E448" s="226"/>
      <c r="F448" s="226"/>
      <c r="G448" s="226"/>
      <c r="H448" s="227"/>
      <c r="I448" s="226"/>
      <c r="J448" s="226"/>
      <c r="K448" s="226"/>
      <c r="L448" s="312"/>
      <c r="M448" s="211"/>
      <c r="N448" s="254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</row>
    <row r="449" spans="2:31" s="204" customFormat="1" x14ac:dyDescent="0.25">
      <c r="B449" s="292" t="s">
        <v>1003</v>
      </c>
      <c r="C449" s="292" t="s">
        <v>1004</v>
      </c>
      <c r="D449" s="247" t="s">
        <v>3466</v>
      </c>
      <c r="E449" s="247"/>
      <c r="F449" s="247"/>
      <c r="G449" s="247"/>
      <c r="H449" s="248"/>
      <c r="I449" s="247"/>
      <c r="J449" s="247"/>
      <c r="K449" s="249"/>
      <c r="L449" s="257" t="s">
        <v>1007</v>
      </c>
      <c r="M449" s="251" t="s">
        <v>2962</v>
      </c>
      <c r="N449" s="252">
        <f>SUM(N452:N455)</f>
        <v>0</v>
      </c>
      <c r="O449" s="252">
        <f>SUM(O452:O455)</f>
        <v>0</v>
      </c>
      <c r="P449" s="259">
        <f>+O449-N449</f>
        <v>0</v>
      </c>
      <c r="Q449" s="252">
        <f>SUM(Q452:Q455)</f>
        <v>0</v>
      </c>
      <c r="R449" s="252">
        <f>SUM(R452:R455)</f>
        <v>0</v>
      </c>
      <c r="S449" s="252">
        <f>SUM(S452:S453)</f>
        <v>0</v>
      </c>
      <c r="T449" s="211"/>
      <c r="U449" s="211"/>
      <c r="V449" s="211"/>
      <c r="W449" s="252">
        <f>SUM(W452:W455)</f>
        <v>0</v>
      </c>
      <c r="X449" s="252">
        <f>SUM(X452:X455)</f>
        <v>0</v>
      </c>
      <c r="Y449" s="252">
        <f>SUM(Y452:Y455)</f>
        <v>0</v>
      </c>
      <c r="Z449" s="252">
        <f>SUM(Z452:Z455)</f>
        <v>0</v>
      </c>
      <c r="AA449" s="211"/>
      <c r="AB449" s="211"/>
      <c r="AC449" s="211"/>
      <c r="AD449" s="211"/>
      <c r="AE449" s="211"/>
    </row>
    <row r="450" spans="2:31" s="204" customFormat="1" x14ac:dyDescent="0.25">
      <c r="B450" s="293"/>
      <c r="C450" s="293"/>
      <c r="D450" s="230"/>
      <c r="E450" s="230"/>
      <c r="F450" s="230"/>
      <c r="G450" s="230"/>
      <c r="H450" s="231"/>
      <c r="I450" s="230"/>
      <c r="J450" s="230"/>
      <c r="K450" s="230"/>
      <c r="L450" s="232"/>
      <c r="M450" s="211"/>
      <c r="N450" s="211"/>
      <c r="O450" s="211"/>
      <c r="P450" s="211"/>
      <c r="Q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2:31" s="204" customFormat="1" ht="51" x14ac:dyDescent="0.25">
      <c r="B451" s="294" t="s">
        <v>2968</v>
      </c>
      <c r="C451" s="294" t="s">
        <v>2969</v>
      </c>
      <c r="D451" s="206" t="s">
        <v>72</v>
      </c>
      <c r="E451" s="206"/>
      <c r="F451" s="206"/>
      <c r="G451" s="207"/>
      <c r="H451" s="207"/>
      <c r="I451" s="207"/>
      <c r="J451" s="207" t="s">
        <v>2957</v>
      </c>
      <c r="K451" s="206" t="s">
        <v>82</v>
      </c>
      <c r="L451" s="261" t="s">
        <v>2970</v>
      </c>
      <c r="M451" s="260"/>
      <c r="N451" s="256" t="str">
        <f>N$15</f>
        <v>Valore netto al 31/12/2019</v>
      </c>
      <c r="O451" s="256" t="str">
        <f>O$15</f>
        <v>Valore netto al 31/12/2020</v>
      </c>
      <c r="P451" s="256" t="str">
        <f>P$15</f>
        <v>Variazione</v>
      </c>
      <c r="Q451" s="262" t="s">
        <v>2971</v>
      </c>
      <c r="R451" s="262" t="str">
        <f>"Fondo svalutazione 31/12/"&amp;Info!$B$3-1</f>
        <v>Fondo svalutazione 31/12/2019</v>
      </c>
      <c r="S451" s="262" t="s">
        <v>2972</v>
      </c>
      <c r="V451" s="211"/>
      <c r="W451" s="262" t="s">
        <v>2975</v>
      </c>
      <c r="X451" s="262" t="s">
        <v>2976</v>
      </c>
      <c r="Y451" s="262" t="s">
        <v>3124</v>
      </c>
      <c r="Z451" s="262" t="s">
        <v>3125</v>
      </c>
      <c r="AA451" s="211"/>
      <c r="AB451" s="211"/>
      <c r="AC451" s="211"/>
      <c r="AD451" s="211"/>
      <c r="AE451" s="211"/>
    </row>
    <row r="452" spans="2:31" s="204" customFormat="1" x14ac:dyDescent="0.25">
      <c r="B452" s="273" t="s">
        <v>1008</v>
      </c>
      <c r="C452" s="273" t="s">
        <v>1009</v>
      </c>
      <c r="D452" s="274" t="s">
        <v>3467</v>
      </c>
      <c r="E452" s="264"/>
      <c r="F452" s="264"/>
      <c r="G452" s="265"/>
      <c r="H452" s="266"/>
      <c r="I452" s="267"/>
      <c r="J452" s="267"/>
      <c r="K452" s="267"/>
      <c r="L452" s="268" t="s">
        <v>3468</v>
      </c>
      <c r="M452" s="263" t="s">
        <v>2962</v>
      </c>
      <c r="N452" s="269">
        <f>+R452</f>
        <v>0</v>
      </c>
      <c r="O452" s="270">
        <f>+R452+S452+X452-ABS(Y452)+ABS(Z452)+W452+Q452</f>
        <v>0</v>
      </c>
      <c r="P452" s="271">
        <f>+O452-N452</f>
        <v>0</v>
      </c>
      <c r="Q452" s="520"/>
      <c r="R452" s="354">
        <f>IF(ISERROR(VLOOKUP("SAN"&amp;$C452,ESTR_PREC_SP!$A$2:$G$2000,4,FALSE))=TRUE,0,VLOOKUP("SAN"&amp;$C452,ESTR_PREC_SP!$A$2:$G$2000,4,FALSE))</f>
        <v>0</v>
      </c>
      <c r="S452" s="521"/>
      <c r="V452" s="211"/>
      <c r="W452" s="520"/>
      <c r="X452" s="520"/>
      <c r="Y452" s="520"/>
      <c r="Z452" s="520"/>
      <c r="AA452" s="211"/>
      <c r="AB452" s="211"/>
      <c r="AC452" s="211"/>
      <c r="AD452" s="211"/>
      <c r="AE452" s="211"/>
    </row>
    <row r="453" spans="2:31" s="204" customFormat="1" x14ac:dyDescent="0.25">
      <c r="B453" s="273" t="s">
        <v>1011</v>
      </c>
      <c r="C453" s="273" t="s">
        <v>1012</v>
      </c>
      <c r="D453" s="274" t="s">
        <v>3469</v>
      </c>
      <c r="E453" s="264"/>
      <c r="F453" s="264"/>
      <c r="G453" s="265"/>
      <c r="H453" s="266"/>
      <c r="I453" s="267"/>
      <c r="J453" s="267"/>
      <c r="K453" s="267"/>
      <c r="L453" s="268" t="s">
        <v>3470</v>
      </c>
      <c r="M453" s="263" t="s">
        <v>2962</v>
      </c>
      <c r="N453" s="269">
        <f>+R453</f>
        <v>0</v>
      </c>
      <c r="O453" s="270">
        <f>+R453+S453+X453-ABS(Y453)+ABS(Z453)+W453+Q453</f>
        <v>0</v>
      </c>
      <c r="P453" s="271">
        <f>+O453-N453</f>
        <v>0</v>
      </c>
      <c r="Q453" s="520"/>
      <c r="R453" s="354">
        <f>IF(ISERROR(VLOOKUP("SAN"&amp;$C453,ESTR_PREC_SP!$A$2:$G$2000,4,FALSE))=TRUE,0,VLOOKUP("SAN"&amp;$C453,ESTR_PREC_SP!$A$2:$G$2000,4,FALSE))</f>
        <v>0</v>
      </c>
      <c r="S453" s="521"/>
      <c r="V453" s="211"/>
      <c r="W453" s="520"/>
      <c r="X453" s="520"/>
      <c r="Y453" s="520"/>
      <c r="Z453" s="520"/>
      <c r="AA453" s="211"/>
      <c r="AB453" s="211"/>
      <c r="AC453" s="211"/>
      <c r="AD453" s="211"/>
      <c r="AE453" s="211"/>
    </row>
    <row r="454" spans="2:31" s="204" customFormat="1" x14ac:dyDescent="0.25">
      <c r="B454" s="273" t="s">
        <v>1014</v>
      </c>
      <c r="C454" s="273" t="s">
        <v>1015</v>
      </c>
      <c r="D454" s="325" t="s">
        <v>3471</v>
      </c>
      <c r="E454" s="264"/>
      <c r="F454" s="264"/>
      <c r="G454" s="265"/>
      <c r="H454" s="266"/>
      <c r="I454" s="267"/>
      <c r="J454" s="267"/>
      <c r="K454" s="267"/>
      <c r="L454" s="268" t="s">
        <v>3472</v>
      </c>
      <c r="M454" s="263" t="s">
        <v>2962</v>
      </c>
      <c r="N454" s="269">
        <f>+R454</f>
        <v>0</v>
      </c>
      <c r="O454" s="270">
        <f>+R454+S454+X454-ABS(Y454)+ABS(Z454)+W454+Q454</f>
        <v>0</v>
      </c>
      <c r="P454" s="271">
        <f>+O454-N454</f>
        <v>0</v>
      </c>
      <c r="Q454" s="520"/>
      <c r="R454" s="354">
        <f>IF(ISERROR(VLOOKUP("SAN"&amp;$C454,ESTR_PREC_SP!$A$2:$G$2000,4,FALSE))=TRUE,0,VLOOKUP("SAN"&amp;$C454,ESTR_PREC_SP!$A$2:$G$2000,4,FALSE))</f>
        <v>0</v>
      </c>
      <c r="S454" s="521"/>
      <c r="V454" s="211"/>
      <c r="W454" s="520"/>
      <c r="X454" s="520"/>
      <c r="Y454" s="520"/>
      <c r="Z454" s="520"/>
      <c r="AA454" s="211"/>
      <c r="AB454" s="211"/>
      <c r="AC454" s="211"/>
      <c r="AD454" s="211"/>
      <c r="AE454" s="211"/>
    </row>
    <row r="455" spans="2:31" s="204" customFormat="1" x14ac:dyDescent="0.25">
      <c r="B455" s="273" t="s">
        <v>1017</v>
      </c>
      <c r="C455" s="273" t="s">
        <v>1018</v>
      </c>
      <c r="D455" s="325" t="s">
        <v>3473</v>
      </c>
      <c r="E455" s="274"/>
      <c r="F455" s="274"/>
      <c r="G455" s="283"/>
      <c r="H455" s="326"/>
      <c r="I455" s="281"/>
      <c r="J455" s="281"/>
      <c r="K455" s="281"/>
      <c r="L455" s="268" t="s">
        <v>3474</v>
      </c>
      <c r="M455" s="263" t="s">
        <v>2962</v>
      </c>
      <c r="N455" s="269">
        <f>+R455</f>
        <v>0</v>
      </c>
      <c r="O455" s="270">
        <f>+R455+S455+X455-ABS(Y455)+ABS(Z455)+W455+Q455</f>
        <v>0</v>
      </c>
      <c r="P455" s="271">
        <f>+O455-N455</f>
        <v>0</v>
      </c>
      <c r="Q455" s="520"/>
      <c r="R455" s="354">
        <f>IF(ISERROR(VLOOKUP("SAN"&amp;$C455,ESTR_PREC_SP!$A$2:$G$2000,4,FALSE))=TRUE,0,VLOOKUP("SAN"&amp;$C455,ESTR_PREC_SP!$A$2:$G$2000,4,FALSE))</f>
        <v>0</v>
      </c>
      <c r="S455" s="521"/>
      <c r="V455" s="211"/>
      <c r="W455" s="520"/>
      <c r="X455" s="520"/>
      <c r="Y455" s="520"/>
      <c r="Z455" s="520"/>
      <c r="AA455" s="211"/>
      <c r="AB455" s="211"/>
      <c r="AC455" s="211"/>
      <c r="AD455" s="211"/>
      <c r="AE455" s="211"/>
    </row>
    <row r="456" spans="2:31" s="204" customFormat="1" x14ac:dyDescent="0.25">
      <c r="B456" s="293"/>
      <c r="C456" s="293"/>
      <c r="D456" s="300"/>
      <c r="E456" s="226"/>
      <c r="F456" s="226"/>
      <c r="G456" s="226"/>
      <c r="H456" s="227"/>
      <c r="I456" s="226"/>
      <c r="J456" s="226"/>
      <c r="K456" s="226"/>
      <c r="L456" s="312"/>
      <c r="M456" s="211"/>
      <c r="N456" s="254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</row>
    <row r="457" spans="2:31" s="204" customFormat="1" x14ac:dyDescent="0.25">
      <c r="B457" s="292" t="s">
        <v>1020</v>
      </c>
      <c r="C457" s="292" t="s">
        <v>1021</v>
      </c>
      <c r="D457" s="247" t="s">
        <v>3475</v>
      </c>
      <c r="E457" s="247"/>
      <c r="F457" s="247"/>
      <c r="G457" s="247"/>
      <c r="H457" s="248"/>
      <c r="I457" s="247"/>
      <c r="J457" s="247"/>
      <c r="K457" s="249"/>
      <c r="L457" s="257" t="s">
        <v>1024</v>
      </c>
      <c r="M457" s="251" t="s">
        <v>2962</v>
      </c>
      <c r="N457" s="252">
        <f>SUM(N460:N461)</f>
        <v>0</v>
      </c>
      <c r="O457" s="252">
        <f>SUM(O460:O461)</f>
        <v>0</v>
      </c>
      <c r="P457" s="259">
        <f>+O457-N457</f>
        <v>0</v>
      </c>
      <c r="Q457" s="252">
        <f>SUM(Q460:Q461)</f>
        <v>0</v>
      </c>
      <c r="R457" s="252">
        <f>SUM(R460:R461)</f>
        <v>0</v>
      </c>
      <c r="S457" s="252">
        <f>SUM(S460:S461)</f>
        <v>0</v>
      </c>
      <c r="T457" s="211"/>
      <c r="U457" s="211"/>
      <c r="V457" s="211"/>
      <c r="W457" s="252">
        <f>SUM(W460:W461)</f>
        <v>0</v>
      </c>
      <c r="X457" s="252">
        <f>SUM(X460:X461)</f>
        <v>0</v>
      </c>
      <c r="Y457" s="252">
        <f>SUM(Y460:Y461)</f>
        <v>0</v>
      </c>
      <c r="Z457" s="252">
        <f>SUM(Z460:Z461)</f>
        <v>0</v>
      </c>
      <c r="AA457" s="211"/>
    </row>
    <row r="458" spans="2:31" s="204" customFormat="1" x14ac:dyDescent="0.25">
      <c r="B458" s="293"/>
      <c r="C458" s="293"/>
      <c r="D458" s="230"/>
      <c r="E458" s="230"/>
      <c r="F458" s="230"/>
      <c r="G458" s="230"/>
      <c r="H458" s="231"/>
      <c r="I458" s="230"/>
      <c r="J458" s="230"/>
      <c r="K458" s="230"/>
      <c r="L458" s="232"/>
      <c r="M458" s="211"/>
      <c r="N458" s="211"/>
      <c r="O458" s="211"/>
      <c r="P458" s="211"/>
      <c r="Q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2:31" s="204" customFormat="1" ht="51" x14ac:dyDescent="0.25">
      <c r="B459" s="294" t="s">
        <v>2968</v>
      </c>
      <c r="C459" s="294" t="s">
        <v>2969</v>
      </c>
      <c r="D459" s="206" t="s">
        <v>72</v>
      </c>
      <c r="E459" s="206"/>
      <c r="F459" s="206"/>
      <c r="G459" s="207"/>
      <c r="H459" s="207"/>
      <c r="I459" s="207"/>
      <c r="J459" s="207" t="s">
        <v>2957</v>
      </c>
      <c r="K459" s="206" t="s">
        <v>82</v>
      </c>
      <c r="L459" s="261" t="s">
        <v>2970</v>
      </c>
      <c r="M459" s="260"/>
      <c r="N459" s="256" t="str">
        <f>N$15</f>
        <v>Valore netto al 31/12/2019</v>
      </c>
      <c r="O459" s="256" t="str">
        <f>O$15</f>
        <v>Valore netto al 31/12/2020</v>
      </c>
      <c r="P459" s="256" t="str">
        <f>P$15</f>
        <v>Variazione</v>
      </c>
      <c r="Q459" s="262" t="s">
        <v>2971</v>
      </c>
      <c r="R459" s="262" t="str">
        <f>"Fondo svalutazione 31/12/"&amp;Info!$B$3-1</f>
        <v>Fondo svalutazione 31/12/2019</v>
      </c>
      <c r="S459" s="262" t="s">
        <v>2972</v>
      </c>
      <c r="V459" s="211"/>
      <c r="W459" s="262" t="s">
        <v>2975</v>
      </c>
      <c r="X459" s="262" t="s">
        <v>2976</v>
      </c>
      <c r="Y459" s="262" t="s">
        <v>3124</v>
      </c>
      <c r="Z459" s="262" t="s">
        <v>3125</v>
      </c>
      <c r="AA459" s="211"/>
      <c r="AB459" s="211"/>
      <c r="AC459" s="211"/>
      <c r="AD459" s="211"/>
      <c r="AE459" s="211"/>
    </row>
    <row r="460" spans="2:31" s="204" customFormat="1" x14ac:dyDescent="0.25">
      <c r="B460" s="273" t="s">
        <v>1025</v>
      </c>
      <c r="C460" s="273" t="s">
        <v>1026</v>
      </c>
      <c r="D460" s="274" t="s">
        <v>3476</v>
      </c>
      <c r="E460" s="264"/>
      <c r="F460" s="264"/>
      <c r="G460" s="265"/>
      <c r="H460" s="266"/>
      <c r="I460" s="267"/>
      <c r="J460" s="267"/>
      <c r="K460" s="267"/>
      <c r="L460" s="268" t="s">
        <v>3477</v>
      </c>
      <c r="M460" s="263" t="s">
        <v>2962</v>
      </c>
      <c r="N460" s="269">
        <f>+R460</f>
        <v>0</v>
      </c>
      <c r="O460" s="270">
        <f>+R460+S460+X460-ABS(Y460)+ABS(Z460)+W460+Q460</f>
        <v>0</v>
      </c>
      <c r="P460" s="271">
        <f>+O460-N460</f>
        <v>0</v>
      </c>
      <c r="Q460" s="520"/>
      <c r="R460" s="354">
        <f>IF(ISERROR(VLOOKUP("SAN"&amp;$C460,ESTR_PREC_SP!$A$2:$G$2000,4,FALSE))=TRUE,0,VLOOKUP("SAN"&amp;$C460,ESTR_PREC_SP!$A$2:$G$2000,4,FALSE))</f>
        <v>0</v>
      </c>
      <c r="S460" s="521"/>
      <c r="V460" s="211"/>
      <c r="W460" s="520"/>
      <c r="X460" s="520"/>
      <c r="Y460" s="520"/>
      <c r="Z460" s="520"/>
      <c r="AA460" s="211"/>
      <c r="AB460" s="211"/>
      <c r="AC460" s="211"/>
      <c r="AD460" s="211"/>
      <c r="AE460" s="211"/>
    </row>
    <row r="461" spans="2:31" s="204" customFormat="1" x14ac:dyDescent="0.25">
      <c r="B461" s="273" t="s">
        <v>1028</v>
      </c>
      <c r="C461" s="273" t="s">
        <v>1029</v>
      </c>
      <c r="D461" s="274" t="s">
        <v>3478</v>
      </c>
      <c r="E461" s="274"/>
      <c r="F461" s="274"/>
      <c r="G461" s="283"/>
      <c r="H461" s="326"/>
      <c r="I461" s="281"/>
      <c r="J461" s="281"/>
      <c r="K461" s="281"/>
      <c r="L461" s="295" t="s">
        <v>3479</v>
      </c>
      <c r="M461" s="263" t="s">
        <v>2962</v>
      </c>
      <c r="N461" s="269">
        <f>+R461</f>
        <v>0</v>
      </c>
      <c r="O461" s="270">
        <f>+R461+S461+X461-ABS(Y461)+ABS(Z461)+W461+Q461</f>
        <v>0</v>
      </c>
      <c r="P461" s="271">
        <f>+O461-N461</f>
        <v>0</v>
      </c>
      <c r="Q461" s="520"/>
      <c r="R461" s="354">
        <f>IF(ISERROR(VLOOKUP("SAN"&amp;$C461,ESTR_PREC_SP!$A$2:$G$2000,4,FALSE))=TRUE,0,VLOOKUP("SAN"&amp;$C461,ESTR_PREC_SP!$A$2:$G$2000,4,FALSE))</f>
        <v>0</v>
      </c>
      <c r="S461" s="521"/>
      <c r="V461" s="211"/>
      <c r="W461" s="520"/>
      <c r="X461" s="520"/>
      <c r="Y461" s="520"/>
      <c r="Z461" s="520"/>
      <c r="AA461" s="211"/>
      <c r="AB461" s="211"/>
      <c r="AC461" s="211"/>
      <c r="AD461" s="211"/>
      <c r="AE461" s="211"/>
    </row>
    <row r="462" spans="2:31" s="204" customFormat="1" x14ac:dyDescent="0.25">
      <c r="B462" s="293"/>
      <c r="C462" s="293"/>
      <c r="D462" s="300"/>
      <c r="E462" s="300"/>
      <c r="F462" s="300"/>
      <c r="G462" s="300"/>
      <c r="H462" s="327"/>
      <c r="I462" s="300"/>
      <c r="J462" s="300"/>
      <c r="K462" s="300"/>
      <c r="L462" s="312"/>
      <c r="M462" s="211"/>
      <c r="N462" s="254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</row>
    <row r="463" spans="2:31" s="204" customFormat="1" x14ac:dyDescent="0.25">
      <c r="B463" s="292" t="s">
        <v>1031</v>
      </c>
      <c r="C463" s="292" t="s">
        <v>1032</v>
      </c>
      <c r="D463" s="247" t="s">
        <v>3480</v>
      </c>
      <c r="E463" s="301"/>
      <c r="F463" s="301"/>
      <c r="G463" s="301"/>
      <c r="H463" s="328"/>
      <c r="I463" s="301"/>
      <c r="J463" s="301"/>
      <c r="K463" s="329"/>
      <c r="L463" s="257" t="s">
        <v>1035</v>
      </c>
      <c r="M463" s="251" t="s">
        <v>2962</v>
      </c>
      <c r="N463" s="252">
        <f>SUM(N466:N467)</f>
        <v>0</v>
      </c>
      <c r="O463" s="252">
        <f>SUM(O466:O467)</f>
        <v>0</v>
      </c>
      <c r="P463" s="259">
        <f>+O463-N463</f>
        <v>0</v>
      </c>
      <c r="Q463" s="252">
        <f>SUM(Q466:Q467)</f>
        <v>0</v>
      </c>
      <c r="R463" s="252">
        <f>SUM(R466:R467)</f>
        <v>0</v>
      </c>
      <c r="S463" s="252">
        <f>SUM(S466:S467)</f>
        <v>0</v>
      </c>
      <c r="T463" s="211"/>
      <c r="U463" s="211"/>
      <c r="V463" s="211"/>
      <c r="W463" s="252">
        <f>SUM(W466:W467)</f>
        <v>0</v>
      </c>
      <c r="X463" s="252">
        <f>SUM(X466:X467)</f>
        <v>0</v>
      </c>
      <c r="Y463" s="252">
        <f>SUM(Y466:Y467)</f>
        <v>0</v>
      </c>
      <c r="Z463" s="252">
        <f>SUM(Z466:Z467)</f>
        <v>0</v>
      </c>
      <c r="AA463" s="211"/>
    </row>
    <row r="464" spans="2:31" s="204" customFormat="1" x14ac:dyDescent="0.25">
      <c r="B464" s="293"/>
      <c r="C464" s="293"/>
      <c r="D464" s="230"/>
      <c r="E464" s="230"/>
      <c r="F464" s="230"/>
      <c r="G464" s="230"/>
      <c r="H464" s="231"/>
      <c r="I464" s="230"/>
      <c r="J464" s="230"/>
      <c r="K464" s="230"/>
      <c r="L464" s="232"/>
      <c r="M464" s="211"/>
      <c r="N464" s="211"/>
      <c r="O464" s="211"/>
      <c r="P464" s="211"/>
      <c r="Q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2:31" s="204" customFormat="1" ht="51" x14ac:dyDescent="0.25">
      <c r="B465" s="294" t="s">
        <v>2968</v>
      </c>
      <c r="C465" s="294" t="s">
        <v>2969</v>
      </c>
      <c r="D465" s="206" t="s">
        <v>72</v>
      </c>
      <c r="E465" s="206"/>
      <c r="F465" s="206"/>
      <c r="G465" s="207"/>
      <c r="H465" s="207"/>
      <c r="I465" s="207"/>
      <c r="J465" s="207" t="s">
        <v>2957</v>
      </c>
      <c r="K465" s="206" t="s">
        <v>82</v>
      </c>
      <c r="L465" s="261" t="s">
        <v>2970</v>
      </c>
      <c r="M465" s="260"/>
      <c r="N465" s="256" t="str">
        <f>N$15</f>
        <v>Valore netto al 31/12/2019</v>
      </c>
      <c r="O465" s="256" t="str">
        <f>O$15</f>
        <v>Valore netto al 31/12/2020</v>
      </c>
      <c r="P465" s="256" t="str">
        <f>P$15</f>
        <v>Variazione</v>
      </c>
      <c r="Q465" s="262" t="s">
        <v>2971</v>
      </c>
      <c r="R465" s="262" t="str">
        <f>"Fondo svalutazione 31/12/"&amp;Info!$B$3-1</f>
        <v>Fondo svalutazione 31/12/2019</v>
      </c>
      <c r="S465" s="262" t="s">
        <v>2972</v>
      </c>
      <c r="V465" s="211"/>
      <c r="W465" s="262" t="s">
        <v>2975</v>
      </c>
      <c r="X465" s="262" t="s">
        <v>2976</v>
      </c>
      <c r="Y465" s="262" t="s">
        <v>3124</v>
      </c>
      <c r="Z465" s="262" t="s">
        <v>3125</v>
      </c>
      <c r="AA465" s="211"/>
      <c r="AB465" s="211"/>
      <c r="AC465" s="211"/>
      <c r="AD465" s="211"/>
      <c r="AE465" s="211"/>
    </row>
    <row r="466" spans="2:31" s="204" customFormat="1" x14ac:dyDescent="0.25">
      <c r="B466" s="273" t="s">
        <v>1036</v>
      </c>
      <c r="C466" s="273" t="s">
        <v>1037</v>
      </c>
      <c r="D466" s="274" t="s">
        <v>3481</v>
      </c>
      <c r="E466" s="264"/>
      <c r="F466" s="264"/>
      <c r="G466" s="265"/>
      <c r="H466" s="266"/>
      <c r="I466" s="267"/>
      <c r="J466" s="267"/>
      <c r="K466" s="267"/>
      <c r="L466" s="268" t="s">
        <v>3482</v>
      </c>
      <c r="M466" s="263" t="s">
        <v>2962</v>
      </c>
      <c r="N466" s="269">
        <f>+R466</f>
        <v>0</v>
      </c>
      <c r="O466" s="270">
        <f>+R466+S466+X466-ABS(Y466)+ABS(Z466)+W466+Q466</f>
        <v>0</v>
      </c>
      <c r="P466" s="271">
        <f>+O466-N466</f>
        <v>0</v>
      </c>
      <c r="Q466" s="520"/>
      <c r="R466" s="354">
        <f>IF(ISERROR(VLOOKUP("SAN"&amp;$C466,ESTR_PREC_SP!$A$2:$G$2000,4,FALSE))=TRUE,0,VLOOKUP("SAN"&amp;$C466,ESTR_PREC_SP!$A$2:$G$2000,4,FALSE))</f>
        <v>0</v>
      </c>
      <c r="S466" s="521"/>
      <c r="V466" s="211"/>
      <c r="W466" s="520"/>
      <c r="X466" s="520"/>
      <c r="Y466" s="520"/>
      <c r="Z466" s="520"/>
      <c r="AA466" s="211"/>
      <c r="AB466" s="211"/>
      <c r="AC466" s="211"/>
      <c r="AD466" s="211"/>
      <c r="AE466" s="211"/>
    </row>
    <row r="467" spans="2:31" s="204" customFormat="1" x14ac:dyDescent="0.25">
      <c r="B467" s="273" t="s">
        <v>1039</v>
      </c>
      <c r="C467" s="273" t="s">
        <v>1040</v>
      </c>
      <c r="D467" s="274" t="s">
        <v>3483</v>
      </c>
      <c r="E467" s="274"/>
      <c r="F467" s="274"/>
      <c r="G467" s="283"/>
      <c r="H467" s="326"/>
      <c r="I467" s="281"/>
      <c r="J467" s="281"/>
      <c r="K467" s="281"/>
      <c r="L467" s="295" t="s">
        <v>3484</v>
      </c>
      <c r="M467" s="263" t="s">
        <v>2962</v>
      </c>
      <c r="N467" s="269">
        <f>+R467</f>
        <v>0</v>
      </c>
      <c r="O467" s="270">
        <f>+R467+S467+X467-ABS(Y467)+ABS(Z467)+W467+Q467</f>
        <v>0</v>
      </c>
      <c r="P467" s="271">
        <f>+O467-N467</f>
        <v>0</v>
      </c>
      <c r="Q467" s="520"/>
      <c r="R467" s="354">
        <f>IF(ISERROR(VLOOKUP("SAN"&amp;$C467,ESTR_PREC_SP!$A$2:$G$2000,4,FALSE))=TRUE,0,VLOOKUP("SAN"&amp;$C467,ESTR_PREC_SP!$A$2:$G$2000,4,FALSE))</f>
        <v>0</v>
      </c>
      <c r="S467" s="521"/>
      <c r="V467" s="211"/>
      <c r="W467" s="520"/>
      <c r="X467" s="520"/>
      <c r="Y467" s="520"/>
      <c r="Z467" s="520"/>
      <c r="AA467" s="211"/>
      <c r="AB467" s="211"/>
      <c r="AC467" s="211"/>
      <c r="AD467" s="211"/>
      <c r="AE467" s="211"/>
    </row>
    <row r="468" spans="2:31" s="204" customFormat="1" x14ac:dyDescent="0.25">
      <c r="B468" s="293"/>
      <c r="C468" s="293"/>
      <c r="D468" s="300"/>
      <c r="E468" s="300"/>
      <c r="F468" s="300"/>
      <c r="G468" s="300"/>
      <c r="H468" s="327"/>
      <c r="I468" s="300"/>
      <c r="J468" s="300"/>
      <c r="K468" s="300"/>
      <c r="L468" s="312"/>
      <c r="M468" s="211"/>
      <c r="N468" s="254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</row>
    <row r="469" spans="2:31" s="204" customFormat="1" x14ac:dyDescent="0.25">
      <c r="B469" s="292" t="s">
        <v>1042</v>
      </c>
      <c r="C469" s="292" t="s">
        <v>1043</v>
      </c>
      <c r="D469" s="247" t="s">
        <v>3485</v>
      </c>
      <c r="E469" s="301"/>
      <c r="F469" s="301"/>
      <c r="G469" s="301"/>
      <c r="H469" s="328"/>
      <c r="I469" s="301"/>
      <c r="J469" s="301"/>
      <c r="K469" s="329"/>
      <c r="L469" s="257" t="s">
        <v>1046</v>
      </c>
      <c r="M469" s="251" t="s">
        <v>2962</v>
      </c>
      <c r="N469" s="252">
        <f>SUM(N472:N472)</f>
        <v>0</v>
      </c>
      <c r="O469" s="252">
        <f>SUM(O472:O472)</f>
        <v>0</v>
      </c>
      <c r="P469" s="259">
        <f>+O469-N469</f>
        <v>0</v>
      </c>
      <c r="Q469" s="252">
        <f>SUM(Q472:Q472)</f>
        <v>0</v>
      </c>
      <c r="R469" s="252">
        <f>SUM(R472:R472)</f>
        <v>0</v>
      </c>
      <c r="S469" s="252">
        <f>SUM(S472:S473)</f>
        <v>0</v>
      </c>
      <c r="T469" s="211"/>
      <c r="U469" s="211"/>
      <c r="V469" s="211"/>
      <c r="W469" s="252">
        <f>SUM(W472:W472)</f>
        <v>0</v>
      </c>
      <c r="X469" s="252">
        <f>SUM(X472:X472)</f>
        <v>0</v>
      </c>
      <c r="Y469" s="252">
        <f>SUM(Y472:Y472)</f>
        <v>0</v>
      </c>
      <c r="Z469" s="252">
        <f>SUM(Z472:Z472)</f>
        <v>0</v>
      </c>
      <c r="AA469" s="211"/>
      <c r="AB469" s="211"/>
      <c r="AC469" s="211"/>
      <c r="AD469" s="211"/>
      <c r="AE469" s="211"/>
    </row>
    <row r="470" spans="2:31" s="204" customFormat="1" x14ac:dyDescent="0.25">
      <c r="B470" s="293"/>
      <c r="C470" s="293"/>
      <c r="D470" s="230"/>
      <c r="E470" s="230"/>
      <c r="F470" s="230"/>
      <c r="G470" s="230"/>
      <c r="H470" s="231"/>
      <c r="I470" s="230"/>
      <c r="J470" s="230"/>
      <c r="K470" s="230"/>
      <c r="L470" s="232"/>
      <c r="M470" s="211"/>
      <c r="N470" s="211"/>
      <c r="O470" s="211"/>
      <c r="P470" s="211"/>
      <c r="Q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</row>
    <row r="471" spans="2:31" s="204" customFormat="1" ht="51" x14ac:dyDescent="0.25">
      <c r="B471" s="294" t="s">
        <v>2968</v>
      </c>
      <c r="C471" s="294" t="s">
        <v>2969</v>
      </c>
      <c r="D471" s="206" t="s">
        <v>72</v>
      </c>
      <c r="E471" s="206"/>
      <c r="F471" s="206"/>
      <c r="G471" s="207"/>
      <c r="H471" s="207"/>
      <c r="I471" s="207"/>
      <c r="J471" s="207" t="s">
        <v>2957</v>
      </c>
      <c r="K471" s="206" t="s">
        <v>82</v>
      </c>
      <c r="L471" s="261" t="s">
        <v>2970</v>
      </c>
      <c r="M471" s="260"/>
      <c r="N471" s="256" t="str">
        <f>N$15</f>
        <v>Valore netto al 31/12/2019</v>
      </c>
      <c r="O471" s="256" t="str">
        <f>O$15</f>
        <v>Valore netto al 31/12/2020</v>
      </c>
      <c r="P471" s="256" t="str">
        <f>P$15</f>
        <v>Variazione</v>
      </c>
      <c r="Q471" s="262" t="s">
        <v>2971</v>
      </c>
      <c r="R471" s="262" t="str">
        <f>"Fondo svalutazione 31/12/"&amp;Info!$B$3-1</f>
        <v>Fondo svalutazione 31/12/2019</v>
      </c>
      <c r="S471" s="262" t="s">
        <v>2972</v>
      </c>
      <c r="V471" s="211"/>
      <c r="W471" s="262" t="s">
        <v>2975</v>
      </c>
      <c r="X471" s="262" t="s">
        <v>2976</v>
      </c>
      <c r="Y471" s="262" t="s">
        <v>3124</v>
      </c>
      <c r="Z471" s="262" t="s">
        <v>3125</v>
      </c>
      <c r="AA471" s="211"/>
      <c r="AB471" s="211"/>
      <c r="AC471" s="211"/>
      <c r="AD471" s="211"/>
      <c r="AE471" s="211"/>
    </row>
    <row r="472" spans="2:31" s="204" customFormat="1" x14ac:dyDescent="0.25">
      <c r="B472" s="273" t="s">
        <v>1047</v>
      </c>
      <c r="C472" s="273" t="s">
        <v>1048</v>
      </c>
      <c r="D472" s="274" t="s">
        <v>3486</v>
      </c>
      <c r="E472" s="264"/>
      <c r="F472" s="264"/>
      <c r="G472" s="265"/>
      <c r="H472" s="266"/>
      <c r="I472" s="267"/>
      <c r="J472" s="267"/>
      <c r="K472" s="267"/>
      <c r="L472" s="268" t="s">
        <v>3487</v>
      </c>
      <c r="M472" s="263" t="s">
        <v>2962</v>
      </c>
      <c r="N472" s="269">
        <f>+R472</f>
        <v>0</v>
      </c>
      <c r="O472" s="270">
        <f>+R472+S472+X472-ABS(Y472)+ABS(Z472)+W472+Q472</f>
        <v>0</v>
      </c>
      <c r="P472" s="271">
        <f>+O472-N472</f>
        <v>0</v>
      </c>
      <c r="Q472" s="520"/>
      <c r="R472" s="354">
        <f>IF(ISERROR(VLOOKUP("SAN"&amp;$C472,ESTR_PREC_SP!$A$2:$G$2000,4,FALSE))=TRUE,0,VLOOKUP("SAN"&amp;$C472,ESTR_PREC_SP!$A$2:$G$2000,4,FALSE))</f>
        <v>0</v>
      </c>
      <c r="S472" s="521"/>
      <c r="V472" s="211"/>
      <c r="W472" s="520"/>
      <c r="X472" s="520"/>
      <c r="Y472" s="520"/>
      <c r="Z472" s="520"/>
      <c r="AA472" s="211"/>
      <c r="AB472" s="211"/>
      <c r="AC472" s="211"/>
      <c r="AD472" s="211"/>
      <c r="AE472" s="211"/>
    </row>
    <row r="473" spans="2:31" s="204" customFormat="1" x14ac:dyDescent="0.25">
      <c r="B473" s="293"/>
      <c r="C473" s="293"/>
      <c r="D473" s="300"/>
      <c r="E473" s="300"/>
      <c r="F473" s="300"/>
      <c r="G473" s="300"/>
      <c r="H473" s="327"/>
      <c r="I473" s="300"/>
      <c r="J473" s="300"/>
      <c r="K473" s="300"/>
      <c r="L473" s="312"/>
      <c r="M473" s="211"/>
      <c r="N473" s="254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</row>
    <row r="474" spans="2:31" s="204" customFormat="1" x14ac:dyDescent="0.25">
      <c r="B474" s="292" t="s">
        <v>1050</v>
      </c>
      <c r="C474" s="292" t="s">
        <v>1051</v>
      </c>
      <c r="D474" s="247" t="s">
        <v>3488</v>
      </c>
      <c r="E474" s="301"/>
      <c r="F474" s="301"/>
      <c r="G474" s="301"/>
      <c r="H474" s="328"/>
      <c r="I474" s="301"/>
      <c r="J474" s="301"/>
      <c r="K474" s="329"/>
      <c r="L474" s="257" t="s">
        <v>1054</v>
      </c>
      <c r="M474" s="251" t="s">
        <v>2962</v>
      </c>
      <c r="N474" s="252">
        <f>SUM(N477:N478)</f>
        <v>0</v>
      </c>
      <c r="O474" s="252">
        <f>SUM(O477:O478)</f>
        <v>0</v>
      </c>
      <c r="P474" s="259">
        <f>+O474-N474</f>
        <v>0</v>
      </c>
      <c r="Q474" s="252">
        <f>SUM(Q477:Q478)</f>
        <v>0</v>
      </c>
      <c r="R474" s="252">
        <f>SUM(R477:R478)</f>
        <v>0</v>
      </c>
      <c r="S474" s="252">
        <f>SUM(S477:S478)</f>
        <v>0</v>
      </c>
      <c r="T474" s="211"/>
      <c r="U474" s="211"/>
      <c r="V474" s="211"/>
      <c r="W474" s="252">
        <f>SUM(W477:W478)</f>
        <v>0</v>
      </c>
      <c r="X474" s="252">
        <f>SUM(X477:X478)</f>
        <v>0</v>
      </c>
      <c r="Y474" s="252">
        <f>SUM(Y477:Y478)</f>
        <v>0</v>
      </c>
      <c r="Z474" s="252">
        <f>SUM(Z477:Z478)</f>
        <v>0</v>
      </c>
      <c r="AA474" s="211"/>
      <c r="AB474" s="211"/>
      <c r="AC474" s="211"/>
      <c r="AD474" s="211"/>
      <c r="AE474" s="211"/>
    </row>
    <row r="475" spans="2:31" s="204" customFormat="1" x14ac:dyDescent="0.25">
      <c r="B475" s="293"/>
      <c r="C475" s="293"/>
      <c r="D475" s="230"/>
      <c r="E475" s="230"/>
      <c r="F475" s="230"/>
      <c r="G475" s="230"/>
      <c r="H475" s="231"/>
      <c r="I475" s="230"/>
      <c r="J475" s="230"/>
      <c r="K475" s="230"/>
      <c r="L475" s="232"/>
      <c r="M475" s="211"/>
      <c r="N475" s="211"/>
      <c r="O475" s="211"/>
      <c r="P475" s="211"/>
      <c r="Q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</row>
    <row r="476" spans="2:31" s="204" customFormat="1" ht="51" x14ac:dyDescent="0.25">
      <c r="B476" s="294" t="s">
        <v>2968</v>
      </c>
      <c r="C476" s="294" t="s">
        <v>2969</v>
      </c>
      <c r="D476" s="206" t="s">
        <v>72</v>
      </c>
      <c r="E476" s="206"/>
      <c r="F476" s="206"/>
      <c r="G476" s="207"/>
      <c r="H476" s="207"/>
      <c r="I476" s="207"/>
      <c r="J476" s="207" t="s">
        <v>2957</v>
      </c>
      <c r="K476" s="206" t="s">
        <v>82</v>
      </c>
      <c r="L476" s="261" t="s">
        <v>2970</v>
      </c>
      <c r="M476" s="260"/>
      <c r="N476" s="256" t="str">
        <f>N$15</f>
        <v>Valore netto al 31/12/2019</v>
      </c>
      <c r="O476" s="256" t="str">
        <f>O$15</f>
        <v>Valore netto al 31/12/2020</v>
      </c>
      <c r="P476" s="256" t="str">
        <f>P$15</f>
        <v>Variazione</v>
      </c>
      <c r="Q476" s="262" t="s">
        <v>2971</v>
      </c>
      <c r="R476" s="262" t="str">
        <f>"Fondo svalutazione 31/12/"&amp;Info!$B$3-1</f>
        <v>Fondo svalutazione 31/12/2019</v>
      </c>
      <c r="S476" s="262" t="s">
        <v>2972</v>
      </c>
      <c r="V476" s="211"/>
      <c r="W476" s="262" t="s">
        <v>2975</v>
      </c>
      <c r="X476" s="262" t="s">
        <v>2976</v>
      </c>
      <c r="Y476" s="262" t="s">
        <v>3124</v>
      </c>
      <c r="Z476" s="262" t="s">
        <v>3125</v>
      </c>
      <c r="AA476" s="211"/>
      <c r="AB476" s="211"/>
      <c r="AC476" s="211"/>
      <c r="AD476" s="211"/>
      <c r="AE476" s="211"/>
    </row>
    <row r="477" spans="2:31" s="204" customFormat="1" x14ac:dyDescent="0.25">
      <c r="B477" s="273" t="s">
        <v>1055</v>
      </c>
      <c r="C477" s="273" t="s">
        <v>1056</v>
      </c>
      <c r="D477" s="274" t="s">
        <v>3489</v>
      </c>
      <c r="E477" s="264"/>
      <c r="F477" s="264"/>
      <c r="G477" s="265"/>
      <c r="H477" s="266"/>
      <c r="I477" s="267"/>
      <c r="J477" s="267"/>
      <c r="K477" s="267"/>
      <c r="L477" s="268" t="s">
        <v>3490</v>
      </c>
      <c r="M477" s="263" t="s">
        <v>2962</v>
      </c>
      <c r="N477" s="269">
        <f>+R477</f>
        <v>0</v>
      </c>
      <c r="O477" s="270">
        <f>+R477+S477+X477-ABS(Y477)+ABS(Z477)+W477+Q477</f>
        <v>0</v>
      </c>
      <c r="P477" s="271">
        <f>+O477-N477</f>
        <v>0</v>
      </c>
      <c r="Q477" s="520"/>
      <c r="R477" s="354">
        <f>IF(ISERROR(VLOOKUP("SAN"&amp;$C477,ESTR_PREC_SP!$A$2:$G$2000,4,FALSE))=TRUE,0,VLOOKUP("SAN"&amp;$C477,ESTR_PREC_SP!$A$2:$G$2000,4,FALSE))</f>
        <v>0</v>
      </c>
      <c r="S477" s="521"/>
      <c r="V477" s="211"/>
      <c r="W477" s="520"/>
      <c r="X477" s="520"/>
      <c r="Y477" s="520"/>
      <c r="Z477" s="520"/>
      <c r="AA477" s="211"/>
      <c r="AB477" s="211"/>
      <c r="AC477" s="211"/>
      <c r="AD477" s="211"/>
      <c r="AE477" s="211"/>
    </row>
    <row r="478" spans="2:31" s="204" customFormat="1" x14ac:dyDescent="0.25">
      <c r="B478" s="273" t="s">
        <v>1058</v>
      </c>
      <c r="C478" s="273" t="s">
        <v>1059</v>
      </c>
      <c r="D478" s="274" t="s">
        <v>3491</v>
      </c>
      <c r="E478" s="274"/>
      <c r="F478" s="274"/>
      <c r="G478" s="283"/>
      <c r="H478" s="326"/>
      <c r="I478" s="281"/>
      <c r="J478" s="281"/>
      <c r="K478" s="281"/>
      <c r="L478" s="295" t="s">
        <v>3492</v>
      </c>
      <c r="M478" s="263" t="s">
        <v>2962</v>
      </c>
      <c r="N478" s="269">
        <f>+R478</f>
        <v>0</v>
      </c>
      <c r="O478" s="270">
        <f>+R478+S478+X478-ABS(Y478)+ABS(Z478)+W478+Q478</f>
        <v>0</v>
      </c>
      <c r="P478" s="271">
        <f>+O478-N478</f>
        <v>0</v>
      </c>
      <c r="Q478" s="520"/>
      <c r="R478" s="354">
        <f>IF(ISERROR(VLOOKUP("SAN"&amp;$C478,ESTR_PREC_SP!$A$2:$G$2000,4,FALSE))=TRUE,0,VLOOKUP("SAN"&amp;$C478,ESTR_PREC_SP!$A$2:$G$2000,4,FALSE))</f>
        <v>0</v>
      </c>
      <c r="S478" s="521"/>
      <c r="V478" s="211"/>
      <c r="W478" s="520"/>
      <c r="X478" s="520"/>
      <c r="Y478" s="520"/>
      <c r="Z478" s="520"/>
      <c r="AA478" s="211"/>
      <c r="AB478" s="211"/>
      <c r="AC478" s="211"/>
      <c r="AD478" s="211"/>
      <c r="AE478" s="211"/>
    </row>
    <row r="479" spans="2:31" s="204" customFormat="1" x14ac:dyDescent="0.25">
      <c r="B479" s="293"/>
      <c r="C479" s="293"/>
      <c r="D479" s="226"/>
      <c r="E479" s="226"/>
      <c r="F479" s="226"/>
      <c r="G479" s="226"/>
      <c r="H479" s="227"/>
      <c r="I479" s="226"/>
      <c r="J479" s="226"/>
      <c r="K479" s="226"/>
      <c r="L479" s="315"/>
      <c r="M479" s="211"/>
      <c r="N479" s="254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</row>
    <row r="480" spans="2:31" s="204" customFormat="1" x14ac:dyDescent="0.25">
      <c r="B480" s="293"/>
      <c r="C480" s="293"/>
      <c r="D480" s="230"/>
      <c r="E480" s="230"/>
      <c r="F480" s="230"/>
      <c r="G480" s="230"/>
      <c r="H480" s="231"/>
      <c r="I480" s="230"/>
      <c r="J480" s="230"/>
      <c r="K480" s="230"/>
      <c r="L480" s="232"/>
      <c r="M480" s="211"/>
      <c r="N480" s="254"/>
      <c r="O480" s="211"/>
      <c r="P480" s="211"/>
      <c r="Q480" s="211"/>
      <c r="R480" s="211"/>
      <c r="S480" s="211"/>
      <c r="T480" s="211"/>
      <c r="U480" s="211"/>
      <c r="V480" s="211"/>
      <c r="W480" s="285"/>
      <c r="X480" s="285"/>
      <c r="Y480" s="211"/>
      <c r="Z480" s="211"/>
      <c r="AA480" s="211"/>
      <c r="AB480" s="211"/>
      <c r="AC480" s="211"/>
      <c r="AD480" s="211"/>
      <c r="AE480" s="211"/>
    </row>
    <row r="481" spans="2:38" s="204" customFormat="1" ht="25.5" x14ac:dyDescent="0.25">
      <c r="B481" s="293"/>
      <c r="C481" s="293"/>
      <c r="D481" s="230"/>
      <c r="E481" s="230"/>
      <c r="F481" s="230"/>
      <c r="G481" s="230"/>
      <c r="H481" s="231"/>
      <c r="I481" s="230"/>
      <c r="J481" s="230"/>
      <c r="K481" s="230"/>
      <c r="L481" s="243"/>
      <c r="M481" s="244"/>
      <c r="N481" s="330" t="str">
        <f>N$15</f>
        <v>Valore netto al 31/12/2019</v>
      </c>
      <c r="O481" s="331" t="str">
        <f>O$15</f>
        <v>Valore netto al 31/12/2020</v>
      </c>
      <c r="P481" s="330" t="str">
        <f>P$15</f>
        <v>Variazione</v>
      </c>
      <c r="Q481" s="211"/>
      <c r="R481" s="211"/>
      <c r="S481" s="211"/>
      <c r="T481" s="211"/>
      <c r="U481" s="211"/>
      <c r="V481" s="211"/>
      <c r="W481" s="285"/>
      <c r="X481" s="285"/>
      <c r="Y481" s="211"/>
      <c r="Z481" s="211"/>
      <c r="AA481" s="211"/>
    </row>
    <row r="482" spans="2:38" s="204" customFormat="1" x14ac:dyDescent="0.25">
      <c r="B482" s="292" t="s">
        <v>1061</v>
      </c>
      <c r="C482" s="292" t="s">
        <v>1062</v>
      </c>
      <c r="D482" s="247" t="s">
        <v>3493</v>
      </c>
      <c r="E482" s="247"/>
      <c r="F482" s="247"/>
      <c r="G482" s="247"/>
      <c r="H482" s="248"/>
      <c r="I482" s="247"/>
      <c r="J482" s="247"/>
      <c r="K482" s="249"/>
      <c r="L482" s="250" t="s">
        <v>1063</v>
      </c>
      <c r="M482" s="251" t="s">
        <v>2962</v>
      </c>
      <c r="N482" s="252">
        <f>+N484+N493</f>
        <v>0</v>
      </c>
      <c r="O482" s="252">
        <f>+O484+O493</f>
        <v>0</v>
      </c>
      <c r="P482" s="253">
        <f>+O482-N482</f>
        <v>0</v>
      </c>
      <c r="Q482" s="211"/>
      <c r="R482" s="211"/>
      <c r="S482" s="211"/>
      <c r="T482" s="211"/>
      <c r="U482" s="211"/>
      <c r="V482" s="211"/>
      <c r="W482" s="285"/>
      <c r="X482" s="285"/>
      <c r="Y482" s="211"/>
      <c r="Z482" s="211"/>
      <c r="AA482" s="211"/>
    </row>
    <row r="483" spans="2:38" s="204" customFormat="1" x14ac:dyDescent="0.25">
      <c r="B483" s="293"/>
      <c r="C483" s="293"/>
      <c r="D483" s="230"/>
      <c r="E483" s="230"/>
      <c r="F483" s="230"/>
      <c r="G483" s="230"/>
      <c r="H483" s="231"/>
      <c r="I483" s="230"/>
      <c r="J483" s="230"/>
      <c r="K483" s="230"/>
      <c r="L483" s="232"/>
      <c r="M483" s="211"/>
      <c r="N483" s="254"/>
      <c r="O483" s="211"/>
      <c r="P483" s="211"/>
      <c r="Q483" s="211"/>
      <c r="R483" s="211"/>
      <c r="S483" s="211"/>
      <c r="T483" s="211"/>
      <c r="U483" s="211"/>
      <c r="V483" s="211"/>
      <c r="W483" s="285"/>
      <c r="X483" s="285"/>
      <c r="Y483" s="211"/>
      <c r="Z483" s="211"/>
      <c r="AA483" s="211"/>
    </row>
    <row r="484" spans="2:38" s="204" customFormat="1" x14ac:dyDescent="0.25">
      <c r="B484" s="292" t="s">
        <v>1064</v>
      </c>
      <c r="C484" s="292" t="s">
        <v>1065</v>
      </c>
      <c r="D484" s="247" t="s">
        <v>3494</v>
      </c>
      <c r="E484" s="247"/>
      <c r="F484" s="247"/>
      <c r="G484" s="247"/>
      <c r="H484" s="248"/>
      <c r="I484" s="247"/>
      <c r="J484" s="247"/>
      <c r="K484" s="249"/>
      <c r="L484" s="276" t="s">
        <v>1067</v>
      </c>
      <c r="M484" s="251" t="s">
        <v>2962</v>
      </c>
      <c r="N484" s="252">
        <f>SUM(N488:N491)</f>
        <v>0</v>
      </c>
      <c r="O484" s="252">
        <f>SUM(O488:O491)</f>
        <v>0</v>
      </c>
      <c r="P484" s="259">
        <f>+O484-N484</f>
        <v>0</v>
      </c>
      <c r="Q484" s="252">
        <f t="shared" ref="Q484:AL484" si="63">SUM(Q488:Q491)</f>
        <v>0</v>
      </c>
      <c r="R484" s="252">
        <f t="shared" si="63"/>
        <v>0</v>
      </c>
      <c r="S484" s="252">
        <f t="shared" si="63"/>
        <v>0</v>
      </c>
      <c r="T484" s="252">
        <f t="shared" si="63"/>
        <v>0</v>
      </c>
      <c r="U484" s="252">
        <f t="shared" si="63"/>
        <v>0</v>
      </c>
      <c r="V484" s="252">
        <f t="shared" si="63"/>
        <v>0</v>
      </c>
      <c r="W484" s="252">
        <f t="shared" si="63"/>
        <v>0</v>
      </c>
      <c r="X484" s="252">
        <f t="shared" si="63"/>
        <v>0</v>
      </c>
      <c r="Y484" s="252">
        <f t="shared" si="63"/>
        <v>0</v>
      </c>
      <c r="Z484" s="252">
        <f t="shared" si="63"/>
        <v>0</v>
      </c>
      <c r="AA484" s="252">
        <f t="shared" si="63"/>
        <v>0</v>
      </c>
      <c r="AB484" s="252">
        <f t="shared" si="63"/>
        <v>0</v>
      </c>
      <c r="AC484" s="252">
        <f t="shared" si="63"/>
        <v>0</v>
      </c>
      <c r="AD484" s="252">
        <f t="shared" si="63"/>
        <v>0</v>
      </c>
      <c r="AE484" s="252">
        <f t="shared" si="63"/>
        <v>0</v>
      </c>
      <c r="AF484" s="252">
        <f t="shared" si="63"/>
        <v>0</v>
      </c>
      <c r="AG484" s="252">
        <f t="shared" si="63"/>
        <v>0</v>
      </c>
      <c r="AH484" s="252">
        <f t="shared" si="63"/>
        <v>0</v>
      </c>
      <c r="AI484" s="252">
        <f t="shared" si="63"/>
        <v>0</v>
      </c>
      <c r="AJ484" s="252">
        <f t="shared" si="63"/>
        <v>0</v>
      </c>
      <c r="AK484" s="252">
        <f t="shared" si="63"/>
        <v>0</v>
      </c>
      <c r="AL484" s="252">
        <f t="shared" si="63"/>
        <v>0</v>
      </c>
    </row>
    <row r="485" spans="2:38" s="204" customFormat="1" x14ac:dyDescent="0.25">
      <c r="B485" s="298"/>
      <c r="C485" s="298"/>
      <c r="D485" s="226"/>
      <c r="E485" s="226"/>
      <c r="F485" s="226"/>
      <c r="G485" s="226"/>
      <c r="H485" s="227"/>
      <c r="I485" s="226"/>
      <c r="J485" s="226"/>
      <c r="K485" s="226"/>
      <c r="L485" s="241"/>
      <c r="M485" s="278"/>
      <c r="N485" s="279"/>
      <c r="O485" s="279"/>
      <c r="P485" s="297"/>
      <c r="Q485" s="211"/>
      <c r="R485" s="279"/>
      <c r="S485" s="279"/>
      <c r="T485" s="279"/>
      <c r="U485" s="279"/>
      <c r="V485" s="279"/>
      <c r="W485" s="279"/>
      <c r="X485" s="279"/>
      <c r="Y485" s="279"/>
      <c r="Z485" s="279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</row>
    <row r="486" spans="2:38" s="204" customFormat="1" ht="27.75" customHeight="1" x14ac:dyDescent="0.25">
      <c r="B486" s="293"/>
      <c r="C486" s="293"/>
      <c r="D486" s="230"/>
      <c r="E486" s="230"/>
      <c r="F486" s="230"/>
      <c r="G486" s="230"/>
      <c r="H486" s="231"/>
      <c r="I486" s="230"/>
      <c r="J486" s="230"/>
      <c r="K486" s="230"/>
      <c r="L486" s="332"/>
      <c r="M486" s="333"/>
      <c r="N486" s="334"/>
      <c r="O486" s="211"/>
      <c r="P486" s="211"/>
      <c r="Q486" s="211"/>
      <c r="R486" s="211"/>
      <c r="S486" s="910" t="s">
        <v>3495</v>
      </c>
      <c r="T486" s="910"/>
      <c r="U486" s="910"/>
      <c r="V486" s="525" t="s">
        <v>3496</v>
      </c>
      <c r="W486" s="336"/>
      <c r="X486" s="525" t="s">
        <v>3496</v>
      </c>
      <c r="Z486" s="211"/>
      <c r="AA486" s="285"/>
      <c r="AB486" s="211"/>
      <c r="AC486" s="211"/>
      <c r="AD486" s="211"/>
      <c r="AE486" s="915" t="str">
        <f>"VALORE NOMINALE DEI CREDITI AL 31/12/"&amp;Info!C3&amp;" PER ANNO DI FORMAZIONE"</f>
        <v>VALORE NOMINALE DEI CREDITI AL 31/12/ PER ANNO DI FORMAZIONE</v>
      </c>
      <c r="AF486" s="915"/>
      <c r="AG486" s="915"/>
      <c r="AH486" s="915"/>
      <c r="AI486" s="915"/>
      <c r="AJ486" s="916" t="str">
        <f>"VALORE NETTO DEI CREDITI AL 31/12/"&amp;Info!B3&amp;" PER SCADENZA"</f>
        <v>VALORE NETTO DEI CREDITI AL 31/12/2020 PER SCADENZA</v>
      </c>
      <c r="AK486" s="916"/>
      <c r="AL486" s="916"/>
    </row>
    <row r="487" spans="2:38" s="204" customFormat="1" ht="51" x14ac:dyDescent="0.25">
      <c r="B487" s="294" t="s">
        <v>2968</v>
      </c>
      <c r="C487" s="294" t="s">
        <v>2969</v>
      </c>
      <c r="D487" s="206" t="s">
        <v>72</v>
      </c>
      <c r="E487" s="206"/>
      <c r="F487" s="206"/>
      <c r="G487" s="207"/>
      <c r="H487" s="207"/>
      <c r="I487" s="207"/>
      <c r="J487" s="207" t="s">
        <v>2957</v>
      </c>
      <c r="K487" s="206" t="s">
        <v>82</v>
      </c>
      <c r="L487" s="261" t="s">
        <v>2970</v>
      </c>
      <c r="M487" s="260"/>
      <c r="N487" s="256" t="str">
        <f>N$15</f>
        <v>Valore netto al 31/12/2019</v>
      </c>
      <c r="O487" s="256" t="str">
        <f>O$15</f>
        <v>Valore netto al 31/12/2020</v>
      </c>
      <c r="P487" s="256" t="str">
        <f>P$15</f>
        <v>Variazione</v>
      </c>
      <c r="Q487" s="262" t="s">
        <v>2971</v>
      </c>
      <c r="R487" s="262" t="str">
        <f>"Valore iniziale LORDO al 31/12/"&amp;Info!B3-1</f>
        <v>Valore iniziale LORDO al 31/12/2019</v>
      </c>
      <c r="S487" s="337" t="s">
        <v>2972</v>
      </c>
      <c r="T487" s="337" t="s">
        <v>3497</v>
      </c>
      <c r="U487" s="337" t="s">
        <v>3495</v>
      </c>
      <c r="V487" s="338" t="s">
        <v>3498</v>
      </c>
      <c r="W487" s="262" t="s">
        <v>2975</v>
      </c>
      <c r="X487" s="338" t="s">
        <v>3499</v>
      </c>
      <c r="Y487" s="262" t="str">
        <f>"Valore finale LORDO al 31/12/"&amp;Info!B3</f>
        <v>Valore finale LORDO al 31/12/2020</v>
      </c>
      <c r="Z487" s="262" t="str">
        <f>"Fondo svalutazione crediti al 31/12/"&amp;Info!B3-1</f>
        <v>Fondo svalutazione crediti al 31/12/2019</v>
      </c>
      <c r="AA487" s="262" t="s">
        <v>3500</v>
      </c>
      <c r="AB487" s="262" t="s">
        <v>3501</v>
      </c>
      <c r="AC487" s="262" t="s">
        <v>3502</v>
      </c>
      <c r="AD487" s="262" t="str">
        <f>"Fondo svalutazione crediti al 31/12/"&amp;Info!B3</f>
        <v>Fondo svalutazione crediti al 31/12/2020</v>
      </c>
      <c r="AE487" s="339" t="s">
        <v>3503</v>
      </c>
      <c r="AF487" s="339" t="s">
        <v>3504</v>
      </c>
      <c r="AG487" s="339" t="s">
        <v>3505</v>
      </c>
      <c r="AH487" s="339" t="s">
        <v>3506</v>
      </c>
      <c r="AI487" s="339" t="s">
        <v>3507</v>
      </c>
      <c r="AJ487" s="340" t="s">
        <v>3508</v>
      </c>
      <c r="AK487" s="340" t="s">
        <v>3509</v>
      </c>
      <c r="AL487" s="340" t="s">
        <v>3510</v>
      </c>
    </row>
    <row r="488" spans="2:38" s="204" customFormat="1" x14ac:dyDescent="0.25">
      <c r="B488" s="287" t="s">
        <v>1068</v>
      </c>
      <c r="C488" s="287" t="s">
        <v>1069</v>
      </c>
      <c r="D488" s="274" t="s">
        <v>3511</v>
      </c>
      <c r="E488" s="274"/>
      <c r="F488" s="274"/>
      <c r="G488" s="283"/>
      <c r="H488" s="266"/>
      <c r="I488" s="274"/>
      <c r="J488" s="281"/>
      <c r="K488" s="281"/>
      <c r="L488" s="341" t="s">
        <v>1072</v>
      </c>
      <c r="M488" s="263" t="s">
        <v>2962</v>
      </c>
      <c r="N488" s="269">
        <f>+R488-Z488</f>
        <v>0</v>
      </c>
      <c r="O488" s="270">
        <f>+Y488-AD488</f>
        <v>0</v>
      </c>
      <c r="P488" s="271">
        <f>+O488-N488</f>
        <v>0</v>
      </c>
      <c r="Q488" s="520"/>
      <c r="R488" s="354">
        <f>IF(ISERROR(VLOOKUP("SAN"&amp;$C488,ESTR_PREC_SP!$A$2:$G$2000,4,FALSE))=TRUE,0,VLOOKUP("SAN"&amp;$C488,ESTR_PREC_SP!$A$2:$G$2000,4,FALSE))</f>
        <v>0</v>
      </c>
      <c r="S488" s="521"/>
      <c r="T488" s="520"/>
      <c r="U488" s="520"/>
      <c r="V488" s="520"/>
      <c r="W488" s="520"/>
      <c r="X488" s="520"/>
      <c r="Y488" s="269">
        <f>+R488+S488+T488+U488-V488-X488+W488+Q488</f>
        <v>0</v>
      </c>
      <c r="Z488" s="354">
        <f>IF(ISERROR(VLOOKUP("SAN"&amp;$C488,ESTR_PREC_SP!$A$2:$G$2000,5,FALSE))=TRUE,0,VLOOKUP("SAN"&amp;$C488,ESTR_PREC_SP!$A$2:$G$2000,5,FALSE))</f>
        <v>0</v>
      </c>
      <c r="AA488" s="355"/>
      <c r="AB488" s="520"/>
      <c r="AC488" s="520"/>
      <c r="AD488" s="269">
        <f>+Z488+AC488-AB488+AA488</f>
        <v>0</v>
      </c>
      <c r="AE488" s="520"/>
      <c r="AF488" s="520"/>
      <c r="AG488" s="520"/>
      <c r="AH488" s="520"/>
      <c r="AI488" s="526">
        <f>+Y488-SUM(AE488:AH488)</f>
        <v>0</v>
      </c>
      <c r="AJ488" s="526">
        <f>+Y488-AD488-AK488-AL488</f>
        <v>0</v>
      </c>
      <c r="AK488" s="520"/>
      <c r="AL488" s="520"/>
    </row>
    <row r="489" spans="2:38" s="204" customFormat="1" x14ac:dyDescent="0.25">
      <c r="B489" s="287" t="s">
        <v>1073</v>
      </c>
      <c r="C489" s="287" t="s">
        <v>1074</v>
      </c>
      <c r="D489" s="274" t="s">
        <v>3512</v>
      </c>
      <c r="E489" s="274"/>
      <c r="F489" s="274"/>
      <c r="G489" s="283"/>
      <c r="H489" s="266"/>
      <c r="I489" s="274"/>
      <c r="J489" s="281"/>
      <c r="K489" s="281"/>
      <c r="L489" s="341" t="s">
        <v>1077</v>
      </c>
      <c r="M489" s="263" t="s">
        <v>2962</v>
      </c>
      <c r="N489" s="269">
        <f>+R489-Z489</f>
        <v>0</v>
      </c>
      <c r="O489" s="270">
        <f>+Y489-AD489</f>
        <v>0</v>
      </c>
      <c r="P489" s="271">
        <f>+O489-N489</f>
        <v>0</v>
      </c>
      <c r="Q489" s="520"/>
      <c r="R489" s="354">
        <f>IF(ISERROR(VLOOKUP("SAN"&amp;$C489,ESTR_PREC_SP!$A$2:$G$2000,4,FALSE))=TRUE,0,VLOOKUP("SAN"&amp;$C489,ESTR_PREC_SP!$A$2:$G$2000,4,FALSE))</f>
        <v>0</v>
      </c>
      <c r="S489" s="521"/>
      <c r="T489" s="520"/>
      <c r="U489" s="520"/>
      <c r="V489" s="520"/>
      <c r="W489" s="520"/>
      <c r="X489" s="520"/>
      <c r="Y489" s="269">
        <f>+R489+S489+T489+U489-V489-X489+W489+Q489</f>
        <v>0</v>
      </c>
      <c r="Z489" s="354">
        <f>IF(ISERROR(VLOOKUP("SAN"&amp;$C489,ESTR_PREC_SP!$A$2:$G$2000,5,FALSE))=TRUE,0,VLOOKUP("SAN"&amp;$C489,ESTR_PREC_SP!$A$2:$G$2000,5,FALSE))</f>
        <v>0</v>
      </c>
      <c r="AA489" s="355"/>
      <c r="AB489" s="520"/>
      <c r="AC489" s="520"/>
      <c r="AD489" s="269">
        <f>+Z489+AC489-AB489+AA489</f>
        <v>0</v>
      </c>
      <c r="AE489" s="520"/>
      <c r="AF489" s="520"/>
      <c r="AG489" s="520"/>
      <c r="AH489" s="520"/>
      <c r="AI489" s="526">
        <f>+Y489-SUM(AE489:AH489)</f>
        <v>0</v>
      </c>
      <c r="AJ489" s="526">
        <f>+Y489-AD489-AK489-AL489</f>
        <v>0</v>
      </c>
      <c r="AK489" s="520"/>
      <c r="AL489" s="520"/>
    </row>
    <row r="490" spans="2:38" s="204" customFormat="1" x14ac:dyDescent="0.25">
      <c r="B490" s="287" t="s">
        <v>1078</v>
      </c>
      <c r="C490" s="287" t="s">
        <v>1079</v>
      </c>
      <c r="D490" s="274" t="s">
        <v>3513</v>
      </c>
      <c r="E490" s="274"/>
      <c r="F490" s="274"/>
      <c r="G490" s="283"/>
      <c r="H490" s="266"/>
      <c r="I490" s="274"/>
      <c r="J490" s="281"/>
      <c r="K490" s="281"/>
      <c r="L490" s="341" t="s">
        <v>1082</v>
      </c>
      <c r="M490" s="263" t="s">
        <v>2962</v>
      </c>
      <c r="N490" s="269">
        <f>+R490-Z490</f>
        <v>0</v>
      </c>
      <c r="O490" s="270">
        <f>+Y490-AD490</f>
        <v>0</v>
      </c>
      <c r="P490" s="271">
        <f>+O490-N490</f>
        <v>0</v>
      </c>
      <c r="Q490" s="520"/>
      <c r="R490" s="354">
        <f>IF(ISERROR(VLOOKUP("SAN"&amp;$C490,ESTR_PREC_SP!$A$2:$G$2000,4,FALSE))=TRUE,0,VLOOKUP("SAN"&amp;$C490,ESTR_PREC_SP!$A$2:$G$2000,4,FALSE))</f>
        <v>0</v>
      </c>
      <c r="S490" s="521"/>
      <c r="T490" s="520"/>
      <c r="U490" s="520"/>
      <c r="V490" s="520"/>
      <c r="W490" s="520"/>
      <c r="X490" s="520"/>
      <c r="Y490" s="269">
        <f>+R490+S490+T490+U490-V490-X490+W490+Q490</f>
        <v>0</v>
      </c>
      <c r="Z490" s="354">
        <f>IF(ISERROR(VLOOKUP("SAN"&amp;$C490,ESTR_PREC_SP!$A$2:$G$2000,5,FALSE))=TRUE,0,VLOOKUP("SAN"&amp;$C490,ESTR_PREC_SP!$A$2:$G$2000,5,FALSE))</f>
        <v>0</v>
      </c>
      <c r="AA490" s="355"/>
      <c r="AB490" s="520"/>
      <c r="AC490" s="520"/>
      <c r="AD490" s="269">
        <f>+Z490+AC490-AB490+AA490</f>
        <v>0</v>
      </c>
      <c r="AE490" s="520"/>
      <c r="AF490" s="520"/>
      <c r="AG490" s="520"/>
      <c r="AH490" s="520"/>
      <c r="AI490" s="526">
        <f>+Y490-SUM(AE490:AH490)</f>
        <v>0</v>
      </c>
      <c r="AJ490" s="526">
        <f>+Y490-AD490-AK490-AL490</f>
        <v>0</v>
      </c>
      <c r="AK490" s="520"/>
      <c r="AL490" s="520"/>
    </row>
    <row r="491" spans="2:38" s="204" customFormat="1" x14ac:dyDescent="0.25">
      <c r="B491" s="287" t="s">
        <v>1083</v>
      </c>
      <c r="C491" s="287" t="s">
        <v>1084</v>
      </c>
      <c r="D491" s="274" t="s">
        <v>3514</v>
      </c>
      <c r="E491" s="274"/>
      <c r="F491" s="274"/>
      <c r="G491" s="283"/>
      <c r="H491" s="266"/>
      <c r="I491" s="274"/>
      <c r="J491" s="281"/>
      <c r="K491" s="281"/>
      <c r="L491" s="341" t="s">
        <v>1087</v>
      </c>
      <c r="M491" s="284" t="s">
        <v>2962</v>
      </c>
      <c r="N491" s="269">
        <f>+R491-Z491</f>
        <v>0</v>
      </c>
      <c r="O491" s="270">
        <f>+Y491-AD491</f>
        <v>0</v>
      </c>
      <c r="P491" s="271">
        <f>+O491-N491</f>
        <v>0</v>
      </c>
      <c r="Q491" s="520"/>
      <c r="R491" s="354">
        <f>IF(ISERROR(VLOOKUP("SAN"&amp;$C491,ESTR_PREC_SP!$A$2:$G$2000,4,FALSE))=TRUE,0,VLOOKUP("SAN"&amp;$C491,ESTR_PREC_SP!$A$2:$G$2000,4,FALSE))</f>
        <v>0</v>
      </c>
      <c r="S491" s="521"/>
      <c r="T491" s="527"/>
      <c r="U491" s="520"/>
      <c r="V491" s="520"/>
      <c r="W491" s="520"/>
      <c r="X491" s="520"/>
      <c r="Y491" s="269">
        <f>+R491+S491+T491+U491-V491-X491+W491+Q491</f>
        <v>0</v>
      </c>
      <c r="Z491" s="354">
        <f>IF(ISERROR(VLOOKUP("SAN"&amp;$C491,ESTR_PREC_SP!$A$2:$G$2000,5,FALSE))=TRUE,0,VLOOKUP("SAN"&amp;$C491,ESTR_PREC_SP!$A$2:$G$2000,5,FALSE))</f>
        <v>0</v>
      </c>
      <c r="AA491" s="355"/>
      <c r="AB491" s="520"/>
      <c r="AC491" s="520"/>
      <c r="AD491" s="269">
        <f>+Z491+AC491-AB491+AA491</f>
        <v>0</v>
      </c>
      <c r="AE491" s="520"/>
      <c r="AF491" s="520"/>
      <c r="AG491" s="520"/>
      <c r="AH491" s="520"/>
      <c r="AI491" s="526">
        <f>+Y491-SUM(AE491:AH491)</f>
        <v>0</v>
      </c>
      <c r="AJ491" s="526">
        <f>+Y491-AD491-AK491-AL491</f>
        <v>0</v>
      </c>
      <c r="AK491" s="520"/>
      <c r="AL491" s="520"/>
    </row>
    <row r="492" spans="2:38" s="204" customFormat="1" x14ac:dyDescent="0.25">
      <c r="B492" s="293"/>
      <c r="C492" s="293"/>
      <c r="D492" s="293"/>
      <c r="E492" s="293"/>
      <c r="F492" s="293"/>
      <c r="G492" s="293"/>
      <c r="H492" s="319"/>
      <c r="I492" s="293"/>
      <c r="J492" s="293"/>
      <c r="K492" s="293"/>
      <c r="L492" s="323"/>
      <c r="M492" s="298"/>
      <c r="N492" s="342"/>
      <c r="O492" s="342"/>
      <c r="P492" s="342"/>
      <c r="Q492" s="289"/>
      <c r="R492" s="342"/>
      <c r="S492" s="289"/>
      <c r="T492" s="342"/>
      <c r="U492" s="342"/>
      <c r="V492" s="342"/>
      <c r="W492" s="289"/>
      <c r="X492" s="289"/>
      <c r="Y492" s="289"/>
      <c r="Z492" s="289"/>
      <c r="AA492" s="289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</row>
    <row r="493" spans="2:38" s="204" customFormat="1" x14ac:dyDescent="0.25">
      <c r="B493" s="292" t="s">
        <v>1088</v>
      </c>
      <c r="C493" s="292" t="s">
        <v>1089</v>
      </c>
      <c r="D493" s="247" t="s">
        <v>3515</v>
      </c>
      <c r="E493" s="247"/>
      <c r="F493" s="247"/>
      <c r="G493" s="247"/>
      <c r="H493" s="248"/>
      <c r="I493" s="247"/>
      <c r="J493" s="247"/>
      <c r="K493" s="249"/>
      <c r="L493" s="276" t="s">
        <v>1091</v>
      </c>
      <c r="M493" s="251" t="s">
        <v>2962</v>
      </c>
      <c r="N493" s="252">
        <f>+N495+N504</f>
        <v>0</v>
      </c>
      <c r="O493" s="252">
        <f>+O495+O504</f>
        <v>0</v>
      </c>
      <c r="P493" s="259">
        <f>+O493-N493</f>
        <v>0</v>
      </c>
      <c r="Q493" s="252">
        <f t="shared" ref="Q493:AC493" si="64">+Q495+Q504</f>
        <v>0</v>
      </c>
      <c r="R493" s="252">
        <f t="shared" si="64"/>
        <v>0</v>
      </c>
      <c r="S493" s="252">
        <f t="shared" si="64"/>
        <v>0</v>
      </c>
      <c r="T493" s="252">
        <f t="shared" si="64"/>
        <v>0</v>
      </c>
      <c r="U493" s="252">
        <f t="shared" si="64"/>
        <v>0</v>
      </c>
      <c r="V493" s="252">
        <f t="shared" si="64"/>
        <v>0</v>
      </c>
      <c r="W493" s="252">
        <f t="shared" si="64"/>
        <v>0</v>
      </c>
      <c r="X493" s="252">
        <f t="shared" si="64"/>
        <v>0</v>
      </c>
      <c r="Y493" s="252">
        <f t="shared" si="64"/>
        <v>0</v>
      </c>
      <c r="Z493" s="252">
        <f t="shared" si="64"/>
        <v>0</v>
      </c>
      <c r="AA493" s="252">
        <f t="shared" si="64"/>
        <v>0</v>
      </c>
      <c r="AB493" s="252">
        <f t="shared" si="64"/>
        <v>0</v>
      </c>
      <c r="AC493" s="252">
        <f t="shared" si="64"/>
        <v>0</v>
      </c>
    </row>
    <row r="494" spans="2:38" s="204" customFormat="1" x14ac:dyDescent="0.25">
      <c r="B494" s="298"/>
      <c r="C494" s="298"/>
      <c r="D494" s="226"/>
      <c r="E494" s="226"/>
      <c r="F494" s="226"/>
      <c r="G494" s="226"/>
      <c r="H494" s="227"/>
      <c r="I494" s="226"/>
      <c r="J494" s="226"/>
      <c r="K494" s="226"/>
      <c r="L494" s="241"/>
      <c r="M494" s="278"/>
      <c r="N494" s="279"/>
      <c r="O494" s="279"/>
      <c r="P494" s="297"/>
      <c r="Q494" s="211"/>
      <c r="R494" s="279"/>
      <c r="S494" s="279"/>
      <c r="T494" s="279"/>
      <c r="U494" s="279"/>
      <c r="V494" s="279"/>
      <c r="W494" s="211"/>
      <c r="X494" s="211"/>
      <c r="Y494" s="211"/>
      <c r="Z494" s="211"/>
      <c r="AA494" s="211"/>
    </row>
    <row r="495" spans="2:38" s="204" customFormat="1" x14ac:dyDescent="0.25">
      <c r="B495" s="292" t="s">
        <v>1092</v>
      </c>
      <c r="C495" s="292" t="s">
        <v>1093</v>
      </c>
      <c r="D495" s="247" t="s">
        <v>3516</v>
      </c>
      <c r="E495" s="247"/>
      <c r="F495" s="247"/>
      <c r="G495" s="247"/>
      <c r="H495" s="248"/>
      <c r="I495" s="247"/>
      <c r="J495" s="247"/>
      <c r="K495" s="249"/>
      <c r="L495" s="276" t="s">
        <v>1096</v>
      </c>
      <c r="M495" s="251" t="s">
        <v>2962</v>
      </c>
      <c r="N495" s="252">
        <f>SUM(N498:N500)</f>
        <v>0</v>
      </c>
      <c r="O495" s="252">
        <f>SUM(O498:O500)</f>
        <v>0</v>
      </c>
      <c r="P495" s="259">
        <f>+O495-N495</f>
        <v>0</v>
      </c>
      <c r="Q495" s="252">
        <f t="shared" ref="Q495:AC495" si="65">SUM(Q498:Q500)</f>
        <v>0</v>
      </c>
      <c r="R495" s="252">
        <f t="shared" si="65"/>
        <v>0</v>
      </c>
      <c r="S495" s="252">
        <f t="shared" si="65"/>
        <v>0</v>
      </c>
      <c r="T495" s="252">
        <f t="shared" si="65"/>
        <v>0</v>
      </c>
      <c r="U495" s="252">
        <f t="shared" si="65"/>
        <v>0</v>
      </c>
      <c r="V495" s="252">
        <f t="shared" si="65"/>
        <v>0</v>
      </c>
      <c r="W495" s="252">
        <f t="shared" si="65"/>
        <v>0</v>
      </c>
      <c r="X495" s="252">
        <f t="shared" si="65"/>
        <v>0</v>
      </c>
      <c r="Y495" s="252">
        <f t="shared" si="65"/>
        <v>0</v>
      </c>
      <c r="Z495" s="252">
        <f t="shared" si="65"/>
        <v>0</v>
      </c>
      <c r="AA495" s="252">
        <f t="shared" si="65"/>
        <v>0</v>
      </c>
      <c r="AB495" s="252">
        <f t="shared" si="65"/>
        <v>0</v>
      </c>
      <c r="AC495" s="252">
        <f t="shared" si="65"/>
        <v>0</v>
      </c>
    </row>
    <row r="496" spans="2:38" s="204" customFormat="1" x14ac:dyDescent="0.25">
      <c r="B496" s="298"/>
      <c r="C496" s="298"/>
      <c r="D496" s="226"/>
      <c r="E496" s="226"/>
      <c r="F496" s="226"/>
      <c r="G496" s="226"/>
      <c r="H496" s="227"/>
      <c r="I496" s="226"/>
      <c r="J496" s="226"/>
      <c r="K496" s="226"/>
      <c r="L496" s="241"/>
      <c r="M496" s="278"/>
      <c r="N496" s="279"/>
      <c r="O496" s="279"/>
      <c r="P496" s="297"/>
      <c r="Q496" s="211"/>
      <c r="R496" s="279"/>
      <c r="S496" s="279"/>
      <c r="T496" s="279"/>
      <c r="U496" s="279"/>
      <c r="V496" s="279"/>
      <c r="W496" s="211"/>
      <c r="X496" s="211"/>
      <c r="Y496" s="211"/>
      <c r="Z496" s="211"/>
      <c r="AA496" s="211"/>
    </row>
    <row r="497" spans="2:31" s="204" customFormat="1" ht="51" x14ac:dyDescent="0.25">
      <c r="B497" s="294" t="s">
        <v>2968</v>
      </c>
      <c r="C497" s="294" t="s">
        <v>2969</v>
      </c>
      <c r="D497" s="206" t="s">
        <v>72</v>
      </c>
      <c r="E497" s="206"/>
      <c r="F497" s="206"/>
      <c r="G497" s="207"/>
      <c r="H497" s="207"/>
      <c r="I497" s="207"/>
      <c r="J497" s="207" t="s">
        <v>2957</v>
      </c>
      <c r="K497" s="206" t="s">
        <v>82</v>
      </c>
      <c r="L497" s="261" t="s">
        <v>2970</v>
      </c>
      <c r="M497" s="280"/>
      <c r="N497" s="256" t="str">
        <f>N$15</f>
        <v>Valore netto al 31/12/2019</v>
      </c>
      <c r="O497" s="256" t="str">
        <f>O$15</f>
        <v>Valore netto al 31/12/2020</v>
      </c>
      <c r="P497" s="256" t="str">
        <f>P$15</f>
        <v>Variazione</v>
      </c>
      <c r="Q497" s="262" t="s">
        <v>2971</v>
      </c>
      <c r="R497" s="346" t="str">
        <f>"Costo storico al 31/12/"&amp;Info!$B$3-1</f>
        <v>Costo storico al 31/12/2019</v>
      </c>
      <c r="S497" s="346" t="s">
        <v>2972</v>
      </c>
      <c r="T497" s="346" t="s">
        <v>2973</v>
      </c>
      <c r="U497" s="346" t="s">
        <v>2974</v>
      </c>
      <c r="V497" s="346" t="s">
        <v>3517</v>
      </c>
      <c r="W497" s="262" t="s">
        <v>2975</v>
      </c>
      <c r="X497" s="346" t="s">
        <v>2976</v>
      </c>
      <c r="Y497" s="346" t="s">
        <v>3518</v>
      </c>
      <c r="Z497" s="346" t="s">
        <v>2979</v>
      </c>
      <c r="AA497" s="346" t="s">
        <v>3519</v>
      </c>
      <c r="AB497" s="346" t="s">
        <v>2983</v>
      </c>
      <c r="AC497" s="346" t="s">
        <v>3520</v>
      </c>
      <c r="AE497" s="528" t="s">
        <v>4176</v>
      </c>
    </row>
    <row r="498" spans="2:31" s="204" customFormat="1" ht="15" customHeight="1" x14ac:dyDescent="0.25">
      <c r="B498" s="287" t="s">
        <v>1097</v>
      </c>
      <c r="C498" s="287" t="s">
        <v>1098</v>
      </c>
      <c r="D498" s="274" t="s">
        <v>3521</v>
      </c>
      <c r="E498" s="274"/>
      <c r="F498" s="274"/>
      <c r="G498" s="283"/>
      <c r="H498" s="266"/>
      <c r="I498" s="274"/>
      <c r="J498" s="281"/>
      <c r="K498" s="281"/>
      <c r="L498" s="282" t="s">
        <v>3522</v>
      </c>
      <c r="M498" s="263" t="s">
        <v>2962</v>
      </c>
      <c r="N498" s="270">
        <f>+V498</f>
        <v>0</v>
      </c>
      <c r="O498" s="270">
        <f>+AC498</f>
        <v>0</v>
      </c>
      <c r="P498" s="271">
        <f>+O498-N498</f>
        <v>0</v>
      </c>
      <c r="Q498" s="520"/>
      <c r="R498" s="354">
        <f>IF(ISERROR(VLOOKUP("SAN"&amp;$C498,ESTR_PREC_SP!$A$2:$G$2000,4,FALSE))=TRUE,0,VLOOKUP("SAN"&amp;$C498,ESTR_PREC_SP!$A$2:$G$2000,4,FALSE))</f>
        <v>0</v>
      </c>
      <c r="S498" s="521"/>
      <c r="T498" s="521"/>
      <c r="U498" s="521"/>
      <c r="V498" s="526">
        <f>+R498+S498-T498</f>
        <v>0</v>
      </c>
      <c r="W498" s="520"/>
      <c r="X498" s="529">
        <f>+Dettaglio_SP_San!I184</f>
        <v>0</v>
      </c>
      <c r="Y498" s="529">
        <f>+Dettaglio_SP_San!J184</f>
        <v>0</v>
      </c>
      <c r="Z498" s="529">
        <f>+Dettaglio_SP_San!K184</f>
        <v>0</v>
      </c>
      <c r="AA498" s="529">
        <f>+Dettaglio_SP_San!L184</f>
        <v>0</v>
      </c>
      <c r="AB498" s="529">
        <f>+Dettaglio_SP_San!M184</f>
        <v>0</v>
      </c>
      <c r="AC498" s="526">
        <f>+V498+X498+Y498-Z498+AA498-AB498+W498+Q498</f>
        <v>0</v>
      </c>
      <c r="AE498" s="530" t="str">
        <f>IF(R498&lt;&gt;Dettaglio_SP_San!E184,R498-Dettaglio_SP_San!E184,"OK")</f>
        <v>OK</v>
      </c>
    </row>
    <row r="499" spans="2:31" s="204" customFormat="1" x14ac:dyDescent="0.25">
      <c r="B499" s="287" t="s">
        <v>1100</v>
      </c>
      <c r="C499" s="287" t="s">
        <v>1101</v>
      </c>
      <c r="D499" s="274" t="s">
        <v>3523</v>
      </c>
      <c r="E499" s="274"/>
      <c r="F499" s="274"/>
      <c r="G499" s="283"/>
      <c r="H499" s="266"/>
      <c r="I499" s="274"/>
      <c r="J499" s="281"/>
      <c r="K499" s="281"/>
      <c r="L499" s="282" t="s">
        <v>3524</v>
      </c>
      <c r="M499" s="263" t="s">
        <v>2962</v>
      </c>
      <c r="N499" s="270">
        <f>+V499</f>
        <v>0</v>
      </c>
      <c r="O499" s="270">
        <f>+AC499</f>
        <v>0</v>
      </c>
      <c r="P499" s="271">
        <f>+O499-N499</f>
        <v>0</v>
      </c>
      <c r="Q499" s="520"/>
      <c r="R499" s="354">
        <f>IF(ISERROR(VLOOKUP("SAN"&amp;$C499,ESTR_PREC_SP!$A$2:$G$2000,4,FALSE))=TRUE,0,VLOOKUP("SAN"&amp;$C499,ESTR_PREC_SP!$A$2:$G$2000,4,FALSE))</f>
        <v>0</v>
      </c>
      <c r="S499" s="521"/>
      <c r="T499" s="521"/>
      <c r="U499" s="521"/>
      <c r="V499" s="526">
        <f>+R499+S499-T499</f>
        <v>0</v>
      </c>
      <c r="W499" s="520"/>
      <c r="X499" s="529">
        <f>+Dettaglio_SP_San!I197</f>
        <v>0</v>
      </c>
      <c r="Y499" s="529">
        <f>+Dettaglio_SP_San!J197</f>
        <v>0</v>
      </c>
      <c r="Z499" s="529">
        <f>+Dettaglio_SP_San!K197</f>
        <v>0</v>
      </c>
      <c r="AA499" s="529">
        <f>+Dettaglio_SP_San!L197</f>
        <v>0</v>
      </c>
      <c r="AB499" s="529">
        <f>+Dettaglio_SP_San!M197</f>
        <v>0</v>
      </c>
      <c r="AC499" s="526">
        <f>+V499+X499+Y499-Z499+AA499-AB499+W499+Q499</f>
        <v>0</v>
      </c>
      <c r="AE499" s="530" t="str">
        <f>IF(R499&lt;&gt;Dettaglio_SP_San!E197,R499-Dettaglio_SP_San!E197,"OK")</f>
        <v>OK</v>
      </c>
    </row>
    <row r="500" spans="2:31" s="204" customFormat="1" x14ac:dyDescent="0.25">
      <c r="B500" s="287" t="s">
        <v>1103</v>
      </c>
      <c r="C500" s="287" t="s">
        <v>1104</v>
      </c>
      <c r="D500" s="274" t="s">
        <v>3525</v>
      </c>
      <c r="E500" s="274"/>
      <c r="F500" s="274"/>
      <c r="G500" s="283"/>
      <c r="H500" s="266"/>
      <c r="I500" s="274"/>
      <c r="J500" s="281"/>
      <c r="K500" s="281"/>
      <c r="L500" s="282" t="s">
        <v>3526</v>
      </c>
      <c r="M500" s="284" t="s">
        <v>2962</v>
      </c>
      <c r="N500" s="270">
        <f>+V500</f>
        <v>0</v>
      </c>
      <c r="O500" s="270">
        <f>+AC500</f>
        <v>0</v>
      </c>
      <c r="P500" s="271">
        <f>+O500-N500</f>
        <v>0</v>
      </c>
      <c r="Q500" s="520"/>
      <c r="R500" s="354">
        <f>IF(ISERROR(VLOOKUP("SAN"&amp;$C500,ESTR_PREC_SP!$A$2:$G$2000,4,FALSE))=TRUE,0,VLOOKUP("SAN"&amp;$C500,ESTR_PREC_SP!$A$2:$G$2000,4,FALSE))</f>
        <v>0</v>
      </c>
      <c r="S500" s="521"/>
      <c r="T500" s="521"/>
      <c r="U500" s="521"/>
      <c r="V500" s="526">
        <f>+R500+S500-T500</f>
        <v>0</v>
      </c>
      <c r="W500" s="520"/>
      <c r="X500" s="529">
        <f>+Dettaglio_SP_San!I210</f>
        <v>0</v>
      </c>
      <c r="Y500" s="529">
        <f>+Dettaglio_SP_San!J210</f>
        <v>0</v>
      </c>
      <c r="Z500" s="529">
        <f>+Dettaglio_SP_San!K210</f>
        <v>0</v>
      </c>
      <c r="AA500" s="529">
        <f>+Dettaglio_SP_San!L210</f>
        <v>0</v>
      </c>
      <c r="AB500" s="529">
        <f>+Dettaglio_SP_San!M210</f>
        <v>0</v>
      </c>
      <c r="AC500" s="526">
        <f>+V500+X500+Y500-Z500+AA500-AB500+W500+Q500</f>
        <v>0</v>
      </c>
      <c r="AE500" s="531" t="str">
        <f>IF(R500&lt;&gt;Dettaglio_SP_San!E210,R500-Dettaglio_SP_San!E210,"OK")</f>
        <v>OK</v>
      </c>
    </row>
    <row r="501" spans="2:31" s="204" customFormat="1" x14ac:dyDescent="0.25">
      <c r="B501" s="298"/>
      <c r="C501" s="298"/>
      <c r="D501" s="226"/>
      <c r="E501" s="226"/>
      <c r="F501" s="226"/>
      <c r="G501" s="226"/>
      <c r="H501" s="227"/>
      <c r="I501" s="226"/>
      <c r="J501" s="226"/>
      <c r="K501" s="226"/>
      <c r="L501" s="344" t="s">
        <v>3527</v>
      </c>
      <c r="M501" s="278"/>
      <c r="N501" s="279"/>
      <c r="O501" s="279"/>
      <c r="P501" s="297"/>
      <c r="Q501" s="211"/>
      <c r="R501" s="279"/>
      <c r="S501" s="279"/>
      <c r="T501" s="279"/>
      <c r="U501" s="279"/>
      <c r="V501" s="279"/>
      <c r="W501" s="211"/>
      <c r="X501" s="211"/>
      <c r="Y501" s="211"/>
      <c r="Z501" s="211"/>
      <c r="AA501" s="211"/>
    </row>
    <row r="502" spans="2:31" s="204" customFormat="1" x14ac:dyDescent="0.25">
      <c r="B502" s="298"/>
      <c r="C502" s="298"/>
      <c r="D502" s="226"/>
      <c r="E502" s="226"/>
      <c r="F502" s="226"/>
      <c r="G502" s="226"/>
      <c r="H502" s="227"/>
      <c r="I502" s="226"/>
      <c r="J502" s="226"/>
      <c r="K502" s="226"/>
      <c r="L502" s="241"/>
      <c r="M502" s="278"/>
      <c r="N502" s="279"/>
      <c r="O502" s="279"/>
      <c r="P502" s="297"/>
      <c r="Q502" s="211"/>
      <c r="R502" s="279"/>
      <c r="S502" s="279"/>
      <c r="T502" s="279"/>
      <c r="U502" s="279"/>
      <c r="V502" s="279"/>
      <c r="W502" s="211"/>
      <c r="X502" s="211"/>
      <c r="Y502" s="211"/>
      <c r="Z502" s="211"/>
      <c r="AA502" s="211"/>
    </row>
    <row r="503" spans="2:31" s="204" customFormat="1" x14ac:dyDescent="0.25">
      <c r="B503" s="298"/>
      <c r="C503" s="298"/>
      <c r="D503" s="226"/>
      <c r="E503" s="226"/>
      <c r="F503" s="226"/>
      <c r="G503" s="226"/>
      <c r="H503" s="227"/>
      <c r="I503" s="226"/>
      <c r="J503" s="226"/>
      <c r="K503" s="226"/>
      <c r="L503" s="241"/>
      <c r="M503" s="278"/>
      <c r="N503" s="279"/>
      <c r="O503" s="279"/>
      <c r="P503" s="297"/>
      <c r="Q503" s="211"/>
      <c r="R503" s="279"/>
      <c r="S503" s="279"/>
      <c r="T503" s="279"/>
      <c r="U503" s="279"/>
      <c r="V503" s="279"/>
      <c r="W503" s="211"/>
      <c r="X503" s="211"/>
      <c r="Y503" s="211"/>
      <c r="Z503" s="211"/>
      <c r="AA503" s="211"/>
    </row>
    <row r="504" spans="2:31" s="204" customFormat="1" x14ac:dyDescent="0.25">
      <c r="B504" s="292" t="s">
        <v>1106</v>
      </c>
      <c r="C504" s="292" t="s">
        <v>1107</v>
      </c>
      <c r="D504" s="247" t="s">
        <v>3528</v>
      </c>
      <c r="E504" s="247"/>
      <c r="F504" s="247"/>
      <c r="G504" s="247"/>
      <c r="H504" s="248"/>
      <c r="I504" s="247"/>
      <c r="J504" s="247"/>
      <c r="K504" s="249"/>
      <c r="L504" s="276" t="s">
        <v>1109</v>
      </c>
      <c r="M504" s="251" t="s">
        <v>2962</v>
      </c>
      <c r="N504" s="252">
        <f>SUM(N507:N510)</f>
        <v>0</v>
      </c>
      <c r="O504" s="252">
        <f>SUM(O507:O510)</f>
        <v>0</v>
      </c>
      <c r="P504" s="259">
        <f>+O504-N504</f>
        <v>0</v>
      </c>
      <c r="Q504" s="252">
        <f t="shared" ref="Q504:AC504" si="66">SUM(Q507:Q510)</f>
        <v>0</v>
      </c>
      <c r="R504" s="252">
        <f t="shared" si="66"/>
        <v>0</v>
      </c>
      <c r="S504" s="252">
        <f t="shared" si="66"/>
        <v>0</v>
      </c>
      <c r="T504" s="252">
        <f t="shared" si="66"/>
        <v>0</v>
      </c>
      <c r="U504" s="252">
        <f t="shared" si="66"/>
        <v>0</v>
      </c>
      <c r="V504" s="252">
        <f t="shared" si="66"/>
        <v>0</v>
      </c>
      <c r="W504" s="252">
        <f t="shared" si="66"/>
        <v>0</v>
      </c>
      <c r="X504" s="252">
        <f t="shared" si="66"/>
        <v>0</v>
      </c>
      <c r="Y504" s="252">
        <f t="shared" si="66"/>
        <v>0</v>
      </c>
      <c r="Z504" s="252">
        <f t="shared" si="66"/>
        <v>0</v>
      </c>
      <c r="AA504" s="252">
        <f t="shared" si="66"/>
        <v>0</v>
      </c>
      <c r="AB504" s="252">
        <f t="shared" si="66"/>
        <v>0</v>
      </c>
      <c r="AC504" s="252">
        <f t="shared" si="66"/>
        <v>0</v>
      </c>
    </row>
    <row r="505" spans="2:31" s="204" customFormat="1" x14ac:dyDescent="0.25">
      <c r="B505" s="298"/>
      <c r="C505" s="298"/>
      <c r="D505" s="226"/>
      <c r="E505" s="226"/>
      <c r="F505" s="226"/>
      <c r="G505" s="226"/>
      <c r="H505" s="227"/>
      <c r="I505" s="226"/>
      <c r="J505" s="226"/>
      <c r="K505" s="226"/>
      <c r="L505" s="241"/>
      <c r="M505" s="278"/>
      <c r="N505" s="279"/>
      <c r="O505" s="279"/>
      <c r="P505" s="297"/>
      <c r="Q505" s="211"/>
      <c r="R505" s="279"/>
      <c r="S505" s="279"/>
      <c r="T505" s="279"/>
      <c r="U505" s="279"/>
      <c r="V505" s="279"/>
      <c r="W505" s="211"/>
      <c r="X505" s="211"/>
      <c r="Y505" s="211"/>
      <c r="Z505" s="211"/>
      <c r="AA505" s="211"/>
    </row>
    <row r="506" spans="2:31" s="204" customFormat="1" ht="51" x14ac:dyDescent="0.25">
      <c r="B506" s="294" t="s">
        <v>2968</v>
      </c>
      <c r="C506" s="294" t="s">
        <v>2969</v>
      </c>
      <c r="D506" s="206" t="s">
        <v>72</v>
      </c>
      <c r="E506" s="206"/>
      <c r="F506" s="206"/>
      <c r="G506" s="207"/>
      <c r="H506" s="207"/>
      <c r="I506" s="207"/>
      <c r="J506" s="207" t="s">
        <v>2957</v>
      </c>
      <c r="K506" s="206" t="s">
        <v>82</v>
      </c>
      <c r="L506" s="261" t="s">
        <v>2970</v>
      </c>
      <c r="M506" s="280"/>
      <c r="N506" s="256" t="str">
        <f>N$15</f>
        <v>Valore netto al 31/12/2019</v>
      </c>
      <c r="O506" s="256" t="str">
        <f>O$15</f>
        <v>Valore netto al 31/12/2020</v>
      </c>
      <c r="P506" s="256" t="str">
        <f>P$15</f>
        <v>Variazione</v>
      </c>
      <c r="Q506" s="262" t="s">
        <v>2971</v>
      </c>
      <c r="R506" s="346" t="str">
        <f>"Costo storico al 31/12/"&amp;Info!$B$3-1</f>
        <v>Costo storico al 31/12/2019</v>
      </c>
      <c r="S506" s="346" t="s">
        <v>2972</v>
      </c>
      <c r="T506" s="346" t="s">
        <v>2973</v>
      </c>
      <c r="U506" s="346" t="s">
        <v>2974</v>
      </c>
      <c r="V506" s="346" t="s">
        <v>3517</v>
      </c>
      <c r="W506" s="262" t="s">
        <v>2975</v>
      </c>
      <c r="X506" s="346" t="s">
        <v>2976</v>
      </c>
      <c r="Y506" s="346" t="s">
        <v>3518</v>
      </c>
      <c r="Z506" s="346" t="s">
        <v>2979</v>
      </c>
      <c r="AA506" s="346" t="s">
        <v>3519</v>
      </c>
      <c r="AB506" s="346" t="s">
        <v>2983</v>
      </c>
      <c r="AC506" s="346" t="s">
        <v>3520</v>
      </c>
    </row>
    <row r="507" spans="2:31" s="204" customFormat="1" x14ac:dyDescent="0.25">
      <c r="B507" s="287" t="s">
        <v>1110</v>
      </c>
      <c r="C507" s="287" t="s">
        <v>1111</v>
      </c>
      <c r="D507" s="274" t="s">
        <v>3529</v>
      </c>
      <c r="E507" s="274"/>
      <c r="F507" s="274"/>
      <c r="G507" s="283"/>
      <c r="H507" s="266"/>
      <c r="I507" s="274"/>
      <c r="J507" s="281"/>
      <c r="K507" s="281"/>
      <c r="L507" s="282" t="s">
        <v>1113</v>
      </c>
      <c r="M507" s="284" t="s">
        <v>2962</v>
      </c>
      <c r="N507" s="270">
        <f>+V507</f>
        <v>0</v>
      </c>
      <c r="O507" s="270">
        <f>+AC507</f>
        <v>0</v>
      </c>
      <c r="P507" s="271">
        <f>+O507-N507</f>
        <v>0</v>
      </c>
      <c r="Q507" s="527"/>
      <c r="R507" s="354">
        <f>IF(ISERROR(VLOOKUP("SAN"&amp;$C507,ESTR_PREC_SP!$A$2:$G$2000,4,FALSE))=TRUE,0,VLOOKUP("SAN"&amp;$C507,ESTR_PREC_SP!$A$2:$G$2000,4,FALSE))</f>
        <v>0</v>
      </c>
      <c r="S507" s="521"/>
      <c r="T507" s="527"/>
      <c r="U507" s="527"/>
      <c r="V507" s="526">
        <f>+R507+S507-T507</f>
        <v>0</v>
      </c>
      <c r="W507" s="527"/>
      <c r="X507" s="527"/>
      <c r="Y507" s="527"/>
      <c r="Z507" s="527"/>
      <c r="AA507" s="527"/>
      <c r="AB507" s="527"/>
      <c r="AC507" s="526">
        <f>+V507+X507+Y507-Z507+AA507-AB507+W507+Q507</f>
        <v>0</v>
      </c>
    </row>
    <row r="508" spans="2:31" s="204" customFormat="1" x14ac:dyDescent="0.25">
      <c r="B508" s="287" t="s">
        <v>1114</v>
      </c>
      <c r="C508" s="287" t="s">
        <v>1115</v>
      </c>
      <c r="D508" s="274" t="s">
        <v>3530</v>
      </c>
      <c r="E508" s="274"/>
      <c r="F508" s="274"/>
      <c r="G508" s="283"/>
      <c r="H508" s="266"/>
      <c r="I508" s="274"/>
      <c r="J508" s="281"/>
      <c r="K508" s="281"/>
      <c r="L508" s="295" t="s">
        <v>1117</v>
      </c>
      <c r="M508" s="284" t="s">
        <v>2962</v>
      </c>
      <c r="N508" s="270">
        <f>+V508</f>
        <v>0</v>
      </c>
      <c r="O508" s="270">
        <f>+AC508</f>
        <v>0</v>
      </c>
      <c r="P508" s="271">
        <f>+O508-N508</f>
        <v>0</v>
      </c>
      <c r="Q508" s="527"/>
      <c r="R508" s="354">
        <f>IF(ISERROR(VLOOKUP("SAN"&amp;$C508,ESTR_PREC_SP!$A$2:$G$2000,4,FALSE))=TRUE,0,VLOOKUP("SAN"&amp;$C508,ESTR_PREC_SP!$A$2:$G$2000,4,FALSE))</f>
        <v>0</v>
      </c>
      <c r="S508" s="521"/>
      <c r="T508" s="527"/>
      <c r="U508" s="527"/>
      <c r="V508" s="526">
        <f>+R508+S508-T508</f>
        <v>0</v>
      </c>
      <c r="W508" s="527"/>
      <c r="X508" s="527"/>
      <c r="Y508" s="527"/>
      <c r="Z508" s="527"/>
      <c r="AA508" s="527"/>
      <c r="AB508" s="527"/>
      <c r="AC508" s="526">
        <f>+V508+X508+Y508-Z508+AA508-AB508+W508+Q508</f>
        <v>0</v>
      </c>
    </row>
    <row r="509" spans="2:31" s="204" customFormat="1" x14ac:dyDescent="0.25">
      <c r="B509" s="287" t="s">
        <v>1118</v>
      </c>
      <c r="C509" s="287" t="s">
        <v>1119</v>
      </c>
      <c r="D509" s="274" t="s">
        <v>3531</v>
      </c>
      <c r="E509" s="274"/>
      <c r="F509" s="274"/>
      <c r="G509" s="283"/>
      <c r="H509" s="266"/>
      <c r="I509" s="274"/>
      <c r="J509" s="281"/>
      <c r="K509" s="281"/>
      <c r="L509" s="295" t="s">
        <v>1121</v>
      </c>
      <c r="M509" s="284" t="s">
        <v>2962</v>
      </c>
      <c r="N509" s="270">
        <f>+V509</f>
        <v>0</v>
      </c>
      <c r="O509" s="270">
        <f>+AC509</f>
        <v>0</v>
      </c>
      <c r="P509" s="271">
        <f>+O509-N509</f>
        <v>0</v>
      </c>
      <c r="Q509" s="527"/>
      <c r="R509" s="354">
        <f>IF(ISERROR(VLOOKUP("SAN"&amp;$C509,ESTR_PREC_SP!$A$2:$G$2000,4,FALSE))=TRUE,0,VLOOKUP("SAN"&amp;$C509,ESTR_PREC_SP!$A$2:$G$2000,4,FALSE))</f>
        <v>0</v>
      </c>
      <c r="S509" s="521"/>
      <c r="T509" s="527"/>
      <c r="U509" s="527"/>
      <c r="V509" s="526">
        <f>+R509+S509-T509</f>
        <v>0</v>
      </c>
      <c r="W509" s="527"/>
      <c r="X509" s="527"/>
      <c r="Y509" s="527"/>
      <c r="Z509" s="527"/>
      <c r="AA509" s="527"/>
      <c r="AB509" s="527"/>
      <c r="AC509" s="526">
        <f>+V509+X509+Y509-Z509+AA509-AB509+W509+Q509</f>
        <v>0</v>
      </c>
    </row>
    <row r="510" spans="2:31" s="204" customFormat="1" x14ac:dyDescent="0.25">
      <c r="B510" s="287" t="s">
        <v>1122</v>
      </c>
      <c r="C510" s="287" t="s">
        <v>1123</v>
      </c>
      <c r="D510" s="274" t="s">
        <v>3532</v>
      </c>
      <c r="E510" s="274"/>
      <c r="F510" s="274"/>
      <c r="G510" s="283"/>
      <c r="H510" s="266"/>
      <c r="I510" s="274"/>
      <c r="J510" s="281"/>
      <c r="K510" s="281"/>
      <c r="L510" s="295" t="s">
        <v>1125</v>
      </c>
      <c r="M510" s="284" t="s">
        <v>2962</v>
      </c>
      <c r="N510" s="270">
        <f>+V510</f>
        <v>0</v>
      </c>
      <c r="O510" s="270">
        <f>+AC510</f>
        <v>0</v>
      </c>
      <c r="P510" s="271">
        <f>+O510-N510</f>
        <v>0</v>
      </c>
      <c r="Q510" s="527"/>
      <c r="R510" s="354">
        <f>IF(ISERROR(VLOOKUP("SAN"&amp;$C510,ESTR_PREC_SP!$A$2:$G$2000,4,FALSE))=TRUE,0,VLOOKUP("SAN"&amp;$C510,ESTR_PREC_SP!$A$2:$G$2000,4,FALSE))</f>
        <v>0</v>
      </c>
      <c r="S510" s="521"/>
      <c r="T510" s="527"/>
      <c r="U510" s="527"/>
      <c r="V510" s="526">
        <f>+R510+S510-T510</f>
        <v>0</v>
      </c>
      <c r="W510" s="527"/>
      <c r="X510" s="527"/>
      <c r="Y510" s="527"/>
      <c r="Z510" s="527"/>
      <c r="AA510" s="527"/>
      <c r="AB510" s="527"/>
      <c r="AC510" s="526">
        <f>+V510+X510+Y510-Z510+AA510-AB510+W510+Q510</f>
        <v>0</v>
      </c>
    </row>
    <row r="511" spans="2:31" s="204" customFormat="1" x14ac:dyDescent="0.25">
      <c r="B511" s="230"/>
      <c r="C511" s="230"/>
      <c r="D511" s="230"/>
      <c r="E511" s="230"/>
      <c r="F511" s="230"/>
      <c r="G511" s="230"/>
      <c r="H511" s="231"/>
      <c r="I511" s="230"/>
      <c r="J511" s="230"/>
      <c r="K511" s="230"/>
      <c r="L511" s="232"/>
      <c r="M511" s="211"/>
      <c r="N511" s="254"/>
      <c r="O511" s="211"/>
      <c r="P511" s="211"/>
      <c r="Q511" s="211"/>
      <c r="R511" s="211"/>
      <c r="S511" s="211"/>
      <c r="T511" s="285"/>
      <c r="U511" s="285"/>
      <c r="V511" s="211"/>
      <c r="W511" s="211"/>
      <c r="X511" s="211"/>
      <c r="Y511" s="211"/>
      <c r="Z511" s="211"/>
      <c r="AA511" s="211"/>
    </row>
    <row r="512" spans="2:31" s="204" customFormat="1" x14ac:dyDescent="0.25">
      <c r="B512" s="233" t="s">
        <v>1126</v>
      </c>
      <c r="C512" s="233" t="s">
        <v>1127</v>
      </c>
      <c r="D512" s="234" t="s">
        <v>3533</v>
      </c>
      <c r="E512" s="234"/>
      <c r="F512" s="234"/>
      <c r="G512" s="234"/>
      <c r="H512" s="235"/>
      <c r="I512" s="234"/>
      <c r="J512" s="234"/>
      <c r="K512" s="234"/>
      <c r="L512" s="236" t="s">
        <v>1128</v>
      </c>
      <c r="M512" s="237" t="s">
        <v>2962</v>
      </c>
      <c r="N512" s="238">
        <f>+N515+N590+N727+N736</f>
        <v>111296606</v>
      </c>
      <c r="O512" s="238">
        <f>+O515+O590+O727+O736</f>
        <v>135336879</v>
      </c>
      <c r="P512" s="239">
        <f>+O512-N512</f>
        <v>24040273</v>
      </c>
      <c r="Q512" s="211"/>
      <c r="R512" s="211"/>
      <c r="S512" s="224">
        <f>S515+S590</f>
        <v>0</v>
      </c>
      <c r="T512" s="285"/>
      <c r="U512" s="285"/>
      <c r="V512" s="211"/>
      <c r="W512" s="211"/>
      <c r="X512" s="211"/>
      <c r="Y512" s="211"/>
      <c r="Z512" s="211"/>
      <c r="AA512" s="211"/>
    </row>
    <row r="513" spans="2:28" s="204" customFormat="1" x14ac:dyDescent="0.25">
      <c r="B513" s="230"/>
      <c r="C513" s="230"/>
      <c r="D513" s="230"/>
      <c r="E513" s="230"/>
      <c r="F513" s="230"/>
      <c r="G513" s="230"/>
      <c r="H513" s="231"/>
      <c r="I513" s="230"/>
      <c r="J513" s="230"/>
      <c r="K513" s="230"/>
      <c r="L513" s="232"/>
      <c r="M513" s="211"/>
      <c r="N513" s="254"/>
      <c r="O513" s="211"/>
      <c r="P513" s="211"/>
      <c r="Q513" s="211"/>
      <c r="R513" s="211"/>
      <c r="S513" s="211"/>
      <c r="T513" s="285"/>
      <c r="U513" s="285"/>
      <c r="V513" s="211"/>
      <c r="W513" s="211"/>
      <c r="X513" s="211"/>
      <c r="Y513" s="211"/>
      <c r="Z513" s="211"/>
      <c r="AA513" s="211"/>
    </row>
    <row r="514" spans="2:28" s="204" customFormat="1" ht="25.5" x14ac:dyDescent="0.25">
      <c r="B514" s="230"/>
      <c r="C514" s="230"/>
      <c r="D514" s="230"/>
      <c r="E514" s="230"/>
      <c r="F514" s="230"/>
      <c r="G514" s="230"/>
      <c r="H514" s="231"/>
      <c r="I514" s="230"/>
      <c r="J514" s="230"/>
      <c r="K514" s="230"/>
      <c r="L514" s="243"/>
      <c r="M514" s="244"/>
      <c r="N514" s="330" t="str">
        <f>N$15</f>
        <v>Valore netto al 31/12/2019</v>
      </c>
      <c r="O514" s="331" t="str">
        <f>O$15</f>
        <v>Valore netto al 31/12/2020</v>
      </c>
      <c r="P514" s="330" t="str">
        <f>P$15</f>
        <v>Variazione</v>
      </c>
      <c r="Q514" s="211"/>
      <c r="R514" s="211"/>
      <c r="S514" s="211"/>
      <c r="T514" s="285"/>
      <c r="U514" s="285"/>
      <c r="V514" s="211"/>
      <c r="W514" s="211"/>
      <c r="X514" s="211"/>
      <c r="Y514" s="211"/>
      <c r="Z514" s="211"/>
      <c r="AA514" s="211"/>
    </row>
    <row r="515" spans="2:28" s="204" customFormat="1" x14ac:dyDescent="0.25">
      <c r="B515" s="246" t="s">
        <v>1129</v>
      </c>
      <c r="C515" s="246" t="s">
        <v>1130</v>
      </c>
      <c r="D515" s="247" t="s">
        <v>3534</v>
      </c>
      <c r="E515" s="247"/>
      <c r="F515" s="247"/>
      <c r="G515" s="247"/>
      <c r="H515" s="248"/>
      <c r="I515" s="247"/>
      <c r="J515" s="247"/>
      <c r="K515" s="249"/>
      <c r="L515" s="250" t="s">
        <v>1131</v>
      </c>
      <c r="M515" s="251" t="s">
        <v>2962</v>
      </c>
      <c r="N515" s="252">
        <f>+N517+N569</f>
        <v>11430307</v>
      </c>
      <c r="O515" s="252">
        <f>+O517+O569</f>
        <v>15048961</v>
      </c>
      <c r="P515" s="253">
        <f>+O515-N515</f>
        <v>3618654</v>
      </c>
      <c r="Q515" s="211"/>
      <c r="R515" s="211"/>
      <c r="S515" s="224">
        <f>S517+S569</f>
        <v>0</v>
      </c>
      <c r="T515" s="285"/>
      <c r="U515" s="285"/>
      <c r="V515" s="211"/>
      <c r="W515" s="211"/>
      <c r="X515" s="211"/>
      <c r="Y515" s="211"/>
      <c r="Z515" s="211"/>
      <c r="AA515" s="211"/>
    </row>
    <row r="516" spans="2:28" s="204" customFormat="1" x14ac:dyDescent="0.25">
      <c r="B516" s="230"/>
      <c r="C516" s="230"/>
      <c r="D516" s="230"/>
      <c r="E516" s="230"/>
      <c r="F516" s="230"/>
      <c r="G516" s="230"/>
      <c r="H516" s="231"/>
      <c r="I516" s="230"/>
      <c r="J516" s="230"/>
      <c r="K516" s="230"/>
      <c r="L516" s="299"/>
      <c r="M516" s="211"/>
      <c r="N516" s="254"/>
      <c r="O516" s="211"/>
      <c r="P516" s="211"/>
      <c r="Q516" s="211"/>
      <c r="R516" s="211"/>
      <c r="S516" s="211"/>
      <c r="T516" s="285"/>
      <c r="U516" s="285"/>
      <c r="V516" s="211"/>
      <c r="W516" s="211"/>
      <c r="X516" s="211"/>
      <c r="Y516" s="211"/>
      <c r="Z516" s="211"/>
      <c r="AA516" s="211"/>
    </row>
    <row r="517" spans="2:28" s="204" customFormat="1" x14ac:dyDescent="0.25">
      <c r="B517" s="246" t="s">
        <v>1132</v>
      </c>
      <c r="C517" s="246" t="s">
        <v>1133</v>
      </c>
      <c r="D517" s="247" t="s">
        <v>3535</v>
      </c>
      <c r="E517" s="247"/>
      <c r="F517" s="247"/>
      <c r="G517" s="247"/>
      <c r="H517" s="248"/>
      <c r="I517" s="247"/>
      <c r="J517" s="247"/>
      <c r="K517" s="249"/>
      <c r="L517" s="276" t="s">
        <v>1135</v>
      </c>
      <c r="M517" s="251" t="s">
        <v>2962</v>
      </c>
      <c r="N517" s="252">
        <f>SUM(N520:N566)</f>
        <v>11277052</v>
      </c>
      <c r="O517" s="252">
        <f>SUM(O520:O566)</f>
        <v>14894110</v>
      </c>
      <c r="P517" s="259">
        <f>+O517-N517</f>
        <v>3617058</v>
      </c>
      <c r="Q517" s="252">
        <f>SUM(Q520:Q566)</f>
        <v>0</v>
      </c>
      <c r="R517" s="252">
        <f>SUM(R522:R566)</f>
        <v>11277052</v>
      </c>
      <c r="S517" s="252">
        <f t="shared" ref="S517:AB517" si="67">SUM(S520:S566)</f>
        <v>0</v>
      </c>
      <c r="T517" s="252">
        <f t="shared" si="67"/>
        <v>0</v>
      </c>
      <c r="U517" s="252">
        <f t="shared" si="67"/>
        <v>69466724</v>
      </c>
      <c r="V517" s="252">
        <f t="shared" si="67"/>
        <v>0</v>
      </c>
      <c r="W517" s="252">
        <f t="shared" si="67"/>
        <v>0</v>
      </c>
      <c r="X517" s="252">
        <f t="shared" si="67"/>
        <v>0</v>
      </c>
      <c r="Y517" s="252">
        <f t="shared" si="67"/>
        <v>65849666</v>
      </c>
      <c r="Z517" s="252">
        <f t="shared" si="67"/>
        <v>14894110</v>
      </c>
      <c r="AA517" s="252">
        <f t="shared" si="67"/>
        <v>0</v>
      </c>
      <c r="AB517" s="252">
        <f t="shared" si="67"/>
        <v>5913496</v>
      </c>
    </row>
    <row r="518" spans="2:28" s="204" customFormat="1" x14ac:dyDescent="0.25">
      <c r="B518" s="230"/>
      <c r="C518" s="230"/>
      <c r="D518" s="230"/>
      <c r="E518" s="230"/>
      <c r="F518" s="230"/>
      <c r="G518" s="230"/>
      <c r="H518" s="231"/>
      <c r="I518" s="230"/>
      <c r="J518" s="230"/>
      <c r="K518" s="230"/>
      <c r="L518" s="232"/>
      <c r="M518" s="211"/>
      <c r="N518" s="254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2:28" s="204" customFormat="1" ht="63.75" x14ac:dyDescent="0.25">
      <c r="B519" s="294" t="s">
        <v>2968</v>
      </c>
      <c r="C519" s="294" t="s">
        <v>2969</v>
      </c>
      <c r="D519" s="206" t="s">
        <v>72</v>
      </c>
      <c r="E519" s="206"/>
      <c r="F519" s="206"/>
      <c r="G519" s="207"/>
      <c r="H519" s="207"/>
      <c r="I519" s="207"/>
      <c r="J519" s="207" t="s">
        <v>2957</v>
      </c>
      <c r="K519" s="206" t="s">
        <v>82</v>
      </c>
      <c r="L519" s="261" t="s">
        <v>2970</v>
      </c>
      <c r="M519" s="345"/>
      <c r="N519" s="256" t="str">
        <f>N$15</f>
        <v>Valore netto al 31/12/2019</v>
      </c>
      <c r="O519" s="256" t="str">
        <f>O$15</f>
        <v>Valore netto al 31/12/2020</v>
      </c>
      <c r="P519" s="256" t="str">
        <f>P$15</f>
        <v>Variazione</v>
      </c>
      <c r="Q519" s="262" t="s">
        <v>2971</v>
      </c>
      <c r="R519" s="262" t="s">
        <v>3536</v>
      </c>
      <c r="S519" s="262" t="s">
        <v>2972</v>
      </c>
      <c r="T519" s="262" t="s">
        <v>3537</v>
      </c>
      <c r="U519" s="262" t="s">
        <v>3538</v>
      </c>
      <c r="V519" s="262" t="s">
        <v>3539</v>
      </c>
      <c r="W519" s="262" t="s">
        <v>2975</v>
      </c>
      <c r="X519" s="262" t="s">
        <v>3540</v>
      </c>
      <c r="Y519" s="262" t="s">
        <v>3541</v>
      </c>
      <c r="Z519" s="346" t="s">
        <v>3542</v>
      </c>
      <c r="AA519" s="262" t="s">
        <v>3543</v>
      </c>
      <c r="AB519" s="262" t="s">
        <v>3544</v>
      </c>
    </row>
    <row r="520" spans="2:28" s="204" customFormat="1" hidden="1" x14ac:dyDescent="0.25">
      <c r="B520" s="347" t="s">
        <v>1137</v>
      </c>
      <c r="C520" s="347" t="s">
        <v>1137</v>
      </c>
      <c r="D520" s="348" t="s">
        <v>3545</v>
      </c>
      <c r="E520" s="348"/>
      <c r="F520" s="348"/>
      <c r="G520" s="348"/>
      <c r="H520" s="349"/>
      <c r="I520" s="349"/>
      <c r="J520" s="349"/>
      <c r="K520" s="349"/>
      <c r="L520" s="350" t="s">
        <v>1138</v>
      </c>
      <c r="M520" s="284" t="s">
        <v>2962</v>
      </c>
      <c r="N520" s="351"/>
      <c r="O520" s="351"/>
      <c r="P520" s="352"/>
      <c r="Q520" s="353"/>
      <c r="R520" s="354"/>
      <c r="S520" s="355"/>
      <c r="T520" s="356"/>
      <c r="U520" s="356"/>
      <c r="V520" s="355"/>
      <c r="W520" s="355"/>
      <c r="X520" s="355"/>
      <c r="Y520" s="355"/>
      <c r="Z520" s="357"/>
      <c r="AA520" s="355"/>
      <c r="AB520" s="355"/>
    </row>
    <row r="521" spans="2:28" s="204" customFormat="1" x14ac:dyDescent="0.25">
      <c r="B521" s="347" t="s">
        <v>1139</v>
      </c>
      <c r="C521" s="347" t="s">
        <v>1140</v>
      </c>
      <c r="D521" s="348" t="s">
        <v>3546</v>
      </c>
      <c r="E521" s="348"/>
      <c r="F521" s="348"/>
      <c r="G521" s="348"/>
      <c r="H521" s="349"/>
      <c r="I521" s="349"/>
      <c r="J521" s="349"/>
      <c r="K521" s="349"/>
      <c r="L521" s="350" t="s">
        <v>3547</v>
      </c>
      <c r="M521" s="284" t="s">
        <v>2962</v>
      </c>
      <c r="N521" s="351"/>
      <c r="O521" s="351"/>
      <c r="P521" s="352"/>
      <c r="Q521" s="351"/>
      <c r="R521" s="351"/>
      <c r="S521" s="351"/>
      <c r="T521" s="351"/>
      <c r="U521" s="351"/>
      <c r="V521" s="351"/>
      <c r="W521" s="351"/>
      <c r="X521" s="351"/>
      <c r="Y521" s="351"/>
      <c r="Z521" s="351"/>
      <c r="AA521" s="351"/>
      <c r="AB521" s="351"/>
    </row>
    <row r="522" spans="2:28" s="204" customFormat="1" x14ac:dyDescent="0.25">
      <c r="B522" s="347" t="s">
        <v>1142</v>
      </c>
      <c r="C522" s="347" t="s">
        <v>1143</v>
      </c>
      <c r="D522" s="348" t="s">
        <v>3548</v>
      </c>
      <c r="E522" s="348"/>
      <c r="F522" s="348"/>
      <c r="G522" s="348"/>
      <c r="H522" s="349"/>
      <c r="I522" s="349"/>
      <c r="J522" s="349"/>
      <c r="K522" s="349"/>
      <c r="L522" s="350" t="s">
        <v>3549</v>
      </c>
      <c r="M522" s="284" t="s">
        <v>2962</v>
      </c>
      <c r="N522" s="270">
        <f t="shared" ref="N522:N566" si="68">+R522</f>
        <v>3842423</v>
      </c>
      <c r="O522" s="270">
        <f t="shared" ref="O522:O565" si="69">+Z522</f>
        <v>5774021</v>
      </c>
      <c r="P522" s="271">
        <f t="shared" ref="P522:P566" si="70">+O522-N522</f>
        <v>1931598</v>
      </c>
      <c r="Q522" s="532"/>
      <c r="R522" s="354">
        <f>IF(ISERROR(VLOOKUP("SAN"&amp;$C522,ESTR_PREC_SP!$A$2:$G$2000,4,FALSE))=TRUE,0,VLOOKUP("SAN"&amp;$C522,ESTR_PREC_SP!$A$2:$G$2000,4,FALSE))</f>
        <v>3842423</v>
      </c>
      <c r="S522" s="521"/>
      <c r="T522" s="532"/>
      <c r="U522" s="532">
        <f>31874098-4620</f>
        <v>31869478</v>
      </c>
      <c r="V522" s="527"/>
      <c r="W522" s="527"/>
      <c r="X522" s="527"/>
      <c r="Y522" s="527">
        <f>3842423+U522-5774021</f>
        <v>29937880</v>
      </c>
      <c r="Z522" s="526">
        <f t="shared" ref="Z522:Z565" si="71">+R522+S522+U522+T522+V522-X522-Y522+W522+Q522</f>
        <v>5774021</v>
      </c>
      <c r="AA522" s="527"/>
      <c r="AB522" s="527">
        <v>0</v>
      </c>
    </row>
    <row r="523" spans="2:28" s="204" customFormat="1" x14ac:dyDescent="0.25">
      <c r="B523" s="347" t="s">
        <v>1147</v>
      </c>
      <c r="C523" s="347" t="s">
        <v>1148</v>
      </c>
      <c r="D523" s="348" t="s">
        <v>3550</v>
      </c>
      <c r="E523" s="348"/>
      <c r="F523" s="348"/>
      <c r="G523" s="348"/>
      <c r="H523" s="349"/>
      <c r="I523" s="349"/>
      <c r="J523" s="349"/>
      <c r="K523" s="349"/>
      <c r="L523" s="350" t="s">
        <v>3551</v>
      </c>
      <c r="M523" s="284" t="s">
        <v>2962</v>
      </c>
      <c r="N523" s="270">
        <f t="shared" si="68"/>
        <v>273057</v>
      </c>
      <c r="O523" s="270">
        <f t="shared" si="69"/>
        <v>54317</v>
      </c>
      <c r="P523" s="271">
        <f t="shared" si="70"/>
        <v>-218740</v>
      </c>
      <c r="Q523" s="532"/>
      <c r="R523" s="354">
        <f>IF(ISERROR(VLOOKUP("SAN"&amp;$C523,ESTR_PREC_SP!$A$2:$G$2000,4,FALSE))=TRUE,0,VLOOKUP("SAN"&amp;$C523,ESTR_PREC_SP!$A$2:$G$2000,4,FALSE))</f>
        <v>273057</v>
      </c>
      <c r="S523" s="521"/>
      <c r="T523" s="532"/>
      <c r="U523" s="532">
        <v>280896</v>
      </c>
      <c r="V523" s="527"/>
      <c r="W523" s="527"/>
      <c r="X523" s="527"/>
      <c r="Y523" s="527">
        <f>273057+U523-54317</f>
        <v>499636</v>
      </c>
      <c r="Z523" s="526">
        <f t="shared" si="71"/>
        <v>54317</v>
      </c>
      <c r="AA523" s="527"/>
      <c r="AB523" s="527">
        <v>0</v>
      </c>
    </row>
    <row r="524" spans="2:28" s="204" customFormat="1" x14ac:dyDescent="0.25">
      <c r="B524" s="347" t="s">
        <v>1150</v>
      </c>
      <c r="C524" s="347" t="s">
        <v>1151</v>
      </c>
      <c r="D524" s="348" t="s">
        <v>3552</v>
      </c>
      <c r="E524" s="348"/>
      <c r="F524" s="348"/>
      <c r="G524" s="348"/>
      <c r="H524" s="349"/>
      <c r="I524" s="349"/>
      <c r="J524" s="349"/>
      <c r="K524" s="349"/>
      <c r="L524" s="350" t="s">
        <v>3553</v>
      </c>
      <c r="M524" s="284" t="s">
        <v>2962</v>
      </c>
      <c r="N524" s="270">
        <f t="shared" si="68"/>
        <v>1309863</v>
      </c>
      <c r="O524" s="270">
        <f t="shared" si="69"/>
        <v>1795974</v>
      </c>
      <c r="P524" s="271">
        <f t="shared" si="70"/>
        <v>486111</v>
      </c>
      <c r="Q524" s="532"/>
      <c r="R524" s="354">
        <f>IF(ISERROR(VLOOKUP("SAN"&amp;$C524,ESTR_PREC_SP!$A$2:$G$2000,4,FALSE))=TRUE,0,VLOOKUP("SAN"&amp;$C524,ESTR_PREC_SP!$A$2:$G$2000,4,FALSE))</f>
        <v>1309863</v>
      </c>
      <c r="S524" s="521"/>
      <c r="T524" s="532"/>
      <c r="U524" s="532">
        <f>4474677-103101</f>
        <v>4371576</v>
      </c>
      <c r="V524" s="527"/>
      <c r="W524" s="527"/>
      <c r="X524" s="527"/>
      <c r="Y524" s="527">
        <f>1309863+U524-1795976+2</f>
        <v>3885465</v>
      </c>
      <c r="Z524" s="526">
        <f t="shared" si="71"/>
        <v>1795974</v>
      </c>
      <c r="AA524" s="527"/>
      <c r="AB524" s="527">
        <v>1795976</v>
      </c>
    </row>
    <row r="525" spans="2:28" s="204" customFormat="1" x14ac:dyDescent="0.25">
      <c r="B525" s="347" t="s">
        <v>1153</v>
      </c>
      <c r="C525" s="347" t="s">
        <v>1154</v>
      </c>
      <c r="D525" s="348" t="s">
        <v>3554</v>
      </c>
      <c r="E525" s="348"/>
      <c r="F525" s="348"/>
      <c r="G525" s="348"/>
      <c r="H525" s="349"/>
      <c r="I525" s="349"/>
      <c r="J525" s="348"/>
      <c r="K525" s="349"/>
      <c r="L525" s="350" t="s">
        <v>3555</v>
      </c>
      <c r="M525" s="284" t="s">
        <v>2962</v>
      </c>
      <c r="N525" s="270">
        <f t="shared" si="68"/>
        <v>73869</v>
      </c>
      <c r="O525" s="270">
        <f t="shared" si="69"/>
        <v>103089</v>
      </c>
      <c r="P525" s="271">
        <f t="shared" si="70"/>
        <v>29220</v>
      </c>
      <c r="Q525" s="532"/>
      <c r="R525" s="354">
        <f>IF(ISERROR(VLOOKUP("SAN"&amp;$C525,ESTR_PREC_SP!$A$2:$G$2000,4,FALSE))=TRUE,0,VLOOKUP("SAN"&amp;$C525,ESTR_PREC_SP!$A$2:$G$2000,4,FALSE))</f>
        <v>73869</v>
      </c>
      <c r="S525" s="521"/>
      <c r="T525" s="532"/>
      <c r="U525" s="532">
        <f>4508002+528</f>
        <v>4508530</v>
      </c>
      <c r="V525" s="527"/>
      <c r="W525" s="527"/>
      <c r="X525" s="527"/>
      <c r="Y525" s="527">
        <f>73869+U525-72687-20802-9600</f>
        <v>4479310</v>
      </c>
      <c r="Z525" s="526">
        <f t="shared" si="71"/>
        <v>103089</v>
      </c>
      <c r="AA525" s="527"/>
      <c r="AB525" s="527">
        <v>5629</v>
      </c>
    </row>
    <row r="526" spans="2:28" s="204" customFormat="1" ht="25.5" x14ac:dyDescent="0.25">
      <c r="B526" s="347" t="s">
        <v>1156</v>
      </c>
      <c r="C526" s="347" t="s">
        <v>1157</v>
      </c>
      <c r="D526" s="348" t="s">
        <v>3556</v>
      </c>
      <c r="E526" s="348"/>
      <c r="F526" s="348"/>
      <c r="G526" s="348"/>
      <c r="H526" s="349"/>
      <c r="I526" s="349"/>
      <c r="J526" s="348"/>
      <c r="K526" s="349"/>
      <c r="L526" s="350" t="s">
        <v>3557</v>
      </c>
      <c r="M526" s="284" t="s">
        <v>2962</v>
      </c>
      <c r="N526" s="270">
        <f t="shared" si="68"/>
        <v>0</v>
      </c>
      <c r="O526" s="270">
        <f t="shared" si="69"/>
        <v>0</v>
      </c>
      <c r="P526" s="271">
        <f t="shared" si="70"/>
        <v>0</v>
      </c>
      <c r="Q526" s="532"/>
      <c r="R526" s="354">
        <f>IF(ISERROR(VLOOKUP("SAN"&amp;$C526,ESTR_PREC_SP!$A$2:$G$2000,4,FALSE))=TRUE,0,VLOOKUP("SAN"&amp;$C526,ESTR_PREC_SP!$A$2:$G$2000,4,FALSE))</f>
        <v>0</v>
      </c>
      <c r="S526" s="521"/>
      <c r="T526" s="532"/>
      <c r="U526" s="532">
        <v>27377</v>
      </c>
      <c r="V526" s="527"/>
      <c r="W526" s="527"/>
      <c r="X526" s="527"/>
      <c r="Y526" s="527">
        <f>U526</f>
        <v>27377</v>
      </c>
      <c r="Z526" s="526">
        <f t="shared" si="71"/>
        <v>0</v>
      </c>
      <c r="AA526" s="527"/>
      <c r="AB526" s="527"/>
    </row>
    <row r="527" spans="2:28" s="204" customFormat="1" x14ac:dyDescent="0.25">
      <c r="B527" s="347" t="s">
        <v>1159</v>
      </c>
      <c r="C527" s="347" t="s">
        <v>1160</v>
      </c>
      <c r="D527" s="348" t="s">
        <v>3558</v>
      </c>
      <c r="E527" s="348"/>
      <c r="F527" s="348"/>
      <c r="G527" s="348"/>
      <c r="H527" s="349"/>
      <c r="I527" s="349"/>
      <c r="J527" s="349"/>
      <c r="K527" s="349"/>
      <c r="L527" s="350" t="s">
        <v>3559</v>
      </c>
      <c r="M527" s="284" t="s">
        <v>2962</v>
      </c>
      <c r="N527" s="270">
        <f t="shared" si="68"/>
        <v>0</v>
      </c>
      <c r="O527" s="270">
        <f t="shared" si="69"/>
        <v>0</v>
      </c>
      <c r="P527" s="271">
        <f t="shared" si="70"/>
        <v>0</v>
      </c>
      <c r="Q527" s="532"/>
      <c r="R527" s="354">
        <f>IF(ISERROR(VLOOKUP("SAN"&amp;$C527,ESTR_PREC_SP!$A$2:$G$2000,4,FALSE))=TRUE,0,VLOOKUP("SAN"&amp;$C527,ESTR_PREC_SP!$A$2:$G$2000,4,FALSE))</f>
        <v>0</v>
      </c>
      <c r="S527" s="521"/>
      <c r="T527" s="532"/>
      <c r="U527" s="532"/>
      <c r="V527" s="527"/>
      <c r="W527" s="527"/>
      <c r="X527" s="527"/>
      <c r="Y527" s="527"/>
      <c r="Z527" s="526">
        <f t="shared" si="71"/>
        <v>0</v>
      </c>
      <c r="AA527" s="527"/>
      <c r="AB527" s="527"/>
    </row>
    <row r="528" spans="2:28" s="204" customFormat="1" ht="25.5" x14ac:dyDescent="0.25">
      <c r="B528" s="347" t="s">
        <v>1162</v>
      </c>
      <c r="C528" s="347" t="s">
        <v>1163</v>
      </c>
      <c r="D528" s="348" t="s">
        <v>3560</v>
      </c>
      <c r="E528" s="348"/>
      <c r="F528" s="348"/>
      <c r="G528" s="348"/>
      <c r="H528" s="349"/>
      <c r="I528" s="349"/>
      <c r="J528" s="348"/>
      <c r="K528" s="349"/>
      <c r="L528" s="350" t="s">
        <v>3561</v>
      </c>
      <c r="M528" s="284" t="s">
        <v>2962</v>
      </c>
      <c r="N528" s="270">
        <f t="shared" si="68"/>
        <v>0</v>
      </c>
      <c r="O528" s="270">
        <f t="shared" si="69"/>
        <v>0</v>
      </c>
      <c r="P528" s="271">
        <f t="shared" si="70"/>
        <v>0</v>
      </c>
      <c r="Q528" s="532"/>
      <c r="R528" s="354">
        <f>IF(ISERROR(VLOOKUP("SAN"&amp;$C528,ESTR_PREC_SP!$A$2:$G$2000,4,FALSE))=TRUE,0,VLOOKUP("SAN"&amp;$C528,ESTR_PREC_SP!$A$2:$G$2000,4,FALSE))</f>
        <v>0</v>
      </c>
      <c r="S528" s="521"/>
      <c r="T528" s="532"/>
      <c r="U528" s="532"/>
      <c r="V528" s="527"/>
      <c r="W528" s="527"/>
      <c r="X528" s="527"/>
      <c r="Y528" s="527"/>
      <c r="Z528" s="526">
        <f t="shared" si="71"/>
        <v>0</v>
      </c>
      <c r="AA528" s="527"/>
      <c r="AB528" s="527"/>
    </row>
    <row r="529" spans="2:28" s="204" customFormat="1" x14ac:dyDescent="0.25">
      <c r="B529" s="347" t="s">
        <v>1165</v>
      </c>
      <c r="C529" s="347" t="s">
        <v>1166</v>
      </c>
      <c r="D529" s="348" t="s">
        <v>3562</v>
      </c>
      <c r="E529" s="348"/>
      <c r="F529" s="348"/>
      <c r="G529" s="348"/>
      <c r="H529" s="349"/>
      <c r="I529" s="349"/>
      <c r="J529" s="349"/>
      <c r="K529" s="349"/>
      <c r="L529" s="350" t="s">
        <v>3563</v>
      </c>
      <c r="M529" s="284" t="s">
        <v>2962</v>
      </c>
      <c r="N529" s="270">
        <f t="shared" si="68"/>
        <v>3942</v>
      </c>
      <c r="O529" s="270">
        <f t="shared" si="69"/>
        <v>3984</v>
      </c>
      <c r="P529" s="271">
        <f t="shared" si="70"/>
        <v>42</v>
      </c>
      <c r="Q529" s="532"/>
      <c r="R529" s="354">
        <f>IF(ISERROR(VLOOKUP("SAN"&amp;$C529,ESTR_PREC_SP!$A$2:$G$2000,4,FALSE))=TRUE,0,VLOOKUP("SAN"&amp;$C529,ESTR_PREC_SP!$A$2:$G$2000,4,FALSE))</f>
        <v>3942</v>
      </c>
      <c r="S529" s="521"/>
      <c r="T529" s="532"/>
      <c r="U529" s="532">
        <v>492182</v>
      </c>
      <c r="V529" s="527"/>
      <c r="W529" s="527"/>
      <c r="X529" s="527"/>
      <c r="Y529" s="527">
        <f>3942+U529-3984</f>
        <v>492140</v>
      </c>
      <c r="Z529" s="526">
        <f t="shared" si="71"/>
        <v>3984</v>
      </c>
      <c r="AA529" s="527"/>
      <c r="AB529" s="527">
        <v>1087</v>
      </c>
    </row>
    <row r="530" spans="2:28" s="204" customFormat="1" x14ac:dyDescent="0.25">
      <c r="B530" s="347" t="s">
        <v>1168</v>
      </c>
      <c r="C530" s="347" t="s">
        <v>1169</v>
      </c>
      <c r="D530" s="348" t="s">
        <v>3564</v>
      </c>
      <c r="E530" s="348"/>
      <c r="F530" s="348"/>
      <c r="G530" s="348"/>
      <c r="H530" s="349"/>
      <c r="I530" s="349"/>
      <c r="J530" s="348"/>
      <c r="K530" s="349"/>
      <c r="L530" s="350" t="s">
        <v>3565</v>
      </c>
      <c r="M530" s="284" t="s">
        <v>2962</v>
      </c>
      <c r="N530" s="270">
        <f t="shared" si="68"/>
        <v>0</v>
      </c>
      <c r="O530" s="270">
        <f t="shared" si="69"/>
        <v>0</v>
      </c>
      <c r="P530" s="271">
        <f t="shared" si="70"/>
        <v>0</v>
      </c>
      <c r="Q530" s="532"/>
      <c r="R530" s="354">
        <f>IF(ISERROR(VLOOKUP("SAN"&amp;$C530,ESTR_PREC_SP!$A$2:$G$2000,4,FALSE))=TRUE,0,VLOOKUP("SAN"&amp;$C530,ESTR_PREC_SP!$A$2:$G$2000,4,FALSE))</f>
        <v>0</v>
      </c>
      <c r="S530" s="521"/>
      <c r="T530" s="532"/>
      <c r="U530" s="532">
        <v>410103</v>
      </c>
      <c r="V530" s="527"/>
      <c r="W530" s="527"/>
      <c r="X530" s="527"/>
      <c r="Y530" s="527">
        <f>U530</f>
        <v>410103</v>
      </c>
      <c r="Z530" s="526">
        <f t="shared" si="71"/>
        <v>0</v>
      </c>
      <c r="AA530" s="527"/>
      <c r="AB530" s="527"/>
    </row>
    <row r="531" spans="2:28" s="204" customFormat="1" x14ac:dyDescent="0.25">
      <c r="B531" s="347" t="s">
        <v>1171</v>
      </c>
      <c r="C531" s="347" t="s">
        <v>1172</v>
      </c>
      <c r="D531" s="348" t="s">
        <v>3566</v>
      </c>
      <c r="E531" s="348"/>
      <c r="F531" s="348"/>
      <c r="G531" s="348"/>
      <c r="H531" s="349"/>
      <c r="I531" s="349"/>
      <c r="J531" s="349"/>
      <c r="K531" s="349"/>
      <c r="L531" s="350" t="s">
        <v>3567</v>
      </c>
      <c r="M531" s="284" t="s">
        <v>2962</v>
      </c>
      <c r="N531" s="270">
        <f t="shared" si="68"/>
        <v>0</v>
      </c>
      <c r="O531" s="270">
        <f t="shared" si="69"/>
        <v>0</v>
      </c>
      <c r="P531" s="271">
        <f t="shared" si="70"/>
        <v>0</v>
      </c>
      <c r="Q531" s="532"/>
      <c r="R531" s="354">
        <f>IF(ISERROR(VLOOKUP("SAN"&amp;$C531,ESTR_PREC_SP!$A$2:$G$2000,4,FALSE))=TRUE,0,VLOOKUP("SAN"&amp;$C531,ESTR_PREC_SP!$A$2:$G$2000,4,FALSE))</f>
        <v>0</v>
      </c>
      <c r="S531" s="521"/>
      <c r="T531" s="532"/>
      <c r="U531" s="532"/>
      <c r="V531" s="527"/>
      <c r="W531" s="527"/>
      <c r="X531" s="527"/>
      <c r="Y531" s="527"/>
      <c r="Z531" s="526">
        <f t="shared" si="71"/>
        <v>0</v>
      </c>
      <c r="AA531" s="527"/>
      <c r="AB531" s="527"/>
    </row>
    <row r="532" spans="2:28" s="204" customFormat="1" ht="25.5" x14ac:dyDescent="0.25">
      <c r="B532" s="347" t="s">
        <v>1174</v>
      </c>
      <c r="C532" s="347" t="s">
        <v>1175</v>
      </c>
      <c r="D532" s="348" t="s">
        <v>3568</v>
      </c>
      <c r="E532" s="348"/>
      <c r="F532" s="348"/>
      <c r="G532" s="348"/>
      <c r="H532" s="349"/>
      <c r="I532" s="349"/>
      <c r="J532" s="348"/>
      <c r="K532" s="349"/>
      <c r="L532" s="350" t="s">
        <v>3569</v>
      </c>
      <c r="M532" s="284" t="s">
        <v>2962</v>
      </c>
      <c r="N532" s="270">
        <f t="shared" si="68"/>
        <v>0</v>
      </c>
      <c r="O532" s="270">
        <f t="shared" si="69"/>
        <v>0</v>
      </c>
      <c r="P532" s="271">
        <f t="shared" si="70"/>
        <v>0</v>
      </c>
      <c r="Q532" s="532"/>
      <c r="R532" s="354">
        <f>IF(ISERROR(VLOOKUP("SAN"&amp;$C532,ESTR_PREC_SP!$A$2:$G$2000,4,FALSE))=TRUE,0,VLOOKUP("SAN"&amp;$C532,ESTR_PREC_SP!$A$2:$G$2000,4,FALSE))</f>
        <v>0</v>
      </c>
      <c r="S532" s="521"/>
      <c r="T532" s="532"/>
      <c r="U532" s="532"/>
      <c r="V532" s="527"/>
      <c r="W532" s="527"/>
      <c r="X532" s="527"/>
      <c r="Y532" s="527"/>
      <c r="Z532" s="526">
        <f t="shared" si="71"/>
        <v>0</v>
      </c>
      <c r="AA532" s="527"/>
      <c r="AB532" s="527"/>
    </row>
    <row r="533" spans="2:28" s="204" customFormat="1" x14ac:dyDescent="0.25">
      <c r="B533" s="347" t="s">
        <v>1177</v>
      </c>
      <c r="C533" s="347" t="s">
        <v>1178</v>
      </c>
      <c r="D533" s="348" t="str">
        <f>MID(C533,1,1)&amp;MID(C533,3,2)&amp;MID(C533,6,2)&amp;MID(C533,9,2)&amp;MID(C533,12,3)&amp;MID(C533,16,3)&amp;MID(C533,20,2)&amp;MID(C533,23,3)</f>
        <v>120101002501000000</v>
      </c>
      <c r="E533" s="348"/>
      <c r="F533" s="348"/>
      <c r="G533" s="348"/>
      <c r="H533" s="349"/>
      <c r="I533" s="349"/>
      <c r="J533" s="348"/>
      <c r="K533" s="348"/>
      <c r="L533" s="358" t="s">
        <v>3571</v>
      </c>
      <c r="M533" s="284" t="s">
        <v>2962</v>
      </c>
      <c r="N533" s="270">
        <f t="shared" si="68"/>
        <v>58055</v>
      </c>
      <c r="O533" s="270">
        <f t="shared" si="69"/>
        <v>38814</v>
      </c>
      <c r="P533" s="271">
        <f t="shared" si="70"/>
        <v>-19241</v>
      </c>
      <c r="Q533" s="532"/>
      <c r="R533" s="354">
        <f>IF(ISERROR(VLOOKUP("SAN"&amp;$C533,ESTR_PREC_SP!$A$2:$G$2000,4,FALSE))=TRUE,0,VLOOKUP("SAN"&amp;$C533,ESTR_PREC_SP!$A$2:$G$2000,4,FALSE))</f>
        <v>58055</v>
      </c>
      <c r="S533" s="521"/>
      <c r="T533" s="532"/>
      <c r="U533" s="532">
        <v>69766</v>
      </c>
      <c r="V533" s="527"/>
      <c r="W533" s="527"/>
      <c r="X533" s="527"/>
      <c r="Y533" s="527">
        <f>58055+U533-38814</f>
        <v>89007</v>
      </c>
      <c r="Z533" s="526">
        <f t="shared" si="71"/>
        <v>38814</v>
      </c>
      <c r="AA533" s="527"/>
      <c r="AB533" s="527">
        <v>12389</v>
      </c>
    </row>
    <row r="534" spans="2:28" s="204" customFormat="1" x14ac:dyDescent="0.25">
      <c r="B534" s="347" t="s">
        <v>1180</v>
      </c>
      <c r="C534" s="347" t="s">
        <v>1181</v>
      </c>
      <c r="D534" s="348" t="str">
        <f>MID(C534,1,1)&amp;MID(C534,3,2)&amp;MID(C534,6,2)&amp;MID(C534,9,2)&amp;MID(C534,12,3)&amp;MID(C534,16,3)&amp;MID(C534,20,2)&amp;MID(C534,23,3)</f>
        <v>120101002502000000</v>
      </c>
      <c r="E534" s="348"/>
      <c r="F534" s="348"/>
      <c r="G534" s="348"/>
      <c r="H534" s="349"/>
      <c r="I534" s="349"/>
      <c r="J534" s="348"/>
      <c r="K534" s="348"/>
      <c r="L534" s="358" t="s">
        <v>3573</v>
      </c>
      <c r="M534" s="284" t="s">
        <v>2962</v>
      </c>
      <c r="N534" s="270">
        <f t="shared" si="68"/>
        <v>42989</v>
      </c>
      <c r="O534" s="270">
        <f t="shared" si="69"/>
        <v>52924</v>
      </c>
      <c r="P534" s="271">
        <f t="shared" si="70"/>
        <v>9935</v>
      </c>
      <c r="Q534" s="532"/>
      <c r="R534" s="354">
        <f>IF(ISERROR(VLOOKUP("SAN"&amp;$C534,ESTR_PREC_SP!$A$2:$G$2000,4,FALSE))=TRUE,0,VLOOKUP("SAN"&amp;$C534,ESTR_PREC_SP!$A$2:$G$2000,4,FALSE))</f>
        <v>42989</v>
      </c>
      <c r="S534" s="521"/>
      <c r="T534" s="532"/>
      <c r="U534" s="532">
        <v>422194</v>
      </c>
      <c r="V534" s="527"/>
      <c r="W534" s="527"/>
      <c r="X534" s="527"/>
      <c r="Y534" s="527">
        <f>42989+U534-52924</f>
        <v>412259</v>
      </c>
      <c r="Z534" s="526">
        <f t="shared" si="71"/>
        <v>52924</v>
      </c>
      <c r="AA534" s="527"/>
      <c r="AB534" s="527">
        <v>26910</v>
      </c>
    </row>
    <row r="535" spans="2:28" s="204" customFormat="1" x14ac:dyDescent="0.25">
      <c r="B535" s="347" t="s">
        <v>1183</v>
      </c>
      <c r="C535" s="347" t="s">
        <v>1184</v>
      </c>
      <c r="D535" s="348" t="str">
        <f>MID(C535,1,1)&amp;MID(C535,3,2)&amp;MID(C535,6,2)&amp;MID(C535,9,2)&amp;MID(C535,12,3)&amp;MID(C535,16,3)&amp;MID(C535,20,2)&amp;MID(C535,23,3)</f>
        <v>120101002503000000</v>
      </c>
      <c r="E535" s="348"/>
      <c r="F535" s="348"/>
      <c r="G535" s="348"/>
      <c r="H535" s="349"/>
      <c r="I535" s="349"/>
      <c r="J535" s="348"/>
      <c r="K535" s="348"/>
      <c r="L535" s="358" t="s">
        <v>3575</v>
      </c>
      <c r="M535" s="284" t="s">
        <v>2962</v>
      </c>
      <c r="N535" s="270">
        <f t="shared" si="68"/>
        <v>909</v>
      </c>
      <c r="O535" s="270">
        <f t="shared" si="69"/>
        <v>1025</v>
      </c>
      <c r="P535" s="271">
        <f t="shared" si="70"/>
        <v>116</v>
      </c>
      <c r="Q535" s="532"/>
      <c r="R535" s="354">
        <f>IF(ISERROR(VLOOKUP("SAN"&amp;$C535,ESTR_PREC_SP!$A$2:$G$2000,4,FALSE))=TRUE,0,VLOOKUP("SAN"&amp;$C535,ESTR_PREC_SP!$A$2:$G$2000,4,FALSE))</f>
        <v>909</v>
      </c>
      <c r="S535" s="521"/>
      <c r="T535" s="532"/>
      <c r="U535" s="532">
        <v>23137</v>
      </c>
      <c r="V535" s="527"/>
      <c r="W535" s="527"/>
      <c r="X535" s="527"/>
      <c r="Y535" s="527">
        <f>909+U535-1025</f>
        <v>23021</v>
      </c>
      <c r="Z535" s="526">
        <f t="shared" si="71"/>
        <v>1025</v>
      </c>
      <c r="AA535" s="527"/>
      <c r="AB535" s="527">
        <v>1025</v>
      </c>
    </row>
    <row r="536" spans="2:28" s="204" customFormat="1" x14ac:dyDescent="0.25">
      <c r="B536" s="347" t="s">
        <v>1186</v>
      </c>
      <c r="C536" s="347" t="s">
        <v>1187</v>
      </c>
      <c r="D536" s="348" t="s">
        <v>3576</v>
      </c>
      <c r="E536" s="348"/>
      <c r="F536" s="348"/>
      <c r="G536" s="348"/>
      <c r="H536" s="349"/>
      <c r="I536" s="349"/>
      <c r="J536" s="349"/>
      <c r="K536" s="349"/>
      <c r="L536" s="350" t="s">
        <v>3577</v>
      </c>
      <c r="M536" s="284" t="s">
        <v>2962</v>
      </c>
      <c r="N536" s="270">
        <f t="shared" si="68"/>
        <v>105462</v>
      </c>
      <c r="O536" s="270">
        <f t="shared" si="69"/>
        <v>101610</v>
      </c>
      <c r="P536" s="271">
        <f t="shared" si="70"/>
        <v>-3852</v>
      </c>
      <c r="Q536" s="532"/>
      <c r="R536" s="354">
        <f>IF(ISERROR(VLOOKUP("SAN"&amp;$C536,ESTR_PREC_SP!$A$2:$G$2000,4,FALSE))=TRUE,0,VLOOKUP("SAN"&amp;$C536,ESTR_PREC_SP!$A$2:$G$2000,4,FALSE))</f>
        <v>105462</v>
      </c>
      <c r="S536" s="521"/>
      <c r="T536" s="532"/>
      <c r="U536" s="532">
        <v>347963</v>
      </c>
      <c r="V536" s="527"/>
      <c r="W536" s="527"/>
      <c r="X536" s="527"/>
      <c r="Y536" s="527">
        <f>105462+U536-97067-4543</f>
        <v>351815</v>
      </c>
      <c r="Z536" s="526">
        <f t="shared" si="71"/>
        <v>101610</v>
      </c>
      <c r="AA536" s="527"/>
      <c r="AB536" s="527">
        <v>20688</v>
      </c>
    </row>
    <row r="537" spans="2:28" s="204" customFormat="1" ht="25.5" x14ac:dyDescent="0.25">
      <c r="B537" s="347" t="s">
        <v>1189</v>
      </c>
      <c r="C537" s="347" t="s">
        <v>1190</v>
      </c>
      <c r="D537" s="348" t="s">
        <v>3578</v>
      </c>
      <c r="E537" s="348"/>
      <c r="F537" s="359"/>
      <c r="G537" s="359"/>
      <c r="H537" s="360"/>
      <c r="I537" s="360"/>
      <c r="J537" s="360"/>
      <c r="K537" s="360"/>
      <c r="L537" s="361" t="s">
        <v>3579</v>
      </c>
      <c r="M537" s="284" t="s">
        <v>2962</v>
      </c>
      <c r="N537" s="270">
        <f t="shared" si="68"/>
        <v>1810929</v>
      </c>
      <c r="O537" s="270">
        <f t="shared" si="69"/>
        <v>1810929</v>
      </c>
      <c r="P537" s="271">
        <f t="shared" si="70"/>
        <v>0</v>
      </c>
      <c r="Q537" s="532"/>
      <c r="R537" s="354">
        <f>IF(ISERROR(VLOOKUP("SAN"&amp;$C537,ESTR_PREC_SP!$A$2:$G$2000,4,FALSE))=TRUE,0,VLOOKUP("SAN"&amp;$C537,ESTR_PREC_SP!$A$2:$G$2000,4,FALSE))</f>
        <v>1810929</v>
      </c>
      <c r="S537" s="521"/>
      <c r="T537" s="532"/>
      <c r="U537" s="532"/>
      <c r="V537" s="527"/>
      <c r="W537" s="527"/>
      <c r="X537" s="527"/>
      <c r="Y537" s="527"/>
      <c r="Z537" s="526">
        <f t="shared" si="71"/>
        <v>1810929</v>
      </c>
      <c r="AA537" s="527"/>
      <c r="AB537" s="527"/>
    </row>
    <row r="538" spans="2:28" s="204" customFormat="1" x14ac:dyDescent="0.25">
      <c r="B538" s="347" t="s">
        <v>1192</v>
      </c>
      <c r="C538" s="347" t="s">
        <v>1193</v>
      </c>
      <c r="D538" s="348" t="s">
        <v>3580</v>
      </c>
      <c r="E538" s="348"/>
      <c r="F538" s="348"/>
      <c r="G538" s="348"/>
      <c r="H538" s="349"/>
      <c r="I538" s="349"/>
      <c r="J538" s="348"/>
      <c r="K538" s="349"/>
      <c r="L538" s="361" t="s">
        <v>3581</v>
      </c>
      <c r="M538" s="284" t="s">
        <v>2962</v>
      </c>
      <c r="N538" s="270">
        <f t="shared" si="68"/>
        <v>81855</v>
      </c>
      <c r="O538" s="270">
        <f t="shared" si="69"/>
        <v>200899</v>
      </c>
      <c r="P538" s="271">
        <f t="shared" si="70"/>
        <v>119044</v>
      </c>
      <c r="Q538" s="532"/>
      <c r="R538" s="354">
        <f>IF(ISERROR(VLOOKUP("SAN"&amp;$C538,ESTR_PREC_SP!$A$2:$G$2000,4,FALSE))=TRUE,0,VLOOKUP("SAN"&amp;$C538,ESTR_PREC_SP!$A$2:$G$2000,4,FALSE))</f>
        <v>81855</v>
      </c>
      <c r="S538" s="521"/>
      <c r="T538" s="532"/>
      <c r="U538" s="532">
        <v>954363</v>
      </c>
      <c r="V538" s="527"/>
      <c r="W538" s="527"/>
      <c r="X538" s="527"/>
      <c r="Y538" s="527">
        <f>81855+U538-200899</f>
        <v>835319</v>
      </c>
      <c r="Z538" s="526">
        <f t="shared" si="71"/>
        <v>200899</v>
      </c>
      <c r="AA538" s="527"/>
      <c r="AB538" s="527">
        <v>0</v>
      </c>
    </row>
    <row r="539" spans="2:28" s="204" customFormat="1" ht="25.5" x14ac:dyDescent="0.25">
      <c r="B539" s="347" t="s">
        <v>1195</v>
      </c>
      <c r="C539" s="347" t="s">
        <v>1196</v>
      </c>
      <c r="D539" s="348" t="s">
        <v>3582</v>
      </c>
      <c r="E539" s="348"/>
      <c r="F539" s="348"/>
      <c r="G539" s="348"/>
      <c r="H539" s="349"/>
      <c r="I539" s="349"/>
      <c r="J539" s="349"/>
      <c r="K539" s="349"/>
      <c r="L539" s="361" t="s">
        <v>3583</v>
      </c>
      <c r="M539" s="284" t="s">
        <v>2962</v>
      </c>
      <c r="N539" s="270">
        <f t="shared" si="68"/>
        <v>0</v>
      </c>
      <c r="O539" s="270">
        <f t="shared" si="69"/>
        <v>0</v>
      </c>
      <c r="P539" s="271">
        <f t="shared" si="70"/>
        <v>0</v>
      </c>
      <c r="Q539" s="532"/>
      <c r="R539" s="354">
        <f>IF(ISERROR(VLOOKUP("SAN"&amp;$C539,ESTR_PREC_SP!$A$2:$G$2000,4,FALSE))=TRUE,0,VLOOKUP("SAN"&amp;$C539,ESTR_PREC_SP!$A$2:$G$2000,4,FALSE))</f>
        <v>0</v>
      </c>
      <c r="S539" s="521"/>
      <c r="T539" s="532"/>
      <c r="U539" s="532"/>
      <c r="V539" s="527"/>
      <c r="W539" s="527"/>
      <c r="X539" s="527"/>
      <c r="Y539" s="527"/>
      <c r="Z539" s="526">
        <f t="shared" si="71"/>
        <v>0</v>
      </c>
      <c r="AA539" s="527"/>
      <c r="AB539" s="527"/>
    </row>
    <row r="540" spans="2:28" s="204" customFormat="1" ht="25.5" x14ac:dyDescent="0.25">
      <c r="B540" s="347" t="s">
        <v>1198</v>
      </c>
      <c r="C540" s="347" t="s">
        <v>1199</v>
      </c>
      <c r="D540" s="348" t="s">
        <v>3584</v>
      </c>
      <c r="E540" s="348"/>
      <c r="F540" s="359"/>
      <c r="G540" s="359"/>
      <c r="H540" s="360"/>
      <c r="I540" s="360"/>
      <c r="J540" s="360"/>
      <c r="K540" s="360"/>
      <c r="L540" s="361" t="s">
        <v>3585</v>
      </c>
      <c r="M540" s="284" t="s">
        <v>2962</v>
      </c>
      <c r="N540" s="270">
        <f t="shared" si="68"/>
        <v>0</v>
      </c>
      <c r="O540" s="270">
        <f t="shared" si="69"/>
        <v>0</v>
      </c>
      <c r="P540" s="271">
        <f t="shared" si="70"/>
        <v>0</v>
      </c>
      <c r="Q540" s="532"/>
      <c r="R540" s="354">
        <f>IF(ISERROR(VLOOKUP("SAN"&amp;$C540,ESTR_PREC_SP!$A$2:$G$2000,4,FALSE))=TRUE,0,VLOOKUP("SAN"&amp;$C540,ESTR_PREC_SP!$A$2:$G$2000,4,FALSE))</f>
        <v>0</v>
      </c>
      <c r="S540" s="521"/>
      <c r="T540" s="532"/>
      <c r="U540" s="532"/>
      <c r="V540" s="527"/>
      <c r="W540" s="527"/>
      <c r="X540" s="527"/>
      <c r="Y540" s="527"/>
      <c r="Z540" s="526">
        <f t="shared" si="71"/>
        <v>0</v>
      </c>
      <c r="AA540" s="527"/>
      <c r="AB540" s="527"/>
    </row>
    <row r="541" spans="2:28" s="204" customFormat="1" ht="25.5" x14ac:dyDescent="0.25">
      <c r="B541" s="347" t="s">
        <v>1201</v>
      </c>
      <c r="C541" s="347" t="s">
        <v>1202</v>
      </c>
      <c r="D541" s="348" t="s">
        <v>3586</v>
      </c>
      <c r="E541" s="348"/>
      <c r="F541" s="359"/>
      <c r="G541" s="359"/>
      <c r="H541" s="360"/>
      <c r="I541" s="360"/>
      <c r="J541" s="360"/>
      <c r="K541" s="360"/>
      <c r="L541" s="361" t="s">
        <v>3587</v>
      </c>
      <c r="M541" s="284" t="s">
        <v>2962</v>
      </c>
      <c r="N541" s="270">
        <f t="shared" si="68"/>
        <v>0</v>
      </c>
      <c r="O541" s="270">
        <f t="shared" si="69"/>
        <v>0</v>
      </c>
      <c r="P541" s="271">
        <f t="shared" si="70"/>
        <v>0</v>
      </c>
      <c r="Q541" s="532"/>
      <c r="R541" s="354">
        <f>IF(ISERROR(VLOOKUP("SAN"&amp;$C541,ESTR_PREC_SP!$A$2:$G$2000,4,FALSE))=TRUE,0,VLOOKUP("SAN"&amp;$C541,ESTR_PREC_SP!$A$2:$G$2000,4,FALSE))</f>
        <v>0</v>
      </c>
      <c r="S541" s="521"/>
      <c r="T541" s="532"/>
      <c r="U541" s="532"/>
      <c r="V541" s="527"/>
      <c r="W541" s="527"/>
      <c r="X541" s="527"/>
      <c r="Y541" s="527"/>
      <c r="Z541" s="526">
        <f t="shared" si="71"/>
        <v>0</v>
      </c>
      <c r="AA541" s="527"/>
      <c r="AB541" s="527"/>
    </row>
    <row r="542" spans="2:28" s="204" customFormat="1" ht="28.5" customHeight="1" x14ac:dyDescent="0.25">
      <c r="B542" s="347" t="s">
        <v>1204</v>
      </c>
      <c r="C542" s="347" t="s">
        <v>1205</v>
      </c>
      <c r="D542" s="348" t="s">
        <v>3588</v>
      </c>
      <c r="E542" s="348"/>
      <c r="F542" s="348"/>
      <c r="G542" s="348"/>
      <c r="H542" s="349"/>
      <c r="I542" s="349"/>
      <c r="J542" s="348"/>
      <c r="K542" s="349"/>
      <c r="L542" s="362" t="s">
        <v>3589</v>
      </c>
      <c r="M542" s="284" t="s">
        <v>2962</v>
      </c>
      <c r="N542" s="270">
        <f t="shared" si="68"/>
        <v>0</v>
      </c>
      <c r="O542" s="270">
        <f t="shared" si="69"/>
        <v>0</v>
      </c>
      <c r="P542" s="271">
        <f t="shared" si="70"/>
        <v>0</v>
      </c>
      <c r="Q542" s="532"/>
      <c r="R542" s="354">
        <f>IF(ISERROR(VLOOKUP("SAN"&amp;$C542,ESTR_PREC_SP!$A$2:$G$2000,4,FALSE))=TRUE,0,VLOOKUP("SAN"&amp;$C542,ESTR_PREC_SP!$A$2:$G$2000,4,FALSE))</f>
        <v>0</v>
      </c>
      <c r="S542" s="521"/>
      <c r="T542" s="532"/>
      <c r="U542" s="532"/>
      <c r="V542" s="527"/>
      <c r="W542" s="527"/>
      <c r="X542" s="527"/>
      <c r="Y542" s="527"/>
      <c r="Z542" s="526">
        <f t="shared" si="71"/>
        <v>0</v>
      </c>
      <c r="AA542" s="527"/>
      <c r="AB542" s="527"/>
    </row>
    <row r="543" spans="2:28" s="204" customFormat="1" x14ac:dyDescent="0.25">
      <c r="B543" s="347" t="s">
        <v>1207</v>
      </c>
      <c r="C543" s="347" t="s">
        <v>1208</v>
      </c>
      <c r="D543" s="348" t="str">
        <f>MID(C543,1,1)&amp;MID(C543,3,2)&amp;MID(C543,6,2)&amp;MID(C543,9,2)&amp;MID(C543,12,3)&amp;MID(C543,16,3)&amp;MID(C543,20,2)&amp;MID(C543,23,3)</f>
        <v>120101003090000000</v>
      </c>
      <c r="E543" s="348"/>
      <c r="F543" s="348"/>
      <c r="G543" s="348"/>
      <c r="H543" s="349"/>
      <c r="I543" s="349"/>
      <c r="J543" s="348"/>
      <c r="K543" s="348"/>
      <c r="L543" s="363" t="s">
        <v>3591</v>
      </c>
      <c r="M543" s="284" t="s">
        <v>2962</v>
      </c>
      <c r="N543" s="270">
        <f t="shared" si="68"/>
        <v>0</v>
      </c>
      <c r="O543" s="270">
        <f t="shared" si="69"/>
        <v>0</v>
      </c>
      <c r="P543" s="271">
        <f t="shared" si="70"/>
        <v>0</v>
      </c>
      <c r="Q543" s="521"/>
      <c r="R543" s="354">
        <f>IF(ISERROR(VLOOKUP("SAN"&amp;$C543,ESTR_PREC_SP!$A$2:$G$2000,4,FALSE))=TRUE,0,VLOOKUP("SAN"&amp;$C543,ESTR_PREC_SP!$A$2:$G$2000,4,FALSE))</f>
        <v>0</v>
      </c>
      <c r="S543" s="521"/>
      <c r="T543" s="521"/>
      <c r="U543" s="521"/>
      <c r="V543" s="521"/>
      <c r="W543" s="521"/>
      <c r="X543" s="521"/>
      <c r="Y543" s="521"/>
      <c r="Z543" s="526">
        <f t="shared" si="71"/>
        <v>0</v>
      </c>
      <c r="AA543" s="527"/>
      <c r="AB543" s="527"/>
    </row>
    <row r="544" spans="2:28" s="204" customFormat="1" x14ac:dyDescent="0.25">
      <c r="B544" s="347" t="s">
        <v>1210</v>
      </c>
      <c r="C544" s="347" t="s">
        <v>1211</v>
      </c>
      <c r="D544" s="348" t="s">
        <v>3592</v>
      </c>
      <c r="E544" s="348"/>
      <c r="F544" s="348"/>
      <c r="G544" s="348"/>
      <c r="H544" s="349"/>
      <c r="I544" s="349"/>
      <c r="J544" s="349"/>
      <c r="K544" s="349"/>
      <c r="L544" s="350" t="s">
        <v>3593</v>
      </c>
      <c r="M544" s="284" t="s">
        <v>2962</v>
      </c>
      <c r="N544" s="270">
        <f t="shared" si="68"/>
        <v>4952</v>
      </c>
      <c r="O544" s="270">
        <f t="shared" si="69"/>
        <v>14870</v>
      </c>
      <c r="P544" s="271">
        <f t="shared" si="70"/>
        <v>9918</v>
      </c>
      <c r="Q544" s="532"/>
      <c r="R544" s="354">
        <f>IF(ISERROR(VLOOKUP("SAN"&amp;$C544,ESTR_PREC_SP!$A$2:$G$2000,4,FALSE))=TRUE,0,VLOOKUP("SAN"&amp;$C544,ESTR_PREC_SP!$A$2:$G$2000,4,FALSE))</f>
        <v>4952</v>
      </c>
      <c r="S544" s="521"/>
      <c r="T544" s="532"/>
      <c r="U544" s="532">
        <v>180915</v>
      </c>
      <c r="V544" s="527"/>
      <c r="W544" s="527"/>
      <c r="X544" s="527"/>
      <c r="Y544" s="527">
        <f>4952+U544-14870</f>
        <v>170997</v>
      </c>
      <c r="Z544" s="526">
        <f t="shared" si="71"/>
        <v>14870</v>
      </c>
      <c r="AA544" s="527"/>
      <c r="AB544" s="527">
        <v>8593</v>
      </c>
    </row>
    <row r="545" spans="2:28" s="204" customFormat="1" x14ac:dyDescent="0.25">
      <c r="B545" s="347" t="s">
        <v>1214</v>
      </c>
      <c r="C545" s="347" t="s">
        <v>1215</v>
      </c>
      <c r="D545" s="348" t="s">
        <v>3594</v>
      </c>
      <c r="E545" s="348"/>
      <c r="F545" s="348"/>
      <c r="G545" s="348"/>
      <c r="H545" s="349"/>
      <c r="I545" s="349"/>
      <c r="J545" s="349"/>
      <c r="K545" s="349"/>
      <c r="L545" s="364" t="s">
        <v>3595</v>
      </c>
      <c r="M545" s="284" t="s">
        <v>2962</v>
      </c>
      <c r="N545" s="270">
        <f t="shared" si="68"/>
        <v>1134848</v>
      </c>
      <c r="O545" s="270">
        <f t="shared" si="69"/>
        <v>1380896</v>
      </c>
      <c r="P545" s="271">
        <f t="shared" si="70"/>
        <v>246048</v>
      </c>
      <c r="Q545" s="532"/>
      <c r="R545" s="354">
        <f>IF(ISERROR(VLOOKUP("SAN"&amp;$C545,ESTR_PREC_SP!$A$2:$G$2000,4,FALSE))=TRUE,0,VLOOKUP("SAN"&amp;$C545,ESTR_PREC_SP!$A$2:$G$2000,4,FALSE))</f>
        <v>1134848</v>
      </c>
      <c r="S545" s="521"/>
      <c r="T545" s="532"/>
      <c r="U545" s="532">
        <v>5488301</v>
      </c>
      <c r="V545" s="527"/>
      <c r="W545" s="527"/>
      <c r="X545" s="527"/>
      <c r="Y545" s="527">
        <f>1134848+U545-1380896</f>
        <v>5242253</v>
      </c>
      <c r="Z545" s="526">
        <f t="shared" si="71"/>
        <v>1380896</v>
      </c>
      <c r="AA545" s="527"/>
      <c r="AB545" s="527">
        <v>1327770</v>
      </c>
    </row>
    <row r="546" spans="2:28" s="204" customFormat="1" ht="25.5" x14ac:dyDescent="0.25">
      <c r="B546" s="347" t="s">
        <v>1218</v>
      </c>
      <c r="C546" s="347" t="s">
        <v>1219</v>
      </c>
      <c r="D546" s="348" t="s">
        <v>3596</v>
      </c>
      <c r="E546" s="348"/>
      <c r="F546" s="348"/>
      <c r="G546" s="348"/>
      <c r="H546" s="349"/>
      <c r="I546" s="349"/>
      <c r="J546" s="349"/>
      <c r="K546" s="349"/>
      <c r="L546" s="365" t="s">
        <v>3597</v>
      </c>
      <c r="M546" s="284" t="s">
        <v>2962</v>
      </c>
      <c r="N546" s="270">
        <f t="shared" si="68"/>
        <v>118111</v>
      </c>
      <c r="O546" s="270">
        <f t="shared" si="69"/>
        <v>166214</v>
      </c>
      <c r="P546" s="271">
        <f t="shared" si="70"/>
        <v>48103</v>
      </c>
      <c r="Q546" s="532"/>
      <c r="R546" s="354">
        <f>IF(ISERROR(VLOOKUP("SAN"&amp;$C546,ESTR_PREC_SP!$A$2:$G$2000,4,FALSE))=TRUE,0,VLOOKUP("SAN"&amp;$C546,ESTR_PREC_SP!$A$2:$G$2000,4,FALSE))</f>
        <v>118111</v>
      </c>
      <c r="S546" s="521"/>
      <c r="T546" s="532"/>
      <c r="U546" s="532">
        <f>529054+143</f>
        <v>529197</v>
      </c>
      <c r="V546" s="527"/>
      <c r="W546" s="527"/>
      <c r="X546" s="527"/>
      <c r="Y546" s="527">
        <f>118111+U546-166215+1</f>
        <v>481094</v>
      </c>
      <c r="Z546" s="526">
        <f t="shared" si="71"/>
        <v>166214</v>
      </c>
      <c r="AA546" s="527"/>
      <c r="AB546" s="527">
        <v>157076</v>
      </c>
    </row>
    <row r="547" spans="2:28" s="204" customFormat="1" x14ac:dyDescent="0.25">
      <c r="B547" s="347" t="s">
        <v>1221</v>
      </c>
      <c r="C547" s="347" t="s">
        <v>1222</v>
      </c>
      <c r="D547" s="348" t="str">
        <f>MID(C547,1,1)&amp;MID(C547,3,2)&amp;MID(C547,6,2)&amp;MID(C547,9,2)&amp;MID(C547,12,3)&amp;MID(C547,16,3)&amp;MID(C547,20,2)&amp;MID(C547,23,3)</f>
        <v>120101005003000000</v>
      </c>
      <c r="E547" s="348"/>
      <c r="F547" s="348"/>
      <c r="G547" s="348"/>
      <c r="H547" s="349"/>
      <c r="I547" s="349"/>
      <c r="J547" s="348"/>
      <c r="K547" s="348"/>
      <c r="L547" s="358" t="s">
        <v>3599</v>
      </c>
      <c r="M547" s="284" t="s">
        <v>2962</v>
      </c>
      <c r="N547" s="270">
        <f t="shared" si="68"/>
        <v>100592</v>
      </c>
      <c r="O547" s="270">
        <f t="shared" si="69"/>
        <v>443546</v>
      </c>
      <c r="P547" s="271">
        <f t="shared" si="70"/>
        <v>342954</v>
      </c>
      <c r="Q547" s="532"/>
      <c r="R547" s="354">
        <f>IF(ISERROR(VLOOKUP("SAN"&amp;$C547,ESTR_PREC_SP!$A$2:$G$2000,4,FALSE))=TRUE,0,VLOOKUP("SAN"&amp;$C547,ESTR_PREC_SP!$A$2:$G$2000,4,FALSE))</f>
        <v>100592</v>
      </c>
      <c r="S547" s="521"/>
      <c r="T547" s="532"/>
      <c r="U547" s="532">
        <v>1494435</v>
      </c>
      <c r="V547" s="527"/>
      <c r="W547" s="527"/>
      <c r="X547" s="527"/>
      <c r="Y547" s="527">
        <f>100592+U547-443546</f>
        <v>1151481</v>
      </c>
      <c r="Z547" s="526">
        <f t="shared" si="71"/>
        <v>443546</v>
      </c>
      <c r="AA547" s="527"/>
      <c r="AB547" s="527">
        <v>423128</v>
      </c>
    </row>
    <row r="548" spans="2:28" s="204" customFormat="1" ht="25.5" x14ac:dyDescent="0.25">
      <c r="B548" s="347" t="s">
        <v>1225</v>
      </c>
      <c r="C548" s="347" t="s">
        <v>1226</v>
      </c>
      <c r="D548" s="348" t="s">
        <v>3600</v>
      </c>
      <c r="E548" s="348"/>
      <c r="F548" s="348"/>
      <c r="G548" s="348"/>
      <c r="H548" s="349"/>
      <c r="I548" s="349"/>
      <c r="J548" s="349"/>
      <c r="K548" s="349"/>
      <c r="L548" s="364" t="s">
        <v>3601</v>
      </c>
      <c r="M548" s="284" t="s">
        <v>2962</v>
      </c>
      <c r="N548" s="270">
        <f t="shared" si="68"/>
        <v>1680968</v>
      </c>
      <c r="O548" s="270">
        <f t="shared" si="69"/>
        <v>2070428</v>
      </c>
      <c r="P548" s="271">
        <f t="shared" si="70"/>
        <v>389460</v>
      </c>
      <c r="Q548" s="532"/>
      <c r="R548" s="354">
        <f>IF(ISERROR(VLOOKUP("SAN"&amp;$C548,ESTR_PREC_SP!$A$2:$G$2000,4,FALSE))=TRUE,0,VLOOKUP("SAN"&amp;$C548,ESTR_PREC_SP!$A$2:$G$2000,4,FALSE))</f>
        <v>1680968</v>
      </c>
      <c r="S548" s="521"/>
      <c r="T548" s="532"/>
      <c r="U548" s="532">
        <f>1160981+591493+505032+654054+1035935+31538+2069390+292182+4312</f>
        <v>6344917</v>
      </c>
      <c r="V548" s="527"/>
      <c r="W548" s="527"/>
      <c r="X548" s="527"/>
      <c r="Y548" s="527">
        <f>1680968+U548-810256-313137-86375-250495-226645-276487-8959-98073-1</f>
        <v>5955457</v>
      </c>
      <c r="Z548" s="526">
        <f t="shared" si="71"/>
        <v>2070428</v>
      </c>
      <c r="AA548" s="527"/>
      <c r="AB548" s="527">
        <v>1376347</v>
      </c>
    </row>
    <row r="549" spans="2:28" s="204" customFormat="1" x14ac:dyDescent="0.25">
      <c r="B549" s="347" t="s">
        <v>1228</v>
      </c>
      <c r="C549" s="347" t="s">
        <v>1229</v>
      </c>
      <c r="D549" s="348" t="str">
        <f>MID(C549,1,1)&amp;MID(C549,3,2)&amp;MID(C549,6,2)&amp;MID(C549,9,2)&amp;MID(C549,12,3)&amp;MID(C549,16,3)&amp;MID(C549,20,2)&amp;MID(C549,23,3)</f>
        <v>120101006002000000</v>
      </c>
      <c r="E549" s="348"/>
      <c r="F549" s="348"/>
      <c r="G549" s="348"/>
      <c r="H549" s="349"/>
      <c r="I549" s="349"/>
      <c r="J549" s="348"/>
      <c r="K549" s="348"/>
      <c r="L549" s="358" t="s">
        <v>3603</v>
      </c>
      <c r="M549" s="284" t="s">
        <v>2962</v>
      </c>
      <c r="N549" s="270">
        <f t="shared" si="68"/>
        <v>162323</v>
      </c>
      <c r="O549" s="270">
        <f t="shared" si="69"/>
        <v>229753</v>
      </c>
      <c r="P549" s="271">
        <f t="shared" si="70"/>
        <v>67430</v>
      </c>
      <c r="Q549" s="532"/>
      <c r="R549" s="354">
        <f>IF(ISERROR(VLOOKUP("SAN"&amp;$C549,ESTR_PREC_SP!$A$2:$G$2000,4,FALSE))=TRUE,0,VLOOKUP("SAN"&amp;$C549,ESTR_PREC_SP!$A$2:$G$2000,4,FALSE))</f>
        <v>162323</v>
      </c>
      <c r="S549" s="521"/>
      <c r="T549" s="532"/>
      <c r="U549" s="532">
        <v>1414720</v>
      </c>
      <c r="V549" s="527"/>
      <c r="W549" s="527"/>
      <c r="X549" s="527"/>
      <c r="Y549" s="527">
        <f>162323+U549-229753</f>
        <v>1347290</v>
      </c>
      <c r="Z549" s="526">
        <f t="shared" si="71"/>
        <v>229753</v>
      </c>
      <c r="AA549" s="527"/>
      <c r="AB549" s="527">
        <v>192965</v>
      </c>
    </row>
    <row r="550" spans="2:28" s="204" customFormat="1" x14ac:dyDescent="0.25">
      <c r="B550" s="347" t="s">
        <v>1231</v>
      </c>
      <c r="C550" s="347" t="s">
        <v>1232</v>
      </c>
      <c r="D550" s="348" t="str">
        <f>MID(C550,1,1)&amp;MID(C550,3,2)&amp;MID(C550,6,2)&amp;MID(C550,9,2)&amp;MID(C550,12,3)&amp;MID(C550,16,3)&amp;MID(C550,20,2)&amp;MID(C550,23,3)</f>
        <v>120101006003000000</v>
      </c>
      <c r="E550" s="348"/>
      <c r="F550" s="348"/>
      <c r="G550" s="348"/>
      <c r="H550" s="349"/>
      <c r="I550" s="349"/>
      <c r="J550" s="348"/>
      <c r="K550" s="348"/>
      <c r="L550" s="358" t="s">
        <v>3605</v>
      </c>
      <c r="M550" s="284" t="s">
        <v>2962</v>
      </c>
      <c r="N550" s="270">
        <f t="shared" si="68"/>
        <v>18875</v>
      </c>
      <c r="O550" s="270">
        <f t="shared" si="69"/>
        <v>13311</v>
      </c>
      <c r="P550" s="271">
        <f t="shared" si="70"/>
        <v>-5564</v>
      </c>
      <c r="Q550" s="532"/>
      <c r="R550" s="354">
        <f>IF(ISERROR(VLOOKUP("SAN"&amp;$C550,ESTR_PREC_SP!$A$2:$G$2000,4,FALSE))=TRUE,0,VLOOKUP("SAN"&amp;$C550,ESTR_PREC_SP!$A$2:$G$2000,4,FALSE))</f>
        <v>18875</v>
      </c>
      <c r="S550" s="521"/>
      <c r="T550" s="532"/>
      <c r="U550" s="532">
        <v>644708</v>
      </c>
      <c r="V550" s="527"/>
      <c r="W550" s="527"/>
      <c r="X550" s="527"/>
      <c r="Y550" s="527">
        <f>18875+U550-13311</f>
        <v>650272</v>
      </c>
      <c r="Z550" s="526">
        <f t="shared" si="71"/>
        <v>13311</v>
      </c>
      <c r="AA550" s="527"/>
      <c r="AB550" s="527">
        <v>6716</v>
      </c>
    </row>
    <row r="551" spans="2:28" s="204" customFormat="1" ht="30" customHeight="1" x14ac:dyDescent="0.25">
      <c r="B551" s="347" t="s">
        <v>1234</v>
      </c>
      <c r="C551" s="347" t="s">
        <v>1235</v>
      </c>
      <c r="D551" s="348" t="str">
        <f>MID(C551,1,1)&amp;MID(C551,3,2)&amp;MID(C551,6,2)&amp;MID(C551,9,2)&amp;MID(C551,12,3)&amp;MID(C551,16,3)&amp;MID(C551,20,2)&amp;MID(C551,23,3)</f>
        <v>120101006004000000</v>
      </c>
      <c r="E551" s="348"/>
      <c r="F551" s="348"/>
      <c r="G551" s="348"/>
      <c r="H551" s="349"/>
      <c r="I551" s="349"/>
      <c r="J551" s="348"/>
      <c r="K551" s="348"/>
      <c r="L551" s="358" t="s">
        <v>3607</v>
      </c>
      <c r="M551" s="284" t="s">
        <v>2962</v>
      </c>
      <c r="N551" s="270">
        <f t="shared" si="68"/>
        <v>21000</v>
      </c>
      <c r="O551" s="270">
        <f t="shared" si="69"/>
        <v>12816</v>
      </c>
      <c r="P551" s="271">
        <f t="shared" si="70"/>
        <v>-8184</v>
      </c>
      <c r="Q551" s="532"/>
      <c r="R551" s="354">
        <f>IF(ISERROR(VLOOKUP("SAN"&amp;$C551,ESTR_PREC_SP!$A$2:$G$2000,4,FALSE))=TRUE,0,VLOOKUP("SAN"&amp;$C551,ESTR_PREC_SP!$A$2:$G$2000,4,FALSE))</f>
        <v>21000</v>
      </c>
      <c r="S551" s="521"/>
      <c r="T551" s="532"/>
      <c r="U551" s="532">
        <v>114004</v>
      </c>
      <c r="V551" s="527"/>
      <c r="W551" s="527"/>
      <c r="X551" s="527"/>
      <c r="Y551" s="527">
        <f>21000+U551-20392+7576</f>
        <v>122188</v>
      </c>
      <c r="Z551" s="526">
        <f t="shared" si="71"/>
        <v>12816</v>
      </c>
      <c r="AA551" s="527"/>
      <c r="AB551" s="527">
        <v>15868</v>
      </c>
    </row>
    <row r="552" spans="2:28" s="204" customFormat="1" x14ac:dyDescent="0.25">
      <c r="B552" s="347" t="s">
        <v>1237</v>
      </c>
      <c r="C552" s="347" t="s">
        <v>1238</v>
      </c>
      <c r="D552" s="348" t="s">
        <v>3608</v>
      </c>
      <c r="E552" s="348"/>
      <c r="F552" s="348"/>
      <c r="G552" s="348"/>
      <c r="H552" s="349"/>
      <c r="I552" s="349"/>
      <c r="J552" s="349"/>
      <c r="K552" s="349"/>
      <c r="L552" s="364" t="s">
        <v>3609</v>
      </c>
      <c r="M552" s="284" t="s">
        <v>2962</v>
      </c>
      <c r="N552" s="270">
        <f t="shared" si="68"/>
        <v>0</v>
      </c>
      <c r="O552" s="270">
        <f t="shared" si="69"/>
        <v>0</v>
      </c>
      <c r="P552" s="271">
        <f t="shared" si="70"/>
        <v>0</v>
      </c>
      <c r="Q552" s="532"/>
      <c r="R552" s="354">
        <f>IF(ISERROR(VLOOKUP("SAN"&amp;$C552,ESTR_PREC_SP!$A$2:$G$2000,4,FALSE))=TRUE,0,VLOOKUP("SAN"&amp;$C552,ESTR_PREC_SP!$A$2:$G$2000,4,FALSE))</f>
        <v>0</v>
      </c>
      <c r="S552" s="521"/>
      <c r="T552" s="532"/>
      <c r="U552" s="532"/>
      <c r="V552" s="527"/>
      <c r="W552" s="527"/>
      <c r="X552" s="527"/>
      <c r="Y552" s="527"/>
      <c r="Z552" s="526">
        <f t="shared" si="71"/>
        <v>0</v>
      </c>
      <c r="AA552" s="527"/>
      <c r="AB552" s="527"/>
    </row>
    <row r="553" spans="2:28" s="204" customFormat="1" ht="25.5" x14ac:dyDescent="0.25">
      <c r="B553" s="347" t="s">
        <v>1241</v>
      </c>
      <c r="C553" s="347" t="s">
        <v>1242</v>
      </c>
      <c r="D553" s="348" t="s">
        <v>3610</v>
      </c>
      <c r="E553" s="348"/>
      <c r="F553" s="348"/>
      <c r="G553" s="348"/>
      <c r="H553" s="349"/>
      <c r="I553" s="349"/>
      <c r="J553" s="348"/>
      <c r="K553" s="349"/>
      <c r="L553" s="364" t="s">
        <v>3611</v>
      </c>
      <c r="M553" s="284" t="s">
        <v>2962</v>
      </c>
      <c r="N553" s="270">
        <f t="shared" si="68"/>
        <v>0</v>
      </c>
      <c r="O553" s="270">
        <f t="shared" si="69"/>
        <v>0</v>
      </c>
      <c r="P553" s="271">
        <f t="shared" si="70"/>
        <v>0</v>
      </c>
      <c r="Q553" s="532"/>
      <c r="R553" s="354">
        <f>IF(ISERROR(VLOOKUP("SAN"&amp;$C553,ESTR_PREC_SP!$A$2:$G$2000,4,FALSE))=TRUE,0,VLOOKUP("SAN"&amp;$C553,ESTR_PREC_SP!$A$2:$G$2000,4,FALSE))</f>
        <v>0</v>
      </c>
      <c r="S553" s="521"/>
      <c r="T553" s="532"/>
      <c r="U553" s="532"/>
      <c r="V553" s="527"/>
      <c r="W553" s="527"/>
      <c r="X553" s="527"/>
      <c r="Y553" s="527"/>
      <c r="Z553" s="526">
        <f t="shared" si="71"/>
        <v>0</v>
      </c>
      <c r="AA553" s="527"/>
      <c r="AB553" s="527"/>
    </row>
    <row r="554" spans="2:28" s="204" customFormat="1" ht="25.5" x14ac:dyDescent="0.25">
      <c r="B554" s="347" t="s">
        <v>1244</v>
      </c>
      <c r="C554" s="347" t="s">
        <v>1245</v>
      </c>
      <c r="D554" s="348" t="s">
        <v>3612</v>
      </c>
      <c r="E554" s="348"/>
      <c r="F554" s="348"/>
      <c r="G554" s="348"/>
      <c r="H554" s="349"/>
      <c r="I554" s="349"/>
      <c r="J554" s="348"/>
      <c r="K554" s="349"/>
      <c r="L554" s="364" t="s">
        <v>3613</v>
      </c>
      <c r="M554" s="284" t="s">
        <v>2962</v>
      </c>
      <c r="N554" s="270">
        <f t="shared" si="68"/>
        <v>0</v>
      </c>
      <c r="O554" s="270">
        <f t="shared" si="69"/>
        <v>0</v>
      </c>
      <c r="P554" s="271">
        <f t="shared" si="70"/>
        <v>0</v>
      </c>
      <c r="Q554" s="532"/>
      <c r="R554" s="354">
        <f>IF(ISERROR(VLOOKUP("SAN"&amp;$C554,ESTR_PREC_SP!$A$2:$G$2000,4,FALSE))=TRUE,0,VLOOKUP("SAN"&amp;$C554,ESTR_PREC_SP!$A$2:$G$2000,4,FALSE))</f>
        <v>0</v>
      </c>
      <c r="S554" s="521"/>
      <c r="T554" s="532"/>
      <c r="U554" s="532"/>
      <c r="V554" s="527"/>
      <c r="W554" s="527"/>
      <c r="X554" s="527"/>
      <c r="Y554" s="527"/>
      <c r="Z554" s="526">
        <f t="shared" si="71"/>
        <v>0</v>
      </c>
      <c r="AA554" s="527"/>
      <c r="AB554" s="527"/>
    </row>
    <row r="555" spans="2:28" s="204" customFormat="1" ht="25.5" x14ac:dyDescent="0.25">
      <c r="B555" s="347" t="s">
        <v>1247</v>
      </c>
      <c r="C555" s="347" t="s">
        <v>1248</v>
      </c>
      <c r="D555" s="348" t="s">
        <v>3614</v>
      </c>
      <c r="E555" s="348"/>
      <c r="F555" s="348"/>
      <c r="G555" s="348"/>
      <c r="H555" s="349"/>
      <c r="I555" s="349"/>
      <c r="J555" s="348"/>
      <c r="K555" s="349"/>
      <c r="L555" s="364" t="s">
        <v>3615</v>
      </c>
      <c r="M555" s="284" t="s">
        <v>2962</v>
      </c>
      <c r="N555" s="270">
        <f t="shared" si="68"/>
        <v>0</v>
      </c>
      <c r="O555" s="270">
        <f t="shared" si="69"/>
        <v>0</v>
      </c>
      <c r="P555" s="271">
        <f t="shared" si="70"/>
        <v>0</v>
      </c>
      <c r="Q555" s="532"/>
      <c r="R555" s="354">
        <f>IF(ISERROR(VLOOKUP("SAN"&amp;$C555,ESTR_PREC_SP!$A$2:$G$2000,4,FALSE))=TRUE,0,VLOOKUP("SAN"&amp;$C555,ESTR_PREC_SP!$A$2:$G$2000,4,FALSE))</f>
        <v>0</v>
      </c>
      <c r="S555" s="521"/>
      <c r="T555" s="532"/>
      <c r="U555" s="532">
        <v>730141</v>
      </c>
      <c r="V555" s="527"/>
      <c r="W555" s="527"/>
      <c r="X555" s="527"/>
      <c r="Y555" s="527">
        <v>730141</v>
      </c>
      <c r="Z555" s="526">
        <f t="shared" si="71"/>
        <v>0</v>
      </c>
      <c r="AA555" s="527"/>
      <c r="AB555" s="527"/>
    </row>
    <row r="556" spans="2:28" s="204" customFormat="1" ht="26.25" x14ac:dyDescent="0.25">
      <c r="B556" s="347" t="s">
        <v>1250</v>
      </c>
      <c r="C556" s="347" t="s">
        <v>1251</v>
      </c>
      <c r="D556" s="348" t="str">
        <f>MID(C556,1,1)&amp;MID(C556,3,2)&amp;MID(C556,6,2)&amp;MID(C556,9,2)&amp;MID(C556,12,3)&amp;MID(C556,16,3)&amp;MID(C556,20,2)&amp;MID(C556,23,3)</f>
        <v>120101008004000000</v>
      </c>
      <c r="E556" s="348"/>
      <c r="F556" s="348"/>
      <c r="G556" s="348"/>
      <c r="H556" s="349"/>
      <c r="I556" s="349"/>
      <c r="J556" s="348"/>
      <c r="K556" s="348"/>
      <c r="L556" s="358" t="s">
        <v>3617</v>
      </c>
      <c r="M556" s="284" t="s">
        <v>2962</v>
      </c>
      <c r="N556" s="270">
        <f t="shared" si="68"/>
        <v>7666</v>
      </c>
      <c r="O556" s="270">
        <f t="shared" si="69"/>
        <v>4414</v>
      </c>
      <c r="P556" s="271">
        <f t="shared" si="70"/>
        <v>-3252</v>
      </c>
      <c r="Q556" s="532"/>
      <c r="R556" s="354">
        <f>IF(ISERROR(VLOOKUP("SAN"&amp;$C556,ESTR_PREC_SP!$A$2:$G$2000,4,FALSE))=TRUE,0,VLOOKUP("SAN"&amp;$C556,ESTR_PREC_SP!$A$2:$G$2000,4,FALSE))</f>
        <v>7666</v>
      </c>
      <c r="S556" s="521"/>
      <c r="T556" s="532"/>
      <c r="U556" s="532">
        <v>2328103</v>
      </c>
      <c r="V556" s="527"/>
      <c r="W556" s="527"/>
      <c r="X556" s="527"/>
      <c r="Y556" s="527">
        <f>7666+U556-4414</f>
        <v>2331355</v>
      </c>
      <c r="Z556" s="526">
        <f t="shared" si="71"/>
        <v>4414</v>
      </c>
      <c r="AA556" s="527"/>
      <c r="AB556" s="527">
        <v>4414</v>
      </c>
    </row>
    <row r="557" spans="2:28" s="204" customFormat="1" x14ac:dyDescent="0.25">
      <c r="B557" s="347" t="s">
        <v>1253</v>
      </c>
      <c r="C557" s="347" t="s">
        <v>1254</v>
      </c>
      <c r="D557" s="348" t="s">
        <v>3618</v>
      </c>
      <c r="E557" s="348"/>
      <c r="F557" s="348"/>
      <c r="G557" s="348"/>
      <c r="H557" s="349"/>
      <c r="I557" s="349"/>
      <c r="J557" s="349"/>
      <c r="K557" s="349"/>
      <c r="L557" s="364" t="s">
        <v>3619</v>
      </c>
      <c r="M557" s="284" t="s">
        <v>2962</v>
      </c>
      <c r="N557" s="270">
        <f t="shared" si="68"/>
        <v>29798</v>
      </c>
      <c r="O557" s="270">
        <f t="shared" si="69"/>
        <v>86674</v>
      </c>
      <c r="P557" s="271">
        <f t="shared" si="70"/>
        <v>56876</v>
      </c>
      <c r="Q557" s="532"/>
      <c r="R557" s="354">
        <f>IF(ISERROR(VLOOKUP("SAN"&amp;$C557,ESTR_PREC_SP!$A$2:$G$2000,4,FALSE))=TRUE,0,VLOOKUP("SAN"&amp;$C557,ESTR_PREC_SP!$A$2:$G$2000,4,FALSE))</f>
        <v>29798</v>
      </c>
      <c r="S557" s="521"/>
      <c r="T557" s="532"/>
      <c r="U557" s="532">
        <v>396945</v>
      </c>
      <c r="V557" s="527"/>
      <c r="W557" s="527"/>
      <c r="X557" s="527"/>
      <c r="Y557" s="527">
        <f>29798+U557-86674</f>
        <v>340069</v>
      </c>
      <c r="Z557" s="526">
        <f t="shared" si="71"/>
        <v>86674</v>
      </c>
      <c r="AA557" s="527"/>
      <c r="AB557" s="527">
        <v>86674</v>
      </c>
    </row>
    <row r="558" spans="2:28" s="204" customFormat="1" x14ac:dyDescent="0.25">
      <c r="B558" s="347" t="s">
        <v>1256</v>
      </c>
      <c r="C558" s="347" t="s">
        <v>1257</v>
      </c>
      <c r="D558" s="348" t="s">
        <v>3620</v>
      </c>
      <c r="E558" s="348"/>
      <c r="F558" s="348"/>
      <c r="G558" s="348"/>
      <c r="H558" s="349"/>
      <c r="I558" s="349"/>
      <c r="J558" s="349"/>
      <c r="K558" s="349"/>
      <c r="L558" s="366" t="s">
        <v>3621</v>
      </c>
      <c r="M558" s="284" t="s">
        <v>2962</v>
      </c>
      <c r="N558" s="270">
        <f t="shared" si="68"/>
        <v>0</v>
      </c>
      <c r="O558" s="270">
        <f t="shared" si="69"/>
        <v>0</v>
      </c>
      <c r="P558" s="271">
        <f t="shared" si="70"/>
        <v>0</v>
      </c>
      <c r="Q558" s="532"/>
      <c r="R558" s="354">
        <f>IF(ISERROR(VLOOKUP("SAN"&amp;$C558,ESTR_PREC_SP!$A$2:$G$2000,4,FALSE))=TRUE,0,VLOOKUP("SAN"&amp;$C558,ESTR_PREC_SP!$A$2:$G$2000,4,FALSE))</f>
        <v>0</v>
      </c>
      <c r="S558" s="521"/>
      <c r="T558" s="532"/>
      <c r="U558" s="532">
        <v>0</v>
      </c>
      <c r="V558" s="527"/>
      <c r="W558" s="527"/>
      <c r="X558" s="527"/>
      <c r="Y558" s="527"/>
      <c r="Z558" s="526">
        <f t="shared" si="71"/>
        <v>0</v>
      </c>
      <c r="AA558" s="527"/>
      <c r="AB558" s="527"/>
    </row>
    <row r="559" spans="2:28" s="204" customFormat="1" x14ac:dyDescent="0.25">
      <c r="B559" s="347" t="s">
        <v>1260</v>
      </c>
      <c r="C559" s="347" t="s">
        <v>1261</v>
      </c>
      <c r="D559" s="348" t="s">
        <v>3622</v>
      </c>
      <c r="E559" s="348"/>
      <c r="F559" s="348"/>
      <c r="G559" s="348"/>
      <c r="H559" s="349"/>
      <c r="I559" s="349"/>
      <c r="J559" s="349"/>
      <c r="K559" s="349"/>
      <c r="L559" s="366" t="s">
        <v>3623</v>
      </c>
      <c r="M559" s="284" t="s">
        <v>2962</v>
      </c>
      <c r="N559" s="270">
        <f t="shared" si="68"/>
        <v>320054</v>
      </c>
      <c r="O559" s="270">
        <f t="shared" si="69"/>
        <v>400582</v>
      </c>
      <c r="P559" s="271">
        <f t="shared" si="70"/>
        <v>80528</v>
      </c>
      <c r="Q559" s="532"/>
      <c r="R559" s="354">
        <f>IF(ISERROR(VLOOKUP("SAN"&amp;$C559,ESTR_PREC_SP!$A$2:$G$2000,4,FALSE))=TRUE,0,VLOOKUP("SAN"&amp;$C559,ESTR_PREC_SP!$A$2:$G$2000,4,FALSE))</f>
        <v>320054</v>
      </c>
      <c r="S559" s="521"/>
      <c r="T559" s="532"/>
      <c r="U559" s="532">
        <v>1522323</v>
      </c>
      <c r="V559" s="527"/>
      <c r="W559" s="527"/>
      <c r="X559" s="527"/>
      <c r="Y559" s="527">
        <f>320054+U559-400583+1</f>
        <v>1441795</v>
      </c>
      <c r="Z559" s="526">
        <f t="shared" si="71"/>
        <v>400582</v>
      </c>
      <c r="AA559" s="527"/>
      <c r="AB559" s="527">
        <v>399554</v>
      </c>
    </row>
    <row r="560" spans="2:28" s="204" customFormat="1" x14ac:dyDescent="0.25">
      <c r="B560" s="347" t="s">
        <v>1263</v>
      </c>
      <c r="C560" s="347" t="s">
        <v>1264</v>
      </c>
      <c r="D560" s="348" t="s">
        <v>3624</v>
      </c>
      <c r="E560" s="348"/>
      <c r="F560" s="348"/>
      <c r="G560" s="348"/>
      <c r="H560" s="349"/>
      <c r="I560" s="349"/>
      <c r="J560" s="349"/>
      <c r="K560" s="349"/>
      <c r="L560" s="367" t="s">
        <v>3625</v>
      </c>
      <c r="M560" s="284" t="s">
        <v>2962</v>
      </c>
      <c r="N560" s="270">
        <f t="shared" si="68"/>
        <v>0</v>
      </c>
      <c r="O560" s="270">
        <f t="shared" si="69"/>
        <v>0</v>
      </c>
      <c r="P560" s="271">
        <f t="shared" si="70"/>
        <v>0</v>
      </c>
      <c r="Q560" s="532"/>
      <c r="R560" s="354">
        <f>IF(ISERROR(VLOOKUP("SAN"&amp;$C560,ESTR_PREC_SP!$A$2:$G$2000,4,FALSE))=TRUE,0,VLOOKUP("SAN"&amp;$C560,ESTR_PREC_SP!$A$2:$G$2000,4,FALSE))</f>
        <v>0</v>
      </c>
      <c r="S560" s="521"/>
      <c r="T560" s="532"/>
      <c r="U560" s="532"/>
      <c r="V560" s="527"/>
      <c r="W560" s="527"/>
      <c r="X560" s="527"/>
      <c r="Y560" s="527"/>
      <c r="Z560" s="526">
        <f t="shared" si="71"/>
        <v>0</v>
      </c>
      <c r="AA560" s="527"/>
      <c r="AB560" s="527"/>
    </row>
    <row r="561" spans="2:28" s="204" customFormat="1" x14ac:dyDescent="0.25">
      <c r="B561" s="347" t="s">
        <v>1266</v>
      </c>
      <c r="C561" s="347" t="s">
        <v>1267</v>
      </c>
      <c r="D561" s="348" t="s">
        <v>3626</v>
      </c>
      <c r="E561" s="348"/>
      <c r="F561" s="348"/>
      <c r="G561" s="348"/>
      <c r="H561" s="349"/>
      <c r="I561" s="349"/>
      <c r="J561" s="349"/>
      <c r="K561" s="349"/>
      <c r="L561" s="368" t="s">
        <v>3627</v>
      </c>
      <c r="M561" s="284" t="s">
        <v>2962</v>
      </c>
      <c r="N561" s="270">
        <f t="shared" si="68"/>
        <v>0</v>
      </c>
      <c r="O561" s="270">
        <f t="shared" si="69"/>
        <v>0</v>
      </c>
      <c r="P561" s="271">
        <f t="shared" si="70"/>
        <v>0</v>
      </c>
      <c r="Q561" s="532"/>
      <c r="R561" s="354">
        <f>IF(ISERROR(VLOOKUP("SAN"&amp;$C561,ESTR_PREC_SP!$A$2:$G$2000,4,FALSE))=TRUE,0,VLOOKUP("SAN"&amp;$C561,ESTR_PREC_SP!$A$2:$G$2000,4,FALSE))</f>
        <v>0</v>
      </c>
      <c r="S561" s="521"/>
      <c r="T561" s="532"/>
      <c r="U561" s="532"/>
      <c r="V561" s="527"/>
      <c r="W561" s="527"/>
      <c r="X561" s="527"/>
      <c r="Y561" s="527"/>
      <c r="Z561" s="526">
        <f t="shared" si="71"/>
        <v>0</v>
      </c>
      <c r="AA561" s="527"/>
      <c r="AB561" s="527"/>
    </row>
    <row r="562" spans="2:28" s="204" customFormat="1" x14ac:dyDescent="0.25">
      <c r="B562" s="347" t="s">
        <v>1270</v>
      </c>
      <c r="C562" s="347" t="s">
        <v>1271</v>
      </c>
      <c r="D562" s="348" t="s">
        <v>3628</v>
      </c>
      <c r="E562" s="348"/>
      <c r="F562" s="348"/>
      <c r="G562" s="348"/>
      <c r="H562" s="349"/>
      <c r="I562" s="349"/>
      <c r="J562" s="348"/>
      <c r="K562" s="348"/>
      <c r="L562" s="358" t="s">
        <v>3629</v>
      </c>
      <c r="M562" s="284" t="s">
        <v>2962</v>
      </c>
      <c r="N562" s="270">
        <f t="shared" si="68"/>
        <v>0</v>
      </c>
      <c r="O562" s="270">
        <f t="shared" si="69"/>
        <v>0</v>
      </c>
      <c r="P562" s="271">
        <f t="shared" si="70"/>
        <v>0</v>
      </c>
      <c r="Q562" s="532"/>
      <c r="R562" s="354">
        <f>IF(ISERROR(VLOOKUP("SAN"&amp;$C562,ESTR_PREC_SP!$A$2:$G$2000,4,FALSE))=TRUE,0,VLOOKUP("SAN"&amp;$C562,ESTR_PREC_SP!$A$2:$G$2000,4,FALSE))</f>
        <v>0</v>
      </c>
      <c r="S562" s="521"/>
      <c r="T562" s="532"/>
      <c r="U562" s="532"/>
      <c r="V562" s="527"/>
      <c r="W562" s="527"/>
      <c r="X562" s="527"/>
      <c r="Y562" s="527"/>
      <c r="Z562" s="526">
        <f t="shared" si="71"/>
        <v>0</v>
      </c>
      <c r="AA562" s="527"/>
      <c r="AB562" s="527"/>
    </row>
    <row r="563" spans="2:28" s="204" customFormat="1" x14ac:dyDescent="0.25">
      <c r="B563" s="347" t="s">
        <v>1273</v>
      </c>
      <c r="C563" s="347" t="s">
        <v>1274</v>
      </c>
      <c r="D563" s="348" t="s">
        <v>3630</v>
      </c>
      <c r="E563" s="348"/>
      <c r="F563" s="348"/>
      <c r="G563" s="348"/>
      <c r="H563" s="349"/>
      <c r="I563" s="349"/>
      <c r="J563" s="349"/>
      <c r="K563" s="349"/>
      <c r="L563" s="368" t="s">
        <v>3631</v>
      </c>
      <c r="M563" s="284" t="s">
        <v>2962</v>
      </c>
      <c r="N563" s="270">
        <f t="shared" si="68"/>
        <v>0</v>
      </c>
      <c r="O563" s="270">
        <f t="shared" si="69"/>
        <v>0</v>
      </c>
      <c r="P563" s="271">
        <f t="shared" si="70"/>
        <v>0</v>
      </c>
      <c r="Q563" s="532"/>
      <c r="R563" s="354">
        <f>IF(ISERROR(VLOOKUP("SAN"&amp;$C563,ESTR_PREC_SP!$A$2:$G$2000,4,FALSE))=TRUE,0,VLOOKUP("SAN"&amp;$C563,ESTR_PREC_SP!$A$2:$G$2000,4,FALSE))</f>
        <v>0</v>
      </c>
      <c r="S563" s="521"/>
      <c r="T563" s="532"/>
      <c r="U563" s="532">
        <v>4099185</v>
      </c>
      <c r="V563" s="527"/>
      <c r="W563" s="527"/>
      <c r="X563" s="527"/>
      <c r="Y563" s="527">
        <v>4099185</v>
      </c>
      <c r="Z563" s="526">
        <f t="shared" si="71"/>
        <v>0</v>
      </c>
      <c r="AA563" s="527"/>
      <c r="AB563" s="527"/>
    </row>
    <row r="564" spans="2:28" s="204" customFormat="1" ht="24.75" customHeight="1" x14ac:dyDescent="0.25">
      <c r="B564" s="347" t="s">
        <v>1276</v>
      </c>
      <c r="C564" s="347" t="s">
        <v>1277</v>
      </c>
      <c r="D564" s="348" t="s">
        <v>3632</v>
      </c>
      <c r="E564" s="348"/>
      <c r="F564" s="348"/>
      <c r="G564" s="348"/>
      <c r="H564" s="349"/>
      <c r="I564" s="349"/>
      <c r="J564" s="349"/>
      <c r="K564" s="349"/>
      <c r="L564" s="364" t="s">
        <v>3633</v>
      </c>
      <c r="M564" s="284" t="s">
        <v>2962</v>
      </c>
      <c r="N564" s="270">
        <f t="shared" si="68"/>
        <v>74512</v>
      </c>
      <c r="O564" s="270">
        <f t="shared" si="69"/>
        <v>133020</v>
      </c>
      <c r="P564" s="271">
        <f t="shared" si="70"/>
        <v>58508</v>
      </c>
      <c r="Q564" s="532"/>
      <c r="R564" s="354">
        <f>IF(ISERROR(VLOOKUP("SAN"&amp;$C564,ESTR_PREC_SP!$A$2:$G$2000,4,FALSE))=TRUE,0,VLOOKUP("SAN"&amp;$C564,ESTR_PREC_SP!$A$2:$G$2000,4,FALSE))</f>
        <v>74512</v>
      </c>
      <c r="S564" s="521"/>
      <c r="T564" s="532"/>
      <c r="U564" s="532">
        <f>401265</f>
        <v>401265</v>
      </c>
      <c r="V564" s="527"/>
      <c r="W564" s="527"/>
      <c r="X564" s="527"/>
      <c r="Y564" s="527">
        <f>74512+U564-125442-7578</f>
        <v>342757</v>
      </c>
      <c r="Z564" s="526">
        <f t="shared" si="71"/>
        <v>133020</v>
      </c>
      <c r="AA564" s="527"/>
      <c r="AB564" s="527">
        <v>50687</v>
      </c>
    </row>
    <row r="565" spans="2:28" s="204" customFormat="1" ht="25.5" x14ac:dyDescent="0.25">
      <c r="B565" s="369" t="s">
        <v>1280</v>
      </c>
      <c r="C565" s="369" t="s">
        <v>1281</v>
      </c>
      <c r="D565" s="370" t="s">
        <v>3634</v>
      </c>
      <c r="E565" s="348"/>
      <c r="F565" s="370"/>
      <c r="G565" s="370"/>
      <c r="H565" s="370"/>
      <c r="I565" s="370"/>
      <c r="J565" s="370"/>
      <c r="K565" s="370"/>
      <c r="L565" s="371" t="s">
        <v>3635</v>
      </c>
      <c r="M565" s="284" t="s">
        <v>2962</v>
      </c>
      <c r="N565" s="270">
        <f t="shared" si="68"/>
        <v>0</v>
      </c>
      <c r="O565" s="270">
        <f t="shared" si="69"/>
        <v>0</v>
      </c>
      <c r="P565" s="271">
        <f t="shared" si="70"/>
        <v>0</v>
      </c>
      <c r="Q565" s="533"/>
      <c r="R565" s="354">
        <f>IF(ISERROR(VLOOKUP("SAN"&amp;$C565,ESTR_PREC_SP!$A$2:$G$2000,4,FALSE))=TRUE,0,VLOOKUP("SAN"&amp;$C565,ESTR_PREC_SP!$A$2:$G$2000,4,FALSE))</f>
        <v>0</v>
      </c>
      <c r="S565" s="521"/>
      <c r="T565" s="533"/>
      <c r="U565" s="533"/>
      <c r="V565" s="527"/>
      <c r="W565" s="527"/>
      <c r="X565" s="527"/>
      <c r="Y565" s="527"/>
      <c r="Z565" s="526">
        <f t="shared" si="71"/>
        <v>0</v>
      </c>
      <c r="AA565" s="527"/>
      <c r="AB565" s="527"/>
    </row>
    <row r="566" spans="2:28" s="204" customFormat="1" x14ac:dyDescent="0.25">
      <c r="B566" s="287" t="s">
        <v>1283</v>
      </c>
      <c r="C566" s="287" t="s">
        <v>1284</v>
      </c>
      <c r="D566" s="274" t="s">
        <v>3636</v>
      </c>
      <c r="E566" s="274"/>
      <c r="F566" s="274"/>
      <c r="G566" s="283"/>
      <c r="H566" s="326"/>
      <c r="I566" s="274"/>
      <c r="J566" s="281"/>
      <c r="K566" s="281"/>
      <c r="L566" s="372" t="s">
        <v>1288</v>
      </c>
      <c r="M566" s="373" t="s">
        <v>2962</v>
      </c>
      <c r="N566" s="270">
        <f t="shared" si="68"/>
        <v>0</v>
      </c>
      <c r="O566" s="270">
        <f>+Z566+Q566</f>
        <v>0</v>
      </c>
      <c r="P566" s="374">
        <f t="shared" si="70"/>
        <v>0</v>
      </c>
      <c r="Q566" s="533"/>
      <c r="R566" s="354">
        <f>IF(ISERROR(VLOOKUP("SAN"&amp;$C566,ESTR_PREC_SP!$A$2:$G$2000,4,FALSE))=TRUE,0,VLOOKUP("SAN"&amp;$C566,ESTR_PREC_SP!$A$2:$G$2000,4,FALSE))</f>
        <v>0</v>
      </c>
      <c r="S566" s="211"/>
      <c r="T566" s="211"/>
      <c r="U566" s="211"/>
      <c r="V566" s="211"/>
      <c r="W566" s="211"/>
      <c r="X566" s="211"/>
      <c r="Y566" s="211"/>
      <c r="Z566" s="527"/>
      <c r="AA566" s="211"/>
    </row>
    <row r="567" spans="2:28" s="204" customFormat="1" x14ac:dyDescent="0.25">
      <c r="B567" s="293"/>
      <c r="C567" s="293"/>
      <c r="D567" s="230"/>
      <c r="E567" s="230"/>
      <c r="F567" s="230"/>
      <c r="G567" s="230"/>
      <c r="H567" s="231"/>
      <c r="I567" s="230"/>
      <c r="J567" s="230"/>
      <c r="K567" s="230"/>
      <c r="L567" s="296"/>
      <c r="M567" s="216"/>
      <c r="N567" s="285"/>
      <c r="O567" s="285"/>
      <c r="P567" s="285"/>
      <c r="Q567" s="285"/>
      <c r="R567" s="285"/>
      <c r="S567" s="285"/>
      <c r="T567" s="211"/>
      <c r="U567" s="211"/>
      <c r="V567" s="211"/>
      <c r="W567" s="211"/>
      <c r="X567" s="211"/>
      <c r="Y567" s="211"/>
      <c r="Z567" s="211"/>
      <c r="AA567" s="211"/>
    </row>
    <row r="568" spans="2:28" s="204" customFormat="1" x14ac:dyDescent="0.25">
      <c r="B568" s="293"/>
      <c r="C568" s="293"/>
      <c r="D568" s="230"/>
      <c r="E568" s="230"/>
      <c r="F568" s="230"/>
      <c r="G568" s="230"/>
      <c r="H568" s="231"/>
      <c r="I568" s="230"/>
      <c r="J568" s="230"/>
      <c r="K568" s="230"/>
      <c r="L568" s="275"/>
      <c r="M568" s="216"/>
      <c r="N568" s="285"/>
      <c r="O568" s="285"/>
      <c r="P568" s="285"/>
      <c r="Q568" s="285"/>
      <c r="R568" s="285"/>
      <c r="S568" s="285"/>
      <c r="T568" s="211"/>
      <c r="U568" s="211"/>
      <c r="V568" s="211"/>
      <c r="W568" s="211"/>
      <c r="X568" s="211"/>
      <c r="Y568" s="211"/>
      <c r="Z568" s="211"/>
      <c r="AA568" s="211"/>
    </row>
    <row r="569" spans="2:28" s="204" customFormat="1" x14ac:dyDescent="0.25">
      <c r="B569" s="292" t="s">
        <v>1289</v>
      </c>
      <c r="C569" s="292" t="s">
        <v>1290</v>
      </c>
      <c r="D569" s="247" t="s">
        <v>3637</v>
      </c>
      <c r="E569" s="247"/>
      <c r="F569" s="247"/>
      <c r="G569" s="247"/>
      <c r="H569" s="248"/>
      <c r="I569" s="247"/>
      <c r="J569" s="247"/>
      <c r="K569" s="249"/>
      <c r="L569" s="276" t="s">
        <v>1292</v>
      </c>
      <c r="M569" s="251" t="s">
        <v>2962</v>
      </c>
      <c r="N569" s="252">
        <f>SUM(N572:N586)</f>
        <v>153255</v>
      </c>
      <c r="O569" s="252">
        <f>SUM(O572:O586)</f>
        <v>154851</v>
      </c>
      <c r="P569" s="259">
        <f>+O569-N569</f>
        <v>1596</v>
      </c>
      <c r="Q569" s="252">
        <f t="shared" ref="Q569:AB569" si="72">SUM(Q572:Q586)</f>
        <v>0</v>
      </c>
      <c r="R569" s="252">
        <f t="shared" si="72"/>
        <v>153255</v>
      </c>
      <c r="S569" s="252">
        <f t="shared" si="72"/>
        <v>0</v>
      </c>
      <c r="T569" s="252">
        <f t="shared" si="72"/>
        <v>0</v>
      </c>
      <c r="U569" s="252">
        <f t="shared" si="72"/>
        <v>764565</v>
      </c>
      <c r="V569" s="252">
        <f t="shared" si="72"/>
        <v>0</v>
      </c>
      <c r="W569" s="252">
        <f t="shared" si="72"/>
        <v>0</v>
      </c>
      <c r="X569" s="252">
        <f t="shared" si="72"/>
        <v>0</v>
      </c>
      <c r="Y569" s="252">
        <f t="shared" si="72"/>
        <v>762969</v>
      </c>
      <c r="Z569" s="252">
        <f t="shared" si="72"/>
        <v>154851</v>
      </c>
      <c r="AA569" s="252">
        <f t="shared" si="72"/>
        <v>0</v>
      </c>
      <c r="AB569" s="252">
        <f t="shared" si="72"/>
        <v>77981</v>
      </c>
    </row>
    <row r="570" spans="2:28" s="204" customFormat="1" x14ac:dyDescent="0.25">
      <c r="B570" s="293"/>
      <c r="C570" s="293"/>
      <c r="D570" s="230"/>
      <c r="E570" s="230"/>
      <c r="F570" s="230"/>
      <c r="G570" s="230"/>
      <c r="H570" s="231"/>
      <c r="I570" s="230"/>
      <c r="J570" s="230"/>
      <c r="K570" s="230"/>
      <c r="L570" s="277"/>
      <c r="M570" s="216"/>
      <c r="N570" s="285"/>
      <c r="O570" s="285"/>
      <c r="P570" s="285"/>
      <c r="Q570" s="285"/>
      <c r="R570" s="285"/>
      <c r="S570" s="285"/>
      <c r="T570" s="211"/>
      <c r="U570" s="211"/>
      <c r="V570" s="211"/>
      <c r="W570" s="211"/>
      <c r="X570" s="211"/>
      <c r="Y570" s="211"/>
      <c r="Z570" s="211"/>
      <c r="AA570" s="211"/>
    </row>
    <row r="571" spans="2:28" s="204" customFormat="1" ht="63.75" x14ac:dyDescent="0.25">
      <c r="B571" s="294" t="s">
        <v>2968</v>
      </c>
      <c r="C571" s="294" t="s">
        <v>2969</v>
      </c>
      <c r="D571" s="206" t="s">
        <v>72</v>
      </c>
      <c r="E571" s="206"/>
      <c r="F571" s="206"/>
      <c r="G571" s="207"/>
      <c r="H571" s="207"/>
      <c r="I571" s="207"/>
      <c r="J571" s="207" t="s">
        <v>2957</v>
      </c>
      <c r="K571" s="206" t="s">
        <v>82</v>
      </c>
      <c r="L571" s="261" t="s">
        <v>2970</v>
      </c>
      <c r="M571" s="345"/>
      <c r="N571" s="256" t="str">
        <f>N$15</f>
        <v>Valore netto al 31/12/2019</v>
      </c>
      <c r="O571" s="256" t="str">
        <f>O$15</f>
        <v>Valore netto al 31/12/2020</v>
      </c>
      <c r="P571" s="256" t="str">
        <f>P$15</f>
        <v>Variazione</v>
      </c>
      <c r="Q571" s="262" t="s">
        <v>2971</v>
      </c>
      <c r="R571" s="262" t="s">
        <v>3536</v>
      </c>
      <c r="S571" s="262" t="s">
        <v>2972</v>
      </c>
      <c r="T571" s="262" t="s">
        <v>3537</v>
      </c>
      <c r="U571" s="262" t="s">
        <v>3538</v>
      </c>
      <c r="V571" s="262" t="s">
        <v>3539</v>
      </c>
      <c r="W571" s="262" t="s">
        <v>2975</v>
      </c>
      <c r="X571" s="262" t="s">
        <v>3540</v>
      </c>
      <c r="Y571" s="262" t="s">
        <v>3541</v>
      </c>
      <c r="Z571" s="262" t="s">
        <v>3542</v>
      </c>
      <c r="AA571" s="262" t="s">
        <v>3543</v>
      </c>
      <c r="AB571" s="262" t="s">
        <v>3544</v>
      </c>
    </row>
    <row r="572" spans="2:28" s="204" customFormat="1" x14ac:dyDescent="0.25">
      <c r="B572" s="287" t="s">
        <v>1293</v>
      </c>
      <c r="C572" s="287" t="s">
        <v>1294</v>
      </c>
      <c r="D572" s="274" t="s">
        <v>3638</v>
      </c>
      <c r="E572" s="274"/>
      <c r="F572" s="274"/>
      <c r="G572" s="283"/>
      <c r="H572" s="266"/>
      <c r="I572" s="274"/>
      <c r="J572" s="281"/>
      <c r="K572" s="281"/>
      <c r="L572" s="282" t="s">
        <v>3639</v>
      </c>
      <c r="M572" s="263" t="s">
        <v>2962</v>
      </c>
      <c r="N572" s="270">
        <f t="shared" ref="N572:N586" si="73">+R572</f>
        <v>7675</v>
      </c>
      <c r="O572" s="270">
        <f t="shared" ref="O572:O586" si="74">+Z572</f>
        <v>2826</v>
      </c>
      <c r="P572" s="271">
        <f t="shared" ref="P572:P586" si="75">+O572-N572</f>
        <v>-4849</v>
      </c>
      <c r="Q572" s="532"/>
      <c r="R572" s="354">
        <f>IF(ISERROR(VLOOKUP("SAN"&amp;$C572,ESTR_PREC_SP!$A$2:$G$2000,4,FALSE))=TRUE,0,VLOOKUP("SAN"&amp;$C572,ESTR_PREC_SP!$A$2:$G$2000,4,FALSE))</f>
        <v>7675</v>
      </c>
      <c r="S572" s="521"/>
      <c r="T572" s="532"/>
      <c r="U572" s="532">
        <v>10198</v>
      </c>
      <c r="V572" s="527"/>
      <c r="W572" s="527"/>
      <c r="X572" s="527"/>
      <c r="Y572" s="532">
        <f>7675+U572-2826</f>
        <v>15047</v>
      </c>
      <c r="Z572" s="526">
        <f t="shared" ref="Z572:Z586" si="76">+R572+S572+U572+T572+V572-X572-Y572+W572+Q572</f>
        <v>2826</v>
      </c>
      <c r="AA572" s="527"/>
      <c r="AB572" s="527">
        <v>2364</v>
      </c>
    </row>
    <row r="573" spans="2:28" s="204" customFormat="1" x14ac:dyDescent="0.25">
      <c r="B573" s="287" t="s">
        <v>1298</v>
      </c>
      <c r="C573" s="287" t="s">
        <v>1299</v>
      </c>
      <c r="D573" s="274" t="s">
        <v>3640</v>
      </c>
      <c r="E573" s="274"/>
      <c r="F573" s="274"/>
      <c r="G573" s="283"/>
      <c r="H573" s="266"/>
      <c r="I573" s="274"/>
      <c r="J573" s="281"/>
      <c r="K573" s="281"/>
      <c r="L573" s="288" t="s">
        <v>3641</v>
      </c>
      <c r="M573" s="284" t="s">
        <v>2962</v>
      </c>
      <c r="N573" s="270">
        <f t="shared" si="73"/>
        <v>38219</v>
      </c>
      <c r="O573" s="270">
        <f t="shared" si="74"/>
        <v>48984</v>
      </c>
      <c r="P573" s="271">
        <f t="shared" si="75"/>
        <v>10765</v>
      </c>
      <c r="Q573" s="532"/>
      <c r="R573" s="354">
        <f>IF(ISERROR(VLOOKUP("SAN"&amp;$C573,ESTR_PREC_SP!$A$2:$G$2000,4,FALSE))=TRUE,0,VLOOKUP("SAN"&amp;$C573,ESTR_PREC_SP!$A$2:$G$2000,4,FALSE))</f>
        <v>38219</v>
      </c>
      <c r="S573" s="521"/>
      <c r="T573" s="532"/>
      <c r="U573" s="532">
        <v>126151</v>
      </c>
      <c r="V573" s="527"/>
      <c r="W573" s="527"/>
      <c r="X573" s="527"/>
      <c r="Y573" s="527">
        <f>38219+U573-48984</f>
        <v>115386</v>
      </c>
      <c r="Z573" s="526">
        <f t="shared" si="76"/>
        <v>48984</v>
      </c>
      <c r="AA573" s="527"/>
      <c r="AB573" s="527">
        <v>16745</v>
      </c>
    </row>
    <row r="574" spans="2:28" s="204" customFormat="1" x14ac:dyDescent="0.25">
      <c r="B574" s="287" t="s">
        <v>1302</v>
      </c>
      <c r="C574" s="287" t="s">
        <v>1303</v>
      </c>
      <c r="D574" s="274" t="s">
        <v>3642</v>
      </c>
      <c r="E574" s="274"/>
      <c r="F574" s="274"/>
      <c r="G574" s="283"/>
      <c r="H574" s="266"/>
      <c r="I574" s="274"/>
      <c r="J574" s="281"/>
      <c r="K574" s="281"/>
      <c r="L574" s="288" t="s">
        <v>3643</v>
      </c>
      <c r="M574" s="284" t="s">
        <v>2962</v>
      </c>
      <c r="N574" s="270">
        <f t="shared" si="73"/>
        <v>0</v>
      </c>
      <c r="O574" s="270">
        <f t="shared" si="74"/>
        <v>0</v>
      </c>
      <c r="P574" s="271">
        <f t="shared" si="75"/>
        <v>0</v>
      </c>
      <c r="Q574" s="532"/>
      <c r="R574" s="354">
        <f>IF(ISERROR(VLOOKUP("SAN"&amp;$C574,ESTR_PREC_SP!$A$2:$G$2000,4,FALSE))=TRUE,0,VLOOKUP("SAN"&amp;$C574,ESTR_PREC_SP!$A$2:$G$2000,4,FALSE))</f>
        <v>0</v>
      </c>
      <c r="S574" s="521"/>
      <c r="T574" s="532"/>
      <c r="U574" s="532"/>
      <c r="V574" s="527"/>
      <c r="W574" s="527"/>
      <c r="X574" s="527"/>
      <c r="Y574" s="527"/>
      <c r="Z574" s="526">
        <f t="shared" si="76"/>
        <v>0</v>
      </c>
      <c r="AA574" s="527"/>
      <c r="AB574" s="527"/>
    </row>
    <row r="575" spans="2:28" s="204" customFormat="1" x14ac:dyDescent="0.25">
      <c r="B575" s="287" t="s">
        <v>1306</v>
      </c>
      <c r="C575" s="287" t="s">
        <v>1307</v>
      </c>
      <c r="D575" s="274" t="s">
        <v>3644</v>
      </c>
      <c r="E575" s="274"/>
      <c r="F575" s="274"/>
      <c r="G575" s="283"/>
      <c r="H575" s="266"/>
      <c r="I575" s="274"/>
      <c r="J575" s="281"/>
      <c r="K575" s="281"/>
      <c r="L575" s="288" t="s">
        <v>3645</v>
      </c>
      <c r="M575" s="284" t="s">
        <v>2962</v>
      </c>
      <c r="N575" s="270">
        <f t="shared" si="73"/>
        <v>0</v>
      </c>
      <c r="O575" s="270">
        <f t="shared" si="74"/>
        <v>0</v>
      </c>
      <c r="P575" s="271">
        <f t="shared" si="75"/>
        <v>0</v>
      </c>
      <c r="Q575" s="532"/>
      <c r="R575" s="354">
        <f>IF(ISERROR(VLOOKUP("SAN"&amp;$C575,ESTR_PREC_SP!$A$2:$G$2000,4,FALSE))=TRUE,0,VLOOKUP("SAN"&amp;$C575,ESTR_PREC_SP!$A$2:$G$2000,4,FALSE))</f>
        <v>0</v>
      </c>
      <c r="S575" s="521"/>
      <c r="T575" s="532"/>
      <c r="U575" s="532"/>
      <c r="V575" s="527"/>
      <c r="W575" s="527"/>
      <c r="X575" s="527"/>
      <c r="Y575" s="527"/>
      <c r="Z575" s="526">
        <f t="shared" si="76"/>
        <v>0</v>
      </c>
      <c r="AA575" s="527"/>
      <c r="AB575" s="527"/>
    </row>
    <row r="576" spans="2:28" s="204" customFormat="1" x14ac:dyDescent="0.25">
      <c r="B576" s="287" t="s">
        <v>1309</v>
      </c>
      <c r="C576" s="287" t="s">
        <v>1310</v>
      </c>
      <c r="D576" s="274" t="s">
        <v>3646</v>
      </c>
      <c r="E576" s="274"/>
      <c r="F576" s="274"/>
      <c r="G576" s="283"/>
      <c r="H576" s="266"/>
      <c r="I576" s="274"/>
      <c r="J576" s="281"/>
      <c r="K576" s="281"/>
      <c r="L576" s="288" t="s">
        <v>3647</v>
      </c>
      <c r="M576" s="284" t="s">
        <v>2962</v>
      </c>
      <c r="N576" s="270">
        <f t="shared" si="73"/>
        <v>60472</v>
      </c>
      <c r="O576" s="270">
        <f t="shared" si="74"/>
        <v>61030</v>
      </c>
      <c r="P576" s="271">
        <f t="shared" si="75"/>
        <v>558</v>
      </c>
      <c r="Q576" s="532"/>
      <c r="R576" s="354">
        <f>IF(ISERROR(VLOOKUP("SAN"&amp;$C576,ESTR_PREC_SP!$A$2:$G$2000,4,FALSE))=TRUE,0,VLOOKUP("SAN"&amp;$C576,ESTR_PREC_SP!$A$2:$G$2000,4,FALSE))</f>
        <v>60472</v>
      </c>
      <c r="S576" s="521"/>
      <c r="T576" s="532"/>
      <c r="U576" s="532">
        <v>142298</v>
      </c>
      <c r="V576" s="527"/>
      <c r="W576" s="527"/>
      <c r="X576" s="527"/>
      <c r="Y576" s="527">
        <f>60472+U576-61030</f>
        <v>141740</v>
      </c>
      <c r="Z576" s="526">
        <f t="shared" si="76"/>
        <v>61030</v>
      </c>
      <c r="AA576" s="527"/>
      <c r="AB576" s="527">
        <v>27428</v>
      </c>
    </row>
    <row r="577" spans="2:39" s="204" customFormat="1" x14ac:dyDescent="0.25">
      <c r="B577" s="287" t="s">
        <v>1313</v>
      </c>
      <c r="C577" s="287" t="s">
        <v>1314</v>
      </c>
      <c r="D577" s="274" t="s">
        <v>3648</v>
      </c>
      <c r="E577" s="274"/>
      <c r="F577" s="274"/>
      <c r="G577" s="283"/>
      <c r="H577" s="266"/>
      <c r="I577" s="274"/>
      <c r="J577" s="281"/>
      <c r="K577" s="281"/>
      <c r="L577" s="288" t="s">
        <v>3649</v>
      </c>
      <c r="M577" s="284" t="s">
        <v>2962</v>
      </c>
      <c r="N577" s="270">
        <f t="shared" si="73"/>
        <v>27535</v>
      </c>
      <c r="O577" s="270">
        <f t="shared" si="74"/>
        <v>17650</v>
      </c>
      <c r="P577" s="271">
        <f t="shared" si="75"/>
        <v>-9885</v>
      </c>
      <c r="Q577" s="532"/>
      <c r="R577" s="354">
        <f>IF(ISERROR(VLOOKUP("SAN"&amp;$C577,ESTR_PREC_SP!$A$2:$G$2000,4,FALSE))=TRUE,0,VLOOKUP("SAN"&amp;$C577,ESTR_PREC_SP!$A$2:$G$2000,4,FALSE))</f>
        <v>27535</v>
      </c>
      <c r="S577" s="521"/>
      <c r="T577" s="532"/>
      <c r="U577" s="532">
        <v>31247</v>
      </c>
      <c r="V577" s="527"/>
      <c r="W577" s="527"/>
      <c r="X577" s="527"/>
      <c r="Y577" s="527">
        <f>27535+U577-17650</f>
        <v>41132</v>
      </c>
      <c r="Z577" s="526">
        <f t="shared" si="76"/>
        <v>17650</v>
      </c>
      <c r="AA577" s="527"/>
      <c r="AB577" s="527">
        <v>12774</v>
      </c>
    </row>
    <row r="578" spans="2:39" s="204" customFormat="1" x14ac:dyDescent="0.25">
      <c r="B578" s="287" t="s">
        <v>1316</v>
      </c>
      <c r="C578" s="287" t="s">
        <v>1317</v>
      </c>
      <c r="D578" s="274" t="s">
        <v>3650</v>
      </c>
      <c r="E578" s="274"/>
      <c r="F578" s="274"/>
      <c r="G578" s="283"/>
      <c r="H578" s="266"/>
      <c r="I578" s="274"/>
      <c r="J578" s="281"/>
      <c r="K578" s="281"/>
      <c r="L578" s="295" t="s">
        <v>3651</v>
      </c>
      <c r="M578" s="284" t="s">
        <v>2962</v>
      </c>
      <c r="N578" s="270">
        <f t="shared" si="73"/>
        <v>0</v>
      </c>
      <c r="O578" s="270">
        <f t="shared" si="74"/>
        <v>0</v>
      </c>
      <c r="P578" s="271">
        <f t="shared" si="75"/>
        <v>0</v>
      </c>
      <c r="Q578" s="532"/>
      <c r="R578" s="354">
        <f>IF(ISERROR(VLOOKUP("SAN"&amp;$C578,ESTR_PREC_SP!$A$2:$G$2000,4,FALSE))=TRUE,0,VLOOKUP("SAN"&amp;$C578,ESTR_PREC_SP!$A$2:$G$2000,4,FALSE))</f>
        <v>0</v>
      </c>
      <c r="S578" s="521"/>
      <c r="T578" s="532"/>
      <c r="U578" s="532"/>
      <c r="V578" s="527"/>
      <c r="W578" s="527"/>
      <c r="X578" s="527"/>
      <c r="Y578" s="527"/>
      <c r="Z578" s="526">
        <f t="shared" si="76"/>
        <v>0</v>
      </c>
      <c r="AA578" s="527"/>
      <c r="AB578" s="527"/>
    </row>
    <row r="579" spans="2:39" s="204" customFormat="1" x14ac:dyDescent="0.25">
      <c r="B579" s="287" t="s">
        <v>1320</v>
      </c>
      <c r="C579" s="287" t="s">
        <v>1321</v>
      </c>
      <c r="D579" s="274" t="s">
        <v>3652</v>
      </c>
      <c r="E579" s="274"/>
      <c r="F579" s="274"/>
      <c r="G579" s="283"/>
      <c r="H579" s="266"/>
      <c r="I579" s="274"/>
      <c r="J579" s="281"/>
      <c r="K579" s="281"/>
      <c r="L579" s="295" t="s">
        <v>3653</v>
      </c>
      <c r="M579" s="284" t="s">
        <v>2962</v>
      </c>
      <c r="N579" s="270">
        <f t="shared" si="73"/>
        <v>7053</v>
      </c>
      <c r="O579" s="270">
        <f t="shared" si="74"/>
        <v>883</v>
      </c>
      <c r="P579" s="271">
        <f t="shared" si="75"/>
        <v>-6170</v>
      </c>
      <c r="Q579" s="532"/>
      <c r="R579" s="354">
        <f>IF(ISERROR(VLOOKUP("SAN"&amp;$C579,ESTR_PREC_SP!$A$2:$G$2000,4,FALSE))=TRUE,0,VLOOKUP("SAN"&amp;$C579,ESTR_PREC_SP!$A$2:$G$2000,4,FALSE))</f>
        <v>7053</v>
      </c>
      <c r="S579" s="521"/>
      <c r="T579" s="532"/>
      <c r="U579" s="532">
        <v>72217</v>
      </c>
      <c r="V579" s="527"/>
      <c r="W579" s="527"/>
      <c r="X579" s="527"/>
      <c r="Y579" s="527">
        <f>7053+U579-884+1</f>
        <v>78387</v>
      </c>
      <c r="Z579" s="526">
        <f t="shared" si="76"/>
        <v>883</v>
      </c>
      <c r="AA579" s="527"/>
      <c r="AB579" s="527">
        <v>434</v>
      </c>
    </row>
    <row r="580" spans="2:39" s="204" customFormat="1" ht="25.5" x14ac:dyDescent="0.25">
      <c r="B580" s="287" t="s">
        <v>1323</v>
      </c>
      <c r="C580" s="287" t="s">
        <v>1324</v>
      </c>
      <c r="D580" s="274" t="s">
        <v>3654</v>
      </c>
      <c r="E580" s="274"/>
      <c r="F580" s="274"/>
      <c r="G580" s="283"/>
      <c r="H580" s="266"/>
      <c r="I580" s="274"/>
      <c r="J580" s="281"/>
      <c r="K580" s="281"/>
      <c r="L580" s="295" t="s">
        <v>3655</v>
      </c>
      <c r="M580" s="284" t="s">
        <v>2962</v>
      </c>
      <c r="N580" s="270">
        <f t="shared" si="73"/>
        <v>0</v>
      </c>
      <c r="O580" s="270">
        <f t="shared" si="74"/>
        <v>0</v>
      </c>
      <c r="P580" s="271">
        <f t="shared" si="75"/>
        <v>0</v>
      </c>
      <c r="Q580" s="532"/>
      <c r="R580" s="354">
        <f>IF(ISERROR(VLOOKUP("SAN"&amp;$C580,ESTR_PREC_SP!$A$2:$G$2000,4,FALSE))=TRUE,0,VLOOKUP("SAN"&amp;$C580,ESTR_PREC_SP!$A$2:$G$2000,4,FALSE))</f>
        <v>0</v>
      </c>
      <c r="S580" s="521"/>
      <c r="T580" s="532"/>
      <c r="U580" s="532">
        <v>16791</v>
      </c>
      <c r="V580" s="527"/>
      <c r="W580" s="527"/>
      <c r="X580" s="527"/>
      <c r="Y580" s="527">
        <v>16791</v>
      </c>
      <c r="Z580" s="526">
        <f t="shared" si="76"/>
        <v>0</v>
      </c>
      <c r="AA580" s="527"/>
      <c r="AB580" s="527"/>
    </row>
    <row r="581" spans="2:39" s="204" customFormat="1" x14ac:dyDescent="0.25">
      <c r="B581" s="287" t="s">
        <v>1326</v>
      </c>
      <c r="C581" s="287" t="s">
        <v>1327</v>
      </c>
      <c r="D581" s="274" t="s">
        <v>3656</v>
      </c>
      <c r="E581" s="274"/>
      <c r="F581" s="274"/>
      <c r="G581" s="283"/>
      <c r="H581" s="266"/>
      <c r="I581" s="274"/>
      <c r="J581" s="281"/>
      <c r="K581" s="281"/>
      <c r="L581" s="295" t="s">
        <v>3657</v>
      </c>
      <c r="M581" s="284" t="s">
        <v>2962</v>
      </c>
      <c r="N581" s="270">
        <f t="shared" si="73"/>
        <v>10422</v>
      </c>
      <c r="O581" s="270">
        <f t="shared" si="74"/>
        <v>21569</v>
      </c>
      <c r="P581" s="271">
        <f t="shared" si="75"/>
        <v>11147</v>
      </c>
      <c r="Q581" s="532"/>
      <c r="R581" s="354">
        <f>IF(ISERROR(VLOOKUP("SAN"&amp;$C581,ESTR_PREC_SP!$A$2:$G$2000,4,FALSE))=TRUE,0,VLOOKUP("SAN"&amp;$C581,ESTR_PREC_SP!$A$2:$G$2000,4,FALSE))</f>
        <v>10422</v>
      </c>
      <c r="S581" s="521"/>
      <c r="T581" s="532"/>
      <c r="U581" s="532">
        <f>292703+177</f>
        <v>292880</v>
      </c>
      <c r="V581" s="527"/>
      <c r="W581" s="527"/>
      <c r="X581" s="527"/>
      <c r="Y581" s="527">
        <f>10422+U581-21570+1</f>
        <v>281733</v>
      </c>
      <c r="Z581" s="526">
        <f t="shared" si="76"/>
        <v>21569</v>
      </c>
      <c r="AA581" s="527"/>
      <c r="AB581" s="527">
        <v>17594</v>
      </c>
    </row>
    <row r="582" spans="2:39" s="204" customFormat="1" x14ac:dyDescent="0.25">
      <c r="B582" s="287" t="s">
        <v>1329</v>
      </c>
      <c r="C582" s="287" t="s">
        <v>1330</v>
      </c>
      <c r="D582" s="274" t="s">
        <v>3658</v>
      </c>
      <c r="E582" s="274"/>
      <c r="F582" s="274"/>
      <c r="G582" s="283"/>
      <c r="H582" s="266"/>
      <c r="I582" s="274"/>
      <c r="J582" s="281"/>
      <c r="K582" s="281"/>
      <c r="L582" s="295" t="s">
        <v>3659</v>
      </c>
      <c r="M582" s="284" t="s">
        <v>2962</v>
      </c>
      <c r="N582" s="270">
        <f t="shared" si="73"/>
        <v>0</v>
      </c>
      <c r="O582" s="270">
        <f t="shared" si="74"/>
        <v>0</v>
      </c>
      <c r="P582" s="271">
        <f t="shared" si="75"/>
        <v>0</v>
      </c>
      <c r="Q582" s="532"/>
      <c r="R582" s="354">
        <f>IF(ISERROR(VLOOKUP("SAN"&amp;$C582,ESTR_PREC_SP!$A$2:$G$2000,4,FALSE))=TRUE,0,VLOOKUP("SAN"&amp;$C582,ESTR_PREC_SP!$A$2:$G$2000,4,FALSE))</f>
        <v>0</v>
      </c>
      <c r="S582" s="521"/>
      <c r="T582" s="532"/>
      <c r="U582" s="532"/>
      <c r="V582" s="527"/>
      <c r="W582" s="527"/>
      <c r="X582" s="527"/>
      <c r="Y582" s="527"/>
      <c r="Z582" s="526">
        <f t="shared" si="76"/>
        <v>0</v>
      </c>
      <c r="AA582" s="527"/>
      <c r="AB582" s="527"/>
    </row>
    <row r="583" spans="2:39" s="204" customFormat="1" x14ac:dyDescent="0.25">
      <c r="B583" s="287" t="s">
        <v>1332</v>
      </c>
      <c r="C583" s="287" t="s">
        <v>1333</v>
      </c>
      <c r="D583" s="274" t="s">
        <v>3660</v>
      </c>
      <c r="E583" s="274"/>
      <c r="F583" s="274"/>
      <c r="G583" s="283"/>
      <c r="H583" s="266"/>
      <c r="I583" s="274"/>
      <c r="J583" s="281"/>
      <c r="K583" s="281"/>
      <c r="L583" s="295" t="s">
        <v>3661</v>
      </c>
      <c r="M583" s="284" t="s">
        <v>2962</v>
      </c>
      <c r="N583" s="270">
        <f t="shared" si="73"/>
        <v>0</v>
      </c>
      <c r="O583" s="270">
        <f t="shared" si="74"/>
        <v>0</v>
      </c>
      <c r="P583" s="271">
        <f t="shared" si="75"/>
        <v>0</v>
      </c>
      <c r="Q583" s="532"/>
      <c r="R583" s="354">
        <f>IF(ISERROR(VLOOKUP("SAN"&amp;$C583,ESTR_PREC_SP!$A$2:$G$2000,4,FALSE))=TRUE,0,VLOOKUP("SAN"&amp;$C583,ESTR_PREC_SP!$A$2:$G$2000,4,FALSE))</f>
        <v>0</v>
      </c>
      <c r="S583" s="521"/>
      <c r="T583" s="532"/>
      <c r="U583" s="532">
        <v>41171</v>
      </c>
      <c r="V583" s="527"/>
      <c r="W583" s="527"/>
      <c r="X583" s="527"/>
      <c r="Y583" s="527">
        <v>41171</v>
      </c>
      <c r="Z583" s="526">
        <f t="shared" si="76"/>
        <v>0</v>
      </c>
      <c r="AA583" s="527"/>
      <c r="AB583" s="527"/>
    </row>
    <row r="584" spans="2:39" s="204" customFormat="1" x14ac:dyDescent="0.25">
      <c r="B584" s="287" t="s">
        <v>1335</v>
      </c>
      <c r="C584" s="287" t="s">
        <v>1336</v>
      </c>
      <c r="D584" s="274" t="s">
        <v>3662</v>
      </c>
      <c r="E584" s="274"/>
      <c r="F584" s="274"/>
      <c r="G584" s="283"/>
      <c r="H584" s="266"/>
      <c r="I584" s="274"/>
      <c r="J584" s="281"/>
      <c r="K584" s="281"/>
      <c r="L584" s="295" t="s">
        <v>3663</v>
      </c>
      <c r="M584" s="284" t="s">
        <v>2962</v>
      </c>
      <c r="N584" s="270">
        <f t="shared" si="73"/>
        <v>1879</v>
      </c>
      <c r="O584" s="270">
        <f t="shared" si="74"/>
        <v>1909</v>
      </c>
      <c r="P584" s="271">
        <f t="shared" si="75"/>
        <v>30</v>
      </c>
      <c r="Q584" s="532"/>
      <c r="R584" s="354">
        <f>IF(ISERROR(VLOOKUP("SAN"&amp;$C584,ESTR_PREC_SP!$A$2:$G$2000,4,FALSE))=TRUE,0,VLOOKUP("SAN"&amp;$C584,ESTR_PREC_SP!$A$2:$G$2000,4,FALSE))</f>
        <v>1879</v>
      </c>
      <c r="S584" s="521"/>
      <c r="T584" s="532"/>
      <c r="U584" s="532">
        <v>31612</v>
      </c>
      <c r="V584" s="527"/>
      <c r="W584" s="527"/>
      <c r="X584" s="527"/>
      <c r="Y584" s="527">
        <f>1879+U584-1909</f>
        <v>31582</v>
      </c>
      <c r="Z584" s="526">
        <f t="shared" si="76"/>
        <v>1909</v>
      </c>
      <c r="AA584" s="527"/>
      <c r="AB584" s="527">
        <v>642</v>
      </c>
    </row>
    <row r="585" spans="2:39" s="204" customFormat="1" x14ac:dyDescent="0.25">
      <c r="B585" s="287" t="s">
        <v>1339</v>
      </c>
      <c r="C585" s="287" t="s">
        <v>1340</v>
      </c>
      <c r="D585" s="274" t="s">
        <v>3664</v>
      </c>
      <c r="E585" s="274"/>
      <c r="F585" s="274"/>
      <c r="G585" s="283"/>
      <c r="H585" s="266"/>
      <c r="I585" s="274"/>
      <c r="J585" s="281"/>
      <c r="K585" s="281"/>
      <c r="L585" s="295" t="s">
        <v>3665</v>
      </c>
      <c r="M585" s="284" t="s">
        <v>2962</v>
      </c>
      <c r="N585" s="270">
        <f t="shared" si="73"/>
        <v>0</v>
      </c>
      <c r="O585" s="270">
        <f t="shared" si="74"/>
        <v>0</v>
      </c>
      <c r="P585" s="271">
        <f t="shared" si="75"/>
        <v>0</v>
      </c>
      <c r="Q585" s="532"/>
      <c r="R585" s="354">
        <f>IF(ISERROR(VLOOKUP("SAN"&amp;$C585,ESTR_PREC_SP!$A$2:$G$2000,4,FALSE))=TRUE,0,VLOOKUP("SAN"&amp;$C585,ESTR_PREC_SP!$A$2:$G$2000,4,FALSE))</f>
        <v>0</v>
      </c>
      <c r="S585" s="521"/>
      <c r="T585" s="532"/>
      <c r="U585" s="532"/>
      <c r="V585" s="527"/>
      <c r="W585" s="527"/>
      <c r="X585" s="527"/>
      <c r="Y585" s="527"/>
      <c r="Z585" s="526">
        <f t="shared" si="76"/>
        <v>0</v>
      </c>
      <c r="AA585" s="527"/>
      <c r="AB585" s="527"/>
    </row>
    <row r="586" spans="2:39" s="204" customFormat="1" x14ac:dyDescent="0.25">
      <c r="B586" s="287" t="s">
        <v>1342</v>
      </c>
      <c r="C586" s="287" t="s">
        <v>1343</v>
      </c>
      <c r="D586" s="274" t="s">
        <v>3666</v>
      </c>
      <c r="E586" s="274"/>
      <c r="F586" s="274"/>
      <c r="G586" s="283"/>
      <c r="H586" s="266"/>
      <c r="I586" s="274"/>
      <c r="J586" s="281"/>
      <c r="K586" s="281"/>
      <c r="L586" s="372" t="s">
        <v>3667</v>
      </c>
      <c r="M586" s="373" t="s">
        <v>2962</v>
      </c>
      <c r="N586" s="270">
        <f t="shared" si="73"/>
        <v>0</v>
      </c>
      <c r="O586" s="270">
        <f t="shared" si="74"/>
        <v>0</v>
      </c>
      <c r="P586" s="374">
        <f t="shared" si="75"/>
        <v>0</v>
      </c>
      <c r="Q586" s="532"/>
      <c r="R586" s="354">
        <f>IF(ISERROR(VLOOKUP("SAN"&amp;$C586,ESTR_PREC_SP!$A$2:$G$2000,4,FALSE))=TRUE,0,VLOOKUP("SAN"&amp;$C586,ESTR_PREC_SP!$A$2:$G$2000,4,FALSE))</f>
        <v>0</v>
      </c>
      <c r="S586" s="521"/>
      <c r="T586" s="532"/>
      <c r="U586" s="532"/>
      <c r="V586" s="527"/>
      <c r="W586" s="527"/>
      <c r="X586" s="527"/>
      <c r="Y586" s="527"/>
      <c r="Z586" s="526">
        <f t="shared" si="76"/>
        <v>0</v>
      </c>
      <c r="AA586" s="527"/>
      <c r="AB586" s="527"/>
    </row>
    <row r="587" spans="2:39" s="204" customFormat="1" x14ac:dyDescent="0.25">
      <c r="B587" s="278"/>
      <c r="C587" s="278"/>
      <c r="D587" s="278"/>
      <c r="E587" s="278"/>
      <c r="F587" s="278"/>
      <c r="G587" s="278"/>
      <c r="H587" s="375"/>
      <c r="I587" s="278"/>
      <c r="J587" s="278"/>
      <c r="K587" s="278"/>
      <c r="L587" s="241"/>
      <c r="M587" s="278"/>
      <c r="N587" s="279"/>
      <c r="O587" s="211"/>
      <c r="P587" s="211"/>
      <c r="Q587" s="285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2:39" s="204" customFormat="1" x14ac:dyDescent="0.25">
      <c r="B588" s="278"/>
      <c r="C588" s="278"/>
      <c r="D588" s="278"/>
      <c r="E588" s="278"/>
      <c r="F588" s="278"/>
      <c r="G588" s="278"/>
      <c r="H588" s="375"/>
      <c r="I588" s="278"/>
      <c r="J588" s="278"/>
      <c r="K588" s="278"/>
      <c r="L588" s="241"/>
      <c r="M588" s="278"/>
      <c r="N588" s="279"/>
      <c r="O588" s="211"/>
      <c r="P588" s="211"/>
      <c r="Q588" s="285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2:39" s="204" customFormat="1" ht="25.5" x14ac:dyDescent="0.25">
      <c r="B589" s="333"/>
      <c r="C589" s="333"/>
      <c r="D589" s="333"/>
      <c r="E589" s="333"/>
      <c r="F589" s="333"/>
      <c r="G589" s="333"/>
      <c r="H589" s="376"/>
      <c r="I589" s="333"/>
      <c r="J589" s="333"/>
      <c r="K589" s="333"/>
      <c r="L589" s="243"/>
      <c r="M589" s="244"/>
      <c r="N589" s="330" t="str">
        <f>N$15</f>
        <v>Valore netto al 31/12/2019</v>
      </c>
      <c r="O589" s="331" t="str">
        <f>O$15</f>
        <v>Valore netto al 31/12/2020</v>
      </c>
      <c r="P589" s="330" t="str">
        <f>P$15</f>
        <v>Variazione</v>
      </c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2:39" s="204" customFormat="1" x14ac:dyDescent="0.25">
      <c r="B590" s="246" t="s">
        <v>1348</v>
      </c>
      <c r="C590" s="246" t="s">
        <v>1349</v>
      </c>
      <c r="D590" s="247" t="s">
        <v>3668</v>
      </c>
      <c r="E590" s="247"/>
      <c r="F590" s="247"/>
      <c r="G590" s="247"/>
      <c r="H590" s="248"/>
      <c r="I590" s="247"/>
      <c r="J590" s="247"/>
      <c r="K590" s="249"/>
      <c r="L590" s="250" t="s">
        <v>1350</v>
      </c>
      <c r="M590" s="251" t="s">
        <v>2962</v>
      </c>
      <c r="N590" s="252">
        <f>+N592+N614+N653+N656+N685+N697+N702</f>
        <v>77775738</v>
      </c>
      <c r="O590" s="252">
        <f>+O592+O614+O653+O656+O685+O697+O702</f>
        <v>104377979</v>
      </c>
      <c r="P590" s="253">
        <f>+O590-N590</f>
        <v>26602241</v>
      </c>
      <c r="Q590" s="285"/>
      <c r="R590" s="211"/>
      <c r="S590" s="224">
        <f>S592+S614+S653+S656+S685+S697+S702</f>
        <v>0</v>
      </c>
      <c r="T590" s="211"/>
      <c r="U590" s="211"/>
      <c r="V590" s="211"/>
      <c r="W590" s="211"/>
      <c r="X590" s="211"/>
      <c r="Y590" s="211"/>
      <c r="Z590" s="211"/>
      <c r="AA590" s="211"/>
    </row>
    <row r="591" spans="2:39" s="204" customFormat="1" x14ac:dyDescent="0.25">
      <c r="B591" s="230"/>
      <c r="C591" s="230"/>
      <c r="D591" s="230"/>
      <c r="E591" s="230"/>
      <c r="F591" s="230"/>
      <c r="G591" s="230"/>
      <c r="H591" s="231"/>
      <c r="I591" s="230"/>
      <c r="J591" s="230"/>
      <c r="K591" s="230"/>
      <c r="L591" s="232"/>
      <c r="M591" s="211"/>
      <c r="N591" s="254"/>
      <c r="O591" s="211"/>
      <c r="P591" s="211"/>
      <c r="Q591" s="211"/>
      <c r="R591" s="211"/>
      <c r="S591" s="211"/>
      <c r="T591" s="216"/>
      <c r="U591" s="216"/>
      <c r="V591" s="216"/>
      <c r="W591" s="216"/>
      <c r="X591" s="216"/>
      <c r="Y591" s="216"/>
      <c r="Z591" s="211"/>
      <c r="AA591" s="211"/>
    </row>
    <row r="592" spans="2:39" s="204" customFormat="1" x14ac:dyDescent="0.25">
      <c r="B592" s="246" t="s">
        <v>1351</v>
      </c>
      <c r="C592" s="246" t="s">
        <v>1352</v>
      </c>
      <c r="D592" s="247" t="s">
        <v>3669</v>
      </c>
      <c r="E592" s="247"/>
      <c r="F592" s="247"/>
      <c r="G592" s="247"/>
      <c r="H592" s="248"/>
      <c r="I592" s="247"/>
      <c r="J592" s="247"/>
      <c r="K592" s="249"/>
      <c r="L592" s="276" t="s">
        <v>1353</v>
      </c>
      <c r="M592" s="251" t="s">
        <v>2962</v>
      </c>
      <c r="N592" s="252">
        <f>+SUM(N596:N598)+SUM(N601:N607)+N612</f>
        <v>328223</v>
      </c>
      <c r="O592" s="252">
        <f>+SUM(O596:O598)+SUM(O601:O607)+O612</f>
        <v>13930888</v>
      </c>
      <c r="P592" s="253">
        <f>+O592-N592</f>
        <v>13602665</v>
      </c>
      <c r="Q592" s="252">
        <f t="shared" ref="Q592:AM592" si="77">+SUM(Q596:Q598)+SUM(Q601:Q607)+Q612</f>
        <v>0</v>
      </c>
      <c r="R592" s="252">
        <f t="shared" si="77"/>
        <v>328223</v>
      </c>
      <c r="S592" s="252">
        <f t="shared" si="77"/>
        <v>0</v>
      </c>
      <c r="T592" s="252">
        <f t="shared" si="77"/>
        <v>0</v>
      </c>
      <c r="U592" s="252">
        <f t="shared" si="77"/>
        <v>13612612</v>
      </c>
      <c r="V592" s="252">
        <f t="shared" si="77"/>
        <v>240</v>
      </c>
      <c r="W592" s="252">
        <f t="shared" si="77"/>
        <v>0</v>
      </c>
      <c r="X592" s="252">
        <f t="shared" si="77"/>
        <v>9707</v>
      </c>
      <c r="Y592" s="252">
        <f t="shared" si="77"/>
        <v>13930888</v>
      </c>
      <c r="Z592" s="252">
        <f t="shared" si="77"/>
        <v>0</v>
      </c>
      <c r="AA592" s="252">
        <f t="shared" si="77"/>
        <v>0</v>
      </c>
      <c r="AB592" s="252">
        <f t="shared" si="77"/>
        <v>0</v>
      </c>
      <c r="AC592" s="252">
        <f t="shared" si="77"/>
        <v>0</v>
      </c>
      <c r="AD592" s="252">
        <f t="shared" si="77"/>
        <v>0</v>
      </c>
      <c r="AE592" s="252">
        <f t="shared" si="77"/>
        <v>0</v>
      </c>
      <c r="AF592" s="252">
        <f t="shared" si="77"/>
        <v>326081</v>
      </c>
      <c r="AG592" s="252">
        <f t="shared" si="77"/>
        <v>0</v>
      </c>
      <c r="AH592" s="252">
        <f t="shared" si="77"/>
        <v>1268</v>
      </c>
      <c r="AI592" s="252">
        <f t="shared" si="77"/>
        <v>634</v>
      </c>
      <c r="AJ592" s="252">
        <f t="shared" si="77"/>
        <v>13602905</v>
      </c>
      <c r="AK592" s="252">
        <f t="shared" si="77"/>
        <v>332888</v>
      </c>
      <c r="AL592" s="252">
        <f t="shared" si="77"/>
        <v>13598000</v>
      </c>
      <c r="AM592" s="252">
        <f t="shared" si="77"/>
        <v>0</v>
      </c>
    </row>
    <row r="593" spans="1:39" s="204" customFormat="1" x14ac:dyDescent="0.25">
      <c r="B593" s="216"/>
      <c r="C593" s="216"/>
      <c r="D593" s="226"/>
      <c r="E593" s="226"/>
      <c r="F593" s="226"/>
      <c r="G593" s="226"/>
      <c r="H593" s="227"/>
      <c r="I593" s="226"/>
      <c r="J593" s="226"/>
      <c r="K593" s="226"/>
      <c r="L593" s="241"/>
      <c r="M593" s="278"/>
      <c r="N593" s="279"/>
      <c r="O593" s="279"/>
      <c r="P593" s="279"/>
      <c r="Q593" s="211"/>
      <c r="R593" s="279"/>
      <c r="S593" s="279"/>
      <c r="T593" s="279"/>
      <c r="U593" s="279"/>
      <c r="V593" s="279"/>
      <c r="Y593" s="279"/>
      <c r="AA593" s="275"/>
      <c r="AB593" s="279"/>
      <c r="AC593" s="211"/>
      <c r="AD593" s="211"/>
    </row>
    <row r="594" spans="1:39" s="204" customFormat="1" ht="30" customHeight="1" x14ac:dyDescent="0.25">
      <c r="B594" s="211"/>
      <c r="C594" s="211"/>
      <c r="D594" s="211"/>
      <c r="E594" s="211"/>
      <c r="F594" s="211"/>
      <c r="G594" s="211"/>
      <c r="H594" s="353"/>
      <c r="I594" s="211"/>
      <c r="J594" s="211"/>
      <c r="K594" s="211"/>
      <c r="L594" s="232"/>
      <c r="M594" s="211"/>
      <c r="N594" s="334"/>
      <c r="O594" s="211"/>
      <c r="P594" s="211"/>
      <c r="Q594" s="211"/>
      <c r="R594" s="211"/>
      <c r="S594" s="902" t="s">
        <v>3495</v>
      </c>
      <c r="T594" s="902"/>
      <c r="U594" s="902"/>
      <c r="V594" s="335" t="s">
        <v>3496</v>
      </c>
      <c r="W594" s="336"/>
      <c r="X594" s="335" t="s">
        <v>3496</v>
      </c>
      <c r="AA594" s="211"/>
      <c r="AB594" s="285"/>
      <c r="AC594" s="211"/>
      <c r="AD594" s="211"/>
      <c r="AE594" s="211"/>
      <c r="AF594" s="914" t="str">
        <f>+AE486</f>
        <v>VALORE NOMINALE DEI CREDITI AL 31/12/ PER ANNO DI FORMAZIONE</v>
      </c>
      <c r="AG594" s="914"/>
      <c r="AH594" s="914"/>
      <c r="AI594" s="914"/>
      <c r="AJ594" s="914"/>
      <c r="AK594" s="916" t="str">
        <f>+AJ486</f>
        <v>VALORE NETTO DEI CREDITI AL 31/12/2020 PER SCADENZA</v>
      </c>
      <c r="AL594" s="916"/>
      <c r="AM594" s="916"/>
    </row>
    <row r="595" spans="1:39" s="204" customFormat="1" ht="51" x14ac:dyDescent="0.25">
      <c r="B595" s="294" t="s">
        <v>2968</v>
      </c>
      <c r="C595" s="294" t="s">
        <v>2969</v>
      </c>
      <c r="D595" s="206" t="s">
        <v>72</v>
      </c>
      <c r="E595" s="206"/>
      <c r="F595" s="206"/>
      <c r="G595" s="207"/>
      <c r="H595" s="207"/>
      <c r="I595" s="207"/>
      <c r="J595" s="207" t="s">
        <v>2957</v>
      </c>
      <c r="K595" s="206" t="s">
        <v>82</v>
      </c>
      <c r="L595" s="261" t="s">
        <v>3670</v>
      </c>
      <c r="M595" s="256"/>
      <c r="N595" s="256" t="str">
        <f>N$15</f>
        <v>Valore netto al 31/12/2019</v>
      </c>
      <c r="O595" s="256" t="str">
        <f>O$15</f>
        <v>Valore netto al 31/12/2020</v>
      </c>
      <c r="P595" s="256" t="str">
        <f>P$15</f>
        <v>Variazione</v>
      </c>
      <c r="Q595" s="262" t="s">
        <v>2971</v>
      </c>
      <c r="R595" s="262" t="str">
        <f>+R487</f>
        <v>Valore iniziale LORDO al 31/12/2019</v>
      </c>
      <c r="S595" s="337" t="s">
        <v>2972</v>
      </c>
      <c r="T595" s="337" t="s">
        <v>3497</v>
      </c>
      <c r="U595" s="337" t="s">
        <v>3495</v>
      </c>
      <c r="V595" s="338" t="s">
        <v>3498</v>
      </c>
      <c r="W595" s="262" t="s">
        <v>2975</v>
      </c>
      <c r="X595" s="338" t="s">
        <v>3499</v>
      </c>
      <c r="Y595" s="262" t="str">
        <f>+Y487</f>
        <v>Valore finale LORDO al 31/12/2020</v>
      </c>
      <c r="Z595" s="377" t="s">
        <v>3671</v>
      </c>
      <c r="AA595" s="262" t="str">
        <f>+Z487</f>
        <v>Fondo svalutazione crediti al 31/12/2019</v>
      </c>
      <c r="AB595" s="262" t="s">
        <v>3500</v>
      </c>
      <c r="AC595" s="262" t="s">
        <v>3501</v>
      </c>
      <c r="AD595" s="262" t="s">
        <v>3502</v>
      </c>
      <c r="AE595" s="262" t="str">
        <f>+AD487</f>
        <v>Fondo svalutazione crediti al 31/12/2020</v>
      </c>
      <c r="AF595" s="339" t="s">
        <v>3503</v>
      </c>
      <c r="AG595" s="339" t="s">
        <v>3504</v>
      </c>
      <c r="AH595" s="339" t="s">
        <v>3505</v>
      </c>
      <c r="AI595" s="339" t="s">
        <v>3506</v>
      </c>
      <c r="AJ595" s="339" t="s">
        <v>3507</v>
      </c>
      <c r="AK595" s="340" t="s">
        <v>3508</v>
      </c>
      <c r="AL595" s="340" t="s">
        <v>3509</v>
      </c>
      <c r="AM595" s="340" t="s">
        <v>3510</v>
      </c>
    </row>
    <row r="596" spans="1:39" s="204" customFormat="1" x14ac:dyDescent="0.25">
      <c r="B596" s="287" t="s">
        <v>1354</v>
      </c>
      <c r="C596" s="287" t="s">
        <v>1355</v>
      </c>
      <c r="D596" s="274" t="s">
        <v>3672</v>
      </c>
      <c r="E596" s="274"/>
      <c r="F596" s="274"/>
      <c r="G596" s="283"/>
      <c r="H596" s="266"/>
      <c r="I596" s="274"/>
      <c r="J596" s="281"/>
      <c r="K596" s="281"/>
      <c r="L596" s="295" t="s">
        <v>1361</v>
      </c>
      <c r="M596" s="284" t="s">
        <v>2962</v>
      </c>
      <c r="N596" s="269">
        <f>+R596-AA596</f>
        <v>0</v>
      </c>
      <c r="O596" s="270">
        <f>+Y596-AE596</f>
        <v>0</v>
      </c>
      <c r="P596" s="271">
        <f t="shared" ref="P596:P612" si="78">+O596-N596</f>
        <v>0</v>
      </c>
      <c r="Q596" s="520"/>
      <c r="R596" s="354">
        <f>IF(ISERROR(VLOOKUP("SAN"&amp;$C596,ESTR_PREC_SP!$A$2:$G$2000,4,FALSE))=TRUE,0,VLOOKUP("SAN"&amp;$C596,ESTR_PREC_SP!$A$2:$G$2000,4,FALSE))</f>
        <v>0</v>
      </c>
      <c r="S596" s="520"/>
      <c r="T596" s="520"/>
      <c r="U596" s="520"/>
      <c r="V596" s="520"/>
      <c r="W596" s="520"/>
      <c r="X596" s="520"/>
      <c r="Y596" s="269">
        <f>+R596+S596+T596+U596-V596-X596+W596+Q596</f>
        <v>0</v>
      </c>
      <c r="Z596" s="534"/>
      <c r="AA596" s="354">
        <f>IF(ISERROR(VLOOKUP("SAN"&amp;$C596,ESTR_PREC_SP!$A$2:$G$2000,5,FALSE))=TRUE,0,VLOOKUP("SAN"&amp;$C596,ESTR_PREC_SP!$A$2:$G$2000,5,FALSE))</f>
        <v>0</v>
      </c>
      <c r="AB596" s="355"/>
      <c r="AC596" s="520"/>
      <c r="AD596" s="520"/>
      <c r="AE596" s="269">
        <f>+AA596+AD596-AC596+AB596</f>
        <v>0</v>
      </c>
      <c r="AF596" s="520"/>
      <c r="AG596" s="520"/>
      <c r="AH596" s="520"/>
      <c r="AI596" s="520"/>
      <c r="AJ596" s="526">
        <f>+Y596-SUM(AF596:AI596)</f>
        <v>0</v>
      </c>
      <c r="AK596" s="526">
        <f>+Y596-AE596-AL596-AM596</f>
        <v>0</v>
      </c>
      <c r="AL596" s="520"/>
      <c r="AM596" s="520"/>
    </row>
    <row r="597" spans="1:39" s="204" customFormat="1" x14ac:dyDescent="0.25">
      <c r="B597" s="287" t="s">
        <v>1362</v>
      </c>
      <c r="C597" s="287" t="s">
        <v>1363</v>
      </c>
      <c r="D597" s="274" t="s">
        <v>3673</v>
      </c>
      <c r="E597" s="274"/>
      <c r="F597" s="274"/>
      <c r="G597" s="283"/>
      <c r="H597" s="266"/>
      <c r="I597" s="274"/>
      <c r="J597" s="281"/>
      <c r="K597" s="281"/>
      <c r="L597" s="295" t="s">
        <v>1366</v>
      </c>
      <c r="M597" s="284" t="s">
        <v>2962</v>
      </c>
      <c r="N597" s="269">
        <f>+R597-AA597</f>
        <v>0</v>
      </c>
      <c r="O597" s="270">
        <f>+Y597-AE597</f>
        <v>0</v>
      </c>
      <c r="P597" s="271">
        <f t="shared" si="78"/>
        <v>0</v>
      </c>
      <c r="Q597" s="520"/>
      <c r="R597" s="354">
        <f>IF(ISERROR(VLOOKUP("SAN"&amp;$C597,ESTR_PREC_SP!$A$2:$G$2000,4,FALSE))=TRUE,0,VLOOKUP("SAN"&amp;$C597,ESTR_PREC_SP!$A$2:$G$2000,4,FALSE))</f>
        <v>0</v>
      </c>
      <c r="S597" s="520"/>
      <c r="T597" s="520"/>
      <c r="U597" s="520"/>
      <c r="V597" s="520"/>
      <c r="W597" s="520"/>
      <c r="X597" s="520"/>
      <c r="Y597" s="269">
        <f>+R597+S597+T597+U597-V597-X597+W597+Q597</f>
        <v>0</v>
      </c>
      <c r="Z597" s="534"/>
      <c r="AA597" s="354">
        <f>IF(ISERROR(VLOOKUP("SAN"&amp;$C597,ESTR_PREC_SP!$A$2:$G$2000,5,FALSE))=TRUE,0,VLOOKUP("SAN"&amp;$C597,ESTR_PREC_SP!$A$2:$G$2000,5,FALSE))</f>
        <v>0</v>
      </c>
      <c r="AB597" s="355"/>
      <c r="AC597" s="520"/>
      <c r="AD597" s="520"/>
      <c r="AE597" s="269">
        <f>+AA597+AD597-AC597+AB597</f>
        <v>0</v>
      </c>
      <c r="AF597" s="520"/>
      <c r="AG597" s="520"/>
      <c r="AH597" s="520"/>
      <c r="AI597" s="520"/>
      <c r="AJ597" s="526">
        <f>+Y597-SUM(AF597:AI597)</f>
        <v>0</v>
      </c>
      <c r="AK597" s="526">
        <f>+Y597-AE597-AL597-AM597</f>
        <v>0</v>
      </c>
      <c r="AL597" s="520"/>
      <c r="AM597" s="520"/>
    </row>
    <row r="598" spans="1:39" s="204" customFormat="1" ht="15" customHeight="1" x14ac:dyDescent="0.25">
      <c r="B598" s="287" t="s">
        <v>1367</v>
      </c>
      <c r="C598" s="287" t="s">
        <v>1368</v>
      </c>
      <c r="D598" s="274" t="s">
        <v>3674</v>
      </c>
      <c r="E598" s="274"/>
      <c r="F598" s="274"/>
      <c r="G598" s="283"/>
      <c r="H598" s="266"/>
      <c r="I598" s="274"/>
      <c r="J598" s="281"/>
      <c r="K598" s="281"/>
      <c r="L598" s="295" t="s">
        <v>1369</v>
      </c>
      <c r="M598" s="284" t="s">
        <v>2962</v>
      </c>
      <c r="N598" s="272">
        <f>SUM(N599:N600)</f>
        <v>0</v>
      </c>
      <c r="O598" s="272">
        <f>SUM(O599:O600)</f>
        <v>0</v>
      </c>
      <c r="P598" s="378">
        <f t="shared" si="78"/>
        <v>0</v>
      </c>
      <c r="Q598" s="272">
        <f t="shared" ref="Q598:AM598" si="79">SUM(Q599:Q600)</f>
        <v>0</v>
      </c>
      <c r="R598" s="272">
        <f t="shared" si="79"/>
        <v>0</v>
      </c>
      <c r="S598" s="272">
        <f t="shared" si="79"/>
        <v>0</v>
      </c>
      <c r="T598" s="272">
        <f t="shared" si="79"/>
        <v>0</v>
      </c>
      <c r="U598" s="272">
        <f t="shared" si="79"/>
        <v>0</v>
      </c>
      <c r="V598" s="272">
        <f t="shared" si="79"/>
        <v>0</v>
      </c>
      <c r="W598" s="272">
        <f t="shared" si="79"/>
        <v>0</v>
      </c>
      <c r="X598" s="272">
        <f t="shared" si="79"/>
        <v>0</v>
      </c>
      <c r="Y598" s="272">
        <f t="shared" si="79"/>
        <v>0</v>
      </c>
      <c r="Z598" s="272">
        <f t="shared" si="79"/>
        <v>0</v>
      </c>
      <c r="AA598" s="272">
        <f t="shared" si="79"/>
        <v>0</v>
      </c>
      <c r="AB598" s="272">
        <f t="shared" si="79"/>
        <v>0</v>
      </c>
      <c r="AC598" s="272">
        <f t="shared" si="79"/>
        <v>0</v>
      </c>
      <c r="AD598" s="272">
        <f t="shared" si="79"/>
        <v>0</v>
      </c>
      <c r="AE598" s="272">
        <f t="shared" si="79"/>
        <v>0</v>
      </c>
      <c r="AF598" s="272">
        <f t="shared" si="79"/>
        <v>0</v>
      </c>
      <c r="AG598" s="272">
        <f t="shared" si="79"/>
        <v>0</v>
      </c>
      <c r="AH598" s="272">
        <f t="shared" si="79"/>
        <v>0</v>
      </c>
      <c r="AI598" s="272">
        <f t="shared" si="79"/>
        <v>0</v>
      </c>
      <c r="AJ598" s="272">
        <f t="shared" si="79"/>
        <v>0</v>
      </c>
      <c r="AK598" s="272">
        <f t="shared" si="79"/>
        <v>0</v>
      </c>
      <c r="AL598" s="272">
        <f t="shared" si="79"/>
        <v>0</v>
      </c>
      <c r="AM598" s="272">
        <f t="shared" si="79"/>
        <v>0</v>
      </c>
    </row>
    <row r="599" spans="1:39" s="204" customFormat="1" ht="15" customHeight="1" x14ac:dyDescent="0.25">
      <c r="B599" s="287" t="s">
        <v>1370</v>
      </c>
      <c r="C599" s="287" t="s">
        <v>1371</v>
      </c>
      <c r="D599" s="274" t="s">
        <v>3675</v>
      </c>
      <c r="E599" s="274"/>
      <c r="F599" s="274"/>
      <c r="G599" s="283"/>
      <c r="H599" s="266"/>
      <c r="I599" s="274"/>
      <c r="J599" s="281"/>
      <c r="K599" s="281"/>
      <c r="L599" s="379" t="s">
        <v>1374</v>
      </c>
      <c r="M599" s="284" t="s">
        <v>2962</v>
      </c>
      <c r="N599" s="269">
        <f t="shared" ref="N599:N612" si="80">+R599-AA599</f>
        <v>0</v>
      </c>
      <c r="O599" s="270">
        <f t="shared" ref="O599:O612" si="81">+Y599-AE599</f>
        <v>0</v>
      </c>
      <c r="P599" s="271">
        <f t="shared" si="78"/>
        <v>0</v>
      </c>
      <c r="Q599" s="520"/>
      <c r="R599" s="354">
        <f>IF(ISERROR(VLOOKUP("SAN"&amp;$C599,ESTR_PREC_SP!$A$2:$G$2000,4,FALSE))=TRUE,0,VLOOKUP("SAN"&amp;$C599,ESTR_PREC_SP!$A$2:$G$2000,4,FALSE))</f>
        <v>0</v>
      </c>
      <c r="S599" s="520"/>
      <c r="T599" s="520"/>
      <c r="U599" s="520"/>
      <c r="V599" s="520"/>
      <c r="W599" s="520"/>
      <c r="X599" s="520"/>
      <c r="Y599" s="269">
        <f t="shared" ref="Y599:Y606" si="82">+R599+S599+T599+U599-V599-X599+W599+Q599</f>
        <v>0</v>
      </c>
      <c r="Z599" s="534"/>
      <c r="AA599" s="354">
        <f>IF(ISERROR(VLOOKUP("SAN"&amp;$C599,ESTR_PREC_SP!$A$2:$G$2000,5,FALSE))=TRUE,0,VLOOKUP("SAN"&amp;$C599,ESTR_PREC_SP!$A$2:$G$2000,5,FALSE))</f>
        <v>0</v>
      </c>
      <c r="AB599" s="355"/>
      <c r="AC599" s="520"/>
      <c r="AD599" s="520"/>
      <c r="AE599" s="269">
        <f t="shared" ref="AE599:AE606" si="83">+AA599+AD599-AC599+AB599</f>
        <v>0</v>
      </c>
      <c r="AF599" s="520"/>
      <c r="AG599" s="520"/>
      <c r="AH599" s="520"/>
      <c r="AI599" s="520"/>
      <c r="AJ599" s="526">
        <f t="shared" ref="AJ599:AJ606" si="84">+Y599-SUM(AF599:AI599)</f>
        <v>0</v>
      </c>
      <c r="AK599" s="526">
        <f t="shared" ref="AK599:AK606" si="85">+Y599-AE599-AL599-AM599</f>
        <v>0</v>
      </c>
      <c r="AL599" s="520"/>
      <c r="AM599" s="520"/>
    </row>
    <row r="600" spans="1:39" s="204" customFormat="1" ht="15" customHeight="1" x14ac:dyDescent="0.25">
      <c r="B600" s="287" t="s">
        <v>1375</v>
      </c>
      <c r="C600" s="287" t="s">
        <v>1376</v>
      </c>
      <c r="D600" s="274" t="s">
        <v>3676</v>
      </c>
      <c r="E600" s="274"/>
      <c r="F600" s="274"/>
      <c r="G600" s="283"/>
      <c r="H600" s="266"/>
      <c r="I600" s="274"/>
      <c r="J600" s="281"/>
      <c r="K600" s="281"/>
      <c r="L600" s="379" t="s">
        <v>1377</v>
      </c>
      <c r="M600" s="284" t="s">
        <v>2962</v>
      </c>
      <c r="N600" s="269">
        <f t="shared" si="80"/>
        <v>0</v>
      </c>
      <c r="O600" s="270">
        <f t="shared" si="81"/>
        <v>0</v>
      </c>
      <c r="P600" s="271">
        <f t="shared" si="78"/>
        <v>0</v>
      </c>
      <c r="Q600" s="520"/>
      <c r="R600" s="354">
        <f>IF(ISERROR(VLOOKUP("SAN"&amp;$C600,ESTR_PREC_SP!$A$2:$G$2000,4,FALSE))=TRUE,0,VLOOKUP("SAN"&amp;$C600,ESTR_PREC_SP!$A$2:$G$2000,4,FALSE))</f>
        <v>0</v>
      </c>
      <c r="S600" s="520"/>
      <c r="T600" s="520"/>
      <c r="U600" s="520"/>
      <c r="V600" s="520"/>
      <c r="W600" s="520"/>
      <c r="X600" s="520"/>
      <c r="Y600" s="269">
        <f t="shared" si="82"/>
        <v>0</v>
      </c>
      <c r="Z600" s="534"/>
      <c r="AA600" s="354">
        <f>IF(ISERROR(VLOOKUP("SAN"&amp;$C600,ESTR_PREC_SP!$A$2:$G$2000,5,FALSE))=TRUE,0,VLOOKUP("SAN"&amp;$C600,ESTR_PREC_SP!$A$2:$G$2000,5,FALSE))</f>
        <v>0</v>
      </c>
      <c r="AB600" s="355"/>
      <c r="AC600" s="520"/>
      <c r="AD600" s="520"/>
      <c r="AE600" s="269">
        <f t="shared" si="83"/>
        <v>0</v>
      </c>
      <c r="AF600" s="520"/>
      <c r="AG600" s="520"/>
      <c r="AH600" s="520"/>
      <c r="AI600" s="520"/>
      <c r="AJ600" s="526">
        <f t="shared" si="84"/>
        <v>0</v>
      </c>
      <c r="AK600" s="526">
        <f t="shared" si="85"/>
        <v>0</v>
      </c>
      <c r="AL600" s="520"/>
      <c r="AM600" s="520"/>
    </row>
    <row r="601" spans="1:39" s="204" customFormat="1" ht="15" customHeight="1" x14ac:dyDescent="0.25">
      <c r="B601" s="287" t="s">
        <v>1378</v>
      </c>
      <c r="C601" s="287" t="s">
        <v>1379</v>
      </c>
      <c r="D601" s="274" t="s">
        <v>3677</v>
      </c>
      <c r="E601" s="274"/>
      <c r="F601" s="274"/>
      <c r="G601" s="283"/>
      <c r="H601" s="266"/>
      <c r="I601" s="274"/>
      <c r="J601" s="281"/>
      <c r="K601" s="281"/>
      <c r="L601" s="295" t="s">
        <v>1381</v>
      </c>
      <c r="M601" s="284" t="s">
        <v>2962</v>
      </c>
      <c r="N601" s="269">
        <f t="shared" si="80"/>
        <v>0</v>
      </c>
      <c r="O601" s="270">
        <f t="shared" si="81"/>
        <v>0</v>
      </c>
      <c r="P601" s="271">
        <f t="shared" si="78"/>
        <v>0</v>
      </c>
      <c r="Q601" s="520"/>
      <c r="R601" s="354">
        <f>IF(ISERROR(VLOOKUP("SAN"&amp;$C601,ESTR_PREC_SP!$A$2:$G$2000,4,FALSE))=TRUE,0,VLOOKUP("SAN"&amp;$C601,ESTR_PREC_SP!$A$2:$G$2000,4,FALSE))</f>
        <v>0</v>
      </c>
      <c r="S601" s="520"/>
      <c r="T601" s="520"/>
      <c r="U601" s="520"/>
      <c r="V601" s="520"/>
      <c r="W601" s="520"/>
      <c r="X601" s="520"/>
      <c r="Y601" s="269">
        <f t="shared" si="82"/>
        <v>0</v>
      </c>
      <c r="Z601" s="534"/>
      <c r="AA601" s="354">
        <f>IF(ISERROR(VLOOKUP("SAN"&amp;$C601,ESTR_PREC_SP!$A$2:$G$2000,5,FALSE))=TRUE,0,VLOOKUP("SAN"&amp;$C601,ESTR_PREC_SP!$A$2:$G$2000,5,FALSE))</f>
        <v>0</v>
      </c>
      <c r="AB601" s="355"/>
      <c r="AC601" s="520"/>
      <c r="AD601" s="520"/>
      <c r="AE601" s="269">
        <f t="shared" si="83"/>
        <v>0</v>
      </c>
      <c r="AF601" s="520"/>
      <c r="AG601" s="520"/>
      <c r="AH601" s="520"/>
      <c r="AI601" s="520"/>
      <c r="AJ601" s="526">
        <f t="shared" si="84"/>
        <v>0</v>
      </c>
      <c r="AK601" s="526">
        <f t="shared" si="85"/>
        <v>0</v>
      </c>
      <c r="AL601" s="520"/>
      <c r="AM601" s="520"/>
    </row>
    <row r="602" spans="1:39" s="204" customFormat="1" ht="35.25" customHeight="1" x14ac:dyDescent="0.25">
      <c r="B602" s="287" t="s">
        <v>1382</v>
      </c>
      <c r="C602" s="287" t="s">
        <v>1383</v>
      </c>
      <c r="D602" s="274" t="s">
        <v>3678</v>
      </c>
      <c r="E602" s="274"/>
      <c r="F602" s="274"/>
      <c r="G602" s="283"/>
      <c r="H602" s="266"/>
      <c r="I602" s="274"/>
      <c r="J602" s="281"/>
      <c r="K602" s="281"/>
      <c r="L602" s="295" t="s">
        <v>1385</v>
      </c>
      <c r="M602" s="284" t="s">
        <v>2962</v>
      </c>
      <c r="N602" s="269">
        <f t="shared" si="80"/>
        <v>0</v>
      </c>
      <c r="O602" s="270">
        <f t="shared" si="81"/>
        <v>0</v>
      </c>
      <c r="P602" s="271">
        <f t="shared" si="78"/>
        <v>0</v>
      </c>
      <c r="Q602" s="520"/>
      <c r="R602" s="354">
        <f>IF(ISERROR(VLOOKUP("SAN"&amp;$C602,ESTR_PREC_SP!$A$2:$G$2000,4,FALSE))=TRUE,0,VLOOKUP("SAN"&amp;$C602,ESTR_PREC_SP!$A$2:$G$2000,4,FALSE))</f>
        <v>0</v>
      </c>
      <c r="S602" s="520"/>
      <c r="T602" s="520"/>
      <c r="U602" s="520"/>
      <c r="V602" s="520"/>
      <c r="W602" s="520"/>
      <c r="X602" s="520"/>
      <c r="Y602" s="269">
        <f t="shared" si="82"/>
        <v>0</v>
      </c>
      <c r="Z602" s="534"/>
      <c r="AA602" s="354">
        <f>IF(ISERROR(VLOOKUP("SAN"&amp;$C602,ESTR_PREC_SP!$A$2:$G$2000,5,FALSE))=TRUE,0,VLOOKUP("SAN"&amp;$C602,ESTR_PREC_SP!$A$2:$G$2000,5,FALSE))</f>
        <v>0</v>
      </c>
      <c r="AB602" s="355"/>
      <c r="AC602" s="520"/>
      <c r="AD602" s="520"/>
      <c r="AE602" s="269">
        <f t="shared" si="83"/>
        <v>0</v>
      </c>
      <c r="AF602" s="520"/>
      <c r="AG602" s="520"/>
      <c r="AH602" s="520"/>
      <c r="AI602" s="520"/>
      <c r="AJ602" s="526">
        <f t="shared" si="84"/>
        <v>0</v>
      </c>
      <c r="AK602" s="526">
        <f t="shared" si="85"/>
        <v>0</v>
      </c>
      <c r="AL602" s="520"/>
      <c r="AM602" s="520"/>
    </row>
    <row r="603" spans="1:39" s="204" customFormat="1" ht="15" customHeight="1" x14ac:dyDescent="0.25">
      <c r="B603" s="287" t="s">
        <v>1386</v>
      </c>
      <c r="C603" s="287" t="s">
        <v>1387</v>
      </c>
      <c r="D603" s="274" t="s">
        <v>3679</v>
      </c>
      <c r="E603" s="274"/>
      <c r="F603" s="274"/>
      <c r="G603" s="283"/>
      <c r="H603" s="266"/>
      <c r="I603" s="274"/>
      <c r="J603" s="281"/>
      <c r="K603" s="281"/>
      <c r="L603" s="295" t="s">
        <v>1389</v>
      </c>
      <c r="M603" s="284" t="s">
        <v>2962</v>
      </c>
      <c r="N603" s="269">
        <f t="shared" si="80"/>
        <v>0</v>
      </c>
      <c r="O603" s="270">
        <f t="shared" si="81"/>
        <v>0</v>
      </c>
      <c r="P603" s="271">
        <f t="shared" si="78"/>
        <v>0</v>
      </c>
      <c r="Q603" s="520"/>
      <c r="R603" s="354">
        <f>IF(ISERROR(VLOOKUP("SAN"&amp;$C603,ESTR_PREC_SP!$A$2:$G$2000,4,FALSE))=TRUE,0,VLOOKUP("SAN"&amp;$C603,ESTR_PREC_SP!$A$2:$G$2000,4,FALSE))</f>
        <v>0</v>
      </c>
      <c r="S603" s="520"/>
      <c r="T603" s="520"/>
      <c r="U603" s="520"/>
      <c r="V603" s="520"/>
      <c r="W603" s="520"/>
      <c r="X603" s="520"/>
      <c r="Y603" s="269">
        <f t="shared" si="82"/>
        <v>0</v>
      </c>
      <c r="Z603" s="534"/>
      <c r="AA603" s="354">
        <f>IF(ISERROR(VLOOKUP("SAN"&amp;$C603,ESTR_PREC_SP!$A$2:$G$2000,5,FALSE))=TRUE,0,VLOOKUP("SAN"&amp;$C603,ESTR_PREC_SP!$A$2:$G$2000,5,FALSE))</f>
        <v>0</v>
      </c>
      <c r="AB603" s="355"/>
      <c r="AC603" s="520"/>
      <c r="AD603" s="520"/>
      <c r="AE603" s="269">
        <f t="shared" si="83"/>
        <v>0</v>
      </c>
      <c r="AF603" s="520"/>
      <c r="AG603" s="520"/>
      <c r="AH603" s="520"/>
      <c r="AI603" s="520"/>
      <c r="AJ603" s="526">
        <f t="shared" si="84"/>
        <v>0</v>
      </c>
      <c r="AK603" s="526">
        <f t="shared" si="85"/>
        <v>0</v>
      </c>
      <c r="AL603" s="520"/>
      <c r="AM603" s="520"/>
    </row>
    <row r="604" spans="1:39" s="204" customFormat="1" x14ac:dyDescent="0.25">
      <c r="B604" s="287" t="s">
        <v>1390</v>
      </c>
      <c r="C604" s="287" t="s">
        <v>1391</v>
      </c>
      <c r="D604" s="274" t="s">
        <v>3680</v>
      </c>
      <c r="E604" s="274"/>
      <c r="F604" s="274"/>
      <c r="G604" s="283"/>
      <c r="H604" s="266"/>
      <c r="I604" s="274"/>
      <c r="J604" s="281"/>
      <c r="K604" s="281"/>
      <c r="L604" s="295" t="s">
        <v>1393</v>
      </c>
      <c r="M604" s="284" t="s">
        <v>2962</v>
      </c>
      <c r="N604" s="269">
        <f t="shared" si="80"/>
        <v>328223</v>
      </c>
      <c r="O604" s="270">
        <f t="shared" si="81"/>
        <v>332888</v>
      </c>
      <c r="P604" s="271">
        <f t="shared" si="78"/>
        <v>4665</v>
      </c>
      <c r="Q604" s="520"/>
      <c r="R604" s="354">
        <f>IF(ISERROR(VLOOKUP("SAN"&amp;$C604,ESTR_PREC_SP!$A$2:$G$2000,4,FALSE))=TRUE,0,VLOOKUP("SAN"&amp;$C604,ESTR_PREC_SP!$A$2:$G$2000,4,FALSE))</f>
        <v>328223</v>
      </c>
      <c r="S604" s="520"/>
      <c r="T604" s="520"/>
      <c r="U604" s="520">
        <v>14612</v>
      </c>
      <c r="V604" s="520">
        <v>240</v>
      </c>
      <c r="W604" s="520"/>
      <c r="X604" s="520">
        <v>9707</v>
      </c>
      <c r="Y604" s="269">
        <f t="shared" si="82"/>
        <v>332888</v>
      </c>
      <c r="Z604" s="534"/>
      <c r="AA604" s="354">
        <f>IF(ISERROR(VLOOKUP("SAN"&amp;$C604,ESTR_PREC_SP!$A$2:$G$2000,5,FALSE))=TRUE,0,VLOOKUP("SAN"&amp;$C604,ESTR_PREC_SP!$A$2:$G$2000,5,FALSE))</f>
        <v>0</v>
      </c>
      <c r="AB604" s="355"/>
      <c r="AC604" s="520"/>
      <c r="AD604" s="520"/>
      <c r="AE604" s="269">
        <f t="shared" si="83"/>
        <v>0</v>
      </c>
      <c r="AF604" s="520">
        <f>41676+284404+1</f>
        <v>326081</v>
      </c>
      <c r="AG604" s="520"/>
      <c r="AH604" s="520">
        <v>1268</v>
      </c>
      <c r="AI604" s="520">
        <v>634</v>
      </c>
      <c r="AJ604" s="526">
        <f t="shared" si="84"/>
        <v>4905</v>
      </c>
      <c r="AK604" s="526">
        <f t="shared" si="85"/>
        <v>332888</v>
      </c>
      <c r="AL604" s="520"/>
      <c r="AM604" s="520"/>
    </row>
    <row r="605" spans="1:39" s="204" customFormat="1" x14ac:dyDescent="0.25">
      <c r="A605" s="535" t="s">
        <v>3681</v>
      </c>
      <c r="B605" s="536" t="s">
        <v>1395</v>
      </c>
      <c r="C605" s="536" t="s">
        <v>1396</v>
      </c>
      <c r="D605" s="536"/>
      <c r="E605" s="536"/>
      <c r="F605" s="536"/>
      <c r="G605" s="536"/>
      <c r="H605" s="536"/>
      <c r="I605" s="536"/>
      <c r="J605" s="536"/>
      <c r="K605" s="536"/>
      <c r="L605" s="536" t="s">
        <v>1398</v>
      </c>
      <c r="M605" s="284" t="s">
        <v>2962</v>
      </c>
      <c r="N605" s="269">
        <f t="shared" si="80"/>
        <v>0</v>
      </c>
      <c r="O605" s="270">
        <f t="shared" si="81"/>
        <v>0</v>
      </c>
      <c r="P605" s="271">
        <f t="shared" si="78"/>
        <v>0</v>
      </c>
      <c r="Q605" s="520"/>
      <c r="R605" s="354">
        <f>IF(ISERROR(VLOOKUP("SAN"&amp;$C605,ESTR_PREC_SP!$A$2:$G$2000,4,FALSE))=TRUE,0,VLOOKUP("SAN"&amp;$C605,ESTR_PREC_SP!$A$2:$G$2000,4,FALSE))</f>
        <v>0</v>
      </c>
      <c r="S605" s="520"/>
      <c r="T605" s="520"/>
      <c r="U605" s="520"/>
      <c r="V605" s="520"/>
      <c r="W605" s="520"/>
      <c r="X605" s="520"/>
      <c r="Y605" s="269">
        <f t="shared" si="82"/>
        <v>0</v>
      </c>
      <c r="Z605" s="534"/>
      <c r="AA605" s="354">
        <f>IF(ISERROR(VLOOKUP("SAN"&amp;$C605,ESTR_PREC_SP!$A$2:$G$2000,5,FALSE))=TRUE,0,VLOOKUP("SAN"&amp;$C605,ESTR_PREC_SP!$A$2:$G$2000,5,FALSE))</f>
        <v>0</v>
      </c>
      <c r="AB605" s="355"/>
      <c r="AC605" s="520"/>
      <c r="AD605" s="520"/>
      <c r="AE605" s="269">
        <f t="shared" si="83"/>
        <v>0</v>
      </c>
      <c r="AF605" s="520"/>
      <c r="AG605" s="520"/>
      <c r="AH605" s="520"/>
      <c r="AI605" s="520"/>
      <c r="AJ605" s="526">
        <f t="shared" si="84"/>
        <v>0</v>
      </c>
      <c r="AK605" s="526">
        <f t="shared" si="85"/>
        <v>0</v>
      </c>
      <c r="AL605" s="520"/>
      <c r="AM605" s="520"/>
    </row>
    <row r="606" spans="1:39" s="204" customFormat="1" ht="15" customHeight="1" x14ac:dyDescent="0.25">
      <c r="B606" s="287" t="s">
        <v>1399</v>
      </c>
      <c r="C606" s="287" t="s">
        <v>1400</v>
      </c>
      <c r="D606" s="274" t="s">
        <v>3682</v>
      </c>
      <c r="E606" s="274"/>
      <c r="F606" s="274"/>
      <c r="G606" s="283"/>
      <c r="H606" s="266"/>
      <c r="I606" s="274"/>
      <c r="J606" s="281"/>
      <c r="K606" s="281"/>
      <c r="L606" s="295" t="s">
        <v>3683</v>
      </c>
      <c r="M606" s="284" t="s">
        <v>2962</v>
      </c>
      <c r="N606" s="269">
        <f t="shared" si="80"/>
        <v>0</v>
      </c>
      <c r="O606" s="270">
        <f t="shared" si="81"/>
        <v>13598000</v>
      </c>
      <c r="P606" s="271">
        <f t="shared" si="78"/>
        <v>13598000</v>
      </c>
      <c r="Q606" s="520"/>
      <c r="R606" s="354">
        <f>IF(ISERROR(VLOOKUP("SAN"&amp;$C606,ESTR_PREC_SP!$A$2:$G$2000,4,FALSE))=TRUE,0,VLOOKUP("SAN"&amp;$C606,ESTR_PREC_SP!$A$2:$G$2000,4,FALSE))</f>
        <v>0</v>
      </c>
      <c r="S606" s="520"/>
      <c r="T606" s="520"/>
      <c r="U606" s="520">
        <v>13598000</v>
      </c>
      <c r="V606" s="520"/>
      <c r="W606" s="520"/>
      <c r="X606" s="520"/>
      <c r="Y606" s="269">
        <f t="shared" si="82"/>
        <v>13598000</v>
      </c>
      <c r="Z606" s="534"/>
      <c r="AA606" s="354">
        <f>IF(ISERROR(VLOOKUP("SAN"&amp;$C606,ESTR_PREC_SP!$A$2:$G$2000,5,FALSE))=TRUE,0,VLOOKUP("SAN"&amp;$C606,ESTR_PREC_SP!$A$2:$G$2000,5,FALSE))</f>
        <v>0</v>
      </c>
      <c r="AB606" s="355"/>
      <c r="AC606" s="520"/>
      <c r="AD606" s="520"/>
      <c r="AE606" s="269">
        <f t="shared" si="83"/>
        <v>0</v>
      </c>
      <c r="AF606" s="520"/>
      <c r="AG606" s="520"/>
      <c r="AH606" s="520"/>
      <c r="AI606" s="520"/>
      <c r="AJ606" s="526">
        <f t="shared" si="84"/>
        <v>13598000</v>
      </c>
      <c r="AK606" s="526">
        <f t="shared" si="85"/>
        <v>0</v>
      </c>
      <c r="AL606" s="520">
        <v>13598000</v>
      </c>
      <c r="AM606" s="520"/>
    </row>
    <row r="607" spans="1:39" s="204" customFormat="1" x14ac:dyDescent="0.25">
      <c r="B607" s="287" t="s">
        <v>1405</v>
      </c>
      <c r="C607" s="287" t="s">
        <v>1406</v>
      </c>
      <c r="D607" s="274" t="s">
        <v>3684</v>
      </c>
      <c r="E607" s="274"/>
      <c r="F607" s="274"/>
      <c r="G607" s="283"/>
      <c r="H607" s="266"/>
      <c r="I607" s="274"/>
      <c r="J607" s="281"/>
      <c r="K607" s="281"/>
      <c r="L607" s="295" t="s">
        <v>3685</v>
      </c>
      <c r="M607" s="284" t="s">
        <v>2962</v>
      </c>
      <c r="N607" s="272">
        <f t="shared" si="80"/>
        <v>0</v>
      </c>
      <c r="O607" s="272">
        <f t="shared" si="81"/>
        <v>0</v>
      </c>
      <c r="P607" s="378">
        <f t="shared" si="78"/>
        <v>0</v>
      </c>
      <c r="Q607" s="272">
        <f t="shared" ref="Q607:AM607" si="86">SUM(Q608:Q611)</f>
        <v>0</v>
      </c>
      <c r="R607" s="272">
        <f t="shared" si="86"/>
        <v>0</v>
      </c>
      <c r="S607" s="272">
        <f t="shared" si="86"/>
        <v>0</v>
      </c>
      <c r="T607" s="272">
        <f t="shared" si="86"/>
        <v>0</v>
      </c>
      <c r="U607" s="272">
        <f t="shared" si="86"/>
        <v>0</v>
      </c>
      <c r="V607" s="272">
        <f t="shared" si="86"/>
        <v>0</v>
      </c>
      <c r="W607" s="272">
        <f t="shared" si="86"/>
        <v>0</v>
      </c>
      <c r="X607" s="272">
        <f t="shared" si="86"/>
        <v>0</v>
      </c>
      <c r="Y607" s="272">
        <f t="shared" si="86"/>
        <v>0</v>
      </c>
      <c r="Z607" s="272">
        <f t="shared" si="86"/>
        <v>0</v>
      </c>
      <c r="AA607" s="272">
        <f t="shared" si="86"/>
        <v>0</v>
      </c>
      <c r="AB607" s="272">
        <f t="shared" si="86"/>
        <v>0</v>
      </c>
      <c r="AC607" s="272">
        <f t="shared" si="86"/>
        <v>0</v>
      </c>
      <c r="AD607" s="272">
        <f t="shared" si="86"/>
        <v>0</v>
      </c>
      <c r="AE607" s="272">
        <f t="shared" si="86"/>
        <v>0</v>
      </c>
      <c r="AF607" s="272">
        <f t="shared" si="86"/>
        <v>0</v>
      </c>
      <c r="AG607" s="272">
        <f t="shared" si="86"/>
        <v>0</v>
      </c>
      <c r="AH607" s="272">
        <f t="shared" si="86"/>
        <v>0</v>
      </c>
      <c r="AI607" s="272">
        <f t="shared" si="86"/>
        <v>0</v>
      </c>
      <c r="AJ607" s="272">
        <f t="shared" si="86"/>
        <v>0</v>
      </c>
      <c r="AK607" s="272">
        <f t="shared" si="86"/>
        <v>0</v>
      </c>
      <c r="AL607" s="272">
        <f t="shared" si="86"/>
        <v>0</v>
      </c>
      <c r="AM607" s="272">
        <f t="shared" si="86"/>
        <v>0</v>
      </c>
    </row>
    <row r="608" spans="1:39" s="204" customFormat="1" ht="15" customHeight="1" x14ac:dyDescent="0.25">
      <c r="B608" s="287" t="s">
        <v>1408</v>
      </c>
      <c r="C608" s="287" t="s">
        <v>1409</v>
      </c>
      <c r="D608" s="274" t="s">
        <v>3686</v>
      </c>
      <c r="E608" s="274"/>
      <c r="F608" s="274"/>
      <c r="G608" s="283"/>
      <c r="H608" s="266"/>
      <c r="I608" s="274"/>
      <c r="J608" s="281"/>
      <c r="K608" s="281"/>
      <c r="L608" s="379" t="s">
        <v>3687</v>
      </c>
      <c r="M608" s="284" t="s">
        <v>2962</v>
      </c>
      <c r="N608" s="269">
        <f t="shared" si="80"/>
        <v>0</v>
      </c>
      <c r="O608" s="270">
        <f t="shared" si="81"/>
        <v>0</v>
      </c>
      <c r="P608" s="271">
        <f t="shared" si="78"/>
        <v>0</v>
      </c>
      <c r="Q608" s="520"/>
      <c r="R608" s="354">
        <f>IF(ISERROR(VLOOKUP("SAN"&amp;$C608,ESTR_PREC_SP!$A$2:$G$2000,4,FALSE))=TRUE,0,VLOOKUP("SAN"&amp;$C608,ESTR_PREC_SP!$A$2:$G$2000,4,FALSE))</f>
        <v>0</v>
      </c>
      <c r="S608" s="520"/>
      <c r="T608" s="520"/>
      <c r="U608" s="520"/>
      <c r="V608" s="520"/>
      <c r="W608" s="520"/>
      <c r="X608" s="520"/>
      <c r="Y608" s="269">
        <f>+R608+S608+T608+U608-V608-X608+W608+Q608</f>
        <v>0</v>
      </c>
      <c r="Z608" s="534"/>
      <c r="AA608" s="354">
        <f>IF(ISERROR(VLOOKUP("SAN"&amp;$C608,ESTR_PREC_SP!$A$2:$G$2000,5,FALSE))=TRUE,0,VLOOKUP("SAN"&amp;$C608,ESTR_PREC_SP!$A$2:$G$2000,5,FALSE))</f>
        <v>0</v>
      </c>
      <c r="AB608" s="355"/>
      <c r="AC608" s="520"/>
      <c r="AD608" s="520"/>
      <c r="AE608" s="269">
        <f>+AA608+AD608-AC608+AB608</f>
        <v>0</v>
      </c>
      <c r="AF608" s="520"/>
      <c r="AG608" s="520"/>
      <c r="AH608" s="520"/>
      <c r="AI608" s="520"/>
      <c r="AJ608" s="526">
        <f>+Y608-SUM(AF608:AI608)</f>
        <v>0</v>
      </c>
      <c r="AK608" s="526">
        <f>+Y608-AE608-AL608-AM608</f>
        <v>0</v>
      </c>
      <c r="AL608" s="520"/>
      <c r="AM608" s="520"/>
    </row>
    <row r="609" spans="2:39" s="204" customFormat="1" ht="15" customHeight="1" x14ac:dyDescent="0.25">
      <c r="B609" s="287" t="s">
        <v>1413</v>
      </c>
      <c r="C609" s="287" t="s">
        <v>1414</v>
      </c>
      <c r="D609" s="274" t="s">
        <v>3688</v>
      </c>
      <c r="E609" s="274"/>
      <c r="F609" s="274"/>
      <c r="G609" s="283"/>
      <c r="H609" s="266"/>
      <c r="I609" s="274"/>
      <c r="J609" s="281"/>
      <c r="K609" s="281"/>
      <c r="L609" s="379" t="s">
        <v>3689</v>
      </c>
      <c r="M609" s="284" t="s">
        <v>2962</v>
      </c>
      <c r="N609" s="269">
        <f t="shared" si="80"/>
        <v>0</v>
      </c>
      <c r="O609" s="270">
        <f t="shared" si="81"/>
        <v>0</v>
      </c>
      <c r="P609" s="271">
        <f t="shared" si="78"/>
        <v>0</v>
      </c>
      <c r="Q609" s="520"/>
      <c r="R609" s="354">
        <f>IF(ISERROR(VLOOKUP("SAN"&amp;$C609,ESTR_PREC_SP!$A$2:$G$2000,4,FALSE))=TRUE,0,VLOOKUP("SAN"&amp;$C609,ESTR_PREC_SP!$A$2:$G$2000,4,FALSE))</f>
        <v>0</v>
      </c>
      <c r="S609" s="520"/>
      <c r="T609" s="520"/>
      <c r="U609" s="520"/>
      <c r="V609" s="520"/>
      <c r="W609" s="520"/>
      <c r="X609" s="520"/>
      <c r="Y609" s="269">
        <f>+R609+S609+T609+U609-V609-X609+W609+Q609</f>
        <v>0</v>
      </c>
      <c r="Z609" s="534"/>
      <c r="AA609" s="354">
        <f>IF(ISERROR(VLOOKUP("SAN"&amp;$C609,ESTR_PREC_SP!$A$2:$G$2000,5,FALSE))=TRUE,0,VLOOKUP("SAN"&amp;$C609,ESTR_PREC_SP!$A$2:$G$2000,5,FALSE))</f>
        <v>0</v>
      </c>
      <c r="AB609" s="355"/>
      <c r="AC609" s="520"/>
      <c r="AD609" s="520"/>
      <c r="AE609" s="269">
        <f>+AA609+AD609-AC609+AB609</f>
        <v>0</v>
      </c>
      <c r="AF609" s="520"/>
      <c r="AG609" s="520"/>
      <c r="AH609" s="520"/>
      <c r="AI609" s="520"/>
      <c r="AJ609" s="526">
        <f>+Y609-SUM(AF609:AI609)</f>
        <v>0</v>
      </c>
      <c r="AK609" s="526">
        <f>+Y609-AE609-AL609-AM609</f>
        <v>0</v>
      </c>
      <c r="AL609" s="520"/>
      <c r="AM609" s="520"/>
    </row>
    <row r="610" spans="2:39" s="204" customFormat="1" ht="15" customHeight="1" x14ac:dyDescent="0.25">
      <c r="B610" s="287" t="s">
        <v>1419</v>
      </c>
      <c r="C610" s="287" t="s">
        <v>1420</v>
      </c>
      <c r="D610" s="274" t="s">
        <v>3690</v>
      </c>
      <c r="E610" s="274"/>
      <c r="F610" s="274"/>
      <c r="G610" s="283"/>
      <c r="H610" s="266"/>
      <c r="I610" s="274"/>
      <c r="J610" s="281"/>
      <c r="K610" s="281"/>
      <c r="L610" s="379" t="s">
        <v>3691</v>
      </c>
      <c r="M610" s="284" t="s">
        <v>2962</v>
      </c>
      <c r="N610" s="269">
        <f t="shared" si="80"/>
        <v>0</v>
      </c>
      <c r="O610" s="270">
        <f t="shared" si="81"/>
        <v>0</v>
      </c>
      <c r="P610" s="271">
        <f t="shared" si="78"/>
        <v>0</v>
      </c>
      <c r="Q610" s="520"/>
      <c r="R610" s="354">
        <f>IF(ISERROR(VLOOKUP("SAN"&amp;$C610,ESTR_PREC_SP!$A$2:$G$2000,4,FALSE))=TRUE,0,VLOOKUP("SAN"&amp;$C610,ESTR_PREC_SP!$A$2:$G$2000,4,FALSE))</f>
        <v>0</v>
      </c>
      <c r="S610" s="520"/>
      <c r="T610" s="520"/>
      <c r="U610" s="520"/>
      <c r="V610" s="520"/>
      <c r="W610" s="520"/>
      <c r="X610" s="520"/>
      <c r="Y610" s="269">
        <f>+R610+S610+T610+U610-V610-X610+W610+Q610</f>
        <v>0</v>
      </c>
      <c r="Z610" s="534"/>
      <c r="AA610" s="354">
        <f>IF(ISERROR(VLOOKUP("SAN"&amp;$C610,ESTR_PREC_SP!$A$2:$G$2000,5,FALSE))=TRUE,0,VLOOKUP("SAN"&amp;$C610,ESTR_PREC_SP!$A$2:$G$2000,5,FALSE))</f>
        <v>0</v>
      </c>
      <c r="AB610" s="355"/>
      <c r="AC610" s="520"/>
      <c r="AD610" s="520"/>
      <c r="AE610" s="269">
        <f>+AA610+AD610-AC610+AB610</f>
        <v>0</v>
      </c>
      <c r="AF610" s="520"/>
      <c r="AG610" s="520"/>
      <c r="AH610" s="520"/>
      <c r="AI610" s="520"/>
      <c r="AJ610" s="526">
        <f>+Y610-SUM(AF610:AI610)</f>
        <v>0</v>
      </c>
      <c r="AK610" s="526">
        <f>+Y610-AE610-AL610-AM610</f>
        <v>0</v>
      </c>
      <c r="AL610" s="520"/>
      <c r="AM610" s="520"/>
    </row>
    <row r="611" spans="2:39" s="204" customFormat="1" ht="15" customHeight="1" x14ac:dyDescent="0.25">
      <c r="B611" s="287" t="s">
        <v>1424</v>
      </c>
      <c r="C611" s="287" t="s">
        <v>1425</v>
      </c>
      <c r="D611" s="274" t="s">
        <v>3692</v>
      </c>
      <c r="E611" s="274"/>
      <c r="F611" s="274"/>
      <c r="G611" s="283"/>
      <c r="H611" s="266"/>
      <c r="I611" s="274"/>
      <c r="J611" s="281"/>
      <c r="K611" s="281"/>
      <c r="L611" s="379" t="s">
        <v>3693</v>
      </c>
      <c r="M611" s="284" t="s">
        <v>2962</v>
      </c>
      <c r="N611" s="269">
        <f t="shared" si="80"/>
        <v>0</v>
      </c>
      <c r="O611" s="270">
        <f t="shared" si="81"/>
        <v>0</v>
      </c>
      <c r="P611" s="271">
        <f t="shared" si="78"/>
        <v>0</v>
      </c>
      <c r="Q611" s="520"/>
      <c r="R611" s="354">
        <f>IF(ISERROR(VLOOKUP("SAN"&amp;$C611,ESTR_PREC_SP!$A$2:$G$2000,4,FALSE))=TRUE,0,VLOOKUP("SAN"&amp;$C611,ESTR_PREC_SP!$A$2:$G$2000,4,FALSE))</f>
        <v>0</v>
      </c>
      <c r="S611" s="520"/>
      <c r="T611" s="520"/>
      <c r="U611" s="520"/>
      <c r="V611" s="520"/>
      <c r="W611" s="520"/>
      <c r="X611" s="520"/>
      <c r="Y611" s="269">
        <f>+R611+S611+T611+U611-V611-X611+W611+Q611</f>
        <v>0</v>
      </c>
      <c r="Z611" s="534"/>
      <c r="AA611" s="354">
        <f>IF(ISERROR(VLOOKUP("SAN"&amp;$C611,ESTR_PREC_SP!$A$2:$G$2000,5,FALSE))=TRUE,0,VLOOKUP("SAN"&amp;$C611,ESTR_PREC_SP!$A$2:$G$2000,5,FALSE))</f>
        <v>0</v>
      </c>
      <c r="AB611" s="355"/>
      <c r="AC611" s="520"/>
      <c r="AD611" s="520"/>
      <c r="AE611" s="269">
        <f>+AA611+AD611-AC611+AB611</f>
        <v>0</v>
      </c>
      <c r="AF611" s="520"/>
      <c r="AG611" s="520"/>
      <c r="AH611" s="520"/>
      <c r="AI611" s="520"/>
      <c r="AJ611" s="526">
        <f>+Y611-SUM(AF611:AI611)</f>
        <v>0</v>
      </c>
      <c r="AK611" s="526">
        <f>+Y611-AE611-AL611-AM611</f>
        <v>0</v>
      </c>
      <c r="AL611" s="520"/>
      <c r="AM611" s="520"/>
    </row>
    <row r="612" spans="2:39" s="204" customFormat="1" x14ac:dyDescent="0.25">
      <c r="B612" s="287" t="s">
        <v>1429</v>
      </c>
      <c r="C612" s="287" t="s">
        <v>1430</v>
      </c>
      <c r="D612" s="274" t="s">
        <v>3694</v>
      </c>
      <c r="E612" s="274"/>
      <c r="F612" s="274"/>
      <c r="G612" s="283"/>
      <c r="H612" s="266"/>
      <c r="I612" s="274"/>
      <c r="J612" s="281"/>
      <c r="K612" s="281"/>
      <c r="L612" s="295" t="s">
        <v>3695</v>
      </c>
      <c r="M612" s="284" t="s">
        <v>2962</v>
      </c>
      <c r="N612" s="269">
        <f t="shared" si="80"/>
        <v>0</v>
      </c>
      <c r="O612" s="270">
        <f t="shared" si="81"/>
        <v>0</v>
      </c>
      <c r="P612" s="271">
        <f t="shared" si="78"/>
        <v>0</v>
      </c>
      <c r="Q612" s="520"/>
      <c r="R612" s="354">
        <f>IF(ISERROR(VLOOKUP("SAN"&amp;$C612,ESTR_PREC_SP!$A$2:$G$2000,4,FALSE))=TRUE,0,VLOOKUP("SAN"&amp;$C612,ESTR_PREC_SP!$A$2:$G$2000,4,FALSE))</f>
        <v>0</v>
      </c>
      <c r="S612" s="520"/>
      <c r="T612" s="520"/>
      <c r="U612" s="520"/>
      <c r="V612" s="520"/>
      <c r="W612" s="520"/>
      <c r="X612" s="520"/>
      <c r="Y612" s="269">
        <f>+R612+S612+T612+U612-V612-X612+W612+Q612</f>
        <v>0</v>
      </c>
      <c r="Z612" s="534"/>
      <c r="AA612" s="354">
        <f>IF(ISERROR(VLOOKUP("SAN"&amp;$C612,ESTR_PREC_SP!$A$2:$G$2000,5,FALSE))=TRUE,0,VLOOKUP("SAN"&amp;$C612,ESTR_PREC_SP!$A$2:$G$2000,5,FALSE))</f>
        <v>0</v>
      </c>
      <c r="AB612" s="355"/>
      <c r="AC612" s="520"/>
      <c r="AD612" s="520"/>
      <c r="AE612" s="269">
        <f>+AA612+AD612-AC612+AB612</f>
        <v>0</v>
      </c>
      <c r="AF612" s="520"/>
      <c r="AG612" s="520"/>
      <c r="AH612" s="520"/>
      <c r="AI612" s="520"/>
      <c r="AJ612" s="526">
        <f>+Y612-SUM(AF612:AI612)</f>
        <v>0</v>
      </c>
      <c r="AK612" s="526">
        <f>+Y612-AE612-AL612-AM612</f>
        <v>0</v>
      </c>
      <c r="AL612" s="520"/>
      <c r="AM612" s="520"/>
    </row>
    <row r="613" spans="2:39" s="204" customFormat="1" x14ac:dyDescent="0.25">
      <c r="B613" s="381"/>
      <c r="C613" s="381"/>
      <c r="D613" s="382"/>
      <c r="E613" s="382"/>
      <c r="F613" s="382"/>
      <c r="G613" s="382"/>
      <c r="H613" s="382"/>
      <c r="I613" s="382"/>
      <c r="J613" s="382"/>
      <c r="K613" s="382"/>
      <c r="L613" s="275"/>
      <c r="M613" s="275"/>
      <c r="N613" s="383"/>
      <c r="O613" s="383"/>
      <c r="P613" s="384"/>
      <c r="Q613" s="211"/>
      <c r="R613" s="275"/>
      <c r="S613" s="275"/>
      <c r="T613" s="275"/>
      <c r="U613" s="275"/>
      <c r="V613" s="275"/>
      <c r="W613" s="275"/>
      <c r="X613" s="275"/>
      <c r="Y613" s="275"/>
      <c r="Z613" s="385"/>
      <c r="AA613" s="385"/>
      <c r="AB613" s="275"/>
      <c r="AC613" s="213"/>
      <c r="AD613" s="213"/>
    </row>
    <row r="614" spans="2:39" s="204" customFormat="1" x14ac:dyDescent="0.25">
      <c r="B614" s="292" t="s">
        <v>1434</v>
      </c>
      <c r="C614" s="292" t="s">
        <v>1435</v>
      </c>
      <c r="D614" s="247" t="s">
        <v>3696</v>
      </c>
      <c r="E614" s="247"/>
      <c r="F614" s="247"/>
      <c r="G614" s="247"/>
      <c r="H614" s="248"/>
      <c r="I614" s="247"/>
      <c r="J614" s="247"/>
      <c r="K614" s="249"/>
      <c r="L614" s="276" t="s">
        <v>1436</v>
      </c>
      <c r="M614" s="251" t="s">
        <v>2962</v>
      </c>
      <c r="N614" s="252">
        <f>+N618+N641+N648+N649</f>
        <v>56089659</v>
      </c>
      <c r="O614" s="252">
        <f>+O618+O641+O648+O649</f>
        <v>74239770</v>
      </c>
      <c r="P614" s="253">
        <f>+O614-N614</f>
        <v>18150111</v>
      </c>
      <c r="Q614" s="252">
        <f t="shared" ref="Q614:AM614" si="87">+Q618+Q641+Q648+Q649</f>
        <v>0</v>
      </c>
      <c r="R614" s="252">
        <f t="shared" si="87"/>
        <v>56089659</v>
      </c>
      <c r="S614" s="252">
        <f t="shared" si="87"/>
        <v>0</v>
      </c>
      <c r="T614" s="252">
        <f t="shared" si="87"/>
        <v>0</v>
      </c>
      <c r="U614" s="252">
        <f t="shared" si="87"/>
        <v>89250013</v>
      </c>
      <c r="V614" s="252">
        <f t="shared" si="87"/>
        <v>11856478</v>
      </c>
      <c r="W614" s="252">
        <f t="shared" si="87"/>
        <v>0</v>
      </c>
      <c r="X614" s="252">
        <f t="shared" si="87"/>
        <v>59243424</v>
      </c>
      <c r="Y614" s="252">
        <f t="shared" si="87"/>
        <v>74239770</v>
      </c>
      <c r="Z614" s="252">
        <f t="shared" si="87"/>
        <v>0</v>
      </c>
      <c r="AA614" s="252">
        <f t="shared" si="87"/>
        <v>0</v>
      </c>
      <c r="AB614" s="252">
        <f t="shared" si="87"/>
        <v>0</v>
      </c>
      <c r="AC614" s="252">
        <f t="shared" si="87"/>
        <v>0</v>
      </c>
      <c r="AD614" s="252">
        <f t="shared" si="87"/>
        <v>0</v>
      </c>
      <c r="AE614" s="252">
        <f t="shared" si="87"/>
        <v>0</v>
      </c>
      <c r="AF614" s="252">
        <f t="shared" si="87"/>
        <v>12115886</v>
      </c>
      <c r="AG614" s="252">
        <f t="shared" si="87"/>
        <v>3026827</v>
      </c>
      <c r="AH614" s="252">
        <f t="shared" si="87"/>
        <v>17381066</v>
      </c>
      <c r="AI614" s="252">
        <f t="shared" si="87"/>
        <v>11709402</v>
      </c>
      <c r="AJ614" s="252">
        <f t="shared" si="87"/>
        <v>30006589</v>
      </c>
      <c r="AK614" s="252">
        <f t="shared" si="87"/>
        <v>73117646</v>
      </c>
      <c r="AL614" s="252">
        <f t="shared" si="87"/>
        <v>1122124</v>
      </c>
      <c r="AM614" s="252">
        <f t="shared" si="87"/>
        <v>0</v>
      </c>
    </row>
    <row r="615" spans="2:39" s="204" customFormat="1" x14ac:dyDescent="0.25">
      <c r="B615" s="298"/>
      <c r="C615" s="298"/>
      <c r="D615" s="226"/>
      <c r="E615" s="226"/>
      <c r="F615" s="226"/>
      <c r="G615" s="226"/>
      <c r="H615" s="227"/>
      <c r="I615" s="226"/>
      <c r="J615" s="226"/>
      <c r="K615" s="226"/>
      <c r="L615" s="241"/>
      <c r="M615" s="278"/>
      <c r="N615" s="279"/>
      <c r="O615" s="279"/>
      <c r="P615" s="279"/>
      <c r="Q615" s="211"/>
      <c r="R615" s="279"/>
      <c r="S615" s="279"/>
      <c r="T615" s="279"/>
      <c r="U615" s="279"/>
      <c r="V615" s="279"/>
      <c r="Y615" s="279"/>
      <c r="Z615" s="275"/>
      <c r="AA615" s="275"/>
      <c r="AB615" s="279"/>
      <c r="AC615" s="211"/>
      <c r="AD615" s="211"/>
    </row>
    <row r="616" spans="2:39" s="204" customFormat="1" ht="27" customHeight="1" x14ac:dyDescent="0.25">
      <c r="B616" s="289"/>
      <c r="C616" s="289"/>
      <c r="D616" s="211"/>
      <c r="E616" s="211"/>
      <c r="F616" s="211"/>
      <c r="G616" s="211"/>
      <c r="H616" s="353"/>
      <c r="I616" s="211"/>
      <c r="J616" s="211"/>
      <c r="K616" s="211"/>
      <c r="L616" s="232"/>
      <c r="M616" s="211"/>
      <c r="N616" s="334"/>
      <c r="O616" s="211"/>
      <c r="P616" s="211"/>
      <c r="Q616" s="211"/>
      <c r="R616" s="211"/>
      <c r="S616" s="902" t="s">
        <v>3495</v>
      </c>
      <c r="T616" s="902"/>
      <c r="U616" s="902"/>
      <c r="V616" s="525" t="s">
        <v>3496</v>
      </c>
      <c r="W616" s="336"/>
      <c r="X616" s="525" t="s">
        <v>3496</v>
      </c>
      <c r="Z616" s="211"/>
      <c r="AA616" s="211"/>
      <c r="AC616" s="285"/>
      <c r="AD616" s="211"/>
      <c r="AE616" s="211"/>
      <c r="AF616" s="914" t="str">
        <f>+AF594</f>
        <v>VALORE NOMINALE DEI CREDITI AL 31/12/ PER ANNO DI FORMAZIONE</v>
      </c>
      <c r="AG616" s="914"/>
      <c r="AH616" s="914"/>
      <c r="AI616" s="914"/>
      <c r="AJ616" s="914"/>
      <c r="AK616" s="905" t="str">
        <f>+AK594</f>
        <v>VALORE NETTO DEI CREDITI AL 31/12/2020 PER SCADENZA</v>
      </c>
      <c r="AL616" s="905"/>
      <c r="AM616" s="905"/>
    </row>
    <row r="617" spans="2:39" s="204" customFormat="1" ht="51" x14ac:dyDescent="0.25">
      <c r="B617" s="294" t="s">
        <v>2968</v>
      </c>
      <c r="C617" s="294" t="s">
        <v>2969</v>
      </c>
      <c r="D617" s="206" t="s">
        <v>72</v>
      </c>
      <c r="E617" s="206"/>
      <c r="F617" s="206"/>
      <c r="G617" s="207"/>
      <c r="H617" s="207"/>
      <c r="I617" s="207"/>
      <c r="J617" s="207" t="s">
        <v>2957</v>
      </c>
      <c r="K617" s="206" t="s">
        <v>82</v>
      </c>
      <c r="L617" s="261" t="s">
        <v>3670</v>
      </c>
      <c r="M617" s="256"/>
      <c r="N617" s="256" t="str">
        <f>N$15</f>
        <v>Valore netto al 31/12/2019</v>
      </c>
      <c r="O617" s="256" t="str">
        <f>O$15</f>
        <v>Valore netto al 31/12/2020</v>
      </c>
      <c r="P617" s="256" t="str">
        <f>P$15</f>
        <v>Variazione</v>
      </c>
      <c r="Q617" s="262" t="s">
        <v>2971</v>
      </c>
      <c r="R617" s="262" t="str">
        <f>+R595</f>
        <v>Valore iniziale LORDO al 31/12/2019</v>
      </c>
      <c r="S617" s="337" t="s">
        <v>2972</v>
      </c>
      <c r="T617" s="337" t="s">
        <v>3497</v>
      </c>
      <c r="U617" s="337" t="s">
        <v>3495</v>
      </c>
      <c r="V617" s="338" t="s">
        <v>3498</v>
      </c>
      <c r="W617" s="262" t="s">
        <v>2975</v>
      </c>
      <c r="X617" s="338" t="s">
        <v>3499</v>
      </c>
      <c r="Y617" s="262" t="str">
        <f>+Y595</f>
        <v>Valore finale LORDO al 31/12/2020</v>
      </c>
      <c r="Z617" s="337" t="str">
        <f>+Z595</f>
        <v>Di cui Fatture da emettere</v>
      </c>
      <c r="AA617" s="262" t="str">
        <f>+AA595</f>
        <v>Fondo svalutazione crediti al 31/12/2019</v>
      </c>
      <c r="AB617" s="262" t="s">
        <v>3500</v>
      </c>
      <c r="AC617" s="262" t="s">
        <v>3501</v>
      </c>
      <c r="AD617" s="262" t="s">
        <v>3502</v>
      </c>
      <c r="AE617" s="262" t="str">
        <f>+AE595</f>
        <v>Fondo svalutazione crediti al 31/12/2020</v>
      </c>
      <c r="AF617" s="339" t="s">
        <v>3503</v>
      </c>
      <c r="AG617" s="339" t="s">
        <v>3504</v>
      </c>
      <c r="AH617" s="339" t="s">
        <v>3505</v>
      </c>
      <c r="AI617" s="339" t="s">
        <v>3506</v>
      </c>
      <c r="AJ617" s="339" t="s">
        <v>3507</v>
      </c>
      <c r="AK617" s="340" t="s">
        <v>3508</v>
      </c>
      <c r="AL617" s="340" t="s">
        <v>3509</v>
      </c>
      <c r="AM617" s="340" t="s">
        <v>3510</v>
      </c>
    </row>
    <row r="618" spans="2:39" s="204" customFormat="1" ht="15" customHeight="1" x14ac:dyDescent="0.25">
      <c r="B618" s="287"/>
      <c r="C618" s="287" t="s">
        <v>1438</v>
      </c>
      <c r="D618" s="274" t="s">
        <v>3697</v>
      </c>
      <c r="E618" s="274"/>
      <c r="F618" s="274"/>
      <c r="G618" s="283"/>
      <c r="H618" s="266"/>
      <c r="I618" s="274"/>
      <c r="J618" s="281"/>
      <c r="K618" s="281"/>
      <c r="L618" s="295" t="s">
        <v>1440</v>
      </c>
      <c r="M618" s="284" t="s">
        <v>2962</v>
      </c>
      <c r="N618" s="272">
        <f>+N619+N620+N621+N629+N630+N634+N635+N636+N637+N639+N638+N640</f>
        <v>26822800</v>
      </c>
      <c r="O618" s="272">
        <f>+O619+O620+O621+O629+O630+O634+O635+O636+O637+O639+O638+O640</f>
        <v>44597343</v>
      </c>
      <c r="P618" s="378">
        <f>+O618-N618</f>
        <v>17774543</v>
      </c>
      <c r="Q618" s="272">
        <f>+Q619+Q620+Q621+Q629+Q630+Q634+Q635+Q636+Q637+Q639+Q638+Q640</f>
        <v>0</v>
      </c>
      <c r="R618" s="272">
        <f>+R619+R620+R621+R629+R630+R634+R635+R636+R637+R639</f>
        <v>26822800</v>
      </c>
      <c r="S618" s="272">
        <f t="shared" ref="S618:AM618" si="88">+S619+S620+S621+S629+S630+S634+S635+S636+S637+S639+S638+S640</f>
        <v>0</v>
      </c>
      <c r="T618" s="272">
        <f t="shared" si="88"/>
        <v>0</v>
      </c>
      <c r="U618" s="272">
        <f>+U619+U620+U621+U629+U630+U634+U635+U636+U637+U639+U638+U640</f>
        <v>84250013</v>
      </c>
      <c r="V618" s="272">
        <f t="shared" si="88"/>
        <v>9732046</v>
      </c>
      <c r="W618" s="272">
        <f t="shared" si="88"/>
        <v>0</v>
      </c>
      <c r="X618" s="272">
        <f t="shared" si="88"/>
        <v>56743424</v>
      </c>
      <c r="Y618" s="272">
        <f t="shared" si="88"/>
        <v>44597343</v>
      </c>
      <c r="Z618" s="272">
        <f t="shared" si="88"/>
        <v>0</v>
      </c>
      <c r="AA618" s="272">
        <f t="shared" si="88"/>
        <v>0</v>
      </c>
      <c r="AB618" s="272">
        <f t="shared" si="88"/>
        <v>0</v>
      </c>
      <c r="AC618" s="272">
        <f t="shared" si="88"/>
        <v>0</v>
      </c>
      <c r="AD618" s="272">
        <f t="shared" si="88"/>
        <v>0</v>
      </c>
      <c r="AE618" s="272">
        <f t="shared" si="88"/>
        <v>0</v>
      </c>
      <c r="AF618" s="272">
        <f t="shared" si="88"/>
        <v>5523745</v>
      </c>
      <c r="AG618" s="272">
        <f t="shared" si="88"/>
        <v>936607</v>
      </c>
      <c r="AH618" s="272">
        <f t="shared" si="88"/>
        <v>4385000</v>
      </c>
      <c r="AI618" s="272">
        <f t="shared" si="88"/>
        <v>6245402</v>
      </c>
      <c r="AJ618" s="272">
        <f t="shared" si="88"/>
        <v>27506589</v>
      </c>
      <c r="AK618" s="272">
        <f t="shared" si="88"/>
        <v>43475219</v>
      </c>
      <c r="AL618" s="272">
        <f t="shared" si="88"/>
        <v>1122124</v>
      </c>
      <c r="AM618" s="272">
        <f t="shared" si="88"/>
        <v>0</v>
      </c>
    </row>
    <row r="619" spans="2:39" s="204" customFormat="1" ht="15" customHeight="1" x14ac:dyDescent="0.25">
      <c r="B619" s="287"/>
      <c r="C619" s="287" t="s">
        <v>1441</v>
      </c>
      <c r="D619" s="274" t="s">
        <v>3698</v>
      </c>
      <c r="E619" s="274"/>
      <c r="F619" s="274"/>
      <c r="G619" s="283"/>
      <c r="H619" s="266"/>
      <c r="I619" s="274"/>
      <c r="J619" s="281"/>
      <c r="K619" s="281"/>
      <c r="L619" s="379" t="s">
        <v>3699</v>
      </c>
      <c r="M619" s="284" t="s">
        <v>2962</v>
      </c>
      <c r="N619" s="269">
        <f>+R619-AA619</f>
        <v>0</v>
      </c>
      <c r="O619" s="270">
        <f>+Y619-AE619</f>
        <v>0</v>
      </c>
      <c r="P619" s="271">
        <f>+O619-N619</f>
        <v>0</v>
      </c>
      <c r="Q619" s="520"/>
      <c r="R619" s="354">
        <f>IF(ISERROR(VLOOKUP("SAN"&amp;$C619,ESTR_PREC_SP!$A$2:$G$2000,4,FALSE))=TRUE,0,VLOOKUP("SAN"&amp;$C619,ESTR_PREC_SP!$A$2:$G$2000,4,FALSE))</f>
        <v>0</v>
      </c>
      <c r="S619" s="520"/>
      <c r="T619" s="520"/>
      <c r="U619" s="520"/>
      <c r="V619" s="520"/>
      <c r="W619" s="520"/>
      <c r="X619" s="520"/>
      <c r="Y619" s="269">
        <f>+R619+S619+T619+U619-V619-X619+W619+Q619</f>
        <v>0</v>
      </c>
      <c r="Z619" s="534"/>
      <c r="AA619" s="354">
        <f>IF(ISERROR(VLOOKUP("SAN"&amp;$C619,ESTR_PREC_SP!$A$2:$G$2000,5,FALSE))=TRUE,0,VLOOKUP("SAN"&amp;$C619,ESTR_PREC_SP!$A$2:$G$2000,5,FALSE))</f>
        <v>0</v>
      </c>
      <c r="AB619" s="355"/>
      <c r="AC619" s="520"/>
      <c r="AD619" s="520"/>
      <c r="AE619" s="269">
        <f>+AA619+AD619-AC619+AB619</f>
        <v>0</v>
      </c>
      <c r="AF619" s="520"/>
      <c r="AG619" s="520"/>
      <c r="AH619" s="520"/>
      <c r="AI619" s="520"/>
      <c r="AJ619" s="526">
        <f t="shared" ref="AJ619:AJ649" si="89">+Y619-SUM(AF619:AI619)</f>
        <v>0</v>
      </c>
      <c r="AK619" s="526">
        <f t="shared" ref="AK619:AK649" si="90">+Y619-AE619-AL619-AM619</f>
        <v>0</v>
      </c>
      <c r="AL619" s="520"/>
      <c r="AM619" s="520"/>
    </row>
    <row r="620" spans="2:39" s="204" customFormat="1" x14ac:dyDescent="0.25">
      <c r="B620" s="287" t="s">
        <v>1437</v>
      </c>
      <c r="C620" s="287" t="s">
        <v>1446</v>
      </c>
      <c r="D620" s="274" t="s">
        <v>3700</v>
      </c>
      <c r="E620" s="274"/>
      <c r="F620" s="274"/>
      <c r="G620" s="283"/>
      <c r="H620" s="266"/>
      <c r="I620" s="274"/>
      <c r="J620" s="281"/>
      <c r="K620" s="281"/>
      <c r="L620" s="379" t="s">
        <v>3701</v>
      </c>
      <c r="M620" s="284" t="s">
        <v>2962</v>
      </c>
      <c r="N620" s="269">
        <f>+R620-AA620</f>
        <v>0</v>
      </c>
      <c r="O620" s="270">
        <f>+Y620-AE620</f>
        <v>0</v>
      </c>
      <c r="P620" s="271">
        <f>+O620-N620</f>
        <v>0</v>
      </c>
      <c r="Q620" s="520"/>
      <c r="R620" s="354">
        <f>IF(ISERROR(VLOOKUP("SAN"&amp;$C620,ESTR_PREC_SP!$A$2:$G$2000,4,FALSE))=TRUE,0,VLOOKUP("SAN"&amp;$C620,ESTR_PREC_SP!$A$2:$G$2000,4,FALSE))</f>
        <v>0</v>
      </c>
      <c r="S620" s="520"/>
      <c r="T620" s="520"/>
      <c r="U620" s="520"/>
      <c r="V620" s="520"/>
      <c r="W620" s="520"/>
      <c r="X620" s="520"/>
      <c r="Y620" s="269">
        <f>+R620+S620+T620+U620-V620-X620+W620+Q620</f>
        <v>0</v>
      </c>
      <c r="Z620" s="534"/>
      <c r="AA620" s="354">
        <f>IF(ISERROR(VLOOKUP("SAN"&amp;$C620,ESTR_PREC_SP!$A$2:$G$2000,5,FALSE))=TRUE,0,VLOOKUP("SAN"&amp;$C620,ESTR_PREC_SP!$A$2:$G$2000,5,FALSE))</f>
        <v>0</v>
      </c>
      <c r="AB620" s="355"/>
      <c r="AC620" s="520"/>
      <c r="AD620" s="520"/>
      <c r="AE620" s="269">
        <f>+AA620+AD620-AC620+AB620</f>
        <v>0</v>
      </c>
      <c r="AF620" s="520"/>
      <c r="AG620" s="520"/>
      <c r="AH620" s="520"/>
      <c r="AI620" s="520"/>
      <c r="AJ620" s="526">
        <f t="shared" si="89"/>
        <v>0</v>
      </c>
      <c r="AK620" s="526">
        <f t="shared" si="90"/>
        <v>0</v>
      </c>
      <c r="AL620" s="520"/>
      <c r="AM620" s="520"/>
    </row>
    <row r="621" spans="2:39" s="204" customFormat="1" x14ac:dyDescent="0.25">
      <c r="B621" s="287" t="s">
        <v>1450</v>
      </c>
      <c r="C621" s="287" t="s">
        <v>1451</v>
      </c>
      <c r="D621" s="274" t="s">
        <v>3702</v>
      </c>
      <c r="E621" s="274"/>
      <c r="F621" s="274"/>
      <c r="G621" s="283"/>
      <c r="H621" s="266"/>
      <c r="I621" s="274"/>
      <c r="J621" s="281"/>
      <c r="K621" s="281"/>
      <c r="L621" s="379" t="s">
        <v>3703</v>
      </c>
      <c r="M621" s="284" t="s">
        <v>2962</v>
      </c>
      <c r="N621" s="272">
        <f>SUM(N622:N628)</f>
        <v>11488510</v>
      </c>
      <c r="O621" s="272">
        <f>SUM(O622:O628)</f>
        <v>36727183</v>
      </c>
      <c r="P621" s="272">
        <f>SUM(P622:P628)</f>
        <v>25238673</v>
      </c>
      <c r="Q621" s="272">
        <f>SUM(Q622:Q627)</f>
        <v>0</v>
      </c>
      <c r="R621" s="272">
        <f t="shared" ref="R621:AI621" si="91">SUM(R622:R628)</f>
        <v>11488510</v>
      </c>
      <c r="S621" s="272">
        <f t="shared" si="91"/>
        <v>0</v>
      </c>
      <c r="T621" s="272">
        <f t="shared" si="91"/>
        <v>0</v>
      </c>
      <c r="U621" s="272">
        <f t="shared" si="91"/>
        <v>63539046</v>
      </c>
      <c r="V621" s="272">
        <f t="shared" si="91"/>
        <v>1760666</v>
      </c>
      <c r="W621" s="272">
        <f t="shared" si="91"/>
        <v>0</v>
      </c>
      <c r="X621" s="272">
        <f t="shared" si="91"/>
        <v>36539707</v>
      </c>
      <c r="Y621" s="272">
        <f t="shared" si="91"/>
        <v>36727183</v>
      </c>
      <c r="Z621" s="272">
        <f t="shared" si="91"/>
        <v>0</v>
      </c>
      <c r="AA621" s="272">
        <f t="shared" si="91"/>
        <v>0</v>
      </c>
      <c r="AB621" s="272">
        <f t="shared" si="91"/>
        <v>0</v>
      </c>
      <c r="AC621" s="272">
        <f t="shared" si="91"/>
        <v>0</v>
      </c>
      <c r="AD621" s="272">
        <f t="shared" si="91"/>
        <v>0</v>
      </c>
      <c r="AE621" s="272">
        <f t="shared" si="91"/>
        <v>0</v>
      </c>
      <c r="AF621" s="272">
        <f t="shared" si="91"/>
        <v>194000</v>
      </c>
      <c r="AG621" s="272">
        <f t="shared" si="91"/>
        <v>893000</v>
      </c>
      <c r="AH621" s="272">
        <f t="shared" si="91"/>
        <v>2634000</v>
      </c>
      <c r="AI621" s="272">
        <f t="shared" si="91"/>
        <v>6006844</v>
      </c>
      <c r="AJ621" s="537">
        <f t="shared" si="89"/>
        <v>26999339</v>
      </c>
      <c r="AK621" s="537">
        <f t="shared" si="90"/>
        <v>35605059</v>
      </c>
      <c r="AL621" s="272">
        <f>SUM(AL622:AL628)</f>
        <v>1122124</v>
      </c>
      <c r="AM621" s="272">
        <f>SUM(AM622:AM628)</f>
        <v>0</v>
      </c>
    </row>
    <row r="622" spans="2:39" s="204" customFormat="1" x14ac:dyDescent="0.25">
      <c r="B622" s="287" t="s">
        <v>1453</v>
      </c>
      <c r="C622" s="287" t="s">
        <v>1454</v>
      </c>
      <c r="D622" s="274" t="s">
        <v>3704</v>
      </c>
      <c r="E622" s="274"/>
      <c r="F622" s="274"/>
      <c r="G622" s="283"/>
      <c r="H622" s="266"/>
      <c r="I622" s="274"/>
      <c r="J622" s="281"/>
      <c r="K622" s="281"/>
      <c r="L622" s="97" t="s">
        <v>3705</v>
      </c>
      <c r="M622" s="284" t="s">
        <v>2962</v>
      </c>
      <c r="N622" s="269">
        <f t="shared" ref="N622:N629" si="92">+R622-AA622</f>
        <v>0</v>
      </c>
      <c r="O622" s="270">
        <f t="shared" ref="O622:O629" si="93">+Y622-AE622</f>
        <v>0</v>
      </c>
      <c r="P622" s="271">
        <f t="shared" ref="P622:P649" si="94">+O622-N622</f>
        <v>0</v>
      </c>
      <c r="Q622" s="520"/>
      <c r="R622" s="354">
        <f>IF(ISERROR(VLOOKUP("SAN"&amp;$C622,ESTR_PREC_SP!$A$2:$G$2000,4,FALSE))=TRUE,0,VLOOKUP("SAN"&amp;$C622,ESTR_PREC_SP!$A$2:$G$2000,4,FALSE))</f>
        <v>0</v>
      </c>
      <c r="S622" s="520"/>
      <c r="T622" s="520"/>
      <c r="U622" s="520"/>
      <c r="V622" s="520"/>
      <c r="W622" s="520"/>
      <c r="X622" s="520"/>
      <c r="Y622" s="269">
        <f t="shared" ref="Y622:Y629" si="95">+R622+S622+T622+U622-V622-X622+W622+Q622</f>
        <v>0</v>
      </c>
      <c r="Z622" s="534"/>
      <c r="AA622" s="354">
        <f>IF(ISERROR(VLOOKUP("SAN"&amp;$C622,ESTR_PREC_SP!$A$2:$G$2000,5,FALSE))=TRUE,0,VLOOKUP("SAN"&amp;$C622,ESTR_PREC_SP!$A$2:$G$2000,5,FALSE))</f>
        <v>0</v>
      </c>
      <c r="AB622" s="355"/>
      <c r="AC622" s="520"/>
      <c r="AD622" s="520"/>
      <c r="AE622" s="269">
        <f t="shared" ref="AE622:AE629" si="96">+AA622+AD622-AC622+AB622</f>
        <v>0</v>
      </c>
      <c r="AF622" s="520"/>
      <c r="AG622" s="520"/>
      <c r="AH622" s="520"/>
      <c r="AI622" s="520"/>
      <c r="AJ622" s="526">
        <f t="shared" si="89"/>
        <v>0</v>
      </c>
      <c r="AK622" s="526">
        <f t="shared" si="90"/>
        <v>0</v>
      </c>
      <c r="AL622" s="520"/>
      <c r="AM622" s="520"/>
    </row>
    <row r="623" spans="2:39" s="204" customFormat="1" x14ac:dyDescent="0.25">
      <c r="B623" s="287" t="s">
        <v>1457</v>
      </c>
      <c r="C623" s="287" t="s">
        <v>1458</v>
      </c>
      <c r="D623" s="274" t="s">
        <v>3706</v>
      </c>
      <c r="E623" s="274"/>
      <c r="F623" s="274"/>
      <c r="G623" s="283"/>
      <c r="H623" s="266"/>
      <c r="I623" s="274"/>
      <c r="J623" s="281"/>
      <c r="K623" s="281"/>
      <c r="L623" s="97" t="s">
        <v>3707</v>
      </c>
      <c r="M623" s="284" t="s">
        <v>2962</v>
      </c>
      <c r="N623" s="269">
        <f t="shared" si="92"/>
        <v>0</v>
      </c>
      <c r="O623" s="270">
        <f t="shared" si="93"/>
        <v>0</v>
      </c>
      <c r="P623" s="271">
        <f t="shared" si="94"/>
        <v>0</v>
      </c>
      <c r="Q623" s="520"/>
      <c r="R623" s="354">
        <f>IF(ISERROR(VLOOKUP("SAN"&amp;$C623,ESTR_PREC_SP!$A$2:$G$2000,4,FALSE))=TRUE,0,VLOOKUP("SAN"&amp;$C623,ESTR_PREC_SP!$A$2:$G$2000,4,FALSE))</f>
        <v>0</v>
      </c>
      <c r="S623" s="520"/>
      <c r="T623" s="520"/>
      <c r="U623" s="520"/>
      <c r="V623" s="520"/>
      <c r="W623" s="520"/>
      <c r="X623" s="520"/>
      <c r="Y623" s="269">
        <f t="shared" si="95"/>
        <v>0</v>
      </c>
      <c r="Z623" s="534"/>
      <c r="AA623" s="354">
        <f>IF(ISERROR(VLOOKUP("SAN"&amp;$C623,ESTR_PREC_SP!$A$2:$G$2000,5,FALSE))=TRUE,0,VLOOKUP("SAN"&amp;$C623,ESTR_PREC_SP!$A$2:$G$2000,5,FALSE))</f>
        <v>0</v>
      </c>
      <c r="AB623" s="355"/>
      <c r="AC623" s="520"/>
      <c r="AD623" s="520"/>
      <c r="AE623" s="269">
        <f t="shared" si="96"/>
        <v>0</v>
      </c>
      <c r="AF623" s="520"/>
      <c r="AG623" s="520"/>
      <c r="AH623" s="520"/>
      <c r="AI623" s="520"/>
      <c r="AJ623" s="526">
        <f t="shared" si="89"/>
        <v>0</v>
      </c>
      <c r="AK623" s="526">
        <f t="shared" si="90"/>
        <v>0</v>
      </c>
      <c r="AL623" s="520"/>
      <c r="AM623" s="520"/>
    </row>
    <row r="624" spans="2:39" s="204" customFormat="1" x14ac:dyDescent="0.25">
      <c r="B624" s="287" t="s">
        <v>1460</v>
      </c>
      <c r="C624" s="287" t="s">
        <v>1461</v>
      </c>
      <c r="D624" s="274" t="s">
        <v>3708</v>
      </c>
      <c r="E624" s="274"/>
      <c r="F624" s="274"/>
      <c r="G624" s="283"/>
      <c r="H624" s="266"/>
      <c r="I624" s="274"/>
      <c r="J624" s="281"/>
      <c r="K624" s="281"/>
      <c r="L624" s="97" t="s">
        <v>3709</v>
      </c>
      <c r="M624" s="284" t="s">
        <v>2962</v>
      </c>
      <c r="N624" s="269">
        <f t="shared" si="92"/>
        <v>0</v>
      </c>
      <c r="O624" s="270">
        <f t="shared" si="93"/>
        <v>0</v>
      </c>
      <c r="P624" s="271">
        <f t="shared" si="94"/>
        <v>0</v>
      </c>
      <c r="Q624" s="520"/>
      <c r="R624" s="354">
        <f>IF(ISERROR(VLOOKUP("SAN"&amp;$C624,ESTR_PREC_SP!$A$2:$G$2000,4,FALSE))=TRUE,0,VLOOKUP("SAN"&amp;$C624,ESTR_PREC_SP!$A$2:$G$2000,4,FALSE))</f>
        <v>0</v>
      </c>
      <c r="S624" s="520"/>
      <c r="T624" s="520"/>
      <c r="U624" s="520">
        <v>15675885</v>
      </c>
      <c r="V624" s="520"/>
      <c r="W624" s="520"/>
      <c r="X624" s="520">
        <f>17893849-2217964</f>
        <v>15675885</v>
      </c>
      <c r="Y624" s="269">
        <f t="shared" si="95"/>
        <v>0</v>
      </c>
      <c r="Z624" s="534"/>
      <c r="AA624" s="354">
        <f>IF(ISERROR(VLOOKUP("SAN"&amp;$C624,ESTR_PREC_SP!$A$2:$G$2000,5,FALSE))=TRUE,0,VLOOKUP("SAN"&amp;$C624,ESTR_PREC_SP!$A$2:$G$2000,5,FALSE))</f>
        <v>0</v>
      </c>
      <c r="AB624" s="355"/>
      <c r="AC624" s="520"/>
      <c r="AD624" s="520"/>
      <c r="AE624" s="269">
        <f t="shared" si="96"/>
        <v>0</v>
      </c>
      <c r="AF624" s="520"/>
      <c r="AG624" s="520"/>
      <c r="AH624" s="520"/>
      <c r="AI624" s="520"/>
      <c r="AJ624" s="526">
        <f t="shared" si="89"/>
        <v>0</v>
      </c>
      <c r="AK624" s="526">
        <f t="shared" si="90"/>
        <v>0</v>
      </c>
      <c r="AL624" s="520"/>
      <c r="AM624" s="520"/>
    </row>
    <row r="625" spans="1:39" s="204" customFormat="1" x14ac:dyDescent="0.25">
      <c r="B625" s="287" t="s">
        <v>1463</v>
      </c>
      <c r="C625" s="287" t="s">
        <v>1464</v>
      </c>
      <c r="D625" s="274" t="s">
        <v>3710</v>
      </c>
      <c r="E625" s="274"/>
      <c r="F625" s="274"/>
      <c r="G625" s="283"/>
      <c r="H625" s="266"/>
      <c r="I625" s="274"/>
      <c r="J625" s="281"/>
      <c r="K625" s="281"/>
      <c r="L625" s="386" t="s">
        <v>3711</v>
      </c>
      <c r="M625" s="284" t="s">
        <v>2962</v>
      </c>
      <c r="N625" s="269">
        <f t="shared" si="92"/>
        <v>10332910</v>
      </c>
      <c r="O625" s="270">
        <f t="shared" si="93"/>
        <v>29430790</v>
      </c>
      <c r="P625" s="271">
        <f t="shared" si="94"/>
        <v>19097880</v>
      </c>
      <c r="Q625" s="520"/>
      <c r="R625" s="354">
        <f>IF(ISERROR(VLOOKUP("SAN"&amp;$C625,ESTR_PREC_SP!$A$2:$G$2000,4,FALSE))=TRUE,0,VLOOKUP("SAN"&amp;$C625,ESTR_PREC_SP!$A$2:$G$2000,4,FALSE))</f>
        <v>10332910</v>
      </c>
      <c r="S625" s="520"/>
      <c r="T625" s="520"/>
      <c r="U625" s="520">
        <v>35859930</v>
      </c>
      <c r="V625" s="520">
        <v>1713066</v>
      </c>
      <c r="W625" s="520"/>
      <c r="X625" s="520">
        <f>12453072+2595912</f>
        <v>15048984</v>
      </c>
      <c r="Y625" s="269">
        <f t="shared" si="95"/>
        <v>29430790</v>
      </c>
      <c r="Z625" s="534"/>
      <c r="AA625" s="354">
        <f>IF(ISERROR(VLOOKUP("SAN"&amp;$C625,ESTR_PREC_SP!$A$2:$G$2000,5,FALSE))=TRUE,0,VLOOKUP("SAN"&amp;$C625,ESTR_PREC_SP!$A$2:$G$2000,5,FALSE))</f>
        <v>0</v>
      </c>
      <c r="AB625" s="355"/>
      <c r="AC625" s="520"/>
      <c r="AD625" s="520"/>
      <c r="AE625" s="269">
        <f t="shared" si="96"/>
        <v>0</v>
      </c>
      <c r="AF625" s="520"/>
      <c r="AG625" s="520"/>
      <c r="AH625" s="520">
        <v>2634000</v>
      </c>
      <c r="AI625" s="520">
        <v>5985844</v>
      </c>
      <c r="AJ625" s="526">
        <f t="shared" si="89"/>
        <v>20810946</v>
      </c>
      <c r="AK625" s="526">
        <f t="shared" si="90"/>
        <v>29430790</v>
      </c>
      <c r="AL625" s="520"/>
      <c r="AM625" s="520"/>
    </row>
    <row r="626" spans="1:39" s="204" customFormat="1" x14ac:dyDescent="0.25">
      <c r="B626" s="287" t="s">
        <v>1466</v>
      </c>
      <c r="C626" s="287" t="s">
        <v>1467</v>
      </c>
      <c r="D626" s="274" t="s">
        <v>3712</v>
      </c>
      <c r="E626" s="274"/>
      <c r="F626" s="274"/>
      <c r="G626" s="283"/>
      <c r="H626" s="266"/>
      <c r="I626" s="274"/>
      <c r="J626" s="281"/>
      <c r="K626" s="281"/>
      <c r="L626" s="97" t="s">
        <v>3713</v>
      </c>
      <c r="M626" s="284" t="s">
        <v>2962</v>
      </c>
      <c r="N626" s="269">
        <f t="shared" si="92"/>
        <v>1119067</v>
      </c>
      <c r="O626" s="270">
        <f t="shared" si="93"/>
        <v>1262229</v>
      </c>
      <c r="P626" s="271">
        <f t="shared" si="94"/>
        <v>143162</v>
      </c>
      <c r="Q626" s="520"/>
      <c r="R626" s="354">
        <f>IF(ISERROR(VLOOKUP("SAN"&amp;$C626,ESTR_PREC_SP!$A$2:$G$2000,4,FALSE))=TRUE,0,VLOOKUP("SAN"&amp;$C626,ESTR_PREC_SP!$A$2:$G$2000,4,FALSE))</f>
        <v>1119067</v>
      </c>
      <c r="S626" s="520"/>
      <c r="T626" s="520"/>
      <c r="U626" s="520">
        <f>1119524</f>
        <v>1119524</v>
      </c>
      <c r="V626" s="520">
        <f>32067</f>
        <v>32067</v>
      </c>
      <c r="W626" s="520"/>
      <c r="X626" s="520">
        <v>944295</v>
      </c>
      <c r="Y626" s="269">
        <f t="shared" si="95"/>
        <v>1262229</v>
      </c>
      <c r="Z626" s="534"/>
      <c r="AA626" s="354">
        <f>IF(ISERROR(VLOOKUP("SAN"&amp;$C626,ESTR_PREC_SP!$A$2:$G$2000,5,FALSE))=TRUE,0,VLOOKUP("SAN"&amp;$C626,ESTR_PREC_SP!$A$2:$G$2000,5,FALSE))</f>
        <v>0</v>
      </c>
      <c r="AB626" s="355"/>
      <c r="AC626" s="520"/>
      <c r="AD626" s="520"/>
      <c r="AE626" s="269">
        <f t="shared" si="96"/>
        <v>0</v>
      </c>
      <c r="AF626" s="520">
        <v>194000</v>
      </c>
      <c r="AG626" s="520">
        <v>893000</v>
      </c>
      <c r="AH626" s="520"/>
      <c r="AI626" s="520">
        <v>21000</v>
      </c>
      <c r="AJ626" s="526">
        <f t="shared" si="89"/>
        <v>154229</v>
      </c>
      <c r="AK626" s="526">
        <f t="shared" si="90"/>
        <v>175229</v>
      </c>
      <c r="AL626" s="520">
        <v>1087000</v>
      </c>
      <c r="AM626" s="520"/>
    </row>
    <row r="627" spans="1:39" s="204" customFormat="1" x14ac:dyDescent="0.25">
      <c r="B627" s="287" t="s">
        <v>1469</v>
      </c>
      <c r="C627" s="287" t="s">
        <v>1470</v>
      </c>
      <c r="D627" s="274" t="s">
        <v>3714</v>
      </c>
      <c r="E627" s="274"/>
      <c r="F627" s="274"/>
      <c r="G627" s="283"/>
      <c r="H627" s="266"/>
      <c r="I627" s="274"/>
      <c r="J627" s="281"/>
      <c r="K627" s="281"/>
      <c r="L627" s="97" t="s">
        <v>3715</v>
      </c>
      <c r="M627" s="284" t="s">
        <v>2962</v>
      </c>
      <c r="N627" s="269">
        <f t="shared" si="92"/>
        <v>36533</v>
      </c>
      <c r="O627" s="270">
        <f t="shared" si="93"/>
        <v>35124</v>
      </c>
      <c r="P627" s="271">
        <f t="shared" si="94"/>
        <v>-1409</v>
      </c>
      <c r="Q627" s="520"/>
      <c r="R627" s="354">
        <f>IF(ISERROR(VLOOKUP("SAN"&amp;$C627,ESTR_PREC_SP!$A$2:$G$2000,4,FALSE))=TRUE,0,VLOOKUP("SAN"&amp;$C627,ESTR_PREC_SP!$A$2:$G$2000,4,FALSE))</f>
        <v>36533</v>
      </c>
      <c r="S627" s="520"/>
      <c r="T627" s="520"/>
      <c r="U627" s="520">
        <f>118151+1158073</f>
        <v>1276224</v>
      </c>
      <c r="V627" s="520">
        <f>15533</f>
        <v>15533</v>
      </c>
      <c r="W627" s="520"/>
      <c r="X627" s="520">
        <f>104027+1158073</f>
        <v>1262100</v>
      </c>
      <c r="Y627" s="269">
        <f t="shared" si="95"/>
        <v>35124</v>
      </c>
      <c r="Z627" s="534"/>
      <c r="AA627" s="354">
        <f>IF(ISERROR(VLOOKUP("SAN"&amp;$C627,ESTR_PREC_SP!$A$2:$G$2000,5,FALSE))=TRUE,0,VLOOKUP("SAN"&amp;$C627,ESTR_PREC_SP!$A$2:$G$2000,5,FALSE))</f>
        <v>0</v>
      </c>
      <c r="AB627" s="355"/>
      <c r="AC627" s="520"/>
      <c r="AD627" s="520"/>
      <c r="AE627" s="269">
        <f t="shared" si="96"/>
        <v>0</v>
      </c>
      <c r="AF627" s="520"/>
      <c r="AG627" s="520"/>
      <c r="AH627" s="520"/>
      <c r="AI627" s="520"/>
      <c r="AJ627" s="526">
        <f t="shared" si="89"/>
        <v>35124</v>
      </c>
      <c r="AK627" s="526">
        <f t="shared" si="90"/>
        <v>0</v>
      </c>
      <c r="AL627" s="520">
        <v>35124</v>
      </c>
      <c r="AM627" s="520"/>
    </row>
    <row r="628" spans="1:39" s="204" customFormat="1" x14ac:dyDescent="0.25">
      <c r="B628" s="287" t="s">
        <v>1473</v>
      </c>
      <c r="C628" s="287" t="s">
        <v>1474</v>
      </c>
      <c r="D628" s="274"/>
      <c r="E628" s="274"/>
      <c r="F628" s="274"/>
      <c r="G628" s="283"/>
      <c r="H628" s="266"/>
      <c r="I628" s="274"/>
      <c r="J628" s="281"/>
      <c r="K628" s="281"/>
      <c r="L628" s="97" t="s">
        <v>1475</v>
      </c>
      <c r="M628" s="284" t="s">
        <v>2962</v>
      </c>
      <c r="N628" s="269">
        <f t="shared" si="92"/>
        <v>0</v>
      </c>
      <c r="O628" s="270">
        <f t="shared" si="93"/>
        <v>5999040</v>
      </c>
      <c r="P628" s="271">
        <f t="shared" si="94"/>
        <v>5999040</v>
      </c>
      <c r="Q628" s="520"/>
      <c r="R628" s="354">
        <f>IF(ISERROR(VLOOKUP("SAN"&amp;$C628,ESTR_PREC_SP!$A$2:$G$2000,4,FALSE))=TRUE,0,VLOOKUP("SAN"&amp;$C628,ESTR_PREC_SP!$A$2:$G$2000,4,FALSE))</f>
        <v>0</v>
      </c>
      <c r="S628" s="520"/>
      <c r="T628" s="520"/>
      <c r="U628" s="520">
        <f>9579168+28315</f>
        <v>9607483</v>
      </c>
      <c r="V628" s="520"/>
      <c r="W628" s="520"/>
      <c r="X628" s="520">
        <f>2044471+1563972</f>
        <v>3608443</v>
      </c>
      <c r="Y628" s="269">
        <f t="shared" si="95"/>
        <v>5999040</v>
      </c>
      <c r="Z628" s="534"/>
      <c r="AA628" s="354">
        <f>IF(ISERROR(VLOOKUP("SAN"&amp;$C628,ESTR_PREC_SP!$A$2:$G$2000,5,FALSE))=TRUE,0,VLOOKUP("SAN"&amp;$C628,ESTR_PREC_SP!$A$2:$G$2000,5,FALSE))</f>
        <v>0</v>
      </c>
      <c r="AB628" s="355"/>
      <c r="AC628" s="520"/>
      <c r="AD628" s="520"/>
      <c r="AE628" s="269">
        <f t="shared" si="96"/>
        <v>0</v>
      </c>
      <c r="AF628" s="520"/>
      <c r="AG628" s="520"/>
      <c r="AH628" s="520"/>
      <c r="AI628" s="520"/>
      <c r="AJ628" s="526">
        <f t="shared" si="89"/>
        <v>5999040</v>
      </c>
      <c r="AK628" s="526">
        <f t="shared" si="90"/>
        <v>5999040</v>
      </c>
      <c r="AL628" s="520"/>
      <c r="AM628" s="520"/>
    </row>
    <row r="629" spans="1:39" s="204" customFormat="1" ht="25.5" x14ac:dyDescent="0.25">
      <c r="B629" s="287" t="s">
        <v>1476</v>
      </c>
      <c r="C629" s="287" t="s">
        <v>1477</v>
      </c>
      <c r="D629" s="274" t="s">
        <v>3716</v>
      </c>
      <c r="E629" s="274"/>
      <c r="F629" s="274"/>
      <c r="G629" s="283"/>
      <c r="H629" s="266"/>
      <c r="I629" s="274"/>
      <c r="J629" s="281"/>
      <c r="K629" s="281"/>
      <c r="L629" s="379" t="s">
        <v>3717</v>
      </c>
      <c r="M629" s="284" t="s">
        <v>2962</v>
      </c>
      <c r="N629" s="269">
        <f t="shared" si="92"/>
        <v>0</v>
      </c>
      <c r="O629" s="270">
        <f t="shared" si="93"/>
        <v>0</v>
      </c>
      <c r="P629" s="271">
        <f t="shared" si="94"/>
        <v>0</v>
      </c>
      <c r="Q629" s="520"/>
      <c r="R629" s="354">
        <f>IF(ISERROR(VLOOKUP("SAN"&amp;$C629,ESTR_PREC_SP!$A$2:$G$2000,4,FALSE))=TRUE,0,VLOOKUP("SAN"&amp;$C629,ESTR_PREC_SP!$A$2:$G$2000,4,FALSE))</f>
        <v>0</v>
      </c>
      <c r="S629" s="520"/>
      <c r="T629" s="520"/>
      <c r="U629" s="520"/>
      <c r="V629" s="520"/>
      <c r="W629" s="520"/>
      <c r="X629" s="520"/>
      <c r="Y629" s="269">
        <f t="shared" si="95"/>
        <v>0</v>
      </c>
      <c r="Z629" s="534"/>
      <c r="AA629" s="354">
        <f>IF(ISERROR(VLOOKUP("SAN"&amp;$C629,ESTR_PREC_SP!$A$2:$G$2000,5,FALSE))=TRUE,0,VLOOKUP("SAN"&amp;$C629,ESTR_PREC_SP!$A$2:$G$2000,5,FALSE))</f>
        <v>0</v>
      </c>
      <c r="AB629" s="355"/>
      <c r="AC629" s="520"/>
      <c r="AD629" s="520"/>
      <c r="AE629" s="269">
        <f t="shared" si="96"/>
        <v>0</v>
      </c>
      <c r="AF629" s="520"/>
      <c r="AG629" s="520"/>
      <c r="AH629" s="520"/>
      <c r="AI629" s="520"/>
      <c r="AJ629" s="526">
        <f t="shared" si="89"/>
        <v>0</v>
      </c>
      <c r="AK629" s="526">
        <f t="shared" si="90"/>
        <v>0</v>
      </c>
      <c r="AL629" s="520"/>
      <c r="AM629" s="520"/>
    </row>
    <row r="630" spans="1:39" s="204" customFormat="1" ht="25.5" x14ac:dyDescent="0.25">
      <c r="B630" s="287" t="s">
        <v>1481</v>
      </c>
      <c r="C630" s="287" t="s">
        <v>1482</v>
      </c>
      <c r="D630" s="274" t="s">
        <v>3718</v>
      </c>
      <c r="E630" s="274"/>
      <c r="F630" s="274"/>
      <c r="G630" s="283"/>
      <c r="H630" s="266"/>
      <c r="I630" s="274"/>
      <c r="J630" s="281"/>
      <c r="K630" s="281"/>
      <c r="L630" s="379" t="s">
        <v>3719</v>
      </c>
      <c r="M630" s="284" t="s">
        <v>2962</v>
      </c>
      <c r="N630" s="272">
        <f>SUM(N631:N633)</f>
        <v>0</v>
      </c>
      <c r="O630" s="272">
        <f>SUM(O631:O633)</f>
        <v>0</v>
      </c>
      <c r="P630" s="378">
        <f t="shared" si="94"/>
        <v>0</v>
      </c>
      <c r="Q630" s="272">
        <f t="shared" ref="Q630:AI630" si="97">SUM(Q631:Q633)</f>
        <v>0</v>
      </c>
      <c r="R630" s="272">
        <f t="shared" si="97"/>
        <v>0</v>
      </c>
      <c r="S630" s="272">
        <f t="shared" si="97"/>
        <v>0</v>
      </c>
      <c r="T630" s="272">
        <f t="shared" si="97"/>
        <v>0</v>
      </c>
      <c r="U630" s="272">
        <f t="shared" si="97"/>
        <v>0</v>
      </c>
      <c r="V630" s="272">
        <f t="shared" si="97"/>
        <v>0</v>
      </c>
      <c r="W630" s="272">
        <f t="shared" si="97"/>
        <v>0</v>
      </c>
      <c r="X630" s="272">
        <f t="shared" si="97"/>
        <v>0</v>
      </c>
      <c r="Y630" s="272">
        <f t="shared" si="97"/>
        <v>0</v>
      </c>
      <c r="Z630" s="272">
        <f t="shared" si="97"/>
        <v>0</v>
      </c>
      <c r="AA630" s="272">
        <f t="shared" si="97"/>
        <v>0</v>
      </c>
      <c r="AB630" s="272">
        <f t="shared" si="97"/>
        <v>0</v>
      </c>
      <c r="AC630" s="272">
        <f t="shared" si="97"/>
        <v>0</v>
      </c>
      <c r="AD630" s="272">
        <f t="shared" si="97"/>
        <v>0</v>
      </c>
      <c r="AE630" s="272">
        <f t="shared" si="97"/>
        <v>0</v>
      </c>
      <c r="AF630" s="272">
        <f t="shared" si="97"/>
        <v>0</v>
      </c>
      <c r="AG630" s="272">
        <f t="shared" si="97"/>
        <v>0</v>
      </c>
      <c r="AH630" s="272">
        <f t="shared" si="97"/>
        <v>0</v>
      </c>
      <c r="AI630" s="272">
        <f t="shared" si="97"/>
        <v>0</v>
      </c>
      <c r="AJ630" s="537">
        <f t="shared" si="89"/>
        <v>0</v>
      </c>
      <c r="AK630" s="537">
        <f t="shared" si="90"/>
        <v>0</v>
      </c>
      <c r="AL630" s="272">
        <f>SUM(AL631:AL633)</f>
        <v>0</v>
      </c>
      <c r="AM630" s="272">
        <f>SUM(AM631:AM633)</f>
        <v>0</v>
      </c>
    </row>
    <row r="631" spans="1:39" s="204" customFormat="1" ht="25.5" x14ac:dyDescent="0.25">
      <c r="B631" s="287" t="s">
        <v>1485</v>
      </c>
      <c r="C631" s="287" t="s">
        <v>1486</v>
      </c>
      <c r="D631" s="274" t="s">
        <v>3720</v>
      </c>
      <c r="E631" s="274"/>
      <c r="F631" s="274"/>
      <c r="G631" s="283"/>
      <c r="H631" s="266"/>
      <c r="I631" s="274"/>
      <c r="J631" s="281"/>
      <c r="K631" s="281"/>
      <c r="L631" s="97" t="s">
        <v>3721</v>
      </c>
      <c r="M631" s="284" t="s">
        <v>2962</v>
      </c>
      <c r="N631" s="269">
        <f t="shared" ref="N631:N640" si="98">+R631-AA631</f>
        <v>0</v>
      </c>
      <c r="O631" s="270">
        <f t="shared" ref="O631:O640" si="99">+Y631-AE631</f>
        <v>0</v>
      </c>
      <c r="P631" s="271">
        <f t="shared" si="94"/>
        <v>0</v>
      </c>
      <c r="Q631" s="520"/>
      <c r="R631" s="354">
        <f>IF(ISERROR(VLOOKUP("SAN"&amp;$C631,ESTR_PREC_SP!$A$2:$G$2000,4,FALSE))=TRUE,0,VLOOKUP("SAN"&amp;$C631,ESTR_PREC_SP!$A$2:$G$2000,4,FALSE))</f>
        <v>0</v>
      </c>
      <c r="S631" s="520"/>
      <c r="T631" s="520"/>
      <c r="U631" s="520"/>
      <c r="V631" s="520"/>
      <c r="W631" s="520"/>
      <c r="X631" s="520"/>
      <c r="Y631" s="269">
        <f t="shared" ref="Y631:Y640" si="100">+R631+S631+T631+U631-V631-X631+W631+Q631</f>
        <v>0</v>
      </c>
      <c r="Z631" s="534"/>
      <c r="AA631" s="354">
        <f>IF(ISERROR(VLOOKUP("SAN"&amp;$C631,ESTR_PREC_SP!$A$2:$G$2000,5,FALSE))=TRUE,0,VLOOKUP("SAN"&amp;$C631,ESTR_PREC_SP!$A$2:$G$2000,5,FALSE))</f>
        <v>0</v>
      </c>
      <c r="AB631" s="355"/>
      <c r="AC631" s="520"/>
      <c r="AD631" s="520"/>
      <c r="AE631" s="269">
        <f t="shared" ref="AE631:AE640" si="101">+AA631+AD631-AC631+AB631</f>
        <v>0</v>
      </c>
      <c r="AF631" s="520"/>
      <c r="AG631" s="520"/>
      <c r="AH631" s="520"/>
      <c r="AI631" s="520"/>
      <c r="AJ631" s="526">
        <f t="shared" si="89"/>
        <v>0</v>
      </c>
      <c r="AK631" s="526">
        <f t="shared" si="90"/>
        <v>0</v>
      </c>
      <c r="AL631" s="520"/>
      <c r="AM631" s="520"/>
    </row>
    <row r="632" spans="1:39" s="204" customFormat="1" ht="25.5" x14ac:dyDescent="0.25">
      <c r="B632" s="287" t="s">
        <v>1488</v>
      </c>
      <c r="C632" s="287" t="s">
        <v>1489</v>
      </c>
      <c r="D632" s="274" t="s">
        <v>3722</v>
      </c>
      <c r="E632" s="274"/>
      <c r="F632" s="274"/>
      <c r="G632" s="283"/>
      <c r="H632" s="266"/>
      <c r="I632" s="274"/>
      <c r="J632" s="281"/>
      <c r="K632" s="281"/>
      <c r="L632" s="97" t="s">
        <v>3723</v>
      </c>
      <c r="M632" s="284" t="s">
        <v>2962</v>
      </c>
      <c r="N632" s="269">
        <f t="shared" si="98"/>
        <v>0</v>
      </c>
      <c r="O632" s="270">
        <f t="shared" si="99"/>
        <v>0</v>
      </c>
      <c r="P632" s="271">
        <f t="shared" si="94"/>
        <v>0</v>
      </c>
      <c r="Q632" s="520"/>
      <c r="R632" s="354">
        <f>IF(ISERROR(VLOOKUP("SAN"&amp;$C632,ESTR_PREC_SP!$A$2:$G$2000,4,FALSE))=TRUE,0,VLOOKUP("SAN"&amp;$C632,ESTR_PREC_SP!$A$2:$G$2000,4,FALSE))</f>
        <v>0</v>
      </c>
      <c r="S632" s="520"/>
      <c r="T632" s="520"/>
      <c r="U632" s="520"/>
      <c r="V632" s="520"/>
      <c r="W632" s="520"/>
      <c r="X632" s="520"/>
      <c r="Y632" s="269">
        <f t="shared" si="100"/>
        <v>0</v>
      </c>
      <c r="Z632" s="534"/>
      <c r="AA632" s="354">
        <f>IF(ISERROR(VLOOKUP("SAN"&amp;$C632,ESTR_PREC_SP!$A$2:$G$2000,5,FALSE))=TRUE,0,VLOOKUP("SAN"&amp;$C632,ESTR_PREC_SP!$A$2:$G$2000,5,FALSE))</f>
        <v>0</v>
      </c>
      <c r="AB632" s="355"/>
      <c r="AC632" s="520"/>
      <c r="AD632" s="520"/>
      <c r="AE632" s="269">
        <f t="shared" si="101"/>
        <v>0</v>
      </c>
      <c r="AF632" s="520"/>
      <c r="AG632" s="520"/>
      <c r="AH632" s="520"/>
      <c r="AI632" s="520"/>
      <c r="AJ632" s="526">
        <f t="shared" si="89"/>
        <v>0</v>
      </c>
      <c r="AK632" s="526">
        <f t="shared" si="90"/>
        <v>0</v>
      </c>
      <c r="AL632" s="520"/>
      <c r="AM632" s="520"/>
    </row>
    <row r="633" spans="1:39" s="204" customFormat="1" ht="25.5" x14ac:dyDescent="0.25">
      <c r="B633" s="287" t="s">
        <v>1491</v>
      </c>
      <c r="C633" s="287" t="s">
        <v>1492</v>
      </c>
      <c r="D633" s="274" t="s">
        <v>3724</v>
      </c>
      <c r="E633" s="274"/>
      <c r="F633" s="274"/>
      <c r="G633" s="283"/>
      <c r="H633" s="266"/>
      <c r="I633" s="274"/>
      <c r="J633" s="281"/>
      <c r="K633" s="281"/>
      <c r="L633" s="97" t="s">
        <v>3725</v>
      </c>
      <c r="M633" s="284" t="s">
        <v>2962</v>
      </c>
      <c r="N633" s="269">
        <f t="shared" si="98"/>
        <v>0</v>
      </c>
      <c r="O633" s="270">
        <f t="shared" si="99"/>
        <v>0</v>
      </c>
      <c r="P633" s="271">
        <f t="shared" si="94"/>
        <v>0</v>
      </c>
      <c r="Q633" s="520"/>
      <c r="R633" s="354">
        <f>IF(ISERROR(VLOOKUP("SAN"&amp;$C633,ESTR_PREC_SP!$A$2:$G$2000,4,FALSE))=TRUE,0,VLOOKUP("SAN"&amp;$C633,ESTR_PREC_SP!$A$2:$G$2000,4,FALSE))</f>
        <v>0</v>
      </c>
      <c r="S633" s="520"/>
      <c r="T633" s="520"/>
      <c r="U633" s="520"/>
      <c r="V633" s="520"/>
      <c r="W633" s="520"/>
      <c r="X633" s="520"/>
      <c r="Y633" s="269">
        <f t="shared" si="100"/>
        <v>0</v>
      </c>
      <c r="Z633" s="534"/>
      <c r="AA633" s="354">
        <f>IF(ISERROR(VLOOKUP("SAN"&amp;$C633,ESTR_PREC_SP!$A$2:$G$2000,5,FALSE))=TRUE,0,VLOOKUP("SAN"&amp;$C633,ESTR_PREC_SP!$A$2:$G$2000,5,FALSE))</f>
        <v>0</v>
      </c>
      <c r="AB633" s="355"/>
      <c r="AC633" s="520"/>
      <c r="AD633" s="520"/>
      <c r="AE633" s="269">
        <f t="shared" si="101"/>
        <v>0</v>
      </c>
      <c r="AF633" s="520"/>
      <c r="AG633" s="520"/>
      <c r="AH633" s="520"/>
      <c r="AI633" s="520"/>
      <c r="AJ633" s="526">
        <f t="shared" si="89"/>
        <v>0</v>
      </c>
      <c r="AK633" s="526">
        <f t="shared" si="90"/>
        <v>0</v>
      </c>
      <c r="AL633" s="520"/>
      <c r="AM633" s="520"/>
    </row>
    <row r="634" spans="1:39" s="204" customFormat="1" x14ac:dyDescent="0.25">
      <c r="B634" s="287" t="s">
        <v>1494</v>
      </c>
      <c r="C634" s="287" t="s">
        <v>1495</v>
      </c>
      <c r="D634" s="274" t="s">
        <v>3726</v>
      </c>
      <c r="E634" s="274"/>
      <c r="F634" s="274"/>
      <c r="G634" s="283"/>
      <c r="H634" s="266"/>
      <c r="I634" s="274"/>
      <c r="J634" s="281"/>
      <c r="K634" s="281"/>
      <c r="L634" s="379" t="s">
        <v>3727</v>
      </c>
      <c r="M634" s="284" t="s">
        <v>2962</v>
      </c>
      <c r="N634" s="269">
        <f t="shared" si="98"/>
        <v>0</v>
      </c>
      <c r="O634" s="270">
        <f t="shared" si="99"/>
        <v>0</v>
      </c>
      <c r="P634" s="271">
        <f t="shared" si="94"/>
        <v>0</v>
      </c>
      <c r="Q634" s="520"/>
      <c r="R634" s="354">
        <f>IF(ISERROR(VLOOKUP("SAN"&amp;$C634,ESTR_PREC_SP!$A$2:$G$2000,4,FALSE))=TRUE,0,VLOOKUP("SAN"&amp;$C634,ESTR_PREC_SP!$A$2:$G$2000,4,FALSE))</f>
        <v>0</v>
      </c>
      <c r="S634" s="520"/>
      <c r="T634" s="520"/>
      <c r="U634" s="520"/>
      <c r="V634" s="520"/>
      <c r="W634" s="520"/>
      <c r="X634" s="520"/>
      <c r="Y634" s="269">
        <f t="shared" si="100"/>
        <v>0</v>
      </c>
      <c r="Z634" s="534"/>
      <c r="AA634" s="354">
        <f>IF(ISERROR(VLOOKUP("SAN"&amp;$C634,ESTR_PREC_SP!$A$2:$G$2000,5,FALSE))=TRUE,0,VLOOKUP("SAN"&amp;$C634,ESTR_PREC_SP!$A$2:$G$2000,5,FALSE))</f>
        <v>0</v>
      </c>
      <c r="AB634" s="355"/>
      <c r="AC634" s="520"/>
      <c r="AD634" s="520"/>
      <c r="AE634" s="269">
        <f t="shared" si="101"/>
        <v>0</v>
      </c>
      <c r="AF634" s="520"/>
      <c r="AG634" s="520"/>
      <c r="AH634" s="520"/>
      <c r="AI634" s="520"/>
      <c r="AJ634" s="526">
        <f t="shared" si="89"/>
        <v>0</v>
      </c>
      <c r="AK634" s="526">
        <f t="shared" si="90"/>
        <v>0</v>
      </c>
      <c r="AL634" s="520"/>
      <c r="AM634" s="520"/>
    </row>
    <row r="635" spans="1:39" s="204" customFormat="1" ht="25.5" x14ac:dyDescent="0.25">
      <c r="B635" s="287" t="s">
        <v>1498</v>
      </c>
      <c r="C635" s="287" t="s">
        <v>1499</v>
      </c>
      <c r="D635" s="274" t="s">
        <v>3728</v>
      </c>
      <c r="E635" s="274"/>
      <c r="F635" s="274"/>
      <c r="G635" s="283"/>
      <c r="H635" s="266"/>
      <c r="I635" s="274"/>
      <c r="J635" s="281"/>
      <c r="K635" s="281"/>
      <c r="L635" s="379" t="s">
        <v>3729</v>
      </c>
      <c r="M635" s="284" t="s">
        <v>2962</v>
      </c>
      <c r="N635" s="269">
        <f t="shared" si="98"/>
        <v>0</v>
      </c>
      <c r="O635" s="270">
        <f t="shared" si="99"/>
        <v>0</v>
      </c>
      <c r="P635" s="271">
        <f t="shared" si="94"/>
        <v>0</v>
      </c>
      <c r="Q635" s="520"/>
      <c r="R635" s="354">
        <f>IF(ISERROR(VLOOKUP("SAN"&amp;$C635,ESTR_PREC_SP!$A$2:$G$2000,4,FALSE))=TRUE,0,VLOOKUP("SAN"&amp;$C635,ESTR_PREC_SP!$A$2:$G$2000,4,FALSE))</f>
        <v>0</v>
      </c>
      <c r="S635" s="520"/>
      <c r="T635" s="520"/>
      <c r="U635" s="520"/>
      <c r="V635" s="520"/>
      <c r="W635" s="520"/>
      <c r="X635" s="520"/>
      <c r="Y635" s="269">
        <f t="shared" si="100"/>
        <v>0</v>
      </c>
      <c r="Z635" s="534"/>
      <c r="AA635" s="354">
        <f>IF(ISERROR(VLOOKUP("SAN"&amp;$C635,ESTR_PREC_SP!$A$2:$G$2000,5,FALSE))=TRUE,0,VLOOKUP("SAN"&amp;$C635,ESTR_PREC_SP!$A$2:$G$2000,5,FALSE))</f>
        <v>0</v>
      </c>
      <c r="AB635" s="355"/>
      <c r="AC635" s="520"/>
      <c r="AD635" s="520"/>
      <c r="AE635" s="269">
        <f t="shared" si="101"/>
        <v>0</v>
      </c>
      <c r="AF635" s="520"/>
      <c r="AG635" s="520"/>
      <c r="AH635" s="520"/>
      <c r="AI635" s="520"/>
      <c r="AJ635" s="526">
        <f t="shared" si="89"/>
        <v>0</v>
      </c>
      <c r="AK635" s="526">
        <f t="shared" si="90"/>
        <v>0</v>
      </c>
      <c r="AL635" s="520"/>
      <c r="AM635" s="520"/>
    </row>
    <row r="636" spans="1:39" s="204" customFormat="1" ht="25.5" x14ac:dyDescent="0.25">
      <c r="B636" s="287" t="s">
        <v>1503</v>
      </c>
      <c r="C636" s="287" t="s">
        <v>1504</v>
      </c>
      <c r="D636" s="274" t="s">
        <v>3730</v>
      </c>
      <c r="E636" s="274"/>
      <c r="F636" s="274"/>
      <c r="G636" s="283"/>
      <c r="H636" s="266"/>
      <c r="I636" s="274"/>
      <c r="J636" s="281"/>
      <c r="K636" s="281"/>
      <c r="L636" s="379" t="s">
        <v>3731</v>
      </c>
      <c r="M636" s="284" t="s">
        <v>2962</v>
      </c>
      <c r="N636" s="269">
        <f t="shared" si="98"/>
        <v>0</v>
      </c>
      <c r="O636" s="270">
        <f t="shared" si="99"/>
        <v>0</v>
      </c>
      <c r="P636" s="271">
        <f t="shared" si="94"/>
        <v>0</v>
      </c>
      <c r="Q636" s="520"/>
      <c r="R636" s="354">
        <f>IF(ISERROR(VLOOKUP("SAN"&amp;$C636,ESTR_PREC_SP!$A$2:$G$2000,4,FALSE))=TRUE,0,VLOOKUP("SAN"&amp;$C636,ESTR_PREC_SP!$A$2:$G$2000,4,FALSE))</f>
        <v>0</v>
      </c>
      <c r="S636" s="520"/>
      <c r="T636" s="520"/>
      <c r="U636" s="520"/>
      <c r="V636" s="520"/>
      <c r="W636" s="520"/>
      <c r="X636" s="520"/>
      <c r="Y636" s="269">
        <f>+R636+S636+T636+U636-V636-X636+W636+Q636</f>
        <v>0</v>
      </c>
      <c r="Z636" s="534"/>
      <c r="AA636" s="354">
        <f>IF(ISERROR(VLOOKUP("SAN"&amp;$C636,ESTR_PREC_SP!$A$2:$G$2000,5,FALSE))=TRUE,0,VLOOKUP("SAN"&amp;$C636,ESTR_PREC_SP!$A$2:$G$2000,5,FALSE))</f>
        <v>0</v>
      </c>
      <c r="AB636" s="355"/>
      <c r="AC636" s="520"/>
      <c r="AD636" s="520"/>
      <c r="AE636" s="269">
        <f t="shared" si="101"/>
        <v>0</v>
      </c>
      <c r="AF636" s="520"/>
      <c r="AG636" s="520"/>
      <c r="AH636" s="520"/>
      <c r="AI636" s="520"/>
      <c r="AJ636" s="526">
        <f t="shared" si="89"/>
        <v>0</v>
      </c>
      <c r="AK636" s="526">
        <f t="shared" si="90"/>
        <v>0</v>
      </c>
      <c r="AL636" s="520"/>
      <c r="AM636" s="520"/>
    </row>
    <row r="637" spans="1:39" s="204" customFormat="1" x14ac:dyDescent="0.25">
      <c r="B637" s="287" t="s">
        <v>1508</v>
      </c>
      <c r="C637" s="287" t="s">
        <v>1509</v>
      </c>
      <c r="D637" s="274" t="s">
        <v>3732</v>
      </c>
      <c r="E637" s="274"/>
      <c r="F637" s="274"/>
      <c r="G637" s="283"/>
      <c r="H637" s="266"/>
      <c r="I637" s="274"/>
      <c r="J637" s="281"/>
      <c r="K637" s="281"/>
      <c r="L637" s="379" t="s">
        <v>3733</v>
      </c>
      <c r="M637" s="284" t="s">
        <v>2962</v>
      </c>
      <c r="N637" s="269">
        <f t="shared" si="98"/>
        <v>15334290</v>
      </c>
      <c r="O637" s="270">
        <f t="shared" si="99"/>
        <v>7870160</v>
      </c>
      <c r="P637" s="271">
        <f t="shared" si="94"/>
        <v>-7464130</v>
      </c>
      <c r="Q637" s="520"/>
      <c r="R637" s="354">
        <f>IF(ISERROR(VLOOKUP("SAN"&amp;$C637,ESTR_PREC_SP!$A$2:$G$2000,4,FALSE))=TRUE,0,VLOOKUP("SAN"&amp;$C637,ESTR_PREC_SP!$A$2:$G$2000,4,FALSE))</f>
        <v>15334290</v>
      </c>
      <c r="S637" s="520"/>
      <c r="T637" s="520"/>
      <c r="U637" s="520">
        <f>10841115+9869852</f>
        <v>20710967</v>
      </c>
      <c r="V637" s="520">
        <f>2796046+685854+1751000+2045480+89338+603406+256</f>
        <v>7971380</v>
      </c>
      <c r="W637" s="520"/>
      <c r="X637" s="520">
        <f>4527082+1102927+4703856+10247800-377948</f>
        <v>20203717</v>
      </c>
      <c r="Y637" s="269">
        <f>+R637+S637+T637+U637-V637-X637+W637+Q637</f>
        <v>7870160</v>
      </c>
      <c r="Z637" s="534"/>
      <c r="AA637" s="354">
        <f>IF(ISERROR(VLOOKUP("SAN"&amp;$C637,ESTR_PREC_SP!$A$2:$G$2000,5,FALSE))=TRUE,0,VLOOKUP("SAN"&amp;$C637,ESTR_PREC_SP!$A$2:$G$2000,5,FALSE))</f>
        <v>0</v>
      </c>
      <c r="AB637" s="355"/>
      <c r="AC637" s="520"/>
      <c r="AD637" s="520"/>
      <c r="AE637" s="269">
        <f t="shared" si="101"/>
        <v>0</v>
      </c>
      <c r="AF637" s="520">
        <f>511240+118600+437445+116460+41681+27319+4077000</f>
        <v>5329745</v>
      </c>
      <c r="AG637" s="520">
        <f>43757-150</f>
        <v>43607</v>
      </c>
      <c r="AH637" s="520">
        <v>1751000</v>
      </c>
      <c r="AI637" s="520">
        <v>238558</v>
      </c>
      <c r="AJ637" s="526">
        <f t="shared" si="89"/>
        <v>507250</v>
      </c>
      <c r="AK637" s="526">
        <f t="shared" si="90"/>
        <v>7870160</v>
      </c>
      <c r="AL637" s="520"/>
      <c r="AM637" s="520"/>
    </row>
    <row r="638" spans="1:39" s="204" customFormat="1" ht="26.25" x14ac:dyDescent="0.25">
      <c r="A638" s="535" t="s">
        <v>3681</v>
      </c>
      <c r="B638" s="536" t="s">
        <v>1513</v>
      </c>
      <c r="C638" s="536" t="s">
        <v>1514</v>
      </c>
      <c r="D638" s="536"/>
      <c r="E638" s="536"/>
      <c r="F638" s="536"/>
      <c r="G638" s="536"/>
      <c r="H638" s="536"/>
      <c r="I638" s="536"/>
      <c r="J638" s="536"/>
      <c r="K638" s="536"/>
      <c r="L638" s="536" t="s">
        <v>3734</v>
      </c>
      <c r="M638" s="284" t="s">
        <v>2962</v>
      </c>
      <c r="N638" s="269">
        <f t="shared" si="98"/>
        <v>0</v>
      </c>
      <c r="O638" s="270">
        <f t="shared" si="99"/>
        <v>0</v>
      </c>
      <c r="P638" s="271">
        <f t="shared" si="94"/>
        <v>0</v>
      </c>
      <c r="Q638" s="520"/>
      <c r="R638" s="354">
        <f>IF(ISERROR(VLOOKUP("SAN"&amp;$C638,ESTR_PREC_SP!$A$2:$G$2000,4,FALSE))=TRUE,0,VLOOKUP("SAN"&amp;$C638,ESTR_PREC_SP!$A$2:$G$2000,4,FALSE))</f>
        <v>0</v>
      </c>
      <c r="S638" s="520"/>
      <c r="T638" s="520"/>
      <c r="U638" s="520"/>
      <c r="V638" s="520"/>
      <c r="W638" s="520"/>
      <c r="X638" s="520"/>
      <c r="Y638" s="269">
        <f t="shared" si="100"/>
        <v>0</v>
      </c>
      <c r="Z638" s="534"/>
      <c r="AA638" s="354">
        <f>IF(ISERROR(VLOOKUP("SAN"&amp;$C638,ESTR_PREC_SP!$A$2:$G$2000,5,FALSE))=TRUE,0,VLOOKUP("SAN"&amp;$C638,ESTR_PREC_SP!$A$2:$G$2000,5,FALSE))</f>
        <v>0</v>
      </c>
      <c r="AB638" s="355"/>
      <c r="AC638" s="520"/>
      <c r="AD638" s="520"/>
      <c r="AE638" s="269">
        <f t="shared" si="101"/>
        <v>0</v>
      </c>
      <c r="AF638" s="520"/>
      <c r="AG638" s="520"/>
      <c r="AH638" s="520"/>
      <c r="AI638" s="520"/>
      <c r="AJ638" s="526">
        <f t="shared" si="89"/>
        <v>0</v>
      </c>
      <c r="AK638" s="526">
        <f t="shared" si="90"/>
        <v>0</v>
      </c>
      <c r="AL638" s="520"/>
      <c r="AM638" s="520"/>
    </row>
    <row r="639" spans="1:39" s="204" customFormat="1" x14ac:dyDescent="0.25">
      <c r="B639" s="287" t="s">
        <v>1518</v>
      </c>
      <c r="C639" s="287" t="s">
        <v>1519</v>
      </c>
      <c r="D639" s="274" t="s">
        <v>3735</v>
      </c>
      <c r="E639" s="274"/>
      <c r="F639" s="274"/>
      <c r="G639" s="283"/>
      <c r="H639" s="266"/>
      <c r="I639" s="274"/>
      <c r="J639" s="281"/>
      <c r="K639" s="281"/>
      <c r="L639" s="284" t="s">
        <v>3736</v>
      </c>
      <c r="M639" s="284" t="s">
        <v>2962</v>
      </c>
      <c r="N639" s="269">
        <f t="shared" si="98"/>
        <v>0</v>
      </c>
      <c r="O639" s="270">
        <f t="shared" si="99"/>
        <v>0</v>
      </c>
      <c r="P639" s="271">
        <f t="shared" si="94"/>
        <v>0</v>
      </c>
      <c r="Q639" s="520"/>
      <c r="R639" s="354">
        <f>IF(ISERROR(VLOOKUP("SAN"&amp;$C639,ESTR_PREC_SP!$A$2:$G$2000,4,FALSE))=TRUE,0,VLOOKUP("SAN"&amp;$C639,ESTR_PREC_SP!$A$2:$G$2000,4,FALSE))</f>
        <v>0</v>
      </c>
      <c r="S639" s="520"/>
      <c r="T639" s="520"/>
      <c r="U639" s="520"/>
      <c r="V639" s="520"/>
      <c r="W639" s="520"/>
      <c r="X639" s="520"/>
      <c r="Y639" s="269">
        <f t="shared" si="100"/>
        <v>0</v>
      </c>
      <c r="Z639" s="534"/>
      <c r="AA639" s="354">
        <f>IF(ISERROR(VLOOKUP("SAN"&amp;$C639,ESTR_PREC_SP!$A$2:$G$2000,5,FALSE))=TRUE,0,VLOOKUP("SAN"&amp;$C639,ESTR_PREC_SP!$A$2:$G$2000,5,FALSE))</f>
        <v>0</v>
      </c>
      <c r="AB639" s="355"/>
      <c r="AC639" s="520"/>
      <c r="AD639" s="520"/>
      <c r="AE639" s="269">
        <f t="shared" si="101"/>
        <v>0</v>
      </c>
      <c r="AF639" s="520"/>
      <c r="AG639" s="520"/>
      <c r="AH639" s="520"/>
      <c r="AI639" s="520"/>
      <c r="AJ639" s="526">
        <f t="shared" si="89"/>
        <v>0</v>
      </c>
      <c r="AK639" s="526">
        <f t="shared" si="90"/>
        <v>0</v>
      </c>
      <c r="AL639" s="520"/>
      <c r="AM639" s="520"/>
    </row>
    <row r="640" spans="1:39" s="204" customFormat="1" ht="26.25" x14ac:dyDescent="0.25">
      <c r="A640" s="535" t="s">
        <v>3681</v>
      </c>
      <c r="B640" s="536" t="s">
        <v>1523</v>
      </c>
      <c r="C640" s="536" t="s">
        <v>1524</v>
      </c>
      <c r="D640" s="536"/>
      <c r="E640" s="536"/>
      <c r="F640" s="536"/>
      <c r="G640" s="536"/>
      <c r="H640" s="536"/>
      <c r="I640" s="536"/>
      <c r="J640" s="536"/>
      <c r="K640" s="536"/>
      <c r="L640" s="536" t="s">
        <v>3737</v>
      </c>
      <c r="M640" s="284" t="s">
        <v>2962</v>
      </c>
      <c r="N640" s="269">
        <f t="shared" si="98"/>
        <v>0</v>
      </c>
      <c r="O640" s="270">
        <f t="shared" si="99"/>
        <v>0</v>
      </c>
      <c r="P640" s="271">
        <f t="shared" si="94"/>
        <v>0</v>
      </c>
      <c r="Q640" s="520"/>
      <c r="R640" s="354">
        <f>IF(ISERROR(VLOOKUP("SAN"&amp;$C640,ESTR_PREC_SP!$A$2:$G$2000,4,FALSE))=TRUE,0,VLOOKUP("SAN"&amp;$C640,ESTR_PREC_SP!$A$2:$G$2000,4,FALSE))</f>
        <v>0</v>
      </c>
      <c r="S640" s="520"/>
      <c r="T640" s="520"/>
      <c r="U640" s="520"/>
      <c r="V640" s="520"/>
      <c r="W640" s="520"/>
      <c r="X640" s="520"/>
      <c r="Y640" s="269">
        <f t="shared" si="100"/>
        <v>0</v>
      </c>
      <c r="Z640" s="534"/>
      <c r="AA640" s="354">
        <f>IF(ISERROR(VLOOKUP("SAN"&amp;$C640,ESTR_PREC_SP!$A$2:$G$2000,5,FALSE))=TRUE,0,VLOOKUP("SAN"&amp;$C640,ESTR_PREC_SP!$A$2:$G$2000,5,FALSE))</f>
        <v>0</v>
      </c>
      <c r="AB640" s="355"/>
      <c r="AC640" s="520"/>
      <c r="AD640" s="520"/>
      <c r="AE640" s="269">
        <f t="shared" si="101"/>
        <v>0</v>
      </c>
      <c r="AF640" s="520"/>
      <c r="AG640" s="520"/>
      <c r="AH640" s="520"/>
      <c r="AI640" s="520"/>
      <c r="AJ640" s="526">
        <f t="shared" si="89"/>
        <v>0</v>
      </c>
      <c r="AK640" s="526">
        <f t="shared" si="90"/>
        <v>0</v>
      </c>
      <c r="AL640" s="520"/>
      <c r="AM640" s="520"/>
    </row>
    <row r="641" spans="1:39" s="204" customFormat="1" ht="24.75" customHeight="1" x14ac:dyDescent="0.25">
      <c r="B641" s="287" t="s">
        <v>1528</v>
      </c>
      <c r="C641" s="287" t="s">
        <v>1529</v>
      </c>
      <c r="D641" s="274" t="s">
        <v>3738</v>
      </c>
      <c r="E641" s="274"/>
      <c r="F641" s="274"/>
      <c r="G641" s="283"/>
      <c r="H641" s="266"/>
      <c r="I641" s="274"/>
      <c r="J641" s="281"/>
      <c r="K641" s="281"/>
      <c r="L641" s="295" t="s">
        <v>1530</v>
      </c>
      <c r="M641" s="284" t="s">
        <v>2962</v>
      </c>
      <c r="N641" s="272">
        <f>SUM(N642:N647)</f>
        <v>29266859</v>
      </c>
      <c r="O641" s="272">
        <f>SUM(O642:O647)</f>
        <v>29642427</v>
      </c>
      <c r="P641" s="378">
        <f t="shared" si="94"/>
        <v>375568</v>
      </c>
      <c r="Q641" s="272">
        <f t="shared" ref="Q641:AD641" si="102">SUM(Q642:Q647)</f>
        <v>0</v>
      </c>
      <c r="R641" s="272">
        <f t="shared" si="102"/>
        <v>29266859</v>
      </c>
      <c r="S641" s="272">
        <f t="shared" si="102"/>
        <v>0</v>
      </c>
      <c r="T641" s="272">
        <f t="shared" si="102"/>
        <v>0</v>
      </c>
      <c r="U641" s="272">
        <f t="shared" si="102"/>
        <v>5000000</v>
      </c>
      <c r="V641" s="272">
        <f t="shared" si="102"/>
        <v>2124432</v>
      </c>
      <c r="W641" s="272">
        <f t="shared" si="102"/>
        <v>0</v>
      </c>
      <c r="X641" s="272">
        <f t="shared" si="102"/>
        <v>2500000</v>
      </c>
      <c r="Y641" s="272">
        <f t="shared" si="102"/>
        <v>29642427</v>
      </c>
      <c r="Z641" s="272">
        <f t="shared" si="102"/>
        <v>0</v>
      </c>
      <c r="AA641" s="272">
        <f t="shared" si="102"/>
        <v>0</v>
      </c>
      <c r="AB641" s="272">
        <f t="shared" si="102"/>
        <v>0</v>
      </c>
      <c r="AC641" s="272">
        <f t="shared" si="102"/>
        <v>0</v>
      </c>
      <c r="AD641" s="272">
        <f t="shared" si="102"/>
        <v>0</v>
      </c>
      <c r="AE641" s="272">
        <f>+AA641+AD641-AC641</f>
        <v>0</v>
      </c>
      <c r="AF641" s="272">
        <f>SUM(AF642:AF647)</f>
        <v>6592141</v>
      </c>
      <c r="AG641" s="272">
        <f>SUM(AG642:AG647)</f>
        <v>2090220</v>
      </c>
      <c r="AH641" s="272">
        <f>SUM(AH642:AH647)</f>
        <v>12996066</v>
      </c>
      <c r="AI641" s="272">
        <f>SUM(AI642:AI647)</f>
        <v>5464000</v>
      </c>
      <c r="AJ641" s="537">
        <f t="shared" si="89"/>
        <v>2500000</v>
      </c>
      <c r="AK641" s="537">
        <f t="shared" si="90"/>
        <v>29642427</v>
      </c>
      <c r="AL641" s="272">
        <f>SUM(AL642:AL647)</f>
        <v>0</v>
      </c>
      <c r="AM641" s="272">
        <f>SUM(AM642:AM647)</f>
        <v>0</v>
      </c>
    </row>
    <row r="642" spans="1:39" s="204" customFormat="1" ht="25.5" x14ac:dyDescent="0.25">
      <c r="B642" s="287" t="s">
        <v>1531</v>
      </c>
      <c r="C642" s="287" t="s">
        <v>1532</v>
      </c>
      <c r="D642" s="274" t="s">
        <v>3739</v>
      </c>
      <c r="E642" s="274"/>
      <c r="F642" s="274"/>
      <c r="G642" s="283"/>
      <c r="H642" s="266"/>
      <c r="I642" s="274"/>
      <c r="J642" s="281"/>
      <c r="K642" s="281"/>
      <c r="L642" s="379" t="s">
        <v>1536</v>
      </c>
      <c r="M642" s="284" t="s">
        <v>2962</v>
      </c>
      <c r="N642" s="269">
        <f t="shared" ref="N642:N649" si="103">+R642-AA642</f>
        <v>29266859</v>
      </c>
      <c r="O642" s="270">
        <f t="shared" ref="O642:O649" si="104">+Y642-AE642</f>
        <v>29642427</v>
      </c>
      <c r="P642" s="271">
        <f t="shared" si="94"/>
        <v>375568</v>
      </c>
      <c r="Q642" s="520"/>
      <c r="R642" s="354">
        <f>IF(ISERROR(VLOOKUP("SAN"&amp;$C642,ESTR_PREC_SP!$A$2:$G$2000,4,FALSE))=TRUE,0,VLOOKUP("SAN"&amp;$C642,ESTR_PREC_SP!$A$2:$G$2000,4,FALSE))</f>
        <v>29266859</v>
      </c>
      <c r="S642" s="520"/>
      <c r="T642" s="520"/>
      <c r="U642" s="520">
        <f>+2500000+2500000</f>
        <v>5000000</v>
      </c>
      <c r="V642" s="520">
        <v>2124432</v>
      </c>
      <c r="W642" s="520"/>
      <c r="X642" s="520">
        <v>2500000</v>
      </c>
      <c r="Y642" s="269">
        <f t="shared" ref="Y642:Y649" si="105">+R642+S642+T642+U642-V642-X642+W642+Q642</f>
        <v>29642427</v>
      </c>
      <c r="Z642" s="534"/>
      <c r="AA642" s="354">
        <f>IF(ISERROR(VLOOKUP("SAN"&amp;$C642,ESTR_PREC_SP!$A$2:$G$2000,5,FALSE))=TRUE,0,VLOOKUP("SAN"&amp;$C642,ESTR_PREC_SP!$A$2:$G$2000,5,FALSE))</f>
        <v>0</v>
      </c>
      <c r="AB642" s="355"/>
      <c r="AC642" s="520"/>
      <c r="AD642" s="520"/>
      <c r="AE642" s="269">
        <f t="shared" ref="AE642:AE649" si="106">+AA642+AD642-AC642+AB642</f>
        <v>0</v>
      </c>
      <c r="AF642" s="520">
        <f>+6487992+581913-316566-161199+1</f>
        <v>6592141</v>
      </c>
      <c r="AG642" s="520">
        <f>3045349-133585-458063-363481</f>
        <v>2090220</v>
      </c>
      <c r="AH642" s="520">
        <f>+13604130-190680-417384</f>
        <v>12996066</v>
      </c>
      <c r="AI642" s="520">
        <f>+5681060-217060</f>
        <v>5464000</v>
      </c>
      <c r="AJ642" s="526">
        <f t="shared" si="89"/>
        <v>2500000</v>
      </c>
      <c r="AK642" s="526">
        <f t="shared" si="90"/>
        <v>29642427</v>
      </c>
      <c r="AL642" s="520"/>
      <c r="AM642" s="520"/>
    </row>
    <row r="643" spans="1:39" s="204" customFormat="1" ht="26.25" customHeight="1" x14ac:dyDescent="0.25">
      <c r="B643" s="287" t="s">
        <v>1537</v>
      </c>
      <c r="C643" s="287" t="s">
        <v>1538</v>
      </c>
      <c r="D643" s="274" t="s">
        <v>3740</v>
      </c>
      <c r="E643" s="274"/>
      <c r="F643" s="274"/>
      <c r="G643" s="283"/>
      <c r="H643" s="266"/>
      <c r="I643" s="274"/>
      <c r="J643" s="281"/>
      <c r="K643" s="281"/>
      <c r="L643" s="379" t="s">
        <v>3741</v>
      </c>
      <c r="M643" s="284" t="s">
        <v>2962</v>
      </c>
      <c r="N643" s="269">
        <f t="shared" si="103"/>
        <v>0</v>
      </c>
      <c r="O643" s="270">
        <f t="shared" si="104"/>
        <v>0</v>
      </c>
      <c r="P643" s="271">
        <f t="shared" si="94"/>
        <v>0</v>
      </c>
      <c r="Q643" s="520"/>
      <c r="R643" s="354">
        <f>IF(ISERROR(VLOOKUP("SAN"&amp;$C643,ESTR_PREC_SP!$A$2:$G$2000,4,FALSE))=TRUE,0,VLOOKUP("SAN"&amp;$C643,ESTR_PREC_SP!$A$2:$G$2000,4,FALSE))</f>
        <v>0</v>
      </c>
      <c r="S643" s="520"/>
      <c r="T643" s="520"/>
      <c r="U643" s="520"/>
      <c r="V643" s="520"/>
      <c r="W643" s="520"/>
      <c r="X643" s="520"/>
      <c r="Y643" s="269">
        <f t="shared" si="105"/>
        <v>0</v>
      </c>
      <c r="Z643" s="534"/>
      <c r="AA643" s="354">
        <f>IF(ISERROR(VLOOKUP("SAN"&amp;$C643,ESTR_PREC_SP!$A$2:$G$2000,5,FALSE))=TRUE,0,VLOOKUP("SAN"&amp;$C643,ESTR_PREC_SP!$A$2:$G$2000,5,FALSE))</f>
        <v>0</v>
      </c>
      <c r="AB643" s="355"/>
      <c r="AC643" s="520"/>
      <c r="AD643" s="520"/>
      <c r="AE643" s="269">
        <f t="shared" si="106"/>
        <v>0</v>
      </c>
      <c r="AF643" s="520"/>
      <c r="AG643" s="520"/>
      <c r="AH643" s="520"/>
      <c r="AI643" s="520"/>
      <c r="AJ643" s="526">
        <f t="shared" si="89"/>
        <v>0</v>
      </c>
      <c r="AK643" s="526">
        <f t="shared" si="90"/>
        <v>0</v>
      </c>
      <c r="AL643" s="520"/>
      <c r="AM643" s="520"/>
    </row>
    <row r="644" spans="1:39" s="204" customFormat="1" x14ac:dyDescent="0.25">
      <c r="B644" s="287" t="s">
        <v>1543</v>
      </c>
      <c r="C644" s="287" t="s">
        <v>1544</v>
      </c>
      <c r="D644" s="274" t="s">
        <v>3742</v>
      </c>
      <c r="E644" s="274"/>
      <c r="F644" s="274"/>
      <c r="G644" s="283"/>
      <c r="H644" s="266"/>
      <c r="I644" s="274"/>
      <c r="J644" s="281"/>
      <c r="K644" s="281"/>
      <c r="L644" s="379" t="s">
        <v>1548</v>
      </c>
      <c r="M644" s="284" t="s">
        <v>2962</v>
      </c>
      <c r="N644" s="269">
        <f t="shared" si="103"/>
        <v>0</v>
      </c>
      <c r="O644" s="270">
        <f t="shared" si="104"/>
        <v>0</v>
      </c>
      <c r="P644" s="271">
        <f t="shared" si="94"/>
        <v>0</v>
      </c>
      <c r="Q644" s="520"/>
      <c r="R644" s="354">
        <f>IF(ISERROR(VLOOKUP("SAN"&amp;$C644,ESTR_PREC_SP!$A$2:$G$2000,4,FALSE))=TRUE,0,VLOOKUP("SAN"&amp;$C644,ESTR_PREC_SP!$A$2:$G$2000,4,FALSE))</f>
        <v>0</v>
      </c>
      <c r="S644" s="520"/>
      <c r="T644" s="520"/>
      <c r="U644" s="520"/>
      <c r="V644" s="520"/>
      <c r="W644" s="520"/>
      <c r="X644" s="520"/>
      <c r="Y644" s="269">
        <f t="shared" si="105"/>
        <v>0</v>
      </c>
      <c r="Z644" s="534"/>
      <c r="AA644" s="354">
        <f>IF(ISERROR(VLOOKUP("SAN"&amp;$C644,ESTR_PREC_SP!$A$2:$G$2000,5,FALSE))=TRUE,0,VLOOKUP("SAN"&amp;$C644,ESTR_PREC_SP!$A$2:$G$2000,5,FALSE))</f>
        <v>0</v>
      </c>
      <c r="AB644" s="355"/>
      <c r="AC644" s="520"/>
      <c r="AD644" s="520"/>
      <c r="AE644" s="269">
        <f t="shared" si="106"/>
        <v>0</v>
      </c>
      <c r="AF644" s="520"/>
      <c r="AG644" s="520"/>
      <c r="AH644" s="520"/>
      <c r="AI644" s="520"/>
      <c r="AJ644" s="526">
        <f t="shared" si="89"/>
        <v>0</v>
      </c>
      <c r="AK644" s="526">
        <f t="shared" si="90"/>
        <v>0</v>
      </c>
      <c r="AL644" s="520"/>
      <c r="AM644" s="520"/>
    </row>
    <row r="645" spans="1:39" s="204" customFormat="1" ht="39" x14ac:dyDescent="0.25">
      <c r="A645" s="535" t="s">
        <v>3681</v>
      </c>
      <c r="B645" s="536" t="s">
        <v>1549</v>
      </c>
      <c r="C645" s="536" t="s">
        <v>1550</v>
      </c>
      <c r="D645" s="536"/>
      <c r="E645" s="536"/>
      <c r="F645" s="536"/>
      <c r="G645" s="536"/>
      <c r="H645" s="536"/>
      <c r="I645" s="536"/>
      <c r="J645" s="536"/>
      <c r="K645" s="536"/>
      <c r="L645" s="536" t="s">
        <v>3743</v>
      </c>
      <c r="M645" s="284" t="s">
        <v>2962</v>
      </c>
      <c r="N645" s="269">
        <f t="shared" si="103"/>
        <v>0</v>
      </c>
      <c r="O645" s="270">
        <f t="shared" si="104"/>
        <v>0</v>
      </c>
      <c r="P645" s="271">
        <f t="shared" si="94"/>
        <v>0</v>
      </c>
      <c r="Q645" s="520"/>
      <c r="R645" s="354">
        <f>IF(ISERROR(VLOOKUP("SAN"&amp;$C645,ESTR_PREC_SP!$A$2:$G$2000,4,FALSE))=TRUE,0,VLOOKUP("SAN"&amp;$C645,ESTR_PREC_SP!$A$2:$G$2000,4,FALSE))</f>
        <v>0</v>
      </c>
      <c r="S645" s="520"/>
      <c r="T645" s="520"/>
      <c r="U645" s="520"/>
      <c r="V645" s="520"/>
      <c r="W645" s="520"/>
      <c r="X645" s="520"/>
      <c r="Y645" s="269">
        <f t="shared" si="105"/>
        <v>0</v>
      </c>
      <c r="Z645" s="534"/>
      <c r="AA645" s="354">
        <f>IF(ISERROR(VLOOKUP("SAN"&amp;$C645,ESTR_PREC_SP!$A$2:$G$2000,5,FALSE))=TRUE,0,VLOOKUP("SAN"&amp;$C645,ESTR_PREC_SP!$A$2:$G$2000,5,FALSE))</f>
        <v>0</v>
      </c>
      <c r="AB645" s="355"/>
      <c r="AC645" s="520"/>
      <c r="AD645" s="520"/>
      <c r="AE645" s="269">
        <f t="shared" si="106"/>
        <v>0</v>
      </c>
      <c r="AF645" s="520"/>
      <c r="AG645" s="520"/>
      <c r="AH645" s="520"/>
      <c r="AI645" s="520"/>
      <c r="AJ645" s="526">
        <f t="shared" si="89"/>
        <v>0</v>
      </c>
      <c r="AK645" s="526">
        <f t="shared" si="90"/>
        <v>0</v>
      </c>
      <c r="AL645" s="520"/>
      <c r="AM645" s="520"/>
    </row>
    <row r="646" spans="1:39" s="204" customFormat="1" x14ac:dyDescent="0.25">
      <c r="B646" s="287" t="s">
        <v>1554</v>
      </c>
      <c r="C646" s="287" t="s">
        <v>1555</v>
      </c>
      <c r="D646" s="389" t="s">
        <v>3744</v>
      </c>
      <c r="E646" s="389"/>
      <c r="F646" s="389"/>
      <c r="G646" s="390"/>
      <c r="H646" s="391"/>
      <c r="I646" s="389"/>
      <c r="J646" s="389"/>
      <c r="K646" s="389"/>
      <c r="L646" s="392" t="s">
        <v>1558</v>
      </c>
      <c r="M646" s="287" t="s">
        <v>2962</v>
      </c>
      <c r="N646" s="269">
        <f t="shared" si="103"/>
        <v>0</v>
      </c>
      <c r="O646" s="270">
        <f t="shared" si="104"/>
        <v>0</v>
      </c>
      <c r="P646" s="271">
        <f t="shared" si="94"/>
        <v>0</v>
      </c>
      <c r="Q646" s="520"/>
      <c r="R646" s="354">
        <f>IF(ISERROR(VLOOKUP("SAN"&amp;$C646,ESTR_PREC_SP!$A$2:$G$2000,4,FALSE))=TRUE,0,VLOOKUP("SAN"&amp;$C646,ESTR_PREC_SP!$A$2:$G$2000,4,FALSE))</f>
        <v>0</v>
      </c>
      <c r="S646" s="520"/>
      <c r="T646" s="520"/>
      <c r="U646" s="520"/>
      <c r="V646" s="520"/>
      <c r="W646" s="520"/>
      <c r="X646" s="520"/>
      <c r="Y646" s="269">
        <f t="shared" si="105"/>
        <v>0</v>
      </c>
      <c r="Z646" s="534"/>
      <c r="AA646" s="354">
        <f>IF(ISERROR(VLOOKUP("SAN"&amp;$C646,ESTR_PREC_SP!$A$2:$G$2000,5,FALSE))=TRUE,0,VLOOKUP("SAN"&amp;$C646,ESTR_PREC_SP!$A$2:$G$2000,5,FALSE))</f>
        <v>0</v>
      </c>
      <c r="AB646" s="355"/>
      <c r="AC646" s="520"/>
      <c r="AD646" s="520"/>
      <c r="AE646" s="269">
        <f t="shared" si="106"/>
        <v>0</v>
      </c>
      <c r="AF646" s="520"/>
      <c r="AG646" s="520"/>
      <c r="AH646" s="520"/>
      <c r="AI646" s="520"/>
      <c r="AJ646" s="526">
        <f t="shared" si="89"/>
        <v>0</v>
      </c>
      <c r="AK646" s="526">
        <f t="shared" si="90"/>
        <v>0</v>
      </c>
      <c r="AL646" s="520"/>
      <c r="AM646" s="520"/>
    </row>
    <row r="647" spans="1:39" s="204" customFormat="1" ht="25.5" x14ac:dyDescent="0.25">
      <c r="B647" s="287" t="s">
        <v>1559</v>
      </c>
      <c r="C647" s="287" t="s">
        <v>1560</v>
      </c>
      <c r="D647" s="389" t="s">
        <v>3745</v>
      </c>
      <c r="E647" s="389"/>
      <c r="F647" s="389"/>
      <c r="G647" s="390"/>
      <c r="H647" s="391"/>
      <c r="I647" s="389"/>
      <c r="J647" s="389"/>
      <c r="K647" s="389"/>
      <c r="L647" s="392" t="s">
        <v>1562</v>
      </c>
      <c r="M647" s="287" t="s">
        <v>2962</v>
      </c>
      <c r="N647" s="269">
        <f t="shared" si="103"/>
        <v>0</v>
      </c>
      <c r="O647" s="270">
        <f t="shared" si="104"/>
        <v>0</v>
      </c>
      <c r="P647" s="271">
        <f t="shared" si="94"/>
        <v>0</v>
      </c>
      <c r="Q647" s="520"/>
      <c r="R647" s="354">
        <f>IF(ISERROR(VLOOKUP("SAN"&amp;$C647,ESTR_PREC_SP!$A$2:$G$2000,4,FALSE))=TRUE,0,VLOOKUP("SAN"&amp;$C647,ESTR_PREC_SP!$A$2:$G$2000,4,FALSE))</f>
        <v>0</v>
      </c>
      <c r="S647" s="520"/>
      <c r="T647" s="520"/>
      <c r="U647" s="520"/>
      <c r="V647" s="520"/>
      <c r="W647" s="520"/>
      <c r="X647" s="520"/>
      <c r="Y647" s="269">
        <f t="shared" si="105"/>
        <v>0</v>
      </c>
      <c r="Z647" s="534"/>
      <c r="AA647" s="354">
        <f>IF(ISERROR(VLOOKUP("SAN"&amp;$C647,ESTR_PREC_SP!$A$2:$G$2000,5,FALSE))=TRUE,0,VLOOKUP("SAN"&amp;$C647,ESTR_PREC_SP!$A$2:$G$2000,5,FALSE))</f>
        <v>0</v>
      </c>
      <c r="AB647" s="355"/>
      <c r="AC647" s="520"/>
      <c r="AD647" s="520"/>
      <c r="AE647" s="269">
        <f t="shared" si="106"/>
        <v>0</v>
      </c>
      <c r="AF647" s="520"/>
      <c r="AG647" s="520"/>
      <c r="AH647" s="520"/>
      <c r="AI647" s="520"/>
      <c r="AJ647" s="526">
        <f t="shared" si="89"/>
        <v>0</v>
      </c>
      <c r="AK647" s="526">
        <f t="shared" si="90"/>
        <v>0</v>
      </c>
      <c r="AL647" s="520"/>
      <c r="AM647" s="520"/>
    </row>
    <row r="648" spans="1:39" s="204" customFormat="1" x14ac:dyDescent="0.25">
      <c r="A648" s="535" t="s">
        <v>3681</v>
      </c>
      <c r="B648" s="536" t="s">
        <v>1563</v>
      </c>
      <c r="C648" s="536" t="s">
        <v>1564</v>
      </c>
      <c r="D648" s="536"/>
      <c r="E648" s="536"/>
      <c r="F648" s="536"/>
      <c r="G648" s="536"/>
      <c r="H648" s="536"/>
      <c r="I648" s="536"/>
      <c r="J648" s="536"/>
      <c r="K648" s="536"/>
      <c r="L648" s="536" t="s">
        <v>1567</v>
      </c>
      <c r="M648" s="287" t="s">
        <v>2962</v>
      </c>
      <c r="N648" s="269">
        <f t="shared" si="103"/>
        <v>0</v>
      </c>
      <c r="O648" s="270">
        <f t="shared" si="104"/>
        <v>0</v>
      </c>
      <c r="P648" s="271">
        <f t="shared" si="94"/>
        <v>0</v>
      </c>
      <c r="Q648" s="520"/>
      <c r="R648" s="354">
        <f>IF(ISERROR(VLOOKUP("SAN"&amp;$C648,ESTR_PREC_SP!$A$2:$G$2000,4,FALSE))=TRUE,0,VLOOKUP("SAN"&amp;$C648,ESTR_PREC_SP!$A$2:$G$2000,4,FALSE))</f>
        <v>0</v>
      </c>
      <c r="S648" s="520"/>
      <c r="T648" s="520"/>
      <c r="U648" s="520"/>
      <c r="V648" s="520"/>
      <c r="W648" s="520"/>
      <c r="X648" s="520"/>
      <c r="Y648" s="269">
        <f t="shared" si="105"/>
        <v>0</v>
      </c>
      <c r="Z648" s="534"/>
      <c r="AA648" s="354">
        <f>IF(ISERROR(VLOOKUP("SAN"&amp;$C648,ESTR_PREC_SP!$A$2:$G$2000,5,FALSE))=TRUE,0,VLOOKUP("SAN"&amp;$C648,ESTR_PREC_SP!$A$2:$G$2000,5,FALSE))</f>
        <v>0</v>
      </c>
      <c r="AB648" s="355"/>
      <c r="AC648" s="520"/>
      <c r="AD648" s="520"/>
      <c r="AE648" s="269">
        <f t="shared" si="106"/>
        <v>0</v>
      </c>
      <c r="AF648" s="520"/>
      <c r="AG648" s="520"/>
      <c r="AH648" s="520"/>
      <c r="AI648" s="520"/>
      <c r="AJ648" s="526">
        <f t="shared" si="89"/>
        <v>0</v>
      </c>
      <c r="AK648" s="526">
        <f t="shared" si="90"/>
        <v>0</v>
      </c>
      <c r="AL648" s="520"/>
      <c r="AM648" s="520"/>
    </row>
    <row r="649" spans="1:39" s="204" customFormat="1" ht="26.25" x14ac:dyDescent="0.25">
      <c r="A649" s="535" t="s">
        <v>3681</v>
      </c>
      <c r="B649" s="536" t="s">
        <v>1568</v>
      </c>
      <c r="C649" s="536" t="s">
        <v>1569</v>
      </c>
      <c r="D649" s="536"/>
      <c r="E649" s="536"/>
      <c r="F649" s="536"/>
      <c r="G649" s="536"/>
      <c r="H649" s="536"/>
      <c r="I649" s="536"/>
      <c r="J649" s="536"/>
      <c r="K649" s="536"/>
      <c r="L649" s="536" t="s">
        <v>1571</v>
      </c>
      <c r="M649" s="287" t="s">
        <v>2962</v>
      </c>
      <c r="N649" s="269">
        <f t="shared" si="103"/>
        <v>0</v>
      </c>
      <c r="O649" s="270">
        <f t="shared" si="104"/>
        <v>0</v>
      </c>
      <c r="P649" s="271">
        <f t="shared" si="94"/>
        <v>0</v>
      </c>
      <c r="Q649" s="520"/>
      <c r="R649" s="354">
        <f>IF(ISERROR(VLOOKUP("SAN"&amp;$C649,ESTR_PREC_SP!$A$2:$G$2000,4,FALSE))=TRUE,0,VLOOKUP("SAN"&amp;$C649,ESTR_PREC_SP!$A$2:$G$2000,4,FALSE))</f>
        <v>0</v>
      </c>
      <c r="S649" s="520"/>
      <c r="T649" s="520"/>
      <c r="U649" s="520"/>
      <c r="V649" s="520"/>
      <c r="W649" s="520"/>
      <c r="X649" s="520"/>
      <c r="Y649" s="269">
        <f t="shared" si="105"/>
        <v>0</v>
      </c>
      <c r="Z649" s="534"/>
      <c r="AA649" s="354">
        <f>IF(ISERROR(VLOOKUP("SAN"&amp;$C649,ESTR_PREC_SP!$A$2:$G$2000,5,FALSE))=TRUE,0,VLOOKUP("SAN"&amp;$C649,ESTR_PREC_SP!$A$2:$G$2000,5,FALSE))</f>
        <v>0</v>
      </c>
      <c r="AB649" s="355"/>
      <c r="AC649" s="520"/>
      <c r="AD649" s="520"/>
      <c r="AE649" s="269">
        <f t="shared" si="106"/>
        <v>0</v>
      </c>
      <c r="AF649" s="520"/>
      <c r="AG649" s="520"/>
      <c r="AH649" s="520"/>
      <c r="AI649" s="520"/>
      <c r="AJ649" s="526">
        <f t="shared" si="89"/>
        <v>0</v>
      </c>
      <c r="AK649" s="526">
        <f t="shared" si="90"/>
        <v>0</v>
      </c>
      <c r="AL649" s="520"/>
      <c r="AM649" s="520"/>
    </row>
    <row r="650" spans="1:39" s="204" customFormat="1" x14ac:dyDescent="0.25">
      <c r="B650" s="211"/>
      <c r="C650" s="211"/>
      <c r="D650" s="211"/>
      <c r="E650" s="211"/>
      <c r="F650" s="211"/>
      <c r="G650" s="211"/>
      <c r="H650" s="353"/>
      <c r="I650" s="211"/>
      <c r="J650" s="211"/>
      <c r="K650" s="211"/>
      <c r="L650" s="232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Y650" s="211"/>
      <c r="Z650" s="211"/>
      <c r="AA650" s="211"/>
      <c r="AB650" s="213"/>
      <c r="AC650" s="213"/>
    </row>
    <row r="651" spans="1:39" s="204" customFormat="1" ht="25.5" customHeight="1" x14ac:dyDescent="0.25">
      <c r="B651" s="211"/>
      <c r="C651" s="211"/>
      <c r="D651" s="211"/>
      <c r="E651" s="211"/>
      <c r="F651" s="211"/>
      <c r="G651" s="211"/>
      <c r="H651" s="353"/>
      <c r="I651" s="211"/>
      <c r="J651" s="211"/>
      <c r="K651" s="211"/>
      <c r="L651" s="232"/>
      <c r="M651" s="211"/>
      <c r="N651" s="211"/>
      <c r="O651" s="211"/>
      <c r="P651" s="211"/>
      <c r="Q651" s="211"/>
      <c r="R651" s="211"/>
      <c r="S651" s="902" t="s">
        <v>3495</v>
      </c>
      <c r="T651" s="902"/>
      <c r="U651" s="902"/>
      <c r="V651" s="335" t="s">
        <v>3496</v>
      </c>
      <c r="W651" s="336"/>
      <c r="X651" s="335" t="s">
        <v>3496</v>
      </c>
      <c r="Z651" s="211"/>
      <c r="AA651" s="211"/>
      <c r="AC651" s="285"/>
      <c r="AD651" s="211"/>
      <c r="AE651" s="211"/>
      <c r="AF651" s="904" t="str">
        <f>+AF616</f>
        <v>VALORE NOMINALE DEI CREDITI AL 31/12/ PER ANNO DI FORMAZIONE</v>
      </c>
      <c r="AG651" s="904"/>
      <c r="AH651" s="904"/>
      <c r="AI651" s="904"/>
      <c r="AJ651" s="904"/>
      <c r="AK651" s="905" t="str">
        <f>+AK616</f>
        <v>VALORE NETTO DEI CREDITI AL 31/12/2020 PER SCADENZA</v>
      </c>
      <c r="AL651" s="905"/>
      <c r="AM651" s="905"/>
    </row>
    <row r="652" spans="1:39" s="204" customFormat="1" ht="51" x14ac:dyDescent="0.25">
      <c r="B652" s="211"/>
      <c r="C652" s="211"/>
      <c r="D652" s="211"/>
      <c r="E652" s="211"/>
      <c r="F652" s="211"/>
      <c r="G652" s="211"/>
      <c r="H652" s="353"/>
      <c r="I652" s="211"/>
      <c r="J652" s="211"/>
      <c r="K652" s="211"/>
      <c r="L652" s="255"/>
      <c r="M652" s="244"/>
      <c r="N652" s="256" t="str">
        <f>N$15</f>
        <v>Valore netto al 31/12/2019</v>
      </c>
      <c r="O652" s="256" t="str">
        <f>O$15</f>
        <v>Valore netto al 31/12/2020</v>
      </c>
      <c r="P652" s="256" t="str">
        <f>P$15</f>
        <v>Variazione</v>
      </c>
      <c r="Q652" s="262" t="s">
        <v>2971</v>
      </c>
      <c r="R652" s="262" t="str">
        <f>+R617</f>
        <v>Valore iniziale LORDO al 31/12/2019</v>
      </c>
      <c r="S652" s="337" t="s">
        <v>2972</v>
      </c>
      <c r="T652" s="337" t="s">
        <v>3497</v>
      </c>
      <c r="U652" s="337" t="s">
        <v>3495</v>
      </c>
      <c r="V652" s="338" t="s">
        <v>3498</v>
      </c>
      <c r="W652" s="262" t="s">
        <v>2975</v>
      </c>
      <c r="X652" s="338" t="s">
        <v>3499</v>
      </c>
      <c r="Y652" s="262" t="str">
        <f>+Y617</f>
        <v>Valore finale LORDO al 31/12/2020</v>
      </c>
      <c r="Z652" s="337" t="str">
        <f>+Z617</f>
        <v>Di cui Fatture da emettere</v>
      </c>
      <c r="AA652" s="262" t="str">
        <f>+AA617</f>
        <v>Fondo svalutazione crediti al 31/12/2019</v>
      </c>
      <c r="AB652" s="262" t="s">
        <v>3500</v>
      </c>
      <c r="AC652" s="262" t="s">
        <v>3501</v>
      </c>
      <c r="AD652" s="262" t="s">
        <v>3502</v>
      </c>
      <c r="AE652" s="262" t="str">
        <f>+AE617</f>
        <v>Fondo svalutazione crediti al 31/12/2020</v>
      </c>
      <c r="AF652" s="339" t="s">
        <v>3503</v>
      </c>
      <c r="AG652" s="339" t="s">
        <v>3504</v>
      </c>
      <c r="AH652" s="339" t="s">
        <v>3505</v>
      </c>
      <c r="AI652" s="339" t="s">
        <v>3506</v>
      </c>
      <c r="AJ652" s="339" t="s">
        <v>3507</v>
      </c>
      <c r="AK652" s="340" t="s">
        <v>3508</v>
      </c>
      <c r="AL652" s="340" t="s">
        <v>3509</v>
      </c>
      <c r="AM652" s="340" t="s">
        <v>3510</v>
      </c>
    </row>
    <row r="653" spans="1:39" s="204" customFormat="1" x14ac:dyDescent="0.25">
      <c r="B653" s="292" t="s">
        <v>1572</v>
      </c>
      <c r="C653" s="292" t="s">
        <v>1573</v>
      </c>
      <c r="D653" s="247" t="s">
        <v>3746</v>
      </c>
      <c r="E653" s="247"/>
      <c r="F653" s="247"/>
      <c r="G653" s="247"/>
      <c r="H653" s="248"/>
      <c r="I653" s="247"/>
      <c r="J653" s="398"/>
      <c r="K653" s="399"/>
      <c r="L653" s="400" t="s">
        <v>3747</v>
      </c>
      <c r="M653" s="251" t="s">
        <v>2962</v>
      </c>
      <c r="N653" s="401">
        <f>+R653-AA653</f>
        <v>5546</v>
      </c>
      <c r="O653" s="270">
        <f>+Y653-AE653</f>
        <v>22120</v>
      </c>
      <c r="P653" s="253">
        <f>+O653-N653</f>
        <v>16574</v>
      </c>
      <c r="Q653" s="520"/>
      <c r="R653" s="354">
        <f>IF(ISERROR(VLOOKUP("SAN"&amp;$C653,ESTR_PREC_SP!$A$2:$G$2000,4,FALSE))=TRUE,0,VLOOKUP("SAN"&amp;$C653,ESTR_PREC_SP!$A$2:$G$2000,4,FALSE))</f>
        <v>5546</v>
      </c>
      <c r="S653" s="521"/>
      <c r="T653" s="520"/>
      <c r="U653" s="520">
        <f>+64074+2452</f>
        <v>66526</v>
      </c>
      <c r="V653" s="520">
        <f>+393+5121+32</f>
        <v>5546</v>
      </c>
      <c r="W653" s="520"/>
      <c r="X653" s="520">
        <f>+44276+162-32</f>
        <v>44406</v>
      </c>
      <c r="Y653" s="269">
        <f>+R653+S653+T653+U653-V653-X653+W653+Q653</f>
        <v>22120</v>
      </c>
      <c r="Z653" s="534">
        <v>2452</v>
      </c>
      <c r="AA653" s="354">
        <f>IF(ISERROR(VLOOKUP("SAN"&amp;$C653,ESTR_PREC_SP!$A$2:$G$2000,5,FALSE))=TRUE,0,VLOOKUP("SAN"&amp;$C653,ESTR_PREC_SP!$A$2:$G$2000,5,FALSE))</f>
        <v>0</v>
      </c>
      <c r="AB653" s="355"/>
      <c r="AC653" s="520"/>
      <c r="AD653" s="520"/>
      <c r="AE653" s="269">
        <f>+AA653+AD653-AC653+AB653</f>
        <v>0</v>
      </c>
      <c r="AF653" s="520"/>
      <c r="AG653" s="520"/>
      <c r="AH653" s="520"/>
      <c r="AI653" s="520"/>
      <c r="AJ653" s="526">
        <f>+Y653-SUM(AF653:AI653)</f>
        <v>22120</v>
      </c>
      <c r="AK653" s="526">
        <f>+Y653-AE653-AL653-AM653</f>
        <v>22120</v>
      </c>
      <c r="AL653" s="520"/>
      <c r="AM653" s="520"/>
    </row>
    <row r="654" spans="1:39" s="204" customFormat="1" x14ac:dyDescent="0.25">
      <c r="B654" s="298"/>
      <c r="C654" s="298"/>
      <c r="D654" s="226"/>
      <c r="E654" s="226"/>
      <c r="F654" s="226"/>
      <c r="G654" s="226"/>
      <c r="H654" s="227"/>
      <c r="I654" s="226"/>
      <c r="J654" s="226"/>
      <c r="K654" s="226"/>
      <c r="L654" s="403"/>
      <c r="M654" s="278"/>
      <c r="N654" s="279"/>
      <c r="O654" s="279"/>
      <c r="P654" s="404"/>
      <c r="Q654" s="211"/>
      <c r="R654" s="211"/>
      <c r="S654" s="211"/>
      <c r="T654" s="211"/>
      <c r="U654" s="211"/>
      <c r="V654" s="211"/>
      <c r="Y654" s="211"/>
      <c r="Z654" s="211"/>
      <c r="AA654" s="211"/>
      <c r="AB654" s="211"/>
      <c r="AC654" s="211"/>
    </row>
    <row r="655" spans="1:39" s="204" customFormat="1" x14ac:dyDescent="0.25">
      <c r="B655" s="289"/>
      <c r="C655" s="289"/>
      <c r="D655" s="211"/>
      <c r="E655" s="211"/>
      <c r="F655" s="211"/>
      <c r="G655" s="211"/>
      <c r="H655" s="353"/>
      <c r="I655" s="211"/>
      <c r="J655" s="211"/>
      <c r="K655" s="211"/>
      <c r="L655" s="255"/>
      <c r="M655" s="405"/>
      <c r="N655" s="279"/>
      <c r="O655" s="279"/>
      <c r="P655" s="404"/>
      <c r="Q655" s="211"/>
      <c r="R655" s="211"/>
      <c r="S655" s="211"/>
      <c r="T655" s="211"/>
      <c r="U655" s="211"/>
      <c r="V655" s="211"/>
      <c r="Y655" s="211"/>
      <c r="Z655" s="211"/>
      <c r="AA655" s="211"/>
      <c r="AB655" s="211"/>
      <c r="AC655" s="211"/>
    </row>
    <row r="656" spans="1:39" s="204" customFormat="1" x14ac:dyDescent="0.25">
      <c r="B656" s="292" t="s">
        <v>1578</v>
      </c>
      <c r="C656" s="292" t="s">
        <v>1579</v>
      </c>
      <c r="D656" s="247" t="s">
        <v>3748</v>
      </c>
      <c r="E656" s="247"/>
      <c r="F656" s="247"/>
      <c r="G656" s="247"/>
      <c r="H656" s="248"/>
      <c r="I656" s="247"/>
      <c r="J656" s="247"/>
      <c r="K656" s="249"/>
      <c r="L656" s="400" t="s">
        <v>1581</v>
      </c>
      <c r="M656" s="251" t="s">
        <v>2962</v>
      </c>
      <c r="N656" s="252">
        <f>+N660+N675+N677+N676+N678+N679+N680</f>
        <v>18276645</v>
      </c>
      <c r="O656" s="252">
        <f>+O660+O675+O677+O676+O678+O679+O680</f>
        <v>12947177</v>
      </c>
      <c r="P656" s="253">
        <f>+O656-N656</f>
        <v>-5329468</v>
      </c>
      <c r="Q656" s="252">
        <f t="shared" ref="Q656:AM656" si="107">+Q660+Q675+Q677+Q676+Q678+Q679+Q680</f>
        <v>0</v>
      </c>
      <c r="R656" s="252">
        <f t="shared" si="107"/>
        <v>18276645</v>
      </c>
      <c r="S656" s="252">
        <f t="shared" si="107"/>
        <v>0</v>
      </c>
      <c r="T656" s="252">
        <f t="shared" si="107"/>
        <v>0</v>
      </c>
      <c r="U656" s="252">
        <f t="shared" si="107"/>
        <v>230318123</v>
      </c>
      <c r="V656" s="252">
        <f t="shared" si="107"/>
        <v>17336335</v>
      </c>
      <c r="W656" s="252">
        <f t="shared" si="107"/>
        <v>0</v>
      </c>
      <c r="X656" s="252">
        <f t="shared" si="107"/>
        <v>218311256</v>
      </c>
      <c r="Y656" s="252">
        <f t="shared" si="107"/>
        <v>12947177</v>
      </c>
      <c r="Z656" s="252">
        <f t="shared" si="107"/>
        <v>8727903</v>
      </c>
      <c r="AA656" s="252">
        <f t="shared" si="107"/>
        <v>0</v>
      </c>
      <c r="AB656" s="252">
        <f t="shared" si="107"/>
        <v>0</v>
      </c>
      <c r="AC656" s="252">
        <f t="shared" si="107"/>
        <v>0</v>
      </c>
      <c r="AD656" s="252">
        <f t="shared" si="107"/>
        <v>0</v>
      </c>
      <c r="AE656" s="252">
        <f t="shared" si="107"/>
        <v>0</v>
      </c>
      <c r="AF656" s="252">
        <f t="shared" si="107"/>
        <v>743459</v>
      </c>
      <c r="AG656" s="252">
        <f t="shared" si="107"/>
        <v>0</v>
      </c>
      <c r="AH656" s="252">
        <f t="shared" si="107"/>
        <v>18819</v>
      </c>
      <c r="AI656" s="252">
        <f t="shared" si="107"/>
        <v>178036</v>
      </c>
      <c r="AJ656" s="252">
        <f t="shared" si="107"/>
        <v>12006863</v>
      </c>
      <c r="AK656" s="252">
        <f t="shared" si="107"/>
        <v>12947177</v>
      </c>
      <c r="AL656" s="252">
        <f t="shared" si="107"/>
        <v>0</v>
      </c>
      <c r="AM656" s="252">
        <f t="shared" si="107"/>
        <v>0</v>
      </c>
    </row>
    <row r="657" spans="2:39" s="204" customFormat="1" x14ac:dyDescent="0.25">
      <c r="B657" s="298"/>
      <c r="C657" s="298"/>
      <c r="D657" s="226"/>
      <c r="E657" s="226"/>
      <c r="F657" s="226"/>
      <c r="G657" s="226"/>
      <c r="H657" s="227"/>
      <c r="I657" s="226"/>
      <c r="J657" s="226"/>
      <c r="K657" s="226"/>
      <c r="L657" s="403"/>
      <c r="M657" s="278"/>
      <c r="N657" s="279"/>
      <c r="O657" s="279"/>
      <c r="P657" s="404"/>
      <c r="Q657" s="211"/>
      <c r="R657" s="279"/>
      <c r="S657" s="279"/>
      <c r="T657" s="279"/>
      <c r="U657" s="279"/>
      <c r="V657" s="279"/>
      <c r="Y657" s="279"/>
      <c r="Z657" s="279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</row>
    <row r="658" spans="2:39" s="204" customFormat="1" ht="25.5" customHeight="1" x14ac:dyDescent="0.25">
      <c r="B658" s="289"/>
      <c r="C658" s="289"/>
      <c r="D658" s="211"/>
      <c r="E658" s="211"/>
      <c r="F658" s="211"/>
      <c r="G658" s="211"/>
      <c r="H658" s="353"/>
      <c r="I658" s="211"/>
      <c r="J658" s="211"/>
      <c r="K658" s="211"/>
      <c r="L658" s="232"/>
      <c r="M658" s="211"/>
      <c r="N658" s="211"/>
      <c r="O658" s="211"/>
      <c r="P658" s="211"/>
      <c r="Q658" s="211"/>
      <c r="R658" s="211"/>
      <c r="S658" s="910" t="s">
        <v>3495</v>
      </c>
      <c r="T658" s="910"/>
      <c r="U658" s="910"/>
      <c r="V658" s="335" t="s">
        <v>3496</v>
      </c>
      <c r="W658" s="336"/>
      <c r="X658" s="335" t="s">
        <v>3496</v>
      </c>
      <c r="Z658" s="211"/>
      <c r="AA658" s="211"/>
      <c r="AC658" s="285"/>
      <c r="AD658" s="211"/>
      <c r="AE658" s="211"/>
      <c r="AF658" s="904" t="str">
        <f>+AF651</f>
        <v>VALORE NOMINALE DEI CREDITI AL 31/12/ PER ANNO DI FORMAZIONE</v>
      </c>
      <c r="AG658" s="904"/>
      <c r="AH658" s="904"/>
      <c r="AI658" s="904"/>
      <c r="AJ658" s="904"/>
      <c r="AK658" s="905" t="str">
        <f>+AK651</f>
        <v>VALORE NETTO DEI CREDITI AL 31/12/2020 PER SCADENZA</v>
      </c>
      <c r="AL658" s="905"/>
      <c r="AM658" s="905"/>
    </row>
    <row r="659" spans="2:39" s="204" customFormat="1" ht="51.75" customHeight="1" x14ac:dyDescent="0.25">
      <c r="B659" s="294" t="s">
        <v>2968</v>
      </c>
      <c r="C659" s="294" t="s">
        <v>2969</v>
      </c>
      <c r="D659" s="206" t="s">
        <v>72</v>
      </c>
      <c r="E659" s="206"/>
      <c r="F659" s="206"/>
      <c r="G659" s="207"/>
      <c r="H659" s="207"/>
      <c r="I659" s="207"/>
      <c r="J659" s="207" t="s">
        <v>2957</v>
      </c>
      <c r="K659" s="206" t="s">
        <v>82</v>
      </c>
      <c r="L659" s="261" t="s">
        <v>3670</v>
      </c>
      <c r="M659" s="256"/>
      <c r="N659" s="256" t="str">
        <f>N$15</f>
        <v>Valore netto al 31/12/2019</v>
      </c>
      <c r="O659" s="256" t="str">
        <f>O$15</f>
        <v>Valore netto al 31/12/2020</v>
      </c>
      <c r="P659" s="256" t="str">
        <f>P$15</f>
        <v>Variazione</v>
      </c>
      <c r="Q659" s="262" t="s">
        <v>2971</v>
      </c>
      <c r="R659" s="262" t="str">
        <f>+R652</f>
        <v>Valore iniziale LORDO al 31/12/2019</v>
      </c>
      <c r="S659" s="337" t="s">
        <v>2972</v>
      </c>
      <c r="T659" s="337" t="s">
        <v>3497</v>
      </c>
      <c r="U659" s="337" t="s">
        <v>3495</v>
      </c>
      <c r="V659" s="338" t="s">
        <v>3498</v>
      </c>
      <c r="W659" s="262" t="s">
        <v>2975</v>
      </c>
      <c r="X659" s="338" t="s">
        <v>3499</v>
      </c>
      <c r="Y659" s="262" t="str">
        <f>+Y652</f>
        <v>Valore finale LORDO al 31/12/2020</v>
      </c>
      <c r="Z659" s="337" t="str">
        <f>+Z652</f>
        <v>Di cui Fatture da emettere</v>
      </c>
      <c r="AA659" s="262" t="str">
        <f>+AA652</f>
        <v>Fondo svalutazione crediti al 31/12/2019</v>
      </c>
      <c r="AB659" s="262" t="s">
        <v>3500</v>
      </c>
      <c r="AC659" s="262" t="s">
        <v>3501</v>
      </c>
      <c r="AD659" s="262" t="s">
        <v>3502</v>
      </c>
      <c r="AE659" s="262" t="str">
        <f>+AE652</f>
        <v>Fondo svalutazione crediti al 31/12/2020</v>
      </c>
      <c r="AF659" s="339" t="s">
        <v>3503</v>
      </c>
      <c r="AG659" s="339" t="s">
        <v>3504</v>
      </c>
      <c r="AH659" s="339" t="s">
        <v>3505</v>
      </c>
      <c r="AI659" s="339" t="s">
        <v>3506</v>
      </c>
      <c r="AJ659" s="339" t="s">
        <v>3507</v>
      </c>
      <c r="AK659" s="340" t="s">
        <v>3508</v>
      </c>
      <c r="AL659" s="340" t="s">
        <v>3509</v>
      </c>
      <c r="AM659" s="340" t="s">
        <v>3510</v>
      </c>
    </row>
    <row r="660" spans="2:39" s="204" customFormat="1" x14ac:dyDescent="0.25">
      <c r="B660" s="287" t="s">
        <v>1582</v>
      </c>
      <c r="C660" s="287" t="s">
        <v>1583</v>
      </c>
      <c r="D660" s="274" t="s">
        <v>3749</v>
      </c>
      <c r="E660" s="274"/>
      <c r="F660" s="274"/>
      <c r="G660" s="283"/>
      <c r="H660" s="266"/>
      <c r="I660" s="274"/>
      <c r="J660" s="281"/>
      <c r="K660" s="281"/>
      <c r="L660" s="295" t="s">
        <v>1584</v>
      </c>
      <c r="M660" s="284" t="s">
        <v>2962</v>
      </c>
      <c r="N660" s="272">
        <f>+N661+N664+N667+N673+N674</f>
        <v>18170863</v>
      </c>
      <c r="O660" s="272">
        <f>+O661+O664+O667+O673+O674</f>
        <v>11890177</v>
      </c>
      <c r="P660" s="378">
        <f t="shared" ref="P660:P680" si="108">+O660-N660</f>
        <v>-6280686</v>
      </c>
      <c r="Q660" s="272">
        <f t="shared" ref="Q660:AD660" si="109">+Q661+Q664+Q667+Q673+Q674</f>
        <v>0</v>
      </c>
      <c r="R660" s="272">
        <f t="shared" si="109"/>
        <v>18170863</v>
      </c>
      <c r="S660" s="272">
        <f t="shared" si="109"/>
        <v>0</v>
      </c>
      <c r="T660" s="272">
        <f t="shared" si="109"/>
        <v>-12429</v>
      </c>
      <c r="U660" s="272">
        <f t="shared" si="109"/>
        <v>229255138</v>
      </c>
      <c r="V660" s="272">
        <f t="shared" si="109"/>
        <v>17297687</v>
      </c>
      <c r="W660" s="272">
        <f t="shared" si="109"/>
        <v>0</v>
      </c>
      <c r="X660" s="272">
        <f t="shared" si="109"/>
        <v>218225708</v>
      </c>
      <c r="Y660" s="272">
        <f t="shared" si="109"/>
        <v>11890177</v>
      </c>
      <c r="Z660" s="272">
        <f t="shared" si="109"/>
        <v>8631794</v>
      </c>
      <c r="AA660" s="272">
        <f t="shared" si="109"/>
        <v>0</v>
      </c>
      <c r="AB660" s="272">
        <f t="shared" si="109"/>
        <v>0</v>
      </c>
      <c r="AC660" s="272">
        <f t="shared" si="109"/>
        <v>0</v>
      </c>
      <c r="AD660" s="272">
        <f t="shared" si="109"/>
        <v>0</v>
      </c>
      <c r="AE660" s="272">
        <f>+AA660+AD660-AC660+AB660</f>
        <v>0</v>
      </c>
      <c r="AF660" s="272">
        <f>+AF661+AF664+AF667+AF673+AF674</f>
        <v>689078</v>
      </c>
      <c r="AG660" s="272">
        <f>+AG661+AG664+AG667+AG673+AG674</f>
        <v>0</v>
      </c>
      <c r="AH660" s="272">
        <f>+AH661+AH664+AH667+AH673+AH674</f>
        <v>8937</v>
      </c>
      <c r="AI660" s="272">
        <f>+AI661+AI664+AI667+AI673+AI674</f>
        <v>175163</v>
      </c>
      <c r="AJ660" s="537">
        <f t="shared" ref="AJ660:AJ680" si="110">+Y660-SUM(AF660:AI660)</f>
        <v>11016999</v>
      </c>
      <c r="AK660" s="537">
        <f t="shared" ref="AK660:AK680" si="111">+Y660-AE660-AL660-AM660</f>
        <v>11890177</v>
      </c>
      <c r="AL660" s="272">
        <f>+AL661+AL664+AL667+AL673+AL674</f>
        <v>0</v>
      </c>
      <c r="AM660" s="272">
        <f>+AM661+AM664+AM667+AM673+AM674</f>
        <v>0</v>
      </c>
    </row>
    <row r="661" spans="2:39" s="204" customFormat="1" ht="25.5" x14ac:dyDescent="0.25">
      <c r="B661" s="287" t="s">
        <v>1585</v>
      </c>
      <c r="C661" s="287" t="s">
        <v>1586</v>
      </c>
      <c r="D661" s="274" t="s">
        <v>3750</v>
      </c>
      <c r="E661" s="274"/>
      <c r="F661" s="274"/>
      <c r="G661" s="283"/>
      <c r="H661" s="266"/>
      <c r="I661" s="274"/>
      <c r="J661" s="281"/>
      <c r="K661" s="281"/>
      <c r="L661" s="379" t="s">
        <v>1588</v>
      </c>
      <c r="M661" s="284" t="s">
        <v>2962</v>
      </c>
      <c r="N661" s="272">
        <f>N662+N663</f>
        <v>0</v>
      </c>
      <c r="O661" s="272">
        <f>O662+O663</f>
        <v>0</v>
      </c>
      <c r="P661" s="378">
        <f t="shared" si="108"/>
        <v>0</v>
      </c>
      <c r="Q661" s="272">
        <f t="shared" ref="Q661:AD661" si="112">Q662+Q663</f>
        <v>0</v>
      </c>
      <c r="R661" s="272">
        <f t="shared" si="112"/>
        <v>0</v>
      </c>
      <c r="S661" s="272">
        <f t="shared" si="112"/>
        <v>0</v>
      </c>
      <c r="T661" s="272">
        <f t="shared" si="112"/>
        <v>0</v>
      </c>
      <c r="U661" s="272">
        <f t="shared" si="112"/>
        <v>0</v>
      </c>
      <c r="V661" s="272">
        <f t="shared" si="112"/>
        <v>0</v>
      </c>
      <c r="W661" s="272">
        <f t="shared" si="112"/>
        <v>0</v>
      </c>
      <c r="X661" s="272">
        <f t="shared" si="112"/>
        <v>0</v>
      </c>
      <c r="Y661" s="272">
        <f t="shared" si="112"/>
        <v>0</v>
      </c>
      <c r="Z661" s="272">
        <f t="shared" si="112"/>
        <v>0</v>
      </c>
      <c r="AA661" s="272">
        <f t="shared" si="112"/>
        <v>0</v>
      </c>
      <c r="AB661" s="272">
        <f t="shared" si="112"/>
        <v>0</v>
      </c>
      <c r="AC661" s="272">
        <f t="shared" si="112"/>
        <v>0</v>
      </c>
      <c r="AD661" s="272">
        <f t="shared" si="112"/>
        <v>0</v>
      </c>
      <c r="AE661" s="272">
        <f>+AA661+AD661-AC661+AB661</f>
        <v>0</v>
      </c>
      <c r="AF661" s="272">
        <f>AF662+AF663</f>
        <v>0</v>
      </c>
      <c r="AG661" s="272">
        <f>AG662+AG663</f>
        <v>0</v>
      </c>
      <c r="AH661" s="272">
        <f>AH662+AH663</f>
        <v>0</v>
      </c>
      <c r="AI661" s="272">
        <f>AI662+AI663</f>
        <v>0</v>
      </c>
      <c r="AJ661" s="537">
        <f t="shared" si="110"/>
        <v>0</v>
      </c>
      <c r="AK661" s="537">
        <f t="shared" si="111"/>
        <v>0</v>
      </c>
      <c r="AL661" s="272">
        <f>AL662+AL663</f>
        <v>0</v>
      </c>
      <c r="AM661" s="272">
        <f>AM662+AM663</f>
        <v>0</v>
      </c>
    </row>
    <row r="662" spans="2:39" s="204" customFormat="1" ht="26.45" hidden="1" customHeight="1" x14ac:dyDescent="0.25">
      <c r="B662" s="287" t="s">
        <v>1589</v>
      </c>
      <c r="C662" s="287" t="s">
        <v>1590</v>
      </c>
      <c r="D662" s="274" t="s">
        <v>3751</v>
      </c>
      <c r="E662" s="274"/>
      <c r="F662" s="274"/>
      <c r="G662" s="283"/>
      <c r="H662" s="266"/>
      <c r="I662" s="274"/>
      <c r="J662" s="281"/>
      <c r="K662" s="281"/>
      <c r="L662" s="406" t="s">
        <v>1592</v>
      </c>
      <c r="M662" s="284" t="s">
        <v>2962</v>
      </c>
      <c r="N662" s="269">
        <f>+R662-AA662</f>
        <v>0</v>
      </c>
      <c r="O662" s="270">
        <f>+Y662-AE662</f>
        <v>0</v>
      </c>
      <c r="P662" s="271">
        <f t="shared" si="108"/>
        <v>0</v>
      </c>
      <c r="Q662" s="520"/>
      <c r="R662" s="354">
        <f>IF(ISERROR(VLOOKUP("SAN"&amp;$C662,ESTR_PREC_SP!$A$2:$G$2000,4,FALSE))=TRUE,0,VLOOKUP("SAN"&amp;$C662,ESTR_PREC_SP!$A$2:$G$2000,4,FALSE))+AA662</f>
        <v>0</v>
      </c>
      <c r="S662" s="520"/>
      <c r="T662" s="520"/>
      <c r="U662" s="520"/>
      <c r="V662" s="520"/>
      <c r="W662" s="520"/>
      <c r="X662" s="520"/>
      <c r="Y662" s="269">
        <f>+R662+S662+T662-V662-X662+W662</f>
        <v>0</v>
      </c>
      <c r="Z662" s="534"/>
      <c r="AA662" s="520"/>
      <c r="AB662" s="520"/>
      <c r="AC662" s="520"/>
      <c r="AD662" s="520"/>
      <c r="AE662" s="269">
        <f>+AA662+AD662-AC662</f>
        <v>0</v>
      </c>
      <c r="AF662" s="520"/>
      <c r="AG662" s="520"/>
      <c r="AH662" s="520"/>
      <c r="AI662" s="520"/>
      <c r="AJ662" s="526">
        <f t="shared" si="110"/>
        <v>0</v>
      </c>
      <c r="AK662" s="526">
        <f t="shared" si="111"/>
        <v>0</v>
      </c>
      <c r="AL662" s="520"/>
      <c r="AM662" s="520"/>
    </row>
    <row r="663" spans="2:39" s="204" customFormat="1" ht="25.5" x14ac:dyDescent="0.25">
      <c r="B663" s="287" t="s">
        <v>1593</v>
      </c>
      <c r="C663" s="287" t="s">
        <v>1594</v>
      </c>
      <c r="D663" s="274" t="s">
        <v>3752</v>
      </c>
      <c r="E663" s="274"/>
      <c r="F663" s="274"/>
      <c r="G663" s="283"/>
      <c r="H663" s="266"/>
      <c r="I663" s="274"/>
      <c r="J663" s="281"/>
      <c r="K663" s="281"/>
      <c r="L663" s="406" t="s">
        <v>3753</v>
      </c>
      <c r="M663" s="284" t="s">
        <v>2962</v>
      </c>
      <c r="N663" s="269">
        <f>+R663-AA663</f>
        <v>0</v>
      </c>
      <c r="O663" s="270">
        <f>+Y663-AE663</f>
        <v>0</v>
      </c>
      <c r="P663" s="271">
        <f t="shared" si="108"/>
        <v>0</v>
      </c>
      <c r="Q663" s="520"/>
      <c r="R663" s="354">
        <f>IF(ISERROR(VLOOKUP("SAN"&amp;$C663,ESTR_PREC_SP!$A$2:$G$2000,4,FALSE))=TRUE,0,VLOOKUP("SAN"&amp;$C663,ESTR_PREC_SP!$A$2:$G$2000,4,FALSE))</f>
        <v>0</v>
      </c>
      <c r="S663" s="521"/>
      <c r="T663" s="520"/>
      <c r="U663" s="520"/>
      <c r="V663" s="520"/>
      <c r="W663" s="520"/>
      <c r="X663" s="520"/>
      <c r="Y663" s="269">
        <f>+R663+S663+T663+U663-V663-X663+W663+Q663</f>
        <v>0</v>
      </c>
      <c r="Z663" s="534"/>
      <c r="AA663" s="354">
        <f>IF(ISERROR(VLOOKUP("SAN"&amp;$C663,ESTR_PREC_SP!$A$2:$G$2000,5,FALSE))=TRUE,0,VLOOKUP("SAN"&amp;$C663,ESTR_PREC_SP!$A$2:$G$2000,5,FALSE))</f>
        <v>0</v>
      </c>
      <c r="AB663" s="355"/>
      <c r="AC663" s="520"/>
      <c r="AD663" s="520"/>
      <c r="AE663" s="269">
        <f>+AA663+AD663-AC663+AB663</f>
        <v>0</v>
      </c>
      <c r="AF663" s="520"/>
      <c r="AG663" s="520"/>
      <c r="AH663" s="520"/>
      <c r="AI663" s="520"/>
      <c r="AJ663" s="526">
        <f t="shared" si="110"/>
        <v>0</v>
      </c>
      <c r="AK663" s="526">
        <f t="shared" si="111"/>
        <v>0</v>
      </c>
      <c r="AL663" s="520"/>
      <c r="AM663" s="520"/>
    </row>
    <row r="664" spans="2:39" s="204" customFormat="1" ht="25.5" x14ac:dyDescent="0.25">
      <c r="B664" s="287" t="s">
        <v>1596</v>
      </c>
      <c r="C664" s="287" t="s">
        <v>1597</v>
      </c>
      <c r="D664" s="274" t="s">
        <v>3754</v>
      </c>
      <c r="E664" s="274"/>
      <c r="F664" s="274"/>
      <c r="G664" s="283"/>
      <c r="H664" s="266"/>
      <c r="I664" s="274"/>
      <c r="J664" s="281"/>
      <c r="K664" s="281"/>
      <c r="L664" s="379" t="s">
        <v>1599</v>
      </c>
      <c r="M664" s="284" t="s">
        <v>2962</v>
      </c>
      <c r="N664" s="272">
        <f>+N665+N666</f>
        <v>0</v>
      </c>
      <c r="O664" s="272">
        <f>+O665+O666</f>
        <v>0</v>
      </c>
      <c r="P664" s="378">
        <f t="shared" si="108"/>
        <v>0</v>
      </c>
      <c r="Q664" s="272">
        <f t="shared" ref="Q664:AD664" si="113">Q665+Q666</f>
        <v>0</v>
      </c>
      <c r="R664" s="272">
        <f t="shared" si="113"/>
        <v>0</v>
      </c>
      <c r="S664" s="272">
        <f t="shared" si="113"/>
        <v>0</v>
      </c>
      <c r="T664" s="272">
        <f t="shared" si="113"/>
        <v>0</v>
      </c>
      <c r="U664" s="272">
        <f t="shared" si="113"/>
        <v>0</v>
      </c>
      <c r="V664" s="272">
        <f t="shared" si="113"/>
        <v>0</v>
      </c>
      <c r="W664" s="272">
        <f t="shared" si="113"/>
        <v>0</v>
      </c>
      <c r="X664" s="272">
        <f t="shared" si="113"/>
        <v>0</v>
      </c>
      <c r="Y664" s="272">
        <f t="shared" si="113"/>
        <v>0</v>
      </c>
      <c r="Z664" s="272">
        <f t="shared" si="113"/>
        <v>0</v>
      </c>
      <c r="AA664" s="272">
        <f t="shared" si="113"/>
        <v>0</v>
      </c>
      <c r="AB664" s="272">
        <f t="shared" si="113"/>
        <v>0</v>
      </c>
      <c r="AC664" s="272">
        <f t="shared" si="113"/>
        <v>0</v>
      </c>
      <c r="AD664" s="272">
        <f t="shared" si="113"/>
        <v>0</v>
      </c>
      <c r="AE664" s="272">
        <f>+AA664+AD664-AC664+AB664</f>
        <v>0</v>
      </c>
      <c r="AF664" s="272">
        <f>AF665+AF666</f>
        <v>0</v>
      </c>
      <c r="AG664" s="272">
        <f>AG665+AG666</f>
        <v>0</v>
      </c>
      <c r="AH664" s="272">
        <f>AH665+AH666</f>
        <v>0</v>
      </c>
      <c r="AI664" s="272">
        <f>AI665+AI666</f>
        <v>0</v>
      </c>
      <c r="AJ664" s="537">
        <f t="shared" si="110"/>
        <v>0</v>
      </c>
      <c r="AK664" s="537">
        <f t="shared" si="111"/>
        <v>0</v>
      </c>
      <c r="AL664" s="272">
        <f>AL665+AL666</f>
        <v>0</v>
      </c>
      <c r="AM664" s="272">
        <f>AM665+AM666</f>
        <v>0</v>
      </c>
    </row>
    <row r="665" spans="2:39" s="204" customFormat="1" ht="26.45" hidden="1" customHeight="1" x14ac:dyDescent="0.25">
      <c r="B665" s="287" t="s">
        <v>1600</v>
      </c>
      <c r="C665" s="287" t="s">
        <v>1601</v>
      </c>
      <c r="D665" s="274" t="s">
        <v>3755</v>
      </c>
      <c r="E665" s="274"/>
      <c r="F665" s="274"/>
      <c r="G665" s="283"/>
      <c r="H665" s="266"/>
      <c r="I665" s="274"/>
      <c r="J665" s="281"/>
      <c r="K665" s="281"/>
      <c r="L665" s="406" t="s">
        <v>1602</v>
      </c>
      <c r="M665" s="284" t="s">
        <v>2962</v>
      </c>
      <c r="N665" s="269">
        <f>+R665-AA665</f>
        <v>0</v>
      </c>
      <c r="O665" s="270">
        <f>+Y665-AE665</f>
        <v>0</v>
      </c>
      <c r="P665" s="271">
        <f t="shared" si="108"/>
        <v>0</v>
      </c>
      <c r="Q665" s="520"/>
      <c r="R665" s="354">
        <f>IF(ISERROR(VLOOKUP("SAN"&amp;$C665,ESTR_PREC_SP!$A$2:$G$2000,4,FALSE))=TRUE,0,VLOOKUP("SAN"&amp;$C665,ESTR_PREC_SP!$A$2:$G$2000,4,FALSE))+AA665</f>
        <v>0</v>
      </c>
      <c r="S665" s="520"/>
      <c r="T665" s="520"/>
      <c r="U665" s="520"/>
      <c r="V665" s="520"/>
      <c r="W665" s="520"/>
      <c r="X665" s="520"/>
      <c r="Y665" s="269">
        <f>+R665+S665+T665-V665-X665+W665</f>
        <v>0</v>
      </c>
      <c r="Z665" s="534"/>
      <c r="AA665" s="520"/>
      <c r="AB665" s="520"/>
      <c r="AC665" s="520"/>
      <c r="AD665" s="520"/>
      <c r="AE665" s="269">
        <f>+AA665+AD665-AC665</f>
        <v>0</v>
      </c>
      <c r="AF665" s="520"/>
      <c r="AG665" s="520"/>
      <c r="AH665" s="520"/>
      <c r="AI665" s="520"/>
      <c r="AJ665" s="526">
        <f t="shared" si="110"/>
        <v>0</v>
      </c>
      <c r="AK665" s="526">
        <f t="shared" si="111"/>
        <v>0</v>
      </c>
      <c r="AL665" s="520"/>
      <c r="AM665" s="520"/>
    </row>
    <row r="666" spans="2:39" s="204" customFormat="1" ht="25.5" x14ac:dyDescent="0.25">
      <c r="B666" s="287" t="s">
        <v>1603</v>
      </c>
      <c r="C666" s="287" t="s">
        <v>1604</v>
      </c>
      <c r="D666" s="274" t="s">
        <v>3756</v>
      </c>
      <c r="E666" s="274"/>
      <c r="F666" s="274"/>
      <c r="G666" s="283"/>
      <c r="H666" s="266"/>
      <c r="I666" s="274"/>
      <c r="J666" s="281"/>
      <c r="K666" s="281"/>
      <c r="L666" s="406" t="s">
        <v>3757</v>
      </c>
      <c r="M666" s="284" t="s">
        <v>2962</v>
      </c>
      <c r="N666" s="269">
        <f>+R666-AA666</f>
        <v>0</v>
      </c>
      <c r="O666" s="270">
        <f>+Y666-AE666</f>
        <v>0</v>
      </c>
      <c r="P666" s="271">
        <f t="shared" si="108"/>
        <v>0</v>
      </c>
      <c r="Q666" s="520"/>
      <c r="R666" s="354">
        <f>IF(ISERROR(VLOOKUP("SAN"&amp;$C666,ESTR_PREC_SP!$A$2:$G$2000,4,FALSE))=TRUE,0,VLOOKUP("SAN"&amp;$C666,ESTR_PREC_SP!$A$2:$G$2000,4,FALSE))</f>
        <v>0</v>
      </c>
      <c r="S666" s="521"/>
      <c r="T666" s="520"/>
      <c r="U666" s="520"/>
      <c r="V666" s="520"/>
      <c r="W666" s="520"/>
      <c r="X666" s="520"/>
      <c r="Y666" s="269">
        <f>+R666+S666+T666+U666-V666-X666+W666+Q666</f>
        <v>0</v>
      </c>
      <c r="Z666" s="534"/>
      <c r="AA666" s="354">
        <f>IF(ISERROR(VLOOKUP("SAN"&amp;$C666,ESTR_PREC_SP!$A$2:$G$2000,5,FALSE))=TRUE,0,VLOOKUP("SAN"&amp;$C666,ESTR_PREC_SP!$A$2:$G$2000,5,FALSE))</f>
        <v>0</v>
      </c>
      <c r="AB666" s="355"/>
      <c r="AC666" s="520"/>
      <c r="AD666" s="520"/>
      <c r="AE666" s="269">
        <f>+AA666+AD666-AC666+AB666</f>
        <v>0</v>
      </c>
      <c r="AF666" s="520"/>
      <c r="AG666" s="520"/>
      <c r="AH666" s="520"/>
      <c r="AI666" s="520"/>
      <c r="AJ666" s="526">
        <f t="shared" si="110"/>
        <v>0</v>
      </c>
      <c r="AK666" s="526">
        <f t="shared" si="111"/>
        <v>0</v>
      </c>
      <c r="AL666" s="520"/>
      <c r="AM666" s="520"/>
    </row>
    <row r="667" spans="2:39" s="204" customFormat="1" ht="25.5" x14ac:dyDescent="0.25">
      <c r="B667" s="287" t="s">
        <v>1606</v>
      </c>
      <c r="C667" s="287" t="s">
        <v>1607</v>
      </c>
      <c r="D667" s="274" t="s">
        <v>3758</v>
      </c>
      <c r="E667" s="274"/>
      <c r="F667" s="274"/>
      <c r="G667" s="283"/>
      <c r="H667" s="266"/>
      <c r="I667" s="274"/>
      <c r="J667" s="281"/>
      <c r="K667" s="281"/>
      <c r="L667" s="379" t="s">
        <v>1610</v>
      </c>
      <c r="M667" s="284" t="s">
        <v>2962</v>
      </c>
      <c r="N667" s="272">
        <f>SUM(N668:N672)</f>
        <v>18170863</v>
      </c>
      <c r="O667" s="272">
        <f>SUM(O668:O672)</f>
        <v>11890177</v>
      </c>
      <c r="P667" s="378">
        <f t="shared" si="108"/>
        <v>-6280686</v>
      </c>
      <c r="Q667" s="272">
        <f t="shared" ref="Q667:AD667" si="114">SUM(Q668:Q672)</f>
        <v>0</v>
      </c>
      <c r="R667" s="272">
        <f t="shared" si="114"/>
        <v>18170863</v>
      </c>
      <c r="S667" s="272">
        <f t="shared" si="114"/>
        <v>0</v>
      </c>
      <c r="T667" s="272">
        <f t="shared" si="114"/>
        <v>-12429</v>
      </c>
      <c r="U667" s="272">
        <f t="shared" si="114"/>
        <v>229255138</v>
      </c>
      <c r="V667" s="272">
        <f t="shared" si="114"/>
        <v>17297687</v>
      </c>
      <c r="W667" s="272">
        <f t="shared" si="114"/>
        <v>0</v>
      </c>
      <c r="X667" s="272">
        <f t="shared" si="114"/>
        <v>218225708</v>
      </c>
      <c r="Y667" s="272">
        <f t="shared" si="114"/>
        <v>11890177</v>
      </c>
      <c r="Z667" s="272">
        <f t="shared" si="114"/>
        <v>8631794</v>
      </c>
      <c r="AA667" s="272">
        <f t="shared" si="114"/>
        <v>0</v>
      </c>
      <c r="AB667" s="272">
        <f t="shared" si="114"/>
        <v>0</v>
      </c>
      <c r="AC667" s="272">
        <f t="shared" si="114"/>
        <v>0</v>
      </c>
      <c r="AD667" s="272">
        <f t="shared" si="114"/>
        <v>0</v>
      </c>
      <c r="AE667" s="272">
        <f>+AA667+AD667-AC667+AB667</f>
        <v>0</v>
      </c>
      <c r="AF667" s="272">
        <f>SUM(AF668:AF672)</f>
        <v>689078</v>
      </c>
      <c r="AG667" s="272">
        <f>SUM(AG668:AG672)</f>
        <v>0</v>
      </c>
      <c r="AH667" s="272">
        <f>SUM(AH668:AH672)</f>
        <v>8937</v>
      </c>
      <c r="AI667" s="272">
        <f>SUM(AI668:AI672)</f>
        <v>175163</v>
      </c>
      <c r="AJ667" s="537">
        <f t="shared" si="110"/>
        <v>11016999</v>
      </c>
      <c r="AK667" s="537">
        <f t="shared" si="111"/>
        <v>11890177</v>
      </c>
      <c r="AL667" s="272">
        <f>SUM(AL668:AL672)</f>
        <v>0</v>
      </c>
      <c r="AM667" s="272">
        <f>SUM(AM668:AM672)</f>
        <v>0</v>
      </c>
    </row>
    <row r="668" spans="2:39" s="204" customFormat="1" ht="14.45" hidden="1" customHeight="1" x14ac:dyDescent="0.25">
      <c r="B668" s="287" t="s">
        <v>1611</v>
      </c>
      <c r="C668" s="287" t="s">
        <v>1612</v>
      </c>
      <c r="D668" s="274" t="s">
        <v>3759</v>
      </c>
      <c r="E668" s="274"/>
      <c r="F668" s="274"/>
      <c r="G668" s="283"/>
      <c r="H668" s="266"/>
      <c r="I668" s="274"/>
      <c r="J668" s="281"/>
      <c r="K668" s="281"/>
      <c r="L668" s="406" t="s">
        <v>1613</v>
      </c>
      <c r="M668" s="284" t="s">
        <v>2962</v>
      </c>
      <c r="N668" s="269">
        <f t="shared" ref="N668:N680" si="115">+R668-AA668</f>
        <v>0</v>
      </c>
      <c r="O668" s="270">
        <f t="shared" ref="O668:O680" si="116">+Y668-AE668</f>
        <v>0</v>
      </c>
      <c r="P668" s="271">
        <f t="shared" si="108"/>
        <v>0</v>
      </c>
      <c r="Q668" s="520"/>
      <c r="R668" s="354">
        <f>IF(ISERROR(VLOOKUP("SAN"&amp;$C668,ESTR_PREC_SP!$A$2:$G$2000,4,FALSE))=TRUE,0,VLOOKUP("SAN"&amp;$C668,ESTR_PREC_SP!$A$2:$G$2000,4,FALSE))+AA668</f>
        <v>0</v>
      </c>
      <c r="S668" s="520"/>
      <c r="T668" s="520"/>
      <c r="U668" s="520"/>
      <c r="V668" s="520"/>
      <c r="W668" s="520"/>
      <c r="X668" s="520"/>
      <c r="Y668" s="269">
        <f>+R668+S668+T668-V668-X668+W668</f>
        <v>0</v>
      </c>
      <c r="Z668" s="534"/>
      <c r="AA668" s="520"/>
      <c r="AB668" s="520"/>
      <c r="AC668" s="520"/>
      <c r="AD668" s="520"/>
      <c r="AE668" s="269">
        <f>+AA668+AD668-AC668</f>
        <v>0</v>
      </c>
      <c r="AF668" s="520"/>
      <c r="AG668" s="520"/>
      <c r="AH668" s="520"/>
      <c r="AI668" s="520"/>
      <c r="AJ668" s="526">
        <f t="shared" si="110"/>
        <v>0</v>
      </c>
      <c r="AK668" s="526">
        <f t="shared" si="111"/>
        <v>0</v>
      </c>
      <c r="AL668" s="520"/>
      <c r="AM668" s="520"/>
    </row>
    <row r="669" spans="2:39" s="204" customFormat="1" x14ac:dyDescent="0.25">
      <c r="B669" s="287" t="s">
        <v>1614</v>
      </c>
      <c r="C669" s="287" t="s">
        <v>1615</v>
      </c>
      <c r="D669" s="274" t="s">
        <v>3760</v>
      </c>
      <c r="E669" s="274"/>
      <c r="F669" s="274"/>
      <c r="G669" s="283"/>
      <c r="H669" s="266"/>
      <c r="I669" s="274"/>
      <c r="J669" s="281"/>
      <c r="K669" s="281"/>
      <c r="L669" s="406" t="s">
        <v>3761</v>
      </c>
      <c r="M669" s="284" t="s">
        <v>2962</v>
      </c>
      <c r="N669" s="269">
        <f t="shared" si="115"/>
        <v>13676102</v>
      </c>
      <c r="O669" s="270">
        <f t="shared" si="116"/>
        <v>8863133</v>
      </c>
      <c r="P669" s="271">
        <f t="shared" si="108"/>
        <v>-4812969</v>
      </c>
      <c r="Q669" s="520"/>
      <c r="R669" s="354">
        <f>IF(ISERROR(VLOOKUP("SAN"&amp;$C669,ESTR_PREC_SP!$A$2:$G$2000,4,FALSE))=TRUE,0,VLOOKUP("SAN"&amp;$C669,ESTR_PREC_SP!$A$2:$G$2000,4,FALSE))</f>
        <v>13676102</v>
      </c>
      <c r="S669" s="521"/>
      <c r="T669" s="520">
        <v>-5488</v>
      </c>
      <c r="U669" s="520">
        <f>43877+91699920+122709343+16490+11746504+66009-5047516+3</f>
        <v>221234630</v>
      </c>
      <c r="V669" s="520">
        <f>2468+1409735+29785494+20000-18252090</f>
        <v>12965607</v>
      </c>
      <c r="W669" s="520"/>
      <c r="X669" s="520">
        <f>43877+90323284+122709343</f>
        <v>213076504</v>
      </c>
      <c r="Y669" s="269">
        <f t="shared" ref="Y669:Y680" si="117">+R669+S669+T669+U669-V669-X669+W669+Q669</f>
        <v>8863133</v>
      </c>
      <c r="Z669" s="534">
        <f>16490+11746504+66009-5047516</f>
        <v>6781487</v>
      </c>
      <c r="AA669" s="354">
        <f>IF(ISERROR(VLOOKUP("SAN"&amp;$C669,ESTR_PREC_SP!$A$2:$G$2000,5,FALSE))=TRUE,0,VLOOKUP("SAN"&amp;$C669,ESTR_PREC_SP!$A$2:$G$2000,5,FALSE))</f>
        <v>0</v>
      </c>
      <c r="AB669" s="355"/>
      <c r="AC669" s="520"/>
      <c r="AD669" s="520"/>
      <c r="AE669" s="269">
        <f>+AA669+AD669-AC669+AB669</f>
        <v>0</v>
      </c>
      <c r="AF669" s="520">
        <f>689078</f>
        <v>689078</v>
      </c>
      <c r="AG669" s="520"/>
      <c r="AH669" s="520">
        <v>6146</v>
      </c>
      <c r="AI669" s="520">
        <f>3661+11612</f>
        <v>15273</v>
      </c>
      <c r="AJ669" s="526">
        <f t="shared" si="110"/>
        <v>8152636</v>
      </c>
      <c r="AK669" s="526">
        <f t="shared" si="111"/>
        <v>8863133</v>
      </c>
      <c r="AL669" s="520"/>
      <c r="AM669" s="520"/>
    </row>
    <row r="670" spans="2:39" s="204" customFormat="1" ht="14.45" hidden="1" customHeight="1" x14ac:dyDescent="0.25">
      <c r="B670" s="287" t="s">
        <v>1617</v>
      </c>
      <c r="C670" s="287" t="s">
        <v>1618</v>
      </c>
      <c r="D670" s="274" t="s">
        <v>3762</v>
      </c>
      <c r="E670" s="274"/>
      <c r="F670" s="274"/>
      <c r="G670" s="283"/>
      <c r="H670" s="266"/>
      <c r="I670" s="274"/>
      <c r="J670" s="281"/>
      <c r="K670" s="281"/>
      <c r="L670" s="406" t="s">
        <v>1619</v>
      </c>
      <c r="M670" s="284" t="s">
        <v>2962</v>
      </c>
      <c r="N670" s="269">
        <f t="shared" si="115"/>
        <v>0</v>
      </c>
      <c r="O670" s="270">
        <f t="shared" si="116"/>
        <v>0</v>
      </c>
      <c r="P670" s="271">
        <f t="shared" si="108"/>
        <v>0</v>
      </c>
      <c r="Q670" s="520"/>
      <c r="R670" s="354">
        <f>IF(ISERROR(VLOOKUP("SAN"&amp;$C670,ESTR_PREC_SP!$A$2:$G$2000,4,FALSE))=TRUE,0,VLOOKUP("SAN"&amp;$C670,ESTR_PREC_SP!$A$2:$G$2000,4,FALSE))+AA670</f>
        <v>0</v>
      </c>
      <c r="S670" s="521"/>
      <c r="T670" s="520"/>
      <c r="U670" s="520"/>
      <c r="V670" s="520"/>
      <c r="W670" s="520"/>
      <c r="X670" s="520"/>
      <c r="Y670" s="269">
        <f t="shared" si="117"/>
        <v>0</v>
      </c>
      <c r="Z670" s="534"/>
      <c r="AA670" s="354">
        <f>IF(ISERROR(VLOOKUP("SAN"&amp;$C670,ESTR_PREC_SP!$A$2:$G$2000,5,FALSE))=TRUE,0,VLOOKUP("SAN"&amp;$C670,ESTR_PREC_SP!$A$2:$G$2000,5,FALSE))</f>
        <v>0</v>
      </c>
      <c r="AB670" s="355"/>
      <c r="AC670" s="520"/>
      <c r="AD670" s="520"/>
      <c r="AE670" s="269">
        <f>+AA670+AD670-AC670</f>
        <v>0</v>
      </c>
      <c r="AF670" s="520"/>
      <c r="AG670" s="520"/>
      <c r="AH670" s="520"/>
      <c r="AI670" s="520"/>
      <c r="AJ670" s="526">
        <f t="shared" si="110"/>
        <v>0</v>
      </c>
      <c r="AK670" s="526">
        <f t="shared" si="111"/>
        <v>0</v>
      </c>
      <c r="AL670" s="520"/>
      <c r="AM670" s="520"/>
    </row>
    <row r="671" spans="2:39" s="204" customFormat="1" x14ac:dyDescent="0.25">
      <c r="B671" s="287" t="s">
        <v>1620</v>
      </c>
      <c r="C671" s="287" t="s">
        <v>1621</v>
      </c>
      <c r="D671" s="274" t="s">
        <v>3763</v>
      </c>
      <c r="E671" s="274"/>
      <c r="F671" s="274"/>
      <c r="G671" s="283"/>
      <c r="H671" s="266"/>
      <c r="I671" s="274"/>
      <c r="J671" s="281"/>
      <c r="K671" s="281"/>
      <c r="L671" s="406" t="s">
        <v>3764</v>
      </c>
      <c r="M671" s="284" t="s">
        <v>2962</v>
      </c>
      <c r="N671" s="269">
        <f t="shared" si="115"/>
        <v>3624273</v>
      </c>
      <c r="O671" s="270">
        <f t="shared" si="116"/>
        <v>2178793</v>
      </c>
      <c r="P671" s="271">
        <f t="shared" si="108"/>
        <v>-1445480</v>
      </c>
      <c r="Q671" s="520"/>
      <c r="R671" s="354">
        <f>IF(ISERROR(VLOOKUP("SAN"&amp;$C671,ESTR_PREC_SP!$A$2:$G$2000,4,FALSE))=TRUE,0,VLOOKUP("SAN"&amp;$C671,ESTR_PREC_SP!$A$2:$G$2000,4,FALSE))</f>
        <v>3624273</v>
      </c>
      <c r="S671" s="521"/>
      <c r="T671" s="520">
        <v>-5752</v>
      </c>
      <c r="U671" s="520">
        <f>4014851+11729+633389+873897+47721</f>
        <v>5581587</v>
      </c>
      <c r="V671" s="520">
        <f>2161701+362018+939636-1763</f>
        <v>3461592</v>
      </c>
      <c r="W671" s="520"/>
      <c r="X671" s="520">
        <v>3559723</v>
      </c>
      <c r="Y671" s="269">
        <f t="shared" si="117"/>
        <v>2178793</v>
      </c>
      <c r="Z671" s="534">
        <f>633389+873897</f>
        <v>1507286</v>
      </c>
      <c r="AA671" s="354">
        <f>IF(ISERROR(VLOOKUP("SAN"&amp;$C671,ESTR_PREC_SP!$A$2:$G$2000,5,FALSE))=TRUE,0,VLOOKUP("SAN"&amp;$C671,ESTR_PREC_SP!$A$2:$G$2000,5,FALSE))</f>
        <v>0</v>
      </c>
      <c r="AB671" s="355"/>
      <c r="AC671" s="520"/>
      <c r="AD671" s="520"/>
      <c r="AE671" s="269">
        <f t="shared" ref="AE671:AE680" si="118">+AA671+AD671-AC671+AB671</f>
        <v>0</v>
      </c>
      <c r="AF671" s="520"/>
      <c r="AG671" s="520"/>
      <c r="AH671" s="520">
        <v>2791</v>
      </c>
      <c r="AI671" s="520">
        <f>138742+21148</f>
        <v>159890</v>
      </c>
      <c r="AJ671" s="526">
        <f t="shared" si="110"/>
        <v>2016112</v>
      </c>
      <c r="AK671" s="526">
        <f t="shared" si="111"/>
        <v>2178793</v>
      </c>
      <c r="AL671" s="520"/>
      <c r="AM671" s="520"/>
    </row>
    <row r="672" spans="2:39" s="204" customFormat="1" x14ac:dyDescent="0.25">
      <c r="B672" s="287" t="s">
        <v>1623</v>
      </c>
      <c r="C672" s="287" t="s">
        <v>1624</v>
      </c>
      <c r="D672" s="274" t="s">
        <v>3765</v>
      </c>
      <c r="E672" s="274"/>
      <c r="F672" s="274"/>
      <c r="G672" s="283"/>
      <c r="H672" s="266"/>
      <c r="I672" s="274"/>
      <c r="J672" s="281"/>
      <c r="K672" s="281"/>
      <c r="L672" s="406" t="s">
        <v>3766</v>
      </c>
      <c r="M672" s="284" t="s">
        <v>2962</v>
      </c>
      <c r="N672" s="269">
        <f t="shared" si="115"/>
        <v>870488</v>
      </c>
      <c r="O672" s="270">
        <f t="shared" si="116"/>
        <v>848251</v>
      </c>
      <c r="P672" s="271">
        <f t="shared" si="108"/>
        <v>-22237</v>
      </c>
      <c r="Q672" s="520"/>
      <c r="R672" s="354">
        <f>IF(ISERROR(VLOOKUP("SAN"&amp;$C672,ESTR_PREC_SP!$A$2:$G$2000,4,FALSE))=TRUE,0,VLOOKUP("SAN"&amp;$C672,ESTR_PREC_SP!$A$2:$G$2000,4,FALSE))</f>
        <v>870488</v>
      </c>
      <c r="S672" s="521"/>
      <c r="T672" s="520">
        <v>-1189</v>
      </c>
      <c r="U672" s="520">
        <f>2195041-99141+343021</f>
        <v>2438921</v>
      </c>
      <c r="V672" s="520">
        <f>581436+268622+20430</f>
        <v>870488</v>
      </c>
      <c r="W672" s="520"/>
      <c r="X672" s="520">
        <f>1609911-20430</f>
        <v>1589481</v>
      </c>
      <c r="Y672" s="269">
        <f t="shared" si="117"/>
        <v>848251</v>
      </c>
      <c r="Z672" s="534">
        <v>343021</v>
      </c>
      <c r="AA672" s="354">
        <f>IF(ISERROR(VLOOKUP("SAN"&amp;$C672,ESTR_PREC_SP!$A$2:$G$2000,5,FALSE))=TRUE,0,VLOOKUP("SAN"&amp;$C672,ESTR_PREC_SP!$A$2:$G$2000,5,FALSE))</f>
        <v>0</v>
      </c>
      <c r="AB672" s="355"/>
      <c r="AC672" s="520"/>
      <c r="AD672" s="520"/>
      <c r="AE672" s="269">
        <f t="shared" si="118"/>
        <v>0</v>
      </c>
      <c r="AF672" s="520"/>
      <c r="AG672" s="520"/>
      <c r="AH672" s="520"/>
      <c r="AI672" s="520"/>
      <c r="AJ672" s="526">
        <f t="shared" si="110"/>
        <v>848251</v>
      </c>
      <c r="AK672" s="526">
        <f t="shared" si="111"/>
        <v>848251</v>
      </c>
      <c r="AL672" s="520"/>
      <c r="AM672" s="520"/>
    </row>
    <row r="673" spans="1:39" s="204" customFormat="1" x14ac:dyDescent="0.25">
      <c r="B673" s="287" t="s">
        <v>1626</v>
      </c>
      <c r="C673" s="287" t="s">
        <v>1627</v>
      </c>
      <c r="D673" s="274" t="s">
        <v>3767</v>
      </c>
      <c r="E673" s="274"/>
      <c r="F673" s="274"/>
      <c r="G673" s="283"/>
      <c r="H673" s="266"/>
      <c r="I673" s="274"/>
      <c r="J673" s="281"/>
      <c r="K673" s="281"/>
      <c r="L673" s="379" t="s">
        <v>1629</v>
      </c>
      <c r="M673" s="284" t="s">
        <v>2962</v>
      </c>
      <c r="N673" s="269">
        <f t="shared" si="115"/>
        <v>0</v>
      </c>
      <c r="O673" s="270">
        <f t="shared" si="116"/>
        <v>0</v>
      </c>
      <c r="P673" s="271">
        <f t="shared" si="108"/>
        <v>0</v>
      </c>
      <c r="Q673" s="520"/>
      <c r="R673" s="354">
        <f>IF(ISERROR(VLOOKUP("SAN"&amp;$C673,ESTR_PREC_SP!$A$2:$G$2000,4,FALSE))=TRUE,0,VLOOKUP("SAN"&amp;$C673,ESTR_PREC_SP!$A$2:$G$2000,4,FALSE))</f>
        <v>0</v>
      </c>
      <c r="S673" s="521"/>
      <c r="T673" s="520"/>
      <c r="U673" s="520"/>
      <c r="V673" s="520"/>
      <c r="W673" s="520"/>
      <c r="X673" s="520"/>
      <c r="Y673" s="269">
        <f t="shared" si="117"/>
        <v>0</v>
      </c>
      <c r="Z673" s="534"/>
      <c r="AA673" s="354">
        <f>IF(ISERROR(VLOOKUP("SAN"&amp;$C673,ESTR_PREC_SP!$A$2:$G$2000,5,FALSE))=TRUE,0,VLOOKUP("SAN"&amp;$C673,ESTR_PREC_SP!$A$2:$G$2000,5,FALSE))</f>
        <v>0</v>
      </c>
      <c r="AB673" s="355"/>
      <c r="AC673" s="520"/>
      <c r="AD673" s="520"/>
      <c r="AE673" s="269">
        <f t="shared" si="118"/>
        <v>0</v>
      </c>
      <c r="AF673" s="520"/>
      <c r="AG673" s="520"/>
      <c r="AH673" s="520"/>
      <c r="AI673" s="520"/>
      <c r="AJ673" s="526">
        <f t="shared" si="110"/>
        <v>0</v>
      </c>
      <c r="AK673" s="526">
        <f t="shared" si="111"/>
        <v>0</v>
      </c>
      <c r="AL673" s="520"/>
      <c r="AM673" s="520"/>
    </row>
    <row r="674" spans="1:39" s="204" customFormat="1" x14ac:dyDescent="0.25">
      <c r="B674" s="287" t="s">
        <v>1630</v>
      </c>
      <c r="C674" s="287" t="s">
        <v>1631</v>
      </c>
      <c r="D674" s="274" t="s">
        <v>3768</v>
      </c>
      <c r="E674" s="274"/>
      <c r="F674" s="274"/>
      <c r="G674" s="283"/>
      <c r="H674" s="266"/>
      <c r="I674" s="274"/>
      <c r="J674" s="281"/>
      <c r="K674" s="281"/>
      <c r="L674" s="379" t="s">
        <v>1633</v>
      </c>
      <c r="M674" s="284" t="s">
        <v>2962</v>
      </c>
      <c r="N674" s="269">
        <f t="shared" si="115"/>
        <v>0</v>
      </c>
      <c r="O674" s="270">
        <f t="shared" si="116"/>
        <v>0</v>
      </c>
      <c r="P674" s="271">
        <f t="shared" si="108"/>
        <v>0</v>
      </c>
      <c r="Q674" s="520"/>
      <c r="R674" s="354">
        <f>IF(ISERROR(VLOOKUP("SAN"&amp;$C674,ESTR_PREC_SP!$A$2:$G$2000,4,FALSE))=TRUE,0,VLOOKUP("SAN"&amp;$C674,ESTR_PREC_SP!$A$2:$G$2000,4,FALSE))</f>
        <v>0</v>
      </c>
      <c r="S674" s="521"/>
      <c r="T674" s="520"/>
      <c r="U674" s="520"/>
      <c r="V674" s="520"/>
      <c r="W674" s="520"/>
      <c r="X674" s="520"/>
      <c r="Y674" s="269">
        <f t="shared" si="117"/>
        <v>0</v>
      </c>
      <c r="Z674" s="534"/>
      <c r="AA674" s="354">
        <f>IF(ISERROR(VLOOKUP("SAN"&amp;$C674,ESTR_PREC_SP!$A$2:$G$2000,5,FALSE))=TRUE,0,VLOOKUP("SAN"&amp;$C674,ESTR_PREC_SP!$A$2:$G$2000,5,FALSE))</f>
        <v>0</v>
      </c>
      <c r="AB674" s="355"/>
      <c r="AC674" s="520"/>
      <c r="AD674" s="520"/>
      <c r="AE674" s="269">
        <f t="shared" si="118"/>
        <v>0</v>
      </c>
      <c r="AF674" s="520"/>
      <c r="AG674" s="520"/>
      <c r="AH674" s="520"/>
      <c r="AI674" s="520"/>
      <c r="AJ674" s="526">
        <f t="shared" si="110"/>
        <v>0</v>
      </c>
      <c r="AK674" s="526">
        <f t="shared" si="111"/>
        <v>0</v>
      </c>
      <c r="AL674" s="520"/>
      <c r="AM674" s="520"/>
    </row>
    <row r="675" spans="1:39" s="204" customFormat="1" x14ac:dyDescent="0.25">
      <c r="B675" s="287" t="s">
        <v>1634</v>
      </c>
      <c r="C675" s="287" t="s">
        <v>1635</v>
      </c>
      <c r="D675" s="274" t="s">
        <v>3769</v>
      </c>
      <c r="E675" s="274"/>
      <c r="F675" s="274"/>
      <c r="G675" s="283"/>
      <c r="H675" s="266"/>
      <c r="I675" s="274"/>
      <c r="J675" s="281"/>
      <c r="K675" s="281"/>
      <c r="L675" s="407" t="s">
        <v>1637</v>
      </c>
      <c r="M675" s="284" t="s">
        <v>2962</v>
      </c>
      <c r="N675" s="269">
        <f t="shared" si="115"/>
        <v>0</v>
      </c>
      <c r="O675" s="270">
        <f t="shared" si="116"/>
        <v>0</v>
      </c>
      <c r="P675" s="408">
        <f t="shared" si="108"/>
        <v>0</v>
      </c>
      <c r="Q675" s="520"/>
      <c r="R675" s="354">
        <f>IF(ISERROR(VLOOKUP("SAN"&amp;$C675,ESTR_PREC_SP!$A$2:$G$2000,4,FALSE))=TRUE,0,VLOOKUP("SAN"&amp;$C675,ESTR_PREC_SP!$A$2:$G$2000,4,FALSE))</f>
        <v>0</v>
      </c>
      <c r="S675" s="521"/>
      <c r="T675" s="520"/>
      <c r="U675" s="520"/>
      <c r="V675" s="520"/>
      <c r="W675" s="520"/>
      <c r="X675" s="520"/>
      <c r="Y675" s="269">
        <f t="shared" si="117"/>
        <v>0</v>
      </c>
      <c r="Z675" s="534"/>
      <c r="AA675" s="354">
        <f>IF(ISERROR(VLOOKUP("SAN"&amp;$C675,ESTR_PREC_SP!$A$2:$G$2000,5,FALSE))=TRUE,0,VLOOKUP("SAN"&amp;$C675,ESTR_PREC_SP!$A$2:$G$2000,5,FALSE))</f>
        <v>0</v>
      </c>
      <c r="AB675" s="355"/>
      <c r="AC675" s="520"/>
      <c r="AD675" s="520"/>
      <c r="AE675" s="269">
        <f t="shared" si="118"/>
        <v>0</v>
      </c>
      <c r="AF675" s="520"/>
      <c r="AG675" s="520"/>
      <c r="AH675" s="520"/>
      <c r="AI675" s="520"/>
      <c r="AJ675" s="526">
        <f t="shared" si="110"/>
        <v>0</v>
      </c>
      <c r="AK675" s="526">
        <f t="shared" si="111"/>
        <v>0</v>
      </c>
      <c r="AL675" s="520"/>
      <c r="AM675" s="520"/>
    </row>
    <row r="676" spans="1:39" s="204" customFormat="1" ht="39" x14ac:dyDescent="0.25">
      <c r="A676" s="535" t="s">
        <v>1394</v>
      </c>
      <c r="B676" s="536" t="s">
        <v>1638</v>
      </c>
      <c r="C676" s="536" t="s">
        <v>1639</v>
      </c>
      <c r="D676" s="536"/>
      <c r="E676" s="536"/>
      <c r="F676" s="536"/>
      <c r="G676" s="536"/>
      <c r="H676" s="536"/>
      <c r="I676" s="536"/>
      <c r="J676" s="536"/>
      <c r="K676" s="536"/>
      <c r="L676" s="536" t="s">
        <v>1642</v>
      </c>
      <c r="M676" s="284" t="s">
        <v>2962</v>
      </c>
      <c r="N676" s="269">
        <f t="shared" si="115"/>
        <v>0</v>
      </c>
      <c r="O676" s="270">
        <f t="shared" si="116"/>
        <v>0</v>
      </c>
      <c r="P676" s="408">
        <f t="shared" si="108"/>
        <v>0</v>
      </c>
      <c r="Q676" s="520"/>
      <c r="R676" s="354">
        <f>IF(ISERROR(VLOOKUP("SAN"&amp;$C676,ESTR_PREC_SP!$A$2:$G$2000,4,FALSE))=TRUE,0,VLOOKUP("SAN"&amp;$C676,ESTR_PREC_SP!$A$2:$G$2000,4,FALSE))</f>
        <v>0</v>
      </c>
      <c r="S676" s="521"/>
      <c r="T676" s="520"/>
      <c r="U676" s="520"/>
      <c r="V676" s="520"/>
      <c r="W676" s="520"/>
      <c r="X676" s="520"/>
      <c r="Y676" s="269">
        <f t="shared" si="117"/>
        <v>0</v>
      </c>
      <c r="Z676" s="534"/>
      <c r="AA676" s="354">
        <f>IF(ISERROR(VLOOKUP("SAN"&amp;$C676,ESTR_PREC_SP!$A$2:$G$2000,5,FALSE))=TRUE,0,VLOOKUP("SAN"&amp;$C676,ESTR_PREC_SP!$A$2:$G$2000,5,FALSE))</f>
        <v>0</v>
      </c>
      <c r="AB676" s="355"/>
      <c r="AC676" s="520"/>
      <c r="AD676" s="520"/>
      <c r="AE676" s="269">
        <f t="shared" si="118"/>
        <v>0</v>
      </c>
      <c r="AF676" s="520"/>
      <c r="AG676" s="520"/>
      <c r="AH676" s="520"/>
      <c r="AI676" s="520"/>
      <c r="AJ676" s="526">
        <f t="shared" si="110"/>
        <v>0</v>
      </c>
      <c r="AK676" s="526">
        <f t="shared" si="111"/>
        <v>0</v>
      </c>
      <c r="AL676" s="520"/>
      <c r="AM676" s="520"/>
    </row>
    <row r="677" spans="1:39" s="204" customFormat="1" x14ac:dyDescent="0.25">
      <c r="B677" s="287" t="s">
        <v>1643</v>
      </c>
      <c r="C677" s="287" t="s">
        <v>1644</v>
      </c>
      <c r="D677" s="274" t="s">
        <v>3770</v>
      </c>
      <c r="E677" s="274"/>
      <c r="F677" s="274"/>
      <c r="G677" s="283"/>
      <c r="H677" s="266"/>
      <c r="I677" s="274"/>
      <c r="J677" s="281"/>
      <c r="K677" s="281"/>
      <c r="L677" s="295" t="s">
        <v>1647</v>
      </c>
      <c r="M677" s="284" t="s">
        <v>2962</v>
      </c>
      <c r="N677" s="269">
        <f t="shared" si="115"/>
        <v>105782</v>
      </c>
      <c r="O677" s="270">
        <f t="shared" si="116"/>
        <v>1057000</v>
      </c>
      <c r="P677" s="271">
        <f t="shared" si="108"/>
        <v>951218</v>
      </c>
      <c r="Q677" s="520"/>
      <c r="R677" s="354">
        <f>IF(ISERROR(VLOOKUP("SAN"&amp;$C677,ESTR_PREC_SP!$A$2:$G$2000,4,FALSE))=TRUE,0,VLOOKUP("SAN"&amp;$C677,ESTR_PREC_SP!$A$2:$G$2000,4,FALSE))</f>
        <v>105782</v>
      </c>
      <c r="S677" s="521"/>
      <c r="T677" s="520">
        <f>5752+5488+1189</f>
        <v>12429</v>
      </c>
      <c r="U677" s="520">
        <f>32422+938660-4208+59695+36414+2</f>
        <v>1062985</v>
      </c>
      <c r="V677" s="520">
        <f>660+37906+82</f>
        <v>38648</v>
      </c>
      <c r="W677" s="520"/>
      <c r="X677" s="520">
        <f>29876+55672</f>
        <v>85548</v>
      </c>
      <c r="Y677" s="269">
        <f t="shared" si="117"/>
        <v>1057000</v>
      </c>
      <c r="Z677" s="534">
        <f>59695+36414</f>
        <v>96109</v>
      </c>
      <c r="AA677" s="354">
        <f>IF(ISERROR(VLOOKUP("SAN"&amp;$C677,ESTR_PREC_SP!$A$2:$G$2000,5,FALSE))=TRUE,0,VLOOKUP("SAN"&amp;$C677,ESTR_PREC_SP!$A$2:$G$2000,5,FALSE))</f>
        <v>0</v>
      </c>
      <c r="AB677" s="355"/>
      <c r="AC677" s="520"/>
      <c r="AD677" s="520"/>
      <c r="AE677" s="269">
        <f t="shared" si="118"/>
        <v>0</v>
      </c>
      <c r="AF677" s="520">
        <f>2224+52157</f>
        <v>54381</v>
      </c>
      <c r="AG677" s="520"/>
      <c r="AH677" s="520">
        <f>9882</f>
        <v>9882</v>
      </c>
      <c r="AI677" s="520">
        <f>104+2769</f>
        <v>2873</v>
      </c>
      <c r="AJ677" s="526">
        <f t="shared" si="110"/>
        <v>989864</v>
      </c>
      <c r="AK677" s="526">
        <f t="shared" si="111"/>
        <v>1057000</v>
      </c>
      <c r="AL677" s="520"/>
      <c r="AM677" s="520"/>
    </row>
    <row r="678" spans="1:39" s="204" customFormat="1" ht="26.25" x14ac:dyDescent="0.25">
      <c r="A678" s="535" t="s">
        <v>1394</v>
      </c>
      <c r="B678" s="536" t="s">
        <v>1648</v>
      </c>
      <c r="C678" s="536" t="s">
        <v>1649</v>
      </c>
      <c r="D678" s="536"/>
      <c r="E678" s="536"/>
      <c r="F678" s="536"/>
      <c r="G678" s="536"/>
      <c r="H678" s="536"/>
      <c r="I678" s="536"/>
      <c r="J678" s="536"/>
      <c r="K678" s="536"/>
      <c r="L678" s="536" t="s">
        <v>1651</v>
      </c>
      <c r="M678" s="284" t="s">
        <v>2962</v>
      </c>
      <c r="N678" s="269">
        <f t="shared" si="115"/>
        <v>0</v>
      </c>
      <c r="O678" s="270">
        <f t="shared" si="116"/>
        <v>0</v>
      </c>
      <c r="P678" s="408">
        <f t="shared" si="108"/>
        <v>0</v>
      </c>
      <c r="Q678" s="520"/>
      <c r="R678" s="354">
        <f>IF(ISERROR(VLOOKUP("SAN"&amp;$C678,ESTR_PREC_SP!$A$2:$G$2000,4,FALSE))=TRUE,0,VLOOKUP("SAN"&amp;$C678,ESTR_PREC_SP!$A$2:$G$2000,4,FALSE))</f>
        <v>0</v>
      </c>
      <c r="S678" s="521"/>
      <c r="T678" s="520"/>
      <c r="U678" s="520"/>
      <c r="V678" s="520"/>
      <c r="W678" s="520"/>
      <c r="X678" s="520"/>
      <c r="Y678" s="269">
        <f t="shared" si="117"/>
        <v>0</v>
      </c>
      <c r="Z678" s="534"/>
      <c r="AA678" s="354">
        <f>IF(ISERROR(VLOOKUP("SAN"&amp;$C678,ESTR_PREC_SP!$A$2:$G$2000,5,FALSE))=TRUE,0,VLOOKUP("SAN"&amp;$C678,ESTR_PREC_SP!$A$2:$G$2000,5,FALSE))</f>
        <v>0</v>
      </c>
      <c r="AB678" s="355"/>
      <c r="AC678" s="520"/>
      <c r="AD678" s="520"/>
      <c r="AE678" s="269">
        <f t="shared" si="118"/>
        <v>0</v>
      </c>
      <c r="AF678" s="520"/>
      <c r="AG678" s="520"/>
      <c r="AH678" s="520"/>
      <c r="AI678" s="520"/>
      <c r="AJ678" s="526">
        <f t="shared" si="110"/>
        <v>0</v>
      </c>
      <c r="AK678" s="526">
        <f t="shared" si="111"/>
        <v>0</v>
      </c>
      <c r="AL678" s="520"/>
      <c r="AM678" s="520"/>
    </row>
    <row r="679" spans="1:39" s="204" customFormat="1" ht="26.25" x14ac:dyDescent="0.25">
      <c r="A679" s="535" t="s">
        <v>1394</v>
      </c>
      <c r="B679" s="536" t="s">
        <v>1652</v>
      </c>
      <c r="C679" s="536" t="s">
        <v>1653</v>
      </c>
      <c r="D679" s="536"/>
      <c r="E679" s="536"/>
      <c r="F679" s="536"/>
      <c r="G679" s="536"/>
      <c r="H679" s="536"/>
      <c r="I679" s="536"/>
      <c r="J679" s="536"/>
      <c r="K679" s="536"/>
      <c r="L679" s="536" t="s">
        <v>1654</v>
      </c>
      <c r="M679" s="284" t="s">
        <v>2962</v>
      </c>
      <c r="N679" s="269">
        <f t="shared" si="115"/>
        <v>0</v>
      </c>
      <c r="O679" s="270">
        <f t="shared" si="116"/>
        <v>0</v>
      </c>
      <c r="P679" s="408">
        <f t="shared" si="108"/>
        <v>0</v>
      </c>
      <c r="Q679" s="520"/>
      <c r="R679" s="354">
        <f>IF(ISERROR(VLOOKUP("SAN"&amp;$C679,ESTR_PREC_SP!$A$2:$G$2000,4,FALSE))=TRUE,0,VLOOKUP("SAN"&amp;$C679,ESTR_PREC_SP!$A$2:$G$2000,4,FALSE))</f>
        <v>0</v>
      </c>
      <c r="S679" s="521"/>
      <c r="T679" s="520"/>
      <c r="U679" s="520"/>
      <c r="V679" s="520"/>
      <c r="W679" s="520"/>
      <c r="X679" s="520"/>
      <c r="Y679" s="269">
        <f t="shared" si="117"/>
        <v>0</v>
      </c>
      <c r="Z679" s="534"/>
      <c r="AA679" s="354">
        <f>IF(ISERROR(VLOOKUP("SAN"&amp;$C679,ESTR_PREC_SP!$A$2:$G$2000,5,FALSE))=TRUE,0,VLOOKUP("SAN"&amp;$C679,ESTR_PREC_SP!$A$2:$G$2000,5,FALSE))</f>
        <v>0</v>
      </c>
      <c r="AB679" s="355"/>
      <c r="AC679" s="520"/>
      <c r="AD679" s="520"/>
      <c r="AE679" s="269">
        <f t="shared" si="118"/>
        <v>0</v>
      </c>
      <c r="AF679" s="520"/>
      <c r="AG679" s="520"/>
      <c r="AH679" s="520"/>
      <c r="AI679" s="520"/>
      <c r="AJ679" s="526">
        <f t="shared" si="110"/>
        <v>0</v>
      </c>
      <c r="AK679" s="526">
        <f t="shared" si="111"/>
        <v>0</v>
      </c>
      <c r="AL679" s="520"/>
      <c r="AM679" s="520"/>
    </row>
    <row r="680" spans="1:39" s="204" customFormat="1" ht="26.25" x14ac:dyDescent="0.25">
      <c r="A680" s="535" t="s">
        <v>1394</v>
      </c>
      <c r="B680" s="536" t="s">
        <v>1655</v>
      </c>
      <c r="C680" s="536" t="s">
        <v>1656</v>
      </c>
      <c r="D680" s="536"/>
      <c r="E680" s="536"/>
      <c r="F680" s="536"/>
      <c r="G680" s="536"/>
      <c r="H680" s="536"/>
      <c r="I680" s="536"/>
      <c r="J680" s="536"/>
      <c r="K680" s="536"/>
      <c r="L680" s="536" t="s">
        <v>1657</v>
      </c>
      <c r="M680" s="284" t="s">
        <v>2962</v>
      </c>
      <c r="N680" s="269">
        <f t="shared" si="115"/>
        <v>0</v>
      </c>
      <c r="O680" s="270">
        <f t="shared" si="116"/>
        <v>0</v>
      </c>
      <c r="P680" s="408">
        <f t="shared" si="108"/>
        <v>0</v>
      </c>
      <c r="Q680" s="520"/>
      <c r="R680" s="354">
        <f>IF(ISERROR(VLOOKUP("SAN"&amp;$C680,ESTR_PREC_SP!$A$2:$G$2000,4,FALSE))=TRUE,0,VLOOKUP("SAN"&amp;$C680,ESTR_PREC_SP!$A$2:$G$2000,4,FALSE))</f>
        <v>0</v>
      </c>
      <c r="S680" s="521"/>
      <c r="T680" s="520"/>
      <c r="U680" s="520"/>
      <c r="V680" s="520"/>
      <c r="W680" s="520"/>
      <c r="X680" s="520"/>
      <c r="Y680" s="269">
        <f t="shared" si="117"/>
        <v>0</v>
      </c>
      <c r="Z680" s="534"/>
      <c r="AA680" s="354">
        <f>IF(ISERROR(VLOOKUP("SAN"&amp;$C680,ESTR_PREC_SP!$A$2:$G$2000,5,FALSE))=TRUE,0,VLOOKUP("SAN"&amp;$C680,ESTR_PREC_SP!$A$2:$G$2000,5,FALSE))</f>
        <v>0</v>
      </c>
      <c r="AB680" s="355"/>
      <c r="AC680" s="520"/>
      <c r="AD680" s="520"/>
      <c r="AE680" s="269">
        <f t="shared" si="118"/>
        <v>0</v>
      </c>
      <c r="AF680" s="520"/>
      <c r="AG680" s="520"/>
      <c r="AH680" s="520"/>
      <c r="AI680" s="520"/>
      <c r="AJ680" s="526">
        <f t="shared" si="110"/>
        <v>0</v>
      </c>
      <c r="AK680" s="526">
        <f t="shared" si="111"/>
        <v>0</v>
      </c>
      <c r="AL680" s="520"/>
      <c r="AM680" s="520"/>
    </row>
    <row r="681" spans="1:39" s="204" customFormat="1" x14ac:dyDescent="0.25">
      <c r="B681" s="211"/>
      <c r="C681" s="211"/>
      <c r="D681" s="211"/>
      <c r="E681" s="211"/>
      <c r="F681" s="211"/>
      <c r="G681" s="211"/>
      <c r="H681" s="353"/>
      <c r="I681" s="211"/>
      <c r="J681" s="211"/>
      <c r="K681" s="211"/>
      <c r="L681" s="232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Y681" s="211"/>
      <c r="Z681" s="211"/>
      <c r="AA681" s="211"/>
      <c r="AB681" s="211"/>
      <c r="AC681" s="211"/>
    </row>
    <row r="682" spans="1:39" s="204" customFormat="1" x14ac:dyDescent="0.25">
      <c r="B682" s="211"/>
      <c r="C682" s="211"/>
      <c r="D682" s="211"/>
      <c r="E682" s="211"/>
      <c r="F682" s="211"/>
      <c r="G682" s="211"/>
      <c r="H682" s="353"/>
      <c r="I682" s="211"/>
      <c r="J682" s="211"/>
      <c r="K682" s="211"/>
      <c r="L682" s="232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Y682" s="211"/>
      <c r="Z682" s="211"/>
      <c r="AA682" s="211"/>
      <c r="AB682" s="211"/>
      <c r="AC682" s="211"/>
    </row>
    <row r="683" spans="1:39" s="204" customFormat="1" x14ac:dyDescent="0.25">
      <c r="B683" s="211"/>
      <c r="C683" s="211"/>
      <c r="D683" s="211"/>
      <c r="E683" s="211"/>
      <c r="F683" s="211"/>
      <c r="G683" s="211"/>
      <c r="H683" s="353"/>
      <c r="I683" s="211"/>
      <c r="J683" s="211"/>
      <c r="K683" s="211"/>
      <c r="L683" s="232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Y683" s="211"/>
      <c r="Z683" s="211"/>
      <c r="AA683" s="211"/>
      <c r="AB683" s="211"/>
      <c r="AC683" s="211"/>
    </row>
    <row r="684" spans="1:39" s="204" customFormat="1" ht="25.5" x14ac:dyDescent="0.25">
      <c r="B684" s="211"/>
      <c r="C684" s="211"/>
      <c r="D684" s="211"/>
      <c r="E684" s="211"/>
      <c r="F684" s="211"/>
      <c r="G684" s="211"/>
      <c r="H684" s="353"/>
      <c r="I684" s="211"/>
      <c r="J684" s="211"/>
      <c r="K684" s="211"/>
      <c r="L684" s="255"/>
      <c r="M684" s="244"/>
      <c r="N684" s="256" t="str">
        <f>N$15</f>
        <v>Valore netto al 31/12/2019</v>
      </c>
      <c r="O684" s="256" t="str">
        <f>O$15</f>
        <v>Valore netto al 31/12/2020</v>
      </c>
      <c r="P684" s="256" t="str">
        <f>P$15</f>
        <v>Variazione</v>
      </c>
      <c r="Q684" s="211"/>
      <c r="R684" s="211"/>
      <c r="S684" s="211"/>
      <c r="T684" s="211"/>
      <c r="U684" s="211"/>
      <c r="V684" s="211"/>
      <c r="Y684" s="211"/>
      <c r="Z684" s="211"/>
      <c r="AA684" s="211"/>
      <c r="AB684" s="211"/>
      <c r="AC684" s="211"/>
    </row>
    <row r="685" spans="1:39" s="204" customFormat="1" ht="27" customHeight="1" x14ac:dyDescent="0.25">
      <c r="B685" s="292" t="s">
        <v>1658</v>
      </c>
      <c r="C685" s="292" t="s">
        <v>1659</v>
      </c>
      <c r="D685" s="247" t="s">
        <v>3771</v>
      </c>
      <c r="E685" s="247"/>
      <c r="F685" s="247"/>
      <c r="G685" s="247"/>
      <c r="H685" s="248"/>
      <c r="I685" s="247"/>
      <c r="J685" s="398"/>
      <c r="K685" s="399"/>
      <c r="L685" s="400" t="s">
        <v>1662</v>
      </c>
      <c r="M685" s="251" t="s">
        <v>2962</v>
      </c>
      <c r="N685" s="410">
        <f>+N689+N692+N693</f>
        <v>0</v>
      </c>
      <c r="O685" s="410">
        <f>+O689+O692+O693</f>
        <v>0</v>
      </c>
      <c r="P685" s="253">
        <f>+O685-N685</f>
        <v>0</v>
      </c>
      <c r="Q685" s="410">
        <f t="shared" ref="Q685:AM685" si="119">+Q689+Q692+Q693</f>
        <v>0</v>
      </c>
      <c r="R685" s="410">
        <f t="shared" si="119"/>
        <v>0</v>
      </c>
      <c r="S685" s="410">
        <f t="shared" si="119"/>
        <v>0</v>
      </c>
      <c r="T685" s="410">
        <f t="shared" si="119"/>
        <v>0</v>
      </c>
      <c r="U685" s="410">
        <f t="shared" si="119"/>
        <v>0</v>
      </c>
      <c r="V685" s="410">
        <f t="shared" si="119"/>
        <v>0</v>
      </c>
      <c r="W685" s="410">
        <f t="shared" si="119"/>
        <v>0</v>
      </c>
      <c r="X685" s="410">
        <f t="shared" si="119"/>
        <v>0</v>
      </c>
      <c r="Y685" s="410">
        <f t="shared" si="119"/>
        <v>0</v>
      </c>
      <c r="Z685" s="410">
        <f t="shared" si="119"/>
        <v>0</v>
      </c>
      <c r="AA685" s="410">
        <f t="shared" si="119"/>
        <v>0</v>
      </c>
      <c r="AB685" s="410">
        <f t="shared" si="119"/>
        <v>0</v>
      </c>
      <c r="AC685" s="410">
        <f t="shared" si="119"/>
        <v>0</v>
      </c>
      <c r="AD685" s="410">
        <f t="shared" si="119"/>
        <v>0</v>
      </c>
      <c r="AE685" s="410">
        <f t="shared" si="119"/>
        <v>0</v>
      </c>
      <c r="AF685" s="410">
        <f t="shared" si="119"/>
        <v>0</v>
      </c>
      <c r="AG685" s="410">
        <f t="shared" si="119"/>
        <v>0</v>
      </c>
      <c r="AH685" s="410">
        <f t="shared" si="119"/>
        <v>0</v>
      </c>
      <c r="AI685" s="410">
        <f t="shared" si="119"/>
        <v>0</v>
      </c>
      <c r="AJ685" s="410">
        <f t="shared" si="119"/>
        <v>0</v>
      </c>
      <c r="AK685" s="410">
        <f t="shared" si="119"/>
        <v>0</v>
      </c>
      <c r="AL685" s="410">
        <f t="shared" si="119"/>
        <v>0</v>
      </c>
      <c r="AM685" s="410">
        <f t="shared" si="119"/>
        <v>0</v>
      </c>
    </row>
    <row r="686" spans="1:39" s="204" customFormat="1" x14ac:dyDescent="0.25">
      <c r="B686" s="216"/>
      <c r="C686" s="216"/>
      <c r="D686" s="226"/>
      <c r="E686" s="226"/>
      <c r="F686" s="226"/>
      <c r="G686" s="226"/>
      <c r="H686" s="227"/>
      <c r="I686" s="226"/>
      <c r="J686" s="226"/>
      <c r="K686" s="226"/>
      <c r="L686" s="403"/>
      <c r="M686" s="278"/>
      <c r="N686" s="279"/>
      <c r="O686" s="279"/>
      <c r="P686" s="404"/>
      <c r="Q686" s="211"/>
      <c r="R686" s="279"/>
      <c r="S686" s="279"/>
      <c r="T686" s="279"/>
      <c r="U686" s="279"/>
      <c r="V686" s="279"/>
      <c r="Y686" s="279"/>
      <c r="Z686" s="211"/>
      <c r="AA686" s="211"/>
      <c r="AB686" s="211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1:39" s="204" customFormat="1" ht="25.5" customHeight="1" x14ac:dyDescent="0.25">
      <c r="B687" s="211"/>
      <c r="C687" s="211"/>
      <c r="D687" s="211"/>
      <c r="E687" s="211"/>
      <c r="F687" s="211"/>
      <c r="G687" s="211"/>
      <c r="H687" s="353"/>
      <c r="I687" s="211"/>
      <c r="J687" s="211"/>
      <c r="K687" s="211"/>
      <c r="L687" s="232"/>
      <c r="M687" s="211"/>
      <c r="N687" s="211"/>
      <c r="O687" s="211"/>
      <c r="P687" s="211"/>
      <c r="Q687" s="211"/>
      <c r="R687" s="211"/>
      <c r="S687" s="902" t="s">
        <v>3495</v>
      </c>
      <c r="T687" s="902"/>
      <c r="U687" s="902"/>
      <c r="V687" s="335" t="s">
        <v>3496</v>
      </c>
      <c r="W687" s="336"/>
      <c r="X687" s="335" t="s">
        <v>3496</v>
      </c>
      <c r="Z687" s="211"/>
      <c r="AA687" s="211"/>
      <c r="AC687" s="285"/>
      <c r="AD687" s="211"/>
      <c r="AE687" s="211"/>
      <c r="AF687" s="904" t="str">
        <f>+AF658</f>
        <v>VALORE NOMINALE DEI CREDITI AL 31/12/ PER ANNO DI FORMAZIONE</v>
      </c>
      <c r="AG687" s="904"/>
      <c r="AH687" s="904"/>
      <c r="AI687" s="904"/>
      <c r="AJ687" s="904"/>
      <c r="AK687" s="905" t="str">
        <f>+AK658</f>
        <v>VALORE NETTO DEI CREDITI AL 31/12/2020 PER SCADENZA</v>
      </c>
      <c r="AL687" s="905"/>
      <c r="AM687" s="905"/>
    </row>
    <row r="688" spans="1:39" s="204" customFormat="1" ht="51.75" customHeight="1" x14ac:dyDescent="0.25">
      <c r="B688" s="260" t="s">
        <v>2968</v>
      </c>
      <c r="C688" s="260" t="s">
        <v>2969</v>
      </c>
      <c r="D688" s="206" t="s">
        <v>72</v>
      </c>
      <c r="E688" s="206"/>
      <c r="F688" s="206"/>
      <c r="G688" s="207"/>
      <c r="H688" s="207"/>
      <c r="I688" s="207"/>
      <c r="J688" s="207" t="s">
        <v>2957</v>
      </c>
      <c r="K688" s="206" t="s">
        <v>82</v>
      </c>
      <c r="L688" s="261" t="s">
        <v>3670</v>
      </c>
      <c r="M688" s="256"/>
      <c r="N688" s="256" t="str">
        <f>N$15</f>
        <v>Valore netto al 31/12/2019</v>
      </c>
      <c r="O688" s="256" t="str">
        <f>O$15</f>
        <v>Valore netto al 31/12/2020</v>
      </c>
      <c r="P688" s="256" t="str">
        <f>P$15</f>
        <v>Variazione</v>
      </c>
      <c r="Q688" s="262" t="s">
        <v>2971</v>
      </c>
      <c r="R688" s="262" t="str">
        <f>+R659</f>
        <v>Valore iniziale LORDO al 31/12/2019</v>
      </c>
      <c r="S688" s="337" t="s">
        <v>2972</v>
      </c>
      <c r="T688" s="337" t="s">
        <v>3497</v>
      </c>
      <c r="U688" s="337" t="s">
        <v>3495</v>
      </c>
      <c r="V688" s="338" t="s">
        <v>3498</v>
      </c>
      <c r="W688" s="262" t="s">
        <v>2975</v>
      </c>
      <c r="X688" s="338" t="s">
        <v>3499</v>
      </c>
      <c r="Y688" s="262" t="str">
        <f>+Y659</f>
        <v>Valore finale LORDO al 31/12/2020</v>
      </c>
      <c r="Z688" s="337" t="str">
        <f>+Z659</f>
        <v>Di cui Fatture da emettere</v>
      </c>
      <c r="AA688" s="262" t="str">
        <f>+AA659</f>
        <v>Fondo svalutazione crediti al 31/12/2019</v>
      </c>
      <c r="AB688" s="262" t="s">
        <v>3500</v>
      </c>
      <c r="AC688" s="262" t="s">
        <v>3501</v>
      </c>
      <c r="AD688" s="262" t="s">
        <v>3502</v>
      </c>
      <c r="AE688" s="262" t="str">
        <f>+AE659</f>
        <v>Fondo svalutazione crediti al 31/12/2020</v>
      </c>
      <c r="AF688" s="339" t="s">
        <v>3503</v>
      </c>
      <c r="AG688" s="339" t="s">
        <v>3504</v>
      </c>
      <c r="AH688" s="339" t="s">
        <v>3505</v>
      </c>
      <c r="AI688" s="339" t="s">
        <v>3506</v>
      </c>
      <c r="AJ688" s="339" t="s">
        <v>3507</v>
      </c>
      <c r="AK688" s="340" t="s">
        <v>3508</v>
      </c>
      <c r="AL688" s="340" t="s">
        <v>3509</v>
      </c>
      <c r="AM688" s="340" t="s">
        <v>3510</v>
      </c>
    </row>
    <row r="689" spans="2:39" s="204" customFormat="1" x14ac:dyDescent="0.25">
      <c r="B689" s="287" t="s">
        <v>1663</v>
      </c>
      <c r="C689" s="287" t="s">
        <v>1664</v>
      </c>
      <c r="D689" s="411" t="s">
        <v>3772</v>
      </c>
      <c r="E689" s="411"/>
      <c r="F689" s="411"/>
      <c r="G689" s="412"/>
      <c r="H689" s="413"/>
      <c r="I689" s="411"/>
      <c r="J689" s="411"/>
      <c r="K689" s="411"/>
      <c r="L689" s="407" t="s">
        <v>1666</v>
      </c>
      <c r="M689" s="284" t="s">
        <v>2962</v>
      </c>
      <c r="N689" s="272">
        <f>+N690+N691</f>
        <v>0</v>
      </c>
      <c r="O689" s="272">
        <f>+O690+O691</f>
        <v>0</v>
      </c>
      <c r="P689" s="378">
        <f>+O689-N689</f>
        <v>0</v>
      </c>
      <c r="Q689" s="272">
        <f t="shared" ref="Q689:AD689" si="120">+Q690+Q691</f>
        <v>0</v>
      </c>
      <c r="R689" s="272">
        <f t="shared" si="120"/>
        <v>0</v>
      </c>
      <c r="S689" s="272">
        <f t="shared" si="120"/>
        <v>0</v>
      </c>
      <c r="T689" s="272">
        <f t="shared" si="120"/>
        <v>0</v>
      </c>
      <c r="U689" s="272">
        <f t="shared" si="120"/>
        <v>0</v>
      </c>
      <c r="V689" s="272">
        <f t="shared" si="120"/>
        <v>0</v>
      </c>
      <c r="W689" s="272">
        <f t="shared" si="120"/>
        <v>0</v>
      </c>
      <c r="X689" s="272">
        <f t="shared" si="120"/>
        <v>0</v>
      </c>
      <c r="Y689" s="272">
        <f t="shared" si="120"/>
        <v>0</v>
      </c>
      <c r="Z689" s="272">
        <f t="shared" si="120"/>
        <v>0</v>
      </c>
      <c r="AA689" s="272">
        <f t="shared" si="120"/>
        <v>0</v>
      </c>
      <c r="AB689" s="272">
        <f t="shared" si="120"/>
        <v>0</v>
      </c>
      <c r="AC689" s="272">
        <f t="shared" si="120"/>
        <v>0</v>
      </c>
      <c r="AD689" s="272">
        <f t="shared" si="120"/>
        <v>0</v>
      </c>
      <c r="AE689" s="269">
        <f>+AA689+AD689-AC689+AB689</f>
        <v>0</v>
      </c>
      <c r="AF689" s="272">
        <f>+AF690+AF691</f>
        <v>0</v>
      </c>
      <c r="AG689" s="272">
        <f>+AG690+AG691</f>
        <v>0</v>
      </c>
      <c r="AH689" s="272">
        <f>+AH690+AH691</f>
        <v>0</v>
      </c>
      <c r="AI689" s="272">
        <f>+AI690+AI691</f>
        <v>0</v>
      </c>
      <c r="AJ689" s="537">
        <f>+Y689-SUM(AF689:AI689)</f>
        <v>0</v>
      </c>
      <c r="AK689" s="537">
        <f>+Y689-AE689-AL689-AM689</f>
        <v>0</v>
      </c>
      <c r="AL689" s="272">
        <f>+AL690+AL691</f>
        <v>0</v>
      </c>
      <c r="AM689" s="272">
        <f>+AM690+AM691</f>
        <v>0</v>
      </c>
    </row>
    <row r="690" spans="2:39" s="204" customFormat="1" x14ac:dyDescent="0.25">
      <c r="B690" s="287" t="s">
        <v>1667</v>
      </c>
      <c r="C690" s="287" t="s">
        <v>1668</v>
      </c>
      <c r="D690" s="411" t="s">
        <v>3773</v>
      </c>
      <c r="E690" s="411"/>
      <c r="F690" s="411"/>
      <c r="G690" s="412"/>
      <c r="H690" s="413"/>
      <c r="I690" s="411"/>
      <c r="J690" s="411"/>
      <c r="K690" s="411"/>
      <c r="L690" s="392" t="s">
        <v>3774</v>
      </c>
      <c r="M690" s="284" t="s">
        <v>2962</v>
      </c>
      <c r="N690" s="269">
        <f>+R690-AA690</f>
        <v>0</v>
      </c>
      <c r="O690" s="270">
        <f>+Y690-AE690</f>
        <v>0</v>
      </c>
      <c r="P690" s="271">
        <f>+O690-N690</f>
        <v>0</v>
      </c>
      <c r="Q690" s="520"/>
      <c r="R690" s="354">
        <f>IF(ISERROR(VLOOKUP("SAN"&amp;$C690,ESTR_PREC_SP!$A$2:$G$2000,4,FALSE))=TRUE,0,VLOOKUP("SAN"&amp;$C690,ESTR_PREC_SP!$A$2:$G$2000,4,FALSE))</f>
        <v>0</v>
      </c>
      <c r="S690" s="521"/>
      <c r="T690" s="520"/>
      <c r="U690" s="520"/>
      <c r="V690" s="520"/>
      <c r="W690" s="520"/>
      <c r="X690" s="520"/>
      <c r="Y690" s="269">
        <f>+R690+S690+T690+U690-V690-X690+W690+Q690</f>
        <v>0</v>
      </c>
      <c r="Z690" s="534"/>
      <c r="AA690" s="354">
        <f>IF(ISERROR(VLOOKUP("SAN"&amp;$C690,ESTR_PREC_SP!$A$2:$G$2000,5,FALSE))=TRUE,0,VLOOKUP("SAN"&amp;$C690,ESTR_PREC_SP!$A$2:$G$2000,5,FALSE))</f>
        <v>0</v>
      </c>
      <c r="AB690" s="355"/>
      <c r="AC690" s="520"/>
      <c r="AD690" s="520"/>
      <c r="AE690" s="269">
        <f>+AA690+AD690-AC690+AB690</f>
        <v>0</v>
      </c>
      <c r="AF690" s="520"/>
      <c r="AG690" s="520"/>
      <c r="AH690" s="520"/>
      <c r="AI690" s="520"/>
      <c r="AJ690" s="526">
        <f>+Y690-SUM(AF690:AI690)</f>
        <v>0</v>
      </c>
      <c r="AK690" s="526">
        <f>+Y690-AE690-AL690-AM690</f>
        <v>0</v>
      </c>
      <c r="AL690" s="520"/>
      <c r="AM690" s="520"/>
    </row>
    <row r="691" spans="2:39" s="204" customFormat="1" x14ac:dyDescent="0.25">
      <c r="B691" s="287" t="s">
        <v>1670</v>
      </c>
      <c r="C691" s="287" t="s">
        <v>1671</v>
      </c>
      <c r="D691" s="411" t="s">
        <v>3775</v>
      </c>
      <c r="E691" s="411"/>
      <c r="F691" s="411"/>
      <c r="G691" s="412"/>
      <c r="H691" s="413"/>
      <c r="I691" s="411"/>
      <c r="J691" s="411"/>
      <c r="K691" s="411"/>
      <c r="L691" s="414" t="s">
        <v>3776</v>
      </c>
      <c r="M691" s="284" t="s">
        <v>2962</v>
      </c>
      <c r="N691" s="269">
        <f>+R691-AA691</f>
        <v>0</v>
      </c>
      <c r="O691" s="270">
        <f>+Y691-AE691</f>
        <v>0</v>
      </c>
      <c r="P691" s="271">
        <f>+O691-N691</f>
        <v>0</v>
      </c>
      <c r="Q691" s="520"/>
      <c r="R691" s="354">
        <f>IF(ISERROR(VLOOKUP("SAN"&amp;$C691,ESTR_PREC_SP!$A$2:$G$2000,4,FALSE))=TRUE,0,VLOOKUP("SAN"&amp;$C691,ESTR_PREC_SP!$A$2:$G$2000,4,FALSE))</f>
        <v>0</v>
      </c>
      <c r="S691" s="521"/>
      <c r="T691" s="520"/>
      <c r="U691" s="520"/>
      <c r="V691" s="520"/>
      <c r="W691" s="520"/>
      <c r="X691" s="520"/>
      <c r="Y691" s="269">
        <f>+R691+S691+T691+U691-V691-X691+W691+Q691</f>
        <v>0</v>
      </c>
      <c r="Z691" s="534"/>
      <c r="AA691" s="354">
        <f>IF(ISERROR(VLOOKUP("SAN"&amp;$C691,ESTR_PREC_SP!$A$2:$G$2000,5,FALSE))=TRUE,0,VLOOKUP("SAN"&amp;$C691,ESTR_PREC_SP!$A$2:$G$2000,5,FALSE))</f>
        <v>0</v>
      </c>
      <c r="AB691" s="355"/>
      <c r="AC691" s="520"/>
      <c r="AD691" s="520"/>
      <c r="AE691" s="269">
        <f>+AA691+AD691-AC691+AB691</f>
        <v>0</v>
      </c>
      <c r="AF691" s="520"/>
      <c r="AG691" s="520"/>
      <c r="AH691" s="520"/>
      <c r="AI691" s="520"/>
      <c r="AJ691" s="526">
        <f>+Y691-SUM(AF691:AI691)</f>
        <v>0</v>
      </c>
      <c r="AK691" s="526">
        <f>+Y691-AE691-AL691-AM691</f>
        <v>0</v>
      </c>
      <c r="AL691" s="520"/>
      <c r="AM691" s="520"/>
    </row>
    <row r="692" spans="2:39" s="204" customFormat="1" x14ac:dyDescent="0.25">
      <c r="B692" s="287" t="s">
        <v>1673</v>
      </c>
      <c r="C692" s="287" t="s">
        <v>1674</v>
      </c>
      <c r="D692" s="411" t="s">
        <v>3777</v>
      </c>
      <c r="E692" s="411"/>
      <c r="F692" s="411"/>
      <c r="G692" s="412"/>
      <c r="H692" s="413"/>
      <c r="I692" s="411"/>
      <c r="J692" s="411"/>
      <c r="K692" s="411"/>
      <c r="L692" s="287" t="s">
        <v>1676</v>
      </c>
      <c r="M692" s="284" t="s">
        <v>2962</v>
      </c>
      <c r="N692" s="269">
        <f>+R692-AA692</f>
        <v>0</v>
      </c>
      <c r="O692" s="270">
        <f>+Y692-AE692</f>
        <v>0</v>
      </c>
      <c r="P692" s="271">
        <f>+O692-N692</f>
        <v>0</v>
      </c>
      <c r="Q692" s="520"/>
      <c r="R692" s="354">
        <f>IF(ISERROR(VLOOKUP("SAN"&amp;$C692,ESTR_PREC_SP!$A$2:$G$2000,4,FALSE))=TRUE,0,VLOOKUP("SAN"&amp;$C692,ESTR_PREC_SP!$A$2:$G$2000,4,FALSE))</f>
        <v>0</v>
      </c>
      <c r="S692" s="521"/>
      <c r="T692" s="520"/>
      <c r="U692" s="520"/>
      <c r="V692" s="520"/>
      <c r="W692" s="520"/>
      <c r="X692" s="520"/>
      <c r="Y692" s="269">
        <f>+R692+S692+T692+U692-V692-X692+W692+Q692</f>
        <v>0</v>
      </c>
      <c r="Z692" s="534"/>
      <c r="AA692" s="354">
        <f>IF(ISERROR(VLOOKUP("SAN"&amp;$C692,ESTR_PREC_SP!$A$2:$G$2000,5,FALSE))=TRUE,0,VLOOKUP("SAN"&amp;$C692,ESTR_PREC_SP!$A$2:$G$2000,5,FALSE))</f>
        <v>0</v>
      </c>
      <c r="AB692" s="355"/>
      <c r="AC692" s="520"/>
      <c r="AD692" s="520"/>
      <c r="AE692" s="269">
        <f>+AA692+AD692-AC692+AB692</f>
        <v>0</v>
      </c>
      <c r="AF692" s="520"/>
      <c r="AG692" s="520"/>
      <c r="AH692" s="520"/>
      <c r="AI692" s="520"/>
      <c r="AJ692" s="526">
        <f>+Y692-SUM(AF692:AI692)</f>
        <v>0</v>
      </c>
      <c r="AK692" s="526">
        <f>+Y692-AE692-AL692-AM692</f>
        <v>0</v>
      </c>
      <c r="AL692" s="520"/>
      <c r="AM692" s="520"/>
    </row>
    <row r="693" spans="2:39" s="204" customFormat="1" x14ac:dyDescent="0.25">
      <c r="B693" s="287" t="s">
        <v>1677</v>
      </c>
      <c r="C693" s="287" t="s">
        <v>1678</v>
      </c>
      <c r="D693" s="411" t="s">
        <v>3778</v>
      </c>
      <c r="E693" s="411"/>
      <c r="F693" s="411"/>
      <c r="G693" s="412"/>
      <c r="H693" s="413"/>
      <c r="I693" s="411"/>
      <c r="J693" s="411"/>
      <c r="K693" s="411"/>
      <c r="L693" s="287" t="s">
        <v>1680</v>
      </c>
      <c r="M693" s="284" t="s">
        <v>2962</v>
      </c>
      <c r="N693" s="269">
        <f>+R693-AA693</f>
        <v>0</v>
      </c>
      <c r="O693" s="270">
        <f>+Y693-AE693</f>
        <v>0</v>
      </c>
      <c r="P693" s="271">
        <f>+O693-N693</f>
        <v>0</v>
      </c>
      <c r="Q693" s="520"/>
      <c r="R693" s="354">
        <f>IF(ISERROR(VLOOKUP("SAN"&amp;$C693,ESTR_PREC_SP!$A$2:$G$2000,4,FALSE))=TRUE,0,VLOOKUP("SAN"&amp;$C693,ESTR_PREC_SP!$A$2:$G$2000,4,FALSE))</f>
        <v>0</v>
      </c>
      <c r="S693" s="521"/>
      <c r="T693" s="520"/>
      <c r="U693" s="520"/>
      <c r="V693" s="520"/>
      <c r="W693" s="520"/>
      <c r="X693" s="520"/>
      <c r="Y693" s="269">
        <f>+R693+S693+T693+U693-V693-X693+W693+Q693</f>
        <v>0</v>
      </c>
      <c r="Z693" s="534"/>
      <c r="AA693" s="354">
        <f>IF(ISERROR(VLOOKUP("SAN"&amp;$C693,ESTR_PREC_SP!$A$2:$G$2000,5,FALSE))=TRUE,0,VLOOKUP("SAN"&amp;$C693,ESTR_PREC_SP!$A$2:$G$2000,5,FALSE))</f>
        <v>0</v>
      </c>
      <c r="AB693" s="355"/>
      <c r="AC693" s="520"/>
      <c r="AD693" s="520"/>
      <c r="AE693" s="269">
        <f>+AA693+AD693-AC693+AB693</f>
        <v>0</v>
      </c>
      <c r="AF693" s="520"/>
      <c r="AG693" s="520"/>
      <c r="AH693" s="520"/>
      <c r="AI693" s="520"/>
      <c r="AJ693" s="526">
        <f>+Y693-SUM(AF693:AI693)</f>
        <v>0</v>
      </c>
      <c r="AK693" s="526">
        <f>+Y693-AE693-AL693-AM693</f>
        <v>0</v>
      </c>
      <c r="AL693" s="520"/>
      <c r="AM693" s="520"/>
    </row>
    <row r="694" spans="2:39" s="204" customFormat="1" x14ac:dyDescent="0.25"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</row>
    <row r="695" spans="2:39" s="204" customFormat="1" ht="25.5" customHeight="1" x14ac:dyDescent="0.25">
      <c r="B695" s="211"/>
      <c r="C695" s="211"/>
      <c r="D695" s="211"/>
      <c r="E695" s="211"/>
      <c r="F695" s="211"/>
      <c r="G695" s="211"/>
      <c r="H695" s="353"/>
      <c r="I695" s="211"/>
      <c r="J695" s="211"/>
      <c r="K695" s="211"/>
      <c r="L695" s="232"/>
      <c r="M695" s="211"/>
      <c r="N695" s="211"/>
      <c r="O695" s="211"/>
      <c r="P695" s="211"/>
      <c r="Q695" s="211"/>
      <c r="R695" s="211"/>
      <c r="S695" s="910" t="s">
        <v>3495</v>
      </c>
      <c r="T695" s="910"/>
      <c r="U695" s="910"/>
      <c r="V695" s="335" t="s">
        <v>3496</v>
      </c>
      <c r="W695" s="336"/>
      <c r="X695" s="335" t="s">
        <v>3496</v>
      </c>
      <c r="Z695" s="211"/>
      <c r="AA695" s="211"/>
      <c r="AC695" s="285"/>
      <c r="AD695" s="211"/>
      <c r="AE695" s="211"/>
      <c r="AF695" s="904" t="str">
        <f>+AF687</f>
        <v>VALORE NOMINALE DEI CREDITI AL 31/12/ PER ANNO DI FORMAZIONE</v>
      </c>
      <c r="AG695" s="904"/>
      <c r="AH695" s="904"/>
      <c r="AI695" s="904"/>
      <c r="AJ695" s="904"/>
      <c r="AK695" s="905" t="str">
        <f>+AK687</f>
        <v>VALORE NETTO DEI CREDITI AL 31/12/2020 PER SCADENZA</v>
      </c>
      <c r="AL695" s="905"/>
      <c r="AM695" s="905"/>
    </row>
    <row r="696" spans="2:39" s="204" customFormat="1" ht="51" x14ac:dyDescent="0.25">
      <c r="B696" s="211"/>
      <c r="C696" s="211"/>
      <c r="D696" s="211"/>
      <c r="E696" s="211"/>
      <c r="F696" s="211"/>
      <c r="G696" s="211"/>
      <c r="H696" s="353"/>
      <c r="I696" s="211"/>
      <c r="J696" s="211"/>
      <c r="K696" s="211"/>
      <c r="L696" s="255"/>
      <c r="M696" s="244"/>
      <c r="N696" s="256" t="str">
        <f>N$15</f>
        <v>Valore netto al 31/12/2019</v>
      </c>
      <c r="O696" s="256" t="str">
        <f>O$15</f>
        <v>Valore netto al 31/12/2020</v>
      </c>
      <c r="P696" s="256" t="str">
        <f>P$15</f>
        <v>Variazione</v>
      </c>
      <c r="Q696" s="262" t="s">
        <v>2971</v>
      </c>
      <c r="R696" s="262" t="str">
        <f>+R688</f>
        <v>Valore iniziale LORDO al 31/12/2019</v>
      </c>
      <c r="S696" s="337" t="s">
        <v>2972</v>
      </c>
      <c r="T696" s="337" t="s">
        <v>3497</v>
      </c>
      <c r="U696" s="337" t="s">
        <v>3495</v>
      </c>
      <c r="V696" s="338" t="s">
        <v>3498</v>
      </c>
      <c r="W696" s="262" t="s">
        <v>2975</v>
      </c>
      <c r="X696" s="338" t="s">
        <v>3499</v>
      </c>
      <c r="Y696" s="262" t="str">
        <f>+Y688</f>
        <v>Valore finale LORDO al 31/12/2020</v>
      </c>
      <c r="Z696" s="337" t="str">
        <f>+Z688</f>
        <v>Di cui Fatture da emettere</v>
      </c>
      <c r="AA696" s="262" t="str">
        <f>+AA688</f>
        <v>Fondo svalutazione crediti al 31/12/2019</v>
      </c>
      <c r="AB696" s="262" t="s">
        <v>3500</v>
      </c>
      <c r="AC696" s="262" t="s">
        <v>3501</v>
      </c>
      <c r="AD696" s="262" t="s">
        <v>3502</v>
      </c>
      <c r="AE696" s="262" t="str">
        <f>+AE688</f>
        <v>Fondo svalutazione crediti al 31/12/2020</v>
      </c>
      <c r="AF696" s="339" t="s">
        <v>3503</v>
      </c>
      <c r="AG696" s="339" t="s">
        <v>3504</v>
      </c>
      <c r="AH696" s="339" t="s">
        <v>3505</v>
      </c>
      <c r="AI696" s="339" t="s">
        <v>3506</v>
      </c>
      <c r="AJ696" s="339" t="s">
        <v>3507</v>
      </c>
      <c r="AK696" s="340" t="s">
        <v>3508</v>
      </c>
      <c r="AL696" s="340" t="s">
        <v>3509</v>
      </c>
      <c r="AM696" s="340" t="s">
        <v>3510</v>
      </c>
    </row>
    <row r="697" spans="2:39" s="204" customFormat="1" x14ac:dyDescent="0.25">
      <c r="B697" s="292" t="s">
        <v>1681</v>
      </c>
      <c r="C697" s="292" t="s">
        <v>1682</v>
      </c>
      <c r="D697" s="247" t="s">
        <v>3779</v>
      </c>
      <c r="E697" s="247"/>
      <c r="F697" s="247"/>
      <c r="G697" s="247"/>
      <c r="H697" s="248"/>
      <c r="I697" s="247"/>
      <c r="J697" s="398"/>
      <c r="K697" s="399"/>
      <c r="L697" s="400" t="s">
        <v>2856</v>
      </c>
      <c r="M697" s="251" t="s">
        <v>2962</v>
      </c>
      <c r="N697" s="401">
        <f>+R697-AA697</f>
        <v>0</v>
      </c>
      <c r="O697" s="270">
        <f>+Y697-AE697</f>
        <v>1087</v>
      </c>
      <c r="P697" s="253">
        <f>+O697-N697</f>
        <v>1087</v>
      </c>
      <c r="Q697" s="520"/>
      <c r="R697" s="354">
        <f>IF(ISERROR(VLOOKUP("SAN"&amp;$C697,ESTR_PREC_SP!$A$2:$G$2000,4,FALSE))=TRUE,0,VLOOKUP("SAN"&amp;$C697,ESTR_PREC_SP!$A$2:$G$2000,4,FALSE))</f>
        <v>0</v>
      </c>
      <c r="S697" s="521"/>
      <c r="T697" s="520"/>
      <c r="U697" s="520">
        <f>220911</f>
        <v>220911</v>
      </c>
      <c r="V697" s="520"/>
      <c r="W697" s="520"/>
      <c r="X697" s="520">
        <v>219824</v>
      </c>
      <c r="Y697" s="269">
        <f>+R697+S697+T697+U697-V697-X697+W697+Q697</f>
        <v>1087</v>
      </c>
      <c r="Z697" s="351"/>
      <c r="AA697" s="354">
        <f>IF(ISERROR(VLOOKUP("SAN"&amp;$C697,ESTR_PREC_SP!$A$2:$G$2000,5,FALSE))=TRUE,0,VLOOKUP("SAN"&amp;$C697,ESTR_PREC_SP!$A$2:$G$2000,5,FALSE))</f>
        <v>0</v>
      </c>
      <c r="AB697" s="355"/>
      <c r="AC697" s="520"/>
      <c r="AD697" s="520"/>
      <c r="AE697" s="269">
        <f>+AA697+AD697-AC697+AB697</f>
        <v>0</v>
      </c>
      <c r="AF697" s="520"/>
      <c r="AG697" s="520"/>
      <c r="AH697" s="520"/>
      <c r="AI697" s="520"/>
      <c r="AJ697" s="526">
        <f>+Y697-SUM(AF697:AI697)</f>
        <v>1087</v>
      </c>
      <c r="AK697" s="526">
        <f>+Y697-AE697-AL697-AM697</f>
        <v>1087</v>
      </c>
      <c r="AL697" s="520"/>
      <c r="AM697" s="520"/>
    </row>
    <row r="698" spans="2:39" s="204" customFormat="1" x14ac:dyDescent="0.25"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</row>
    <row r="699" spans="2:39" s="204" customFormat="1" x14ac:dyDescent="0.25"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</row>
    <row r="700" spans="2:39" s="204" customFormat="1" x14ac:dyDescent="0.25">
      <c r="B700" s="211"/>
      <c r="C700" s="211"/>
      <c r="D700" s="211"/>
      <c r="E700" s="211"/>
      <c r="F700" s="211"/>
      <c r="G700" s="211"/>
      <c r="H700" s="353"/>
      <c r="I700" s="211"/>
      <c r="J700" s="211"/>
      <c r="K700" s="211"/>
      <c r="L700" s="232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Y700" s="211"/>
      <c r="Z700" s="211"/>
      <c r="AA700" s="211"/>
      <c r="AB700" s="211"/>
      <c r="AC700" s="211"/>
    </row>
    <row r="701" spans="2:39" s="204" customFormat="1" ht="25.5" x14ac:dyDescent="0.25">
      <c r="B701" s="211"/>
      <c r="C701" s="211"/>
      <c r="D701" s="211"/>
      <c r="E701" s="211"/>
      <c r="F701" s="211"/>
      <c r="G701" s="211"/>
      <c r="H701" s="353"/>
      <c r="I701" s="211"/>
      <c r="J701" s="211"/>
      <c r="K701" s="211"/>
      <c r="L701" s="255"/>
      <c r="M701" s="244"/>
      <c r="N701" s="256" t="str">
        <f>N$15</f>
        <v>Valore netto al 31/12/2019</v>
      </c>
      <c r="O701" s="256" t="str">
        <f>O$15</f>
        <v>Valore netto al 31/12/2020</v>
      </c>
      <c r="P701" s="256" t="str">
        <f>P$15</f>
        <v>Variazione</v>
      </c>
      <c r="Q701" s="211"/>
      <c r="R701" s="211"/>
      <c r="S701" s="211"/>
      <c r="T701" s="211"/>
      <c r="U701" s="211"/>
      <c r="V701" s="211"/>
      <c r="Y701" s="211"/>
      <c r="Z701" s="211"/>
      <c r="AA701" s="211"/>
      <c r="AB701" s="211"/>
      <c r="AC701" s="211"/>
    </row>
    <row r="702" spans="2:39" s="204" customFormat="1" x14ac:dyDescent="0.25">
      <c r="B702" s="292" t="s">
        <v>1687</v>
      </c>
      <c r="C702" s="292" t="s">
        <v>1688</v>
      </c>
      <c r="D702" s="247" t="s">
        <v>3780</v>
      </c>
      <c r="E702" s="247"/>
      <c r="F702" s="247"/>
      <c r="G702" s="247"/>
      <c r="H702" s="248"/>
      <c r="I702" s="247"/>
      <c r="J702" s="398"/>
      <c r="K702" s="399"/>
      <c r="L702" s="400" t="s">
        <v>1690</v>
      </c>
      <c r="M702" s="251" t="s">
        <v>2962</v>
      </c>
      <c r="N702" s="410">
        <f>+N707+N708+N709+N710+N711+N712+N722</f>
        <v>3075665</v>
      </c>
      <c r="O702" s="410">
        <f>+O707+O708+O709+O710+O711+O712+O722</f>
        <v>3236937</v>
      </c>
      <c r="P702" s="253">
        <f>+O702-N702</f>
        <v>161272</v>
      </c>
      <c r="Q702" s="410">
        <f t="shared" ref="Q702:AM702" si="121">+Q707+Q708+Q709+Q710+Q711+Q712+Q722</f>
        <v>0</v>
      </c>
      <c r="R702" s="410">
        <f t="shared" si="121"/>
        <v>3143156</v>
      </c>
      <c r="S702" s="410">
        <f t="shared" si="121"/>
        <v>0</v>
      </c>
      <c r="T702" s="410">
        <f t="shared" si="121"/>
        <v>0</v>
      </c>
      <c r="U702" s="410">
        <f t="shared" si="121"/>
        <v>11822531</v>
      </c>
      <c r="V702" s="410">
        <f t="shared" si="121"/>
        <v>2333966</v>
      </c>
      <c r="W702" s="410">
        <f t="shared" si="121"/>
        <v>0</v>
      </c>
      <c r="X702" s="410">
        <f t="shared" si="121"/>
        <v>9282260</v>
      </c>
      <c r="Y702" s="410">
        <f t="shared" si="121"/>
        <v>3349461</v>
      </c>
      <c r="Z702" s="410">
        <f t="shared" si="121"/>
        <v>652187</v>
      </c>
      <c r="AA702" s="410">
        <f t="shared" si="121"/>
        <v>67491</v>
      </c>
      <c r="AB702" s="410">
        <f t="shared" si="121"/>
        <v>0</v>
      </c>
      <c r="AC702" s="410">
        <f t="shared" si="121"/>
        <v>6967</v>
      </c>
      <c r="AD702" s="410">
        <f t="shared" si="121"/>
        <v>52000</v>
      </c>
      <c r="AE702" s="410">
        <f t="shared" si="121"/>
        <v>112524</v>
      </c>
      <c r="AF702" s="410">
        <f t="shared" si="121"/>
        <v>99003</v>
      </c>
      <c r="AG702" s="410">
        <f t="shared" si="121"/>
        <v>29031</v>
      </c>
      <c r="AH702" s="410">
        <f t="shared" si="121"/>
        <v>52538</v>
      </c>
      <c r="AI702" s="410">
        <f t="shared" si="121"/>
        <v>390904</v>
      </c>
      <c r="AJ702" s="410">
        <f t="shared" si="121"/>
        <v>2777985</v>
      </c>
      <c r="AK702" s="410">
        <f t="shared" si="121"/>
        <v>3236937</v>
      </c>
      <c r="AL702" s="410">
        <f t="shared" si="121"/>
        <v>0</v>
      </c>
      <c r="AM702" s="410">
        <f t="shared" si="121"/>
        <v>0</v>
      </c>
    </row>
    <row r="703" spans="2:39" s="204" customFormat="1" ht="15" customHeight="1" x14ac:dyDescent="0.25">
      <c r="B703" s="216"/>
      <c r="C703" s="216"/>
      <c r="D703" s="226"/>
      <c r="E703" s="226"/>
      <c r="F703" s="226"/>
      <c r="G703" s="226"/>
      <c r="H703" s="227"/>
      <c r="I703" s="226"/>
      <c r="J703" s="226"/>
      <c r="K703" s="226"/>
      <c r="L703" s="403"/>
      <c r="M703" s="278"/>
      <c r="N703" s="279"/>
      <c r="O703" s="279"/>
      <c r="P703" s="404"/>
      <c r="Q703" s="211"/>
      <c r="R703" s="279"/>
      <c r="S703" s="279"/>
      <c r="T703" s="279"/>
      <c r="U703" s="279"/>
      <c r="V703" s="279"/>
      <c r="Y703" s="279"/>
      <c r="Z703" s="211"/>
      <c r="AA703" s="211"/>
      <c r="AB703" s="211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39" s="204" customFormat="1" ht="26.25" customHeight="1" x14ac:dyDescent="0.25">
      <c r="B704" s="211"/>
      <c r="C704" s="211"/>
      <c r="D704" s="211"/>
      <c r="E704" s="211"/>
      <c r="F704" s="211"/>
      <c r="G704" s="211"/>
      <c r="H704" s="353"/>
      <c r="I704" s="211"/>
      <c r="J704" s="211"/>
      <c r="K704" s="211"/>
      <c r="L704" s="232"/>
      <c r="M704" s="211"/>
      <c r="N704" s="211"/>
      <c r="O704" s="211"/>
      <c r="P704" s="211"/>
      <c r="Q704" s="211"/>
      <c r="R704" s="211"/>
      <c r="S704" s="910" t="s">
        <v>3495</v>
      </c>
      <c r="T704" s="910"/>
      <c r="U704" s="910"/>
      <c r="V704" s="335" t="s">
        <v>3496</v>
      </c>
      <c r="W704" s="336"/>
      <c r="X704" s="335" t="s">
        <v>3496</v>
      </c>
      <c r="Z704" s="211"/>
      <c r="AA704" s="211"/>
      <c r="AC704" s="285"/>
      <c r="AD704" s="211"/>
      <c r="AE704" s="211"/>
      <c r="AF704" s="904" t="str">
        <f>+AF695</f>
        <v>VALORE NOMINALE DEI CREDITI AL 31/12/ PER ANNO DI FORMAZIONE</v>
      </c>
      <c r="AG704" s="904"/>
      <c r="AH704" s="904"/>
      <c r="AI704" s="904"/>
      <c r="AJ704" s="904"/>
      <c r="AK704" s="905" t="str">
        <f>+AK695</f>
        <v>VALORE NETTO DEI CREDITI AL 31/12/2020 PER SCADENZA</v>
      </c>
      <c r="AL704" s="905"/>
      <c r="AM704" s="905"/>
    </row>
    <row r="705" spans="2:39" s="204" customFormat="1" ht="51.75" customHeight="1" x14ac:dyDescent="0.25">
      <c r="B705" s="260" t="s">
        <v>2968</v>
      </c>
      <c r="C705" s="260" t="s">
        <v>2969</v>
      </c>
      <c r="D705" s="206" t="s">
        <v>72</v>
      </c>
      <c r="E705" s="206"/>
      <c r="F705" s="206"/>
      <c r="G705" s="207"/>
      <c r="H705" s="207"/>
      <c r="I705" s="207"/>
      <c r="J705" s="207" t="s">
        <v>2957</v>
      </c>
      <c r="K705" s="206" t="s">
        <v>82</v>
      </c>
      <c r="L705" s="261" t="s">
        <v>3670</v>
      </c>
      <c r="M705" s="256"/>
      <c r="N705" s="256" t="str">
        <f>N$15</f>
        <v>Valore netto al 31/12/2019</v>
      </c>
      <c r="O705" s="256" t="str">
        <f>O$15</f>
        <v>Valore netto al 31/12/2020</v>
      </c>
      <c r="P705" s="256" t="str">
        <f>P$15</f>
        <v>Variazione</v>
      </c>
      <c r="Q705" s="262" t="s">
        <v>2971</v>
      </c>
      <c r="R705" s="262" t="str">
        <f>+R696</f>
        <v>Valore iniziale LORDO al 31/12/2019</v>
      </c>
      <c r="S705" s="337" t="s">
        <v>2972</v>
      </c>
      <c r="T705" s="337" t="s">
        <v>3497</v>
      </c>
      <c r="U705" s="337" t="s">
        <v>3495</v>
      </c>
      <c r="V705" s="338" t="s">
        <v>3498</v>
      </c>
      <c r="W705" s="262" t="s">
        <v>2975</v>
      </c>
      <c r="X705" s="338" t="s">
        <v>3499</v>
      </c>
      <c r="Y705" s="262" t="str">
        <f>+Y696</f>
        <v>Valore finale LORDO al 31/12/2020</v>
      </c>
      <c r="Z705" s="337" t="str">
        <f>+Z696</f>
        <v>Di cui Fatture da emettere</v>
      </c>
      <c r="AA705" s="262" t="str">
        <f>+AA696</f>
        <v>Fondo svalutazione crediti al 31/12/2019</v>
      </c>
      <c r="AB705" s="262" t="s">
        <v>3500</v>
      </c>
      <c r="AC705" s="262" t="s">
        <v>3501</v>
      </c>
      <c r="AD705" s="262" t="s">
        <v>3502</v>
      </c>
      <c r="AE705" s="262" t="str">
        <f>+AE696</f>
        <v>Fondo svalutazione crediti al 31/12/2020</v>
      </c>
      <c r="AF705" s="339" t="s">
        <v>3503</v>
      </c>
      <c r="AG705" s="339" t="s">
        <v>3504</v>
      </c>
      <c r="AH705" s="339" t="s">
        <v>3505</v>
      </c>
      <c r="AI705" s="339" t="s">
        <v>3506</v>
      </c>
      <c r="AJ705" s="339" t="s">
        <v>3507</v>
      </c>
      <c r="AK705" s="340" t="s">
        <v>3508</v>
      </c>
      <c r="AL705" s="340" t="s">
        <v>3509</v>
      </c>
      <c r="AM705" s="340" t="s">
        <v>3510</v>
      </c>
    </row>
    <row r="706" spans="2:39" s="204" customFormat="1" x14ac:dyDescent="0.25">
      <c r="B706" s="287" t="s">
        <v>1691</v>
      </c>
      <c r="C706" s="287" t="s">
        <v>1692</v>
      </c>
      <c r="D706" s="274" t="s">
        <v>3781</v>
      </c>
      <c r="E706" s="274"/>
      <c r="F706" s="274"/>
      <c r="G706" s="283"/>
      <c r="H706" s="266"/>
      <c r="I706" s="274"/>
      <c r="J706" s="281"/>
      <c r="K706" s="281"/>
      <c r="L706" s="295" t="s">
        <v>1693</v>
      </c>
      <c r="M706" s="284" t="s">
        <v>2962</v>
      </c>
      <c r="N706" s="272">
        <f>N707+N708</f>
        <v>2137308</v>
      </c>
      <c r="O706" s="272">
        <f>O707+O708</f>
        <v>2554509</v>
      </c>
      <c r="P706" s="272">
        <f>P707+P708</f>
        <v>417201</v>
      </c>
      <c r="Q706" s="351"/>
      <c r="R706" s="417">
        <f>IF(ISERROR(VLOOKUP("SAN"&amp;$C706,ESTR_PREC_SP!$A$2:$G$2000,4,FALSE))=TRUE,0,VLOOKUP("SAN"&amp;$C706,ESTR_PREC_SP!$A$2:$G$2000,4,FALSE))</f>
        <v>0</v>
      </c>
      <c r="S706" s="351"/>
      <c r="T706" s="351"/>
      <c r="U706" s="351"/>
      <c r="V706" s="351"/>
      <c r="W706" s="351"/>
      <c r="X706" s="351"/>
      <c r="Y706" s="351"/>
      <c r="Z706" s="351"/>
      <c r="AA706" s="417">
        <f>IF(ISERROR(VLOOKUP("SAN"&amp;$C706,ESTR_PREC_SP!$A$2:$G$2000,5,FALSE))=TRUE,0,VLOOKUP("SAN"&amp;$C706,ESTR_PREC_SP!$A$2:$G$2000,5,FALSE))</f>
        <v>0</v>
      </c>
      <c r="AB706" s="351"/>
      <c r="AC706" s="351"/>
      <c r="AD706" s="351"/>
      <c r="AE706" s="351"/>
      <c r="AF706" s="351"/>
      <c r="AG706" s="351"/>
      <c r="AH706" s="351"/>
      <c r="AI706" s="351"/>
      <c r="AJ706" s="351"/>
      <c r="AK706" s="351"/>
      <c r="AL706" s="351"/>
      <c r="AM706" s="351"/>
    </row>
    <row r="707" spans="2:39" s="204" customFormat="1" x14ac:dyDescent="0.25">
      <c r="B707" s="287" t="s">
        <v>1694</v>
      </c>
      <c r="C707" s="287" t="s">
        <v>1695</v>
      </c>
      <c r="D707" s="274" t="s">
        <v>3781</v>
      </c>
      <c r="E707" s="274"/>
      <c r="F707" s="274"/>
      <c r="G707" s="283"/>
      <c r="H707" s="266"/>
      <c r="I707" s="274"/>
      <c r="J707" s="281"/>
      <c r="K707" s="281"/>
      <c r="L707" s="392" t="s">
        <v>3782</v>
      </c>
      <c r="M707" s="284" t="s">
        <v>2962</v>
      </c>
      <c r="N707" s="269">
        <f>+R707-AA707</f>
        <v>1236070</v>
      </c>
      <c r="O707" s="270">
        <f>+Y707-AE707</f>
        <v>2406565</v>
      </c>
      <c r="P707" s="271">
        <f t="shared" ref="P707:P724" si="122">+O707-N707</f>
        <v>1170495</v>
      </c>
      <c r="Q707" s="520"/>
      <c r="R707" s="417">
        <f>IF(ISERROR(VLOOKUP("SAN"&amp;$C707,ESTR_PREC_SP!$A$2:$G$2000,4,FALSE))=TRUE,0,VLOOKUP("SAN"&amp;$C707,ESTR_PREC_SP!$A$2:$G$2000,4,FALSE))</f>
        <v>1303561</v>
      </c>
      <c r="S707" s="521"/>
      <c r="T707" s="520"/>
      <c r="U707" s="520">
        <f>1347676+663+6506937-98+769-50609-219+330483-147944+351165-3-330-2366</f>
        <v>8336124</v>
      </c>
      <c r="V707" s="520">
        <f>522167+814513-15-901238+314472+123939-155408</f>
        <v>718430</v>
      </c>
      <c r="W707" s="520"/>
      <c r="X707" s="520">
        <f>1041540+5205218+155408</f>
        <v>6402166</v>
      </c>
      <c r="Y707" s="269">
        <f>+R707+S707+T707+U707-V707-X707+W707+Q707</f>
        <v>2519089</v>
      </c>
      <c r="Z707" s="534">
        <f>-50609+330483+351165</f>
        <v>631039</v>
      </c>
      <c r="AA707" s="417">
        <f>IF(ISERROR(VLOOKUP("SAN"&amp;$C707,ESTR_PREC_SP!$A$2:$G$2000,5,FALSE))=TRUE,0,VLOOKUP("SAN"&amp;$C707,ESTR_PREC_SP!$A$2:$G$2000,5,FALSE))</f>
        <v>67491</v>
      </c>
      <c r="AB707" s="355"/>
      <c r="AC707" s="520">
        <v>6967</v>
      </c>
      <c r="AD707" s="520">
        <v>52000</v>
      </c>
      <c r="AE707" s="269">
        <f t="shared" ref="AE707:AE715" si="123">+AA707+AD707-AC707+AB707</f>
        <v>112524</v>
      </c>
      <c r="AF707" s="520">
        <f>24215+12971+61817</f>
        <v>99003</v>
      </c>
      <c r="AG707" s="520">
        <f>3361+25670</f>
        <v>29031</v>
      </c>
      <c r="AH707" s="520">
        <v>52538</v>
      </c>
      <c r="AI707" s="520">
        <f>256949+80119</f>
        <v>337068</v>
      </c>
      <c r="AJ707" s="526">
        <f t="shared" ref="AJ707:AJ724" si="124">+Y707-SUM(AF707:AI707)</f>
        <v>2001449</v>
      </c>
      <c r="AK707" s="526">
        <f t="shared" ref="AK707:AK724" si="125">+Y707-AE707-AL707-AM707</f>
        <v>2406565</v>
      </c>
      <c r="AL707" s="520"/>
      <c r="AM707" s="520"/>
    </row>
    <row r="708" spans="2:39" s="204" customFormat="1" x14ac:dyDescent="0.25">
      <c r="B708" s="287" t="s">
        <v>3783</v>
      </c>
      <c r="C708" s="287" t="s">
        <v>1699</v>
      </c>
      <c r="D708" s="274" t="s">
        <v>3781</v>
      </c>
      <c r="E708" s="274"/>
      <c r="F708" s="274"/>
      <c r="G708" s="283"/>
      <c r="H708" s="266"/>
      <c r="I708" s="274"/>
      <c r="J708" s="281"/>
      <c r="K708" s="281"/>
      <c r="L708" s="392" t="s">
        <v>3784</v>
      </c>
      <c r="M708" s="284" t="s">
        <v>2962</v>
      </c>
      <c r="N708" s="269">
        <f>+R708-AA708</f>
        <v>901238</v>
      </c>
      <c r="O708" s="270">
        <f>+Y708-AE708</f>
        <v>147944</v>
      </c>
      <c r="P708" s="271">
        <f t="shared" si="122"/>
        <v>-753294</v>
      </c>
      <c r="Q708" s="520"/>
      <c r="R708" s="417">
        <f>IF(ISERROR(VLOOKUP("SAN"&amp;$C708,ESTR_PREC_SP!$A$2:$G$2000,4,FALSE))=TRUE,0,VLOOKUP("SAN"&amp;$C708,ESTR_PREC_SP!$A$2:$G$2000,4,FALSE))</f>
        <v>901238</v>
      </c>
      <c r="S708" s="521"/>
      <c r="T708" s="520"/>
      <c r="U708" s="520">
        <v>147944</v>
      </c>
      <c r="V708" s="520">
        <v>901238</v>
      </c>
      <c r="W708" s="520"/>
      <c r="X708" s="520"/>
      <c r="Y708" s="269">
        <f>+R708+S708+T708+U708-V708-X708+W708+Q708</f>
        <v>147944</v>
      </c>
      <c r="Z708" s="534"/>
      <c r="AA708" s="417">
        <f>IF(ISERROR(VLOOKUP("SAN"&amp;$C708,ESTR_PREC_SP!$A$2:$G$2000,5,FALSE))=TRUE,0,VLOOKUP("SAN"&amp;$C708,ESTR_PREC_SP!$A$2:$G$2000,5,FALSE))</f>
        <v>0</v>
      </c>
      <c r="AB708" s="355"/>
      <c r="AC708" s="520"/>
      <c r="AD708" s="520"/>
      <c r="AE708" s="269">
        <f t="shared" si="123"/>
        <v>0</v>
      </c>
      <c r="AF708" s="520"/>
      <c r="AG708" s="520"/>
      <c r="AH708" s="520"/>
      <c r="AI708" s="520"/>
      <c r="AJ708" s="526">
        <f t="shared" si="124"/>
        <v>147944</v>
      </c>
      <c r="AK708" s="526">
        <f t="shared" si="125"/>
        <v>147944</v>
      </c>
      <c r="AL708" s="520"/>
      <c r="AM708" s="520"/>
    </row>
    <row r="709" spans="2:39" s="204" customFormat="1" x14ac:dyDescent="0.25">
      <c r="B709" s="287" t="s">
        <v>1701</v>
      </c>
      <c r="C709" s="287" t="s">
        <v>1702</v>
      </c>
      <c r="D709" s="274" t="s">
        <v>3785</v>
      </c>
      <c r="E709" s="274"/>
      <c r="F709" s="274"/>
      <c r="G709" s="283"/>
      <c r="H709" s="266"/>
      <c r="I709" s="274"/>
      <c r="J709" s="281"/>
      <c r="K709" s="281"/>
      <c r="L709" s="295" t="s">
        <v>3786</v>
      </c>
      <c r="M709" s="284" t="s">
        <v>2962</v>
      </c>
      <c r="N709" s="269">
        <f>+R709-AA709</f>
        <v>0</v>
      </c>
      <c r="O709" s="270">
        <f>+Y709-AE709</f>
        <v>0</v>
      </c>
      <c r="P709" s="271">
        <f t="shared" si="122"/>
        <v>0</v>
      </c>
      <c r="Q709" s="520"/>
      <c r="R709" s="354">
        <f>IF(ISERROR(VLOOKUP("SAN"&amp;$C709,ESTR_PREC_SP!$A$2:$G$2000,4,FALSE))=TRUE,0,VLOOKUP("SAN"&amp;$C709,ESTR_PREC_SP!$A$2:$G$2000,4,FALSE))</f>
        <v>0</v>
      </c>
      <c r="S709" s="521"/>
      <c r="T709" s="520"/>
      <c r="U709" s="520"/>
      <c r="V709" s="520"/>
      <c r="W709" s="520"/>
      <c r="X709" s="520"/>
      <c r="Y709" s="269">
        <f>+R709+S709+T709+U709-V709-X709+W709+Q709</f>
        <v>0</v>
      </c>
      <c r="Z709" s="534"/>
      <c r="AA709" s="354">
        <f>IF(ISERROR(VLOOKUP("SAN"&amp;$C709,ESTR_PREC_SP!$A$2:$G$2000,5,FALSE))=TRUE,0,VLOOKUP("SAN"&amp;$C709,ESTR_PREC_SP!$A$2:$G$2000,5,FALSE))</f>
        <v>0</v>
      </c>
      <c r="AB709" s="355"/>
      <c r="AC709" s="520"/>
      <c r="AD709" s="520"/>
      <c r="AE709" s="269">
        <f t="shared" si="123"/>
        <v>0</v>
      </c>
      <c r="AF709" s="520"/>
      <c r="AG709" s="520"/>
      <c r="AH709" s="520"/>
      <c r="AI709" s="520"/>
      <c r="AJ709" s="526">
        <f t="shared" si="124"/>
        <v>0</v>
      </c>
      <c r="AK709" s="526">
        <f t="shared" si="125"/>
        <v>0</v>
      </c>
      <c r="AL709" s="520"/>
      <c r="AM709" s="520"/>
    </row>
    <row r="710" spans="2:39" s="204" customFormat="1" x14ac:dyDescent="0.25">
      <c r="B710" s="287" t="s">
        <v>1705</v>
      </c>
      <c r="C710" s="287" t="s">
        <v>1706</v>
      </c>
      <c r="D710" s="274" t="s">
        <v>3787</v>
      </c>
      <c r="E710" s="274"/>
      <c r="F710" s="274"/>
      <c r="G710" s="283"/>
      <c r="H710" s="266"/>
      <c r="I710" s="274"/>
      <c r="J710" s="281"/>
      <c r="K710" s="281"/>
      <c r="L710" s="295" t="s">
        <v>1708</v>
      </c>
      <c r="M710" s="284" t="s">
        <v>2962</v>
      </c>
      <c r="N710" s="269">
        <f>+R710-AA710</f>
        <v>110146</v>
      </c>
      <c r="O710" s="270">
        <f>+Y710-AE710</f>
        <v>147943</v>
      </c>
      <c r="P710" s="271">
        <f t="shared" si="122"/>
        <v>37797</v>
      </c>
      <c r="Q710" s="520"/>
      <c r="R710" s="354">
        <f>IF(ISERROR(VLOOKUP("SAN"&amp;$C710,ESTR_PREC_SP!$A$2:$G$2000,4,FALSE))=TRUE,0,VLOOKUP("SAN"&amp;$C710,ESTR_PREC_SP!$A$2:$G$2000,4,FALSE))</f>
        <v>110146</v>
      </c>
      <c r="S710" s="521"/>
      <c r="T710" s="520"/>
      <c r="U710" s="520">
        <f>2919+151864-111+21148</f>
        <v>175820</v>
      </c>
      <c r="V710" s="520">
        <f>8867+9985+488+36970</f>
        <v>56310</v>
      </c>
      <c r="W710" s="520"/>
      <c r="X710" s="520">
        <f>2919+78794</f>
        <v>81713</v>
      </c>
      <c r="Y710" s="269">
        <f>+R710+S710+T710+U710-V710-X710+W710+Q710</f>
        <v>147943</v>
      </c>
      <c r="Z710" s="534">
        <v>21148</v>
      </c>
      <c r="AA710" s="354">
        <f>IF(ISERROR(VLOOKUP("SAN"&amp;$C710,ESTR_PREC_SP!$A$2:$G$2000,5,FALSE))=TRUE,0,VLOOKUP("SAN"&amp;$C710,ESTR_PREC_SP!$A$2:$G$2000,5,FALSE))</f>
        <v>0</v>
      </c>
      <c r="AB710" s="355"/>
      <c r="AC710" s="520"/>
      <c r="AD710" s="520"/>
      <c r="AE710" s="269">
        <f t="shared" si="123"/>
        <v>0</v>
      </c>
      <c r="AF710" s="520"/>
      <c r="AG710" s="520"/>
      <c r="AH710" s="520"/>
      <c r="AI710" s="520">
        <f>1229+53091-490+6</f>
        <v>53836</v>
      </c>
      <c r="AJ710" s="526">
        <f t="shared" si="124"/>
        <v>94107</v>
      </c>
      <c r="AK710" s="526">
        <f t="shared" si="125"/>
        <v>147943</v>
      </c>
      <c r="AL710" s="520"/>
      <c r="AM710" s="520"/>
    </row>
    <row r="711" spans="2:39" s="204" customFormat="1" x14ac:dyDescent="0.25">
      <c r="B711" s="287" t="s">
        <v>1709</v>
      </c>
      <c r="C711" s="287" t="s">
        <v>1710</v>
      </c>
      <c r="D711" s="274" t="s">
        <v>3788</v>
      </c>
      <c r="E711" s="274"/>
      <c r="F711" s="274"/>
      <c r="G711" s="283"/>
      <c r="H711" s="266"/>
      <c r="I711" s="274"/>
      <c r="J711" s="281"/>
      <c r="K711" s="281"/>
      <c r="L711" s="295" t="s">
        <v>1712</v>
      </c>
      <c r="M711" s="284" t="s">
        <v>2962</v>
      </c>
      <c r="N711" s="269">
        <f>+R711-AA711</f>
        <v>0</v>
      </c>
      <c r="O711" s="270">
        <f>+Y711-AE711</f>
        <v>0</v>
      </c>
      <c r="P711" s="271">
        <f t="shared" si="122"/>
        <v>0</v>
      </c>
      <c r="Q711" s="520"/>
      <c r="R711" s="354">
        <f>IF(ISERROR(VLOOKUP("SAN"&amp;$C711,ESTR_PREC_SP!$A$2:$G$2000,4,FALSE))=TRUE,0,VLOOKUP("SAN"&amp;$C711,ESTR_PREC_SP!$A$2:$G$2000,4,FALSE))</f>
        <v>0</v>
      </c>
      <c r="S711" s="521"/>
      <c r="T711" s="520"/>
      <c r="U711" s="520"/>
      <c r="V711" s="520"/>
      <c r="W711" s="520"/>
      <c r="X711" s="520"/>
      <c r="Y711" s="269">
        <f>+R711+S711+T711+U711-V711-X711+W711+Q711</f>
        <v>0</v>
      </c>
      <c r="Z711" s="534"/>
      <c r="AA711" s="354">
        <f>IF(ISERROR(VLOOKUP("SAN"&amp;$C711,ESTR_PREC_SP!$A$2:$G$2000,5,FALSE))=TRUE,0,VLOOKUP("SAN"&amp;$C711,ESTR_PREC_SP!$A$2:$G$2000,5,FALSE))</f>
        <v>0</v>
      </c>
      <c r="AB711" s="355"/>
      <c r="AC711" s="520"/>
      <c r="AD711" s="520"/>
      <c r="AE711" s="269">
        <f t="shared" si="123"/>
        <v>0</v>
      </c>
      <c r="AF711" s="520"/>
      <c r="AG711" s="520"/>
      <c r="AH711" s="520"/>
      <c r="AI711" s="520"/>
      <c r="AJ711" s="526">
        <f t="shared" si="124"/>
        <v>0</v>
      </c>
      <c r="AK711" s="526">
        <f t="shared" si="125"/>
        <v>0</v>
      </c>
      <c r="AL711" s="520"/>
      <c r="AM711" s="520"/>
    </row>
    <row r="712" spans="2:39" s="204" customFormat="1" x14ac:dyDescent="0.25">
      <c r="B712" s="287" t="s">
        <v>1713</v>
      </c>
      <c r="C712" s="287" t="s">
        <v>1714</v>
      </c>
      <c r="D712" s="274" t="s">
        <v>3789</v>
      </c>
      <c r="E712" s="274"/>
      <c r="F712" s="274"/>
      <c r="G712" s="283"/>
      <c r="H712" s="266"/>
      <c r="I712" s="274"/>
      <c r="J712" s="281"/>
      <c r="K712" s="281"/>
      <c r="L712" s="295" t="s">
        <v>1715</v>
      </c>
      <c r="M712" s="284" t="s">
        <v>2962</v>
      </c>
      <c r="N712" s="272">
        <f>+N713+N716+N721</f>
        <v>828211</v>
      </c>
      <c r="O712" s="272">
        <f>+O713+O716+O721</f>
        <v>534485</v>
      </c>
      <c r="P712" s="378">
        <f t="shared" si="122"/>
        <v>-293726</v>
      </c>
      <c r="Q712" s="272">
        <f t="shared" ref="Q712:AD712" si="126">+Q713+Q716+Q721</f>
        <v>0</v>
      </c>
      <c r="R712" s="272">
        <f t="shared" si="126"/>
        <v>828211</v>
      </c>
      <c r="S712" s="272">
        <f t="shared" si="126"/>
        <v>0</v>
      </c>
      <c r="T712" s="272">
        <f t="shared" si="126"/>
        <v>0</v>
      </c>
      <c r="U712" s="272">
        <f t="shared" si="126"/>
        <v>3162643</v>
      </c>
      <c r="V712" s="272">
        <f t="shared" si="126"/>
        <v>657988</v>
      </c>
      <c r="W712" s="272">
        <f t="shared" si="126"/>
        <v>0</v>
      </c>
      <c r="X712" s="272">
        <f t="shared" si="126"/>
        <v>2798381</v>
      </c>
      <c r="Y712" s="272">
        <f t="shared" si="126"/>
        <v>534485</v>
      </c>
      <c r="Z712" s="272">
        <f t="shared" si="126"/>
        <v>0</v>
      </c>
      <c r="AA712" s="272">
        <f t="shared" si="126"/>
        <v>0</v>
      </c>
      <c r="AB712" s="272">
        <f t="shared" si="126"/>
        <v>0</v>
      </c>
      <c r="AC712" s="272">
        <f t="shared" si="126"/>
        <v>0</v>
      </c>
      <c r="AD712" s="272">
        <f t="shared" si="126"/>
        <v>0</v>
      </c>
      <c r="AE712" s="272">
        <f t="shared" si="123"/>
        <v>0</v>
      </c>
      <c r="AF712" s="272">
        <f>+AF713+AF716+AF721</f>
        <v>0</v>
      </c>
      <c r="AG712" s="272">
        <f>+AG713+AG716+AG721</f>
        <v>0</v>
      </c>
      <c r="AH712" s="272">
        <f>+AH713+AH716+AH721</f>
        <v>0</v>
      </c>
      <c r="AI712" s="272">
        <f>+AI713+AI716+AI721</f>
        <v>0</v>
      </c>
      <c r="AJ712" s="537">
        <f t="shared" si="124"/>
        <v>534485</v>
      </c>
      <c r="AK712" s="537">
        <f t="shared" si="125"/>
        <v>534485</v>
      </c>
      <c r="AL712" s="272">
        <f>+AL713+AL716+AL721</f>
        <v>0</v>
      </c>
      <c r="AM712" s="272">
        <f>+AM713+AM716+AM721</f>
        <v>0</v>
      </c>
    </row>
    <row r="713" spans="2:39" s="204" customFormat="1" x14ac:dyDescent="0.25">
      <c r="B713" s="287" t="s">
        <v>1716</v>
      </c>
      <c r="C713" s="287" t="s">
        <v>1717</v>
      </c>
      <c r="D713" s="274" t="s">
        <v>3790</v>
      </c>
      <c r="E713" s="274"/>
      <c r="F713" s="274"/>
      <c r="G713" s="283"/>
      <c r="H713" s="266"/>
      <c r="I713" s="274"/>
      <c r="J713" s="281"/>
      <c r="K713" s="281"/>
      <c r="L713" s="379" t="s">
        <v>1719</v>
      </c>
      <c r="M713" s="284" t="s">
        <v>2962</v>
      </c>
      <c r="N713" s="272">
        <f>+N714+N715</f>
        <v>828211</v>
      </c>
      <c r="O713" s="272">
        <f>+O714+O715</f>
        <v>534485</v>
      </c>
      <c r="P713" s="378">
        <f t="shared" si="122"/>
        <v>-293726</v>
      </c>
      <c r="Q713" s="272">
        <f t="shared" ref="Q713:AD713" si="127">+Q714+Q715</f>
        <v>0</v>
      </c>
      <c r="R713" s="272">
        <f t="shared" si="127"/>
        <v>828211</v>
      </c>
      <c r="S713" s="272">
        <f t="shared" si="127"/>
        <v>0</v>
      </c>
      <c r="T713" s="272">
        <f t="shared" si="127"/>
        <v>0</v>
      </c>
      <c r="U713" s="272">
        <f t="shared" si="127"/>
        <v>3162643</v>
      </c>
      <c r="V713" s="272">
        <f t="shared" si="127"/>
        <v>657988</v>
      </c>
      <c r="W713" s="272">
        <f t="shared" si="127"/>
        <v>0</v>
      </c>
      <c r="X713" s="272">
        <f t="shared" si="127"/>
        <v>2798381</v>
      </c>
      <c r="Y713" s="272">
        <f t="shared" si="127"/>
        <v>534485</v>
      </c>
      <c r="Z713" s="272">
        <f t="shared" si="127"/>
        <v>0</v>
      </c>
      <c r="AA713" s="272">
        <f t="shared" si="127"/>
        <v>0</v>
      </c>
      <c r="AB713" s="272">
        <f t="shared" si="127"/>
        <v>0</v>
      </c>
      <c r="AC713" s="272">
        <f t="shared" si="127"/>
        <v>0</v>
      </c>
      <c r="AD713" s="272">
        <f t="shared" si="127"/>
        <v>0</v>
      </c>
      <c r="AE713" s="272">
        <f t="shared" si="123"/>
        <v>0</v>
      </c>
      <c r="AF713" s="272">
        <f>+AF714+AF715</f>
        <v>0</v>
      </c>
      <c r="AG713" s="272">
        <f>+AG714+AG715</f>
        <v>0</v>
      </c>
      <c r="AH713" s="272">
        <f>+AH714+AH715</f>
        <v>0</v>
      </c>
      <c r="AI713" s="272">
        <f>+AI714+AI715</f>
        <v>0</v>
      </c>
      <c r="AJ713" s="537">
        <f t="shared" si="124"/>
        <v>534485</v>
      </c>
      <c r="AK713" s="537">
        <f t="shared" si="125"/>
        <v>534485</v>
      </c>
      <c r="AL713" s="272">
        <f>+AL714+AL715</f>
        <v>0</v>
      </c>
      <c r="AM713" s="272">
        <f>+AM714+AM715</f>
        <v>0</v>
      </c>
    </row>
    <row r="714" spans="2:39" s="204" customFormat="1" x14ac:dyDescent="0.25">
      <c r="B714" s="287" t="s">
        <v>1720</v>
      </c>
      <c r="C714" s="287" t="s">
        <v>1721</v>
      </c>
      <c r="D714" s="274" t="s">
        <v>3791</v>
      </c>
      <c r="E714" s="274"/>
      <c r="F714" s="274"/>
      <c r="G714" s="283"/>
      <c r="H714" s="266"/>
      <c r="I714" s="274"/>
      <c r="J714" s="281"/>
      <c r="K714" s="281"/>
      <c r="L714" s="97" t="s">
        <v>3792</v>
      </c>
      <c r="M714" s="284" t="s">
        <v>2962</v>
      </c>
      <c r="N714" s="269">
        <f>+R714-AA714</f>
        <v>0</v>
      </c>
      <c r="O714" s="270">
        <f>+Y714-AE714</f>
        <v>0</v>
      </c>
      <c r="P714" s="271">
        <f t="shared" si="122"/>
        <v>0</v>
      </c>
      <c r="Q714" s="520"/>
      <c r="R714" s="354">
        <f>IF(ISERROR(VLOOKUP("SAN"&amp;$C714,ESTR_PREC_SP!$A$2:$G$2000,4,FALSE))=TRUE,0,VLOOKUP("SAN"&amp;$C714,ESTR_PREC_SP!$A$2:$G$2000,4,FALSE))</f>
        <v>0</v>
      </c>
      <c r="S714" s="521"/>
      <c r="T714" s="520"/>
      <c r="U714" s="520"/>
      <c r="V714" s="520"/>
      <c r="W714" s="520"/>
      <c r="X714" s="520"/>
      <c r="Y714" s="269">
        <f>+R714+S714+T714+U714-V714-X714+W714+Q714</f>
        <v>0</v>
      </c>
      <c r="Z714" s="534"/>
      <c r="AA714" s="354">
        <f>IF(ISERROR(VLOOKUP("SAN"&amp;$C714,ESTR_PREC_SP!$A$2:$G$2000,5,FALSE))=TRUE,0,VLOOKUP("SAN"&amp;$C714,ESTR_PREC_SP!$A$2:$G$2000,5,FALSE))</f>
        <v>0</v>
      </c>
      <c r="AB714" s="355"/>
      <c r="AC714" s="520"/>
      <c r="AD714" s="520"/>
      <c r="AE714" s="269">
        <f t="shared" si="123"/>
        <v>0</v>
      </c>
      <c r="AF714" s="520"/>
      <c r="AG714" s="520"/>
      <c r="AH714" s="520"/>
      <c r="AI714" s="520"/>
      <c r="AJ714" s="526">
        <f t="shared" si="124"/>
        <v>0</v>
      </c>
      <c r="AK714" s="526">
        <f t="shared" si="125"/>
        <v>0</v>
      </c>
      <c r="AL714" s="520"/>
      <c r="AM714" s="520"/>
    </row>
    <row r="715" spans="2:39" s="204" customFormat="1" x14ac:dyDescent="0.25">
      <c r="B715" s="287" t="s">
        <v>1724</v>
      </c>
      <c r="C715" s="287" t="s">
        <v>1725</v>
      </c>
      <c r="D715" s="274" t="s">
        <v>3793</v>
      </c>
      <c r="E715" s="274"/>
      <c r="F715" s="274"/>
      <c r="G715" s="283"/>
      <c r="H715" s="266"/>
      <c r="I715" s="274"/>
      <c r="J715" s="281"/>
      <c r="K715" s="281"/>
      <c r="L715" s="97" t="s">
        <v>3794</v>
      </c>
      <c r="M715" s="284" t="s">
        <v>2962</v>
      </c>
      <c r="N715" s="269">
        <f>+R715-AA715</f>
        <v>828211</v>
      </c>
      <c r="O715" s="270">
        <f>+Y715-AE715</f>
        <v>534485</v>
      </c>
      <c r="P715" s="271">
        <f t="shared" si="122"/>
        <v>-293726</v>
      </c>
      <c r="Q715" s="520"/>
      <c r="R715" s="354">
        <f>IF(ISERROR(VLOOKUP("SAN"&amp;$C715,ESTR_PREC_SP!$A$2:$G$2000,4,FALSE))=TRUE,0,VLOOKUP("SAN"&amp;$C715,ESTR_PREC_SP!$A$2:$G$2000,4,FALSE))</f>
        <v>828211</v>
      </c>
      <c r="S715" s="521"/>
      <c r="T715" s="520"/>
      <c r="U715" s="520">
        <f>308789+5095+150654+1854+904939+5986+1162434+396423+99475+54357+16676+23212+16772+1+15976</f>
        <v>3162643</v>
      </c>
      <c r="V715" s="520">
        <f>3942+70892+12173+553321+2000+15660</f>
        <v>657988</v>
      </c>
      <c r="W715" s="520"/>
      <c r="X715" s="520">
        <f>308729+115579+1854+895044+5986+1162434+109722+142373+16676+23212+16772</f>
        <v>2798381</v>
      </c>
      <c r="Y715" s="269">
        <f>+R715+S715+T715+U715-V715-X715+W715+Q715</f>
        <v>534485</v>
      </c>
      <c r="Z715" s="534"/>
      <c r="AA715" s="354">
        <f>IF(ISERROR(VLOOKUP("SAN"&amp;$C715,ESTR_PREC_SP!$A$2:$G$2000,5,FALSE))=TRUE,0,VLOOKUP("SAN"&amp;$C715,ESTR_PREC_SP!$A$2:$G$2000,5,FALSE))</f>
        <v>0</v>
      </c>
      <c r="AB715" s="355"/>
      <c r="AC715" s="520"/>
      <c r="AD715" s="520"/>
      <c r="AE715" s="269">
        <f t="shared" si="123"/>
        <v>0</v>
      </c>
      <c r="AF715" s="520"/>
      <c r="AG715" s="520"/>
      <c r="AH715" s="520"/>
      <c r="AI715" s="520"/>
      <c r="AJ715" s="526">
        <f t="shared" si="124"/>
        <v>534485</v>
      </c>
      <c r="AK715" s="526">
        <f t="shared" si="125"/>
        <v>534485</v>
      </c>
      <c r="AL715" s="520"/>
      <c r="AM715" s="520"/>
    </row>
    <row r="716" spans="2:39" s="204" customFormat="1" x14ac:dyDescent="0.25">
      <c r="B716" s="287"/>
      <c r="C716" s="287" t="s">
        <v>1727</v>
      </c>
      <c r="D716" s="274" t="s">
        <v>3795</v>
      </c>
      <c r="E716" s="274"/>
      <c r="F716" s="274"/>
      <c r="G716" s="283"/>
      <c r="H716" s="266"/>
      <c r="I716" s="274"/>
      <c r="J716" s="281"/>
      <c r="K716" s="281"/>
      <c r="L716" s="379" t="s">
        <v>1728</v>
      </c>
      <c r="M716" s="284" t="s">
        <v>2962</v>
      </c>
      <c r="N716" s="272">
        <f>SUM(N717:N720)</f>
        <v>0</v>
      </c>
      <c r="O716" s="272">
        <f>SUM(O717:O720)</f>
        <v>0</v>
      </c>
      <c r="P716" s="378">
        <f t="shared" si="122"/>
        <v>0</v>
      </c>
      <c r="Q716" s="272">
        <f t="shared" ref="Q716:AE716" si="128">SUM(Q717:Q720)</f>
        <v>0</v>
      </c>
      <c r="R716" s="272">
        <f t="shared" si="128"/>
        <v>0</v>
      </c>
      <c r="S716" s="272">
        <f t="shared" si="128"/>
        <v>0</v>
      </c>
      <c r="T716" s="272">
        <f t="shared" si="128"/>
        <v>0</v>
      </c>
      <c r="U716" s="272">
        <f t="shared" si="128"/>
        <v>0</v>
      </c>
      <c r="V716" s="272">
        <f t="shared" si="128"/>
        <v>0</v>
      </c>
      <c r="W716" s="272">
        <f t="shared" si="128"/>
        <v>0</v>
      </c>
      <c r="X716" s="272">
        <f t="shared" si="128"/>
        <v>0</v>
      </c>
      <c r="Y716" s="272">
        <f t="shared" si="128"/>
        <v>0</v>
      </c>
      <c r="Z716" s="272">
        <f t="shared" si="128"/>
        <v>0</v>
      </c>
      <c r="AA716" s="272">
        <f t="shared" si="128"/>
        <v>0</v>
      </c>
      <c r="AB716" s="272">
        <f t="shared" si="128"/>
        <v>0</v>
      </c>
      <c r="AC716" s="272">
        <f t="shared" si="128"/>
        <v>0</v>
      </c>
      <c r="AD716" s="272">
        <f t="shared" si="128"/>
        <v>0</v>
      </c>
      <c r="AE716" s="272">
        <f t="shared" si="128"/>
        <v>0</v>
      </c>
      <c r="AF716" s="272">
        <f>+AF717+AF718</f>
        <v>0</v>
      </c>
      <c r="AG716" s="272">
        <f>+AG717+AG718</f>
        <v>0</v>
      </c>
      <c r="AH716" s="272">
        <f>+AH717+AH718</f>
        <v>0</v>
      </c>
      <c r="AI716" s="272">
        <f>SUM(AI717:AI721)</f>
        <v>0</v>
      </c>
      <c r="AJ716" s="537">
        <f t="shared" si="124"/>
        <v>0</v>
      </c>
      <c r="AK716" s="537">
        <f t="shared" si="125"/>
        <v>0</v>
      </c>
      <c r="AL716" s="272">
        <f>+AL717+AL718</f>
        <v>0</v>
      </c>
      <c r="AM716" s="272">
        <f>+AM717+AM718</f>
        <v>0</v>
      </c>
    </row>
    <row r="717" spans="2:39" s="204" customFormat="1" x14ac:dyDescent="0.25">
      <c r="B717" s="287" t="s">
        <v>1729</v>
      </c>
      <c r="C717" s="287" t="s">
        <v>1730</v>
      </c>
      <c r="D717" s="274" t="s">
        <v>3796</v>
      </c>
      <c r="E717" s="274"/>
      <c r="F717" s="274"/>
      <c r="G717" s="283"/>
      <c r="H717" s="266"/>
      <c r="I717" s="274"/>
      <c r="J717" s="281"/>
      <c r="K717" s="281"/>
      <c r="L717" s="97" t="s">
        <v>3797</v>
      </c>
      <c r="M717" s="284" t="s">
        <v>2962</v>
      </c>
      <c r="N717" s="269">
        <f>+R717-AA717</f>
        <v>0</v>
      </c>
      <c r="O717" s="270">
        <f>+Y717-AE717</f>
        <v>0</v>
      </c>
      <c r="P717" s="271">
        <f t="shared" si="122"/>
        <v>0</v>
      </c>
      <c r="Q717" s="520"/>
      <c r="R717" s="354">
        <f>IF(ISERROR(VLOOKUP("SAN"&amp;$C717,ESTR_PREC_SP!$A$2:$G$2000,4,FALSE))=TRUE,0,VLOOKUP("SAN"&amp;$C717,ESTR_PREC_SP!$A$2:$G$2000,4,FALSE))</f>
        <v>0</v>
      </c>
      <c r="S717" s="521"/>
      <c r="T717" s="520"/>
      <c r="U717" s="520"/>
      <c r="V717" s="520"/>
      <c r="W717" s="520"/>
      <c r="X717" s="520"/>
      <c r="Y717" s="269">
        <f>+R717+S717+T717+U717-V717-X717+W717+Q717</f>
        <v>0</v>
      </c>
      <c r="Z717" s="534"/>
      <c r="AA717" s="354">
        <f>IF(ISERROR(VLOOKUP("SAN"&amp;$C717,ESTR_PREC_SP!$A$2:$G$2000,5,FALSE))=TRUE,0,VLOOKUP("SAN"&amp;$C717,ESTR_PREC_SP!$A$2:$G$2000,5,FALSE))</f>
        <v>0</v>
      </c>
      <c r="AB717" s="355"/>
      <c r="AC717" s="520"/>
      <c r="AD717" s="520"/>
      <c r="AE717" s="269">
        <f>+AA717+AD717-AC717+AB717</f>
        <v>0</v>
      </c>
      <c r="AF717" s="520"/>
      <c r="AG717" s="520"/>
      <c r="AH717" s="520"/>
      <c r="AI717" s="520"/>
      <c r="AJ717" s="526">
        <f t="shared" si="124"/>
        <v>0</v>
      </c>
      <c r="AK717" s="526">
        <f t="shared" si="125"/>
        <v>0</v>
      </c>
      <c r="AL717" s="520"/>
      <c r="AM717" s="520"/>
    </row>
    <row r="718" spans="2:39" s="204" customFormat="1" ht="14.45" hidden="1" customHeight="1" x14ac:dyDescent="0.25">
      <c r="B718" s="287" t="s">
        <v>1732</v>
      </c>
      <c r="C718" s="287" t="s">
        <v>1733</v>
      </c>
      <c r="D718" s="274" t="s">
        <v>3798</v>
      </c>
      <c r="E718" s="274"/>
      <c r="F718" s="274"/>
      <c r="G718" s="283"/>
      <c r="H718" s="266"/>
      <c r="I718" s="274"/>
      <c r="J718" s="281"/>
      <c r="K718" s="281"/>
      <c r="L718" s="97" t="s">
        <v>1734</v>
      </c>
      <c r="M718" s="284" t="s">
        <v>2962</v>
      </c>
      <c r="N718" s="269">
        <f>+R718-AA718</f>
        <v>0</v>
      </c>
      <c r="O718" s="270">
        <f>+Y718-AE718</f>
        <v>0</v>
      </c>
      <c r="P718" s="271">
        <f t="shared" si="122"/>
        <v>0</v>
      </c>
      <c r="Q718" s="520"/>
      <c r="R718" s="354">
        <f>IF(ISERROR(VLOOKUP("SAN"&amp;$C718,ESTR_PREC_SP!$A$2:$G$2000,4,FALSE))=TRUE,0,VLOOKUP("SAN"&amp;$C718,ESTR_PREC_SP!$A$2:$G$2000,4,FALSE))+AA718</f>
        <v>0</v>
      </c>
      <c r="S718" s="521"/>
      <c r="T718" s="520"/>
      <c r="U718" s="520"/>
      <c r="V718" s="520"/>
      <c r="W718" s="520"/>
      <c r="X718" s="520"/>
      <c r="Y718" s="269">
        <f>+R718+S718+T718+U718-V718-X718+W718+Q718</f>
        <v>0</v>
      </c>
      <c r="Z718" s="534"/>
      <c r="AA718" s="354">
        <f>IF(ISERROR(VLOOKUP("SAN"&amp;$C718,ESTR_PREC_SP!$A$2:$G$2000,5,FALSE))=TRUE,0,VLOOKUP("SAN"&amp;$C718,ESTR_PREC_SP!$A$2:$G$2000,5,FALSE))</f>
        <v>0</v>
      </c>
      <c r="AB718" s="355"/>
      <c r="AC718" s="520"/>
      <c r="AD718" s="520"/>
      <c r="AE718" s="269">
        <f>+AA718+AD718-AC718+AB718</f>
        <v>0</v>
      </c>
      <c r="AF718" s="520"/>
      <c r="AG718" s="520"/>
      <c r="AH718" s="520"/>
      <c r="AI718" s="520"/>
      <c r="AJ718" s="526">
        <f t="shared" si="124"/>
        <v>0</v>
      </c>
      <c r="AK718" s="526">
        <f t="shared" si="125"/>
        <v>0</v>
      </c>
      <c r="AL718" s="520"/>
      <c r="AM718" s="520"/>
    </row>
    <row r="719" spans="2:39" s="204" customFormat="1" x14ac:dyDescent="0.25">
      <c r="B719" s="287" t="s">
        <v>1735</v>
      </c>
      <c r="C719" s="287" t="s">
        <v>1736</v>
      </c>
      <c r="D719" s="274" t="s">
        <v>3799</v>
      </c>
      <c r="E719" s="274"/>
      <c r="F719" s="274"/>
      <c r="G719" s="283"/>
      <c r="H719" s="266"/>
      <c r="I719" s="274"/>
      <c r="J719" s="281"/>
      <c r="K719" s="281"/>
      <c r="L719" s="97" t="s">
        <v>3800</v>
      </c>
      <c r="M719" s="284" t="s">
        <v>2962</v>
      </c>
      <c r="N719" s="269">
        <f>+R719-AA719</f>
        <v>0</v>
      </c>
      <c r="O719" s="270">
        <f>+Y719-AE719</f>
        <v>0</v>
      </c>
      <c r="P719" s="271">
        <f t="shared" si="122"/>
        <v>0</v>
      </c>
      <c r="Q719" s="520"/>
      <c r="R719" s="354">
        <f>IF(ISERROR(VLOOKUP("SAN"&amp;$C719,ESTR_PREC_SP!$A$2:$G$2000,4,FALSE))=TRUE,0,VLOOKUP("SAN"&amp;$C719,ESTR_PREC_SP!$A$2:$G$2000,4,FALSE))</f>
        <v>0</v>
      </c>
      <c r="S719" s="521"/>
      <c r="T719" s="520"/>
      <c r="U719" s="520"/>
      <c r="V719" s="520"/>
      <c r="W719" s="520"/>
      <c r="X719" s="520"/>
      <c r="Y719" s="269">
        <f>+R719+S719+T719+U719-V719-X719+W719+Q719</f>
        <v>0</v>
      </c>
      <c r="Z719" s="534"/>
      <c r="AA719" s="354">
        <f>IF(ISERROR(VLOOKUP("SAN"&amp;$C719,ESTR_PREC_SP!$A$2:$G$2000,5,FALSE))=TRUE,0,VLOOKUP("SAN"&amp;$C719,ESTR_PREC_SP!$A$2:$G$2000,5,FALSE))</f>
        <v>0</v>
      </c>
      <c r="AB719" s="355"/>
      <c r="AC719" s="520"/>
      <c r="AD719" s="520"/>
      <c r="AE719" s="269">
        <f>+AA719+AD719-AC719+AB719</f>
        <v>0</v>
      </c>
      <c r="AF719" s="520"/>
      <c r="AG719" s="520"/>
      <c r="AH719" s="520"/>
      <c r="AI719" s="520"/>
      <c r="AJ719" s="526">
        <f t="shared" si="124"/>
        <v>0</v>
      </c>
      <c r="AK719" s="526">
        <f t="shared" si="125"/>
        <v>0</v>
      </c>
      <c r="AL719" s="520"/>
      <c r="AM719" s="520"/>
    </row>
    <row r="720" spans="2:39" s="204" customFormat="1" x14ac:dyDescent="0.25">
      <c r="B720" s="287" t="s">
        <v>1738</v>
      </c>
      <c r="C720" s="287" t="s">
        <v>1739</v>
      </c>
      <c r="D720" s="274" t="s">
        <v>3801</v>
      </c>
      <c r="E720" s="274"/>
      <c r="F720" s="274"/>
      <c r="G720" s="283"/>
      <c r="H720" s="266"/>
      <c r="I720" s="274"/>
      <c r="J720" s="281"/>
      <c r="K720" s="281"/>
      <c r="L720" s="97" t="s">
        <v>3802</v>
      </c>
      <c r="M720" s="284" t="s">
        <v>2962</v>
      </c>
      <c r="N720" s="269">
        <f>+R720-AA720</f>
        <v>0</v>
      </c>
      <c r="O720" s="270">
        <f>+Y720-AE720</f>
        <v>0</v>
      </c>
      <c r="P720" s="271">
        <f t="shared" si="122"/>
        <v>0</v>
      </c>
      <c r="Q720" s="520"/>
      <c r="R720" s="354">
        <f>IF(ISERROR(VLOOKUP("SAN"&amp;$C720,ESTR_PREC_SP!$A$2:$G$2000,4,FALSE))=TRUE,0,VLOOKUP("SAN"&amp;$C720,ESTR_PREC_SP!$A$2:$G$2000,4,FALSE))</f>
        <v>0</v>
      </c>
      <c r="S720" s="521"/>
      <c r="T720" s="520"/>
      <c r="U720" s="520"/>
      <c r="V720" s="520"/>
      <c r="W720" s="520"/>
      <c r="X720" s="520"/>
      <c r="Y720" s="269">
        <f>+R720+S720+T720+U720-V720-X720+W720+Q720</f>
        <v>0</v>
      </c>
      <c r="Z720" s="534"/>
      <c r="AA720" s="354">
        <f>IF(ISERROR(VLOOKUP("SAN"&amp;$C720,ESTR_PREC_SP!$A$2:$G$2000,5,FALSE))=TRUE,0,VLOOKUP("SAN"&amp;$C720,ESTR_PREC_SP!$A$2:$G$2000,5,FALSE))</f>
        <v>0</v>
      </c>
      <c r="AB720" s="355"/>
      <c r="AC720" s="520"/>
      <c r="AD720" s="520"/>
      <c r="AE720" s="269">
        <f>+AA720+AD720-AC720+AB720</f>
        <v>0</v>
      </c>
      <c r="AF720" s="520"/>
      <c r="AG720" s="520"/>
      <c r="AH720" s="520"/>
      <c r="AI720" s="520"/>
      <c r="AJ720" s="526">
        <f t="shared" si="124"/>
        <v>0</v>
      </c>
      <c r="AK720" s="526">
        <f t="shared" si="125"/>
        <v>0</v>
      </c>
      <c r="AL720" s="520"/>
      <c r="AM720" s="520"/>
    </row>
    <row r="721" spans="1:39" s="204" customFormat="1" ht="25.5" customHeight="1" x14ac:dyDescent="0.25">
      <c r="A721" s="204" t="s">
        <v>1394</v>
      </c>
      <c r="B721" s="536" t="s">
        <v>1741</v>
      </c>
      <c r="C721" s="536" t="s">
        <v>1742</v>
      </c>
      <c r="D721" s="536"/>
      <c r="E721" s="536"/>
      <c r="F721" s="536"/>
      <c r="G721" s="536"/>
      <c r="H721" s="536"/>
      <c r="I721" s="536"/>
      <c r="J721" s="536"/>
      <c r="K721" s="536"/>
      <c r="L721" s="536" t="s">
        <v>3803</v>
      </c>
      <c r="M721" s="269" t="s">
        <v>2962</v>
      </c>
      <c r="N721" s="270">
        <f>+R721-AA721</f>
        <v>0</v>
      </c>
      <c r="O721" s="270">
        <f>+Y721-AE721</f>
        <v>0</v>
      </c>
      <c r="P721" s="211">
        <f t="shared" si="122"/>
        <v>0</v>
      </c>
      <c r="Q721" s="520"/>
      <c r="R721" s="354">
        <f>IF(ISERROR(VLOOKUP("SAN"&amp;$C721,ESTR_PREC_SP!$A$2:$G$2000,4,FALSE))=TRUE,0,VLOOKUP("SAN"&amp;$C721,ESTR_PREC_SP!$A$2:$G$2000,4,FALSE))</f>
        <v>0</v>
      </c>
      <c r="S721" s="521"/>
      <c r="T721" s="520"/>
      <c r="U721" s="520"/>
      <c r="V721" s="520"/>
      <c r="W721" s="520"/>
      <c r="X721" s="520"/>
      <c r="Y721" s="269">
        <f>+R721+S721+T721+U721-V721-X721+W721+Q721</f>
        <v>0</v>
      </c>
      <c r="Z721" s="534"/>
      <c r="AA721" s="354">
        <f>IF(ISERROR(VLOOKUP("SAN"&amp;$C721,ESTR_PREC_SP!$A$2:$G$2000,5,FALSE))=TRUE,0,VLOOKUP("SAN"&amp;$C721,ESTR_PREC_SP!$A$2:$G$2000,5,FALSE))</f>
        <v>0</v>
      </c>
      <c r="AB721" s="355"/>
      <c r="AC721" s="520"/>
      <c r="AD721" s="520"/>
      <c r="AE721" s="269">
        <f>+AA721+AD721-AC721+AB721</f>
        <v>0</v>
      </c>
      <c r="AF721" s="520"/>
      <c r="AG721" s="520"/>
      <c r="AH721" s="520"/>
      <c r="AI721" s="520"/>
      <c r="AJ721" s="526">
        <f t="shared" si="124"/>
        <v>0</v>
      </c>
      <c r="AK721" s="526">
        <f t="shared" si="125"/>
        <v>0</v>
      </c>
      <c r="AL721" s="520"/>
      <c r="AM721" s="520"/>
    </row>
    <row r="722" spans="1:39" s="204" customFormat="1" ht="26.25" x14ac:dyDescent="0.25">
      <c r="A722" s="204" t="s">
        <v>1745</v>
      </c>
      <c r="B722" s="536" t="s">
        <v>1746</v>
      </c>
      <c r="C722" s="536" t="s">
        <v>1747</v>
      </c>
      <c r="D722" s="536"/>
      <c r="E722" s="536"/>
      <c r="F722" s="536"/>
      <c r="G722" s="536"/>
      <c r="H722" s="536"/>
      <c r="I722" s="536"/>
      <c r="J722" s="536"/>
      <c r="K722" s="536"/>
      <c r="L722" s="536" t="s">
        <v>1748</v>
      </c>
      <c r="M722" s="269" t="s">
        <v>2962</v>
      </c>
      <c r="N722" s="272">
        <f>SUM(N723:N724)</f>
        <v>0</v>
      </c>
      <c r="O722" s="272">
        <f>SUM(O723:O724)</f>
        <v>0</v>
      </c>
      <c r="P722" s="378">
        <f t="shared" si="122"/>
        <v>0</v>
      </c>
      <c r="Q722" s="272">
        <f t="shared" ref="Q722:AE722" si="129">SUM(Q723:Q724)</f>
        <v>0</v>
      </c>
      <c r="R722" s="272">
        <f t="shared" si="129"/>
        <v>0</v>
      </c>
      <c r="S722" s="272">
        <f t="shared" si="129"/>
        <v>0</v>
      </c>
      <c r="T722" s="272">
        <f t="shared" si="129"/>
        <v>0</v>
      </c>
      <c r="U722" s="272">
        <f t="shared" si="129"/>
        <v>0</v>
      </c>
      <c r="V722" s="272">
        <f t="shared" si="129"/>
        <v>0</v>
      </c>
      <c r="W722" s="272">
        <f t="shared" si="129"/>
        <v>0</v>
      </c>
      <c r="X722" s="272">
        <f t="shared" si="129"/>
        <v>0</v>
      </c>
      <c r="Y722" s="272">
        <f t="shared" si="129"/>
        <v>0</v>
      </c>
      <c r="Z722" s="272">
        <f t="shared" si="129"/>
        <v>0</v>
      </c>
      <c r="AA722" s="272">
        <f t="shared" si="129"/>
        <v>0</v>
      </c>
      <c r="AB722" s="272">
        <f t="shared" si="129"/>
        <v>0</v>
      </c>
      <c r="AC722" s="272">
        <f t="shared" si="129"/>
        <v>0</v>
      </c>
      <c r="AD722" s="272">
        <f t="shared" si="129"/>
        <v>0</v>
      </c>
      <c r="AE722" s="272">
        <f t="shared" si="129"/>
        <v>0</v>
      </c>
      <c r="AF722" s="272">
        <f>+AF723+AF724</f>
        <v>0</v>
      </c>
      <c r="AG722" s="272">
        <f>+AG723+AG724</f>
        <v>0</v>
      </c>
      <c r="AH722" s="272">
        <f>+AH723+AH724</f>
        <v>0</v>
      </c>
      <c r="AI722" s="272">
        <f>SUM(AI723:AI724)</f>
        <v>0</v>
      </c>
      <c r="AJ722" s="537">
        <f t="shared" si="124"/>
        <v>0</v>
      </c>
      <c r="AK722" s="537">
        <f t="shared" si="125"/>
        <v>0</v>
      </c>
      <c r="AL722" s="272">
        <f>+AL723+AL724</f>
        <v>0</v>
      </c>
      <c r="AM722" s="272">
        <f>+AM723+AM724</f>
        <v>0</v>
      </c>
    </row>
    <row r="723" spans="1:39" s="204" customFormat="1" ht="26.25" x14ac:dyDescent="0.25">
      <c r="A723" s="204" t="s">
        <v>1394</v>
      </c>
      <c r="B723" s="536" t="s">
        <v>1749</v>
      </c>
      <c r="C723" s="536" t="s">
        <v>1750</v>
      </c>
      <c r="D723" s="536"/>
      <c r="E723" s="536"/>
      <c r="F723" s="536"/>
      <c r="G723" s="536"/>
      <c r="H723" s="536"/>
      <c r="I723" s="536"/>
      <c r="J723" s="536"/>
      <c r="K723" s="536"/>
      <c r="L723" s="536" t="s">
        <v>1752</v>
      </c>
      <c r="M723" s="284" t="s">
        <v>2962</v>
      </c>
      <c r="N723" s="269">
        <f>+R723-AA723</f>
        <v>0</v>
      </c>
      <c r="O723" s="270">
        <f>+Y723-AE723</f>
        <v>0</v>
      </c>
      <c r="P723" s="271">
        <f t="shared" si="122"/>
        <v>0</v>
      </c>
      <c r="Q723" s="520"/>
      <c r="R723" s="354">
        <f>IF(ISERROR(VLOOKUP("SAN"&amp;$C723,ESTR_PREC_SP!$A$2:$G$2000,4,FALSE))=TRUE,0,VLOOKUP("SAN"&amp;$C723,ESTR_PREC_SP!$A$2:$G$2000,4,FALSE))</f>
        <v>0</v>
      </c>
      <c r="S723" s="521"/>
      <c r="T723" s="520"/>
      <c r="U723" s="520"/>
      <c r="V723" s="520"/>
      <c r="W723" s="520"/>
      <c r="X723" s="520"/>
      <c r="Y723" s="269">
        <f>+R723+S723+T723+U723-V723-X723+W723+Q723</f>
        <v>0</v>
      </c>
      <c r="Z723" s="534"/>
      <c r="AA723" s="354">
        <f>IF(ISERROR(VLOOKUP("SAN"&amp;$C723,ESTR_PREC_SP!$A$2:$G$2000,5,FALSE))=TRUE,0,VLOOKUP("SAN"&amp;$C723,ESTR_PREC_SP!$A$2:$G$2000,5,FALSE))</f>
        <v>0</v>
      </c>
      <c r="AB723" s="355"/>
      <c r="AC723" s="520"/>
      <c r="AD723" s="520"/>
      <c r="AE723" s="269">
        <f>+AA723+AD723-AC723+AB723</f>
        <v>0</v>
      </c>
      <c r="AF723" s="520"/>
      <c r="AG723" s="520"/>
      <c r="AH723" s="520"/>
      <c r="AI723" s="520"/>
      <c r="AJ723" s="526">
        <f t="shared" si="124"/>
        <v>0</v>
      </c>
      <c r="AK723" s="526">
        <f t="shared" si="125"/>
        <v>0</v>
      </c>
      <c r="AL723" s="520"/>
      <c r="AM723" s="520"/>
    </row>
    <row r="724" spans="1:39" s="204" customFormat="1" x14ac:dyDescent="0.25">
      <c r="A724" s="204" t="s">
        <v>1394</v>
      </c>
      <c r="B724" s="536" t="s">
        <v>1753</v>
      </c>
      <c r="C724" s="536" t="s">
        <v>1754</v>
      </c>
      <c r="D724" s="536"/>
      <c r="E724" s="536"/>
      <c r="F724" s="536"/>
      <c r="G724" s="536"/>
      <c r="H724" s="536"/>
      <c r="I724" s="536"/>
      <c r="J724" s="536"/>
      <c r="K724" s="536"/>
      <c r="L724" s="536" t="s">
        <v>1756</v>
      </c>
      <c r="M724" s="284" t="s">
        <v>2962</v>
      </c>
      <c r="N724" s="269">
        <f>+R724-AA724</f>
        <v>0</v>
      </c>
      <c r="O724" s="270">
        <f>+Y724-AE724</f>
        <v>0</v>
      </c>
      <c r="P724" s="271">
        <f t="shared" si="122"/>
        <v>0</v>
      </c>
      <c r="Q724" s="520"/>
      <c r="R724" s="354">
        <f>IF(ISERROR(VLOOKUP("SAN"&amp;$C724,ESTR_PREC_SP!$A$2:$G$2000,4,FALSE))=TRUE,0,VLOOKUP("SAN"&amp;$C724,ESTR_PREC_SP!$A$2:$G$2000,4,FALSE))</f>
        <v>0</v>
      </c>
      <c r="S724" s="521"/>
      <c r="T724" s="520"/>
      <c r="U724" s="520"/>
      <c r="V724" s="520"/>
      <c r="W724" s="520"/>
      <c r="X724" s="520"/>
      <c r="Y724" s="269">
        <f>+R724+S724+T724+U724-V724-X724+W724+Q724</f>
        <v>0</v>
      </c>
      <c r="Z724" s="534"/>
      <c r="AA724" s="354">
        <f>IF(ISERROR(VLOOKUP("SAN"&amp;$C724,ESTR_PREC_SP!$A$2:$G$2000,5,FALSE))=TRUE,0,VLOOKUP("SAN"&amp;$C724,ESTR_PREC_SP!$A$2:$G$2000,5,FALSE))</f>
        <v>0</v>
      </c>
      <c r="AB724" s="355"/>
      <c r="AC724" s="520"/>
      <c r="AD724" s="520"/>
      <c r="AE724" s="269">
        <f>+AA724+AD724-AC724+AB724</f>
        <v>0</v>
      </c>
      <c r="AF724" s="520"/>
      <c r="AG724" s="520"/>
      <c r="AH724" s="520"/>
      <c r="AI724" s="520"/>
      <c r="AJ724" s="526">
        <f t="shared" si="124"/>
        <v>0</v>
      </c>
      <c r="AK724" s="526">
        <f t="shared" si="125"/>
        <v>0</v>
      </c>
      <c r="AL724" s="520"/>
      <c r="AM724" s="520"/>
    </row>
    <row r="725" spans="1:39" s="204" customFormat="1" x14ac:dyDescent="0.25"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</row>
    <row r="726" spans="1:39" s="204" customFormat="1" x14ac:dyDescent="0.25">
      <c r="B726" s="230"/>
      <c r="C726" s="230"/>
      <c r="D726" s="230"/>
      <c r="E726" s="230"/>
      <c r="F726" s="230"/>
      <c r="G726" s="230"/>
      <c r="H726" s="231"/>
      <c r="I726" s="230"/>
      <c r="J726" s="230"/>
      <c r="K726" s="230"/>
      <c r="L726" s="232"/>
      <c r="M726" s="211"/>
      <c r="N726" s="254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</row>
    <row r="727" spans="1:39" s="204" customFormat="1" x14ac:dyDescent="0.25">
      <c r="B727" s="246" t="s">
        <v>1757</v>
      </c>
      <c r="C727" s="246" t="s">
        <v>1758</v>
      </c>
      <c r="D727" s="247" t="s">
        <v>3804</v>
      </c>
      <c r="E727" s="247"/>
      <c r="F727" s="247"/>
      <c r="G727" s="247"/>
      <c r="H727" s="248"/>
      <c r="I727" s="247"/>
      <c r="J727" s="247"/>
      <c r="K727" s="249"/>
      <c r="L727" s="250" t="s">
        <v>1759</v>
      </c>
      <c r="M727" s="251" t="s">
        <v>2962</v>
      </c>
      <c r="N727" s="252">
        <f>SUM(N730:N733)</f>
        <v>0</v>
      </c>
      <c r="O727" s="252">
        <f>SUM(O730:O733)</f>
        <v>0</v>
      </c>
      <c r="P727" s="253">
        <f>+O727-N727</f>
        <v>0</v>
      </c>
      <c r="Q727" s="252">
        <f t="shared" ref="Q727:AC727" si="130">SUM(Q730:Q733)</f>
        <v>0</v>
      </c>
      <c r="R727" s="252">
        <f t="shared" si="130"/>
        <v>0</v>
      </c>
      <c r="S727" s="252">
        <f t="shared" si="130"/>
        <v>0</v>
      </c>
      <c r="T727" s="252">
        <f t="shared" si="130"/>
        <v>0</v>
      </c>
      <c r="U727" s="252">
        <f t="shared" si="130"/>
        <v>0</v>
      </c>
      <c r="V727" s="252">
        <f t="shared" si="130"/>
        <v>0</v>
      </c>
      <c r="W727" s="252">
        <f t="shared" si="130"/>
        <v>0</v>
      </c>
      <c r="X727" s="252">
        <f t="shared" si="130"/>
        <v>0</v>
      </c>
      <c r="Y727" s="252">
        <f t="shared" si="130"/>
        <v>0</v>
      </c>
      <c r="Z727" s="252">
        <f t="shared" si="130"/>
        <v>0</v>
      </c>
      <c r="AA727" s="252">
        <f t="shared" si="130"/>
        <v>0</v>
      </c>
      <c r="AB727" s="252">
        <f t="shared" si="130"/>
        <v>0</v>
      </c>
      <c r="AC727" s="252">
        <f t="shared" si="130"/>
        <v>0</v>
      </c>
    </row>
    <row r="728" spans="1:39" s="204" customFormat="1" x14ac:dyDescent="0.25">
      <c r="B728" s="230"/>
      <c r="C728" s="230"/>
      <c r="D728" s="230"/>
      <c r="E728" s="230"/>
      <c r="F728" s="230"/>
      <c r="G728" s="230"/>
      <c r="H728" s="231"/>
      <c r="I728" s="230"/>
      <c r="J728" s="230"/>
      <c r="K728" s="230"/>
      <c r="L728" s="420"/>
      <c r="M728" s="211"/>
      <c r="N728" s="254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</row>
    <row r="729" spans="1:39" s="204" customFormat="1" ht="51" x14ac:dyDescent="0.25">
      <c r="B729" s="260" t="s">
        <v>2968</v>
      </c>
      <c r="C729" s="260" t="s">
        <v>2969</v>
      </c>
      <c r="D729" s="206" t="s">
        <v>72</v>
      </c>
      <c r="E729" s="206"/>
      <c r="F729" s="206"/>
      <c r="G729" s="207"/>
      <c r="H729" s="207"/>
      <c r="I729" s="207"/>
      <c r="J729" s="207" t="s">
        <v>2957</v>
      </c>
      <c r="K729" s="206" t="s">
        <v>82</v>
      </c>
      <c r="L729" s="261" t="s">
        <v>3670</v>
      </c>
      <c r="M729" s="256"/>
      <c r="N729" s="256" t="str">
        <f>N$15</f>
        <v>Valore netto al 31/12/2019</v>
      </c>
      <c r="O729" s="256" t="str">
        <f>O$15</f>
        <v>Valore netto al 31/12/2020</v>
      </c>
      <c r="P729" s="256" t="str">
        <f>P$15</f>
        <v>Variazione</v>
      </c>
      <c r="Q729" s="262" t="s">
        <v>2971</v>
      </c>
      <c r="R729" s="346" t="str">
        <f>"Costo storico al 31/12/"&amp;Info!$B$3-1</f>
        <v>Costo storico al 31/12/2019</v>
      </c>
      <c r="S729" s="346" t="s">
        <v>2972</v>
      </c>
      <c r="T729" s="346" t="s">
        <v>2973</v>
      </c>
      <c r="U729" s="346" t="s">
        <v>2974</v>
      </c>
      <c r="V729" s="346" t="s">
        <v>3517</v>
      </c>
      <c r="W729" s="262" t="s">
        <v>2975</v>
      </c>
      <c r="X729" s="346" t="s">
        <v>2976</v>
      </c>
      <c r="Y729" s="346" t="s">
        <v>3518</v>
      </c>
      <c r="Z729" s="346" t="s">
        <v>2979</v>
      </c>
      <c r="AA729" s="346" t="s">
        <v>3519</v>
      </c>
      <c r="AB729" s="346" t="s">
        <v>2983</v>
      </c>
      <c r="AC729" s="346" t="s">
        <v>3520</v>
      </c>
    </row>
    <row r="730" spans="1:39" s="204" customFormat="1" x14ac:dyDescent="0.25">
      <c r="B730" s="284" t="s">
        <v>1760</v>
      </c>
      <c r="C730" s="284" t="s">
        <v>1761</v>
      </c>
      <c r="D730" s="274" t="s">
        <v>3805</v>
      </c>
      <c r="E730" s="274"/>
      <c r="F730" s="274"/>
      <c r="G730" s="283"/>
      <c r="H730" s="266"/>
      <c r="I730" s="274"/>
      <c r="J730" s="281"/>
      <c r="K730" s="281"/>
      <c r="L730" s="295" t="s">
        <v>3806</v>
      </c>
      <c r="M730" s="284" t="s">
        <v>2962</v>
      </c>
      <c r="N730" s="270">
        <f>+V730</f>
        <v>0</v>
      </c>
      <c r="O730" s="270">
        <f>+AC730</f>
        <v>0</v>
      </c>
      <c r="P730" s="271">
        <f>+O730-N730</f>
        <v>0</v>
      </c>
      <c r="Q730" s="520"/>
      <c r="R730" s="354">
        <f>IF(ISERROR(VLOOKUP("SAN"&amp;$C730,ESTR_PREC_SP!$A$2:$G$2000,4,FALSE))=TRUE,0,VLOOKUP("SAN"&amp;$C730,ESTR_PREC_SP!$A$2:$G$2000,4,FALSE))</f>
        <v>0</v>
      </c>
      <c r="S730" s="538"/>
      <c r="T730" s="538"/>
      <c r="U730" s="538"/>
      <c r="V730" s="526">
        <f>+R730+S730+T730-U730</f>
        <v>0</v>
      </c>
      <c r="W730" s="520"/>
      <c r="X730" s="529">
        <f>+Dettaglio_SP_San!I276</f>
        <v>0</v>
      </c>
      <c r="Y730" s="529">
        <f>+Dettaglio_SP_San!J276</f>
        <v>0</v>
      </c>
      <c r="Z730" s="529">
        <f>+Dettaglio_SP_San!K276</f>
        <v>0</v>
      </c>
      <c r="AA730" s="529">
        <f>+Dettaglio_SP_San!L276</f>
        <v>0</v>
      </c>
      <c r="AB730" s="529">
        <f>+Dettaglio_SP_San!M276</f>
        <v>0</v>
      </c>
      <c r="AC730" s="526">
        <f>+V730+X730+Y730-Z730+AA730-AB730+W730+Q730</f>
        <v>0</v>
      </c>
    </row>
    <row r="731" spans="1:39" s="204" customFormat="1" x14ac:dyDescent="0.25">
      <c r="B731" s="287" t="s">
        <v>1765</v>
      </c>
      <c r="C731" s="287" t="s">
        <v>1766</v>
      </c>
      <c r="D731" s="274" t="s">
        <v>3807</v>
      </c>
      <c r="E731" s="274"/>
      <c r="F731" s="274"/>
      <c r="G731" s="283"/>
      <c r="H731" s="266"/>
      <c r="I731" s="274"/>
      <c r="J731" s="281"/>
      <c r="K731" s="281"/>
      <c r="L731" s="295" t="s">
        <v>3808</v>
      </c>
      <c r="M731" s="284" t="s">
        <v>2962</v>
      </c>
      <c r="N731" s="270">
        <f>+V731</f>
        <v>0</v>
      </c>
      <c r="O731" s="270">
        <f>+AC731</f>
        <v>0</v>
      </c>
      <c r="P731" s="271">
        <f>+O731-N731</f>
        <v>0</v>
      </c>
      <c r="Q731" s="520"/>
      <c r="R731" s="354">
        <f>IF(ISERROR(VLOOKUP("SAN"&amp;$C731,ESTR_PREC_SP!$A$2:$G$2000,4,FALSE))=TRUE,0,VLOOKUP("SAN"&amp;$C731,ESTR_PREC_SP!$A$2:$G$2000,4,FALSE))</f>
        <v>0</v>
      </c>
      <c r="S731" s="538"/>
      <c r="T731" s="538"/>
      <c r="U731" s="538"/>
      <c r="V731" s="526">
        <f>+R731+S731+T731-U731</f>
        <v>0</v>
      </c>
      <c r="W731" s="520"/>
      <c r="X731" s="529">
        <f>+Dettaglio_SP_San!I289</f>
        <v>0</v>
      </c>
      <c r="Y731" s="529">
        <f>+Dettaglio_SP_San!J289</f>
        <v>0</v>
      </c>
      <c r="Z731" s="529">
        <f>+Dettaglio_SP_San!K289</f>
        <v>0</v>
      </c>
      <c r="AA731" s="529">
        <f>+Dettaglio_SP_San!L289</f>
        <v>0</v>
      </c>
      <c r="AB731" s="529">
        <f>+Dettaglio_SP_San!M289</f>
        <v>0</v>
      </c>
      <c r="AC731" s="526">
        <f>+V731+X731+Y731-Z731+AA731-AB731+W731+Q731</f>
        <v>0</v>
      </c>
    </row>
    <row r="732" spans="1:39" s="204" customFormat="1" x14ac:dyDescent="0.25">
      <c r="B732" s="284" t="s">
        <v>1767</v>
      </c>
      <c r="C732" s="284" t="s">
        <v>1768</v>
      </c>
      <c r="D732" s="274" t="s">
        <v>3809</v>
      </c>
      <c r="E732" s="274"/>
      <c r="F732" s="274"/>
      <c r="G732" s="283"/>
      <c r="H732" s="266"/>
      <c r="I732" s="274"/>
      <c r="J732" s="281"/>
      <c r="K732" s="281"/>
      <c r="L732" s="295" t="s">
        <v>3810</v>
      </c>
      <c r="M732" s="284" t="s">
        <v>2962</v>
      </c>
      <c r="N732" s="270">
        <f>+V732</f>
        <v>0</v>
      </c>
      <c r="O732" s="270">
        <f>+AC732</f>
        <v>0</v>
      </c>
      <c r="P732" s="271">
        <f>+O732-N732</f>
        <v>0</v>
      </c>
      <c r="Q732" s="520"/>
      <c r="R732" s="354">
        <f>IF(ISERROR(VLOOKUP("SAN"&amp;$C732,ESTR_PREC_SP!$A$2:$G$2000,4,FALSE))=TRUE,0,VLOOKUP("SAN"&amp;$C732,ESTR_PREC_SP!$A$2:$G$2000,4,FALSE))</f>
        <v>0</v>
      </c>
      <c r="S732" s="538"/>
      <c r="T732" s="538"/>
      <c r="U732" s="538"/>
      <c r="V732" s="526">
        <f>+R732+S732+T732-U732</f>
        <v>0</v>
      </c>
      <c r="W732" s="520"/>
      <c r="X732" s="529">
        <f>+Dettaglio_SP_San!I302</f>
        <v>0</v>
      </c>
      <c r="Y732" s="529">
        <f>+Dettaglio_SP_San!J302</f>
        <v>0</v>
      </c>
      <c r="Z732" s="529">
        <f>+Dettaglio_SP_San!K302</f>
        <v>0</v>
      </c>
      <c r="AA732" s="529">
        <f>+Dettaglio_SP_San!L302</f>
        <v>0</v>
      </c>
      <c r="AB732" s="529">
        <f>+Dettaglio_SP_San!M302</f>
        <v>0</v>
      </c>
      <c r="AC732" s="526">
        <f>+V732+X732+Y732-Z732+AA732-AB732+W732+Q732</f>
        <v>0</v>
      </c>
    </row>
    <row r="733" spans="1:39" s="204" customFormat="1" x14ac:dyDescent="0.25">
      <c r="B733" s="284" t="s">
        <v>1769</v>
      </c>
      <c r="C733" s="284" t="s">
        <v>1770</v>
      </c>
      <c r="D733" s="274" t="s">
        <v>3811</v>
      </c>
      <c r="E733" s="274"/>
      <c r="F733" s="274"/>
      <c r="G733" s="283"/>
      <c r="H733" s="266"/>
      <c r="I733" s="274"/>
      <c r="J733" s="281"/>
      <c r="K733" s="281"/>
      <c r="L733" s="295" t="s">
        <v>3812</v>
      </c>
      <c r="M733" s="284" t="s">
        <v>2962</v>
      </c>
      <c r="N733" s="270">
        <f>+V733</f>
        <v>0</v>
      </c>
      <c r="O733" s="270">
        <f>+AC733</f>
        <v>0</v>
      </c>
      <c r="P733" s="271">
        <f>+O733-N733</f>
        <v>0</v>
      </c>
      <c r="Q733" s="520"/>
      <c r="R733" s="354">
        <f>IF(ISERROR(VLOOKUP("SAN"&amp;$C733,ESTR_PREC_SP!$A$2:$G$2000,4,FALSE))=TRUE,0,VLOOKUP("SAN"&amp;$C733,ESTR_PREC_SP!$A$2:$G$2000,4,FALSE))</f>
        <v>0</v>
      </c>
      <c r="S733" s="538"/>
      <c r="T733" s="538"/>
      <c r="U733" s="538"/>
      <c r="V733" s="526">
        <f>+R733+S733+T733-U733</f>
        <v>0</v>
      </c>
      <c r="W733" s="520"/>
      <c r="X733" s="527"/>
      <c r="Y733" s="527"/>
      <c r="Z733" s="527"/>
      <c r="AA733" s="527"/>
      <c r="AB733" s="527"/>
      <c r="AC733" s="526">
        <f>+V733+X733+Y733-Z733+AA733-AB733+W733+Q733</f>
        <v>0</v>
      </c>
    </row>
    <row r="734" spans="1:39" s="204" customFormat="1" x14ac:dyDescent="0.25"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344" t="s">
        <v>3813</v>
      </c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</row>
    <row r="735" spans="1:39" s="204" customFormat="1" x14ac:dyDescent="0.25"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32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</row>
    <row r="736" spans="1:39" s="204" customFormat="1" x14ac:dyDescent="0.25">
      <c r="B736" s="246" t="s">
        <v>1775</v>
      </c>
      <c r="C736" s="246" t="s">
        <v>1776</v>
      </c>
      <c r="D736" s="247" t="s">
        <v>3814</v>
      </c>
      <c r="E736" s="247"/>
      <c r="F736" s="247"/>
      <c r="G736" s="247"/>
      <c r="H736" s="248"/>
      <c r="I736" s="247"/>
      <c r="J736" s="247"/>
      <c r="K736" s="249"/>
      <c r="L736" s="250" t="s">
        <v>1777</v>
      </c>
      <c r="M736" s="251" t="s">
        <v>2962</v>
      </c>
      <c r="N736" s="252">
        <f>SUM(N739:N742)</f>
        <v>22090561</v>
      </c>
      <c r="O736" s="252">
        <f>SUM(O739:O742)</f>
        <v>15909939</v>
      </c>
      <c r="P736" s="253">
        <f>+O736-N736</f>
        <v>-6180622</v>
      </c>
      <c r="Q736" s="252">
        <f t="shared" ref="Q736:V736" si="131">SUM(Q739:Q742)</f>
        <v>0</v>
      </c>
      <c r="R736" s="252">
        <f t="shared" si="131"/>
        <v>22090561</v>
      </c>
      <c r="S736" s="252">
        <f t="shared" si="131"/>
        <v>0</v>
      </c>
      <c r="T736" s="252">
        <f t="shared" si="131"/>
        <v>287288949</v>
      </c>
      <c r="U736" s="252">
        <f t="shared" si="131"/>
        <v>293469571</v>
      </c>
      <c r="V736" s="252">
        <f t="shared" si="131"/>
        <v>15909939</v>
      </c>
      <c r="W736" s="211"/>
      <c r="X736" s="211"/>
      <c r="Y736" s="211"/>
      <c r="Z736" s="211"/>
      <c r="AA736" s="211"/>
    </row>
    <row r="737" spans="2:27" s="204" customFormat="1" x14ac:dyDescent="0.25"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32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</row>
    <row r="738" spans="2:27" s="204" customFormat="1" ht="51" x14ac:dyDescent="0.25">
      <c r="B738" s="260" t="s">
        <v>2968</v>
      </c>
      <c r="C738" s="260" t="s">
        <v>2969</v>
      </c>
      <c r="D738" s="206" t="s">
        <v>72</v>
      </c>
      <c r="E738" s="206"/>
      <c r="F738" s="206"/>
      <c r="G738" s="207"/>
      <c r="H738" s="207"/>
      <c r="I738" s="207"/>
      <c r="J738" s="207" t="s">
        <v>2957</v>
      </c>
      <c r="K738" s="206" t="s">
        <v>82</v>
      </c>
      <c r="L738" s="261" t="s">
        <v>3670</v>
      </c>
      <c r="M738" s="256"/>
      <c r="N738" s="256" t="str">
        <f>N$15</f>
        <v>Valore netto al 31/12/2019</v>
      </c>
      <c r="O738" s="256" t="str">
        <f>O$15</f>
        <v>Valore netto al 31/12/2020</v>
      </c>
      <c r="P738" s="256" t="str">
        <f>P$15</f>
        <v>Variazione</v>
      </c>
      <c r="Q738" s="262" t="s">
        <v>2971</v>
      </c>
      <c r="R738" s="262" t="s">
        <v>3517</v>
      </c>
      <c r="S738" s="262" t="s">
        <v>2972</v>
      </c>
      <c r="T738" s="262" t="s">
        <v>3495</v>
      </c>
      <c r="U738" s="262" t="s">
        <v>3496</v>
      </c>
      <c r="V738" s="262" t="s">
        <v>3815</v>
      </c>
      <c r="W738" s="211"/>
      <c r="X738" s="211"/>
      <c r="Y738" s="211"/>
      <c r="Z738" s="211"/>
      <c r="AA738" s="211"/>
    </row>
    <row r="739" spans="2:27" s="204" customFormat="1" x14ac:dyDescent="0.25">
      <c r="B739" s="284" t="s">
        <v>1778</v>
      </c>
      <c r="C739" s="284" t="s">
        <v>1779</v>
      </c>
      <c r="D739" s="274" t="s">
        <v>3816</v>
      </c>
      <c r="E739" s="274"/>
      <c r="F739" s="274"/>
      <c r="G739" s="283"/>
      <c r="H739" s="266"/>
      <c r="I739" s="274"/>
      <c r="J739" s="281"/>
      <c r="K739" s="281"/>
      <c r="L739" s="421" t="s">
        <v>3817</v>
      </c>
      <c r="M739" s="263" t="s">
        <v>2962</v>
      </c>
      <c r="N739" s="408">
        <f>+R739</f>
        <v>54618</v>
      </c>
      <c r="O739" s="408">
        <f>+V739</f>
        <v>83937</v>
      </c>
      <c r="P739" s="271">
        <f>+O739-N739</f>
        <v>29319</v>
      </c>
      <c r="Q739" s="520"/>
      <c r="R739" s="354">
        <f>IF(ISERROR(VLOOKUP("SAN"&amp;$C739,ESTR_PREC_SP!$A$2:$G$2000,4,FALSE))=TRUE,0,VLOOKUP("SAN"&amp;$C739,ESTR_PREC_SP!$A$2:$G$2000,4,FALSE))</f>
        <v>54618</v>
      </c>
      <c r="S739" s="521"/>
      <c r="T739" s="520">
        <v>5607713</v>
      </c>
      <c r="U739" s="520">
        <v>5578394</v>
      </c>
      <c r="V739" s="539">
        <f>+R739+S739+T739-U739+Q739</f>
        <v>83937</v>
      </c>
      <c r="W739" s="211"/>
      <c r="X739" s="211"/>
      <c r="Y739" s="211"/>
      <c r="Z739" s="211"/>
      <c r="AA739" s="211"/>
    </row>
    <row r="740" spans="2:27" s="204" customFormat="1" x14ac:dyDescent="0.25">
      <c r="B740" s="284" t="s">
        <v>1784</v>
      </c>
      <c r="C740" s="284" t="s">
        <v>1785</v>
      </c>
      <c r="D740" s="274" t="s">
        <v>3818</v>
      </c>
      <c r="E740" s="274"/>
      <c r="F740" s="274"/>
      <c r="G740" s="283"/>
      <c r="H740" s="266"/>
      <c r="I740" s="274"/>
      <c r="J740" s="281"/>
      <c r="K740" s="281"/>
      <c r="L740" s="422" t="s">
        <v>3819</v>
      </c>
      <c r="M740" s="284" t="s">
        <v>2962</v>
      </c>
      <c r="N740" s="408">
        <f>+R740</f>
        <v>22019007</v>
      </c>
      <c r="O740" s="408">
        <f>+V740</f>
        <v>15810342</v>
      </c>
      <c r="P740" s="271">
        <f>+O740-N740</f>
        <v>-6208665</v>
      </c>
      <c r="Q740" s="520"/>
      <c r="R740" s="354">
        <f>IF(ISERROR(VLOOKUP("SAN"&amp;$C740,ESTR_PREC_SP!$A$2:$G$2000,4,FALSE))=TRUE,0,VLOOKUP("SAN"&amp;$C740,ESTR_PREC_SP!$A$2:$G$2000,4,FALSE))</f>
        <v>22019007</v>
      </c>
      <c r="S740" s="538"/>
      <c r="T740" s="527">
        <v>281665576</v>
      </c>
      <c r="U740" s="527">
        <v>287874241</v>
      </c>
      <c r="V740" s="526">
        <f>+R740+S740+T740-U740+Q740</f>
        <v>15810342</v>
      </c>
      <c r="W740" s="211"/>
      <c r="X740" s="211"/>
      <c r="Y740" s="211"/>
      <c r="Z740" s="211"/>
      <c r="AA740" s="211"/>
    </row>
    <row r="741" spans="2:27" s="204" customFormat="1" x14ac:dyDescent="0.25">
      <c r="B741" s="287" t="s">
        <v>1790</v>
      </c>
      <c r="C741" s="287" t="s">
        <v>1791</v>
      </c>
      <c r="D741" s="274" t="s">
        <v>3820</v>
      </c>
      <c r="E741" s="274"/>
      <c r="F741" s="274"/>
      <c r="G741" s="283"/>
      <c r="H741" s="266"/>
      <c r="I741" s="274"/>
      <c r="J741" s="281"/>
      <c r="K741" s="281"/>
      <c r="L741" s="422" t="s">
        <v>3821</v>
      </c>
      <c r="M741" s="284" t="s">
        <v>2962</v>
      </c>
      <c r="N741" s="408">
        <f>+R741</f>
        <v>0</v>
      </c>
      <c r="O741" s="408">
        <f>+V741</f>
        <v>0</v>
      </c>
      <c r="P741" s="271">
        <f>+O741-N741</f>
        <v>0</v>
      </c>
      <c r="Q741" s="520"/>
      <c r="R741" s="354">
        <f>IF(ISERROR(VLOOKUP("SAN"&amp;$C741,ESTR_PREC_SP!$A$2:$G$2000,4,FALSE))=TRUE,0,VLOOKUP("SAN"&amp;$C741,ESTR_PREC_SP!$A$2:$G$2000,4,FALSE))</f>
        <v>0</v>
      </c>
      <c r="S741" s="538"/>
      <c r="T741" s="527"/>
      <c r="U741" s="527"/>
      <c r="V741" s="526">
        <f>+R741+S741+T741-U741+Q741</f>
        <v>0</v>
      </c>
      <c r="W741" s="211"/>
      <c r="X741" s="211"/>
      <c r="Y741" s="211"/>
      <c r="Z741" s="211"/>
      <c r="AA741" s="211"/>
    </row>
    <row r="742" spans="2:27" s="204" customFormat="1" x14ac:dyDescent="0.25">
      <c r="B742" s="284" t="s">
        <v>1796</v>
      </c>
      <c r="C742" s="284" t="s">
        <v>1797</v>
      </c>
      <c r="D742" s="274" t="s">
        <v>3822</v>
      </c>
      <c r="E742" s="274"/>
      <c r="F742" s="274"/>
      <c r="G742" s="283"/>
      <c r="H742" s="266"/>
      <c r="I742" s="274"/>
      <c r="J742" s="281"/>
      <c r="K742" s="281"/>
      <c r="L742" s="422" t="s">
        <v>3823</v>
      </c>
      <c r="M742" s="284" t="s">
        <v>2962</v>
      </c>
      <c r="N742" s="408">
        <f>+R742</f>
        <v>16936</v>
      </c>
      <c r="O742" s="408">
        <f>+V742</f>
        <v>15660</v>
      </c>
      <c r="P742" s="271">
        <f>+O742-N742</f>
        <v>-1276</v>
      </c>
      <c r="Q742" s="520"/>
      <c r="R742" s="354">
        <f>IF(ISERROR(VLOOKUP("SAN"&amp;$C742,ESTR_PREC_SP!$A$2:$G$2000,4,FALSE))=TRUE,0,VLOOKUP("SAN"&amp;$C742,ESTR_PREC_SP!$A$2:$G$2000,4,FALSE))</f>
        <v>16936</v>
      </c>
      <c r="S742" s="538"/>
      <c r="T742" s="527">
        <v>15660</v>
      </c>
      <c r="U742" s="527">
        <v>16936</v>
      </c>
      <c r="V742" s="526">
        <f>+R742+S742+T742-U742+Q742</f>
        <v>15660</v>
      </c>
      <c r="W742" s="211"/>
      <c r="X742" s="211"/>
      <c r="Y742" s="211"/>
      <c r="Z742" s="211"/>
      <c r="AA742" s="211"/>
    </row>
    <row r="743" spans="2:27" s="204" customFormat="1" ht="26.25" x14ac:dyDescent="0.25">
      <c r="B743" s="230"/>
      <c r="C743" s="230"/>
      <c r="D743" s="230"/>
      <c r="E743" s="230"/>
      <c r="F743" s="230"/>
      <c r="G743" s="230"/>
      <c r="H743" s="231"/>
      <c r="I743" s="230"/>
      <c r="J743" s="230"/>
      <c r="K743" s="230"/>
      <c r="L743" s="232" t="s">
        <v>3824</v>
      </c>
      <c r="M743" s="230"/>
      <c r="N743" s="230"/>
      <c r="O743" s="230"/>
      <c r="P743" s="423"/>
      <c r="Q743" s="213"/>
      <c r="R743" s="213"/>
      <c r="S743" s="211"/>
      <c r="T743" s="211"/>
      <c r="U743" s="211"/>
      <c r="V743" s="211"/>
      <c r="W743" s="211"/>
      <c r="X743" s="211"/>
      <c r="Y743" s="211"/>
      <c r="Z743" s="211"/>
      <c r="AA743" s="211"/>
    </row>
    <row r="744" spans="2:27" s="204" customFormat="1" ht="26.25" x14ac:dyDescent="0.25">
      <c r="B744" s="230"/>
      <c r="C744" s="230"/>
      <c r="D744" s="230"/>
      <c r="E744" s="230"/>
      <c r="F744" s="230"/>
      <c r="G744" s="230"/>
      <c r="H744" s="231"/>
      <c r="I744" s="230"/>
      <c r="J744" s="230"/>
      <c r="K744" s="230"/>
      <c r="L744" s="232" t="s">
        <v>3825</v>
      </c>
      <c r="M744" s="230"/>
      <c r="N744" s="230"/>
      <c r="O744" s="230"/>
      <c r="P744" s="423"/>
      <c r="Q744" s="213"/>
      <c r="R744" s="213"/>
      <c r="S744" s="211"/>
      <c r="T744" s="211"/>
      <c r="U744" s="211"/>
      <c r="V744" s="211"/>
      <c r="W744" s="211"/>
      <c r="X744" s="211"/>
      <c r="Y744" s="211"/>
      <c r="Z744" s="211"/>
      <c r="AA744" s="211"/>
    </row>
    <row r="745" spans="2:27" s="204" customFormat="1" x14ac:dyDescent="0.25">
      <c r="B745" s="230"/>
      <c r="C745" s="230"/>
      <c r="D745" s="230"/>
      <c r="E745" s="230"/>
      <c r="F745" s="230"/>
      <c r="G745" s="230"/>
      <c r="H745" s="231"/>
      <c r="I745" s="230"/>
      <c r="J745" s="230"/>
      <c r="K745" s="230"/>
      <c r="L745" s="299"/>
      <c r="M745" s="384"/>
      <c r="N745" s="384"/>
      <c r="O745" s="384"/>
      <c r="P745" s="384"/>
      <c r="Q745" s="384"/>
      <c r="R745" s="384"/>
      <c r="S745" s="384"/>
      <c r="T745" s="384"/>
      <c r="U745" s="384"/>
      <c r="V745" s="384"/>
      <c r="W745" s="211"/>
      <c r="X745" s="211"/>
      <c r="Y745" s="211"/>
      <c r="Z745" s="211"/>
      <c r="AA745" s="211"/>
    </row>
    <row r="746" spans="2:27" s="204" customFormat="1" x14ac:dyDescent="0.25">
      <c r="B746" s="233" t="s">
        <v>1802</v>
      </c>
      <c r="C746" s="233" t="s">
        <v>1803</v>
      </c>
      <c r="D746" s="234" t="s">
        <v>3826</v>
      </c>
      <c r="E746" s="234"/>
      <c r="F746" s="234"/>
      <c r="G746" s="234"/>
      <c r="H746" s="235"/>
      <c r="I746" s="234"/>
      <c r="J746" s="234"/>
      <c r="K746" s="234"/>
      <c r="L746" s="236" t="s">
        <v>1805</v>
      </c>
      <c r="M746" s="237" t="s">
        <v>2962</v>
      </c>
      <c r="N746" s="238">
        <f>+N748+N758</f>
        <v>33745</v>
      </c>
      <c r="O746" s="238">
        <f>+O748+O758</f>
        <v>8490</v>
      </c>
      <c r="P746" s="239">
        <f>+O746-N746</f>
        <v>-25255</v>
      </c>
      <c r="Q746" s="254"/>
      <c r="R746" s="254"/>
      <c r="S746" s="254"/>
      <c r="T746" s="254"/>
      <c r="U746" s="254"/>
      <c r="V746" s="254"/>
      <c r="W746" s="211"/>
      <c r="X746" s="211"/>
      <c r="Y746" s="211"/>
      <c r="Z746" s="211"/>
      <c r="AA746" s="211"/>
    </row>
    <row r="747" spans="2:27" s="204" customFormat="1" x14ac:dyDescent="0.25">
      <c r="B747" s="216"/>
      <c r="C747" s="216"/>
      <c r="D747" s="226"/>
      <c r="E747" s="226"/>
      <c r="F747" s="226"/>
      <c r="G747" s="226"/>
      <c r="H747" s="227"/>
      <c r="I747" s="226"/>
      <c r="J747" s="226"/>
      <c r="K747" s="226"/>
      <c r="L747" s="241"/>
      <c r="M747" s="216"/>
      <c r="N747" s="254"/>
      <c r="O747" s="254"/>
      <c r="P747" s="254"/>
      <c r="Q747" s="254"/>
      <c r="R747" s="254"/>
      <c r="S747" s="254"/>
      <c r="T747" s="254"/>
      <c r="U747" s="254"/>
      <c r="V747" s="254"/>
      <c r="W747" s="211"/>
      <c r="X747" s="211"/>
      <c r="Y747" s="211"/>
      <c r="Z747" s="211"/>
      <c r="AA747" s="211"/>
    </row>
    <row r="748" spans="2:27" s="204" customFormat="1" x14ac:dyDescent="0.25">
      <c r="B748" s="246" t="s">
        <v>1806</v>
      </c>
      <c r="C748" s="246" t="s">
        <v>1807</v>
      </c>
      <c r="D748" s="247" t="s">
        <v>3827</v>
      </c>
      <c r="E748" s="247"/>
      <c r="F748" s="247"/>
      <c r="G748" s="247"/>
      <c r="H748" s="248"/>
      <c r="I748" s="247"/>
      <c r="J748" s="247"/>
      <c r="K748" s="249"/>
      <c r="L748" s="250" t="s">
        <v>1809</v>
      </c>
      <c r="M748" s="251" t="s">
        <v>2962</v>
      </c>
      <c r="N748" s="252">
        <f>+N751+N752</f>
        <v>0</v>
      </c>
      <c r="O748" s="252">
        <f>+O751+O752</f>
        <v>0</v>
      </c>
      <c r="P748" s="253">
        <f>+O748-N748</f>
        <v>0</v>
      </c>
      <c r="Q748" s="252">
        <f>+Q751+Q752</f>
        <v>0</v>
      </c>
      <c r="R748" s="252">
        <f>+R751+R752</f>
        <v>0</v>
      </c>
      <c r="S748" s="252">
        <f>+S751+S752</f>
        <v>0</v>
      </c>
      <c r="T748" s="252">
        <f>+T751+T752</f>
        <v>0</v>
      </c>
      <c r="U748" s="252">
        <f>+U751+U752</f>
        <v>0</v>
      </c>
      <c r="V748" s="211"/>
      <c r="W748" s="211"/>
      <c r="X748" s="211"/>
      <c r="Y748" s="211"/>
      <c r="Z748" s="211"/>
      <c r="AA748" s="211"/>
    </row>
    <row r="749" spans="2:27" s="204" customFormat="1" x14ac:dyDescent="0.25">
      <c r="B749" s="230"/>
      <c r="C749" s="230"/>
      <c r="D749" s="230"/>
      <c r="E749" s="230"/>
      <c r="F749" s="230"/>
      <c r="G749" s="230"/>
      <c r="H749" s="231"/>
      <c r="I749" s="230"/>
      <c r="J749" s="230"/>
      <c r="K749" s="230"/>
      <c r="L749" s="299"/>
      <c r="M749" s="254"/>
      <c r="N749" s="254"/>
      <c r="O749" s="254"/>
      <c r="P749" s="254"/>
      <c r="Q749" s="254"/>
      <c r="R749" s="254"/>
      <c r="S749" s="254"/>
      <c r="T749" s="254"/>
      <c r="U749" s="254"/>
      <c r="V749" s="254"/>
      <c r="W749" s="211"/>
      <c r="X749" s="211"/>
      <c r="Y749" s="211"/>
      <c r="Z749" s="211"/>
      <c r="AA749" s="211"/>
    </row>
    <row r="750" spans="2:27" s="204" customFormat="1" ht="51" x14ac:dyDescent="0.25">
      <c r="B750" s="260" t="s">
        <v>2968</v>
      </c>
      <c r="C750" s="260" t="s">
        <v>2969</v>
      </c>
      <c r="D750" s="206" t="s">
        <v>72</v>
      </c>
      <c r="E750" s="206"/>
      <c r="F750" s="206"/>
      <c r="G750" s="207"/>
      <c r="H750" s="207"/>
      <c r="I750" s="207"/>
      <c r="J750" s="207" t="s">
        <v>2957</v>
      </c>
      <c r="K750" s="206" t="s">
        <v>82</v>
      </c>
      <c r="L750" s="261" t="s">
        <v>3670</v>
      </c>
      <c r="M750" s="256"/>
      <c r="N750" s="256" t="str">
        <f>N$15</f>
        <v>Valore netto al 31/12/2019</v>
      </c>
      <c r="O750" s="256" t="str">
        <f>O$15</f>
        <v>Valore netto al 31/12/2020</v>
      </c>
      <c r="P750" s="256" t="str">
        <f>P$15</f>
        <v>Variazione</v>
      </c>
      <c r="Q750" s="262" t="s">
        <v>2971</v>
      </c>
      <c r="R750" s="346" t="str">
        <f>+N750</f>
        <v>Valore netto al 31/12/2019</v>
      </c>
      <c r="S750" s="346" t="s">
        <v>2972</v>
      </c>
      <c r="T750" s="346" t="str">
        <f>"Entro 12 mesi ("&amp;Info!B3&amp;")"</f>
        <v>Entro 12 mesi (2020)</v>
      </c>
      <c r="U750" s="346" t="str">
        <f>"Oltre 12 mesi ("&amp;Info!B3&amp;")"</f>
        <v>Oltre 12 mesi (2020)</v>
      </c>
      <c r="V750" s="211"/>
      <c r="W750" s="211"/>
      <c r="X750" s="211"/>
      <c r="Y750" s="211"/>
      <c r="Z750" s="211"/>
      <c r="AA750" s="211"/>
    </row>
    <row r="751" spans="2:27" s="204" customFormat="1" x14ac:dyDescent="0.25">
      <c r="B751" s="287" t="s">
        <v>1810</v>
      </c>
      <c r="C751" s="287" t="s">
        <v>1811</v>
      </c>
      <c r="D751" s="274" t="s">
        <v>3828</v>
      </c>
      <c r="E751" s="274"/>
      <c r="F751" s="274"/>
      <c r="G751" s="283"/>
      <c r="H751" s="266"/>
      <c r="I751" s="274"/>
      <c r="J751" s="281"/>
      <c r="K751" s="281"/>
      <c r="L751" s="424" t="s">
        <v>1813</v>
      </c>
      <c r="M751" s="263" t="s">
        <v>2962</v>
      </c>
      <c r="N751" s="408">
        <f>+R751</f>
        <v>0</v>
      </c>
      <c r="O751" s="408">
        <f>+T751+U751+Q751</f>
        <v>0</v>
      </c>
      <c r="P751" s="271">
        <f>+O751-N751</f>
        <v>0</v>
      </c>
      <c r="Q751" s="527"/>
      <c r="R751" s="354">
        <f>IF(ISERROR(VLOOKUP("SAN"&amp;$C751,ESTR_PREC_SP!$A$2:$G$2000,4,FALSE))=TRUE,0,VLOOKUP("SAN"&amp;$C751,ESTR_PREC_SP!$A$2:$G$2000,4,FALSE))</f>
        <v>0</v>
      </c>
      <c r="S751" s="538"/>
      <c r="T751" s="529">
        <f>+Dettaglio_SP_San!H468</f>
        <v>0</v>
      </c>
      <c r="U751" s="529">
        <f>+Dettaglio_SP_San!I468</f>
        <v>0</v>
      </c>
      <c r="V751" s="254"/>
      <c r="W751" s="211"/>
      <c r="X751" s="211"/>
      <c r="Y751" s="211"/>
      <c r="Z751" s="211"/>
      <c r="AA751" s="211"/>
    </row>
    <row r="752" spans="2:27" s="204" customFormat="1" x14ac:dyDescent="0.25">
      <c r="B752" s="287" t="s">
        <v>1814</v>
      </c>
      <c r="C752" s="287" t="s">
        <v>1815</v>
      </c>
      <c r="D752" s="274" t="s">
        <v>3829</v>
      </c>
      <c r="E752" s="274"/>
      <c r="F752" s="274"/>
      <c r="G752" s="283"/>
      <c r="H752" s="266"/>
      <c r="I752" s="274"/>
      <c r="J752" s="281"/>
      <c r="K752" s="281"/>
      <c r="L752" s="424" t="s">
        <v>1817</v>
      </c>
      <c r="M752" s="284" t="s">
        <v>2962</v>
      </c>
      <c r="N752" s="378">
        <f>SUM(N753:N755)</f>
        <v>0</v>
      </c>
      <c r="O752" s="378">
        <f>SUM(O753:O755)</f>
        <v>0</v>
      </c>
      <c r="P752" s="378">
        <f>+O752-N752</f>
        <v>0</v>
      </c>
      <c r="Q752" s="378">
        <f>SUM(Q753:Q755)</f>
        <v>0</v>
      </c>
      <c r="R752" s="378">
        <f>SUM(R753:R755)</f>
        <v>0</v>
      </c>
      <c r="S752" s="538"/>
      <c r="T752" s="378">
        <f>SUM(T753:T755)</f>
        <v>0</v>
      </c>
      <c r="U752" s="378">
        <f>SUM(U753:U755)</f>
        <v>0</v>
      </c>
      <c r="V752" s="254"/>
      <c r="W752" s="211"/>
      <c r="X752" s="211"/>
      <c r="Y752" s="211"/>
      <c r="Z752" s="211"/>
      <c r="AA752" s="211"/>
    </row>
    <row r="753" spans="2:38" s="204" customFormat="1" x14ac:dyDescent="0.25">
      <c r="B753" s="287" t="s">
        <v>1818</v>
      </c>
      <c r="C753" s="287" t="s">
        <v>1819</v>
      </c>
      <c r="D753" s="274" t="s">
        <v>3830</v>
      </c>
      <c r="E753" s="274"/>
      <c r="F753" s="274"/>
      <c r="G753" s="283"/>
      <c r="H753" s="266"/>
      <c r="I753" s="274"/>
      <c r="J753" s="281"/>
      <c r="K753" s="281"/>
      <c r="L753" s="425" t="s">
        <v>3831</v>
      </c>
      <c r="M753" s="263" t="s">
        <v>2962</v>
      </c>
      <c r="N753" s="408">
        <f>+R753</f>
        <v>0</v>
      </c>
      <c r="O753" s="408">
        <f>+T753+U753+Q753</f>
        <v>0</v>
      </c>
      <c r="P753" s="271">
        <f>+O753-N753</f>
        <v>0</v>
      </c>
      <c r="Q753" s="527"/>
      <c r="R753" s="354">
        <f>IF(ISERROR(VLOOKUP("SAN"&amp;$C753,ESTR_PREC_SP!$A$2:$G$2000,4,FALSE))=TRUE,0,VLOOKUP("SAN"&amp;$C753,ESTR_PREC_SP!$A$2:$G$2000,4,FALSE))</f>
        <v>0</v>
      </c>
      <c r="S753" s="538"/>
      <c r="T753" s="527"/>
      <c r="U753" s="527"/>
      <c r="V753" s="254"/>
      <c r="W753" s="211"/>
      <c r="X753" s="211"/>
      <c r="Y753" s="211"/>
      <c r="Z753" s="211"/>
      <c r="AA753" s="211"/>
    </row>
    <row r="754" spans="2:38" s="204" customFormat="1" hidden="1" x14ac:dyDescent="0.25">
      <c r="B754" s="287" t="s">
        <v>1821</v>
      </c>
      <c r="C754" s="287" t="s">
        <v>1822</v>
      </c>
      <c r="D754" s="274" t="s">
        <v>3832</v>
      </c>
      <c r="E754" s="274"/>
      <c r="F754" s="274"/>
      <c r="G754" s="283"/>
      <c r="H754" s="266"/>
      <c r="I754" s="274"/>
      <c r="J754" s="281"/>
      <c r="K754" s="281"/>
      <c r="L754" s="426" t="s">
        <v>1823</v>
      </c>
      <c r="M754" s="284" t="s">
        <v>2962</v>
      </c>
      <c r="N754" s="408">
        <f>+R754</f>
        <v>0</v>
      </c>
      <c r="O754" s="408">
        <f>+T754+U754+Q754</f>
        <v>0</v>
      </c>
      <c r="P754" s="271">
        <f>+O754-N754</f>
        <v>0</v>
      </c>
      <c r="Q754" s="527"/>
      <c r="R754" s="354">
        <f>IF(ISERROR(VLOOKUP("SAN"&amp;$C754,ESTR_PREC_SP!$A$2:$G$2000,4,FALSE))=TRUE,0,VLOOKUP("SAN"&amp;$C754,ESTR_PREC_SP!$A$2:$G$2000,4,FALSE))</f>
        <v>0</v>
      </c>
      <c r="S754" s="538"/>
      <c r="T754" s="527"/>
      <c r="U754" s="527"/>
      <c r="V754" s="254"/>
      <c r="W754" s="211"/>
      <c r="X754" s="211"/>
      <c r="Y754" s="211"/>
      <c r="Z754" s="211"/>
      <c r="AA754" s="211"/>
    </row>
    <row r="755" spans="2:38" s="204" customFormat="1" x14ac:dyDescent="0.25">
      <c r="B755" s="287" t="s">
        <v>1824</v>
      </c>
      <c r="C755" s="287" t="s">
        <v>1825</v>
      </c>
      <c r="D755" s="274" t="s">
        <v>3833</v>
      </c>
      <c r="E755" s="274"/>
      <c r="F755" s="274"/>
      <c r="G755" s="283"/>
      <c r="H755" s="266"/>
      <c r="I755" s="274"/>
      <c r="J755" s="281"/>
      <c r="K755" s="281"/>
      <c r="L755" s="426" t="s">
        <v>3834</v>
      </c>
      <c r="M755" s="284" t="s">
        <v>2962</v>
      </c>
      <c r="N755" s="408">
        <f>+R755</f>
        <v>0</v>
      </c>
      <c r="O755" s="408">
        <f>+T755+U755+Q755</f>
        <v>0</v>
      </c>
      <c r="P755" s="271">
        <f>+O755-N755</f>
        <v>0</v>
      </c>
      <c r="Q755" s="527"/>
      <c r="R755" s="354">
        <f>IF(ISERROR(VLOOKUP("SAN"&amp;$C755,ESTR_PREC_SP!$A$2:$G$2000,4,FALSE))=TRUE,0,VLOOKUP("SAN"&amp;$C755,ESTR_PREC_SP!$A$2:$G$2000,4,FALSE))</f>
        <v>0</v>
      </c>
      <c r="S755" s="538"/>
      <c r="T755" s="527"/>
      <c r="U755" s="527"/>
      <c r="V755" s="254"/>
      <c r="W755" s="211"/>
      <c r="X755" s="211"/>
      <c r="Y755" s="211"/>
      <c r="Z755" s="211"/>
      <c r="AA755" s="211"/>
    </row>
    <row r="756" spans="2:38" s="204" customFormat="1" ht="27.75" customHeight="1" x14ac:dyDescent="0.25">
      <c r="B756"/>
      <c r="C756"/>
      <c r="D756"/>
      <c r="E756"/>
      <c r="F756"/>
      <c r="G756"/>
      <c r="H756"/>
      <c r="I756"/>
      <c r="J756"/>
      <c r="K756"/>
      <c r="L756" s="344" t="s">
        <v>3835</v>
      </c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</row>
    <row r="757" spans="2:38" s="204" customFormat="1" x14ac:dyDescent="0.25">
      <c r="B757" s="230"/>
      <c r="C757" s="230"/>
      <c r="D757" s="230"/>
      <c r="E757" s="230"/>
      <c r="F757" s="230"/>
      <c r="G757" s="230"/>
      <c r="H757" s="231"/>
      <c r="I757" s="230"/>
      <c r="J757" s="230"/>
      <c r="K757" s="230"/>
      <c r="L757" s="315"/>
      <c r="M757" s="216"/>
      <c r="N757" s="278"/>
      <c r="O757" s="278"/>
      <c r="P757" s="278"/>
      <c r="Q757" s="216"/>
      <c r="R757" s="278"/>
      <c r="S757" s="278"/>
      <c r="T757" s="278"/>
      <c r="U757" s="278"/>
      <c r="V757" s="278"/>
      <c r="W757" s="216"/>
      <c r="X757" s="216"/>
      <c r="Y757" s="216"/>
      <c r="Z757" s="216"/>
      <c r="AA757" s="216"/>
    </row>
    <row r="758" spans="2:38" s="204" customFormat="1" x14ac:dyDescent="0.25">
      <c r="B758" s="246" t="s">
        <v>1827</v>
      </c>
      <c r="C758" s="246" t="s">
        <v>1828</v>
      </c>
      <c r="D758" s="247" t="s">
        <v>3836</v>
      </c>
      <c r="E758" s="247"/>
      <c r="F758" s="247"/>
      <c r="G758" s="247"/>
      <c r="H758" s="248"/>
      <c r="I758" s="247"/>
      <c r="J758" s="247"/>
      <c r="K758" s="249"/>
      <c r="L758" s="250" t="s">
        <v>1830</v>
      </c>
      <c r="M758" s="251" t="s">
        <v>2962</v>
      </c>
      <c r="N758" s="252">
        <f>+N761+N762</f>
        <v>33745</v>
      </c>
      <c r="O758" s="252">
        <f>+O761+O762</f>
        <v>8490</v>
      </c>
      <c r="P758" s="253">
        <f>+O758-N758</f>
        <v>-25255</v>
      </c>
      <c r="Q758" s="252">
        <f>+Q761+Q762</f>
        <v>0</v>
      </c>
      <c r="R758" s="252">
        <f>+R761+R762</f>
        <v>33745</v>
      </c>
      <c r="S758" s="252">
        <f>+S761+S762</f>
        <v>0</v>
      </c>
      <c r="T758" s="252">
        <f>+T761+T762</f>
        <v>8490</v>
      </c>
      <c r="U758" s="252">
        <f>+U761+U762</f>
        <v>0</v>
      </c>
      <c r="V758" s="211"/>
      <c r="W758" s="211"/>
      <c r="X758" s="211"/>
      <c r="Y758" s="211"/>
      <c r="Z758" s="211"/>
      <c r="AA758" s="211"/>
    </row>
    <row r="759" spans="2:38" s="204" customFormat="1" x14ac:dyDescent="0.25">
      <c r="B759" s="230"/>
      <c r="C759" s="230"/>
      <c r="D759" s="230"/>
      <c r="E759" s="230"/>
      <c r="F759" s="230"/>
      <c r="G759" s="230"/>
      <c r="H759" s="231"/>
      <c r="I759" s="230"/>
      <c r="J759" s="230"/>
      <c r="K759" s="230"/>
      <c r="L759" s="315"/>
      <c r="M759" s="216"/>
      <c r="N759" s="278"/>
      <c r="O759" s="278"/>
      <c r="P759" s="278"/>
      <c r="Q759" s="216"/>
      <c r="R759" s="278"/>
      <c r="T759" s="278"/>
      <c r="U759" s="278"/>
      <c r="V759" s="278"/>
      <c r="W759" s="216"/>
      <c r="X759" s="216"/>
      <c r="Y759" s="216"/>
      <c r="Z759" s="216"/>
      <c r="AA759" s="216"/>
    </row>
    <row r="760" spans="2:38" s="204" customFormat="1" ht="51" x14ac:dyDescent="0.25">
      <c r="B760" s="260" t="s">
        <v>2968</v>
      </c>
      <c r="C760" s="260" t="s">
        <v>2969</v>
      </c>
      <c r="D760" s="206" t="s">
        <v>72</v>
      </c>
      <c r="E760" s="206"/>
      <c r="F760" s="206"/>
      <c r="G760" s="207"/>
      <c r="H760" s="207"/>
      <c r="I760" s="207"/>
      <c r="J760" s="207" t="s">
        <v>2957</v>
      </c>
      <c r="K760" s="206" t="s">
        <v>82</v>
      </c>
      <c r="L760" s="261" t="s">
        <v>3670</v>
      </c>
      <c r="M760" s="256"/>
      <c r="N760" s="256" t="str">
        <f>N$15</f>
        <v>Valore netto al 31/12/2019</v>
      </c>
      <c r="O760" s="256" t="str">
        <f>O$15</f>
        <v>Valore netto al 31/12/2020</v>
      </c>
      <c r="P760" s="256" t="str">
        <f>P$15</f>
        <v>Variazione</v>
      </c>
      <c r="Q760" s="262" t="s">
        <v>2971</v>
      </c>
      <c r="R760" s="346" t="str">
        <f>+N760</f>
        <v>Valore netto al 31/12/2019</v>
      </c>
      <c r="S760" s="346" t="s">
        <v>2972</v>
      </c>
      <c r="T760" s="346" t="str">
        <f>"Entro 12 mesi ("&amp;Info!B3&amp;")"</f>
        <v>Entro 12 mesi (2020)</v>
      </c>
      <c r="U760" s="346" t="str">
        <f>"Oltre 12 mesi ("&amp;Info!B3&amp;")"</f>
        <v>Oltre 12 mesi (2020)</v>
      </c>
      <c r="V760" s="211"/>
      <c r="W760" s="211"/>
      <c r="X760" s="211"/>
      <c r="Y760" s="211"/>
      <c r="Z760" s="211"/>
      <c r="AA760" s="211"/>
    </row>
    <row r="761" spans="2:38" s="204" customFormat="1" x14ac:dyDescent="0.25">
      <c r="B761" s="287" t="s">
        <v>1831</v>
      </c>
      <c r="C761" s="287" t="s">
        <v>1832</v>
      </c>
      <c r="D761" s="274" t="s">
        <v>3837</v>
      </c>
      <c r="E761" s="274"/>
      <c r="F761" s="274"/>
      <c r="G761" s="283"/>
      <c r="H761" s="266"/>
      <c r="I761" s="274"/>
      <c r="J761" s="281"/>
      <c r="K761" s="281"/>
      <c r="L761" s="421" t="s">
        <v>1834</v>
      </c>
      <c r="M761" s="263" t="s">
        <v>2962</v>
      </c>
      <c r="N761" s="408">
        <f>+R761</f>
        <v>33745</v>
      </c>
      <c r="O761" s="408">
        <f>+T761+U761+Q761</f>
        <v>8490</v>
      </c>
      <c r="P761" s="271">
        <f>+O761-N761</f>
        <v>-25255</v>
      </c>
      <c r="Q761" s="527"/>
      <c r="R761" s="354">
        <f>IF(ISERROR(VLOOKUP("SAN"&amp;$C761,ESTR_PREC_SP!$A$2:$G$2000,4,FALSE))=TRUE,0,VLOOKUP("SAN"&amp;$C761,ESTR_PREC_SP!$A$2:$G$2000,4,FALSE))</f>
        <v>33745</v>
      </c>
      <c r="S761" s="538"/>
      <c r="T761" s="529">
        <f>+Dettaglio_SP_San!H498</f>
        <v>8490</v>
      </c>
      <c r="U761" s="529">
        <f>+Dettaglio_SP_San!I498</f>
        <v>0</v>
      </c>
      <c r="V761" s="254"/>
      <c r="W761" s="211"/>
      <c r="X761" s="211"/>
      <c r="Y761" s="211"/>
      <c r="Z761" s="211"/>
      <c r="AA761" s="211"/>
    </row>
    <row r="762" spans="2:38" s="204" customFormat="1" x14ac:dyDescent="0.25">
      <c r="B762" s="287" t="s">
        <v>1835</v>
      </c>
      <c r="C762" s="287" t="s">
        <v>1836</v>
      </c>
      <c r="D762" s="274" t="s">
        <v>3838</v>
      </c>
      <c r="E762" s="274"/>
      <c r="F762" s="274"/>
      <c r="G762" s="283"/>
      <c r="H762" s="266"/>
      <c r="I762" s="274"/>
      <c r="J762" s="281"/>
      <c r="K762" s="281"/>
      <c r="L762" s="421" t="s">
        <v>1838</v>
      </c>
      <c r="M762" s="284" t="s">
        <v>2962</v>
      </c>
      <c r="N762" s="408">
        <f>+R762</f>
        <v>0</v>
      </c>
      <c r="O762" s="408">
        <f>+T762+U762+Q762</f>
        <v>0</v>
      </c>
      <c r="P762" s="271">
        <f>+O762-N762</f>
        <v>0</v>
      </c>
      <c r="Q762" s="527"/>
      <c r="R762" s="354">
        <f>IF(ISERROR(VLOOKUP("SAN"&amp;$C762,ESTR_PREC_SP!$A$2:$G$2000,4,FALSE))=TRUE,0,VLOOKUP("SAN"&amp;$C762,ESTR_PREC_SP!$A$2:$G$2000,4,FALSE))</f>
        <v>0</v>
      </c>
      <c r="S762" s="538"/>
      <c r="T762" s="527"/>
      <c r="U762" s="527"/>
      <c r="V762" s="254"/>
      <c r="W762" s="211"/>
      <c r="X762" s="211"/>
      <c r="Y762" s="211"/>
      <c r="Z762" s="211"/>
      <c r="AA762" s="211"/>
    </row>
    <row r="763" spans="2:38" s="204" customFormat="1" ht="26.25" x14ac:dyDescent="0.25">
      <c r="B763"/>
      <c r="C763"/>
      <c r="D763"/>
      <c r="E763"/>
      <c r="F763"/>
      <c r="G763"/>
      <c r="H763"/>
      <c r="I763"/>
      <c r="J763"/>
      <c r="K763"/>
      <c r="L763" s="344" t="s">
        <v>3839</v>
      </c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</row>
    <row r="764" spans="2:38" s="204" customFormat="1" x14ac:dyDescent="0.25"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32"/>
      <c r="M764" s="211"/>
      <c r="N764" s="211"/>
      <c r="O764" s="211"/>
      <c r="P764" s="211"/>
      <c r="Q764" s="211"/>
      <c r="R764" s="254"/>
      <c r="S764" s="254"/>
      <c r="T764" s="254"/>
      <c r="U764" s="254"/>
      <c r="V764" s="254"/>
      <c r="W764" s="211"/>
      <c r="X764" s="211"/>
      <c r="Y764" s="211"/>
      <c r="Z764" s="211"/>
      <c r="AA764" s="211"/>
    </row>
    <row r="765" spans="2:38" s="204" customFormat="1" x14ac:dyDescent="0.25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315"/>
      <c r="M765" s="216"/>
      <c r="N765" s="216"/>
      <c r="O765" s="216"/>
      <c r="P765" s="216"/>
      <c r="Q765" s="216"/>
      <c r="R765" s="278"/>
      <c r="S765" s="278"/>
      <c r="T765" s="278"/>
      <c r="U765" s="278"/>
      <c r="V765" s="278"/>
      <c r="W765" s="216"/>
      <c r="X765" s="216"/>
      <c r="Y765" s="216"/>
      <c r="Z765" s="216"/>
      <c r="AA765" s="216"/>
    </row>
    <row r="766" spans="2:38" s="204" customFormat="1" x14ac:dyDescent="0.25">
      <c r="B766" s="236" t="s">
        <v>1839</v>
      </c>
      <c r="C766" s="236" t="s">
        <v>1840</v>
      </c>
      <c r="D766" s="234" t="s">
        <v>3840</v>
      </c>
      <c r="E766" s="234"/>
      <c r="F766" s="234"/>
      <c r="G766" s="234"/>
      <c r="H766" s="235"/>
      <c r="I766" s="234"/>
      <c r="J766" s="234"/>
      <c r="K766" s="234"/>
      <c r="L766" s="236" t="s">
        <v>1841</v>
      </c>
      <c r="M766" s="237" t="s">
        <v>2962</v>
      </c>
      <c r="N766" s="238">
        <f>+N769+N770+N771+N773+N772</f>
        <v>7562304</v>
      </c>
      <c r="O766" s="238">
        <f>+O769+O770+O771+O773+O772</f>
        <v>8399763</v>
      </c>
      <c r="P766" s="239">
        <f>+O766-N766</f>
        <v>837459</v>
      </c>
      <c r="Q766" s="216"/>
      <c r="R766" s="278"/>
      <c r="S766" s="224">
        <f>SUM(S769:S773)</f>
        <v>0</v>
      </c>
      <c r="T766" s="225" t="str">
        <f>IF(S766&lt;&gt;0,"SQUADRATURA CONTI D'ORDINE ATTIVO  PER GIROCONTI SU NUOVI CONTI SP","")</f>
        <v/>
      </c>
      <c r="U766" s="278"/>
      <c r="V766" s="278"/>
      <c r="W766" s="216"/>
      <c r="X766" s="216"/>
      <c r="Y766" s="216"/>
      <c r="Z766" s="216"/>
      <c r="AA766" s="216"/>
    </row>
    <row r="767" spans="2:38" s="204" customFormat="1" x14ac:dyDescent="0.25">
      <c r="B767" s="230"/>
      <c r="C767" s="230"/>
      <c r="D767" s="230"/>
      <c r="E767" s="230"/>
      <c r="F767" s="230"/>
      <c r="G767" s="230"/>
      <c r="H767" s="231"/>
      <c r="I767" s="230"/>
      <c r="J767" s="230"/>
      <c r="K767" s="230"/>
      <c r="L767" s="315"/>
      <c r="M767" s="216"/>
      <c r="N767" s="278"/>
      <c r="O767" s="278"/>
      <c r="P767" s="278"/>
      <c r="Q767" s="216"/>
      <c r="R767" s="278"/>
      <c r="S767" s="278"/>
      <c r="T767" s="278"/>
      <c r="U767" s="278"/>
      <c r="V767" s="278"/>
      <c r="W767" s="216"/>
      <c r="X767" s="216"/>
      <c r="Y767" s="216"/>
      <c r="Z767" s="216"/>
      <c r="AA767" s="216"/>
    </row>
    <row r="768" spans="2:38" s="204" customFormat="1" ht="51" x14ac:dyDescent="0.25">
      <c r="B768" s="260" t="s">
        <v>2968</v>
      </c>
      <c r="C768" s="260" t="s">
        <v>2969</v>
      </c>
      <c r="D768" s="206" t="s">
        <v>72</v>
      </c>
      <c r="E768" s="206"/>
      <c r="F768" s="206"/>
      <c r="G768" s="207"/>
      <c r="H768" s="207"/>
      <c r="I768" s="207"/>
      <c r="J768" s="207" t="s">
        <v>2957</v>
      </c>
      <c r="K768" s="206" t="s">
        <v>82</v>
      </c>
      <c r="L768" s="261" t="s">
        <v>3670</v>
      </c>
      <c r="M768" s="256"/>
      <c r="N768" s="256" t="str">
        <f>N$15</f>
        <v>Valore netto al 31/12/2019</v>
      </c>
      <c r="O768" s="256" t="str">
        <f>O$15</f>
        <v>Valore netto al 31/12/2020</v>
      </c>
      <c r="P768" s="256" t="str">
        <f>P$15</f>
        <v>Variazione</v>
      </c>
      <c r="Q768" s="262" t="s">
        <v>2971</v>
      </c>
      <c r="R768" s="262" t="s">
        <v>3517</v>
      </c>
      <c r="S768" s="346" t="s">
        <v>2972</v>
      </c>
      <c r="T768" s="346" t="s">
        <v>3495</v>
      </c>
      <c r="U768" s="346" t="s">
        <v>3496</v>
      </c>
      <c r="V768" s="346" t="s">
        <v>3815</v>
      </c>
      <c r="W768" s="211"/>
      <c r="X768" s="211"/>
      <c r="Y768" s="211"/>
      <c r="Z768" s="211"/>
      <c r="AA768" s="211"/>
    </row>
    <row r="769" spans="1:38" s="204" customFormat="1" x14ac:dyDescent="0.25">
      <c r="B769" s="284" t="s">
        <v>1842</v>
      </c>
      <c r="C769" s="284" t="s">
        <v>1843</v>
      </c>
      <c r="D769" s="274" t="s">
        <v>3841</v>
      </c>
      <c r="E769" s="274"/>
      <c r="F769" s="274"/>
      <c r="G769" s="283"/>
      <c r="H769" s="266"/>
      <c r="I769" s="427"/>
      <c r="J769" s="281"/>
      <c r="K769" s="281"/>
      <c r="L769" s="422" t="s">
        <v>1846</v>
      </c>
      <c r="M769" s="284" t="s">
        <v>2962</v>
      </c>
      <c r="N769" s="408">
        <f>+R769</f>
        <v>0</v>
      </c>
      <c r="O769" s="408">
        <f>+V769</f>
        <v>0</v>
      </c>
      <c r="P769" s="271">
        <f>+O769-N769</f>
        <v>0</v>
      </c>
      <c r="Q769" s="527"/>
      <c r="R769" s="354">
        <f>IF(ISERROR(VLOOKUP("SAN"&amp;$C769,ESTR_PREC_SP!$A$2:$G$2000,4,FALSE))=TRUE,0,VLOOKUP("SAN"&amp;$C769,ESTR_PREC_SP!$A$2:$G$2000,4,FALSE))</f>
        <v>0</v>
      </c>
      <c r="S769" s="521"/>
      <c r="T769" s="527"/>
      <c r="U769" s="527"/>
      <c r="V769" s="526">
        <f>+R769+S769+T769-U769+Q769</f>
        <v>0</v>
      </c>
      <c r="W769" s="211"/>
      <c r="X769" s="211"/>
      <c r="Y769" s="211"/>
      <c r="Z769" s="211"/>
      <c r="AA769" s="211"/>
    </row>
    <row r="770" spans="1:38" s="204" customFormat="1" x14ac:dyDescent="0.25">
      <c r="B770" s="284" t="s">
        <v>1847</v>
      </c>
      <c r="C770" s="284" t="s">
        <v>1848</v>
      </c>
      <c r="D770" s="274" t="s">
        <v>3842</v>
      </c>
      <c r="E770" s="274"/>
      <c r="F770" s="274"/>
      <c r="G770" s="283"/>
      <c r="H770" s="266"/>
      <c r="I770" s="427"/>
      <c r="J770" s="281"/>
      <c r="K770" s="281"/>
      <c r="L770" s="422" t="s">
        <v>1851</v>
      </c>
      <c r="M770" s="284" t="s">
        <v>2962</v>
      </c>
      <c r="N770" s="408">
        <f>+R770</f>
        <v>0</v>
      </c>
      <c r="O770" s="408">
        <f>+V770</f>
        <v>0</v>
      </c>
      <c r="P770" s="271">
        <f>+O770-N770</f>
        <v>0</v>
      </c>
      <c r="Q770" s="527"/>
      <c r="R770" s="354">
        <f>IF(ISERROR(VLOOKUP("SAN"&amp;$C770,ESTR_PREC_SP!$A$2:$G$2000,4,FALSE))=TRUE,0,VLOOKUP("SAN"&amp;$C770,ESTR_PREC_SP!$A$2:$G$2000,4,FALSE))</f>
        <v>0</v>
      </c>
      <c r="S770" s="521"/>
      <c r="T770" s="527"/>
      <c r="U770" s="527"/>
      <c r="V770" s="526">
        <f>+R770+S770+T770-U770+Q770</f>
        <v>0</v>
      </c>
      <c r="W770" s="211"/>
      <c r="X770" s="211"/>
      <c r="Y770" s="211"/>
      <c r="Z770" s="211"/>
      <c r="AA770" s="211"/>
    </row>
    <row r="771" spans="1:38" s="204" customFormat="1" x14ac:dyDescent="0.25">
      <c r="B771" s="284" t="s">
        <v>1852</v>
      </c>
      <c r="C771" s="284" t="s">
        <v>1853</v>
      </c>
      <c r="D771" s="274" t="s">
        <v>3843</v>
      </c>
      <c r="E771" s="274"/>
      <c r="F771" s="274"/>
      <c r="G771" s="283"/>
      <c r="H771" s="266"/>
      <c r="I771" s="427"/>
      <c r="J771" s="281"/>
      <c r="K771" s="281"/>
      <c r="L771" s="422" t="s">
        <v>1856</v>
      </c>
      <c r="M771" s="284" t="s">
        <v>2962</v>
      </c>
      <c r="N771" s="408">
        <f>+R771</f>
        <v>7812</v>
      </c>
      <c r="O771" s="408">
        <f>+V771</f>
        <v>7812</v>
      </c>
      <c r="P771" s="271">
        <f>+O771-N771</f>
        <v>0</v>
      </c>
      <c r="Q771" s="527"/>
      <c r="R771" s="354">
        <f>IF(ISERROR(VLOOKUP("SAN"&amp;$C771,ESTR_PREC_SP!$A$2:$G$2000,4,FALSE))=TRUE,0,VLOOKUP("SAN"&amp;$C771,ESTR_PREC_SP!$A$2:$G$2000,4,FALSE))</f>
        <v>7812</v>
      </c>
      <c r="S771" s="521"/>
      <c r="T771" s="527"/>
      <c r="U771" s="527"/>
      <c r="V771" s="526">
        <f>+R771+S771+T771-U771+Q771</f>
        <v>7812</v>
      </c>
      <c r="W771" s="211"/>
      <c r="X771" s="211"/>
      <c r="Y771" s="211"/>
      <c r="Z771" s="211"/>
      <c r="AA771" s="211"/>
    </row>
    <row r="772" spans="1:38" s="204" customFormat="1" x14ac:dyDescent="0.25">
      <c r="A772" s="535" t="s">
        <v>3681</v>
      </c>
      <c r="B772" s="536" t="s">
        <v>1857</v>
      </c>
      <c r="C772" s="536" t="s">
        <v>1858</v>
      </c>
      <c r="D772" s="536"/>
      <c r="E772" s="536"/>
      <c r="F772" s="536"/>
      <c r="G772" s="536"/>
      <c r="H772" s="536"/>
      <c r="I772" s="536"/>
      <c r="J772" s="536"/>
      <c r="K772" s="536"/>
      <c r="L772" s="536" t="s">
        <v>1861</v>
      </c>
      <c r="M772" s="284" t="s">
        <v>2962</v>
      </c>
      <c r="N772" s="408">
        <f>+R772</f>
        <v>0</v>
      </c>
      <c r="O772" s="408">
        <f>+V772</f>
        <v>0</v>
      </c>
      <c r="P772" s="271">
        <f>+O772-N772</f>
        <v>0</v>
      </c>
      <c r="Q772" s="527"/>
      <c r="R772" s="354">
        <f>IF(ISERROR(VLOOKUP("SAN"&amp;$C772,ESTR_PREC_SP!$A$2:$G$2000,4,FALSE))=TRUE,0,VLOOKUP("SAN"&amp;$C772,ESTR_PREC_SP!$A$2:$G$2000,4,FALSE))</f>
        <v>0</v>
      </c>
      <c r="S772" s="521"/>
      <c r="T772" s="527"/>
      <c r="U772" s="527"/>
      <c r="V772" s="526">
        <f>+R772+S772+T772-U772+Q772</f>
        <v>0</v>
      </c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G772" s="211"/>
      <c r="AH772" s="211"/>
      <c r="AI772" s="211"/>
      <c r="AJ772" s="211"/>
      <c r="AK772" s="211"/>
      <c r="AL772" s="211"/>
    </row>
    <row r="773" spans="1:38" s="204" customFormat="1" x14ac:dyDescent="0.25">
      <c r="B773" s="284" t="s">
        <v>1862</v>
      </c>
      <c r="C773" s="284" t="s">
        <v>1863</v>
      </c>
      <c r="D773" s="274" t="s">
        <v>3844</v>
      </c>
      <c r="E773" s="274"/>
      <c r="F773" s="274"/>
      <c r="G773" s="283"/>
      <c r="H773" s="266"/>
      <c r="I773" s="427"/>
      <c r="J773" s="281"/>
      <c r="K773" s="281"/>
      <c r="L773" s="422" t="s">
        <v>3845</v>
      </c>
      <c r="M773" s="284" t="s">
        <v>2962</v>
      </c>
      <c r="N773" s="378">
        <f>SUM(N774:N787)</f>
        <v>7554492</v>
      </c>
      <c r="O773" s="378">
        <f>SUM(O774:O787)</f>
        <v>8391951</v>
      </c>
      <c r="P773" s="378">
        <f>+O773-N773</f>
        <v>837459</v>
      </c>
      <c r="Q773" s="378">
        <f>SUM(Q774:Q787)</f>
        <v>0</v>
      </c>
      <c r="R773" s="378">
        <f>SUM(R775:R777)+SUM(R779:R782)+SUM(R784:R787)</f>
        <v>7554492</v>
      </c>
      <c r="S773" s="378">
        <f>SUM(S774:S787)</f>
        <v>0</v>
      </c>
      <c r="T773" s="378">
        <f>SUM(T774:T787)</f>
        <v>1058706</v>
      </c>
      <c r="U773" s="378">
        <f>SUM(U774:U787)</f>
        <v>221247</v>
      </c>
      <c r="V773" s="378">
        <f>SUM(V774:V787)</f>
        <v>8391951</v>
      </c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</row>
    <row r="774" spans="1:38" s="204" customFormat="1" x14ac:dyDescent="0.25">
      <c r="B774" s="284" t="s">
        <v>1866</v>
      </c>
      <c r="C774" s="284" t="s">
        <v>1867</v>
      </c>
      <c r="D774" s="274" t="s">
        <v>3846</v>
      </c>
      <c r="E774" s="274"/>
      <c r="F774" s="274"/>
      <c r="G774" s="283"/>
      <c r="H774" s="266"/>
      <c r="I774" s="427"/>
      <c r="J774" s="281"/>
      <c r="K774" s="281"/>
      <c r="L774" s="422" t="s">
        <v>3847</v>
      </c>
      <c r="M774" s="284" t="s">
        <v>2962</v>
      </c>
      <c r="N774" s="352"/>
      <c r="O774" s="352"/>
      <c r="P774" s="352"/>
      <c r="Q774" s="352"/>
      <c r="R774" s="352"/>
      <c r="S774" s="352"/>
      <c r="T774" s="352"/>
      <c r="U774" s="352"/>
      <c r="V774" s="352"/>
      <c r="W774" s="211"/>
      <c r="X774" s="211"/>
      <c r="Y774" s="211"/>
      <c r="Z774" s="211"/>
      <c r="AA774" s="211"/>
    </row>
    <row r="775" spans="1:38" s="204" customFormat="1" x14ac:dyDescent="0.25">
      <c r="B775" s="284" t="s">
        <v>1869</v>
      </c>
      <c r="C775" s="284" t="s">
        <v>1870</v>
      </c>
      <c r="D775" s="274" t="s">
        <v>3848</v>
      </c>
      <c r="E775" s="274"/>
      <c r="F775" s="274"/>
      <c r="G775" s="283"/>
      <c r="H775" s="266"/>
      <c r="I775" s="427"/>
      <c r="J775" s="281"/>
      <c r="K775" s="281"/>
      <c r="L775" s="430" t="s">
        <v>3849</v>
      </c>
      <c r="M775" s="284" t="s">
        <v>2962</v>
      </c>
      <c r="N775" s="408">
        <f>+R775</f>
        <v>153200</v>
      </c>
      <c r="O775" s="408">
        <f>+V775</f>
        <v>153200</v>
      </c>
      <c r="P775" s="271">
        <f>+O775-N775</f>
        <v>0</v>
      </c>
      <c r="Q775" s="527"/>
      <c r="R775" s="354">
        <f>IF(ISERROR(VLOOKUP("SAN"&amp;$C775,ESTR_PREC_SP!$A$2:$G$2000,4,FALSE))=TRUE,0,VLOOKUP("SAN"&amp;$C775,ESTR_PREC_SP!$A$2:$G$2000,4,FALSE))</f>
        <v>153200</v>
      </c>
      <c r="S775" s="521"/>
      <c r="T775" s="527"/>
      <c r="U775" s="527"/>
      <c r="V775" s="526">
        <f>+R775+S775+T775-U775+Q775</f>
        <v>153200</v>
      </c>
      <c r="W775" s="211"/>
      <c r="X775" s="211"/>
      <c r="Y775" s="211"/>
      <c r="Z775" s="211"/>
      <c r="AA775" s="211"/>
    </row>
    <row r="776" spans="1:38" s="204" customFormat="1" x14ac:dyDescent="0.25">
      <c r="B776" s="284" t="s">
        <v>1872</v>
      </c>
      <c r="C776" s="284" t="s">
        <v>1873</v>
      </c>
      <c r="D776" s="274" t="s">
        <v>3850</v>
      </c>
      <c r="E776" s="274"/>
      <c r="F776" s="274"/>
      <c r="G776" s="283"/>
      <c r="H776" s="266"/>
      <c r="I776" s="427"/>
      <c r="J776" s="281"/>
      <c r="K776" s="281"/>
      <c r="L776" s="430" t="s">
        <v>3851</v>
      </c>
      <c r="M776" s="284" t="s">
        <v>2962</v>
      </c>
      <c r="N776" s="408">
        <f>+R776</f>
        <v>0</v>
      </c>
      <c r="O776" s="408">
        <f>+V776</f>
        <v>0</v>
      </c>
      <c r="P776" s="271">
        <f>+O776-N776</f>
        <v>0</v>
      </c>
      <c r="Q776" s="527"/>
      <c r="R776" s="354">
        <f>IF(ISERROR(VLOOKUP("SAN"&amp;$C776,ESTR_PREC_SP!$A$2:$G$2000,4,FALSE))=TRUE,0,VLOOKUP("SAN"&amp;$C776,ESTR_PREC_SP!$A$2:$G$2000,4,FALSE))</f>
        <v>0</v>
      </c>
      <c r="S776" s="521"/>
      <c r="T776" s="527"/>
      <c r="U776" s="527"/>
      <c r="V776" s="526">
        <f>+R776+S776+T776-U776+Q776</f>
        <v>0</v>
      </c>
      <c r="W776" s="211"/>
      <c r="X776" s="211"/>
      <c r="Y776" s="211"/>
      <c r="Z776" s="211"/>
      <c r="AA776" s="211"/>
    </row>
    <row r="777" spans="1:38" s="204" customFormat="1" x14ac:dyDescent="0.25">
      <c r="B777" s="284" t="s">
        <v>1875</v>
      </c>
      <c r="C777" s="284" t="s">
        <v>1876</v>
      </c>
      <c r="D777" s="274" t="s">
        <v>3852</v>
      </c>
      <c r="E777" s="274"/>
      <c r="F777" s="274"/>
      <c r="G777" s="283"/>
      <c r="H777" s="266"/>
      <c r="I777" s="427"/>
      <c r="J777" s="281"/>
      <c r="K777" s="281"/>
      <c r="L777" s="430" t="s">
        <v>3853</v>
      </c>
      <c r="M777" s="284" t="s">
        <v>2962</v>
      </c>
      <c r="N777" s="408">
        <f>+R777</f>
        <v>0</v>
      </c>
      <c r="O777" s="408">
        <f>+V777</f>
        <v>0</v>
      </c>
      <c r="P777" s="271">
        <f>+O777-N777</f>
        <v>0</v>
      </c>
      <c r="Q777" s="527"/>
      <c r="R777" s="354">
        <f>IF(ISERROR(VLOOKUP("SAN"&amp;$C777,ESTR_PREC_SP!$A$2:$G$2000,4,FALSE))=TRUE,0,VLOOKUP("SAN"&amp;$C777,ESTR_PREC_SP!$A$2:$G$2000,4,FALSE))</f>
        <v>0</v>
      </c>
      <c r="S777" s="521"/>
      <c r="T777" s="527"/>
      <c r="U777" s="527"/>
      <c r="V777" s="526">
        <f>+R777+S777+T777-U777+Q777</f>
        <v>0</v>
      </c>
      <c r="W777" s="211"/>
      <c r="X777" s="211"/>
      <c r="Y777" s="211"/>
      <c r="Z777" s="211"/>
      <c r="AA777" s="211"/>
    </row>
    <row r="778" spans="1:38" s="204" customFormat="1" x14ac:dyDescent="0.25">
      <c r="B778" s="284" t="s">
        <v>1878</v>
      </c>
      <c r="C778" s="284" t="s">
        <v>1879</v>
      </c>
      <c r="D778" s="274" t="s">
        <v>3854</v>
      </c>
      <c r="E778" s="274"/>
      <c r="F778" s="274"/>
      <c r="G778" s="283"/>
      <c r="H778" s="266"/>
      <c r="I778" s="427"/>
      <c r="J778" s="281"/>
      <c r="K778" s="281"/>
      <c r="L778" s="422" t="s">
        <v>3855</v>
      </c>
      <c r="M778" s="284" t="s">
        <v>2962</v>
      </c>
      <c r="N778" s="352"/>
      <c r="O778" s="352"/>
      <c r="P778" s="352"/>
      <c r="Q778" s="352"/>
      <c r="R778" s="352"/>
      <c r="S778" s="352"/>
      <c r="T778" s="352"/>
      <c r="U778" s="352"/>
      <c r="V778" s="352"/>
      <c r="W778" s="211"/>
      <c r="X778" s="211"/>
      <c r="Y778" s="211"/>
      <c r="Z778" s="211"/>
      <c r="AA778" s="211"/>
    </row>
    <row r="779" spans="1:38" s="204" customFormat="1" x14ac:dyDescent="0.25">
      <c r="B779" s="284" t="s">
        <v>1881</v>
      </c>
      <c r="C779" s="284" t="s">
        <v>1882</v>
      </c>
      <c r="D779" s="274" t="s">
        <v>3856</v>
      </c>
      <c r="E779" s="274"/>
      <c r="F779" s="274"/>
      <c r="G779" s="283"/>
      <c r="H779" s="266"/>
      <c r="I779" s="427"/>
      <c r="J779" s="281"/>
      <c r="K779" s="281"/>
      <c r="L779" s="430" t="s">
        <v>3857</v>
      </c>
      <c r="M779" s="284" t="s">
        <v>2962</v>
      </c>
      <c r="N779" s="408">
        <f>+R779</f>
        <v>7401292</v>
      </c>
      <c r="O779" s="408">
        <f>+V779</f>
        <v>8238751</v>
      </c>
      <c r="P779" s="271">
        <f>+O779-N779</f>
        <v>837459</v>
      </c>
      <c r="Q779" s="527"/>
      <c r="R779" s="354">
        <f>IF(ISERROR(VLOOKUP("SAN"&amp;$C779,ESTR_PREC_SP!$A$2:$G$2000,4,FALSE))=TRUE,0,VLOOKUP("SAN"&amp;$C779,ESTR_PREC_SP!$A$2:$G$2000,4,FALSE))</f>
        <v>7401292</v>
      </c>
      <c r="S779" s="521"/>
      <c r="T779" s="527">
        <v>1058706</v>
      </c>
      <c r="U779" s="527">
        <v>221247</v>
      </c>
      <c r="V779" s="526">
        <f>+R779+S779+T779-U779+Q779</f>
        <v>8238751</v>
      </c>
      <c r="W779" s="211"/>
      <c r="X779" s="211"/>
      <c r="Y779" s="211"/>
      <c r="Z779" s="211"/>
      <c r="AA779" s="211"/>
    </row>
    <row r="780" spans="1:38" s="204" customFormat="1" x14ac:dyDescent="0.25">
      <c r="B780" s="284" t="s">
        <v>1884</v>
      </c>
      <c r="C780" s="284" t="s">
        <v>1885</v>
      </c>
      <c r="D780" s="274" t="s">
        <v>3858</v>
      </c>
      <c r="E780" s="274"/>
      <c r="F780" s="274"/>
      <c r="G780" s="283"/>
      <c r="H780" s="266"/>
      <c r="I780" s="427"/>
      <c r="J780" s="281"/>
      <c r="K780" s="281"/>
      <c r="L780" s="430" t="s">
        <v>3859</v>
      </c>
      <c r="M780" s="284" t="s">
        <v>2962</v>
      </c>
      <c r="N780" s="408">
        <f>+R780</f>
        <v>0</v>
      </c>
      <c r="O780" s="408">
        <f>+V780</f>
        <v>0</v>
      </c>
      <c r="P780" s="271">
        <f>+O780-N780</f>
        <v>0</v>
      </c>
      <c r="Q780" s="527"/>
      <c r="R780" s="354">
        <f>IF(ISERROR(VLOOKUP("SAN"&amp;$C780,ESTR_PREC_SP!$A$2:$G$2000,4,FALSE))=TRUE,0,VLOOKUP("SAN"&amp;$C780,ESTR_PREC_SP!$A$2:$G$2000,4,FALSE))</f>
        <v>0</v>
      </c>
      <c r="S780" s="521"/>
      <c r="T780" s="527"/>
      <c r="U780" s="527"/>
      <c r="V780" s="526">
        <f>+R780+S780+T780-U780+Q780</f>
        <v>0</v>
      </c>
      <c r="W780" s="211"/>
      <c r="X780" s="211"/>
      <c r="Y780" s="211"/>
      <c r="Z780" s="211"/>
      <c r="AA780" s="211"/>
    </row>
    <row r="781" spans="1:38" s="204" customFormat="1" x14ac:dyDescent="0.25">
      <c r="B781" s="284" t="s">
        <v>1887</v>
      </c>
      <c r="C781" s="284" t="s">
        <v>1888</v>
      </c>
      <c r="D781" s="274" t="s">
        <v>3860</v>
      </c>
      <c r="E781" s="274"/>
      <c r="F781" s="274"/>
      <c r="G781" s="283"/>
      <c r="H781" s="266"/>
      <c r="I781" s="427"/>
      <c r="J781" s="281"/>
      <c r="K781" s="281"/>
      <c r="L781" s="430" t="s">
        <v>3861</v>
      </c>
      <c r="M781" s="284" t="s">
        <v>2962</v>
      </c>
      <c r="N781" s="408">
        <f>+R781</f>
        <v>0</v>
      </c>
      <c r="O781" s="408">
        <f>+V781</f>
        <v>0</v>
      </c>
      <c r="P781" s="271">
        <f>+O781-N781</f>
        <v>0</v>
      </c>
      <c r="Q781" s="527"/>
      <c r="R781" s="354">
        <f>IF(ISERROR(VLOOKUP("SAN"&amp;$C781,ESTR_PREC_SP!$A$2:$G$2000,4,FALSE))=TRUE,0,VLOOKUP("SAN"&amp;$C781,ESTR_PREC_SP!$A$2:$G$2000,4,FALSE))</f>
        <v>0</v>
      </c>
      <c r="S781" s="521"/>
      <c r="T781" s="527"/>
      <c r="U781" s="527"/>
      <c r="V781" s="526">
        <f>+R781+S781+T781-U781+Q781</f>
        <v>0</v>
      </c>
      <c r="W781" s="211"/>
      <c r="X781" s="211"/>
      <c r="Y781" s="211"/>
      <c r="Z781" s="211"/>
      <c r="AA781" s="211"/>
    </row>
    <row r="782" spans="1:38" s="204" customFormat="1" x14ac:dyDescent="0.25">
      <c r="B782" s="284" t="s">
        <v>1890</v>
      </c>
      <c r="C782" s="284" t="s">
        <v>1891</v>
      </c>
      <c r="D782" s="274" t="s">
        <v>3862</v>
      </c>
      <c r="E782" s="274"/>
      <c r="F782" s="274"/>
      <c r="G782" s="283"/>
      <c r="H782" s="266"/>
      <c r="I782" s="427"/>
      <c r="J782" s="281"/>
      <c r="K782" s="281"/>
      <c r="L782" s="422" t="s">
        <v>3863</v>
      </c>
      <c r="M782" s="284" t="s">
        <v>2962</v>
      </c>
      <c r="N782" s="408">
        <f>+R782</f>
        <v>0</v>
      </c>
      <c r="O782" s="408">
        <f>+V782</f>
        <v>0</v>
      </c>
      <c r="P782" s="271">
        <f>+O782-N782</f>
        <v>0</v>
      </c>
      <c r="Q782" s="527"/>
      <c r="R782" s="354">
        <f>IF(ISERROR(VLOOKUP("SAN"&amp;$C782,ESTR_PREC_SP!$A$2:$G$2000,4,FALSE))=TRUE,0,VLOOKUP("SAN"&amp;$C782,ESTR_PREC_SP!$A$2:$G$2000,4,FALSE))</f>
        <v>0</v>
      </c>
      <c r="S782" s="521"/>
      <c r="T782" s="527"/>
      <c r="U782" s="527"/>
      <c r="V782" s="526">
        <f>+R782+S782+T782-U782+Q782</f>
        <v>0</v>
      </c>
      <c r="W782" s="211"/>
      <c r="X782" s="211"/>
      <c r="Y782" s="211"/>
      <c r="Z782" s="211"/>
      <c r="AA782" s="211"/>
    </row>
    <row r="783" spans="1:38" s="204" customFormat="1" x14ac:dyDescent="0.25">
      <c r="B783" s="284" t="s">
        <v>1893</v>
      </c>
      <c r="C783" s="284" t="s">
        <v>1894</v>
      </c>
      <c r="D783" s="274" t="s">
        <v>3864</v>
      </c>
      <c r="E783" s="274"/>
      <c r="F783" s="274"/>
      <c r="G783" s="283"/>
      <c r="H783" s="266"/>
      <c r="I783" s="427"/>
      <c r="J783" s="281"/>
      <c r="K783" s="281"/>
      <c r="L783" s="422" t="s">
        <v>3865</v>
      </c>
      <c r="M783" s="284" t="s">
        <v>2962</v>
      </c>
      <c r="N783" s="352"/>
      <c r="O783" s="352"/>
      <c r="P783" s="352"/>
      <c r="Q783" s="352"/>
      <c r="R783" s="352"/>
      <c r="S783" s="352"/>
      <c r="T783" s="352"/>
      <c r="U783" s="352"/>
      <c r="V783" s="352"/>
      <c r="W783" s="211"/>
      <c r="X783" s="211"/>
      <c r="Y783" s="211"/>
      <c r="Z783" s="211"/>
      <c r="AA783" s="211"/>
    </row>
    <row r="784" spans="1:38" s="204" customFormat="1" x14ac:dyDescent="0.25">
      <c r="B784" s="284" t="s">
        <v>1896</v>
      </c>
      <c r="C784" s="284" t="s">
        <v>1897</v>
      </c>
      <c r="D784" s="274" t="s">
        <v>3866</v>
      </c>
      <c r="E784" s="274"/>
      <c r="F784" s="274"/>
      <c r="G784" s="283"/>
      <c r="H784" s="266"/>
      <c r="I784" s="427"/>
      <c r="J784" s="281"/>
      <c r="K784" s="281"/>
      <c r="L784" s="430" t="s">
        <v>3867</v>
      </c>
      <c r="M784" s="284" t="s">
        <v>2962</v>
      </c>
      <c r="N784" s="408">
        <f>+R784</f>
        <v>0</v>
      </c>
      <c r="O784" s="408">
        <f>+V784</f>
        <v>0</v>
      </c>
      <c r="P784" s="271">
        <f>+O784-N784</f>
        <v>0</v>
      </c>
      <c r="Q784" s="527"/>
      <c r="R784" s="354">
        <f>IF(ISERROR(VLOOKUP("SAN"&amp;$C784,ESTR_PREC_SP!$A$2:$G$2000,4,FALSE))=TRUE,0,VLOOKUP("SAN"&amp;$C784,ESTR_PREC_SP!$A$2:$G$2000,4,FALSE))</f>
        <v>0</v>
      </c>
      <c r="S784" s="521"/>
      <c r="T784" s="527"/>
      <c r="U784" s="527"/>
      <c r="V784" s="526">
        <f>+R784+S784+T784-U784+Q784</f>
        <v>0</v>
      </c>
      <c r="W784" s="211"/>
      <c r="X784" s="211"/>
      <c r="Y784" s="211"/>
      <c r="Z784" s="211"/>
      <c r="AA784" s="211"/>
    </row>
    <row r="785" spans="1:29" s="204" customFormat="1" x14ac:dyDescent="0.25">
      <c r="B785" s="284" t="s">
        <v>1899</v>
      </c>
      <c r="C785" s="284" t="s">
        <v>1900</v>
      </c>
      <c r="D785" s="274" t="s">
        <v>3868</v>
      </c>
      <c r="E785" s="274"/>
      <c r="F785" s="274"/>
      <c r="G785" s="283"/>
      <c r="H785" s="266"/>
      <c r="I785" s="427"/>
      <c r="J785" s="281"/>
      <c r="K785" s="281"/>
      <c r="L785" s="430" t="s">
        <v>3869</v>
      </c>
      <c r="M785" s="284" t="s">
        <v>2962</v>
      </c>
      <c r="N785" s="408">
        <f>+R785</f>
        <v>0</v>
      </c>
      <c r="O785" s="408">
        <f>+V785</f>
        <v>0</v>
      </c>
      <c r="P785" s="271">
        <f>+O785-N785</f>
        <v>0</v>
      </c>
      <c r="Q785" s="527"/>
      <c r="R785" s="354">
        <f>IF(ISERROR(VLOOKUP("SAN"&amp;$C785,ESTR_PREC_SP!$A$2:$G$2000,4,FALSE))=TRUE,0,VLOOKUP("SAN"&amp;$C785,ESTR_PREC_SP!$A$2:$G$2000,4,FALSE))</f>
        <v>0</v>
      </c>
      <c r="S785" s="521"/>
      <c r="T785" s="527"/>
      <c r="U785" s="527"/>
      <c r="V785" s="526">
        <f>+R785+S785+T785-U785+Q785</f>
        <v>0</v>
      </c>
      <c r="W785" s="211"/>
      <c r="X785" s="211"/>
      <c r="Y785" s="211"/>
      <c r="Z785" s="211"/>
      <c r="AA785" s="211"/>
    </row>
    <row r="786" spans="1:29" s="204" customFormat="1" x14ac:dyDescent="0.25">
      <c r="B786" s="284" t="s">
        <v>1902</v>
      </c>
      <c r="C786" s="284" t="s">
        <v>1903</v>
      </c>
      <c r="D786" s="274" t="s">
        <v>3870</v>
      </c>
      <c r="E786" s="274"/>
      <c r="F786" s="274"/>
      <c r="G786" s="283"/>
      <c r="H786" s="266"/>
      <c r="I786" s="427"/>
      <c r="J786" s="281"/>
      <c r="K786" s="281"/>
      <c r="L786" s="430" t="s">
        <v>3871</v>
      </c>
      <c r="M786" s="284" t="s">
        <v>2962</v>
      </c>
      <c r="N786" s="408">
        <f>+R786</f>
        <v>0</v>
      </c>
      <c r="O786" s="408">
        <f>+V786</f>
        <v>0</v>
      </c>
      <c r="P786" s="271">
        <f>+O786-N786</f>
        <v>0</v>
      </c>
      <c r="Q786" s="527"/>
      <c r="R786" s="354">
        <f>IF(ISERROR(VLOOKUP("SAN"&amp;$C786,ESTR_PREC_SP!$A$2:$G$2000,4,FALSE))=TRUE,0,VLOOKUP("SAN"&amp;$C786,ESTR_PREC_SP!$A$2:$G$2000,4,FALSE))</f>
        <v>0</v>
      </c>
      <c r="S786" s="521"/>
      <c r="T786" s="527"/>
      <c r="U786" s="527"/>
      <c r="V786" s="526">
        <f>+R786+S786+T786-U786+Q786</f>
        <v>0</v>
      </c>
      <c r="W786" s="211"/>
      <c r="X786" s="211"/>
      <c r="Y786" s="211"/>
      <c r="Z786" s="211"/>
      <c r="AA786" s="211"/>
    </row>
    <row r="787" spans="1:29" s="204" customFormat="1" x14ac:dyDescent="0.25">
      <c r="B787" s="284" t="s">
        <v>1905</v>
      </c>
      <c r="C787" s="284" t="s">
        <v>1906</v>
      </c>
      <c r="D787" s="274" t="s">
        <v>3872</v>
      </c>
      <c r="E787" s="274"/>
      <c r="F787" s="274"/>
      <c r="G787" s="283"/>
      <c r="H787" s="266"/>
      <c r="I787" s="427"/>
      <c r="J787" s="281"/>
      <c r="K787" s="281"/>
      <c r="L787" s="430" t="s">
        <v>3873</v>
      </c>
      <c r="M787" s="284" t="s">
        <v>2962</v>
      </c>
      <c r="N787" s="408">
        <f>+R787</f>
        <v>0</v>
      </c>
      <c r="O787" s="408">
        <f>+V787</f>
        <v>0</v>
      </c>
      <c r="P787" s="271">
        <f>+O787-N787</f>
        <v>0</v>
      </c>
      <c r="Q787" s="527"/>
      <c r="R787" s="354">
        <f>IF(ISERROR(VLOOKUP("SAN"&amp;$C787,ESTR_PREC_SP!$A$2:$G$2000,4,FALSE))=TRUE,0,VLOOKUP("SAN"&amp;$C787,ESTR_PREC_SP!$A$2:$G$2000,4,FALSE))</f>
        <v>0</v>
      </c>
      <c r="S787" s="521"/>
      <c r="T787" s="527"/>
      <c r="U787" s="527"/>
      <c r="V787" s="526">
        <f>+R787+S787+T787-U787+Q787</f>
        <v>0</v>
      </c>
      <c r="W787" s="211"/>
      <c r="X787" s="211"/>
      <c r="Y787" s="211"/>
      <c r="Z787" s="211"/>
      <c r="AA787" s="211"/>
    </row>
    <row r="788" spans="1:29" s="204" customFormat="1" x14ac:dyDescent="0.25">
      <c r="B788" s="230"/>
      <c r="C788" s="230"/>
      <c r="D788" s="230"/>
      <c r="E788" s="230"/>
      <c r="F788" s="230"/>
      <c r="G788" s="230"/>
      <c r="H788" s="231"/>
      <c r="I788" s="230"/>
      <c r="J788" s="230"/>
      <c r="K788" s="230"/>
      <c r="L788" s="232"/>
      <c r="M788" s="211"/>
      <c r="N788" s="254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</row>
    <row r="789" spans="1:29" s="204" customFormat="1" x14ac:dyDescent="0.25">
      <c r="B789" s="230"/>
      <c r="C789" s="230"/>
      <c r="D789" s="230"/>
      <c r="E789" s="230"/>
      <c r="F789" s="230"/>
      <c r="G789" s="211"/>
      <c r="H789" s="353"/>
      <c r="I789" s="211"/>
      <c r="J789" s="211"/>
      <c r="K789" s="211"/>
      <c r="L789" s="232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</row>
    <row r="790" spans="1:29" s="204" customFormat="1" x14ac:dyDescent="0.25">
      <c r="A790" s="204" t="s">
        <v>4177</v>
      </c>
      <c r="B790" s="218">
        <v>0</v>
      </c>
      <c r="C790" s="218" t="s">
        <v>1908</v>
      </c>
      <c r="D790" s="219" t="s">
        <v>3874</v>
      </c>
      <c r="E790" s="219"/>
      <c r="F790" s="219"/>
      <c r="G790" s="219"/>
      <c r="H790" s="220"/>
      <c r="I790" s="219"/>
      <c r="J790" s="219"/>
      <c r="K790" s="219"/>
      <c r="L790" s="221" t="s">
        <v>1909</v>
      </c>
      <c r="M790" s="222" t="s">
        <v>2962</v>
      </c>
      <c r="N790" s="223">
        <f>+N792+N821+N889+N906+N1053</f>
        <v>213910168</v>
      </c>
      <c r="O790" s="223">
        <f>+O792+O821+O889+O906+O1053</f>
        <v>232309840</v>
      </c>
      <c r="P790" s="223">
        <f>+O790-N790</f>
        <v>18399672</v>
      </c>
      <c r="Q790" s="211"/>
      <c r="R790" s="211"/>
      <c r="S790" s="224">
        <f>S792+S821+S889+S906+S1053+S1072</f>
        <v>0</v>
      </c>
      <c r="T790" s="225" t="str">
        <f>IF(S790&lt;&gt;0,"SQUADRATURA PASSIVO  PER GIROCONTI SU NUOVI CONTI SP","")</f>
        <v/>
      </c>
      <c r="U790" s="211"/>
      <c r="V790" s="211"/>
      <c r="W790" s="211"/>
      <c r="X790" s="211"/>
      <c r="Y790" s="211"/>
      <c r="Z790" s="211"/>
      <c r="AA790" s="211"/>
    </row>
    <row r="791" spans="1:29" s="204" customFormat="1" x14ac:dyDescent="0.25">
      <c r="B791" s="230"/>
      <c r="C791" s="230"/>
      <c r="D791" s="230"/>
      <c r="E791" s="230"/>
      <c r="F791" s="230"/>
      <c r="G791" s="230"/>
      <c r="H791" s="231"/>
      <c r="I791" s="230"/>
      <c r="J791" s="230"/>
      <c r="K791" s="230"/>
      <c r="L791" s="232"/>
      <c r="M791" s="211"/>
      <c r="N791" s="254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</row>
    <row r="792" spans="1:29" s="204" customFormat="1" x14ac:dyDescent="0.25">
      <c r="B792" s="233" t="s">
        <v>1910</v>
      </c>
      <c r="C792" s="233" t="s">
        <v>1911</v>
      </c>
      <c r="D792" s="234" t="s">
        <v>3875</v>
      </c>
      <c r="E792" s="234"/>
      <c r="F792" s="234"/>
      <c r="G792" s="234"/>
      <c r="H792" s="235"/>
      <c r="I792" s="234"/>
      <c r="J792" s="234"/>
      <c r="K792" s="234"/>
      <c r="L792" s="236" t="s">
        <v>1912</v>
      </c>
      <c r="M792" s="237" t="s">
        <v>2962</v>
      </c>
      <c r="N792" s="238">
        <f>+N795+N796+N805+N806+N812+N816+N817</f>
        <v>114274462</v>
      </c>
      <c r="O792" s="238">
        <f>+O795+O796+O805+O806+O812+O816+O817</f>
        <v>128447184</v>
      </c>
      <c r="P792" s="239">
        <f>+O792-N792</f>
        <v>14172722</v>
      </c>
      <c r="Q792" s="238">
        <f t="shared" ref="Q792:Z792" si="132">+Q795+Q796+Q805+Q806+Q812+Q816+Q817</f>
        <v>0</v>
      </c>
      <c r="R792" s="238">
        <f t="shared" si="132"/>
        <v>114274462</v>
      </c>
      <c r="S792" s="238">
        <f t="shared" si="132"/>
        <v>0</v>
      </c>
      <c r="T792" s="238">
        <f t="shared" si="132"/>
        <v>0</v>
      </c>
      <c r="U792" s="238">
        <f t="shared" si="132"/>
        <v>22183730</v>
      </c>
      <c r="V792" s="238">
        <f t="shared" si="132"/>
        <v>8348078</v>
      </c>
      <c r="W792" s="238">
        <f t="shared" si="132"/>
        <v>0</v>
      </c>
      <c r="X792" s="238">
        <f t="shared" si="132"/>
        <v>337070</v>
      </c>
      <c r="Y792" s="238">
        <f t="shared" si="132"/>
        <v>14172722</v>
      </c>
      <c r="Z792" s="238">
        <f t="shared" si="132"/>
        <v>128447184</v>
      </c>
      <c r="AA792" s="211"/>
    </row>
    <row r="793" spans="1:29" s="204" customFormat="1" x14ac:dyDescent="0.25">
      <c r="B793" s="230"/>
      <c r="C793" s="230"/>
      <c r="D793" s="230"/>
      <c r="E793" s="230"/>
      <c r="F793" s="230"/>
      <c r="G793" s="230"/>
      <c r="H793" s="231"/>
      <c r="I793" s="230"/>
      <c r="J793" s="230"/>
      <c r="K793" s="230"/>
      <c r="L793" s="232"/>
      <c r="M793" s="211"/>
      <c r="N793" s="254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909" t="s">
        <v>3876</v>
      </c>
      <c r="AB793" s="909"/>
      <c r="AC793" s="909"/>
    </row>
    <row r="794" spans="1:29" s="204" customFormat="1" ht="51" x14ac:dyDescent="0.25">
      <c r="B794" s="260" t="s">
        <v>2968</v>
      </c>
      <c r="C794" s="260" t="s">
        <v>2969</v>
      </c>
      <c r="D794" s="206" t="s">
        <v>72</v>
      </c>
      <c r="E794" s="206"/>
      <c r="F794" s="206"/>
      <c r="G794" s="207"/>
      <c r="H794" s="207"/>
      <c r="I794" s="207"/>
      <c r="J794" s="207" t="s">
        <v>2957</v>
      </c>
      <c r="K794" s="206" t="s">
        <v>82</v>
      </c>
      <c r="L794" s="431" t="s">
        <v>3670</v>
      </c>
      <c r="M794" s="432"/>
      <c r="N794" s="256" t="str">
        <f>N$15</f>
        <v>Valore netto al 31/12/2019</v>
      </c>
      <c r="O794" s="256" t="str">
        <f>O$15</f>
        <v>Valore netto al 31/12/2020</v>
      </c>
      <c r="P794" s="256" t="str">
        <f>P$15</f>
        <v>Variazione</v>
      </c>
      <c r="Q794" s="262" t="s">
        <v>2971</v>
      </c>
      <c r="R794" s="256" t="s">
        <v>3877</v>
      </c>
      <c r="S794" s="346" t="s">
        <v>2972</v>
      </c>
      <c r="T794" s="256" t="s">
        <v>3878</v>
      </c>
      <c r="U794" s="262" t="s">
        <v>3879</v>
      </c>
      <c r="V794" s="262" t="s">
        <v>3880</v>
      </c>
      <c r="W794" s="262" t="s">
        <v>2975</v>
      </c>
      <c r="X794" s="262" t="s">
        <v>3881</v>
      </c>
      <c r="Y794" s="262" t="s">
        <v>3882</v>
      </c>
      <c r="Z794" s="256" t="s">
        <v>3883</v>
      </c>
      <c r="AA794" s="433" t="s">
        <v>3884</v>
      </c>
      <c r="AB794" s="433" t="s">
        <v>3885</v>
      </c>
      <c r="AC794" s="433" t="s">
        <v>3886</v>
      </c>
    </row>
    <row r="795" spans="1:29" s="204" customFormat="1" x14ac:dyDescent="0.25">
      <c r="B795" s="287" t="s">
        <v>1913</v>
      </c>
      <c r="C795" s="287" t="s">
        <v>1914</v>
      </c>
      <c r="D795" s="274" t="s">
        <v>3887</v>
      </c>
      <c r="E795" s="274"/>
      <c r="F795" s="274"/>
      <c r="G795" s="283"/>
      <c r="H795" s="266"/>
      <c r="I795" s="274"/>
      <c r="J795" s="281"/>
      <c r="K795" s="434"/>
      <c r="L795" s="295" t="s">
        <v>1918</v>
      </c>
      <c r="M795" s="284" t="s">
        <v>2962</v>
      </c>
      <c r="N795" s="435">
        <f>+R795</f>
        <v>27529020</v>
      </c>
      <c r="O795" s="435">
        <f>+Z795</f>
        <v>27529020</v>
      </c>
      <c r="P795" s="271">
        <f t="shared" ref="P795:P817" si="133">+O795-N795</f>
        <v>0</v>
      </c>
      <c r="Q795" s="527"/>
      <c r="R795" s="354">
        <f>IF(ISERROR(VLOOKUP("SAN"&amp;$C795,ESTR_PREC_SP!$A$2:$G$2000,4,FALSE))=TRUE,0,VLOOKUP("SAN"&amp;$C795,ESTR_PREC_SP!$A$2:$G$2000,4,FALSE))</f>
        <v>27529020</v>
      </c>
      <c r="S795" s="521"/>
      <c r="T795" s="527"/>
      <c r="U795" s="527"/>
      <c r="V795" s="355"/>
      <c r="W795" s="527"/>
      <c r="X795" s="527"/>
      <c r="Y795" s="529">
        <f t="shared" ref="Y795:Y817" si="134">+S795+T795+U795-V795+X795+W795</f>
        <v>0</v>
      </c>
      <c r="Z795" s="529">
        <f>+R795+Y795+Q795</f>
        <v>27529020</v>
      </c>
      <c r="AA795" s="527"/>
      <c r="AB795" s="527"/>
      <c r="AC795" s="527"/>
    </row>
    <row r="796" spans="1:29" s="204" customFormat="1" x14ac:dyDescent="0.25">
      <c r="B796" s="287" t="s">
        <v>1919</v>
      </c>
      <c r="C796" s="287" t="s">
        <v>1920</v>
      </c>
      <c r="D796" s="274" t="s">
        <v>3888</v>
      </c>
      <c r="E796" s="274"/>
      <c r="F796" s="274"/>
      <c r="G796" s="283"/>
      <c r="H796" s="266"/>
      <c r="I796" s="274"/>
      <c r="J796" s="281"/>
      <c r="K796" s="281"/>
      <c r="L796" s="295" t="s">
        <v>1921</v>
      </c>
      <c r="M796" s="284" t="s">
        <v>2962</v>
      </c>
      <c r="N796" s="436">
        <f>+N797+N798+N802+N803+N804</f>
        <v>74830150</v>
      </c>
      <c r="O796" s="436">
        <f>+O797+O798+O802+O803+O804</f>
        <v>88220877</v>
      </c>
      <c r="P796" s="378">
        <f t="shared" si="133"/>
        <v>13390727</v>
      </c>
      <c r="Q796" s="436">
        <f t="shared" ref="Q796:X796" si="135">+Q797+Q798+Q802+Q803+Q804</f>
        <v>0</v>
      </c>
      <c r="R796" s="436">
        <f t="shared" si="135"/>
        <v>74830150</v>
      </c>
      <c r="S796" s="436">
        <f t="shared" si="135"/>
        <v>0</v>
      </c>
      <c r="T796" s="436">
        <f t="shared" si="135"/>
        <v>0</v>
      </c>
      <c r="U796" s="436">
        <f t="shared" si="135"/>
        <v>20826709</v>
      </c>
      <c r="V796" s="436">
        <f t="shared" si="135"/>
        <v>7792899</v>
      </c>
      <c r="W796" s="436">
        <f t="shared" si="135"/>
        <v>0</v>
      </c>
      <c r="X796" s="436">
        <f t="shared" si="135"/>
        <v>356917</v>
      </c>
      <c r="Y796" s="540">
        <f t="shared" si="134"/>
        <v>13390727</v>
      </c>
      <c r="Z796" s="436">
        <f>+Z797+Z798+Z802+Z803+Z804</f>
        <v>88220877</v>
      </c>
      <c r="AA796" s="436">
        <f>+AA797+AA798+AA802+AA803+AA804</f>
        <v>0</v>
      </c>
      <c r="AB796" s="436">
        <f>+AB797+AB798+AB802+AB803+AB804</f>
        <v>0</v>
      </c>
      <c r="AC796" s="436">
        <f>+AC797+AC798+AC802+AC803+AC804</f>
        <v>0</v>
      </c>
    </row>
    <row r="797" spans="1:29" s="204" customFormat="1" x14ac:dyDescent="0.25">
      <c r="B797" s="287" t="s">
        <v>1922</v>
      </c>
      <c r="C797" s="287" t="s">
        <v>1923</v>
      </c>
      <c r="D797" s="274" t="s">
        <v>3889</v>
      </c>
      <c r="E797" s="274"/>
      <c r="F797" s="274"/>
      <c r="G797" s="283"/>
      <c r="H797" s="266"/>
      <c r="I797" s="427"/>
      <c r="J797" s="281"/>
      <c r="K797" s="281"/>
      <c r="L797" s="379" t="s">
        <v>1927</v>
      </c>
      <c r="M797" s="284" t="s">
        <v>2962</v>
      </c>
      <c r="N797" s="435">
        <f>+R797</f>
        <v>27609856</v>
      </c>
      <c r="O797" s="435">
        <f>+Z797</f>
        <v>25372331</v>
      </c>
      <c r="P797" s="271">
        <f t="shared" si="133"/>
        <v>-2237525</v>
      </c>
      <c r="Q797" s="527"/>
      <c r="R797" s="354">
        <f>IF(ISERROR(VLOOKUP("SAN"&amp;$C797,ESTR_PREC_SP!$A$2:$G$2000,4,FALSE))=TRUE,0,VLOOKUP("SAN"&amp;$C797,ESTR_PREC_SP!$A$2:$G$2000,4,FALSE))</f>
        <v>27609856</v>
      </c>
      <c r="S797" s="521"/>
      <c r="T797" s="527"/>
      <c r="U797" s="527"/>
      <c r="V797" s="527">
        <v>2237525</v>
      </c>
      <c r="W797" s="527"/>
      <c r="X797" s="527"/>
      <c r="Y797" s="529">
        <f t="shared" si="134"/>
        <v>-2237525</v>
      </c>
      <c r="Z797" s="529">
        <f>+R797+Y797+Q797</f>
        <v>25372331</v>
      </c>
      <c r="AA797" s="527"/>
      <c r="AB797" s="527"/>
      <c r="AC797" s="527"/>
    </row>
    <row r="798" spans="1:29" s="204" customFormat="1" x14ac:dyDescent="0.25">
      <c r="B798" s="287" t="s">
        <v>1928</v>
      </c>
      <c r="C798" s="287" t="s">
        <v>1929</v>
      </c>
      <c r="D798" s="274" t="s">
        <v>3890</v>
      </c>
      <c r="E798" s="274"/>
      <c r="F798" s="274"/>
      <c r="G798" s="437"/>
      <c r="H798" s="266"/>
      <c r="I798" s="437"/>
      <c r="J798" s="281"/>
      <c r="K798" s="281"/>
      <c r="L798" s="379" t="s">
        <v>1931</v>
      </c>
      <c r="M798" s="284" t="s">
        <v>2962</v>
      </c>
      <c r="N798" s="436">
        <f>SUM(N799:N801)</f>
        <v>0</v>
      </c>
      <c r="O798" s="436">
        <f>SUM(O799:O801)</f>
        <v>13598000</v>
      </c>
      <c r="P798" s="378">
        <f t="shared" si="133"/>
        <v>13598000</v>
      </c>
      <c r="Q798" s="436">
        <f t="shared" ref="Q798:X798" si="136">SUM(Q799:Q801)</f>
        <v>0</v>
      </c>
      <c r="R798" s="436">
        <f t="shared" si="136"/>
        <v>0</v>
      </c>
      <c r="S798" s="436">
        <f t="shared" si="136"/>
        <v>0</v>
      </c>
      <c r="T798" s="436">
        <f t="shared" si="136"/>
        <v>0</v>
      </c>
      <c r="U798" s="436">
        <f t="shared" si="136"/>
        <v>13598000</v>
      </c>
      <c r="V798" s="436">
        <f t="shared" si="136"/>
        <v>0</v>
      </c>
      <c r="W798" s="436">
        <f t="shared" si="136"/>
        <v>0</v>
      </c>
      <c r="X798" s="436">
        <f t="shared" si="136"/>
        <v>0</v>
      </c>
      <c r="Y798" s="540">
        <f t="shared" si="134"/>
        <v>13598000</v>
      </c>
      <c r="Z798" s="436">
        <f>SUM(Z799:Z801)</f>
        <v>13598000</v>
      </c>
      <c r="AA798" s="436">
        <f>SUM(AA799:AA801)</f>
        <v>0</v>
      </c>
      <c r="AB798" s="436">
        <f>SUM(AB799:AB801)</f>
        <v>0</v>
      </c>
      <c r="AC798" s="436">
        <f>SUM(AC799:AC801)</f>
        <v>0</v>
      </c>
    </row>
    <row r="799" spans="1:29" s="204" customFormat="1" x14ac:dyDescent="0.25">
      <c r="B799" s="287" t="s">
        <v>1932</v>
      </c>
      <c r="C799" s="287" t="s">
        <v>1933</v>
      </c>
      <c r="D799" s="274" t="s">
        <v>3891</v>
      </c>
      <c r="E799" s="274"/>
      <c r="F799" s="274"/>
      <c r="G799" s="437"/>
      <c r="H799" s="266"/>
      <c r="I799" s="437"/>
      <c r="J799" s="281"/>
      <c r="K799" s="281"/>
      <c r="L799" s="97" t="s">
        <v>1936</v>
      </c>
      <c r="M799" s="284" t="s">
        <v>2962</v>
      </c>
      <c r="N799" s="435">
        <f t="shared" ref="N799:N805" si="137">+R799</f>
        <v>0</v>
      </c>
      <c r="O799" s="435">
        <f t="shared" ref="O799:O805" si="138">+Z799</f>
        <v>0</v>
      </c>
      <c r="P799" s="271">
        <f t="shared" si="133"/>
        <v>0</v>
      </c>
      <c r="Q799" s="527"/>
      <c r="R799" s="354">
        <f>IF(ISERROR(VLOOKUP("SAN"&amp;$C799,ESTR_PREC_SP!$A$2:$G$2000,4,FALSE))=TRUE,0,VLOOKUP("SAN"&amp;$C799,ESTR_PREC_SP!$A$2:$G$2000,4,FALSE))</f>
        <v>0</v>
      </c>
      <c r="S799" s="521"/>
      <c r="T799" s="527"/>
      <c r="U799" s="527"/>
      <c r="V799" s="527"/>
      <c r="W799" s="527"/>
      <c r="X799" s="527"/>
      <c r="Y799" s="529">
        <f t="shared" si="134"/>
        <v>0</v>
      </c>
      <c r="Z799" s="529">
        <f t="shared" ref="Z799:Z805" si="139">+R799+Y799+Q799</f>
        <v>0</v>
      </c>
      <c r="AA799" s="527"/>
      <c r="AB799" s="527"/>
      <c r="AC799" s="527"/>
    </row>
    <row r="800" spans="1:29" s="204" customFormat="1" x14ac:dyDescent="0.25">
      <c r="B800" s="287" t="s">
        <v>1937</v>
      </c>
      <c r="C800" s="287" t="s">
        <v>1938</v>
      </c>
      <c r="D800" s="274" t="s">
        <v>3892</v>
      </c>
      <c r="E800" s="274"/>
      <c r="F800" s="274"/>
      <c r="G800" s="437"/>
      <c r="H800" s="266"/>
      <c r="I800" s="437"/>
      <c r="J800" s="281"/>
      <c r="K800" s="281"/>
      <c r="L800" s="97" t="s">
        <v>1941</v>
      </c>
      <c r="M800" s="284" t="s">
        <v>2962</v>
      </c>
      <c r="N800" s="435">
        <f t="shared" si="137"/>
        <v>0</v>
      </c>
      <c r="O800" s="435">
        <f t="shared" si="138"/>
        <v>0</v>
      </c>
      <c r="P800" s="271">
        <f t="shared" si="133"/>
        <v>0</v>
      </c>
      <c r="Q800" s="527"/>
      <c r="R800" s="354">
        <f>IF(ISERROR(VLOOKUP("SAN"&amp;$C800,ESTR_PREC_SP!$A$2:$G$2000,4,FALSE))=TRUE,0,VLOOKUP("SAN"&amp;$C800,ESTR_PREC_SP!$A$2:$G$2000,4,FALSE))</f>
        <v>0</v>
      </c>
      <c r="S800" s="521"/>
      <c r="T800" s="527"/>
      <c r="U800" s="527"/>
      <c r="V800" s="527"/>
      <c r="W800" s="527"/>
      <c r="X800" s="527"/>
      <c r="Y800" s="529">
        <f t="shared" si="134"/>
        <v>0</v>
      </c>
      <c r="Z800" s="529">
        <f t="shared" si="139"/>
        <v>0</v>
      </c>
      <c r="AA800" s="527"/>
      <c r="AB800" s="527"/>
      <c r="AC800" s="527"/>
    </row>
    <row r="801" spans="2:29" s="204" customFormat="1" x14ac:dyDescent="0.25">
      <c r="B801" s="287" t="s">
        <v>1942</v>
      </c>
      <c r="C801" s="287" t="s">
        <v>1943</v>
      </c>
      <c r="D801" s="274" t="s">
        <v>3893</v>
      </c>
      <c r="E801" s="274"/>
      <c r="F801" s="274"/>
      <c r="G801" s="437"/>
      <c r="H801" s="266"/>
      <c r="I801" s="437"/>
      <c r="J801" s="281"/>
      <c r="K801" s="281"/>
      <c r="L801" s="97" t="s">
        <v>1946</v>
      </c>
      <c r="M801" s="284" t="s">
        <v>2962</v>
      </c>
      <c r="N801" s="435">
        <f t="shared" si="137"/>
        <v>0</v>
      </c>
      <c r="O801" s="435">
        <f t="shared" si="138"/>
        <v>13598000</v>
      </c>
      <c r="P801" s="271">
        <f t="shared" si="133"/>
        <v>13598000</v>
      </c>
      <c r="Q801" s="527"/>
      <c r="R801" s="354">
        <f>IF(ISERROR(VLOOKUP("SAN"&amp;$C801,ESTR_PREC_SP!$A$2:$G$2000,4,FALSE))=TRUE,0,VLOOKUP("SAN"&amp;$C801,ESTR_PREC_SP!$A$2:$G$2000,4,FALSE))</f>
        <v>0</v>
      </c>
      <c r="S801" s="521"/>
      <c r="T801" s="527"/>
      <c r="U801" s="527">
        <v>13598000</v>
      </c>
      <c r="V801" s="527"/>
      <c r="W801" s="527"/>
      <c r="X801" s="527"/>
      <c r="Y801" s="529">
        <f t="shared" si="134"/>
        <v>13598000</v>
      </c>
      <c r="Z801" s="529">
        <f t="shared" si="139"/>
        <v>13598000</v>
      </c>
      <c r="AA801" s="527"/>
      <c r="AB801" s="527"/>
      <c r="AC801" s="527"/>
    </row>
    <row r="802" spans="2:29" s="204" customFormat="1" x14ac:dyDescent="0.25">
      <c r="B802" s="287" t="s">
        <v>1947</v>
      </c>
      <c r="C802" s="287" t="s">
        <v>1948</v>
      </c>
      <c r="D802" s="274" t="s">
        <v>3894</v>
      </c>
      <c r="E802" s="274"/>
      <c r="F802" s="274"/>
      <c r="G802" s="437"/>
      <c r="H802" s="266"/>
      <c r="I802" s="437"/>
      <c r="J802" s="281"/>
      <c r="K802" s="281"/>
      <c r="L802" s="379" t="s">
        <v>1952</v>
      </c>
      <c r="M802" s="284" t="s">
        <v>2962</v>
      </c>
      <c r="N802" s="435">
        <f t="shared" si="137"/>
        <v>47015826</v>
      </c>
      <c r="O802" s="435">
        <f t="shared" si="138"/>
        <v>47453477</v>
      </c>
      <c r="P802" s="271">
        <f t="shared" si="133"/>
        <v>437651</v>
      </c>
      <c r="Q802" s="527"/>
      <c r="R802" s="354">
        <f>IF(ISERROR(VLOOKUP("SAN"&amp;$C802,ESTR_PREC_SP!$A$2:$G$2000,4,FALSE))=TRUE,0,VLOOKUP("SAN"&amp;$C802,ESTR_PREC_SP!$A$2:$G$2000,4,FALSE))</f>
        <v>47015826</v>
      </c>
      <c r="S802" s="521"/>
      <c r="T802" s="527"/>
      <c r="U802" s="527">
        <f>5000000+519109</f>
        <v>5519109</v>
      </c>
      <c r="V802" s="527">
        <v>5081355</v>
      </c>
      <c r="W802" s="527"/>
      <c r="X802" s="527">
        <v>-103</v>
      </c>
      <c r="Y802" s="529">
        <f t="shared" si="134"/>
        <v>437651</v>
      </c>
      <c r="Z802" s="529">
        <f t="shared" si="139"/>
        <v>47453477</v>
      </c>
      <c r="AA802" s="527"/>
      <c r="AB802" s="527"/>
      <c r="AC802" s="527"/>
    </row>
    <row r="803" spans="2:29" s="204" customFormat="1" x14ac:dyDescent="0.25">
      <c r="B803" s="287" t="s">
        <v>1953</v>
      </c>
      <c r="C803" s="287" t="s">
        <v>1954</v>
      </c>
      <c r="D803" s="274" t="s">
        <v>3895</v>
      </c>
      <c r="E803" s="274"/>
      <c r="F803" s="274"/>
      <c r="G803" s="437"/>
      <c r="H803" s="266"/>
      <c r="I803" s="437"/>
      <c r="J803" s="281"/>
      <c r="K803" s="281"/>
      <c r="L803" s="379" t="s">
        <v>1958</v>
      </c>
      <c r="M803" s="284" t="s">
        <v>2962</v>
      </c>
      <c r="N803" s="435">
        <f t="shared" si="137"/>
        <v>0</v>
      </c>
      <c r="O803" s="435">
        <f t="shared" si="138"/>
        <v>0</v>
      </c>
      <c r="P803" s="271">
        <f t="shared" si="133"/>
        <v>0</v>
      </c>
      <c r="Q803" s="527"/>
      <c r="R803" s="354">
        <f>IF(ISERROR(VLOOKUP("SAN"&amp;$C803,ESTR_PREC_SP!$A$2:$G$2000,4,FALSE))=TRUE,0,VLOOKUP("SAN"&amp;$C803,ESTR_PREC_SP!$A$2:$G$2000,4,FALSE))</f>
        <v>0</v>
      </c>
      <c r="S803" s="521"/>
      <c r="T803" s="527">
        <v>474019</v>
      </c>
      <c r="U803" s="527"/>
      <c r="V803" s="527">
        <v>474019</v>
      </c>
      <c r="W803" s="527"/>
      <c r="X803" s="527"/>
      <c r="Y803" s="529">
        <f t="shared" si="134"/>
        <v>0</v>
      </c>
      <c r="Z803" s="529">
        <f t="shared" si="139"/>
        <v>0</v>
      </c>
      <c r="AA803" s="527"/>
      <c r="AB803" s="527"/>
      <c r="AC803" s="527"/>
    </row>
    <row r="804" spans="2:29" s="204" customFormat="1" x14ac:dyDescent="0.25">
      <c r="B804" s="287" t="s">
        <v>1959</v>
      </c>
      <c r="C804" s="287" t="s">
        <v>1960</v>
      </c>
      <c r="D804" s="274" t="s">
        <v>3896</v>
      </c>
      <c r="E804" s="274"/>
      <c r="F804" s="274"/>
      <c r="G804" s="437"/>
      <c r="H804" s="266"/>
      <c r="I804" s="437"/>
      <c r="J804" s="281"/>
      <c r="K804" s="281"/>
      <c r="L804" s="379" t="s">
        <v>1964</v>
      </c>
      <c r="M804" s="284" t="s">
        <v>2962</v>
      </c>
      <c r="N804" s="435">
        <f t="shared" si="137"/>
        <v>204468</v>
      </c>
      <c r="O804" s="435">
        <f t="shared" si="138"/>
        <v>1797069</v>
      </c>
      <c r="P804" s="271">
        <f t="shared" si="133"/>
        <v>1592601</v>
      </c>
      <c r="Q804" s="527"/>
      <c r="R804" s="354">
        <f>IF(ISERROR(VLOOKUP("SAN"&amp;$C804,ESTR_PREC_SP!$A$2:$G$2000,4,FALSE))=TRUE,0,VLOOKUP("SAN"&amp;$C804,ESTR_PREC_SP!$A$2:$G$2000,4,FALSE))</f>
        <v>204468</v>
      </c>
      <c r="S804" s="521"/>
      <c r="T804" s="527">
        <v>-474019</v>
      </c>
      <c r="U804" s="527">
        <v>1709600</v>
      </c>
      <c r="V804" s="527"/>
      <c r="W804" s="527"/>
      <c r="X804" s="527">
        <f>357328-307+1709599-1709600</f>
        <v>357020</v>
      </c>
      <c r="Y804" s="529">
        <f t="shared" si="134"/>
        <v>1592601</v>
      </c>
      <c r="Z804" s="529">
        <f t="shared" si="139"/>
        <v>1797069</v>
      </c>
      <c r="AA804" s="527"/>
      <c r="AB804" s="527"/>
      <c r="AC804" s="527"/>
    </row>
    <row r="805" spans="2:29" s="204" customFormat="1" x14ac:dyDescent="0.25">
      <c r="B805" s="287" t="s">
        <v>1965</v>
      </c>
      <c r="C805" s="287" t="s">
        <v>1966</v>
      </c>
      <c r="D805" s="274" t="s">
        <v>3897</v>
      </c>
      <c r="E805" s="274"/>
      <c r="F805" s="274"/>
      <c r="G805" s="283"/>
      <c r="H805" s="266"/>
      <c r="I805" s="274"/>
      <c r="J805" s="281"/>
      <c r="K805" s="281"/>
      <c r="L805" s="295" t="s">
        <v>1970</v>
      </c>
      <c r="M805" s="284" t="s">
        <v>2962</v>
      </c>
      <c r="N805" s="435">
        <f t="shared" si="137"/>
        <v>10575860</v>
      </c>
      <c r="O805" s="435">
        <f t="shared" si="138"/>
        <v>11361912</v>
      </c>
      <c r="P805" s="271">
        <f t="shared" si="133"/>
        <v>786052</v>
      </c>
      <c r="Q805" s="527"/>
      <c r="R805" s="354">
        <f>IF(ISERROR(VLOOKUP("SAN"&amp;$C805,ESTR_PREC_SP!$A$2:$G$2000,4,FALSE))=TRUE,0,VLOOKUP("SAN"&amp;$C805,ESTR_PREC_SP!$A$2:$G$2000,4,FALSE))</f>
        <v>10575860</v>
      </c>
      <c r="S805" s="521"/>
      <c r="T805" s="527"/>
      <c r="U805" s="527">
        <v>1357021</v>
      </c>
      <c r="V805" s="527">
        <v>551122</v>
      </c>
      <c r="W805" s="527"/>
      <c r="X805" s="527">
        <v>-19847</v>
      </c>
      <c r="Y805" s="529">
        <f t="shared" si="134"/>
        <v>786052</v>
      </c>
      <c r="Z805" s="529">
        <f t="shared" si="139"/>
        <v>11361912</v>
      </c>
      <c r="AA805" s="527"/>
      <c r="AB805" s="527"/>
      <c r="AC805" s="527"/>
    </row>
    <row r="806" spans="2:29" s="204" customFormat="1" x14ac:dyDescent="0.25">
      <c r="B806" s="287" t="s">
        <v>1971</v>
      </c>
      <c r="C806" s="287" t="s">
        <v>1972</v>
      </c>
      <c r="D806" s="274" t="s">
        <v>3898</v>
      </c>
      <c r="E806" s="274"/>
      <c r="F806" s="274"/>
      <c r="G806" s="437"/>
      <c r="H806" s="266"/>
      <c r="I806" s="437"/>
      <c r="J806" s="281"/>
      <c r="K806" s="281"/>
      <c r="L806" s="295" t="s">
        <v>1975</v>
      </c>
      <c r="M806" s="284" t="s">
        <v>2962</v>
      </c>
      <c r="N806" s="436">
        <f>SUM(N807:N811)</f>
        <v>1339432</v>
      </c>
      <c r="O806" s="436">
        <f>SUM(O807:O811)</f>
        <v>1335375</v>
      </c>
      <c r="P806" s="378">
        <f t="shared" si="133"/>
        <v>-4057</v>
      </c>
      <c r="Q806" s="436">
        <f t="shared" ref="Q806:X806" si="140">SUM(Q807:Q811)</f>
        <v>0</v>
      </c>
      <c r="R806" s="436">
        <f t="shared" si="140"/>
        <v>1339432</v>
      </c>
      <c r="S806" s="436">
        <f t="shared" si="140"/>
        <v>0</v>
      </c>
      <c r="T806" s="436">
        <f t="shared" si="140"/>
        <v>0</v>
      </c>
      <c r="U806" s="436">
        <f t="shared" si="140"/>
        <v>0</v>
      </c>
      <c r="V806" s="436">
        <f t="shared" si="140"/>
        <v>4057</v>
      </c>
      <c r="W806" s="436">
        <f t="shared" si="140"/>
        <v>0</v>
      </c>
      <c r="X806" s="436">
        <f t="shared" si="140"/>
        <v>0</v>
      </c>
      <c r="Y806" s="540">
        <f t="shared" si="134"/>
        <v>-4057</v>
      </c>
      <c r="Z806" s="436">
        <f>SUM(Z807:Z811)</f>
        <v>1335375</v>
      </c>
      <c r="AA806" s="436">
        <f>SUM(AA807:AA811)</f>
        <v>0</v>
      </c>
      <c r="AB806" s="436">
        <f>SUM(AB807:AB811)</f>
        <v>0</v>
      </c>
      <c r="AC806" s="436">
        <f>SUM(AC807:AC811)</f>
        <v>0</v>
      </c>
    </row>
    <row r="807" spans="2:29" s="204" customFormat="1" x14ac:dyDescent="0.25">
      <c r="B807" s="287" t="s">
        <v>1976</v>
      </c>
      <c r="C807" s="287" t="s">
        <v>1977</v>
      </c>
      <c r="D807" s="274" t="s">
        <v>3899</v>
      </c>
      <c r="E807" s="274"/>
      <c r="F807" s="274"/>
      <c r="G807" s="437"/>
      <c r="H807" s="266"/>
      <c r="I807" s="437"/>
      <c r="J807" s="281"/>
      <c r="K807" s="281"/>
      <c r="L807" s="379" t="s">
        <v>1979</v>
      </c>
      <c r="M807" s="284" t="s">
        <v>2962</v>
      </c>
      <c r="N807" s="435">
        <f>+R807</f>
        <v>0</v>
      </c>
      <c r="O807" s="435">
        <f>+Z807</f>
        <v>0</v>
      </c>
      <c r="P807" s="271">
        <f t="shared" si="133"/>
        <v>0</v>
      </c>
      <c r="Q807" s="527"/>
      <c r="R807" s="354">
        <f>IF(ISERROR(VLOOKUP("SAN"&amp;$C807,ESTR_PREC_SP!$A$2:$G$2000,4,FALSE))=TRUE,0,VLOOKUP("SAN"&amp;$C807,ESTR_PREC_SP!$A$2:$G$2000,4,FALSE))</f>
        <v>0</v>
      </c>
      <c r="S807" s="521"/>
      <c r="T807" s="527"/>
      <c r="U807" s="527"/>
      <c r="V807" s="527"/>
      <c r="W807" s="527"/>
      <c r="X807" s="527"/>
      <c r="Y807" s="529">
        <f t="shared" si="134"/>
        <v>0</v>
      </c>
      <c r="Z807" s="529">
        <f>+R807+Y807+Q807</f>
        <v>0</v>
      </c>
      <c r="AA807" s="527"/>
      <c r="AB807" s="527"/>
      <c r="AC807" s="527"/>
    </row>
    <row r="808" spans="2:29" s="204" customFormat="1" x14ac:dyDescent="0.25">
      <c r="B808" s="287" t="s">
        <v>1980</v>
      </c>
      <c r="C808" s="287" t="s">
        <v>1981</v>
      </c>
      <c r="D808" s="274" t="s">
        <v>3900</v>
      </c>
      <c r="E808" s="274"/>
      <c r="F808" s="274"/>
      <c r="G808" s="283"/>
      <c r="H808" s="266"/>
      <c r="I808" s="427"/>
      <c r="J808" s="281"/>
      <c r="K808" s="281"/>
      <c r="L808" s="379" t="s">
        <v>1983</v>
      </c>
      <c r="M808" s="284" t="s">
        <v>2962</v>
      </c>
      <c r="N808" s="435">
        <f>+R808</f>
        <v>1333457</v>
      </c>
      <c r="O808" s="435">
        <f>+Z808</f>
        <v>1333457</v>
      </c>
      <c r="P808" s="271">
        <f t="shared" si="133"/>
        <v>0</v>
      </c>
      <c r="Q808" s="527"/>
      <c r="R808" s="354">
        <f>IF(ISERROR(VLOOKUP("SAN"&amp;$C808,ESTR_PREC_SP!$A$2:$G$2000,4,FALSE))=TRUE,0,VLOOKUP("SAN"&amp;$C808,ESTR_PREC_SP!$A$2:$G$2000,4,FALSE))</f>
        <v>1333457</v>
      </c>
      <c r="S808" s="521"/>
      <c r="T808" s="527"/>
      <c r="U808" s="527"/>
      <c r="V808" s="527"/>
      <c r="W808" s="527"/>
      <c r="X808" s="527"/>
      <c r="Y808" s="529">
        <f t="shared" si="134"/>
        <v>0</v>
      </c>
      <c r="Z808" s="529">
        <f>+R808+Y808+Q808</f>
        <v>1333457</v>
      </c>
      <c r="AA808" s="527"/>
      <c r="AB808" s="527"/>
      <c r="AC808" s="527"/>
    </row>
    <row r="809" spans="2:29" s="204" customFormat="1" x14ac:dyDescent="0.25">
      <c r="B809" s="287" t="s">
        <v>1984</v>
      </c>
      <c r="C809" s="287" t="s">
        <v>1985</v>
      </c>
      <c r="D809" s="274" t="s">
        <v>3901</v>
      </c>
      <c r="E809" s="274"/>
      <c r="F809" s="274"/>
      <c r="G809" s="437"/>
      <c r="H809" s="266"/>
      <c r="I809" s="437"/>
      <c r="J809" s="281"/>
      <c r="K809" s="281"/>
      <c r="L809" s="379" t="s">
        <v>1987</v>
      </c>
      <c r="M809" s="284" t="s">
        <v>2962</v>
      </c>
      <c r="N809" s="435">
        <f>+R809</f>
        <v>0</v>
      </c>
      <c r="O809" s="435">
        <f>+Z809</f>
        <v>0</v>
      </c>
      <c r="P809" s="271">
        <f t="shared" si="133"/>
        <v>0</v>
      </c>
      <c r="Q809" s="527"/>
      <c r="R809" s="354">
        <f>IF(ISERROR(VLOOKUP("SAN"&amp;$C809,ESTR_PREC_SP!$A$2:$G$2000,4,FALSE))=TRUE,0,VLOOKUP("SAN"&amp;$C809,ESTR_PREC_SP!$A$2:$G$2000,4,FALSE))</f>
        <v>0</v>
      </c>
      <c r="S809" s="521"/>
      <c r="T809" s="527"/>
      <c r="U809" s="527"/>
      <c r="V809" s="355"/>
      <c r="W809" s="527"/>
      <c r="X809" s="527"/>
      <c r="Y809" s="529">
        <f t="shared" si="134"/>
        <v>0</v>
      </c>
      <c r="Z809" s="529">
        <f>+R809+Y809+Q809</f>
        <v>0</v>
      </c>
      <c r="AA809" s="527"/>
      <c r="AB809" s="527"/>
      <c r="AC809" s="527"/>
    </row>
    <row r="810" spans="2:29" s="204" customFormat="1" x14ac:dyDescent="0.25">
      <c r="B810" s="287" t="s">
        <v>1988</v>
      </c>
      <c r="C810" s="287" t="s">
        <v>1989</v>
      </c>
      <c r="D810" s="274" t="s">
        <v>3902</v>
      </c>
      <c r="E810" s="274"/>
      <c r="F810" s="274"/>
      <c r="G810" s="283"/>
      <c r="H810" s="266"/>
      <c r="I810" s="427"/>
      <c r="J810" s="281"/>
      <c r="K810" s="281"/>
      <c r="L810" s="379" t="s">
        <v>1991</v>
      </c>
      <c r="M810" s="284" t="s">
        <v>2962</v>
      </c>
      <c r="N810" s="435">
        <f>+R810</f>
        <v>0</v>
      </c>
      <c r="O810" s="435">
        <f>+Z810</f>
        <v>0</v>
      </c>
      <c r="P810" s="271">
        <f t="shared" si="133"/>
        <v>0</v>
      </c>
      <c r="Q810" s="527"/>
      <c r="R810" s="354">
        <f>IF(ISERROR(VLOOKUP("SAN"&amp;$C810,ESTR_PREC_SP!$A$2:$G$2000,4,FALSE))=TRUE,0,VLOOKUP("SAN"&amp;$C810,ESTR_PREC_SP!$A$2:$G$2000,4,FALSE))</f>
        <v>0</v>
      </c>
      <c r="S810" s="521"/>
      <c r="T810" s="527"/>
      <c r="U810" s="527"/>
      <c r="V810" s="527"/>
      <c r="W810" s="527"/>
      <c r="X810" s="527"/>
      <c r="Y810" s="529">
        <f t="shared" si="134"/>
        <v>0</v>
      </c>
      <c r="Z810" s="529">
        <f>+R810+Y810+Q810</f>
        <v>0</v>
      </c>
      <c r="AA810" s="527"/>
      <c r="AB810" s="527"/>
      <c r="AC810" s="527"/>
    </row>
    <row r="811" spans="2:29" s="204" customFormat="1" x14ac:dyDescent="0.25">
      <c r="B811" s="287" t="s">
        <v>1992</v>
      </c>
      <c r="C811" s="287" t="s">
        <v>1993</v>
      </c>
      <c r="D811" s="274" t="s">
        <v>3903</v>
      </c>
      <c r="E811" s="274"/>
      <c r="F811" s="274"/>
      <c r="G811" s="283"/>
      <c r="H811" s="266"/>
      <c r="I811" s="427"/>
      <c r="J811" s="281"/>
      <c r="K811" s="281"/>
      <c r="L811" s="379" t="s">
        <v>1995</v>
      </c>
      <c r="M811" s="284" t="s">
        <v>2962</v>
      </c>
      <c r="N811" s="435">
        <f>+R811</f>
        <v>5975</v>
      </c>
      <c r="O811" s="435">
        <f>+Z811</f>
        <v>1918</v>
      </c>
      <c r="P811" s="271">
        <f t="shared" si="133"/>
        <v>-4057</v>
      </c>
      <c r="Q811" s="527"/>
      <c r="R811" s="354">
        <f>IF(ISERROR(VLOOKUP("SAN"&amp;$C811,ESTR_PREC_SP!$A$2:$G$2000,4,FALSE))=TRUE,0,VLOOKUP("SAN"&amp;$C811,ESTR_PREC_SP!$A$2:$G$2000,4,FALSE))</f>
        <v>5975</v>
      </c>
      <c r="S811" s="521"/>
      <c r="T811" s="527"/>
      <c r="U811" s="527"/>
      <c r="V811" s="527">
        <v>4057</v>
      </c>
      <c r="W811" s="527"/>
      <c r="X811" s="527"/>
      <c r="Y811" s="529">
        <f t="shared" si="134"/>
        <v>-4057</v>
      </c>
      <c r="Z811" s="529">
        <f>+R811+Y811+Q811</f>
        <v>1918</v>
      </c>
      <c r="AA811" s="527"/>
      <c r="AB811" s="527"/>
      <c r="AC811" s="527"/>
    </row>
    <row r="812" spans="2:29" s="204" customFormat="1" x14ac:dyDescent="0.25">
      <c r="B812" s="287" t="s">
        <v>1996</v>
      </c>
      <c r="C812" s="287" t="s">
        <v>1997</v>
      </c>
      <c r="D812" s="274" t="s">
        <v>3904</v>
      </c>
      <c r="E812" s="274"/>
      <c r="F812" s="274"/>
      <c r="G812" s="283"/>
      <c r="H812" s="266"/>
      <c r="I812" s="274"/>
      <c r="J812" s="281"/>
      <c r="K812" s="281"/>
      <c r="L812" s="295" t="s">
        <v>2000</v>
      </c>
      <c r="M812" s="284" t="s">
        <v>2962</v>
      </c>
      <c r="N812" s="436">
        <f>SUM(N813:N815)</f>
        <v>0</v>
      </c>
      <c r="O812" s="436">
        <f>SUM(O813:O815)</f>
        <v>0</v>
      </c>
      <c r="P812" s="378">
        <f t="shared" si="133"/>
        <v>0</v>
      </c>
      <c r="Q812" s="436">
        <f t="shared" ref="Q812:X812" si="141">SUM(Q813:Q815)</f>
        <v>0</v>
      </c>
      <c r="R812" s="436">
        <f t="shared" si="141"/>
        <v>0</v>
      </c>
      <c r="S812" s="436">
        <f t="shared" si="141"/>
        <v>0</v>
      </c>
      <c r="T812" s="436">
        <f t="shared" si="141"/>
        <v>0</v>
      </c>
      <c r="U812" s="436">
        <f t="shared" si="141"/>
        <v>0</v>
      </c>
      <c r="V812" s="436">
        <f t="shared" si="141"/>
        <v>0</v>
      </c>
      <c r="W812" s="436">
        <f t="shared" si="141"/>
        <v>0</v>
      </c>
      <c r="X812" s="436">
        <f t="shared" si="141"/>
        <v>0</v>
      </c>
      <c r="Y812" s="540">
        <f t="shared" si="134"/>
        <v>0</v>
      </c>
      <c r="Z812" s="436">
        <f>SUM(Z813:Z815)</f>
        <v>0</v>
      </c>
      <c r="AA812" s="436">
        <f>SUM(AA813:AA815)</f>
        <v>0</v>
      </c>
      <c r="AB812" s="436">
        <f>SUM(AB813:AB815)</f>
        <v>0</v>
      </c>
      <c r="AC812" s="436">
        <f>SUM(AC813:AC815)</f>
        <v>0</v>
      </c>
    </row>
    <row r="813" spans="2:29" s="204" customFormat="1" x14ac:dyDescent="0.25">
      <c r="B813" s="287" t="s">
        <v>2001</v>
      </c>
      <c r="C813" s="287" t="s">
        <v>2002</v>
      </c>
      <c r="D813" s="274" t="s">
        <v>3905</v>
      </c>
      <c r="E813" s="274"/>
      <c r="F813" s="274"/>
      <c r="G813" s="390"/>
      <c r="H813" s="391"/>
      <c r="I813" s="389"/>
      <c r="J813" s="281"/>
      <c r="K813" s="281"/>
      <c r="L813" s="379" t="s">
        <v>2004</v>
      </c>
      <c r="M813" s="284" t="s">
        <v>2962</v>
      </c>
      <c r="N813" s="435">
        <f>+R813</f>
        <v>0</v>
      </c>
      <c r="O813" s="435">
        <f>+Z813</f>
        <v>0</v>
      </c>
      <c r="P813" s="271">
        <f t="shared" si="133"/>
        <v>0</v>
      </c>
      <c r="Q813" s="527"/>
      <c r="R813" s="354">
        <f>IF(ISERROR(VLOOKUP("SAN"&amp;$C813,ESTR_PREC_SP!$A$2:$G$2000,4,FALSE))=TRUE,0,VLOOKUP("SAN"&amp;$C813,ESTR_PREC_SP!$A$2:$G$2000,4,FALSE))</f>
        <v>0</v>
      </c>
      <c r="S813" s="521"/>
      <c r="T813" s="527"/>
      <c r="U813" s="527"/>
      <c r="V813" s="355"/>
      <c r="W813" s="527"/>
      <c r="X813" s="527"/>
      <c r="Y813" s="529">
        <f t="shared" si="134"/>
        <v>0</v>
      </c>
      <c r="Z813" s="529">
        <f>+R813+Y813+Q813</f>
        <v>0</v>
      </c>
      <c r="AA813" s="527"/>
      <c r="AB813" s="527"/>
      <c r="AC813" s="527"/>
    </row>
    <row r="814" spans="2:29" s="204" customFormat="1" x14ac:dyDescent="0.25">
      <c r="B814" s="287" t="s">
        <v>2005</v>
      </c>
      <c r="C814" s="287" t="s">
        <v>2006</v>
      </c>
      <c r="D814" s="274" t="s">
        <v>3906</v>
      </c>
      <c r="E814" s="274"/>
      <c r="F814" s="274"/>
      <c r="G814" s="437"/>
      <c r="H814" s="266"/>
      <c r="I814" s="437"/>
      <c r="J814" s="281"/>
      <c r="K814" s="281"/>
      <c r="L814" s="379" t="s">
        <v>2008</v>
      </c>
      <c r="M814" s="284" t="s">
        <v>2962</v>
      </c>
      <c r="N814" s="435">
        <f>+R814</f>
        <v>0</v>
      </c>
      <c r="O814" s="435">
        <f>+Z814</f>
        <v>0</v>
      </c>
      <c r="P814" s="271">
        <f t="shared" si="133"/>
        <v>0</v>
      </c>
      <c r="Q814" s="527"/>
      <c r="R814" s="354">
        <f>IF(ISERROR(VLOOKUP("SAN"&amp;$C814,ESTR_PREC_SP!$A$2:$G$2000,4,FALSE))=TRUE,0,VLOOKUP("SAN"&amp;$C814,ESTR_PREC_SP!$A$2:$G$2000,4,FALSE))</f>
        <v>0</v>
      </c>
      <c r="S814" s="521"/>
      <c r="T814" s="527"/>
      <c r="U814" s="527"/>
      <c r="V814" s="355"/>
      <c r="W814" s="527"/>
      <c r="X814" s="527"/>
      <c r="Y814" s="529">
        <f t="shared" si="134"/>
        <v>0</v>
      </c>
      <c r="Z814" s="529">
        <f>+R814+Y814+Q814</f>
        <v>0</v>
      </c>
      <c r="AA814" s="527"/>
      <c r="AB814" s="527"/>
      <c r="AC814" s="527"/>
    </row>
    <row r="815" spans="2:29" s="204" customFormat="1" x14ac:dyDescent="0.25">
      <c r="B815" s="287" t="s">
        <v>2009</v>
      </c>
      <c r="C815" s="287" t="s">
        <v>2010</v>
      </c>
      <c r="D815" s="274" t="s">
        <v>3907</v>
      </c>
      <c r="E815" s="274"/>
      <c r="F815" s="274"/>
      <c r="G815" s="437"/>
      <c r="H815" s="266"/>
      <c r="I815" s="437"/>
      <c r="J815" s="281"/>
      <c r="K815" s="281"/>
      <c r="L815" s="379" t="s">
        <v>2012</v>
      </c>
      <c r="M815" s="284" t="s">
        <v>2962</v>
      </c>
      <c r="N815" s="435">
        <f>+R815</f>
        <v>0</v>
      </c>
      <c r="O815" s="435">
        <f>+Z815</f>
        <v>0</v>
      </c>
      <c r="P815" s="271">
        <f t="shared" si="133"/>
        <v>0</v>
      </c>
      <c r="Q815" s="527"/>
      <c r="R815" s="354">
        <f>IF(ISERROR(VLOOKUP("SAN"&amp;$C815,ESTR_PREC_SP!$A$2:$G$2000,4,FALSE))=TRUE,0,VLOOKUP("SAN"&amp;$C815,ESTR_PREC_SP!$A$2:$G$2000,4,FALSE))</f>
        <v>0</v>
      </c>
      <c r="S815" s="521"/>
      <c r="T815" s="527"/>
      <c r="U815" s="527"/>
      <c r="V815" s="355"/>
      <c r="W815" s="527"/>
      <c r="X815" s="527"/>
      <c r="Y815" s="529">
        <f t="shared" si="134"/>
        <v>0</v>
      </c>
      <c r="Z815" s="529">
        <f>+R815+Y815+Q815</f>
        <v>0</v>
      </c>
      <c r="AA815" s="527"/>
      <c r="AB815" s="527"/>
      <c r="AC815" s="527"/>
    </row>
    <row r="816" spans="2:29" s="204" customFormat="1" x14ac:dyDescent="0.25">
      <c r="B816" s="287" t="s">
        <v>2013</v>
      </c>
      <c r="C816" s="287" t="s">
        <v>2014</v>
      </c>
      <c r="D816" s="274" t="s">
        <v>3908</v>
      </c>
      <c r="E816" s="274"/>
      <c r="F816" s="274"/>
      <c r="G816" s="283"/>
      <c r="H816" s="266"/>
      <c r="I816" s="427"/>
      <c r="J816" s="281"/>
      <c r="K816" s="281"/>
      <c r="L816" s="295" t="s">
        <v>2018</v>
      </c>
      <c r="M816" s="284" t="s">
        <v>2962</v>
      </c>
      <c r="N816" s="435">
        <f>+R816</f>
        <v>0</v>
      </c>
      <c r="O816" s="435">
        <f>+Z816</f>
        <v>0</v>
      </c>
      <c r="P816" s="271">
        <f t="shared" si="133"/>
        <v>0</v>
      </c>
      <c r="Q816" s="527"/>
      <c r="R816" s="354">
        <f>IF(ISERROR(VLOOKUP("SAN"&amp;$C816,ESTR_PREC_SP!$A$2:$G$2000,4,FALSE))=TRUE,0,VLOOKUP("SAN"&amp;$C816,ESTR_PREC_SP!$A$2:$G$2000,4,FALSE))</f>
        <v>0</v>
      </c>
      <c r="S816" s="521"/>
      <c r="T816" s="527"/>
      <c r="U816" s="527"/>
      <c r="V816" s="355"/>
      <c r="W816" s="527"/>
      <c r="X816" s="527"/>
      <c r="Y816" s="529">
        <f t="shared" si="134"/>
        <v>0</v>
      </c>
      <c r="Z816" s="529">
        <f>+R816+Y816+Q816</f>
        <v>0</v>
      </c>
      <c r="AA816" s="527"/>
      <c r="AB816" s="527"/>
      <c r="AC816" s="527"/>
    </row>
    <row r="817" spans="2:29" s="204" customFormat="1" x14ac:dyDescent="0.25">
      <c r="B817" s="287" t="s">
        <v>2019</v>
      </c>
      <c r="C817" s="287" t="s">
        <v>2020</v>
      </c>
      <c r="D817" s="274" t="s">
        <v>3909</v>
      </c>
      <c r="E817" s="274"/>
      <c r="F817" s="274"/>
      <c r="G817" s="283"/>
      <c r="H817" s="266"/>
      <c r="I817" s="274"/>
      <c r="J817" s="281"/>
      <c r="K817" s="281"/>
      <c r="L817" s="295" t="s">
        <v>2024</v>
      </c>
      <c r="M817" s="284" t="s">
        <v>2962</v>
      </c>
      <c r="N817" s="438">
        <f>+R817</f>
        <v>0</v>
      </c>
      <c r="O817" s="435">
        <f>+Z817+Q817</f>
        <v>0</v>
      </c>
      <c r="P817" s="271">
        <f t="shared" si="133"/>
        <v>0</v>
      </c>
      <c r="Q817" s="527"/>
      <c r="R817" s="354">
        <f>IF(ISERROR(VLOOKUP("SAN"&amp;$C817,ESTR_PREC_SP!$A$2:$G$2000,4,FALSE))=TRUE,0,VLOOKUP("SAN"&amp;$C817,ESTR_PREC_SP!$A$2:$G$2000,4,FALSE))</f>
        <v>0</v>
      </c>
      <c r="S817" s="355"/>
      <c r="T817" s="355"/>
      <c r="U817" s="355"/>
      <c r="V817" s="355"/>
      <c r="W817" s="355"/>
      <c r="X817" s="355"/>
      <c r="Y817" s="355">
        <f t="shared" si="134"/>
        <v>0</v>
      </c>
      <c r="Z817" s="527"/>
      <c r="AA817" s="355"/>
      <c r="AB817" s="355"/>
      <c r="AC817" s="355"/>
    </row>
    <row r="818" spans="2:29" s="204" customFormat="1" ht="39.75" customHeight="1" x14ac:dyDescent="0.25">
      <c r="B818" s="384"/>
      <c r="C818" s="384"/>
      <c r="D818" s="382"/>
      <c r="E818" s="382"/>
      <c r="F818" s="382"/>
      <c r="G818" s="382"/>
      <c r="H818" s="382"/>
      <c r="I818" s="382"/>
      <c r="J818" s="382"/>
      <c r="K818" s="382"/>
      <c r="L818" s="344" t="s">
        <v>3910</v>
      </c>
      <c r="M818" s="439"/>
      <c r="N818" s="383"/>
      <c r="O818" s="383"/>
      <c r="P818" s="383"/>
      <c r="Q818" s="383"/>
      <c r="R818" s="275"/>
      <c r="S818" s="275"/>
      <c r="T818" s="383"/>
      <c r="U818" s="383"/>
      <c r="V818" s="211"/>
      <c r="W818" s="211"/>
      <c r="X818" s="211"/>
      <c r="Y818" s="440"/>
      <c r="Z818" s="440"/>
      <c r="AA818" s="440"/>
    </row>
    <row r="819" spans="2:29" s="204" customFormat="1" x14ac:dyDescent="0.25">
      <c r="B819" s="384"/>
      <c r="C819" s="384"/>
      <c r="D819" s="382"/>
      <c r="E819" s="382"/>
      <c r="F819" s="382"/>
      <c r="G819" s="382"/>
      <c r="H819" s="382"/>
      <c r="I819" s="382"/>
      <c r="J819" s="382"/>
      <c r="K819" s="382"/>
      <c r="L819" s="275"/>
      <c r="M819" s="439"/>
      <c r="N819" s="383"/>
      <c r="O819" s="383"/>
      <c r="P819" s="383"/>
      <c r="Q819" s="383"/>
      <c r="R819" s="275"/>
      <c r="S819" s="275"/>
      <c r="T819" s="383"/>
      <c r="U819" s="383"/>
      <c r="V819" s="211"/>
      <c r="W819" s="211"/>
      <c r="X819" s="211"/>
      <c r="Y819" s="440"/>
      <c r="Z819" s="440"/>
      <c r="AA819" s="440"/>
    </row>
    <row r="820" spans="2:29" s="204" customFormat="1" x14ac:dyDescent="0.25">
      <c r="B820" s="230"/>
      <c r="C820" s="230"/>
      <c r="D820" s="230"/>
      <c r="E820" s="230"/>
      <c r="F820" s="230"/>
      <c r="G820" s="230"/>
      <c r="H820" s="231"/>
      <c r="I820" s="230"/>
      <c r="J820" s="230"/>
      <c r="K820" s="230"/>
      <c r="L820" s="232"/>
      <c r="M820" s="211"/>
      <c r="N820" s="254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</row>
    <row r="821" spans="2:29" s="204" customFormat="1" x14ac:dyDescent="0.25">
      <c r="B821" s="233" t="s">
        <v>2025</v>
      </c>
      <c r="C821" s="233" t="s">
        <v>2026</v>
      </c>
      <c r="D821" s="234" t="s">
        <v>3911</v>
      </c>
      <c r="E821" s="234"/>
      <c r="F821" s="234"/>
      <c r="G821" s="234"/>
      <c r="H821" s="235"/>
      <c r="I821" s="234"/>
      <c r="J821" s="234"/>
      <c r="K821" s="234"/>
      <c r="L821" s="236" t="s">
        <v>2027</v>
      </c>
      <c r="M821" s="237" t="s">
        <v>2962</v>
      </c>
      <c r="N821" s="238">
        <f>+N823+N829+N840+N852+N871</f>
        <v>10526155</v>
      </c>
      <c r="O821" s="238">
        <f>+O823+O829+O840+O852+O871</f>
        <v>13929770</v>
      </c>
      <c r="P821" s="239">
        <f>+O821-N821</f>
        <v>3403615</v>
      </c>
      <c r="Q821" s="238">
        <f t="shared" ref="Q821:X821" si="142">+Q823+Q829+Q840+Q852+Q871</f>
        <v>0</v>
      </c>
      <c r="R821" s="238">
        <f t="shared" si="142"/>
        <v>10526155</v>
      </c>
      <c r="S821" s="238">
        <f t="shared" si="142"/>
        <v>0</v>
      </c>
      <c r="T821" s="238">
        <f t="shared" si="142"/>
        <v>8717099</v>
      </c>
      <c r="U821" s="238">
        <f t="shared" si="142"/>
        <v>-355987</v>
      </c>
      <c r="V821" s="238">
        <f t="shared" si="142"/>
        <v>4957497</v>
      </c>
      <c r="W821" s="238">
        <f t="shared" si="142"/>
        <v>0</v>
      </c>
      <c r="X821" s="238">
        <f t="shared" si="142"/>
        <v>13929770</v>
      </c>
      <c r="Y821" s="211"/>
      <c r="Z821" s="211"/>
      <c r="AA821" s="211"/>
    </row>
    <row r="822" spans="2:29" s="204" customFormat="1" x14ac:dyDescent="0.25">
      <c r="B822" s="230"/>
      <c r="C822" s="230"/>
      <c r="D822" s="230"/>
      <c r="E822" s="230"/>
      <c r="F822" s="230"/>
      <c r="G822" s="230"/>
      <c r="H822" s="231"/>
      <c r="I822" s="230"/>
      <c r="J822" s="211"/>
      <c r="K822" s="211"/>
      <c r="L822" s="232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</row>
    <row r="823" spans="2:29" s="204" customFormat="1" x14ac:dyDescent="0.25">
      <c r="B823" s="246" t="s">
        <v>2028</v>
      </c>
      <c r="C823" s="246" t="s">
        <v>2029</v>
      </c>
      <c r="D823" s="247" t="s">
        <v>3912</v>
      </c>
      <c r="E823" s="247"/>
      <c r="F823" s="247"/>
      <c r="G823" s="247"/>
      <c r="H823" s="248"/>
      <c r="I823" s="247"/>
      <c r="J823" s="247"/>
      <c r="K823" s="249"/>
      <c r="L823" s="441" t="s">
        <v>4178</v>
      </c>
      <c r="M823" s="251" t="s">
        <v>2962</v>
      </c>
      <c r="N823" s="252">
        <f>SUM(N826:N827)</f>
        <v>0</v>
      </c>
      <c r="O823" s="252">
        <f>SUM(O826:O827)</f>
        <v>0</v>
      </c>
      <c r="P823" s="253">
        <f>+O823-N823</f>
        <v>0</v>
      </c>
      <c r="Q823" s="252">
        <f t="shared" ref="Q823:X823" si="143">SUM(Q826:Q827)</f>
        <v>0</v>
      </c>
      <c r="R823" s="252">
        <f t="shared" si="143"/>
        <v>0</v>
      </c>
      <c r="S823" s="252">
        <f t="shared" si="143"/>
        <v>0</v>
      </c>
      <c r="T823" s="252">
        <f t="shared" si="143"/>
        <v>0</v>
      </c>
      <c r="U823" s="252">
        <f t="shared" si="143"/>
        <v>0</v>
      </c>
      <c r="V823" s="252">
        <f t="shared" si="143"/>
        <v>0</v>
      </c>
      <c r="W823" s="252">
        <f t="shared" si="143"/>
        <v>0</v>
      </c>
      <c r="X823" s="252">
        <f t="shared" si="143"/>
        <v>0</v>
      </c>
      <c r="Y823" s="211"/>
      <c r="Z823" s="211"/>
      <c r="AA823" s="211"/>
    </row>
    <row r="824" spans="2:29" s="204" customFormat="1" x14ac:dyDescent="0.25">
      <c r="B824" s="211"/>
      <c r="C824" s="211"/>
      <c r="D824" s="211"/>
      <c r="E824" s="211"/>
      <c r="F824" s="211"/>
      <c r="G824" s="211"/>
      <c r="H824" s="353"/>
      <c r="I824" s="211"/>
      <c r="J824" s="211"/>
      <c r="K824" s="211"/>
      <c r="L824" s="243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</row>
    <row r="825" spans="2:29" s="204" customFormat="1" ht="51" x14ac:dyDescent="0.25">
      <c r="B825" s="260" t="s">
        <v>2968</v>
      </c>
      <c r="C825" s="260" t="s">
        <v>2969</v>
      </c>
      <c r="D825" s="206" t="s">
        <v>72</v>
      </c>
      <c r="E825" s="206"/>
      <c r="F825" s="206"/>
      <c r="G825" s="207"/>
      <c r="H825" s="207"/>
      <c r="I825" s="207"/>
      <c r="J825" s="207" t="s">
        <v>2957</v>
      </c>
      <c r="K825" s="206" t="s">
        <v>82</v>
      </c>
      <c r="L825" s="261" t="s">
        <v>3670</v>
      </c>
      <c r="M825" s="256"/>
      <c r="N825" s="256" t="str">
        <f>N$15</f>
        <v>Valore netto al 31/12/2019</v>
      </c>
      <c r="O825" s="256" t="str">
        <f>O$15</f>
        <v>Valore netto al 31/12/2020</v>
      </c>
      <c r="P825" s="256" t="str">
        <f>P$15</f>
        <v>Variazione</v>
      </c>
      <c r="Q825" s="262" t="s">
        <v>2971</v>
      </c>
      <c r="R825" s="442" t="s">
        <v>3877</v>
      </c>
      <c r="S825" s="346" t="s">
        <v>2972</v>
      </c>
      <c r="T825" s="442" t="s">
        <v>3913</v>
      </c>
      <c r="U825" s="442" t="s">
        <v>3914</v>
      </c>
      <c r="V825" s="442" t="s">
        <v>3915</v>
      </c>
      <c r="W825" s="262" t="s">
        <v>2975</v>
      </c>
      <c r="X825" s="442" t="s">
        <v>3883</v>
      </c>
      <c r="Y825" s="211"/>
      <c r="Z825" s="211"/>
      <c r="AA825" s="211"/>
    </row>
    <row r="826" spans="2:29" s="204" customFormat="1" x14ac:dyDescent="0.25">
      <c r="B826" s="284" t="s">
        <v>2034</v>
      </c>
      <c r="C826" s="284" t="s">
        <v>2035</v>
      </c>
      <c r="D826" s="274" t="s">
        <v>3916</v>
      </c>
      <c r="E826" s="274"/>
      <c r="F826" s="274"/>
      <c r="G826" s="283"/>
      <c r="H826" s="266"/>
      <c r="I826" s="274"/>
      <c r="J826" s="281"/>
      <c r="K826" s="281"/>
      <c r="L826" s="295" t="s">
        <v>3917</v>
      </c>
      <c r="M826" s="284" t="s">
        <v>2962</v>
      </c>
      <c r="N826" s="443">
        <f>+R826</f>
        <v>0</v>
      </c>
      <c r="O826" s="443">
        <f>+X826</f>
        <v>0</v>
      </c>
      <c r="P826" s="271">
        <f>+O826-N826</f>
        <v>0</v>
      </c>
      <c r="Q826" s="541"/>
      <c r="R826" s="354">
        <f>IF(ISERROR(VLOOKUP("SAN"&amp;$C826,ESTR_PREC_SP!$A$2:$G$2000,4,FALSE))=TRUE,0,VLOOKUP("SAN"&amp;$C826,ESTR_PREC_SP!$A$2:$G$2000,4,FALSE))</f>
        <v>0</v>
      </c>
      <c r="S826" s="355"/>
      <c r="T826" s="541"/>
      <c r="U826" s="541"/>
      <c r="V826" s="378">
        <f>+Utilizzi_Fondi_San!$F$4</f>
        <v>0</v>
      </c>
      <c r="W826" s="541"/>
      <c r="X826" s="408">
        <f>+R826+S826+T826+U826-V826+W826+Q826</f>
        <v>0</v>
      </c>
      <c r="Y826" s="211"/>
      <c r="Z826" s="211"/>
      <c r="AA826" s="211"/>
    </row>
    <row r="827" spans="2:29" s="204" customFormat="1" x14ac:dyDescent="0.25">
      <c r="B827" s="284" t="s">
        <v>2037</v>
      </c>
      <c r="C827" s="284" t="s">
        <v>2038</v>
      </c>
      <c r="D827" s="274" t="s">
        <v>3918</v>
      </c>
      <c r="E827" s="274"/>
      <c r="F827" s="274"/>
      <c r="G827" s="283"/>
      <c r="H827" s="266"/>
      <c r="I827" s="274"/>
      <c r="J827" s="281"/>
      <c r="K827" s="281"/>
      <c r="L827" s="295" t="s">
        <v>3919</v>
      </c>
      <c r="M827" s="284" t="s">
        <v>2962</v>
      </c>
      <c r="N827" s="443">
        <f>+R827</f>
        <v>0</v>
      </c>
      <c r="O827" s="443">
        <f>+X827</f>
        <v>0</v>
      </c>
      <c r="P827" s="271">
        <f>+O827-N827</f>
        <v>0</v>
      </c>
      <c r="Q827" s="541"/>
      <c r="R827" s="354">
        <f>IF(ISERROR(VLOOKUP("SAN"&amp;$C827,ESTR_PREC_SP!$A$2:$G$2000,4,FALSE))=TRUE,0,VLOOKUP("SAN"&amp;$C827,ESTR_PREC_SP!$A$2:$G$2000,4,FALSE))</f>
        <v>0</v>
      </c>
      <c r="S827" s="355"/>
      <c r="T827" s="541"/>
      <c r="U827" s="541"/>
      <c r="V827" s="378">
        <f>+Utilizzi_Fondi_San!$G$4</f>
        <v>0</v>
      </c>
      <c r="W827" s="541"/>
      <c r="X827" s="408">
        <f>+R827+S827+T827+U827-V827+W827+Q827</f>
        <v>0</v>
      </c>
      <c r="Y827" s="211"/>
      <c r="Z827" s="211"/>
      <c r="AA827" s="211"/>
    </row>
    <row r="828" spans="2:29" s="204" customFormat="1" x14ac:dyDescent="0.25"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32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</row>
    <row r="829" spans="2:29" s="204" customFormat="1" x14ac:dyDescent="0.25">
      <c r="B829" s="246" t="s">
        <v>2040</v>
      </c>
      <c r="C829" s="246" t="s">
        <v>2041</v>
      </c>
      <c r="D829" s="247" t="s">
        <v>3920</v>
      </c>
      <c r="E829" s="247"/>
      <c r="F829" s="247"/>
      <c r="G829" s="247"/>
      <c r="H829" s="248"/>
      <c r="I829" s="247"/>
      <c r="J829" s="247"/>
      <c r="K829" s="249"/>
      <c r="L829" s="441" t="s">
        <v>2043</v>
      </c>
      <c r="M829" s="251" t="s">
        <v>2962</v>
      </c>
      <c r="N829" s="252">
        <f>SUM(N832:N838)</f>
        <v>5016560</v>
      </c>
      <c r="O829" s="252">
        <f>SUM(O832:O838)</f>
        <v>6227161</v>
      </c>
      <c r="P829" s="253">
        <f>+O829-N829</f>
        <v>1210601</v>
      </c>
      <c r="Q829" s="252">
        <f t="shared" ref="Q829:X829" si="144">SUM(Q832:Q838)</f>
        <v>0</v>
      </c>
      <c r="R829" s="252">
        <f t="shared" si="144"/>
        <v>5016560</v>
      </c>
      <c r="S829" s="252">
        <f t="shared" si="144"/>
        <v>0</v>
      </c>
      <c r="T829" s="252">
        <f t="shared" si="144"/>
        <v>2941000</v>
      </c>
      <c r="U829" s="252">
        <f t="shared" si="144"/>
        <v>0</v>
      </c>
      <c r="V829" s="252">
        <f t="shared" si="144"/>
        <v>1730399</v>
      </c>
      <c r="W829" s="252">
        <f t="shared" si="144"/>
        <v>0</v>
      </c>
      <c r="X829" s="252">
        <f t="shared" si="144"/>
        <v>6227161</v>
      </c>
      <c r="Y829" s="211"/>
      <c r="Z829" s="211"/>
      <c r="AA829" s="211"/>
    </row>
    <row r="830" spans="2:29" s="204" customFormat="1" x14ac:dyDescent="0.25"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32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</row>
    <row r="831" spans="2:29" s="204" customFormat="1" ht="51" x14ac:dyDescent="0.25">
      <c r="B831" s="260" t="s">
        <v>2968</v>
      </c>
      <c r="C831" s="260" t="s">
        <v>2969</v>
      </c>
      <c r="D831" s="206" t="s">
        <v>72</v>
      </c>
      <c r="E831" s="206"/>
      <c r="F831" s="206"/>
      <c r="G831" s="207"/>
      <c r="H831" s="207"/>
      <c r="I831" s="207"/>
      <c r="J831" s="207" t="s">
        <v>2957</v>
      </c>
      <c r="K831" s="206" t="s">
        <v>82</v>
      </c>
      <c r="L831" s="256" t="s">
        <v>3670</v>
      </c>
      <c r="M831" s="256"/>
      <c r="N831" s="256" t="str">
        <f>N$15</f>
        <v>Valore netto al 31/12/2019</v>
      </c>
      <c r="O831" s="256" t="str">
        <f>O$15</f>
        <v>Valore netto al 31/12/2020</v>
      </c>
      <c r="P831" s="256" t="str">
        <f>P$15</f>
        <v>Variazione</v>
      </c>
      <c r="Q831" s="262" t="s">
        <v>2971</v>
      </c>
      <c r="R831" s="442" t="s">
        <v>3877</v>
      </c>
      <c r="S831" s="262" t="s">
        <v>2972</v>
      </c>
      <c r="T831" s="442" t="s">
        <v>3913</v>
      </c>
      <c r="U831" s="442" t="s">
        <v>3914</v>
      </c>
      <c r="V831" s="442" t="s">
        <v>3915</v>
      </c>
      <c r="W831" s="262" t="s">
        <v>2975</v>
      </c>
      <c r="X831" s="442" t="s">
        <v>3883</v>
      </c>
      <c r="Y831" s="211"/>
      <c r="Z831" s="211"/>
      <c r="AA831" s="211"/>
    </row>
    <row r="832" spans="2:29" s="204" customFormat="1" x14ac:dyDescent="0.25">
      <c r="B832" s="284" t="s">
        <v>2044</v>
      </c>
      <c r="C832" s="284" t="s">
        <v>2045</v>
      </c>
      <c r="D832" s="274" t="s">
        <v>3921</v>
      </c>
      <c r="E832" s="274"/>
      <c r="F832" s="274"/>
      <c r="G832" s="283"/>
      <c r="H832" s="266"/>
      <c r="I832" s="274"/>
      <c r="J832" s="281"/>
      <c r="K832" s="281"/>
      <c r="L832" s="282" t="s">
        <v>2048</v>
      </c>
      <c r="M832" s="284" t="s">
        <v>2962</v>
      </c>
      <c r="N832" s="443">
        <f t="shared" ref="N832:N838" si="145">+R832</f>
        <v>40746</v>
      </c>
      <c r="O832" s="443">
        <f t="shared" ref="O832:O838" si="146">+X832</f>
        <v>6457</v>
      </c>
      <c r="P832" s="271">
        <f t="shared" ref="P832:P838" si="147">+O832-N832</f>
        <v>-34289</v>
      </c>
      <c r="Q832" s="542"/>
      <c r="R832" s="354">
        <f>IF(ISERROR(VLOOKUP("SAN"&amp;$C832,ESTR_PREC_SP!$A$2:$G$2000,4,FALSE))=TRUE,0,VLOOKUP("SAN"&amp;$C832,ESTR_PREC_SP!$A$2:$G$2000,4,FALSE))</f>
        <v>40746</v>
      </c>
      <c r="S832" s="521"/>
      <c r="T832" s="541"/>
      <c r="U832" s="541"/>
      <c r="V832" s="378">
        <f>+Utilizzi_Fondi_San!$H$4</f>
        <v>34289</v>
      </c>
      <c r="W832" s="541"/>
      <c r="X832" s="408">
        <f t="shared" ref="X832:X838" si="148">+R832+S832+T832+U832-V832+W832+Q832</f>
        <v>6457</v>
      </c>
      <c r="Y832" s="211"/>
      <c r="Z832" s="211"/>
      <c r="AA832" s="211"/>
    </row>
    <row r="833" spans="1:41" s="204" customFormat="1" x14ac:dyDescent="0.25">
      <c r="B833" s="284" t="s">
        <v>2049</v>
      </c>
      <c r="C833" s="284" t="s">
        <v>2050</v>
      </c>
      <c r="D833" s="274" t="s">
        <v>3922</v>
      </c>
      <c r="E833" s="274"/>
      <c r="F833" s="274"/>
      <c r="G833" s="283"/>
      <c r="H833" s="266"/>
      <c r="I833" s="274"/>
      <c r="J833" s="281"/>
      <c r="K833" s="281"/>
      <c r="L833" s="295" t="s">
        <v>2053</v>
      </c>
      <c r="M833" s="284" t="s">
        <v>2962</v>
      </c>
      <c r="N833" s="443">
        <f t="shared" si="145"/>
        <v>40507</v>
      </c>
      <c r="O833" s="443">
        <f t="shared" si="146"/>
        <v>40507</v>
      </c>
      <c r="P833" s="271">
        <f t="shared" si="147"/>
        <v>0</v>
      </c>
      <c r="Q833" s="541"/>
      <c r="R833" s="354">
        <f>IF(ISERROR(VLOOKUP("SAN"&amp;$C833,ESTR_PREC_SP!$A$2:$G$2000,4,FALSE))=TRUE,0,VLOOKUP("SAN"&amp;$C833,ESTR_PREC_SP!$A$2:$G$2000,4,FALSE))</f>
        <v>40507</v>
      </c>
      <c r="S833" s="521"/>
      <c r="T833" s="541"/>
      <c r="U833" s="541"/>
      <c r="V833" s="378">
        <f>+Utilizzi_Fondi_San!$I$4</f>
        <v>0</v>
      </c>
      <c r="W833" s="541"/>
      <c r="X833" s="408">
        <f t="shared" si="148"/>
        <v>40507</v>
      </c>
      <c r="Y833" s="211"/>
      <c r="Z833" s="211"/>
      <c r="AA833" s="211"/>
    </row>
    <row r="834" spans="1:41" s="204" customFormat="1" x14ac:dyDescent="0.25">
      <c r="B834" s="284" t="s">
        <v>2054</v>
      </c>
      <c r="C834" s="284" t="s">
        <v>2055</v>
      </c>
      <c r="D834" s="274" t="s">
        <v>3923</v>
      </c>
      <c r="E834" s="274"/>
      <c r="F834" s="274"/>
      <c r="G834" s="283"/>
      <c r="H834" s="266"/>
      <c r="I834" s="274"/>
      <c r="J834" s="281"/>
      <c r="K834" s="281"/>
      <c r="L834" s="295" t="s">
        <v>2058</v>
      </c>
      <c r="M834" s="284" t="s">
        <v>2962</v>
      </c>
      <c r="N834" s="443">
        <f t="shared" si="145"/>
        <v>0</v>
      </c>
      <c r="O834" s="443">
        <f t="shared" si="146"/>
        <v>0</v>
      </c>
      <c r="P834" s="271">
        <f t="shared" si="147"/>
        <v>0</v>
      </c>
      <c r="Q834" s="541"/>
      <c r="R834" s="354">
        <f>IF(ISERROR(VLOOKUP("SAN"&amp;$C834,ESTR_PREC_SP!$A$2:$G$2000,4,FALSE))=TRUE,0,VLOOKUP("SAN"&amp;$C834,ESTR_PREC_SP!$A$2:$G$2000,4,FALSE))</f>
        <v>0</v>
      </c>
      <c r="S834" s="521"/>
      <c r="T834" s="541"/>
      <c r="U834" s="541"/>
      <c r="V834" s="378">
        <f>+Utilizzi_Fondi_San!$J$4</f>
        <v>0</v>
      </c>
      <c r="W834" s="541"/>
      <c r="X834" s="408">
        <f t="shared" si="148"/>
        <v>0</v>
      </c>
      <c r="Y834" s="211"/>
      <c r="Z834" s="211"/>
      <c r="AA834" s="211"/>
    </row>
    <row r="835" spans="1:41" s="204" customFormat="1" x14ac:dyDescent="0.25">
      <c r="B835" s="284" t="s">
        <v>2059</v>
      </c>
      <c r="C835" s="284" t="s">
        <v>2060</v>
      </c>
      <c r="D835" s="274" t="s">
        <v>3924</v>
      </c>
      <c r="E835" s="274"/>
      <c r="F835" s="274"/>
      <c r="G835" s="283"/>
      <c r="H835" s="266"/>
      <c r="I835" s="274"/>
      <c r="J835" s="281"/>
      <c r="K835" s="281"/>
      <c r="L835" s="295" t="s">
        <v>2063</v>
      </c>
      <c r="M835" s="284" t="s">
        <v>2962</v>
      </c>
      <c r="N835" s="443">
        <f t="shared" si="145"/>
        <v>4935307</v>
      </c>
      <c r="O835" s="443">
        <f t="shared" si="146"/>
        <v>6180197</v>
      </c>
      <c r="P835" s="271">
        <f t="shared" si="147"/>
        <v>1244890</v>
      </c>
      <c r="Q835" s="541"/>
      <c r="R835" s="354">
        <f>IF(ISERROR(VLOOKUP("SAN"&amp;$C835,ESTR_PREC_SP!$A$2:$G$2000,4,FALSE))=TRUE,0,VLOOKUP("SAN"&amp;$C835,ESTR_PREC_SP!$A$2:$G$2000,4,FALSE))</f>
        <v>4935307</v>
      </c>
      <c r="S835" s="521"/>
      <c r="T835" s="541">
        <v>2941000</v>
      </c>
      <c r="U835" s="541"/>
      <c r="V835" s="378">
        <f>+Utilizzi_Fondi_San!$K$4</f>
        <v>1696110</v>
      </c>
      <c r="W835" s="541"/>
      <c r="X835" s="408">
        <f t="shared" si="148"/>
        <v>6180197</v>
      </c>
      <c r="Y835" s="211"/>
      <c r="Z835" s="211"/>
      <c r="AA835" s="211"/>
      <c r="AB835" s="211"/>
      <c r="AC835" s="211"/>
      <c r="AD835" s="211"/>
      <c r="AE835" s="211"/>
      <c r="AF835" s="211"/>
      <c r="AG835" s="211"/>
      <c r="AH835" s="211"/>
    </row>
    <row r="836" spans="1:41" s="204" customFormat="1" x14ac:dyDescent="0.25">
      <c r="A836" s="535" t="s">
        <v>3681</v>
      </c>
      <c r="B836" s="536" t="s">
        <v>2064</v>
      </c>
      <c r="C836" s="536" t="s">
        <v>2065</v>
      </c>
      <c r="D836" s="536"/>
      <c r="E836" s="536"/>
      <c r="F836" s="536"/>
      <c r="G836" s="536"/>
      <c r="H836" s="536"/>
      <c r="I836" s="536"/>
      <c r="J836" s="536"/>
      <c r="K836" s="536"/>
      <c r="L836" s="536" t="s">
        <v>2067</v>
      </c>
      <c r="M836" s="284" t="s">
        <v>2962</v>
      </c>
      <c r="N836" s="443">
        <f t="shared" si="145"/>
        <v>0</v>
      </c>
      <c r="O836" s="443">
        <f t="shared" si="146"/>
        <v>0</v>
      </c>
      <c r="P836" s="271">
        <f t="shared" si="147"/>
        <v>0</v>
      </c>
      <c r="Q836" s="541"/>
      <c r="R836" s="354">
        <f>IF(ISERROR(VLOOKUP("SAN"&amp;$C836,ESTR_PREC_SP!$A$2:$G$2000,4,FALSE))=TRUE,0,VLOOKUP("SAN"&amp;$C836,ESTR_PREC_SP!$A$2:$G$2000,4,FALSE))</f>
        <v>0</v>
      </c>
      <c r="S836" s="521"/>
      <c r="T836" s="541"/>
      <c r="U836" s="541"/>
      <c r="V836" s="378">
        <f>+Utilizzi_Fondi_San!$L$4</f>
        <v>0</v>
      </c>
      <c r="W836" s="541"/>
      <c r="X836" s="408">
        <f t="shared" si="148"/>
        <v>0</v>
      </c>
      <c r="Y836" s="211"/>
      <c r="Z836" s="211"/>
      <c r="AA836" s="211"/>
      <c r="AB836" s="211"/>
      <c r="AC836" s="211"/>
      <c r="AD836" s="211"/>
      <c r="AE836" s="211"/>
      <c r="AF836" s="211"/>
      <c r="AG836" s="211"/>
      <c r="AH836" s="211"/>
    </row>
    <row r="837" spans="1:41" s="204" customFormat="1" x14ac:dyDescent="0.25">
      <c r="A837" s="535" t="s">
        <v>3681</v>
      </c>
      <c r="B837" s="536" t="s">
        <v>2068</v>
      </c>
      <c r="C837" s="536" t="s">
        <v>2069</v>
      </c>
      <c r="D837" s="536"/>
      <c r="E837" s="536"/>
      <c r="F837" s="536"/>
      <c r="G837" s="536"/>
      <c r="H837" s="536"/>
      <c r="I837" s="536"/>
      <c r="J837" s="536"/>
      <c r="K837" s="536"/>
      <c r="L837" s="536" t="s">
        <v>2071</v>
      </c>
      <c r="M837" s="284" t="s">
        <v>2962</v>
      </c>
      <c r="N837" s="443">
        <f t="shared" si="145"/>
        <v>0</v>
      </c>
      <c r="O837" s="443">
        <f t="shared" si="146"/>
        <v>0</v>
      </c>
      <c r="P837" s="271">
        <f t="shared" si="147"/>
        <v>0</v>
      </c>
      <c r="Q837" s="541"/>
      <c r="R837" s="354">
        <f>IF(ISERROR(VLOOKUP("SAN"&amp;$C837,ESTR_PREC_SP!$A$2:$G$2000,4,FALSE))=TRUE,0,VLOOKUP("SAN"&amp;$C837,ESTR_PREC_SP!$A$2:$G$2000,4,FALSE))</f>
        <v>0</v>
      </c>
      <c r="S837" s="521"/>
      <c r="T837" s="541"/>
      <c r="U837" s="541"/>
      <c r="V837" s="378">
        <f>+Utilizzi_Fondi_San!$M$4</f>
        <v>0</v>
      </c>
      <c r="W837" s="541"/>
      <c r="X837" s="408">
        <f t="shared" si="148"/>
        <v>0</v>
      </c>
      <c r="Y837" s="211"/>
      <c r="Z837" s="211"/>
      <c r="AA837" s="211"/>
      <c r="AB837" s="211"/>
      <c r="AC837" s="211"/>
      <c r="AD837" s="211"/>
      <c r="AE837" s="211"/>
      <c r="AF837" s="211"/>
      <c r="AG837" s="211"/>
      <c r="AH837" s="211"/>
    </row>
    <row r="838" spans="1:41" s="204" customFormat="1" x14ac:dyDescent="0.25">
      <c r="B838" s="284" t="s">
        <v>2072</v>
      </c>
      <c r="C838" s="284" t="s">
        <v>2073</v>
      </c>
      <c r="D838" s="274" t="s">
        <v>3925</v>
      </c>
      <c r="E838" s="274"/>
      <c r="F838" s="274"/>
      <c r="G838" s="283"/>
      <c r="H838" s="266"/>
      <c r="I838" s="274"/>
      <c r="J838" s="281"/>
      <c r="K838" s="281"/>
      <c r="L838" s="295" t="s">
        <v>3926</v>
      </c>
      <c r="M838" s="284" t="s">
        <v>2962</v>
      </c>
      <c r="N838" s="443">
        <f t="shared" si="145"/>
        <v>0</v>
      </c>
      <c r="O838" s="443">
        <f t="shared" si="146"/>
        <v>0</v>
      </c>
      <c r="P838" s="271">
        <f t="shared" si="147"/>
        <v>0</v>
      </c>
      <c r="Q838" s="527"/>
      <c r="R838" s="354">
        <f>IF(ISERROR(VLOOKUP("SAN"&amp;$C838,ESTR_PREC_SP!$A$2:$G$2000,4,FALSE))=TRUE,0,VLOOKUP("SAN"&amp;$C838,ESTR_PREC_SP!$A$2:$G$2000,4,FALSE))</f>
        <v>0</v>
      </c>
      <c r="S838" s="521"/>
      <c r="T838" s="541"/>
      <c r="U838" s="541"/>
      <c r="V838" s="378">
        <f>+Utilizzi_Fondi_San!$N$4</f>
        <v>0</v>
      </c>
      <c r="W838" s="541"/>
      <c r="X838" s="408">
        <f t="shared" si="148"/>
        <v>0</v>
      </c>
      <c r="Y838" s="211"/>
      <c r="Z838" s="211"/>
      <c r="AA838" s="211"/>
    </row>
    <row r="839" spans="1:41" s="204" customFormat="1" x14ac:dyDescent="0.25">
      <c r="B839" s="384"/>
      <c r="C839" s="384"/>
      <c r="D839" s="382"/>
      <c r="E839" s="382"/>
      <c r="F839" s="382"/>
      <c r="G839" s="382"/>
      <c r="H839" s="382"/>
      <c r="I839" s="382"/>
      <c r="J839" s="382"/>
      <c r="K839" s="382"/>
      <c r="L839" s="275"/>
      <c r="M839" s="275"/>
      <c r="N839" s="383"/>
      <c r="O839" s="383"/>
      <c r="P839" s="384"/>
      <c r="Q839" s="211"/>
      <c r="R839" s="444"/>
      <c r="S839" s="444"/>
      <c r="T839" s="211"/>
      <c r="U839" s="211"/>
      <c r="V839" s="211"/>
      <c r="W839" s="211"/>
      <c r="X839" s="211"/>
      <c r="Y839" s="211"/>
      <c r="Z839" s="211"/>
      <c r="AA839" s="211"/>
    </row>
    <row r="840" spans="1:41" s="204" customFormat="1" ht="24.75" customHeight="1" x14ac:dyDescent="0.25">
      <c r="B840" s="246" t="s">
        <v>2077</v>
      </c>
      <c r="C840" s="246" t="s">
        <v>2078</v>
      </c>
      <c r="D840" s="247" t="s">
        <v>3927</v>
      </c>
      <c r="E840" s="247"/>
      <c r="F840" s="247"/>
      <c r="G840" s="247"/>
      <c r="H840" s="248"/>
      <c r="I840" s="247"/>
      <c r="J840" s="247"/>
      <c r="K840" s="249"/>
      <c r="L840" s="441" t="s">
        <v>2080</v>
      </c>
      <c r="M840" s="251" t="s">
        <v>2962</v>
      </c>
      <c r="N840" s="252">
        <f>SUM(N843:N849)</f>
        <v>0</v>
      </c>
      <c r="O840" s="252">
        <f>SUM(O843:O849)</f>
        <v>0</v>
      </c>
      <c r="P840" s="253">
        <f>+O840-N840</f>
        <v>0</v>
      </c>
      <c r="Q840" s="252">
        <f t="shared" ref="Q840:X840" si="149">SUM(Q843:Q849)</f>
        <v>0</v>
      </c>
      <c r="R840" s="252">
        <f t="shared" si="149"/>
        <v>0</v>
      </c>
      <c r="S840" s="252">
        <f t="shared" si="149"/>
        <v>0</v>
      </c>
      <c r="T840" s="252">
        <f t="shared" si="149"/>
        <v>0</v>
      </c>
      <c r="U840" s="252">
        <f t="shared" si="149"/>
        <v>0</v>
      </c>
      <c r="V840" s="252">
        <f t="shared" si="149"/>
        <v>0</v>
      </c>
      <c r="W840" s="252">
        <f t="shared" si="149"/>
        <v>0</v>
      </c>
      <c r="X840" s="252">
        <f t="shared" si="149"/>
        <v>0</v>
      </c>
      <c r="Y840" s="211"/>
      <c r="Z840" s="211"/>
      <c r="AA840" s="211"/>
    </row>
    <row r="841" spans="1:41" s="204" customFormat="1" x14ac:dyDescent="0.25">
      <c r="B841" s="381"/>
      <c r="C841" s="381"/>
      <c r="D841" s="381"/>
      <c r="E841" s="381"/>
      <c r="F841" s="381"/>
      <c r="G841" s="381"/>
      <c r="H841" s="381"/>
      <c r="I841" s="381"/>
      <c r="J841" s="381"/>
      <c r="K841" s="381"/>
      <c r="L841" s="381"/>
      <c r="M841" s="381"/>
      <c r="N841" s="381"/>
      <c r="O841" s="381"/>
      <c r="P841" s="381"/>
      <c r="Q841" s="381"/>
      <c r="R841" s="381"/>
      <c r="S841" s="381"/>
      <c r="T841" s="381"/>
      <c r="U841" s="381"/>
      <c r="V841" s="381"/>
      <c r="W841" s="381"/>
      <c r="X841" s="381"/>
      <c r="Y841" s="381"/>
      <c r="Z841" s="381"/>
      <c r="AA841" s="381"/>
      <c r="AB841" s="381"/>
      <c r="AC841" s="381"/>
      <c r="AD841" s="381"/>
      <c r="AE841" s="381"/>
      <c r="AF841" s="381"/>
      <c r="AG841" s="381"/>
      <c r="AH841" s="381"/>
      <c r="AI841" s="381"/>
      <c r="AJ841" s="381"/>
      <c r="AK841" s="381"/>
      <c r="AL841" s="381"/>
      <c r="AM841" s="381"/>
      <c r="AN841" s="381"/>
      <c r="AO841" s="381"/>
    </row>
    <row r="842" spans="1:41" s="204" customFormat="1" ht="25.5" hidden="1" x14ac:dyDescent="0.25">
      <c r="B842" s="448" t="s">
        <v>2968</v>
      </c>
      <c r="C842" s="448" t="s">
        <v>2969</v>
      </c>
      <c r="D842" s="449" t="s">
        <v>72</v>
      </c>
      <c r="E842" s="449"/>
      <c r="F842" s="449"/>
      <c r="G842" s="450"/>
      <c r="H842" s="450"/>
      <c r="I842" s="450"/>
      <c r="J842" s="450" t="s">
        <v>2957</v>
      </c>
      <c r="K842" s="449" t="s">
        <v>82</v>
      </c>
      <c r="L842" s="451" t="s">
        <v>3670</v>
      </c>
      <c r="M842" s="451"/>
      <c r="N842" s="452" t="str">
        <f>+N831</f>
        <v>Valore netto al 31/12/2019</v>
      </c>
      <c r="O842" s="452" t="str">
        <f>+O831</f>
        <v>Valore netto al 31/12/2020</v>
      </c>
      <c r="P842" s="448" t="s">
        <v>3928</v>
      </c>
      <c r="Q842" s="445"/>
      <c r="R842" s="453" t="s">
        <v>3877</v>
      </c>
      <c r="S842" s="453" t="s">
        <v>3913</v>
      </c>
      <c r="T842" s="453" t="s">
        <v>3914</v>
      </c>
      <c r="U842" s="453"/>
      <c r="V842" s="453" t="s">
        <v>3915</v>
      </c>
      <c r="W842" s="453" t="s">
        <v>3883</v>
      </c>
      <c r="X842" s="453" t="s">
        <v>3883</v>
      </c>
      <c r="Y842" s="445"/>
      <c r="Z842" s="445"/>
      <c r="AA842" s="445"/>
      <c r="AB842" s="447"/>
      <c r="AC842" s="447"/>
      <c r="AD842" s="447"/>
      <c r="AE842" s="447"/>
      <c r="AF842" s="447"/>
      <c r="AG842" s="447"/>
      <c r="AH842" s="447"/>
      <c r="AI842" s="447"/>
      <c r="AJ842" s="447"/>
      <c r="AK842" s="447"/>
      <c r="AL842" s="447"/>
    </row>
    <row r="843" spans="1:41" s="204" customFormat="1" hidden="1" x14ac:dyDescent="0.25">
      <c r="B843" s="454" t="s">
        <v>2082</v>
      </c>
      <c r="C843" s="454" t="s">
        <v>2082</v>
      </c>
      <c r="D843" s="455" t="s">
        <v>3929</v>
      </c>
      <c r="E843" s="455"/>
      <c r="F843" s="455"/>
      <c r="G843" s="456"/>
      <c r="H843" s="457"/>
      <c r="I843" s="455"/>
      <c r="J843" s="455"/>
      <c r="K843" s="455"/>
      <c r="L843" s="458" t="s">
        <v>2085</v>
      </c>
      <c r="M843" s="454" t="s">
        <v>2962</v>
      </c>
      <c r="N843" s="459">
        <f t="shared" ref="N843:N850" si="150">+R843</f>
        <v>0</v>
      </c>
      <c r="O843" s="459">
        <f t="shared" ref="O843:O850" si="151">+X843</f>
        <v>0</v>
      </c>
      <c r="P843" s="460">
        <f t="shared" ref="P843:P850" si="152">+O843-N843</f>
        <v>0</v>
      </c>
      <c r="Q843" s="445"/>
      <c r="R843" s="460"/>
      <c r="S843" s="460"/>
      <c r="T843" s="460"/>
      <c r="U843" s="460"/>
      <c r="V843" s="460"/>
      <c r="W843" s="460">
        <f t="shared" ref="W843:W850" si="153">+Q843+R843+S843-T843</f>
        <v>0</v>
      </c>
      <c r="X843" s="460">
        <f t="shared" ref="X843:X850" si="154">+R843+S843+T843-V843</f>
        <v>0</v>
      </c>
      <c r="Y843" s="445"/>
      <c r="Z843" s="445" t="s">
        <v>3930</v>
      </c>
      <c r="AA843" s="445"/>
      <c r="AB843" s="447"/>
      <c r="AC843" s="447"/>
      <c r="AD843" s="447"/>
      <c r="AE843" s="447"/>
      <c r="AF843" s="447"/>
      <c r="AG843" s="447"/>
      <c r="AH843" s="447"/>
      <c r="AI843" s="447"/>
      <c r="AJ843" s="447"/>
      <c r="AK843" s="447"/>
      <c r="AL843" s="447"/>
    </row>
    <row r="844" spans="1:41" s="204" customFormat="1" hidden="1" x14ac:dyDescent="0.25">
      <c r="B844" s="454" t="s">
        <v>2087</v>
      </c>
      <c r="C844" s="454" t="s">
        <v>2087</v>
      </c>
      <c r="D844" s="455" t="s">
        <v>3931</v>
      </c>
      <c r="E844" s="455"/>
      <c r="F844" s="455"/>
      <c r="G844" s="456"/>
      <c r="H844" s="457"/>
      <c r="I844" s="455"/>
      <c r="J844" s="455"/>
      <c r="K844" s="455"/>
      <c r="L844" s="461" t="s">
        <v>2090</v>
      </c>
      <c r="M844" s="454" t="s">
        <v>2962</v>
      </c>
      <c r="N844" s="459">
        <f t="shared" si="150"/>
        <v>0</v>
      </c>
      <c r="O844" s="459">
        <f t="shared" si="151"/>
        <v>0</v>
      </c>
      <c r="P844" s="460">
        <f t="shared" si="152"/>
        <v>0</v>
      </c>
      <c r="Q844" s="445"/>
      <c r="R844" s="460"/>
      <c r="S844" s="460"/>
      <c r="T844" s="460"/>
      <c r="U844" s="460"/>
      <c r="V844" s="460"/>
      <c r="W844" s="460">
        <f t="shared" si="153"/>
        <v>0</v>
      </c>
      <c r="X844" s="460">
        <f t="shared" si="154"/>
        <v>0</v>
      </c>
      <c r="Y844" s="445"/>
      <c r="Z844" s="445" t="s">
        <v>3932</v>
      </c>
      <c r="AA844" s="445"/>
      <c r="AB844" s="447"/>
      <c r="AC844" s="447"/>
      <c r="AD844" s="447"/>
      <c r="AE844" s="447"/>
      <c r="AF844" s="447"/>
      <c r="AG844" s="447"/>
      <c r="AH844" s="447"/>
      <c r="AI844" s="447"/>
      <c r="AJ844" s="447"/>
      <c r="AK844" s="447"/>
      <c r="AL844" s="447"/>
    </row>
    <row r="845" spans="1:41" s="204" customFormat="1" hidden="1" x14ac:dyDescent="0.25">
      <c r="B845" s="454" t="s">
        <v>2092</v>
      </c>
      <c r="C845" s="454" t="s">
        <v>2092</v>
      </c>
      <c r="D845" s="455" t="s">
        <v>3933</v>
      </c>
      <c r="E845" s="455"/>
      <c r="F845" s="455"/>
      <c r="G845" s="456"/>
      <c r="H845" s="457"/>
      <c r="I845" s="455"/>
      <c r="J845" s="455"/>
      <c r="K845" s="455"/>
      <c r="L845" s="461" t="s">
        <v>2095</v>
      </c>
      <c r="M845" s="454" t="s">
        <v>2962</v>
      </c>
      <c r="N845" s="459">
        <f t="shared" si="150"/>
        <v>0</v>
      </c>
      <c r="O845" s="459">
        <f t="shared" si="151"/>
        <v>0</v>
      </c>
      <c r="P845" s="460">
        <f t="shared" si="152"/>
        <v>0</v>
      </c>
      <c r="Q845" s="445"/>
      <c r="R845" s="460"/>
      <c r="S845" s="460"/>
      <c r="T845" s="460"/>
      <c r="U845" s="460"/>
      <c r="V845" s="460"/>
      <c r="W845" s="460">
        <f t="shared" si="153"/>
        <v>0</v>
      </c>
      <c r="X845" s="460">
        <f t="shared" si="154"/>
        <v>0</v>
      </c>
      <c r="Y845" s="445"/>
      <c r="Z845" s="445"/>
      <c r="AA845" s="445"/>
      <c r="AB845" s="447"/>
      <c r="AC845" s="447"/>
      <c r="AD845" s="447"/>
      <c r="AE845" s="447"/>
      <c r="AF845" s="447"/>
      <c r="AG845" s="447"/>
      <c r="AH845" s="447"/>
      <c r="AI845" s="447"/>
      <c r="AJ845" s="447"/>
      <c r="AK845" s="447"/>
      <c r="AL845" s="447"/>
    </row>
    <row r="846" spans="1:41" s="204" customFormat="1" hidden="1" x14ac:dyDescent="0.25">
      <c r="B846" s="454" t="s">
        <v>2097</v>
      </c>
      <c r="C846" s="454" t="s">
        <v>2097</v>
      </c>
      <c r="D846" s="455" t="s">
        <v>3934</v>
      </c>
      <c r="E846" s="455"/>
      <c r="F846" s="455"/>
      <c r="G846" s="456"/>
      <c r="H846" s="457"/>
      <c r="I846" s="455"/>
      <c r="J846" s="455"/>
      <c r="K846" s="455"/>
      <c r="L846" s="461" t="s">
        <v>2100</v>
      </c>
      <c r="M846" s="454" t="s">
        <v>2962</v>
      </c>
      <c r="N846" s="459">
        <f t="shared" si="150"/>
        <v>0</v>
      </c>
      <c r="O846" s="459">
        <f t="shared" si="151"/>
        <v>0</v>
      </c>
      <c r="P846" s="460">
        <f t="shared" si="152"/>
        <v>0</v>
      </c>
      <c r="Q846" s="445"/>
      <c r="R846" s="460"/>
      <c r="S846" s="460"/>
      <c r="T846" s="460"/>
      <c r="U846" s="460"/>
      <c r="V846" s="460"/>
      <c r="W846" s="460">
        <f t="shared" si="153"/>
        <v>0</v>
      </c>
      <c r="X846" s="460">
        <f t="shared" si="154"/>
        <v>0</v>
      </c>
      <c r="Y846" s="445"/>
      <c r="Z846" s="445"/>
      <c r="AA846" s="445"/>
      <c r="AB846" s="447"/>
      <c r="AC846" s="447"/>
      <c r="AD846" s="447"/>
      <c r="AE846" s="447"/>
      <c r="AF846" s="447"/>
      <c r="AG846" s="447"/>
      <c r="AH846" s="447"/>
      <c r="AI846" s="447"/>
      <c r="AJ846" s="447"/>
      <c r="AK846" s="447"/>
      <c r="AL846" s="447"/>
    </row>
    <row r="847" spans="1:41" s="204" customFormat="1" hidden="1" x14ac:dyDescent="0.25">
      <c r="B847" s="454" t="s">
        <v>2102</v>
      </c>
      <c r="C847" s="454" t="s">
        <v>2102</v>
      </c>
      <c r="D847" s="455" t="s">
        <v>3935</v>
      </c>
      <c r="E847" s="455"/>
      <c r="F847" s="455"/>
      <c r="G847" s="456"/>
      <c r="H847" s="457"/>
      <c r="I847" s="455"/>
      <c r="J847" s="455"/>
      <c r="K847" s="455"/>
      <c r="L847" s="461" t="s">
        <v>2105</v>
      </c>
      <c r="M847" s="454" t="s">
        <v>2962</v>
      </c>
      <c r="N847" s="459">
        <f t="shared" si="150"/>
        <v>0</v>
      </c>
      <c r="O847" s="459">
        <f t="shared" si="151"/>
        <v>0</v>
      </c>
      <c r="P847" s="460">
        <f t="shared" si="152"/>
        <v>0</v>
      </c>
      <c r="Q847" s="445"/>
      <c r="R847" s="460"/>
      <c r="S847" s="460"/>
      <c r="T847" s="460"/>
      <c r="U847" s="460"/>
      <c r="V847" s="460"/>
      <c r="W847" s="460">
        <f t="shared" si="153"/>
        <v>0</v>
      </c>
      <c r="X847" s="460">
        <f t="shared" si="154"/>
        <v>0</v>
      </c>
      <c r="Y847" s="445"/>
      <c r="Z847" s="445"/>
      <c r="AA847" s="445"/>
      <c r="AB847" s="447"/>
      <c r="AC847" s="447"/>
      <c r="AD847" s="447"/>
      <c r="AE847" s="447"/>
      <c r="AF847" s="447"/>
      <c r="AG847" s="447"/>
      <c r="AH847" s="447"/>
      <c r="AI847" s="447"/>
      <c r="AJ847" s="447"/>
      <c r="AK847" s="447"/>
      <c r="AL847" s="447"/>
    </row>
    <row r="848" spans="1:41" s="204" customFormat="1" hidden="1" x14ac:dyDescent="0.25">
      <c r="B848" s="454" t="s">
        <v>2107</v>
      </c>
      <c r="C848" s="454" t="s">
        <v>2107</v>
      </c>
      <c r="D848" s="455" t="s">
        <v>3936</v>
      </c>
      <c r="E848" s="455"/>
      <c r="F848" s="455"/>
      <c r="G848" s="456"/>
      <c r="H848" s="457"/>
      <c r="I848" s="455"/>
      <c r="J848" s="455"/>
      <c r="K848" s="455"/>
      <c r="L848" s="461" t="s">
        <v>2110</v>
      </c>
      <c r="M848" s="454" t="s">
        <v>2962</v>
      </c>
      <c r="N848" s="459">
        <f t="shared" si="150"/>
        <v>0</v>
      </c>
      <c r="O848" s="459">
        <f t="shared" si="151"/>
        <v>0</v>
      </c>
      <c r="P848" s="460">
        <f t="shared" si="152"/>
        <v>0</v>
      </c>
      <c r="Q848" s="445"/>
      <c r="R848" s="460"/>
      <c r="S848" s="460"/>
      <c r="T848" s="460"/>
      <c r="U848" s="460"/>
      <c r="V848" s="460"/>
      <c r="W848" s="460">
        <f t="shared" si="153"/>
        <v>0</v>
      </c>
      <c r="X848" s="460">
        <f t="shared" si="154"/>
        <v>0</v>
      </c>
      <c r="Y848" s="445"/>
      <c r="Z848" s="445"/>
      <c r="AA848" s="445"/>
      <c r="AB848" s="447"/>
      <c r="AC848" s="447"/>
      <c r="AD848" s="447"/>
      <c r="AE848" s="447"/>
      <c r="AF848" s="447"/>
      <c r="AG848" s="447"/>
      <c r="AH848" s="447"/>
      <c r="AI848" s="447"/>
      <c r="AJ848" s="447"/>
      <c r="AK848" s="447"/>
      <c r="AL848" s="447"/>
    </row>
    <row r="849" spans="1:41" s="204" customFormat="1" hidden="1" x14ac:dyDescent="0.25">
      <c r="B849" s="454" t="s">
        <v>2112</v>
      </c>
      <c r="C849" s="454" t="s">
        <v>2112</v>
      </c>
      <c r="D849" s="455" t="s">
        <v>3937</v>
      </c>
      <c r="E849" s="455"/>
      <c r="F849" s="455"/>
      <c r="G849" s="456"/>
      <c r="H849" s="457"/>
      <c r="I849" s="455"/>
      <c r="J849" s="455"/>
      <c r="K849" s="455"/>
      <c r="L849" s="461" t="s">
        <v>2115</v>
      </c>
      <c r="M849" s="454" t="s">
        <v>2962</v>
      </c>
      <c r="N849" s="459">
        <f t="shared" si="150"/>
        <v>0</v>
      </c>
      <c r="O849" s="459">
        <f t="shared" si="151"/>
        <v>0</v>
      </c>
      <c r="P849" s="460">
        <f t="shared" si="152"/>
        <v>0</v>
      </c>
      <c r="Q849" s="445"/>
      <c r="R849" s="460"/>
      <c r="S849" s="460"/>
      <c r="T849" s="460"/>
      <c r="U849" s="460"/>
      <c r="V849" s="460"/>
      <c r="W849" s="460">
        <f t="shared" si="153"/>
        <v>0</v>
      </c>
      <c r="X849" s="460">
        <f t="shared" si="154"/>
        <v>0</v>
      </c>
      <c r="Y849" s="445"/>
      <c r="Z849" s="445"/>
      <c r="AA849" s="445"/>
      <c r="AB849" s="447"/>
      <c r="AC849" s="447"/>
      <c r="AD849" s="447"/>
      <c r="AE849" s="447"/>
      <c r="AF849" s="447"/>
      <c r="AG849" s="447"/>
      <c r="AH849" s="447"/>
      <c r="AI849" s="447"/>
      <c r="AJ849" s="447"/>
      <c r="AK849" s="447"/>
      <c r="AL849" s="447"/>
    </row>
    <row r="850" spans="1:41" s="204" customFormat="1" hidden="1" x14ac:dyDescent="0.25">
      <c r="B850" s="462" t="s">
        <v>2118</v>
      </c>
      <c r="C850" s="462" t="s">
        <v>2118</v>
      </c>
      <c r="D850" s="463"/>
      <c r="E850" s="463"/>
      <c r="F850" s="463"/>
      <c r="G850" s="464"/>
      <c r="H850" s="465"/>
      <c r="I850" s="463"/>
      <c r="J850" s="463"/>
      <c r="K850" s="463"/>
      <c r="L850" s="466"/>
      <c r="M850" s="454" t="s">
        <v>2962</v>
      </c>
      <c r="N850" s="459">
        <f t="shared" si="150"/>
        <v>0</v>
      </c>
      <c r="O850" s="459">
        <f t="shared" si="151"/>
        <v>0</v>
      </c>
      <c r="P850" s="460">
        <f t="shared" si="152"/>
        <v>0</v>
      </c>
      <c r="Q850" s="445"/>
      <c r="R850" s="460"/>
      <c r="S850" s="460"/>
      <c r="T850" s="460"/>
      <c r="U850" s="460"/>
      <c r="V850" s="460"/>
      <c r="W850" s="460">
        <f t="shared" si="153"/>
        <v>0</v>
      </c>
      <c r="X850" s="460">
        <f t="shared" si="154"/>
        <v>0</v>
      </c>
      <c r="Y850" s="445"/>
      <c r="Z850" s="445"/>
      <c r="AA850" s="445"/>
      <c r="AB850" s="447"/>
      <c r="AC850" s="447"/>
      <c r="AD850" s="447"/>
      <c r="AE850" s="447"/>
      <c r="AF850" s="447"/>
      <c r="AG850" s="447"/>
      <c r="AH850" s="447"/>
      <c r="AI850" s="447"/>
      <c r="AJ850" s="447"/>
      <c r="AK850" s="447"/>
      <c r="AL850" s="447"/>
    </row>
    <row r="851" spans="1:41" s="204" customFormat="1" x14ac:dyDescent="0.25">
      <c r="B851" s="381"/>
      <c r="C851" s="381"/>
      <c r="D851" s="382"/>
      <c r="E851" s="382"/>
      <c r="F851" s="382"/>
      <c r="G851" s="382"/>
      <c r="H851" s="382"/>
      <c r="I851" s="382"/>
      <c r="J851" s="382"/>
      <c r="K851" s="382"/>
      <c r="L851" s="275"/>
      <c r="M851" s="275"/>
      <c r="N851" s="383"/>
      <c r="O851" s="383"/>
      <c r="P851" s="384"/>
      <c r="Q851" s="211"/>
      <c r="R851" s="444"/>
      <c r="S851" s="444"/>
      <c r="T851" s="211"/>
      <c r="U851" s="211"/>
      <c r="V851" s="211"/>
      <c r="W851" s="211"/>
      <c r="X851" s="211"/>
      <c r="Y851" s="211"/>
      <c r="Z851" s="211"/>
      <c r="AA851" s="211"/>
    </row>
    <row r="852" spans="1:41" s="204" customFormat="1" x14ac:dyDescent="0.25">
      <c r="B852" s="292" t="s">
        <v>2122</v>
      </c>
      <c r="C852" s="292" t="s">
        <v>2123</v>
      </c>
      <c r="D852" s="247" t="s">
        <v>3938</v>
      </c>
      <c r="E852" s="247"/>
      <c r="F852" s="247"/>
      <c r="G852" s="247"/>
      <c r="H852" s="248"/>
      <c r="I852" s="247"/>
      <c r="J852" s="247"/>
      <c r="K852" s="249"/>
      <c r="L852" s="441" t="s">
        <v>2125</v>
      </c>
      <c r="M852" s="251" t="s">
        <v>2962</v>
      </c>
      <c r="N852" s="252">
        <f>+N856+N861+N862+N868+N855</f>
        <v>1471536</v>
      </c>
      <c r="O852" s="252">
        <f>+O856+O861+O862+O868+O855</f>
        <v>5205388</v>
      </c>
      <c r="P852" s="253">
        <f>+O852-N852</f>
        <v>3733852</v>
      </c>
      <c r="Q852" s="252">
        <f t="shared" ref="Q852:X852" si="155">+Q856+Q861+Q862+Q868+Q855</f>
        <v>0</v>
      </c>
      <c r="R852" s="252">
        <f t="shared" si="155"/>
        <v>1471536</v>
      </c>
      <c r="S852" s="252">
        <f t="shared" si="155"/>
        <v>0</v>
      </c>
      <c r="T852" s="252">
        <f t="shared" si="155"/>
        <v>4396209</v>
      </c>
      <c r="U852" s="252">
        <f t="shared" si="155"/>
        <v>-357330</v>
      </c>
      <c r="V852" s="252">
        <f t="shared" si="155"/>
        <v>305027</v>
      </c>
      <c r="W852" s="252">
        <f t="shared" si="155"/>
        <v>0</v>
      </c>
      <c r="X852" s="252">
        <f t="shared" si="155"/>
        <v>5205388</v>
      </c>
      <c r="Y852" s="211"/>
      <c r="Z852" s="211"/>
      <c r="AA852" s="211"/>
    </row>
    <row r="853" spans="1:41" s="204" customFormat="1" x14ac:dyDescent="0.25"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32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</row>
    <row r="854" spans="1:41" s="204" customFormat="1" ht="51" x14ac:dyDescent="0.25">
      <c r="B854" s="260" t="s">
        <v>2968</v>
      </c>
      <c r="C854" s="260" t="s">
        <v>2969</v>
      </c>
      <c r="D854" s="206" t="s">
        <v>72</v>
      </c>
      <c r="E854" s="206"/>
      <c r="F854" s="206"/>
      <c r="G854" s="207"/>
      <c r="H854" s="207"/>
      <c r="I854" s="207"/>
      <c r="J854" s="207" t="s">
        <v>2957</v>
      </c>
      <c r="K854" s="206" t="s">
        <v>82</v>
      </c>
      <c r="L854" s="256" t="s">
        <v>3670</v>
      </c>
      <c r="M854" s="256"/>
      <c r="N854" s="256" t="str">
        <f>N$15</f>
        <v>Valore netto al 31/12/2019</v>
      </c>
      <c r="O854" s="256" t="str">
        <f>O$15</f>
        <v>Valore netto al 31/12/2020</v>
      </c>
      <c r="P854" s="256" t="str">
        <f>P$15</f>
        <v>Variazione</v>
      </c>
      <c r="Q854" s="262" t="s">
        <v>2971</v>
      </c>
      <c r="R854" s="442" t="s">
        <v>3877</v>
      </c>
      <c r="S854" s="262" t="s">
        <v>2972</v>
      </c>
      <c r="T854" s="442" t="s">
        <v>3913</v>
      </c>
      <c r="U854" s="442" t="s">
        <v>3914</v>
      </c>
      <c r="V854" s="442" t="s">
        <v>3915</v>
      </c>
      <c r="W854" s="262" t="s">
        <v>2975</v>
      </c>
      <c r="X854" s="442" t="s">
        <v>3883</v>
      </c>
      <c r="Y854" s="211"/>
      <c r="Z854" s="211"/>
      <c r="AA854" s="211"/>
    </row>
    <row r="855" spans="1:41" s="204" customFormat="1" ht="26.25" x14ac:dyDescent="0.25">
      <c r="A855" s="535" t="s">
        <v>3681</v>
      </c>
      <c r="B855" s="536" t="s">
        <v>2126</v>
      </c>
      <c r="C855" s="536" t="s">
        <v>2127</v>
      </c>
      <c r="D855" s="536"/>
      <c r="E855" s="536"/>
      <c r="F855" s="536"/>
      <c r="G855" s="536"/>
      <c r="H855" s="536"/>
      <c r="I855" s="536"/>
      <c r="J855" s="536"/>
      <c r="K855" s="536"/>
      <c r="L855" s="536" t="s">
        <v>2129</v>
      </c>
      <c r="M855" s="284" t="s">
        <v>2962</v>
      </c>
      <c r="N855" s="443">
        <f>+R855</f>
        <v>0</v>
      </c>
      <c r="O855" s="443">
        <f>+X855</f>
        <v>2975516</v>
      </c>
      <c r="P855" s="271">
        <f t="shared" ref="P855:P868" si="156">+O855-N855</f>
        <v>2975516</v>
      </c>
      <c r="Q855" s="520"/>
      <c r="R855" s="354">
        <f>IF(ISERROR(VLOOKUP("SAN"&amp;$C855,ESTR_PREC_SP!$A$2:$G$2000,4,FALSE))=TRUE,0,VLOOKUP("SAN"&amp;$C855,ESTR_PREC_SP!$A$2:$G$2000,4,FALSE))</f>
        <v>0</v>
      </c>
      <c r="S855" s="521"/>
      <c r="T855" s="541">
        <f>2928400+8117-1+39000</f>
        <v>2975516</v>
      </c>
      <c r="U855" s="541"/>
      <c r="V855" s="527"/>
      <c r="W855" s="541"/>
      <c r="X855" s="408">
        <f>+R855+S855+T855+U855-V855+W855+Q855</f>
        <v>2975516</v>
      </c>
      <c r="Y855" s="211"/>
      <c r="Z855" s="211"/>
      <c r="AA855" s="211"/>
      <c r="AB855" s="211"/>
      <c r="AC855" s="211"/>
      <c r="AD855" s="211"/>
      <c r="AE855" s="211"/>
      <c r="AF855" s="211"/>
      <c r="AG855" s="211"/>
      <c r="AH855" s="211"/>
      <c r="AI855" s="211"/>
      <c r="AJ855" s="211"/>
      <c r="AK855" s="211"/>
      <c r="AL855" s="211"/>
      <c r="AM855" s="211"/>
      <c r="AN855" s="211"/>
      <c r="AO855" s="211"/>
    </row>
    <row r="856" spans="1:41" s="204" customFormat="1" ht="34.5" customHeight="1" x14ac:dyDescent="0.25">
      <c r="B856" s="287" t="s">
        <v>2130</v>
      </c>
      <c r="C856" s="287" t="s">
        <v>2131</v>
      </c>
      <c r="D856" s="284" t="s">
        <v>3939</v>
      </c>
      <c r="E856" s="274"/>
      <c r="F856" s="274"/>
      <c r="G856" s="283"/>
      <c r="H856" s="266"/>
      <c r="I856" s="274"/>
      <c r="J856" s="281"/>
      <c r="K856" s="281"/>
      <c r="L856" s="469" t="s">
        <v>2134</v>
      </c>
      <c r="M856" s="284" t="s">
        <v>2962</v>
      </c>
      <c r="N856" s="470">
        <f>SUM(N857:N860)</f>
        <v>43697</v>
      </c>
      <c r="O856" s="470">
        <f>SUM(O857:O860)</f>
        <v>94291</v>
      </c>
      <c r="P856" s="378">
        <f t="shared" si="156"/>
        <v>50594</v>
      </c>
      <c r="Q856" s="470">
        <f t="shared" ref="Q856:X856" si="157">SUM(Q857:Q860)</f>
        <v>0</v>
      </c>
      <c r="R856" s="470">
        <f t="shared" si="157"/>
        <v>43697</v>
      </c>
      <c r="S856" s="470">
        <f t="shared" si="157"/>
        <v>0</v>
      </c>
      <c r="T856" s="470">
        <f t="shared" si="157"/>
        <v>50594</v>
      </c>
      <c r="U856" s="470">
        <f t="shared" si="157"/>
        <v>0</v>
      </c>
      <c r="V856" s="470">
        <f t="shared" si="157"/>
        <v>0</v>
      </c>
      <c r="W856" s="470">
        <f t="shared" si="157"/>
        <v>0</v>
      </c>
      <c r="X856" s="470">
        <f t="shared" si="157"/>
        <v>94291</v>
      </c>
      <c r="Y856" s="211"/>
      <c r="Z856" s="211"/>
      <c r="AA856" s="211"/>
    </row>
    <row r="857" spans="1:41" s="204" customFormat="1" ht="27.75" customHeight="1" x14ac:dyDescent="0.25">
      <c r="B857" s="287" t="s">
        <v>2135</v>
      </c>
      <c r="C857" s="287" t="s">
        <v>2136</v>
      </c>
      <c r="D857" s="284" t="s">
        <v>3940</v>
      </c>
      <c r="E857" s="274"/>
      <c r="F857" s="274"/>
      <c r="G857" s="283"/>
      <c r="H857" s="266"/>
      <c r="I857" s="274"/>
      <c r="J857" s="281"/>
      <c r="K857" s="281"/>
      <c r="L857" s="471" t="s">
        <v>3941</v>
      </c>
      <c r="M857" s="284" t="s">
        <v>2962</v>
      </c>
      <c r="N857" s="443">
        <f>+R857</f>
        <v>0</v>
      </c>
      <c r="O857" s="443">
        <f>+X857</f>
        <v>0</v>
      </c>
      <c r="P857" s="271">
        <f t="shared" si="156"/>
        <v>0</v>
      </c>
      <c r="Q857" s="527"/>
      <c r="R857" s="354">
        <f>IF(ISERROR(VLOOKUP("SAN"&amp;$C857,ESTR_PREC_SP!$A$2:$G$2000,4,FALSE))=TRUE,0,VLOOKUP("SAN"&amp;$C857,ESTR_PREC_SP!$A$2:$G$2000,4,FALSE))</f>
        <v>0</v>
      </c>
      <c r="S857" s="521"/>
      <c r="T857" s="541"/>
      <c r="U857" s="541"/>
      <c r="V857" s="527"/>
      <c r="W857" s="541"/>
      <c r="X857" s="408">
        <f>+R857+S857+T857+U857-V857+W857+Q857</f>
        <v>0</v>
      </c>
      <c r="Y857" s="211"/>
      <c r="Z857" s="211"/>
      <c r="AA857" s="211"/>
    </row>
    <row r="858" spans="1:41" s="204" customFormat="1" ht="29.25" customHeight="1" x14ac:dyDescent="0.25">
      <c r="B858" s="287" t="s">
        <v>2138</v>
      </c>
      <c r="C858" s="287" t="s">
        <v>2139</v>
      </c>
      <c r="D858" s="284" t="s">
        <v>3942</v>
      </c>
      <c r="E858" s="274"/>
      <c r="F858" s="274"/>
      <c r="G858" s="283"/>
      <c r="H858" s="266"/>
      <c r="I858" s="274"/>
      <c r="J858" s="281"/>
      <c r="K858" s="281"/>
      <c r="L858" s="471" t="s">
        <v>3943</v>
      </c>
      <c r="M858" s="284" t="s">
        <v>2962</v>
      </c>
      <c r="N858" s="443">
        <f>+R858</f>
        <v>24140</v>
      </c>
      <c r="O858" s="443">
        <f>+X858</f>
        <v>24140</v>
      </c>
      <c r="P858" s="271">
        <f t="shared" si="156"/>
        <v>0</v>
      </c>
      <c r="Q858" s="527"/>
      <c r="R858" s="354">
        <f>IF(ISERROR(VLOOKUP("SAN"&amp;$C858,ESTR_PREC_SP!$A$2:$G$2000,4,FALSE))=TRUE,0,VLOOKUP("SAN"&amp;$C858,ESTR_PREC_SP!$A$2:$G$2000,4,FALSE))</f>
        <v>24140</v>
      </c>
      <c r="S858" s="521"/>
      <c r="T858" s="541"/>
      <c r="U858" s="541"/>
      <c r="V858" s="527"/>
      <c r="W858" s="541"/>
      <c r="X858" s="408">
        <f>+R858+S858+T858+U858-V858+W858+Q858</f>
        <v>24140</v>
      </c>
      <c r="Y858" s="211"/>
      <c r="Z858" s="211"/>
      <c r="AA858" s="211"/>
    </row>
    <row r="859" spans="1:41" s="204" customFormat="1" ht="25.5" x14ac:dyDescent="0.25">
      <c r="B859" s="287" t="s">
        <v>2141</v>
      </c>
      <c r="C859" s="287" t="s">
        <v>2142</v>
      </c>
      <c r="D859" s="284" t="s">
        <v>3944</v>
      </c>
      <c r="E859" s="274"/>
      <c r="F859" s="274"/>
      <c r="G859" s="283"/>
      <c r="H859" s="266"/>
      <c r="I859" s="274"/>
      <c r="J859" s="281"/>
      <c r="K859" s="281"/>
      <c r="L859" s="471" t="s">
        <v>3945</v>
      </c>
      <c r="M859" s="284" t="s">
        <v>2962</v>
      </c>
      <c r="N859" s="443">
        <f>+R859</f>
        <v>0</v>
      </c>
      <c r="O859" s="443">
        <f>+X859</f>
        <v>0</v>
      </c>
      <c r="P859" s="271">
        <f t="shared" si="156"/>
        <v>0</v>
      </c>
      <c r="Q859" s="527"/>
      <c r="R859" s="354">
        <f>IF(ISERROR(VLOOKUP("SAN"&amp;$C859,ESTR_PREC_SP!$A$2:$G$2000,4,FALSE))=TRUE,0,VLOOKUP("SAN"&amp;$C859,ESTR_PREC_SP!$A$2:$G$2000,4,FALSE))</f>
        <v>0</v>
      </c>
      <c r="S859" s="521"/>
      <c r="T859" s="541"/>
      <c r="U859" s="541"/>
      <c r="V859" s="527"/>
      <c r="W859" s="541"/>
      <c r="X859" s="408">
        <f>+R859+S859+T859+U859-V859+W859+Q859</f>
        <v>0</v>
      </c>
      <c r="Y859" s="211"/>
      <c r="Z859" s="211"/>
      <c r="AA859" s="211"/>
    </row>
    <row r="860" spans="1:41" s="204" customFormat="1" ht="25.5" x14ac:dyDescent="0.25">
      <c r="B860" s="287" t="s">
        <v>2144</v>
      </c>
      <c r="C860" s="287" t="s">
        <v>2145</v>
      </c>
      <c r="D860" s="284" t="s">
        <v>3946</v>
      </c>
      <c r="E860" s="274"/>
      <c r="F860" s="274"/>
      <c r="G860" s="283"/>
      <c r="H860" s="266"/>
      <c r="I860" s="274"/>
      <c r="J860" s="281"/>
      <c r="K860" s="281"/>
      <c r="L860" s="471" t="s">
        <v>3947</v>
      </c>
      <c r="M860" s="284" t="s">
        <v>2962</v>
      </c>
      <c r="N860" s="443">
        <f>+R860</f>
        <v>19557</v>
      </c>
      <c r="O860" s="443">
        <f>+X860</f>
        <v>70151</v>
      </c>
      <c r="P860" s="271">
        <f t="shared" si="156"/>
        <v>50594</v>
      </c>
      <c r="Q860" s="527"/>
      <c r="R860" s="354">
        <f>IF(ISERROR(VLOOKUP("SAN"&amp;$C860,ESTR_PREC_SP!$A$2:$G$2000,4,FALSE))=TRUE,0,VLOOKUP("SAN"&amp;$C860,ESTR_PREC_SP!$A$2:$G$2000,4,FALSE))</f>
        <v>19557</v>
      </c>
      <c r="S860" s="521"/>
      <c r="T860" s="541">
        <v>50594</v>
      </c>
      <c r="U860" s="541"/>
      <c r="V860" s="527"/>
      <c r="W860" s="541"/>
      <c r="X860" s="408">
        <f>+R860+S860+T860+U860-V860+W860+Q860</f>
        <v>70151</v>
      </c>
      <c r="Y860" s="211"/>
      <c r="Z860" s="211"/>
      <c r="AA860" s="211"/>
    </row>
    <row r="861" spans="1:41" s="204" customFormat="1" x14ac:dyDescent="0.25">
      <c r="B861" s="287" t="s">
        <v>2147</v>
      </c>
      <c r="C861" s="287" t="s">
        <v>2148</v>
      </c>
      <c r="D861" s="284" t="s">
        <v>3948</v>
      </c>
      <c r="E861" s="274"/>
      <c r="F861" s="274"/>
      <c r="G861" s="283"/>
      <c r="H861" s="266"/>
      <c r="I861" s="274"/>
      <c r="J861" s="281"/>
      <c r="K861" s="281"/>
      <c r="L861" s="469" t="s">
        <v>3949</v>
      </c>
      <c r="M861" s="284" t="s">
        <v>2962</v>
      </c>
      <c r="N861" s="443">
        <f>+R861</f>
        <v>3393</v>
      </c>
      <c r="O861" s="443">
        <f>+X861</f>
        <v>35608</v>
      </c>
      <c r="P861" s="271">
        <f t="shared" si="156"/>
        <v>32215</v>
      </c>
      <c r="Q861" s="527"/>
      <c r="R861" s="354">
        <f>IF(ISERROR(VLOOKUP("SAN"&amp;$C861,ESTR_PREC_SP!$A$2:$G$2000,4,FALSE))=TRUE,0,VLOOKUP("SAN"&amp;$C861,ESTR_PREC_SP!$A$2:$G$2000,4,FALSE))</f>
        <v>3393</v>
      </c>
      <c r="S861" s="521"/>
      <c r="T861" s="541">
        <v>32215</v>
      </c>
      <c r="U861" s="541"/>
      <c r="V861" s="527"/>
      <c r="W861" s="541"/>
      <c r="X861" s="408">
        <f>+R861+S861+T861+U861-V861+W861+Q861</f>
        <v>35608</v>
      </c>
      <c r="Y861" s="211"/>
      <c r="Z861" s="211"/>
      <c r="AA861" s="211"/>
    </row>
    <row r="862" spans="1:41" s="204" customFormat="1" x14ac:dyDescent="0.25">
      <c r="B862" s="287" t="s">
        <v>2152</v>
      </c>
      <c r="C862" s="287" t="s">
        <v>2153</v>
      </c>
      <c r="D862" s="284" t="s">
        <v>3950</v>
      </c>
      <c r="E862" s="274"/>
      <c r="F862" s="274"/>
      <c r="G862" s="283"/>
      <c r="H862" s="266"/>
      <c r="I862" s="274"/>
      <c r="J862" s="281"/>
      <c r="K862" s="281"/>
      <c r="L862" s="469" t="s">
        <v>3951</v>
      </c>
      <c r="M862" s="284" t="s">
        <v>2962</v>
      </c>
      <c r="N862" s="470">
        <f>SUM(N863:N867)</f>
        <v>0</v>
      </c>
      <c r="O862" s="470">
        <f>SUM(O863:O867)</f>
        <v>0</v>
      </c>
      <c r="P862" s="378">
        <f t="shared" si="156"/>
        <v>0</v>
      </c>
      <c r="Q862" s="543">
        <f t="shared" ref="Q862:X862" si="158">SUM(Q863:Q867)</f>
        <v>0</v>
      </c>
      <c r="R862" s="470">
        <f t="shared" si="158"/>
        <v>0</v>
      </c>
      <c r="S862" s="543">
        <f t="shared" si="158"/>
        <v>0</v>
      </c>
      <c r="T862" s="470">
        <f t="shared" si="158"/>
        <v>0</v>
      </c>
      <c r="U862" s="470">
        <f t="shared" si="158"/>
        <v>0</v>
      </c>
      <c r="V862" s="470">
        <f t="shared" si="158"/>
        <v>0</v>
      </c>
      <c r="W862" s="470">
        <f t="shared" si="158"/>
        <v>0</v>
      </c>
      <c r="X862" s="470">
        <f t="shared" si="158"/>
        <v>0</v>
      </c>
      <c r="Y862" s="211"/>
      <c r="Z862" s="211"/>
      <c r="AA862" s="211"/>
    </row>
    <row r="863" spans="1:41" s="204" customFormat="1" ht="25.5" x14ac:dyDescent="0.25">
      <c r="B863" s="287" t="s">
        <v>2157</v>
      </c>
      <c r="C863" s="287" t="s">
        <v>2158</v>
      </c>
      <c r="D863" s="284" t="s">
        <v>3952</v>
      </c>
      <c r="E863" s="274"/>
      <c r="F863" s="274"/>
      <c r="G863" s="283"/>
      <c r="H863" s="266"/>
      <c r="I863" s="274"/>
      <c r="J863" s="281"/>
      <c r="K863" s="281"/>
      <c r="L863" s="471" t="s">
        <v>3953</v>
      </c>
      <c r="M863" s="284" t="s">
        <v>2962</v>
      </c>
      <c r="N863" s="443">
        <f t="shared" ref="N863:N868" si="159">+R863</f>
        <v>0</v>
      </c>
      <c r="O863" s="443">
        <f t="shared" ref="O863:O868" si="160">+X863</f>
        <v>0</v>
      </c>
      <c r="P863" s="271">
        <f t="shared" si="156"/>
        <v>0</v>
      </c>
      <c r="Q863" s="527"/>
      <c r="R863" s="354">
        <f>IF(ISERROR(VLOOKUP("SAN"&amp;$C863,ESTR_PREC_SP!$A$2:$G$2000,4,FALSE))=TRUE,0,VLOOKUP("SAN"&amp;$C863,ESTR_PREC_SP!$A$2:$G$2000,4,FALSE))</f>
        <v>0</v>
      </c>
      <c r="S863" s="521"/>
      <c r="T863" s="541"/>
      <c r="U863" s="541"/>
      <c r="V863" s="527"/>
      <c r="W863" s="541"/>
      <c r="X863" s="408">
        <f t="shared" ref="X863:X868" si="161">+R863+S863+T863+U863-V863+W863+Q863</f>
        <v>0</v>
      </c>
      <c r="Y863" s="211"/>
      <c r="Z863" s="211"/>
      <c r="AA863" s="211"/>
    </row>
    <row r="864" spans="1:41" s="204" customFormat="1" ht="25.5" x14ac:dyDescent="0.25">
      <c r="B864" s="287" t="s">
        <v>2160</v>
      </c>
      <c r="C864" s="287" t="s">
        <v>2161</v>
      </c>
      <c r="D864" s="284" t="s">
        <v>3954</v>
      </c>
      <c r="E864" s="274"/>
      <c r="F864" s="274"/>
      <c r="G864" s="283"/>
      <c r="H864" s="266"/>
      <c r="I864" s="274"/>
      <c r="J864" s="281"/>
      <c r="K864" s="281"/>
      <c r="L864" s="471" t="s">
        <v>3955</v>
      </c>
      <c r="M864" s="284" t="s">
        <v>2962</v>
      </c>
      <c r="N864" s="443">
        <f t="shared" si="159"/>
        <v>0</v>
      </c>
      <c r="O864" s="443">
        <f t="shared" si="160"/>
        <v>0</v>
      </c>
      <c r="P864" s="271">
        <f t="shared" si="156"/>
        <v>0</v>
      </c>
      <c r="Q864" s="527"/>
      <c r="R864" s="354">
        <f>IF(ISERROR(VLOOKUP("SAN"&amp;$C864,ESTR_PREC_SP!$A$2:$G$2000,4,FALSE))=TRUE,0,VLOOKUP("SAN"&amp;$C864,ESTR_PREC_SP!$A$2:$G$2000,4,FALSE))</f>
        <v>0</v>
      </c>
      <c r="S864" s="521"/>
      <c r="T864" s="541"/>
      <c r="U864" s="541"/>
      <c r="V864" s="527"/>
      <c r="W864" s="541"/>
      <c r="X864" s="408">
        <f t="shared" si="161"/>
        <v>0</v>
      </c>
      <c r="Y864" s="211"/>
      <c r="Z864" s="211"/>
      <c r="AA864" s="211"/>
    </row>
    <row r="865" spans="2:27" s="204" customFormat="1" ht="25.5" x14ac:dyDescent="0.25">
      <c r="B865" s="287" t="s">
        <v>2163</v>
      </c>
      <c r="C865" s="287" t="s">
        <v>2164</v>
      </c>
      <c r="D865" s="284" t="s">
        <v>3956</v>
      </c>
      <c r="E865" s="274"/>
      <c r="F865" s="274"/>
      <c r="G865" s="283"/>
      <c r="H865" s="266"/>
      <c r="I865" s="274"/>
      <c r="J865" s="281"/>
      <c r="K865" s="281"/>
      <c r="L865" s="471" t="s">
        <v>3957</v>
      </c>
      <c r="M865" s="284" t="s">
        <v>2962</v>
      </c>
      <c r="N865" s="443">
        <f t="shared" si="159"/>
        <v>0</v>
      </c>
      <c r="O865" s="443">
        <f t="shared" si="160"/>
        <v>0</v>
      </c>
      <c r="P865" s="271">
        <f t="shared" si="156"/>
        <v>0</v>
      </c>
      <c r="Q865" s="527"/>
      <c r="R865" s="354">
        <f>IF(ISERROR(VLOOKUP("SAN"&amp;$C865,ESTR_PREC_SP!$A$2:$G$2000,4,FALSE))=TRUE,0,VLOOKUP("SAN"&amp;$C865,ESTR_PREC_SP!$A$2:$G$2000,4,FALSE))</f>
        <v>0</v>
      </c>
      <c r="S865" s="521"/>
      <c r="T865" s="541"/>
      <c r="U865" s="541"/>
      <c r="V865" s="527"/>
      <c r="W865" s="541"/>
      <c r="X865" s="408">
        <f t="shared" si="161"/>
        <v>0</v>
      </c>
      <c r="Y865" s="211"/>
      <c r="Z865" s="211"/>
      <c r="AA865" s="211"/>
    </row>
    <row r="866" spans="2:27" s="204" customFormat="1" ht="25.5" x14ac:dyDescent="0.25">
      <c r="B866" s="287" t="s">
        <v>2166</v>
      </c>
      <c r="C866" s="287" t="s">
        <v>2167</v>
      </c>
      <c r="D866" s="284" t="s">
        <v>3958</v>
      </c>
      <c r="E866" s="274"/>
      <c r="F866" s="274"/>
      <c r="G866" s="283"/>
      <c r="H866" s="266"/>
      <c r="I866" s="274"/>
      <c r="J866" s="281"/>
      <c r="K866" s="281"/>
      <c r="L866" s="471" t="s">
        <v>3959</v>
      </c>
      <c r="M866" s="284" t="s">
        <v>2962</v>
      </c>
      <c r="N866" s="443">
        <f t="shared" si="159"/>
        <v>0</v>
      </c>
      <c r="O866" s="443">
        <f t="shared" si="160"/>
        <v>0</v>
      </c>
      <c r="P866" s="271">
        <f t="shared" si="156"/>
        <v>0</v>
      </c>
      <c r="Q866" s="527"/>
      <c r="R866" s="354">
        <f>IF(ISERROR(VLOOKUP("SAN"&amp;$C866,ESTR_PREC_SP!$A$2:$G$2000,4,FALSE))=TRUE,0,VLOOKUP("SAN"&amp;$C866,ESTR_PREC_SP!$A$2:$G$2000,4,FALSE))</f>
        <v>0</v>
      </c>
      <c r="S866" s="521"/>
      <c r="T866" s="541"/>
      <c r="U866" s="541"/>
      <c r="V866" s="527"/>
      <c r="W866" s="541"/>
      <c r="X866" s="408">
        <f t="shared" si="161"/>
        <v>0</v>
      </c>
      <c r="Y866" s="211"/>
      <c r="Z866" s="211"/>
      <c r="AA866" s="211"/>
    </row>
    <row r="867" spans="2:27" s="204" customFormat="1" ht="25.5" x14ac:dyDescent="0.25">
      <c r="B867" s="287" t="s">
        <v>2169</v>
      </c>
      <c r="C867" s="287" t="s">
        <v>2170</v>
      </c>
      <c r="D867" s="284" t="s">
        <v>3960</v>
      </c>
      <c r="E867" s="274"/>
      <c r="F867" s="274"/>
      <c r="G867" s="283"/>
      <c r="H867" s="266"/>
      <c r="I867" s="274"/>
      <c r="J867" s="281"/>
      <c r="K867" s="281"/>
      <c r="L867" s="471" t="s">
        <v>3961</v>
      </c>
      <c r="M867" s="284" t="s">
        <v>2962</v>
      </c>
      <c r="N867" s="443">
        <f t="shared" si="159"/>
        <v>0</v>
      </c>
      <c r="O867" s="443">
        <f t="shared" si="160"/>
        <v>0</v>
      </c>
      <c r="P867" s="271">
        <f t="shared" si="156"/>
        <v>0</v>
      </c>
      <c r="Q867" s="527"/>
      <c r="R867" s="354">
        <f>IF(ISERROR(VLOOKUP("SAN"&amp;$C867,ESTR_PREC_SP!$A$2:$G$2000,4,FALSE))=TRUE,0,VLOOKUP("SAN"&amp;$C867,ESTR_PREC_SP!$A$2:$G$2000,4,FALSE))</f>
        <v>0</v>
      </c>
      <c r="S867" s="521"/>
      <c r="T867" s="541"/>
      <c r="U867" s="541"/>
      <c r="V867" s="527"/>
      <c r="W867" s="541"/>
      <c r="X867" s="408">
        <f t="shared" si="161"/>
        <v>0</v>
      </c>
      <c r="Y867" s="211"/>
      <c r="Z867" s="211"/>
      <c r="AA867" s="211"/>
    </row>
    <row r="868" spans="2:27" s="204" customFormat="1" x14ac:dyDescent="0.25">
      <c r="B868" s="287" t="s">
        <v>2172</v>
      </c>
      <c r="C868" s="287" t="s">
        <v>2173</v>
      </c>
      <c r="D868" s="284" t="s">
        <v>3962</v>
      </c>
      <c r="E868" s="274"/>
      <c r="F868" s="274"/>
      <c r="G868" s="283"/>
      <c r="H868" s="266"/>
      <c r="I868" s="274"/>
      <c r="J868" s="281"/>
      <c r="K868" s="281"/>
      <c r="L868" s="469" t="s">
        <v>3963</v>
      </c>
      <c r="M868" s="284" t="s">
        <v>2962</v>
      </c>
      <c r="N868" s="443">
        <f t="shared" si="159"/>
        <v>1424446</v>
      </c>
      <c r="O868" s="443">
        <f t="shared" si="160"/>
        <v>2099973</v>
      </c>
      <c r="P868" s="271">
        <f t="shared" si="156"/>
        <v>675527</v>
      </c>
      <c r="Q868" s="527"/>
      <c r="R868" s="354">
        <f>IF(ISERROR(VLOOKUP("SAN"&amp;$C868,ESTR_PREC_SP!$A$2:$G$2000,4,FALSE))=TRUE,0,VLOOKUP("SAN"&amp;$C868,ESTR_PREC_SP!$A$2:$G$2000,4,FALSE))</f>
        <v>1424446</v>
      </c>
      <c r="S868" s="521"/>
      <c r="T868" s="541">
        <v>1337884</v>
      </c>
      <c r="U868" s="541">
        <f>-357329-1</f>
        <v>-357330</v>
      </c>
      <c r="V868" s="527">
        <v>305027</v>
      </c>
      <c r="W868" s="541"/>
      <c r="X868" s="408">
        <f t="shared" si="161"/>
        <v>2099973</v>
      </c>
      <c r="Y868" s="211"/>
      <c r="Z868" s="211"/>
      <c r="AA868" s="211"/>
    </row>
    <row r="869" spans="2:27" s="204" customFormat="1" x14ac:dyDescent="0.25">
      <c r="B869" s="384"/>
      <c r="C869" s="384"/>
      <c r="D869" s="382"/>
      <c r="E869" s="382"/>
      <c r="F869" s="382"/>
      <c r="G869" s="382"/>
      <c r="H869" s="382"/>
      <c r="I869" s="382"/>
      <c r="J869" s="382"/>
      <c r="K869" s="382"/>
      <c r="L869" s="275"/>
      <c r="M869" s="275"/>
      <c r="N869" s="383"/>
      <c r="O869" s="383"/>
      <c r="P869" s="384"/>
      <c r="Q869" s="211"/>
      <c r="R869" s="444"/>
      <c r="S869" s="444"/>
      <c r="T869" s="211"/>
      <c r="U869" s="211"/>
      <c r="V869" s="211"/>
      <c r="W869" s="211"/>
      <c r="X869" s="211"/>
      <c r="Y869" s="211"/>
      <c r="Z869" s="211"/>
      <c r="AA869" s="211"/>
    </row>
    <row r="870" spans="2:27" s="204" customFormat="1" x14ac:dyDescent="0.25"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32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</row>
    <row r="871" spans="2:27" s="204" customFormat="1" x14ac:dyDescent="0.25">
      <c r="B871" s="246" t="s">
        <v>2177</v>
      </c>
      <c r="C871" s="246" t="s">
        <v>2178</v>
      </c>
      <c r="D871" s="247" t="s">
        <v>3964</v>
      </c>
      <c r="E871" s="247"/>
      <c r="F871" s="247"/>
      <c r="G871" s="247"/>
      <c r="H871" s="248"/>
      <c r="I871" s="247"/>
      <c r="J871" s="247"/>
      <c r="K871" s="249"/>
      <c r="L871" s="441" t="s">
        <v>2180</v>
      </c>
      <c r="M871" s="251" t="s">
        <v>2962</v>
      </c>
      <c r="N871" s="252">
        <f>+N874+N877+N884+N885+N886</f>
        <v>4038059</v>
      </c>
      <c r="O871" s="252">
        <f>+O874+O877+O884+O885+O886</f>
        <v>2497221</v>
      </c>
      <c r="P871" s="253">
        <f>+O871-N871</f>
        <v>-1540838</v>
      </c>
      <c r="Q871" s="252">
        <f t="shared" ref="Q871:X871" si="162">+Q874+Q877+Q884+Q885+Q886</f>
        <v>0</v>
      </c>
      <c r="R871" s="252">
        <f t="shared" si="162"/>
        <v>4038059</v>
      </c>
      <c r="S871" s="252">
        <f t="shared" si="162"/>
        <v>0</v>
      </c>
      <c r="T871" s="252">
        <f t="shared" si="162"/>
        <v>1379890</v>
      </c>
      <c r="U871" s="252">
        <f t="shared" si="162"/>
        <v>1343</v>
      </c>
      <c r="V871" s="252">
        <f t="shared" si="162"/>
        <v>2922071</v>
      </c>
      <c r="W871" s="252">
        <f t="shared" si="162"/>
        <v>0</v>
      </c>
      <c r="X871" s="252">
        <f t="shared" si="162"/>
        <v>2497221</v>
      </c>
      <c r="Y871" s="211"/>
      <c r="Z871" s="211"/>
      <c r="AA871" s="211"/>
    </row>
    <row r="872" spans="2:27" s="204" customFormat="1" x14ac:dyDescent="0.25"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32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</row>
    <row r="873" spans="2:27" s="204" customFormat="1" ht="51" x14ac:dyDescent="0.25">
      <c r="B873" s="260" t="s">
        <v>2968</v>
      </c>
      <c r="C873" s="260" t="s">
        <v>2969</v>
      </c>
      <c r="D873" s="206" t="s">
        <v>72</v>
      </c>
      <c r="E873" s="206"/>
      <c r="F873" s="206"/>
      <c r="G873" s="207"/>
      <c r="H873" s="207"/>
      <c r="I873" s="207"/>
      <c r="J873" s="207" t="s">
        <v>2957</v>
      </c>
      <c r="K873" s="206" t="s">
        <v>82</v>
      </c>
      <c r="L873" s="261" t="s">
        <v>3670</v>
      </c>
      <c r="M873" s="256"/>
      <c r="N873" s="256" t="str">
        <f>N$15</f>
        <v>Valore netto al 31/12/2019</v>
      </c>
      <c r="O873" s="256" t="str">
        <f>O$15</f>
        <v>Valore netto al 31/12/2020</v>
      </c>
      <c r="P873" s="256" t="str">
        <f>P$15</f>
        <v>Variazione</v>
      </c>
      <c r="Q873" s="262" t="s">
        <v>2971</v>
      </c>
      <c r="R873" s="442" t="s">
        <v>3877</v>
      </c>
      <c r="S873" s="262" t="s">
        <v>2972</v>
      </c>
      <c r="T873" s="442" t="s">
        <v>3913</v>
      </c>
      <c r="U873" s="442" t="s">
        <v>3914</v>
      </c>
      <c r="V873" s="442" t="s">
        <v>3915</v>
      </c>
      <c r="W873" s="262" t="s">
        <v>2975</v>
      </c>
      <c r="X873" s="442" t="s">
        <v>3883</v>
      </c>
      <c r="Y873" s="211"/>
      <c r="Z873" s="211"/>
      <c r="AA873" s="211"/>
    </row>
    <row r="874" spans="2:27" s="204" customFormat="1" x14ac:dyDescent="0.25">
      <c r="B874" s="287" t="s">
        <v>2181</v>
      </c>
      <c r="C874" s="287" t="s">
        <v>2182</v>
      </c>
      <c r="D874" s="472" t="s">
        <v>3965</v>
      </c>
      <c r="E874" s="274"/>
      <c r="F874" s="274"/>
      <c r="G874" s="283"/>
      <c r="H874" s="266"/>
      <c r="I874" s="274"/>
      <c r="J874" s="281"/>
      <c r="K874" s="281"/>
      <c r="L874" s="473" t="s">
        <v>2185</v>
      </c>
      <c r="M874" s="284" t="s">
        <v>2962</v>
      </c>
      <c r="N874" s="470">
        <f>SUM(N875:N876)</f>
        <v>0</v>
      </c>
      <c r="O874" s="470">
        <f>SUM(O875:O876)</f>
        <v>0</v>
      </c>
      <c r="P874" s="378">
        <f t="shared" ref="P874:P882" si="163">+O874-N874</f>
        <v>0</v>
      </c>
      <c r="Q874" s="470">
        <f t="shared" ref="Q874:X874" si="164">SUM(Q875:Q876)</f>
        <v>0</v>
      </c>
      <c r="R874" s="470">
        <f t="shared" si="164"/>
        <v>0</v>
      </c>
      <c r="S874" s="470">
        <f t="shared" si="164"/>
        <v>0</v>
      </c>
      <c r="T874" s="470">
        <f t="shared" si="164"/>
        <v>0</v>
      </c>
      <c r="U874" s="470">
        <f t="shared" si="164"/>
        <v>0</v>
      </c>
      <c r="V874" s="470">
        <f t="shared" si="164"/>
        <v>0</v>
      </c>
      <c r="W874" s="378">
        <f t="shared" si="164"/>
        <v>0</v>
      </c>
      <c r="X874" s="378">
        <f t="shared" si="164"/>
        <v>0</v>
      </c>
      <c r="Y874" s="211"/>
      <c r="Z874" s="211"/>
      <c r="AA874" s="211"/>
    </row>
    <row r="875" spans="2:27" s="204" customFormat="1" x14ac:dyDescent="0.25">
      <c r="B875" s="287" t="s">
        <v>2186</v>
      </c>
      <c r="C875" s="287" t="s">
        <v>2187</v>
      </c>
      <c r="D875" s="472" t="s">
        <v>3966</v>
      </c>
      <c r="E875" s="274"/>
      <c r="F875" s="274"/>
      <c r="G875" s="283"/>
      <c r="H875" s="266"/>
      <c r="I875" s="274"/>
      <c r="J875" s="281"/>
      <c r="K875" s="281"/>
      <c r="L875" s="474" t="s">
        <v>3967</v>
      </c>
      <c r="M875" s="284" t="s">
        <v>2962</v>
      </c>
      <c r="N875" s="443">
        <f>+R875</f>
        <v>0</v>
      </c>
      <c r="O875" s="443">
        <f>+X875</f>
        <v>0</v>
      </c>
      <c r="P875" s="271">
        <f t="shared" si="163"/>
        <v>0</v>
      </c>
      <c r="Q875" s="541"/>
      <c r="R875" s="354">
        <f>IF(ISERROR(VLOOKUP("SAN"&amp;$C875,ESTR_PREC_SP!$A$2:$G$2000,4,FALSE))=TRUE,0,VLOOKUP("SAN"&amp;$C875,ESTR_PREC_SP!$A$2:$G$2000,4,FALSE))</f>
        <v>0</v>
      </c>
      <c r="S875" s="521"/>
      <c r="T875" s="541"/>
      <c r="U875" s="541"/>
      <c r="V875" s="378">
        <f>+Utilizzi_Fondi_San!$O$4</f>
        <v>0</v>
      </c>
      <c r="W875" s="541"/>
      <c r="X875" s="408">
        <f>+R875+S875+T875+U875-V875+W875+Q875</f>
        <v>0</v>
      </c>
      <c r="Y875" s="211"/>
      <c r="Z875" s="211"/>
      <c r="AA875" s="211"/>
    </row>
    <row r="876" spans="2:27" s="204" customFormat="1" x14ac:dyDescent="0.25">
      <c r="B876" s="287" t="s">
        <v>2189</v>
      </c>
      <c r="C876" s="287" t="s">
        <v>2190</v>
      </c>
      <c r="D876" s="472" t="s">
        <v>3968</v>
      </c>
      <c r="E876" s="274"/>
      <c r="F876" s="274"/>
      <c r="G876" s="283"/>
      <c r="H876" s="266"/>
      <c r="I876" s="274"/>
      <c r="J876" s="281"/>
      <c r="K876" s="281"/>
      <c r="L876" s="474" t="s">
        <v>3969</v>
      </c>
      <c r="M876" s="284" t="s">
        <v>2962</v>
      </c>
      <c r="N876" s="443">
        <f>+R876</f>
        <v>0</v>
      </c>
      <c r="O876" s="443">
        <f>+X876</f>
        <v>0</v>
      </c>
      <c r="P876" s="271">
        <f t="shared" si="163"/>
        <v>0</v>
      </c>
      <c r="Q876" s="541"/>
      <c r="R876" s="354">
        <f>IF(ISERROR(VLOOKUP("SAN"&amp;$C876,ESTR_PREC_SP!$A$2:$G$2000,4,FALSE))=TRUE,0,VLOOKUP("SAN"&amp;$C876,ESTR_PREC_SP!$A$2:$G$2000,4,FALSE))</f>
        <v>0</v>
      </c>
      <c r="S876" s="521"/>
      <c r="T876" s="541"/>
      <c r="U876" s="541"/>
      <c r="V876" s="378">
        <f>+Utilizzi_Fondi_San!$P$4</f>
        <v>0</v>
      </c>
      <c r="W876" s="541"/>
      <c r="X876" s="408">
        <f>+R876+S876+T876+U876-V876+W876+Q876</f>
        <v>0</v>
      </c>
      <c r="Y876" s="211"/>
      <c r="Z876" s="211"/>
      <c r="AA876" s="211"/>
    </row>
    <row r="877" spans="2:27" s="204" customFormat="1" x14ac:dyDescent="0.25">
      <c r="B877" s="287" t="s">
        <v>2192</v>
      </c>
      <c r="C877" s="287" t="s">
        <v>2193</v>
      </c>
      <c r="D877" s="472" t="s">
        <v>3970</v>
      </c>
      <c r="E877" s="274"/>
      <c r="F877" s="274"/>
      <c r="G877" s="283"/>
      <c r="H877" s="266"/>
      <c r="I877" s="274"/>
      <c r="J877" s="281"/>
      <c r="K877" s="281"/>
      <c r="L877" s="473" t="s">
        <v>2195</v>
      </c>
      <c r="M877" s="284" t="s">
        <v>2962</v>
      </c>
      <c r="N877" s="470">
        <f>SUM(N878:N882)</f>
        <v>3646599</v>
      </c>
      <c r="O877" s="470">
        <f>SUM(O878:O882)</f>
        <v>2015917</v>
      </c>
      <c r="P877" s="378">
        <f t="shared" si="163"/>
        <v>-1630682</v>
      </c>
      <c r="Q877" s="470">
        <f t="shared" ref="Q877:X877" si="165">SUM(Q878:Q882)</f>
        <v>0</v>
      </c>
      <c r="R877" s="470">
        <f t="shared" si="165"/>
        <v>3646599</v>
      </c>
      <c r="S877" s="470">
        <f t="shared" si="165"/>
        <v>0</v>
      </c>
      <c r="T877" s="470">
        <f t="shared" si="165"/>
        <v>1125088</v>
      </c>
      <c r="U877" s="470">
        <f t="shared" si="165"/>
        <v>0</v>
      </c>
      <c r="V877" s="470">
        <f t="shared" si="165"/>
        <v>2755770</v>
      </c>
      <c r="W877" s="378">
        <f t="shared" si="165"/>
        <v>0</v>
      </c>
      <c r="X877" s="378">
        <f t="shared" si="165"/>
        <v>2015917</v>
      </c>
      <c r="Y877" s="211"/>
      <c r="Z877" s="211"/>
      <c r="AA877" s="211"/>
    </row>
    <row r="878" spans="2:27" s="204" customFormat="1" x14ac:dyDescent="0.25">
      <c r="B878" s="287" t="s">
        <v>2196</v>
      </c>
      <c r="C878" s="287" t="s">
        <v>2197</v>
      </c>
      <c r="D878" s="284" t="s">
        <v>3971</v>
      </c>
      <c r="E878" s="274"/>
      <c r="F878" s="274"/>
      <c r="G878" s="283"/>
      <c r="H878" s="266"/>
      <c r="I878" s="274"/>
      <c r="J878" s="281"/>
      <c r="K878" s="281"/>
      <c r="L878" s="475" t="s">
        <v>3972</v>
      </c>
      <c r="M878" s="284" t="s">
        <v>2962</v>
      </c>
      <c r="N878" s="443">
        <f>+R878</f>
        <v>3135468</v>
      </c>
      <c r="O878" s="443">
        <f>+X878</f>
        <v>1287375</v>
      </c>
      <c r="P878" s="271">
        <f t="shared" si="163"/>
        <v>-1848093</v>
      </c>
      <c r="Q878" s="541"/>
      <c r="R878" s="354">
        <f>IF(ISERROR(VLOOKUP("SAN"&amp;$C878,ESTR_PREC_SP!$A$2:$G$2000,4,FALSE))=TRUE,0,VLOOKUP("SAN"&amp;$C878,ESTR_PREC_SP!$A$2:$G$2000,4,FALSE))</f>
        <v>3135468</v>
      </c>
      <c r="S878" s="521"/>
      <c r="T878" s="541">
        <v>627218</v>
      </c>
      <c r="U878" s="541"/>
      <c r="V878" s="378">
        <f>+Utilizzi_Fondi_San!$Q$4</f>
        <v>2475311</v>
      </c>
      <c r="W878" s="541"/>
      <c r="X878" s="408">
        <f>+R878+S878+T878+U878-V878+W878+Q878</f>
        <v>1287375</v>
      </c>
      <c r="Y878" s="211"/>
      <c r="Z878" s="211"/>
      <c r="AA878" s="211"/>
    </row>
    <row r="879" spans="2:27" s="204" customFormat="1" x14ac:dyDescent="0.25">
      <c r="B879" s="287" t="s">
        <v>2200</v>
      </c>
      <c r="C879" s="287" t="s">
        <v>2201</v>
      </c>
      <c r="D879" s="284" t="s">
        <v>3973</v>
      </c>
      <c r="E879" s="274"/>
      <c r="F879" s="274"/>
      <c r="G879" s="283"/>
      <c r="H879" s="266"/>
      <c r="I879" s="274"/>
      <c r="J879" s="281"/>
      <c r="K879" s="281"/>
      <c r="L879" s="475" t="s">
        <v>3974</v>
      </c>
      <c r="M879" s="284" t="s">
        <v>2962</v>
      </c>
      <c r="N879" s="443">
        <f>+R879</f>
        <v>261497</v>
      </c>
      <c r="O879" s="443">
        <f>+X879</f>
        <v>55369</v>
      </c>
      <c r="P879" s="271">
        <f t="shared" si="163"/>
        <v>-206128</v>
      </c>
      <c r="Q879" s="541"/>
      <c r="R879" s="354">
        <f>IF(ISERROR(VLOOKUP("SAN"&amp;$C879,ESTR_PREC_SP!$A$2:$G$2000,4,FALSE))=TRUE,0,VLOOKUP("SAN"&amp;$C879,ESTR_PREC_SP!$A$2:$G$2000,4,FALSE))</f>
        <v>261497</v>
      </c>
      <c r="S879" s="521"/>
      <c r="T879" s="541">
        <v>16463</v>
      </c>
      <c r="U879" s="541"/>
      <c r="V879" s="378">
        <f>+Utilizzi_Fondi_San!$R$4</f>
        <v>222591</v>
      </c>
      <c r="W879" s="541"/>
      <c r="X879" s="408">
        <f>+R879+S879+T879+U879-V879+W879+Q879</f>
        <v>55369</v>
      </c>
      <c r="Y879" s="211"/>
      <c r="Z879" s="211"/>
      <c r="AA879" s="211"/>
    </row>
    <row r="880" spans="2:27" s="204" customFormat="1" x14ac:dyDescent="0.25">
      <c r="B880" s="287" t="s">
        <v>2203</v>
      </c>
      <c r="C880" s="287" t="s">
        <v>2204</v>
      </c>
      <c r="D880" s="284" t="s">
        <v>3975</v>
      </c>
      <c r="E880" s="274"/>
      <c r="F880" s="274"/>
      <c r="G880" s="283"/>
      <c r="H880" s="266"/>
      <c r="I880" s="274"/>
      <c r="J880" s="281"/>
      <c r="K880" s="281"/>
      <c r="L880" s="475" t="s">
        <v>3976</v>
      </c>
      <c r="M880" s="284" t="s">
        <v>2962</v>
      </c>
      <c r="N880" s="443">
        <f>+R880</f>
        <v>98913</v>
      </c>
      <c r="O880" s="443">
        <f>+X880</f>
        <v>562641</v>
      </c>
      <c r="P880" s="271">
        <f t="shared" si="163"/>
        <v>463728</v>
      </c>
      <c r="Q880" s="541"/>
      <c r="R880" s="354">
        <f>IF(ISERROR(VLOOKUP("SAN"&amp;$C880,ESTR_PREC_SP!$A$2:$G$2000,4,FALSE))=TRUE,0,VLOOKUP("SAN"&amp;$C880,ESTR_PREC_SP!$A$2:$G$2000,4,FALSE))</f>
        <v>98913</v>
      </c>
      <c r="S880" s="521"/>
      <c r="T880" s="541">
        <v>463728</v>
      </c>
      <c r="U880" s="541"/>
      <c r="V880" s="378">
        <f>+Utilizzi_Fondi_San!$S$4</f>
        <v>0</v>
      </c>
      <c r="W880" s="541"/>
      <c r="X880" s="408">
        <f>+R880+S880+T880+U880-V880+W880+Q880</f>
        <v>562641</v>
      </c>
      <c r="Y880" s="211"/>
      <c r="Z880" s="211"/>
      <c r="AA880" s="211"/>
    </row>
    <row r="881" spans="1:27" s="204" customFormat="1" x14ac:dyDescent="0.25">
      <c r="B881" s="287" t="s">
        <v>2206</v>
      </c>
      <c r="C881" s="287" t="s">
        <v>2207</v>
      </c>
      <c r="D881" s="284" t="s">
        <v>3977</v>
      </c>
      <c r="E881" s="274"/>
      <c r="F881" s="274"/>
      <c r="G881" s="283"/>
      <c r="H881" s="266"/>
      <c r="I881" s="274"/>
      <c r="J881" s="281"/>
      <c r="K881" s="281"/>
      <c r="L881" s="475" t="s">
        <v>3978</v>
      </c>
      <c r="M881" s="284" t="s">
        <v>2962</v>
      </c>
      <c r="N881" s="443">
        <f>+R881</f>
        <v>0</v>
      </c>
      <c r="O881" s="443">
        <f>+X881</f>
        <v>0</v>
      </c>
      <c r="P881" s="271">
        <f t="shared" si="163"/>
        <v>0</v>
      </c>
      <c r="Q881" s="541"/>
      <c r="R881" s="354">
        <f>IF(ISERROR(VLOOKUP("SAN"&amp;$C881,ESTR_PREC_SP!$A$2:$G$2000,4,FALSE))=TRUE,0,VLOOKUP("SAN"&amp;$C881,ESTR_PREC_SP!$A$2:$G$2000,4,FALSE))</f>
        <v>0</v>
      </c>
      <c r="S881" s="521"/>
      <c r="T881" s="541"/>
      <c r="U881" s="541"/>
      <c r="V881" s="378">
        <f>+Utilizzi_Fondi_San!$T$4</f>
        <v>0</v>
      </c>
      <c r="W881" s="541"/>
      <c r="X881" s="408">
        <f>+R881+S881+T881+U881-V881+W881+Q881</f>
        <v>0</v>
      </c>
      <c r="Y881" s="211"/>
      <c r="Z881" s="211"/>
      <c r="AA881" s="211"/>
    </row>
    <row r="882" spans="1:27" s="204" customFormat="1" x14ac:dyDescent="0.25">
      <c r="B882" s="287" t="s">
        <v>2210</v>
      </c>
      <c r="C882" s="287" t="s">
        <v>2211</v>
      </c>
      <c r="D882" s="284" t="s">
        <v>3979</v>
      </c>
      <c r="E882" s="274"/>
      <c r="F882" s="274"/>
      <c r="G882" s="283"/>
      <c r="H882" s="266"/>
      <c r="I882" s="274"/>
      <c r="J882" s="281"/>
      <c r="K882" s="281"/>
      <c r="L882" s="476" t="s">
        <v>3980</v>
      </c>
      <c r="M882" s="284" t="s">
        <v>2962</v>
      </c>
      <c r="N882" s="443">
        <f>+R882</f>
        <v>150721</v>
      </c>
      <c r="O882" s="443">
        <f>+X882</f>
        <v>110532</v>
      </c>
      <c r="P882" s="271">
        <f t="shared" si="163"/>
        <v>-40189</v>
      </c>
      <c r="Q882" s="541"/>
      <c r="R882" s="354">
        <f>IF(ISERROR(VLOOKUP("SAN"&amp;$C882,ESTR_PREC_SP!$A$2:$G$2000,4,FALSE))=TRUE,0,VLOOKUP("SAN"&amp;$C882,ESTR_PREC_SP!$A$2:$G$2000,4,FALSE))</f>
        <v>150721</v>
      </c>
      <c r="S882" s="521"/>
      <c r="T882" s="541">
        <v>17679</v>
      </c>
      <c r="U882" s="541"/>
      <c r="V882" s="378">
        <f>+Utilizzi_Fondi_San!$U$4</f>
        <v>57868</v>
      </c>
      <c r="W882" s="541"/>
      <c r="X882" s="408">
        <f>+R882+S882+T882+U882-V882+W882+Q882</f>
        <v>110532</v>
      </c>
      <c r="Y882" s="211"/>
      <c r="Z882" s="211"/>
      <c r="AA882" s="211"/>
    </row>
    <row r="883" spans="1:27" s="204" customFormat="1" x14ac:dyDescent="0.25">
      <c r="B883" s="287" t="s">
        <v>2214</v>
      </c>
      <c r="C883" s="287" t="s">
        <v>2215</v>
      </c>
      <c r="D883" s="472" t="s">
        <v>3981</v>
      </c>
      <c r="E883" s="274"/>
      <c r="F883" s="274"/>
      <c r="G883" s="283"/>
      <c r="H883" s="266"/>
      <c r="I883" s="274"/>
      <c r="J883" s="281"/>
      <c r="K883" s="281"/>
      <c r="L883" s="295" t="s">
        <v>2216</v>
      </c>
      <c r="M883" s="284" t="s">
        <v>2962</v>
      </c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  <c r="Y883" s="211"/>
      <c r="Z883" s="211"/>
      <c r="AA883" s="211"/>
    </row>
    <row r="884" spans="1:27" s="204" customFormat="1" x14ac:dyDescent="0.25">
      <c r="B884" s="287" t="s">
        <v>2217</v>
      </c>
      <c r="C884" s="287" t="s">
        <v>2218</v>
      </c>
      <c r="D884" s="472" t="s">
        <v>3981</v>
      </c>
      <c r="E884" s="274"/>
      <c r="F884" s="274"/>
      <c r="G884" s="283"/>
      <c r="H884" s="266"/>
      <c r="I884" s="274"/>
      <c r="J884" s="281"/>
      <c r="K884" s="281"/>
      <c r="L884" s="476" t="s">
        <v>3982</v>
      </c>
      <c r="M884" s="284" t="s">
        <v>2962</v>
      </c>
      <c r="N884" s="443">
        <f>+R884</f>
        <v>80954</v>
      </c>
      <c r="O884" s="443">
        <f>+X884</f>
        <v>0</v>
      </c>
      <c r="P884" s="271">
        <f>+O884-N884</f>
        <v>-80954</v>
      </c>
      <c r="Q884" s="527"/>
      <c r="R884" s="354">
        <f>IF(ISERROR(VLOOKUP("SAN"&amp;$C884,ESTR_PREC_SP!$A$2:$G$2000,4,FALSE))=TRUE,0,VLOOKUP("SAN"&amp;$C884,ESTR_PREC_SP!$A$2:$G$2000,4,FALSE))</f>
        <v>80954</v>
      </c>
      <c r="S884" s="521"/>
      <c r="T884" s="541"/>
      <c r="U884" s="541">
        <f>-82297+1343</f>
        <v>-80954</v>
      </c>
      <c r="V884" s="378">
        <f>+Utilizzi_Fondi_San!$V$4</f>
        <v>0</v>
      </c>
      <c r="W884" s="541"/>
      <c r="X884" s="408">
        <f>+R884+S884+T884+U884-V884+W884+Q884</f>
        <v>0</v>
      </c>
      <c r="Y884" s="211"/>
      <c r="Z884" s="211"/>
      <c r="AA884" s="211"/>
    </row>
    <row r="885" spans="1:27" s="204" customFormat="1" x14ac:dyDescent="0.25">
      <c r="B885" s="287" t="s">
        <v>2222</v>
      </c>
      <c r="C885" s="287" t="s">
        <v>2223</v>
      </c>
      <c r="D885" s="472" t="s">
        <v>3981</v>
      </c>
      <c r="E885" s="274"/>
      <c r="F885" s="274"/>
      <c r="G885" s="283"/>
      <c r="H885" s="266"/>
      <c r="I885" s="274"/>
      <c r="J885" s="281"/>
      <c r="K885" s="281"/>
      <c r="L885" s="476" t="s">
        <v>3983</v>
      </c>
      <c r="M885" s="284" t="s">
        <v>2962</v>
      </c>
      <c r="N885" s="443">
        <f>+R885</f>
        <v>131187</v>
      </c>
      <c r="O885" s="443">
        <f>+X885</f>
        <v>35114</v>
      </c>
      <c r="P885" s="271">
        <f>+O885-N885</f>
        <v>-96073</v>
      </c>
      <c r="Q885" s="527"/>
      <c r="R885" s="354">
        <f>IF(ISERROR(VLOOKUP("SAN"&amp;$C885,ESTR_PREC_SP!$A$2:$G$2000,4,FALSE))=TRUE,0,VLOOKUP("SAN"&amp;$C885,ESTR_PREC_SP!$A$2:$G$2000,4,FALSE))</f>
        <v>131187</v>
      </c>
      <c r="S885" s="521"/>
      <c r="T885" s="541">
        <f>+35114+35114</f>
        <v>70228</v>
      </c>
      <c r="U885" s="541"/>
      <c r="V885" s="378">
        <f>+Utilizzi_Fondi_San!$W$4</f>
        <v>166301</v>
      </c>
      <c r="W885" s="541"/>
      <c r="X885" s="408">
        <f>+R885+S885+T885+U885-V885+W885+Q885</f>
        <v>35114</v>
      </c>
      <c r="Y885" s="211"/>
      <c r="Z885" s="211"/>
      <c r="AA885" s="211"/>
    </row>
    <row r="886" spans="1:27" s="211" customFormat="1" x14ac:dyDescent="0.25">
      <c r="A886" s="535" t="s">
        <v>3681</v>
      </c>
      <c r="B886" s="536" t="s">
        <v>2225</v>
      </c>
      <c r="C886" s="536" t="s">
        <v>2226</v>
      </c>
      <c r="D886" s="536"/>
      <c r="E886" s="536"/>
      <c r="F886" s="536"/>
      <c r="G886" s="536"/>
      <c r="H886" s="536"/>
      <c r="I886" s="536"/>
      <c r="J886" s="536"/>
      <c r="K886" s="536"/>
      <c r="L886" s="536" t="s">
        <v>2228</v>
      </c>
      <c r="M886" s="284" t="s">
        <v>2962</v>
      </c>
      <c r="N886" s="443">
        <f>+R886</f>
        <v>179319</v>
      </c>
      <c r="O886" s="443">
        <f>+X886</f>
        <v>446190</v>
      </c>
      <c r="P886" s="271">
        <f>+O886-N886</f>
        <v>266871</v>
      </c>
      <c r="Q886" s="527"/>
      <c r="R886" s="354">
        <f>IF(ISERROR(VLOOKUP("SAN"&amp;$C886,ESTR_PREC_SP!$A$2:$G$2000,4,FALSE))=TRUE,0,VLOOKUP("SAN"&amp;$C886,ESTR_PREC_SP!$A$2:$G$2000,4,FALSE))</f>
        <v>179319</v>
      </c>
      <c r="S886" s="521"/>
      <c r="T886" s="541">
        <v>184574</v>
      </c>
      <c r="U886" s="541">
        <v>82297</v>
      </c>
      <c r="V886" s="378">
        <f>+Utilizzi_Fondi_San!$X$4</f>
        <v>0</v>
      </c>
      <c r="W886" s="541"/>
      <c r="X886" s="408">
        <f>+R886+S886+T886+U886-V886+W886+Q886</f>
        <v>446190</v>
      </c>
    </row>
    <row r="887" spans="1:27" s="204" customFormat="1" x14ac:dyDescent="0.25"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32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</row>
    <row r="888" spans="1:27" s="204" customFormat="1" x14ac:dyDescent="0.25">
      <c r="B888" s="230"/>
      <c r="C888" s="230"/>
      <c r="D888" s="230"/>
      <c r="E888" s="230"/>
      <c r="F888" s="230"/>
      <c r="G888" s="230"/>
      <c r="H888" s="231"/>
      <c r="I888" s="230"/>
      <c r="J888" s="230"/>
      <c r="K888" s="230"/>
      <c r="L888" s="478"/>
      <c r="M888" s="211"/>
      <c r="N888" s="254"/>
      <c r="O888" s="211"/>
      <c r="P888" s="211"/>
      <c r="Q888" s="211"/>
      <c r="R888" s="211"/>
      <c r="S888" s="479"/>
      <c r="T888" s="479"/>
      <c r="U888" s="479"/>
      <c r="V888" s="479"/>
      <c r="W888" s="211"/>
      <c r="X888" s="211"/>
      <c r="Y888" s="211"/>
      <c r="Z888" s="211"/>
      <c r="AA888" s="211"/>
    </row>
    <row r="889" spans="1:27" s="204" customFormat="1" x14ac:dyDescent="0.25">
      <c r="B889" s="233" t="s">
        <v>2229</v>
      </c>
      <c r="C889" s="233" t="s">
        <v>2230</v>
      </c>
      <c r="D889" s="234" t="s">
        <v>3984</v>
      </c>
      <c r="E889" s="234"/>
      <c r="F889" s="234"/>
      <c r="G889" s="234"/>
      <c r="H889" s="235"/>
      <c r="I889" s="234"/>
      <c r="J889" s="234"/>
      <c r="K889" s="234"/>
      <c r="L889" s="236" t="s">
        <v>2231</v>
      </c>
      <c r="M889" s="237" t="s">
        <v>2962</v>
      </c>
      <c r="N889" s="238">
        <f>+N891+N900+N903</f>
        <v>1058912</v>
      </c>
      <c r="O889" s="238">
        <f>+O891+O900+O903</f>
        <v>1012499</v>
      </c>
      <c r="P889" s="239">
        <f>+O889-N889</f>
        <v>-46413</v>
      </c>
      <c r="Q889" s="238">
        <f t="shared" ref="Q889:X889" si="166">+Q891+Q900+Q903</f>
        <v>0</v>
      </c>
      <c r="R889" s="238">
        <f t="shared" si="166"/>
        <v>1058912</v>
      </c>
      <c r="S889" s="238">
        <f t="shared" si="166"/>
        <v>0</v>
      </c>
      <c r="T889" s="238">
        <f t="shared" si="166"/>
        <v>70737</v>
      </c>
      <c r="U889" s="238">
        <f t="shared" si="166"/>
        <v>0</v>
      </c>
      <c r="V889" s="238">
        <f t="shared" si="166"/>
        <v>117150</v>
      </c>
      <c r="W889" s="238">
        <f t="shared" si="166"/>
        <v>0</v>
      </c>
      <c r="X889" s="238">
        <f t="shared" si="166"/>
        <v>1012499</v>
      </c>
      <c r="Y889" s="211"/>
      <c r="Z889" s="211"/>
      <c r="AA889" s="211"/>
    </row>
    <row r="890" spans="1:27" s="204" customFormat="1" x14ac:dyDescent="0.25">
      <c r="B890" s="230"/>
      <c r="C890" s="230"/>
      <c r="D890" s="230"/>
      <c r="E890" s="230"/>
      <c r="F890" s="230"/>
      <c r="G890" s="230"/>
      <c r="H890" s="231"/>
      <c r="I890" s="230"/>
      <c r="J890" s="230"/>
      <c r="K890" s="230"/>
      <c r="L890" s="232"/>
      <c r="M890" s="211"/>
      <c r="N890" s="254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</row>
    <row r="891" spans="1:27" s="204" customFormat="1" x14ac:dyDescent="0.25">
      <c r="B891" s="246" t="s">
        <v>2232</v>
      </c>
      <c r="C891" s="246" t="s">
        <v>2233</v>
      </c>
      <c r="D891" s="247" t="s">
        <v>3985</v>
      </c>
      <c r="E891" s="247"/>
      <c r="F891" s="247"/>
      <c r="G891" s="247"/>
      <c r="H891" s="248"/>
      <c r="I891" s="247"/>
      <c r="J891" s="247"/>
      <c r="K891" s="249"/>
      <c r="L891" s="441" t="s">
        <v>2237</v>
      </c>
      <c r="M891" s="251" t="s">
        <v>2962</v>
      </c>
      <c r="N891" s="252">
        <f>SUM(N894:N896)</f>
        <v>1026550</v>
      </c>
      <c r="O891" s="252">
        <f>SUM(O894:O896)</f>
        <v>980137</v>
      </c>
      <c r="P891" s="253">
        <f>+O891-N891</f>
        <v>-46413</v>
      </c>
      <c r="Q891" s="252">
        <f t="shared" ref="Q891:X891" si="167">SUM(Q894:Q896)</f>
        <v>0</v>
      </c>
      <c r="R891" s="252">
        <f t="shared" si="167"/>
        <v>1026550</v>
      </c>
      <c r="S891" s="252">
        <f t="shared" si="167"/>
        <v>0</v>
      </c>
      <c r="T891" s="252">
        <f t="shared" si="167"/>
        <v>70737</v>
      </c>
      <c r="U891" s="252">
        <f t="shared" si="167"/>
        <v>0</v>
      </c>
      <c r="V891" s="252">
        <f t="shared" si="167"/>
        <v>117150</v>
      </c>
      <c r="W891" s="252">
        <f t="shared" si="167"/>
        <v>0</v>
      </c>
      <c r="X891" s="252">
        <f t="shared" si="167"/>
        <v>980137</v>
      </c>
      <c r="Y891" s="211"/>
      <c r="Z891" s="211"/>
      <c r="AA891" s="211"/>
    </row>
    <row r="892" spans="1:27" s="204" customFormat="1" x14ac:dyDescent="0.25">
      <c r="B892" s="230"/>
      <c r="C892" s="230"/>
      <c r="D892" s="230"/>
      <c r="E892" s="230"/>
      <c r="F892" s="230"/>
      <c r="G892" s="230"/>
      <c r="H892" s="231"/>
      <c r="I892" s="230"/>
      <c r="J892" s="230"/>
      <c r="K892" s="230"/>
      <c r="L892" s="232"/>
      <c r="M892" s="211"/>
      <c r="N892" s="254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</row>
    <row r="893" spans="1:27" s="204" customFormat="1" ht="51" x14ac:dyDescent="0.25">
      <c r="B893" s="260" t="s">
        <v>2968</v>
      </c>
      <c r="C893" s="260" t="s">
        <v>2969</v>
      </c>
      <c r="D893" s="206" t="s">
        <v>72</v>
      </c>
      <c r="E893" s="206"/>
      <c r="F893" s="206"/>
      <c r="G893" s="207"/>
      <c r="H893" s="207"/>
      <c r="I893" s="207"/>
      <c r="J893" s="207" t="s">
        <v>2957</v>
      </c>
      <c r="K893" s="206" t="s">
        <v>82</v>
      </c>
      <c r="L893" s="261" t="s">
        <v>3670</v>
      </c>
      <c r="M893" s="480"/>
      <c r="N893" s="256" t="str">
        <f>N$15</f>
        <v>Valore netto al 31/12/2019</v>
      </c>
      <c r="O893" s="256" t="str">
        <f>O$15</f>
        <v>Valore netto al 31/12/2020</v>
      </c>
      <c r="P893" s="256" t="str">
        <f>P$15</f>
        <v>Variazione</v>
      </c>
      <c r="Q893" s="262" t="s">
        <v>2971</v>
      </c>
      <c r="R893" s="442" t="s">
        <v>3877</v>
      </c>
      <c r="S893" s="346" t="s">
        <v>2972</v>
      </c>
      <c r="T893" s="442" t="s">
        <v>3913</v>
      </c>
      <c r="U893" s="442" t="s">
        <v>3914</v>
      </c>
      <c r="V893" s="442" t="s">
        <v>3915</v>
      </c>
      <c r="W893" s="262" t="s">
        <v>2975</v>
      </c>
      <c r="X893" s="442" t="s">
        <v>3883</v>
      </c>
      <c r="Y893" s="211"/>
      <c r="Z893" s="211"/>
      <c r="AA893" s="211"/>
    </row>
    <row r="894" spans="1:27" s="204" customFormat="1" x14ac:dyDescent="0.25">
      <c r="B894" s="284" t="s">
        <v>2238</v>
      </c>
      <c r="C894" s="284" t="s">
        <v>2239</v>
      </c>
      <c r="D894" s="274" t="s">
        <v>3986</v>
      </c>
      <c r="E894" s="274"/>
      <c r="F894" s="274"/>
      <c r="G894" s="283"/>
      <c r="H894" s="266"/>
      <c r="I894" s="274"/>
      <c r="J894" s="281"/>
      <c r="K894" s="281"/>
      <c r="L894" s="422" t="s">
        <v>3987</v>
      </c>
      <c r="M894" s="284" t="s">
        <v>2962</v>
      </c>
      <c r="N894" s="443">
        <f>+R894</f>
        <v>0</v>
      </c>
      <c r="O894" s="443">
        <f>+X894</f>
        <v>0</v>
      </c>
      <c r="P894" s="271">
        <f>+O894-N894</f>
        <v>0</v>
      </c>
      <c r="Q894" s="527"/>
      <c r="R894" s="354">
        <f>IF(ISERROR(VLOOKUP("SAN"&amp;$C894,ESTR_PREC_SP!$A$2:$G$2000,4,FALSE))=TRUE,0,VLOOKUP("SAN"&amp;$C894,ESTR_PREC_SP!$A$2:$G$2000,4,FALSE))</f>
        <v>0</v>
      </c>
      <c r="S894" s="355"/>
      <c r="T894" s="352"/>
      <c r="U894" s="541"/>
      <c r="V894" s="378">
        <f>+Utilizzi_Fondi_San!$Y$4</f>
        <v>0</v>
      </c>
      <c r="W894" s="541"/>
      <c r="X894" s="408">
        <f>+R894+S894+T894+U894-V894+W894+Q894</f>
        <v>0</v>
      </c>
      <c r="Y894" s="211"/>
      <c r="Z894" s="211"/>
      <c r="AA894" s="211"/>
    </row>
    <row r="895" spans="1:27" s="204" customFormat="1" x14ac:dyDescent="0.25">
      <c r="B895" s="284" t="s">
        <v>2241</v>
      </c>
      <c r="C895" s="284" t="s">
        <v>2242</v>
      </c>
      <c r="D895" s="274" t="s">
        <v>3988</v>
      </c>
      <c r="E895" s="274"/>
      <c r="F895" s="274"/>
      <c r="G895" s="283"/>
      <c r="H895" s="266"/>
      <c r="I895" s="274"/>
      <c r="J895" s="281"/>
      <c r="K895" s="281"/>
      <c r="L895" s="422" t="s">
        <v>3989</v>
      </c>
      <c r="M895" s="284" t="s">
        <v>2962</v>
      </c>
      <c r="N895" s="443">
        <f>+R895</f>
        <v>118000</v>
      </c>
      <c r="O895" s="443">
        <f>+X895</f>
        <v>118000</v>
      </c>
      <c r="P895" s="271">
        <f>+O895-N895</f>
        <v>0</v>
      </c>
      <c r="Q895" s="527"/>
      <c r="R895" s="354">
        <f>IF(ISERROR(VLOOKUP("SAN"&amp;$C895,ESTR_PREC_SP!$A$2:$G$2000,4,FALSE))=TRUE,0,VLOOKUP("SAN"&amp;$C895,ESTR_PREC_SP!$A$2:$G$2000,4,FALSE))</f>
        <v>118000</v>
      </c>
      <c r="S895" s="355"/>
      <c r="T895" s="352"/>
      <c r="U895" s="541"/>
      <c r="V895" s="378">
        <f>+Utilizzi_Fondi_San!$Z$4</f>
        <v>0</v>
      </c>
      <c r="W895" s="541"/>
      <c r="X895" s="408">
        <f>+R895+S895+T895+U895-V895+W895+Q895</f>
        <v>118000</v>
      </c>
      <c r="Y895" s="211"/>
      <c r="Z895" s="211"/>
      <c r="AA895" s="211"/>
    </row>
    <row r="896" spans="1:27" s="204" customFormat="1" x14ac:dyDescent="0.25">
      <c r="B896" s="284" t="s">
        <v>2244</v>
      </c>
      <c r="C896" s="284" t="s">
        <v>2245</v>
      </c>
      <c r="D896" s="274" t="s">
        <v>3990</v>
      </c>
      <c r="E896" s="274"/>
      <c r="F896" s="274"/>
      <c r="G896" s="283"/>
      <c r="H896" s="266"/>
      <c r="I896" s="274"/>
      <c r="J896" s="281"/>
      <c r="K896" s="281"/>
      <c r="L896" s="422" t="s">
        <v>3991</v>
      </c>
      <c r="M896" s="284" t="s">
        <v>2962</v>
      </c>
      <c r="N896" s="443">
        <f>+R896</f>
        <v>908550</v>
      </c>
      <c r="O896" s="443">
        <f>+X896</f>
        <v>862137</v>
      </c>
      <c r="P896" s="271">
        <f>+O896-N896</f>
        <v>-46413</v>
      </c>
      <c r="Q896" s="527"/>
      <c r="R896" s="354">
        <f>IF(ISERROR(VLOOKUP("SAN"&amp;$C896,ESTR_PREC_SP!$A$2:$G$2000,4,FALSE))=TRUE,0,VLOOKUP("SAN"&amp;$C896,ESTR_PREC_SP!$A$2:$G$2000,4,FALSE))</f>
        <v>908550</v>
      </c>
      <c r="S896" s="355"/>
      <c r="T896" s="541">
        <v>70737</v>
      </c>
      <c r="U896" s="541"/>
      <c r="V896" s="378">
        <f>+Utilizzi_Fondi_San!$AA$4</f>
        <v>117150</v>
      </c>
      <c r="W896" s="541"/>
      <c r="X896" s="408">
        <f>+R896+S896+T896+U896-V896+W896+Q896</f>
        <v>862137</v>
      </c>
      <c r="Y896" s="211"/>
      <c r="Z896" s="211"/>
      <c r="AA896" s="211"/>
    </row>
    <row r="897" spans="1:41" s="204" customFormat="1" ht="26.25" x14ac:dyDescent="0.25">
      <c r="B897" s="230"/>
      <c r="C897" s="230"/>
      <c r="D897" s="230"/>
      <c r="E897" s="230"/>
      <c r="F897" s="230"/>
      <c r="G897" s="230"/>
      <c r="H897" s="231"/>
      <c r="I897" s="230"/>
      <c r="J897" s="230"/>
      <c r="K897" s="230"/>
      <c r="L897" s="232" t="s">
        <v>3992</v>
      </c>
      <c r="M897" s="211"/>
      <c r="N897" s="254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</row>
    <row r="898" spans="1:41" s="204" customFormat="1" x14ac:dyDescent="0.25">
      <c r="B898" s="230"/>
      <c r="C898" s="230"/>
      <c r="D898" s="230"/>
      <c r="E898" s="230"/>
      <c r="F898" s="230"/>
      <c r="G898" s="230"/>
      <c r="H898" s="231"/>
      <c r="I898" s="230"/>
      <c r="J898" s="230"/>
      <c r="K898" s="230"/>
      <c r="L898" s="232"/>
      <c r="M898" s="211"/>
      <c r="N898" s="481"/>
      <c r="O898" s="481"/>
      <c r="P898" s="48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</row>
    <row r="899" spans="1:41" s="204" customFormat="1" ht="51" x14ac:dyDescent="0.25">
      <c r="B899" s="230"/>
      <c r="C899" s="230"/>
      <c r="D899" s="230"/>
      <c r="E899" s="230"/>
      <c r="F899" s="230"/>
      <c r="G899" s="230"/>
      <c r="H899" s="231"/>
      <c r="I899" s="230"/>
      <c r="J899" s="230"/>
      <c r="K899" s="230"/>
      <c r="L899" s="232"/>
      <c r="M899" s="211"/>
      <c r="N899" s="256" t="str">
        <f>N$15</f>
        <v>Valore netto al 31/12/2019</v>
      </c>
      <c r="O899" s="256" t="str">
        <f>O$15</f>
        <v>Valore netto al 31/12/2020</v>
      </c>
      <c r="P899" s="256" t="str">
        <f>P$15</f>
        <v>Variazione</v>
      </c>
      <c r="Q899" s="262" t="s">
        <v>2971</v>
      </c>
      <c r="R899" s="442" t="s">
        <v>3877</v>
      </c>
      <c r="S899" s="346" t="s">
        <v>2972</v>
      </c>
      <c r="T899" s="442" t="s">
        <v>3913</v>
      </c>
      <c r="U899" s="442" t="s">
        <v>3914</v>
      </c>
      <c r="V899" s="442" t="s">
        <v>3915</v>
      </c>
      <c r="W899" s="262" t="s">
        <v>2975</v>
      </c>
      <c r="X899" s="442" t="s">
        <v>3883</v>
      </c>
      <c r="Y899" s="211"/>
      <c r="Z899" s="211"/>
      <c r="AA899" s="211"/>
    </row>
    <row r="900" spans="1:41" s="204" customFormat="1" x14ac:dyDescent="0.25">
      <c r="B900" s="246" t="s">
        <v>2247</v>
      </c>
      <c r="C900" s="246" t="s">
        <v>2248</v>
      </c>
      <c r="D900" s="247" t="s">
        <v>3993</v>
      </c>
      <c r="E900" s="247"/>
      <c r="F900" s="247"/>
      <c r="G900" s="247"/>
      <c r="H900" s="248"/>
      <c r="I900" s="247"/>
      <c r="J900" s="398"/>
      <c r="K900" s="399"/>
      <c r="L900" s="441" t="s">
        <v>2252</v>
      </c>
      <c r="M900" s="251" t="s">
        <v>2962</v>
      </c>
      <c r="N900" s="482">
        <f>+R900</f>
        <v>32362</v>
      </c>
      <c r="O900" s="483">
        <f>+X900</f>
        <v>32362</v>
      </c>
      <c r="P900" s="484">
        <f>+O900-N900</f>
        <v>0</v>
      </c>
      <c r="Q900" s="527"/>
      <c r="R900" s="354">
        <f>IF(ISERROR(VLOOKUP("SAN"&amp;$C900,ESTR_PREC_SP!$A$2:$G$2000,4,FALSE))=TRUE,0,VLOOKUP("SAN"&amp;$C900,ESTR_PREC_SP!$A$2:$G$2000,4,FALSE))</f>
        <v>32362</v>
      </c>
      <c r="S900" s="351"/>
      <c r="T900" s="541"/>
      <c r="U900" s="541"/>
      <c r="V900" s="378">
        <f>+Utilizzi_Fondi_San!$AB$4</f>
        <v>0</v>
      </c>
      <c r="W900" s="541"/>
      <c r="X900" s="408">
        <f>+R900+S900+T900+U900-V900+W900+Q900</f>
        <v>32362</v>
      </c>
      <c r="Y900" s="211"/>
      <c r="Z900" s="211"/>
      <c r="AA900" s="211"/>
    </row>
    <row r="901" spans="1:41" s="204" customFormat="1" x14ac:dyDescent="0.25">
      <c r="B901" s="230"/>
      <c r="C901" s="230"/>
      <c r="D901" s="230"/>
      <c r="E901" s="230"/>
      <c r="F901" s="230"/>
      <c r="G901" s="230"/>
      <c r="H901" s="231"/>
      <c r="I901" s="230"/>
      <c r="J901" s="230"/>
      <c r="K901" s="230"/>
      <c r="L901" s="232"/>
      <c r="M901" s="211"/>
      <c r="N901" s="481"/>
      <c r="O901" s="481"/>
      <c r="P901" s="48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</row>
    <row r="902" spans="1:41" s="204" customFormat="1" ht="51" x14ac:dyDescent="0.25">
      <c r="B902" s="230"/>
      <c r="C902" s="230"/>
      <c r="D902" s="230"/>
      <c r="E902" s="230"/>
      <c r="F902" s="230"/>
      <c r="G902" s="230"/>
      <c r="H902" s="231"/>
      <c r="I902" s="230"/>
      <c r="J902" s="230"/>
      <c r="K902" s="230"/>
      <c r="L902" s="232"/>
      <c r="M902" s="211"/>
      <c r="N902" s="256" t="str">
        <f>N$15</f>
        <v>Valore netto al 31/12/2019</v>
      </c>
      <c r="O902" s="256" t="str">
        <f>O$15</f>
        <v>Valore netto al 31/12/2020</v>
      </c>
      <c r="P902" s="256" t="str">
        <f>P$15</f>
        <v>Variazione</v>
      </c>
      <c r="Q902" s="262" t="s">
        <v>2971</v>
      </c>
      <c r="R902" s="442" t="s">
        <v>3877</v>
      </c>
      <c r="S902" s="442" t="s">
        <v>2972</v>
      </c>
      <c r="T902" s="442" t="s">
        <v>3913</v>
      </c>
      <c r="U902" s="442" t="s">
        <v>3914</v>
      </c>
      <c r="V902" s="442" t="s">
        <v>3915</v>
      </c>
      <c r="W902" s="262" t="s">
        <v>2975</v>
      </c>
      <c r="X902" s="442" t="s">
        <v>3883</v>
      </c>
      <c r="Y902" s="211"/>
      <c r="Z902" s="211"/>
      <c r="AA902" s="211"/>
    </row>
    <row r="903" spans="1:41" s="204" customFormat="1" x14ac:dyDescent="0.25">
      <c r="A903" s="535" t="s">
        <v>3681</v>
      </c>
      <c r="B903" s="536" t="s">
        <v>2253</v>
      </c>
      <c r="C903" s="536" t="s">
        <v>2254</v>
      </c>
      <c r="D903" s="536" t="s">
        <v>3993</v>
      </c>
      <c r="E903" s="536"/>
      <c r="F903" s="536"/>
      <c r="G903" s="536"/>
      <c r="H903" s="536"/>
      <c r="I903" s="536"/>
      <c r="J903" s="536"/>
      <c r="K903" s="536"/>
      <c r="L903" s="536" t="s">
        <v>2256</v>
      </c>
      <c r="M903" s="251" t="s">
        <v>2962</v>
      </c>
      <c r="N903" s="482">
        <f>+R903</f>
        <v>0</v>
      </c>
      <c r="O903" s="483">
        <f>+X903</f>
        <v>0</v>
      </c>
      <c r="P903" s="484">
        <f>+O903-N903</f>
        <v>0</v>
      </c>
      <c r="Q903" s="527"/>
      <c r="R903" s="354">
        <f>IF(ISERROR(VLOOKUP("SAN"&amp;$C903,ESTR_PREC_SP!$A$2:$G$2000,4,FALSE))=TRUE,0,VLOOKUP("SAN"&amp;$C903,ESTR_PREC_SP!$A$2:$G$2000,4,FALSE))</f>
        <v>0</v>
      </c>
      <c r="S903" s="521"/>
      <c r="T903" s="541"/>
      <c r="U903" s="541"/>
      <c r="V903" s="378">
        <f>+Utilizzi_Fondi_San!$AC$4</f>
        <v>0</v>
      </c>
      <c r="W903" s="541"/>
      <c r="X903" s="408">
        <f>+R903+S903+T903+U903-V903+W903+Q903</f>
        <v>0</v>
      </c>
      <c r="Y903" s="211"/>
      <c r="Z903" s="211"/>
      <c r="AA903" s="211"/>
      <c r="AB903" s="211"/>
      <c r="AC903" s="211"/>
      <c r="AD903" s="211"/>
      <c r="AE903" s="211"/>
      <c r="AF903" s="211"/>
      <c r="AG903" s="211"/>
      <c r="AH903" s="211"/>
      <c r="AI903" s="211"/>
      <c r="AJ903" s="211"/>
      <c r="AK903" s="211"/>
      <c r="AL903" s="211"/>
      <c r="AM903" s="211"/>
      <c r="AN903" s="211"/>
      <c r="AO903" s="211"/>
    </row>
    <row r="904" spans="1:41" s="204" customFormat="1" x14ac:dyDescent="0.25">
      <c r="B904" s="230"/>
      <c r="C904" s="230"/>
      <c r="D904" s="230"/>
      <c r="E904" s="230"/>
      <c r="F904" s="230"/>
      <c r="G904" s="230"/>
      <c r="H904" s="231"/>
      <c r="I904" s="230"/>
      <c r="J904" s="230"/>
      <c r="K904" s="230"/>
      <c r="L904" s="232"/>
      <c r="M904" s="211"/>
      <c r="N904" s="481"/>
      <c r="O904" s="481"/>
      <c r="P904" s="48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</row>
    <row r="905" spans="1:41" s="204" customFormat="1" x14ac:dyDescent="0.25">
      <c r="B905" s="230"/>
      <c r="C905" s="230"/>
      <c r="D905" s="230"/>
      <c r="E905" s="230"/>
      <c r="F905" s="230"/>
      <c r="G905" s="230"/>
      <c r="H905" s="231"/>
      <c r="I905" s="230"/>
      <c r="J905" s="230"/>
      <c r="K905" s="230"/>
      <c r="L905" s="232"/>
      <c r="M905" s="211"/>
      <c r="N905" s="481"/>
      <c r="O905" s="481"/>
      <c r="P905" s="481"/>
      <c r="Q905" s="211"/>
      <c r="R905" s="481"/>
      <c r="S905" s="481"/>
      <c r="T905" s="481"/>
      <c r="U905" s="481"/>
      <c r="V905" s="481"/>
      <c r="W905" s="211"/>
      <c r="X905" s="211"/>
      <c r="Y905" s="211"/>
      <c r="Z905" s="211"/>
      <c r="AA905" s="211"/>
    </row>
    <row r="906" spans="1:41" s="204" customFormat="1" x14ac:dyDescent="0.25">
      <c r="B906" s="233" t="s">
        <v>2257</v>
      </c>
      <c r="C906" s="233" t="s">
        <v>2258</v>
      </c>
      <c r="D906" s="234" t="s">
        <v>3994</v>
      </c>
      <c r="E906" s="234"/>
      <c r="F906" s="234"/>
      <c r="G906" s="234"/>
      <c r="H906" s="235"/>
      <c r="I906" s="234"/>
      <c r="J906" s="234"/>
      <c r="K906" s="234"/>
      <c r="L906" s="236" t="s">
        <v>2259</v>
      </c>
      <c r="M906" s="237" t="s">
        <v>2962</v>
      </c>
      <c r="N906" s="238">
        <f>+N910+N913+N923+N942+N944+N986+N999+N1018+N1022+N1026+N1030</f>
        <v>88013080</v>
      </c>
      <c r="O906" s="238">
        <f>+O910+O913+O923+O942+O944+O986+O999+O1018+O1022+O1026+O1030</f>
        <v>88880850</v>
      </c>
      <c r="P906" s="239">
        <f>+O906-N906</f>
        <v>867770</v>
      </c>
      <c r="Q906" s="238">
        <f>+Q910+Q913+Q923+Q942+Q944+Q986+Q999+Q1018+Q1022+Q1026+Q1030</f>
        <v>0</v>
      </c>
      <c r="R906" s="238">
        <f>+R910+R913+R923+R942+R944+R986+R999+R1018+R1022+R1026+R1030</f>
        <v>88013080</v>
      </c>
      <c r="S906" s="238">
        <f>+S910+S913+S923+S942+S944+S986+S999+T1018+T1022+T1026+S1030</f>
        <v>0</v>
      </c>
      <c r="T906" s="238">
        <f>+T910+T913+T923+T942+T944+T986+T999+U1018+U1022+U1026+T1030</f>
        <v>4755272</v>
      </c>
      <c r="U906" s="238">
        <f>+U910+U913+U923+U942+U944+U986+U999+V1018+V1022+V1026+U1030</f>
        <v>134375840</v>
      </c>
      <c r="V906" s="238">
        <f t="shared" ref="V906:AJ906" si="168">+V910+V913+V923+V942+V944+V986+V999+V1018+V1022+V1026+V1030</f>
        <v>437700949</v>
      </c>
      <c r="W906" s="238">
        <f t="shared" si="168"/>
        <v>0</v>
      </c>
      <c r="X906" s="238">
        <f t="shared" si="168"/>
        <v>59486118</v>
      </c>
      <c r="Y906" s="238">
        <f t="shared" si="168"/>
        <v>377347061</v>
      </c>
      <c r="Z906" s="238">
        <f t="shared" si="168"/>
        <v>88880850</v>
      </c>
      <c r="AA906" s="238">
        <f t="shared" si="168"/>
        <v>9022148</v>
      </c>
      <c r="AB906" s="238">
        <f t="shared" si="168"/>
        <v>5336736</v>
      </c>
      <c r="AC906" s="238">
        <f t="shared" si="168"/>
        <v>3582809</v>
      </c>
      <c r="AD906" s="238">
        <f t="shared" si="168"/>
        <v>142750</v>
      </c>
      <c r="AE906" s="238">
        <f t="shared" si="168"/>
        <v>4501776</v>
      </c>
      <c r="AF906" s="238">
        <f t="shared" si="168"/>
        <v>1775040</v>
      </c>
      <c r="AG906" s="238">
        <f t="shared" si="168"/>
        <v>78876417</v>
      </c>
      <c r="AH906" s="238">
        <f t="shared" si="168"/>
        <v>76593843</v>
      </c>
      <c r="AI906" s="238">
        <f t="shared" si="168"/>
        <v>12150301</v>
      </c>
      <c r="AJ906" s="238">
        <f t="shared" si="168"/>
        <v>134648</v>
      </c>
    </row>
    <row r="907" spans="1:41" s="204" customFormat="1" x14ac:dyDescent="0.25"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Z907" s="213"/>
      <c r="AA907" s="213"/>
      <c r="AB907" s="213"/>
      <c r="AC907" s="211"/>
      <c r="AD907" s="211"/>
    </row>
    <row r="908" spans="1:41" s="204" customFormat="1" ht="18" customHeight="1" x14ac:dyDescent="0.25">
      <c r="B908" s="230"/>
      <c r="C908" s="230"/>
      <c r="D908" s="230"/>
      <c r="E908" s="230"/>
      <c r="F908" s="230"/>
      <c r="G908" s="230"/>
      <c r="H908" s="231"/>
      <c r="I908" s="230"/>
      <c r="J908" s="230"/>
      <c r="K908" s="230"/>
      <c r="L908" s="232"/>
      <c r="M908" s="211"/>
      <c r="N908" s="254"/>
      <c r="O908" s="211"/>
      <c r="P908" s="211"/>
      <c r="Q908" s="211"/>
      <c r="R908" s="211"/>
      <c r="S908" s="211"/>
      <c r="U908" s="910" t="s">
        <v>3495</v>
      </c>
      <c r="V908" s="910"/>
      <c r="W908" s="485"/>
      <c r="X908" s="903" t="s">
        <v>3496</v>
      </c>
      <c r="Y908" s="903"/>
      <c r="Z908" s="211"/>
      <c r="AA908" s="211"/>
      <c r="AB908" s="211"/>
      <c r="AC908" s="904" t="str">
        <f>"VALORE DEI DEBITI AL 31/12/"&amp;Info!B3&amp;" PER ANNO DI FORMAZIONE"</f>
        <v>VALORE DEI DEBITI AL 31/12/2020 PER ANNO DI FORMAZIONE</v>
      </c>
      <c r="AD908" s="904"/>
      <c r="AE908" s="904"/>
      <c r="AF908" s="904"/>
      <c r="AG908" s="904"/>
      <c r="AH908" s="905" t="str">
        <f>"Debiti al 31/12/"&amp;Info!B3&amp;" per scadenza"</f>
        <v>Debiti al 31/12/2020 per scadenza</v>
      </c>
      <c r="AI908" s="905"/>
      <c r="AJ908" s="905"/>
    </row>
    <row r="909" spans="1:41" s="204" customFormat="1" ht="51" x14ac:dyDescent="0.25">
      <c r="B909" s="211"/>
      <c r="C909" s="211"/>
      <c r="D909" s="211"/>
      <c r="E909" s="211"/>
      <c r="F909" s="211"/>
      <c r="G909" s="211"/>
      <c r="H909" s="353"/>
      <c r="I909" s="211"/>
      <c r="J909" s="211"/>
      <c r="K909" s="211"/>
      <c r="L909" s="255"/>
      <c r="M909" s="244"/>
      <c r="N909" s="256" t="str">
        <f>N$15</f>
        <v>Valore netto al 31/12/2019</v>
      </c>
      <c r="O909" s="256" t="str">
        <f>O$15</f>
        <v>Valore netto al 31/12/2020</v>
      </c>
      <c r="P909" s="256" t="str">
        <f>P$15</f>
        <v>Variazione</v>
      </c>
      <c r="Q909" s="262" t="s">
        <v>2971</v>
      </c>
      <c r="R909" s="262" t="s">
        <v>3517</v>
      </c>
      <c r="S909" s="442" t="s">
        <v>2972</v>
      </c>
      <c r="T909" s="486" t="s">
        <v>3995</v>
      </c>
      <c r="U909" s="337" t="s">
        <v>3996</v>
      </c>
      <c r="V909" s="337" t="s">
        <v>3495</v>
      </c>
      <c r="W909" s="262" t="s">
        <v>2975</v>
      </c>
      <c r="X909" s="338" t="s">
        <v>3498</v>
      </c>
      <c r="Y909" s="338" t="s">
        <v>3499</v>
      </c>
      <c r="Z909" s="262" t="s">
        <v>3815</v>
      </c>
      <c r="AA909" s="377" t="s">
        <v>3997</v>
      </c>
      <c r="AB909" s="377" t="s">
        <v>3998</v>
      </c>
      <c r="AC909" s="339" t="s">
        <v>3503</v>
      </c>
      <c r="AD909" s="339" t="s">
        <v>3504</v>
      </c>
      <c r="AE909" s="339" t="s">
        <v>3505</v>
      </c>
      <c r="AF909" s="339" t="s">
        <v>3506</v>
      </c>
      <c r="AG909" s="339" t="s">
        <v>3507</v>
      </c>
      <c r="AH909" s="340" t="s">
        <v>3508</v>
      </c>
      <c r="AI909" s="340" t="s">
        <v>3509</v>
      </c>
      <c r="AJ909" s="340" t="s">
        <v>3510</v>
      </c>
    </row>
    <row r="910" spans="1:41" s="204" customFormat="1" x14ac:dyDescent="0.25">
      <c r="B910" s="246" t="s">
        <v>2260</v>
      </c>
      <c r="C910" s="246" t="s">
        <v>2261</v>
      </c>
      <c r="D910" s="247" t="s">
        <v>3999</v>
      </c>
      <c r="E910" s="247"/>
      <c r="F910" s="247"/>
      <c r="G910" s="247"/>
      <c r="H910" s="248"/>
      <c r="I910" s="247"/>
      <c r="J910" s="398"/>
      <c r="K910" s="399"/>
      <c r="L910" s="400" t="s">
        <v>2265</v>
      </c>
      <c r="M910" s="251" t="s">
        <v>2962</v>
      </c>
      <c r="N910" s="410">
        <f>+R910</f>
        <v>655134</v>
      </c>
      <c r="O910" s="487">
        <f>+Z910</f>
        <v>220693</v>
      </c>
      <c r="P910" s="253">
        <f>+O910-N910</f>
        <v>-434441</v>
      </c>
      <c r="Q910" s="520"/>
      <c r="R910" s="354">
        <f>IF(ISERROR(VLOOKUP("SAN"&amp;$C910,ESTR_PREC_SP!$A$2:$G$2000,4,FALSE))=TRUE,0,VLOOKUP("SAN"&amp;$C910,ESTR_PREC_SP!$A$2:$G$2000,4,FALSE))</f>
        <v>655134</v>
      </c>
      <c r="S910" s="351"/>
      <c r="T910" s="520"/>
      <c r="U910" s="520"/>
      <c r="V910" s="520"/>
      <c r="W910" s="520"/>
      <c r="X910" s="520">
        <v>434441</v>
      </c>
      <c r="Y910" s="520"/>
      <c r="Z910" s="269">
        <f>+R910+S910+U910+V910-X910-Y910+W910+Q910</f>
        <v>220693</v>
      </c>
      <c r="AA910" s="351"/>
      <c r="AB910" s="351"/>
      <c r="AC910" s="520"/>
      <c r="AD910" s="520"/>
      <c r="AE910" s="520"/>
      <c r="AF910" s="520"/>
      <c r="AG910" s="526">
        <f>+Z910-SUM(AC910:AF910)</f>
        <v>220693</v>
      </c>
      <c r="AH910" s="526">
        <f>+Z910-SUM(AI910:AJ910)</f>
        <v>220693</v>
      </c>
      <c r="AI910" s="520"/>
      <c r="AJ910" s="520"/>
    </row>
    <row r="911" spans="1:41" s="204" customFormat="1" ht="26.25" x14ac:dyDescent="0.25">
      <c r="B911" s="230"/>
      <c r="C911" s="230"/>
      <c r="D911" s="230"/>
      <c r="E911" s="230"/>
      <c r="F911" s="230"/>
      <c r="G911" s="230"/>
      <c r="H911" s="231"/>
      <c r="I911" s="230"/>
      <c r="J911" s="230"/>
      <c r="K911" s="230"/>
      <c r="L911" s="232" t="s">
        <v>4000</v>
      </c>
      <c r="M911" s="211"/>
      <c r="N911" s="254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Z911" s="211"/>
      <c r="AA911" s="211"/>
      <c r="AB911" s="211"/>
      <c r="AC911" s="211"/>
      <c r="AD911" s="211"/>
    </row>
    <row r="912" spans="1:41" s="204" customFormat="1" x14ac:dyDescent="0.25">
      <c r="B912" s="230"/>
      <c r="C912" s="230"/>
      <c r="D912" s="230"/>
      <c r="E912" s="230"/>
      <c r="F912" s="230"/>
      <c r="G912" s="230"/>
      <c r="H912" s="231"/>
      <c r="I912" s="230"/>
      <c r="J912" s="230"/>
      <c r="K912" s="230"/>
      <c r="L912" s="232"/>
      <c r="M912" s="211"/>
      <c r="N912" s="254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Z912" s="211"/>
      <c r="AA912" s="211"/>
      <c r="AB912" s="211"/>
      <c r="AC912" s="211"/>
      <c r="AD912" s="211"/>
    </row>
    <row r="913" spans="1:38" s="204" customFormat="1" x14ac:dyDescent="0.25">
      <c r="B913" s="246" t="s">
        <v>2266</v>
      </c>
      <c r="C913" s="246" t="s">
        <v>2267</v>
      </c>
      <c r="D913" s="247" t="s">
        <v>4001</v>
      </c>
      <c r="E913" s="247"/>
      <c r="F913" s="247"/>
      <c r="G913" s="247"/>
      <c r="H913" s="248"/>
      <c r="I913" s="247"/>
      <c r="J913" s="247"/>
      <c r="K913" s="249"/>
      <c r="L913" s="441" t="s">
        <v>2271</v>
      </c>
      <c r="M913" s="251" t="s">
        <v>2962</v>
      </c>
      <c r="N913" s="252">
        <f>SUM(N917:N921)</f>
        <v>0</v>
      </c>
      <c r="O913" s="252">
        <f>SUM(O917:O921)</f>
        <v>1148</v>
      </c>
      <c r="P913" s="253">
        <f>+O913-N913</f>
        <v>1148</v>
      </c>
      <c r="Q913" s="252">
        <f t="shared" ref="Q913:AJ913" si="169">SUM(Q917:Q921)</f>
        <v>0</v>
      </c>
      <c r="R913" s="252">
        <f t="shared" si="169"/>
        <v>0</v>
      </c>
      <c r="S913" s="252">
        <f t="shared" si="169"/>
        <v>0</v>
      </c>
      <c r="T913" s="252">
        <f t="shared" si="169"/>
        <v>0</v>
      </c>
      <c r="U913" s="252">
        <f t="shared" si="169"/>
        <v>0</v>
      </c>
      <c r="V913" s="252">
        <f t="shared" si="169"/>
        <v>12903</v>
      </c>
      <c r="W913" s="252">
        <f t="shared" si="169"/>
        <v>0</v>
      </c>
      <c r="X913" s="252">
        <f t="shared" si="169"/>
        <v>0</v>
      </c>
      <c r="Y913" s="252">
        <f t="shared" si="169"/>
        <v>11755</v>
      </c>
      <c r="Z913" s="252">
        <f t="shared" si="169"/>
        <v>1148</v>
      </c>
      <c r="AA913" s="252">
        <f t="shared" si="169"/>
        <v>0</v>
      </c>
      <c r="AB913" s="252">
        <f t="shared" si="169"/>
        <v>0</v>
      </c>
      <c r="AC913" s="252">
        <f t="shared" si="169"/>
        <v>0</v>
      </c>
      <c r="AD913" s="252">
        <f t="shared" si="169"/>
        <v>0</v>
      </c>
      <c r="AE913" s="252">
        <f t="shared" si="169"/>
        <v>0</v>
      </c>
      <c r="AF913" s="252">
        <f t="shared" si="169"/>
        <v>0</v>
      </c>
      <c r="AG913" s="252">
        <f t="shared" si="169"/>
        <v>1148</v>
      </c>
      <c r="AH913" s="252">
        <f t="shared" si="169"/>
        <v>0</v>
      </c>
      <c r="AI913" s="252">
        <f t="shared" si="169"/>
        <v>1148</v>
      </c>
      <c r="AJ913" s="252">
        <f t="shared" si="169"/>
        <v>0</v>
      </c>
    </row>
    <row r="914" spans="1:38" s="204" customFormat="1" x14ac:dyDescent="0.25">
      <c r="B914" s="216"/>
      <c r="C914" s="216"/>
      <c r="D914" s="226"/>
      <c r="E914" s="226"/>
      <c r="F914" s="226"/>
      <c r="G914" s="226"/>
      <c r="H914" s="227"/>
      <c r="I914" s="226"/>
      <c r="J914" s="226"/>
      <c r="K914" s="226"/>
      <c r="L914" s="403"/>
      <c r="M914" s="278"/>
      <c r="N914" s="279"/>
      <c r="O914" s="279"/>
      <c r="P914" s="404"/>
      <c r="Q914" s="211"/>
      <c r="R914" s="279"/>
      <c r="S914" s="211"/>
      <c r="T914" s="211"/>
      <c r="U914" s="211"/>
      <c r="V914" s="211"/>
      <c r="W914" s="211"/>
      <c r="X914" s="211"/>
      <c r="Z914" s="211"/>
      <c r="AA914" s="211"/>
      <c r="AB914" s="211"/>
      <c r="AC914" s="211"/>
      <c r="AD914" s="211"/>
    </row>
    <row r="915" spans="1:38" s="204" customFormat="1" ht="15.75" customHeight="1" x14ac:dyDescent="0.25">
      <c r="B915" s="230"/>
      <c r="C915" s="230"/>
      <c r="D915" s="230"/>
      <c r="E915" s="230"/>
      <c r="F915" s="230"/>
      <c r="G915" s="230"/>
      <c r="H915" s="231"/>
      <c r="I915" s="230"/>
      <c r="J915" s="230"/>
      <c r="K915" s="230"/>
      <c r="L915" s="232"/>
      <c r="M915" s="211"/>
      <c r="N915" s="254"/>
      <c r="O915" s="211"/>
      <c r="P915" s="211"/>
      <c r="Q915" s="211"/>
      <c r="R915" s="211"/>
      <c r="S915" s="211"/>
      <c r="U915" s="910" t="s">
        <v>3495</v>
      </c>
      <c r="V915" s="910"/>
      <c r="W915" s="485"/>
      <c r="X915" s="903" t="s">
        <v>3496</v>
      </c>
      <c r="Y915" s="903"/>
      <c r="Z915" s="211"/>
      <c r="AA915" s="211"/>
      <c r="AB915" s="211"/>
      <c r="AC915" s="904" t="str">
        <f>+AC908</f>
        <v>VALORE DEI DEBITI AL 31/12/2020 PER ANNO DI FORMAZIONE</v>
      </c>
      <c r="AD915" s="904"/>
      <c r="AE915" s="904"/>
      <c r="AF915" s="904"/>
      <c r="AG915" s="904"/>
      <c r="AH915" s="905" t="str">
        <f>+AH908</f>
        <v>Debiti al 31/12/2020 per scadenza</v>
      </c>
      <c r="AI915" s="905"/>
      <c r="AJ915" s="905"/>
    </row>
    <row r="916" spans="1:38" s="204" customFormat="1" ht="51" x14ac:dyDescent="0.25">
      <c r="B916" s="260" t="s">
        <v>2968</v>
      </c>
      <c r="C916" s="260" t="s">
        <v>2969</v>
      </c>
      <c r="D916" s="206" t="s">
        <v>72</v>
      </c>
      <c r="E916" s="206"/>
      <c r="F916" s="206"/>
      <c r="G916" s="207"/>
      <c r="H916" s="207"/>
      <c r="I916" s="207"/>
      <c r="J916" s="207" t="s">
        <v>2957</v>
      </c>
      <c r="K916" s="206" t="s">
        <v>82</v>
      </c>
      <c r="L916" s="261" t="s">
        <v>3670</v>
      </c>
      <c r="M916" s="480"/>
      <c r="N916" s="256" t="str">
        <f>N$15</f>
        <v>Valore netto al 31/12/2019</v>
      </c>
      <c r="O916" s="256" t="str">
        <f>O$15</f>
        <v>Valore netto al 31/12/2020</v>
      </c>
      <c r="P916" s="256" t="str">
        <f>P$15</f>
        <v>Variazione</v>
      </c>
      <c r="Q916" s="262" t="s">
        <v>2971</v>
      </c>
      <c r="R916" s="262" t="s">
        <v>3517</v>
      </c>
      <c r="S916" s="442" t="s">
        <v>2972</v>
      </c>
      <c r="T916" s="486" t="s">
        <v>3995</v>
      </c>
      <c r="U916" s="337" t="s">
        <v>3996</v>
      </c>
      <c r="V916" s="337" t="s">
        <v>3495</v>
      </c>
      <c r="W916" s="262" t="s">
        <v>2975</v>
      </c>
      <c r="X916" s="338" t="s">
        <v>3498</v>
      </c>
      <c r="Y916" s="338" t="s">
        <v>3499</v>
      </c>
      <c r="Z916" s="262" t="s">
        <v>3815</v>
      </c>
      <c r="AA916" s="377" t="s">
        <v>3997</v>
      </c>
      <c r="AB916" s="377" t="s">
        <v>3998</v>
      </c>
      <c r="AC916" s="339" t="s">
        <v>3503</v>
      </c>
      <c r="AD916" s="339" t="s">
        <v>3504</v>
      </c>
      <c r="AE916" s="339" t="s">
        <v>3505</v>
      </c>
      <c r="AF916" s="339" t="s">
        <v>3506</v>
      </c>
      <c r="AG916" s="339" t="s">
        <v>3507</v>
      </c>
      <c r="AH916" s="340" t="s">
        <v>3508</v>
      </c>
      <c r="AI916" s="340" t="s">
        <v>3509</v>
      </c>
      <c r="AJ916" s="340" t="s">
        <v>3510</v>
      </c>
    </row>
    <row r="917" spans="1:38" s="204" customFormat="1" x14ac:dyDescent="0.25">
      <c r="B917" s="287" t="s">
        <v>2272</v>
      </c>
      <c r="C917" s="287" t="s">
        <v>2273</v>
      </c>
      <c r="D917" s="284" t="s">
        <v>4002</v>
      </c>
      <c r="E917" s="274"/>
      <c r="F917" s="274"/>
      <c r="G917" s="283"/>
      <c r="H917" s="266"/>
      <c r="I917" s="274"/>
      <c r="J917" s="281"/>
      <c r="K917" s="281"/>
      <c r="L917" s="488" t="s">
        <v>2275</v>
      </c>
      <c r="M917" s="284" t="s">
        <v>2962</v>
      </c>
      <c r="N917" s="489">
        <f>+R917</f>
        <v>0</v>
      </c>
      <c r="O917" s="489">
        <f>+Z917</f>
        <v>0</v>
      </c>
      <c r="P917" s="271">
        <f>+O917-N917</f>
        <v>0</v>
      </c>
      <c r="Q917" s="520"/>
      <c r="R917" s="354">
        <f>IF(ISERROR(VLOOKUP("SAN"&amp;$C917,ESTR_PREC_SP!$A$2:$G$2000,4,FALSE))=TRUE,0,VLOOKUP("SAN"&amp;$C917,ESTR_PREC_SP!$A$2:$G$2000,4,FALSE))</f>
        <v>0</v>
      </c>
      <c r="S917" s="351"/>
      <c r="T917" s="544"/>
      <c r="U917" s="520"/>
      <c r="V917" s="520"/>
      <c r="W917" s="520"/>
      <c r="X917" s="520"/>
      <c r="Y917" s="520"/>
      <c r="Z917" s="269">
        <f>+R917+S917+U917+V917-X917-Y917+W917+Q917</f>
        <v>0</v>
      </c>
      <c r="AA917" s="534"/>
      <c r="AB917" s="544"/>
      <c r="AC917" s="520"/>
      <c r="AD917" s="520"/>
      <c r="AE917" s="520"/>
      <c r="AF917" s="520"/>
      <c r="AG917" s="526">
        <f>+Z917-SUM(AC917:AF917)</f>
        <v>0</v>
      </c>
      <c r="AH917" s="526">
        <f>+Z917-SUM(AI917:AJ917)</f>
        <v>0</v>
      </c>
      <c r="AI917" s="520"/>
      <c r="AJ917" s="520"/>
    </row>
    <row r="918" spans="1:38" s="204" customFormat="1" x14ac:dyDescent="0.25">
      <c r="B918" s="287" t="s">
        <v>2276</v>
      </c>
      <c r="C918" s="287" t="s">
        <v>2277</v>
      </c>
      <c r="D918" s="284" t="s">
        <v>4003</v>
      </c>
      <c r="E918" s="274"/>
      <c r="F918" s="274"/>
      <c r="G918" s="283"/>
      <c r="H918" s="266"/>
      <c r="I918" s="274"/>
      <c r="J918" s="281"/>
      <c r="K918" s="281"/>
      <c r="L918" s="488" t="s">
        <v>2279</v>
      </c>
      <c r="M918" s="284" t="s">
        <v>2962</v>
      </c>
      <c r="N918" s="489">
        <f>+R918</f>
        <v>0</v>
      </c>
      <c r="O918" s="489">
        <f>+Z918</f>
        <v>0</v>
      </c>
      <c r="P918" s="271">
        <f>+O918-N918</f>
        <v>0</v>
      </c>
      <c r="Q918" s="520"/>
      <c r="R918" s="354">
        <f>IF(ISERROR(VLOOKUP("SAN"&amp;$C918,ESTR_PREC_SP!$A$2:$G$2000,4,FALSE))=TRUE,0,VLOOKUP("SAN"&amp;$C918,ESTR_PREC_SP!$A$2:$G$2000,4,FALSE))</f>
        <v>0</v>
      </c>
      <c r="S918" s="351"/>
      <c r="T918" s="544"/>
      <c r="U918" s="520"/>
      <c r="V918" s="520"/>
      <c r="W918" s="520"/>
      <c r="X918" s="520"/>
      <c r="Y918" s="520"/>
      <c r="Z918" s="269">
        <f>+R918+S918+U918+V918-X918-Y918+W918+Q918</f>
        <v>0</v>
      </c>
      <c r="AA918" s="534"/>
      <c r="AB918" s="544"/>
      <c r="AC918" s="520"/>
      <c r="AD918" s="520"/>
      <c r="AE918" s="520"/>
      <c r="AF918" s="520"/>
      <c r="AG918" s="526">
        <f>+Z918-SUM(AC918:AF918)</f>
        <v>0</v>
      </c>
      <c r="AH918" s="526">
        <f>+Z918-SUM(AI918:AJ918)</f>
        <v>0</v>
      </c>
      <c r="AI918" s="520"/>
      <c r="AJ918" s="520"/>
    </row>
    <row r="919" spans="1:38" s="204" customFormat="1" x14ac:dyDescent="0.25">
      <c r="B919" s="287" t="s">
        <v>2280</v>
      </c>
      <c r="C919" s="287" t="s">
        <v>2281</v>
      </c>
      <c r="D919" s="284" t="s">
        <v>4004</v>
      </c>
      <c r="E919" s="274"/>
      <c r="F919" s="274"/>
      <c r="G919" s="283"/>
      <c r="H919" s="266"/>
      <c r="I919" s="274"/>
      <c r="J919" s="281"/>
      <c r="K919" s="281"/>
      <c r="L919" s="488" t="s">
        <v>2283</v>
      </c>
      <c r="M919" s="284" t="s">
        <v>2962</v>
      </c>
      <c r="N919" s="489">
        <f>+R919</f>
        <v>0</v>
      </c>
      <c r="O919" s="489">
        <f>+Z919</f>
        <v>0</v>
      </c>
      <c r="P919" s="271">
        <f>+O919-N919</f>
        <v>0</v>
      </c>
      <c r="Q919" s="520"/>
      <c r="R919" s="354">
        <f>IF(ISERROR(VLOOKUP("SAN"&amp;$C919,ESTR_PREC_SP!$A$2:$G$2000,4,FALSE))=TRUE,0,VLOOKUP("SAN"&amp;$C919,ESTR_PREC_SP!$A$2:$G$2000,4,FALSE))</f>
        <v>0</v>
      </c>
      <c r="S919" s="351"/>
      <c r="T919" s="544"/>
      <c r="U919" s="520"/>
      <c r="V919" s="520"/>
      <c r="W919" s="520"/>
      <c r="X919" s="520"/>
      <c r="Y919" s="520"/>
      <c r="Z919" s="269">
        <f>+R919+S919+U919+V919-X919-Y919+W919+Q919</f>
        <v>0</v>
      </c>
      <c r="AA919" s="534"/>
      <c r="AB919" s="544"/>
      <c r="AC919" s="520"/>
      <c r="AD919" s="520"/>
      <c r="AE919" s="520"/>
      <c r="AF919" s="520"/>
      <c r="AG919" s="526">
        <f>+Z919-SUM(AC919:AF919)</f>
        <v>0</v>
      </c>
      <c r="AH919" s="526">
        <f>+Z919-SUM(AI919:AJ919)</f>
        <v>0</v>
      </c>
      <c r="AI919" s="520"/>
      <c r="AJ919" s="520"/>
    </row>
    <row r="920" spans="1:38" s="204" customFormat="1" x14ac:dyDescent="0.25">
      <c r="B920" s="287" t="s">
        <v>2284</v>
      </c>
      <c r="C920" s="287" t="s">
        <v>2285</v>
      </c>
      <c r="D920" s="284" t="s">
        <v>4005</v>
      </c>
      <c r="E920" s="274"/>
      <c r="F920" s="274"/>
      <c r="G920" s="283"/>
      <c r="H920" s="266"/>
      <c r="I920" s="274"/>
      <c r="J920" s="281"/>
      <c r="K920" s="281"/>
      <c r="L920" s="488" t="s">
        <v>2287</v>
      </c>
      <c r="M920" s="284" t="s">
        <v>2962</v>
      </c>
      <c r="N920" s="489">
        <f>+R920</f>
        <v>0</v>
      </c>
      <c r="O920" s="489">
        <f>+Z920</f>
        <v>0</v>
      </c>
      <c r="P920" s="271">
        <f>+O920-N920</f>
        <v>0</v>
      </c>
      <c r="Q920" s="520"/>
      <c r="R920" s="354">
        <f>IF(ISERROR(VLOOKUP("SAN"&amp;$C920,ESTR_PREC_SP!$A$2:$G$2000,4,FALSE))=TRUE,0,VLOOKUP("SAN"&amp;$C920,ESTR_PREC_SP!$A$2:$G$2000,4,FALSE))</f>
        <v>0</v>
      </c>
      <c r="S920" s="351"/>
      <c r="T920" s="544"/>
      <c r="U920" s="520"/>
      <c r="V920" s="520"/>
      <c r="W920" s="520"/>
      <c r="X920" s="520"/>
      <c r="Y920" s="520"/>
      <c r="Z920" s="269">
        <f>+R920+S920+U920+V920-X920-Y920+W920+Q920</f>
        <v>0</v>
      </c>
      <c r="AA920" s="534"/>
      <c r="AB920" s="544"/>
      <c r="AC920" s="520"/>
      <c r="AD920" s="520"/>
      <c r="AE920" s="520"/>
      <c r="AF920" s="520"/>
      <c r="AG920" s="526">
        <f>+Z920-SUM(AC920:AF920)</f>
        <v>0</v>
      </c>
      <c r="AH920" s="526">
        <f>+Z920-SUM(AI920:AJ920)</f>
        <v>0</v>
      </c>
      <c r="AI920" s="520"/>
      <c r="AJ920" s="520"/>
    </row>
    <row r="921" spans="1:38" s="204" customFormat="1" x14ac:dyDescent="0.25">
      <c r="B921" s="287" t="s">
        <v>2288</v>
      </c>
      <c r="C921" s="287" t="s">
        <v>2289</v>
      </c>
      <c r="D921" s="284" t="s">
        <v>4006</v>
      </c>
      <c r="E921" s="274"/>
      <c r="F921" s="274"/>
      <c r="G921" s="283"/>
      <c r="H921" s="266"/>
      <c r="I921" s="274"/>
      <c r="J921" s="281"/>
      <c r="K921" s="281"/>
      <c r="L921" s="488" t="s">
        <v>2291</v>
      </c>
      <c r="M921" s="284" t="s">
        <v>2962</v>
      </c>
      <c r="N921" s="489">
        <f>+R921</f>
        <v>0</v>
      </c>
      <c r="O921" s="489">
        <f>+Z921</f>
        <v>1148</v>
      </c>
      <c r="P921" s="271">
        <f>+O921-N921</f>
        <v>1148</v>
      </c>
      <c r="Q921" s="520"/>
      <c r="R921" s="354">
        <f>IF(ISERROR(VLOOKUP("SAN"&amp;$C921,ESTR_PREC_SP!$A$2:$G$2000,4,FALSE))=TRUE,0,VLOOKUP("SAN"&amp;$C921,ESTR_PREC_SP!$A$2:$G$2000,4,FALSE))</f>
        <v>0</v>
      </c>
      <c r="S921" s="351"/>
      <c r="T921" s="544"/>
      <c r="U921" s="520"/>
      <c r="V921" s="520">
        <v>12903</v>
      </c>
      <c r="W921" s="520"/>
      <c r="X921" s="520"/>
      <c r="Y921" s="520">
        <v>11755</v>
      </c>
      <c r="Z921" s="269">
        <f>+R921+S921+U921+V921-X921-Y921+W921+Q921</f>
        <v>1148</v>
      </c>
      <c r="AA921" s="534"/>
      <c r="AB921" s="544"/>
      <c r="AC921" s="520"/>
      <c r="AD921" s="520"/>
      <c r="AE921" s="520"/>
      <c r="AF921" s="520"/>
      <c r="AG921" s="526">
        <f>+Z921-SUM(AC921:AF921)</f>
        <v>1148</v>
      </c>
      <c r="AH921" s="526">
        <f>+Z921-SUM(AI921:AJ921)</f>
        <v>0</v>
      </c>
      <c r="AI921" s="520">
        <v>1148</v>
      </c>
      <c r="AJ921" s="520"/>
    </row>
    <row r="922" spans="1:38" s="204" customFormat="1" x14ac:dyDescent="0.25">
      <c r="B922" s="298"/>
      <c r="C922" s="298"/>
      <c r="D922" s="226"/>
      <c r="E922" s="226"/>
      <c r="F922" s="226"/>
      <c r="G922" s="290"/>
      <c r="H922" s="227"/>
      <c r="I922" s="22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</row>
    <row r="923" spans="1:38" s="204" customFormat="1" x14ac:dyDescent="0.25">
      <c r="B923" s="292" t="s">
        <v>2292</v>
      </c>
      <c r="C923" s="292" t="s">
        <v>2293</v>
      </c>
      <c r="D923" s="247" t="s">
        <v>4007</v>
      </c>
      <c r="E923" s="247"/>
      <c r="F923" s="247"/>
      <c r="G923" s="247"/>
      <c r="H923" s="248"/>
      <c r="I923" s="247"/>
      <c r="J923" s="247"/>
      <c r="K923" s="249"/>
      <c r="L923" s="441" t="s">
        <v>2296</v>
      </c>
      <c r="M923" s="251" t="s">
        <v>2962</v>
      </c>
      <c r="N923" s="252">
        <f>SUM(N927:N938)</f>
        <v>18076651</v>
      </c>
      <c r="O923" s="252">
        <f>SUM(O927:O938)</f>
        <v>18076651</v>
      </c>
      <c r="P923" s="253">
        <f>+O923-N923</f>
        <v>0</v>
      </c>
      <c r="Q923" s="252">
        <f t="shared" ref="Q923:AJ923" si="170">SUM(Q927:Q938)</f>
        <v>0</v>
      </c>
      <c r="R923" s="252">
        <f t="shared" si="170"/>
        <v>18076651</v>
      </c>
      <c r="S923" s="252">
        <f t="shared" si="170"/>
        <v>0</v>
      </c>
      <c r="T923" s="252">
        <f t="shared" si="170"/>
        <v>0</v>
      </c>
      <c r="U923" s="252">
        <f t="shared" si="170"/>
        <v>0</v>
      </c>
      <c r="V923" s="252">
        <f t="shared" si="170"/>
        <v>2000</v>
      </c>
      <c r="W923" s="252">
        <f t="shared" si="170"/>
        <v>0</v>
      </c>
      <c r="X923" s="252">
        <f t="shared" si="170"/>
        <v>0</v>
      </c>
      <c r="Y923" s="252">
        <f t="shared" si="170"/>
        <v>2000</v>
      </c>
      <c r="Z923" s="252">
        <f t="shared" si="170"/>
        <v>18076651</v>
      </c>
      <c r="AA923" s="252">
        <f t="shared" si="170"/>
        <v>0</v>
      </c>
      <c r="AB923" s="252">
        <f t="shared" si="170"/>
        <v>0</v>
      </c>
      <c r="AC923" s="252">
        <f t="shared" si="170"/>
        <v>0</v>
      </c>
      <c r="AD923" s="252">
        <f t="shared" si="170"/>
        <v>0</v>
      </c>
      <c r="AE923" s="252">
        <f t="shared" si="170"/>
        <v>0</v>
      </c>
      <c r="AF923" s="252">
        <f t="shared" si="170"/>
        <v>0</v>
      </c>
      <c r="AG923" s="252">
        <f t="shared" si="170"/>
        <v>18076651</v>
      </c>
      <c r="AH923" s="252">
        <f t="shared" si="170"/>
        <v>18076651</v>
      </c>
      <c r="AI923" s="252">
        <f t="shared" si="170"/>
        <v>0</v>
      </c>
      <c r="AJ923" s="252">
        <f t="shared" si="170"/>
        <v>0</v>
      </c>
    </row>
    <row r="924" spans="1:38" s="204" customFormat="1" x14ac:dyDescent="0.25">
      <c r="B924" s="298"/>
      <c r="C924" s="298"/>
      <c r="D924" s="226"/>
      <c r="E924" s="226"/>
      <c r="F924" s="226"/>
      <c r="G924" s="226"/>
      <c r="H924" s="227"/>
      <c r="I924" s="226"/>
      <c r="J924" s="226"/>
      <c r="K924" s="226"/>
      <c r="L924" s="403"/>
      <c r="M924" s="278"/>
      <c r="N924" s="279"/>
      <c r="O924" s="279"/>
      <c r="P924" s="404"/>
      <c r="Q924" s="211"/>
      <c r="R924" s="279"/>
      <c r="S924" s="211"/>
      <c r="T924" s="211"/>
      <c r="U924" s="211"/>
      <c r="V924" s="211"/>
      <c r="W924" s="211"/>
      <c r="X924" s="211"/>
      <c r="Z924" s="211"/>
      <c r="AA924" s="211"/>
      <c r="AB924" s="211"/>
      <c r="AC924" s="211"/>
      <c r="AD924" s="211"/>
    </row>
    <row r="925" spans="1:38" s="204" customFormat="1" ht="15.75" customHeight="1" x14ac:dyDescent="0.25">
      <c r="B925" s="293"/>
      <c r="C925" s="293"/>
      <c r="D925" s="230"/>
      <c r="E925" s="230"/>
      <c r="F925" s="230"/>
      <c r="G925" s="230"/>
      <c r="H925" s="231"/>
      <c r="I925" s="230"/>
      <c r="J925" s="230"/>
      <c r="K925" s="230"/>
      <c r="L925" s="232"/>
      <c r="M925" s="211"/>
      <c r="N925" s="254"/>
      <c r="O925" s="211"/>
      <c r="P925" s="211"/>
      <c r="Q925" s="211"/>
      <c r="R925" s="211"/>
      <c r="S925" s="211"/>
      <c r="T925" s="211"/>
      <c r="U925" s="910" t="s">
        <v>3495</v>
      </c>
      <c r="V925" s="910"/>
      <c r="W925" s="485"/>
      <c r="X925" s="903" t="s">
        <v>3496</v>
      </c>
      <c r="Y925" s="903"/>
      <c r="Z925" s="211"/>
      <c r="AA925" s="211"/>
      <c r="AB925" s="211"/>
      <c r="AC925" s="904" t="str">
        <f>+AC915</f>
        <v>VALORE DEI DEBITI AL 31/12/2020 PER ANNO DI FORMAZIONE</v>
      </c>
      <c r="AD925" s="904"/>
      <c r="AE925" s="904"/>
      <c r="AF925" s="904"/>
      <c r="AG925" s="904"/>
      <c r="AH925" s="905" t="str">
        <f>+AH915</f>
        <v>Debiti al 31/12/2020 per scadenza</v>
      </c>
      <c r="AI925" s="905"/>
      <c r="AJ925" s="905"/>
    </row>
    <row r="926" spans="1:38" s="204" customFormat="1" ht="51" x14ac:dyDescent="0.25">
      <c r="B926" s="294" t="s">
        <v>2968</v>
      </c>
      <c r="C926" s="294" t="s">
        <v>2969</v>
      </c>
      <c r="D926" s="206" t="s">
        <v>72</v>
      </c>
      <c r="E926" s="206"/>
      <c r="F926" s="206"/>
      <c r="G926" s="207"/>
      <c r="H926" s="207"/>
      <c r="I926" s="207"/>
      <c r="J926" s="207" t="s">
        <v>2957</v>
      </c>
      <c r="K926" s="206" t="s">
        <v>82</v>
      </c>
      <c r="L926" s="431" t="s">
        <v>3670</v>
      </c>
      <c r="M926" s="491"/>
      <c r="N926" s="256" t="str">
        <f>N$15</f>
        <v>Valore netto al 31/12/2019</v>
      </c>
      <c r="O926" s="256" t="str">
        <f>O$15</f>
        <v>Valore netto al 31/12/2020</v>
      </c>
      <c r="P926" s="256" t="str">
        <f>P$15</f>
        <v>Variazione</v>
      </c>
      <c r="Q926" s="262" t="s">
        <v>2971</v>
      </c>
      <c r="R926" s="346" t="s">
        <v>3517</v>
      </c>
      <c r="S926" s="442" t="s">
        <v>2972</v>
      </c>
      <c r="T926" s="486" t="s">
        <v>3995</v>
      </c>
      <c r="U926" s="337" t="s">
        <v>3996</v>
      </c>
      <c r="V926" s="337" t="s">
        <v>3495</v>
      </c>
      <c r="W926" s="262" t="s">
        <v>2975</v>
      </c>
      <c r="X926" s="338" t="s">
        <v>3498</v>
      </c>
      <c r="Y926" s="338" t="s">
        <v>3499</v>
      </c>
      <c r="Z926" s="262" t="s">
        <v>3815</v>
      </c>
      <c r="AA926" s="497" t="s">
        <v>3997</v>
      </c>
      <c r="AB926" s="377" t="s">
        <v>3998</v>
      </c>
      <c r="AC926" s="339" t="s">
        <v>3503</v>
      </c>
      <c r="AD926" s="339" t="s">
        <v>3504</v>
      </c>
      <c r="AE926" s="339" t="s">
        <v>3505</v>
      </c>
      <c r="AF926" s="339" t="s">
        <v>3506</v>
      </c>
      <c r="AG926" s="339" t="s">
        <v>3507</v>
      </c>
      <c r="AH926" s="340" t="s">
        <v>3508</v>
      </c>
      <c r="AI926" s="340" t="s">
        <v>3509</v>
      </c>
      <c r="AJ926" s="340" t="s">
        <v>3510</v>
      </c>
    </row>
    <row r="927" spans="1:38" s="204" customFormat="1" x14ac:dyDescent="0.25">
      <c r="B927" s="287" t="s">
        <v>2297</v>
      </c>
      <c r="C927" s="287" t="s">
        <v>2298</v>
      </c>
      <c r="D927" s="284" t="s">
        <v>4008</v>
      </c>
      <c r="E927" s="274"/>
      <c r="F927" s="274"/>
      <c r="G927" s="283"/>
      <c r="H927" s="266"/>
      <c r="I927" s="274"/>
      <c r="J927" s="281"/>
      <c r="K927" s="281"/>
      <c r="L927" s="488" t="s">
        <v>4009</v>
      </c>
      <c r="M927" s="284" t="s">
        <v>2962</v>
      </c>
      <c r="N927" s="408">
        <f t="shared" ref="N927:N938" si="171">+R927</f>
        <v>0</v>
      </c>
      <c r="O927" s="408">
        <f t="shared" ref="O927:O938" si="172">+Z927</f>
        <v>0</v>
      </c>
      <c r="P927" s="271">
        <f t="shared" ref="P927:P938" si="173">+O927-N927</f>
        <v>0</v>
      </c>
      <c r="Q927" s="520"/>
      <c r="R927" s="354">
        <f>IF(ISERROR(VLOOKUP("SAN"&amp;$C927,ESTR_PREC_SP!$A$2:$G$2000,4,FALSE))=TRUE,0,VLOOKUP("SAN"&amp;$C927,ESTR_PREC_SP!$A$2:$G$2000,4,FALSE))</f>
        <v>0</v>
      </c>
      <c r="S927" s="521"/>
      <c r="T927" s="545"/>
      <c r="U927" s="527"/>
      <c r="V927" s="527"/>
      <c r="W927" s="527"/>
      <c r="X927" s="527"/>
      <c r="Y927" s="527"/>
      <c r="Z927" s="269">
        <f t="shared" ref="Z927:Z938" si="174">+R927+S927+U927+V927-X927-Y927+W927+Q927</f>
        <v>0</v>
      </c>
      <c r="AA927" s="546"/>
      <c r="AB927" s="545"/>
      <c r="AC927" s="520"/>
      <c r="AD927" s="520"/>
      <c r="AE927" s="520"/>
      <c r="AF927" s="520"/>
      <c r="AG927" s="526">
        <f t="shared" ref="AG927:AG938" si="175">+Z927-SUM(AC927:AF927)</f>
        <v>0</v>
      </c>
      <c r="AH927" s="526">
        <f t="shared" ref="AH927:AH938" si="176">+Z927-SUM(AI927:AJ927)</f>
        <v>0</v>
      </c>
      <c r="AI927" s="520"/>
      <c r="AJ927" s="520"/>
    </row>
    <row r="928" spans="1:38" s="204" customFormat="1" x14ac:dyDescent="0.25">
      <c r="A928" s="535" t="s">
        <v>3681</v>
      </c>
      <c r="B928" s="536" t="s">
        <v>2301</v>
      </c>
      <c r="C928" s="536" t="s">
        <v>2302</v>
      </c>
      <c r="D928" s="536"/>
      <c r="E928" s="536"/>
      <c r="F928" s="536"/>
      <c r="G928" s="536"/>
      <c r="H928" s="536"/>
      <c r="I928" s="536"/>
      <c r="J928" s="536"/>
      <c r="K928" s="536"/>
      <c r="L928" s="536" t="s">
        <v>2304</v>
      </c>
      <c r="M928" s="380" t="s">
        <v>2962</v>
      </c>
      <c r="N928" s="547">
        <f t="shared" si="171"/>
        <v>0</v>
      </c>
      <c r="O928" s="547">
        <f t="shared" si="172"/>
        <v>0</v>
      </c>
      <c r="P928" s="547">
        <f t="shared" si="173"/>
        <v>0</v>
      </c>
      <c r="Q928" s="520"/>
      <c r="R928" s="354">
        <f>IF(ISERROR(VLOOKUP("SAN"&amp;$C928,ESTR_PREC_SP!$A$2:$G$2000,4,FALSE))=TRUE,0,VLOOKUP("SAN"&amp;$C928,ESTR_PREC_SP!$A$2:$G$2000,4,FALSE))</f>
        <v>0</v>
      </c>
      <c r="S928" s="521"/>
      <c r="T928" s="545"/>
      <c r="U928" s="527"/>
      <c r="V928" s="527"/>
      <c r="W928" s="527"/>
      <c r="X928" s="527"/>
      <c r="Y928" s="527"/>
      <c r="Z928" s="269">
        <f t="shared" si="174"/>
        <v>0</v>
      </c>
      <c r="AA928" s="546"/>
      <c r="AB928" s="545"/>
      <c r="AC928" s="520"/>
      <c r="AD928" s="520"/>
      <c r="AE928" s="520"/>
      <c r="AF928" s="520"/>
      <c r="AG928" s="526">
        <f t="shared" si="175"/>
        <v>0</v>
      </c>
      <c r="AH928" s="526">
        <f t="shared" si="176"/>
        <v>0</v>
      </c>
      <c r="AI928" s="520"/>
      <c r="AJ928" s="520"/>
      <c r="AK928" s="535"/>
      <c r="AL928" s="535"/>
    </row>
    <row r="929" spans="1:38" s="204" customFormat="1" ht="36.75" customHeight="1" x14ac:dyDescent="0.25">
      <c r="B929" s="287" t="s">
        <v>2305</v>
      </c>
      <c r="C929" s="287" t="s">
        <v>2306</v>
      </c>
      <c r="D929" s="284" t="s">
        <v>4010</v>
      </c>
      <c r="E929" s="274"/>
      <c r="F929" s="274"/>
      <c r="G929" s="283"/>
      <c r="H929" s="326"/>
      <c r="I929" s="274"/>
      <c r="J929" s="281"/>
      <c r="K929" s="281"/>
      <c r="L929" s="488" t="s">
        <v>4011</v>
      </c>
      <c r="M929" s="284" t="s">
        <v>2962</v>
      </c>
      <c r="N929" s="408">
        <f t="shared" si="171"/>
        <v>0</v>
      </c>
      <c r="O929" s="408">
        <f t="shared" si="172"/>
        <v>0</v>
      </c>
      <c r="P929" s="271">
        <f t="shared" si="173"/>
        <v>0</v>
      </c>
      <c r="Q929" s="520"/>
      <c r="R929" s="354">
        <f>IF(ISERROR(VLOOKUP("SAN"&amp;$C929,ESTR_PREC_SP!$A$2:$G$2000,4,FALSE))=TRUE,0,VLOOKUP("SAN"&amp;$C929,ESTR_PREC_SP!$A$2:$G$2000,4,FALSE))</f>
        <v>0</v>
      </c>
      <c r="S929" s="521"/>
      <c r="T929" s="545"/>
      <c r="U929" s="527"/>
      <c r="V929" s="527"/>
      <c r="W929" s="527"/>
      <c r="X929" s="527"/>
      <c r="Y929" s="527"/>
      <c r="Z929" s="269">
        <f t="shared" si="174"/>
        <v>0</v>
      </c>
      <c r="AA929" s="546"/>
      <c r="AB929" s="545"/>
      <c r="AC929" s="520"/>
      <c r="AD929" s="520"/>
      <c r="AE929" s="520"/>
      <c r="AF929" s="520"/>
      <c r="AG929" s="526">
        <f t="shared" si="175"/>
        <v>0</v>
      </c>
      <c r="AH929" s="526">
        <f t="shared" si="176"/>
        <v>0</v>
      </c>
      <c r="AI929" s="520"/>
      <c r="AJ929" s="520"/>
    </row>
    <row r="930" spans="1:38" s="204" customFormat="1" ht="33" customHeight="1" x14ac:dyDescent="0.25">
      <c r="B930" s="287" t="s">
        <v>2309</v>
      </c>
      <c r="C930" s="287" t="s">
        <v>2310</v>
      </c>
      <c r="D930" s="284" t="s">
        <v>4012</v>
      </c>
      <c r="E930" s="274"/>
      <c r="F930" s="274"/>
      <c r="G930" s="283"/>
      <c r="H930" s="326"/>
      <c r="I930" s="274"/>
      <c r="J930" s="281"/>
      <c r="K930" s="281"/>
      <c r="L930" s="488" t="s">
        <v>4013</v>
      </c>
      <c r="M930" s="284" t="s">
        <v>2962</v>
      </c>
      <c r="N930" s="408">
        <f t="shared" si="171"/>
        <v>0</v>
      </c>
      <c r="O930" s="408">
        <f t="shared" si="172"/>
        <v>0</v>
      </c>
      <c r="P930" s="271">
        <f t="shared" si="173"/>
        <v>0</v>
      </c>
      <c r="Q930" s="520"/>
      <c r="R930" s="354">
        <f>IF(ISERROR(VLOOKUP("SAN"&amp;$C930,ESTR_PREC_SP!$A$2:$G$2000,4,FALSE))=TRUE,0,VLOOKUP("SAN"&amp;$C930,ESTR_PREC_SP!$A$2:$G$2000,4,FALSE))</f>
        <v>0</v>
      </c>
      <c r="S930" s="521"/>
      <c r="T930" s="545"/>
      <c r="U930" s="527"/>
      <c r="V930" s="527"/>
      <c r="W930" s="527"/>
      <c r="X930" s="527"/>
      <c r="Y930" s="527"/>
      <c r="Z930" s="269">
        <f t="shared" si="174"/>
        <v>0</v>
      </c>
      <c r="AA930" s="546"/>
      <c r="AB930" s="545"/>
      <c r="AC930" s="520"/>
      <c r="AD930" s="520"/>
      <c r="AE930" s="520"/>
      <c r="AF930" s="520"/>
      <c r="AG930" s="526">
        <f t="shared" si="175"/>
        <v>0</v>
      </c>
      <c r="AH930" s="526">
        <f t="shared" si="176"/>
        <v>0</v>
      </c>
      <c r="AI930" s="520"/>
      <c r="AJ930" s="520"/>
    </row>
    <row r="931" spans="1:38" s="204" customFormat="1" ht="27.75" customHeight="1" x14ac:dyDescent="0.25">
      <c r="A931" s="535" t="s">
        <v>3681</v>
      </c>
      <c r="B931" s="536" t="s">
        <v>2313</v>
      </c>
      <c r="C931" s="536" t="s">
        <v>2314</v>
      </c>
      <c r="D931" s="536"/>
      <c r="E931" s="536"/>
      <c r="F931" s="536"/>
      <c r="G931" s="536"/>
      <c r="H931" s="536"/>
      <c r="I931" s="536"/>
      <c r="J931" s="536"/>
      <c r="K931" s="536"/>
      <c r="L931" s="536" t="s">
        <v>2316</v>
      </c>
      <c r="M931" s="284" t="s">
        <v>2962</v>
      </c>
      <c r="N931" s="408">
        <f t="shared" si="171"/>
        <v>0</v>
      </c>
      <c r="O931" s="408">
        <f t="shared" si="172"/>
        <v>0</v>
      </c>
      <c r="P931" s="271">
        <f t="shared" si="173"/>
        <v>0</v>
      </c>
      <c r="Q931" s="520"/>
      <c r="R931" s="354">
        <f>IF(ISERROR(VLOOKUP("SAN"&amp;$C931,ESTR_PREC_SP!$A$2:$G$2000,4,FALSE))=TRUE,0,VLOOKUP("SAN"&amp;$C931,ESTR_PREC_SP!$A$2:$G$2000,4,FALSE))</f>
        <v>0</v>
      </c>
      <c r="S931" s="521"/>
      <c r="T931" s="545"/>
      <c r="U931" s="527"/>
      <c r="V931" s="527"/>
      <c r="W931" s="527"/>
      <c r="X931" s="527"/>
      <c r="Y931" s="527"/>
      <c r="Z931" s="269">
        <f t="shared" si="174"/>
        <v>0</v>
      </c>
      <c r="AA931" s="546"/>
      <c r="AB931" s="545"/>
      <c r="AC931" s="520"/>
      <c r="AD931" s="520"/>
      <c r="AE931" s="520"/>
      <c r="AF931" s="520"/>
      <c r="AG931" s="526">
        <f t="shared" si="175"/>
        <v>0</v>
      </c>
      <c r="AH931" s="526">
        <f t="shared" si="176"/>
        <v>0</v>
      </c>
      <c r="AI931" s="520"/>
      <c r="AJ931" s="520"/>
      <c r="AK931" s="535"/>
      <c r="AL931" s="535"/>
    </row>
    <row r="932" spans="1:38" s="204" customFormat="1" x14ac:dyDescent="0.25">
      <c r="B932" s="287" t="s">
        <v>2317</v>
      </c>
      <c r="C932" s="287" t="s">
        <v>2318</v>
      </c>
      <c r="D932" s="284" t="s">
        <v>4014</v>
      </c>
      <c r="E932" s="274"/>
      <c r="F932" s="274"/>
      <c r="G932" s="283"/>
      <c r="H932" s="326"/>
      <c r="I932" s="274"/>
      <c r="J932" s="281"/>
      <c r="K932" s="281"/>
      <c r="L932" s="488" t="s">
        <v>4015</v>
      </c>
      <c r="M932" s="284" t="s">
        <v>2962</v>
      </c>
      <c r="N932" s="408">
        <f t="shared" si="171"/>
        <v>18076651</v>
      </c>
      <c r="O932" s="408">
        <f t="shared" si="172"/>
        <v>18076651</v>
      </c>
      <c r="P932" s="271">
        <f t="shared" si="173"/>
        <v>0</v>
      </c>
      <c r="Q932" s="520"/>
      <c r="R932" s="354">
        <f>IF(ISERROR(VLOOKUP("SAN"&amp;$C932,ESTR_PREC_SP!$A$2:$G$2000,4,FALSE))=TRUE,0,VLOOKUP("SAN"&amp;$C932,ESTR_PREC_SP!$A$2:$G$2000,4,FALSE))</f>
        <v>18076651</v>
      </c>
      <c r="S932" s="521"/>
      <c r="T932" s="545"/>
      <c r="U932" s="527"/>
      <c r="V932" s="527"/>
      <c r="W932" s="527"/>
      <c r="X932" s="527"/>
      <c r="Y932" s="527"/>
      <c r="Z932" s="269">
        <f t="shared" si="174"/>
        <v>18076651</v>
      </c>
      <c r="AA932" s="546"/>
      <c r="AB932" s="545"/>
      <c r="AC932" s="520"/>
      <c r="AD932" s="520"/>
      <c r="AE932" s="520"/>
      <c r="AF932" s="520"/>
      <c r="AG932" s="526">
        <f t="shared" si="175"/>
        <v>18076651</v>
      </c>
      <c r="AH932" s="526">
        <f t="shared" si="176"/>
        <v>18076651</v>
      </c>
      <c r="AI932" s="520"/>
      <c r="AJ932" s="520"/>
    </row>
    <row r="933" spans="1:38" s="204" customFormat="1" ht="39" x14ac:dyDescent="0.25">
      <c r="A933" s="535" t="s">
        <v>3681</v>
      </c>
      <c r="B933" s="536" t="s">
        <v>2321</v>
      </c>
      <c r="C933" s="536" t="s">
        <v>2322</v>
      </c>
      <c r="D933" s="536"/>
      <c r="E933" s="536"/>
      <c r="F933" s="536"/>
      <c r="G933" s="536"/>
      <c r="H933" s="536"/>
      <c r="I933" s="536"/>
      <c r="J933" s="536"/>
      <c r="K933" s="536"/>
      <c r="L933" s="536" t="s">
        <v>2324</v>
      </c>
      <c r="M933" s="284" t="s">
        <v>2962</v>
      </c>
      <c r="N933" s="408">
        <f t="shared" si="171"/>
        <v>0</v>
      </c>
      <c r="O933" s="408">
        <f t="shared" si="172"/>
        <v>0</v>
      </c>
      <c r="P933" s="271">
        <f t="shared" si="173"/>
        <v>0</v>
      </c>
      <c r="Q933" s="520"/>
      <c r="R933" s="354">
        <f>IF(ISERROR(VLOOKUP("SAN"&amp;$C933,ESTR_PREC_SP!$A$2:$G$2000,4,FALSE))=TRUE,0,VLOOKUP("SAN"&amp;$C933,ESTR_PREC_SP!$A$2:$G$2000,4,FALSE))</f>
        <v>0</v>
      </c>
      <c r="S933" s="521"/>
      <c r="T933" s="545"/>
      <c r="U933" s="527"/>
      <c r="V933" s="527"/>
      <c r="W933" s="527"/>
      <c r="X933" s="527"/>
      <c r="Y933" s="527"/>
      <c r="Z933" s="269">
        <f t="shared" si="174"/>
        <v>0</v>
      </c>
      <c r="AA933" s="546"/>
      <c r="AB933" s="545"/>
      <c r="AC933" s="520"/>
      <c r="AD933" s="520"/>
      <c r="AE933" s="520"/>
      <c r="AF933" s="520"/>
      <c r="AG933" s="526">
        <f t="shared" si="175"/>
        <v>0</v>
      </c>
      <c r="AH933" s="526">
        <f t="shared" si="176"/>
        <v>0</v>
      </c>
      <c r="AI933" s="520"/>
      <c r="AJ933" s="520"/>
      <c r="AK933" s="535"/>
      <c r="AL933" s="535"/>
    </row>
    <row r="934" spans="1:38" s="204" customFormat="1" x14ac:dyDescent="0.25">
      <c r="A934" s="535" t="s">
        <v>3681</v>
      </c>
      <c r="B934" s="536" t="s">
        <v>2325</v>
      </c>
      <c r="C934" s="536" t="s">
        <v>2326</v>
      </c>
      <c r="D934" s="536"/>
      <c r="E934" s="536"/>
      <c r="F934" s="536"/>
      <c r="G934" s="536"/>
      <c r="H934" s="536"/>
      <c r="I934" s="536"/>
      <c r="J934" s="536"/>
      <c r="K934" s="536"/>
      <c r="L934" s="536" t="s">
        <v>2328</v>
      </c>
      <c r="M934" s="284" t="s">
        <v>2962</v>
      </c>
      <c r="N934" s="408">
        <f t="shared" si="171"/>
        <v>0</v>
      </c>
      <c r="O934" s="408">
        <f t="shared" si="172"/>
        <v>0</v>
      </c>
      <c r="P934" s="271">
        <f t="shared" si="173"/>
        <v>0</v>
      </c>
      <c r="Q934" s="520"/>
      <c r="R934" s="354">
        <f>IF(ISERROR(VLOOKUP("SAN"&amp;$C934,ESTR_PREC_SP!$A$2:$G$2000,4,FALSE))=TRUE,0,VLOOKUP("SAN"&amp;$C934,ESTR_PREC_SP!$A$2:$G$2000,4,FALSE))</f>
        <v>0</v>
      </c>
      <c r="S934" s="521"/>
      <c r="T934" s="545"/>
      <c r="U934" s="527"/>
      <c r="V934" s="527"/>
      <c r="W934" s="527"/>
      <c r="X934" s="527"/>
      <c r="Y934" s="527"/>
      <c r="Z934" s="269">
        <f t="shared" si="174"/>
        <v>0</v>
      </c>
      <c r="AA934" s="546"/>
      <c r="AB934" s="545"/>
      <c r="AC934" s="520"/>
      <c r="AD934" s="520"/>
      <c r="AE934" s="520"/>
      <c r="AF934" s="520"/>
      <c r="AG934" s="526">
        <f t="shared" si="175"/>
        <v>0</v>
      </c>
      <c r="AH934" s="526">
        <f t="shared" si="176"/>
        <v>0</v>
      </c>
      <c r="AI934" s="520"/>
      <c r="AJ934" s="520"/>
      <c r="AK934" s="535"/>
      <c r="AL934" s="535"/>
    </row>
    <row r="935" spans="1:38" s="204" customFormat="1" x14ac:dyDescent="0.25">
      <c r="A935" s="535" t="s">
        <v>3681</v>
      </c>
      <c r="B935" s="536" t="s">
        <v>2329</v>
      </c>
      <c r="C935" s="536" t="s">
        <v>2330</v>
      </c>
      <c r="D935" s="536"/>
      <c r="E935" s="536"/>
      <c r="F935" s="536"/>
      <c r="G935" s="536"/>
      <c r="H935" s="536"/>
      <c r="I935" s="536"/>
      <c r="J935" s="536"/>
      <c r="K935" s="536"/>
      <c r="L935" s="536" t="s">
        <v>2332</v>
      </c>
      <c r="M935" s="284" t="s">
        <v>2962</v>
      </c>
      <c r="N935" s="408">
        <f t="shared" si="171"/>
        <v>0</v>
      </c>
      <c r="O935" s="408">
        <f t="shared" si="172"/>
        <v>0</v>
      </c>
      <c r="P935" s="271">
        <f t="shared" si="173"/>
        <v>0</v>
      </c>
      <c r="Q935" s="520"/>
      <c r="R935" s="354">
        <f>IF(ISERROR(VLOOKUP("SAN"&amp;$C935,ESTR_PREC_SP!$A$2:$G$2000,4,FALSE))=TRUE,0,VLOOKUP("SAN"&amp;$C935,ESTR_PREC_SP!$A$2:$G$2000,4,FALSE))</f>
        <v>0</v>
      </c>
      <c r="S935" s="521"/>
      <c r="T935" s="545"/>
      <c r="U935" s="527"/>
      <c r="V935" s="527"/>
      <c r="W935" s="527"/>
      <c r="X935" s="527"/>
      <c r="Y935" s="527"/>
      <c r="Z935" s="269">
        <f t="shared" si="174"/>
        <v>0</v>
      </c>
      <c r="AA935" s="546"/>
      <c r="AB935" s="545"/>
      <c r="AC935" s="520"/>
      <c r="AD935" s="520"/>
      <c r="AE935" s="520"/>
      <c r="AF935" s="520"/>
      <c r="AG935" s="526">
        <f t="shared" si="175"/>
        <v>0</v>
      </c>
      <c r="AH935" s="526">
        <f t="shared" si="176"/>
        <v>0</v>
      </c>
      <c r="AI935" s="520"/>
      <c r="AJ935" s="520"/>
      <c r="AK935" s="535"/>
      <c r="AL935" s="535"/>
    </row>
    <row r="936" spans="1:38" s="204" customFormat="1" x14ac:dyDescent="0.25">
      <c r="B936" s="287" t="s">
        <v>2333</v>
      </c>
      <c r="C936" s="287" t="s">
        <v>2334</v>
      </c>
      <c r="D936" s="284" t="s">
        <v>4016</v>
      </c>
      <c r="E936" s="274"/>
      <c r="F936" s="274"/>
      <c r="G936" s="283"/>
      <c r="H936" s="326"/>
      <c r="I936" s="274"/>
      <c r="J936" s="281"/>
      <c r="K936" s="281"/>
      <c r="L936" s="488" t="s">
        <v>4017</v>
      </c>
      <c r="M936" s="284" t="s">
        <v>2962</v>
      </c>
      <c r="N936" s="408">
        <f t="shared" si="171"/>
        <v>0</v>
      </c>
      <c r="O936" s="408">
        <f t="shared" si="172"/>
        <v>0</v>
      </c>
      <c r="P936" s="271">
        <f t="shared" si="173"/>
        <v>0</v>
      </c>
      <c r="Q936" s="520"/>
      <c r="R936" s="354">
        <f>IF(ISERROR(VLOOKUP("SAN"&amp;$C936,ESTR_PREC_SP!$A$2:$G$2000,4,FALSE))=TRUE,0,VLOOKUP("SAN"&amp;$C936,ESTR_PREC_SP!$A$2:$G$2000,4,FALSE))</f>
        <v>0</v>
      </c>
      <c r="S936" s="521"/>
      <c r="T936" s="545"/>
      <c r="U936" s="527"/>
      <c r="V936" s="527">
        <v>2000</v>
      </c>
      <c r="W936" s="527"/>
      <c r="X936" s="527"/>
      <c r="Y936" s="527">
        <v>2000</v>
      </c>
      <c r="Z936" s="269">
        <f t="shared" si="174"/>
        <v>0</v>
      </c>
      <c r="AA936" s="546"/>
      <c r="AB936" s="545"/>
      <c r="AC936" s="520"/>
      <c r="AD936" s="520"/>
      <c r="AE936" s="520"/>
      <c r="AF936" s="520"/>
      <c r="AG936" s="526">
        <f t="shared" si="175"/>
        <v>0</v>
      </c>
      <c r="AH936" s="526">
        <f t="shared" si="176"/>
        <v>0</v>
      </c>
      <c r="AI936" s="520"/>
      <c r="AJ936" s="520"/>
    </row>
    <row r="937" spans="1:38" s="204" customFormat="1" x14ac:dyDescent="0.25">
      <c r="B937" s="287" t="s">
        <v>2337</v>
      </c>
      <c r="C937" s="287" t="s">
        <v>2338</v>
      </c>
      <c r="D937" s="284" t="s">
        <v>4018</v>
      </c>
      <c r="E937" s="274"/>
      <c r="F937" s="274"/>
      <c r="G937" s="283"/>
      <c r="H937" s="326"/>
      <c r="I937" s="274"/>
      <c r="J937" s="281"/>
      <c r="K937" s="281"/>
      <c r="L937" s="488" t="s">
        <v>4019</v>
      </c>
      <c r="M937" s="284" t="s">
        <v>2962</v>
      </c>
      <c r="N937" s="408">
        <f t="shared" si="171"/>
        <v>0</v>
      </c>
      <c r="O937" s="408">
        <f t="shared" si="172"/>
        <v>0</v>
      </c>
      <c r="P937" s="271">
        <f t="shared" si="173"/>
        <v>0</v>
      </c>
      <c r="Q937" s="520"/>
      <c r="R937" s="354">
        <f>IF(ISERROR(VLOOKUP("SAN"&amp;$C937,ESTR_PREC_SP!$A$2:$G$2000,4,FALSE))=TRUE,0,VLOOKUP("SAN"&amp;$C937,ESTR_PREC_SP!$A$2:$G$2000,4,FALSE))</f>
        <v>0</v>
      </c>
      <c r="S937" s="521"/>
      <c r="T937" s="545"/>
      <c r="U937" s="527"/>
      <c r="V937" s="527"/>
      <c r="W937" s="527"/>
      <c r="X937" s="527"/>
      <c r="Y937" s="527"/>
      <c r="Z937" s="269">
        <f t="shared" si="174"/>
        <v>0</v>
      </c>
      <c r="AA937" s="546"/>
      <c r="AB937" s="545"/>
      <c r="AC937" s="520"/>
      <c r="AD937" s="520"/>
      <c r="AE937" s="520"/>
      <c r="AF937" s="520"/>
      <c r="AG937" s="526">
        <f t="shared" si="175"/>
        <v>0</v>
      </c>
      <c r="AH937" s="526">
        <f t="shared" si="176"/>
        <v>0</v>
      </c>
      <c r="AI937" s="520"/>
      <c r="AJ937" s="520"/>
    </row>
    <row r="938" spans="1:38" s="204" customFormat="1" x14ac:dyDescent="0.25">
      <c r="B938" s="287" t="s">
        <v>2340</v>
      </c>
      <c r="C938" s="287" t="s">
        <v>2341</v>
      </c>
      <c r="D938" s="284" t="s">
        <v>4020</v>
      </c>
      <c r="E938" s="274"/>
      <c r="F938" s="274"/>
      <c r="G938" s="283"/>
      <c r="H938" s="326"/>
      <c r="I938" s="274"/>
      <c r="J938" s="281"/>
      <c r="K938" s="281"/>
      <c r="L938" s="488" t="s">
        <v>4021</v>
      </c>
      <c r="M938" s="284" t="s">
        <v>2962</v>
      </c>
      <c r="N938" s="408">
        <f t="shared" si="171"/>
        <v>0</v>
      </c>
      <c r="O938" s="408">
        <f t="shared" si="172"/>
        <v>0</v>
      </c>
      <c r="P938" s="271">
        <f t="shared" si="173"/>
        <v>0</v>
      </c>
      <c r="Q938" s="520"/>
      <c r="R938" s="354">
        <f>IF(ISERROR(VLOOKUP("SAN"&amp;$C938,ESTR_PREC_SP!$A$2:$G$2000,4,FALSE))=TRUE,0,VLOOKUP("SAN"&amp;$C938,ESTR_PREC_SP!$A$2:$G$2000,4,FALSE))</f>
        <v>0</v>
      </c>
      <c r="S938" s="521"/>
      <c r="T938" s="545"/>
      <c r="U938" s="527"/>
      <c r="V938" s="527"/>
      <c r="W938" s="527"/>
      <c r="X938" s="527"/>
      <c r="Y938" s="527"/>
      <c r="Z938" s="269">
        <f t="shared" si="174"/>
        <v>0</v>
      </c>
      <c r="AA938" s="546"/>
      <c r="AB938" s="545"/>
      <c r="AC938" s="520"/>
      <c r="AD938" s="520"/>
      <c r="AE938" s="520"/>
      <c r="AF938" s="520"/>
      <c r="AG938" s="526">
        <f t="shared" si="175"/>
        <v>0</v>
      </c>
      <c r="AH938" s="526">
        <f t="shared" si="176"/>
        <v>0</v>
      </c>
      <c r="AI938" s="520"/>
      <c r="AJ938" s="520"/>
    </row>
    <row r="939" spans="1:38" s="204" customFormat="1" x14ac:dyDescent="0.25">
      <c r="B939" s="298"/>
      <c r="C939" s="298"/>
      <c r="D939" s="226"/>
      <c r="E939" s="226"/>
      <c r="F939" s="22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Z939" s="216"/>
      <c r="AA939" s="216"/>
      <c r="AB939" s="216"/>
      <c r="AC939" s="216"/>
      <c r="AD939" s="216"/>
    </row>
    <row r="940" spans="1:38" s="204" customFormat="1" ht="15.75" customHeight="1" x14ac:dyDescent="0.25">
      <c r="B940" s="302"/>
      <c r="C940" s="302"/>
      <c r="D940" s="226"/>
      <c r="E940" s="226"/>
      <c r="F940" s="226"/>
      <c r="G940" s="226"/>
      <c r="H940" s="227"/>
      <c r="I940" s="226"/>
      <c r="J940" s="226"/>
      <c r="K940" s="226"/>
      <c r="L940" s="315"/>
      <c r="M940" s="216"/>
      <c r="N940" s="254"/>
      <c r="O940" s="216"/>
      <c r="P940" s="216"/>
      <c r="Q940" s="216"/>
      <c r="R940" s="211"/>
      <c r="S940" s="211"/>
      <c r="T940" s="911" t="s">
        <v>3495</v>
      </c>
      <c r="U940" s="911"/>
      <c r="V940" s="911"/>
      <c r="W940" s="485"/>
      <c r="X940" s="903" t="s">
        <v>3496</v>
      </c>
      <c r="Y940" s="903"/>
      <c r="Z940" s="211"/>
      <c r="AA940" s="211"/>
      <c r="AB940" s="211"/>
      <c r="AC940" s="904" t="str">
        <f>+AC925</f>
        <v>VALORE DEI DEBITI AL 31/12/2020 PER ANNO DI FORMAZIONE</v>
      </c>
      <c r="AD940" s="904"/>
      <c r="AE940" s="904"/>
      <c r="AF940" s="904"/>
      <c r="AG940" s="904"/>
      <c r="AH940" s="905" t="str">
        <f>+AH925</f>
        <v>Debiti al 31/12/2020 per scadenza</v>
      </c>
      <c r="AI940" s="905"/>
      <c r="AJ940" s="905"/>
    </row>
    <row r="941" spans="1:38" s="204" customFormat="1" ht="51" x14ac:dyDescent="0.25">
      <c r="B941" s="289"/>
      <c r="C941" s="289"/>
      <c r="D941" s="211"/>
      <c r="E941" s="211"/>
      <c r="F941" s="211"/>
      <c r="G941" s="211"/>
      <c r="H941" s="353"/>
      <c r="I941" s="211"/>
      <c r="J941" s="211"/>
      <c r="K941" s="211"/>
      <c r="L941" s="255"/>
      <c r="M941" s="244"/>
      <c r="N941" s="256" t="str">
        <f>N$15</f>
        <v>Valore netto al 31/12/2019</v>
      </c>
      <c r="O941" s="256" t="str">
        <f>O$15</f>
        <v>Valore netto al 31/12/2020</v>
      </c>
      <c r="P941" s="256" t="str">
        <f>P$15</f>
        <v>Variazione</v>
      </c>
      <c r="Q941" s="262" t="s">
        <v>2971</v>
      </c>
      <c r="R941" s="346" t="s">
        <v>3517</v>
      </c>
      <c r="S941" s="442" t="s">
        <v>2972</v>
      </c>
      <c r="T941" s="486" t="s">
        <v>3995</v>
      </c>
      <c r="U941" s="337" t="s">
        <v>3996</v>
      </c>
      <c r="V941" s="337" t="s">
        <v>3495</v>
      </c>
      <c r="W941" s="262" t="s">
        <v>2975</v>
      </c>
      <c r="X941" s="338" t="s">
        <v>3498</v>
      </c>
      <c r="Y941" s="338" t="s">
        <v>3499</v>
      </c>
      <c r="Z941" s="262" t="s">
        <v>3815</v>
      </c>
      <c r="AA941" s="497" t="s">
        <v>3997</v>
      </c>
      <c r="AB941" s="377" t="s">
        <v>3998</v>
      </c>
      <c r="AC941" s="339" t="s">
        <v>3503</v>
      </c>
      <c r="AD941" s="339" t="s">
        <v>3504</v>
      </c>
      <c r="AE941" s="339" t="s">
        <v>3505</v>
      </c>
      <c r="AF941" s="339" t="s">
        <v>3506</v>
      </c>
      <c r="AG941" s="339" t="s">
        <v>3507</v>
      </c>
      <c r="AH941" s="340" t="s">
        <v>3508</v>
      </c>
      <c r="AI941" s="340" t="s">
        <v>3509</v>
      </c>
      <c r="AJ941" s="340" t="s">
        <v>3510</v>
      </c>
    </row>
    <row r="942" spans="1:38" s="204" customFormat="1" x14ac:dyDescent="0.25">
      <c r="B942" s="292" t="s">
        <v>2343</v>
      </c>
      <c r="C942" s="292" t="s">
        <v>2344</v>
      </c>
      <c r="D942" s="247" t="s">
        <v>4022</v>
      </c>
      <c r="E942" s="247"/>
      <c r="F942" s="247"/>
      <c r="G942" s="247"/>
      <c r="H942" s="248"/>
      <c r="I942" s="247"/>
      <c r="J942" s="398"/>
      <c r="K942" s="399"/>
      <c r="L942" s="400" t="s">
        <v>2348</v>
      </c>
      <c r="M942" s="251" t="s">
        <v>2962</v>
      </c>
      <c r="N942" s="410">
        <f>+R942</f>
        <v>513</v>
      </c>
      <c r="O942" s="487">
        <f>+Z942</f>
        <v>15671</v>
      </c>
      <c r="P942" s="498">
        <f>+O942-N942</f>
        <v>15158</v>
      </c>
      <c r="Q942" s="520"/>
      <c r="R942" s="354">
        <f>IF(ISERROR(VLOOKUP("SAN"&amp;$C942,ESTR_PREC_SP!$A$2:$G$2000,4,FALSE))=TRUE,0,VLOOKUP("SAN"&amp;$C942,ESTR_PREC_SP!$A$2:$G$2000,4,FALSE))</f>
        <v>513</v>
      </c>
      <c r="S942" s="351"/>
      <c r="T942" s="527"/>
      <c r="U942" s="527"/>
      <c r="V942" s="527">
        <v>20460</v>
      </c>
      <c r="W942" s="527"/>
      <c r="X942" s="527">
        <v>280</v>
      </c>
      <c r="Y942" s="527">
        <v>5022</v>
      </c>
      <c r="Z942" s="269">
        <f>+R942+S942+U942+V942-X942-Y942+W942+Q942</f>
        <v>15671</v>
      </c>
      <c r="AA942" s="546"/>
      <c r="AB942" s="545"/>
      <c r="AC942" s="520">
        <v>87</v>
      </c>
      <c r="AD942" s="520"/>
      <c r="AE942" s="520"/>
      <c r="AF942" s="520">
        <v>84</v>
      </c>
      <c r="AG942" s="526">
        <f>+Z942-SUM(AC942:AF942)</f>
        <v>15500</v>
      </c>
      <c r="AH942" s="526">
        <f>+Z942-SUM(AI942:AJ942)</f>
        <v>15671</v>
      </c>
      <c r="AI942" s="520"/>
      <c r="AJ942" s="520"/>
    </row>
    <row r="943" spans="1:38" s="204" customFormat="1" x14ac:dyDescent="0.25">
      <c r="B943" s="302"/>
      <c r="C943" s="302"/>
      <c r="D943" s="226"/>
      <c r="E943" s="226"/>
      <c r="F943" s="226"/>
      <c r="G943" s="226"/>
      <c r="H943" s="227"/>
      <c r="I943" s="226"/>
      <c r="J943" s="226"/>
      <c r="K943" s="226"/>
      <c r="L943" s="315"/>
      <c r="M943" s="216"/>
      <c r="N943" s="254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Z943" s="216"/>
      <c r="AA943" s="216"/>
      <c r="AB943" s="216"/>
      <c r="AC943" s="216"/>
      <c r="AD943" s="216"/>
    </row>
    <row r="944" spans="1:38" s="204" customFormat="1" x14ac:dyDescent="0.25">
      <c r="B944" s="292" t="s">
        <v>2349</v>
      </c>
      <c r="C944" s="292" t="s">
        <v>2350</v>
      </c>
      <c r="D944" s="247" t="s">
        <v>4023</v>
      </c>
      <c r="E944" s="247"/>
      <c r="F944" s="247"/>
      <c r="G944" s="247"/>
      <c r="H944" s="248"/>
      <c r="I944" s="247"/>
      <c r="J944" s="247"/>
      <c r="K944" s="249"/>
      <c r="L944" s="441" t="s">
        <v>2353</v>
      </c>
      <c r="M944" s="251" t="s">
        <v>2962</v>
      </c>
      <c r="N944" s="252">
        <f>+N948+N976+N979</f>
        <v>10599074</v>
      </c>
      <c r="O944" s="252">
        <f>+O948+O976+O979</f>
        <v>11209212</v>
      </c>
      <c r="P944" s="253">
        <f>+O944-N944</f>
        <v>610138</v>
      </c>
      <c r="Q944" s="252">
        <f t="shared" ref="Q944:AJ944" si="177">+Q948+Q976+Q979</f>
        <v>0</v>
      </c>
      <c r="R944" s="252">
        <f t="shared" si="177"/>
        <v>10599074</v>
      </c>
      <c r="S944" s="252">
        <f t="shared" si="177"/>
        <v>0</v>
      </c>
      <c r="T944" s="252">
        <f t="shared" si="177"/>
        <v>0</v>
      </c>
      <c r="U944" s="252">
        <f t="shared" si="177"/>
        <v>-31344</v>
      </c>
      <c r="V944" s="252">
        <f t="shared" si="177"/>
        <v>7332548</v>
      </c>
      <c r="W944" s="252">
        <f t="shared" si="177"/>
        <v>0</v>
      </c>
      <c r="X944" s="252">
        <f t="shared" si="177"/>
        <v>4943515</v>
      </c>
      <c r="Y944" s="252">
        <f t="shared" si="177"/>
        <v>1747551</v>
      </c>
      <c r="Z944" s="252">
        <f t="shared" si="177"/>
        <v>11209212</v>
      </c>
      <c r="AA944" s="252">
        <f t="shared" si="177"/>
        <v>1544778</v>
      </c>
      <c r="AB944" s="252">
        <f t="shared" si="177"/>
        <v>0</v>
      </c>
      <c r="AC944" s="252">
        <f t="shared" si="177"/>
        <v>291924</v>
      </c>
      <c r="AD944" s="252">
        <f t="shared" si="177"/>
        <v>21290</v>
      </c>
      <c r="AE944" s="252">
        <f t="shared" si="177"/>
        <v>4293335</v>
      </c>
      <c r="AF944" s="252">
        <f t="shared" si="177"/>
        <v>982893</v>
      </c>
      <c r="AG944" s="252">
        <f t="shared" si="177"/>
        <v>5619770</v>
      </c>
      <c r="AH944" s="252">
        <f t="shared" si="177"/>
        <v>4201207</v>
      </c>
      <c r="AI944" s="252">
        <f t="shared" si="177"/>
        <v>7008005</v>
      </c>
      <c r="AJ944" s="252">
        <f t="shared" si="177"/>
        <v>0</v>
      </c>
    </row>
    <row r="945" spans="2:36" s="204" customFormat="1" x14ac:dyDescent="0.25">
      <c r="B945" s="298"/>
      <c r="C945" s="298"/>
      <c r="D945" s="226"/>
      <c r="E945" s="226"/>
      <c r="F945" s="226"/>
      <c r="G945" s="226"/>
      <c r="H945" s="227"/>
      <c r="I945" s="226"/>
      <c r="J945" s="226"/>
      <c r="K945" s="226"/>
      <c r="L945" s="403"/>
      <c r="M945" s="278"/>
      <c r="N945" s="279"/>
      <c r="O945" s="279"/>
      <c r="P945" s="404"/>
      <c r="Q945" s="216"/>
      <c r="R945" s="279"/>
      <c r="S945" s="216"/>
      <c r="T945" s="216"/>
      <c r="U945" s="216"/>
      <c r="V945" s="216"/>
      <c r="W945" s="216"/>
      <c r="X945" s="216"/>
      <c r="Z945" s="216"/>
      <c r="AA945" s="216"/>
      <c r="AB945" s="216"/>
      <c r="AC945" s="216"/>
      <c r="AD945" s="216"/>
    </row>
    <row r="946" spans="2:36" s="204" customFormat="1" ht="15.75" customHeight="1" x14ac:dyDescent="0.25">
      <c r="B946" s="293"/>
      <c r="C946" s="293"/>
      <c r="D946" s="230"/>
      <c r="E946" s="230"/>
      <c r="F946" s="230"/>
      <c r="G946" s="230"/>
      <c r="H946" s="231"/>
      <c r="I946" s="230"/>
      <c r="J946" s="230"/>
      <c r="K946" s="230"/>
      <c r="L946" s="232"/>
      <c r="M946" s="211"/>
      <c r="N946" s="254"/>
      <c r="O946" s="211"/>
      <c r="P946" s="211"/>
      <c r="Q946" s="216"/>
      <c r="R946" s="211"/>
      <c r="S946" s="211"/>
      <c r="U946" s="910" t="s">
        <v>3495</v>
      </c>
      <c r="V946" s="910"/>
      <c r="W946" s="485"/>
      <c r="X946" s="903" t="s">
        <v>3496</v>
      </c>
      <c r="Y946" s="903"/>
      <c r="Z946" s="211"/>
      <c r="AA946" s="211"/>
      <c r="AB946" s="211"/>
      <c r="AC946" s="904" t="str">
        <f>+AC940</f>
        <v>VALORE DEI DEBITI AL 31/12/2020 PER ANNO DI FORMAZIONE</v>
      </c>
      <c r="AD946" s="904"/>
      <c r="AE946" s="904"/>
      <c r="AF946" s="904"/>
      <c r="AG946" s="904"/>
      <c r="AH946" s="905" t="str">
        <f>+AH940</f>
        <v>Debiti al 31/12/2020 per scadenza</v>
      </c>
      <c r="AI946" s="905"/>
      <c r="AJ946" s="905"/>
    </row>
    <row r="947" spans="2:36" s="204" customFormat="1" ht="51" x14ac:dyDescent="0.25">
      <c r="B947" s="499" t="s">
        <v>2968</v>
      </c>
      <c r="C947" s="499" t="s">
        <v>2969</v>
      </c>
      <c r="D947" s="500" t="s">
        <v>72</v>
      </c>
      <c r="E947" s="500"/>
      <c r="F947" s="500"/>
      <c r="G947" s="501"/>
      <c r="H947" s="501"/>
      <c r="I947" s="501"/>
      <c r="J947" s="501" t="s">
        <v>2957</v>
      </c>
      <c r="K947" s="500" t="s">
        <v>82</v>
      </c>
      <c r="L947" s="431" t="s">
        <v>3670</v>
      </c>
      <c r="M947" s="480"/>
      <c r="N947" s="256" t="str">
        <f>N$15</f>
        <v>Valore netto al 31/12/2019</v>
      </c>
      <c r="O947" s="256" t="str">
        <f>O$15</f>
        <v>Valore netto al 31/12/2020</v>
      </c>
      <c r="P947" s="256" t="str">
        <f>P$15</f>
        <v>Variazione</v>
      </c>
      <c r="Q947" s="262" t="s">
        <v>2971</v>
      </c>
      <c r="R947" s="346" t="s">
        <v>3517</v>
      </c>
      <c r="S947" s="442" t="s">
        <v>2972</v>
      </c>
      <c r="T947" s="486" t="s">
        <v>3995</v>
      </c>
      <c r="U947" s="337" t="s">
        <v>3996</v>
      </c>
      <c r="V947" s="337" t="s">
        <v>3495</v>
      </c>
      <c r="W947" s="262" t="s">
        <v>2975</v>
      </c>
      <c r="X947" s="338" t="s">
        <v>3498</v>
      </c>
      <c r="Y947" s="338" t="s">
        <v>3499</v>
      </c>
      <c r="Z947" s="346" t="s">
        <v>3815</v>
      </c>
      <c r="AA947" s="497" t="s">
        <v>3997</v>
      </c>
      <c r="AB947" s="377" t="s">
        <v>3998</v>
      </c>
      <c r="AC947" s="339" t="s">
        <v>3503</v>
      </c>
      <c r="AD947" s="339" t="s">
        <v>3504</v>
      </c>
      <c r="AE947" s="339" t="s">
        <v>3505</v>
      </c>
      <c r="AF947" s="339" t="s">
        <v>3506</v>
      </c>
      <c r="AG947" s="339" t="s">
        <v>3507</v>
      </c>
      <c r="AH947" s="340" t="s">
        <v>3508</v>
      </c>
      <c r="AI947" s="340" t="s">
        <v>3509</v>
      </c>
      <c r="AJ947" s="340" t="s">
        <v>3510</v>
      </c>
    </row>
    <row r="948" spans="2:36" s="204" customFormat="1" x14ac:dyDescent="0.25">
      <c r="B948" s="287" t="s">
        <v>2354</v>
      </c>
      <c r="C948" s="287" t="s">
        <v>2355</v>
      </c>
      <c r="D948" s="284" t="s">
        <v>4024</v>
      </c>
      <c r="E948" s="274"/>
      <c r="F948" s="437"/>
      <c r="G948" s="437"/>
      <c r="H948" s="437"/>
      <c r="I948" s="437"/>
      <c r="J948" s="437"/>
      <c r="K948" s="437"/>
      <c r="L948" s="295" t="s">
        <v>2356</v>
      </c>
      <c r="M948" s="284" t="s">
        <v>2962</v>
      </c>
      <c r="N948" s="378">
        <f>+N949+N956+N957+N958+N962+N963+N969+N970+N971+N972+N973+N974+N975</f>
        <v>10560835</v>
      </c>
      <c r="O948" s="378">
        <f>+O949+O956+O957+O958+O962+O963+O969+O970+O971+O972+O973+O974+O975</f>
        <v>11201709</v>
      </c>
      <c r="P948" s="378">
        <f>+O948-N948</f>
        <v>640874</v>
      </c>
      <c r="Q948" s="378">
        <f t="shared" ref="Q948:AJ948" si="178">+Q949+Q956+Q957+Q958+Q962+Q963+Q969+Q970+Q971+Q972+Q973+Q974+Q975</f>
        <v>0</v>
      </c>
      <c r="R948" s="378">
        <f t="shared" si="178"/>
        <v>10560835</v>
      </c>
      <c r="S948" s="378">
        <f t="shared" si="178"/>
        <v>0</v>
      </c>
      <c r="T948" s="378">
        <f t="shared" si="178"/>
        <v>0</v>
      </c>
      <c r="U948" s="378">
        <f t="shared" si="178"/>
        <v>-31344</v>
      </c>
      <c r="V948" s="378">
        <f t="shared" si="178"/>
        <v>7309709</v>
      </c>
      <c r="W948" s="378">
        <f t="shared" si="178"/>
        <v>0</v>
      </c>
      <c r="X948" s="378">
        <f t="shared" si="178"/>
        <v>4912780</v>
      </c>
      <c r="Y948" s="378">
        <f t="shared" si="178"/>
        <v>1724711</v>
      </c>
      <c r="Z948" s="378">
        <f t="shared" si="178"/>
        <v>11201709</v>
      </c>
      <c r="AA948" s="378">
        <f t="shared" si="178"/>
        <v>1542009</v>
      </c>
      <c r="AB948" s="378">
        <f t="shared" si="178"/>
        <v>0</v>
      </c>
      <c r="AC948" s="378">
        <f t="shared" si="178"/>
        <v>291633</v>
      </c>
      <c r="AD948" s="378">
        <f t="shared" si="178"/>
        <v>21290</v>
      </c>
      <c r="AE948" s="378">
        <f t="shared" si="178"/>
        <v>4293276</v>
      </c>
      <c r="AF948" s="378">
        <f t="shared" si="178"/>
        <v>982893</v>
      </c>
      <c r="AG948" s="378">
        <f t="shared" si="178"/>
        <v>5612617</v>
      </c>
      <c r="AH948" s="378">
        <f t="shared" si="178"/>
        <v>4193704</v>
      </c>
      <c r="AI948" s="378">
        <f t="shared" si="178"/>
        <v>7008005</v>
      </c>
      <c r="AJ948" s="378">
        <f t="shared" si="178"/>
        <v>0</v>
      </c>
    </row>
    <row r="949" spans="2:36" s="204" customFormat="1" x14ac:dyDescent="0.25">
      <c r="B949" s="287" t="s">
        <v>2357</v>
      </c>
      <c r="C949" s="287" t="s">
        <v>2358</v>
      </c>
      <c r="D949" s="284" t="s">
        <v>4025</v>
      </c>
      <c r="E949" s="274"/>
      <c r="F949" s="437"/>
      <c r="G949" s="437"/>
      <c r="H949" s="437"/>
      <c r="I949" s="437"/>
      <c r="J949" s="437"/>
      <c r="K949" s="437"/>
      <c r="L949" s="379" t="s">
        <v>2360</v>
      </c>
      <c r="M949" s="284" t="s">
        <v>2962</v>
      </c>
      <c r="N949" s="378">
        <f>SUM(N950:N955)</f>
        <v>0</v>
      </c>
      <c r="O949" s="378">
        <f>SUM(O950:O955)</f>
        <v>0</v>
      </c>
      <c r="P949" s="378">
        <f>SUM(P950:P955)</f>
        <v>0</v>
      </c>
      <c r="Q949" s="378">
        <f>SUM(Q950:Q954)</f>
        <v>0</v>
      </c>
      <c r="R949" s="378">
        <f t="shared" ref="R949:AJ949" si="179">SUM(R950:R955)</f>
        <v>0</v>
      </c>
      <c r="S949" s="378">
        <f t="shared" si="179"/>
        <v>0</v>
      </c>
      <c r="T949" s="378">
        <f t="shared" si="179"/>
        <v>0</v>
      </c>
      <c r="U949" s="378">
        <f t="shared" si="179"/>
        <v>0</v>
      </c>
      <c r="V949" s="378">
        <f t="shared" si="179"/>
        <v>0</v>
      </c>
      <c r="W949" s="378">
        <f t="shared" si="179"/>
        <v>0</v>
      </c>
      <c r="X949" s="378">
        <f t="shared" si="179"/>
        <v>0</v>
      </c>
      <c r="Y949" s="378">
        <f t="shared" si="179"/>
        <v>0</v>
      </c>
      <c r="Z949" s="378">
        <f t="shared" si="179"/>
        <v>0</v>
      </c>
      <c r="AA949" s="378">
        <f t="shared" si="179"/>
        <v>0</v>
      </c>
      <c r="AB949" s="378">
        <f t="shared" si="179"/>
        <v>0</v>
      </c>
      <c r="AC949" s="378">
        <f t="shared" si="179"/>
        <v>0</v>
      </c>
      <c r="AD949" s="378">
        <f t="shared" si="179"/>
        <v>0</v>
      </c>
      <c r="AE949" s="378">
        <f t="shared" si="179"/>
        <v>0</v>
      </c>
      <c r="AF949" s="378">
        <f t="shared" si="179"/>
        <v>0</v>
      </c>
      <c r="AG949" s="378">
        <f t="shared" si="179"/>
        <v>0</v>
      </c>
      <c r="AH949" s="378">
        <f t="shared" si="179"/>
        <v>0</v>
      </c>
      <c r="AI949" s="378">
        <f t="shared" si="179"/>
        <v>0</v>
      </c>
      <c r="AJ949" s="378">
        <f t="shared" si="179"/>
        <v>0</v>
      </c>
    </row>
    <row r="950" spans="2:36" s="204" customFormat="1" hidden="1" x14ac:dyDescent="0.25">
      <c r="B950" s="287" t="s">
        <v>2361</v>
      </c>
      <c r="C950" s="287" t="s">
        <v>2362</v>
      </c>
      <c r="D950" s="284" t="s">
        <v>4026</v>
      </c>
      <c r="E950" s="274"/>
      <c r="F950" s="437"/>
      <c r="G950" s="437"/>
      <c r="H950" s="437"/>
      <c r="I950" s="437"/>
      <c r="J950" s="437"/>
      <c r="K950" s="437"/>
      <c r="L950" s="97" t="s">
        <v>2364</v>
      </c>
      <c r="M950" s="284" t="s">
        <v>2962</v>
      </c>
      <c r="N950" s="408">
        <f t="shared" ref="N950:N957" si="180">+R950</f>
        <v>0</v>
      </c>
      <c r="O950" s="408">
        <f t="shared" ref="O950:O957" si="181">+Z950</f>
        <v>0</v>
      </c>
      <c r="P950" s="271">
        <f t="shared" ref="P950:P984" si="182">+O950-N950</f>
        <v>0</v>
      </c>
      <c r="Q950" s="545"/>
      <c r="R950" s="354">
        <f>IF(ISERROR(VLOOKUP("SAN"&amp;$C950,ESTR_PREC_SP!$A$2:$G$2000,4,FALSE))=TRUE,0,VLOOKUP("SAN"&amp;$C950,ESTR_PREC_SP!$A$2:$G$2000,4,FALSE))</f>
        <v>0</v>
      </c>
      <c r="S950" s="545"/>
      <c r="T950" s="527"/>
      <c r="U950" s="527"/>
      <c r="V950" s="527"/>
      <c r="W950" s="527"/>
      <c r="X950" s="527"/>
      <c r="Y950" s="527"/>
      <c r="Z950" s="529">
        <f>+R950+T950+V950-X950-Y950+W950</f>
        <v>0</v>
      </c>
      <c r="AA950" s="546"/>
      <c r="AB950" s="545"/>
      <c r="AC950" s="520"/>
      <c r="AD950" s="520"/>
      <c r="AE950" s="520"/>
      <c r="AF950" s="520"/>
      <c r="AG950" s="526">
        <f t="shared" ref="AG950:AG962" si="183">+Z950-SUM(AC950:AF950)</f>
        <v>0</v>
      </c>
      <c r="AH950" s="526">
        <f t="shared" ref="AH950:AH962" si="184">+Z950-SUM(AI950:AJ950)</f>
        <v>0</v>
      </c>
      <c r="AI950" s="520"/>
      <c r="AJ950" s="520"/>
    </row>
    <row r="951" spans="2:36" s="204" customFormat="1" x14ac:dyDescent="0.25">
      <c r="B951" s="287" t="s">
        <v>2365</v>
      </c>
      <c r="C951" s="287" t="s">
        <v>2366</v>
      </c>
      <c r="D951" s="284" t="s">
        <v>4027</v>
      </c>
      <c r="E951" s="274"/>
      <c r="F951" s="437"/>
      <c r="G951" s="437"/>
      <c r="H951" s="437"/>
      <c r="I951" s="437"/>
      <c r="J951" s="437"/>
      <c r="K951" s="437"/>
      <c r="L951" s="97" t="s">
        <v>4028</v>
      </c>
      <c r="M951" s="284" t="s">
        <v>2962</v>
      </c>
      <c r="N951" s="408">
        <f t="shared" si="180"/>
        <v>0</v>
      </c>
      <c r="O951" s="408">
        <f t="shared" si="181"/>
        <v>0</v>
      </c>
      <c r="P951" s="271">
        <f t="shared" si="182"/>
        <v>0</v>
      </c>
      <c r="Q951" s="527"/>
      <c r="R951" s="354">
        <f>IF(ISERROR(VLOOKUP("SAN"&amp;$C951,ESTR_PREC_SP!$A$2:$G$2000,4,FALSE))=TRUE,0,VLOOKUP("SAN"&amp;$C951,ESTR_PREC_SP!$A$2:$G$2000,4,FALSE))</f>
        <v>0</v>
      </c>
      <c r="S951" s="521"/>
      <c r="T951" s="545"/>
      <c r="U951" s="527"/>
      <c r="V951" s="527"/>
      <c r="W951" s="527"/>
      <c r="X951" s="527"/>
      <c r="Y951" s="527"/>
      <c r="Z951" s="269">
        <f>+R951+S951+U951+V951-X951-Y951+W951+Q951</f>
        <v>0</v>
      </c>
      <c r="AA951" s="546"/>
      <c r="AB951" s="545"/>
      <c r="AC951" s="520"/>
      <c r="AD951" s="520"/>
      <c r="AE951" s="520"/>
      <c r="AF951" s="520"/>
      <c r="AG951" s="526">
        <f t="shared" si="183"/>
        <v>0</v>
      </c>
      <c r="AH951" s="526">
        <f t="shared" si="184"/>
        <v>0</v>
      </c>
      <c r="AI951" s="520"/>
      <c r="AJ951" s="520"/>
    </row>
    <row r="952" spans="2:36" s="204" customFormat="1" hidden="1" x14ac:dyDescent="0.25">
      <c r="B952" s="287" t="s">
        <v>2368</v>
      </c>
      <c r="C952" s="287" t="s">
        <v>2369</v>
      </c>
      <c r="D952" s="284" t="s">
        <v>4029</v>
      </c>
      <c r="E952" s="274"/>
      <c r="F952" s="437"/>
      <c r="G952" s="437"/>
      <c r="H952" s="437"/>
      <c r="I952" s="437"/>
      <c r="J952" s="437"/>
      <c r="K952" s="437"/>
      <c r="L952" s="97" t="s">
        <v>2370</v>
      </c>
      <c r="M952" s="284" t="s">
        <v>2962</v>
      </c>
      <c r="N952" s="408">
        <f t="shared" si="180"/>
        <v>0</v>
      </c>
      <c r="O952" s="408">
        <f t="shared" si="181"/>
        <v>0</v>
      </c>
      <c r="P952" s="271">
        <f t="shared" si="182"/>
        <v>0</v>
      </c>
      <c r="Q952" s="527"/>
      <c r="R952" s="354">
        <f>IF(ISERROR(VLOOKUP("SAN"&amp;$C952,ESTR_PREC_SP!$A$2:$G$2000,4,FALSE))=TRUE,0,VLOOKUP("SAN"&amp;$C952,ESTR_PREC_SP!$A$2:$G$2000,4,FALSE))</f>
        <v>0</v>
      </c>
      <c r="S952" s="521"/>
      <c r="T952" s="545"/>
      <c r="U952" s="527"/>
      <c r="V952" s="527"/>
      <c r="W952" s="527"/>
      <c r="X952" s="527"/>
      <c r="Y952" s="527"/>
      <c r="Z952" s="529">
        <f>+R952+T952+V952-X952-Y952+W952</f>
        <v>0</v>
      </c>
      <c r="AA952" s="546"/>
      <c r="AB952" s="545"/>
      <c r="AC952" s="520"/>
      <c r="AD952" s="520"/>
      <c r="AE952" s="520"/>
      <c r="AF952" s="520"/>
      <c r="AG952" s="526">
        <f t="shared" si="183"/>
        <v>0</v>
      </c>
      <c r="AH952" s="526">
        <f t="shared" si="184"/>
        <v>0</v>
      </c>
      <c r="AI952" s="520"/>
      <c r="AJ952" s="520"/>
    </row>
    <row r="953" spans="2:36" s="204" customFormat="1" x14ac:dyDescent="0.25">
      <c r="B953" s="287" t="s">
        <v>2371</v>
      </c>
      <c r="C953" s="287" t="s">
        <v>2372</v>
      </c>
      <c r="D953" s="284" t="s">
        <v>4030</v>
      </c>
      <c r="E953" s="274"/>
      <c r="F953" s="437"/>
      <c r="G953" s="437"/>
      <c r="H953" s="437"/>
      <c r="I953" s="437"/>
      <c r="J953" s="437"/>
      <c r="K953" s="437"/>
      <c r="L953" s="97" t="s">
        <v>4031</v>
      </c>
      <c r="M953" s="284" t="s">
        <v>2962</v>
      </c>
      <c r="N953" s="408">
        <f t="shared" si="180"/>
        <v>0</v>
      </c>
      <c r="O953" s="408">
        <f t="shared" si="181"/>
        <v>0</v>
      </c>
      <c r="P953" s="271">
        <f t="shared" si="182"/>
        <v>0</v>
      </c>
      <c r="Q953" s="527"/>
      <c r="R953" s="354">
        <f>IF(ISERROR(VLOOKUP("SAN"&amp;$C953,ESTR_PREC_SP!$A$2:$G$2000,4,FALSE))=TRUE,0,VLOOKUP("SAN"&amp;$C953,ESTR_PREC_SP!$A$2:$G$2000,4,FALSE))</f>
        <v>0</v>
      </c>
      <c r="S953" s="521"/>
      <c r="T953" s="545"/>
      <c r="U953" s="527"/>
      <c r="V953" s="527"/>
      <c r="W953" s="527"/>
      <c r="X953" s="527"/>
      <c r="Y953" s="527"/>
      <c r="Z953" s="269">
        <f>+R953+S953+U953+V953-X953-Y953+W953+Q953</f>
        <v>0</v>
      </c>
      <c r="AA953" s="546"/>
      <c r="AB953" s="545"/>
      <c r="AC953" s="520"/>
      <c r="AD953" s="520"/>
      <c r="AE953" s="520"/>
      <c r="AF953" s="520"/>
      <c r="AG953" s="526">
        <f t="shared" si="183"/>
        <v>0</v>
      </c>
      <c r="AH953" s="526">
        <f t="shared" si="184"/>
        <v>0</v>
      </c>
      <c r="AI953" s="520"/>
      <c r="AJ953" s="520"/>
    </row>
    <row r="954" spans="2:36" s="204" customFormat="1" ht="25.5" x14ac:dyDescent="0.25">
      <c r="B954" s="287" t="s">
        <v>2374</v>
      </c>
      <c r="C954" s="287" t="s">
        <v>2375</v>
      </c>
      <c r="D954" s="284" t="s">
        <v>4032</v>
      </c>
      <c r="E954" s="274"/>
      <c r="F954" s="437"/>
      <c r="G954" s="437"/>
      <c r="H954" s="437"/>
      <c r="I954" s="437"/>
      <c r="J954" s="437"/>
      <c r="K954" s="437"/>
      <c r="L954" s="97" t="s">
        <v>4033</v>
      </c>
      <c r="M954" s="284" t="s">
        <v>2962</v>
      </c>
      <c r="N954" s="408">
        <f t="shared" si="180"/>
        <v>0</v>
      </c>
      <c r="O954" s="408">
        <f t="shared" si="181"/>
        <v>0</v>
      </c>
      <c r="P954" s="271">
        <f t="shared" si="182"/>
        <v>0</v>
      </c>
      <c r="Q954" s="527"/>
      <c r="R954" s="354">
        <f>IF(ISERROR(VLOOKUP("SAN"&amp;$C954,ESTR_PREC_SP!$A$2:$G$2000,4,FALSE))=TRUE,0,VLOOKUP("SAN"&amp;$C954,ESTR_PREC_SP!$A$2:$G$2000,4,FALSE))</f>
        <v>0</v>
      </c>
      <c r="S954" s="521"/>
      <c r="T954" s="545"/>
      <c r="U954" s="527"/>
      <c r="V954" s="527"/>
      <c r="W954" s="527"/>
      <c r="X954" s="527"/>
      <c r="Y954" s="527"/>
      <c r="Z954" s="269">
        <f>+R954+S954+U954+V954-X954-Y954+W954+Q954</f>
        <v>0</v>
      </c>
      <c r="AA954" s="546"/>
      <c r="AB954" s="545"/>
      <c r="AC954" s="520"/>
      <c r="AD954" s="520"/>
      <c r="AE954" s="520"/>
      <c r="AF954" s="520"/>
      <c r="AG954" s="526">
        <f t="shared" si="183"/>
        <v>0</v>
      </c>
      <c r="AH954" s="526">
        <f t="shared" si="184"/>
        <v>0</v>
      </c>
      <c r="AI954" s="520"/>
      <c r="AJ954" s="520"/>
    </row>
    <row r="955" spans="2:36" s="204" customFormat="1" ht="25.5" x14ac:dyDescent="0.25">
      <c r="B955" s="246" t="s">
        <v>2377</v>
      </c>
      <c r="C955" s="287" t="s">
        <v>2378</v>
      </c>
      <c r="D955" s="284"/>
      <c r="E955" s="274"/>
      <c r="F955" s="437"/>
      <c r="G955" s="437"/>
      <c r="H955" s="437"/>
      <c r="I955" s="437"/>
      <c r="J955" s="437"/>
      <c r="K955" s="437"/>
      <c r="L955" s="97" t="s">
        <v>2379</v>
      </c>
      <c r="M955" s="284" t="s">
        <v>2962</v>
      </c>
      <c r="N955" s="408">
        <f t="shared" si="180"/>
        <v>0</v>
      </c>
      <c r="O955" s="408">
        <f t="shared" si="181"/>
        <v>0</v>
      </c>
      <c r="P955" s="271">
        <f t="shared" si="182"/>
        <v>0</v>
      </c>
      <c r="Q955" s="527"/>
      <c r="R955" s="354">
        <f>IF(ISERROR(VLOOKUP("SAN"&amp;$C955,ESTR_PREC_SP!$A$2:$G$2000,4,FALSE))=TRUE,0,VLOOKUP("SAN"&amp;$C955,ESTR_PREC_SP!$A$2:$G$2000,4,FALSE))</f>
        <v>0</v>
      </c>
      <c r="S955" s="521"/>
      <c r="T955" s="545"/>
      <c r="U955" s="527"/>
      <c r="V955" s="527"/>
      <c r="W955" s="527"/>
      <c r="X955" s="527"/>
      <c r="Y955" s="527"/>
      <c r="Z955" s="269">
        <f>+R955+S955+U955+V955-X955-Y955+W955+Q955</f>
        <v>0</v>
      </c>
      <c r="AA955" s="546"/>
      <c r="AB955" s="545"/>
      <c r="AC955" s="520"/>
      <c r="AD955" s="520"/>
      <c r="AE955" s="520"/>
      <c r="AF955" s="520"/>
      <c r="AG955" s="526">
        <f t="shared" si="183"/>
        <v>0</v>
      </c>
      <c r="AH955" s="526">
        <f t="shared" si="184"/>
        <v>0</v>
      </c>
      <c r="AI955" s="520"/>
      <c r="AJ955" s="520"/>
    </row>
    <row r="956" spans="2:36" s="204" customFormat="1" ht="25.5" x14ac:dyDescent="0.25">
      <c r="B956" s="287" t="s">
        <v>2380</v>
      </c>
      <c r="C956" s="287" t="s">
        <v>2381</v>
      </c>
      <c r="D956" s="284" t="s">
        <v>4034</v>
      </c>
      <c r="E956" s="274"/>
      <c r="F956" s="437"/>
      <c r="G956" s="437"/>
      <c r="H956" s="437"/>
      <c r="I956" s="437"/>
      <c r="J956" s="437"/>
      <c r="K956" s="437"/>
      <c r="L956" s="379" t="s">
        <v>2384</v>
      </c>
      <c r="M956" s="284" t="s">
        <v>2962</v>
      </c>
      <c r="N956" s="408">
        <f t="shared" si="180"/>
        <v>0</v>
      </c>
      <c r="O956" s="408">
        <f t="shared" si="181"/>
        <v>0</v>
      </c>
      <c r="P956" s="271">
        <f t="shared" si="182"/>
        <v>0</v>
      </c>
      <c r="Q956" s="527"/>
      <c r="R956" s="354">
        <f>IF(ISERROR(VLOOKUP("SAN"&amp;$C956,ESTR_PREC_SP!$A$2:$G$2000,4,FALSE))=TRUE,0,VLOOKUP("SAN"&amp;$C956,ESTR_PREC_SP!$A$2:$G$2000,4,FALSE))</f>
        <v>0</v>
      </c>
      <c r="S956" s="521"/>
      <c r="T956" s="545"/>
      <c r="U956" s="527"/>
      <c r="V956" s="527"/>
      <c r="W956" s="527"/>
      <c r="X956" s="527"/>
      <c r="Y956" s="527"/>
      <c r="Z956" s="269">
        <f>+R956+S956+U956+V956-X956-Y956+W956+Q956</f>
        <v>0</v>
      </c>
      <c r="AA956" s="546"/>
      <c r="AB956" s="545"/>
      <c r="AC956" s="520"/>
      <c r="AD956" s="520"/>
      <c r="AE956" s="520"/>
      <c r="AF956" s="520"/>
      <c r="AG956" s="526">
        <f t="shared" si="183"/>
        <v>0</v>
      </c>
      <c r="AH956" s="526">
        <f t="shared" si="184"/>
        <v>0</v>
      </c>
      <c r="AI956" s="520"/>
      <c r="AJ956" s="520"/>
    </row>
    <row r="957" spans="2:36" s="204" customFormat="1" ht="25.5" x14ac:dyDescent="0.25">
      <c r="B957" s="287" t="s">
        <v>2385</v>
      </c>
      <c r="C957" s="287" t="s">
        <v>2386</v>
      </c>
      <c r="D957" s="284" t="s">
        <v>4035</v>
      </c>
      <c r="E957" s="274"/>
      <c r="F957" s="437"/>
      <c r="G957" s="437"/>
      <c r="H957" s="437"/>
      <c r="I957" s="437"/>
      <c r="J957" s="437"/>
      <c r="K957" s="437"/>
      <c r="L957" s="379" t="s">
        <v>2389</v>
      </c>
      <c r="M957" s="284" t="s">
        <v>2962</v>
      </c>
      <c r="N957" s="408">
        <f t="shared" si="180"/>
        <v>0</v>
      </c>
      <c r="O957" s="408">
        <f t="shared" si="181"/>
        <v>0</v>
      </c>
      <c r="P957" s="271">
        <f t="shared" si="182"/>
        <v>0</v>
      </c>
      <c r="Q957" s="527"/>
      <c r="R957" s="354">
        <f>IF(ISERROR(VLOOKUP("SAN"&amp;$C957,ESTR_PREC_SP!$A$2:$G$2000,4,FALSE))=TRUE,0,VLOOKUP("SAN"&amp;$C957,ESTR_PREC_SP!$A$2:$G$2000,4,FALSE))</f>
        <v>0</v>
      </c>
      <c r="S957" s="521"/>
      <c r="T957" s="545"/>
      <c r="U957" s="527"/>
      <c r="V957" s="527"/>
      <c r="W957" s="527"/>
      <c r="X957" s="527"/>
      <c r="Y957" s="527"/>
      <c r="Z957" s="269">
        <f>+R957+S957+U957+V957-X957-Y957+W957+Q957</f>
        <v>0</v>
      </c>
      <c r="AA957" s="546"/>
      <c r="AB957" s="545"/>
      <c r="AC957" s="520"/>
      <c r="AD957" s="520"/>
      <c r="AE957" s="520"/>
      <c r="AF957" s="520"/>
      <c r="AG957" s="526">
        <f t="shared" si="183"/>
        <v>0</v>
      </c>
      <c r="AH957" s="526">
        <f t="shared" si="184"/>
        <v>0</v>
      </c>
      <c r="AI957" s="520"/>
      <c r="AJ957" s="520"/>
    </row>
    <row r="958" spans="2:36" s="204" customFormat="1" ht="25.5" x14ac:dyDescent="0.25">
      <c r="B958" s="287" t="s">
        <v>2390</v>
      </c>
      <c r="C958" s="287" t="s">
        <v>2391</v>
      </c>
      <c r="D958" s="284" t="s">
        <v>4036</v>
      </c>
      <c r="E958" s="274"/>
      <c r="F958" s="437"/>
      <c r="G958" s="437"/>
      <c r="H958" s="437"/>
      <c r="I958" s="437"/>
      <c r="J958" s="437"/>
      <c r="K958" s="437"/>
      <c r="L958" s="379" t="s">
        <v>2393</v>
      </c>
      <c r="M958" s="284" t="s">
        <v>2962</v>
      </c>
      <c r="N958" s="378">
        <f>SUM(N959:N961)</f>
        <v>4157082</v>
      </c>
      <c r="O958" s="378">
        <f>SUM(O959:O961)</f>
        <v>4157082</v>
      </c>
      <c r="P958" s="378">
        <f t="shared" si="182"/>
        <v>0</v>
      </c>
      <c r="Q958" s="378">
        <f t="shared" ref="Q958:AF958" si="185">SUM(Q959:Q961)</f>
        <v>0</v>
      </c>
      <c r="R958" s="378">
        <f t="shared" si="185"/>
        <v>4157082</v>
      </c>
      <c r="S958" s="378">
        <f t="shared" si="185"/>
        <v>0</v>
      </c>
      <c r="T958" s="378">
        <f t="shared" si="185"/>
        <v>0</v>
      </c>
      <c r="U958" s="378">
        <f t="shared" si="185"/>
        <v>0</v>
      </c>
      <c r="V958" s="378">
        <f t="shared" si="185"/>
        <v>0</v>
      </c>
      <c r="W958" s="378">
        <f t="shared" si="185"/>
        <v>0</v>
      </c>
      <c r="X958" s="378">
        <f t="shared" si="185"/>
        <v>0</v>
      </c>
      <c r="Y958" s="378">
        <f t="shared" si="185"/>
        <v>0</v>
      </c>
      <c r="Z958" s="378">
        <f t="shared" si="185"/>
        <v>4157082</v>
      </c>
      <c r="AA958" s="378">
        <f t="shared" si="185"/>
        <v>0</v>
      </c>
      <c r="AB958" s="378">
        <f t="shared" si="185"/>
        <v>0</v>
      </c>
      <c r="AC958" s="378">
        <f t="shared" si="185"/>
        <v>0</v>
      </c>
      <c r="AD958" s="378">
        <f t="shared" si="185"/>
        <v>0</v>
      </c>
      <c r="AE958" s="378">
        <f t="shared" si="185"/>
        <v>4157082</v>
      </c>
      <c r="AF958" s="378">
        <f t="shared" si="185"/>
        <v>0</v>
      </c>
      <c r="AG958" s="537">
        <f t="shared" si="183"/>
        <v>0</v>
      </c>
      <c r="AH958" s="537">
        <f t="shared" si="184"/>
        <v>4157082</v>
      </c>
      <c r="AI958" s="378">
        <f>SUM(AI959:AI961)</f>
        <v>0</v>
      </c>
      <c r="AJ958" s="378">
        <f>SUM(AJ959:AJ961)</f>
        <v>0</v>
      </c>
    </row>
    <row r="959" spans="2:36" s="204" customFormat="1" ht="15" hidden="1" customHeight="1" x14ac:dyDescent="0.25">
      <c r="B959" s="287" t="s">
        <v>2394</v>
      </c>
      <c r="C959" s="287" t="s">
        <v>2395</v>
      </c>
      <c r="D959" s="284" t="s">
        <v>4037</v>
      </c>
      <c r="E959" s="274"/>
      <c r="F959" s="437"/>
      <c r="G959" s="437"/>
      <c r="H959" s="437"/>
      <c r="I959" s="437"/>
      <c r="J959" s="437"/>
      <c r="K959" s="437"/>
      <c r="L959" s="503" t="s">
        <v>2397</v>
      </c>
      <c r="M959" s="284" t="s">
        <v>2962</v>
      </c>
      <c r="N959" s="408">
        <f>+R959</f>
        <v>0</v>
      </c>
      <c r="O959" s="408">
        <f>+Z959</f>
        <v>0</v>
      </c>
      <c r="P959" s="271">
        <f t="shared" si="182"/>
        <v>0</v>
      </c>
      <c r="Q959" s="545"/>
      <c r="R959" s="354">
        <f>IF(ISERROR(VLOOKUP("SAN"&amp;$C959,ESTR_PREC_SP!$A$2:$G$2000,4,FALSE))=TRUE,0,VLOOKUP("SAN"&amp;$C959,ESTR_PREC_SP!$A$2:$G$2000,4,FALSE))</f>
        <v>0</v>
      </c>
      <c r="S959" s="521"/>
      <c r="T959" s="527"/>
      <c r="U959" s="527"/>
      <c r="V959" s="527"/>
      <c r="W959" s="527"/>
      <c r="X959" s="527"/>
      <c r="Y959" s="527"/>
      <c r="Z959" s="529">
        <f>+R959+T959+V959-X959-Y959+W959</f>
        <v>0</v>
      </c>
      <c r="AA959" s="546"/>
      <c r="AB959" s="545"/>
      <c r="AC959" s="520"/>
      <c r="AD959" s="520"/>
      <c r="AE959" s="520"/>
      <c r="AF959" s="520"/>
      <c r="AG959" s="526">
        <f t="shared" si="183"/>
        <v>0</v>
      </c>
      <c r="AH959" s="526">
        <f t="shared" si="184"/>
        <v>0</v>
      </c>
      <c r="AI959" s="520"/>
      <c r="AJ959" s="520"/>
    </row>
    <row r="960" spans="2:36" s="204" customFormat="1" ht="37.5" customHeight="1" x14ac:dyDescent="0.25">
      <c r="B960" s="287" t="s">
        <v>2398</v>
      </c>
      <c r="C960" s="287" t="s">
        <v>2399</v>
      </c>
      <c r="D960" s="284" t="s">
        <v>4038</v>
      </c>
      <c r="E960" s="274"/>
      <c r="F960" s="437"/>
      <c r="G960" s="437"/>
      <c r="H960" s="437"/>
      <c r="I960" s="437"/>
      <c r="J960" s="437"/>
      <c r="K960" s="437"/>
      <c r="L960" s="503" t="s">
        <v>4039</v>
      </c>
      <c r="M960" s="284" t="s">
        <v>2962</v>
      </c>
      <c r="N960" s="408">
        <f>+R960</f>
        <v>4157082</v>
      </c>
      <c r="O960" s="408">
        <f>+Z960</f>
        <v>4157082</v>
      </c>
      <c r="P960" s="271">
        <f t="shared" si="182"/>
        <v>0</v>
      </c>
      <c r="Q960" s="527"/>
      <c r="R960" s="354">
        <f>IF(ISERROR(VLOOKUP("SAN"&amp;$C960,ESTR_PREC_SP!$A$2:$G$2000,4,FALSE))=TRUE,0,VLOOKUP("SAN"&amp;$C960,ESTR_PREC_SP!$A$2:$G$2000,4,FALSE))</f>
        <v>4157082</v>
      </c>
      <c r="S960" s="521"/>
      <c r="T960" s="545"/>
      <c r="U960" s="527"/>
      <c r="V960" s="527"/>
      <c r="W960" s="527"/>
      <c r="X960" s="527"/>
      <c r="Y960" s="527"/>
      <c r="Z960" s="269">
        <f>+R960+S960+U960+V960-X960-Y960+W960+Q960</f>
        <v>4157082</v>
      </c>
      <c r="AA960" s="546"/>
      <c r="AB960" s="545"/>
      <c r="AC960" s="520"/>
      <c r="AD960" s="520"/>
      <c r="AE960" s="520">
        <v>4157082</v>
      </c>
      <c r="AF960" s="520"/>
      <c r="AG960" s="526">
        <f t="shared" si="183"/>
        <v>0</v>
      </c>
      <c r="AH960" s="526">
        <f t="shared" si="184"/>
        <v>4157082</v>
      </c>
      <c r="AI960" s="520"/>
      <c r="AJ960" s="520"/>
    </row>
    <row r="961" spans="1:36" s="204" customFormat="1" ht="26.25" x14ac:dyDescent="0.25">
      <c r="B961" s="287" t="s">
        <v>2401</v>
      </c>
      <c r="C961" s="287" t="s">
        <v>2402</v>
      </c>
      <c r="D961" s="287" t="s">
        <v>4040</v>
      </c>
      <c r="E961" s="274"/>
      <c r="F961" s="437"/>
      <c r="G961" s="437"/>
      <c r="H961" s="437"/>
      <c r="I961" s="437"/>
      <c r="J961" s="437"/>
      <c r="K961" s="437"/>
      <c r="L961" s="503" t="s">
        <v>4041</v>
      </c>
      <c r="M961" s="284" t="s">
        <v>2962</v>
      </c>
      <c r="N961" s="408">
        <f>+R961</f>
        <v>0</v>
      </c>
      <c r="O961" s="408">
        <f>+Z961</f>
        <v>0</v>
      </c>
      <c r="P961" s="271">
        <f t="shared" si="182"/>
        <v>0</v>
      </c>
      <c r="Q961" s="527"/>
      <c r="R961" s="354">
        <f>IF(ISERROR(VLOOKUP("SAN"&amp;$C961,ESTR_PREC_SP!$A$2:$G$2000,4,FALSE))=TRUE,0,VLOOKUP("SAN"&amp;$C961,ESTR_PREC_SP!$A$2:$G$2000,4,FALSE))</f>
        <v>0</v>
      </c>
      <c r="S961" s="521"/>
      <c r="T961" s="545"/>
      <c r="U961" s="527"/>
      <c r="V961" s="527"/>
      <c r="W961" s="527"/>
      <c r="X961" s="527"/>
      <c r="Y961" s="527"/>
      <c r="Z961" s="269">
        <f>+R961+S961+U961+V961-X961-Y961+W961+Q961</f>
        <v>0</v>
      </c>
      <c r="AA961" s="546"/>
      <c r="AB961" s="545"/>
      <c r="AC961" s="520"/>
      <c r="AD961" s="520"/>
      <c r="AE961" s="520"/>
      <c r="AF961" s="520"/>
      <c r="AG961" s="526">
        <f t="shared" si="183"/>
        <v>0</v>
      </c>
      <c r="AH961" s="526">
        <f t="shared" si="184"/>
        <v>0</v>
      </c>
      <c r="AI961" s="520"/>
      <c r="AJ961" s="520"/>
    </row>
    <row r="962" spans="1:36" s="204" customFormat="1" ht="25.5" x14ac:dyDescent="0.25">
      <c r="B962" s="287" t="s">
        <v>2404</v>
      </c>
      <c r="C962" s="287" t="s">
        <v>2405</v>
      </c>
      <c r="D962" s="284" t="s">
        <v>4042</v>
      </c>
      <c r="E962" s="274"/>
      <c r="F962" s="437"/>
      <c r="G962" s="437"/>
      <c r="H962" s="437"/>
      <c r="I962" s="437"/>
      <c r="J962" s="437"/>
      <c r="K962" s="437"/>
      <c r="L962" s="379" t="s">
        <v>2407</v>
      </c>
      <c r="M962" s="284" t="s">
        <v>2962</v>
      </c>
      <c r="N962" s="408">
        <f>+R962</f>
        <v>0</v>
      </c>
      <c r="O962" s="408">
        <f>+Z962</f>
        <v>0</v>
      </c>
      <c r="P962" s="271">
        <f t="shared" si="182"/>
        <v>0</v>
      </c>
      <c r="Q962" s="527"/>
      <c r="R962" s="354">
        <f>IF(ISERROR(VLOOKUP("SAN"&amp;$C962,ESTR_PREC_SP!$A$2:$G$2000,4,FALSE))=TRUE,0,VLOOKUP("SAN"&amp;$C962,ESTR_PREC_SP!$A$2:$G$2000,4,FALSE))</f>
        <v>0</v>
      </c>
      <c r="S962" s="521"/>
      <c r="T962" s="545"/>
      <c r="U962" s="527"/>
      <c r="V962" s="527"/>
      <c r="W962" s="527"/>
      <c r="X962" s="527"/>
      <c r="Y962" s="527"/>
      <c r="Z962" s="269">
        <f>+R962+S962+U962+V962-X962-Y962+W962+Q962</f>
        <v>0</v>
      </c>
      <c r="AA962" s="546"/>
      <c r="AB962" s="545"/>
      <c r="AC962" s="520"/>
      <c r="AD962" s="520"/>
      <c r="AE962" s="520"/>
      <c r="AF962" s="520"/>
      <c r="AG962" s="526">
        <f t="shared" si="183"/>
        <v>0</v>
      </c>
      <c r="AH962" s="526">
        <f t="shared" si="184"/>
        <v>0</v>
      </c>
      <c r="AI962" s="520"/>
      <c r="AJ962" s="520"/>
    </row>
    <row r="963" spans="1:36" s="204" customFormat="1" ht="25.5" x14ac:dyDescent="0.25">
      <c r="B963" s="287" t="s">
        <v>2408</v>
      </c>
      <c r="C963" s="287" t="s">
        <v>2409</v>
      </c>
      <c r="D963" s="284" t="s">
        <v>4043</v>
      </c>
      <c r="E963" s="274"/>
      <c r="F963" s="437"/>
      <c r="G963" s="437"/>
      <c r="H963" s="437"/>
      <c r="I963" s="437"/>
      <c r="J963" s="437"/>
      <c r="K963" s="437"/>
      <c r="L963" s="379" t="s">
        <v>2412</v>
      </c>
      <c r="M963" s="284" t="s">
        <v>2962</v>
      </c>
      <c r="N963" s="378">
        <f>SUM(N964:N968)</f>
        <v>6403753</v>
      </c>
      <c r="O963" s="378">
        <f>SUM(O964:O968)</f>
        <v>7044627</v>
      </c>
      <c r="P963" s="378">
        <f t="shared" si="182"/>
        <v>640874</v>
      </c>
      <c r="Q963" s="378">
        <f t="shared" ref="Q963:AJ963" si="186">SUM(Q964:Q968)</f>
        <v>0</v>
      </c>
      <c r="R963" s="378">
        <f t="shared" si="186"/>
        <v>6403753</v>
      </c>
      <c r="S963" s="378">
        <f t="shared" si="186"/>
        <v>0</v>
      </c>
      <c r="T963" s="378">
        <f t="shared" si="186"/>
        <v>0</v>
      </c>
      <c r="U963" s="378">
        <f t="shared" si="186"/>
        <v>-31344</v>
      </c>
      <c r="V963" s="378">
        <f t="shared" si="186"/>
        <v>7309709</v>
      </c>
      <c r="W963" s="378">
        <f t="shared" si="186"/>
        <v>0</v>
      </c>
      <c r="X963" s="378">
        <f t="shared" si="186"/>
        <v>4912780</v>
      </c>
      <c r="Y963" s="378">
        <f t="shared" si="186"/>
        <v>1724711</v>
      </c>
      <c r="Z963" s="378">
        <f t="shared" si="186"/>
        <v>7044627</v>
      </c>
      <c r="AA963" s="378">
        <f t="shared" si="186"/>
        <v>1542009</v>
      </c>
      <c r="AB963" s="378">
        <f t="shared" si="186"/>
        <v>0</v>
      </c>
      <c r="AC963" s="378">
        <f t="shared" si="186"/>
        <v>291633</v>
      </c>
      <c r="AD963" s="378">
        <f t="shared" si="186"/>
        <v>21290</v>
      </c>
      <c r="AE963" s="378">
        <f t="shared" si="186"/>
        <v>136194</v>
      </c>
      <c r="AF963" s="378">
        <f t="shared" si="186"/>
        <v>982893</v>
      </c>
      <c r="AG963" s="378">
        <f t="shared" si="186"/>
        <v>5612617</v>
      </c>
      <c r="AH963" s="378">
        <f t="shared" si="186"/>
        <v>36622</v>
      </c>
      <c r="AI963" s="378">
        <f t="shared" si="186"/>
        <v>7008005</v>
      </c>
      <c r="AJ963" s="378">
        <f t="shared" si="186"/>
        <v>0</v>
      </c>
    </row>
    <row r="964" spans="1:36" s="204" customFormat="1" hidden="1" x14ac:dyDescent="0.25">
      <c r="B964" s="287" t="s">
        <v>2413</v>
      </c>
      <c r="C964" s="287" t="s">
        <v>2414</v>
      </c>
      <c r="D964" s="284" t="s">
        <v>4044</v>
      </c>
      <c r="E964" s="274"/>
      <c r="F964" s="437"/>
      <c r="G964" s="437"/>
      <c r="H964" s="437"/>
      <c r="I964" s="437"/>
      <c r="J964" s="437"/>
      <c r="K964" s="437"/>
      <c r="L964" s="504" t="s">
        <v>2415</v>
      </c>
      <c r="M964" s="284" t="s">
        <v>2962</v>
      </c>
      <c r="N964" s="408">
        <f t="shared" ref="N964:N975" si="187">+R964</f>
        <v>0</v>
      </c>
      <c r="O964" s="408">
        <f t="shared" ref="O964:O975" si="188">+Z964</f>
        <v>0</v>
      </c>
      <c r="P964" s="271">
        <f t="shared" si="182"/>
        <v>0</v>
      </c>
      <c r="Q964" s="545"/>
      <c r="R964" s="354">
        <f>IF(ISERROR(VLOOKUP("SAN"&amp;$C964,ESTR_PREC_SP!$A$2:$G$2000,4,FALSE))=TRUE,0,VLOOKUP("SAN"&amp;$C964,ESTR_PREC_SP!$A$2:$G$2000,4,FALSE))</f>
        <v>0</v>
      </c>
      <c r="S964" s="545"/>
      <c r="T964" s="527"/>
      <c r="U964" s="527"/>
      <c r="V964" s="527"/>
      <c r="W964" s="527"/>
      <c r="X964" s="527"/>
      <c r="Y964" s="527"/>
      <c r="Z964" s="529">
        <f>+R964+T964+V964-X964-Y964+W964</f>
        <v>0</v>
      </c>
      <c r="AA964" s="546"/>
      <c r="AB964" s="545"/>
      <c r="AC964" s="520"/>
      <c r="AD964" s="520"/>
      <c r="AE964" s="520"/>
      <c r="AF964" s="520"/>
      <c r="AG964" s="526">
        <f t="shared" ref="AG964:AG978" si="189">+Z964-SUM(AC964:AF964)</f>
        <v>0</v>
      </c>
      <c r="AH964" s="526">
        <f t="shared" ref="AH964:AH978" si="190">+Z964-SUM(AI964:AJ964)</f>
        <v>0</v>
      </c>
      <c r="AI964" s="520"/>
      <c r="AJ964" s="520"/>
    </row>
    <row r="965" spans="1:36" s="204" customFormat="1" x14ac:dyDescent="0.25">
      <c r="B965" s="287" t="s">
        <v>2416</v>
      </c>
      <c r="C965" s="287" t="s">
        <v>2417</v>
      </c>
      <c r="D965" s="284" t="s">
        <v>4045</v>
      </c>
      <c r="E965" s="274"/>
      <c r="F965" s="437"/>
      <c r="G965" s="437"/>
      <c r="H965" s="437"/>
      <c r="I965" s="437"/>
      <c r="J965" s="437"/>
      <c r="K965" s="437"/>
      <c r="L965" s="504" t="s">
        <v>4046</v>
      </c>
      <c r="M965" s="284" t="s">
        <v>2962</v>
      </c>
      <c r="N965" s="408">
        <f t="shared" si="187"/>
        <v>1503487</v>
      </c>
      <c r="O965" s="408">
        <f t="shared" si="188"/>
        <v>1252035</v>
      </c>
      <c r="P965" s="271">
        <f t="shared" si="182"/>
        <v>-251452</v>
      </c>
      <c r="Q965" s="527"/>
      <c r="R965" s="354">
        <f>IF(ISERROR(VLOOKUP("SAN"&amp;$C965,ESTR_PREC_SP!$A$2:$G$2000,4,FALSE))=TRUE,0,VLOOKUP("SAN"&amp;$C965,ESTR_PREC_SP!$A$2:$G$2000,4,FALSE))</f>
        <v>1503487</v>
      </c>
      <c r="S965" s="521"/>
      <c r="T965" s="545"/>
      <c r="U965" s="527">
        <f>-5-1446-1391</f>
        <v>-2842</v>
      </c>
      <c r="V965" s="527">
        <f>28090+642944+10826+362429</f>
        <v>1044289</v>
      </c>
      <c r="W965" s="527"/>
      <c r="X965" s="527">
        <f>+5968+629810+19090+279938</f>
        <v>934806</v>
      </c>
      <c r="Y965" s="527">
        <f>+14782+343311</f>
        <v>358093</v>
      </c>
      <c r="Z965" s="269">
        <f t="shared" ref="Z965:Z975" si="191">+R965+S965+U965+V965-X965-Y965+W965+Q965</f>
        <v>1252035</v>
      </c>
      <c r="AA965" s="546">
        <f>+10826+362429</f>
        <v>373255</v>
      </c>
      <c r="AB965" s="545"/>
      <c r="AC965" s="542">
        <f>+2325+166+221410+67732</f>
        <v>291633</v>
      </c>
      <c r="AD965" s="520">
        <v>12002</v>
      </c>
      <c r="AE965" s="520">
        <v>123753</v>
      </c>
      <c r="AF965" s="520">
        <v>123753</v>
      </c>
      <c r="AG965" s="526">
        <f t="shared" si="189"/>
        <v>700894</v>
      </c>
      <c r="AH965" s="526">
        <f t="shared" si="190"/>
        <v>0</v>
      </c>
      <c r="AI965" s="520">
        <f>1254877-2842</f>
        <v>1252035</v>
      </c>
      <c r="AJ965" s="520"/>
    </row>
    <row r="966" spans="1:36" s="204" customFormat="1" hidden="1" x14ac:dyDescent="0.25">
      <c r="B966" s="287" t="s">
        <v>2419</v>
      </c>
      <c r="C966" s="287" t="s">
        <v>2420</v>
      </c>
      <c r="D966" s="284" t="s">
        <v>4047</v>
      </c>
      <c r="E966" s="274"/>
      <c r="F966" s="437"/>
      <c r="G966" s="437"/>
      <c r="H966" s="437"/>
      <c r="I966" s="437"/>
      <c r="J966" s="437"/>
      <c r="K966" s="437"/>
      <c r="L966" s="504" t="s">
        <v>2421</v>
      </c>
      <c r="M966" s="284" t="s">
        <v>2962</v>
      </c>
      <c r="N966" s="408">
        <f t="shared" si="187"/>
        <v>0</v>
      </c>
      <c r="O966" s="408">
        <f t="shared" si="188"/>
        <v>0</v>
      </c>
      <c r="P966" s="271">
        <f t="shared" si="182"/>
        <v>0</v>
      </c>
      <c r="Q966" s="527"/>
      <c r="R966" s="354">
        <f>IF(ISERROR(VLOOKUP("SAN"&amp;$C966,ESTR_PREC_SP!$A$2:$G$2000,4,FALSE))=TRUE,0,VLOOKUP("SAN"&amp;$C966,ESTR_PREC_SP!$A$2:$G$2000,4,FALSE))</f>
        <v>0</v>
      </c>
      <c r="S966" s="521"/>
      <c r="T966" s="545"/>
      <c r="U966" s="527"/>
      <c r="V966" s="527"/>
      <c r="W966" s="527"/>
      <c r="X966" s="527"/>
      <c r="Y966" s="527"/>
      <c r="Z966" s="269">
        <f t="shared" si="191"/>
        <v>0</v>
      </c>
      <c r="AA966" s="546"/>
      <c r="AB966" s="545"/>
      <c r="AC966" s="520"/>
      <c r="AD966" s="520"/>
      <c r="AE966" s="520"/>
      <c r="AF966" s="520"/>
      <c r="AG966" s="526">
        <f t="shared" si="189"/>
        <v>0</v>
      </c>
      <c r="AH966" s="526">
        <f t="shared" si="190"/>
        <v>0</v>
      </c>
      <c r="AI966" s="520"/>
      <c r="AJ966" s="520"/>
    </row>
    <row r="967" spans="1:36" s="204" customFormat="1" x14ac:dyDescent="0.25">
      <c r="B967" s="287" t="s">
        <v>2422</v>
      </c>
      <c r="C967" s="287" t="s">
        <v>2423</v>
      </c>
      <c r="D967" s="284" t="s">
        <v>4048</v>
      </c>
      <c r="E967" s="274"/>
      <c r="F967" s="437"/>
      <c r="G967" s="437"/>
      <c r="H967" s="437"/>
      <c r="I967" s="437"/>
      <c r="J967" s="437"/>
      <c r="K967" s="437"/>
      <c r="L967" s="504" t="s">
        <v>4049</v>
      </c>
      <c r="M967" s="284" t="s">
        <v>2962</v>
      </c>
      <c r="N967" s="408">
        <f t="shared" si="187"/>
        <v>4815221</v>
      </c>
      <c r="O967" s="408">
        <f t="shared" si="188"/>
        <v>5757416</v>
      </c>
      <c r="P967" s="271">
        <f t="shared" si="182"/>
        <v>942195</v>
      </c>
      <c r="Q967" s="527"/>
      <c r="R967" s="354">
        <f>IF(ISERROR(VLOOKUP("SAN"&amp;$C967,ESTR_PREC_SP!$A$2:$G$2000,4,FALSE))=TRUE,0,VLOOKUP("SAN"&amp;$C967,ESTR_PREC_SP!$A$2:$G$2000,4,FALSE))</f>
        <v>4815221</v>
      </c>
      <c r="S967" s="521"/>
      <c r="T967" s="545"/>
      <c r="U967" s="527">
        <v>1446</v>
      </c>
      <c r="V967" s="527">
        <f>+4981272+1141727-88-771+3</f>
        <v>6122143</v>
      </c>
      <c r="W967" s="527"/>
      <c r="X967" s="527">
        <f>+2724005+1176746-7822</f>
        <v>3892929</v>
      </c>
      <c r="Y967" s="527">
        <v>1288465</v>
      </c>
      <c r="Z967" s="269">
        <f t="shared" si="191"/>
        <v>5757416</v>
      </c>
      <c r="AA967" s="546">
        <f>+1141727-88</f>
        <v>1141639</v>
      </c>
      <c r="AB967" s="545"/>
      <c r="AC967" s="520">
        <v>0</v>
      </c>
      <c r="AD967" s="520">
        <v>9288</v>
      </c>
      <c r="AE967" s="520">
        <v>12441</v>
      </c>
      <c r="AF967" s="520">
        <v>859140</v>
      </c>
      <c r="AG967" s="526">
        <f t="shared" si="189"/>
        <v>4876547</v>
      </c>
      <c r="AH967" s="526">
        <f t="shared" si="190"/>
        <v>1446</v>
      </c>
      <c r="AI967" s="520">
        <v>5755970</v>
      </c>
      <c r="AJ967" s="520"/>
    </row>
    <row r="968" spans="1:36" s="204" customFormat="1" x14ac:dyDescent="0.25">
      <c r="B968" s="287" t="s">
        <v>2425</v>
      </c>
      <c r="C968" s="287" t="s">
        <v>2426</v>
      </c>
      <c r="D968" s="284" t="s">
        <v>4050</v>
      </c>
      <c r="E968" s="274"/>
      <c r="F968" s="437"/>
      <c r="G968" s="437"/>
      <c r="H968" s="437"/>
      <c r="I968" s="437"/>
      <c r="J968" s="437"/>
      <c r="K968" s="437"/>
      <c r="L968" s="504" t="s">
        <v>4051</v>
      </c>
      <c r="M968" s="284" t="s">
        <v>2962</v>
      </c>
      <c r="N968" s="408">
        <f t="shared" si="187"/>
        <v>85045</v>
      </c>
      <c r="O968" s="408">
        <f t="shared" si="188"/>
        <v>35176</v>
      </c>
      <c r="P968" s="271">
        <f t="shared" si="182"/>
        <v>-49869</v>
      </c>
      <c r="Q968" s="527"/>
      <c r="R968" s="354">
        <f>IF(ISERROR(VLOOKUP("SAN"&amp;$C968,ESTR_PREC_SP!$A$2:$G$2000,4,FALSE))=TRUE,0,VLOOKUP("SAN"&amp;$C968,ESTR_PREC_SP!$A$2:$G$2000,4,FALSE))</f>
        <v>85045</v>
      </c>
      <c r="S968" s="521"/>
      <c r="T968" s="545"/>
      <c r="U968" s="527">
        <f>-29953+5</f>
        <v>-29948</v>
      </c>
      <c r="V968" s="527">
        <f>116167-5+27115</f>
        <v>143277</v>
      </c>
      <c r="W968" s="527"/>
      <c r="X968" s="527">
        <f>49357+40162-4474</f>
        <v>85045</v>
      </c>
      <c r="Y968" s="527">
        <f>73679+4474</f>
        <v>78153</v>
      </c>
      <c r="Z968" s="269">
        <f t="shared" si="191"/>
        <v>35176</v>
      </c>
      <c r="AA968" s="546">
        <v>27115</v>
      </c>
      <c r="AB968" s="545"/>
      <c r="AC968" s="520"/>
      <c r="AD968" s="520"/>
      <c r="AE968" s="520"/>
      <c r="AF968" s="520"/>
      <c r="AG968" s="526">
        <f t="shared" si="189"/>
        <v>35176</v>
      </c>
      <c r="AH968" s="526">
        <f t="shared" si="190"/>
        <v>35176</v>
      </c>
      <c r="AI968" s="520"/>
      <c r="AJ968" s="520"/>
    </row>
    <row r="969" spans="1:36" s="204" customFormat="1" x14ac:dyDescent="0.25">
      <c r="B969" s="287" t="s">
        <v>2428</v>
      </c>
      <c r="C969" s="287" t="s">
        <v>2429</v>
      </c>
      <c r="D969" s="284" t="s">
        <v>4052</v>
      </c>
      <c r="E969" s="274"/>
      <c r="F969" s="437"/>
      <c r="G969" s="437"/>
      <c r="H969" s="437"/>
      <c r="I969" s="437"/>
      <c r="J969" s="437"/>
      <c r="K969" s="437"/>
      <c r="L969" s="379" t="s">
        <v>2431</v>
      </c>
      <c r="M969" s="284" t="s">
        <v>2962</v>
      </c>
      <c r="N969" s="408">
        <f t="shared" si="187"/>
        <v>0</v>
      </c>
      <c r="O969" s="408">
        <f t="shared" si="188"/>
        <v>0</v>
      </c>
      <c r="P969" s="271">
        <f t="shared" si="182"/>
        <v>0</v>
      </c>
      <c r="Q969" s="527"/>
      <c r="R969" s="354">
        <f>IF(ISERROR(VLOOKUP("SAN"&amp;$C969,ESTR_PREC_SP!$A$2:$G$2000,4,FALSE))=TRUE,0,VLOOKUP("SAN"&amp;$C969,ESTR_PREC_SP!$A$2:$G$2000,4,FALSE))</f>
        <v>0</v>
      </c>
      <c r="S969" s="521"/>
      <c r="T969" s="545"/>
      <c r="U969" s="527"/>
      <c r="V969" s="527"/>
      <c r="W969" s="527"/>
      <c r="X969" s="527"/>
      <c r="Y969" s="527"/>
      <c r="Z969" s="269">
        <f t="shared" si="191"/>
        <v>0</v>
      </c>
      <c r="AA969" s="546"/>
      <c r="AB969" s="545"/>
      <c r="AC969" s="520"/>
      <c r="AD969" s="520"/>
      <c r="AE969" s="520"/>
      <c r="AF969" s="520"/>
      <c r="AG969" s="526">
        <f t="shared" si="189"/>
        <v>0</v>
      </c>
      <c r="AH969" s="526">
        <f t="shared" si="190"/>
        <v>0</v>
      </c>
      <c r="AI969" s="520"/>
      <c r="AJ969" s="520"/>
    </row>
    <row r="970" spans="1:36" s="204" customFormat="1" x14ac:dyDescent="0.25">
      <c r="B970" s="287" t="s">
        <v>2432</v>
      </c>
      <c r="C970" s="287" t="s">
        <v>2433</v>
      </c>
      <c r="D970" s="284" t="s">
        <v>4053</v>
      </c>
      <c r="E970" s="274"/>
      <c r="F970" s="437"/>
      <c r="G970" s="437"/>
      <c r="H970" s="437"/>
      <c r="I970" s="437"/>
      <c r="J970" s="437"/>
      <c r="K970" s="437"/>
      <c r="L970" s="379" t="s">
        <v>2435</v>
      </c>
      <c r="M970" s="284" t="s">
        <v>2962</v>
      </c>
      <c r="N970" s="408">
        <f t="shared" si="187"/>
        <v>0</v>
      </c>
      <c r="O970" s="408">
        <f t="shared" si="188"/>
        <v>0</v>
      </c>
      <c r="P970" s="271">
        <f t="shared" si="182"/>
        <v>0</v>
      </c>
      <c r="Q970" s="527"/>
      <c r="R970" s="354">
        <f>IF(ISERROR(VLOOKUP("SAN"&amp;$C970,ESTR_PREC_SP!$A$2:$G$2000,4,FALSE))=TRUE,0,VLOOKUP("SAN"&amp;$C970,ESTR_PREC_SP!$A$2:$G$2000,4,FALSE))</f>
        <v>0</v>
      </c>
      <c r="S970" s="521"/>
      <c r="T970" s="545"/>
      <c r="U970" s="527"/>
      <c r="V970" s="527"/>
      <c r="W970" s="527"/>
      <c r="X970" s="527"/>
      <c r="Y970" s="527"/>
      <c r="Z970" s="269">
        <f t="shared" si="191"/>
        <v>0</v>
      </c>
      <c r="AA970" s="546"/>
      <c r="AB970" s="545"/>
      <c r="AC970" s="520"/>
      <c r="AD970" s="520"/>
      <c r="AE970" s="520"/>
      <c r="AF970" s="520"/>
      <c r="AG970" s="526">
        <f t="shared" si="189"/>
        <v>0</v>
      </c>
      <c r="AH970" s="526">
        <f t="shared" si="190"/>
        <v>0</v>
      </c>
      <c r="AI970" s="520"/>
      <c r="AJ970" s="520"/>
    </row>
    <row r="971" spans="1:36" s="204" customFormat="1" ht="26.25" x14ac:dyDescent="0.25">
      <c r="A971" s="535" t="s">
        <v>3681</v>
      </c>
      <c r="B971" s="536" t="s">
        <v>2436</v>
      </c>
      <c r="C971" s="536" t="s">
        <v>2437</v>
      </c>
      <c r="D971" s="536"/>
      <c r="E971" s="536"/>
      <c r="F971" s="536"/>
      <c r="G971" s="536"/>
      <c r="H971" s="536"/>
      <c r="I971" s="536"/>
      <c r="J971" s="536"/>
      <c r="K971" s="536"/>
      <c r="L971" s="536" t="s">
        <v>4179</v>
      </c>
      <c r="M971" s="284" t="s">
        <v>2962</v>
      </c>
      <c r="N971" s="408">
        <f t="shared" si="187"/>
        <v>0</v>
      </c>
      <c r="O971" s="408">
        <f t="shared" si="188"/>
        <v>0</v>
      </c>
      <c r="P971" s="271">
        <f t="shared" si="182"/>
        <v>0</v>
      </c>
      <c r="Q971" s="527"/>
      <c r="R971" s="354">
        <f>IF(ISERROR(VLOOKUP("SAN"&amp;$C971,ESTR_PREC_SP!$A$2:$G$2000,4,FALSE))=TRUE,0,VLOOKUP("SAN"&amp;$C971,ESTR_PREC_SP!$A$2:$G$2000,4,FALSE))</f>
        <v>0</v>
      </c>
      <c r="S971" s="521"/>
      <c r="T971" s="545"/>
      <c r="U971" s="527"/>
      <c r="V971" s="527"/>
      <c r="W971" s="527"/>
      <c r="X971" s="527"/>
      <c r="Y971" s="527"/>
      <c r="Z971" s="269">
        <f t="shared" si="191"/>
        <v>0</v>
      </c>
      <c r="AA971" s="546"/>
      <c r="AB971" s="545"/>
      <c r="AC971" s="520"/>
      <c r="AD971" s="520"/>
      <c r="AE971" s="520"/>
      <c r="AF971" s="520"/>
      <c r="AG971" s="526">
        <f t="shared" si="189"/>
        <v>0</v>
      </c>
      <c r="AH971" s="526">
        <f t="shared" si="190"/>
        <v>0</v>
      </c>
      <c r="AI971" s="520"/>
      <c r="AJ971" s="520"/>
    </row>
    <row r="972" spans="1:36" s="204" customFormat="1" ht="26.25" x14ac:dyDescent="0.25">
      <c r="A972" s="535" t="s">
        <v>3681</v>
      </c>
      <c r="B972" s="536" t="s">
        <v>2440</v>
      </c>
      <c r="C972" s="536" t="s">
        <v>2441</v>
      </c>
      <c r="D972" s="536"/>
      <c r="E972" s="536"/>
      <c r="F972" s="536"/>
      <c r="G972" s="536"/>
      <c r="H972" s="536"/>
      <c r="I972" s="536"/>
      <c r="J972" s="536"/>
      <c r="K972" s="536"/>
      <c r="L972" s="536" t="s">
        <v>4180</v>
      </c>
      <c r="M972" s="284" t="s">
        <v>2962</v>
      </c>
      <c r="N972" s="408">
        <f t="shared" si="187"/>
        <v>0</v>
      </c>
      <c r="O972" s="408">
        <f t="shared" si="188"/>
        <v>0</v>
      </c>
      <c r="P972" s="271">
        <f t="shared" si="182"/>
        <v>0</v>
      </c>
      <c r="Q972" s="527"/>
      <c r="R972" s="354">
        <f>IF(ISERROR(VLOOKUP("SAN"&amp;$C972,ESTR_PREC_SP!$A$2:$G$2000,4,FALSE))=TRUE,0,VLOOKUP("SAN"&amp;$C972,ESTR_PREC_SP!$A$2:$G$2000,4,FALSE))</f>
        <v>0</v>
      </c>
      <c r="S972" s="521"/>
      <c r="T972" s="545"/>
      <c r="U972" s="527"/>
      <c r="V972" s="527"/>
      <c r="W972" s="527"/>
      <c r="X972" s="527"/>
      <c r="Y972" s="527"/>
      <c r="Z972" s="269">
        <f t="shared" si="191"/>
        <v>0</v>
      </c>
      <c r="AA972" s="546"/>
      <c r="AB972" s="545"/>
      <c r="AC972" s="520"/>
      <c r="AD972" s="520"/>
      <c r="AE972" s="520"/>
      <c r="AF972" s="520"/>
      <c r="AG972" s="526">
        <f t="shared" si="189"/>
        <v>0</v>
      </c>
      <c r="AH972" s="526">
        <f t="shared" si="190"/>
        <v>0</v>
      </c>
      <c r="AI972" s="520"/>
      <c r="AJ972" s="520"/>
    </row>
    <row r="973" spans="1:36" s="204" customFormat="1" ht="26.25" x14ac:dyDescent="0.25">
      <c r="A973" s="535" t="s">
        <v>3681</v>
      </c>
      <c r="B973" s="536" t="s">
        <v>2444</v>
      </c>
      <c r="C973" s="536" t="s">
        <v>2445</v>
      </c>
      <c r="D973" s="536"/>
      <c r="E973" s="536"/>
      <c r="F973" s="536"/>
      <c r="G973" s="536"/>
      <c r="H973" s="536"/>
      <c r="I973" s="536"/>
      <c r="J973" s="536"/>
      <c r="K973" s="536"/>
      <c r="L973" s="536" t="s">
        <v>4181</v>
      </c>
      <c r="M973" s="284" t="s">
        <v>2962</v>
      </c>
      <c r="N973" s="408">
        <f t="shared" si="187"/>
        <v>0</v>
      </c>
      <c r="O973" s="408">
        <f t="shared" si="188"/>
        <v>0</v>
      </c>
      <c r="P973" s="271">
        <f t="shared" si="182"/>
        <v>0</v>
      </c>
      <c r="Q973" s="527"/>
      <c r="R973" s="354">
        <f>IF(ISERROR(VLOOKUP("SAN"&amp;$C973,ESTR_PREC_SP!$A$2:$G$2000,4,FALSE))=TRUE,0,VLOOKUP("SAN"&amp;$C973,ESTR_PREC_SP!$A$2:$G$2000,4,FALSE))</f>
        <v>0</v>
      </c>
      <c r="S973" s="521"/>
      <c r="T973" s="545"/>
      <c r="U973" s="527"/>
      <c r="V973" s="527"/>
      <c r="W973" s="527"/>
      <c r="X973" s="527"/>
      <c r="Y973" s="527"/>
      <c r="Z973" s="269">
        <f t="shared" si="191"/>
        <v>0</v>
      </c>
      <c r="AA973" s="546"/>
      <c r="AB973" s="545"/>
      <c r="AC973" s="520"/>
      <c r="AD973" s="520"/>
      <c r="AE973" s="520"/>
      <c r="AF973" s="520"/>
      <c r="AG973" s="526">
        <f t="shared" si="189"/>
        <v>0</v>
      </c>
      <c r="AH973" s="526">
        <f t="shared" si="190"/>
        <v>0</v>
      </c>
      <c r="AI973" s="520"/>
      <c r="AJ973" s="520"/>
    </row>
    <row r="974" spans="1:36" s="204" customFormat="1" ht="26.25" x14ac:dyDescent="0.25">
      <c r="A974" s="535" t="s">
        <v>3681</v>
      </c>
      <c r="B974" s="536" t="s">
        <v>2447</v>
      </c>
      <c r="C974" s="536" t="s">
        <v>2448</v>
      </c>
      <c r="D974" s="536"/>
      <c r="E974" s="536"/>
      <c r="F974" s="536"/>
      <c r="G974" s="536"/>
      <c r="H974" s="536"/>
      <c r="I974" s="536"/>
      <c r="J974" s="536"/>
      <c r="K974" s="536"/>
      <c r="L974" s="536" t="s">
        <v>4182</v>
      </c>
      <c r="M974" s="284" t="s">
        <v>2962</v>
      </c>
      <c r="N974" s="408">
        <f t="shared" si="187"/>
        <v>0</v>
      </c>
      <c r="O974" s="408">
        <f t="shared" si="188"/>
        <v>0</v>
      </c>
      <c r="P974" s="271">
        <f t="shared" si="182"/>
        <v>0</v>
      </c>
      <c r="Q974" s="527"/>
      <c r="R974" s="354">
        <f>IF(ISERROR(VLOOKUP("SAN"&amp;$C974,ESTR_PREC_SP!$A$2:$G$2000,4,FALSE))=TRUE,0,VLOOKUP("SAN"&amp;$C974,ESTR_PREC_SP!$A$2:$G$2000,4,FALSE))</f>
        <v>0</v>
      </c>
      <c r="S974" s="521"/>
      <c r="T974" s="545"/>
      <c r="U974" s="527"/>
      <c r="V974" s="527"/>
      <c r="W974" s="527"/>
      <c r="X974" s="527"/>
      <c r="Y974" s="527"/>
      <c r="Z974" s="269">
        <f t="shared" si="191"/>
        <v>0</v>
      </c>
      <c r="AA974" s="546"/>
      <c r="AB974" s="545"/>
      <c r="AC974" s="520"/>
      <c r="AD974" s="520"/>
      <c r="AE974" s="520"/>
      <c r="AF974" s="520"/>
      <c r="AG974" s="526">
        <f t="shared" si="189"/>
        <v>0</v>
      </c>
      <c r="AH974" s="526">
        <f t="shared" si="190"/>
        <v>0</v>
      </c>
      <c r="AI974" s="520"/>
      <c r="AJ974" s="520"/>
    </row>
    <row r="975" spans="1:36" s="204" customFormat="1" ht="26.25" x14ac:dyDescent="0.25">
      <c r="A975" s="535" t="s">
        <v>3681</v>
      </c>
      <c r="B975" s="536" t="s">
        <v>2450</v>
      </c>
      <c r="C975" s="536" t="s">
        <v>2451</v>
      </c>
      <c r="D975" s="536"/>
      <c r="E975" s="536"/>
      <c r="F975" s="536"/>
      <c r="G975" s="536"/>
      <c r="H975" s="536"/>
      <c r="I975" s="536"/>
      <c r="J975" s="536"/>
      <c r="K975" s="536"/>
      <c r="L975" s="536" t="s">
        <v>4183</v>
      </c>
      <c r="M975" s="284" t="s">
        <v>2962</v>
      </c>
      <c r="N975" s="408">
        <f t="shared" si="187"/>
        <v>0</v>
      </c>
      <c r="O975" s="408">
        <f t="shared" si="188"/>
        <v>0</v>
      </c>
      <c r="P975" s="271">
        <f t="shared" si="182"/>
        <v>0</v>
      </c>
      <c r="Q975" s="527"/>
      <c r="R975" s="354">
        <f>IF(ISERROR(VLOOKUP("SAN"&amp;$C975,ESTR_PREC_SP!$A$2:$G$2000,4,FALSE))=TRUE,0,VLOOKUP("SAN"&amp;$C975,ESTR_PREC_SP!$A$2:$G$2000,4,FALSE))</f>
        <v>0</v>
      </c>
      <c r="S975" s="521"/>
      <c r="T975" s="545"/>
      <c r="U975" s="527"/>
      <c r="V975" s="527"/>
      <c r="W975" s="527"/>
      <c r="X975" s="527"/>
      <c r="Y975" s="527"/>
      <c r="Z975" s="269">
        <f t="shared" si="191"/>
        <v>0</v>
      </c>
      <c r="AA975" s="546"/>
      <c r="AB975" s="545"/>
      <c r="AC975" s="520"/>
      <c r="AD975" s="520"/>
      <c r="AE975" s="520"/>
      <c r="AF975" s="520"/>
      <c r="AG975" s="526">
        <f t="shared" si="189"/>
        <v>0</v>
      </c>
      <c r="AH975" s="526">
        <f t="shared" si="190"/>
        <v>0</v>
      </c>
      <c r="AI975" s="520"/>
      <c r="AJ975" s="520"/>
    </row>
    <row r="976" spans="1:36" s="204" customFormat="1" x14ac:dyDescent="0.25">
      <c r="B976" s="287" t="s">
        <v>2454</v>
      </c>
      <c r="C976" s="287" t="s">
        <v>2455</v>
      </c>
      <c r="D976" s="284" t="s">
        <v>4055</v>
      </c>
      <c r="E976" s="274"/>
      <c r="F976" s="437"/>
      <c r="G976" s="437"/>
      <c r="H976" s="437"/>
      <c r="I976" s="437"/>
      <c r="J976" s="437"/>
      <c r="K976" s="437"/>
      <c r="L976" s="295" t="s">
        <v>2458</v>
      </c>
      <c r="M976" s="284" t="s">
        <v>2962</v>
      </c>
      <c r="N976" s="378">
        <f>SUM(N977:N978)</f>
        <v>38239</v>
      </c>
      <c r="O976" s="378">
        <f>SUM(O977:O978)</f>
        <v>7503</v>
      </c>
      <c r="P976" s="378">
        <f t="shared" si="182"/>
        <v>-30736</v>
      </c>
      <c r="Q976" s="378">
        <f t="shared" ref="Q976:AF976" si="192">SUM(Q977:Q978)</f>
        <v>0</v>
      </c>
      <c r="R976" s="378">
        <f t="shared" si="192"/>
        <v>38239</v>
      </c>
      <c r="S976" s="378">
        <f t="shared" si="192"/>
        <v>0</v>
      </c>
      <c r="T976" s="378">
        <f t="shared" si="192"/>
        <v>0</v>
      </c>
      <c r="U976" s="378">
        <f t="shared" si="192"/>
        <v>0</v>
      </c>
      <c r="V976" s="378">
        <f t="shared" si="192"/>
        <v>22839</v>
      </c>
      <c r="W976" s="378">
        <f t="shared" si="192"/>
        <v>0</v>
      </c>
      <c r="X976" s="378">
        <f t="shared" si="192"/>
        <v>30735</v>
      </c>
      <c r="Y976" s="378">
        <f t="shared" si="192"/>
        <v>22840</v>
      </c>
      <c r="Z976" s="378">
        <f t="shared" si="192"/>
        <v>7503</v>
      </c>
      <c r="AA976" s="378">
        <f t="shared" si="192"/>
        <v>2769</v>
      </c>
      <c r="AB976" s="378">
        <f t="shared" si="192"/>
        <v>0</v>
      </c>
      <c r="AC976" s="378">
        <f t="shared" si="192"/>
        <v>291</v>
      </c>
      <c r="AD976" s="378">
        <f t="shared" si="192"/>
        <v>0</v>
      </c>
      <c r="AE976" s="378">
        <f t="shared" si="192"/>
        <v>59</v>
      </c>
      <c r="AF976" s="378">
        <f t="shared" si="192"/>
        <v>0</v>
      </c>
      <c r="AG976" s="537">
        <f t="shared" si="189"/>
        <v>7153</v>
      </c>
      <c r="AH976" s="537">
        <f t="shared" si="190"/>
        <v>7503</v>
      </c>
      <c r="AI976" s="378">
        <f>SUM(AI977:AI978)</f>
        <v>0</v>
      </c>
      <c r="AJ976" s="378">
        <f>SUM(AJ977:AJ978)</f>
        <v>0</v>
      </c>
    </row>
    <row r="977" spans="1:36" s="204" customFormat="1" ht="25.5" x14ac:dyDescent="0.25">
      <c r="B977" s="287" t="s">
        <v>2459</v>
      </c>
      <c r="C977" s="287" t="s">
        <v>2460</v>
      </c>
      <c r="D977" s="284" t="s">
        <v>4056</v>
      </c>
      <c r="E977" s="274"/>
      <c r="F977" s="437"/>
      <c r="G977" s="437"/>
      <c r="H977" s="437"/>
      <c r="I977" s="437"/>
      <c r="J977" s="437"/>
      <c r="K977" s="437"/>
      <c r="L977" s="379" t="s">
        <v>2461</v>
      </c>
      <c r="M977" s="284" t="s">
        <v>2962</v>
      </c>
      <c r="N977" s="408">
        <f>+R977</f>
        <v>38239</v>
      </c>
      <c r="O977" s="408">
        <f>+Z977</f>
        <v>7503</v>
      </c>
      <c r="P977" s="271">
        <f t="shared" si="182"/>
        <v>-30736</v>
      </c>
      <c r="Q977" s="527"/>
      <c r="R977" s="354">
        <f>IF(ISERROR(VLOOKUP("SAN"&amp;$C977,ESTR_PREC_SP!$A$2:$G$2000,4,FALSE))=TRUE,0,VLOOKUP("SAN"&amp;$C977,ESTR_PREC_SP!$A$2:$G$2000,4,FALSE))</f>
        <v>38239</v>
      </c>
      <c r="S977" s="521"/>
      <c r="T977" s="545"/>
      <c r="U977" s="527"/>
      <c r="V977" s="527">
        <f>56633-36562+2769-1</f>
        <v>22839</v>
      </c>
      <c r="W977" s="527"/>
      <c r="X977" s="527">
        <f>+29907+828</f>
        <v>30735</v>
      </c>
      <c r="Y977" s="527">
        <f>+23668-828</f>
        <v>22840</v>
      </c>
      <c r="Z977" s="269">
        <f>+R977+S977+U977+V977-X977-Y977+W977+Q977</f>
        <v>7503</v>
      </c>
      <c r="AA977" s="546">
        <v>2769</v>
      </c>
      <c r="AB977" s="545"/>
      <c r="AC977" s="520">
        <v>291</v>
      </c>
      <c r="AD977" s="520"/>
      <c r="AE977" s="520">
        <v>59</v>
      </c>
      <c r="AF977" s="520"/>
      <c r="AG977" s="526">
        <f t="shared" si="189"/>
        <v>7153</v>
      </c>
      <c r="AH977" s="526">
        <f t="shared" si="190"/>
        <v>7503</v>
      </c>
      <c r="AI977" s="520"/>
      <c r="AJ977" s="520"/>
    </row>
    <row r="978" spans="1:36" s="204" customFormat="1" x14ac:dyDescent="0.25">
      <c r="B978" s="287" t="s">
        <v>2462</v>
      </c>
      <c r="C978" s="287" t="s">
        <v>2463</v>
      </c>
      <c r="D978" s="284" t="s">
        <v>4057</v>
      </c>
      <c r="E978" s="274"/>
      <c r="F978" s="437"/>
      <c r="G978" s="437"/>
      <c r="H978" s="437"/>
      <c r="I978" s="437"/>
      <c r="J978" s="437"/>
      <c r="K978" s="437"/>
      <c r="L978" s="379" t="s">
        <v>2464</v>
      </c>
      <c r="M978" s="284" t="s">
        <v>2962</v>
      </c>
      <c r="N978" s="408">
        <f>+R978</f>
        <v>0</v>
      </c>
      <c r="O978" s="408">
        <f>+Z978</f>
        <v>0</v>
      </c>
      <c r="P978" s="271">
        <f t="shared" si="182"/>
        <v>0</v>
      </c>
      <c r="Q978" s="527"/>
      <c r="R978" s="354">
        <f>IF(ISERROR(VLOOKUP("SAN"&amp;$C978,ESTR_PREC_SP!$A$2:$G$2000,4,FALSE))=TRUE,0,VLOOKUP("SAN"&amp;$C978,ESTR_PREC_SP!$A$2:$G$2000,4,FALSE))</f>
        <v>0</v>
      </c>
      <c r="S978" s="521"/>
      <c r="T978" s="545"/>
      <c r="U978" s="527"/>
      <c r="V978" s="527"/>
      <c r="W978" s="527"/>
      <c r="X978" s="527"/>
      <c r="Y978" s="527"/>
      <c r="Z978" s="269">
        <f>+R978+S978+U978+V978-X978-Y978+W978+Q978</f>
        <v>0</v>
      </c>
      <c r="AA978" s="546"/>
      <c r="AB978" s="545"/>
      <c r="AC978" s="520"/>
      <c r="AD978" s="520"/>
      <c r="AE978" s="520"/>
      <c r="AF978" s="520"/>
      <c r="AG978" s="526">
        <f t="shared" si="189"/>
        <v>0</v>
      </c>
      <c r="AH978" s="526">
        <f t="shared" si="190"/>
        <v>0</v>
      </c>
      <c r="AI978" s="520"/>
      <c r="AJ978" s="520"/>
    </row>
    <row r="979" spans="1:36" s="204" customFormat="1" ht="25.5" x14ac:dyDescent="0.25">
      <c r="B979" s="287" t="s">
        <v>2465</v>
      </c>
      <c r="C979" s="287" t="s">
        <v>2466</v>
      </c>
      <c r="D979" s="284" t="s">
        <v>4058</v>
      </c>
      <c r="E979" s="274"/>
      <c r="F979" s="437"/>
      <c r="G979" s="437"/>
      <c r="H979" s="437"/>
      <c r="I979" s="437"/>
      <c r="J979" s="437"/>
      <c r="K979" s="437"/>
      <c r="L979" s="295" t="s">
        <v>2469</v>
      </c>
      <c r="M979" s="284" t="s">
        <v>2962</v>
      </c>
      <c r="N979" s="378">
        <f>SUM(N980:N985)</f>
        <v>0</v>
      </c>
      <c r="O979" s="378">
        <f>SUM(O980:O985)</f>
        <v>0</v>
      </c>
      <c r="P979" s="378">
        <f t="shared" si="182"/>
        <v>0</v>
      </c>
      <c r="Q979" s="378">
        <f t="shared" ref="Q979:AJ979" si="193">SUM(Q980:Q985)</f>
        <v>0</v>
      </c>
      <c r="R979" s="378">
        <f t="shared" si="193"/>
        <v>0</v>
      </c>
      <c r="S979" s="378">
        <f t="shared" si="193"/>
        <v>0</v>
      </c>
      <c r="T979" s="378">
        <f t="shared" si="193"/>
        <v>0</v>
      </c>
      <c r="U979" s="378">
        <f t="shared" si="193"/>
        <v>0</v>
      </c>
      <c r="V979" s="378">
        <f t="shared" si="193"/>
        <v>0</v>
      </c>
      <c r="W979" s="378">
        <f t="shared" si="193"/>
        <v>0</v>
      </c>
      <c r="X979" s="378">
        <f t="shared" si="193"/>
        <v>0</v>
      </c>
      <c r="Y979" s="378">
        <f t="shared" si="193"/>
        <v>0</v>
      </c>
      <c r="Z979" s="378">
        <f t="shared" si="193"/>
        <v>0</v>
      </c>
      <c r="AA979" s="378">
        <f t="shared" si="193"/>
        <v>0</v>
      </c>
      <c r="AB979" s="378">
        <f t="shared" si="193"/>
        <v>0</v>
      </c>
      <c r="AC979" s="378">
        <f t="shared" si="193"/>
        <v>0</v>
      </c>
      <c r="AD979" s="378">
        <f t="shared" si="193"/>
        <v>0</v>
      </c>
      <c r="AE979" s="378">
        <f t="shared" si="193"/>
        <v>0</v>
      </c>
      <c r="AF979" s="378">
        <f t="shared" si="193"/>
        <v>0</v>
      </c>
      <c r="AG979" s="378">
        <f t="shared" si="193"/>
        <v>0</v>
      </c>
      <c r="AH979" s="378">
        <f t="shared" si="193"/>
        <v>0</v>
      </c>
      <c r="AI979" s="378">
        <f t="shared" si="193"/>
        <v>0</v>
      </c>
      <c r="AJ979" s="378">
        <f t="shared" si="193"/>
        <v>0</v>
      </c>
    </row>
    <row r="980" spans="1:36" s="204" customFormat="1" ht="26.25" x14ac:dyDescent="0.25">
      <c r="A980" s="535" t="s">
        <v>3681</v>
      </c>
      <c r="B980" s="536" t="s">
        <v>2470</v>
      </c>
      <c r="C980" s="536" t="s">
        <v>2471</v>
      </c>
      <c r="D980" s="536"/>
      <c r="E980" s="536"/>
      <c r="F980" s="536"/>
      <c r="G980" s="536"/>
      <c r="H980" s="536"/>
      <c r="I980" s="536"/>
      <c r="J980" s="536"/>
      <c r="K980" s="536"/>
      <c r="L980" s="536" t="s">
        <v>4184</v>
      </c>
      <c r="M980" s="284" t="s">
        <v>2962</v>
      </c>
      <c r="N980" s="408">
        <f>+R980</f>
        <v>0</v>
      </c>
      <c r="O980" s="408">
        <f>+Z980</f>
        <v>0</v>
      </c>
      <c r="P980" s="271">
        <f t="shared" si="182"/>
        <v>0</v>
      </c>
      <c r="Q980" s="527"/>
      <c r="R980" s="354">
        <f>IF(ISERROR(VLOOKUP("SAN"&amp;$C980,ESTR_PREC_SP!$A$2:$G$2000,4,FALSE))=TRUE,0,VLOOKUP("SAN"&amp;$C980,ESTR_PREC_SP!$A$2:$G$2000,4,FALSE))</f>
        <v>0</v>
      </c>
      <c r="S980" s="521"/>
      <c r="T980" s="545"/>
      <c r="U980" s="527"/>
      <c r="V980" s="527"/>
      <c r="W980" s="527"/>
      <c r="X980" s="527"/>
      <c r="Y980" s="527"/>
      <c r="Z980" s="269">
        <f>+R980+S980+U980+V980-X980-Y980+W980+Q980</f>
        <v>0</v>
      </c>
      <c r="AA980" s="546"/>
      <c r="AB980" s="545"/>
      <c r="AC980" s="520"/>
      <c r="AD980" s="520"/>
      <c r="AE980" s="520"/>
      <c r="AF980" s="520"/>
      <c r="AG980" s="526">
        <f>+Z980-SUM(AC980:AF980)</f>
        <v>0</v>
      </c>
      <c r="AH980" s="526">
        <f>+Z980-SUM(AI980:AJ980)</f>
        <v>0</v>
      </c>
      <c r="AI980" s="520"/>
      <c r="AJ980" s="520"/>
    </row>
    <row r="981" spans="1:36" s="204" customFormat="1" ht="26.25" x14ac:dyDescent="0.25">
      <c r="A981" s="535" t="s">
        <v>3681</v>
      </c>
      <c r="B981" s="536" t="s">
        <v>2474</v>
      </c>
      <c r="C981" s="536" t="s">
        <v>2475</v>
      </c>
      <c r="D981" s="536"/>
      <c r="E981" s="536"/>
      <c r="F981" s="536"/>
      <c r="G981" s="536"/>
      <c r="H981" s="536"/>
      <c r="I981" s="536"/>
      <c r="J981" s="536"/>
      <c r="K981" s="536"/>
      <c r="L981" s="536" t="s">
        <v>4185</v>
      </c>
      <c r="M981" s="284" t="s">
        <v>2962</v>
      </c>
      <c r="N981" s="408">
        <f>+R981</f>
        <v>0</v>
      </c>
      <c r="O981" s="408">
        <f>+Z981</f>
        <v>0</v>
      </c>
      <c r="P981" s="271">
        <f t="shared" si="182"/>
        <v>0</v>
      </c>
      <c r="Q981" s="527"/>
      <c r="R981" s="354">
        <f>IF(ISERROR(VLOOKUP("SAN"&amp;$C981,ESTR_PREC_SP!$A$2:$G$2000,4,FALSE))=TRUE,0,VLOOKUP("SAN"&amp;$C981,ESTR_PREC_SP!$A$2:$G$2000,4,FALSE))</f>
        <v>0</v>
      </c>
      <c r="S981" s="521"/>
      <c r="T981" s="545"/>
      <c r="U981" s="527"/>
      <c r="V981" s="527"/>
      <c r="W981" s="527"/>
      <c r="X981" s="527"/>
      <c r="Y981" s="527"/>
      <c r="Z981" s="269">
        <f>+R981+S981+U981+V981-X981-Y981+W981+Q981</f>
        <v>0</v>
      </c>
      <c r="AA981" s="546"/>
      <c r="AB981" s="545"/>
      <c r="AC981" s="520"/>
      <c r="AD981" s="520"/>
      <c r="AE981" s="520"/>
      <c r="AF981" s="520"/>
      <c r="AG981" s="526">
        <f>+Z981-SUM(AC981:AF981)</f>
        <v>0</v>
      </c>
      <c r="AH981" s="526">
        <f>+Z981-SUM(AI981:AJ981)</f>
        <v>0</v>
      </c>
      <c r="AI981" s="520"/>
      <c r="AJ981" s="520"/>
    </row>
    <row r="982" spans="1:36" s="204" customFormat="1" ht="26.25" x14ac:dyDescent="0.25">
      <c r="A982" s="535" t="s">
        <v>3681</v>
      </c>
      <c r="B982" s="536" t="s">
        <v>2478</v>
      </c>
      <c r="C982" s="536" t="s">
        <v>2479</v>
      </c>
      <c r="D982" s="536"/>
      <c r="E982" s="536"/>
      <c r="F982" s="536"/>
      <c r="G982" s="536"/>
      <c r="H982" s="536"/>
      <c r="I982" s="536"/>
      <c r="J982" s="536"/>
      <c r="K982" s="536"/>
      <c r="L982" s="536" t="s">
        <v>4186</v>
      </c>
      <c r="M982" s="284" t="s">
        <v>2962</v>
      </c>
      <c r="N982" s="408">
        <f>+R982</f>
        <v>0</v>
      </c>
      <c r="O982" s="408">
        <f>+Z982</f>
        <v>0</v>
      </c>
      <c r="P982" s="271">
        <f t="shared" si="182"/>
        <v>0</v>
      </c>
      <c r="Q982" s="527"/>
      <c r="R982" s="354">
        <f>IF(ISERROR(VLOOKUP("SAN"&amp;$C982,ESTR_PREC_SP!$A$2:$G$2000,4,FALSE))=TRUE,0,VLOOKUP("SAN"&amp;$C982,ESTR_PREC_SP!$A$2:$G$2000,4,FALSE))</f>
        <v>0</v>
      </c>
      <c r="S982" s="521"/>
      <c r="T982" s="545"/>
      <c r="U982" s="527"/>
      <c r="V982" s="527"/>
      <c r="W982" s="527"/>
      <c r="X982" s="527"/>
      <c r="Y982" s="527"/>
      <c r="Z982" s="269">
        <f>+R982+S982+U982+V982-X982-Y982+W982+Q982</f>
        <v>0</v>
      </c>
      <c r="AA982" s="546"/>
      <c r="AB982" s="545"/>
      <c r="AC982" s="520"/>
      <c r="AD982" s="520"/>
      <c r="AE982" s="520"/>
      <c r="AF982" s="520"/>
      <c r="AG982" s="526">
        <f>+Z982-SUM(AC982:AF982)</f>
        <v>0</v>
      </c>
      <c r="AH982" s="526">
        <f>+Z982-SUM(AI982:AJ982)</f>
        <v>0</v>
      </c>
      <c r="AI982" s="520"/>
      <c r="AJ982" s="520"/>
    </row>
    <row r="983" spans="1:36" s="204" customFormat="1" ht="39" x14ac:dyDescent="0.25">
      <c r="A983" s="535" t="s">
        <v>3681</v>
      </c>
      <c r="B983" s="536" t="s">
        <v>2482</v>
      </c>
      <c r="C983" s="536" t="s">
        <v>2483</v>
      </c>
      <c r="D983" s="536"/>
      <c r="E983" s="536"/>
      <c r="F983" s="536"/>
      <c r="G983" s="536"/>
      <c r="H983" s="536"/>
      <c r="I983" s="536"/>
      <c r="J983" s="536"/>
      <c r="K983" s="536"/>
      <c r="L983" s="536" t="s">
        <v>4187</v>
      </c>
      <c r="M983" s="284" t="s">
        <v>2962</v>
      </c>
      <c r="N983" s="408">
        <f>+R983</f>
        <v>0</v>
      </c>
      <c r="O983" s="408">
        <f>+Z983</f>
        <v>0</v>
      </c>
      <c r="P983" s="271">
        <f t="shared" si="182"/>
        <v>0</v>
      </c>
      <c r="Q983" s="527"/>
      <c r="R983" s="354">
        <f>IF(ISERROR(VLOOKUP("SAN"&amp;$C983,ESTR_PREC_SP!$A$2:$G$2000,4,FALSE))=TRUE,0,VLOOKUP("SAN"&amp;$C983,ESTR_PREC_SP!$A$2:$G$2000,4,FALSE))</f>
        <v>0</v>
      </c>
      <c r="S983" s="521"/>
      <c r="T983" s="545"/>
      <c r="U983" s="527"/>
      <c r="V983" s="527"/>
      <c r="W983" s="527"/>
      <c r="X983" s="527"/>
      <c r="Y983" s="527"/>
      <c r="Z983" s="269">
        <f>+R983+S983+U983+V983-X983-Y983+W983+Q983</f>
        <v>0</v>
      </c>
      <c r="AA983" s="546"/>
      <c r="AB983" s="545"/>
      <c r="AC983" s="520"/>
      <c r="AD983" s="520"/>
      <c r="AE983" s="520"/>
      <c r="AF983" s="520"/>
      <c r="AG983" s="526">
        <f>+Z983-SUM(AC983:AF983)</f>
        <v>0</v>
      </c>
      <c r="AH983" s="526">
        <f>+Z983-SUM(AI983:AJ983)</f>
        <v>0</v>
      </c>
      <c r="AI983" s="520"/>
      <c r="AJ983" s="520"/>
    </row>
    <row r="984" spans="1:36" s="204" customFormat="1" ht="26.25" x14ac:dyDescent="0.25">
      <c r="A984" s="535" t="s">
        <v>3681</v>
      </c>
      <c r="B984" s="536" t="s">
        <v>2486</v>
      </c>
      <c r="C984" s="536" t="s">
        <v>2487</v>
      </c>
      <c r="D984" s="536"/>
      <c r="E984" s="536"/>
      <c r="F984" s="536"/>
      <c r="G984" s="536"/>
      <c r="H984" s="536"/>
      <c r="I984" s="536"/>
      <c r="J984" s="536"/>
      <c r="K984" s="536"/>
      <c r="L984" s="536" t="s">
        <v>4188</v>
      </c>
      <c r="M984" s="284" t="s">
        <v>2962</v>
      </c>
      <c r="N984" s="408">
        <f>+R984</f>
        <v>0</v>
      </c>
      <c r="O984" s="408">
        <f>+Z984</f>
        <v>0</v>
      </c>
      <c r="P984" s="271">
        <f t="shared" si="182"/>
        <v>0</v>
      </c>
      <c r="Q984" s="527"/>
      <c r="R984" s="354">
        <f>IF(ISERROR(VLOOKUP("SAN"&amp;$C984,ESTR_PREC_SP!$A$2:$G$2000,4,FALSE))=TRUE,0,VLOOKUP("SAN"&amp;$C984,ESTR_PREC_SP!$A$2:$G$2000,4,FALSE))</f>
        <v>0</v>
      </c>
      <c r="S984" s="521"/>
      <c r="T984" s="545"/>
      <c r="U984" s="527"/>
      <c r="V984" s="527"/>
      <c r="W984" s="527"/>
      <c r="X984" s="527"/>
      <c r="Y984" s="527"/>
      <c r="Z984" s="269">
        <f>+R984+S984+U984+V984-X984-Y984+W984+Q984</f>
        <v>0</v>
      </c>
      <c r="AA984" s="546"/>
      <c r="AB984" s="545"/>
      <c r="AC984" s="520"/>
      <c r="AD984" s="520"/>
      <c r="AE984" s="520"/>
      <c r="AF984" s="520"/>
      <c r="AG984" s="526">
        <f>+Z984-SUM(AC984:AF984)</f>
        <v>0</v>
      </c>
      <c r="AH984" s="526">
        <f>+Z984-SUM(AI984:AJ984)</f>
        <v>0</v>
      </c>
      <c r="AI984" s="520"/>
      <c r="AJ984" s="520"/>
    </row>
    <row r="985" spans="1:36" s="204" customFormat="1" x14ac:dyDescent="0.25">
      <c r="B985" s="381"/>
      <c r="C985" s="381"/>
      <c r="D985" s="382"/>
      <c r="E985" s="382"/>
      <c r="F985" s="382"/>
      <c r="G985" s="382"/>
      <c r="H985" s="382"/>
      <c r="I985" s="382"/>
      <c r="J985" s="382"/>
      <c r="K985" s="382"/>
      <c r="L985" s="505"/>
      <c r="M985" s="216"/>
      <c r="N985" s="383"/>
      <c r="O985" s="383"/>
      <c r="P985" s="384"/>
      <c r="Q985" s="216"/>
      <c r="R985" s="275"/>
      <c r="S985" s="216"/>
      <c r="T985" s="216"/>
      <c r="U985" s="216"/>
      <c r="V985" s="216"/>
      <c r="W985" s="216"/>
      <c r="X985" s="216"/>
      <c r="Z985" s="216"/>
      <c r="AA985" s="216"/>
      <c r="AB985" s="216"/>
      <c r="AC985" s="216"/>
      <c r="AD985" s="216"/>
    </row>
    <row r="986" spans="1:36" s="204" customFormat="1" ht="25.5" x14ac:dyDescent="0.25">
      <c r="B986" s="246" t="s">
        <v>2490</v>
      </c>
      <c r="C986" s="246" t="s">
        <v>2491</v>
      </c>
      <c r="D986" s="247" t="s">
        <v>4059</v>
      </c>
      <c r="E986" s="247"/>
      <c r="F986" s="247"/>
      <c r="G986" s="247"/>
      <c r="H986" s="248"/>
      <c r="I986" s="247"/>
      <c r="J986" s="247"/>
      <c r="K986" s="249"/>
      <c r="L986" s="441" t="s">
        <v>2494</v>
      </c>
      <c r="M986" s="251" t="s">
        <v>2962</v>
      </c>
      <c r="N986" s="252">
        <f>+N990+N993+N994</f>
        <v>0</v>
      </c>
      <c r="O986" s="252">
        <f>+O990+O993+O994</f>
        <v>0</v>
      </c>
      <c r="P986" s="253">
        <f>+O986-N986</f>
        <v>0</v>
      </c>
      <c r="Q986" s="252">
        <f t="shared" ref="Q986:AJ986" si="194">+Q990+Q993+Q994</f>
        <v>0</v>
      </c>
      <c r="R986" s="252">
        <f t="shared" si="194"/>
        <v>0</v>
      </c>
      <c r="S986" s="252">
        <f t="shared" si="194"/>
        <v>0</v>
      </c>
      <c r="T986" s="252">
        <f t="shared" si="194"/>
        <v>0</v>
      </c>
      <c r="U986" s="252">
        <f t="shared" si="194"/>
        <v>0</v>
      </c>
      <c r="V986" s="252">
        <f t="shared" si="194"/>
        <v>0</v>
      </c>
      <c r="W986" s="252">
        <f t="shared" si="194"/>
        <v>0</v>
      </c>
      <c r="X986" s="252">
        <f t="shared" si="194"/>
        <v>0</v>
      </c>
      <c r="Y986" s="252">
        <f t="shared" si="194"/>
        <v>0</v>
      </c>
      <c r="Z986" s="252">
        <f t="shared" si="194"/>
        <v>0</v>
      </c>
      <c r="AA986" s="252">
        <f t="shared" si="194"/>
        <v>0</v>
      </c>
      <c r="AB986" s="252">
        <f t="shared" si="194"/>
        <v>0</v>
      </c>
      <c r="AC986" s="252">
        <f t="shared" si="194"/>
        <v>0</v>
      </c>
      <c r="AD986" s="252">
        <f t="shared" si="194"/>
        <v>0</v>
      </c>
      <c r="AE986" s="252">
        <f t="shared" si="194"/>
        <v>0</v>
      </c>
      <c r="AF986" s="252">
        <f t="shared" si="194"/>
        <v>0</v>
      </c>
      <c r="AG986" s="252">
        <f t="shared" si="194"/>
        <v>0</v>
      </c>
      <c r="AH986" s="252">
        <f t="shared" si="194"/>
        <v>0</v>
      </c>
      <c r="AI986" s="252">
        <f t="shared" si="194"/>
        <v>0</v>
      </c>
      <c r="AJ986" s="252">
        <f t="shared" si="194"/>
        <v>0</v>
      </c>
    </row>
    <row r="987" spans="1:36" s="204" customFormat="1" x14ac:dyDescent="0.25">
      <c r="B987" s="216"/>
      <c r="C987" s="216"/>
      <c r="D987" s="226"/>
      <c r="E987" s="226"/>
      <c r="F987" s="226"/>
      <c r="G987" s="226"/>
      <c r="H987" s="227"/>
      <c r="I987" s="226"/>
      <c r="J987" s="226"/>
      <c r="K987" s="226"/>
      <c r="L987" s="403"/>
      <c r="M987" s="278"/>
      <c r="N987" s="279"/>
      <c r="O987" s="279"/>
      <c r="P987" s="404"/>
      <c r="Q987" s="216"/>
      <c r="R987" s="279"/>
      <c r="S987" s="216"/>
      <c r="T987" s="216"/>
      <c r="U987" s="216"/>
      <c r="V987" s="216"/>
      <c r="W987" s="216"/>
      <c r="X987" s="216"/>
      <c r="Z987" s="216"/>
      <c r="AA987" s="216"/>
      <c r="AB987" s="216"/>
      <c r="AC987" s="216"/>
      <c r="AD987" s="216"/>
    </row>
    <row r="988" spans="1:36" s="204" customFormat="1" ht="15.75" customHeight="1" x14ac:dyDescent="0.25">
      <c r="A988" s="204" t="s">
        <v>4189</v>
      </c>
      <c r="B988" s="230"/>
      <c r="C988" s="230"/>
      <c r="D988" s="230"/>
      <c r="E988" s="230"/>
      <c r="F988" s="230"/>
      <c r="G988" s="230"/>
      <c r="H988" s="231"/>
      <c r="I988" s="230"/>
      <c r="J988" s="230"/>
      <c r="K988" s="230"/>
      <c r="L988" s="232"/>
      <c r="M988" s="211"/>
      <c r="N988" s="254"/>
      <c r="O988" s="211"/>
      <c r="P988" s="211"/>
      <c r="Q988" s="216"/>
      <c r="R988" s="211"/>
      <c r="S988" s="211"/>
      <c r="U988" s="910" t="s">
        <v>3495</v>
      </c>
      <c r="V988" s="910"/>
      <c r="W988" s="485"/>
      <c r="X988" s="903" t="s">
        <v>3496</v>
      </c>
      <c r="Y988" s="903"/>
      <c r="Z988" s="211"/>
      <c r="AA988" s="211"/>
      <c r="AB988" s="211"/>
      <c r="AC988" s="904" t="str">
        <f>+AC946</f>
        <v>VALORE DEI DEBITI AL 31/12/2020 PER ANNO DI FORMAZIONE</v>
      </c>
      <c r="AD988" s="904"/>
      <c r="AE988" s="904"/>
      <c r="AF988" s="904"/>
      <c r="AG988" s="904"/>
      <c r="AH988" s="905" t="str">
        <f>+AH946</f>
        <v>Debiti al 31/12/2020 per scadenza</v>
      </c>
      <c r="AI988" s="905"/>
      <c r="AJ988" s="905"/>
    </row>
    <row r="989" spans="1:36" s="204" customFormat="1" ht="51" x14ac:dyDescent="0.25">
      <c r="B989" s="506" t="s">
        <v>2968</v>
      </c>
      <c r="C989" s="506" t="s">
        <v>2969</v>
      </c>
      <c r="D989" s="500" t="s">
        <v>72</v>
      </c>
      <c r="E989" s="500"/>
      <c r="F989" s="500"/>
      <c r="G989" s="501"/>
      <c r="H989" s="501"/>
      <c r="I989" s="501"/>
      <c r="J989" s="501" t="s">
        <v>2957</v>
      </c>
      <c r="K989" s="500" t="s">
        <v>82</v>
      </c>
      <c r="L989" s="431" t="s">
        <v>3670</v>
      </c>
      <c r="M989" s="480"/>
      <c r="N989" s="256" t="str">
        <f>N$15</f>
        <v>Valore netto al 31/12/2019</v>
      </c>
      <c r="O989" s="256" t="str">
        <f>O$15</f>
        <v>Valore netto al 31/12/2020</v>
      </c>
      <c r="P989" s="256" t="str">
        <f>P$15</f>
        <v>Variazione</v>
      </c>
      <c r="Q989" s="262" t="s">
        <v>2971</v>
      </c>
      <c r="R989" s="346" t="s">
        <v>3517</v>
      </c>
      <c r="S989" s="442" t="s">
        <v>2972</v>
      </c>
      <c r="T989" s="486" t="s">
        <v>3995</v>
      </c>
      <c r="U989" s="337" t="s">
        <v>3996</v>
      </c>
      <c r="V989" s="337" t="s">
        <v>3495</v>
      </c>
      <c r="W989" s="262" t="s">
        <v>2975</v>
      </c>
      <c r="X989" s="338" t="s">
        <v>3498</v>
      </c>
      <c r="Y989" s="338" t="s">
        <v>3499</v>
      </c>
      <c r="Z989" s="346" t="s">
        <v>3815</v>
      </c>
      <c r="AA989" s="497" t="s">
        <v>3997</v>
      </c>
      <c r="AB989" s="377" t="s">
        <v>3998</v>
      </c>
      <c r="AC989" s="339" t="s">
        <v>3503</v>
      </c>
      <c r="AD989" s="339" t="s">
        <v>3504</v>
      </c>
      <c r="AE989" s="339" t="s">
        <v>3505</v>
      </c>
      <c r="AF989" s="339" t="s">
        <v>3506</v>
      </c>
      <c r="AG989" s="339" t="s">
        <v>3507</v>
      </c>
      <c r="AH989" s="340" t="s">
        <v>3508</v>
      </c>
      <c r="AI989" s="340" t="s">
        <v>3509</v>
      </c>
      <c r="AJ989" s="340" t="s">
        <v>3510</v>
      </c>
    </row>
    <row r="990" spans="1:36" s="204" customFormat="1" x14ac:dyDescent="0.25">
      <c r="B990" s="287" t="s">
        <v>2495</v>
      </c>
      <c r="C990" s="287" t="s">
        <v>2496</v>
      </c>
      <c r="D990" s="284" t="s">
        <v>4060</v>
      </c>
      <c r="E990" s="274"/>
      <c r="F990" s="437"/>
      <c r="G990" s="437"/>
      <c r="H990" s="437"/>
      <c r="I990" s="437"/>
      <c r="J990" s="437"/>
      <c r="K990" s="437"/>
      <c r="L990" s="295" t="s">
        <v>2498</v>
      </c>
      <c r="M990" s="284" t="s">
        <v>2962</v>
      </c>
      <c r="N990" s="378">
        <f>SUM(N991:N992)</f>
        <v>0</v>
      </c>
      <c r="O990" s="378">
        <f>SUM(O991:O992)</f>
        <v>0</v>
      </c>
      <c r="P990" s="378">
        <f t="shared" ref="P990:P996" si="195">+O990-N990</f>
        <v>0</v>
      </c>
      <c r="Q990" s="378">
        <f t="shared" ref="Q990:AF990" si="196">SUM(Q991:Q992)</f>
        <v>0</v>
      </c>
      <c r="R990" s="378">
        <f t="shared" si="196"/>
        <v>0</v>
      </c>
      <c r="S990" s="378">
        <f t="shared" si="196"/>
        <v>0</v>
      </c>
      <c r="T990" s="378">
        <f t="shared" si="196"/>
        <v>0</v>
      </c>
      <c r="U990" s="378">
        <f t="shared" si="196"/>
        <v>0</v>
      </c>
      <c r="V990" s="378">
        <f t="shared" si="196"/>
        <v>0</v>
      </c>
      <c r="W990" s="378">
        <f t="shared" si="196"/>
        <v>0</v>
      </c>
      <c r="X990" s="378">
        <f t="shared" si="196"/>
        <v>0</v>
      </c>
      <c r="Y990" s="378">
        <f t="shared" si="196"/>
        <v>0</v>
      </c>
      <c r="Z990" s="378">
        <f t="shared" si="196"/>
        <v>0</v>
      </c>
      <c r="AA990" s="378">
        <f t="shared" si="196"/>
        <v>0</v>
      </c>
      <c r="AB990" s="378">
        <f t="shared" si="196"/>
        <v>0</v>
      </c>
      <c r="AC990" s="378">
        <f t="shared" si="196"/>
        <v>0</v>
      </c>
      <c r="AD990" s="378">
        <f t="shared" si="196"/>
        <v>0</v>
      </c>
      <c r="AE990" s="378">
        <f t="shared" si="196"/>
        <v>0</v>
      </c>
      <c r="AF990" s="378">
        <f t="shared" si="196"/>
        <v>0</v>
      </c>
      <c r="AG990" s="537">
        <f t="shared" ref="AG990:AG996" si="197">+Z990-SUM(AC990:AF990)</f>
        <v>0</v>
      </c>
      <c r="AH990" s="537">
        <f t="shared" ref="AH990:AH996" si="198">+Z990-SUM(AI990:AJ990)</f>
        <v>0</v>
      </c>
      <c r="AI990" s="378">
        <f>SUM(AI991:AI992)</f>
        <v>0</v>
      </c>
      <c r="AJ990" s="378">
        <f>SUM(AJ991:AJ992)</f>
        <v>0</v>
      </c>
    </row>
    <row r="991" spans="1:36" s="204" customFormat="1" x14ac:dyDescent="0.25">
      <c r="B991" s="287" t="s">
        <v>2499</v>
      </c>
      <c r="C991" s="287" t="s">
        <v>2500</v>
      </c>
      <c r="D991" s="284" t="s">
        <v>4061</v>
      </c>
      <c r="E991" s="274"/>
      <c r="F991" s="437"/>
      <c r="G991" s="437"/>
      <c r="H991" s="437"/>
      <c r="I991" s="437"/>
      <c r="J991" s="437"/>
      <c r="K991" s="437"/>
      <c r="L991" s="406" t="s">
        <v>4062</v>
      </c>
      <c r="M991" s="284" t="s">
        <v>2962</v>
      </c>
      <c r="N991" s="408">
        <f>+R991</f>
        <v>0</v>
      </c>
      <c r="O991" s="408">
        <f>+Z991</f>
        <v>0</v>
      </c>
      <c r="P991" s="271">
        <f t="shared" si="195"/>
        <v>0</v>
      </c>
      <c r="Q991" s="527"/>
      <c r="R991" s="354">
        <f>IF(ISERROR(VLOOKUP("SAN"&amp;$C991,ESTR_PREC_SP!$A$2:$G$2000,4,FALSE))=TRUE,0,VLOOKUP("SAN"&amp;$C991,ESTR_PREC_SP!$A$2:$G$2000,4,FALSE))</f>
        <v>0</v>
      </c>
      <c r="S991" s="351"/>
      <c r="T991" s="545"/>
      <c r="U991" s="527"/>
      <c r="V991" s="527"/>
      <c r="W991" s="527"/>
      <c r="X991" s="527"/>
      <c r="Y991" s="527"/>
      <c r="Z991" s="269">
        <f>+R991+S991+U991+V991-X991-Y991+W991+Q991</f>
        <v>0</v>
      </c>
      <c r="AA991" s="546"/>
      <c r="AB991" s="545"/>
      <c r="AC991" s="520"/>
      <c r="AD991" s="520"/>
      <c r="AE991" s="520"/>
      <c r="AF991" s="520"/>
      <c r="AG991" s="526">
        <f t="shared" si="197"/>
        <v>0</v>
      </c>
      <c r="AH991" s="526">
        <f t="shared" si="198"/>
        <v>0</v>
      </c>
      <c r="AI991" s="520"/>
      <c r="AJ991" s="520"/>
    </row>
    <row r="992" spans="1:36" s="204" customFormat="1" x14ac:dyDescent="0.25">
      <c r="B992" s="287" t="s">
        <v>2502</v>
      </c>
      <c r="C992" s="287" t="s">
        <v>2503</v>
      </c>
      <c r="D992" s="284" t="s">
        <v>4063</v>
      </c>
      <c r="E992" s="274"/>
      <c r="F992" s="437"/>
      <c r="G992" s="437"/>
      <c r="H992" s="437"/>
      <c r="I992" s="437"/>
      <c r="J992" s="437"/>
      <c r="K992" s="437"/>
      <c r="L992" s="406" t="s">
        <v>4064</v>
      </c>
      <c r="M992" s="284" t="s">
        <v>2962</v>
      </c>
      <c r="N992" s="408">
        <f>+R992</f>
        <v>0</v>
      </c>
      <c r="O992" s="408">
        <f>+Z992</f>
        <v>0</v>
      </c>
      <c r="P992" s="271">
        <f t="shared" si="195"/>
        <v>0</v>
      </c>
      <c r="Q992" s="527"/>
      <c r="R992" s="354">
        <f>IF(ISERROR(VLOOKUP("SAN"&amp;$C992,ESTR_PREC_SP!$A$2:$G$2000,4,FALSE))=TRUE,0,VLOOKUP("SAN"&amp;$C992,ESTR_PREC_SP!$A$2:$G$2000,4,FALSE))</f>
        <v>0</v>
      </c>
      <c r="S992" s="351"/>
      <c r="T992" s="545"/>
      <c r="U992" s="527"/>
      <c r="V992" s="527"/>
      <c r="W992" s="527"/>
      <c r="X992" s="527"/>
      <c r="Y992" s="527"/>
      <c r="Z992" s="269">
        <f>+R992+S992+U992+V992-X992-Y992+W992+Q992</f>
        <v>0</v>
      </c>
      <c r="AA992" s="546"/>
      <c r="AB992" s="545"/>
      <c r="AC992" s="520"/>
      <c r="AD992" s="520"/>
      <c r="AE992" s="520"/>
      <c r="AF992" s="520"/>
      <c r="AG992" s="526">
        <f t="shared" si="197"/>
        <v>0</v>
      </c>
      <c r="AH992" s="526">
        <f t="shared" si="198"/>
        <v>0</v>
      </c>
      <c r="AI992" s="520"/>
      <c r="AJ992" s="520"/>
    </row>
    <row r="993" spans="1:36" s="204" customFormat="1" x14ac:dyDescent="0.25">
      <c r="B993" s="287" t="s">
        <v>2505</v>
      </c>
      <c r="C993" s="287" t="s">
        <v>2506</v>
      </c>
      <c r="D993" s="284" t="s">
        <v>4065</v>
      </c>
      <c r="E993" s="274"/>
      <c r="F993" s="437"/>
      <c r="G993" s="437"/>
      <c r="H993" s="437"/>
      <c r="I993" s="437"/>
      <c r="J993" s="437"/>
      <c r="K993" s="437"/>
      <c r="L993" s="295" t="s">
        <v>2508</v>
      </c>
      <c r="M993" s="284" t="s">
        <v>2962</v>
      </c>
      <c r="N993" s="408">
        <f>+R993</f>
        <v>0</v>
      </c>
      <c r="O993" s="408">
        <f>+Z993</f>
        <v>0</v>
      </c>
      <c r="P993" s="271">
        <f t="shared" si="195"/>
        <v>0</v>
      </c>
      <c r="Q993" s="527"/>
      <c r="R993" s="354">
        <f>IF(ISERROR(VLOOKUP("SAN"&amp;$C993,ESTR_PREC_SP!$A$2:$G$2000,4,FALSE))=TRUE,0,VLOOKUP("SAN"&amp;$C993,ESTR_PREC_SP!$A$2:$G$2000,4,FALSE))</f>
        <v>0</v>
      </c>
      <c r="S993" s="351"/>
      <c r="T993" s="545"/>
      <c r="U993" s="527"/>
      <c r="V993" s="527"/>
      <c r="W993" s="527"/>
      <c r="X993" s="527"/>
      <c r="Y993" s="527"/>
      <c r="Z993" s="269">
        <f>+R993+S993+U993+V993-X993-Y993+W993+Q993</f>
        <v>0</v>
      </c>
      <c r="AA993" s="546"/>
      <c r="AB993" s="545"/>
      <c r="AC993" s="520"/>
      <c r="AD993" s="520"/>
      <c r="AE993" s="520"/>
      <c r="AF993" s="520"/>
      <c r="AG993" s="526">
        <f t="shared" si="197"/>
        <v>0</v>
      </c>
      <c r="AH993" s="526">
        <f t="shared" si="198"/>
        <v>0</v>
      </c>
      <c r="AI993" s="520"/>
      <c r="AJ993" s="520"/>
    </row>
    <row r="994" spans="1:36" s="204" customFormat="1" x14ac:dyDescent="0.25">
      <c r="B994" s="287" t="s">
        <v>2509</v>
      </c>
      <c r="C994" s="287" t="s">
        <v>2510</v>
      </c>
      <c r="D994" s="284" t="s">
        <v>4066</v>
      </c>
      <c r="E994" s="274"/>
      <c r="F994" s="437"/>
      <c r="G994" s="437"/>
      <c r="H994" s="437"/>
      <c r="I994" s="437"/>
      <c r="J994" s="437"/>
      <c r="K994" s="437"/>
      <c r="L994" s="295" t="s">
        <v>2512</v>
      </c>
      <c r="M994" s="284" t="s">
        <v>2962</v>
      </c>
      <c r="N994" s="378">
        <f>SUM(N995:N996)</f>
        <v>0</v>
      </c>
      <c r="O994" s="378">
        <f>SUM(O995:O996)</f>
        <v>0</v>
      </c>
      <c r="P994" s="378">
        <f t="shared" si="195"/>
        <v>0</v>
      </c>
      <c r="Q994" s="378">
        <f t="shared" ref="Q994:AF994" si="199">SUM(Q995:Q996)</f>
        <v>0</v>
      </c>
      <c r="R994" s="378">
        <f t="shared" si="199"/>
        <v>0</v>
      </c>
      <c r="S994" s="378">
        <f t="shared" si="199"/>
        <v>0</v>
      </c>
      <c r="T994" s="378">
        <f t="shared" si="199"/>
        <v>0</v>
      </c>
      <c r="U994" s="378">
        <f t="shared" si="199"/>
        <v>0</v>
      </c>
      <c r="V994" s="378">
        <f t="shared" si="199"/>
        <v>0</v>
      </c>
      <c r="W994" s="378">
        <f t="shared" si="199"/>
        <v>0</v>
      </c>
      <c r="X994" s="378">
        <f t="shared" si="199"/>
        <v>0</v>
      </c>
      <c r="Y994" s="378">
        <f t="shared" si="199"/>
        <v>0</v>
      </c>
      <c r="Z994" s="378">
        <f t="shared" si="199"/>
        <v>0</v>
      </c>
      <c r="AA994" s="378">
        <f t="shared" si="199"/>
        <v>0</v>
      </c>
      <c r="AB994" s="378">
        <f t="shared" si="199"/>
        <v>0</v>
      </c>
      <c r="AC994" s="378">
        <f t="shared" si="199"/>
        <v>0</v>
      </c>
      <c r="AD994" s="378">
        <f t="shared" si="199"/>
        <v>0</v>
      </c>
      <c r="AE994" s="378">
        <f t="shared" si="199"/>
        <v>0</v>
      </c>
      <c r="AF994" s="378">
        <f t="shared" si="199"/>
        <v>0</v>
      </c>
      <c r="AG994" s="537">
        <f t="shared" si="197"/>
        <v>0</v>
      </c>
      <c r="AH994" s="537">
        <f t="shared" si="198"/>
        <v>0</v>
      </c>
      <c r="AI994" s="378">
        <f>SUM(AI995:AI996)</f>
        <v>0</v>
      </c>
      <c r="AJ994" s="378">
        <f>SUM(AJ995:AJ996)</f>
        <v>0</v>
      </c>
    </row>
    <row r="995" spans="1:36" s="204" customFormat="1" x14ac:dyDescent="0.25">
      <c r="B995" s="287" t="s">
        <v>2513</v>
      </c>
      <c r="C995" s="287" t="s">
        <v>2514</v>
      </c>
      <c r="D995" s="284" t="s">
        <v>4067</v>
      </c>
      <c r="E995" s="274"/>
      <c r="F995" s="437"/>
      <c r="G995" s="437"/>
      <c r="H995" s="437"/>
      <c r="I995" s="437"/>
      <c r="J995" s="437"/>
      <c r="K995" s="437"/>
      <c r="L995" s="406" t="s">
        <v>4068</v>
      </c>
      <c r="M995" s="284" t="s">
        <v>2962</v>
      </c>
      <c r="N995" s="408">
        <f>+R995</f>
        <v>0</v>
      </c>
      <c r="O995" s="408">
        <f>+Z995</f>
        <v>0</v>
      </c>
      <c r="P995" s="271">
        <f t="shared" si="195"/>
        <v>0</v>
      </c>
      <c r="Q995" s="527"/>
      <c r="R995" s="354">
        <f>IF(ISERROR(VLOOKUP("SAN"&amp;$C995,ESTR_PREC_SP!$A$2:$G$2000,4,FALSE))=TRUE,0,VLOOKUP("SAN"&amp;$C995,ESTR_PREC_SP!$A$2:$G$2000,4,FALSE))</f>
        <v>0</v>
      </c>
      <c r="S995" s="351"/>
      <c r="T995" s="545"/>
      <c r="U995" s="527"/>
      <c r="V995" s="527"/>
      <c r="W995" s="527"/>
      <c r="X995" s="527"/>
      <c r="Y995" s="527"/>
      <c r="Z995" s="269">
        <f>+R995+S995+U995+V995-X995-Y995+W995+Q995</f>
        <v>0</v>
      </c>
      <c r="AA995" s="546"/>
      <c r="AB995" s="545"/>
      <c r="AC995" s="520"/>
      <c r="AD995" s="520"/>
      <c r="AE995" s="520"/>
      <c r="AF995" s="520"/>
      <c r="AG995" s="526">
        <f t="shared" si="197"/>
        <v>0</v>
      </c>
      <c r="AH995" s="526">
        <f t="shared" si="198"/>
        <v>0</v>
      </c>
      <c r="AI995" s="520"/>
      <c r="AJ995" s="520"/>
    </row>
    <row r="996" spans="1:36" s="204" customFormat="1" x14ac:dyDescent="0.25">
      <c r="B996" s="287" t="s">
        <v>2516</v>
      </c>
      <c r="C996" s="287" t="s">
        <v>2517</v>
      </c>
      <c r="D996" s="284" t="s">
        <v>4069</v>
      </c>
      <c r="E996" s="274"/>
      <c r="F996" s="437"/>
      <c r="G996" s="437"/>
      <c r="H996" s="437"/>
      <c r="I996" s="437"/>
      <c r="J996" s="437"/>
      <c r="K996" s="437"/>
      <c r="L996" s="406" t="s">
        <v>4070</v>
      </c>
      <c r="M996" s="284" t="s">
        <v>2962</v>
      </c>
      <c r="N996" s="408">
        <f>+R996</f>
        <v>0</v>
      </c>
      <c r="O996" s="408">
        <f>+Z996</f>
        <v>0</v>
      </c>
      <c r="P996" s="271">
        <f t="shared" si="195"/>
        <v>0</v>
      </c>
      <c r="Q996" s="527"/>
      <c r="R996" s="354">
        <f>IF(ISERROR(VLOOKUP("SAN"&amp;$C996,ESTR_PREC_SP!$A$2:$G$2000,4,FALSE))=TRUE,0,VLOOKUP("SAN"&amp;$C996,ESTR_PREC_SP!$A$2:$G$2000,4,FALSE))</f>
        <v>0</v>
      </c>
      <c r="S996" s="351"/>
      <c r="T996" s="545"/>
      <c r="U996" s="527"/>
      <c r="V996" s="527"/>
      <c r="W996" s="527"/>
      <c r="X996" s="527"/>
      <c r="Y996" s="527"/>
      <c r="Z996" s="269">
        <f>+R996+S996+U996+V996-X996-Y996+W996+Q996</f>
        <v>0</v>
      </c>
      <c r="AA996" s="546"/>
      <c r="AB996" s="545"/>
      <c r="AC996" s="520"/>
      <c r="AD996" s="520"/>
      <c r="AE996" s="520"/>
      <c r="AF996" s="520"/>
      <c r="AG996" s="526">
        <f t="shared" si="197"/>
        <v>0</v>
      </c>
      <c r="AH996" s="526">
        <f t="shared" si="198"/>
        <v>0</v>
      </c>
      <c r="AI996" s="520"/>
      <c r="AJ996" s="520"/>
    </row>
    <row r="997" spans="1:36" s="204" customFormat="1" x14ac:dyDescent="0.25">
      <c r="B997" s="381"/>
      <c r="C997" s="381"/>
      <c r="D997" s="382"/>
      <c r="E997" s="382"/>
      <c r="F997" s="382"/>
      <c r="G997" s="382"/>
      <c r="H997" s="382"/>
      <c r="I997" s="382"/>
      <c r="J997" s="382"/>
      <c r="K997" s="382"/>
      <c r="L997" s="505"/>
      <c r="M997" s="216"/>
      <c r="N997" s="383"/>
      <c r="O997" s="383"/>
      <c r="P997" s="384"/>
      <c r="Q997" s="216"/>
      <c r="R997" s="275"/>
      <c r="S997" s="216"/>
      <c r="T997" s="216"/>
      <c r="U997" s="216"/>
      <c r="V997" s="216"/>
      <c r="W997" s="216"/>
      <c r="X997" s="216"/>
      <c r="Z997" s="216"/>
      <c r="AA997" s="216"/>
      <c r="AB997" s="216"/>
      <c r="AC997" s="216"/>
      <c r="AD997" s="216"/>
    </row>
    <row r="998" spans="1:36" s="204" customFormat="1" x14ac:dyDescent="0.25">
      <c r="A998" s="204" t="s">
        <v>4189</v>
      </c>
      <c r="B998" s="302"/>
      <c r="C998" s="302"/>
      <c r="D998" s="226"/>
      <c r="E998" s="226"/>
      <c r="F998" s="226"/>
      <c r="G998" s="226"/>
      <c r="H998" s="227"/>
      <c r="I998" s="226"/>
      <c r="J998" s="226"/>
      <c r="K998" s="226"/>
      <c r="L998" s="315"/>
      <c r="M998" s="216"/>
      <c r="N998" s="254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Z998" s="216"/>
      <c r="AA998" s="216"/>
      <c r="AB998" s="216"/>
      <c r="AC998" s="216"/>
      <c r="AD998" s="216"/>
    </row>
    <row r="999" spans="1:36" s="204" customFormat="1" x14ac:dyDescent="0.25">
      <c r="B999" s="292" t="s">
        <v>2519</v>
      </c>
      <c r="C999" s="292" t="s">
        <v>2520</v>
      </c>
      <c r="D999" s="247" t="s">
        <v>4071</v>
      </c>
      <c r="E999" s="247"/>
      <c r="F999" s="247"/>
      <c r="G999" s="247"/>
      <c r="H999" s="248"/>
      <c r="I999" s="247"/>
      <c r="J999" s="247"/>
      <c r="K999" s="249"/>
      <c r="L999" s="441" t="s">
        <v>2523</v>
      </c>
      <c r="M999" s="251" t="s">
        <v>2962</v>
      </c>
      <c r="N999" s="252">
        <f>+N1003+N1011</f>
        <v>32537849</v>
      </c>
      <c r="O999" s="252">
        <f>+O1003+O1011</f>
        <v>31686580</v>
      </c>
      <c r="P999" s="253">
        <f>+O999-N999</f>
        <v>-851269</v>
      </c>
      <c r="Q999" s="252">
        <f t="shared" ref="Q999:AJ999" si="200">+Q1003+Q1011</f>
        <v>0</v>
      </c>
      <c r="R999" s="252">
        <f t="shared" si="200"/>
        <v>32537849</v>
      </c>
      <c r="S999" s="252">
        <f t="shared" si="200"/>
        <v>0</v>
      </c>
      <c r="T999" s="252">
        <f t="shared" si="200"/>
        <v>4755272</v>
      </c>
      <c r="U999" s="252">
        <f t="shared" si="200"/>
        <v>0</v>
      </c>
      <c r="V999" s="252">
        <f t="shared" si="200"/>
        <v>114172849</v>
      </c>
      <c r="W999" s="252">
        <f t="shared" si="200"/>
        <v>0</v>
      </c>
      <c r="X999" s="252">
        <f t="shared" si="200"/>
        <v>28722282</v>
      </c>
      <c r="Y999" s="252">
        <f t="shared" si="200"/>
        <v>86301836</v>
      </c>
      <c r="Z999" s="252">
        <f t="shared" si="200"/>
        <v>31686580</v>
      </c>
      <c r="AA999" s="252">
        <f t="shared" si="200"/>
        <v>7019467</v>
      </c>
      <c r="AB999" s="252">
        <f t="shared" si="200"/>
        <v>5336736</v>
      </c>
      <c r="AC999" s="252">
        <f t="shared" si="200"/>
        <v>3228801</v>
      </c>
      <c r="AD999" s="252">
        <f t="shared" si="200"/>
        <v>82314</v>
      </c>
      <c r="AE999" s="252">
        <f t="shared" si="200"/>
        <v>116441</v>
      </c>
      <c r="AF999" s="252">
        <f t="shared" si="200"/>
        <v>448499</v>
      </c>
      <c r="AG999" s="252">
        <f t="shared" si="200"/>
        <v>27810525</v>
      </c>
      <c r="AH999" s="252">
        <f t="shared" si="200"/>
        <v>31686580</v>
      </c>
      <c r="AI999" s="252">
        <f t="shared" si="200"/>
        <v>0</v>
      </c>
      <c r="AJ999" s="252">
        <f t="shared" si="200"/>
        <v>0</v>
      </c>
    </row>
    <row r="1000" spans="1:36" s="204" customFormat="1" x14ac:dyDescent="0.25">
      <c r="B1000" s="293"/>
      <c r="C1000" s="293"/>
      <c r="D1000" s="230"/>
      <c r="E1000" s="230"/>
      <c r="F1000" s="230"/>
      <c r="G1000" s="230"/>
      <c r="H1000" s="231"/>
      <c r="I1000" s="230"/>
      <c r="J1000" s="230"/>
      <c r="K1000" s="230"/>
      <c r="L1000" s="232"/>
      <c r="M1000" s="211"/>
      <c r="N1000" s="254"/>
      <c r="O1000" s="211"/>
      <c r="P1000" s="211"/>
      <c r="Q1000" s="216"/>
      <c r="R1000" s="216"/>
      <c r="S1000" s="216"/>
      <c r="T1000" s="216"/>
      <c r="U1000" s="216"/>
      <c r="V1000" s="216"/>
      <c r="W1000" s="216"/>
      <c r="X1000" s="216"/>
      <c r="Z1000" s="216"/>
      <c r="AA1000" s="216"/>
      <c r="AB1000" s="216"/>
      <c r="AC1000" s="216"/>
      <c r="AD1000" s="216"/>
    </row>
    <row r="1001" spans="1:36" s="204" customFormat="1" ht="15.75" customHeight="1" x14ac:dyDescent="0.25">
      <c r="B1001" s="293"/>
      <c r="C1001" s="293"/>
      <c r="D1001" s="230"/>
      <c r="E1001" s="230"/>
      <c r="F1001" s="230"/>
      <c r="G1001" s="230"/>
      <c r="H1001" s="231"/>
      <c r="I1001" s="230"/>
      <c r="J1001" s="230"/>
      <c r="K1001" s="230"/>
      <c r="L1001" s="232"/>
      <c r="M1001" s="211"/>
      <c r="N1001" s="254"/>
      <c r="O1001" s="211"/>
      <c r="P1001" s="211"/>
      <c r="Q1001" s="216"/>
      <c r="R1001" s="211"/>
      <c r="S1001" s="211"/>
      <c r="U1001" s="910" t="s">
        <v>3495</v>
      </c>
      <c r="V1001" s="910"/>
      <c r="W1001" s="485"/>
      <c r="X1001" s="903" t="s">
        <v>3496</v>
      </c>
      <c r="Y1001" s="903"/>
      <c r="Z1001" s="211"/>
      <c r="AA1001" s="211"/>
      <c r="AB1001" s="211"/>
      <c r="AC1001" s="904" t="str">
        <f>+AC988</f>
        <v>VALORE DEI DEBITI AL 31/12/2020 PER ANNO DI FORMAZIONE</v>
      </c>
      <c r="AD1001" s="904"/>
      <c r="AE1001" s="904"/>
      <c r="AF1001" s="904"/>
      <c r="AG1001" s="904"/>
      <c r="AH1001" s="905" t="str">
        <f>+AH988</f>
        <v>Debiti al 31/12/2020 per scadenza</v>
      </c>
      <c r="AI1001" s="905"/>
      <c r="AJ1001" s="905"/>
    </row>
    <row r="1002" spans="1:36" s="204" customFormat="1" ht="51" x14ac:dyDescent="0.25">
      <c r="B1002" s="294" t="s">
        <v>2968</v>
      </c>
      <c r="C1002" s="294" t="s">
        <v>2969</v>
      </c>
      <c r="D1002" s="206" t="s">
        <v>72</v>
      </c>
      <c r="E1002" s="206"/>
      <c r="F1002" s="206"/>
      <c r="G1002" s="207"/>
      <c r="H1002" s="207"/>
      <c r="I1002" s="207"/>
      <c r="J1002" s="207" t="s">
        <v>2957</v>
      </c>
      <c r="K1002" s="206" t="s">
        <v>82</v>
      </c>
      <c r="L1002" s="261" t="s">
        <v>3670</v>
      </c>
      <c r="M1002" s="480"/>
      <c r="N1002" s="256" t="str">
        <f>N$15</f>
        <v>Valore netto al 31/12/2019</v>
      </c>
      <c r="O1002" s="256" t="str">
        <f>O$15</f>
        <v>Valore netto al 31/12/2020</v>
      </c>
      <c r="P1002" s="256" t="str">
        <f>P$15</f>
        <v>Variazione</v>
      </c>
      <c r="Q1002" s="262" t="s">
        <v>2971</v>
      </c>
      <c r="R1002" s="346" t="s">
        <v>3517</v>
      </c>
      <c r="S1002" s="442" t="s">
        <v>2972</v>
      </c>
      <c r="T1002" s="486" t="s">
        <v>3995</v>
      </c>
      <c r="U1002" s="337" t="s">
        <v>3996</v>
      </c>
      <c r="V1002" s="337" t="s">
        <v>3495</v>
      </c>
      <c r="W1002" s="262" t="s">
        <v>2975</v>
      </c>
      <c r="X1002" s="338" t="s">
        <v>3498</v>
      </c>
      <c r="Y1002" s="338" t="s">
        <v>3499</v>
      </c>
      <c r="Z1002" s="346" t="s">
        <v>3815</v>
      </c>
      <c r="AA1002" s="497" t="s">
        <v>3997</v>
      </c>
      <c r="AB1002" s="377" t="s">
        <v>3998</v>
      </c>
      <c r="AC1002" s="339" t="s">
        <v>3503</v>
      </c>
      <c r="AD1002" s="339" t="s">
        <v>3504</v>
      </c>
      <c r="AE1002" s="339" t="s">
        <v>3505</v>
      </c>
      <c r="AF1002" s="339" t="s">
        <v>3506</v>
      </c>
      <c r="AG1002" s="339" t="s">
        <v>3507</v>
      </c>
      <c r="AH1002" s="340" t="s">
        <v>3508</v>
      </c>
      <c r="AI1002" s="340" t="s">
        <v>3509</v>
      </c>
      <c r="AJ1002" s="340" t="s">
        <v>3510</v>
      </c>
    </row>
    <row r="1003" spans="1:36" s="204" customFormat="1" ht="25.5" x14ac:dyDescent="0.25">
      <c r="B1003" s="287" t="s">
        <v>2524</v>
      </c>
      <c r="C1003" s="287" t="s">
        <v>2525</v>
      </c>
      <c r="D1003" s="284" t="s">
        <v>4072</v>
      </c>
      <c r="E1003" s="274"/>
      <c r="F1003" s="274"/>
      <c r="G1003" s="283"/>
      <c r="H1003" s="266"/>
      <c r="I1003" s="274"/>
      <c r="J1003" s="281"/>
      <c r="K1003" s="281"/>
      <c r="L1003" s="296" t="s">
        <v>2527</v>
      </c>
      <c r="M1003" s="284" t="s">
        <v>2962</v>
      </c>
      <c r="N1003" s="378">
        <f>SUM(N1004:N1010)</f>
        <v>103034</v>
      </c>
      <c r="O1003" s="378">
        <f>SUM(O1004:O1010)</f>
        <v>232322</v>
      </c>
      <c r="P1003" s="378">
        <f t="shared" ref="P1003:P1014" si="201">+O1003-N1003</f>
        <v>129288</v>
      </c>
      <c r="Q1003" s="378">
        <f t="shared" ref="Q1003:AJ1003" si="202">SUM(Q1004:Q1010)</f>
        <v>0</v>
      </c>
      <c r="R1003" s="378">
        <f t="shared" si="202"/>
        <v>103034</v>
      </c>
      <c r="S1003" s="378">
        <f t="shared" si="202"/>
        <v>0</v>
      </c>
      <c r="T1003" s="378">
        <f t="shared" si="202"/>
        <v>0</v>
      </c>
      <c r="U1003" s="378">
        <f t="shared" si="202"/>
        <v>0</v>
      </c>
      <c r="V1003" s="378">
        <f t="shared" si="202"/>
        <v>281881</v>
      </c>
      <c r="W1003" s="378">
        <f t="shared" si="202"/>
        <v>0</v>
      </c>
      <c r="X1003" s="378">
        <f t="shared" si="202"/>
        <v>103034</v>
      </c>
      <c r="Y1003" s="378">
        <f t="shared" si="202"/>
        <v>49559</v>
      </c>
      <c r="Z1003" s="378">
        <f t="shared" si="202"/>
        <v>232322</v>
      </c>
      <c r="AA1003" s="378">
        <f t="shared" si="202"/>
        <v>110697</v>
      </c>
      <c r="AB1003" s="378">
        <f t="shared" si="202"/>
        <v>0</v>
      </c>
      <c r="AC1003" s="378">
        <f t="shared" si="202"/>
        <v>0</v>
      </c>
      <c r="AD1003" s="378">
        <f t="shared" si="202"/>
        <v>0</v>
      </c>
      <c r="AE1003" s="378">
        <f t="shared" si="202"/>
        <v>0</v>
      </c>
      <c r="AF1003" s="378">
        <f t="shared" si="202"/>
        <v>0</v>
      </c>
      <c r="AG1003" s="378">
        <f t="shared" si="202"/>
        <v>232322</v>
      </c>
      <c r="AH1003" s="378">
        <f t="shared" si="202"/>
        <v>232322</v>
      </c>
      <c r="AI1003" s="378">
        <f t="shared" si="202"/>
        <v>0</v>
      </c>
      <c r="AJ1003" s="378">
        <f t="shared" si="202"/>
        <v>0</v>
      </c>
    </row>
    <row r="1004" spans="1:36" s="204" customFormat="1" x14ac:dyDescent="0.25">
      <c r="B1004" s="287" t="s">
        <v>2528</v>
      </c>
      <c r="C1004" s="287" t="s">
        <v>2529</v>
      </c>
      <c r="D1004" s="284" t="s">
        <v>4073</v>
      </c>
      <c r="E1004" s="274"/>
      <c r="F1004" s="274"/>
      <c r="G1004" s="283"/>
      <c r="H1004" s="266"/>
      <c r="I1004" s="274"/>
      <c r="J1004" s="281"/>
      <c r="K1004" s="281"/>
      <c r="L1004" s="507" t="s">
        <v>4074</v>
      </c>
      <c r="M1004" s="284" t="s">
        <v>2962</v>
      </c>
      <c r="N1004" s="408">
        <f t="shared" ref="N1004:N1010" si="203">+R1004</f>
        <v>103034</v>
      </c>
      <c r="O1004" s="408">
        <f t="shared" ref="O1004:O1010" si="204">+Z1004</f>
        <v>248027</v>
      </c>
      <c r="P1004" s="271">
        <f t="shared" si="201"/>
        <v>144993</v>
      </c>
      <c r="Q1004" s="527"/>
      <c r="R1004" s="354">
        <f>IF(ISERROR(VLOOKUP("SAN"&amp;$C1004,ESTR_PREC_SP!$A$2:$G$2000,4,FALSE))=TRUE,0,VLOOKUP("SAN"&amp;$C1004,ESTR_PREC_SP!$A$2:$G$2000,4,FALSE))</f>
        <v>103034</v>
      </c>
      <c r="S1004" s="521"/>
      <c r="T1004" s="545"/>
      <c r="U1004" s="527"/>
      <c r="V1004" s="527">
        <f>171184+110697</f>
        <v>281881</v>
      </c>
      <c r="W1004" s="527"/>
      <c r="X1004" s="527">
        <f>86072+1904-647</f>
        <v>87329</v>
      </c>
      <c r="Y1004" s="527">
        <f>+48912+647</f>
        <v>49559</v>
      </c>
      <c r="Z1004" s="269">
        <f t="shared" ref="Z1004:Z1010" si="205">+R1004+S1004+U1004+V1004-X1004-Y1004+W1004+Q1004</f>
        <v>248027</v>
      </c>
      <c r="AA1004" s="546">
        <v>110697</v>
      </c>
      <c r="AB1004" s="545"/>
      <c r="AC1004" s="520"/>
      <c r="AD1004" s="520"/>
      <c r="AE1004" s="520"/>
      <c r="AF1004" s="520"/>
      <c r="AG1004" s="526">
        <f t="shared" ref="AG1004:AG1010" si="206">+Z1004-SUM(AC1004:AF1004)</f>
        <v>248027</v>
      </c>
      <c r="AH1004" s="526">
        <f t="shared" ref="AH1004:AH1010" si="207">+Z1004-SUM(AI1004:AJ1004)</f>
        <v>248027</v>
      </c>
      <c r="AI1004" s="520"/>
      <c r="AJ1004" s="520"/>
    </row>
    <row r="1005" spans="1:36" s="204" customFormat="1" x14ac:dyDescent="0.25">
      <c r="B1005" s="287" t="s">
        <v>2532</v>
      </c>
      <c r="C1005" s="287" t="s">
        <v>2533</v>
      </c>
      <c r="D1005" s="284" t="s">
        <v>4075</v>
      </c>
      <c r="E1005" s="274"/>
      <c r="F1005" s="274"/>
      <c r="G1005" s="283"/>
      <c r="H1005" s="266"/>
      <c r="I1005" s="274"/>
      <c r="J1005" s="281"/>
      <c r="K1005" s="281"/>
      <c r="L1005" s="507" t="s">
        <v>4076</v>
      </c>
      <c r="M1005" s="284" t="s">
        <v>2962</v>
      </c>
      <c r="N1005" s="408">
        <f t="shared" si="203"/>
        <v>0</v>
      </c>
      <c r="O1005" s="408">
        <f t="shared" si="204"/>
        <v>0</v>
      </c>
      <c r="P1005" s="271">
        <f t="shared" si="201"/>
        <v>0</v>
      </c>
      <c r="Q1005" s="527"/>
      <c r="R1005" s="354">
        <f>IF(ISERROR(VLOOKUP("SAN"&amp;$C1005,ESTR_PREC_SP!$A$2:$G$2000,4,FALSE))=TRUE,0,VLOOKUP("SAN"&amp;$C1005,ESTR_PREC_SP!$A$2:$G$2000,4,FALSE))</f>
        <v>0</v>
      </c>
      <c r="S1005" s="521"/>
      <c r="T1005" s="545"/>
      <c r="U1005" s="527"/>
      <c r="V1005" s="527"/>
      <c r="W1005" s="527"/>
      <c r="X1005" s="527"/>
      <c r="Y1005" s="527"/>
      <c r="Z1005" s="269">
        <f t="shared" si="205"/>
        <v>0</v>
      </c>
      <c r="AA1005" s="546"/>
      <c r="AB1005" s="545"/>
      <c r="AC1005" s="520"/>
      <c r="AD1005" s="520"/>
      <c r="AE1005" s="520"/>
      <c r="AF1005" s="520"/>
      <c r="AG1005" s="526">
        <f t="shared" si="206"/>
        <v>0</v>
      </c>
      <c r="AH1005" s="526">
        <f t="shared" si="207"/>
        <v>0</v>
      </c>
      <c r="AI1005" s="520"/>
      <c r="AJ1005" s="520"/>
    </row>
    <row r="1006" spans="1:36" s="204" customFormat="1" x14ac:dyDescent="0.25">
      <c r="B1006" s="287" t="s">
        <v>2535</v>
      </c>
      <c r="C1006" s="287" t="s">
        <v>2536</v>
      </c>
      <c r="D1006" s="284" t="s">
        <v>4077</v>
      </c>
      <c r="E1006" s="274"/>
      <c r="F1006" s="274"/>
      <c r="G1006" s="283"/>
      <c r="H1006" s="266"/>
      <c r="I1006" s="274"/>
      <c r="J1006" s="281"/>
      <c r="K1006" s="281"/>
      <c r="L1006" s="507" t="s">
        <v>4078</v>
      </c>
      <c r="M1006" s="284" t="s">
        <v>2962</v>
      </c>
      <c r="N1006" s="408">
        <f t="shared" si="203"/>
        <v>0</v>
      </c>
      <c r="O1006" s="408">
        <f t="shared" si="204"/>
        <v>0</v>
      </c>
      <c r="P1006" s="271">
        <f t="shared" si="201"/>
        <v>0</v>
      </c>
      <c r="Q1006" s="527"/>
      <c r="R1006" s="354">
        <f>IF(ISERROR(VLOOKUP("SAN"&amp;$C1006,ESTR_PREC_SP!$A$2:$G$2000,4,FALSE))=TRUE,0,VLOOKUP("SAN"&amp;$C1006,ESTR_PREC_SP!$A$2:$G$2000,4,FALSE))</f>
        <v>0</v>
      </c>
      <c r="S1006" s="521"/>
      <c r="T1006" s="545"/>
      <c r="U1006" s="527"/>
      <c r="V1006" s="527"/>
      <c r="W1006" s="527"/>
      <c r="X1006" s="527"/>
      <c r="Y1006" s="527"/>
      <c r="Z1006" s="269">
        <f t="shared" si="205"/>
        <v>0</v>
      </c>
      <c r="AA1006" s="546"/>
      <c r="AB1006" s="545"/>
      <c r="AC1006" s="520"/>
      <c r="AD1006" s="520"/>
      <c r="AE1006" s="520"/>
      <c r="AF1006" s="520"/>
      <c r="AG1006" s="526">
        <f t="shared" si="206"/>
        <v>0</v>
      </c>
      <c r="AH1006" s="526">
        <f t="shared" si="207"/>
        <v>0</v>
      </c>
      <c r="AI1006" s="520"/>
      <c r="AJ1006" s="520"/>
    </row>
    <row r="1007" spans="1:36" s="204" customFormat="1" x14ac:dyDescent="0.25">
      <c r="B1007" s="287" t="s">
        <v>2538</v>
      </c>
      <c r="C1007" s="287" t="s">
        <v>2539</v>
      </c>
      <c r="D1007" s="284" t="s">
        <v>4079</v>
      </c>
      <c r="E1007" s="274"/>
      <c r="F1007" s="274"/>
      <c r="G1007" s="283"/>
      <c r="H1007" s="266"/>
      <c r="I1007" s="274"/>
      <c r="J1007" s="281"/>
      <c r="K1007" s="281"/>
      <c r="L1007" s="507" t="s">
        <v>4080</v>
      </c>
      <c r="M1007" s="284" t="s">
        <v>2962</v>
      </c>
      <c r="N1007" s="408">
        <f t="shared" si="203"/>
        <v>0</v>
      </c>
      <c r="O1007" s="408">
        <f t="shared" si="204"/>
        <v>0</v>
      </c>
      <c r="P1007" s="271">
        <f t="shared" si="201"/>
        <v>0</v>
      </c>
      <c r="Q1007" s="527"/>
      <c r="R1007" s="354">
        <f>IF(ISERROR(VLOOKUP("SAN"&amp;$C1007,ESTR_PREC_SP!$A$2:$G$2000,4,FALSE))=TRUE,0,VLOOKUP("SAN"&amp;$C1007,ESTR_PREC_SP!$A$2:$G$2000,4,FALSE))</f>
        <v>0</v>
      </c>
      <c r="S1007" s="521"/>
      <c r="T1007" s="545"/>
      <c r="U1007" s="527"/>
      <c r="V1007" s="527"/>
      <c r="W1007" s="527"/>
      <c r="X1007" s="527"/>
      <c r="Y1007" s="527"/>
      <c r="Z1007" s="269">
        <f t="shared" si="205"/>
        <v>0</v>
      </c>
      <c r="AA1007" s="546"/>
      <c r="AB1007" s="545"/>
      <c r="AC1007" s="520"/>
      <c r="AD1007" s="520"/>
      <c r="AE1007" s="520"/>
      <c r="AF1007" s="520"/>
      <c r="AG1007" s="526">
        <f t="shared" si="206"/>
        <v>0</v>
      </c>
      <c r="AH1007" s="526">
        <f t="shared" si="207"/>
        <v>0</v>
      </c>
      <c r="AI1007" s="520"/>
      <c r="AJ1007" s="520"/>
    </row>
    <row r="1008" spans="1:36" s="204" customFormat="1" x14ac:dyDescent="0.25">
      <c r="B1008" s="287" t="s">
        <v>2541</v>
      </c>
      <c r="C1008" s="287" t="s">
        <v>2542</v>
      </c>
      <c r="D1008" s="284" t="s">
        <v>4081</v>
      </c>
      <c r="E1008" s="274"/>
      <c r="F1008" s="274"/>
      <c r="G1008" s="283"/>
      <c r="H1008" s="266"/>
      <c r="I1008" s="274"/>
      <c r="J1008" s="281"/>
      <c r="K1008" s="281"/>
      <c r="L1008" s="507" t="s">
        <v>4082</v>
      </c>
      <c r="M1008" s="284" t="s">
        <v>2962</v>
      </c>
      <c r="N1008" s="408">
        <f t="shared" si="203"/>
        <v>0</v>
      </c>
      <c r="O1008" s="408">
        <f t="shared" si="204"/>
        <v>0</v>
      </c>
      <c r="P1008" s="271">
        <f t="shared" si="201"/>
        <v>0</v>
      </c>
      <c r="Q1008" s="527"/>
      <c r="R1008" s="354">
        <f>IF(ISERROR(VLOOKUP("SAN"&amp;$C1008,ESTR_PREC_SP!$A$2:$G$2000,4,FALSE))=TRUE,0,VLOOKUP("SAN"&amp;$C1008,ESTR_PREC_SP!$A$2:$G$2000,4,FALSE))</f>
        <v>0</v>
      </c>
      <c r="S1008" s="521"/>
      <c r="T1008" s="545"/>
      <c r="U1008" s="527"/>
      <c r="V1008" s="527"/>
      <c r="W1008" s="527"/>
      <c r="X1008" s="527"/>
      <c r="Y1008" s="527"/>
      <c r="Z1008" s="269">
        <f t="shared" si="205"/>
        <v>0</v>
      </c>
      <c r="AA1008" s="546"/>
      <c r="AB1008" s="545"/>
      <c r="AC1008" s="520"/>
      <c r="AD1008" s="520"/>
      <c r="AE1008" s="520"/>
      <c r="AF1008" s="520"/>
      <c r="AG1008" s="526">
        <f t="shared" si="206"/>
        <v>0</v>
      </c>
      <c r="AH1008" s="526">
        <f t="shared" si="207"/>
        <v>0</v>
      </c>
      <c r="AI1008" s="520"/>
      <c r="AJ1008" s="520"/>
    </row>
    <row r="1009" spans="1:38" s="204" customFormat="1" ht="26.25" x14ac:dyDescent="0.25">
      <c r="B1009" s="287" t="s">
        <v>2544</v>
      </c>
      <c r="C1009" s="287" t="s">
        <v>2545</v>
      </c>
      <c r="D1009" s="284" t="s">
        <v>4083</v>
      </c>
      <c r="E1009" s="274"/>
      <c r="F1009" s="274"/>
      <c r="G1009" s="283"/>
      <c r="H1009" s="266"/>
      <c r="I1009" s="274"/>
      <c r="J1009" s="281"/>
      <c r="K1009" s="281"/>
      <c r="L1009" s="507" t="s">
        <v>4084</v>
      </c>
      <c r="M1009" s="284" t="s">
        <v>2962</v>
      </c>
      <c r="N1009" s="408">
        <f t="shared" si="203"/>
        <v>0</v>
      </c>
      <c r="O1009" s="408">
        <f t="shared" si="204"/>
        <v>0</v>
      </c>
      <c r="P1009" s="271">
        <f t="shared" si="201"/>
        <v>0</v>
      </c>
      <c r="Q1009" s="527"/>
      <c r="R1009" s="354">
        <f>IF(ISERROR(VLOOKUP("SAN"&amp;$C1009,ESTR_PREC_SP!$A$2:$G$2000,4,FALSE))=TRUE,0,VLOOKUP("SAN"&amp;$C1009,ESTR_PREC_SP!$A$2:$G$2000,4,FALSE))</f>
        <v>0</v>
      </c>
      <c r="S1009" s="521"/>
      <c r="T1009" s="545"/>
      <c r="U1009" s="527"/>
      <c r="V1009" s="527"/>
      <c r="W1009" s="527"/>
      <c r="X1009" s="527"/>
      <c r="Y1009" s="527"/>
      <c r="Z1009" s="269">
        <f t="shared" si="205"/>
        <v>0</v>
      </c>
      <c r="AA1009" s="546"/>
      <c r="AB1009" s="545"/>
      <c r="AC1009" s="520"/>
      <c r="AD1009" s="520"/>
      <c r="AE1009" s="520"/>
      <c r="AF1009" s="520"/>
      <c r="AG1009" s="526">
        <f t="shared" si="206"/>
        <v>0</v>
      </c>
      <c r="AH1009" s="526">
        <f t="shared" si="207"/>
        <v>0</v>
      </c>
      <c r="AI1009" s="520"/>
      <c r="AJ1009" s="520"/>
    </row>
    <row r="1010" spans="1:38" s="204" customFormat="1" x14ac:dyDescent="0.25">
      <c r="A1010" s="535" t="s">
        <v>3681</v>
      </c>
      <c r="B1010" s="536" t="s">
        <v>2547</v>
      </c>
      <c r="C1010" s="536" t="s">
        <v>2548</v>
      </c>
      <c r="D1010" s="536"/>
      <c r="E1010" s="536"/>
      <c r="F1010" s="536"/>
      <c r="G1010" s="536"/>
      <c r="H1010" s="536"/>
      <c r="I1010" s="536"/>
      <c r="J1010" s="536"/>
      <c r="K1010" s="536"/>
      <c r="L1010" s="536" t="s">
        <v>2550</v>
      </c>
      <c r="M1010" s="284" t="s">
        <v>2962</v>
      </c>
      <c r="N1010" s="408">
        <f t="shared" si="203"/>
        <v>0</v>
      </c>
      <c r="O1010" s="408">
        <f t="shared" si="204"/>
        <v>-15705</v>
      </c>
      <c r="P1010" s="271">
        <f t="shared" si="201"/>
        <v>-15705</v>
      </c>
      <c r="Q1010" s="527"/>
      <c r="R1010" s="354">
        <f>IF(ISERROR(VLOOKUP("SAN"&amp;$C1010,ESTR_PREC_SP!$A$2:$G$2000,4,FALSE))=TRUE,0,VLOOKUP("SAN"&amp;$C1010,ESTR_PREC_SP!$A$2:$G$2000,4,FALSE))</f>
        <v>0</v>
      </c>
      <c r="S1010" s="521"/>
      <c r="T1010" s="545"/>
      <c r="U1010" s="527"/>
      <c r="V1010" s="527"/>
      <c r="W1010" s="527"/>
      <c r="X1010" s="527">
        <v>15705</v>
      </c>
      <c r="Y1010" s="527"/>
      <c r="Z1010" s="269">
        <f t="shared" si="205"/>
        <v>-15705</v>
      </c>
      <c r="AA1010" s="546"/>
      <c r="AB1010" s="545"/>
      <c r="AC1010" s="520"/>
      <c r="AD1010" s="520"/>
      <c r="AE1010" s="520"/>
      <c r="AF1010" s="520"/>
      <c r="AG1010" s="526">
        <f t="shared" si="206"/>
        <v>-15705</v>
      </c>
      <c r="AH1010" s="526">
        <f t="shared" si="207"/>
        <v>-15705</v>
      </c>
      <c r="AI1010" s="520"/>
      <c r="AJ1010" s="520"/>
      <c r="AK1010" s="535"/>
      <c r="AL1010" s="535"/>
    </row>
    <row r="1011" spans="1:38" s="204" customFormat="1" x14ac:dyDescent="0.25">
      <c r="B1011" s="287" t="s">
        <v>2551</v>
      </c>
      <c r="C1011" s="287" t="s">
        <v>2552</v>
      </c>
      <c r="D1011" s="284" t="s">
        <v>4085</v>
      </c>
      <c r="E1011" s="274"/>
      <c r="F1011" s="274"/>
      <c r="G1011" s="283"/>
      <c r="H1011" s="266"/>
      <c r="I1011" s="274"/>
      <c r="J1011" s="281"/>
      <c r="K1011" s="281"/>
      <c r="L1011" s="488" t="s">
        <v>2554</v>
      </c>
      <c r="M1011" s="284" t="s">
        <v>2962</v>
      </c>
      <c r="N1011" s="378">
        <f>SUM(N1012:N1014)</f>
        <v>32434815</v>
      </c>
      <c r="O1011" s="378">
        <f>SUM(O1012:O1014)</f>
        <v>31454258</v>
      </c>
      <c r="P1011" s="378">
        <f t="shared" si="201"/>
        <v>-980557</v>
      </c>
      <c r="Q1011" s="378">
        <f t="shared" ref="Q1011:AJ1011" si="208">SUM(Q1012:Q1014)</f>
        <v>0</v>
      </c>
      <c r="R1011" s="378">
        <f t="shared" si="208"/>
        <v>32434815</v>
      </c>
      <c r="S1011" s="378">
        <f t="shared" si="208"/>
        <v>0</v>
      </c>
      <c r="T1011" s="378">
        <f t="shared" si="208"/>
        <v>4755272</v>
      </c>
      <c r="U1011" s="378">
        <f t="shared" si="208"/>
        <v>0</v>
      </c>
      <c r="V1011" s="378">
        <f t="shared" si="208"/>
        <v>113890968</v>
      </c>
      <c r="W1011" s="378">
        <f t="shared" si="208"/>
        <v>0</v>
      </c>
      <c r="X1011" s="378">
        <f t="shared" si="208"/>
        <v>28619248</v>
      </c>
      <c r="Y1011" s="378">
        <f t="shared" si="208"/>
        <v>86252277</v>
      </c>
      <c r="Z1011" s="378">
        <f t="shared" si="208"/>
        <v>31454258</v>
      </c>
      <c r="AA1011" s="378">
        <f t="shared" si="208"/>
        <v>6908770</v>
      </c>
      <c r="AB1011" s="378">
        <f t="shared" si="208"/>
        <v>5336736</v>
      </c>
      <c r="AC1011" s="378">
        <f t="shared" si="208"/>
        <v>3228801</v>
      </c>
      <c r="AD1011" s="378">
        <f t="shared" si="208"/>
        <v>82314</v>
      </c>
      <c r="AE1011" s="378">
        <f t="shared" si="208"/>
        <v>116441</v>
      </c>
      <c r="AF1011" s="378">
        <f t="shared" si="208"/>
        <v>448499</v>
      </c>
      <c r="AG1011" s="378">
        <f t="shared" si="208"/>
        <v>27578203</v>
      </c>
      <c r="AH1011" s="378">
        <f t="shared" si="208"/>
        <v>31454258</v>
      </c>
      <c r="AI1011" s="378">
        <f t="shared" si="208"/>
        <v>0</v>
      </c>
      <c r="AJ1011" s="378">
        <f t="shared" si="208"/>
        <v>0</v>
      </c>
    </row>
    <row r="1012" spans="1:38" s="204" customFormat="1" x14ac:dyDescent="0.25">
      <c r="B1012" s="287" t="s">
        <v>2555</v>
      </c>
      <c r="C1012" s="287" t="s">
        <v>2556</v>
      </c>
      <c r="D1012" s="284" t="s">
        <v>4086</v>
      </c>
      <c r="E1012" s="274"/>
      <c r="F1012" s="274"/>
      <c r="G1012" s="283"/>
      <c r="H1012" s="266"/>
      <c r="I1012" s="274"/>
      <c r="J1012" s="281"/>
      <c r="K1012" s="281"/>
      <c r="L1012" s="507" t="s">
        <v>4087</v>
      </c>
      <c r="M1012" s="284" t="s">
        <v>2962</v>
      </c>
      <c r="N1012" s="408">
        <f>+R1012</f>
        <v>22592054</v>
      </c>
      <c r="O1012" s="408">
        <f>+Z1012</f>
        <v>20683115</v>
      </c>
      <c r="P1012" s="271">
        <f t="shared" si="201"/>
        <v>-1908939</v>
      </c>
      <c r="Q1012" s="527"/>
      <c r="R1012" s="354">
        <f>IF(ISERROR(VLOOKUP("SAN"&amp;$C1012,ESTR_PREC_SP!$A$2:$G$2000,4,FALSE))=TRUE,0,VLOOKUP("SAN"&amp;$C1012,ESTR_PREC_SP!$A$2:$G$2000,4,FALSE))</f>
        <v>22592054</v>
      </c>
      <c r="S1012" s="521"/>
      <c r="T1012" s="545">
        <v>4755272</v>
      </c>
      <c r="U1012" s="527"/>
      <c r="V1012" s="527">
        <f>74233639+3439117+2192165-72607+15098+3281+17333</f>
        <v>79828026</v>
      </c>
      <c r="W1012" s="527"/>
      <c r="X1012" s="527">
        <f>12612253+1744450+2731973+2356227</f>
        <v>19444903</v>
      </c>
      <c r="Y1012" s="527">
        <f>62878741+641647+1127901-2356227</f>
        <v>62292062</v>
      </c>
      <c r="Z1012" s="269">
        <f>+R1012+S1012+U1012+V1012-X1012-Y1012+W1012+Q1012</f>
        <v>20683115</v>
      </c>
      <c r="AA1012" s="546">
        <f>2192165+15098+23941+17333</f>
        <v>2248537</v>
      </c>
      <c r="AB1012" s="545">
        <f>5321638+15098</f>
        <v>5336736</v>
      </c>
      <c r="AC1012" s="520">
        <f>184256+2849548-12119</f>
        <v>3021685</v>
      </c>
      <c r="AD1012" s="520"/>
      <c r="AE1012" s="520">
        <v>38288</v>
      </c>
      <c r="AF1012" s="520">
        <f>135385+24400</f>
        <v>159785</v>
      </c>
      <c r="AG1012" s="526">
        <f>+Z1012-SUM(AC1012:AF1012)</f>
        <v>17463357</v>
      </c>
      <c r="AH1012" s="526">
        <f>+Z1012-SUM(AI1012:AJ1012)</f>
        <v>20683115</v>
      </c>
      <c r="AI1012" s="520"/>
      <c r="AJ1012" s="520"/>
    </row>
    <row r="1013" spans="1:38" s="204" customFormat="1" x14ac:dyDescent="0.25">
      <c r="B1013" s="287" t="s">
        <v>2559</v>
      </c>
      <c r="C1013" s="287" t="s">
        <v>2560</v>
      </c>
      <c r="D1013" s="284" t="s">
        <v>4088</v>
      </c>
      <c r="E1013" s="274"/>
      <c r="F1013" s="274"/>
      <c r="G1013" s="283"/>
      <c r="H1013" s="266"/>
      <c r="I1013" s="274"/>
      <c r="J1013" s="281"/>
      <c r="K1013" s="281"/>
      <c r="L1013" s="507" t="s">
        <v>4089</v>
      </c>
      <c r="M1013" s="284" t="s">
        <v>2962</v>
      </c>
      <c r="N1013" s="408">
        <f>+R1013</f>
        <v>9842761</v>
      </c>
      <c r="O1013" s="408">
        <f>+Z1013</f>
        <v>11326921</v>
      </c>
      <c r="P1013" s="271">
        <f t="shared" si="201"/>
        <v>1484160</v>
      </c>
      <c r="Q1013" s="527"/>
      <c r="R1013" s="354">
        <f>IF(ISERROR(VLOOKUP("SAN"&amp;$C1013,ESTR_PREC_SP!$A$2:$G$2000,4,FALSE))=TRUE,0,VLOOKUP("SAN"&amp;$C1013,ESTR_PREC_SP!$A$2:$G$2000,4,FALSE))</f>
        <v>9842761</v>
      </c>
      <c r="S1013" s="521"/>
      <c r="T1013" s="545"/>
      <c r="U1013" s="527"/>
      <c r="V1013" s="527">
        <f>29402710+4658147+2086-1</f>
        <v>34062942</v>
      </c>
      <c r="W1013" s="527"/>
      <c r="X1013" s="527">
        <f>4045487+4525151+207+1+617881-28764</f>
        <v>9159963</v>
      </c>
      <c r="Y1013" s="527">
        <f>24036700-617881</f>
        <v>23418819</v>
      </c>
      <c r="Z1013" s="269">
        <f>+R1013+S1013+U1013+V1013-X1013-Y1013+W1013+Q1013</f>
        <v>11326921</v>
      </c>
      <c r="AA1013" s="546">
        <f>4658147+2086</f>
        <v>4660233</v>
      </c>
      <c r="AB1013" s="545"/>
      <c r="AC1013" s="520">
        <v>207116</v>
      </c>
      <c r="AD1013" s="520">
        <f>94433-12119</f>
        <v>82314</v>
      </c>
      <c r="AE1013" s="520">
        <v>78153</v>
      </c>
      <c r="AF1013" s="520">
        <v>288714</v>
      </c>
      <c r="AG1013" s="526">
        <f>+Z1013-SUM(AC1013:AF1013)</f>
        <v>10670624</v>
      </c>
      <c r="AH1013" s="526">
        <f>+Z1013-SUM(AI1013:AJ1013)</f>
        <v>11326921</v>
      </c>
      <c r="AI1013" s="520"/>
      <c r="AJ1013" s="520"/>
    </row>
    <row r="1014" spans="1:38" s="204" customFormat="1" x14ac:dyDescent="0.25">
      <c r="A1014" s="535" t="s">
        <v>3681</v>
      </c>
      <c r="B1014" s="536" t="s">
        <v>2562</v>
      </c>
      <c r="C1014" s="536" t="s">
        <v>2563</v>
      </c>
      <c r="D1014" s="536"/>
      <c r="E1014" s="536"/>
      <c r="F1014" s="536"/>
      <c r="G1014" s="536"/>
      <c r="H1014" s="536"/>
      <c r="I1014" s="536"/>
      <c r="J1014" s="536"/>
      <c r="K1014" s="536"/>
      <c r="L1014" s="536" t="s">
        <v>2565</v>
      </c>
      <c r="M1014" s="284" t="s">
        <v>2962</v>
      </c>
      <c r="N1014" s="408">
        <f>+R1014</f>
        <v>0</v>
      </c>
      <c r="O1014" s="408">
        <f>+Z1014</f>
        <v>-555778</v>
      </c>
      <c r="P1014" s="271">
        <f t="shared" si="201"/>
        <v>-555778</v>
      </c>
      <c r="Q1014" s="527"/>
      <c r="R1014" s="354">
        <f>IF(ISERROR(VLOOKUP("SAN"&amp;$C1014,ESTR_PREC_SP!$A$2:$G$2000,4,FALSE))=TRUE,0,VLOOKUP("SAN"&amp;$C1014,ESTR_PREC_SP!$A$2:$G$2000,4,FALSE))</f>
        <v>0</v>
      </c>
      <c r="S1014" s="521"/>
      <c r="T1014" s="545"/>
      <c r="U1014" s="527"/>
      <c r="V1014" s="527"/>
      <c r="W1014" s="527"/>
      <c r="X1014" s="527">
        <v>14382</v>
      </c>
      <c r="Y1014" s="527">
        <f>333053+208343</f>
        <v>541396</v>
      </c>
      <c r="Z1014" s="269">
        <f>+R1014+S1014+U1014+V1014-X1014-Y1014+W1014+Q1014</f>
        <v>-555778</v>
      </c>
      <c r="AA1014" s="546"/>
      <c r="AB1014" s="545"/>
      <c r="AC1014" s="520"/>
      <c r="AD1014" s="520"/>
      <c r="AE1014" s="520"/>
      <c r="AF1014" s="520"/>
      <c r="AG1014" s="526">
        <f>+Z1014-SUM(AC1014:AF1014)</f>
        <v>-555778</v>
      </c>
      <c r="AH1014" s="526">
        <f>+Z1014-SUM(AI1014:AJ1014)</f>
        <v>-555778</v>
      </c>
      <c r="AI1014" s="520"/>
      <c r="AJ1014" s="520"/>
      <c r="AK1014" s="535"/>
      <c r="AL1014" s="535"/>
    </row>
    <row r="1015" spans="1:38" s="204" customFormat="1" x14ac:dyDescent="0.25">
      <c r="B1015" s="302"/>
      <c r="C1015" s="302"/>
      <c r="D1015" s="226"/>
      <c r="E1015" s="226"/>
      <c r="F1015" s="226"/>
      <c r="G1015" s="226"/>
      <c r="H1015" s="227"/>
      <c r="I1015" s="226"/>
      <c r="J1015" s="226"/>
      <c r="K1015" s="226"/>
      <c r="L1015" s="315"/>
      <c r="M1015" s="216"/>
      <c r="N1015" s="254"/>
      <c r="O1015" s="216"/>
      <c r="P1015" s="216"/>
      <c r="Q1015" s="216"/>
      <c r="R1015" s="216"/>
      <c r="S1015" s="216"/>
      <c r="T1015" s="216"/>
      <c r="U1015" s="216"/>
      <c r="V1015" s="216"/>
      <c r="W1015" s="216"/>
      <c r="X1015" s="216"/>
      <c r="Z1015" s="216"/>
      <c r="AA1015" s="216"/>
      <c r="AB1015" s="216"/>
      <c r="AC1015" s="216"/>
      <c r="AD1015" s="216"/>
    </row>
    <row r="1016" spans="1:38" s="204" customFormat="1" ht="15.75" customHeight="1" x14ac:dyDescent="0.25">
      <c r="B1016" s="302"/>
      <c r="C1016" s="302"/>
      <c r="D1016" s="226"/>
      <c r="E1016" s="226"/>
      <c r="F1016" s="226"/>
      <c r="G1016" s="226"/>
      <c r="H1016" s="227"/>
      <c r="I1016" s="226"/>
      <c r="J1016" s="226"/>
      <c r="K1016" s="226"/>
      <c r="L1016" s="315"/>
      <c r="M1016" s="216"/>
      <c r="N1016" s="254"/>
      <c r="O1016" s="216"/>
      <c r="P1016" s="216"/>
      <c r="Q1016" s="216"/>
      <c r="R1016" s="211"/>
      <c r="S1016" s="211"/>
      <c r="U1016" s="910" t="s">
        <v>3495</v>
      </c>
      <c r="V1016" s="910"/>
      <c r="W1016" s="485"/>
      <c r="X1016" s="903" t="s">
        <v>3496</v>
      </c>
      <c r="Y1016" s="903"/>
      <c r="Z1016" s="211"/>
      <c r="AA1016" s="211"/>
      <c r="AB1016" s="211"/>
      <c r="AC1016" s="904" t="str">
        <f>+AC1001</f>
        <v>VALORE DEI DEBITI AL 31/12/2020 PER ANNO DI FORMAZIONE</v>
      </c>
      <c r="AD1016" s="904"/>
      <c r="AE1016" s="904"/>
      <c r="AF1016" s="904"/>
      <c r="AG1016" s="904"/>
      <c r="AH1016" s="905" t="str">
        <f>+AH1001</f>
        <v>Debiti al 31/12/2020 per scadenza</v>
      </c>
      <c r="AI1016" s="905"/>
      <c r="AJ1016" s="905"/>
    </row>
    <row r="1017" spans="1:38" s="204" customFormat="1" ht="51" x14ac:dyDescent="0.25">
      <c r="B1017" s="211"/>
      <c r="C1017" s="211"/>
      <c r="D1017" s="211"/>
      <c r="E1017" s="211"/>
      <c r="F1017" s="211"/>
      <c r="G1017" s="211"/>
      <c r="H1017" s="353"/>
      <c r="I1017" s="211"/>
      <c r="J1017" s="211"/>
      <c r="K1017" s="211"/>
      <c r="L1017" s="255"/>
      <c r="M1017" s="244"/>
      <c r="N1017" s="256" t="str">
        <f>N$15</f>
        <v>Valore netto al 31/12/2019</v>
      </c>
      <c r="O1017" s="256" t="str">
        <f>O$15</f>
        <v>Valore netto al 31/12/2020</v>
      </c>
      <c r="P1017" s="256" t="str">
        <f>P$15</f>
        <v>Variazione</v>
      </c>
      <c r="Q1017" s="262" t="s">
        <v>2971</v>
      </c>
      <c r="R1017" s="346" t="s">
        <v>3517</v>
      </c>
      <c r="S1017" s="442" t="s">
        <v>2972</v>
      </c>
      <c r="T1017" s="486" t="s">
        <v>3995</v>
      </c>
      <c r="U1017" s="337" t="s">
        <v>3996</v>
      </c>
      <c r="V1017" s="337" t="s">
        <v>3495</v>
      </c>
      <c r="W1017" s="262" t="s">
        <v>2975</v>
      </c>
      <c r="X1017" s="338" t="s">
        <v>3498</v>
      </c>
      <c r="Y1017" s="338" t="s">
        <v>3499</v>
      </c>
      <c r="Z1017" s="346" t="s">
        <v>3815</v>
      </c>
      <c r="AA1017" s="497" t="s">
        <v>3997</v>
      </c>
      <c r="AB1017" s="377" t="s">
        <v>3998</v>
      </c>
      <c r="AC1017" s="339" t="s">
        <v>3503</v>
      </c>
      <c r="AD1017" s="339" t="s">
        <v>3504</v>
      </c>
      <c r="AE1017" s="339" t="s">
        <v>3505</v>
      </c>
      <c r="AF1017" s="339" t="s">
        <v>3506</v>
      </c>
      <c r="AG1017" s="339" t="s">
        <v>3507</v>
      </c>
      <c r="AH1017" s="340" t="s">
        <v>3508</v>
      </c>
      <c r="AI1017" s="340" t="s">
        <v>3509</v>
      </c>
      <c r="AJ1017" s="340" t="s">
        <v>3510</v>
      </c>
    </row>
    <row r="1018" spans="1:38" s="204" customFormat="1" x14ac:dyDescent="0.25">
      <c r="B1018" s="292" t="s">
        <v>2566</v>
      </c>
      <c r="C1018" s="292" t="s">
        <v>2567</v>
      </c>
      <c r="D1018" s="247" t="s">
        <v>4090</v>
      </c>
      <c r="E1018" s="247"/>
      <c r="F1018" s="247"/>
      <c r="G1018" s="247"/>
      <c r="H1018" s="248"/>
      <c r="I1018" s="247"/>
      <c r="J1018" s="398"/>
      <c r="K1018" s="399"/>
      <c r="L1018" s="400" t="s">
        <v>2571</v>
      </c>
      <c r="M1018" s="251" t="s">
        <v>2962</v>
      </c>
      <c r="N1018" s="410">
        <f>+R1018</f>
        <v>0</v>
      </c>
      <c r="O1018" s="487">
        <f>+Z1018</f>
        <v>2058</v>
      </c>
      <c r="P1018" s="253">
        <f>+O1018-N1018</f>
        <v>2058</v>
      </c>
      <c r="Q1018" s="527"/>
      <c r="R1018" s="354">
        <f>IF(ISERROR(VLOOKUP("SAN"&amp;$C1018,ESTR_PREC_SP!$A$2:$G$2000,4,FALSE))=TRUE,0,VLOOKUP("SAN"&amp;$C1018,ESTR_PREC_SP!$A$2:$G$2000,4,FALSE))</f>
        <v>0</v>
      </c>
      <c r="S1018" s="355"/>
      <c r="T1018" s="355"/>
      <c r="U1018" s="527"/>
      <c r="V1018" s="527">
        <v>18808</v>
      </c>
      <c r="W1018" s="527"/>
      <c r="X1018" s="527"/>
      <c r="Y1018" s="527">
        <v>16750</v>
      </c>
      <c r="Z1018" s="529">
        <f>+R1018+S1018+U1018+V1018-X1018-Y1018+W1018+Q1018</f>
        <v>2058</v>
      </c>
      <c r="AA1018" s="355"/>
      <c r="AB1018" s="355"/>
      <c r="AC1018" s="355"/>
      <c r="AD1018" s="355"/>
      <c r="AE1018" s="355"/>
      <c r="AF1018" s="355"/>
      <c r="AG1018" s="355"/>
      <c r="AH1018" s="355"/>
      <c r="AI1018" s="355"/>
      <c r="AJ1018" s="355"/>
    </row>
    <row r="1019" spans="1:38" s="204" customFormat="1" ht="26.25" x14ac:dyDescent="0.25">
      <c r="B1019" s="302"/>
      <c r="C1019" s="302"/>
      <c r="D1019" s="226"/>
      <c r="E1019" s="226"/>
      <c r="F1019" s="226"/>
      <c r="G1019" s="226"/>
      <c r="H1019" s="227"/>
      <c r="I1019" s="226"/>
      <c r="J1019" s="226"/>
      <c r="K1019" s="226"/>
      <c r="L1019" s="232" t="s">
        <v>4091</v>
      </c>
      <c r="M1019" s="216"/>
      <c r="N1019" s="254"/>
      <c r="O1019" s="216"/>
      <c r="P1019" s="216"/>
      <c r="Q1019" s="216"/>
      <c r="R1019" s="216"/>
      <c r="S1019" s="216"/>
      <c r="T1019" s="216"/>
      <c r="U1019" s="216"/>
      <c r="V1019" s="216"/>
      <c r="W1019" s="216"/>
      <c r="X1019" s="216"/>
      <c r="Z1019" s="216"/>
      <c r="AA1019" s="216"/>
      <c r="AB1019" s="216"/>
      <c r="AC1019" s="216"/>
      <c r="AD1019" s="216"/>
    </row>
    <row r="1020" spans="1:38" s="204" customFormat="1" ht="15.75" customHeight="1" x14ac:dyDescent="0.25">
      <c r="B1020" s="302"/>
      <c r="C1020" s="302"/>
      <c r="D1020" s="226"/>
      <c r="E1020" s="226"/>
      <c r="F1020" s="226"/>
      <c r="G1020" s="226"/>
      <c r="H1020" s="227"/>
      <c r="I1020" s="226"/>
      <c r="J1020" s="226"/>
      <c r="K1020" s="226"/>
      <c r="L1020" s="315"/>
      <c r="M1020" s="216"/>
      <c r="N1020" s="254"/>
      <c r="O1020" s="216"/>
      <c r="P1020" s="216"/>
      <c r="Q1020" s="216"/>
      <c r="R1020" s="211"/>
      <c r="S1020" s="211"/>
      <c r="U1020" s="910" t="s">
        <v>3495</v>
      </c>
      <c r="V1020" s="910"/>
      <c r="W1020" s="485"/>
      <c r="X1020" s="903" t="s">
        <v>3496</v>
      </c>
      <c r="Y1020" s="903"/>
      <c r="Z1020" s="211"/>
      <c r="AA1020" s="211"/>
      <c r="AB1020" s="211"/>
      <c r="AC1020" s="904" t="str">
        <f>+AC1016</f>
        <v>VALORE DEI DEBITI AL 31/12/2020 PER ANNO DI FORMAZIONE</v>
      </c>
      <c r="AD1020" s="904"/>
      <c r="AE1020" s="904"/>
      <c r="AF1020" s="904"/>
      <c r="AG1020" s="904"/>
      <c r="AH1020" s="905" t="str">
        <f>+AH1016</f>
        <v>Debiti al 31/12/2020 per scadenza</v>
      </c>
      <c r="AI1020" s="905"/>
      <c r="AJ1020" s="905"/>
    </row>
    <row r="1021" spans="1:38" s="204" customFormat="1" ht="51" x14ac:dyDescent="0.25">
      <c r="B1021" s="289"/>
      <c r="C1021" s="289"/>
      <c r="D1021" s="211"/>
      <c r="E1021" s="211"/>
      <c r="F1021" s="211"/>
      <c r="G1021" s="211"/>
      <c r="H1021" s="353"/>
      <c r="I1021" s="211"/>
      <c r="J1021" s="211"/>
      <c r="K1021" s="211"/>
      <c r="L1021" s="255"/>
      <c r="M1021" s="244"/>
      <c r="N1021" s="256" t="str">
        <f>N$15</f>
        <v>Valore netto al 31/12/2019</v>
      </c>
      <c r="O1021" s="256" t="str">
        <f>O$15</f>
        <v>Valore netto al 31/12/2020</v>
      </c>
      <c r="P1021" s="256" t="str">
        <f>P$15</f>
        <v>Variazione</v>
      </c>
      <c r="Q1021" s="262" t="s">
        <v>2971</v>
      </c>
      <c r="R1021" s="346" t="s">
        <v>3517</v>
      </c>
      <c r="S1021" s="442" t="s">
        <v>2972</v>
      </c>
      <c r="T1021" s="486" t="s">
        <v>3995</v>
      </c>
      <c r="U1021" s="337" t="s">
        <v>3996</v>
      </c>
      <c r="V1021" s="337" t="s">
        <v>3495</v>
      </c>
      <c r="W1021" s="262" t="s">
        <v>2975</v>
      </c>
      <c r="X1021" s="338" t="s">
        <v>3498</v>
      </c>
      <c r="Y1021" s="338" t="s">
        <v>3499</v>
      </c>
      <c r="Z1021" s="346" t="s">
        <v>3815</v>
      </c>
      <c r="AA1021" s="497" t="s">
        <v>3997</v>
      </c>
      <c r="AB1021" s="377" t="s">
        <v>3998</v>
      </c>
      <c r="AC1021" s="339" t="s">
        <v>3503</v>
      </c>
      <c r="AD1021" s="339" t="s">
        <v>3504</v>
      </c>
      <c r="AE1021" s="339" t="s">
        <v>3505</v>
      </c>
      <c r="AF1021" s="339" t="s">
        <v>3506</v>
      </c>
      <c r="AG1021" s="339" t="s">
        <v>3507</v>
      </c>
      <c r="AH1021" s="340" t="s">
        <v>3508</v>
      </c>
      <c r="AI1021" s="340" t="s">
        <v>3509</v>
      </c>
      <c r="AJ1021" s="340" t="s">
        <v>3510</v>
      </c>
    </row>
    <row r="1022" spans="1:38" s="204" customFormat="1" x14ac:dyDescent="0.25">
      <c r="B1022" s="292" t="s">
        <v>2572</v>
      </c>
      <c r="C1022" s="292" t="s">
        <v>2573</v>
      </c>
      <c r="D1022" s="247" t="s">
        <v>4092</v>
      </c>
      <c r="E1022" s="247"/>
      <c r="F1022" s="247"/>
      <c r="G1022" s="247"/>
      <c r="H1022" s="248"/>
      <c r="I1022" s="247"/>
      <c r="J1022" s="398"/>
      <c r="K1022" s="399"/>
      <c r="L1022" s="400" t="s">
        <v>2577</v>
      </c>
      <c r="M1022" s="251" t="s">
        <v>2962</v>
      </c>
      <c r="N1022" s="410">
        <f>+R1022</f>
        <v>5353825</v>
      </c>
      <c r="O1022" s="487">
        <f>+Z1022</f>
        <v>5141148</v>
      </c>
      <c r="P1022" s="253">
        <f>+O1022-N1022</f>
        <v>-212677</v>
      </c>
      <c r="Q1022" s="527"/>
      <c r="R1022" s="354">
        <f>IF(ISERROR(VLOOKUP("SAN"&amp;$C1022,ESTR_PREC_SP!$A$2:$G$2000,4,FALSE))=TRUE,0,VLOOKUP("SAN"&amp;$C1022,ESTR_PREC_SP!$A$2:$G$2000,4,FALSE))</f>
        <v>5353825</v>
      </c>
      <c r="S1022" s="355"/>
      <c r="T1022" s="355"/>
      <c r="U1022" s="527"/>
      <c r="V1022" s="527">
        <f>9374896+24131+378732+43683991+2656000+1204357+944395+828261+43643+17866+647519+102129+500373+1027977+15340840+15975</f>
        <v>76791085</v>
      </c>
      <c r="W1022" s="527"/>
      <c r="X1022" s="527">
        <f>1113496+3861+3089448+30952+10312+32802+18930+1866+34+41484+9454+8069+993117-166835</f>
        <v>5186990</v>
      </c>
      <c r="Y1022" s="527">
        <f>8197318+24131+378322+40752500+2637723+1197838+908000+802290+40740+17689+610925+88721+500373+947962+14362595+182810+166835</f>
        <v>71816772</v>
      </c>
      <c r="Z1022" s="529">
        <f>+R1022+S1022+U1022+V1022-X1022-Y1022+W1022+Q1022</f>
        <v>5141148</v>
      </c>
      <c r="AA1022" s="355"/>
      <c r="AB1022" s="355"/>
      <c r="AC1022" s="520"/>
      <c r="AD1022" s="520"/>
      <c r="AE1022" s="520"/>
      <c r="AF1022" s="520"/>
      <c r="AG1022" s="526">
        <f>+Z1022-SUM(AC1022:AF1022)</f>
        <v>5141148</v>
      </c>
      <c r="AH1022" s="526">
        <f>+Z1022-SUM(AI1022:AJ1022)</f>
        <v>0</v>
      </c>
      <c r="AI1022" s="520">
        <v>5141148</v>
      </c>
      <c r="AJ1022" s="520"/>
      <c r="AK1022" s="217"/>
      <c r="AL1022" s="217"/>
    </row>
    <row r="1023" spans="1:38" s="204" customFormat="1" x14ac:dyDescent="0.25">
      <c r="B1023" s="302"/>
      <c r="C1023" s="302"/>
      <c r="D1023" s="226"/>
      <c r="E1023" s="226"/>
      <c r="F1023" s="226"/>
      <c r="G1023" s="226"/>
      <c r="H1023" s="227"/>
      <c r="I1023" s="226"/>
      <c r="J1023" s="226"/>
      <c r="K1023" s="226"/>
      <c r="L1023" s="315"/>
      <c r="M1023" s="216"/>
      <c r="N1023" s="254"/>
      <c r="O1023" s="216"/>
      <c r="P1023" s="216"/>
      <c r="Q1023" s="216"/>
      <c r="R1023" s="216"/>
      <c r="S1023" s="216"/>
      <c r="T1023" s="216"/>
      <c r="U1023" s="216"/>
      <c r="V1023" s="216"/>
      <c r="W1023" s="216"/>
      <c r="X1023" s="216"/>
      <c r="Z1023" s="216"/>
      <c r="AA1023" s="216"/>
      <c r="AB1023" s="216"/>
      <c r="AC1023" s="216"/>
      <c r="AD1023" s="216"/>
    </row>
    <row r="1024" spans="1:38" s="204" customFormat="1" ht="15.75" customHeight="1" x14ac:dyDescent="0.25">
      <c r="B1024" s="302"/>
      <c r="C1024" s="302"/>
      <c r="D1024" s="226"/>
      <c r="E1024" s="226"/>
      <c r="F1024" s="226"/>
      <c r="G1024" s="226"/>
      <c r="H1024" s="227"/>
      <c r="I1024" s="226"/>
      <c r="J1024" s="226"/>
      <c r="K1024" s="226"/>
      <c r="L1024" s="315"/>
      <c r="M1024" s="216"/>
      <c r="N1024" s="254"/>
      <c r="O1024" s="216"/>
      <c r="P1024" s="216"/>
      <c r="Q1024" s="216"/>
      <c r="R1024" s="211"/>
      <c r="S1024" s="211"/>
      <c r="T1024" s="911" t="s">
        <v>3495</v>
      </c>
      <c r="U1024" s="911"/>
      <c r="V1024" s="911"/>
      <c r="W1024" s="485"/>
      <c r="X1024" s="903" t="s">
        <v>3496</v>
      </c>
      <c r="Y1024" s="903"/>
      <c r="Z1024" s="211"/>
      <c r="AA1024" s="211"/>
      <c r="AB1024" s="211"/>
      <c r="AC1024" s="904" t="str">
        <f>+AC1020</f>
        <v>VALORE DEI DEBITI AL 31/12/2020 PER ANNO DI FORMAZIONE</v>
      </c>
      <c r="AD1024" s="904"/>
      <c r="AE1024" s="904"/>
      <c r="AF1024" s="904"/>
      <c r="AG1024" s="904"/>
      <c r="AH1024" s="905" t="str">
        <f>+AH1020</f>
        <v>Debiti al 31/12/2020 per scadenza</v>
      </c>
      <c r="AI1024" s="905"/>
      <c r="AJ1024" s="905"/>
    </row>
    <row r="1025" spans="2:38" s="204" customFormat="1" ht="51" x14ac:dyDescent="0.25">
      <c r="B1025" s="289"/>
      <c r="C1025" s="289"/>
      <c r="D1025" s="211"/>
      <c r="E1025" s="211"/>
      <c r="F1025" s="211"/>
      <c r="G1025" s="211"/>
      <c r="H1025" s="353"/>
      <c r="I1025" s="211"/>
      <c r="J1025" s="211"/>
      <c r="K1025" s="211"/>
      <c r="L1025" s="255"/>
      <c r="M1025" s="244"/>
      <c r="N1025" s="256" t="str">
        <f>N$15</f>
        <v>Valore netto al 31/12/2019</v>
      </c>
      <c r="O1025" s="256" t="str">
        <f>O$15</f>
        <v>Valore netto al 31/12/2020</v>
      </c>
      <c r="P1025" s="256" t="str">
        <f>P$15</f>
        <v>Variazione</v>
      </c>
      <c r="Q1025" s="262" t="s">
        <v>2971</v>
      </c>
      <c r="R1025" s="346" t="s">
        <v>3517</v>
      </c>
      <c r="S1025" s="442" t="s">
        <v>2972</v>
      </c>
      <c r="T1025" s="486" t="s">
        <v>3995</v>
      </c>
      <c r="U1025" s="337" t="s">
        <v>3996</v>
      </c>
      <c r="V1025" s="337" t="s">
        <v>3495</v>
      </c>
      <c r="W1025" s="262" t="s">
        <v>2975</v>
      </c>
      <c r="X1025" s="338" t="s">
        <v>3498</v>
      </c>
      <c r="Y1025" s="338" t="s">
        <v>3499</v>
      </c>
      <c r="Z1025" s="346" t="s">
        <v>3815</v>
      </c>
      <c r="AA1025" s="497" t="s">
        <v>3997</v>
      </c>
      <c r="AB1025" s="377" t="s">
        <v>3998</v>
      </c>
      <c r="AC1025" s="339" t="s">
        <v>3503</v>
      </c>
      <c r="AD1025" s="339" t="s">
        <v>3504</v>
      </c>
      <c r="AE1025" s="339" t="s">
        <v>3505</v>
      </c>
      <c r="AF1025" s="339" t="s">
        <v>3506</v>
      </c>
      <c r="AG1025" s="339" t="s">
        <v>3507</v>
      </c>
      <c r="AH1025" s="340" t="s">
        <v>3508</v>
      </c>
      <c r="AI1025" s="340" t="s">
        <v>3509</v>
      </c>
      <c r="AJ1025" s="340" t="s">
        <v>3510</v>
      </c>
      <c r="AK1025" s="217"/>
      <c r="AL1025" s="217"/>
    </row>
    <row r="1026" spans="2:38" s="204" customFormat="1" x14ac:dyDescent="0.25">
      <c r="B1026" s="292" t="s">
        <v>2578</v>
      </c>
      <c r="C1026" s="292" t="s">
        <v>2579</v>
      </c>
      <c r="D1026" s="247" t="s">
        <v>4093</v>
      </c>
      <c r="E1026" s="247"/>
      <c r="F1026" s="247"/>
      <c r="G1026" s="247"/>
      <c r="H1026" s="248"/>
      <c r="I1026" s="247"/>
      <c r="J1026" s="398"/>
      <c r="K1026" s="399"/>
      <c r="L1026" s="400" t="s">
        <v>2583</v>
      </c>
      <c r="M1026" s="251" t="s">
        <v>2962</v>
      </c>
      <c r="N1026" s="410">
        <f>+R1026</f>
        <v>8411731</v>
      </c>
      <c r="O1026" s="487">
        <f>+Z1026</f>
        <v>8853515</v>
      </c>
      <c r="P1026" s="253">
        <f>+O1026-N1026</f>
        <v>441784</v>
      </c>
      <c r="Q1026" s="527"/>
      <c r="R1026" s="354">
        <f>IF(ISERROR(VLOOKUP("SAN"&amp;$C1026,ESTR_PREC_SP!$A$2:$G$2000,4,FALSE))=TRUE,0,VLOOKUP("SAN"&amp;$C1026,ESTR_PREC_SP!$A$2:$G$2000,4,FALSE))</f>
        <v>8411731</v>
      </c>
      <c r="S1026" s="355"/>
      <c r="T1026" s="355"/>
      <c r="U1026" s="527"/>
      <c r="V1026" s="527">
        <f>51305062+50951+11011+1070724+29691+524197+115467+347439+14462+207744+3196522+2353+251552+93021+345751</f>
        <v>57565947</v>
      </c>
      <c r="W1026" s="527"/>
      <c r="X1026" s="527">
        <f>+4807097+6621+1317+101928+29559+48667+78382+989+12385+3285895+2923+10328+4804</f>
        <v>8390895</v>
      </c>
      <c r="Y1026" s="527">
        <f>+46178467+44713+9727+1034866+29691+473041+80392+342412+13081+193198+2353+241752+89575</f>
        <v>48733268</v>
      </c>
      <c r="Z1026" s="529">
        <f>+R1026+S1026+U1026+V1026-X1026-Y1026+W1026+Q1026</f>
        <v>8853515</v>
      </c>
      <c r="AA1026" s="355"/>
      <c r="AB1026" s="355"/>
      <c r="AC1026" s="520"/>
      <c r="AD1026" s="520"/>
      <c r="AE1026" s="520"/>
      <c r="AF1026" s="520">
        <f>+9383+11454</f>
        <v>20837</v>
      </c>
      <c r="AG1026" s="526">
        <f>+Z1026-SUM(AC1026:AF1026)</f>
        <v>8832678</v>
      </c>
      <c r="AH1026" s="526">
        <f>+Z1026-SUM(AI1026:AJ1026)</f>
        <v>8853515</v>
      </c>
      <c r="AI1026" s="520"/>
      <c r="AJ1026" s="520"/>
      <c r="AK1026" s="217"/>
      <c r="AL1026" s="217"/>
    </row>
    <row r="1027" spans="2:38" s="204" customFormat="1" x14ac:dyDescent="0.25">
      <c r="B1027" s="302"/>
      <c r="C1027" s="302"/>
      <c r="D1027" s="226"/>
      <c r="E1027" s="226"/>
      <c r="F1027" s="226"/>
      <c r="G1027" s="226"/>
      <c r="H1027" s="227"/>
      <c r="I1027" s="226"/>
      <c r="J1027" s="226"/>
      <c r="K1027" s="226"/>
      <c r="L1027" s="315"/>
      <c r="M1027" s="216"/>
      <c r="N1027" s="254"/>
      <c r="O1027" s="216"/>
      <c r="P1027" s="216"/>
      <c r="Q1027" s="216"/>
      <c r="R1027" s="216"/>
      <c r="S1027" s="216"/>
      <c r="T1027" s="216"/>
      <c r="U1027" s="216"/>
      <c r="V1027" s="216"/>
      <c r="W1027" s="216"/>
      <c r="X1027" s="216"/>
      <c r="Z1027" s="216"/>
      <c r="AA1027" s="216"/>
      <c r="AB1027" s="216"/>
      <c r="AC1027" s="216"/>
      <c r="AD1027" s="216"/>
    </row>
    <row r="1028" spans="2:38" s="204" customFormat="1" x14ac:dyDescent="0.25">
      <c r="B1028" s="302"/>
      <c r="C1028" s="302"/>
      <c r="D1028" s="226"/>
      <c r="E1028" s="226"/>
      <c r="F1028" s="226"/>
      <c r="G1028" s="226"/>
      <c r="H1028" s="227"/>
      <c r="I1028" s="226"/>
      <c r="J1028" s="226"/>
      <c r="K1028" s="226"/>
      <c r="L1028" s="315"/>
      <c r="M1028" s="216"/>
      <c r="N1028" s="254"/>
      <c r="O1028" s="216"/>
      <c r="P1028" s="216"/>
      <c r="Q1028" s="216"/>
      <c r="R1028" s="216"/>
      <c r="S1028" s="216"/>
      <c r="T1028" s="216"/>
      <c r="U1028" s="216"/>
      <c r="V1028" s="216"/>
      <c r="W1028" s="216"/>
      <c r="X1028" s="216"/>
      <c r="Z1028" s="216"/>
      <c r="AA1028" s="216"/>
      <c r="AB1028" s="216"/>
      <c r="AC1028" s="216"/>
      <c r="AD1028" s="216"/>
    </row>
    <row r="1029" spans="2:38" s="204" customFormat="1" x14ac:dyDescent="0.25">
      <c r="B1029" s="302"/>
      <c r="C1029" s="302"/>
      <c r="D1029" s="226"/>
      <c r="E1029" s="226"/>
      <c r="F1029" s="226"/>
      <c r="G1029" s="226"/>
      <c r="H1029" s="227"/>
      <c r="I1029" s="226"/>
      <c r="J1029" s="226"/>
      <c r="K1029" s="226"/>
      <c r="L1029" s="315"/>
      <c r="M1029" s="216"/>
      <c r="N1029" s="254"/>
      <c r="O1029" s="216"/>
      <c r="P1029" s="216"/>
      <c r="Q1029" s="216"/>
      <c r="R1029" s="216"/>
      <c r="S1029" s="216"/>
      <c r="T1029" s="216"/>
      <c r="U1029" s="216"/>
      <c r="V1029" s="216"/>
      <c r="W1029" s="216"/>
      <c r="X1029" s="216"/>
      <c r="Z1029" s="216"/>
      <c r="AA1029" s="216"/>
      <c r="AB1029" s="216"/>
      <c r="AC1029" s="216"/>
      <c r="AD1029" s="216"/>
    </row>
    <row r="1030" spans="2:38" s="204" customFormat="1" x14ac:dyDescent="0.25">
      <c r="B1030" s="292" t="s">
        <v>2584</v>
      </c>
      <c r="C1030" s="292" t="s">
        <v>2585</v>
      </c>
      <c r="D1030" s="247" t="s">
        <v>4094</v>
      </c>
      <c r="E1030" s="247"/>
      <c r="F1030" s="247"/>
      <c r="G1030" s="247"/>
      <c r="H1030" s="248"/>
      <c r="I1030" s="247"/>
      <c r="J1030" s="247"/>
      <c r="K1030" s="249"/>
      <c r="L1030" s="441" t="s">
        <v>2587</v>
      </c>
      <c r="M1030" s="251" t="s">
        <v>2962</v>
      </c>
      <c r="N1030" s="252">
        <f>+N1034+N1035+N1042+N1043</f>
        <v>12378303</v>
      </c>
      <c r="O1030" s="252">
        <f>+O1034+O1035+O1042+O1043</f>
        <v>13674174</v>
      </c>
      <c r="P1030" s="253">
        <f>+O1030-N1030</f>
        <v>1295871</v>
      </c>
      <c r="Q1030" s="252">
        <f t="shared" ref="Q1030:AJ1030" si="209">+Q1034+Q1035+Q1042+Q1043</f>
        <v>0</v>
      </c>
      <c r="R1030" s="252">
        <f t="shared" si="209"/>
        <v>12378303</v>
      </c>
      <c r="S1030" s="252">
        <f t="shared" si="209"/>
        <v>0</v>
      </c>
      <c r="T1030" s="252">
        <f t="shared" si="209"/>
        <v>0</v>
      </c>
      <c r="U1030" s="252">
        <f t="shared" si="209"/>
        <v>31344</v>
      </c>
      <c r="V1030" s="252">
        <f t="shared" si="209"/>
        <v>181784349</v>
      </c>
      <c r="W1030" s="252">
        <f t="shared" si="209"/>
        <v>0</v>
      </c>
      <c r="X1030" s="252">
        <f t="shared" si="209"/>
        <v>11807715</v>
      </c>
      <c r="Y1030" s="252">
        <f t="shared" si="209"/>
        <v>168712107</v>
      </c>
      <c r="Z1030" s="252">
        <f t="shared" si="209"/>
        <v>13674174</v>
      </c>
      <c r="AA1030" s="252">
        <f t="shared" si="209"/>
        <v>457903</v>
      </c>
      <c r="AB1030" s="252">
        <f t="shared" si="209"/>
        <v>0</v>
      </c>
      <c r="AC1030" s="252">
        <f t="shared" si="209"/>
        <v>61997</v>
      </c>
      <c r="AD1030" s="252">
        <f t="shared" si="209"/>
        <v>39146</v>
      </c>
      <c r="AE1030" s="252">
        <f t="shared" si="209"/>
        <v>92000</v>
      </c>
      <c r="AF1030" s="252">
        <f t="shared" si="209"/>
        <v>322727</v>
      </c>
      <c r="AG1030" s="252">
        <f t="shared" si="209"/>
        <v>13158304</v>
      </c>
      <c r="AH1030" s="252">
        <f t="shared" si="209"/>
        <v>13539526</v>
      </c>
      <c r="AI1030" s="252">
        <f t="shared" si="209"/>
        <v>0</v>
      </c>
      <c r="AJ1030" s="252">
        <f t="shared" si="209"/>
        <v>134648</v>
      </c>
    </row>
    <row r="1031" spans="2:38" s="204" customFormat="1" x14ac:dyDescent="0.25">
      <c r="B1031" s="298"/>
      <c r="C1031" s="298"/>
      <c r="D1031" s="226"/>
      <c r="E1031" s="226"/>
      <c r="F1031" s="226"/>
      <c r="G1031" s="226"/>
      <c r="H1031" s="227"/>
      <c r="I1031" s="226"/>
      <c r="J1031" s="226"/>
      <c r="K1031" s="226"/>
      <c r="L1031" s="403"/>
      <c r="M1031" s="278"/>
      <c r="N1031" s="279"/>
      <c r="O1031" s="279"/>
      <c r="P1031" s="404"/>
      <c r="Q1031" s="216"/>
      <c r="R1031" s="279"/>
      <c r="S1031" s="216"/>
      <c r="T1031" s="216"/>
      <c r="U1031" s="216"/>
      <c r="V1031" s="216"/>
      <c r="W1031" s="216"/>
      <c r="X1031" s="216"/>
      <c r="Z1031" s="216"/>
      <c r="AA1031" s="216"/>
      <c r="AB1031" s="216"/>
      <c r="AC1031" s="216"/>
      <c r="AD1031" s="216"/>
    </row>
    <row r="1032" spans="2:38" s="204" customFormat="1" ht="15.75" customHeight="1" x14ac:dyDescent="0.25">
      <c r="B1032" s="293"/>
      <c r="C1032" s="293"/>
      <c r="D1032" s="230"/>
      <c r="E1032" s="230"/>
      <c r="F1032" s="230"/>
      <c r="G1032" s="230"/>
      <c r="H1032" s="231"/>
      <c r="I1032" s="230"/>
      <c r="J1032" s="230"/>
      <c r="K1032" s="230"/>
      <c r="L1032" s="232"/>
      <c r="M1032" s="211"/>
      <c r="N1032" s="254"/>
      <c r="O1032" s="211"/>
      <c r="P1032" s="211"/>
      <c r="Q1032" s="216"/>
      <c r="R1032" s="211"/>
      <c r="S1032" s="211"/>
      <c r="U1032" s="910" t="s">
        <v>3495</v>
      </c>
      <c r="V1032" s="910"/>
      <c r="W1032" s="485"/>
      <c r="X1032" s="903" t="s">
        <v>3496</v>
      </c>
      <c r="Y1032" s="903"/>
      <c r="Z1032" s="211"/>
      <c r="AA1032" s="211"/>
      <c r="AB1032" s="211"/>
      <c r="AC1032" s="904" t="str">
        <f>+AC1024</f>
        <v>VALORE DEI DEBITI AL 31/12/2020 PER ANNO DI FORMAZIONE</v>
      </c>
      <c r="AD1032" s="904"/>
      <c r="AE1032" s="904"/>
      <c r="AF1032" s="904"/>
      <c r="AG1032" s="904"/>
      <c r="AH1032" s="905" t="str">
        <f>+AH1024</f>
        <v>Debiti al 31/12/2020 per scadenza</v>
      </c>
      <c r="AI1032" s="905"/>
      <c r="AJ1032" s="905"/>
    </row>
    <row r="1033" spans="2:38" s="204" customFormat="1" ht="51" x14ac:dyDescent="0.25">
      <c r="B1033" s="294" t="s">
        <v>2968</v>
      </c>
      <c r="C1033" s="294" t="s">
        <v>2969</v>
      </c>
      <c r="D1033" s="206" t="s">
        <v>72</v>
      </c>
      <c r="E1033" s="206"/>
      <c r="F1033" s="206"/>
      <c r="G1033" s="207"/>
      <c r="H1033" s="207"/>
      <c r="I1033" s="207"/>
      <c r="J1033" s="207" t="s">
        <v>2957</v>
      </c>
      <c r="K1033" s="206" t="s">
        <v>82</v>
      </c>
      <c r="L1033" s="431" t="s">
        <v>3670</v>
      </c>
      <c r="M1033" s="480"/>
      <c r="N1033" s="256" t="str">
        <f>N$15</f>
        <v>Valore netto al 31/12/2019</v>
      </c>
      <c r="O1033" s="256" t="str">
        <f>O$15</f>
        <v>Valore netto al 31/12/2020</v>
      </c>
      <c r="P1033" s="256" t="str">
        <f>P$15</f>
        <v>Variazione</v>
      </c>
      <c r="Q1033" s="262" t="s">
        <v>2971</v>
      </c>
      <c r="R1033" s="262" t="s">
        <v>3517</v>
      </c>
      <c r="S1033" s="442" t="s">
        <v>2972</v>
      </c>
      <c r="T1033" s="486" t="s">
        <v>3995</v>
      </c>
      <c r="U1033" s="337" t="s">
        <v>3996</v>
      </c>
      <c r="V1033" s="337" t="s">
        <v>3495</v>
      </c>
      <c r="W1033" s="262" t="s">
        <v>2975</v>
      </c>
      <c r="X1033" s="338" t="s">
        <v>3498</v>
      </c>
      <c r="Y1033" s="338" t="s">
        <v>3499</v>
      </c>
      <c r="Z1033" s="262" t="s">
        <v>3815</v>
      </c>
      <c r="AA1033" s="377" t="s">
        <v>3997</v>
      </c>
      <c r="AB1033" s="377" t="s">
        <v>3998</v>
      </c>
      <c r="AC1033" s="339" t="s">
        <v>3503</v>
      </c>
      <c r="AD1033" s="339" t="s">
        <v>3504</v>
      </c>
      <c r="AE1033" s="339" t="s">
        <v>3505</v>
      </c>
      <c r="AF1033" s="339" t="s">
        <v>3506</v>
      </c>
      <c r="AG1033" s="339" t="s">
        <v>3507</v>
      </c>
      <c r="AH1033" s="340" t="s">
        <v>3508</v>
      </c>
      <c r="AI1033" s="340" t="s">
        <v>3509</v>
      </c>
      <c r="AJ1033" s="340" t="s">
        <v>3510</v>
      </c>
      <c r="AK1033" s="217"/>
      <c r="AL1033" s="217"/>
    </row>
    <row r="1034" spans="2:38" s="204" customFormat="1" x14ac:dyDescent="0.25">
      <c r="B1034" s="287" t="s">
        <v>2588</v>
      </c>
      <c r="C1034" s="287" t="s">
        <v>2589</v>
      </c>
      <c r="D1034" s="380" t="s">
        <v>4095</v>
      </c>
      <c r="E1034" s="274"/>
      <c r="F1034" s="274"/>
      <c r="G1034" s="283"/>
      <c r="H1034" s="266"/>
      <c r="I1034" s="274"/>
      <c r="J1034" s="281"/>
      <c r="K1034" s="281"/>
      <c r="L1034" s="295" t="s">
        <v>2592</v>
      </c>
      <c r="M1034" s="284" t="s">
        <v>2962</v>
      </c>
      <c r="N1034" s="408">
        <f>+R1034</f>
        <v>0</v>
      </c>
      <c r="O1034" s="408">
        <f>+Z1034</f>
        <v>0</v>
      </c>
      <c r="P1034" s="271">
        <f>+O1034-N1034</f>
        <v>0</v>
      </c>
      <c r="Q1034" s="520"/>
      <c r="R1034" s="354">
        <f>IF(ISERROR(VLOOKUP("SAN"&amp;$C1034,ESTR_PREC_SP!$A$2:$G$2000,4,FALSE))=TRUE,0,VLOOKUP("SAN"&amp;$C1034,ESTR_PREC_SP!$A$2:$G$2000,4,FALSE))</f>
        <v>0</v>
      </c>
      <c r="S1034" s="355"/>
      <c r="T1034" s="544"/>
      <c r="U1034" s="520"/>
      <c r="V1034" s="520"/>
      <c r="W1034" s="520"/>
      <c r="X1034" s="520"/>
      <c r="Y1034" s="520"/>
      <c r="Z1034" s="529">
        <f>+R1034+S1034+U1034+V1034-X1034-Y1034+W1034+Q1034</f>
        <v>0</v>
      </c>
      <c r="AA1034" s="534"/>
      <c r="AB1034" s="544"/>
      <c r="AC1034" s="520"/>
      <c r="AD1034" s="520"/>
      <c r="AE1034" s="520"/>
      <c r="AF1034" s="520"/>
      <c r="AG1034" s="526">
        <f>+Z1034-SUM(AC1034:AF1034)</f>
        <v>0</v>
      </c>
      <c r="AH1034" s="526">
        <f>+Z1034-SUM(AI1034:AJ1034)</f>
        <v>0</v>
      </c>
      <c r="AI1034" s="520"/>
      <c r="AJ1034" s="520"/>
      <c r="AK1034" s="217"/>
      <c r="AL1034" s="217"/>
    </row>
    <row r="1035" spans="2:38" s="204" customFormat="1" x14ac:dyDescent="0.25">
      <c r="B1035" s="287" t="s">
        <v>2593</v>
      </c>
      <c r="C1035" s="287" t="s">
        <v>2594</v>
      </c>
      <c r="D1035" s="380" t="s">
        <v>4096</v>
      </c>
      <c r="E1035" s="274"/>
      <c r="F1035" s="274"/>
      <c r="G1035" s="283"/>
      <c r="H1035" s="266"/>
      <c r="I1035" s="274"/>
      <c r="J1035" s="281"/>
      <c r="K1035" s="281"/>
      <c r="L1035" s="295" t="s">
        <v>2597</v>
      </c>
      <c r="M1035" s="284" t="s">
        <v>2962</v>
      </c>
      <c r="N1035" s="378">
        <f>SUM(N1036:N1041)</f>
        <v>10890396</v>
      </c>
      <c r="O1035" s="378">
        <f>SUM(O1036:O1041)</f>
        <v>11708546</v>
      </c>
      <c r="P1035" s="378">
        <f>+O1035-N1035</f>
        <v>818150</v>
      </c>
      <c r="Q1035" s="378">
        <f>SUM(Q1036:Q1041)</f>
        <v>0</v>
      </c>
      <c r="R1035" s="354">
        <f>IF(ISERROR(VLOOKUP("SAN"&amp;$C1035,ESTR_PREC_SP!$A$2:$G$2000,4,FALSE))=TRUE,0,VLOOKUP("SAN"&amp;$C1035,ESTR_PREC_SP!$A$2:$G$2000,4,FALSE))</f>
        <v>10890396</v>
      </c>
      <c r="S1035" s="355"/>
      <c r="T1035" s="378">
        <f t="shared" ref="T1035:AF1035" si="210">SUM(T1036:T1041)</f>
        <v>0</v>
      </c>
      <c r="U1035" s="378">
        <f t="shared" si="210"/>
        <v>0</v>
      </c>
      <c r="V1035" s="378">
        <f t="shared" si="210"/>
        <v>165963981</v>
      </c>
      <c r="W1035" s="378">
        <f t="shared" si="210"/>
        <v>0</v>
      </c>
      <c r="X1035" s="378">
        <f t="shared" si="210"/>
        <v>10890396</v>
      </c>
      <c r="Y1035" s="378">
        <f t="shared" si="210"/>
        <v>154255435</v>
      </c>
      <c r="Z1035" s="378">
        <f t="shared" si="210"/>
        <v>11708546</v>
      </c>
      <c r="AA1035" s="378">
        <f t="shared" si="210"/>
        <v>0</v>
      </c>
      <c r="AB1035" s="378">
        <f t="shared" si="210"/>
        <v>0</v>
      </c>
      <c r="AC1035" s="378">
        <f t="shared" si="210"/>
        <v>0</v>
      </c>
      <c r="AD1035" s="378">
        <f t="shared" si="210"/>
        <v>0</v>
      </c>
      <c r="AE1035" s="378">
        <f t="shared" si="210"/>
        <v>0</v>
      </c>
      <c r="AF1035" s="378">
        <f t="shared" si="210"/>
        <v>0</v>
      </c>
      <c r="AG1035" s="537">
        <f>+Z1035-SUM(AC1035:AF1035)</f>
        <v>11708546</v>
      </c>
      <c r="AH1035" s="537">
        <f>+Z1035-SUM(AI1035:AJ1035)</f>
        <v>11708546</v>
      </c>
      <c r="AI1035" s="378">
        <f>SUM(AI1036:AI1041)</f>
        <v>0</v>
      </c>
      <c r="AJ1035" s="378">
        <f>SUM(AJ1036:AJ1041)</f>
        <v>0</v>
      </c>
      <c r="AK1035" s="217"/>
      <c r="AL1035" s="217"/>
    </row>
    <row r="1036" spans="2:38" s="204" customFormat="1" x14ac:dyDescent="0.25">
      <c r="B1036" s="287" t="s">
        <v>2598</v>
      </c>
      <c r="C1036" s="287" t="s">
        <v>2599</v>
      </c>
      <c r="D1036" s="380" t="s">
        <v>4098</v>
      </c>
      <c r="E1036" s="274"/>
      <c r="F1036" s="274"/>
      <c r="G1036" s="283"/>
      <c r="H1036" s="266"/>
      <c r="I1036" s="274"/>
      <c r="J1036" s="281"/>
      <c r="K1036" s="281"/>
      <c r="L1036" s="430" t="s">
        <v>4099</v>
      </c>
      <c r="M1036" s="284" t="s">
        <v>2962</v>
      </c>
      <c r="N1036" s="355"/>
      <c r="O1036" s="355"/>
      <c r="P1036" s="355"/>
      <c r="Q1036" s="355"/>
      <c r="R1036" s="354">
        <f>IF(ISERROR(VLOOKUP("SAN"&amp;$C1036,ESTR_PREC_SP!$A$2:$G$2000,4,FALSE))=TRUE,0,VLOOKUP("SAN"&amp;$C1036,ESTR_PREC_SP!$A$2:$G$2000,4,FALSE))</f>
        <v>0</v>
      </c>
      <c r="S1036" s="355"/>
      <c r="T1036" s="355"/>
      <c r="U1036" s="355"/>
      <c r="V1036" s="355"/>
      <c r="W1036" s="355"/>
      <c r="X1036" s="355"/>
      <c r="Y1036" s="355"/>
      <c r="Z1036" s="355"/>
      <c r="AA1036" s="355"/>
      <c r="AB1036" s="355"/>
      <c r="AC1036" s="355"/>
      <c r="AD1036" s="355"/>
      <c r="AE1036" s="355"/>
      <c r="AF1036" s="355"/>
      <c r="AG1036" s="355"/>
      <c r="AH1036" s="355"/>
      <c r="AI1036" s="355"/>
      <c r="AJ1036" s="355"/>
      <c r="AK1036" s="217"/>
      <c r="AL1036" s="217"/>
    </row>
    <row r="1037" spans="2:38" s="204" customFormat="1" x14ac:dyDescent="0.25">
      <c r="B1037" s="287" t="s">
        <v>2601</v>
      </c>
      <c r="C1037" s="287" t="s">
        <v>2602</v>
      </c>
      <c r="D1037" s="287"/>
      <c r="E1037" s="411"/>
      <c r="F1037" s="411"/>
      <c r="G1037" s="412"/>
      <c r="H1037" s="413"/>
      <c r="I1037" s="411"/>
      <c r="J1037" s="411"/>
      <c r="K1037" s="411"/>
      <c r="L1037" s="508" t="s">
        <v>4100</v>
      </c>
      <c r="M1037" s="287" t="s">
        <v>2962</v>
      </c>
      <c r="N1037" s="408">
        <f t="shared" ref="N1037:N1045" si="211">+R1037</f>
        <v>1666314</v>
      </c>
      <c r="O1037" s="408">
        <f t="shared" ref="O1037:O1045" si="212">+Z1037</f>
        <v>1590265</v>
      </c>
      <c r="P1037" s="408">
        <f t="shared" ref="P1037:P1050" si="213">+O1037-N1037</f>
        <v>-76049</v>
      </c>
      <c r="Q1037" s="527"/>
      <c r="R1037" s="354">
        <f>IF(ISERROR(VLOOKUP("SAN"&amp;$C1037,ESTR_PREC_SP!$A$2:$G$2000,4,FALSE))=TRUE,0,VLOOKUP("SAN"&amp;$C1037,ESTR_PREC_SP!$A$2:$G$2000,4,FALSE))</f>
        <v>1666314</v>
      </c>
      <c r="S1037" s="355"/>
      <c r="T1037" s="527"/>
      <c r="U1037" s="527"/>
      <c r="V1037" s="527">
        <f>3247255+344218</f>
        <v>3591473</v>
      </c>
      <c r="W1037" s="527"/>
      <c r="X1037" s="527">
        <v>1666314</v>
      </c>
      <c r="Y1037" s="527">
        <v>2001208</v>
      </c>
      <c r="Z1037" s="529">
        <f t="shared" ref="Z1037:Z1042" si="214">+R1037+S1037+U1037+V1037-X1037-Y1037+W1037+Q1037</f>
        <v>1590265</v>
      </c>
      <c r="AA1037" s="546"/>
      <c r="AB1037" s="355"/>
      <c r="AC1037" s="520"/>
      <c r="AD1037" s="520"/>
      <c r="AE1037" s="520"/>
      <c r="AF1037" s="520"/>
      <c r="AG1037" s="548">
        <f t="shared" ref="AG1037:AG1050" si="215">+Z1037-SUM(AC1037:AF1037)</f>
        <v>1590265</v>
      </c>
      <c r="AH1037" s="548">
        <f t="shared" ref="AH1037:AH1050" si="216">+Z1037-SUM(AI1037:AJ1037)</f>
        <v>1590265</v>
      </c>
      <c r="AI1037" s="520"/>
      <c r="AJ1037" s="520"/>
      <c r="AK1037" s="549"/>
      <c r="AL1037" s="549"/>
    </row>
    <row r="1038" spans="2:38" s="204" customFormat="1" x14ac:dyDescent="0.25">
      <c r="B1038" s="287" t="s">
        <v>2604</v>
      </c>
      <c r="C1038" s="287" t="s">
        <v>2605</v>
      </c>
      <c r="D1038" s="287"/>
      <c r="E1038" s="411"/>
      <c r="F1038" s="411"/>
      <c r="G1038" s="412"/>
      <c r="H1038" s="413"/>
      <c r="I1038" s="411"/>
      <c r="J1038" s="411"/>
      <c r="K1038" s="411"/>
      <c r="L1038" s="508" t="s">
        <v>4101</v>
      </c>
      <c r="M1038" s="287" t="s">
        <v>2962</v>
      </c>
      <c r="N1038" s="408">
        <f t="shared" si="211"/>
        <v>9224082</v>
      </c>
      <c r="O1038" s="408">
        <f t="shared" si="212"/>
        <v>10118281</v>
      </c>
      <c r="P1038" s="408">
        <f t="shared" si="213"/>
        <v>894199</v>
      </c>
      <c r="Q1038" s="527"/>
      <c r="R1038" s="354">
        <f>IF(ISERROR(VLOOKUP("SAN"&amp;$C1038,ESTR_PREC_SP!$A$2:$G$2000,4,FALSE))=TRUE,0,VLOOKUP("SAN"&amp;$C1038,ESTR_PREC_SP!$A$2:$G$2000,4,FALSE))</f>
        <v>9224082</v>
      </c>
      <c r="S1038" s="355"/>
      <c r="T1038" s="527"/>
      <c r="U1038" s="527"/>
      <c r="V1038" s="527">
        <f>143441242+18549804+391845-10383</f>
        <v>162372508</v>
      </c>
      <c r="W1038" s="527"/>
      <c r="X1038" s="527">
        <f>+65113+9158969</f>
        <v>9224082</v>
      </c>
      <c r="Y1038" s="527">
        <f>+143401741+8852486</f>
        <v>152254227</v>
      </c>
      <c r="Z1038" s="529">
        <f t="shared" si="214"/>
        <v>10118281</v>
      </c>
      <c r="AA1038" s="546"/>
      <c r="AB1038" s="355"/>
      <c r="AC1038" s="520"/>
      <c r="AD1038" s="520"/>
      <c r="AE1038" s="520"/>
      <c r="AF1038" s="520"/>
      <c r="AG1038" s="548">
        <f t="shared" si="215"/>
        <v>10118281</v>
      </c>
      <c r="AH1038" s="548">
        <f t="shared" si="216"/>
        <v>10118281</v>
      </c>
      <c r="AI1038" s="520"/>
      <c r="AJ1038" s="520"/>
      <c r="AK1038" s="549"/>
      <c r="AL1038" s="549"/>
    </row>
    <row r="1039" spans="2:38" s="204" customFormat="1" x14ac:dyDescent="0.25">
      <c r="B1039" s="287" t="s">
        <v>2607</v>
      </c>
      <c r="C1039" s="287" t="s">
        <v>2608</v>
      </c>
      <c r="D1039" s="380" t="s">
        <v>4102</v>
      </c>
      <c r="E1039" s="274"/>
      <c r="F1039" s="274"/>
      <c r="G1039" s="283"/>
      <c r="H1039" s="266"/>
      <c r="I1039" s="274"/>
      <c r="J1039" s="281"/>
      <c r="K1039" s="281"/>
      <c r="L1039" s="430" t="s">
        <v>4103</v>
      </c>
      <c r="M1039" s="284" t="s">
        <v>2962</v>
      </c>
      <c r="N1039" s="408">
        <f t="shared" si="211"/>
        <v>0</v>
      </c>
      <c r="O1039" s="408">
        <f t="shared" si="212"/>
        <v>0</v>
      </c>
      <c r="P1039" s="271">
        <f t="shared" si="213"/>
        <v>0</v>
      </c>
      <c r="Q1039" s="527"/>
      <c r="R1039" s="354">
        <f>IF(ISERROR(VLOOKUP("SAN"&amp;$C1039,ESTR_PREC_SP!$A$2:$G$2000,4,FALSE))=TRUE,0,VLOOKUP("SAN"&amp;$C1039,ESTR_PREC_SP!$A$2:$G$2000,4,FALSE))</f>
        <v>0</v>
      </c>
      <c r="S1039" s="355"/>
      <c r="T1039" s="355"/>
      <c r="U1039" s="527"/>
      <c r="V1039" s="527"/>
      <c r="W1039" s="527"/>
      <c r="X1039" s="527"/>
      <c r="Y1039" s="527"/>
      <c r="Z1039" s="529">
        <f t="shared" si="214"/>
        <v>0</v>
      </c>
      <c r="AA1039" s="546"/>
      <c r="AB1039" s="355"/>
      <c r="AC1039" s="520"/>
      <c r="AD1039" s="520"/>
      <c r="AE1039" s="520"/>
      <c r="AF1039" s="520"/>
      <c r="AG1039" s="526">
        <f t="shared" si="215"/>
        <v>0</v>
      </c>
      <c r="AH1039" s="526">
        <f t="shared" si="216"/>
        <v>0</v>
      </c>
      <c r="AI1039" s="520"/>
      <c r="AJ1039" s="520"/>
      <c r="AK1039" s="217"/>
      <c r="AL1039" s="217"/>
    </row>
    <row r="1040" spans="2:38" s="204" customFormat="1" x14ac:dyDescent="0.25">
      <c r="B1040" s="287" t="s">
        <v>2610</v>
      </c>
      <c r="C1040" s="287" t="s">
        <v>2611</v>
      </c>
      <c r="D1040" s="380" t="s">
        <v>4104</v>
      </c>
      <c r="E1040" s="274"/>
      <c r="F1040" s="274"/>
      <c r="G1040" s="283"/>
      <c r="H1040" s="266"/>
      <c r="I1040" s="274"/>
      <c r="J1040" s="281"/>
      <c r="K1040" s="281"/>
      <c r="L1040" s="430" t="s">
        <v>4105</v>
      </c>
      <c r="M1040" s="284" t="s">
        <v>2962</v>
      </c>
      <c r="N1040" s="408">
        <f t="shared" si="211"/>
        <v>0</v>
      </c>
      <c r="O1040" s="408">
        <f t="shared" si="212"/>
        <v>0</v>
      </c>
      <c r="P1040" s="271">
        <f t="shared" si="213"/>
        <v>0</v>
      </c>
      <c r="Q1040" s="527"/>
      <c r="R1040" s="354">
        <f>IF(ISERROR(VLOOKUP("SAN"&amp;$C1040,ESTR_PREC_SP!$A$2:$G$2000,4,FALSE))=TRUE,0,VLOOKUP("SAN"&amp;$C1040,ESTR_PREC_SP!$A$2:$G$2000,4,FALSE))</f>
        <v>0</v>
      </c>
      <c r="S1040" s="355"/>
      <c r="T1040" s="355"/>
      <c r="U1040" s="527"/>
      <c r="V1040" s="527"/>
      <c r="W1040" s="527"/>
      <c r="X1040" s="527"/>
      <c r="Y1040" s="527"/>
      <c r="Z1040" s="529">
        <f t="shared" si="214"/>
        <v>0</v>
      </c>
      <c r="AA1040" s="546"/>
      <c r="AB1040" s="355"/>
      <c r="AC1040" s="520"/>
      <c r="AD1040" s="520"/>
      <c r="AE1040" s="520"/>
      <c r="AF1040" s="520"/>
      <c r="AG1040" s="526">
        <f t="shared" si="215"/>
        <v>0</v>
      </c>
      <c r="AH1040" s="526">
        <f t="shared" si="216"/>
        <v>0</v>
      </c>
      <c r="AI1040" s="520"/>
      <c r="AJ1040" s="520"/>
      <c r="AK1040" s="217"/>
      <c r="AL1040" s="217"/>
    </row>
    <row r="1041" spans="2:38" s="204" customFormat="1" x14ac:dyDescent="0.25">
      <c r="B1041" s="287" t="s">
        <v>2613</v>
      </c>
      <c r="C1041" s="287" t="s">
        <v>2614</v>
      </c>
      <c r="D1041" s="380" t="s">
        <v>4106</v>
      </c>
      <c r="E1041" s="274"/>
      <c r="F1041" s="274"/>
      <c r="G1041" s="283"/>
      <c r="H1041" s="266"/>
      <c r="I1041" s="274"/>
      <c r="J1041" s="281"/>
      <c r="K1041" s="281"/>
      <c r="L1041" s="430" t="s">
        <v>4107</v>
      </c>
      <c r="M1041" s="284" t="s">
        <v>2962</v>
      </c>
      <c r="N1041" s="408">
        <f t="shared" si="211"/>
        <v>0</v>
      </c>
      <c r="O1041" s="408">
        <f t="shared" si="212"/>
        <v>0</v>
      </c>
      <c r="P1041" s="271">
        <f t="shared" si="213"/>
        <v>0</v>
      </c>
      <c r="Q1041" s="527"/>
      <c r="R1041" s="354">
        <f>IF(ISERROR(VLOOKUP("SAN"&amp;$C1041,ESTR_PREC_SP!$A$2:$G$2000,4,FALSE))=TRUE,0,VLOOKUP("SAN"&amp;$C1041,ESTR_PREC_SP!$A$2:$G$2000,4,FALSE))</f>
        <v>0</v>
      </c>
      <c r="S1041" s="355"/>
      <c r="T1041" s="355"/>
      <c r="U1041" s="527"/>
      <c r="V1041" s="527"/>
      <c r="W1041" s="527"/>
      <c r="X1041" s="527"/>
      <c r="Y1041" s="527"/>
      <c r="Z1041" s="529">
        <f t="shared" si="214"/>
        <v>0</v>
      </c>
      <c r="AA1041" s="546"/>
      <c r="AB1041" s="355"/>
      <c r="AC1041" s="520"/>
      <c r="AD1041" s="520"/>
      <c r="AE1041" s="520"/>
      <c r="AF1041" s="520"/>
      <c r="AG1041" s="526">
        <f t="shared" si="215"/>
        <v>0</v>
      </c>
      <c r="AH1041" s="526">
        <f t="shared" si="216"/>
        <v>0</v>
      </c>
      <c r="AI1041" s="520"/>
      <c r="AJ1041" s="520"/>
      <c r="AK1041" s="217"/>
      <c r="AL1041" s="217"/>
    </row>
    <row r="1042" spans="2:38" s="204" customFormat="1" x14ac:dyDescent="0.25">
      <c r="B1042" s="287" t="s">
        <v>2616</v>
      </c>
      <c r="C1042" s="287" t="s">
        <v>2617</v>
      </c>
      <c r="D1042" s="380" t="s">
        <v>4108</v>
      </c>
      <c r="E1042" s="274"/>
      <c r="F1042" s="274"/>
      <c r="G1042" s="283"/>
      <c r="H1042" s="266"/>
      <c r="I1042" s="274"/>
      <c r="J1042" s="281"/>
      <c r="K1042" s="281"/>
      <c r="L1042" s="295" t="s">
        <v>2619</v>
      </c>
      <c r="M1042" s="284" t="s">
        <v>2962</v>
      </c>
      <c r="N1042" s="408">
        <f t="shared" si="211"/>
        <v>0</v>
      </c>
      <c r="O1042" s="408">
        <f t="shared" si="212"/>
        <v>0</v>
      </c>
      <c r="P1042" s="271">
        <f t="shared" si="213"/>
        <v>0</v>
      </c>
      <c r="Q1042" s="527"/>
      <c r="R1042" s="354">
        <f>IF(ISERROR(VLOOKUP("SAN"&amp;$C1042,ESTR_PREC_SP!$A$2:$G$2000,4,FALSE))=TRUE,0,VLOOKUP("SAN"&amp;$C1042,ESTR_PREC_SP!$A$2:$G$2000,4,FALSE))</f>
        <v>0</v>
      </c>
      <c r="S1042" s="355"/>
      <c r="T1042" s="355"/>
      <c r="U1042" s="527"/>
      <c r="V1042" s="527"/>
      <c r="W1042" s="527"/>
      <c r="X1042" s="527"/>
      <c r="Y1042" s="527"/>
      <c r="Z1042" s="529">
        <f t="shared" si="214"/>
        <v>0</v>
      </c>
      <c r="AA1042" s="546"/>
      <c r="AB1042" s="355"/>
      <c r="AC1042" s="520"/>
      <c r="AD1042" s="520"/>
      <c r="AE1042" s="520"/>
      <c r="AF1042" s="520"/>
      <c r="AG1042" s="526">
        <f t="shared" si="215"/>
        <v>0</v>
      </c>
      <c r="AH1042" s="526">
        <f t="shared" si="216"/>
        <v>0</v>
      </c>
      <c r="AI1042" s="520"/>
      <c r="AJ1042" s="520"/>
      <c r="AK1042" s="217"/>
      <c r="AL1042" s="217"/>
    </row>
    <row r="1043" spans="2:38" s="204" customFormat="1" x14ac:dyDescent="0.25">
      <c r="B1043" s="287" t="s">
        <v>2620</v>
      </c>
      <c r="C1043" s="287" t="s">
        <v>2621</v>
      </c>
      <c r="D1043" s="380" t="s">
        <v>4109</v>
      </c>
      <c r="E1043" s="274"/>
      <c r="F1043" s="274"/>
      <c r="G1043" s="283"/>
      <c r="H1043" s="266"/>
      <c r="I1043" s="274"/>
      <c r="J1043" s="281"/>
      <c r="K1043" s="281"/>
      <c r="L1043" s="536" t="s">
        <v>2623</v>
      </c>
      <c r="M1043" s="536" t="s">
        <v>2962</v>
      </c>
      <c r="N1043" s="408">
        <f t="shared" si="211"/>
        <v>1487907</v>
      </c>
      <c r="O1043" s="408">
        <f t="shared" si="212"/>
        <v>1965628</v>
      </c>
      <c r="P1043" s="271">
        <f t="shared" si="213"/>
        <v>477721</v>
      </c>
      <c r="Q1043" s="378">
        <f>+Q1044+Q1045+Q1046</f>
        <v>0</v>
      </c>
      <c r="R1043" s="354">
        <f>IF(ISERROR(VLOOKUP("SAN"&amp;$C1043,ESTR_PREC_SP!$A$2:$G$2000,4,FALSE))=TRUE,0,VLOOKUP("SAN"&amp;$C1043,ESTR_PREC_SP!$A$2:$G$2000,4,FALSE))</f>
        <v>1487907</v>
      </c>
      <c r="S1043" s="355"/>
      <c r="T1043" s="378">
        <f t="shared" ref="T1043:AF1043" si="217">+T1044+T1045+T1046</f>
        <v>0</v>
      </c>
      <c r="U1043" s="378">
        <f t="shared" si="217"/>
        <v>31344</v>
      </c>
      <c r="V1043" s="378">
        <f t="shared" si="217"/>
        <v>15820368</v>
      </c>
      <c r="W1043" s="378">
        <f t="shared" si="217"/>
        <v>0</v>
      </c>
      <c r="X1043" s="378">
        <f t="shared" si="217"/>
        <v>917319</v>
      </c>
      <c r="Y1043" s="378">
        <f t="shared" si="217"/>
        <v>14456672</v>
      </c>
      <c r="Z1043" s="378">
        <f t="shared" si="217"/>
        <v>1965628</v>
      </c>
      <c r="AA1043" s="378">
        <f t="shared" si="217"/>
        <v>457903</v>
      </c>
      <c r="AB1043" s="378">
        <f t="shared" si="217"/>
        <v>0</v>
      </c>
      <c r="AC1043" s="378">
        <f t="shared" si="217"/>
        <v>61997</v>
      </c>
      <c r="AD1043" s="378">
        <f t="shared" si="217"/>
        <v>39146</v>
      </c>
      <c r="AE1043" s="378">
        <f t="shared" si="217"/>
        <v>92000</v>
      </c>
      <c r="AF1043" s="378">
        <f t="shared" si="217"/>
        <v>322727</v>
      </c>
      <c r="AG1043" s="537">
        <f t="shared" si="215"/>
        <v>1449758</v>
      </c>
      <c r="AH1043" s="537">
        <f t="shared" si="216"/>
        <v>1830980</v>
      </c>
      <c r="AI1043" s="378">
        <f>+AI1044+AI1045+AI1046</f>
        <v>0</v>
      </c>
      <c r="AJ1043" s="378">
        <f>+AJ1044+AJ1045+AJ1046</f>
        <v>134648</v>
      </c>
      <c r="AK1043" s="217"/>
      <c r="AL1043" s="217"/>
    </row>
    <row r="1044" spans="2:38" s="204" customFormat="1" x14ac:dyDescent="0.25">
      <c r="B1044" s="287" t="s">
        <v>2624</v>
      </c>
      <c r="C1044" s="287" t="s">
        <v>2625</v>
      </c>
      <c r="D1044" s="380" t="s">
        <v>4110</v>
      </c>
      <c r="E1044" s="274"/>
      <c r="F1044" s="274"/>
      <c r="G1044" s="283"/>
      <c r="H1044" s="266"/>
      <c r="I1044" s="274"/>
      <c r="J1044" s="281"/>
      <c r="K1044" s="281"/>
      <c r="L1044" s="509" t="s">
        <v>2627</v>
      </c>
      <c r="M1044" s="284" t="s">
        <v>2962</v>
      </c>
      <c r="N1044" s="408">
        <f t="shared" si="211"/>
        <v>1257591</v>
      </c>
      <c r="O1044" s="408">
        <f t="shared" si="212"/>
        <v>1797128</v>
      </c>
      <c r="P1044" s="271">
        <f t="shared" si="213"/>
        <v>539537</v>
      </c>
      <c r="Q1044" s="527"/>
      <c r="R1044" s="354">
        <f>IF(ISERROR(VLOOKUP("SAN"&amp;$C1044,ESTR_PREC_SP!$A$2:$G$2000,4,FALSE))=TRUE,0,VLOOKUP("SAN"&amp;$C1044,ESTR_PREC_SP!$A$2:$G$2000,4,FALSE))</f>
        <v>1257591</v>
      </c>
      <c r="S1044" s="355"/>
      <c r="T1044" s="545"/>
      <c r="U1044" s="527">
        <f>29953+1391</f>
        <v>31344</v>
      </c>
      <c r="V1044" s="527">
        <f>4252439+210547+434207+25090-1394+148873+2221594+482440+31589+1804919+139027+3457146+1530+9014+414248+1872321+218189+40397+9583-1</f>
        <v>15771758</v>
      </c>
      <c r="W1044" s="527"/>
      <c r="X1044" s="527">
        <f>78549+14478+310216+24255+80776+27267+72008+4189+24904+45+9516+100063+44554+7077+76649+5034</f>
        <v>879580</v>
      </c>
      <c r="Y1044" s="527">
        <f>4093237+198999+2203929+456065+87+132350+3182514+43+369254+1803887+212938+1730594+88</f>
        <v>14383985</v>
      </c>
      <c r="Z1044" s="529">
        <f>+R1044+S1044+U1044+V1044-X1044-Y1044+W1044+Q1044</f>
        <v>1797128</v>
      </c>
      <c r="AA1044" s="546">
        <f>434207+25090-1394</f>
        <v>457903</v>
      </c>
      <c r="AB1044" s="545"/>
      <c r="AC1044" s="520">
        <v>61997</v>
      </c>
      <c r="AD1044" s="520">
        <v>39146</v>
      </c>
      <c r="AE1044" s="520">
        <v>79000</v>
      </c>
      <c r="AF1044" s="520">
        <f>+34102+329+66151+13037+41338+38270</f>
        <v>193227</v>
      </c>
      <c r="AG1044" s="526">
        <f t="shared" si="215"/>
        <v>1423758</v>
      </c>
      <c r="AH1044" s="526">
        <f t="shared" si="216"/>
        <v>1662480</v>
      </c>
      <c r="AI1044" s="520"/>
      <c r="AJ1044" s="520">
        <f>+42826+44538+47284</f>
        <v>134648</v>
      </c>
      <c r="AK1044" s="217"/>
      <c r="AL1044" s="217"/>
    </row>
    <row r="1045" spans="2:38" s="204" customFormat="1" x14ac:dyDescent="0.25">
      <c r="B1045" s="287" t="s">
        <v>2628</v>
      </c>
      <c r="C1045" s="287" t="s">
        <v>2629</v>
      </c>
      <c r="D1045" s="380" t="s">
        <v>4111</v>
      </c>
      <c r="E1045" s="274"/>
      <c r="F1045" s="274"/>
      <c r="G1045" s="283"/>
      <c r="H1045" s="266"/>
      <c r="I1045" s="274"/>
      <c r="J1045" s="281"/>
      <c r="K1045" s="281"/>
      <c r="L1045" s="509" t="s">
        <v>2630</v>
      </c>
      <c r="M1045" s="284" t="s">
        <v>2962</v>
      </c>
      <c r="N1045" s="408">
        <f t="shared" si="211"/>
        <v>230316</v>
      </c>
      <c r="O1045" s="408">
        <f t="shared" si="212"/>
        <v>168500</v>
      </c>
      <c r="P1045" s="271">
        <f t="shared" si="213"/>
        <v>-61816</v>
      </c>
      <c r="Q1045" s="527"/>
      <c r="R1045" s="354">
        <f>IF(ISERROR(VLOOKUP("SAN"&amp;$C1045,ESTR_PREC_SP!$A$2:$G$2000,4,FALSE))=TRUE,0,VLOOKUP("SAN"&amp;$C1045,ESTR_PREC_SP!$A$2:$G$2000,4,FALSE))</f>
        <v>230316</v>
      </c>
      <c r="S1045" s="355"/>
      <c r="T1045" s="545"/>
      <c r="U1045" s="527"/>
      <c r="V1045" s="527">
        <v>48610</v>
      </c>
      <c r="W1045" s="527"/>
      <c r="X1045" s="527">
        <f>31011+6728</f>
        <v>37739</v>
      </c>
      <c r="Y1045" s="527">
        <v>72687</v>
      </c>
      <c r="Z1045" s="529">
        <f>+R1045+S1045+U1045+V1045-X1045-Y1045+W1045+Q1045</f>
        <v>168500</v>
      </c>
      <c r="AA1045" s="546"/>
      <c r="AB1045" s="545"/>
      <c r="AC1045" s="520"/>
      <c r="AD1045" s="520"/>
      <c r="AE1045" s="520">
        <v>13000</v>
      </c>
      <c r="AF1045" s="520">
        <v>129500</v>
      </c>
      <c r="AG1045" s="526">
        <f t="shared" si="215"/>
        <v>26000</v>
      </c>
      <c r="AH1045" s="526">
        <f t="shared" si="216"/>
        <v>168500</v>
      </c>
      <c r="AI1045" s="520"/>
      <c r="AJ1045" s="520"/>
      <c r="AK1045" s="217"/>
      <c r="AL1045" s="217"/>
    </row>
    <row r="1046" spans="2:38" s="204" customFormat="1" x14ac:dyDescent="0.25">
      <c r="B1046" s="287" t="s">
        <v>2631</v>
      </c>
      <c r="C1046" s="287" t="s">
        <v>2632</v>
      </c>
      <c r="D1046" s="380" t="s">
        <v>4112</v>
      </c>
      <c r="E1046" s="274"/>
      <c r="F1046" s="274"/>
      <c r="G1046" s="283"/>
      <c r="H1046" s="266"/>
      <c r="I1046" s="274"/>
      <c r="J1046" s="281"/>
      <c r="K1046" s="281"/>
      <c r="L1046" s="509" t="s">
        <v>2633</v>
      </c>
      <c r="M1046" s="284" t="s">
        <v>2962</v>
      </c>
      <c r="N1046" s="378">
        <f>SUM(N1047:N1050)</f>
        <v>0</v>
      </c>
      <c r="O1046" s="378">
        <f>SUM(O1047:O1050)</f>
        <v>0</v>
      </c>
      <c r="P1046" s="378">
        <f t="shared" si="213"/>
        <v>0</v>
      </c>
      <c r="Q1046" s="378">
        <f>SUM(Q1047:Q1050)</f>
        <v>0</v>
      </c>
      <c r="R1046" s="378">
        <f>SUM(R1047:R1050)</f>
        <v>0</v>
      </c>
      <c r="S1046" s="355"/>
      <c r="T1046" s="378">
        <f t="shared" ref="T1046:AF1046" si="218">SUM(T1047:T1050)</f>
        <v>0</v>
      </c>
      <c r="U1046" s="378">
        <f t="shared" si="218"/>
        <v>0</v>
      </c>
      <c r="V1046" s="378">
        <f t="shared" si="218"/>
        <v>0</v>
      </c>
      <c r="W1046" s="378">
        <f t="shared" si="218"/>
        <v>0</v>
      </c>
      <c r="X1046" s="378">
        <f t="shared" si="218"/>
        <v>0</v>
      </c>
      <c r="Y1046" s="378">
        <f t="shared" si="218"/>
        <v>0</v>
      </c>
      <c r="Z1046" s="378">
        <f t="shared" si="218"/>
        <v>0</v>
      </c>
      <c r="AA1046" s="378">
        <f t="shared" si="218"/>
        <v>0</v>
      </c>
      <c r="AB1046" s="378">
        <f t="shared" si="218"/>
        <v>0</v>
      </c>
      <c r="AC1046" s="378">
        <f t="shared" si="218"/>
        <v>0</v>
      </c>
      <c r="AD1046" s="378">
        <f t="shared" si="218"/>
        <v>0</v>
      </c>
      <c r="AE1046" s="378">
        <f t="shared" si="218"/>
        <v>0</v>
      </c>
      <c r="AF1046" s="378">
        <f t="shared" si="218"/>
        <v>0</v>
      </c>
      <c r="AG1046" s="537">
        <f t="shared" si="215"/>
        <v>0</v>
      </c>
      <c r="AH1046" s="537">
        <f t="shared" si="216"/>
        <v>0</v>
      </c>
      <c r="AI1046" s="378">
        <f>SUM(AI1047:AI1050)</f>
        <v>0</v>
      </c>
      <c r="AJ1046" s="378">
        <f>SUM(AJ1047:AJ1050)</f>
        <v>0</v>
      </c>
      <c r="AK1046" s="217"/>
      <c r="AL1046" s="217"/>
    </row>
    <row r="1047" spans="2:38" s="204" customFormat="1" x14ac:dyDescent="0.25">
      <c r="B1047" s="287" t="s">
        <v>2634</v>
      </c>
      <c r="C1047" s="287" t="s">
        <v>2635</v>
      </c>
      <c r="D1047" s="380" t="s">
        <v>4113</v>
      </c>
      <c r="E1047" s="274"/>
      <c r="F1047" s="274"/>
      <c r="G1047" s="283"/>
      <c r="H1047" s="266"/>
      <c r="I1047" s="274"/>
      <c r="J1047" s="281"/>
      <c r="K1047" s="281"/>
      <c r="L1047" s="430" t="s">
        <v>4114</v>
      </c>
      <c r="M1047" s="284" t="s">
        <v>2962</v>
      </c>
      <c r="N1047" s="408">
        <f>+R1047</f>
        <v>0</v>
      </c>
      <c r="O1047" s="408">
        <f>+Z1047</f>
        <v>0</v>
      </c>
      <c r="P1047" s="271">
        <f t="shared" si="213"/>
        <v>0</v>
      </c>
      <c r="Q1047" s="527"/>
      <c r="R1047" s="354">
        <f>IF(ISERROR(VLOOKUP("SAN"&amp;$C1047,ESTR_PREC_SP!$A$2:$G$2000,4,FALSE))=TRUE,0,VLOOKUP("SAN"&amp;$C1047,ESTR_PREC_SP!$A$2:$G$2000,4,FALSE))</f>
        <v>0</v>
      </c>
      <c r="S1047" s="355"/>
      <c r="T1047" s="355"/>
      <c r="U1047" s="527"/>
      <c r="V1047" s="527"/>
      <c r="W1047" s="527"/>
      <c r="X1047" s="527"/>
      <c r="Y1047" s="527"/>
      <c r="Z1047" s="529">
        <f>+R1047+S1047+U1047+V1047-X1047-Y1047+W1047+Q1047</f>
        <v>0</v>
      </c>
      <c r="AA1047" s="355"/>
      <c r="AB1047" s="355"/>
      <c r="AC1047" s="520"/>
      <c r="AD1047" s="520"/>
      <c r="AE1047" s="520"/>
      <c r="AF1047" s="520"/>
      <c r="AG1047" s="526">
        <f t="shared" si="215"/>
        <v>0</v>
      </c>
      <c r="AH1047" s="526">
        <f t="shared" si="216"/>
        <v>0</v>
      </c>
      <c r="AI1047" s="520"/>
      <c r="AJ1047" s="520"/>
      <c r="AK1047" s="217"/>
      <c r="AL1047" s="217"/>
    </row>
    <row r="1048" spans="2:38" s="204" customFormat="1" hidden="1" x14ac:dyDescent="0.25">
      <c r="B1048" s="287" t="s">
        <v>2637</v>
      </c>
      <c r="C1048" s="287" t="s">
        <v>2638</v>
      </c>
      <c r="D1048" s="380" t="s">
        <v>4115</v>
      </c>
      <c r="E1048" s="274"/>
      <c r="F1048" s="274"/>
      <c r="G1048" s="283"/>
      <c r="H1048" s="266"/>
      <c r="I1048" s="274"/>
      <c r="J1048" s="281"/>
      <c r="K1048" s="281"/>
      <c r="L1048" s="430" t="s">
        <v>2639</v>
      </c>
      <c r="M1048" s="284" t="s">
        <v>2962</v>
      </c>
      <c r="N1048" s="408">
        <f>+R1048</f>
        <v>0</v>
      </c>
      <c r="O1048" s="408">
        <f>+Z1048</f>
        <v>0</v>
      </c>
      <c r="P1048" s="271">
        <f t="shared" si="213"/>
        <v>0</v>
      </c>
      <c r="Q1048" s="527"/>
      <c r="R1048" s="354">
        <f>IF(ISERROR(VLOOKUP("SAN"&amp;$C1048,ESTR_PREC_SP!$A$2:$G$2000,4,FALSE))=TRUE,0,VLOOKUP("SAN"&amp;$C1048,ESTR_PREC_SP!$A$2:$G$2000,4,FALSE))</f>
        <v>0</v>
      </c>
      <c r="S1048" s="355"/>
      <c r="T1048" s="355"/>
      <c r="U1048" s="527"/>
      <c r="V1048" s="527"/>
      <c r="W1048" s="527"/>
      <c r="X1048" s="527"/>
      <c r="Y1048" s="527"/>
      <c r="Z1048" s="529">
        <f>+R1048+S1048+U1048+V1048-X1048-Y1048+W1048+Q1048</f>
        <v>0</v>
      </c>
      <c r="AA1048" s="355"/>
      <c r="AB1048" s="355"/>
      <c r="AC1048" s="520"/>
      <c r="AD1048" s="520"/>
      <c r="AE1048" s="520"/>
      <c r="AF1048" s="520"/>
      <c r="AG1048" s="526">
        <f t="shared" si="215"/>
        <v>0</v>
      </c>
      <c r="AH1048" s="526">
        <f t="shared" si="216"/>
        <v>0</v>
      </c>
      <c r="AI1048" s="520"/>
      <c r="AJ1048" s="520"/>
      <c r="AK1048" s="217"/>
      <c r="AL1048" s="217"/>
    </row>
    <row r="1049" spans="2:38" s="204" customFormat="1" x14ac:dyDescent="0.25">
      <c r="B1049" s="287" t="s">
        <v>2640</v>
      </c>
      <c r="C1049" s="287" t="s">
        <v>2641</v>
      </c>
      <c r="D1049" s="380" t="s">
        <v>4116</v>
      </c>
      <c r="E1049" s="274"/>
      <c r="F1049" s="274"/>
      <c r="G1049" s="283"/>
      <c r="H1049" s="266"/>
      <c r="I1049" s="274"/>
      <c r="J1049" s="281"/>
      <c r="K1049" s="281"/>
      <c r="L1049" s="430" t="s">
        <v>4117</v>
      </c>
      <c r="M1049" s="284" t="s">
        <v>2962</v>
      </c>
      <c r="N1049" s="408">
        <f>+R1049</f>
        <v>0</v>
      </c>
      <c r="O1049" s="408">
        <f>+Z1049</f>
        <v>0</v>
      </c>
      <c r="P1049" s="271">
        <f t="shared" si="213"/>
        <v>0</v>
      </c>
      <c r="Q1049" s="527"/>
      <c r="R1049" s="354">
        <f>IF(ISERROR(VLOOKUP("SAN"&amp;$C1049,ESTR_PREC_SP!$A$2:$G$2000,4,FALSE))=TRUE,0,VLOOKUP("SAN"&amp;$C1049,ESTR_PREC_SP!$A$2:$G$2000,4,FALSE))</f>
        <v>0</v>
      </c>
      <c r="S1049" s="355"/>
      <c r="T1049" s="355"/>
      <c r="U1049" s="527"/>
      <c r="V1049" s="527"/>
      <c r="W1049" s="527"/>
      <c r="X1049" s="527"/>
      <c r="Y1049" s="527"/>
      <c r="Z1049" s="529">
        <f>+R1049+S1049+U1049+V1049-X1049-Y1049+W1049+Q1049</f>
        <v>0</v>
      </c>
      <c r="AA1049" s="355"/>
      <c r="AB1049" s="355"/>
      <c r="AC1049" s="520"/>
      <c r="AD1049" s="520"/>
      <c r="AE1049" s="520"/>
      <c r="AF1049" s="520"/>
      <c r="AG1049" s="526">
        <f t="shared" si="215"/>
        <v>0</v>
      </c>
      <c r="AH1049" s="526">
        <f t="shared" si="216"/>
        <v>0</v>
      </c>
      <c r="AI1049" s="520"/>
      <c r="AJ1049" s="520"/>
      <c r="AK1049" s="217"/>
      <c r="AL1049" s="217"/>
    </row>
    <row r="1050" spans="2:38" s="204" customFormat="1" x14ac:dyDescent="0.25">
      <c r="B1050" s="287" t="s">
        <v>2643</v>
      </c>
      <c r="C1050" s="287" t="s">
        <v>2644</v>
      </c>
      <c r="D1050" s="380" t="s">
        <v>4118</v>
      </c>
      <c r="E1050" s="274"/>
      <c r="F1050" s="274"/>
      <c r="G1050" s="283"/>
      <c r="H1050" s="266"/>
      <c r="I1050" s="274"/>
      <c r="J1050" s="281"/>
      <c r="K1050" s="281"/>
      <c r="L1050" s="430" t="s">
        <v>4119</v>
      </c>
      <c r="M1050" s="284" t="s">
        <v>2962</v>
      </c>
      <c r="N1050" s="408">
        <f>+R1050</f>
        <v>0</v>
      </c>
      <c r="O1050" s="408">
        <f>+Z1050</f>
        <v>0</v>
      </c>
      <c r="P1050" s="271">
        <f t="shared" si="213"/>
        <v>0</v>
      </c>
      <c r="Q1050" s="527"/>
      <c r="R1050" s="354">
        <f>IF(ISERROR(VLOOKUP("SAN"&amp;$C1050,ESTR_PREC_SP!$A$2:$G$2000,4,FALSE))=TRUE,0,VLOOKUP("SAN"&amp;$C1050,ESTR_PREC_SP!$A$2:$G$2000,4,FALSE))</f>
        <v>0</v>
      </c>
      <c r="S1050" s="355"/>
      <c r="T1050" s="355"/>
      <c r="U1050" s="527"/>
      <c r="V1050" s="527"/>
      <c r="W1050" s="527"/>
      <c r="X1050" s="527"/>
      <c r="Y1050" s="527"/>
      <c r="Z1050" s="529">
        <f>+R1050+S1050+U1050+V1050-X1050-Y1050+W1050+Q1050</f>
        <v>0</v>
      </c>
      <c r="AA1050" s="355"/>
      <c r="AB1050" s="355"/>
      <c r="AC1050" s="520"/>
      <c r="AD1050" s="520"/>
      <c r="AE1050" s="520"/>
      <c r="AF1050" s="520"/>
      <c r="AG1050" s="526">
        <f t="shared" si="215"/>
        <v>0</v>
      </c>
      <c r="AH1050" s="526">
        <f t="shared" si="216"/>
        <v>0</v>
      </c>
      <c r="AI1050" s="520"/>
      <c r="AJ1050" s="520"/>
      <c r="AK1050" s="217"/>
      <c r="AL1050" s="217"/>
    </row>
    <row r="1051" spans="2:38" s="204" customFormat="1" x14ac:dyDescent="0.25">
      <c r="B1051" s="293"/>
      <c r="C1051" s="293"/>
      <c r="D1051" s="230"/>
      <c r="E1051" s="230"/>
      <c r="F1051" s="230"/>
      <c r="G1051" s="230"/>
      <c r="H1051" s="231"/>
      <c r="I1051" s="230"/>
      <c r="J1051" s="230"/>
      <c r="K1051" s="230"/>
      <c r="L1051" s="232"/>
      <c r="M1051" s="211"/>
      <c r="N1051" s="254"/>
      <c r="O1051" s="211"/>
      <c r="P1051" s="211"/>
      <c r="Q1051" s="211"/>
      <c r="R1051" s="211"/>
      <c r="S1051" s="211"/>
      <c r="T1051" s="211"/>
      <c r="U1051" s="211"/>
      <c r="V1051" s="211"/>
      <c r="W1051" s="211"/>
      <c r="X1051" s="211"/>
      <c r="Y1051" s="211"/>
      <c r="Z1051" s="211"/>
      <c r="AA1051" s="211"/>
    </row>
    <row r="1052" spans="2:38" s="204" customFormat="1" x14ac:dyDescent="0.25">
      <c r="B1052" s="293"/>
      <c r="C1052" s="293"/>
      <c r="D1052" s="230"/>
      <c r="E1052" s="230"/>
      <c r="F1052" s="230"/>
      <c r="G1052" s="230"/>
      <c r="H1052" s="231"/>
      <c r="I1052" s="230"/>
      <c r="J1052" s="230"/>
      <c r="K1052" s="230"/>
      <c r="L1052" s="232"/>
      <c r="M1052" s="211"/>
      <c r="N1052" s="254"/>
      <c r="O1052" s="211"/>
      <c r="P1052" s="211"/>
      <c r="Q1052" s="211"/>
      <c r="R1052" s="211"/>
      <c r="S1052" s="211"/>
      <c r="T1052" s="211"/>
      <c r="U1052" s="211"/>
      <c r="V1052" s="211"/>
      <c r="W1052" s="211"/>
      <c r="X1052" s="211"/>
      <c r="Y1052" s="211"/>
      <c r="Z1052" s="211"/>
      <c r="AA1052" s="211"/>
    </row>
    <row r="1053" spans="2:38" s="204" customFormat="1" x14ac:dyDescent="0.25">
      <c r="B1053" s="511" t="s">
        <v>2646</v>
      </c>
      <c r="C1053" s="511" t="s">
        <v>2647</v>
      </c>
      <c r="D1053" s="234" t="s">
        <v>4120</v>
      </c>
      <c r="E1053" s="234"/>
      <c r="F1053" s="234"/>
      <c r="G1053" s="234"/>
      <c r="H1053" s="235"/>
      <c r="I1053" s="234"/>
      <c r="J1053" s="234"/>
      <c r="K1053" s="234"/>
      <c r="L1053" s="236" t="s">
        <v>2649</v>
      </c>
      <c r="M1053" s="237" t="s">
        <v>2962</v>
      </c>
      <c r="N1053" s="238">
        <f>+N1055+N1067</f>
        <v>37559</v>
      </c>
      <c r="O1053" s="238">
        <f>+O1055+O1067</f>
        <v>39537</v>
      </c>
      <c r="P1053" s="239">
        <f>+O1053-N1053</f>
        <v>1978</v>
      </c>
      <c r="Q1053" s="211"/>
      <c r="R1053" s="211"/>
      <c r="S1053" s="211"/>
      <c r="T1053" s="211"/>
      <c r="U1053" s="211"/>
      <c r="V1053" s="211"/>
      <c r="W1053" s="211"/>
      <c r="X1053" s="211"/>
      <c r="Y1053" s="211"/>
      <c r="Z1053" s="211"/>
      <c r="AA1053" s="211"/>
    </row>
    <row r="1054" spans="2:38" s="204" customFormat="1" x14ac:dyDescent="0.25">
      <c r="B1054" s="293"/>
      <c r="C1054" s="293"/>
      <c r="D1054" s="230"/>
      <c r="E1054" s="230"/>
      <c r="F1054" s="230"/>
      <c r="G1054" s="230"/>
      <c r="H1054" s="231"/>
      <c r="I1054" s="230"/>
      <c r="J1054" s="230"/>
      <c r="K1054" s="230"/>
      <c r="L1054" s="512"/>
      <c r="M1054" s="513"/>
      <c r="N1054" s="513"/>
      <c r="O1054" s="513"/>
      <c r="P1054" s="513"/>
      <c r="Q1054" s="513"/>
      <c r="R1054" s="513"/>
      <c r="S1054" s="513"/>
      <c r="T1054" s="513"/>
      <c r="U1054" s="513"/>
      <c r="V1054" s="211"/>
      <c r="W1054" s="211"/>
      <c r="X1054" s="211"/>
      <c r="Y1054" s="211"/>
      <c r="Z1054" s="211"/>
      <c r="AA1054" s="211"/>
    </row>
    <row r="1055" spans="2:38" s="204" customFormat="1" x14ac:dyDescent="0.25">
      <c r="B1055" s="292" t="s">
        <v>2650</v>
      </c>
      <c r="C1055" s="292" t="s">
        <v>2651</v>
      </c>
      <c r="D1055" s="247" t="s">
        <v>4121</v>
      </c>
      <c r="E1055" s="247"/>
      <c r="F1055" s="247"/>
      <c r="G1055" s="247"/>
      <c r="H1055" s="248"/>
      <c r="I1055" s="247"/>
      <c r="J1055" s="247"/>
      <c r="K1055" s="249"/>
      <c r="L1055" s="250" t="s">
        <v>2653</v>
      </c>
      <c r="M1055" s="251" t="s">
        <v>2962</v>
      </c>
      <c r="N1055" s="252">
        <f>+N1058+N1059</f>
        <v>0</v>
      </c>
      <c r="O1055" s="252">
        <f>+O1058+O1059</f>
        <v>0</v>
      </c>
      <c r="P1055" s="253">
        <f>+O1055-N1055</f>
        <v>0</v>
      </c>
      <c r="Q1055" s="252">
        <f>+Q1058+Q1059</f>
        <v>0</v>
      </c>
      <c r="R1055" s="252">
        <f>+R1058+R1059</f>
        <v>0</v>
      </c>
      <c r="S1055" s="252">
        <f>+S1058+S1059</f>
        <v>0</v>
      </c>
      <c r="T1055" s="252">
        <f>+T1058+T1059</f>
        <v>0</v>
      </c>
      <c r="U1055" s="252">
        <f>+U1058+U1059</f>
        <v>0</v>
      </c>
      <c r="V1055" s="211"/>
      <c r="W1055" s="211"/>
      <c r="X1055" s="211"/>
      <c r="Y1055" s="211"/>
      <c r="Z1055" s="211"/>
      <c r="AA1055" s="211"/>
    </row>
    <row r="1056" spans="2:38" s="204" customFormat="1" x14ac:dyDescent="0.25">
      <c r="B1056" s="293"/>
      <c r="C1056" s="293"/>
      <c r="D1056" s="230"/>
      <c r="E1056" s="230"/>
      <c r="F1056" s="230"/>
      <c r="G1056" s="230"/>
      <c r="H1056" s="231"/>
      <c r="I1056" s="230"/>
      <c r="J1056" s="230"/>
      <c r="K1056" s="230"/>
      <c r="L1056" s="299"/>
      <c r="M1056" s="254"/>
      <c r="N1056" s="254"/>
      <c r="O1056" s="254"/>
      <c r="P1056" s="254"/>
      <c r="Q1056" s="211"/>
      <c r="R1056" s="211"/>
      <c r="T1056" s="211"/>
      <c r="U1056" s="211"/>
      <c r="V1056" s="211"/>
      <c r="W1056" s="211"/>
      <c r="X1056" s="211"/>
      <c r="Y1056" s="211"/>
      <c r="Z1056" s="211"/>
      <c r="AA1056" s="211"/>
    </row>
    <row r="1057" spans="1:41" s="204" customFormat="1" ht="48" x14ac:dyDescent="0.25">
      <c r="B1057" s="294" t="s">
        <v>2968</v>
      </c>
      <c r="C1057" s="294" t="s">
        <v>2969</v>
      </c>
      <c r="D1057" s="206" t="s">
        <v>72</v>
      </c>
      <c r="E1057" s="206"/>
      <c r="F1057" s="206"/>
      <c r="G1057" s="207"/>
      <c r="H1057" s="207"/>
      <c r="I1057" s="207"/>
      <c r="J1057" s="207" t="s">
        <v>2957</v>
      </c>
      <c r="K1057" s="206" t="s">
        <v>82</v>
      </c>
      <c r="L1057" s="261" t="s">
        <v>3670</v>
      </c>
      <c r="M1057" s="256"/>
      <c r="N1057" s="256" t="str">
        <f>N$15</f>
        <v>Valore netto al 31/12/2019</v>
      </c>
      <c r="O1057" s="256" t="str">
        <f>O$15</f>
        <v>Valore netto al 31/12/2020</v>
      </c>
      <c r="P1057" s="256" t="str">
        <f>P$15</f>
        <v>Variazione</v>
      </c>
      <c r="Q1057" s="262" t="s">
        <v>2971</v>
      </c>
      <c r="R1057" s="262" t="str">
        <f>+N1057</f>
        <v>Valore netto al 31/12/2019</v>
      </c>
      <c r="S1057" s="442" t="s">
        <v>2972</v>
      </c>
      <c r="T1057" s="346" t="str">
        <f>+T750</f>
        <v>Entro 12 mesi (2020)</v>
      </c>
      <c r="U1057" s="346" t="str">
        <f>+U750</f>
        <v>Oltre 12 mesi (2020)</v>
      </c>
      <c r="V1057" s="211"/>
      <c r="W1057" s="211"/>
      <c r="X1057" s="211"/>
      <c r="Y1057" s="211"/>
      <c r="Z1057" s="211"/>
      <c r="AA1057" s="211"/>
    </row>
    <row r="1058" spans="1:41" s="204" customFormat="1" x14ac:dyDescent="0.25">
      <c r="B1058" s="287" t="s">
        <v>2654</v>
      </c>
      <c r="C1058" s="287" t="s">
        <v>2655</v>
      </c>
      <c r="D1058" s="274" t="s">
        <v>4122</v>
      </c>
      <c r="E1058" s="274"/>
      <c r="F1058" s="274"/>
      <c r="G1058" s="283"/>
      <c r="H1058" s="266"/>
      <c r="I1058" s="274"/>
      <c r="J1058" s="281"/>
      <c r="K1058" s="281"/>
      <c r="L1058" s="424" t="s">
        <v>2657</v>
      </c>
      <c r="M1058" s="263" t="s">
        <v>2962</v>
      </c>
      <c r="N1058" s="408">
        <f>+R1058</f>
        <v>0</v>
      </c>
      <c r="O1058" s="408">
        <f>+T1058+S1058+U1058+Q1058</f>
        <v>0</v>
      </c>
      <c r="P1058" s="271">
        <f t="shared" ref="P1058:P1064" si="219">+O1058-N1058</f>
        <v>0</v>
      </c>
      <c r="Q1058" s="527"/>
      <c r="R1058" s="354">
        <f>IF(ISERROR(VLOOKUP("SAN"&amp;$C1058,ESTR_PREC_SP!$A$2:$G$2000,4,FALSE))=TRUE,0,VLOOKUP("SAN"&amp;$C1058,ESTR_PREC_SP!$A$2:$G$2000,4,FALSE))</f>
        <v>0</v>
      </c>
      <c r="S1058" s="355"/>
      <c r="T1058" s="550">
        <f>+Dettaglio_SP_San!H758</f>
        <v>0</v>
      </c>
      <c r="U1058" s="550">
        <f>+Dettaglio_SP_San!I758</f>
        <v>0</v>
      </c>
      <c r="V1058" s="254"/>
      <c r="W1058" s="211"/>
      <c r="X1058" s="211"/>
      <c r="Y1058" s="211"/>
      <c r="Z1058" s="211"/>
      <c r="AA1058" s="211"/>
    </row>
    <row r="1059" spans="1:41" s="204" customFormat="1" x14ac:dyDescent="0.25">
      <c r="B1059" s="287" t="s">
        <v>2658</v>
      </c>
      <c r="C1059" s="287" t="s">
        <v>2659</v>
      </c>
      <c r="D1059" s="274" t="s">
        <v>4123</v>
      </c>
      <c r="E1059" s="274"/>
      <c r="F1059" s="274"/>
      <c r="G1059" s="283"/>
      <c r="H1059" s="266"/>
      <c r="I1059" s="274"/>
      <c r="J1059" s="281"/>
      <c r="K1059" s="281"/>
      <c r="L1059" s="424" t="s">
        <v>2661</v>
      </c>
      <c r="M1059" s="284" t="s">
        <v>2962</v>
      </c>
      <c r="N1059" s="378">
        <f>SUM(N1060:N1064)</f>
        <v>0</v>
      </c>
      <c r="O1059" s="378">
        <f>SUM(O1060:O1064)</f>
        <v>0</v>
      </c>
      <c r="P1059" s="378">
        <f t="shared" si="219"/>
        <v>0</v>
      </c>
      <c r="Q1059" s="378">
        <f>SUM(Q1060:Q1064)</f>
        <v>0</v>
      </c>
      <c r="R1059" s="378">
        <f>SUM(R1060:R1064)</f>
        <v>0</v>
      </c>
      <c r="S1059" s="355"/>
      <c r="T1059" s="378">
        <f>SUM(T1060:T1064)</f>
        <v>0</v>
      </c>
      <c r="U1059" s="378">
        <f>SUM(U1060:U1064)</f>
        <v>0</v>
      </c>
      <c r="V1059" s="254"/>
      <c r="W1059" s="211"/>
      <c r="X1059" s="211"/>
      <c r="Y1059" s="211"/>
      <c r="Z1059" s="211"/>
      <c r="AA1059" s="211"/>
    </row>
    <row r="1060" spans="1:41" s="204" customFormat="1" hidden="1" x14ac:dyDescent="0.25">
      <c r="B1060" s="287" t="s">
        <v>2662</v>
      </c>
      <c r="C1060" s="287" t="s">
        <v>2663</v>
      </c>
      <c r="D1060" s="274" t="s">
        <v>4124</v>
      </c>
      <c r="E1060" s="274"/>
      <c r="F1060" s="274"/>
      <c r="G1060" s="283"/>
      <c r="H1060" s="266"/>
      <c r="I1060" s="274"/>
      <c r="J1060" s="281"/>
      <c r="K1060" s="281"/>
      <c r="L1060" s="406" t="s">
        <v>2664</v>
      </c>
      <c r="M1060" s="263" t="s">
        <v>2962</v>
      </c>
      <c r="N1060" s="408">
        <f>+R1060</f>
        <v>0</v>
      </c>
      <c r="O1060" s="408">
        <f>+T1060+U1060</f>
        <v>0</v>
      </c>
      <c r="P1060" s="271">
        <f t="shared" si="219"/>
        <v>0</v>
      </c>
      <c r="Q1060" s="527"/>
      <c r="R1060" s="354">
        <f>IF(ISERROR(VLOOKUP("SAN"&amp;$C1060,ESTR_PREC_SP!$A$2:$G$2000,4,FALSE))=TRUE,0,VLOOKUP("SAN"&amp;$C1060,ESTR_PREC_SP!$A$2:$G$2000,4,FALSE))</f>
        <v>0</v>
      </c>
      <c r="S1060" s="355"/>
      <c r="T1060" s="527"/>
      <c r="U1060" s="527"/>
      <c r="V1060" s="254"/>
      <c r="W1060" s="211"/>
      <c r="X1060" s="211"/>
      <c r="Y1060" s="211"/>
      <c r="Z1060" s="211"/>
      <c r="AA1060" s="211"/>
    </row>
    <row r="1061" spans="1:41" s="204" customFormat="1" x14ac:dyDescent="0.25">
      <c r="B1061" s="287" t="s">
        <v>2665</v>
      </c>
      <c r="C1061" s="287" t="s">
        <v>2666</v>
      </c>
      <c r="D1061" s="274" t="s">
        <v>4125</v>
      </c>
      <c r="E1061" s="274"/>
      <c r="F1061" s="274"/>
      <c r="G1061" s="283"/>
      <c r="H1061" s="266"/>
      <c r="I1061" s="274"/>
      <c r="J1061" s="281"/>
      <c r="K1061" s="281"/>
      <c r="L1061" s="406" t="s">
        <v>4126</v>
      </c>
      <c r="M1061" s="263" t="s">
        <v>2962</v>
      </c>
      <c r="N1061" s="408">
        <f>+R1061</f>
        <v>0</v>
      </c>
      <c r="O1061" s="408">
        <f>+T1061+S1061+U1061+Q1061</f>
        <v>0</v>
      </c>
      <c r="P1061" s="271">
        <f t="shared" si="219"/>
        <v>0</v>
      </c>
      <c r="Q1061" s="527"/>
      <c r="R1061" s="354">
        <f>IF(ISERROR(VLOOKUP("SAN"&amp;$C1061,ESTR_PREC_SP!$A$2:$G$2000,4,FALSE))=TRUE,0,VLOOKUP("SAN"&amp;$C1061,ESTR_PREC_SP!$A$2:$G$2000,4,FALSE))</f>
        <v>0</v>
      </c>
      <c r="S1061" s="355"/>
      <c r="T1061" s="527"/>
      <c r="U1061" s="527"/>
      <c r="V1061" s="254"/>
      <c r="W1061" s="211"/>
      <c r="X1061" s="211"/>
      <c r="Y1061" s="211"/>
      <c r="Z1061" s="211"/>
      <c r="AA1061" s="211"/>
    </row>
    <row r="1062" spans="1:41" s="204" customFormat="1" x14ac:dyDescent="0.25">
      <c r="B1062" s="287" t="s">
        <v>2668</v>
      </c>
      <c r="C1062" s="287" t="s">
        <v>2669</v>
      </c>
      <c r="D1062" s="274" t="s">
        <v>4127</v>
      </c>
      <c r="E1062" s="274"/>
      <c r="F1062" s="274"/>
      <c r="G1062" s="283"/>
      <c r="H1062" s="266"/>
      <c r="I1062" s="274"/>
      <c r="J1062" s="281"/>
      <c r="K1062" s="281"/>
      <c r="L1062" s="406" t="s">
        <v>4128</v>
      </c>
      <c r="M1062" s="263" t="s">
        <v>2962</v>
      </c>
      <c r="N1062" s="408">
        <f>+R1062</f>
        <v>0</v>
      </c>
      <c r="O1062" s="408">
        <f>+T1062+S1062+U1062+Q1062</f>
        <v>0</v>
      </c>
      <c r="P1062" s="271">
        <f t="shared" si="219"/>
        <v>0</v>
      </c>
      <c r="Q1062" s="527"/>
      <c r="R1062" s="354">
        <f>IF(ISERROR(VLOOKUP("SAN"&amp;$C1062,ESTR_PREC_SP!$A$2:$G$2000,4,FALSE))=TRUE,0,VLOOKUP("SAN"&amp;$C1062,ESTR_PREC_SP!$A$2:$G$2000,4,FALSE))</f>
        <v>0</v>
      </c>
      <c r="S1062" s="355"/>
      <c r="T1062" s="527"/>
      <c r="U1062" s="527"/>
      <c r="V1062" s="254"/>
      <c r="W1062" s="211"/>
      <c r="X1062" s="211"/>
      <c r="Y1062" s="211"/>
      <c r="Z1062" s="211"/>
      <c r="AA1062" s="211"/>
    </row>
    <row r="1063" spans="1:41" s="204" customFormat="1" hidden="1" x14ac:dyDescent="0.25">
      <c r="B1063" s="287" t="s">
        <v>2671</v>
      </c>
      <c r="C1063" s="287" t="s">
        <v>2672</v>
      </c>
      <c r="D1063" s="274" t="s">
        <v>4129</v>
      </c>
      <c r="E1063" s="274"/>
      <c r="F1063" s="274"/>
      <c r="G1063" s="283"/>
      <c r="H1063" s="266"/>
      <c r="I1063" s="274"/>
      <c r="J1063" s="281"/>
      <c r="K1063" s="281"/>
      <c r="L1063" s="406" t="s">
        <v>2673</v>
      </c>
      <c r="M1063" s="263" t="s">
        <v>2962</v>
      </c>
      <c r="N1063" s="408">
        <f>+R1063</f>
        <v>0</v>
      </c>
      <c r="O1063" s="408">
        <f>+T1063+S1063+U1063+Q1063</f>
        <v>0</v>
      </c>
      <c r="P1063" s="271">
        <f t="shared" si="219"/>
        <v>0</v>
      </c>
      <c r="Q1063" s="527"/>
      <c r="R1063" s="354">
        <f>IF(ISERROR(VLOOKUP("SAN"&amp;$C1063,ESTR_PREC_SP!$A$2:$G$2000,4,FALSE))=TRUE,0,VLOOKUP("SAN"&amp;$C1063,ESTR_PREC_SP!$A$2:$G$2000,4,FALSE))</f>
        <v>0</v>
      </c>
      <c r="S1063" s="355"/>
      <c r="T1063" s="527"/>
      <c r="U1063" s="527"/>
      <c r="V1063" s="254"/>
      <c r="W1063" s="211"/>
      <c r="X1063" s="211"/>
      <c r="Y1063" s="211"/>
      <c r="Z1063" s="211"/>
      <c r="AA1063" s="211"/>
    </row>
    <row r="1064" spans="1:41" s="204" customFormat="1" x14ac:dyDescent="0.25">
      <c r="B1064" s="287" t="s">
        <v>2674</v>
      </c>
      <c r="C1064" s="287" t="s">
        <v>2675</v>
      </c>
      <c r="D1064" s="274" t="s">
        <v>4130</v>
      </c>
      <c r="E1064" s="274"/>
      <c r="F1064" s="274"/>
      <c r="G1064" s="283"/>
      <c r="H1064" s="266"/>
      <c r="I1064" s="274"/>
      <c r="J1064" s="281"/>
      <c r="K1064" s="281"/>
      <c r="L1064" s="406" t="s">
        <v>4131</v>
      </c>
      <c r="M1064" s="263" t="s">
        <v>2962</v>
      </c>
      <c r="N1064" s="408">
        <f>+R1064</f>
        <v>0</v>
      </c>
      <c r="O1064" s="408">
        <f>+T1064+S1064+U1064+Q1064</f>
        <v>0</v>
      </c>
      <c r="P1064" s="271">
        <f t="shared" si="219"/>
        <v>0</v>
      </c>
      <c r="Q1064" s="527"/>
      <c r="R1064" s="354">
        <f>IF(ISERROR(VLOOKUP("SAN"&amp;$C1064,ESTR_PREC_SP!$A$2:$G$2000,4,FALSE))=TRUE,0,VLOOKUP("SAN"&amp;$C1064,ESTR_PREC_SP!$A$2:$G$2000,4,FALSE))</f>
        <v>0</v>
      </c>
      <c r="S1064" s="355"/>
      <c r="T1064" s="527"/>
      <c r="U1064" s="527"/>
      <c r="V1064" s="254"/>
      <c r="W1064" s="211"/>
      <c r="X1064" s="211"/>
      <c r="Y1064" s="211"/>
      <c r="Z1064" s="211"/>
      <c r="AA1064" s="211"/>
    </row>
    <row r="1065" spans="1:41" s="204" customFormat="1" ht="26.25" x14ac:dyDescent="0.25">
      <c r="B1065" s="230"/>
      <c r="C1065" s="230"/>
      <c r="D1065" s="230"/>
      <c r="E1065" s="230"/>
      <c r="F1065" s="230"/>
      <c r="G1065" s="230"/>
      <c r="H1065" s="231"/>
      <c r="I1065" s="230"/>
      <c r="J1065" s="230"/>
      <c r="K1065" s="230"/>
      <c r="L1065" s="344" t="s">
        <v>4132</v>
      </c>
      <c r="M1065" s="230"/>
      <c r="N1065" s="230"/>
      <c r="O1065" s="230"/>
      <c r="P1065" s="423"/>
      <c r="Q1065" s="213"/>
      <c r="R1065" s="213"/>
      <c r="S1065" s="213"/>
      <c r="T1065" s="213"/>
      <c r="U1065" s="213"/>
      <c r="V1065" s="213"/>
      <c r="W1065" s="211"/>
      <c r="X1065" s="211"/>
      <c r="Y1065" s="211"/>
      <c r="Z1065" s="211"/>
      <c r="AA1065" s="211"/>
    </row>
    <row r="1066" spans="1:41" s="204" customFormat="1" x14ac:dyDescent="0.25">
      <c r="B1066" s="230"/>
      <c r="C1066" s="230"/>
      <c r="D1066" s="230"/>
      <c r="E1066" s="230"/>
      <c r="F1066" s="230"/>
      <c r="G1066" s="230"/>
      <c r="H1066" s="231"/>
      <c r="I1066" s="230"/>
      <c r="J1066" s="230"/>
      <c r="K1066" s="230"/>
      <c r="L1066" s="514"/>
      <c r="M1066" s="230"/>
      <c r="N1066" s="230"/>
      <c r="O1066" s="230"/>
      <c r="P1066" s="423"/>
      <c r="Q1066" s="213"/>
      <c r="R1066" s="213"/>
      <c r="S1066" s="213"/>
      <c r="T1066" s="213"/>
      <c r="U1066" s="213"/>
      <c r="V1066" s="213"/>
      <c r="W1066" s="211"/>
      <c r="X1066" s="211"/>
      <c r="Y1066" s="211"/>
      <c r="Z1066" s="211"/>
      <c r="AA1066" s="211"/>
    </row>
    <row r="1067" spans="1:41" s="204" customFormat="1" x14ac:dyDescent="0.25">
      <c r="B1067" s="246" t="s">
        <v>2677</v>
      </c>
      <c r="C1067" s="246" t="s">
        <v>2678</v>
      </c>
      <c r="D1067" s="247" t="s">
        <v>4133</v>
      </c>
      <c r="E1067" s="247"/>
      <c r="F1067" s="247"/>
      <c r="G1067" s="247"/>
      <c r="H1067" s="248"/>
      <c r="I1067" s="247"/>
      <c r="J1067" s="247"/>
      <c r="K1067" s="249"/>
      <c r="L1067" s="250" t="s">
        <v>2680</v>
      </c>
      <c r="M1067" s="251" t="s">
        <v>2962</v>
      </c>
      <c r="N1067" s="252">
        <f>+N1070+N1071+N1072</f>
        <v>37559</v>
      </c>
      <c r="O1067" s="252">
        <f>+O1070+O1071+O1072</f>
        <v>39537</v>
      </c>
      <c r="P1067" s="253">
        <f>+O1067-N1067</f>
        <v>1978</v>
      </c>
      <c r="Q1067" s="252">
        <f>+Q1070+Q1071+Q1072</f>
        <v>0</v>
      </c>
      <c r="R1067" s="252">
        <f>+R1070+R1071+R1072</f>
        <v>37559</v>
      </c>
      <c r="S1067" s="252">
        <f>+S1070+S1071+S1072</f>
        <v>0</v>
      </c>
      <c r="T1067" s="252">
        <f>+T1070+T1071+T1072</f>
        <v>39537</v>
      </c>
      <c r="U1067" s="252">
        <f>+U1070+U1071+U1072</f>
        <v>0</v>
      </c>
      <c r="V1067" s="211"/>
      <c r="W1067" s="211"/>
      <c r="X1067" s="211"/>
      <c r="Y1067" s="211"/>
      <c r="Z1067" s="211"/>
      <c r="AA1067" s="211"/>
    </row>
    <row r="1068" spans="1:41" s="204" customFormat="1" x14ac:dyDescent="0.25">
      <c r="B1068" s="230"/>
      <c r="C1068" s="230"/>
      <c r="D1068" s="230"/>
      <c r="E1068" s="230"/>
      <c r="F1068" s="230"/>
      <c r="G1068" s="230"/>
      <c r="H1068" s="231"/>
      <c r="I1068" s="230"/>
      <c r="J1068" s="230"/>
      <c r="K1068" s="230"/>
      <c r="L1068" s="299"/>
      <c r="M1068" s="254"/>
      <c r="N1068" s="254"/>
      <c r="O1068" s="254"/>
      <c r="P1068" s="254"/>
      <c r="Q1068" s="211"/>
      <c r="R1068" s="211"/>
      <c r="S1068" s="211"/>
      <c r="T1068" s="211"/>
      <c r="U1068" s="211"/>
      <c r="V1068" s="211"/>
      <c r="W1068" s="211"/>
      <c r="X1068" s="211"/>
      <c r="Y1068" s="211"/>
      <c r="Z1068" s="211"/>
      <c r="AA1068" s="211"/>
    </row>
    <row r="1069" spans="1:41" s="204" customFormat="1" ht="48" x14ac:dyDescent="0.25">
      <c r="B1069" s="260" t="s">
        <v>2968</v>
      </c>
      <c r="C1069" s="260" t="s">
        <v>2969</v>
      </c>
      <c r="D1069" s="206" t="s">
        <v>72</v>
      </c>
      <c r="E1069" s="206"/>
      <c r="F1069" s="206"/>
      <c r="G1069" s="207"/>
      <c r="H1069" s="207"/>
      <c r="I1069" s="207"/>
      <c r="J1069" s="207" t="s">
        <v>2957</v>
      </c>
      <c r="K1069" s="206" t="s">
        <v>82</v>
      </c>
      <c r="L1069" s="261" t="s">
        <v>3670</v>
      </c>
      <c r="M1069" s="256"/>
      <c r="N1069" s="256" t="str">
        <f>N$15</f>
        <v>Valore netto al 31/12/2019</v>
      </c>
      <c r="O1069" s="256" t="str">
        <f>O$15</f>
        <v>Valore netto al 31/12/2020</v>
      </c>
      <c r="P1069" s="256" t="str">
        <f>P$15</f>
        <v>Variazione</v>
      </c>
      <c r="Q1069" s="262" t="s">
        <v>2971</v>
      </c>
      <c r="R1069" s="262" t="str">
        <f>+N1069</f>
        <v>Valore netto al 31/12/2019</v>
      </c>
      <c r="S1069" s="442" t="s">
        <v>2972</v>
      </c>
      <c r="T1069" s="262" t="str">
        <f>+T1057</f>
        <v>Entro 12 mesi (2020)</v>
      </c>
      <c r="U1069" s="262" t="str">
        <f>+U1057</f>
        <v>Oltre 12 mesi (2020)</v>
      </c>
      <c r="V1069" s="211"/>
      <c r="W1069" s="211"/>
      <c r="X1069" s="211"/>
      <c r="Y1069" s="211"/>
      <c r="Z1069" s="211"/>
      <c r="AA1069" s="211"/>
    </row>
    <row r="1070" spans="1:41" s="204" customFormat="1" x14ac:dyDescent="0.25">
      <c r="B1070" s="284" t="s">
        <v>2681</v>
      </c>
      <c r="C1070" s="284" t="s">
        <v>2682</v>
      </c>
      <c r="D1070" s="274" t="s">
        <v>4134</v>
      </c>
      <c r="E1070" s="274"/>
      <c r="F1070" s="274"/>
      <c r="G1070" s="283"/>
      <c r="H1070" s="266"/>
      <c r="I1070" s="274"/>
      <c r="J1070" s="281"/>
      <c r="K1070" s="281"/>
      <c r="L1070" s="421" t="s">
        <v>2684</v>
      </c>
      <c r="M1070" s="263" t="s">
        <v>2962</v>
      </c>
      <c r="N1070" s="408">
        <f>+R1070</f>
        <v>37559</v>
      </c>
      <c r="O1070" s="408">
        <f>+T1070+S1070+U1070+Q1070</f>
        <v>39537</v>
      </c>
      <c r="P1070" s="271">
        <f>+O1070-N1070</f>
        <v>1978</v>
      </c>
      <c r="Q1070" s="527"/>
      <c r="R1070" s="354">
        <f>IF(ISERROR(VLOOKUP("SAN"&amp;$C1070,ESTR_PREC_SP!$A$2:$G$2000,4,FALSE))=TRUE,0,VLOOKUP("SAN"&amp;$C1070,ESTR_PREC_SP!$A$2:$G$2000,4,FALSE))</f>
        <v>37559</v>
      </c>
      <c r="S1070" s="355"/>
      <c r="T1070" s="550">
        <f>+Dettaglio_SP_San!H788</f>
        <v>39537</v>
      </c>
      <c r="U1070" s="550">
        <f>+Dettaglio_SP_San!I788</f>
        <v>0</v>
      </c>
      <c r="V1070" s="211"/>
      <c r="W1070" s="211"/>
      <c r="X1070" s="211"/>
      <c r="Y1070" s="211"/>
      <c r="Z1070" s="211"/>
      <c r="AA1070" s="211"/>
    </row>
    <row r="1071" spans="1:41" s="204" customFormat="1" x14ac:dyDescent="0.25">
      <c r="B1071" s="284" t="s">
        <v>2685</v>
      </c>
      <c r="C1071" s="284" t="s">
        <v>2686</v>
      </c>
      <c r="D1071" s="274" t="s">
        <v>4135</v>
      </c>
      <c r="E1071" s="274"/>
      <c r="F1071" s="274"/>
      <c r="G1071" s="283"/>
      <c r="H1071" s="266"/>
      <c r="I1071" s="274"/>
      <c r="J1071" s="281"/>
      <c r="K1071" s="281"/>
      <c r="L1071" s="421" t="s">
        <v>2688</v>
      </c>
      <c r="M1071" s="284" t="s">
        <v>2962</v>
      </c>
      <c r="N1071" s="408">
        <f>+R1071</f>
        <v>0</v>
      </c>
      <c r="O1071" s="408">
        <f>+T1071+S1071+U1071+Q1071</f>
        <v>0</v>
      </c>
      <c r="P1071" s="271">
        <f>+O1071-N1071</f>
        <v>0</v>
      </c>
      <c r="Q1071" s="527"/>
      <c r="R1071" s="354">
        <f>IF(ISERROR(VLOOKUP("SAN"&amp;$C1071,ESTR_PREC_SP!$A$2:$G$2000,4,FALSE))=TRUE,0,VLOOKUP("SAN"&amp;$C1071,ESTR_PREC_SP!$A$2:$G$2000,4,FALSE))</f>
        <v>0</v>
      </c>
      <c r="S1071" s="355"/>
      <c r="T1071" s="527"/>
      <c r="U1071" s="527"/>
      <c r="V1071" s="211"/>
      <c r="W1071" s="211"/>
      <c r="X1071" s="211"/>
      <c r="Y1071" s="211"/>
      <c r="Z1071" s="211"/>
      <c r="AA1071" s="211"/>
    </row>
    <row r="1072" spans="1:41" s="204" customFormat="1" ht="39" x14ac:dyDescent="0.25">
      <c r="A1072" s="535" t="s">
        <v>3681</v>
      </c>
      <c r="B1072" s="536" t="s">
        <v>2689</v>
      </c>
      <c r="C1072" s="536" t="s">
        <v>2690</v>
      </c>
      <c r="D1072" s="536"/>
      <c r="E1072" s="536"/>
      <c r="F1072" s="536"/>
      <c r="G1072" s="536"/>
      <c r="H1072" s="536"/>
      <c r="I1072" s="536"/>
      <c r="J1072" s="536"/>
      <c r="K1072" s="536"/>
      <c r="L1072" s="536" t="s">
        <v>2692</v>
      </c>
      <c r="M1072" s="284" t="s">
        <v>2962</v>
      </c>
      <c r="N1072" s="408">
        <f>+R1072</f>
        <v>0</v>
      </c>
      <c r="O1072" s="408">
        <f>+T1072+S1072+U1072+Q1072</f>
        <v>0</v>
      </c>
      <c r="P1072" s="271">
        <f>+O1072-N1072</f>
        <v>0</v>
      </c>
      <c r="Q1072" s="527"/>
      <c r="R1072" s="354">
        <f>IF(ISERROR(VLOOKUP("SAN"&amp;$C1072,ESTR_PREC_SP!$A$2:$G$2000,4,FALSE))=TRUE,0,VLOOKUP("SAN"&amp;$C1072,ESTR_PREC_SP!$A$2:$G$2000,4,FALSE))</f>
        <v>0</v>
      </c>
      <c r="S1072" s="355"/>
      <c r="T1072" s="527"/>
      <c r="U1072" s="527"/>
      <c r="V1072" s="211"/>
      <c r="W1072" s="211"/>
      <c r="X1072" s="211"/>
      <c r="Y1072" s="211"/>
      <c r="Z1072" s="211"/>
      <c r="AA1072" s="211"/>
      <c r="AB1072" s="211"/>
      <c r="AC1072" s="211"/>
      <c r="AD1072" s="211"/>
      <c r="AE1072" s="211"/>
      <c r="AF1072" s="211"/>
      <c r="AG1072" s="211"/>
      <c r="AH1072" s="211"/>
      <c r="AI1072" s="211"/>
      <c r="AJ1072" s="211"/>
      <c r="AK1072" s="211"/>
      <c r="AL1072" s="211"/>
      <c r="AM1072" s="211"/>
      <c r="AN1072" s="211"/>
      <c r="AO1072" s="211"/>
    </row>
    <row r="1073" spans="1:41" s="204" customFormat="1" ht="26.25" x14ac:dyDescent="0.25">
      <c r="B1073" s="384"/>
      <c r="C1073" s="384"/>
      <c r="D1073" s="382"/>
      <c r="E1073" s="382"/>
      <c r="F1073" s="382"/>
      <c r="G1073" s="382"/>
      <c r="H1073" s="382"/>
      <c r="I1073" s="382"/>
      <c r="J1073" s="382"/>
      <c r="K1073" s="382"/>
      <c r="L1073" s="344" t="s">
        <v>4136</v>
      </c>
      <c r="M1073" s="275"/>
      <c r="N1073" s="383"/>
      <c r="O1073" s="383"/>
      <c r="P1073" s="384"/>
      <c r="Q1073" s="211"/>
      <c r="R1073" s="211"/>
      <c r="S1073" s="211"/>
      <c r="T1073" s="211"/>
      <c r="U1073" s="211"/>
      <c r="V1073" s="211"/>
      <c r="W1073" s="211"/>
      <c r="X1073" s="211"/>
      <c r="Y1073" s="211"/>
      <c r="Z1073" s="211"/>
      <c r="AA1073" s="211"/>
    </row>
    <row r="1074" spans="1:41" s="204" customFormat="1" x14ac:dyDescent="0.25">
      <c r="B1074" s="230"/>
      <c r="C1074" s="230"/>
      <c r="D1074" s="230"/>
      <c r="E1074" s="230"/>
      <c r="F1074" s="230"/>
      <c r="G1074" s="230"/>
      <c r="H1074" s="231"/>
      <c r="I1074" s="230"/>
      <c r="J1074" s="230"/>
      <c r="K1074" s="230"/>
      <c r="L1074" s="232"/>
      <c r="M1074" s="211"/>
      <c r="N1074" s="254"/>
      <c r="O1074" s="211"/>
      <c r="P1074" s="211"/>
      <c r="Q1074" s="211"/>
      <c r="R1074" s="216"/>
      <c r="S1074" s="216"/>
      <c r="T1074" s="216"/>
      <c r="U1074" s="216"/>
      <c r="V1074" s="216"/>
      <c r="W1074" s="211"/>
      <c r="X1074" s="211"/>
      <c r="Y1074" s="211"/>
      <c r="Z1074" s="211"/>
      <c r="AA1074" s="211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  <c r="AL1074" s="217"/>
    </row>
    <row r="1075" spans="1:41" s="204" customFormat="1" x14ac:dyDescent="0.25">
      <c r="B1075" s="233" t="s">
        <v>2693</v>
      </c>
      <c r="C1075" s="233" t="s">
        <v>2694</v>
      </c>
      <c r="D1075" s="234" t="s">
        <v>4137</v>
      </c>
      <c r="E1075" s="234"/>
      <c r="F1075" s="234"/>
      <c r="G1075" s="234"/>
      <c r="H1075" s="235"/>
      <c r="I1075" s="234"/>
      <c r="J1075" s="234"/>
      <c r="K1075" s="234"/>
      <c r="L1075" s="236" t="s">
        <v>4138</v>
      </c>
      <c r="M1075" s="237" t="s">
        <v>2962</v>
      </c>
      <c r="N1075" s="238">
        <f>+SUM(N1078:N1082)</f>
        <v>7562304</v>
      </c>
      <c r="O1075" s="238">
        <f>+SUM(O1078:O1082)</f>
        <v>8399763</v>
      </c>
      <c r="P1075" s="238">
        <f>+SUM(P1078:P1082)</f>
        <v>837459</v>
      </c>
      <c r="Q1075" s="211"/>
      <c r="R1075" s="216"/>
      <c r="S1075" s="238">
        <f>+SUM(S1078:S1082)</f>
        <v>0</v>
      </c>
      <c r="T1075" s="225" t="str">
        <f>IF(S1075&lt;&gt;0,"SQUADRATURA CONTI ORDINE PASSIVO  PER GIROCONTI SU NUOVI CONTI SP","")</f>
        <v/>
      </c>
      <c r="U1075" s="216"/>
      <c r="V1075" s="216"/>
      <c r="W1075" s="211"/>
      <c r="X1075" s="211"/>
      <c r="Y1075" s="211"/>
      <c r="Z1075" s="211"/>
      <c r="AA1075" s="211"/>
    </row>
    <row r="1076" spans="1:41" s="204" customFormat="1" x14ac:dyDescent="0.25">
      <c r="B1076" s="230"/>
      <c r="C1076" s="230"/>
      <c r="D1076" s="230"/>
      <c r="E1076" s="230"/>
      <c r="F1076" s="230"/>
      <c r="G1076" s="230"/>
      <c r="H1076" s="231"/>
      <c r="I1076" s="230"/>
      <c r="J1076" s="230"/>
      <c r="K1076" s="230"/>
      <c r="L1076" s="315"/>
      <c r="M1076" s="216"/>
      <c r="N1076" s="278"/>
      <c r="O1076" s="278"/>
      <c r="P1076" s="278"/>
      <c r="Q1076" s="211"/>
      <c r="R1076" s="216"/>
      <c r="S1076" s="216"/>
      <c r="T1076" s="216"/>
      <c r="U1076" s="216"/>
      <c r="V1076" s="216"/>
      <c r="W1076" s="211"/>
      <c r="X1076" s="211"/>
      <c r="Y1076" s="211"/>
      <c r="Z1076" s="211"/>
      <c r="AA1076" s="211"/>
    </row>
    <row r="1077" spans="1:41" s="204" customFormat="1" ht="48" x14ac:dyDescent="0.25">
      <c r="B1077" s="260" t="s">
        <v>2968</v>
      </c>
      <c r="C1077" s="260" t="s">
        <v>2969</v>
      </c>
      <c r="D1077" s="206" t="s">
        <v>72</v>
      </c>
      <c r="E1077" s="206"/>
      <c r="F1077" s="206"/>
      <c r="G1077" s="207"/>
      <c r="H1077" s="207"/>
      <c r="I1077" s="207"/>
      <c r="J1077" s="207" t="s">
        <v>2957</v>
      </c>
      <c r="K1077" s="206" t="s">
        <v>82</v>
      </c>
      <c r="L1077" s="261" t="s">
        <v>3670</v>
      </c>
      <c r="M1077" s="256"/>
      <c r="N1077" s="256" t="str">
        <f>N$15</f>
        <v>Valore netto al 31/12/2019</v>
      </c>
      <c r="O1077" s="256" t="str">
        <f>O$15</f>
        <v>Valore netto al 31/12/2020</v>
      </c>
      <c r="P1077" s="256" t="str">
        <f>P$15</f>
        <v>Variazione</v>
      </c>
      <c r="Q1077" s="262" t="s">
        <v>2971</v>
      </c>
      <c r="R1077" s="346" t="s">
        <v>3517</v>
      </c>
      <c r="S1077" s="442" t="s">
        <v>2972</v>
      </c>
      <c r="T1077" s="346" t="s">
        <v>3495</v>
      </c>
      <c r="U1077" s="346" t="s">
        <v>3496</v>
      </c>
      <c r="V1077" s="346" t="s">
        <v>3815</v>
      </c>
      <c r="W1077" s="211"/>
      <c r="X1077" s="211"/>
      <c r="Y1077" s="211"/>
      <c r="Z1077" s="211"/>
      <c r="AA1077" s="211"/>
    </row>
    <row r="1078" spans="1:41" s="204" customFormat="1" x14ac:dyDescent="0.25">
      <c r="B1078" s="284" t="s">
        <v>2696</v>
      </c>
      <c r="C1078" s="284" t="s">
        <v>2697</v>
      </c>
      <c r="D1078" s="274" t="s">
        <v>4139</v>
      </c>
      <c r="E1078" s="274"/>
      <c r="F1078" s="274"/>
      <c r="G1078" s="283"/>
      <c r="H1078" s="266"/>
      <c r="I1078" s="427"/>
      <c r="J1078" s="281"/>
      <c r="K1078" s="281"/>
      <c r="L1078" s="422" t="s">
        <v>4140</v>
      </c>
      <c r="M1078" s="284" t="s">
        <v>2962</v>
      </c>
      <c r="N1078" s="408">
        <f>+R1078</f>
        <v>0</v>
      </c>
      <c r="O1078" s="408">
        <f>V1078</f>
        <v>0</v>
      </c>
      <c r="P1078" s="271">
        <f>+O1078-N1078</f>
        <v>0</v>
      </c>
      <c r="Q1078" s="527"/>
      <c r="R1078" s="354">
        <f>IF(ISERROR(VLOOKUP("SAN"&amp;$C1078,ESTR_PREC_SP!$A$2:$G$2000,4,FALSE))=TRUE,0,VLOOKUP("SAN"&amp;$C1078,ESTR_PREC_SP!$A$2:$G$2000,4,FALSE))</f>
        <v>0</v>
      </c>
      <c r="S1078" s="355"/>
      <c r="T1078" s="527"/>
      <c r="U1078" s="527"/>
      <c r="V1078" s="526">
        <f>+R1078+T1078-U1078+Q1078+S1078</f>
        <v>0</v>
      </c>
      <c r="W1078" s="211"/>
      <c r="X1078" s="211"/>
      <c r="Y1078" s="211"/>
      <c r="Z1078" s="211"/>
      <c r="AA1078" s="211"/>
    </row>
    <row r="1079" spans="1:41" s="204" customFormat="1" x14ac:dyDescent="0.25">
      <c r="B1079" s="284" t="s">
        <v>2701</v>
      </c>
      <c r="C1079" s="284" t="s">
        <v>2702</v>
      </c>
      <c r="D1079" s="274" t="s">
        <v>4141</v>
      </c>
      <c r="E1079" s="274"/>
      <c r="F1079" s="274"/>
      <c r="G1079" s="283"/>
      <c r="H1079" s="266"/>
      <c r="I1079" s="427"/>
      <c r="J1079" s="281"/>
      <c r="K1079" s="281"/>
      <c r="L1079" s="422" t="s">
        <v>4142</v>
      </c>
      <c r="M1079" s="284" t="s">
        <v>2962</v>
      </c>
      <c r="N1079" s="408">
        <f>+R1079</f>
        <v>0</v>
      </c>
      <c r="O1079" s="408">
        <f>V1079</f>
        <v>0</v>
      </c>
      <c r="P1079" s="271">
        <f>+O1079-N1079</f>
        <v>0</v>
      </c>
      <c r="Q1079" s="527"/>
      <c r="R1079" s="354">
        <f>IF(ISERROR(VLOOKUP("SAN"&amp;$C1079,ESTR_PREC_SP!$A$2:$G$2000,4,FALSE))=TRUE,0,VLOOKUP("SAN"&amp;$C1079,ESTR_PREC_SP!$A$2:$G$2000,4,FALSE))</f>
        <v>0</v>
      </c>
      <c r="S1079" s="355"/>
      <c r="T1079" s="527"/>
      <c r="U1079" s="527"/>
      <c r="V1079" s="526">
        <f>+R1079+T1079-U1079+Q1079+S1079</f>
        <v>0</v>
      </c>
      <c r="W1079" s="211"/>
      <c r="X1079" s="211"/>
      <c r="Y1079" s="211"/>
      <c r="Z1079" s="211"/>
      <c r="AA1079" s="211"/>
    </row>
    <row r="1080" spans="1:41" s="204" customFormat="1" x14ac:dyDescent="0.25">
      <c r="B1080" s="284" t="s">
        <v>2706</v>
      </c>
      <c r="C1080" s="284" t="s">
        <v>2707</v>
      </c>
      <c r="D1080" s="274" t="s">
        <v>4143</v>
      </c>
      <c r="E1080" s="274"/>
      <c r="F1080" s="274"/>
      <c r="G1080" s="283"/>
      <c r="H1080" s="266"/>
      <c r="I1080" s="427"/>
      <c r="J1080" s="281"/>
      <c r="K1080" s="281"/>
      <c r="L1080" s="422" t="s">
        <v>4144</v>
      </c>
      <c r="M1080" s="284" t="s">
        <v>2962</v>
      </c>
      <c r="N1080" s="408">
        <f>+R1080</f>
        <v>7812</v>
      </c>
      <c r="O1080" s="408">
        <f>V1080</f>
        <v>7812</v>
      </c>
      <c r="P1080" s="271">
        <f>+O1080-N1080</f>
        <v>0</v>
      </c>
      <c r="Q1080" s="527"/>
      <c r="R1080" s="354">
        <f>IF(ISERROR(VLOOKUP("SAN"&amp;$C1080,ESTR_PREC_SP!$A$2:$G$2000,4,FALSE))=TRUE,0,VLOOKUP("SAN"&amp;$C1080,ESTR_PREC_SP!$A$2:$G$2000,4,FALSE))</f>
        <v>7812</v>
      </c>
      <c r="S1080" s="355"/>
      <c r="T1080" s="527"/>
      <c r="U1080" s="527"/>
      <c r="V1080" s="526">
        <f>+R1080+T1080-U1080+Q1080+S1080</f>
        <v>7812</v>
      </c>
      <c r="W1080" s="211"/>
      <c r="X1080" s="211"/>
      <c r="Y1080" s="211"/>
      <c r="Z1080" s="211"/>
      <c r="AA1080" s="211"/>
    </row>
    <row r="1081" spans="1:41" s="204" customFormat="1" x14ac:dyDescent="0.25">
      <c r="A1081" s="535" t="s">
        <v>68</v>
      </c>
      <c r="B1081" s="536" t="s">
        <v>2711</v>
      </c>
      <c r="C1081" s="536" t="s">
        <v>2712</v>
      </c>
      <c r="D1081" s="536"/>
      <c r="E1081" s="536"/>
      <c r="F1081" s="536"/>
      <c r="G1081" s="536"/>
      <c r="H1081" s="536"/>
      <c r="I1081" s="536"/>
      <c r="J1081" s="536"/>
      <c r="K1081" s="536"/>
      <c r="L1081" s="536" t="s">
        <v>2715</v>
      </c>
      <c r="M1081" s="284" t="s">
        <v>2962</v>
      </c>
      <c r="N1081" s="408">
        <f>+R1081</f>
        <v>0</v>
      </c>
      <c r="O1081" s="408">
        <f>V1081</f>
        <v>0</v>
      </c>
      <c r="P1081" s="271">
        <f>+O1081-N1081</f>
        <v>0</v>
      </c>
      <c r="Q1081" s="527"/>
      <c r="R1081" s="354">
        <f>IF(ISERROR(VLOOKUP("SAN"&amp;$C1081,ESTR_PREC_SP!$A$2:$G$2000,4,FALSE))=TRUE,0,VLOOKUP("SAN"&amp;$C1081,ESTR_PREC_SP!$A$2:$G$2000,4,FALSE))</f>
        <v>0</v>
      </c>
      <c r="S1081" s="355"/>
      <c r="T1081" s="527"/>
      <c r="U1081" s="527"/>
      <c r="V1081" s="526">
        <f>+R1081+T1081-U1081+Q1081+S1081</f>
        <v>0</v>
      </c>
      <c r="W1081" s="211"/>
      <c r="X1081" s="211"/>
      <c r="Y1081" s="211"/>
      <c r="Z1081" s="211"/>
      <c r="AA1081" s="211"/>
      <c r="AB1081" s="211"/>
      <c r="AC1081" s="211"/>
      <c r="AD1081" s="211"/>
      <c r="AE1081" s="211"/>
      <c r="AF1081" s="211"/>
      <c r="AG1081" s="211"/>
      <c r="AH1081" s="211"/>
      <c r="AI1081" s="211"/>
      <c r="AJ1081" s="211"/>
      <c r="AK1081" s="211"/>
      <c r="AL1081" s="211"/>
      <c r="AM1081" s="211"/>
      <c r="AN1081" s="211"/>
      <c r="AO1081" s="211"/>
    </row>
    <row r="1082" spans="1:41" s="204" customFormat="1" x14ac:dyDescent="0.25">
      <c r="B1082" s="284" t="s">
        <v>2716</v>
      </c>
      <c r="C1082" s="284" t="s">
        <v>2717</v>
      </c>
      <c r="D1082" s="274" t="s">
        <v>4145</v>
      </c>
      <c r="E1082" s="274"/>
      <c r="F1082" s="274"/>
      <c r="G1082" s="283"/>
      <c r="H1082" s="266"/>
      <c r="I1082" s="427"/>
      <c r="J1082" s="281"/>
      <c r="K1082" s="281"/>
      <c r="L1082" s="422" t="s">
        <v>4146</v>
      </c>
      <c r="M1082" s="284" t="s">
        <v>2962</v>
      </c>
      <c r="N1082" s="378">
        <f>SUM(N1083:N1096)</f>
        <v>7554492</v>
      </c>
      <c r="O1082" s="378">
        <f>SUM(O1083:O1096)</f>
        <v>8391951</v>
      </c>
      <c r="P1082" s="378">
        <f>+O1082-N1082</f>
        <v>837459</v>
      </c>
      <c r="Q1082" s="378">
        <f>SUM(Q1083:Q1096)</f>
        <v>0</v>
      </c>
      <c r="R1082" s="378">
        <f>SUM(R1084:R1086)+SUM(R1088:R1091)+SUM(R1093:R1096)</f>
        <v>7554492</v>
      </c>
      <c r="S1082" s="378">
        <f>SUM(S1083:S1096)</f>
        <v>0</v>
      </c>
      <c r="T1082" s="378">
        <f>SUM(T1083:T1096)</f>
        <v>1058706</v>
      </c>
      <c r="U1082" s="378">
        <f>SUM(U1083:U1096)</f>
        <v>221247</v>
      </c>
      <c r="V1082" s="378">
        <f>SUM(V1083:V1096)</f>
        <v>8391951</v>
      </c>
      <c r="W1082" s="211"/>
      <c r="X1082" s="211"/>
      <c r="Y1082" s="211"/>
      <c r="Z1082" s="211"/>
      <c r="AA1082" s="211"/>
    </row>
    <row r="1083" spans="1:41" s="204" customFormat="1" x14ac:dyDescent="0.25">
      <c r="B1083" s="284" t="s">
        <v>2720</v>
      </c>
      <c r="C1083" s="284" t="s">
        <v>2721</v>
      </c>
      <c r="D1083" s="274" t="s">
        <v>4147</v>
      </c>
      <c r="E1083" s="274"/>
      <c r="F1083" s="274"/>
      <c r="G1083" s="283"/>
      <c r="H1083" s="266"/>
      <c r="I1083" s="427"/>
      <c r="J1083" s="281"/>
      <c r="K1083" s="281"/>
      <c r="L1083" s="422" t="s">
        <v>4190</v>
      </c>
      <c r="M1083" s="284" t="s">
        <v>2962</v>
      </c>
      <c r="N1083" s="354"/>
      <c r="O1083" s="354"/>
      <c r="P1083" s="354"/>
      <c r="Q1083" s="354"/>
      <c r="R1083" s="354"/>
      <c r="S1083" s="354"/>
      <c r="T1083" s="354"/>
      <c r="U1083" s="354"/>
      <c r="V1083" s="354"/>
      <c r="W1083" s="211"/>
      <c r="X1083" s="211"/>
      <c r="Y1083" s="211"/>
      <c r="Z1083" s="211"/>
      <c r="AA1083" s="211"/>
    </row>
    <row r="1084" spans="1:41" s="204" customFormat="1" x14ac:dyDescent="0.25">
      <c r="B1084" s="284" t="s">
        <v>2723</v>
      </c>
      <c r="C1084" s="284" t="s">
        <v>2724</v>
      </c>
      <c r="D1084" s="274" t="s">
        <v>4149</v>
      </c>
      <c r="E1084" s="274"/>
      <c r="F1084" s="274"/>
      <c r="G1084" s="283"/>
      <c r="H1084" s="266"/>
      <c r="I1084" s="427"/>
      <c r="J1084" s="281"/>
      <c r="K1084" s="281"/>
      <c r="L1084" s="430" t="s">
        <v>4191</v>
      </c>
      <c r="M1084" s="284" t="s">
        <v>2962</v>
      </c>
      <c r="N1084" s="408">
        <f>+R1084</f>
        <v>153200</v>
      </c>
      <c r="O1084" s="408">
        <f>V1084</f>
        <v>153200</v>
      </c>
      <c r="P1084" s="271">
        <f>+O1084-N1084</f>
        <v>0</v>
      </c>
      <c r="Q1084" s="527"/>
      <c r="R1084" s="354">
        <f>IF(ISERROR(VLOOKUP("SAN"&amp;$C1084,ESTR_PREC_SP!$A$2:$G$2000,4,FALSE))=TRUE,0,VLOOKUP("SAN"&amp;$C1084,ESTR_PREC_SP!$A$2:$G$2000,4,FALSE))</f>
        <v>153200</v>
      </c>
      <c r="S1084" s="355"/>
      <c r="T1084" s="527"/>
      <c r="U1084" s="527"/>
      <c r="V1084" s="526">
        <f>+R1084+T1084-U1084+Q1084+S1084</f>
        <v>153200</v>
      </c>
      <c r="W1084" s="211"/>
      <c r="X1084" s="211"/>
      <c r="Y1084" s="211"/>
      <c r="Z1084" s="211"/>
      <c r="AA1084" s="211"/>
    </row>
    <row r="1085" spans="1:41" s="204" customFormat="1" x14ac:dyDescent="0.25">
      <c r="B1085" s="284" t="s">
        <v>2725</v>
      </c>
      <c r="C1085" s="284" t="s">
        <v>2726</v>
      </c>
      <c r="D1085" s="274" t="s">
        <v>4151</v>
      </c>
      <c r="E1085" s="274"/>
      <c r="F1085" s="274"/>
      <c r="G1085" s="283"/>
      <c r="H1085" s="266"/>
      <c r="I1085" s="427"/>
      <c r="J1085" s="281"/>
      <c r="K1085" s="281"/>
      <c r="L1085" s="430" t="s">
        <v>4192</v>
      </c>
      <c r="M1085" s="284" t="s">
        <v>2962</v>
      </c>
      <c r="N1085" s="408">
        <f>+R1085</f>
        <v>0</v>
      </c>
      <c r="O1085" s="408">
        <f>V1085</f>
        <v>0</v>
      </c>
      <c r="P1085" s="271">
        <f>+O1085-N1085</f>
        <v>0</v>
      </c>
      <c r="Q1085" s="527"/>
      <c r="R1085" s="354">
        <f>IF(ISERROR(VLOOKUP("SAN"&amp;$C1085,ESTR_PREC_SP!$A$2:$G$2000,4,FALSE))=TRUE,0,VLOOKUP("SAN"&amp;$C1085,ESTR_PREC_SP!$A$2:$G$2000,4,FALSE))</f>
        <v>0</v>
      </c>
      <c r="S1085" s="355"/>
      <c r="T1085" s="527"/>
      <c r="U1085" s="527"/>
      <c r="V1085" s="526">
        <f>+R1085+T1085-U1085+Q1085+S1085</f>
        <v>0</v>
      </c>
      <c r="W1085" s="211"/>
      <c r="X1085" s="211"/>
      <c r="Y1085" s="211"/>
      <c r="Z1085" s="211"/>
      <c r="AA1085" s="211"/>
    </row>
    <row r="1086" spans="1:41" s="204" customFormat="1" x14ac:dyDescent="0.25">
      <c r="B1086" s="284" t="s">
        <v>2727</v>
      </c>
      <c r="C1086" s="284" t="s">
        <v>2728</v>
      </c>
      <c r="D1086" s="274" t="s">
        <v>4153</v>
      </c>
      <c r="E1086" s="274"/>
      <c r="F1086" s="274"/>
      <c r="G1086" s="283"/>
      <c r="H1086" s="266"/>
      <c r="I1086" s="427"/>
      <c r="J1086" s="281"/>
      <c r="K1086" s="281"/>
      <c r="L1086" s="430" t="s">
        <v>4193</v>
      </c>
      <c r="M1086" s="284" t="s">
        <v>2962</v>
      </c>
      <c r="N1086" s="408">
        <f>+R1086</f>
        <v>0</v>
      </c>
      <c r="O1086" s="408">
        <f>V1086</f>
        <v>0</v>
      </c>
      <c r="P1086" s="271">
        <f>+O1086-N1086</f>
        <v>0</v>
      </c>
      <c r="Q1086" s="527"/>
      <c r="R1086" s="354">
        <f>IF(ISERROR(VLOOKUP("SAN"&amp;$C1086,ESTR_PREC_SP!$A$2:$G$2000,4,FALSE))=TRUE,0,VLOOKUP("SAN"&amp;$C1086,ESTR_PREC_SP!$A$2:$G$2000,4,FALSE))</f>
        <v>0</v>
      </c>
      <c r="S1086" s="355"/>
      <c r="T1086" s="527"/>
      <c r="U1086" s="527"/>
      <c r="V1086" s="526">
        <f>+R1086+T1086-U1086+Q1086+S1086</f>
        <v>0</v>
      </c>
      <c r="W1086" s="211"/>
      <c r="X1086" s="211"/>
      <c r="Y1086" s="211"/>
      <c r="Z1086" s="211"/>
      <c r="AA1086" s="211"/>
    </row>
    <row r="1087" spans="1:41" s="204" customFormat="1" x14ac:dyDescent="0.25">
      <c r="B1087" s="284" t="s">
        <v>2729</v>
      </c>
      <c r="C1087" s="284" t="s">
        <v>2730</v>
      </c>
      <c r="D1087" s="274" t="s">
        <v>4155</v>
      </c>
      <c r="E1087" s="274"/>
      <c r="F1087" s="274"/>
      <c r="G1087" s="283"/>
      <c r="H1087" s="266"/>
      <c r="I1087" s="427"/>
      <c r="J1087" s="281"/>
      <c r="K1087" s="281"/>
      <c r="L1087" s="422" t="s">
        <v>4194</v>
      </c>
      <c r="M1087" s="284" t="s">
        <v>2962</v>
      </c>
      <c r="N1087" s="354"/>
      <c r="O1087" s="354"/>
      <c r="P1087" s="354"/>
      <c r="Q1087" s="354"/>
      <c r="R1087" s="354"/>
      <c r="S1087" s="354"/>
      <c r="T1087" s="354"/>
      <c r="U1087" s="354"/>
      <c r="V1087" s="354"/>
      <c r="W1087" s="211"/>
      <c r="X1087" s="211"/>
      <c r="Y1087" s="211"/>
      <c r="Z1087" s="211"/>
      <c r="AA1087" s="211"/>
    </row>
    <row r="1088" spans="1:41" s="204" customFormat="1" x14ac:dyDescent="0.25">
      <c r="B1088" s="284" t="s">
        <v>2732</v>
      </c>
      <c r="C1088" s="284" t="s">
        <v>2733</v>
      </c>
      <c r="D1088" s="274" t="s">
        <v>4157</v>
      </c>
      <c r="E1088" s="274"/>
      <c r="F1088" s="274"/>
      <c r="G1088" s="283"/>
      <c r="H1088" s="266"/>
      <c r="I1088" s="427"/>
      <c r="J1088" s="281"/>
      <c r="K1088" s="281"/>
      <c r="L1088" s="430" t="s">
        <v>4195</v>
      </c>
      <c r="M1088" s="284" t="s">
        <v>2962</v>
      </c>
      <c r="N1088" s="408">
        <f>+R1088</f>
        <v>7401292</v>
      </c>
      <c r="O1088" s="408">
        <f>V1088</f>
        <v>8238751</v>
      </c>
      <c r="P1088" s="271">
        <f>+O1088-N1088</f>
        <v>837459</v>
      </c>
      <c r="Q1088" s="527"/>
      <c r="R1088" s="354">
        <f>IF(ISERROR(VLOOKUP("SAN"&amp;$C1088,ESTR_PREC_SP!$A$2:$G$2000,4,FALSE))=TRUE,0,VLOOKUP("SAN"&amp;$C1088,ESTR_PREC_SP!$A$2:$G$2000,4,FALSE))</f>
        <v>7401292</v>
      </c>
      <c r="S1088" s="355"/>
      <c r="T1088" s="527">
        <v>1058706</v>
      </c>
      <c r="U1088" s="527">
        <v>221247</v>
      </c>
      <c r="V1088" s="526">
        <f>+R1088+T1088-U1088+Q1088+S1088</f>
        <v>8238751</v>
      </c>
      <c r="W1088" s="211"/>
      <c r="X1088" s="211"/>
      <c r="Y1088" s="211"/>
      <c r="Z1088" s="211"/>
      <c r="AA1088" s="211"/>
    </row>
    <row r="1089" spans="2:38" s="204" customFormat="1" x14ac:dyDescent="0.25">
      <c r="B1089" s="284" t="s">
        <v>2734</v>
      </c>
      <c r="C1089" s="284" t="s">
        <v>2735</v>
      </c>
      <c r="D1089" s="274" t="s">
        <v>4159</v>
      </c>
      <c r="E1089" s="274"/>
      <c r="F1089" s="274"/>
      <c r="G1089" s="283"/>
      <c r="H1089" s="266"/>
      <c r="I1089" s="427"/>
      <c r="J1089" s="281"/>
      <c r="K1089" s="281"/>
      <c r="L1089" s="430" t="s">
        <v>4196</v>
      </c>
      <c r="M1089" s="284" t="s">
        <v>2962</v>
      </c>
      <c r="N1089" s="408">
        <f>+R1089</f>
        <v>0</v>
      </c>
      <c r="O1089" s="408">
        <f>V1089</f>
        <v>0</v>
      </c>
      <c r="P1089" s="271">
        <f>+O1089-N1089</f>
        <v>0</v>
      </c>
      <c r="Q1089" s="527"/>
      <c r="R1089" s="354">
        <f>IF(ISERROR(VLOOKUP("SAN"&amp;$C1089,ESTR_PREC_SP!$A$2:$G$2000,4,FALSE))=TRUE,0,VLOOKUP("SAN"&amp;$C1089,ESTR_PREC_SP!$A$2:$G$2000,4,FALSE))</f>
        <v>0</v>
      </c>
      <c r="S1089" s="355"/>
      <c r="T1089" s="527"/>
      <c r="U1089" s="527"/>
      <c r="V1089" s="526">
        <f>+R1089+T1089-U1089+Q1089+S1089</f>
        <v>0</v>
      </c>
      <c r="W1089" s="211"/>
      <c r="X1089" s="211"/>
      <c r="Y1089" s="211"/>
      <c r="Z1089" s="211"/>
      <c r="AA1089" s="211"/>
    </row>
    <row r="1090" spans="2:38" s="204" customFormat="1" x14ac:dyDescent="0.25">
      <c r="B1090" s="284" t="s">
        <v>2736</v>
      </c>
      <c r="C1090" s="284" t="s">
        <v>2737</v>
      </c>
      <c r="D1090" s="274" t="s">
        <v>4161</v>
      </c>
      <c r="E1090" s="274"/>
      <c r="F1090" s="274"/>
      <c r="G1090" s="283"/>
      <c r="H1090" s="266"/>
      <c r="I1090" s="427"/>
      <c r="J1090" s="281"/>
      <c r="K1090" s="281"/>
      <c r="L1090" s="430" t="s">
        <v>4197</v>
      </c>
      <c r="M1090" s="284" t="s">
        <v>2962</v>
      </c>
      <c r="N1090" s="408">
        <f>+R1090</f>
        <v>0</v>
      </c>
      <c r="O1090" s="408">
        <f>V1090</f>
        <v>0</v>
      </c>
      <c r="P1090" s="271">
        <f>+O1090-N1090</f>
        <v>0</v>
      </c>
      <c r="Q1090" s="527"/>
      <c r="R1090" s="354">
        <f>IF(ISERROR(VLOOKUP("SAN"&amp;$C1090,ESTR_PREC_SP!$A$2:$G$2000,4,FALSE))=TRUE,0,VLOOKUP("SAN"&amp;$C1090,ESTR_PREC_SP!$A$2:$G$2000,4,FALSE))</f>
        <v>0</v>
      </c>
      <c r="S1090" s="355"/>
      <c r="T1090" s="527"/>
      <c r="U1090" s="527"/>
      <c r="V1090" s="526">
        <f>+R1090+T1090-U1090+Q1090+S1090</f>
        <v>0</v>
      </c>
      <c r="W1090" s="211"/>
      <c r="X1090" s="211"/>
      <c r="Y1090" s="211"/>
      <c r="Z1090" s="211"/>
      <c r="AA1090" s="211"/>
    </row>
    <row r="1091" spans="2:38" s="204" customFormat="1" x14ac:dyDescent="0.25">
      <c r="B1091" s="284" t="s">
        <v>2738</v>
      </c>
      <c r="C1091" s="284" t="s">
        <v>2739</v>
      </c>
      <c r="D1091" s="274" t="s">
        <v>4163</v>
      </c>
      <c r="E1091" s="274"/>
      <c r="F1091" s="274"/>
      <c r="G1091" s="283"/>
      <c r="H1091" s="266"/>
      <c r="I1091" s="427"/>
      <c r="J1091" s="281"/>
      <c r="K1091" s="281"/>
      <c r="L1091" s="422" t="s">
        <v>4198</v>
      </c>
      <c r="M1091" s="284" t="s">
        <v>2962</v>
      </c>
      <c r="N1091" s="408">
        <f>+R1091</f>
        <v>0</v>
      </c>
      <c r="O1091" s="408">
        <f>V1091</f>
        <v>0</v>
      </c>
      <c r="P1091" s="271">
        <f>+O1091-N1091</f>
        <v>0</v>
      </c>
      <c r="Q1091" s="527"/>
      <c r="R1091" s="354">
        <f>IF(ISERROR(VLOOKUP("SAN"&amp;$C1091,ESTR_PREC_SP!$A$2:$G$2000,4,FALSE))=TRUE,0,VLOOKUP("SAN"&amp;$C1091,ESTR_PREC_SP!$A$2:$G$2000,4,FALSE))</f>
        <v>0</v>
      </c>
      <c r="S1091" s="355"/>
      <c r="T1091" s="527"/>
      <c r="U1091" s="527"/>
      <c r="V1091" s="526">
        <f>+R1091+T1091-U1091+Q1091+S1091</f>
        <v>0</v>
      </c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</row>
    <row r="1092" spans="2:38" s="204" customFormat="1" x14ac:dyDescent="0.25">
      <c r="B1092" s="284" t="s">
        <v>2740</v>
      </c>
      <c r="C1092" s="284" t="s">
        <v>2741</v>
      </c>
      <c r="D1092" s="274" t="s">
        <v>4165</v>
      </c>
      <c r="E1092" s="274"/>
      <c r="F1092" s="274"/>
      <c r="G1092" s="283"/>
      <c r="H1092" s="266"/>
      <c r="I1092" s="427"/>
      <c r="J1092" s="281"/>
      <c r="K1092" s="281"/>
      <c r="L1092" s="422" t="s">
        <v>4199</v>
      </c>
      <c r="M1092" s="284" t="s">
        <v>2962</v>
      </c>
      <c r="N1092" s="354"/>
      <c r="O1092" s="354"/>
      <c r="P1092" s="354"/>
      <c r="Q1092" s="354"/>
      <c r="R1092" s="354"/>
      <c r="S1092" s="354"/>
      <c r="T1092" s="354"/>
      <c r="U1092" s="354"/>
      <c r="V1092" s="354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</row>
    <row r="1093" spans="2:38" s="204" customFormat="1" x14ac:dyDescent="0.25">
      <c r="B1093" s="284" t="s">
        <v>2742</v>
      </c>
      <c r="C1093" s="284" t="s">
        <v>2743</v>
      </c>
      <c r="D1093" s="274" t="s">
        <v>4167</v>
      </c>
      <c r="E1093" s="274"/>
      <c r="F1093" s="274"/>
      <c r="G1093" s="283"/>
      <c r="H1093" s="266"/>
      <c r="I1093" s="427"/>
      <c r="J1093" s="281"/>
      <c r="K1093" s="281"/>
      <c r="L1093" s="430" t="s">
        <v>4200</v>
      </c>
      <c r="M1093" s="284" t="s">
        <v>2962</v>
      </c>
      <c r="N1093" s="408">
        <f>+R1093</f>
        <v>0</v>
      </c>
      <c r="O1093" s="408">
        <f>V1093</f>
        <v>0</v>
      </c>
      <c r="P1093" s="271">
        <f>+O1093-N1093</f>
        <v>0</v>
      </c>
      <c r="Q1093" s="527"/>
      <c r="R1093" s="354">
        <f>IF(ISERROR(VLOOKUP("SAN"&amp;$C1093,ESTR_PREC_SP!$A$2:$G$2000,4,FALSE))=TRUE,0,VLOOKUP("SAN"&amp;$C1093,ESTR_PREC_SP!$A$2:$G$2000,4,FALSE))</f>
        <v>0</v>
      </c>
      <c r="S1093" s="355"/>
      <c r="T1093" s="527"/>
      <c r="U1093" s="527"/>
      <c r="V1093" s="526">
        <f>+R1093+T1093-U1093+Q1093+S1093</f>
        <v>0</v>
      </c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</row>
    <row r="1094" spans="2:38" s="204" customFormat="1" x14ac:dyDescent="0.25">
      <c r="B1094" s="284" t="s">
        <v>2744</v>
      </c>
      <c r="C1094" s="284" t="s">
        <v>2745</v>
      </c>
      <c r="D1094" s="274" t="s">
        <v>4169</v>
      </c>
      <c r="E1094" s="274"/>
      <c r="F1094" s="274"/>
      <c r="G1094" s="283"/>
      <c r="H1094" s="266"/>
      <c r="I1094" s="427"/>
      <c r="J1094" s="281"/>
      <c r="K1094" s="281"/>
      <c r="L1094" s="430" t="s">
        <v>4201</v>
      </c>
      <c r="M1094" s="284" t="s">
        <v>2962</v>
      </c>
      <c r="N1094" s="408">
        <f>+R1094</f>
        <v>0</v>
      </c>
      <c r="O1094" s="408">
        <f>V1094</f>
        <v>0</v>
      </c>
      <c r="P1094" s="271">
        <f>+O1094-N1094</f>
        <v>0</v>
      </c>
      <c r="Q1094" s="527"/>
      <c r="R1094" s="354">
        <f>IF(ISERROR(VLOOKUP("SAN"&amp;$C1094,ESTR_PREC_SP!$A$2:$G$2000,4,FALSE))=TRUE,0,VLOOKUP("SAN"&amp;$C1094,ESTR_PREC_SP!$A$2:$G$2000,4,FALSE))</f>
        <v>0</v>
      </c>
      <c r="S1094" s="355"/>
      <c r="T1094" s="527"/>
      <c r="U1094" s="527"/>
      <c r="V1094" s="526">
        <f>+R1094+T1094-U1094+Q1094+S1094</f>
        <v>0</v>
      </c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</row>
    <row r="1095" spans="2:38" s="204" customFormat="1" x14ac:dyDescent="0.25">
      <c r="B1095" s="284" t="s">
        <v>2746</v>
      </c>
      <c r="C1095" s="284" t="s">
        <v>2747</v>
      </c>
      <c r="D1095" s="274" t="s">
        <v>4171</v>
      </c>
      <c r="E1095" s="274"/>
      <c r="F1095" s="274"/>
      <c r="G1095" s="283"/>
      <c r="H1095" s="266"/>
      <c r="I1095" s="427"/>
      <c r="J1095" s="281"/>
      <c r="K1095" s="281"/>
      <c r="L1095" s="430" t="s">
        <v>4202</v>
      </c>
      <c r="M1095" s="284" t="s">
        <v>2962</v>
      </c>
      <c r="N1095" s="408">
        <f>+R1095</f>
        <v>0</v>
      </c>
      <c r="O1095" s="408">
        <f>V1095</f>
        <v>0</v>
      </c>
      <c r="P1095" s="271">
        <f>+O1095-N1095</f>
        <v>0</v>
      </c>
      <c r="Q1095" s="527"/>
      <c r="R1095" s="354">
        <f>IF(ISERROR(VLOOKUP("SAN"&amp;$C1095,ESTR_PREC_SP!$A$2:$G$2000,4,FALSE))=TRUE,0,VLOOKUP("SAN"&amp;$C1095,ESTR_PREC_SP!$A$2:$G$2000,4,FALSE))</f>
        <v>0</v>
      </c>
      <c r="S1095" s="355"/>
      <c r="T1095" s="527"/>
      <c r="U1095" s="527"/>
      <c r="V1095" s="526">
        <f>+R1095+T1095-U1095+Q1095+S1095</f>
        <v>0</v>
      </c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</row>
    <row r="1096" spans="2:38" s="204" customFormat="1" x14ac:dyDescent="0.25">
      <c r="B1096" s="284" t="s">
        <v>2748</v>
      </c>
      <c r="C1096" s="284" t="s">
        <v>2749</v>
      </c>
      <c r="D1096" s="274" t="s">
        <v>4173</v>
      </c>
      <c r="E1096" s="274"/>
      <c r="F1096" s="274"/>
      <c r="G1096" s="283"/>
      <c r="H1096" s="266"/>
      <c r="I1096" s="427"/>
      <c r="J1096" s="281"/>
      <c r="K1096" s="281"/>
      <c r="L1096" s="430" t="s">
        <v>4203</v>
      </c>
      <c r="M1096" s="284" t="s">
        <v>2962</v>
      </c>
      <c r="N1096" s="408">
        <f>+R1096</f>
        <v>0</v>
      </c>
      <c r="O1096" s="408">
        <f>V1096</f>
        <v>0</v>
      </c>
      <c r="P1096" s="271">
        <f>+O1096-N1096</f>
        <v>0</v>
      </c>
      <c r="Q1096" s="527"/>
      <c r="R1096" s="354">
        <f>IF(ISERROR(VLOOKUP("SAN"&amp;$C1096,ESTR_PREC_SP!$A$2:$G$2000,4,FALSE))=TRUE,0,VLOOKUP("SAN"&amp;$C1096,ESTR_PREC_SP!$A$2:$G$2000,4,FALSE))</f>
        <v>0</v>
      </c>
      <c r="S1096" s="355"/>
      <c r="T1096" s="527"/>
      <c r="U1096" s="527"/>
      <c r="V1096" s="526">
        <f>+R1096+T1096-U1096+Q1096+S1096</f>
        <v>0</v>
      </c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</row>
  </sheetData>
  <sheetProtection password="9E7F" sheet="1" objects="1" scenarios="1"/>
  <mergeCells count="70">
    <mergeCell ref="L6:N6"/>
    <mergeCell ref="S486:U486"/>
    <mergeCell ref="AE486:AI486"/>
    <mergeCell ref="AJ486:AL486"/>
    <mergeCell ref="S594:U594"/>
    <mergeCell ref="AF594:AJ594"/>
    <mergeCell ref="AK594:AM594"/>
    <mergeCell ref="S616:U616"/>
    <mergeCell ref="AF616:AJ616"/>
    <mergeCell ref="AK616:AM616"/>
    <mergeCell ref="S651:U651"/>
    <mergeCell ref="AF651:AJ651"/>
    <mergeCell ref="AK651:AM651"/>
    <mergeCell ref="S658:U658"/>
    <mergeCell ref="AF658:AJ658"/>
    <mergeCell ref="AK658:AM658"/>
    <mergeCell ref="S687:U687"/>
    <mergeCell ref="AF687:AJ687"/>
    <mergeCell ref="AK687:AM687"/>
    <mergeCell ref="S695:U695"/>
    <mergeCell ref="AF695:AJ695"/>
    <mergeCell ref="AK695:AM695"/>
    <mergeCell ref="S704:U704"/>
    <mergeCell ref="AF704:AJ704"/>
    <mergeCell ref="AK704:AM704"/>
    <mergeCell ref="AA793:AC793"/>
    <mergeCell ref="U908:V908"/>
    <mergeCell ref="X908:Y908"/>
    <mergeCell ref="AC908:AG908"/>
    <mergeCell ref="AH908:AJ908"/>
    <mergeCell ref="U915:V915"/>
    <mergeCell ref="X915:Y915"/>
    <mergeCell ref="AC915:AG915"/>
    <mergeCell ref="AH915:AJ915"/>
    <mergeCell ref="U925:V925"/>
    <mergeCell ref="X925:Y925"/>
    <mergeCell ref="AC925:AG925"/>
    <mergeCell ref="AH925:AJ925"/>
    <mergeCell ref="T940:V940"/>
    <mergeCell ref="X940:Y940"/>
    <mergeCell ref="AC940:AG940"/>
    <mergeCell ref="AH940:AJ940"/>
    <mergeCell ref="U946:V946"/>
    <mergeCell ref="X946:Y946"/>
    <mergeCell ref="AC946:AG946"/>
    <mergeCell ref="AH946:AJ946"/>
    <mergeCell ref="U988:V988"/>
    <mergeCell ref="X988:Y988"/>
    <mergeCell ref="AC988:AG988"/>
    <mergeCell ref="AH988:AJ988"/>
    <mergeCell ref="AC1024:AG1024"/>
    <mergeCell ref="AH1024:AJ1024"/>
    <mergeCell ref="U1001:V1001"/>
    <mergeCell ref="X1001:Y1001"/>
    <mergeCell ref="AC1001:AG1001"/>
    <mergeCell ref="AH1001:AJ1001"/>
    <mergeCell ref="U1016:V1016"/>
    <mergeCell ref="X1016:Y1016"/>
    <mergeCell ref="AC1016:AG1016"/>
    <mergeCell ref="AH1016:AJ1016"/>
    <mergeCell ref="U1032:V1032"/>
    <mergeCell ref="X1032:Y1032"/>
    <mergeCell ref="AC1032:AG1032"/>
    <mergeCell ref="AH1032:AJ1032"/>
    <mergeCell ref="U1020:V1020"/>
    <mergeCell ref="X1020:Y1020"/>
    <mergeCell ref="AC1020:AG1020"/>
    <mergeCell ref="AH1020:AJ1020"/>
    <mergeCell ref="T1024:V1024"/>
    <mergeCell ref="X1024:Y1024"/>
  </mergeCells>
  <conditionalFormatting sqref="S888:V888">
    <cfRule type="cellIs" dxfId="42" priority="1" stopIfTrue="1" operator="notEqual">
      <formula>""</formula>
    </cfRule>
  </conditionalFormatting>
  <conditionalFormatting sqref="X905:AA905 N901:P901 N898:P898 N904:P905">
    <cfRule type="cellIs" dxfId="41" priority="2" stopIfTrue="1" operator="equal">
      <formula>"Errore!"</formula>
    </cfRule>
  </conditionalFormatting>
  <conditionalFormatting sqref="W905">
    <cfRule type="cellIs" dxfId="40" priority="3" stopIfTrue="1" operator="equal">
      <formula>"Errore!"</formula>
    </cfRule>
  </conditionalFormatting>
  <dataValidations count="1">
    <dataValidation type="whole" allowBlank="1" showErrorMessage="1" error="La cella accetta solo valori positivi fino a 9.999.999" sqref="P613 P839 P842 P851 P869 P985 P997 P1073">
      <formula1>0</formula1>
      <formula2>9999999</formula2>
    </dataValidation>
  </dataValidations>
  <pageMargins left="0.37013888888888891" right="0.25" top="0.30972222222222223" bottom="0.32013888888888886" header="0.51180555555555551" footer="0.51180555555555551"/>
  <pageSetup paperSize="9" scale="28" firstPageNumber="0" fitToHeight="0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88"/>
  <sheetViews>
    <sheetView showGridLines="0" topLeftCell="B486" workbookViewId="0">
      <selection activeCell="D329" sqref="D329"/>
    </sheetView>
  </sheetViews>
  <sheetFormatPr defaultColWidth="8.42578125" defaultRowHeight="15" x14ac:dyDescent="0.25"/>
  <cols>
    <col min="1" max="1" width="24" style="551" hidden="1" customWidth="1"/>
    <col min="2" max="3" width="23.42578125" style="551" customWidth="1"/>
    <col min="4" max="4" width="36.42578125" style="551" customWidth="1"/>
    <col min="5" max="5" width="15" style="551" customWidth="1"/>
    <col min="6" max="6" width="13.5703125" style="551" customWidth="1"/>
    <col min="7" max="7" width="13" style="551" customWidth="1"/>
    <col min="8" max="8" width="18.140625" style="551" customWidth="1"/>
    <col min="9" max="9" width="18.28515625" style="551" customWidth="1"/>
    <col min="10" max="10" width="20" style="551" customWidth="1"/>
    <col min="11" max="14" width="18.7109375" style="551" customWidth="1"/>
    <col min="15" max="15" width="15.28515625" style="551" customWidth="1"/>
    <col min="16" max="16" width="17.140625" style="551" customWidth="1"/>
    <col min="17" max="17" width="20.140625" style="551" customWidth="1"/>
    <col min="18" max="18" width="20.85546875" style="551" customWidth="1"/>
    <col min="19" max="28" width="8.42578125" style="551"/>
    <col min="29" max="29" width="19.28515625" style="551" hidden="1" customWidth="1"/>
    <col min="30" max="30" width="6.28515625" style="551" hidden="1" customWidth="1"/>
    <col min="31" max="31" width="7.28515625" style="551" hidden="1" customWidth="1"/>
    <col min="32" max="32" width="2" style="551" hidden="1" customWidth="1"/>
    <col min="33" max="16384" width="8.42578125" style="551"/>
  </cols>
  <sheetData>
    <row r="1" spans="1:32" ht="15.75" x14ac:dyDescent="0.25">
      <c r="A1" s="551" t="s">
        <v>0</v>
      </c>
      <c r="D1" s="912" t="s">
        <v>4175</v>
      </c>
      <c r="E1" s="912"/>
      <c r="F1" s="912"/>
    </row>
    <row r="3" spans="1:32" x14ac:dyDescent="0.25">
      <c r="A3" s="551" t="str">
        <f>+Info!$B$2</f>
        <v>724</v>
      </c>
      <c r="B3" s="552" t="s">
        <v>123</v>
      </c>
      <c r="C3" s="552" t="s">
        <v>124</v>
      </c>
      <c r="D3" s="552" t="s">
        <v>4204</v>
      </c>
      <c r="AC3" s="551" t="str">
        <f>C3</f>
        <v>1.10.10.10.010.000.00.000</v>
      </c>
      <c r="AD3" s="553">
        <f>G27</f>
        <v>79200</v>
      </c>
      <c r="AE3" s="553">
        <f>H27</f>
        <v>79200</v>
      </c>
      <c r="AF3" s="551">
        <f>IF($AD3=$AE3,0,1)</f>
        <v>0</v>
      </c>
    </row>
    <row r="4" spans="1:32" s="557" customFormat="1" ht="24.75" customHeight="1" x14ac:dyDescent="0.25">
      <c r="A4" s="551" t="str">
        <f>+Info!$B$2</f>
        <v>724</v>
      </c>
      <c r="B4" s="551"/>
      <c r="C4" s="551"/>
      <c r="D4" s="554" t="s">
        <v>4205</v>
      </c>
      <c r="E4" s="933" t="s">
        <v>4206</v>
      </c>
      <c r="F4" s="933"/>
      <c r="G4" s="933"/>
      <c r="H4" s="934" t="s">
        <v>4207</v>
      </c>
      <c r="I4" s="934"/>
      <c r="J4" s="934"/>
      <c r="K4" s="556"/>
      <c r="L4" s="556"/>
    </row>
    <row r="5" spans="1:32" s="557" customFormat="1" ht="24.75" customHeight="1" x14ac:dyDescent="0.25">
      <c r="A5" s="551" t="str">
        <f>+Info!$B$2</f>
        <v>724</v>
      </c>
      <c r="B5" s="551"/>
      <c r="C5" s="551"/>
      <c r="D5" s="558" t="s">
        <v>4208</v>
      </c>
      <c r="E5" s="555" t="s">
        <v>4209</v>
      </c>
      <c r="F5" s="555" t="s">
        <v>4210</v>
      </c>
      <c r="G5" s="555" t="s">
        <v>4211</v>
      </c>
      <c r="H5" s="555" t="s">
        <v>4212</v>
      </c>
      <c r="I5" s="934" t="s">
        <v>4213</v>
      </c>
      <c r="J5" s="934"/>
      <c r="K5" s="556"/>
      <c r="L5" s="556"/>
    </row>
    <row r="6" spans="1:32" s="557" customFormat="1" x14ac:dyDescent="0.25">
      <c r="A6" s="551" t="str">
        <f>+Info!$B$2</f>
        <v>724</v>
      </c>
      <c r="B6" s="559" t="s">
        <v>123</v>
      </c>
      <c r="C6" s="559" t="str">
        <f t="shared" ref="C6:C26" si="0">$C$3</f>
        <v>1.10.10.10.010.000.00.000</v>
      </c>
      <c r="D6" s="560" t="s">
        <v>4214</v>
      </c>
      <c r="E6" s="561">
        <v>79200</v>
      </c>
      <c r="F6" s="561"/>
      <c r="G6" s="562">
        <f t="shared" ref="G6:G26" si="1">+E6+F6</f>
        <v>79200</v>
      </c>
      <c r="H6" s="563" t="s">
        <v>4215</v>
      </c>
      <c r="I6" s="931" t="s">
        <v>4216</v>
      </c>
      <c r="J6" s="931"/>
      <c r="K6" s="565"/>
      <c r="L6" s="565"/>
    </row>
    <row r="7" spans="1:32" s="557" customFormat="1" x14ac:dyDescent="0.25">
      <c r="A7" s="551" t="str">
        <f>+Info!$B$2</f>
        <v>724</v>
      </c>
      <c r="B7" s="559" t="s">
        <v>123</v>
      </c>
      <c r="C7" s="559" t="str">
        <f t="shared" si="0"/>
        <v>1.10.10.10.010.000.00.000</v>
      </c>
      <c r="D7" s="566"/>
      <c r="E7" s="561"/>
      <c r="F7" s="561"/>
      <c r="G7" s="562">
        <f t="shared" si="1"/>
        <v>0</v>
      </c>
      <c r="H7" s="563"/>
      <c r="I7" s="931"/>
      <c r="J7" s="931"/>
      <c r="K7" s="565"/>
      <c r="L7" s="565"/>
    </row>
    <row r="8" spans="1:32" s="557" customFormat="1" x14ac:dyDescent="0.25">
      <c r="A8" s="551" t="str">
        <f>+Info!$B$2</f>
        <v>724</v>
      </c>
      <c r="B8" s="559" t="s">
        <v>123</v>
      </c>
      <c r="C8" s="559" t="str">
        <f t="shared" si="0"/>
        <v>1.10.10.10.010.000.00.000</v>
      </c>
      <c r="D8" s="566"/>
      <c r="E8" s="561"/>
      <c r="F8" s="561"/>
      <c r="G8" s="562">
        <f t="shared" si="1"/>
        <v>0</v>
      </c>
      <c r="H8" s="563"/>
      <c r="I8" s="931"/>
      <c r="J8" s="931"/>
      <c r="K8" s="565"/>
      <c r="L8" s="565"/>
    </row>
    <row r="9" spans="1:32" s="557" customFormat="1" x14ac:dyDescent="0.25">
      <c r="A9" s="551" t="str">
        <f>+Info!$B$2</f>
        <v>724</v>
      </c>
      <c r="B9" s="559" t="s">
        <v>123</v>
      </c>
      <c r="C9" s="559" t="str">
        <f t="shared" si="0"/>
        <v>1.10.10.10.010.000.00.000</v>
      </c>
      <c r="D9" s="566"/>
      <c r="E9" s="561"/>
      <c r="F9" s="561"/>
      <c r="G9" s="562">
        <f t="shared" si="1"/>
        <v>0</v>
      </c>
      <c r="H9" s="563"/>
      <c r="I9" s="931"/>
      <c r="J9" s="931"/>
      <c r="K9" s="565"/>
      <c r="L9" s="565"/>
    </row>
    <row r="10" spans="1:32" s="557" customFormat="1" x14ac:dyDescent="0.25">
      <c r="A10" s="551" t="str">
        <f>+Info!$B$2</f>
        <v>724</v>
      </c>
      <c r="B10" s="559" t="s">
        <v>123</v>
      </c>
      <c r="C10" s="559" t="str">
        <f t="shared" si="0"/>
        <v>1.10.10.10.010.000.00.000</v>
      </c>
      <c r="D10" s="566"/>
      <c r="E10" s="561"/>
      <c r="F10" s="561"/>
      <c r="G10" s="562">
        <f t="shared" si="1"/>
        <v>0</v>
      </c>
      <c r="H10" s="563"/>
      <c r="I10" s="931"/>
      <c r="J10" s="931"/>
      <c r="K10" s="565"/>
      <c r="L10" s="565"/>
    </row>
    <row r="11" spans="1:32" s="557" customFormat="1" x14ac:dyDescent="0.25">
      <c r="A11" s="551" t="str">
        <f>+Info!$B$2</f>
        <v>724</v>
      </c>
      <c r="B11" s="559" t="s">
        <v>123</v>
      </c>
      <c r="C11" s="559" t="str">
        <f t="shared" si="0"/>
        <v>1.10.10.10.010.000.00.000</v>
      </c>
      <c r="D11" s="566"/>
      <c r="E11" s="561"/>
      <c r="F11" s="561"/>
      <c r="G11" s="562">
        <f t="shared" si="1"/>
        <v>0</v>
      </c>
      <c r="H11" s="563"/>
      <c r="I11" s="931"/>
      <c r="J11" s="931"/>
      <c r="K11" s="565"/>
      <c r="L11" s="565"/>
    </row>
    <row r="12" spans="1:32" s="557" customFormat="1" x14ac:dyDescent="0.25">
      <c r="A12" s="551" t="str">
        <f>+Info!$B$2</f>
        <v>724</v>
      </c>
      <c r="B12" s="559" t="s">
        <v>123</v>
      </c>
      <c r="C12" s="559" t="str">
        <f t="shared" si="0"/>
        <v>1.10.10.10.010.000.00.000</v>
      </c>
      <c r="D12" s="566"/>
      <c r="E12" s="561"/>
      <c r="F12" s="561"/>
      <c r="G12" s="562">
        <f t="shared" si="1"/>
        <v>0</v>
      </c>
      <c r="H12" s="563"/>
      <c r="I12" s="931"/>
      <c r="J12" s="931"/>
      <c r="K12" s="565"/>
      <c r="L12" s="565"/>
    </row>
    <row r="13" spans="1:32" s="557" customFormat="1" x14ac:dyDescent="0.25">
      <c r="A13" s="551" t="str">
        <f>+Info!$B$2</f>
        <v>724</v>
      </c>
      <c r="B13" s="559" t="s">
        <v>123</v>
      </c>
      <c r="C13" s="559" t="str">
        <f t="shared" si="0"/>
        <v>1.10.10.10.010.000.00.000</v>
      </c>
      <c r="D13" s="566"/>
      <c r="E13" s="561"/>
      <c r="F13" s="561"/>
      <c r="G13" s="562">
        <f t="shared" si="1"/>
        <v>0</v>
      </c>
      <c r="H13" s="563"/>
      <c r="I13" s="931"/>
      <c r="J13" s="931"/>
      <c r="K13" s="565"/>
      <c r="L13" s="565"/>
    </row>
    <row r="14" spans="1:32" s="557" customFormat="1" x14ac:dyDescent="0.25">
      <c r="A14" s="551" t="str">
        <f>+Info!$B$2</f>
        <v>724</v>
      </c>
      <c r="B14" s="559" t="s">
        <v>123</v>
      </c>
      <c r="C14" s="559" t="str">
        <f t="shared" si="0"/>
        <v>1.10.10.10.010.000.00.000</v>
      </c>
      <c r="D14" s="566"/>
      <c r="E14" s="561"/>
      <c r="F14" s="561"/>
      <c r="G14" s="562">
        <f t="shared" si="1"/>
        <v>0</v>
      </c>
      <c r="H14" s="563"/>
      <c r="I14" s="931"/>
      <c r="J14" s="931"/>
      <c r="K14" s="565"/>
      <c r="L14" s="565"/>
    </row>
    <row r="15" spans="1:32" s="557" customFormat="1" x14ac:dyDescent="0.25">
      <c r="A15" s="551" t="str">
        <f>+Info!$B$2</f>
        <v>724</v>
      </c>
      <c r="B15" s="559" t="s">
        <v>123</v>
      </c>
      <c r="C15" s="559" t="str">
        <f t="shared" si="0"/>
        <v>1.10.10.10.010.000.00.000</v>
      </c>
      <c r="D15" s="566"/>
      <c r="E15" s="561"/>
      <c r="F15" s="561"/>
      <c r="G15" s="562">
        <f t="shared" si="1"/>
        <v>0</v>
      </c>
      <c r="H15" s="563"/>
      <c r="I15" s="931"/>
      <c r="J15" s="931"/>
      <c r="K15" s="565"/>
      <c r="L15" s="565"/>
    </row>
    <row r="16" spans="1:32" s="557" customFormat="1" x14ac:dyDescent="0.25">
      <c r="A16" s="551" t="str">
        <f>+Info!$B$2</f>
        <v>724</v>
      </c>
      <c r="B16" s="559" t="s">
        <v>123</v>
      </c>
      <c r="C16" s="559" t="str">
        <f t="shared" si="0"/>
        <v>1.10.10.10.010.000.00.000</v>
      </c>
      <c r="D16" s="566"/>
      <c r="E16" s="561"/>
      <c r="F16" s="561"/>
      <c r="G16" s="562">
        <f t="shared" si="1"/>
        <v>0</v>
      </c>
      <c r="H16" s="563"/>
      <c r="I16" s="931"/>
      <c r="J16" s="931"/>
      <c r="K16" s="565"/>
      <c r="L16" s="565"/>
    </row>
    <row r="17" spans="1:32" s="557" customFormat="1" x14ac:dyDescent="0.25">
      <c r="A17" s="551" t="str">
        <f>+Info!$B$2</f>
        <v>724</v>
      </c>
      <c r="B17" s="559" t="s">
        <v>123</v>
      </c>
      <c r="C17" s="559" t="str">
        <f t="shared" si="0"/>
        <v>1.10.10.10.010.000.00.000</v>
      </c>
      <c r="D17" s="566"/>
      <c r="E17" s="561"/>
      <c r="F17" s="561"/>
      <c r="G17" s="562">
        <f t="shared" si="1"/>
        <v>0</v>
      </c>
      <c r="H17" s="563"/>
      <c r="I17" s="931"/>
      <c r="J17" s="931"/>
      <c r="K17" s="565"/>
      <c r="L17" s="565"/>
    </row>
    <row r="18" spans="1:32" s="557" customFormat="1" x14ac:dyDescent="0.25">
      <c r="A18" s="551" t="str">
        <f>+Info!$B$2</f>
        <v>724</v>
      </c>
      <c r="B18" s="559" t="s">
        <v>123</v>
      </c>
      <c r="C18" s="559" t="str">
        <f t="shared" si="0"/>
        <v>1.10.10.10.010.000.00.000</v>
      </c>
      <c r="D18" s="566"/>
      <c r="E18" s="561"/>
      <c r="F18" s="561"/>
      <c r="G18" s="562">
        <f t="shared" si="1"/>
        <v>0</v>
      </c>
      <c r="H18" s="563"/>
      <c r="I18" s="931"/>
      <c r="J18" s="931"/>
      <c r="K18" s="565"/>
      <c r="L18" s="565"/>
    </row>
    <row r="19" spans="1:32" s="557" customFormat="1" x14ac:dyDescent="0.25">
      <c r="A19" s="551" t="str">
        <f>+Info!$B$2</f>
        <v>724</v>
      </c>
      <c r="B19" s="559" t="s">
        <v>123</v>
      </c>
      <c r="C19" s="559" t="str">
        <f t="shared" si="0"/>
        <v>1.10.10.10.010.000.00.000</v>
      </c>
      <c r="D19" s="566"/>
      <c r="E19" s="561"/>
      <c r="F19" s="561"/>
      <c r="G19" s="562">
        <f t="shared" si="1"/>
        <v>0</v>
      </c>
      <c r="H19" s="563"/>
      <c r="I19" s="931"/>
      <c r="J19" s="931"/>
      <c r="K19" s="565"/>
      <c r="L19" s="565"/>
    </row>
    <row r="20" spans="1:32" s="557" customFormat="1" x14ac:dyDescent="0.25">
      <c r="A20" s="551" t="str">
        <f>+Info!$B$2</f>
        <v>724</v>
      </c>
      <c r="B20" s="559" t="s">
        <v>123</v>
      </c>
      <c r="C20" s="559" t="str">
        <f t="shared" si="0"/>
        <v>1.10.10.10.010.000.00.000</v>
      </c>
      <c r="D20" s="566"/>
      <c r="E20" s="561"/>
      <c r="F20" s="561"/>
      <c r="G20" s="562">
        <f t="shared" si="1"/>
        <v>0</v>
      </c>
      <c r="H20" s="563"/>
      <c r="I20" s="931"/>
      <c r="J20" s="931"/>
      <c r="K20" s="565"/>
      <c r="L20" s="565"/>
    </row>
    <row r="21" spans="1:32" s="557" customFormat="1" x14ac:dyDescent="0.25">
      <c r="A21" s="551" t="str">
        <f>+Info!$B$2</f>
        <v>724</v>
      </c>
      <c r="B21" s="559" t="s">
        <v>123</v>
      </c>
      <c r="C21" s="559" t="str">
        <f t="shared" si="0"/>
        <v>1.10.10.10.010.000.00.000</v>
      </c>
      <c r="D21" s="566"/>
      <c r="E21" s="561"/>
      <c r="F21" s="561"/>
      <c r="G21" s="562">
        <f t="shared" si="1"/>
        <v>0</v>
      </c>
      <c r="H21" s="563"/>
      <c r="I21" s="931"/>
      <c r="J21" s="931"/>
      <c r="K21" s="565"/>
      <c r="L21" s="565"/>
    </row>
    <row r="22" spans="1:32" s="557" customFormat="1" x14ac:dyDescent="0.25">
      <c r="A22" s="551" t="str">
        <f>+Info!$B$2</f>
        <v>724</v>
      </c>
      <c r="B22" s="559" t="s">
        <v>123</v>
      </c>
      <c r="C22" s="559" t="str">
        <f t="shared" si="0"/>
        <v>1.10.10.10.010.000.00.000</v>
      </c>
      <c r="D22" s="566"/>
      <c r="E22" s="561"/>
      <c r="F22" s="561"/>
      <c r="G22" s="562">
        <f t="shared" si="1"/>
        <v>0</v>
      </c>
      <c r="H22" s="563"/>
      <c r="I22" s="931"/>
      <c r="J22" s="931"/>
      <c r="K22" s="565"/>
      <c r="L22" s="565"/>
    </row>
    <row r="23" spans="1:32" s="557" customFormat="1" x14ac:dyDescent="0.25">
      <c r="A23" s="551" t="str">
        <f>+Info!$B$2</f>
        <v>724</v>
      </c>
      <c r="B23" s="559" t="s">
        <v>123</v>
      </c>
      <c r="C23" s="559" t="str">
        <f t="shared" si="0"/>
        <v>1.10.10.10.010.000.00.000</v>
      </c>
      <c r="D23" s="566"/>
      <c r="E23" s="561"/>
      <c r="F23" s="561"/>
      <c r="G23" s="562">
        <f t="shared" si="1"/>
        <v>0</v>
      </c>
      <c r="H23" s="563"/>
      <c r="I23" s="931"/>
      <c r="J23" s="931"/>
      <c r="K23" s="565"/>
      <c r="L23" s="565"/>
    </row>
    <row r="24" spans="1:32" s="557" customFormat="1" x14ac:dyDescent="0.25">
      <c r="A24" s="551" t="str">
        <f>+Info!$B$2</f>
        <v>724</v>
      </c>
      <c r="B24" s="559" t="s">
        <v>123</v>
      </c>
      <c r="C24" s="559" t="str">
        <f t="shared" si="0"/>
        <v>1.10.10.10.010.000.00.000</v>
      </c>
      <c r="D24" s="566"/>
      <c r="E24" s="561"/>
      <c r="F24" s="561"/>
      <c r="G24" s="562">
        <f t="shared" si="1"/>
        <v>0</v>
      </c>
      <c r="H24" s="563"/>
      <c r="I24" s="931"/>
      <c r="J24" s="931"/>
      <c r="K24" s="565"/>
      <c r="L24" s="565"/>
    </row>
    <row r="25" spans="1:32" s="557" customFormat="1" x14ac:dyDescent="0.25">
      <c r="A25" s="551" t="str">
        <f>+Info!$B$2</f>
        <v>724</v>
      </c>
      <c r="B25" s="559" t="s">
        <v>123</v>
      </c>
      <c r="C25" s="559" t="str">
        <f t="shared" si="0"/>
        <v>1.10.10.10.010.000.00.000</v>
      </c>
      <c r="D25" s="566"/>
      <c r="E25" s="561"/>
      <c r="F25" s="561"/>
      <c r="G25" s="562">
        <f t="shared" si="1"/>
        <v>0</v>
      </c>
      <c r="H25" s="563"/>
      <c r="I25" s="931"/>
      <c r="J25" s="931"/>
      <c r="K25" s="565"/>
      <c r="L25" s="565"/>
    </row>
    <row r="26" spans="1:32" s="557" customFormat="1" x14ac:dyDescent="0.25">
      <c r="A26" s="551" t="str">
        <f>+Info!$B$2</f>
        <v>724</v>
      </c>
      <c r="B26" s="559" t="s">
        <v>123</v>
      </c>
      <c r="C26" s="559" t="str">
        <f t="shared" si="0"/>
        <v>1.10.10.10.010.000.00.000</v>
      </c>
      <c r="D26" s="566"/>
      <c r="E26" s="561"/>
      <c r="F26" s="561"/>
      <c r="G26" s="562">
        <f t="shared" si="1"/>
        <v>0</v>
      </c>
      <c r="H26" s="563"/>
      <c r="I26" s="931"/>
      <c r="J26" s="931"/>
      <c r="K26" s="565"/>
      <c r="L26" s="565"/>
    </row>
    <row r="27" spans="1:32" s="557" customFormat="1" x14ac:dyDescent="0.25">
      <c r="A27" s="551" t="str">
        <f>+Info!$B$2</f>
        <v>724</v>
      </c>
      <c r="B27" s="551"/>
      <c r="C27" s="551"/>
      <c r="D27" s="565"/>
      <c r="E27" s="567">
        <f>SUM(E6:E26)</f>
        <v>79200</v>
      </c>
      <c r="F27" s="567">
        <f>SUM(F6:F26)</f>
        <v>0</v>
      </c>
      <c r="G27" s="568">
        <f>SUM(G6:G26)</f>
        <v>79200</v>
      </c>
      <c r="H27" s="569">
        <f>SUMIF('NI-San_SP'!$C:$C,$C$3,'NI-San_SP'!$O:$O)</f>
        <v>79200</v>
      </c>
      <c r="I27" s="928" t="str">
        <f>IF(G27=H27,"Quadratura OK!","Squadratura con valori di Bilancio")</f>
        <v>Quadratura OK!</v>
      </c>
      <c r="J27" s="928"/>
      <c r="K27" s="565"/>
      <c r="L27" s="565"/>
    </row>
    <row r="28" spans="1:32" s="557" customFormat="1" x14ac:dyDescent="0.25">
      <c r="A28" s="551" t="str">
        <f>+Info!$B$2</f>
        <v>724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</row>
    <row r="29" spans="1:32" s="557" customFormat="1" x14ac:dyDescent="0.25">
      <c r="A29" s="551" t="str">
        <f>+Info!$B$2</f>
        <v>724</v>
      </c>
      <c r="B29" s="552" t="s">
        <v>149</v>
      </c>
      <c r="C29" s="552" t="s">
        <v>150</v>
      </c>
      <c r="D29" s="552" t="s">
        <v>4217</v>
      </c>
      <c r="E29" s="551"/>
      <c r="F29" s="551"/>
      <c r="G29" s="551"/>
      <c r="H29" s="551"/>
      <c r="I29" s="551"/>
      <c r="J29" s="551"/>
      <c r="K29" s="565"/>
      <c r="L29" s="565"/>
      <c r="AC29" s="557" t="str">
        <f>C29</f>
        <v>1.10.10.20.010.000.00.000</v>
      </c>
      <c r="AD29" s="570">
        <f>G53</f>
        <v>0</v>
      </c>
      <c r="AE29" s="570">
        <f>H53</f>
        <v>0</v>
      </c>
      <c r="AF29" s="551">
        <f>IF($AD29=$AE29,0,1)</f>
        <v>0</v>
      </c>
    </row>
    <row r="30" spans="1:32" s="557" customFormat="1" ht="15" customHeight="1" x14ac:dyDescent="0.25">
      <c r="A30" s="551" t="str">
        <f>+Info!$B$2</f>
        <v>724</v>
      </c>
      <c r="B30" s="551"/>
      <c r="C30" s="551"/>
      <c r="D30" s="571" t="s">
        <v>4218</v>
      </c>
      <c r="E30" s="933" t="s">
        <v>4206</v>
      </c>
      <c r="F30" s="933"/>
      <c r="G30" s="933"/>
      <c r="H30" s="934" t="s">
        <v>4207</v>
      </c>
      <c r="I30" s="934"/>
      <c r="J30" s="934"/>
      <c r="K30" s="565"/>
      <c r="L30" s="565"/>
    </row>
    <row r="31" spans="1:32" s="557" customFormat="1" ht="24" customHeight="1" x14ac:dyDescent="0.25">
      <c r="A31" s="551" t="str">
        <f>+Info!$B$2</f>
        <v>724</v>
      </c>
      <c r="B31" s="551"/>
      <c r="C31" s="551"/>
      <c r="D31" s="558" t="s">
        <v>4208</v>
      </c>
      <c r="E31" s="555" t="s">
        <v>4209</v>
      </c>
      <c r="F31" s="555" t="s">
        <v>4210</v>
      </c>
      <c r="G31" s="555" t="s">
        <v>4211</v>
      </c>
      <c r="H31" s="555" t="s">
        <v>4212</v>
      </c>
      <c r="I31" s="934" t="s">
        <v>4213</v>
      </c>
      <c r="J31" s="934"/>
      <c r="K31" s="565"/>
      <c r="L31" s="565"/>
    </row>
    <row r="32" spans="1:32" s="557" customFormat="1" x14ac:dyDescent="0.25">
      <c r="A32" s="551" t="str">
        <f>+Info!$B$2</f>
        <v>724</v>
      </c>
      <c r="B32" s="559" t="s">
        <v>149</v>
      </c>
      <c r="C32" s="559" t="str">
        <f t="shared" ref="C32:C52" si="2">$C$29</f>
        <v>1.10.10.20.010.000.00.000</v>
      </c>
      <c r="D32" s="560"/>
      <c r="E32" s="561"/>
      <c r="F32" s="561"/>
      <c r="G32" s="562">
        <f t="shared" ref="G32:G52" si="3">+E32+F32</f>
        <v>0</v>
      </c>
      <c r="H32" s="563"/>
      <c r="I32" s="931"/>
      <c r="J32" s="931"/>
      <c r="K32" s="565"/>
      <c r="L32" s="565"/>
    </row>
    <row r="33" spans="1:12" s="557" customFormat="1" x14ac:dyDescent="0.25">
      <c r="A33" s="551" t="str">
        <f>+Info!$B$2</f>
        <v>724</v>
      </c>
      <c r="B33" s="559" t="s">
        <v>149</v>
      </c>
      <c r="C33" s="559" t="str">
        <f t="shared" si="2"/>
        <v>1.10.10.20.010.000.00.000</v>
      </c>
      <c r="D33" s="566"/>
      <c r="E33" s="561"/>
      <c r="F33" s="561"/>
      <c r="G33" s="562">
        <f t="shared" si="3"/>
        <v>0</v>
      </c>
      <c r="H33" s="563"/>
      <c r="I33" s="931"/>
      <c r="J33" s="931"/>
      <c r="K33" s="565"/>
      <c r="L33" s="565"/>
    </row>
    <row r="34" spans="1:12" s="557" customFormat="1" x14ac:dyDescent="0.25">
      <c r="A34" s="551" t="str">
        <f>+Info!$B$2</f>
        <v>724</v>
      </c>
      <c r="B34" s="559" t="s">
        <v>149</v>
      </c>
      <c r="C34" s="559" t="str">
        <f t="shared" si="2"/>
        <v>1.10.10.20.010.000.00.000</v>
      </c>
      <c r="D34" s="566"/>
      <c r="E34" s="561"/>
      <c r="F34" s="561"/>
      <c r="G34" s="562">
        <f t="shared" si="3"/>
        <v>0</v>
      </c>
      <c r="H34" s="563"/>
      <c r="I34" s="931"/>
      <c r="J34" s="931"/>
      <c r="K34" s="565"/>
      <c r="L34" s="565"/>
    </row>
    <row r="35" spans="1:12" s="557" customFormat="1" x14ac:dyDescent="0.25">
      <c r="A35" s="551" t="str">
        <f>+Info!$B$2</f>
        <v>724</v>
      </c>
      <c r="B35" s="559" t="s">
        <v>149</v>
      </c>
      <c r="C35" s="559" t="str">
        <f t="shared" si="2"/>
        <v>1.10.10.20.010.000.00.000</v>
      </c>
      <c r="D35" s="566"/>
      <c r="E35" s="561"/>
      <c r="F35" s="561"/>
      <c r="G35" s="562">
        <f t="shared" si="3"/>
        <v>0</v>
      </c>
      <c r="H35" s="563"/>
      <c r="I35" s="931"/>
      <c r="J35" s="931"/>
      <c r="K35" s="565"/>
      <c r="L35" s="565"/>
    </row>
    <row r="36" spans="1:12" s="557" customFormat="1" x14ac:dyDescent="0.25">
      <c r="A36" s="551" t="str">
        <f>+Info!$B$2</f>
        <v>724</v>
      </c>
      <c r="B36" s="559" t="s">
        <v>149</v>
      </c>
      <c r="C36" s="559" t="str">
        <f t="shared" si="2"/>
        <v>1.10.10.20.010.000.00.000</v>
      </c>
      <c r="D36" s="566"/>
      <c r="E36" s="561"/>
      <c r="F36" s="561"/>
      <c r="G36" s="562">
        <f t="shared" si="3"/>
        <v>0</v>
      </c>
      <c r="H36" s="563"/>
      <c r="I36" s="931"/>
      <c r="J36" s="931"/>
      <c r="K36" s="565"/>
      <c r="L36" s="565"/>
    </row>
    <row r="37" spans="1:12" s="557" customFormat="1" x14ac:dyDescent="0.25">
      <c r="A37" s="551" t="str">
        <f>+Info!$B$2</f>
        <v>724</v>
      </c>
      <c r="B37" s="559" t="s">
        <v>149</v>
      </c>
      <c r="C37" s="559" t="str">
        <f t="shared" si="2"/>
        <v>1.10.10.20.010.000.00.000</v>
      </c>
      <c r="D37" s="566"/>
      <c r="E37" s="561"/>
      <c r="F37" s="561"/>
      <c r="G37" s="562">
        <f t="shared" si="3"/>
        <v>0</v>
      </c>
      <c r="H37" s="563"/>
      <c r="I37" s="931"/>
      <c r="J37" s="931"/>
      <c r="K37" s="565"/>
      <c r="L37" s="565"/>
    </row>
    <row r="38" spans="1:12" s="557" customFormat="1" x14ac:dyDescent="0.25">
      <c r="A38" s="551" t="str">
        <f>+Info!$B$2</f>
        <v>724</v>
      </c>
      <c r="B38" s="559" t="s">
        <v>149</v>
      </c>
      <c r="C38" s="559" t="str">
        <f t="shared" si="2"/>
        <v>1.10.10.20.010.000.00.000</v>
      </c>
      <c r="D38" s="566"/>
      <c r="E38" s="561"/>
      <c r="F38" s="561"/>
      <c r="G38" s="562">
        <f t="shared" si="3"/>
        <v>0</v>
      </c>
      <c r="H38" s="563"/>
      <c r="I38" s="931"/>
      <c r="J38" s="931"/>
      <c r="K38" s="565"/>
      <c r="L38" s="565"/>
    </row>
    <row r="39" spans="1:12" s="557" customFormat="1" x14ac:dyDescent="0.25">
      <c r="A39" s="551" t="str">
        <f>+Info!$B$2</f>
        <v>724</v>
      </c>
      <c r="B39" s="559" t="s">
        <v>149</v>
      </c>
      <c r="C39" s="559" t="str">
        <f t="shared" si="2"/>
        <v>1.10.10.20.010.000.00.000</v>
      </c>
      <c r="D39" s="566"/>
      <c r="E39" s="561"/>
      <c r="F39" s="561"/>
      <c r="G39" s="562">
        <f t="shared" si="3"/>
        <v>0</v>
      </c>
      <c r="H39" s="563"/>
      <c r="I39" s="931"/>
      <c r="J39" s="931"/>
      <c r="K39" s="565"/>
      <c r="L39" s="565"/>
    </row>
    <row r="40" spans="1:12" s="557" customFormat="1" x14ac:dyDescent="0.25">
      <c r="A40" s="551" t="str">
        <f>+Info!$B$2</f>
        <v>724</v>
      </c>
      <c r="B40" s="559" t="s">
        <v>149</v>
      </c>
      <c r="C40" s="559" t="str">
        <f t="shared" si="2"/>
        <v>1.10.10.20.010.000.00.000</v>
      </c>
      <c r="D40" s="566"/>
      <c r="E40" s="561"/>
      <c r="F40" s="561"/>
      <c r="G40" s="562">
        <f t="shared" si="3"/>
        <v>0</v>
      </c>
      <c r="H40" s="563"/>
      <c r="I40" s="931"/>
      <c r="J40" s="931"/>
      <c r="K40" s="565"/>
      <c r="L40" s="565"/>
    </row>
    <row r="41" spans="1:12" s="557" customFormat="1" x14ac:dyDescent="0.25">
      <c r="A41" s="551" t="str">
        <f>+Info!$B$2</f>
        <v>724</v>
      </c>
      <c r="B41" s="559" t="s">
        <v>149</v>
      </c>
      <c r="C41" s="559" t="str">
        <f t="shared" si="2"/>
        <v>1.10.10.20.010.000.00.000</v>
      </c>
      <c r="D41" s="566"/>
      <c r="E41" s="561"/>
      <c r="F41" s="561"/>
      <c r="G41" s="562">
        <f t="shared" si="3"/>
        <v>0</v>
      </c>
      <c r="H41" s="563"/>
      <c r="I41" s="931"/>
      <c r="J41" s="931"/>
      <c r="K41" s="565"/>
      <c r="L41" s="565"/>
    </row>
    <row r="42" spans="1:12" s="557" customFormat="1" x14ac:dyDescent="0.25">
      <c r="A42" s="551" t="str">
        <f>+Info!$B$2</f>
        <v>724</v>
      </c>
      <c r="B42" s="559" t="s">
        <v>149</v>
      </c>
      <c r="C42" s="559" t="str">
        <f t="shared" si="2"/>
        <v>1.10.10.20.010.000.00.000</v>
      </c>
      <c r="D42" s="566"/>
      <c r="E42" s="561"/>
      <c r="F42" s="561"/>
      <c r="G42" s="562">
        <f t="shared" si="3"/>
        <v>0</v>
      </c>
      <c r="H42" s="563"/>
      <c r="I42" s="931"/>
      <c r="J42" s="931"/>
      <c r="K42" s="565"/>
      <c r="L42" s="565"/>
    </row>
    <row r="43" spans="1:12" s="557" customFormat="1" x14ac:dyDescent="0.25">
      <c r="A43" s="551" t="str">
        <f>+Info!$B$2</f>
        <v>724</v>
      </c>
      <c r="B43" s="559" t="s">
        <v>149</v>
      </c>
      <c r="C43" s="559" t="str">
        <f t="shared" si="2"/>
        <v>1.10.10.20.010.000.00.000</v>
      </c>
      <c r="D43" s="566"/>
      <c r="E43" s="561"/>
      <c r="F43" s="561"/>
      <c r="G43" s="562">
        <f t="shared" si="3"/>
        <v>0</v>
      </c>
      <c r="H43" s="563"/>
      <c r="I43" s="931"/>
      <c r="J43" s="931"/>
      <c r="K43" s="565"/>
      <c r="L43" s="565"/>
    </row>
    <row r="44" spans="1:12" s="557" customFormat="1" x14ac:dyDescent="0.25">
      <c r="A44" s="551" t="str">
        <f>+Info!$B$2</f>
        <v>724</v>
      </c>
      <c r="B44" s="559" t="s">
        <v>149</v>
      </c>
      <c r="C44" s="559" t="str">
        <f t="shared" si="2"/>
        <v>1.10.10.20.010.000.00.000</v>
      </c>
      <c r="D44" s="566"/>
      <c r="E44" s="561"/>
      <c r="F44" s="561"/>
      <c r="G44" s="562">
        <f t="shared" si="3"/>
        <v>0</v>
      </c>
      <c r="H44" s="563"/>
      <c r="I44" s="931"/>
      <c r="J44" s="931"/>
      <c r="K44" s="565"/>
      <c r="L44" s="565"/>
    </row>
    <row r="45" spans="1:12" s="557" customFormat="1" x14ac:dyDescent="0.25">
      <c r="A45" s="551" t="str">
        <f>+Info!$B$2</f>
        <v>724</v>
      </c>
      <c r="B45" s="559" t="s">
        <v>149</v>
      </c>
      <c r="C45" s="559" t="str">
        <f t="shared" si="2"/>
        <v>1.10.10.20.010.000.00.000</v>
      </c>
      <c r="D45" s="566"/>
      <c r="E45" s="561"/>
      <c r="F45" s="561"/>
      <c r="G45" s="562">
        <f t="shared" si="3"/>
        <v>0</v>
      </c>
      <c r="H45" s="563"/>
      <c r="I45" s="931"/>
      <c r="J45" s="931"/>
      <c r="K45" s="565"/>
      <c r="L45" s="565"/>
    </row>
    <row r="46" spans="1:12" s="557" customFormat="1" x14ac:dyDescent="0.25">
      <c r="A46" s="551" t="str">
        <f>+Info!$B$2</f>
        <v>724</v>
      </c>
      <c r="B46" s="559" t="s">
        <v>149</v>
      </c>
      <c r="C46" s="559" t="str">
        <f t="shared" si="2"/>
        <v>1.10.10.20.010.000.00.000</v>
      </c>
      <c r="D46" s="566"/>
      <c r="E46" s="561"/>
      <c r="F46" s="561"/>
      <c r="G46" s="562">
        <f t="shared" si="3"/>
        <v>0</v>
      </c>
      <c r="H46" s="563"/>
      <c r="I46" s="931"/>
      <c r="J46" s="931"/>
      <c r="K46" s="565"/>
      <c r="L46" s="565"/>
    </row>
    <row r="47" spans="1:12" s="557" customFormat="1" x14ac:dyDescent="0.25">
      <c r="A47" s="551" t="str">
        <f>+Info!$B$2</f>
        <v>724</v>
      </c>
      <c r="B47" s="559" t="s">
        <v>149</v>
      </c>
      <c r="C47" s="559" t="str">
        <f t="shared" si="2"/>
        <v>1.10.10.20.010.000.00.000</v>
      </c>
      <c r="D47" s="566"/>
      <c r="E47" s="561"/>
      <c r="F47" s="561"/>
      <c r="G47" s="562">
        <f t="shared" si="3"/>
        <v>0</v>
      </c>
      <c r="H47" s="563"/>
      <c r="I47" s="931"/>
      <c r="J47" s="931"/>
      <c r="K47" s="565"/>
      <c r="L47" s="565"/>
    </row>
    <row r="48" spans="1:12" s="557" customFormat="1" x14ac:dyDescent="0.25">
      <c r="A48" s="551" t="str">
        <f>+Info!$B$2</f>
        <v>724</v>
      </c>
      <c r="B48" s="559" t="s">
        <v>149</v>
      </c>
      <c r="C48" s="559" t="str">
        <f t="shared" si="2"/>
        <v>1.10.10.20.010.000.00.000</v>
      </c>
      <c r="D48" s="566"/>
      <c r="E48" s="561"/>
      <c r="F48" s="561"/>
      <c r="G48" s="562">
        <f t="shared" si="3"/>
        <v>0</v>
      </c>
      <c r="H48" s="563"/>
      <c r="I48" s="931"/>
      <c r="J48" s="931"/>
      <c r="K48" s="565"/>
      <c r="L48" s="565"/>
    </row>
    <row r="49" spans="1:32" s="557" customFormat="1" x14ac:dyDescent="0.25">
      <c r="A49" s="551" t="str">
        <f>+Info!$B$2</f>
        <v>724</v>
      </c>
      <c r="B49" s="559" t="s">
        <v>149</v>
      </c>
      <c r="C49" s="559" t="str">
        <f t="shared" si="2"/>
        <v>1.10.10.20.010.000.00.000</v>
      </c>
      <c r="D49" s="566"/>
      <c r="E49" s="561"/>
      <c r="F49" s="561"/>
      <c r="G49" s="562">
        <f t="shared" si="3"/>
        <v>0</v>
      </c>
      <c r="H49" s="563"/>
      <c r="I49" s="931"/>
      <c r="J49" s="931"/>
      <c r="K49" s="565"/>
      <c r="L49" s="565"/>
    </row>
    <row r="50" spans="1:32" s="557" customFormat="1" x14ac:dyDescent="0.25">
      <c r="A50" s="551" t="str">
        <f>+Info!$B$2</f>
        <v>724</v>
      </c>
      <c r="B50" s="559" t="s">
        <v>149</v>
      </c>
      <c r="C50" s="559" t="str">
        <f t="shared" si="2"/>
        <v>1.10.10.20.010.000.00.000</v>
      </c>
      <c r="D50" s="566"/>
      <c r="E50" s="561"/>
      <c r="F50" s="561"/>
      <c r="G50" s="562">
        <f t="shared" si="3"/>
        <v>0</v>
      </c>
      <c r="H50" s="563"/>
      <c r="I50" s="931"/>
      <c r="J50" s="931"/>
      <c r="K50" s="565"/>
      <c r="L50" s="565"/>
    </row>
    <row r="51" spans="1:32" s="557" customFormat="1" x14ac:dyDescent="0.25">
      <c r="A51" s="551" t="str">
        <f>+Info!$B$2</f>
        <v>724</v>
      </c>
      <c r="B51" s="559" t="s">
        <v>149</v>
      </c>
      <c r="C51" s="559" t="str">
        <f t="shared" si="2"/>
        <v>1.10.10.20.010.000.00.000</v>
      </c>
      <c r="D51" s="566"/>
      <c r="E51" s="561"/>
      <c r="F51" s="561"/>
      <c r="G51" s="562">
        <f t="shared" si="3"/>
        <v>0</v>
      </c>
      <c r="H51" s="563"/>
      <c r="I51" s="931"/>
      <c r="J51" s="931"/>
      <c r="K51" s="565"/>
      <c r="L51" s="565"/>
    </row>
    <row r="52" spans="1:32" s="557" customFormat="1" x14ac:dyDescent="0.25">
      <c r="A52" s="551" t="str">
        <f>+Info!$B$2</f>
        <v>724</v>
      </c>
      <c r="B52" s="559" t="s">
        <v>149</v>
      </c>
      <c r="C52" s="559" t="str">
        <f t="shared" si="2"/>
        <v>1.10.10.20.010.000.00.000</v>
      </c>
      <c r="D52" s="566"/>
      <c r="E52" s="561"/>
      <c r="F52" s="561"/>
      <c r="G52" s="562">
        <f t="shared" si="3"/>
        <v>0</v>
      </c>
      <c r="H52" s="563"/>
      <c r="I52" s="931"/>
      <c r="J52" s="931"/>
      <c r="K52" s="565"/>
      <c r="L52" s="565"/>
    </row>
    <row r="53" spans="1:32" s="557" customFormat="1" x14ac:dyDescent="0.25">
      <c r="A53" s="551" t="str">
        <f>+Info!$B$2</f>
        <v>724</v>
      </c>
      <c r="B53" s="551"/>
      <c r="C53" s="551"/>
      <c r="D53" s="565"/>
      <c r="E53" s="567">
        <f>SUM(E32:E52)</f>
        <v>0</v>
      </c>
      <c r="F53" s="567">
        <f>SUM(F32:F52)</f>
        <v>0</v>
      </c>
      <c r="G53" s="568">
        <f>SUM(G32:G52)</f>
        <v>0</v>
      </c>
      <c r="H53" s="569">
        <f>SUMIF('NI-San_SP'!$C:$C,$C$29,'NI-San_SP'!$O:$O)</f>
        <v>0</v>
      </c>
      <c r="I53" s="928" t="str">
        <f>IF(G53=H53,"Quadratura OK!","Squadratura con valori di Bilancio")</f>
        <v>Quadratura OK!</v>
      </c>
      <c r="J53" s="928"/>
      <c r="K53" s="565"/>
      <c r="L53" s="565"/>
    </row>
    <row r="54" spans="1:32" s="557" customFormat="1" x14ac:dyDescent="0.25">
      <c r="A54" s="551" t="str">
        <f>+Info!$B$2</f>
        <v>724</v>
      </c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L54" s="565"/>
    </row>
    <row r="55" spans="1:32" s="557" customFormat="1" x14ac:dyDescent="0.25">
      <c r="A55" s="551" t="str">
        <f>+Info!$B$2</f>
        <v>724</v>
      </c>
      <c r="B55" s="552" t="s">
        <v>329</v>
      </c>
      <c r="C55" s="552" t="s">
        <v>330</v>
      </c>
      <c r="D55" s="552" t="s">
        <v>4219</v>
      </c>
      <c r="E55" s="551"/>
      <c r="F55" s="551"/>
      <c r="G55" s="551"/>
      <c r="H55" s="551"/>
      <c r="I55" s="551"/>
      <c r="J55" s="551"/>
      <c r="K55" s="565"/>
      <c r="L55" s="565"/>
      <c r="AC55" s="557" t="str">
        <f>C55</f>
        <v>1.10.10.50.050.000.00.000</v>
      </c>
      <c r="AD55" s="570">
        <f>G79</f>
        <v>0</v>
      </c>
      <c r="AE55" s="570">
        <f>H79</f>
        <v>0</v>
      </c>
      <c r="AF55" s="551">
        <f>IF($AD55=$AE55,0,1)</f>
        <v>0</v>
      </c>
    </row>
    <row r="56" spans="1:32" s="557" customFormat="1" ht="15" customHeight="1" x14ac:dyDescent="0.25">
      <c r="A56" s="551" t="str">
        <f>+Info!$B$2</f>
        <v>724</v>
      </c>
      <c r="B56" s="551"/>
      <c r="C56" s="551"/>
      <c r="D56" s="571" t="s">
        <v>4220</v>
      </c>
      <c r="E56" s="933" t="s">
        <v>4206</v>
      </c>
      <c r="F56" s="933"/>
      <c r="G56" s="933"/>
      <c r="H56" s="934" t="s">
        <v>4207</v>
      </c>
      <c r="I56" s="934"/>
      <c r="J56" s="934"/>
      <c r="K56" s="565"/>
      <c r="L56" s="565"/>
    </row>
    <row r="57" spans="1:32" s="557" customFormat="1" ht="24" customHeight="1" x14ac:dyDescent="0.25">
      <c r="A57" s="551" t="str">
        <f>+Info!$B$2</f>
        <v>724</v>
      </c>
      <c r="B57" s="551"/>
      <c r="C57" s="551"/>
      <c r="D57" s="558" t="s">
        <v>4208</v>
      </c>
      <c r="E57" s="555" t="s">
        <v>4209</v>
      </c>
      <c r="F57" s="555" t="s">
        <v>4210</v>
      </c>
      <c r="G57" s="555" t="s">
        <v>4211</v>
      </c>
      <c r="H57" s="555" t="s">
        <v>4212</v>
      </c>
      <c r="I57" s="934" t="s">
        <v>4213</v>
      </c>
      <c r="J57" s="934"/>
      <c r="K57" s="565"/>
      <c r="L57" s="565"/>
    </row>
    <row r="58" spans="1:32" s="557" customFormat="1" x14ac:dyDescent="0.25">
      <c r="A58" s="551" t="str">
        <f>+Info!$B$2</f>
        <v>724</v>
      </c>
      <c r="B58" s="559" t="s">
        <v>329</v>
      </c>
      <c r="C58" s="559" t="str">
        <f t="shared" ref="C58:C78" si="4">$C$55</f>
        <v>1.10.10.50.050.000.00.000</v>
      </c>
      <c r="D58" s="560"/>
      <c r="E58" s="561"/>
      <c r="F58" s="561"/>
      <c r="G58" s="562">
        <f t="shared" ref="G58:G78" si="5">+E58+F58</f>
        <v>0</v>
      </c>
      <c r="H58" s="563"/>
      <c r="I58" s="931"/>
      <c r="J58" s="931"/>
      <c r="K58" s="565"/>
      <c r="L58" s="565"/>
    </row>
    <row r="59" spans="1:32" s="557" customFormat="1" x14ac:dyDescent="0.25">
      <c r="A59" s="551" t="str">
        <f>+Info!$B$2</f>
        <v>724</v>
      </c>
      <c r="B59" s="559" t="s">
        <v>329</v>
      </c>
      <c r="C59" s="559" t="str">
        <f t="shared" si="4"/>
        <v>1.10.10.50.050.000.00.000</v>
      </c>
      <c r="D59" s="566"/>
      <c r="E59" s="561"/>
      <c r="F59" s="561"/>
      <c r="G59" s="562">
        <f t="shared" si="5"/>
        <v>0</v>
      </c>
      <c r="H59" s="563"/>
      <c r="I59" s="931"/>
      <c r="J59" s="931"/>
      <c r="K59" s="565"/>
      <c r="L59" s="565"/>
    </row>
    <row r="60" spans="1:32" s="557" customFormat="1" x14ac:dyDescent="0.25">
      <c r="A60" s="551" t="str">
        <f>+Info!$B$2</f>
        <v>724</v>
      </c>
      <c r="B60" s="559" t="s">
        <v>329</v>
      </c>
      <c r="C60" s="559" t="str">
        <f t="shared" si="4"/>
        <v>1.10.10.50.050.000.00.000</v>
      </c>
      <c r="D60" s="566"/>
      <c r="E60" s="561"/>
      <c r="F60" s="561"/>
      <c r="G60" s="562">
        <f t="shared" si="5"/>
        <v>0</v>
      </c>
      <c r="H60" s="563"/>
      <c r="I60" s="931"/>
      <c r="J60" s="931"/>
      <c r="K60" s="565"/>
      <c r="L60" s="565"/>
    </row>
    <row r="61" spans="1:32" s="557" customFormat="1" x14ac:dyDescent="0.25">
      <c r="A61" s="551" t="str">
        <f>+Info!$B$2</f>
        <v>724</v>
      </c>
      <c r="B61" s="559" t="s">
        <v>329</v>
      </c>
      <c r="C61" s="559" t="str">
        <f t="shared" si="4"/>
        <v>1.10.10.50.050.000.00.000</v>
      </c>
      <c r="D61" s="566"/>
      <c r="E61" s="561"/>
      <c r="F61" s="561"/>
      <c r="G61" s="562">
        <f t="shared" si="5"/>
        <v>0</v>
      </c>
      <c r="H61" s="563"/>
      <c r="I61" s="931"/>
      <c r="J61" s="931"/>
      <c r="K61" s="565"/>
      <c r="L61" s="565"/>
    </row>
    <row r="62" spans="1:32" s="557" customFormat="1" x14ac:dyDescent="0.25">
      <c r="A62" s="551" t="str">
        <f>+Info!$B$2</f>
        <v>724</v>
      </c>
      <c r="B62" s="559" t="s">
        <v>329</v>
      </c>
      <c r="C62" s="559" t="str">
        <f t="shared" si="4"/>
        <v>1.10.10.50.050.000.00.000</v>
      </c>
      <c r="D62" s="566"/>
      <c r="E62" s="561"/>
      <c r="F62" s="561"/>
      <c r="G62" s="562">
        <f t="shared" si="5"/>
        <v>0</v>
      </c>
      <c r="H62" s="563"/>
      <c r="I62" s="931"/>
      <c r="J62" s="931"/>
      <c r="K62" s="565"/>
      <c r="L62" s="565"/>
    </row>
    <row r="63" spans="1:32" s="557" customFormat="1" x14ac:dyDescent="0.25">
      <c r="A63" s="551" t="str">
        <f>+Info!$B$2</f>
        <v>724</v>
      </c>
      <c r="B63" s="559" t="s">
        <v>329</v>
      </c>
      <c r="C63" s="559" t="str">
        <f t="shared" si="4"/>
        <v>1.10.10.50.050.000.00.000</v>
      </c>
      <c r="D63" s="566"/>
      <c r="E63" s="561"/>
      <c r="F63" s="561"/>
      <c r="G63" s="562">
        <f t="shared" si="5"/>
        <v>0</v>
      </c>
      <c r="H63" s="563"/>
      <c r="I63" s="931"/>
      <c r="J63" s="931"/>
      <c r="K63" s="565"/>
      <c r="L63" s="565"/>
    </row>
    <row r="64" spans="1:32" s="557" customFormat="1" x14ac:dyDescent="0.25">
      <c r="A64" s="551" t="str">
        <f>+Info!$B$2</f>
        <v>724</v>
      </c>
      <c r="B64" s="559" t="s">
        <v>329</v>
      </c>
      <c r="C64" s="559" t="str">
        <f t="shared" si="4"/>
        <v>1.10.10.50.050.000.00.000</v>
      </c>
      <c r="D64" s="566"/>
      <c r="E64" s="561"/>
      <c r="F64" s="561"/>
      <c r="G64" s="562">
        <f t="shared" si="5"/>
        <v>0</v>
      </c>
      <c r="H64" s="563"/>
      <c r="I64" s="931"/>
      <c r="J64" s="931"/>
      <c r="K64" s="565"/>
      <c r="L64" s="565"/>
    </row>
    <row r="65" spans="1:12" s="557" customFormat="1" x14ac:dyDescent="0.25">
      <c r="A65" s="551" t="str">
        <f>+Info!$B$2</f>
        <v>724</v>
      </c>
      <c r="B65" s="559" t="s">
        <v>329</v>
      </c>
      <c r="C65" s="559" t="str">
        <f t="shared" si="4"/>
        <v>1.10.10.50.050.000.00.000</v>
      </c>
      <c r="D65" s="566"/>
      <c r="E65" s="561"/>
      <c r="F65" s="561"/>
      <c r="G65" s="562">
        <f t="shared" si="5"/>
        <v>0</v>
      </c>
      <c r="H65" s="563"/>
      <c r="I65" s="931"/>
      <c r="J65" s="931"/>
      <c r="K65" s="565"/>
      <c r="L65" s="565"/>
    </row>
    <row r="66" spans="1:12" s="557" customFormat="1" x14ac:dyDescent="0.25">
      <c r="A66" s="551" t="str">
        <f>+Info!$B$2</f>
        <v>724</v>
      </c>
      <c r="B66" s="559" t="s">
        <v>329</v>
      </c>
      <c r="C66" s="559" t="str">
        <f t="shared" si="4"/>
        <v>1.10.10.50.050.000.00.000</v>
      </c>
      <c r="D66" s="566"/>
      <c r="E66" s="561"/>
      <c r="F66" s="561"/>
      <c r="G66" s="562">
        <f t="shared" si="5"/>
        <v>0</v>
      </c>
      <c r="H66" s="563"/>
      <c r="I66" s="931"/>
      <c r="J66" s="931"/>
      <c r="K66" s="565"/>
      <c r="L66" s="565"/>
    </row>
    <row r="67" spans="1:12" s="557" customFormat="1" x14ac:dyDescent="0.25">
      <c r="A67" s="551" t="str">
        <f>+Info!$B$2</f>
        <v>724</v>
      </c>
      <c r="B67" s="559" t="s">
        <v>329</v>
      </c>
      <c r="C67" s="559" t="str">
        <f t="shared" si="4"/>
        <v>1.10.10.50.050.000.00.000</v>
      </c>
      <c r="D67" s="566"/>
      <c r="E67" s="561"/>
      <c r="F67" s="561"/>
      <c r="G67" s="562">
        <f t="shared" si="5"/>
        <v>0</v>
      </c>
      <c r="H67" s="563"/>
      <c r="I67" s="931"/>
      <c r="J67" s="931"/>
      <c r="K67" s="565"/>
      <c r="L67" s="565"/>
    </row>
    <row r="68" spans="1:12" s="557" customFormat="1" x14ac:dyDescent="0.25">
      <c r="A68" s="551" t="str">
        <f>+Info!$B$2</f>
        <v>724</v>
      </c>
      <c r="B68" s="559" t="s">
        <v>329</v>
      </c>
      <c r="C68" s="559" t="str">
        <f t="shared" si="4"/>
        <v>1.10.10.50.050.000.00.000</v>
      </c>
      <c r="D68" s="566"/>
      <c r="E68" s="561"/>
      <c r="F68" s="561"/>
      <c r="G68" s="562">
        <f t="shared" si="5"/>
        <v>0</v>
      </c>
      <c r="H68" s="563"/>
      <c r="I68" s="931"/>
      <c r="J68" s="931"/>
      <c r="K68" s="565"/>
      <c r="L68" s="565"/>
    </row>
    <row r="69" spans="1:12" s="557" customFormat="1" x14ac:dyDescent="0.25">
      <c r="A69" s="551" t="str">
        <f>+Info!$B$2</f>
        <v>724</v>
      </c>
      <c r="B69" s="559" t="s">
        <v>329</v>
      </c>
      <c r="C69" s="559" t="str">
        <f t="shared" si="4"/>
        <v>1.10.10.50.050.000.00.000</v>
      </c>
      <c r="D69" s="566"/>
      <c r="E69" s="561"/>
      <c r="F69" s="561"/>
      <c r="G69" s="562">
        <f t="shared" si="5"/>
        <v>0</v>
      </c>
      <c r="H69" s="563"/>
      <c r="I69" s="931"/>
      <c r="J69" s="931"/>
      <c r="K69" s="565"/>
      <c r="L69" s="565"/>
    </row>
    <row r="70" spans="1:12" s="557" customFormat="1" x14ac:dyDescent="0.25">
      <c r="A70" s="551" t="str">
        <f>+Info!$B$2</f>
        <v>724</v>
      </c>
      <c r="B70" s="559" t="s">
        <v>329</v>
      </c>
      <c r="C70" s="559" t="str">
        <f t="shared" si="4"/>
        <v>1.10.10.50.050.000.00.000</v>
      </c>
      <c r="D70" s="566"/>
      <c r="E70" s="561"/>
      <c r="F70" s="561"/>
      <c r="G70" s="562">
        <f t="shared" si="5"/>
        <v>0</v>
      </c>
      <c r="H70" s="563"/>
      <c r="I70" s="931"/>
      <c r="J70" s="931"/>
      <c r="K70" s="565"/>
      <c r="L70" s="565"/>
    </row>
    <row r="71" spans="1:12" s="557" customFormat="1" x14ac:dyDescent="0.25">
      <c r="A71" s="551" t="str">
        <f>+Info!$B$2</f>
        <v>724</v>
      </c>
      <c r="B71" s="559" t="s">
        <v>329</v>
      </c>
      <c r="C71" s="559" t="str">
        <f t="shared" si="4"/>
        <v>1.10.10.50.050.000.00.000</v>
      </c>
      <c r="D71" s="566"/>
      <c r="E71" s="561"/>
      <c r="F71" s="561"/>
      <c r="G71" s="562">
        <f t="shared" si="5"/>
        <v>0</v>
      </c>
      <c r="H71" s="563"/>
      <c r="I71" s="931"/>
      <c r="J71" s="931"/>
      <c r="K71" s="565"/>
      <c r="L71" s="565"/>
    </row>
    <row r="72" spans="1:12" s="557" customFormat="1" x14ac:dyDescent="0.25">
      <c r="A72" s="551" t="str">
        <f>+Info!$B$2</f>
        <v>724</v>
      </c>
      <c r="B72" s="559" t="s">
        <v>329</v>
      </c>
      <c r="C72" s="559" t="str">
        <f t="shared" si="4"/>
        <v>1.10.10.50.050.000.00.000</v>
      </c>
      <c r="D72" s="566"/>
      <c r="E72" s="561"/>
      <c r="F72" s="561"/>
      <c r="G72" s="562">
        <f t="shared" si="5"/>
        <v>0</v>
      </c>
      <c r="H72" s="563"/>
      <c r="I72" s="931"/>
      <c r="J72" s="931"/>
      <c r="K72" s="565"/>
      <c r="L72" s="565"/>
    </row>
    <row r="73" spans="1:12" s="557" customFormat="1" x14ac:dyDescent="0.25">
      <c r="A73" s="551" t="str">
        <f>+Info!$B$2</f>
        <v>724</v>
      </c>
      <c r="B73" s="559" t="s">
        <v>329</v>
      </c>
      <c r="C73" s="559" t="str">
        <f t="shared" si="4"/>
        <v>1.10.10.50.050.000.00.000</v>
      </c>
      <c r="D73" s="566"/>
      <c r="E73" s="561"/>
      <c r="F73" s="561"/>
      <c r="G73" s="562">
        <f t="shared" si="5"/>
        <v>0</v>
      </c>
      <c r="H73" s="563"/>
      <c r="I73" s="931"/>
      <c r="J73" s="931"/>
      <c r="K73" s="565"/>
      <c r="L73" s="565"/>
    </row>
    <row r="74" spans="1:12" s="557" customFormat="1" x14ac:dyDescent="0.25">
      <c r="A74" s="551" t="str">
        <f>+Info!$B$2</f>
        <v>724</v>
      </c>
      <c r="B74" s="559" t="s">
        <v>329</v>
      </c>
      <c r="C74" s="559" t="str">
        <f t="shared" si="4"/>
        <v>1.10.10.50.050.000.00.000</v>
      </c>
      <c r="D74" s="566"/>
      <c r="E74" s="561"/>
      <c r="F74" s="561"/>
      <c r="G74" s="562">
        <f t="shared" si="5"/>
        <v>0</v>
      </c>
      <c r="H74" s="563"/>
      <c r="I74" s="931"/>
      <c r="J74" s="931"/>
      <c r="K74" s="565"/>
      <c r="L74" s="565"/>
    </row>
    <row r="75" spans="1:12" s="557" customFormat="1" x14ac:dyDescent="0.25">
      <c r="A75" s="551" t="str">
        <f>+Info!$B$2</f>
        <v>724</v>
      </c>
      <c r="B75" s="559" t="s">
        <v>329</v>
      </c>
      <c r="C75" s="559" t="str">
        <f t="shared" si="4"/>
        <v>1.10.10.50.050.000.00.000</v>
      </c>
      <c r="D75" s="566"/>
      <c r="E75" s="561"/>
      <c r="F75" s="561"/>
      <c r="G75" s="562">
        <f t="shared" si="5"/>
        <v>0</v>
      </c>
      <c r="H75" s="563"/>
      <c r="I75" s="931"/>
      <c r="J75" s="931"/>
      <c r="K75" s="565"/>
      <c r="L75" s="565"/>
    </row>
    <row r="76" spans="1:12" s="557" customFormat="1" x14ac:dyDescent="0.25">
      <c r="A76" s="551" t="str">
        <f>+Info!$B$2</f>
        <v>724</v>
      </c>
      <c r="B76" s="559" t="s">
        <v>329</v>
      </c>
      <c r="C76" s="559" t="str">
        <f t="shared" si="4"/>
        <v>1.10.10.50.050.000.00.000</v>
      </c>
      <c r="D76" s="566"/>
      <c r="E76" s="561"/>
      <c r="F76" s="561"/>
      <c r="G76" s="562">
        <f t="shared" si="5"/>
        <v>0</v>
      </c>
      <c r="H76" s="563"/>
      <c r="I76" s="931"/>
      <c r="J76" s="931"/>
      <c r="K76" s="565"/>
      <c r="L76" s="565"/>
    </row>
    <row r="77" spans="1:12" s="557" customFormat="1" x14ac:dyDescent="0.25">
      <c r="A77" s="551" t="str">
        <f>+Info!$B$2</f>
        <v>724</v>
      </c>
      <c r="B77" s="559" t="s">
        <v>329</v>
      </c>
      <c r="C77" s="559" t="str">
        <f t="shared" si="4"/>
        <v>1.10.10.50.050.000.00.000</v>
      </c>
      <c r="D77" s="566"/>
      <c r="E77" s="561"/>
      <c r="F77" s="561"/>
      <c r="G77" s="562">
        <f t="shared" si="5"/>
        <v>0</v>
      </c>
      <c r="H77" s="563"/>
      <c r="I77" s="931"/>
      <c r="J77" s="931"/>
      <c r="K77" s="565"/>
      <c r="L77" s="565"/>
    </row>
    <row r="78" spans="1:12" s="557" customFormat="1" x14ac:dyDescent="0.25">
      <c r="A78" s="551" t="str">
        <f>+Info!$B$2</f>
        <v>724</v>
      </c>
      <c r="B78" s="559" t="s">
        <v>329</v>
      </c>
      <c r="C78" s="559" t="str">
        <f t="shared" si="4"/>
        <v>1.10.10.50.050.000.00.000</v>
      </c>
      <c r="D78" s="566"/>
      <c r="E78" s="561"/>
      <c r="F78" s="561"/>
      <c r="G78" s="562">
        <f t="shared" si="5"/>
        <v>0</v>
      </c>
      <c r="H78" s="563"/>
      <c r="I78" s="931"/>
      <c r="J78" s="931"/>
      <c r="K78" s="565"/>
      <c r="L78" s="565"/>
    </row>
    <row r="79" spans="1:12" s="557" customFormat="1" x14ac:dyDescent="0.25">
      <c r="A79" s="551" t="str">
        <f>+Info!$B$2</f>
        <v>724</v>
      </c>
      <c r="B79" s="551"/>
      <c r="C79" s="551"/>
      <c r="D79" s="565"/>
      <c r="E79" s="567">
        <f>SUM(E58:E78)</f>
        <v>0</v>
      </c>
      <c r="F79" s="567">
        <f>SUM(F58:F78)</f>
        <v>0</v>
      </c>
      <c r="G79" s="568">
        <f>SUM(G58:G78)</f>
        <v>0</v>
      </c>
      <c r="H79" s="569">
        <f>SUMIF('NI-San_SP'!$C:$C,$C$55,'NI-San_SP'!$O:$O)</f>
        <v>0</v>
      </c>
      <c r="I79" s="928" t="str">
        <f>IF(G79=H79,"Quadratura OK!","Squadratura con valori di Bilancio")</f>
        <v>Quadratura OK!</v>
      </c>
      <c r="J79" s="928"/>
      <c r="K79" s="565"/>
      <c r="L79" s="565"/>
    </row>
    <row r="80" spans="1:12" s="557" customFormat="1" x14ac:dyDescent="0.25">
      <c r="A80" s="551" t="str">
        <f>+Info!$B$2</f>
        <v>724</v>
      </c>
      <c r="B80" s="551"/>
      <c r="C80" s="551"/>
      <c r="D80" s="551"/>
      <c r="E80" s="551"/>
      <c r="F80" s="551"/>
      <c r="G80" s="551"/>
      <c r="H80" s="551"/>
      <c r="I80" s="551"/>
      <c r="J80" s="551"/>
      <c r="K80" s="565"/>
      <c r="L80" s="565"/>
    </row>
    <row r="81" spans="1:32" s="557" customFormat="1" x14ac:dyDescent="0.25">
      <c r="A81" s="551" t="str">
        <f>+Info!$B$2</f>
        <v>724</v>
      </c>
      <c r="B81" s="551"/>
      <c r="C81" s="551"/>
      <c r="D81" s="551"/>
      <c r="E81" s="551"/>
      <c r="F81" s="551"/>
      <c r="G81" s="551"/>
      <c r="H81" s="551"/>
      <c r="I81" s="551"/>
      <c r="J81" s="551"/>
      <c r="K81" s="565"/>
      <c r="L81" s="565"/>
    </row>
    <row r="82" spans="1:32" s="557" customFormat="1" x14ac:dyDescent="0.25">
      <c r="A82" s="551" t="str">
        <f>+Info!$B$2</f>
        <v>724</v>
      </c>
      <c r="B82" s="551"/>
      <c r="C82" s="551"/>
      <c r="D82" s="551"/>
      <c r="E82" s="551"/>
      <c r="F82" s="551"/>
      <c r="G82" s="551"/>
      <c r="H82" s="551"/>
      <c r="I82" s="551"/>
      <c r="J82" s="551"/>
      <c r="K82" s="565"/>
      <c r="L82" s="565"/>
    </row>
    <row r="83" spans="1:32" s="557" customFormat="1" ht="15" customHeight="1" x14ac:dyDescent="0.25">
      <c r="A83" s="551" t="str">
        <f>+Info!$B$2</f>
        <v>724</v>
      </c>
      <c r="B83" s="551"/>
      <c r="C83" s="551"/>
      <c r="D83" s="572" t="s">
        <v>4221</v>
      </c>
      <c r="E83" s="573" t="s">
        <v>4222</v>
      </c>
      <c r="F83" s="573" t="s">
        <v>4223</v>
      </c>
      <c r="G83" s="574" t="s">
        <v>4224</v>
      </c>
      <c r="H83" s="551"/>
      <c r="I83" s="551"/>
      <c r="J83" s="932"/>
      <c r="K83" s="565"/>
      <c r="L83" s="565"/>
    </row>
    <row r="84" spans="1:32" s="557" customFormat="1" x14ac:dyDescent="0.25">
      <c r="A84" s="551" t="str">
        <f>+Info!$B$2</f>
        <v>724</v>
      </c>
      <c r="B84" s="274" t="s">
        <v>893</v>
      </c>
      <c r="C84" s="274" t="s">
        <v>894</v>
      </c>
      <c r="D84" s="575" t="s">
        <v>4225</v>
      </c>
      <c r="E84" s="576">
        <f>SUM(E85:E97)</f>
        <v>1523350</v>
      </c>
      <c r="F84" s="576">
        <f>SUM(F85:F97)</f>
        <v>1523105</v>
      </c>
      <c r="G84" s="576">
        <f>SUM(G85:G97)</f>
        <v>245</v>
      </c>
      <c r="H84" s="928" t="str">
        <f>IF(G84=H85,"Quadratura OK!","Squadratura con valori di bilancio!")</f>
        <v>Quadratura OK!</v>
      </c>
      <c r="I84" s="928"/>
      <c r="J84" s="932"/>
      <c r="K84" s="565"/>
      <c r="L84" s="565"/>
      <c r="AC84" s="557" t="str">
        <f>C84</f>
        <v>1.10.20.80.010.060.00.000</v>
      </c>
      <c r="AD84" s="577">
        <f>G84</f>
        <v>245</v>
      </c>
      <c r="AE84" s="570">
        <f>H85</f>
        <v>245</v>
      </c>
      <c r="AF84" s="551">
        <f>IF($AD84=$AE84,0,1)</f>
        <v>0</v>
      </c>
    </row>
    <row r="85" spans="1:32" s="557" customFormat="1" x14ac:dyDescent="0.25">
      <c r="A85" s="551" t="str">
        <f>+Info!$B$2</f>
        <v>724</v>
      </c>
      <c r="B85" s="551"/>
      <c r="C85" s="551"/>
      <c r="D85" s="578" t="s">
        <v>4226</v>
      </c>
      <c r="E85" s="579">
        <v>1523350</v>
      </c>
      <c r="F85" s="579">
        <v>1523105</v>
      </c>
      <c r="G85" s="580">
        <f t="shared" ref="G85:G97" si="6">+E85-F85</f>
        <v>245</v>
      </c>
      <c r="H85" s="569">
        <f>SUMIF('NI-San_SP'!$C:$C,$C84,'NI-San_SP'!$O:$O)-SUMIF('NI-San_SP'!$C:$C,"1.10.20.80.020.060.00.000",'NI-San_SP'!$O:$O)</f>
        <v>245</v>
      </c>
      <c r="I85" s="551"/>
      <c r="J85" s="581"/>
      <c r="K85" s="565"/>
      <c r="L85" s="565"/>
    </row>
    <row r="86" spans="1:32" s="557" customFormat="1" x14ac:dyDescent="0.25">
      <c r="A86" s="551" t="str">
        <f>+Info!$B$2</f>
        <v>724</v>
      </c>
      <c r="B86" s="551"/>
      <c r="C86" s="551"/>
      <c r="D86" s="578"/>
      <c r="E86" s="579"/>
      <c r="F86" s="579"/>
      <c r="G86" s="580">
        <f t="shared" si="6"/>
        <v>0</v>
      </c>
      <c r="H86" s="551"/>
      <c r="I86" s="551"/>
      <c r="J86" s="581"/>
      <c r="K86" s="565"/>
      <c r="L86" s="565"/>
    </row>
    <row r="87" spans="1:32" s="557" customFormat="1" x14ac:dyDescent="0.25">
      <c r="A87" s="551" t="str">
        <f>+Info!$B$2</f>
        <v>724</v>
      </c>
      <c r="B87" s="551"/>
      <c r="C87" s="551"/>
      <c r="D87" s="578"/>
      <c r="E87" s="579"/>
      <c r="F87" s="579"/>
      <c r="G87" s="580">
        <f t="shared" si="6"/>
        <v>0</v>
      </c>
      <c r="H87" s="551"/>
      <c r="I87" s="551"/>
      <c r="J87" s="581"/>
      <c r="K87" s="565"/>
      <c r="L87" s="565"/>
    </row>
    <row r="88" spans="1:32" s="557" customFormat="1" x14ac:dyDescent="0.25">
      <c r="A88" s="551" t="str">
        <f>+Info!$B$2</f>
        <v>724</v>
      </c>
      <c r="B88" s="551"/>
      <c r="C88" s="551"/>
      <c r="D88" s="578"/>
      <c r="E88" s="579"/>
      <c r="F88" s="579"/>
      <c r="G88" s="580">
        <f t="shared" si="6"/>
        <v>0</v>
      </c>
      <c r="H88" s="551"/>
      <c r="I88" s="551"/>
      <c r="J88" s="581"/>
      <c r="K88" s="565"/>
      <c r="L88" s="565"/>
    </row>
    <row r="89" spans="1:32" s="557" customFormat="1" x14ac:dyDescent="0.25">
      <c r="A89" s="551" t="str">
        <f>+Info!$B$2</f>
        <v>724</v>
      </c>
      <c r="B89" s="551"/>
      <c r="C89" s="551"/>
      <c r="D89" s="578"/>
      <c r="E89" s="579"/>
      <c r="F89" s="579"/>
      <c r="G89" s="580">
        <f t="shared" si="6"/>
        <v>0</v>
      </c>
      <c r="H89" s="551"/>
      <c r="I89" s="551"/>
      <c r="K89" s="565"/>
      <c r="L89" s="565"/>
    </row>
    <row r="90" spans="1:32" s="557" customFormat="1" x14ac:dyDescent="0.25">
      <c r="A90" s="551" t="str">
        <f>+Info!$B$2</f>
        <v>724</v>
      </c>
      <c r="B90" s="551"/>
      <c r="C90" s="551"/>
      <c r="D90" s="578"/>
      <c r="E90" s="579"/>
      <c r="F90" s="579"/>
      <c r="G90" s="580">
        <f t="shared" si="6"/>
        <v>0</v>
      </c>
      <c r="H90" s="551"/>
      <c r="I90" s="551"/>
      <c r="K90" s="565"/>
      <c r="L90" s="565"/>
    </row>
    <row r="91" spans="1:32" s="557" customFormat="1" x14ac:dyDescent="0.25">
      <c r="A91" s="551" t="str">
        <f>+Info!$B$2</f>
        <v>724</v>
      </c>
      <c r="B91" s="551"/>
      <c r="C91" s="551"/>
      <c r="D91" s="578"/>
      <c r="E91" s="579"/>
      <c r="F91" s="579"/>
      <c r="G91" s="580">
        <f t="shared" si="6"/>
        <v>0</v>
      </c>
      <c r="H91" s="551"/>
      <c r="I91" s="551"/>
      <c r="K91" s="565"/>
      <c r="L91" s="565"/>
    </row>
    <row r="92" spans="1:32" s="557" customFormat="1" x14ac:dyDescent="0.25">
      <c r="A92" s="551" t="str">
        <f>+Info!$B$2</f>
        <v>724</v>
      </c>
      <c r="B92" s="551"/>
      <c r="C92" s="551"/>
      <c r="D92" s="578"/>
      <c r="E92" s="579"/>
      <c r="F92" s="579"/>
      <c r="G92" s="580">
        <f t="shared" si="6"/>
        <v>0</v>
      </c>
      <c r="H92" s="551"/>
      <c r="I92" s="551"/>
      <c r="K92" s="565"/>
      <c r="L92" s="565"/>
    </row>
    <row r="93" spans="1:32" s="557" customFormat="1" x14ac:dyDescent="0.25">
      <c r="A93" s="551" t="str">
        <f>+Info!$B$2</f>
        <v>724</v>
      </c>
      <c r="B93" s="551"/>
      <c r="C93" s="551"/>
      <c r="D93" s="578"/>
      <c r="E93" s="579"/>
      <c r="F93" s="579"/>
      <c r="G93" s="580">
        <f t="shared" si="6"/>
        <v>0</v>
      </c>
      <c r="H93" s="551"/>
      <c r="I93" s="551"/>
      <c r="K93" s="565"/>
      <c r="L93" s="565"/>
    </row>
    <row r="94" spans="1:32" s="557" customFormat="1" x14ac:dyDescent="0.25">
      <c r="A94" s="551" t="str">
        <f>+Info!$B$2</f>
        <v>724</v>
      </c>
      <c r="B94" s="551"/>
      <c r="C94" s="551"/>
      <c r="D94" s="578"/>
      <c r="E94" s="579"/>
      <c r="F94" s="579"/>
      <c r="G94" s="580">
        <f t="shared" si="6"/>
        <v>0</v>
      </c>
      <c r="H94" s="551"/>
      <c r="I94" s="551"/>
      <c r="K94" s="565"/>
      <c r="L94" s="565"/>
    </row>
    <row r="95" spans="1:32" s="557" customFormat="1" x14ac:dyDescent="0.25">
      <c r="A95" s="551" t="str">
        <f>+Info!$B$2</f>
        <v>724</v>
      </c>
      <c r="B95" s="551"/>
      <c r="C95" s="551"/>
      <c r="D95" s="578"/>
      <c r="E95" s="579"/>
      <c r="F95" s="579"/>
      <c r="G95" s="580">
        <f t="shared" si="6"/>
        <v>0</v>
      </c>
      <c r="H95" s="551"/>
      <c r="I95" s="551"/>
      <c r="K95" s="565"/>
      <c r="L95" s="565"/>
    </row>
    <row r="96" spans="1:32" s="557" customFormat="1" x14ac:dyDescent="0.25">
      <c r="A96" s="551" t="str">
        <f>+Info!$B$2</f>
        <v>724</v>
      </c>
      <c r="B96" s="551"/>
      <c r="C96" s="551"/>
      <c r="D96" s="578"/>
      <c r="E96" s="579"/>
      <c r="F96" s="579"/>
      <c r="G96" s="580">
        <f t="shared" si="6"/>
        <v>0</v>
      </c>
      <c r="K96" s="565"/>
      <c r="L96" s="565"/>
    </row>
    <row r="97" spans="1:32" s="557" customFormat="1" x14ac:dyDescent="0.25">
      <c r="A97" s="551" t="str">
        <f>+Info!$B$2</f>
        <v>724</v>
      </c>
      <c r="B97" s="551"/>
      <c r="C97" s="551"/>
      <c r="D97" s="578"/>
      <c r="E97" s="579"/>
      <c r="F97" s="579"/>
      <c r="G97" s="580">
        <f t="shared" si="6"/>
        <v>0</v>
      </c>
      <c r="K97" s="565"/>
      <c r="L97" s="565"/>
    </row>
    <row r="98" spans="1:32" s="557" customFormat="1" x14ac:dyDescent="0.25">
      <c r="A98" s="551" t="str">
        <f>+Info!$B$2</f>
        <v>724</v>
      </c>
      <c r="B98" s="274" t="s">
        <v>896</v>
      </c>
      <c r="C98" s="274" t="s">
        <v>897</v>
      </c>
      <c r="D98" s="575" t="s">
        <v>4227</v>
      </c>
      <c r="E98" s="576">
        <f>SUM(E99:E111)</f>
        <v>1588515</v>
      </c>
      <c r="F98" s="576">
        <f>SUM(F99:F111)</f>
        <v>1000851</v>
      </c>
      <c r="G98" s="576">
        <f>SUM(G99:G111)</f>
        <v>587664</v>
      </c>
      <c r="H98" s="928" t="str">
        <f>IF(G98=H99,"Quadratura OK!","Squadratura con valori di bilancio!")</f>
        <v>Quadratura OK!</v>
      </c>
      <c r="I98" s="928"/>
      <c r="K98" s="565"/>
      <c r="L98" s="565"/>
      <c r="AC98" s="557" t="str">
        <f>C98</f>
        <v>1.10.20.80.010.062.00.000</v>
      </c>
      <c r="AD98" s="577">
        <f>G98</f>
        <v>587664</v>
      </c>
      <c r="AE98" s="570">
        <f>H99</f>
        <v>587664</v>
      </c>
      <c r="AF98" s="551">
        <f>IF($AD98=$AE98,0,1)</f>
        <v>0</v>
      </c>
    </row>
    <row r="99" spans="1:32" s="557" customFormat="1" x14ac:dyDescent="0.25">
      <c r="A99" s="551" t="str">
        <f>+Info!$B$2</f>
        <v>724</v>
      </c>
      <c r="B99" s="551"/>
      <c r="C99" s="551"/>
      <c r="D99" s="578" t="s">
        <v>4226</v>
      </c>
      <c r="E99" s="579">
        <v>1588515</v>
      </c>
      <c r="F99" s="579">
        <f>1000850+1</f>
        <v>1000851</v>
      </c>
      <c r="G99" s="580">
        <f t="shared" ref="G99:G111" si="7">+E99-F99</f>
        <v>587664</v>
      </c>
      <c r="H99" s="569">
        <f>SUMIF('NI-San_SP'!$C:$C,$C98,'NI-San_SP'!$O:$O)-SUMIF('NI-San_SP'!$C:$C,"1.10.20.80.020.062.00.000",'NI-San_SP'!$O:$O)</f>
        <v>587664</v>
      </c>
      <c r="K99" s="565"/>
      <c r="L99" s="565"/>
    </row>
    <row r="100" spans="1:32" s="557" customFormat="1" x14ac:dyDescent="0.25">
      <c r="A100" s="551" t="str">
        <f>+Info!$B$2</f>
        <v>724</v>
      </c>
      <c r="B100" s="551"/>
      <c r="C100" s="551"/>
      <c r="D100" s="578"/>
      <c r="E100" s="579"/>
      <c r="F100" s="579"/>
      <c r="G100" s="580">
        <f t="shared" si="7"/>
        <v>0</v>
      </c>
      <c r="K100" s="565"/>
      <c r="L100" s="565"/>
    </row>
    <row r="101" spans="1:32" s="557" customFormat="1" x14ac:dyDescent="0.25">
      <c r="A101" s="551" t="str">
        <f>+Info!$B$2</f>
        <v>724</v>
      </c>
      <c r="B101" s="551"/>
      <c r="C101" s="551"/>
      <c r="D101" s="578"/>
      <c r="E101" s="579"/>
      <c r="F101" s="579"/>
      <c r="G101" s="580">
        <f t="shared" si="7"/>
        <v>0</v>
      </c>
      <c r="K101" s="565"/>
      <c r="L101" s="565"/>
    </row>
    <row r="102" spans="1:32" s="557" customFormat="1" x14ac:dyDescent="0.25">
      <c r="A102" s="551" t="str">
        <f>+Info!$B$2</f>
        <v>724</v>
      </c>
      <c r="B102" s="551"/>
      <c r="C102" s="551"/>
      <c r="D102" s="578"/>
      <c r="E102" s="579"/>
      <c r="F102" s="579"/>
      <c r="G102" s="580">
        <f t="shared" si="7"/>
        <v>0</v>
      </c>
      <c r="K102" s="565"/>
      <c r="L102" s="565"/>
    </row>
    <row r="103" spans="1:32" s="557" customFormat="1" x14ac:dyDescent="0.25">
      <c r="A103" s="551" t="str">
        <f>+Info!$B$2</f>
        <v>724</v>
      </c>
      <c r="B103" s="551"/>
      <c r="C103" s="551"/>
      <c r="D103" s="578"/>
      <c r="E103" s="579"/>
      <c r="F103" s="579"/>
      <c r="G103" s="580">
        <f t="shared" si="7"/>
        <v>0</v>
      </c>
      <c r="K103" s="565"/>
      <c r="L103" s="565"/>
    </row>
    <row r="104" spans="1:32" s="557" customFormat="1" x14ac:dyDescent="0.25">
      <c r="A104" s="551" t="str">
        <f>+Info!$B$2</f>
        <v>724</v>
      </c>
      <c r="B104" s="551"/>
      <c r="C104" s="551"/>
      <c r="D104" s="578"/>
      <c r="E104" s="579"/>
      <c r="F104" s="579"/>
      <c r="G104" s="580">
        <f t="shared" si="7"/>
        <v>0</v>
      </c>
      <c r="K104" s="565"/>
      <c r="L104" s="565"/>
    </row>
    <row r="105" spans="1:32" s="557" customFormat="1" x14ac:dyDescent="0.25">
      <c r="A105" s="551" t="str">
        <f>+Info!$B$2</f>
        <v>724</v>
      </c>
      <c r="B105" s="551"/>
      <c r="C105" s="551"/>
      <c r="D105" s="578"/>
      <c r="E105" s="579"/>
      <c r="F105" s="579"/>
      <c r="G105" s="580">
        <f t="shared" si="7"/>
        <v>0</v>
      </c>
      <c r="K105" s="565"/>
      <c r="L105" s="565"/>
    </row>
    <row r="106" spans="1:32" s="557" customFormat="1" x14ac:dyDescent="0.25">
      <c r="A106" s="551" t="str">
        <f>+Info!$B$2</f>
        <v>724</v>
      </c>
      <c r="B106" s="551"/>
      <c r="C106" s="551"/>
      <c r="D106" s="578"/>
      <c r="E106" s="579"/>
      <c r="F106" s="579"/>
      <c r="G106" s="580">
        <f t="shared" si="7"/>
        <v>0</v>
      </c>
      <c r="K106" s="565"/>
      <c r="L106" s="565"/>
    </row>
    <row r="107" spans="1:32" s="557" customFormat="1" x14ac:dyDescent="0.25">
      <c r="A107" s="551" t="str">
        <f>+Info!$B$2</f>
        <v>724</v>
      </c>
      <c r="B107" s="551"/>
      <c r="C107" s="551"/>
      <c r="D107" s="578"/>
      <c r="E107" s="579"/>
      <c r="F107" s="579"/>
      <c r="G107" s="580">
        <f t="shared" si="7"/>
        <v>0</v>
      </c>
      <c r="K107" s="565"/>
      <c r="L107" s="565"/>
    </row>
    <row r="108" spans="1:32" s="557" customFormat="1" x14ac:dyDescent="0.25">
      <c r="A108" s="551" t="str">
        <f>+Info!$B$2</f>
        <v>724</v>
      </c>
      <c r="B108" s="551"/>
      <c r="C108" s="551"/>
      <c r="D108" s="578"/>
      <c r="E108" s="579"/>
      <c r="F108" s="579"/>
      <c r="G108" s="580">
        <f t="shared" si="7"/>
        <v>0</v>
      </c>
      <c r="K108" s="565"/>
      <c r="L108" s="565"/>
    </row>
    <row r="109" spans="1:32" s="557" customFormat="1" x14ac:dyDescent="0.25">
      <c r="A109" s="551" t="str">
        <f>+Info!$B$2</f>
        <v>724</v>
      </c>
      <c r="B109" s="551"/>
      <c r="C109" s="551"/>
      <c r="D109" s="578"/>
      <c r="E109" s="579"/>
      <c r="F109" s="579"/>
      <c r="G109" s="580">
        <f t="shared" si="7"/>
        <v>0</v>
      </c>
      <c r="K109" s="565"/>
      <c r="L109" s="565"/>
    </row>
    <row r="110" spans="1:32" s="557" customFormat="1" x14ac:dyDescent="0.25">
      <c r="A110" s="551" t="str">
        <f>+Info!$B$2</f>
        <v>724</v>
      </c>
      <c r="B110" s="551"/>
      <c r="C110" s="551"/>
      <c r="D110" s="578"/>
      <c r="E110" s="579"/>
      <c r="F110" s="579"/>
      <c r="G110" s="580">
        <f t="shared" si="7"/>
        <v>0</v>
      </c>
      <c r="H110" s="551"/>
      <c r="I110" s="551"/>
      <c r="J110" s="551"/>
      <c r="K110" s="565"/>
      <c r="L110" s="565"/>
    </row>
    <row r="111" spans="1:32" s="557" customFormat="1" x14ac:dyDescent="0.25">
      <c r="A111" s="551" t="str">
        <f>+Info!$B$2</f>
        <v>724</v>
      </c>
      <c r="B111" s="551"/>
      <c r="C111" s="551"/>
      <c r="D111" s="578"/>
      <c r="E111" s="579"/>
      <c r="F111" s="579"/>
      <c r="G111" s="580">
        <f t="shared" si="7"/>
        <v>0</v>
      </c>
      <c r="H111" s="551"/>
      <c r="I111" s="551"/>
      <c r="J111" s="551"/>
      <c r="K111" s="565"/>
      <c r="L111" s="565"/>
    </row>
    <row r="112" spans="1:32" s="557" customFormat="1" x14ac:dyDescent="0.25">
      <c r="A112" s="551" t="str">
        <f>+Info!$B$2</f>
        <v>724</v>
      </c>
      <c r="B112" s="551"/>
      <c r="C112" s="551"/>
      <c r="D112" s="551"/>
      <c r="E112" s="551"/>
      <c r="F112" s="551"/>
      <c r="G112" s="551"/>
      <c r="H112" s="551"/>
      <c r="I112" s="551"/>
      <c r="J112" s="551"/>
      <c r="K112" s="565"/>
      <c r="L112" s="565"/>
    </row>
    <row r="113" spans="1:32" s="557" customFormat="1" x14ac:dyDescent="0.25">
      <c r="A113" s="551" t="str">
        <f>+Info!$B$2</f>
        <v>724</v>
      </c>
      <c r="B113" s="551"/>
      <c r="C113" s="551"/>
      <c r="D113" s="551"/>
      <c r="E113" s="551"/>
      <c r="F113" s="551"/>
      <c r="G113" s="551"/>
      <c r="H113" s="551"/>
      <c r="I113" s="551"/>
      <c r="J113" s="551"/>
      <c r="K113" s="565"/>
      <c r="L113" s="565"/>
    </row>
    <row r="114" spans="1:32" s="557" customFormat="1" x14ac:dyDescent="0.25">
      <c r="A114" s="551" t="str">
        <f>+Info!$B$2</f>
        <v>724</v>
      </c>
      <c r="B114" s="551"/>
      <c r="C114" s="551"/>
      <c r="D114" s="551"/>
      <c r="E114" s="551"/>
      <c r="F114" s="551"/>
      <c r="G114" s="551"/>
      <c r="H114" s="551"/>
      <c r="I114" s="551"/>
      <c r="J114" s="551"/>
      <c r="K114" s="565"/>
      <c r="L114" s="565"/>
    </row>
    <row r="115" spans="1:32" s="557" customFormat="1" ht="15" customHeight="1" x14ac:dyDescent="0.25">
      <c r="A115" s="551" t="str">
        <f>+Info!$B$2</f>
        <v>724</v>
      </c>
      <c r="B115" s="551"/>
      <c r="C115" s="551"/>
      <c r="F115" s="919" t="s">
        <v>4228</v>
      </c>
      <c r="G115" s="919" t="s">
        <v>4206</v>
      </c>
      <c r="H115" s="919"/>
      <c r="I115" s="919"/>
      <c r="J115" s="919"/>
      <c r="K115" s="565"/>
      <c r="L115" s="565"/>
    </row>
    <row r="116" spans="1:32" s="557" customFormat="1" ht="36" customHeight="1" x14ac:dyDescent="0.25">
      <c r="A116" s="551" t="str">
        <f>+Info!$B$2</f>
        <v>724</v>
      </c>
      <c r="B116" s="582" t="s">
        <v>940</v>
      </c>
      <c r="C116" s="582" t="s">
        <v>941</v>
      </c>
      <c r="D116" s="921" t="s">
        <v>4229</v>
      </c>
      <c r="E116" s="921"/>
      <c r="F116" s="919"/>
      <c r="G116" s="340" t="s">
        <v>4230</v>
      </c>
      <c r="H116" s="340" t="s">
        <v>4210</v>
      </c>
      <c r="I116" s="340" t="s">
        <v>4231</v>
      </c>
      <c r="J116" s="340" t="s">
        <v>4232</v>
      </c>
      <c r="K116" s="565"/>
      <c r="L116" s="565"/>
    </row>
    <row r="117" spans="1:32" s="557" customFormat="1" x14ac:dyDescent="0.25">
      <c r="A117" s="551" t="str">
        <f>+Info!$B$2</f>
        <v>724</v>
      </c>
      <c r="B117" s="559" t="s">
        <v>940</v>
      </c>
      <c r="C117" s="559" t="str">
        <f t="shared" ref="C117:C130" si="8">$C$116</f>
        <v>1.10.20.90.000.000.00.000</v>
      </c>
      <c r="D117" s="929" t="s">
        <v>4233</v>
      </c>
      <c r="E117" s="929"/>
      <c r="F117" s="563" t="s">
        <v>4234</v>
      </c>
      <c r="G117" s="583">
        <v>66221</v>
      </c>
      <c r="H117" s="583">
        <v>4</v>
      </c>
      <c r="I117" s="583"/>
      <c r="J117" s="584">
        <f t="shared" ref="J117:J130" si="9">+G117+H117+I117</f>
        <v>66225</v>
      </c>
      <c r="K117" s="565"/>
      <c r="L117" s="565"/>
      <c r="AC117" s="557" t="str">
        <f>C116</f>
        <v>1.10.20.90.000.000.00.000</v>
      </c>
      <c r="AD117" s="577">
        <f>J131</f>
        <v>1212142</v>
      </c>
      <c r="AE117" s="570">
        <f>E131</f>
        <v>1212142</v>
      </c>
      <c r="AF117" s="551">
        <f>IF($AD117=$AE117,0,1)</f>
        <v>0</v>
      </c>
    </row>
    <row r="118" spans="1:32" s="557" customFormat="1" x14ac:dyDescent="0.25">
      <c r="A118" s="551" t="str">
        <f>+Info!$B$2</f>
        <v>724</v>
      </c>
      <c r="B118" s="559" t="s">
        <v>940</v>
      </c>
      <c r="C118" s="559" t="str">
        <f t="shared" si="8"/>
        <v>1.10.20.90.000.000.00.000</v>
      </c>
      <c r="D118" s="929" t="s">
        <v>4235</v>
      </c>
      <c r="E118" s="929"/>
      <c r="F118" s="563" t="s">
        <v>4236</v>
      </c>
      <c r="G118" s="583">
        <v>696000</v>
      </c>
      <c r="H118" s="583"/>
      <c r="I118" s="583">
        <v>-696000</v>
      </c>
      <c r="J118" s="584">
        <f t="shared" si="9"/>
        <v>0</v>
      </c>
      <c r="K118" s="565"/>
      <c r="L118" s="565"/>
    </row>
    <row r="119" spans="1:32" s="557" customFormat="1" x14ac:dyDescent="0.25">
      <c r="A119" s="551" t="str">
        <f>+Info!$B$2</f>
        <v>724</v>
      </c>
      <c r="B119" s="559" t="s">
        <v>940</v>
      </c>
      <c r="C119" s="559" t="str">
        <f t="shared" si="8"/>
        <v>1.10.20.90.000.000.00.000</v>
      </c>
      <c r="D119" s="929" t="s">
        <v>4237</v>
      </c>
      <c r="E119" s="929"/>
      <c r="F119" s="563" t="s">
        <v>4238</v>
      </c>
      <c r="G119" s="583">
        <v>0</v>
      </c>
      <c r="H119" s="583">
        <v>62683</v>
      </c>
      <c r="I119" s="583"/>
      <c r="J119" s="584">
        <f t="shared" si="9"/>
        <v>62683</v>
      </c>
      <c r="K119" s="565"/>
      <c r="L119" s="565"/>
    </row>
    <row r="120" spans="1:32" s="557" customFormat="1" x14ac:dyDescent="0.25">
      <c r="A120" s="551" t="str">
        <f>+Info!$B$2</f>
        <v>724</v>
      </c>
      <c r="B120" s="559" t="s">
        <v>940</v>
      </c>
      <c r="C120" s="559" t="str">
        <f t="shared" si="8"/>
        <v>1.10.20.90.000.000.00.000</v>
      </c>
      <c r="D120" s="929" t="s">
        <v>4239</v>
      </c>
      <c r="E120" s="929"/>
      <c r="F120" s="563" t="s">
        <v>4240</v>
      </c>
      <c r="G120" s="583">
        <v>300248</v>
      </c>
      <c r="H120" s="583"/>
      <c r="I120" s="583"/>
      <c r="J120" s="584">
        <f t="shared" si="9"/>
        <v>300248</v>
      </c>
      <c r="K120" s="565"/>
      <c r="L120" s="565"/>
    </row>
    <row r="121" spans="1:32" s="557" customFormat="1" x14ac:dyDescent="0.25">
      <c r="A121" s="551" t="str">
        <f>+Info!$B$2</f>
        <v>724</v>
      </c>
      <c r="B121" s="559" t="s">
        <v>940</v>
      </c>
      <c r="C121" s="559" t="str">
        <f t="shared" si="8"/>
        <v>1.10.20.90.000.000.00.000</v>
      </c>
      <c r="D121" s="929" t="s">
        <v>4241</v>
      </c>
      <c r="E121" s="929"/>
      <c r="F121" s="563" t="s">
        <v>4242</v>
      </c>
      <c r="G121" s="583">
        <v>332205</v>
      </c>
      <c r="H121" s="583"/>
      <c r="I121" s="583">
        <v>-332205</v>
      </c>
      <c r="J121" s="584">
        <f t="shared" si="9"/>
        <v>0</v>
      </c>
      <c r="K121" s="565"/>
      <c r="L121" s="565"/>
    </row>
    <row r="122" spans="1:32" s="557" customFormat="1" x14ac:dyDescent="0.25">
      <c r="A122" s="551" t="str">
        <f>+Info!$B$2</f>
        <v>724</v>
      </c>
      <c r="B122" s="559" t="s">
        <v>940</v>
      </c>
      <c r="C122" s="559" t="str">
        <f t="shared" si="8"/>
        <v>1.10.20.90.000.000.00.000</v>
      </c>
      <c r="D122" s="929" t="s">
        <v>4243</v>
      </c>
      <c r="E122" s="929"/>
      <c r="F122" s="563" t="s">
        <v>4244</v>
      </c>
      <c r="G122" s="583">
        <v>0</v>
      </c>
      <c r="H122" s="583">
        <v>58104</v>
      </c>
      <c r="I122" s="583"/>
      <c r="J122" s="584">
        <f t="shared" si="9"/>
        <v>58104</v>
      </c>
      <c r="K122" s="565"/>
      <c r="L122" s="565"/>
    </row>
    <row r="123" spans="1:32" s="557" customFormat="1" x14ac:dyDescent="0.25">
      <c r="A123" s="551" t="str">
        <f>+Info!$B$2</f>
        <v>724</v>
      </c>
      <c r="B123" s="559" t="s">
        <v>940</v>
      </c>
      <c r="C123" s="559" t="str">
        <f t="shared" si="8"/>
        <v>1.10.20.90.000.000.00.000</v>
      </c>
      <c r="D123" s="929" t="s">
        <v>4243</v>
      </c>
      <c r="E123" s="929"/>
      <c r="F123" s="583" t="s">
        <v>4245</v>
      </c>
      <c r="G123" s="583">
        <v>0</v>
      </c>
      <c r="H123" s="583">
        <v>168740</v>
      </c>
      <c r="I123" s="583"/>
      <c r="J123" s="584">
        <f t="shared" si="9"/>
        <v>168740</v>
      </c>
      <c r="K123" s="565"/>
      <c r="L123" s="565"/>
    </row>
    <row r="124" spans="1:32" s="557" customFormat="1" x14ac:dyDescent="0.25">
      <c r="A124" s="551" t="str">
        <f>+Info!$B$2</f>
        <v>724</v>
      </c>
      <c r="B124" s="559" t="s">
        <v>940</v>
      </c>
      <c r="C124" s="559" t="str">
        <f t="shared" si="8"/>
        <v>1.10.20.90.000.000.00.000</v>
      </c>
      <c r="D124" s="929" t="s">
        <v>4246</v>
      </c>
      <c r="E124" s="929"/>
      <c r="F124" s="563" t="s">
        <v>4247</v>
      </c>
      <c r="G124" s="583">
        <v>60403</v>
      </c>
      <c r="H124" s="583"/>
      <c r="I124" s="583">
        <v>-60403</v>
      </c>
      <c r="J124" s="584">
        <f t="shared" si="9"/>
        <v>0</v>
      </c>
      <c r="K124" s="565"/>
      <c r="L124" s="565"/>
    </row>
    <row r="125" spans="1:32" s="557" customFormat="1" x14ac:dyDescent="0.25">
      <c r="A125" s="551" t="str">
        <f>+Info!$B$2</f>
        <v>724</v>
      </c>
      <c r="B125" s="559" t="s">
        <v>940</v>
      </c>
      <c r="C125" s="559" t="str">
        <f t="shared" si="8"/>
        <v>1.10.20.90.000.000.00.000</v>
      </c>
      <c r="D125" s="929" t="s">
        <v>4246</v>
      </c>
      <c r="E125" s="929"/>
      <c r="F125" s="563" t="s">
        <v>4248</v>
      </c>
      <c r="G125" s="583">
        <v>167881</v>
      </c>
      <c r="H125" s="583"/>
      <c r="I125" s="583">
        <v>-167881</v>
      </c>
      <c r="J125" s="584">
        <f t="shared" si="9"/>
        <v>0</v>
      </c>
      <c r="K125" s="565"/>
      <c r="L125" s="565"/>
    </row>
    <row r="126" spans="1:32" s="557" customFormat="1" x14ac:dyDescent="0.25">
      <c r="A126" s="551" t="str">
        <f>+Info!$B$2</f>
        <v>724</v>
      </c>
      <c r="B126" s="559" t="s">
        <v>940</v>
      </c>
      <c r="C126" s="559" t="str">
        <f t="shared" si="8"/>
        <v>1.10.20.90.000.000.00.000</v>
      </c>
      <c r="D126" s="929" t="s">
        <v>4249</v>
      </c>
      <c r="E126" s="929"/>
      <c r="F126" s="563" t="s">
        <v>4250</v>
      </c>
      <c r="G126" s="583">
        <v>4331</v>
      </c>
      <c r="H126" s="583">
        <v>37033</v>
      </c>
      <c r="I126" s="583">
        <v>-4331</v>
      </c>
      <c r="J126" s="584">
        <f t="shared" si="9"/>
        <v>37033</v>
      </c>
      <c r="K126" s="565"/>
      <c r="L126" s="565"/>
    </row>
    <row r="127" spans="1:32" s="557" customFormat="1" x14ac:dyDescent="0.25">
      <c r="A127" s="551" t="str">
        <f>+Info!$B$2</f>
        <v>724</v>
      </c>
      <c r="B127" s="559" t="s">
        <v>940</v>
      </c>
      <c r="C127" s="559" t="str">
        <f t="shared" si="8"/>
        <v>1.10.20.90.000.000.00.000</v>
      </c>
      <c r="D127" s="929" t="s">
        <v>8300</v>
      </c>
      <c r="E127" s="929"/>
      <c r="F127" s="563" t="s">
        <v>8301</v>
      </c>
      <c r="G127" s="583"/>
      <c r="H127" s="583">
        <v>519109</v>
      </c>
      <c r="I127" s="583"/>
      <c r="J127" s="584">
        <f t="shared" si="9"/>
        <v>519109</v>
      </c>
      <c r="K127" s="565"/>
      <c r="L127" s="565"/>
    </row>
    <row r="128" spans="1:32" s="557" customFormat="1" x14ac:dyDescent="0.25">
      <c r="A128" s="551" t="str">
        <f>+Info!$B$2</f>
        <v>724</v>
      </c>
      <c r="B128" s="559" t="s">
        <v>940</v>
      </c>
      <c r="C128" s="559" t="str">
        <f t="shared" si="8"/>
        <v>1.10.20.90.000.000.00.000</v>
      </c>
      <c r="D128" s="929"/>
      <c r="E128" s="929"/>
      <c r="F128" s="563"/>
      <c r="G128" s="583"/>
      <c r="H128" s="583"/>
      <c r="I128" s="583"/>
      <c r="J128" s="584">
        <f t="shared" si="9"/>
        <v>0</v>
      </c>
      <c r="K128" s="565"/>
      <c r="L128" s="565"/>
    </row>
    <row r="129" spans="1:14" s="557" customFormat="1" x14ac:dyDescent="0.25">
      <c r="A129" s="551" t="str">
        <f>+Info!$B$2</f>
        <v>724</v>
      </c>
      <c r="B129" s="559" t="s">
        <v>940</v>
      </c>
      <c r="C129" s="559" t="str">
        <f t="shared" si="8"/>
        <v>1.10.20.90.000.000.00.000</v>
      </c>
      <c r="D129" s="929"/>
      <c r="E129" s="929"/>
      <c r="F129" s="563"/>
      <c r="G129" s="583"/>
      <c r="H129" s="583"/>
      <c r="I129" s="583"/>
      <c r="J129" s="584">
        <f t="shared" si="9"/>
        <v>0</v>
      </c>
      <c r="K129" s="565"/>
      <c r="L129" s="565"/>
    </row>
    <row r="130" spans="1:14" s="557" customFormat="1" x14ac:dyDescent="0.25">
      <c r="A130" s="551" t="str">
        <f>+Info!$B$2</f>
        <v>724</v>
      </c>
      <c r="B130" s="559" t="s">
        <v>940</v>
      </c>
      <c r="C130" s="559" t="str">
        <f t="shared" si="8"/>
        <v>1.10.20.90.000.000.00.000</v>
      </c>
      <c r="D130" s="930"/>
      <c r="E130" s="930"/>
      <c r="F130" s="563"/>
      <c r="G130" s="583"/>
      <c r="H130" s="583"/>
      <c r="I130" s="583"/>
      <c r="J130" s="584">
        <f t="shared" si="9"/>
        <v>0</v>
      </c>
      <c r="K130" s="565"/>
      <c r="L130" s="565"/>
    </row>
    <row r="131" spans="1:14" s="557" customFormat="1" x14ac:dyDescent="0.25">
      <c r="A131" s="551" t="str">
        <f>+Info!$B$2</f>
        <v>724</v>
      </c>
      <c r="B131" s="551"/>
      <c r="C131" s="551"/>
      <c r="D131" s="551"/>
      <c r="E131" s="569">
        <f>SUMIF('NI-San_SP'!$C:$C,$C116,'NI-San_SP'!$O:$O)</f>
        <v>1212142</v>
      </c>
      <c r="F131" s="928" t="str">
        <f>IF(J131=E131,"Quadratura OK!","Squadratura con dati Bilancio!")</f>
        <v>Quadratura OK!</v>
      </c>
      <c r="G131" s="928"/>
      <c r="H131" s="928"/>
      <c r="I131" s="585" t="s">
        <v>4251</v>
      </c>
      <c r="J131" s="586">
        <f>SUM(J117:J130)</f>
        <v>1212142</v>
      </c>
      <c r="K131" s="565"/>
      <c r="L131" s="565"/>
    </row>
    <row r="132" spans="1:14" s="557" customFormat="1" x14ac:dyDescent="0.25">
      <c r="A132" s="551" t="str">
        <f>+Info!$B$2</f>
        <v>724</v>
      </c>
      <c r="B132" s="565"/>
      <c r="C132" s="565"/>
      <c r="D132" s="565"/>
      <c r="E132" s="565"/>
      <c r="F132" s="565"/>
      <c r="G132" s="565"/>
      <c r="H132" s="565"/>
      <c r="I132" s="565"/>
      <c r="J132" s="565"/>
      <c r="K132" s="565"/>
      <c r="L132" s="565"/>
    </row>
    <row r="133" spans="1:14" s="557" customFormat="1" ht="19.5" x14ac:dyDescent="0.3">
      <c r="A133" s="551" t="str">
        <f>+Info!$B$2</f>
        <v>724</v>
      </c>
      <c r="B133" s="565"/>
      <c r="C133" s="565"/>
      <c r="D133" s="926" t="s">
        <v>4252</v>
      </c>
      <c r="E133" s="926"/>
      <c r="F133" s="926"/>
      <c r="G133" s="926"/>
      <c r="H133" s="926"/>
      <c r="I133" s="926"/>
      <c r="J133" s="926"/>
      <c r="K133" s="926"/>
      <c r="L133" s="926"/>
      <c r="M133" s="926"/>
      <c r="N133" s="926"/>
    </row>
    <row r="134" spans="1:14" s="557" customFormat="1" ht="19.5" x14ac:dyDescent="0.3">
      <c r="A134" s="551"/>
      <c r="B134" s="565"/>
      <c r="C134" s="565"/>
      <c r="D134" s="587"/>
      <c r="E134" s="587"/>
      <c r="F134" s="587"/>
      <c r="G134" s="587"/>
      <c r="H134" s="587"/>
      <c r="I134" s="587"/>
      <c r="J134" s="587"/>
      <c r="K134" s="587"/>
      <c r="L134" s="587"/>
      <c r="M134" s="587"/>
      <c r="N134" s="587"/>
    </row>
    <row r="135" spans="1:14" s="557" customFormat="1" ht="19.5" hidden="1" x14ac:dyDescent="0.3">
      <c r="A135" s="551"/>
      <c r="B135" s="588"/>
      <c r="C135" s="588" t="s">
        <v>4253</v>
      </c>
      <c r="D135" s="588" t="s">
        <v>4254</v>
      </c>
      <c r="E135" s="581"/>
      <c r="F135" s="587"/>
      <c r="G135" s="587"/>
      <c r="H135" s="581">
        <v>0</v>
      </c>
      <c r="I135" s="581">
        <v>0</v>
      </c>
      <c r="J135" s="581">
        <v>0</v>
      </c>
      <c r="K135" s="581">
        <v>0</v>
      </c>
      <c r="L135" s="581">
        <v>0</v>
      </c>
      <c r="M135" s="581">
        <v>0</v>
      </c>
      <c r="N135" s="587"/>
    </row>
    <row r="136" spans="1:14" s="557" customFormat="1" hidden="1" x14ac:dyDescent="0.25">
      <c r="A136" s="551"/>
      <c r="B136" s="581"/>
      <c r="C136" s="581"/>
      <c r="D136" s="581"/>
      <c r="E136" s="581"/>
      <c r="F136" s="581"/>
      <c r="G136" s="581"/>
      <c r="H136" s="581">
        <v>0</v>
      </c>
      <c r="I136" s="581">
        <v>0</v>
      </c>
      <c r="J136" s="581">
        <v>0</v>
      </c>
      <c r="K136" s="581">
        <v>0</v>
      </c>
      <c r="L136" s="581">
        <v>0</v>
      </c>
      <c r="M136" s="581">
        <v>0</v>
      </c>
      <c r="N136" s="581"/>
    </row>
    <row r="137" spans="1:14" s="557" customFormat="1" ht="19.5" hidden="1" x14ac:dyDescent="0.3">
      <c r="A137" s="551"/>
      <c r="B137" s="581"/>
      <c r="C137" s="581"/>
      <c r="D137" s="587"/>
      <c r="E137" s="587"/>
      <c r="F137" s="587"/>
      <c r="G137" s="587"/>
      <c r="H137" s="581">
        <v>0</v>
      </c>
      <c r="I137" s="581">
        <v>0</v>
      </c>
      <c r="J137" s="581">
        <v>0</v>
      </c>
      <c r="K137" s="581">
        <v>0</v>
      </c>
      <c r="L137" s="581">
        <v>0</v>
      </c>
      <c r="M137" s="581">
        <v>0</v>
      </c>
      <c r="N137" s="581"/>
    </row>
    <row r="138" spans="1:14" hidden="1" x14ac:dyDescent="0.25">
      <c r="A138" s="551" t="str">
        <f>+Info!$B$2</f>
        <v>724</v>
      </c>
      <c r="B138"/>
      <c r="C138"/>
      <c r="D138"/>
      <c r="E138"/>
      <c r="F138"/>
      <c r="G138"/>
      <c r="H138" s="581">
        <v>0</v>
      </c>
      <c r="I138" s="581">
        <v>0</v>
      </c>
      <c r="J138" s="581">
        <v>0</v>
      </c>
      <c r="K138" s="581">
        <v>0</v>
      </c>
      <c r="L138" s="581">
        <v>0</v>
      </c>
      <c r="M138" s="581">
        <v>0</v>
      </c>
      <c r="N138" s="581"/>
    </row>
    <row r="139" spans="1:14" ht="36" x14ac:dyDescent="0.25">
      <c r="A139" s="551" t="str">
        <f>+Info!$B$2</f>
        <v>724</v>
      </c>
      <c r="D139" s="589" t="s">
        <v>4255</v>
      </c>
      <c r="E139" s="590" t="s">
        <v>4256</v>
      </c>
      <c r="F139" s="590" t="s">
        <v>4257</v>
      </c>
      <c r="G139" s="590" t="s">
        <v>4258</v>
      </c>
      <c r="H139" s="590" t="s">
        <v>4259</v>
      </c>
      <c r="I139" s="590" t="s">
        <v>4260</v>
      </c>
      <c r="J139" s="590" t="s">
        <v>4261</v>
      </c>
      <c r="K139" s="590" t="s">
        <v>4262</v>
      </c>
      <c r="L139" s="590" t="s">
        <v>4263</v>
      </c>
      <c r="M139" s="590" t="s">
        <v>4264</v>
      </c>
      <c r="N139" s="590" t="s">
        <v>4265</v>
      </c>
    </row>
    <row r="140" spans="1:14" x14ac:dyDescent="0.25">
      <c r="A140" s="551" t="str">
        <f>+Info!$B$2</f>
        <v>724</v>
      </c>
      <c r="B140" s="591" t="s">
        <v>1097</v>
      </c>
      <c r="C140" s="591" t="s">
        <v>1098</v>
      </c>
      <c r="D140" s="591" t="s">
        <v>4266</v>
      </c>
      <c r="E140" s="592"/>
      <c r="F140" s="592"/>
      <c r="G140" s="592"/>
      <c r="H140" s="592"/>
      <c r="I140" s="592"/>
      <c r="J140" s="592"/>
      <c r="K140" s="592"/>
      <c r="L140" s="592"/>
      <c r="M140" s="592"/>
      <c r="N140" s="592"/>
    </row>
    <row r="141" spans="1:14" x14ac:dyDescent="0.25">
      <c r="A141" s="551" t="str">
        <f>+Info!$B$2</f>
        <v>724</v>
      </c>
      <c r="B141" s="559" t="s">
        <v>1097</v>
      </c>
      <c r="C141" s="559" t="str">
        <f t="shared" ref="C141:C152" si="10">$C$140</f>
        <v>1.10.30.20.010.010.00.000</v>
      </c>
      <c r="D141" s="593"/>
      <c r="E141" s="563"/>
      <c r="F141" s="563"/>
      <c r="G141" s="563"/>
      <c r="H141" s="563"/>
      <c r="I141" s="563"/>
      <c r="J141" s="563"/>
      <c r="K141" s="563"/>
      <c r="L141" s="563"/>
      <c r="M141" s="563"/>
      <c r="N141" s="563"/>
    </row>
    <row r="142" spans="1:14" x14ac:dyDescent="0.25">
      <c r="A142" s="551" t="str">
        <f>+Info!$B$2</f>
        <v>724</v>
      </c>
      <c r="B142" s="559" t="s">
        <v>1097</v>
      </c>
      <c r="C142" s="559" t="str">
        <f t="shared" si="10"/>
        <v>1.10.30.20.010.010.00.000</v>
      </c>
      <c r="D142" s="59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/>
    </row>
    <row r="143" spans="1:14" x14ac:dyDescent="0.25">
      <c r="A143" s="551" t="str">
        <f>+Info!$B$2</f>
        <v>724</v>
      </c>
      <c r="B143" s="559" t="s">
        <v>1097</v>
      </c>
      <c r="C143" s="559" t="str">
        <f t="shared" si="10"/>
        <v>1.10.30.20.010.010.00.000</v>
      </c>
      <c r="D143" s="59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/>
    </row>
    <row r="144" spans="1:14" x14ac:dyDescent="0.25">
      <c r="A144" s="551" t="str">
        <f>+Info!$B$2</f>
        <v>724</v>
      </c>
      <c r="B144" s="559" t="s">
        <v>1097</v>
      </c>
      <c r="C144" s="559" t="str">
        <f t="shared" si="10"/>
        <v>1.10.30.20.010.010.00.000</v>
      </c>
      <c r="D144" s="59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/>
    </row>
    <row r="145" spans="1:14" x14ac:dyDescent="0.25">
      <c r="A145" s="551" t="str">
        <f>+Info!$B$2</f>
        <v>724</v>
      </c>
      <c r="B145" s="559" t="s">
        <v>1097</v>
      </c>
      <c r="C145" s="559" t="str">
        <f t="shared" si="10"/>
        <v>1.10.30.20.010.010.00.000</v>
      </c>
      <c r="D145" s="59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/>
    </row>
    <row r="146" spans="1:14" x14ac:dyDescent="0.25">
      <c r="A146" s="551" t="str">
        <f>+Info!$B$2</f>
        <v>724</v>
      </c>
      <c r="B146" s="559" t="s">
        <v>1097</v>
      </c>
      <c r="C146" s="559" t="str">
        <f t="shared" si="10"/>
        <v>1.10.30.20.010.010.00.000</v>
      </c>
      <c r="D146" s="593"/>
      <c r="E146" s="563"/>
      <c r="F146" s="563"/>
      <c r="G146" s="563"/>
      <c r="H146" s="563"/>
      <c r="I146" s="563"/>
      <c r="J146" s="563"/>
      <c r="K146" s="563"/>
      <c r="L146" s="563"/>
      <c r="M146" s="563"/>
      <c r="N146" s="563"/>
    </row>
    <row r="147" spans="1:14" x14ac:dyDescent="0.25">
      <c r="A147" s="551" t="str">
        <f>+Info!$B$2</f>
        <v>724</v>
      </c>
      <c r="B147" s="559" t="s">
        <v>1097</v>
      </c>
      <c r="C147" s="559" t="str">
        <f t="shared" si="10"/>
        <v>1.10.30.20.010.010.00.000</v>
      </c>
      <c r="D147" s="593"/>
      <c r="E147" s="563"/>
      <c r="F147" s="563"/>
      <c r="G147" s="563"/>
      <c r="H147" s="563"/>
      <c r="I147" s="563"/>
      <c r="J147" s="563"/>
      <c r="K147" s="563"/>
      <c r="L147" s="563"/>
      <c r="M147" s="563"/>
      <c r="N147" s="563"/>
    </row>
    <row r="148" spans="1:14" x14ac:dyDescent="0.25">
      <c r="A148" s="551" t="str">
        <f>+Info!$B$2</f>
        <v>724</v>
      </c>
      <c r="B148" s="559" t="s">
        <v>1097</v>
      </c>
      <c r="C148" s="559" t="str">
        <f t="shared" si="10"/>
        <v>1.10.30.20.010.010.00.000</v>
      </c>
      <c r="D148" s="593"/>
      <c r="E148" s="563"/>
      <c r="F148" s="563"/>
      <c r="G148" s="563"/>
      <c r="H148" s="563"/>
      <c r="I148" s="563"/>
      <c r="J148" s="563"/>
      <c r="K148" s="563"/>
      <c r="L148" s="563"/>
      <c r="M148" s="563"/>
      <c r="N148" s="563"/>
    </row>
    <row r="149" spans="1:14" x14ac:dyDescent="0.25">
      <c r="A149" s="551" t="str">
        <f>+Info!$B$2</f>
        <v>724</v>
      </c>
      <c r="B149" s="559" t="s">
        <v>1097</v>
      </c>
      <c r="C149" s="559" t="str">
        <f t="shared" si="10"/>
        <v>1.10.30.20.010.010.00.000</v>
      </c>
      <c r="D149" s="593"/>
      <c r="E149" s="563"/>
      <c r="F149" s="563"/>
      <c r="G149" s="563"/>
      <c r="H149" s="563"/>
      <c r="I149" s="563"/>
      <c r="J149" s="563"/>
      <c r="K149" s="563"/>
      <c r="L149" s="563"/>
      <c r="M149" s="563"/>
      <c r="N149" s="563"/>
    </row>
    <row r="150" spans="1:14" x14ac:dyDescent="0.25">
      <c r="A150" s="551" t="str">
        <f>+Info!$B$2</f>
        <v>724</v>
      </c>
      <c r="B150" s="559" t="s">
        <v>1097</v>
      </c>
      <c r="C150" s="559" t="str">
        <f t="shared" si="10"/>
        <v>1.10.30.20.010.010.00.000</v>
      </c>
      <c r="D150" s="593"/>
      <c r="E150" s="563"/>
      <c r="F150" s="563"/>
      <c r="G150" s="563"/>
      <c r="H150" s="563"/>
      <c r="I150" s="563"/>
      <c r="J150" s="563"/>
      <c r="K150" s="563"/>
      <c r="L150" s="563"/>
      <c r="M150" s="563"/>
      <c r="N150" s="563"/>
    </row>
    <row r="151" spans="1:14" x14ac:dyDescent="0.25">
      <c r="A151" s="551" t="str">
        <f>+Info!$B$2</f>
        <v>724</v>
      </c>
      <c r="B151" s="559" t="s">
        <v>1097</v>
      </c>
      <c r="C151" s="559" t="str">
        <f t="shared" si="10"/>
        <v>1.10.30.20.010.010.00.000</v>
      </c>
      <c r="D151" s="59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3"/>
    </row>
    <row r="152" spans="1:14" x14ac:dyDescent="0.25">
      <c r="A152" s="551" t="str">
        <f>+Info!$B$2</f>
        <v>724</v>
      </c>
      <c r="B152" s="559" t="s">
        <v>1097</v>
      </c>
      <c r="C152" s="559" t="str">
        <f t="shared" si="10"/>
        <v>1.10.30.20.010.010.00.000</v>
      </c>
      <c r="D152" s="593"/>
      <c r="E152" s="563"/>
      <c r="F152" s="563"/>
      <c r="G152" s="563"/>
      <c r="H152" s="563"/>
      <c r="I152" s="563"/>
      <c r="J152" s="563"/>
      <c r="K152" s="563"/>
      <c r="L152" s="563"/>
      <c r="M152" s="563"/>
      <c r="N152" s="563"/>
    </row>
    <row r="153" spans="1:14" x14ac:dyDescent="0.25">
      <c r="A153" s="551" t="str">
        <f>+Info!$B$2</f>
        <v>724</v>
      </c>
      <c r="B153" s="559" t="s">
        <v>1100</v>
      </c>
      <c r="C153" s="594" t="s">
        <v>1101</v>
      </c>
      <c r="D153" s="594" t="s">
        <v>4267</v>
      </c>
      <c r="E153" s="595"/>
      <c r="F153" s="595"/>
      <c r="G153" s="595"/>
      <c r="H153" s="595"/>
      <c r="I153" s="595"/>
      <c r="J153" s="595"/>
      <c r="K153" s="595"/>
      <c r="L153" s="595"/>
      <c r="M153" s="595"/>
      <c r="N153" s="595"/>
    </row>
    <row r="154" spans="1:14" x14ac:dyDescent="0.25">
      <c r="A154" s="551" t="str">
        <f>+Info!$B$2</f>
        <v>724</v>
      </c>
      <c r="B154" s="559" t="s">
        <v>1100</v>
      </c>
      <c r="C154" s="559" t="str">
        <f t="shared" ref="C154:C165" si="11">$C$153</f>
        <v>1.10.30.20.010.015.00.000</v>
      </c>
      <c r="D154" s="593"/>
      <c r="E154" s="563"/>
      <c r="F154" s="563"/>
      <c r="G154" s="563"/>
      <c r="H154" s="563"/>
      <c r="I154" s="563"/>
      <c r="J154" s="563"/>
      <c r="K154" s="563"/>
      <c r="L154" s="563"/>
      <c r="M154" s="563"/>
      <c r="N154" s="563"/>
    </row>
    <row r="155" spans="1:14" x14ac:dyDescent="0.25">
      <c r="A155" s="551" t="str">
        <f>+Info!$B$2</f>
        <v>724</v>
      </c>
      <c r="B155" s="559" t="s">
        <v>1100</v>
      </c>
      <c r="C155" s="559" t="str">
        <f t="shared" si="11"/>
        <v>1.10.30.20.010.015.00.000</v>
      </c>
      <c r="D155" s="593"/>
      <c r="E155" s="563"/>
      <c r="F155" s="563"/>
      <c r="G155" s="563"/>
      <c r="H155" s="563"/>
      <c r="I155" s="563"/>
      <c r="J155" s="563"/>
      <c r="K155" s="563"/>
      <c r="L155" s="563"/>
      <c r="M155" s="563"/>
      <c r="N155" s="563"/>
    </row>
    <row r="156" spans="1:14" x14ac:dyDescent="0.25">
      <c r="A156" s="551" t="str">
        <f>+Info!$B$2</f>
        <v>724</v>
      </c>
      <c r="B156" s="559" t="s">
        <v>1100</v>
      </c>
      <c r="C156" s="559" t="str">
        <f t="shared" si="11"/>
        <v>1.10.30.20.010.015.00.000</v>
      </c>
      <c r="D156" s="593"/>
      <c r="E156" s="563"/>
      <c r="F156" s="563"/>
      <c r="G156" s="563"/>
      <c r="H156" s="563"/>
      <c r="I156" s="563"/>
      <c r="J156" s="563"/>
      <c r="K156" s="563"/>
      <c r="L156" s="563"/>
      <c r="M156" s="563"/>
      <c r="N156" s="563"/>
    </row>
    <row r="157" spans="1:14" x14ac:dyDescent="0.25">
      <c r="A157" s="551" t="str">
        <f>+Info!$B$2</f>
        <v>724</v>
      </c>
      <c r="B157" s="559" t="s">
        <v>1100</v>
      </c>
      <c r="C157" s="559" t="str">
        <f t="shared" si="11"/>
        <v>1.10.30.20.010.015.00.000</v>
      </c>
      <c r="D157" s="59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</row>
    <row r="158" spans="1:14" x14ac:dyDescent="0.25">
      <c r="A158" s="551" t="str">
        <f>+Info!$B$2</f>
        <v>724</v>
      </c>
      <c r="B158" s="559" t="s">
        <v>1100</v>
      </c>
      <c r="C158" s="559" t="str">
        <f t="shared" si="11"/>
        <v>1.10.30.20.010.015.00.000</v>
      </c>
      <c r="D158" s="593"/>
      <c r="E158" s="563"/>
      <c r="F158" s="563"/>
      <c r="G158" s="563"/>
      <c r="H158" s="563"/>
      <c r="I158" s="563"/>
      <c r="J158" s="563"/>
      <c r="K158" s="563"/>
      <c r="L158" s="563"/>
      <c r="M158" s="563"/>
      <c r="N158" s="563"/>
    </row>
    <row r="159" spans="1:14" x14ac:dyDescent="0.25">
      <c r="A159" s="551" t="str">
        <f>+Info!$B$2</f>
        <v>724</v>
      </c>
      <c r="B159" s="559" t="s">
        <v>1100</v>
      </c>
      <c r="C159" s="559" t="str">
        <f t="shared" si="11"/>
        <v>1.10.30.20.010.015.00.000</v>
      </c>
      <c r="D159" s="593"/>
      <c r="E159" s="563"/>
      <c r="F159" s="563"/>
      <c r="G159" s="563"/>
      <c r="H159" s="563"/>
      <c r="I159" s="563"/>
      <c r="J159" s="563"/>
      <c r="K159" s="563"/>
      <c r="L159" s="563"/>
      <c r="M159" s="563"/>
      <c r="N159" s="563"/>
    </row>
    <row r="160" spans="1:14" x14ac:dyDescent="0.25">
      <c r="A160" s="551" t="str">
        <f>+Info!$B$2</f>
        <v>724</v>
      </c>
      <c r="B160" s="559" t="s">
        <v>1100</v>
      </c>
      <c r="C160" s="559" t="str">
        <f t="shared" si="11"/>
        <v>1.10.30.20.010.015.00.000</v>
      </c>
      <c r="D160" s="593"/>
      <c r="E160" s="563"/>
      <c r="F160" s="563"/>
      <c r="G160" s="563"/>
      <c r="H160" s="563"/>
      <c r="I160" s="563"/>
      <c r="J160" s="563"/>
      <c r="K160" s="563"/>
      <c r="L160" s="563"/>
      <c r="M160" s="563"/>
      <c r="N160" s="563"/>
    </row>
    <row r="161" spans="1:14" x14ac:dyDescent="0.25">
      <c r="A161" s="551" t="str">
        <f>+Info!$B$2</f>
        <v>724</v>
      </c>
      <c r="B161" s="559" t="s">
        <v>1100</v>
      </c>
      <c r="C161" s="559" t="str">
        <f t="shared" si="11"/>
        <v>1.10.30.20.010.015.00.000</v>
      </c>
      <c r="D161" s="593"/>
      <c r="E161" s="563"/>
      <c r="F161" s="563"/>
      <c r="G161" s="563"/>
      <c r="H161" s="563"/>
      <c r="I161" s="563"/>
      <c r="J161" s="563"/>
      <c r="K161" s="563"/>
      <c r="L161" s="563"/>
      <c r="M161" s="563"/>
      <c r="N161" s="563"/>
    </row>
    <row r="162" spans="1:14" x14ac:dyDescent="0.25">
      <c r="A162" s="551" t="str">
        <f>+Info!$B$2</f>
        <v>724</v>
      </c>
      <c r="B162" s="559" t="s">
        <v>1100</v>
      </c>
      <c r="C162" s="559" t="str">
        <f t="shared" si="11"/>
        <v>1.10.30.20.010.015.00.000</v>
      </c>
      <c r="D162" s="593"/>
      <c r="E162" s="563"/>
      <c r="F162" s="563"/>
      <c r="G162" s="563"/>
      <c r="H162" s="563"/>
      <c r="I162" s="563"/>
      <c r="J162" s="563"/>
      <c r="K162" s="563"/>
      <c r="L162" s="563"/>
      <c r="M162" s="563"/>
      <c r="N162" s="563"/>
    </row>
    <row r="163" spans="1:14" x14ac:dyDescent="0.25">
      <c r="A163" s="551" t="str">
        <f>+Info!$B$2</f>
        <v>724</v>
      </c>
      <c r="B163" s="559" t="s">
        <v>1100</v>
      </c>
      <c r="C163" s="559" t="str">
        <f t="shared" si="11"/>
        <v>1.10.30.20.010.015.00.000</v>
      </c>
      <c r="D163" s="59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3"/>
    </row>
    <row r="164" spans="1:14" x14ac:dyDescent="0.25">
      <c r="A164" s="551" t="str">
        <f>+Info!$B$2</f>
        <v>724</v>
      </c>
      <c r="B164" s="559" t="s">
        <v>1100</v>
      </c>
      <c r="C164" s="559" t="str">
        <f t="shared" si="11"/>
        <v>1.10.30.20.010.015.00.000</v>
      </c>
      <c r="D164" s="593"/>
      <c r="E164" s="563"/>
      <c r="F164" s="563"/>
      <c r="G164" s="563"/>
      <c r="H164" s="563"/>
      <c r="I164" s="563"/>
      <c r="J164" s="563"/>
      <c r="K164" s="563"/>
      <c r="L164" s="563"/>
      <c r="M164" s="563"/>
      <c r="N164" s="563"/>
    </row>
    <row r="165" spans="1:14" x14ac:dyDescent="0.25">
      <c r="A165" s="551" t="str">
        <f>+Info!$B$2</f>
        <v>724</v>
      </c>
      <c r="B165" s="559" t="s">
        <v>1100</v>
      </c>
      <c r="C165" s="559" t="str">
        <f t="shared" si="11"/>
        <v>1.10.30.20.010.015.00.000</v>
      </c>
      <c r="D165" s="59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3"/>
    </row>
    <row r="166" spans="1:14" x14ac:dyDescent="0.25">
      <c r="A166" s="551" t="str">
        <f>+Info!$B$2</f>
        <v>724</v>
      </c>
      <c r="B166" s="559" t="s">
        <v>1103</v>
      </c>
      <c r="C166" s="594" t="s">
        <v>1104</v>
      </c>
      <c r="D166" s="594" t="s">
        <v>4268</v>
      </c>
      <c r="E166" s="595"/>
      <c r="F166" s="595"/>
      <c r="G166" s="595"/>
      <c r="H166" s="595"/>
      <c r="I166" s="595"/>
      <c r="J166" s="595"/>
      <c r="K166" s="595"/>
      <c r="L166" s="595"/>
      <c r="M166" s="595"/>
      <c r="N166" s="595"/>
    </row>
    <row r="167" spans="1:14" x14ac:dyDescent="0.25">
      <c r="A167" s="551" t="str">
        <f>+Info!$B$2</f>
        <v>724</v>
      </c>
      <c r="B167" s="559" t="s">
        <v>1103</v>
      </c>
      <c r="C167" s="559" t="str">
        <f t="shared" ref="C167:C178" si="12">$C$166</f>
        <v>1.10.30.20.010.020.00.000</v>
      </c>
      <c r="D167" s="593"/>
      <c r="E167" s="563"/>
      <c r="F167" s="563"/>
      <c r="G167" s="563"/>
      <c r="H167" s="563"/>
      <c r="I167" s="563"/>
      <c r="J167" s="563"/>
      <c r="K167" s="563"/>
      <c r="L167" s="563"/>
      <c r="M167" s="563"/>
      <c r="N167" s="563"/>
    </row>
    <row r="168" spans="1:14" x14ac:dyDescent="0.25">
      <c r="A168" s="551" t="str">
        <f>+Info!$B$2</f>
        <v>724</v>
      </c>
      <c r="B168" s="559" t="s">
        <v>1103</v>
      </c>
      <c r="C168" s="559" t="str">
        <f t="shared" si="12"/>
        <v>1.10.30.20.010.020.00.000</v>
      </c>
      <c r="D168" s="593"/>
      <c r="E168" s="563"/>
      <c r="F168" s="563"/>
      <c r="G168" s="563"/>
      <c r="H168" s="563"/>
      <c r="I168" s="563"/>
      <c r="J168" s="563"/>
      <c r="K168" s="563"/>
      <c r="L168" s="563"/>
      <c r="M168" s="563"/>
      <c r="N168" s="563"/>
    </row>
    <row r="169" spans="1:14" x14ac:dyDescent="0.25">
      <c r="A169" s="551" t="str">
        <f>+Info!$B$2</f>
        <v>724</v>
      </c>
      <c r="B169" s="559" t="s">
        <v>1103</v>
      </c>
      <c r="C169" s="559" t="str">
        <f t="shared" si="12"/>
        <v>1.10.30.20.010.020.00.000</v>
      </c>
      <c r="D169" s="593"/>
      <c r="E169" s="563"/>
      <c r="F169" s="563"/>
      <c r="G169" s="563"/>
      <c r="H169" s="563"/>
      <c r="I169" s="563"/>
      <c r="J169" s="563"/>
      <c r="K169" s="563"/>
      <c r="L169" s="563"/>
      <c r="M169" s="563"/>
      <c r="N169" s="563"/>
    </row>
    <row r="170" spans="1:14" x14ac:dyDescent="0.25">
      <c r="A170" s="551" t="str">
        <f>+Info!$B$2</f>
        <v>724</v>
      </c>
      <c r="B170" s="559" t="s">
        <v>1103</v>
      </c>
      <c r="C170" s="559" t="str">
        <f t="shared" si="12"/>
        <v>1.10.30.20.010.020.00.000</v>
      </c>
      <c r="D170" s="593"/>
      <c r="E170" s="563"/>
      <c r="F170" s="563"/>
      <c r="G170" s="563"/>
      <c r="H170" s="563"/>
      <c r="I170" s="563"/>
      <c r="J170" s="563"/>
      <c r="K170" s="563"/>
      <c r="L170" s="563"/>
      <c r="M170" s="563"/>
      <c r="N170" s="563"/>
    </row>
    <row r="171" spans="1:14" x14ac:dyDescent="0.25">
      <c r="A171" s="551" t="str">
        <f>+Info!$B$2</f>
        <v>724</v>
      </c>
      <c r="B171" s="559" t="s">
        <v>1103</v>
      </c>
      <c r="C171" s="559" t="str">
        <f t="shared" si="12"/>
        <v>1.10.30.20.010.020.00.000</v>
      </c>
      <c r="D171" s="593"/>
      <c r="E171" s="563"/>
      <c r="F171" s="563"/>
      <c r="G171" s="563"/>
      <c r="H171" s="563"/>
      <c r="I171" s="563"/>
      <c r="J171" s="563"/>
      <c r="K171" s="563"/>
      <c r="L171" s="563"/>
      <c r="M171" s="563"/>
      <c r="N171" s="563"/>
    </row>
    <row r="172" spans="1:14" x14ac:dyDescent="0.25">
      <c r="A172" s="551" t="str">
        <f>+Info!$B$2</f>
        <v>724</v>
      </c>
      <c r="B172" s="559" t="s">
        <v>1103</v>
      </c>
      <c r="C172" s="559" t="str">
        <f t="shared" si="12"/>
        <v>1.10.30.20.010.020.00.000</v>
      </c>
      <c r="D172" s="593"/>
      <c r="E172" s="563"/>
      <c r="F172" s="563"/>
      <c r="G172" s="563"/>
      <c r="H172" s="563"/>
      <c r="I172" s="563"/>
      <c r="J172" s="563"/>
      <c r="K172" s="563"/>
      <c r="L172" s="563"/>
      <c r="M172" s="563"/>
      <c r="N172" s="563"/>
    </row>
    <row r="173" spans="1:14" x14ac:dyDescent="0.25">
      <c r="A173" s="551" t="str">
        <f>+Info!$B$2</f>
        <v>724</v>
      </c>
      <c r="B173" s="559" t="s">
        <v>1103</v>
      </c>
      <c r="C173" s="559" t="str">
        <f t="shared" si="12"/>
        <v>1.10.30.20.010.020.00.000</v>
      </c>
      <c r="D173" s="593"/>
      <c r="E173" s="563"/>
      <c r="F173" s="563"/>
      <c r="G173" s="563"/>
      <c r="H173" s="563"/>
      <c r="I173" s="563"/>
      <c r="J173" s="563"/>
      <c r="K173" s="563"/>
      <c r="L173" s="563"/>
      <c r="M173" s="563"/>
      <c r="N173" s="563"/>
    </row>
    <row r="174" spans="1:14" x14ac:dyDescent="0.25">
      <c r="A174" s="551" t="str">
        <f>+Info!$B$2</f>
        <v>724</v>
      </c>
      <c r="B174" s="559" t="s">
        <v>1103</v>
      </c>
      <c r="C174" s="559" t="str">
        <f t="shared" si="12"/>
        <v>1.10.30.20.010.020.00.000</v>
      </c>
      <c r="D174" s="593"/>
      <c r="E174" s="563"/>
      <c r="F174" s="563"/>
      <c r="G174" s="563"/>
      <c r="H174" s="563"/>
      <c r="I174" s="563"/>
      <c r="J174" s="563"/>
      <c r="K174" s="563"/>
      <c r="L174" s="563"/>
      <c r="M174" s="563"/>
      <c r="N174" s="563"/>
    </row>
    <row r="175" spans="1:14" x14ac:dyDescent="0.25">
      <c r="A175" s="551" t="str">
        <f>+Info!$B$2</f>
        <v>724</v>
      </c>
      <c r="B175" s="559" t="s">
        <v>1103</v>
      </c>
      <c r="C175" s="559" t="str">
        <f t="shared" si="12"/>
        <v>1.10.30.20.010.020.00.000</v>
      </c>
      <c r="D175" s="593"/>
      <c r="E175" s="563"/>
      <c r="F175" s="563"/>
      <c r="G175" s="563"/>
      <c r="H175" s="563"/>
      <c r="I175" s="563"/>
      <c r="J175" s="563"/>
      <c r="K175" s="563"/>
      <c r="L175" s="563"/>
      <c r="M175" s="563"/>
      <c r="N175" s="563"/>
    </row>
    <row r="176" spans="1:14" x14ac:dyDescent="0.25">
      <c r="A176" s="551" t="str">
        <f>+Info!$B$2</f>
        <v>724</v>
      </c>
      <c r="B176" s="559" t="s">
        <v>1103</v>
      </c>
      <c r="C176" s="559" t="str">
        <f t="shared" si="12"/>
        <v>1.10.30.20.010.020.00.000</v>
      </c>
      <c r="D176" s="593"/>
      <c r="E176" s="563"/>
      <c r="F176" s="563"/>
      <c r="G176" s="563"/>
      <c r="H176" s="563"/>
      <c r="I176" s="563"/>
      <c r="J176" s="563"/>
      <c r="K176" s="563"/>
      <c r="L176" s="563"/>
      <c r="M176" s="563"/>
      <c r="N176" s="563"/>
    </row>
    <row r="177" spans="1:14" x14ac:dyDescent="0.25">
      <c r="A177" s="551" t="str">
        <f>+Info!$B$2</f>
        <v>724</v>
      </c>
      <c r="B177" s="559" t="s">
        <v>1103</v>
      </c>
      <c r="C177" s="559" t="str">
        <f t="shared" si="12"/>
        <v>1.10.30.20.010.020.00.000</v>
      </c>
      <c r="D177" s="593"/>
      <c r="E177" s="563"/>
      <c r="F177" s="563"/>
      <c r="G177" s="563"/>
      <c r="H177" s="563"/>
      <c r="I177" s="563"/>
      <c r="J177" s="563"/>
      <c r="K177" s="563"/>
      <c r="L177" s="563"/>
      <c r="M177" s="563"/>
      <c r="N177" s="563"/>
    </row>
    <row r="178" spans="1:14" x14ac:dyDescent="0.25">
      <c r="A178" s="551" t="str">
        <f>+Info!$B$2</f>
        <v>724</v>
      </c>
      <c r="B178" s="559" t="s">
        <v>1103</v>
      </c>
      <c r="C178" s="559" t="str">
        <f t="shared" si="12"/>
        <v>1.10.30.20.010.020.00.000</v>
      </c>
      <c r="D178" s="593"/>
      <c r="E178" s="563"/>
      <c r="F178" s="563"/>
      <c r="G178" s="563"/>
      <c r="H178" s="563"/>
      <c r="I178" s="563"/>
      <c r="J178" s="563"/>
      <c r="K178" s="563"/>
      <c r="L178" s="563"/>
      <c r="M178" s="563"/>
      <c r="N178" s="563"/>
    </row>
    <row r="179" spans="1:14" x14ac:dyDescent="0.25">
      <c r="D179" s="596"/>
      <c r="E179" s="597"/>
      <c r="F179" s="597"/>
      <c r="G179" s="597"/>
      <c r="H179" s="597"/>
      <c r="I179" s="597"/>
      <c r="J179" s="597"/>
      <c r="K179" s="597"/>
      <c r="L179" s="597"/>
      <c r="M179" s="597"/>
      <c r="N179" s="597"/>
    </row>
    <row r="180" spans="1:14" hidden="1" x14ac:dyDescent="0.25">
      <c r="B180" s="581"/>
      <c r="C180" s="581" t="s">
        <v>4253</v>
      </c>
      <c r="D180" s="581" t="s">
        <v>4254</v>
      </c>
      <c r="E180" s="557">
        <v>0</v>
      </c>
      <c r="F180" s="557">
        <v>0</v>
      </c>
      <c r="G180" s="557">
        <v>0</v>
      </c>
      <c r="H180" s="557">
        <v>0</v>
      </c>
      <c r="I180" s="557">
        <v>0</v>
      </c>
      <c r="J180" s="557">
        <v>0</v>
      </c>
      <c r="K180" s="557">
        <v>0</v>
      </c>
      <c r="L180" s="557">
        <v>0</v>
      </c>
      <c r="M180" s="557">
        <v>0</v>
      </c>
      <c r="N180" s="557">
        <v>0</v>
      </c>
    </row>
    <row r="181" spans="1:14" hidden="1" x14ac:dyDescent="0.25">
      <c r="A181" s="551" t="str">
        <f>+Info!$B$2</f>
        <v>724</v>
      </c>
      <c r="B181" s="581"/>
      <c r="C181" s="581"/>
      <c r="D181" s="581"/>
      <c r="E181" s="557">
        <v>0</v>
      </c>
      <c r="F181" s="557">
        <v>0</v>
      </c>
      <c r="G181" s="557">
        <v>0</v>
      </c>
      <c r="H181" s="557">
        <v>0</v>
      </c>
      <c r="I181" s="557">
        <v>0</v>
      </c>
      <c r="J181" s="557">
        <v>0</v>
      </c>
      <c r="K181" s="557">
        <v>0</v>
      </c>
      <c r="L181" s="557">
        <v>0</v>
      </c>
      <c r="M181" s="557">
        <v>0</v>
      </c>
      <c r="N181" s="557">
        <v>0</v>
      </c>
    </row>
    <row r="182" spans="1:14" ht="15" customHeight="1" x14ac:dyDescent="0.25">
      <c r="A182" s="551" t="str">
        <f>+Info!$B$2</f>
        <v>724</v>
      </c>
      <c r="D182" s="927" t="s">
        <v>4269</v>
      </c>
      <c r="E182" s="922" t="s">
        <v>4270</v>
      </c>
      <c r="F182" s="922" t="s">
        <v>4271</v>
      </c>
      <c r="G182" s="922"/>
      <c r="H182" s="922"/>
      <c r="I182" s="922" t="s">
        <v>4206</v>
      </c>
      <c r="J182" s="922"/>
      <c r="K182" s="922"/>
      <c r="L182" s="922"/>
      <c r="M182" s="922"/>
      <c r="N182" s="922"/>
    </row>
    <row r="183" spans="1:14" ht="24" x14ac:dyDescent="0.25">
      <c r="A183" s="551" t="str">
        <f>+Info!$B$2</f>
        <v>724</v>
      </c>
      <c r="D183" s="927"/>
      <c r="E183" s="922"/>
      <c r="F183" s="590" t="s">
        <v>4272</v>
      </c>
      <c r="G183" s="590" t="s">
        <v>4273</v>
      </c>
      <c r="H183" s="590" t="s">
        <v>3517</v>
      </c>
      <c r="I183" s="590" t="s">
        <v>3537</v>
      </c>
      <c r="J183" s="590" t="s">
        <v>4272</v>
      </c>
      <c r="K183" s="590" t="s">
        <v>4273</v>
      </c>
      <c r="L183" s="590" t="s">
        <v>4274</v>
      </c>
      <c r="M183" s="590" t="s">
        <v>4275</v>
      </c>
      <c r="N183" s="590" t="s">
        <v>4211</v>
      </c>
    </row>
    <row r="184" spans="1:14" x14ac:dyDescent="0.25">
      <c r="A184" s="551" t="str">
        <f>+Info!$B$2</f>
        <v>724</v>
      </c>
      <c r="B184" s="591" t="s">
        <v>1097</v>
      </c>
      <c r="C184" s="591" t="s">
        <v>1098</v>
      </c>
      <c r="D184" s="591" t="s">
        <v>4266</v>
      </c>
      <c r="E184" s="598">
        <f t="shared" ref="E184:N184" si="13">SUM(E185:E196)</f>
        <v>0</v>
      </c>
      <c r="F184" s="598">
        <f t="shared" si="13"/>
        <v>0</v>
      </c>
      <c r="G184" s="598">
        <f t="shared" si="13"/>
        <v>0</v>
      </c>
      <c r="H184" s="598">
        <f t="shared" si="13"/>
        <v>0</v>
      </c>
      <c r="I184" s="598">
        <f t="shared" si="13"/>
        <v>0</v>
      </c>
      <c r="J184" s="598">
        <f t="shared" si="13"/>
        <v>0</v>
      </c>
      <c r="K184" s="598">
        <f t="shared" si="13"/>
        <v>0</v>
      </c>
      <c r="L184" s="598">
        <f t="shared" si="13"/>
        <v>0</v>
      </c>
      <c r="M184" s="598">
        <f t="shared" si="13"/>
        <v>0</v>
      </c>
      <c r="N184" s="598">
        <f t="shared" si="13"/>
        <v>0</v>
      </c>
    </row>
    <row r="185" spans="1:14" x14ac:dyDescent="0.25">
      <c r="A185" s="551" t="str">
        <f>+Info!$B$2</f>
        <v>724</v>
      </c>
      <c r="B185" s="559" t="s">
        <v>1097</v>
      </c>
      <c r="C185" s="559" t="str">
        <f t="shared" ref="C185:C196" si="14">$C$140</f>
        <v>1.10.30.20.010.010.00.000</v>
      </c>
      <c r="D185" s="599" t="str">
        <f t="shared" ref="D185:D196" si="15">IF(+D141="","",D141)</f>
        <v/>
      </c>
      <c r="E185" s="600"/>
      <c r="F185" s="600"/>
      <c r="G185" s="600"/>
      <c r="H185" s="601">
        <f t="shared" ref="H185:H196" si="16">+E185+F185-G185</f>
        <v>0</v>
      </c>
      <c r="I185" s="600"/>
      <c r="J185" s="600"/>
      <c r="K185" s="600"/>
      <c r="L185" s="600"/>
      <c r="M185" s="600"/>
      <c r="N185" s="601">
        <f t="shared" ref="N185:N196" si="17">+H185+I185+J185-K185+L185-M185</f>
        <v>0</v>
      </c>
    </row>
    <row r="186" spans="1:14" x14ac:dyDescent="0.25">
      <c r="A186" s="551" t="str">
        <f>+Info!$B$2</f>
        <v>724</v>
      </c>
      <c r="B186" s="559" t="s">
        <v>1097</v>
      </c>
      <c r="C186" s="559" t="str">
        <f t="shared" si="14"/>
        <v>1.10.30.20.010.010.00.000</v>
      </c>
      <c r="D186" s="599" t="str">
        <f t="shared" si="15"/>
        <v/>
      </c>
      <c r="E186" s="600"/>
      <c r="F186" s="600"/>
      <c r="G186" s="600"/>
      <c r="H186" s="601">
        <f t="shared" si="16"/>
        <v>0</v>
      </c>
      <c r="I186" s="600"/>
      <c r="J186" s="600"/>
      <c r="K186" s="600"/>
      <c r="L186" s="600"/>
      <c r="M186" s="600"/>
      <c r="N186" s="601">
        <f t="shared" si="17"/>
        <v>0</v>
      </c>
    </row>
    <row r="187" spans="1:14" x14ac:dyDescent="0.25">
      <c r="A187" s="551" t="str">
        <f>+Info!$B$2</f>
        <v>724</v>
      </c>
      <c r="B187" s="559" t="s">
        <v>1097</v>
      </c>
      <c r="C187" s="559" t="str">
        <f t="shared" si="14"/>
        <v>1.10.30.20.010.010.00.000</v>
      </c>
      <c r="D187" s="599" t="str">
        <f t="shared" si="15"/>
        <v/>
      </c>
      <c r="E187" s="600"/>
      <c r="F187" s="600"/>
      <c r="G187" s="600"/>
      <c r="H187" s="601">
        <f t="shared" si="16"/>
        <v>0</v>
      </c>
      <c r="I187" s="600"/>
      <c r="J187" s="600"/>
      <c r="K187" s="600"/>
      <c r="L187" s="600"/>
      <c r="M187" s="600"/>
      <c r="N187" s="601">
        <f t="shared" si="17"/>
        <v>0</v>
      </c>
    </row>
    <row r="188" spans="1:14" x14ac:dyDescent="0.25">
      <c r="A188" s="551" t="str">
        <f>+Info!$B$2</f>
        <v>724</v>
      </c>
      <c r="B188" s="559" t="s">
        <v>1097</v>
      </c>
      <c r="C188" s="559" t="str">
        <f t="shared" si="14"/>
        <v>1.10.30.20.010.010.00.000</v>
      </c>
      <c r="D188" s="599" t="str">
        <f t="shared" si="15"/>
        <v/>
      </c>
      <c r="E188" s="600"/>
      <c r="F188" s="600"/>
      <c r="G188" s="600"/>
      <c r="H188" s="601">
        <f t="shared" si="16"/>
        <v>0</v>
      </c>
      <c r="I188" s="600"/>
      <c r="J188" s="600"/>
      <c r="K188" s="600"/>
      <c r="L188" s="600"/>
      <c r="M188" s="600"/>
      <c r="N188" s="601">
        <f t="shared" si="17"/>
        <v>0</v>
      </c>
    </row>
    <row r="189" spans="1:14" x14ac:dyDescent="0.25">
      <c r="A189" s="551" t="str">
        <f>+Info!$B$2</f>
        <v>724</v>
      </c>
      <c r="B189" s="559" t="s">
        <v>1097</v>
      </c>
      <c r="C189" s="559" t="str">
        <f t="shared" si="14"/>
        <v>1.10.30.20.010.010.00.000</v>
      </c>
      <c r="D189" s="599" t="str">
        <f t="shared" si="15"/>
        <v/>
      </c>
      <c r="E189" s="600"/>
      <c r="F189" s="600"/>
      <c r="G189" s="600"/>
      <c r="H189" s="601">
        <f t="shared" si="16"/>
        <v>0</v>
      </c>
      <c r="I189" s="600"/>
      <c r="J189" s="600"/>
      <c r="K189" s="600"/>
      <c r="L189" s="600"/>
      <c r="M189" s="600"/>
      <c r="N189" s="601">
        <f t="shared" si="17"/>
        <v>0</v>
      </c>
    </row>
    <row r="190" spans="1:14" x14ac:dyDescent="0.25">
      <c r="A190" s="551" t="str">
        <f>+Info!$B$2</f>
        <v>724</v>
      </c>
      <c r="B190" s="559" t="s">
        <v>1097</v>
      </c>
      <c r="C190" s="559" t="str">
        <f t="shared" si="14"/>
        <v>1.10.30.20.010.010.00.000</v>
      </c>
      <c r="D190" s="599" t="str">
        <f t="shared" si="15"/>
        <v/>
      </c>
      <c r="E190" s="600"/>
      <c r="F190" s="600"/>
      <c r="G190" s="600"/>
      <c r="H190" s="601">
        <f t="shared" si="16"/>
        <v>0</v>
      </c>
      <c r="I190" s="600"/>
      <c r="J190" s="600"/>
      <c r="K190" s="600"/>
      <c r="L190" s="600"/>
      <c r="M190" s="600"/>
      <c r="N190" s="601">
        <f t="shared" si="17"/>
        <v>0</v>
      </c>
    </row>
    <row r="191" spans="1:14" x14ac:dyDescent="0.25">
      <c r="A191" s="551" t="str">
        <f>+Info!$B$2</f>
        <v>724</v>
      </c>
      <c r="B191" s="559" t="s">
        <v>1097</v>
      </c>
      <c r="C191" s="559" t="str">
        <f t="shared" si="14"/>
        <v>1.10.30.20.010.010.00.000</v>
      </c>
      <c r="D191" s="599" t="str">
        <f t="shared" si="15"/>
        <v/>
      </c>
      <c r="E191" s="600"/>
      <c r="F191" s="600"/>
      <c r="G191" s="600"/>
      <c r="H191" s="601">
        <f t="shared" si="16"/>
        <v>0</v>
      </c>
      <c r="I191" s="600"/>
      <c r="J191" s="600"/>
      <c r="K191" s="600"/>
      <c r="L191" s="600"/>
      <c r="M191" s="600"/>
      <c r="N191" s="601">
        <f t="shared" si="17"/>
        <v>0</v>
      </c>
    </row>
    <row r="192" spans="1:14" x14ac:dyDescent="0.25">
      <c r="A192" s="551" t="str">
        <f>+Info!$B$2</f>
        <v>724</v>
      </c>
      <c r="B192" s="559" t="s">
        <v>1097</v>
      </c>
      <c r="C192" s="559" t="str">
        <f t="shared" si="14"/>
        <v>1.10.30.20.010.010.00.000</v>
      </c>
      <c r="D192" s="599" t="str">
        <f t="shared" si="15"/>
        <v/>
      </c>
      <c r="E192" s="600"/>
      <c r="F192" s="600"/>
      <c r="G192" s="600"/>
      <c r="H192" s="601">
        <f t="shared" si="16"/>
        <v>0</v>
      </c>
      <c r="I192" s="600"/>
      <c r="J192" s="600"/>
      <c r="K192" s="600"/>
      <c r="L192" s="600"/>
      <c r="M192" s="600"/>
      <c r="N192" s="601">
        <f t="shared" si="17"/>
        <v>0</v>
      </c>
    </row>
    <row r="193" spans="1:14" x14ac:dyDescent="0.25">
      <c r="A193" s="551" t="str">
        <f>+Info!$B$2</f>
        <v>724</v>
      </c>
      <c r="B193" s="559" t="s">
        <v>1097</v>
      </c>
      <c r="C193" s="559" t="str">
        <f t="shared" si="14"/>
        <v>1.10.30.20.010.010.00.000</v>
      </c>
      <c r="D193" s="599" t="str">
        <f t="shared" si="15"/>
        <v/>
      </c>
      <c r="E193" s="600"/>
      <c r="F193" s="600"/>
      <c r="G193" s="600"/>
      <c r="H193" s="601">
        <f t="shared" si="16"/>
        <v>0</v>
      </c>
      <c r="I193" s="600"/>
      <c r="J193" s="600"/>
      <c r="K193" s="600"/>
      <c r="L193" s="600"/>
      <c r="M193" s="600"/>
      <c r="N193" s="601">
        <f t="shared" si="17"/>
        <v>0</v>
      </c>
    </row>
    <row r="194" spans="1:14" x14ac:dyDescent="0.25">
      <c r="A194" s="551" t="str">
        <f>+Info!$B$2</f>
        <v>724</v>
      </c>
      <c r="B194" s="559" t="s">
        <v>1097</v>
      </c>
      <c r="C194" s="559" t="str">
        <f t="shared" si="14"/>
        <v>1.10.30.20.010.010.00.000</v>
      </c>
      <c r="D194" s="599" t="str">
        <f t="shared" si="15"/>
        <v/>
      </c>
      <c r="E194" s="600"/>
      <c r="F194" s="600"/>
      <c r="G194" s="600"/>
      <c r="H194" s="601">
        <f t="shared" si="16"/>
        <v>0</v>
      </c>
      <c r="I194" s="600"/>
      <c r="J194" s="600"/>
      <c r="K194" s="600"/>
      <c r="L194" s="600"/>
      <c r="M194" s="600"/>
      <c r="N194" s="601">
        <f t="shared" si="17"/>
        <v>0</v>
      </c>
    </row>
    <row r="195" spans="1:14" x14ac:dyDescent="0.25">
      <c r="A195" s="551" t="str">
        <f>+Info!$B$2</f>
        <v>724</v>
      </c>
      <c r="B195" s="559" t="s">
        <v>1097</v>
      </c>
      <c r="C195" s="559" t="str">
        <f t="shared" si="14"/>
        <v>1.10.30.20.010.010.00.000</v>
      </c>
      <c r="D195" s="599" t="str">
        <f t="shared" si="15"/>
        <v/>
      </c>
      <c r="E195" s="600"/>
      <c r="F195" s="600"/>
      <c r="G195" s="600"/>
      <c r="H195" s="601">
        <f t="shared" si="16"/>
        <v>0</v>
      </c>
      <c r="I195" s="600"/>
      <c r="J195" s="600"/>
      <c r="K195" s="600"/>
      <c r="L195" s="600"/>
      <c r="M195" s="600"/>
      <c r="N195" s="601">
        <f t="shared" si="17"/>
        <v>0</v>
      </c>
    </row>
    <row r="196" spans="1:14" x14ac:dyDescent="0.25">
      <c r="A196" s="551" t="str">
        <f>+Info!$B$2</f>
        <v>724</v>
      </c>
      <c r="B196" s="559" t="s">
        <v>1097</v>
      </c>
      <c r="C196" s="559" t="str">
        <f t="shared" si="14"/>
        <v>1.10.30.20.010.010.00.000</v>
      </c>
      <c r="D196" s="599" t="str">
        <f t="shared" si="15"/>
        <v/>
      </c>
      <c r="E196" s="600"/>
      <c r="F196" s="600"/>
      <c r="G196" s="600"/>
      <c r="H196" s="601">
        <f t="shared" si="16"/>
        <v>0</v>
      </c>
      <c r="I196" s="600"/>
      <c r="J196" s="600"/>
      <c r="K196" s="600"/>
      <c r="L196" s="600"/>
      <c r="M196" s="600"/>
      <c r="N196" s="601">
        <f t="shared" si="17"/>
        <v>0</v>
      </c>
    </row>
    <row r="197" spans="1:14" x14ac:dyDescent="0.25">
      <c r="A197" s="551" t="str">
        <f>+Info!$B$2</f>
        <v>724</v>
      </c>
      <c r="B197" s="594" t="s">
        <v>1100</v>
      </c>
      <c r="C197" s="594" t="s">
        <v>1101</v>
      </c>
      <c r="D197" s="594" t="s">
        <v>4267</v>
      </c>
      <c r="E197" s="598">
        <f t="shared" ref="E197:N197" si="18">SUM(E198:E209)</f>
        <v>0</v>
      </c>
      <c r="F197" s="598">
        <f t="shared" si="18"/>
        <v>0</v>
      </c>
      <c r="G197" s="598">
        <f t="shared" si="18"/>
        <v>0</v>
      </c>
      <c r="H197" s="598">
        <f t="shared" si="18"/>
        <v>0</v>
      </c>
      <c r="I197" s="598">
        <f t="shared" si="18"/>
        <v>0</v>
      </c>
      <c r="J197" s="598">
        <f t="shared" si="18"/>
        <v>0</v>
      </c>
      <c r="K197" s="598">
        <f t="shared" si="18"/>
        <v>0</v>
      </c>
      <c r="L197" s="598">
        <f t="shared" si="18"/>
        <v>0</v>
      </c>
      <c r="M197" s="598">
        <f t="shared" si="18"/>
        <v>0</v>
      </c>
      <c r="N197" s="598">
        <f t="shared" si="18"/>
        <v>0</v>
      </c>
    </row>
    <row r="198" spans="1:14" x14ac:dyDescent="0.25">
      <c r="A198" s="551" t="str">
        <f>+Info!$B$2</f>
        <v>724</v>
      </c>
      <c r="B198" s="559" t="s">
        <v>1100</v>
      </c>
      <c r="C198" s="559" t="str">
        <f t="shared" ref="C198:C209" si="19">$C$153</f>
        <v>1.10.30.20.010.015.00.000</v>
      </c>
      <c r="D198" s="599" t="str">
        <f t="shared" ref="D198:D209" si="20">IF(+D154="","",D154)</f>
        <v/>
      </c>
      <c r="E198" s="593"/>
      <c r="F198" s="593"/>
      <c r="G198" s="593"/>
      <c r="H198" s="601">
        <f t="shared" ref="H198:H209" si="21">+E198+F198-G198</f>
        <v>0</v>
      </c>
      <c r="I198" s="593"/>
      <c r="J198" s="593"/>
      <c r="K198" s="593"/>
      <c r="L198" s="593"/>
      <c r="M198" s="593"/>
      <c r="N198" s="601">
        <f t="shared" ref="N198:N209" si="22">+H198+I198+J198-K198+L198-M198</f>
        <v>0</v>
      </c>
    </row>
    <row r="199" spans="1:14" x14ac:dyDescent="0.25">
      <c r="A199" s="551" t="str">
        <f>+Info!$B$2</f>
        <v>724</v>
      </c>
      <c r="B199" s="559" t="s">
        <v>1100</v>
      </c>
      <c r="C199" s="559" t="str">
        <f t="shared" si="19"/>
        <v>1.10.30.20.010.015.00.000</v>
      </c>
      <c r="D199" s="599" t="str">
        <f t="shared" si="20"/>
        <v/>
      </c>
      <c r="E199" s="593"/>
      <c r="F199" s="593"/>
      <c r="G199" s="593"/>
      <c r="H199" s="601">
        <f t="shared" si="21"/>
        <v>0</v>
      </c>
      <c r="I199" s="593"/>
      <c r="J199" s="593"/>
      <c r="K199" s="593"/>
      <c r="L199" s="593"/>
      <c r="M199" s="593"/>
      <c r="N199" s="601">
        <f t="shared" si="22"/>
        <v>0</v>
      </c>
    </row>
    <row r="200" spans="1:14" x14ac:dyDescent="0.25">
      <c r="A200" s="551" t="str">
        <f>+Info!$B$2</f>
        <v>724</v>
      </c>
      <c r="B200" s="559" t="s">
        <v>1100</v>
      </c>
      <c r="C200" s="559" t="str">
        <f t="shared" si="19"/>
        <v>1.10.30.20.010.015.00.000</v>
      </c>
      <c r="D200" s="599" t="str">
        <f t="shared" si="20"/>
        <v/>
      </c>
      <c r="E200" s="593"/>
      <c r="F200" s="593"/>
      <c r="G200" s="593"/>
      <c r="H200" s="601">
        <f t="shared" si="21"/>
        <v>0</v>
      </c>
      <c r="I200" s="593"/>
      <c r="J200" s="593"/>
      <c r="K200" s="593"/>
      <c r="L200" s="593"/>
      <c r="M200" s="593"/>
      <c r="N200" s="601">
        <f t="shared" si="22"/>
        <v>0</v>
      </c>
    </row>
    <row r="201" spans="1:14" x14ac:dyDescent="0.25">
      <c r="A201" s="551" t="str">
        <f>+Info!$B$2</f>
        <v>724</v>
      </c>
      <c r="B201" s="559" t="s">
        <v>1100</v>
      </c>
      <c r="C201" s="559" t="str">
        <f t="shared" si="19"/>
        <v>1.10.30.20.010.015.00.000</v>
      </c>
      <c r="D201" s="599" t="str">
        <f t="shared" si="20"/>
        <v/>
      </c>
      <c r="E201" s="593"/>
      <c r="F201" s="593"/>
      <c r="G201" s="593"/>
      <c r="H201" s="601">
        <f t="shared" si="21"/>
        <v>0</v>
      </c>
      <c r="I201" s="593"/>
      <c r="J201" s="593"/>
      <c r="K201" s="593"/>
      <c r="L201" s="593"/>
      <c r="M201" s="593"/>
      <c r="N201" s="601">
        <f t="shared" si="22"/>
        <v>0</v>
      </c>
    </row>
    <row r="202" spans="1:14" x14ac:dyDescent="0.25">
      <c r="A202" s="551" t="str">
        <f>+Info!$B$2</f>
        <v>724</v>
      </c>
      <c r="B202" s="559" t="s">
        <v>1100</v>
      </c>
      <c r="C202" s="559" t="str">
        <f t="shared" si="19"/>
        <v>1.10.30.20.010.015.00.000</v>
      </c>
      <c r="D202" s="599" t="str">
        <f t="shared" si="20"/>
        <v/>
      </c>
      <c r="E202" s="593"/>
      <c r="F202" s="593"/>
      <c r="G202" s="593"/>
      <c r="H202" s="601">
        <f t="shared" si="21"/>
        <v>0</v>
      </c>
      <c r="I202" s="593"/>
      <c r="J202" s="593"/>
      <c r="K202" s="593"/>
      <c r="L202" s="593"/>
      <c r="M202" s="593"/>
      <c r="N202" s="601">
        <f t="shared" si="22"/>
        <v>0</v>
      </c>
    </row>
    <row r="203" spans="1:14" x14ac:dyDescent="0.25">
      <c r="A203" s="551" t="str">
        <f>+Info!$B$2</f>
        <v>724</v>
      </c>
      <c r="B203" s="559" t="s">
        <v>1100</v>
      </c>
      <c r="C203" s="559" t="str">
        <f t="shared" si="19"/>
        <v>1.10.30.20.010.015.00.000</v>
      </c>
      <c r="D203" s="599" t="str">
        <f t="shared" si="20"/>
        <v/>
      </c>
      <c r="E203" s="593"/>
      <c r="F203" s="593"/>
      <c r="G203" s="593"/>
      <c r="H203" s="601">
        <f t="shared" si="21"/>
        <v>0</v>
      </c>
      <c r="I203" s="593"/>
      <c r="J203" s="593"/>
      <c r="K203" s="593"/>
      <c r="L203" s="593"/>
      <c r="M203" s="593"/>
      <c r="N203" s="601">
        <f t="shared" si="22"/>
        <v>0</v>
      </c>
    </row>
    <row r="204" spans="1:14" x14ac:dyDescent="0.25">
      <c r="A204" s="551" t="str">
        <f>+Info!$B$2</f>
        <v>724</v>
      </c>
      <c r="B204" s="559" t="s">
        <v>1100</v>
      </c>
      <c r="C204" s="559" t="str">
        <f t="shared" si="19"/>
        <v>1.10.30.20.010.015.00.000</v>
      </c>
      <c r="D204" s="599" t="str">
        <f t="shared" si="20"/>
        <v/>
      </c>
      <c r="E204" s="593"/>
      <c r="F204" s="593"/>
      <c r="G204" s="593"/>
      <c r="H204" s="601">
        <f t="shared" si="21"/>
        <v>0</v>
      </c>
      <c r="I204" s="593"/>
      <c r="J204" s="593"/>
      <c r="K204" s="593"/>
      <c r="L204" s="593"/>
      <c r="M204" s="593"/>
      <c r="N204" s="601">
        <f t="shared" si="22"/>
        <v>0</v>
      </c>
    </row>
    <row r="205" spans="1:14" x14ac:dyDescent="0.25">
      <c r="A205" s="551" t="str">
        <f>+Info!$B$2</f>
        <v>724</v>
      </c>
      <c r="B205" s="559" t="s">
        <v>1100</v>
      </c>
      <c r="C205" s="559" t="str">
        <f t="shared" si="19"/>
        <v>1.10.30.20.010.015.00.000</v>
      </c>
      <c r="D205" s="599" t="str">
        <f t="shared" si="20"/>
        <v/>
      </c>
      <c r="E205" s="593"/>
      <c r="F205" s="593"/>
      <c r="G205" s="593"/>
      <c r="H205" s="601">
        <f t="shared" si="21"/>
        <v>0</v>
      </c>
      <c r="I205" s="593"/>
      <c r="J205" s="593"/>
      <c r="K205" s="593"/>
      <c r="L205" s="593"/>
      <c r="M205" s="593"/>
      <c r="N205" s="601">
        <f t="shared" si="22"/>
        <v>0</v>
      </c>
    </row>
    <row r="206" spans="1:14" x14ac:dyDescent="0.25">
      <c r="A206" s="551" t="str">
        <f>+Info!$B$2</f>
        <v>724</v>
      </c>
      <c r="B206" s="559" t="s">
        <v>1100</v>
      </c>
      <c r="C206" s="559" t="str">
        <f t="shared" si="19"/>
        <v>1.10.30.20.010.015.00.000</v>
      </c>
      <c r="D206" s="599" t="str">
        <f t="shared" si="20"/>
        <v/>
      </c>
      <c r="E206" s="593"/>
      <c r="F206" s="593"/>
      <c r="G206" s="593"/>
      <c r="H206" s="601">
        <f t="shared" si="21"/>
        <v>0</v>
      </c>
      <c r="I206" s="593"/>
      <c r="J206" s="593"/>
      <c r="K206" s="593"/>
      <c r="L206" s="593"/>
      <c r="M206" s="593"/>
      <c r="N206" s="601">
        <f t="shared" si="22"/>
        <v>0</v>
      </c>
    </row>
    <row r="207" spans="1:14" x14ac:dyDescent="0.25">
      <c r="A207" s="551" t="str">
        <f>+Info!$B$2</f>
        <v>724</v>
      </c>
      <c r="B207" s="559" t="s">
        <v>1100</v>
      </c>
      <c r="C207" s="559" t="str">
        <f t="shared" si="19"/>
        <v>1.10.30.20.010.015.00.000</v>
      </c>
      <c r="D207" s="599" t="str">
        <f t="shared" si="20"/>
        <v/>
      </c>
      <c r="E207" s="593"/>
      <c r="F207" s="593"/>
      <c r="G207" s="593"/>
      <c r="H207" s="601">
        <f t="shared" si="21"/>
        <v>0</v>
      </c>
      <c r="I207" s="593"/>
      <c r="J207" s="593"/>
      <c r="K207" s="593"/>
      <c r="L207" s="593"/>
      <c r="M207" s="593"/>
      <c r="N207" s="601">
        <f t="shared" si="22"/>
        <v>0</v>
      </c>
    </row>
    <row r="208" spans="1:14" x14ac:dyDescent="0.25">
      <c r="A208" s="551" t="str">
        <f>+Info!$B$2</f>
        <v>724</v>
      </c>
      <c r="B208" s="559" t="s">
        <v>1100</v>
      </c>
      <c r="C208" s="559" t="str">
        <f t="shared" si="19"/>
        <v>1.10.30.20.010.015.00.000</v>
      </c>
      <c r="D208" s="599" t="str">
        <f t="shared" si="20"/>
        <v/>
      </c>
      <c r="E208" s="593"/>
      <c r="F208" s="593"/>
      <c r="G208" s="593"/>
      <c r="H208" s="601">
        <f t="shared" si="21"/>
        <v>0</v>
      </c>
      <c r="I208" s="593"/>
      <c r="J208" s="593"/>
      <c r="K208" s="593"/>
      <c r="L208" s="593"/>
      <c r="M208" s="593"/>
      <c r="N208" s="601">
        <f t="shared" si="22"/>
        <v>0</v>
      </c>
    </row>
    <row r="209" spans="1:14" x14ac:dyDescent="0.25">
      <c r="A209" s="551" t="str">
        <f>+Info!$B$2</f>
        <v>724</v>
      </c>
      <c r="B209" s="559" t="s">
        <v>1100</v>
      </c>
      <c r="C209" s="559" t="str">
        <f t="shared" si="19"/>
        <v>1.10.30.20.010.015.00.000</v>
      </c>
      <c r="D209" s="599" t="str">
        <f t="shared" si="20"/>
        <v/>
      </c>
      <c r="E209" s="593"/>
      <c r="F209" s="593"/>
      <c r="G209" s="593"/>
      <c r="H209" s="601">
        <f t="shared" si="21"/>
        <v>0</v>
      </c>
      <c r="I209" s="593"/>
      <c r="J209" s="593"/>
      <c r="K209" s="593"/>
      <c r="L209" s="593"/>
      <c r="M209" s="593"/>
      <c r="N209" s="601">
        <f t="shared" si="22"/>
        <v>0</v>
      </c>
    </row>
    <row r="210" spans="1:14" x14ac:dyDescent="0.25">
      <c r="A210" s="551" t="str">
        <f>+Info!$B$2</f>
        <v>724</v>
      </c>
      <c r="B210" s="594" t="s">
        <v>1103</v>
      </c>
      <c r="C210" s="594" t="s">
        <v>1104</v>
      </c>
      <c r="D210" s="594" t="s">
        <v>4268</v>
      </c>
      <c r="E210" s="598">
        <f t="shared" ref="E210:N210" si="23">SUM(E211:E222)</f>
        <v>0</v>
      </c>
      <c r="F210" s="598">
        <f t="shared" si="23"/>
        <v>0</v>
      </c>
      <c r="G210" s="598">
        <f t="shared" si="23"/>
        <v>0</v>
      </c>
      <c r="H210" s="598">
        <f t="shared" si="23"/>
        <v>0</v>
      </c>
      <c r="I210" s="598">
        <f t="shared" si="23"/>
        <v>0</v>
      </c>
      <c r="J210" s="598">
        <f t="shared" si="23"/>
        <v>0</v>
      </c>
      <c r="K210" s="598">
        <f t="shared" si="23"/>
        <v>0</v>
      </c>
      <c r="L210" s="598">
        <f t="shared" si="23"/>
        <v>0</v>
      </c>
      <c r="M210" s="598">
        <f t="shared" si="23"/>
        <v>0</v>
      </c>
      <c r="N210" s="598">
        <f t="shared" si="23"/>
        <v>0</v>
      </c>
    </row>
    <row r="211" spans="1:14" x14ac:dyDescent="0.25">
      <c r="A211" s="551" t="str">
        <f>+Info!$B$2</f>
        <v>724</v>
      </c>
      <c r="B211" s="559" t="s">
        <v>1103</v>
      </c>
      <c r="C211" s="559" t="str">
        <f t="shared" ref="C211:C222" si="24">$C$166</f>
        <v>1.10.30.20.010.020.00.000</v>
      </c>
      <c r="D211" s="599" t="str">
        <f t="shared" ref="D211:D222" si="25">IF(+D167="","",D167)</f>
        <v/>
      </c>
      <c r="E211" s="593"/>
      <c r="F211" s="593"/>
      <c r="G211" s="593"/>
      <c r="H211" s="601">
        <f t="shared" ref="H211:H222" si="26">+E211+F211-G211</f>
        <v>0</v>
      </c>
      <c r="I211" s="593"/>
      <c r="J211" s="593"/>
      <c r="K211" s="593"/>
      <c r="L211" s="593"/>
      <c r="M211" s="593"/>
      <c r="N211" s="601">
        <f t="shared" ref="N211:N222" si="27">+H211+I211+J211-K211+L211-M211</f>
        <v>0</v>
      </c>
    </row>
    <row r="212" spans="1:14" x14ac:dyDescent="0.25">
      <c r="A212" s="551" t="str">
        <f>+Info!$B$2</f>
        <v>724</v>
      </c>
      <c r="B212" s="559" t="s">
        <v>1103</v>
      </c>
      <c r="C212" s="559" t="str">
        <f t="shared" si="24"/>
        <v>1.10.30.20.010.020.00.000</v>
      </c>
      <c r="D212" s="599" t="str">
        <f t="shared" si="25"/>
        <v/>
      </c>
      <c r="E212" s="593"/>
      <c r="F212" s="593"/>
      <c r="G212" s="593"/>
      <c r="H212" s="601">
        <f t="shared" si="26"/>
        <v>0</v>
      </c>
      <c r="I212" s="593"/>
      <c r="J212" s="593"/>
      <c r="K212" s="593"/>
      <c r="L212" s="593"/>
      <c r="M212" s="593"/>
      <c r="N212" s="601">
        <f t="shared" si="27"/>
        <v>0</v>
      </c>
    </row>
    <row r="213" spans="1:14" x14ac:dyDescent="0.25">
      <c r="A213" s="551" t="str">
        <f>+Info!$B$2</f>
        <v>724</v>
      </c>
      <c r="B213" s="559" t="s">
        <v>1103</v>
      </c>
      <c r="C213" s="559" t="str">
        <f t="shared" si="24"/>
        <v>1.10.30.20.010.020.00.000</v>
      </c>
      <c r="D213" s="599" t="str">
        <f t="shared" si="25"/>
        <v/>
      </c>
      <c r="E213" s="593"/>
      <c r="F213" s="593"/>
      <c r="G213" s="593"/>
      <c r="H213" s="601">
        <f t="shared" si="26"/>
        <v>0</v>
      </c>
      <c r="I213" s="593"/>
      <c r="J213" s="593"/>
      <c r="K213" s="593"/>
      <c r="L213" s="593"/>
      <c r="M213" s="593"/>
      <c r="N213" s="601">
        <f t="shared" si="27"/>
        <v>0</v>
      </c>
    </row>
    <row r="214" spans="1:14" x14ac:dyDescent="0.25">
      <c r="A214" s="551" t="str">
        <f>+Info!$B$2</f>
        <v>724</v>
      </c>
      <c r="B214" s="559" t="s">
        <v>1103</v>
      </c>
      <c r="C214" s="559" t="str">
        <f t="shared" si="24"/>
        <v>1.10.30.20.010.020.00.000</v>
      </c>
      <c r="D214" s="599" t="str">
        <f t="shared" si="25"/>
        <v/>
      </c>
      <c r="E214" s="593"/>
      <c r="F214" s="593"/>
      <c r="G214" s="593"/>
      <c r="H214" s="601">
        <f t="shared" si="26"/>
        <v>0</v>
      </c>
      <c r="I214" s="593"/>
      <c r="J214" s="593"/>
      <c r="K214" s="593"/>
      <c r="L214" s="593"/>
      <c r="M214" s="593"/>
      <c r="N214" s="601">
        <f t="shared" si="27"/>
        <v>0</v>
      </c>
    </row>
    <row r="215" spans="1:14" x14ac:dyDescent="0.25">
      <c r="A215" s="551" t="str">
        <f>+Info!$B$2</f>
        <v>724</v>
      </c>
      <c r="B215" s="559" t="s">
        <v>1103</v>
      </c>
      <c r="C215" s="559" t="str">
        <f t="shared" si="24"/>
        <v>1.10.30.20.010.020.00.000</v>
      </c>
      <c r="D215" s="599" t="str">
        <f t="shared" si="25"/>
        <v/>
      </c>
      <c r="E215" s="593"/>
      <c r="F215" s="593"/>
      <c r="G215" s="593"/>
      <c r="H215" s="601">
        <f t="shared" si="26"/>
        <v>0</v>
      </c>
      <c r="I215" s="593"/>
      <c r="J215" s="593"/>
      <c r="K215" s="593"/>
      <c r="L215" s="593"/>
      <c r="M215" s="593"/>
      <c r="N215" s="601">
        <f t="shared" si="27"/>
        <v>0</v>
      </c>
    </row>
    <row r="216" spans="1:14" x14ac:dyDescent="0.25">
      <c r="A216" s="551" t="str">
        <f>+Info!$B$2</f>
        <v>724</v>
      </c>
      <c r="B216" s="559" t="s">
        <v>1103</v>
      </c>
      <c r="C216" s="559" t="str">
        <f t="shared" si="24"/>
        <v>1.10.30.20.010.020.00.000</v>
      </c>
      <c r="D216" s="599" t="str">
        <f t="shared" si="25"/>
        <v/>
      </c>
      <c r="E216" s="593"/>
      <c r="F216" s="593"/>
      <c r="G216" s="593"/>
      <c r="H216" s="601">
        <f t="shared" si="26"/>
        <v>0</v>
      </c>
      <c r="I216" s="593"/>
      <c r="J216" s="593"/>
      <c r="K216" s="593"/>
      <c r="L216" s="593"/>
      <c r="M216" s="593"/>
      <c r="N216" s="601">
        <f t="shared" si="27"/>
        <v>0</v>
      </c>
    </row>
    <row r="217" spans="1:14" x14ac:dyDescent="0.25">
      <c r="A217" s="551" t="str">
        <f>+Info!$B$2</f>
        <v>724</v>
      </c>
      <c r="B217" s="559" t="s">
        <v>1103</v>
      </c>
      <c r="C217" s="559" t="str">
        <f t="shared" si="24"/>
        <v>1.10.30.20.010.020.00.000</v>
      </c>
      <c r="D217" s="599" t="str">
        <f t="shared" si="25"/>
        <v/>
      </c>
      <c r="E217" s="593"/>
      <c r="F217" s="593"/>
      <c r="G217" s="593"/>
      <c r="H217" s="601">
        <f t="shared" si="26"/>
        <v>0</v>
      </c>
      <c r="I217" s="593"/>
      <c r="J217" s="593"/>
      <c r="K217" s="593"/>
      <c r="L217" s="593"/>
      <c r="M217" s="593"/>
      <c r="N217" s="601">
        <f t="shared" si="27"/>
        <v>0</v>
      </c>
    </row>
    <row r="218" spans="1:14" x14ac:dyDescent="0.25">
      <c r="A218" s="551" t="str">
        <f>+Info!$B$2</f>
        <v>724</v>
      </c>
      <c r="B218" s="559" t="s">
        <v>1103</v>
      </c>
      <c r="C218" s="559" t="str">
        <f t="shared" si="24"/>
        <v>1.10.30.20.010.020.00.000</v>
      </c>
      <c r="D218" s="599" t="str">
        <f t="shared" si="25"/>
        <v/>
      </c>
      <c r="E218" s="593"/>
      <c r="F218" s="593"/>
      <c r="G218" s="593"/>
      <c r="H218" s="601">
        <f t="shared" si="26"/>
        <v>0</v>
      </c>
      <c r="I218" s="593"/>
      <c r="J218" s="593"/>
      <c r="K218" s="593"/>
      <c r="L218" s="593"/>
      <c r="M218" s="593"/>
      <c r="N218" s="601">
        <f t="shared" si="27"/>
        <v>0</v>
      </c>
    </row>
    <row r="219" spans="1:14" x14ac:dyDescent="0.25">
      <c r="A219" s="551" t="str">
        <f>+Info!$B$2</f>
        <v>724</v>
      </c>
      <c r="B219" s="559" t="s">
        <v>1103</v>
      </c>
      <c r="C219" s="559" t="str">
        <f t="shared" si="24"/>
        <v>1.10.30.20.010.020.00.000</v>
      </c>
      <c r="D219" s="599" t="str">
        <f t="shared" si="25"/>
        <v/>
      </c>
      <c r="E219" s="593"/>
      <c r="F219" s="593"/>
      <c r="G219" s="593"/>
      <c r="H219" s="601">
        <f t="shared" si="26"/>
        <v>0</v>
      </c>
      <c r="I219" s="593"/>
      <c r="J219" s="593"/>
      <c r="K219" s="593"/>
      <c r="L219" s="593"/>
      <c r="M219" s="593"/>
      <c r="N219" s="601">
        <f t="shared" si="27"/>
        <v>0</v>
      </c>
    </row>
    <row r="220" spans="1:14" x14ac:dyDescent="0.25">
      <c r="A220" s="551" t="str">
        <f>+Info!$B$2</f>
        <v>724</v>
      </c>
      <c r="B220" s="559" t="s">
        <v>1103</v>
      </c>
      <c r="C220" s="559" t="str">
        <f t="shared" si="24"/>
        <v>1.10.30.20.010.020.00.000</v>
      </c>
      <c r="D220" s="599" t="str">
        <f t="shared" si="25"/>
        <v/>
      </c>
      <c r="E220" s="593"/>
      <c r="F220" s="593"/>
      <c r="G220" s="593"/>
      <c r="H220" s="601">
        <f t="shared" si="26"/>
        <v>0</v>
      </c>
      <c r="I220" s="593"/>
      <c r="J220" s="593"/>
      <c r="K220" s="593"/>
      <c r="L220" s="593"/>
      <c r="M220" s="593"/>
      <c r="N220" s="601">
        <f t="shared" si="27"/>
        <v>0</v>
      </c>
    </row>
    <row r="221" spans="1:14" x14ac:dyDescent="0.25">
      <c r="A221" s="551" t="str">
        <f>+Info!$B$2</f>
        <v>724</v>
      </c>
      <c r="B221" s="559" t="s">
        <v>1103</v>
      </c>
      <c r="C221" s="559" t="str">
        <f t="shared" si="24"/>
        <v>1.10.30.20.010.020.00.000</v>
      </c>
      <c r="D221" s="599" t="str">
        <f t="shared" si="25"/>
        <v/>
      </c>
      <c r="E221" s="593"/>
      <c r="F221" s="593"/>
      <c r="G221" s="593"/>
      <c r="H221" s="601">
        <f t="shared" si="26"/>
        <v>0</v>
      </c>
      <c r="I221" s="593"/>
      <c r="J221" s="593"/>
      <c r="K221" s="593"/>
      <c r="L221" s="593"/>
      <c r="M221" s="593"/>
      <c r="N221" s="601">
        <f t="shared" si="27"/>
        <v>0</v>
      </c>
    </row>
    <row r="222" spans="1:14" x14ac:dyDescent="0.25">
      <c r="A222" s="551" t="str">
        <f>+Info!$B$2</f>
        <v>724</v>
      </c>
      <c r="B222" s="559" t="s">
        <v>1103</v>
      </c>
      <c r="C222" s="559" t="str">
        <f t="shared" si="24"/>
        <v>1.10.30.20.010.020.00.000</v>
      </c>
      <c r="D222" s="599" t="str">
        <f t="shared" si="25"/>
        <v/>
      </c>
      <c r="E222" s="593"/>
      <c r="F222" s="593"/>
      <c r="G222" s="593"/>
      <c r="H222" s="601">
        <f t="shared" si="26"/>
        <v>0</v>
      </c>
      <c r="I222" s="593"/>
      <c r="J222" s="593"/>
      <c r="K222" s="593"/>
      <c r="L222" s="593"/>
      <c r="M222" s="593"/>
      <c r="N222" s="601">
        <f t="shared" si="27"/>
        <v>0</v>
      </c>
    </row>
    <row r="223" spans="1:14" x14ac:dyDescent="0.25">
      <c r="A223" s="551" t="str">
        <f>+Info!$B$2</f>
        <v>724</v>
      </c>
    </row>
    <row r="224" spans="1:14" s="557" customFormat="1" x14ac:dyDescent="0.25">
      <c r="A224" s="551" t="str">
        <f>+Info!$B$2</f>
        <v>724</v>
      </c>
      <c r="B224" s="551"/>
      <c r="C224" s="565"/>
      <c r="D224" s="565"/>
      <c r="E224" s="565"/>
      <c r="F224" s="565"/>
      <c r="G224" s="565"/>
      <c r="H224" s="565"/>
      <c r="I224" s="565"/>
      <c r="J224" s="565"/>
      <c r="K224" s="565"/>
      <c r="L224" s="565"/>
    </row>
    <row r="225" spans="1:14" s="557" customFormat="1" ht="19.5" x14ac:dyDescent="0.3">
      <c r="A225" s="551" t="str">
        <f>+Info!$B$2</f>
        <v>724</v>
      </c>
      <c r="B225" s="551"/>
      <c r="C225" s="565"/>
      <c r="D225" s="926" t="s">
        <v>4276</v>
      </c>
      <c r="E225" s="926"/>
      <c r="F225" s="926"/>
      <c r="G225" s="926"/>
      <c r="H225" s="926"/>
      <c r="I225" s="926"/>
      <c r="J225" s="926"/>
      <c r="K225" s="926"/>
      <c r="L225" s="926"/>
      <c r="M225" s="926"/>
      <c r="N225" s="926"/>
    </row>
    <row r="226" spans="1:14" s="557" customFormat="1" ht="19.5" x14ac:dyDescent="0.3">
      <c r="A226" s="551"/>
      <c r="B226" s="565"/>
      <c r="C226" s="565"/>
      <c r="D226" s="587"/>
      <c r="E226" s="587"/>
      <c r="F226" s="587"/>
      <c r="G226" s="587"/>
      <c r="H226" s="587"/>
      <c r="I226" s="587"/>
      <c r="J226" s="587"/>
      <c r="K226" s="587"/>
      <c r="L226" s="587"/>
      <c r="M226" s="587"/>
      <c r="N226" s="587"/>
    </row>
    <row r="227" spans="1:14" s="557" customFormat="1" ht="19.5" hidden="1" x14ac:dyDescent="0.3">
      <c r="A227" s="551"/>
      <c r="B227" s="588"/>
      <c r="C227" s="588" t="s">
        <v>4253</v>
      </c>
      <c r="D227" s="588" t="s">
        <v>4254</v>
      </c>
      <c r="E227" s="581"/>
      <c r="F227" s="587"/>
      <c r="G227" s="587"/>
      <c r="H227" s="581">
        <v>0</v>
      </c>
      <c r="I227" s="581">
        <v>0</v>
      </c>
      <c r="J227" s="581">
        <v>0</v>
      </c>
      <c r="K227" s="581">
        <v>0</v>
      </c>
      <c r="L227" s="581">
        <v>0</v>
      </c>
      <c r="M227" s="581">
        <v>0</v>
      </c>
      <c r="N227" s="587"/>
    </row>
    <row r="228" spans="1:14" s="557" customFormat="1" hidden="1" x14ac:dyDescent="0.25">
      <c r="A228" s="551"/>
      <c r="B228" s="581"/>
      <c r="C228" s="581"/>
      <c r="D228" s="581"/>
      <c r="E228" s="581"/>
      <c r="F228" s="581"/>
      <c r="G228" s="581"/>
      <c r="H228" s="581">
        <v>0</v>
      </c>
      <c r="I228" s="581">
        <v>0</v>
      </c>
      <c r="J228" s="581">
        <v>0</v>
      </c>
      <c r="K228" s="581">
        <v>0</v>
      </c>
      <c r="L228" s="581">
        <v>0</v>
      </c>
      <c r="M228" s="581">
        <v>0</v>
      </c>
      <c r="N228" s="581"/>
    </row>
    <row r="229" spans="1:14" s="557" customFormat="1" ht="19.5" hidden="1" x14ac:dyDescent="0.3">
      <c r="A229" s="551"/>
      <c r="B229" s="581"/>
      <c r="C229" s="581"/>
      <c r="D229" s="587"/>
      <c r="E229" s="587"/>
      <c r="F229" s="587"/>
      <c r="G229" s="587"/>
      <c r="H229" s="581">
        <v>0</v>
      </c>
      <c r="I229" s="581">
        <v>0</v>
      </c>
      <c r="J229" s="581">
        <v>0</v>
      </c>
      <c r="K229" s="581">
        <v>0</v>
      </c>
      <c r="L229" s="581">
        <v>0</v>
      </c>
      <c r="M229" s="581">
        <v>0</v>
      </c>
      <c r="N229" s="581"/>
    </row>
    <row r="230" spans="1:14" hidden="1" x14ac:dyDescent="0.25">
      <c r="A230" s="551" t="str">
        <f>+Info!$B$2</f>
        <v>724</v>
      </c>
      <c r="B230"/>
      <c r="C230"/>
      <c r="D230"/>
      <c r="E230"/>
      <c r="F230"/>
      <c r="G230"/>
      <c r="H230" s="581">
        <v>0</v>
      </c>
      <c r="I230" s="581">
        <v>0</v>
      </c>
      <c r="J230" s="581">
        <v>0</v>
      </c>
      <c r="K230" s="581">
        <v>0</v>
      </c>
      <c r="L230" s="581">
        <v>0</v>
      </c>
      <c r="M230" s="581">
        <v>0</v>
      </c>
      <c r="N230" s="581"/>
    </row>
    <row r="231" spans="1:14" ht="36" x14ac:dyDescent="0.25">
      <c r="A231" s="551" t="str">
        <f>+Info!$B$2</f>
        <v>724</v>
      </c>
      <c r="D231" s="589" t="s">
        <v>4255</v>
      </c>
      <c r="E231" s="590" t="s">
        <v>4256</v>
      </c>
      <c r="F231" s="590" t="s">
        <v>4257</v>
      </c>
      <c r="G231" s="590" t="s">
        <v>4258</v>
      </c>
      <c r="H231" s="590" t="s">
        <v>4259</v>
      </c>
      <c r="I231" s="590" t="s">
        <v>4260</v>
      </c>
      <c r="J231" s="590" t="s">
        <v>4261</v>
      </c>
      <c r="K231" s="590" t="s">
        <v>4262</v>
      </c>
      <c r="L231" s="590" t="s">
        <v>4263</v>
      </c>
      <c r="M231" s="590" t="s">
        <v>4264</v>
      </c>
      <c r="N231" s="590" t="s">
        <v>4265</v>
      </c>
    </row>
    <row r="232" spans="1:14" x14ac:dyDescent="0.25">
      <c r="A232" s="551" t="str">
        <f>+Info!$B$2</f>
        <v>724</v>
      </c>
      <c r="B232" s="591" t="s">
        <v>1760</v>
      </c>
      <c r="C232" s="591" t="s">
        <v>1761</v>
      </c>
      <c r="D232" s="591" t="s">
        <v>4266</v>
      </c>
      <c r="E232" s="592"/>
      <c r="F232" s="592"/>
      <c r="G232" s="592"/>
      <c r="H232" s="592"/>
      <c r="I232" s="592"/>
      <c r="J232" s="592"/>
      <c r="K232" s="592"/>
      <c r="L232" s="592"/>
      <c r="M232" s="592"/>
      <c r="N232" s="592"/>
    </row>
    <row r="233" spans="1:14" x14ac:dyDescent="0.25">
      <c r="A233" s="551" t="str">
        <f>+Info!$B$2</f>
        <v>724</v>
      </c>
      <c r="B233" s="559" t="s">
        <v>1760</v>
      </c>
      <c r="C233" s="559" t="str">
        <f t="shared" ref="C233:C244" si="28">$C$232</f>
        <v>1.20.30.10.010.000.00.000</v>
      </c>
      <c r="D233" s="593"/>
      <c r="E233" s="563"/>
      <c r="F233" s="563"/>
      <c r="G233" s="563"/>
      <c r="H233" s="563"/>
      <c r="I233" s="563"/>
      <c r="J233" s="563"/>
      <c r="K233" s="563"/>
      <c r="L233" s="563"/>
      <c r="M233" s="563"/>
      <c r="N233" s="563"/>
    </row>
    <row r="234" spans="1:14" x14ac:dyDescent="0.25">
      <c r="A234" s="551" t="str">
        <f>+Info!$B$2</f>
        <v>724</v>
      </c>
      <c r="B234" s="559" t="s">
        <v>1760</v>
      </c>
      <c r="C234" s="559" t="str">
        <f t="shared" si="28"/>
        <v>1.20.30.10.010.000.00.000</v>
      </c>
      <c r="D234" s="593"/>
      <c r="E234" s="563"/>
      <c r="F234" s="563"/>
      <c r="G234" s="563"/>
      <c r="H234" s="563"/>
      <c r="I234" s="563"/>
      <c r="J234" s="563"/>
      <c r="K234" s="563"/>
      <c r="L234" s="563"/>
      <c r="M234" s="563"/>
      <c r="N234" s="563"/>
    </row>
    <row r="235" spans="1:14" x14ac:dyDescent="0.25">
      <c r="A235" s="551" t="str">
        <f>+Info!$B$2</f>
        <v>724</v>
      </c>
      <c r="B235" s="559" t="s">
        <v>1760</v>
      </c>
      <c r="C235" s="559" t="str">
        <f t="shared" si="28"/>
        <v>1.20.30.10.010.000.00.000</v>
      </c>
      <c r="D235" s="593"/>
      <c r="E235" s="563"/>
      <c r="F235" s="563"/>
      <c r="G235" s="563"/>
      <c r="H235" s="563"/>
      <c r="I235" s="563"/>
      <c r="J235" s="563"/>
      <c r="K235" s="563"/>
      <c r="L235" s="563"/>
      <c r="M235" s="563"/>
      <c r="N235" s="563"/>
    </row>
    <row r="236" spans="1:14" x14ac:dyDescent="0.25">
      <c r="A236" s="551" t="str">
        <f>+Info!$B$2</f>
        <v>724</v>
      </c>
      <c r="B236" s="559" t="s">
        <v>1760</v>
      </c>
      <c r="C236" s="559" t="str">
        <f t="shared" si="28"/>
        <v>1.20.30.10.010.000.00.000</v>
      </c>
      <c r="D236" s="593"/>
      <c r="E236" s="563"/>
      <c r="F236" s="563"/>
      <c r="G236" s="563"/>
      <c r="H236" s="563"/>
      <c r="I236" s="563"/>
      <c r="J236" s="563"/>
      <c r="K236" s="563"/>
      <c r="L236" s="563"/>
      <c r="M236" s="563"/>
      <c r="N236" s="563"/>
    </row>
    <row r="237" spans="1:14" x14ac:dyDescent="0.25">
      <c r="A237" s="551" t="str">
        <f>+Info!$B$2</f>
        <v>724</v>
      </c>
      <c r="B237" s="559" t="s">
        <v>1760</v>
      </c>
      <c r="C237" s="559" t="str">
        <f t="shared" si="28"/>
        <v>1.20.30.10.010.000.00.000</v>
      </c>
      <c r="D237" s="593"/>
      <c r="E237" s="563"/>
      <c r="F237" s="563"/>
      <c r="G237" s="563"/>
      <c r="H237" s="563"/>
      <c r="I237" s="563"/>
      <c r="J237" s="563"/>
      <c r="K237" s="563"/>
      <c r="L237" s="563"/>
      <c r="M237" s="563"/>
      <c r="N237" s="563"/>
    </row>
    <row r="238" spans="1:14" x14ac:dyDescent="0.25">
      <c r="A238" s="551" t="str">
        <f>+Info!$B$2</f>
        <v>724</v>
      </c>
      <c r="B238" s="559" t="s">
        <v>1760</v>
      </c>
      <c r="C238" s="559" t="str">
        <f t="shared" si="28"/>
        <v>1.20.30.10.010.000.00.000</v>
      </c>
      <c r="D238" s="593"/>
      <c r="E238" s="563"/>
      <c r="F238" s="563"/>
      <c r="G238" s="563"/>
      <c r="H238" s="563"/>
      <c r="I238" s="563"/>
      <c r="J238" s="563"/>
      <c r="K238" s="563"/>
      <c r="L238" s="563"/>
      <c r="M238" s="563"/>
      <c r="N238" s="563"/>
    </row>
    <row r="239" spans="1:14" x14ac:dyDescent="0.25">
      <c r="A239" s="551" t="str">
        <f>+Info!$B$2</f>
        <v>724</v>
      </c>
      <c r="B239" s="559" t="s">
        <v>1760</v>
      </c>
      <c r="C239" s="559" t="str">
        <f t="shared" si="28"/>
        <v>1.20.30.10.010.000.00.000</v>
      </c>
      <c r="D239" s="593"/>
      <c r="E239" s="563"/>
      <c r="F239" s="563"/>
      <c r="G239" s="563"/>
      <c r="H239" s="563"/>
      <c r="I239" s="563"/>
      <c r="J239" s="563"/>
      <c r="K239" s="563"/>
      <c r="L239" s="563"/>
      <c r="M239" s="563"/>
      <c r="N239" s="563"/>
    </row>
    <row r="240" spans="1:14" x14ac:dyDescent="0.25">
      <c r="A240" s="551" t="str">
        <f>+Info!$B$2</f>
        <v>724</v>
      </c>
      <c r="B240" s="559" t="s">
        <v>1760</v>
      </c>
      <c r="C240" s="559" t="str">
        <f t="shared" si="28"/>
        <v>1.20.30.10.010.000.00.000</v>
      </c>
      <c r="D240" s="593"/>
      <c r="E240" s="563"/>
      <c r="F240" s="563"/>
      <c r="G240" s="563"/>
      <c r="H240" s="563"/>
      <c r="I240" s="563"/>
      <c r="J240" s="563"/>
      <c r="K240" s="563"/>
      <c r="L240" s="563"/>
      <c r="M240" s="563"/>
      <c r="N240" s="563"/>
    </row>
    <row r="241" spans="1:14" x14ac:dyDescent="0.25">
      <c r="A241" s="551" t="str">
        <f>+Info!$B$2</f>
        <v>724</v>
      </c>
      <c r="B241" s="559" t="s">
        <v>1760</v>
      </c>
      <c r="C241" s="559" t="str">
        <f t="shared" si="28"/>
        <v>1.20.30.10.010.000.00.000</v>
      </c>
      <c r="D241" s="593"/>
      <c r="E241" s="563"/>
      <c r="F241" s="563"/>
      <c r="G241" s="563"/>
      <c r="H241" s="563"/>
      <c r="I241" s="563"/>
      <c r="J241" s="563"/>
      <c r="K241" s="563"/>
      <c r="L241" s="563"/>
      <c r="M241" s="563"/>
      <c r="N241" s="563"/>
    </row>
    <row r="242" spans="1:14" x14ac:dyDescent="0.25">
      <c r="A242" s="551" t="str">
        <f>+Info!$B$2</f>
        <v>724</v>
      </c>
      <c r="B242" s="559" t="s">
        <v>1760</v>
      </c>
      <c r="C242" s="559" t="str">
        <f t="shared" si="28"/>
        <v>1.20.30.10.010.000.00.000</v>
      </c>
      <c r="D242" s="593"/>
      <c r="E242" s="563"/>
      <c r="F242" s="563"/>
      <c r="G242" s="563"/>
      <c r="H242" s="563"/>
      <c r="I242" s="563"/>
      <c r="J242" s="563"/>
      <c r="K242" s="563"/>
      <c r="L242" s="563"/>
      <c r="M242" s="563"/>
      <c r="N242" s="563"/>
    </row>
    <row r="243" spans="1:14" x14ac:dyDescent="0.25">
      <c r="A243" s="551" t="str">
        <f>+Info!$B$2</f>
        <v>724</v>
      </c>
      <c r="B243" s="559" t="s">
        <v>1760</v>
      </c>
      <c r="C243" s="559" t="str">
        <f t="shared" si="28"/>
        <v>1.20.30.10.010.000.00.000</v>
      </c>
      <c r="D243" s="593"/>
      <c r="E243" s="563"/>
      <c r="F243" s="563"/>
      <c r="G243" s="563"/>
      <c r="H243" s="563"/>
      <c r="I243" s="563"/>
      <c r="J243" s="563"/>
      <c r="K243" s="563"/>
      <c r="L243" s="563"/>
      <c r="M243" s="563"/>
      <c r="N243" s="563"/>
    </row>
    <row r="244" spans="1:14" x14ac:dyDescent="0.25">
      <c r="A244" s="551" t="str">
        <f>+Info!$B$2</f>
        <v>724</v>
      </c>
      <c r="B244" s="559" t="s">
        <v>1760</v>
      </c>
      <c r="C244" s="559" t="str">
        <f t="shared" si="28"/>
        <v>1.20.30.10.010.000.00.000</v>
      </c>
      <c r="D244" s="593"/>
      <c r="E244" s="563"/>
      <c r="F244" s="563"/>
      <c r="G244" s="563"/>
      <c r="H244" s="563"/>
      <c r="I244" s="563"/>
      <c r="J244" s="563"/>
      <c r="K244" s="563"/>
      <c r="L244" s="563"/>
      <c r="M244" s="563"/>
      <c r="N244" s="563"/>
    </row>
    <row r="245" spans="1:14" x14ac:dyDescent="0.25">
      <c r="A245" s="551" t="str">
        <f>+Info!$B$2</f>
        <v>724</v>
      </c>
      <c r="B245" s="591" t="s">
        <v>1765</v>
      </c>
      <c r="C245" s="591" t="s">
        <v>1766</v>
      </c>
      <c r="D245" s="594" t="s">
        <v>4267</v>
      </c>
      <c r="E245" s="595"/>
      <c r="F245" s="595"/>
      <c r="G245" s="595"/>
      <c r="H245" s="595"/>
      <c r="I245" s="595"/>
      <c r="J245" s="595"/>
      <c r="K245" s="595"/>
      <c r="L245" s="595"/>
      <c r="M245" s="595"/>
      <c r="N245" s="595"/>
    </row>
    <row r="246" spans="1:14" x14ac:dyDescent="0.25">
      <c r="A246" s="551" t="str">
        <f>+Info!$B$2</f>
        <v>724</v>
      </c>
      <c r="B246" s="559" t="s">
        <v>1765</v>
      </c>
      <c r="C246" s="559" t="str">
        <f t="shared" ref="C246:C257" si="29">$C$245</f>
        <v>1.20.30.10.015.000.00.000</v>
      </c>
      <c r="D246" s="593"/>
      <c r="E246" s="563"/>
      <c r="F246" s="563"/>
      <c r="G246" s="563"/>
      <c r="H246" s="563"/>
      <c r="I246" s="563"/>
      <c r="J246" s="563"/>
      <c r="K246" s="563"/>
      <c r="L246" s="563"/>
      <c r="M246" s="563"/>
      <c r="N246" s="563"/>
    </row>
    <row r="247" spans="1:14" x14ac:dyDescent="0.25">
      <c r="A247" s="551" t="str">
        <f>+Info!$B$2</f>
        <v>724</v>
      </c>
      <c r="B247" s="559" t="s">
        <v>1765</v>
      </c>
      <c r="C247" s="559" t="str">
        <f t="shared" si="29"/>
        <v>1.20.30.10.015.000.00.000</v>
      </c>
      <c r="D247" s="593"/>
      <c r="E247" s="563"/>
      <c r="F247" s="563"/>
      <c r="G247" s="563"/>
      <c r="H247" s="563"/>
      <c r="I247" s="563"/>
      <c r="J247" s="563"/>
      <c r="K247" s="563"/>
      <c r="L247" s="563"/>
      <c r="M247" s="563"/>
      <c r="N247" s="563"/>
    </row>
    <row r="248" spans="1:14" x14ac:dyDescent="0.25">
      <c r="A248" s="551" t="str">
        <f>+Info!$B$2</f>
        <v>724</v>
      </c>
      <c r="B248" s="559" t="s">
        <v>1765</v>
      </c>
      <c r="C248" s="559" t="str">
        <f t="shared" si="29"/>
        <v>1.20.30.10.015.000.00.000</v>
      </c>
      <c r="D248" s="593"/>
      <c r="E248" s="563"/>
      <c r="F248" s="563"/>
      <c r="G248" s="563"/>
      <c r="H248" s="563"/>
      <c r="I248" s="563"/>
      <c r="J248" s="563"/>
      <c r="K248" s="563"/>
      <c r="L248" s="563"/>
      <c r="M248" s="563"/>
      <c r="N248" s="563"/>
    </row>
    <row r="249" spans="1:14" x14ac:dyDescent="0.25">
      <c r="A249" s="551" t="str">
        <f>+Info!$B$2</f>
        <v>724</v>
      </c>
      <c r="B249" s="559" t="s">
        <v>1765</v>
      </c>
      <c r="C249" s="559" t="str">
        <f t="shared" si="29"/>
        <v>1.20.30.10.015.000.00.000</v>
      </c>
      <c r="D249" s="593"/>
      <c r="E249" s="563"/>
      <c r="F249" s="563"/>
      <c r="G249" s="563"/>
      <c r="H249" s="563"/>
      <c r="I249" s="563"/>
      <c r="J249" s="563"/>
      <c r="K249" s="563"/>
      <c r="L249" s="563"/>
      <c r="M249" s="563"/>
      <c r="N249" s="563"/>
    </row>
    <row r="250" spans="1:14" x14ac:dyDescent="0.25">
      <c r="A250" s="551" t="str">
        <f>+Info!$B$2</f>
        <v>724</v>
      </c>
      <c r="B250" s="559" t="s">
        <v>1765</v>
      </c>
      <c r="C250" s="559" t="str">
        <f t="shared" si="29"/>
        <v>1.20.30.10.015.000.00.000</v>
      </c>
      <c r="D250" s="593"/>
      <c r="E250" s="563"/>
      <c r="F250" s="563"/>
      <c r="G250" s="563"/>
      <c r="H250" s="563"/>
      <c r="I250" s="563"/>
      <c r="J250" s="563"/>
      <c r="K250" s="563"/>
      <c r="L250" s="563"/>
      <c r="M250" s="563"/>
      <c r="N250" s="563"/>
    </row>
    <row r="251" spans="1:14" x14ac:dyDescent="0.25">
      <c r="A251" s="551" t="str">
        <f>+Info!$B$2</f>
        <v>724</v>
      </c>
      <c r="B251" s="559" t="s">
        <v>1765</v>
      </c>
      <c r="C251" s="559" t="str">
        <f t="shared" si="29"/>
        <v>1.20.30.10.015.000.00.000</v>
      </c>
      <c r="D251" s="593"/>
      <c r="E251" s="563"/>
      <c r="F251" s="563"/>
      <c r="G251" s="563"/>
      <c r="H251" s="563"/>
      <c r="I251" s="563"/>
      <c r="J251" s="563"/>
      <c r="K251" s="563"/>
      <c r="L251" s="563"/>
      <c r="M251" s="563"/>
      <c r="N251" s="563"/>
    </row>
    <row r="252" spans="1:14" x14ac:dyDescent="0.25">
      <c r="A252" s="551" t="str">
        <f>+Info!$B$2</f>
        <v>724</v>
      </c>
      <c r="B252" s="559" t="s">
        <v>1765</v>
      </c>
      <c r="C252" s="559" t="str">
        <f t="shared" si="29"/>
        <v>1.20.30.10.015.000.00.000</v>
      </c>
      <c r="D252" s="593"/>
      <c r="E252" s="563"/>
      <c r="F252" s="563"/>
      <c r="G252" s="563"/>
      <c r="H252" s="563"/>
      <c r="I252" s="563"/>
      <c r="J252" s="563"/>
      <c r="K252" s="563"/>
      <c r="L252" s="563"/>
      <c r="M252" s="563"/>
      <c r="N252" s="563"/>
    </row>
    <row r="253" spans="1:14" x14ac:dyDescent="0.25">
      <c r="A253" s="551" t="str">
        <f>+Info!$B$2</f>
        <v>724</v>
      </c>
      <c r="B253" s="559" t="s">
        <v>1765</v>
      </c>
      <c r="C253" s="559" t="str">
        <f t="shared" si="29"/>
        <v>1.20.30.10.015.000.00.000</v>
      </c>
      <c r="D253" s="593"/>
      <c r="E253" s="563"/>
      <c r="F253" s="563"/>
      <c r="G253" s="563"/>
      <c r="H253" s="563"/>
      <c r="I253" s="563"/>
      <c r="J253" s="563"/>
      <c r="K253" s="563"/>
      <c r="L253" s="563"/>
      <c r="M253" s="563"/>
      <c r="N253" s="563"/>
    </row>
    <row r="254" spans="1:14" x14ac:dyDescent="0.25">
      <c r="A254" s="551" t="str">
        <f>+Info!$B$2</f>
        <v>724</v>
      </c>
      <c r="B254" s="559" t="s">
        <v>1765</v>
      </c>
      <c r="C254" s="559" t="str">
        <f t="shared" si="29"/>
        <v>1.20.30.10.015.000.00.000</v>
      </c>
      <c r="D254" s="593"/>
      <c r="E254" s="563"/>
      <c r="F254" s="563"/>
      <c r="G254" s="563"/>
      <c r="H254" s="563"/>
      <c r="I254" s="563"/>
      <c r="J254" s="563"/>
      <c r="K254" s="563"/>
      <c r="L254" s="563"/>
      <c r="M254" s="563"/>
      <c r="N254" s="563"/>
    </row>
    <row r="255" spans="1:14" x14ac:dyDescent="0.25">
      <c r="A255" s="551" t="str">
        <f>+Info!$B$2</f>
        <v>724</v>
      </c>
      <c r="B255" s="559" t="s">
        <v>1765</v>
      </c>
      <c r="C255" s="559" t="str">
        <f t="shared" si="29"/>
        <v>1.20.30.10.015.000.00.000</v>
      </c>
      <c r="D255" s="593"/>
      <c r="E255" s="563"/>
      <c r="F255" s="563"/>
      <c r="G255" s="563"/>
      <c r="H255" s="563"/>
      <c r="I255" s="563"/>
      <c r="J255" s="563"/>
      <c r="K255" s="563"/>
      <c r="L255" s="563"/>
      <c r="M255" s="563"/>
      <c r="N255" s="563"/>
    </row>
    <row r="256" spans="1:14" x14ac:dyDescent="0.25">
      <c r="A256" s="551" t="str">
        <f>+Info!$B$2</f>
        <v>724</v>
      </c>
      <c r="B256" s="559" t="s">
        <v>1765</v>
      </c>
      <c r="C256" s="559" t="str">
        <f t="shared" si="29"/>
        <v>1.20.30.10.015.000.00.000</v>
      </c>
      <c r="D256" s="593"/>
      <c r="E256" s="563"/>
      <c r="F256" s="563"/>
      <c r="G256" s="563"/>
      <c r="H256" s="563"/>
      <c r="I256" s="563"/>
      <c r="J256" s="563"/>
      <c r="K256" s="563"/>
      <c r="L256" s="563"/>
      <c r="M256" s="563"/>
      <c r="N256" s="563"/>
    </row>
    <row r="257" spans="1:14" x14ac:dyDescent="0.25">
      <c r="A257" s="551" t="str">
        <f>+Info!$B$2</f>
        <v>724</v>
      </c>
      <c r="B257" s="559" t="s">
        <v>1765</v>
      </c>
      <c r="C257" s="559" t="str">
        <f t="shared" si="29"/>
        <v>1.20.30.10.015.000.00.000</v>
      </c>
      <c r="D257" s="593"/>
      <c r="E257" s="563"/>
      <c r="F257" s="563"/>
      <c r="G257" s="563"/>
      <c r="H257" s="563"/>
      <c r="I257" s="563"/>
      <c r="J257" s="563"/>
      <c r="K257" s="563"/>
      <c r="L257" s="563"/>
      <c r="M257" s="563"/>
      <c r="N257" s="563"/>
    </row>
    <row r="258" spans="1:14" x14ac:dyDescent="0.25">
      <c r="A258" s="551" t="str">
        <f>+Info!$B$2</f>
        <v>724</v>
      </c>
      <c r="B258" s="591" t="s">
        <v>1767</v>
      </c>
      <c r="C258" s="591" t="s">
        <v>1768</v>
      </c>
      <c r="D258" s="594" t="s">
        <v>4268</v>
      </c>
      <c r="E258" s="595"/>
      <c r="F258" s="595"/>
      <c r="G258" s="595"/>
      <c r="H258" s="595"/>
      <c r="I258" s="595"/>
      <c r="J258" s="595"/>
      <c r="K258" s="595"/>
      <c r="L258" s="595"/>
      <c r="M258" s="595"/>
      <c r="N258" s="595"/>
    </row>
    <row r="259" spans="1:14" x14ac:dyDescent="0.25">
      <c r="A259" s="551" t="str">
        <f>+Info!$B$2</f>
        <v>724</v>
      </c>
      <c r="B259" s="559" t="s">
        <v>1767</v>
      </c>
      <c r="C259" s="559" t="str">
        <f t="shared" ref="C259:C270" si="30">$C$258</f>
        <v>1.20.30.10.020.000.00.000</v>
      </c>
      <c r="D259" s="593"/>
      <c r="E259" s="563"/>
      <c r="F259" s="563"/>
      <c r="G259" s="563"/>
      <c r="H259" s="563"/>
      <c r="I259" s="563"/>
      <c r="J259" s="563"/>
      <c r="K259" s="563"/>
      <c r="L259" s="563"/>
      <c r="M259" s="563"/>
      <c r="N259" s="563"/>
    </row>
    <row r="260" spans="1:14" x14ac:dyDescent="0.25">
      <c r="A260" s="551" t="str">
        <f>+Info!$B$2</f>
        <v>724</v>
      </c>
      <c r="B260" s="559" t="s">
        <v>1767</v>
      </c>
      <c r="C260" s="559" t="str">
        <f t="shared" si="30"/>
        <v>1.20.30.10.020.000.00.000</v>
      </c>
      <c r="D260" s="593"/>
      <c r="E260" s="563"/>
      <c r="F260" s="563"/>
      <c r="G260" s="563"/>
      <c r="H260" s="563"/>
      <c r="I260" s="563"/>
      <c r="J260" s="563"/>
      <c r="K260" s="563"/>
      <c r="L260" s="563"/>
      <c r="M260" s="563"/>
      <c r="N260" s="563"/>
    </row>
    <row r="261" spans="1:14" x14ac:dyDescent="0.25">
      <c r="A261" s="551" t="str">
        <f>+Info!$B$2</f>
        <v>724</v>
      </c>
      <c r="B261" s="559" t="s">
        <v>1767</v>
      </c>
      <c r="C261" s="559" t="str">
        <f t="shared" si="30"/>
        <v>1.20.30.10.020.000.00.000</v>
      </c>
      <c r="D261" s="593"/>
      <c r="E261" s="563"/>
      <c r="F261" s="563"/>
      <c r="G261" s="563"/>
      <c r="H261" s="563"/>
      <c r="I261" s="563"/>
      <c r="J261" s="563"/>
      <c r="K261" s="563"/>
      <c r="L261" s="563"/>
      <c r="M261" s="563"/>
      <c r="N261" s="563"/>
    </row>
    <row r="262" spans="1:14" x14ac:dyDescent="0.25">
      <c r="A262" s="551" t="str">
        <f>+Info!$B$2</f>
        <v>724</v>
      </c>
      <c r="B262" s="559" t="s">
        <v>1767</v>
      </c>
      <c r="C262" s="559" t="str">
        <f t="shared" si="30"/>
        <v>1.20.30.10.020.000.00.000</v>
      </c>
      <c r="D262" s="593"/>
      <c r="E262" s="563"/>
      <c r="F262" s="563"/>
      <c r="G262" s="563"/>
      <c r="H262" s="563"/>
      <c r="I262" s="563"/>
      <c r="J262" s="563"/>
      <c r="K262" s="563"/>
      <c r="L262" s="563"/>
      <c r="M262" s="563"/>
      <c r="N262" s="563"/>
    </row>
    <row r="263" spans="1:14" x14ac:dyDescent="0.25">
      <c r="A263" s="551" t="str">
        <f>+Info!$B$2</f>
        <v>724</v>
      </c>
      <c r="B263" s="559" t="s">
        <v>1767</v>
      </c>
      <c r="C263" s="559" t="str">
        <f t="shared" si="30"/>
        <v>1.20.30.10.020.000.00.000</v>
      </c>
      <c r="D263" s="593"/>
      <c r="E263" s="563"/>
      <c r="F263" s="563"/>
      <c r="G263" s="563"/>
      <c r="H263" s="563"/>
      <c r="I263" s="563"/>
      <c r="J263" s="563"/>
      <c r="K263" s="563"/>
      <c r="L263" s="563"/>
      <c r="M263" s="563"/>
      <c r="N263" s="563"/>
    </row>
    <row r="264" spans="1:14" x14ac:dyDescent="0.25">
      <c r="A264" s="551" t="str">
        <f>+Info!$B$2</f>
        <v>724</v>
      </c>
      <c r="B264" s="559" t="s">
        <v>1767</v>
      </c>
      <c r="C264" s="559" t="str">
        <f t="shared" si="30"/>
        <v>1.20.30.10.020.000.00.000</v>
      </c>
      <c r="D264" s="593"/>
      <c r="E264" s="563"/>
      <c r="F264" s="563"/>
      <c r="G264" s="563"/>
      <c r="H264" s="563"/>
      <c r="I264" s="563"/>
      <c r="J264" s="563"/>
      <c r="K264" s="563"/>
      <c r="L264" s="563"/>
      <c r="M264" s="563"/>
      <c r="N264" s="563"/>
    </row>
    <row r="265" spans="1:14" x14ac:dyDescent="0.25">
      <c r="A265" s="551" t="str">
        <f>+Info!$B$2</f>
        <v>724</v>
      </c>
      <c r="B265" s="559" t="s">
        <v>1767</v>
      </c>
      <c r="C265" s="559" t="str">
        <f t="shared" si="30"/>
        <v>1.20.30.10.020.000.00.000</v>
      </c>
      <c r="D265" s="593"/>
      <c r="E265" s="563"/>
      <c r="F265" s="563"/>
      <c r="G265" s="563"/>
      <c r="H265" s="563"/>
      <c r="I265" s="563"/>
      <c r="J265" s="563"/>
      <c r="K265" s="563"/>
      <c r="L265" s="563"/>
      <c r="M265" s="563"/>
      <c r="N265" s="563"/>
    </row>
    <row r="266" spans="1:14" x14ac:dyDescent="0.25">
      <c r="A266" s="551" t="str">
        <f>+Info!$B$2</f>
        <v>724</v>
      </c>
      <c r="B266" s="559" t="s">
        <v>1767</v>
      </c>
      <c r="C266" s="559" t="str">
        <f t="shared" si="30"/>
        <v>1.20.30.10.020.000.00.000</v>
      </c>
      <c r="D266" s="593"/>
      <c r="E266" s="563"/>
      <c r="F266" s="563"/>
      <c r="G266" s="563"/>
      <c r="H266" s="563"/>
      <c r="I266" s="563"/>
      <c r="J266" s="563"/>
      <c r="K266" s="563"/>
      <c r="L266" s="563"/>
      <c r="M266" s="563"/>
      <c r="N266" s="563"/>
    </row>
    <row r="267" spans="1:14" x14ac:dyDescent="0.25">
      <c r="A267" s="551" t="str">
        <f>+Info!$B$2</f>
        <v>724</v>
      </c>
      <c r="B267" s="559" t="s">
        <v>1767</v>
      </c>
      <c r="C267" s="559" t="str">
        <f t="shared" si="30"/>
        <v>1.20.30.10.020.000.00.000</v>
      </c>
      <c r="D267" s="593"/>
      <c r="E267" s="563"/>
      <c r="F267" s="563"/>
      <c r="G267" s="563"/>
      <c r="H267" s="563"/>
      <c r="I267" s="563"/>
      <c r="J267" s="563"/>
      <c r="K267" s="563"/>
      <c r="L267" s="563"/>
      <c r="M267" s="563"/>
      <c r="N267" s="563"/>
    </row>
    <row r="268" spans="1:14" x14ac:dyDescent="0.25">
      <c r="A268" s="551" t="str">
        <f>+Info!$B$2</f>
        <v>724</v>
      </c>
      <c r="B268" s="559" t="s">
        <v>1767</v>
      </c>
      <c r="C268" s="559" t="str">
        <f t="shared" si="30"/>
        <v>1.20.30.10.020.000.00.000</v>
      </c>
      <c r="D268" s="593"/>
      <c r="E268" s="563"/>
      <c r="F268" s="563"/>
      <c r="G268" s="563"/>
      <c r="H268" s="563"/>
      <c r="I268" s="563"/>
      <c r="J268" s="563"/>
      <c r="K268" s="563"/>
      <c r="L268" s="563"/>
      <c r="M268" s="563"/>
      <c r="N268" s="563"/>
    </row>
    <row r="269" spans="1:14" x14ac:dyDescent="0.25">
      <c r="A269" s="551" t="str">
        <f>+Info!$B$2</f>
        <v>724</v>
      </c>
      <c r="B269" s="559" t="s">
        <v>1767</v>
      </c>
      <c r="C269" s="559" t="str">
        <f t="shared" si="30"/>
        <v>1.20.30.10.020.000.00.000</v>
      </c>
      <c r="D269" s="593"/>
      <c r="E269" s="563"/>
      <c r="F269" s="563"/>
      <c r="G269" s="563"/>
      <c r="H269" s="563"/>
      <c r="I269" s="563"/>
      <c r="J269" s="563"/>
      <c r="K269" s="563"/>
      <c r="L269" s="563"/>
      <c r="M269" s="563"/>
      <c r="N269" s="563"/>
    </row>
    <row r="270" spans="1:14" x14ac:dyDescent="0.25">
      <c r="A270" s="551" t="str">
        <f>+Info!$B$2</f>
        <v>724</v>
      </c>
      <c r="B270" s="559" t="s">
        <v>1767</v>
      </c>
      <c r="C270" s="559" t="str">
        <f t="shared" si="30"/>
        <v>1.20.30.10.020.000.00.000</v>
      </c>
      <c r="D270" s="593"/>
      <c r="E270" s="563"/>
      <c r="F270" s="563"/>
      <c r="G270" s="563"/>
      <c r="H270" s="563"/>
      <c r="I270" s="563"/>
      <c r="J270" s="563"/>
      <c r="K270" s="563"/>
      <c r="L270" s="563"/>
      <c r="M270" s="563"/>
      <c r="N270" s="563"/>
    </row>
    <row r="271" spans="1:14" x14ac:dyDescent="0.25">
      <c r="B271" s="602"/>
      <c r="C271" s="602"/>
      <c r="D271" s="596"/>
      <c r="E271" s="597"/>
      <c r="F271" s="597"/>
      <c r="G271" s="597"/>
      <c r="H271" s="597"/>
      <c r="I271" s="597"/>
      <c r="J271" s="597"/>
      <c r="K271" s="597"/>
      <c r="L271" s="597"/>
      <c r="M271" s="597"/>
      <c r="N271" s="597"/>
    </row>
    <row r="272" spans="1:14" hidden="1" x14ac:dyDescent="0.25">
      <c r="B272" s="602"/>
      <c r="C272" s="581" t="s">
        <v>4253</v>
      </c>
      <c r="D272" s="581" t="s">
        <v>4254</v>
      </c>
      <c r="E272" s="557">
        <v>0</v>
      </c>
      <c r="F272" s="557">
        <v>0</v>
      </c>
      <c r="G272" s="557">
        <v>0</v>
      </c>
      <c r="H272" s="557">
        <v>0</v>
      </c>
      <c r="I272" s="557">
        <v>0</v>
      </c>
      <c r="J272" s="557">
        <v>0</v>
      </c>
      <c r="K272" s="557">
        <v>0</v>
      </c>
      <c r="L272" s="557">
        <v>0</v>
      </c>
      <c r="M272" s="557">
        <v>0</v>
      </c>
      <c r="N272" s="557">
        <v>0</v>
      </c>
    </row>
    <row r="273" spans="1:14" hidden="1" x14ac:dyDescent="0.25">
      <c r="A273" s="551" t="str">
        <f>+Info!$B$2</f>
        <v>724</v>
      </c>
      <c r="B273" s="602"/>
      <c r="C273" s="581"/>
      <c r="D273" s="581"/>
      <c r="E273" s="557">
        <v>0</v>
      </c>
      <c r="F273" s="557">
        <v>0</v>
      </c>
      <c r="G273" s="557">
        <v>0</v>
      </c>
      <c r="H273" s="557">
        <v>0</v>
      </c>
      <c r="I273" s="557">
        <v>0</v>
      </c>
      <c r="J273" s="557">
        <v>0</v>
      </c>
      <c r="K273" s="557">
        <v>0</v>
      </c>
      <c r="L273" s="557">
        <v>0</v>
      </c>
      <c r="M273" s="557">
        <v>0</v>
      </c>
      <c r="N273" s="557">
        <v>0</v>
      </c>
    </row>
    <row r="274" spans="1:14" ht="15" customHeight="1" x14ac:dyDescent="0.25">
      <c r="A274" s="551" t="str">
        <f>+Info!$B$2</f>
        <v>724</v>
      </c>
      <c r="B274" s="602"/>
      <c r="D274" s="927" t="s">
        <v>4269</v>
      </c>
      <c r="E274" s="922" t="s">
        <v>4270</v>
      </c>
      <c r="F274" s="922" t="s">
        <v>4271</v>
      </c>
      <c r="G274" s="922"/>
      <c r="H274" s="922"/>
      <c r="I274" s="922" t="s">
        <v>4206</v>
      </c>
      <c r="J274" s="922"/>
      <c r="K274" s="922"/>
      <c r="L274" s="922"/>
      <c r="M274" s="922"/>
      <c r="N274" s="922"/>
    </row>
    <row r="275" spans="1:14" ht="24" x14ac:dyDescent="0.25">
      <c r="A275" s="551" t="str">
        <f>+Info!$B$2</f>
        <v>724</v>
      </c>
      <c r="B275" s="602"/>
      <c r="D275" s="927"/>
      <c r="E275" s="922"/>
      <c r="F275" s="590" t="s">
        <v>4272</v>
      </c>
      <c r="G275" s="590" t="s">
        <v>4273</v>
      </c>
      <c r="H275" s="590" t="s">
        <v>3517</v>
      </c>
      <c r="I275" s="590" t="s">
        <v>3537</v>
      </c>
      <c r="J275" s="590" t="s">
        <v>4272</v>
      </c>
      <c r="K275" s="590" t="s">
        <v>4273</v>
      </c>
      <c r="L275" s="590" t="s">
        <v>4274</v>
      </c>
      <c r="M275" s="590" t="s">
        <v>4275</v>
      </c>
      <c r="N275" s="590" t="s">
        <v>4211</v>
      </c>
    </row>
    <row r="276" spans="1:14" x14ac:dyDescent="0.25">
      <c r="A276" s="551" t="str">
        <f>+Info!$B$2</f>
        <v>724</v>
      </c>
      <c r="B276" s="591" t="s">
        <v>1760</v>
      </c>
      <c r="C276" s="591" t="s">
        <v>1761</v>
      </c>
      <c r="D276" s="591" t="s">
        <v>4266</v>
      </c>
      <c r="E276" s="598">
        <f t="shared" ref="E276:N276" si="31">SUM(E277:E288)</f>
        <v>0</v>
      </c>
      <c r="F276" s="598">
        <f t="shared" si="31"/>
        <v>0</v>
      </c>
      <c r="G276" s="598">
        <f t="shared" si="31"/>
        <v>0</v>
      </c>
      <c r="H276" s="598">
        <f t="shared" si="31"/>
        <v>0</v>
      </c>
      <c r="I276" s="598">
        <f t="shared" si="31"/>
        <v>0</v>
      </c>
      <c r="J276" s="598">
        <f t="shared" si="31"/>
        <v>0</v>
      </c>
      <c r="K276" s="598">
        <f t="shared" si="31"/>
        <v>0</v>
      </c>
      <c r="L276" s="598">
        <f t="shared" si="31"/>
        <v>0</v>
      </c>
      <c r="M276" s="598">
        <f t="shared" si="31"/>
        <v>0</v>
      </c>
      <c r="N276" s="598">
        <f t="shared" si="31"/>
        <v>0</v>
      </c>
    </row>
    <row r="277" spans="1:14" x14ac:dyDescent="0.25">
      <c r="A277" s="551" t="str">
        <f>+Info!$B$2</f>
        <v>724</v>
      </c>
      <c r="B277" s="559" t="s">
        <v>1760</v>
      </c>
      <c r="C277" s="559" t="str">
        <f t="shared" ref="C277:C288" si="32">$C$232</f>
        <v>1.20.30.10.010.000.00.000</v>
      </c>
      <c r="D277" s="599" t="str">
        <f t="shared" ref="D277:D288" si="33">IF(+D233="","",D233)</f>
        <v/>
      </c>
      <c r="E277" s="600"/>
      <c r="F277" s="600"/>
      <c r="G277" s="600"/>
      <c r="H277" s="601">
        <f t="shared" ref="H277:H288" si="34">+E277+F277-G277</f>
        <v>0</v>
      </c>
      <c r="I277" s="600"/>
      <c r="J277" s="600"/>
      <c r="K277" s="600"/>
      <c r="L277" s="600"/>
      <c r="M277" s="600"/>
      <c r="N277" s="601">
        <f t="shared" ref="N277:N288" si="35">+H277+I277+J277-K277+L277-M277</f>
        <v>0</v>
      </c>
    </row>
    <row r="278" spans="1:14" x14ac:dyDescent="0.25">
      <c r="A278" s="551" t="str">
        <f>+Info!$B$2</f>
        <v>724</v>
      </c>
      <c r="B278" s="559" t="s">
        <v>1760</v>
      </c>
      <c r="C278" s="559" t="str">
        <f t="shared" si="32"/>
        <v>1.20.30.10.010.000.00.000</v>
      </c>
      <c r="D278" s="599" t="str">
        <f t="shared" si="33"/>
        <v/>
      </c>
      <c r="E278" s="600"/>
      <c r="F278" s="600"/>
      <c r="G278" s="600"/>
      <c r="H278" s="601">
        <f t="shared" si="34"/>
        <v>0</v>
      </c>
      <c r="I278" s="600"/>
      <c r="J278" s="600"/>
      <c r="K278" s="600"/>
      <c r="L278" s="600"/>
      <c r="M278" s="600"/>
      <c r="N278" s="601">
        <f t="shared" si="35"/>
        <v>0</v>
      </c>
    </row>
    <row r="279" spans="1:14" x14ac:dyDescent="0.25">
      <c r="A279" s="551" t="str">
        <f>+Info!$B$2</f>
        <v>724</v>
      </c>
      <c r="B279" s="559" t="s">
        <v>1760</v>
      </c>
      <c r="C279" s="559" t="str">
        <f t="shared" si="32"/>
        <v>1.20.30.10.010.000.00.000</v>
      </c>
      <c r="D279" s="599" t="str">
        <f t="shared" si="33"/>
        <v/>
      </c>
      <c r="E279" s="600"/>
      <c r="F279" s="600"/>
      <c r="G279" s="600"/>
      <c r="H279" s="601">
        <f t="shared" si="34"/>
        <v>0</v>
      </c>
      <c r="I279" s="600"/>
      <c r="J279" s="600"/>
      <c r="K279" s="600"/>
      <c r="L279" s="600"/>
      <c r="M279" s="600"/>
      <c r="N279" s="601">
        <f t="shared" si="35"/>
        <v>0</v>
      </c>
    </row>
    <row r="280" spans="1:14" x14ac:dyDescent="0.25">
      <c r="A280" s="551" t="str">
        <f>+Info!$B$2</f>
        <v>724</v>
      </c>
      <c r="B280" s="559" t="s">
        <v>1760</v>
      </c>
      <c r="C280" s="559" t="str">
        <f t="shared" si="32"/>
        <v>1.20.30.10.010.000.00.000</v>
      </c>
      <c r="D280" s="599" t="str">
        <f t="shared" si="33"/>
        <v/>
      </c>
      <c r="E280" s="600"/>
      <c r="F280" s="600"/>
      <c r="G280" s="600"/>
      <c r="H280" s="601">
        <f t="shared" si="34"/>
        <v>0</v>
      </c>
      <c r="I280" s="600"/>
      <c r="J280" s="600"/>
      <c r="K280" s="600"/>
      <c r="L280" s="600"/>
      <c r="M280" s="600"/>
      <c r="N280" s="601">
        <f t="shared" si="35"/>
        <v>0</v>
      </c>
    </row>
    <row r="281" spans="1:14" x14ac:dyDescent="0.25">
      <c r="A281" s="551" t="str">
        <f>+Info!$B$2</f>
        <v>724</v>
      </c>
      <c r="B281" s="559" t="s">
        <v>1760</v>
      </c>
      <c r="C281" s="559" t="str">
        <f t="shared" si="32"/>
        <v>1.20.30.10.010.000.00.000</v>
      </c>
      <c r="D281" s="599" t="str">
        <f t="shared" si="33"/>
        <v/>
      </c>
      <c r="E281" s="600"/>
      <c r="F281" s="600"/>
      <c r="G281" s="600"/>
      <c r="H281" s="601">
        <f t="shared" si="34"/>
        <v>0</v>
      </c>
      <c r="I281" s="600"/>
      <c r="J281" s="600"/>
      <c r="K281" s="600"/>
      <c r="L281" s="600"/>
      <c r="M281" s="600"/>
      <c r="N281" s="601">
        <f t="shared" si="35"/>
        <v>0</v>
      </c>
    </row>
    <row r="282" spans="1:14" x14ac:dyDescent="0.25">
      <c r="A282" s="551" t="str">
        <f>+Info!$B$2</f>
        <v>724</v>
      </c>
      <c r="B282" s="559" t="s">
        <v>1760</v>
      </c>
      <c r="C282" s="559" t="str">
        <f t="shared" si="32"/>
        <v>1.20.30.10.010.000.00.000</v>
      </c>
      <c r="D282" s="599" t="str">
        <f t="shared" si="33"/>
        <v/>
      </c>
      <c r="E282" s="600"/>
      <c r="F282" s="600"/>
      <c r="G282" s="600"/>
      <c r="H282" s="601">
        <f t="shared" si="34"/>
        <v>0</v>
      </c>
      <c r="I282" s="600"/>
      <c r="J282" s="600"/>
      <c r="K282" s="600"/>
      <c r="L282" s="600"/>
      <c r="M282" s="600"/>
      <c r="N282" s="601">
        <f t="shared" si="35"/>
        <v>0</v>
      </c>
    </row>
    <row r="283" spans="1:14" x14ac:dyDescent="0.25">
      <c r="A283" s="551" t="str">
        <f>+Info!$B$2</f>
        <v>724</v>
      </c>
      <c r="B283" s="559" t="s">
        <v>1760</v>
      </c>
      <c r="C283" s="559" t="str">
        <f t="shared" si="32"/>
        <v>1.20.30.10.010.000.00.000</v>
      </c>
      <c r="D283" s="599" t="str">
        <f t="shared" si="33"/>
        <v/>
      </c>
      <c r="E283" s="600"/>
      <c r="F283" s="600"/>
      <c r="G283" s="600"/>
      <c r="H283" s="601">
        <f t="shared" si="34"/>
        <v>0</v>
      </c>
      <c r="I283" s="600"/>
      <c r="J283" s="600"/>
      <c r="K283" s="600"/>
      <c r="L283" s="600"/>
      <c r="M283" s="600"/>
      <c r="N283" s="601">
        <f t="shared" si="35"/>
        <v>0</v>
      </c>
    </row>
    <row r="284" spans="1:14" x14ac:dyDescent="0.25">
      <c r="A284" s="551" t="str">
        <f>+Info!$B$2</f>
        <v>724</v>
      </c>
      <c r="B284" s="559" t="s">
        <v>1760</v>
      </c>
      <c r="C284" s="559" t="str">
        <f t="shared" si="32"/>
        <v>1.20.30.10.010.000.00.000</v>
      </c>
      <c r="D284" s="599" t="str">
        <f t="shared" si="33"/>
        <v/>
      </c>
      <c r="E284" s="600"/>
      <c r="F284" s="600"/>
      <c r="G284" s="600"/>
      <c r="H284" s="601">
        <f t="shared" si="34"/>
        <v>0</v>
      </c>
      <c r="I284" s="600"/>
      <c r="J284" s="600"/>
      <c r="K284" s="600"/>
      <c r="L284" s="600"/>
      <c r="M284" s="600"/>
      <c r="N284" s="601">
        <f t="shared" si="35"/>
        <v>0</v>
      </c>
    </row>
    <row r="285" spans="1:14" x14ac:dyDescent="0.25">
      <c r="A285" s="551" t="str">
        <f>+Info!$B$2</f>
        <v>724</v>
      </c>
      <c r="B285" s="559" t="s">
        <v>1760</v>
      </c>
      <c r="C285" s="559" t="str">
        <f t="shared" si="32"/>
        <v>1.20.30.10.010.000.00.000</v>
      </c>
      <c r="D285" s="599" t="str">
        <f t="shared" si="33"/>
        <v/>
      </c>
      <c r="E285" s="600"/>
      <c r="F285" s="600"/>
      <c r="G285" s="600"/>
      <c r="H285" s="601">
        <f t="shared" si="34"/>
        <v>0</v>
      </c>
      <c r="I285" s="600"/>
      <c r="J285" s="600"/>
      <c r="K285" s="600"/>
      <c r="L285" s="600"/>
      <c r="M285" s="600"/>
      <c r="N285" s="601">
        <f t="shared" si="35"/>
        <v>0</v>
      </c>
    </row>
    <row r="286" spans="1:14" x14ac:dyDescent="0.25">
      <c r="A286" s="551" t="str">
        <f>+Info!$B$2</f>
        <v>724</v>
      </c>
      <c r="B286" s="559" t="s">
        <v>1760</v>
      </c>
      <c r="C286" s="559" t="str">
        <f t="shared" si="32"/>
        <v>1.20.30.10.010.000.00.000</v>
      </c>
      <c r="D286" s="599" t="str">
        <f t="shared" si="33"/>
        <v/>
      </c>
      <c r="E286" s="600"/>
      <c r="F286" s="600"/>
      <c r="G286" s="600"/>
      <c r="H286" s="601">
        <f t="shared" si="34"/>
        <v>0</v>
      </c>
      <c r="I286" s="600"/>
      <c r="J286" s="600"/>
      <c r="K286" s="600"/>
      <c r="L286" s="600"/>
      <c r="M286" s="600"/>
      <c r="N286" s="601">
        <f t="shared" si="35"/>
        <v>0</v>
      </c>
    </row>
    <row r="287" spans="1:14" x14ac:dyDescent="0.25">
      <c r="A287" s="551" t="str">
        <f>+Info!$B$2</f>
        <v>724</v>
      </c>
      <c r="B287" s="559" t="s">
        <v>1760</v>
      </c>
      <c r="C287" s="559" t="str">
        <f t="shared" si="32"/>
        <v>1.20.30.10.010.000.00.000</v>
      </c>
      <c r="D287" s="599" t="str">
        <f t="shared" si="33"/>
        <v/>
      </c>
      <c r="E287" s="600"/>
      <c r="F287" s="600"/>
      <c r="G287" s="600"/>
      <c r="H287" s="601">
        <f t="shared" si="34"/>
        <v>0</v>
      </c>
      <c r="I287" s="600"/>
      <c r="J287" s="600"/>
      <c r="K287" s="600"/>
      <c r="L287" s="600"/>
      <c r="M287" s="600"/>
      <c r="N287" s="601">
        <f t="shared" si="35"/>
        <v>0</v>
      </c>
    </row>
    <row r="288" spans="1:14" x14ac:dyDescent="0.25">
      <c r="A288" s="551" t="str">
        <f>+Info!$B$2</f>
        <v>724</v>
      </c>
      <c r="B288" s="559" t="s">
        <v>1760</v>
      </c>
      <c r="C288" s="559" t="str">
        <f t="shared" si="32"/>
        <v>1.20.30.10.010.000.00.000</v>
      </c>
      <c r="D288" s="599" t="str">
        <f t="shared" si="33"/>
        <v/>
      </c>
      <c r="E288" s="600"/>
      <c r="F288" s="600"/>
      <c r="G288" s="600"/>
      <c r="H288" s="601">
        <f t="shared" si="34"/>
        <v>0</v>
      </c>
      <c r="I288" s="600"/>
      <c r="J288" s="600"/>
      <c r="K288" s="600"/>
      <c r="L288" s="600"/>
      <c r="M288" s="600"/>
      <c r="N288" s="601">
        <f t="shared" si="35"/>
        <v>0</v>
      </c>
    </row>
    <row r="289" spans="1:14" x14ac:dyDescent="0.25">
      <c r="A289" s="551" t="str">
        <f>+Info!$B$2</f>
        <v>724</v>
      </c>
      <c r="B289" s="591" t="s">
        <v>1765</v>
      </c>
      <c r="C289" s="591" t="s">
        <v>1766</v>
      </c>
      <c r="D289" s="594" t="s">
        <v>4267</v>
      </c>
      <c r="E289" s="598">
        <f t="shared" ref="E289:N289" si="36">SUM(E290:E301)</f>
        <v>0</v>
      </c>
      <c r="F289" s="598">
        <f t="shared" si="36"/>
        <v>0</v>
      </c>
      <c r="G289" s="598">
        <f t="shared" si="36"/>
        <v>0</v>
      </c>
      <c r="H289" s="598">
        <f t="shared" si="36"/>
        <v>0</v>
      </c>
      <c r="I289" s="598">
        <f t="shared" si="36"/>
        <v>0</v>
      </c>
      <c r="J289" s="598">
        <f t="shared" si="36"/>
        <v>0</v>
      </c>
      <c r="K289" s="598">
        <f t="shared" si="36"/>
        <v>0</v>
      </c>
      <c r="L289" s="598">
        <f t="shared" si="36"/>
        <v>0</v>
      </c>
      <c r="M289" s="598">
        <f t="shared" si="36"/>
        <v>0</v>
      </c>
      <c r="N289" s="598">
        <f t="shared" si="36"/>
        <v>0</v>
      </c>
    </row>
    <row r="290" spans="1:14" x14ac:dyDescent="0.25">
      <c r="A290" s="551" t="str">
        <f>+Info!$B$2</f>
        <v>724</v>
      </c>
      <c r="B290" s="559" t="s">
        <v>1765</v>
      </c>
      <c r="C290" s="559" t="str">
        <f t="shared" ref="C290:C301" si="37">$C$245</f>
        <v>1.20.30.10.015.000.00.000</v>
      </c>
      <c r="D290" s="599" t="str">
        <f t="shared" ref="D290:D301" si="38">IF(+D246="","",D246)</f>
        <v/>
      </c>
      <c r="E290" s="593"/>
      <c r="F290" s="593"/>
      <c r="G290" s="593"/>
      <c r="H290" s="601">
        <f t="shared" ref="H290:H301" si="39">+E290+F290-G290</f>
        <v>0</v>
      </c>
      <c r="I290" s="593"/>
      <c r="J290" s="593"/>
      <c r="K290" s="593"/>
      <c r="L290" s="593"/>
      <c r="M290" s="593"/>
      <c r="N290" s="601">
        <f t="shared" ref="N290:N301" si="40">+H290+I290+J290-K290+L290-M290</f>
        <v>0</v>
      </c>
    </row>
    <row r="291" spans="1:14" x14ac:dyDescent="0.25">
      <c r="A291" s="551" t="str">
        <f>+Info!$B$2</f>
        <v>724</v>
      </c>
      <c r="B291" s="559" t="s">
        <v>1765</v>
      </c>
      <c r="C291" s="559" t="str">
        <f t="shared" si="37"/>
        <v>1.20.30.10.015.000.00.000</v>
      </c>
      <c r="D291" s="599" t="str">
        <f t="shared" si="38"/>
        <v/>
      </c>
      <c r="E291" s="593"/>
      <c r="F291" s="593"/>
      <c r="G291" s="593"/>
      <c r="H291" s="601">
        <f t="shared" si="39"/>
        <v>0</v>
      </c>
      <c r="I291" s="593"/>
      <c r="J291" s="593"/>
      <c r="K291" s="593"/>
      <c r="L291" s="593"/>
      <c r="M291" s="593"/>
      <c r="N291" s="601">
        <f t="shared" si="40"/>
        <v>0</v>
      </c>
    </row>
    <row r="292" spans="1:14" x14ac:dyDescent="0.25">
      <c r="A292" s="551" t="str">
        <f>+Info!$B$2</f>
        <v>724</v>
      </c>
      <c r="B292" s="559" t="s">
        <v>1765</v>
      </c>
      <c r="C292" s="559" t="str">
        <f t="shared" si="37"/>
        <v>1.20.30.10.015.000.00.000</v>
      </c>
      <c r="D292" s="599" t="str">
        <f t="shared" si="38"/>
        <v/>
      </c>
      <c r="E292" s="593"/>
      <c r="F292" s="593"/>
      <c r="G292" s="593"/>
      <c r="H292" s="601">
        <f t="shared" si="39"/>
        <v>0</v>
      </c>
      <c r="I292" s="593"/>
      <c r="J292" s="593"/>
      <c r="K292" s="593"/>
      <c r="L292" s="593"/>
      <c r="M292" s="593"/>
      <c r="N292" s="601">
        <f t="shared" si="40"/>
        <v>0</v>
      </c>
    </row>
    <row r="293" spans="1:14" x14ac:dyDescent="0.25">
      <c r="A293" s="551" t="str">
        <f>+Info!$B$2</f>
        <v>724</v>
      </c>
      <c r="B293" s="559" t="s">
        <v>1765</v>
      </c>
      <c r="C293" s="559" t="str">
        <f t="shared" si="37"/>
        <v>1.20.30.10.015.000.00.000</v>
      </c>
      <c r="D293" s="599" t="str">
        <f t="shared" si="38"/>
        <v/>
      </c>
      <c r="E293" s="593"/>
      <c r="F293" s="593"/>
      <c r="G293" s="593"/>
      <c r="H293" s="601">
        <f t="shared" si="39"/>
        <v>0</v>
      </c>
      <c r="I293" s="593"/>
      <c r="J293" s="593"/>
      <c r="K293" s="593"/>
      <c r="L293" s="593"/>
      <c r="M293" s="593"/>
      <c r="N293" s="601">
        <f t="shared" si="40"/>
        <v>0</v>
      </c>
    </row>
    <row r="294" spans="1:14" x14ac:dyDescent="0.25">
      <c r="A294" s="551" t="str">
        <f>+Info!$B$2</f>
        <v>724</v>
      </c>
      <c r="B294" s="559" t="s">
        <v>1765</v>
      </c>
      <c r="C294" s="559" t="str">
        <f t="shared" si="37"/>
        <v>1.20.30.10.015.000.00.000</v>
      </c>
      <c r="D294" s="599" t="str">
        <f t="shared" si="38"/>
        <v/>
      </c>
      <c r="E294" s="593"/>
      <c r="F294" s="593"/>
      <c r="G294" s="593"/>
      <c r="H294" s="601">
        <f t="shared" si="39"/>
        <v>0</v>
      </c>
      <c r="I294" s="593"/>
      <c r="J294" s="593"/>
      <c r="K294" s="593"/>
      <c r="L294" s="593"/>
      <c r="M294" s="593"/>
      <c r="N294" s="601">
        <f t="shared" si="40"/>
        <v>0</v>
      </c>
    </row>
    <row r="295" spans="1:14" x14ac:dyDescent="0.25">
      <c r="A295" s="551" t="str">
        <f>+Info!$B$2</f>
        <v>724</v>
      </c>
      <c r="B295" s="559" t="s">
        <v>1765</v>
      </c>
      <c r="C295" s="559" t="str">
        <f t="shared" si="37"/>
        <v>1.20.30.10.015.000.00.000</v>
      </c>
      <c r="D295" s="599" t="str">
        <f t="shared" si="38"/>
        <v/>
      </c>
      <c r="E295" s="593"/>
      <c r="F295" s="593"/>
      <c r="G295" s="593"/>
      <c r="H295" s="601">
        <f t="shared" si="39"/>
        <v>0</v>
      </c>
      <c r="I295" s="593"/>
      <c r="J295" s="593"/>
      <c r="K295" s="593"/>
      <c r="L295" s="593"/>
      <c r="M295" s="593"/>
      <c r="N295" s="601">
        <f t="shared" si="40"/>
        <v>0</v>
      </c>
    </row>
    <row r="296" spans="1:14" x14ac:dyDescent="0.25">
      <c r="A296" s="551" t="str">
        <f>+Info!$B$2</f>
        <v>724</v>
      </c>
      <c r="B296" s="559" t="s">
        <v>1765</v>
      </c>
      <c r="C296" s="559" t="str">
        <f t="shared" si="37"/>
        <v>1.20.30.10.015.000.00.000</v>
      </c>
      <c r="D296" s="599" t="str">
        <f t="shared" si="38"/>
        <v/>
      </c>
      <c r="E296" s="593"/>
      <c r="F296" s="593"/>
      <c r="G296" s="593"/>
      <c r="H296" s="601">
        <f t="shared" si="39"/>
        <v>0</v>
      </c>
      <c r="I296" s="593"/>
      <c r="J296" s="593"/>
      <c r="K296" s="593"/>
      <c r="L296" s="593"/>
      <c r="M296" s="593"/>
      <c r="N296" s="601">
        <f t="shared" si="40"/>
        <v>0</v>
      </c>
    </row>
    <row r="297" spans="1:14" x14ac:dyDescent="0.25">
      <c r="A297" s="551" t="str">
        <f>+Info!$B$2</f>
        <v>724</v>
      </c>
      <c r="B297" s="559" t="s">
        <v>1765</v>
      </c>
      <c r="C297" s="559" t="str">
        <f t="shared" si="37"/>
        <v>1.20.30.10.015.000.00.000</v>
      </c>
      <c r="D297" s="599" t="str">
        <f t="shared" si="38"/>
        <v/>
      </c>
      <c r="E297" s="593"/>
      <c r="F297" s="593"/>
      <c r="G297" s="593"/>
      <c r="H297" s="601">
        <f t="shared" si="39"/>
        <v>0</v>
      </c>
      <c r="I297" s="593"/>
      <c r="J297" s="593"/>
      <c r="K297" s="593"/>
      <c r="L297" s="593"/>
      <c r="M297" s="593"/>
      <c r="N297" s="601">
        <f t="shared" si="40"/>
        <v>0</v>
      </c>
    </row>
    <row r="298" spans="1:14" x14ac:dyDescent="0.25">
      <c r="A298" s="551" t="str">
        <f>+Info!$B$2</f>
        <v>724</v>
      </c>
      <c r="B298" s="559" t="s">
        <v>1765</v>
      </c>
      <c r="C298" s="559" t="str">
        <f t="shared" si="37"/>
        <v>1.20.30.10.015.000.00.000</v>
      </c>
      <c r="D298" s="599" t="str">
        <f t="shared" si="38"/>
        <v/>
      </c>
      <c r="E298" s="593"/>
      <c r="F298" s="593"/>
      <c r="G298" s="593"/>
      <c r="H298" s="601">
        <f t="shared" si="39"/>
        <v>0</v>
      </c>
      <c r="I298" s="593"/>
      <c r="J298" s="593"/>
      <c r="K298" s="593"/>
      <c r="L298" s="593"/>
      <c r="M298" s="593"/>
      <c r="N298" s="601">
        <f t="shared" si="40"/>
        <v>0</v>
      </c>
    </row>
    <row r="299" spans="1:14" x14ac:dyDescent="0.25">
      <c r="A299" s="551" t="str">
        <f>+Info!$B$2</f>
        <v>724</v>
      </c>
      <c r="B299" s="559" t="s">
        <v>1765</v>
      </c>
      <c r="C299" s="559" t="str">
        <f t="shared" si="37"/>
        <v>1.20.30.10.015.000.00.000</v>
      </c>
      <c r="D299" s="599" t="str">
        <f t="shared" si="38"/>
        <v/>
      </c>
      <c r="E299" s="593"/>
      <c r="F299" s="593"/>
      <c r="G299" s="593"/>
      <c r="H299" s="601">
        <f t="shared" si="39"/>
        <v>0</v>
      </c>
      <c r="I299" s="593"/>
      <c r="J299" s="593"/>
      <c r="K299" s="593"/>
      <c r="L299" s="593"/>
      <c r="M299" s="593"/>
      <c r="N299" s="601">
        <f t="shared" si="40"/>
        <v>0</v>
      </c>
    </row>
    <row r="300" spans="1:14" x14ac:dyDescent="0.25">
      <c r="A300" s="551" t="str">
        <f>+Info!$B$2</f>
        <v>724</v>
      </c>
      <c r="B300" s="559" t="s">
        <v>1765</v>
      </c>
      <c r="C300" s="559" t="str">
        <f t="shared" si="37"/>
        <v>1.20.30.10.015.000.00.000</v>
      </c>
      <c r="D300" s="599" t="str">
        <f t="shared" si="38"/>
        <v/>
      </c>
      <c r="E300" s="593"/>
      <c r="F300" s="593"/>
      <c r="G300" s="593"/>
      <c r="H300" s="601">
        <f t="shared" si="39"/>
        <v>0</v>
      </c>
      <c r="I300" s="593"/>
      <c r="J300" s="593"/>
      <c r="K300" s="593"/>
      <c r="L300" s="593"/>
      <c r="M300" s="593"/>
      <c r="N300" s="601">
        <f t="shared" si="40"/>
        <v>0</v>
      </c>
    </row>
    <row r="301" spans="1:14" x14ac:dyDescent="0.25">
      <c r="A301" s="551" t="str">
        <f>+Info!$B$2</f>
        <v>724</v>
      </c>
      <c r="B301" s="559" t="s">
        <v>1765</v>
      </c>
      <c r="C301" s="559" t="str">
        <f t="shared" si="37"/>
        <v>1.20.30.10.015.000.00.000</v>
      </c>
      <c r="D301" s="599" t="str">
        <f t="shared" si="38"/>
        <v/>
      </c>
      <c r="E301" s="593"/>
      <c r="F301" s="593"/>
      <c r="G301" s="593"/>
      <c r="H301" s="601">
        <f t="shared" si="39"/>
        <v>0</v>
      </c>
      <c r="I301" s="593"/>
      <c r="J301" s="593"/>
      <c r="K301" s="593"/>
      <c r="L301" s="593"/>
      <c r="M301" s="593"/>
      <c r="N301" s="601">
        <f t="shared" si="40"/>
        <v>0</v>
      </c>
    </row>
    <row r="302" spans="1:14" x14ac:dyDescent="0.25">
      <c r="A302" s="551" t="str">
        <f>+Info!$B$2</f>
        <v>724</v>
      </c>
      <c r="B302" s="591" t="s">
        <v>1767</v>
      </c>
      <c r="C302" s="591" t="s">
        <v>1768</v>
      </c>
      <c r="D302" s="594" t="s">
        <v>4268</v>
      </c>
      <c r="E302" s="598">
        <f t="shared" ref="E302:N302" si="41">SUM(E303:E314)</f>
        <v>0</v>
      </c>
      <c r="F302" s="598">
        <f t="shared" si="41"/>
        <v>0</v>
      </c>
      <c r="G302" s="598">
        <f t="shared" si="41"/>
        <v>0</v>
      </c>
      <c r="H302" s="598">
        <f t="shared" si="41"/>
        <v>0</v>
      </c>
      <c r="I302" s="598">
        <f t="shared" si="41"/>
        <v>0</v>
      </c>
      <c r="J302" s="598">
        <f t="shared" si="41"/>
        <v>0</v>
      </c>
      <c r="K302" s="598">
        <f t="shared" si="41"/>
        <v>0</v>
      </c>
      <c r="L302" s="598">
        <f t="shared" si="41"/>
        <v>0</v>
      </c>
      <c r="M302" s="598">
        <f t="shared" si="41"/>
        <v>0</v>
      </c>
      <c r="N302" s="598">
        <f t="shared" si="41"/>
        <v>0</v>
      </c>
    </row>
    <row r="303" spans="1:14" x14ac:dyDescent="0.25">
      <c r="A303" s="551" t="str">
        <f>+Info!$B$2</f>
        <v>724</v>
      </c>
      <c r="B303" s="559" t="s">
        <v>1767</v>
      </c>
      <c r="C303" s="559" t="str">
        <f t="shared" ref="C303:C314" si="42">$C$258</f>
        <v>1.20.30.10.020.000.00.000</v>
      </c>
      <c r="D303" s="599" t="str">
        <f t="shared" ref="D303:D314" si="43">IF(+D259="","",D259)</f>
        <v/>
      </c>
      <c r="E303" s="593"/>
      <c r="F303" s="593"/>
      <c r="G303" s="593"/>
      <c r="H303" s="601">
        <f t="shared" ref="H303:H314" si="44">+E303+F303-G303</f>
        <v>0</v>
      </c>
      <c r="I303" s="593"/>
      <c r="J303" s="593"/>
      <c r="K303" s="593"/>
      <c r="L303" s="593"/>
      <c r="M303" s="593"/>
      <c r="N303" s="601">
        <f t="shared" ref="N303:N314" si="45">+H303+I303+J303-K303+L303-M303</f>
        <v>0</v>
      </c>
    </row>
    <row r="304" spans="1:14" x14ac:dyDescent="0.25">
      <c r="A304" s="551" t="str">
        <f>+Info!$B$2</f>
        <v>724</v>
      </c>
      <c r="B304" s="559" t="s">
        <v>1767</v>
      </c>
      <c r="C304" s="559" t="str">
        <f t="shared" si="42"/>
        <v>1.20.30.10.020.000.00.000</v>
      </c>
      <c r="D304" s="599" t="str">
        <f t="shared" si="43"/>
        <v/>
      </c>
      <c r="E304" s="593"/>
      <c r="F304" s="593"/>
      <c r="G304" s="593"/>
      <c r="H304" s="601">
        <f t="shared" si="44"/>
        <v>0</v>
      </c>
      <c r="I304" s="593"/>
      <c r="J304" s="593"/>
      <c r="K304" s="593"/>
      <c r="L304" s="593"/>
      <c r="M304" s="593"/>
      <c r="N304" s="601">
        <f t="shared" si="45"/>
        <v>0</v>
      </c>
    </row>
    <row r="305" spans="1:14" x14ac:dyDescent="0.25">
      <c r="A305" s="551" t="str">
        <f>+Info!$B$2</f>
        <v>724</v>
      </c>
      <c r="B305" s="559" t="s">
        <v>1767</v>
      </c>
      <c r="C305" s="559" t="str">
        <f t="shared" si="42"/>
        <v>1.20.30.10.020.000.00.000</v>
      </c>
      <c r="D305" s="599" t="str">
        <f t="shared" si="43"/>
        <v/>
      </c>
      <c r="E305" s="593"/>
      <c r="F305" s="593"/>
      <c r="G305" s="593"/>
      <c r="H305" s="601">
        <f t="shared" si="44"/>
        <v>0</v>
      </c>
      <c r="I305" s="593"/>
      <c r="J305" s="593"/>
      <c r="K305" s="593"/>
      <c r="L305" s="593"/>
      <c r="M305" s="593"/>
      <c r="N305" s="601">
        <f t="shared" si="45"/>
        <v>0</v>
      </c>
    </row>
    <row r="306" spans="1:14" x14ac:dyDescent="0.25">
      <c r="A306" s="551" t="str">
        <f>+Info!$B$2</f>
        <v>724</v>
      </c>
      <c r="B306" s="559" t="s">
        <v>1767</v>
      </c>
      <c r="C306" s="559" t="str">
        <f t="shared" si="42"/>
        <v>1.20.30.10.020.000.00.000</v>
      </c>
      <c r="D306" s="599" t="str">
        <f t="shared" si="43"/>
        <v/>
      </c>
      <c r="E306" s="593"/>
      <c r="F306" s="593"/>
      <c r="G306" s="593"/>
      <c r="H306" s="601">
        <f t="shared" si="44"/>
        <v>0</v>
      </c>
      <c r="I306" s="593"/>
      <c r="J306" s="593"/>
      <c r="K306" s="593"/>
      <c r="L306" s="593"/>
      <c r="M306" s="593"/>
      <c r="N306" s="601">
        <f t="shared" si="45"/>
        <v>0</v>
      </c>
    </row>
    <row r="307" spans="1:14" x14ac:dyDescent="0.25">
      <c r="A307" s="551" t="str">
        <f>+Info!$B$2</f>
        <v>724</v>
      </c>
      <c r="B307" s="559" t="s">
        <v>1767</v>
      </c>
      <c r="C307" s="559" t="str">
        <f t="shared" si="42"/>
        <v>1.20.30.10.020.000.00.000</v>
      </c>
      <c r="D307" s="599" t="str">
        <f t="shared" si="43"/>
        <v/>
      </c>
      <c r="E307" s="593"/>
      <c r="F307" s="593"/>
      <c r="G307" s="593"/>
      <c r="H307" s="601">
        <f t="shared" si="44"/>
        <v>0</v>
      </c>
      <c r="I307" s="593"/>
      <c r="J307" s="593"/>
      <c r="K307" s="593"/>
      <c r="L307" s="593"/>
      <c r="M307" s="593"/>
      <c r="N307" s="601">
        <f t="shared" si="45"/>
        <v>0</v>
      </c>
    </row>
    <row r="308" spans="1:14" x14ac:dyDescent="0.25">
      <c r="A308" s="551" t="str">
        <f>+Info!$B$2</f>
        <v>724</v>
      </c>
      <c r="B308" s="559" t="s">
        <v>1767</v>
      </c>
      <c r="C308" s="559" t="str">
        <f t="shared" si="42"/>
        <v>1.20.30.10.020.000.00.000</v>
      </c>
      <c r="D308" s="599" t="str">
        <f t="shared" si="43"/>
        <v/>
      </c>
      <c r="E308" s="593"/>
      <c r="F308" s="593"/>
      <c r="G308" s="593"/>
      <c r="H308" s="601">
        <f t="shared" si="44"/>
        <v>0</v>
      </c>
      <c r="I308" s="593"/>
      <c r="J308" s="593"/>
      <c r="K308" s="593"/>
      <c r="L308" s="593"/>
      <c r="M308" s="593"/>
      <c r="N308" s="601">
        <f t="shared" si="45"/>
        <v>0</v>
      </c>
    </row>
    <row r="309" spans="1:14" x14ac:dyDescent="0.25">
      <c r="A309" s="551" t="str">
        <f>+Info!$B$2</f>
        <v>724</v>
      </c>
      <c r="B309" s="559" t="s">
        <v>1767</v>
      </c>
      <c r="C309" s="559" t="str">
        <f t="shared" si="42"/>
        <v>1.20.30.10.020.000.00.000</v>
      </c>
      <c r="D309" s="599" t="str">
        <f t="shared" si="43"/>
        <v/>
      </c>
      <c r="E309" s="593"/>
      <c r="F309" s="593"/>
      <c r="G309" s="593"/>
      <c r="H309" s="601">
        <f t="shared" si="44"/>
        <v>0</v>
      </c>
      <c r="I309" s="593"/>
      <c r="J309" s="593"/>
      <c r="K309" s="593"/>
      <c r="L309" s="593"/>
      <c r="M309" s="593"/>
      <c r="N309" s="601">
        <f t="shared" si="45"/>
        <v>0</v>
      </c>
    </row>
    <row r="310" spans="1:14" x14ac:dyDescent="0.25">
      <c r="A310" s="551" t="str">
        <f>+Info!$B$2</f>
        <v>724</v>
      </c>
      <c r="B310" s="559" t="s">
        <v>1767</v>
      </c>
      <c r="C310" s="559" t="str">
        <f t="shared" si="42"/>
        <v>1.20.30.10.020.000.00.000</v>
      </c>
      <c r="D310" s="599" t="str">
        <f t="shared" si="43"/>
        <v/>
      </c>
      <c r="E310" s="593"/>
      <c r="F310" s="593"/>
      <c r="G310" s="593"/>
      <c r="H310" s="601">
        <f t="shared" si="44"/>
        <v>0</v>
      </c>
      <c r="I310" s="593"/>
      <c r="J310" s="593"/>
      <c r="K310" s="593"/>
      <c r="L310" s="593"/>
      <c r="M310" s="593"/>
      <c r="N310" s="601">
        <f t="shared" si="45"/>
        <v>0</v>
      </c>
    </row>
    <row r="311" spans="1:14" x14ac:dyDescent="0.25">
      <c r="A311" s="551" t="str">
        <f>+Info!$B$2</f>
        <v>724</v>
      </c>
      <c r="B311" s="559" t="s">
        <v>1767</v>
      </c>
      <c r="C311" s="559" t="str">
        <f t="shared" si="42"/>
        <v>1.20.30.10.020.000.00.000</v>
      </c>
      <c r="D311" s="599" t="str">
        <f t="shared" si="43"/>
        <v/>
      </c>
      <c r="E311" s="593"/>
      <c r="F311" s="593"/>
      <c r="G311" s="593"/>
      <c r="H311" s="601">
        <f t="shared" si="44"/>
        <v>0</v>
      </c>
      <c r="I311" s="593"/>
      <c r="J311" s="593"/>
      <c r="K311" s="593"/>
      <c r="L311" s="593"/>
      <c r="M311" s="593"/>
      <c r="N311" s="601">
        <f t="shared" si="45"/>
        <v>0</v>
      </c>
    </row>
    <row r="312" spans="1:14" x14ac:dyDescent="0.25">
      <c r="A312" s="551" t="str">
        <f>+Info!$B$2</f>
        <v>724</v>
      </c>
      <c r="B312" s="559" t="s">
        <v>1767</v>
      </c>
      <c r="C312" s="559" t="str">
        <f t="shared" si="42"/>
        <v>1.20.30.10.020.000.00.000</v>
      </c>
      <c r="D312" s="599" t="str">
        <f t="shared" si="43"/>
        <v/>
      </c>
      <c r="E312" s="593"/>
      <c r="F312" s="593"/>
      <c r="G312" s="593"/>
      <c r="H312" s="601">
        <f t="shared" si="44"/>
        <v>0</v>
      </c>
      <c r="I312" s="593"/>
      <c r="J312" s="593"/>
      <c r="K312" s="593"/>
      <c r="L312" s="593"/>
      <c r="M312" s="593"/>
      <c r="N312" s="601">
        <f t="shared" si="45"/>
        <v>0</v>
      </c>
    </row>
    <row r="313" spans="1:14" x14ac:dyDescent="0.25">
      <c r="A313" s="551" t="str">
        <f>+Info!$B$2</f>
        <v>724</v>
      </c>
      <c r="B313" s="559" t="s">
        <v>1767</v>
      </c>
      <c r="C313" s="559" t="str">
        <f t="shared" si="42"/>
        <v>1.20.30.10.020.000.00.000</v>
      </c>
      <c r="D313" s="599" t="str">
        <f t="shared" si="43"/>
        <v/>
      </c>
      <c r="E313" s="593"/>
      <c r="F313" s="593"/>
      <c r="G313" s="593"/>
      <c r="H313" s="601">
        <f t="shared" si="44"/>
        <v>0</v>
      </c>
      <c r="I313" s="593"/>
      <c r="J313" s="593"/>
      <c r="K313" s="593"/>
      <c r="L313" s="593"/>
      <c r="M313" s="593"/>
      <c r="N313" s="601">
        <f t="shared" si="45"/>
        <v>0</v>
      </c>
    </row>
    <row r="314" spans="1:14" x14ac:dyDescent="0.25">
      <c r="A314" s="551" t="str">
        <f>+Info!$B$2</f>
        <v>724</v>
      </c>
      <c r="B314" s="559" t="s">
        <v>1767</v>
      </c>
      <c r="C314" s="559" t="str">
        <f t="shared" si="42"/>
        <v>1.20.30.10.020.000.00.000</v>
      </c>
      <c r="D314" s="599" t="str">
        <f t="shared" si="43"/>
        <v/>
      </c>
      <c r="E314" s="593"/>
      <c r="F314" s="593"/>
      <c r="G314" s="593"/>
      <c r="H314" s="601">
        <f t="shared" si="44"/>
        <v>0</v>
      </c>
      <c r="I314" s="593"/>
      <c r="J314" s="593"/>
      <c r="K314" s="593"/>
      <c r="L314" s="593"/>
      <c r="M314" s="593"/>
      <c r="N314" s="601">
        <f t="shared" si="45"/>
        <v>0</v>
      </c>
    </row>
    <row r="315" spans="1:14" x14ac:dyDescent="0.25">
      <c r="A315" s="551" t="str">
        <f>+Info!$B$2</f>
        <v>724</v>
      </c>
      <c r="B315" s="559" t="e">
        <f t="shared" ref="B315:B325" si="46">NA()</f>
        <v>#N/A</v>
      </c>
    </row>
    <row r="316" spans="1:14" hidden="1" x14ac:dyDescent="0.25">
      <c r="A316" s="551" t="str">
        <f>+Info!$B$2</f>
        <v>724</v>
      </c>
      <c r="B316" s="559" t="e">
        <f t="shared" si="46"/>
        <v>#N/A</v>
      </c>
    </row>
    <row r="317" spans="1:14" hidden="1" x14ac:dyDescent="0.25">
      <c r="A317" s="551" t="str">
        <f>+Info!$B$2</f>
        <v>724</v>
      </c>
      <c r="B317" s="559" t="e">
        <f t="shared" si="46"/>
        <v>#N/A</v>
      </c>
    </row>
    <row r="318" spans="1:14" hidden="1" x14ac:dyDescent="0.25">
      <c r="A318" s="551" t="str">
        <f>+Info!$B$2</f>
        <v>724</v>
      </c>
      <c r="B318" s="559" t="e">
        <f t="shared" si="46"/>
        <v>#N/A</v>
      </c>
    </row>
    <row r="319" spans="1:14" hidden="1" x14ac:dyDescent="0.25">
      <c r="A319" s="551" t="str">
        <f>+Info!$B$2</f>
        <v>724</v>
      </c>
      <c r="B319" s="559" t="e">
        <f t="shared" si="46"/>
        <v>#N/A</v>
      </c>
    </row>
    <row r="320" spans="1:14" hidden="1" x14ac:dyDescent="0.25">
      <c r="A320" s="551" t="str">
        <f>+Info!$B$2</f>
        <v>724</v>
      </c>
      <c r="B320" s="559" t="e">
        <f t="shared" si="46"/>
        <v>#N/A</v>
      </c>
    </row>
    <row r="321" spans="1:14" hidden="1" x14ac:dyDescent="0.25">
      <c r="A321" s="551" t="str">
        <f>+Info!$B$2</f>
        <v>724</v>
      </c>
      <c r="B321" s="559" t="e">
        <f t="shared" si="46"/>
        <v>#N/A</v>
      </c>
    </row>
    <row r="322" spans="1:14" hidden="1" x14ac:dyDescent="0.25">
      <c r="A322" s="551" t="str">
        <f>+Info!$B$2</f>
        <v>724</v>
      </c>
      <c r="B322" s="559" t="e">
        <f t="shared" si="46"/>
        <v>#N/A</v>
      </c>
    </row>
    <row r="323" spans="1:14" hidden="1" x14ac:dyDescent="0.25">
      <c r="A323" s="551" t="str">
        <f>+Info!$B$2</f>
        <v>724</v>
      </c>
      <c r="B323" s="559" t="e">
        <f t="shared" si="46"/>
        <v>#N/A</v>
      </c>
    </row>
    <row r="324" spans="1:14" x14ac:dyDescent="0.25">
      <c r="A324" s="551" t="str">
        <f>+Info!$B$2</f>
        <v>724</v>
      </c>
      <c r="B324" s="559" t="e">
        <f t="shared" si="46"/>
        <v>#N/A</v>
      </c>
    </row>
    <row r="325" spans="1:14" ht="36" x14ac:dyDescent="0.25">
      <c r="A325" s="551" t="str">
        <f>+Info!$B$2</f>
        <v>724</v>
      </c>
      <c r="B325" s="559" t="e">
        <f t="shared" si="46"/>
        <v>#N/A</v>
      </c>
      <c r="C325" s="603" t="s">
        <v>4277</v>
      </c>
      <c r="D325" s="590" t="s">
        <v>4278</v>
      </c>
      <c r="E325" s="590" t="s">
        <v>4279</v>
      </c>
      <c r="F325" s="590" t="s">
        <v>4280</v>
      </c>
      <c r="G325" s="590" t="s">
        <v>4281</v>
      </c>
      <c r="H325" s="590" t="s">
        <v>4282</v>
      </c>
      <c r="I325" s="590" t="s">
        <v>4283</v>
      </c>
      <c r="J325" s="590" t="s">
        <v>4284</v>
      </c>
      <c r="K325" s="590" t="s">
        <v>3883</v>
      </c>
      <c r="L325" s="557"/>
      <c r="M325" s="557"/>
      <c r="N325" s="557"/>
    </row>
    <row r="326" spans="1:14" x14ac:dyDescent="0.25">
      <c r="A326" s="551" t="str">
        <f>+Info!$B$2</f>
        <v>724</v>
      </c>
      <c r="B326" s="559" t="s">
        <v>1399</v>
      </c>
      <c r="C326" s="604" t="str">
        <f t="shared" ref="C326:C347" si="47">$C$348</f>
        <v>1.20.20.10.045.000.00.000</v>
      </c>
      <c r="D326" s="605" t="s">
        <v>4285</v>
      </c>
      <c r="E326" s="606" t="str">
        <f>"Ante "&amp;Info!$B$3</f>
        <v>Ante 2020</v>
      </c>
      <c r="F326" s="607"/>
      <c r="G326" s="607"/>
      <c r="H326" s="608"/>
      <c r="I326" s="607"/>
      <c r="J326" s="608"/>
      <c r="K326" s="609">
        <f>+H326+J326</f>
        <v>0</v>
      </c>
      <c r="L326" s="557"/>
      <c r="M326" s="557"/>
      <c r="N326" s="557"/>
    </row>
    <row r="327" spans="1:14" x14ac:dyDescent="0.25">
      <c r="A327" s="551" t="str">
        <f>+Info!$B$2</f>
        <v>724</v>
      </c>
      <c r="B327" s="559" t="s">
        <v>1399</v>
      </c>
      <c r="C327" s="604" t="str">
        <f t="shared" si="47"/>
        <v>1.20.20.10.045.000.00.000</v>
      </c>
      <c r="D327" s="566" t="s">
        <v>4286</v>
      </c>
      <c r="E327" s="564" t="str">
        <f>+Info!$B$3</f>
        <v>2020</v>
      </c>
      <c r="F327" s="607"/>
      <c r="G327" s="607"/>
      <c r="H327" s="607"/>
      <c r="I327" s="610">
        <v>4630000</v>
      </c>
      <c r="J327" s="610"/>
      <c r="K327" s="609">
        <f t="shared" ref="K327:K347" si="48">+I327+J327</f>
        <v>4630000</v>
      </c>
      <c r="L327" s="557"/>
      <c r="M327" s="557"/>
      <c r="N327" s="557"/>
    </row>
    <row r="328" spans="1:14" x14ac:dyDescent="0.25">
      <c r="A328" s="551" t="str">
        <f>+Info!$B$2</f>
        <v>724</v>
      </c>
      <c r="B328" s="559" t="s">
        <v>1399</v>
      </c>
      <c r="C328" s="604" t="str">
        <f t="shared" si="47"/>
        <v>1.20.20.10.045.000.00.000</v>
      </c>
      <c r="D328" s="566" t="s">
        <v>4287</v>
      </c>
      <c r="E328" s="564" t="str">
        <f>+Info!$B$3</f>
        <v>2020</v>
      </c>
      <c r="F328" s="607"/>
      <c r="G328" s="607"/>
      <c r="H328" s="607"/>
      <c r="I328" s="610">
        <v>4520000</v>
      </c>
      <c r="J328" s="610"/>
      <c r="K328" s="609">
        <f t="shared" si="48"/>
        <v>4520000</v>
      </c>
      <c r="L328" s="557"/>
      <c r="M328" s="557"/>
      <c r="N328" s="557"/>
    </row>
    <row r="329" spans="1:14" x14ac:dyDescent="0.25">
      <c r="A329" s="551" t="str">
        <f>+Info!$B$2</f>
        <v>724</v>
      </c>
      <c r="B329" s="559" t="s">
        <v>1399</v>
      </c>
      <c r="C329" s="604" t="str">
        <f t="shared" si="47"/>
        <v>1.20.20.10.045.000.00.000</v>
      </c>
      <c r="D329" s="566" t="s">
        <v>4288</v>
      </c>
      <c r="E329" s="564" t="str">
        <f>+Info!$B$3</f>
        <v>2020</v>
      </c>
      <c r="F329" s="607"/>
      <c r="G329" s="607"/>
      <c r="H329" s="607"/>
      <c r="I329" s="610">
        <v>4448000</v>
      </c>
      <c r="J329" s="610"/>
      <c r="K329" s="609">
        <f t="shared" si="48"/>
        <v>4448000</v>
      </c>
      <c r="L329" s="557"/>
      <c r="M329" s="557"/>
      <c r="N329" s="557"/>
    </row>
    <row r="330" spans="1:14" x14ac:dyDescent="0.25">
      <c r="A330" s="551" t="str">
        <f>+Info!$B$2</f>
        <v>724</v>
      </c>
      <c r="B330" s="559" t="s">
        <v>1399</v>
      </c>
      <c r="C330" s="604" t="str">
        <f t="shared" si="47"/>
        <v>1.20.20.10.045.000.00.000</v>
      </c>
      <c r="D330" s="566"/>
      <c r="E330" s="564" t="str">
        <f>+Info!$B$3</f>
        <v>2020</v>
      </c>
      <c r="F330" s="607"/>
      <c r="G330" s="607"/>
      <c r="H330" s="607"/>
      <c r="I330" s="610"/>
      <c r="J330" s="610"/>
      <c r="K330" s="609">
        <f t="shared" si="48"/>
        <v>0</v>
      </c>
      <c r="L330" s="557"/>
      <c r="M330" s="557"/>
      <c r="N330" s="557"/>
    </row>
    <row r="331" spans="1:14" x14ac:dyDescent="0.25">
      <c r="A331" s="551" t="str">
        <f>+Info!$B$2</f>
        <v>724</v>
      </c>
      <c r="B331" s="559" t="s">
        <v>1399</v>
      </c>
      <c r="C331" s="604" t="str">
        <f t="shared" si="47"/>
        <v>1.20.20.10.045.000.00.000</v>
      </c>
      <c r="D331" s="566"/>
      <c r="E331" s="564" t="str">
        <f>+Info!$B$3</f>
        <v>2020</v>
      </c>
      <c r="F331" s="607"/>
      <c r="G331" s="607"/>
      <c r="H331" s="607"/>
      <c r="I331" s="610"/>
      <c r="J331" s="610"/>
      <c r="K331" s="609">
        <f t="shared" si="48"/>
        <v>0</v>
      </c>
      <c r="L331" s="557"/>
      <c r="M331" s="557"/>
      <c r="N331" s="557"/>
    </row>
    <row r="332" spans="1:14" x14ac:dyDescent="0.25">
      <c r="A332" s="551" t="str">
        <f>+Info!$B$2</f>
        <v>724</v>
      </c>
      <c r="B332" s="559" t="s">
        <v>1399</v>
      </c>
      <c r="C332" s="604" t="str">
        <f t="shared" si="47"/>
        <v>1.20.20.10.045.000.00.000</v>
      </c>
      <c r="D332" s="566"/>
      <c r="E332" s="564" t="str">
        <f>+Info!$B$3</f>
        <v>2020</v>
      </c>
      <c r="F332" s="607"/>
      <c r="G332" s="607"/>
      <c r="H332" s="607"/>
      <c r="I332" s="610"/>
      <c r="J332" s="610"/>
      <c r="K332" s="609">
        <f t="shared" si="48"/>
        <v>0</v>
      </c>
      <c r="L332" s="557"/>
      <c r="M332" s="557"/>
      <c r="N332" s="557"/>
    </row>
    <row r="333" spans="1:14" x14ac:dyDescent="0.25">
      <c r="A333" s="551" t="str">
        <f>+Info!$B$2</f>
        <v>724</v>
      </c>
      <c r="B333" s="559" t="s">
        <v>1399</v>
      </c>
      <c r="C333" s="604" t="str">
        <f t="shared" si="47"/>
        <v>1.20.20.10.045.000.00.000</v>
      </c>
      <c r="D333" s="566"/>
      <c r="E333" s="564" t="str">
        <f>+Info!$B$3</f>
        <v>2020</v>
      </c>
      <c r="F333" s="607"/>
      <c r="G333" s="607"/>
      <c r="H333" s="607"/>
      <c r="I333" s="610"/>
      <c r="J333" s="610"/>
      <c r="K333" s="609">
        <f t="shared" si="48"/>
        <v>0</v>
      </c>
      <c r="L333" s="557"/>
      <c r="M333" s="557"/>
      <c r="N333" s="557"/>
    </row>
    <row r="334" spans="1:14" x14ac:dyDescent="0.25">
      <c r="A334" s="551" t="str">
        <f>+Info!$B$2</f>
        <v>724</v>
      </c>
      <c r="B334" s="559" t="s">
        <v>1399</v>
      </c>
      <c r="C334" s="604" t="str">
        <f t="shared" si="47"/>
        <v>1.20.20.10.045.000.00.000</v>
      </c>
      <c r="D334" s="566"/>
      <c r="E334" s="564" t="str">
        <f>+Info!$B$3</f>
        <v>2020</v>
      </c>
      <c r="F334" s="607"/>
      <c r="G334" s="607"/>
      <c r="H334" s="607"/>
      <c r="I334" s="610"/>
      <c r="J334" s="610"/>
      <c r="K334" s="609">
        <f t="shared" si="48"/>
        <v>0</v>
      </c>
      <c r="L334" s="557"/>
      <c r="M334" s="557"/>
      <c r="N334" s="557"/>
    </row>
    <row r="335" spans="1:14" x14ac:dyDescent="0.25">
      <c r="A335" s="551" t="str">
        <f>+Info!$B$2</f>
        <v>724</v>
      </c>
      <c r="B335" s="559" t="s">
        <v>1399</v>
      </c>
      <c r="C335" s="604" t="str">
        <f t="shared" si="47"/>
        <v>1.20.20.10.045.000.00.000</v>
      </c>
      <c r="D335" s="566"/>
      <c r="E335" s="564" t="str">
        <f>+Info!$B$3</f>
        <v>2020</v>
      </c>
      <c r="F335" s="607"/>
      <c r="G335" s="607"/>
      <c r="H335" s="607"/>
      <c r="I335" s="610"/>
      <c r="J335" s="610"/>
      <c r="K335" s="609">
        <f t="shared" si="48"/>
        <v>0</v>
      </c>
      <c r="L335" s="557"/>
      <c r="M335" s="557"/>
      <c r="N335" s="557"/>
    </row>
    <row r="336" spans="1:14" x14ac:dyDescent="0.25">
      <c r="A336" s="551" t="str">
        <f>+Info!$B$2</f>
        <v>724</v>
      </c>
      <c r="B336" s="559" t="s">
        <v>1399</v>
      </c>
      <c r="C336" s="604" t="str">
        <f t="shared" si="47"/>
        <v>1.20.20.10.045.000.00.000</v>
      </c>
      <c r="D336" s="566"/>
      <c r="E336" s="564" t="str">
        <f>+Info!$B$3</f>
        <v>2020</v>
      </c>
      <c r="F336" s="607"/>
      <c r="G336" s="607"/>
      <c r="H336" s="607"/>
      <c r="I336" s="610"/>
      <c r="J336" s="610"/>
      <c r="K336" s="609">
        <f t="shared" si="48"/>
        <v>0</v>
      </c>
      <c r="L336" s="557"/>
      <c r="M336" s="557"/>
      <c r="N336" s="557"/>
    </row>
    <row r="337" spans="1:32" x14ac:dyDescent="0.25">
      <c r="A337" s="551" t="str">
        <f>+Info!$B$2</f>
        <v>724</v>
      </c>
      <c r="B337" s="559" t="s">
        <v>1399</v>
      </c>
      <c r="C337" s="604" t="str">
        <f t="shared" si="47"/>
        <v>1.20.20.10.045.000.00.000</v>
      </c>
      <c r="D337" s="566"/>
      <c r="E337" s="564" t="str">
        <f>+Info!$B$3</f>
        <v>2020</v>
      </c>
      <c r="F337" s="607"/>
      <c r="G337" s="607"/>
      <c r="H337" s="607"/>
      <c r="I337" s="610"/>
      <c r="J337" s="610"/>
      <c r="K337" s="609">
        <f t="shared" si="48"/>
        <v>0</v>
      </c>
      <c r="L337" s="557"/>
      <c r="M337" s="557"/>
      <c r="N337" s="557"/>
    </row>
    <row r="338" spans="1:32" x14ac:dyDescent="0.25">
      <c r="A338" s="551" t="str">
        <f>+Info!$B$2</f>
        <v>724</v>
      </c>
      <c r="B338" s="559" t="s">
        <v>1399</v>
      </c>
      <c r="C338" s="604" t="str">
        <f t="shared" si="47"/>
        <v>1.20.20.10.045.000.00.000</v>
      </c>
      <c r="D338" s="566"/>
      <c r="E338" s="564" t="str">
        <f>+Info!$B$3</f>
        <v>2020</v>
      </c>
      <c r="F338" s="607"/>
      <c r="G338" s="607"/>
      <c r="H338" s="607"/>
      <c r="I338" s="610"/>
      <c r="J338" s="610"/>
      <c r="K338" s="609">
        <f t="shared" si="48"/>
        <v>0</v>
      </c>
      <c r="L338" s="557"/>
      <c r="M338" s="557"/>
      <c r="N338" s="557"/>
    </row>
    <row r="339" spans="1:32" x14ac:dyDescent="0.25">
      <c r="A339" s="551" t="str">
        <f>+Info!$B$2</f>
        <v>724</v>
      </c>
      <c r="B339" s="559" t="s">
        <v>1399</v>
      </c>
      <c r="C339" s="604" t="str">
        <f t="shared" si="47"/>
        <v>1.20.20.10.045.000.00.000</v>
      </c>
      <c r="D339" s="566"/>
      <c r="E339" s="564" t="str">
        <f>+Info!$B$3</f>
        <v>2020</v>
      </c>
      <c r="F339" s="607"/>
      <c r="G339" s="607"/>
      <c r="H339" s="607"/>
      <c r="I339" s="610"/>
      <c r="J339" s="610"/>
      <c r="K339" s="609">
        <f t="shared" si="48"/>
        <v>0</v>
      </c>
      <c r="L339" s="557"/>
      <c r="M339" s="557"/>
      <c r="N339" s="557"/>
    </row>
    <row r="340" spans="1:32" x14ac:dyDescent="0.25">
      <c r="A340" s="551" t="str">
        <f>+Info!$B$2</f>
        <v>724</v>
      </c>
      <c r="B340" s="559" t="s">
        <v>1399</v>
      </c>
      <c r="C340" s="604" t="str">
        <f t="shared" si="47"/>
        <v>1.20.20.10.045.000.00.000</v>
      </c>
      <c r="D340" s="566"/>
      <c r="E340" s="564" t="str">
        <f>+Info!$B$3</f>
        <v>2020</v>
      </c>
      <c r="F340" s="607"/>
      <c r="G340" s="607"/>
      <c r="H340" s="607"/>
      <c r="I340" s="610"/>
      <c r="J340" s="610"/>
      <c r="K340" s="609">
        <f t="shared" si="48"/>
        <v>0</v>
      </c>
      <c r="L340" s="557"/>
      <c r="M340" s="557"/>
      <c r="N340" s="557"/>
    </row>
    <row r="341" spans="1:32" x14ac:dyDescent="0.25">
      <c r="A341" s="551" t="str">
        <f>+Info!$B$2</f>
        <v>724</v>
      </c>
      <c r="B341" s="559" t="s">
        <v>1399</v>
      </c>
      <c r="C341" s="604" t="str">
        <f t="shared" si="47"/>
        <v>1.20.20.10.045.000.00.000</v>
      </c>
      <c r="D341" s="566"/>
      <c r="E341" s="564" t="str">
        <f>+Info!$B$3</f>
        <v>2020</v>
      </c>
      <c r="F341" s="607"/>
      <c r="G341" s="607"/>
      <c r="H341" s="607"/>
      <c r="I341" s="610"/>
      <c r="J341" s="610"/>
      <c r="K341" s="609">
        <f t="shared" si="48"/>
        <v>0</v>
      </c>
      <c r="L341" s="557"/>
      <c r="M341" s="557"/>
      <c r="N341" s="557"/>
    </row>
    <row r="342" spans="1:32" x14ac:dyDescent="0.25">
      <c r="A342" s="551" t="str">
        <f>+Info!$B$2</f>
        <v>724</v>
      </c>
      <c r="B342" s="559" t="s">
        <v>1399</v>
      </c>
      <c r="C342" s="604" t="str">
        <f t="shared" si="47"/>
        <v>1.20.20.10.045.000.00.000</v>
      </c>
      <c r="D342" s="566"/>
      <c r="E342" s="564" t="str">
        <f>+Info!$B$3</f>
        <v>2020</v>
      </c>
      <c r="F342" s="607"/>
      <c r="G342" s="607"/>
      <c r="H342" s="607"/>
      <c r="I342" s="610"/>
      <c r="J342" s="610"/>
      <c r="K342" s="609">
        <f t="shared" si="48"/>
        <v>0</v>
      </c>
      <c r="L342" s="557"/>
      <c r="M342" s="557"/>
      <c r="N342" s="557"/>
    </row>
    <row r="343" spans="1:32" x14ac:dyDescent="0.25">
      <c r="A343" s="551" t="str">
        <f>+Info!$B$2</f>
        <v>724</v>
      </c>
      <c r="B343" s="559" t="s">
        <v>1399</v>
      </c>
      <c r="C343" s="604" t="str">
        <f t="shared" si="47"/>
        <v>1.20.20.10.045.000.00.000</v>
      </c>
      <c r="D343" s="566"/>
      <c r="E343" s="564" t="str">
        <f>+Info!$B$3</f>
        <v>2020</v>
      </c>
      <c r="F343" s="607"/>
      <c r="G343" s="607"/>
      <c r="H343" s="607"/>
      <c r="I343" s="610"/>
      <c r="J343" s="610"/>
      <c r="K343" s="609">
        <f t="shared" si="48"/>
        <v>0</v>
      </c>
      <c r="L343" s="557"/>
      <c r="M343" s="557"/>
      <c r="N343" s="557"/>
    </row>
    <row r="344" spans="1:32" x14ac:dyDescent="0.25">
      <c r="A344" s="551" t="str">
        <f>+Info!$B$2</f>
        <v>724</v>
      </c>
      <c r="B344" s="559" t="s">
        <v>1399</v>
      </c>
      <c r="C344" s="604" t="str">
        <f t="shared" si="47"/>
        <v>1.20.20.10.045.000.00.000</v>
      </c>
      <c r="D344" s="566"/>
      <c r="E344" s="564" t="str">
        <f>+Info!$B$3</f>
        <v>2020</v>
      </c>
      <c r="F344" s="607"/>
      <c r="G344" s="607"/>
      <c r="H344" s="607"/>
      <c r="I344" s="610"/>
      <c r="J344" s="610"/>
      <c r="K344" s="609">
        <f t="shared" si="48"/>
        <v>0</v>
      </c>
      <c r="L344" s="557"/>
      <c r="M344" s="557"/>
      <c r="N344" s="557"/>
    </row>
    <row r="345" spans="1:32" x14ac:dyDescent="0.25">
      <c r="A345" s="551" t="str">
        <f>+Info!$B$2</f>
        <v>724</v>
      </c>
      <c r="B345" s="559" t="s">
        <v>1399</v>
      </c>
      <c r="C345" s="604" t="str">
        <f t="shared" si="47"/>
        <v>1.20.20.10.045.000.00.000</v>
      </c>
      <c r="D345" s="566"/>
      <c r="E345" s="564" t="str">
        <f>+Info!$B$3</f>
        <v>2020</v>
      </c>
      <c r="F345" s="607"/>
      <c r="G345" s="607"/>
      <c r="H345" s="607"/>
      <c r="I345" s="610"/>
      <c r="J345" s="610"/>
      <c r="K345" s="609">
        <f t="shared" si="48"/>
        <v>0</v>
      </c>
      <c r="L345" s="557"/>
      <c r="M345" s="557"/>
      <c r="N345" s="557"/>
    </row>
    <row r="346" spans="1:32" x14ac:dyDescent="0.25">
      <c r="A346" s="551" t="str">
        <f>+Info!$B$2</f>
        <v>724</v>
      </c>
      <c r="B346" s="559" t="s">
        <v>1399</v>
      </c>
      <c r="C346" s="604" t="str">
        <f t="shared" si="47"/>
        <v>1.20.20.10.045.000.00.000</v>
      </c>
      <c r="D346" s="566"/>
      <c r="E346" s="564" t="str">
        <f>+Info!$B$3</f>
        <v>2020</v>
      </c>
      <c r="F346" s="607"/>
      <c r="G346" s="607"/>
      <c r="H346" s="607"/>
      <c r="I346" s="610"/>
      <c r="J346" s="610"/>
      <c r="K346" s="609">
        <f t="shared" si="48"/>
        <v>0</v>
      </c>
      <c r="L346" s="557"/>
      <c r="M346" s="557"/>
      <c r="N346" s="557"/>
    </row>
    <row r="347" spans="1:32" x14ac:dyDescent="0.25">
      <c r="A347" s="551" t="str">
        <f>+Info!$B$2</f>
        <v>724</v>
      </c>
      <c r="B347" s="559" t="s">
        <v>1399</v>
      </c>
      <c r="C347" s="604" t="str">
        <f t="shared" si="47"/>
        <v>1.20.20.10.045.000.00.000</v>
      </c>
      <c r="D347" s="566"/>
      <c r="E347" s="564" t="str">
        <f>+Info!$B$3</f>
        <v>2020</v>
      </c>
      <c r="F347" s="607"/>
      <c r="G347" s="607"/>
      <c r="H347" s="607"/>
      <c r="I347" s="610"/>
      <c r="J347" s="610"/>
      <c r="K347" s="609">
        <f t="shared" si="48"/>
        <v>0</v>
      </c>
      <c r="L347" s="557"/>
      <c r="M347" s="557"/>
      <c r="N347" s="557"/>
    </row>
    <row r="348" spans="1:32" x14ac:dyDescent="0.25">
      <c r="A348" s="551" t="str">
        <f>+Info!$B$2</f>
        <v>724</v>
      </c>
      <c r="B348" s="559" t="s">
        <v>1399</v>
      </c>
      <c r="C348" s="611" t="s">
        <v>1400</v>
      </c>
      <c r="D348" s="612" t="str">
        <f>IF(K348=E348,"Quadratura OK!","Squadratura con dati di bilancio!")</f>
        <v>Quadratura OK!</v>
      </c>
      <c r="E348" s="569">
        <f>SUMIF('NI-San_SP'!$C:$C,$C348,'NI-San_SP'!$Y:$Y)</f>
        <v>13598000</v>
      </c>
      <c r="F348" s="925" t="s">
        <v>4289</v>
      </c>
      <c r="G348" s="925"/>
      <c r="H348" s="613">
        <f>SUM(H326:H347)</f>
        <v>0</v>
      </c>
      <c r="I348" s="613">
        <f>SUM(I326:I347)</f>
        <v>13598000</v>
      </c>
      <c r="J348" s="613">
        <f>SUM(J326:J347)</f>
        <v>0</v>
      </c>
      <c r="K348" s="613">
        <f>SUM(K326:K347)</f>
        <v>13598000</v>
      </c>
      <c r="L348" s="557"/>
      <c r="M348" s="557"/>
      <c r="N348" s="557"/>
      <c r="AC348" s="551" t="str">
        <f>C348</f>
        <v>1.20.20.10.045.000.00.000</v>
      </c>
      <c r="AD348" s="553">
        <f>K348</f>
        <v>13598000</v>
      </c>
      <c r="AE348" s="553">
        <f>E348</f>
        <v>13598000</v>
      </c>
      <c r="AF348" s="551">
        <f>IF($AD348=$AE348,0,1)</f>
        <v>0</v>
      </c>
    </row>
    <row r="349" spans="1:32" ht="23.25" x14ac:dyDescent="0.25">
      <c r="A349" s="551" t="str">
        <f>+Info!$B$2</f>
        <v>724</v>
      </c>
      <c r="B349" s="559" t="s">
        <v>1531</v>
      </c>
      <c r="C349" s="614" t="str">
        <f t="shared" ref="C349:C370" si="49">$C$371</f>
        <v>1.20.20.20.020.010.00.000</v>
      </c>
      <c r="D349" s="615" t="s">
        <v>4290</v>
      </c>
      <c r="E349" s="606" t="str">
        <f>"Ante "&amp;Info!$B$3</f>
        <v>Ante 2020</v>
      </c>
      <c r="F349" s="607"/>
      <c r="G349" s="607"/>
      <c r="H349" s="608">
        <v>29266859</v>
      </c>
      <c r="I349" s="607"/>
      <c r="J349" s="610">
        <v>-2124432</v>
      </c>
      <c r="K349" s="609">
        <f>+H349+J349</f>
        <v>27142427</v>
      </c>
      <c r="L349" s="557"/>
      <c r="M349" s="557"/>
      <c r="N349" s="557"/>
    </row>
    <row r="350" spans="1:32" x14ac:dyDescent="0.25">
      <c r="A350" s="551" t="str">
        <f>+Info!$B$2</f>
        <v>724</v>
      </c>
      <c r="B350" s="559" t="s">
        <v>1531</v>
      </c>
      <c r="C350" s="614" t="str">
        <f t="shared" si="49"/>
        <v>1.20.20.20.020.010.00.000</v>
      </c>
      <c r="D350" s="566" t="s">
        <v>4291</v>
      </c>
      <c r="E350" s="564" t="str">
        <f>+Info!$B$3</f>
        <v>2020</v>
      </c>
      <c r="F350" s="607"/>
      <c r="G350" s="607"/>
      <c r="H350" s="607"/>
      <c r="I350" s="610">
        <v>2500000</v>
      </c>
      <c r="J350" s="610">
        <v>-2500000</v>
      </c>
      <c r="K350" s="609">
        <f t="shared" ref="K350:K370" si="50">+I350+J350</f>
        <v>0</v>
      </c>
      <c r="L350" s="557"/>
      <c r="M350" s="557"/>
      <c r="N350" s="557"/>
    </row>
    <row r="351" spans="1:32" x14ac:dyDescent="0.25">
      <c r="A351" s="551" t="str">
        <f>+Info!$B$2</f>
        <v>724</v>
      </c>
      <c r="B351" s="559" t="s">
        <v>1531</v>
      </c>
      <c r="C351" s="614" t="str">
        <f t="shared" si="49"/>
        <v>1.20.20.20.020.010.00.000</v>
      </c>
      <c r="D351" s="566" t="s">
        <v>4292</v>
      </c>
      <c r="E351" s="564" t="str">
        <f>+Info!$B$3</f>
        <v>2020</v>
      </c>
      <c r="F351" s="607"/>
      <c r="G351" s="607"/>
      <c r="H351" s="607"/>
      <c r="I351" s="610">
        <v>2500000</v>
      </c>
      <c r="J351" s="610">
        <v>0</v>
      </c>
      <c r="K351" s="609">
        <f t="shared" si="50"/>
        <v>2500000</v>
      </c>
      <c r="L351" s="557"/>
      <c r="M351" s="557"/>
      <c r="N351" s="557"/>
    </row>
    <row r="352" spans="1:32" x14ac:dyDescent="0.25">
      <c r="A352" s="551" t="str">
        <f>+Info!$B$2</f>
        <v>724</v>
      </c>
      <c r="B352" s="559" t="s">
        <v>1531</v>
      </c>
      <c r="C352" s="614" t="str">
        <f t="shared" si="49"/>
        <v>1.20.20.20.020.010.00.000</v>
      </c>
      <c r="D352" s="566"/>
      <c r="E352" s="564" t="str">
        <f>+Info!$B$3</f>
        <v>2020</v>
      </c>
      <c r="F352" s="607"/>
      <c r="G352" s="607"/>
      <c r="H352" s="607"/>
      <c r="I352" s="610"/>
      <c r="J352" s="610"/>
      <c r="K352" s="609">
        <f t="shared" si="50"/>
        <v>0</v>
      </c>
      <c r="L352" s="557"/>
      <c r="M352" s="557"/>
      <c r="N352" s="557"/>
    </row>
    <row r="353" spans="1:14" x14ac:dyDescent="0.25">
      <c r="A353" s="551" t="str">
        <f>+Info!$B$2</f>
        <v>724</v>
      </c>
      <c r="B353" s="559" t="s">
        <v>1531</v>
      </c>
      <c r="C353" s="614" t="str">
        <f t="shared" si="49"/>
        <v>1.20.20.20.020.010.00.000</v>
      </c>
      <c r="D353" s="566"/>
      <c r="E353" s="564" t="str">
        <f>+Info!$B$3</f>
        <v>2020</v>
      </c>
      <c r="F353" s="607"/>
      <c r="G353" s="607"/>
      <c r="H353" s="607"/>
      <c r="I353" s="610"/>
      <c r="J353" s="610"/>
      <c r="K353" s="609">
        <f t="shared" si="50"/>
        <v>0</v>
      </c>
      <c r="L353" s="557"/>
      <c r="M353" s="557"/>
      <c r="N353" s="557"/>
    </row>
    <row r="354" spans="1:14" x14ac:dyDescent="0.25">
      <c r="A354" s="551" t="str">
        <f>+Info!$B$2</f>
        <v>724</v>
      </c>
      <c r="B354" s="559" t="s">
        <v>1531</v>
      </c>
      <c r="C354" s="614" t="str">
        <f t="shared" si="49"/>
        <v>1.20.20.20.020.010.00.000</v>
      </c>
      <c r="D354" s="566"/>
      <c r="E354" s="564" t="str">
        <f>+Info!$B$3</f>
        <v>2020</v>
      </c>
      <c r="F354" s="607"/>
      <c r="G354" s="607"/>
      <c r="H354" s="607"/>
      <c r="I354" s="610"/>
      <c r="J354" s="610"/>
      <c r="K354" s="609">
        <f t="shared" si="50"/>
        <v>0</v>
      </c>
      <c r="L354" s="557"/>
      <c r="M354" s="557"/>
      <c r="N354" s="557"/>
    </row>
    <row r="355" spans="1:14" x14ac:dyDescent="0.25">
      <c r="A355" s="551" t="str">
        <f>+Info!$B$2</f>
        <v>724</v>
      </c>
      <c r="B355" s="559" t="s">
        <v>1531</v>
      </c>
      <c r="C355" s="614" t="str">
        <f t="shared" si="49"/>
        <v>1.20.20.20.020.010.00.000</v>
      </c>
      <c r="D355" s="566"/>
      <c r="E355" s="564" t="str">
        <f>+Info!$B$3</f>
        <v>2020</v>
      </c>
      <c r="F355" s="607"/>
      <c r="G355" s="607"/>
      <c r="H355" s="607"/>
      <c r="I355" s="610"/>
      <c r="J355" s="610"/>
      <c r="K355" s="609">
        <f t="shared" si="50"/>
        <v>0</v>
      </c>
      <c r="L355" s="557"/>
      <c r="M355" s="557"/>
      <c r="N355" s="557"/>
    </row>
    <row r="356" spans="1:14" x14ac:dyDescent="0.25">
      <c r="A356" s="551" t="str">
        <f>+Info!$B$2</f>
        <v>724</v>
      </c>
      <c r="B356" s="559" t="s">
        <v>1531</v>
      </c>
      <c r="C356" s="614" t="str">
        <f t="shared" si="49"/>
        <v>1.20.20.20.020.010.00.000</v>
      </c>
      <c r="D356" s="566"/>
      <c r="E356" s="564" t="str">
        <f>+Info!$B$3</f>
        <v>2020</v>
      </c>
      <c r="F356" s="607"/>
      <c r="G356" s="607"/>
      <c r="H356" s="607"/>
      <c r="I356" s="610"/>
      <c r="J356" s="610"/>
      <c r="K356" s="609">
        <f t="shared" si="50"/>
        <v>0</v>
      </c>
      <c r="L356" s="557"/>
      <c r="M356" s="557"/>
      <c r="N356" s="557"/>
    </row>
    <row r="357" spans="1:14" x14ac:dyDescent="0.25">
      <c r="A357" s="551" t="str">
        <f>+Info!$B$2</f>
        <v>724</v>
      </c>
      <c r="B357" s="559" t="s">
        <v>1531</v>
      </c>
      <c r="C357" s="614" t="str">
        <f t="shared" si="49"/>
        <v>1.20.20.20.020.010.00.000</v>
      </c>
      <c r="D357" s="566"/>
      <c r="E357" s="564" t="str">
        <f>+Info!$B$3</f>
        <v>2020</v>
      </c>
      <c r="F357" s="607"/>
      <c r="G357" s="607"/>
      <c r="H357" s="607"/>
      <c r="I357" s="610"/>
      <c r="J357" s="610"/>
      <c r="K357" s="609">
        <f t="shared" si="50"/>
        <v>0</v>
      </c>
      <c r="L357" s="557"/>
      <c r="M357" s="557"/>
      <c r="N357" s="557"/>
    </row>
    <row r="358" spans="1:14" x14ac:dyDescent="0.25">
      <c r="A358" s="551" t="str">
        <f>+Info!$B$2</f>
        <v>724</v>
      </c>
      <c r="B358" s="559" t="s">
        <v>1531</v>
      </c>
      <c r="C358" s="614" t="str">
        <f t="shared" si="49"/>
        <v>1.20.20.20.020.010.00.000</v>
      </c>
      <c r="D358" s="566"/>
      <c r="E358" s="564" t="str">
        <f>+Info!$B$3</f>
        <v>2020</v>
      </c>
      <c r="F358" s="607"/>
      <c r="G358" s="607"/>
      <c r="H358" s="607"/>
      <c r="I358" s="610"/>
      <c r="J358" s="610"/>
      <c r="K358" s="609">
        <f t="shared" si="50"/>
        <v>0</v>
      </c>
      <c r="L358" s="557"/>
      <c r="M358" s="557"/>
      <c r="N358" s="557"/>
    </row>
    <row r="359" spans="1:14" x14ac:dyDescent="0.25">
      <c r="A359" s="551" t="str">
        <f>+Info!$B$2</f>
        <v>724</v>
      </c>
      <c r="B359" s="559" t="s">
        <v>1531</v>
      </c>
      <c r="C359" s="614" t="str">
        <f t="shared" si="49"/>
        <v>1.20.20.20.020.010.00.000</v>
      </c>
      <c r="D359" s="566"/>
      <c r="E359" s="564" t="str">
        <f>+Info!$B$3</f>
        <v>2020</v>
      </c>
      <c r="F359" s="607"/>
      <c r="G359" s="607"/>
      <c r="H359" s="607"/>
      <c r="I359" s="610"/>
      <c r="J359" s="610"/>
      <c r="K359" s="609">
        <f t="shared" si="50"/>
        <v>0</v>
      </c>
      <c r="L359" s="557"/>
      <c r="M359" s="557"/>
      <c r="N359" s="557"/>
    </row>
    <row r="360" spans="1:14" x14ac:dyDescent="0.25">
      <c r="A360" s="551" t="str">
        <f>+Info!$B$2</f>
        <v>724</v>
      </c>
      <c r="B360" s="559" t="s">
        <v>1531</v>
      </c>
      <c r="C360" s="614" t="str">
        <f t="shared" si="49"/>
        <v>1.20.20.20.020.010.00.000</v>
      </c>
      <c r="D360" s="566"/>
      <c r="E360" s="564" t="str">
        <f>+Info!$B$3</f>
        <v>2020</v>
      </c>
      <c r="F360" s="607"/>
      <c r="G360" s="607"/>
      <c r="H360" s="607"/>
      <c r="I360" s="610"/>
      <c r="J360" s="610"/>
      <c r="K360" s="609">
        <f t="shared" si="50"/>
        <v>0</v>
      </c>
      <c r="L360" s="557"/>
      <c r="M360" s="557"/>
      <c r="N360" s="557"/>
    </row>
    <row r="361" spans="1:14" x14ac:dyDescent="0.25">
      <c r="A361" s="551" t="str">
        <f>+Info!$B$2</f>
        <v>724</v>
      </c>
      <c r="B361" s="559" t="s">
        <v>1531</v>
      </c>
      <c r="C361" s="614" t="str">
        <f t="shared" si="49"/>
        <v>1.20.20.20.020.010.00.000</v>
      </c>
      <c r="D361" s="566"/>
      <c r="E361" s="564" t="str">
        <f>+Info!$B$3</f>
        <v>2020</v>
      </c>
      <c r="F361" s="607"/>
      <c r="G361" s="607"/>
      <c r="H361" s="607"/>
      <c r="I361" s="610"/>
      <c r="J361" s="610"/>
      <c r="K361" s="609">
        <f t="shared" si="50"/>
        <v>0</v>
      </c>
      <c r="L361" s="557"/>
      <c r="M361" s="557"/>
      <c r="N361" s="557"/>
    </row>
    <row r="362" spans="1:14" x14ac:dyDescent="0.25">
      <c r="A362" s="551" t="str">
        <f>+Info!$B$2</f>
        <v>724</v>
      </c>
      <c r="B362" s="559" t="s">
        <v>1531</v>
      </c>
      <c r="C362" s="614" t="str">
        <f t="shared" si="49"/>
        <v>1.20.20.20.020.010.00.000</v>
      </c>
      <c r="D362" s="566"/>
      <c r="E362" s="564" t="str">
        <f>+Info!$B$3</f>
        <v>2020</v>
      </c>
      <c r="F362" s="607"/>
      <c r="G362" s="607"/>
      <c r="H362" s="607"/>
      <c r="I362" s="610"/>
      <c r="J362" s="610"/>
      <c r="K362" s="609">
        <f t="shared" si="50"/>
        <v>0</v>
      </c>
      <c r="L362" s="557"/>
      <c r="M362" s="557"/>
      <c r="N362" s="557"/>
    </row>
    <row r="363" spans="1:14" x14ac:dyDescent="0.25">
      <c r="A363" s="551" t="str">
        <f>+Info!$B$2</f>
        <v>724</v>
      </c>
      <c r="B363" s="559" t="s">
        <v>1531</v>
      </c>
      <c r="C363" s="614" t="str">
        <f t="shared" si="49"/>
        <v>1.20.20.20.020.010.00.000</v>
      </c>
      <c r="D363" s="566"/>
      <c r="E363" s="564" t="str">
        <f>+Info!$B$3</f>
        <v>2020</v>
      </c>
      <c r="F363" s="607"/>
      <c r="G363" s="607"/>
      <c r="H363" s="607"/>
      <c r="I363" s="610"/>
      <c r="J363" s="610"/>
      <c r="K363" s="609">
        <f t="shared" si="50"/>
        <v>0</v>
      </c>
      <c r="L363" s="557"/>
      <c r="M363" s="557"/>
      <c r="N363" s="557"/>
    </row>
    <row r="364" spans="1:14" x14ac:dyDescent="0.25">
      <c r="A364" s="551" t="str">
        <f>+Info!$B$2</f>
        <v>724</v>
      </c>
      <c r="B364" s="559" t="s">
        <v>1531</v>
      </c>
      <c r="C364" s="614" t="str">
        <f t="shared" si="49"/>
        <v>1.20.20.20.020.010.00.000</v>
      </c>
      <c r="D364" s="566"/>
      <c r="E364" s="564" t="str">
        <f>+Info!$B$3</f>
        <v>2020</v>
      </c>
      <c r="F364" s="607"/>
      <c r="G364" s="607"/>
      <c r="H364" s="607"/>
      <c r="I364" s="610"/>
      <c r="J364" s="610"/>
      <c r="K364" s="609">
        <f t="shared" si="50"/>
        <v>0</v>
      </c>
      <c r="L364" s="557"/>
      <c r="M364" s="557"/>
      <c r="N364" s="557"/>
    </row>
    <row r="365" spans="1:14" x14ac:dyDescent="0.25">
      <c r="A365" s="551" t="str">
        <f>+Info!$B$2</f>
        <v>724</v>
      </c>
      <c r="B365" s="559" t="s">
        <v>1531</v>
      </c>
      <c r="C365" s="614" t="str">
        <f t="shared" si="49"/>
        <v>1.20.20.20.020.010.00.000</v>
      </c>
      <c r="D365" s="566"/>
      <c r="E365" s="564" t="str">
        <f>+Info!$B$3</f>
        <v>2020</v>
      </c>
      <c r="F365" s="607"/>
      <c r="G365" s="607"/>
      <c r="H365" s="607"/>
      <c r="I365" s="610"/>
      <c r="J365" s="610"/>
      <c r="K365" s="609">
        <f t="shared" si="50"/>
        <v>0</v>
      </c>
      <c r="L365" s="557"/>
      <c r="M365" s="557"/>
      <c r="N365" s="557"/>
    </row>
    <row r="366" spans="1:14" x14ac:dyDescent="0.25">
      <c r="A366" s="551" t="str">
        <f>+Info!$B$2</f>
        <v>724</v>
      </c>
      <c r="B366" s="559" t="s">
        <v>1531</v>
      </c>
      <c r="C366" s="614" t="str">
        <f t="shared" si="49"/>
        <v>1.20.20.20.020.010.00.000</v>
      </c>
      <c r="D366" s="566"/>
      <c r="E366" s="564" t="str">
        <f>+Info!$B$3</f>
        <v>2020</v>
      </c>
      <c r="F366" s="607"/>
      <c r="G366" s="607"/>
      <c r="H366" s="607"/>
      <c r="I366" s="610"/>
      <c r="J366" s="610"/>
      <c r="K366" s="609">
        <f t="shared" si="50"/>
        <v>0</v>
      </c>
      <c r="L366" s="557"/>
      <c r="M366" s="557"/>
      <c r="N366" s="557"/>
    </row>
    <row r="367" spans="1:14" x14ac:dyDescent="0.25">
      <c r="A367" s="551" t="str">
        <f>+Info!$B$2</f>
        <v>724</v>
      </c>
      <c r="B367" s="559" t="s">
        <v>1531</v>
      </c>
      <c r="C367" s="614" t="str">
        <f t="shared" si="49"/>
        <v>1.20.20.20.020.010.00.000</v>
      </c>
      <c r="D367" s="566"/>
      <c r="E367" s="564" t="str">
        <f>+Info!$B$3</f>
        <v>2020</v>
      </c>
      <c r="F367" s="607"/>
      <c r="G367" s="607"/>
      <c r="H367" s="607"/>
      <c r="I367" s="610"/>
      <c r="J367" s="610"/>
      <c r="K367" s="609">
        <f t="shared" si="50"/>
        <v>0</v>
      </c>
      <c r="L367" s="557"/>
      <c r="M367" s="557"/>
      <c r="N367" s="557"/>
    </row>
    <row r="368" spans="1:14" x14ac:dyDescent="0.25">
      <c r="A368" s="551" t="str">
        <f>+Info!$B$2</f>
        <v>724</v>
      </c>
      <c r="B368" s="559" t="s">
        <v>1531</v>
      </c>
      <c r="C368" s="614" t="str">
        <f t="shared" si="49"/>
        <v>1.20.20.20.020.010.00.000</v>
      </c>
      <c r="D368" s="566"/>
      <c r="E368" s="564" t="str">
        <f>+Info!$B$3</f>
        <v>2020</v>
      </c>
      <c r="F368" s="607"/>
      <c r="G368" s="607"/>
      <c r="H368" s="607"/>
      <c r="I368" s="610"/>
      <c r="J368" s="610"/>
      <c r="K368" s="609">
        <f t="shared" si="50"/>
        <v>0</v>
      </c>
      <c r="L368" s="557"/>
      <c r="M368" s="557"/>
      <c r="N368" s="557"/>
    </row>
    <row r="369" spans="1:32" x14ac:dyDescent="0.25">
      <c r="A369" s="551" t="str">
        <f>+Info!$B$2</f>
        <v>724</v>
      </c>
      <c r="B369" s="559" t="s">
        <v>1531</v>
      </c>
      <c r="C369" s="614" t="str">
        <f t="shared" si="49"/>
        <v>1.20.20.20.020.010.00.000</v>
      </c>
      <c r="D369" s="566"/>
      <c r="E369" s="564" t="str">
        <f>+Info!$B$3</f>
        <v>2020</v>
      </c>
      <c r="F369" s="607"/>
      <c r="G369" s="607"/>
      <c r="H369" s="607"/>
      <c r="I369" s="610"/>
      <c r="J369" s="610"/>
      <c r="K369" s="609">
        <f t="shared" si="50"/>
        <v>0</v>
      </c>
      <c r="L369" s="557"/>
      <c r="M369" s="557"/>
      <c r="N369" s="557"/>
    </row>
    <row r="370" spans="1:32" x14ac:dyDescent="0.25">
      <c r="A370" s="551" t="str">
        <f>+Info!$B$2</f>
        <v>724</v>
      </c>
      <c r="B370" s="559" t="s">
        <v>1531</v>
      </c>
      <c r="C370" s="614" t="str">
        <f t="shared" si="49"/>
        <v>1.20.20.20.020.010.00.000</v>
      </c>
      <c r="D370" s="566"/>
      <c r="E370" s="564" t="str">
        <f>+Info!$B$3</f>
        <v>2020</v>
      </c>
      <c r="F370" s="607"/>
      <c r="G370" s="607"/>
      <c r="H370" s="607"/>
      <c r="I370" s="610"/>
      <c r="J370" s="610"/>
      <c r="K370" s="609">
        <f t="shared" si="50"/>
        <v>0</v>
      </c>
      <c r="L370" s="557"/>
      <c r="M370" s="557"/>
      <c r="N370" s="557"/>
    </row>
    <row r="371" spans="1:32" x14ac:dyDescent="0.25">
      <c r="A371" s="551" t="str">
        <f>+Info!$B$2</f>
        <v>724</v>
      </c>
      <c r="B371" s="559" t="s">
        <v>1531</v>
      </c>
      <c r="C371" s="616" t="s">
        <v>1532</v>
      </c>
      <c r="D371" s="612" t="str">
        <f>IF(K371=E371,"Quadratura OK!","Squadratura con dati di bilancio!")</f>
        <v>Quadratura OK!</v>
      </c>
      <c r="E371" s="569">
        <f>SUMIF('NI-San_SP'!$C:$C,$C371,'NI-San_SP'!$Y:$Y)</f>
        <v>29642427</v>
      </c>
      <c r="F371" s="925" t="s">
        <v>4289</v>
      </c>
      <c r="G371" s="925"/>
      <c r="H371" s="613">
        <f>SUM(H349:H370)</f>
        <v>29266859</v>
      </c>
      <c r="I371" s="613">
        <f>SUM(I349:I370)</f>
        <v>5000000</v>
      </c>
      <c r="J371" s="613">
        <f>SUM(J349:J370)</f>
        <v>-4624432</v>
      </c>
      <c r="K371" s="613">
        <f>SUM(K349:K370)</f>
        <v>29642427</v>
      </c>
      <c r="L371" s="557"/>
      <c r="M371" s="557"/>
      <c r="N371" s="557"/>
      <c r="AC371" s="551" t="str">
        <f>C371</f>
        <v>1.20.20.20.020.010.00.000</v>
      </c>
      <c r="AD371" s="553">
        <f>K371</f>
        <v>29642427</v>
      </c>
      <c r="AE371" s="553">
        <f>E371</f>
        <v>29642427</v>
      </c>
      <c r="AF371" s="551">
        <f>IF($AD371=$AE371,0,1)</f>
        <v>0</v>
      </c>
    </row>
    <row r="372" spans="1:32" ht="23.25" x14ac:dyDescent="0.25">
      <c r="A372" s="551" t="str">
        <f>+Info!$B$2</f>
        <v>724</v>
      </c>
      <c r="B372" s="559" t="s">
        <v>1537</v>
      </c>
      <c r="C372" s="614" t="str">
        <f t="shared" ref="C372:C393" si="51">$C$394</f>
        <v>1.20.20.20.020.020.00.000</v>
      </c>
      <c r="D372" s="615" t="s">
        <v>4293</v>
      </c>
      <c r="E372" s="606" t="str">
        <f>"Ante "&amp;Info!$B$3</f>
        <v>Ante 2020</v>
      </c>
      <c r="F372" s="607"/>
      <c r="G372" s="607"/>
      <c r="H372" s="608"/>
      <c r="I372" s="607"/>
      <c r="J372" s="608"/>
      <c r="K372" s="609">
        <f>+H372+J372</f>
        <v>0</v>
      </c>
      <c r="L372" s="557"/>
      <c r="M372" s="557"/>
      <c r="N372" s="557"/>
    </row>
    <row r="373" spans="1:32" x14ac:dyDescent="0.25">
      <c r="A373" s="551" t="str">
        <f>+Info!$B$2</f>
        <v>724</v>
      </c>
      <c r="B373" s="559" t="s">
        <v>1537</v>
      </c>
      <c r="C373" s="614" t="str">
        <f t="shared" si="51"/>
        <v>1.20.20.20.020.020.00.000</v>
      </c>
      <c r="D373" s="566"/>
      <c r="E373" s="564" t="str">
        <f>+Info!$B$3</f>
        <v>2020</v>
      </c>
      <c r="F373" s="607"/>
      <c r="G373" s="607"/>
      <c r="H373" s="607"/>
      <c r="I373" s="610"/>
      <c r="J373" s="610"/>
      <c r="K373" s="609">
        <f t="shared" ref="K373:K393" si="52">+I373+J373</f>
        <v>0</v>
      </c>
      <c r="L373" s="557"/>
      <c r="M373" s="557"/>
      <c r="N373" s="557"/>
    </row>
    <row r="374" spans="1:32" x14ac:dyDescent="0.25">
      <c r="A374" s="551" t="str">
        <f>+Info!$B$2</f>
        <v>724</v>
      </c>
      <c r="B374" s="559" t="s">
        <v>1537</v>
      </c>
      <c r="C374" s="614" t="str">
        <f t="shared" si="51"/>
        <v>1.20.20.20.020.020.00.000</v>
      </c>
      <c r="D374" s="566"/>
      <c r="E374" s="564" t="str">
        <f>+Info!$B$3</f>
        <v>2020</v>
      </c>
      <c r="F374" s="607"/>
      <c r="G374" s="607"/>
      <c r="H374" s="607"/>
      <c r="I374" s="610"/>
      <c r="J374" s="610"/>
      <c r="K374" s="609">
        <f t="shared" si="52"/>
        <v>0</v>
      </c>
      <c r="L374" s="557"/>
      <c r="M374" s="557"/>
      <c r="N374" s="557"/>
    </row>
    <row r="375" spans="1:32" x14ac:dyDescent="0.25">
      <c r="A375" s="551" t="str">
        <f>+Info!$B$2</f>
        <v>724</v>
      </c>
      <c r="B375" s="559" t="s">
        <v>1537</v>
      </c>
      <c r="C375" s="614" t="str">
        <f t="shared" si="51"/>
        <v>1.20.20.20.020.020.00.000</v>
      </c>
      <c r="D375" s="566"/>
      <c r="E375" s="564" t="str">
        <f>+Info!$B$3</f>
        <v>2020</v>
      </c>
      <c r="F375" s="607"/>
      <c r="G375" s="607"/>
      <c r="H375" s="607"/>
      <c r="I375" s="610"/>
      <c r="J375" s="610"/>
      <c r="K375" s="609">
        <f t="shared" si="52"/>
        <v>0</v>
      </c>
      <c r="L375" s="557"/>
      <c r="M375" s="557"/>
      <c r="N375" s="557"/>
    </row>
    <row r="376" spans="1:32" x14ac:dyDescent="0.25">
      <c r="A376" s="551" t="str">
        <f>+Info!$B$2</f>
        <v>724</v>
      </c>
      <c r="B376" s="559" t="s">
        <v>1537</v>
      </c>
      <c r="C376" s="614" t="str">
        <f t="shared" si="51"/>
        <v>1.20.20.20.020.020.00.000</v>
      </c>
      <c r="D376" s="566"/>
      <c r="E376" s="564" t="str">
        <f>+Info!$B$3</f>
        <v>2020</v>
      </c>
      <c r="F376" s="607"/>
      <c r="G376" s="607"/>
      <c r="H376" s="607"/>
      <c r="I376" s="610"/>
      <c r="J376" s="610"/>
      <c r="K376" s="609">
        <f t="shared" si="52"/>
        <v>0</v>
      </c>
      <c r="L376" s="557"/>
      <c r="M376" s="557"/>
      <c r="N376" s="557"/>
    </row>
    <row r="377" spans="1:32" x14ac:dyDescent="0.25">
      <c r="A377" s="551" t="str">
        <f>+Info!$B$2</f>
        <v>724</v>
      </c>
      <c r="B377" s="559" t="s">
        <v>1537</v>
      </c>
      <c r="C377" s="614" t="str">
        <f t="shared" si="51"/>
        <v>1.20.20.20.020.020.00.000</v>
      </c>
      <c r="D377" s="566"/>
      <c r="E377" s="564" t="str">
        <f>+Info!$B$3</f>
        <v>2020</v>
      </c>
      <c r="F377" s="607"/>
      <c r="G377" s="607"/>
      <c r="H377" s="607"/>
      <c r="I377" s="610"/>
      <c r="J377" s="610"/>
      <c r="K377" s="609">
        <f t="shared" si="52"/>
        <v>0</v>
      </c>
      <c r="L377" s="557"/>
      <c r="M377" s="557"/>
      <c r="N377" s="557"/>
    </row>
    <row r="378" spans="1:32" x14ac:dyDescent="0.25">
      <c r="A378" s="551" t="str">
        <f>+Info!$B$2</f>
        <v>724</v>
      </c>
      <c r="B378" s="559" t="s">
        <v>1537</v>
      </c>
      <c r="C378" s="614" t="str">
        <f t="shared" si="51"/>
        <v>1.20.20.20.020.020.00.000</v>
      </c>
      <c r="D378" s="566"/>
      <c r="E378" s="564" t="str">
        <f>+Info!$B$3</f>
        <v>2020</v>
      </c>
      <c r="F378" s="607"/>
      <c r="G378" s="607"/>
      <c r="H378" s="607"/>
      <c r="I378" s="610"/>
      <c r="J378" s="610"/>
      <c r="K378" s="609">
        <f t="shared" si="52"/>
        <v>0</v>
      </c>
      <c r="L378" s="557"/>
      <c r="M378" s="557"/>
      <c r="N378" s="557"/>
    </row>
    <row r="379" spans="1:32" x14ac:dyDescent="0.25">
      <c r="A379" s="551" t="str">
        <f>+Info!$B$2</f>
        <v>724</v>
      </c>
      <c r="B379" s="559" t="s">
        <v>1537</v>
      </c>
      <c r="C379" s="614" t="str">
        <f t="shared" si="51"/>
        <v>1.20.20.20.020.020.00.000</v>
      </c>
      <c r="D379" s="566"/>
      <c r="E379" s="564" t="str">
        <f>+Info!$B$3</f>
        <v>2020</v>
      </c>
      <c r="F379" s="607"/>
      <c r="G379" s="607"/>
      <c r="H379" s="607"/>
      <c r="I379" s="610"/>
      <c r="J379" s="610"/>
      <c r="K379" s="609">
        <f t="shared" si="52"/>
        <v>0</v>
      </c>
      <c r="L379" s="557"/>
      <c r="M379" s="557"/>
      <c r="N379" s="557"/>
    </row>
    <row r="380" spans="1:32" x14ac:dyDescent="0.25">
      <c r="A380" s="551" t="str">
        <f>+Info!$B$2</f>
        <v>724</v>
      </c>
      <c r="B380" s="559" t="s">
        <v>1537</v>
      </c>
      <c r="C380" s="614" t="str">
        <f t="shared" si="51"/>
        <v>1.20.20.20.020.020.00.000</v>
      </c>
      <c r="D380" s="566"/>
      <c r="E380" s="564" t="str">
        <f>+Info!$B$3</f>
        <v>2020</v>
      </c>
      <c r="F380" s="607"/>
      <c r="G380" s="607"/>
      <c r="H380" s="607"/>
      <c r="I380" s="610"/>
      <c r="J380" s="610"/>
      <c r="K380" s="609">
        <f t="shared" si="52"/>
        <v>0</v>
      </c>
      <c r="L380" s="557"/>
      <c r="M380" s="557"/>
      <c r="N380" s="557"/>
    </row>
    <row r="381" spans="1:32" x14ac:dyDescent="0.25">
      <c r="A381" s="551" t="str">
        <f>+Info!$B$2</f>
        <v>724</v>
      </c>
      <c r="B381" s="559" t="s">
        <v>1537</v>
      </c>
      <c r="C381" s="614" t="str">
        <f t="shared" si="51"/>
        <v>1.20.20.20.020.020.00.000</v>
      </c>
      <c r="D381" s="566"/>
      <c r="E381" s="564" t="str">
        <f>+Info!$B$3</f>
        <v>2020</v>
      </c>
      <c r="F381" s="607"/>
      <c r="G381" s="607"/>
      <c r="H381" s="607"/>
      <c r="I381" s="610"/>
      <c r="J381" s="610"/>
      <c r="K381" s="609">
        <f t="shared" si="52"/>
        <v>0</v>
      </c>
      <c r="L381" s="557"/>
      <c r="M381" s="557"/>
      <c r="N381" s="557"/>
    </row>
    <row r="382" spans="1:32" x14ac:dyDescent="0.25">
      <c r="A382" s="551" t="str">
        <f>+Info!$B$2</f>
        <v>724</v>
      </c>
      <c r="B382" s="559" t="s">
        <v>1537</v>
      </c>
      <c r="C382" s="614" t="str">
        <f t="shared" si="51"/>
        <v>1.20.20.20.020.020.00.000</v>
      </c>
      <c r="D382" s="566"/>
      <c r="E382" s="564" t="str">
        <f>+Info!$B$3</f>
        <v>2020</v>
      </c>
      <c r="F382" s="607"/>
      <c r="G382" s="607"/>
      <c r="H382" s="607"/>
      <c r="I382" s="610"/>
      <c r="J382" s="610"/>
      <c r="K382" s="609">
        <f t="shared" si="52"/>
        <v>0</v>
      </c>
      <c r="L382" s="557"/>
      <c r="M382" s="557"/>
      <c r="N382" s="557"/>
    </row>
    <row r="383" spans="1:32" x14ac:dyDescent="0.25">
      <c r="A383" s="551" t="str">
        <f>+Info!$B$2</f>
        <v>724</v>
      </c>
      <c r="B383" s="559" t="s">
        <v>1537</v>
      </c>
      <c r="C383" s="614" t="str">
        <f t="shared" si="51"/>
        <v>1.20.20.20.020.020.00.000</v>
      </c>
      <c r="D383" s="566"/>
      <c r="E383" s="564" t="str">
        <f>+Info!$B$3</f>
        <v>2020</v>
      </c>
      <c r="F383" s="607"/>
      <c r="G383" s="607"/>
      <c r="H383" s="607"/>
      <c r="I383" s="610"/>
      <c r="J383" s="610"/>
      <c r="K383" s="609">
        <f t="shared" si="52"/>
        <v>0</v>
      </c>
      <c r="L383" s="557"/>
      <c r="M383" s="557"/>
      <c r="N383" s="557"/>
    </row>
    <row r="384" spans="1:32" x14ac:dyDescent="0.25">
      <c r="A384" s="551" t="str">
        <f>+Info!$B$2</f>
        <v>724</v>
      </c>
      <c r="B384" s="559" t="s">
        <v>1537</v>
      </c>
      <c r="C384" s="614" t="str">
        <f t="shared" si="51"/>
        <v>1.20.20.20.020.020.00.000</v>
      </c>
      <c r="D384" s="566"/>
      <c r="E384" s="564" t="str">
        <f>+Info!$B$3</f>
        <v>2020</v>
      </c>
      <c r="F384" s="607"/>
      <c r="G384" s="607"/>
      <c r="H384" s="607"/>
      <c r="I384" s="610"/>
      <c r="J384" s="610"/>
      <c r="K384" s="609">
        <f t="shared" si="52"/>
        <v>0</v>
      </c>
      <c r="L384" s="557"/>
      <c r="M384" s="557"/>
      <c r="N384" s="557"/>
    </row>
    <row r="385" spans="1:32" x14ac:dyDescent="0.25">
      <c r="A385" s="551" t="str">
        <f>+Info!$B$2</f>
        <v>724</v>
      </c>
      <c r="B385" s="559" t="s">
        <v>1537</v>
      </c>
      <c r="C385" s="614" t="str">
        <f t="shared" si="51"/>
        <v>1.20.20.20.020.020.00.000</v>
      </c>
      <c r="D385" s="566"/>
      <c r="E385" s="564" t="str">
        <f>+Info!$B$3</f>
        <v>2020</v>
      </c>
      <c r="F385" s="607"/>
      <c r="G385" s="607"/>
      <c r="H385" s="607"/>
      <c r="I385" s="610"/>
      <c r="J385" s="610"/>
      <c r="K385" s="609">
        <f t="shared" si="52"/>
        <v>0</v>
      </c>
      <c r="L385" s="557"/>
      <c r="M385" s="557"/>
      <c r="N385" s="557"/>
    </row>
    <row r="386" spans="1:32" x14ac:dyDescent="0.25">
      <c r="A386" s="551" t="str">
        <f>+Info!$B$2</f>
        <v>724</v>
      </c>
      <c r="B386" s="559" t="s">
        <v>1537</v>
      </c>
      <c r="C386" s="614" t="str">
        <f t="shared" si="51"/>
        <v>1.20.20.20.020.020.00.000</v>
      </c>
      <c r="D386" s="566"/>
      <c r="E386" s="564" t="str">
        <f>+Info!$B$3</f>
        <v>2020</v>
      </c>
      <c r="F386" s="607"/>
      <c r="G386" s="607"/>
      <c r="H386" s="607"/>
      <c r="I386" s="610"/>
      <c r="J386" s="610"/>
      <c r="K386" s="609">
        <f t="shared" si="52"/>
        <v>0</v>
      </c>
      <c r="L386" s="557"/>
      <c r="M386" s="557"/>
      <c r="N386" s="557"/>
    </row>
    <row r="387" spans="1:32" x14ac:dyDescent="0.25">
      <c r="A387" s="551" t="str">
        <f>+Info!$B$2</f>
        <v>724</v>
      </c>
      <c r="B387" s="559" t="s">
        <v>1537</v>
      </c>
      <c r="C387" s="614" t="str">
        <f t="shared" si="51"/>
        <v>1.20.20.20.020.020.00.000</v>
      </c>
      <c r="D387" s="566"/>
      <c r="E387" s="564" t="str">
        <f>+Info!$B$3</f>
        <v>2020</v>
      </c>
      <c r="F387" s="607"/>
      <c r="G387" s="607"/>
      <c r="H387" s="607"/>
      <c r="I387" s="610"/>
      <c r="J387" s="610"/>
      <c r="K387" s="609">
        <f t="shared" si="52"/>
        <v>0</v>
      </c>
      <c r="L387" s="557"/>
      <c r="M387" s="557"/>
      <c r="N387" s="557"/>
    </row>
    <row r="388" spans="1:32" x14ac:dyDescent="0.25">
      <c r="A388" s="551" t="str">
        <f>+Info!$B$2</f>
        <v>724</v>
      </c>
      <c r="B388" s="559" t="s">
        <v>1537</v>
      </c>
      <c r="C388" s="614" t="str">
        <f t="shared" si="51"/>
        <v>1.20.20.20.020.020.00.000</v>
      </c>
      <c r="D388" s="566"/>
      <c r="E388" s="564" t="str">
        <f>+Info!$B$3</f>
        <v>2020</v>
      </c>
      <c r="F388" s="607"/>
      <c r="G388" s="607"/>
      <c r="H388" s="607"/>
      <c r="I388" s="610"/>
      <c r="J388" s="610"/>
      <c r="K388" s="609">
        <f t="shared" si="52"/>
        <v>0</v>
      </c>
      <c r="L388" s="557"/>
      <c r="M388" s="557"/>
      <c r="N388" s="557"/>
    </row>
    <row r="389" spans="1:32" x14ac:dyDescent="0.25">
      <c r="A389" s="551" t="str">
        <f>+Info!$B$2</f>
        <v>724</v>
      </c>
      <c r="B389" s="559" t="s">
        <v>1537</v>
      </c>
      <c r="C389" s="614" t="str">
        <f t="shared" si="51"/>
        <v>1.20.20.20.020.020.00.000</v>
      </c>
      <c r="D389" s="566"/>
      <c r="E389" s="564" t="str">
        <f>+Info!$B$3</f>
        <v>2020</v>
      </c>
      <c r="F389" s="607"/>
      <c r="G389" s="607"/>
      <c r="H389" s="607"/>
      <c r="I389" s="610"/>
      <c r="J389" s="610"/>
      <c r="K389" s="609">
        <f t="shared" si="52"/>
        <v>0</v>
      </c>
      <c r="L389" s="557"/>
      <c r="M389" s="557"/>
      <c r="N389" s="557"/>
    </row>
    <row r="390" spans="1:32" x14ac:dyDescent="0.25">
      <c r="A390" s="551" t="str">
        <f>+Info!$B$2</f>
        <v>724</v>
      </c>
      <c r="B390" s="559" t="s">
        <v>1537</v>
      </c>
      <c r="C390" s="614" t="str">
        <f t="shared" si="51"/>
        <v>1.20.20.20.020.020.00.000</v>
      </c>
      <c r="D390" s="566"/>
      <c r="E390" s="564" t="str">
        <f>+Info!$B$3</f>
        <v>2020</v>
      </c>
      <c r="F390" s="607"/>
      <c r="G390" s="607"/>
      <c r="H390" s="607"/>
      <c r="I390" s="610"/>
      <c r="J390" s="610"/>
      <c r="K390" s="609">
        <f t="shared" si="52"/>
        <v>0</v>
      </c>
      <c r="L390" s="557"/>
      <c r="M390" s="557"/>
      <c r="N390" s="557"/>
    </row>
    <row r="391" spans="1:32" x14ac:dyDescent="0.25">
      <c r="A391" s="551" t="str">
        <f>+Info!$B$2</f>
        <v>724</v>
      </c>
      <c r="B391" s="559" t="s">
        <v>1537</v>
      </c>
      <c r="C391" s="614" t="str">
        <f t="shared" si="51"/>
        <v>1.20.20.20.020.020.00.000</v>
      </c>
      <c r="D391" s="566"/>
      <c r="E391" s="564" t="str">
        <f>+Info!$B$3</f>
        <v>2020</v>
      </c>
      <c r="F391" s="607"/>
      <c r="G391" s="607"/>
      <c r="H391" s="607"/>
      <c r="I391" s="610"/>
      <c r="J391" s="610"/>
      <c r="K391" s="609">
        <f t="shared" si="52"/>
        <v>0</v>
      </c>
      <c r="L391" s="557"/>
      <c r="M391" s="557"/>
      <c r="N391" s="557"/>
    </row>
    <row r="392" spans="1:32" x14ac:dyDescent="0.25">
      <c r="A392" s="551" t="str">
        <f>+Info!$B$2</f>
        <v>724</v>
      </c>
      <c r="B392" s="559" t="s">
        <v>1537</v>
      </c>
      <c r="C392" s="614" t="str">
        <f t="shared" si="51"/>
        <v>1.20.20.20.020.020.00.000</v>
      </c>
      <c r="D392" s="566"/>
      <c r="E392" s="564" t="str">
        <f>+Info!$B$3</f>
        <v>2020</v>
      </c>
      <c r="F392" s="607"/>
      <c r="G392" s="607"/>
      <c r="H392" s="607"/>
      <c r="I392" s="610"/>
      <c r="J392" s="610"/>
      <c r="K392" s="609">
        <f t="shared" si="52"/>
        <v>0</v>
      </c>
      <c r="L392" s="557"/>
      <c r="M392" s="557"/>
      <c r="N392" s="557"/>
    </row>
    <row r="393" spans="1:32" x14ac:dyDescent="0.25">
      <c r="A393" s="551" t="str">
        <f>+Info!$B$2</f>
        <v>724</v>
      </c>
      <c r="B393" s="559" t="s">
        <v>1537</v>
      </c>
      <c r="C393" s="614" t="str">
        <f t="shared" si="51"/>
        <v>1.20.20.20.020.020.00.000</v>
      </c>
      <c r="D393" s="566"/>
      <c r="E393" s="564" t="str">
        <f>+Info!$B$3</f>
        <v>2020</v>
      </c>
      <c r="F393" s="607"/>
      <c r="G393" s="607"/>
      <c r="H393" s="607"/>
      <c r="I393" s="610"/>
      <c r="J393" s="610"/>
      <c r="K393" s="609">
        <f t="shared" si="52"/>
        <v>0</v>
      </c>
      <c r="L393" s="557"/>
      <c r="M393" s="557"/>
      <c r="N393" s="557"/>
    </row>
    <row r="394" spans="1:32" x14ac:dyDescent="0.25">
      <c r="A394" s="551" t="str">
        <f>+Info!$B$2</f>
        <v>724</v>
      </c>
      <c r="B394" s="559" t="s">
        <v>1537</v>
      </c>
      <c r="C394" s="616" t="s">
        <v>1538</v>
      </c>
      <c r="D394" s="612" t="str">
        <f>IF(K394=E394,"Quadratura OK!","Squadratura con dati di bilancio!")</f>
        <v>Quadratura OK!</v>
      </c>
      <c r="E394" s="569">
        <f>SUMIF('NI-San_SP'!$C:$C,$C394,'NI-San_SP'!$Y:$Y)</f>
        <v>0</v>
      </c>
      <c r="F394" s="925" t="s">
        <v>4289</v>
      </c>
      <c r="G394" s="925"/>
      <c r="H394" s="613">
        <f>SUM(H372:H393)</f>
        <v>0</v>
      </c>
      <c r="I394" s="613">
        <f>SUM(I372:I393)</f>
        <v>0</v>
      </c>
      <c r="J394" s="613">
        <f>SUM(J372:J393)</f>
        <v>0</v>
      </c>
      <c r="K394" s="613">
        <f>SUM(K372:K393)</f>
        <v>0</v>
      </c>
      <c r="L394" s="557"/>
      <c r="M394" s="557"/>
      <c r="N394" s="557"/>
      <c r="AC394" s="551" t="str">
        <f>C394</f>
        <v>1.20.20.20.020.020.00.000</v>
      </c>
      <c r="AD394" s="553">
        <f>K394</f>
        <v>0</v>
      </c>
      <c r="AE394" s="553">
        <f>E394</f>
        <v>0</v>
      </c>
      <c r="AF394" s="551">
        <f>IF($AD394=$AE394,0,1)</f>
        <v>0</v>
      </c>
    </row>
    <row r="395" spans="1:32" ht="23.25" x14ac:dyDescent="0.25">
      <c r="A395" s="551" t="str">
        <f>+Info!$B$2</f>
        <v>724</v>
      </c>
      <c r="B395" s="559" t="s">
        <v>1543</v>
      </c>
      <c r="C395" s="614" t="str">
        <f t="shared" ref="C395:C407" si="53">$C$408</f>
        <v>1.20.20.20.020.030.00.000</v>
      </c>
      <c r="D395" s="615" t="s">
        <v>4294</v>
      </c>
      <c r="E395" s="606" t="str">
        <f>"Ante "&amp;Info!$B$3</f>
        <v>Ante 2020</v>
      </c>
      <c r="F395" s="607"/>
      <c r="G395" s="607"/>
      <c r="H395" s="593"/>
      <c r="I395" s="607"/>
      <c r="J395" s="608"/>
      <c r="K395" s="609">
        <f>+H395+J395</f>
        <v>0</v>
      </c>
      <c r="L395" s="557"/>
      <c r="M395" s="557"/>
      <c r="N395" s="557"/>
    </row>
    <row r="396" spans="1:32" x14ac:dyDescent="0.25">
      <c r="A396" s="551" t="str">
        <f>+Info!$B$2</f>
        <v>724</v>
      </c>
      <c r="B396" s="559" t="s">
        <v>1543</v>
      </c>
      <c r="C396" s="614" t="str">
        <f t="shared" si="53"/>
        <v>1.20.20.20.020.030.00.000</v>
      </c>
      <c r="D396" s="566"/>
      <c r="E396" s="564" t="str">
        <f>+Info!$B$3</f>
        <v>2020</v>
      </c>
      <c r="F396" s="607"/>
      <c r="G396" s="607"/>
      <c r="H396" s="607"/>
      <c r="I396" s="610"/>
      <c r="J396" s="610"/>
      <c r="K396" s="609">
        <f t="shared" ref="K396:K407" si="54">+I396+J396</f>
        <v>0</v>
      </c>
      <c r="L396" s="557"/>
      <c r="M396" s="557"/>
      <c r="N396" s="557"/>
    </row>
    <row r="397" spans="1:32" x14ac:dyDescent="0.25">
      <c r="A397" s="551" t="str">
        <f>+Info!$B$2</f>
        <v>724</v>
      </c>
      <c r="B397" s="559" t="s">
        <v>1543</v>
      </c>
      <c r="C397" s="614" t="str">
        <f t="shared" si="53"/>
        <v>1.20.20.20.020.030.00.000</v>
      </c>
      <c r="D397" s="566"/>
      <c r="E397" s="564" t="str">
        <f>+Info!$B$3</f>
        <v>2020</v>
      </c>
      <c r="F397" s="607"/>
      <c r="G397" s="607"/>
      <c r="H397" s="607"/>
      <c r="I397" s="610"/>
      <c r="J397" s="610"/>
      <c r="K397" s="609">
        <f t="shared" si="54"/>
        <v>0</v>
      </c>
      <c r="L397" s="557"/>
      <c r="M397" s="557"/>
      <c r="N397" s="557"/>
    </row>
    <row r="398" spans="1:32" x14ac:dyDescent="0.25">
      <c r="A398" s="551" t="str">
        <f>+Info!$B$2</f>
        <v>724</v>
      </c>
      <c r="B398" s="559" t="s">
        <v>1543</v>
      </c>
      <c r="C398" s="614" t="str">
        <f t="shared" si="53"/>
        <v>1.20.20.20.020.030.00.000</v>
      </c>
      <c r="D398" s="566"/>
      <c r="E398" s="564" t="str">
        <f>+Info!$B$3</f>
        <v>2020</v>
      </c>
      <c r="F398" s="607"/>
      <c r="G398" s="607"/>
      <c r="H398" s="607"/>
      <c r="I398" s="610"/>
      <c r="J398" s="610"/>
      <c r="K398" s="609">
        <f t="shared" si="54"/>
        <v>0</v>
      </c>
      <c r="L398" s="557"/>
      <c r="M398" s="557"/>
      <c r="N398" s="557"/>
    </row>
    <row r="399" spans="1:32" x14ac:dyDescent="0.25">
      <c r="A399" s="551" t="str">
        <f>+Info!$B$2</f>
        <v>724</v>
      </c>
      <c r="B399" s="559" t="s">
        <v>1543</v>
      </c>
      <c r="C399" s="614" t="str">
        <f t="shared" si="53"/>
        <v>1.20.20.20.020.030.00.000</v>
      </c>
      <c r="D399" s="566"/>
      <c r="E399" s="564" t="str">
        <f>+Info!$B$3</f>
        <v>2020</v>
      </c>
      <c r="F399" s="607"/>
      <c r="G399" s="607"/>
      <c r="H399" s="607"/>
      <c r="I399" s="610"/>
      <c r="J399" s="610"/>
      <c r="K399" s="609">
        <f t="shared" si="54"/>
        <v>0</v>
      </c>
      <c r="L399" s="557"/>
      <c r="M399" s="557"/>
      <c r="N399" s="557"/>
    </row>
    <row r="400" spans="1:32" x14ac:dyDescent="0.25">
      <c r="A400" s="551" t="str">
        <f>+Info!$B$2</f>
        <v>724</v>
      </c>
      <c r="B400" s="559" t="s">
        <v>1543</v>
      </c>
      <c r="C400" s="614" t="str">
        <f t="shared" si="53"/>
        <v>1.20.20.20.020.030.00.000</v>
      </c>
      <c r="D400" s="566"/>
      <c r="E400" s="564" t="str">
        <f>+Info!$B$3</f>
        <v>2020</v>
      </c>
      <c r="F400" s="607"/>
      <c r="G400" s="607"/>
      <c r="H400" s="607"/>
      <c r="I400" s="610"/>
      <c r="J400" s="610"/>
      <c r="K400" s="609">
        <f t="shared" si="54"/>
        <v>0</v>
      </c>
      <c r="L400" s="557"/>
      <c r="M400" s="557"/>
      <c r="N400" s="557"/>
    </row>
    <row r="401" spans="1:32" x14ac:dyDescent="0.25">
      <c r="A401" s="551" t="str">
        <f>+Info!$B$2</f>
        <v>724</v>
      </c>
      <c r="B401" s="559" t="s">
        <v>1543</v>
      </c>
      <c r="C401" s="614" t="str">
        <f t="shared" si="53"/>
        <v>1.20.20.20.020.030.00.000</v>
      </c>
      <c r="D401" s="566"/>
      <c r="E401" s="564" t="str">
        <f>+Info!$B$3</f>
        <v>2020</v>
      </c>
      <c r="F401" s="607"/>
      <c r="G401" s="607"/>
      <c r="H401" s="607"/>
      <c r="I401" s="610"/>
      <c r="J401" s="610"/>
      <c r="K401" s="609">
        <f t="shared" si="54"/>
        <v>0</v>
      </c>
      <c r="L401" s="557"/>
      <c r="M401" s="557"/>
      <c r="N401" s="557"/>
    </row>
    <row r="402" spans="1:32" x14ac:dyDescent="0.25">
      <c r="A402" s="551" t="str">
        <f>+Info!$B$2</f>
        <v>724</v>
      </c>
      <c r="B402" s="559" t="s">
        <v>1543</v>
      </c>
      <c r="C402" s="614" t="str">
        <f t="shared" si="53"/>
        <v>1.20.20.20.020.030.00.000</v>
      </c>
      <c r="D402" s="566"/>
      <c r="E402" s="564" t="str">
        <f>+Info!$B$3</f>
        <v>2020</v>
      </c>
      <c r="F402" s="607"/>
      <c r="G402" s="607"/>
      <c r="H402" s="607"/>
      <c r="I402" s="610"/>
      <c r="J402" s="610"/>
      <c r="K402" s="609">
        <f t="shared" si="54"/>
        <v>0</v>
      </c>
      <c r="L402" s="557"/>
      <c r="M402" s="557"/>
      <c r="N402" s="557"/>
    </row>
    <row r="403" spans="1:32" x14ac:dyDescent="0.25">
      <c r="A403" s="551" t="str">
        <f>+Info!$B$2</f>
        <v>724</v>
      </c>
      <c r="B403" s="559" t="s">
        <v>1543</v>
      </c>
      <c r="C403" s="614" t="str">
        <f t="shared" si="53"/>
        <v>1.20.20.20.020.030.00.000</v>
      </c>
      <c r="D403" s="566"/>
      <c r="E403" s="564" t="str">
        <f>+Info!$B$3</f>
        <v>2020</v>
      </c>
      <c r="F403" s="607"/>
      <c r="G403" s="607"/>
      <c r="H403" s="607"/>
      <c r="I403" s="610"/>
      <c r="J403" s="610"/>
      <c r="K403" s="609">
        <f t="shared" si="54"/>
        <v>0</v>
      </c>
      <c r="L403" s="557"/>
      <c r="M403" s="557"/>
      <c r="N403" s="557"/>
    </row>
    <row r="404" spans="1:32" x14ac:dyDescent="0.25">
      <c r="A404" s="551" t="str">
        <f>+Info!$B$2</f>
        <v>724</v>
      </c>
      <c r="B404" s="559" t="s">
        <v>1543</v>
      </c>
      <c r="C404" s="614" t="str">
        <f t="shared" si="53"/>
        <v>1.20.20.20.020.030.00.000</v>
      </c>
      <c r="D404" s="566"/>
      <c r="E404" s="564" t="str">
        <f>+Info!$B$3</f>
        <v>2020</v>
      </c>
      <c r="F404" s="607"/>
      <c r="G404" s="607"/>
      <c r="H404" s="607"/>
      <c r="I404" s="610"/>
      <c r="J404" s="610"/>
      <c r="K404" s="609">
        <f t="shared" si="54"/>
        <v>0</v>
      </c>
      <c r="L404" s="557"/>
      <c r="M404" s="557"/>
      <c r="N404" s="557"/>
    </row>
    <row r="405" spans="1:32" x14ac:dyDescent="0.25">
      <c r="A405" s="551" t="str">
        <f>+Info!$B$2</f>
        <v>724</v>
      </c>
      <c r="B405" s="559" t="s">
        <v>1543</v>
      </c>
      <c r="C405" s="614" t="str">
        <f t="shared" si="53"/>
        <v>1.20.20.20.020.030.00.000</v>
      </c>
      <c r="D405" s="566"/>
      <c r="E405" s="564" t="str">
        <f>+Info!$B$3</f>
        <v>2020</v>
      </c>
      <c r="F405" s="607"/>
      <c r="G405" s="607"/>
      <c r="H405" s="607"/>
      <c r="I405" s="610"/>
      <c r="J405" s="610"/>
      <c r="K405" s="609">
        <f t="shared" si="54"/>
        <v>0</v>
      </c>
      <c r="L405" s="557"/>
      <c r="M405" s="557"/>
      <c r="N405" s="557"/>
    </row>
    <row r="406" spans="1:32" x14ac:dyDescent="0.25">
      <c r="A406" s="551" t="str">
        <f>+Info!$B$2</f>
        <v>724</v>
      </c>
      <c r="B406" s="559" t="s">
        <v>1543</v>
      </c>
      <c r="C406" s="614" t="str">
        <f t="shared" si="53"/>
        <v>1.20.20.20.020.030.00.000</v>
      </c>
      <c r="D406" s="566"/>
      <c r="E406" s="564" t="str">
        <f>+Info!$B$3</f>
        <v>2020</v>
      </c>
      <c r="F406" s="607"/>
      <c r="G406" s="607"/>
      <c r="H406" s="607"/>
      <c r="I406" s="610"/>
      <c r="J406" s="610"/>
      <c r="K406" s="609">
        <f t="shared" si="54"/>
        <v>0</v>
      </c>
      <c r="L406" s="557"/>
      <c r="M406" s="557"/>
      <c r="N406" s="557"/>
    </row>
    <row r="407" spans="1:32" x14ac:dyDescent="0.25">
      <c r="A407" s="551" t="str">
        <f>+Info!$B$2</f>
        <v>724</v>
      </c>
      <c r="B407" s="559" t="s">
        <v>1543</v>
      </c>
      <c r="C407" s="614" t="str">
        <f t="shared" si="53"/>
        <v>1.20.20.20.020.030.00.000</v>
      </c>
      <c r="D407" s="566"/>
      <c r="E407" s="564" t="str">
        <f>+Info!$B$3</f>
        <v>2020</v>
      </c>
      <c r="F407" s="607"/>
      <c r="G407" s="607"/>
      <c r="H407" s="607"/>
      <c r="I407" s="610"/>
      <c r="J407" s="610"/>
      <c r="K407" s="609">
        <f t="shared" si="54"/>
        <v>0</v>
      </c>
      <c r="L407" s="557"/>
      <c r="M407" s="557"/>
      <c r="N407" s="557"/>
    </row>
    <row r="408" spans="1:32" x14ac:dyDescent="0.25">
      <c r="A408" s="551" t="str">
        <f>+Info!$B$2</f>
        <v>724</v>
      </c>
      <c r="B408" s="559" t="s">
        <v>1543</v>
      </c>
      <c r="C408" s="616" t="s">
        <v>1544</v>
      </c>
      <c r="D408" s="612" t="str">
        <f>IF(K408=E408,"Quadratura OK!","Squadratura con dati di bilancio!")</f>
        <v>Quadratura OK!</v>
      </c>
      <c r="E408" s="569">
        <f>SUMIF('NI-San_SP'!$C:$C,$C408,'NI-San_SP'!$Y:$Y)</f>
        <v>0</v>
      </c>
      <c r="F408" s="925" t="s">
        <v>4289</v>
      </c>
      <c r="G408" s="925"/>
      <c r="H408" s="613">
        <f>SUM(H395:H407)</f>
        <v>0</v>
      </c>
      <c r="I408" s="613">
        <f>SUM(I395:I407)</f>
        <v>0</v>
      </c>
      <c r="J408" s="613">
        <f>SUM(J395:J407)</f>
        <v>0</v>
      </c>
      <c r="K408" s="613">
        <f>SUM(K395:K407)</f>
        <v>0</v>
      </c>
      <c r="L408" s="557"/>
      <c r="M408" s="557"/>
      <c r="N408" s="557"/>
      <c r="AC408" s="551" t="str">
        <f>C408</f>
        <v>1.20.20.20.020.030.00.000</v>
      </c>
      <c r="AD408" s="553">
        <f>K408</f>
        <v>0</v>
      </c>
      <c r="AE408" s="553">
        <f>E408</f>
        <v>0</v>
      </c>
      <c r="AF408" s="551">
        <f>IF($AD408=$AE408,0,1)</f>
        <v>0</v>
      </c>
    </row>
    <row r="409" spans="1:32" x14ac:dyDescent="0.25">
      <c r="A409" s="551" t="str">
        <f>+Info!$B$2</f>
        <v>724</v>
      </c>
      <c r="B409" s="559" t="s">
        <v>1554</v>
      </c>
      <c r="C409" s="614" t="str">
        <f t="shared" ref="C409:C421" si="55">$C$422</f>
        <v>1.20.20.20.020.040.00.000</v>
      </c>
      <c r="D409" s="617" t="s">
        <v>4295</v>
      </c>
      <c r="E409" s="606" t="str">
        <f>"Ante "&amp;Info!$B$3</f>
        <v>Ante 2020</v>
      </c>
      <c r="F409" s="607"/>
      <c r="G409" s="607"/>
      <c r="H409" s="608"/>
      <c r="I409" s="607"/>
      <c r="J409" s="608"/>
      <c r="K409" s="609">
        <f>+H409+J409</f>
        <v>0</v>
      </c>
      <c r="L409" s="557"/>
      <c r="M409" s="557"/>
      <c r="N409" s="557"/>
    </row>
    <row r="410" spans="1:32" x14ac:dyDescent="0.25">
      <c r="A410" s="551" t="str">
        <f>+Info!$B$2</f>
        <v>724</v>
      </c>
      <c r="B410" s="559" t="s">
        <v>1554</v>
      </c>
      <c r="C410" s="614" t="str">
        <f t="shared" si="55"/>
        <v>1.20.20.20.020.040.00.000</v>
      </c>
      <c r="D410" s="566"/>
      <c r="E410" s="564" t="str">
        <f>+Info!$B$3</f>
        <v>2020</v>
      </c>
      <c r="F410" s="607"/>
      <c r="G410" s="607"/>
      <c r="H410" s="607"/>
      <c r="I410" s="610"/>
      <c r="J410" s="610"/>
      <c r="K410" s="609">
        <f t="shared" ref="K410:K421" si="56">+I410+J410</f>
        <v>0</v>
      </c>
      <c r="L410" s="557"/>
      <c r="M410" s="557"/>
      <c r="N410" s="557"/>
    </row>
    <row r="411" spans="1:32" x14ac:dyDescent="0.25">
      <c r="A411" s="551" t="str">
        <f>+Info!$B$2</f>
        <v>724</v>
      </c>
      <c r="B411" s="559" t="s">
        <v>1554</v>
      </c>
      <c r="C411" s="614" t="str">
        <f t="shared" si="55"/>
        <v>1.20.20.20.020.040.00.000</v>
      </c>
      <c r="D411" s="566"/>
      <c r="E411" s="564" t="str">
        <f>+Info!$B$3</f>
        <v>2020</v>
      </c>
      <c r="F411" s="607"/>
      <c r="G411" s="607"/>
      <c r="H411" s="607"/>
      <c r="I411" s="610"/>
      <c r="J411" s="610"/>
      <c r="K411" s="609">
        <f t="shared" si="56"/>
        <v>0</v>
      </c>
      <c r="L411" s="557"/>
      <c r="M411" s="557"/>
      <c r="N411" s="557"/>
    </row>
    <row r="412" spans="1:32" x14ac:dyDescent="0.25">
      <c r="A412" s="551" t="str">
        <f>+Info!$B$2</f>
        <v>724</v>
      </c>
      <c r="B412" s="559" t="s">
        <v>1554</v>
      </c>
      <c r="C412" s="614" t="str">
        <f t="shared" si="55"/>
        <v>1.20.20.20.020.040.00.000</v>
      </c>
      <c r="D412" s="566"/>
      <c r="E412" s="564" t="str">
        <f>+Info!$B$3</f>
        <v>2020</v>
      </c>
      <c r="F412" s="607"/>
      <c r="G412" s="607"/>
      <c r="H412" s="607"/>
      <c r="I412" s="610"/>
      <c r="J412" s="610"/>
      <c r="K412" s="609">
        <f t="shared" si="56"/>
        <v>0</v>
      </c>
      <c r="L412" s="557"/>
      <c r="M412" s="557"/>
      <c r="N412" s="557"/>
    </row>
    <row r="413" spans="1:32" x14ac:dyDescent="0.25">
      <c r="A413" s="551" t="str">
        <f>+Info!$B$2</f>
        <v>724</v>
      </c>
      <c r="B413" s="559" t="s">
        <v>1554</v>
      </c>
      <c r="C413" s="614" t="str">
        <f t="shared" si="55"/>
        <v>1.20.20.20.020.040.00.000</v>
      </c>
      <c r="D413" s="566"/>
      <c r="E413" s="564" t="str">
        <f>+Info!$B$3</f>
        <v>2020</v>
      </c>
      <c r="F413" s="607"/>
      <c r="G413" s="607"/>
      <c r="H413" s="607"/>
      <c r="I413" s="610"/>
      <c r="J413" s="610"/>
      <c r="K413" s="609">
        <f t="shared" si="56"/>
        <v>0</v>
      </c>
      <c r="L413" s="557"/>
      <c r="M413" s="557"/>
      <c r="N413" s="557"/>
    </row>
    <row r="414" spans="1:32" x14ac:dyDescent="0.25">
      <c r="A414" s="551" t="str">
        <f>+Info!$B$2</f>
        <v>724</v>
      </c>
      <c r="B414" s="559" t="s">
        <v>1554</v>
      </c>
      <c r="C414" s="614" t="str">
        <f t="shared" si="55"/>
        <v>1.20.20.20.020.040.00.000</v>
      </c>
      <c r="D414" s="566"/>
      <c r="E414" s="564" t="str">
        <f>+Info!$B$3</f>
        <v>2020</v>
      </c>
      <c r="F414" s="607"/>
      <c r="G414" s="607"/>
      <c r="H414" s="607"/>
      <c r="I414" s="610"/>
      <c r="J414" s="610"/>
      <c r="K414" s="609">
        <f t="shared" si="56"/>
        <v>0</v>
      </c>
      <c r="L414" s="557"/>
      <c r="M414" s="557"/>
      <c r="N414" s="557"/>
    </row>
    <row r="415" spans="1:32" x14ac:dyDescent="0.25">
      <c r="A415" s="551" t="str">
        <f>+Info!$B$2</f>
        <v>724</v>
      </c>
      <c r="B415" s="559" t="s">
        <v>1554</v>
      </c>
      <c r="C415" s="614" t="str">
        <f t="shared" si="55"/>
        <v>1.20.20.20.020.040.00.000</v>
      </c>
      <c r="D415" s="566"/>
      <c r="E415" s="564" t="str">
        <f>+Info!$B$3</f>
        <v>2020</v>
      </c>
      <c r="F415" s="607"/>
      <c r="G415" s="607"/>
      <c r="H415" s="607"/>
      <c r="I415" s="610"/>
      <c r="J415" s="610"/>
      <c r="K415" s="609">
        <f t="shared" si="56"/>
        <v>0</v>
      </c>
      <c r="L415" s="557"/>
      <c r="M415" s="557"/>
      <c r="N415" s="557"/>
    </row>
    <row r="416" spans="1:32" x14ac:dyDescent="0.25">
      <c r="A416" s="551" t="str">
        <f>+Info!$B$2</f>
        <v>724</v>
      </c>
      <c r="B416" s="559" t="s">
        <v>1554</v>
      </c>
      <c r="C416" s="614" t="str">
        <f t="shared" si="55"/>
        <v>1.20.20.20.020.040.00.000</v>
      </c>
      <c r="D416" s="566"/>
      <c r="E416" s="564" t="str">
        <f>+Info!$B$3</f>
        <v>2020</v>
      </c>
      <c r="F416" s="607"/>
      <c r="G416" s="607"/>
      <c r="H416" s="607"/>
      <c r="I416" s="610"/>
      <c r="J416" s="610"/>
      <c r="K416" s="609">
        <f t="shared" si="56"/>
        <v>0</v>
      </c>
      <c r="L416" s="557"/>
      <c r="M416" s="557"/>
      <c r="N416" s="557"/>
    </row>
    <row r="417" spans="1:32" x14ac:dyDescent="0.25">
      <c r="A417" s="551" t="str">
        <f>+Info!$B$2</f>
        <v>724</v>
      </c>
      <c r="B417" s="559" t="s">
        <v>1554</v>
      </c>
      <c r="C417" s="614" t="str">
        <f t="shared" si="55"/>
        <v>1.20.20.20.020.040.00.000</v>
      </c>
      <c r="D417" s="566"/>
      <c r="E417" s="564" t="str">
        <f>+Info!$B$3</f>
        <v>2020</v>
      </c>
      <c r="F417" s="607"/>
      <c r="G417" s="607"/>
      <c r="H417" s="607"/>
      <c r="I417" s="610"/>
      <c r="J417" s="610"/>
      <c r="K417" s="609">
        <f t="shared" si="56"/>
        <v>0</v>
      </c>
      <c r="L417" s="557"/>
      <c r="M417" s="557"/>
      <c r="N417" s="557"/>
    </row>
    <row r="418" spans="1:32" x14ac:dyDescent="0.25">
      <c r="A418" s="551" t="str">
        <f>+Info!$B$2</f>
        <v>724</v>
      </c>
      <c r="B418" s="559" t="s">
        <v>1554</v>
      </c>
      <c r="C418" s="614" t="str">
        <f t="shared" si="55"/>
        <v>1.20.20.20.020.040.00.000</v>
      </c>
      <c r="D418" s="566"/>
      <c r="E418" s="564" t="str">
        <f>+Info!$B$3</f>
        <v>2020</v>
      </c>
      <c r="F418" s="607"/>
      <c r="G418" s="607"/>
      <c r="H418" s="607"/>
      <c r="I418" s="610"/>
      <c r="J418" s="610"/>
      <c r="K418" s="609">
        <f t="shared" si="56"/>
        <v>0</v>
      </c>
      <c r="L418" s="557"/>
      <c r="M418" s="557"/>
      <c r="N418" s="557"/>
    </row>
    <row r="419" spans="1:32" x14ac:dyDescent="0.25">
      <c r="A419" s="551" t="str">
        <f>+Info!$B$2</f>
        <v>724</v>
      </c>
      <c r="B419" s="559" t="s">
        <v>1554</v>
      </c>
      <c r="C419" s="614" t="str">
        <f t="shared" si="55"/>
        <v>1.20.20.20.020.040.00.000</v>
      </c>
      <c r="D419" s="566"/>
      <c r="E419" s="564" t="str">
        <f>+Info!$B$3</f>
        <v>2020</v>
      </c>
      <c r="F419" s="607"/>
      <c r="G419" s="607"/>
      <c r="H419" s="607"/>
      <c r="I419" s="610"/>
      <c r="J419" s="610"/>
      <c r="K419" s="609">
        <f t="shared" si="56"/>
        <v>0</v>
      </c>
      <c r="L419" s="557"/>
      <c r="M419" s="557"/>
      <c r="N419" s="557"/>
    </row>
    <row r="420" spans="1:32" x14ac:dyDescent="0.25">
      <c r="A420" s="551" t="str">
        <f>+Info!$B$2</f>
        <v>724</v>
      </c>
      <c r="B420" s="559" t="s">
        <v>1554</v>
      </c>
      <c r="C420" s="614" t="str">
        <f t="shared" si="55"/>
        <v>1.20.20.20.020.040.00.000</v>
      </c>
      <c r="D420" s="566"/>
      <c r="E420" s="564" t="str">
        <f>+Info!$B$3</f>
        <v>2020</v>
      </c>
      <c r="F420" s="607"/>
      <c r="G420" s="607"/>
      <c r="H420" s="607"/>
      <c r="I420" s="610"/>
      <c r="J420" s="610"/>
      <c r="K420" s="609">
        <f t="shared" si="56"/>
        <v>0</v>
      </c>
      <c r="L420" s="557"/>
      <c r="M420" s="557"/>
      <c r="N420" s="557"/>
    </row>
    <row r="421" spans="1:32" x14ac:dyDescent="0.25">
      <c r="A421" s="551" t="str">
        <f>+Info!$B$2</f>
        <v>724</v>
      </c>
      <c r="B421" s="559" t="s">
        <v>1554</v>
      </c>
      <c r="C421" s="614" t="str">
        <f t="shared" si="55"/>
        <v>1.20.20.20.020.040.00.000</v>
      </c>
      <c r="D421" s="566"/>
      <c r="E421" s="564" t="str">
        <f>+Info!$B$3</f>
        <v>2020</v>
      </c>
      <c r="F421" s="607"/>
      <c r="G421" s="607"/>
      <c r="H421" s="607"/>
      <c r="I421" s="610"/>
      <c r="J421" s="610"/>
      <c r="K421" s="609">
        <f t="shared" si="56"/>
        <v>0</v>
      </c>
      <c r="L421" s="557"/>
      <c r="M421" s="557"/>
      <c r="N421" s="557"/>
    </row>
    <row r="422" spans="1:32" x14ac:dyDescent="0.25">
      <c r="A422" s="551" t="str">
        <f>+Info!$B$2</f>
        <v>724</v>
      </c>
      <c r="B422" s="559" t="s">
        <v>1554</v>
      </c>
      <c r="C422" s="616" t="s">
        <v>1555</v>
      </c>
      <c r="D422" s="612" t="str">
        <f>IF(K422=E422,"Quadratura OK!","Squadratura con dati di bilancio!")</f>
        <v>Quadratura OK!</v>
      </c>
      <c r="E422" s="569">
        <f>SUMIF('NI-San_SP'!$C:$C,$C422,'NI-San_SP'!$Y:$Y)</f>
        <v>0</v>
      </c>
      <c r="F422" s="925" t="s">
        <v>4289</v>
      </c>
      <c r="G422" s="925"/>
      <c r="H422" s="613">
        <f>SUM(H409:H421)</f>
        <v>0</v>
      </c>
      <c r="I422" s="613">
        <f>SUM(I409:I421)</f>
        <v>0</v>
      </c>
      <c r="J422" s="613">
        <f>SUM(J409:J421)</f>
        <v>0</v>
      </c>
      <c r="K422" s="613">
        <f>SUM(K409:K421)</f>
        <v>0</v>
      </c>
      <c r="L422" s="557"/>
      <c r="M422" s="557"/>
      <c r="N422" s="557"/>
      <c r="AC422" s="551" t="str">
        <f>C422</f>
        <v>1.20.20.20.020.040.00.000</v>
      </c>
      <c r="AD422" s="553">
        <f>K422</f>
        <v>0</v>
      </c>
      <c r="AE422" s="553">
        <f>E422</f>
        <v>0</v>
      </c>
      <c r="AF422" s="551">
        <f>IF($AD422=$AE422,0,1)</f>
        <v>0</v>
      </c>
    </row>
    <row r="423" spans="1:32" ht="33.75" x14ac:dyDescent="0.25">
      <c r="A423" s="618" t="str">
        <f>+Info!$B$2</f>
        <v>724</v>
      </c>
      <c r="B423" s="559" t="s">
        <v>1559</v>
      </c>
      <c r="C423" s="614" t="str">
        <f t="shared" ref="C423:C435" si="57">$C$436</f>
        <v>1.20.20.20.020.050.00.000</v>
      </c>
      <c r="D423" s="619" t="s">
        <v>4296</v>
      </c>
      <c r="E423" s="606" t="str">
        <f>"Ante "&amp;Info!$B$3</f>
        <v>Ante 2020</v>
      </c>
      <c r="F423" s="607"/>
      <c r="G423" s="607"/>
      <c r="H423" s="608"/>
      <c r="I423" s="607"/>
      <c r="J423" s="608"/>
      <c r="K423" s="609">
        <f>+H423+J423</f>
        <v>0</v>
      </c>
      <c r="L423" s="557"/>
      <c r="M423" s="557"/>
      <c r="N423" s="557"/>
    </row>
    <row r="424" spans="1:32" x14ac:dyDescent="0.25">
      <c r="A424" s="551" t="str">
        <f>+Info!$B$2</f>
        <v>724</v>
      </c>
      <c r="B424" s="559" t="s">
        <v>1559</v>
      </c>
      <c r="C424" s="614" t="str">
        <f t="shared" si="57"/>
        <v>1.20.20.20.020.050.00.000</v>
      </c>
      <c r="D424" s="566"/>
      <c r="E424" s="564" t="str">
        <f>+Info!$B$3</f>
        <v>2020</v>
      </c>
      <c r="F424" s="607"/>
      <c r="G424" s="607"/>
      <c r="H424" s="607"/>
      <c r="I424" s="610"/>
      <c r="J424" s="610"/>
      <c r="K424" s="609">
        <f t="shared" ref="K424:K435" si="58">+I424+J424</f>
        <v>0</v>
      </c>
      <c r="L424" s="557"/>
      <c r="M424" s="557"/>
      <c r="N424" s="557"/>
    </row>
    <row r="425" spans="1:32" x14ac:dyDescent="0.25">
      <c r="A425" s="551" t="str">
        <f>+Info!$B$2</f>
        <v>724</v>
      </c>
      <c r="B425" s="559" t="s">
        <v>1559</v>
      </c>
      <c r="C425" s="614" t="str">
        <f t="shared" si="57"/>
        <v>1.20.20.20.020.050.00.000</v>
      </c>
      <c r="D425" s="566"/>
      <c r="E425" s="564" t="str">
        <f>+Info!$B$3</f>
        <v>2020</v>
      </c>
      <c r="F425" s="607"/>
      <c r="G425" s="607"/>
      <c r="H425" s="607"/>
      <c r="I425" s="610"/>
      <c r="J425" s="610"/>
      <c r="K425" s="609">
        <f t="shared" si="58"/>
        <v>0</v>
      </c>
      <c r="L425" s="557"/>
      <c r="M425" s="557"/>
      <c r="N425" s="557"/>
    </row>
    <row r="426" spans="1:32" x14ac:dyDescent="0.25">
      <c r="A426" s="551" t="str">
        <f>+Info!$B$2</f>
        <v>724</v>
      </c>
      <c r="B426" s="559" t="s">
        <v>1559</v>
      </c>
      <c r="C426" s="614" t="str">
        <f t="shared" si="57"/>
        <v>1.20.20.20.020.050.00.000</v>
      </c>
      <c r="D426" s="566"/>
      <c r="E426" s="564" t="str">
        <f>+Info!$B$3</f>
        <v>2020</v>
      </c>
      <c r="F426" s="607"/>
      <c r="G426" s="607"/>
      <c r="H426" s="607"/>
      <c r="I426" s="610"/>
      <c r="J426" s="610"/>
      <c r="K426" s="609">
        <f t="shared" si="58"/>
        <v>0</v>
      </c>
      <c r="L426" s="557"/>
      <c r="M426" s="557"/>
      <c r="N426" s="557"/>
    </row>
    <row r="427" spans="1:32" x14ac:dyDescent="0.25">
      <c r="A427" s="551" t="str">
        <f>+Info!$B$2</f>
        <v>724</v>
      </c>
      <c r="B427" s="559" t="s">
        <v>1559</v>
      </c>
      <c r="C427" s="614" t="str">
        <f t="shared" si="57"/>
        <v>1.20.20.20.020.050.00.000</v>
      </c>
      <c r="D427" s="566"/>
      <c r="E427" s="564" t="str">
        <f>+Info!$B$3</f>
        <v>2020</v>
      </c>
      <c r="F427" s="607"/>
      <c r="G427" s="607"/>
      <c r="H427" s="607"/>
      <c r="I427" s="610"/>
      <c r="J427" s="610"/>
      <c r="K427" s="609">
        <f t="shared" si="58"/>
        <v>0</v>
      </c>
      <c r="L427" s="557"/>
      <c r="M427" s="557"/>
      <c r="N427" s="557"/>
    </row>
    <row r="428" spans="1:32" x14ac:dyDescent="0.25">
      <c r="A428" s="551" t="str">
        <f>+Info!$B$2</f>
        <v>724</v>
      </c>
      <c r="B428" s="559" t="s">
        <v>1559</v>
      </c>
      <c r="C428" s="614" t="str">
        <f t="shared" si="57"/>
        <v>1.20.20.20.020.050.00.000</v>
      </c>
      <c r="D428" s="566"/>
      <c r="E428" s="564" t="str">
        <f>+Info!$B$3</f>
        <v>2020</v>
      </c>
      <c r="F428" s="607"/>
      <c r="G428" s="607"/>
      <c r="H428" s="607"/>
      <c r="I428" s="610"/>
      <c r="J428" s="610"/>
      <c r="K428" s="609">
        <f t="shared" si="58"/>
        <v>0</v>
      </c>
      <c r="L428" s="557"/>
      <c r="M428" s="557"/>
      <c r="N428" s="557"/>
    </row>
    <row r="429" spans="1:32" x14ac:dyDescent="0.25">
      <c r="A429" s="551" t="str">
        <f>+Info!$B$2</f>
        <v>724</v>
      </c>
      <c r="B429" s="559" t="s">
        <v>1559</v>
      </c>
      <c r="C429" s="614" t="str">
        <f t="shared" si="57"/>
        <v>1.20.20.20.020.050.00.000</v>
      </c>
      <c r="D429" s="566"/>
      <c r="E429" s="564" t="str">
        <f>+Info!$B$3</f>
        <v>2020</v>
      </c>
      <c r="F429" s="607"/>
      <c r="G429" s="607"/>
      <c r="H429" s="607"/>
      <c r="I429" s="610"/>
      <c r="J429" s="610"/>
      <c r="K429" s="609">
        <f t="shared" si="58"/>
        <v>0</v>
      </c>
      <c r="L429" s="557"/>
      <c r="M429" s="557"/>
      <c r="N429" s="557"/>
    </row>
    <row r="430" spans="1:32" x14ac:dyDescent="0.25">
      <c r="A430" s="551" t="str">
        <f>+Info!$B$2</f>
        <v>724</v>
      </c>
      <c r="B430" s="559" t="s">
        <v>1559</v>
      </c>
      <c r="C430" s="614" t="str">
        <f t="shared" si="57"/>
        <v>1.20.20.20.020.050.00.000</v>
      </c>
      <c r="D430" s="566"/>
      <c r="E430" s="564" t="str">
        <f>+Info!$B$3</f>
        <v>2020</v>
      </c>
      <c r="F430" s="607"/>
      <c r="G430" s="607"/>
      <c r="H430" s="607"/>
      <c r="I430" s="610"/>
      <c r="J430" s="610"/>
      <c r="K430" s="609">
        <f t="shared" si="58"/>
        <v>0</v>
      </c>
      <c r="L430" s="557"/>
      <c r="M430" s="557"/>
      <c r="N430" s="557"/>
    </row>
    <row r="431" spans="1:32" x14ac:dyDescent="0.25">
      <c r="A431" s="551" t="str">
        <f>+Info!$B$2</f>
        <v>724</v>
      </c>
      <c r="B431" s="559" t="s">
        <v>1559</v>
      </c>
      <c r="C431" s="614" t="str">
        <f t="shared" si="57"/>
        <v>1.20.20.20.020.050.00.000</v>
      </c>
      <c r="D431" s="566"/>
      <c r="E431" s="564" t="str">
        <f>+Info!$B$3</f>
        <v>2020</v>
      </c>
      <c r="F431" s="607"/>
      <c r="G431" s="607"/>
      <c r="H431" s="607"/>
      <c r="I431" s="610"/>
      <c r="J431" s="610"/>
      <c r="K431" s="609">
        <f t="shared" si="58"/>
        <v>0</v>
      </c>
      <c r="L431" s="557"/>
      <c r="M431" s="557"/>
      <c r="N431" s="557"/>
    </row>
    <row r="432" spans="1:32" x14ac:dyDescent="0.25">
      <c r="A432" s="551" t="str">
        <f>+Info!$B$2</f>
        <v>724</v>
      </c>
      <c r="B432" s="559" t="s">
        <v>1559</v>
      </c>
      <c r="C432" s="614" t="str">
        <f t="shared" si="57"/>
        <v>1.20.20.20.020.050.00.000</v>
      </c>
      <c r="D432" s="566"/>
      <c r="E432" s="564" t="str">
        <f>+Info!$B$3</f>
        <v>2020</v>
      </c>
      <c r="F432" s="607"/>
      <c r="G432" s="607"/>
      <c r="H432" s="607"/>
      <c r="I432" s="610"/>
      <c r="J432" s="610"/>
      <c r="K432" s="609">
        <f t="shared" si="58"/>
        <v>0</v>
      </c>
      <c r="L432" s="557"/>
      <c r="M432" s="557"/>
      <c r="N432" s="557"/>
    </row>
    <row r="433" spans="1:32" x14ac:dyDescent="0.25">
      <c r="A433" s="551" t="str">
        <f>+Info!$B$2</f>
        <v>724</v>
      </c>
      <c r="B433" s="559" t="s">
        <v>1559</v>
      </c>
      <c r="C433" s="614" t="str">
        <f t="shared" si="57"/>
        <v>1.20.20.20.020.050.00.000</v>
      </c>
      <c r="D433" s="566"/>
      <c r="E433" s="564" t="str">
        <f>+Info!$B$3</f>
        <v>2020</v>
      </c>
      <c r="F433" s="607"/>
      <c r="G433" s="607"/>
      <c r="H433" s="607"/>
      <c r="I433" s="610"/>
      <c r="J433" s="610"/>
      <c r="K433" s="609">
        <f t="shared" si="58"/>
        <v>0</v>
      </c>
      <c r="L433" s="557"/>
      <c r="M433" s="557"/>
      <c r="N433" s="557"/>
    </row>
    <row r="434" spans="1:32" x14ac:dyDescent="0.25">
      <c r="A434" s="551" t="str">
        <f>+Info!$B$2</f>
        <v>724</v>
      </c>
      <c r="B434" s="559" t="s">
        <v>1559</v>
      </c>
      <c r="C434" s="614" t="str">
        <f t="shared" si="57"/>
        <v>1.20.20.20.020.050.00.000</v>
      </c>
      <c r="D434" s="566"/>
      <c r="E434" s="564" t="str">
        <f>+Info!$B$3</f>
        <v>2020</v>
      </c>
      <c r="F434" s="607"/>
      <c r="G434" s="607"/>
      <c r="H434" s="607"/>
      <c r="I434" s="610"/>
      <c r="J434" s="610"/>
      <c r="K434" s="609">
        <f t="shared" si="58"/>
        <v>0</v>
      </c>
      <c r="L434" s="557"/>
      <c r="M434" s="557"/>
      <c r="N434" s="557"/>
    </row>
    <row r="435" spans="1:32" x14ac:dyDescent="0.25">
      <c r="A435" s="551" t="str">
        <f>+Info!$B$2</f>
        <v>724</v>
      </c>
      <c r="B435" s="559" t="s">
        <v>1559</v>
      </c>
      <c r="C435" s="614" t="str">
        <f t="shared" si="57"/>
        <v>1.20.20.20.020.050.00.000</v>
      </c>
      <c r="D435" s="566"/>
      <c r="E435" s="564" t="str">
        <f>+Info!$B$3</f>
        <v>2020</v>
      </c>
      <c r="F435" s="607"/>
      <c r="G435" s="607"/>
      <c r="H435" s="607"/>
      <c r="I435" s="610"/>
      <c r="J435" s="610"/>
      <c r="K435" s="609">
        <f t="shared" si="58"/>
        <v>0</v>
      </c>
      <c r="L435" s="557"/>
      <c r="M435" s="557"/>
      <c r="N435" s="557"/>
    </row>
    <row r="436" spans="1:32" x14ac:dyDescent="0.25">
      <c r="A436" s="551" t="str">
        <f>+Info!$B$2</f>
        <v>724</v>
      </c>
      <c r="B436" s="559" t="s">
        <v>1559</v>
      </c>
      <c r="C436" s="616" t="s">
        <v>1560</v>
      </c>
      <c r="D436" s="612" t="str">
        <f>IF(K436=E436,"Quadratura OK!","Squadratura con dati di bilancio!")</f>
        <v>Quadratura OK!</v>
      </c>
      <c r="E436" s="569">
        <f>SUMIF('NI-San_SP'!$C:$C,$C436,'NI-San_SP'!$Y:$Y)</f>
        <v>0</v>
      </c>
      <c r="F436" s="925" t="s">
        <v>4289</v>
      </c>
      <c r="G436" s="925"/>
      <c r="H436" s="613">
        <f>SUM(H423:H435)</f>
        <v>0</v>
      </c>
      <c r="I436" s="613">
        <f>SUM(I423:I435)</f>
        <v>0</v>
      </c>
      <c r="J436" s="613">
        <f>SUM(J423:J435)</f>
        <v>0</v>
      </c>
      <c r="K436" s="613">
        <f>SUM(K423:K435)</f>
        <v>0</v>
      </c>
      <c r="L436" s="557"/>
      <c r="M436" s="557"/>
      <c r="N436" s="557"/>
      <c r="AC436" s="551" t="str">
        <f>C436</f>
        <v>1.20.20.20.020.050.00.000</v>
      </c>
      <c r="AD436" s="553">
        <f>K436</f>
        <v>0</v>
      </c>
      <c r="AE436" s="553">
        <f>E436</f>
        <v>0</v>
      </c>
      <c r="AF436" s="551">
        <f>IF($AD436=$AE436,0,1)</f>
        <v>0</v>
      </c>
    </row>
    <row r="437" spans="1:32" x14ac:dyDescent="0.25">
      <c r="A437" s="551" t="str">
        <f>+Info!$B$2</f>
        <v>724</v>
      </c>
      <c r="B437" s="620"/>
      <c r="C437" s="620"/>
      <c r="D437" s="620"/>
      <c r="E437" s="557"/>
      <c r="F437" s="557"/>
      <c r="G437" s="557"/>
      <c r="H437" s="557"/>
      <c r="I437" s="557"/>
      <c r="J437" s="557"/>
      <c r="K437" s="557"/>
      <c r="L437" s="557"/>
      <c r="M437" s="557"/>
      <c r="N437" s="557"/>
    </row>
    <row r="438" spans="1:32" x14ac:dyDescent="0.25">
      <c r="A438" s="551" t="str">
        <f>+Info!$B$2</f>
        <v>724</v>
      </c>
      <c r="B438" s="620"/>
      <c r="C438" s="620"/>
      <c r="D438" s="620"/>
      <c r="E438" s="557"/>
      <c r="F438" s="557"/>
      <c r="G438" s="557"/>
      <c r="H438" s="557"/>
      <c r="I438" s="557"/>
      <c r="J438" s="557"/>
      <c r="K438" s="557"/>
      <c r="L438" s="557"/>
      <c r="M438" s="557"/>
      <c r="N438" s="557"/>
    </row>
    <row r="439" spans="1:32" x14ac:dyDescent="0.25">
      <c r="A439" s="551" t="str">
        <f>+Info!$B$2</f>
        <v>724</v>
      </c>
      <c r="B439" s="620"/>
      <c r="C439" s="620"/>
      <c r="D439" s="590" t="s">
        <v>4297</v>
      </c>
      <c r="E439" s="557"/>
      <c r="F439" s="557"/>
      <c r="G439" s="557"/>
      <c r="H439" s="557"/>
      <c r="I439" s="557"/>
      <c r="J439" s="557"/>
      <c r="K439" s="557"/>
      <c r="L439" s="557"/>
      <c r="M439" s="557"/>
      <c r="N439" s="557"/>
    </row>
    <row r="440" spans="1:32" x14ac:dyDescent="0.25">
      <c r="A440" s="551" t="str">
        <f>+Info!$B$2</f>
        <v>724</v>
      </c>
      <c r="B440" s="620"/>
      <c r="C440" s="620"/>
      <c r="D440" s="590" t="s">
        <v>4298</v>
      </c>
      <c r="E440" s="918" t="s">
        <v>4299</v>
      </c>
      <c r="F440" s="918"/>
      <c r="G440" s="918"/>
      <c r="H440" s="558" t="str">
        <f>+'NI-San_SP'!T750</f>
        <v>Entro 12 mesi (2020)</v>
      </c>
      <c r="I440" s="558" t="str">
        <f>+'NI-San_SP'!U750</f>
        <v>Oltre 12 mesi (2020)</v>
      </c>
      <c r="J440" s="558" t="s">
        <v>4300</v>
      </c>
      <c r="K440" s="557"/>
      <c r="L440" s="557"/>
      <c r="M440" s="557"/>
      <c r="N440" s="557"/>
    </row>
    <row r="441" spans="1:32" x14ac:dyDescent="0.25">
      <c r="A441" s="551" t="str">
        <f>+Info!$B$2</f>
        <v>724</v>
      </c>
      <c r="B441" s="274" t="s">
        <v>1810</v>
      </c>
      <c r="C441" s="274" t="str">
        <f>$C468</f>
        <v>1.30.10.10.000.000.00.000</v>
      </c>
      <c r="D441" s="563"/>
      <c r="E441" s="917"/>
      <c r="F441" s="917"/>
      <c r="G441" s="917"/>
      <c r="H441" s="621"/>
      <c r="I441" s="621"/>
      <c r="J441" s="559">
        <f t="shared" ref="J441:J467" si="59">+H441+I441</f>
        <v>0</v>
      </c>
      <c r="K441" s="557"/>
      <c r="L441" s="557"/>
      <c r="M441" s="557"/>
      <c r="N441" s="557"/>
    </row>
    <row r="442" spans="1:32" x14ac:dyDescent="0.25">
      <c r="A442" s="551" t="str">
        <f>+Info!$B$2</f>
        <v>724</v>
      </c>
      <c r="B442" s="274" t="s">
        <v>1810</v>
      </c>
      <c r="C442" s="274" t="str">
        <f t="shared" ref="C442:C467" si="60">$C$468</f>
        <v>1.30.10.10.000.000.00.000</v>
      </c>
      <c r="D442" s="563"/>
      <c r="E442" s="917"/>
      <c r="F442" s="917"/>
      <c r="G442" s="917"/>
      <c r="H442" s="621"/>
      <c r="I442" s="621"/>
      <c r="J442" s="559">
        <f t="shared" si="59"/>
        <v>0</v>
      </c>
      <c r="K442" s="557"/>
      <c r="L442" s="557"/>
      <c r="M442" s="557"/>
      <c r="N442" s="557"/>
    </row>
    <row r="443" spans="1:32" x14ac:dyDescent="0.25">
      <c r="A443" s="551" t="str">
        <f>+Info!$B$2</f>
        <v>724</v>
      </c>
      <c r="B443" s="274" t="s">
        <v>1810</v>
      </c>
      <c r="C443" s="274" t="str">
        <f t="shared" si="60"/>
        <v>1.30.10.10.000.000.00.000</v>
      </c>
      <c r="D443" s="563"/>
      <c r="E443" s="917"/>
      <c r="F443" s="917"/>
      <c r="G443" s="917"/>
      <c r="H443" s="621"/>
      <c r="I443" s="621"/>
      <c r="J443" s="559">
        <f t="shared" si="59"/>
        <v>0</v>
      </c>
      <c r="K443" s="557"/>
      <c r="L443" s="557"/>
      <c r="M443" s="557"/>
      <c r="N443" s="557"/>
    </row>
    <row r="444" spans="1:32" x14ac:dyDescent="0.25">
      <c r="A444" s="551" t="str">
        <f>+Info!$B$2</f>
        <v>724</v>
      </c>
      <c r="B444" s="274" t="s">
        <v>1810</v>
      </c>
      <c r="C444" s="274" t="str">
        <f t="shared" si="60"/>
        <v>1.30.10.10.000.000.00.000</v>
      </c>
      <c r="D444" s="563"/>
      <c r="E444" s="917"/>
      <c r="F444" s="917"/>
      <c r="G444" s="917"/>
      <c r="H444" s="621"/>
      <c r="I444" s="621"/>
      <c r="J444" s="559">
        <f t="shared" si="59"/>
        <v>0</v>
      </c>
      <c r="K444" s="557"/>
      <c r="L444" s="557"/>
      <c r="M444" s="557"/>
      <c r="N444" s="557"/>
    </row>
    <row r="445" spans="1:32" x14ac:dyDescent="0.25">
      <c r="A445" s="551" t="str">
        <f>+Info!$B$2</f>
        <v>724</v>
      </c>
      <c r="B445" s="274" t="s">
        <v>1810</v>
      </c>
      <c r="C445" s="274" t="str">
        <f t="shared" si="60"/>
        <v>1.30.10.10.000.000.00.000</v>
      </c>
      <c r="D445" s="563"/>
      <c r="E445" s="917"/>
      <c r="F445" s="917"/>
      <c r="G445" s="917"/>
      <c r="H445" s="621"/>
      <c r="I445" s="621"/>
      <c r="J445" s="559">
        <f t="shared" si="59"/>
        <v>0</v>
      </c>
      <c r="K445" s="557"/>
      <c r="L445" s="557"/>
      <c r="M445" s="557"/>
      <c r="N445" s="557"/>
    </row>
    <row r="446" spans="1:32" x14ac:dyDescent="0.25">
      <c r="A446" s="551" t="str">
        <f>+Info!$B$2</f>
        <v>724</v>
      </c>
      <c r="B446" s="274" t="s">
        <v>1810</v>
      </c>
      <c r="C446" s="274" t="str">
        <f t="shared" si="60"/>
        <v>1.30.10.10.000.000.00.000</v>
      </c>
      <c r="D446" s="563"/>
      <c r="E446" s="917"/>
      <c r="F446" s="917"/>
      <c r="G446" s="917"/>
      <c r="H446" s="621"/>
      <c r="I446" s="621"/>
      <c r="J446" s="559">
        <f t="shared" si="59"/>
        <v>0</v>
      </c>
      <c r="K446" s="557"/>
      <c r="L446" s="557"/>
      <c r="M446" s="557"/>
      <c r="N446" s="557"/>
    </row>
    <row r="447" spans="1:32" x14ac:dyDescent="0.25">
      <c r="A447" s="551" t="str">
        <f>+Info!$B$2</f>
        <v>724</v>
      </c>
      <c r="B447" s="274" t="s">
        <v>1810</v>
      </c>
      <c r="C447" s="274" t="str">
        <f t="shared" si="60"/>
        <v>1.30.10.10.000.000.00.000</v>
      </c>
      <c r="D447" s="563"/>
      <c r="E447" s="917"/>
      <c r="F447" s="917"/>
      <c r="G447" s="917"/>
      <c r="H447" s="621"/>
      <c r="I447" s="621"/>
      <c r="J447" s="559">
        <f t="shared" si="59"/>
        <v>0</v>
      </c>
      <c r="K447" s="557"/>
      <c r="L447" s="557"/>
      <c r="M447" s="557"/>
      <c r="N447" s="557"/>
    </row>
    <row r="448" spans="1:32" x14ac:dyDescent="0.25">
      <c r="A448" s="551" t="str">
        <f>+Info!$B$2</f>
        <v>724</v>
      </c>
      <c r="B448" s="274" t="s">
        <v>1810</v>
      </c>
      <c r="C448" s="274" t="str">
        <f t="shared" si="60"/>
        <v>1.30.10.10.000.000.00.000</v>
      </c>
      <c r="D448" s="563"/>
      <c r="E448" s="917"/>
      <c r="F448" s="917"/>
      <c r="G448" s="917"/>
      <c r="H448" s="621"/>
      <c r="I448" s="621"/>
      <c r="J448" s="559">
        <f t="shared" si="59"/>
        <v>0</v>
      </c>
      <c r="K448" s="557"/>
      <c r="L448" s="557"/>
      <c r="M448" s="557"/>
      <c r="N448" s="557"/>
    </row>
    <row r="449" spans="1:14" x14ac:dyDescent="0.25">
      <c r="A449" s="551" t="str">
        <f>+Info!$B$2</f>
        <v>724</v>
      </c>
      <c r="B449" s="274" t="s">
        <v>1810</v>
      </c>
      <c r="C449" s="274" t="str">
        <f t="shared" si="60"/>
        <v>1.30.10.10.000.000.00.000</v>
      </c>
      <c r="D449" s="563"/>
      <c r="E449" s="917"/>
      <c r="F449" s="917"/>
      <c r="G449" s="917"/>
      <c r="H449" s="621"/>
      <c r="I449" s="621"/>
      <c r="J449" s="559">
        <f t="shared" si="59"/>
        <v>0</v>
      </c>
      <c r="L449" s="557"/>
      <c r="M449" s="557"/>
      <c r="N449" s="557"/>
    </row>
    <row r="450" spans="1:14" x14ac:dyDescent="0.25">
      <c r="A450" s="551" t="str">
        <f>+Info!$B$2</f>
        <v>724</v>
      </c>
      <c r="B450" s="274" t="s">
        <v>1810</v>
      </c>
      <c r="C450" s="274" t="str">
        <f t="shared" si="60"/>
        <v>1.30.10.10.000.000.00.000</v>
      </c>
      <c r="D450" s="563"/>
      <c r="E450" s="917"/>
      <c r="F450" s="917"/>
      <c r="G450" s="917"/>
      <c r="H450" s="621"/>
      <c r="I450" s="621"/>
      <c r="J450" s="559">
        <f t="shared" si="59"/>
        <v>0</v>
      </c>
      <c r="L450" s="557"/>
      <c r="M450" s="557"/>
      <c r="N450" s="557"/>
    </row>
    <row r="451" spans="1:14" x14ac:dyDescent="0.25">
      <c r="A451" s="551" t="str">
        <f>+Info!$B$2</f>
        <v>724</v>
      </c>
      <c r="B451" s="274" t="s">
        <v>1810</v>
      </c>
      <c r="C451" s="274" t="str">
        <f t="shared" si="60"/>
        <v>1.30.10.10.000.000.00.000</v>
      </c>
      <c r="D451" s="563"/>
      <c r="E451" s="917"/>
      <c r="F451" s="917"/>
      <c r="G451" s="917"/>
      <c r="H451" s="621"/>
      <c r="I451" s="621"/>
      <c r="J451" s="559">
        <f t="shared" si="59"/>
        <v>0</v>
      </c>
      <c r="L451" s="557"/>
      <c r="M451" s="557"/>
      <c r="N451" s="557"/>
    </row>
    <row r="452" spans="1:14" x14ac:dyDescent="0.25">
      <c r="A452" s="551" t="str">
        <f>+Info!$B$2</f>
        <v>724</v>
      </c>
      <c r="B452" s="274" t="s">
        <v>1810</v>
      </c>
      <c r="C452" s="274" t="str">
        <f t="shared" si="60"/>
        <v>1.30.10.10.000.000.00.000</v>
      </c>
      <c r="D452" s="563"/>
      <c r="E452" s="917"/>
      <c r="F452" s="917"/>
      <c r="G452" s="917"/>
      <c r="H452" s="621"/>
      <c r="I452" s="621"/>
      <c r="J452" s="559">
        <f t="shared" si="59"/>
        <v>0</v>
      </c>
    </row>
    <row r="453" spans="1:14" x14ac:dyDescent="0.25">
      <c r="A453" s="551" t="str">
        <f>+Info!$B$2</f>
        <v>724</v>
      </c>
      <c r="B453" s="274" t="s">
        <v>1810</v>
      </c>
      <c r="C453" s="274" t="str">
        <f t="shared" si="60"/>
        <v>1.30.10.10.000.000.00.000</v>
      </c>
      <c r="D453" s="563"/>
      <c r="E453" s="917"/>
      <c r="F453" s="917"/>
      <c r="G453" s="917"/>
      <c r="H453" s="621"/>
      <c r="I453" s="621"/>
      <c r="J453" s="559">
        <f t="shared" si="59"/>
        <v>0</v>
      </c>
    </row>
    <row r="454" spans="1:14" x14ac:dyDescent="0.25">
      <c r="A454" s="551" t="str">
        <f>+Info!$B$2</f>
        <v>724</v>
      </c>
      <c r="B454" s="274" t="s">
        <v>1810</v>
      </c>
      <c r="C454" s="274" t="str">
        <f t="shared" si="60"/>
        <v>1.30.10.10.000.000.00.000</v>
      </c>
      <c r="D454" s="563"/>
      <c r="E454" s="917"/>
      <c r="F454" s="917"/>
      <c r="G454" s="917"/>
      <c r="H454" s="621"/>
      <c r="I454" s="621"/>
      <c r="J454" s="559">
        <f t="shared" si="59"/>
        <v>0</v>
      </c>
    </row>
    <row r="455" spans="1:14" x14ac:dyDescent="0.25">
      <c r="A455" s="551" t="str">
        <f>+Info!$B$2</f>
        <v>724</v>
      </c>
      <c r="B455" s="274" t="s">
        <v>1810</v>
      </c>
      <c r="C455" s="274" t="str">
        <f t="shared" si="60"/>
        <v>1.30.10.10.000.000.00.000</v>
      </c>
      <c r="D455" s="563"/>
      <c r="E455" s="917"/>
      <c r="F455" s="917"/>
      <c r="G455" s="917"/>
      <c r="H455" s="621"/>
      <c r="I455" s="621"/>
      <c r="J455" s="559">
        <f t="shared" si="59"/>
        <v>0</v>
      </c>
    </row>
    <row r="456" spans="1:14" x14ac:dyDescent="0.25">
      <c r="A456" s="551" t="str">
        <f>+Info!$B$2</f>
        <v>724</v>
      </c>
      <c r="B456" s="274" t="s">
        <v>1810</v>
      </c>
      <c r="C456" s="274" t="str">
        <f t="shared" si="60"/>
        <v>1.30.10.10.000.000.00.000</v>
      </c>
      <c r="D456" s="563"/>
      <c r="E456" s="917"/>
      <c r="F456" s="917"/>
      <c r="G456" s="917"/>
      <c r="H456" s="621"/>
      <c r="I456" s="621"/>
      <c r="J456" s="559">
        <f t="shared" si="59"/>
        <v>0</v>
      </c>
    </row>
    <row r="457" spans="1:14" x14ac:dyDescent="0.25">
      <c r="A457" s="551" t="str">
        <f>+Info!$B$2</f>
        <v>724</v>
      </c>
      <c r="B457" s="274" t="s">
        <v>1810</v>
      </c>
      <c r="C457" s="274" t="str">
        <f t="shared" si="60"/>
        <v>1.30.10.10.000.000.00.000</v>
      </c>
      <c r="D457" s="563"/>
      <c r="E457" s="917"/>
      <c r="F457" s="917"/>
      <c r="G457" s="917"/>
      <c r="H457" s="621"/>
      <c r="I457" s="621"/>
      <c r="J457" s="559">
        <f t="shared" si="59"/>
        <v>0</v>
      </c>
    </row>
    <row r="458" spans="1:14" x14ac:dyDescent="0.25">
      <c r="A458" s="551" t="str">
        <f>+Info!$B$2</f>
        <v>724</v>
      </c>
      <c r="B458" s="274" t="s">
        <v>1810</v>
      </c>
      <c r="C458" s="274" t="str">
        <f t="shared" si="60"/>
        <v>1.30.10.10.000.000.00.000</v>
      </c>
      <c r="D458" s="563"/>
      <c r="E458" s="917"/>
      <c r="F458" s="917"/>
      <c r="G458" s="917"/>
      <c r="H458" s="621"/>
      <c r="I458" s="621"/>
      <c r="J458" s="559">
        <f t="shared" si="59"/>
        <v>0</v>
      </c>
    </row>
    <row r="459" spans="1:14" x14ac:dyDescent="0.25">
      <c r="A459" s="551" t="str">
        <f>+Info!$B$2</f>
        <v>724</v>
      </c>
      <c r="B459" s="274" t="s">
        <v>1810</v>
      </c>
      <c r="C459" s="274" t="str">
        <f t="shared" si="60"/>
        <v>1.30.10.10.000.000.00.000</v>
      </c>
      <c r="D459" s="563"/>
      <c r="E459" s="917"/>
      <c r="F459" s="917"/>
      <c r="G459" s="917"/>
      <c r="H459" s="621"/>
      <c r="I459" s="621"/>
      <c r="J459" s="559">
        <f t="shared" si="59"/>
        <v>0</v>
      </c>
    </row>
    <row r="460" spans="1:14" x14ac:dyDescent="0.25">
      <c r="A460" s="551" t="str">
        <f>+Info!$B$2</f>
        <v>724</v>
      </c>
      <c r="B460" s="274" t="s">
        <v>1810</v>
      </c>
      <c r="C460" s="274" t="str">
        <f t="shared" si="60"/>
        <v>1.30.10.10.000.000.00.000</v>
      </c>
      <c r="D460" s="563"/>
      <c r="E460" s="917"/>
      <c r="F460" s="917"/>
      <c r="G460" s="917"/>
      <c r="H460" s="621"/>
      <c r="I460" s="621"/>
      <c r="J460" s="559">
        <f t="shared" si="59"/>
        <v>0</v>
      </c>
    </row>
    <row r="461" spans="1:14" x14ac:dyDescent="0.25">
      <c r="A461" s="551" t="str">
        <f>+Info!$B$2</f>
        <v>724</v>
      </c>
      <c r="B461" s="274" t="s">
        <v>1810</v>
      </c>
      <c r="C461" s="274" t="str">
        <f t="shared" si="60"/>
        <v>1.30.10.10.000.000.00.000</v>
      </c>
      <c r="D461" s="563"/>
      <c r="E461" s="917"/>
      <c r="F461" s="917"/>
      <c r="G461" s="917"/>
      <c r="H461" s="621"/>
      <c r="I461" s="621"/>
      <c r="J461" s="559">
        <f t="shared" si="59"/>
        <v>0</v>
      </c>
    </row>
    <row r="462" spans="1:14" x14ac:dyDescent="0.25">
      <c r="A462" s="551" t="str">
        <f>+Info!$B$2</f>
        <v>724</v>
      </c>
      <c r="B462" s="274" t="s">
        <v>1810</v>
      </c>
      <c r="C462" s="274" t="str">
        <f t="shared" si="60"/>
        <v>1.30.10.10.000.000.00.000</v>
      </c>
      <c r="D462" s="563"/>
      <c r="E462" s="917"/>
      <c r="F462" s="917"/>
      <c r="G462" s="917"/>
      <c r="H462" s="621"/>
      <c r="I462" s="621"/>
      <c r="J462" s="559">
        <f t="shared" si="59"/>
        <v>0</v>
      </c>
    </row>
    <row r="463" spans="1:14" x14ac:dyDescent="0.25">
      <c r="A463" s="551" t="str">
        <f>+Info!$B$2</f>
        <v>724</v>
      </c>
      <c r="B463" s="274" t="s">
        <v>1810</v>
      </c>
      <c r="C463" s="274" t="str">
        <f t="shared" si="60"/>
        <v>1.30.10.10.000.000.00.000</v>
      </c>
      <c r="D463" s="563"/>
      <c r="E463" s="917"/>
      <c r="F463" s="917"/>
      <c r="G463" s="917"/>
      <c r="H463" s="621"/>
      <c r="I463" s="621"/>
      <c r="J463" s="559">
        <f t="shared" si="59"/>
        <v>0</v>
      </c>
    </row>
    <row r="464" spans="1:14" x14ac:dyDescent="0.25">
      <c r="A464" s="551" t="str">
        <f>+Info!$B$2</f>
        <v>724</v>
      </c>
      <c r="B464" s="274" t="s">
        <v>1810</v>
      </c>
      <c r="C464" s="274" t="str">
        <f t="shared" si="60"/>
        <v>1.30.10.10.000.000.00.000</v>
      </c>
      <c r="D464" s="563"/>
      <c r="E464" s="917"/>
      <c r="F464" s="917"/>
      <c r="G464" s="917"/>
      <c r="H464" s="621"/>
      <c r="I464" s="621"/>
      <c r="J464" s="559">
        <f t="shared" si="59"/>
        <v>0</v>
      </c>
    </row>
    <row r="465" spans="1:14" x14ac:dyDescent="0.25">
      <c r="A465" s="551" t="str">
        <f>+Info!$B$2</f>
        <v>724</v>
      </c>
      <c r="B465" s="274" t="s">
        <v>1810</v>
      </c>
      <c r="C465" s="274" t="str">
        <f t="shared" si="60"/>
        <v>1.30.10.10.000.000.00.000</v>
      </c>
      <c r="D465" s="563"/>
      <c r="E465" s="917"/>
      <c r="F465" s="917"/>
      <c r="G465" s="917"/>
      <c r="H465" s="621"/>
      <c r="I465" s="621"/>
      <c r="J465" s="559">
        <f t="shared" si="59"/>
        <v>0</v>
      </c>
    </row>
    <row r="466" spans="1:14" x14ac:dyDescent="0.25">
      <c r="A466" s="551" t="str">
        <f>+Info!$B$2</f>
        <v>724</v>
      </c>
      <c r="B466" s="274" t="s">
        <v>1810</v>
      </c>
      <c r="C466" s="274" t="str">
        <f t="shared" si="60"/>
        <v>1.30.10.10.000.000.00.000</v>
      </c>
      <c r="D466" s="563"/>
      <c r="E466" s="917"/>
      <c r="F466" s="917"/>
      <c r="G466" s="917"/>
      <c r="H466" s="621"/>
      <c r="I466" s="621"/>
      <c r="J466" s="559">
        <f t="shared" si="59"/>
        <v>0</v>
      </c>
    </row>
    <row r="467" spans="1:14" x14ac:dyDescent="0.25">
      <c r="A467" s="551" t="str">
        <f>+Info!$B$2</f>
        <v>724</v>
      </c>
      <c r="B467" s="274" t="s">
        <v>1810</v>
      </c>
      <c r="C467" s="274" t="str">
        <f t="shared" si="60"/>
        <v>1.30.10.10.000.000.00.000</v>
      </c>
      <c r="D467" s="563"/>
      <c r="E467" s="917"/>
      <c r="F467" s="917"/>
      <c r="G467" s="917"/>
      <c r="H467" s="621"/>
      <c r="I467" s="621"/>
      <c r="J467" s="559">
        <f t="shared" si="59"/>
        <v>0</v>
      </c>
    </row>
    <row r="468" spans="1:14" x14ac:dyDescent="0.25">
      <c r="A468" s="551" t="str">
        <f>+Info!$B$2</f>
        <v>724</v>
      </c>
      <c r="B468" s="622" t="s">
        <v>1810</v>
      </c>
      <c r="C468" s="622" t="s">
        <v>1811</v>
      </c>
      <c r="H468" s="622">
        <f>SUM(H441:H467)</f>
        <v>0</v>
      </c>
      <c r="I468" s="622">
        <f>SUM(I441:I467)</f>
        <v>0</v>
      </c>
      <c r="J468" s="622">
        <f>SUM(J441:J467)</f>
        <v>0</v>
      </c>
    </row>
    <row r="469" spans="1:14" ht="24" x14ac:dyDescent="0.25">
      <c r="A469" s="551" t="str">
        <f>+Info!$B$2</f>
        <v>724</v>
      </c>
      <c r="D469" s="590" t="s">
        <v>4301</v>
      </c>
    </row>
    <row r="470" spans="1:14" x14ac:dyDescent="0.25">
      <c r="A470" s="551" t="str">
        <f>+Info!$B$2</f>
        <v>724</v>
      </c>
      <c r="B470" s="620"/>
      <c r="C470" s="620"/>
      <c r="D470" s="590" t="s">
        <v>4302</v>
      </c>
      <c r="E470" s="918" t="s">
        <v>4303</v>
      </c>
      <c r="F470" s="918"/>
      <c r="G470" s="918"/>
      <c r="H470" s="558" t="str">
        <f>+H440</f>
        <v>Entro 12 mesi (2020)</v>
      </c>
      <c r="I470" s="558" t="str">
        <f>+I440</f>
        <v>Oltre 12 mesi (2020)</v>
      </c>
      <c r="J470" s="558" t="s">
        <v>4300</v>
      </c>
      <c r="K470" s="557"/>
      <c r="L470" s="557"/>
      <c r="M470" s="557"/>
      <c r="N470" s="557"/>
    </row>
    <row r="471" spans="1:14" x14ac:dyDescent="0.25">
      <c r="A471" s="551" t="str">
        <f>+Info!$B$2</f>
        <v>724</v>
      </c>
      <c r="B471" s="274" t="s">
        <v>1831</v>
      </c>
      <c r="C471" s="274" t="str">
        <f t="shared" ref="C471:C497" si="61">$C$498</f>
        <v>1.30.20.10.000.000.00.000</v>
      </c>
      <c r="D471" s="563" t="s">
        <v>4304</v>
      </c>
      <c r="E471" s="917" t="s">
        <v>4305</v>
      </c>
      <c r="F471" s="917"/>
      <c r="G471" s="917"/>
      <c r="H471" s="621">
        <v>455</v>
      </c>
      <c r="I471" s="621"/>
      <c r="J471" s="559">
        <f t="shared" ref="J471:J497" si="62">+H471+I471</f>
        <v>455</v>
      </c>
    </row>
    <row r="472" spans="1:14" x14ac:dyDescent="0.25">
      <c r="A472" s="551" t="str">
        <f>+Info!$B$2</f>
        <v>724</v>
      </c>
      <c r="B472" s="274" t="s">
        <v>1831</v>
      </c>
      <c r="C472" s="274" t="str">
        <f t="shared" si="61"/>
        <v>1.30.20.10.000.000.00.000</v>
      </c>
      <c r="D472" s="563" t="s">
        <v>4306</v>
      </c>
      <c r="E472" s="917" t="s">
        <v>4307</v>
      </c>
      <c r="F472" s="917"/>
      <c r="G472" s="917"/>
      <c r="H472" s="621">
        <v>372</v>
      </c>
      <c r="I472" s="621"/>
      <c r="J472" s="559">
        <f t="shared" si="62"/>
        <v>372</v>
      </c>
    </row>
    <row r="473" spans="1:14" x14ac:dyDescent="0.25">
      <c r="A473" s="551" t="str">
        <f>+Info!$B$2</f>
        <v>724</v>
      </c>
      <c r="B473" s="274" t="s">
        <v>1831</v>
      </c>
      <c r="C473" s="274" t="str">
        <f t="shared" si="61"/>
        <v>1.30.20.10.000.000.00.000</v>
      </c>
      <c r="D473" s="563" t="s">
        <v>4306</v>
      </c>
      <c r="E473" s="917" t="s">
        <v>4308</v>
      </c>
      <c r="F473" s="917"/>
      <c r="G473" s="917"/>
      <c r="H473" s="621">
        <v>4646</v>
      </c>
      <c r="I473" s="621"/>
      <c r="J473" s="559">
        <f t="shared" si="62"/>
        <v>4646</v>
      </c>
    </row>
    <row r="474" spans="1:14" x14ac:dyDescent="0.25">
      <c r="A474" s="551" t="str">
        <f>+Info!$B$2</f>
        <v>724</v>
      </c>
      <c r="B474" s="274" t="s">
        <v>1831</v>
      </c>
      <c r="C474" s="274" t="str">
        <f t="shared" si="61"/>
        <v>1.30.20.10.000.000.00.000</v>
      </c>
      <c r="D474" s="563" t="s">
        <v>4309</v>
      </c>
      <c r="E474" s="917" t="s">
        <v>8298</v>
      </c>
      <c r="F474" s="917"/>
      <c r="G474" s="917"/>
      <c r="H474" s="621">
        <f>1759+1258</f>
        <v>3017</v>
      </c>
      <c r="I474" s="621"/>
      <c r="J474" s="559">
        <f t="shared" si="62"/>
        <v>3017</v>
      </c>
    </row>
    <row r="475" spans="1:14" x14ac:dyDescent="0.25">
      <c r="A475" s="551" t="str">
        <f>+Info!$B$2</f>
        <v>724</v>
      </c>
      <c r="B475" s="274" t="s">
        <v>1831</v>
      </c>
      <c r="C475" s="274" t="str">
        <f t="shared" si="61"/>
        <v>1.30.20.10.000.000.00.000</v>
      </c>
      <c r="D475" s="563"/>
      <c r="E475" s="917"/>
      <c r="F475" s="917"/>
      <c r="G475" s="917"/>
      <c r="H475" s="621"/>
      <c r="I475" s="621"/>
      <c r="J475" s="559">
        <f t="shared" si="62"/>
        <v>0</v>
      </c>
    </row>
    <row r="476" spans="1:14" x14ac:dyDescent="0.25">
      <c r="A476" s="551" t="str">
        <f>+Info!$B$2</f>
        <v>724</v>
      </c>
      <c r="B476" s="274" t="s">
        <v>1831</v>
      </c>
      <c r="C476" s="274" t="str">
        <f t="shared" si="61"/>
        <v>1.30.20.10.000.000.00.000</v>
      </c>
      <c r="D476" s="563"/>
      <c r="E476" s="917"/>
      <c r="F476" s="917"/>
      <c r="G476" s="917"/>
      <c r="H476" s="621"/>
      <c r="I476" s="621"/>
      <c r="J476" s="559">
        <f t="shared" si="62"/>
        <v>0</v>
      </c>
    </row>
    <row r="477" spans="1:14" x14ac:dyDescent="0.25">
      <c r="A477" s="551" t="str">
        <f>+Info!$B$2</f>
        <v>724</v>
      </c>
      <c r="B477" s="274" t="s">
        <v>1831</v>
      </c>
      <c r="C477" s="274" t="str">
        <f t="shared" si="61"/>
        <v>1.30.20.10.000.000.00.000</v>
      </c>
      <c r="D477" s="563"/>
      <c r="E477" s="917"/>
      <c r="F477" s="917"/>
      <c r="G477" s="917"/>
      <c r="H477" s="621"/>
      <c r="I477" s="621"/>
      <c r="J477" s="559">
        <f t="shared" si="62"/>
        <v>0</v>
      </c>
    </row>
    <row r="478" spans="1:14" x14ac:dyDescent="0.25">
      <c r="A478" s="551" t="str">
        <f>+Info!$B$2</f>
        <v>724</v>
      </c>
      <c r="B478" s="274" t="s">
        <v>1831</v>
      </c>
      <c r="C478" s="274" t="str">
        <f t="shared" si="61"/>
        <v>1.30.20.10.000.000.00.000</v>
      </c>
      <c r="D478" s="563"/>
      <c r="E478" s="917"/>
      <c r="F478" s="917"/>
      <c r="G478" s="917"/>
      <c r="H478" s="621"/>
      <c r="I478" s="621"/>
      <c r="J478" s="559">
        <f t="shared" si="62"/>
        <v>0</v>
      </c>
    </row>
    <row r="479" spans="1:14" x14ac:dyDescent="0.25">
      <c r="A479" s="551" t="str">
        <f>+Info!$B$2</f>
        <v>724</v>
      </c>
      <c r="B479" s="274" t="s">
        <v>1831</v>
      </c>
      <c r="C479" s="274" t="str">
        <f t="shared" si="61"/>
        <v>1.30.20.10.000.000.00.000</v>
      </c>
      <c r="D479" s="563"/>
      <c r="E479" s="917"/>
      <c r="F479" s="917"/>
      <c r="G479" s="917"/>
      <c r="H479" s="621"/>
      <c r="I479" s="621"/>
      <c r="J479" s="559">
        <f t="shared" si="62"/>
        <v>0</v>
      </c>
    </row>
    <row r="480" spans="1:14" x14ac:dyDescent="0.25">
      <c r="A480" s="551" t="str">
        <f>+Info!$B$2</f>
        <v>724</v>
      </c>
      <c r="B480" s="274" t="s">
        <v>1831</v>
      </c>
      <c r="C480" s="274" t="str">
        <f t="shared" si="61"/>
        <v>1.30.20.10.000.000.00.000</v>
      </c>
      <c r="D480" s="563"/>
      <c r="E480" s="917"/>
      <c r="F480" s="917"/>
      <c r="G480" s="917"/>
      <c r="H480" s="621"/>
      <c r="I480" s="621"/>
      <c r="J480" s="559">
        <f t="shared" si="62"/>
        <v>0</v>
      </c>
    </row>
    <row r="481" spans="1:10" x14ac:dyDescent="0.25">
      <c r="A481" s="551" t="str">
        <f>+Info!$B$2</f>
        <v>724</v>
      </c>
      <c r="B481" s="274" t="s">
        <v>1831</v>
      </c>
      <c r="C481" s="274" t="str">
        <f t="shared" si="61"/>
        <v>1.30.20.10.000.000.00.000</v>
      </c>
      <c r="D481" s="563"/>
      <c r="E481" s="917"/>
      <c r="F481" s="917"/>
      <c r="G481" s="917"/>
      <c r="H481" s="621"/>
      <c r="I481" s="621"/>
      <c r="J481" s="559">
        <f t="shared" si="62"/>
        <v>0</v>
      </c>
    </row>
    <row r="482" spans="1:10" x14ac:dyDescent="0.25">
      <c r="A482" s="551" t="str">
        <f>+Info!$B$2</f>
        <v>724</v>
      </c>
      <c r="B482" s="274" t="s">
        <v>1831</v>
      </c>
      <c r="C482" s="274" t="str">
        <f t="shared" si="61"/>
        <v>1.30.20.10.000.000.00.000</v>
      </c>
      <c r="D482" s="563"/>
      <c r="E482" s="917"/>
      <c r="F482" s="917"/>
      <c r="G482" s="917"/>
      <c r="H482" s="621"/>
      <c r="I482" s="621"/>
      <c r="J482" s="559">
        <f t="shared" si="62"/>
        <v>0</v>
      </c>
    </row>
    <row r="483" spans="1:10" x14ac:dyDescent="0.25">
      <c r="A483" s="551" t="str">
        <f>+Info!$B$2</f>
        <v>724</v>
      </c>
      <c r="B483" s="274" t="s">
        <v>1831</v>
      </c>
      <c r="C483" s="274" t="str">
        <f t="shared" si="61"/>
        <v>1.30.20.10.000.000.00.000</v>
      </c>
      <c r="D483" s="563"/>
      <c r="E483" s="917"/>
      <c r="F483" s="917"/>
      <c r="G483" s="917"/>
      <c r="H483" s="621"/>
      <c r="I483" s="621"/>
      <c r="J483" s="559">
        <f t="shared" si="62"/>
        <v>0</v>
      </c>
    </row>
    <row r="484" spans="1:10" x14ac:dyDescent="0.25">
      <c r="A484" s="551" t="str">
        <f>+Info!$B$2</f>
        <v>724</v>
      </c>
      <c r="B484" s="274" t="s">
        <v>1831</v>
      </c>
      <c r="C484" s="274" t="str">
        <f t="shared" si="61"/>
        <v>1.30.20.10.000.000.00.000</v>
      </c>
      <c r="D484" s="563"/>
      <c r="E484" s="917"/>
      <c r="F484" s="917"/>
      <c r="G484" s="917"/>
      <c r="H484" s="621"/>
      <c r="I484" s="621"/>
      <c r="J484" s="559">
        <f t="shared" si="62"/>
        <v>0</v>
      </c>
    </row>
    <row r="485" spans="1:10" x14ac:dyDescent="0.25">
      <c r="A485" s="551" t="str">
        <f>+Info!$B$2</f>
        <v>724</v>
      </c>
      <c r="B485" s="274" t="s">
        <v>1831</v>
      </c>
      <c r="C485" s="274" t="str">
        <f t="shared" si="61"/>
        <v>1.30.20.10.000.000.00.000</v>
      </c>
      <c r="D485" s="563"/>
      <c r="E485" s="917"/>
      <c r="F485" s="917"/>
      <c r="G485" s="917"/>
      <c r="H485" s="621"/>
      <c r="I485" s="621"/>
      <c r="J485" s="559">
        <f t="shared" si="62"/>
        <v>0</v>
      </c>
    </row>
    <row r="486" spans="1:10" x14ac:dyDescent="0.25">
      <c r="A486" s="551" t="str">
        <f>+Info!$B$2</f>
        <v>724</v>
      </c>
      <c r="B486" s="274" t="s">
        <v>1831</v>
      </c>
      <c r="C486" s="274" t="str">
        <f t="shared" si="61"/>
        <v>1.30.20.10.000.000.00.000</v>
      </c>
      <c r="D486" s="563"/>
      <c r="E486" s="917"/>
      <c r="F486" s="917"/>
      <c r="G486" s="917"/>
      <c r="H486" s="621"/>
      <c r="I486" s="621"/>
      <c r="J486" s="559">
        <f t="shared" si="62"/>
        <v>0</v>
      </c>
    </row>
    <row r="487" spans="1:10" x14ac:dyDescent="0.25">
      <c r="A487" s="551" t="str">
        <f>+Info!$B$2</f>
        <v>724</v>
      </c>
      <c r="B487" s="274" t="s">
        <v>1831</v>
      </c>
      <c r="C487" s="274" t="str">
        <f t="shared" si="61"/>
        <v>1.30.20.10.000.000.00.000</v>
      </c>
      <c r="D487" s="563"/>
      <c r="E487" s="917"/>
      <c r="F487" s="917"/>
      <c r="G487" s="917"/>
      <c r="H487" s="621"/>
      <c r="I487" s="621"/>
      <c r="J487" s="559">
        <f t="shared" si="62"/>
        <v>0</v>
      </c>
    </row>
    <row r="488" spans="1:10" x14ac:dyDescent="0.25">
      <c r="A488" s="551" t="str">
        <f>+Info!$B$2</f>
        <v>724</v>
      </c>
      <c r="B488" s="274" t="s">
        <v>1831</v>
      </c>
      <c r="C488" s="274" t="str">
        <f t="shared" si="61"/>
        <v>1.30.20.10.000.000.00.000</v>
      </c>
      <c r="D488" s="563"/>
      <c r="E488" s="917"/>
      <c r="F488" s="917"/>
      <c r="G488" s="917"/>
      <c r="H488" s="621"/>
      <c r="I488" s="621"/>
      <c r="J488" s="559">
        <f t="shared" si="62"/>
        <v>0</v>
      </c>
    </row>
    <row r="489" spans="1:10" x14ac:dyDescent="0.25">
      <c r="A489" s="551" t="str">
        <f>+Info!$B$2</f>
        <v>724</v>
      </c>
      <c r="B489" s="274" t="s">
        <v>1831</v>
      </c>
      <c r="C489" s="274" t="str">
        <f t="shared" si="61"/>
        <v>1.30.20.10.000.000.00.000</v>
      </c>
      <c r="D489" s="563"/>
      <c r="E489" s="917"/>
      <c r="F489" s="917"/>
      <c r="G489" s="917"/>
      <c r="H489" s="621"/>
      <c r="I489" s="621"/>
      <c r="J489" s="559">
        <f t="shared" si="62"/>
        <v>0</v>
      </c>
    </row>
    <row r="490" spans="1:10" x14ac:dyDescent="0.25">
      <c r="A490" s="551" t="str">
        <f>+Info!$B$2</f>
        <v>724</v>
      </c>
      <c r="B490" s="274" t="s">
        <v>1831</v>
      </c>
      <c r="C490" s="274" t="str">
        <f t="shared" si="61"/>
        <v>1.30.20.10.000.000.00.000</v>
      </c>
      <c r="D490" s="563"/>
      <c r="E490" s="917"/>
      <c r="F490" s="917"/>
      <c r="G490" s="917"/>
      <c r="H490" s="621"/>
      <c r="I490" s="621"/>
      <c r="J490" s="559">
        <f t="shared" si="62"/>
        <v>0</v>
      </c>
    </row>
    <row r="491" spans="1:10" x14ac:dyDescent="0.25">
      <c r="A491" s="551" t="str">
        <f>+Info!$B$2</f>
        <v>724</v>
      </c>
      <c r="B491" s="274" t="s">
        <v>1831</v>
      </c>
      <c r="C491" s="274" t="str">
        <f t="shared" si="61"/>
        <v>1.30.20.10.000.000.00.000</v>
      </c>
      <c r="D491" s="563"/>
      <c r="E491" s="917"/>
      <c r="F491" s="917"/>
      <c r="G491" s="917"/>
      <c r="H491" s="621"/>
      <c r="I491" s="621"/>
      <c r="J491" s="559">
        <f t="shared" si="62"/>
        <v>0</v>
      </c>
    </row>
    <row r="492" spans="1:10" x14ac:dyDescent="0.25">
      <c r="A492" s="551" t="str">
        <f>+Info!$B$2</f>
        <v>724</v>
      </c>
      <c r="B492" s="274" t="s">
        <v>1831</v>
      </c>
      <c r="C492" s="274" t="str">
        <f t="shared" si="61"/>
        <v>1.30.20.10.000.000.00.000</v>
      </c>
      <c r="D492" s="563"/>
      <c r="E492" s="917"/>
      <c r="F492" s="917"/>
      <c r="G492" s="917"/>
      <c r="H492" s="621"/>
      <c r="I492" s="621"/>
      <c r="J492" s="559">
        <f t="shared" si="62"/>
        <v>0</v>
      </c>
    </row>
    <row r="493" spans="1:10" x14ac:dyDescent="0.25">
      <c r="A493" s="551" t="str">
        <f>+Info!$B$2</f>
        <v>724</v>
      </c>
      <c r="B493" s="274" t="s">
        <v>1831</v>
      </c>
      <c r="C493" s="274" t="str">
        <f t="shared" si="61"/>
        <v>1.30.20.10.000.000.00.000</v>
      </c>
      <c r="D493" s="563"/>
      <c r="E493" s="917"/>
      <c r="F493" s="917"/>
      <c r="G493" s="917"/>
      <c r="H493" s="621"/>
      <c r="I493" s="621"/>
      <c r="J493" s="559">
        <f t="shared" si="62"/>
        <v>0</v>
      </c>
    </row>
    <row r="494" spans="1:10" x14ac:dyDescent="0.25">
      <c r="A494" s="551" t="str">
        <f>+Info!$B$2</f>
        <v>724</v>
      </c>
      <c r="B494" s="274" t="s">
        <v>1831</v>
      </c>
      <c r="C494" s="274" t="str">
        <f t="shared" si="61"/>
        <v>1.30.20.10.000.000.00.000</v>
      </c>
      <c r="D494" s="563"/>
      <c r="E494" s="917"/>
      <c r="F494" s="917"/>
      <c r="G494" s="917"/>
      <c r="H494" s="621"/>
      <c r="I494" s="621"/>
      <c r="J494" s="559">
        <f t="shared" si="62"/>
        <v>0</v>
      </c>
    </row>
    <row r="495" spans="1:10" x14ac:dyDescent="0.25">
      <c r="A495" s="551" t="str">
        <f>+Info!$B$2</f>
        <v>724</v>
      </c>
      <c r="B495" s="274" t="s">
        <v>1831</v>
      </c>
      <c r="C495" s="274" t="str">
        <f t="shared" si="61"/>
        <v>1.30.20.10.000.000.00.000</v>
      </c>
      <c r="D495" s="563"/>
      <c r="E495" s="917"/>
      <c r="F495" s="917"/>
      <c r="G495" s="917"/>
      <c r="H495" s="621"/>
      <c r="I495" s="621"/>
      <c r="J495" s="559">
        <f t="shared" si="62"/>
        <v>0</v>
      </c>
    </row>
    <row r="496" spans="1:10" x14ac:dyDescent="0.25">
      <c r="A496" s="551" t="str">
        <f>+Info!$B$2</f>
        <v>724</v>
      </c>
      <c r="B496" s="274" t="s">
        <v>1831</v>
      </c>
      <c r="C496" s="274" t="str">
        <f t="shared" si="61"/>
        <v>1.30.20.10.000.000.00.000</v>
      </c>
      <c r="D496" s="563"/>
      <c r="E496" s="917"/>
      <c r="F496" s="917"/>
      <c r="G496" s="917"/>
      <c r="H496" s="621"/>
      <c r="I496" s="621"/>
      <c r="J496" s="559">
        <f t="shared" si="62"/>
        <v>0</v>
      </c>
    </row>
    <row r="497" spans="1:32" x14ac:dyDescent="0.25">
      <c r="A497" s="551" t="str">
        <f>+Info!$B$2</f>
        <v>724</v>
      </c>
      <c r="B497" s="274" t="s">
        <v>1831</v>
      </c>
      <c r="C497" s="274" t="str">
        <f t="shared" si="61"/>
        <v>1.30.20.10.000.000.00.000</v>
      </c>
      <c r="D497" s="563"/>
      <c r="E497" s="917"/>
      <c r="F497" s="917"/>
      <c r="G497" s="917"/>
      <c r="H497" s="621"/>
      <c r="I497" s="621"/>
      <c r="J497" s="559">
        <f t="shared" si="62"/>
        <v>0</v>
      </c>
    </row>
    <row r="498" spans="1:32" x14ac:dyDescent="0.25">
      <c r="A498" s="551" t="str">
        <f>+Info!$B$2</f>
        <v>724</v>
      </c>
      <c r="B498" s="622" t="s">
        <v>1831</v>
      </c>
      <c r="C498" s="622" t="s">
        <v>1832</v>
      </c>
      <c r="H498" s="622">
        <f>SUM(H471:H497)</f>
        <v>8490</v>
      </c>
      <c r="I498" s="622">
        <f>SUM(I471:I497)</f>
        <v>0</v>
      </c>
      <c r="J498" s="622">
        <f>SUM(J471:J497)</f>
        <v>8490</v>
      </c>
    </row>
    <row r="499" spans="1:32" x14ac:dyDescent="0.25">
      <c r="A499" s="551" t="str">
        <f>+Info!$B$2</f>
        <v>724</v>
      </c>
    </row>
    <row r="500" spans="1:32" x14ac:dyDescent="0.25">
      <c r="A500" s="551" t="str">
        <f>+Info!$B$2</f>
        <v>724</v>
      </c>
    </row>
    <row r="501" spans="1:32" x14ac:dyDescent="0.25">
      <c r="A501" s="551" t="str">
        <f>+Info!$B$2</f>
        <v>724</v>
      </c>
    </row>
    <row r="502" spans="1:32" s="624" customFormat="1" ht="27" customHeight="1" x14ac:dyDescent="0.25">
      <c r="A502" s="551" t="str">
        <f>+Info!$B$2</f>
        <v>724</v>
      </c>
      <c r="B502" s="924"/>
      <c r="C502" s="924" t="s">
        <v>4310</v>
      </c>
      <c r="D502" s="921" t="s">
        <v>4311</v>
      </c>
      <c r="E502" s="623"/>
      <c r="F502" s="922" t="s">
        <v>4312</v>
      </c>
      <c r="G502" s="922"/>
      <c r="H502" s="922"/>
      <c r="I502" s="922"/>
      <c r="J502" s="922" t="s">
        <v>4313</v>
      </c>
      <c r="K502" s="922" t="s">
        <v>4206</v>
      </c>
      <c r="L502" s="922"/>
      <c r="M502" s="922"/>
      <c r="N502" s="922"/>
      <c r="O502" s="922"/>
      <c r="P502" s="922"/>
      <c r="Q502" s="922"/>
    </row>
    <row r="503" spans="1:32" s="624" customFormat="1" ht="36" x14ac:dyDescent="0.25">
      <c r="A503" s="551" t="str">
        <f>+Info!$B$2</f>
        <v>724</v>
      </c>
      <c r="B503" s="924"/>
      <c r="C503" s="924"/>
      <c r="D503" s="921"/>
      <c r="E503" s="623"/>
      <c r="F503" s="590" t="s">
        <v>4314</v>
      </c>
      <c r="G503" s="590" t="s">
        <v>4315</v>
      </c>
      <c r="H503" s="590" t="s">
        <v>4316</v>
      </c>
      <c r="I503" s="590" t="s">
        <v>4317</v>
      </c>
      <c r="J503" s="922"/>
      <c r="K503" s="590" t="s">
        <v>3537</v>
      </c>
      <c r="L503" s="590" t="s">
        <v>3879</v>
      </c>
      <c r="M503" s="590" t="s">
        <v>4318</v>
      </c>
      <c r="N503" s="590" t="s">
        <v>4319</v>
      </c>
      <c r="O503" s="590" t="s">
        <v>4320</v>
      </c>
      <c r="P503" s="625" t="s">
        <v>4321</v>
      </c>
      <c r="Q503" s="625" t="s">
        <v>4322</v>
      </c>
    </row>
    <row r="504" spans="1:32" s="624" customFormat="1" ht="15" customHeight="1" x14ac:dyDescent="0.25">
      <c r="A504" s="551" t="str">
        <f>+Info!$B$2</f>
        <v>724</v>
      </c>
      <c r="B504" s="626" t="s">
        <v>1922</v>
      </c>
      <c r="C504" s="626" t="s">
        <v>1923</v>
      </c>
      <c r="D504" s="627" t="s">
        <v>4323</v>
      </c>
      <c r="E504" s="569">
        <f>SUMIF('NI-San_SP'!$C:$C,$C504,'NI-San_SP'!$Z:$Z)</f>
        <v>25372331</v>
      </c>
      <c r="F504" s="923" t="str">
        <f>IF(E504=Dettaglio_SP_San!O504,"Quadratura OK!","Squadratura con saldo finale di Bilancio!")</f>
        <v>Quadratura OK!</v>
      </c>
      <c r="G504" s="923"/>
      <c r="H504" s="923"/>
      <c r="I504" s="923"/>
      <c r="J504" s="628">
        <f t="shared" ref="J504:Q504" si="63">+J505+J506</f>
        <v>27609856</v>
      </c>
      <c r="K504" s="628">
        <f t="shared" si="63"/>
        <v>0</v>
      </c>
      <c r="L504" s="628">
        <f t="shared" si="63"/>
        <v>0</v>
      </c>
      <c r="M504" s="628">
        <f t="shared" si="63"/>
        <v>2237525</v>
      </c>
      <c r="N504" s="628">
        <f t="shared" si="63"/>
        <v>0</v>
      </c>
      <c r="O504" s="628">
        <f t="shared" si="63"/>
        <v>25372331</v>
      </c>
      <c r="P504" s="628">
        <f t="shared" si="63"/>
        <v>0</v>
      </c>
      <c r="Q504" s="628">
        <f t="shared" si="63"/>
        <v>0</v>
      </c>
      <c r="AC504" s="624" t="str">
        <f>C504</f>
        <v>3.10.20.10.000.000.00.000</v>
      </c>
      <c r="AD504" s="629">
        <f>O504</f>
        <v>25372331</v>
      </c>
      <c r="AE504" s="629">
        <f>E504</f>
        <v>25372331</v>
      </c>
      <c r="AF504" s="551">
        <f>IF($AD504=$AE504,0,1)</f>
        <v>0</v>
      </c>
    </row>
    <row r="505" spans="1:32" s="624" customFormat="1" ht="15" customHeight="1" x14ac:dyDescent="0.25">
      <c r="A505" s="551" t="str">
        <f>+Info!$B$2</f>
        <v>724</v>
      </c>
      <c r="B505" s="226" t="s">
        <v>1922</v>
      </c>
      <c r="C505" s="226" t="str">
        <f t="shared" ref="C505:C516" si="64">$C$504</f>
        <v>3.10.20.10.000.000.00.000</v>
      </c>
      <c r="D505" s="630" t="str">
        <f>"    ... assegnati in data antecedente al 1/1/"&amp;Info!$B$3-2</f>
        <v xml:space="preserve">    ... assegnati in data antecedente al 1/1/2018</v>
      </c>
      <c r="F505" s="923"/>
      <c r="G505" s="923"/>
      <c r="H505" s="923"/>
      <c r="I505" s="923"/>
      <c r="J505" s="579">
        <v>27609856</v>
      </c>
      <c r="K505" s="579"/>
      <c r="L505" s="579"/>
      <c r="M505" s="579">
        <v>2237525</v>
      </c>
      <c r="N505" s="579"/>
      <c r="O505" s="631">
        <f>+J505+K505+L505-M505+N505</f>
        <v>25372331</v>
      </c>
      <c r="P505" s="579"/>
      <c r="Q505" s="579"/>
    </row>
    <row r="506" spans="1:32" s="624" customFormat="1" ht="15" customHeight="1" x14ac:dyDescent="0.25">
      <c r="A506" s="551" t="str">
        <f>+Info!$B$2</f>
        <v>724</v>
      </c>
      <c r="B506" s="226" t="s">
        <v>1922</v>
      </c>
      <c r="C506" s="226" t="str">
        <f t="shared" si="64"/>
        <v>3.10.20.10.000.000.00.000</v>
      </c>
      <c r="D506" s="632" t="str">
        <f>"    ... assegnati a partire dal 1/1/"&amp;Info!$B$3-2&amp;"..dettagliare"</f>
        <v xml:space="preserve">    ... assegnati a partire dal 1/1/2018..dettagliare</v>
      </c>
      <c r="F506" s="923"/>
      <c r="G506" s="923"/>
      <c r="H506" s="923"/>
      <c r="I506" s="923"/>
      <c r="J506" s="628">
        <f t="shared" ref="J506:Q506" si="65">SUM(J507:J516)</f>
        <v>0</v>
      </c>
      <c r="K506" s="628">
        <f t="shared" si="65"/>
        <v>0</v>
      </c>
      <c r="L506" s="628">
        <f t="shared" si="65"/>
        <v>0</v>
      </c>
      <c r="M506" s="628">
        <f t="shared" si="65"/>
        <v>0</v>
      </c>
      <c r="N506" s="628">
        <f t="shared" si="65"/>
        <v>0</v>
      </c>
      <c r="O506" s="628">
        <f t="shared" si="65"/>
        <v>0</v>
      </c>
      <c r="P506" s="628">
        <f t="shared" si="65"/>
        <v>0</v>
      </c>
      <c r="Q506" s="628">
        <f t="shared" si="65"/>
        <v>0</v>
      </c>
    </row>
    <row r="507" spans="1:32" s="624" customFormat="1" ht="15" customHeight="1" x14ac:dyDescent="0.25">
      <c r="A507" s="551" t="str">
        <f>+Info!$B$2</f>
        <v>724</v>
      </c>
      <c r="B507" s="226" t="s">
        <v>1922</v>
      </c>
      <c r="C507" s="226" t="str">
        <f t="shared" si="64"/>
        <v>3.10.20.10.000.000.00.000</v>
      </c>
      <c r="D507" s="633"/>
      <c r="F507" s="633"/>
      <c r="G507" s="633"/>
      <c r="H507" s="633"/>
      <c r="I507" s="633"/>
      <c r="J507" s="579"/>
      <c r="K507" s="579"/>
      <c r="L507" s="579"/>
      <c r="M507" s="579"/>
      <c r="N507" s="579"/>
      <c r="O507" s="631">
        <f t="shared" ref="O507:O516" si="66">+J507+K507+L507-M507+N507</f>
        <v>0</v>
      </c>
      <c r="P507" s="579"/>
      <c r="Q507" s="579"/>
    </row>
    <row r="508" spans="1:32" s="624" customFormat="1" x14ac:dyDescent="0.25">
      <c r="A508" s="551" t="str">
        <f>+Info!$B$2</f>
        <v>724</v>
      </c>
      <c r="B508" s="226" t="s">
        <v>1922</v>
      </c>
      <c r="C508" s="226" t="str">
        <f t="shared" si="64"/>
        <v>3.10.20.10.000.000.00.000</v>
      </c>
      <c r="D508" s="633"/>
      <c r="F508" s="633"/>
      <c r="G508" s="633"/>
      <c r="H508" s="633"/>
      <c r="I508" s="633"/>
      <c r="J508" s="579"/>
      <c r="K508" s="579"/>
      <c r="L508" s="579"/>
      <c r="M508" s="579"/>
      <c r="N508" s="579"/>
      <c r="O508" s="631">
        <f t="shared" si="66"/>
        <v>0</v>
      </c>
      <c r="P508" s="579"/>
      <c r="Q508" s="579"/>
    </row>
    <row r="509" spans="1:32" s="624" customFormat="1" x14ac:dyDescent="0.25">
      <c r="A509" s="551" t="str">
        <f>+Info!$B$2</f>
        <v>724</v>
      </c>
      <c r="B509" s="226" t="s">
        <v>1922</v>
      </c>
      <c r="C509" s="226" t="str">
        <f t="shared" si="64"/>
        <v>3.10.20.10.000.000.00.000</v>
      </c>
      <c r="D509" s="633"/>
      <c r="F509" s="633"/>
      <c r="G509" s="633"/>
      <c r="H509" s="633"/>
      <c r="I509" s="633"/>
      <c r="J509" s="579"/>
      <c r="K509" s="579"/>
      <c r="L509" s="579"/>
      <c r="M509" s="579"/>
      <c r="N509" s="579"/>
      <c r="O509" s="631">
        <f t="shared" si="66"/>
        <v>0</v>
      </c>
      <c r="P509" s="579"/>
      <c r="Q509" s="579"/>
    </row>
    <row r="510" spans="1:32" s="624" customFormat="1" x14ac:dyDescent="0.25">
      <c r="A510" s="551" t="str">
        <f>+Info!$B$2</f>
        <v>724</v>
      </c>
      <c r="B510" s="226" t="s">
        <v>1922</v>
      </c>
      <c r="C510" s="226" t="str">
        <f t="shared" si="64"/>
        <v>3.10.20.10.000.000.00.000</v>
      </c>
      <c r="D510" s="633"/>
      <c r="F510" s="633"/>
      <c r="G510" s="633"/>
      <c r="H510" s="633"/>
      <c r="I510" s="633"/>
      <c r="J510" s="579"/>
      <c r="K510" s="579"/>
      <c r="L510" s="579"/>
      <c r="M510" s="579"/>
      <c r="N510" s="579"/>
      <c r="O510" s="631">
        <f t="shared" si="66"/>
        <v>0</v>
      </c>
      <c r="P510" s="579"/>
      <c r="Q510" s="579"/>
    </row>
    <row r="511" spans="1:32" s="624" customFormat="1" x14ac:dyDescent="0.25">
      <c r="A511" s="551" t="str">
        <f>+Info!$B$2</f>
        <v>724</v>
      </c>
      <c r="B511" s="226" t="s">
        <v>1922</v>
      </c>
      <c r="C511" s="226" t="str">
        <f t="shared" si="64"/>
        <v>3.10.20.10.000.000.00.000</v>
      </c>
      <c r="D511" s="633"/>
      <c r="F511" s="633"/>
      <c r="G511" s="633"/>
      <c r="H511" s="633"/>
      <c r="I511" s="633"/>
      <c r="J511" s="579"/>
      <c r="K511" s="579"/>
      <c r="L511" s="579"/>
      <c r="M511" s="579"/>
      <c r="N511" s="579"/>
      <c r="O511" s="631">
        <f t="shared" si="66"/>
        <v>0</v>
      </c>
      <c r="P511" s="579"/>
      <c r="Q511" s="579"/>
    </row>
    <row r="512" spans="1:32" s="624" customFormat="1" x14ac:dyDescent="0.25">
      <c r="A512" s="551" t="str">
        <f>+Info!$B$2</f>
        <v>724</v>
      </c>
      <c r="B512" s="226" t="s">
        <v>1922</v>
      </c>
      <c r="C512" s="226" t="str">
        <f t="shared" si="64"/>
        <v>3.10.20.10.000.000.00.000</v>
      </c>
      <c r="D512" s="633"/>
      <c r="F512" s="633"/>
      <c r="G512" s="633"/>
      <c r="H512" s="633"/>
      <c r="I512" s="633"/>
      <c r="J512" s="579"/>
      <c r="K512" s="579"/>
      <c r="L512" s="579"/>
      <c r="M512" s="579"/>
      <c r="N512" s="579"/>
      <c r="O512" s="631">
        <f t="shared" si="66"/>
        <v>0</v>
      </c>
      <c r="P512" s="579"/>
      <c r="Q512" s="579"/>
    </row>
    <row r="513" spans="1:32" s="624" customFormat="1" x14ac:dyDescent="0.25">
      <c r="A513" s="551" t="str">
        <f>+Info!$B$2</f>
        <v>724</v>
      </c>
      <c r="B513" s="226" t="s">
        <v>1922</v>
      </c>
      <c r="C513" s="226" t="str">
        <f t="shared" si="64"/>
        <v>3.10.20.10.000.000.00.000</v>
      </c>
      <c r="D513" s="633"/>
      <c r="F513" s="633"/>
      <c r="G513" s="633"/>
      <c r="H513" s="633"/>
      <c r="I513" s="633"/>
      <c r="J513" s="579"/>
      <c r="K513" s="579"/>
      <c r="L513" s="579"/>
      <c r="M513" s="579"/>
      <c r="N513" s="579"/>
      <c r="O513" s="631">
        <f t="shared" si="66"/>
        <v>0</v>
      </c>
      <c r="P513" s="579"/>
      <c r="Q513" s="579"/>
    </row>
    <row r="514" spans="1:32" s="624" customFormat="1" x14ac:dyDescent="0.25">
      <c r="A514" s="551" t="str">
        <f>+Info!$B$2</f>
        <v>724</v>
      </c>
      <c r="B514" s="226" t="s">
        <v>1922</v>
      </c>
      <c r="C514" s="226" t="str">
        <f t="shared" si="64"/>
        <v>3.10.20.10.000.000.00.000</v>
      </c>
      <c r="D514" s="633"/>
      <c r="F514" s="633"/>
      <c r="G514" s="633"/>
      <c r="H514" s="633"/>
      <c r="I514" s="633"/>
      <c r="J514" s="579"/>
      <c r="K514" s="579"/>
      <c r="L514" s="579"/>
      <c r="M514" s="579"/>
      <c r="N514" s="579"/>
      <c r="O514" s="631">
        <f t="shared" si="66"/>
        <v>0</v>
      </c>
      <c r="P514" s="579"/>
      <c r="Q514" s="579"/>
    </row>
    <row r="515" spans="1:32" s="624" customFormat="1" x14ac:dyDescent="0.25">
      <c r="A515" s="551" t="str">
        <f>+Info!$B$2</f>
        <v>724</v>
      </c>
      <c r="B515" s="226" t="s">
        <v>1922</v>
      </c>
      <c r="C515" s="226" t="str">
        <f t="shared" si="64"/>
        <v>3.10.20.10.000.000.00.000</v>
      </c>
      <c r="D515" s="633"/>
      <c r="F515" s="633"/>
      <c r="G515" s="633"/>
      <c r="H515" s="633"/>
      <c r="I515" s="633"/>
      <c r="J515" s="579"/>
      <c r="K515" s="579"/>
      <c r="L515" s="579"/>
      <c r="M515" s="579"/>
      <c r="N515" s="579"/>
      <c r="O515" s="631">
        <f t="shared" si="66"/>
        <v>0</v>
      </c>
      <c r="P515" s="579"/>
      <c r="Q515" s="579"/>
    </row>
    <row r="516" spans="1:32" s="624" customFormat="1" x14ac:dyDescent="0.25">
      <c r="A516" s="551" t="str">
        <f>+Info!$B$2</f>
        <v>724</v>
      </c>
      <c r="B516" s="226" t="s">
        <v>1922</v>
      </c>
      <c r="C516" s="226" t="str">
        <f t="shared" si="64"/>
        <v>3.10.20.10.000.000.00.000</v>
      </c>
      <c r="D516" s="633"/>
      <c r="F516" s="633"/>
      <c r="G516" s="633"/>
      <c r="H516" s="633"/>
      <c r="I516" s="633"/>
      <c r="J516" s="579"/>
      <c r="K516" s="579"/>
      <c r="L516" s="579"/>
      <c r="M516" s="579"/>
      <c r="N516" s="579"/>
      <c r="O516" s="631">
        <f t="shared" si="66"/>
        <v>0</v>
      </c>
      <c r="P516" s="579"/>
      <c r="Q516" s="579"/>
    </row>
    <row r="517" spans="1:32" s="624" customFormat="1" ht="15" customHeight="1" x14ac:dyDescent="0.25">
      <c r="A517" s="551" t="str">
        <f>+Info!$B$2</f>
        <v>724</v>
      </c>
      <c r="B517" s="626" t="s">
        <v>1928</v>
      </c>
      <c r="C517" s="626" t="s">
        <v>1929</v>
      </c>
      <c r="D517" s="634" t="s">
        <v>4324</v>
      </c>
      <c r="E517" s="569">
        <f>SUMIF('NI-San_SP'!$C:$C,$C517,'NI-San_SP'!$Z:$Z)</f>
        <v>13598000</v>
      </c>
      <c r="F517" s="923" t="str">
        <f>IF(E517=Dettaglio_SP_San!O517,"Quadratura OK!","Squadratura con saldo finale di Bilancio!")</f>
        <v>Quadratura OK!</v>
      </c>
      <c r="G517" s="923"/>
      <c r="H517" s="923"/>
      <c r="I517" s="923"/>
      <c r="J517" s="628">
        <f t="shared" ref="J517:Q517" si="67">+J518+J519</f>
        <v>0</v>
      </c>
      <c r="K517" s="628">
        <f t="shared" si="67"/>
        <v>0</v>
      </c>
      <c r="L517" s="628">
        <f t="shared" si="67"/>
        <v>13598000</v>
      </c>
      <c r="M517" s="628">
        <f t="shared" si="67"/>
        <v>0</v>
      </c>
      <c r="N517" s="628">
        <f t="shared" si="67"/>
        <v>0</v>
      </c>
      <c r="O517" s="628">
        <f t="shared" si="67"/>
        <v>13598000</v>
      </c>
      <c r="P517" s="628">
        <f t="shared" si="67"/>
        <v>0</v>
      </c>
      <c r="Q517" s="628">
        <f t="shared" si="67"/>
        <v>0</v>
      </c>
      <c r="AC517" s="624" t="str">
        <f>C517</f>
        <v>3.10.20.20.000.000.00.000</v>
      </c>
      <c r="AD517" s="629">
        <f>O517</f>
        <v>13598000</v>
      </c>
      <c r="AE517" s="629">
        <f>E517</f>
        <v>13598000</v>
      </c>
      <c r="AF517" s="551">
        <f>IF($AD517=$AE517,0,1)</f>
        <v>0</v>
      </c>
    </row>
    <row r="518" spans="1:32" s="624" customFormat="1" ht="15" customHeight="1" x14ac:dyDescent="0.25">
      <c r="A518" s="551" t="str">
        <f>+Info!$B$2</f>
        <v>724</v>
      </c>
      <c r="B518" s="226" t="s">
        <v>1928</v>
      </c>
      <c r="C518" s="226" t="str">
        <f t="shared" ref="C518:C549" si="68">$C$517</f>
        <v>3.10.20.20.000.000.00.000</v>
      </c>
      <c r="D518" s="630" t="str">
        <f>"    ... assegnati in data antecedente al 1/1/"&amp;Info!$B$3-2</f>
        <v xml:space="preserve">    ... assegnati in data antecedente al 1/1/2018</v>
      </c>
      <c r="F518" s="923"/>
      <c r="G518" s="923"/>
      <c r="H518" s="923"/>
      <c r="I518" s="923"/>
      <c r="J518" s="579"/>
      <c r="K518" s="579"/>
      <c r="L518" s="579"/>
      <c r="M518" s="579"/>
      <c r="N518" s="579"/>
      <c r="O518" s="631">
        <f>+J518+K518+L518-M518+N518</f>
        <v>0</v>
      </c>
      <c r="P518" s="579"/>
      <c r="Q518" s="579"/>
    </row>
    <row r="519" spans="1:32" s="624" customFormat="1" ht="15" customHeight="1" x14ac:dyDescent="0.25">
      <c r="A519" s="551" t="str">
        <f>+Info!$B$2</f>
        <v>724</v>
      </c>
      <c r="B519" s="226" t="s">
        <v>1928</v>
      </c>
      <c r="C519" s="226" t="str">
        <f t="shared" si="68"/>
        <v>3.10.20.20.000.000.00.000</v>
      </c>
      <c r="D519" s="632" t="str">
        <f>"    ... assegnati a partire dal 1/1/"&amp;Info!$B$3-2&amp;"..dettagliare"</f>
        <v xml:space="preserve">    ... assegnati a partire dal 1/1/2018..dettagliare</v>
      </c>
      <c r="F519" s="923"/>
      <c r="G519" s="923"/>
      <c r="H519" s="923"/>
      <c r="I519" s="923"/>
      <c r="J519" s="628">
        <f t="shared" ref="J519:Q519" si="69">SUM(J520:J549)</f>
        <v>0</v>
      </c>
      <c r="K519" s="628">
        <f t="shared" si="69"/>
        <v>0</v>
      </c>
      <c r="L519" s="628">
        <f t="shared" si="69"/>
        <v>13598000</v>
      </c>
      <c r="M519" s="628">
        <f t="shared" si="69"/>
        <v>0</v>
      </c>
      <c r="N519" s="628">
        <f t="shared" si="69"/>
        <v>0</v>
      </c>
      <c r="O519" s="628">
        <f t="shared" si="69"/>
        <v>13598000</v>
      </c>
      <c r="P519" s="628">
        <f t="shared" si="69"/>
        <v>0</v>
      </c>
      <c r="Q519" s="628">
        <f t="shared" si="69"/>
        <v>0</v>
      </c>
    </row>
    <row r="520" spans="1:32" s="624" customFormat="1" x14ac:dyDescent="0.25">
      <c r="A520" s="551" t="str">
        <f>+Info!$B$2</f>
        <v>724</v>
      </c>
      <c r="B520" s="226" t="s">
        <v>1928</v>
      </c>
      <c r="C520" s="226" t="str">
        <f t="shared" si="68"/>
        <v>3.10.20.20.000.000.00.000</v>
      </c>
      <c r="D520" s="633" t="s">
        <v>4325</v>
      </c>
      <c r="F520" s="633" t="s">
        <v>4326</v>
      </c>
      <c r="G520" s="633">
        <v>2020</v>
      </c>
      <c r="H520" s="633" t="s">
        <v>4327</v>
      </c>
      <c r="I520" s="633"/>
      <c r="J520" s="579"/>
      <c r="K520" s="579"/>
      <c r="L520" s="579">
        <v>4630000</v>
      </c>
      <c r="M520" s="579"/>
      <c r="N520" s="579"/>
      <c r="O520" s="631">
        <f t="shared" ref="O520:O549" si="70">+J520+K520+L520-M520+N520</f>
        <v>4630000</v>
      </c>
      <c r="P520" s="579"/>
      <c r="Q520" s="579"/>
    </row>
    <row r="521" spans="1:32" s="624" customFormat="1" x14ac:dyDescent="0.25">
      <c r="A521" s="551" t="str">
        <f>+Info!$B$2</f>
        <v>724</v>
      </c>
      <c r="B521" s="226" t="s">
        <v>1928</v>
      </c>
      <c r="C521" s="226" t="str">
        <f t="shared" si="68"/>
        <v>3.10.20.20.000.000.00.000</v>
      </c>
      <c r="D521" s="633" t="s">
        <v>4328</v>
      </c>
      <c r="F521" s="633"/>
      <c r="G521" s="633">
        <v>2020</v>
      </c>
      <c r="H521" s="633" t="s">
        <v>4327</v>
      </c>
      <c r="I521" s="633"/>
      <c r="J521" s="579"/>
      <c r="K521" s="579"/>
      <c r="L521" s="579">
        <v>4520000</v>
      </c>
      <c r="M521" s="579"/>
      <c r="N521" s="579"/>
      <c r="O521" s="631">
        <f t="shared" si="70"/>
        <v>4520000</v>
      </c>
      <c r="P521" s="579"/>
      <c r="Q521" s="579"/>
    </row>
    <row r="522" spans="1:32" s="624" customFormat="1" x14ac:dyDescent="0.25">
      <c r="A522" s="551" t="str">
        <f>+Info!$B$2</f>
        <v>724</v>
      </c>
      <c r="B522" s="226" t="s">
        <v>1928</v>
      </c>
      <c r="C522" s="226" t="str">
        <f t="shared" si="68"/>
        <v>3.10.20.20.000.000.00.000</v>
      </c>
      <c r="D522" s="633" t="s">
        <v>4288</v>
      </c>
      <c r="F522" s="633"/>
      <c r="G522" s="633">
        <v>2020</v>
      </c>
      <c r="H522" s="633" t="s">
        <v>4327</v>
      </c>
      <c r="I522" s="633"/>
      <c r="J522" s="579"/>
      <c r="K522" s="579"/>
      <c r="L522" s="579">
        <v>4448000</v>
      </c>
      <c r="M522" s="579"/>
      <c r="N522" s="579"/>
      <c r="O522" s="631">
        <f t="shared" si="70"/>
        <v>4448000</v>
      </c>
      <c r="P522" s="579"/>
      <c r="Q522" s="579"/>
    </row>
    <row r="523" spans="1:32" s="624" customFormat="1" x14ac:dyDescent="0.25">
      <c r="A523" s="551" t="str">
        <f>+Info!$B$2</f>
        <v>724</v>
      </c>
      <c r="B523" s="226" t="s">
        <v>1928</v>
      </c>
      <c r="C523" s="226" t="str">
        <f t="shared" si="68"/>
        <v>3.10.20.20.000.000.00.000</v>
      </c>
      <c r="D523" s="633"/>
      <c r="F523" s="633"/>
      <c r="G523" s="633"/>
      <c r="H523" s="633"/>
      <c r="I523" s="633"/>
      <c r="J523" s="579"/>
      <c r="K523" s="579"/>
      <c r="L523" s="579"/>
      <c r="M523" s="579"/>
      <c r="N523" s="579"/>
      <c r="O523" s="631">
        <f t="shared" si="70"/>
        <v>0</v>
      </c>
      <c r="P523" s="579"/>
      <c r="Q523" s="579"/>
    </row>
    <row r="524" spans="1:32" s="624" customFormat="1" x14ac:dyDescent="0.25">
      <c r="A524" s="551" t="str">
        <f>+Info!$B$2</f>
        <v>724</v>
      </c>
      <c r="B524" s="226" t="s">
        <v>1928</v>
      </c>
      <c r="C524" s="226" t="str">
        <f t="shared" si="68"/>
        <v>3.10.20.20.000.000.00.000</v>
      </c>
      <c r="D524" s="633"/>
      <c r="F524" s="633"/>
      <c r="G524" s="633"/>
      <c r="H524" s="633"/>
      <c r="I524" s="633"/>
      <c r="J524" s="579"/>
      <c r="K524" s="579"/>
      <c r="L524" s="579"/>
      <c r="M524" s="579"/>
      <c r="N524" s="579"/>
      <c r="O524" s="631">
        <f t="shared" si="70"/>
        <v>0</v>
      </c>
      <c r="P524" s="579"/>
      <c r="Q524" s="579"/>
    </row>
    <row r="525" spans="1:32" s="624" customFormat="1" x14ac:dyDescent="0.25">
      <c r="A525" s="551" t="str">
        <f>+Info!$B$2</f>
        <v>724</v>
      </c>
      <c r="B525" s="226" t="s">
        <v>1928</v>
      </c>
      <c r="C525" s="226" t="str">
        <f t="shared" si="68"/>
        <v>3.10.20.20.000.000.00.000</v>
      </c>
      <c r="D525" s="633"/>
      <c r="F525" s="633"/>
      <c r="G525" s="633"/>
      <c r="H525" s="633"/>
      <c r="I525" s="633"/>
      <c r="J525" s="579"/>
      <c r="K525" s="579"/>
      <c r="L525" s="579"/>
      <c r="M525" s="579"/>
      <c r="N525" s="579"/>
      <c r="O525" s="631">
        <f t="shared" si="70"/>
        <v>0</v>
      </c>
      <c r="P525" s="579"/>
      <c r="Q525" s="579"/>
    </row>
    <row r="526" spans="1:32" s="624" customFormat="1" x14ac:dyDescent="0.25">
      <c r="A526" s="551" t="str">
        <f>+Info!$B$2</f>
        <v>724</v>
      </c>
      <c r="B526" s="226" t="s">
        <v>1928</v>
      </c>
      <c r="C526" s="226" t="str">
        <f t="shared" si="68"/>
        <v>3.10.20.20.000.000.00.000</v>
      </c>
      <c r="D526" s="633"/>
      <c r="F526" s="633"/>
      <c r="G526" s="633"/>
      <c r="H526" s="633"/>
      <c r="I526" s="633"/>
      <c r="J526" s="579"/>
      <c r="K526" s="579"/>
      <c r="L526" s="579"/>
      <c r="M526" s="579"/>
      <c r="N526" s="579"/>
      <c r="O526" s="631">
        <f t="shared" si="70"/>
        <v>0</v>
      </c>
      <c r="P526" s="579"/>
      <c r="Q526" s="579"/>
    </row>
    <row r="527" spans="1:32" s="624" customFormat="1" x14ac:dyDescent="0.25">
      <c r="A527" s="551" t="str">
        <f>+Info!$B$2</f>
        <v>724</v>
      </c>
      <c r="B527" s="226" t="s">
        <v>1928</v>
      </c>
      <c r="C527" s="226" t="str">
        <f t="shared" si="68"/>
        <v>3.10.20.20.000.000.00.000</v>
      </c>
      <c r="D527" s="633"/>
      <c r="F527" s="633"/>
      <c r="G527" s="633"/>
      <c r="H527" s="633"/>
      <c r="I527" s="633"/>
      <c r="J527" s="579"/>
      <c r="K527" s="579"/>
      <c r="L527" s="579"/>
      <c r="M527" s="579"/>
      <c r="N527" s="579"/>
      <c r="O527" s="631">
        <f t="shared" si="70"/>
        <v>0</v>
      </c>
      <c r="P527" s="579"/>
      <c r="Q527" s="579"/>
    </row>
    <row r="528" spans="1:32" s="624" customFormat="1" x14ac:dyDescent="0.25">
      <c r="A528" s="551" t="str">
        <f>+Info!$B$2</f>
        <v>724</v>
      </c>
      <c r="B528" s="226" t="s">
        <v>1928</v>
      </c>
      <c r="C528" s="226" t="str">
        <f t="shared" si="68"/>
        <v>3.10.20.20.000.000.00.000</v>
      </c>
      <c r="D528" s="633"/>
      <c r="F528" s="633"/>
      <c r="G528" s="633"/>
      <c r="H528" s="633"/>
      <c r="I528" s="633"/>
      <c r="J528" s="579"/>
      <c r="K528" s="579"/>
      <c r="L528" s="579"/>
      <c r="M528" s="579"/>
      <c r="N528" s="579"/>
      <c r="O528" s="631">
        <f t="shared" si="70"/>
        <v>0</v>
      </c>
      <c r="P528" s="579"/>
      <c r="Q528" s="579"/>
    </row>
    <row r="529" spans="1:17" s="624" customFormat="1" x14ac:dyDescent="0.25">
      <c r="A529" s="551" t="str">
        <f>+Info!$B$2</f>
        <v>724</v>
      </c>
      <c r="B529" s="226" t="s">
        <v>1928</v>
      </c>
      <c r="C529" s="226" t="str">
        <f t="shared" si="68"/>
        <v>3.10.20.20.000.000.00.000</v>
      </c>
      <c r="D529" s="633"/>
      <c r="F529" s="633"/>
      <c r="G529" s="633"/>
      <c r="H529" s="633"/>
      <c r="I529" s="633"/>
      <c r="J529" s="579"/>
      <c r="K529" s="579"/>
      <c r="L529" s="579"/>
      <c r="M529" s="579"/>
      <c r="N529" s="579"/>
      <c r="O529" s="631">
        <f t="shared" si="70"/>
        <v>0</v>
      </c>
      <c r="P529" s="579"/>
      <c r="Q529" s="579"/>
    </row>
    <row r="530" spans="1:17" s="624" customFormat="1" x14ac:dyDescent="0.25">
      <c r="A530" s="551" t="str">
        <f>+Info!$B$2</f>
        <v>724</v>
      </c>
      <c r="B530" s="226" t="s">
        <v>1928</v>
      </c>
      <c r="C530" s="226" t="str">
        <f t="shared" si="68"/>
        <v>3.10.20.20.000.000.00.000</v>
      </c>
      <c r="D530" s="633"/>
      <c r="F530" s="633"/>
      <c r="G530" s="633"/>
      <c r="H530" s="633"/>
      <c r="I530" s="633"/>
      <c r="J530" s="579"/>
      <c r="K530" s="579"/>
      <c r="L530" s="579"/>
      <c r="M530" s="579"/>
      <c r="N530" s="579"/>
      <c r="O530" s="631">
        <f t="shared" si="70"/>
        <v>0</v>
      </c>
      <c r="P530" s="579"/>
      <c r="Q530" s="579"/>
    </row>
    <row r="531" spans="1:17" s="624" customFormat="1" x14ac:dyDescent="0.25">
      <c r="A531" s="551" t="str">
        <f>+Info!$B$2</f>
        <v>724</v>
      </c>
      <c r="B531" s="226" t="s">
        <v>1928</v>
      </c>
      <c r="C531" s="226" t="str">
        <f t="shared" si="68"/>
        <v>3.10.20.20.000.000.00.000</v>
      </c>
      <c r="D531" s="633"/>
      <c r="F531" s="633"/>
      <c r="G531" s="633"/>
      <c r="H531" s="633"/>
      <c r="I531" s="633"/>
      <c r="J531" s="579"/>
      <c r="K531" s="579"/>
      <c r="L531" s="579"/>
      <c r="M531" s="579"/>
      <c r="N531" s="579"/>
      <c r="O531" s="631">
        <f t="shared" si="70"/>
        <v>0</v>
      </c>
      <c r="P531" s="579"/>
      <c r="Q531" s="579"/>
    </row>
    <row r="532" spans="1:17" s="624" customFormat="1" x14ac:dyDescent="0.25">
      <c r="A532" s="551" t="str">
        <f>+Info!$B$2</f>
        <v>724</v>
      </c>
      <c r="B532" s="226" t="s">
        <v>1928</v>
      </c>
      <c r="C532" s="226" t="str">
        <f t="shared" si="68"/>
        <v>3.10.20.20.000.000.00.000</v>
      </c>
      <c r="D532" s="633"/>
      <c r="F532" s="633"/>
      <c r="G532" s="633"/>
      <c r="H532" s="633"/>
      <c r="I532" s="633"/>
      <c r="J532" s="579"/>
      <c r="K532" s="579"/>
      <c r="L532" s="579"/>
      <c r="M532" s="579"/>
      <c r="N532" s="579"/>
      <c r="O532" s="631">
        <f t="shared" si="70"/>
        <v>0</v>
      </c>
      <c r="P532" s="579"/>
      <c r="Q532" s="579"/>
    </row>
    <row r="533" spans="1:17" s="624" customFormat="1" x14ac:dyDescent="0.25">
      <c r="A533" s="551" t="str">
        <f>+Info!$B$2</f>
        <v>724</v>
      </c>
      <c r="B533" s="226" t="s">
        <v>1928</v>
      </c>
      <c r="C533" s="226" t="str">
        <f t="shared" si="68"/>
        <v>3.10.20.20.000.000.00.000</v>
      </c>
      <c r="D533" s="633"/>
      <c r="F533" s="633"/>
      <c r="G533" s="633"/>
      <c r="H533" s="633"/>
      <c r="I533" s="633"/>
      <c r="J533" s="579"/>
      <c r="K533" s="579"/>
      <c r="L533" s="579"/>
      <c r="M533" s="579"/>
      <c r="N533" s="579"/>
      <c r="O533" s="631">
        <f t="shared" si="70"/>
        <v>0</v>
      </c>
      <c r="P533" s="579"/>
      <c r="Q533" s="579"/>
    </row>
    <row r="534" spans="1:17" s="624" customFormat="1" x14ac:dyDescent="0.25">
      <c r="A534" s="551" t="str">
        <f>+Info!$B$2</f>
        <v>724</v>
      </c>
      <c r="B534" s="226" t="s">
        <v>1928</v>
      </c>
      <c r="C534" s="226" t="str">
        <f t="shared" si="68"/>
        <v>3.10.20.20.000.000.00.000</v>
      </c>
      <c r="D534" s="633"/>
      <c r="F534" s="633"/>
      <c r="G534" s="633"/>
      <c r="H534" s="633"/>
      <c r="I534" s="633"/>
      <c r="J534" s="579"/>
      <c r="K534" s="579"/>
      <c r="L534" s="579"/>
      <c r="M534" s="579"/>
      <c r="N534" s="579"/>
      <c r="O534" s="631">
        <f t="shared" si="70"/>
        <v>0</v>
      </c>
      <c r="P534" s="579"/>
      <c r="Q534" s="579"/>
    </row>
    <row r="535" spans="1:17" s="624" customFormat="1" x14ac:dyDescent="0.25">
      <c r="A535" s="551" t="str">
        <f>+Info!$B$2</f>
        <v>724</v>
      </c>
      <c r="B535" s="226" t="s">
        <v>1928</v>
      </c>
      <c r="C535" s="226" t="str">
        <f t="shared" si="68"/>
        <v>3.10.20.20.000.000.00.000</v>
      </c>
      <c r="D535" s="633"/>
      <c r="F535" s="633"/>
      <c r="G535" s="633"/>
      <c r="H535" s="633"/>
      <c r="I535" s="633"/>
      <c r="J535" s="579"/>
      <c r="K535" s="579"/>
      <c r="L535" s="579"/>
      <c r="M535" s="579"/>
      <c r="N535" s="579"/>
      <c r="O535" s="631">
        <f t="shared" si="70"/>
        <v>0</v>
      </c>
      <c r="P535" s="579"/>
      <c r="Q535" s="579"/>
    </row>
    <row r="536" spans="1:17" s="624" customFormat="1" x14ac:dyDescent="0.25">
      <c r="A536" s="551" t="str">
        <f>+Info!$B$2</f>
        <v>724</v>
      </c>
      <c r="B536" s="226" t="s">
        <v>1928</v>
      </c>
      <c r="C536" s="226" t="str">
        <f t="shared" si="68"/>
        <v>3.10.20.20.000.000.00.000</v>
      </c>
      <c r="D536" s="633"/>
      <c r="F536" s="633"/>
      <c r="G536" s="633"/>
      <c r="H536" s="633"/>
      <c r="I536" s="633"/>
      <c r="J536" s="579"/>
      <c r="K536" s="579"/>
      <c r="L536" s="579"/>
      <c r="M536" s="579"/>
      <c r="N536" s="579"/>
      <c r="O536" s="631">
        <f t="shared" si="70"/>
        <v>0</v>
      </c>
      <c r="P536" s="579"/>
      <c r="Q536" s="579"/>
    </row>
    <row r="537" spans="1:17" s="624" customFormat="1" x14ac:dyDescent="0.25">
      <c r="A537" s="551" t="str">
        <f>+Info!$B$2</f>
        <v>724</v>
      </c>
      <c r="B537" s="226" t="s">
        <v>1928</v>
      </c>
      <c r="C537" s="226" t="str">
        <f t="shared" si="68"/>
        <v>3.10.20.20.000.000.00.000</v>
      </c>
      <c r="D537" s="633"/>
      <c r="F537" s="633"/>
      <c r="G537" s="633"/>
      <c r="H537" s="633"/>
      <c r="I537" s="633"/>
      <c r="J537" s="579"/>
      <c r="K537" s="579"/>
      <c r="L537" s="579"/>
      <c r="M537" s="579"/>
      <c r="N537" s="579"/>
      <c r="O537" s="631">
        <f t="shared" si="70"/>
        <v>0</v>
      </c>
      <c r="P537" s="579"/>
      <c r="Q537" s="579"/>
    </row>
    <row r="538" spans="1:17" s="624" customFormat="1" x14ac:dyDescent="0.25">
      <c r="A538" s="551" t="str">
        <f>+Info!$B$2</f>
        <v>724</v>
      </c>
      <c r="B538" s="226" t="s">
        <v>1928</v>
      </c>
      <c r="C538" s="226" t="str">
        <f t="shared" si="68"/>
        <v>3.10.20.20.000.000.00.000</v>
      </c>
      <c r="D538" s="633"/>
      <c r="F538" s="633"/>
      <c r="G538" s="633"/>
      <c r="H538" s="633"/>
      <c r="I538" s="633"/>
      <c r="J538" s="579"/>
      <c r="K538" s="579"/>
      <c r="L538" s="579"/>
      <c r="M538" s="579"/>
      <c r="N538" s="579"/>
      <c r="O538" s="631">
        <f t="shared" si="70"/>
        <v>0</v>
      </c>
      <c r="P538" s="579"/>
      <c r="Q538" s="579"/>
    </row>
    <row r="539" spans="1:17" s="624" customFormat="1" x14ac:dyDescent="0.25">
      <c r="A539" s="551" t="str">
        <f>+Info!$B$2</f>
        <v>724</v>
      </c>
      <c r="B539" s="226" t="s">
        <v>1928</v>
      </c>
      <c r="C539" s="226" t="str">
        <f t="shared" si="68"/>
        <v>3.10.20.20.000.000.00.000</v>
      </c>
      <c r="D539" s="633"/>
      <c r="F539" s="633"/>
      <c r="G539" s="633"/>
      <c r="H539" s="633"/>
      <c r="I539" s="633"/>
      <c r="J539" s="579"/>
      <c r="K539" s="579"/>
      <c r="L539" s="579"/>
      <c r="M539" s="579"/>
      <c r="N539" s="579"/>
      <c r="O539" s="631">
        <f t="shared" si="70"/>
        <v>0</v>
      </c>
      <c r="P539" s="579"/>
      <c r="Q539" s="579"/>
    </row>
    <row r="540" spans="1:17" s="624" customFormat="1" x14ac:dyDescent="0.25">
      <c r="A540" s="551" t="str">
        <f>+Info!$B$2</f>
        <v>724</v>
      </c>
      <c r="B540" s="226" t="s">
        <v>1928</v>
      </c>
      <c r="C540" s="226" t="str">
        <f t="shared" si="68"/>
        <v>3.10.20.20.000.000.00.000</v>
      </c>
      <c r="D540" s="633"/>
      <c r="F540" s="633"/>
      <c r="G540" s="633"/>
      <c r="H540" s="633"/>
      <c r="I540" s="633"/>
      <c r="J540" s="579"/>
      <c r="K540" s="579"/>
      <c r="L540" s="579"/>
      <c r="M540" s="579"/>
      <c r="N540" s="579"/>
      <c r="O540" s="631">
        <f t="shared" si="70"/>
        <v>0</v>
      </c>
      <c r="P540" s="579"/>
      <c r="Q540" s="579"/>
    </row>
    <row r="541" spans="1:17" s="624" customFormat="1" x14ac:dyDescent="0.25">
      <c r="A541" s="551" t="str">
        <f>+Info!$B$2</f>
        <v>724</v>
      </c>
      <c r="B541" s="226" t="s">
        <v>1928</v>
      </c>
      <c r="C541" s="226" t="str">
        <f t="shared" si="68"/>
        <v>3.10.20.20.000.000.00.000</v>
      </c>
      <c r="D541" s="633"/>
      <c r="F541" s="633"/>
      <c r="G541" s="633"/>
      <c r="H541" s="633"/>
      <c r="I541" s="633"/>
      <c r="J541" s="579"/>
      <c r="K541" s="579"/>
      <c r="L541" s="579"/>
      <c r="M541" s="579"/>
      <c r="N541" s="579"/>
      <c r="O541" s="631">
        <f t="shared" si="70"/>
        <v>0</v>
      </c>
      <c r="P541" s="579"/>
      <c r="Q541" s="579"/>
    </row>
    <row r="542" spans="1:17" s="624" customFormat="1" x14ac:dyDescent="0.25">
      <c r="A542" s="551" t="str">
        <f>+Info!$B$2</f>
        <v>724</v>
      </c>
      <c r="B542" s="226" t="s">
        <v>1928</v>
      </c>
      <c r="C542" s="226" t="str">
        <f t="shared" si="68"/>
        <v>3.10.20.20.000.000.00.000</v>
      </c>
      <c r="D542" s="633"/>
      <c r="F542" s="633"/>
      <c r="G542" s="633"/>
      <c r="H542" s="633"/>
      <c r="I542" s="633"/>
      <c r="J542" s="579"/>
      <c r="K542" s="579"/>
      <c r="L542" s="579"/>
      <c r="M542" s="579"/>
      <c r="N542" s="579"/>
      <c r="O542" s="631">
        <f t="shared" si="70"/>
        <v>0</v>
      </c>
      <c r="P542" s="579"/>
      <c r="Q542" s="579"/>
    </row>
    <row r="543" spans="1:17" s="624" customFormat="1" x14ac:dyDescent="0.25">
      <c r="A543" s="551" t="str">
        <f>+Info!$B$2</f>
        <v>724</v>
      </c>
      <c r="B543" s="226" t="s">
        <v>1928</v>
      </c>
      <c r="C543" s="226" t="str">
        <f t="shared" si="68"/>
        <v>3.10.20.20.000.000.00.000</v>
      </c>
      <c r="D543" s="633"/>
      <c r="F543" s="633"/>
      <c r="G543" s="633"/>
      <c r="H543" s="633"/>
      <c r="I543" s="633"/>
      <c r="J543" s="579"/>
      <c r="K543" s="579"/>
      <c r="L543" s="579"/>
      <c r="M543" s="579"/>
      <c r="N543" s="579"/>
      <c r="O543" s="631">
        <f t="shared" si="70"/>
        <v>0</v>
      </c>
      <c r="P543" s="579"/>
      <c r="Q543" s="579"/>
    </row>
    <row r="544" spans="1:17" s="624" customFormat="1" x14ac:dyDescent="0.25">
      <c r="A544" s="551" t="str">
        <f>+Info!$B$2</f>
        <v>724</v>
      </c>
      <c r="B544" s="226" t="s">
        <v>1928</v>
      </c>
      <c r="C544" s="226" t="str">
        <f t="shared" si="68"/>
        <v>3.10.20.20.000.000.00.000</v>
      </c>
      <c r="D544" s="633"/>
      <c r="F544" s="633"/>
      <c r="G544" s="633"/>
      <c r="H544" s="633"/>
      <c r="I544" s="633"/>
      <c r="J544" s="579"/>
      <c r="K544" s="579"/>
      <c r="L544" s="579"/>
      <c r="M544" s="579"/>
      <c r="N544" s="579"/>
      <c r="O544" s="631">
        <f t="shared" si="70"/>
        <v>0</v>
      </c>
      <c r="P544" s="579"/>
      <c r="Q544" s="579"/>
    </row>
    <row r="545" spans="1:32" s="624" customFormat="1" x14ac:dyDescent="0.25">
      <c r="A545" s="551" t="str">
        <f>+Info!$B$2</f>
        <v>724</v>
      </c>
      <c r="B545" s="226" t="s">
        <v>1928</v>
      </c>
      <c r="C545" s="226" t="str">
        <f t="shared" si="68"/>
        <v>3.10.20.20.000.000.00.000</v>
      </c>
      <c r="D545" s="633"/>
      <c r="F545" s="633"/>
      <c r="G545" s="633"/>
      <c r="H545" s="633"/>
      <c r="I545" s="633"/>
      <c r="J545" s="579"/>
      <c r="K545" s="579"/>
      <c r="L545" s="579"/>
      <c r="M545" s="579"/>
      <c r="N545" s="579"/>
      <c r="O545" s="631">
        <f t="shared" si="70"/>
        <v>0</v>
      </c>
      <c r="P545" s="579"/>
      <c r="Q545" s="579"/>
    </row>
    <row r="546" spans="1:32" s="624" customFormat="1" x14ac:dyDescent="0.25">
      <c r="A546" s="551" t="str">
        <f>+Info!$B$2</f>
        <v>724</v>
      </c>
      <c r="B546" s="226" t="s">
        <v>1928</v>
      </c>
      <c r="C546" s="226" t="str">
        <f t="shared" si="68"/>
        <v>3.10.20.20.000.000.00.000</v>
      </c>
      <c r="D546" s="633"/>
      <c r="F546" s="633"/>
      <c r="G546" s="633"/>
      <c r="H546" s="633"/>
      <c r="I546" s="633"/>
      <c r="J546" s="579"/>
      <c r="K546" s="579"/>
      <c r="L546" s="579"/>
      <c r="M546" s="579"/>
      <c r="N546" s="579"/>
      <c r="O546" s="631">
        <f t="shared" si="70"/>
        <v>0</v>
      </c>
      <c r="P546" s="579"/>
      <c r="Q546" s="579"/>
    </row>
    <row r="547" spans="1:32" s="624" customFormat="1" x14ac:dyDescent="0.25">
      <c r="A547" s="551" t="str">
        <f>+Info!$B$2</f>
        <v>724</v>
      </c>
      <c r="B547" s="226" t="s">
        <v>1928</v>
      </c>
      <c r="C547" s="226" t="str">
        <f t="shared" si="68"/>
        <v>3.10.20.20.000.000.00.000</v>
      </c>
      <c r="D547" s="633"/>
      <c r="F547" s="633"/>
      <c r="G547" s="633"/>
      <c r="H547" s="633"/>
      <c r="I547" s="633"/>
      <c r="J547" s="579"/>
      <c r="K547" s="579"/>
      <c r="L547" s="579"/>
      <c r="M547" s="579"/>
      <c r="N547" s="579"/>
      <c r="O547" s="631">
        <f t="shared" si="70"/>
        <v>0</v>
      </c>
      <c r="P547" s="579"/>
      <c r="Q547" s="579"/>
    </row>
    <row r="548" spans="1:32" s="624" customFormat="1" x14ac:dyDescent="0.25">
      <c r="A548" s="551" t="str">
        <f>+Info!$B$2</f>
        <v>724</v>
      </c>
      <c r="B548" s="226" t="s">
        <v>1928</v>
      </c>
      <c r="C548" s="226" t="str">
        <f t="shared" si="68"/>
        <v>3.10.20.20.000.000.00.000</v>
      </c>
      <c r="D548" s="633"/>
      <c r="F548" s="633"/>
      <c r="G548" s="633"/>
      <c r="H548" s="633"/>
      <c r="I548" s="633"/>
      <c r="J548" s="579"/>
      <c r="K548" s="579"/>
      <c r="L548" s="579"/>
      <c r="M548" s="579"/>
      <c r="N548" s="579"/>
      <c r="O548" s="631">
        <f t="shared" si="70"/>
        <v>0</v>
      </c>
      <c r="P548" s="579"/>
      <c r="Q548" s="579"/>
    </row>
    <row r="549" spans="1:32" s="624" customFormat="1" x14ac:dyDescent="0.25">
      <c r="A549" s="551" t="str">
        <f>+Info!$B$2</f>
        <v>724</v>
      </c>
      <c r="B549" s="226" t="s">
        <v>1928</v>
      </c>
      <c r="C549" s="226" t="str">
        <f t="shared" si="68"/>
        <v>3.10.20.20.000.000.00.000</v>
      </c>
      <c r="D549" s="633"/>
      <c r="F549" s="633"/>
      <c r="G549" s="633"/>
      <c r="H549" s="633"/>
      <c r="I549" s="633"/>
      <c r="J549" s="579"/>
      <c r="K549" s="579"/>
      <c r="L549" s="579"/>
      <c r="M549" s="579"/>
      <c r="N549" s="579"/>
      <c r="O549" s="631">
        <f t="shared" si="70"/>
        <v>0</v>
      </c>
      <c r="P549" s="579"/>
      <c r="Q549" s="579"/>
    </row>
    <row r="550" spans="1:32" s="624" customFormat="1" ht="15" customHeight="1" x14ac:dyDescent="0.25">
      <c r="A550" s="551" t="str">
        <f>+Info!$B$2</f>
        <v>724</v>
      </c>
      <c r="B550" s="626" t="s">
        <v>1947</v>
      </c>
      <c r="C550" s="626" t="s">
        <v>1948</v>
      </c>
      <c r="D550" s="634" t="s">
        <v>4329</v>
      </c>
      <c r="E550" s="569">
        <f>SUMIF('NI-San_SP'!$C:$C,$C550,'NI-San_SP'!$Z:$Z)</f>
        <v>47453477</v>
      </c>
      <c r="F550" s="923" t="str">
        <f>IF(E550=Dettaglio_SP_San!O550,"Quadratura OK!","Squadratura con saldo finale di Bilancio!")</f>
        <v>Quadratura OK!</v>
      </c>
      <c r="G550" s="923"/>
      <c r="H550" s="923"/>
      <c r="I550" s="923"/>
      <c r="J550" s="628">
        <f t="shared" ref="J550:Q550" si="71">+J551+J552</f>
        <v>47015826</v>
      </c>
      <c r="K550" s="628">
        <f t="shared" si="71"/>
        <v>0</v>
      </c>
      <c r="L550" s="628">
        <f t="shared" si="71"/>
        <v>5519109</v>
      </c>
      <c r="M550" s="628">
        <f t="shared" si="71"/>
        <v>5081355</v>
      </c>
      <c r="N550" s="628">
        <f t="shared" si="71"/>
        <v>-103</v>
      </c>
      <c r="O550" s="628">
        <f t="shared" si="71"/>
        <v>47453477</v>
      </c>
      <c r="P550" s="628">
        <f t="shared" si="71"/>
        <v>4624432</v>
      </c>
      <c r="Q550" s="628">
        <f t="shared" si="71"/>
        <v>10567374</v>
      </c>
      <c r="AC550" s="624" t="str">
        <f>C550</f>
        <v>3.10.20.30.000.000.00.000</v>
      </c>
      <c r="AD550" s="629">
        <f>O550</f>
        <v>47453477</v>
      </c>
      <c r="AE550" s="629">
        <f>E550</f>
        <v>47453477</v>
      </c>
      <c r="AF550" s="551">
        <f>IF($AD550=$AE550,0,1)</f>
        <v>0</v>
      </c>
    </row>
    <row r="551" spans="1:32" s="624" customFormat="1" ht="15" customHeight="1" x14ac:dyDescent="0.25">
      <c r="A551" s="551" t="str">
        <f>+Info!$B$2</f>
        <v>724</v>
      </c>
      <c r="B551" s="226" t="s">
        <v>1947</v>
      </c>
      <c r="C551" s="226" t="str">
        <f t="shared" ref="C551:C602" si="72">$C$550</f>
        <v>3.10.20.30.000.000.00.000</v>
      </c>
      <c r="D551" s="630" t="str">
        <f>"    ... assegnati in data antecedente al 1/1/"&amp;Info!$B$3-2</f>
        <v xml:space="preserve">    ... assegnati in data antecedente al 1/1/2018</v>
      </c>
      <c r="F551" s="923"/>
      <c r="G551" s="923"/>
      <c r="H551" s="923"/>
      <c r="I551" s="923"/>
      <c r="J551" s="579">
        <f>47015826-29233087</f>
        <v>17782739</v>
      </c>
      <c r="K551" s="579"/>
      <c r="L551" s="579"/>
      <c r="M551" s="579">
        <v>3616436</v>
      </c>
      <c r="N551" s="579">
        <v>-103</v>
      </c>
      <c r="O551" s="631">
        <f>+J551+K551+L551-M551+N551</f>
        <v>14166200</v>
      </c>
      <c r="P551" s="579">
        <v>316567</v>
      </c>
      <c r="Q551" s="579"/>
    </row>
    <row r="552" spans="1:32" s="624" customFormat="1" ht="15" customHeight="1" x14ac:dyDescent="0.25">
      <c r="A552" s="551" t="str">
        <f>+Info!$B$2</f>
        <v>724</v>
      </c>
      <c r="B552" s="226" t="s">
        <v>1947</v>
      </c>
      <c r="C552" s="226" t="str">
        <f t="shared" si="72"/>
        <v>3.10.20.30.000.000.00.000</v>
      </c>
      <c r="D552" s="632" t="str">
        <f>"    ... assegnati a partire dal 1/1/"&amp;Info!$B$3-2&amp;"..dettagliare"</f>
        <v xml:space="preserve">    ... assegnati a partire dal 1/1/2018..dettagliare</v>
      </c>
      <c r="F552" s="923"/>
      <c r="G552" s="923"/>
      <c r="H552" s="923"/>
      <c r="I552" s="923"/>
      <c r="J552" s="628">
        <f t="shared" ref="J552:Q552" si="73">SUM(J553:J602)</f>
        <v>29233087</v>
      </c>
      <c r="K552" s="628">
        <f t="shared" si="73"/>
        <v>0</v>
      </c>
      <c r="L552" s="628">
        <f t="shared" si="73"/>
        <v>5519109</v>
      </c>
      <c r="M552" s="628">
        <f t="shared" si="73"/>
        <v>1464919</v>
      </c>
      <c r="N552" s="628">
        <f t="shared" si="73"/>
        <v>0</v>
      </c>
      <c r="O552" s="628">
        <f t="shared" si="73"/>
        <v>33287277</v>
      </c>
      <c r="P552" s="628">
        <f t="shared" si="73"/>
        <v>4307865</v>
      </c>
      <c r="Q552" s="628">
        <f t="shared" si="73"/>
        <v>10567374</v>
      </c>
    </row>
    <row r="553" spans="1:32" s="624" customFormat="1" x14ac:dyDescent="0.25">
      <c r="A553" s="551" t="str">
        <f>+Info!$B$2</f>
        <v>724</v>
      </c>
      <c r="B553" s="226" t="s">
        <v>1947</v>
      </c>
      <c r="C553" s="226" t="str">
        <f t="shared" si="72"/>
        <v>3.10.20.30.000.000.00.000</v>
      </c>
      <c r="D553" s="635" t="s">
        <v>4330</v>
      </c>
      <c r="F553" s="633"/>
      <c r="G553" s="633"/>
      <c r="H553" s="633"/>
      <c r="I553" s="633"/>
      <c r="J553" s="579">
        <v>511786</v>
      </c>
      <c r="K553" s="579"/>
      <c r="L553" s="579"/>
      <c r="M553" s="579">
        <v>28436</v>
      </c>
      <c r="N553" s="579"/>
      <c r="O553" s="631">
        <f t="shared" ref="O553:O602" si="74">+J553+K553+L553-M553+N553</f>
        <v>483350</v>
      </c>
      <c r="P553" s="579">
        <f>86080+225169+39945</f>
        <v>351194</v>
      </c>
      <c r="Q553" s="579">
        <v>353845</v>
      </c>
    </row>
    <row r="554" spans="1:32" s="624" customFormat="1" x14ac:dyDescent="0.25">
      <c r="A554" s="551" t="str">
        <f>+Info!$B$2</f>
        <v>724</v>
      </c>
      <c r="B554" s="226" t="s">
        <v>1947</v>
      </c>
      <c r="C554" s="226" t="str">
        <f t="shared" si="72"/>
        <v>3.10.20.30.000.000.00.000</v>
      </c>
      <c r="D554" s="635" t="s">
        <v>4331</v>
      </c>
      <c r="F554" s="633"/>
      <c r="G554" s="633"/>
      <c r="H554" s="633"/>
      <c r="I554" s="633"/>
      <c r="J554" s="579">
        <v>2392000</v>
      </c>
      <c r="K554" s="579"/>
      <c r="L554" s="579"/>
      <c r="M554" s="579">
        <v>0</v>
      </c>
      <c r="N554" s="579"/>
      <c r="O554" s="631">
        <f t="shared" si="74"/>
        <v>2392000</v>
      </c>
      <c r="P554" s="579">
        <f>104600+152269</f>
        <v>256869</v>
      </c>
      <c r="Q554" s="579">
        <v>0</v>
      </c>
    </row>
    <row r="555" spans="1:32" s="624" customFormat="1" x14ac:dyDescent="0.25">
      <c r="A555" s="551" t="str">
        <f>+Info!$B$2</f>
        <v>724</v>
      </c>
      <c r="B555" s="226" t="s">
        <v>1947</v>
      </c>
      <c r="C555" s="226" t="str">
        <f t="shared" si="72"/>
        <v>3.10.20.30.000.000.00.000</v>
      </c>
      <c r="D555" s="635" t="s">
        <v>4332</v>
      </c>
      <c r="F555" s="633"/>
      <c r="G555" s="633"/>
      <c r="H555" s="633"/>
      <c r="I555" s="633"/>
      <c r="J555" s="579">
        <v>754141</v>
      </c>
      <c r="K555" s="579"/>
      <c r="L555" s="579"/>
      <c r="M555" s="579">
        <v>66426</v>
      </c>
      <c r="N555" s="579"/>
      <c r="O555" s="631">
        <f t="shared" si="74"/>
        <v>687715</v>
      </c>
      <c r="P555" s="579"/>
      <c r="Q555" s="579">
        <v>700739</v>
      </c>
    </row>
    <row r="556" spans="1:32" s="624" customFormat="1" x14ac:dyDescent="0.25">
      <c r="A556" s="551" t="str">
        <f>+Info!$B$2</f>
        <v>724</v>
      </c>
      <c r="B556" s="226" t="s">
        <v>1947</v>
      </c>
      <c r="C556" s="226" t="str">
        <f t="shared" si="72"/>
        <v>3.10.20.30.000.000.00.000</v>
      </c>
      <c r="D556" s="635" t="s">
        <v>4333</v>
      </c>
      <c r="F556" s="633"/>
      <c r="G556" s="633"/>
      <c r="H556" s="633"/>
      <c r="I556" s="633"/>
      <c r="J556" s="579">
        <v>610783</v>
      </c>
      <c r="K556" s="579"/>
      <c r="L556" s="579"/>
      <c r="M556" s="579">
        <v>175242</v>
      </c>
      <c r="N556" s="579"/>
      <c r="O556" s="631">
        <f t="shared" si="74"/>
        <v>435541</v>
      </c>
      <c r="P556" s="579"/>
      <c r="Q556" s="579">
        <v>876234</v>
      </c>
    </row>
    <row r="557" spans="1:32" s="624" customFormat="1" x14ac:dyDescent="0.25">
      <c r="A557" s="551" t="str">
        <f>+Info!$B$2</f>
        <v>724</v>
      </c>
      <c r="B557" s="226" t="s">
        <v>1947</v>
      </c>
      <c r="C557" s="226" t="str">
        <f t="shared" si="72"/>
        <v>3.10.20.30.000.000.00.000</v>
      </c>
      <c r="D557" s="635" t="s">
        <v>4334</v>
      </c>
      <c r="F557" s="633"/>
      <c r="G557" s="633"/>
      <c r="H557" s="633"/>
      <c r="I557" s="633"/>
      <c r="J557" s="579">
        <v>7030000</v>
      </c>
      <c r="K557" s="579"/>
      <c r="L557" s="579"/>
      <c r="M557" s="579">
        <v>0</v>
      </c>
      <c r="N557" s="579"/>
      <c r="O557" s="631">
        <f t="shared" si="74"/>
        <v>7030000</v>
      </c>
      <c r="P557" s="579"/>
      <c r="Q557" s="579">
        <v>0</v>
      </c>
    </row>
    <row r="558" spans="1:32" s="624" customFormat="1" x14ac:dyDescent="0.25">
      <c r="A558" s="551" t="str">
        <f>+Info!$B$2</f>
        <v>724</v>
      </c>
      <c r="B558" s="226" t="s">
        <v>1947</v>
      </c>
      <c r="C558" s="226" t="str">
        <f t="shared" si="72"/>
        <v>3.10.20.30.000.000.00.000</v>
      </c>
      <c r="D558" s="635" t="s">
        <v>4335</v>
      </c>
      <c r="F558" s="633"/>
      <c r="G558" s="633"/>
      <c r="H558" s="633"/>
      <c r="I558" s="633"/>
      <c r="J558" s="579">
        <v>3050000</v>
      </c>
      <c r="K558" s="579"/>
      <c r="L558" s="579"/>
      <c r="M558" s="579">
        <v>0</v>
      </c>
      <c r="N558" s="579"/>
      <c r="O558" s="631">
        <f t="shared" si="74"/>
        <v>3050000</v>
      </c>
      <c r="P558" s="579"/>
      <c r="Q558" s="579">
        <v>0</v>
      </c>
    </row>
    <row r="559" spans="1:32" s="624" customFormat="1" x14ac:dyDescent="0.25">
      <c r="A559" s="551" t="str">
        <f>+Info!$B$2</f>
        <v>724</v>
      </c>
      <c r="B559" s="226" t="s">
        <v>1947</v>
      </c>
      <c r="C559" s="226" t="str">
        <f t="shared" si="72"/>
        <v>3.10.20.30.000.000.00.000</v>
      </c>
      <c r="D559" s="635" t="s">
        <v>4336</v>
      </c>
      <c r="F559" s="633"/>
      <c r="G559" s="633"/>
      <c r="H559" s="633"/>
      <c r="I559" s="633"/>
      <c r="J559" s="579">
        <v>938878</v>
      </c>
      <c r="K559" s="579"/>
      <c r="L559" s="579"/>
      <c r="M559" s="579">
        <v>144630</v>
      </c>
      <c r="N559" s="579"/>
      <c r="O559" s="631">
        <f t="shared" si="74"/>
        <v>794248</v>
      </c>
      <c r="P559" s="579">
        <f>58986+102213</f>
        <v>161199</v>
      </c>
      <c r="Q559" s="579">
        <v>761000</v>
      </c>
    </row>
    <row r="560" spans="1:32" s="624" customFormat="1" x14ac:dyDescent="0.25">
      <c r="A560" s="551" t="str">
        <f>+Info!$B$2</f>
        <v>724</v>
      </c>
      <c r="B560" s="226" t="s">
        <v>1947</v>
      </c>
      <c r="C560" s="226" t="str">
        <f t="shared" si="72"/>
        <v>3.10.20.30.000.000.00.000</v>
      </c>
      <c r="D560" s="635"/>
      <c r="F560" s="633"/>
      <c r="G560" s="633"/>
      <c r="H560" s="633"/>
      <c r="I560" s="633"/>
      <c r="J560" s="579">
        <v>0</v>
      </c>
      <c r="K560" s="579"/>
      <c r="L560" s="579"/>
      <c r="M560" s="579"/>
      <c r="N560" s="579"/>
      <c r="O560" s="631">
        <f t="shared" si="74"/>
        <v>0</v>
      </c>
      <c r="P560" s="579"/>
      <c r="Q560" s="579"/>
    </row>
    <row r="561" spans="1:17" s="624" customFormat="1" x14ac:dyDescent="0.25">
      <c r="A561" s="551" t="str">
        <f>+Info!$B$2</f>
        <v>724</v>
      </c>
      <c r="B561" s="226" t="s">
        <v>1947</v>
      </c>
      <c r="C561" s="226" t="str">
        <f t="shared" si="72"/>
        <v>3.10.20.30.000.000.00.000</v>
      </c>
      <c r="D561" s="635" t="s">
        <v>4337</v>
      </c>
      <c r="F561" s="633"/>
      <c r="G561" s="633"/>
      <c r="H561" s="633"/>
      <c r="I561" s="633"/>
      <c r="J561" s="579">
        <v>162711</v>
      </c>
      <c r="K561" s="579"/>
      <c r="L561" s="579"/>
      <c r="M561" s="579">
        <v>12156</v>
      </c>
      <c r="N561" s="579"/>
      <c r="O561" s="631">
        <f t="shared" si="74"/>
        <v>150555</v>
      </c>
      <c r="P561" s="579"/>
      <c r="Q561" s="579">
        <v>187023</v>
      </c>
    </row>
    <row r="562" spans="1:17" s="624" customFormat="1" x14ac:dyDescent="0.25">
      <c r="A562" s="551" t="str">
        <f>+Info!$B$2</f>
        <v>724</v>
      </c>
      <c r="B562" s="226" t="s">
        <v>1947</v>
      </c>
      <c r="C562" s="226" t="str">
        <f t="shared" si="72"/>
        <v>3.10.20.30.000.000.00.000</v>
      </c>
      <c r="D562" s="635" t="s">
        <v>4338</v>
      </c>
      <c r="F562" s="633"/>
      <c r="G562" s="633"/>
      <c r="H562" s="633"/>
      <c r="I562" s="633"/>
      <c r="J562" s="579">
        <v>315848</v>
      </c>
      <c r="K562" s="579"/>
      <c r="L562" s="579"/>
      <c r="M562" s="579">
        <v>104300</v>
      </c>
      <c r="N562" s="579"/>
      <c r="O562" s="631">
        <f t="shared" si="74"/>
        <v>211548</v>
      </c>
      <c r="P562" s="579"/>
      <c r="Q562" s="579">
        <v>527895</v>
      </c>
    </row>
    <row r="563" spans="1:17" s="624" customFormat="1" x14ac:dyDescent="0.25">
      <c r="A563" s="551" t="str">
        <f>+Info!$B$2</f>
        <v>724</v>
      </c>
      <c r="B563" s="226" t="s">
        <v>1947</v>
      </c>
      <c r="C563" s="226" t="str">
        <f t="shared" si="72"/>
        <v>3.10.20.30.000.000.00.000</v>
      </c>
      <c r="D563" s="635" t="s">
        <v>4339</v>
      </c>
      <c r="F563" s="633"/>
      <c r="G563" s="633"/>
      <c r="H563" s="633"/>
      <c r="I563" s="633"/>
      <c r="J563" s="579">
        <v>482999</v>
      </c>
      <c r="K563" s="579"/>
      <c r="L563" s="579"/>
      <c r="M563" s="579">
        <v>160999</v>
      </c>
      <c r="N563" s="579"/>
      <c r="O563" s="631">
        <f t="shared" si="74"/>
        <v>322000</v>
      </c>
      <c r="P563" s="579"/>
      <c r="Q563" s="579">
        <v>805016</v>
      </c>
    </row>
    <row r="564" spans="1:17" s="624" customFormat="1" x14ac:dyDescent="0.25">
      <c r="A564" s="551" t="str">
        <f>+Info!$B$2</f>
        <v>724</v>
      </c>
      <c r="B564" s="226" t="s">
        <v>1947</v>
      </c>
      <c r="C564" s="226" t="str">
        <f t="shared" si="72"/>
        <v>3.10.20.30.000.000.00.000</v>
      </c>
      <c r="D564" s="635" t="s">
        <v>4340</v>
      </c>
      <c r="F564" s="633"/>
      <c r="G564" s="633"/>
      <c r="H564" s="633"/>
      <c r="I564" s="633"/>
      <c r="J564" s="579">
        <v>299425</v>
      </c>
      <c r="K564" s="579"/>
      <c r="L564" s="579"/>
      <c r="M564" s="579">
        <v>55344</v>
      </c>
      <c r="N564" s="579"/>
      <c r="O564" s="631">
        <f t="shared" si="74"/>
        <v>244081</v>
      </c>
      <c r="P564" s="579"/>
      <c r="Q564" s="579">
        <v>383360</v>
      </c>
    </row>
    <row r="565" spans="1:17" s="624" customFormat="1" x14ac:dyDescent="0.25">
      <c r="A565" s="551" t="str">
        <f>+Info!$B$2</f>
        <v>724</v>
      </c>
      <c r="B565" s="226" t="s">
        <v>1947</v>
      </c>
      <c r="C565" s="226" t="str">
        <f t="shared" si="72"/>
        <v>3.10.20.30.000.000.00.000</v>
      </c>
      <c r="D565" s="635" t="s">
        <v>4341</v>
      </c>
      <c r="F565" s="633"/>
      <c r="G565" s="633"/>
      <c r="H565" s="633"/>
      <c r="I565" s="633"/>
      <c r="J565" s="579">
        <v>2183759</v>
      </c>
      <c r="K565" s="579"/>
      <c r="L565" s="579"/>
      <c r="M565" s="579">
        <v>342822</v>
      </c>
      <c r="N565" s="579"/>
      <c r="O565" s="631">
        <f t="shared" si="74"/>
        <v>1840937</v>
      </c>
      <c r="P565" s="579">
        <v>359269</v>
      </c>
      <c r="Q565" s="579">
        <v>3322175</v>
      </c>
    </row>
    <row r="566" spans="1:17" s="624" customFormat="1" x14ac:dyDescent="0.25">
      <c r="A566" s="551" t="str">
        <f>+Info!$B$2</f>
        <v>724</v>
      </c>
      <c r="B566" s="226" t="s">
        <v>1947</v>
      </c>
      <c r="C566" s="226" t="str">
        <f t="shared" si="72"/>
        <v>3.10.20.30.000.000.00.000</v>
      </c>
      <c r="D566" s="635" t="s">
        <v>4342</v>
      </c>
      <c r="F566" s="633"/>
      <c r="G566" s="633"/>
      <c r="H566" s="633"/>
      <c r="I566" s="633"/>
      <c r="J566" s="579">
        <v>572569</v>
      </c>
      <c r="K566" s="579"/>
      <c r="L566" s="579"/>
      <c r="M566" s="579">
        <v>77212</v>
      </c>
      <c r="N566" s="579"/>
      <c r="O566" s="631">
        <f t="shared" si="74"/>
        <v>495357</v>
      </c>
      <c r="P566" s="579">
        <f>458063+4211</f>
        <v>462274</v>
      </c>
      <c r="Q566" s="579">
        <v>613830</v>
      </c>
    </row>
    <row r="567" spans="1:17" s="624" customFormat="1" x14ac:dyDescent="0.25">
      <c r="A567" s="551" t="str">
        <f>+Info!$B$2</f>
        <v>724</v>
      </c>
      <c r="B567" s="226" t="s">
        <v>1947</v>
      </c>
      <c r="C567" s="226" t="str">
        <f t="shared" si="72"/>
        <v>3.10.20.30.000.000.00.000</v>
      </c>
      <c r="D567" s="635" t="s">
        <v>4341</v>
      </c>
      <c r="F567" s="633"/>
      <c r="G567" s="633"/>
      <c r="H567" s="633"/>
      <c r="I567" s="633"/>
      <c r="J567" s="579">
        <v>1915400</v>
      </c>
      <c r="K567" s="579"/>
      <c r="L567" s="579"/>
      <c r="M567" s="579">
        <v>0</v>
      </c>
      <c r="N567" s="579"/>
      <c r="O567" s="631">
        <f t="shared" si="74"/>
        <v>1915400</v>
      </c>
      <c r="P567" s="579"/>
      <c r="Q567" s="579">
        <v>0</v>
      </c>
    </row>
    <row r="568" spans="1:17" s="624" customFormat="1" x14ac:dyDescent="0.25">
      <c r="A568" s="551" t="str">
        <f>+Info!$B$2</f>
        <v>724</v>
      </c>
      <c r="B568" s="226" t="s">
        <v>1947</v>
      </c>
      <c r="C568" s="226" t="str">
        <f t="shared" si="72"/>
        <v>3.10.20.30.000.000.00.000</v>
      </c>
      <c r="D568" s="635" t="s">
        <v>4343</v>
      </c>
      <c r="F568" s="633"/>
      <c r="G568" s="633"/>
      <c r="H568" s="633"/>
      <c r="I568" s="633"/>
      <c r="J568" s="579">
        <v>159423</v>
      </c>
      <c r="K568" s="579"/>
      <c r="L568" s="579"/>
      <c r="M568" s="579">
        <v>62308</v>
      </c>
      <c r="N568" s="579"/>
      <c r="O568" s="631">
        <f t="shared" si="74"/>
        <v>97115</v>
      </c>
      <c r="P568" s="579"/>
      <c r="Q568" s="579">
        <v>391259</v>
      </c>
    </row>
    <row r="569" spans="1:17" s="624" customFormat="1" x14ac:dyDescent="0.25">
      <c r="A569" s="551" t="str">
        <f>+Info!$B$2</f>
        <v>724</v>
      </c>
      <c r="B569" s="226" t="s">
        <v>1947</v>
      </c>
      <c r="C569" s="226" t="str">
        <f t="shared" si="72"/>
        <v>3.10.20.30.000.000.00.000</v>
      </c>
      <c r="D569" s="635" t="s">
        <v>4344</v>
      </c>
      <c r="F569" s="633"/>
      <c r="G569" s="633"/>
      <c r="H569" s="633"/>
      <c r="I569" s="633"/>
      <c r="J569" s="579">
        <v>9479</v>
      </c>
      <c r="K569" s="579"/>
      <c r="L569" s="579"/>
      <c r="M569" s="579">
        <v>8352</v>
      </c>
      <c r="N569" s="579"/>
      <c r="O569" s="631">
        <f t="shared" si="74"/>
        <v>1127</v>
      </c>
      <c r="P569" s="579"/>
      <c r="Q569" s="579">
        <v>165633</v>
      </c>
    </row>
    <row r="570" spans="1:17" s="624" customFormat="1" x14ac:dyDescent="0.25">
      <c r="A570" s="551" t="str">
        <f>+Info!$B$2</f>
        <v>724</v>
      </c>
      <c r="B570" s="226" t="s">
        <v>1947</v>
      </c>
      <c r="C570" s="226" t="str">
        <f t="shared" si="72"/>
        <v>3.10.20.30.000.000.00.000</v>
      </c>
      <c r="D570" s="635" t="s">
        <v>4345</v>
      </c>
      <c r="F570" s="633"/>
      <c r="G570" s="633"/>
      <c r="H570" s="633"/>
      <c r="I570" s="633"/>
      <c r="J570" s="579">
        <v>649899</v>
      </c>
      <c r="K570" s="579"/>
      <c r="L570" s="579"/>
      <c r="M570" s="579">
        <v>205999</v>
      </c>
      <c r="N570" s="579"/>
      <c r="O570" s="631">
        <f t="shared" si="74"/>
        <v>443900</v>
      </c>
      <c r="P570" s="579">
        <v>217060</v>
      </c>
      <c r="Q570" s="579">
        <v>1030021</v>
      </c>
    </row>
    <row r="571" spans="1:17" s="624" customFormat="1" x14ac:dyDescent="0.25">
      <c r="A571" s="551" t="str">
        <f>+Info!$B$2</f>
        <v>724</v>
      </c>
      <c r="B571" s="226" t="s">
        <v>1947</v>
      </c>
      <c r="C571" s="226" t="str">
        <f t="shared" si="72"/>
        <v>3.10.20.30.000.000.00.000</v>
      </c>
      <c r="D571" s="635" t="s">
        <v>4346</v>
      </c>
      <c r="F571" s="633"/>
      <c r="G571" s="633"/>
      <c r="H571" s="633"/>
      <c r="I571" s="633"/>
      <c r="J571" s="579">
        <v>948308</v>
      </c>
      <c r="K571" s="579"/>
      <c r="L571" s="579"/>
      <c r="M571" s="579">
        <v>13075</v>
      </c>
      <c r="N571" s="579"/>
      <c r="O571" s="631">
        <f t="shared" si="74"/>
        <v>935233</v>
      </c>
      <c r="P571" s="579"/>
      <c r="Q571" s="579">
        <v>272019</v>
      </c>
    </row>
    <row r="572" spans="1:17" s="624" customFormat="1" x14ac:dyDescent="0.25">
      <c r="A572" s="551" t="str">
        <f>+Info!$B$2</f>
        <v>724</v>
      </c>
      <c r="B572" s="226" t="s">
        <v>1947</v>
      </c>
      <c r="C572" s="226" t="str">
        <f t="shared" si="72"/>
        <v>3.10.20.30.000.000.00.000</v>
      </c>
      <c r="D572" s="635" t="s">
        <v>4347</v>
      </c>
      <c r="F572" s="633"/>
      <c r="G572" s="633"/>
      <c r="H572" s="633"/>
      <c r="I572" s="633"/>
      <c r="J572" s="579">
        <v>65000</v>
      </c>
      <c r="K572" s="579"/>
      <c r="L572" s="579"/>
      <c r="M572" s="579">
        <v>1180</v>
      </c>
      <c r="N572" s="579"/>
      <c r="O572" s="631">
        <f t="shared" si="74"/>
        <v>63820</v>
      </c>
      <c r="P572" s="579"/>
      <c r="Q572" s="579">
        <v>58560</v>
      </c>
    </row>
    <row r="573" spans="1:17" s="624" customFormat="1" x14ac:dyDescent="0.25">
      <c r="A573" s="551" t="str">
        <f>+Info!$B$2</f>
        <v>724</v>
      </c>
      <c r="B573" s="226" t="s">
        <v>1947</v>
      </c>
      <c r="C573" s="226" t="str">
        <f t="shared" si="72"/>
        <v>3.10.20.30.000.000.00.000</v>
      </c>
      <c r="D573" s="635" t="s">
        <v>4348</v>
      </c>
      <c r="F573" s="633"/>
      <c r="G573" s="633"/>
      <c r="H573" s="633"/>
      <c r="I573" s="633"/>
      <c r="J573" s="579">
        <v>2399000</v>
      </c>
      <c r="K573" s="579"/>
      <c r="L573" s="579"/>
      <c r="M573" s="579">
        <v>0</v>
      </c>
      <c r="N573" s="579"/>
      <c r="O573" s="631">
        <f t="shared" si="74"/>
        <v>2399000</v>
      </c>
      <c r="P573" s="579"/>
      <c r="Q573" s="579">
        <v>0</v>
      </c>
    </row>
    <row r="574" spans="1:17" s="624" customFormat="1" x14ac:dyDescent="0.25">
      <c r="A574" s="551" t="str">
        <f>+Info!$B$2</f>
        <v>724</v>
      </c>
      <c r="B574" s="226" t="s">
        <v>1947</v>
      </c>
      <c r="C574" s="226" t="str">
        <f t="shared" si="72"/>
        <v>3.10.20.30.000.000.00.000</v>
      </c>
      <c r="D574" s="635" t="s">
        <v>4349</v>
      </c>
      <c r="F574" s="633"/>
      <c r="G574" s="633"/>
      <c r="H574" s="633"/>
      <c r="I574" s="633"/>
      <c r="J574" s="579">
        <v>3000000</v>
      </c>
      <c r="K574" s="579"/>
      <c r="L574" s="579"/>
      <c r="M574" s="579">
        <v>0</v>
      </c>
      <c r="N574" s="579"/>
      <c r="O574" s="631">
        <f t="shared" si="74"/>
        <v>3000000</v>
      </c>
      <c r="P574" s="579"/>
      <c r="Q574" s="579">
        <v>0</v>
      </c>
    </row>
    <row r="575" spans="1:17" s="624" customFormat="1" x14ac:dyDescent="0.25">
      <c r="A575" s="551" t="str">
        <f>+Info!$B$2</f>
        <v>724</v>
      </c>
      <c r="B575" s="226" t="s">
        <v>1947</v>
      </c>
      <c r="C575" s="226" t="str">
        <f t="shared" si="72"/>
        <v>3.10.20.30.000.000.00.000</v>
      </c>
      <c r="D575" s="635" t="s">
        <v>4350</v>
      </c>
      <c r="F575" s="633"/>
      <c r="G575" s="633"/>
      <c r="H575" s="633"/>
      <c r="I575" s="633"/>
      <c r="J575" s="579">
        <v>781679</v>
      </c>
      <c r="K575" s="579"/>
      <c r="L575" s="579"/>
      <c r="M575" s="579">
        <v>129</v>
      </c>
      <c r="N575" s="579"/>
      <c r="O575" s="631">
        <f t="shared" si="74"/>
        <v>781550</v>
      </c>
      <c r="P575" s="579"/>
      <c r="Q575" s="579">
        <v>1928</v>
      </c>
    </row>
    <row r="576" spans="1:17" s="624" customFormat="1" x14ac:dyDescent="0.25">
      <c r="A576" s="551" t="str">
        <f>+Info!$B$2</f>
        <v>724</v>
      </c>
      <c r="B576" s="226" t="s">
        <v>1947</v>
      </c>
      <c r="C576" s="226" t="str">
        <f t="shared" si="72"/>
        <v>3.10.20.30.000.000.00.000</v>
      </c>
      <c r="D576" s="635" t="s">
        <v>4291</v>
      </c>
      <c r="F576" s="633"/>
      <c r="G576" s="633"/>
      <c r="H576" s="633"/>
      <c r="I576" s="633"/>
      <c r="J576" s="579"/>
      <c r="K576" s="579"/>
      <c r="L576" s="579">
        <v>2500000</v>
      </c>
      <c r="M576" s="579">
        <v>6309</v>
      </c>
      <c r="N576" s="579"/>
      <c r="O576" s="631">
        <f t="shared" si="74"/>
        <v>2493691</v>
      </c>
      <c r="P576" s="579">
        <v>2500000</v>
      </c>
      <c r="Q576" s="579">
        <v>116837</v>
      </c>
    </row>
    <row r="577" spans="1:17" s="624" customFormat="1" x14ac:dyDescent="0.25">
      <c r="A577" s="551" t="str">
        <f>+Info!$B$2</f>
        <v>724</v>
      </c>
      <c r="B577" s="226" t="s">
        <v>1947</v>
      </c>
      <c r="C577" s="226" t="str">
        <f t="shared" si="72"/>
        <v>3.10.20.30.000.000.00.000</v>
      </c>
      <c r="D577" s="635" t="s">
        <v>4292</v>
      </c>
      <c r="F577" s="633"/>
      <c r="G577" s="633"/>
      <c r="H577" s="633"/>
      <c r="I577" s="633"/>
      <c r="J577" s="579"/>
      <c r="K577" s="579"/>
      <c r="L577" s="579">
        <v>2500000</v>
      </c>
      <c r="M577" s="579">
        <v>0</v>
      </c>
      <c r="N577" s="579"/>
      <c r="O577" s="631">
        <f t="shared" si="74"/>
        <v>2500000</v>
      </c>
      <c r="P577" s="579">
        <v>0</v>
      </c>
      <c r="Q577" s="579">
        <v>0</v>
      </c>
    </row>
    <row r="578" spans="1:17" s="624" customFormat="1" x14ac:dyDescent="0.25">
      <c r="A578" s="551" t="str">
        <f>+Info!$B$2</f>
        <v>724</v>
      </c>
      <c r="B578" s="226" t="s">
        <v>1947</v>
      </c>
      <c r="C578" s="226" t="str">
        <f t="shared" si="72"/>
        <v>3.10.20.30.000.000.00.000</v>
      </c>
      <c r="D578" s="633" t="s">
        <v>8300</v>
      </c>
      <c r="F578" s="901" t="s">
        <v>8299</v>
      </c>
      <c r="G578" s="633"/>
      <c r="H578" s="633"/>
      <c r="I578" s="633"/>
      <c r="J578" s="579"/>
      <c r="K578" s="579"/>
      <c r="L578" s="579">
        <v>519109</v>
      </c>
      <c r="M578" s="579"/>
      <c r="N578" s="579"/>
      <c r="O578" s="631">
        <f t="shared" si="74"/>
        <v>519109</v>
      </c>
      <c r="P578" s="579"/>
      <c r="Q578" s="579"/>
    </row>
    <row r="579" spans="1:17" s="624" customFormat="1" x14ac:dyDescent="0.25">
      <c r="A579" s="551" t="str">
        <f>+Info!$B$2</f>
        <v>724</v>
      </c>
      <c r="B579" s="226" t="s">
        <v>1947</v>
      </c>
      <c r="C579" s="226" t="str">
        <f t="shared" si="72"/>
        <v>3.10.20.30.000.000.00.000</v>
      </c>
      <c r="D579" s="633"/>
      <c r="F579" s="633"/>
      <c r="G579" s="633"/>
      <c r="H579" s="633"/>
      <c r="I579" s="633"/>
      <c r="J579" s="579"/>
      <c r="K579" s="579"/>
      <c r="L579" s="579"/>
      <c r="M579" s="579"/>
      <c r="N579" s="579"/>
      <c r="O579" s="631">
        <f t="shared" si="74"/>
        <v>0</v>
      </c>
      <c r="P579" s="579"/>
      <c r="Q579" s="579"/>
    </row>
    <row r="580" spans="1:17" s="624" customFormat="1" x14ac:dyDescent="0.25">
      <c r="A580" s="551" t="str">
        <f>+Info!$B$2</f>
        <v>724</v>
      </c>
      <c r="B580" s="226" t="s">
        <v>1947</v>
      </c>
      <c r="C580" s="226" t="str">
        <f t="shared" si="72"/>
        <v>3.10.20.30.000.000.00.000</v>
      </c>
      <c r="D580" s="633"/>
      <c r="F580" s="633"/>
      <c r="G580" s="633"/>
      <c r="H580" s="633"/>
      <c r="I580" s="633"/>
      <c r="J580" s="579"/>
      <c r="K580" s="579"/>
      <c r="L580" s="579"/>
      <c r="M580" s="579"/>
      <c r="N580" s="579"/>
      <c r="O580" s="631">
        <f t="shared" si="74"/>
        <v>0</v>
      </c>
      <c r="P580" s="579"/>
      <c r="Q580" s="579"/>
    </row>
    <row r="581" spans="1:17" s="624" customFormat="1" x14ac:dyDescent="0.25">
      <c r="A581" s="551" t="str">
        <f>+Info!$B$2</f>
        <v>724</v>
      </c>
      <c r="B581" s="226" t="s">
        <v>1947</v>
      </c>
      <c r="C581" s="226" t="str">
        <f t="shared" si="72"/>
        <v>3.10.20.30.000.000.00.000</v>
      </c>
      <c r="D581" s="633"/>
      <c r="F581" s="633"/>
      <c r="G581" s="633"/>
      <c r="H581" s="633"/>
      <c r="I581" s="633"/>
      <c r="J581" s="579"/>
      <c r="K581" s="579"/>
      <c r="L581" s="579"/>
      <c r="M581" s="579"/>
      <c r="N581" s="579"/>
      <c r="O581" s="631">
        <f t="shared" si="74"/>
        <v>0</v>
      </c>
      <c r="P581" s="579"/>
      <c r="Q581" s="579"/>
    </row>
    <row r="582" spans="1:17" s="624" customFormat="1" x14ac:dyDescent="0.25">
      <c r="A582" s="551" t="str">
        <f>+Info!$B$2</f>
        <v>724</v>
      </c>
      <c r="B582" s="226" t="s">
        <v>1947</v>
      </c>
      <c r="C582" s="226" t="str">
        <f t="shared" si="72"/>
        <v>3.10.20.30.000.000.00.000</v>
      </c>
      <c r="D582" s="633"/>
      <c r="F582" s="633"/>
      <c r="G582" s="633"/>
      <c r="H582" s="633"/>
      <c r="I582" s="633"/>
      <c r="J582" s="579"/>
      <c r="K582" s="579"/>
      <c r="L582" s="579"/>
      <c r="M582" s="579"/>
      <c r="N582" s="579"/>
      <c r="O582" s="631">
        <f t="shared" si="74"/>
        <v>0</v>
      </c>
      <c r="P582" s="579"/>
      <c r="Q582" s="579"/>
    </row>
    <row r="583" spans="1:17" s="624" customFormat="1" x14ac:dyDescent="0.25">
      <c r="A583" s="551" t="str">
        <f>+Info!$B$2</f>
        <v>724</v>
      </c>
      <c r="B583" s="226" t="s">
        <v>1947</v>
      </c>
      <c r="C583" s="226" t="str">
        <f t="shared" si="72"/>
        <v>3.10.20.30.000.000.00.000</v>
      </c>
      <c r="D583" s="633"/>
      <c r="F583" s="633"/>
      <c r="G583" s="633"/>
      <c r="H583" s="633"/>
      <c r="I583" s="633"/>
      <c r="J583" s="579"/>
      <c r="K583" s="579"/>
      <c r="L583" s="579"/>
      <c r="M583" s="579"/>
      <c r="N583" s="579"/>
      <c r="O583" s="631">
        <f t="shared" si="74"/>
        <v>0</v>
      </c>
      <c r="P583" s="579"/>
      <c r="Q583" s="579"/>
    </row>
    <row r="584" spans="1:17" s="624" customFormat="1" x14ac:dyDescent="0.25">
      <c r="A584" s="551" t="str">
        <f>+Info!$B$2</f>
        <v>724</v>
      </c>
      <c r="B584" s="226" t="s">
        <v>1947</v>
      </c>
      <c r="C584" s="226" t="str">
        <f t="shared" si="72"/>
        <v>3.10.20.30.000.000.00.000</v>
      </c>
      <c r="D584" s="633"/>
      <c r="F584" s="633"/>
      <c r="G584" s="633"/>
      <c r="H584" s="633"/>
      <c r="I584" s="633"/>
      <c r="J584" s="579"/>
      <c r="K584" s="579"/>
      <c r="L584" s="579"/>
      <c r="M584" s="579"/>
      <c r="N584" s="579"/>
      <c r="O584" s="631">
        <f t="shared" si="74"/>
        <v>0</v>
      </c>
      <c r="P584" s="579"/>
      <c r="Q584" s="579"/>
    </row>
    <row r="585" spans="1:17" s="624" customFormat="1" x14ac:dyDescent="0.25">
      <c r="A585" s="551" t="str">
        <f>+Info!$B$2</f>
        <v>724</v>
      </c>
      <c r="B585" s="226" t="s">
        <v>1947</v>
      </c>
      <c r="C585" s="226" t="str">
        <f t="shared" si="72"/>
        <v>3.10.20.30.000.000.00.000</v>
      </c>
      <c r="D585" s="633"/>
      <c r="F585" s="633"/>
      <c r="G585" s="633"/>
      <c r="H585" s="633"/>
      <c r="I585" s="633"/>
      <c r="J585" s="579"/>
      <c r="K585" s="579"/>
      <c r="L585" s="579"/>
      <c r="M585" s="579"/>
      <c r="N585" s="579"/>
      <c r="O585" s="631">
        <f t="shared" si="74"/>
        <v>0</v>
      </c>
      <c r="P585" s="579"/>
      <c r="Q585" s="579"/>
    </row>
    <row r="586" spans="1:17" s="624" customFormat="1" x14ac:dyDescent="0.25">
      <c r="A586" s="551" t="str">
        <f>+Info!$B$2</f>
        <v>724</v>
      </c>
      <c r="B586" s="226" t="s">
        <v>1947</v>
      </c>
      <c r="C586" s="226" t="str">
        <f t="shared" si="72"/>
        <v>3.10.20.30.000.000.00.000</v>
      </c>
      <c r="D586" s="633"/>
      <c r="F586" s="633"/>
      <c r="G586" s="633"/>
      <c r="H586" s="633"/>
      <c r="I586" s="633"/>
      <c r="J586" s="579"/>
      <c r="K586" s="579"/>
      <c r="L586" s="579"/>
      <c r="M586" s="579"/>
      <c r="N586" s="579"/>
      <c r="O586" s="631">
        <f t="shared" si="74"/>
        <v>0</v>
      </c>
      <c r="P586" s="579"/>
      <c r="Q586" s="579"/>
    </row>
    <row r="587" spans="1:17" s="624" customFormat="1" x14ac:dyDescent="0.25">
      <c r="A587" s="551" t="str">
        <f>+Info!$B$2</f>
        <v>724</v>
      </c>
      <c r="B587" s="226" t="s">
        <v>1947</v>
      </c>
      <c r="C587" s="226" t="str">
        <f t="shared" si="72"/>
        <v>3.10.20.30.000.000.00.000</v>
      </c>
      <c r="D587" s="633"/>
      <c r="F587" s="633"/>
      <c r="G587" s="633"/>
      <c r="H587" s="633"/>
      <c r="I587" s="633"/>
      <c r="J587" s="579"/>
      <c r="K587" s="579"/>
      <c r="L587" s="579"/>
      <c r="M587" s="579"/>
      <c r="N587" s="579"/>
      <c r="O587" s="631">
        <f t="shared" si="74"/>
        <v>0</v>
      </c>
      <c r="P587" s="579"/>
      <c r="Q587" s="579"/>
    </row>
    <row r="588" spans="1:17" s="624" customFormat="1" x14ac:dyDescent="0.25">
      <c r="A588" s="551" t="str">
        <f>+Info!$B$2</f>
        <v>724</v>
      </c>
      <c r="B588" s="226" t="s">
        <v>1947</v>
      </c>
      <c r="C588" s="226" t="str">
        <f t="shared" si="72"/>
        <v>3.10.20.30.000.000.00.000</v>
      </c>
      <c r="D588" s="633"/>
      <c r="F588" s="633"/>
      <c r="G588" s="633"/>
      <c r="H588" s="633"/>
      <c r="I588" s="633"/>
      <c r="J588" s="579"/>
      <c r="K588" s="579"/>
      <c r="L588" s="579"/>
      <c r="M588" s="579"/>
      <c r="N588" s="579"/>
      <c r="O588" s="631">
        <f t="shared" si="74"/>
        <v>0</v>
      </c>
      <c r="P588" s="579"/>
      <c r="Q588" s="579"/>
    </row>
    <row r="589" spans="1:17" s="624" customFormat="1" x14ac:dyDescent="0.25">
      <c r="A589" s="551" t="str">
        <f>+Info!$B$2</f>
        <v>724</v>
      </c>
      <c r="B589" s="226" t="s">
        <v>1947</v>
      </c>
      <c r="C589" s="226" t="str">
        <f t="shared" si="72"/>
        <v>3.10.20.30.000.000.00.000</v>
      </c>
      <c r="D589" s="633"/>
      <c r="F589" s="633"/>
      <c r="G589" s="633"/>
      <c r="H589" s="633"/>
      <c r="I589" s="633"/>
      <c r="J589" s="579"/>
      <c r="K589" s="579"/>
      <c r="L589" s="579"/>
      <c r="M589" s="579"/>
      <c r="N589" s="579"/>
      <c r="O589" s="631">
        <f t="shared" si="74"/>
        <v>0</v>
      </c>
      <c r="P589" s="579"/>
      <c r="Q589" s="579"/>
    </row>
    <row r="590" spans="1:17" s="624" customFormat="1" x14ac:dyDescent="0.25">
      <c r="A590" s="551" t="str">
        <f>+Info!$B$2</f>
        <v>724</v>
      </c>
      <c r="B590" s="226" t="s">
        <v>1947</v>
      </c>
      <c r="C590" s="226" t="str">
        <f t="shared" si="72"/>
        <v>3.10.20.30.000.000.00.000</v>
      </c>
      <c r="D590" s="633"/>
      <c r="F590" s="633"/>
      <c r="G590" s="633"/>
      <c r="H590" s="633"/>
      <c r="I590" s="633"/>
      <c r="J590" s="579"/>
      <c r="K590" s="579"/>
      <c r="L590" s="579"/>
      <c r="M590" s="579"/>
      <c r="N590" s="579"/>
      <c r="O590" s="631">
        <f t="shared" si="74"/>
        <v>0</v>
      </c>
      <c r="P590" s="579"/>
      <c r="Q590" s="579"/>
    </row>
    <row r="591" spans="1:17" s="624" customFormat="1" x14ac:dyDescent="0.25">
      <c r="A591" s="551" t="str">
        <f>+Info!$B$2</f>
        <v>724</v>
      </c>
      <c r="B591" s="226" t="s">
        <v>1947</v>
      </c>
      <c r="C591" s="226" t="str">
        <f t="shared" si="72"/>
        <v>3.10.20.30.000.000.00.000</v>
      </c>
      <c r="D591" s="633"/>
      <c r="F591" s="633"/>
      <c r="G591" s="633"/>
      <c r="H591" s="633"/>
      <c r="I591" s="633"/>
      <c r="J591" s="579"/>
      <c r="K591" s="579"/>
      <c r="L591" s="579"/>
      <c r="M591" s="579"/>
      <c r="N591" s="579"/>
      <c r="O591" s="631">
        <f t="shared" si="74"/>
        <v>0</v>
      </c>
      <c r="P591" s="579"/>
      <c r="Q591" s="579"/>
    </row>
    <row r="592" spans="1:17" s="624" customFormat="1" x14ac:dyDescent="0.25">
      <c r="A592" s="551" t="str">
        <f>+Info!$B$2</f>
        <v>724</v>
      </c>
      <c r="B592" s="226" t="s">
        <v>1947</v>
      </c>
      <c r="C592" s="226" t="str">
        <f t="shared" si="72"/>
        <v>3.10.20.30.000.000.00.000</v>
      </c>
      <c r="D592" s="633"/>
      <c r="F592" s="633"/>
      <c r="G592" s="633"/>
      <c r="H592" s="633"/>
      <c r="I592" s="633"/>
      <c r="J592" s="579"/>
      <c r="K592" s="579"/>
      <c r="L592" s="579"/>
      <c r="M592" s="579"/>
      <c r="N592" s="579"/>
      <c r="O592" s="631">
        <f t="shared" si="74"/>
        <v>0</v>
      </c>
      <c r="P592" s="579"/>
      <c r="Q592" s="579"/>
    </row>
    <row r="593" spans="1:32" s="624" customFormat="1" x14ac:dyDescent="0.25">
      <c r="A593" s="551" t="str">
        <f>+Info!$B$2</f>
        <v>724</v>
      </c>
      <c r="B593" s="226" t="s">
        <v>1947</v>
      </c>
      <c r="C593" s="226" t="str">
        <f t="shared" si="72"/>
        <v>3.10.20.30.000.000.00.000</v>
      </c>
      <c r="D593" s="633"/>
      <c r="F593" s="633"/>
      <c r="G593" s="633"/>
      <c r="H593" s="633"/>
      <c r="I593" s="633"/>
      <c r="J593" s="579"/>
      <c r="K593" s="579"/>
      <c r="L593" s="579"/>
      <c r="M593" s="579"/>
      <c r="N593" s="579"/>
      <c r="O593" s="631">
        <f t="shared" si="74"/>
        <v>0</v>
      </c>
      <c r="P593" s="579"/>
      <c r="Q593" s="579"/>
    </row>
    <row r="594" spans="1:32" s="624" customFormat="1" x14ac:dyDescent="0.25">
      <c r="A594" s="551" t="str">
        <f>+Info!$B$2</f>
        <v>724</v>
      </c>
      <c r="B594" s="226" t="s">
        <v>1947</v>
      </c>
      <c r="C594" s="226" t="str">
        <f t="shared" si="72"/>
        <v>3.10.20.30.000.000.00.000</v>
      </c>
      <c r="D594" s="633"/>
      <c r="F594" s="633"/>
      <c r="G594" s="633"/>
      <c r="H594" s="633"/>
      <c r="I594" s="633"/>
      <c r="J594" s="579"/>
      <c r="K594" s="579"/>
      <c r="L594" s="579"/>
      <c r="M594" s="579"/>
      <c r="N594" s="579"/>
      <c r="O594" s="631">
        <f t="shared" si="74"/>
        <v>0</v>
      </c>
      <c r="P594" s="579"/>
      <c r="Q594" s="579"/>
    </row>
    <row r="595" spans="1:32" s="624" customFormat="1" x14ac:dyDescent="0.25">
      <c r="A595" s="551" t="str">
        <f>+Info!$B$2</f>
        <v>724</v>
      </c>
      <c r="B595" s="226" t="s">
        <v>1947</v>
      </c>
      <c r="C595" s="226" t="str">
        <f t="shared" si="72"/>
        <v>3.10.20.30.000.000.00.000</v>
      </c>
      <c r="D595" s="633"/>
      <c r="F595" s="633"/>
      <c r="G595" s="633"/>
      <c r="H595" s="633"/>
      <c r="I595" s="633"/>
      <c r="J595" s="579"/>
      <c r="K595" s="579"/>
      <c r="L595" s="579"/>
      <c r="M595" s="579"/>
      <c r="N595" s="579"/>
      <c r="O595" s="631">
        <f t="shared" si="74"/>
        <v>0</v>
      </c>
      <c r="P595" s="579"/>
      <c r="Q595" s="579"/>
    </row>
    <row r="596" spans="1:32" s="624" customFormat="1" x14ac:dyDescent="0.25">
      <c r="A596" s="551" t="str">
        <f>+Info!$B$2</f>
        <v>724</v>
      </c>
      <c r="B596" s="226" t="s">
        <v>1947</v>
      </c>
      <c r="C596" s="226" t="str">
        <f t="shared" si="72"/>
        <v>3.10.20.30.000.000.00.000</v>
      </c>
      <c r="D596" s="633"/>
      <c r="F596" s="633"/>
      <c r="G596" s="633"/>
      <c r="H596" s="633"/>
      <c r="I596" s="633"/>
      <c r="J596" s="579"/>
      <c r="K596" s="579"/>
      <c r="L596" s="579"/>
      <c r="M596" s="579"/>
      <c r="N596" s="579"/>
      <c r="O596" s="631">
        <f t="shared" si="74"/>
        <v>0</v>
      </c>
      <c r="P596" s="579"/>
      <c r="Q596" s="579"/>
    </row>
    <row r="597" spans="1:32" s="624" customFormat="1" x14ac:dyDescent="0.25">
      <c r="A597" s="551" t="str">
        <f>+Info!$B$2</f>
        <v>724</v>
      </c>
      <c r="B597" s="226" t="s">
        <v>1947</v>
      </c>
      <c r="C597" s="226" t="str">
        <f t="shared" si="72"/>
        <v>3.10.20.30.000.000.00.000</v>
      </c>
      <c r="D597" s="633"/>
      <c r="F597" s="633"/>
      <c r="G597" s="633"/>
      <c r="H597" s="633"/>
      <c r="I597" s="633"/>
      <c r="J597" s="579"/>
      <c r="K597" s="579"/>
      <c r="L597" s="579"/>
      <c r="M597" s="579"/>
      <c r="N597" s="579"/>
      <c r="O597" s="631">
        <f t="shared" si="74"/>
        <v>0</v>
      </c>
      <c r="P597" s="579"/>
      <c r="Q597" s="579"/>
    </row>
    <row r="598" spans="1:32" s="624" customFormat="1" x14ac:dyDescent="0.25">
      <c r="A598" s="551" t="str">
        <f>+Info!$B$2</f>
        <v>724</v>
      </c>
      <c r="B598" s="226" t="s">
        <v>1947</v>
      </c>
      <c r="C598" s="226" t="str">
        <f t="shared" si="72"/>
        <v>3.10.20.30.000.000.00.000</v>
      </c>
      <c r="D598" s="633"/>
      <c r="F598" s="633"/>
      <c r="G598" s="633"/>
      <c r="H598" s="633"/>
      <c r="I598" s="633"/>
      <c r="J598" s="579"/>
      <c r="K598" s="579"/>
      <c r="L598" s="579"/>
      <c r="M598" s="579"/>
      <c r="N598" s="579"/>
      <c r="O598" s="631">
        <f t="shared" si="74"/>
        <v>0</v>
      </c>
      <c r="P598" s="579"/>
      <c r="Q598" s="579"/>
    </row>
    <row r="599" spans="1:32" s="624" customFormat="1" x14ac:dyDescent="0.25">
      <c r="A599" s="551" t="str">
        <f>+Info!$B$2</f>
        <v>724</v>
      </c>
      <c r="B599" s="226" t="s">
        <v>1947</v>
      </c>
      <c r="C599" s="226" t="str">
        <f t="shared" si="72"/>
        <v>3.10.20.30.000.000.00.000</v>
      </c>
      <c r="D599" s="633"/>
      <c r="F599" s="633"/>
      <c r="G599" s="633"/>
      <c r="H599" s="633"/>
      <c r="I599" s="633"/>
      <c r="J599" s="579"/>
      <c r="K599" s="579"/>
      <c r="L599" s="579"/>
      <c r="M599" s="579"/>
      <c r="N599" s="579"/>
      <c r="O599" s="631">
        <f t="shared" si="74"/>
        <v>0</v>
      </c>
      <c r="P599" s="579"/>
      <c r="Q599" s="579"/>
    </row>
    <row r="600" spans="1:32" s="624" customFormat="1" x14ac:dyDescent="0.25">
      <c r="A600" s="551" t="str">
        <f>+Info!$B$2</f>
        <v>724</v>
      </c>
      <c r="B600" s="226" t="s">
        <v>1947</v>
      </c>
      <c r="C600" s="226" t="str">
        <f t="shared" si="72"/>
        <v>3.10.20.30.000.000.00.000</v>
      </c>
      <c r="D600" s="633"/>
      <c r="F600" s="633"/>
      <c r="G600" s="633"/>
      <c r="H600" s="633"/>
      <c r="I600" s="633"/>
      <c r="J600" s="579"/>
      <c r="K600" s="579"/>
      <c r="L600" s="579"/>
      <c r="M600" s="579"/>
      <c r="N600" s="579"/>
      <c r="O600" s="631">
        <f t="shared" si="74"/>
        <v>0</v>
      </c>
      <c r="P600" s="579"/>
      <c r="Q600" s="579"/>
    </row>
    <row r="601" spans="1:32" s="624" customFormat="1" x14ac:dyDescent="0.25">
      <c r="A601" s="551" t="str">
        <f>+Info!$B$2</f>
        <v>724</v>
      </c>
      <c r="B601" s="226" t="s">
        <v>1947</v>
      </c>
      <c r="C601" s="226" t="str">
        <f t="shared" si="72"/>
        <v>3.10.20.30.000.000.00.000</v>
      </c>
      <c r="D601" s="633"/>
      <c r="F601" s="633"/>
      <c r="G601" s="633"/>
      <c r="H601" s="633"/>
      <c r="I601" s="633"/>
      <c r="J601" s="579"/>
      <c r="K601" s="579"/>
      <c r="L601" s="579"/>
      <c r="M601" s="579"/>
      <c r="N601" s="579"/>
      <c r="O601" s="631">
        <f t="shared" si="74"/>
        <v>0</v>
      </c>
      <c r="P601" s="579"/>
      <c r="Q601" s="579"/>
    </row>
    <row r="602" spans="1:32" s="624" customFormat="1" x14ac:dyDescent="0.25">
      <c r="A602" s="551" t="str">
        <f>+Info!$B$2</f>
        <v>724</v>
      </c>
      <c r="B602" s="226" t="s">
        <v>1947</v>
      </c>
      <c r="C602" s="226" t="str">
        <f t="shared" si="72"/>
        <v>3.10.20.30.000.000.00.000</v>
      </c>
      <c r="D602" s="633"/>
      <c r="F602" s="633"/>
      <c r="G602" s="633"/>
      <c r="H602" s="633"/>
      <c r="I602" s="633"/>
      <c r="J602" s="579"/>
      <c r="K602" s="579"/>
      <c r="L602" s="579"/>
      <c r="M602" s="579"/>
      <c r="N602" s="579"/>
      <c r="O602" s="631">
        <f t="shared" si="74"/>
        <v>0</v>
      </c>
      <c r="P602" s="579"/>
      <c r="Q602" s="579"/>
    </row>
    <row r="603" spans="1:32" s="624" customFormat="1" ht="15" customHeight="1" x14ac:dyDescent="0.25">
      <c r="A603" s="551" t="str">
        <f>+Info!$B$2</f>
        <v>724</v>
      </c>
      <c r="B603" s="626" t="s">
        <v>1953</v>
      </c>
      <c r="C603" s="626" t="s">
        <v>1954</v>
      </c>
      <c r="D603" s="634" t="s">
        <v>4351</v>
      </c>
      <c r="E603" s="569">
        <f>SUMIF('NI-San_SP'!$C:$C,$C603,'NI-San_SP'!$Z:$Z)</f>
        <v>0</v>
      </c>
      <c r="F603" s="923" t="str">
        <f>IF(E603=Dettaglio_SP_San!O603,"Quadratura OK!","Squadratura con saldo finale di Bilancio!")</f>
        <v>Quadratura OK!</v>
      </c>
      <c r="G603" s="923"/>
      <c r="H603" s="923"/>
      <c r="I603" s="923"/>
      <c r="J603" s="628">
        <f t="shared" ref="J603:Q603" si="75">+J604+J605</f>
        <v>0</v>
      </c>
      <c r="K603" s="628">
        <f t="shared" si="75"/>
        <v>0</v>
      </c>
      <c r="L603" s="628">
        <f t="shared" si="75"/>
        <v>0</v>
      </c>
      <c r="M603" s="628">
        <f t="shared" si="75"/>
        <v>0</v>
      </c>
      <c r="N603" s="628">
        <f t="shared" si="75"/>
        <v>0</v>
      </c>
      <c r="O603" s="628">
        <f t="shared" si="75"/>
        <v>0</v>
      </c>
      <c r="P603" s="628">
        <f t="shared" si="75"/>
        <v>0</v>
      </c>
      <c r="Q603" s="628">
        <f t="shared" si="75"/>
        <v>0</v>
      </c>
      <c r="AC603" s="624" t="str">
        <f>C603</f>
        <v>3.10.20.40.000.000.00.000</v>
      </c>
      <c r="AD603" s="629">
        <f>O603</f>
        <v>0</v>
      </c>
      <c r="AE603" s="629">
        <f>E603</f>
        <v>0</v>
      </c>
      <c r="AF603" s="551">
        <f>IF($AD603=$AE603,0,1)</f>
        <v>0</v>
      </c>
    </row>
    <row r="604" spans="1:32" s="624" customFormat="1" ht="15" customHeight="1" x14ac:dyDescent="0.25">
      <c r="A604" s="551" t="str">
        <f>+Info!$B$2</f>
        <v>724</v>
      </c>
      <c r="B604" s="226" t="s">
        <v>1953</v>
      </c>
      <c r="C604" s="226" t="str">
        <f t="shared" ref="C604:C635" si="76">$C$603</f>
        <v>3.10.20.40.000.000.00.000</v>
      </c>
      <c r="D604" s="630" t="str">
        <f>"    ... assegnati in data antecedente al 1/1/"&amp;Info!$B$3-2</f>
        <v xml:space="preserve">    ... assegnati in data antecedente al 1/1/2018</v>
      </c>
      <c r="F604" s="923"/>
      <c r="G604" s="923"/>
      <c r="H604" s="923"/>
      <c r="I604" s="923"/>
      <c r="J604" s="579"/>
      <c r="K604" s="579"/>
      <c r="L604" s="579"/>
      <c r="M604" s="579"/>
      <c r="N604" s="579"/>
      <c r="O604" s="631">
        <f>+J604+K604+L604-M604+N604</f>
        <v>0</v>
      </c>
      <c r="P604" s="579"/>
      <c r="Q604" s="579"/>
    </row>
    <row r="605" spans="1:32" s="624" customFormat="1" ht="15" customHeight="1" x14ac:dyDescent="0.25">
      <c r="A605" s="551" t="str">
        <f>+Info!$B$2</f>
        <v>724</v>
      </c>
      <c r="B605" s="226" t="s">
        <v>1953</v>
      </c>
      <c r="C605" s="226" t="str">
        <f t="shared" si="76"/>
        <v>3.10.20.40.000.000.00.000</v>
      </c>
      <c r="D605" s="632" t="str">
        <f>"    ... assegnati a partire dal 1/1/"&amp;Info!$B$3-2&amp;"..dettagliare"</f>
        <v xml:space="preserve">    ... assegnati a partire dal 1/1/2018..dettagliare</v>
      </c>
      <c r="F605" s="923"/>
      <c r="G605" s="923"/>
      <c r="H605" s="923"/>
      <c r="I605" s="923"/>
      <c r="J605" s="628">
        <f t="shared" ref="J605:Q605" si="77">SUM(J606:J635)</f>
        <v>0</v>
      </c>
      <c r="K605" s="628">
        <f t="shared" si="77"/>
        <v>0</v>
      </c>
      <c r="L605" s="628">
        <f t="shared" si="77"/>
        <v>0</v>
      </c>
      <c r="M605" s="628">
        <f t="shared" si="77"/>
        <v>0</v>
      </c>
      <c r="N605" s="628">
        <f t="shared" si="77"/>
        <v>0</v>
      </c>
      <c r="O605" s="628">
        <f t="shared" si="77"/>
        <v>0</v>
      </c>
      <c r="P605" s="628">
        <f t="shared" si="77"/>
        <v>0</v>
      </c>
      <c r="Q605" s="628">
        <f t="shared" si="77"/>
        <v>0</v>
      </c>
    </row>
    <row r="606" spans="1:32" s="624" customFormat="1" x14ac:dyDescent="0.25">
      <c r="A606" s="551" t="str">
        <f>+Info!$B$2</f>
        <v>724</v>
      </c>
      <c r="B606" s="226" t="s">
        <v>1953</v>
      </c>
      <c r="C606" s="226" t="str">
        <f t="shared" si="76"/>
        <v>3.10.20.40.000.000.00.000</v>
      </c>
      <c r="D606" s="633"/>
      <c r="F606" s="633"/>
      <c r="G606" s="633"/>
      <c r="H606" s="633"/>
      <c r="I606" s="633"/>
      <c r="J606" s="579"/>
      <c r="K606" s="579"/>
      <c r="L606" s="579"/>
      <c r="M606" s="579"/>
      <c r="N606" s="579"/>
      <c r="O606" s="631">
        <f t="shared" ref="O606:O635" si="78">+J606+K606+L606-M606+N606</f>
        <v>0</v>
      </c>
      <c r="P606" s="579"/>
      <c r="Q606" s="579"/>
    </row>
    <row r="607" spans="1:32" s="624" customFormat="1" x14ac:dyDescent="0.25">
      <c r="A607" s="551" t="str">
        <f>+Info!$B$2</f>
        <v>724</v>
      </c>
      <c r="B607" s="226" t="s">
        <v>1953</v>
      </c>
      <c r="C607" s="226" t="str">
        <f t="shared" si="76"/>
        <v>3.10.20.40.000.000.00.000</v>
      </c>
      <c r="D607" s="633"/>
      <c r="F607" s="633"/>
      <c r="G607" s="633"/>
      <c r="H607" s="633"/>
      <c r="I607" s="633"/>
      <c r="J607" s="579"/>
      <c r="K607" s="579"/>
      <c r="L607" s="579"/>
      <c r="M607" s="579"/>
      <c r="N607" s="579"/>
      <c r="O607" s="631">
        <f t="shared" si="78"/>
        <v>0</v>
      </c>
      <c r="P607" s="579"/>
      <c r="Q607" s="579"/>
    </row>
    <row r="608" spans="1:32" s="624" customFormat="1" x14ac:dyDescent="0.25">
      <c r="A608" s="551" t="str">
        <f>+Info!$B$2</f>
        <v>724</v>
      </c>
      <c r="B608" s="226" t="s">
        <v>1953</v>
      </c>
      <c r="C608" s="226" t="str">
        <f t="shared" si="76"/>
        <v>3.10.20.40.000.000.00.000</v>
      </c>
      <c r="D608" s="633"/>
      <c r="F608" s="633"/>
      <c r="G608" s="633"/>
      <c r="H608" s="633"/>
      <c r="I608" s="633"/>
      <c r="J608" s="579"/>
      <c r="K608" s="579"/>
      <c r="L608" s="579"/>
      <c r="M608" s="579"/>
      <c r="N608" s="579"/>
      <c r="O608" s="631">
        <f t="shared" si="78"/>
        <v>0</v>
      </c>
      <c r="P608" s="579"/>
      <c r="Q608" s="579"/>
    </row>
    <row r="609" spans="1:17" s="624" customFormat="1" x14ac:dyDescent="0.25">
      <c r="A609" s="551" t="str">
        <f>+Info!$B$2</f>
        <v>724</v>
      </c>
      <c r="B609" s="226" t="s">
        <v>1953</v>
      </c>
      <c r="C609" s="226" t="str">
        <f t="shared" si="76"/>
        <v>3.10.20.40.000.000.00.000</v>
      </c>
      <c r="D609" s="633"/>
      <c r="F609" s="633"/>
      <c r="G609" s="633"/>
      <c r="H609" s="633"/>
      <c r="I609" s="633"/>
      <c r="J609" s="579"/>
      <c r="K609" s="579"/>
      <c r="L609" s="579"/>
      <c r="M609" s="579"/>
      <c r="N609" s="579"/>
      <c r="O609" s="631">
        <f t="shared" si="78"/>
        <v>0</v>
      </c>
      <c r="P609" s="579"/>
      <c r="Q609" s="579"/>
    </row>
    <row r="610" spans="1:17" s="624" customFormat="1" x14ac:dyDescent="0.25">
      <c r="A610" s="551" t="str">
        <f>+Info!$B$2</f>
        <v>724</v>
      </c>
      <c r="B610" s="226" t="s">
        <v>1953</v>
      </c>
      <c r="C610" s="226" t="str">
        <f t="shared" si="76"/>
        <v>3.10.20.40.000.000.00.000</v>
      </c>
      <c r="D610" s="633"/>
      <c r="F610" s="633"/>
      <c r="G610" s="633"/>
      <c r="H610" s="633"/>
      <c r="I610" s="633"/>
      <c r="J610" s="579"/>
      <c r="K610" s="579"/>
      <c r="L610" s="579"/>
      <c r="M610" s="579"/>
      <c r="N610" s="579"/>
      <c r="O610" s="631">
        <f t="shared" si="78"/>
        <v>0</v>
      </c>
      <c r="P610" s="579"/>
      <c r="Q610" s="579"/>
    </row>
    <row r="611" spans="1:17" s="624" customFormat="1" x14ac:dyDescent="0.25">
      <c r="A611" s="551" t="str">
        <f>+Info!$B$2</f>
        <v>724</v>
      </c>
      <c r="B611" s="226" t="s">
        <v>1953</v>
      </c>
      <c r="C611" s="226" t="str">
        <f t="shared" si="76"/>
        <v>3.10.20.40.000.000.00.000</v>
      </c>
      <c r="D611" s="633"/>
      <c r="F611" s="633"/>
      <c r="G611" s="633"/>
      <c r="H611" s="633"/>
      <c r="I611" s="633"/>
      <c r="J611" s="579"/>
      <c r="K611" s="579"/>
      <c r="L611" s="579"/>
      <c r="M611" s="579"/>
      <c r="N611" s="579"/>
      <c r="O611" s="631">
        <f t="shared" si="78"/>
        <v>0</v>
      </c>
      <c r="P611" s="579"/>
      <c r="Q611" s="579"/>
    </row>
    <row r="612" spans="1:17" s="624" customFormat="1" x14ac:dyDescent="0.25">
      <c r="A612" s="551" t="str">
        <f>+Info!$B$2</f>
        <v>724</v>
      </c>
      <c r="B612" s="226" t="s">
        <v>1953</v>
      </c>
      <c r="C612" s="226" t="str">
        <f t="shared" si="76"/>
        <v>3.10.20.40.000.000.00.000</v>
      </c>
      <c r="D612" s="633"/>
      <c r="F612" s="633"/>
      <c r="G612" s="633"/>
      <c r="H612" s="633"/>
      <c r="I612" s="633"/>
      <c r="J612" s="579"/>
      <c r="K612" s="579"/>
      <c r="L612" s="579"/>
      <c r="M612" s="579"/>
      <c r="N612" s="579"/>
      <c r="O612" s="631">
        <f t="shared" si="78"/>
        <v>0</v>
      </c>
      <c r="P612" s="579"/>
      <c r="Q612" s="579"/>
    </row>
    <row r="613" spans="1:17" s="624" customFormat="1" x14ac:dyDescent="0.25">
      <c r="A613" s="551" t="str">
        <f>+Info!$B$2</f>
        <v>724</v>
      </c>
      <c r="B613" s="226" t="s">
        <v>1953</v>
      </c>
      <c r="C613" s="226" t="str">
        <f t="shared" si="76"/>
        <v>3.10.20.40.000.000.00.000</v>
      </c>
      <c r="D613" s="633"/>
      <c r="F613" s="633"/>
      <c r="G613" s="633"/>
      <c r="H613" s="633"/>
      <c r="I613" s="633"/>
      <c r="J613" s="579"/>
      <c r="K613" s="579"/>
      <c r="L613" s="579"/>
      <c r="M613" s="579"/>
      <c r="N613" s="579"/>
      <c r="O613" s="631">
        <f t="shared" si="78"/>
        <v>0</v>
      </c>
      <c r="P613" s="579"/>
      <c r="Q613" s="579"/>
    </row>
    <row r="614" spans="1:17" s="624" customFormat="1" x14ac:dyDescent="0.25">
      <c r="A614" s="551" t="str">
        <f>+Info!$B$2</f>
        <v>724</v>
      </c>
      <c r="B614" s="226" t="s">
        <v>1953</v>
      </c>
      <c r="C614" s="226" t="str">
        <f t="shared" si="76"/>
        <v>3.10.20.40.000.000.00.000</v>
      </c>
      <c r="D614" s="633"/>
      <c r="F614" s="633"/>
      <c r="G614" s="633"/>
      <c r="H614" s="633"/>
      <c r="I614" s="633"/>
      <c r="J614" s="579"/>
      <c r="K614" s="579"/>
      <c r="L614" s="579"/>
      <c r="M614" s="579"/>
      <c r="N614" s="579"/>
      <c r="O614" s="631">
        <f t="shared" si="78"/>
        <v>0</v>
      </c>
      <c r="P614" s="579"/>
      <c r="Q614" s="579"/>
    </row>
    <row r="615" spans="1:17" s="624" customFormat="1" x14ac:dyDescent="0.25">
      <c r="A615" s="551" t="str">
        <f>+Info!$B$2</f>
        <v>724</v>
      </c>
      <c r="B615" s="226" t="s">
        <v>1953</v>
      </c>
      <c r="C615" s="226" t="str">
        <f t="shared" si="76"/>
        <v>3.10.20.40.000.000.00.000</v>
      </c>
      <c r="D615" s="633"/>
      <c r="F615" s="633"/>
      <c r="G615" s="633"/>
      <c r="H615" s="633"/>
      <c r="I615" s="633"/>
      <c r="J615" s="579"/>
      <c r="K615" s="579"/>
      <c r="L615" s="579"/>
      <c r="M615" s="579"/>
      <c r="N615" s="579"/>
      <c r="O615" s="631">
        <f t="shared" si="78"/>
        <v>0</v>
      </c>
      <c r="P615" s="579"/>
      <c r="Q615" s="579"/>
    </row>
    <row r="616" spans="1:17" s="624" customFormat="1" x14ac:dyDescent="0.25">
      <c r="A616" s="551" t="str">
        <f>+Info!$B$2</f>
        <v>724</v>
      </c>
      <c r="B616" s="226" t="s">
        <v>1953</v>
      </c>
      <c r="C616" s="226" t="str">
        <f t="shared" si="76"/>
        <v>3.10.20.40.000.000.00.000</v>
      </c>
      <c r="D616" s="633"/>
      <c r="F616" s="633"/>
      <c r="G616" s="633"/>
      <c r="H616" s="633"/>
      <c r="I616" s="633"/>
      <c r="J616" s="579"/>
      <c r="K616" s="579"/>
      <c r="L616" s="579"/>
      <c r="M616" s="579"/>
      <c r="N616" s="579"/>
      <c r="O616" s="631">
        <f t="shared" si="78"/>
        <v>0</v>
      </c>
      <c r="P616" s="579"/>
      <c r="Q616" s="579"/>
    </row>
    <row r="617" spans="1:17" s="624" customFormat="1" x14ac:dyDescent="0.25">
      <c r="A617" s="551" t="str">
        <f>+Info!$B$2</f>
        <v>724</v>
      </c>
      <c r="B617" s="226" t="s">
        <v>1953</v>
      </c>
      <c r="C617" s="226" t="str">
        <f t="shared" si="76"/>
        <v>3.10.20.40.000.000.00.000</v>
      </c>
      <c r="D617" s="633"/>
      <c r="F617" s="633"/>
      <c r="G617" s="633"/>
      <c r="H617" s="633"/>
      <c r="I617" s="633"/>
      <c r="J617" s="579"/>
      <c r="K617" s="579"/>
      <c r="L617" s="579"/>
      <c r="M617" s="579"/>
      <c r="N617" s="579"/>
      <c r="O617" s="631">
        <f t="shared" si="78"/>
        <v>0</v>
      </c>
      <c r="P617" s="579"/>
      <c r="Q617" s="579"/>
    </row>
    <row r="618" spans="1:17" s="624" customFormat="1" x14ac:dyDescent="0.25">
      <c r="A618" s="551" t="str">
        <f>+Info!$B$2</f>
        <v>724</v>
      </c>
      <c r="B618" s="226" t="s">
        <v>1953</v>
      </c>
      <c r="C618" s="226" t="str">
        <f t="shared" si="76"/>
        <v>3.10.20.40.000.000.00.000</v>
      </c>
      <c r="D618" s="633"/>
      <c r="F618" s="633"/>
      <c r="G618" s="633"/>
      <c r="H618" s="633"/>
      <c r="I618" s="633"/>
      <c r="J618" s="579"/>
      <c r="K618" s="579"/>
      <c r="L618" s="579"/>
      <c r="M618" s="579"/>
      <c r="N618" s="579"/>
      <c r="O618" s="631">
        <f t="shared" si="78"/>
        <v>0</v>
      </c>
      <c r="P618" s="579"/>
      <c r="Q618" s="579"/>
    </row>
    <row r="619" spans="1:17" s="624" customFormat="1" x14ac:dyDescent="0.25">
      <c r="A619" s="551" t="str">
        <f>+Info!$B$2</f>
        <v>724</v>
      </c>
      <c r="B619" s="226" t="s">
        <v>1953</v>
      </c>
      <c r="C619" s="226" t="str">
        <f t="shared" si="76"/>
        <v>3.10.20.40.000.000.00.000</v>
      </c>
      <c r="D619" s="633"/>
      <c r="F619" s="633"/>
      <c r="G619" s="633"/>
      <c r="H619" s="633"/>
      <c r="I619" s="633"/>
      <c r="J619" s="579"/>
      <c r="K619" s="579"/>
      <c r="L619" s="579"/>
      <c r="M619" s="579"/>
      <c r="N619" s="579"/>
      <c r="O619" s="631">
        <f t="shared" si="78"/>
        <v>0</v>
      </c>
      <c r="P619" s="579"/>
      <c r="Q619" s="579"/>
    </row>
    <row r="620" spans="1:17" s="624" customFormat="1" x14ac:dyDescent="0.25">
      <c r="A620" s="551" t="str">
        <f>+Info!$B$2</f>
        <v>724</v>
      </c>
      <c r="B620" s="226" t="s">
        <v>1953</v>
      </c>
      <c r="C620" s="226" t="str">
        <f t="shared" si="76"/>
        <v>3.10.20.40.000.000.00.000</v>
      </c>
      <c r="D620" s="633"/>
      <c r="F620" s="633"/>
      <c r="G620" s="633"/>
      <c r="H620" s="633"/>
      <c r="I620" s="633"/>
      <c r="J620" s="579"/>
      <c r="K620" s="579"/>
      <c r="L620" s="579"/>
      <c r="M620" s="579"/>
      <c r="N620" s="579"/>
      <c r="O620" s="631">
        <f t="shared" si="78"/>
        <v>0</v>
      </c>
      <c r="P620" s="579"/>
      <c r="Q620" s="579"/>
    </row>
    <row r="621" spans="1:17" s="624" customFormat="1" x14ac:dyDescent="0.25">
      <c r="A621" s="551" t="str">
        <f>+Info!$B$2</f>
        <v>724</v>
      </c>
      <c r="B621" s="226" t="s">
        <v>1953</v>
      </c>
      <c r="C621" s="226" t="str">
        <f t="shared" si="76"/>
        <v>3.10.20.40.000.000.00.000</v>
      </c>
      <c r="D621" s="633"/>
      <c r="F621" s="633"/>
      <c r="G621" s="633"/>
      <c r="H621" s="633"/>
      <c r="I621" s="633"/>
      <c r="J621" s="579"/>
      <c r="K621" s="579"/>
      <c r="L621" s="579"/>
      <c r="M621" s="579"/>
      <c r="N621" s="579"/>
      <c r="O621" s="631">
        <f t="shared" si="78"/>
        <v>0</v>
      </c>
      <c r="P621" s="579"/>
      <c r="Q621" s="579"/>
    </row>
    <row r="622" spans="1:17" s="624" customFormat="1" x14ac:dyDescent="0.25">
      <c r="A622" s="551" t="str">
        <f>+Info!$B$2</f>
        <v>724</v>
      </c>
      <c r="B622" s="226" t="s">
        <v>1953</v>
      </c>
      <c r="C622" s="226" t="str">
        <f t="shared" si="76"/>
        <v>3.10.20.40.000.000.00.000</v>
      </c>
      <c r="D622" s="633"/>
      <c r="F622" s="633"/>
      <c r="G622" s="633"/>
      <c r="H622" s="633"/>
      <c r="I622" s="633"/>
      <c r="J622" s="579"/>
      <c r="K622" s="579"/>
      <c r="L622" s="579"/>
      <c r="M622" s="579"/>
      <c r="N622" s="579"/>
      <c r="O622" s="631">
        <f t="shared" si="78"/>
        <v>0</v>
      </c>
      <c r="P622" s="579"/>
      <c r="Q622" s="579"/>
    </row>
    <row r="623" spans="1:17" s="624" customFormat="1" x14ac:dyDescent="0.25">
      <c r="A623" s="551" t="str">
        <f>+Info!$B$2</f>
        <v>724</v>
      </c>
      <c r="B623" s="226" t="s">
        <v>1953</v>
      </c>
      <c r="C623" s="226" t="str">
        <f t="shared" si="76"/>
        <v>3.10.20.40.000.000.00.000</v>
      </c>
      <c r="D623" s="633"/>
      <c r="F623" s="633"/>
      <c r="G623" s="633"/>
      <c r="H623" s="633"/>
      <c r="I623" s="633"/>
      <c r="J623" s="579"/>
      <c r="K623" s="579"/>
      <c r="L623" s="579"/>
      <c r="M623" s="579"/>
      <c r="N623" s="579"/>
      <c r="O623" s="631">
        <f t="shared" si="78"/>
        <v>0</v>
      </c>
      <c r="P623" s="579"/>
      <c r="Q623" s="579"/>
    </row>
    <row r="624" spans="1:17" s="624" customFormat="1" x14ac:dyDescent="0.25">
      <c r="A624" s="551" t="str">
        <f>+Info!$B$2</f>
        <v>724</v>
      </c>
      <c r="B624" s="226" t="s">
        <v>1953</v>
      </c>
      <c r="C624" s="226" t="str">
        <f t="shared" si="76"/>
        <v>3.10.20.40.000.000.00.000</v>
      </c>
      <c r="D624" s="633"/>
      <c r="F624" s="633"/>
      <c r="G624" s="633"/>
      <c r="H624" s="633"/>
      <c r="I624" s="633"/>
      <c r="J624" s="579"/>
      <c r="K624" s="579"/>
      <c r="L624" s="579"/>
      <c r="M624" s="579"/>
      <c r="N624" s="579"/>
      <c r="O624" s="631">
        <f t="shared" si="78"/>
        <v>0</v>
      </c>
      <c r="P624" s="579"/>
      <c r="Q624" s="579"/>
    </row>
    <row r="625" spans="1:32" s="624" customFormat="1" x14ac:dyDescent="0.25">
      <c r="A625" s="551" t="str">
        <f>+Info!$B$2</f>
        <v>724</v>
      </c>
      <c r="B625" s="226" t="s">
        <v>1953</v>
      </c>
      <c r="C625" s="226" t="str">
        <f t="shared" si="76"/>
        <v>3.10.20.40.000.000.00.000</v>
      </c>
      <c r="D625" s="633"/>
      <c r="F625" s="633"/>
      <c r="G625" s="633"/>
      <c r="H625" s="633"/>
      <c r="I625" s="633"/>
      <c r="J625" s="579"/>
      <c r="K625" s="579"/>
      <c r="L625" s="579"/>
      <c r="M625" s="579"/>
      <c r="N625" s="579"/>
      <c r="O625" s="631">
        <f t="shared" si="78"/>
        <v>0</v>
      </c>
      <c r="P625" s="579"/>
      <c r="Q625" s="579"/>
    </row>
    <row r="626" spans="1:32" s="624" customFormat="1" x14ac:dyDescent="0.25">
      <c r="A626" s="551" t="str">
        <f>+Info!$B$2</f>
        <v>724</v>
      </c>
      <c r="B626" s="226" t="s">
        <v>1953</v>
      </c>
      <c r="C626" s="226" t="str">
        <f t="shared" si="76"/>
        <v>3.10.20.40.000.000.00.000</v>
      </c>
      <c r="D626" s="633"/>
      <c r="F626" s="633"/>
      <c r="G626" s="633"/>
      <c r="H626" s="633"/>
      <c r="I626" s="633"/>
      <c r="J626" s="579"/>
      <c r="K626" s="579"/>
      <c r="L626" s="579"/>
      <c r="M626" s="579"/>
      <c r="N626" s="579"/>
      <c r="O626" s="631">
        <f t="shared" si="78"/>
        <v>0</v>
      </c>
      <c r="P626" s="579"/>
      <c r="Q626" s="579"/>
    </row>
    <row r="627" spans="1:32" s="624" customFormat="1" x14ac:dyDescent="0.25">
      <c r="A627" s="551" t="str">
        <f>+Info!$B$2</f>
        <v>724</v>
      </c>
      <c r="B627" s="226" t="s">
        <v>1953</v>
      </c>
      <c r="C627" s="226" t="str">
        <f t="shared" si="76"/>
        <v>3.10.20.40.000.000.00.000</v>
      </c>
      <c r="D627" s="633"/>
      <c r="F627" s="633"/>
      <c r="G627" s="633"/>
      <c r="H627" s="633"/>
      <c r="I627" s="633"/>
      <c r="J627" s="579"/>
      <c r="K627" s="579"/>
      <c r="L627" s="579"/>
      <c r="M627" s="579"/>
      <c r="N627" s="579"/>
      <c r="O627" s="631">
        <f t="shared" si="78"/>
        <v>0</v>
      </c>
      <c r="P627" s="579"/>
      <c r="Q627" s="579"/>
    </row>
    <row r="628" spans="1:32" s="624" customFormat="1" x14ac:dyDescent="0.25">
      <c r="A628" s="551" t="str">
        <f>+Info!$B$2</f>
        <v>724</v>
      </c>
      <c r="B628" s="226" t="s">
        <v>1953</v>
      </c>
      <c r="C628" s="226" t="str">
        <f t="shared" si="76"/>
        <v>3.10.20.40.000.000.00.000</v>
      </c>
      <c r="D628" s="633"/>
      <c r="F628" s="633"/>
      <c r="G628" s="633"/>
      <c r="H628" s="633"/>
      <c r="I628" s="633"/>
      <c r="J628" s="579"/>
      <c r="K628" s="579"/>
      <c r="L628" s="579"/>
      <c r="M628" s="579"/>
      <c r="N628" s="579"/>
      <c r="O628" s="631">
        <f t="shared" si="78"/>
        <v>0</v>
      </c>
      <c r="P628" s="579"/>
      <c r="Q628" s="579"/>
    </row>
    <row r="629" spans="1:32" s="624" customFormat="1" x14ac:dyDescent="0.25">
      <c r="A629" s="551" t="str">
        <f>+Info!$B$2</f>
        <v>724</v>
      </c>
      <c r="B629" s="226" t="s">
        <v>1953</v>
      </c>
      <c r="C629" s="226" t="str">
        <f t="shared" si="76"/>
        <v>3.10.20.40.000.000.00.000</v>
      </c>
      <c r="D629" s="633"/>
      <c r="F629" s="633"/>
      <c r="G629" s="633"/>
      <c r="H629" s="633"/>
      <c r="I629" s="633"/>
      <c r="J629" s="579"/>
      <c r="K629" s="579"/>
      <c r="L629" s="579"/>
      <c r="M629" s="579"/>
      <c r="N629" s="579"/>
      <c r="O629" s="631">
        <f t="shared" si="78"/>
        <v>0</v>
      </c>
      <c r="P629" s="579"/>
      <c r="Q629" s="579"/>
    </row>
    <row r="630" spans="1:32" s="624" customFormat="1" x14ac:dyDescent="0.25">
      <c r="A630" s="551" t="str">
        <f>+Info!$B$2</f>
        <v>724</v>
      </c>
      <c r="B630" s="226" t="s">
        <v>1953</v>
      </c>
      <c r="C630" s="226" t="str">
        <f t="shared" si="76"/>
        <v>3.10.20.40.000.000.00.000</v>
      </c>
      <c r="D630" s="633"/>
      <c r="F630" s="633"/>
      <c r="G630" s="633"/>
      <c r="H630" s="633"/>
      <c r="I630" s="633"/>
      <c r="J630" s="579"/>
      <c r="K630" s="579"/>
      <c r="L630" s="579"/>
      <c r="M630" s="579"/>
      <c r="N630" s="579"/>
      <c r="O630" s="631">
        <f t="shared" si="78"/>
        <v>0</v>
      </c>
      <c r="P630" s="579"/>
      <c r="Q630" s="579"/>
    </row>
    <row r="631" spans="1:32" s="624" customFormat="1" x14ac:dyDescent="0.25">
      <c r="A631" s="551" t="str">
        <f>+Info!$B$2</f>
        <v>724</v>
      </c>
      <c r="B631" s="226" t="s">
        <v>1953</v>
      </c>
      <c r="C631" s="226" t="str">
        <f t="shared" si="76"/>
        <v>3.10.20.40.000.000.00.000</v>
      </c>
      <c r="D631" s="633"/>
      <c r="F631" s="633"/>
      <c r="G631" s="633"/>
      <c r="H631" s="633"/>
      <c r="I631" s="633"/>
      <c r="J631" s="579"/>
      <c r="K631" s="579"/>
      <c r="L631" s="579"/>
      <c r="M631" s="579"/>
      <c r="N631" s="579"/>
      <c r="O631" s="631">
        <f t="shared" si="78"/>
        <v>0</v>
      </c>
      <c r="P631" s="579"/>
      <c r="Q631" s="579"/>
    </row>
    <row r="632" spans="1:32" s="624" customFormat="1" x14ac:dyDescent="0.25">
      <c r="A632" s="551" t="str">
        <f>+Info!$B$2</f>
        <v>724</v>
      </c>
      <c r="B632" s="226" t="s">
        <v>1953</v>
      </c>
      <c r="C632" s="226" t="str">
        <f t="shared" si="76"/>
        <v>3.10.20.40.000.000.00.000</v>
      </c>
      <c r="D632" s="633"/>
      <c r="F632" s="633"/>
      <c r="G632" s="633"/>
      <c r="H632" s="633"/>
      <c r="I632" s="633"/>
      <c r="J632" s="579"/>
      <c r="K632" s="579"/>
      <c r="L632" s="579"/>
      <c r="M632" s="579"/>
      <c r="N632" s="579"/>
      <c r="O632" s="631">
        <f t="shared" si="78"/>
        <v>0</v>
      </c>
      <c r="P632" s="579"/>
      <c r="Q632" s="579"/>
    </row>
    <row r="633" spans="1:32" s="624" customFormat="1" x14ac:dyDescent="0.25">
      <c r="A633" s="551" t="str">
        <f>+Info!$B$2</f>
        <v>724</v>
      </c>
      <c r="B633" s="226" t="s">
        <v>1953</v>
      </c>
      <c r="C633" s="226" t="str">
        <f t="shared" si="76"/>
        <v>3.10.20.40.000.000.00.000</v>
      </c>
      <c r="D633" s="633"/>
      <c r="F633" s="633"/>
      <c r="G633" s="633"/>
      <c r="H633" s="633"/>
      <c r="I633" s="633"/>
      <c r="J633" s="579"/>
      <c r="K633" s="579"/>
      <c r="L633" s="579"/>
      <c r="M633" s="579"/>
      <c r="N633" s="579"/>
      <c r="O633" s="631">
        <f t="shared" si="78"/>
        <v>0</v>
      </c>
      <c r="P633" s="579"/>
      <c r="Q633" s="579"/>
    </row>
    <row r="634" spans="1:32" s="624" customFormat="1" x14ac:dyDescent="0.25">
      <c r="A634" s="551" t="str">
        <f>+Info!$B$2</f>
        <v>724</v>
      </c>
      <c r="B634" s="226" t="s">
        <v>1953</v>
      </c>
      <c r="C634" s="226" t="str">
        <f t="shared" si="76"/>
        <v>3.10.20.40.000.000.00.000</v>
      </c>
      <c r="D634" s="633"/>
      <c r="F634" s="633"/>
      <c r="G634" s="633"/>
      <c r="H634" s="633"/>
      <c r="I634" s="633"/>
      <c r="J634" s="579"/>
      <c r="K634" s="579"/>
      <c r="L634" s="579"/>
      <c r="M634" s="579"/>
      <c r="N634" s="579"/>
      <c r="O634" s="631">
        <f t="shared" si="78"/>
        <v>0</v>
      </c>
      <c r="P634" s="579"/>
      <c r="Q634" s="579"/>
    </row>
    <row r="635" spans="1:32" s="624" customFormat="1" x14ac:dyDescent="0.25">
      <c r="A635" s="551" t="str">
        <f>+Info!$B$2</f>
        <v>724</v>
      </c>
      <c r="B635" s="226" t="s">
        <v>1953</v>
      </c>
      <c r="C635" s="226" t="str">
        <f t="shared" si="76"/>
        <v>3.10.20.40.000.000.00.000</v>
      </c>
      <c r="D635" s="633"/>
      <c r="F635" s="633"/>
      <c r="G635" s="633"/>
      <c r="H635" s="633"/>
      <c r="I635" s="633"/>
      <c r="J635" s="579"/>
      <c r="K635" s="579"/>
      <c r="L635" s="579"/>
      <c r="M635" s="579"/>
      <c r="N635" s="579"/>
      <c r="O635" s="631">
        <f t="shared" si="78"/>
        <v>0</v>
      </c>
      <c r="P635" s="579"/>
      <c r="Q635" s="579"/>
    </row>
    <row r="636" spans="1:32" s="624" customFormat="1" ht="23.25" x14ac:dyDescent="0.25">
      <c r="A636" s="551" t="str">
        <f>+Info!$B$2</f>
        <v>724</v>
      </c>
      <c r="B636" s="636" t="s">
        <v>1959</v>
      </c>
      <c r="C636" s="636" t="s">
        <v>1960</v>
      </c>
      <c r="D636" s="637" t="s">
        <v>4352</v>
      </c>
      <c r="E636" s="569">
        <f>SUMIF('NI-San_SP'!$C:$C,$C636,'NI-San_SP'!$Z:$Z)</f>
        <v>1797069</v>
      </c>
      <c r="F636" s="923" t="str">
        <f>IF(E636=Dettaglio_SP_San!O636,"Quadratura OK!","Squadratura con saldo finale di Bilancio!")</f>
        <v>Quadratura OK!</v>
      </c>
      <c r="G636" s="923"/>
      <c r="H636" s="923"/>
      <c r="I636" s="923"/>
      <c r="J636" s="628">
        <f t="shared" ref="J636:Q636" si="79">+J637+J638</f>
        <v>204468</v>
      </c>
      <c r="K636" s="628">
        <f t="shared" si="79"/>
        <v>0</v>
      </c>
      <c r="L636" s="628">
        <f t="shared" si="79"/>
        <v>0</v>
      </c>
      <c r="M636" s="628">
        <f t="shared" si="79"/>
        <v>474019</v>
      </c>
      <c r="N636" s="628">
        <f t="shared" si="79"/>
        <v>2066620</v>
      </c>
      <c r="O636" s="628">
        <f t="shared" si="79"/>
        <v>1797069</v>
      </c>
      <c r="P636" s="628">
        <f t="shared" si="79"/>
        <v>0</v>
      </c>
      <c r="Q636" s="628">
        <f t="shared" si="79"/>
        <v>0</v>
      </c>
      <c r="AC636" s="624" t="str">
        <f>C636</f>
        <v>3.10.20.50.000.000.00.000</v>
      </c>
      <c r="AD636" s="629">
        <f>O636</f>
        <v>1797069</v>
      </c>
      <c r="AE636" s="629">
        <f>E636</f>
        <v>1797069</v>
      </c>
      <c r="AF636" s="551">
        <f>IF($AD636=$AE636,0,1)</f>
        <v>0</v>
      </c>
    </row>
    <row r="637" spans="1:32" s="624" customFormat="1" ht="15" customHeight="1" x14ac:dyDescent="0.25">
      <c r="A637" s="551" t="str">
        <f>+Info!$B$2</f>
        <v>724</v>
      </c>
      <c r="B637" s="226" t="s">
        <v>1959</v>
      </c>
      <c r="C637" s="226" t="str">
        <f t="shared" ref="C637:C688" si="80">$C$636</f>
        <v>3.10.20.50.000.000.00.000</v>
      </c>
      <c r="D637" s="630" t="str">
        <f>"    ... assegnati in data antecedente al 1/1/"&amp;Info!$B$3-2</f>
        <v xml:space="preserve">    ... assegnati in data antecedente al 1/1/2018</v>
      </c>
      <c r="F637" s="923"/>
      <c r="G637" s="923"/>
      <c r="H637" s="923"/>
      <c r="I637" s="923"/>
      <c r="J637" s="635">
        <v>204468</v>
      </c>
      <c r="K637" s="579"/>
      <c r="L637" s="579"/>
      <c r="M637" s="527">
        <v>474019</v>
      </c>
      <c r="N637" s="527">
        <v>357327</v>
      </c>
      <c r="O637" s="631">
        <f>+J637+K637+L637-M637+N637</f>
        <v>87776</v>
      </c>
      <c r="P637" s="579"/>
      <c r="Q637" s="579"/>
    </row>
    <row r="638" spans="1:32" s="624" customFormat="1" ht="15" customHeight="1" x14ac:dyDescent="0.25">
      <c r="A638" s="551" t="str">
        <f>+Info!$B$2</f>
        <v>724</v>
      </c>
      <c r="B638" s="226" t="s">
        <v>1959</v>
      </c>
      <c r="C638" s="226" t="str">
        <f t="shared" si="80"/>
        <v>3.10.20.50.000.000.00.000</v>
      </c>
      <c r="D638" s="632" t="str">
        <f>"    ... assegnati a partire dal 1/1/"&amp;Info!$B$3-2&amp;"..dettagliare"</f>
        <v xml:space="preserve">    ... assegnati a partire dal 1/1/2018..dettagliare</v>
      </c>
      <c r="F638" s="923"/>
      <c r="G638" s="923"/>
      <c r="H638" s="923"/>
      <c r="I638" s="923"/>
      <c r="J638" s="628">
        <f t="shared" ref="J638:Q638" si="81">SUM(J639:J688)</f>
        <v>0</v>
      </c>
      <c r="K638" s="628">
        <f t="shared" si="81"/>
        <v>0</v>
      </c>
      <c r="L638" s="628">
        <f t="shared" si="81"/>
        <v>0</v>
      </c>
      <c r="M638" s="628">
        <f t="shared" si="81"/>
        <v>0</v>
      </c>
      <c r="N638" s="628">
        <f t="shared" si="81"/>
        <v>1709293</v>
      </c>
      <c r="O638" s="628">
        <f t="shared" si="81"/>
        <v>1709293</v>
      </c>
      <c r="P638" s="628">
        <f t="shared" si="81"/>
        <v>0</v>
      </c>
      <c r="Q638" s="628">
        <f t="shared" si="81"/>
        <v>0</v>
      </c>
    </row>
    <row r="639" spans="1:32" s="624" customFormat="1" x14ac:dyDescent="0.25">
      <c r="A639" s="551" t="str">
        <f>+Info!$B$2</f>
        <v>724</v>
      </c>
      <c r="B639" s="226" t="s">
        <v>1959</v>
      </c>
      <c r="C639" s="226" t="str">
        <f t="shared" si="80"/>
        <v>3.10.20.50.000.000.00.000</v>
      </c>
      <c r="D639" s="635" t="s">
        <v>4353</v>
      </c>
      <c r="F639" s="633" t="s">
        <v>4326</v>
      </c>
      <c r="G639" s="633"/>
      <c r="H639" s="633"/>
      <c r="I639" s="633"/>
      <c r="J639" s="579"/>
      <c r="K639" s="579"/>
      <c r="L639" s="579"/>
      <c r="M639" s="527"/>
      <c r="N639" s="579"/>
      <c r="O639" s="631">
        <f t="shared" ref="O639:O688" si="82">+J639+K639+L639-M639+N639</f>
        <v>0</v>
      </c>
      <c r="P639" s="579"/>
      <c r="Q639" s="579"/>
    </row>
    <row r="640" spans="1:32" s="624" customFormat="1" x14ac:dyDescent="0.25">
      <c r="A640" s="551" t="str">
        <f>+Info!$B$2</f>
        <v>724</v>
      </c>
      <c r="B640" s="226" t="s">
        <v>1959</v>
      </c>
      <c r="C640" s="226" t="str">
        <f t="shared" si="80"/>
        <v>3.10.20.50.000.000.00.000</v>
      </c>
      <c r="D640" s="633" t="s">
        <v>4354</v>
      </c>
      <c r="F640" s="633" t="s">
        <v>4326</v>
      </c>
      <c r="G640" s="633">
        <v>2020</v>
      </c>
      <c r="H640" s="633"/>
      <c r="I640" s="633"/>
      <c r="J640" s="579"/>
      <c r="K640" s="579"/>
      <c r="L640" s="579"/>
      <c r="M640" s="579"/>
      <c r="N640" s="579">
        <v>1482406</v>
      </c>
      <c r="O640" s="631">
        <f t="shared" si="82"/>
        <v>1482406</v>
      </c>
      <c r="P640" s="579"/>
      <c r="Q640" s="579"/>
    </row>
    <row r="641" spans="1:17" s="624" customFormat="1" x14ac:dyDescent="0.25">
      <c r="A641" s="551" t="str">
        <f>+Info!$B$2</f>
        <v>724</v>
      </c>
      <c r="B641" s="226" t="s">
        <v>1959</v>
      </c>
      <c r="C641" s="226" t="str">
        <f t="shared" si="80"/>
        <v>3.10.20.50.000.000.00.000</v>
      </c>
      <c r="D641" s="633" t="s">
        <v>4355</v>
      </c>
      <c r="F641" s="633" t="s">
        <v>4326</v>
      </c>
      <c r="G641" s="633">
        <v>2020</v>
      </c>
      <c r="H641" s="633"/>
      <c r="I641" s="633"/>
      <c r="J641" s="579"/>
      <c r="K641" s="579"/>
      <c r="L641" s="579"/>
      <c r="M641" s="579"/>
      <c r="N641" s="579">
        <v>9962</v>
      </c>
      <c r="O641" s="631">
        <f t="shared" si="82"/>
        <v>9962</v>
      </c>
      <c r="P641" s="579"/>
      <c r="Q641" s="579"/>
    </row>
    <row r="642" spans="1:17" s="624" customFormat="1" x14ac:dyDescent="0.25">
      <c r="A642" s="551" t="str">
        <f>+Info!$B$2</f>
        <v>724</v>
      </c>
      <c r="B642" s="226" t="s">
        <v>1959</v>
      </c>
      <c r="C642" s="226" t="str">
        <f t="shared" si="80"/>
        <v>3.10.20.50.000.000.00.000</v>
      </c>
      <c r="D642" s="633" t="s">
        <v>4356</v>
      </c>
      <c r="F642" s="633" t="s">
        <v>4326</v>
      </c>
      <c r="G642" s="633">
        <v>2020</v>
      </c>
      <c r="H642" s="633"/>
      <c r="I642" s="633"/>
      <c r="J642" s="579"/>
      <c r="K642" s="579"/>
      <c r="L642" s="579"/>
      <c r="M642" s="579"/>
      <c r="N642" s="579">
        <v>44481</v>
      </c>
      <c r="O642" s="631">
        <f t="shared" si="82"/>
        <v>44481</v>
      </c>
      <c r="P642" s="579"/>
      <c r="Q642" s="579"/>
    </row>
    <row r="643" spans="1:17" s="624" customFormat="1" x14ac:dyDescent="0.25">
      <c r="A643" s="551" t="str">
        <f>+Info!$B$2</f>
        <v>724</v>
      </c>
      <c r="B643" s="226" t="s">
        <v>1959</v>
      </c>
      <c r="C643" s="226" t="str">
        <f t="shared" si="80"/>
        <v>3.10.20.50.000.000.00.000</v>
      </c>
      <c r="D643" s="633" t="s">
        <v>4357</v>
      </c>
      <c r="F643" s="633" t="s">
        <v>4326</v>
      </c>
      <c r="G643" s="633">
        <v>2020</v>
      </c>
      <c r="H643" s="633"/>
      <c r="I643" s="633"/>
      <c r="J643" s="579"/>
      <c r="K643" s="579"/>
      <c r="L643" s="579"/>
      <c r="M643" s="579"/>
      <c r="N643" s="579">
        <v>37178</v>
      </c>
      <c r="O643" s="631">
        <f t="shared" si="82"/>
        <v>37178</v>
      </c>
      <c r="P643" s="579"/>
      <c r="Q643" s="579"/>
    </row>
    <row r="644" spans="1:17" s="624" customFormat="1" x14ac:dyDescent="0.25">
      <c r="A644" s="551" t="str">
        <f>+Info!$B$2</f>
        <v>724</v>
      </c>
      <c r="B644" s="226" t="s">
        <v>1959</v>
      </c>
      <c r="C644" s="226" t="str">
        <f t="shared" si="80"/>
        <v>3.10.20.50.000.000.00.000</v>
      </c>
      <c r="D644" s="633" t="s">
        <v>4358</v>
      </c>
      <c r="F644" s="633" t="s">
        <v>4359</v>
      </c>
      <c r="G644" s="633">
        <v>2020</v>
      </c>
      <c r="H644" s="633" t="s">
        <v>4360</v>
      </c>
      <c r="I644" s="633"/>
      <c r="J644" s="579"/>
      <c r="K644" s="579"/>
      <c r="L644" s="579"/>
      <c r="M644" s="579"/>
      <c r="N644" s="579">
        <v>135573</v>
      </c>
      <c r="O644" s="631">
        <f t="shared" si="82"/>
        <v>135573</v>
      </c>
      <c r="P644" s="579"/>
      <c r="Q644" s="579"/>
    </row>
    <row r="645" spans="1:17" s="624" customFormat="1" x14ac:dyDescent="0.25">
      <c r="A645" s="551" t="str">
        <f>+Info!$B$2</f>
        <v>724</v>
      </c>
      <c r="B645" s="226" t="s">
        <v>1959</v>
      </c>
      <c r="C645" s="226" t="str">
        <f t="shared" si="80"/>
        <v>3.10.20.50.000.000.00.000</v>
      </c>
      <c r="D645" s="633" t="s">
        <v>4361</v>
      </c>
      <c r="F645" s="633"/>
      <c r="G645" s="633"/>
      <c r="H645" s="633"/>
      <c r="I645" s="633"/>
      <c r="J645" s="579"/>
      <c r="K645" s="579"/>
      <c r="L645" s="579"/>
      <c r="M645" s="579"/>
      <c r="N645" s="579">
        <v>-307</v>
      </c>
      <c r="O645" s="631">
        <f t="shared" si="82"/>
        <v>-307</v>
      </c>
      <c r="P645" s="579"/>
      <c r="Q645" s="579"/>
    </row>
    <row r="646" spans="1:17" s="624" customFormat="1" x14ac:dyDescent="0.25">
      <c r="A646" s="551" t="str">
        <f>+Info!$B$2</f>
        <v>724</v>
      </c>
      <c r="B646" s="226" t="s">
        <v>1959</v>
      </c>
      <c r="C646" s="226" t="str">
        <f t="shared" si="80"/>
        <v>3.10.20.50.000.000.00.000</v>
      </c>
      <c r="D646" s="633"/>
      <c r="F646" s="633"/>
      <c r="G646" s="633"/>
      <c r="H646" s="633"/>
      <c r="I646" s="633"/>
      <c r="J646" s="579"/>
      <c r="K646" s="579"/>
      <c r="L646" s="579"/>
      <c r="M646" s="579"/>
      <c r="N646" s="579"/>
      <c r="O646" s="631">
        <f t="shared" si="82"/>
        <v>0</v>
      </c>
      <c r="P646" s="579"/>
      <c r="Q646" s="579"/>
    </row>
    <row r="647" spans="1:17" s="624" customFormat="1" x14ac:dyDescent="0.25">
      <c r="A647" s="551" t="str">
        <f>+Info!$B$2</f>
        <v>724</v>
      </c>
      <c r="B647" s="226" t="s">
        <v>1959</v>
      </c>
      <c r="C647" s="226" t="str">
        <f t="shared" si="80"/>
        <v>3.10.20.50.000.000.00.000</v>
      </c>
      <c r="D647" s="633"/>
      <c r="F647" s="633"/>
      <c r="G647" s="633"/>
      <c r="H647" s="633"/>
      <c r="I647" s="633"/>
      <c r="J647" s="579"/>
      <c r="K647" s="579"/>
      <c r="L647" s="579"/>
      <c r="M647" s="579"/>
      <c r="N647" s="579"/>
      <c r="O647" s="631">
        <f t="shared" si="82"/>
        <v>0</v>
      </c>
      <c r="P647" s="579"/>
      <c r="Q647" s="579"/>
    </row>
    <row r="648" spans="1:17" s="624" customFormat="1" x14ac:dyDescent="0.25">
      <c r="A648" s="551" t="str">
        <f>+Info!$B$2</f>
        <v>724</v>
      </c>
      <c r="B648" s="226" t="s">
        <v>1959</v>
      </c>
      <c r="C648" s="226" t="str">
        <f t="shared" si="80"/>
        <v>3.10.20.50.000.000.00.000</v>
      </c>
      <c r="D648" s="633"/>
      <c r="F648" s="633"/>
      <c r="G648" s="633"/>
      <c r="H648" s="633"/>
      <c r="I648" s="633"/>
      <c r="J648" s="579"/>
      <c r="K648" s="579"/>
      <c r="L648" s="579"/>
      <c r="M648" s="579"/>
      <c r="N648" s="579"/>
      <c r="O648" s="631">
        <f t="shared" si="82"/>
        <v>0</v>
      </c>
      <c r="P648" s="579"/>
      <c r="Q648" s="579"/>
    </row>
    <row r="649" spans="1:17" s="624" customFormat="1" x14ac:dyDescent="0.25">
      <c r="A649" s="551" t="str">
        <f>+Info!$B$2</f>
        <v>724</v>
      </c>
      <c r="B649" s="226" t="s">
        <v>1959</v>
      </c>
      <c r="C649" s="226" t="str">
        <f t="shared" si="80"/>
        <v>3.10.20.50.000.000.00.000</v>
      </c>
      <c r="D649" s="633"/>
      <c r="F649" s="633"/>
      <c r="G649" s="633"/>
      <c r="H649" s="633"/>
      <c r="I649" s="633"/>
      <c r="J649" s="579"/>
      <c r="K649" s="579"/>
      <c r="L649" s="579"/>
      <c r="M649" s="579"/>
      <c r="N649" s="579"/>
      <c r="O649" s="631">
        <f t="shared" si="82"/>
        <v>0</v>
      </c>
      <c r="P649" s="579"/>
      <c r="Q649" s="579"/>
    </row>
    <row r="650" spans="1:17" s="624" customFormat="1" x14ac:dyDescent="0.25">
      <c r="A650" s="551" t="str">
        <f>+Info!$B$2</f>
        <v>724</v>
      </c>
      <c r="B650" s="226" t="s">
        <v>1959</v>
      </c>
      <c r="C650" s="226" t="str">
        <f t="shared" si="80"/>
        <v>3.10.20.50.000.000.00.000</v>
      </c>
      <c r="D650" s="633"/>
      <c r="F650" s="633"/>
      <c r="G650" s="633"/>
      <c r="H650" s="633"/>
      <c r="I650" s="633"/>
      <c r="J650" s="579"/>
      <c r="K650" s="579"/>
      <c r="L650" s="579"/>
      <c r="M650" s="579"/>
      <c r="N650" s="579"/>
      <c r="O650" s="631">
        <f t="shared" si="82"/>
        <v>0</v>
      </c>
      <c r="P650" s="579"/>
      <c r="Q650" s="579"/>
    </row>
    <row r="651" spans="1:17" s="624" customFormat="1" x14ac:dyDescent="0.25">
      <c r="A651" s="551" t="str">
        <f>+Info!$B$2</f>
        <v>724</v>
      </c>
      <c r="B651" s="226" t="s">
        <v>1959</v>
      </c>
      <c r="C651" s="226" t="str">
        <f t="shared" si="80"/>
        <v>3.10.20.50.000.000.00.000</v>
      </c>
      <c r="D651" s="633"/>
      <c r="F651" s="633"/>
      <c r="G651" s="633"/>
      <c r="H651" s="633"/>
      <c r="I651" s="633"/>
      <c r="J651" s="579"/>
      <c r="K651" s="579"/>
      <c r="L651" s="579"/>
      <c r="M651" s="579"/>
      <c r="N651" s="579"/>
      <c r="O651" s="631">
        <f t="shared" si="82"/>
        <v>0</v>
      </c>
      <c r="P651" s="579"/>
      <c r="Q651" s="579"/>
    </row>
    <row r="652" spans="1:17" s="624" customFormat="1" x14ac:dyDescent="0.25">
      <c r="A652" s="551" t="str">
        <f>+Info!$B$2</f>
        <v>724</v>
      </c>
      <c r="B652" s="226" t="s">
        <v>1959</v>
      </c>
      <c r="C652" s="226" t="str">
        <f t="shared" si="80"/>
        <v>3.10.20.50.000.000.00.000</v>
      </c>
      <c r="D652" s="633"/>
      <c r="F652" s="633"/>
      <c r="G652" s="633"/>
      <c r="H652" s="633"/>
      <c r="I652" s="633"/>
      <c r="J652" s="579"/>
      <c r="K652" s="579"/>
      <c r="L652" s="579"/>
      <c r="M652" s="579"/>
      <c r="N652" s="579"/>
      <c r="O652" s="631">
        <f t="shared" si="82"/>
        <v>0</v>
      </c>
      <c r="P652" s="579"/>
      <c r="Q652" s="579"/>
    </row>
    <row r="653" spans="1:17" s="624" customFormat="1" x14ac:dyDescent="0.25">
      <c r="A653" s="551" t="str">
        <f>+Info!$B$2</f>
        <v>724</v>
      </c>
      <c r="B653" s="226" t="s">
        <v>1959</v>
      </c>
      <c r="C653" s="226" t="str">
        <f t="shared" si="80"/>
        <v>3.10.20.50.000.000.00.000</v>
      </c>
      <c r="D653" s="633"/>
      <c r="F653" s="633"/>
      <c r="G653" s="633"/>
      <c r="H653" s="633"/>
      <c r="I653" s="633"/>
      <c r="J653" s="579"/>
      <c r="K653" s="579"/>
      <c r="L653" s="579"/>
      <c r="M653" s="579"/>
      <c r="N653" s="579"/>
      <c r="O653" s="631">
        <f t="shared" si="82"/>
        <v>0</v>
      </c>
      <c r="P653" s="579"/>
      <c r="Q653" s="579"/>
    </row>
    <row r="654" spans="1:17" s="624" customFormat="1" x14ac:dyDescent="0.25">
      <c r="A654" s="551" t="str">
        <f>+Info!$B$2</f>
        <v>724</v>
      </c>
      <c r="B654" s="226" t="s">
        <v>1959</v>
      </c>
      <c r="C654" s="226" t="str">
        <f t="shared" si="80"/>
        <v>3.10.20.50.000.000.00.000</v>
      </c>
      <c r="D654" s="633"/>
      <c r="F654" s="633"/>
      <c r="G654" s="633"/>
      <c r="H654" s="633"/>
      <c r="I654" s="633"/>
      <c r="J654" s="579"/>
      <c r="K654" s="579"/>
      <c r="L654" s="579"/>
      <c r="M654" s="579"/>
      <c r="N654" s="579"/>
      <c r="O654" s="631">
        <f t="shared" si="82"/>
        <v>0</v>
      </c>
      <c r="P654" s="579"/>
      <c r="Q654" s="579"/>
    </row>
    <row r="655" spans="1:17" s="624" customFormat="1" x14ac:dyDescent="0.25">
      <c r="A655" s="551" t="str">
        <f>+Info!$B$2</f>
        <v>724</v>
      </c>
      <c r="B655" s="226" t="s">
        <v>1959</v>
      </c>
      <c r="C655" s="226" t="str">
        <f t="shared" si="80"/>
        <v>3.10.20.50.000.000.00.000</v>
      </c>
      <c r="D655" s="633"/>
      <c r="F655" s="633"/>
      <c r="G655" s="633"/>
      <c r="H655" s="633"/>
      <c r="I655" s="633"/>
      <c r="J655" s="579"/>
      <c r="K655" s="579"/>
      <c r="L655" s="579"/>
      <c r="M655" s="579"/>
      <c r="N655" s="579"/>
      <c r="O655" s="631">
        <f t="shared" si="82"/>
        <v>0</v>
      </c>
      <c r="P655" s="579"/>
      <c r="Q655" s="579"/>
    </row>
    <row r="656" spans="1:17" s="624" customFormat="1" x14ac:dyDescent="0.25">
      <c r="A656" s="551" t="str">
        <f>+Info!$B$2</f>
        <v>724</v>
      </c>
      <c r="B656" s="226" t="s">
        <v>1959</v>
      </c>
      <c r="C656" s="226" t="str">
        <f t="shared" si="80"/>
        <v>3.10.20.50.000.000.00.000</v>
      </c>
      <c r="D656" s="633"/>
      <c r="F656" s="633"/>
      <c r="G656" s="633"/>
      <c r="H656" s="633"/>
      <c r="I656" s="633"/>
      <c r="J656" s="579"/>
      <c r="K656" s="579"/>
      <c r="L656" s="579"/>
      <c r="M656" s="579"/>
      <c r="N656" s="579"/>
      <c r="O656" s="631">
        <f t="shared" si="82"/>
        <v>0</v>
      </c>
      <c r="P656" s="579"/>
      <c r="Q656" s="579"/>
    </row>
    <row r="657" spans="1:17" s="624" customFormat="1" x14ac:dyDescent="0.25">
      <c r="A657" s="551" t="str">
        <f>+Info!$B$2</f>
        <v>724</v>
      </c>
      <c r="B657" s="226" t="s">
        <v>1959</v>
      </c>
      <c r="C657" s="226" t="str">
        <f t="shared" si="80"/>
        <v>3.10.20.50.000.000.00.000</v>
      </c>
      <c r="D657" s="633"/>
      <c r="F657" s="633"/>
      <c r="G657" s="633"/>
      <c r="H657" s="633"/>
      <c r="I657" s="633"/>
      <c r="J657" s="579"/>
      <c r="K657" s="579"/>
      <c r="L657" s="579"/>
      <c r="M657" s="579"/>
      <c r="N657" s="579"/>
      <c r="O657" s="631">
        <f t="shared" si="82"/>
        <v>0</v>
      </c>
      <c r="P657" s="579"/>
      <c r="Q657" s="579"/>
    </row>
    <row r="658" spans="1:17" s="624" customFormat="1" x14ac:dyDescent="0.25">
      <c r="A658" s="551" t="str">
        <f>+Info!$B$2</f>
        <v>724</v>
      </c>
      <c r="B658" s="226" t="s">
        <v>1959</v>
      </c>
      <c r="C658" s="226" t="str">
        <f t="shared" si="80"/>
        <v>3.10.20.50.000.000.00.000</v>
      </c>
      <c r="D658" s="633"/>
      <c r="F658" s="633"/>
      <c r="G658" s="633"/>
      <c r="H658" s="633"/>
      <c r="I658" s="633"/>
      <c r="J658" s="579"/>
      <c r="K658" s="579"/>
      <c r="L658" s="579"/>
      <c r="M658" s="579"/>
      <c r="N658" s="579"/>
      <c r="O658" s="631">
        <f t="shared" si="82"/>
        <v>0</v>
      </c>
      <c r="P658" s="579"/>
      <c r="Q658" s="579"/>
    </row>
    <row r="659" spans="1:17" s="624" customFormat="1" x14ac:dyDescent="0.25">
      <c r="A659" s="551" t="str">
        <f>+Info!$B$2</f>
        <v>724</v>
      </c>
      <c r="B659" s="226" t="s">
        <v>1959</v>
      </c>
      <c r="C659" s="226" t="str">
        <f t="shared" si="80"/>
        <v>3.10.20.50.000.000.00.000</v>
      </c>
      <c r="D659" s="633"/>
      <c r="F659" s="633"/>
      <c r="G659" s="633"/>
      <c r="H659" s="633"/>
      <c r="I659" s="633"/>
      <c r="J659" s="579"/>
      <c r="K659" s="579"/>
      <c r="L659" s="579"/>
      <c r="M659" s="579"/>
      <c r="N659" s="579"/>
      <c r="O659" s="631">
        <f t="shared" si="82"/>
        <v>0</v>
      </c>
      <c r="P659" s="579"/>
      <c r="Q659" s="579"/>
    </row>
    <row r="660" spans="1:17" s="624" customFormat="1" x14ac:dyDescent="0.25">
      <c r="A660" s="551" t="str">
        <f>+Info!$B$2</f>
        <v>724</v>
      </c>
      <c r="B660" s="226" t="s">
        <v>1959</v>
      </c>
      <c r="C660" s="226" t="str">
        <f t="shared" si="80"/>
        <v>3.10.20.50.000.000.00.000</v>
      </c>
      <c r="D660" s="633"/>
      <c r="F660" s="633"/>
      <c r="G660" s="633"/>
      <c r="H660" s="633"/>
      <c r="I660" s="633"/>
      <c r="J660" s="579"/>
      <c r="K660" s="579"/>
      <c r="L660" s="579"/>
      <c r="M660" s="579"/>
      <c r="N660" s="579"/>
      <c r="O660" s="631">
        <f t="shared" si="82"/>
        <v>0</v>
      </c>
      <c r="P660" s="579"/>
      <c r="Q660" s="579"/>
    </row>
    <row r="661" spans="1:17" s="624" customFormat="1" x14ac:dyDescent="0.25">
      <c r="A661" s="551" t="str">
        <f>+Info!$B$2</f>
        <v>724</v>
      </c>
      <c r="B661" s="226" t="s">
        <v>1959</v>
      </c>
      <c r="C661" s="226" t="str">
        <f t="shared" si="80"/>
        <v>3.10.20.50.000.000.00.000</v>
      </c>
      <c r="D661" s="633"/>
      <c r="F661" s="633"/>
      <c r="G661" s="633"/>
      <c r="H661" s="633"/>
      <c r="I661" s="633"/>
      <c r="J661" s="579"/>
      <c r="K661" s="579"/>
      <c r="L661" s="579"/>
      <c r="M661" s="579"/>
      <c r="N661" s="579"/>
      <c r="O661" s="631">
        <f t="shared" si="82"/>
        <v>0</v>
      </c>
      <c r="P661" s="579"/>
      <c r="Q661" s="579"/>
    </row>
    <row r="662" spans="1:17" s="624" customFormat="1" x14ac:dyDescent="0.25">
      <c r="A662" s="551" t="str">
        <f>+Info!$B$2</f>
        <v>724</v>
      </c>
      <c r="B662" s="226" t="s">
        <v>1959</v>
      </c>
      <c r="C662" s="226" t="str">
        <f t="shared" si="80"/>
        <v>3.10.20.50.000.000.00.000</v>
      </c>
      <c r="D662" s="633"/>
      <c r="F662" s="633"/>
      <c r="G662" s="633"/>
      <c r="H662" s="633"/>
      <c r="I662" s="633"/>
      <c r="J662" s="579"/>
      <c r="K662" s="579"/>
      <c r="L662" s="579"/>
      <c r="M662" s="579"/>
      <c r="N662" s="579"/>
      <c r="O662" s="631">
        <f t="shared" si="82"/>
        <v>0</v>
      </c>
      <c r="P662" s="579"/>
      <c r="Q662" s="579"/>
    </row>
    <row r="663" spans="1:17" s="624" customFormat="1" x14ac:dyDescent="0.25">
      <c r="A663" s="551" t="str">
        <f>+Info!$B$2</f>
        <v>724</v>
      </c>
      <c r="B663" s="226" t="s">
        <v>1959</v>
      </c>
      <c r="C663" s="226" t="str">
        <f t="shared" si="80"/>
        <v>3.10.20.50.000.000.00.000</v>
      </c>
      <c r="D663" s="633"/>
      <c r="F663" s="633"/>
      <c r="G663" s="633"/>
      <c r="H663" s="633"/>
      <c r="I663" s="633"/>
      <c r="J663" s="579"/>
      <c r="K663" s="579"/>
      <c r="L663" s="579"/>
      <c r="M663" s="579"/>
      <c r="N663" s="579"/>
      <c r="O663" s="631">
        <f t="shared" si="82"/>
        <v>0</v>
      </c>
      <c r="P663" s="579"/>
      <c r="Q663" s="579"/>
    </row>
    <row r="664" spans="1:17" s="624" customFormat="1" x14ac:dyDescent="0.25">
      <c r="A664" s="551" t="str">
        <f>+Info!$B$2</f>
        <v>724</v>
      </c>
      <c r="B664" s="226" t="s">
        <v>1959</v>
      </c>
      <c r="C664" s="226" t="str">
        <f t="shared" si="80"/>
        <v>3.10.20.50.000.000.00.000</v>
      </c>
      <c r="D664" s="633"/>
      <c r="F664" s="633"/>
      <c r="G664" s="633"/>
      <c r="H664" s="633"/>
      <c r="I664" s="633"/>
      <c r="J664" s="579"/>
      <c r="K664" s="579"/>
      <c r="L664" s="579"/>
      <c r="M664" s="579"/>
      <c r="N664" s="579"/>
      <c r="O664" s="631">
        <f t="shared" si="82"/>
        <v>0</v>
      </c>
      <c r="P664" s="579"/>
      <c r="Q664" s="579"/>
    </row>
    <row r="665" spans="1:17" s="624" customFormat="1" x14ac:dyDescent="0.25">
      <c r="A665" s="551" t="str">
        <f>+Info!$B$2</f>
        <v>724</v>
      </c>
      <c r="B665" s="226" t="s">
        <v>1959</v>
      </c>
      <c r="C665" s="226" t="str">
        <f t="shared" si="80"/>
        <v>3.10.20.50.000.000.00.000</v>
      </c>
      <c r="D665" s="633"/>
      <c r="F665" s="633"/>
      <c r="G665" s="633"/>
      <c r="H665" s="633"/>
      <c r="I665" s="633"/>
      <c r="J665" s="579"/>
      <c r="K665" s="579"/>
      <c r="L665" s="579"/>
      <c r="M665" s="579"/>
      <c r="N665" s="579"/>
      <c r="O665" s="631">
        <f t="shared" si="82"/>
        <v>0</v>
      </c>
      <c r="P665" s="579"/>
      <c r="Q665" s="579"/>
    </row>
    <row r="666" spans="1:17" s="624" customFormat="1" x14ac:dyDescent="0.25">
      <c r="A666" s="551" t="str">
        <f>+Info!$B$2</f>
        <v>724</v>
      </c>
      <c r="B666" s="226" t="s">
        <v>1959</v>
      </c>
      <c r="C666" s="226" t="str">
        <f t="shared" si="80"/>
        <v>3.10.20.50.000.000.00.000</v>
      </c>
      <c r="D666" s="633"/>
      <c r="F666" s="633"/>
      <c r="G666" s="633"/>
      <c r="H666" s="633"/>
      <c r="I666" s="633"/>
      <c r="J666" s="579"/>
      <c r="K666" s="579"/>
      <c r="L666" s="579"/>
      <c r="M666" s="579"/>
      <c r="N666" s="579"/>
      <c r="O666" s="631">
        <f t="shared" si="82"/>
        <v>0</v>
      </c>
      <c r="P666" s="579"/>
      <c r="Q666" s="579"/>
    </row>
    <row r="667" spans="1:17" s="624" customFormat="1" x14ac:dyDescent="0.25">
      <c r="A667" s="551" t="str">
        <f>+Info!$B$2</f>
        <v>724</v>
      </c>
      <c r="B667" s="226" t="s">
        <v>1959</v>
      </c>
      <c r="C667" s="226" t="str">
        <f t="shared" si="80"/>
        <v>3.10.20.50.000.000.00.000</v>
      </c>
      <c r="D667" s="633"/>
      <c r="F667" s="633"/>
      <c r="G667" s="633"/>
      <c r="H667" s="633"/>
      <c r="I667" s="633"/>
      <c r="J667" s="579"/>
      <c r="K667" s="579"/>
      <c r="L667" s="579"/>
      <c r="M667" s="579"/>
      <c r="N667" s="579"/>
      <c r="O667" s="631">
        <f t="shared" si="82"/>
        <v>0</v>
      </c>
      <c r="P667" s="579"/>
      <c r="Q667" s="579"/>
    </row>
    <row r="668" spans="1:17" s="624" customFormat="1" x14ac:dyDescent="0.25">
      <c r="A668" s="551" t="str">
        <f>+Info!$B$2</f>
        <v>724</v>
      </c>
      <c r="B668" s="226" t="s">
        <v>1959</v>
      </c>
      <c r="C668" s="226" t="str">
        <f t="shared" si="80"/>
        <v>3.10.20.50.000.000.00.000</v>
      </c>
      <c r="D668" s="633"/>
      <c r="F668" s="633"/>
      <c r="G668" s="633"/>
      <c r="H668" s="633"/>
      <c r="I668" s="633"/>
      <c r="J668" s="579"/>
      <c r="K668" s="579"/>
      <c r="L668" s="579"/>
      <c r="M668" s="579"/>
      <c r="N668" s="579"/>
      <c r="O668" s="631">
        <f t="shared" si="82"/>
        <v>0</v>
      </c>
      <c r="P668" s="579"/>
      <c r="Q668" s="579"/>
    </row>
    <row r="669" spans="1:17" s="624" customFormat="1" x14ac:dyDescent="0.25">
      <c r="A669" s="551" t="str">
        <f>+Info!$B$2</f>
        <v>724</v>
      </c>
      <c r="B669" s="226" t="s">
        <v>1959</v>
      </c>
      <c r="C669" s="226" t="str">
        <f t="shared" si="80"/>
        <v>3.10.20.50.000.000.00.000</v>
      </c>
      <c r="D669" s="633"/>
      <c r="F669" s="633"/>
      <c r="G669" s="633"/>
      <c r="H669" s="633"/>
      <c r="I669" s="633"/>
      <c r="J669" s="579"/>
      <c r="K669" s="579"/>
      <c r="L669" s="579"/>
      <c r="M669" s="579"/>
      <c r="N669" s="579"/>
      <c r="O669" s="631">
        <f t="shared" si="82"/>
        <v>0</v>
      </c>
      <c r="P669" s="579"/>
      <c r="Q669" s="579"/>
    </row>
    <row r="670" spans="1:17" s="624" customFormat="1" x14ac:dyDescent="0.25">
      <c r="A670" s="551" t="str">
        <f>+Info!$B$2</f>
        <v>724</v>
      </c>
      <c r="B670" s="226" t="s">
        <v>1959</v>
      </c>
      <c r="C670" s="226" t="str">
        <f t="shared" si="80"/>
        <v>3.10.20.50.000.000.00.000</v>
      </c>
      <c r="D670" s="633"/>
      <c r="F670" s="633"/>
      <c r="G670" s="633"/>
      <c r="H670" s="633"/>
      <c r="I670" s="633"/>
      <c r="J670" s="579"/>
      <c r="K670" s="579"/>
      <c r="L670" s="579"/>
      <c r="M670" s="579"/>
      <c r="N670" s="579"/>
      <c r="O670" s="631">
        <f t="shared" si="82"/>
        <v>0</v>
      </c>
      <c r="P670" s="579"/>
      <c r="Q670" s="579"/>
    </row>
    <row r="671" spans="1:17" s="624" customFormat="1" x14ac:dyDescent="0.25">
      <c r="A671" s="551" t="str">
        <f>+Info!$B$2</f>
        <v>724</v>
      </c>
      <c r="B671" s="226" t="s">
        <v>1959</v>
      </c>
      <c r="C671" s="226" t="str">
        <f t="shared" si="80"/>
        <v>3.10.20.50.000.000.00.000</v>
      </c>
      <c r="D671" s="633"/>
      <c r="F671" s="633"/>
      <c r="G671" s="633"/>
      <c r="H671" s="633"/>
      <c r="I671" s="633"/>
      <c r="J671" s="579"/>
      <c r="K671" s="579"/>
      <c r="L671" s="579"/>
      <c r="M671" s="579"/>
      <c r="N671" s="579"/>
      <c r="O671" s="631">
        <f t="shared" si="82"/>
        <v>0</v>
      </c>
      <c r="P671" s="579"/>
      <c r="Q671" s="579"/>
    </row>
    <row r="672" spans="1:17" s="624" customFormat="1" x14ac:dyDescent="0.25">
      <c r="A672" s="551" t="str">
        <f>+Info!$B$2</f>
        <v>724</v>
      </c>
      <c r="B672" s="226" t="s">
        <v>1959</v>
      </c>
      <c r="C672" s="226" t="str">
        <f t="shared" si="80"/>
        <v>3.10.20.50.000.000.00.000</v>
      </c>
      <c r="D672" s="633"/>
      <c r="F672" s="633"/>
      <c r="G672" s="633"/>
      <c r="H672" s="633"/>
      <c r="I672" s="633"/>
      <c r="J672" s="579"/>
      <c r="K672" s="579"/>
      <c r="L672" s="579"/>
      <c r="M672" s="579"/>
      <c r="N672" s="579"/>
      <c r="O672" s="631">
        <f t="shared" si="82"/>
        <v>0</v>
      </c>
      <c r="P672" s="579"/>
      <c r="Q672" s="579"/>
    </row>
    <row r="673" spans="1:17" s="624" customFormat="1" x14ac:dyDescent="0.25">
      <c r="A673" s="551" t="str">
        <f>+Info!$B$2</f>
        <v>724</v>
      </c>
      <c r="B673" s="226" t="s">
        <v>1959</v>
      </c>
      <c r="C673" s="226" t="str">
        <f t="shared" si="80"/>
        <v>3.10.20.50.000.000.00.000</v>
      </c>
      <c r="D673" s="633"/>
      <c r="F673" s="633"/>
      <c r="G673" s="633"/>
      <c r="H673" s="633"/>
      <c r="I673" s="633"/>
      <c r="J673" s="579"/>
      <c r="K673" s="579"/>
      <c r="L673" s="579"/>
      <c r="M673" s="579"/>
      <c r="N673" s="579"/>
      <c r="O673" s="631">
        <f t="shared" si="82"/>
        <v>0</v>
      </c>
      <c r="P673" s="579"/>
      <c r="Q673" s="579"/>
    </row>
    <row r="674" spans="1:17" s="624" customFormat="1" x14ac:dyDescent="0.25">
      <c r="A674" s="551" t="str">
        <f>+Info!$B$2</f>
        <v>724</v>
      </c>
      <c r="B674" s="226" t="s">
        <v>1959</v>
      </c>
      <c r="C674" s="226" t="str">
        <f t="shared" si="80"/>
        <v>3.10.20.50.000.000.00.000</v>
      </c>
      <c r="D674" s="633"/>
      <c r="F674" s="633"/>
      <c r="G674" s="633"/>
      <c r="H674" s="633"/>
      <c r="I674" s="633"/>
      <c r="J674" s="579"/>
      <c r="K674" s="579"/>
      <c r="L674" s="579"/>
      <c r="M674" s="579"/>
      <c r="N674" s="579"/>
      <c r="O674" s="631">
        <f t="shared" si="82"/>
        <v>0</v>
      </c>
      <c r="P674" s="579"/>
      <c r="Q674" s="579"/>
    </row>
    <row r="675" spans="1:17" s="624" customFormat="1" x14ac:dyDescent="0.25">
      <c r="A675" s="551" t="str">
        <f>+Info!$B$2</f>
        <v>724</v>
      </c>
      <c r="B675" s="226" t="s">
        <v>1959</v>
      </c>
      <c r="C675" s="226" t="str">
        <f t="shared" si="80"/>
        <v>3.10.20.50.000.000.00.000</v>
      </c>
      <c r="D675" s="633"/>
      <c r="F675" s="633"/>
      <c r="G675" s="633"/>
      <c r="H675" s="633"/>
      <c r="I675" s="633"/>
      <c r="J675" s="579"/>
      <c r="K675" s="579"/>
      <c r="L675" s="579"/>
      <c r="M675" s="579"/>
      <c r="N675" s="579"/>
      <c r="O675" s="631">
        <f t="shared" si="82"/>
        <v>0</v>
      </c>
      <c r="P675" s="579"/>
      <c r="Q675" s="579"/>
    </row>
    <row r="676" spans="1:17" s="624" customFormat="1" x14ac:dyDescent="0.25">
      <c r="A676" s="551" t="str">
        <f>+Info!$B$2</f>
        <v>724</v>
      </c>
      <c r="B676" s="226" t="s">
        <v>1959</v>
      </c>
      <c r="C676" s="226" t="str">
        <f t="shared" si="80"/>
        <v>3.10.20.50.000.000.00.000</v>
      </c>
      <c r="D676" s="633"/>
      <c r="F676" s="633"/>
      <c r="G676" s="633"/>
      <c r="H676" s="633"/>
      <c r="I676" s="633"/>
      <c r="J676" s="579"/>
      <c r="K676" s="579"/>
      <c r="L676" s="579"/>
      <c r="M676" s="579"/>
      <c r="N676" s="579"/>
      <c r="O676" s="631">
        <f t="shared" si="82"/>
        <v>0</v>
      </c>
      <c r="P676" s="579"/>
      <c r="Q676" s="579"/>
    </row>
    <row r="677" spans="1:17" s="624" customFormat="1" x14ac:dyDescent="0.25">
      <c r="A677" s="551" t="str">
        <f>+Info!$B$2</f>
        <v>724</v>
      </c>
      <c r="B677" s="226" t="s">
        <v>1959</v>
      </c>
      <c r="C677" s="226" t="str">
        <f t="shared" si="80"/>
        <v>3.10.20.50.000.000.00.000</v>
      </c>
      <c r="D677" s="633"/>
      <c r="F677" s="633"/>
      <c r="G677" s="633"/>
      <c r="H677" s="633"/>
      <c r="I677" s="633"/>
      <c r="J677" s="579"/>
      <c r="K677" s="579"/>
      <c r="L677" s="579"/>
      <c r="M677" s="579"/>
      <c r="N677" s="579"/>
      <c r="O677" s="631">
        <f t="shared" si="82"/>
        <v>0</v>
      </c>
      <c r="P677" s="579"/>
      <c r="Q677" s="579"/>
    </row>
    <row r="678" spans="1:17" s="624" customFormat="1" x14ac:dyDescent="0.25">
      <c r="A678" s="551" t="str">
        <f>+Info!$B$2</f>
        <v>724</v>
      </c>
      <c r="B678" s="226" t="s">
        <v>1959</v>
      </c>
      <c r="C678" s="226" t="str">
        <f t="shared" si="80"/>
        <v>3.10.20.50.000.000.00.000</v>
      </c>
      <c r="D678" s="633"/>
      <c r="F678" s="633"/>
      <c r="G678" s="633"/>
      <c r="H678" s="633"/>
      <c r="I678" s="633"/>
      <c r="J678" s="579"/>
      <c r="K678" s="579"/>
      <c r="L678" s="579"/>
      <c r="M678" s="579"/>
      <c r="N678" s="579"/>
      <c r="O678" s="631">
        <f t="shared" si="82"/>
        <v>0</v>
      </c>
      <c r="P678" s="579"/>
      <c r="Q678" s="579"/>
    </row>
    <row r="679" spans="1:17" s="624" customFormat="1" x14ac:dyDescent="0.25">
      <c r="A679" s="551" t="str">
        <f>+Info!$B$2</f>
        <v>724</v>
      </c>
      <c r="B679" s="226" t="s">
        <v>1959</v>
      </c>
      <c r="C679" s="226" t="str">
        <f t="shared" si="80"/>
        <v>3.10.20.50.000.000.00.000</v>
      </c>
      <c r="D679" s="633"/>
      <c r="F679" s="633"/>
      <c r="G679" s="633"/>
      <c r="H679" s="633"/>
      <c r="I679" s="633"/>
      <c r="J679" s="579"/>
      <c r="K679" s="579"/>
      <c r="L679" s="579"/>
      <c r="M679" s="579"/>
      <c r="N679" s="579"/>
      <c r="O679" s="631">
        <f t="shared" si="82"/>
        <v>0</v>
      </c>
      <c r="P679" s="579"/>
      <c r="Q679" s="579"/>
    </row>
    <row r="680" spans="1:17" s="624" customFormat="1" x14ac:dyDescent="0.25">
      <c r="A680" s="551" t="str">
        <f>+Info!$B$2</f>
        <v>724</v>
      </c>
      <c r="B680" s="226" t="s">
        <v>1959</v>
      </c>
      <c r="C680" s="226" t="str">
        <f t="shared" si="80"/>
        <v>3.10.20.50.000.000.00.000</v>
      </c>
      <c r="D680" s="633"/>
      <c r="F680" s="633"/>
      <c r="G680" s="633"/>
      <c r="H680" s="633"/>
      <c r="I680" s="633"/>
      <c r="J680" s="579"/>
      <c r="K680" s="579"/>
      <c r="L680" s="579"/>
      <c r="M680" s="579"/>
      <c r="N680" s="579"/>
      <c r="O680" s="631">
        <f t="shared" si="82"/>
        <v>0</v>
      </c>
      <c r="P680" s="579"/>
      <c r="Q680" s="579"/>
    </row>
    <row r="681" spans="1:17" s="624" customFormat="1" x14ac:dyDescent="0.25">
      <c r="A681" s="551" t="str">
        <f>+Info!$B$2</f>
        <v>724</v>
      </c>
      <c r="B681" s="226" t="s">
        <v>1959</v>
      </c>
      <c r="C681" s="226" t="str">
        <f t="shared" si="80"/>
        <v>3.10.20.50.000.000.00.000</v>
      </c>
      <c r="D681" s="633"/>
      <c r="F681" s="633"/>
      <c r="G681" s="633"/>
      <c r="H681" s="633"/>
      <c r="I681" s="633"/>
      <c r="J681" s="579"/>
      <c r="K681" s="579"/>
      <c r="L681" s="579"/>
      <c r="M681" s="579"/>
      <c r="N681" s="579"/>
      <c r="O681" s="631">
        <f t="shared" si="82"/>
        <v>0</v>
      </c>
      <c r="P681" s="579"/>
      <c r="Q681" s="579"/>
    </row>
    <row r="682" spans="1:17" s="624" customFormat="1" x14ac:dyDescent="0.25">
      <c r="A682" s="551" t="str">
        <f>+Info!$B$2</f>
        <v>724</v>
      </c>
      <c r="B682" s="226" t="s">
        <v>1959</v>
      </c>
      <c r="C682" s="226" t="str">
        <f t="shared" si="80"/>
        <v>3.10.20.50.000.000.00.000</v>
      </c>
      <c r="D682" s="633"/>
      <c r="F682" s="633"/>
      <c r="G682" s="633"/>
      <c r="H682" s="633"/>
      <c r="I682" s="633"/>
      <c r="J682" s="579"/>
      <c r="K682" s="579"/>
      <c r="L682" s="579"/>
      <c r="M682" s="579"/>
      <c r="N682" s="579"/>
      <c r="O682" s="631">
        <f t="shared" si="82"/>
        <v>0</v>
      </c>
      <c r="P682" s="579"/>
      <c r="Q682" s="579"/>
    </row>
    <row r="683" spans="1:17" s="624" customFormat="1" x14ac:dyDescent="0.25">
      <c r="A683" s="551" t="str">
        <f>+Info!$B$2</f>
        <v>724</v>
      </c>
      <c r="B683" s="226" t="s">
        <v>1959</v>
      </c>
      <c r="C683" s="226" t="str">
        <f t="shared" si="80"/>
        <v>3.10.20.50.000.000.00.000</v>
      </c>
      <c r="D683" s="633"/>
      <c r="F683" s="633"/>
      <c r="G683" s="633"/>
      <c r="H683" s="633"/>
      <c r="I683" s="633"/>
      <c r="J683" s="579"/>
      <c r="K683" s="579"/>
      <c r="L683" s="579"/>
      <c r="M683" s="579"/>
      <c r="N683" s="579"/>
      <c r="O683" s="631">
        <f t="shared" si="82"/>
        <v>0</v>
      </c>
      <c r="P683" s="579"/>
      <c r="Q683" s="579"/>
    </row>
    <row r="684" spans="1:17" s="624" customFormat="1" x14ac:dyDescent="0.25">
      <c r="A684" s="551" t="str">
        <f>+Info!$B$2</f>
        <v>724</v>
      </c>
      <c r="B684" s="226" t="s">
        <v>1959</v>
      </c>
      <c r="C684" s="226" t="str">
        <f t="shared" si="80"/>
        <v>3.10.20.50.000.000.00.000</v>
      </c>
      <c r="D684" s="633"/>
      <c r="F684" s="633"/>
      <c r="G684" s="633"/>
      <c r="H684" s="633"/>
      <c r="I684" s="633"/>
      <c r="J684" s="579"/>
      <c r="K684" s="579"/>
      <c r="L684" s="579"/>
      <c r="M684" s="579"/>
      <c r="N684" s="579"/>
      <c r="O684" s="631">
        <f t="shared" si="82"/>
        <v>0</v>
      </c>
      <c r="P684" s="579"/>
      <c r="Q684" s="579"/>
    </row>
    <row r="685" spans="1:17" s="624" customFormat="1" x14ac:dyDescent="0.25">
      <c r="A685" s="551" t="str">
        <f>+Info!$B$2</f>
        <v>724</v>
      </c>
      <c r="B685" s="226" t="s">
        <v>1959</v>
      </c>
      <c r="C685" s="226" t="str">
        <f t="shared" si="80"/>
        <v>3.10.20.50.000.000.00.000</v>
      </c>
      <c r="D685" s="633"/>
      <c r="F685" s="633"/>
      <c r="G685" s="633"/>
      <c r="H685" s="633"/>
      <c r="I685" s="633"/>
      <c r="J685" s="579"/>
      <c r="K685" s="579"/>
      <c r="L685" s="579"/>
      <c r="M685" s="579"/>
      <c r="N685" s="579"/>
      <c r="O685" s="631">
        <f t="shared" si="82"/>
        <v>0</v>
      </c>
      <c r="P685" s="579"/>
      <c r="Q685" s="579"/>
    </row>
    <row r="686" spans="1:17" s="624" customFormat="1" x14ac:dyDescent="0.25">
      <c r="A686" s="551" t="str">
        <f>+Info!$B$2</f>
        <v>724</v>
      </c>
      <c r="B686" s="226" t="s">
        <v>1959</v>
      </c>
      <c r="C686" s="226" t="str">
        <f t="shared" si="80"/>
        <v>3.10.20.50.000.000.00.000</v>
      </c>
      <c r="D686" s="633"/>
      <c r="F686" s="633"/>
      <c r="G686" s="633"/>
      <c r="H686" s="633"/>
      <c r="I686" s="633"/>
      <c r="J686" s="579"/>
      <c r="K686" s="579"/>
      <c r="L686" s="579"/>
      <c r="M686" s="579"/>
      <c r="N686" s="579"/>
      <c r="O686" s="631">
        <f t="shared" si="82"/>
        <v>0</v>
      </c>
      <c r="P686" s="579"/>
      <c r="Q686" s="579"/>
    </row>
    <row r="687" spans="1:17" s="624" customFormat="1" x14ac:dyDescent="0.25">
      <c r="A687" s="551" t="str">
        <f>+Info!$B$2</f>
        <v>724</v>
      </c>
      <c r="B687" s="226" t="s">
        <v>1959</v>
      </c>
      <c r="C687" s="226" t="str">
        <f t="shared" si="80"/>
        <v>3.10.20.50.000.000.00.000</v>
      </c>
      <c r="D687" s="633"/>
      <c r="F687" s="633"/>
      <c r="G687" s="633"/>
      <c r="H687" s="633"/>
      <c r="I687" s="633"/>
      <c r="J687" s="579"/>
      <c r="K687" s="579"/>
      <c r="L687" s="579"/>
      <c r="M687" s="579"/>
      <c r="N687" s="579"/>
      <c r="O687" s="631">
        <f t="shared" si="82"/>
        <v>0</v>
      </c>
      <c r="P687" s="579"/>
      <c r="Q687" s="579"/>
    </row>
    <row r="688" spans="1:17" s="624" customFormat="1" x14ac:dyDescent="0.25">
      <c r="A688" s="551" t="str">
        <f>+Info!$B$2</f>
        <v>724</v>
      </c>
      <c r="B688" s="638" t="s">
        <v>1959</v>
      </c>
      <c r="C688" s="638" t="str">
        <f t="shared" si="80"/>
        <v>3.10.20.50.000.000.00.000</v>
      </c>
      <c r="D688" s="633"/>
      <c r="E688" s="639"/>
      <c r="F688" s="633"/>
      <c r="G688" s="633"/>
      <c r="H688" s="633"/>
      <c r="I688" s="633"/>
      <c r="J688" s="579"/>
      <c r="K688" s="579"/>
      <c r="L688" s="579"/>
      <c r="M688" s="579"/>
      <c r="N688" s="579"/>
      <c r="O688" s="631">
        <f t="shared" si="82"/>
        <v>0</v>
      </c>
      <c r="P688" s="579"/>
      <c r="Q688" s="579"/>
    </row>
    <row r="689" spans="1:9" s="624" customFormat="1" x14ac:dyDescent="0.25">
      <c r="A689" s="551" t="str">
        <f>+Info!$B$2</f>
        <v>724</v>
      </c>
      <c r="B689" s="640" t="e">
        <f t="shared" ref="B689:B711" si="83">NA()</f>
        <v>#N/A</v>
      </c>
      <c r="C689" s="640"/>
    </row>
    <row r="690" spans="1:9" s="624" customFormat="1" x14ac:dyDescent="0.25">
      <c r="A690" s="551" t="str">
        <f>+Info!$B$2</f>
        <v>724</v>
      </c>
      <c r="B690" s="640" t="e">
        <f t="shared" si="83"/>
        <v>#N/A</v>
      </c>
      <c r="C690" s="640"/>
    </row>
    <row r="691" spans="1:9" s="624" customFormat="1" ht="11.25" customHeight="1" x14ac:dyDescent="0.25">
      <c r="A691" s="551" t="str">
        <f>+Info!$B$2</f>
        <v>724</v>
      </c>
      <c r="B691" s="640" t="e">
        <f t="shared" si="83"/>
        <v>#N/A</v>
      </c>
      <c r="C691" s="640"/>
      <c r="D691" s="921" t="s">
        <v>4362</v>
      </c>
      <c r="E691" s="623"/>
      <c r="F691" s="905" t="s">
        <v>4271</v>
      </c>
      <c r="G691" s="905"/>
      <c r="H691" s="905"/>
      <c r="I691" s="919" t="s">
        <v>3815</v>
      </c>
    </row>
    <row r="692" spans="1:9" s="624" customFormat="1" ht="36" x14ac:dyDescent="0.25">
      <c r="A692" s="551" t="str">
        <f>+Info!$B$2</f>
        <v>724</v>
      </c>
      <c r="B692" s="640" t="e">
        <f t="shared" si="83"/>
        <v>#N/A</v>
      </c>
      <c r="C692" s="640"/>
      <c r="D692" s="921"/>
      <c r="E692" s="623"/>
      <c r="F692" s="340" t="str">
        <f>"Valore
al 31/12/"&amp;Info!$B$3-3&amp;" e precedenti"</f>
        <v>Valore
al 31/12/2017 e precedenti</v>
      </c>
      <c r="G692" s="340" t="str">
        <f>"Valore
al 31/12/"&amp;Info!$B$3-2</f>
        <v>Valore
al 31/12/2018</v>
      </c>
      <c r="H692" s="340" t="str">
        <f>"Valore
al 31/12/"&amp;Info!$B$3-1&amp;" (valore iniziale)"</f>
        <v>Valore
al 31/12/2019 (valore iniziale)</v>
      </c>
      <c r="I692" s="919"/>
    </row>
    <row r="693" spans="1:9" s="624" customFormat="1" ht="11.25" customHeight="1" x14ac:dyDescent="0.25">
      <c r="A693" s="551" t="str">
        <f>+Info!$B$2</f>
        <v>724</v>
      </c>
      <c r="B693" s="640" t="e">
        <f t="shared" si="83"/>
        <v>#N/A</v>
      </c>
      <c r="C693" s="640"/>
      <c r="D693" s="641" t="s">
        <v>3517</v>
      </c>
      <c r="F693" s="635">
        <v>1333457</v>
      </c>
      <c r="G693" s="642">
        <f>+F698</f>
        <v>1333457</v>
      </c>
      <c r="H693" s="642">
        <f>+G698</f>
        <v>1333457</v>
      </c>
      <c r="I693" s="642">
        <f>+H698</f>
        <v>1333457</v>
      </c>
    </row>
    <row r="694" spans="1:9" s="624" customFormat="1" ht="11.25" customHeight="1" x14ac:dyDescent="0.25">
      <c r="A694" s="551" t="str">
        <f>+Info!$B$2</f>
        <v>724</v>
      </c>
      <c r="B694" s="640" t="e">
        <f t="shared" si="83"/>
        <v>#N/A</v>
      </c>
      <c r="C694" s="640"/>
      <c r="D694" s="641" t="s">
        <v>3878</v>
      </c>
      <c r="F694" s="633"/>
      <c r="G694" s="633"/>
      <c r="H694" s="633"/>
      <c r="I694" s="633"/>
    </row>
    <row r="695" spans="1:9" s="624" customFormat="1" ht="11.25" customHeight="1" x14ac:dyDescent="0.25">
      <c r="A695" s="551" t="str">
        <f>+Info!$B$2</f>
        <v>724</v>
      </c>
      <c r="B695" s="640" t="e">
        <f t="shared" si="83"/>
        <v>#N/A</v>
      </c>
      <c r="C695" s="640"/>
      <c r="D695" s="641" t="s">
        <v>4210</v>
      </c>
      <c r="F695" s="633"/>
      <c r="G695" s="633"/>
      <c r="H695" s="633"/>
      <c r="I695" s="633"/>
    </row>
    <row r="696" spans="1:9" s="624" customFormat="1" ht="11.25" customHeight="1" x14ac:dyDescent="0.25">
      <c r="A696" s="551" t="str">
        <f>+Info!$B$2</f>
        <v>724</v>
      </c>
      <c r="B696" s="640" t="e">
        <f t="shared" si="83"/>
        <v>#N/A</v>
      </c>
      <c r="C696" s="640"/>
      <c r="D696" s="641" t="s">
        <v>4363</v>
      </c>
      <c r="F696" s="633"/>
      <c r="G696" s="633"/>
      <c r="H696" s="633"/>
      <c r="I696" s="633"/>
    </row>
    <row r="697" spans="1:9" s="624" customFormat="1" ht="11.25" customHeight="1" x14ac:dyDescent="0.25">
      <c r="A697" s="551" t="str">
        <f>+Info!$B$2</f>
        <v>724</v>
      </c>
      <c r="B697" s="640" t="e">
        <f t="shared" si="83"/>
        <v>#N/A</v>
      </c>
      <c r="C697" s="640"/>
      <c r="D697" s="641" t="s">
        <v>3881</v>
      </c>
      <c r="F697" s="633"/>
      <c r="G697" s="633"/>
      <c r="H697" s="633"/>
      <c r="I697" s="633"/>
    </row>
    <row r="698" spans="1:9" s="624" customFormat="1" ht="18" customHeight="1" x14ac:dyDescent="0.25">
      <c r="A698" s="551" t="str">
        <f>+Info!$B$2</f>
        <v>724</v>
      </c>
      <c r="B698" s="640" t="e">
        <f t="shared" si="83"/>
        <v>#N/A</v>
      </c>
      <c r="C698" s="640"/>
      <c r="D698" s="643" t="s">
        <v>3815</v>
      </c>
      <c r="F698" s="644">
        <f>+F693+F694+F695-F696+F697</f>
        <v>1333457</v>
      </c>
      <c r="G698" s="644">
        <f>+G693+G694+G695-G696+G697</f>
        <v>1333457</v>
      </c>
      <c r="H698" s="644">
        <f>+H693+H694+H695-H696+H697</f>
        <v>1333457</v>
      </c>
      <c r="I698" s="644">
        <f>+I693+I694+I695-I696+I697</f>
        <v>1333457</v>
      </c>
    </row>
    <row r="699" spans="1:9" s="624" customFormat="1" x14ac:dyDescent="0.25">
      <c r="A699" s="551" t="str">
        <f>+Info!$B$2</f>
        <v>724</v>
      </c>
      <c r="B699" s="640" t="e">
        <f t="shared" si="83"/>
        <v>#N/A</v>
      </c>
      <c r="C699" s="640"/>
    </row>
    <row r="700" spans="1:9" s="624" customFormat="1" x14ac:dyDescent="0.25">
      <c r="A700" s="551" t="str">
        <f>+Info!$B$2</f>
        <v>724</v>
      </c>
      <c r="B700" s="640" t="e">
        <f t="shared" si="83"/>
        <v>#N/A</v>
      </c>
      <c r="C700" s="640"/>
    </row>
    <row r="701" spans="1:9" s="624" customFormat="1" ht="11.25" customHeight="1" x14ac:dyDescent="0.25">
      <c r="A701" s="551" t="str">
        <f>+Info!$B$2</f>
        <v>724</v>
      </c>
      <c r="B701" s="640" t="e">
        <f t="shared" si="83"/>
        <v>#N/A</v>
      </c>
      <c r="C701" s="640"/>
      <c r="D701" s="921" t="s">
        <v>4364</v>
      </c>
      <c r="E701" s="623"/>
      <c r="F701" s="905" t="s">
        <v>4271</v>
      </c>
      <c r="G701" s="905"/>
      <c r="H701" s="905"/>
      <c r="I701" s="919" t="s">
        <v>3815</v>
      </c>
    </row>
    <row r="702" spans="1:9" s="624" customFormat="1" ht="36" x14ac:dyDescent="0.25">
      <c r="A702" s="551" t="str">
        <f>+Info!$B$2</f>
        <v>724</v>
      </c>
      <c r="B702" s="640" t="e">
        <f t="shared" si="83"/>
        <v>#N/A</v>
      </c>
      <c r="C702" s="640"/>
      <c r="D702" s="921"/>
      <c r="E702" s="623"/>
      <c r="F702" s="340" t="str">
        <f>+F692</f>
        <v>Valore
al 31/12/2017 e precedenti</v>
      </c>
      <c r="G702" s="340" t="str">
        <f>+G692</f>
        <v>Valore
al 31/12/2018</v>
      </c>
      <c r="H702" s="340" t="str">
        <f>+H692</f>
        <v>Valore
al 31/12/2019 (valore iniziale)</v>
      </c>
      <c r="I702" s="919"/>
    </row>
    <row r="703" spans="1:9" s="624" customFormat="1" ht="11.25" customHeight="1" x14ac:dyDescent="0.25">
      <c r="A703" s="551" t="str">
        <f>+Info!$B$2</f>
        <v>724</v>
      </c>
      <c r="B703" s="640" t="e">
        <f t="shared" si="83"/>
        <v>#N/A</v>
      </c>
      <c r="C703" s="640"/>
      <c r="D703" s="641" t="s">
        <v>3517</v>
      </c>
      <c r="F703" s="633"/>
      <c r="G703" s="642">
        <f>+F708</f>
        <v>0</v>
      </c>
      <c r="H703" s="642">
        <f>+G708</f>
        <v>0</v>
      </c>
      <c r="I703" s="642">
        <f>+H708</f>
        <v>0</v>
      </c>
    </row>
    <row r="704" spans="1:9" s="624" customFormat="1" ht="11.25" customHeight="1" x14ac:dyDescent="0.25">
      <c r="A704" s="551" t="str">
        <f>+Info!$B$2</f>
        <v>724</v>
      </c>
      <c r="B704" s="640" t="e">
        <f t="shared" si="83"/>
        <v>#N/A</v>
      </c>
      <c r="C704" s="640"/>
      <c r="D704" s="641" t="s">
        <v>3878</v>
      </c>
      <c r="F704" s="633"/>
      <c r="G704" s="633"/>
      <c r="H704" s="633"/>
      <c r="I704" s="633"/>
    </row>
    <row r="705" spans="1:32" s="624" customFormat="1" ht="11.25" customHeight="1" x14ac:dyDescent="0.25">
      <c r="A705" s="551" t="str">
        <f>+Info!$B$2</f>
        <v>724</v>
      </c>
      <c r="B705" s="640" t="e">
        <f t="shared" si="83"/>
        <v>#N/A</v>
      </c>
      <c r="C705" s="640"/>
      <c r="D705" s="641" t="s">
        <v>4210</v>
      </c>
      <c r="F705" s="633"/>
      <c r="G705" s="633"/>
      <c r="H705" s="633"/>
      <c r="I705" s="633"/>
    </row>
    <row r="706" spans="1:32" s="624" customFormat="1" ht="11.25" customHeight="1" x14ac:dyDescent="0.25">
      <c r="A706" s="551" t="str">
        <f>+Info!$B$2</f>
        <v>724</v>
      </c>
      <c r="B706" s="640" t="e">
        <f t="shared" si="83"/>
        <v>#N/A</v>
      </c>
      <c r="C706" s="640"/>
      <c r="D706" s="641" t="s">
        <v>4363</v>
      </c>
      <c r="F706" s="633"/>
      <c r="G706" s="633"/>
      <c r="H706" s="633"/>
      <c r="I706" s="633"/>
    </row>
    <row r="707" spans="1:32" s="624" customFormat="1" ht="11.25" customHeight="1" x14ac:dyDescent="0.25">
      <c r="A707" s="551" t="str">
        <f>+Info!$B$2</f>
        <v>724</v>
      </c>
      <c r="B707" s="640" t="e">
        <f t="shared" si="83"/>
        <v>#N/A</v>
      </c>
      <c r="C707" s="640"/>
      <c r="D707" s="641" t="s">
        <v>3881</v>
      </c>
      <c r="F707" s="633"/>
      <c r="G707" s="633"/>
      <c r="H707" s="633"/>
      <c r="I707" s="633"/>
    </row>
    <row r="708" spans="1:32" s="624" customFormat="1" ht="18" customHeight="1" x14ac:dyDescent="0.25">
      <c r="A708" s="551" t="str">
        <f>+Info!$B$2</f>
        <v>724</v>
      </c>
      <c r="B708" s="640" t="e">
        <f t="shared" si="83"/>
        <v>#N/A</v>
      </c>
      <c r="C708" s="640"/>
      <c r="D708" s="643" t="s">
        <v>3815</v>
      </c>
      <c r="F708" s="644">
        <f>+F703+F704+F705-F706+F707</f>
        <v>0</v>
      </c>
      <c r="G708" s="644">
        <f>+G703+G704+G705-G706+G707</f>
        <v>0</v>
      </c>
      <c r="H708" s="644">
        <f>+H703+H704+H705-H706+H707</f>
        <v>0</v>
      </c>
      <c r="I708" s="644">
        <f>+I703+I704+I705-I706+I707</f>
        <v>0</v>
      </c>
    </row>
    <row r="709" spans="1:32" x14ac:dyDescent="0.25">
      <c r="A709" s="551" t="str">
        <f>+Info!$B$2</f>
        <v>724</v>
      </c>
      <c r="B709" s="551" t="e">
        <f t="shared" si="83"/>
        <v>#N/A</v>
      </c>
    </row>
    <row r="710" spans="1:32" s="624" customFormat="1" ht="24" customHeight="1" x14ac:dyDescent="0.25">
      <c r="A710" s="551" t="str">
        <f>+Info!$B$2</f>
        <v>724</v>
      </c>
      <c r="B710" s="640" t="e">
        <f t="shared" si="83"/>
        <v>#N/A</v>
      </c>
      <c r="C710" s="640"/>
      <c r="D710" s="919" t="s">
        <v>4365</v>
      </c>
      <c r="E710" s="623"/>
      <c r="F710" s="919" t="s">
        <v>4366</v>
      </c>
      <c r="G710" s="919" t="s">
        <v>4367</v>
      </c>
      <c r="H710" s="919" t="s">
        <v>4368</v>
      </c>
      <c r="I710" s="920" t="s">
        <v>4369</v>
      </c>
      <c r="J710" s="919" t="s">
        <v>4370</v>
      </c>
      <c r="K710" s="919" t="s">
        <v>4371</v>
      </c>
      <c r="L710" s="919" t="s">
        <v>4372</v>
      </c>
      <c r="M710" s="919" t="s">
        <v>4373</v>
      </c>
    </row>
    <row r="711" spans="1:32" s="624" customFormat="1" ht="24" customHeight="1" x14ac:dyDescent="0.25">
      <c r="A711" s="551" t="str">
        <f>+Info!$B$2</f>
        <v>724</v>
      </c>
      <c r="B711" s="640" t="e">
        <f t="shared" si="83"/>
        <v>#N/A</v>
      </c>
      <c r="C711" s="640"/>
      <c r="D711" s="919"/>
      <c r="E711" s="623"/>
      <c r="F711" s="919"/>
      <c r="G711" s="919"/>
      <c r="H711" s="919"/>
      <c r="I711" s="920"/>
      <c r="J711" s="919"/>
      <c r="K711" s="919"/>
      <c r="L711" s="919"/>
      <c r="M711" s="919"/>
    </row>
    <row r="712" spans="1:32" s="624" customFormat="1" x14ac:dyDescent="0.25">
      <c r="A712" s="551" t="str">
        <f>+Info!$B$2</f>
        <v>724</v>
      </c>
      <c r="B712" s="274" t="s">
        <v>2260</v>
      </c>
      <c r="C712" s="274" t="str">
        <f t="shared" ref="C712:C718" si="84">$C$719</f>
        <v>3.40.10.00.000.000.00.000</v>
      </c>
      <c r="D712" s="563" t="s">
        <v>4374</v>
      </c>
      <c r="F712" s="563" t="s">
        <v>4375</v>
      </c>
      <c r="G712" s="563" t="s">
        <v>4376</v>
      </c>
      <c r="H712" s="563" t="s">
        <v>4377</v>
      </c>
      <c r="I712" s="579">
        <v>4000000</v>
      </c>
      <c r="J712" s="645">
        <v>44192</v>
      </c>
      <c r="K712" s="579">
        <v>220693</v>
      </c>
      <c r="L712" s="564"/>
      <c r="M712" s="563"/>
    </row>
    <row r="713" spans="1:32" s="624" customFormat="1" x14ac:dyDescent="0.25">
      <c r="A713" s="551" t="str">
        <f>+Info!$B$2</f>
        <v>724</v>
      </c>
      <c r="B713" s="274" t="s">
        <v>2260</v>
      </c>
      <c r="C713" s="274" t="str">
        <f t="shared" si="84"/>
        <v>3.40.10.00.000.000.00.000</v>
      </c>
      <c r="D713" s="563"/>
      <c r="F713" s="563"/>
      <c r="G713" s="563"/>
      <c r="H713" s="563"/>
      <c r="I713" s="579"/>
      <c r="J713" s="563"/>
      <c r="K713" s="579"/>
      <c r="L713" s="564"/>
      <c r="M713" s="563"/>
    </row>
    <row r="714" spans="1:32" s="624" customFormat="1" x14ac:dyDescent="0.25">
      <c r="A714" s="551" t="str">
        <f>+Info!$B$2</f>
        <v>724</v>
      </c>
      <c r="B714" s="274" t="s">
        <v>2260</v>
      </c>
      <c r="C714" s="274" t="str">
        <f t="shared" si="84"/>
        <v>3.40.10.00.000.000.00.000</v>
      </c>
      <c r="D714" s="563"/>
      <c r="F714" s="563"/>
      <c r="G714" s="563"/>
      <c r="H714" s="563"/>
      <c r="I714" s="579"/>
      <c r="J714" s="563"/>
      <c r="K714" s="579"/>
      <c r="L714" s="564"/>
      <c r="M714" s="563"/>
    </row>
    <row r="715" spans="1:32" s="624" customFormat="1" x14ac:dyDescent="0.25">
      <c r="A715" s="551" t="str">
        <f>+Info!$B$2</f>
        <v>724</v>
      </c>
      <c r="B715" s="274" t="s">
        <v>2260</v>
      </c>
      <c r="C715" s="274" t="str">
        <f t="shared" si="84"/>
        <v>3.40.10.00.000.000.00.000</v>
      </c>
      <c r="D715" s="563"/>
      <c r="F715" s="563"/>
      <c r="G715" s="563"/>
      <c r="H715" s="563"/>
      <c r="I715" s="579"/>
      <c r="J715" s="563"/>
      <c r="K715" s="579"/>
      <c r="L715" s="564"/>
      <c r="M715" s="563"/>
    </row>
    <row r="716" spans="1:32" s="624" customFormat="1" x14ac:dyDescent="0.25">
      <c r="A716" s="551" t="str">
        <f>+Info!$B$2</f>
        <v>724</v>
      </c>
      <c r="B716" s="274" t="s">
        <v>2260</v>
      </c>
      <c r="C716" s="274" t="str">
        <f t="shared" si="84"/>
        <v>3.40.10.00.000.000.00.000</v>
      </c>
      <c r="D716" s="563"/>
      <c r="F716" s="563"/>
      <c r="G716" s="563"/>
      <c r="H716" s="563"/>
      <c r="I716" s="579"/>
      <c r="J716" s="563"/>
      <c r="K716" s="579"/>
      <c r="L716" s="564"/>
      <c r="M716" s="563"/>
    </row>
    <row r="717" spans="1:32" s="624" customFormat="1" x14ac:dyDescent="0.25">
      <c r="A717" s="551" t="str">
        <f>+Info!$B$2</f>
        <v>724</v>
      </c>
      <c r="B717" s="274" t="s">
        <v>2260</v>
      </c>
      <c r="C717" s="274" t="str">
        <f t="shared" si="84"/>
        <v>3.40.10.00.000.000.00.000</v>
      </c>
      <c r="D717" s="563"/>
      <c r="F717" s="563"/>
      <c r="G717" s="563"/>
      <c r="H717" s="563"/>
      <c r="I717" s="579"/>
      <c r="J717" s="563"/>
      <c r="K717" s="579"/>
      <c r="L717" s="564"/>
      <c r="M717" s="563"/>
    </row>
    <row r="718" spans="1:32" s="624" customFormat="1" ht="15" customHeight="1" x14ac:dyDescent="0.25">
      <c r="A718" s="551" t="str">
        <f>+Info!$B$2</f>
        <v>724</v>
      </c>
      <c r="B718" s="274" t="s">
        <v>2260</v>
      </c>
      <c r="C718" s="274" t="str">
        <f t="shared" si="84"/>
        <v>3.40.10.00.000.000.00.000</v>
      </c>
      <c r="D718" s="563"/>
      <c r="F718" s="563"/>
      <c r="G718" s="563"/>
      <c r="H718" s="563"/>
      <c r="I718" s="579"/>
      <c r="J718" s="563"/>
      <c r="K718" s="579"/>
      <c r="L718" s="564"/>
      <c r="M718" s="563"/>
    </row>
    <row r="719" spans="1:32" s="624" customFormat="1" x14ac:dyDescent="0.25">
      <c r="A719" s="551" t="str">
        <f>+Info!$B$2</f>
        <v>724</v>
      </c>
      <c r="B719" s="626" t="s">
        <v>2260</v>
      </c>
      <c r="C719" s="626" t="s">
        <v>2261</v>
      </c>
      <c r="D719" s="646" t="s">
        <v>4378</v>
      </c>
      <c r="F719" s="647"/>
      <c r="G719" s="647"/>
      <c r="H719" s="647"/>
      <c r="I719" s="644">
        <f>SUM(I712:I718)</f>
        <v>4000000</v>
      </c>
      <c r="J719" s="647"/>
      <c r="K719" s="644">
        <f>SUM(K712:K718)</f>
        <v>220693</v>
      </c>
      <c r="L719" s="612" t="str">
        <f>IF(K719=N719,"Quadratura OK!","Squadratura con dati Bilancio")</f>
        <v>Quadratura OK!</v>
      </c>
      <c r="M719" s="612"/>
      <c r="N719" s="569">
        <f>SUMIF('NI-San_SP'!$C:$C,$C719,'NI-San_SP'!$Z:$Z)</f>
        <v>220693</v>
      </c>
      <c r="AC719" s="624" t="str">
        <f>C719</f>
        <v>3.40.10.00.000.000.00.000</v>
      </c>
      <c r="AD719" s="629">
        <f>K719</f>
        <v>220693</v>
      </c>
      <c r="AE719" s="648">
        <f>N719</f>
        <v>220693</v>
      </c>
      <c r="AF719" s="551">
        <f>IF($AD719=$AE719,0,1)</f>
        <v>0</v>
      </c>
    </row>
    <row r="720" spans="1:32" s="624" customFormat="1" x14ac:dyDescent="0.25">
      <c r="A720" s="551" t="str">
        <f>+Info!$B$2</f>
        <v>724</v>
      </c>
      <c r="B720" s="640"/>
      <c r="C720" s="640"/>
    </row>
    <row r="721" spans="1:14" s="624" customFormat="1" hidden="1" x14ac:dyDescent="0.25">
      <c r="A721" s="551" t="str">
        <f>+Info!$B$2</f>
        <v>724</v>
      </c>
      <c r="B721" s="640"/>
      <c r="C721" s="640"/>
    </row>
    <row r="722" spans="1:14" s="649" customFormat="1" hidden="1" x14ac:dyDescent="0.25">
      <c r="A722" s="551" t="str">
        <f>+Info!$B$2</f>
        <v>724</v>
      </c>
      <c r="B722" s="640"/>
      <c r="C722" s="640"/>
      <c r="D722" s="624"/>
      <c r="E722" s="624"/>
      <c r="F722" s="624"/>
      <c r="G722" s="624"/>
      <c r="H722" s="624"/>
    </row>
    <row r="723" spans="1:14" s="649" customFormat="1" ht="15" hidden="1" customHeight="1" x14ac:dyDescent="0.25">
      <c r="A723" s="551" t="str">
        <f>+Info!$B$2</f>
        <v>724</v>
      </c>
      <c r="B723" s="640"/>
      <c r="C723" s="640"/>
      <c r="D723" s="624"/>
      <c r="E723" s="624"/>
      <c r="F723" s="624"/>
      <c r="G723" s="624"/>
      <c r="H723" s="624"/>
    </row>
    <row r="724" spans="1:14" s="649" customFormat="1" ht="15" hidden="1" customHeight="1" x14ac:dyDescent="0.25">
      <c r="A724" s="551" t="str">
        <f>+Info!$B$2</f>
        <v>724</v>
      </c>
      <c r="B724" s="640"/>
      <c r="C724" s="640"/>
      <c r="D724" s="624"/>
      <c r="E724" s="624"/>
      <c r="F724" s="624"/>
      <c r="G724" s="624"/>
      <c r="H724" s="624"/>
    </row>
    <row r="725" spans="1:14" s="649" customFormat="1" ht="15" hidden="1" customHeight="1" x14ac:dyDescent="0.25">
      <c r="A725" s="551" t="str">
        <f>+Info!$B$2</f>
        <v>724</v>
      </c>
      <c r="B725" s="640"/>
      <c r="C725" s="640"/>
      <c r="D725" s="624"/>
      <c r="E725" s="624"/>
      <c r="F725" s="624"/>
      <c r="G725" s="624"/>
      <c r="H725" s="624"/>
    </row>
    <row r="726" spans="1:14" s="649" customFormat="1" ht="15" hidden="1" customHeight="1" x14ac:dyDescent="0.25">
      <c r="A726" s="551" t="str">
        <f>+Info!$B$2</f>
        <v>724</v>
      </c>
      <c r="B726" s="640"/>
      <c r="C726" s="640"/>
      <c r="D726" s="624"/>
      <c r="E726" s="624"/>
      <c r="F726" s="624"/>
      <c r="G726" s="624"/>
      <c r="H726" s="624"/>
    </row>
    <row r="727" spans="1:14" s="649" customFormat="1" hidden="1" x14ac:dyDescent="0.25">
      <c r="A727" s="551" t="str">
        <f>+Info!$B$2</f>
        <v>724</v>
      </c>
      <c r="B727" s="640"/>
      <c r="C727" s="640"/>
      <c r="D727" s="624"/>
      <c r="E727" s="624"/>
      <c r="F727" s="624"/>
      <c r="G727" s="624"/>
      <c r="H727" s="624"/>
    </row>
    <row r="728" spans="1:14" x14ac:dyDescent="0.25">
      <c r="A728" s="551" t="str">
        <f>+Info!$B$2</f>
        <v>724</v>
      </c>
    </row>
    <row r="729" spans="1:14" x14ac:dyDescent="0.25">
      <c r="A729" s="551" t="str">
        <f>+Info!$B$2</f>
        <v>724</v>
      </c>
      <c r="B729" s="620"/>
      <c r="C729" s="620"/>
      <c r="D729" s="590" t="s">
        <v>4379</v>
      </c>
      <c r="E729" s="557"/>
      <c r="F729" s="557"/>
      <c r="G729" s="557"/>
      <c r="H729" s="557"/>
      <c r="I729" s="557"/>
      <c r="J729" s="557"/>
      <c r="K729" s="557"/>
      <c r="L729" s="557"/>
      <c r="M729" s="557"/>
      <c r="N729" s="557"/>
    </row>
    <row r="730" spans="1:14" x14ac:dyDescent="0.25">
      <c r="A730" s="551" t="str">
        <f>+Info!$B$2</f>
        <v>724</v>
      </c>
      <c r="B730" s="620"/>
      <c r="C730" s="620"/>
      <c r="D730" s="590" t="s">
        <v>4380</v>
      </c>
      <c r="E730" s="918" t="s">
        <v>4381</v>
      </c>
      <c r="F730" s="918"/>
      <c r="G730" s="918"/>
      <c r="H730" s="558" t="str">
        <f>+H470</f>
        <v>Entro 12 mesi (2020)</v>
      </c>
      <c r="I730" s="558" t="str">
        <f>+I470</f>
        <v>Oltre 12 mesi (2020)</v>
      </c>
      <c r="J730" s="558" t="s">
        <v>4300</v>
      </c>
      <c r="K730" s="557"/>
      <c r="L730" s="557"/>
      <c r="M730" s="557"/>
      <c r="N730" s="557"/>
    </row>
    <row r="731" spans="1:14" x14ac:dyDescent="0.25">
      <c r="A731" s="551" t="str">
        <f>+Info!$B$2</f>
        <v>724</v>
      </c>
      <c r="B731" s="274" t="s">
        <v>2654</v>
      </c>
      <c r="C731" s="274" t="str">
        <f t="shared" ref="C731:C757" si="85">$C$758</f>
        <v>3.50.10.10.000.000.00.000</v>
      </c>
      <c r="D731" s="563"/>
      <c r="E731" s="917"/>
      <c r="F731" s="917"/>
      <c r="G731" s="917"/>
      <c r="H731" s="621"/>
      <c r="I731" s="621"/>
      <c r="J731" s="559">
        <f t="shared" ref="J731:J757" si="86">+H731+I731</f>
        <v>0</v>
      </c>
      <c r="K731" s="557"/>
      <c r="L731" s="557"/>
      <c r="M731" s="557"/>
      <c r="N731" s="557"/>
    </row>
    <row r="732" spans="1:14" x14ac:dyDescent="0.25">
      <c r="A732" s="551" t="str">
        <f>+Info!$B$2</f>
        <v>724</v>
      </c>
      <c r="B732" s="274" t="s">
        <v>2654</v>
      </c>
      <c r="C732" s="274" t="str">
        <f t="shared" si="85"/>
        <v>3.50.10.10.000.000.00.000</v>
      </c>
      <c r="D732" s="563"/>
      <c r="E732" s="917"/>
      <c r="F732" s="917"/>
      <c r="G732" s="917"/>
      <c r="H732" s="621"/>
      <c r="I732" s="621"/>
      <c r="J732" s="559">
        <f t="shared" si="86"/>
        <v>0</v>
      </c>
      <c r="K732" s="557"/>
      <c r="L732" s="557"/>
      <c r="M732" s="557"/>
      <c r="N732" s="557"/>
    </row>
    <row r="733" spans="1:14" x14ac:dyDescent="0.25">
      <c r="A733" s="551" t="str">
        <f>+Info!$B$2</f>
        <v>724</v>
      </c>
      <c r="B733" s="274" t="s">
        <v>2654</v>
      </c>
      <c r="C733" s="274" t="str">
        <f t="shared" si="85"/>
        <v>3.50.10.10.000.000.00.000</v>
      </c>
      <c r="D733" s="563"/>
      <c r="E733" s="917"/>
      <c r="F733" s="917"/>
      <c r="G733" s="917"/>
      <c r="H733" s="621"/>
      <c r="I733" s="621"/>
      <c r="J733" s="559">
        <f t="shared" si="86"/>
        <v>0</v>
      </c>
      <c r="K733" s="557"/>
      <c r="L733" s="557"/>
      <c r="M733" s="557"/>
      <c r="N733" s="557"/>
    </row>
    <row r="734" spans="1:14" x14ac:dyDescent="0.25">
      <c r="A734" s="551" t="str">
        <f>+Info!$B$2</f>
        <v>724</v>
      </c>
      <c r="B734" s="274" t="s">
        <v>2654</v>
      </c>
      <c r="C734" s="274" t="str">
        <f t="shared" si="85"/>
        <v>3.50.10.10.000.000.00.000</v>
      </c>
      <c r="D734" s="563"/>
      <c r="E734" s="917"/>
      <c r="F734" s="917"/>
      <c r="G734" s="917"/>
      <c r="H734" s="621"/>
      <c r="I734" s="621"/>
      <c r="J734" s="559">
        <f t="shared" si="86"/>
        <v>0</v>
      </c>
      <c r="K734" s="557"/>
      <c r="L734" s="557"/>
      <c r="M734" s="557"/>
      <c r="N734" s="557"/>
    </row>
    <row r="735" spans="1:14" x14ac:dyDescent="0.25">
      <c r="A735" s="551" t="str">
        <f>+Info!$B$2</f>
        <v>724</v>
      </c>
      <c r="B735" s="274" t="s">
        <v>2654</v>
      </c>
      <c r="C735" s="274" t="str">
        <f t="shared" si="85"/>
        <v>3.50.10.10.000.000.00.000</v>
      </c>
      <c r="D735" s="563"/>
      <c r="E735" s="917"/>
      <c r="F735" s="917"/>
      <c r="G735" s="917"/>
      <c r="H735" s="621"/>
      <c r="I735" s="621"/>
      <c r="J735" s="559">
        <f t="shared" si="86"/>
        <v>0</v>
      </c>
      <c r="K735" s="557"/>
      <c r="L735" s="557"/>
      <c r="M735" s="557"/>
      <c r="N735" s="557"/>
    </row>
    <row r="736" spans="1:14" x14ac:dyDescent="0.25">
      <c r="A736" s="551" t="str">
        <f>+Info!$B$2</f>
        <v>724</v>
      </c>
      <c r="B736" s="274" t="s">
        <v>2654</v>
      </c>
      <c r="C736" s="274" t="str">
        <f t="shared" si="85"/>
        <v>3.50.10.10.000.000.00.000</v>
      </c>
      <c r="D736" s="563"/>
      <c r="E736" s="917"/>
      <c r="F736" s="917"/>
      <c r="G736" s="917"/>
      <c r="H736" s="621"/>
      <c r="I736" s="621"/>
      <c r="J736" s="559">
        <f t="shared" si="86"/>
        <v>0</v>
      </c>
      <c r="K736" s="557"/>
      <c r="L736" s="557"/>
      <c r="M736" s="557"/>
      <c r="N736" s="557"/>
    </row>
    <row r="737" spans="1:14" x14ac:dyDescent="0.25">
      <c r="A737" s="551" t="str">
        <f>+Info!$B$2</f>
        <v>724</v>
      </c>
      <c r="B737" s="274" t="s">
        <v>2654</v>
      </c>
      <c r="C737" s="274" t="str">
        <f t="shared" si="85"/>
        <v>3.50.10.10.000.000.00.000</v>
      </c>
      <c r="D737" s="563"/>
      <c r="E737" s="917"/>
      <c r="F737" s="917"/>
      <c r="G737" s="917"/>
      <c r="H737" s="621"/>
      <c r="I737" s="621"/>
      <c r="J737" s="559">
        <f t="shared" si="86"/>
        <v>0</v>
      </c>
      <c r="K737" s="557"/>
      <c r="L737" s="557"/>
      <c r="M737" s="557"/>
      <c r="N737" s="557"/>
    </row>
    <row r="738" spans="1:14" x14ac:dyDescent="0.25">
      <c r="A738" s="551" t="str">
        <f>+Info!$B$2</f>
        <v>724</v>
      </c>
      <c r="B738" s="274" t="s">
        <v>2654</v>
      </c>
      <c r="C738" s="274" t="str">
        <f t="shared" si="85"/>
        <v>3.50.10.10.000.000.00.000</v>
      </c>
      <c r="D738" s="563"/>
      <c r="E738" s="917"/>
      <c r="F738" s="917"/>
      <c r="G738" s="917"/>
      <c r="H738" s="621"/>
      <c r="I738" s="621"/>
      <c r="J738" s="559">
        <f t="shared" si="86"/>
        <v>0</v>
      </c>
      <c r="K738" s="557"/>
      <c r="L738" s="557"/>
      <c r="M738" s="557"/>
      <c r="N738" s="557"/>
    </row>
    <row r="739" spans="1:14" x14ac:dyDescent="0.25">
      <c r="A739" s="551" t="str">
        <f>+Info!$B$2</f>
        <v>724</v>
      </c>
      <c r="B739" s="274" t="s">
        <v>2654</v>
      </c>
      <c r="C739" s="274" t="str">
        <f t="shared" si="85"/>
        <v>3.50.10.10.000.000.00.000</v>
      </c>
      <c r="D739" s="563"/>
      <c r="E739" s="917"/>
      <c r="F739" s="917"/>
      <c r="G739" s="917"/>
      <c r="H739" s="621"/>
      <c r="I739" s="621"/>
      <c r="J739" s="559">
        <f t="shared" si="86"/>
        <v>0</v>
      </c>
      <c r="L739" s="557"/>
      <c r="M739" s="557"/>
      <c r="N739" s="557"/>
    </row>
    <row r="740" spans="1:14" x14ac:dyDescent="0.25">
      <c r="A740" s="551" t="str">
        <f>+Info!$B$2</f>
        <v>724</v>
      </c>
      <c r="B740" s="274" t="s">
        <v>2654</v>
      </c>
      <c r="C740" s="274" t="str">
        <f t="shared" si="85"/>
        <v>3.50.10.10.000.000.00.000</v>
      </c>
      <c r="D740" s="563"/>
      <c r="E740" s="917"/>
      <c r="F740" s="917"/>
      <c r="G740" s="917"/>
      <c r="H740" s="621"/>
      <c r="I740" s="621"/>
      <c r="J740" s="559">
        <f t="shared" si="86"/>
        <v>0</v>
      </c>
      <c r="L740" s="557"/>
      <c r="M740" s="557"/>
      <c r="N740" s="557"/>
    </row>
    <row r="741" spans="1:14" x14ac:dyDescent="0.25">
      <c r="A741" s="551" t="str">
        <f>+Info!$B$2</f>
        <v>724</v>
      </c>
      <c r="B741" s="274" t="s">
        <v>2654</v>
      </c>
      <c r="C741" s="274" t="str">
        <f t="shared" si="85"/>
        <v>3.50.10.10.000.000.00.000</v>
      </c>
      <c r="D741" s="563"/>
      <c r="E741" s="917"/>
      <c r="F741" s="917"/>
      <c r="G741" s="917"/>
      <c r="H741" s="621"/>
      <c r="I741" s="621"/>
      <c r="J741" s="559">
        <f t="shared" si="86"/>
        <v>0</v>
      </c>
      <c r="L741" s="557"/>
      <c r="M741" s="557"/>
      <c r="N741" s="557"/>
    </row>
    <row r="742" spans="1:14" x14ac:dyDescent="0.25">
      <c r="A742" s="551" t="str">
        <f>+Info!$B$2</f>
        <v>724</v>
      </c>
      <c r="B742" s="274" t="s">
        <v>2654</v>
      </c>
      <c r="C742" s="274" t="str">
        <f t="shared" si="85"/>
        <v>3.50.10.10.000.000.00.000</v>
      </c>
      <c r="D742" s="563"/>
      <c r="E742" s="917"/>
      <c r="F742" s="917"/>
      <c r="G742" s="917"/>
      <c r="H742" s="621"/>
      <c r="I742" s="621"/>
      <c r="J742" s="559">
        <f t="shared" si="86"/>
        <v>0</v>
      </c>
    </row>
    <row r="743" spans="1:14" x14ac:dyDescent="0.25">
      <c r="A743" s="551" t="str">
        <f>+Info!$B$2</f>
        <v>724</v>
      </c>
      <c r="B743" s="274" t="s">
        <v>2654</v>
      </c>
      <c r="C743" s="274" t="str">
        <f t="shared" si="85"/>
        <v>3.50.10.10.000.000.00.000</v>
      </c>
      <c r="D743" s="563"/>
      <c r="E743" s="917"/>
      <c r="F743" s="917"/>
      <c r="G743" s="917"/>
      <c r="H743" s="621"/>
      <c r="I743" s="621"/>
      <c r="J743" s="559">
        <f t="shared" si="86"/>
        <v>0</v>
      </c>
    </row>
    <row r="744" spans="1:14" x14ac:dyDescent="0.25">
      <c r="A744" s="551" t="str">
        <f>+Info!$B$2</f>
        <v>724</v>
      </c>
      <c r="B744" s="274" t="s">
        <v>2654</v>
      </c>
      <c r="C744" s="274" t="str">
        <f t="shared" si="85"/>
        <v>3.50.10.10.000.000.00.000</v>
      </c>
      <c r="D744" s="563"/>
      <c r="E744" s="917"/>
      <c r="F744" s="917"/>
      <c r="G744" s="917"/>
      <c r="H744" s="621"/>
      <c r="I744" s="621"/>
      <c r="J744" s="559">
        <f t="shared" si="86"/>
        <v>0</v>
      </c>
    </row>
    <row r="745" spans="1:14" x14ac:dyDescent="0.25">
      <c r="A745" s="551" t="str">
        <f>+Info!$B$2</f>
        <v>724</v>
      </c>
      <c r="B745" s="274" t="s">
        <v>2654</v>
      </c>
      <c r="C745" s="274" t="str">
        <f t="shared" si="85"/>
        <v>3.50.10.10.000.000.00.000</v>
      </c>
      <c r="D745" s="563"/>
      <c r="E745" s="917"/>
      <c r="F745" s="917"/>
      <c r="G745" s="917"/>
      <c r="H745" s="621"/>
      <c r="I745" s="621"/>
      <c r="J745" s="559">
        <f t="shared" si="86"/>
        <v>0</v>
      </c>
    </row>
    <row r="746" spans="1:14" x14ac:dyDescent="0.25">
      <c r="A746" s="551" t="str">
        <f>+Info!$B$2</f>
        <v>724</v>
      </c>
      <c r="B746" s="274" t="s">
        <v>2654</v>
      </c>
      <c r="C746" s="274" t="str">
        <f t="shared" si="85"/>
        <v>3.50.10.10.000.000.00.000</v>
      </c>
      <c r="D746" s="563"/>
      <c r="E746" s="917"/>
      <c r="F746" s="917"/>
      <c r="G746" s="917"/>
      <c r="H746" s="621"/>
      <c r="I746" s="621"/>
      <c r="J746" s="559">
        <f t="shared" si="86"/>
        <v>0</v>
      </c>
    </row>
    <row r="747" spans="1:14" x14ac:dyDescent="0.25">
      <c r="A747" s="551" t="str">
        <f>+Info!$B$2</f>
        <v>724</v>
      </c>
      <c r="B747" s="274" t="s">
        <v>2654</v>
      </c>
      <c r="C747" s="274" t="str">
        <f t="shared" si="85"/>
        <v>3.50.10.10.000.000.00.000</v>
      </c>
      <c r="D747" s="563"/>
      <c r="E747" s="917"/>
      <c r="F747" s="917"/>
      <c r="G747" s="917"/>
      <c r="H747" s="621"/>
      <c r="I747" s="621"/>
      <c r="J747" s="559">
        <f t="shared" si="86"/>
        <v>0</v>
      </c>
    </row>
    <row r="748" spans="1:14" x14ac:dyDescent="0.25">
      <c r="A748" s="551" t="str">
        <f>+Info!$B$2</f>
        <v>724</v>
      </c>
      <c r="B748" s="274" t="s">
        <v>2654</v>
      </c>
      <c r="C748" s="274" t="str">
        <f t="shared" si="85"/>
        <v>3.50.10.10.000.000.00.000</v>
      </c>
      <c r="D748" s="563"/>
      <c r="E748" s="917"/>
      <c r="F748" s="917"/>
      <c r="G748" s="917"/>
      <c r="H748" s="621"/>
      <c r="I748" s="621"/>
      <c r="J748" s="559">
        <f t="shared" si="86"/>
        <v>0</v>
      </c>
    </row>
    <row r="749" spans="1:14" x14ac:dyDescent="0.25">
      <c r="A749" s="551" t="str">
        <f>+Info!$B$2</f>
        <v>724</v>
      </c>
      <c r="B749" s="274" t="s">
        <v>2654</v>
      </c>
      <c r="C749" s="274" t="str">
        <f t="shared" si="85"/>
        <v>3.50.10.10.000.000.00.000</v>
      </c>
      <c r="D749" s="563"/>
      <c r="E749" s="917"/>
      <c r="F749" s="917"/>
      <c r="G749" s="917"/>
      <c r="H749" s="621"/>
      <c r="I749" s="621"/>
      <c r="J749" s="559">
        <f t="shared" si="86"/>
        <v>0</v>
      </c>
    </row>
    <row r="750" spans="1:14" x14ac:dyDescent="0.25">
      <c r="A750" s="551" t="str">
        <f>+Info!$B$2</f>
        <v>724</v>
      </c>
      <c r="B750" s="274" t="s">
        <v>2654</v>
      </c>
      <c r="C750" s="274" t="str">
        <f t="shared" si="85"/>
        <v>3.50.10.10.000.000.00.000</v>
      </c>
      <c r="D750" s="563"/>
      <c r="E750" s="917"/>
      <c r="F750" s="917"/>
      <c r="G750" s="917"/>
      <c r="H750" s="621"/>
      <c r="I750" s="621"/>
      <c r="J750" s="559">
        <f t="shared" si="86"/>
        <v>0</v>
      </c>
    </row>
    <row r="751" spans="1:14" x14ac:dyDescent="0.25">
      <c r="A751" s="551" t="str">
        <f>+Info!$B$2</f>
        <v>724</v>
      </c>
      <c r="B751" s="274" t="s">
        <v>2654</v>
      </c>
      <c r="C751" s="274" t="str">
        <f t="shared" si="85"/>
        <v>3.50.10.10.000.000.00.000</v>
      </c>
      <c r="D751" s="563"/>
      <c r="E751" s="917"/>
      <c r="F751" s="917"/>
      <c r="G751" s="917"/>
      <c r="H751" s="621"/>
      <c r="I751" s="621"/>
      <c r="J751" s="559">
        <f t="shared" si="86"/>
        <v>0</v>
      </c>
    </row>
    <row r="752" spans="1:14" x14ac:dyDescent="0.25">
      <c r="A752" s="551" t="str">
        <f>+Info!$B$2</f>
        <v>724</v>
      </c>
      <c r="B752" s="274" t="s">
        <v>2654</v>
      </c>
      <c r="C752" s="274" t="str">
        <f t="shared" si="85"/>
        <v>3.50.10.10.000.000.00.000</v>
      </c>
      <c r="D752" s="563"/>
      <c r="E752" s="917"/>
      <c r="F752" s="917"/>
      <c r="G752" s="917"/>
      <c r="H752" s="621"/>
      <c r="I752" s="621"/>
      <c r="J752" s="559">
        <f t="shared" si="86"/>
        <v>0</v>
      </c>
    </row>
    <row r="753" spans="1:14" x14ac:dyDescent="0.25">
      <c r="A753" s="551" t="str">
        <f>+Info!$B$2</f>
        <v>724</v>
      </c>
      <c r="B753" s="274" t="s">
        <v>2654</v>
      </c>
      <c r="C753" s="274" t="str">
        <f t="shared" si="85"/>
        <v>3.50.10.10.000.000.00.000</v>
      </c>
      <c r="D753" s="563"/>
      <c r="E753" s="917"/>
      <c r="F753" s="917"/>
      <c r="G753" s="917"/>
      <c r="H753" s="621"/>
      <c r="I753" s="621"/>
      <c r="J753" s="559">
        <f t="shared" si="86"/>
        <v>0</v>
      </c>
    </row>
    <row r="754" spans="1:14" x14ac:dyDescent="0.25">
      <c r="A754" s="551" t="str">
        <f>+Info!$B$2</f>
        <v>724</v>
      </c>
      <c r="B754" s="274" t="s">
        <v>2654</v>
      </c>
      <c r="C754" s="274" t="str">
        <f t="shared" si="85"/>
        <v>3.50.10.10.000.000.00.000</v>
      </c>
      <c r="D754" s="563"/>
      <c r="E754" s="917"/>
      <c r="F754" s="917"/>
      <c r="G754" s="917"/>
      <c r="H754" s="621"/>
      <c r="I754" s="621"/>
      <c r="J754" s="559">
        <f t="shared" si="86"/>
        <v>0</v>
      </c>
    </row>
    <row r="755" spans="1:14" x14ac:dyDescent="0.25">
      <c r="A755" s="551" t="str">
        <f>+Info!$B$2</f>
        <v>724</v>
      </c>
      <c r="B755" s="274" t="s">
        <v>2654</v>
      </c>
      <c r="C755" s="274" t="str">
        <f t="shared" si="85"/>
        <v>3.50.10.10.000.000.00.000</v>
      </c>
      <c r="D755" s="563"/>
      <c r="E755" s="917"/>
      <c r="F755" s="917"/>
      <c r="G755" s="917"/>
      <c r="H755" s="621"/>
      <c r="I755" s="621"/>
      <c r="J755" s="559">
        <f t="shared" si="86"/>
        <v>0</v>
      </c>
    </row>
    <row r="756" spans="1:14" x14ac:dyDescent="0.25">
      <c r="A756" s="551" t="str">
        <f>+Info!$B$2</f>
        <v>724</v>
      </c>
      <c r="B756" s="274" t="s">
        <v>2654</v>
      </c>
      <c r="C756" s="274" t="str">
        <f t="shared" si="85"/>
        <v>3.50.10.10.000.000.00.000</v>
      </c>
      <c r="D756" s="563"/>
      <c r="E756" s="917"/>
      <c r="F756" s="917"/>
      <c r="G756" s="917"/>
      <c r="H756" s="621"/>
      <c r="I756" s="621"/>
      <c r="J756" s="559">
        <f t="shared" si="86"/>
        <v>0</v>
      </c>
    </row>
    <row r="757" spans="1:14" x14ac:dyDescent="0.25">
      <c r="A757" s="551" t="str">
        <f>+Info!$B$2</f>
        <v>724</v>
      </c>
      <c r="B757" s="274" t="s">
        <v>2654</v>
      </c>
      <c r="C757" s="274" t="str">
        <f t="shared" si="85"/>
        <v>3.50.10.10.000.000.00.000</v>
      </c>
      <c r="D757" s="563"/>
      <c r="E757" s="917"/>
      <c r="F757" s="917"/>
      <c r="G757" s="917"/>
      <c r="H757" s="621"/>
      <c r="I757" s="621"/>
      <c r="J757" s="559">
        <f t="shared" si="86"/>
        <v>0</v>
      </c>
    </row>
    <row r="758" spans="1:14" x14ac:dyDescent="0.25">
      <c r="A758" s="551" t="str">
        <f>+Info!$B$2</f>
        <v>724</v>
      </c>
      <c r="B758" s="622" t="s">
        <v>2654</v>
      </c>
      <c r="C758" s="622" t="s">
        <v>2655</v>
      </c>
      <c r="H758" s="622">
        <f>SUM(H731:H757)</f>
        <v>0</v>
      </c>
      <c r="I758" s="622">
        <f>SUM(I731:I757)</f>
        <v>0</v>
      </c>
      <c r="J758" s="622">
        <f>SUM(J731:J757)</f>
        <v>0</v>
      </c>
    </row>
    <row r="759" spans="1:14" ht="24" x14ac:dyDescent="0.25">
      <c r="A759" s="551" t="str">
        <f>+Info!$B$2</f>
        <v>724</v>
      </c>
      <c r="D759" s="590" t="s">
        <v>4382</v>
      </c>
    </row>
    <row r="760" spans="1:14" x14ac:dyDescent="0.25">
      <c r="A760" s="551" t="str">
        <f>+Info!$B$2</f>
        <v>724</v>
      </c>
      <c r="D760" s="590" t="s">
        <v>4383</v>
      </c>
      <c r="E760" s="918" t="s">
        <v>4384</v>
      </c>
      <c r="F760" s="918"/>
      <c r="G760" s="918"/>
      <c r="H760" s="558" t="str">
        <f>+H730</f>
        <v>Entro 12 mesi (2020)</v>
      </c>
      <c r="I760" s="558" t="str">
        <f>+I730</f>
        <v>Oltre 12 mesi (2020)</v>
      </c>
      <c r="J760" s="558" t="s">
        <v>4300</v>
      </c>
      <c r="K760" s="557"/>
      <c r="L760" s="557"/>
      <c r="M760" s="557"/>
      <c r="N760" s="557"/>
    </row>
    <row r="761" spans="1:14" x14ac:dyDescent="0.25">
      <c r="A761" s="551" t="str">
        <f>+Info!$B$2</f>
        <v>724</v>
      </c>
      <c r="B761" s="274" t="s">
        <v>2681</v>
      </c>
      <c r="C761" s="274" t="str">
        <f t="shared" ref="C761:C787" si="87">$C$788</f>
        <v>3.50.20.10.000.000.00.000</v>
      </c>
      <c r="D761" s="650" t="s">
        <v>4385</v>
      </c>
      <c r="E761" s="917" t="s">
        <v>4386</v>
      </c>
      <c r="F761" s="917"/>
      <c r="G761" s="917"/>
      <c r="H761" s="621">
        <v>10098</v>
      </c>
      <c r="I761" s="621"/>
      <c r="J761" s="559">
        <f t="shared" ref="J761:J787" si="88">+H761+I761</f>
        <v>10098</v>
      </c>
    </row>
    <row r="762" spans="1:14" x14ac:dyDescent="0.25">
      <c r="A762" s="551" t="str">
        <f>+Info!$B$2</f>
        <v>724</v>
      </c>
      <c r="B762" s="274" t="s">
        <v>2681</v>
      </c>
      <c r="C762" s="274" t="str">
        <f t="shared" si="87"/>
        <v>3.50.20.10.000.000.00.000</v>
      </c>
      <c r="D762" s="650" t="s">
        <v>4385</v>
      </c>
      <c r="E762" s="917" t="s">
        <v>4387</v>
      </c>
      <c r="F762" s="917"/>
      <c r="G762" s="917"/>
      <c r="H762" s="621">
        <v>2181</v>
      </c>
      <c r="I762" s="621"/>
      <c r="J762" s="559">
        <f t="shared" si="88"/>
        <v>2181</v>
      </c>
    </row>
    <row r="763" spans="1:14" x14ac:dyDescent="0.25">
      <c r="A763" s="551" t="str">
        <f>+Info!$B$2</f>
        <v>724</v>
      </c>
      <c r="B763" s="274" t="s">
        <v>2681</v>
      </c>
      <c r="C763" s="274" t="str">
        <f t="shared" si="87"/>
        <v>3.50.20.10.000.000.00.000</v>
      </c>
      <c r="D763" s="650" t="s">
        <v>4388</v>
      </c>
      <c r="E763" s="917" t="s">
        <v>4389</v>
      </c>
      <c r="F763" s="917"/>
      <c r="G763" s="917"/>
      <c r="H763" s="621">
        <v>25000</v>
      </c>
      <c r="I763" s="621"/>
      <c r="J763" s="559">
        <f t="shared" si="88"/>
        <v>25000</v>
      </c>
    </row>
    <row r="764" spans="1:14" x14ac:dyDescent="0.25">
      <c r="A764" s="551" t="str">
        <f>+Info!$B$2</f>
        <v>724</v>
      </c>
      <c r="B764" s="274" t="s">
        <v>2681</v>
      </c>
      <c r="C764" s="274" t="str">
        <f t="shared" si="87"/>
        <v>3.50.20.10.000.000.00.000</v>
      </c>
      <c r="D764" s="650" t="s">
        <v>4388</v>
      </c>
      <c r="E764" s="917" t="s">
        <v>4390</v>
      </c>
      <c r="F764" s="917"/>
      <c r="G764" s="917"/>
      <c r="H764" s="621">
        <v>2258</v>
      </c>
      <c r="I764" s="621"/>
      <c r="J764" s="559">
        <f t="shared" si="88"/>
        <v>2258</v>
      </c>
    </row>
    <row r="765" spans="1:14" x14ac:dyDescent="0.25">
      <c r="A765" s="551" t="str">
        <f>+Info!$B$2</f>
        <v>724</v>
      </c>
      <c r="B765" s="274" t="s">
        <v>2681</v>
      </c>
      <c r="C765" s="274" t="str">
        <f t="shared" si="87"/>
        <v>3.50.20.10.000.000.00.000</v>
      </c>
      <c r="D765" s="563"/>
      <c r="E765" s="917"/>
      <c r="F765" s="917"/>
      <c r="G765" s="917"/>
      <c r="H765" s="621"/>
      <c r="I765" s="621"/>
      <c r="J765" s="559">
        <f t="shared" si="88"/>
        <v>0</v>
      </c>
    </row>
    <row r="766" spans="1:14" x14ac:dyDescent="0.25">
      <c r="A766" s="551" t="str">
        <f>+Info!$B$2</f>
        <v>724</v>
      </c>
      <c r="B766" s="274" t="s">
        <v>2681</v>
      </c>
      <c r="C766" s="274" t="str">
        <f t="shared" si="87"/>
        <v>3.50.20.10.000.000.00.000</v>
      </c>
      <c r="D766" s="563"/>
      <c r="E766" s="917"/>
      <c r="F766" s="917"/>
      <c r="G766" s="917"/>
      <c r="H766" s="621"/>
      <c r="I766" s="621"/>
      <c r="J766" s="559">
        <f t="shared" si="88"/>
        <v>0</v>
      </c>
    </row>
    <row r="767" spans="1:14" x14ac:dyDescent="0.25">
      <c r="A767" s="551" t="str">
        <f>+Info!$B$2</f>
        <v>724</v>
      </c>
      <c r="B767" s="274" t="s">
        <v>2681</v>
      </c>
      <c r="C767" s="274" t="str">
        <f t="shared" si="87"/>
        <v>3.50.20.10.000.000.00.000</v>
      </c>
      <c r="D767" s="563"/>
      <c r="E767" s="917"/>
      <c r="F767" s="917"/>
      <c r="G767" s="917"/>
      <c r="H767" s="621"/>
      <c r="I767" s="621"/>
      <c r="J767" s="559">
        <f t="shared" si="88"/>
        <v>0</v>
      </c>
    </row>
    <row r="768" spans="1:14" x14ac:dyDescent="0.25">
      <c r="A768" s="551" t="str">
        <f>+Info!$B$2</f>
        <v>724</v>
      </c>
      <c r="B768" s="274" t="s">
        <v>2681</v>
      </c>
      <c r="C768" s="274" t="str">
        <f t="shared" si="87"/>
        <v>3.50.20.10.000.000.00.000</v>
      </c>
      <c r="D768" s="563"/>
      <c r="E768" s="917"/>
      <c r="F768" s="917"/>
      <c r="G768" s="917"/>
      <c r="H768" s="621"/>
      <c r="I768" s="621"/>
      <c r="J768" s="559">
        <f t="shared" si="88"/>
        <v>0</v>
      </c>
    </row>
    <row r="769" spans="1:10" x14ac:dyDescent="0.25">
      <c r="A769" s="551" t="str">
        <f>+Info!$B$2</f>
        <v>724</v>
      </c>
      <c r="B769" s="274" t="s">
        <v>2681</v>
      </c>
      <c r="C769" s="274" t="str">
        <f t="shared" si="87"/>
        <v>3.50.20.10.000.000.00.000</v>
      </c>
      <c r="D769" s="563"/>
      <c r="E769" s="917"/>
      <c r="F769" s="917"/>
      <c r="G769" s="917"/>
      <c r="H769" s="621"/>
      <c r="I769" s="621"/>
      <c r="J769" s="559">
        <f t="shared" si="88"/>
        <v>0</v>
      </c>
    </row>
    <row r="770" spans="1:10" x14ac:dyDescent="0.25">
      <c r="A770" s="551" t="str">
        <f>+Info!$B$2</f>
        <v>724</v>
      </c>
      <c r="B770" s="274" t="s">
        <v>2681</v>
      </c>
      <c r="C770" s="274" t="str">
        <f t="shared" si="87"/>
        <v>3.50.20.10.000.000.00.000</v>
      </c>
      <c r="D770" s="563"/>
      <c r="E770" s="917"/>
      <c r="F770" s="917"/>
      <c r="G770" s="917"/>
      <c r="H770" s="621"/>
      <c r="I770" s="621"/>
      <c r="J770" s="559">
        <f t="shared" si="88"/>
        <v>0</v>
      </c>
    </row>
    <row r="771" spans="1:10" x14ac:dyDescent="0.25">
      <c r="A771" s="551" t="str">
        <f>+Info!$B$2</f>
        <v>724</v>
      </c>
      <c r="B771" s="274" t="s">
        <v>2681</v>
      </c>
      <c r="C771" s="274" t="str">
        <f t="shared" si="87"/>
        <v>3.50.20.10.000.000.00.000</v>
      </c>
      <c r="D771" s="563"/>
      <c r="E771" s="917"/>
      <c r="F771" s="917"/>
      <c r="G771" s="917"/>
      <c r="H771" s="621"/>
      <c r="I771" s="621"/>
      <c r="J771" s="559">
        <f t="shared" si="88"/>
        <v>0</v>
      </c>
    </row>
    <row r="772" spans="1:10" x14ac:dyDescent="0.25">
      <c r="A772" s="551" t="str">
        <f>+Info!$B$2</f>
        <v>724</v>
      </c>
      <c r="B772" s="274" t="s">
        <v>2681</v>
      </c>
      <c r="C772" s="274" t="str">
        <f t="shared" si="87"/>
        <v>3.50.20.10.000.000.00.000</v>
      </c>
      <c r="D772" s="563"/>
      <c r="E772" s="917"/>
      <c r="F772" s="917"/>
      <c r="G772" s="917"/>
      <c r="H772" s="621"/>
      <c r="I772" s="621"/>
      <c r="J772" s="559">
        <f t="shared" si="88"/>
        <v>0</v>
      </c>
    </row>
    <row r="773" spans="1:10" x14ac:dyDescent="0.25">
      <c r="A773" s="551" t="str">
        <f>+Info!$B$2</f>
        <v>724</v>
      </c>
      <c r="B773" s="274" t="s">
        <v>2681</v>
      </c>
      <c r="C773" s="274" t="str">
        <f t="shared" si="87"/>
        <v>3.50.20.10.000.000.00.000</v>
      </c>
      <c r="D773" s="563"/>
      <c r="E773" s="917"/>
      <c r="F773" s="917"/>
      <c r="G773" s="917"/>
      <c r="H773" s="621"/>
      <c r="I773" s="621"/>
      <c r="J773" s="559">
        <f t="shared" si="88"/>
        <v>0</v>
      </c>
    </row>
    <row r="774" spans="1:10" x14ac:dyDescent="0.25">
      <c r="A774" s="551" t="str">
        <f>+Info!$B$2</f>
        <v>724</v>
      </c>
      <c r="B774" s="274" t="s">
        <v>2681</v>
      </c>
      <c r="C774" s="274" t="str">
        <f t="shared" si="87"/>
        <v>3.50.20.10.000.000.00.000</v>
      </c>
      <c r="D774" s="563"/>
      <c r="E774" s="917"/>
      <c r="F774" s="917"/>
      <c r="G774" s="917"/>
      <c r="H774" s="621"/>
      <c r="I774" s="621"/>
      <c r="J774" s="559">
        <f t="shared" si="88"/>
        <v>0</v>
      </c>
    </row>
    <row r="775" spans="1:10" x14ac:dyDescent="0.25">
      <c r="A775" s="551" t="str">
        <f>+Info!$B$2</f>
        <v>724</v>
      </c>
      <c r="B775" s="274" t="s">
        <v>2681</v>
      </c>
      <c r="C775" s="274" t="str">
        <f t="shared" si="87"/>
        <v>3.50.20.10.000.000.00.000</v>
      </c>
      <c r="D775" s="563"/>
      <c r="E775" s="917"/>
      <c r="F775" s="917"/>
      <c r="G775" s="917"/>
      <c r="H775" s="621"/>
      <c r="I775" s="621"/>
      <c r="J775" s="559">
        <f t="shared" si="88"/>
        <v>0</v>
      </c>
    </row>
    <row r="776" spans="1:10" x14ac:dyDescent="0.25">
      <c r="A776" s="551" t="str">
        <f>+Info!$B$2</f>
        <v>724</v>
      </c>
      <c r="B776" s="274" t="s">
        <v>2681</v>
      </c>
      <c r="C776" s="274" t="str">
        <f t="shared" si="87"/>
        <v>3.50.20.10.000.000.00.000</v>
      </c>
      <c r="D776" s="563"/>
      <c r="E776" s="917"/>
      <c r="F776" s="917"/>
      <c r="G776" s="917"/>
      <c r="H776" s="621"/>
      <c r="I776" s="621"/>
      <c r="J776" s="559">
        <f t="shared" si="88"/>
        <v>0</v>
      </c>
    </row>
    <row r="777" spans="1:10" x14ac:dyDescent="0.25">
      <c r="A777" s="551" t="str">
        <f>+Info!$B$2</f>
        <v>724</v>
      </c>
      <c r="B777" s="274" t="s">
        <v>2681</v>
      </c>
      <c r="C777" s="274" t="str">
        <f t="shared" si="87"/>
        <v>3.50.20.10.000.000.00.000</v>
      </c>
      <c r="D777" s="563"/>
      <c r="E777" s="917"/>
      <c r="F777" s="917"/>
      <c r="G777" s="917"/>
      <c r="H777" s="621"/>
      <c r="I777" s="621"/>
      <c r="J777" s="559">
        <f t="shared" si="88"/>
        <v>0</v>
      </c>
    </row>
    <row r="778" spans="1:10" x14ac:dyDescent="0.25">
      <c r="A778" s="551" t="str">
        <f>+Info!$B$2</f>
        <v>724</v>
      </c>
      <c r="B778" s="274" t="s">
        <v>2681</v>
      </c>
      <c r="C778" s="274" t="str">
        <f t="shared" si="87"/>
        <v>3.50.20.10.000.000.00.000</v>
      </c>
      <c r="D778" s="563"/>
      <c r="E778" s="917"/>
      <c r="F778" s="917"/>
      <c r="G778" s="917"/>
      <c r="H778" s="621"/>
      <c r="I778" s="621"/>
      <c r="J778" s="559">
        <f t="shared" si="88"/>
        <v>0</v>
      </c>
    </row>
    <row r="779" spans="1:10" x14ac:dyDescent="0.25">
      <c r="A779" s="551" t="str">
        <f>+Info!$B$2</f>
        <v>724</v>
      </c>
      <c r="B779" s="274" t="s">
        <v>2681</v>
      </c>
      <c r="C779" s="274" t="str">
        <f t="shared" si="87"/>
        <v>3.50.20.10.000.000.00.000</v>
      </c>
      <c r="D779" s="563"/>
      <c r="E779" s="917"/>
      <c r="F779" s="917"/>
      <c r="G779" s="917"/>
      <c r="H779" s="621"/>
      <c r="I779" s="621"/>
      <c r="J779" s="559">
        <f t="shared" si="88"/>
        <v>0</v>
      </c>
    </row>
    <row r="780" spans="1:10" x14ac:dyDescent="0.25">
      <c r="A780" s="551" t="str">
        <f>+Info!$B$2</f>
        <v>724</v>
      </c>
      <c r="B780" s="274" t="s">
        <v>2681</v>
      </c>
      <c r="C780" s="274" t="str">
        <f t="shared" si="87"/>
        <v>3.50.20.10.000.000.00.000</v>
      </c>
      <c r="D780" s="563"/>
      <c r="E780" s="917"/>
      <c r="F780" s="917"/>
      <c r="G780" s="917"/>
      <c r="H780" s="621"/>
      <c r="I780" s="621"/>
      <c r="J780" s="559">
        <f t="shared" si="88"/>
        <v>0</v>
      </c>
    </row>
    <row r="781" spans="1:10" x14ac:dyDescent="0.25">
      <c r="A781" s="551" t="str">
        <f>+Info!$B$2</f>
        <v>724</v>
      </c>
      <c r="B781" s="274" t="s">
        <v>2681</v>
      </c>
      <c r="C781" s="274" t="str">
        <f t="shared" si="87"/>
        <v>3.50.20.10.000.000.00.000</v>
      </c>
      <c r="D781" s="563"/>
      <c r="E781" s="917"/>
      <c r="F781" s="917"/>
      <c r="G781" s="917"/>
      <c r="H781" s="621"/>
      <c r="I781" s="621"/>
      <c r="J781" s="559">
        <f t="shared" si="88"/>
        <v>0</v>
      </c>
    </row>
    <row r="782" spans="1:10" x14ac:dyDescent="0.25">
      <c r="A782" s="551" t="str">
        <f>+Info!$B$2</f>
        <v>724</v>
      </c>
      <c r="B782" s="274" t="s">
        <v>2681</v>
      </c>
      <c r="C782" s="274" t="str">
        <f t="shared" si="87"/>
        <v>3.50.20.10.000.000.00.000</v>
      </c>
      <c r="D782" s="563"/>
      <c r="E782" s="917"/>
      <c r="F782" s="917"/>
      <c r="G782" s="917"/>
      <c r="H782" s="621"/>
      <c r="I782" s="621"/>
      <c r="J782" s="559">
        <f t="shared" si="88"/>
        <v>0</v>
      </c>
    </row>
    <row r="783" spans="1:10" x14ac:dyDescent="0.25">
      <c r="A783" s="551" t="str">
        <f>+Info!$B$2</f>
        <v>724</v>
      </c>
      <c r="B783" s="274" t="s">
        <v>2681</v>
      </c>
      <c r="C783" s="274" t="str">
        <f t="shared" si="87"/>
        <v>3.50.20.10.000.000.00.000</v>
      </c>
      <c r="D783" s="563"/>
      <c r="E783" s="917"/>
      <c r="F783" s="917"/>
      <c r="G783" s="917"/>
      <c r="H783" s="621"/>
      <c r="I783" s="621"/>
      <c r="J783" s="559">
        <f t="shared" si="88"/>
        <v>0</v>
      </c>
    </row>
    <row r="784" spans="1:10" x14ac:dyDescent="0.25">
      <c r="A784" s="551" t="str">
        <f>+Info!$B$2</f>
        <v>724</v>
      </c>
      <c r="B784" s="274" t="s">
        <v>2681</v>
      </c>
      <c r="C784" s="274" t="str">
        <f t="shared" si="87"/>
        <v>3.50.20.10.000.000.00.000</v>
      </c>
      <c r="D784" s="563"/>
      <c r="E784" s="917"/>
      <c r="F784" s="917"/>
      <c r="G784" s="917"/>
      <c r="H784" s="621"/>
      <c r="I784" s="621"/>
      <c r="J784" s="559">
        <f t="shared" si="88"/>
        <v>0</v>
      </c>
    </row>
    <row r="785" spans="1:10" x14ac:dyDescent="0.25">
      <c r="A785" s="551" t="str">
        <f>+Info!$B$2</f>
        <v>724</v>
      </c>
      <c r="B785" s="274" t="s">
        <v>2681</v>
      </c>
      <c r="C785" s="274" t="str">
        <f t="shared" si="87"/>
        <v>3.50.20.10.000.000.00.000</v>
      </c>
      <c r="D785" s="563"/>
      <c r="E785" s="917"/>
      <c r="F785" s="917"/>
      <c r="G785" s="917"/>
      <c r="H785" s="621"/>
      <c r="I785" s="621"/>
      <c r="J785" s="559">
        <f t="shared" si="88"/>
        <v>0</v>
      </c>
    </row>
    <row r="786" spans="1:10" x14ac:dyDescent="0.25">
      <c r="A786" s="551" t="str">
        <f>+Info!$B$2</f>
        <v>724</v>
      </c>
      <c r="B786" s="274" t="s">
        <v>2681</v>
      </c>
      <c r="C786" s="274" t="str">
        <f t="shared" si="87"/>
        <v>3.50.20.10.000.000.00.000</v>
      </c>
      <c r="D786" s="563"/>
      <c r="E786" s="917"/>
      <c r="F786" s="917"/>
      <c r="G786" s="917"/>
      <c r="H786" s="621"/>
      <c r="I786" s="621"/>
      <c r="J786" s="559">
        <f t="shared" si="88"/>
        <v>0</v>
      </c>
    </row>
    <row r="787" spans="1:10" x14ac:dyDescent="0.25">
      <c r="A787" s="551" t="str">
        <f>+Info!$B$2</f>
        <v>724</v>
      </c>
      <c r="B787" s="274" t="s">
        <v>2681</v>
      </c>
      <c r="C787" s="274" t="str">
        <f t="shared" si="87"/>
        <v>3.50.20.10.000.000.00.000</v>
      </c>
      <c r="D787" s="563"/>
      <c r="E787" s="917"/>
      <c r="F787" s="917"/>
      <c r="G787" s="917"/>
      <c r="H787" s="621"/>
      <c r="I787" s="621"/>
      <c r="J787" s="559">
        <f t="shared" si="88"/>
        <v>0</v>
      </c>
    </row>
    <row r="788" spans="1:10" x14ac:dyDescent="0.25">
      <c r="A788" s="551" t="str">
        <f>+Info!$B$2</f>
        <v>724</v>
      </c>
      <c r="B788" s="622" t="s">
        <v>2681</v>
      </c>
      <c r="C788" s="622" t="s">
        <v>2682</v>
      </c>
      <c r="H788" s="622">
        <f>SUM(H761:H787)</f>
        <v>39537</v>
      </c>
      <c r="I788" s="622">
        <f>SUM(I761:I787)</f>
        <v>0</v>
      </c>
      <c r="J788" s="622">
        <f>SUM(J761:J787)</f>
        <v>39537</v>
      </c>
    </row>
  </sheetData>
  <sheetCalcPr fullCalcOnLoad="1"/>
  <sheetProtection password="9E7F" sheet="1" objects="1" scenarios="1"/>
  <mergeCells count="251">
    <mergeCell ref="D1:F1"/>
    <mergeCell ref="E4:G4"/>
    <mergeCell ref="H4:J4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E30:G30"/>
    <mergeCell ref="H30:J30"/>
    <mergeCell ref="I31:J31"/>
    <mergeCell ref="I32:J32"/>
    <mergeCell ref="I33:J33"/>
    <mergeCell ref="I34:J34"/>
    <mergeCell ref="I35:J35"/>
    <mergeCell ref="I36:J36"/>
    <mergeCell ref="I37:J37"/>
    <mergeCell ref="I38:J38"/>
    <mergeCell ref="I39:J39"/>
    <mergeCell ref="I40:J40"/>
    <mergeCell ref="I41:J41"/>
    <mergeCell ref="I42:J42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  <mergeCell ref="E56:G56"/>
    <mergeCell ref="H56:J56"/>
    <mergeCell ref="I57:J57"/>
    <mergeCell ref="I58:J58"/>
    <mergeCell ref="I59:J59"/>
    <mergeCell ref="I60:J60"/>
    <mergeCell ref="I61:J61"/>
    <mergeCell ref="I62:J62"/>
    <mergeCell ref="I63:J63"/>
    <mergeCell ref="I64:J64"/>
    <mergeCell ref="I65:J65"/>
    <mergeCell ref="I66:J66"/>
    <mergeCell ref="I67:J67"/>
    <mergeCell ref="I68:J68"/>
    <mergeCell ref="I69:J69"/>
    <mergeCell ref="I70:J70"/>
    <mergeCell ref="I71:J71"/>
    <mergeCell ref="I72:J72"/>
    <mergeCell ref="I73:J73"/>
    <mergeCell ref="I74:J74"/>
    <mergeCell ref="I75:J75"/>
    <mergeCell ref="I76:J76"/>
    <mergeCell ref="I77:J77"/>
    <mergeCell ref="I78:J78"/>
    <mergeCell ref="I79:J79"/>
    <mergeCell ref="J83:J84"/>
    <mergeCell ref="H84:I84"/>
    <mergeCell ref="H98:I98"/>
    <mergeCell ref="F115:F116"/>
    <mergeCell ref="G115:J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F131:H131"/>
    <mergeCell ref="D133:N133"/>
    <mergeCell ref="D182:D183"/>
    <mergeCell ref="E182:E183"/>
    <mergeCell ref="F182:H182"/>
    <mergeCell ref="I182:N182"/>
    <mergeCell ref="D225:N225"/>
    <mergeCell ref="D274:D275"/>
    <mergeCell ref="E274:E275"/>
    <mergeCell ref="F274:H274"/>
    <mergeCell ref="I274:N274"/>
    <mergeCell ref="F348:G348"/>
    <mergeCell ref="F371:G371"/>
    <mergeCell ref="F394:G394"/>
    <mergeCell ref="F408:G408"/>
    <mergeCell ref="F422:G422"/>
    <mergeCell ref="F436:G436"/>
    <mergeCell ref="E440:G440"/>
    <mergeCell ref="E441:G441"/>
    <mergeCell ref="E442:G442"/>
    <mergeCell ref="E443:G443"/>
    <mergeCell ref="E444:G444"/>
    <mergeCell ref="E445:G445"/>
    <mergeCell ref="E446:G446"/>
    <mergeCell ref="E447:G447"/>
    <mergeCell ref="E448:G448"/>
    <mergeCell ref="E449:G449"/>
    <mergeCell ref="E450:G450"/>
    <mergeCell ref="E451:G451"/>
    <mergeCell ref="E452:G452"/>
    <mergeCell ref="E453:G453"/>
    <mergeCell ref="E454:G454"/>
    <mergeCell ref="E455:G455"/>
    <mergeCell ref="E456:G456"/>
    <mergeCell ref="E457:G457"/>
    <mergeCell ref="E458:G458"/>
    <mergeCell ref="E459:G459"/>
    <mergeCell ref="E460:G460"/>
    <mergeCell ref="E461:G461"/>
    <mergeCell ref="E462:G462"/>
    <mergeCell ref="E463:G463"/>
    <mergeCell ref="E464:G464"/>
    <mergeCell ref="E465:G465"/>
    <mergeCell ref="E466:G466"/>
    <mergeCell ref="E467:G467"/>
    <mergeCell ref="E470:G470"/>
    <mergeCell ref="E471:G471"/>
    <mergeCell ref="E472:G472"/>
    <mergeCell ref="E473:G473"/>
    <mergeCell ref="E474:G474"/>
    <mergeCell ref="E475:G475"/>
    <mergeCell ref="E476:G476"/>
    <mergeCell ref="E477:G477"/>
    <mergeCell ref="E478:G478"/>
    <mergeCell ref="E479:G479"/>
    <mergeCell ref="E480:G480"/>
    <mergeCell ref="E481:G481"/>
    <mergeCell ref="E482:G482"/>
    <mergeCell ref="E483:G483"/>
    <mergeCell ref="E484:G484"/>
    <mergeCell ref="E485:G485"/>
    <mergeCell ref="E486:G486"/>
    <mergeCell ref="E487:G487"/>
    <mergeCell ref="E488:G488"/>
    <mergeCell ref="E489:G489"/>
    <mergeCell ref="E490:G490"/>
    <mergeCell ref="E491:G491"/>
    <mergeCell ref="E492:G492"/>
    <mergeCell ref="E493:G493"/>
    <mergeCell ref="E494:G494"/>
    <mergeCell ref="E495:G495"/>
    <mergeCell ref="E496:G496"/>
    <mergeCell ref="E497:G497"/>
    <mergeCell ref="B502:B503"/>
    <mergeCell ref="C502:C503"/>
    <mergeCell ref="D502:D503"/>
    <mergeCell ref="F502:I502"/>
    <mergeCell ref="J502:J503"/>
    <mergeCell ref="K502:Q502"/>
    <mergeCell ref="F504:I506"/>
    <mergeCell ref="F517:I519"/>
    <mergeCell ref="F550:I552"/>
    <mergeCell ref="F603:I605"/>
    <mergeCell ref="F636:I638"/>
    <mergeCell ref="D691:D692"/>
    <mergeCell ref="F691:H691"/>
    <mergeCell ref="I691:I692"/>
    <mergeCell ref="D701:D702"/>
    <mergeCell ref="F701:H701"/>
    <mergeCell ref="I701:I702"/>
    <mergeCell ref="D710:D711"/>
    <mergeCell ref="F710:F711"/>
    <mergeCell ref="G710:G711"/>
    <mergeCell ref="H710:H711"/>
    <mergeCell ref="I710:I711"/>
    <mergeCell ref="J710:J711"/>
    <mergeCell ref="K710:K711"/>
    <mergeCell ref="L710:L711"/>
    <mergeCell ref="M710:M711"/>
    <mergeCell ref="E730:G730"/>
    <mergeCell ref="E731:G731"/>
    <mergeCell ref="E732:G732"/>
    <mergeCell ref="E733:G733"/>
    <mergeCell ref="E734:G734"/>
    <mergeCell ref="E735:G735"/>
    <mergeCell ref="E736:G736"/>
    <mergeCell ref="E737:G737"/>
    <mergeCell ref="E738:G738"/>
    <mergeCell ref="E739:G739"/>
    <mergeCell ref="E740:G740"/>
    <mergeCell ref="E741:G741"/>
    <mergeCell ref="E742:G742"/>
    <mergeCell ref="E743:G743"/>
    <mergeCell ref="E744:G744"/>
    <mergeCell ref="E745:G745"/>
    <mergeCell ref="E746:G746"/>
    <mergeCell ref="E747:G747"/>
    <mergeCell ref="E748:G748"/>
    <mergeCell ref="E749:G749"/>
    <mergeCell ref="E750:G750"/>
    <mergeCell ref="E751:G751"/>
    <mergeCell ref="E752:G752"/>
    <mergeCell ref="E753:G753"/>
    <mergeCell ref="E754:G754"/>
    <mergeCell ref="E755:G755"/>
    <mergeCell ref="E756:G756"/>
    <mergeCell ref="E757:G757"/>
    <mergeCell ref="E760:G760"/>
    <mergeCell ref="E761:G761"/>
    <mergeCell ref="E762:G762"/>
    <mergeCell ref="E763:G763"/>
    <mergeCell ref="E764:G764"/>
    <mergeCell ref="E765:G765"/>
    <mergeCell ref="E766:G766"/>
    <mergeCell ref="E767:G767"/>
    <mergeCell ref="E768:G768"/>
    <mergeCell ref="E769:G769"/>
    <mergeCell ref="E770:G770"/>
    <mergeCell ref="E782:G782"/>
    <mergeCell ref="E771:G771"/>
    <mergeCell ref="E772:G772"/>
    <mergeCell ref="E773:G773"/>
    <mergeCell ref="E774:G774"/>
    <mergeCell ref="E775:G775"/>
    <mergeCell ref="E776:G776"/>
    <mergeCell ref="E783:G783"/>
    <mergeCell ref="E784:G784"/>
    <mergeCell ref="E785:G785"/>
    <mergeCell ref="E786:G786"/>
    <mergeCell ref="E787:G787"/>
    <mergeCell ref="E777:G777"/>
    <mergeCell ref="E778:G778"/>
    <mergeCell ref="E779:G779"/>
    <mergeCell ref="E780:G780"/>
    <mergeCell ref="E781:G781"/>
  </mergeCells>
  <conditionalFormatting sqref="I27:J27 D348 I53:J53 I79:J79 H84:I84 H98:I98 D371 D394 D408 D422 D436">
    <cfRule type="cellIs" dxfId="39" priority="1" stopIfTrue="1" operator="notEqual">
      <formula>"Quadratura OK!"</formula>
    </cfRule>
  </conditionalFormatting>
  <conditionalFormatting sqref="F131">
    <cfRule type="cellIs" dxfId="38" priority="2" stopIfTrue="1" operator="notEqual">
      <formula>"Quadratura OK!"</formula>
    </cfRule>
  </conditionalFormatting>
  <conditionalFormatting sqref="F504:I506">
    <cfRule type="cellIs" dxfId="37" priority="3" stopIfTrue="1" operator="notEqual">
      <formula>"Quadratura OK!"</formula>
    </cfRule>
  </conditionalFormatting>
  <conditionalFormatting sqref="F517:I519">
    <cfRule type="cellIs" dxfId="36" priority="4" stopIfTrue="1" operator="notEqual">
      <formula>"Quadratura OK!"</formula>
    </cfRule>
  </conditionalFormatting>
  <conditionalFormatting sqref="F550:I552">
    <cfRule type="cellIs" dxfId="35" priority="5" stopIfTrue="1" operator="notEqual">
      <formula>"Quadratura OK!"</formula>
    </cfRule>
  </conditionalFormatting>
  <conditionalFormatting sqref="F603:I605">
    <cfRule type="cellIs" dxfId="34" priority="6" stopIfTrue="1" operator="notEqual">
      <formula>"Quadratura OK!"</formula>
    </cfRule>
  </conditionalFormatting>
  <conditionalFormatting sqref="F636:I638">
    <cfRule type="cellIs" dxfId="33" priority="7" stopIfTrue="1" operator="notEqual">
      <formula>"Quadratura OK!"</formula>
    </cfRule>
  </conditionalFormatting>
  <conditionalFormatting sqref="L719:M719">
    <cfRule type="cellIs" dxfId="32" priority="8" stopIfTrue="1" operator="notEqual">
      <formula>"Quadratura OK!"</formula>
    </cfRule>
  </conditionalFormatting>
  <dataValidations count="2">
    <dataValidation type="whole" allowBlank="1" showErrorMessage="1" sqref="J326:J436">
      <formula1>-9999999999</formula1>
      <formula2>0</formula2>
    </dataValidation>
    <dataValidation type="whole" allowBlank="1" showErrorMessage="1" sqref="E6:F26 E32:F52 E58:F78 E85:F97 E99:F111 G117:H122 F123:H123 G124:H130 F185:G196 J185:M196 F198:G209 J198:M209 F211:G222 J211:M222 E277:G288 J277:M288 E290:G301 J290:M301 E303:G314 J303:M314 H326 I327:I347 H349 I350:I370 H372 I373:I393 H395 I396:I407 H409 I410:I421 H423 I424:I435 J504:J517 P504:Q688 L505:M505 L507:M516 J518:M518 J519:J550 L520:M549 L551:M551 J552:J688 L553:M602 L604:M604 L606:M635 L637:M637 L639:M688">
      <formula1>0</formula1>
      <formula2>9999999999</formula2>
    </dataValidation>
  </dataValidations>
  <pageMargins left="0.55138888888888893" right="0.27569444444444446" top="0.39374999999999999" bottom="0.31527777777777777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096"/>
  <sheetViews>
    <sheetView showGridLines="0" topLeftCell="B942" zoomScale="96" zoomScaleNormal="96" zoomScaleSheetLayoutView="50" workbookViewId="0">
      <selection activeCell="B955" sqref="B955"/>
    </sheetView>
  </sheetViews>
  <sheetFormatPr defaultRowHeight="15" x14ac:dyDescent="0.25"/>
  <cols>
    <col min="1" max="1" width="21.42578125" hidden="1" customWidth="1"/>
    <col min="2" max="3" width="28.140625" customWidth="1"/>
    <col min="4" max="4" width="20" hidden="1" customWidth="1"/>
    <col min="5" max="5" width="10.28515625" hidden="1" customWidth="1"/>
    <col min="6" max="6" width="12.5703125" hidden="1" customWidth="1"/>
    <col min="7" max="7" width="9.7109375" hidden="1" customWidth="1"/>
    <col min="8" max="8" width="8.85546875" hidden="1" customWidth="1"/>
    <col min="9" max="9" width="12" hidden="1" customWidth="1"/>
    <col min="10" max="10" width="7.42578125" hidden="1" customWidth="1"/>
    <col min="11" max="11" width="12.5703125" hidden="1" customWidth="1"/>
    <col min="12" max="12" width="70.5703125" style="197" customWidth="1"/>
    <col min="13" max="13" width="2.85546875" customWidth="1"/>
    <col min="14" max="14" width="13.42578125" customWidth="1"/>
    <col min="15" max="15" width="14.42578125" customWidth="1"/>
    <col min="16" max="16" width="13.85546875" customWidth="1"/>
    <col min="17" max="17" width="17.5703125" customWidth="1"/>
    <col min="18" max="18" width="15.28515625" customWidth="1"/>
    <col min="19" max="19" width="19.28515625" customWidth="1"/>
    <col min="20" max="21" width="15.140625" customWidth="1"/>
    <col min="22" max="27" width="15" customWidth="1"/>
    <col min="28" max="28" width="15.140625" customWidth="1"/>
    <col min="29" max="29" width="15.28515625" customWidth="1"/>
    <col min="30" max="33" width="14.28515625" customWidth="1"/>
    <col min="34" max="36" width="13.5703125" customWidth="1"/>
    <col min="37" max="37" width="14.7109375" customWidth="1"/>
    <col min="38" max="38" width="13.28515625" customWidth="1"/>
  </cols>
  <sheetData>
    <row r="1" spans="1:40" s="199" customFormat="1" x14ac:dyDescent="0.25">
      <c r="A1" s="204"/>
      <c r="D1" s="200">
        <v>1</v>
      </c>
      <c r="E1" s="201"/>
      <c r="F1" s="200"/>
      <c r="G1" s="201"/>
      <c r="H1" s="200"/>
      <c r="I1" s="201"/>
      <c r="J1" s="200">
        <v>7</v>
      </c>
      <c r="K1" s="201">
        <v>8</v>
      </c>
      <c r="L1" s="200">
        <v>9</v>
      </c>
      <c r="M1" s="201">
        <v>10</v>
      </c>
      <c r="N1" s="200">
        <v>11</v>
      </c>
      <c r="O1" s="201">
        <v>12</v>
      </c>
      <c r="P1" s="200">
        <v>13</v>
      </c>
      <c r="Q1" s="201">
        <v>14</v>
      </c>
      <c r="R1" s="200">
        <f>O10</f>
        <v>0</v>
      </c>
      <c r="S1" s="200"/>
      <c r="T1" s="200">
        <f>R1-S1</f>
        <v>0</v>
      </c>
      <c r="U1" s="200"/>
      <c r="V1" s="201"/>
      <c r="W1" s="516"/>
      <c r="X1" s="516"/>
      <c r="Y1" s="516"/>
      <c r="Z1" s="201"/>
      <c r="AA1" s="516"/>
      <c r="AB1" s="201"/>
      <c r="AC1" s="516"/>
      <c r="AD1" s="201"/>
      <c r="AE1" s="516"/>
      <c r="AF1" s="201"/>
      <c r="AG1" s="516"/>
      <c r="AH1" s="201"/>
      <c r="AI1" s="516"/>
      <c r="AJ1" s="201"/>
      <c r="AK1" s="516"/>
      <c r="AL1" s="201"/>
      <c r="AM1" s="201">
        <v>34</v>
      </c>
      <c r="AN1" s="201">
        <v>35</v>
      </c>
    </row>
    <row r="2" spans="1:40" ht="15.75" hidden="1" customHeight="1" x14ac:dyDescent="0.25">
      <c r="A2" s="203"/>
      <c r="N2">
        <v>0</v>
      </c>
      <c r="O2">
        <v>0</v>
      </c>
      <c r="P2">
        <v>0</v>
      </c>
      <c r="R2" s="200">
        <v>0</v>
      </c>
      <c r="S2" s="200"/>
      <c r="T2" s="200">
        <v>0</v>
      </c>
      <c r="U2" s="200"/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</row>
    <row r="3" spans="1:40" ht="15.75" hidden="1" customHeight="1" x14ac:dyDescent="0.25">
      <c r="A3" s="203"/>
      <c r="N3">
        <v>0</v>
      </c>
      <c r="O3">
        <v>0</v>
      </c>
      <c r="P3">
        <v>0</v>
      </c>
      <c r="R3" s="200">
        <v>0</v>
      </c>
      <c r="S3" s="200"/>
      <c r="T3" s="200">
        <v>0</v>
      </c>
      <c r="U3" s="200"/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40" ht="15.75" hidden="1" customHeight="1" x14ac:dyDescent="0.25">
      <c r="A4" s="203"/>
      <c r="N4">
        <v>0</v>
      </c>
      <c r="O4">
        <v>0</v>
      </c>
      <c r="P4">
        <v>0</v>
      </c>
      <c r="R4" s="200">
        <v>0</v>
      </c>
      <c r="S4" s="200"/>
      <c r="T4" s="200">
        <v>0</v>
      </c>
      <c r="U4" s="200"/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40" s="204" customFormat="1" ht="31.5" x14ac:dyDescent="0.25">
      <c r="B5" s="205"/>
      <c r="C5" s="205" t="s">
        <v>2956</v>
      </c>
      <c r="D5" s="206" t="s">
        <v>72</v>
      </c>
      <c r="E5" s="206"/>
      <c r="F5" s="206"/>
      <c r="G5" s="207"/>
      <c r="H5" s="207"/>
      <c r="I5" s="207"/>
      <c r="J5" s="207" t="s">
        <v>2957</v>
      </c>
      <c r="K5" s="208" t="s">
        <v>2958</v>
      </c>
      <c r="L5" s="209" t="str">
        <f>"Tabelle allegate alla nota integrativa di: "&amp;Info!C2&amp;" Stato patrimoniale al 31/12/"&amp;Info!B3</f>
        <v>Tabelle allegate alla nota integrativa di: ASST DI CREMONA Stato patrimoniale al 31/12/2020</v>
      </c>
      <c r="M5" s="210"/>
      <c r="N5" s="210"/>
      <c r="O5" s="211"/>
      <c r="P5" s="211"/>
      <c r="Q5" s="203"/>
      <c r="R5" s="200">
        <f>O790</f>
        <v>0</v>
      </c>
      <c r="S5" s="200"/>
      <c r="T5" s="200">
        <f>R5-S5</f>
        <v>0</v>
      </c>
      <c r="U5" s="200"/>
      <c r="V5" s="211"/>
      <c r="W5" s="211"/>
      <c r="X5" s="211"/>
      <c r="Y5" s="211"/>
      <c r="Z5" s="211"/>
      <c r="AA5" s="211"/>
    </row>
    <row r="6" spans="1:40" s="204" customFormat="1" ht="15.75" x14ac:dyDescent="0.25">
      <c r="B6" s="213"/>
      <c r="C6" s="213"/>
      <c r="D6" s="213"/>
      <c r="E6" s="213"/>
      <c r="F6" s="213"/>
      <c r="G6" s="213"/>
      <c r="H6" s="214"/>
      <c r="I6" s="213"/>
      <c r="J6" s="213"/>
      <c r="K6" s="213"/>
      <c r="L6" s="912" t="s">
        <v>2959</v>
      </c>
      <c r="M6" s="912"/>
      <c r="N6" s="912"/>
      <c r="O6" s="211"/>
      <c r="P6" s="211"/>
      <c r="Q6" s="211"/>
      <c r="R6" s="200"/>
      <c r="S6" s="200"/>
      <c r="T6" s="200"/>
      <c r="U6" s="200"/>
      <c r="V6" s="211"/>
      <c r="W6" s="211"/>
      <c r="X6" s="211"/>
      <c r="Y6" s="211"/>
      <c r="Z6" s="211"/>
      <c r="AA6" s="211"/>
    </row>
    <row r="7" spans="1:40" s="204" customFormat="1" ht="18" x14ac:dyDescent="0.25">
      <c r="B7" s="213"/>
      <c r="C7" s="213"/>
      <c r="D7" s="213"/>
      <c r="E7" s="213"/>
      <c r="F7" s="213"/>
      <c r="G7" s="213"/>
      <c r="H7" s="214"/>
      <c r="I7" s="213"/>
      <c r="J7" s="213"/>
      <c r="K7" s="213"/>
      <c r="L7" s="215" t="s">
        <v>2960</v>
      </c>
      <c r="M7" s="210"/>
      <c r="N7" s="216"/>
      <c r="O7" s="216"/>
      <c r="P7" s="216"/>
      <c r="Q7" s="211"/>
      <c r="R7" s="216"/>
      <c r="S7" s="216"/>
      <c r="T7" s="216"/>
      <c r="U7" s="216"/>
      <c r="V7" s="216"/>
      <c r="W7" s="211"/>
      <c r="X7" s="211"/>
      <c r="Y7" s="211"/>
      <c r="Z7" s="211"/>
      <c r="AA7" s="211"/>
    </row>
    <row r="8" spans="1:40" s="204" customFormat="1" ht="18" x14ac:dyDescent="0.25">
      <c r="B8" s="213"/>
      <c r="C8" s="213"/>
      <c r="D8" s="213"/>
      <c r="E8" s="213"/>
      <c r="F8" s="213"/>
      <c r="G8" s="213"/>
      <c r="H8" s="214"/>
      <c r="I8" s="213"/>
      <c r="J8" s="213"/>
      <c r="K8" s="213"/>
      <c r="L8" s="215"/>
      <c r="M8" s="210"/>
      <c r="N8" s="216"/>
      <c r="O8" s="216"/>
      <c r="P8" s="216"/>
      <c r="Q8" s="211"/>
      <c r="R8" s="216"/>
      <c r="S8" s="216"/>
      <c r="T8" s="216"/>
      <c r="U8" s="216"/>
      <c r="V8" s="216"/>
      <c r="W8" s="211"/>
      <c r="X8" s="211"/>
      <c r="Y8" s="211"/>
      <c r="Z8" s="211"/>
      <c r="AA8" s="211"/>
    </row>
    <row r="9" spans="1:40" s="204" customFormat="1" ht="18" x14ac:dyDescent="0.25">
      <c r="B9" s="217"/>
      <c r="C9" s="217"/>
      <c r="D9" s="213"/>
      <c r="E9" s="213"/>
      <c r="F9" s="213"/>
      <c r="G9" s="213"/>
      <c r="H9" s="214"/>
      <c r="I9" s="213"/>
      <c r="J9" s="213"/>
      <c r="K9" s="213"/>
      <c r="L9" s="215"/>
      <c r="M9" s="210"/>
      <c r="N9" s="216"/>
      <c r="O9" s="216"/>
      <c r="P9" s="216"/>
      <c r="Q9" s="211"/>
      <c r="R9" s="216"/>
      <c r="S9" s="216"/>
      <c r="T9" s="216"/>
      <c r="U9" s="216"/>
      <c r="V9" s="216"/>
      <c r="W9" s="211"/>
      <c r="X9" s="211"/>
      <c r="Y9" s="211"/>
      <c r="Z9" s="211"/>
      <c r="AA9" s="211"/>
    </row>
    <row r="10" spans="1:40" s="204" customFormat="1" x14ac:dyDescent="0.25">
      <c r="B10" s="218">
        <v>0</v>
      </c>
      <c r="C10" s="218" t="s">
        <v>109</v>
      </c>
      <c r="D10" s="219" t="s">
        <v>2961</v>
      </c>
      <c r="E10" s="219"/>
      <c r="F10" s="219"/>
      <c r="G10" s="219"/>
      <c r="H10" s="220"/>
      <c r="I10" s="219"/>
      <c r="J10" s="219"/>
      <c r="K10" s="219"/>
      <c r="L10" s="221" t="s">
        <v>112</v>
      </c>
      <c r="M10" s="222" t="s">
        <v>2962</v>
      </c>
      <c r="N10" s="223">
        <f>+N13+N512+N746</f>
        <v>0</v>
      </c>
      <c r="O10" s="223">
        <f>+O13+O512+O746</f>
        <v>0</v>
      </c>
      <c r="P10" s="223">
        <f>+O10-N10</f>
        <v>0</v>
      </c>
      <c r="Q10" s="211"/>
      <c r="R10" s="216"/>
      <c r="S10" s="224">
        <f>S13+S512+S746+S766</f>
        <v>0</v>
      </c>
      <c r="T10" s="225" t="str">
        <f>IF(S10&lt;&gt;0,"SQUADRATURA ATTIVO  PER GIROCONTI SU NUOVI CONTI SP","")</f>
        <v/>
      </c>
      <c r="U10" s="216"/>
      <c r="V10" s="216"/>
      <c r="W10" s="211"/>
      <c r="X10" s="211"/>
      <c r="Y10" s="211"/>
      <c r="Z10" s="211"/>
      <c r="AA10" s="211"/>
    </row>
    <row r="11" spans="1:40" s="204" customFormat="1" x14ac:dyDescent="0.25">
      <c r="B11" s="216"/>
      <c r="C11" s="216"/>
      <c r="D11" s="226"/>
      <c r="E11" s="226"/>
      <c r="F11" s="226"/>
      <c r="G11" s="226"/>
      <c r="H11" s="227"/>
      <c r="I11" s="226"/>
      <c r="J11" s="226"/>
      <c r="K11" s="226"/>
      <c r="L11" s="228"/>
      <c r="M11" s="229"/>
      <c r="N11" s="216"/>
      <c r="O11" s="216"/>
      <c r="P11" s="216"/>
      <c r="Q11" s="211"/>
      <c r="R11" s="216"/>
      <c r="S11" s="216"/>
      <c r="T11" s="216"/>
      <c r="U11" s="216"/>
      <c r="V11" s="216"/>
      <c r="W11" s="211"/>
      <c r="X11" s="211"/>
      <c r="Y11" s="211"/>
      <c r="Z11" s="211"/>
      <c r="AA11" s="211"/>
    </row>
    <row r="12" spans="1:40" s="204" customFormat="1" x14ac:dyDescent="0.25">
      <c r="B12" s="230"/>
      <c r="C12" s="230"/>
      <c r="D12" s="230"/>
      <c r="E12" s="230"/>
      <c r="F12" s="230"/>
      <c r="G12" s="230"/>
      <c r="H12" s="231"/>
      <c r="I12" s="230"/>
      <c r="J12" s="230"/>
      <c r="K12" s="230"/>
      <c r="L12" s="232"/>
      <c r="M12" s="211"/>
      <c r="N12" s="216"/>
      <c r="O12" s="216"/>
      <c r="P12" s="216"/>
      <c r="Q12" s="211"/>
      <c r="R12" s="216"/>
      <c r="S12" s="216"/>
      <c r="T12" s="216"/>
      <c r="U12" s="216"/>
      <c r="V12" s="216"/>
      <c r="W12" s="211"/>
      <c r="X12" s="211"/>
      <c r="Y12" s="211"/>
      <c r="Z12" s="211"/>
      <c r="AA12" s="211"/>
    </row>
    <row r="13" spans="1:40" s="204" customFormat="1" x14ac:dyDescent="0.25">
      <c r="B13" s="233" t="s">
        <v>113</v>
      </c>
      <c r="C13" s="233" t="s">
        <v>114</v>
      </c>
      <c r="D13" s="234" t="s">
        <v>2963</v>
      </c>
      <c r="E13" s="234"/>
      <c r="F13" s="234"/>
      <c r="G13" s="234"/>
      <c r="H13" s="235"/>
      <c r="I13" s="234"/>
      <c r="J13" s="234"/>
      <c r="K13" s="234"/>
      <c r="L13" s="236" t="s">
        <v>115</v>
      </c>
      <c r="M13" s="237" t="s">
        <v>2962</v>
      </c>
      <c r="N13" s="238">
        <f>+N16+N186+N482</f>
        <v>0</v>
      </c>
      <c r="O13" s="238">
        <f>+O16+O186+O482</f>
        <v>0</v>
      </c>
      <c r="P13" s="239">
        <f>+O13-N13</f>
        <v>0</v>
      </c>
      <c r="Q13" s="211"/>
      <c r="R13" s="240"/>
      <c r="S13" s="224">
        <f>S16+S186+S481</f>
        <v>0</v>
      </c>
      <c r="T13" s="240"/>
      <c r="U13" s="240"/>
      <c r="V13" s="240"/>
      <c r="W13" s="211"/>
      <c r="X13" s="211"/>
      <c r="Y13" s="211"/>
      <c r="Z13" s="211"/>
      <c r="AA13" s="211"/>
    </row>
    <row r="14" spans="1:40" s="204" customFormat="1" x14ac:dyDescent="0.25">
      <c r="B14" s="216"/>
      <c r="C14" s="216"/>
      <c r="D14" s="226"/>
      <c r="E14" s="226"/>
      <c r="F14" s="226"/>
      <c r="G14" s="226"/>
      <c r="H14" s="227"/>
      <c r="I14" s="226"/>
      <c r="J14" s="226"/>
      <c r="K14" s="226"/>
      <c r="L14" s="241"/>
      <c r="M14" s="242"/>
      <c r="N14" s="240"/>
      <c r="O14" s="240"/>
      <c r="P14" s="211"/>
      <c r="Q14" s="211"/>
      <c r="R14" s="240"/>
      <c r="S14" s="240"/>
      <c r="T14" s="240"/>
      <c r="U14" s="240"/>
      <c r="V14" s="240"/>
      <c r="W14" s="211"/>
      <c r="X14" s="211"/>
      <c r="Y14" s="211"/>
      <c r="Z14" s="211"/>
      <c r="AA14" s="211"/>
    </row>
    <row r="15" spans="1:40" s="204" customFormat="1" ht="26.25" x14ac:dyDescent="0.25">
      <c r="B15" s="230"/>
      <c r="C15" s="230"/>
      <c r="D15" s="230"/>
      <c r="E15" s="230"/>
      <c r="F15" s="230"/>
      <c r="G15" s="230"/>
      <c r="H15" s="231"/>
      <c r="I15" s="230"/>
      <c r="J15" s="230"/>
      <c r="K15" s="230"/>
      <c r="L15" s="243"/>
      <c r="M15" s="244"/>
      <c r="N15" s="330" t="str">
        <f>'NI-San_SP'!N$15</f>
        <v>Valore netto al 31/12/2019</v>
      </c>
      <c r="O15" s="307" t="str">
        <f>"Valore netto al 31/12/"&amp;Info!B3</f>
        <v>Valore netto al 31/12/2020</v>
      </c>
      <c r="P15" s="330" t="str">
        <f>'NI-San_SP'!P$15</f>
        <v>Variazione</v>
      </c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40" s="204" customFormat="1" x14ac:dyDescent="0.25">
      <c r="B16" s="246" t="s">
        <v>116</v>
      </c>
      <c r="C16" s="246" t="s">
        <v>117</v>
      </c>
      <c r="D16" s="247" t="s">
        <v>2964</v>
      </c>
      <c r="E16" s="247"/>
      <c r="F16" s="247"/>
      <c r="G16" s="247"/>
      <c r="H16" s="248"/>
      <c r="I16" s="247"/>
      <c r="J16" s="247"/>
      <c r="K16" s="249"/>
      <c r="L16" s="250" t="s">
        <v>118</v>
      </c>
      <c r="M16" s="251" t="s">
        <v>2962</v>
      </c>
      <c r="N16" s="252">
        <f>+N20+N36+N51+N86+N94-N159</f>
        <v>0</v>
      </c>
      <c r="O16" s="252">
        <f>+O20+O36+O51+O86+O94-O159</f>
        <v>0</v>
      </c>
      <c r="P16" s="253">
        <f>+O16-N16</f>
        <v>0</v>
      </c>
      <c r="Q16" s="211"/>
      <c r="R16" s="211"/>
      <c r="S16" s="224">
        <f>+S20+S36+S51+T86+S94-S159</f>
        <v>0</v>
      </c>
      <c r="T16" s="225" t="str">
        <f>IF(S16&lt;&gt;0,"SQUADRATURA ATTIVO A.I. PER GIROCONTI SU NUOVI CONTI SP","")</f>
        <v/>
      </c>
      <c r="U16" s="211"/>
      <c r="V16" s="211"/>
      <c r="W16" s="517"/>
      <c r="X16" s="224">
        <f>+X20+X36+X51+X86+X94-X159</f>
        <v>0</v>
      </c>
      <c r="Z16" s="211"/>
      <c r="AA16" s="211"/>
      <c r="AD16" s="224">
        <f>+AD22+AD38+AD53+AD69+AD94-AE86</f>
        <v>0</v>
      </c>
      <c r="AE16" s="211" t="s">
        <v>2965</v>
      </c>
    </row>
    <row r="17" spans="1:31" s="204" customFormat="1" x14ac:dyDescent="0.25">
      <c r="B17" s="230"/>
      <c r="C17" s="230"/>
      <c r="D17" s="230"/>
      <c r="E17" s="230"/>
      <c r="F17" s="230"/>
      <c r="G17" s="230"/>
      <c r="H17" s="231"/>
      <c r="I17" s="230"/>
      <c r="J17" s="230"/>
      <c r="K17" s="230"/>
      <c r="L17" s="232"/>
      <c r="M17" s="211"/>
      <c r="N17" s="254"/>
      <c r="O17" s="211"/>
      <c r="P17" s="211"/>
      <c r="Q17" s="211"/>
      <c r="R17" s="211"/>
      <c r="S17" s="211"/>
      <c r="T17" s="211"/>
      <c r="U17" s="211"/>
      <c r="V17" s="211"/>
      <c r="W17" s="298"/>
      <c r="X17" s="211"/>
      <c r="Y17" s="211"/>
      <c r="Z17" s="211"/>
      <c r="AA17" s="211"/>
    </row>
    <row r="18" spans="1:31" s="204" customFormat="1" x14ac:dyDescent="0.25">
      <c r="B18" s="230"/>
      <c r="C18" s="230"/>
      <c r="D18" s="230"/>
      <c r="E18" s="230"/>
      <c r="F18" s="230"/>
      <c r="G18" s="230"/>
      <c r="H18" s="231"/>
      <c r="I18" s="230"/>
      <c r="J18" s="230"/>
      <c r="K18" s="230"/>
      <c r="L18" s="232"/>
      <c r="M18" s="211"/>
      <c r="N18" s="254"/>
      <c r="O18" s="211"/>
      <c r="P18" s="211"/>
      <c r="Q18" s="211"/>
      <c r="R18" s="211"/>
      <c r="S18" s="211"/>
      <c r="T18" s="211"/>
      <c r="U18" s="211"/>
      <c r="V18" s="211"/>
      <c r="W18" s="298"/>
      <c r="X18" s="211"/>
      <c r="Y18" s="211"/>
      <c r="Z18" s="211"/>
      <c r="AA18" s="211"/>
    </row>
    <row r="19" spans="1:31" s="204" customFormat="1" ht="25.5" x14ac:dyDescent="0.25">
      <c r="B19" s="230"/>
      <c r="C19" s="230"/>
      <c r="D19" s="230"/>
      <c r="E19" s="230"/>
      <c r="F19" s="230"/>
      <c r="G19" s="230"/>
      <c r="H19" s="231"/>
      <c r="I19" s="230"/>
      <c r="J19" s="230"/>
      <c r="K19" s="230"/>
      <c r="L19" s="255"/>
      <c r="M19" s="244"/>
      <c r="N19" s="256" t="str">
        <f>N$15</f>
        <v>Valore netto al 31/12/2019</v>
      </c>
      <c r="O19" s="518" t="str">
        <f>O$15</f>
        <v>Valore netto al 31/12/2020</v>
      </c>
      <c r="P19" s="256" t="str">
        <f>P$15</f>
        <v>Variazione</v>
      </c>
      <c r="Q19" s="211"/>
      <c r="R19" s="211"/>
      <c r="S19" s="211"/>
      <c r="T19" s="211"/>
      <c r="U19" s="211"/>
      <c r="V19" s="211"/>
      <c r="W19" s="298"/>
      <c r="X19" s="211"/>
      <c r="Y19" s="211"/>
      <c r="Z19" s="211"/>
      <c r="AA19" s="211"/>
    </row>
    <row r="20" spans="1:31" s="217" customFormat="1" x14ac:dyDescent="0.25">
      <c r="A20" s="204"/>
      <c r="B20" s="246" t="s">
        <v>119</v>
      </c>
      <c r="C20" s="246" t="s">
        <v>120</v>
      </c>
      <c r="D20" s="247" t="s">
        <v>2966</v>
      </c>
      <c r="E20" s="247"/>
      <c r="F20" s="247"/>
      <c r="G20" s="247"/>
      <c r="H20" s="248"/>
      <c r="I20" s="247"/>
      <c r="J20" s="247"/>
      <c r="K20" s="249"/>
      <c r="L20" s="257" t="s">
        <v>122</v>
      </c>
      <c r="M20" s="251" t="s">
        <v>2962</v>
      </c>
      <c r="N20" s="252">
        <f>+N22-N28</f>
        <v>0</v>
      </c>
      <c r="O20" s="252">
        <f>+O22-O28</f>
        <v>0</v>
      </c>
      <c r="P20" s="253">
        <f>+O20-N20</f>
        <v>0</v>
      </c>
      <c r="Q20" s="211"/>
      <c r="R20" s="211"/>
      <c r="S20" s="252">
        <f>+S22-S28</f>
        <v>0</v>
      </c>
      <c r="T20" s="211"/>
      <c r="U20" s="211"/>
      <c r="V20" s="211"/>
      <c r="W20" s="517"/>
      <c r="X20" s="252">
        <f>+X22-X28</f>
        <v>0</v>
      </c>
      <c r="Y20" s="211"/>
      <c r="Z20" s="211"/>
      <c r="AA20" s="211"/>
    </row>
    <row r="21" spans="1:31" s="204" customFormat="1" x14ac:dyDescent="0.25">
      <c r="B21" s="230"/>
      <c r="C21" s="230"/>
      <c r="D21" s="230"/>
      <c r="E21" s="230"/>
      <c r="F21" s="230"/>
      <c r="G21" s="230"/>
      <c r="H21" s="231"/>
      <c r="I21" s="230"/>
      <c r="J21" s="230"/>
      <c r="K21" s="230"/>
      <c r="L21" s="232"/>
      <c r="M21" s="211"/>
      <c r="N21" s="254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1:31" s="204" customFormat="1" x14ac:dyDescent="0.25">
      <c r="B22" s="246" t="s">
        <v>123</v>
      </c>
      <c r="C22" s="246" t="s">
        <v>124</v>
      </c>
      <c r="D22" s="247" t="s">
        <v>2967</v>
      </c>
      <c r="E22" s="247"/>
      <c r="F22" s="247"/>
      <c r="G22" s="247"/>
      <c r="H22" s="248"/>
      <c r="I22" s="247"/>
      <c r="J22" s="247"/>
      <c r="K22" s="249"/>
      <c r="L22" s="258" t="s">
        <v>127</v>
      </c>
      <c r="M22" s="251" t="s">
        <v>2962</v>
      </c>
      <c r="N22" s="252">
        <f>SUM(N25:N26)</f>
        <v>0</v>
      </c>
      <c r="O22" s="252">
        <f>SUM(O25:O26)</f>
        <v>0</v>
      </c>
      <c r="P22" s="259">
        <f>+O22-N22</f>
        <v>0</v>
      </c>
      <c r="Q22" s="252">
        <f>SUM(Q25:Q26)</f>
        <v>0</v>
      </c>
      <c r="R22" s="252">
        <f>SUM(R25:R26)</f>
        <v>0</v>
      </c>
      <c r="S22" s="252">
        <f>SUM(S25:S26)</f>
        <v>0</v>
      </c>
      <c r="T22" s="252">
        <f>SUM(T25:T26)</f>
        <v>0</v>
      </c>
      <c r="U22" s="252">
        <f>SUM(U25:U26)</f>
        <v>0</v>
      </c>
      <c r="W22" s="252">
        <f>SUM(W25:W26)</f>
        <v>0</v>
      </c>
      <c r="X22" s="252">
        <f>SUM(X25:X26)</f>
        <v>0</v>
      </c>
      <c r="Y22" s="252">
        <f>SUM(Y25:Y26)</f>
        <v>0</v>
      </c>
      <c r="Z22" s="252">
        <f>SUM(AA25:AA26)</f>
        <v>0</v>
      </c>
      <c r="AA22" s="252">
        <f>SUM(Z25:Z26)</f>
        <v>0</v>
      </c>
      <c r="AB22" s="252">
        <f>SUM(AB25:AB26)</f>
        <v>0</v>
      </c>
      <c r="AC22" s="252">
        <f>SUM(AC25:AC26)</f>
        <v>0</v>
      </c>
      <c r="AD22" s="252">
        <f>SUM(AD25:AD26)</f>
        <v>0</v>
      </c>
      <c r="AE22" s="252">
        <f>SUM(AE25:AE26)</f>
        <v>0</v>
      </c>
    </row>
    <row r="23" spans="1:31" s="204" customFormat="1" x14ac:dyDescent="0.25">
      <c r="B23" s="230"/>
      <c r="C23" s="230"/>
      <c r="D23" s="230"/>
      <c r="E23" s="230"/>
      <c r="F23" s="230"/>
      <c r="G23" s="230"/>
      <c r="H23" s="231"/>
      <c r="I23" s="230"/>
      <c r="J23" s="230"/>
      <c r="K23" s="230"/>
      <c r="L23" s="232"/>
      <c r="M23" s="211"/>
      <c r="N23" s="254"/>
      <c r="O23" s="211"/>
      <c r="P23" s="211"/>
      <c r="Q23" s="211"/>
      <c r="W23" s="211"/>
      <c r="X23" s="211"/>
      <c r="Y23" s="211"/>
      <c r="Z23" s="211"/>
      <c r="AA23" s="211"/>
      <c r="AB23" s="211"/>
      <c r="AC23" s="211"/>
      <c r="AD23" s="211"/>
      <c r="AE23" s="211"/>
    </row>
    <row r="24" spans="1:31" s="204" customFormat="1" ht="51" x14ac:dyDescent="0.25">
      <c r="B24" s="260" t="s">
        <v>2968</v>
      </c>
      <c r="C24" s="260" t="s">
        <v>2969</v>
      </c>
      <c r="D24" s="206" t="s">
        <v>72</v>
      </c>
      <c r="E24" s="206"/>
      <c r="F24" s="206"/>
      <c r="G24" s="207"/>
      <c r="H24" s="207"/>
      <c r="I24" s="207"/>
      <c r="J24" s="207" t="s">
        <v>2957</v>
      </c>
      <c r="K24" s="206" t="s">
        <v>82</v>
      </c>
      <c r="L24" s="261" t="s">
        <v>2970</v>
      </c>
      <c r="M24" s="260"/>
      <c r="N24" s="256" t="str">
        <f>N$15</f>
        <v>Valore netto al 31/12/2019</v>
      </c>
      <c r="O24" s="256" t="str">
        <f>O$15</f>
        <v>Valore netto al 31/12/2020</v>
      </c>
      <c r="P24" s="256" t="str">
        <f>P$15</f>
        <v>Variazione</v>
      </c>
      <c r="Q24" s="262" t="s">
        <v>2971</v>
      </c>
      <c r="R24" s="262" t="str">
        <f>"Costo storico al 31/12/"&amp;Info!$B$3-1</f>
        <v>Costo storico al 31/12/2019</v>
      </c>
      <c r="S24" s="262" t="s">
        <v>2972</v>
      </c>
      <c r="T24" s="262" t="s">
        <v>2973</v>
      </c>
      <c r="U24" s="262" t="s">
        <v>2974</v>
      </c>
      <c r="W24" s="262" t="s">
        <v>2975</v>
      </c>
      <c r="X24" s="262" t="s">
        <v>2976</v>
      </c>
      <c r="Y24" s="262" t="s">
        <v>2977</v>
      </c>
      <c r="Z24" s="262" t="s">
        <v>2978</v>
      </c>
      <c r="AA24" s="262" t="s">
        <v>2979</v>
      </c>
      <c r="AB24" s="262" t="s">
        <v>2980</v>
      </c>
      <c r="AC24" s="262" t="s">
        <v>2981</v>
      </c>
      <c r="AD24" s="262" t="s">
        <v>2982</v>
      </c>
      <c r="AE24" s="262" t="s">
        <v>2983</v>
      </c>
    </row>
    <row r="25" spans="1:31" s="204" customFormat="1" x14ac:dyDescent="0.25">
      <c r="B25" s="263" t="s">
        <v>128</v>
      </c>
      <c r="C25" s="263" t="s">
        <v>129</v>
      </c>
      <c r="D25" s="264" t="s">
        <v>2984</v>
      </c>
      <c r="E25" s="264"/>
      <c r="F25" s="264"/>
      <c r="G25" s="265"/>
      <c r="H25" s="266"/>
      <c r="I25" s="267"/>
      <c r="J25" s="267"/>
      <c r="K25" s="267"/>
      <c r="L25" s="268" t="s">
        <v>2985</v>
      </c>
      <c r="M25" s="263" t="s">
        <v>2962</v>
      </c>
      <c r="N25" s="269">
        <f>+R25+T25-U25</f>
        <v>0</v>
      </c>
      <c r="O25" s="270">
        <f>+N25+S25+X25+ABS(Y25)-ABS(AA25)+ABS(Z25)+ABS(AB25)+ABS(AD25)-ABS(AE25)+AC25+W25+Q25</f>
        <v>0</v>
      </c>
      <c r="P25" s="271">
        <f>+O25-N25</f>
        <v>0</v>
      </c>
      <c r="Q25" s="520"/>
      <c r="R25" s="354">
        <f>IF(ISERROR(VLOOKUP("SOC"&amp;$C25,ESTR_PREC_SP!$A$2:$G$2000,4,FALSE))=TRUE,0,VLOOKUP("SOC"&amp;$C25,ESTR_PREC_SP!$A$2:$G$2000,4,FALSE))</f>
        <v>0</v>
      </c>
      <c r="S25" s="521"/>
      <c r="T25" s="521"/>
      <c r="U25" s="521"/>
      <c r="W25" s="520"/>
      <c r="X25" s="520"/>
      <c r="Y25" s="520"/>
      <c r="Z25" s="520"/>
      <c r="AA25" s="520"/>
      <c r="AB25" s="520"/>
      <c r="AC25" s="520"/>
      <c r="AD25" s="520"/>
      <c r="AE25" s="520"/>
    </row>
    <row r="26" spans="1:31" s="204" customFormat="1" x14ac:dyDescent="0.25">
      <c r="B26" s="273" t="s">
        <v>131</v>
      </c>
      <c r="C26" s="273" t="s">
        <v>132</v>
      </c>
      <c r="D26" s="274" t="s">
        <v>2986</v>
      </c>
      <c r="E26" s="264"/>
      <c r="F26" s="264"/>
      <c r="G26" s="265"/>
      <c r="H26" s="266"/>
      <c r="I26" s="267"/>
      <c r="J26" s="267"/>
      <c r="K26" s="267"/>
      <c r="L26" s="268" t="s">
        <v>2987</v>
      </c>
      <c r="M26" s="263" t="s">
        <v>2962</v>
      </c>
      <c r="N26" s="269">
        <f>+R26+T26-U26</f>
        <v>0</v>
      </c>
      <c r="O26" s="270">
        <f>+N26+S26+X26+ABS(Y26)-ABS(AA26)+ABS(Z26)+ABS(AB26)+ABS(AD26)-ABS(AE26)+AC26+W26+Q26</f>
        <v>0</v>
      </c>
      <c r="P26" s="271">
        <f>+O26-N26</f>
        <v>0</v>
      </c>
      <c r="Q26" s="520"/>
      <c r="R26" s="354">
        <f>IF(ISERROR(VLOOKUP("SOC"&amp;$C26,ESTR_PREC_SP!$A$2:$G$2000,4,FALSE))=TRUE,0,VLOOKUP("SOC"&amp;$C26,ESTR_PREC_SP!$A$2:$G$2000,4,FALSE))</f>
        <v>0</v>
      </c>
      <c r="S26" s="521"/>
      <c r="T26" s="521"/>
      <c r="U26" s="521"/>
      <c r="W26" s="520"/>
      <c r="X26" s="520"/>
      <c r="Y26" s="520"/>
      <c r="Z26" s="520"/>
      <c r="AA26" s="520"/>
      <c r="AB26" s="520"/>
      <c r="AC26" s="520"/>
      <c r="AD26" s="520"/>
      <c r="AE26" s="520"/>
    </row>
    <row r="27" spans="1:31" s="204" customFormat="1" x14ac:dyDescent="0.25">
      <c r="B27" s="230"/>
      <c r="C27" s="230"/>
      <c r="D27" s="230"/>
      <c r="E27" s="230"/>
      <c r="F27" s="230"/>
      <c r="G27" s="230"/>
      <c r="H27" s="231"/>
      <c r="I27" s="230"/>
      <c r="J27" s="230"/>
      <c r="K27" s="230"/>
      <c r="L27" s="275"/>
      <c r="M27" s="211"/>
      <c r="N27" s="254"/>
      <c r="O27" s="211"/>
      <c r="P27" s="211"/>
      <c r="Q27" s="211"/>
      <c r="R27" s="211"/>
      <c r="S27" s="216"/>
      <c r="T27" s="216"/>
      <c r="U27" s="216"/>
      <c r="V27" s="216"/>
      <c r="W27" s="211"/>
      <c r="X27" s="211"/>
      <c r="Y27" s="211"/>
      <c r="Z27" s="211"/>
      <c r="AA27" s="211"/>
    </row>
    <row r="28" spans="1:31" s="204" customFormat="1" x14ac:dyDescent="0.25">
      <c r="B28" s="246" t="s">
        <v>134</v>
      </c>
      <c r="C28" s="246" t="s">
        <v>135</v>
      </c>
      <c r="D28" s="247" t="s">
        <v>2988</v>
      </c>
      <c r="E28" s="247"/>
      <c r="F28" s="247"/>
      <c r="G28" s="247"/>
      <c r="H28" s="248"/>
      <c r="I28" s="247"/>
      <c r="J28" s="247"/>
      <c r="K28" s="249"/>
      <c r="L28" s="276" t="s">
        <v>138</v>
      </c>
      <c r="M28" s="251" t="s">
        <v>2962</v>
      </c>
      <c r="N28" s="252">
        <f>SUM(N31:N32)</f>
        <v>0</v>
      </c>
      <c r="O28" s="252">
        <f>SUM(O31:O32)</f>
        <v>0</v>
      </c>
      <c r="P28" s="259">
        <f>+O28-N28</f>
        <v>0</v>
      </c>
      <c r="Q28" s="252">
        <f>SUM(Q31:Q32)</f>
        <v>0</v>
      </c>
      <c r="R28" s="252">
        <f>SUM(R31:R32)</f>
        <v>0</v>
      </c>
      <c r="S28" s="252">
        <f>SUM(S31:S32)</f>
        <v>0</v>
      </c>
      <c r="V28" s="211"/>
      <c r="W28" s="252">
        <f>SUM(W31:W32)</f>
        <v>0</v>
      </c>
      <c r="X28" s="252">
        <f>SUM(X31:X32)</f>
        <v>0</v>
      </c>
      <c r="Y28" s="252">
        <f>SUM(Y31:Y32)</f>
        <v>0</v>
      </c>
      <c r="Z28" s="252">
        <f>SUM(Z31:Z32)</f>
        <v>0</v>
      </c>
      <c r="AA28" s="211"/>
    </row>
    <row r="29" spans="1:31" s="204" customFormat="1" x14ac:dyDescent="0.25">
      <c r="B29" s="230"/>
      <c r="C29" s="230"/>
      <c r="D29" s="230"/>
      <c r="E29" s="230"/>
      <c r="F29" s="230"/>
      <c r="G29" s="230"/>
      <c r="H29" s="231"/>
      <c r="I29" s="230"/>
      <c r="J29" s="230"/>
      <c r="K29" s="230"/>
      <c r="L29" s="232"/>
      <c r="M29" s="211"/>
      <c r="N29" s="211"/>
      <c r="O29" s="211"/>
      <c r="P29" s="211"/>
      <c r="Q29" s="211"/>
      <c r="V29" s="211"/>
      <c r="W29" s="211"/>
      <c r="X29" s="211"/>
      <c r="Y29" s="211"/>
      <c r="Z29" s="211"/>
      <c r="AA29" s="211"/>
    </row>
    <row r="30" spans="1:31" s="204" customFormat="1" ht="89.25" x14ac:dyDescent="0.25">
      <c r="B30" s="260" t="s">
        <v>2968</v>
      </c>
      <c r="C30" s="260" t="s">
        <v>2969</v>
      </c>
      <c r="D30" s="206" t="s">
        <v>72</v>
      </c>
      <c r="E30" s="206"/>
      <c r="F30" s="206"/>
      <c r="G30" s="207"/>
      <c r="H30" s="207"/>
      <c r="I30" s="207"/>
      <c r="J30" s="207" t="s">
        <v>2957</v>
      </c>
      <c r="K30" s="206" t="s">
        <v>82</v>
      </c>
      <c r="L30" s="261" t="s">
        <v>2970</v>
      </c>
      <c r="M30" s="260"/>
      <c r="N30" s="256" t="str">
        <f>N$15</f>
        <v>Valore netto al 31/12/2019</v>
      </c>
      <c r="O30" s="256" t="str">
        <f>O$15</f>
        <v>Valore netto al 31/12/2020</v>
      </c>
      <c r="P30" s="256" t="str">
        <f>P$15</f>
        <v>Variazione</v>
      </c>
      <c r="Q30" s="262" t="s">
        <v>2971</v>
      </c>
      <c r="R30" s="262" t="str">
        <f>"Fondo ammortamento 31/12/"&amp;Info!$B$3-1</f>
        <v>Fondo ammortamento 31/12/2019</v>
      </c>
      <c r="S30" s="262" t="s">
        <v>2972</v>
      </c>
      <c r="V30" s="211"/>
      <c r="W30" s="262" t="s">
        <v>4391</v>
      </c>
      <c r="X30" s="262" t="s">
        <v>2976</v>
      </c>
      <c r="Y30" s="262" t="s">
        <v>2989</v>
      </c>
      <c r="Z30" s="262" t="s">
        <v>2990</v>
      </c>
      <c r="AA30" s="211"/>
    </row>
    <row r="31" spans="1:31" s="204" customFormat="1" x14ac:dyDescent="0.25">
      <c r="B31" s="263" t="s">
        <v>139</v>
      </c>
      <c r="C31" s="263" t="s">
        <v>140</v>
      </c>
      <c r="D31" s="264" t="s">
        <v>2991</v>
      </c>
      <c r="E31" s="264"/>
      <c r="F31" s="264"/>
      <c r="G31" s="265"/>
      <c r="H31" s="266"/>
      <c r="I31" s="267"/>
      <c r="J31" s="267"/>
      <c r="K31" s="267"/>
      <c r="L31" s="268" t="s">
        <v>2992</v>
      </c>
      <c r="M31" s="263" t="s">
        <v>2962</v>
      </c>
      <c r="N31" s="269">
        <f>+R31</f>
        <v>0</v>
      </c>
      <c r="O31" s="270">
        <f>+R31+S31+X31-ABS(Y31)+ABS(Z31)+W31+Q31</f>
        <v>0</v>
      </c>
      <c r="P31" s="271">
        <f>+O31-N31</f>
        <v>0</v>
      </c>
      <c r="Q31" s="520"/>
      <c r="R31" s="354">
        <f>IF(ISERROR(VLOOKUP("SOC"&amp;$C31,ESTR_PREC_SP!$A$2:$G$2000,4,FALSE))=TRUE,0,VLOOKUP("SOC"&amp;$C31,ESTR_PREC_SP!$A$2:$G$2000,4,FALSE))</f>
        <v>0</v>
      </c>
      <c r="S31" s="521"/>
      <c r="V31" s="211"/>
      <c r="W31" s="520"/>
      <c r="X31" s="520"/>
      <c r="Y31" s="520"/>
      <c r="Z31" s="520"/>
      <c r="AA31" s="211"/>
    </row>
    <row r="32" spans="1:31" s="204" customFormat="1" x14ac:dyDescent="0.25">
      <c r="B32" s="273" t="s">
        <v>142</v>
      </c>
      <c r="C32" s="273" t="s">
        <v>143</v>
      </c>
      <c r="D32" s="274" t="s">
        <v>2993</v>
      </c>
      <c r="E32" s="264"/>
      <c r="F32" s="264"/>
      <c r="G32" s="265"/>
      <c r="H32" s="266"/>
      <c r="I32" s="267"/>
      <c r="J32" s="267"/>
      <c r="K32" s="267"/>
      <c r="L32" s="268" t="s">
        <v>2994</v>
      </c>
      <c r="M32" s="263" t="s">
        <v>2962</v>
      </c>
      <c r="N32" s="269">
        <f>+R32</f>
        <v>0</v>
      </c>
      <c r="O32" s="270">
        <f>+R32+S32+X32-ABS(Y32)+ABS(Z32)+W32+Q32</f>
        <v>0</v>
      </c>
      <c r="P32" s="271">
        <f>+O32-N32</f>
        <v>0</v>
      </c>
      <c r="Q32" s="520"/>
      <c r="R32" s="354">
        <f>IF(ISERROR(VLOOKUP("SOC"&amp;$C32,ESTR_PREC_SP!$A$2:$G$2000,4,FALSE))=TRUE,0,VLOOKUP("SOC"&amp;$C32,ESTR_PREC_SP!$A$2:$G$2000,4,FALSE))</f>
        <v>0</v>
      </c>
      <c r="S32" s="521"/>
      <c r="V32" s="211"/>
      <c r="W32" s="520"/>
      <c r="X32" s="520"/>
      <c r="Y32" s="520"/>
      <c r="Z32" s="520"/>
      <c r="AA32" s="211"/>
    </row>
    <row r="33" spans="2:31" s="204" customFormat="1" x14ac:dyDescent="0.25">
      <c r="B33" s="230"/>
      <c r="C33" s="230"/>
      <c r="D33" s="230"/>
      <c r="E33" s="230"/>
      <c r="F33" s="230"/>
      <c r="G33" s="230"/>
      <c r="H33" s="231"/>
      <c r="I33" s="230"/>
      <c r="J33" s="230"/>
      <c r="K33" s="230"/>
      <c r="L33" s="232"/>
      <c r="M33" s="211"/>
      <c r="N33" s="254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2:31" s="204" customFormat="1" x14ac:dyDescent="0.25">
      <c r="B34" s="230"/>
      <c r="C34" s="230"/>
      <c r="D34" s="230"/>
      <c r="E34" s="230"/>
      <c r="F34" s="230"/>
      <c r="G34" s="230"/>
      <c r="H34" s="231"/>
      <c r="I34" s="230"/>
      <c r="J34" s="230"/>
      <c r="K34" s="230"/>
      <c r="L34" s="232"/>
      <c r="M34" s="211"/>
      <c r="N34" s="254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2:31" s="204" customFormat="1" ht="38.25" x14ac:dyDescent="0.25">
      <c r="B35" s="230"/>
      <c r="C35" s="230"/>
      <c r="D35" s="230"/>
      <c r="E35" s="230"/>
      <c r="F35" s="230"/>
      <c r="G35" s="230"/>
      <c r="H35" s="231"/>
      <c r="I35" s="230"/>
      <c r="J35" s="230"/>
      <c r="K35" s="230"/>
      <c r="L35" s="255"/>
      <c r="M35" s="244"/>
      <c r="N35" s="256" t="str">
        <f>N$15</f>
        <v>Valore netto al 31/12/2019</v>
      </c>
      <c r="O35" s="518" t="str">
        <f>O$15</f>
        <v>Valore netto al 31/12/2020</v>
      </c>
      <c r="P35" s="256" t="str">
        <f>P$15</f>
        <v>Variazione</v>
      </c>
      <c r="Q35" s="262" t="s">
        <v>2971</v>
      </c>
      <c r="R35" s="216"/>
      <c r="S35" s="216"/>
      <c r="T35" s="216"/>
      <c r="U35" s="216"/>
      <c r="V35" s="216"/>
      <c r="W35" s="211"/>
      <c r="X35" s="211"/>
      <c r="Y35" s="211"/>
      <c r="Z35" s="211"/>
      <c r="AA35" s="211"/>
    </row>
    <row r="36" spans="2:31" s="204" customFormat="1" x14ac:dyDescent="0.25">
      <c r="B36" s="246" t="s">
        <v>145</v>
      </c>
      <c r="C36" s="246" t="s">
        <v>146</v>
      </c>
      <c r="D36" s="247" t="s">
        <v>2995</v>
      </c>
      <c r="E36" s="247"/>
      <c r="F36" s="247"/>
      <c r="G36" s="247"/>
      <c r="H36" s="248"/>
      <c r="I36" s="247"/>
      <c r="J36" s="247"/>
      <c r="K36" s="249"/>
      <c r="L36" s="257" t="s">
        <v>148</v>
      </c>
      <c r="M36" s="251" t="s">
        <v>2962</v>
      </c>
      <c r="N36" s="252">
        <f>+N38-N44</f>
        <v>0</v>
      </c>
      <c r="O36" s="252">
        <f>+O38-O44</f>
        <v>0</v>
      </c>
      <c r="P36" s="253">
        <f>+O36-N36</f>
        <v>0</v>
      </c>
      <c r="Q36" s="252">
        <f>+Q38-Q44</f>
        <v>0</v>
      </c>
      <c r="R36" s="216"/>
      <c r="S36" s="252">
        <f>+S38-S44</f>
        <v>0</v>
      </c>
      <c r="T36" s="216"/>
      <c r="U36" s="216"/>
      <c r="V36" s="216"/>
      <c r="W36" s="211"/>
      <c r="X36" s="252">
        <f>+X38-X44</f>
        <v>0</v>
      </c>
      <c r="Y36" s="211"/>
      <c r="Z36" s="211"/>
      <c r="AA36" s="211"/>
    </row>
    <row r="37" spans="2:31" s="204" customFormat="1" x14ac:dyDescent="0.25">
      <c r="B37" s="230"/>
      <c r="C37" s="230"/>
      <c r="D37" s="230"/>
      <c r="E37" s="230"/>
      <c r="F37" s="230"/>
      <c r="G37" s="230"/>
      <c r="H37" s="231"/>
      <c r="I37" s="230"/>
      <c r="J37" s="230"/>
      <c r="K37" s="230"/>
      <c r="L37" s="277"/>
      <c r="M37" s="278"/>
      <c r="N37" s="279"/>
      <c r="O37" s="211"/>
      <c r="P37" s="211"/>
      <c r="Q37" s="211"/>
      <c r="R37" s="216"/>
      <c r="S37" s="216"/>
      <c r="T37" s="216"/>
      <c r="U37" s="216"/>
      <c r="V37" s="216"/>
      <c r="W37" s="211"/>
      <c r="X37" s="211"/>
      <c r="Y37" s="211"/>
      <c r="Z37" s="211"/>
      <c r="AA37" s="211"/>
    </row>
    <row r="38" spans="2:31" s="204" customFormat="1" x14ac:dyDescent="0.25">
      <c r="B38" s="246" t="s">
        <v>149</v>
      </c>
      <c r="C38" s="246" t="s">
        <v>150</v>
      </c>
      <c r="D38" s="247" t="s">
        <v>2996</v>
      </c>
      <c r="E38" s="247"/>
      <c r="F38" s="247"/>
      <c r="G38" s="247"/>
      <c r="H38" s="248"/>
      <c r="I38" s="247"/>
      <c r="J38" s="247"/>
      <c r="K38" s="249"/>
      <c r="L38" s="276" t="s">
        <v>153</v>
      </c>
      <c r="M38" s="251" t="s">
        <v>2962</v>
      </c>
      <c r="N38" s="252">
        <f>SUM(N41:N42)</f>
        <v>0</v>
      </c>
      <c r="O38" s="252">
        <f>SUM(O41:O42)</f>
        <v>0</v>
      </c>
      <c r="P38" s="259">
        <f>+O38-N38</f>
        <v>0</v>
      </c>
      <c r="Q38" s="252">
        <f>SUM(Q41:Q42)</f>
        <v>0</v>
      </c>
      <c r="R38" s="252">
        <f>SUM(R41:R42)</f>
        <v>0</v>
      </c>
      <c r="S38" s="252">
        <f>SUM(S41:S42)</f>
        <v>0</v>
      </c>
      <c r="T38" s="252">
        <f>SUM(T41:T42)</f>
        <v>0</v>
      </c>
      <c r="U38" s="252">
        <f>SUM(U41:U42)</f>
        <v>0</v>
      </c>
      <c r="V38" s="216"/>
      <c r="W38" s="252">
        <f t="shared" ref="W38:AE38" si="0">SUM(W41:W42)</f>
        <v>0</v>
      </c>
      <c r="X38" s="252">
        <f t="shared" si="0"/>
        <v>0</v>
      </c>
      <c r="Y38" s="252">
        <f t="shared" si="0"/>
        <v>0</v>
      </c>
      <c r="Z38" s="252">
        <f t="shared" si="0"/>
        <v>0</v>
      </c>
      <c r="AA38" s="252">
        <f t="shared" si="0"/>
        <v>0</v>
      </c>
      <c r="AB38" s="252">
        <f t="shared" si="0"/>
        <v>0</v>
      </c>
      <c r="AC38" s="252">
        <f t="shared" si="0"/>
        <v>0</v>
      </c>
      <c r="AD38" s="252">
        <f t="shared" si="0"/>
        <v>0</v>
      </c>
      <c r="AE38" s="252">
        <f t="shared" si="0"/>
        <v>0</v>
      </c>
    </row>
    <row r="39" spans="2:31" s="204" customFormat="1" x14ac:dyDescent="0.25">
      <c r="B39" s="230"/>
      <c r="C39" s="230"/>
      <c r="D39" s="230"/>
      <c r="E39" s="230"/>
      <c r="F39" s="230"/>
      <c r="G39" s="230"/>
      <c r="H39" s="231"/>
      <c r="I39" s="230"/>
      <c r="J39" s="230"/>
      <c r="K39" s="230"/>
      <c r="L39" s="277"/>
      <c r="M39" s="278"/>
      <c r="N39" s="279"/>
      <c r="O39" s="211"/>
      <c r="P39" s="211"/>
      <c r="Q39" s="211"/>
      <c r="R39" s="216"/>
      <c r="T39" s="216"/>
      <c r="U39" s="216"/>
      <c r="V39" s="216"/>
      <c r="W39" s="211"/>
      <c r="X39" s="211"/>
      <c r="Y39" s="211"/>
      <c r="Z39" s="211"/>
      <c r="AA39" s="211"/>
    </row>
    <row r="40" spans="2:31" s="204" customFormat="1" ht="89.25" x14ac:dyDescent="0.25">
      <c r="B40" s="260" t="s">
        <v>2968</v>
      </c>
      <c r="C40" s="260" t="s">
        <v>2969</v>
      </c>
      <c r="D40" s="206" t="s">
        <v>72</v>
      </c>
      <c r="E40" s="206"/>
      <c r="F40" s="206"/>
      <c r="G40" s="207"/>
      <c r="H40" s="207"/>
      <c r="I40" s="207"/>
      <c r="J40" s="207" t="s">
        <v>2957</v>
      </c>
      <c r="K40" s="206" t="s">
        <v>82</v>
      </c>
      <c r="L40" s="261" t="s">
        <v>2970</v>
      </c>
      <c r="M40" s="280"/>
      <c r="N40" s="256" t="str">
        <f>N$15</f>
        <v>Valore netto al 31/12/2019</v>
      </c>
      <c r="O40" s="256" t="str">
        <f>O$15</f>
        <v>Valore netto al 31/12/2020</v>
      </c>
      <c r="P40" s="256" t="str">
        <f>P$15</f>
        <v>Variazione</v>
      </c>
      <c r="Q40" s="262" t="s">
        <v>2971</v>
      </c>
      <c r="R40" s="262" t="str">
        <f>"Costo storico al 31/12/"&amp;Info!$B$3-1</f>
        <v>Costo storico al 31/12/2019</v>
      </c>
      <c r="S40" s="262" t="s">
        <v>2972</v>
      </c>
      <c r="T40" s="262" t="s">
        <v>2973</v>
      </c>
      <c r="U40" s="262" t="s">
        <v>2974</v>
      </c>
      <c r="W40" s="262" t="s">
        <v>4391</v>
      </c>
      <c r="X40" s="262" t="s">
        <v>2976</v>
      </c>
      <c r="Y40" s="262" t="s">
        <v>2977</v>
      </c>
      <c r="Z40" s="262" t="s">
        <v>2978</v>
      </c>
      <c r="AA40" s="262" t="s">
        <v>2979</v>
      </c>
      <c r="AB40" s="262" t="s">
        <v>2980</v>
      </c>
      <c r="AC40" s="262" t="s">
        <v>2981</v>
      </c>
      <c r="AD40" s="262" t="s">
        <v>2982</v>
      </c>
      <c r="AE40" s="262" t="s">
        <v>2983</v>
      </c>
    </row>
    <row r="41" spans="2:31" s="204" customFormat="1" x14ac:dyDescent="0.25">
      <c r="B41" s="263" t="s">
        <v>154</v>
      </c>
      <c r="C41" s="263" t="s">
        <v>155</v>
      </c>
      <c r="D41" s="264" t="s">
        <v>2997</v>
      </c>
      <c r="E41" s="264"/>
      <c r="F41" s="264"/>
      <c r="G41" s="265"/>
      <c r="H41" s="266"/>
      <c r="I41" s="281"/>
      <c r="J41" s="281"/>
      <c r="K41" s="281"/>
      <c r="L41" s="282" t="s">
        <v>2998</v>
      </c>
      <c r="M41" s="263" t="s">
        <v>2962</v>
      </c>
      <c r="N41" s="269">
        <f>+R41+T41-U41</f>
        <v>0</v>
      </c>
      <c r="O41" s="270">
        <f>+N41+S41+X41+ABS(Y41)-ABS(AA41)+ABS(Z41)+ABS(AB41)+ABS(AD41)-ABS(AE41)+AC41+W41+Q41</f>
        <v>0</v>
      </c>
      <c r="P41" s="271">
        <f>+O41-N41</f>
        <v>0</v>
      </c>
      <c r="Q41" s="520"/>
      <c r="R41" s="354">
        <f>IF(ISERROR(VLOOKUP("SOC"&amp;$C41,ESTR_PREC_SP!$A$2:$G$2000,4,FALSE))=TRUE,0,VLOOKUP("SOC"&amp;$C41,ESTR_PREC_SP!$A$2:$G$2000,4,FALSE))</f>
        <v>0</v>
      </c>
      <c r="S41" s="521"/>
      <c r="T41" s="521"/>
      <c r="U41" s="521"/>
      <c r="W41" s="520"/>
      <c r="X41" s="520"/>
      <c r="Y41" s="520"/>
      <c r="Z41" s="520"/>
      <c r="AA41" s="520"/>
      <c r="AB41" s="520"/>
      <c r="AC41" s="520"/>
      <c r="AD41" s="520"/>
      <c r="AE41" s="520"/>
    </row>
    <row r="42" spans="2:31" s="204" customFormat="1" x14ac:dyDescent="0.25">
      <c r="B42" s="273" t="s">
        <v>157</v>
      </c>
      <c r="C42" s="273" t="s">
        <v>158</v>
      </c>
      <c r="D42" s="274" t="s">
        <v>2999</v>
      </c>
      <c r="E42" s="264"/>
      <c r="F42" s="274"/>
      <c r="G42" s="283"/>
      <c r="H42" s="266"/>
      <c r="I42" s="281"/>
      <c r="J42" s="281"/>
      <c r="K42" s="281"/>
      <c r="L42" s="282" t="s">
        <v>3000</v>
      </c>
      <c r="M42" s="284" t="s">
        <v>2962</v>
      </c>
      <c r="N42" s="269">
        <f>+R42+T42-U42</f>
        <v>0</v>
      </c>
      <c r="O42" s="270">
        <f>+N42+S42+X42+ABS(Y42)-ABS(AA42)+ABS(Z42)+ABS(AB42)+ABS(AD42)-ABS(AE42)+AC42+W42+Q42</f>
        <v>0</v>
      </c>
      <c r="P42" s="271">
        <f>+O42-N42</f>
        <v>0</v>
      </c>
      <c r="Q42" s="520"/>
      <c r="R42" s="354">
        <f>IF(ISERROR(VLOOKUP("SOC"&amp;$C42,ESTR_PREC_SP!$A$2:$G$2000,4,FALSE))=TRUE,0,VLOOKUP("SOC"&amp;$C42,ESTR_PREC_SP!$A$2:$G$2000,4,FALSE))</f>
        <v>0</v>
      </c>
      <c r="S42" s="521"/>
      <c r="T42" s="521"/>
      <c r="U42" s="521"/>
      <c r="W42" s="520"/>
      <c r="X42" s="520"/>
      <c r="Y42" s="520"/>
      <c r="Z42" s="520"/>
      <c r="AA42" s="520"/>
      <c r="AB42" s="520"/>
      <c r="AC42" s="520"/>
      <c r="AD42" s="520"/>
      <c r="AE42" s="520"/>
    </row>
    <row r="43" spans="2:31" s="204" customFormat="1" x14ac:dyDescent="0.25">
      <c r="B43" s="230"/>
      <c r="C43" s="230"/>
      <c r="D43" s="230"/>
      <c r="E43" s="230"/>
      <c r="F43" s="230"/>
      <c r="G43" s="230"/>
      <c r="H43" s="231"/>
      <c r="I43" s="230"/>
      <c r="J43" s="230"/>
      <c r="K43" s="230"/>
      <c r="L43" s="275"/>
      <c r="M43" s="216"/>
      <c r="N43" s="285"/>
      <c r="O43" s="211"/>
      <c r="P43" s="211"/>
      <c r="Q43" s="211"/>
      <c r="R43" s="216"/>
      <c r="S43" s="216"/>
      <c r="T43" s="285"/>
      <c r="U43" s="285"/>
      <c r="V43" s="285"/>
      <c r="W43" s="285"/>
      <c r="X43" s="285"/>
      <c r="Y43" s="285"/>
      <c r="Z43" s="285"/>
      <c r="AA43" s="285"/>
    </row>
    <row r="44" spans="2:31" s="204" customFormat="1" x14ac:dyDescent="0.25">
      <c r="B44" s="246" t="s">
        <v>160</v>
      </c>
      <c r="C44" s="246" t="s">
        <v>161</v>
      </c>
      <c r="D44" s="247" t="s">
        <v>3001</v>
      </c>
      <c r="E44" s="247"/>
      <c r="F44" s="247"/>
      <c r="G44" s="247"/>
      <c r="H44" s="248"/>
      <c r="I44" s="247"/>
      <c r="J44" s="247"/>
      <c r="K44" s="249"/>
      <c r="L44" s="276" t="s">
        <v>164</v>
      </c>
      <c r="M44" s="251" t="s">
        <v>2962</v>
      </c>
      <c r="N44" s="252">
        <f>SUM(N47:N48)</f>
        <v>0</v>
      </c>
      <c r="O44" s="252">
        <f>SUM(O47:O48)</f>
        <v>0</v>
      </c>
      <c r="P44" s="259">
        <f>+O44-N44</f>
        <v>0</v>
      </c>
      <c r="Q44" s="252">
        <f>SUM(Q47:Q48)</f>
        <v>0</v>
      </c>
      <c r="R44" s="252">
        <f>SUM(R47:R48)</f>
        <v>0</v>
      </c>
      <c r="S44" s="252">
        <f>SUM(S47:S48)</f>
        <v>0</v>
      </c>
      <c r="V44" s="211"/>
      <c r="W44" s="252">
        <f>SUM(W47:W48)</f>
        <v>0</v>
      </c>
      <c r="X44" s="252">
        <f>SUM(X47:X48)</f>
        <v>0</v>
      </c>
      <c r="Y44" s="252">
        <f>SUM(Y47:Y48)</f>
        <v>0</v>
      </c>
      <c r="Z44" s="252">
        <f>SUM(Z47:Z48)</f>
        <v>0</v>
      </c>
      <c r="AA44" s="285"/>
    </row>
    <row r="45" spans="2:31" s="204" customFormat="1" x14ac:dyDescent="0.25">
      <c r="B45" s="230"/>
      <c r="C45" s="230"/>
      <c r="D45" s="230"/>
      <c r="E45" s="230"/>
      <c r="F45" s="230"/>
      <c r="G45" s="230"/>
      <c r="H45" s="231"/>
      <c r="I45" s="230"/>
      <c r="J45" s="230"/>
      <c r="K45" s="230"/>
      <c r="L45" s="241"/>
      <c r="M45" s="278"/>
      <c r="N45" s="286"/>
      <c r="O45" s="211"/>
      <c r="P45" s="211"/>
      <c r="Q45" s="211"/>
      <c r="V45" s="211"/>
      <c r="W45" s="211"/>
      <c r="X45" s="211"/>
      <c r="Y45" s="211"/>
      <c r="Z45" s="211"/>
      <c r="AA45" s="285"/>
    </row>
    <row r="46" spans="2:31" s="204" customFormat="1" ht="89.25" x14ac:dyDescent="0.25">
      <c r="B46" s="260" t="s">
        <v>2968</v>
      </c>
      <c r="C46" s="260" t="s">
        <v>2969</v>
      </c>
      <c r="D46" s="206" t="s">
        <v>72</v>
      </c>
      <c r="E46" s="206"/>
      <c r="F46" s="206"/>
      <c r="G46" s="207"/>
      <c r="H46" s="207"/>
      <c r="I46" s="207"/>
      <c r="J46" s="207" t="s">
        <v>2957</v>
      </c>
      <c r="K46" s="206" t="s">
        <v>82</v>
      </c>
      <c r="L46" s="261" t="s">
        <v>2970</v>
      </c>
      <c r="M46" s="280"/>
      <c r="N46" s="256" t="str">
        <f>N$15</f>
        <v>Valore netto al 31/12/2019</v>
      </c>
      <c r="O46" s="256" t="str">
        <f>O$15</f>
        <v>Valore netto al 31/12/2020</v>
      </c>
      <c r="P46" s="256" t="str">
        <f>P$15</f>
        <v>Variazione</v>
      </c>
      <c r="Q46" s="262" t="s">
        <v>2971</v>
      </c>
      <c r="R46" s="262" t="str">
        <f>"Fondo ammortamento 31/12/"&amp;Info!$B$3-1</f>
        <v>Fondo ammortamento 31/12/2019</v>
      </c>
      <c r="S46" s="262" t="s">
        <v>2972</v>
      </c>
      <c r="V46" s="211"/>
      <c r="W46" s="262" t="s">
        <v>4391</v>
      </c>
      <c r="X46" s="262" t="s">
        <v>2976</v>
      </c>
      <c r="Y46" s="262" t="s">
        <v>2989</v>
      </c>
      <c r="Z46" s="262" t="s">
        <v>2990</v>
      </c>
      <c r="AA46" s="285"/>
    </row>
    <row r="47" spans="2:31" s="204" customFormat="1" x14ac:dyDescent="0.25">
      <c r="B47" s="263" t="s">
        <v>165</v>
      </c>
      <c r="C47" s="263" t="s">
        <v>166</v>
      </c>
      <c r="D47" s="264" t="s">
        <v>3002</v>
      </c>
      <c r="E47" s="264"/>
      <c r="F47" s="264"/>
      <c r="G47" s="283"/>
      <c r="H47" s="266"/>
      <c r="I47" s="281"/>
      <c r="J47" s="281"/>
      <c r="K47" s="281"/>
      <c r="L47" s="282" t="s">
        <v>3003</v>
      </c>
      <c r="M47" s="263" t="s">
        <v>2962</v>
      </c>
      <c r="N47" s="269">
        <f>+R47</f>
        <v>0</v>
      </c>
      <c r="O47" s="270">
        <f>+R47+S47+X47-ABS(Y47)+ABS(Z47)+W47+Q47</f>
        <v>0</v>
      </c>
      <c r="P47" s="271">
        <f>+O47-N47</f>
        <v>0</v>
      </c>
      <c r="Q47" s="520"/>
      <c r="R47" s="354">
        <f>IF(ISERROR(VLOOKUP("SOC"&amp;$C47,ESTR_PREC_SP!$A$2:$G$2000,4,FALSE))=TRUE,0,VLOOKUP("SOC"&amp;$C47,ESTR_PREC_SP!$A$2:$G$2000,4,FALSE))</f>
        <v>0</v>
      </c>
      <c r="S47" s="521"/>
      <c r="V47" s="211"/>
      <c r="W47" s="520"/>
      <c r="X47" s="520"/>
      <c r="Y47" s="520"/>
      <c r="Z47" s="520"/>
      <c r="AA47" s="285"/>
    </row>
    <row r="48" spans="2:31" s="204" customFormat="1" x14ac:dyDescent="0.25">
      <c r="B48" s="287" t="s">
        <v>168</v>
      </c>
      <c r="C48" s="287" t="s">
        <v>169</v>
      </c>
      <c r="D48" s="274" t="s">
        <v>3004</v>
      </c>
      <c r="E48" s="264"/>
      <c r="F48" s="274"/>
      <c r="G48" s="283"/>
      <c r="H48" s="266"/>
      <c r="I48" s="281"/>
      <c r="J48" s="281"/>
      <c r="K48" s="281"/>
      <c r="L48" s="282" t="s">
        <v>3005</v>
      </c>
      <c r="M48" s="284" t="s">
        <v>2962</v>
      </c>
      <c r="N48" s="269">
        <f>+R48</f>
        <v>0</v>
      </c>
      <c r="O48" s="270">
        <f>+R48+S48+X48-ABS(Y48)+ABS(Z48)+W48+Q48</f>
        <v>0</v>
      </c>
      <c r="P48" s="271">
        <f>+O48-N48</f>
        <v>0</v>
      </c>
      <c r="Q48" s="520"/>
      <c r="R48" s="354">
        <f>IF(ISERROR(VLOOKUP("SOC"&amp;$C48,ESTR_PREC_SP!$A$2:$G$2000,4,FALSE))=TRUE,0,VLOOKUP("SOC"&amp;$C48,ESTR_PREC_SP!$A$2:$G$2000,4,FALSE))</f>
        <v>0</v>
      </c>
      <c r="S48" s="521"/>
      <c r="V48" s="211"/>
      <c r="W48" s="520"/>
      <c r="X48" s="520"/>
      <c r="Y48" s="520"/>
      <c r="Z48" s="520"/>
      <c r="AA48" s="285"/>
    </row>
    <row r="49" spans="2:31" s="204" customFormat="1" x14ac:dyDescent="0.25">
      <c r="B49" s="230"/>
      <c r="C49" s="230"/>
      <c r="D49" s="230"/>
      <c r="E49" s="230"/>
      <c r="F49" s="230"/>
      <c r="G49" s="230"/>
      <c r="H49" s="231"/>
      <c r="I49" s="230"/>
      <c r="J49" s="230"/>
      <c r="K49" s="230"/>
      <c r="L49" s="232"/>
      <c r="M49" s="216"/>
      <c r="N49" s="285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2:31" s="204" customFormat="1" ht="38.25" x14ac:dyDescent="0.25">
      <c r="B50" s="230"/>
      <c r="C50" s="230"/>
      <c r="D50" s="230"/>
      <c r="E50" s="230"/>
      <c r="F50" s="230"/>
      <c r="G50" s="230"/>
      <c r="H50" s="231"/>
      <c r="I50" s="230"/>
      <c r="J50" s="230"/>
      <c r="K50" s="230"/>
      <c r="L50" s="255"/>
      <c r="M50" s="244"/>
      <c r="N50" s="256" t="str">
        <f>N$15</f>
        <v>Valore netto al 31/12/2019</v>
      </c>
      <c r="O50" s="518" t="str">
        <f>O$15</f>
        <v>Valore netto al 31/12/2020</v>
      </c>
      <c r="P50" s="256" t="str">
        <f>P$15</f>
        <v>Variazione</v>
      </c>
      <c r="Q50" s="262" t="s">
        <v>2971</v>
      </c>
      <c r="R50" s="211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2:31" s="204" customFormat="1" ht="27" customHeight="1" x14ac:dyDescent="0.25">
      <c r="B51" s="246" t="s">
        <v>171</v>
      </c>
      <c r="C51" s="246" t="s">
        <v>172</v>
      </c>
      <c r="D51" s="247" t="s">
        <v>3006</v>
      </c>
      <c r="E51" s="247"/>
      <c r="F51" s="247"/>
      <c r="G51" s="247"/>
      <c r="H51" s="248"/>
      <c r="I51" s="247"/>
      <c r="J51" s="247"/>
      <c r="K51" s="249"/>
      <c r="L51" s="257" t="s">
        <v>174</v>
      </c>
      <c r="M51" s="251" t="s">
        <v>2962</v>
      </c>
      <c r="N51" s="252">
        <f>+N53-N61+N69-N77</f>
        <v>0</v>
      </c>
      <c r="O51" s="252">
        <f>+O53-O61+O69-O77</f>
        <v>0</v>
      </c>
      <c r="P51" s="253">
        <f>+O51-N51</f>
        <v>0</v>
      </c>
      <c r="Q51" s="252">
        <f>+Q53-Q61+Q69-Q77</f>
        <v>0</v>
      </c>
      <c r="R51" s="211"/>
      <c r="S51" s="252">
        <f>+S53-S61+S69-S77</f>
        <v>0</v>
      </c>
      <c r="T51" s="211"/>
      <c r="U51" s="211"/>
      <c r="V51" s="211"/>
      <c r="W51" s="211"/>
      <c r="X51" s="252">
        <f>+X53-X61+X69-X77</f>
        <v>0</v>
      </c>
      <c r="Y51" s="211"/>
      <c r="Z51" s="211"/>
      <c r="AA51" s="211"/>
    </row>
    <row r="52" spans="2:31" s="204" customFormat="1" x14ac:dyDescent="0.25">
      <c r="B52" s="230"/>
      <c r="C52" s="230"/>
      <c r="D52" s="230"/>
      <c r="E52" s="230"/>
      <c r="F52" s="230"/>
      <c r="G52" s="230"/>
      <c r="H52" s="231"/>
      <c r="I52" s="230"/>
      <c r="J52" s="230"/>
      <c r="K52" s="230"/>
      <c r="L52" s="277"/>
      <c r="M52" s="216"/>
      <c r="N52" s="285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2:31" s="204" customFormat="1" ht="26.25" x14ac:dyDescent="0.25">
      <c r="B53" s="246" t="s">
        <v>175</v>
      </c>
      <c r="C53" s="246" t="s">
        <v>176</v>
      </c>
      <c r="D53" s="247" t="s">
        <v>3007</v>
      </c>
      <c r="E53" s="247"/>
      <c r="F53" s="247"/>
      <c r="G53" s="247"/>
      <c r="H53" s="248"/>
      <c r="I53" s="247"/>
      <c r="J53" s="247"/>
      <c r="K53" s="249"/>
      <c r="L53" s="276" t="s">
        <v>179</v>
      </c>
      <c r="M53" s="251" t="s">
        <v>2962</v>
      </c>
      <c r="N53" s="252">
        <f>SUM(N56:N59)</f>
        <v>0</v>
      </c>
      <c r="O53" s="252">
        <f>SUM(O56:O59)</f>
        <v>0</v>
      </c>
      <c r="P53" s="259">
        <f>+O53-N53</f>
        <v>0</v>
      </c>
      <c r="Q53" s="252">
        <f>SUM(Q56:Q59)</f>
        <v>0</v>
      </c>
      <c r="R53" s="252">
        <f>SUM(R56:R59)</f>
        <v>0</v>
      </c>
      <c r="S53" s="252">
        <f>SUM(S56:S59)</f>
        <v>0</v>
      </c>
      <c r="T53" s="252">
        <f>SUM(T56:T59)</f>
        <v>0</v>
      </c>
      <c r="U53" s="252">
        <f>SUM(U56:U59)</f>
        <v>0</v>
      </c>
      <c r="V53" s="216"/>
      <c r="W53" s="252">
        <f t="shared" ref="W53:AE53" si="1">SUM(W56:W59)</f>
        <v>0</v>
      </c>
      <c r="X53" s="252">
        <f t="shared" si="1"/>
        <v>0</v>
      </c>
      <c r="Y53" s="252">
        <f t="shared" si="1"/>
        <v>0</v>
      </c>
      <c r="Z53" s="252">
        <f t="shared" si="1"/>
        <v>0</v>
      </c>
      <c r="AA53" s="252">
        <f t="shared" si="1"/>
        <v>0</v>
      </c>
      <c r="AB53" s="252">
        <f t="shared" si="1"/>
        <v>0</v>
      </c>
      <c r="AC53" s="252">
        <f t="shared" si="1"/>
        <v>0</v>
      </c>
      <c r="AD53" s="252">
        <f t="shared" si="1"/>
        <v>0</v>
      </c>
      <c r="AE53" s="252">
        <f t="shared" si="1"/>
        <v>0</v>
      </c>
    </row>
    <row r="54" spans="2:31" s="204" customFormat="1" x14ac:dyDescent="0.25">
      <c r="B54" s="230"/>
      <c r="C54" s="230"/>
      <c r="D54" s="230"/>
      <c r="E54" s="230"/>
      <c r="F54" s="230"/>
      <c r="G54" s="230"/>
      <c r="H54" s="231"/>
      <c r="I54" s="230"/>
      <c r="J54" s="230"/>
      <c r="K54" s="230"/>
      <c r="L54" s="277"/>
      <c r="M54" s="216"/>
      <c r="N54" s="285"/>
      <c r="O54" s="211"/>
      <c r="P54" s="211"/>
      <c r="Q54" s="211"/>
      <c r="R54" s="216"/>
      <c r="T54" s="216"/>
      <c r="U54" s="216"/>
      <c r="V54" s="216"/>
      <c r="W54" s="211"/>
      <c r="X54" s="211"/>
      <c r="Y54" s="211"/>
      <c r="Z54" s="211"/>
      <c r="AA54" s="211"/>
    </row>
    <row r="55" spans="2:31" s="204" customFormat="1" ht="89.25" x14ac:dyDescent="0.25">
      <c r="B55" s="260" t="s">
        <v>2968</v>
      </c>
      <c r="C55" s="260" t="s">
        <v>2969</v>
      </c>
      <c r="D55" s="206" t="s">
        <v>72</v>
      </c>
      <c r="E55" s="206"/>
      <c r="F55" s="206"/>
      <c r="G55" s="207"/>
      <c r="H55" s="207"/>
      <c r="I55" s="207"/>
      <c r="J55" s="207" t="s">
        <v>2957</v>
      </c>
      <c r="K55" s="206" t="s">
        <v>82</v>
      </c>
      <c r="L55" s="261" t="s">
        <v>2970</v>
      </c>
      <c r="M55" s="280"/>
      <c r="N55" s="256" t="str">
        <f>N$15</f>
        <v>Valore netto al 31/12/2019</v>
      </c>
      <c r="O55" s="256" t="str">
        <f>O$15</f>
        <v>Valore netto al 31/12/2020</v>
      </c>
      <c r="P55" s="256" t="str">
        <f>P$15</f>
        <v>Variazione</v>
      </c>
      <c r="Q55" s="262" t="s">
        <v>2971</v>
      </c>
      <c r="R55" s="262" t="str">
        <f>"Costo storico al 31/12/"&amp;Info!$B$3-1</f>
        <v>Costo storico al 31/12/2019</v>
      </c>
      <c r="S55" s="262" t="s">
        <v>2972</v>
      </c>
      <c r="T55" s="262" t="s">
        <v>2973</v>
      </c>
      <c r="U55" s="262" t="s">
        <v>2974</v>
      </c>
      <c r="W55" s="262" t="s">
        <v>4391</v>
      </c>
      <c r="X55" s="262" t="s">
        <v>2976</v>
      </c>
      <c r="Y55" s="262" t="s">
        <v>2977</v>
      </c>
      <c r="Z55" s="262" t="s">
        <v>2978</v>
      </c>
      <c r="AA55" s="262" t="s">
        <v>2979</v>
      </c>
      <c r="AB55" s="262" t="s">
        <v>2980</v>
      </c>
      <c r="AC55" s="262" t="s">
        <v>2981</v>
      </c>
      <c r="AD55" s="262" t="s">
        <v>2982</v>
      </c>
      <c r="AE55" s="262" t="s">
        <v>2983</v>
      </c>
    </row>
    <row r="56" spans="2:31" s="204" customFormat="1" x14ac:dyDescent="0.25">
      <c r="B56" s="263" t="s">
        <v>180</v>
      </c>
      <c r="C56" s="263" t="s">
        <v>181</v>
      </c>
      <c r="D56" s="264" t="s">
        <v>3008</v>
      </c>
      <c r="E56" s="264"/>
      <c r="F56" s="264"/>
      <c r="G56" s="265"/>
      <c r="H56" s="266"/>
      <c r="I56" s="281"/>
      <c r="J56" s="281"/>
      <c r="K56" s="281"/>
      <c r="L56" s="282" t="s">
        <v>3009</v>
      </c>
      <c r="M56" s="263" t="s">
        <v>2962</v>
      </c>
      <c r="N56" s="269">
        <f>+R56+T56-U56</f>
        <v>0</v>
      </c>
      <c r="O56" s="270">
        <f>+N56+S56+X56+ABS(Y56)-ABS(AA56)+ABS(Z56)+ABS(AB56)+ABS(AD56)-ABS(AE56)+AC56+W56+Q56</f>
        <v>0</v>
      </c>
      <c r="P56" s="271">
        <f>+O56-N56</f>
        <v>0</v>
      </c>
      <c r="Q56" s="520"/>
      <c r="R56" s="354">
        <f>IF(ISERROR(VLOOKUP("SOC"&amp;$C56,ESTR_PREC_SP!$A$2:$G$2000,4,FALSE))=TRUE,0,VLOOKUP("SOC"&amp;$C56,ESTR_PREC_SP!$A$2:$G$2000,4,FALSE))</f>
        <v>0</v>
      </c>
      <c r="S56" s="521"/>
      <c r="T56" s="521"/>
      <c r="U56" s="521"/>
      <c r="W56" s="520"/>
      <c r="X56" s="520"/>
      <c r="Y56" s="520"/>
      <c r="Z56" s="520"/>
      <c r="AA56" s="520"/>
      <c r="AB56" s="520"/>
      <c r="AC56" s="520"/>
      <c r="AD56" s="520"/>
      <c r="AE56" s="520"/>
    </row>
    <row r="57" spans="2:31" s="204" customFormat="1" x14ac:dyDescent="0.25">
      <c r="B57" s="273" t="s">
        <v>183</v>
      </c>
      <c r="C57" s="273" t="s">
        <v>184</v>
      </c>
      <c r="D57" s="264" t="s">
        <v>3010</v>
      </c>
      <c r="E57" s="264"/>
      <c r="F57" s="264"/>
      <c r="G57" s="265"/>
      <c r="H57" s="266"/>
      <c r="I57" s="281"/>
      <c r="J57" s="281"/>
      <c r="K57" s="281"/>
      <c r="L57" s="282" t="s">
        <v>3011</v>
      </c>
      <c r="M57" s="263" t="s">
        <v>2962</v>
      </c>
      <c r="N57" s="269">
        <f>+R57+T57-U57</f>
        <v>0</v>
      </c>
      <c r="O57" s="270">
        <f>+N57+S57+X57+ABS(Y57)-ABS(AA57)+ABS(Z57)+ABS(AB57)+ABS(AD57)-ABS(AE57)+AC57+W57+Q57</f>
        <v>0</v>
      </c>
      <c r="P57" s="271">
        <f>+O57-N57</f>
        <v>0</v>
      </c>
      <c r="Q57" s="520"/>
      <c r="R57" s="354">
        <f>IF(ISERROR(VLOOKUP("SOC"&amp;$C57,ESTR_PREC_SP!$A$2:$G$2000,4,FALSE))=TRUE,0,VLOOKUP("SOC"&amp;$C57,ESTR_PREC_SP!$A$2:$G$2000,4,FALSE))</f>
        <v>0</v>
      </c>
      <c r="S57" s="521"/>
      <c r="T57" s="521"/>
      <c r="U57" s="521"/>
      <c r="W57" s="520"/>
      <c r="X57" s="520"/>
      <c r="Y57" s="520"/>
      <c r="Z57" s="520"/>
      <c r="AA57" s="520"/>
      <c r="AB57" s="520"/>
      <c r="AC57" s="520"/>
      <c r="AD57" s="520"/>
      <c r="AE57" s="520"/>
    </row>
    <row r="58" spans="2:31" s="204" customFormat="1" ht="15" customHeight="1" x14ac:dyDescent="0.25">
      <c r="B58" s="273" t="s">
        <v>186</v>
      </c>
      <c r="C58" s="273" t="s">
        <v>187</v>
      </c>
      <c r="D58" s="274" t="s">
        <v>3012</v>
      </c>
      <c r="E58" s="264"/>
      <c r="F58" s="274"/>
      <c r="G58" s="283"/>
      <c r="H58" s="266"/>
      <c r="I58" s="281"/>
      <c r="J58" s="281"/>
      <c r="K58" s="281"/>
      <c r="L58" s="288" t="s">
        <v>3013</v>
      </c>
      <c r="M58" s="284" t="s">
        <v>2962</v>
      </c>
      <c r="N58" s="269">
        <f>+R58+T58-U58</f>
        <v>0</v>
      </c>
      <c r="O58" s="270">
        <f>+N58+S58+X58+ABS(Y58)-ABS(AA58)+ABS(Z58)+ABS(AB58)+ABS(AD58)-ABS(AE58)+AC58+W58+Q58</f>
        <v>0</v>
      </c>
      <c r="P58" s="271">
        <f>+O58-N58</f>
        <v>0</v>
      </c>
      <c r="Q58" s="520"/>
      <c r="R58" s="354">
        <f>IF(ISERROR(VLOOKUP("SOC"&amp;$C58,ESTR_PREC_SP!$A$2:$G$2000,4,FALSE))=TRUE,0,VLOOKUP("SOC"&amp;$C58,ESTR_PREC_SP!$A$2:$G$2000,4,FALSE))</f>
        <v>0</v>
      </c>
      <c r="S58" s="521"/>
      <c r="T58" s="521"/>
      <c r="U58" s="521"/>
      <c r="W58" s="520"/>
      <c r="X58" s="520"/>
      <c r="Y58" s="520"/>
      <c r="Z58" s="520"/>
      <c r="AA58" s="520"/>
      <c r="AB58" s="520"/>
      <c r="AC58" s="520"/>
      <c r="AD58" s="520"/>
      <c r="AE58" s="520"/>
    </row>
    <row r="59" spans="2:31" s="204" customFormat="1" ht="25.5" x14ac:dyDescent="0.25">
      <c r="B59" s="273" t="s">
        <v>189</v>
      </c>
      <c r="C59" s="273" t="s">
        <v>190</v>
      </c>
      <c r="D59" s="274" t="s">
        <v>3014</v>
      </c>
      <c r="E59" s="264"/>
      <c r="F59" s="274"/>
      <c r="G59" s="283"/>
      <c r="H59" s="266"/>
      <c r="I59" s="281"/>
      <c r="J59" s="281"/>
      <c r="K59" s="281"/>
      <c r="L59" s="288" t="s">
        <v>3015</v>
      </c>
      <c r="M59" s="284" t="s">
        <v>2962</v>
      </c>
      <c r="N59" s="269">
        <f>+R59+T59-U59</f>
        <v>0</v>
      </c>
      <c r="O59" s="270">
        <f>+N59+S59+X59+ABS(Y59)-ABS(AA59)+ABS(Z59)+ABS(AB59)+ABS(AD59)-ABS(AE59)+AC59+W59+Q59</f>
        <v>0</v>
      </c>
      <c r="P59" s="271">
        <f>+O59-N59</f>
        <v>0</v>
      </c>
      <c r="Q59" s="520"/>
      <c r="R59" s="354">
        <f>IF(ISERROR(VLOOKUP("SOC"&amp;$C59,ESTR_PREC_SP!$A$2:$G$2000,4,FALSE))=TRUE,0,VLOOKUP("SOC"&amp;$C59,ESTR_PREC_SP!$A$2:$G$2000,4,FALSE))</f>
        <v>0</v>
      </c>
      <c r="S59" s="521"/>
      <c r="T59" s="521"/>
      <c r="U59" s="521"/>
      <c r="W59" s="520"/>
      <c r="X59" s="520"/>
      <c r="Y59" s="520"/>
      <c r="Z59" s="520"/>
      <c r="AA59" s="520"/>
      <c r="AB59" s="520"/>
      <c r="AC59" s="520"/>
      <c r="AD59" s="520"/>
      <c r="AE59" s="520"/>
    </row>
    <row r="60" spans="2:31" s="204" customFormat="1" x14ac:dyDescent="0.25">
      <c r="B60" s="230"/>
      <c r="C60" s="230"/>
      <c r="D60" s="230"/>
      <c r="E60" s="230"/>
      <c r="F60" s="230"/>
      <c r="G60" s="230"/>
      <c r="H60" s="231"/>
      <c r="I60" s="230"/>
      <c r="J60" s="230"/>
      <c r="K60" s="230"/>
      <c r="L60" s="275"/>
      <c r="M60" s="216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11"/>
    </row>
    <row r="61" spans="2:31" s="204" customFormat="1" ht="26.25" x14ac:dyDescent="0.25">
      <c r="B61" s="246" t="s">
        <v>192</v>
      </c>
      <c r="C61" s="246" t="s">
        <v>193</v>
      </c>
      <c r="D61" s="247" t="s">
        <v>3016</v>
      </c>
      <c r="E61" s="247"/>
      <c r="F61" s="247"/>
      <c r="G61" s="247"/>
      <c r="H61" s="248"/>
      <c r="I61" s="247"/>
      <c r="J61" s="247"/>
      <c r="K61" s="249"/>
      <c r="L61" s="276" t="s">
        <v>196</v>
      </c>
      <c r="M61" s="251" t="s">
        <v>2962</v>
      </c>
      <c r="N61" s="252">
        <f>SUM(N64:N67)</f>
        <v>0</v>
      </c>
      <c r="O61" s="252">
        <f>SUM(O64:O67)</f>
        <v>0</v>
      </c>
      <c r="P61" s="259">
        <f>+O61-N61</f>
        <v>0</v>
      </c>
      <c r="Q61" s="252">
        <f>SUM(Q64:Q67)</f>
        <v>0</v>
      </c>
      <c r="R61" s="252">
        <f>SUM(R64:R67)</f>
        <v>0</v>
      </c>
      <c r="S61" s="252">
        <f>SUM(S64:S67)</f>
        <v>0</v>
      </c>
      <c r="V61" s="211"/>
      <c r="W61" s="252">
        <f>SUM(W64:W67)</f>
        <v>0</v>
      </c>
      <c r="X61" s="252">
        <f>SUM(X64:X67)</f>
        <v>0</v>
      </c>
      <c r="Y61" s="252">
        <f>SUM(Y64:Y67)</f>
        <v>0</v>
      </c>
      <c r="Z61" s="252">
        <f>SUM(Z64:Z67)</f>
        <v>0</v>
      </c>
      <c r="AA61" s="211"/>
    </row>
    <row r="62" spans="2:31" s="204" customFormat="1" x14ac:dyDescent="0.25">
      <c r="B62" s="230"/>
      <c r="C62" s="230"/>
      <c r="D62" s="230"/>
      <c r="E62" s="230"/>
      <c r="F62" s="230"/>
      <c r="G62" s="230"/>
      <c r="H62" s="231"/>
      <c r="I62" s="230"/>
      <c r="J62" s="230"/>
      <c r="K62" s="230"/>
      <c r="L62" s="277"/>
      <c r="M62" s="216"/>
      <c r="N62" s="285"/>
      <c r="O62" s="211"/>
      <c r="P62" s="211"/>
      <c r="Q62" s="211"/>
      <c r="V62" s="211"/>
      <c r="W62" s="211"/>
      <c r="X62" s="211"/>
      <c r="Y62" s="211"/>
      <c r="Z62" s="211"/>
      <c r="AA62" s="285"/>
    </row>
    <row r="63" spans="2:31" s="204" customFormat="1" ht="89.25" x14ac:dyDescent="0.25">
      <c r="B63" s="260" t="s">
        <v>2968</v>
      </c>
      <c r="C63" s="260" t="s">
        <v>2969</v>
      </c>
      <c r="D63" s="206" t="s">
        <v>72</v>
      </c>
      <c r="E63" s="206"/>
      <c r="F63" s="206"/>
      <c r="G63" s="207"/>
      <c r="H63" s="207"/>
      <c r="I63" s="207"/>
      <c r="J63" s="207" t="s">
        <v>2957</v>
      </c>
      <c r="K63" s="206" t="s">
        <v>82</v>
      </c>
      <c r="L63" s="261" t="s">
        <v>2970</v>
      </c>
      <c r="M63" s="280"/>
      <c r="N63" s="256" t="str">
        <f>N$15</f>
        <v>Valore netto al 31/12/2019</v>
      </c>
      <c r="O63" s="256" t="str">
        <f>O$15</f>
        <v>Valore netto al 31/12/2020</v>
      </c>
      <c r="P63" s="256" t="str">
        <f>P$15</f>
        <v>Variazione</v>
      </c>
      <c r="Q63" s="262" t="s">
        <v>2971</v>
      </c>
      <c r="R63" s="262" t="str">
        <f>"Fondo ammortamento 31/12/"&amp;Info!$B$3-1</f>
        <v>Fondo ammortamento 31/12/2019</v>
      </c>
      <c r="S63" s="262" t="s">
        <v>2972</v>
      </c>
      <c r="V63" s="211"/>
      <c r="W63" s="262" t="s">
        <v>4391</v>
      </c>
      <c r="X63" s="262" t="s">
        <v>2976</v>
      </c>
      <c r="Y63" s="262" t="s">
        <v>2989</v>
      </c>
      <c r="Z63" s="262" t="s">
        <v>2990</v>
      </c>
      <c r="AA63" s="285"/>
    </row>
    <row r="64" spans="2:31" s="204" customFormat="1" x14ac:dyDescent="0.25">
      <c r="B64" s="263" t="s">
        <v>197</v>
      </c>
      <c r="C64" s="263" t="s">
        <v>198</v>
      </c>
      <c r="D64" s="274" t="s">
        <v>3017</v>
      </c>
      <c r="E64" s="264"/>
      <c r="F64" s="264"/>
      <c r="G64" s="265"/>
      <c r="H64" s="266"/>
      <c r="I64" s="281"/>
      <c r="J64" s="281"/>
      <c r="K64" s="281"/>
      <c r="L64" s="282" t="s">
        <v>3018</v>
      </c>
      <c r="M64" s="263" t="s">
        <v>2962</v>
      </c>
      <c r="N64" s="269">
        <f>+R64</f>
        <v>0</v>
      </c>
      <c r="O64" s="270">
        <f>+R64+S64+X64-ABS(Y64)+ABS(Z64)+W64+Q64</f>
        <v>0</v>
      </c>
      <c r="P64" s="271">
        <f>+O64-N64</f>
        <v>0</v>
      </c>
      <c r="Q64" s="520"/>
      <c r="R64" s="354">
        <f>IF(ISERROR(VLOOKUP("SOC"&amp;$C64,ESTR_PREC_SP!$A$2:$G$2000,4,FALSE))=TRUE,0,VLOOKUP("SOC"&amp;$C64,ESTR_PREC_SP!$A$2:$G$2000,4,FALSE))</f>
        <v>0</v>
      </c>
      <c r="S64" s="521"/>
      <c r="V64" s="211"/>
      <c r="W64" s="520"/>
      <c r="X64" s="520"/>
      <c r="Y64" s="520"/>
      <c r="Z64" s="520"/>
      <c r="AA64" s="285"/>
    </row>
    <row r="65" spans="2:35" s="204" customFormat="1" x14ac:dyDescent="0.25">
      <c r="B65" s="273" t="s">
        <v>200</v>
      </c>
      <c r="C65" s="273" t="s">
        <v>201</v>
      </c>
      <c r="D65" s="274" t="s">
        <v>3019</v>
      </c>
      <c r="E65" s="264"/>
      <c r="F65" s="264"/>
      <c r="G65" s="265"/>
      <c r="H65" s="266"/>
      <c r="I65" s="281"/>
      <c r="J65" s="281"/>
      <c r="K65" s="281"/>
      <c r="L65" s="282" t="s">
        <v>3020</v>
      </c>
      <c r="M65" s="263" t="s">
        <v>2962</v>
      </c>
      <c r="N65" s="269">
        <f>+R65</f>
        <v>0</v>
      </c>
      <c r="O65" s="270">
        <f>+R65+S65+X65-ABS(Y65)+ABS(Z65)+W65+Q65</f>
        <v>0</v>
      </c>
      <c r="P65" s="271">
        <f>+O65-N65</f>
        <v>0</v>
      </c>
      <c r="Q65" s="520"/>
      <c r="R65" s="354">
        <f>IF(ISERROR(VLOOKUP("SOC"&amp;$C65,ESTR_PREC_SP!$A$2:$G$2000,4,FALSE))=TRUE,0,VLOOKUP("SOC"&amp;$C65,ESTR_PREC_SP!$A$2:$G$2000,4,FALSE))</f>
        <v>0</v>
      </c>
      <c r="S65" s="521"/>
      <c r="V65" s="211"/>
      <c r="W65" s="520"/>
      <c r="X65" s="520"/>
      <c r="Y65" s="520"/>
      <c r="Z65" s="520"/>
      <c r="AA65" s="285"/>
    </row>
    <row r="66" spans="2:35" s="204" customFormat="1" ht="25.5" x14ac:dyDescent="0.25">
      <c r="B66" s="273" t="s">
        <v>203</v>
      </c>
      <c r="C66" s="273" t="s">
        <v>204</v>
      </c>
      <c r="D66" s="274" t="s">
        <v>3021</v>
      </c>
      <c r="E66" s="264"/>
      <c r="F66" s="274"/>
      <c r="G66" s="283"/>
      <c r="H66" s="266"/>
      <c r="I66" s="281"/>
      <c r="J66" s="281"/>
      <c r="K66" s="281"/>
      <c r="L66" s="288" t="s">
        <v>3022</v>
      </c>
      <c r="M66" s="284" t="s">
        <v>2962</v>
      </c>
      <c r="N66" s="269">
        <f>+R66</f>
        <v>0</v>
      </c>
      <c r="O66" s="270">
        <f>+R66+S66+X66-ABS(Y66)+ABS(Z66)+W66+Q66</f>
        <v>0</v>
      </c>
      <c r="P66" s="271">
        <f>+O66-N66</f>
        <v>0</v>
      </c>
      <c r="Q66" s="520"/>
      <c r="R66" s="354">
        <f>IF(ISERROR(VLOOKUP("SOC"&amp;$C66,ESTR_PREC_SP!$A$2:$G$2000,4,FALSE))=TRUE,0,VLOOKUP("SOC"&amp;$C66,ESTR_PREC_SP!$A$2:$G$2000,4,FALSE))</f>
        <v>0</v>
      </c>
      <c r="S66" s="521"/>
      <c r="V66" s="211"/>
      <c r="W66" s="520"/>
      <c r="X66" s="520"/>
      <c r="Y66" s="520"/>
      <c r="Z66" s="520"/>
      <c r="AA66" s="285"/>
    </row>
    <row r="67" spans="2:35" s="204" customFormat="1" ht="25.5" x14ac:dyDescent="0.25">
      <c r="B67" s="273" t="s">
        <v>206</v>
      </c>
      <c r="C67" s="273" t="s">
        <v>207</v>
      </c>
      <c r="D67" s="274" t="s">
        <v>3023</v>
      </c>
      <c r="E67" s="264"/>
      <c r="F67" s="274"/>
      <c r="G67" s="283"/>
      <c r="H67" s="266"/>
      <c r="I67" s="281"/>
      <c r="J67" s="281"/>
      <c r="K67" s="281"/>
      <c r="L67" s="288" t="s">
        <v>3024</v>
      </c>
      <c r="M67" s="284" t="s">
        <v>2962</v>
      </c>
      <c r="N67" s="269">
        <f>+R67</f>
        <v>0</v>
      </c>
      <c r="O67" s="270">
        <f>+R67+S67+X67-ABS(Y67)+ABS(Z67)+W67+Q67</f>
        <v>0</v>
      </c>
      <c r="P67" s="271">
        <f>+O67-N67</f>
        <v>0</v>
      </c>
      <c r="Q67" s="520"/>
      <c r="R67" s="354">
        <f>IF(ISERROR(VLOOKUP("SOC"&amp;$C67,ESTR_PREC_SP!$A$2:$G$2000,4,FALSE))=TRUE,0,VLOOKUP("SOC"&amp;$C67,ESTR_PREC_SP!$A$2:$G$2000,4,FALSE))</f>
        <v>0</v>
      </c>
      <c r="S67" s="521"/>
      <c r="V67" s="211"/>
      <c r="W67" s="520"/>
      <c r="X67" s="520"/>
      <c r="Y67" s="520"/>
      <c r="Z67" s="520"/>
      <c r="AA67" s="285"/>
    </row>
    <row r="68" spans="2:35" s="204" customFormat="1" x14ac:dyDescent="0.25">
      <c r="B68" s="289"/>
      <c r="C68" s="289"/>
      <c r="D68" s="226"/>
      <c r="E68" s="226"/>
      <c r="F68" s="226"/>
      <c r="G68" s="290"/>
      <c r="H68" s="290"/>
      <c r="I68" s="290"/>
      <c r="J68" s="290"/>
      <c r="K68" s="290"/>
      <c r="L68" s="291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</row>
    <row r="69" spans="2:35" s="204" customFormat="1" ht="26.25" x14ac:dyDescent="0.25">
      <c r="B69" s="292" t="s">
        <v>209</v>
      </c>
      <c r="C69" s="292" t="s">
        <v>210</v>
      </c>
      <c r="D69" s="274" t="s">
        <v>3025</v>
      </c>
      <c r="E69" s="247"/>
      <c r="F69" s="247"/>
      <c r="G69" s="247"/>
      <c r="H69" s="248"/>
      <c r="I69" s="247"/>
      <c r="J69" s="247"/>
      <c r="K69" s="249"/>
      <c r="L69" s="276" t="s">
        <v>212</v>
      </c>
      <c r="M69" s="251" t="s">
        <v>2962</v>
      </c>
      <c r="N69" s="252">
        <f>SUM(N72:N75)</f>
        <v>0</v>
      </c>
      <c r="O69" s="252">
        <f>SUM(O72:O75)</f>
        <v>0</v>
      </c>
      <c r="P69" s="259">
        <f>+O69-N69</f>
        <v>0</v>
      </c>
      <c r="Q69" s="252">
        <f>SUM(Q72:Q75)</f>
        <v>0</v>
      </c>
      <c r="R69" s="252">
        <f>SUM(R72:R75)</f>
        <v>0</v>
      </c>
      <c r="S69" s="252">
        <f>SUM(T72:T75)</f>
        <v>0</v>
      </c>
      <c r="T69" s="252">
        <f>SUM(U72:U75)</f>
        <v>0</v>
      </c>
      <c r="U69" s="252">
        <f>SUM(V72:V75)</f>
        <v>0</v>
      </c>
      <c r="V69" s="216"/>
      <c r="W69" s="252">
        <f t="shared" ref="W69:AE69" si="2">SUM(W72:W75)</f>
        <v>0</v>
      </c>
      <c r="X69" s="252">
        <f t="shared" si="2"/>
        <v>0</v>
      </c>
      <c r="Y69" s="252">
        <f t="shared" si="2"/>
        <v>0</v>
      </c>
      <c r="Z69" s="252">
        <f t="shared" si="2"/>
        <v>0</v>
      </c>
      <c r="AA69" s="252">
        <f t="shared" si="2"/>
        <v>0</v>
      </c>
      <c r="AB69" s="252">
        <f t="shared" si="2"/>
        <v>0</v>
      </c>
      <c r="AC69" s="252">
        <f t="shared" si="2"/>
        <v>0</v>
      </c>
      <c r="AD69" s="252">
        <f t="shared" si="2"/>
        <v>0</v>
      </c>
      <c r="AE69" s="252">
        <f t="shared" si="2"/>
        <v>0</v>
      </c>
    </row>
    <row r="70" spans="2:35" s="204" customFormat="1" x14ac:dyDescent="0.25">
      <c r="B70" s="293"/>
      <c r="C70" s="293"/>
      <c r="D70" s="274"/>
      <c r="E70" s="230"/>
      <c r="F70" s="230"/>
      <c r="G70" s="230"/>
      <c r="H70" s="231"/>
      <c r="I70" s="230"/>
      <c r="J70" s="230"/>
      <c r="K70" s="230"/>
      <c r="L70" s="277"/>
      <c r="M70" s="216"/>
      <c r="N70" s="285"/>
      <c r="O70" s="211"/>
      <c r="P70" s="211"/>
      <c r="Q70" s="211"/>
      <c r="R70" s="216"/>
      <c r="S70" s="216"/>
      <c r="T70" s="216"/>
      <c r="U70" s="216"/>
      <c r="V70" s="216"/>
      <c r="W70" s="211"/>
      <c r="X70" s="211"/>
      <c r="Y70" s="211"/>
      <c r="Z70" s="211"/>
      <c r="AA70" s="211"/>
    </row>
    <row r="71" spans="2:35" s="204" customFormat="1" ht="89.25" x14ac:dyDescent="0.25">
      <c r="B71" s="294" t="s">
        <v>2968</v>
      </c>
      <c r="C71" s="294" t="s">
        <v>2969</v>
      </c>
      <c r="D71" s="274" t="s">
        <v>72</v>
      </c>
      <c r="E71" s="206"/>
      <c r="F71" s="206"/>
      <c r="G71" s="207"/>
      <c r="H71" s="207"/>
      <c r="I71" s="207"/>
      <c r="J71" s="207" t="s">
        <v>2957</v>
      </c>
      <c r="K71" s="206" t="s">
        <v>82</v>
      </c>
      <c r="L71" s="261" t="s">
        <v>2970</v>
      </c>
      <c r="M71" s="280"/>
      <c r="N71" s="256" t="str">
        <f>N$15</f>
        <v>Valore netto al 31/12/2019</v>
      </c>
      <c r="O71" s="256" t="str">
        <f>O$15</f>
        <v>Valore netto al 31/12/2020</v>
      </c>
      <c r="P71" s="256" t="str">
        <f>P$15</f>
        <v>Variazione</v>
      </c>
      <c r="Q71" s="262" t="s">
        <v>2971</v>
      </c>
      <c r="R71" s="262" t="str">
        <f>"Costo storico al 31/12/"&amp;Info!$B$3-1</f>
        <v>Costo storico al 31/12/2019</v>
      </c>
      <c r="S71" s="262" t="s">
        <v>2972</v>
      </c>
      <c r="T71" s="262" t="s">
        <v>2973</v>
      </c>
      <c r="U71" s="262" t="s">
        <v>2974</v>
      </c>
      <c r="W71" s="262" t="s">
        <v>4391</v>
      </c>
      <c r="X71" s="262" t="s">
        <v>2976</v>
      </c>
      <c r="Y71" s="262" t="s">
        <v>2977</v>
      </c>
      <c r="Z71" s="262" t="s">
        <v>2978</v>
      </c>
      <c r="AA71" s="262" t="s">
        <v>2979</v>
      </c>
      <c r="AB71" s="262" t="s">
        <v>2980</v>
      </c>
      <c r="AC71" s="262" t="s">
        <v>2981</v>
      </c>
      <c r="AD71" s="262" t="s">
        <v>2982</v>
      </c>
      <c r="AE71" s="262" t="s">
        <v>2983</v>
      </c>
    </row>
    <row r="72" spans="2:35" s="204" customFormat="1" x14ac:dyDescent="0.25">
      <c r="B72" s="273" t="s">
        <v>213</v>
      </c>
      <c r="C72" s="273" t="s">
        <v>214</v>
      </c>
      <c r="D72" s="274" t="s">
        <v>3026</v>
      </c>
      <c r="E72" s="264"/>
      <c r="F72" s="264"/>
      <c r="G72" s="265"/>
      <c r="H72" s="266"/>
      <c r="I72" s="281"/>
      <c r="J72" s="281"/>
      <c r="K72" s="281"/>
      <c r="L72" s="282" t="s">
        <v>3027</v>
      </c>
      <c r="M72" s="263" t="s">
        <v>2962</v>
      </c>
      <c r="N72" s="269">
        <f>+R72+T72-U72</f>
        <v>0</v>
      </c>
      <c r="O72" s="270">
        <f>+N72+S72+X72+ABS(Y72)-ABS(AA72)+ABS(Z72)+ABS(AB72)+ABS(AD72)-ABS(AE72)+AC72+W72+Q72</f>
        <v>0</v>
      </c>
      <c r="P72" s="271">
        <f>+O72-N72</f>
        <v>0</v>
      </c>
      <c r="Q72" s="520"/>
      <c r="R72" s="354">
        <f>IF(ISERROR(VLOOKUP("SOC"&amp;$C72,ESTR_PREC_SP!$A$2:$G$2000,4,FALSE))=TRUE,0,VLOOKUP("SOC"&amp;$C72,ESTR_PREC_SP!$A$2:$G$2000,4,FALSE))</f>
        <v>0</v>
      </c>
      <c r="S72" s="521"/>
      <c r="T72" s="521"/>
      <c r="U72" s="521"/>
      <c r="W72" s="520"/>
      <c r="X72" s="520"/>
      <c r="Y72" s="520"/>
      <c r="Z72" s="520"/>
      <c r="AA72" s="520"/>
      <c r="AB72" s="520"/>
      <c r="AC72" s="520"/>
      <c r="AD72" s="520"/>
      <c r="AE72" s="520"/>
    </row>
    <row r="73" spans="2:35" s="204" customFormat="1" x14ac:dyDescent="0.25">
      <c r="B73" s="273" t="s">
        <v>216</v>
      </c>
      <c r="C73" s="273" t="s">
        <v>217</v>
      </c>
      <c r="D73" s="274" t="s">
        <v>3028</v>
      </c>
      <c r="E73" s="264"/>
      <c r="F73" s="264"/>
      <c r="G73" s="265"/>
      <c r="H73" s="266"/>
      <c r="I73" s="281"/>
      <c r="J73" s="281"/>
      <c r="K73" s="281"/>
      <c r="L73" s="282" t="s">
        <v>3029</v>
      </c>
      <c r="M73" s="263" t="s">
        <v>2962</v>
      </c>
      <c r="N73" s="269">
        <f>+R73+T73-U73</f>
        <v>0</v>
      </c>
      <c r="O73" s="270">
        <f>+N73+S73+X73+ABS(Y73)-ABS(AA73)+ABS(Z73)+ABS(AB73)+ABS(AD73)-ABS(AE73)+AC73+W73+Q73</f>
        <v>0</v>
      </c>
      <c r="P73" s="271">
        <f>+O73-N73</f>
        <v>0</v>
      </c>
      <c r="Q73" s="520"/>
      <c r="R73" s="354">
        <f>IF(ISERROR(VLOOKUP("SOC"&amp;$C73,ESTR_PREC_SP!$A$2:$G$2000,4,FALSE))=TRUE,0,VLOOKUP("SOC"&amp;$C73,ESTR_PREC_SP!$A$2:$G$2000,4,FALSE))</f>
        <v>0</v>
      </c>
      <c r="S73" s="521"/>
      <c r="T73" s="521"/>
      <c r="U73" s="521"/>
      <c r="W73" s="520"/>
      <c r="X73" s="520"/>
      <c r="Y73" s="520"/>
      <c r="Z73" s="520"/>
      <c r="AA73" s="520"/>
      <c r="AB73" s="520"/>
      <c r="AC73" s="520"/>
      <c r="AD73" s="520"/>
      <c r="AE73" s="520"/>
    </row>
    <row r="74" spans="2:35" s="204" customFormat="1" x14ac:dyDescent="0.25">
      <c r="B74" s="273" t="s">
        <v>219</v>
      </c>
      <c r="C74" s="273" t="s">
        <v>220</v>
      </c>
      <c r="D74" s="274" t="s">
        <v>3030</v>
      </c>
      <c r="E74" s="264"/>
      <c r="F74" s="274"/>
      <c r="G74" s="283"/>
      <c r="H74" s="266"/>
      <c r="I74" s="281"/>
      <c r="J74" s="281"/>
      <c r="K74" s="281"/>
      <c r="L74" s="288" t="s">
        <v>3031</v>
      </c>
      <c r="M74" s="284" t="s">
        <v>2962</v>
      </c>
      <c r="N74" s="269">
        <f>+R74+T74-U74</f>
        <v>0</v>
      </c>
      <c r="O74" s="270">
        <f>+N74+S74+X74+ABS(Y74)-ABS(AA74)+ABS(Z74)+ABS(AB74)+ABS(AD74)-ABS(AE74)+AC74+W74+Q74</f>
        <v>0</v>
      </c>
      <c r="P74" s="271">
        <f>+O74-N74</f>
        <v>0</v>
      </c>
      <c r="Q74" s="520"/>
      <c r="R74" s="354">
        <f>IF(ISERROR(VLOOKUP("SOC"&amp;$C74,ESTR_PREC_SP!$A$2:$G$2000,4,FALSE))=TRUE,0,VLOOKUP("SOC"&amp;$C74,ESTR_PREC_SP!$A$2:$G$2000,4,FALSE))</f>
        <v>0</v>
      </c>
      <c r="S74" s="521"/>
      <c r="T74" s="521"/>
      <c r="U74" s="521"/>
      <c r="W74" s="520"/>
      <c r="X74" s="520"/>
      <c r="Y74" s="520"/>
      <c r="Z74" s="520"/>
      <c r="AA74" s="520"/>
      <c r="AB74" s="520"/>
      <c r="AC74" s="520"/>
      <c r="AD74" s="520"/>
      <c r="AE74" s="520"/>
    </row>
    <row r="75" spans="2:35" s="204" customFormat="1" x14ac:dyDescent="0.25">
      <c r="B75" s="273" t="s">
        <v>222</v>
      </c>
      <c r="C75" s="273" t="s">
        <v>223</v>
      </c>
      <c r="D75" s="274" t="s">
        <v>3032</v>
      </c>
      <c r="E75" s="264"/>
      <c r="F75" s="274"/>
      <c r="G75" s="283"/>
      <c r="H75" s="266"/>
      <c r="I75" s="281"/>
      <c r="J75" s="281"/>
      <c r="K75" s="281"/>
      <c r="L75" s="288" t="s">
        <v>3033</v>
      </c>
      <c r="M75" s="284" t="s">
        <v>2962</v>
      </c>
      <c r="N75" s="269">
        <f>+R75+T75-U75</f>
        <v>0</v>
      </c>
      <c r="O75" s="270">
        <f>+N75+S75+X75+ABS(Y75)-ABS(AA75)+ABS(Z75)+ABS(AB75)+ABS(AD75)-ABS(AE75)+AC75+W75+Q75</f>
        <v>0</v>
      </c>
      <c r="P75" s="271">
        <f>+O75-N75</f>
        <v>0</v>
      </c>
      <c r="Q75" s="520"/>
      <c r="R75" s="354">
        <f>IF(ISERROR(VLOOKUP("SOC"&amp;$C75,ESTR_PREC_SP!$A$2:$G$2000,4,FALSE))=TRUE,0,VLOOKUP("SOC"&amp;$C75,ESTR_PREC_SP!$A$2:$G$2000,4,FALSE))</f>
        <v>0</v>
      </c>
      <c r="S75" s="521"/>
      <c r="T75" s="521"/>
      <c r="U75" s="521"/>
      <c r="W75" s="520"/>
      <c r="X75" s="520"/>
      <c r="Y75" s="520"/>
      <c r="Z75" s="520"/>
      <c r="AA75" s="520"/>
      <c r="AB75" s="520"/>
      <c r="AC75" s="520"/>
      <c r="AD75" s="520"/>
      <c r="AE75" s="520"/>
    </row>
    <row r="76" spans="2:35" s="204" customFormat="1" x14ac:dyDescent="0.25">
      <c r="B76" s="293"/>
      <c r="C76" s="293"/>
      <c r="D76" s="230"/>
      <c r="E76" s="230"/>
      <c r="F76" s="230"/>
      <c r="G76" s="230"/>
      <c r="H76" s="231"/>
      <c r="I76" s="230"/>
      <c r="J76" s="230"/>
      <c r="K76" s="230"/>
      <c r="L76" s="275"/>
      <c r="M76" s="216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11"/>
    </row>
    <row r="77" spans="2:35" s="204" customFormat="1" ht="26.25" x14ac:dyDescent="0.25">
      <c r="B77" s="292" t="s">
        <v>225</v>
      </c>
      <c r="C77" s="292" t="s">
        <v>226</v>
      </c>
      <c r="D77" s="274" t="s">
        <v>3034</v>
      </c>
      <c r="E77" s="247"/>
      <c r="F77" s="247"/>
      <c r="G77" s="247"/>
      <c r="H77" s="248"/>
      <c r="I77" s="247"/>
      <c r="J77" s="247"/>
      <c r="K77" s="249"/>
      <c r="L77" s="276" t="s">
        <v>228</v>
      </c>
      <c r="M77" s="251" t="s">
        <v>2962</v>
      </c>
      <c r="N77" s="252">
        <f>SUM(N80:N83)</f>
        <v>0</v>
      </c>
      <c r="O77" s="252">
        <f>SUM(O80:O83)</f>
        <v>0</v>
      </c>
      <c r="P77" s="259">
        <f>+O77-N77</f>
        <v>0</v>
      </c>
      <c r="Q77" s="252">
        <f>SUM(Q80:Q83)</f>
        <v>0</v>
      </c>
      <c r="R77" s="252">
        <f>SUM(R80:R83)</f>
        <v>0</v>
      </c>
      <c r="S77" s="252">
        <f>SUM(S80:S83)</f>
        <v>0</v>
      </c>
      <c r="V77" s="211"/>
      <c r="W77" s="252">
        <f>SUM(W80:W83)</f>
        <v>0</v>
      </c>
      <c r="X77" s="252">
        <f>SUM(X80:X83)</f>
        <v>0</v>
      </c>
      <c r="Y77" s="252">
        <f>SUM(Y80:Y83)</f>
        <v>0</v>
      </c>
      <c r="Z77" s="252">
        <f>SUM(Z80:Z83)</f>
        <v>0</v>
      </c>
      <c r="AA77" s="211"/>
    </row>
    <row r="78" spans="2:35" s="204" customFormat="1" x14ac:dyDescent="0.25">
      <c r="B78" s="293"/>
      <c r="C78" s="293"/>
      <c r="D78" s="230"/>
      <c r="E78" s="230"/>
      <c r="F78" s="230"/>
      <c r="G78" s="230"/>
      <c r="H78" s="231"/>
      <c r="I78" s="230"/>
      <c r="J78" s="230"/>
      <c r="K78" s="230"/>
      <c r="L78" s="277"/>
      <c r="M78" s="216"/>
      <c r="N78" s="285"/>
      <c r="O78" s="211"/>
      <c r="P78" s="211"/>
      <c r="Q78" s="211"/>
      <c r="V78" s="211"/>
      <c r="W78" s="211"/>
      <c r="X78" s="211"/>
      <c r="Y78" s="211"/>
      <c r="Z78" s="211"/>
      <c r="AA78" s="285"/>
    </row>
    <row r="79" spans="2:35" s="204" customFormat="1" ht="89.25" x14ac:dyDescent="0.25">
      <c r="B79" s="294" t="s">
        <v>2968</v>
      </c>
      <c r="C79" s="294" t="s">
        <v>2969</v>
      </c>
      <c r="D79" s="206" t="s">
        <v>72</v>
      </c>
      <c r="E79" s="206"/>
      <c r="F79" s="206"/>
      <c r="G79" s="207"/>
      <c r="H79" s="207"/>
      <c r="I79" s="207"/>
      <c r="J79" s="207" t="s">
        <v>2957</v>
      </c>
      <c r="K79" s="206" t="s">
        <v>82</v>
      </c>
      <c r="L79" s="261" t="s">
        <v>2970</v>
      </c>
      <c r="M79" s="280"/>
      <c r="N79" s="256" t="str">
        <f>N$15</f>
        <v>Valore netto al 31/12/2019</v>
      </c>
      <c r="O79" s="256" t="str">
        <f>O$15</f>
        <v>Valore netto al 31/12/2020</v>
      </c>
      <c r="P79" s="256" t="str">
        <f>P$15</f>
        <v>Variazione</v>
      </c>
      <c r="Q79" s="262" t="s">
        <v>2971</v>
      </c>
      <c r="R79" s="262" t="str">
        <f>"Fondo ammortamento 31/12/"&amp;Info!$B$3-1</f>
        <v>Fondo ammortamento 31/12/2019</v>
      </c>
      <c r="S79" s="262" t="s">
        <v>2972</v>
      </c>
      <c r="V79" s="211"/>
      <c r="W79" s="262" t="s">
        <v>4391</v>
      </c>
      <c r="X79" s="262" t="s">
        <v>2976</v>
      </c>
      <c r="Y79" s="262" t="s">
        <v>2989</v>
      </c>
      <c r="Z79" s="262" t="s">
        <v>2990</v>
      </c>
      <c r="AA79" s="285"/>
    </row>
    <row r="80" spans="2:35" s="204" customFormat="1" x14ac:dyDescent="0.25">
      <c r="B80" s="273" t="s">
        <v>229</v>
      </c>
      <c r="C80" s="273" t="s">
        <v>230</v>
      </c>
      <c r="D80" s="274" t="s">
        <v>3035</v>
      </c>
      <c r="E80" s="264"/>
      <c r="F80" s="264"/>
      <c r="G80" s="265"/>
      <c r="H80" s="266"/>
      <c r="I80" s="281"/>
      <c r="J80" s="281"/>
      <c r="K80" s="281"/>
      <c r="L80" s="282" t="s">
        <v>3027</v>
      </c>
      <c r="M80" s="263" t="s">
        <v>2962</v>
      </c>
      <c r="N80" s="269">
        <f>+R80</f>
        <v>0</v>
      </c>
      <c r="O80" s="270">
        <f>+R80+S80+X80-ABS(Y80)+ABS(Z80)+W80+Q80</f>
        <v>0</v>
      </c>
      <c r="P80" s="271">
        <f>+O80-N80</f>
        <v>0</v>
      </c>
      <c r="Q80" s="520"/>
      <c r="R80" s="354">
        <f>IF(ISERROR(VLOOKUP("SOC"&amp;$C80,ESTR_PREC_SP!$A$2:$G$2000,4,FALSE))=TRUE,0,VLOOKUP("SOC"&amp;$C80,ESTR_PREC_SP!$A$2:$G$2000,4,FALSE))</f>
        <v>0</v>
      </c>
      <c r="S80" s="521"/>
      <c r="V80" s="211"/>
      <c r="W80" s="520"/>
      <c r="X80" s="520"/>
      <c r="Y80" s="520"/>
      <c r="Z80" s="520"/>
      <c r="AA80" s="285"/>
    </row>
    <row r="81" spans="2:31" s="204" customFormat="1" x14ac:dyDescent="0.25">
      <c r="B81" s="273" t="s">
        <v>232</v>
      </c>
      <c r="C81" s="273" t="s">
        <v>233</v>
      </c>
      <c r="D81" s="274" t="s">
        <v>3037</v>
      </c>
      <c r="E81" s="264"/>
      <c r="F81" s="264"/>
      <c r="G81" s="265"/>
      <c r="H81" s="266"/>
      <c r="I81" s="281"/>
      <c r="J81" s="281"/>
      <c r="K81" s="281"/>
      <c r="L81" s="282" t="s">
        <v>3029</v>
      </c>
      <c r="M81" s="263" t="s">
        <v>2962</v>
      </c>
      <c r="N81" s="269">
        <f>+R81</f>
        <v>0</v>
      </c>
      <c r="O81" s="270">
        <f>+R81+S81+X81-ABS(Y81)+ABS(Z81)+W81+Q81</f>
        <v>0</v>
      </c>
      <c r="P81" s="271">
        <f>+O81-N81</f>
        <v>0</v>
      </c>
      <c r="Q81" s="520"/>
      <c r="R81" s="354">
        <f>IF(ISERROR(VLOOKUP("SOC"&amp;$C81,ESTR_PREC_SP!$A$2:$G$2000,4,FALSE))=TRUE,0,VLOOKUP("SOC"&amp;$C81,ESTR_PREC_SP!$A$2:$G$2000,4,FALSE))</f>
        <v>0</v>
      </c>
      <c r="S81" s="521"/>
      <c r="V81" s="211"/>
      <c r="W81" s="520"/>
      <c r="X81" s="520"/>
      <c r="Y81" s="520"/>
      <c r="Z81" s="520"/>
      <c r="AA81" s="285"/>
    </row>
    <row r="82" spans="2:31" s="204" customFormat="1" x14ac:dyDescent="0.25">
      <c r="B82" s="273" t="s">
        <v>235</v>
      </c>
      <c r="C82" s="273" t="s">
        <v>236</v>
      </c>
      <c r="D82" s="274" t="s">
        <v>3039</v>
      </c>
      <c r="E82" s="264"/>
      <c r="F82" s="274"/>
      <c r="G82" s="283"/>
      <c r="H82" s="266"/>
      <c r="I82" s="281"/>
      <c r="J82" s="281"/>
      <c r="K82" s="281"/>
      <c r="L82" s="288" t="s">
        <v>3031</v>
      </c>
      <c r="M82" s="284" t="s">
        <v>2962</v>
      </c>
      <c r="N82" s="269">
        <f>+R82</f>
        <v>0</v>
      </c>
      <c r="O82" s="270">
        <f>+R82+S82+X82-ABS(Y82)+ABS(Z82)+W82+Q82</f>
        <v>0</v>
      </c>
      <c r="P82" s="271">
        <f>+O82-N82</f>
        <v>0</v>
      </c>
      <c r="Q82" s="520"/>
      <c r="R82" s="354">
        <f>IF(ISERROR(VLOOKUP("SOC"&amp;$C82,ESTR_PREC_SP!$A$2:$G$2000,4,FALSE))=TRUE,0,VLOOKUP("SOC"&amp;$C82,ESTR_PREC_SP!$A$2:$G$2000,4,FALSE))</f>
        <v>0</v>
      </c>
      <c r="S82" s="521"/>
      <c r="V82" s="211"/>
      <c r="W82" s="520"/>
      <c r="X82" s="520"/>
      <c r="Y82" s="520"/>
      <c r="Z82" s="520"/>
      <c r="AA82" s="285"/>
    </row>
    <row r="83" spans="2:31" s="204" customFormat="1" x14ac:dyDescent="0.25">
      <c r="B83" s="273" t="s">
        <v>238</v>
      </c>
      <c r="C83" s="273" t="s">
        <v>239</v>
      </c>
      <c r="D83" s="274" t="s">
        <v>3041</v>
      </c>
      <c r="E83" s="264"/>
      <c r="F83" s="274"/>
      <c r="G83" s="283"/>
      <c r="H83" s="266"/>
      <c r="I83" s="281"/>
      <c r="J83" s="281"/>
      <c r="K83" s="281"/>
      <c r="L83" s="288" t="s">
        <v>3033</v>
      </c>
      <c r="M83" s="284" t="s">
        <v>2962</v>
      </c>
      <c r="N83" s="269">
        <f>+R83</f>
        <v>0</v>
      </c>
      <c r="O83" s="270">
        <f>+R83+S83+X83-ABS(Y83)+ABS(Z83)+W83+Q83</f>
        <v>0</v>
      </c>
      <c r="P83" s="271">
        <f>+O83-N83</f>
        <v>0</v>
      </c>
      <c r="Q83" s="520"/>
      <c r="R83" s="354">
        <f>IF(ISERROR(VLOOKUP("SOC"&amp;$C83,ESTR_PREC_SP!$A$2:$G$2000,4,FALSE))=TRUE,0,VLOOKUP("SOC"&amp;$C83,ESTR_PREC_SP!$A$2:$G$2000,4,FALSE))</f>
        <v>0</v>
      </c>
      <c r="S83" s="521"/>
      <c r="V83" s="211"/>
      <c r="W83" s="520"/>
      <c r="X83" s="520"/>
      <c r="Y83" s="520"/>
      <c r="Z83" s="520"/>
      <c r="AA83" s="285"/>
    </row>
    <row r="84" spans="2:31" s="204" customFormat="1" x14ac:dyDescent="0.25">
      <c r="B84" s="293"/>
      <c r="C84" s="293"/>
      <c r="D84" s="230"/>
      <c r="E84" s="230"/>
      <c r="F84" s="230"/>
      <c r="G84" s="230"/>
      <c r="H84" s="231"/>
      <c r="I84" s="230"/>
      <c r="J84" s="230"/>
      <c r="K84" s="230"/>
      <c r="L84" s="275"/>
      <c r="M84" s="216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</row>
    <row r="85" spans="2:31" s="204" customFormat="1" ht="25.5" x14ac:dyDescent="0.25">
      <c r="B85" s="293"/>
      <c r="C85" s="293"/>
      <c r="D85" s="230"/>
      <c r="E85" s="230"/>
      <c r="F85" s="230"/>
      <c r="G85" s="230"/>
      <c r="H85" s="231"/>
      <c r="I85" s="230"/>
      <c r="J85" s="230"/>
      <c r="K85" s="230"/>
      <c r="L85" s="255"/>
      <c r="M85" s="244"/>
      <c r="N85" s="256" t="str">
        <f>N$15</f>
        <v>Valore netto al 31/12/2019</v>
      </c>
      <c r="O85" s="256" t="str">
        <f>O$15</f>
        <v>Valore netto al 31/12/2020</v>
      </c>
      <c r="P85" s="256" t="str">
        <f>P$15</f>
        <v>Variazione</v>
      </c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</row>
    <row r="86" spans="2:31" s="204" customFormat="1" x14ac:dyDescent="0.25">
      <c r="B86" s="246" t="s">
        <v>241</v>
      </c>
      <c r="C86" s="246" t="s">
        <v>242</v>
      </c>
      <c r="D86" s="247" t="s">
        <v>3043</v>
      </c>
      <c r="E86" s="247"/>
      <c r="F86" s="247"/>
      <c r="G86" s="247"/>
      <c r="H86" s="248"/>
      <c r="I86" s="247"/>
      <c r="J86" s="247"/>
      <c r="K86" s="249"/>
      <c r="L86" s="257" t="s">
        <v>246</v>
      </c>
      <c r="M86" s="251" t="s">
        <v>2962</v>
      </c>
      <c r="N86" s="252">
        <f>SUM(N89:N90)</f>
        <v>0</v>
      </c>
      <c r="O86" s="252">
        <f>SUM(O89:O90)</f>
        <v>0</v>
      </c>
      <c r="P86" s="253">
        <f>+O86-N86</f>
        <v>0</v>
      </c>
      <c r="Q86" s="252">
        <f>SUM(Q89:Q90)</f>
        <v>0</v>
      </c>
      <c r="R86" s="252">
        <f>SUM(R89:R90)</f>
        <v>0</v>
      </c>
      <c r="S86" s="252">
        <f>SUM(S89:S90)</f>
        <v>0</v>
      </c>
      <c r="T86" s="252">
        <f>SUM(T89:T90)</f>
        <v>0</v>
      </c>
      <c r="U86" s="252">
        <f>SUM(U89:U90)</f>
        <v>0</v>
      </c>
      <c r="V86" s="216"/>
      <c r="W86" s="252">
        <f t="shared" ref="W86:AE86" si="3">SUM(W89:W90)</f>
        <v>0</v>
      </c>
      <c r="X86" s="252">
        <f t="shared" si="3"/>
        <v>0</v>
      </c>
      <c r="Y86" s="252">
        <f t="shared" si="3"/>
        <v>0</v>
      </c>
      <c r="Z86" s="252">
        <f t="shared" si="3"/>
        <v>0</v>
      </c>
      <c r="AA86" s="252">
        <f t="shared" si="3"/>
        <v>0</v>
      </c>
      <c r="AB86" s="252">
        <f t="shared" si="3"/>
        <v>0</v>
      </c>
      <c r="AC86" s="252">
        <f t="shared" si="3"/>
        <v>0</v>
      </c>
      <c r="AD86" s="252">
        <f t="shared" si="3"/>
        <v>0</v>
      </c>
      <c r="AE86" s="252">
        <f t="shared" si="3"/>
        <v>0</v>
      </c>
    </row>
    <row r="87" spans="2:31" s="204" customFormat="1" x14ac:dyDescent="0.25">
      <c r="B87" s="230"/>
      <c r="C87" s="230"/>
      <c r="D87" s="230"/>
      <c r="E87" s="230"/>
      <c r="F87" s="230"/>
      <c r="G87" s="230"/>
      <c r="H87" s="231"/>
      <c r="I87" s="230"/>
      <c r="J87" s="230"/>
      <c r="K87" s="230"/>
      <c r="L87" s="277"/>
      <c r="M87" s="211"/>
      <c r="N87" s="254"/>
      <c r="O87" s="211"/>
      <c r="P87" s="211"/>
      <c r="Q87" s="211"/>
      <c r="R87" s="216"/>
      <c r="T87" s="216"/>
      <c r="U87" s="216"/>
      <c r="V87" s="216"/>
      <c r="W87" s="211"/>
      <c r="X87" s="211"/>
      <c r="Y87" s="211"/>
      <c r="Z87" s="211"/>
      <c r="AA87" s="211"/>
    </row>
    <row r="88" spans="2:31" s="204" customFormat="1" ht="89.25" x14ac:dyDescent="0.25">
      <c r="B88" s="260" t="s">
        <v>2968</v>
      </c>
      <c r="C88" s="260" t="s">
        <v>2969</v>
      </c>
      <c r="D88" s="206" t="s">
        <v>72</v>
      </c>
      <c r="E88" s="206"/>
      <c r="F88" s="206"/>
      <c r="G88" s="207"/>
      <c r="H88" s="207"/>
      <c r="I88" s="207"/>
      <c r="J88" s="207" t="s">
        <v>2957</v>
      </c>
      <c r="K88" s="206" t="s">
        <v>82</v>
      </c>
      <c r="L88" s="261" t="s">
        <v>2970</v>
      </c>
      <c r="M88" s="280"/>
      <c r="N88" s="256" t="str">
        <f>N$15</f>
        <v>Valore netto al 31/12/2019</v>
      </c>
      <c r="O88" s="256" t="str">
        <f>O$15</f>
        <v>Valore netto al 31/12/2020</v>
      </c>
      <c r="P88" s="256" t="str">
        <f>P$15</f>
        <v>Variazione</v>
      </c>
      <c r="Q88" s="262" t="s">
        <v>2971</v>
      </c>
      <c r="R88" s="262" t="str">
        <f>"Costo storico al 31/12/"&amp;Info!$B$3-1</f>
        <v>Costo storico al 31/12/2019</v>
      </c>
      <c r="S88" s="262" t="s">
        <v>2972</v>
      </c>
      <c r="T88" s="262" t="s">
        <v>3044</v>
      </c>
      <c r="U88" s="262" t="s">
        <v>2974</v>
      </c>
      <c r="W88" s="262" t="s">
        <v>4391</v>
      </c>
      <c r="X88" s="262" t="s">
        <v>2976</v>
      </c>
      <c r="Y88" s="262" t="s">
        <v>2977</v>
      </c>
      <c r="Z88" s="262" t="s">
        <v>2978</v>
      </c>
      <c r="AA88" s="262" t="s">
        <v>2979</v>
      </c>
      <c r="AB88" s="262" t="s">
        <v>3045</v>
      </c>
      <c r="AC88" s="262" t="s">
        <v>2981</v>
      </c>
      <c r="AD88" s="262" t="s">
        <v>3046</v>
      </c>
      <c r="AE88" s="262" t="s">
        <v>3047</v>
      </c>
    </row>
    <row r="89" spans="2:31" s="204" customFormat="1" x14ac:dyDescent="0.25">
      <c r="B89" s="263" t="s">
        <v>247</v>
      </c>
      <c r="C89" s="263" t="s">
        <v>248</v>
      </c>
      <c r="D89" s="264" t="s">
        <v>3048</v>
      </c>
      <c r="E89" s="264"/>
      <c r="F89" s="264"/>
      <c r="G89" s="265"/>
      <c r="H89" s="266"/>
      <c r="I89" s="281"/>
      <c r="J89" s="281"/>
      <c r="K89" s="281"/>
      <c r="L89" s="295" t="s">
        <v>3049</v>
      </c>
      <c r="M89" s="284" t="s">
        <v>2962</v>
      </c>
      <c r="N89" s="269">
        <f>+R89+T89-U89</f>
        <v>0</v>
      </c>
      <c r="O89" s="270">
        <f>+N89+S89+X89+ABS(Y89)-ABS(AA89)+ABS(Z89)+ABS(AB89)+ABS(AD89)-ABS(AE89)+AC89+W89+Q89</f>
        <v>0</v>
      </c>
      <c r="P89" s="271">
        <f>+O89-N89</f>
        <v>0</v>
      </c>
      <c r="Q89" s="520"/>
      <c r="R89" s="354">
        <f>IF(ISERROR(VLOOKUP("SOC"&amp;$C89,ESTR_PREC_SP!$A$2:$G$2000,4,FALSE))=TRUE,0,VLOOKUP("SOC"&amp;$C89,ESTR_PREC_SP!$A$2:$G$2000,4,FALSE))</f>
        <v>0</v>
      </c>
      <c r="S89" s="521"/>
      <c r="T89" s="521"/>
      <c r="U89" s="521"/>
      <c r="W89" s="520"/>
      <c r="X89" s="520"/>
      <c r="Y89" s="520"/>
      <c r="Z89" s="520"/>
      <c r="AA89" s="520"/>
      <c r="AB89" s="520"/>
      <c r="AC89" s="521"/>
      <c r="AD89" s="520"/>
      <c r="AE89" s="520"/>
    </row>
    <row r="90" spans="2:31" s="204" customFormat="1" x14ac:dyDescent="0.25">
      <c r="B90" s="263" t="s">
        <v>250</v>
      </c>
      <c r="C90" s="263" t="s">
        <v>251</v>
      </c>
      <c r="D90" s="274" t="s">
        <v>3050</v>
      </c>
      <c r="E90" s="264"/>
      <c r="F90" s="274"/>
      <c r="G90" s="283"/>
      <c r="H90" s="266"/>
      <c r="I90" s="281"/>
      <c r="J90" s="281"/>
      <c r="K90" s="281"/>
      <c r="L90" s="295" t="s">
        <v>3051</v>
      </c>
      <c r="M90" s="284" t="s">
        <v>2962</v>
      </c>
      <c r="N90" s="269">
        <f>+R90+T90-U90</f>
        <v>0</v>
      </c>
      <c r="O90" s="270">
        <f>+N90+S90+X90+ABS(Y90)-ABS(AA90)+ABS(Z90)+ABS(AB90)+ABS(AD90)-ABS(AE90)+AC90+W90+Q90</f>
        <v>0</v>
      </c>
      <c r="P90" s="271">
        <f>+O90-N90</f>
        <v>0</v>
      </c>
      <c r="Q90" s="520"/>
      <c r="R90" s="354">
        <f>IF(ISERROR(VLOOKUP("SOC"&amp;$C90,ESTR_PREC_SP!$A$2:$G$2000,4,FALSE))=TRUE,0,VLOOKUP("SOC"&amp;$C90,ESTR_PREC_SP!$A$2:$G$2000,4,FALSE))</f>
        <v>0</v>
      </c>
      <c r="S90" s="521"/>
      <c r="T90" s="521"/>
      <c r="U90" s="521"/>
      <c r="W90" s="520"/>
      <c r="X90" s="520"/>
      <c r="Y90" s="520"/>
      <c r="Z90" s="520"/>
      <c r="AA90" s="520"/>
      <c r="AB90" s="520"/>
      <c r="AC90" s="521"/>
      <c r="AD90" s="520"/>
      <c r="AE90" s="520"/>
    </row>
    <row r="91" spans="2:31" s="204" customFormat="1" ht="38.25" x14ac:dyDescent="0.25">
      <c r="B91" s="230"/>
      <c r="C91" s="230"/>
      <c r="D91" s="230"/>
      <c r="E91" s="230"/>
      <c r="F91" s="230"/>
      <c r="G91" s="230"/>
      <c r="H91" s="231"/>
      <c r="I91" s="230"/>
      <c r="J91" s="230"/>
      <c r="K91" s="230"/>
      <c r="L91" s="296" t="s">
        <v>3052</v>
      </c>
      <c r="M91" s="216"/>
      <c r="N91" s="285"/>
      <c r="O91" s="285"/>
      <c r="P91" s="285"/>
      <c r="Q91" s="211"/>
      <c r="R91" s="285"/>
      <c r="S91" s="285"/>
      <c r="T91" s="285"/>
      <c r="U91" s="285"/>
      <c r="V91" s="285"/>
      <c r="W91" s="285"/>
      <c r="X91" s="285"/>
      <c r="Y91" s="285"/>
      <c r="Z91" s="211"/>
      <c r="AA91" s="211"/>
    </row>
    <row r="92" spans="2:31" s="204" customFormat="1" x14ac:dyDescent="0.25">
      <c r="B92" s="230"/>
      <c r="C92" s="230"/>
      <c r="D92" s="230"/>
      <c r="E92" s="230"/>
      <c r="F92" s="230"/>
      <c r="G92" s="230"/>
      <c r="H92" s="231"/>
      <c r="I92" s="230"/>
      <c r="J92" s="230"/>
      <c r="K92" s="230"/>
      <c r="L92" s="296"/>
      <c r="M92" s="216"/>
      <c r="N92" s="285"/>
      <c r="O92" s="285"/>
      <c r="P92" s="285"/>
      <c r="Q92" s="211"/>
      <c r="R92" s="285"/>
      <c r="S92" s="285"/>
      <c r="T92" s="285"/>
      <c r="U92" s="285"/>
      <c r="V92" s="285"/>
      <c r="W92" s="285"/>
      <c r="X92" s="285"/>
      <c r="Y92" s="285"/>
      <c r="Z92" s="211"/>
      <c r="AA92" s="211"/>
    </row>
    <row r="93" spans="2:31" s="204" customFormat="1" ht="38.25" x14ac:dyDescent="0.25">
      <c r="B93" s="230"/>
      <c r="C93" s="230"/>
      <c r="D93" s="230"/>
      <c r="E93" s="230"/>
      <c r="F93" s="230"/>
      <c r="G93" s="230"/>
      <c r="H93" s="231"/>
      <c r="I93" s="230"/>
      <c r="J93" s="230"/>
      <c r="K93" s="230"/>
      <c r="L93" s="255"/>
      <c r="M93" s="244"/>
      <c r="N93" s="256" t="str">
        <f>N$15</f>
        <v>Valore netto al 31/12/2019</v>
      </c>
      <c r="O93" s="256" t="str">
        <f>O$15</f>
        <v>Valore netto al 31/12/2020</v>
      </c>
      <c r="P93" s="256" t="str">
        <f>P$15</f>
        <v>Variazione</v>
      </c>
      <c r="Q93" s="262" t="s">
        <v>2971</v>
      </c>
      <c r="R93" s="285"/>
      <c r="S93" s="285"/>
      <c r="T93" s="285"/>
      <c r="U93" s="285"/>
      <c r="V93" s="285"/>
      <c r="W93" s="285"/>
      <c r="X93" s="285"/>
      <c r="Y93" s="285"/>
      <c r="Z93" s="211"/>
      <c r="AA93" s="211"/>
    </row>
    <row r="94" spans="2:31" s="204" customFormat="1" x14ac:dyDescent="0.25">
      <c r="B94" s="246" t="s">
        <v>253</v>
      </c>
      <c r="C94" s="246" t="s">
        <v>254</v>
      </c>
      <c r="D94" s="247" t="s">
        <v>3053</v>
      </c>
      <c r="E94" s="247"/>
      <c r="F94" s="247"/>
      <c r="G94" s="247"/>
      <c r="H94" s="248"/>
      <c r="I94" s="247"/>
      <c r="J94" s="247"/>
      <c r="K94" s="249"/>
      <c r="L94" s="257" t="s">
        <v>256</v>
      </c>
      <c r="M94" s="251" t="s">
        <v>2962</v>
      </c>
      <c r="N94" s="252">
        <f>+N96-N108+N118-N124+N130-N136+N142-N150</f>
        <v>0</v>
      </c>
      <c r="O94" s="252">
        <f>+O96-O108+O118-O124+O130-O136+O142-O150</f>
        <v>0</v>
      </c>
      <c r="P94" s="253">
        <f>+O94-N94</f>
        <v>0</v>
      </c>
      <c r="Q94" s="252">
        <f>+Q96-Q108+Q118-Q124+Q130-Q136+Q142-Q150</f>
        <v>0</v>
      </c>
      <c r="R94" s="252">
        <f>+R96-R108+R118-R124+R130-R136+R142-R150</f>
        <v>0</v>
      </c>
      <c r="S94" s="252">
        <f>+S96-S108+S118-S124+S130-S136+T142-S150</f>
        <v>0</v>
      </c>
      <c r="T94" s="252">
        <f>+T96-S108+T118-S124+T130-S136+T142-S150</f>
        <v>0</v>
      </c>
      <c r="U94" s="252">
        <f>+U96-T108+U118-T124+U130-T136+U142-T150</f>
        <v>0</v>
      </c>
      <c r="V94" s="211"/>
      <c r="W94" s="252">
        <f t="shared" ref="W94:AE94" si="4">+W96-W108+W118-W124+W130-W136+W142-W150</f>
        <v>0</v>
      </c>
      <c r="X94" s="252">
        <f t="shared" si="4"/>
        <v>0</v>
      </c>
      <c r="Y94" s="252">
        <f t="shared" si="4"/>
        <v>0</v>
      </c>
      <c r="Z94" s="252">
        <f t="shared" si="4"/>
        <v>0</v>
      </c>
      <c r="AA94" s="252">
        <f t="shared" si="4"/>
        <v>0</v>
      </c>
      <c r="AB94" s="252">
        <f t="shared" si="4"/>
        <v>0</v>
      </c>
      <c r="AC94" s="252">
        <f t="shared" si="4"/>
        <v>0</v>
      </c>
      <c r="AD94" s="252">
        <f t="shared" si="4"/>
        <v>0</v>
      </c>
      <c r="AE94" s="252">
        <f t="shared" si="4"/>
        <v>0</v>
      </c>
    </row>
    <row r="95" spans="2:31" s="204" customFormat="1" x14ac:dyDescent="0.25">
      <c r="B95" s="230"/>
      <c r="C95" s="230"/>
      <c r="D95" s="230"/>
      <c r="E95" s="230"/>
      <c r="F95" s="230"/>
      <c r="G95" s="230"/>
      <c r="H95" s="231"/>
      <c r="I95" s="230"/>
      <c r="J95" s="230"/>
      <c r="K95" s="230"/>
      <c r="L95" s="232"/>
      <c r="M95" s="211"/>
      <c r="N95" s="254"/>
      <c r="O95" s="211"/>
      <c r="P95" s="211"/>
      <c r="Q95" s="211"/>
      <c r="R95" s="211"/>
      <c r="T95" s="211"/>
      <c r="U95" s="211"/>
      <c r="V95" s="211"/>
      <c r="W95" s="211"/>
      <c r="X95" s="211"/>
      <c r="Y95" s="211"/>
      <c r="Z95" s="211"/>
      <c r="AA95" s="211"/>
    </row>
    <row r="96" spans="2:31" s="204" customFormat="1" x14ac:dyDescent="0.25">
      <c r="B96" s="246" t="s">
        <v>257</v>
      </c>
      <c r="C96" s="246" t="s">
        <v>258</v>
      </c>
      <c r="D96" s="247" t="s">
        <v>3054</v>
      </c>
      <c r="E96" s="247"/>
      <c r="F96" s="247"/>
      <c r="G96" s="247"/>
      <c r="H96" s="248"/>
      <c r="I96" s="247"/>
      <c r="J96" s="247"/>
      <c r="K96" s="249"/>
      <c r="L96" s="276" t="s">
        <v>261</v>
      </c>
      <c r="M96" s="251" t="s">
        <v>2962</v>
      </c>
      <c r="N96" s="252">
        <f>SUM(N99:N106)</f>
        <v>0</v>
      </c>
      <c r="O96" s="252">
        <f>SUM(O99:O106)</f>
        <v>0</v>
      </c>
      <c r="P96" s="259">
        <f>+O96-N96</f>
        <v>0</v>
      </c>
      <c r="Q96" s="252">
        <f>SUM(Q99:Q106)</f>
        <v>0</v>
      </c>
      <c r="R96" s="252">
        <f>SUM(R99:R106)</f>
        <v>0</v>
      </c>
      <c r="S96" s="252">
        <f>SUM(T99:T106)</f>
        <v>0</v>
      </c>
      <c r="T96" s="252">
        <f>SUM(T99:T106)</f>
        <v>0</v>
      </c>
      <c r="U96" s="252">
        <f>SUM(U99:U106)</f>
        <v>0</v>
      </c>
      <c r="V96" s="216"/>
      <c r="W96" s="252">
        <f t="shared" ref="W96:AE96" si="5">SUM(W99:W106)</f>
        <v>0</v>
      </c>
      <c r="X96" s="252">
        <f t="shared" si="5"/>
        <v>0</v>
      </c>
      <c r="Y96" s="252">
        <f t="shared" si="5"/>
        <v>0</v>
      </c>
      <c r="Z96" s="252">
        <f t="shared" si="5"/>
        <v>0</v>
      </c>
      <c r="AA96" s="252">
        <f t="shared" si="5"/>
        <v>0</v>
      </c>
      <c r="AB96" s="252">
        <f t="shared" si="5"/>
        <v>0</v>
      </c>
      <c r="AC96" s="252">
        <f t="shared" si="5"/>
        <v>0</v>
      </c>
      <c r="AD96" s="252">
        <f t="shared" si="5"/>
        <v>0</v>
      </c>
      <c r="AE96" s="252">
        <f t="shared" si="5"/>
        <v>0</v>
      </c>
    </row>
    <row r="97" spans="2:31" s="204" customFormat="1" x14ac:dyDescent="0.25">
      <c r="B97" s="216"/>
      <c r="C97" s="216"/>
      <c r="D97" s="226"/>
      <c r="E97" s="226"/>
      <c r="F97" s="226"/>
      <c r="G97" s="226"/>
      <c r="H97" s="227"/>
      <c r="I97" s="226"/>
      <c r="J97" s="226"/>
      <c r="K97" s="226"/>
      <c r="L97" s="241"/>
      <c r="M97" s="278"/>
      <c r="N97" s="279"/>
      <c r="O97" s="279"/>
      <c r="P97" s="297"/>
      <c r="Q97" s="211"/>
      <c r="R97" s="216"/>
      <c r="T97" s="216"/>
      <c r="U97" s="216"/>
      <c r="V97" s="216"/>
      <c r="W97" s="211"/>
      <c r="X97" s="211"/>
      <c r="Y97" s="211"/>
      <c r="Z97" s="211"/>
      <c r="AA97" s="211"/>
    </row>
    <row r="98" spans="2:31" s="204" customFormat="1" ht="89.25" x14ac:dyDescent="0.25">
      <c r="B98" s="294" t="s">
        <v>2968</v>
      </c>
      <c r="C98" s="294" t="s">
        <v>2969</v>
      </c>
      <c r="D98" s="206" t="s">
        <v>72</v>
      </c>
      <c r="E98" s="206"/>
      <c r="F98" s="206"/>
      <c r="G98" s="207"/>
      <c r="H98" s="207"/>
      <c r="I98" s="207"/>
      <c r="J98" s="207" t="s">
        <v>2957</v>
      </c>
      <c r="K98" s="206" t="s">
        <v>82</v>
      </c>
      <c r="L98" s="261" t="s">
        <v>2970</v>
      </c>
      <c r="M98" s="280"/>
      <c r="N98" s="256" t="str">
        <f>N$15</f>
        <v>Valore netto al 31/12/2019</v>
      </c>
      <c r="O98" s="256" t="str">
        <f>O$15</f>
        <v>Valore netto al 31/12/2020</v>
      </c>
      <c r="P98" s="256" t="str">
        <f>P$15</f>
        <v>Variazione</v>
      </c>
      <c r="Q98" s="262" t="s">
        <v>2971</v>
      </c>
      <c r="R98" s="262" t="str">
        <f>"Costo storico al 31/12/"&amp;Info!$B$3-1</f>
        <v>Costo storico al 31/12/2019</v>
      </c>
      <c r="S98" s="262" t="s">
        <v>2972</v>
      </c>
      <c r="T98" s="262" t="s">
        <v>2973</v>
      </c>
      <c r="U98" s="262" t="s">
        <v>2974</v>
      </c>
      <c r="W98" s="262" t="s">
        <v>4391</v>
      </c>
      <c r="X98" s="262" t="s">
        <v>2976</v>
      </c>
      <c r="Y98" s="262" t="s">
        <v>2977</v>
      </c>
      <c r="Z98" s="262" t="s">
        <v>2978</v>
      </c>
      <c r="AA98" s="262" t="s">
        <v>2979</v>
      </c>
      <c r="AB98" s="262" t="s">
        <v>2980</v>
      </c>
      <c r="AC98" s="262" t="s">
        <v>2981</v>
      </c>
      <c r="AD98" s="262" t="s">
        <v>2982</v>
      </c>
      <c r="AE98" s="262" t="s">
        <v>2983</v>
      </c>
    </row>
    <row r="99" spans="2:31" s="204" customFormat="1" x14ac:dyDescent="0.25">
      <c r="B99" s="273" t="s">
        <v>262</v>
      </c>
      <c r="C99" s="273" t="s">
        <v>263</v>
      </c>
      <c r="D99" s="274" t="s">
        <v>3055</v>
      </c>
      <c r="E99" s="264"/>
      <c r="F99" s="264"/>
      <c r="G99" s="265"/>
      <c r="H99" s="266"/>
      <c r="I99" s="281"/>
      <c r="J99" s="281"/>
      <c r="K99" s="281"/>
      <c r="L99" s="282" t="s">
        <v>3056</v>
      </c>
      <c r="M99" s="263" t="s">
        <v>2962</v>
      </c>
      <c r="N99" s="269">
        <f t="shared" ref="N99:N106" si="6">+R99+T99-U99</f>
        <v>0</v>
      </c>
      <c r="O99" s="270">
        <f t="shared" ref="O99:O106" si="7">+N99+S99+X99+ABS(Y99)-ABS(AA99)+ABS(Z99)+ABS(AB99)+ABS(AD99)-ABS(AE99)+AC99+W99+Q99</f>
        <v>0</v>
      </c>
      <c r="P99" s="271">
        <f t="shared" ref="P99:P106" si="8">+O99-N99</f>
        <v>0</v>
      </c>
      <c r="Q99" s="520"/>
      <c r="R99" s="354">
        <f>IF(ISERROR(VLOOKUP("SOC"&amp;$C99,ESTR_PREC_SP!$A$2:$G$2000,4,FALSE))=TRUE,0,VLOOKUP("SOC"&amp;$C99,ESTR_PREC_SP!$A$2:$G$2000,4,FALSE))</f>
        <v>0</v>
      </c>
      <c r="S99" s="521"/>
      <c r="T99" s="521"/>
      <c r="U99" s="521"/>
      <c r="W99" s="520"/>
      <c r="X99" s="520"/>
      <c r="Y99" s="520"/>
      <c r="Z99" s="520"/>
      <c r="AA99" s="520"/>
      <c r="AB99" s="520"/>
      <c r="AC99" s="520"/>
      <c r="AD99" s="520"/>
      <c r="AE99" s="520"/>
    </row>
    <row r="100" spans="2:31" s="204" customFormat="1" x14ac:dyDescent="0.25">
      <c r="B100" s="273" t="s">
        <v>265</v>
      </c>
      <c r="C100" s="273" t="s">
        <v>266</v>
      </c>
      <c r="D100" s="274" t="s">
        <v>3057</v>
      </c>
      <c r="E100" s="264"/>
      <c r="F100" s="264"/>
      <c r="G100" s="265"/>
      <c r="H100" s="266"/>
      <c r="I100" s="281"/>
      <c r="J100" s="281"/>
      <c r="K100" s="281"/>
      <c r="L100" s="282" t="s">
        <v>3058</v>
      </c>
      <c r="M100" s="263" t="s">
        <v>2962</v>
      </c>
      <c r="N100" s="269">
        <f t="shared" si="6"/>
        <v>0</v>
      </c>
      <c r="O100" s="270">
        <f t="shared" si="7"/>
        <v>0</v>
      </c>
      <c r="P100" s="271">
        <f t="shared" si="8"/>
        <v>0</v>
      </c>
      <c r="Q100" s="520"/>
      <c r="R100" s="354">
        <f>IF(ISERROR(VLOOKUP("SOC"&amp;$C100,ESTR_PREC_SP!$A$2:$G$2000,4,FALSE))=TRUE,0,VLOOKUP("SOC"&amp;$C100,ESTR_PREC_SP!$A$2:$G$2000,4,FALSE))</f>
        <v>0</v>
      </c>
      <c r="S100" s="521"/>
      <c r="T100" s="521"/>
      <c r="U100" s="521"/>
      <c r="W100" s="520"/>
      <c r="X100" s="520"/>
      <c r="Y100" s="520"/>
      <c r="Z100" s="520"/>
      <c r="AA100" s="520"/>
      <c r="AB100" s="520"/>
      <c r="AC100" s="520"/>
      <c r="AD100" s="520"/>
      <c r="AE100" s="520"/>
    </row>
    <row r="101" spans="2:31" s="204" customFormat="1" x14ac:dyDescent="0.25">
      <c r="B101" s="273" t="s">
        <v>268</v>
      </c>
      <c r="C101" s="273" t="s">
        <v>269</v>
      </c>
      <c r="D101" s="274" t="s">
        <v>3059</v>
      </c>
      <c r="E101" s="264"/>
      <c r="F101" s="274"/>
      <c r="G101" s="283"/>
      <c r="H101" s="266"/>
      <c r="I101" s="281"/>
      <c r="J101" s="281"/>
      <c r="K101" s="281"/>
      <c r="L101" s="282" t="s">
        <v>3060</v>
      </c>
      <c r="M101" s="284" t="s">
        <v>2962</v>
      </c>
      <c r="N101" s="269">
        <f t="shared" si="6"/>
        <v>0</v>
      </c>
      <c r="O101" s="270">
        <f t="shared" si="7"/>
        <v>0</v>
      </c>
      <c r="P101" s="271">
        <f t="shared" si="8"/>
        <v>0</v>
      </c>
      <c r="Q101" s="520"/>
      <c r="R101" s="354">
        <f>IF(ISERROR(VLOOKUP("SOC"&amp;$C101,ESTR_PREC_SP!$A$2:$G$2000,4,FALSE))=TRUE,0,VLOOKUP("SOC"&amp;$C101,ESTR_PREC_SP!$A$2:$G$2000,4,FALSE))</f>
        <v>0</v>
      </c>
      <c r="S101" s="521"/>
      <c r="T101" s="521"/>
      <c r="U101" s="521"/>
      <c r="W101" s="520"/>
      <c r="X101" s="520"/>
      <c r="Y101" s="520"/>
      <c r="Z101" s="520"/>
      <c r="AA101" s="520"/>
      <c r="AB101" s="520"/>
      <c r="AC101" s="520"/>
      <c r="AD101" s="520"/>
      <c r="AE101" s="520"/>
    </row>
    <row r="102" spans="2:31" s="204" customFormat="1" x14ac:dyDescent="0.25">
      <c r="B102" s="273" t="s">
        <v>271</v>
      </c>
      <c r="C102" s="273" t="s">
        <v>272</v>
      </c>
      <c r="D102" s="274" t="s">
        <v>3061</v>
      </c>
      <c r="E102" s="264"/>
      <c r="F102" s="274"/>
      <c r="G102" s="283"/>
      <c r="H102" s="266"/>
      <c r="I102" s="281"/>
      <c r="J102" s="281"/>
      <c r="K102" s="281"/>
      <c r="L102" s="282" t="s">
        <v>3062</v>
      </c>
      <c r="M102" s="284" t="s">
        <v>2962</v>
      </c>
      <c r="N102" s="269">
        <f t="shared" si="6"/>
        <v>0</v>
      </c>
      <c r="O102" s="270">
        <f t="shared" si="7"/>
        <v>0</v>
      </c>
      <c r="P102" s="271">
        <f t="shared" si="8"/>
        <v>0</v>
      </c>
      <c r="Q102" s="520"/>
      <c r="R102" s="354">
        <f>IF(ISERROR(VLOOKUP("SOC"&amp;$C102,ESTR_PREC_SP!$A$2:$G$2000,4,FALSE))=TRUE,0,VLOOKUP("SOC"&amp;$C102,ESTR_PREC_SP!$A$2:$G$2000,4,FALSE))</f>
        <v>0</v>
      </c>
      <c r="S102" s="521"/>
      <c r="T102" s="521"/>
      <c r="U102" s="521"/>
      <c r="W102" s="520"/>
      <c r="X102" s="520"/>
      <c r="Y102" s="520"/>
      <c r="Z102" s="520"/>
      <c r="AA102" s="520"/>
      <c r="AB102" s="520"/>
      <c r="AC102" s="520"/>
      <c r="AD102" s="520"/>
      <c r="AE102" s="520"/>
    </row>
    <row r="103" spans="2:31" s="204" customFormat="1" x14ac:dyDescent="0.25">
      <c r="B103" s="273" t="s">
        <v>274</v>
      </c>
      <c r="C103" s="273" t="s">
        <v>275</v>
      </c>
      <c r="D103" s="274" t="s">
        <v>3063</v>
      </c>
      <c r="E103" s="264"/>
      <c r="F103" s="274"/>
      <c r="G103" s="283"/>
      <c r="H103" s="266"/>
      <c r="I103" s="281"/>
      <c r="J103" s="281"/>
      <c r="K103" s="281"/>
      <c r="L103" s="282" t="s">
        <v>3064</v>
      </c>
      <c r="M103" s="284" t="s">
        <v>2962</v>
      </c>
      <c r="N103" s="269">
        <f t="shared" si="6"/>
        <v>0</v>
      </c>
      <c r="O103" s="270">
        <f t="shared" si="7"/>
        <v>0</v>
      </c>
      <c r="P103" s="271">
        <f t="shared" si="8"/>
        <v>0</v>
      </c>
      <c r="Q103" s="520"/>
      <c r="R103" s="354">
        <f>IF(ISERROR(VLOOKUP("SOC"&amp;$C103,ESTR_PREC_SP!$A$2:$G$2000,4,FALSE))=TRUE,0,VLOOKUP("SOC"&amp;$C103,ESTR_PREC_SP!$A$2:$G$2000,4,FALSE))</f>
        <v>0</v>
      </c>
      <c r="S103" s="521"/>
      <c r="T103" s="521"/>
      <c r="U103" s="521"/>
      <c r="W103" s="520"/>
      <c r="X103" s="520"/>
      <c r="Y103" s="520"/>
      <c r="Z103" s="520"/>
      <c r="AA103" s="520"/>
      <c r="AB103" s="520"/>
      <c r="AC103" s="520"/>
      <c r="AD103" s="520"/>
      <c r="AE103" s="520"/>
    </row>
    <row r="104" spans="2:31" s="204" customFormat="1" x14ac:dyDescent="0.25">
      <c r="B104" s="273" t="s">
        <v>277</v>
      </c>
      <c r="C104" s="273" t="s">
        <v>278</v>
      </c>
      <c r="D104" s="274" t="s">
        <v>3065</v>
      </c>
      <c r="E104" s="264"/>
      <c r="F104" s="274"/>
      <c r="G104" s="283"/>
      <c r="H104" s="266"/>
      <c r="I104" s="281"/>
      <c r="J104" s="281"/>
      <c r="K104" s="281"/>
      <c r="L104" s="282" t="s">
        <v>3066</v>
      </c>
      <c r="M104" s="284" t="s">
        <v>2962</v>
      </c>
      <c r="N104" s="269">
        <f t="shared" si="6"/>
        <v>0</v>
      </c>
      <c r="O104" s="270">
        <f t="shared" si="7"/>
        <v>0</v>
      </c>
      <c r="P104" s="271">
        <f t="shared" si="8"/>
        <v>0</v>
      </c>
      <c r="Q104" s="520"/>
      <c r="R104" s="354">
        <f>IF(ISERROR(VLOOKUP("SOC"&amp;$C104,ESTR_PREC_SP!$A$2:$G$2000,4,FALSE))=TRUE,0,VLOOKUP("SOC"&amp;$C104,ESTR_PREC_SP!$A$2:$G$2000,4,FALSE))</f>
        <v>0</v>
      </c>
      <c r="S104" s="521"/>
      <c r="T104" s="521"/>
      <c r="U104" s="521"/>
      <c r="W104" s="520"/>
      <c r="X104" s="520"/>
      <c r="Y104" s="520"/>
      <c r="Z104" s="520"/>
      <c r="AA104" s="520"/>
      <c r="AB104" s="520"/>
      <c r="AC104" s="520"/>
      <c r="AD104" s="520"/>
      <c r="AE104" s="520"/>
    </row>
    <row r="105" spans="2:31" s="204" customFormat="1" x14ac:dyDescent="0.25">
      <c r="B105" s="273" t="s">
        <v>280</v>
      </c>
      <c r="C105" s="273" t="s">
        <v>281</v>
      </c>
      <c r="D105" s="274" t="s">
        <v>3067</v>
      </c>
      <c r="E105" s="264"/>
      <c r="F105" s="274"/>
      <c r="G105" s="283"/>
      <c r="H105" s="266"/>
      <c r="I105" s="281"/>
      <c r="J105" s="281"/>
      <c r="K105" s="281"/>
      <c r="L105" s="282" t="s">
        <v>3068</v>
      </c>
      <c r="M105" s="284" t="s">
        <v>2962</v>
      </c>
      <c r="N105" s="269">
        <f t="shared" si="6"/>
        <v>0</v>
      </c>
      <c r="O105" s="270">
        <f t="shared" si="7"/>
        <v>0</v>
      </c>
      <c r="P105" s="271">
        <f t="shared" si="8"/>
        <v>0</v>
      </c>
      <c r="Q105" s="520"/>
      <c r="R105" s="354">
        <f>IF(ISERROR(VLOOKUP("SOC"&amp;$C105,ESTR_PREC_SP!$A$2:$G$2000,4,FALSE))=TRUE,0,VLOOKUP("SOC"&amp;$C105,ESTR_PREC_SP!$A$2:$G$2000,4,FALSE))</f>
        <v>0</v>
      </c>
      <c r="S105" s="521"/>
      <c r="T105" s="521"/>
      <c r="U105" s="521"/>
      <c r="W105" s="520"/>
      <c r="X105" s="520"/>
      <c r="Y105" s="520"/>
      <c r="Z105" s="520"/>
      <c r="AA105" s="520"/>
      <c r="AB105" s="520"/>
      <c r="AC105" s="520"/>
      <c r="AD105" s="520"/>
      <c r="AE105" s="520"/>
    </row>
    <row r="106" spans="2:31" s="204" customFormat="1" x14ac:dyDescent="0.25">
      <c r="B106" s="273" t="s">
        <v>283</v>
      </c>
      <c r="C106" s="273" t="s">
        <v>284</v>
      </c>
      <c r="D106" s="274" t="s">
        <v>3069</v>
      </c>
      <c r="E106" s="264"/>
      <c r="F106" s="274"/>
      <c r="G106" s="283"/>
      <c r="H106" s="266"/>
      <c r="I106" s="281"/>
      <c r="J106" s="281"/>
      <c r="K106" s="281"/>
      <c r="L106" s="282" t="s">
        <v>3070</v>
      </c>
      <c r="M106" s="284" t="s">
        <v>2962</v>
      </c>
      <c r="N106" s="269">
        <f t="shared" si="6"/>
        <v>0</v>
      </c>
      <c r="O106" s="270">
        <f t="shared" si="7"/>
        <v>0</v>
      </c>
      <c r="P106" s="271">
        <f t="shared" si="8"/>
        <v>0</v>
      </c>
      <c r="Q106" s="520"/>
      <c r="R106" s="354">
        <f>IF(ISERROR(VLOOKUP("SOC"&amp;$C106,ESTR_PREC_SP!$A$2:$G$2000,4,FALSE))=TRUE,0,VLOOKUP("SOC"&amp;$C106,ESTR_PREC_SP!$A$2:$G$2000,4,FALSE))</f>
        <v>0</v>
      </c>
      <c r="S106" s="521"/>
      <c r="T106" s="521"/>
      <c r="U106" s="521"/>
      <c r="W106" s="520"/>
      <c r="X106" s="520"/>
      <c r="Y106" s="520"/>
      <c r="Z106" s="520"/>
      <c r="AA106" s="520"/>
      <c r="AB106" s="520"/>
      <c r="AC106" s="520"/>
      <c r="AD106" s="520"/>
      <c r="AE106" s="520"/>
    </row>
    <row r="107" spans="2:31" s="204" customFormat="1" x14ac:dyDescent="0.25">
      <c r="B107" s="298"/>
      <c r="C107" s="298"/>
      <c r="D107" s="226"/>
      <c r="E107" s="226"/>
      <c r="F107" s="226"/>
      <c r="G107" s="226"/>
      <c r="H107" s="227"/>
      <c r="I107" s="226"/>
      <c r="J107" s="226"/>
      <c r="K107" s="226"/>
      <c r="L107" s="241"/>
      <c r="M107" s="278"/>
      <c r="N107" s="279"/>
      <c r="O107" s="279"/>
      <c r="P107" s="297"/>
      <c r="Q107" s="211"/>
      <c r="R107" s="279"/>
      <c r="S107" s="279"/>
      <c r="T107" s="279"/>
      <c r="U107" s="279"/>
      <c r="V107" s="279"/>
      <c r="W107" s="279"/>
      <c r="X107" s="279"/>
      <c r="Y107" s="279"/>
      <c r="Z107" s="279"/>
      <c r="AA107" s="211"/>
    </row>
    <row r="108" spans="2:31" s="204" customFormat="1" x14ac:dyDescent="0.25">
      <c r="B108" s="292" t="s">
        <v>286</v>
      </c>
      <c r="C108" s="292" t="s">
        <v>287</v>
      </c>
      <c r="D108" s="247" t="s">
        <v>3071</v>
      </c>
      <c r="E108" s="247"/>
      <c r="F108" s="247"/>
      <c r="G108" s="247"/>
      <c r="H108" s="248"/>
      <c r="I108" s="247"/>
      <c r="J108" s="247"/>
      <c r="K108" s="249"/>
      <c r="L108" s="276" t="s">
        <v>290</v>
      </c>
      <c r="M108" s="251" t="s">
        <v>2962</v>
      </c>
      <c r="N108" s="252">
        <f>SUM(N111:N116)</f>
        <v>0</v>
      </c>
      <c r="O108" s="252">
        <f>SUM(O111:O116)</f>
        <v>0</v>
      </c>
      <c r="P108" s="259">
        <f>+O108-N108</f>
        <v>0</v>
      </c>
      <c r="Q108" s="252">
        <f>SUM(Q111:Q116)</f>
        <v>0</v>
      </c>
      <c r="R108" s="252">
        <f>SUM(R111:R116)</f>
        <v>0</v>
      </c>
      <c r="S108" s="252">
        <f>SUM(S111:S116)</f>
        <v>0</v>
      </c>
      <c r="V108" s="211"/>
      <c r="W108" s="252">
        <f>SUM(W111:W116)</f>
        <v>0</v>
      </c>
      <c r="X108" s="252">
        <f>SUM(X111:X116)</f>
        <v>0</v>
      </c>
      <c r="Y108" s="252">
        <f>SUM(Y111:Y116)</f>
        <v>0</v>
      </c>
      <c r="Z108" s="252">
        <f>SUM(Z111:Z116)</f>
        <v>0</v>
      </c>
      <c r="AA108" s="211"/>
    </row>
    <row r="109" spans="2:31" s="204" customFormat="1" x14ac:dyDescent="0.25">
      <c r="B109" s="293"/>
      <c r="C109" s="293"/>
      <c r="D109" s="230"/>
      <c r="E109" s="230"/>
      <c r="F109" s="230"/>
      <c r="G109" s="230"/>
      <c r="H109" s="231"/>
      <c r="I109" s="230"/>
      <c r="J109" s="230"/>
      <c r="K109" s="230"/>
      <c r="L109" s="299"/>
      <c r="M109" s="211"/>
      <c r="N109" s="254"/>
      <c r="O109" s="211"/>
      <c r="P109" s="211"/>
      <c r="Q109" s="211"/>
      <c r="V109" s="211"/>
      <c r="W109" s="211"/>
      <c r="X109" s="211"/>
      <c r="Y109" s="211"/>
      <c r="Z109" s="211"/>
      <c r="AA109" s="211"/>
    </row>
    <row r="110" spans="2:31" s="204" customFormat="1" ht="89.25" x14ac:dyDescent="0.25">
      <c r="B110" s="294" t="s">
        <v>2968</v>
      </c>
      <c r="C110" s="294" t="s">
        <v>2969</v>
      </c>
      <c r="D110" s="206" t="s">
        <v>72</v>
      </c>
      <c r="E110" s="206"/>
      <c r="F110" s="206"/>
      <c r="G110" s="207"/>
      <c r="H110" s="207"/>
      <c r="I110" s="207"/>
      <c r="J110" s="207" t="s">
        <v>2957</v>
      </c>
      <c r="K110" s="206" t="s">
        <v>82</v>
      </c>
      <c r="L110" s="261" t="s">
        <v>2970</v>
      </c>
      <c r="M110" s="280"/>
      <c r="N110" s="256" t="str">
        <f>N$15</f>
        <v>Valore netto al 31/12/2019</v>
      </c>
      <c r="O110" s="256" t="str">
        <f>O$15</f>
        <v>Valore netto al 31/12/2020</v>
      </c>
      <c r="P110" s="256" t="str">
        <f>P$15</f>
        <v>Variazione</v>
      </c>
      <c r="Q110" s="262" t="s">
        <v>2971</v>
      </c>
      <c r="R110" s="262" t="str">
        <f>"Fondo ammortamento 31/12/"&amp;Info!$B$3-1</f>
        <v>Fondo ammortamento 31/12/2019</v>
      </c>
      <c r="S110" s="262" t="s">
        <v>2972</v>
      </c>
      <c r="V110" s="211"/>
      <c r="W110" s="262" t="s">
        <v>4391</v>
      </c>
      <c r="X110" s="262" t="s">
        <v>2976</v>
      </c>
      <c r="Y110" s="262" t="s">
        <v>2989</v>
      </c>
      <c r="Z110" s="262" t="s">
        <v>2990</v>
      </c>
      <c r="AA110" s="211"/>
    </row>
    <row r="111" spans="2:31" s="204" customFormat="1" x14ac:dyDescent="0.25">
      <c r="B111" s="273" t="s">
        <v>291</v>
      </c>
      <c r="C111" s="273" t="s">
        <v>292</v>
      </c>
      <c r="D111" s="264" t="s">
        <v>3072</v>
      </c>
      <c r="E111" s="264"/>
      <c r="F111" s="264"/>
      <c r="G111" s="265"/>
      <c r="H111" s="266"/>
      <c r="I111" s="281"/>
      <c r="J111" s="281"/>
      <c r="K111" s="281"/>
      <c r="L111" s="282" t="s">
        <v>3073</v>
      </c>
      <c r="M111" s="263" t="s">
        <v>2962</v>
      </c>
      <c r="N111" s="269">
        <f t="shared" ref="N111:N116" si="9">+R111</f>
        <v>0</v>
      </c>
      <c r="O111" s="270">
        <f t="shared" ref="O111:O116" si="10">+R111+S111+X111-ABS(Y111)+ABS(Z111)+W111+Q111</f>
        <v>0</v>
      </c>
      <c r="P111" s="271">
        <f t="shared" ref="P111:P116" si="11">+O111-N111</f>
        <v>0</v>
      </c>
      <c r="Q111" s="520"/>
      <c r="R111" s="354">
        <f>IF(ISERROR(VLOOKUP("SOC"&amp;$C111,ESTR_PREC_SP!$A$2:$G$2000,4,FALSE))=TRUE,0,VLOOKUP("SOC"&amp;$C111,ESTR_PREC_SP!$A$2:$G$2000,4,FALSE))</f>
        <v>0</v>
      </c>
      <c r="S111" s="521"/>
      <c r="V111" s="211"/>
      <c r="W111" s="520"/>
      <c r="X111" s="520"/>
      <c r="Y111" s="520"/>
      <c r="Z111" s="520"/>
      <c r="AA111" s="211"/>
    </row>
    <row r="112" spans="2:31" s="204" customFormat="1" x14ac:dyDescent="0.25">
      <c r="B112" s="273" t="s">
        <v>294</v>
      </c>
      <c r="C112" s="273" t="s">
        <v>295</v>
      </c>
      <c r="D112" s="264" t="s">
        <v>3074</v>
      </c>
      <c r="E112" s="264"/>
      <c r="F112" s="264"/>
      <c r="G112" s="265"/>
      <c r="H112" s="266"/>
      <c r="I112" s="281"/>
      <c r="J112" s="281"/>
      <c r="K112" s="281"/>
      <c r="L112" s="282" t="s">
        <v>3075</v>
      </c>
      <c r="M112" s="263" t="s">
        <v>2962</v>
      </c>
      <c r="N112" s="269">
        <f t="shared" si="9"/>
        <v>0</v>
      </c>
      <c r="O112" s="270">
        <f t="shared" si="10"/>
        <v>0</v>
      </c>
      <c r="P112" s="271">
        <f t="shared" si="11"/>
        <v>0</v>
      </c>
      <c r="Q112" s="520"/>
      <c r="R112" s="354">
        <f>IF(ISERROR(VLOOKUP("SOC"&amp;$C112,ESTR_PREC_SP!$A$2:$G$2000,4,FALSE))=TRUE,0,VLOOKUP("SOC"&amp;$C112,ESTR_PREC_SP!$A$2:$G$2000,4,FALSE))</f>
        <v>0</v>
      </c>
      <c r="S112" s="521"/>
      <c r="V112" s="211"/>
      <c r="W112" s="520"/>
      <c r="X112" s="520"/>
      <c r="Y112" s="520"/>
      <c r="Z112" s="520"/>
      <c r="AA112" s="211"/>
    </row>
    <row r="113" spans="2:31" s="204" customFormat="1" x14ac:dyDescent="0.25">
      <c r="B113" s="273" t="s">
        <v>297</v>
      </c>
      <c r="C113" s="273" t="s">
        <v>298</v>
      </c>
      <c r="D113" s="264" t="s">
        <v>3076</v>
      </c>
      <c r="E113" s="264"/>
      <c r="F113" s="274"/>
      <c r="G113" s="283"/>
      <c r="H113" s="266"/>
      <c r="I113" s="281"/>
      <c r="J113" s="281"/>
      <c r="K113" s="281"/>
      <c r="L113" s="282" t="s">
        <v>3077</v>
      </c>
      <c r="M113" s="284" t="s">
        <v>2962</v>
      </c>
      <c r="N113" s="269">
        <f t="shared" si="9"/>
        <v>0</v>
      </c>
      <c r="O113" s="270">
        <f t="shared" si="10"/>
        <v>0</v>
      </c>
      <c r="P113" s="271">
        <f t="shared" si="11"/>
        <v>0</v>
      </c>
      <c r="Q113" s="520"/>
      <c r="R113" s="354">
        <f>IF(ISERROR(VLOOKUP("SOC"&amp;$C113,ESTR_PREC_SP!$A$2:$G$2000,4,FALSE))=TRUE,0,VLOOKUP("SOC"&amp;$C113,ESTR_PREC_SP!$A$2:$G$2000,4,FALSE))</f>
        <v>0</v>
      </c>
      <c r="S113" s="521"/>
      <c r="V113" s="211"/>
      <c r="W113" s="520"/>
      <c r="X113" s="520"/>
      <c r="Y113" s="520"/>
      <c r="Z113" s="520"/>
      <c r="AA113" s="211"/>
    </row>
    <row r="114" spans="2:31" s="204" customFormat="1" x14ac:dyDescent="0.25">
      <c r="B114" s="273" t="s">
        <v>300</v>
      </c>
      <c r="C114" s="273" t="s">
        <v>301</v>
      </c>
      <c r="D114" s="264" t="s">
        <v>3078</v>
      </c>
      <c r="E114" s="264"/>
      <c r="F114" s="274"/>
      <c r="G114" s="283"/>
      <c r="H114" s="266"/>
      <c r="I114" s="281"/>
      <c r="J114" s="281"/>
      <c r="K114" s="281"/>
      <c r="L114" s="282" t="s">
        <v>3079</v>
      </c>
      <c r="M114" s="284" t="s">
        <v>2962</v>
      </c>
      <c r="N114" s="269">
        <f t="shared" si="9"/>
        <v>0</v>
      </c>
      <c r="O114" s="270">
        <f t="shared" si="10"/>
        <v>0</v>
      </c>
      <c r="P114" s="271">
        <f t="shared" si="11"/>
        <v>0</v>
      </c>
      <c r="Q114" s="520"/>
      <c r="R114" s="354">
        <f>IF(ISERROR(VLOOKUP("SOC"&amp;$C114,ESTR_PREC_SP!$A$2:$G$2000,4,FALSE))=TRUE,0,VLOOKUP("SOC"&amp;$C114,ESTR_PREC_SP!$A$2:$G$2000,4,FALSE))</f>
        <v>0</v>
      </c>
      <c r="S114" s="521"/>
      <c r="V114" s="211"/>
      <c r="W114" s="520"/>
      <c r="X114" s="520"/>
      <c r="Y114" s="520"/>
      <c r="Z114" s="520"/>
      <c r="AA114" s="211"/>
    </row>
    <row r="115" spans="2:31" s="204" customFormat="1" x14ac:dyDescent="0.25">
      <c r="B115" s="273" t="s">
        <v>303</v>
      </c>
      <c r="C115" s="273" t="s">
        <v>304</v>
      </c>
      <c r="D115" s="264" t="s">
        <v>3080</v>
      </c>
      <c r="E115" s="264"/>
      <c r="F115" s="274"/>
      <c r="G115" s="283"/>
      <c r="H115" s="266"/>
      <c r="I115" s="281"/>
      <c r="J115" s="281"/>
      <c r="K115" s="281"/>
      <c r="L115" s="282" t="s">
        <v>3081</v>
      </c>
      <c r="M115" s="284" t="s">
        <v>2962</v>
      </c>
      <c r="N115" s="269">
        <f t="shared" si="9"/>
        <v>0</v>
      </c>
      <c r="O115" s="270">
        <f t="shared" si="10"/>
        <v>0</v>
      </c>
      <c r="P115" s="271">
        <f t="shared" si="11"/>
        <v>0</v>
      </c>
      <c r="Q115" s="520"/>
      <c r="R115" s="354">
        <f>IF(ISERROR(VLOOKUP("SOC"&amp;$C115,ESTR_PREC_SP!$A$2:$G$2000,4,FALSE))=TRUE,0,VLOOKUP("SOC"&amp;$C115,ESTR_PREC_SP!$A$2:$G$2000,4,FALSE))</f>
        <v>0</v>
      </c>
      <c r="S115" s="521"/>
      <c r="V115" s="211"/>
      <c r="W115" s="520"/>
      <c r="X115" s="520"/>
      <c r="Y115" s="520"/>
      <c r="Z115" s="520"/>
      <c r="AA115" s="211"/>
    </row>
    <row r="116" spans="2:31" s="204" customFormat="1" x14ac:dyDescent="0.25">
      <c r="B116" s="273" t="s">
        <v>306</v>
      </c>
      <c r="C116" s="273" t="s">
        <v>307</v>
      </c>
      <c r="D116" s="264" t="s">
        <v>3082</v>
      </c>
      <c r="E116" s="264"/>
      <c r="F116" s="274"/>
      <c r="G116" s="283"/>
      <c r="H116" s="266"/>
      <c r="I116" s="281"/>
      <c r="J116" s="281"/>
      <c r="K116" s="281"/>
      <c r="L116" s="282" t="s">
        <v>3083</v>
      </c>
      <c r="M116" s="284" t="s">
        <v>2962</v>
      </c>
      <c r="N116" s="269">
        <f t="shared" si="9"/>
        <v>0</v>
      </c>
      <c r="O116" s="270">
        <f t="shared" si="10"/>
        <v>0</v>
      </c>
      <c r="P116" s="271">
        <f t="shared" si="11"/>
        <v>0</v>
      </c>
      <c r="Q116" s="520"/>
      <c r="R116" s="354">
        <f>IF(ISERROR(VLOOKUP("SOC"&amp;$C116,ESTR_PREC_SP!$A$2:$G$2000,4,FALSE))=TRUE,0,VLOOKUP("SOC"&amp;$C116,ESTR_PREC_SP!$A$2:$G$2000,4,FALSE))</f>
        <v>0</v>
      </c>
      <c r="S116" s="521"/>
      <c r="V116" s="211"/>
      <c r="W116" s="520"/>
      <c r="X116" s="520"/>
      <c r="Y116" s="520"/>
      <c r="Z116" s="520"/>
      <c r="AA116" s="211"/>
    </row>
    <row r="117" spans="2:31" s="204" customFormat="1" x14ac:dyDescent="0.25">
      <c r="B117" s="298"/>
      <c r="C117" s="298"/>
      <c r="D117" s="300"/>
      <c r="E117" s="226"/>
      <c r="F117" s="226"/>
      <c r="G117" s="226"/>
      <c r="H117" s="227"/>
      <c r="I117" s="226"/>
      <c r="J117" s="226"/>
      <c r="K117" s="226"/>
      <c r="L117" s="241"/>
      <c r="M117" s="278"/>
      <c r="N117" s="279"/>
      <c r="O117" s="279"/>
      <c r="P117" s="297"/>
      <c r="Q117" s="211"/>
      <c r="R117" s="279"/>
      <c r="S117" s="279"/>
      <c r="T117" s="279"/>
      <c r="U117" s="279"/>
      <c r="V117" s="279"/>
      <c r="W117" s="279"/>
      <c r="X117" s="279"/>
      <c r="Y117" s="279"/>
      <c r="Z117" s="279"/>
      <c r="AA117" s="211"/>
    </row>
    <row r="118" spans="2:31" s="204" customFormat="1" x14ac:dyDescent="0.25">
      <c r="B118" s="292" t="s">
        <v>309</v>
      </c>
      <c r="C118" s="292" t="s">
        <v>310</v>
      </c>
      <c r="D118" s="301" t="s">
        <v>3084</v>
      </c>
      <c r="E118" s="247"/>
      <c r="F118" s="247"/>
      <c r="G118" s="247"/>
      <c r="H118" s="248"/>
      <c r="I118" s="247"/>
      <c r="J118" s="247"/>
      <c r="K118" s="249"/>
      <c r="L118" s="258" t="s">
        <v>312</v>
      </c>
      <c r="M118" s="251" t="s">
        <v>2962</v>
      </c>
      <c r="N118" s="252">
        <f>SUM(N121:N122)</f>
        <v>0</v>
      </c>
      <c r="O118" s="252">
        <f>SUM(O121:O122)</f>
        <v>0</v>
      </c>
      <c r="P118" s="259">
        <f>+O118-N118</f>
        <v>0</v>
      </c>
      <c r="Q118" s="252">
        <f>SUM(Q121:Q122)</f>
        <v>0</v>
      </c>
      <c r="R118" s="252">
        <f>SUM(R121:R122)</f>
        <v>0</v>
      </c>
      <c r="S118" s="252">
        <f>SUM(T121:T122)</f>
        <v>0</v>
      </c>
      <c r="T118" s="252">
        <f>SUM(T121:T122)</f>
        <v>0</v>
      </c>
      <c r="U118" s="252">
        <f>SUM(U121:U122)</f>
        <v>0</v>
      </c>
      <c r="V118" s="216"/>
      <c r="W118" s="252">
        <f t="shared" ref="W118:AE118" si="12">SUM(W121:W122)</f>
        <v>0</v>
      </c>
      <c r="X118" s="252">
        <f t="shared" si="12"/>
        <v>0</v>
      </c>
      <c r="Y118" s="252">
        <f t="shared" si="12"/>
        <v>0</v>
      </c>
      <c r="Z118" s="252">
        <f t="shared" si="12"/>
        <v>0</v>
      </c>
      <c r="AA118" s="252">
        <f t="shared" si="12"/>
        <v>0</v>
      </c>
      <c r="AB118" s="252">
        <f t="shared" si="12"/>
        <v>0</v>
      </c>
      <c r="AC118" s="252">
        <f t="shared" si="12"/>
        <v>0</v>
      </c>
      <c r="AD118" s="252">
        <f t="shared" si="12"/>
        <v>0</v>
      </c>
      <c r="AE118" s="252">
        <f t="shared" si="12"/>
        <v>0</v>
      </c>
    </row>
    <row r="119" spans="2:31" s="204" customFormat="1" x14ac:dyDescent="0.25">
      <c r="B119" s="293"/>
      <c r="C119" s="293"/>
      <c r="D119" s="230"/>
      <c r="E119" s="230"/>
      <c r="F119" s="230"/>
      <c r="G119" s="230"/>
      <c r="H119" s="231"/>
      <c r="I119" s="230"/>
      <c r="J119" s="230"/>
      <c r="K119" s="230"/>
      <c r="L119" s="232"/>
      <c r="M119" s="211"/>
      <c r="N119" s="254"/>
      <c r="O119" s="211"/>
      <c r="P119" s="211"/>
      <c r="Q119" s="211"/>
      <c r="R119" s="216"/>
      <c r="T119" s="216"/>
      <c r="U119" s="216"/>
      <c r="V119" s="216"/>
      <c r="W119" s="211"/>
      <c r="X119" s="211"/>
      <c r="Y119" s="211"/>
      <c r="Z119" s="211"/>
      <c r="AA119" s="211"/>
    </row>
    <row r="120" spans="2:31" s="204" customFormat="1" ht="89.25" x14ac:dyDescent="0.25">
      <c r="B120" s="294" t="s">
        <v>2968</v>
      </c>
      <c r="C120" s="294" t="s">
        <v>2969</v>
      </c>
      <c r="D120" s="206" t="s">
        <v>72</v>
      </c>
      <c r="E120" s="206"/>
      <c r="F120" s="206"/>
      <c r="G120" s="207"/>
      <c r="H120" s="207"/>
      <c r="I120" s="207"/>
      <c r="J120" s="207" t="s">
        <v>2957</v>
      </c>
      <c r="K120" s="206" t="s">
        <v>82</v>
      </c>
      <c r="L120" s="261" t="s">
        <v>2970</v>
      </c>
      <c r="M120" s="260"/>
      <c r="N120" s="256" t="str">
        <f>N$15</f>
        <v>Valore netto al 31/12/2019</v>
      </c>
      <c r="O120" s="256" t="str">
        <f>O$15</f>
        <v>Valore netto al 31/12/2020</v>
      </c>
      <c r="P120" s="256" t="str">
        <f>P$15</f>
        <v>Variazione</v>
      </c>
      <c r="Q120" s="262" t="s">
        <v>2971</v>
      </c>
      <c r="R120" s="262" t="str">
        <f>"Costo storico al 31/12/"&amp;Info!$B$3-1</f>
        <v>Costo storico al 31/12/2019</v>
      </c>
      <c r="S120" s="262" t="s">
        <v>2972</v>
      </c>
      <c r="T120" s="262" t="s">
        <v>2973</v>
      </c>
      <c r="U120" s="262" t="s">
        <v>2974</v>
      </c>
      <c r="W120" s="262" t="s">
        <v>4391</v>
      </c>
      <c r="X120" s="262" t="s">
        <v>2976</v>
      </c>
      <c r="Y120" s="262" t="s">
        <v>2977</v>
      </c>
      <c r="Z120" s="262" t="s">
        <v>2978</v>
      </c>
      <c r="AA120" s="262" t="s">
        <v>2979</v>
      </c>
      <c r="AB120" s="262" t="s">
        <v>2980</v>
      </c>
      <c r="AC120" s="262" t="s">
        <v>2981</v>
      </c>
      <c r="AD120" s="262" t="s">
        <v>2982</v>
      </c>
      <c r="AE120" s="262" t="s">
        <v>2983</v>
      </c>
    </row>
    <row r="121" spans="2:31" s="204" customFormat="1" x14ac:dyDescent="0.25">
      <c r="B121" s="273" t="s">
        <v>313</v>
      </c>
      <c r="C121" s="273" t="s">
        <v>314</v>
      </c>
      <c r="D121" s="264" t="s">
        <v>3085</v>
      </c>
      <c r="E121" s="264"/>
      <c r="F121" s="264"/>
      <c r="G121" s="265"/>
      <c r="H121" s="266"/>
      <c r="I121" s="267"/>
      <c r="J121" s="267"/>
      <c r="K121" s="267"/>
      <c r="L121" s="268" t="s">
        <v>3086</v>
      </c>
      <c r="M121" s="263" t="s">
        <v>2962</v>
      </c>
      <c r="N121" s="269">
        <f>+R121+T121-U121</f>
        <v>0</v>
      </c>
      <c r="O121" s="270">
        <f>+N121+S121+X121+ABS(Y121)-ABS(AA121)+ABS(Z121)+ABS(AB121)+ABS(AD121)-ABS(AE121)+AC121+W121+Q121</f>
        <v>0</v>
      </c>
      <c r="P121" s="271">
        <f>+O121-N121</f>
        <v>0</v>
      </c>
      <c r="Q121" s="520"/>
      <c r="R121" s="354">
        <f>IF(ISERROR(VLOOKUP("SOC"&amp;$C121,ESTR_PREC_SP!$A$2:$G$2000,4,FALSE))=TRUE,0,VLOOKUP("SOC"&amp;$C121,ESTR_PREC_SP!$A$2:$G$2000,4,FALSE))</f>
        <v>0</v>
      </c>
      <c r="S121" s="521"/>
      <c r="T121" s="521"/>
      <c r="U121" s="521"/>
      <c r="W121" s="520"/>
      <c r="X121" s="520"/>
      <c r="Y121" s="520"/>
      <c r="Z121" s="520"/>
      <c r="AA121" s="520"/>
      <c r="AB121" s="520"/>
      <c r="AC121" s="520"/>
      <c r="AD121" s="520"/>
      <c r="AE121" s="520"/>
    </row>
    <row r="122" spans="2:31" s="204" customFormat="1" x14ac:dyDescent="0.25">
      <c r="B122" s="273" t="s">
        <v>316</v>
      </c>
      <c r="C122" s="273" t="s">
        <v>317</v>
      </c>
      <c r="D122" s="264" t="s">
        <v>3087</v>
      </c>
      <c r="E122" s="264"/>
      <c r="F122" s="264"/>
      <c r="G122" s="265"/>
      <c r="H122" s="266"/>
      <c r="I122" s="267"/>
      <c r="J122" s="267"/>
      <c r="K122" s="267"/>
      <c r="L122" s="268" t="s">
        <v>3088</v>
      </c>
      <c r="M122" s="263" t="s">
        <v>2962</v>
      </c>
      <c r="N122" s="269">
        <f>+R122+T122-U122</f>
        <v>0</v>
      </c>
      <c r="O122" s="270">
        <f>+N122+S122+X122+ABS(Y122)-ABS(AA122)+ABS(Z122)+ABS(AB122)+ABS(AD122)-ABS(AE122)+AC122+W122+Q122</f>
        <v>0</v>
      </c>
      <c r="P122" s="271">
        <f>+O122-N122</f>
        <v>0</v>
      </c>
      <c r="Q122" s="520"/>
      <c r="R122" s="354">
        <f>IF(ISERROR(VLOOKUP("SOC"&amp;$C122,ESTR_PREC_SP!$A$2:$G$2000,4,FALSE))=TRUE,0,VLOOKUP("SOC"&amp;$C122,ESTR_PREC_SP!$A$2:$G$2000,4,FALSE))</f>
        <v>0</v>
      </c>
      <c r="S122" s="521"/>
      <c r="T122" s="521"/>
      <c r="U122" s="521"/>
      <c r="W122" s="520"/>
      <c r="X122" s="520"/>
      <c r="Y122" s="520"/>
      <c r="Z122" s="520"/>
      <c r="AA122" s="520"/>
      <c r="AB122" s="520"/>
      <c r="AC122" s="520"/>
      <c r="AD122" s="520"/>
      <c r="AE122" s="520"/>
    </row>
    <row r="123" spans="2:31" s="204" customFormat="1" x14ac:dyDescent="0.25">
      <c r="B123" s="293"/>
      <c r="C123" s="293"/>
      <c r="D123" s="300"/>
      <c r="E123" s="230"/>
      <c r="F123" s="230"/>
      <c r="G123" s="230"/>
      <c r="H123" s="231"/>
      <c r="I123" s="230"/>
      <c r="J123" s="230"/>
      <c r="K123" s="230"/>
      <c r="L123" s="275"/>
      <c r="M123" s="211"/>
      <c r="N123" s="254"/>
      <c r="O123" s="211"/>
      <c r="P123" s="211"/>
      <c r="Q123" s="211"/>
      <c r="R123" s="211"/>
      <c r="S123" s="216"/>
      <c r="T123" s="216"/>
      <c r="U123" s="216"/>
      <c r="V123" s="216"/>
      <c r="W123" s="211"/>
      <c r="X123" s="211"/>
      <c r="Y123" s="211"/>
      <c r="Z123" s="211"/>
      <c r="AA123" s="211"/>
    </row>
    <row r="124" spans="2:31" s="204" customFormat="1" x14ac:dyDescent="0.25">
      <c r="B124" s="292" t="s">
        <v>319</v>
      </c>
      <c r="C124" s="292" t="s">
        <v>320</v>
      </c>
      <c r="D124" s="301" t="s">
        <v>3089</v>
      </c>
      <c r="E124" s="247"/>
      <c r="F124" s="247"/>
      <c r="G124" s="247"/>
      <c r="H124" s="248"/>
      <c r="I124" s="247"/>
      <c r="J124" s="247"/>
      <c r="K124" s="249"/>
      <c r="L124" s="276" t="s">
        <v>322</v>
      </c>
      <c r="M124" s="251" t="s">
        <v>2962</v>
      </c>
      <c r="N124" s="252">
        <f>SUM(N127:N128)</f>
        <v>0</v>
      </c>
      <c r="O124" s="252">
        <f>SUM(O127:O128)</f>
        <v>0</v>
      </c>
      <c r="P124" s="259">
        <f>+O124-N124</f>
        <v>0</v>
      </c>
      <c r="Q124" s="252">
        <f>SUM(Q127:Q128)</f>
        <v>0</v>
      </c>
      <c r="R124" s="252">
        <f>SUM(R127:R128)</f>
        <v>0</v>
      </c>
      <c r="S124" s="252">
        <f>SUM(S127:S128)</f>
        <v>0</v>
      </c>
      <c r="V124" s="211"/>
      <c r="W124" s="252">
        <f>SUM(W127:W128)</f>
        <v>0</v>
      </c>
      <c r="X124" s="252">
        <f>SUM(X127:X128)</f>
        <v>0</v>
      </c>
      <c r="Y124" s="252">
        <f>SUM(Y127:Y128)</f>
        <v>0</v>
      </c>
      <c r="Z124" s="252">
        <f>SUM(Z127:Z128)</f>
        <v>0</v>
      </c>
      <c r="AA124" s="211"/>
    </row>
    <row r="125" spans="2:31" s="204" customFormat="1" x14ac:dyDescent="0.25">
      <c r="B125" s="293"/>
      <c r="C125" s="293"/>
      <c r="D125" s="230"/>
      <c r="E125" s="230"/>
      <c r="F125" s="230"/>
      <c r="G125" s="230"/>
      <c r="H125" s="231"/>
      <c r="I125" s="230"/>
      <c r="J125" s="230"/>
      <c r="K125" s="230"/>
      <c r="L125" s="232"/>
      <c r="M125" s="211"/>
      <c r="N125" s="211"/>
      <c r="O125" s="211"/>
      <c r="P125" s="211"/>
      <c r="Q125" s="211"/>
      <c r="V125" s="211"/>
      <c r="W125" s="211"/>
      <c r="X125" s="211"/>
      <c r="Y125" s="211"/>
      <c r="Z125" s="211"/>
      <c r="AA125" s="211"/>
    </row>
    <row r="126" spans="2:31" s="204" customFormat="1" ht="89.25" x14ac:dyDescent="0.25">
      <c r="B126" s="294" t="s">
        <v>2968</v>
      </c>
      <c r="C126" s="294" t="s">
        <v>2969</v>
      </c>
      <c r="D126" s="206" t="s">
        <v>72</v>
      </c>
      <c r="E126" s="206"/>
      <c r="F126" s="206"/>
      <c r="G126" s="207"/>
      <c r="H126" s="207"/>
      <c r="I126" s="207"/>
      <c r="J126" s="207" t="s">
        <v>2957</v>
      </c>
      <c r="K126" s="206" t="s">
        <v>82</v>
      </c>
      <c r="L126" s="261" t="s">
        <v>2970</v>
      </c>
      <c r="M126" s="260"/>
      <c r="N126" s="256" t="str">
        <f>N$15</f>
        <v>Valore netto al 31/12/2019</v>
      </c>
      <c r="O126" s="256" t="str">
        <f>O$15</f>
        <v>Valore netto al 31/12/2020</v>
      </c>
      <c r="P126" s="256" t="str">
        <f>P$15</f>
        <v>Variazione</v>
      </c>
      <c r="Q126" s="262" t="s">
        <v>2971</v>
      </c>
      <c r="R126" s="262" t="str">
        <f>"Fondo ammortamento 31/12/"&amp;Info!$B$3-1</f>
        <v>Fondo ammortamento 31/12/2019</v>
      </c>
      <c r="S126" s="262" t="s">
        <v>2972</v>
      </c>
      <c r="V126" s="211"/>
      <c r="W126" s="262" t="s">
        <v>4391</v>
      </c>
      <c r="X126" s="262" t="s">
        <v>2976</v>
      </c>
      <c r="Y126" s="262" t="s">
        <v>2989</v>
      </c>
      <c r="Z126" s="262" t="s">
        <v>2990</v>
      </c>
      <c r="AA126" s="211"/>
    </row>
    <row r="127" spans="2:31" s="204" customFormat="1" x14ac:dyDescent="0.25">
      <c r="B127" s="273" t="s">
        <v>323</v>
      </c>
      <c r="C127" s="273" t="s">
        <v>324</v>
      </c>
      <c r="D127" s="264" t="s">
        <v>3090</v>
      </c>
      <c r="E127" s="264"/>
      <c r="F127" s="264"/>
      <c r="G127" s="265"/>
      <c r="H127" s="266"/>
      <c r="I127" s="267"/>
      <c r="J127" s="267"/>
      <c r="K127" s="267"/>
      <c r="L127" s="268" t="s">
        <v>3091</v>
      </c>
      <c r="M127" s="263" t="s">
        <v>2962</v>
      </c>
      <c r="N127" s="269">
        <f>+R127</f>
        <v>0</v>
      </c>
      <c r="O127" s="270">
        <f>+R127+S127+X127-ABS(Y127)+ABS(Z127)+W127+Q127</f>
        <v>0</v>
      </c>
      <c r="P127" s="271">
        <f>+O127-N127</f>
        <v>0</v>
      </c>
      <c r="Q127" s="520"/>
      <c r="R127" s="354">
        <f>IF(ISERROR(VLOOKUP("SOC"&amp;$C127,ESTR_PREC_SP!$A$2:$G$2000,4,FALSE))=TRUE,0,VLOOKUP("SOC"&amp;$C127,ESTR_PREC_SP!$A$2:$G$2000,4,FALSE))</f>
        <v>0</v>
      </c>
      <c r="S127" s="521"/>
      <c r="V127" s="211"/>
      <c r="W127" s="520"/>
      <c r="X127" s="520"/>
      <c r="Y127" s="520"/>
      <c r="Z127" s="520"/>
      <c r="AA127" s="211"/>
    </row>
    <row r="128" spans="2:31" s="204" customFormat="1" x14ac:dyDescent="0.25">
      <c r="B128" s="273" t="s">
        <v>326</v>
      </c>
      <c r="C128" s="273" t="s">
        <v>327</v>
      </c>
      <c r="D128" s="264" t="s">
        <v>3092</v>
      </c>
      <c r="E128" s="264"/>
      <c r="F128" s="264"/>
      <c r="G128" s="265"/>
      <c r="H128" s="266"/>
      <c r="I128" s="267"/>
      <c r="J128" s="267"/>
      <c r="K128" s="267"/>
      <c r="L128" s="268" t="s">
        <v>3093</v>
      </c>
      <c r="M128" s="263" t="s">
        <v>2962</v>
      </c>
      <c r="N128" s="269">
        <f>+R128</f>
        <v>0</v>
      </c>
      <c r="O128" s="270">
        <f>+R128+S128+X128-ABS(Y128)+ABS(Z128)+W128+Q128</f>
        <v>0</v>
      </c>
      <c r="P128" s="271">
        <f>+O128-N128</f>
        <v>0</v>
      </c>
      <c r="Q128" s="520"/>
      <c r="R128" s="354">
        <f>IF(ISERROR(VLOOKUP("SOC"&amp;$C128,ESTR_PREC_SP!$A$2:$G$2000,4,FALSE))=TRUE,0,VLOOKUP("SOC"&amp;$C128,ESTR_PREC_SP!$A$2:$G$2000,4,FALSE))</f>
        <v>0</v>
      </c>
      <c r="S128" s="521"/>
      <c r="V128" s="211"/>
      <c r="W128" s="520"/>
      <c r="X128" s="520"/>
      <c r="Y128" s="520"/>
      <c r="Z128" s="520"/>
      <c r="AA128" s="211"/>
    </row>
    <row r="129" spans="2:31" s="204" customFormat="1" x14ac:dyDescent="0.25">
      <c r="B129" s="293"/>
      <c r="C129" s="293"/>
      <c r="D129" s="300"/>
      <c r="E129" s="230"/>
      <c r="F129" s="230"/>
      <c r="G129" s="230"/>
      <c r="H129" s="231"/>
      <c r="I129" s="230"/>
      <c r="J129" s="230"/>
      <c r="K129" s="230"/>
      <c r="L129" s="232"/>
      <c r="M129" s="211"/>
      <c r="N129" s="254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2:31" s="204" customFormat="1" x14ac:dyDescent="0.25">
      <c r="B130" s="292" t="s">
        <v>329</v>
      </c>
      <c r="C130" s="292" t="s">
        <v>330</v>
      </c>
      <c r="D130" s="301" t="s">
        <v>3094</v>
      </c>
      <c r="E130" s="247"/>
      <c r="F130" s="247"/>
      <c r="G130" s="247"/>
      <c r="H130" s="248"/>
      <c r="I130" s="247"/>
      <c r="J130" s="247"/>
      <c r="K130" s="249"/>
      <c r="L130" s="258" t="s">
        <v>332</v>
      </c>
      <c r="M130" s="251" t="s">
        <v>2962</v>
      </c>
      <c r="N130" s="252">
        <f>SUM(N133:N134)</f>
        <v>0</v>
      </c>
      <c r="O130" s="252">
        <f>SUM(O133:O134)</f>
        <v>0</v>
      </c>
      <c r="P130" s="259">
        <f>+O130-N130</f>
        <v>0</v>
      </c>
      <c r="Q130" s="252">
        <f>SUM(Q133:Q134)</f>
        <v>0</v>
      </c>
      <c r="R130" s="252">
        <f>SUM(R133:R134)</f>
        <v>0</v>
      </c>
      <c r="S130" s="252">
        <f>SUM(T133:T134)</f>
        <v>0</v>
      </c>
      <c r="T130" s="252">
        <f>SUM(T133:T134)</f>
        <v>0</v>
      </c>
      <c r="U130" s="252">
        <f>SUM(U133:U134)</f>
        <v>0</v>
      </c>
      <c r="V130" s="216"/>
      <c r="W130" s="252">
        <f t="shared" ref="W130:AE130" si="13">SUM(W133:W134)</f>
        <v>0</v>
      </c>
      <c r="X130" s="252">
        <f t="shared" si="13"/>
        <v>0</v>
      </c>
      <c r="Y130" s="252">
        <f t="shared" si="13"/>
        <v>0</v>
      </c>
      <c r="Z130" s="252">
        <f t="shared" si="13"/>
        <v>0</v>
      </c>
      <c r="AA130" s="252">
        <f t="shared" si="13"/>
        <v>0</v>
      </c>
      <c r="AB130" s="252">
        <f t="shared" si="13"/>
        <v>0</v>
      </c>
      <c r="AC130" s="252">
        <f t="shared" si="13"/>
        <v>0</v>
      </c>
      <c r="AD130" s="252">
        <f t="shared" si="13"/>
        <v>0</v>
      </c>
      <c r="AE130" s="252">
        <f t="shared" si="13"/>
        <v>0</v>
      </c>
    </row>
    <row r="131" spans="2:31" s="204" customFormat="1" x14ac:dyDescent="0.25">
      <c r="B131" s="293"/>
      <c r="C131" s="293"/>
      <c r="D131" s="230"/>
      <c r="E131" s="230"/>
      <c r="F131" s="230"/>
      <c r="G131" s="230"/>
      <c r="H131" s="231"/>
      <c r="I131" s="230"/>
      <c r="J131" s="230"/>
      <c r="K131" s="230"/>
      <c r="L131" s="232"/>
      <c r="M131" s="211"/>
      <c r="N131" s="254"/>
      <c r="O131" s="211"/>
      <c r="P131" s="211"/>
      <c r="Q131" s="211"/>
      <c r="R131" s="216"/>
      <c r="T131" s="216"/>
      <c r="U131" s="216"/>
      <c r="V131" s="216"/>
      <c r="W131" s="211"/>
      <c r="X131" s="211"/>
      <c r="Y131" s="211"/>
      <c r="Z131" s="211"/>
      <c r="AA131" s="211"/>
    </row>
    <row r="132" spans="2:31" s="204" customFormat="1" ht="89.25" x14ac:dyDescent="0.25">
      <c r="B132" s="294" t="s">
        <v>2968</v>
      </c>
      <c r="C132" s="294" t="s">
        <v>2969</v>
      </c>
      <c r="D132" s="206" t="s">
        <v>72</v>
      </c>
      <c r="E132" s="206"/>
      <c r="F132" s="206"/>
      <c r="G132" s="207"/>
      <c r="H132" s="207"/>
      <c r="I132" s="207"/>
      <c r="J132" s="207" t="s">
        <v>2957</v>
      </c>
      <c r="K132" s="206" t="s">
        <v>82</v>
      </c>
      <c r="L132" s="261" t="s">
        <v>2970</v>
      </c>
      <c r="M132" s="260"/>
      <c r="N132" s="256" t="str">
        <f>N$15</f>
        <v>Valore netto al 31/12/2019</v>
      </c>
      <c r="O132" s="256" t="str">
        <f>O$15</f>
        <v>Valore netto al 31/12/2020</v>
      </c>
      <c r="P132" s="256" t="str">
        <f>P$15</f>
        <v>Variazione</v>
      </c>
      <c r="Q132" s="262" t="s">
        <v>2971</v>
      </c>
      <c r="R132" s="262" t="str">
        <f>"Costo storico al 31/12/"&amp;Info!$B$3-1</f>
        <v>Costo storico al 31/12/2019</v>
      </c>
      <c r="S132" s="262" t="s">
        <v>2972</v>
      </c>
      <c r="T132" s="262" t="s">
        <v>2973</v>
      </c>
      <c r="U132" s="262" t="s">
        <v>2974</v>
      </c>
      <c r="W132" s="262" t="s">
        <v>4391</v>
      </c>
      <c r="X132" s="262" t="s">
        <v>2976</v>
      </c>
      <c r="Y132" s="262" t="s">
        <v>2977</v>
      </c>
      <c r="Z132" s="262" t="s">
        <v>2978</v>
      </c>
      <c r="AA132" s="262" t="s">
        <v>2979</v>
      </c>
      <c r="AB132" s="262" t="s">
        <v>2980</v>
      </c>
      <c r="AC132" s="262" t="s">
        <v>2981</v>
      </c>
      <c r="AD132" s="262" t="s">
        <v>2982</v>
      </c>
      <c r="AE132" s="262" t="s">
        <v>2983</v>
      </c>
    </row>
    <row r="133" spans="2:31" s="204" customFormat="1" x14ac:dyDescent="0.25">
      <c r="B133" s="273" t="s">
        <v>333</v>
      </c>
      <c r="C133" s="273" t="s">
        <v>334</v>
      </c>
      <c r="D133" s="264" t="s">
        <v>3095</v>
      </c>
      <c r="E133" s="264"/>
      <c r="F133" s="264"/>
      <c r="G133" s="265"/>
      <c r="H133" s="266"/>
      <c r="I133" s="267"/>
      <c r="J133" s="267"/>
      <c r="K133" s="267"/>
      <c r="L133" s="268" t="s">
        <v>3096</v>
      </c>
      <c r="M133" s="263" t="s">
        <v>2962</v>
      </c>
      <c r="N133" s="269">
        <f>+R133+T133-U133</f>
        <v>0</v>
      </c>
      <c r="O133" s="270">
        <f>+N133+S133+X133+ABS(Y133)-ABS(AA133)+ABS(Z133)+ABS(AB133)+ABS(AD133)-ABS(AE133)+AC133+W133+Q133</f>
        <v>0</v>
      </c>
      <c r="P133" s="271">
        <f>+O133-N133</f>
        <v>0</v>
      </c>
      <c r="Q133" s="520"/>
      <c r="R133" s="354">
        <f>IF(ISERROR(VLOOKUP("SOC"&amp;$C133,ESTR_PREC_SP!$A$2:$G$2000,4,FALSE))=TRUE,0,VLOOKUP("SOC"&amp;$C133,ESTR_PREC_SP!$A$2:$G$2000,4,FALSE))</f>
        <v>0</v>
      </c>
      <c r="S133" s="521"/>
      <c r="T133" s="521"/>
      <c r="U133" s="521"/>
      <c r="W133" s="520"/>
      <c r="X133" s="520"/>
      <c r="Y133" s="520"/>
      <c r="Z133" s="520"/>
      <c r="AA133" s="520"/>
      <c r="AB133" s="520"/>
      <c r="AC133" s="520"/>
      <c r="AD133" s="520"/>
      <c r="AE133" s="520"/>
    </row>
    <row r="134" spans="2:31" s="204" customFormat="1" x14ac:dyDescent="0.25">
      <c r="B134" s="273" t="s">
        <v>336</v>
      </c>
      <c r="C134" s="273" t="s">
        <v>337</v>
      </c>
      <c r="D134" s="264" t="s">
        <v>3097</v>
      </c>
      <c r="E134" s="264"/>
      <c r="F134" s="264"/>
      <c r="G134" s="265"/>
      <c r="H134" s="266"/>
      <c r="I134" s="267"/>
      <c r="J134" s="267"/>
      <c r="K134" s="267"/>
      <c r="L134" s="268" t="s">
        <v>3098</v>
      </c>
      <c r="M134" s="263" t="s">
        <v>2962</v>
      </c>
      <c r="N134" s="269">
        <f>+R134+T134-U134</f>
        <v>0</v>
      </c>
      <c r="O134" s="270">
        <f>+N134+S134+X134+ABS(Y134)-ABS(AA134)+ABS(Z134)+ABS(AB134)+ABS(AD134)-ABS(AE134)+AC134+W134+Q134</f>
        <v>0</v>
      </c>
      <c r="P134" s="271">
        <f>+O134-N134</f>
        <v>0</v>
      </c>
      <c r="Q134" s="520"/>
      <c r="R134" s="354">
        <f>IF(ISERROR(VLOOKUP("SOC"&amp;$C134,ESTR_PREC_SP!$A$2:$G$2000,4,FALSE))=TRUE,0,VLOOKUP("SOC"&amp;$C134,ESTR_PREC_SP!$A$2:$G$2000,4,FALSE))</f>
        <v>0</v>
      </c>
      <c r="S134" s="521"/>
      <c r="T134" s="521"/>
      <c r="U134" s="521"/>
      <c r="W134" s="520"/>
      <c r="X134" s="520"/>
      <c r="Y134" s="520"/>
      <c r="Z134" s="520"/>
      <c r="AA134" s="520"/>
      <c r="AB134" s="520"/>
      <c r="AC134" s="520"/>
      <c r="AD134" s="520"/>
      <c r="AE134" s="520"/>
    </row>
    <row r="135" spans="2:31" s="204" customFormat="1" x14ac:dyDescent="0.25">
      <c r="B135" s="293"/>
      <c r="C135" s="293"/>
      <c r="D135" s="300"/>
      <c r="E135" s="230"/>
      <c r="F135" s="230"/>
      <c r="G135" s="230"/>
      <c r="H135" s="231"/>
      <c r="I135" s="230"/>
      <c r="J135" s="230"/>
      <c r="K135" s="230"/>
      <c r="L135" s="275"/>
      <c r="M135" s="211"/>
      <c r="N135" s="254"/>
      <c r="O135" s="211"/>
      <c r="P135" s="211"/>
      <c r="Q135" s="211"/>
      <c r="R135" s="211"/>
      <c r="S135" s="216"/>
      <c r="T135" s="216"/>
      <c r="U135" s="216"/>
      <c r="V135" s="216"/>
      <c r="W135" s="211"/>
      <c r="X135" s="211"/>
      <c r="Y135" s="211"/>
      <c r="Z135" s="211"/>
      <c r="AA135" s="211"/>
    </row>
    <row r="136" spans="2:31" s="204" customFormat="1" x14ac:dyDescent="0.25">
      <c r="B136" s="292" t="s">
        <v>339</v>
      </c>
      <c r="C136" s="292" t="s">
        <v>340</v>
      </c>
      <c r="D136" s="301" t="s">
        <v>3099</v>
      </c>
      <c r="E136" s="247"/>
      <c r="F136" s="247"/>
      <c r="G136" s="247"/>
      <c r="H136" s="248"/>
      <c r="I136" s="247"/>
      <c r="J136" s="247"/>
      <c r="K136" s="249"/>
      <c r="L136" s="276" t="s">
        <v>342</v>
      </c>
      <c r="M136" s="251" t="s">
        <v>2962</v>
      </c>
      <c r="N136" s="252">
        <f>SUM(N139:N140)</f>
        <v>0</v>
      </c>
      <c r="O136" s="252">
        <f>SUM(O139:O140)</f>
        <v>0</v>
      </c>
      <c r="P136" s="259">
        <f>+O136-N136</f>
        <v>0</v>
      </c>
      <c r="Q136" s="252">
        <f>SUM(Q139:Q140)</f>
        <v>0</v>
      </c>
      <c r="R136" s="252">
        <f>SUM(R139:R140)</f>
        <v>0</v>
      </c>
      <c r="S136" s="252">
        <f>SUM(S139:S140)</f>
        <v>0</v>
      </c>
      <c r="V136" s="211"/>
      <c r="W136" s="252">
        <f>SUM(W139:W140)</f>
        <v>0</v>
      </c>
      <c r="X136" s="252">
        <f>SUM(X139:X140)</f>
        <v>0</v>
      </c>
      <c r="Y136" s="252">
        <f>SUM(Y139:Y140)</f>
        <v>0</v>
      </c>
      <c r="Z136" s="252">
        <f>SUM(Z139:Z140)</f>
        <v>0</v>
      </c>
      <c r="AA136" s="211"/>
    </row>
    <row r="137" spans="2:31" s="204" customFormat="1" x14ac:dyDescent="0.25">
      <c r="B137" s="293"/>
      <c r="C137" s="293"/>
      <c r="D137" s="230"/>
      <c r="E137" s="230"/>
      <c r="F137" s="230"/>
      <c r="G137" s="230"/>
      <c r="H137" s="231"/>
      <c r="I137" s="230"/>
      <c r="J137" s="230"/>
      <c r="K137" s="230"/>
      <c r="L137" s="232"/>
      <c r="M137" s="211"/>
      <c r="N137" s="211"/>
      <c r="O137" s="211"/>
      <c r="P137" s="211"/>
      <c r="Q137" s="211"/>
      <c r="V137" s="211"/>
      <c r="W137" s="211"/>
      <c r="X137" s="211"/>
      <c r="Y137" s="211"/>
      <c r="Z137" s="211"/>
      <c r="AA137" s="211"/>
    </row>
    <row r="138" spans="2:31" s="204" customFormat="1" ht="89.25" x14ac:dyDescent="0.25">
      <c r="B138" s="294" t="s">
        <v>2968</v>
      </c>
      <c r="C138" s="294" t="s">
        <v>2969</v>
      </c>
      <c r="D138" s="206" t="s">
        <v>72</v>
      </c>
      <c r="E138" s="206"/>
      <c r="F138" s="206"/>
      <c r="G138" s="207"/>
      <c r="H138" s="207"/>
      <c r="I138" s="207"/>
      <c r="J138" s="207" t="s">
        <v>2957</v>
      </c>
      <c r="K138" s="206" t="s">
        <v>82</v>
      </c>
      <c r="L138" s="261" t="s">
        <v>2970</v>
      </c>
      <c r="M138" s="260"/>
      <c r="N138" s="256" t="str">
        <f>N$15</f>
        <v>Valore netto al 31/12/2019</v>
      </c>
      <c r="O138" s="256" t="str">
        <f>O$15</f>
        <v>Valore netto al 31/12/2020</v>
      </c>
      <c r="P138" s="256" t="str">
        <f>P$15</f>
        <v>Variazione</v>
      </c>
      <c r="Q138" s="262" t="s">
        <v>2971</v>
      </c>
      <c r="R138" s="262" t="str">
        <f>"Fondo ammortamento 31/12/"&amp;Info!$B$3-1</f>
        <v>Fondo ammortamento 31/12/2019</v>
      </c>
      <c r="S138" s="262" t="s">
        <v>2972</v>
      </c>
      <c r="V138" s="211"/>
      <c r="W138" s="262" t="s">
        <v>4391</v>
      </c>
      <c r="X138" s="262" t="s">
        <v>2976</v>
      </c>
      <c r="Y138" s="262" t="s">
        <v>2989</v>
      </c>
      <c r="Z138" s="262" t="s">
        <v>2990</v>
      </c>
      <c r="AA138" s="211"/>
    </row>
    <row r="139" spans="2:31" s="204" customFormat="1" x14ac:dyDescent="0.25">
      <c r="B139" s="273" t="s">
        <v>343</v>
      </c>
      <c r="C139" s="273" t="s">
        <v>344</v>
      </c>
      <c r="D139" s="264" t="s">
        <v>3100</v>
      </c>
      <c r="E139" s="264"/>
      <c r="F139" s="264"/>
      <c r="G139" s="265"/>
      <c r="H139" s="266"/>
      <c r="I139" s="267"/>
      <c r="J139" s="267"/>
      <c r="K139" s="267"/>
      <c r="L139" s="268" t="s">
        <v>3101</v>
      </c>
      <c r="M139" s="263" t="s">
        <v>2962</v>
      </c>
      <c r="N139" s="269">
        <f>+R139</f>
        <v>0</v>
      </c>
      <c r="O139" s="270">
        <f>+R139+S139+X139-ABS(Y139)+ABS(Z139)+W139+Q139</f>
        <v>0</v>
      </c>
      <c r="P139" s="271">
        <f>+O139-N139</f>
        <v>0</v>
      </c>
      <c r="Q139" s="520"/>
      <c r="R139" s="354">
        <f>IF(ISERROR(VLOOKUP("SOC"&amp;$C139,ESTR_PREC_SP!$A$2:$G$2000,4,FALSE))=TRUE,0,VLOOKUP("SOC"&amp;$C139,ESTR_PREC_SP!$A$2:$G$2000,4,FALSE))</f>
        <v>0</v>
      </c>
      <c r="S139" s="521"/>
      <c r="V139" s="211"/>
      <c r="W139" s="520"/>
      <c r="X139" s="520"/>
      <c r="Y139" s="520"/>
      <c r="Z139" s="520"/>
      <c r="AA139" s="211"/>
    </row>
    <row r="140" spans="2:31" s="204" customFormat="1" x14ac:dyDescent="0.25">
      <c r="B140" s="273" t="s">
        <v>346</v>
      </c>
      <c r="C140" s="273" t="s">
        <v>347</v>
      </c>
      <c r="D140" s="264" t="s">
        <v>3102</v>
      </c>
      <c r="E140" s="264"/>
      <c r="F140" s="264"/>
      <c r="G140" s="265"/>
      <c r="H140" s="266"/>
      <c r="I140" s="267"/>
      <c r="J140" s="267"/>
      <c r="K140" s="267"/>
      <c r="L140" s="268" t="s">
        <v>3103</v>
      </c>
      <c r="M140" s="263" t="s">
        <v>2962</v>
      </c>
      <c r="N140" s="269">
        <f>+R140</f>
        <v>0</v>
      </c>
      <c r="O140" s="270">
        <f>+R140+S140+X140-ABS(Y140)+ABS(Z140)+W140+Q140</f>
        <v>0</v>
      </c>
      <c r="P140" s="271">
        <f>+O140-N140</f>
        <v>0</v>
      </c>
      <c r="Q140" s="520"/>
      <c r="R140" s="354">
        <f>IF(ISERROR(VLOOKUP("SOC"&amp;$C140,ESTR_PREC_SP!$A$2:$G$2000,4,FALSE))=TRUE,0,VLOOKUP("SOC"&amp;$C140,ESTR_PREC_SP!$A$2:$G$2000,4,FALSE))</f>
        <v>0</v>
      </c>
      <c r="S140" s="521"/>
      <c r="V140" s="211"/>
      <c r="W140" s="520"/>
      <c r="X140" s="520"/>
      <c r="Y140" s="520"/>
      <c r="Z140" s="520"/>
      <c r="AA140" s="211"/>
    </row>
    <row r="141" spans="2:31" s="204" customFormat="1" x14ac:dyDescent="0.25">
      <c r="B141" s="293"/>
      <c r="C141" s="293"/>
      <c r="D141" s="300"/>
      <c r="E141" s="230"/>
      <c r="F141" s="230"/>
      <c r="G141" s="230"/>
      <c r="H141" s="231"/>
      <c r="I141" s="230"/>
      <c r="J141" s="230"/>
      <c r="K141" s="230"/>
      <c r="L141" s="232"/>
      <c r="M141" s="211"/>
      <c r="N141" s="254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2:31" s="204" customFormat="1" x14ac:dyDescent="0.25">
      <c r="B142" s="292" t="s">
        <v>349</v>
      </c>
      <c r="C142" s="292" t="s">
        <v>350</v>
      </c>
      <c r="D142" s="301" t="s">
        <v>3104</v>
      </c>
      <c r="E142" s="247"/>
      <c r="F142" s="247"/>
      <c r="G142" s="247"/>
      <c r="H142" s="248"/>
      <c r="I142" s="247"/>
      <c r="J142" s="247"/>
      <c r="K142" s="249"/>
      <c r="L142" s="258" t="s">
        <v>352</v>
      </c>
      <c r="M142" s="251" t="s">
        <v>2962</v>
      </c>
      <c r="N142" s="252">
        <f>SUM(N145:N148)</f>
        <v>0</v>
      </c>
      <c r="O142" s="252">
        <f>SUM(O145:O148)</f>
        <v>0</v>
      </c>
      <c r="P142" s="259">
        <f>+O142-N142</f>
        <v>0</v>
      </c>
      <c r="Q142" s="252">
        <f>SUM(Q145:Q148)</f>
        <v>0</v>
      </c>
      <c r="R142" s="252">
        <f>SUM(R145:R148)</f>
        <v>0</v>
      </c>
      <c r="S142" s="252">
        <f>SUM(S145:S148)</f>
        <v>0</v>
      </c>
      <c r="T142" s="252">
        <f>SUM(T145:T148)</f>
        <v>0</v>
      </c>
      <c r="U142" s="252">
        <f>SUM(U145:U148)</f>
        <v>0</v>
      </c>
      <c r="V142" s="216"/>
      <c r="W142" s="252">
        <f t="shared" ref="W142:AE142" si="14">SUM(W145:W148)</f>
        <v>0</v>
      </c>
      <c r="X142" s="252">
        <f t="shared" si="14"/>
        <v>0</v>
      </c>
      <c r="Y142" s="252">
        <f t="shared" si="14"/>
        <v>0</v>
      </c>
      <c r="Z142" s="252">
        <f t="shared" si="14"/>
        <v>0</v>
      </c>
      <c r="AA142" s="252">
        <f t="shared" si="14"/>
        <v>0</v>
      </c>
      <c r="AB142" s="252">
        <f t="shared" si="14"/>
        <v>0</v>
      </c>
      <c r="AC142" s="252">
        <f t="shared" si="14"/>
        <v>0</v>
      </c>
      <c r="AD142" s="252">
        <f t="shared" si="14"/>
        <v>0</v>
      </c>
      <c r="AE142" s="252">
        <f t="shared" si="14"/>
        <v>0</v>
      </c>
    </row>
    <row r="143" spans="2:31" s="204" customFormat="1" x14ac:dyDescent="0.25">
      <c r="B143" s="293"/>
      <c r="C143" s="293"/>
      <c r="D143" s="230"/>
      <c r="E143" s="230"/>
      <c r="F143" s="230"/>
      <c r="G143" s="230"/>
      <c r="H143" s="231"/>
      <c r="I143" s="230"/>
      <c r="J143" s="230"/>
      <c r="K143" s="230"/>
      <c r="L143" s="232"/>
      <c r="M143" s="211"/>
      <c r="N143" s="254"/>
      <c r="O143" s="211"/>
      <c r="P143" s="211"/>
      <c r="Q143" s="211"/>
      <c r="R143" s="216"/>
      <c r="T143" s="216"/>
      <c r="U143" s="216"/>
      <c r="V143" s="216"/>
      <c r="W143" s="211"/>
      <c r="X143" s="211"/>
      <c r="Y143" s="211"/>
      <c r="Z143" s="211"/>
      <c r="AA143" s="211"/>
    </row>
    <row r="144" spans="2:31" s="204" customFormat="1" ht="89.25" x14ac:dyDescent="0.25">
      <c r="B144" s="294" t="s">
        <v>2968</v>
      </c>
      <c r="C144" s="294" t="s">
        <v>2969</v>
      </c>
      <c r="D144" s="206" t="s">
        <v>72</v>
      </c>
      <c r="E144" s="206"/>
      <c r="F144" s="206"/>
      <c r="G144" s="207"/>
      <c r="H144" s="207"/>
      <c r="I144" s="207"/>
      <c r="J144" s="207" t="s">
        <v>2957</v>
      </c>
      <c r="K144" s="206" t="s">
        <v>82</v>
      </c>
      <c r="L144" s="261" t="s">
        <v>2970</v>
      </c>
      <c r="M144" s="260"/>
      <c r="N144" s="256" t="str">
        <f>N$15</f>
        <v>Valore netto al 31/12/2019</v>
      </c>
      <c r="O144" s="256" t="str">
        <f>O$15</f>
        <v>Valore netto al 31/12/2020</v>
      </c>
      <c r="P144" s="256" t="str">
        <f>P$15</f>
        <v>Variazione</v>
      </c>
      <c r="Q144" s="262" t="s">
        <v>2971</v>
      </c>
      <c r="R144" s="262" t="str">
        <f>"Costo storico al 31/12/"&amp;Info!$B$3-1</f>
        <v>Costo storico al 31/12/2019</v>
      </c>
      <c r="S144" s="262" t="s">
        <v>2972</v>
      </c>
      <c r="T144" s="262" t="s">
        <v>2973</v>
      </c>
      <c r="U144" s="262" t="s">
        <v>2974</v>
      </c>
      <c r="W144" s="262" t="s">
        <v>4391</v>
      </c>
      <c r="X144" s="262" t="s">
        <v>2976</v>
      </c>
      <c r="Y144" s="262" t="s">
        <v>2977</v>
      </c>
      <c r="Z144" s="262" t="s">
        <v>2978</v>
      </c>
      <c r="AA144" s="262" t="s">
        <v>2979</v>
      </c>
      <c r="AB144" s="262" t="s">
        <v>2980</v>
      </c>
      <c r="AC144" s="262" t="s">
        <v>2981</v>
      </c>
      <c r="AD144" s="262" t="s">
        <v>2982</v>
      </c>
      <c r="AE144" s="262" t="s">
        <v>2983</v>
      </c>
    </row>
    <row r="145" spans="2:34" s="204" customFormat="1" x14ac:dyDescent="0.25">
      <c r="B145" s="273" t="s">
        <v>353</v>
      </c>
      <c r="C145" s="273" t="s">
        <v>354</v>
      </c>
      <c r="D145" s="264" t="s">
        <v>3105</v>
      </c>
      <c r="E145" s="264"/>
      <c r="F145" s="264"/>
      <c r="G145" s="265"/>
      <c r="H145" s="266"/>
      <c r="I145" s="267"/>
      <c r="J145" s="267"/>
      <c r="K145" s="267"/>
      <c r="L145" s="268" t="s">
        <v>3106</v>
      </c>
      <c r="M145" s="263" t="s">
        <v>2962</v>
      </c>
      <c r="N145" s="269">
        <f>+R145+T145-U145</f>
        <v>0</v>
      </c>
      <c r="O145" s="270">
        <f>+N145+S145+X145+ABS(Y145)-ABS(AA145)+ABS(Z145)+ABS(AB145)+ABS(AD145)-ABS(AE145)+AC145+W145+Q145</f>
        <v>0</v>
      </c>
      <c r="P145" s="271">
        <f>+O145-N145</f>
        <v>0</v>
      </c>
      <c r="Q145" s="520"/>
      <c r="R145" s="354">
        <f>IF(ISERROR(VLOOKUP("SOC"&amp;$C145,ESTR_PREC_SP!$A$2:$G$2000,4,FALSE))=TRUE,0,VLOOKUP("SOC"&amp;$C145,ESTR_PREC_SP!$A$2:$G$2000,4,FALSE))</f>
        <v>0</v>
      </c>
      <c r="S145" s="521"/>
      <c r="T145" s="521"/>
      <c r="U145" s="521"/>
      <c r="W145" s="520"/>
      <c r="X145" s="520"/>
      <c r="Y145" s="520"/>
      <c r="Z145" s="520"/>
      <c r="AA145" s="520"/>
      <c r="AB145" s="520"/>
      <c r="AC145" s="520"/>
      <c r="AD145" s="520"/>
      <c r="AE145" s="520"/>
    </row>
    <row r="146" spans="2:34" s="204" customFormat="1" x14ac:dyDescent="0.25">
      <c r="B146" s="273" t="s">
        <v>356</v>
      </c>
      <c r="C146" s="273" t="s">
        <v>357</v>
      </c>
      <c r="D146" s="264" t="s">
        <v>3107</v>
      </c>
      <c r="E146" s="264"/>
      <c r="F146" s="264"/>
      <c r="G146" s="265"/>
      <c r="H146" s="266"/>
      <c r="I146" s="267"/>
      <c r="J146" s="267"/>
      <c r="K146" s="267"/>
      <c r="L146" s="268" t="s">
        <v>3108</v>
      </c>
      <c r="M146" s="263" t="s">
        <v>2962</v>
      </c>
      <c r="N146" s="269">
        <f>+R146+T146-U146</f>
        <v>0</v>
      </c>
      <c r="O146" s="270">
        <f>+N146+S146+X146+ABS(Y146)-ABS(AA146)+ABS(Z146)+ABS(AB146)+ABS(AD146)-ABS(AE146)+AC146+W146+Q146</f>
        <v>0</v>
      </c>
      <c r="P146" s="271">
        <f>+O146-N146</f>
        <v>0</v>
      </c>
      <c r="Q146" s="520"/>
      <c r="R146" s="354">
        <f>IF(ISERROR(VLOOKUP("SOC"&amp;$C146,ESTR_PREC_SP!$A$2:$G$2000,4,FALSE))=TRUE,0,VLOOKUP("SOC"&amp;$C146,ESTR_PREC_SP!$A$2:$G$2000,4,FALSE))</f>
        <v>0</v>
      </c>
      <c r="S146" s="521"/>
      <c r="T146" s="521"/>
      <c r="U146" s="521"/>
      <c r="W146" s="520"/>
      <c r="X146" s="520"/>
      <c r="Y146" s="520"/>
      <c r="Z146" s="520"/>
      <c r="AA146" s="520"/>
      <c r="AB146" s="520"/>
      <c r="AC146" s="520"/>
      <c r="AD146" s="520"/>
      <c r="AE146" s="520"/>
    </row>
    <row r="147" spans="2:34" s="204" customFormat="1" x14ac:dyDescent="0.25">
      <c r="B147" s="273" t="s">
        <v>359</v>
      </c>
      <c r="C147" s="273" t="s">
        <v>360</v>
      </c>
      <c r="D147" s="264" t="s">
        <v>3109</v>
      </c>
      <c r="E147" s="264"/>
      <c r="F147" s="264"/>
      <c r="G147" s="265"/>
      <c r="H147" s="266"/>
      <c r="I147" s="267"/>
      <c r="J147" s="267"/>
      <c r="K147" s="267"/>
      <c r="L147" s="268" t="s">
        <v>3110</v>
      </c>
      <c r="M147" s="263" t="s">
        <v>2962</v>
      </c>
      <c r="N147" s="269">
        <f>+R147+T147-U147</f>
        <v>0</v>
      </c>
      <c r="O147" s="270">
        <f>+N147+S147+X147+ABS(Y147)-ABS(AA147)+ABS(Z147)+ABS(AB147)+ABS(AD147)-ABS(AE147)+AC147+W147+Q147</f>
        <v>0</v>
      </c>
      <c r="P147" s="271">
        <f>+O147-N147</f>
        <v>0</v>
      </c>
      <c r="Q147" s="520"/>
      <c r="R147" s="354">
        <f>IF(ISERROR(VLOOKUP("SOC"&amp;$C147,ESTR_PREC_SP!$A$2:$G$2000,4,FALSE))=TRUE,0,VLOOKUP("SOC"&amp;$C147,ESTR_PREC_SP!$A$2:$G$2000,4,FALSE))</f>
        <v>0</v>
      </c>
      <c r="S147" s="521"/>
      <c r="T147" s="521"/>
      <c r="U147" s="521"/>
      <c r="W147" s="520"/>
      <c r="X147" s="520"/>
      <c r="Y147" s="520"/>
      <c r="Z147" s="520"/>
      <c r="AA147" s="520"/>
      <c r="AB147" s="520"/>
      <c r="AC147" s="520"/>
      <c r="AD147" s="520"/>
      <c r="AE147" s="520"/>
    </row>
    <row r="148" spans="2:34" s="204" customFormat="1" x14ac:dyDescent="0.25">
      <c r="B148" s="273" t="s">
        <v>362</v>
      </c>
      <c r="C148" s="273" t="s">
        <v>363</v>
      </c>
      <c r="D148" s="264" t="s">
        <v>3111</v>
      </c>
      <c r="E148" s="264"/>
      <c r="F148" s="264"/>
      <c r="G148" s="265"/>
      <c r="H148" s="266"/>
      <c r="I148" s="267"/>
      <c r="J148" s="267"/>
      <c r="K148" s="267"/>
      <c r="L148" s="268" t="s">
        <v>3112</v>
      </c>
      <c r="M148" s="263" t="s">
        <v>2962</v>
      </c>
      <c r="N148" s="269">
        <f>+R148+T148-U148</f>
        <v>0</v>
      </c>
      <c r="O148" s="270">
        <f>+N148+S148+X148+ABS(Y148)-ABS(AA148)+ABS(Z148)+ABS(AB148)+ABS(AD148)-ABS(AE148)+AC148+W148+Q148</f>
        <v>0</v>
      </c>
      <c r="P148" s="271">
        <f>+O148-N148</f>
        <v>0</v>
      </c>
      <c r="Q148" s="520"/>
      <c r="R148" s="354">
        <f>IF(ISERROR(VLOOKUP("SOC"&amp;$C148,ESTR_PREC_SP!$A$2:$G$2000,4,FALSE))=TRUE,0,VLOOKUP("SOC"&amp;$C148,ESTR_PREC_SP!$A$2:$G$2000,4,FALSE))</f>
        <v>0</v>
      </c>
      <c r="S148" s="521"/>
      <c r="T148" s="521"/>
      <c r="U148" s="521"/>
      <c r="W148" s="520"/>
      <c r="X148" s="520"/>
      <c r="Y148" s="520"/>
      <c r="Z148" s="520"/>
      <c r="AA148" s="520"/>
      <c r="AB148" s="520"/>
      <c r="AC148" s="520"/>
      <c r="AD148" s="520"/>
      <c r="AE148" s="520"/>
    </row>
    <row r="149" spans="2:34" s="204" customFormat="1" x14ac:dyDescent="0.25">
      <c r="B149" s="293"/>
      <c r="C149" s="293"/>
      <c r="D149" s="300"/>
      <c r="E149" s="230"/>
      <c r="F149" s="230"/>
      <c r="G149" s="230"/>
      <c r="H149" s="231"/>
      <c r="I149" s="230"/>
      <c r="J149" s="230"/>
      <c r="K149" s="230"/>
      <c r="L149" s="275"/>
      <c r="M149" s="211"/>
      <c r="N149" s="254"/>
      <c r="O149" s="211"/>
      <c r="P149" s="211"/>
      <c r="Q149" s="211"/>
      <c r="R149" s="285"/>
      <c r="S149" s="285"/>
      <c r="T149" s="285"/>
      <c r="U149" s="285"/>
      <c r="V149" s="285"/>
      <c r="W149" s="285"/>
      <c r="X149" s="285"/>
      <c r="Y149" s="285"/>
      <c r="Z149" s="285"/>
      <c r="AA149" s="211"/>
    </row>
    <row r="150" spans="2:34" s="204" customFormat="1" x14ac:dyDescent="0.25">
      <c r="B150" s="292" t="s">
        <v>365</v>
      </c>
      <c r="C150" s="292" t="s">
        <v>366</v>
      </c>
      <c r="D150" s="301" t="s">
        <v>3113</v>
      </c>
      <c r="E150" s="247"/>
      <c r="F150" s="247"/>
      <c r="G150" s="247"/>
      <c r="H150" s="248"/>
      <c r="I150" s="247"/>
      <c r="J150" s="247"/>
      <c r="K150" s="249"/>
      <c r="L150" s="276" t="s">
        <v>368</v>
      </c>
      <c r="M150" s="251" t="s">
        <v>2962</v>
      </c>
      <c r="N150" s="252">
        <f>SUM(N153:N156)</f>
        <v>0</v>
      </c>
      <c r="O150" s="252">
        <f>SUM(O153:O156)</f>
        <v>0</v>
      </c>
      <c r="P150" s="259">
        <f>+O150-N150</f>
        <v>0</v>
      </c>
      <c r="Q150" s="252">
        <f>SUM(Q153:Q156)</f>
        <v>0</v>
      </c>
      <c r="R150" s="252">
        <f>SUM(R153:R156)</f>
        <v>0</v>
      </c>
      <c r="S150" s="252">
        <f>SUM(S153:S156)</f>
        <v>0</v>
      </c>
      <c r="V150" s="211"/>
      <c r="W150" s="252">
        <f>SUM(W153:W156)</f>
        <v>0</v>
      </c>
      <c r="X150" s="252">
        <f>SUM(X153:X156)</f>
        <v>0</v>
      </c>
      <c r="Y150" s="252">
        <f>SUM(Y153:Y156)</f>
        <v>0</v>
      </c>
      <c r="Z150" s="252">
        <f>SUM(Z153:Z156)</f>
        <v>0</v>
      </c>
      <c r="AA150" s="211"/>
    </row>
    <row r="151" spans="2:34" s="204" customFormat="1" x14ac:dyDescent="0.25">
      <c r="B151" s="293"/>
      <c r="C151" s="293"/>
      <c r="D151" s="230"/>
      <c r="E151" s="230"/>
      <c r="F151" s="230"/>
      <c r="G151" s="230"/>
      <c r="H151" s="231"/>
      <c r="I151" s="230"/>
      <c r="J151" s="230"/>
      <c r="K151" s="230"/>
      <c r="L151" s="232"/>
      <c r="M151" s="211"/>
      <c r="N151" s="211"/>
      <c r="O151" s="211"/>
      <c r="P151" s="211"/>
      <c r="Q151" s="211"/>
      <c r="V151" s="211"/>
      <c r="W151" s="211"/>
      <c r="X151" s="211"/>
      <c r="Y151" s="211"/>
      <c r="Z151" s="211"/>
      <c r="AA151" s="285"/>
    </row>
    <row r="152" spans="2:34" s="204" customFormat="1" ht="89.25" x14ac:dyDescent="0.25">
      <c r="B152" s="294" t="s">
        <v>2968</v>
      </c>
      <c r="C152" s="294" t="s">
        <v>2969</v>
      </c>
      <c r="D152" s="206" t="s">
        <v>72</v>
      </c>
      <c r="E152" s="206"/>
      <c r="F152" s="206"/>
      <c r="G152" s="207"/>
      <c r="H152" s="207"/>
      <c r="I152" s="207"/>
      <c r="J152" s="207" t="s">
        <v>2957</v>
      </c>
      <c r="K152" s="206" t="s">
        <v>82</v>
      </c>
      <c r="L152" s="261" t="s">
        <v>2970</v>
      </c>
      <c r="M152" s="260"/>
      <c r="N152" s="256" t="str">
        <f>N$15</f>
        <v>Valore netto al 31/12/2019</v>
      </c>
      <c r="O152" s="256" t="str">
        <f>O$15</f>
        <v>Valore netto al 31/12/2020</v>
      </c>
      <c r="P152" s="256" t="str">
        <f>P$15</f>
        <v>Variazione</v>
      </c>
      <c r="Q152" s="262" t="s">
        <v>2971</v>
      </c>
      <c r="R152" s="262" t="str">
        <f>"Fondo ammortamento 31/12/"&amp;Info!$B$3-1</f>
        <v>Fondo ammortamento 31/12/2019</v>
      </c>
      <c r="S152" s="262" t="s">
        <v>2972</v>
      </c>
      <c r="V152" s="211"/>
      <c r="W152" s="262" t="s">
        <v>4391</v>
      </c>
      <c r="X152" s="262" t="s">
        <v>2976</v>
      </c>
      <c r="Y152" s="262" t="s">
        <v>2989</v>
      </c>
      <c r="Z152" s="262" t="s">
        <v>2990</v>
      </c>
      <c r="AA152" s="285"/>
    </row>
    <row r="153" spans="2:34" s="204" customFormat="1" x14ac:dyDescent="0.25">
      <c r="B153" s="273" t="s">
        <v>369</v>
      </c>
      <c r="C153" s="273" t="s">
        <v>370</v>
      </c>
      <c r="D153" s="264" t="s">
        <v>3114</v>
      </c>
      <c r="E153" s="264"/>
      <c r="F153" s="264"/>
      <c r="G153" s="265"/>
      <c r="H153" s="266"/>
      <c r="I153" s="267"/>
      <c r="J153" s="267"/>
      <c r="K153" s="267"/>
      <c r="L153" s="268" t="s">
        <v>3115</v>
      </c>
      <c r="M153" s="263" t="s">
        <v>2962</v>
      </c>
      <c r="N153" s="269">
        <f>+R153</f>
        <v>0</v>
      </c>
      <c r="O153" s="270">
        <f>+R153+S153+X153-ABS(Y153)+ABS(Z153)+W153+Q153</f>
        <v>0</v>
      </c>
      <c r="P153" s="271">
        <f>+O153-N153</f>
        <v>0</v>
      </c>
      <c r="Q153" s="520"/>
      <c r="R153" s="354">
        <f>IF(ISERROR(VLOOKUP("SOC"&amp;$C153,ESTR_PREC_SP!$A$2:$G$2000,4,FALSE))=TRUE,0,VLOOKUP("SOC"&amp;$C153,ESTR_PREC_SP!$A$2:$G$2000,4,FALSE))</f>
        <v>0</v>
      </c>
      <c r="S153" s="521"/>
      <c r="V153" s="211"/>
      <c r="W153" s="520"/>
      <c r="X153" s="520"/>
      <c r="Y153" s="520"/>
      <c r="Z153" s="520"/>
      <c r="AA153" s="285"/>
    </row>
    <row r="154" spans="2:34" s="204" customFormat="1" x14ac:dyDescent="0.25">
      <c r="B154" s="273" t="s">
        <v>372</v>
      </c>
      <c r="C154" s="273" t="s">
        <v>373</v>
      </c>
      <c r="D154" s="264" t="s">
        <v>3116</v>
      </c>
      <c r="E154" s="264"/>
      <c r="F154" s="264"/>
      <c r="G154" s="265"/>
      <c r="H154" s="266"/>
      <c r="I154" s="267"/>
      <c r="J154" s="267"/>
      <c r="K154" s="267"/>
      <c r="L154" s="268" t="s">
        <v>3117</v>
      </c>
      <c r="M154" s="263" t="s">
        <v>2962</v>
      </c>
      <c r="N154" s="269">
        <f>+R154</f>
        <v>0</v>
      </c>
      <c r="O154" s="270">
        <f>+R154+S154+X154-ABS(Y154)+ABS(Z154)+W154+Q154</f>
        <v>0</v>
      </c>
      <c r="P154" s="271">
        <f>+O154-N154</f>
        <v>0</v>
      </c>
      <c r="Q154" s="520"/>
      <c r="R154" s="354">
        <f>IF(ISERROR(VLOOKUP("SOC"&amp;$C154,ESTR_PREC_SP!$A$2:$G$2000,4,FALSE))=TRUE,0,VLOOKUP("SOC"&amp;$C154,ESTR_PREC_SP!$A$2:$G$2000,4,FALSE))</f>
        <v>0</v>
      </c>
      <c r="S154" s="521"/>
      <c r="V154" s="211"/>
      <c r="W154" s="520"/>
      <c r="X154" s="520"/>
      <c r="Y154" s="520"/>
      <c r="Z154" s="520"/>
      <c r="AA154" s="285"/>
    </row>
    <row r="155" spans="2:34" s="204" customFormat="1" x14ac:dyDescent="0.25">
      <c r="B155" s="273" t="s">
        <v>375</v>
      </c>
      <c r="C155" s="273" t="s">
        <v>376</v>
      </c>
      <c r="D155" s="264" t="s">
        <v>3118</v>
      </c>
      <c r="E155" s="264"/>
      <c r="F155" s="264"/>
      <c r="G155" s="265"/>
      <c r="H155" s="266"/>
      <c r="I155" s="267"/>
      <c r="J155" s="267"/>
      <c r="K155" s="267"/>
      <c r="L155" s="268" t="s">
        <v>3119</v>
      </c>
      <c r="M155" s="263" t="s">
        <v>2962</v>
      </c>
      <c r="N155" s="269">
        <f>+R155</f>
        <v>0</v>
      </c>
      <c r="O155" s="270">
        <f>+R155+S155+X155-ABS(Y155)+ABS(Z155)+W155+Q155</f>
        <v>0</v>
      </c>
      <c r="P155" s="271">
        <f>+O155-N155</f>
        <v>0</v>
      </c>
      <c r="Q155" s="520"/>
      <c r="R155" s="354">
        <f>IF(ISERROR(VLOOKUP("SOC"&amp;$C155,ESTR_PREC_SP!$A$2:$G$2000,4,FALSE))=TRUE,0,VLOOKUP("SOC"&amp;$C155,ESTR_PREC_SP!$A$2:$G$2000,4,FALSE))</f>
        <v>0</v>
      </c>
      <c r="S155" s="521"/>
      <c r="V155" s="211"/>
      <c r="W155" s="520"/>
      <c r="X155" s="520"/>
      <c r="Y155" s="520"/>
      <c r="Z155" s="520"/>
      <c r="AA155" s="285"/>
    </row>
    <row r="156" spans="2:34" s="204" customFormat="1" x14ac:dyDescent="0.25">
      <c r="B156" s="273" t="s">
        <v>378</v>
      </c>
      <c r="C156" s="273" t="s">
        <v>379</v>
      </c>
      <c r="D156" s="264" t="s">
        <v>3120</v>
      </c>
      <c r="E156" s="264"/>
      <c r="F156" s="264"/>
      <c r="G156" s="265"/>
      <c r="H156" s="266"/>
      <c r="I156" s="267"/>
      <c r="J156" s="267"/>
      <c r="K156" s="267"/>
      <c r="L156" s="268" t="s">
        <v>3121</v>
      </c>
      <c r="M156" s="263" t="s">
        <v>2962</v>
      </c>
      <c r="N156" s="269">
        <f>+R156</f>
        <v>0</v>
      </c>
      <c r="O156" s="270">
        <f>+R156+S156+X156-ABS(Y156)+ABS(Z156)+W156+Q156</f>
        <v>0</v>
      </c>
      <c r="P156" s="271">
        <f>+O156-N156</f>
        <v>0</v>
      </c>
      <c r="Q156" s="520"/>
      <c r="R156" s="354">
        <f>IF(ISERROR(VLOOKUP("SOC"&amp;$C156,ESTR_PREC_SP!$A$2:$G$2000,4,FALSE))=TRUE,0,VLOOKUP("SOC"&amp;$C156,ESTR_PREC_SP!$A$2:$G$2000,4,FALSE))</f>
        <v>0</v>
      </c>
      <c r="S156" s="521"/>
      <c r="V156" s="211"/>
      <c r="W156" s="520"/>
      <c r="X156" s="520"/>
      <c r="Y156" s="520"/>
      <c r="Z156" s="520"/>
      <c r="AA156" s="285"/>
    </row>
    <row r="157" spans="2:34" s="204" customFormat="1" x14ac:dyDescent="0.25">
      <c r="B157" s="302"/>
      <c r="C157" s="302"/>
      <c r="D157" s="226"/>
      <c r="E157" s="226"/>
      <c r="F157" s="226"/>
      <c r="G157" s="226"/>
      <c r="H157" s="226"/>
      <c r="I157" s="226"/>
      <c r="J157" s="226"/>
      <c r="K157" s="226"/>
      <c r="L157" s="303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</row>
    <row r="158" spans="2:34" s="204" customFormat="1" ht="38.25" x14ac:dyDescent="0.25">
      <c r="B158" s="293"/>
      <c r="C158" s="293"/>
      <c r="D158" s="304"/>
      <c r="E158" s="230"/>
      <c r="F158" s="230"/>
      <c r="G158" s="230"/>
      <c r="H158" s="231"/>
      <c r="I158" s="230"/>
      <c r="J158" s="230"/>
      <c r="K158" s="230"/>
      <c r="L158" s="255"/>
      <c r="M158" s="244"/>
      <c r="N158" s="256" t="str">
        <f>N$15</f>
        <v>Valore netto al 31/12/2019</v>
      </c>
      <c r="O158" s="256" t="str">
        <f>O$15</f>
        <v>Valore netto al 31/12/2020</v>
      </c>
      <c r="P158" s="256" t="str">
        <f>P$15</f>
        <v>Variazione</v>
      </c>
      <c r="Q158" s="262" t="s">
        <v>2971</v>
      </c>
      <c r="R158" s="285"/>
      <c r="S158" s="285"/>
      <c r="T158" s="285"/>
      <c r="U158" s="285"/>
      <c r="V158" s="285"/>
      <c r="W158" s="285"/>
      <c r="X158" s="285"/>
      <c r="Y158" s="285"/>
      <c r="Z158" s="211"/>
      <c r="AA158" s="211"/>
    </row>
    <row r="159" spans="2:34" s="204" customFormat="1" x14ac:dyDescent="0.25">
      <c r="B159" s="292" t="s">
        <v>381</v>
      </c>
      <c r="C159" s="292" t="s">
        <v>382</v>
      </c>
      <c r="D159" s="301" t="s">
        <v>3122</v>
      </c>
      <c r="E159" s="247"/>
      <c r="F159" s="247"/>
      <c r="G159" s="247"/>
      <c r="H159" s="248"/>
      <c r="I159" s="247"/>
      <c r="J159" s="247"/>
      <c r="K159" s="249"/>
      <c r="L159" s="257" t="s">
        <v>383</v>
      </c>
      <c r="M159" s="251" t="s">
        <v>2962</v>
      </c>
      <c r="N159" s="252">
        <f>+N161+N167+N173+N179</f>
        <v>0</v>
      </c>
      <c r="O159" s="252">
        <f>+O161+O167+O173+O179</f>
        <v>0</v>
      </c>
      <c r="P159" s="253">
        <f>+O159-N159</f>
        <v>0</v>
      </c>
      <c r="Q159" s="252">
        <f>+Q161+Q167+Q173+Q179</f>
        <v>0</v>
      </c>
      <c r="R159" s="285"/>
      <c r="S159" s="285"/>
      <c r="T159" s="285"/>
      <c r="U159" s="285"/>
      <c r="V159" s="285"/>
      <c r="W159" s="285"/>
      <c r="X159" s="252">
        <f>+X161+X167+X173+X179</f>
        <v>0</v>
      </c>
      <c r="Y159" s="285"/>
      <c r="Z159" s="211"/>
      <c r="AA159" s="211"/>
    </row>
    <row r="160" spans="2:34" s="204" customFormat="1" x14ac:dyDescent="0.25">
      <c r="B160" s="293"/>
      <c r="C160" s="293"/>
      <c r="D160" s="305"/>
      <c r="E160" s="230"/>
      <c r="F160" s="230"/>
      <c r="G160" s="230"/>
      <c r="H160" s="231"/>
      <c r="I160" s="230"/>
      <c r="J160" s="230"/>
      <c r="K160" s="230"/>
      <c r="L160" s="306"/>
      <c r="M160" s="211"/>
      <c r="N160" s="254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2:32" s="204" customFormat="1" x14ac:dyDescent="0.25">
      <c r="B161" s="292" t="s">
        <v>384</v>
      </c>
      <c r="C161" s="292" t="s">
        <v>385</v>
      </c>
      <c r="D161" s="301" t="s">
        <v>3123</v>
      </c>
      <c r="E161" s="247"/>
      <c r="F161" s="247"/>
      <c r="G161" s="247"/>
      <c r="H161" s="248"/>
      <c r="I161" s="247"/>
      <c r="J161" s="247"/>
      <c r="K161" s="249"/>
      <c r="L161" s="257" t="s">
        <v>388</v>
      </c>
      <c r="M161" s="251" t="s">
        <v>2962</v>
      </c>
      <c r="N161" s="252">
        <f>SUM(N164:N165)</f>
        <v>0</v>
      </c>
      <c r="O161" s="252">
        <f>SUM(O164:O165)</f>
        <v>0</v>
      </c>
      <c r="P161" s="259">
        <f>+O161-N161</f>
        <v>0</v>
      </c>
      <c r="Q161" s="252">
        <f>SUM(Q164:Q165)</f>
        <v>0</v>
      </c>
      <c r="R161" s="252">
        <f>SUM(R164:R165)</f>
        <v>0</v>
      </c>
      <c r="S161" s="252">
        <f>SUM(S164:S165)</f>
        <v>0</v>
      </c>
      <c r="V161" s="211"/>
      <c r="W161" s="252">
        <f>SUM(W164:W165)</f>
        <v>0</v>
      </c>
      <c r="X161" s="252">
        <f>SUM(X164:X165)</f>
        <v>0</v>
      </c>
      <c r="Y161" s="252">
        <f>SUM(Y164:Y165)</f>
        <v>0</v>
      </c>
      <c r="Z161" s="252">
        <f>SUM(Z164:Z165)</f>
        <v>0</v>
      </c>
      <c r="AA161" s="211"/>
    </row>
    <row r="162" spans="2:32" s="204" customFormat="1" x14ac:dyDescent="0.25">
      <c r="B162" s="293"/>
      <c r="C162" s="293"/>
      <c r="D162" s="230"/>
      <c r="E162" s="230"/>
      <c r="F162" s="230"/>
      <c r="G162" s="230"/>
      <c r="H162" s="231"/>
      <c r="I162" s="230"/>
      <c r="J162" s="230"/>
      <c r="K162" s="230"/>
      <c r="L162" s="232"/>
      <c r="M162" s="211"/>
      <c r="N162" s="211"/>
      <c r="O162" s="211"/>
      <c r="P162" s="211"/>
      <c r="Q162" s="211"/>
      <c r="V162" s="211"/>
      <c r="W162" s="211"/>
      <c r="X162" s="211"/>
      <c r="Y162" s="211"/>
      <c r="Z162" s="211"/>
      <c r="AA162" s="211"/>
    </row>
    <row r="163" spans="2:32" s="204" customFormat="1" ht="89.25" x14ac:dyDescent="0.25">
      <c r="B163" s="294" t="s">
        <v>2968</v>
      </c>
      <c r="C163" s="294" t="s">
        <v>2969</v>
      </c>
      <c r="D163" s="206" t="s">
        <v>72</v>
      </c>
      <c r="E163" s="206"/>
      <c r="F163" s="206"/>
      <c r="G163" s="207"/>
      <c r="H163" s="207"/>
      <c r="I163" s="207"/>
      <c r="J163" s="207" t="s">
        <v>2957</v>
      </c>
      <c r="K163" s="206" t="s">
        <v>82</v>
      </c>
      <c r="L163" s="261" t="s">
        <v>2970</v>
      </c>
      <c r="M163" s="260"/>
      <c r="N163" s="256" t="str">
        <f>N$15</f>
        <v>Valore netto al 31/12/2019</v>
      </c>
      <c r="O163" s="256" t="str">
        <f>O$15</f>
        <v>Valore netto al 31/12/2020</v>
      </c>
      <c r="P163" s="256" t="str">
        <f>P$15</f>
        <v>Variazione</v>
      </c>
      <c r="Q163" s="262" t="s">
        <v>2971</v>
      </c>
      <c r="R163" s="262" t="str">
        <f>"Fondo svalutazione 31/12/"&amp;Info!$B$3-1</f>
        <v>Fondo svalutazione 31/12/2019</v>
      </c>
      <c r="S163" s="262" t="s">
        <v>2972</v>
      </c>
      <c r="V163" s="211"/>
      <c r="W163" s="262" t="s">
        <v>4391</v>
      </c>
      <c r="X163" s="262" t="s">
        <v>2976</v>
      </c>
      <c r="Y163" s="262" t="s">
        <v>3124</v>
      </c>
      <c r="Z163" s="262" t="s">
        <v>3125</v>
      </c>
      <c r="AA163" s="211"/>
      <c r="AB163" s="211"/>
      <c r="AC163" s="211"/>
      <c r="AD163" s="211"/>
      <c r="AE163" s="211"/>
      <c r="AF163" s="211"/>
    </row>
    <row r="164" spans="2:32" s="204" customFormat="1" x14ac:dyDescent="0.25">
      <c r="B164" s="273" t="s">
        <v>389</v>
      </c>
      <c r="C164" s="273" t="s">
        <v>390</v>
      </c>
      <c r="D164" s="264" t="s">
        <v>3126</v>
      </c>
      <c r="E164" s="264"/>
      <c r="F164" s="264"/>
      <c r="G164" s="265"/>
      <c r="H164" s="266"/>
      <c r="I164" s="267"/>
      <c r="J164" s="267"/>
      <c r="K164" s="267"/>
      <c r="L164" s="268" t="s">
        <v>3127</v>
      </c>
      <c r="M164" s="263" t="s">
        <v>2962</v>
      </c>
      <c r="N164" s="269">
        <f>+R164</f>
        <v>0</v>
      </c>
      <c r="O164" s="270">
        <f>+R164+S164+X164-ABS(Y164)+ABS(Z164)+W164+Q164</f>
        <v>0</v>
      </c>
      <c r="P164" s="271">
        <f>+O164-N164</f>
        <v>0</v>
      </c>
      <c r="Q164" s="520"/>
      <c r="R164" s="354">
        <f>IF(ISERROR(VLOOKUP("SOC"&amp;$C164,ESTR_PREC_SP!$A$2:$G$2000,4,FALSE))=TRUE,0,VLOOKUP("SOC"&amp;$C164,ESTR_PREC_SP!$A$2:$G$2000,4,FALSE))</f>
        <v>0</v>
      </c>
      <c r="S164" s="521"/>
      <c r="V164" s="211"/>
      <c r="W164" s="520"/>
      <c r="X164" s="520"/>
      <c r="Y164" s="520"/>
      <c r="Z164" s="520"/>
      <c r="AA164" s="211"/>
      <c r="AB164" s="211"/>
      <c r="AC164" s="211"/>
      <c r="AD164" s="211"/>
      <c r="AE164" s="211"/>
      <c r="AF164" s="211"/>
    </row>
    <row r="165" spans="2:32" s="204" customFormat="1" x14ac:dyDescent="0.25">
      <c r="B165" s="273" t="s">
        <v>392</v>
      </c>
      <c r="C165" s="273" t="s">
        <v>393</v>
      </c>
      <c r="D165" s="274" t="s">
        <v>3128</v>
      </c>
      <c r="E165" s="264"/>
      <c r="F165" s="264"/>
      <c r="G165" s="265"/>
      <c r="H165" s="266"/>
      <c r="I165" s="267"/>
      <c r="J165" s="267"/>
      <c r="K165" s="267"/>
      <c r="L165" s="268" t="s">
        <v>3129</v>
      </c>
      <c r="M165" s="263" t="s">
        <v>2962</v>
      </c>
      <c r="N165" s="269">
        <f>+R165</f>
        <v>0</v>
      </c>
      <c r="O165" s="270">
        <f>+R165+S165+X165-ABS(Y165)+ABS(Z165)+W165+Q165</f>
        <v>0</v>
      </c>
      <c r="P165" s="271">
        <f>+O165-N165</f>
        <v>0</v>
      </c>
      <c r="Q165" s="520"/>
      <c r="R165" s="354">
        <f>IF(ISERROR(VLOOKUP("SOC"&amp;$C165,ESTR_PREC_SP!$A$2:$G$2000,4,FALSE))=TRUE,0,VLOOKUP("SOC"&amp;$C165,ESTR_PREC_SP!$A$2:$G$2000,4,FALSE))</f>
        <v>0</v>
      </c>
      <c r="S165" s="521"/>
      <c r="V165" s="211"/>
      <c r="W165" s="520"/>
      <c r="X165" s="520"/>
      <c r="Y165" s="520"/>
      <c r="Z165" s="520"/>
      <c r="AA165" s="211"/>
      <c r="AB165" s="211"/>
      <c r="AC165" s="211"/>
      <c r="AD165" s="211"/>
      <c r="AE165" s="211"/>
      <c r="AF165" s="211"/>
    </row>
    <row r="166" spans="2:32" s="204" customFormat="1" x14ac:dyDescent="0.25">
      <c r="B166" s="293"/>
      <c r="C166" s="293"/>
      <c r="D166" s="304"/>
      <c r="E166" s="230"/>
      <c r="F166" s="230"/>
      <c r="G166" s="230"/>
      <c r="H166" s="231"/>
      <c r="I166" s="230"/>
      <c r="J166" s="230"/>
      <c r="K166" s="230"/>
      <c r="L166" s="306"/>
      <c r="M166" s="211"/>
      <c r="N166" s="254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2:32" s="204" customFormat="1" x14ac:dyDescent="0.25">
      <c r="B167" s="292" t="s">
        <v>395</v>
      </c>
      <c r="C167" s="292" t="s">
        <v>396</v>
      </c>
      <c r="D167" s="301" t="s">
        <v>3130</v>
      </c>
      <c r="E167" s="247"/>
      <c r="F167" s="247"/>
      <c r="G167" s="247"/>
      <c r="H167" s="248"/>
      <c r="I167" s="247"/>
      <c r="J167" s="247"/>
      <c r="K167" s="249"/>
      <c r="L167" s="257" t="s">
        <v>399</v>
      </c>
      <c r="M167" s="251" t="s">
        <v>2962</v>
      </c>
      <c r="N167" s="252">
        <f>SUM(N170:N171)</f>
        <v>0</v>
      </c>
      <c r="O167" s="252">
        <f>SUM(O170:O171)</f>
        <v>0</v>
      </c>
      <c r="P167" s="259">
        <f>+O167-N167</f>
        <v>0</v>
      </c>
      <c r="Q167" s="252">
        <f>SUM(Q170:Q171)</f>
        <v>0</v>
      </c>
      <c r="R167" s="252">
        <f>SUM(R170:R171)</f>
        <v>0</v>
      </c>
      <c r="S167" s="252">
        <f>SUM(S170:S171)</f>
        <v>0</v>
      </c>
      <c r="V167" s="211"/>
      <c r="W167" s="252">
        <f>SUM(W170:W171)</f>
        <v>0</v>
      </c>
      <c r="X167" s="252">
        <f>SUM(X170:X171)</f>
        <v>0</v>
      </c>
      <c r="Y167" s="252">
        <f>SUM(Y170:Y171)</f>
        <v>0</v>
      </c>
      <c r="Z167" s="252">
        <f>SUM(Z170:Z171)</f>
        <v>0</v>
      </c>
      <c r="AA167" s="211"/>
    </row>
    <row r="168" spans="2:32" s="204" customFormat="1" x14ac:dyDescent="0.25">
      <c r="B168" s="293"/>
      <c r="C168" s="293"/>
      <c r="D168" s="230"/>
      <c r="E168" s="230"/>
      <c r="F168" s="230"/>
      <c r="G168" s="230"/>
      <c r="H168" s="231"/>
      <c r="I168" s="230"/>
      <c r="J168" s="230"/>
      <c r="K168" s="230"/>
      <c r="L168" s="232"/>
      <c r="M168" s="211"/>
      <c r="N168" s="211"/>
      <c r="O168" s="211"/>
      <c r="P168" s="211"/>
      <c r="Q168" s="211"/>
      <c r="V168" s="211"/>
      <c r="W168" s="211"/>
      <c r="X168" s="211"/>
      <c r="Y168" s="211"/>
      <c r="Z168" s="211"/>
      <c r="AA168" s="211"/>
    </row>
    <row r="169" spans="2:32" s="204" customFormat="1" ht="89.25" x14ac:dyDescent="0.25">
      <c r="B169" s="294" t="s">
        <v>2968</v>
      </c>
      <c r="C169" s="294" t="s">
        <v>2969</v>
      </c>
      <c r="D169" s="206" t="s">
        <v>72</v>
      </c>
      <c r="E169" s="206"/>
      <c r="F169" s="206"/>
      <c r="G169" s="207"/>
      <c r="H169" s="207"/>
      <c r="I169" s="207"/>
      <c r="J169" s="207" t="s">
        <v>2957</v>
      </c>
      <c r="K169" s="206" t="s">
        <v>82</v>
      </c>
      <c r="L169" s="261" t="s">
        <v>2970</v>
      </c>
      <c r="M169" s="260"/>
      <c r="N169" s="256" t="str">
        <f>N$15</f>
        <v>Valore netto al 31/12/2019</v>
      </c>
      <c r="O169" s="256" t="str">
        <f>O$15</f>
        <v>Valore netto al 31/12/2020</v>
      </c>
      <c r="P169" s="256" t="str">
        <f>P$15</f>
        <v>Variazione</v>
      </c>
      <c r="Q169" s="262" t="s">
        <v>2971</v>
      </c>
      <c r="R169" s="262" t="str">
        <f>"Fondo svalutazione 31/12/"&amp;Info!$B$3-1</f>
        <v>Fondo svalutazione 31/12/2019</v>
      </c>
      <c r="S169" s="262" t="s">
        <v>2972</v>
      </c>
      <c r="V169" s="211"/>
      <c r="W169" s="262" t="s">
        <v>4391</v>
      </c>
      <c r="X169" s="262" t="s">
        <v>2976</v>
      </c>
      <c r="Y169" s="262" t="s">
        <v>3124</v>
      </c>
      <c r="Z169" s="262" t="s">
        <v>3125</v>
      </c>
      <c r="AA169" s="211"/>
      <c r="AB169" s="211"/>
      <c r="AC169" s="211"/>
      <c r="AD169" s="211"/>
      <c r="AE169" s="211"/>
    </row>
    <row r="170" spans="2:32" s="204" customFormat="1" x14ac:dyDescent="0.25">
      <c r="B170" s="273" t="s">
        <v>400</v>
      </c>
      <c r="C170" s="273" t="s">
        <v>401</v>
      </c>
      <c r="D170" s="264" t="s">
        <v>3131</v>
      </c>
      <c r="E170" s="264"/>
      <c r="F170" s="264"/>
      <c r="G170" s="265"/>
      <c r="H170" s="266"/>
      <c r="I170" s="267"/>
      <c r="J170" s="267"/>
      <c r="K170" s="267"/>
      <c r="L170" s="268" t="s">
        <v>3132</v>
      </c>
      <c r="M170" s="263" t="s">
        <v>2962</v>
      </c>
      <c r="N170" s="269">
        <f>+R170+S170-T170</f>
        <v>0</v>
      </c>
      <c r="O170" s="270">
        <f>+R170+S170+X170-ABS(Y170)+ABS(Z170)+W170+Q170</f>
        <v>0</v>
      </c>
      <c r="P170" s="271">
        <f>+O170-N170</f>
        <v>0</v>
      </c>
      <c r="Q170" s="520"/>
      <c r="R170" s="354">
        <f>IF(ISERROR(VLOOKUP("SOC"&amp;$C170,ESTR_PREC_SP!$A$2:$G$2000,4,FALSE))=TRUE,0,VLOOKUP("SOC"&amp;$C170,ESTR_PREC_SP!$A$2:$G$2000,4,FALSE))</f>
        <v>0</v>
      </c>
      <c r="S170" s="521"/>
      <c r="V170" s="211"/>
      <c r="W170" s="520"/>
      <c r="X170" s="520"/>
      <c r="Y170" s="520"/>
      <c r="Z170" s="520"/>
      <c r="AA170" s="211"/>
      <c r="AB170" s="211"/>
      <c r="AC170" s="211"/>
      <c r="AD170" s="211"/>
      <c r="AE170" s="211"/>
    </row>
    <row r="171" spans="2:32" s="204" customFormat="1" x14ac:dyDescent="0.25">
      <c r="B171" s="273" t="s">
        <v>403</v>
      </c>
      <c r="C171" s="273" t="s">
        <v>404</v>
      </c>
      <c r="D171" s="274" t="s">
        <v>3133</v>
      </c>
      <c r="E171" s="264"/>
      <c r="F171" s="264"/>
      <c r="G171" s="265"/>
      <c r="H171" s="266"/>
      <c r="I171" s="267"/>
      <c r="J171" s="267"/>
      <c r="K171" s="267"/>
      <c r="L171" s="268" t="s">
        <v>3134</v>
      </c>
      <c r="M171" s="263" t="s">
        <v>2962</v>
      </c>
      <c r="N171" s="269">
        <f>+R171+S171-T171</f>
        <v>0</v>
      </c>
      <c r="O171" s="270">
        <f>+R171+S171+X171-ABS(Y171)+ABS(Z171)+W171+Q171</f>
        <v>0</v>
      </c>
      <c r="P171" s="271">
        <f>+O171-N171</f>
        <v>0</v>
      </c>
      <c r="Q171" s="520"/>
      <c r="R171" s="354">
        <f>IF(ISERROR(VLOOKUP("SOC"&amp;$C171,ESTR_PREC_SP!$A$2:$G$2000,4,FALSE))=TRUE,0,VLOOKUP("SOC"&amp;$C171,ESTR_PREC_SP!$A$2:$G$2000,4,FALSE))</f>
        <v>0</v>
      </c>
      <c r="S171" s="521"/>
      <c r="V171" s="211"/>
      <c r="W171" s="520"/>
      <c r="X171" s="520"/>
      <c r="Y171" s="520"/>
      <c r="Z171" s="520"/>
      <c r="AA171" s="211"/>
      <c r="AB171" s="211"/>
      <c r="AC171" s="211"/>
      <c r="AD171" s="211"/>
      <c r="AE171" s="211"/>
    </row>
    <row r="172" spans="2:32" s="204" customFormat="1" x14ac:dyDescent="0.25">
      <c r="B172" s="293"/>
      <c r="C172" s="293"/>
      <c r="D172" s="304"/>
      <c r="E172" s="230"/>
      <c r="F172" s="230"/>
      <c r="G172" s="230"/>
      <c r="H172" s="231"/>
      <c r="I172" s="230"/>
      <c r="J172" s="230"/>
      <c r="K172" s="230"/>
      <c r="L172" s="306"/>
      <c r="M172" s="211"/>
      <c r="N172" s="254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</row>
    <row r="173" spans="2:32" s="204" customFormat="1" ht="26.25" customHeight="1" x14ac:dyDescent="0.25">
      <c r="B173" s="292" t="s">
        <v>406</v>
      </c>
      <c r="C173" s="292" t="s">
        <v>407</v>
      </c>
      <c r="D173" s="301" t="s">
        <v>3135</v>
      </c>
      <c r="E173" s="247"/>
      <c r="F173" s="247"/>
      <c r="G173" s="247"/>
      <c r="H173" s="248"/>
      <c r="I173" s="247"/>
      <c r="J173" s="247"/>
      <c r="K173" s="249"/>
      <c r="L173" s="257" t="s">
        <v>410</v>
      </c>
      <c r="M173" s="251" t="s">
        <v>2962</v>
      </c>
      <c r="N173" s="252">
        <f>SUM(N176:N177)</f>
        <v>0</v>
      </c>
      <c r="O173" s="252">
        <f>SUM(O176:O177)</f>
        <v>0</v>
      </c>
      <c r="P173" s="259">
        <f>+O173-N173</f>
        <v>0</v>
      </c>
      <c r="Q173" s="252">
        <f>SUM(Q176:Q177)</f>
        <v>0</v>
      </c>
      <c r="R173" s="252">
        <f>SUM(R176:R177)</f>
        <v>0</v>
      </c>
      <c r="S173" s="252">
        <f>SUM(S176:S177)</f>
        <v>0</v>
      </c>
      <c r="V173" s="211"/>
      <c r="W173" s="252">
        <f>SUM(W176:W177)</f>
        <v>0</v>
      </c>
      <c r="X173" s="252">
        <f>SUM(X176:X177)</f>
        <v>0</v>
      </c>
      <c r="Y173" s="252">
        <f>SUM(Y176:Y177)</f>
        <v>0</v>
      </c>
      <c r="Z173" s="252">
        <f>SUM(Z176:Z177)</f>
        <v>0</v>
      </c>
      <c r="AA173" s="211"/>
    </row>
    <row r="174" spans="2:32" s="204" customFormat="1" x14ac:dyDescent="0.25">
      <c r="B174" s="293"/>
      <c r="C174" s="293"/>
      <c r="D174" s="230"/>
      <c r="E174" s="230"/>
      <c r="F174" s="230"/>
      <c r="G174" s="230"/>
      <c r="H174" s="231"/>
      <c r="I174" s="230"/>
      <c r="J174" s="230"/>
      <c r="K174" s="230"/>
      <c r="L174" s="232"/>
      <c r="M174" s="211"/>
      <c r="N174" s="211"/>
      <c r="O174" s="211"/>
      <c r="P174" s="211"/>
      <c r="Q174" s="211"/>
      <c r="V174" s="211"/>
      <c r="W174" s="211"/>
      <c r="X174" s="211"/>
      <c r="Y174" s="211"/>
      <c r="Z174" s="211"/>
      <c r="AA174" s="211"/>
    </row>
    <row r="175" spans="2:32" s="204" customFormat="1" ht="89.25" x14ac:dyDescent="0.25">
      <c r="B175" s="294" t="s">
        <v>2968</v>
      </c>
      <c r="C175" s="294" t="s">
        <v>2969</v>
      </c>
      <c r="D175" s="206" t="s">
        <v>72</v>
      </c>
      <c r="E175" s="206"/>
      <c r="F175" s="206"/>
      <c r="G175" s="207"/>
      <c r="H175" s="207"/>
      <c r="I175" s="207"/>
      <c r="J175" s="207" t="s">
        <v>2957</v>
      </c>
      <c r="K175" s="206" t="s">
        <v>82</v>
      </c>
      <c r="L175" s="261" t="s">
        <v>2970</v>
      </c>
      <c r="M175" s="260"/>
      <c r="N175" s="256" t="str">
        <f>N$15</f>
        <v>Valore netto al 31/12/2019</v>
      </c>
      <c r="O175" s="256" t="str">
        <f>O$15</f>
        <v>Valore netto al 31/12/2020</v>
      </c>
      <c r="P175" s="256" t="str">
        <f>P$15</f>
        <v>Variazione</v>
      </c>
      <c r="Q175" s="262" t="s">
        <v>2971</v>
      </c>
      <c r="R175" s="262" t="str">
        <f>"Fondo svalutazione 31/12/"&amp;Info!$B$3-1</f>
        <v>Fondo svalutazione 31/12/2019</v>
      </c>
      <c r="S175" s="262" t="s">
        <v>2972</v>
      </c>
      <c r="V175" s="211"/>
      <c r="W175" s="262" t="s">
        <v>4391</v>
      </c>
      <c r="X175" s="262" t="s">
        <v>2976</v>
      </c>
      <c r="Y175" s="262" t="s">
        <v>3124</v>
      </c>
      <c r="Z175" s="262" t="s">
        <v>3125</v>
      </c>
      <c r="AA175" s="211"/>
      <c r="AB175" s="211"/>
      <c r="AC175" s="211"/>
      <c r="AD175" s="211"/>
      <c r="AE175" s="211"/>
    </row>
    <row r="176" spans="2:32" s="204" customFormat="1" x14ac:dyDescent="0.25">
      <c r="B176" s="273" t="s">
        <v>411</v>
      </c>
      <c r="C176" s="273" t="s">
        <v>412</v>
      </c>
      <c r="D176" s="264" t="s">
        <v>3136</v>
      </c>
      <c r="E176" s="264"/>
      <c r="F176" s="264"/>
      <c r="G176" s="265"/>
      <c r="H176" s="266"/>
      <c r="I176" s="267"/>
      <c r="J176" s="267"/>
      <c r="K176" s="267"/>
      <c r="L176" s="268" t="s">
        <v>3137</v>
      </c>
      <c r="M176" s="263" t="s">
        <v>2962</v>
      </c>
      <c r="N176" s="269">
        <f>+R176+S176-T176</f>
        <v>0</v>
      </c>
      <c r="O176" s="270">
        <f>+R176+S176+X176-ABS(Y176)+ABS(Z176)+W176+Q176</f>
        <v>0</v>
      </c>
      <c r="P176" s="271">
        <f>+O176-N176</f>
        <v>0</v>
      </c>
      <c r="Q176" s="520"/>
      <c r="R176" s="354">
        <f>IF(ISERROR(VLOOKUP("SOC"&amp;$C176,ESTR_PREC_SP!$A$2:$G$2000,4,FALSE))=TRUE,0,VLOOKUP("SOC"&amp;$C176,ESTR_PREC_SP!$A$2:$G$2000,4,FALSE))</f>
        <v>0</v>
      </c>
      <c r="S176" s="521"/>
      <c r="V176" s="211"/>
      <c r="W176" s="520"/>
      <c r="X176" s="520"/>
      <c r="Y176" s="520"/>
      <c r="Z176" s="520"/>
      <c r="AA176" s="211"/>
      <c r="AB176" s="211"/>
      <c r="AC176" s="211"/>
      <c r="AD176" s="211"/>
      <c r="AE176" s="211"/>
    </row>
    <row r="177" spans="2:31" s="204" customFormat="1" x14ac:dyDescent="0.25">
      <c r="B177" s="273" t="s">
        <v>414</v>
      </c>
      <c r="C177" s="273" t="s">
        <v>415</v>
      </c>
      <c r="D177" s="274" t="s">
        <v>3138</v>
      </c>
      <c r="E177" s="264"/>
      <c r="F177" s="264"/>
      <c r="G177" s="265"/>
      <c r="H177" s="266"/>
      <c r="I177" s="267"/>
      <c r="J177" s="267"/>
      <c r="K177" s="267"/>
      <c r="L177" s="268" t="s">
        <v>3139</v>
      </c>
      <c r="M177" s="263" t="s">
        <v>2962</v>
      </c>
      <c r="N177" s="269">
        <f>+R177+S177-T177</f>
        <v>0</v>
      </c>
      <c r="O177" s="270">
        <f>+R177+S177+X177-ABS(Y177)+ABS(Z177)+W177+Q177</f>
        <v>0</v>
      </c>
      <c r="P177" s="271">
        <f>+O177-N177</f>
        <v>0</v>
      </c>
      <c r="Q177" s="520"/>
      <c r="R177" s="354">
        <f>IF(ISERROR(VLOOKUP("SOC"&amp;$C177,ESTR_PREC_SP!$A$2:$G$2000,4,FALSE))=TRUE,0,VLOOKUP("SOC"&amp;$C177,ESTR_PREC_SP!$A$2:$G$2000,4,FALSE))</f>
        <v>0</v>
      </c>
      <c r="S177" s="521"/>
      <c r="V177" s="211"/>
      <c r="W177" s="520"/>
      <c r="X177" s="520"/>
      <c r="Y177" s="520"/>
      <c r="Z177" s="520"/>
      <c r="AA177" s="211"/>
      <c r="AB177" s="211"/>
      <c r="AC177" s="211"/>
      <c r="AD177" s="211"/>
      <c r="AE177" s="211"/>
    </row>
    <row r="178" spans="2:31" s="204" customFormat="1" x14ac:dyDescent="0.25">
      <c r="B178" s="293"/>
      <c r="C178" s="293"/>
      <c r="D178" s="304"/>
      <c r="E178" s="230"/>
      <c r="F178" s="230"/>
      <c r="G178" s="230"/>
      <c r="H178" s="231"/>
      <c r="I178" s="230"/>
      <c r="J178" s="230"/>
      <c r="K178" s="230"/>
      <c r="L178" s="306"/>
      <c r="M178" s="211"/>
      <c r="N178" s="254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2:31" s="204" customFormat="1" x14ac:dyDescent="0.25">
      <c r="B179" s="292" t="s">
        <v>417</v>
      </c>
      <c r="C179" s="292" t="s">
        <v>418</v>
      </c>
      <c r="D179" s="301" t="s">
        <v>3140</v>
      </c>
      <c r="E179" s="247"/>
      <c r="F179" s="247"/>
      <c r="G179" s="247"/>
      <c r="H179" s="248"/>
      <c r="I179" s="247"/>
      <c r="J179" s="247"/>
      <c r="K179" s="249"/>
      <c r="L179" s="257" t="s">
        <v>421</v>
      </c>
      <c r="M179" s="251" t="s">
        <v>2962</v>
      </c>
      <c r="N179" s="252">
        <f>SUM(N182:N183)</f>
        <v>0</v>
      </c>
      <c r="O179" s="252">
        <f>SUM(O182:O183)</f>
        <v>0</v>
      </c>
      <c r="P179" s="259">
        <f>+O179-N179</f>
        <v>0</v>
      </c>
      <c r="Q179" s="252">
        <f>SUM(Q182:Q183)</f>
        <v>0</v>
      </c>
      <c r="R179" s="252">
        <f>SUM(R182:R183)</f>
        <v>0</v>
      </c>
      <c r="S179" s="252">
        <f>SUM(S182:S183)</f>
        <v>0</v>
      </c>
      <c r="V179" s="211"/>
      <c r="W179" s="252">
        <f>SUM(W182:W183)</f>
        <v>0</v>
      </c>
      <c r="X179" s="252">
        <f>SUM(X182:X183)</f>
        <v>0</v>
      </c>
      <c r="Y179" s="252">
        <f>SUM(Y182:Y183)</f>
        <v>0</v>
      </c>
      <c r="Z179" s="252">
        <f>SUM(Z182:Z183)</f>
        <v>0</v>
      </c>
      <c r="AA179" s="211"/>
    </row>
    <row r="180" spans="2:31" s="204" customFormat="1" x14ac:dyDescent="0.25">
      <c r="B180" s="293"/>
      <c r="C180" s="293"/>
      <c r="D180" s="230"/>
      <c r="E180" s="230"/>
      <c r="F180" s="230"/>
      <c r="G180" s="230"/>
      <c r="H180" s="231"/>
      <c r="I180" s="230"/>
      <c r="J180" s="230"/>
      <c r="K180" s="230"/>
      <c r="L180" s="232"/>
      <c r="M180" s="211"/>
      <c r="N180" s="211"/>
      <c r="O180" s="211"/>
      <c r="P180" s="211"/>
      <c r="Q180" s="211"/>
      <c r="V180" s="211"/>
      <c r="W180" s="211"/>
      <c r="X180" s="211"/>
      <c r="Y180" s="211"/>
      <c r="Z180" s="211"/>
      <c r="AA180" s="211"/>
    </row>
    <row r="181" spans="2:31" s="204" customFormat="1" ht="89.25" x14ac:dyDescent="0.25">
      <c r="B181" s="294" t="s">
        <v>2968</v>
      </c>
      <c r="C181" s="294" t="s">
        <v>2969</v>
      </c>
      <c r="D181" s="206" t="s">
        <v>72</v>
      </c>
      <c r="E181" s="206"/>
      <c r="F181" s="206"/>
      <c r="G181" s="207"/>
      <c r="H181" s="207"/>
      <c r="I181" s="207"/>
      <c r="J181" s="207" t="s">
        <v>2957</v>
      </c>
      <c r="K181" s="206" t="s">
        <v>82</v>
      </c>
      <c r="L181" s="261" t="s">
        <v>2970</v>
      </c>
      <c r="M181" s="260"/>
      <c r="N181" s="256" t="str">
        <f>N$15</f>
        <v>Valore netto al 31/12/2019</v>
      </c>
      <c r="O181" s="256" t="str">
        <f>O$15</f>
        <v>Valore netto al 31/12/2020</v>
      </c>
      <c r="P181" s="256" t="str">
        <f>P$15</f>
        <v>Variazione</v>
      </c>
      <c r="Q181" s="262" t="s">
        <v>2971</v>
      </c>
      <c r="R181" s="262" t="str">
        <f>"Fondo svalutazione 31/12/"&amp;Info!$B$3-1</f>
        <v>Fondo svalutazione 31/12/2019</v>
      </c>
      <c r="S181" s="262" t="s">
        <v>2972</v>
      </c>
      <c r="V181" s="211"/>
      <c r="W181" s="262" t="s">
        <v>4391</v>
      </c>
      <c r="X181" s="262" t="s">
        <v>2976</v>
      </c>
      <c r="Y181" s="262" t="s">
        <v>3124</v>
      </c>
      <c r="Z181" s="262" t="s">
        <v>3125</v>
      </c>
      <c r="AA181" s="211"/>
      <c r="AB181" s="211"/>
      <c r="AC181" s="211"/>
      <c r="AD181" s="211"/>
      <c r="AE181" s="211"/>
    </row>
    <row r="182" spans="2:31" s="204" customFormat="1" x14ac:dyDescent="0.25">
      <c r="B182" s="273" t="s">
        <v>422</v>
      </c>
      <c r="C182" s="273" t="s">
        <v>423</v>
      </c>
      <c r="D182" s="264" t="s">
        <v>3141</v>
      </c>
      <c r="E182" s="264"/>
      <c r="F182" s="264"/>
      <c r="G182" s="265"/>
      <c r="H182" s="266"/>
      <c r="I182" s="267"/>
      <c r="J182" s="267"/>
      <c r="K182" s="267"/>
      <c r="L182" s="268" t="s">
        <v>3142</v>
      </c>
      <c r="M182" s="263" t="s">
        <v>2962</v>
      </c>
      <c r="N182" s="269">
        <f>+R182+S182-T182</f>
        <v>0</v>
      </c>
      <c r="O182" s="270">
        <f>+R182+S182+X182-ABS(Y182)+ABS(Z182)+W182+Q182</f>
        <v>0</v>
      </c>
      <c r="P182" s="271">
        <f>+O182-N182</f>
        <v>0</v>
      </c>
      <c r="Q182" s="520"/>
      <c r="R182" s="354">
        <f>IF(ISERROR(VLOOKUP("SOC"&amp;$C182,ESTR_PREC_SP!$A$2:$G$2000,4,FALSE))=TRUE,0,VLOOKUP("SOC"&amp;$C182,ESTR_PREC_SP!$A$2:$G$2000,4,FALSE))</f>
        <v>0</v>
      </c>
      <c r="S182" s="521">
        <f>IF(ISERROR(VLOOKUP("SAN"&amp;$C182,ESTR_PREC_SP!$A$2:$G$2000,4,FALSE))=TRUE,0,VLOOKUP("SAN"&amp;$C182,ESTR_PREC_SP!$A$2:$G$2000,4,FALSE))</f>
        <v>0</v>
      </c>
      <c r="V182" s="211"/>
      <c r="W182" s="520"/>
      <c r="X182" s="520"/>
      <c r="Y182" s="520"/>
      <c r="Z182" s="520"/>
      <c r="AA182" s="211"/>
      <c r="AB182" s="211"/>
      <c r="AC182" s="211"/>
      <c r="AD182" s="211"/>
      <c r="AE182" s="211"/>
    </row>
    <row r="183" spans="2:31" s="204" customFormat="1" x14ac:dyDescent="0.25">
      <c r="B183" s="273" t="s">
        <v>425</v>
      </c>
      <c r="C183" s="273" t="s">
        <v>426</v>
      </c>
      <c r="D183" s="264" t="s">
        <v>3143</v>
      </c>
      <c r="E183" s="264"/>
      <c r="F183" s="264"/>
      <c r="G183" s="265"/>
      <c r="H183" s="266"/>
      <c r="I183" s="267"/>
      <c r="J183" s="267"/>
      <c r="K183" s="267"/>
      <c r="L183" s="268" t="s">
        <v>3144</v>
      </c>
      <c r="M183" s="263" t="s">
        <v>2962</v>
      </c>
      <c r="N183" s="269">
        <f>+R183+S183-T183</f>
        <v>0</v>
      </c>
      <c r="O183" s="270">
        <f>+R183+S183+X183-ABS(Y183)+ABS(Z183)+W183+Q183</f>
        <v>0</v>
      </c>
      <c r="P183" s="271">
        <f>+O183-N183</f>
        <v>0</v>
      </c>
      <c r="Q183" s="520"/>
      <c r="R183" s="354">
        <f>IF(ISERROR(VLOOKUP("SOC"&amp;$C183,ESTR_PREC_SP!$A$2:$G$2000,4,FALSE))=TRUE,0,VLOOKUP("SOC"&amp;$C183,ESTR_PREC_SP!$A$2:$G$2000,4,FALSE))</f>
        <v>0</v>
      </c>
      <c r="S183" s="521">
        <f>IF(ISERROR(VLOOKUP("SAN"&amp;$C183,ESTR_PREC_SP!$A$2:$G$2000,4,FALSE))=TRUE,0,VLOOKUP("SAN"&amp;$C183,ESTR_PREC_SP!$A$2:$G$2000,4,FALSE))</f>
        <v>0</v>
      </c>
      <c r="V183" s="211"/>
      <c r="W183" s="520"/>
      <c r="X183" s="520"/>
      <c r="Y183" s="520"/>
      <c r="Z183" s="520"/>
      <c r="AA183" s="211"/>
      <c r="AB183" s="211"/>
      <c r="AC183" s="211"/>
      <c r="AD183" s="211"/>
      <c r="AE183" s="211"/>
    </row>
    <row r="184" spans="2:31" s="204" customFormat="1" x14ac:dyDescent="0.25">
      <c r="B184" s="293"/>
      <c r="C184" s="293"/>
      <c r="D184" s="230"/>
      <c r="E184" s="230"/>
      <c r="F184" s="230"/>
      <c r="G184" s="230"/>
      <c r="H184" s="231"/>
      <c r="I184" s="230"/>
      <c r="J184" s="230"/>
      <c r="K184" s="230"/>
      <c r="L184" s="232"/>
      <c r="M184" s="211"/>
      <c r="N184" s="254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2:31" s="204" customFormat="1" ht="38.25" x14ac:dyDescent="0.25">
      <c r="B185" s="293"/>
      <c r="C185" s="293"/>
      <c r="D185" s="230"/>
      <c r="E185" s="230"/>
      <c r="F185" s="230"/>
      <c r="G185" s="230"/>
      <c r="H185" s="231"/>
      <c r="I185" s="230"/>
      <c r="J185" s="230"/>
      <c r="K185" s="230"/>
      <c r="L185" s="243"/>
      <c r="M185" s="244"/>
      <c r="N185" s="330" t="str">
        <f>N$15</f>
        <v>Valore netto al 31/12/2019</v>
      </c>
      <c r="O185" s="331" t="str">
        <f>O$15</f>
        <v>Valore netto al 31/12/2020</v>
      </c>
      <c r="P185" s="330" t="str">
        <f>P$15</f>
        <v>Variazione</v>
      </c>
      <c r="Q185" s="331" t="s">
        <v>2971</v>
      </c>
      <c r="R185" s="211"/>
      <c r="S185" s="308"/>
      <c r="T185" s="308"/>
      <c r="U185" s="308"/>
      <c r="V185" s="308"/>
      <c r="W185" s="308"/>
      <c r="X185" s="308"/>
      <c r="Y185" s="211"/>
      <c r="Z185" s="211"/>
      <c r="AA185" s="211"/>
    </row>
    <row r="186" spans="2:31" s="204" customFormat="1" x14ac:dyDescent="0.25">
      <c r="B186" s="292" t="s">
        <v>428</v>
      </c>
      <c r="C186" s="292" t="s">
        <v>429</v>
      </c>
      <c r="D186" s="247" t="s">
        <v>3145</v>
      </c>
      <c r="E186" s="247"/>
      <c r="F186" s="247"/>
      <c r="G186" s="247"/>
      <c r="H186" s="248"/>
      <c r="I186" s="247"/>
      <c r="J186" s="247"/>
      <c r="K186" s="249"/>
      <c r="L186" s="309" t="s">
        <v>430</v>
      </c>
      <c r="M186" s="310" t="s">
        <v>2962</v>
      </c>
      <c r="N186" s="224">
        <f>+N189+N212+N251+N290+N313+N340+N380+N417+N372-N425</f>
        <v>0</v>
      </c>
      <c r="O186" s="224">
        <f>+O189+O212+O251+O290+O313+O340+O380+O417+O372-O425</f>
        <v>0</v>
      </c>
      <c r="P186" s="311">
        <f>+O186-N186</f>
        <v>0</v>
      </c>
      <c r="Q186" s="224">
        <f>+Q189+Q212+Q251+Q290+Q313+Q340+Q380+Q417+Q372-Q425</f>
        <v>0</v>
      </c>
      <c r="R186" s="211"/>
      <c r="S186" s="224">
        <f>+S189+S212+S251+S290+S313+S340+S380+S417+S372-S425</f>
        <v>0</v>
      </c>
      <c r="T186" s="225" t="str">
        <f>IF(S186&lt;&gt;0,"SQUADRATURA ATTIVO A.II. PER GIROCONTI SU NUOVI CONTI SP","")</f>
        <v/>
      </c>
      <c r="U186" s="308"/>
      <c r="V186" s="308"/>
      <c r="W186" s="211"/>
      <c r="X186" s="224">
        <f>+X189+X212+X251+X290+X313+X340+X380+X417+X372-X425</f>
        <v>0</v>
      </c>
      <c r="Y186" s="211"/>
      <c r="Z186" s="211"/>
      <c r="AA186" s="211"/>
      <c r="AD186" s="224">
        <f>+AD189+AD216+AD234+AD253+AD292+AD315+AD342+AD374+AD382-AE417</f>
        <v>0</v>
      </c>
      <c r="AE186" s="211" t="s">
        <v>3146</v>
      </c>
    </row>
    <row r="187" spans="2:31" s="204" customFormat="1" x14ac:dyDescent="0.25">
      <c r="B187" s="293"/>
      <c r="C187" s="293"/>
      <c r="D187" s="230"/>
      <c r="E187" s="230"/>
      <c r="F187" s="230"/>
      <c r="G187" s="230"/>
      <c r="H187" s="231"/>
      <c r="I187" s="230"/>
      <c r="J187" s="230"/>
      <c r="K187" s="230"/>
      <c r="L187" s="232"/>
      <c r="M187" s="211"/>
      <c r="N187" s="254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2:31" s="204" customFormat="1" ht="38.25" x14ac:dyDescent="0.25">
      <c r="B188" s="293"/>
      <c r="C188" s="293"/>
      <c r="D188" s="230"/>
      <c r="E188" s="230"/>
      <c r="F188" s="230"/>
      <c r="G188" s="230"/>
      <c r="H188" s="231"/>
      <c r="I188" s="230"/>
      <c r="J188" s="230"/>
      <c r="K188" s="230"/>
      <c r="L188" s="255"/>
      <c r="M188" s="244"/>
      <c r="N188" s="256" t="str">
        <f>N$15</f>
        <v>Valore netto al 31/12/2019</v>
      </c>
      <c r="O188" s="256" t="str">
        <f>O$15</f>
        <v>Valore netto al 31/12/2020</v>
      </c>
      <c r="P188" s="256" t="str">
        <f>P$15</f>
        <v>Variazione</v>
      </c>
      <c r="Q188" s="262" t="s">
        <v>2971</v>
      </c>
      <c r="R188" s="211"/>
      <c r="S188" s="211"/>
      <c r="T188" s="211"/>
      <c r="U188" s="211"/>
      <c r="W188" s="211"/>
      <c r="X188" s="211"/>
      <c r="Y188" s="211"/>
      <c r="Z188" s="211"/>
      <c r="AA188" s="211"/>
    </row>
    <row r="189" spans="2:31" s="204" customFormat="1" x14ac:dyDescent="0.25">
      <c r="B189" s="292" t="s">
        <v>431</v>
      </c>
      <c r="C189" s="292" t="s">
        <v>432</v>
      </c>
      <c r="D189" s="247" t="s">
        <v>3147</v>
      </c>
      <c r="E189" s="247"/>
      <c r="F189" s="247"/>
      <c r="G189" s="247"/>
      <c r="H189" s="248"/>
      <c r="I189" s="247"/>
      <c r="J189" s="247"/>
      <c r="K189" s="249"/>
      <c r="L189" s="257" t="s">
        <v>434</v>
      </c>
      <c r="M189" s="251" t="s">
        <v>2962</v>
      </c>
      <c r="N189" s="252">
        <f>+N191+N201</f>
        <v>0</v>
      </c>
      <c r="O189" s="252">
        <f>+O191+O201</f>
        <v>0</v>
      </c>
      <c r="P189" s="253">
        <f>+O189-N189</f>
        <v>0</v>
      </c>
      <c r="Q189" s="252">
        <f>+Q191+Q201</f>
        <v>0</v>
      </c>
      <c r="R189" s="252">
        <f>+R191+R201</f>
        <v>0</v>
      </c>
      <c r="S189" s="252">
        <f>+S191+S201</f>
        <v>0</v>
      </c>
      <c r="T189" s="252">
        <f>+T191+T201</f>
        <v>0</v>
      </c>
      <c r="U189" s="252">
        <f>+U191+U201</f>
        <v>0</v>
      </c>
      <c r="W189" s="252">
        <f t="shared" ref="W189:AE189" si="15">+W191+W201</f>
        <v>0</v>
      </c>
      <c r="X189" s="252">
        <f t="shared" si="15"/>
        <v>0</v>
      </c>
      <c r="Y189" s="252">
        <f t="shared" si="15"/>
        <v>0</v>
      </c>
      <c r="Z189" s="252">
        <f t="shared" si="15"/>
        <v>0</v>
      </c>
      <c r="AA189" s="252">
        <f t="shared" si="15"/>
        <v>0</v>
      </c>
      <c r="AB189" s="252">
        <f t="shared" si="15"/>
        <v>0</v>
      </c>
      <c r="AC189" s="252">
        <f t="shared" si="15"/>
        <v>0</v>
      </c>
      <c r="AD189" s="252">
        <f t="shared" si="15"/>
        <v>0</v>
      </c>
      <c r="AE189" s="252">
        <f t="shared" si="15"/>
        <v>0</v>
      </c>
    </row>
    <row r="190" spans="2:31" s="204" customFormat="1" x14ac:dyDescent="0.25">
      <c r="B190" s="293"/>
      <c r="C190" s="293"/>
      <c r="D190" s="230"/>
      <c r="E190" s="230"/>
      <c r="F190" s="230"/>
      <c r="G190" s="230"/>
      <c r="H190" s="231"/>
      <c r="I190" s="230"/>
      <c r="J190" s="230"/>
      <c r="K190" s="230"/>
      <c r="L190" s="306"/>
      <c r="M190" s="211"/>
      <c r="N190" s="254"/>
      <c r="O190" s="211"/>
      <c r="P190" s="211"/>
      <c r="Q190" s="211"/>
      <c r="R190" s="211"/>
      <c r="T190" s="211"/>
      <c r="U190" s="211"/>
      <c r="W190" s="211"/>
      <c r="X190" s="211"/>
      <c r="Y190" s="211"/>
      <c r="Z190" s="211"/>
      <c r="AA190" s="211"/>
    </row>
    <row r="191" spans="2:31" s="204" customFormat="1" x14ac:dyDescent="0.25">
      <c r="B191" s="292" t="s">
        <v>435</v>
      </c>
      <c r="C191" s="292" t="s">
        <v>436</v>
      </c>
      <c r="D191" s="247" t="s">
        <v>3148</v>
      </c>
      <c r="E191" s="247"/>
      <c r="F191" s="247"/>
      <c r="G191" s="247"/>
      <c r="H191" s="248"/>
      <c r="I191" s="247"/>
      <c r="J191" s="247"/>
      <c r="K191" s="249"/>
      <c r="L191" s="257" t="s">
        <v>439</v>
      </c>
      <c r="M191" s="251" t="s">
        <v>2962</v>
      </c>
      <c r="N191" s="252">
        <f>SUM(N194:N199)</f>
        <v>0</v>
      </c>
      <c r="O191" s="252">
        <f>SUM(O194:O199)</f>
        <v>0</v>
      </c>
      <c r="P191" s="259">
        <f>+O191-N191</f>
        <v>0</v>
      </c>
      <c r="Q191" s="252">
        <f>SUM(Q194:Q199)</f>
        <v>0</v>
      </c>
      <c r="R191" s="252">
        <f>SUM(R194:R199)</f>
        <v>0</v>
      </c>
      <c r="S191" s="252">
        <f>SUM(S194:S199)</f>
        <v>0</v>
      </c>
      <c r="T191" s="252">
        <f>SUM(T194:T199)</f>
        <v>0</v>
      </c>
      <c r="U191" s="252">
        <f>SUM(U194:U199)</f>
        <v>0</v>
      </c>
      <c r="W191" s="252">
        <f t="shared" ref="W191:AE191" si="16">SUM(W194:W199)</f>
        <v>0</v>
      </c>
      <c r="X191" s="252">
        <f t="shared" si="16"/>
        <v>0</v>
      </c>
      <c r="Y191" s="252">
        <f t="shared" si="16"/>
        <v>0</v>
      </c>
      <c r="Z191" s="252">
        <f t="shared" si="16"/>
        <v>0</v>
      </c>
      <c r="AA191" s="252">
        <f t="shared" si="16"/>
        <v>0</v>
      </c>
      <c r="AB191" s="252">
        <f t="shared" si="16"/>
        <v>0</v>
      </c>
      <c r="AC191" s="252">
        <f t="shared" si="16"/>
        <v>0</v>
      </c>
      <c r="AD191" s="252">
        <f t="shared" si="16"/>
        <v>0</v>
      </c>
      <c r="AE191" s="252">
        <f t="shared" si="16"/>
        <v>0</v>
      </c>
    </row>
    <row r="192" spans="2:31" s="204" customFormat="1" x14ac:dyDescent="0.25">
      <c r="B192" s="293"/>
      <c r="C192" s="293"/>
      <c r="D192" s="230"/>
      <c r="E192" s="230"/>
      <c r="F192" s="230"/>
      <c r="G192" s="230"/>
      <c r="H192" s="231"/>
      <c r="I192" s="230"/>
      <c r="J192" s="230"/>
      <c r="K192" s="230"/>
      <c r="L192" s="232"/>
      <c r="M192" s="211"/>
      <c r="N192" s="211"/>
      <c r="O192" s="211"/>
      <c r="P192" s="211"/>
      <c r="Q192" s="211"/>
      <c r="W192" s="522"/>
      <c r="X192" s="523"/>
      <c r="Y192" s="211"/>
      <c r="Z192" s="211"/>
      <c r="AA192" s="211"/>
    </row>
    <row r="193" spans="2:35" s="204" customFormat="1" ht="89.25" x14ac:dyDescent="0.25">
      <c r="B193" s="294" t="s">
        <v>2968</v>
      </c>
      <c r="C193" s="294" t="s">
        <v>2969</v>
      </c>
      <c r="D193" s="206" t="s">
        <v>72</v>
      </c>
      <c r="E193" s="206"/>
      <c r="F193" s="206"/>
      <c r="G193" s="207"/>
      <c r="H193" s="207"/>
      <c r="I193" s="207"/>
      <c r="J193" s="207" t="s">
        <v>2957</v>
      </c>
      <c r="K193" s="206" t="s">
        <v>82</v>
      </c>
      <c r="L193" s="261" t="s">
        <v>2970</v>
      </c>
      <c r="M193" s="260"/>
      <c r="N193" s="256" t="str">
        <f>N$15</f>
        <v>Valore netto al 31/12/2019</v>
      </c>
      <c r="O193" s="256" t="str">
        <f>O$15</f>
        <v>Valore netto al 31/12/2020</v>
      </c>
      <c r="P193" s="256" t="str">
        <f>P$15</f>
        <v>Variazione</v>
      </c>
      <c r="Q193" s="262" t="s">
        <v>2971</v>
      </c>
      <c r="R193" s="262" t="str">
        <f>"Costo storico al 31/12/"&amp;Info!$B$3-1</f>
        <v>Costo storico al 31/12/2019</v>
      </c>
      <c r="S193" s="262" t="s">
        <v>2972</v>
      </c>
      <c r="T193" s="262" t="s">
        <v>2973</v>
      </c>
      <c r="U193" s="262" t="s">
        <v>2974</v>
      </c>
      <c r="W193" s="262" t="s">
        <v>4391</v>
      </c>
      <c r="X193" s="262" t="s">
        <v>2976</v>
      </c>
      <c r="Y193" s="262" t="s">
        <v>2977</v>
      </c>
      <c r="Z193" s="262" t="s">
        <v>2978</v>
      </c>
      <c r="AA193" s="262" t="s">
        <v>2979</v>
      </c>
      <c r="AB193" s="262" t="s">
        <v>2980</v>
      </c>
      <c r="AC193" s="262" t="s">
        <v>2981</v>
      </c>
      <c r="AD193" s="262" t="s">
        <v>2982</v>
      </c>
      <c r="AE193" s="262" t="s">
        <v>2983</v>
      </c>
    </row>
    <row r="194" spans="2:35" s="204" customFormat="1" x14ac:dyDescent="0.25">
      <c r="B194" s="273" t="s">
        <v>440</v>
      </c>
      <c r="C194" s="273" t="s">
        <v>441</v>
      </c>
      <c r="D194" s="264" t="s">
        <v>3149</v>
      </c>
      <c r="E194" s="264"/>
      <c r="F194" s="264"/>
      <c r="G194" s="265"/>
      <c r="H194" s="266"/>
      <c r="I194" s="281"/>
      <c r="J194" s="281"/>
      <c r="K194" s="281"/>
      <c r="L194" s="282" t="s">
        <v>3150</v>
      </c>
      <c r="M194" s="263" t="s">
        <v>2962</v>
      </c>
      <c r="N194" s="269">
        <f t="shared" ref="N194:N199" si="17">+R194+T194-U194</f>
        <v>0</v>
      </c>
      <c r="O194" s="270">
        <f t="shared" ref="O194:O199" si="18">+N194+S194+X194+ABS(Y194)-ABS(AA194)+ABS(Z194)+ABS(AB194)+ABS(AD194)-ABS(AE194)+AC194+W194+Q194</f>
        <v>0</v>
      </c>
      <c r="P194" s="271">
        <f t="shared" ref="P194:P199" si="19">+O194-N194</f>
        <v>0</v>
      </c>
      <c r="Q194" s="520"/>
      <c r="R194" s="354">
        <f>IF(ISERROR(VLOOKUP("SOC"&amp;$C194,ESTR_PREC_SP!$A$2:$G$2000,4,FALSE))=TRUE,0,VLOOKUP("SOC"&amp;$C194,ESTR_PREC_SP!$A$2:$G$2000,4,FALSE))</f>
        <v>0</v>
      </c>
      <c r="S194" s="521"/>
      <c r="T194" s="521"/>
      <c r="U194" s="521"/>
      <c r="W194" s="520"/>
      <c r="X194" s="520"/>
      <c r="Y194" s="520"/>
      <c r="Z194" s="520"/>
      <c r="AA194" s="520"/>
      <c r="AB194" s="520"/>
      <c r="AC194" s="520"/>
      <c r="AD194" s="521"/>
      <c r="AE194" s="520"/>
    </row>
    <row r="195" spans="2:35" s="204" customFormat="1" x14ac:dyDescent="0.25">
      <c r="B195" s="273" t="s">
        <v>443</v>
      </c>
      <c r="C195" s="273" t="s">
        <v>444</v>
      </c>
      <c r="D195" s="264" t="s">
        <v>3151</v>
      </c>
      <c r="E195" s="264"/>
      <c r="F195" s="264"/>
      <c r="G195" s="265"/>
      <c r="H195" s="266"/>
      <c r="I195" s="281"/>
      <c r="J195" s="281"/>
      <c r="K195" s="281"/>
      <c r="L195" s="282" t="s">
        <v>3152</v>
      </c>
      <c r="M195" s="284" t="s">
        <v>2962</v>
      </c>
      <c r="N195" s="269">
        <f t="shared" si="17"/>
        <v>0</v>
      </c>
      <c r="O195" s="270">
        <f t="shared" si="18"/>
        <v>0</v>
      </c>
      <c r="P195" s="271">
        <f t="shared" si="19"/>
        <v>0</v>
      </c>
      <c r="Q195" s="520"/>
      <c r="R195" s="354">
        <f>IF(ISERROR(VLOOKUP("SOC"&amp;$C195,ESTR_PREC_SP!$A$2:$G$2000,4,FALSE))=TRUE,0,VLOOKUP("SOC"&amp;$C195,ESTR_PREC_SP!$A$2:$G$2000,4,FALSE))</f>
        <v>0</v>
      </c>
      <c r="S195" s="521"/>
      <c r="T195" s="521"/>
      <c r="U195" s="521"/>
      <c r="W195" s="520"/>
      <c r="X195" s="520"/>
      <c r="Y195" s="520"/>
      <c r="Z195" s="520"/>
      <c r="AA195" s="520"/>
      <c r="AB195" s="520"/>
      <c r="AC195" s="520"/>
      <c r="AD195" s="521"/>
      <c r="AE195" s="520"/>
    </row>
    <row r="196" spans="2:35" s="204" customFormat="1" x14ac:dyDescent="0.25">
      <c r="B196" s="273" t="s">
        <v>446</v>
      </c>
      <c r="C196" s="273" t="s">
        <v>447</v>
      </c>
      <c r="D196" s="264" t="s">
        <v>3153</v>
      </c>
      <c r="E196" s="264"/>
      <c r="F196" s="274"/>
      <c r="G196" s="283"/>
      <c r="H196" s="266"/>
      <c r="I196" s="281"/>
      <c r="J196" s="281"/>
      <c r="K196" s="281"/>
      <c r="L196" s="282" t="s">
        <v>3154</v>
      </c>
      <c r="M196" s="284" t="s">
        <v>2962</v>
      </c>
      <c r="N196" s="269">
        <f t="shared" si="17"/>
        <v>0</v>
      </c>
      <c r="O196" s="270">
        <f t="shared" si="18"/>
        <v>0</v>
      </c>
      <c r="P196" s="271">
        <f t="shared" si="19"/>
        <v>0</v>
      </c>
      <c r="Q196" s="520"/>
      <c r="R196" s="354">
        <f>IF(ISERROR(VLOOKUP("SOC"&amp;$C196,ESTR_PREC_SP!$A$2:$G$2000,4,FALSE))=TRUE,0,VLOOKUP("SOC"&amp;$C196,ESTR_PREC_SP!$A$2:$G$2000,4,FALSE))</f>
        <v>0</v>
      </c>
      <c r="S196" s="521"/>
      <c r="T196" s="521"/>
      <c r="U196" s="521"/>
      <c r="W196" s="520"/>
      <c r="X196" s="520"/>
      <c r="Y196" s="520"/>
      <c r="Z196" s="520"/>
      <c r="AA196" s="520"/>
      <c r="AB196" s="520"/>
      <c r="AC196" s="520"/>
      <c r="AD196" s="521"/>
      <c r="AE196" s="520"/>
    </row>
    <row r="197" spans="2:35" s="204" customFormat="1" x14ac:dyDescent="0.25">
      <c r="B197" s="273" t="s">
        <v>449</v>
      </c>
      <c r="C197" s="273" t="s">
        <v>450</v>
      </c>
      <c r="D197" s="264" t="s">
        <v>3155</v>
      </c>
      <c r="E197" s="264"/>
      <c r="F197" s="274"/>
      <c r="G197" s="283"/>
      <c r="H197" s="266"/>
      <c r="I197" s="281"/>
      <c r="J197" s="281"/>
      <c r="K197" s="281"/>
      <c r="L197" s="282" t="s">
        <v>3156</v>
      </c>
      <c r="M197" s="284" t="s">
        <v>2962</v>
      </c>
      <c r="N197" s="269">
        <f t="shared" si="17"/>
        <v>0</v>
      </c>
      <c r="O197" s="270">
        <f t="shared" si="18"/>
        <v>0</v>
      </c>
      <c r="P197" s="271">
        <f t="shared" si="19"/>
        <v>0</v>
      </c>
      <c r="Q197" s="520"/>
      <c r="R197" s="354">
        <f>IF(ISERROR(VLOOKUP("SOC"&amp;$C197,ESTR_PREC_SP!$A$2:$G$2000,4,FALSE))=TRUE,0,VLOOKUP("SOC"&amp;$C197,ESTR_PREC_SP!$A$2:$G$2000,4,FALSE))</f>
        <v>0</v>
      </c>
      <c r="S197" s="521"/>
      <c r="T197" s="521"/>
      <c r="U197" s="521"/>
      <c r="W197" s="520"/>
      <c r="X197" s="520"/>
      <c r="Y197" s="520"/>
      <c r="Z197" s="520"/>
      <c r="AA197" s="520"/>
      <c r="AB197" s="520"/>
      <c r="AC197" s="520"/>
      <c r="AD197" s="521"/>
      <c r="AE197" s="520"/>
    </row>
    <row r="198" spans="2:35" s="204" customFormat="1" x14ac:dyDescent="0.25">
      <c r="B198" s="273" t="s">
        <v>452</v>
      </c>
      <c r="C198" s="273" t="s">
        <v>453</v>
      </c>
      <c r="D198" s="264" t="s">
        <v>3157</v>
      </c>
      <c r="E198" s="264"/>
      <c r="F198" s="274"/>
      <c r="G198" s="283"/>
      <c r="H198" s="266"/>
      <c r="I198" s="281"/>
      <c r="J198" s="281"/>
      <c r="K198" s="281"/>
      <c r="L198" s="295" t="s">
        <v>3158</v>
      </c>
      <c r="M198" s="284" t="s">
        <v>2962</v>
      </c>
      <c r="N198" s="269">
        <f t="shared" si="17"/>
        <v>0</v>
      </c>
      <c r="O198" s="270">
        <f t="shared" si="18"/>
        <v>0</v>
      </c>
      <c r="P198" s="271">
        <f t="shared" si="19"/>
        <v>0</v>
      </c>
      <c r="Q198" s="520"/>
      <c r="R198" s="354">
        <f>IF(ISERROR(VLOOKUP("SOC"&amp;$C198,ESTR_PREC_SP!$A$2:$G$2000,4,FALSE))=TRUE,0,VLOOKUP("SOC"&amp;$C198,ESTR_PREC_SP!$A$2:$G$2000,4,FALSE))</f>
        <v>0</v>
      </c>
      <c r="S198" s="521"/>
      <c r="T198" s="521"/>
      <c r="U198" s="521"/>
      <c r="W198" s="520"/>
      <c r="X198" s="520"/>
      <c r="Y198" s="520"/>
      <c r="Z198" s="520"/>
      <c r="AA198" s="520"/>
      <c r="AB198" s="520"/>
      <c r="AC198" s="520"/>
      <c r="AD198" s="521"/>
      <c r="AE198" s="520"/>
    </row>
    <row r="199" spans="2:35" s="204" customFormat="1" x14ac:dyDescent="0.25">
      <c r="B199" s="273" t="s">
        <v>455</v>
      </c>
      <c r="C199" s="273" t="s">
        <v>456</v>
      </c>
      <c r="D199" s="264" t="s">
        <v>3159</v>
      </c>
      <c r="E199" s="264"/>
      <c r="F199" s="274"/>
      <c r="G199" s="283"/>
      <c r="H199" s="266"/>
      <c r="I199" s="281"/>
      <c r="J199" s="281"/>
      <c r="K199" s="281"/>
      <c r="L199" s="295" t="s">
        <v>3160</v>
      </c>
      <c r="M199" s="284" t="s">
        <v>2962</v>
      </c>
      <c r="N199" s="269">
        <f t="shared" si="17"/>
        <v>0</v>
      </c>
      <c r="O199" s="270">
        <f t="shared" si="18"/>
        <v>0</v>
      </c>
      <c r="P199" s="271">
        <f t="shared" si="19"/>
        <v>0</v>
      </c>
      <c r="Q199" s="520"/>
      <c r="R199" s="354">
        <f>IF(ISERROR(VLOOKUP("SOC"&amp;$C199,ESTR_PREC_SP!$A$2:$G$2000,4,FALSE))=TRUE,0,VLOOKUP("SOC"&amp;$C199,ESTR_PREC_SP!$A$2:$G$2000,4,FALSE))</f>
        <v>0</v>
      </c>
      <c r="S199" s="521"/>
      <c r="T199" s="521"/>
      <c r="U199" s="521"/>
      <c r="W199" s="520"/>
      <c r="X199" s="520"/>
      <c r="Y199" s="520"/>
      <c r="Z199" s="520"/>
      <c r="AA199" s="520"/>
      <c r="AB199" s="520"/>
      <c r="AC199" s="520"/>
      <c r="AD199" s="521"/>
      <c r="AE199" s="520"/>
    </row>
    <row r="200" spans="2:35" s="204" customFormat="1" x14ac:dyDescent="0.25">
      <c r="B200" s="289"/>
      <c r="C200" s="289"/>
      <c r="D200" s="211"/>
      <c r="E200" s="211"/>
      <c r="F200" s="211"/>
      <c r="G200" s="211"/>
      <c r="H200" s="211"/>
      <c r="I200" s="211"/>
      <c r="J200" s="211"/>
      <c r="K200" s="211"/>
      <c r="L200" s="312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</row>
    <row r="201" spans="2:35" s="204" customFormat="1" x14ac:dyDescent="0.25">
      <c r="B201" s="292" t="s">
        <v>458</v>
      </c>
      <c r="C201" s="292" t="s">
        <v>459</v>
      </c>
      <c r="D201" s="313" t="s">
        <v>3161</v>
      </c>
      <c r="E201" s="247"/>
      <c r="F201" s="247"/>
      <c r="G201" s="247"/>
      <c r="H201" s="248"/>
      <c r="I201" s="247"/>
      <c r="J201" s="247"/>
      <c r="K201" s="249"/>
      <c r="L201" s="257" t="s">
        <v>462</v>
      </c>
      <c r="M201" s="251" t="s">
        <v>2962</v>
      </c>
      <c r="N201" s="252">
        <f>SUM(N204:N209)</f>
        <v>0</v>
      </c>
      <c r="O201" s="252">
        <f>SUM(O204:O209)</f>
        <v>0</v>
      </c>
      <c r="P201" s="259">
        <f>+O201-N201</f>
        <v>0</v>
      </c>
      <c r="Q201" s="252">
        <f>SUM(Q204:Q209)</f>
        <v>0</v>
      </c>
      <c r="R201" s="252">
        <f>SUM(R204:R209)</f>
        <v>0</v>
      </c>
      <c r="S201" s="252">
        <f>SUM(S204:S209)</f>
        <v>0</v>
      </c>
      <c r="T201" s="252">
        <f>SUM(T204:T209)</f>
        <v>0</v>
      </c>
      <c r="U201" s="252">
        <f>SUM(U204:U209)</f>
        <v>0</v>
      </c>
      <c r="W201" s="252">
        <f t="shared" ref="W201:AE201" si="20">SUM(W204:W209)</f>
        <v>0</v>
      </c>
      <c r="X201" s="252">
        <f t="shared" si="20"/>
        <v>0</v>
      </c>
      <c r="Y201" s="252">
        <f t="shared" si="20"/>
        <v>0</v>
      </c>
      <c r="Z201" s="252">
        <f t="shared" si="20"/>
        <v>0</v>
      </c>
      <c r="AA201" s="252">
        <f t="shared" si="20"/>
        <v>0</v>
      </c>
      <c r="AB201" s="252">
        <f t="shared" si="20"/>
        <v>0</v>
      </c>
      <c r="AC201" s="252">
        <f t="shared" si="20"/>
        <v>0</v>
      </c>
      <c r="AD201" s="252">
        <f t="shared" si="20"/>
        <v>0</v>
      </c>
      <c r="AE201" s="252">
        <f t="shared" si="20"/>
        <v>0</v>
      </c>
    </row>
    <row r="202" spans="2:35" s="204" customFormat="1" x14ac:dyDescent="0.25">
      <c r="B202" s="293"/>
      <c r="C202" s="293"/>
      <c r="D202" s="230"/>
      <c r="E202" s="230"/>
      <c r="F202" s="230"/>
      <c r="G202" s="230"/>
      <c r="H202" s="231"/>
      <c r="I202" s="230"/>
      <c r="J202" s="230"/>
      <c r="K202" s="230"/>
      <c r="L202" s="232"/>
      <c r="M202" s="211"/>
      <c r="N202" s="211"/>
      <c r="O202" s="211"/>
      <c r="P202" s="211"/>
      <c r="Q202" s="211"/>
      <c r="V202" s="211"/>
      <c r="W202" s="211"/>
      <c r="X202" s="211"/>
      <c r="Y202" s="211"/>
      <c r="Z202" s="211"/>
      <c r="AA202" s="211"/>
    </row>
    <row r="203" spans="2:35" s="204" customFormat="1" ht="89.25" x14ac:dyDescent="0.25">
      <c r="B203" s="294" t="s">
        <v>2968</v>
      </c>
      <c r="C203" s="294" t="s">
        <v>2969</v>
      </c>
      <c r="D203" s="206" t="s">
        <v>72</v>
      </c>
      <c r="E203" s="206"/>
      <c r="F203" s="206"/>
      <c r="G203" s="207"/>
      <c r="H203" s="207"/>
      <c r="I203" s="207"/>
      <c r="J203" s="207" t="s">
        <v>2957</v>
      </c>
      <c r="K203" s="206" t="s">
        <v>82</v>
      </c>
      <c r="L203" s="261" t="s">
        <v>2970</v>
      </c>
      <c r="M203" s="260"/>
      <c r="N203" s="256" t="str">
        <f>N$15</f>
        <v>Valore netto al 31/12/2019</v>
      </c>
      <c r="O203" s="256" t="str">
        <f>O$15</f>
        <v>Valore netto al 31/12/2020</v>
      </c>
      <c r="P203" s="256" t="str">
        <f>P$15</f>
        <v>Variazione</v>
      </c>
      <c r="Q203" s="262" t="s">
        <v>2971</v>
      </c>
      <c r="R203" s="262" t="str">
        <f>"Costo storico al 31/12/"&amp;Info!$B$3-1</f>
        <v>Costo storico al 31/12/2019</v>
      </c>
      <c r="S203" s="262" t="s">
        <v>2972</v>
      </c>
      <c r="T203" s="262" t="s">
        <v>2973</v>
      </c>
      <c r="U203" s="262" t="s">
        <v>2974</v>
      </c>
      <c r="W203" s="262" t="s">
        <v>4391</v>
      </c>
      <c r="X203" s="262" t="s">
        <v>2976</v>
      </c>
      <c r="Y203" s="262" t="s">
        <v>2977</v>
      </c>
      <c r="Z203" s="262" t="s">
        <v>2978</v>
      </c>
      <c r="AA203" s="262" t="s">
        <v>2979</v>
      </c>
      <c r="AB203" s="262" t="s">
        <v>2980</v>
      </c>
      <c r="AC203" s="262" t="s">
        <v>2981</v>
      </c>
      <c r="AD203" s="262" t="s">
        <v>2982</v>
      </c>
      <c r="AE203" s="262" t="s">
        <v>2983</v>
      </c>
    </row>
    <row r="204" spans="2:35" s="204" customFormat="1" x14ac:dyDescent="0.25">
      <c r="B204" s="273" t="s">
        <v>463</v>
      </c>
      <c r="C204" s="273" t="s">
        <v>464</v>
      </c>
      <c r="D204" s="264" t="s">
        <v>3162</v>
      </c>
      <c r="E204" s="264"/>
      <c r="F204" s="264"/>
      <c r="G204" s="265"/>
      <c r="H204" s="266"/>
      <c r="I204" s="281"/>
      <c r="J204" s="281"/>
      <c r="K204" s="281"/>
      <c r="L204" s="282" t="s">
        <v>3163</v>
      </c>
      <c r="M204" s="263" t="s">
        <v>2962</v>
      </c>
      <c r="N204" s="269">
        <f t="shared" ref="N204:N209" si="21">+R204+T204-U204</f>
        <v>0</v>
      </c>
      <c r="O204" s="270">
        <f t="shared" ref="O204:O209" si="22">+N204+S204+X204+ABS(Y204)-ABS(AA204)+ABS(Z204)+ABS(AB204)+ABS(AD204)-ABS(AE204)+AC204+W204+Q204</f>
        <v>0</v>
      </c>
      <c r="P204" s="271">
        <f t="shared" ref="P204:P209" si="23">+O204-N204</f>
        <v>0</v>
      </c>
      <c r="Q204" s="520"/>
      <c r="R204" s="354">
        <f>IF(ISERROR(VLOOKUP("SOC"&amp;$C204,ESTR_PREC_SP!$A$2:$G$2000,4,FALSE))=TRUE,0,VLOOKUP("SOC"&amp;$C204,ESTR_PREC_SP!$A$2:$G$2000,4,FALSE))</f>
        <v>0</v>
      </c>
      <c r="S204" s="521"/>
      <c r="T204" s="521"/>
      <c r="U204" s="521"/>
      <c r="W204" s="520"/>
      <c r="X204" s="520"/>
      <c r="Y204" s="520"/>
      <c r="Z204" s="520"/>
      <c r="AA204" s="520"/>
      <c r="AB204" s="520"/>
      <c r="AC204" s="520"/>
      <c r="AD204" s="521"/>
      <c r="AE204" s="520"/>
    </row>
    <row r="205" spans="2:35" s="204" customFormat="1" x14ac:dyDescent="0.25">
      <c r="B205" s="273" t="s">
        <v>466</v>
      </c>
      <c r="C205" s="273" t="s">
        <v>467</v>
      </c>
      <c r="D205" s="264" t="s">
        <v>3164</v>
      </c>
      <c r="E205" s="264"/>
      <c r="F205" s="264"/>
      <c r="G205" s="265"/>
      <c r="H205" s="266"/>
      <c r="I205" s="281"/>
      <c r="J205" s="281"/>
      <c r="K205" s="281"/>
      <c r="L205" s="282" t="s">
        <v>3165</v>
      </c>
      <c r="M205" s="284" t="s">
        <v>2962</v>
      </c>
      <c r="N205" s="269">
        <f t="shared" si="21"/>
        <v>0</v>
      </c>
      <c r="O205" s="270">
        <f t="shared" si="22"/>
        <v>0</v>
      </c>
      <c r="P205" s="271">
        <f t="shared" si="23"/>
        <v>0</v>
      </c>
      <c r="Q205" s="520"/>
      <c r="R205" s="354">
        <f>IF(ISERROR(VLOOKUP("SOC"&amp;$C205,ESTR_PREC_SP!$A$2:$G$2000,4,FALSE))=TRUE,0,VLOOKUP("SOC"&amp;$C205,ESTR_PREC_SP!$A$2:$G$2000,4,FALSE))</f>
        <v>0</v>
      </c>
      <c r="S205" s="521"/>
      <c r="T205" s="521"/>
      <c r="U205" s="521"/>
      <c r="W205" s="520"/>
      <c r="X205" s="520"/>
      <c r="Y205" s="520"/>
      <c r="Z205" s="520"/>
      <c r="AA205" s="520"/>
      <c r="AB205" s="520"/>
      <c r="AC205" s="520"/>
      <c r="AD205" s="521"/>
      <c r="AE205" s="520"/>
    </row>
    <row r="206" spans="2:35" s="204" customFormat="1" x14ac:dyDescent="0.25">
      <c r="B206" s="273" t="s">
        <v>469</v>
      </c>
      <c r="C206" s="273" t="s">
        <v>470</v>
      </c>
      <c r="D206" s="264" t="s">
        <v>3166</v>
      </c>
      <c r="E206" s="264"/>
      <c r="F206" s="274"/>
      <c r="G206" s="283"/>
      <c r="H206" s="266"/>
      <c r="I206" s="281"/>
      <c r="J206" s="281"/>
      <c r="K206" s="281"/>
      <c r="L206" s="282" t="s">
        <v>3167</v>
      </c>
      <c r="M206" s="284" t="s">
        <v>2962</v>
      </c>
      <c r="N206" s="269">
        <f t="shared" si="21"/>
        <v>0</v>
      </c>
      <c r="O206" s="270">
        <f t="shared" si="22"/>
        <v>0</v>
      </c>
      <c r="P206" s="271">
        <f t="shared" si="23"/>
        <v>0</v>
      </c>
      <c r="Q206" s="520"/>
      <c r="R206" s="354">
        <f>IF(ISERROR(VLOOKUP("SOC"&amp;$C206,ESTR_PREC_SP!$A$2:$G$2000,4,FALSE))=TRUE,0,VLOOKUP("SOC"&amp;$C206,ESTR_PREC_SP!$A$2:$G$2000,4,FALSE))</f>
        <v>0</v>
      </c>
      <c r="S206" s="521"/>
      <c r="T206" s="521"/>
      <c r="U206" s="521"/>
      <c r="W206" s="520"/>
      <c r="X206" s="520"/>
      <c r="Y206" s="520"/>
      <c r="Z206" s="520"/>
      <c r="AA206" s="520"/>
      <c r="AB206" s="520"/>
      <c r="AC206" s="520"/>
      <c r="AD206" s="521"/>
      <c r="AE206" s="520"/>
    </row>
    <row r="207" spans="2:35" s="204" customFormat="1" x14ac:dyDescent="0.25">
      <c r="B207" s="273" t="s">
        <v>472</v>
      </c>
      <c r="C207" s="273" t="s">
        <v>473</v>
      </c>
      <c r="D207" s="264" t="s">
        <v>3168</v>
      </c>
      <c r="E207" s="264"/>
      <c r="F207" s="274"/>
      <c r="G207" s="283"/>
      <c r="H207" s="266"/>
      <c r="I207" s="281"/>
      <c r="J207" s="281"/>
      <c r="K207" s="281"/>
      <c r="L207" s="282" t="s">
        <v>3169</v>
      </c>
      <c r="M207" s="284" t="s">
        <v>2962</v>
      </c>
      <c r="N207" s="269">
        <f t="shared" si="21"/>
        <v>0</v>
      </c>
      <c r="O207" s="270">
        <f t="shared" si="22"/>
        <v>0</v>
      </c>
      <c r="P207" s="271">
        <f t="shared" si="23"/>
        <v>0</v>
      </c>
      <c r="Q207" s="520"/>
      <c r="R207" s="354">
        <f>IF(ISERROR(VLOOKUP("SOC"&amp;$C207,ESTR_PREC_SP!$A$2:$G$2000,4,FALSE))=TRUE,0,VLOOKUP("SOC"&amp;$C207,ESTR_PREC_SP!$A$2:$G$2000,4,FALSE))</f>
        <v>0</v>
      </c>
      <c r="S207" s="521"/>
      <c r="T207" s="521"/>
      <c r="U207" s="521"/>
      <c r="W207" s="520"/>
      <c r="X207" s="520"/>
      <c r="Y207" s="520"/>
      <c r="Z207" s="520"/>
      <c r="AA207" s="520"/>
      <c r="AB207" s="520"/>
      <c r="AC207" s="520"/>
      <c r="AD207" s="521"/>
      <c r="AE207" s="520"/>
    </row>
    <row r="208" spans="2:35" s="204" customFormat="1" x14ac:dyDescent="0.25">
      <c r="B208" s="273" t="s">
        <v>475</v>
      </c>
      <c r="C208" s="273" t="s">
        <v>476</v>
      </c>
      <c r="D208" s="264" t="s">
        <v>3170</v>
      </c>
      <c r="E208" s="264"/>
      <c r="F208" s="274"/>
      <c r="G208" s="283"/>
      <c r="H208" s="266"/>
      <c r="I208" s="281"/>
      <c r="J208" s="281"/>
      <c r="K208" s="281"/>
      <c r="L208" s="295" t="s">
        <v>3171</v>
      </c>
      <c r="M208" s="284" t="s">
        <v>2962</v>
      </c>
      <c r="N208" s="269">
        <f t="shared" si="21"/>
        <v>0</v>
      </c>
      <c r="O208" s="270">
        <f t="shared" si="22"/>
        <v>0</v>
      </c>
      <c r="P208" s="271">
        <f t="shared" si="23"/>
        <v>0</v>
      </c>
      <c r="Q208" s="520"/>
      <c r="R208" s="354">
        <f>IF(ISERROR(VLOOKUP("SOC"&amp;$C208,ESTR_PREC_SP!$A$2:$G$2000,4,FALSE))=TRUE,0,VLOOKUP("SOC"&amp;$C208,ESTR_PREC_SP!$A$2:$G$2000,4,FALSE))</f>
        <v>0</v>
      </c>
      <c r="S208" s="521"/>
      <c r="T208" s="521"/>
      <c r="U208" s="521"/>
      <c r="W208" s="520"/>
      <c r="X208" s="520"/>
      <c r="Y208" s="520"/>
      <c r="Z208" s="520"/>
      <c r="AA208" s="520"/>
      <c r="AB208" s="520"/>
      <c r="AC208" s="520"/>
      <c r="AD208" s="521"/>
      <c r="AE208" s="520"/>
    </row>
    <row r="209" spans="2:35" s="204" customFormat="1" x14ac:dyDescent="0.25">
      <c r="B209" s="273" t="s">
        <v>478</v>
      </c>
      <c r="C209" s="273" t="s">
        <v>479</v>
      </c>
      <c r="D209" s="264" t="s">
        <v>3172</v>
      </c>
      <c r="E209" s="264"/>
      <c r="F209" s="274"/>
      <c r="G209" s="283"/>
      <c r="H209" s="266"/>
      <c r="I209" s="281"/>
      <c r="J209" s="281"/>
      <c r="K209" s="281"/>
      <c r="L209" s="295" t="s">
        <v>3173</v>
      </c>
      <c r="M209" s="284" t="s">
        <v>2962</v>
      </c>
      <c r="N209" s="269">
        <f t="shared" si="21"/>
        <v>0</v>
      </c>
      <c r="O209" s="270">
        <f t="shared" si="22"/>
        <v>0</v>
      </c>
      <c r="P209" s="271">
        <f t="shared" si="23"/>
        <v>0</v>
      </c>
      <c r="Q209" s="520"/>
      <c r="R209" s="354">
        <f>IF(ISERROR(VLOOKUP("SOC"&amp;$C209,ESTR_PREC_SP!$A$2:$G$2000,4,FALSE))=TRUE,0,VLOOKUP("SOC"&amp;$C209,ESTR_PREC_SP!$A$2:$G$2000,4,FALSE))</f>
        <v>0</v>
      </c>
      <c r="S209" s="521"/>
      <c r="T209" s="521"/>
      <c r="U209" s="521"/>
      <c r="W209" s="520"/>
      <c r="X209" s="520"/>
      <c r="Y209" s="520"/>
      <c r="Z209" s="520"/>
      <c r="AA209" s="520"/>
      <c r="AB209" s="520"/>
      <c r="AC209" s="520"/>
      <c r="AD209" s="521"/>
      <c r="AE209" s="520"/>
    </row>
    <row r="210" spans="2:35" s="204" customFormat="1" x14ac:dyDescent="0.25">
      <c r="B210" s="289"/>
      <c r="C210" s="289"/>
      <c r="D210" s="211"/>
      <c r="E210" s="211"/>
      <c r="F210" s="211"/>
      <c r="G210" s="211"/>
      <c r="H210" s="211"/>
      <c r="I210" s="211"/>
      <c r="J210" s="211"/>
      <c r="K210" s="211"/>
      <c r="L210" s="232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</row>
    <row r="211" spans="2:35" s="204" customFormat="1" ht="25.5" x14ac:dyDescent="0.25">
      <c r="B211" s="293"/>
      <c r="C211" s="293"/>
      <c r="D211" s="230"/>
      <c r="E211" s="230"/>
      <c r="F211" s="230"/>
      <c r="G211" s="230"/>
      <c r="H211" s="231"/>
      <c r="I211" s="230"/>
      <c r="J211" s="230"/>
      <c r="K211" s="230"/>
      <c r="L211" s="255"/>
      <c r="M211" s="244"/>
      <c r="N211" s="256" t="str">
        <f>N$15</f>
        <v>Valore netto al 31/12/2019</v>
      </c>
      <c r="O211" s="256" t="str">
        <f>O$15</f>
        <v>Valore netto al 31/12/2020</v>
      </c>
      <c r="P211" s="256" t="str">
        <f>P$15</f>
        <v>Variazione</v>
      </c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</row>
    <row r="212" spans="2:35" s="204" customFormat="1" x14ac:dyDescent="0.25">
      <c r="B212" s="292" t="s">
        <v>481</v>
      </c>
      <c r="C212" s="292" t="s">
        <v>482</v>
      </c>
      <c r="D212" s="247" t="s">
        <v>3174</v>
      </c>
      <c r="E212" s="247"/>
      <c r="F212" s="247"/>
      <c r="G212" s="247"/>
      <c r="H212" s="248"/>
      <c r="I212" s="247"/>
      <c r="J212" s="247"/>
      <c r="K212" s="249"/>
      <c r="L212" s="257" t="s">
        <v>483</v>
      </c>
      <c r="M212" s="251" t="s">
        <v>2962</v>
      </c>
      <c r="N212" s="252">
        <f>+N214+N232</f>
        <v>0</v>
      </c>
      <c r="O212" s="252">
        <f>+O214+O232</f>
        <v>0</v>
      </c>
      <c r="P212" s="253">
        <f>+O212-N212</f>
        <v>0</v>
      </c>
      <c r="Q212" s="211"/>
      <c r="R212" s="211"/>
      <c r="S212" s="252">
        <f>+S214+S232</f>
        <v>0</v>
      </c>
      <c r="T212" s="211"/>
      <c r="U212" s="211"/>
      <c r="V212" s="211"/>
      <c r="W212" s="211"/>
      <c r="X212" s="252">
        <f>+X214+X232</f>
        <v>0</v>
      </c>
      <c r="Y212" s="211"/>
      <c r="Z212" s="211"/>
      <c r="AA212" s="211"/>
    </row>
    <row r="213" spans="2:35" s="204" customFormat="1" x14ac:dyDescent="0.25">
      <c r="B213" s="298"/>
      <c r="C213" s="298"/>
      <c r="D213" s="216"/>
      <c r="E213" s="216"/>
      <c r="F213" s="216"/>
      <c r="G213" s="216"/>
      <c r="H213" s="314"/>
      <c r="I213" s="216"/>
      <c r="J213" s="216"/>
      <c r="K213" s="216"/>
      <c r="L213" s="315"/>
      <c r="M213" s="216"/>
      <c r="N213" s="216"/>
      <c r="O213" s="216"/>
      <c r="P213" s="216"/>
      <c r="Q213" s="211"/>
      <c r="R213" s="211"/>
      <c r="S213" s="211"/>
      <c r="T213" s="211"/>
      <c r="U213" s="211"/>
      <c r="V213" s="211"/>
      <c r="W213" s="216"/>
      <c r="X213" s="216"/>
      <c r="Y213" s="211"/>
      <c r="Z213" s="211"/>
      <c r="AA213" s="211"/>
    </row>
    <row r="214" spans="2:35" s="204" customFormat="1" x14ac:dyDescent="0.25">
      <c r="B214" s="292" t="s">
        <v>484</v>
      </c>
      <c r="C214" s="292" t="s">
        <v>485</v>
      </c>
      <c r="D214" s="247" t="s">
        <v>3175</v>
      </c>
      <c r="E214" s="247"/>
      <c r="F214" s="247"/>
      <c r="G214" s="247"/>
      <c r="H214" s="248"/>
      <c r="I214" s="247"/>
      <c r="J214" s="247"/>
      <c r="K214" s="249"/>
      <c r="L214" s="276" t="s">
        <v>487</v>
      </c>
      <c r="M214" s="251" t="s">
        <v>2962</v>
      </c>
      <c r="N214" s="252">
        <f>+N216-N224</f>
        <v>0</v>
      </c>
      <c r="O214" s="252">
        <f>+O216-O224</f>
        <v>0</v>
      </c>
      <c r="P214" s="259">
        <f>+O214-N214</f>
        <v>0</v>
      </c>
      <c r="Q214" s="211"/>
      <c r="R214" s="211"/>
      <c r="S214" s="252">
        <f>+S216-S224</f>
        <v>0</v>
      </c>
      <c r="T214" s="211"/>
      <c r="U214" s="211"/>
      <c r="V214" s="211"/>
      <c r="W214" s="211"/>
      <c r="X214" s="252">
        <f>+X216-X224</f>
        <v>0</v>
      </c>
      <c r="Y214" s="211"/>
      <c r="Z214" s="211"/>
      <c r="AA214" s="211"/>
    </row>
    <row r="215" spans="2:35" s="204" customFormat="1" x14ac:dyDescent="0.25">
      <c r="B215" s="293"/>
      <c r="C215" s="293"/>
      <c r="D215" s="230"/>
      <c r="E215" s="230"/>
      <c r="F215" s="230"/>
      <c r="G215" s="230"/>
      <c r="H215" s="231"/>
      <c r="I215" s="230"/>
      <c r="J215" s="230"/>
      <c r="K215" s="230"/>
      <c r="L215" s="232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2:35" s="204" customFormat="1" x14ac:dyDescent="0.25">
      <c r="B216" s="292" t="s">
        <v>488</v>
      </c>
      <c r="C216" s="292" t="s">
        <v>489</v>
      </c>
      <c r="D216" s="247" t="s">
        <v>3176</v>
      </c>
      <c r="E216" s="247"/>
      <c r="F216" s="247"/>
      <c r="G216" s="247"/>
      <c r="H216" s="248"/>
      <c r="I216" s="247"/>
      <c r="J216" s="247"/>
      <c r="K216" s="249"/>
      <c r="L216" s="276" t="s">
        <v>492</v>
      </c>
      <c r="M216" s="251" t="s">
        <v>2962</v>
      </c>
      <c r="N216" s="252">
        <f>SUM(N219:N222)</f>
        <v>0</v>
      </c>
      <c r="O216" s="252">
        <f>SUM(O219:O222)</f>
        <v>0</v>
      </c>
      <c r="P216" s="259">
        <f>+O216-N216</f>
        <v>0</v>
      </c>
      <c r="Q216" s="252">
        <f>SUM(Q219:Q222)</f>
        <v>0</v>
      </c>
      <c r="R216" s="252">
        <f>SUM(R219:R222)</f>
        <v>0</v>
      </c>
      <c r="S216" s="252">
        <f>SUM(S219:S222)</f>
        <v>0</v>
      </c>
      <c r="T216" s="252">
        <f>SUM(T219:T222)</f>
        <v>0</v>
      </c>
      <c r="U216" s="252">
        <f>SUM(U219:U222)</f>
        <v>0</v>
      </c>
      <c r="V216" s="211"/>
      <c r="W216" s="252">
        <f t="shared" ref="W216:AE216" si="24">SUM(W219:W222)</f>
        <v>0</v>
      </c>
      <c r="X216" s="252">
        <f t="shared" si="24"/>
        <v>0</v>
      </c>
      <c r="Y216" s="252">
        <f t="shared" si="24"/>
        <v>0</v>
      </c>
      <c r="Z216" s="252">
        <f t="shared" si="24"/>
        <v>0</v>
      </c>
      <c r="AA216" s="252">
        <f t="shared" si="24"/>
        <v>0</v>
      </c>
      <c r="AB216" s="252">
        <f t="shared" si="24"/>
        <v>0</v>
      </c>
      <c r="AC216" s="252">
        <f t="shared" si="24"/>
        <v>0</v>
      </c>
      <c r="AD216" s="252">
        <f t="shared" si="24"/>
        <v>0</v>
      </c>
      <c r="AE216" s="252">
        <f t="shared" si="24"/>
        <v>0</v>
      </c>
    </row>
    <row r="217" spans="2:35" s="204" customFormat="1" x14ac:dyDescent="0.25">
      <c r="B217" s="293"/>
      <c r="C217" s="293"/>
      <c r="D217" s="230"/>
      <c r="E217" s="230"/>
      <c r="F217" s="230"/>
      <c r="G217" s="230"/>
      <c r="H217" s="231"/>
      <c r="I217" s="230"/>
      <c r="J217" s="230"/>
      <c r="K217" s="230"/>
      <c r="L217" s="277"/>
      <c r="M217" s="211"/>
      <c r="N217" s="254"/>
      <c r="O217" s="211"/>
      <c r="P217" s="211"/>
      <c r="Q217" s="211"/>
      <c r="R217" s="211"/>
      <c r="T217" s="211"/>
      <c r="U217" s="211"/>
      <c r="V217" s="211"/>
      <c r="W217" s="211"/>
      <c r="X217" s="211"/>
      <c r="Y217" s="211"/>
      <c r="Z217" s="211"/>
      <c r="AA217" s="211"/>
    </row>
    <row r="218" spans="2:35" s="204" customFormat="1" ht="89.25" x14ac:dyDescent="0.25">
      <c r="B218" s="294" t="s">
        <v>2968</v>
      </c>
      <c r="C218" s="294" t="s">
        <v>2969</v>
      </c>
      <c r="D218" s="206" t="s">
        <v>72</v>
      </c>
      <c r="E218" s="206"/>
      <c r="F218" s="206"/>
      <c r="G218" s="207"/>
      <c r="H218" s="207"/>
      <c r="I218" s="207"/>
      <c r="J218" s="207" t="s">
        <v>2957</v>
      </c>
      <c r="K218" s="206" t="s">
        <v>82</v>
      </c>
      <c r="L218" s="261" t="s">
        <v>2970</v>
      </c>
      <c r="M218" s="260"/>
      <c r="N218" s="256" t="str">
        <f>N$15</f>
        <v>Valore netto al 31/12/2019</v>
      </c>
      <c r="O218" s="256" t="str">
        <f>O$15</f>
        <v>Valore netto al 31/12/2020</v>
      </c>
      <c r="P218" s="256" t="str">
        <f>P$15</f>
        <v>Variazione</v>
      </c>
      <c r="Q218" s="262" t="s">
        <v>2971</v>
      </c>
      <c r="R218" s="262" t="str">
        <f>"Costo storico al 31/12/"&amp;Info!$B$3-1</f>
        <v>Costo storico al 31/12/2019</v>
      </c>
      <c r="S218" s="262" t="s">
        <v>2972</v>
      </c>
      <c r="T218" s="262" t="s">
        <v>2973</v>
      </c>
      <c r="U218" s="262" t="s">
        <v>2974</v>
      </c>
      <c r="W218" s="262" t="s">
        <v>4391</v>
      </c>
      <c r="X218" s="262" t="s">
        <v>2976</v>
      </c>
      <c r="Y218" s="262" t="s">
        <v>2977</v>
      </c>
      <c r="Z218" s="262" t="s">
        <v>2978</v>
      </c>
      <c r="AA218" s="262" t="s">
        <v>2979</v>
      </c>
      <c r="AB218" s="262" t="s">
        <v>2980</v>
      </c>
      <c r="AC218" s="262" t="s">
        <v>2981</v>
      </c>
      <c r="AD218" s="262" t="s">
        <v>2982</v>
      </c>
      <c r="AE218" s="262" t="s">
        <v>2983</v>
      </c>
    </row>
    <row r="219" spans="2:35" s="204" customFormat="1" x14ac:dyDescent="0.25">
      <c r="B219" s="273" t="s">
        <v>493</v>
      </c>
      <c r="C219" s="273" t="s">
        <v>494</v>
      </c>
      <c r="D219" s="274" t="s">
        <v>3177</v>
      </c>
      <c r="E219" s="264"/>
      <c r="F219" s="264"/>
      <c r="G219" s="265"/>
      <c r="H219" s="266"/>
      <c r="I219" s="281"/>
      <c r="J219" s="281"/>
      <c r="K219" s="281"/>
      <c r="L219" s="282" t="s">
        <v>3178</v>
      </c>
      <c r="M219" s="263" t="s">
        <v>2962</v>
      </c>
      <c r="N219" s="269">
        <f>+R219+T219-U219</f>
        <v>0</v>
      </c>
      <c r="O219" s="270">
        <f>+N219+S219+X219+ABS(Y219)-ABS(AA219)+ABS(Z219)+ABS(AB219)+ABS(AD219)-ABS(AE219)+AC219+W219+Q219</f>
        <v>0</v>
      </c>
      <c r="P219" s="271">
        <f>+O219-N219</f>
        <v>0</v>
      </c>
      <c r="Q219" s="520"/>
      <c r="R219" s="354">
        <f>IF(ISERROR(VLOOKUP("SOC"&amp;$C219,ESTR_PREC_SP!$A$2:$G$2000,4,FALSE))=TRUE,0,VLOOKUP("SOC"&amp;$C219,ESTR_PREC_SP!$A$2:$G$2000,4,FALSE))</f>
        <v>0</v>
      </c>
      <c r="S219" s="521"/>
      <c r="T219" s="521"/>
      <c r="U219" s="521"/>
      <c r="W219" s="520"/>
      <c r="X219" s="520"/>
      <c r="Y219" s="520"/>
      <c r="Z219" s="520"/>
      <c r="AA219" s="520"/>
      <c r="AB219" s="520"/>
      <c r="AC219" s="520"/>
      <c r="AD219" s="520"/>
      <c r="AE219" s="520"/>
    </row>
    <row r="220" spans="2:35" s="204" customFormat="1" x14ac:dyDescent="0.25">
      <c r="B220" s="273" t="s">
        <v>496</v>
      </c>
      <c r="C220" s="273" t="s">
        <v>497</v>
      </c>
      <c r="D220" s="274" t="s">
        <v>3179</v>
      </c>
      <c r="E220" s="264"/>
      <c r="F220" s="264"/>
      <c r="G220" s="265"/>
      <c r="H220" s="266"/>
      <c r="I220" s="281"/>
      <c r="J220" s="281"/>
      <c r="K220" s="281"/>
      <c r="L220" s="282" t="s">
        <v>3180</v>
      </c>
      <c r="M220" s="263" t="s">
        <v>2962</v>
      </c>
      <c r="N220" s="269">
        <f>+R220+T220-U220</f>
        <v>0</v>
      </c>
      <c r="O220" s="270">
        <f>+N220+S220+X220+ABS(Y220)-ABS(AA220)+ABS(Z220)+ABS(AB220)+ABS(AD220)-ABS(AE220)+AC220+W220+Q220</f>
        <v>0</v>
      </c>
      <c r="P220" s="271">
        <f>+O220-N220</f>
        <v>0</v>
      </c>
      <c r="Q220" s="520"/>
      <c r="R220" s="354">
        <f>IF(ISERROR(VLOOKUP("SOC"&amp;$C220,ESTR_PREC_SP!$A$2:$G$2000,4,FALSE))=TRUE,0,VLOOKUP("SOC"&amp;$C220,ESTR_PREC_SP!$A$2:$G$2000,4,FALSE))</f>
        <v>0</v>
      </c>
      <c r="S220" s="521"/>
      <c r="T220" s="521"/>
      <c r="U220" s="521"/>
      <c r="W220" s="520"/>
      <c r="X220" s="520"/>
      <c r="Y220" s="520"/>
      <c r="Z220" s="520"/>
      <c r="AA220" s="520"/>
      <c r="AB220" s="520"/>
      <c r="AC220" s="520"/>
      <c r="AD220" s="520"/>
      <c r="AE220" s="520"/>
    </row>
    <row r="221" spans="2:35" s="204" customFormat="1" x14ac:dyDescent="0.25">
      <c r="B221" s="273" t="s">
        <v>499</v>
      </c>
      <c r="C221" s="273" t="s">
        <v>500</v>
      </c>
      <c r="D221" s="274" t="s">
        <v>3181</v>
      </c>
      <c r="E221" s="264"/>
      <c r="F221" s="274"/>
      <c r="G221" s="283"/>
      <c r="H221" s="266"/>
      <c r="I221" s="281"/>
      <c r="J221" s="281"/>
      <c r="K221" s="281"/>
      <c r="L221" s="295" t="s">
        <v>3182</v>
      </c>
      <c r="M221" s="284" t="s">
        <v>2962</v>
      </c>
      <c r="N221" s="269">
        <f>+R221+T221-U221</f>
        <v>0</v>
      </c>
      <c r="O221" s="270">
        <f>+N221+S221+X221+ABS(Y221)-ABS(AA221)+ABS(Z221)+ABS(AB221)+ABS(AD221)-ABS(AE221)+AC221+W221+Q221</f>
        <v>0</v>
      </c>
      <c r="P221" s="271">
        <f>+O221-N221</f>
        <v>0</v>
      </c>
      <c r="Q221" s="520"/>
      <c r="R221" s="354">
        <f>IF(ISERROR(VLOOKUP("SOC"&amp;$C221,ESTR_PREC_SP!$A$2:$G$2000,4,FALSE))=TRUE,0,VLOOKUP("SOC"&amp;$C221,ESTR_PREC_SP!$A$2:$G$2000,4,FALSE))</f>
        <v>0</v>
      </c>
      <c r="S221" s="521"/>
      <c r="T221" s="521"/>
      <c r="U221" s="521"/>
      <c r="W221" s="520"/>
      <c r="X221" s="520"/>
      <c r="Y221" s="520"/>
      <c r="Z221" s="520"/>
      <c r="AA221" s="520"/>
      <c r="AB221" s="520"/>
      <c r="AC221" s="520"/>
      <c r="AD221" s="520"/>
      <c r="AE221" s="520"/>
    </row>
    <row r="222" spans="2:35" s="204" customFormat="1" x14ac:dyDescent="0.25">
      <c r="B222" s="273" t="s">
        <v>502</v>
      </c>
      <c r="C222" s="273" t="s">
        <v>503</v>
      </c>
      <c r="D222" s="274" t="s">
        <v>3183</v>
      </c>
      <c r="E222" s="264"/>
      <c r="F222" s="274"/>
      <c r="G222" s="283"/>
      <c r="H222" s="266"/>
      <c r="I222" s="281"/>
      <c r="J222" s="281"/>
      <c r="K222" s="281"/>
      <c r="L222" s="295" t="s">
        <v>3184</v>
      </c>
      <c r="M222" s="284" t="s">
        <v>2962</v>
      </c>
      <c r="N222" s="269">
        <f>+R222+T222-U222</f>
        <v>0</v>
      </c>
      <c r="O222" s="270">
        <f>+N222+S222+X222+ABS(Y222)-ABS(AA222)+ABS(Z222)+ABS(AB222)+ABS(AD222)-ABS(AE222)+AC222+W222+Q222</f>
        <v>0</v>
      </c>
      <c r="P222" s="271">
        <f>+O222-N222</f>
        <v>0</v>
      </c>
      <c r="Q222" s="520"/>
      <c r="R222" s="354">
        <f>IF(ISERROR(VLOOKUP("SOC"&amp;$C222,ESTR_PREC_SP!$A$2:$G$2000,4,FALSE))=TRUE,0,VLOOKUP("SOC"&amp;$C222,ESTR_PREC_SP!$A$2:$G$2000,4,FALSE))</f>
        <v>0</v>
      </c>
      <c r="S222" s="521"/>
      <c r="T222" s="521"/>
      <c r="U222" s="521"/>
      <c r="W222" s="520"/>
      <c r="X222" s="520"/>
      <c r="Y222" s="520"/>
      <c r="Z222" s="520"/>
      <c r="AA222" s="520"/>
      <c r="AB222" s="520"/>
      <c r="AC222" s="520"/>
      <c r="AD222" s="520"/>
      <c r="AE222" s="520"/>
    </row>
    <row r="223" spans="2:35" s="204" customFormat="1" x14ac:dyDescent="0.25">
      <c r="B223" s="293"/>
      <c r="C223" s="293"/>
      <c r="D223" s="230"/>
      <c r="E223" s="230"/>
      <c r="F223" s="230"/>
      <c r="G223" s="230"/>
      <c r="H223" s="231"/>
      <c r="I223" s="230"/>
      <c r="J223" s="230"/>
      <c r="K223" s="230"/>
      <c r="L223" s="296"/>
      <c r="M223" s="240"/>
      <c r="N223" s="254"/>
      <c r="O223" s="211"/>
      <c r="P223" s="211"/>
      <c r="Q223" s="211"/>
      <c r="R223" s="211"/>
      <c r="S223" s="211"/>
      <c r="T223" s="240"/>
      <c r="U223" s="240"/>
      <c r="V223" s="240"/>
      <c r="W223" s="240"/>
      <c r="X223" s="240"/>
      <c r="Y223" s="240"/>
      <c r="Z223" s="240"/>
      <c r="AA223" s="240"/>
    </row>
    <row r="224" spans="2:35" s="204" customFormat="1" x14ac:dyDescent="0.25">
      <c r="B224" s="292" t="s">
        <v>505</v>
      </c>
      <c r="C224" s="292" t="s">
        <v>506</v>
      </c>
      <c r="D224" s="247" t="s">
        <v>3185</v>
      </c>
      <c r="E224" s="247"/>
      <c r="F224" s="247"/>
      <c r="G224" s="247"/>
      <c r="H224" s="248"/>
      <c r="I224" s="247"/>
      <c r="J224" s="247"/>
      <c r="K224" s="249"/>
      <c r="L224" s="276" t="s">
        <v>509</v>
      </c>
      <c r="M224" s="251" t="s">
        <v>2962</v>
      </c>
      <c r="N224" s="252">
        <f>SUM(N227:N230)</f>
        <v>0</v>
      </c>
      <c r="O224" s="252">
        <f>SUM(O227:O230)</f>
        <v>0</v>
      </c>
      <c r="P224" s="259">
        <f>+O224-N224</f>
        <v>0</v>
      </c>
      <c r="Q224" s="252">
        <f>SUM(Q227:Q230)</f>
        <v>0</v>
      </c>
      <c r="R224" s="252">
        <f>SUM(R227:R230)</f>
        <v>0</v>
      </c>
      <c r="S224" s="252">
        <f>SUM(S227:S230)</f>
        <v>0</v>
      </c>
      <c r="W224" s="252">
        <f>SUM(W227:W230)</f>
        <v>0</v>
      </c>
      <c r="X224" s="252">
        <f>SUM(X227:X230)</f>
        <v>0</v>
      </c>
      <c r="Y224" s="252">
        <f>SUM(Y227:Y230)</f>
        <v>0</v>
      </c>
      <c r="Z224" s="252">
        <f>SUM(Z227:Z230)</f>
        <v>0</v>
      </c>
      <c r="AA224" s="240"/>
    </row>
    <row r="225" spans="2:31" s="204" customFormat="1" x14ac:dyDescent="0.25">
      <c r="B225" s="293"/>
      <c r="C225" s="293"/>
      <c r="D225" s="230"/>
      <c r="E225" s="230"/>
      <c r="F225" s="230"/>
      <c r="G225" s="230"/>
      <c r="H225" s="231"/>
      <c r="I225" s="230"/>
      <c r="J225" s="230"/>
      <c r="K225" s="230"/>
      <c r="L225" s="277"/>
      <c r="M225" s="211"/>
      <c r="N225" s="254"/>
      <c r="O225" s="211"/>
      <c r="P225" s="211"/>
      <c r="Q225" s="211"/>
      <c r="R225" s="211"/>
      <c r="W225" s="240"/>
      <c r="X225" s="240"/>
      <c r="Y225" s="240"/>
      <c r="Z225" s="240"/>
      <c r="AA225" s="240"/>
    </row>
    <row r="226" spans="2:31" s="204" customFormat="1" ht="89.25" x14ac:dyDescent="0.25">
      <c r="B226" s="294" t="s">
        <v>2968</v>
      </c>
      <c r="C226" s="294" t="s">
        <v>2969</v>
      </c>
      <c r="D226" s="206" t="s">
        <v>72</v>
      </c>
      <c r="E226" s="206"/>
      <c r="F226" s="206"/>
      <c r="G226" s="207"/>
      <c r="H226" s="207"/>
      <c r="I226" s="207"/>
      <c r="J226" s="207" t="s">
        <v>2957</v>
      </c>
      <c r="K226" s="206" t="s">
        <v>82</v>
      </c>
      <c r="L226" s="261" t="s">
        <v>2970</v>
      </c>
      <c r="M226" s="260"/>
      <c r="N226" s="256" t="str">
        <f>N$15</f>
        <v>Valore netto al 31/12/2019</v>
      </c>
      <c r="O226" s="256" t="str">
        <f>O$15</f>
        <v>Valore netto al 31/12/2020</v>
      </c>
      <c r="P226" s="256" t="str">
        <f>P$15</f>
        <v>Variazione</v>
      </c>
      <c r="Q226" s="262" t="s">
        <v>2971</v>
      </c>
      <c r="R226" s="262" t="str">
        <f>"Fondo ammortamento 31/12/"&amp;Info!$B$3-1</f>
        <v>Fondo ammortamento 31/12/2019</v>
      </c>
      <c r="S226" s="262" t="s">
        <v>2972</v>
      </c>
      <c r="W226" s="262" t="s">
        <v>4391</v>
      </c>
      <c r="X226" s="262" t="s">
        <v>2976</v>
      </c>
      <c r="Y226" s="262" t="s">
        <v>2989</v>
      </c>
      <c r="Z226" s="262" t="s">
        <v>2990</v>
      </c>
      <c r="AA226" s="240"/>
    </row>
    <row r="227" spans="2:31" s="204" customFormat="1" x14ac:dyDescent="0.25">
      <c r="B227" s="273" t="s">
        <v>510</v>
      </c>
      <c r="C227" s="273" t="s">
        <v>511</v>
      </c>
      <c r="D227" s="264" t="s">
        <v>3186</v>
      </c>
      <c r="E227" s="264"/>
      <c r="F227" s="264"/>
      <c r="G227" s="265"/>
      <c r="H227" s="266"/>
      <c r="I227" s="281"/>
      <c r="J227" s="281"/>
      <c r="K227" s="281"/>
      <c r="L227" s="282" t="s">
        <v>3187</v>
      </c>
      <c r="M227" s="263" t="s">
        <v>2962</v>
      </c>
      <c r="N227" s="269">
        <f>+R227</f>
        <v>0</v>
      </c>
      <c r="O227" s="270">
        <f>+R227+S227+X227-ABS(Y227)+ABS(Z227)+W227+Q227</f>
        <v>0</v>
      </c>
      <c r="P227" s="271">
        <f>+O227-N227</f>
        <v>0</v>
      </c>
      <c r="Q227" s="520"/>
      <c r="R227" s="354">
        <f>IF(ISERROR(VLOOKUP("SOC"&amp;$C227,ESTR_PREC_SP!$A$2:$G$2000,4,FALSE))=TRUE,0,VLOOKUP("SOC"&amp;$C227,ESTR_PREC_SP!$A$2:$G$2000,4,FALSE))</f>
        <v>0</v>
      </c>
      <c r="S227" s="521"/>
      <c r="V227" s="211"/>
      <c r="W227" s="520"/>
      <c r="X227" s="520"/>
      <c r="Y227" s="520"/>
      <c r="Z227" s="520"/>
      <c r="AA227" s="240"/>
    </row>
    <row r="228" spans="2:31" s="204" customFormat="1" x14ac:dyDescent="0.25">
      <c r="B228" s="273" t="s">
        <v>513</v>
      </c>
      <c r="C228" s="273" t="s">
        <v>514</v>
      </c>
      <c r="D228" s="264" t="s">
        <v>3188</v>
      </c>
      <c r="E228" s="264"/>
      <c r="F228" s="264"/>
      <c r="G228" s="265"/>
      <c r="H228" s="266"/>
      <c r="I228" s="281"/>
      <c r="J228" s="281"/>
      <c r="K228" s="281"/>
      <c r="L228" s="282" t="s">
        <v>3189</v>
      </c>
      <c r="M228" s="263" t="s">
        <v>2962</v>
      </c>
      <c r="N228" s="269">
        <f>+R228</f>
        <v>0</v>
      </c>
      <c r="O228" s="270">
        <f>+R228+S228+X228-ABS(Y228)+ABS(Z228)+W228+Q228</f>
        <v>0</v>
      </c>
      <c r="P228" s="271">
        <f>+O228-N228</f>
        <v>0</v>
      </c>
      <c r="Q228" s="520"/>
      <c r="R228" s="354">
        <f>IF(ISERROR(VLOOKUP("SOC"&amp;$C228,ESTR_PREC_SP!$A$2:$G$2000,4,FALSE))=TRUE,0,VLOOKUP("SOC"&amp;$C228,ESTR_PREC_SP!$A$2:$G$2000,4,FALSE))</f>
        <v>0</v>
      </c>
      <c r="S228" s="521"/>
      <c r="V228" s="211"/>
      <c r="W228" s="520"/>
      <c r="X228" s="520"/>
      <c r="Y228" s="520"/>
      <c r="Z228" s="520"/>
      <c r="AA228" s="240"/>
    </row>
    <row r="229" spans="2:31" s="204" customFormat="1" x14ac:dyDescent="0.25">
      <c r="B229" s="273" t="s">
        <v>516</v>
      </c>
      <c r="C229" s="273" t="s">
        <v>517</v>
      </c>
      <c r="D229" s="264" t="s">
        <v>3190</v>
      </c>
      <c r="E229" s="264"/>
      <c r="F229" s="274"/>
      <c r="G229" s="283"/>
      <c r="H229" s="266"/>
      <c r="I229" s="281"/>
      <c r="J229" s="281"/>
      <c r="K229" s="281"/>
      <c r="L229" s="295" t="s">
        <v>3191</v>
      </c>
      <c r="M229" s="284" t="s">
        <v>2962</v>
      </c>
      <c r="N229" s="269">
        <f>+R229</f>
        <v>0</v>
      </c>
      <c r="O229" s="270">
        <f>+R229+S229+X229-ABS(Y229)+ABS(Z229)+W229+Q229</f>
        <v>0</v>
      </c>
      <c r="P229" s="271">
        <f>+O229-N229</f>
        <v>0</v>
      </c>
      <c r="Q229" s="520"/>
      <c r="R229" s="354">
        <f>IF(ISERROR(VLOOKUP("SOC"&amp;$C229,ESTR_PREC_SP!$A$2:$G$2000,4,FALSE))=TRUE,0,VLOOKUP("SOC"&amp;$C229,ESTR_PREC_SP!$A$2:$G$2000,4,FALSE))</f>
        <v>0</v>
      </c>
      <c r="S229" s="521"/>
      <c r="V229" s="211"/>
      <c r="W229" s="520"/>
      <c r="X229" s="520"/>
      <c r="Y229" s="520"/>
      <c r="Z229" s="520"/>
      <c r="AA229" s="240"/>
    </row>
    <row r="230" spans="2:31" s="204" customFormat="1" x14ac:dyDescent="0.25">
      <c r="B230" s="273" t="s">
        <v>519</v>
      </c>
      <c r="C230" s="273" t="s">
        <v>520</v>
      </c>
      <c r="D230" s="264" t="s">
        <v>3192</v>
      </c>
      <c r="E230" s="264"/>
      <c r="F230" s="274"/>
      <c r="G230" s="283"/>
      <c r="H230" s="266"/>
      <c r="I230" s="281"/>
      <c r="J230" s="281"/>
      <c r="K230" s="281"/>
      <c r="L230" s="295" t="s">
        <v>3193</v>
      </c>
      <c r="M230" s="284" t="s">
        <v>2962</v>
      </c>
      <c r="N230" s="269">
        <f>+R230</f>
        <v>0</v>
      </c>
      <c r="O230" s="270">
        <f>+R230+S230+X230-ABS(Y230)+ABS(Z230)+W230+Q230</f>
        <v>0</v>
      </c>
      <c r="P230" s="271">
        <f>+O230-N230</f>
        <v>0</v>
      </c>
      <c r="Q230" s="520"/>
      <c r="R230" s="354">
        <f>IF(ISERROR(VLOOKUP("SOC"&amp;$C230,ESTR_PREC_SP!$A$2:$G$2000,4,FALSE))=TRUE,0,VLOOKUP("SOC"&amp;$C230,ESTR_PREC_SP!$A$2:$G$2000,4,FALSE))</f>
        <v>0</v>
      </c>
      <c r="S230" s="521"/>
      <c r="V230" s="211"/>
      <c r="W230" s="520"/>
      <c r="X230" s="520"/>
      <c r="Y230" s="520"/>
      <c r="Z230" s="520"/>
      <c r="AA230" s="240"/>
    </row>
    <row r="231" spans="2:31" s="204" customFormat="1" x14ac:dyDescent="0.25">
      <c r="B231" s="293"/>
      <c r="C231" s="293"/>
      <c r="D231" s="230"/>
      <c r="E231" s="230"/>
      <c r="F231" s="230"/>
      <c r="G231" s="230"/>
      <c r="H231" s="231"/>
      <c r="I231" s="230"/>
      <c r="J231" s="230"/>
      <c r="K231" s="230"/>
      <c r="L231" s="275"/>
      <c r="M231" s="216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</row>
    <row r="232" spans="2:31" s="204" customFormat="1" x14ac:dyDescent="0.25">
      <c r="B232" s="292" t="s">
        <v>522</v>
      </c>
      <c r="C232" s="292" t="s">
        <v>523</v>
      </c>
      <c r="D232" s="247" t="s">
        <v>3194</v>
      </c>
      <c r="E232" s="247"/>
      <c r="F232" s="247"/>
      <c r="G232" s="247"/>
      <c r="H232" s="248"/>
      <c r="I232" s="247"/>
      <c r="J232" s="247"/>
      <c r="K232" s="249"/>
      <c r="L232" s="276" t="s">
        <v>525</v>
      </c>
      <c r="M232" s="251" t="s">
        <v>2962</v>
      </c>
      <c r="N232" s="252">
        <f>+N234-N242</f>
        <v>0</v>
      </c>
      <c r="O232" s="252">
        <f>+O234-O242</f>
        <v>0</v>
      </c>
      <c r="P232" s="259">
        <f>+O232-N232</f>
        <v>0</v>
      </c>
      <c r="Q232" s="285"/>
      <c r="R232" s="285"/>
      <c r="S232" s="285"/>
      <c r="T232" s="285"/>
      <c r="U232" s="285"/>
      <c r="V232" s="285"/>
      <c r="W232" s="211"/>
      <c r="X232" s="252">
        <f>+X234-X242</f>
        <v>0</v>
      </c>
      <c r="Y232" s="285"/>
      <c r="Z232" s="285"/>
      <c r="AA232" s="285"/>
    </row>
    <row r="233" spans="2:31" s="204" customFormat="1" x14ac:dyDescent="0.25">
      <c r="B233" s="293"/>
      <c r="C233" s="293"/>
      <c r="D233" s="230"/>
      <c r="E233" s="230"/>
      <c r="F233" s="230"/>
      <c r="G233" s="230"/>
      <c r="H233" s="231"/>
      <c r="I233" s="230"/>
      <c r="J233" s="230"/>
      <c r="K233" s="230"/>
      <c r="L233" s="275"/>
      <c r="M233" s="216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</row>
    <row r="234" spans="2:31" s="204" customFormat="1" x14ac:dyDescent="0.25">
      <c r="B234" s="292" t="s">
        <v>526</v>
      </c>
      <c r="C234" s="292" t="s">
        <v>527</v>
      </c>
      <c r="D234" s="247" t="s">
        <v>3195</v>
      </c>
      <c r="E234" s="247"/>
      <c r="F234" s="247"/>
      <c r="G234" s="247"/>
      <c r="H234" s="248"/>
      <c r="I234" s="247"/>
      <c r="J234" s="247"/>
      <c r="K234" s="249"/>
      <c r="L234" s="276" t="s">
        <v>529</v>
      </c>
      <c r="M234" s="251" t="s">
        <v>2962</v>
      </c>
      <c r="N234" s="252">
        <f>SUM(N237:N240)</f>
        <v>0</v>
      </c>
      <c r="O234" s="252">
        <f>SUM(O237:O240)</f>
        <v>0</v>
      </c>
      <c r="P234" s="259">
        <f>+O234-N234</f>
        <v>0</v>
      </c>
      <c r="Q234" s="252">
        <f>SUM(Q237:Q240)</f>
        <v>0</v>
      </c>
      <c r="R234" s="252">
        <f>SUM(R237:R240)</f>
        <v>0</v>
      </c>
      <c r="S234" s="252">
        <f>SUM(T237:T240)</f>
        <v>0</v>
      </c>
      <c r="T234" s="252">
        <f>SUM(T237:T240)</f>
        <v>0</v>
      </c>
      <c r="U234" s="252">
        <f>SUM(U237:U240)</f>
        <v>0</v>
      </c>
      <c r="W234" s="252">
        <f t="shared" ref="W234:AE234" si="25">SUM(W237:W240)</f>
        <v>0</v>
      </c>
      <c r="X234" s="252">
        <f t="shared" si="25"/>
        <v>0</v>
      </c>
      <c r="Y234" s="252">
        <f t="shared" si="25"/>
        <v>0</v>
      </c>
      <c r="Z234" s="252">
        <f t="shared" si="25"/>
        <v>0</v>
      </c>
      <c r="AA234" s="252">
        <f t="shared" si="25"/>
        <v>0</v>
      </c>
      <c r="AB234" s="252">
        <f t="shared" si="25"/>
        <v>0</v>
      </c>
      <c r="AC234" s="252">
        <f t="shared" si="25"/>
        <v>0</v>
      </c>
      <c r="AD234" s="252">
        <f t="shared" si="25"/>
        <v>0</v>
      </c>
      <c r="AE234" s="252">
        <f t="shared" si="25"/>
        <v>0</v>
      </c>
    </row>
    <row r="235" spans="2:31" s="204" customFormat="1" x14ac:dyDescent="0.25">
      <c r="B235" s="293"/>
      <c r="C235" s="293"/>
      <c r="D235" s="230"/>
      <c r="E235" s="230"/>
      <c r="F235" s="230"/>
      <c r="G235" s="230"/>
      <c r="H235" s="231"/>
      <c r="I235" s="230"/>
      <c r="J235" s="230"/>
      <c r="K235" s="230"/>
      <c r="L235" s="277"/>
      <c r="M235" s="211"/>
      <c r="N235" s="254"/>
      <c r="O235" s="211"/>
      <c r="P235" s="211"/>
      <c r="Q235" s="211"/>
      <c r="R235" s="211"/>
      <c r="T235" s="211"/>
      <c r="U235" s="211"/>
      <c r="V235" s="211"/>
      <c r="W235" s="211"/>
      <c r="X235" s="211"/>
      <c r="Y235" s="211"/>
      <c r="Z235" s="211"/>
      <c r="AA235" s="211"/>
    </row>
    <row r="236" spans="2:31" s="204" customFormat="1" ht="89.25" x14ac:dyDescent="0.25">
      <c r="B236" s="294" t="s">
        <v>2968</v>
      </c>
      <c r="C236" s="294" t="s">
        <v>2969</v>
      </c>
      <c r="D236" s="206" t="s">
        <v>72</v>
      </c>
      <c r="E236" s="206"/>
      <c r="F236" s="206"/>
      <c r="G236" s="207"/>
      <c r="H236" s="207"/>
      <c r="I236" s="207"/>
      <c r="J236" s="207" t="s">
        <v>2957</v>
      </c>
      <c r="K236" s="206" t="s">
        <v>82</v>
      </c>
      <c r="L236" s="261" t="s">
        <v>2970</v>
      </c>
      <c r="M236" s="260"/>
      <c r="N236" s="256" t="str">
        <f>N$15</f>
        <v>Valore netto al 31/12/2019</v>
      </c>
      <c r="O236" s="256" t="str">
        <f>O$15</f>
        <v>Valore netto al 31/12/2020</v>
      </c>
      <c r="P236" s="256" t="str">
        <f>P$15</f>
        <v>Variazione</v>
      </c>
      <c r="Q236" s="262" t="s">
        <v>2971</v>
      </c>
      <c r="R236" s="262" t="str">
        <f>"Costo storico al 31/12/"&amp;Info!$B$3-1</f>
        <v>Costo storico al 31/12/2019</v>
      </c>
      <c r="S236" s="262" t="s">
        <v>2972</v>
      </c>
      <c r="T236" s="262" t="s">
        <v>2973</v>
      </c>
      <c r="U236" s="262" t="s">
        <v>2974</v>
      </c>
      <c r="W236" s="262" t="s">
        <v>4391</v>
      </c>
      <c r="X236" s="262" t="s">
        <v>2976</v>
      </c>
      <c r="Y236" s="262" t="s">
        <v>2977</v>
      </c>
      <c r="Z236" s="262" t="s">
        <v>2978</v>
      </c>
      <c r="AA236" s="262" t="s">
        <v>2979</v>
      </c>
      <c r="AB236" s="262" t="s">
        <v>2980</v>
      </c>
      <c r="AC236" s="262" t="s">
        <v>2981</v>
      </c>
      <c r="AD236" s="262" t="s">
        <v>2982</v>
      </c>
      <c r="AE236" s="262" t="s">
        <v>2983</v>
      </c>
    </row>
    <row r="237" spans="2:31" s="204" customFormat="1" x14ac:dyDescent="0.25">
      <c r="B237" s="273" t="s">
        <v>530</v>
      </c>
      <c r="C237" s="273" t="s">
        <v>531</v>
      </c>
      <c r="D237" s="264" t="s">
        <v>3196</v>
      </c>
      <c r="E237" s="264"/>
      <c r="F237" s="264"/>
      <c r="G237" s="265"/>
      <c r="H237" s="266"/>
      <c r="I237" s="281"/>
      <c r="J237" s="281"/>
      <c r="K237" s="281"/>
      <c r="L237" s="295" t="s">
        <v>3197</v>
      </c>
      <c r="M237" s="284" t="s">
        <v>2962</v>
      </c>
      <c r="N237" s="269">
        <f>+R237+T237-U237</f>
        <v>0</v>
      </c>
      <c r="O237" s="270">
        <f>+N237+S237+X237+ABS(Y237)-ABS(AA237)+ABS(Z237)+ABS(AB237)+ABS(AD237)-ABS(AE237)+AC237+W237+Q237</f>
        <v>0</v>
      </c>
      <c r="P237" s="271">
        <f>+O237-N237</f>
        <v>0</v>
      </c>
      <c r="Q237" s="520"/>
      <c r="R237" s="354">
        <f>IF(ISERROR(VLOOKUP("SOC"&amp;$C237,ESTR_PREC_SP!$A$2:$G$2000,4,FALSE))=TRUE,0,VLOOKUP("SOC"&amp;$C237,ESTR_PREC_SP!$A$2:$G$2000,4,FALSE))</f>
        <v>0</v>
      </c>
      <c r="S237" s="521"/>
      <c r="T237" s="521"/>
      <c r="U237" s="521"/>
      <c r="W237" s="520"/>
      <c r="X237" s="520"/>
      <c r="Y237" s="520"/>
      <c r="Z237" s="520"/>
      <c r="AA237" s="520"/>
      <c r="AB237" s="520"/>
      <c r="AC237" s="520"/>
      <c r="AD237" s="520"/>
      <c r="AE237" s="520"/>
    </row>
    <row r="238" spans="2:31" s="204" customFormat="1" x14ac:dyDescent="0.25">
      <c r="B238" s="273" t="s">
        <v>533</v>
      </c>
      <c r="C238" s="273" t="s">
        <v>534</v>
      </c>
      <c r="D238" s="264" t="s">
        <v>3198</v>
      </c>
      <c r="E238" s="264"/>
      <c r="F238" s="264"/>
      <c r="G238" s="265"/>
      <c r="H238" s="266"/>
      <c r="I238" s="281"/>
      <c r="J238" s="281"/>
      <c r="K238" s="281"/>
      <c r="L238" s="295" t="s">
        <v>3199</v>
      </c>
      <c r="M238" s="284" t="s">
        <v>2962</v>
      </c>
      <c r="N238" s="269">
        <f>+R238+T238-U238</f>
        <v>0</v>
      </c>
      <c r="O238" s="270">
        <f>+N238+S238+X238+ABS(Y238)-ABS(AA238)+ABS(Z238)+ABS(AB238)+ABS(AD238)-ABS(AE238)+AC238+W238+Q238</f>
        <v>0</v>
      </c>
      <c r="P238" s="271">
        <f>+O238-N238</f>
        <v>0</v>
      </c>
      <c r="Q238" s="520"/>
      <c r="R238" s="354">
        <f>IF(ISERROR(VLOOKUP("SOC"&amp;$C238,ESTR_PREC_SP!$A$2:$G$2000,4,FALSE))=TRUE,0,VLOOKUP("SOC"&amp;$C238,ESTR_PREC_SP!$A$2:$G$2000,4,FALSE))</f>
        <v>0</v>
      </c>
      <c r="S238" s="521"/>
      <c r="T238" s="521"/>
      <c r="U238" s="521"/>
      <c r="W238" s="520"/>
      <c r="X238" s="520"/>
      <c r="Y238" s="520"/>
      <c r="Z238" s="520"/>
      <c r="AA238" s="520"/>
      <c r="AB238" s="520"/>
      <c r="AC238" s="520"/>
      <c r="AD238" s="520"/>
      <c r="AE238" s="520"/>
    </row>
    <row r="239" spans="2:31" s="204" customFormat="1" x14ac:dyDescent="0.25">
      <c r="B239" s="273" t="s">
        <v>536</v>
      </c>
      <c r="C239" s="273" t="s">
        <v>537</v>
      </c>
      <c r="D239" s="264" t="s">
        <v>3200</v>
      </c>
      <c r="E239" s="264"/>
      <c r="F239" s="274"/>
      <c r="G239" s="283"/>
      <c r="H239" s="266"/>
      <c r="I239" s="281"/>
      <c r="J239" s="281"/>
      <c r="K239" s="281"/>
      <c r="L239" s="295" t="s">
        <v>3201</v>
      </c>
      <c r="M239" s="284" t="s">
        <v>2962</v>
      </c>
      <c r="N239" s="269">
        <f>+R239+T239-U239</f>
        <v>0</v>
      </c>
      <c r="O239" s="270">
        <f>+N239+S239+X239+ABS(Y239)-ABS(AA239)+ABS(Z239)+ABS(AB239)+ABS(AD239)-ABS(AE239)+AC239+W239+Q239</f>
        <v>0</v>
      </c>
      <c r="P239" s="271">
        <f>+O239-N239</f>
        <v>0</v>
      </c>
      <c r="Q239" s="520"/>
      <c r="R239" s="354">
        <f>IF(ISERROR(VLOOKUP("SOC"&amp;$C239,ESTR_PREC_SP!$A$2:$G$2000,4,FALSE))=TRUE,0,VLOOKUP("SOC"&amp;$C239,ESTR_PREC_SP!$A$2:$G$2000,4,FALSE))</f>
        <v>0</v>
      </c>
      <c r="S239" s="521"/>
      <c r="T239" s="521"/>
      <c r="U239" s="521"/>
      <c r="W239" s="520"/>
      <c r="X239" s="520"/>
      <c r="Y239" s="520"/>
      <c r="Z239" s="520"/>
      <c r="AA239" s="520"/>
      <c r="AB239" s="520"/>
      <c r="AC239" s="520"/>
      <c r="AD239" s="520"/>
      <c r="AE239" s="520"/>
    </row>
    <row r="240" spans="2:31" s="204" customFormat="1" x14ac:dyDescent="0.25">
      <c r="B240" s="273" t="s">
        <v>539</v>
      </c>
      <c r="C240" s="273" t="s">
        <v>540</v>
      </c>
      <c r="D240" s="264" t="s">
        <v>3202</v>
      </c>
      <c r="E240" s="264"/>
      <c r="F240" s="274"/>
      <c r="G240" s="283"/>
      <c r="H240" s="266"/>
      <c r="I240" s="281"/>
      <c r="J240" s="281"/>
      <c r="K240" s="281"/>
      <c r="L240" s="295" t="s">
        <v>3203</v>
      </c>
      <c r="M240" s="284" t="s">
        <v>2962</v>
      </c>
      <c r="N240" s="269">
        <f>+R240+T240-U240</f>
        <v>0</v>
      </c>
      <c r="O240" s="270">
        <f>+N240+S240+X240+ABS(Y240)-ABS(AA240)+ABS(Z240)+ABS(AB240)+ABS(AD240)-ABS(AE240)+AC240+W240+Q240</f>
        <v>0</v>
      </c>
      <c r="P240" s="271">
        <f>+O240-N240</f>
        <v>0</v>
      </c>
      <c r="Q240" s="520"/>
      <c r="R240" s="354">
        <f>IF(ISERROR(VLOOKUP("SOC"&amp;$C240,ESTR_PREC_SP!$A$2:$G$2000,4,FALSE))=TRUE,0,VLOOKUP("SOC"&amp;$C240,ESTR_PREC_SP!$A$2:$G$2000,4,FALSE))</f>
        <v>0</v>
      </c>
      <c r="S240" s="521"/>
      <c r="T240" s="521"/>
      <c r="U240" s="521"/>
      <c r="W240" s="520"/>
      <c r="X240" s="520"/>
      <c r="Y240" s="520"/>
      <c r="Z240" s="520"/>
      <c r="AA240" s="520"/>
      <c r="AB240" s="520"/>
      <c r="AC240" s="520"/>
      <c r="AD240" s="520"/>
      <c r="AE240" s="520"/>
    </row>
    <row r="241" spans="2:31" s="204" customFormat="1" x14ac:dyDescent="0.25">
      <c r="B241" s="293"/>
      <c r="C241" s="293"/>
      <c r="D241" s="230"/>
      <c r="E241" s="230"/>
      <c r="F241" s="230"/>
      <c r="G241" s="230"/>
      <c r="H241" s="231"/>
      <c r="I241" s="230"/>
      <c r="J241" s="230"/>
      <c r="K241" s="230"/>
      <c r="L241" s="296"/>
      <c r="M241" s="240"/>
      <c r="N241" s="254"/>
      <c r="O241" s="211"/>
      <c r="P241" s="211"/>
      <c r="Q241" s="211"/>
      <c r="R241" s="211"/>
      <c r="S241" s="211"/>
      <c r="T241" s="240"/>
      <c r="U241" s="240"/>
      <c r="V241" s="240"/>
      <c r="W241" s="240"/>
      <c r="X241" s="240"/>
      <c r="Y241" s="240"/>
      <c r="Z241" s="240"/>
      <c r="AA241" s="240"/>
    </row>
    <row r="242" spans="2:31" s="204" customFormat="1" x14ac:dyDescent="0.25">
      <c r="B242" s="292" t="s">
        <v>542</v>
      </c>
      <c r="C242" s="292" t="s">
        <v>543</v>
      </c>
      <c r="D242" s="247" t="s">
        <v>3204</v>
      </c>
      <c r="E242" s="247"/>
      <c r="F242" s="247"/>
      <c r="G242" s="247"/>
      <c r="H242" s="248"/>
      <c r="I242" s="247"/>
      <c r="J242" s="247"/>
      <c r="K242" s="249"/>
      <c r="L242" s="276" t="s">
        <v>545</v>
      </c>
      <c r="M242" s="251" t="s">
        <v>2962</v>
      </c>
      <c r="N242" s="252">
        <f>SUM(N245:N248)</f>
        <v>0</v>
      </c>
      <c r="O242" s="252">
        <f>SUM(O245:O248)</f>
        <v>0</v>
      </c>
      <c r="P242" s="259">
        <f>+O242-N242</f>
        <v>0</v>
      </c>
      <c r="Q242" s="252">
        <f>SUM(Q245:Q248)</f>
        <v>0</v>
      </c>
      <c r="R242" s="252">
        <f>SUM(R245:R248)</f>
        <v>0</v>
      </c>
      <c r="S242" s="252">
        <f>SUM(S245:S248)</f>
        <v>0</v>
      </c>
      <c r="T242" s="211"/>
      <c r="U242" s="211"/>
      <c r="V242" s="211"/>
      <c r="W242" s="252">
        <f>SUM(W245:W248)</f>
        <v>0</v>
      </c>
      <c r="X242" s="252">
        <f>SUM(X245:X248)</f>
        <v>0</v>
      </c>
      <c r="Y242" s="252">
        <f>SUM(Y245:Y248)</f>
        <v>0</v>
      </c>
      <c r="Z242" s="252">
        <f>SUM(Z245:Z248)</f>
        <v>0</v>
      </c>
      <c r="AA242" s="240"/>
    </row>
    <row r="243" spans="2:31" s="204" customFormat="1" x14ac:dyDescent="0.25">
      <c r="B243" s="293"/>
      <c r="C243" s="293"/>
      <c r="D243" s="230"/>
      <c r="E243" s="230"/>
      <c r="F243" s="230"/>
      <c r="G243" s="230"/>
      <c r="H243" s="231"/>
      <c r="I243" s="230"/>
      <c r="J243" s="230"/>
      <c r="K243" s="230"/>
      <c r="L243" s="277"/>
      <c r="M243" s="211"/>
      <c r="N243" s="254"/>
      <c r="O243" s="211"/>
      <c r="P243" s="211"/>
      <c r="Q243" s="211"/>
      <c r="R243" s="211"/>
      <c r="S243" s="211"/>
      <c r="T243" s="211"/>
      <c r="U243" s="211"/>
      <c r="V243" s="211"/>
      <c r="W243" s="240"/>
      <c r="X243" s="240"/>
      <c r="Y243" s="240"/>
      <c r="Z243" s="240"/>
      <c r="AA243" s="240"/>
    </row>
    <row r="244" spans="2:31" s="204" customFormat="1" ht="89.25" x14ac:dyDescent="0.25">
      <c r="B244" s="294" t="s">
        <v>2968</v>
      </c>
      <c r="C244" s="294" t="s">
        <v>2969</v>
      </c>
      <c r="D244" s="206" t="s">
        <v>72</v>
      </c>
      <c r="E244" s="206"/>
      <c r="F244" s="206"/>
      <c r="G244" s="207"/>
      <c r="H244" s="207"/>
      <c r="I244" s="207"/>
      <c r="J244" s="207" t="s">
        <v>2957</v>
      </c>
      <c r="K244" s="206" t="s">
        <v>82</v>
      </c>
      <c r="L244" s="261" t="s">
        <v>2970</v>
      </c>
      <c r="M244" s="260"/>
      <c r="N244" s="256" t="str">
        <f>N$15</f>
        <v>Valore netto al 31/12/2019</v>
      </c>
      <c r="O244" s="256" t="str">
        <f>O$15</f>
        <v>Valore netto al 31/12/2020</v>
      </c>
      <c r="P244" s="256" t="str">
        <f>P$15</f>
        <v>Variazione</v>
      </c>
      <c r="Q244" s="262" t="s">
        <v>2971</v>
      </c>
      <c r="R244" s="262" t="str">
        <f>"Fondo ammortamento 31/12/"&amp;Info!$B$3-1</f>
        <v>Fondo ammortamento 31/12/2019</v>
      </c>
      <c r="S244" s="262" t="s">
        <v>2972</v>
      </c>
      <c r="W244" s="262" t="s">
        <v>4391</v>
      </c>
      <c r="X244" s="262" t="s">
        <v>2976</v>
      </c>
      <c r="Y244" s="262" t="s">
        <v>2989</v>
      </c>
      <c r="Z244" s="262" t="s">
        <v>2990</v>
      </c>
      <c r="AA244" s="240"/>
    </row>
    <row r="245" spans="2:31" s="204" customFormat="1" ht="25.5" x14ac:dyDescent="0.25">
      <c r="B245" s="273" t="s">
        <v>546</v>
      </c>
      <c r="C245" s="273" t="s">
        <v>547</v>
      </c>
      <c r="D245" s="264" t="s">
        <v>3205</v>
      </c>
      <c r="E245" s="264"/>
      <c r="F245" s="264"/>
      <c r="G245" s="265"/>
      <c r="H245" s="266"/>
      <c r="I245" s="281"/>
      <c r="J245" s="281"/>
      <c r="K245" s="281"/>
      <c r="L245" s="295" t="s">
        <v>3206</v>
      </c>
      <c r="M245" s="284" t="s">
        <v>2962</v>
      </c>
      <c r="N245" s="269">
        <f>+R245</f>
        <v>0</v>
      </c>
      <c r="O245" s="270">
        <f>+R245+S245+X245-ABS(Y245)+ABS(Z245)+W245+Q245</f>
        <v>0</v>
      </c>
      <c r="P245" s="271">
        <f>+O245-N245</f>
        <v>0</v>
      </c>
      <c r="Q245" s="520"/>
      <c r="R245" s="354">
        <f>IF(ISERROR(VLOOKUP("SOC"&amp;$C245,ESTR_PREC_SP!$A$2:$G$2000,4,FALSE))=TRUE,0,VLOOKUP("SOC"&amp;$C245,ESTR_PREC_SP!$A$2:$G$2000,4,FALSE))</f>
        <v>0</v>
      </c>
      <c r="S245" s="521"/>
      <c r="V245" s="211"/>
      <c r="W245" s="520"/>
      <c r="X245" s="520"/>
      <c r="Y245" s="520"/>
      <c r="Z245" s="520"/>
      <c r="AA245" s="240"/>
    </row>
    <row r="246" spans="2:31" s="204" customFormat="1" ht="50.45" customHeight="1" x14ac:dyDescent="0.25">
      <c r="B246" s="273" t="s">
        <v>549</v>
      </c>
      <c r="C246" s="273" t="s">
        <v>550</v>
      </c>
      <c r="D246" s="264" t="s">
        <v>3207</v>
      </c>
      <c r="E246" s="264"/>
      <c r="F246" s="264"/>
      <c r="G246" s="265"/>
      <c r="H246" s="266"/>
      <c r="I246" s="281"/>
      <c r="J246" s="281"/>
      <c r="K246" s="281"/>
      <c r="L246" s="295" t="s">
        <v>3208</v>
      </c>
      <c r="M246" s="284" t="s">
        <v>2962</v>
      </c>
      <c r="N246" s="269">
        <f>+R246</f>
        <v>0</v>
      </c>
      <c r="O246" s="270">
        <f>+R246+S246+X246-ABS(Y246)+ABS(Z246)+W246+Q246</f>
        <v>0</v>
      </c>
      <c r="P246" s="271">
        <f>+O246-N246</f>
        <v>0</v>
      </c>
      <c r="Q246" s="520"/>
      <c r="R246" s="354">
        <f>IF(ISERROR(VLOOKUP("SOC"&amp;$C246,ESTR_PREC_SP!$A$2:$G$2000,4,FALSE))=TRUE,0,VLOOKUP("SOC"&amp;$C246,ESTR_PREC_SP!$A$2:$G$2000,4,FALSE))</f>
        <v>0</v>
      </c>
      <c r="S246" s="521"/>
      <c r="V246" s="211"/>
      <c r="W246" s="520"/>
      <c r="X246" s="520"/>
      <c r="Y246" s="520"/>
      <c r="Z246" s="520"/>
      <c r="AA246" s="240"/>
    </row>
    <row r="247" spans="2:31" s="204" customFormat="1" ht="24.6" customHeight="1" x14ac:dyDescent="0.25">
      <c r="B247" s="273" t="s">
        <v>552</v>
      </c>
      <c r="C247" s="273" t="s">
        <v>553</v>
      </c>
      <c r="D247" s="264" t="s">
        <v>3209</v>
      </c>
      <c r="E247" s="264"/>
      <c r="F247" s="274"/>
      <c r="G247" s="283"/>
      <c r="H247" s="266"/>
      <c r="I247" s="281"/>
      <c r="J247" s="281"/>
      <c r="K247" s="281"/>
      <c r="L247" s="295" t="s">
        <v>3210</v>
      </c>
      <c r="M247" s="284" t="s">
        <v>2962</v>
      </c>
      <c r="N247" s="269">
        <f>+R247</f>
        <v>0</v>
      </c>
      <c r="O247" s="270">
        <f>+R247+S247+X247-ABS(Y247)+ABS(Z247)+W247+Q247</f>
        <v>0</v>
      </c>
      <c r="P247" s="271">
        <f>+O247-N247</f>
        <v>0</v>
      </c>
      <c r="Q247" s="520"/>
      <c r="R247" s="354">
        <f>IF(ISERROR(VLOOKUP("SOC"&amp;$C247,ESTR_PREC_SP!$A$2:$G$2000,4,FALSE))=TRUE,0,VLOOKUP("SOC"&amp;$C247,ESTR_PREC_SP!$A$2:$G$2000,4,FALSE))</f>
        <v>0</v>
      </c>
      <c r="S247" s="521"/>
      <c r="V247" s="211"/>
      <c r="W247" s="520"/>
      <c r="X247" s="520"/>
      <c r="Y247" s="520"/>
      <c r="Z247" s="520"/>
      <c r="AA247" s="240"/>
    </row>
    <row r="248" spans="2:31" s="204" customFormat="1" ht="39" customHeight="1" x14ac:dyDescent="0.25">
      <c r="B248" s="273" t="s">
        <v>555</v>
      </c>
      <c r="C248" s="273" t="s">
        <v>556</v>
      </c>
      <c r="D248" s="264" t="s">
        <v>3211</v>
      </c>
      <c r="E248" s="264"/>
      <c r="F248" s="274"/>
      <c r="G248" s="283"/>
      <c r="H248" s="266"/>
      <c r="I248" s="281"/>
      <c r="J248" s="281"/>
      <c r="K248" s="281"/>
      <c r="L248" s="295" t="s">
        <v>3212</v>
      </c>
      <c r="M248" s="284" t="s">
        <v>2962</v>
      </c>
      <c r="N248" s="269">
        <f>+R248</f>
        <v>0</v>
      </c>
      <c r="O248" s="270">
        <f>+R248+S248+X248-ABS(Y248)+ABS(Z248)+W248+Q248</f>
        <v>0</v>
      </c>
      <c r="P248" s="271">
        <f>+O248-N248</f>
        <v>0</v>
      </c>
      <c r="Q248" s="520"/>
      <c r="R248" s="354">
        <f>IF(ISERROR(VLOOKUP("SOC"&amp;$C248,ESTR_PREC_SP!$A$2:$G$2000,4,FALSE))=TRUE,0,VLOOKUP("SOC"&amp;$C248,ESTR_PREC_SP!$A$2:$G$2000,4,FALSE))</f>
        <v>0</v>
      </c>
      <c r="S248" s="521"/>
      <c r="V248" s="211"/>
      <c r="W248" s="520"/>
      <c r="X248" s="520"/>
      <c r="Y248" s="520"/>
      <c r="Z248" s="520"/>
      <c r="AA248" s="240"/>
    </row>
    <row r="249" spans="2:31" s="204" customFormat="1" x14ac:dyDescent="0.25">
      <c r="B249" s="293"/>
      <c r="C249" s="293"/>
      <c r="D249" s="230"/>
      <c r="E249" s="230"/>
      <c r="F249" s="230"/>
      <c r="G249" s="230"/>
      <c r="H249" s="231"/>
      <c r="I249" s="230"/>
      <c r="J249" s="230"/>
      <c r="K249" s="230"/>
      <c r="L249" s="275"/>
      <c r="M249" s="216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</row>
    <row r="250" spans="2:31" s="204" customFormat="1" ht="25.5" x14ac:dyDescent="0.25">
      <c r="B250" s="293"/>
      <c r="C250" s="293"/>
      <c r="D250" s="230"/>
      <c r="E250" s="230"/>
      <c r="F250" s="230"/>
      <c r="G250" s="230"/>
      <c r="H250" s="231"/>
      <c r="I250" s="230"/>
      <c r="J250" s="230"/>
      <c r="K250" s="230"/>
      <c r="L250" s="255"/>
      <c r="M250" s="244"/>
      <c r="N250" s="256" t="str">
        <f>N$15</f>
        <v>Valore netto al 31/12/2019</v>
      </c>
      <c r="O250" s="256" t="str">
        <f>O$15</f>
        <v>Valore netto al 31/12/2020</v>
      </c>
      <c r="P250" s="256" t="str">
        <f>P$15</f>
        <v>Variazione</v>
      </c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</row>
    <row r="251" spans="2:31" s="204" customFormat="1" x14ac:dyDescent="0.25">
      <c r="B251" s="292" t="s">
        <v>558</v>
      </c>
      <c r="C251" s="292" t="s">
        <v>559</v>
      </c>
      <c r="D251" s="247" t="s">
        <v>3213</v>
      </c>
      <c r="E251" s="247"/>
      <c r="F251" s="247"/>
      <c r="G251" s="247"/>
      <c r="H251" s="248"/>
      <c r="I251" s="247"/>
      <c r="J251" s="247"/>
      <c r="K251" s="249"/>
      <c r="L251" s="257" t="s">
        <v>561</v>
      </c>
      <c r="M251" s="251" t="s">
        <v>2962</v>
      </c>
      <c r="N251" s="252">
        <f>+N253-N271</f>
        <v>0</v>
      </c>
      <c r="O251" s="252">
        <f>+O253-O271</f>
        <v>0</v>
      </c>
      <c r="P251" s="253">
        <f>+O251-N251</f>
        <v>0</v>
      </c>
      <c r="Q251" s="285"/>
      <c r="R251" s="285"/>
      <c r="S251" s="252">
        <f>+S253-S271</f>
        <v>0</v>
      </c>
      <c r="T251" s="285"/>
      <c r="U251" s="285"/>
      <c r="V251" s="285"/>
      <c r="W251" s="211"/>
      <c r="X251" s="252">
        <f>+X253-X271</f>
        <v>0</v>
      </c>
      <c r="Y251" s="285"/>
      <c r="Z251" s="285"/>
      <c r="AA251" s="285"/>
    </row>
    <row r="252" spans="2:31" s="204" customFormat="1" x14ac:dyDescent="0.25">
      <c r="B252" s="293"/>
      <c r="C252" s="293"/>
      <c r="D252" s="230"/>
      <c r="E252" s="230"/>
      <c r="F252" s="230"/>
      <c r="G252" s="230"/>
      <c r="H252" s="231"/>
      <c r="I252" s="230"/>
      <c r="J252" s="230"/>
      <c r="K252" s="230"/>
      <c r="L252" s="275"/>
      <c r="M252" s="216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</row>
    <row r="253" spans="2:31" s="204" customFormat="1" x14ac:dyDescent="0.25">
      <c r="B253" s="292" t="s">
        <v>562</v>
      </c>
      <c r="C253" s="292" t="s">
        <v>563</v>
      </c>
      <c r="D253" s="247" t="s">
        <v>3214</v>
      </c>
      <c r="E253" s="247"/>
      <c r="F253" s="247"/>
      <c r="G253" s="247"/>
      <c r="H253" s="248"/>
      <c r="I253" s="247"/>
      <c r="J253" s="247"/>
      <c r="K253" s="249"/>
      <c r="L253" s="276" t="s">
        <v>566</v>
      </c>
      <c r="M253" s="251" t="s">
        <v>2962</v>
      </c>
      <c r="N253" s="252">
        <f>SUM(N256:N269)</f>
        <v>0</v>
      </c>
      <c r="O253" s="252">
        <f>SUM(O256:O269)</f>
        <v>0</v>
      </c>
      <c r="P253" s="259">
        <f>+O253-N253</f>
        <v>0</v>
      </c>
      <c r="Q253" s="252">
        <f>SUM(Q256:Q269)</f>
        <v>0</v>
      </c>
      <c r="R253" s="252">
        <f>SUM(R256:R269)</f>
        <v>0</v>
      </c>
      <c r="S253" s="252">
        <f>SUM(T256:T269)</f>
        <v>0</v>
      </c>
      <c r="T253" s="252">
        <f>SUM(T256:T269)</f>
        <v>0</v>
      </c>
      <c r="U253" s="252">
        <f>SUM(U256:U269)</f>
        <v>0</v>
      </c>
      <c r="W253" s="252">
        <f t="shared" ref="W253:AE253" si="26">SUM(W256:W269)</f>
        <v>0</v>
      </c>
      <c r="X253" s="252">
        <f t="shared" si="26"/>
        <v>0</v>
      </c>
      <c r="Y253" s="252">
        <f t="shared" si="26"/>
        <v>0</v>
      </c>
      <c r="Z253" s="252">
        <f t="shared" si="26"/>
        <v>0</v>
      </c>
      <c r="AA253" s="252">
        <f t="shared" si="26"/>
        <v>0</v>
      </c>
      <c r="AB253" s="252">
        <f t="shared" si="26"/>
        <v>0</v>
      </c>
      <c r="AC253" s="252">
        <f t="shared" si="26"/>
        <v>0</v>
      </c>
      <c r="AD253" s="252">
        <f t="shared" si="26"/>
        <v>0</v>
      </c>
      <c r="AE253" s="252">
        <f t="shared" si="26"/>
        <v>0</v>
      </c>
    </row>
    <row r="254" spans="2:31" s="204" customFormat="1" x14ac:dyDescent="0.25">
      <c r="B254" s="293"/>
      <c r="C254" s="293"/>
      <c r="D254" s="230"/>
      <c r="E254" s="230"/>
      <c r="F254" s="230"/>
      <c r="G254" s="230"/>
      <c r="H254" s="231"/>
      <c r="I254" s="230"/>
      <c r="J254" s="230"/>
      <c r="K254" s="230"/>
      <c r="L254" s="232"/>
      <c r="M254" s="211"/>
      <c r="N254" s="254"/>
      <c r="O254" s="211"/>
      <c r="P254" s="211"/>
      <c r="Q254" s="211"/>
      <c r="R254" s="211"/>
      <c r="T254" s="211"/>
      <c r="U254" s="211"/>
      <c r="V254" s="211"/>
      <c r="W254" s="211"/>
      <c r="X254" s="211"/>
      <c r="Y254" s="211"/>
      <c r="Z254" s="211"/>
      <c r="AA254" s="211"/>
    </row>
    <row r="255" spans="2:31" s="204" customFormat="1" ht="89.25" x14ac:dyDescent="0.25">
      <c r="B255" s="294" t="s">
        <v>2968</v>
      </c>
      <c r="C255" s="294" t="s">
        <v>2969</v>
      </c>
      <c r="D255" s="206" t="s">
        <v>72</v>
      </c>
      <c r="E255" s="206"/>
      <c r="F255" s="206"/>
      <c r="G255" s="207"/>
      <c r="H255" s="207"/>
      <c r="I255" s="207"/>
      <c r="J255" s="207" t="s">
        <v>2957</v>
      </c>
      <c r="K255" s="206" t="s">
        <v>82</v>
      </c>
      <c r="L255" s="261" t="s">
        <v>2970</v>
      </c>
      <c r="M255" s="260"/>
      <c r="N255" s="256" t="str">
        <f>N$15</f>
        <v>Valore netto al 31/12/2019</v>
      </c>
      <c r="O255" s="256" t="str">
        <f>O$15</f>
        <v>Valore netto al 31/12/2020</v>
      </c>
      <c r="P255" s="256" t="str">
        <f>P$15</f>
        <v>Variazione</v>
      </c>
      <c r="Q255" s="262" t="s">
        <v>2971</v>
      </c>
      <c r="R255" s="262" t="str">
        <f>"Costo storico al 31/12/"&amp;Info!$B$3-1</f>
        <v>Costo storico al 31/12/2019</v>
      </c>
      <c r="S255" s="262" t="s">
        <v>2972</v>
      </c>
      <c r="T255" s="262" t="s">
        <v>2973</v>
      </c>
      <c r="U255" s="262" t="s">
        <v>2974</v>
      </c>
      <c r="W255" s="262" t="s">
        <v>4391</v>
      </c>
      <c r="X255" s="262" t="s">
        <v>2976</v>
      </c>
      <c r="Y255" s="262" t="s">
        <v>2977</v>
      </c>
      <c r="Z255" s="262" t="s">
        <v>2978</v>
      </c>
      <c r="AA255" s="262" t="s">
        <v>2979</v>
      </c>
      <c r="AB255" s="262" t="s">
        <v>2980</v>
      </c>
      <c r="AC255" s="262" t="s">
        <v>2981</v>
      </c>
      <c r="AD255" s="262" t="s">
        <v>2982</v>
      </c>
      <c r="AE255" s="262" t="s">
        <v>2983</v>
      </c>
    </row>
    <row r="256" spans="2:31" s="204" customFormat="1" x14ac:dyDescent="0.25">
      <c r="B256" s="273" t="s">
        <v>567</v>
      </c>
      <c r="C256" s="273" t="s">
        <v>568</v>
      </c>
      <c r="D256" s="264" t="s">
        <v>3215</v>
      </c>
      <c r="E256" s="264"/>
      <c r="F256" s="264"/>
      <c r="G256" s="265"/>
      <c r="H256" s="266"/>
      <c r="I256" s="281"/>
      <c r="J256" s="281"/>
      <c r="K256" s="281"/>
      <c r="L256" s="282" t="s">
        <v>3216</v>
      </c>
      <c r="M256" s="263" t="s">
        <v>2962</v>
      </c>
      <c r="N256" s="269">
        <f t="shared" ref="N256:N269" si="27">+R256+T256-U256</f>
        <v>0</v>
      </c>
      <c r="O256" s="270">
        <f t="shared" ref="O256:O269" si="28">+N256+S256+X256+ABS(Y256)-ABS(AA256)+ABS(Z256)+ABS(AB256)+ABS(AD256)-ABS(AE256)+AC256+W256+Q256</f>
        <v>0</v>
      </c>
      <c r="P256" s="271">
        <f t="shared" ref="P256:P269" si="29">+O256-N256</f>
        <v>0</v>
      </c>
      <c r="Q256" s="520"/>
      <c r="R256" s="354">
        <f>IF(ISERROR(VLOOKUP("SOC"&amp;$C256,ESTR_PREC_SP!$A$2:$G$2000,4,FALSE))=TRUE,0,VLOOKUP("SOC"&amp;$C256,ESTR_PREC_SP!$A$2:$G$2000,4,FALSE))</f>
        <v>0</v>
      </c>
      <c r="S256" s="521"/>
      <c r="T256" s="521"/>
      <c r="U256" s="521"/>
      <c r="W256" s="520"/>
      <c r="X256" s="520"/>
      <c r="Y256" s="520"/>
      <c r="Z256" s="520"/>
      <c r="AA256" s="520"/>
      <c r="AB256" s="520"/>
      <c r="AC256" s="520"/>
      <c r="AD256" s="520"/>
      <c r="AE256" s="520"/>
    </row>
    <row r="257" spans="2:31" s="204" customFormat="1" x14ac:dyDescent="0.25">
      <c r="B257" s="273" t="s">
        <v>570</v>
      </c>
      <c r="C257" s="273" t="s">
        <v>571</v>
      </c>
      <c r="D257" s="264" t="s">
        <v>3217</v>
      </c>
      <c r="E257" s="264"/>
      <c r="F257" s="264"/>
      <c r="G257" s="265"/>
      <c r="H257" s="266"/>
      <c r="I257" s="281"/>
      <c r="J257" s="281"/>
      <c r="K257" s="281"/>
      <c r="L257" s="282" t="s">
        <v>3218</v>
      </c>
      <c r="M257" s="263" t="s">
        <v>2962</v>
      </c>
      <c r="N257" s="269">
        <f t="shared" si="27"/>
        <v>0</v>
      </c>
      <c r="O257" s="270">
        <f t="shared" si="28"/>
        <v>0</v>
      </c>
      <c r="P257" s="271">
        <f t="shared" si="29"/>
        <v>0</v>
      </c>
      <c r="Q257" s="520"/>
      <c r="R257" s="354">
        <f>IF(ISERROR(VLOOKUP("SOC"&amp;$C257,ESTR_PREC_SP!$A$2:$G$2000,4,FALSE))=TRUE,0,VLOOKUP("SOC"&amp;$C257,ESTR_PREC_SP!$A$2:$G$2000,4,FALSE))</f>
        <v>0</v>
      </c>
      <c r="S257" s="521"/>
      <c r="T257" s="521"/>
      <c r="U257" s="521"/>
      <c r="W257" s="520"/>
      <c r="X257" s="520"/>
      <c r="Y257" s="520"/>
      <c r="Z257" s="520"/>
      <c r="AA257" s="520"/>
      <c r="AB257" s="520"/>
      <c r="AC257" s="520"/>
      <c r="AD257" s="520"/>
      <c r="AE257" s="520"/>
    </row>
    <row r="258" spans="2:31" s="204" customFormat="1" x14ac:dyDescent="0.25">
      <c r="B258" s="273" t="s">
        <v>573</v>
      </c>
      <c r="C258" s="273" t="s">
        <v>574</v>
      </c>
      <c r="D258" s="264" t="s">
        <v>3219</v>
      </c>
      <c r="E258" s="264"/>
      <c r="F258" s="274"/>
      <c r="G258" s="283"/>
      <c r="H258" s="266"/>
      <c r="I258" s="281"/>
      <c r="J258" s="281"/>
      <c r="K258" s="281"/>
      <c r="L258" s="295" t="s">
        <v>3220</v>
      </c>
      <c r="M258" s="284" t="s">
        <v>2962</v>
      </c>
      <c r="N258" s="269">
        <f t="shared" si="27"/>
        <v>0</v>
      </c>
      <c r="O258" s="270">
        <f t="shared" si="28"/>
        <v>0</v>
      </c>
      <c r="P258" s="271">
        <f t="shared" si="29"/>
        <v>0</v>
      </c>
      <c r="Q258" s="520"/>
      <c r="R258" s="354">
        <f>IF(ISERROR(VLOOKUP("SOC"&amp;$C258,ESTR_PREC_SP!$A$2:$G$2000,4,FALSE))=TRUE,0,VLOOKUP("SOC"&amp;$C258,ESTR_PREC_SP!$A$2:$G$2000,4,FALSE))</f>
        <v>0</v>
      </c>
      <c r="S258" s="521"/>
      <c r="T258" s="521"/>
      <c r="U258" s="521"/>
      <c r="W258" s="520"/>
      <c r="X258" s="520"/>
      <c r="Y258" s="520"/>
      <c r="Z258" s="520"/>
      <c r="AA258" s="520"/>
      <c r="AB258" s="520"/>
      <c r="AC258" s="520"/>
      <c r="AD258" s="520"/>
      <c r="AE258" s="520"/>
    </row>
    <row r="259" spans="2:31" s="204" customFormat="1" x14ac:dyDescent="0.25">
      <c r="B259" s="273" t="s">
        <v>576</v>
      </c>
      <c r="C259" s="273" t="s">
        <v>577</v>
      </c>
      <c r="D259" s="264" t="s">
        <v>3221</v>
      </c>
      <c r="E259" s="264"/>
      <c r="F259" s="274"/>
      <c r="G259" s="283"/>
      <c r="H259" s="266"/>
      <c r="I259" s="281"/>
      <c r="J259" s="281"/>
      <c r="K259" s="281"/>
      <c r="L259" s="295" t="s">
        <v>3222</v>
      </c>
      <c r="M259" s="284" t="s">
        <v>2962</v>
      </c>
      <c r="N259" s="269">
        <f t="shared" si="27"/>
        <v>0</v>
      </c>
      <c r="O259" s="270">
        <f t="shared" si="28"/>
        <v>0</v>
      </c>
      <c r="P259" s="271">
        <f t="shared" si="29"/>
        <v>0</v>
      </c>
      <c r="Q259" s="520"/>
      <c r="R259" s="354">
        <f>IF(ISERROR(VLOOKUP("SOC"&amp;$C259,ESTR_PREC_SP!$A$2:$G$2000,4,FALSE))=TRUE,0,VLOOKUP("SOC"&amp;$C259,ESTR_PREC_SP!$A$2:$G$2000,4,FALSE))</f>
        <v>0</v>
      </c>
      <c r="S259" s="521"/>
      <c r="T259" s="521"/>
      <c r="U259" s="521"/>
      <c r="W259" s="520"/>
      <c r="X259" s="520"/>
      <c r="Y259" s="520"/>
      <c r="Z259" s="520"/>
      <c r="AA259" s="520"/>
      <c r="AB259" s="520"/>
      <c r="AC259" s="520"/>
      <c r="AD259" s="520"/>
      <c r="AE259" s="520"/>
    </row>
    <row r="260" spans="2:31" s="204" customFormat="1" x14ac:dyDescent="0.25">
      <c r="B260" s="273" t="s">
        <v>579</v>
      </c>
      <c r="C260" s="273" t="s">
        <v>580</v>
      </c>
      <c r="D260" s="264" t="s">
        <v>3223</v>
      </c>
      <c r="E260" s="264"/>
      <c r="F260" s="274"/>
      <c r="G260" s="283"/>
      <c r="H260" s="266"/>
      <c r="I260" s="281"/>
      <c r="J260" s="281"/>
      <c r="K260" s="281"/>
      <c r="L260" s="295" t="s">
        <v>3224</v>
      </c>
      <c r="M260" s="284" t="s">
        <v>2962</v>
      </c>
      <c r="N260" s="269">
        <f t="shared" si="27"/>
        <v>0</v>
      </c>
      <c r="O260" s="270">
        <f t="shared" si="28"/>
        <v>0</v>
      </c>
      <c r="P260" s="271">
        <f t="shared" si="29"/>
        <v>0</v>
      </c>
      <c r="Q260" s="520"/>
      <c r="R260" s="354">
        <f>IF(ISERROR(VLOOKUP("SOC"&amp;$C260,ESTR_PREC_SP!$A$2:$G$2000,4,FALSE))=TRUE,0,VLOOKUP("SOC"&amp;$C260,ESTR_PREC_SP!$A$2:$G$2000,4,FALSE))</f>
        <v>0</v>
      </c>
      <c r="S260" s="521"/>
      <c r="T260" s="521"/>
      <c r="U260" s="521"/>
      <c r="W260" s="520"/>
      <c r="X260" s="520"/>
      <c r="Y260" s="520"/>
      <c r="Z260" s="520"/>
      <c r="AA260" s="520"/>
      <c r="AB260" s="520"/>
      <c r="AC260" s="520"/>
      <c r="AD260" s="520"/>
      <c r="AE260" s="520"/>
    </row>
    <row r="261" spans="2:31" s="204" customFormat="1" x14ac:dyDescent="0.25">
      <c r="B261" s="273" t="s">
        <v>582</v>
      </c>
      <c r="C261" s="273" t="s">
        <v>583</v>
      </c>
      <c r="D261" s="264" t="s">
        <v>3225</v>
      </c>
      <c r="E261" s="264"/>
      <c r="F261" s="274"/>
      <c r="G261" s="283"/>
      <c r="H261" s="266"/>
      <c r="I261" s="281"/>
      <c r="J261" s="281"/>
      <c r="K261" s="281"/>
      <c r="L261" s="295" t="s">
        <v>3226</v>
      </c>
      <c r="M261" s="284" t="s">
        <v>2962</v>
      </c>
      <c r="N261" s="269">
        <f t="shared" si="27"/>
        <v>0</v>
      </c>
      <c r="O261" s="270">
        <f t="shared" si="28"/>
        <v>0</v>
      </c>
      <c r="P261" s="271">
        <f t="shared" si="29"/>
        <v>0</v>
      </c>
      <c r="Q261" s="520"/>
      <c r="R261" s="354">
        <f>IF(ISERROR(VLOOKUP("SOC"&amp;$C261,ESTR_PREC_SP!$A$2:$G$2000,4,FALSE))=TRUE,0,VLOOKUP("SOC"&amp;$C261,ESTR_PREC_SP!$A$2:$G$2000,4,FALSE))</f>
        <v>0</v>
      </c>
      <c r="S261" s="521"/>
      <c r="T261" s="521"/>
      <c r="U261" s="521"/>
      <c r="W261" s="520"/>
      <c r="X261" s="520"/>
      <c r="Y261" s="520"/>
      <c r="Z261" s="520"/>
      <c r="AA261" s="520"/>
      <c r="AB261" s="520"/>
      <c r="AC261" s="520"/>
      <c r="AD261" s="520"/>
      <c r="AE261" s="520"/>
    </row>
    <row r="262" spans="2:31" s="204" customFormat="1" x14ac:dyDescent="0.25">
      <c r="B262" s="273" t="s">
        <v>585</v>
      </c>
      <c r="C262" s="273" t="s">
        <v>586</v>
      </c>
      <c r="D262" s="264" t="s">
        <v>3227</v>
      </c>
      <c r="E262" s="264"/>
      <c r="F262" s="274"/>
      <c r="G262" s="283"/>
      <c r="H262" s="266"/>
      <c r="I262" s="281"/>
      <c r="J262" s="281"/>
      <c r="K262" s="281"/>
      <c r="L262" s="295" t="s">
        <v>3228</v>
      </c>
      <c r="M262" s="284" t="s">
        <v>2962</v>
      </c>
      <c r="N262" s="269">
        <f t="shared" si="27"/>
        <v>0</v>
      </c>
      <c r="O262" s="270">
        <f t="shared" si="28"/>
        <v>0</v>
      </c>
      <c r="P262" s="271">
        <f t="shared" si="29"/>
        <v>0</v>
      </c>
      <c r="Q262" s="520"/>
      <c r="R262" s="354">
        <f>IF(ISERROR(VLOOKUP("SOC"&amp;$C262,ESTR_PREC_SP!$A$2:$G$2000,4,FALSE))=TRUE,0,VLOOKUP("SOC"&amp;$C262,ESTR_PREC_SP!$A$2:$G$2000,4,FALSE))</f>
        <v>0</v>
      </c>
      <c r="S262" s="521"/>
      <c r="T262" s="521"/>
      <c r="U262" s="521"/>
      <c r="W262" s="520"/>
      <c r="X262" s="520"/>
      <c r="Y262" s="520"/>
      <c r="Z262" s="520"/>
      <c r="AA262" s="520"/>
      <c r="AB262" s="520"/>
      <c r="AC262" s="520"/>
      <c r="AD262" s="520"/>
      <c r="AE262" s="520"/>
    </row>
    <row r="263" spans="2:31" s="204" customFormat="1" x14ac:dyDescent="0.25">
      <c r="B263" s="273" t="s">
        <v>588</v>
      </c>
      <c r="C263" s="273" t="s">
        <v>589</v>
      </c>
      <c r="D263" s="264" t="s">
        <v>3229</v>
      </c>
      <c r="E263" s="264"/>
      <c r="F263" s="274"/>
      <c r="G263" s="283"/>
      <c r="H263" s="266"/>
      <c r="I263" s="281"/>
      <c r="J263" s="281"/>
      <c r="K263" s="281"/>
      <c r="L263" s="295" t="s">
        <v>3230</v>
      </c>
      <c r="M263" s="284" t="s">
        <v>2962</v>
      </c>
      <c r="N263" s="269">
        <f t="shared" si="27"/>
        <v>0</v>
      </c>
      <c r="O263" s="270">
        <f t="shared" si="28"/>
        <v>0</v>
      </c>
      <c r="P263" s="271">
        <f t="shared" si="29"/>
        <v>0</v>
      </c>
      <c r="Q263" s="520"/>
      <c r="R263" s="354">
        <f>IF(ISERROR(VLOOKUP("SOC"&amp;$C263,ESTR_PREC_SP!$A$2:$G$2000,4,FALSE))=TRUE,0,VLOOKUP("SOC"&amp;$C263,ESTR_PREC_SP!$A$2:$G$2000,4,FALSE))</f>
        <v>0</v>
      </c>
      <c r="S263" s="521"/>
      <c r="T263" s="521"/>
      <c r="U263" s="521"/>
      <c r="W263" s="520"/>
      <c r="X263" s="520"/>
      <c r="Y263" s="520"/>
      <c r="Z263" s="520"/>
      <c r="AA263" s="520"/>
      <c r="AB263" s="520"/>
      <c r="AC263" s="520"/>
      <c r="AD263" s="520"/>
      <c r="AE263" s="520"/>
    </row>
    <row r="264" spans="2:31" s="204" customFormat="1" x14ac:dyDescent="0.25">
      <c r="B264" s="273" t="s">
        <v>591</v>
      </c>
      <c r="C264" s="273" t="s">
        <v>592</v>
      </c>
      <c r="D264" s="264" t="s">
        <v>3231</v>
      </c>
      <c r="E264" s="264"/>
      <c r="F264" s="274"/>
      <c r="G264" s="283"/>
      <c r="H264" s="266"/>
      <c r="I264" s="281"/>
      <c r="J264" s="281"/>
      <c r="K264" s="281"/>
      <c r="L264" s="295" t="s">
        <v>3232</v>
      </c>
      <c r="M264" s="284" t="s">
        <v>2962</v>
      </c>
      <c r="N264" s="269">
        <f t="shared" si="27"/>
        <v>0</v>
      </c>
      <c r="O264" s="270">
        <f t="shared" si="28"/>
        <v>0</v>
      </c>
      <c r="P264" s="271">
        <f t="shared" si="29"/>
        <v>0</v>
      </c>
      <c r="Q264" s="520"/>
      <c r="R264" s="354">
        <f>IF(ISERROR(VLOOKUP("SOC"&amp;$C264,ESTR_PREC_SP!$A$2:$G$2000,4,FALSE))=TRUE,0,VLOOKUP("SOC"&amp;$C264,ESTR_PREC_SP!$A$2:$G$2000,4,FALSE))</f>
        <v>0</v>
      </c>
      <c r="S264" s="521"/>
      <c r="T264" s="521"/>
      <c r="U264" s="521"/>
      <c r="W264" s="520"/>
      <c r="X264" s="520"/>
      <c r="Y264" s="520"/>
      <c r="Z264" s="520"/>
      <c r="AA264" s="520"/>
      <c r="AB264" s="520"/>
      <c r="AC264" s="520"/>
      <c r="AD264" s="520"/>
      <c r="AE264" s="520"/>
    </row>
    <row r="265" spans="2:31" s="204" customFormat="1" x14ac:dyDescent="0.25">
      <c r="B265" s="273" t="s">
        <v>594</v>
      </c>
      <c r="C265" s="273" t="s">
        <v>595</v>
      </c>
      <c r="D265" s="264" t="s">
        <v>3233</v>
      </c>
      <c r="E265" s="264"/>
      <c r="F265" s="274"/>
      <c r="G265" s="283"/>
      <c r="H265" s="266"/>
      <c r="I265" s="281"/>
      <c r="J265" s="281"/>
      <c r="K265" s="281"/>
      <c r="L265" s="295" t="s">
        <v>3234</v>
      </c>
      <c r="M265" s="284" t="s">
        <v>2962</v>
      </c>
      <c r="N265" s="269">
        <f t="shared" si="27"/>
        <v>0</v>
      </c>
      <c r="O265" s="270">
        <f t="shared" si="28"/>
        <v>0</v>
      </c>
      <c r="P265" s="271">
        <f t="shared" si="29"/>
        <v>0</v>
      </c>
      <c r="Q265" s="520"/>
      <c r="R265" s="354">
        <f>IF(ISERROR(VLOOKUP("SOC"&amp;$C265,ESTR_PREC_SP!$A$2:$G$2000,4,FALSE))=TRUE,0,VLOOKUP("SOC"&amp;$C265,ESTR_PREC_SP!$A$2:$G$2000,4,FALSE))</f>
        <v>0</v>
      </c>
      <c r="S265" s="521"/>
      <c r="T265" s="521"/>
      <c r="U265" s="521"/>
      <c r="W265" s="520"/>
      <c r="X265" s="520"/>
      <c r="Y265" s="520"/>
      <c r="Z265" s="520"/>
      <c r="AA265" s="520"/>
      <c r="AB265" s="520"/>
      <c r="AC265" s="520"/>
      <c r="AD265" s="520"/>
      <c r="AE265" s="520"/>
    </row>
    <row r="266" spans="2:31" s="204" customFormat="1" x14ac:dyDescent="0.25">
      <c r="B266" s="273" t="s">
        <v>597</v>
      </c>
      <c r="C266" s="273" t="s">
        <v>598</v>
      </c>
      <c r="D266" s="264" t="s">
        <v>3235</v>
      </c>
      <c r="E266" s="264"/>
      <c r="F266" s="274"/>
      <c r="G266" s="283"/>
      <c r="H266" s="266"/>
      <c r="I266" s="281"/>
      <c r="J266" s="281"/>
      <c r="K266" s="281"/>
      <c r="L266" s="295" t="s">
        <v>3236</v>
      </c>
      <c r="M266" s="284" t="s">
        <v>2962</v>
      </c>
      <c r="N266" s="269">
        <f t="shared" si="27"/>
        <v>0</v>
      </c>
      <c r="O266" s="270">
        <f t="shared" si="28"/>
        <v>0</v>
      </c>
      <c r="P266" s="271">
        <f t="shared" si="29"/>
        <v>0</v>
      </c>
      <c r="Q266" s="520"/>
      <c r="R266" s="354">
        <f>IF(ISERROR(VLOOKUP("SOC"&amp;$C266,ESTR_PREC_SP!$A$2:$G$2000,4,FALSE))=TRUE,0,VLOOKUP("SOC"&amp;$C266,ESTR_PREC_SP!$A$2:$G$2000,4,FALSE))</f>
        <v>0</v>
      </c>
      <c r="S266" s="521"/>
      <c r="T266" s="521"/>
      <c r="U266" s="521"/>
      <c r="W266" s="520"/>
      <c r="X266" s="520"/>
      <c r="Y266" s="520"/>
      <c r="Z266" s="520"/>
      <c r="AA266" s="520"/>
      <c r="AB266" s="520"/>
      <c r="AC266" s="520"/>
      <c r="AD266" s="520"/>
      <c r="AE266" s="520"/>
    </row>
    <row r="267" spans="2:31" s="204" customFormat="1" x14ac:dyDescent="0.25">
      <c r="B267" s="273" t="s">
        <v>600</v>
      </c>
      <c r="C267" s="273" t="s">
        <v>601</v>
      </c>
      <c r="D267" s="264" t="s">
        <v>3237</v>
      </c>
      <c r="E267" s="264"/>
      <c r="F267" s="274"/>
      <c r="G267" s="283"/>
      <c r="H267" s="266"/>
      <c r="I267" s="281"/>
      <c r="J267" s="281"/>
      <c r="K267" s="281"/>
      <c r="L267" s="295" t="s">
        <v>3238</v>
      </c>
      <c r="M267" s="284" t="s">
        <v>2962</v>
      </c>
      <c r="N267" s="269">
        <f t="shared" si="27"/>
        <v>0</v>
      </c>
      <c r="O267" s="270">
        <f t="shared" si="28"/>
        <v>0</v>
      </c>
      <c r="P267" s="271">
        <f t="shared" si="29"/>
        <v>0</v>
      </c>
      <c r="Q267" s="520"/>
      <c r="R267" s="354">
        <f>IF(ISERROR(VLOOKUP("SOC"&amp;$C267,ESTR_PREC_SP!$A$2:$G$2000,4,FALSE))=TRUE,0,VLOOKUP("SOC"&amp;$C267,ESTR_PREC_SP!$A$2:$G$2000,4,FALSE))</f>
        <v>0</v>
      </c>
      <c r="S267" s="521"/>
      <c r="T267" s="521"/>
      <c r="U267" s="521"/>
      <c r="W267" s="520"/>
      <c r="X267" s="520"/>
      <c r="Y267" s="520"/>
      <c r="Z267" s="520"/>
      <c r="AA267" s="520"/>
      <c r="AB267" s="520"/>
      <c r="AC267" s="520"/>
      <c r="AD267" s="520"/>
      <c r="AE267" s="520"/>
    </row>
    <row r="268" spans="2:31" s="204" customFormat="1" x14ac:dyDescent="0.25">
      <c r="B268" s="273" t="s">
        <v>603</v>
      </c>
      <c r="C268" s="273" t="s">
        <v>604</v>
      </c>
      <c r="D268" s="264" t="s">
        <v>3239</v>
      </c>
      <c r="E268" s="264"/>
      <c r="F268" s="274"/>
      <c r="G268" s="283"/>
      <c r="H268" s="266"/>
      <c r="I268" s="281"/>
      <c r="J268" s="281"/>
      <c r="K268" s="281"/>
      <c r="L268" s="295" t="s">
        <v>3240</v>
      </c>
      <c r="M268" s="284" t="s">
        <v>2962</v>
      </c>
      <c r="N268" s="269">
        <f t="shared" si="27"/>
        <v>0</v>
      </c>
      <c r="O268" s="270">
        <f t="shared" si="28"/>
        <v>0</v>
      </c>
      <c r="P268" s="271">
        <f t="shared" si="29"/>
        <v>0</v>
      </c>
      <c r="Q268" s="520"/>
      <c r="R268" s="354">
        <f>IF(ISERROR(VLOOKUP("SOC"&amp;$C268,ESTR_PREC_SP!$A$2:$G$2000,4,FALSE))=TRUE,0,VLOOKUP("SOC"&amp;$C268,ESTR_PREC_SP!$A$2:$G$2000,4,FALSE))</f>
        <v>0</v>
      </c>
      <c r="S268" s="521"/>
      <c r="T268" s="521"/>
      <c r="U268" s="521"/>
      <c r="W268" s="520"/>
      <c r="X268" s="520"/>
      <c r="Y268" s="520"/>
      <c r="Z268" s="520"/>
      <c r="AA268" s="520"/>
      <c r="AB268" s="520"/>
      <c r="AC268" s="520"/>
      <c r="AD268" s="520"/>
      <c r="AE268" s="520"/>
    </row>
    <row r="269" spans="2:31" s="204" customFormat="1" x14ac:dyDescent="0.25">
      <c r="B269" s="273" t="s">
        <v>606</v>
      </c>
      <c r="C269" s="273" t="s">
        <v>607</v>
      </c>
      <c r="D269" s="264" t="s">
        <v>3241</v>
      </c>
      <c r="E269" s="264"/>
      <c r="F269" s="274"/>
      <c r="G269" s="283"/>
      <c r="H269" s="266"/>
      <c r="I269" s="281"/>
      <c r="J269" s="281"/>
      <c r="K269" s="281"/>
      <c r="L269" s="295" t="s">
        <v>3242</v>
      </c>
      <c r="M269" s="284" t="s">
        <v>2962</v>
      </c>
      <c r="N269" s="269">
        <f t="shared" si="27"/>
        <v>0</v>
      </c>
      <c r="O269" s="270">
        <f t="shared" si="28"/>
        <v>0</v>
      </c>
      <c r="P269" s="271">
        <f t="shared" si="29"/>
        <v>0</v>
      </c>
      <c r="Q269" s="520"/>
      <c r="R269" s="354">
        <f>IF(ISERROR(VLOOKUP("SOC"&amp;$C269,ESTR_PREC_SP!$A$2:$G$2000,4,FALSE))=TRUE,0,VLOOKUP("SOC"&amp;$C269,ESTR_PREC_SP!$A$2:$G$2000,4,FALSE))</f>
        <v>0</v>
      </c>
      <c r="S269" s="521"/>
      <c r="T269" s="521"/>
      <c r="U269" s="521"/>
      <c r="W269" s="520"/>
      <c r="X269" s="520"/>
      <c r="Y269" s="520"/>
      <c r="Z269" s="520"/>
      <c r="AA269" s="520"/>
      <c r="AB269" s="520"/>
      <c r="AC269" s="520"/>
      <c r="AD269" s="520"/>
      <c r="AE269" s="520"/>
    </row>
    <row r="270" spans="2:31" s="204" customFormat="1" x14ac:dyDescent="0.25">
      <c r="B270" s="293"/>
      <c r="C270" s="293"/>
      <c r="D270" s="230"/>
      <c r="E270" s="230"/>
      <c r="F270" s="230"/>
      <c r="G270" s="230"/>
      <c r="H270" s="231"/>
      <c r="I270" s="230"/>
      <c r="J270" s="230"/>
      <c r="K270" s="230"/>
      <c r="L270" s="275"/>
      <c r="M270" s="216"/>
      <c r="N270" s="285"/>
      <c r="O270" s="211"/>
      <c r="P270" s="211"/>
      <c r="Q270" s="211"/>
      <c r="R270" s="211"/>
      <c r="S270" s="211"/>
      <c r="T270" s="285"/>
      <c r="U270" s="285"/>
      <c r="V270" s="285"/>
      <c r="W270" s="285"/>
      <c r="X270" s="285"/>
      <c r="Y270" s="285"/>
      <c r="Z270" s="285"/>
      <c r="AA270" s="285"/>
    </row>
    <row r="271" spans="2:31" s="204" customFormat="1" x14ac:dyDescent="0.25">
      <c r="B271" s="292" t="s">
        <v>609</v>
      </c>
      <c r="C271" s="292" t="s">
        <v>610</v>
      </c>
      <c r="D271" s="247" t="s">
        <v>3243</v>
      </c>
      <c r="E271" s="247"/>
      <c r="F271" s="247"/>
      <c r="G271" s="247"/>
      <c r="H271" s="248"/>
      <c r="I271" s="247"/>
      <c r="J271" s="247"/>
      <c r="K271" s="249"/>
      <c r="L271" s="276" t="s">
        <v>613</v>
      </c>
      <c r="M271" s="251" t="s">
        <v>2962</v>
      </c>
      <c r="N271" s="252">
        <f>SUM(N274:N287)</f>
        <v>0</v>
      </c>
      <c r="O271" s="252">
        <f>SUM(O274:O287)</f>
        <v>0</v>
      </c>
      <c r="P271" s="259">
        <f>+O271-N271</f>
        <v>0</v>
      </c>
      <c r="Q271" s="252">
        <f>SUM(Q274:Q287)</f>
        <v>0</v>
      </c>
      <c r="R271" s="252">
        <f>SUM(R274:R287)</f>
        <v>0</v>
      </c>
      <c r="S271" s="252">
        <f>SUM(S274:S287)</f>
        <v>0</v>
      </c>
      <c r="T271" s="211"/>
      <c r="U271" s="211"/>
      <c r="V271" s="211"/>
      <c r="W271" s="252">
        <f>SUM(W274:W287)</f>
        <v>0</v>
      </c>
      <c r="X271" s="252">
        <f>SUM(X274:X287)</f>
        <v>0</v>
      </c>
      <c r="Y271" s="252">
        <f>SUM(Y274:Y287)</f>
        <v>0</v>
      </c>
      <c r="Z271" s="252">
        <f>SUM(Z274:Z287)</f>
        <v>0</v>
      </c>
      <c r="AA271" s="285"/>
    </row>
    <row r="272" spans="2:31" s="204" customFormat="1" x14ac:dyDescent="0.25">
      <c r="B272" s="293"/>
      <c r="C272" s="293"/>
      <c r="D272" s="230"/>
      <c r="E272" s="230"/>
      <c r="F272" s="230"/>
      <c r="G272" s="230"/>
      <c r="H272" s="231"/>
      <c r="I272" s="230"/>
      <c r="J272" s="230"/>
      <c r="K272" s="230"/>
      <c r="L272" s="232"/>
      <c r="M272" s="211"/>
      <c r="N272" s="254"/>
      <c r="O272" s="211"/>
      <c r="P272" s="211"/>
      <c r="Q272" s="211"/>
      <c r="R272" s="211"/>
      <c r="S272" s="211"/>
      <c r="T272" s="211"/>
      <c r="U272" s="211"/>
      <c r="V272" s="211"/>
      <c r="W272" s="285"/>
      <c r="X272" s="285"/>
      <c r="Y272" s="285"/>
      <c r="Z272" s="285"/>
      <c r="AA272" s="285"/>
    </row>
    <row r="273" spans="2:27" s="204" customFormat="1" ht="89.25" x14ac:dyDescent="0.25">
      <c r="B273" s="294" t="s">
        <v>2968</v>
      </c>
      <c r="C273" s="294" t="s">
        <v>2969</v>
      </c>
      <c r="D273" s="206" t="s">
        <v>72</v>
      </c>
      <c r="E273" s="206"/>
      <c r="F273" s="206"/>
      <c r="G273" s="207"/>
      <c r="H273" s="207"/>
      <c r="I273" s="207"/>
      <c r="J273" s="207" t="s">
        <v>2957</v>
      </c>
      <c r="K273" s="206" t="s">
        <v>82</v>
      </c>
      <c r="L273" s="261" t="s">
        <v>2970</v>
      </c>
      <c r="M273" s="260"/>
      <c r="N273" s="256" t="str">
        <f>N$15</f>
        <v>Valore netto al 31/12/2019</v>
      </c>
      <c r="O273" s="256" t="str">
        <f>O$15</f>
        <v>Valore netto al 31/12/2020</v>
      </c>
      <c r="P273" s="256" t="str">
        <f>P$15</f>
        <v>Variazione</v>
      </c>
      <c r="Q273" s="262" t="s">
        <v>2971</v>
      </c>
      <c r="R273" s="262" t="str">
        <f>"Fondo ammortamento 31/12/"&amp;Info!$B$3-1</f>
        <v>Fondo ammortamento 31/12/2019</v>
      </c>
      <c r="S273" s="262" t="s">
        <v>2972</v>
      </c>
      <c r="W273" s="262" t="s">
        <v>4391</v>
      </c>
      <c r="X273" s="262" t="s">
        <v>2976</v>
      </c>
      <c r="Y273" s="262" t="s">
        <v>2989</v>
      </c>
      <c r="Z273" s="262" t="s">
        <v>2990</v>
      </c>
      <c r="AA273" s="285"/>
    </row>
    <row r="274" spans="2:27" s="204" customFormat="1" x14ac:dyDescent="0.25">
      <c r="B274" s="273" t="s">
        <v>614</v>
      </c>
      <c r="C274" s="273" t="s">
        <v>615</v>
      </c>
      <c r="D274" s="264" t="s">
        <v>3244</v>
      </c>
      <c r="E274" s="264"/>
      <c r="F274" s="264"/>
      <c r="G274" s="265"/>
      <c r="H274" s="266"/>
      <c r="I274" s="281"/>
      <c r="J274" s="281"/>
      <c r="K274" s="281"/>
      <c r="L274" s="282" t="s">
        <v>3245</v>
      </c>
      <c r="M274" s="263" t="s">
        <v>2962</v>
      </c>
      <c r="N274" s="269">
        <f t="shared" ref="N274:N287" si="30">+R274</f>
        <v>0</v>
      </c>
      <c r="O274" s="270">
        <f t="shared" ref="O274:O287" si="31">+R274+S274+X274-ABS(Y274)+ABS(Z274)+W274+Q274</f>
        <v>0</v>
      </c>
      <c r="P274" s="271">
        <f t="shared" ref="P274:P287" si="32">+O274-N274</f>
        <v>0</v>
      </c>
      <c r="Q274" s="520"/>
      <c r="R274" s="354">
        <f>IF(ISERROR(VLOOKUP("SOC"&amp;$C274,ESTR_PREC_SP!$A$2:$G$2000,4,FALSE))=TRUE,0,VLOOKUP("SOC"&amp;$C274,ESTR_PREC_SP!$A$2:$G$2000,4,FALSE))</f>
        <v>0</v>
      </c>
      <c r="S274" s="521"/>
      <c r="V274" s="211"/>
      <c r="W274" s="520"/>
      <c r="X274" s="520"/>
      <c r="Y274" s="520"/>
      <c r="Z274" s="520"/>
      <c r="AA274" s="285"/>
    </row>
    <row r="275" spans="2:27" s="204" customFormat="1" x14ac:dyDescent="0.25">
      <c r="B275" s="273" t="s">
        <v>617</v>
      </c>
      <c r="C275" s="273" t="s">
        <v>618</v>
      </c>
      <c r="D275" s="264" t="s">
        <v>3246</v>
      </c>
      <c r="E275" s="264"/>
      <c r="F275" s="264"/>
      <c r="G275" s="265"/>
      <c r="H275" s="266"/>
      <c r="I275" s="281"/>
      <c r="J275" s="281"/>
      <c r="K275" s="281"/>
      <c r="L275" s="282" t="s">
        <v>3247</v>
      </c>
      <c r="M275" s="263" t="s">
        <v>2962</v>
      </c>
      <c r="N275" s="269">
        <f t="shared" si="30"/>
        <v>0</v>
      </c>
      <c r="O275" s="270">
        <f t="shared" si="31"/>
        <v>0</v>
      </c>
      <c r="P275" s="271">
        <f t="shared" si="32"/>
        <v>0</v>
      </c>
      <c r="Q275" s="520"/>
      <c r="R275" s="354">
        <f>IF(ISERROR(VLOOKUP("SOC"&amp;$C275,ESTR_PREC_SP!$A$2:$G$2000,4,FALSE))=TRUE,0,VLOOKUP("SOC"&amp;$C275,ESTR_PREC_SP!$A$2:$G$2000,4,FALSE))</f>
        <v>0</v>
      </c>
      <c r="S275" s="521"/>
      <c r="V275" s="211"/>
      <c r="W275" s="520"/>
      <c r="X275" s="520"/>
      <c r="Y275" s="520"/>
      <c r="Z275" s="520"/>
      <c r="AA275" s="285"/>
    </row>
    <row r="276" spans="2:27" s="204" customFormat="1" x14ac:dyDescent="0.25">
      <c r="B276" s="273" t="s">
        <v>620</v>
      </c>
      <c r="C276" s="273" t="s">
        <v>621</v>
      </c>
      <c r="D276" s="264" t="s">
        <v>3248</v>
      </c>
      <c r="E276" s="264"/>
      <c r="F276" s="274"/>
      <c r="G276" s="283"/>
      <c r="H276" s="266"/>
      <c r="I276" s="281"/>
      <c r="J276" s="281"/>
      <c r="K276" s="281"/>
      <c r="L276" s="295" t="s">
        <v>3249</v>
      </c>
      <c r="M276" s="284" t="s">
        <v>2962</v>
      </c>
      <c r="N276" s="269">
        <f t="shared" si="30"/>
        <v>0</v>
      </c>
      <c r="O276" s="270">
        <f t="shared" si="31"/>
        <v>0</v>
      </c>
      <c r="P276" s="271">
        <f t="shared" si="32"/>
        <v>0</v>
      </c>
      <c r="Q276" s="520"/>
      <c r="R276" s="354">
        <f>IF(ISERROR(VLOOKUP("SOC"&amp;$C276,ESTR_PREC_SP!$A$2:$G$2000,4,FALSE))=TRUE,0,VLOOKUP("SOC"&amp;$C276,ESTR_PREC_SP!$A$2:$G$2000,4,FALSE))</f>
        <v>0</v>
      </c>
      <c r="S276" s="521"/>
      <c r="V276" s="211"/>
      <c r="W276" s="520"/>
      <c r="X276" s="520"/>
      <c r="Y276" s="520"/>
      <c r="Z276" s="520"/>
      <c r="AA276" s="285"/>
    </row>
    <row r="277" spans="2:27" s="204" customFormat="1" x14ac:dyDescent="0.25">
      <c r="B277" s="273" t="s">
        <v>623</v>
      </c>
      <c r="C277" s="273" t="s">
        <v>624</v>
      </c>
      <c r="D277" s="264" t="s">
        <v>3250</v>
      </c>
      <c r="E277" s="264"/>
      <c r="F277" s="274"/>
      <c r="G277" s="283"/>
      <c r="H277" s="266"/>
      <c r="I277" s="281"/>
      <c r="J277" s="281"/>
      <c r="K277" s="281"/>
      <c r="L277" s="295" t="s">
        <v>3251</v>
      </c>
      <c r="M277" s="284" t="s">
        <v>2962</v>
      </c>
      <c r="N277" s="269">
        <f t="shared" si="30"/>
        <v>0</v>
      </c>
      <c r="O277" s="270">
        <f t="shared" si="31"/>
        <v>0</v>
      </c>
      <c r="P277" s="271">
        <f t="shared" si="32"/>
        <v>0</v>
      </c>
      <c r="Q277" s="520"/>
      <c r="R277" s="354">
        <f>IF(ISERROR(VLOOKUP("SOC"&amp;$C277,ESTR_PREC_SP!$A$2:$G$2000,4,FALSE))=TRUE,0,VLOOKUP("SOC"&amp;$C277,ESTR_PREC_SP!$A$2:$G$2000,4,FALSE))</f>
        <v>0</v>
      </c>
      <c r="S277" s="521"/>
      <c r="V277" s="211"/>
      <c r="W277" s="520"/>
      <c r="X277" s="520"/>
      <c r="Y277" s="520"/>
      <c r="Z277" s="520"/>
      <c r="AA277" s="285"/>
    </row>
    <row r="278" spans="2:27" s="204" customFormat="1" x14ac:dyDescent="0.25">
      <c r="B278" s="273" t="s">
        <v>626</v>
      </c>
      <c r="C278" s="273" t="s">
        <v>627</v>
      </c>
      <c r="D278" s="264" t="s">
        <v>3252</v>
      </c>
      <c r="E278" s="264"/>
      <c r="F278" s="274"/>
      <c r="G278" s="283"/>
      <c r="H278" s="266"/>
      <c r="I278" s="281"/>
      <c r="J278" s="281"/>
      <c r="K278" s="281"/>
      <c r="L278" s="295" t="s">
        <v>3253</v>
      </c>
      <c r="M278" s="284" t="s">
        <v>2962</v>
      </c>
      <c r="N278" s="269">
        <f t="shared" si="30"/>
        <v>0</v>
      </c>
      <c r="O278" s="270">
        <f t="shared" si="31"/>
        <v>0</v>
      </c>
      <c r="P278" s="271">
        <f t="shared" si="32"/>
        <v>0</v>
      </c>
      <c r="Q278" s="520"/>
      <c r="R278" s="354">
        <f>IF(ISERROR(VLOOKUP("SOC"&amp;$C278,ESTR_PREC_SP!$A$2:$G$2000,4,FALSE))=TRUE,0,VLOOKUP("SOC"&amp;$C278,ESTR_PREC_SP!$A$2:$G$2000,4,FALSE))</f>
        <v>0</v>
      </c>
      <c r="S278" s="521"/>
      <c r="V278" s="211"/>
      <c r="W278" s="520"/>
      <c r="X278" s="520"/>
      <c r="Y278" s="520"/>
      <c r="Z278" s="520"/>
      <c r="AA278" s="285"/>
    </row>
    <row r="279" spans="2:27" s="204" customFormat="1" x14ac:dyDescent="0.25">
      <c r="B279" s="273" t="s">
        <v>629</v>
      </c>
      <c r="C279" s="273" t="s">
        <v>630</v>
      </c>
      <c r="D279" s="264" t="s">
        <v>3254</v>
      </c>
      <c r="E279" s="264"/>
      <c r="F279" s="274"/>
      <c r="G279" s="283"/>
      <c r="H279" s="266"/>
      <c r="I279" s="281"/>
      <c r="J279" s="281"/>
      <c r="K279" s="281"/>
      <c r="L279" s="295" t="s">
        <v>3255</v>
      </c>
      <c r="M279" s="284" t="s">
        <v>2962</v>
      </c>
      <c r="N279" s="269">
        <f t="shared" si="30"/>
        <v>0</v>
      </c>
      <c r="O279" s="270">
        <f t="shared" si="31"/>
        <v>0</v>
      </c>
      <c r="P279" s="271">
        <f t="shared" si="32"/>
        <v>0</v>
      </c>
      <c r="Q279" s="520"/>
      <c r="R279" s="354">
        <f>IF(ISERROR(VLOOKUP("SOC"&amp;$C279,ESTR_PREC_SP!$A$2:$G$2000,4,FALSE))=TRUE,0,VLOOKUP("SOC"&amp;$C279,ESTR_PREC_SP!$A$2:$G$2000,4,FALSE))</f>
        <v>0</v>
      </c>
      <c r="S279" s="521"/>
      <c r="V279" s="211"/>
      <c r="W279" s="520"/>
      <c r="X279" s="520"/>
      <c r="Y279" s="520"/>
      <c r="Z279" s="520"/>
      <c r="AA279" s="285"/>
    </row>
    <row r="280" spans="2:27" s="204" customFormat="1" x14ac:dyDescent="0.25">
      <c r="B280" s="273" t="s">
        <v>632</v>
      </c>
      <c r="C280" s="273" t="s">
        <v>633</v>
      </c>
      <c r="D280" s="264" t="s">
        <v>3256</v>
      </c>
      <c r="E280" s="264"/>
      <c r="F280" s="274"/>
      <c r="G280" s="283"/>
      <c r="H280" s="266"/>
      <c r="I280" s="281"/>
      <c r="J280" s="281"/>
      <c r="K280" s="281"/>
      <c r="L280" s="295" t="s">
        <v>3257</v>
      </c>
      <c r="M280" s="284" t="s">
        <v>2962</v>
      </c>
      <c r="N280" s="269">
        <f t="shared" si="30"/>
        <v>0</v>
      </c>
      <c r="O280" s="270">
        <f t="shared" si="31"/>
        <v>0</v>
      </c>
      <c r="P280" s="271">
        <f t="shared" si="32"/>
        <v>0</v>
      </c>
      <c r="Q280" s="520"/>
      <c r="R280" s="354">
        <f>IF(ISERROR(VLOOKUP("SOC"&amp;$C280,ESTR_PREC_SP!$A$2:$G$2000,4,FALSE))=TRUE,0,VLOOKUP("SOC"&amp;$C280,ESTR_PREC_SP!$A$2:$G$2000,4,FALSE))</f>
        <v>0</v>
      </c>
      <c r="S280" s="521"/>
      <c r="V280" s="211"/>
      <c r="W280" s="520"/>
      <c r="X280" s="520"/>
      <c r="Y280" s="520"/>
      <c r="Z280" s="520"/>
      <c r="AA280" s="285"/>
    </row>
    <row r="281" spans="2:27" s="204" customFormat="1" x14ac:dyDescent="0.25">
      <c r="B281" s="273" t="s">
        <v>635</v>
      </c>
      <c r="C281" s="273" t="s">
        <v>636</v>
      </c>
      <c r="D281" s="264" t="s">
        <v>3258</v>
      </c>
      <c r="E281" s="264"/>
      <c r="F281" s="274"/>
      <c r="G281" s="283"/>
      <c r="H281" s="266"/>
      <c r="I281" s="281"/>
      <c r="J281" s="281"/>
      <c r="K281" s="281"/>
      <c r="L281" s="295" t="s">
        <v>3259</v>
      </c>
      <c r="M281" s="284" t="s">
        <v>2962</v>
      </c>
      <c r="N281" s="269">
        <f t="shared" si="30"/>
        <v>0</v>
      </c>
      <c r="O281" s="270">
        <f t="shared" si="31"/>
        <v>0</v>
      </c>
      <c r="P281" s="271">
        <f t="shared" si="32"/>
        <v>0</v>
      </c>
      <c r="Q281" s="520"/>
      <c r="R281" s="354">
        <f>IF(ISERROR(VLOOKUP("SOC"&amp;$C281,ESTR_PREC_SP!$A$2:$G$2000,4,FALSE))=TRUE,0,VLOOKUP("SOC"&amp;$C281,ESTR_PREC_SP!$A$2:$G$2000,4,FALSE))</f>
        <v>0</v>
      </c>
      <c r="S281" s="521"/>
      <c r="V281" s="211"/>
      <c r="W281" s="520"/>
      <c r="X281" s="520"/>
      <c r="Y281" s="520"/>
      <c r="Z281" s="520"/>
      <c r="AA281" s="285"/>
    </row>
    <row r="282" spans="2:27" s="204" customFormat="1" x14ac:dyDescent="0.25">
      <c r="B282" s="273" t="s">
        <v>638</v>
      </c>
      <c r="C282" s="273" t="s">
        <v>639</v>
      </c>
      <c r="D282" s="264" t="s">
        <v>3260</v>
      </c>
      <c r="E282" s="264"/>
      <c r="F282" s="274"/>
      <c r="G282" s="283"/>
      <c r="H282" s="266"/>
      <c r="I282" s="281"/>
      <c r="J282" s="281"/>
      <c r="K282" s="281"/>
      <c r="L282" s="295" t="s">
        <v>3261</v>
      </c>
      <c r="M282" s="284" t="s">
        <v>2962</v>
      </c>
      <c r="N282" s="269">
        <f t="shared" si="30"/>
        <v>0</v>
      </c>
      <c r="O282" s="270">
        <f t="shared" si="31"/>
        <v>0</v>
      </c>
      <c r="P282" s="271">
        <f t="shared" si="32"/>
        <v>0</v>
      </c>
      <c r="Q282" s="520"/>
      <c r="R282" s="354">
        <f>IF(ISERROR(VLOOKUP("SOC"&amp;$C282,ESTR_PREC_SP!$A$2:$G$2000,4,FALSE))=TRUE,0,VLOOKUP("SOC"&amp;$C282,ESTR_PREC_SP!$A$2:$G$2000,4,FALSE))</f>
        <v>0</v>
      </c>
      <c r="S282" s="521"/>
      <c r="V282" s="211"/>
      <c r="W282" s="520"/>
      <c r="X282" s="520"/>
      <c r="Y282" s="520"/>
      <c r="Z282" s="520"/>
      <c r="AA282" s="285"/>
    </row>
    <row r="283" spans="2:27" s="204" customFormat="1" x14ac:dyDescent="0.25">
      <c r="B283" s="273" t="s">
        <v>641</v>
      </c>
      <c r="C283" s="273" t="s">
        <v>642</v>
      </c>
      <c r="D283" s="264" t="s">
        <v>3262</v>
      </c>
      <c r="E283" s="264"/>
      <c r="F283" s="274"/>
      <c r="G283" s="283"/>
      <c r="H283" s="266"/>
      <c r="I283" s="281"/>
      <c r="J283" s="281"/>
      <c r="K283" s="281"/>
      <c r="L283" s="295" t="s">
        <v>3263</v>
      </c>
      <c r="M283" s="284" t="s">
        <v>2962</v>
      </c>
      <c r="N283" s="269">
        <f t="shared" si="30"/>
        <v>0</v>
      </c>
      <c r="O283" s="270">
        <f t="shared" si="31"/>
        <v>0</v>
      </c>
      <c r="P283" s="271">
        <f t="shared" si="32"/>
        <v>0</v>
      </c>
      <c r="Q283" s="520"/>
      <c r="R283" s="354">
        <f>IF(ISERROR(VLOOKUP("SOC"&amp;$C283,ESTR_PREC_SP!$A$2:$G$2000,4,FALSE))=TRUE,0,VLOOKUP("SOC"&amp;$C283,ESTR_PREC_SP!$A$2:$G$2000,4,FALSE))</f>
        <v>0</v>
      </c>
      <c r="S283" s="521"/>
      <c r="V283" s="211"/>
      <c r="W283" s="520"/>
      <c r="X283" s="520"/>
      <c r="Y283" s="520"/>
      <c r="Z283" s="520"/>
      <c r="AA283" s="285"/>
    </row>
    <row r="284" spans="2:27" s="204" customFormat="1" x14ac:dyDescent="0.25">
      <c r="B284" s="273" t="s">
        <v>644</v>
      </c>
      <c r="C284" s="273" t="s">
        <v>645</v>
      </c>
      <c r="D284" s="264" t="s">
        <v>3264</v>
      </c>
      <c r="E284" s="264"/>
      <c r="F284" s="274"/>
      <c r="G284" s="283"/>
      <c r="H284" s="266"/>
      <c r="I284" s="281"/>
      <c r="J284" s="281"/>
      <c r="K284" s="281"/>
      <c r="L284" s="295" t="s">
        <v>3265</v>
      </c>
      <c r="M284" s="284" t="s">
        <v>2962</v>
      </c>
      <c r="N284" s="269">
        <f t="shared" si="30"/>
        <v>0</v>
      </c>
      <c r="O284" s="270">
        <f t="shared" si="31"/>
        <v>0</v>
      </c>
      <c r="P284" s="271">
        <f t="shared" si="32"/>
        <v>0</v>
      </c>
      <c r="Q284" s="520"/>
      <c r="R284" s="354">
        <f>IF(ISERROR(VLOOKUP("SOC"&amp;$C284,ESTR_PREC_SP!$A$2:$G$2000,4,FALSE))=TRUE,0,VLOOKUP("SOC"&amp;$C284,ESTR_PREC_SP!$A$2:$G$2000,4,FALSE))</f>
        <v>0</v>
      </c>
      <c r="S284" s="521"/>
      <c r="V284" s="211"/>
      <c r="W284" s="520"/>
      <c r="X284" s="520"/>
      <c r="Y284" s="520"/>
      <c r="Z284" s="520"/>
      <c r="AA284" s="285"/>
    </row>
    <row r="285" spans="2:27" s="204" customFormat="1" x14ac:dyDescent="0.25">
      <c r="B285" s="273" t="s">
        <v>647</v>
      </c>
      <c r="C285" s="273" t="s">
        <v>648</v>
      </c>
      <c r="D285" s="264" t="s">
        <v>3266</v>
      </c>
      <c r="E285" s="264"/>
      <c r="F285" s="274"/>
      <c r="G285" s="283"/>
      <c r="H285" s="266"/>
      <c r="I285" s="281"/>
      <c r="J285" s="281"/>
      <c r="K285" s="281"/>
      <c r="L285" s="295" t="s">
        <v>3267</v>
      </c>
      <c r="M285" s="284" t="s">
        <v>2962</v>
      </c>
      <c r="N285" s="269">
        <f t="shared" si="30"/>
        <v>0</v>
      </c>
      <c r="O285" s="270">
        <f t="shared" si="31"/>
        <v>0</v>
      </c>
      <c r="P285" s="271">
        <f t="shared" si="32"/>
        <v>0</v>
      </c>
      <c r="Q285" s="520"/>
      <c r="R285" s="354">
        <f>IF(ISERROR(VLOOKUP("SOC"&amp;$C285,ESTR_PREC_SP!$A$2:$G$2000,4,FALSE))=TRUE,0,VLOOKUP("SOC"&amp;$C285,ESTR_PREC_SP!$A$2:$G$2000,4,FALSE))</f>
        <v>0</v>
      </c>
      <c r="S285" s="521"/>
      <c r="V285" s="211"/>
      <c r="W285" s="520"/>
      <c r="X285" s="520"/>
      <c r="Y285" s="520"/>
      <c r="Z285" s="520"/>
      <c r="AA285" s="285"/>
    </row>
    <row r="286" spans="2:27" s="204" customFormat="1" x14ac:dyDescent="0.25">
      <c r="B286" s="273" t="s">
        <v>650</v>
      </c>
      <c r="C286" s="273" t="s">
        <v>651</v>
      </c>
      <c r="D286" s="264" t="s">
        <v>3268</v>
      </c>
      <c r="E286" s="264"/>
      <c r="F286" s="274"/>
      <c r="G286" s="283"/>
      <c r="H286" s="266"/>
      <c r="I286" s="281"/>
      <c r="J286" s="281"/>
      <c r="K286" s="281"/>
      <c r="L286" s="295" t="s">
        <v>3269</v>
      </c>
      <c r="M286" s="284" t="s">
        <v>2962</v>
      </c>
      <c r="N286" s="269">
        <f t="shared" si="30"/>
        <v>0</v>
      </c>
      <c r="O286" s="270">
        <f t="shared" si="31"/>
        <v>0</v>
      </c>
      <c r="P286" s="271">
        <f t="shared" si="32"/>
        <v>0</v>
      </c>
      <c r="Q286" s="520"/>
      <c r="R286" s="354">
        <f>IF(ISERROR(VLOOKUP("SOC"&amp;$C286,ESTR_PREC_SP!$A$2:$G$2000,4,FALSE))=TRUE,0,VLOOKUP("SOC"&amp;$C286,ESTR_PREC_SP!$A$2:$G$2000,4,FALSE))</f>
        <v>0</v>
      </c>
      <c r="S286" s="521"/>
      <c r="V286" s="211"/>
      <c r="W286" s="520"/>
      <c r="X286" s="520"/>
      <c r="Y286" s="520"/>
      <c r="Z286" s="520"/>
      <c r="AA286" s="285"/>
    </row>
    <row r="287" spans="2:27" s="204" customFormat="1" x14ac:dyDescent="0.25">
      <c r="B287" s="273" t="s">
        <v>653</v>
      </c>
      <c r="C287" s="273" t="s">
        <v>654</v>
      </c>
      <c r="D287" s="264" t="s">
        <v>3270</v>
      </c>
      <c r="E287" s="264"/>
      <c r="F287" s="274"/>
      <c r="G287" s="283"/>
      <c r="H287" s="266"/>
      <c r="I287" s="281"/>
      <c r="J287" s="281"/>
      <c r="K287" s="281"/>
      <c r="L287" s="295" t="s">
        <v>3271</v>
      </c>
      <c r="M287" s="284" t="s">
        <v>2962</v>
      </c>
      <c r="N287" s="269">
        <f t="shared" si="30"/>
        <v>0</v>
      </c>
      <c r="O287" s="270">
        <f t="shared" si="31"/>
        <v>0</v>
      </c>
      <c r="P287" s="271">
        <f t="shared" si="32"/>
        <v>0</v>
      </c>
      <c r="Q287" s="520"/>
      <c r="R287" s="354">
        <f>IF(ISERROR(VLOOKUP("SOC"&amp;$C287,ESTR_PREC_SP!$A$2:$G$2000,4,FALSE))=TRUE,0,VLOOKUP("SOC"&amp;$C287,ESTR_PREC_SP!$A$2:$G$2000,4,FALSE))</f>
        <v>0</v>
      </c>
      <c r="S287" s="521"/>
      <c r="V287" s="211"/>
      <c r="W287" s="520"/>
      <c r="X287" s="520"/>
      <c r="Y287" s="520"/>
      <c r="Z287" s="520"/>
      <c r="AA287" s="285"/>
    </row>
    <row r="288" spans="2:27" s="204" customFormat="1" x14ac:dyDescent="0.25">
      <c r="B288" s="293"/>
      <c r="C288" s="293"/>
      <c r="D288" s="230"/>
      <c r="E288" s="230"/>
      <c r="F288" s="230"/>
      <c r="G288" s="230"/>
      <c r="H288" s="231"/>
      <c r="I288" s="230"/>
      <c r="J288" s="230"/>
      <c r="K288" s="230"/>
      <c r="L288" s="275"/>
      <c r="M288" s="216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</row>
    <row r="289" spans="2:31" s="204" customFormat="1" ht="25.5" x14ac:dyDescent="0.25">
      <c r="B289" s="293"/>
      <c r="C289" s="293"/>
      <c r="D289" s="230"/>
      <c r="E289" s="230"/>
      <c r="F289" s="230"/>
      <c r="G289" s="230"/>
      <c r="H289" s="231"/>
      <c r="I289" s="230"/>
      <c r="J289" s="230"/>
      <c r="K289" s="230"/>
      <c r="L289" s="255"/>
      <c r="M289" s="244"/>
      <c r="N289" s="256" t="str">
        <f>N$15</f>
        <v>Valore netto al 31/12/2019</v>
      </c>
      <c r="O289" s="256" t="str">
        <f>O$15</f>
        <v>Valore netto al 31/12/2020</v>
      </c>
      <c r="P289" s="256" t="str">
        <f>P$15</f>
        <v>Variazione</v>
      </c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</row>
    <row r="290" spans="2:31" s="204" customFormat="1" x14ac:dyDescent="0.25">
      <c r="B290" s="292" t="s">
        <v>656</v>
      </c>
      <c r="C290" s="292" t="s">
        <v>657</v>
      </c>
      <c r="D290" s="247" t="s">
        <v>3272</v>
      </c>
      <c r="E290" s="247"/>
      <c r="F290" s="247"/>
      <c r="G290" s="247"/>
      <c r="H290" s="248"/>
      <c r="I290" s="247"/>
      <c r="J290" s="247"/>
      <c r="K290" s="249"/>
      <c r="L290" s="257" t="s">
        <v>659</v>
      </c>
      <c r="M290" s="251" t="s">
        <v>2962</v>
      </c>
      <c r="N290" s="252">
        <f>+N292-N302</f>
        <v>0</v>
      </c>
      <c r="O290" s="252">
        <f>+O292-O302</f>
        <v>0</v>
      </c>
      <c r="P290" s="253">
        <f>+O290-N290</f>
        <v>0</v>
      </c>
      <c r="Q290" s="285"/>
      <c r="R290" s="285"/>
      <c r="S290" s="252">
        <f>+S292-S302</f>
        <v>0</v>
      </c>
      <c r="T290" s="285"/>
      <c r="U290" s="285"/>
      <c r="V290" s="285"/>
      <c r="W290" s="211"/>
      <c r="X290" s="252">
        <f>+X292-X302</f>
        <v>0</v>
      </c>
      <c r="Y290" s="285"/>
      <c r="Z290" s="285"/>
      <c r="AA290" s="285"/>
    </row>
    <row r="291" spans="2:31" s="204" customFormat="1" x14ac:dyDescent="0.25">
      <c r="B291" s="293"/>
      <c r="C291" s="293"/>
      <c r="D291" s="230"/>
      <c r="E291" s="230"/>
      <c r="F291" s="230"/>
      <c r="G291" s="230"/>
      <c r="H291" s="231"/>
      <c r="I291" s="230"/>
      <c r="J291" s="230"/>
      <c r="K291" s="230"/>
      <c r="L291" s="275"/>
      <c r="M291" s="216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</row>
    <row r="292" spans="2:31" s="204" customFormat="1" x14ac:dyDescent="0.25">
      <c r="B292" s="292" t="s">
        <v>660</v>
      </c>
      <c r="C292" s="292" t="s">
        <v>661</v>
      </c>
      <c r="D292" s="247" t="s">
        <v>3273</v>
      </c>
      <c r="E292" s="247"/>
      <c r="F292" s="247"/>
      <c r="G292" s="247"/>
      <c r="H292" s="248"/>
      <c r="I292" s="247"/>
      <c r="J292" s="247"/>
      <c r="K292" s="249"/>
      <c r="L292" s="276" t="s">
        <v>664</v>
      </c>
      <c r="M292" s="251" t="s">
        <v>2962</v>
      </c>
      <c r="N292" s="252">
        <f>SUM(N295:N300)</f>
        <v>0</v>
      </c>
      <c r="O292" s="252">
        <f>SUM(O295:O300)</f>
        <v>0</v>
      </c>
      <c r="P292" s="259">
        <f>+O292-N292</f>
        <v>0</v>
      </c>
      <c r="Q292" s="252">
        <f>SUM(Q295:Q300)</f>
        <v>0</v>
      </c>
      <c r="R292" s="252">
        <f>SUM(R295:R300)</f>
        <v>0</v>
      </c>
      <c r="S292" s="252">
        <f>SUM(S295:S300)</f>
        <v>0</v>
      </c>
      <c r="T292" s="252">
        <f>SUM(T295:T300)</f>
        <v>0</v>
      </c>
      <c r="U292" s="252">
        <f>SUM(U295:U300)</f>
        <v>0</v>
      </c>
      <c r="W292" s="252">
        <f t="shared" ref="W292:AE292" si="33">SUM(W295:W300)</f>
        <v>0</v>
      </c>
      <c r="X292" s="252">
        <f t="shared" si="33"/>
        <v>0</v>
      </c>
      <c r="Y292" s="252">
        <f t="shared" si="33"/>
        <v>0</v>
      </c>
      <c r="Z292" s="252">
        <f t="shared" si="33"/>
        <v>0</v>
      </c>
      <c r="AA292" s="252">
        <f t="shared" si="33"/>
        <v>0</v>
      </c>
      <c r="AB292" s="252">
        <f t="shared" si="33"/>
        <v>0</v>
      </c>
      <c r="AC292" s="252">
        <f t="shared" si="33"/>
        <v>0</v>
      </c>
      <c r="AD292" s="252">
        <f t="shared" si="33"/>
        <v>0</v>
      </c>
      <c r="AE292" s="252">
        <f t="shared" si="33"/>
        <v>0</v>
      </c>
    </row>
    <row r="293" spans="2:31" s="204" customFormat="1" x14ac:dyDescent="0.25">
      <c r="B293" s="293"/>
      <c r="C293" s="293"/>
      <c r="D293" s="230"/>
      <c r="E293" s="230"/>
      <c r="F293" s="230"/>
      <c r="G293" s="230"/>
      <c r="H293" s="231"/>
      <c r="I293" s="230"/>
      <c r="J293" s="230"/>
      <c r="K293" s="230"/>
      <c r="L293" s="241"/>
      <c r="M293" s="278"/>
      <c r="N293" s="279"/>
      <c r="O293" s="211"/>
      <c r="P293" s="211"/>
      <c r="Q293" s="211"/>
      <c r="R293" s="211"/>
      <c r="T293" s="211"/>
      <c r="U293" s="211"/>
      <c r="V293" s="211"/>
      <c r="W293" s="211"/>
      <c r="X293" s="211"/>
      <c r="Y293" s="211"/>
      <c r="Z293" s="211"/>
      <c r="AA293" s="211"/>
    </row>
    <row r="294" spans="2:31" s="204" customFormat="1" ht="89.25" x14ac:dyDescent="0.25">
      <c r="B294" s="294" t="s">
        <v>2968</v>
      </c>
      <c r="C294" s="294" t="s">
        <v>2969</v>
      </c>
      <c r="D294" s="206" t="s">
        <v>72</v>
      </c>
      <c r="E294" s="206"/>
      <c r="F294" s="206"/>
      <c r="G294" s="207"/>
      <c r="H294" s="207"/>
      <c r="I294" s="207"/>
      <c r="J294" s="207" t="s">
        <v>2957</v>
      </c>
      <c r="K294" s="206" t="s">
        <v>82</v>
      </c>
      <c r="L294" s="261" t="s">
        <v>2970</v>
      </c>
      <c r="M294" s="260"/>
      <c r="N294" s="256" t="str">
        <f>N$15</f>
        <v>Valore netto al 31/12/2019</v>
      </c>
      <c r="O294" s="256" t="str">
        <f>O$15</f>
        <v>Valore netto al 31/12/2020</v>
      </c>
      <c r="P294" s="256" t="str">
        <f>P$15</f>
        <v>Variazione</v>
      </c>
      <c r="Q294" s="262" t="s">
        <v>2971</v>
      </c>
      <c r="R294" s="262" t="str">
        <f>"Costo storico al 31/12/"&amp;Info!$B$3-1</f>
        <v>Costo storico al 31/12/2019</v>
      </c>
      <c r="S294" s="262" t="s">
        <v>2972</v>
      </c>
      <c r="T294" s="262" t="s">
        <v>2973</v>
      </c>
      <c r="U294" s="262" t="s">
        <v>2974</v>
      </c>
      <c r="W294" s="262" t="s">
        <v>4391</v>
      </c>
      <c r="X294" s="262" t="s">
        <v>2976</v>
      </c>
      <c r="Y294" s="262" t="s">
        <v>2977</v>
      </c>
      <c r="Z294" s="262" t="s">
        <v>2978</v>
      </c>
      <c r="AA294" s="262" t="s">
        <v>2979</v>
      </c>
      <c r="AB294" s="262" t="s">
        <v>2980</v>
      </c>
      <c r="AC294" s="262" t="s">
        <v>2981</v>
      </c>
      <c r="AD294" s="262" t="s">
        <v>2982</v>
      </c>
      <c r="AE294" s="262" t="s">
        <v>2983</v>
      </c>
    </row>
    <row r="295" spans="2:31" s="204" customFormat="1" x14ac:dyDescent="0.25">
      <c r="B295" s="287" t="s">
        <v>665</v>
      </c>
      <c r="C295" s="287" t="s">
        <v>666</v>
      </c>
      <c r="D295" s="274" t="s">
        <v>3274</v>
      </c>
      <c r="E295" s="264"/>
      <c r="F295" s="274"/>
      <c r="G295" s="283"/>
      <c r="H295" s="266"/>
      <c r="I295" s="281"/>
      <c r="J295" s="281"/>
      <c r="K295" s="281"/>
      <c r="L295" s="316" t="s">
        <v>3275</v>
      </c>
      <c r="M295" s="263" t="s">
        <v>2962</v>
      </c>
      <c r="N295" s="269">
        <f t="shared" ref="N295:N300" si="34">+R295+T295-U295</f>
        <v>0</v>
      </c>
      <c r="O295" s="270">
        <f t="shared" ref="O295:O300" si="35">+N295+S295+X295+ABS(Y295)-ABS(AA295)+ABS(Z295)+ABS(AB295)+ABS(AD295)-ABS(AE295)+AC295+W295+Q295</f>
        <v>0</v>
      </c>
      <c r="P295" s="271">
        <f t="shared" ref="P295:P300" si="36">+O295-N295</f>
        <v>0</v>
      </c>
      <c r="Q295" s="520"/>
      <c r="R295" s="354">
        <f>IF(ISERROR(VLOOKUP("SOC"&amp;$C295,ESTR_PREC_SP!$A$2:$G$2000,4,FALSE))=TRUE,0,VLOOKUP("SOC"&amp;$C295,ESTR_PREC_SP!$A$2:$G$2000,4,FALSE))</f>
        <v>0</v>
      </c>
      <c r="S295" s="521"/>
      <c r="T295" s="521"/>
      <c r="U295" s="521"/>
      <c r="W295" s="520"/>
      <c r="X295" s="520"/>
      <c r="Y295" s="520"/>
      <c r="Z295" s="520"/>
      <c r="AA295" s="520"/>
      <c r="AB295" s="520"/>
      <c r="AC295" s="520"/>
      <c r="AD295" s="520"/>
      <c r="AE295" s="520"/>
    </row>
    <row r="296" spans="2:31" s="204" customFormat="1" x14ac:dyDescent="0.25">
      <c r="B296" s="287" t="s">
        <v>668</v>
      </c>
      <c r="C296" s="287" t="s">
        <v>669</v>
      </c>
      <c r="D296" s="274" t="s">
        <v>3276</v>
      </c>
      <c r="E296" s="264"/>
      <c r="F296" s="274"/>
      <c r="G296" s="283"/>
      <c r="H296" s="266"/>
      <c r="I296" s="281"/>
      <c r="J296" s="281"/>
      <c r="K296" s="281"/>
      <c r="L296" s="316" t="s">
        <v>3277</v>
      </c>
      <c r="M296" s="284" t="s">
        <v>2962</v>
      </c>
      <c r="N296" s="269">
        <f t="shared" si="34"/>
        <v>0</v>
      </c>
      <c r="O296" s="270">
        <f t="shared" si="35"/>
        <v>0</v>
      </c>
      <c r="P296" s="271">
        <f t="shared" si="36"/>
        <v>0</v>
      </c>
      <c r="Q296" s="520"/>
      <c r="R296" s="354">
        <f>IF(ISERROR(VLOOKUP("SOC"&amp;$C296,ESTR_PREC_SP!$A$2:$G$2000,4,FALSE))=TRUE,0,VLOOKUP("SOC"&amp;$C296,ESTR_PREC_SP!$A$2:$G$2000,4,FALSE))</f>
        <v>0</v>
      </c>
      <c r="S296" s="521"/>
      <c r="T296" s="521"/>
      <c r="U296" s="521"/>
      <c r="W296" s="520"/>
      <c r="X296" s="520"/>
      <c r="Y296" s="520"/>
      <c r="Z296" s="520"/>
      <c r="AA296" s="520"/>
      <c r="AB296" s="520"/>
      <c r="AC296" s="520"/>
      <c r="AD296" s="520"/>
      <c r="AE296" s="520"/>
    </row>
    <row r="297" spans="2:31" s="204" customFormat="1" x14ac:dyDescent="0.25">
      <c r="B297" s="287" t="s">
        <v>671</v>
      </c>
      <c r="C297" s="287" t="s">
        <v>672</v>
      </c>
      <c r="D297" s="274" t="s">
        <v>3278</v>
      </c>
      <c r="E297" s="264"/>
      <c r="F297" s="274"/>
      <c r="G297" s="283"/>
      <c r="H297" s="266"/>
      <c r="I297" s="281"/>
      <c r="J297" s="281"/>
      <c r="K297" s="281"/>
      <c r="L297" s="316" t="s">
        <v>3279</v>
      </c>
      <c r="M297" s="284" t="s">
        <v>2962</v>
      </c>
      <c r="N297" s="269">
        <f t="shared" si="34"/>
        <v>0</v>
      </c>
      <c r="O297" s="270">
        <f t="shared" si="35"/>
        <v>0</v>
      </c>
      <c r="P297" s="271">
        <f t="shared" si="36"/>
        <v>0</v>
      </c>
      <c r="Q297" s="520"/>
      <c r="R297" s="354">
        <f>IF(ISERROR(VLOOKUP("SOC"&amp;$C297,ESTR_PREC_SP!$A$2:$G$2000,4,FALSE))=TRUE,0,VLOOKUP("SOC"&amp;$C297,ESTR_PREC_SP!$A$2:$G$2000,4,FALSE))</f>
        <v>0</v>
      </c>
      <c r="S297" s="521"/>
      <c r="T297" s="521"/>
      <c r="U297" s="521"/>
      <c r="W297" s="520"/>
      <c r="X297" s="520"/>
      <c r="Y297" s="520"/>
      <c r="Z297" s="520"/>
      <c r="AA297" s="520"/>
      <c r="AB297" s="520"/>
      <c r="AC297" s="520"/>
      <c r="AD297" s="520"/>
      <c r="AE297" s="520"/>
    </row>
    <row r="298" spans="2:31" s="204" customFormat="1" x14ac:dyDescent="0.25">
      <c r="B298" s="287" t="s">
        <v>674</v>
      </c>
      <c r="C298" s="287" t="s">
        <v>675</v>
      </c>
      <c r="D298" s="274" t="s">
        <v>3280</v>
      </c>
      <c r="E298" s="264"/>
      <c r="F298" s="274"/>
      <c r="G298" s="283"/>
      <c r="H298" s="266"/>
      <c r="I298" s="281"/>
      <c r="J298" s="281"/>
      <c r="K298" s="281"/>
      <c r="L298" s="316" t="s">
        <v>3281</v>
      </c>
      <c r="M298" s="284" t="s">
        <v>2962</v>
      </c>
      <c r="N298" s="269">
        <f t="shared" si="34"/>
        <v>0</v>
      </c>
      <c r="O298" s="270">
        <f t="shared" si="35"/>
        <v>0</v>
      </c>
      <c r="P298" s="271">
        <f t="shared" si="36"/>
        <v>0</v>
      </c>
      <c r="Q298" s="520"/>
      <c r="R298" s="354">
        <f>IF(ISERROR(VLOOKUP("SOC"&amp;$C298,ESTR_PREC_SP!$A$2:$G$2000,4,FALSE))=TRUE,0,VLOOKUP("SOC"&amp;$C298,ESTR_PREC_SP!$A$2:$G$2000,4,FALSE))</f>
        <v>0</v>
      </c>
      <c r="S298" s="521"/>
      <c r="T298" s="521"/>
      <c r="U298" s="521"/>
      <c r="W298" s="520"/>
      <c r="X298" s="520"/>
      <c r="Y298" s="520"/>
      <c r="Z298" s="520"/>
      <c r="AA298" s="520"/>
      <c r="AB298" s="520"/>
      <c r="AC298" s="520"/>
      <c r="AD298" s="520"/>
      <c r="AE298" s="520"/>
    </row>
    <row r="299" spans="2:31" s="204" customFormat="1" x14ac:dyDescent="0.25">
      <c r="B299" s="287" t="s">
        <v>677</v>
      </c>
      <c r="C299" s="287" t="s">
        <v>678</v>
      </c>
      <c r="D299" s="274" t="s">
        <v>3282</v>
      </c>
      <c r="E299" s="264"/>
      <c r="F299" s="274"/>
      <c r="G299" s="283"/>
      <c r="H299" s="266"/>
      <c r="I299" s="281"/>
      <c r="J299" s="281"/>
      <c r="K299" s="281"/>
      <c r="L299" s="295" t="s">
        <v>3283</v>
      </c>
      <c r="M299" s="284" t="s">
        <v>2962</v>
      </c>
      <c r="N299" s="269">
        <f t="shared" si="34"/>
        <v>0</v>
      </c>
      <c r="O299" s="270">
        <f t="shared" si="35"/>
        <v>0</v>
      </c>
      <c r="P299" s="271">
        <f t="shared" si="36"/>
        <v>0</v>
      </c>
      <c r="Q299" s="520"/>
      <c r="R299" s="354">
        <f>IF(ISERROR(VLOOKUP("SOC"&amp;$C299,ESTR_PREC_SP!$A$2:$G$2000,4,FALSE))=TRUE,0,VLOOKUP("SOC"&amp;$C299,ESTR_PREC_SP!$A$2:$G$2000,4,FALSE))</f>
        <v>0</v>
      </c>
      <c r="S299" s="521"/>
      <c r="T299" s="521"/>
      <c r="U299" s="521"/>
      <c r="W299" s="520"/>
      <c r="X299" s="520"/>
      <c r="Y299" s="520"/>
      <c r="Z299" s="520"/>
      <c r="AA299" s="520"/>
      <c r="AB299" s="520"/>
      <c r="AC299" s="520"/>
      <c r="AD299" s="520"/>
      <c r="AE299" s="520"/>
    </row>
    <row r="300" spans="2:31" s="204" customFormat="1" x14ac:dyDescent="0.25">
      <c r="B300" s="287" t="s">
        <v>680</v>
      </c>
      <c r="C300" s="287" t="s">
        <v>681</v>
      </c>
      <c r="D300" s="274" t="s">
        <v>3284</v>
      </c>
      <c r="E300" s="264"/>
      <c r="F300" s="274"/>
      <c r="G300" s="283"/>
      <c r="H300" s="266"/>
      <c r="I300" s="281"/>
      <c r="J300" s="281"/>
      <c r="K300" s="281"/>
      <c r="L300" s="295" t="s">
        <v>3285</v>
      </c>
      <c r="M300" s="284" t="s">
        <v>2962</v>
      </c>
      <c r="N300" s="269">
        <f t="shared" si="34"/>
        <v>0</v>
      </c>
      <c r="O300" s="270">
        <f t="shared" si="35"/>
        <v>0</v>
      </c>
      <c r="P300" s="271">
        <f t="shared" si="36"/>
        <v>0</v>
      </c>
      <c r="Q300" s="520"/>
      <c r="R300" s="354">
        <f>IF(ISERROR(VLOOKUP("SOC"&amp;$C300,ESTR_PREC_SP!$A$2:$G$2000,4,FALSE))=TRUE,0,VLOOKUP("SOC"&amp;$C300,ESTR_PREC_SP!$A$2:$G$2000,4,FALSE))</f>
        <v>0</v>
      </c>
      <c r="S300" s="521"/>
      <c r="T300" s="521"/>
      <c r="U300" s="521"/>
      <c r="W300" s="520"/>
      <c r="X300" s="520"/>
      <c r="Y300" s="520"/>
      <c r="Z300" s="520"/>
      <c r="AA300" s="520"/>
      <c r="AB300" s="520"/>
      <c r="AC300" s="520"/>
      <c r="AD300" s="520"/>
      <c r="AE300" s="520"/>
    </row>
    <row r="301" spans="2:31" s="204" customFormat="1" x14ac:dyDescent="0.25">
      <c r="B301" s="293"/>
      <c r="C301" s="293"/>
      <c r="D301" s="230"/>
      <c r="E301" s="230"/>
      <c r="F301" s="230"/>
      <c r="G301" s="230"/>
      <c r="H301" s="231"/>
      <c r="I301" s="230"/>
      <c r="J301" s="230"/>
      <c r="K301" s="230"/>
      <c r="L301" s="275"/>
      <c r="M301" s="216"/>
      <c r="N301" s="285"/>
      <c r="O301" s="211"/>
      <c r="P301" s="211"/>
      <c r="Q301" s="211"/>
      <c r="R301" s="211"/>
      <c r="S301" s="211"/>
      <c r="T301" s="285"/>
      <c r="U301" s="285"/>
      <c r="V301" s="285"/>
      <c r="W301" s="285"/>
      <c r="X301" s="285"/>
      <c r="Y301" s="285"/>
      <c r="Z301" s="285"/>
      <c r="AA301" s="285"/>
    </row>
    <row r="302" spans="2:31" s="204" customFormat="1" x14ac:dyDescent="0.25">
      <c r="B302" s="292" t="s">
        <v>683</v>
      </c>
      <c r="C302" s="292" t="s">
        <v>684</v>
      </c>
      <c r="D302" s="247" t="s">
        <v>3286</v>
      </c>
      <c r="E302" s="247"/>
      <c r="F302" s="247"/>
      <c r="G302" s="247"/>
      <c r="H302" s="248"/>
      <c r="I302" s="247"/>
      <c r="J302" s="247"/>
      <c r="K302" s="249"/>
      <c r="L302" s="276" t="s">
        <v>687</v>
      </c>
      <c r="M302" s="251" t="s">
        <v>2962</v>
      </c>
      <c r="N302" s="252">
        <f>SUM(N305:N310)</f>
        <v>0</v>
      </c>
      <c r="O302" s="252">
        <f>SUM(O305:O310)</f>
        <v>0</v>
      </c>
      <c r="P302" s="259">
        <f>+O302-N302</f>
        <v>0</v>
      </c>
      <c r="Q302" s="252">
        <f>SUM(Q305:Q310)</f>
        <v>0</v>
      </c>
      <c r="R302" s="252">
        <f>SUM(R305:R310)</f>
        <v>0</v>
      </c>
      <c r="S302" s="252">
        <f>SUM(S305:S310)</f>
        <v>0</v>
      </c>
      <c r="W302" s="252">
        <f>SUM(W305:W310)</f>
        <v>0</v>
      </c>
      <c r="X302" s="252">
        <f>SUM(X305:X310)</f>
        <v>0</v>
      </c>
      <c r="Y302" s="252">
        <f>SUM(Y305:Y310)</f>
        <v>0</v>
      </c>
      <c r="Z302" s="252">
        <f>SUM(Z305:Z310)</f>
        <v>0</v>
      </c>
      <c r="AA302" s="285"/>
    </row>
    <row r="303" spans="2:31" s="204" customFormat="1" x14ac:dyDescent="0.25">
      <c r="B303" s="293"/>
      <c r="C303" s="293"/>
      <c r="D303" s="230"/>
      <c r="E303" s="230"/>
      <c r="F303" s="230"/>
      <c r="G303" s="230"/>
      <c r="H303" s="231"/>
      <c r="I303" s="230"/>
      <c r="J303" s="230"/>
      <c r="K303" s="230"/>
      <c r="L303" s="241"/>
      <c r="M303" s="278"/>
      <c r="N303" s="279"/>
      <c r="O303" s="211"/>
      <c r="P303" s="211"/>
      <c r="Q303" s="211"/>
      <c r="R303" s="211"/>
      <c r="W303" s="285"/>
      <c r="X303" s="285"/>
      <c r="Y303" s="285"/>
      <c r="Z303" s="285"/>
      <c r="AA303" s="285"/>
    </row>
    <row r="304" spans="2:31" s="204" customFormat="1" ht="89.25" x14ac:dyDescent="0.25">
      <c r="B304" s="294" t="s">
        <v>2968</v>
      </c>
      <c r="C304" s="294" t="s">
        <v>2969</v>
      </c>
      <c r="D304" s="206" t="s">
        <v>72</v>
      </c>
      <c r="E304" s="206"/>
      <c r="F304" s="206"/>
      <c r="G304" s="207"/>
      <c r="H304" s="207"/>
      <c r="I304" s="207"/>
      <c r="J304" s="207" t="s">
        <v>2957</v>
      </c>
      <c r="K304" s="206" t="s">
        <v>82</v>
      </c>
      <c r="L304" s="261" t="s">
        <v>2970</v>
      </c>
      <c r="M304" s="260"/>
      <c r="N304" s="256" t="str">
        <f>N$15</f>
        <v>Valore netto al 31/12/2019</v>
      </c>
      <c r="O304" s="256" t="str">
        <f>O$15</f>
        <v>Valore netto al 31/12/2020</v>
      </c>
      <c r="P304" s="256" t="str">
        <f>P$15</f>
        <v>Variazione</v>
      </c>
      <c r="Q304" s="262" t="s">
        <v>2971</v>
      </c>
      <c r="R304" s="262" t="str">
        <f>"Fondo ammortamento 31/12/"&amp;Info!$B$3-1</f>
        <v>Fondo ammortamento 31/12/2019</v>
      </c>
      <c r="S304" s="262" t="s">
        <v>2972</v>
      </c>
      <c r="W304" s="262" t="s">
        <v>4391</v>
      </c>
      <c r="X304" s="262" t="s">
        <v>2976</v>
      </c>
      <c r="Y304" s="262" t="s">
        <v>2989</v>
      </c>
      <c r="Z304" s="262" t="s">
        <v>2990</v>
      </c>
      <c r="AA304" s="285"/>
    </row>
    <row r="305" spans="2:31" s="204" customFormat="1" x14ac:dyDescent="0.25">
      <c r="B305" s="287" t="s">
        <v>688</v>
      </c>
      <c r="C305" s="287" t="s">
        <v>689</v>
      </c>
      <c r="D305" s="274" t="s">
        <v>3287</v>
      </c>
      <c r="E305" s="264"/>
      <c r="F305" s="274"/>
      <c r="G305" s="283"/>
      <c r="H305" s="266"/>
      <c r="I305" s="281"/>
      <c r="J305" s="281"/>
      <c r="K305" s="281"/>
      <c r="L305" s="316" t="s">
        <v>3288</v>
      </c>
      <c r="M305" s="263" t="s">
        <v>2962</v>
      </c>
      <c r="N305" s="269">
        <f t="shared" ref="N305:N310" si="37">+R305</f>
        <v>0</v>
      </c>
      <c r="O305" s="270">
        <f t="shared" ref="O305:O310" si="38">+R305+S305+X305-ABS(Y305)+ABS(Z305)+W305+Q305</f>
        <v>0</v>
      </c>
      <c r="P305" s="271">
        <f t="shared" ref="P305:P310" si="39">+O305-N305</f>
        <v>0</v>
      </c>
      <c r="Q305" s="520"/>
      <c r="R305" s="354">
        <f>IF(ISERROR(VLOOKUP("SOC"&amp;$C305,ESTR_PREC_SP!$A$2:$G$2000,4,FALSE))=TRUE,0,VLOOKUP("SOC"&amp;$C305,ESTR_PREC_SP!$A$2:$G$2000,4,FALSE))</f>
        <v>0</v>
      </c>
      <c r="S305" s="521"/>
      <c r="V305" s="211"/>
      <c r="W305" s="651"/>
      <c r="X305" s="651"/>
      <c r="Y305" s="520"/>
      <c r="Z305" s="520"/>
      <c r="AA305" s="285"/>
    </row>
    <row r="306" spans="2:31" s="204" customFormat="1" x14ac:dyDescent="0.25">
      <c r="B306" s="287" t="s">
        <v>691</v>
      </c>
      <c r="C306" s="287" t="s">
        <v>692</v>
      </c>
      <c r="D306" s="274" t="s">
        <v>3289</v>
      </c>
      <c r="E306" s="264"/>
      <c r="F306" s="274"/>
      <c r="G306" s="283"/>
      <c r="H306" s="266"/>
      <c r="I306" s="281"/>
      <c r="J306" s="281"/>
      <c r="K306" s="281"/>
      <c r="L306" s="316" t="s">
        <v>3290</v>
      </c>
      <c r="M306" s="263" t="s">
        <v>2962</v>
      </c>
      <c r="N306" s="269">
        <f t="shared" si="37"/>
        <v>0</v>
      </c>
      <c r="O306" s="270">
        <f t="shared" si="38"/>
        <v>0</v>
      </c>
      <c r="P306" s="271">
        <f t="shared" si="39"/>
        <v>0</v>
      </c>
      <c r="Q306" s="520"/>
      <c r="R306" s="354">
        <f>IF(ISERROR(VLOOKUP("SOC"&amp;$C306,ESTR_PREC_SP!$A$2:$G$2000,4,FALSE))=TRUE,0,VLOOKUP("SOC"&amp;$C306,ESTR_PREC_SP!$A$2:$G$2000,4,FALSE))</f>
        <v>0</v>
      </c>
      <c r="S306" s="521"/>
      <c r="V306" s="211"/>
      <c r="W306" s="651"/>
      <c r="X306" s="651"/>
      <c r="Y306" s="520"/>
      <c r="Z306" s="520"/>
      <c r="AA306" s="285"/>
    </row>
    <row r="307" spans="2:31" s="204" customFormat="1" x14ac:dyDescent="0.25">
      <c r="B307" s="287" t="s">
        <v>694</v>
      </c>
      <c r="C307" s="287" t="s">
        <v>695</v>
      </c>
      <c r="D307" s="274" t="s">
        <v>3291</v>
      </c>
      <c r="E307" s="264"/>
      <c r="F307" s="274"/>
      <c r="G307" s="283"/>
      <c r="H307" s="266"/>
      <c r="I307" s="281"/>
      <c r="J307" s="281"/>
      <c r="K307" s="281"/>
      <c r="L307" s="316" t="s">
        <v>3292</v>
      </c>
      <c r="M307" s="284" t="s">
        <v>2962</v>
      </c>
      <c r="N307" s="269">
        <f t="shared" si="37"/>
        <v>0</v>
      </c>
      <c r="O307" s="270">
        <f t="shared" si="38"/>
        <v>0</v>
      </c>
      <c r="P307" s="271">
        <f t="shared" si="39"/>
        <v>0</v>
      </c>
      <c r="Q307" s="520"/>
      <c r="R307" s="354">
        <f>IF(ISERROR(VLOOKUP("SOC"&amp;$C307,ESTR_PREC_SP!$A$2:$G$2000,4,FALSE))=TRUE,0,VLOOKUP("SOC"&amp;$C307,ESTR_PREC_SP!$A$2:$G$2000,4,FALSE))</f>
        <v>0</v>
      </c>
      <c r="S307" s="521"/>
      <c r="V307" s="211"/>
      <c r="W307" s="651"/>
      <c r="X307" s="651"/>
      <c r="Y307" s="520"/>
      <c r="Z307" s="520"/>
      <c r="AA307" s="285"/>
    </row>
    <row r="308" spans="2:31" s="204" customFormat="1" x14ac:dyDescent="0.25">
      <c r="B308" s="287" t="s">
        <v>697</v>
      </c>
      <c r="C308" s="287" t="s">
        <v>698</v>
      </c>
      <c r="D308" s="274" t="s">
        <v>3293</v>
      </c>
      <c r="E308" s="264"/>
      <c r="F308" s="274"/>
      <c r="G308" s="283"/>
      <c r="H308" s="266"/>
      <c r="I308" s="281"/>
      <c r="J308" s="281"/>
      <c r="K308" s="281"/>
      <c r="L308" s="316" t="s">
        <v>3294</v>
      </c>
      <c r="M308" s="284" t="s">
        <v>2962</v>
      </c>
      <c r="N308" s="269">
        <f t="shared" si="37"/>
        <v>0</v>
      </c>
      <c r="O308" s="270">
        <f t="shared" si="38"/>
        <v>0</v>
      </c>
      <c r="P308" s="271">
        <f t="shared" si="39"/>
        <v>0</v>
      </c>
      <c r="Q308" s="520"/>
      <c r="R308" s="354">
        <f>IF(ISERROR(VLOOKUP("SOC"&amp;$C308,ESTR_PREC_SP!$A$2:$G$2000,4,FALSE))=TRUE,0,VLOOKUP("SOC"&amp;$C308,ESTR_PREC_SP!$A$2:$G$2000,4,FALSE))</f>
        <v>0</v>
      </c>
      <c r="S308" s="521"/>
      <c r="V308" s="211"/>
      <c r="W308" s="651"/>
      <c r="X308" s="651"/>
      <c r="Y308" s="520"/>
      <c r="Z308" s="520"/>
      <c r="AA308" s="285"/>
    </row>
    <row r="309" spans="2:31" s="204" customFormat="1" x14ac:dyDescent="0.25">
      <c r="B309" s="287" t="s">
        <v>700</v>
      </c>
      <c r="C309" s="287" t="s">
        <v>701</v>
      </c>
      <c r="D309" s="274" t="s">
        <v>3295</v>
      </c>
      <c r="E309" s="264"/>
      <c r="F309" s="274"/>
      <c r="G309" s="283"/>
      <c r="H309" s="266"/>
      <c r="I309" s="281"/>
      <c r="J309" s="281"/>
      <c r="K309" s="281"/>
      <c r="L309" s="295" t="s">
        <v>3296</v>
      </c>
      <c r="M309" s="284" t="s">
        <v>2962</v>
      </c>
      <c r="N309" s="269">
        <f t="shared" si="37"/>
        <v>0</v>
      </c>
      <c r="O309" s="270">
        <f t="shared" si="38"/>
        <v>0</v>
      </c>
      <c r="P309" s="271">
        <f t="shared" si="39"/>
        <v>0</v>
      </c>
      <c r="Q309" s="520"/>
      <c r="R309" s="354">
        <f>IF(ISERROR(VLOOKUP("SOC"&amp;$C309,ESTR_PREC_SP!$A$2:$G$2000,4,FALSE))=TRUE,0,VLOOKUP("SOC"&amp;$C309,ESTR_PREC_SP!$A$2:$G$2000,4,FALSE))</f>
        <v>0</v>
      </c>
      <c r="S309" s="521"/>
      <c r="V309" s="211"/>
      <c r="W309" s="651"/>
      <c r="X309" s="651"/>
      <c r="Y309" s="520"/>
      <c r="Z309" s="520"/>
      <c r="AA309" s="285"/>
    </row>
    <row r="310" spans="2:31" s="204" customFormat="1" x14ac:dyDescent="0.25">
      <c r="B310" s="287" t="s">
        <v>703</v>
      </c>
      <c r="C310" s="287" t="s">
        <v>704</v>
      </c>
      <c r="D310" s="274" t="s">
        <v>3297</v>
      </c>
      <c r="E310" s="264"/>
      <c r="F310" s="274"/>
      <c r="G310" s="283"/>
      <c r="H310" s="266"/>
      <c r="I310" s="281"/>
      <c r="J310" s="281"/>
      <c r="K310" s="281"/>
      <c r="L310" s="295" t="s">
        <v>3298</v>
      </c>
      <c r="M310" s="284" t="s">
        <v>2962</v>
      </c>
      <c r="N310" s="269">
        <f t="shared" si="37"/>
        <v>0</v>
      </c>
      <c r="O310" s="270">
        <f t="shared" si="38"/>
        <v>0</v>
      </c>
      <c r="P310" s="271">
        <f t="shared" si="39"/>
        <v>0</v>
      </c>
      <c r="Q310" s="520"/>
      <c r="R310" s="354">
        <f>IF(ISERROR(VLOOKUP("SOC"&amp;$C310,ESTR_PREC_SP!$A$2:$G$2000,4,FALSE))=TRUE,0,VLOOKUP("SOC"&amp;$C310,ESTR_PREC_SP!$A$2:$G$2000,4,FALSE))</f>
        <v>0</v>
      </c>
      <c r="S310" s="521"/>
      <c r="V310" s="211"/>
      <c r="W310" s="651"/>
      <c r="X310" s="651"/>
      <c r="Y310" s="520"/>
      <c r="Z310" s="520"/>
      <c r="AA310" s="285"/>
    </row>
    <row r="311" spans="2:31" s="204" customFormat="1" x14ac:dyDescent="0.25">
      <c r="B311" s="293"/>
      <c r="C311" s="293"/>
      <c r="D311" s="230"/>
      <c r="E311" s="230"/>
      <c r="F311" s="230"/>
      <c r="G311" s="230"/>
      <c r="H311" s="231"/>
      <c r="I311" s="230"/>
      <c r="J311" s="230"/>
      <c r="K311" s="230"/>
      <c r="L311" s="299"/>
      <c r="M311" s="317"/>
      <c r="N311" s="317"/>
      <c r="O311" s="317"/>
      <c r="P311" s="318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</row>
    <row r="312" spans="2:31" s="204" customFormat="1" ht="25.5" x14ac:dyDescent="0.25">
      <c r="B312" s="293"/>
      <c r="C312" s="293"/>
      <c r="D312" s="293"/>
      <c r="E312" s="293"/>
      <c r="F312" s="293"/>
      <c r="G312" s="293"/>
      <c r="H312" s="319"/>
      <c r="I312" s="293"/>
      <c r="J312" s="293"/>
      <c r="K312" s="293"/>
      <c r="L312" s="320"/>
      <c r="M312" s="244"/>
      <c r="N312" s="256" t="str">
        <f>N$15</f>
        <v>Valore netto al 31/12/2019</v>
      </c>
      <c r="O312" s="256" t="str">
        <f>O$15</f>
        <v>Valore netto al 31/12/2020</v>
      </c>
      <c r="P312" s="256" t="str">
        <f>P$15</f>
        <v>Variazione</v>
      </c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</row>
    <row r="313" spans="2:31" s="204" customFormat="1" x14ac:dyDescent="0.25">
      <c r="B313" s="292" t="s">
        <v>706</v>
      </c>
      <c r="C313" s="292" t="s">
        <v>707</v>
      </c>
      <c r="D313" s="247" t="s">
        <v>3299</v>
      </c>
      <c r="E313" s="247"/>
      <c r="F313" s="247"/>
      <c r="G313" s="247"/>
      <c r="H313" s="248"/>
      <c r="I313" s="247"/>
      <c r="J313" s="247"/>
      <c r="K313" s="249"/>
      <c r="L313" s="257" t="s">
        <v>709</v>
      </c>
      <c r="M313" s="251" t="s">
        <v>2962</v>
      </c>
      <c r="N313" s="252">
        <f>+N315-N327</f>
        <v>0</v>
      </c>
      <c r="O313" s="252">
        <f>+O315-O327</f>
        <v>0</v>
      </c>
      <c r="P313" s="253">
        <f>+O313-N313</f>
        <v>0</v>
      </c>
      <c r="Q313" s="285"/>
      <c r="R313" s="285"/>
      <c r="S313" s="285">
        <f>+S315-S327</f>
        <v>0</v>
      </c>
      <c r="T313" s="285"/>
      <c r="U313" s="285"/>
      <c r="V313" s="285"/>
      <c r="W313" s="211"/>
      <c r="X313" s="252">
        <f>+X315-X327</f>
        <v>0</v>
      </c>
      <c r="Y313" s="285"/>
      <c r="Z313" s="285"/>
      <c r="AA313" s="285"/>
    </row>
    <row r="314" spans="2:31" s="204" customFormat="1" x14ac:dyDescent="0.25">
      <c r="B314" s="293"/>
      <c r="C314" s="293"/>
      <c r="D314" s="230"/>
      <c r="E314" s="230"/>
      <c r="F314" s="230"/>
      <c r="G314" s="285"/>
      <c r="H314" s="321"/>
      <c r="I314" s="285"/>
      <c r="J314" s="285"/>
      <c r="K314" s="285"/>
      <c r="L314" s="322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</row>
    <row r="315" spans="2:31" s="204" customFormat="1" x14ac:dyDescent="0.25">
      <c r="B315" s="292" t="s">
        <v>710</v>
      </c>
      <c r="C315" s="292" t="s">
        <v>711</v>
      </c>
      <c r="D315" s="247" t="s">
        <v>3300</v>
      </c>
      <c r="E315" s="247"/>
      <c r="F315" s="247"/>
      <c r="G315" s="247"/>
      <c r="H315" s="248"/>
      <c r="I315" s="247"/>
      <c r="J315" s="247"/>
      <c r="K315" s="249"/>
      <c r="L315" s="276" t="s">
        <v>714</v>
      </c>
      <c r="M315" s="251" t="s">
        <v>2962</v>
      </c>
      <c r="N315" s="252">
        <f>SUM(N318:N325)</f>
        <v>0</v>
      </c>
      <c r="O315" s="252">
        <f>SUM(O318:O325)</f>
        <v>0</v>
      </c>
      <c r="P315" s="259">
        <f>+O315-N315</f>
        <v>0</v>
      </c>
      <c r="Q315" s="252">
        <f>SUM(Q318:Q325)</f>
        <v>0</v>
      </c>
      <c r="R315" s="252">
        <f>SUM(R318:R325)</f>
        <v>0</v>
      </c>
      <c r="S315" s="252">
        <f>SUM(S318:S325)</f>
        <v>0</v>
      </c>
      <c r="T315" s="252">
        <f>SUM(T318:T325)</f>
        <v>0</v>
      </c>
      <c r="U315" s="252">
        <f>SUM(U318:U325)</f>
        <v>0</v>
      </c>
      <c r="W315" s="252">
        <f t="shared" ref="W315:AE315" si="40">SUM(W318:W325)</f>
        <v>0</v>
      </c>
      <c r="X315" s="252">
        <f t="shared" si="40"/>
        <v>0</v>
      </c>
      <c r="Y315" s="252">
        <f t="shared" si="40"/>
        <v>0</v>
      </c>
      <c r="Z315" s="252">
        <f t="shared" si="40"/>
        <v>0</v>
      </c>
      <c r="AA315" s="252">
        <f t="shared" si="40"/>
        <v>0</v>
      </c>
      <c r="AB315" s="252">
        <f t="shared" si="40"/>
        <v>0</v>
      </c>
      <c r="AC315" s="252">
        <f t="shared" si="40"/>
        <v>0</v>
      </c>
      <c r="AD315" s="252">
        <f t="shared" si="40"/>
        <v>0</v>
      </c>
      <c r="AE315" s="252">
        <f t="shared" si="40"/>
        <v>0</v>
      </c>
    </row>
    <row r="316" spans="2:31" s="204" customFormat="1" x14ac:dyDescent="0.25">
      <c r="B316" s="293"/>
      <c r="C316" s="293"/>
      <c r="D316" s="230"/>
      <c r="E316" s="230"/>
      <c r="F316" s="230"/>
      <c r="G316" s="230"/>
      <c r="H316" s="231"/>
      <c r="I316" s="230"/>
      <c r="J316" s="230"/>
      <c r="K316" s="230"/>
      <c r="L316" s="277"/>
      <c r="M316" s="211"/>
      <c r="N316" s="254"/>
      <c r="O316" s="211"/>
      <c r="P316" s="211"/>
      <c r="Q316" s="211"/>
      <c r="R316" s="211"/>
      <c r="T316" s="211"/>
      <c r="U316" s="211"/>
      <c r="V316" s="211"/>
      <c r="W316" s="211"/>
      <c r="X316" s="211"/>
      <c r="Y316" s="211"/>
      <c r="Z316" s="211"/>
      <c r="AA316" s="211"/>
    </row>
    <row r="317" spans="2:31" s="204" customFormat="1" ht="89.25" x14ac:dyDescent="0.25">
      <c r="B317" s="294" t="s">
        <v>2968</v>
      </c>
      <c r="C317" s="294" t="s">
        <v>2969</v>
      </c>
      <c r="D317" s="206" t="s">
        <v>72</v>
      </c>
      <c r="E317" s="206"/>
      <c r="F317" s="206"/>
      <c r="G317" s="207"/>
      <c r="H317" s="207"/>
      <c r="I317" s="207"/>
      <c r="J317" s="207" t="s">
        <v>2957</v>
      </c>
      <c r="K317" s="206" t="s">
        <v>82</v>
      </c>
      <c r="L317" s="261" t="s">
        <v>2970</v>
      </c>
      <c r="M317" s="260"/>
      <c r="N317" s="256" t="str">
        <f>N$15</f>
        <v>Valore netto al 31/12/2019</v>
      </c>
      <c r="O317" s="256" t="str">
        <f>O$15</f>
        <v>Valore netto al 31/12/2020</v>
      </c>
      <c r="P317" s="256" t="str">
        <f>P$15</f>
        <v>Variazione</v>
      </c>
      <c r="Q317" s="262" t="s">
        <v>2971</v>
      </c>
      <c r="R317" s="262" t="str">
        <f>"Costo storico al 31/12/"&amp;Info!$B$3-1</f>
        <v>Costo storico al 31/12/2019</v>
      </c>
      <c r="S317" s="262" t="s">
        <v>2972</v>
      </c>
      <c r="T317" s="262" t="s">
        <v>2973</v>
      </c>
      <c r="U317" s="262" t="s">
        <v>2974</v>
      </c>
      <c r="W317" s="262" t="s">
        <v>4391</v>
      </c>
      <c r="X317" s="262" t="s">
        <v>2976</v>
      </c>
      <c r="Y317" s="262" t="s">
        <v>2977</v>
      </c>
      <c r="Z317" s="262" t="s">
        <v>2978</v>
      </c>
      <c r="AA317" s="262" t="s">
        <v>2979</v>
      </c>
      <c r="AB317" s="262" t="s">
        <v>2980</v>
      </c>
      <c r="AC317" s="262" t="s">
        <v>2981</v>
      </c>
      <c r="AD317" s="262" t="s">
        <v>2982</v>
      </c>
      <c r="AE317" s="262" t="s">
        <v>2983</v>
      </c>
    </row>
    <row r="318" spans="2:31" s="204" customFormat="1" x14ac:dyDescent="0.25">
      <c r="B318" s="287" t="s">
        <v>715</v>
      </c>
      <c r="C318" s="287" t="s">
        <v>716</v>
      </c>
      <c r="D318" s="274" t="s">
        <v>3301</v>
      </c>
      <c r="E318" s="264"/>
      <c r="F318" s="274"/>
      <c r="G318" s="274"/>
      <c r="H318" s="266"/>
      <c r="I318" s="281"/>
      <c r="J318" s="281"/>
      <c r="K318" s="281"/>
      <c r="L318" s="282" t="s">
        <v>3302</v>
      </c>
      <c r="M318" s="263" t="s">
        <v>2962</v>
      </c>
      <c r="N318" s="269">
        <f t="shared" ref="N318:N325" si="41">+R318+T318-U318</f>
        <v>0</v>
      </c>
      <c r="O318" s="270">
        <f t="shared" ref="O318:O325" si="42">+N318+S318+X318+ABS(Y318)-ABS(AA318)+ABS(Z318)+ABS(AB318)+ABS(AD318)-ABS(AE318)+AC318+W318+Q318</f>
        <v>0</v>
      </c>
      <c r="P318" s="271">
        <f t="shared" ref="P318:P325" si="43">+O318-N318</f>
        <v>0</v>
      </c>
      <c r="Q318" s="520"/>
      <c r="R318" s="354">
        <f>IF(ISERROR(VLOOKUP("SOC"&amp;$C318,ESTR_PREC_SP!$A$2:$G$2000,4,FALSE))=TRUE,0,VLOOKUP("SOC"&amp;$C318,ESTR_PREC_SP!$A$2:$G$2000,4,FALSE))</f>
        <v>0</v>
      </c>
      <c r="S318" s="521"/>
      <c r="T318" s="521"/>
      <c r="U318" s="521"/>
      <c r="W318" s="520"/>
      <c r="X318" s="520"/>
      <c r="Y318" s="520"/>
      <c r="Z318" s="520"/>
      <c r="AA318" s="520"/>
      <c r="AB318" s="520"/>
      <c r="AC318" s="520"/>
      <c r="AD318" s="520"/>
      <c r="AE318" s="520"/>
    </row>
    <row r="319" spans="2:31" s="204" customFormat="1" x14ac:dyDescent="0.25">
      <c r="B319" s="287" t="s">
        <v>718</v>
      </c>
      <c r="C319" s="287" t="s">
        <v>719</v>
      </c>
      <c r="D319" s="274" t="s">
        <v>3303</v>
      </c>
      <c r="E319" s="264"/>
      <c r="F319" s="274"/>
      <c r="G319" s="274"/>
      <c r="H319" s="266"/>
      <c r="I319" s="281"/>
      <c r="J319" s="281"/>
      <c r="K319" s="281"/>
      <c r="L319" s="282" t="s">
        <v>3304</v>
      </c>
      <c r="M319" s="263" t="s">
        <v>2962</v>
      </c>
      <c r="N319" s="269">
        <f t="shared" si="41"/>
        <v>0</v>
      </c>
      <c r="O319" s="270">
        <f t="shared" si="42"/>
        <v>0</v>
      </c>
      <c r="P319" s="271">
        <f t="shared" si="43"/>
        <v>0</v>
      </c>
      <c r="Q319" s="520"/>
      <c r="R319" s="354">
        <f>IF(ISERROR(VLOOKUP("SOC"&amp;$C319,ESTR_PREC_SP!$A$2:$G$2000,4,FALSE))=TRUE,0,VLOOKUP("SOC"&amp;$C319,ESTR_PREC_SP!$A$2:$G$2000,4,FALSE))</f>
        <v>0</v>
      </c>
      <c r="S319" s="521"/>
      <c r="T319" s="521"/>
      <c r="U319" s="521"/>
      <c r="W319" s="520"/>
      <c r="X319" s="520"/>
      <c r="Y319" s="520"/>
      <c r="Z319" s="520"/>
      <c r="AA319" s="520"/>
      <c r="AB319" s="520"/>
      <c r="AC319" s="520"/>
      <c r="AD319" s="520"/>
      <c r="AE319" s="520"/>
    </row>
    <row r="320" spans="2:31" s="204" customFormat="1" x14ac:dyDescent="0.25">
      <c r="B320" s="287" t="s">
        <v>721</v>
      </c>
      <c r="C320" s="287" t="s">
        <v>722</v>
      </c>
      <c r="D320" s="274" t="s">
        <v>3305</v>
      </c>
      <c r="E320" s="264"/>
      <c r="F320" s="274"/>
      <c r="G320" s="274"/>
      <c r="H320" s="266"/>
      <c r="I320" s="281"/>
      <c r="J320" s="281"/>
      <c r="K320" s="281"/>
      <c r="L320" s="295" t="s">
        <v>3306</v>
      </c>
      <c r="M320" s="284" t="s">
        <v>2962</v>
      </c>
      <c r="N320" s="269">
        <f t="shared" si="41"/>
        <v>0</v>
      </c>
      <c r="O320" s="270">
        <f t="shared" si="42"/>
        <v>0</v>
      </c>
      <c r="P320" s="271">
        <f t="shared" si="43"/>
        <v>0</v>
      </c>
      <c r="Q320" s="520"/>
      <c r="R320" s="354">
        <f>IF(ISERROR(VLOOKUP("SOC"&amp;$C320,ESTR_PREC_SP!$A$2:$G$2000,4,FALSE))=TRUE,0,VLOOKUP("SOC"&amp;$C320,ESTR_PREC_SP!$A$2:$G$2000,4,FALSE))</f>
        <v>0</v>
      </c>
      <c r="S320" s="521"/>
      <c r="T320" s="521"/>
      <c r="U320" s="521"/>
      <c r="W320" s="520"/>
      <c r="X320" s="520"/>
      <c r="Y320" s="520"/>
      <c r="Z320" s="520"/>
      <c r="AA320" s="520"/>
      <c r="AB320" s="520"/>
      <c r="AC320" s="520"/>
      <c r="AD320" s="520"/>
      <c r="AE320" s="520"/>
    </row>
    <row r="321" spans="2:31" s="204" customFormat="1" x14ac:dyDescent="0.25">
      <c r="B321" s="287" t="s">
        <v>724</v>
      </c>
      <c r="C321" s="287" t="s">
        <v>725</v>
      </c>
      <c r="D321" s="274" t="s">
        <v>3307</v>
      </c>
      <c r="E321" s="264"/>
      <c r="F321" s="274"/>
      <c r="G321" s="274"/>
      <c r="H321" s="266"/>
      <c r="I321" s="281"/>
      <c r="J321" s="281"/>
      <c r="K321" s="281"/>
      <c r="L321" s="295" t="s">
        <v>3308</v>
      </c>
      <c r="M321" s="284" t="s">
        <v>2962</v>
      </c>
      <c r="N321" s="269">
        <f t="shared" si="41"/>
        <v>0</v>
      </c>
      <c r="O321" s="270">
        <f t="shared" si="42"/>
        <v>0</v>
      </c>
      <c r="P321" s="271">
        <f t="shared" si="43"/>
        <v>0</v>
      </c>
      <c r="Q321" s="520"/>
      <c r="R321" s="354">
        <f>IF(ISERROR(VLOOKUP("SOC"&amp;$C321,ESTR_PREC_SP!$A$2:$G$2000,4,FALSE))=TRUE,0,VLOOKUP("SOC"&amp;$C321,ESTR_PREC_SP!$A$2:$G$2000,4,FALSE))</f>
        <v>0</v>
      </c>
      <c r="S321" s="521"/>
      <c r="T321" s="521"/>
      <c r="U321" s="521"/>
      <c r="W321" s="520"/>
      <c r="X321" s="520"/>
      <c r="Y321" s="520"/>
      <c r="Z321" s="520"/>
      <c r="AA321" s="520"/>
      <c r="AB321" s="520"/>
      <c r="AC321" s="520"/>
      <c r="AD321" s="520"/>
      <c r="AE321" s="520"/>
    </row>
    <row r="322" spans="2:31" s="204" customFormat="1" x14ac:dyDescent="0.25">
      <c r="B322" s="287" t="s">
        <v>727</v>
      </c>
      <c r="C322" s="287" t="s">
        <v>728</v>
      </c>
      <c r="D322" s="274" t="s">
        <v>3309</v>
      </c>
      <c r="E322" s="264"/>
      <c r="F322" s="274"/>
      <c r="G322" s="274"/>
      <c r="H322" s="266"/>
      <c r="I322" s="281"/>
      <c r="J322" s="281"/>
      <c r="K322" s="281"/>
      <c r="L322" s="295" t="s">
        <v>3310</v>
      </c>
      <c r="M322" s="284" t="s">
        <v>2962</v>
      </c>
      <c r="N322" s="269">
        <f t="shared" si="41"/>
        <v>0</v>
      </c>
      <c r="O322" s="270">
        <f t="shared" si="42"/>
        <v>0</v>
      </c>
      <c r="P322" s="271">
        <f t="shared" si="43"/>
        <v>0</v>
      </c>
      <c r="Q322" s="520"/>
      <c r="R322" s="354">
        <f>IF(ISERROR(VLOOKUP("SOC"&amp;$C322,ESTR_PREC_SP!$A$2:$G$2000,4,FALSE))=TRUE,0,VLOOKUP("SOC"&amp;$C322,ESTR_PREC_SP!$A$2:$G$2000,4,FALSE))</f>
        <v>0</v>
      </c>
      <c r="S322" s="521"/>
      <c r="T322" s="521"/>
      <c r="U322" s="521"/>
      <c r="W322" s="520"/>
      <c r="X322" s="520"/>
      <c r="Y322" s="520"/>
      <c r="Z322" s="520"/>
      <c r="AA322" s="520"/>
      <c r="AB322" s="520"/>
      <c r="AC322" s="520"/>
      <c r="AD322" s="520"/>
      <c r="AE322" s="520"/>
    </row>
    <row r="323" spans="2:31" s="204" customFormat="1" x14ac:dyDescent="0.25">
      <c r="B323" s="287" t="s">
        <v>730</v>
      </c>
      <c r="C323" s="287" t="s">
        <v>731</v>
      </c>
      <c r="D323" s="274" t="s">
        <v>3311</v>
      </c>
      <c r="E323" s="264"/>
      <c r="F323" s="274"/>
      <c r="G323" s="274"/>
      <c r="H323" s="266"/>
      <c r="I323" s="281"/>
      <c r="J323" s="281"/>
      <c r="K323" s="281"/>
      <c r="L323" s="295" t="s">
        <v>3312</v>
      </c>
      <c r="M323" s="284" t="s">
        <v>2962</v>
      </c>
      <c r="N323" s="269">
        <f t="shared" si="41"/>
        <v>0</v>
      </c>
      <c r="O323" s="270">
        <f t="shared" si="42"/>
        <v>0</v>
      </c>
      <c r="P323" s="271">
        <f t="shared" si="43"/>
        <v>0</v>
      </c>
      <c r="Q323" s="520"/>
      <c r="R323" s="354">
        <f>IF(ISERROR(VLOOKUP("SOC"&amp;$C323,ESTR_PREC_SP!$A$2:$G$2000,4,FALSE))=TRUE,0,VLOOKUP("SOC"&amp;$C323,ESTR_PREC_SP!$A$2:$G$2000,4,FALSE))</f>
        <v>0</v>
      </c>
      <c r="S323" s="521"/>
      <c r="T323" s="521"/>
      <c r="U323" s="521"/>
      <c r="W323" s="520"/>
      <c r="X323" s="520"/>
      <c r="Y323" s="520"/>
      <c r="Z323" s="520"/>
      <c r="AA323" s="520"/>
      <c r="AB323" s="520"/>
      <c r="AC323" s="520"/>
      <c r="AD323" s="520"/>
      <c r="AE323" s="520"/>
    </row>
    <row r="324" spans="2:31" s="204" customFormat="1" x14ac:dyDescent="0.25">
      <c r="B324" s="287" t="s">
        <v>733</v>
      </c>
      <c r="C324" s="287" t="s">
        <v>734</v>
      </c>
      <c r="D324" s="274" t="s">
        <v>3313</v>
      </c>
      <c r="E324" s="264"/>
      <c r="F324" s="274"/>
      <c r="G324" s="274"/>
      <c r="H324" s="266"/>
      <c r="I324" s="281"/>
      <c r="J324" s="281"/>
      <c r="K324" s="281"/>
      <c r="L324" s="295" t="s">
        <v>3314</v>
      </c>
      <c r="M324" s="284" t="s">
        <v>2962</v>
      </c>
      <c r="N324" s="269">
        <f t="shared" si="41"/>
        <v>0</v>
      </c>
      <c r="O324" s="270">
        <f t="shared" si="42"/>
        <v>0</v>
      </c>
      <c r="P324" s="271">
        <f t="shared" si="43"/>
        <v>0</v>
      </c>
      <c r="Q324" s="520"/>
      <c r="R324" s="354">
        <f>IF(ISERROR(VLOOKUP("SOC"&amp;$C324,ESTR_PREC_SP!$A$2:$G$2000,4,FALSE))=TRUE,0,VLOOKUP("SOC"&amp;$C324,ESTR_PREC_SP!$A$2:$G$2000,4,FALSE))</f>
        <v>0</v>
      </c>
      <c r="S324" s="521"/>
      <c r="T324" s="521"/>
      <c r="U324" s="521"/>
      <c r="W324" s="520"/>
      <c r="X324" s="520"/>
      <c r="Y324" s="520"/>
      <c r="Z324" s="520"/>
      <c r="AA324" s="520"/>
      <c r="AB324" s="520"/>
      <c r="AC324" s="520"/>
      <c r="AD324" s="520"/>
      <c r="AE324" s="520"/>
    </row>
    <row r="325" spans="2:31" s="204" customFormat="1" x14ac:dyDescent="0.25">
      <c r="B325" s="287" t="s">
        <v>736</v>
      </c>
      <c r="C325" s="287" t="s">
        <v>737</v>
      </c>
      <c r="D325" s="274" t="s">
        <v>3315</v>
      </c>
      <c r="E325" s="264"/>
      <c r="F325" s="274"/>
      <c r="G325" s="274"/>
      <c r="H325" s="266"/>
      <c r="I325" s="281"/>
      <c r="J325" s="281"/>
      <c r="K325" s="281"/>
      <c r="L325" s="295" t="s">
        <v>3316</v>
      </c>
      <c r="M325" s="284" t="s">
        <v>2962</v>
      </c>
      <c r="N325" s="269">
        <f t="shared" si="41"/>
        <v>0</v>
      </c>
      <c r="O325" s="270">
        <f t="shared" si="42"/>
        <v>0</v>
      </c>
      <c r="P325" s="271">
        <f t="shared" si="43"/>
        <v>0</v>
      </c>
      <c r="Q325" s="520"/>
      <c r="R325" s="354">
        <f>IF(ISERROR(VLOOKUP("SOC"&amp;$C325,ESTR_PREC_SP!$A$2:$G$2000,4,FALSE))=TRUE,0,VLOOKUP("SOC"&amp;$C325,ESTR_PREC_SP!$A$2:$G$2000,4,FALSE))</f>
        <v>0</v>
      </c>
      <c r="S325" s="521"/>
      <c r="T325" s="521"/>
      <c r="U325" s="521"/>
      <c r="W325" s="520"/>
      <c r="X325" s="520"/>
      <c r="Y325" s="520"/>
      <c r="Z325" s="520"/>
      <c r="AA325" s="520"/>
      <c r="AB325" s="520"/>
      <c r="AC325" s="520"/>
      <c r="AD325" s="520"/>
      <c r="AE325" s="520"/>
    </row>
    <row r="326" spans="2:31" s="204" customFormat="1" x14ac:dyDescent="0.25">
      <c r="B326" s="293"/>
      <c r="C326" s="293"/>
      <c r="D326" s="293"/>
      <c r="E326" s="293"/>
      <c r="F326" s="293"/>
      <c r="G326" s="293"/>
      <c r="H326" s="319"/>
      <c r="I326" s="293"/>
      <c r="J326" s="293"/>
      <c r="K326" s="293"/>
      <c r="L326" s="323"/>
      <c r="M326" s="216"/>
      <c r="N326" s="285"/>
      <c r="O326" s="285"/>
      <c r="P326" s="285"/>
      <c r="Q326" s="211"/>
      <c r="R326" s="211"/>
      <c r="S326" s="211"/>
      <c r="T326" s="285"/>
      <c r="U326" s="285"/>
      <c r="V326" s="285"/>
      <c r="W326" s="285"/>
      <c r="X326" s="285"/>
      <c r="Y326" s="285"/>
      <c r="Z326" s="285"/>
      <c r="AA326" s="285"/>
    </row>
    <row r="327" spans="2:31" s="204" customFormat="1" x14ac:dyDescent="0.25">
      <c r="B327" s="292" t="s">
        <v>739</v>
      </c>
      <c r="C327" s="292" t="s">
        <v>740</v>
      </c>
      <c r="D327" s="247" t="s">
        <v>3317</v>
      </c>
      <c r="E327" s="247"/>
      <c r="F327" s="247"/>
      <c r="G327" s="247"/>
      <c r="H327" s="248"/>
      <c r="I327" s="247"/>
      <c r="J327" s="247"/>
      <c r="K327" s="249"/>
      <c r="L327" s="276" t="s">
        <v>743</v>
      </c>
      <c r="M327" s="251" t="s">
        <v>2962</v>
      </c>
      <c r="N327" s="252">
        <f>SUM(N330:N337)</f>
        <v>0</v>
      </c>
      <c r="O327" s="252">
        <f>SUM(O330:O337)</f>
        <v>0</v>
      </c>
      <c r="P327" s="259">
        <f>+O327-N327</f>
        <v>0</v>
      </c>
      <c r="Q327" s="252">
        <f>SUM(Q330:Q337)</f>
        <v>0</v>
      </c>
      <c r="R327" s="252">
        <f>SUM(R330:R337)</f>
        <v>0</v>
      </c>
      <c r="S327" s="252">
        <f>SUM(T330:T337)</f>
        <v>0</v>
      </c>
      <c r="W327" s="252">
        <f>SUM(W330:W337)</f>
        <v>0</v>
      </c>
      <c r="X327" s="252">
        <f>SUM(X330:X337)</f>
        <v>0</v>
      </c>
      <c r="Y327" s="252">
        <f>SUM(Y330:Y337)</f>
        <v>0</v>
      </c>
      <c r="Z327" s="252">
        <f>SUM(Z330:Z337)</f>
        <v>0</v>
      </c>
      <c r="AA327" s="285"/>
    </row>
    <row r="328" spans="2:31" s="204" customFormat="1" x14ac:dyDescent="0.25">
      <c r="B328" s="293"/>
      <c r="C328" s="293"/>
      <c r="D328" s="230"/>
      <c r="E328" s="230"/>
      <c r="F328" s="230"/>
      <c r="G328" s="230"/>
      <c r="H328" s="231"/>
      <c r="I328" s="230"/>
      <c r="J328" s="230"/>
      <c r="K328" s="230"/>
      <c r="L328" s="277"/>
      <c r="M328" s="211"/>
      <c r="N328" s="254"/>
      <c r="O328" s="211"/>
      <c r="P328" s="211"/>
      <c r="Q328" s="211"/>
      <c r="R328" s="211"/>
      <c r="W328" s="285"/>
      <c r="X328" s="285"/>
      <c r="Y328" s="285"/>
      <c r="Z328" s="285"/>
      <c r="AA328" s="285"/>
    </row>
    <row r="329" spans="2:31" s="204" customFormat="1" ht="89.25" x14ac:dyDescent="0.25">
      <c r="B329" s="294" t="s">
        <v>2968</v>
      </c>
      <c r="C329" s="294" t="s">
        <v>2969</v>
      </c>
      <c r="D329" s="206" t="s">
        <v>72</v>
      </c>
      <c r="E329" s="206"/>
      <c r="F329" s="206"/>
      <c r="G329" s="207"/>
      <c r="H329" s="207"/>
      <c r="I329" s="207"/>
      <c r="J329" s="207" t="s">
        <v>2957</v>
      </c>
      <c r="K329" s="206" t="s">
        <v>82</v>
      </c>
      <c r="L329" s="261" t="s">
        <v>2970</v>
      </c>
      <c r="M329" s="260"/>
      <c r="N329" s="256" t="str">
        <f>N$15</f>
        <v>Valore netto al 31/12/2019</v>
      </c>
      <c r="O329" s="256" t="str">
        <f>O$15</f>
        <v>Valore netto al 31/12/2020</v>
      </c>
      <c r="P329" s="256" t="str">
        <f>P$15</f>
        <v>Variazione</v>
      </c>
      <c r="Q329" s="262" t="s">
        <v>2971</v>
      </c>
      <c r="R329" s="262" t="str">
        <f>"Fondo ammortamento 31/12/"&amp;Info!$B$3-1</f>
        <v>Fondo ammortamento 31/12/2019</v>
      </c>
      <c r="S329" s="262" t="s">
        <v>2972</v>
      </c>
      <c r="W329" s="262" t="s">
        <v>4391</v>
      </c>
      <c r="X329" s="262" t="s">
        <v>2976</v>
      </c>
      <c r="Y329" s="262" t="s">
        <v>2989</v>
      </c>
      <c r="Z329" s="262" t="s">
        <v>2990</v>
      </c>
      <c r="AA329" s="285"/>
    </row>
    <row r="330" spans="2:31" s="204" customFormat="1" x14ac:dyDescent="0.25">
      <c r="B330" s="287" t="s">
        <v>744</v>
      </c>
      <c r="C330" s="287" t="s">
        <v>745</v>
      </c>
      <c r="D330" s="274" t="s">
        <v>3318</v>
      </c>
      <c r="E330" s="264"/>
      <c r="F330" s="274"/>
      <c r="G330" s="274"/>
      <c r="H330" s="266"/>
      <c r="I330" s="281"/>
      <c r="J330" s="281"/>
      <c r="K330" s="281"/>
      <c r="L330" s="282" t="s">
        <v>3319</v>
      </c>
      <c r="M330" s="263" t="s">
        <v>2962</v>
      </c>
      <c r="N330" s="269">
        <f t="shared" ref="N330:N337" si="44">+R330</f>
        <v>0</v>
      </c>
      <c r="O330" s="270">
        <f t="shared" ref="O330:O337" si="45">+R330+S330+X330-ABS(Y330)+ABS(Z330)+W330+Q330</f>
        <v>0</v>
      </c>
      <c r="P330" s="271">
        <f t="shared" ref="P330:P337" si="46">+O330-N330</f>
        <v>0</v>
      </c>
      <c r="Q330" s="520"/>
      <c r="R330" s="354">
        <f>IF(ISERROR(VLOOKUP("SOC"&amp;$C330,ESTR_PREC_SP!$A$2:$G$2000,4,FALSE))=TRUE,0,VLOOKUP("SOC"&amp;$C330,ESTR_PREC_SP!$A$2:$G$2000,4,FALSE))</f>
        <v>0</v>
      </c>
      <c r="S330" s="521"/>
      <c r="V330" s="211"/>
      <c r="W330" s="520"/>
      <c r="X330" s="520"/>
      <c r="Y330" s="520"/>
      <c r="Z330" s="520"/>
      <c r="AA330" s="285"/>
    </row>
    <row r="331" spans="2:31" s="204" customFormat="1" x14ac:dyDescent="0.25">
      <c r="B331" s="287" t="s">
        <v>747</v>
      </c>
      <c r="C331" s="287" t="s">
        <v>748</v>
      </c>
      <c r="D331" s="274" t="s">
        <v>3320</v>
      </c>
      <c r="E331" s="264"/>
      <c r="F331" s="274"/>
      <c r="G331" s="274"/>
      <c r="H331" s="266"/>
      <c r="I331" s="281"/>
      <c r="J331" s="281"/>
      <c r="K331" s="281"/>
      <c r="L331" s="282" t="s">
        <v>3321</v>
      </c>
      <c r="M331" s="263" t="s">
        <v>2962</v>
      </c>
      <c r="N331" s="269">
        <f t="shared" si="44"/>
        <v>0</v>
      </c>
      <c r="O331" s="270">
        <f t="shared" si="45"/>
        <v>0</v>
      </c>
      <c r="P331" s="271">
        <f t="shared" si="46"/>
        <v>0</v>
      </c>
      <c r="Q331" s="520"/>
      <c r="R331" s="354">
        <f>IF(ISERROR(VLOOKUP("SOC"&amp;$C331,ESTR_PREC_SP!$A$2:$G$2000,4,FALSE))=TRUE,0,VLOOKUP("SOC"&amp;$C331,ESTR_PREC_SP!$A$2:$G$2000,4,FALSE))</f>
        <v>0</v>
      </c>
      <c r="S331" s="521"/>
      <c r="V331" s="211"/>
      <c r="W331" s="520"/>
      <c r="X331" s="520"/>
      <c r="Y331" s="520"/>
      <c r="Z331" s="520"/>
      <c r="AA331" s="285"/>
    </row>
    <row r="332" spans="2:31" s="204" customFormat="1" x14ac:dyDescent="0.25">
      <c r="B332" s="287" t="s">
        <v>750</v>
      </c>
      <c r="C332" s="287" t="s">
        <v>751</v>
      </c>
      <c r="D332" s="274" t="s">
        <v>3322</v>
      </c>
      <c r="E332" s="264"/>
      <c r="F332" s="274"/>
      <c r="G332" s="274"/>
      <c r="H332" s="266"/>
      <c r="I332" s="281"/>
      <c r="J332" s="281"/>
      <c r="K332" s="281"/>
      <c r="L332" s="295" t="s">
        <v>3323</v>
      </c>
      <c r="M332" s="284" t="s">
        <v>2962</v>
      </c>
      <c r="N332" s="269">
        <f t="shared" si="44"/>
        <v>0</v>
      </c>
      <c r="O332" s="270">
        <f t="shared" si="45"/>
        <v>0</v>
      </c>
      <c r="P332" s="271">
        <f t="shared" si="46"/>
        <v>0</v>
      </c>
      <c r="Q332" s="520"/>
      <c r="R332" s="354">
        <f>IF(ISERROR(VLOOKUP("SOC"&amp;$C332,ESTR_PREC_SP!$A$2:$G$2000,4,FALSE))=TRUE,0,VLOOKUP("SOC"&amp;$C332,ESTR_PREC_SP!$A$2:$G$2000,4,FALSE))</f>
        <v>0</v>
      </c>
      <c r="S332" s="521"/>
      <c r="V332" s="211"/>
      <c r="W332" s="520"/>
      <c r="X332" s="520"/>
      <c r="Y332" s="520"/>
      <c r="Z332" s="520"/>
      <c r="AA332" s="285"/>
    </row>
    <row r="333" spans="2:31" s="204" customFormat="1" x14ac:dyDescent="0.25">
      <c r="B333" s="287" t="s">
        <v>753</v>
      </c>
      <c r="C333" s="287" t="s">
        <v>754</v>
      </c>
      <c r="D333" s="274" t="s">
        <v>3324</v>
      </c>
      <c r="E333" s="264"/>
      <c r="F333" s="274"/>
      <c r="G333" s="274"/>
      <c r="H333" s="266"/>
      <c r="I333" s="281"/>
      <c r="J333" s="281"/>
      <c r="K333" s="281"/>
      <c r="L333" s="295" t="s">
        <v>3325</v>
      </c>
      <c r="M333" s="284" t="s">
        <v>2962</v>
      </c>
      <c r="N333" s="269">
        <f t="shared" si="44"/>
        <v>0</v>
      </c>
      <c r="O333" s="270">
        <f t="shared" si="45"/>
        <v>0</v>
      </c>
      <c r="P333" s="271">
        <f t="shared" si="46"/>
        <v>0</v>
      </c>
      <c r="Q333" s="520"/>
      <c r="R333" s="354">
        <f>IF(ISERROR(VLOOKUP("SOC"&amp;$C333,ESTR_PREC_SP!$A$2:$G$2000,4,FALSE))=TRUE,0,VLOOKUP("SOC"&amp;$C333,ESTR_PREC_SP!$A$2:$G$2000,4,FALSE))</f>
        <v>0</v>
      </c>
      <c r="S333" s="521"/>
      <c r="V333" s="211"/>
      <c r="W333" s="520"/>
      <c r="X333" s="520"/>
      <c r="Y333" s="520"/>
      <c r="Z333" s="520"/>
      <c r="AA333" s="285"/>
    </row>
    <row r="334" spans="2:31" s="204" customFormat="1" x14ac:dyDescent="0.25">
      <c r="B334" s="287" t="s">
        <v>756</v>
      </c>
      <c r="C334" s="287" t="s">
        <v>757</v>
      </c>
      <c r="D334" s="274" t="s">
        <v>3326</v>
      </c>
      <c r="E334" s="264"/>
      <c r="F334" s="274"/>
      <c r="G334" s="274"/>
      <c r="H334" s="266"/>
      <c r="I334" s="281"/>
      <c r="J334" s="281"/>
      <c r="K334" s="281"/>
      <c r="L334" s="295" t="s">
        <v>3327</v>
      </c>
      <c r="M334" s="284" t="s">
        <v>2962</v>
      </c>
      <c r="N334" s="269">
        <f t="shared" si="44"/>
        <v>0</v>
      </c>
      <c r="O334" s="270">
        <f t="shared" si="45"/>
        <v>0</v>
      </c>
      <c r="P334" s="271">
        <f t="shared" si="46"/>
        <v>0</v>
      </c>
      <c r="Q334" s="520"/>
      <c r="R334" s="354">
        <f>IF(ISERROR(VLOOKUP("SOC"&amp;$C334,ESTR_PREC_SP!$A$2:$G$2000,4,FALSE))=TRUE,0,VLOOKUP("SOC"&amp;$C334,ESTR_PREC_SP!$A$2:$G$2000,4,FALSE))</f>
        <v>0</v>
      </c>
      <c r="S334" s="521"/>
      <c r="V334" s="211"/>
      <c r="W334" s="520"/>
      <c r="X334" s="520"/>
      <c r="Y334" s="520"/>
      <c r="Z334" s="520"/>
      <c r="AA334" s="285"/>
    </row>
    <row r="335" spans="2:31" s="204" customFormat="1" x14ac:dyDescent="0.25">
      <c r="B335" s="287" t="s">
        <v>759</v>
      </c>
      <c r="C335" s="287" t="s">
        <v>760</v>
      </c>
      <c r="D335" s="274" t="s">
        <v>3328</v>
      </c>
      <c r="E335" s="264"/>
      <c r="F335" s="274"/>
      <c r="G335" s="274"/>
      <c r="H335" s="266"/>
      <c r="I335" s="281"/>
      <c r="J335" s="281"/>
      <c r="K335" s="281"/>
      <c r="L335" s="295" t="s">
        <v>3329</v>
      </c>
      <c r="M335" s="284" t="s">
        <v>2962</v>
      </c>
      <c r="N335" s="269">
        <f t="shared" si="44"/>
        <v>0</v>
      </c>
      <c r="O335" s="270">
        <f t="shared" si="45"/>
        <v>0</v>
      </c>
      <c r="P335" s="271">
        <f t="shared" si="46"/>
        <v>0</v>
      </c>
      <c r="Q335" s="520"/>
      <c r="R335" s="354">
        <f>IF(ISERROR(VLOOKUP("SOC"&amp;$C335,ESTR_PREC_SP!$A$2:$G$2000,4,FALSE))=TRUE,0,VLOOKUP("SOC"&amp;$C335,ESTR_PREC_SP!$A$2:$G$2000,4,FALSE))</f>
        <v>0</v>
      </c>
      <c r="S335" s="521"/>
      <c r="V335" s="211"/>
      <c r="W335" s="520"/>
      <c r="X335" s="520"/>
      <c r="Y335" s="520"/>
      <c r="Z335" s="520"/>
      <c r="AA335" s="285"/>
    </row>
    <row r="336" spans="2:31" s="204" customFormat="1" x14ac:dyDescent="0.25">
      <c r="B336" s="287" t="s">
        <v>762</v>
      </c>
      <c r="C336" s="287" t="s">
        <v>763</v>
      </c>
      <c r="D336" s="274" t="s">
        <v>3330</v>
      </c>
      <c r="E336" s="264"/>
      <c r="F336" s="274"/>
      <c r="G336" s="274"/>
      <c r="H336" s="266"/>
      <c r="I336" s="281"/>
      <c r="J336" s="281"/>
      <c r="K336" s="281"/>
      <c r="L336" s="295" t="s">
        <v>3331</v>
      </c>
      <c r="M336" s="284" t="s">
        <v>2962</v>
      </c>
      <c r="N336" s="269">
        <f t="shared" si="44"/>
        <v>0</v>
      </c>
      <c r="O336" s="270">
        <f t="shared" si="45"/>
        <v>0</v>
      </c>
      <c r="P336" s="271">
        <f t="shared" si="46"/>
        <v>0</v>
      </c>
      <c r="Q336" s="520"/>
      <c r="R336" s="354">
        <f>IF(ISERROR(VLOOKUP("SOC"&amp;$C336,ESTR_PREC_SP!$A$2:$G$2000,4,FALSE))=TRUE,0,VLOOKUP("SOC"&amp;$C336,ESTR_PREC_SP!$A$2:$G$2000,4,FALSE))</f>
        <v>0</v>
      </c>
      <c r="S336" s="521"/>
      <c r="V336" s="211"/>
      <c r="W336" s="520"/>
      <c r="X336" s="520"/>
      <c r="Y336" s="520"/>
      <c r="Z336" s="520"/>
      <c r="AA336" s="285"/>
    </row>
    <row r="337" spans="2:31" s="204" customFormat="1" x14ac:dyDescent="0.25">
      <c r="B337" s="287" t="s">
        <v>765</v>
      </c>
      <c r="C337" s="287" t="s">
        <v>766</v>
      </c>
      <c r="D337" s="274" t="s">
        <v>3332</v>
      </c>
      <c r="E337" s="264"/>
      <c r="F337" s="274"/>
      <c r="G337" s="274"/>
      <c r="H337" s="266"/>
      <c r="I337" s="281"/>
      <c r="J337" s="281"/>
      <c r="K337" s="281"/>
      <c r="L337" s="295" t="s">
        <v>3333</v>
      </c>
      <c r="M337" s="284" t="s">
        <v>2962</v>
      </c>
      <c r="N337" s="269">
        <f t="shared" si="44"/>
        <v>0</v>
      </c>
      <c r="O337" s="270">
        <f t="shared" si="45"/>
        <v>0</v>
      </c>
      <c r="P337" s="271">
        <f t="shared" si="46"/>
        <v>0</v>
      </c>
      <c r="Q337" s="520"/>
      <c r="R337" s="354">
        <f>IF(ISERROR(VLOOKUP("SOC"&amp;$C337,ESTR_PREC_SP!$A$2:$G$2000,4,FALSE))=TRUE,0,VLOOKUP("SOC"&amp;$C337,ESTR_PREC_SP!$A$2:$G$2000,4,FALSE))</f>
        <v>0</v>
      </c>
      <c r="S337" s="521"/>
      <c r="V337" s="211"/>
      <c r="W337" s="520"/>
      <c r="X337" s="520"/>
      <c r="Y337" s="520"/>
      <c r="Z337" s="520"/>
      <c r="AA337" s="285"/>
    </row>
    <row r="338" spans="2:31" s="204" customFormat="1" x14ac:dyDescent="0.25">
      <c r="B338" s="293"/>
      <c r="C338" s="293"/>
      <c r="D338" s="230"/>
      <c r="E338" s="230"/>
      <c r="F338" s="230"/>
      <c r="G338" s="230"/>
      <c r="H338" s="231"/>
      <c r="I338" s="230"/>
      <c r="J338" s="230"/>
      <c r="K338" s="230"/>
      <c r="L338" s="275"/>
      <c r="M338" s="216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</row>
    <row r="339" spans="2:31" s="204" customFormat="1" ht="25.5" x14ac:dyDescent="0.25">
      <c r="B339" s="293"/>
      <c r="C339" s="293"/>
      <c r="D339" s="230"/>
      <c r="E339" s="230"/>
      <c r="F339" s="230"/>
      <c r="G339" s="230"/>
      <c r="H339" s="231"/>
      <c r="I339" s="230"/>
      <c r="J339" s="230"/>
      <c r="K339" s="230"/>
      <c r="L339" s="255"/>
      <c r="M339" s="244"/>
      <c r="N339" s="256" t="str">
        <f>N$15</f>
        <v>Valore netto al 31/12/2019</v>
      </c>
      <c r="O339" s="256" t="str">
        <f>O$15</f>
        <v>Valore netto al 31/12/2020</v>
      </c>
      <c r="P339" s="256" t="str">
        <f>P$15</f>
        <v>Variazione</v>
      </c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</row>
    <row r="340" spans="2:31" s="204" customFormat="1" x14ac:dyDescent="0.25">
      <c r="B340" s="292" t="s">
        <v>768</v>
      </c>
      <c r="C340" s="292" t="s">
        <v>769</v>
      </c>
      <c r="D340" s="274" t="s">
        <v>3334</v>
      </c>
      <c r="E340" s="247"/>
      <c r="F340" s="247"/>
      <c r="G340" s="247"/>
      <c r="H340" s="248"/>
      <c r="I340" s="247"/>
      <c r="J340" s="247"/>
      <c r="K340" s="249"/>
      <c r="L340" s="257" t="s">
        <v>771</v>
      </c>
      <c r="M340" s="251" t="s">
        <v>2962</v>
      </c>
      <c r="N340" s="252">
        <f>+N342-N357</f>
        <v>0</v>
      </c>
      <c r="O340" s="252">
        <f>+O342-O357</f>
        <v>0</v>
      </c>
      <c r="P340" s="253">
        <f>+O340-N340</f>
        <v>0</v>
      </c>
      <c r="Q340" s="285"/>
      <c r="R340" s="285"/>
      <c r="S340" s="252"/>
      <c r="T340" s="285"/>
      <c r="U340" s="285"/>
      <c r="V340" s="285"/>
      <c r="W340" s="211"/>
      <c r="X340" s="252">
        <f>+X342-X357</f>
        <v>0</v>
      </c>
      <c r="Y340" s="285"/>
      <c r="Z340" s="285"/>
      <c r="AA340" s="285"/>
    </row>
    <row r="341" spans="2:31" s="204" customFormat="1" x14ac:dyDescent="0.25">
      <c r="B341" s="293"/>
      <c r="C341" s="293"/>
      <c r="D341" s="274"/>
      <c r="E341" s="230"/>
      <c r="F341" s="230"/>
      <c r="G341" s="285"/>
      <c r="H341" s="321"/>
      <c r="I341" s="285"/>
      <c r="J341" s="285"/>
      <c r="K341" s="285"/>
      <c r="L341" s="322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</row>
    <row r="342" spans="2:31" s="204" customFormat="1" x14ac:dyDescent="0.25">
      <c r="B342" s="292" t="s">
        <v>772</v>
      </c>
      <c r="C342" s="292" t="s">
        <v>773</v>
      </c>
      <c r="D342" s="274" t="s">
        <v>3335</v>
      </c>
      <c r="E342" s="247"/>
      <c r="F342" s="247"/>
      <c r="G342" s="247"/>
      <c r="H342" s="248"/>
      <c r="I342" s="247"/>
      <c r="J342" s="247"/>
      <c r="K342" s="249"/>
      <c r="L342" s="276" t="s">
        <v>776</v>
      </c>
      <c r="M342" s="251" t="s">
        <v>2962</v>
      </c>
      <c r="N342" s="252">
        <f>SUM(N345:N354)</f>
        <v>0</v>
      </c>
      <c r="O342" s="252">
        <f>SUM(O345:O354)</f>
        <v>0</v>
      </c>
      <c r="P342" s="259">
        <f>+O342-N342</f>
        <v>0</v>
      </c>
      <c r="Q342" s="252">
        <f>SUM(Q345:Q354)</f>
        <v>0</v>
      </c>
      <c r="R342" s="252">
        <f>SUM(R345:R354)</f>
        <v>0</v>
      </c>
      <c r="S342" s="252">
        <f>SUM(S345:S354)</f>
        <v>0</v>
      </c>
      <c r="T342" s="252">
        <f>SUM(T345:T354)</f>
        <v>0</v>
      </c>
      <c r="U342" s="252">
        <f>SUM(U345:U354)</f>
        <v>0</v>
      </c>
      <c r="W342" s="252">
        <f t="shared" ref="W342:AE342" si="47">SUM(W345:W354)</f>
        <v>0</v>
      </c>
      <c r="X342" s="252">
        <f t="shared" si="47"/>
        <v>0</v>
      </c>
      <c r="Y342" s="252">
        <f t="shared" si="47"/>
        <v>0</v>
      </c>
      <c r="Z342" s="252">
        <f t="shared" si="47"/>
        <v>0</v>
      </c>
      <c r="AA342" s="252">
        <f t="shared" si="47"/>
        <v>0</v>
      </c>
      <c r="AB342" s="252">
        <f t="shared" si="47"/>
        <v>0</v>
      </c>
      <c r="AC342" s="252">
        <f t="shared" si="47"/>
        <v>0</v>
      </c>
      <c r="AD342" s="252">
        <f t="shared" si="47"/>
        <v>0</v>
      </c>
      <c r="AE342" s="252">
        <f t="shared" si="47"/>
        <v>0</v>
      </c>
    </row>
    <row r="343" spans="2:31" s="204" customFormat="1" x14ac:dyDescent="0.25">
      <c r="B343" s="293"/>
      <c r="C343" s="293"/>
      <c r="D343" s="230"/>
      <c r="E343" s="230"/>
      <c r="F343" s="230"/>
      <c r="G343" s="230"/>
      <c r="H343" s="231"/>
      <c r="I343" s="230"/>
      <c r="J343" s="230"/>
      <c r="K343" s="230"/>
      <c r="L343" s="275"/>
      <c r="M343" s="216"/>
      <c r="N343" s="285"/>
      <c r="O343" s="285"/>
      <c r="P343" s="285"/>
      <c r="Q343" s="285"/>
      <c r="R343" s="285"/>
      <c r="T343" s="285"/>
      <c r="U343" s="285"/>
      <c r="V343" s="285"/>
      <c r="W343" s="285"/>
      <c r="X343" s="285"/>
      <c r="Y343" s="285"/>
      <c r="Z343" s="285"/>
      <c r="AA343" s="285"/>
    </row>
    <row r="344" spans="2:31" s="204" customFormat="1" ht="89.25" x14ac:dyDescent="0.25">
      <c r="B344" s="294" t="s">
        <v>2968</v>
      </c>
      <c r="C344" s="294" t="s">
        <v>2969</v>
      </c>
      <c r="D344" s="206" t="s">
        <v>72</v>
      </c>
      <c r="E344" s="206"/>
      <c r="F344" s="206"/>
      <c r="G344" s="207"/>
      <c r="H344" s="207"/>
      <c r="I344" s="207"/>
      <c r="J344" s="207" t="s">
        <v>2957</v>
      </c>
      <c r="K344" s="206" t="s">
        <v>82</v>
      </c>
      <c r="L344" s="261" t="s">
        <v>2970</v>
      </c>
      <c r="M344" s="260"/>
      <c r="N344" s="256" t="str">
        <f>N$15</f>
        <v>Valore netto al 31/12/2019</v>
      </c>
      <c r="O344" s="256" t="str">
        <f>O$15</f>
        <v>Valore netto al 31/12/2020</v>
      </c>
      <c r="P344" s="256" t="str">
        <f>P$15</f>
        <v>Variazione</v>
      </c>
      <c r="Q344" s="262" t="s">
        <v>2971</v>
      </c>
      <c r="R344" s="262" t="str">
        <f>"Costo storico al 31/12/"&amp;Info!$B$3-1</f>
        <v>Costo storico al 31/12/2019</v>
      </c>
      <c r="S344" s="262" t="s">
        <v>2972</v>
      </c>
      <c r="T344" s="262" t="s">
        <v>2973</v>
      </c>
      <c r="U344" s="262" t="s">
        <v>2974</v>
      </c>
      <c r="W344" s="262" t="s">
        <v>4391</v>
      </c>
      <c r="X344" s="262" t="s">
        <v>2976</v>
      </c>
      <c r="Y344" s="262" t="s">
        <v>2977</v>
      </c>
      <c r="Z344" s="262" t="s">
        <v>2978</v>
      </c>
      <c r="AA344" s="262" t="s">
        <v>2979</v>
      </c>
      <c r="AB344" s="262" t="s">
        <v>2980</v>
      </c>
      <c r="AC344" s="262" t="s">
        <v>2981</v>
      </c>
      <c r="AD344" s="262" t="s">
        <v>2982</v>
      </c>
      <c r="AE344" s="262" t="s">
        <v>2983</v>
      </c>
    </row>
    <row r="345" spans="2:31" s="204" customFormat="1" x14ac:dyDescent="0.25">
      <c r="B345" s="287" t="s">
        <v>777</v>
      </c>
      <c r="C345" s="287" t="s">
        <v>778</v>
      </c>
      <c r="D345" s="274" t="s">
        <v>3336</v>
      </c>
      <c r="E345" s="274"/>
      <c r="F345" s="274"/>
      <c r="G345" s="274"/>
      <c r="H345" s="266"/>
      <c r="I345" s="281"/>
      <c r="J345" s="281"/>
      <c r="K345" s="281"/>
      <c r="L345" s="282" t="s">
        <v>3337</v>
      </c>
      <c r="M345" s="263" t="s">
        <v>2962</v>
      </c>
      <c r="N345" s="269">
        <f t="shared" ref="N345:N354" si="48">+R345+T345-U345</f>
        <v>0</v>
      </c>
      <c r="O345" s="270">
        <f t="shared" ref="O345:O354" si="49">+N345+S345+X345+ABS(Y345)-ABS(AA345)+ABS(Z345)+ABS(AB345)+ABS(AD345)-ABS(AE345)+AC345+W345+Q345</f>
        <v>0</v>
      </c>
      <c r="P345" s="271">
        <f t="shared" ref="P345:P354" si="50">+O345-N345</f>
        <v>0</v>
      </c>
      <c r="Q345" s="520"/>
      <c r="R345" s="354">
        <f>IF(ISERROR(VLOOKUP("SOC"&amp;$C345,ESTR_PREC_SP!$A$2:$G$2000,4,FALSE))=TRUE,0,VLOOKUP("SOC"&amp;$C345,ESTR_PREC_SP!$A$2:$G$2000,4,FALSE))</f>
        <v>0</v>
      </c>
      <c r="S345" s="521"/>
      <c r="T345" s="521"/>
      <c r="U345" s="521"/>
      <c r="W345" s="520"/>
      <c r="X345" s="520"/>
      <c r="Y345" s="520"/>
      <c r="Z345" s="520"/>
      <c r="AA345" s="520"/>
      <c r="AB345" s="520"/>
      <c r="AC345" s="520"/>
      <c r="AD345" s="520"/>
      <c r="AE345" s="520"/>
    </row>
    <row r="346" spans="2:31" s="204" customFormat="1" x14ac:dyDescent="0.25">
      <c r="B346" s="287" t="s">
        <v>780</v>
      </c>
      <c r="C346" s="287" t="s">
        <v>781</v>
      </c>
      <c r="D346" s="274" t="s">
        <v>3338</v>
      </c>
      <c r="E346" s="274"/>
      <c r="F346" s="274"/>
      <c r="G346" s="274"/>
      <c r="H346" s="266"/>
      <c r="I346" s="281"/>
      <c r="J346" s="281"/>
      <c r="K346" s="281"/>
      <c r="L346" s="282" t="s">
        <v>3339</v>
      </c>
      <c r="M346" s="263" t="s">
        <v>2962</v>
      </c>
      <c r="N346" s="269">
        <f t="shared" si="48"/>
        <v>0</v>
      </c>
      <c r="O346" s="270">
        <f t="shared" si="49"/>
        <v>0</v>
      </c>
      <c r="P346" s="271">
        <f t="shared" si="50"/>
        <v>0</v>
      </c>
      <c r="Q346" s="520"/>
      <c r="R346" s="354">
        <f>IF(ISERROR(VLOOKUP("SOC"&amp;$C346,ESTR_PREC_SP!$A$2:$G$2000,4,FALSE))=TRUE,0,VLOOKUP("SOC"&amp;$C346,ESTR_PREC_SP!$A$2:$G$2000,4,FALSE))</f>
        <v>0</v>
      </c>
      <c r="S346" s="521"/>
      <c r="T346" s="521"/>
      <c r="U346" s="521"/>
      <c r="W346" s="520"/>
      <c r="X346" s="520"/>
      <c r="Y346" s="520"/>
      <c r="Z346" s="520"/>
      <c r="AA346" s="520"/>
      <c r="AB346" s="520"/>
      <c r="AC346" s="520"/>
      <c r="AD346" s="520"/>
      <c r="AE346" s="520"/>
    </row>
    <row r="347" spans="2:31" s="204" customFormat="1" x14ac:dyDescent="0.25">
      <c r="B347" s="287" t="s">
        <v>783</v>
      </c>
      <c r="C347" s="287" t="s">
        <v>784</v>
      </c>
      <c r="D347" s="274" t="s">
        <v>3340</v>
      </c>
      <c r="E347" s="274"/>
      <c r="F347" s="274"/>
      <c r="G347" s="274"/>
      <c r="H347" s="266"/>
      <c r="I347" s="281"/>
      <c r="J347" s="281"/>
      <c r="K347" s="281"/>
      <c r="L347" s="282" t="s">
        <v>3341</v>
      </c>
      <c r="M347" s="263" t="s">
        <v>2962</v>
      </c>
      <c r="N347" s="269">
        <f t="shared" si="48"/>
        <v>0</v>
      </c>
      <c r="O347" s="270">
        <f t="shared" si="49"/>
        <v>0</v>
      </c>
      <c r="P347" s="271">
        <f t="shared" si="50"/>
        <v>0</v>
      </c>
      <c r="Q347" s="520"/>
      <c r="R347" s="354">
        <f>IF(ISERROR(VLOOKUP("SOC"&amp;$C347,ESTR_PREC_SP!$A$2:$G$2000,4,FALSE))=TRUE,0,VLOOKUP("SOC"&amp;$C347,ESTR_PREC_SP!$A$2:$G$2000,4,FALSE))</f>
        <v>0</v>
      </c>
      <c r="S347" s="521"/>
      <c r="T347" s="521"/>
      <c r="U347" s="521"/>
      <c r="W347" s="520"/>
      <c r="X347" s="520"/>
      <c r="Y347" s="520"/>
      <c r="Z347" s="520"/>
      <c r="AA347" s="520"/>
      <c r="AB347" s="520"/>
      <c r="AC347" s="520"/>
      <c r="AD347" s="520"/>
      <c r="AE347" s="520"/>
    </row>
    <row r="348" spans="2:31" s="204" customFormat="1" x14ac:dyDescent="0.25">
      <c r="B348" s="287" t="s">
        <v>786</v>
      </c>
      <c r="C348" s="287" t="s">
        <v>787</v>
      </c>
      <c r="D348" s="274" t="s">
        <v>3342</v>
      </c>
      <c r="E348" s="274"/>
      <c r="F348" s="274"/>
      <c r="G348" s="274"/>
      <c r="H348" s="266"/>
      <c r="I348" s="281"/>
      <c r="J348" s="281"/>
      <c r="K348" s="281"/>
      <c r="L348" s="282" t="s">
        <v>3343</v>
      </c>
      <c r="M348" s="263" t="s">
        <v>2962</v>
      </c>
      <c r="N348" s="269">
        <f t="shared" si="48"/>
        <v>0</v>
      </c>
      <c r="O348" s="270">
        <f t="shared" si="49"/>
        <v>0</v>
      </c>
      <c r="P348" s="271">
        <f t="shared" si="50"/>
        <v>0</v>
      </c>
      <c r="Q348" s="520"/>
      <c r="R348" s="354">
        <f>IF(ISERROR(VLOOKUP("SOC"&amp;$C348,ESTR_PREC_SP!$A$2:$G$2000,4,FALSE))=TRUE,0,VLOOKUP("SOC"&amp;$C348,ESTR_PREC_SP!$A$2:$G$2000,4,FALSE))</f>
        <v>0</v>
      </c>
      <c r="S348" s="521"/>
      <c r="T348" s="521"/>
      <c r="U348" s="521"/>
      <c r="W348" s="520"/>
      <c r="X348" s="520"/>
      <c r="Y348" s="520"/>
      <c r="Z348" s="520"/>
      <c r="AA348" s="520"/>
      <c r="AB348" s="520"/>
      <c r="AC348" s="520"/>
      <c r="AD348" s="520"/>
      <c r="AE348" s="520"/>
    </row>
    <row r="349" spans="2:31" s="204" customFormat="1" x14ac:dyDescent="0.25">
      <c r="B349" s="287" t="s">
        <v>789</v>
      </c>
      <c r="C349" s="287" t="s">
        <v>790</v>
      </c>
      <c r="D349" s="274" t="s">
        <v>3344</v>
      </c>
      <c r="E349" s="274"/>
      <c r="F349" s="274"/>
      <c r="G349" s="274"/>
      <c r="H349" s="266"/>
      <c r="I349" s="281"/>
      <c r="J349" s="281"/>
      <c r="K349" s="281"/>
      <c r="L349" s="282" t="s">
        <v>3345</v>
      </c>
      <c r="M349" s="263" t="s">
        <v>2962</v>
      </c>
      <c r="N349" s="269">
        <f t="shared" si="48"/>
        <v>0</v>
      </c>
      <c r="O349" s="270">
        <f t="shared" si="49"/>
        <v>0</v>
      </c>
      <c r="P349" s="271">
        <f t="shared" si="50"/>
        <v>0</v>
      </c>
      <c r="Q349" s="520"/>
      <c r="R349" s="354">
        <f>IF(ISERROR(VLOOKUP("SOC"&amp;$C349,ESTR_PREC_SP!$A$2:$G$2000,4,FALSE))=TRUE,0,VLOOKUP("SOC"&amp;$C349,ESTR_PREC_SP!$A$2:$G$2000,4,FALSE))</f>
        <v>0</v>
      </c>
      <c r="S349" s="521"/>
      <c r="T349" s="521"/>
      <c r="U349" s="521"/>
      <c r="W349" s="520"/>
      <c r="X349" s="520"/>
      <c r="Y349" s="520"/>
      <c r="Z349" s="520"/>
      <c r="AA349" s="520"/>
      <c r="AB349" s="520"/>
      <c r="AC349" s="520"/>
      <c r="AD349" s="520"/>
      <c r="AE349" s="520"/>
    </row>
    <row r="350" spans="2:31" s="204" customFormat="1" x14ac:dyDescent="0.25">
      <c r="B350" s="287" t="s">
        <v>792</v>
      </c>
      <c r="C350" s="287" t="s">
        <v>793</v>
      </c>
      <c r="D350" s="274" t="s">
        <v>3346</v>
      </c>
      <c r="E350" s="274"/>
      <c r="F350" s="274"/>
      <c r="G350" s="274"/>
      <c r="H350" s="266"/>
      <c r="I350" s="281"/>
      <c r="J350" s="281"/>
      <c r="K350" s="281"/>
      <c r="L350" s="282" t="s">
        <v>3347</v>
      </c>
      <c r="M350" s="263" t="s">
        <v>2962</v>
      </c>
      <c r="N350" s="269">
        <f t="shared" si="48"/>
        <v>0</v>
      </c>
      <c r="O350" s="270">
        <f t="shared" si="49"/>
        <v>0</v>
      </c>
      <c r="P350" s="271">
        <f t="shared" si="50"/>
        <v>0</v>
      </c>
      <c r="Q350" s="520"/>
      <c r="R350" s="354">
        <f>IF(ISERROR(VLOOKUP("SOC"&amp;$C350,ESTR_PREC_SP!$A$2:$G$2000,4,FALSE))=TRUE,0,VLOOKUP("SOC"&amp;$C350,ESTR_PREC_SP!$A$2:$G$2000,4,FALSE))</f>
        <v>0</v>
      </c>
      <c r="S350" s="521"/>
      <c r="T350" s="521"/>
      <c r="U350" s="521"/>
      <c r="W350" s="520"/>
      <c r="X350" s="520"/>
      <c r="Y350" s="520"/>
      <c r="Z350" s="520"/>
      <c r="AA350" s="520"/>
      <c r="AB350" s="520"/>
      <c r="AC350" s="520"/>
      <c r="AD350" s="520"/>
      <c r="AE350" s="520"/>
    </row>
    <row r="351" spans="2:31" s="204" customFormat="1" x14ac:dyDescent="0.25">
      <c r="B351" s="287" t="s">
        <v>795</v>
      </c>
      <c r="C351" s="287" t="s">
        <v>796</v>
      </c>
      <c r="D351" s="274" t="s">
        <v>3348</v>
      </c>
      <c r="E351" s="274"/>
      <c r="F351" s="274"/>
      <c r="G351" s="274"/>
      <c r="H351" s="266"/>
      <c r="I351" s="281"/>
      <c r="J351" s="281"/>
      <c r="K351" s="281"/>
      <c r="L351" s="295" t="s">
        <v>3349</v>
      </c>
      <c r="M351" s="284" t="s">
        <v>2962</v>
      </c>
      <c r="N351" s="269">
        <f t="shared" si="48"/>
        <v>0</v>
      </c>
      <c r="O351" s="270">
        <f t="shared" si="49"/>
        <v>0</v>
      </c>
      <c r="P351" s="271">
        <f t="shared" si="50"/>
        <v>0</v>
      </c>
      <c r="Q351" s="520"/>
      <c r="R351" s="354">
        <f>IF(ISERROR(VLOOKUP("SOC"&amp;$C351,ESTR_PREC_SP!$A$2:$G$2000,4,FALSE))=TRUE,0,VLOOKUP("SOC"&amp;$C351,ESTR_PREC_SP!$A$2:$G$2000,4,FALSE))</f>
        <v>0</v>
      </c>
      <c r="S351" s="521"/>
      <c r="T351" s="521"/>
      <c r="U351" s="521"/>
      <c r="W351" s="520"/>
      <c r="X351" s="520"/>
      <c r="Y351" s="520"/>
      <c r="Z351" s="520"/>
      <c r="AA351" s="520"/>
      <c r="AB351" s="520"/>
      <c r="AC351" s="520"/>
      <c r="AD351" s="520"/>
      <c r="AE351" s="520"/>
    </row>
    <row r="352" spans="2:31" s="204" customFormat="1" x14ac:dyDescent="0.25">
      <c r="B352" s="287" t="s">
        <v>798</v>
      </c>
      <c r="C352" s="287" t="s">
        <v>799</v>
      </c>
      <c r="D352" s="274" t="s">
        <v>3350</v>
      </c>
      <c r="E352" s="274"/>
      <c r="F352" s="274"/>
      <c r="G352" s="274"/>
      <c r="H352" s="266"/>
      <c r="I352" s="281"/>
      <c r="J352" s="281"/>
      <c r="K352" s="281"/>
      <c r="L352" s="295" t="s">
        <v>3351</v>
      </c>
      <c r="M352" s="284" t="s">
        <v>2962</v>
      </c>
      <c r="N352" s="269">
        <f t="shared" si="48"/>
        <v>0</v>
      </c>
      <c r="O352" s="270">
        <f t="shared" si="49"/>
        <v>0</v>
      </c>
      <c r="P352" s="271">
        <f t="shared" si="50"/>
        <v>0</v>
      </c>
      <c r="Q352" s="520"/>
      <c r="R352" s="354">
        <f>IF(ISERROR(VLOOKUP("SOC"&amp;$C352,ESTR_PREC_SP!$A$2:$G$2000,4,FALSE))=TRUE,0,VLOOKUP("SOC"&amp;$C352,ESTR_PREC_SP!$A$2:$G$2000,4,FALSE))</f>
        <v>0</v>
      </c>
      <c r="S352" s="521"/>
      <c r="T352" s="521"/>
      <c r="U352" s="521"/>
      <c r="W352" s="520"/>
      <c r="X352" s="520"/>
      <c r="Y352" s="520"/>
      <c r="Z352" s="520"/>
      <c r="AA352" s="520"/>
      <c r="AB352" s="520"/>
      <c r="AC352" s="520"/>
      <c r="AD352" s="520"/>
      <c r="AE352" s="520"/>
    </row>
    <row r="353" spans="2:31" s="204" customFormat="1" x14ac:dyDescent="0.25">
      <c r="B353" s="287" t="s">
        <v>801</v>
      </c>
      <c r="C353" s="287" t="s">
        <v>802</v>
      </c>
      <c r="D353" s="274" t="s">
        <v>3352</v>
      </c>
      <c r="E353" s="274"/>
      <c r="F353" s="274"/>
      <c r="G353" s="274"/>
      <c r="H353" s="266"/>
      <c r="I353" s="281"/>
      <c r="J353" s="281"/>
      <c r="K353" s="281"/>
      <c r="L353" s="295" t="s">
        <v>3353</v>
      </c>
      <c r="M353" s="284" t="s">
        <v>2962</v>
      </c>
      <c r="N353" s="269">
        <f t="shared" si="48"/>
        <v>0</v>
      </c>
      <c r="O353" s="270">
        <f t="shared" si="49"/>
        <v>0</v>
      </c>
      <c r="P353" s="271">
        <f t="shared" si="50"/>
        <v>0</v>
      </c>
      <c r="Q353" s="520"/>
      <c r="R353" s="354">
        <f>IF(ISERROR(VLOOKUP("SOC"&amp;$C353,ESTR_PREC_SP!$A$2:$G$2000,4,FALSE))=TRUE,0,VLOOKUP("SOC"&amp;$C353,ESTR_PREC_SP!$A$2:$G$2000,4,FALSE))</f>
        <v>0</v>
      </c>
      <c r="S353" s="521"/>
      <c r="T353" s="521"/>
      <c r="U353" s="521"/>
      <c r="W353" s="520"/>
      <c r="X353" s="520"/>
      <c r="Y353" s="520"/>
      <c r="Z353" s="520"/>
      <c r="AA353" s="520"/>
      <c r="AB353" s="520"/>
      <c r="AC353" s="520"/>
      <c r="AD353" s="520"/>
      <c r="AE353" s="520"/>
    </row>
    <row r="354" spans="2:31" s="204" customFormat="1" x14ac:dyDescent="0.25">
      <c r="B354" s="287" t="s">
        <v>804</v>
      </c>
      <c r="C354" s="287" t="s">
        <v>805</v>
      </c>
      <c r="D354" s="274" t="s">
        <v>3354</v>
      </c>
      <c r="E354" s="274"/>
      <c r="F354" s="274"/>
      <c r="G354" s="274"/>
      <c r="H354" s="266"/>
      <c r="I354" s="281"/>
      <c r="J354" s="281"/>
      <c r="K354" s="281"/>
      <c r="L354" s="295" t="s">
        <v>3355</v>
      </c>
      <c r="M354" s="284" t="s">
        <v>2962</v>
      </c>
      <c r="N354" s="269">
        <f t="shared" si="48"/>
        <v>0</v>
      </c>
      <c r="O354" s="270">
        <f t="shared" si="49"/>
        <v>0</v>
      </c>
      <c r="P354" s="271">
        <f t="shared" si="50"/>
        <v>0</v>
      </c>
      <c r="Q354" s="520"/>
      <c r="R354" s="354">
        <f>IF(ISERROR(VLOOKUP("SOC"&amp;$C354,ESTR_PREC_SP!$A$2:$G$2000,4,FALSE))=TRUE,0,VLOOKUP("SOC"&amp;$C354,ESTR_PREC_SP!$A$2:$G$2000,4,FALSE))</f>
        <v>0</v>
      </c>
      <c r="S354" s="521"/>
      <c r="T354" s="521"/>
      <c r="U354" s="521"/>
      <c r="W354" s="520"/>
      <c r="X354" s="520"/>
      <c r="Y354" s="520"/>
      <c r="Z354" s="520"/>
      <c r="AA354" s="520"/>
      <c r="AB354" s="520"/>
      <c r="AC354" s="520"/>
      <c r="AD354" s="520"/>
      <c r="AE354" s="520"/>
    </row>
    <row r="355" spans="2:31" s="204" customFormat="1" ht="25.5" x14ac:dyDescent="0.25">
      <c r="B355" s="293"/>
      <c r="C355" s="293"/>
      <c r="D355" s="230"/>
      <c r="E355" s="230"/>
      <c r="F355" s="230"/>
      <c r="G355" s="230"/>
      <c r="H355" s="231"/>
      <c r="I355" s="230"/>
      <c r="J355" s="230"/>
      <c r="K355" s="230"/>
      <c r="L355" s="296" t="s">
        <v>3356</v>
      </c>
      <c r="M355" s="216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</row>
    <row r="356" spans="2:31" s="204" customFormat="1" x14ac:dyDescent="0.25">
      <c r="B356" s="293"/>
      <c r="C356" s="293"/>
      <c r="D356" s="230"/>
      <c r="E356" s="230"/>
      <c r="F356" s="230"/>
      <c r="G356" s="230"/>
      <c r="H356" s="231"/>
      <c r="I356" s="230"/>
      <c r="J356" s="230"/>
      <c r="K356" s="230"/>
      <c r="L356" s="296"/>
      <c r="M356" s="216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</row>
    <row r="357" spans="2:31" s="204" customFormat="1" x14ac:dyDescent="0.25">
      <c r="B357" s="292" t="s">
        <v>807</v>
      </c>
      <c r="C357" s="292" t="s">
        <v>808</v>
      </c>
      <c r="D357" s="247" t="s">
        <v>3357</v>
      </c>
      <c r="E357" s="247"/>
      <c r="F357" s="247"/>
      <c r="G357" s="247"/>
      <c r="H357" s="248"/>
      <c r="I357" s="247"/>
      <c r="J357" s="247"/>
      <c r="K357" s="249"/>
      <c r="L357" s="276" t="s">
        <v>811</v>
      </c>
      <c r="M357" s="251" t="s">
        <v>2962</v>
      </c>
      <c r="N357" s="252">
        <f>SUM(N360:N369)</f>
        <v>0</v>
      </c>
      <c r="O357" s="252">
        <f>SUM(O360:O369)</f>
        <v>0</v>
      </c>
      <c r="P357" s="259">
        <f>+O357-N357</f>
        <v>0</v>
      </c>
      <c r="Q357" s="252">
        <f>SUM(Q360:Q369)</f>
        <v>0</v>
      </c>
      <c r="R357" s="252">
        <f>SUM(R360:R369)</f>
        <v>0</v>
      </c>
      <c r="S357" s="252">
        <f>SUM(S360:S369)</f>
        <v>0</v>
      </c>
      <c r="W357" s="252">
        <f>SUM(W360:W369)</f>
        <v>0</v>
      </c>
      <c r="X357" s="252">
        <f>SUM(X360:X369)</f>
        <v>0</v>
      </c>
      <c r="Y357" s="252">
        <f>SUM(Y360:Y369)</f>
        <v>0</v>
      </c>
      <c r="Z357" s="252">
        <f>SUM(Z360:Z369)</f>
        <v>0</v>
      </c>
      <c r="AA357" s="285"/>
    </row>
    <row r="358" spans="2:31" s="204" customFormat="1" x14ac:dyDescent="0.25">
      <c r="B358" s="293"/>
      <c r="C358" s="293"/>
      <c r="D358" s="230"/>
      <c r="E358" s="230"/>
      <c r="F358" s="230"/>
      <c r="G358" s="230"/>
      <c r="H358" s="231"/>
      <c r="I358" s="230"/>
      <c r="J358" s="230"/>
      <c r="K358" s="230"/>
      <c r="L358" s="275"/>
      <c r="M358" s="216"/>
      <c r="N358" s="285"/>
      <c r="O358" s="211"/>
      <c r="P358" s="211"/>
      <c r="Q358" s="211"/>
      <c r="R358" s="211"/>
      <c r="W358" s="285"/>
      <c r="X358" s="285"/>
      <c r="Y358" s="285"/>
      <c r="Z358" s="285"/>
      <c r="AA358" s="285"/>
    </row>
    <row r="359" spans="2:31" s="204" customFormat="1" ht="89.25" x14ac:dyDescent="0.25">
      <c r="B359" s="294" t="s">
        <v>2968</v>
      </c>
      <c r="C359" s="294" t="s">
        <v>2969</v>
      </c>
      <c r="D359" s="206" t="s">
        <v>72</v>
      </c>
      <c r="E359" s="206"/>
      <c r="F359" s="206"/>
      <c r="G359" s="207"/>
      <c r="H359" s="207"/>
      <c r="I359" s="207"/>
      <c r="J359" s="207" t="s">
        <v>2957</v>
      </c>
      <c r="K359" s="206" t="s">
        <v>82</v>
      </c>
      <c r="L359" s="261" t="s">
        <v>2970</v>
      </c>
      <c r="M359" s="260"/>
      <c r="N359" s="256" t="str">
        <f>N$15</f>
        <v>Valore netto al 31/12/2019</v>
      </c>
      <c r="O359" s="256" t="str">
        <f>O$15</f>
        <v>Valore netto al 31/12/2020</v>
      </c>
      <c r="P359" s="256" t="str">
        <f>P$15</f>
        <v>Variazione</v>
      </c>
      <c r="Q359" s="262" t="s">
        <v>2971</v>
      </c>
      <c r="R359" s="262" t="str">
        <f>"Fondo ammortamento 31/12/"&amp;Info!$B$3-1</f>
        <v>Fondo ammortamento 31/12/2019</v>
      </c>
      <c r="S359" s="262" t="s">
        <v>2972</v>
      </c>
      <c r="W359" s="262" t="s">
        <v>4391</v>
      </c>
      <c r="X359" s="262" t="s">
        <v>2976</v>
      </c>
      <c r="Y359" s="262" t="s">
        <v>2989</v>
      </c>
      <c r="Z359" s="262" t="s">
        <v>2990</v>
      </c>
      <c r="AA359" s="285"/>
    </row>
    <row r="360" spans="2:31" s="204" customFormat="1" x14ac:dyDescent="0.25">
      <c r="B360" s="287" t="s">
        <v>812</v>
      </c>
      <c r="C360" s="287" t="s">
        <v>813</v>
      </c>
      <c r="D360" s="274" t="s">
        <v>3358</v>
      </c>
      <c r="E360" s="274"/>
      <c r="F360" s="274"/>
      <c r="G360" s="283"/>
      <c r="H360" s="266"/>
      <c r="I360" s="281"/>
      <c r="J360" s="281"/>
      <c r="K360" s="281"/>
      <c r="L360" s="282" t="s">
        <v>3359</v>
      </c>
      <c r="M360" s="263" t="s">
        <v>2962</v>
      </c>
      <c r="N360" s="269">
        <f t="shared" ref="N360:N369" si="51">+R360</f>
        <v>0</v>
      </c>
      <c r="O360" s="270">
        <f t="shared" ref="O360:O369" si="52">+R360+S360+X360-ABS(Y360)+ABS(Z360)+W360+Q360</f>
        <v>0</v>
      </c>
      <c r="P360" s="271">
        <f t="shared" ref="P360:P369" si="53">+O360-N360</f>
        <v>0</v>
      </c>
      <c r="Q360" s="520"/>
      <c r="R360" s="354">
        <f>IF(ISERROR(VLOOKUP("SOC"&amp;$C360,ESTR_PREC_SP!$A$2:$G$2000,4,FALSE))=TRUE,0,VLOOKUP("SOC"&amp;$C360,ESTR_PREC_SP!$A$2:$G$2000,4,FALSE))</f>
        <v>0</v>
      </c>
      <c r="S360" s="521"/>
      <c r="V360" s="211"/>
      <c r="W360" s="520"/>
      <c r="X360" s="520"/>
      <c r="Y360" s="520"/>
      <c r="Z360" s="520"/>
      <c r="AA360" s="285"/>
    </row>
    <row r="361" spans="2:31" s="204" customFormat="1" x14ac:dyDescent="0.25">
      <c r="B361" s="287" t="s">
        <v>815</v>
      </c>
      <c r="C361" s="287" t="s">
        <v>816</v>
      </c>
      <c r="D361" s="274" t="s">
        <v>3360</v>
      </c>
      <c r="E361" s="274"/>
      <c r="F361" s="274"/>
      <c r="G361" s="283"/>
      <c r="H361" s="266"/>
      <c r="I361" s="281"/>
      <c r="J361" s="281"/>
      <c r="K361" s="281"/>
      <c r="L361" s="282" t="s">
        <v>3361</v>
      </c>
      <c r="M361" s="263" t="s">
        <v>2962</v>
      </c>
      <c r="N361" s="269">
        <f t="shared" si="51"/>
        <v>0</v>
      </c>
      <c r="O361" s="270">
        <f t="shared" si="52"/>
        <v>0</v>
      </c>
      <c r="P361" s="271">
        <f t="shared" si="53"/>
        <v>0</v>
      </c>
      <c r="Q361" s="520"/>
      <c r="R361" s="354">
        <f>IF(ISERROR(VLOOKUP("SOC"&amp;$C361,ESTR_PREC_SP!$A$2:$G$2000,4,FALSE))=TRUE,0,VLOOKUP("SOC"&amp;$C361,ESTR_PREC_SP!$A$2:$G$2000,4,FALSE))</f>
        <v>0</v>
      </c>
      <c r="S361" s="521"/>
      <c r="V361" s="211"/>
      <c r="W361" s="520"/>
      <c r="X361" s="520"/>
      <c r="Y361" s="520"/>
      <c r="Z361" s="520"/>
      <c r="AA361" s="285"/>
    </row>
    <row r="362" spans="2:31" s="204" customFormat="1" x14ac:dyDescent="0.25">
      <c r="B362" s="287" t="s">
        <v>818</v>
      </c>
      <c r="C362" s="287" t="s">
        <v>819</v>
      </c>
      <c r="D362" s="274" t="s">
        <v>3362</v>
      </c>
      <c r="E362" s="274"/>
      <c r="F362" s="274"/>
      <c r="G362" s="283"/>
      <c r="H362" s="266"/>
      <c r="I362" s="281"/>
      <c r="J362" s="281"/>
      <c r="K362" s="281"/>
      <c r="L362" s="282" t="s">
        <v>3363</v>
      </c>
      <c r="M362" s="263" t="s">
        <v>2962</v>
      </c>
      <c r="N362" s="269">
        <f t="shared" si="51"/>
        <v>0</v>
      </c>
      <c r="O362" s="270">
        <f t="shared" si="52"/>
        <v>0</v>
      </c>
      <c r="P362" s="271">
        <f t="shared" si="53"/>
        <v>0</v>
      </c>
      <c r="Q362" s="520"/>
      <c r="R362" s="354">
        <f>IF(ISERROR(VLOOKUP("SOC"&amp;$C362,ESTR_PREC_SP!$A$2:$G$2000,4,FALSE))=TRUE,0,VLOOKUP("SOC"&amp;$C362,ESTR_PREC_SP!$A$2:$G$2000,4,FALSE))</f>
        <v>0</v>
      </c>
      <c r="S362" s="521"/>
      <c r="V362" s="211"/>
      <c r="W362" s="520"/>
      <c r="X362" s="520"/>
      <c r="Y362" s="520"/>
      <c r="Z362" s="520"/>
      <c r="AA362" s="285"/>
    </row>
    <row r="363" spans="2:31" s="204" customFormat="1" x14ac:dyDescent="0.25">
      <c r="B363" s="287" t="s">
        <v>821</v>
      </c>
      <c r="C363" s="287" t="s">
        <v>822</v>
      </c>
      <c r="D363" s="274" t="s">
        <v>3364</v>
      </c>
      <c r="E363" s="274"/>
      <c r="F363" s="274"/>
      <c r="G363" s="283"/>
      <c r="H363" s="266"/>
      <c r="I363" s="281"/>
      <c r="J363" s="281"/>
      <c r="K363" s="281"/>
      <c r="L363" s="282" t="s">
        <v>3365</v>
      </c>
      <c r="M363" s="263" t="s">
        <v>2962</v>
      </c>
      <c r="N363" s="269">
        <f t="shared" si="51"/>
        <v>0</v>
      </c>
      <c r="O363" s="270">
        <f t="shared" si="52"/>
        <v>0</v>
      </c>
      <c r="P363" s="271">
        <f t="shared" si="53"/>
        <v>0</v>
      </c>
      <c r="Q363" s="520"/>
      <c r="R363" s="354">
        <f>IF(ISERROR(VLOOKUP("SOC"&amp;$C363,ESTR_PREC_SP!$A$2:$G$2000,4,FALSE))=TRUE,0,VLOOKUP("SOC"&amp;$C363,ESTR_PREC_SP!$A$2:$G$2000,4,FALSE))</f>
        <v>0</v>
      </c>
      <c r="S363" s="521"/>
      <c r="V363" s="211"/>
      <c r="W363" s="520"/>
      <c r="X363" s="520"/>
      <c r="Y363" s="520"/>
      <c r="Z363" s="520"/>
      <c r="AA363" s="285"/>
    </row>
    <row r="364" spans="2:31" s="204" customFormat="1" x14ac:dyDescent="0.25">
      <c r="B364" s="287" t="s">
        <v>824</v>
      </c>
      <c r="C364" s="287" t="s">
        <v>825</v>
      </c>
      <c r="D364" s="274" t="s">
        <v>3366</v>
      </c>
      <c r="E364" s="274"/>
      <c r="F364" s="274"/>
      <c r="G364" s="283"/>
      <c r="H364" s="266"/>
      <c r="I364" s="281"/>
      <c r="J364" s="281"/>
      <c r="K364" s="281"/>
      <c r="L364" s="282" t="s">
        <v>3367</v>
      </c>
      <c r="M364" s="263" t="s">
        <v>2962</v>
      </c>
      <c r="N364" s="269">
        <f t="shared" si="51"/>
        <v>0</v>
      </c>
      <c r="O364" s="270">
        <f t="shared" si="52"/>
        <v>0</v>
      </c>
      <c r="P364" s="271">
        <f t="shared" si="53"/>
        <v>0</v>
      </c>
      <c r="Q364" s="520"/>
      <c r="R364" s="354">
        <f>IF(ISERROR(VLOOKUP("SOC"&amp;$C364,ESTR_PREC_SP!$A$2:$G$2000,4,FALSE))=TRUE,0,VLOOKUP("SOC"&amp;$C364,ESTR_PREC_SP!$A$2:$G$2000,4,FALSE))</f>
        <v>0</v>
      </c>
      <c r="S364" s="521"/>
      <c r="V364" s="211"/>
      <c r="W364" s="520"/>
      <c r="X364" s="520"/>
      <c r="Y364" s="520"/>
      <c r="Z364" s="520"/>
      <c r="AA364" s="285"/>
    </row>
    <row r="365" spans="2:31" s="204" customFormat="1" x14ac:dyDescent="0.25">
      <c r="B365" s="287" t="s">
        <v>827</v>
      </c>
      <c r="C365" s="287" t="s">
        <v>828</v>
      </c>
      <c r="D365" s="274" t="s">
        <v>3368</v>
      </c>
      <c r="E365" s="274"/>
      <c r="F365" s="274"/>
      <c r="G365" s="283"/>
      <c r="H365" s="266"/>
      <c r="I365" s="281"/>
      <c r="J365" s="281"/>
      <c r="K365" s="281"/>
      <c r="L365" s="282" t="s">
        <v>3369</v>
      </c>
      <c r="M365" s="263" t="s">
        <v>2962</v>
      </c>
      <c r="N365" s="269">
        <f t="shared" si="51"/>
        <v>0</v>
      </c>
      <c r="O365" s="270">
        <f t="shared" si="52"/>
        <v>0</v>
      </c>
      <c r="P365" s="271">
        <f t="shared" si="53"/>
        <v>0</v>
      </c>
      <c r="Q365" s="520"/>
      <c r="R365" s="354">
        <f>IF(ISERROR(VLOOKUP("SOC"&amp;$C365,ESTR_PREC_SP!$A$2:$G$2000,4,FALSE))=TRUE,0,VLOOKUP("SOC"&amp;$C365,ESTR_PREC_SP!$A$2:$G$2000,4,FALSE))</f>
        <v>0</v>
      </c>
      <c r="S365" s="521"/>
      <c r="V365" s="211"/>
      <c r="W365" s="520"/>
      <c r="X365" s="520"/>
      <c r="Y365" s="520"/>
      <c r="Z365" s="520"/>
      <c r="AA365" s="285"/>
    </row>
    <row r="366" spans="2:31" s="204" customFormat="1" x14ac:dyDescent="0.25">
      <c r="B366" s="287" t="s">
        <v>830</v>
      </c>
      <c r="C366" s="287" t="s">
        <v>831</v>
      </c>
      <c r="D366" s="274" t="s">
        <v>3370</v>
      </c>
      <c r="E366" s="274"/>
      <c r="F366" s="274"/>
      <c r="G366" s="283"/>
      <c r="H366" s="266"/>
      <c r="I366" s="281"/>
      <c r="J366" s="281"/>
      <c r="K366" s="281"/>
      <c r="L366" s="295" t="s">
        <v>3371</v>
      </c>
      <c r="M366" s="284" t="s">
        <v>2962</v>
      </c>
      <c r="N366" s="269">
        <f t="shared" si="51"/>
        <v>0</v>
      </c>
      <c r="O366" s="270">
        <f t="shared" si="52"/>
        <v>0</v>
      </c>
      <c r="P366" s="271">
        <f t="shared" si="53"/>
        <v>0</v>
      </c>
      <c r="Q366" s="520"/>
      <c r="R366" s="354">
        <f>IF(ISERROR(VLOOKUP("SOC"&amp;$C366,ESTR_PREC_SP!$A$2:$G$2000,4,FALSE))=TRUE,0,VLOOKUP("SOC"&amp;$C366,ESTR_PREC_SP!$A$2:$G$2000,4,FALSE))</f>
        <v>0</v>
      </c>
      <c r="S366" s="521"/>
      <c r="V366" s="211"/>
      <c r="W366" s="520"/>
      <c r="X366" s="520"/>
      <c r="Y366" s="520"/>
      <c r="Z366" s="520"/>
      <c r="AA366" s="285"/>
    </row>
    <row r="367" spans="2:31" s="204" customFormat="1" x14ac:dyDescent="0.25">
      <c r="B367" s="287" t="s">
        <v>833</v>
      </c>
      <c r="C367" s="287" t="s">
        <v>834</v>
      </c>
      <c r="D367" s="274" t="s">
        <v>3372</v>
      </c>
      <c r="E367" s="274"/>
      <c r="F367" s="274"/>
      <c r="G367" s="283"/>
      <c r="H367" s="266"/>
      <c r="I367" s="281"/>
      <c r="J367" s="281"/>
      <c r="K367" s="281"/>
      <c r="L367" s="295" t="s">
        <v>3373</v>
      </c>
      <c r="M367" s="284" t="s">
        <v>2962</v>
      </c>
      <c r="N367" s="269">
        <f t="shared" si="51"/>
        <v>0</v>
      </c>
      <c r="O367" s="270">
        <f t="shared" si="52"/>
        <v>0</v>
      </c>
      <c r="P367" s="271">
        <f t="shared" si="53"/>
        <v>0</v>
      </c>
      <c r="Q367" s="520"/>
      <c r="R367" s="354">
        <f>IF(ISERROR(VLOOKUP("SOC"&amp;$C367,ESTR_PREC_SP!$A$2:$G$2000,4,FALSE))=TRUE,0,VLOOKUP("SOC"&amp;$C367,ESTR_PREC_SP!$A$2:$G$2000,4,FALSE))</f>
        <v>0</v>
      </c>
      <c r="S367" s="521"/>
      <c r="V367" s="211"/>
      <c r="W367" s="520"/>
      <c r="X367" s="520"/>
      <c r="Y367" s="520"/>
      <c r="Z367" s="520"/>
      <c r="AA367" s="285"/>
    </row>
    <row r="368" spans="2:31" s="204" customFormat="1" x14ac:dyDescent="0.25">
      <c r="B368" s="287" t="s">
        <v>836</v>
      </c>
      <c r="C368" s="287" t="s">
        <v>837</v>
      </c>
      <c r="D368" s="274" t="s">
        <v>3374</v>
      </c>
      <c r="E368" s="274"/>
      <c r="F368" s="274"/>
      <c r="G368" s="283"/>
      <c r="H368" s="266"/>
      <c r="I368" s="281"/>
      <c r="J368" s="281"/>
      <c r="K368" s="281"/>
      <c r="L368" s="295" t="s">
        <v>3375</v>
      </c>
      <c r="M368" s="284" t="s">
        <v>2962</v>
      </c>
      <c r="N368" s="269">
        <f t="shared" si="51"/>
        <v>0</v>
      </c>
      <c r="O368" s="270">
        <f t="shared" si="52"/>
        <v>0</v>
      </c>
      <c r="P368" s="271">
        <f t="shared" si="53"/>
        <v>0</v>
      </c>
      <c r="Q368" s="520"/>
      <c r="R368" s="354">
        <f>IF(ISERROR(VLOOKUP("SOC"&amp;$C368,ESTR_PREC_SP!$A$2:$G$2000,4,FALSE))=TRUE,0,VLOOKUP("SOC"&amp;$C368,ESTR_PREC_SP!$A$2:$G$2000,4,FALSE))</f>
        <v>0</v>
      </c>
      <c r="S368" s="521"/>
      <c r="V368" s="211"/>
      <c r="W368" s="520"/>
      <c r="X368" s="520"/>
      <c r="Y368" s="520"/>
      <c r="Z368" s="520"/>
      <c r="AA368" s="285"/>
    </row>
    <row r="369" spans="2:39" s="204" customFormat="1" x14ac:dyDescent="0.25">
      <c r="B369" s="287" t="s">
        <v>839</v>
      </c>
      <c r="C369" s="287" t="s">
        <v>840</v>
      </c>
      <c r="D369" s="274" t="s">
        <v>3376</v>
      </c>
      <c r="E369" s="274"/>
      <c r="F369" s="274"/>
      <c r="G369" s="283"/>
      <c r="H369" s="266"/>
      <c r="I369" s="281"/>
      <c r="J369" s="281"/>
      <c r="K369" s="281"/>
      <c r="L369" s="295" t="s">
        <v>3377</v>
      </c>
      <c r="M369" s="284" t="s">
        <v>2962</v>
      </c>
      <c r="N369" s="269">
        <f t="shared" si="51"/>
        <v>0</v>
      </c>
      <c r="O369" s="270">
        <f t="shared" si="52"/>
        <v>0</v>
      </c>
      <c r="P369" s="271">
        <f t="shared" si="53"/>
        <v>0</v>
      </c>
      <c r="Q369" s="520"/>
      <c r="R369" s="354">
        <f>IF(ISERROR(VLOOKUP("SOC"&amp;$C369,ESTR_PREC_SP!$A$2:$G$2000,4,FALSE))=TRUE,0,VLOOKUP("SOC"&amp;$C369,ESTR_PREC_SP!$A$2:$G$2000,4,FALSE))</f>
        <v>0</v>
      </c>
      <c r="S369" s="521"/>
      <c r="V369" s="211"/>
      <c r="W369" s="520"/>
      <c r="X369" s="520"/>
      <c r="Y369" s="520"/>
      <c r="Z369" s="520"/>
      <c r="AA369" s="285"/>
    </row>
    <row r="370" spans="2:39" s="204" customFormat="1" x14ac:dyDescent="0.25">
      <c r="B370" s="289"/>
      <c r="C370" s="289"/>
      <c r="D370" s="211"/>
      <c r="E370" s="211"/>
      <c r="F370" s="211"/>
      <c r="G370" s="211"/>
      <c r="H370" s="211"/>
      <c r="I370" s="211"/>
      <c r="J370" s="211"/>
      <c r="K370" s="211"/>
      <c r="L370" s="232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</row>
    <row r="371" spans="2:39" s="204" customFormat="1" ht="25.5" x14ac:dyDescent="0.25">
      <c r="B371" s="293"/>
      <c r="C371" s="293"/>
      <c r="D371" s="304"/>
      <c r="E371" s="230"/>
      <c r="F371" s="230"/>
      <c r="G371" s="230"/>
      <c r="H371" s="231"/>
      <c r="I371" s="230"/>
      <c r="J371" s="230"/>
      <c r="K371" s="230"/>
      <c r="L371" s="255"/>
      <c r="M371" s="244"/>
      <c r="N371" s="256" t="str">
        <f>N$15</f>
        <v>Valore netto al 31/12/2019</v>
      </c>
      <c r="O371" s="256" t="str">
        <f>O$15</f>
        <v>Valore netto al 31/12/2020</v>
      </c>
      <c r="P371" s="256" t="str">
        <f>P$15</f>
        <v>Variazione</v>
      </c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</row>
    <row r="372" spans="2:39" s="204" customFormat="1" x14ac:dyDescent="0.25">
      <c r="B372" s="292" t="s">
        <v>842</v>
      </c>
      <c r="C372" s="292" t="s">
        <v>843</v>
      </c>
      <c r="D372" s="301" t="s">
        <v>3378</v>
      </c>
      <c r="E372" s="247"/>
      <c r="F372" s="247"/>
      <c r="G372" s="247"/>
      <c r="H372" s="248"/>
      <c r="I372" s="247"/>
      <c r="J372" s="247"/>
      <c r="K372" s="249"/>
      <c r="L372" s="257" t="s">
        <v>846</v>
      </c>
      <c r="M372" s="251" t="s">
        <v>2962</v>
      </c>
      <c r="N372" s="252">
        <f>+N374</f>
        <v>0</v>
      </c>
      <c r="O372" s="252">
        <f>+O374</f>
        <v>0</v>
      </c>
      <c r="P372" s="253">
        <f>+O372-N372</f>
        <v>0</v>
      </c>
      <c r="Q372" s="285"/>
      <c r="R372" s="285"/>
      <c r="S372" s="252">
        <f>+S374</f>
        <v>0</v>
      </c>
      <c r="T372" s="285"/>
      <c r="U372" s="285"/>
      <c r="V372" s="285"/>
      <c r="W372" s="211"/>
      <c r="X372" s="252">
        <f>+X374</f>
        <v>0</v>
      </c>
      <c r="Y372" s="285"/>
      <c r="Z372" s="285"/>
      <c r="AA372" s="285"/>
    </row>
    <row r="373" spans="2:39" s="204" customFormat="1" x14ac:dyDescent="0.25">
      <c r="B373" s="293"/>
      <c r="C373" s="293"/>
      <c r="D373" s="247"/>
      <c r="E373" s="230"/>
      <c r="F373" s="230"/>
      <c r="G373" s="285"/>
      <c r="H373" s="321"/>
      <c r="I373" s="285"/>
      <c r="J373" s="285"/>
      <c r="K373" s="285"/>
      <c r="L373" s="322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</row>
    <row r="374" spans="2:39" s="204" customFormat="1" x14ac:dyDescent="0.25">
      <c r="B374" s="292" t="s">
        <v>847</v>
      </c>
      <c r="C374" s="292" t="s">
        <v>848</v>
      </c>
      <c r="D374" s="247" t="s">
        <v>3379</v>
      </c>
      <c r="E374" s="247"/>
      <c r="F374" s="247"/>
      <c r="G374" s="247"/>
      <c r="H374" s="248"/>
      <c r="I374" s="247"/>
      <c r="J374" s="247"/>
      <c r="K374" s="249"/>
      <c r="L374" s="276" t="s">
        <v>850</v>
      </c>
      <c r="M374" s="251" t="s">
        <v>2962</v>
      </c>
      <c r="N374" s="252">
        <f>+N377</f>
        <v>0</v>
      </c>
      <c r="O374" s="252">
        <f>+O377</f>
        <v>0</v>
      </c>
      <c r="P374" s="259">
        <f>+O374-N374</f>
        <v>0</v>
      </c>
      <c r="Q374" s="252">
        <f>+Q377</f>
        <v>0</v>
      </c>
      <c r="R374" s="252">
        <f>+R377</f>
        <v>0</v>
      </c>
      <c r="S374" s="252">
        <f>+T377</f>
        <v>0</v>
      </c>
      <c r="T374" s="252">
        <f>+T377</f>
        <v>0</v>
      </c>
      <c r="U374" s="252">
        <f>+U377</f>
        <v>0</v>
      </c>
      <c r="W374" s="252">
        <f t="shared" ref="W374:AE374" si="54">+W377</f>
        <v>0</v>
      </c>
      <c r="X374" s="252">
        <f t="shared" si="54"/>
        <v>0</v>
      </c>
      <c r="Y374" s="252">
        <f t="shared" si="54"/>
        <v>0</v>
      </c>
      <c r="Z374" s="252">
        <f t="shared" si="54"/>
        <v>0</v>
      </c>
      <c r="AA374" s="252">
        <f t="shared" si="54"/>
        <v>0</v>
      </c>
      <c r="AB374" s="252">
        <f t="shared" si="54"/>
        <v>0</v>
      </c>
      <c r="AC374" s="252">
        <f t="shared" si="54"/>
        <v>0</v>
      </c>
      <c r="AD374" s="252">
        <f t="shared" si="54"/>
        <v>0</v>
      </c>
      <c r="AE374" s="252">
        <f t="shared" si="54"/>
        <v>0</v>
      </c>
    </row>
    <row r="375" spans="2:39" s="204" customFormat="1" x14ac:dyDescent="0.25">
      <c r="B375" s="293"/>
      <c r="C375" s="293"/>
      <c r="D375" s="230"/>
      <c r="E375" s="230"/>
      <c r="F375" s="230"/>
      <c r="G375" s="230"/>
      <c r="H375" s="231"/>
      <c r="I375" s="230"/>
      <c r="J375" s="230"/>
      <c r="K375" s="230"/>
      <c r="L375" s="275"/>
      <c r="M375" s="216"/>
      <c r="N375" s="285"/>
      <c r="O375" s="285"/>
      <c r="P375" s="285"/>
      <c r="Q375" s="285"/>
      <c r="R375" s="285"/>
      <c r="T375" s="285"/>
      <c r="U375" s="285"/>
      <c r="V375" s="285"/>
      <c r="W375" s="285"/>
      <c r="X375" s="285"/>
      <c r="Y375" s="285"/>
      <c r="Z375" s="285"/>
      <c r="AA375" s="285"/>
    </row>
    <row r="376" spans="2:39" s="204" customFormat="1" ht="89.25" x14ac:dyDescent="0.25">
      <c r="B376" s="294" t="s">
        <v>2968</v>
      </c>
      <c r="C376" s="294" t="s">
        <v>2969</v>
      </c>
      <c r="D376" s="206" t="s">
        <v>72</v>
      </c>
      <c r="E376" s="206"/>
      <c r="F376" s="206"/>
      <c r="G376" s="207"/>
      <c r="H376" s="207"/>
      <c r="I376" s="207"/>
      <c r="J376" s="207" t="s">
        <v>2957</v>
      </c>
      <c r="K376" s="206" t="s">
        <v>82</v>
      </c>
      <c r="L376" s="261" t="s">
        <v>2970</v>
      </c>
      <c r="M376" s="260"/>
      <c r="N376" s="256" t="str">
        <f>N$15</f>
        <v>Valore netto al 31/12/2019</v>
      </c>
      <c r="O376" s="256" t="str">
        <f>O$15</f>
        <v>Valore netto al 31/12/2020</v>
      </c>
      <c r="P376" s="256" t="str">
        <f>P$15</f>
        <v>Variazione</v>
      </c>
      <c r="Q376" s="262" t="s">
        <v>2971</v>
      </c>
      <c r="R376" s="262" t="str">
        <f>"Costo storico al 31/12/"&amp;Info!$B$3-1</f>
        <v>Costo storico al 31/12/2019</v>
      </c>
      <c r="S376" s="262" t="s">
        <v>2972</v>
      </c>
      <c r="T376" s="262" t="s">
        <v>2973</v>
      </c>
      <c r="U376" s="262" t="s">
        <v>2974</v>
      </c>
      <c r="W376" s="262" t="s">
        <v>4391</v>
      </c>
      <c r="X376" s="262" t="s">
        <v>2976</v>
      </c>
      <c r="Y376" s="262" t="s">
        <v>2977</v>
      </c>
      <c r="Z376" s="262" t="s">
        <v>2978</v>
      </c>
      <c r="AA376" s="262" t="s">
        <v>2979</v>
      </c>
      <c r="AB376" s="262" t="s">
        <v>2980</v>
      </c>
      <c r="AC376" s="262" t="s">
        <v>2981</v>
      </c>
      <c r="AD376" s="262" t="s">
        <v>2982</v>
      </c>
      <c r="AE376" s="262" t="s">
        <v>2983</v>
      </c>
    </row>
    <row r="377" spans="2:39" s="204" customFormat="1" x14ac:dyDescent="0.25">
      <c r="B377" s="287" t="s">
        <v>851</v>
      </c>
      <c r="C377" s="287" t="s">
        <v>852</v>
      </c>
      <c r="D377" s="274" t="s">
        <v>3380</v>
      </c>
      <c r="E377" s="274"/>
      <c r="F377" s="274"/>
      <c r="G377" s="274"/>
      <c r="H377" s="266"/>
      <c r="I377" s="281"/>
      <c r="J377" s="281"/>
      <c r="K377" s="281"/>
      <c r="L377" s="282" t="s">
        <v>3381</v>
      </c>
      <c r="M377" s="263" t="s">
        <v>2962</v>
      </c>
      <c r="N377" s="269">
        <f>+R377+T377-U377</f>
        <v>0</v>
      </c>
      <c r="O377" s="270">
        <f>+N377+S377+X377+ABS(Y377)-ABS(AA377)+ABS(Z377)+ABS(AB377)+ABS(AD377)-ABS(AE377)+AC377+W377+Q377</f>
        <v>0</v>
      </c>
      <c r="P377" s="271">
        <f>+O377-N377</f>
        <v>0</v>
      </c>
      <c r="Q377" s="520"/>
      <c r="R377" s="354">
        <f>IF(ISERROR(VLOOKUP("SOC"&amp;$C377,ESTR_PREC_SP!$A$2:$G$2000,4,FALSE))=TRUE,0,VLOOKUP("SOC"&amp;$C377,ESTR_PREC_SP!$A$2:$G$2000,4,FALSE))</f>
        <v>0</v>
      </c>
      <c r="S377" s="521"/>
      <c r="T377" s="521"/>
      <c r="U377" s="521"/>
      <c r="W377" s="520"/>
      <c r="X377" s="520"/>
      <c r="Y377" s="520"/>
      <c r="Z377" s="520"/>
      <c r="AA377" s="520"/>
      <c r="AB377" s="520"/>
      <c r="AC377" s="520"/>
      <c r="AD377" s="520"/>
      <c r="AE377" s="520"/>
    </row>
    <row r="378" spans="2:39" s="204" customFormat="1" x14ac:dyDescent="0.25">
      <c r="B378" s="289"/>
      <c r="C378" s="289"/>
      <c r="D378" s="211"/>
      <c r="E378" s="211"/>
      <c r="F378" s="211"/>
      <c r="G378" s="211"/>
      <c r="H378" s="211"/>
      <c r="I378" s="211"/>
      <c r="J378" s="211"/>
      <c r="K378" s="211"/>
      <c r="L378" s="232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</row>
    <row r="379" spans="2:39" s="204" customFormat="1" ht="25.5" x14ac:dyDescent="0.25">
      <c r="B379" s="293"/>
      <c r="C379" s="293"/>
      <c r="D379" s="230"/>
      <c r="E379" s="230"/>
      <c r="F379" s="230"/>
      <c r="G379" s="230"/>
      <c r="H379" s="231"/>
      <c r="I379" s="230"/>
      <c r="J379" s="230"/>
      <c r="K379" s="230"/>
      <c r="L379" s="255"/>
      <c r="M379" s="244"/>
      <c r="N379" s="256" t="str">
        <f>N$15</f>
        <v>Valore netto al 31/12/2019</v>
      </c>
      <c r="O379" s="256" t="str">
        <f>O$15</f>
        <v>Valore netto al 31/12/2020</v>
      </c>
      <c r="P379" s="256" t="str">
        <f>P$15</f>
        <v>Variazione</v>
      </c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</row>
    <row r="380" spans="2:39" s="204" customFormat="1" x14ac:dyDescent="0.25">
      <c r="B380" s="292" t="s">
        <v>854</v>
      </c>
      <c r="C380" s="292" t="s">
        <v>855</v>
      </c>
      <c r="D380" s="247" t="s">
        <v>3382</v>
      </c>
      <c r="E380" s="247"/>
      <c r="F380" s="247"/>
      <c r="G380" s="247"/>
      <c r="H380" s="248"/>
      <c r="I380" s="247"/>
      <c r="J380" s="247"/>
      <c r="K380" s="249"/>
      <c r="L380" s="257" t="s">
        <v>857</v>
      </c>
      <c r="M380" s="251" t="s">
        <v>2962</v>
      </c>
      <c r="N380" s="252">
        <f>+N382-N399</f>
        <v>0</v>
      </c>
      <c r="O380" s="252">
        <f>+O382-O399</f>
        <v>0</v>
      </c>
      <c r="P380" s="253">
        <f>+O380-N380</f>
        <v>0</v>
      </c>
      <c r="Q380" s="285"/>
      <c r="R380" s="285"/>
      <c r="S380" s="252">
        <f>+S382-S399</f>
        <v>0</v>
      </c>
      <c r="T380" s="285"/>
      <c r="U380" s="285"/>
      <c r="V380" s="285"/>
      <c r="W380" s="211"/>
      <c r="X380" s="252">
        <f>+X382-X399</f>
        <v>0</v>
      </c>
      <c r="Y380" s="285"/>
      <c r="Z380" s="285"/>
      <c r="AA380" s="285"/>
    </row>
    <row r="381" spans="2:39" s="204" customFormat="1" x14ac:dyDescent="0.25">
      <c r="B381" s="293"/>
      <c r="C381" s="293"/>
      <c r="D381" s="230"/>
      <c r="E381" s="230"/>
      <c r="F381" s="230"/>
      <c r="G381" s="285"/>
      <c r="H381" s="321"/>
      <c r="I381" s="285"/>
      <c r="J381" s="285"/>
      <c r="K381" s="285"/>
      <c r="L381" s="322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</row>
    <row r="382" spans="2:39" s="204" customFormat="1" x14ac:dyDescent="0.25">
      <c r="B382" s="292" t="s">
        <v>858</v>
      </c>
      <c r="C382" s="292" t="s">
        <v>859</v>
      </c>
      <c r="D382" s="247" t="s">
        <v>3383</v>
      </c>
      <c r="E382" s="247"/>
      <c r="F382" s="247"/>
      <c r="G382" s="247"/>
      <c r="H382" s="248"/>
      <c r="I382" s="247"/>
      <c r="J382" s="247"/>
      <c r="K382" s="249"/>
      <c r="L382" s="276" t="s">
        <v>862</v>
      </c>
      <c r="M382" s="251" t="s">
        <v>2962</v>
      </c>
      <c r="N382" s="252">
        <f>SUM(N385:N396)</f>
        <v>0</v>
      </c>
      <c r="O382" s="252">
        <f>SUM(O385:O396)</f>
        <v>0</v>
      </c>
      <c r="P382" s="259">
        <f>+O382-N382</f>
        <v>0</v>
      </c>
      <c r="Q382" s="252">
        <f>SUM(Q385:Q396)</f>
        <v>0</v>
      </c>
      <c r="R382" s="252">
        <f>SUM(R385:R396)</f>
        <v>0</v>
      </c>
      <c r="S382" s="252">
        <f>+T385</f>
        <v>0</v>
      </c>
      <c r="T382" s="252">
        <f>SUM(T385:T396)</f>
        <v>0</v>
      </c>
      <c r="U382" s="252">
        <f>SUM(U385:U396)</f>
        <v>0</v>
      </c>
      <c r="W382" s="252">
        <f t="shared" ref="W382:AE382" si="55">SUM(W385:W396)</f>
        <v>0</v>
      </c>
      <c r="X382" s="252">
        <f t="shared" si="55"/>
        <v>0</v>
      </c>
      <c r="Y382" s="252">
        <f t="shared" si="55"/>
        <v>0</v>
      </c>
      <c r="Z382" s="252">
        <f t="shared" si="55"/>
        <v>0</v>
      </c>
      <c r="AA382" s="252">
        <f t="shared" si="55"/>
        <v>0</v>
      </c>
      <c r="AB382" s="252">
        <f t="shared" si="55"/>
        <v>0</v>
      </c>
      <c r="AC382" s="252">
        <f t="shared" si="55"/>
        <v>0</v>
      </c>
      <c r="AD382" s="252">
        <f t="shared" si="55"/>
        <v>0</v>
      </c>
      <c r="AE382" s="252">
        <f t="shared" si="55"/>
        <v>0</v>
      </c>
    </row>
    <row r="383" spans="2:39" s="204" customFormat="1" x14ac:dyDescent="0.25">
      <c r="B383" s="293"/>
      <c r="C383" s="293"/>
      <c r="D383" s="230"/>
      <c r="E383" s="230"/>
      <c r="F383" s="230"/>
      <c r="G383" s="230"/>
      <c r="H383" s="231"/>
      <c r="I383" s="230"/>
      <c r="J383" s="230"/>
      <c r="K383" s="285"/>
      <c r="L383" s="322"/>
      <c r="M383" s="285"/>
      <c r="N383" s="285"/>
      <c r="O383" s="285"/>
      <c r="P383" s="285"/>
      <c r="Q383" s="285"/>
      <c r="R383" s="285"/>
      <c r="T383" s="285"/>
      <c r="U383" s="285"/>
      <c r="V383" s="285"/>
      <c r="W383" s="285"/>
      <c r="X383" s="285"/>
      <c r="Y383" s="285"/>
      <c r="Z383" s="285"/>
      <c r="AA383" s="285"/>
    </row>
    <row r="384" spans="2:39" s="204" customFormat="1" ht="89.25" x14ac:dyDescent="0.25">
      <c r="B384" s="294" t="s">
        <v>2968</v>
      </c>
      <c r="C384" s="294" t="s">
        <v>2969</v>
      </c>
      <c r="D384" s="206" t="s">
        <v>72</v>
      </c>
      <c r="E384" s="206"/>
      <c r="F384" s="206"/>
      <c r="G384" s="207"/>
      <c r="H384" s="207"/>
      <c r="I384" s="207"/>
      <c r="J384" s="207" t="s">
        <v>2957</v>
      </c>
      <c r="K384" s="206" t="s">
        <v>82</v>
      </c>
      <c r="L384" s="261" t="s">
        <v>2970</v>
      </c>
      <c r="M384" s="260"/>
      <c r="N384" s="256" t="str">
        <f>N$15</f>
        <v>Valore netto al 31/12/2019</v>
      </c>
      <c r="O384" s="256" t="str">
        <f>O$15</f>
        <v>Valore netto al 31/12/2020</v>
      </c>
      <c r="P384" s="256" t="str">
        <f>P$15</f>
        <v>Variazione</v>
      </c>
      <c r="Q384" s="262" t="s">
        <v>2971</v>
      </c>
      <c r="R384" s="262" t="str">
        <f>"Costo storico al 31/12/"&amp;Info!$B$3-1</f>
        <v>Costo storico al 31/12/2019</v>
      </c>
      <c r="S384" s="262" t="s">
        <v>2972</v>
      </c>
      <c r="T384" s="262" t="s">
        <v>2973</v>
      </c>
      <c r="U384" s="262" t="s">
        <v>2974</v>
      </c>
      <c r="W384" s="262" t="s">
        <v>4391</v>
      </c>
      <c r="X384" s="262" t="s">
        <v>2976</v>
      </c>
      <c r="Y384" s="262" t="s">
        <v>2977</v>
      </c>
      <c r="Z384" s="262" t="s">
        <v>2978</v>
      </c>
      <c r="AA384" s="262" t="s">
        <v>2979</v>
      </c>
      <c r="AB384" s="262" t="s">
        <v>2980</v>
      </c>
      <c r="AC384" s="262" t="s">
        <v>2981</v>
      </c>
      <c r="AD384" s="262" t="s">
        <v>2982</v>
      </c>
      <c r="AE384" s="262" t="s">
        <v>2983</v>
      </c>
    </row>
    <row r="385" spans="2:31" s="204" customFormat="1" ht="15" customHeight="1" x14ac:dyDescent="0.25">
      <c r="B385" s="287" t="s">
        <v>863</v>
      </c>
      <c r="C385" s="287" t="s">
        <v>864</v>
      </c>
      <c r="D385" s="274" t="s">
        <v>3384</v>
      </c>
      <c r="E385" s="274"/>
      <c r="F385" s="274"/>
      <c r="G385" s="283"/>
      <c r="H385" s="266"/>
      <c r="I385" s="281"/>
      <c r="J385" s="281"/>
      <c r="K385" s="281"/>
      <c r="L385" s="288" t="s">
        <v>3385</v>
      </c>
      <c r="M385" s="263" t="s">
        <v>2962</v>
      </c>
      <c r="N385" s="269">
        <f t="shared" ref="N385:N396" si="56">+R385+T385-U385</f>
        <v>0</v>
      </c>
      <c r="O385" s="270">
        <f t="shared" ref="O385:O396" si="57">+N385+S385+X385+ABS(Y385)-ABS(AA385)+ABS(Z385)+ABS(AB385)+ABS(AD385)-ABS(AE385)+AC385+W385+Q385</f>
        <v>0</v>
      </c>
      <c r="P385" s="271">
        <f t="shared" ref="P385:P396" si="58">+O385-N385</f>
        <v>0</v>
      </c>
      <c r="Q385" s="520"/>
      <c r="R385" s="354">
        <f>IF(ISERROR(VLOOKUP("SOC"&amp;$C385,ESTR_PREC_SP!$A$2:$G$2000,4,FALSE))=TRUE,0,VLOOKUP("SOC"&amp;$C385,ESTR_PREC_SP!$A$2:$G$2000,4,FALSE))</f>
        <v>0</v>
      </c>
      <c r="S385" s="521"/>
      <c r="T385" s="521"/>
      <c r="U385" s="521"/>
      <c r="W385" s="520"/>
      <c r="X385" s="520"/>
      <c r="Y385" s="520"/>
      <c r="Z385" s="520"/>
      <c r="AA385" s="520"/>
      <c r="AB385" s="520"/>
      <c r="AC385" s="520"/>
      <c r="AD385" s="520"/>
      <c r="AE385" s="520"/>
    </row>
    <row r="386" spans="2:31" s="204" customFormat="1" x14ac:dyDescent="0.25">
      <c r="B386" s="287" t="s">
        <v>866</v>
      </c>
      <c r="C386" s="287" t="s">
        <v>867</v>
      </c>
      <c r="D386" s="274" t="s">
        <v>3386</v>
      </c>
      <c r="E386" s="274"/>
      <c r="F386" s="274"/>
      <c r="G386" s="283"/>
      <c r="H386" s="266"/>
      <c r="I386" s="281"/>
      <c r="J386" s="281"/>
      <c r="K386" s="281"/>
      <c r="L386" s="288" t="s">
        <v>3387</v>
      </c>
      <c r="M386" s="263" t="s">
        <v>2962</v>
      </c>
      <c r="N386" s="269">
        <f t="shared" si="56"/>
        <v>0</v>
      </c>
      <c r="O386" s="270">
        <f t="shared" si="57"/>
        <v>0</v>
      </c>
      <c r="P386" s="271">
        <f t="shared" si="58"/>
        <v>0</v>
      </c>
      <c r="Q386" s="520"/>
      <c r="R386" s="354">
        <f>IF(ISERROR(VLOOKUP("SOC"&amp;$C386,ESTR_PREC_SP!$A$2:$G$2000,4,FALSE))=TRUE,0,VLOOKUP("SOC"&amp;$C386,ESTR_PREC_SP!$A$2:$G$2000,4,FALSE))</f>
        <v>0</v>
      </c>
      <c r="S386" s="521"/>
      <c r="T386" s="521"/>
      <c r="U386" s="521"/>
      <c r="W386" s="520"/>
      <c r="X386" s="520"/>
      <c r="Y386" s="520"/>
      <c r="Z386" s="520"/>
      <c r="AA386" s="520"/>
      <c r="AB386" s="520"/>
      <c r="AC386" s="520"/>
      <c r="AD386" s="520"/>
      <c r="AE386" s="520"/>
    </row>
    <row r="387" spans="2:31" s="204" customFormat="1" x14ac:dyDescent="0.25">
      <c r="B387" s="287" t="s">
        <v>869</v>
      </c>
      <c r="C387" s="287" t="s">
        <v>870</v>
      </c>
      <c r="D387" s="274" t="s">
        <v>3388</v>
      </c>
      <c r="E387" s="274"/>
      <c r="F387" s="274"/>
      <c r="G387" s="283"/>
      <c r="H387" s="266"/>
      <c r="I387" s="281"/>
      <c r="J387" s="281"/>
      <c r="K387" s="281"/>
      <c r="L387" s="324" t="s">
        <v>3389</v>
      </c>
      <c r="M387" s="284" t="s">
        <v>2962</v>
      </c>
      <c r="N387" s="269">
        <f t="shared" si="56"/>
        <v>0</v>
      </c>
      <c r="O387" s="270">
        <f t="shared" si="57"/>
        <v>0</v>
      </c>
      <c r="P387" s="271">
        <f t="shared" si="58"/>
        <v>0</v>
      </c>
      <c r="Q387" s="520"/>
      <c r="R387" s="354">
        <f>IF(ISERROR(VLOOKUP("SOC"&amp;$C387,ESTR_PREC_SP!$A$2:$G$2000,4,FALSE))=TRUE,0,VLOOKUP("SOC"&amp;$C387,ESTR_PREC_SP!$A$2:$G$2000,4,FALSE))</f>
        <v>0</v>
      </c>
      <c r="S387" s="521"/>
      <c r="T387" s="521"/>
      <c r="U387" s="521"/>
      <c r="W387" s="520"/>
      <c r="X387" s="520"/>
      <c r="Y387" s="520"/>
      <c r="Z387" s="520"/>
      <c r="AA387" s="520"/>
      <c r="AB387" s="520"/>
      <c r="AC387" s="520"/>
      <c r="AD387" s="520"/>
      <c r="AE387" s="520"/>
    </row>
    <row r="388" spans="2:31" s="204" customFormat="1" x14ac:dyDescent="0.25">
      <c r="B388" s="287" t="s">
        <v>872</v>
      </c>
      <c r="C388" s="287" t="s">
        <v>873</v>
      </c>
      <c r="D388" s="274" t="s">
        <v>3390</v>
      </c>
      <c r="E388" s="274"/>
      <c r="F388" s="274"/>
      <c r="G388" s="283"/>
      <c r="H388" s="266"/>
      <c r="I388" s="281"/>
      <c r="J388" s="281"/>
      <c r="K388" s="281"/>
      <c r="L388" s="324" t="s">
        <v>3391</v>
      </c>
      <c r="M388" s="284" t="s">
        <v>2962</v>
      </c>
      <c r="N388" s="269">
        <f t="shared" si="56"/>
        <v>0</v>
      </c>
      <c r="O388" s="270">
        <f t="shared" si="57"/>
        <v>0</v>
      </c>
      <c r="P388" s="271">
        <f t="shared" si="58"/>
        <v>0</v>
      </c>
      <c r="Q388" s="520"/>
      <c r="R388" s="354">
        <f>IF(ISERROR(VLOOKUP("SOC"&amp;$C388,ESTR_PREC_SP!$A$2:$G$2000,4,FALSE))=TRUE,0,VLOOKUP("SOC"&amp;$C388,ESTR_PREC_SP!$A$2:$G$2000,4,FALSE))</f>
        <v>0</v>
      </c>
      <c r="S388" s="521"/>
      <c r="T388" s="521"/>
      <c r="U388" s="521"/>
      <c r="W388" s="520"/>
      <c r="X388" s="520"/>
      <c r="Y388" s="520"/>
      <c r="Z388" s="520"/>
      <c r="AA388" s="520"/>
      <c r="AB388" s="520"/>
      <c r="AC388" s="520"/>
      <c r="AD388" s="520"/>
      <c r="AE388" s="520"/>
    </row>
    <row r="389" spans="2:31" s="204" customFormat="1" x14ac:dyDescent="0.25">
      <c r="B389" s="287" t="s">
        <v>875</v>
      </c>
      <c r="C389" s="287" t="s">
        <v>876</v>
      </c>
      <c r="D389" s="274" t="s">
        <v>3392</v>
      </c>
      <c r="E389" s="274"/>
      <c r="F389" s="274"/>
      <c r="G389" s="283"/>
      <c r="H389" s="266"/>
      <c r="I389" s="281"/>
      <c r="J389" s="281"/>
      <c r="K389" s="281"/>
      <c r="L389" s="324" t="s">
        <v>3393</v>
      </c>
      <c r="M389" s="284" t="s">
        <v>2962</v>
      </c>
      <c r="N389" s="269">
        <f t="shared" si="56"/>
        <v>0</v>
      </c>
      <c r="O389" s="270">
        <f t="shared" si="57"/>
        <v>0</v>
      </c>
      <c r="P389" s="271">
        <f t="shared" si="58"/>
        <v>0</v>
      </c>
      <c r="Q389" s="520"/>
      <c r="R389" s="354">
        <f>IF(ISERROR(VLOOKUP("SOC"&amp;$C389,ESTR_PREC_SP!$A$2:$G$2000,4,FALSE))=TRUE,0,VLOOKUP("SOC"&amp;$C389,ESTR_PREC_SP!$A$2:$G$2000,4,FALSE))</f>
        <v>0</v>
      </c>
      <c r="S389" s="521"/>
      <c r="T389" s="521"/>
      <c r="U389" s="521"/>
      <c r="W389" s="520"/>
      <c r="X389" s="520"/>
      <c r="Y389" s="520"/>
      <c r="Z389" s="520"/>
      <c r="AA389" s="520"/>
      <c r="AB389" s="520"/>
      <c r="AC389" s="520"/>
      <c r="AD389" s="520"/>
      <c r="AE389" s="520"/>
    </row>
    <row r="390" spans="2:31" s="204" customFormat="1" x14ac:dyDescent="0.25">
      <c r="B390" s="287" t="s">
        <v>878</v>
      </c>
      <c r="C390" s="287" t="s">
        <v>879</v>
      </c>
      <c r="D390" s="274" t="s">
        <v>3394</v>
      </c>
      <c r="E390" s="274"/>
      <c r="F390" s="274"/>
      <c r="G390" s="283"/>
      <c r="H390" s="266"/>
      <c r="I390" s="281"/>
      <c r="J390" s="281"/>
      <c r="K390" s="281"/>
      <c r="L390" s="324" t="s">
        <v>3395</v>
      </c>
      <c r="M390" s="284" t="s">
        <v>2962</v>
      </c>
      <c r="N390" s="269">
        <f t="shared" si="56"/>
        <v>0</v>
      </c>
      <c r="O390" s="270">
        <f t="shared" si="57"/>
        <v>0</v>
      </c>
      <c r="P390" s="271">
        <f t="shared" si="58"/>
        <v>0</v>
      </c>
      <c r="Q390" s="520"/>
      <c r="R390" s="354">
        <f>IF(ISERROR(VLOOKUP("SOC"&amp;$C390,ESTR_PREC_SP!$A$2:$G$2000,4,FALSE))=TRUE,0,VLOOKUP("SOC"&amp;$C390,ESTR_PREC_SP!$A$2:$G$2000,4,FALSE))</f>
        <v>0</v>
      </c>
      <c r="S390" s="521"/>
      <c r="T390" s="521"/>
      <c r="U390" s="521"/>
      <c r="W390" s="520"/>
      <c r="X390" s="520"/>
      <c r="Y390" s="520"/>
      <c r="Z390" s="520"/>
      <c r="AA390" s="520"/>
      <c r="AB390" s="520"/>
      <c r="AC390" s="520"/>
      <c r="AD390" s="520"/>
      <c r="AE390" s="520"/>
    </row>
    <row r="391" spans="2:31" s="204" customFormat="1" ht="15" customHeight="1" x14ac:dyDescent="0.25">
      <c r="B391" s="287" t="s">
        <v>881</v>
      </c>
      <c r="C391" s="287" t="s">
        <v>882</v>
      </c>
      <c r="D391" s="274" t="s">
        <v>3396</v>
      </c>
      <c r="E391" s="274"/>
      <c r="F391" s="274"/>
      <c r="G391" s="283"/>
      <c r="H391" s="266"/>
      <c r="I391" s="281"/>
      <c r="J391" s="281"/>
      <c r="K391" s="281"/>
      <c r="L391" s="288" t="s">
        <v>3397</v>
      </c>
      <c r="M391" s="284" t="s">
        <v>2962</v>
      </c>
      <c r="N391" s="269">
        <f t="shared" si="56"/>
        <v>0</v>
      </c>
      <c r="O391" s="270">
        <f t="shared" si="57"/>
        <v>0</v>
      </c>
      <c r="P391" s="271">
        <f t="shared" si="58"/>
        <v>0</v>
      </c>
      <c r="Q391" s="520"/>
      <c r="R391" s="354">
        <f>IF(ISERROR(VLOOKUP("SOC"&amp;$C391,ESTR_PREC_SP!$A$2:$G$2000,4,FALSE))=TRUE,0,VLOOKUP("SOC"&amp;$C391,ESTR_PREC_SP!$A$2:$G$2000,4,FALSE))</f>
        <v>0</v>
      </c>
      <c r="S391" s="521"/>
      <c r="T391" s="521"/>
      <c r="U391" s="521"/>
      <c r="W391" s="520"/>
      <c r="X391" s="520"/>
      <c r="Y391" s="520"/>
      <c r="Z391" s="520"/>
      <c r="AA391" s="520"/>
      <c r="AB391" s="520"/>
      <c r="AC391" s="520"/>
      <c r="AD391" s="520"/>
      <c r="AE391" s="520"/>
    </row>
    <row r="392" spans="2:31" s="204" customFormat="1" x14ac:dyDescent="0.25">
      <c r="B392" s="287" t="s">
        <v>884</v>
      </c>
      <c r="C392" s="287" t="s">
        <v>885</v>
      </c>
      <c r="D392" s="274" t="s">
        <v>3398</v>
      </c>
      <c r="E392" s="274"/>
      <c r="F392" s="274"/>
      <c r="G392" s="283"/>
      <c r="H392" s="266"/>
      <c r="I392" s="281"/>
      <c r="J392" s="281"/>
      <c r="K392" s="281"/>
      <c r="L392" s="288" t="s">
        <v>3399</v>
      </c>
      <c r="M392" s="284" t="s">
        <v>2962</v>
      </c>
      <c r="N392" s="269">
        <f t="shared" si="56"/>
        <v>0</v>
      </c>
      <c r="O392" s="270">
        <f t="shared" si="57"/>
        <v>0</v>
      </c>
      <c r="P392" s="271">
        <f t="shared" si="58"/>
        <v>0</v>
      </c>
      <c r="Q392" s="520"/>
      <c r="R392" s="354">
        <f>IF(ISERROR(VLOOKUP("SOC"&amp;$C392,ESTR_PREC_SP!$A$2:$G$2000,4,FALSE))=TRUE,0,VLOOKUP("SOC"&amp;$C392,ESTR_PREC_SP!$A$2:$G$2000,4,FALSE))</f>
        <v>0</v>
      </c>
      <c r="S392" s="521"/>
      <c r="T392" s="521"/>
      <c r="U392" s="521"/>
      <c r="W392" s="520"/>
      <c r="X392" s="520"/>
      <c r="Y392" s="520"/>
      <c r="Z392" s="520"/>
      <c r="AA392" s="520"/>
      <c r="AB392" s="520"/>
      <c r="AC392" s="520"/>
      <c r="AD392" s="520"/>
      <c r="AE392" s="520"/>
    </row>
    <row r="393" spans="2:31" s="204" customFormat="1" ht="25.5" x14ac:dyDescent="0.25">
      <c r="B393" s="287" t="s">
        <v>887</v>
      </c>
      <c r="C393" s="287" t="s">
        <v>888</v>
      </c>
      <c r="D393" s="274" t="s">
        <v>3400</v>
      </c>
      <c r="E393" s="274"/>
      <c r="F393" s="274"/>
      <c r="G393" s="283"/>
      <c r="H393" s="266"/>
      <c r="I393" s="281"/>
      <c r="J393" s="281"/>
      <c r="K393" s="281"/>
      <c r="L393" s="288" t="s">
        <v>3401</v>
      </c>
      <c r="M393" s="284" t="s">
        <v>2962</v>
      </c>
      <c r="N393" s="269">
        <f t="shared" si="56"/>
        <v>0</v>
      </c>
      <c r="O393" s="270">
        <f t="shared" si="57"/>
        <v>0</v>
      </c>
      <c r="P393" s="271">
        <f t="shared" si="58"/>
        <v>0</v>
      </c>
      <c r="Q393" s="520"/>
      <c r="R393" s="354">
        <f>IF(ISERROR(VLOOKUP("SOC"&amp;$C393,ESTR_PREC_SP!$A$2:$G$2000,4,FALSE))=TRUE,0,VLOOKUP("SOC"&amp;$C393,ESTR_PREC_SP!$A$2:$G$2000,4,FALSE))</f>
        <v>0</v>
      </c>
      <c r="S393" s="521"/>
      <c r="T393" s="521"/>
      <c r="U393" s="521"/>
      <c r="W393" s="520"/>
      <c r="X393" s="520"/>
      <c r="Y393" s="520"/>
      <c r="Z393" s="520"/>
      <c r="AA393" s="520"/>
      <c r="AB393" s="520"/>
      <c r="AC393" s="520"/>
      <c r="AD393" s="520"/>
      <c r="AE393" s="520"/>
    </row>
    <row r="394" spans="2:31" s="204" customFormat="1" ht="15" customHeight="1" x14ac:dyDescent="0.25">
      <c r="B394" s="287" t="s">
        <v>890</v>
      </c>
      <c r="C394" s="287" t="s">
        <v>891</v>
      </c>
      <c r="D394" s="274" t="s">
        <v>3402</v>
      </c>
      <c r="E394" s="274"/>
      <c r="F394" s="274"/>
      <c r="G394" s="283"/>
      <c r="H394" s="266"/>
      <c r="I394" s="281"/>
      <c r="J394" s="281"/>
      <c r="K394" s="281"/>
      <c r="L394" s="288" t="s">
        <v>3403</v>
      </c>
      <c r="M394" s="284" t="s">
        <v>2962</v>
      </c>
      <c r="N394" s="269">
        <f t="shared" si="56"/>
        <v>0</v>
      </c>
      <c r="O394" s="270">
        <f t="shared" si="57"/>
        <v>0</v>
      </c>
      <c r="P394" s="271">
        <f t="shared" si="58"/>
        <v>0</v>
      </c>
      <c r="Q394" s="520"/>
      <c r="R394" s="354">
        <f>IF(ISERROR(VLOOKUP("SOC"&amp;$C394,ESTR_PREC_SP!$A$2:$G$2000,4,FALSE))=TRUE,0,VLOOKUP("SOC"&amp;$C394,ESTR_PREC_SP!$A$2:$G$2000,4,FALSE))</f>
        <v>0</v>
      </c>
      <c r="S394" s="521"/>
      <c r="T394" s="521"/>
      <c r="U394" s="521"/>
      <c r="W394" s="520"/>
      <c r="X394" s="520"/>
      <c r="Y394" s="520"/>
      <c r="Z394" s="520"/>
      <c r="AA394" s="520"/>
      <c r="AB394" s="520"/>
      <c r="AC394" s="520"/>
      <c r="AD394" s="520"/>
      <c r="AE394" s="520"/>
    </row>
    <row r="395" spans="2:31" s="204" customFormat="1" x14ac:dyDescent="0.25">
      <c r="B395" s="287" t="s">
        <v>893</v>
      </c>
      <c r="C395" s="287" t="s">
        <v>894</v>
      </c>
      <c r="D395" s="274" t="s">
        <v>3404</v>
      </c>
      <c r="E395" s="274"/>
      <c r="F395" s="274"/>
      <c r="G395" s="283"/>
      <c r="H395" s="266"/>
      <c r="I395" s="281"/>
      <c r="J395" s="281"/>
      <c r="K395" s="281"/>
      <c r="L395" s="295" t="s">
        <v>3405</v>
      </c>
      <c r="M395" s="284" t="s">
        <v>2962</v>
      </c>
      <c r="N395" s="269">
        <f t="shared" si="56"/>
        <v>0</v>
      </c>
      <c r="O395" s="270">
        <f t="shared" si="57"/>
        <v>0</v>
      </c>
      <c r="P395" s="271">
        <f t="shared" si="58"/>
        <v>0</v>
      </c>
      <c r="Q395" s="520"/>
      <c r="R395" s="354">
        <f>IF(ISERROR(VLOOKUP("SOC"&amp;$C395,ESTR_PREC_SP!$A$2:$G$2000,4,FALSE))=TRUE,0,VLOOKUP("SOC"&amp;$C395,ESTR_PREC_SP!$A$2:$G$2000,4,FALSE))</f>
        <v>0</v>
      </c>
      <c r="S395" s="521"/>
      <c r="T395" s="521"/>
      <c r="U395" s="521"/>
      <c r="W395" s="520"/>
      <c r="X395" s="520"/>
      <c r="Y395" s="520"/>
      <c r="Z395" s="520"/>
      <c r="AA395" s="520"/>
      <c r="AB395" s="520"/>
      <c r="AC395" s="520"/>
      <c r="AD395" s="520"/>
      <c r="AE395" s="520"/>
    </row>
    <row r="396" spans="2:31" s="204" customFormat="1" x14ac:dyDescent="0.25">
      <c r="B396" s="287" t="s">
        <v>896</v>
      </c>
      <c r="C396" s="287" t="s">
        <v>897</v>
      </c>
      <c r="D396" s="274" t="s">
        <v>3406</v>
      </c>
      <c r="E396" s="274"/>
      <c r="F396" s="274"/>
      <c r="G396" s="283"/>
      <c r="H396" s="266"/>
      <c r="I396" s="281"/>
      <c r="J396" s="281"/>
      <c r="K396" s="281"/>
      <c r="L396" s="295" t="s">
        <v>3407</v>
      </c>
      <c r="M396" s="284" t="s">
        <v>2962</v>
      </c>
      <c r="N396" s="269">
        <f t="shared" si="56"/>
        <v>0</v>
      </c>
      <c r="O396" s="270">
        <f t="shared" si="57"/>
        <v>0</v>
      </c>
      <c r="P396" s="271">
        <f t="shared" si="58"/>
        <v>0</v>
      </c>
      <c r="Q396" s="520"/>
      <c r="R396" s="354">
        <f>IF(ISERROR(VLOOKUP("SOC"&amp;$C396,ESTR_PREC_SP!$A$2:$G$2000,4,FALSE))=TRUE,0,VLOOKUP("SOC"&amp;$C396,ESTR_PREC_SP!$A$2:$G$2000,4,FALSE))</f>
        <v>0</v>
      </c>
      <c r="S396" s="521"/>
      <c r="T396" s="521"/>
      <c r="U396" s="521"/>
      <c r="W396" s="520"/>
      <c r="X396" s="520"/>
      <c r="Y396" s="520"/>
      <c r="Z396" s="520"/>
      <c r="AA396" s="520"/>
      <c r="AB396" s="520"/>
      <c r="AC396" s="520"/>
      <c r="AD396" s="520"/>
      <c r="AE396" s="520"/>
    </row>
    <row r="397" spans="2:31" s="204" customFormat="1" x14ac:dyDescent="0.25">
      <c r="B397" s="293"/>
      <c r="C397" s="293"/>
      <c r="D397" s="230"/>
      <c r="E397" s="230"/>
      <c r="F397" s="230"/>
      <c r="G397" s="230"/>
      <c r="H397" s="231"/>
      <c r="I397" s="230"/>
      <c r="J397" s="230"/>
      <c r="K397" s="230"/>
      <c r="L397" s="296" t="s">
        <v>3408</v>
      </c>
      <c r="M397" s="216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</row>
    <row r="398" spans="2:31" s="204" customFormat="1" x14ac:dyDescent="0.25">
      <c r="B398" s="293"/>
      <c r="C398" s="293"/>
      <c r="D398" s="230"/>
      <c r="E398" s="230"/>
      <c r="F398" s="230"/>
      <c r="G398" s="230"/>
      <c r="H398" s="231"/>
      <c r="I398" s="230"/>
      <c r="J398" s="230"/>
      <c r="K398" s="230"/>
      <c r="L398" s="296"/>
      <c r="M398" s="216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</row>
    <row r="399" spans="2:31" s="204" customFormat="1" x14ac:dyDescent="0.25">
      <c r="B399" s="292" t="s">
        <v>899</v>
      </c>
      <c r="C399" s="292" t="s">
        <v>900</v>
      </c>
      <c r="D399" s="247" t="s">
        <v>3409</v>
      </c>
      <c r="E399" s="247"/>
      <c r="F399" s="247"/>
      <c r="G399" s="247"/>
      <c r="H399" s="248"/>
      <c r="I399" s="247"/>
      <c r="J399" s="247"/>
      <c r="K399" s="249"/>
      <c r="L399" s="276" t="s">
        <v>903</v>
      </c>
      <c r="M399" s="251" t="s">
        <v>2962</v>
      </c>
      <c r="N399" s="252">
        <f>SUM(N402:N413)</f>
        <v>0</v>
      </c>
      <c r="O399" s="252">
        <f>SUM(O402:O413)</f>
        <v>0</v>
      </c>
      <c r="P399" s="259">
        <f>+O399-N399</f>
        <v>0</v>
      </c>
      <c r="Q399" s="252">
        <f>SUM(Q402:Q413)</f>
        <v>0</v>
      </c>
      <c r="R399" s="252">
        <f>SUM(R402:R413)</f>
        <v>0</v>
      </c>
      <c r="S399" s="252">
        <f>+T402</f>
        <v>0</v>
      </c>
      <c r="W399" s="252">
        <f>SUM(W402:W413)</f>
        <v>0</v>
      </c>
      <c r="X399" s="252">
        <f>SUM(X402:X413)</f>
        <v>0</v>
      </c>
      <c r="Y399" s="252">
        <f>SUM(Y402:Y413)</f>
        <v>0</v>
      </c>
      <c r="Z399" s="252">
        <f>SUM(Z402:Z413)</f>
        <v>0</v>
      </c>
      <c r="AA399" s="285"/>
    </row>
    <row r="400" spans="2:31" s="204" customFormat="1" x14ac:dyDescent="0.25">
      <c r="B400" s="293"/>
      <c r="C400" s="293"/>
      <c r="D400" s="230"/>
      <c r="E400" s="230"/>
      <c r="F400" s="230"/>
      <c r="G400" s="230"/>
      <c r="H400" s="231"/>
      <c r="I400" s="230"/>
      <c r="J400" s="230"/>
      <c r="K400" s="285"/>
      <c r="L400" s="322"/>
      <c r="M400" s="285"/>
      <c r="N400" s="285"/>
      <c r="O400" s="211"/>
      <c r="P400" s="211"/>
      <c r="Q400" s="211"/>
      <c r="R400" s="211"/>
      <c r="W400" s="285"/>
      <c r="X400" s="285"/>
      <c r="Y400" s="285"/>
      <c r="Z400" s="285"/>
      <c r="AA400" s="285"/>
    </row>
    <row r="401" spans="2:27" s="204" customFormat="1" ht="89.25" x14ac:dyDescent="0.25">
      <c r="B401" s="294" t="s">
        <v>2968</v>
      </c>
      <c r="C401" s="294" t="s">
        <v>2969</v>
      </c>
      <c r="D401" s="206" t="s">
        <v>72</v>
      </c>
      <c r="E401" s="206"/>
      <c r="F401" s="206"/>
      <c r="G401" s="207"/>
      <c r="H401" s="207"/>
      <c r="I401" s="207"/>
      <c r="J401" s="207" t="s">
        <v>2957</v>
      </c>
      <c r="K401" s="206" t="s">
        <v>82</v>
      </c>
      <c r="L401" s="261" t="s">
        <v>2970</v>
      </c>
      <c r="M401" s="260"/>
      <c r="N401" s="256" t="str">
        <f>N$15</f>
        <v>Valore netto al 31/12/2019</v>
      </c>
      <c r="O401" s="256" t="str">
        <f>O$15</f>
        <v>Valore netto al 31/12/2020</v>
      </c>
      <c r="P401" s="256" t="str">
        <f>P$15</f>
        <v>Variazione</v>
      </c>
      <c r="Q401" s="262" t="s">
        <v>2971</v>
      </c>
      <c r="R401" s="262" t="str">
        <f>"Fondo ammortamento 31/12/"&amp;Info!$B$3-1</f>
        <v>Fondo ammortamento 31/12/2019</v>
      </c>
      <c r="S401" s="262" t="s">
        <v>2972</v>
      </c>
      <c r="W401" s="262" t="s">
        <v>4391</v>
      </c>
      <c r="X401" s="262" t="s">
        <v>2976</v>
      </c>
      <c r="Y401" s="262" t="s">
        <v>2989</v>
      </c>
      <c r="Z401" s="262" t="s">
        <v>2990</v>
      </c>
      <c r="AA401" s="285"/>
    </row>
    <row r="402" spans="2:27" s="204" customFormat="1" ht="25.5" x14ac:dyDescent="0.25">
      <c r="B402" s="287" t="s">
        <v>904</v>
      </c>
      <c r="C402" s="287" t="s">
        <v>905</v>
      </c>
      <c r="D402" s="274" t="s">
        <v>3410</v>
      </c>
      <c r="E402" s="274"/>
      <c r="F402" s="274"/>
      <c r="G402" s="283"/>
      <c r="H402" s="266"/>
      <c r="I402" s="281"/>
      <c r="J402" s="281"/>
      <c r="K402" s="281"/>
      <c r="L402" s="288" t="s">
        <v>3411</v>
      </c>
      <c r="M402" s="263" t="s">
        <v>2962</v>
      </c>
      <c r="N402" s="269">
        <f t="shared" ref="N402:N413" si="59">+R402</f>
        <v>0</v>
      </c>
      <c r="O402" s="270">
        <f t="shared" ref="O402:O413" si="60">+R402+S402+X402-ABS(Y402)+ABS(Z402)+W402+Q402</f>
        <v>0</v>
      </c>
      <c r="P402" s="271">
        <f t="shared" ref="P402:P413" si="61">+O402-N402</f>
        <v>0</v>
      </c>
      <c r="Q402" s="520"/>
      <c r="R402" s="354">
        <f>IF(ISERROR(VLOOKUP("SOC"&amp;$C402,ESTR_PREC_SP!$A$2:$G$2000,4,FALSE))=TRUE,0,VLOOKUP("SOC"&amp;$C402,ESTR_PREC_SP!$A$2:$G$2000,4,FALSE))</f>
        <v>0</v>
      </c>
      <c r="S402" s="521"/>
      <c r="V402" s="211"/>
      <c r="W402" s="520"/>
      <c r="X402" s="520"/>
      <c r="Y402" s="520"/>
      <c r="Z402" s="520"/>
      <c r="AA402" s="285"/>
    </row>
    <row r="403" spans="2:27" s="204" customFormat="1" ht="25.5" x14ac:dyDescent="0.25">
      <c r="B403" s="287" t="s">
        <v>907</v>
      </c>
      <c r="C403" s="287" t="s">
        <v>908</v>
      </c>
      <c r="D403" s="274" t="s">
        <v>3412</v>
      </c>
      <c r="E403" s="274"/>
      <c r="F403" s="274"/>
      <c r="G403" s="283"/>
      <c r="H403" s="266"/>
      <c r="I403" s="281"/>
      <c r="J403" s="281"/>
      <c r="K403" s="281"/>
      <c r="L403" s="288" t="s">
        <v>3413</v>
      </c>
      <c r="M403" s="263" t="s">
        <v>2962</v>
      </c>
      <c r="N403" s="269">
        <f t="shared" si="59"/>
        <v>0</v>
      </c>
      <c r="O403" s="270">
        <f t="shared" si="60"/>
        <v>0</v>
      </c>
      <c r="P403" s="271">
        <f t="shared" si="61"/>
        <v>0</v>
      </c>
      <c r="Q403" s="520"/>
      <c r="R403" s="354">
        <f>IF(ISERROR(VLOOKUP("SOC"&amp;$C403,ESTR_PREC_SP!$A$2:$G$2000,4,FALSE))=TRUE,0,VLOOKUP("SOC"&amp;$C403,ESTR_PREC_SP!$A$2:$G$2000,4,FALSE))</f>
        <v>0</v>
      </c>
      <c r="S403" s="521"/>
      <c r="V403" s="211"/>
      <c r="W403" s="520"/>
      <c r="X403" s="520"/>
      <c r="Y403" s="520"/>
      <c r="Z403" s="520"/>
      <c r="AA403" s="285"/>
    </row>
    <row r="404" spans="2:27" s="204" customFormat="1" x14ac:dyDescent="0.25">
      <c r="B404" s="287" t="s">
        <v>910</v>
      </c>
      <c r="C404" s="287" t="s">
        <v>911</v>
      </c>
      <c r="D404" s="274" t="s">
        <v>3414</v>
      </c>
      <c r="E404" s="274"/>
      <c r="F404" s="274"/>
      <c r="G404" s="283"/>
      <c r="H404" s="266"/>
      <c r="I404" s="281"/>
      <c r="J404" s="281"/>
      <c r="K404" s="281"/>
      <c r="L404" s="324" t="s">
        <v>3415</v>
      </c>
      <c r="M404" s="284" t="s">
        <v>2962</v>
      </c>
      <c r="N404" s="269">
        <f t="shared" si="59"/>
        <v>0</v>
      </c>
      <c r="O404" s="270">
        <f t="shared" si="60"/>
        <v>0</v>
      </c>
      <c r="P404" s="271">
        <f t="shared" si="61"/>
        <v>0</v>
      </c>
      <c r="Q404" s="520"/>
      <c r="R404" s="354">
        <f>IF(ISERROR(VLOOKUP("SOC"&amp;$C404,ESTR_PREC_SP!$A$2:$G$2000,4,FALSE))=TRUE,0,VLOOKUP("SOC"&amp;$C404,ESTR_PREC_SP!$A$2:$G$2000,4,FALSE))</f>
        <v>0</v>
      </c>
      <c r="S404" s="521"/>
      <c r="V404" s="211"/>
      <c r="W404" s="520"/>
      <c r="X404" s="520"/>
      <c r="Y404" s="520"/>
      <c r="Z404" s="520"/>
      <c r="AA404" s="285"/>
    </row>
    <row r="405" spans="2:27" s="204" customFormat="1" x14ac:dyDescent="0.25">
      <c r="B405" s="287" t="s">
        <v>913</v>
      </c>
      <c r="C405" s="287" t="s">
        <v>914</v>
      </c>
      <c r="D405" s="274" t="s">
        <v>3416</v>
      </c>
      <c r="E405" s="274"/>
      <c r="F405" s="274"/>
      <c r="G405" s="283"/>
      <c r="H405" s="266"/>
      <c r="I405" s="281"/>
      <c r="J405" s="281"/>
      <c r="K405" s="281"/>
      <c r="L405" s="324" t="s">
        <v>3417</v>
      </c>
      <c r="M405" s="284" t="s">
        <v>2962</v>
      </c>
      <c r="N405" s="269">
        <f t="shared" si="59"/>
        <v>0</v>
      </c>
      <c r="O405" s="270">
        <f t="shared" si="60"/>
        <v>0</v>
      </c>
      <c r="P405" s="271">
        <f t="shared" si="61"/>
        <v>0</v>
      </c>
      <c r="Q405" s="520"/>
      <c r="R405" s="354">
        <f>IF(ISERROR(VLOOKUP("SOC"&amp;$C405,ESTR_PREC_SP!$A$2:$G$2000,4,FALSE))=TRUE,0,VLOOKUP("SOC"&amp;$C405,ESTR_PREC_SP!$A$2:$G$2000,4,FALSE))</f>
        <v>0</v>
      </c>
      <c r="S405" s="521"/>
      <c r="V405" s="211"/>
      <c r="W405" s="520"/>
      <c r="X405" s="520"/>
      <c r="Y405" s="520"/>
      <c r="Z405" s="520"/>
      <c r="AA405" s="285"/>
    </row>
    <row r="406" spans="2:27" s="204" customFormat="1" x14ac:dyDescent="0.25">
      <c r="B406" s="287" t="s">
        <v>916</v>
      </c>
      <c r="C406" s="287" t="s">
        <v>917</v>
      </c>
      <c r="D406" s="274" t="s">
        <v>3418</v>
      </c>
      <c r="E406" s="274"/>
      <c r="F406" s="274"/>
      <c r="G406" s="283"/>
      <c r="H406" s="266"/>
      <c r="I406" s="281"/>
      <c r="J406" s="281"/>
      <c r="K406" s="281"/>
      <c r="L406" s="324" t="s">
        <v>3419</v>
      </c>
      <c r="M406" s="284" t="s">
        <v>2962</v>
      </c>
      <c r="N406" s="269">
        <f t="shared" si="59"/>
        <v>0</v>
      </c>
      <c r="O406" s="270">
        <f t="shared" si="60"/>
        <v>0</v>
      </c>
      <c r="P406" s="271">
        <f t="shared" si="61"/>
        <v>0</v>
      </c>
      <c r="Q406" s="520"/>
      <c r="R406" s="354">
        <f>IF(ISERROR(VLOOKUP("SOC"&amp;$C406,ESTR_PREC_SP!$A$2:$G$2000,4,FALSE))=TRUE,0,VLOOKUP("SOC"&amp;$C406,ESTR_PREC_SP!$A$2:$G$2000,4,FALSE))</f>
        <v>0</v>
      </c>
      <c r="S406" s="521"/>
      <c r="V406" s="211"/>
      <c r="W406" s="520"/>
      <c r="X406" s="520"/>
      <c r="Y406" s="520"/>
      <c r="Z406" s="520"/>
      <c r="AA406" s="285"/>
    </row>
    <row r="407" spans="2:27" s="204" customFormat="1" x14ac:dyDescent="0.25">
      <c r="B407" s="287" t="s">
        <v>919</v>
      </c>
      <c r="C407" s="287" t="s">
        <v>920</v>
      </c>
      <c r="D407" s="274" t="s">
        <v>3420</v>
      </c>
      <c r="E407" s="274"/>
      <c r="F407" s="274"/>
      <c r="G407" s="283"/>
      <c r="H407" s="266"/>
      <c r="I407" s="281"/>
      <c r="J407" s="281"/>
      <c r="K407" s="281"/>
      <c r="L407" s="324" t="s">
        <v>3421</v>
      </c>
      <c r="M407" s="284" t="s">
        <v>2962</v>
      </c>
      <c r="N407" s="269">
        <f t="shared" si="59"/>
        <v>0</v>
      </c>
      <c r="O407" s="270">
        <f t="shared" si="60"/>
        <v>0</v>
      </c>
      <c r="P407" s="271">
        <f t="shared" si="61"/>
        <v>0</v>
      </c>
      <c r="Q407" s="520"/>
      <c r="R407" s="354">
        <f>IF(ISERROR(VLOOKUP("SOC"&amp;$C407,ESTR_PREC_SP!$A$2:$G$2000,4,FALSE))=TRUE,0,VLOOKUP("SOC"&amp;$C407,ESTR_PREC_SP!$A$2:$G$2000,4,FALSE))</f>
        <v>0</v>
      </c>
      <c r="S407" s="521"/>
      <c r="V407" s="211"/>
      <c r="W407" s="520"/>
      <c r="X407" s="520"/>
      <c r="Y407" s="520"/>
      <c r="Z407" s="520"/>
      <c r="AA407" s="285"/>
    </row>
    <row r="408" spans="2:27" s="204" customFormat="1" ht="25.5" x14ac:dyDescent="0.25">
      <c r="B408" s="287" t="s">
        <v>922</v>
      </c>
      <c r="C408" s="287" t="s">
        <v>923</v>
      </c>
      <c r="D408" s="274" t="s">
        <v>3422</v>
      </c>
      <c r="E408" s="274"/>
      <c r="F408" s="274"/>
      <c r="G408" s="283"/>
      <c r="H408" s="266"/>
      <c r="I408" s="281"/>
      <c r="J408" s="281"/>
      <c r="K408" s="281"/>
      <c r="L408" s="288" t="s">
        <v>3423</v>
      </c>
      <c r="M408" s="284" t="s">
        <v>2962</v>
      </c>
      <c r="N408" s="269">
        <f t="shared" si="59"/>
        <v>0</v>
      </c>
      <c r="O408" s="270">
        <f t="shared" si="60"/>
        <v>0</v>
      </c>
      <c r="P408" s="271">
        <f t="shared" si="61"/>
        <v>0</v>
      </c>
      <c r="Q408" s="520"/>
      <c r="R408" s="354">
        <f>IF(ISERROR(VLOOKUP("SOC"&amp;$C408,ESTR_PREC_SP!$A$2:$G$2000,4,FALSE))=TRUE,0,VLOOKUP("SOC"&amp;$C408,ESTR_PREC_SP!$A$2:$G$2000,4,FALSE))</f>
        <v>0</v>
      </c>
      <c r="S408" s="521"/>
      <c r="V408" s="211"/>
      <c r="W408" s="520"/>
      <c r="X408" s="520"/>
      <c r="Y408" s="520"/>
      <c r="Z408" s="520"/>
      <c r="AA408" s="285"/>
    </row>
    <row r="409" spans="2:27" s="204" customFormat="1" ht="25.5" x14ac:dyDescent="0.25">
      <c r="B409" s="287" t="s">
        <v>925</v>
      </c>
      <c r="C409" s="287" t="s">
        <v>926</v>
      </c>
      <c r="D409" s="274" t="s">
        <v>3424</v>
      </c>
      <c r="E409" s="274"/>
      <c r="F409" s="274"/>
      <c r="G409" s="283"/>
      <c r="H409" s="266"/>
      <c r="I409" s="281"/>
      <c r="J409" s="281"/>
      <c r="K409" s="281"/>
      <c r="L409" s="288" t="s">
        <v>3425</v>
      </c>
      <c r="M409" s="284" t="s">
        <v>2962</v>
      </c>
      <c r="N409" s="269">
        <f t="shared" si="59"/>
        <v>0</v>
      </c>
      <c r="O409" s="270">
        <f t="shared" si="60"/>
        <v>0</v>
      </c>
      <c r="P409" s="271">
        <f t="shared" si="61"/>
        <v>0</v>
      </c>
      <c r="Q409" s="520"/>
      <c r="R409" s="354">
        <f>IF(ISERROR(VLOOKUP("SOC"&amp;$C409,ESTR_PREC_SP!$A$2:$G$2000,4,FALSE))=TRUE,0,VLOOKUP("SOC"&amp;$C409,ESTR_PREC_SP!$A$2:$G$2000,4,FALSE))</f>
        <v>0</v>
      </c>
      <c r="S409" s="521"/>
      <c r="V409" s="211"/>
      <c r="W409" s="520"/>
      <c r="X409" s="520"/>
      <c r="Y409" s="520"/>
      <c r="Z409" s="520"/>
      <c r="AA409" s="285"/>
    </row>
    <row r="410" spans="2:27" s="204" customFormat="1" ht="25.5" x14ac:dyDescent="0.25">
      <c r="B410" s="287" t="s">
        <v>928</v>
      </c>
      <c r="C410" s="287" t="s">
        <v>929</v>
      </c>
      <c r="D410" s="274" t="s">
        <v>3426</v>
      </c>
      <c r="E410" s="274"/>
      <c r="F410" s="274"/>
      <c r="G410" s="283"/>
      <c r="H410" s="266"/>
      <c r="I410" s="281"/>
      <c r="J410" s="281"/>
      <c r="K410" s="281"/>
      <c r="L410" s="288" t="s">
        <v>3427</v>
      </c>
      <c r="M410" s="284" t="s">
        <v>2962</v>
      </c>
      <c r="N410" s="269">
        <f t="shared" si="59"/>
        <v>0</v>
      </c>
      <c r="O410" s="270">
        <f t="shared" si="60"/>
        <v>0</v>
      </c>
      <c r="P410" s="271">
        <f t="shared" si="61"/>
        <v>0</v>
      </c>
      <c r="Q410" s="520"/>
      <c r="R410" s="354">
        <f>IF(ISERROR(VLOOKUP("SOC"&amp;$C410,ESTR_PREC_SP!$A$2:$G$2000,4,FALSE))=TRUE,0,VLOOKUP("SOC"&amp;$C410,ESTR_PREC_SP!$A$2:$G$2000,4,FALSE))</f>
        <v>0</v>
      </c>
      <c r="S410" s="521"/>
      <c r="V410" s="211"/>
      <c r="W410" s="520"/>
      <c r="X410" s="520"/>
      <c r="Y410" s="520"/>
      <c r="Z410" s="520"/>
      <c r="AA410" s="285"/>
    </row>
    <row r="411" spans="2:27" s="204" customFormat="1" ht="25.5" x14ac:dyDescent="0.25">
      <c r="B411" s="287" t="s">
        <v>931</v>
      </c>
      <c r="C411" s="287" t="s">
        <v>932</v>
      </c>
      <c r="D411" s="274" t="s">
        <v>3428</v>
      </c>
      <c r="E411" s="274"/>
      <c r="F411" s="274"/>
      <c r="G411" s="283"/>
      <c r="H411" s="266"/>
      <c r="I411" s="281"/>
      <c r="J411" s="281"/>
      <c r="K411" s="281"/>
      <c r="L411" s="288" t="s">
        <v>3429</v>
      </c>
      <c r="M411" s="284" t="s">
        <v>2962</v>
      </c>
      <c r="N411" s="269">
        <f t="shared" si="59"/>
        <v>0</v>
      </c>
      <c r="O411" s="270">
        <f t="shared" si="60"/>
        <v>0</v>
      </c>
      <c r="P411" s="271">
        <f t="shared" si="61"/>
        <v>0</v>
      </c>
      <c r="Q411" s="520"/>
      <c r="R411" s="354">
        <f>IF(ISERROR(VLOOKUP("SOC"&amp;$C411,ESTR_PREC_SP!$A$2:$G$2000,4,FALSE))=TRUE,0,VLOOKUP("SOC"&amp;$C411,ESTR_PREC_SP!$A$2:$G$2000,4,FALSE))</f>
        <v>0</v>
      </c>
      <c r="S411" s="521"/>
      <c r="V411" s="211"/>
      <c r="W411" s="520"/>
      <c r="X411" s="520"/>
      <c r="Y411" s="520"/>
      <c r="Z411" s="520"/>
      <c r="AA411" s="285"/>
    </row>
    <row r="412" spans="2:27" s="204" customFormat="1" x14ac:dyDescent="0.25">
      <c r="B412" s="287" t="s">
        <v>934</v>
      </c>
      <c r="C412" s="287" t="s">
        <v>935</v>
      </c>
      <c r="D412" s="274" t="s">
        <v>3430</v>
      </c>
      <c r="E412" s="274"/>
      <c r="F412" s="274"/>
      <c r="G412" s="283"/>
      <c r="H412" s="266"/>
      <c r="I412" s="281"/>
      <c r="J412" s="281"/>
      <c r="K412" s="281"/>
      <c r="L412" s="295" t="s">
        <v>3431</v>
      </c>
      <c r="M412" s="284" t="s">
        <v>2962</v>
      </c>
      <c r="N412" s="269">
        <f t="shared" si="59"/>
        <v>0</v>
      </c>
      <c r="O412" s="270">
        <f t="shared" si="60"/>
        <v>0</v>
      </c>
      <c r="P412" s="271">
        <f t="shared" si="61"/>
        <v>0</v>
      </c>
      <c r="Q412" s="520"/>
      <c r="R412" s="354">
        <f>IF(ISERROR(VLOOKUP("SOC"&amp;$C412,ESTR_PREC_SP!$A$2:$G$2000,4,FALSE))=TRUE,0,VLOOKUP("SOC"&amp;$C412,ESTR_PREC_SP!$A$2:$G$2000,4,FALSE))</f>
        <v>0</v>
      </c>
      <c r="S412" s="521"/>
      <c r="V412" s="211"/>
      <c r="W412" s="520"/>
      <c r="X412" s="520"/>
      <c r="Y412" s="520"/>
      <c r="Z412" s="520"/>
      <c r="AA412" s="285"/>
    </row>
    <row r="413" spans="2:27" s="204" customFormat="1" x14ac:dyDescent="0.25">
      <c r="B413" s="287" t="s">
        <v>937</v>
      </c>
      <c r="C413" s="287" t="s">
        <v>938</v>
      </c>
      <c r="D413" s="274" t="s">
        <v>3432</v>
      </c>
      <c r="E413" s="274"/>
      <c r="F413" s="274"/>
      <c r="G413" s="283"/>
      <c r="H413" s="266"/>
      <c r="I413" s="281"/>
      <c r="J413" s="281"/>
      <c r="K413" s="281"/>
      <c r="L413" s="295" t="s">
        <v>3433</v>
      </c>
      <c r="M413" s="284" t="s">
        <v>2962</v>
      </c>
      <c r="N413" s="269">
        <f t="shared" si="59"/>
        <v>0</v>
      </c>
      <c r="O413" s="270">
        <f t="shared" si="60"/>
        <v>0</v>
      </c>
      <c r="P413" s="271">
        <f t="shared" si="61"/>
        <v>0</v>
      </c>
      <c r="Q413" s="520"/>
      <c r="R413" s="354">
        <f>IF(ISERROR(VLOOKUP("SOC"&amp;$C413,ESTR_PREC_SP!$A$2:$G$2000,4,FALSE))=TRUE,0,VLOOKUP("SOC"&amp;$C413,ESTR_PREC_SP!$A$2:$G$2000,4,FALSE))</f>
        <v>0</v>
      </c>
      <c r="S413" s="521"/>
      <c r="V413" s="211"/>
      <c r="W413" s="520"/>
      <c r="X413" s="520"/>
      <c r="Y413" s="520"/>
      <c r="Z413" s="520"/>
      <c r="AA413" s="285"/>
    </row>
    <row r="414" spans="2:27" s="204" customFormat="1" x14ac:dyDescent="0.25">
      <c r="B414" s="293"/>
      <c r="C414" s="293"/>
      <c r="D414" s="230"/>
      <c r="E414" s="230"/>
      <c r="F414" s="230"/>
      <c r="G414" s="230"/>
      <c r="H414" s="231"/>
      <c r="I414" s="230"/>
      <c r="J414" s="230"/>
      <c r="K414" s="230"/>
      <c r="L414" s="296" t="s">
        <v>3408</v>
      </c>
      <c r="M414" s="216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</row>
    <row r="415" spans="2:27" s="204" customFormat="1" x14ac:dyDescent="0.25">
      <c r="B415" s="293"/>
      <c r="C415" s="293"/>
      <c r="D415" s="230"/>
      <c r="E415" s="230"/>
      <c r="F415" s="230"/>
      <c r="G415" s="230"/>
      <c r="H415" s="231"/>
      <c r="I415" s="230"/>
      <c r="J415" s="230"/>
      <c r="K415" s="230"/>
      <c r="L415" s="296"/>
      <c r="M415" s="216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</row>
    <row r="416" spans="2:27" s="204" customFormat="1" ht="25.5" x14ac:dyDescent="0.25">
      <c r="B416" s="293"/>
      <c r="C416" s="293"/>
      <c r="D416" s="230"/>
      <c r="E416" s="230"/>
      <c r="F416" s="230"/>
      <c r="G416" s="230"/>
      <c r="H416" s="231"/>
      <c r="I416" s="230"/>
      <c r="J416" s="230"/>
      <c r="K416" s="230"/>
      <c r="L416" s="255"/>
      <c r="M416" s="244"/>
      <c r="N416" s="256" t="str">
        <f>N$15</f>
        <v>Valore netto al 31/12/2019</v>
      </c>
      <c r="O416" s="256" t="str">
        <f>O$15</f>
        <v>Valore netto al 31/12/2020</v>
      </c>
      <c r="P416" s="256" t="str">
        <f>P$15</f>
        <v>Variazione</v>
      </c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</row>
    <row r="417" spans="2:31" s="204" customFormat="1" x14ac:dyDescent="0.25">
      <c r="B417" s="292" t="s">
        <v>940</v>
      </c>
      <c r="C417" s="292" t="s">
        <v>941</v>
      </c>
      <c r="D417" s="247" t="s">
        <v>3434</v>
      </c>
      <c r="E417" s="247"/>
      <c r="F417" s="247"/>
      <c r="G417" s="247"/>
      <c r="H417" s="248"/>
      <c r="I417" s="247"/>
      <c r="J417" s="247"/>
      <c r="K417" s="249"/>
      <c r="L417" s="257" t="s">
        <v>945</v>
      </c>
      <c r="M417" s="251" t="s">
        <v>2962</v>
      </c>
      <c r="N417" s="252">
        <f>SUM(N420:N422)</f>
        <v>0</v>
      </c>
      <c r="O417" s="252">
        <f>SUM(O420:O422)</f>
        <v>0</v>
      </c>
      <c r="P417" s="253">
        <f>+O417-N417</f>
        <v>0</v>
      </c>
      <c r="Q417" s="252">
        <f>SUM(Q420:Q422)</f>
        <v>0</v>
      </c>
      <c r="R417" s="252">
        <f>SUM(R420:R422)</f>
        <v>0</v>
      </c>
      <c r="S417" s="252">
        <f>SUM(T420:T422)</f>
        <v>0</v>
      </c>
      <c r="T417" s="252">
        <f>SUM(T420:T422)</f>
        <v>0</v>
      </c>
      <c r="U417" s="252">
        <f>SUM(U420:U422)</f>
        <v>0</v>
      </c>
      <c r="W417" s="252">
        <f t="shared" ref="W417:AE417" si="62">SUM(W420:W422)</f>
        <v>0</v>
      </c>
      <c r="X417" s="252">
        <f t="shared" si="62"/>
        <v>0</v>
      </c>
      <c r="Y417" s="252">
        <f t="shared" si="62"/>
        <v>0</v>
      </c>
      <c r="Z417" s="252">
        <f t="shared" si="62"/>
        <v>0</v>
      </c>
      <c r="AA417" s="252">
        <f t="shared" si="62"/>
        <v>0</v>
      </c>
      <c r="AB417" s="252">
        <f t="shared" si="62"/>
        <v>0</v>
      </c>
      <c r="AC417" s="252">
        <f t="shared" si="62"/>
        <v>0</v>
      </c>
      <c r="AD417" s="252">
        <f t="shared" si="62"/>
        <v>0</v>
      </c>
      <c r="AE417" s="252">
        <f t="shared" si="62"/>
        <v>0</v>
      </c>
    </row>
    <row r="418" spans="2:31" s="204" customFormat="1" x14ac:dyDescent="0.25">
      <c r="B418" s="293"/>
      <c r="C418" s="293"/>
      <c r="D418" s="230"/>
      <c r="E418" s="230"/>
      <c r="F418" s="230"/>
      <c r="G418" s="285"/>
      <c r="H418" s="321"/>
      <c r="I418" s="285"/>
      <c r="J418" s="285"/>
      <c r="K418" s="285"/>
      <c r="L418" s="322"/>
      <c r="M418" s="285"/>
      <c r="N418" s="285"/>
      <c r="O418" s="285"/>
      <c r="P418" s="285"/>
      <c r="Q418" s="285"/>
      <c r="R418" s="285"/>
      <c r="T418" s="285"/>
      <c r="U418" s="285"/>
      <c r="V418" s="285"/>
      <c r="W418" s="285"/>
      <c r="X418" s="285"/>
      <c r="Y418" s="285"/>
      <c r="Z418" s="285"/>
      <c r="AA418" s="285"/>
    </row>
    <row r="419" spans="2:31" s="204" customFormat="1" ht="89.25" x14ac:dyDescent="0.25">
      <c r="B419" s="294" t="s">
        <v>2968</v>
      </c>
      <c r="C419" s="294" t="s">
        <v>2969</v>
      </c>
      <c r="D419" s="206" t="s">
        <v>72</v>
      </c>
      <c r="E419" s="206"/>
      <c r="F419" s="206"/>
      <c r="G419" s="207"/>
      <c r="H419" s="207"/>
      <c r="I419" s="207"/>
      <c r="J419" s="207" t="s">
        <v>2957</v>
      </c>
      <c r="K419" s="206" t="s">
        <v>82</v>
      </c>
      <c r="L419" s="261" t="s">
        <v>2970</v>
      </c>
      <c r="M419" s="260"/>
      <c r="N419" s="256" t="str">
        <f>N$15</f>
        <v>Valore netto al 31/12/2019</v>
      </c>
      <c r="O419" s="256" t="str">
        <f>O$15</f>
        <v>Valore netto al 31/12/2020</v>
      </c>
      <c r="P419" s="256" t="str">
        <f>P$15</f>
        <v>Variazione</v>
      </c>
      <c r="Q419" s="262" t="s">
        <v>2971</v>
      </c>
      <c r="R419" s="262" t="str">
        <f>"Costo storico al 31/12/"&amp;Info!$B$3-1</f>
        <v>Costo storico al 31/12/2019</v>
      </c>
      <c r="S419" s="262" t="s">
        <v>2972</v>
      </c>
      <c r="T419" s="262" t="s">
        <v>3044</v>
      </c>
      <c r="U419" s="262" t="s">
        <v>2974</v>
      </c>
      <c r="W419" s="262" t="s">
        <v>4391</v>
      </c>
      <c r="X419" s="262" t="s">
        <v>2976</v>
      </c>
      <c r="Y419" s="262" t="s">
        <v>2977</v>
      </c>
      <c r="Z419" s="262" t="s">
        <v>2978</v>
      </c>
      <c r="AA419" s="262" t="s">
        <v>2979</v>
      </c>
      <c r="AB419" s="262" t="s">
        <v>3045</v>
      </c>
      <c r="AC419" s="262" t="s">
        <v>2981</v>
      </c>
      <c r="AD419" s="262" t="s">
        <v>3046</v>
      </c>
      <c r="AE419" s="262" t="s">
        <v>3047</v>
      </c>
    </row>
    <row r="420" spans="2:31" s="204" customFormat="1" x14ac:dyDescent="0.25">
      <c r="B420" s="287" t="s">
        <v>946</v>
      </c>
      <c r="C420" s="287" t="s">
        <v>947</v>
      </c>
      <c r="D420" s="274" t="s">
        <v>3435</v>
      </c>
      <c r="E420" s="274"/>
      <c r="F420" s="274"/>
      <c r="G420" s="283"/>
      <c r="H420" s="266"/>
      <c r="I420" s="281"/>
      <c r="J420" s="281"/>
      <c r="K420" s="281"/>
      <c r="L420" s="288" t="s">
        <v>3436</v>
      </c>
      <c r="M420" s="263" t="s">
        <v>2962</v>
      </c>
      <c r="N420" s="269">
        <f>+R420+T420-U420</f>
        <v>0</v>
      </c>
      <c r="O420" s="270">
        <f>+N420+S420+X420+ABS(Y420)-ABS(AA420)+ABS(Z420)+ABS(AB420)+ABS(AD420)-ABS(AE420)+AC420+W420+Q420</f>
        <v>0</v>
      </c>
      <c r="P420" s="271">
        <f>+O420-N420</f>
        <v>0</v>
      </c>
      <c r="Q420" s="520"/>
      <c r="R420" s="354">
        <f>IF(ISERROR(VLOOKUP("SOC"&amp;$C420,ESTR_PREC_SP!$A$2:$G$2000,4,FALSE))=TRUE,0,VLOOKUP("SOC"&amp;$C420,ESTR_PREC_SP!$A$2:$G$2000,4,FALSE))</f>
        <v>0</v>
      </c>
      <c r="S420" s="521"/>
      <c r="T420" s="521"/>
      <c r="U420" s="521"/>
      <c r="W420" s="520"/>
      <c r="X420" s="520"/>
      <c r="Y420" s="520"/>
      <c r="Z420" s="520"/>
      <c r="AA420" s="520"/>
      <c r="AB420" s="520"/>
      <c r="AC420" s="521"/>
      <c r="AD420" s="520"/>
      <c r="AE420" s="520"/>
    </row>
    <row r="421" spans="2:31" s="204" customFormat="1" x14ac:dyDescent="0.25">
      <c r="B421" s="287" t="s">
        <v>949</v>
      </c>
      <c r="C421" s="287" t="s">
        <v>950</v>
      </c>
      <c r="D421" s="274" t="s">
        <v>3437</v>
      </c>
      <c r="E421" s="274"/>
      <c r="F421" s="274"/>
      <c r="G421" s="283"/>
      <c r="H421" s="266"/>
      <c r="I421" s="281"/>
      <c r="J421" s="281"/>
      <c r="K421" s="281"/>
      <c r="L421" s="288" t="s">
        <v>3438</v>
      </c>
      <c r="M421" s="284" t="s">
        <v>2962</v>
      </c>
      <c r="N421" s="269">
        <f>+R421+T421-U421</f>
        <v>0</v>
      </c>
      <c r="O421" s="270">
        <f>+N421+S421+X421+ABS(Y421)-ABS(AA421)+ABS(Z421)+ABS(AB421)+ABS(AD421)-ABS(AE421)+AC421+W421+Q421</f>
        <v>0</v>
      </c>
      <c r="P421" s="271">
        <f>+O421-N421</f>
        <v>0</v>
      </c>
      <c r="Q421" s="520"/>
      <c r="R421" s="354">
        <f>IF(ISERROR(VLOOKUP("SOC"&amp;$C421,ESTR_PREC_SP!$A$2:$G$2000,4,FALSE))=TRUE,0,VLOOKUP("SOC"&amp;$C421,ESTR_PREC_SP!$A$2:$G$2000,4,FALSE))</f>
        <v>0</v>
      </c>
      <c r="S421" s="521"/>
      <c r="T421" s="521"/>
      <c r="U421" s="521"/>
      <c r="W421" s="520"/>
      <c r="X421" s="520"/>
      <c r="Y421" s="520"/>
      <c r="Z421" s="520"/>
      <c r="AA421" s="520"/>
      <c r="AB421" s="520"/>
      <c r="AC421" s="521"/>
      <c r="AD421" s="520"/>
      <c r="AE421" s="520"/>
    </row>
    <row r="422" spans="2:31" s="204" customFormat="1" x14ac:dyDescent="0.25">
      <c r="B422" s="287" t="s">
        <v>952</v>
      </c>
      <c r="C422" s="287" t="s">
        <v>953</v>
      </c>
      <c r="D422" s="274" t="s">
        <v>3439</v>
      </c>
      <c r="E422" s="274"/>
      <c r="F422" s="274"/>
      <c r="G422" s="283"/>
      <c r="H422" s="266"/>
      <c r="I422" s="281"/>
      <c r="J422" s="281"/>
      <c r="K422" s="281"/>
      <c r="L422" s="295" t="s">
        <v>3440</v>
      </c>
      <c r="M422" s="284" t="s">
        <v>2962</v>
      </c>
      <c r="N422" s="269">
        <f>+R422+T422-U422</f>
        <v>0</v>
      </c>
      <c r="O422" s="270">
        <f>+N422+S422+X422+ABS(Y422)-ABS(AA422)+ABS(Z422)+ABS(AB422)+ABS(AD422)-ABS(AE422)+AC422+W422+Q422</f>
        <v>0</v>
      </c>
      <c r="P422" s="271">
        <f>+O422-N422</f>
        <v>0</v>
      </c>
      <c r="Q422" s="520"/>
      <c r="R422" s="354">
        <f>IF(ISERROR(VLOOKUP("SOC"&amp;$C422,ESTR_PREC_SP!$A$2:$G$2000,4,FALSE))=TRUE,0,VLOOKUP("SOC"&amp;$C422,ESTR_PREC_SP!$A$2:$G$2000,4,FALSE))</f>
        <v>0</v>
      </c>
      <c r="S422" s="521"/>
      <c r="T422" s="521"/>
      <c r="U422" s="521"/>
      <c r="W422" s="520"/>
      <c r="X422" s="520"/>
      <c r="Y422" s="520"/>
      <c r="Z422" s="520"/>
      <c r="AA422" s="520"/>
      <c r="AB422" s="520"/>
      <c r="AC422" s="521"/>
      <c r="AD422" s="520"/>
      <c r="AE422" s="520"/>
    </row>
    <row r="423" spans="2:31" s="204" customFormat="1" ht="38.25" x14ac:dyDescent="0.25">
      <c r="B423" s="293"/>
      <c r="C423" s="293"/>
      <c r="D423" s="230"/>
      <c r="E423" s="230"/>
      <c r="F423" s="230"/>
      <c r="G423" s="230"/>
      <c r="H423" s="231"/>
      <c r="I423" s="230"/>
      <c r="J423" s="230"/>
      <c r="K423" s="230"/>
      <c r="L423" s="296" t="s">
        <v>3441</v>
      </c>
      <c r="M423" s="216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</row>
    <row r="424" spans="2:31" s="204" customFormat="1" ht="25.5" x14ac:dyDescent="0.25">
      <c r="B424" s="293"/>
      <c r="C424" s="293"/>
      <c r="D424" s="304"/>
      <c r="E424" s="230"/>
      <c r="F424" s="230"/>
      <c r="G424" s="230"/>
      <c r="H424" s="231"/>
      <c r="I424" s="230"/>
      <c r="J424" s="230"/>
      <c r="K424" s="230"/>
      <c r="L424" s="255"/>
      <c r="M424" s="244"/>
      <c r="N424" s="256" t="str">
        <f>N$15</f>
        <v>Valore netto al 31/12/2019</v>
      </c>
      <c r="O424" s="256" t="str">
        <f>O$15</f>
        <v>Valore netto al 31/12/2020</v>
      </c>
      <c r="P424" s="256" t="str">
        <f>P$15</f>
        <v>Variazione</v>
      </c>
      <c r="Q424" s="285"/>
      <c r="R424" s="285"/>
      <c r="S424" s="285"/>
      <c r="T424" s="285"/>
      <c r="U424" s="285"/>
      <c r="V424" s="285"/>
      <c r="W424" s="285"/>
      <c r="X424" s="285"/>
      <c r="Y424" s="285"/>
      <c r="Z424" s="211"/>
      <c r="AA424" s="211"/>
    </row>
    <row r="425" spans="2:31" s="204" customFormat="1" x14ac:dyDescent="0.25">
      <c r="B425" s="292" t="s">
        <v>955</v>
      </c>
      <c r="C425" s="292" t="s">
        <v>956</v>
      </c>
      <c r="D425" s="247" t="s">
        <v>3442</v>
      </c>
      <c r="E425" s="247"/>
      <c r="F425" s="247"/>
      <c r="G425" s="247"/>
      <c r="H425" s="248"/>
      <c r="I425" s="247"/>
      <c r="J425" s="247"/>
      <c r="K425" s="249"/>
      <c r="L425" s="257" t="s">
        <v>957</v>
      </c>
      <c r="M425" s="251" t="s">
        <v>2962</v>
      </c>
      <c r="N425" s="252">
        <f>+N427+N435+N443+N449+N457+N463+N469+N474</f>
        <v>0</v>
      </c>
      <c r="O425" s="252">
        <f>+O427+O435+O443+O449+O457+O463+O469+O474</f>
        <v>0</v>
      </c>
      <c r="P425" s="253">
        <f>+O425-N425</f>
        <v>0</v>
      </c>
      <c r="Q425" s="211"/>
      <c r="R425" s="285"/>
      <c r="S425" s="252">
        <f>+S427+S435+S443+S449+S457+S463+S469+S474</f>
        <v>0</v>
      </c>
      <c r="T425" s="285"/>
      <c r="U425" s="285"/>
      <c r="V425" s="285"/>
      <c r="W425" s="211"/>
      <c r="X425" s="252">
        <f>+X427+X435+X443+X449+X457+X463+X469+X474</f>
        <v>0</v>
      </c>
      <c r="Y425" s="285"/>
      <c r="Z425" s="211"/>
      <c r="AA425" s="211"/>
    </row>
    <row r="426" spans="2:31" s="204" customFormat="1" x14ac:dyDescent="0.25">
      <c r="B426" s="293"/>
      <c r="C426" s="293"/>
      <c r="D426" s="305"/>
      <c r="E426" s="230"/>
      <c r="F426" s="230"/>
      <c r="G426" s="230"/>
      <c r="H426" s="231"/>
      <c r="I426" s="230"/>
      <c r="J426" s="230"/>
      <c r="K426" s="230"/>
      <c r="L426" s="306"/>
      <c r="M426" s="211"/>
      <c r="N426" s="254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2:31" s="204" customFormat="1" x14ac:dyDescent="0.25">
      <c r="B427" s="292" t="s">
        <v>958</v>
      </c>
      <c r="C427" s="292" t="s">
        <v>959</v>
      </c>
      <c r="D427" s="247" t="s">
        <v>3443</v>
      </c>
      <c r="E427" s="247"/>
      <c r="F427" s="247"/>
      <c r="G427" s="247"/>
      <c r="H427" s="248"/>
      <c r="I427" s="247"/>
      <c r="J427" s="247"/>
      <c r="K427" s="249"/>
      <c r="L427" s="257" t="s">
        <v>962</v>
      </c>
      <c r="M427" s="251" t="s">
        <v>2962</v>
      </c>
      <c r="N427" s="252">
        <f>SUM(N430:N433)</f>
        <v>0</v>
      </c>
      <c r="O427" s="252">
        <f>SUM(O430:O433)</f>
        <v>0</v>
      </c>
      <c r="P427" s="259">
        <f>+O427-N427</f>
        <v>0</v>
      </c>
      <c r="Q427" s="252">
        <f>SUM(Q430:Q433)</f>
        <v>0</v>
      </c>
      <c r="R427" s="252">
        <f>SUM(R430:R433)</f>
        <v>0</v>
      </c>
      <c r="S427" s="252">
        <f>SUM(S430:S433)</f>
        <v>0</v>
      </c>
      <c r="V427" s="211"/>
      <c r="W427" s="252">
        <f>SUM(W430:W433)</f>
        <v>0</v>
      </c>
      <c r="X427" s="252">
        <f>SUM(X430:X433)</f>
        <v>0</v>
      </c>
      <c r="Y427" s="252">
        <f>SUM(Y430:Y433)</f>
        <v>0</v>
      </c>
      <c r="Z427" s="252">
        <f>SUM(Z430:Z433)</f>
        <v>0</v>
      </c>
      <c r="AA427" s="211"/>
    </row>
    <row r="428" spans="2:31" s="204" customFormat="1" x14ac:dyDescent="0.25">
      <c r="B428" s="293"/>
      <c r="C428" s="293"/>
      <c r="D428" s="230"/>
      <c r="E428" s="230"/>
      <c r="F428" s="230"/>
      <c r="G428" s="230"/>
      <c r="H428" s="231"/>
      <c r="I428" s="230"/>
      <c r="J428" s="230"/>
      <c r="K428" s="230"/>
      <c r="L428" s="232"/>
      <c r="M428" s="211"/>
      <c r="N428" s="211"/>
      <c r="O428" s="211"/>
      <c r="P428" s="211"/>
      <c r="Q428" s="211"/>
      <c r="V428" s="211"/>
      <c r="W428" s="211"/>
      <c r="X428" s="211"/>
      <c r="Y428" s="211"/>
      <c r="Z428" s="211"/>
      <c r="AA428" s="211"/>
    </row>
    <row r="429" spans="2:31" s="204" customFormat="1" ht="89.25" x14ac:dyDescent="0.25">
      <c r="B429" s="294" t="s">
        <v>2968</v>
      </c>
      <c r="C429" s="294" t="s">
        <v>2969</v>
      </c>
      <c r="D429" s="206" t="s">
        <v>72</v>
      </c>
      <c r="E429" s="206"/>
      <c r="F429" s="206"/>
      <c r="G429" s="207"/>
      <c r="H429" s="207"/>
      <c r="I429" s="207"/>
      <c r="J429" s="207" t="s">
        <v>2957</v>
      </c>
      <c r="K429" s="206" t="s">
        <v>82</v>
      </c>
      <c r="L429" s="261" t="s">
        <v>2970</v>
      </c>
      <c r="M429" s="260"/>
      <c r="N429" s="256" t="str">
        <f>N$15</f>
        <v>Valore netto al 31/12/2019</v>
      </c>
      <c r="O429" s="256" t="str">
        <f>O$15</f>
        <v>Valore netto al 31/12/2020</v>
      </c>
      <c r="P429" s="256" t="str">
        <f>P$15</f>
        <v>Variazione</v>
      </c>
      <c r="Q429" s="262" t="s">
        <v>2971</v>
      </c>
      <c r="R429" s="262" t="str">
        <f>"Fondo svalutazione 31/12/"&amp;Info!$B$3-1</f>
        <v>Fondo svalutazione 31/12/2019</v>
      </c>
      <c r="S429" s="262" t="s">
        <v>2972</v>
      </c>
      <c r="V429" s="211"/>
      <c r="W429" s="262" t="s">
        <v>4391</v>
      </c>
      <c r="X429" s="262" t="s">
        <v>2976</v>
      </c>
      <c r="Y429" s="262" t="s">
        <v>3124</v>
      </c>
      <c r="Z429" s="262" t="s">
        <v>3125</v>
      </c>
      <c r="AA429" s="211"/>
      <c r="AB429" s="211"/>
      <c r="AC429" s="211"/>
      <c r="AD429" s="211"/>
      <c r="AE429" s="211"/>
    </row>
    <row r="430" spans="2:31" s="204" customFormat="1" x14ac:dyDescent="0.25">
      <c r="B430" s="273" t="s">
        <v>963</v>
      </c>
      <c r="C430" s="273" t="s">
        <v>964</v>
      </c>
      <c r="D430" s="274" t="s">
        <v>3444</v>
      </c>
      <c r="E430" s="264"/>
      <c r="F430" s="264"/>
      <c r="G430" s="265"/>
      <c r="H430" s="266"/>
      <c r="I430" s="267"/>
      <c r="J430" s="267"/>
      <c r="K430" s="267"/>
      <c r="L430" s="268" t="s">
        <v>3445</v>
      </c>
      <c r="M430" s="263" t="s">
        <v>2962</v>
      </c>
      <c r="N430" s="269">
        <f>+R430</f>
        <v>0</v>
      </c>
      <c r="O430" s="270">
        <f>+R430+S430+X430-ABS(Y430)+ABS(Z430)+W430+Q430</f>
        <v>0</v>
      </c>
      <c r="P430" s="271">
        <f>+O430-N430</f>
        <v>0</v>
      </c>
      <c r="Q430" s="520"/>
      <c r="R430" s="354">
        <f>IF(ISERROR(VLOOKUP("SOC"&amp;$C430,ESTR_PREC_SP!$A$2:$G$2000,4,FALSE))=TRUE,0,VLOOKUP("SOC"&amp;$C430,ESTR_PREC_SP!$A$2:$G$2000,4,FALSE))</f>
        <v>0</v>
      </c>
      <c r="S430" s="521"/>
      <c r="V430" s="211"/>
      <c r="W430" s="520"/>
      <c r="X430" s="520"/>
      <c r="Y430" s="520"/>
      <c r="Z430" s="520"/>
      <c r="AA430" s="211"/>
      <c r="AB430" s="211"/>
      <c r="AC430" s="211"/>
      <c r="AD430" s="211"/>
      <c r="AE430" s="211"/>
    </row>
    <row r="431" spans="2:31" s="204" customFormat="1" x14ac:dyDescent="0.25">
      <c r="B431" s="273" t="s">
        <v>966</v>
      </c>
      <c r="C431" s="273" t="s">
        <v>967</v>
      </c>
      <c r="D431" s="274" t="s">
        <v>3446</v>
      </c>
      <c r="E431" s="264"/>
      <c r="F431" s="264"/>
      <c r="G431" s="265"/>
      <c r="H431" s="266"/>
      <c r="I431" s="267"/>
      <c r="J431" s="267"/>
      <c r="K431" s="267"/>
      <c r="L431" s="295" t="s">
        <v>3447</v>
      </c>
      <c r="M431" s="263" t="s">
        <v>2962</v>
      </c>
      <c r="N431" s="269">
        <f>+R431</f>
        <v>0</v>
      </c>
      <c r="O431" s="270">
        <f>+R431+S431+X431-ABS(Y431)+ABS(Z431)+W431+Q431</f>
        <v>0</v>
      </c>
      <c r="P431" s="271">
        <f>+O431-N431</f>
        <v>0</v>
      </c>
      <c r="Q431" s="520"/>
      <c r="R431" s="354">
        <f>IF(ISERROR(VLOOKUP("SOC"&amp;$C431,ESTR_PREC_SP!$A$2:$G$2000,4,FALSE))=TRUE,0,VLOOKUP("SOC"&amp;$C431,ESTR_PREC_SP!$A$2:$G$2000,4,FALSE))</f>
        <v>0</v>
      </c>
      <c r="S431" s="521"/>
      <c r="V431" s="211"/>
      <c r="W431" s="520"/>
      <c r="X431" s="520"/>
      <c r="Y431" s="520"/>
      <c r="Z431" s="520"/>
      <c r="AA431" s="211"/>
      <c r="AB431" s="211"/>
      <c r="AC431" s="211"/>
      <c r="AD431" s="211"/>
      <c r="AE431" s="211"/>
    </row>
    <row r="432" spans="2:31" s="204" customFormat="1" x14ac:dyDescent="0.25">
      <c r="B432" s="273" t="s">
        <v>969</v>
      </c>
      <c r="C432" s="273" t="s">
        <v>970</v>
      </c>
      <c r="D432" s="325" t="s">
        <v>3448</v>
      </c>
      <c r="E432" s="264"/>
      <c r="F432" s="264"/>
      <c r="G432" s="265"/>
      <c r="H432" s="266"/>
      <c r="I432" s="267"/>
      <c r="J432" s="267"/>
      <c r="K432" s="267"/>
      <c r="L432" s="268" t="s">
        <v>3449</v>
      </c>
      <c r="M432" s="263" t="s">
        <v>2962</v>
      </c>
      <c r="N432" s="269">
        <f>+R432</f>
        <v>0</v>
      </c>
      <c r="O432" s="270">
        <f>+R432+S432+X432-ABS(Y432)+ABS(Z432)+W432+Q432</f>
        <v>0</v>
      </c>
      <c r="P432" s="271">
        <f>+O432-N432</f>
        <v>0</v>
      </c>
      <c r="Q432" s="520"/>
      <c r="R432" s="354">
        <f>IF(ISERROR(VLOOKUP("SOC"&amp;$C432,ESTR_PREC_SP!$A$2:$G$2000,4,FALSE))=TRUE,0,VLOOKUP("SOC"&amp;$C432,ESTR_PREC_SP!$A$2:$G$2000,4,FALSE))</f>
        <v>0</v>
      </c>
      <c r="S432" s="521"/>
      <c r="V432" s="211"/>
      <c r="W432" s="520"/>
      <c r="X432" s="520"/>
      <c r="Y432" s="520"/>
      <c r="Z432" s="520"/>
      <c r="AA432" s="211"/>
      <c r="AB432" s="211"/>
      <c r="AC432" s="211"/>
      <c r="AD432" s="211"/>
      <c r="AE432" s="211"/>
    </row>
    <row r="433" spans="2:31" s="204" customFormat="1" x14ac:dyDescent="0.25">
      <c r="B433" s="273" t="s">
        <v>972</v>
      </c>
      <c r="C433" s="273" t="s">
        <v>973</v>
      </c>
      <c r="D433" s="325" t="s">
        <v>3450</v>
      </c>
      <c r="E433" s="274"/>
      <c r="F433" s="274"/>
      <c r="G433" s="283"/>
      <c r="H433" s="326"/>
      <c r="I433" s="281"/>
      <c r="J433" s="281"/>
      <c r="K433" s="281"/>
      <c r="L433" s="295" t="s">
        <v>3451</v>
      </c>
      <c r="M433" s="263" t="s">
        <v>2962</v>
      </c>
      <c r="N433" s="269">
        <f>+R433</f>
        <v>0</v>
      </c>
      <c r="O433" s="270">
        <f>+R433+S433+X433-ABS(Y433)+ABS(Z433)+W433+Q433</f>
        <v>0</v>
      </c>
      <c r="P433" s="271">
        <f>+O433-N433</f>
        <v>0</v>
      </c>
      <c r="Q433" s="520"/>
      <c r="R433" s="354">
        <f>IF(ISERROR(VLOOKUP("SOC"&amp;$C433,ESTR_PREC_SP!$A$2:$G$2000,4,FALSE))=TRUE,0,VLOOKUP("SOC"&amp;$C433,ESTR_PREC_SP!$A$2:$G$2000,4,FALSE))</f>
        <v>0</v>
      </c>
      <c r="S433" s="521"/>
      <c r="V433" s="211"/>
      <c r="W433" s="520"/>
      <c r="X433" s="520"/>
      <c r="Y433" s="520"/>
      <c r="Z433" s="520"/>
      <c r="AA433" s="211"/>
      <c r="AB433" s="211"/>
      <c r="AC433" s="211"/>
      <c r="AD433" s="211"/>
      <c r="AE433" s="211"/>
    </row>
    <row r="434" spans="2:31" s="204" customFormat="1" x14ac:dyDescent="0.25">
      <c r="B434" s="293"/>
      <c r="C434" s="293"/>
      <c r="D434" s="300"/>
      <c r="E434" s="226"/>
      <c r="F434" s="226"/>
      <c r="G434" s="226"/>
      <c r="H434" s="227"/>
      <c r="I434" s="226"/>
      <c r="J434" s="226"/>
      <c r="K434" s="226"/>
      <c r="L434" s="312"/>
      <c r="M434" s="211"/>
      <c r="N434" s="254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</row>
    <row r="435" spans="2:31" s="204" customFormat="1" x14ac:dyDescent="0.25">
      <c r="B435" s="292" t="s">
        <v>975</v>
      </c>
      <c r="C435" s="292" t="s">
        <v>976</v>
      </c>
      <c r="D435" s="247" t="s">
        <v>3452</v>
      </c>
      <c r="E435" s="247"/>
      <c r="F435" s="247"/>
      <c r="G435" s="247"/>
      <c r="H435" s="248"/>
      <c r="I435" s="247"/>
      <c r="J435" s="247"/>
      <c r="K435" s="249"/>
      <c r="L435" s="257" t="s">
        <v>979</v>
      </c>
      <c r="M435" s="251" t="s">
        <v>2962</v>
      </c>
      <c r="N435" s="252">
        <f>SUM(N438:N441)</f>
        <v>0</v>
      </c>
      <c r="O435" s="252">
        <f>SUM(O438:O441)</f>
        <v>0</v>
      </c>
      <c r="P435" s="259">
        <f>+O435-N435</f>
        <v>0</v>
      </c>
      <c r="Q435" s="252">
        <f>SUM(Q438:Q441)</f>
        <v>0</v>
      </c>
      <c r="R435" s="252">
        <f>SUM(R438:R441)</f>
        <v>0</v>
      </c>
      <c r="S435" s="252">
        <f>SUM(S438:S441)</f>
        <v>0</v>
      </c>
      <c r="V435" s="211"/>
      <c r="W435" s="252">
        <f>SUM(W438:W441)</f>
        <v>0</v>
      </c>
      <c r="X435" s="252">
        <f>SUM(X438:X441)</f>
        <v>0</v>
      </c>
      <c r="Y435" s="252">
        <f>SUM(Y438:Y441)</f>
        <v>0</v>
      </c>
      <c r="Z435" s="252">
        <f>SUM(Z438:Z441)</f>
        <v>0</v>
      </c>
      <c r="AA435" s="211"/>
      <c r="AB435" s="211"/>
      <c r="AC435" s="211"/>
      <c r="AD435" s="211"/>
      <c r="AE435" s="211"/>
    </row>
    <row r="436" spans="2:31" s="204" customFormat="1" x14ac:dyDescent="0.25">
      <c r="B436" s="293"/>
      <c r="C436" s="293"/>
      <c r="D436" s="230"/>
      <c r="E436" s="230"/>
      <c r="F436" s="230"/>
      <c r="G436" s="230"/>
      <c r="H436" s="231"/>
      <c r="I436" s="230"/>
      <c r="J436" s="230"/>
      <c r="K436" s="230"/>
      <c r="L436" s="232"/>
      <c r="M436" s="211"/>
      <c r="N436" s="211"/>
      <c r="O436" s="211"/>
      <c r="P436" s="211"/>
      <c r="Q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</row>
    <row r="437" spans="2:31" s="204" customFormat="1" ht="89.25" x14ac:dyDescent="0.25">
      <c r="B437" s="294" t="s">
        <v>2968</v>
      </c>
      <c r="C437" s="294" t="s">
        <v>2969</v>
      </c>
      <c r="D437" s="206" t="s">
        <v>72</v>
      </c>
      <c r="E437" s="206"/>
      <c r="F437" s="206"/>
      <c r="G437" s="207"/>
      <c r="H437" s="207"/>
      <c r="I437" s="207"/>
      <c r="J437" s="207" t="s">
        <v>2957</v>
      </c>
      <c r="K437" s="206" t="s">
        <v>82</v>
      </c>
      <c r="L437" s="261" t="s">
        <v>2970</v>
      </c>
      <c r="M437" s="260"/>
      <c r="N437" s="256" t="str">
        <f>N$15</f>
        <v>Valore netto al 31/12/2019</v>
      </c>
      <c r="O437" s="256" t="str">
        <f>O$15</f>
        <v>Valore netto al 31/12/2020</v>
      </c>
      <c r="P437" s="256" t="str">
        <f>P$15</f>
        <v>Variazione</v>
      </c>
      <c r="Q437" s="262" t="s">
        <v>2971</v>
      </c>
      <c r="R437" s="262" t="str">
        <f>"Fondo svalutazione 31/12/"&amp;Info!$B$3-1</f>
        <v>Fondo svalutazione 31/12/2019</v>
      </c>
      <c r="S437" s="262" t="s">
        <v>2972</v>
      </c>
      <c r="V437" s="211"/>
      <c r="W437" s="262" t="s">
        <v>4391</v>
      </c>
      <c r="X437" s="262" t="s">
        <v>2976</v>
      </c>
      <c r="Y437" s="262" t="s">
        <v>3124</v>
      </c>
      <c r="Z437" s="262" t="s">
        <v>3125</v>
      </c>
      <c r="AA437" s="211"/>
      <c r="AB437" s="211"/>
      <c r="AC437" s="211"/>
      <c r="AD437" s="211"/>
      <c r="AE437" s="211"/>
    </row>
    <row r="438" spans="2:31" s="204" customFormat="1" x14ac:dyDescent="0.25">
      <c r="B438" s="273" t="s">
        <v>980</v>
      </c>
      <c r="C438" s="273" t="s">
        <v>981</v>
      </c>
      <c r="D438" s="274" t="s">
        <v>3453</v>
      </c>
      <c r="E438" s="264"/>
      <c r="F438" s="264"/>
      <c r="G438" s="265"/>
      <c r="H438" s="266"/>
      <c r="I438" s="267"/>
      <c r="J438" s="267"/>
      <c r="K438" s="267"/>
      <c r="L438" s="268" t="s">
        <v>3454</v>
      </c>
      <c r="M438" s="263" t="s">
        <v>2962</v>
      </c>
      <c r="N438" s="269">
        <f>+R438</f>
        <v>0</v>
      </c>
      <c r="O438" s="270">
        <f>+R438+S438+X438-ABS(Y438)+ABS(Z438)+W438+Q438</f>
        <v>0</v>
      </c>
      <c r="P438" s="271">
        <f>+O438-N438</f>
        <v>0</v>
      </c>
      <c r="Q438" s="520"/>
      <c r="R438" s="354">
        <f>IF(ISERROR(VLOOKUP("SOC"&amp;$C438,ESTR_PREC_SP!$A$2:$G$2000,4,FALSE))=TRUE,0,VLOOKUP("SOC"&amp;$C438,ESTR_PREC_SP!$A$2:$G$2000,4,FALSE))</f>
        <v>0</v>
      </c>
      <c r="S438" s="521"/>
      <c r="V438" s="211"/>
      <c r="W438" s="520"/>
      <c r="X438" s="520"/>
      <c r="Y438" s="520"/>
      <c r="Z438" s="520"/>
      <c r="AA438" s="211"/>
      <c r="AB438" s="211"/>
      <c r="AC438" s="211"/>
      <c r="AD438" s="211"/>
      <c r="AE438" s="211"/>
    </row>
    <row r="439" spans="2:31" s="204" customFormat="1" x14ac:dyDescent="0.25">
      <c r="B439" s="273" t="s">
        <v>983</v>
      </c>
      <c r="C439" s="273" t="s">
        <v>984</v>
      </c>
      <c r="D439" s="274" t="s">
        <v>3455</v>
      </c>
      <c r="E439" s="264"/>
      <c r="F439" s="264"/>
      <c r="G439" s="265"/>
      <c r="H439" s="266"/>
      <c r="I439" s="267"/>
      <c r="J439" s="267"/>
      <c r="K439" s="267"/>
      <c r="L439" s="268" t="s">
        <v>3456</v>
      </c>
      <c r="M439" s="263" t="s">
        <v>2962</v>
      </c>
      <c r="N439" s="269">
        <f>+R439</f>
        <v>0</v>
      </c>
      <c r="O439" s="270">
        <f>+R439+S439+X439-ABS(Y439)+ABS(Z439)+W439+Q439</f>
        <v>0</v>
      </c>
      <c r="P439" s="271">
        <f>+O439-N439</f>
        <v>0</v>
      </c>
      <c r="Q439" s="520"/>
      <c r="R439" s="354">
        <f>IF(ISERROR(VLOOKUP("SOC"&amp;$C439,ESTR_PREC_SP!$A$2:$G$2000,4,FALSE))=TRUE,0,VLOOKUP("SOC"&amp;$C439,ESTR_PREC_SP!$A$2:$G$2000,4,FALSE))</f>
        <v>0</v>
      </c>
      <c r="S439" s="521"/>
      <c r="V439" s="211"/>
      <c r="W439" s="520"/>
      <c r="X439" s="520"/>
      <c r="Y439" s="520"/>
      <c r="Z439" s="520"/>
      <c r="AA439" s="211"/>
      <c r="AB439" s="211"/>
      <c r="AC439" s="211"/>
      <c r="AD439" s="211"/>
      <c r="AE439" s="211"/>
    </row>
    <row r="440" spans="2:31" s="204" customFormat="1" x14ac:dyDescent="0.25">
      <c r="B440" s="273" t="s">
        <v>986</v>
      </c>
      <c r="C440" s="273" t="s">
        <v>987</v>
      </c>
      <c r="D440" s="325" t="s">
        <v>3457</v>
      </c>
      <c r="E440" s="264"/>
      <c r="F440" s="264"/>
      <c r="G440" s="265"/>
      <c r="H440" s="266"/>
      <c r="I440" s="267"/>
      <c r="J440" s="267"/>
      <c r="K440" s="267"/>
      <c r="L440" s="268" t="s">
        <v>3458</v>
      </c>
      <c r="M440" s="263" t="s">
        <v>2962</v>
      </c>
      <c r="N440" s="269">
        <f>+R440</f>
        <v>0</v>
      </c>
      <c r="O440" s="270">
        <f>+R440+S440+X440-ABS(Y440)+ABS(Z440)+W440+Q440</f>
        <v>0</v>
      </c>
      <c r="P440" s="271">
        <f>+O440-N440</f>
        <v>0</v>
      </c>
      <c r="Q440" s="520"/>
      <c r="R440" s="354">
        <f>IF(ISERROR(VLOOKUP("SOC"&amp;$C440,ESTR_PREC_SP!$A$2:$G$2000,4,FALSE))=TRUE,0,VLOOKUP("SOC"&amp;$C440,ESTR_PREC_SP!$A$2:$G$2000,4,FALSE))</f>
        <v>0</v>
      </c>
      <c r="S440" s="521"/>
      <c r="V440" s="211"/>
      <c r="W440" s="520"/>
      <c r="X440" s="520"/>
      <c r="Y440" s="520"/>
      <c r="Z440" s="520"/>
      <c r="AA440" s="211"/>
      <c r="AB440" s="211"/>
      <c r="AC440" s="211"/>
      <c r="AD440" s="211"/>
      <c r="AE440" s="211"/>
    </row>
    <row r="441" spans="2:31" s="204" customFormat="1" x14ac:dyDescent="0.25">
      <c r="B441" s="273" t="s">
        <v>989</v>
      </c>
      <c r="C441" s="273" t="s">
        <v>990</v>
      </c>
      <c r="D441" s="325" t="s">
        <v>3459</v>
      </c>
      <c r="E441" s="274"/>
      <c r="F441" s="274"/>
      <c r="G441" s="283"/>
      <c r="H441" s="326"/>
      <c r="I441" s="281"/>
      <c r="J441" s="281"/>
      <c r="K441" s="281"/>
      <c r="L441" s="295" t="s">
        <v>3460</v>
      </c>
      <c r="M441" s="263" t="s">
        <v>2962</v>
      </c>
      <c r="N441" s="269">
        <f>+R441</f>
        <v>0</v>
      </c>
      <c r="O441" s="270">
        <f>+R441+S441+X441-ABS(Y441)+ABS(Z441)+W441+Q441</f>
        <v>0</v>
      </c>
      <c r="P441" s="271">
        <f>+O441-N441</f>
        <v>0</v>
      </c>
      <c r="Q441" s="520"/>
      <c r="R441" s="354">
        <f>IF(ISERROR(VLOOKUP("SOC"&amp;$C441,ESTR_PREC_SP!$A$2:$G$2000,4,FALSE))=TRUE,0,VLOOKUP("SOC"&amp;$C441,ESTR_PREC_SP!$A$2:$G$2000,4,FALSE))</f>
        <v>0</v>
      </c>
      <c r="S441" s="521"/>
      <c r="V441" s="211"/>
      <c r="W441" s="520"/>
      <c r="X441" s="520"/>
      <c r="Y441" s="520"/>
      <c r="Z441" s="520"/>
      <c r="AA441" s="211"/>
      <c r="AB441" s="211"/>
      <c r="AC441" s="211"/>
      <c r="AD441" s="211"/>
      <c r="AE441" s="211"/>
    </row>
    <row r="442" spans="2:31" s="204" customFormat="1" x14ac:dyDescent="0.25">
      <c r="B442" s="293"/>
      <c r="C442" s="293"/>
      <c r="D442" s="300"/>
      <c r="E442" s="226"/>
      <c r="F442" s="226"/>
      <c r="G442" s="226"/>
      <c r="H442" s="227"/>
      <c r="I442" s="226"/>
      <c r="J442" s="226"/>
      <c r="K442" s="226"/>
      <c r="L442" s="312"/>
      <c r="M442" s="211"/>
      <c r="N442" s="254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</row>
    <row r="443" spans="2:31" s="204" customFormat="1" x14ac:dyDescent="0.25">
      <c r="B443" s="292" t="s">
        <v>992</v>
      </c>
      <c r="C443" s="292" t="s">
        <v>993</v>
      </c>
      <c r="D443" s="247" t="s">
        <v>3461</v>
      </c>
      <c r="E443" s="247"/>
      <c r="F443" s="247"/>
      <c r="G443" s="247"/>
      <c r="H443" s="248"/>
      <c r="I443" s="247"/>
      <c r="J443" s="247"/>
      <c r="K443" s="249"/>
      <c r="L443" s="257" t="s">
        <v>996</v>
      </c>
      <c r="M443" s="251" t="s">
        <v>2962</v>
      </c>
      <c r="N443" s="252">
        <f>SUM(N446:N447)</f>
        <v>0</v>
      </c>
      <c r="O443" s="252">
        <f>SUM(O446:O447)</f>
        <v>0</v>
      </c>
      <c r="P443" s="259">
        <f>+O443-N443</f>
        <v>0</v>
      </c>
      <c r="Q443" s="252">
        <f>SUM(Q446:Q447)</f>
        <v>0</v>
      </c>
      <c r="R443" s="252">
        <f>SUM(R446:R447)</f>
        <v>0</v>
      </c>
      <c r="S443" s="252">
        <f>SUM(S446:S447)</f>
        <v>0</v>
      </c>
      <c r="V443" s="211"/>
      <c r="W443" s="252">
        <f>SUM(W446:W447)</f>
        <v>0</v>
      </c>
      <c r="X443" s="252">
        <f>SUM(X446:X447)</f>
        <v>0</v>
      </c>
      <c r="Y443" s="252">
        <f>SUM(Y446:Y447)</f>
        <v>0</v>
      </c>
      <c r="Z443" s="252">
        <f>SUM(Z446:Z447)</f>
        <v>0</v>
      </c>
      <c r="AA443" s="211"/>
    </row>
    <row r="444" spans="2:31" s="204" customFormat="1" x14ac:dyDescent="0.25">
      <c r="B444" s="293"/>
      <c r="C444" s="293"/>
      <c r="D444" s="230"/>
      <c r="E444" s="230"/>
      <c r="F444" s="230"/>
      <c r="G444" s="230"/>
      <c r="H444" s="231"/>
      <c r="I444" s="230"/>
      <c r="J444" s="230"/>
      <c r="K444" s="230"/>
      <c r="L444" s="232"/>
      <c r="M444" s="211"/>
      <c r="N444" s="211"/>
      <c r="O444" s="211"/>
      <c r="P444" s="211"/>
      <c r="Q444" s="211"/>
      <c r="V444" s="211"/>
      <c r="W444" s="211"/>
      <c r="X444" s="211"/>
      <c r="Y444" s="211"/>
      <c r="Z444" s="211"/>
      <c r="AA444" s="211"/>
    </row>
    <row r="445" spans="2:31" s="204" customFormat="1" ht="89.25" x14ac:dyDescent="0.25">
      <c r="B445" s="294" t="s">
        <v>2968</v>
      </c>
      <c r="C445" s="294" t="s">
        <v>2969</v>
      </c>
      <c r="D445" s="206" t="s">
        <v>72</v>
      </c>
      <c r="E445" s="206"/>
      <c r="F445" s="206"/>
      <c r="G445" s="207"/>
      <c r="H445" s="207"/>
      <c r="I445" s="207"/>
      <c r="J445" s="207" t="s">
        <v>2957</v>
      </c>
      <c r="K445" s="206" t="s">
        <v>82</v>
      </c>
      <c r="L445" s="261" t="s">
        <v>2970</v>
      </c>
      <c r="M445" s="260"/>
      <c r="N445" s="256" t="str">
        <f>N$15</f>
        <v>Valore netto al 31/12/2019</v>
      </c>
      <c r="O445" s="256" t="str">
        <f>O$15</f>
        <v>Valore netto al 31/12/2020</v>
      </c>
      <c r="P445" s="256" t="str">
        <f>P$15</f>
        <v>Variazione</v>
      </c>
      <c r="Q445" s="262" t="s">
        <v>2971</v>
      </c>
      <c r="R445" s="262" t="str">
        <f>"Fondo svalutazione 31/12/"&amp;Info!$B$3-1</f>
        <v>Fondo svalutazione 31/12/2019</v>
      </c>
      <c r="S445" s="262" t="s">
        <v>2972</v>
      </c>
      <c r="V445" s="211"/>
      <c r="W445" s="262" t="s">
        <v>4391</v>
      </c>
      <c r="X445" s="262" t="s">
        <v>2976</v>
      </c>
      <c r="Y445" s="262" t="s">
        <v>3124</v>
      </c>
      <c r="Z445" s="262" t="s">
        <v>3125</v>
      </c>
      <c r="AA445" s="211"/>
      <c r="AB445" s="211"/>
      <c r="AC445" s="211"/>
      <c r="AD445" s="211"/>
      <c r="AE445" s="211"/>
    </row>
    <row r="446" spans="2:31" s="204" customFormat="1" x14ac:dyDescent="0.25">
      <c r="B446" s="273" t="s">
        <v>997</v>
      </c>
      <c r="C446" s="273" t="s">
        <v>998</v>
      </c>
      <c r="D446" s="274" t="s">
        <v>3462</v>
      </c>
      <c r="E446" s="264"/>
      <c r="F446" s="264"/>
      <c r="G446" s="265"/>
      <c r="H446" s="266"/>
      <c r="I446" s="267"/>
      <c r="J446" s="267"/>
      <c r="K446" s="267"/>
      <c r="L446" s="268" t="s">
        <v>3463</v>
      </c>
      <c r="M446" s="263" t="s">
        <v>2962</v>
      </c>
      <c r="N446" s="269">
        <f>+R446</f>
        <v>0</v>
      </c>
      <c r="O446" s="270">
        <f>+R446+S446+X446-ABS(Y446)+ABS(Z446)+W446+Q446</f>
        <v>0</v>
      </c>
      <c r="P446" s="271">
        <f>+O446-N446</f>
        <v>0</v>
      </c>
      <c r="Q446" s="520"/>
      <c r="R446" s="354">
        <f>IF(ISERROR(VLOOKUP("SOC"&amp;$C446,ESTR_PREC_SP!$A$2:$G$2000,4,FALSE))=TRUE,0,VLOOKUP("SOC"&amp;$C446,ESTR_PREC_SP!$A$2:$G$2000,4,FALSE))</f>
        <v>0</v>
      </c>
      <c r="S446" s="521"/>
      <c r="V446" s="211"/>
      <c r="W446" s="520"/>
      <c r="X446" s="520"/>
      <c r="Y446" s="520"/>
      <c r="Z446" s="520"/>
      <c r="AA446" s="211"/>
      <c r="AB446" s="211"/>
      <c r="AC446" s="211"/>
      <c r="AD446" s="211"/>
      <c r="AE446" s="211"/>
    </row>
    <row r="447" spans="2:31" s="204" customFormat="1" x14ac:dyDescent="0.25">
      <c r="B447" s="273" t="s">
        <v>1000</v>
      </c>
      <c r="C447" s="273" t="s">
        <v>1001</v>
      </c>
      <c r="D447" s="274" t="s">
        <v>3464</v>
      </c>
      <c r="E447" s="274"/>
      <c r="F447" s="274"/>
      <c r="G447" s="283"/>
      <c r="H447" s="326"/>
      <c r="I447" s="281"/>
      <c r="J447" s="281"/>
      <c r="K447" s="281"/>
      <c r="L447" s="295" t="s">
        <v>3465</v>
      </c>
      <c r="M447" s="263" t="s">
        <v>2962</v>
      </c>
      <c r="N447" s="269">
        <f>+R447</f>
        <v>0</v>
      </c>
      <c r="O447" s="270">
        <f>+R447+S447+X447-ABS(Y447)+ABS(Z447)+W447+Q447</f>
        <v>0</v>
      </c>
      <c r="P447" s="271">
        <f>+O447-N447</f>
        <v>0</v>
      </c>
      <c r="Q447" s="520"/>
      <c r="R447" s="354">
        <f>IF(ISERROR(VLOOKUP("SOC"&amp;$C447,ESTR_PREC_SP!$A$2:$G$2000,4,FALSE))=TRUE,0,VLOOKUP("SOC"&amp;$C447,ESTR_PREC_SP!$A$2:$G$2000,4,FALSE))</f>
        <v>0</v>
      </c>
      <c r="S447" s="521"/>
      <c r="V447" s="211"/>
      <c r="W447" s="520"/>
      <c r="X447" s="520"/>
      <c r="Y447" s="520"/>
      <c r="Z447" s="520"/>
      <c r="AA447" s="211"/>
      <c r="AB447" s="211"/>
      <c r="AC447" s="211"/>
      <c r="AD447" s="211"/>
      <c r="AE447" s="211"/>
    </row>
    <row r="448" spans="2:31" s="204" customFormat="1" x14ac:dyDescent="0.25">
      <c r="B448" s="293"/>
      <c r="C448" s="293"/>
      <c r="D448" s="300"/>
      <c r="E448" s="226"/>
      <c r="F448" s="226"/>
      <c r="G448" s="226"/>
      <c r="H448" s="227"/>
      <c r="I448" s="226"/>
      <c r="J448" s="226"/>
      <c r="K448" s="226"/>
      <c r="L448" s="312"/>
      <c r="M448" s="211"/>
      <c r="N448" s="254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</row>
    <row r="449" spans="2:31" s="204" customFormat="1" x14ac:dyDescent="0.25">
      <c r="B449" s="292" t="s">
        <v>1003</v>
      </c>
      <c r="C449" s="292" t="s">
        <v>1004</v>
      </c>
      <c r="D449" s="247" t="s">
        <v>3466</v>
      </c>
      <c r="E449" s="247"/>
      <c r="F449" s="247"/>
      <c r="G449" s="247"/>
      <c r="H449" s="248"/>
      <c r="I449" s="247"/>
      <c r="J449" s="247"/>
      <c r="K449" s="249"/>
      <c r="L449" s="257" t="s">
        <v>1007</v>
      </c>
      <c r="M449" s="251" t="s">
        <v>2962</v>
      </c>
      <c r="N449" s="252">
        <f>SUM(N452:N455)</f>
        <v>0</v>
      </c>
      <c r="O449" s="252">
        <f>SUM(O452:O455)</f>
        <v>0</v>
      </c>
      <c r="P449" s="259">
        <f>+O449-N449</f>
        <v>0</v>
      </c>
      <c r="Q449" s="252">
        <f>SUM(Q452:Q455)</f>
        <v>0</v>
      </c>
      <c r="R449" s="252">
        <f>SUM(R452:R455)</f>
        <v>0</v>
      </c>
      <c r="S449" s="252">
        <f>SUM(S452:S453)</f>
        <v>0</v>
      </c>
      <c r="T449" s="211"/>
      <c r="U449" s="211"/>
      <c r="V449" s="211"/>
      <c r="W449" s="252">
        <f>SUM(W452:W455)</f>
        <v>0</v>
      </c>
      <c r="X449" s="252">
        <f>SUM(X452:X455)</f>
        <v>0</v>
      </c>
      <c r="Y449" s="252">
        <f>SUM(Y452:Y455)</f>
        <v>0</v>
      </c>
      <c r="Z449" s="252">
        <f>SUM(Z452:Z455)</f>
        <v>0</v>
      </c>
      <c r="AA449" s="211"/>
      <c r="AB449" s="211"/>
      <c r="AC449" s="211"/>
      <c r="AD449" s="211"/>
      <c r="AE449" s="211"/>
    </row>
    <row r="450" spans="2:31" s="204" customFormat="1" x14ac:dyDescent="0.25">
      <c r="B450" s="293"/>
      <c r="C450" s="293"/>
      <c r="D450" s="230"/>
      <c r="E450" s="230"/>
      <c r="F450" s="230"/>
      <c r="G450" s="230"/>
      <c r="H450" s="231"/>
      <c r="I450" s="230"/>
      <c r="J450" s="230"/>
      <c r="K450" s="230"/>
      <c r="L450" s="232"/>
      <c r="M450" s="211"/>
      <c r="N450" s="211"/>
      <c r="O450" s="211"/>
      <c r="P450" s="211"/>
      <c r="Q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2:31" s="204" customFormat="1" ht="89.25" x14ac:dyDescent="0.25">
      <c r="B451" s="294" t="s">
        <v>2968</v>
      </c>
      <c r="C451" s="294" t="s">
        <v>2969</v>
      </c>
      <c r="D451" s="206" t="s">
        <v>72</v>
      </c>
      <c r="E451" s="206"/>
      <c r="F451" s="206"/>
      <c r="G451" s="207"/>
      <c r="H451" s="207"/>
      <c r="I451" s="207"/>
      <c r="J451" s="207" t="s">
        <v>2957</v>
      </c>
      <c r="K451" s="206" t="s">
        <v>82</v>
      </c>
      <c r="L451" s="261" t="s">
        <v>2970</v>
      </c>
      <c r="M451" s="260"/>
      <c r="N451" s="256" t="str">
        <f>N$15</f>
        <v>Valore netto al 31/12/2019</v>
      </c>
      <c r="O451" s="256" t="str">
        <f>O$15</f>
        <v>Valore netto al 31/12/2020</v>
      </c>
      <c r="P451" s="256" t="str">
        <f>P$15</f>
        <v>Variazione</v>
      </c>
      <c r="Q451" s="262" t="s">
        <v>2971</v>
      </c>
      <c r="R451" s="262" t="str">
        <f>"Fondo svalutazione 31/12/"&amp;Info!$B$3-1</f>
        <v>Fondo svalutazione 31/12/2019</v>
      </c>
      <c r="S451" s="262" t="s">
        <v>2972</v>
      </c>
      <c r="V451" s="211"/>
      <c r="W451" s="262" t="s">
        <v>4391</v>
      </c>
      <c r="X451" s="262" t="s">
        <v>2976</v>
      </c>
      <c r="Y451" s="262" t="s">
        <v>3124</v>
      </c>
      <c r="Z451" s="262" t="s">
        <v>3125</v>
      </c>
      <c r="AA451" s="211"/>
      <c r="AB451" s="211"/>
      <c r="AC451" s="211"/>
      <c r="AD451" s="211"/>
      <c r="AE451" s="211"/>
    </row>
    <row r="452" spans="2:31" s="204" customFormat="1" x14ac:dyDescent="0.25">
      <c r="B452" s="273" t="s">
        <v>1008</v>
      </c>
      <c r="C452" s="273" t="s">
        <v>1009</v>
      </c>
      <c r="D452" s="274" t="s">
        <v>3467</v>
      </c>
      <c r="E452" s="264"/>
      <c r="F452" s="264"/>
      <c r="G452" s="265"/>
      <c r="H452" s="266"/>
      <c r="I452" s="267"/>
      <c r="J452" s="267"/>
      <c r="K452" s="267"/>
      <c r="L452" s="268" t="s">
        <v>3468</v>
      </c>
      <c r="M452" s="263" t="s">
        <v>2962</v>
      </c>
      <c r="N452" s="269">
        <f>+R452</f>
        <v>0</v>
      </c>
      <c r="O452" s="270">
        <f>+R452+S452+X452-ABS(Y452)+ABS(Z452)+W452+Q452</f>
        <v>0</v>
      </c>
      <c r="P452" s="271">
        <f>+O452-N452</f>
        <v>0</v>
      </c>
      <c r="Q452" s="520"/>
      <c r="R452" s="354">
        <f>IF(ISERROR(VLOOKUP("SOC"&amp;$C452,ESTR_PREC_SP!$A$2:$G$2000,4,FALSE))=TRUE,0,VLOOKUP("SOC"&amp;$C452,ESTR_PREC_SP!$A$2:$G$2000,4,FALSE))</f>
        <v>0</v>
      </c>
      <c r="S452" s="521"/>
      <c r="V452" s="211"/>
      <c r="W452" s="520"/>
      <c r="X452" s="520"/>
      <c r="Y452" s="520"/>
      <c r="Z452" s="520"/>
      <c r="AA452" s="211"/>
      <c r="AB452" s="211"/>
      <c r="AC452" s="211"/>
      <c r="AD452" s="211"/>
      <c r="AE452" s="211"/>
    </row>
    <row r="453" spans="2:31" s="204" customFormat="1" x14ac:dyDescent="0.25">
      <c r="B453" s="273" t="s">
        <v>1011</v>
      </c>
      <c r="C453" s="273" t="s">
        <v>1012</v>
      </c>
      <c r="D453" s="274" t="s">
        <v>3469</v>
      </c>
      <c r="E453" s="264"/>
      <c r="F453" s="264"/>
      <c r="G453" s="265"/>
      <c r="H453" s="266"/>
      <c r="I453" s="267"/>
      <c r="J453" s="267"/>
      <c r="K453" s="267"/>
      <c r="L453" s="268" t="s">
        <v>3470</v>
      </c>
      <c r="M453" s="263" t="s">
        <v>2962</v>
      </c>
      <c r="N453" s="269">
        <f>+R453</f>
        <v>0</v>
      </c>
      <c r="O453" s="270">
        <f>+R453+S453+X453-ABS(Y453)+ABS(Z453)+W453+Q453</f>
        <v>0</v>
      </c>
      <c r="P453" s="271">
        <f>+O453-N453</f>
        <v>0</v>
      </c>
      <c r="Q453" s="520"/>
      <c r="R453" s="354">
        <f>IF(ISERROR(VLOOKUP("SOC"&amp;$C453,ESTR_PREC_SP!$A$2:$G$2000,4,FALSE))=TRUE,0,VLOOKUP("SOC"&amp;$C453,ESTR_PREC_SP!$A$2:$G$2000,4,FALSE))</f>
        <v>0</v>
      </c>
      <c r="S453" s="521"/>
      <c r="V453" s="211"/>
      <c r="W453" s="520"/>
      <c r="X453" s="520"/>
      <c r="Y453" s="520"/>
      <c r="Z453" s="520"/>
      <c r="AA453" s="211"/>
      <c r="AB453" s="211"/>
      <c r="AC453" s="211"/>
      <c r="AD453" s="211"/>
      <c r="AE453" s="211"/>
    </row>
    <row r="454" spans="2:31" s="204" customFormat="1" x14ac:dyDescent="0.25">
      <c r="B454" s="273" t="s">
        <v>1014</v>
      </c>
      <c r="C454" s="273" t="s">
        <v>1015</v>
      </c>
      <c r="D454" s="325" t="s">
        <v>3471</v>
      </c>
      <c r="E454" s="264"/>
      <c r="F454" s="264"/>
      <c r="G454" s="265"/>
      <c r="H454" s="266"/>
      <c r="I454" s="267"/>
      <c r="J454" s="267"/>
      <c r="K454" s="267"/>
      <c r="L454" s="268" t="s">
        <v>3472</v>
      </c>
      <c r="M454" s="263" t="s">
        <v>2962</v>
      </c>
      <c r="N454" s="269">
        <f>+R454</f>
        <v>0</v>
      </c>
      <c r="O454" s="270">
        <f>+R454+S454+X454-ABS(Y454)+ABS(Z454)+W454+Q454</f>
        <v>0</v>
      </c>
      <c r="P454" s="271">
        <f>+O454-N454</f>
        <v>0</v>
      </c>
      <c r="Q454" s="520"/>
      <c r="R454" s="354">
        <f>IF(ISERROR(VLOOKUP("SOC"&amp;$C454,ESTR_PREC_SP!$A$2:$G$2000,4,FALSE))=TRUE,0,VLOOKUP("SOC"&amp;$C454,ESTR_PREC_SP!$A$2:$G$2000,4,FALSE))</f>
        <v>0</v>
      </c>
      <c r="S454" s="521"/>
      <c r="V454" s="211"/>
      <c r="W454" s="520"/>
      <c r="X454" s="520"/>
      <c r="Y454" s="520"/>
      <c r="Z454" s="520"/>
      <c r="AA454" s="211"/>
      <c r="AB454" s="211"/>
      <c r="AC454" s="211"/>
      <c r="AD454" s="211"/>
      <c r="AE454" s="211"/>
    </row>
    <row r="455" spans="2:31" s="204" customFormat="1" x14ac:dyDescent="0.25">
      <c r="B455" s="273" t="s">
        <v>1017</v>
      </c>
      <c r="C455" s="273" t="s">
        <v>1018</v>
      </c>
      <c r="D455" s="325" t="s">
        <v>3473</v>
      </c>
      <c r="E455" s="274"/>
      <c r="F455" s="274"/>
      <c r="G455" s="283"/>
      <c r="H455" s="326"/>
      <c r="I455" s="281"/>
      <c r="J455" s="281"/>
      <c r="K455" s="281"/>
      <c r="L455" s="268" t="s">
        <v>3474</v>
      </c>
      <c r="M455" s="263" t="s">
        <v>2962</v>
      </c>
      <c r="N455" s="269">
        <f>+R455</f>
        <v>0</v>
      </c>
      <c r="O455" s="270">
        <f>+R455+S455+X455-ABS(Y455)+ABS(Z455)+W455+Q455</f>
        <v>0</v>
      </c>
      <c r="P455" s="271">
        <f>+O455-N455</f>
        <v>0</v>
      </c>
      <c r="Q455" s="520"/>
      <c r="R455" s="354">
        <f>IF(ISERROR(VLOOKUP("SOC"&amp;$C455,ESTR_PREC_SP!$A$2:$G$2000,4,FALSE))=TRUE,0,VLOOKUP("SOC"&amp;$C455,ESTR_PREC_SP!$A$2:$G$2000,4,FALSE))</f>
        <v>0</v>
      </c>
      <c r="S455" s="521"/>
      <c r="V455" s="211"/>
      <c r="W455" s="520"/>
      <c r="X455" s="520"/>
      <c r="Y455" s="520"/>
      <c r="Z455" s="520"/>
      <c r="AA455" s="211"/>
      <c r="AB455" s="211"/>
      <c r="AC455" s="211"/>
      <c r="AD455" s="211"/>
      <c r="AE455" s="211"/>
    </row>
    <row r="456" spans="2:31" s="204" customFormat="1" x14ac:dyDescent="0.25">
      <c r="B456" s="293"/>
      <c r="C456" s="293"/>
      <c r="D456" s="300"/>
      <c r="E456" s="226"/>
      <c r="F456" s="226"/>
      <c r="G456" s="226"/>
      <c r="H456" s="227"/>
      <c r="I456" s="226"/>
      <c r="J456" s="226"/>
      <c r="K456" s="226"/>
      <c r="L456" s="312"/>
      <c r="M456" s="211"/>
      <c r="N456" s="254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</row>
    <row r="457" spans="2:31" s="204" customFormat="1" x14ac:dyDescent="0.25">
      <c r="B457" s="292" t="s">
        <v>1020</v>
      </c>
      <c r="C457" s="292" t="s">
        <v>1021</v>
      </c>
      <c r="D457" s="247" t="s">
        <v>3475</v>
      </c>
      <c r="E457" s="247"/>
      <c r="F457" s="247"/>
      <c r="G457" s="247"/>
      <c r="H457" s="248"/>
      <c r="I457" s="247"/>
      <c r="J457" s="247"/>
      <c r="K457" s="249"/>
      <c r="L457" s="257" t="s">
        <v>1024</v>
      </c>
      <c r="M457" s="251" t="s">
        <v>2962</v>
      </c>
      <c r="N457" s="252">
        <f>SUM(N460:N461)</f>
        <v>0</v>
      </c>
      <c r="O457" s="252">
        <f>SUM(O460:O461)</f>
        <v>0</v>
      </c>
      <c r="P457" s="259">
        <f>+O457-N457</f>
        <v>0</v>
      </c>
      <c r="Q457" s="252">
        <f>SUM(Q460:Q461)</f>
        <v>0</v>
      </c>
      <c r="R457" s="252">
        <f>SUM(R460:R461)</f>
        <v>0</v>
      </c>
      <c r="S457" s="252">
        <f>SUM(S460:S461)</f>
        <v>0</v>
      </c>
      <c r="T457" s="211"/>
      <c r="U457" s="211"/>
      <c r="V457" s="211"/>
      <c r="W457" s="252">
        <f>SUM(W460:W461)</f>
        <v>0</v>
      </c>
      <c r="X457" s="252">
        <f>SUM(X460:X461)</f>
        <v>0</v>
      </c>
      <c r="Y457" s="252">
        <f>SUM(Y460:Y461)</f>
        <v>0</v>
      </c>
      <c r="Z457" s="252">
        <f>SUM(Z460:Z461)</f>
        <v>0</v>
      </c>
      <c r="AA457" s="211"/>
    </row>
    <row r="458" spans="2:31" s="204" customFormat="1" x14ac:dyDescent="0.25">
      <c r="B458" s="293"/>
      <c r="C458" s="293"/>
      <c r="D458" s="230"/>
      <c r="E458" s="230"/>
      <c r="F458" s="230"/>
      <c r="G458" s="230"/>
      <c r="H458" s="231"/>
      <c r="I458" s="230"/>
      <c r="J458" s="230"/>
      <c r="K458" s="230"/>
      <c r="L458" s="232"/>
      <c r="M458" s="211"/>
      <c r="N458" s="211"/>
      <c r="O458" s="211"/>
      <c r="P458" s="211"/>
      <c r="Q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2:31" s="204" customFormat="1" ht="89.25" x14ac:dyDescent="0.25">
      <c r="B459" s="294" t="s">
        <v>2968</v>
      </c>
      <c r="C459" s="294" t="s">
        <v>2969</v>
      </c>
      <c r="D459" s="206" t="s">
        <v>72</v>
      </c>
      <c r="E459" s="206"/>
      <c r="F459" s="206"/>
      <c r="G459" s="207"/>
      <c r="H459" s="207"/>
      <c r="I459" s="207"/>
      <c r="J459" s="207" t="s">
        <v>2957</v>
      </c>
      <c r="K459" s="206" t="s">
        <v>82</v>
      </c>
      <c r="L459" s="261" t="s">
        <v>2970</v>
      </c>
      <c r="M459" s="260"/>
      <c r="N459" s="256" t="str">
        <f>N$15</f>
        <v>Valore netto al 31/12/2019</v>
      </c>
      <c r="O459" s="256" t="str">
        <f>O$15</f>
        <v>Valore netto al 31/12/2020</v>
      </c>
      <c r="P459" s="256" t="str">
        <f>P$15</f>
        <v>Variazione</v>
      </c>
      <c r="Q459" s="262" t="s">
        <v>2971</v>
      </c>
      <c r="R459" s="262" t="str">
        <f>"Fondo svalutazione 31/12/"&amp;Info!$B$3-1</f>
        <v>Fondo svalutazione 31/12/2019</v>
      </c>
      <c r="S459" s="262" t="s">
        <v>2972</v>
      </c>
      <c r="V459" s="211"/>
      <c r="W459" s="262" t="s">
        <v>4391</v>
      </c>
      <c r="X459" s="262" t="s">
        <v>2976</v>
      </c>
      <c r="Y459" s="262" t="s">
        <v>3124</v>
      </c>
      <c r="Z459" s="262" t="s">
        <v>3125</v>
      </c>
      <c r="AA459" s="211"/>
      <c r="AB459" s="211"/>
      <c r="AC459" s="211"/>
      <c r="AD459" s="211"/>
      <c r="AE459" s="211"/>
    </row>
    <row r="460" spans="2:31" s="204" customFormat="1" x14ac:dyDescent="0.25">
      <c r="B460" s="273" t="s">
        <v>1025</v>
      </c>
      <c r="C460" s="273" t="s">
        <v>1026</v>
      </c>
      <c r="D460" s="274" t="s">
        <v>3476</v>
      </c>
      <c r="E460" s="264"/>
      <c r="F460" s="264"/>
      <c r="G460" s="265"/>
      <c r="H460" s="266"/>
      <c r="I460" s="267"/>
      <c r="J460" s="267"/>
      <c r="K460" s="267"/>
      <c r="L460" s="268" t="s">
        <v>3477</v>
      </c>
      <c r="M460" s="263" t="s">
        <v>2962</v>
      </c>
      <c r="N460" s="269">
        <f>+R460</f>
        <v>0</v>
      </c>
      <c r="O460" s="270">
        <f>+R460+S460+X460-ABS(Y460)+ABS(Z460)+W460+Q460</f>
        <v>0</v>
      </c>
      <c r="P460" s="271">
        <f>+O460-N460</f>
        <v>0</v>
      </c>
      <c r="Q460" s="520"/>
      <c r="R460" s="354">
        <f>IF(ISERROR(VLOOKUP("SOC"&amp;$C460,ESTR_PREC_SP!$A$2:$G$2000,4,FALSE))=TRUE,0,VLOOKUP("SOC"&amp;$C460,ESTR_PREC_SP!$A$2:$G$2000,4,FALSE))</f>
        <v>0</v>
      </c>
      <c r="S460" s="521"/>
      <c r="V460" s="211"/>
      <c r="W460" s="520"/>
      <c r="X460" s="520"/>
      <c r="Y460" s="520"/>
      <c r="Z460" s="520"/>
      <c r="AA460" s="211"/>
      <c r="AB460" s="211"/>
      <c r="AC460" s="211"/>
      <c r="AD460" s="211"/>
      <c r="AE460" s="211"/>
    </row>
    <row r="461" spans="2:31" s="204" customFormat="1" x14ac:dyDescent="0.25">
      <c r="B461" s="273" t="s">
        <v>1028</v>
      </c>
      <c r="C461" s="273" t="s">
        <v>1029</v>
      </c>
      <c r="D461" s="274" t="s">
        <v>3478</v>
      </c>
      <c r="E461" s="274"/>
      <c r="F461" s="274"/>
      <c r="G461" s="283"/>
      <c r="H461" s="326"/>
      <c r="I461" s="281"/>
      <c r="J461" s="281"/>
      <c r="K461" s="281"/>
      <c r="L461" s="295" t="s">
        <v>3479</v>
      </c>
      <c r="M461" s="263" t="s">
        <v>2962</v>
      </c>
      <c r="N461" s="269">
        <f>+R461</f>
        <v>0</v>
      </c>
      <c r="O461" s="270">
        <f>+R461+S461+X461-ABS(Y461)+ABS(Z461)+W461+Q461</f>
        <v>0</v>
      </c>
      <c r="P461" s="271">
        <f>+O461-N461</f>
        <v>0</v>
      </c>
      <c r="Q461" s="520"/>
      <c r="R461" s="354">
        <f>IF(ISERROR(VLOOKUP("SOC"&amp;$C461,ESTR_PREC_SP!$A$2:$G$2000,4,FALSE))=TRUE,0,VLOOKUP("SOC"&amp;$C461,ESTR_PREC_SP!$A$2:$G$2000,4,FALSE))</f>
        <v>0</v>
      </c>
      <c r="S461" s="521"/>
      <c r="V461" s="211"/>
      <c r="W461" s="520"/>
      <c r="X461" s="520"/>
      <c r="Y461" s="520"/>
      <c r="Z461" s="520"/>
      <c r="AA461" s="211"/>
      <c r="AB461" s="211"/>
      <c r="AC461" s="211"/>
      <c r="AD461" s="211"/>
      <c r="AE461" s="211"/>
    </row>
    <row r="462" spans="2:31" s="204" customFormat="1" x14ac:dyDescent="0.25">
      <c r="B462" s="293"/>
      <c r="C462" s="293"/>
      <c r="D462" s="300"/>
      <c r="E462" s="300"/>
      <c r="F462" s="300"/>
      <c r="G462" s="300"/>
      <c r="H462" s="327"/>
      <c r="I462" s="300"/>
      <c r="J462" s="300"/>
      <c r="K462" s="300"/>
      <c r="L462" s="312"/>
      <c r="M462" s="211"/>
      <c r="N462" s="254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</row>
    <row r="463" spans="2:31" s="204" customFormat="1" x14ac:dyDescent="0.25">
      <c r="B463" s="292" t="s">
        <v>1031</v>
      </c>
      <c r="C463" s="292" t="s">
        <v>1032</v>
      </c>
      <c r="D463" s="247" t="s">
        <v>3480</v>
      </c>
      <c r="E463" s="301"/>
      <c r="F463" s="301"/>
      <c r="G463" s="301"/>
      <c r="H463" s="328"/>
      <c r="I463" s="301"/>
      <c r="J463" s="301"/>
      <c r="K463" s="329"/>
      <c r="L463" s="257" t="s">
        <v>1035</v>
      </c>
      <c r="M463" s="251" t="s">
        <v>2962</v>
      </c>
      <c r="N463" s="252">
        <f>SUM(N466:N467)</f>
        <v>0</v>
      </c>
      <c r="O463" s="252">
        <f>SUM(O466:O467)</f>
        <v>0</v>
      </c>
      <c r="P463" s="259">
        <f>+O463-N463</f>
        <v>0</v>
      </c>
      <c r="Q463" s="252">
        <f>SUM(Q466:Q467)</f>
        <v>0</v>
      </c>
      <c r="R463" s="252">
        <f>SUM(R466:R467)</f>
        <v>0</v>
      </c>
      <c r="S463" s="252">
        <f>SUM(S466:S467)</f>
        <v>0</v>
      </c>
      <c r="T463" s="211"/>
      <c r="U463" s="211"/>
      <c r="V463" s="211"/>
      <c r="W463" s="252">
        <f>SUM(W466:W467)</f>
        <v>0</v>
      </c>
      <c r="X463" s="252">
        <f>SUM(X466:X467)</f>
        <v>0</v>
      </c>
      <c r="Y463" s="252">
        <f>SUM(Y466:Y467)</f>
        <v>0</v>
      </c>
      <c r="Z463" s="252">
        <f>SUM(Z466:Z467)</f>
        <v>0</v>
      </c>
      <c r="AA463" s="211"/>
    </row>
    <row r="464" spans="2:31" s="204" customFormat="1" x14ac:dyDescent="0.25">
      <c r="B464" s="293"/>
      <c r="C464" s="293"/>
      <c r="D464" s="230"/>
      <c r="E464" s="230"/>
      <c r="F464" s="230"/>
      <c r="G464" s="230"/>
      <c r="H464" s="231"/>
      <c r="I464" s="230"/>
      <c r="J464" s="230"/>
      <c r="K464" s="230"/>
      <c r="L464" s="232"/>
      <c r="M464" s="211"/>
      <c r="N464" s="211"/>
      <c r="O464" s="211"/>
      <c r="P464" s="211"/>
      <c r="Q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2:31" s="204" customFormat="1" ht="89.25" x14ac:dyDescent="0.25">
      <c r="B465" s="294" t="s">
        <v>2968</v>
      </c>
      <c r="C465" s="294" t="s">
        <v>2969</v>
      </c>
      <c r="D465" s="206" t="s">
        <v>72</v>
      </c>
      <c r="E465" s="206"/>
      <c r="F465" s="206"/>
      <c r="G465" s="207"/>
      <c r="H465" s="207"/>
      <c r="I465" s="207"/>
      <c r="J465" s="207" t="s">
        <v>2957</v>
      </c>
      <c r="K465" s="206" t="s">
        <v>82</v>
      </c>
      <c r="L465" s="261" t="s">
        <v>2970</v>
      </c>
      <c r="M465" s="260"/>
      <c r="N465" s="256" t="str">
        <f>N$15</f>
        <v>Valore netto al 31/12/2019</v>
      </c>
      <c r="O465" s="256" t="str">
        <f>O$15</f>
        <v>Valore netto al 31/12/2020</v>
      </c>
      <c r="P465" s="256" t="str">
        <f>P$15</f>
        <v>Variazione</v>
      </c>
      <c r="Q465" s="262" t="s">
        <v>2971</v>
      </c>
      <c r="R465" s="262" t="str">
        <f>"Fondo svalutazione 31/12/"&amp;Info!$B$3-1</f>
        <v>Fondo svalutazione 31/12/2019</v>
      </c>
      <c r="S465" s="262" t="s">
        <v>2972</v>
      </c>
      <c r="V465" s="211"/>
      <c r="W465" s="262" t="s">
        <v>4391</v>
      </c>
      <c r="X465" s="262" t="s">
        <v>2976</v>
      </c>
      <c r="Y465" s="262" t="s">
        <v>3124</v>
      </c>
      <c r="Z465" s="262" t="s">
        <v>3125</v>
      </c>
      <c r="AA465" s="211"/>
      <c r="AB465" s="211"/>
      <c r="AC465" s="211"/>
      <c r="AD465" s="211"/>
      <c r="AE465" s="211"/>
    </row>
    <row r="466" spans="2:31" s="204" customFormat="1" x14ac:dyDescent="0.25">
      <c r="B466" s="273" t="s">
        <v>1036</v>
      </c>
      <c r="C466" s="273" t="s">
        <v>1037</v>
      </c>
      <c r="D466" s="274" t="s">
        <v>3481</v>
      </c>
      <c r="E466" s="264"/>
      <c r="F466" s="264"/>
      <c r="G466" s="265"/>
      <c r="H466" s="266"/>
      <c r="I466" s="267"/>
      <c r="J466" s="267"/>
      <c r="K466" s="267"/>
      <c r="L466" s="268" t="s">
        <v>3482</v>
      </c>
      <c r="M466" s="263" t="s">
        <v>2962</v>
      </c>
      <c r="N466" s="269">
        <f>+R466</f>
        <v>0</v>
      </c>
      <c r="O466" s="270">
        <f>+R466+S466+X466-ABS(Y466)+ABS(Z466)+W466+Q466</f>
        <v>0</v>
      </c>
      <c r="P466" s="271">
        <f>+O466-N466</f>
        <v>0</v>
      </c>
      <c r="Q466" s="520"/>
      <c r="R466" s="354">
        <f>IF(ISERROR(VLOOKUP("SOC"&amp;$C466,ESTR_PREC_SP!$A$2:$G$2000,4,FALSE))=TRUE,0,VLOOKUP("SOC"&amp;$C466,ESTR_PREC_SP!$A$2:$G$2000,4,FALSE))</f>
        <v>0</v>
      </c>
      <c r="S466" s="521"/>
      <c r="V466" s="211"/>
      <c r="W466" s="520"/>
      <c r="X466" s="520"/>
      <c r="Y466" s="520"/>
      <c r="Z466" s="520"/>
      <c r="AA466" s="211"/>
      <c r="AB466" s="211"/>
      <c r="AC466" s="211"/>
      <c r="AD466" s="211"/>
      <c r="AE466" s="211"/>
    </row>
    <row r="467" spans="2:31" s="204" customFormat="1" x14ac:dyDescent="0.25">
      <c r="B467" s="273" t="s">
        <v>1039</v>
      </c>
      <c r="C467" s="273" t="s">
        <v>1040</v>
      </c>
      <c r="D467" s="274" t="s">
        <v>3483</v>
      </c>
      <c r="E467" s="274"/>
      <c r="F467" s="274"/>
      <c r="G467" s="283"/>
      <c r="H467" s="326"/>
      <c r="I467" s="281"/>
      <c r="J467" s="281"/>
      <c r="K467" s="281"/>
      <c r="L467" s="295" t="s">
        <v>3484</v>
      </c>
      <c r="M467" s="263" t="s">
        <v>2962</v>
      </c>
      <c r="N467" s="269">
        <f>+R467</f>
        <v>0</v>
      </c>
      <c r="O467" s="270">
        <f>+R467+S467+X467-ABS(Y467)+ABS(Z467)+W467+Q467</f>
        <v>0</v>
      </c>
      <c r="P467" s="271">
        <f>+O467-N467</f>
        <v>0</v>
      </c>
      <c r="Q467" s="520"/>
      <c r="R467" s="354">
        <f>IF(ISERROR(VLOOKUP("SOC"&amp;$C467,ESTR_PREC_SP!$A$2:$G$2000,4,FALSE))=TRUE,0,VLOOKUP("SOC"&amp;$C467,ESTR_PREC_SP!$A$2:$G$2000,4,FALSE))</f>
        <v>0</v>
      </c>
      <c r="S467" s="521"/>
      <c r="V467" s="211"/>
      <c r="W467" s="520"/>
      <c r="X467" s="520"/>
      <c r="Y467" s="520"/>
      <c r="Z467" s="520"/>
      <c r="AA467" s="211"/>
      <c r="AB467" s="211"/>
      <c r="AC467" s="211"/>
      <c r="AD467" s="211"/>
      <c r="AE467" s="211"/>
    </row>
    <row r="468" spans="2:31" s="204" customFormat="1" x14ac:dyDescent="0.25">
      <c r="B468" s="293"/>
      <c r="C468" s="293"/>
      <c r="D468" s="300"/>
      <c r="E468" s="300"/>
      <c r="F468" s="300"/>
      <c r="G468" s="300"/>
      <c r="H468" s="327"/>
      <c r="I468" s="300"/>
      <c r="J468" s="300"/>
      <c r="K468" s="300"/>
      <c r="L468" s="312"/>
      <c r="M468" s="211"/>
      <c r="N468" s="254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</row>
    <row r="469" spans="2:31" s="204" customFormat="1" x14ac:dyDescent="0.25">
      <c r="B469" s="292" t="s">
        <v>1042</v>
      </c>
      <c r="C469" s="292" t="s">
        <v>1043</v>
      </c>
      <c r="D469" s="247" t="s">
        <v>3485</v>
      </c>
      <c r="E469" s="301"/>
      <c r="F469" s="301"/>
      <c r="G469" s="301"/>
      <c r="H469" s="328"/>
      <c r="I469" s="301"/>
      <c r="J469" s="301"/>
      <c r="K469" s="329"/>
      <c r="L469" s="257" t="s">
        <v>1046</v>
      </c>
      <c r="M469" s="251" t="s">
        <v>2962</v>
      </c>
      <c r="N469" s="252">
        <f>SUM(N472:N472)</f>
        <v>0</v>
      </c>
      <c r="O469" s="252">
        <f>SUM(O472:O472)</f>
        <v>0</v>
      </c>
      <c r="P469" s="259">
        <f>+O469-N469</f>
        <v>0</v>
      </c>
      <c r="Q469" s="252">
        <f>SUM(Q472:Q472)</f>
        <v>0</v>
      </c>
      <c r="R469" s="252">
        <f>SUM(R472:R472)</f>
        <v>0</v>
      </c>
      <c r="S469" s="252">
        <f>SUM(S472:S473)</f>
        <v>0</v>
      </c>
      <c r="T469" s="211"/>
      <c r="U469" s="211"/>
      <c r="V469" s="211"/>
      <c r="W469" s="252">
        <f>SUM(W472:W472)</f>
        <v>0</v>
      </c>
      <c r="X469" s="252">
        <f>SUM(X472:X472)</f>
        <v>0</v>
      </c>
      <c r="Y469" s="252">
        <f>SUM(Y472:Y472)</f>
        <v>0</v>
      </c>
      <c r="Z469" s="252">
        <f>SUM(Z472:Z472)</f>
        <v>0</v>
      </c>
      <c r="AA469" s="211"/>
      <c r="AB469" s="211"/>
      <c r="AC469" s="211"/>
      <c r="AD469" s="211"/>
      <c r="AE469" s="211"/>
    </row>
    <row r="470" spans="2:31" s="204" customFormat="1" x14ac:dyDescent="0.25">
      <c r="B470" s="293"/>
      <c r="C470" s="293"/>
      <c r="D470" s="230"/>
      <c r="E470" s="230"/>
      <c r="F470" s="230"/>
      <c r="G470" s="230"/>
      <c r="H470" s="231"/>
      <c r="I470" s="230"/>
      <c r="J470" s="230"/>
      <c r="K470" s="230"/>
      <c r="L470" s="232"/>
      <c r="M470" s="211"/>
      <c r="N470" s="211"/>
      <c r="O470" s="211"/>
      <c r="P470" s="211"/>
      <c r="Q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</row>
    <row r="471" spans="2:31" s="204" customFormat="1" ht="89.25" x14ac:dyDescent="0.25">
      <c r="B471" s="294" t="s">
        <v>2968</v>
      </c>
      <c r="C471" s="294" t="s">
        <v>2969</v>
      </c>
      <c r="D471" s="206" t="s">
        <v>72</v>
      </c>
      <c r="E471" s="206"/>
      <c r="F471" s="206"/>
      <c r="G471" s="207"/>
      <c r="H471" s="207"/>
      <c r="I471" s="207"/>
      <c r="J471" s="207" t="s">
        <v>2957</v>
      </c>
      <c r="K471" s="206" t="s">
        <v>82</v>
      </c>
      <c r="L471" s="261" t="s">
        <v>2970</v>
      </c>
      <c r="M471" s="260"/>
      <c r="N471" s="256" t="str">
        <f>N$15</f>
        <v>Valore netto al 31/12/2019</v>
      </c>
      <c r="O471" s="256" t="str">
        <f>O$15</f>
        <v>Valore netto al 31/12/2020</v>
      </c>
      <c r="P471" s="256" t="str">
        <f>P$15</f>
        <v>Variazione</v>
      </c>
      <c r="Q471" s="262" t="s">
        <v>2971</v>
      </c>
      <c r="R471" s="262" t="str">
        <f>"Fondo svalutazione 31/12/"&amp;Info!$B$3-1</f>
        <v>Fondo svalutazione 31/12/2019</v>
      </c>
      <c r="S471" s="262" t="s">
        <v>2972</v>
      </c>
      <c r="V471" s="211"/>
      <c r="W471" s="262" t="s">
        <v>4391</v>
      </c>
      <c r="X471" s="262" t="s">
        <v>2976</v>
      </c>
      <c r="Y471" s="262" t="s">
        <v>3124</v>
      </c>
      <c r="Z471" s="262" t="s">
        <v>3125</v>
      </c>
      <c r="AA471" s="211"/>
      <c r="AB471" s="211"/>
      <c r="AC471" s="211"/>
      <c r="AD471" s="211"/>
      <c r="AE471" s="211"/>
    </row>
    <row r="472" spans="2:31" s="204" customFormat="1" x14ac:dyDescent="0.25">
      <c r="B472" s="273" t="s">
        <v>1047</v>
      </c>
      <c r="C472" s="273" t="s">
        <v>1048</v>
      </c>
      <c r="D472" s="274" t="s">
        <v>3486</v>
      </c>
      <c r="E472" s="264"/>
      <c r="F472" s="264"/>
      <c r="G472" s="265"/>
      <c r="H472" s="266"/>
      <c r="I472" s="267"/>
      <c r="J472" s="267"/>
      <c r="K472" s="267"/>
      <c r="L472" s="268" t="s">
        <v>3487</v>
      </c>
      <c r="M472" s="263" t="s">
        <v>2962</v>
      </c>
      <c r="N472" s="269">
        <f>+R472</f>
        <v>0</v>
      </c>
      <c r="O472" s="270">
        <f>+R472+S472+X472-ABS(Y472)+ABS(Z472)+W472+Q472</f>
        <v>0</v>
      </c>
      <c r="P472" s="271">
        <f>+O472-N472</f>
        <v>0</v>
      </c>
      <c r="Q472" s="520"/>
      <c r="R472" s="354">
        <f>IF(ISERROR(VLOOKUP("SOC"&amp;$C472,ESTR_PREC_SP!$A$2:$G$2000,4,FALSE))=TRUE,0,VLOOKUP("SOC"&amp;$C472,ESTR_PREC_SP!$A$2:$G$2000,4,FALSE))</f>
        <v>0</v>
      </c>
      <c r="S472" s="521"/>
      <c r="V472" s="211"/>
      <c r="W472" s="520"/>
      <c r="X472" s="520"/>
      <c r="Y472" s="520"/>
      <c r="Z472" s="520"/>
      <c r="AA472" s="211"/>
      <c r="AB472" s="211"/>
      <c r="AC472" s="211"/>
      <c r="AD472" s="211"/>
      <c r="AE472" s="211"/>
    </row>
    <row r="473" spans="2:31" s="204" customFormat="1" x14ac:dyDescent="0.25">
      <c r="B473" s="293"/>
      <c r="C473" s="293"/>
      <c r="D473" s="300"/>
      <c r="E473" s="300"/>
      <c r="F473" s="300"/>
      <c r="G473" s="300"/>
      <c r="H473" s="327"/>
      <c r="I473" s="300"/>
      <c r="J473" s="300"/>
      <c r="K473" s="300"/>
      <c r="L473" s="312"/>
      <c r="M473" s="211"/>
      <c r="N473" s="254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</row>
    <row r="474" spans="2:31" s="204" customFormat="1" x14ac:dyDescent="0.25">
      <c r="B474" s="292" t="s">
        <v>1050</v>
      </c>
      <c r="C474" s="292" t="s">
        <v>1051</v>
      </c>
      <c r="D474" s="247" t="s">
        <v>3488</v>
      </c>
      <c r="E474" s="301"/>
      <c r="F474" s="301"/>
      <c r="G474" s="301"/>
      <c r="H474" s="328"/>
      <c r="I474" s="301"/>
      <c r="J474" s="301"/>
      <c r="K474" s="329"/>
      <c r="L474" s="257" t="s">
        <v>1054</v>
      </c>
      <c r="M474" s="251" t="s">
        <v>2962</v>
      </c>
      <c r="N474" s="252">
        <f>SUM(N477:N478)</f>
        <v>0</v>
      </c>
      <c r="O474" s="252">
        <f>SUM(O477:O478)</f>
        <v>0</v>
      </c>
      <c r="P474" s="259">
        <f>+O474-N474</f>
        <v>0</v>
      </c>
      <c r="Q474" s="252">
        <f>SUM(Q477:Q478)</f>
        <v>0</v>
      </c>
      <c r="R474" s="252">
        <f>SUM(R477:R478)</f>
        <v>0</v>
      </c>
      <c r="S474" s="252">
        <f>SUM(S477:S478)</f>
        <v>0</v>
      </c>
      <c r="T474" s="211"/>
      <c r="U474" s="211"/>
      <c r="V474" s="211"/>
      <c r="W474" s="252">
        <f>SUM(W477:W478)</f>
        <v>0</v>
      </c>
      <c r="X474" s="252">
        <f>SUM(X477:X478)</f>
        <v>0</v>
      </c>
      <c r="Y474" s="252">
        <f>SUM(Y477:Y478)</f>
        <v>0</v>
      </c>
      <c r="Z474" s="252">
        <f>SUM(Z477:Z478)</f>
        <v>0</v>
      </c>
      <c r="AA474" s="211"/>
      <c r="AB474" s="211"/>
      <c r="AC474" s="211"/>
      <c r="AD474" s="211"/>
      <c r="AE474" s="211"/>
    </row>
    <row r="475" spans="2:31" s="204" customFormat="1" x14ac:dyDescent="0.25">
      <c r="B475" s="293"/>
      <c r="C475" s="293"/>
      <c r="D475" s="230"/>
      <c r="E475" s="230"/>
      <c r="F475" s="230"/>
      <c r="G475" s="230"/>
      <c r="H475" s="231"/>
      <c r="I475" s="230"/>
      <c r="J475" s="230"/>
      <c r="K475" s="230"/>
      <c r="L475" s="232"/>
      <c r="M475" s="211"/>
      <c r="N475" s="211"/>
      <c r="O475" s="211"/>
      <c r="P475" s="211"/>
      <c r="Q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</row>
    <row r="476" spans="2:31" s="204" customFormat="1" ht="89.25" x14ac:dyDescent="0.25">
      <c r="B476" s="294" t="s">
        <v>2968</v>
      </c>
      <c r="C476" s="294" t="s">
        <v>2969</v>
      </c>
      <c r="D476" s="206" t="s">
        <v>72</v>
      </c>
      <c r="E476" s="206"/>
      <c r="F476" s="206"/>
      <c r="G476" s="207"/>
      <c r="H476" s="207"/>
      <c r="I476" s="207"/>
      <c r="J476" s="207" t="s">
        <v>2957</v>
      </c>
      <c r="K476" s="206" t="s">
        <v>82</v>
      </c>
      <c r="L476" s="261" t="s">
        <v>2970</v>
      </c>
      <c r="M476" s="260"/>
      <c r="N476" s="256" t="str">
        <f>N$15</f>
        <v>Valore netto al 31/12/2019</v>
      </c>
      <c r="O476" s="256" t="str">
        <f>O$15</f>
        <v>Valore netto al 31/12/2020</v>
      </c>
      <c r="P476" s="256" t="str">
        <f>P$15</f>
        <v>Variazione</v>
      </c>
      <c r="Q476" s="262" t="s">
        <v>2971</v>
      </c>
      <c r="R476" s="262" t="str">
        <f>"Fondo svalutazione 31/12/"&amp;Info!$B$3-1</f>
        <v>Fondo svalutazione 31/12/2019</v>
      </c>
      <c r="S476" s="262" t="s">
        <v>2972</v>
      </c>
      <c r="V476" s="211"/>
      <c r="W476" s="262" t="s">
        <v>4391</v>
      </c>
      <c r="X476" s="262" t="s">
        <v>2976</v>
      </c>
      <c r="Y476" s="262" t="s">
        <v>3124</v>
      </c>
      <c r="Z476" s="262" t="s">
        <v>3125</v>
      </c>
      <c r="AA476" s="211"/>
      <c r="AB476" s="211"/>
      <c r="AC476" s="211"/>
      <c r="AD476" s="211"/>
      <c r="AE476" s="211"/>
    </row>
    <row r="477" spans="2:31" s="204" customFormat="1" x14ac:dyDescent="0.25">
      <c r="B477" s="273" t="s">
        <v>1055</v>
      </c>
      <c r="C477" s="273" t="s">
        <v>1056</v>
      </c>
      <c r="D477" s="274" t="s">
        <v>3489</v>
      </c>
      <c r="E477" s="264"/>
      <c r="F477" s="264"/>
      <c r="G477" s="265"/>
      <c r="H477" s="266"/>
      <c r="I477" s="267"/>
      <c r="J477" s="267"/>
      <c r="K477" s="267"/>
      <c r="L477" s="268" t="s">
        <v>3490</v>
      </c>
      <c r="M477" s="263" t="s">
        <v>2962</v>
      </c>
      <c r="N477" s="269">
        <f>+R477</f>
        <v>0</v>
      </c>
      <c r="O477" s="270">
        <f>+R477+S477+X477-ABS(Y477)+ABS(Z477)+W477+Q477</f>
        <v>0</v>
      </c>
      <c r="P477" s="271">
        <f>+O477-N477</f>
        <v>0</v>
      </c>
      <c r="Q477" s="520"/>
      <c r="R477" s="354">
        <f>IF(ISERROR(VLOOKUP("SOC"&amp;$C477,ESTR_PREC_SP!$A$2:$G$2000,4,FALSE))=TRUE,0,VLOOKUP("SOC"&amp;$C477,ESTR_PREC_SP!$A$2:$G$2000,4,FALSE))</f>
        <v>0</v>
      </c>
      <c r="S477" s="521"/>
      <c r="V477" s="211"/>
      <c r="W477" s="520"/>
      <c r="X477" s="520"/>
      <c r="Y477" s="520"/>
      <c r="Z477" s="520"/>
      <c r="AA477" s="211"/>
      <c r="AB477" s="211"/>
      <c r="AC477" s="211"/>
      <c r="AD477" s="211"/>
      <c r="AE477" s="211"/>
    </row>
    <row r="478" spans="2:31" s="204" customFormat="1" x14ac:dyDescent="0.25">
      <c r="B478" s="273" t="s">
        <v>1058</v>
      </c>
      <c r="C478" s="273" t="s">
        <v>1059</v>
      </c>
      <c r="D478" s="274" t="s">
        <v>3491</v>
      </c>
      <c r="E478" s="274"/>
      <c r="F478" s="274"/>
      <c r="G478" s="283"/>
      <c r="H478" s="326"/>
      <c r="I478" s="281"/>
      <c r="J478" s="281"/>
      <c r="K478" s="281"/>
      <c r="L478" s="295" t="s">
        <v>3492</v>
      </c>
      <c r="M478" s="263" t="s">
        <v>2962</v>
      </c>
      <c r="N478" s="269">
        <f>+R478</f>
        <v>0</v>
      </c>
      <c r="O478" s="270">
        <f>+R478+S478+X478-ABS(Y478)+ABS(Z478)+W478+Q478</f>
        <v>0</v>
      </c>
      <c r="P478" s="271">
        <f>+O478-N478</f>
        <v>0</v>
      </c>
      <c r="Q478" s="520"/>
      <c r="R478" s="354">
        <f>IF(ISERROR(VLOOKUP("SOC"&amp;$C478,ESTR_PREC_SP!$A$2:$G$2000,4,FALSE))=TRUE,0,VLOOKUP("SOC"&amp;$C478,ESTR_PREC_SP!$A$2:$G$2000,4,FALSE))</f>
        <v>0</v>
      </c>
      <c r="S478" s="521"/>
      <c r="V478" s="211"/>
      <c r="W478" s="520"/>
      <c r="X478" s="520"/>
      <c r="Y478" s="520"/>
      <c r="Z478" s="520"/>
      <c r="AA478" s="211"/>
      <c r="AB478" s="211"/>
      <c r="AC478" s="211"/>
      <c r="AD478" s="211"/>
      <c r="AE478" s="211"/>
    </row>
    <row r="479" spans="2:31" s="204" customFormat="1" x14ac:dyDescent="0.25">
      <c r="B479" s="293"/>
      <c r="C479" s="293"/>
      <c r="D479" s="226"/>
      <c r="E479" s="226"/>
      <c r="F479" s="226"/>
      <c r="G479" s="226"/>
      <c r="H479" s="227"/>
      <c r="I479" s="226"/>
      <c r="J479" s="226"/>
      <c r="K479" s="226"/>
      <c r="L479" s="315"/>
      <c r="M479" s="211"/>
      <c r="N479" s="254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</row>
    <row r="480" spans="2:31" s="204" customFormat="1" x14ac:dyDescent="0.25">
      <c r="B480" s="293"/>
      <c r="C480" s="293"/>
      <c r="D480" s="230"/>
      <c r="E480" s="230"/>
      <c r="F480" s="230"/>
      <c r="G480" s="230"/>
      <c r="H480" s="231"/>
      <c r="I480" s="230"/>
      <c r="J480" s="230"/>
      <c r="K480" s="230"/>
      <c r="L480" s="232"/>
      <c r="M480" s="211"/>
      <c r="N480" s="254"/>
      <c r="O480" s="211"/>
      <c r="P480" s="211"/>
      <c r="Q480" s="211"/>
      <c r="R480" s="211"/>
      <c r="S480" s="211"/>
      <c r="T480" s="211"/>
      <c r="U480" s="211"/>
      <c r="V480" s="211"/>
      <c r="W480" s="285"/>
      <c r="X480" s="285"/>
      <c r="Y480" s="211"/>
      <c r="Z480" s="211"/>
      <c r="AA480" s="211"/>
      <c r="AB480" s="211"/>
      <c r="AC480" s="211"/>
      <c r="AD480" s="211"/>
      <c r="AE480" s="211"/>
    </row>
    <row r="481" spans="1:38" s="204" customFormat="1" ht="25.5" x14ac:dyDescent="0.25">
      <c r="B481" s="293"/>
      <c r="C481" s="293"/>
      <c r="D481" s="230"/>
      <c r="E481" s="230"/>
      <c r="F481" s="230"/>
      <c r="G481" s="230"/>
      <c r="H481" s="231"/>
      <c r="I481" s="230"/>
      <c r="J481" s="230"/>
      <c r="K481" s="230"/>
      <c r="L481" s="243"/>
      <c r="M481" s="244"/>
      <c r="N481" s="330" t="str">
        <f>N$15</f>
        <v>Valore netto al 31/12/2019</v>
      </c>
      <c r="O481" s="331" t="str">
        <f>O$15</f>
        <v>Valore netto al 31/12/2020</v>
      </c>
      <c r="P481" s="330" t="str">
        <f>P$15</f>
        <v>Variazione</v>
      </c>
      <c r="Q481" s="211"/>
      <c r="R481" s="211"/>
      <c r="S481" s="211"/>
      <c r="T481" s="211"/>
      <c r="U481" s="211"/>
      <c r="V481" s="211"/>
      <c r="W481" s="285"/>
      <c r="X481" s="285"/>
      <c r="Y481" s="211"/>
      <c r="Z481" s="211"/>
      <c r="AA481" s="211"/>
    </row>
    <row r="482" spans="1:38" s="204" customFormat="1" x14ac:dyDescent="0.25">
      <c r="B482" s="292" t="s">
        <v>1061</v>
      </c>
      <c r="C482" s="292" t="s">
        <v>1062</v>
      </c>
      <c r="D482" s="247" t="s">
        <v>3493</v>
      </c>
      <c r="E482" s="247"/>
      <c r="F482" s="247"/>
      <c r="G482" s="247"/>
      <c r="H482" s="248"/>
      <c r="I482" s="247"/>
      <c r="J482" s="247"/>
      <c r="K482" s="249"/>
      <c r="L482" s="250" t="s">
        <v>1063</v>
      </c>
      <c r="M482" s="251" t="s">
        <v>2962</v>
      </c>
      <c r="N482" s="252">
        <f>+N484+N493</f>
        <v>0</v>
      </c>
      <c r="O482" s="252">
        <f>+O484+O493</f>
        <v>0</v>
      </c>
      <c r="P482" s="253">
        <f>+O482-N482</f>
        <v>0</v>
      </c>
      <c r="Q482" s="211"/>
      <c r="R482" s="211"/>
      <c r="S482" s="211"/>
      <c r="T482" s="211"/>
      <c r="U482" s="211"/>
      <c r="V482" s="211"/>
      <c r="W482" s="285"/>
      <c r="X482" s="285"/>
      <c r="Y482" s="211"/>
      <c r="Z482" s="211"/>
      <c r="AA482" s="211"/>
    </row>
    <row r="483" spans="1:38" s="204" customFormat="1" x14ac:dyDescent="0.25">
      <c r="B483" s="293"/>
      <c r="C483" s="293"/>
      <c r="D483" s="230"/>
      <c r="E483" s="230"/>
      <c r="F483" s="230"/>
      <c r="G483" s="230"/>
      <c r="H483" s="231"/>
      <c r="I483" s="230"/>
      <c r="J483" s="230"/>
      <c r="K483" s="230"/>
      <c r="L483" s="232"/>
      <c r="M483" s="211"/>
      <c r="N483" s="254"/>
      <c r="O483" s="211"/>
      <c r="P483" s="211"/>
      <c r="Q483" s="211"/>
      <c r="R483" s="211"/>
      <c r="S483" s="211"/>
      <c r="T483" s="211"/>
      <c r="U483" s="211"/>
      <c r="V483" s="211"/>
      <c r="W483" s="285"/>
      <c r="X483" s="285"/>
      <c r="Y483" s="211"/>
      <c r="Z483" s="211"/>
      <c r="AA483" s="211"/>
    </row>
    <row r="484" spans="1:38" s="204" customFormat="1" x14ac:dyDescent="0.25">
      <c r="B484" s="292" t="s">
        <v>1064</v>
      </c>
      <c r="C484" s="292" t="s">
        <v>1065</v>
      </c>
      <c r="D484" s="247" t="s">
        <v>3494</v>
      </c>
      <c r="E484" s="247"/>
      <c r="F484" s="247"/>
      <c r="G484" s="247"/>
      <c r="H484" s="248"/>
      <c r="I484" s="247"/>
      <c r="J484" s="247"/>
      <c r="K484" s="249"/>
      <c r="L484" s="276" t="s">
        <v>1067</v>
      </c>
      <c r="M484" s="251" t="s">
        <v>2962</v>
      </c>
      <c r="N484" s="252">
        <f>SUM(N488:N491)</f>
        <v>0</v>
      </c>
      <c r="O484" s="252">
        <f>SUM(O488:O491)</f>
        <v>0</v>
      </c>
      <c r="P484" s="259">
        <f>+O484-N484</f>
        <v>0</v>
      </c>
      <c r="Q484" s="252">
        <f t="shared" ref="Q484:Z484" si="63">SUM(Q488:Q491)</f>
        <v>0</v>
      </c>
      <c r="R484" s="252">
        <f t="shared" si="63"/>
        <v>0</v>
      </c>
      <c r="S484" s="252">
        <f t="shared" si="63"/>
        <v>0</v>
      </c>
      <c r="T484" s="252">
        <f t="shared" si="63"/>
        <v>0</v>
      </c>
      <c r="U484" s="252">
        <f t="shared" si="63"/>
        <v>0</v>
      </c>
      <c r="V484" s="252">
        <f t="shared" si="63"/>
        <v>0</v>
      </c>
      <c r="W484" s="252">
        <f t="shared" si="63"/>
        <v>0</v>
      </c>
      <c r="X484" s="252">
        <f t="shared" si="63"/>
        <v>0</v>
      </c>
      <c r="Y484" s="252">
        <f t="shared" si="63"/>
        <v>0</v>
      </c>
      <c r="Z484" s="252">
        <f t="shared" si="63"/>
        <v>0</v>
      </c>
      <c r="AA484" s="252">
        <f t="shared" ref="AA484:AK484" si="64">SUM(AB488:AB491)</f>
        <v>0</v>
      </c>
      <c r="AB484" s="252">
        <f t="shared" si="64"/>
        <v>0</v>
      </c>
      <c r="AC484" s="252">
        <f t="shared" si="64"/>
        <v>0</v>
      </c>
      <c r="AD484" s="252">
        <f t="shared" si="64"/>
        <v>0</v>
      </c>
      <c r="AE484" s="252">
        <f t="shared" si="64"/>
        <v>0</v>
      </c>
      <c r="AF484" s="252">
        <f t="shared" si="64"/>
        <v>0</v>
      </c>
      <c r="AG484" s="252">
        <f t="shared" si="64"/>
        <v>0</v>
      </c>
      <c r="AH484" s="252">
        <f t="shared" si="64"/>
        <v>0</v>
      </c>
      <c r="AI484" s="252">
        <f t="shared" si="64"/>
        <v>0</v>
      </c>
      <c r="AJ484" s="252">
        <f t="shared" si="64"/>
        <v>0</v>
      </c>
      <c r="AK484" s="252">
        <f t="shared" si="64"/>
        <v>0</v>
      </c>
    </row>
    <row r="485" spans="1:38" s="204" customFormat="1" x14ac:dyDescent="0.25">
      <c r="B485" s="298"/>
      <c r="C485" s="298"/>
      <c r="D485" s="226"/>
      <c r="E485" s="226"/>
      <c r="F485" s="226"/>
      <c r="G485" s="226"/>
      <c r="H485" s="227"/>
      <c r="I485" s="226"/>
      <c r="J485" s="226"/>
      <c r="K485" s="226"/>
      <c r="L485" s="241"/>
      <c r="M485" s="278"/>
      <c r="N485" s="279"/>
      <c r="O485" s="279"/>
      <c r="P485" s="297"/>
      <c r="Q485" s="211"/>
      <c r="R485" s="279"/>
      <c r="S485" s="279"/>
      <c r="T485" s="279"/>
      <c r="U485" s="279"/>
      <c r="V485" s="279"/>
      <c r="W485" s="279"/>
      <c r="X485" s="279"/>
      <c r="Y485" s="279"/>
      <c r="Z485" s="279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</row>
    <row r="486" spans="1:38" s="204" customFormat="1" ht="24.75" customHeight="1" x14ac:dyDescent="0.25">
      <c r="B486" s="293"/>
      <c r="C486" s="293"/>
      <c r="D486" s="230"/>
      <c r="E486" s="230"/>
      <c r="F486" s="230"/>
      <c r="G486" s="230"/>
      <c r="H486" s="231"/>
      <c r="I486" s="230"/>
      <c r="J486" s="230"/>
      <c r="K486" s="230"/>
      <c r="L486" s="332"/>
      <c r="M486" s="333"/>
      <c r="N486" s="334"/>
      <c r="O486" s="211"/>
      <c r="P486" s="211"/>
      <c r="Q486" s="211"/>
      <c r="R486" s="211"/>
      <c r="S486" s="902" t="s">
        <v>3495</v>
      </c>
      <c r="T486" s="902"/>
      <c r="U486" s="902"/>
      <c r="V486" s="335" t="s">
        <v>3496</v>
      </c>
      <c r="W486" s="336"/>
      <c r="X486" s="335" t="s">
        <v>3496</v>
      </c>
      <c r="Z486" s="211"/>
      <c r="AA486" s="211"/>
      <c r="AB486" s="285"/>
      <c r="AC486" s="211"/>
      <c r="AD486" s="211"/>
      <c r="AE486" s="904" t="str">
        <f>"VALORE NOMINALE DEI CREDITI AL 31/12/"&amp;Info!B3&amp;" PER ANNO DI FORMAZIONE"</f>
        <v>VALORE NOMINALE DEI CREDITI AL 31/12/2020 PER ANNO DI FORMAZIONE</v>
      </c>
      <c r="AF486" s="904"/>
      <c r="AG486" s="904"/>
      <c r="AH486" s="904"/>
      <c r="AI486" s="904"/>
      <c r="AJ486" s="905" t="str">
        <f>"VALORE NETTO DEI CREDITI AL 31/12/"&amp;Info!B3&amp;" PER SCADENZA"</f>
        <v>VALORE NETTO DEI CREDITI AL 31/12/2020 PER SCADENZA</v>
      </c>
      <c r="AK486" s="905"/>
      <c r="AL486" s="905"/>
    </row>
    <row r="487" spans="1:38" s="204" customFormat="1" ht="89.25" x14ac:dyDescent="0.25">
      <c r="B487" s="294" t="s">
        <v>2968</v>
      </c>
      <c r="C487" s="294" t="s">
        <v>2969</v>
      </c>
      <c r="D487" s="206" t="s">
        <v>72</v>
      </c>
      <c r="E487" s="206"/>
      <c r="F487" s="206"/>
      <c r="G487" s="207"/>
      <c r="H487" s="207"/>
      <c r="I487" s="207"/>
      <c r="J487" s="207" t="s">
        <v>2957</v>
      </c>
      <c r="K487" s="206" t="s">
        <v>82</v>
      </c>
      <c r="L487" s="261" t="s">
        <v>2970</v>
      </c>
      <c r="M487" s="260"/>
      <c r="N487" s="256" t="str">
        <f>N$15</f>
        <v>Valore netto al 31/12/2019</v>
      </c>
      <c r="O487" s="256" t="str">
        <f>O$15</f>
        <v>Valore netto al 31/12/2020</v>
      </c>
      <c r="P487" s="256" t="str">
        <f>P$15</f>
        <v>Variazione</v>
      </c>
      <c r="Q487" s="262" t="s">
        <v>2971</v>
      </c>
      <c r="R487" s="262" t="str">
        <f>"Valore iniziale LORDO al 31/12/"&amp;Info!B3-1</f>
        <v>Valore iniziale LORDO al 31/12/2019</v>
      </c>
      <c r="S487" s="337" t="s">
        <v>2972</v>
      </c>
      <c r="T487" s="337" t="s">
        <v>3497</v>
      </c>
      <c r="U487" s="337" t="s">
        <v>3495</v>
      </c>
      <c r="V487" s="338" t="s">
        <v>3498</v>
      </c>
      <c r="W487" s="262" t="s">
        <v>4391</v>
      </c>
      <c r="X487" s="338" t="s">
        <v>3499</v>
      </c>
      <c r="Y487" s="262" t="str">
        <f>"Valore finale LORDO al 31/12/"&amp;Info!B3</f>
        <v>Valore finale LORDO al 31/12/2020</v>
      </c>
      <c r="Z487" s="262" t="str">
        <f>"Fondo svalutazione crediti al 31/12/"&amp;Info!B3-1</f>
        <v>Fondo svalutazione crediti al 31/12/2019</v>
      </c>
      <c r="AA487" s="262" t="s">
        <v>3500</v>
      </c>
      <c r="AB487" s="262" t="s">
        <v>3501</v>
      </c>
      <c r="AC487" s="262" t="s">
        <v>3502</v>
      </c>
      <c r="AD487" s="262" t="str">
        <f>"Fondo svalutazione crediti al 31/12/"&amp;Info!B3</f>
        <v>Fondo svalutazione crediti al 31/12/2020</v>
      </c>
      <c r="AE487" s="339" t="s">
        <v>3503</v>
      </c>
      <c r="AF487" s="339" t="s">
        <v>3504</v>
      </c>
      <c r="AG487" s="339" t="s">
        <v>3505</v>
      </c>
      <c r="AH487" s="339" t="s">
        <v>3506</v>
      </c>
      <c r="AI487" s="339" t="s">
        <v>3507</v>
      </c>
      <c r="AJ487" s="340" t="s">
        <v>3508</v>
      </c>
      <c r="AK487" s="340" t="s">
        <v>3509</v>
      </c>
      <c r="AL487" s="340" t="s">
        <v>3510</v>
      </c>
    </row>
    <row r="488" spans="1:38" s="204" customFormat="1" x14ac:dyDescent="0.25">
      <c r="B488" s="287" t="s">
        <v>1068</v>
      </c>
      <c r="C488" s="287" t="s">
        <v>1069</v>
      </c>
      <c r="D488" s="274" t="s">
        <v>3511</v>
      </c>
      <c r="E488" s="274"/>
      <c r="F488" s="274"/>
      <c r="G488" s="283"/>
      <c r="H488" s="266"/>
      <c r="I488" s="274"/>
      <c r="J488" s="281"/>
      <c r="K488" s="281"/>
      <c r="L488" s="341" t="s">
        <v>1072</v>
      </c>
      <c r="M488" s="263" t="s">
        <v>2962</v>
      </c>
      <c r="N488" s="269">
        <f>+R488-Z488</f>
        <v>0</v>
      </c>
      <c r="O488" s="270">
        <f>+Y488-AD488</f>
        <v>0</v>
      </c>
      <c r="P488" s="271">
        <f>+O488-N488</f>
        <v>0</v>
      </c>
      <c r="Q488" s="520"/>
      <c r="R488" s="354">
        <f>IF(ISERROR(VLOOKUP("SOC"&amp;$C488,ESTR_PREC_SP!$A$2:$G$2000,4,FALSE))=TRUE,0,VLOOKUP("SOC"&amp;$C488,ESTR_PREC_SP!$A$2:$G$2000,4,FALSE))</f>
        <v>0</v>
      </c>
      <c r="S488" s="521"/>
      <c r="T488" s="520"/>
      <c r="U488" s="520"/>
      <c r="V488" s="520"/>
      <c r="W488" s="520"/>
      <c r="X488" s="520"/>
      <c r="Y488" s="269">
        <f>+R488+S488+T488+U488-V488-X488+W488+Q488</f>
        <v>0</v>
      </c>
      <c r="Z488" s="354">
        <f>IF(ISERROR(VLOOKUP("SAN"&amp;$C488,ESTR_PREC_SP!$A$2:$G$2000,5,FALSE))=TRUE,0,VLOOKUP("SAN"&amp;$C488,ESTR_PREC_SP!$A$2:$G$2000,5,FALSE))</f>
        <v>0</v>
      </c>
      <c r="AA488" s="520"/>
      <c r="AB488" s="520"/>
      <c r="AC488" s="520"/>
      <c r="AD488" s="269">
        <f>+Z488+AC488-AB488+AA488</f>
        <v>0</v>
      </c>
      <c r="AE488" s="520"/>
      <c r="AF488" s="520"/>
      <c r="AG488" s="520"/>
      <c r="AH488" s="520"/>
      <c r="AI488" s="526">
        <f>+Y488-SUM(AE488:AH488)</f>
        <v>0</v>
      </c>
      <c r="AJ488" s="526">
        <f>+Y488-AD488-AK488-AL488</f>
        <v>0</v>
      </c>
      <c r="AK488" s="520"/>
      <c r="AL488" s="520"/>
    </row>
    <row r="489" spans="1:38" s="204" customFormat="1" x14ac:dyDescent="0.25">
      <c r="B489" s="287" t="s">
        <v>1073</v>
      </c>
      <c r="C489" s="287" t="s">
        <v>1074</v>
      </c>
      <c r="D489" s="274" t="s">
        <v>3512</v>
      </c>
      <c r="E489" s="274"/>
      <c r="F489" s="274"/>
      <c r="G489" s="283"/>
      <c r="H489" s="266"/>
      <c r="I489" s="274"/>
      <c r="J489" s="281"/>
      <c r="K489" s="281"/>
      <c r="L489" s="341" t="s">
        <v>1077</v>
      </c>
      <c r="M489" s="263" t="s">
        <v>2962</v>
      </c>
      <c r="N489" s="269">
        <f>+R489-Z489</f>
        <v>0</v>
      </c>
      <c r="O489" s="270">
        <f>+Y489-AD489</f>
        <v>0</v>
      </c>
      <c r="P489" s="271">
        <f>+O489-N489</f>
        <v>0</v>
      </c>
      <c r="Q489" s="520"/>
      <c r="R489" s="354">
        <f>IF(ISERROR(VLOOKUP("SOC"&amp;$C489,ESTR_PREC_SP!$A$2:$G$2000,4,FALSE))=TRUE,0,VLOOKUP("SOC"&amp;$C489,ESTR_PREC_SP!$A$2:$G$2000,4,FALSE))</f>
        <v>0</v>
      </c>
      <c r="S489" s="521"/>
      <c r="T489" s="520"/>
      <c r="U489" s="520"/>
      <c r="V489" s="520"/>
      <c r="W489" s="520"/>
      <c r="X489" s="520"/>
      <c r="Y489" s="269">
        <f>+R489+S489+T489+U489-V489-X489+W489+Q489</f>
        <v>0</v>
      </c>
      <c r="Z489" s="354">
        <f>IF(ISERROR(VLOOKUP("SAN"&amp;$C489,ESTR_PREC_SP!$A$2:$G$2000,5,FALSE))=TRUE,0,VLOOKUP("SAN"&amp;$C489,ESTR_PREC_SP!$A$2:$G$2000,5,FALSE))</f>
        <v>0</v>
      </c>
      <c r="AA489" s="520"/>
      <c r="AB489" s="520"/>
      <c r="AC489" s="520"/>
      <c r="AD489" s="269">
        <f>+Z489+AC489-AB489+AA489</f>
        <v>0</v>
      </c>
      <c r="AE489" s="520"/>
      <c r="AF489" s="520"/>
      <c r="AG489" s="520"/>
      <c r="AH489" s="520"/>
      <c r="AI489" s="526">
        <f>+Y489-SUM(AE489:AH489)</f>
        <v>0</v>
      </c>
      <c r="AJ489" s="526">
        <f>+Y489-AD489-AK489-AL489</f>
        <v>0</v>
      </c>
      <c r="AK489" s="520"/>
      <c r="AL489" s="520"/>
    </row>
    <row r="490" spans="1:38" s="204" customFormat="1" x14ac:dyDescent="0.25">
      <c r="B490" s="287" t="s">
        <v>1078</v>
      </c>
      <c r="C490" s="287" t="s">
        <v>1079</v>
      </c>
      <c r="D490" s="274" t="s">
        <v>3513</v>
      </c>
      <c r="E490" s="274"/>
      <c r="F490" s="274"/>
      <c r="G490" s="283"/>
      <c r="H490" s="266"/>
      <c r="I490" s="274"/>
      <c r="J490" s="281"/>
      <c r="K490" s="281"/>
      <c r="L490" s="341" t="s">
        <v>1082</v>
      </c>
      <c r="M490" s="263" t="s">
        <v>2962</v>
      </c>
      <c r="N490" s="269">
        <f>+R490-Z490</f>
        <v>0</v>
      </c>
      <c r="O490" s="270">
        <f>+Y490-AD490</f>
        <v>0</v>
      </c>
      <c r="P490" s="271">
        <f>+O490-N490</f>
        <v>0</v>
      </c>
      <c r="Q490" s="520"/>
      <c r="R490" s="354">
        <f>IF(ISERROR(VLOOKUP("SOC"&amp;$C490,ESTR_PREC_SP!$A$2:$G$2000,4,FALSE))=TRUE,0,VLOOKUP("SOC"&amp;$C490,ESTR_PREC_SP!$A$2:$G$2000,4,FALSE))</f>
        <v>0</v>
      </c>
      <c r="S490" s="521"/>
      <c r="T490" s="520"/>
      <c r="U490" s="520"/>
      <c r="V490" s="520"/>
      <c r="W490" s="520"/>
      <c r="X490" s="520"/>
      <c r="Y490" s="269">
        <f>+R490+S490+T490+U490-V490-X490+W490+Q490</f>
        <v>0</v>
      </c>
      <c r="Z490" s="354">
        <f>IF(ISERROR(VLOOKUP("SAN"&amp;$C490,ESTR_PREC_SP!$A$2:$G$2000,5,FALSE))=TRUE,0,VLOOKUP("SAN"&amp;$C490,ESTR_PREC_SP!$A$2:$G$2000,5,FALSE))</f>
        <v>0</v>
      </c>
      <c r="AA490" s="520"/>
      <c r="AB490" s="520"/>
      <c r="AC490" s="520"/>
      <c r="AD490" s="269">
        <f>+Z490+AC490-AB490+AA490</f>
        <v>0</v>
      </c>
      <c r="AE490" s="520"/>
      <c r="AF490" s="520"/>
      <c r="AG490" s="520"/>
      <c r="AH490" s="520"/>
      <c r="AI490" s="526">
        <f>+Y490-SUM(AE490:AH490)</f>
        <v>0</v>
      </c>
      <c r="AJ490" s="526">
        <f>+Y490-AD490-AK490-AL490</f>
        <v>0</v>
      </c>
      <c r="AK490" s="520"/>
      <c r="AL490" s="520"/>
    </row>
    <row r="491" spans="1:38" s="204" customFormat="1" x14ac:dyDescent="0.25">
      <c r="B491" s="287" t="s">
        <v>1083</v>
      </c>
      <c r="C491" s="287" t="s">
        <v>1084</v>
      </c>
      <c r="D491" s="274" t="s">
        <v>3514</v>
      </c>
      <c r="E491" s="274"/>
      <c r="F491" s="274"/>
      <c r="G491" s="283"/>
      <c r="H491" s="266"/>
      <c r="I491" s="274"/>
      <c r="J491" s="281"/>
      <c r="K491" s="281"/>
      <c r="L491" s="341" t="s">
        <v>1087</v>
      </c>
      <c r="M491" s="284" t="s">
        <v>2962</v>
      </c>
      <c r="N491" s="269">
        <f>+R491-Z491</f>
        <v>0</v>
      </c>
      <c r="O491" s="270">
        <f>+Y491-AD491</f>
        <v>0</v>
      </c>
      <c r="P491" s="271">
        <f>+O491-N491</f>
        <v>0</v>
      </c>
      <c r="Q491" s="520"/>
      <c r="R491" s="354">
        <f>IF(ISERROR(VLOOKUP("SOC"&amp;$C491,ESTR_PREC_SP!$A$2:$G$2000,4,FALSE))=TRUE,0,VLOOKUP("SOC"&amp;$C491,ESTR_PREC_SP!$A$2:$G$2000,4,FALSE))</f>
        <v>0</v>
      </c>
      <c r="S491" s="521"/>
      <c r="T491" s="527"/>
      <c r="U491" s="520"/>
      <c r="V491" s="520"/>
      <c r="W491" s="520"/>
      <c r="X491" s="520"/>
      <c r="Y491" s="269">
        <f>+R491+S491+T491+U491-V491-X491+W491+Q491</f>
        <v>0</v>
      </c>
      <c r="Z491" s="354">
        <f>IF(ISERROR(VLOOKUP("SAN"&amp;$C491,ESTR_PREC_SP!$A$2:$G$2000,5,FALSE))=TRUE,0,VLOOKUP("SAN"&amp;$C491,ESTR_PREC_SP!$A$2:$G$2000,5,FALSE))</f>
        <v>0</v>
      </c>
      <c r="AA491" s="520"/>
      <c r="AB491" s="520"/>
      <c r="AC491" s="520"/>
      <c r="AD491" s="269">
        <f>+Z491+AC491-AB491+AA491</f>
        <v>0</v>
      </c>
      <c r="AE491" s="520"/>
      <c r="AF491" s="520"/>
      <c r="AG491" s="520"/>
      <c r="AH491" s="520"/>
      <c r="AI491" s="526">
        <f>+Y491-SUM(AE491:AH491)</f>
        <v>0</v>
      </c>
      <c r="AJ491" s="526">
        <f>+Y491-AD491-AK491-AL491</f>
        <v>0</v>
      </c>
      <c r="AK491" s="520"/>
      <c r="AL491" s="520"/>
    </row>
    <row r="492" spans="1:38" s="343" customFormat="1" x14ac:dyDescent="0.25">
      <c r="A492" s="204"/>
      <c r="B492" s="293"/>
      <c r="C492" s="293"/>
      <c r="D492" s="293"/>
      <c r="E492" s="293"/>
      <c r="F492" s="293"/>
      <c r="G492" s="293"/>
      <c r="H492" s="319"/>
      <c r="I492" s="293"/>
      <c r="J492" s="293"/>
      <c r="K492" s="293"/>
      <c r="L492" s="323"/>
      <c r="M492" s="298"/>
      <c r="N492" s="342"/>
      <c r="O492" s="342"/>
      <c r="P492" s="342"/>
      <c r="Q492" s="289"/>
      <c r="R492" s="342"/>
      <c r="S492" s="289"/>
      <c r="T492" s="342"/>
      <c r="U492" s="342"/>
      <c r="V492" s="342"/>
      <c r="W492" s="289"/>
      <c r="X492" s="289"/>
      <c r="Y492" s="289"/>
      <c r="Z492" s="289"/>
      <c r="AA492" s="289"/>
    </row>
    <row r="493" spans="1:38" s="204" customFormat="1" x14ac:dyDescent="0.25">
      <c r="B493" s="292" t="s">
        <v>1088</v>
      </c>
      <c r="C493" s="292" t="s">
        <v>1089</v>
      </c>
      <c r="D493" s="247" t="s">
        <v>3515</v>
      </c>
      <c r="E493" s="247"/>
      <c r="F493" s="247"/>
      <c r="G493" s="247"/>
      <c r="H493" s="248"/>
      <c r="I493" s="247"/>
      <c r="J493" s="247"/>
      <c r="K493" s="249"/>
      <c r="L493" s="276" t="s">
        <v>1091</v>
      </c>
      <c r="M493" s="251" t="s">
        <v>2962</v>
      </c>
      <c r="N493" s="252">
        <f>+N495+N504</f>
        <v>0</v>
      </c>
      <c r="O493" s="252">
        <f>+O495+O504</f>
        <v>0</v>
      </c>
      <c r="P493" s="259">
        <f>+O493-N493</f>
        <v>0</v>
      </c>
      <c r="Q493" s="252">
        <f t="shared" ref="Q493:AC493" si="65">+Q495+Q504</f>
        <v>0</v>
      </c>
      <c r="R493" s="252">
        <f t="shared" si="65"/>
        <v>0</v>
      </c>
      <c r="S493" s="252">
        <f t="shared" si="65"/>
        <v>0</v>
      </c>
      <c r="T493" s="252">
        <f t="shared" si="65"/>
        <v>0</v>
      </c>
      <c r="U493" s="252">
        <f t="shared" si="65"/>
        <v>0</v>
      </c>
      <c r="V493" s="252">
        <f t="shared" si="65"/>
        <v>0</v>
      </c>
      <c r="W493" s="252">
        <f t="shared" si="65"/>
        <v>0</v>
      </c>
      <c r="X493" s="252">
        <f t="shared" si="65"/>
        <v>0</v>
      </c>
      <c r="Y493" s="252">
        <f t="shared" si="65"/>
        <v>0</v>
      </c>
      <c r="Z493" s="252">
        <f t="shared" si="65"/>
        <v>0</v>
      </c>
      <c r="AA493" s="252">
        <f t="shared" si="65"/>
        <v>0</v>
      </c>
      <c r="AB493" s="252">
        <f t="shared" si="65"/>
        <v>0</v>
      </c>
      <c r="AC493" s="252">
        <f t="shared" si="65"/>
        <v>0</v>
      </c>
    </row>
    <row r="494" spans="1:38" s="204" customFormat="1" x14ac:dyDescent="0.25">
      <c r="B494" s="298"/>
      <c r="C494" s="298"/>
      <c r="D494" s="226"/>
      <c r="E494" s="226"/>
      <c r="F494" s="226"/>
      <c r="G494" s="226"/>
      <c r="H494" s="227"/>
      <c r="I494" s="226"/>
      <c r="J494" s="226"/>
      <c r="K494" s="226"/>
      <c r="L494" s="241"/>
      <c r="M494" s="278"/>
      <c r="N494" s="279"/>
      <c r="O494" s="279"/>
      <c r="P494" s="297"/>
      <c r="Q494" s="211"/>
      <c r="R494" s="279"/>
      <c r="S494" s="279"/>
      <c r="T494" s="279"/>
      <c r="U494" s="279"/>
      <c r="V494" s="279"/>
      <c r="W494" s="211"/>
      <c r="X494" s="211"/>
      <c r="Y494" s="211"/>
      <c r="Z494" s="211"/>
      <c r="AA494" s="211"/>
    </row>
    <row r="495" spans="1:38" s="204" customFormat="1" x14ac:dyDescent="0.25">
      <c r="B495" s="292" t="s">
        <v>1092</v>
      </c>
      <c r="C495" s="292" t="s">
        <v>1093</v>
      </c>
      <c r="D495" s="247" t="s">
        <v>3516</v>
      </c>
      <c r="E495" s="247"/>
      <c r="F495" s="247"/>
      <c r="G495" s="247"/>
      <c r="H495" s="248"/>
      <c r="I495" s="247"/>
      <c r="J495" s="247"/>
      <c r="K495" s="249"/>
      <c r="L495" s="276" t="s">
        <v>1096</v>
      </c>
      <c r="M495" s="251" t="s">
        <v>2962</v>
      </c>
      <c r="N495" s="252">
        <f>SUM(N498:N500)</f>
        <v>0</v>
      </c>
      <c r="O495" s="252">
        <f>SUM(O498:O500)</f>
        <v>0</v>
      </c>
      <c r="P495" s="259">
        <f>+O495-N495</f>
        <v>0</v>
      </c>
      <c r="Q495" s="252">
        <f t="shared" ref="Q495:AC495" si="66">SUM(Q498:Q500)</f>
        <v>0</v>
      </c>
      <c r="R495" s="252">
        <f t="shared" si="66"/>
        <v>0</v>
      </c>
      <c r="S495" s="252">
        <f t="shared" si="66"/>
        <v>0</v>
      </c>
      <c r="T495" s="252">
        <f t="shared" si="66"/>
        <v>0</v>
      </c>
      <c r="U495" s="252">
        <f t="shared" si="66"/>
        <v>0</v>
      </c>
      <c r="V495" s="252">
        <f t="shared" si="66"/>
        <v>0</v>
      </c>
      <c r="W495" s="252">
        <f t="shared" si="66"/>
        <v>0</v>
      </c>
      <c r="X495" s="252">
        <f t="shared" si="66"/>
        <v>0</v>
      </c>
      <c r="Y495" s="252">
        <f t="shared" si="66"/>
        <v>0</v>
      </c>
      <c r="Z495" s="252">
        <f t="shared" si="66"/>
        <v>0</v>
      </c>
      <c r="AA495" s="252">
        <f t="shared" si="66"/>
        <v>0</v>
      </c>
      <c r="AB495" s="252">
        <f t="shared" si="66"/>
        <v>0</v>
      </c>
      <c r="AC495" s="252">
        <f t="shared" si="66"/>
        <v>0</v>
      </c>
    </row>
    <row r="496" spans="1:38" s="204" customFormat="1" x14ac:dyDescent="0.25">
      <c r="B496" s="298"/>
      <c r="C496" s="298"/>
      <c r="D496" s="226"/>
      <c r="E496" s="226"/>
      <c r="F496" s="226"/>
      <c r="G496" s="226"/>
      <c r="H496" s="227"/>
      <c r="I496" s="226"/>
      <c r="J496" s="226"/>
      <c r="K496" s="226"/>
      <c r="L496" s="241"/>
      <c r="M496" s="278"/>
      <c r="N496" s="279"/>
      <c r="O496" s="279"/>
      <c r="P496" s="297"/>
      <c r="Q496" s="211"/>
      <c r="R496" s="279"/>
      <c r="S496" s="279"/>
      <c r="T496" s="279"/>
      <c r="U496" s="279"/>
      <c r="V496" s="279"/>
      <c r="W496" s="211"/>
      <c r="X496" s="211"/>
      <c r="Y496" s="211"/>
      <c r="Z496" s="211"/>
      <c r="AA496" s="211"/>
    </row>
    <row r="497" spans="2:31" s="204" customFormat="1" ht="89.25" x14ac:dyDescent="0.25">
      <c r="B497" s="294" t="s">
        <v>2968</v>
      </c>
      <c r="C497" s="294" t="s">
        <v>2969</v>
      </c>
      <c r="D497" s="206" t="s">
        <v>72</v>
      </c>
      <c r="E497" s="206"/>
      <c r="F497" s="206"/>
      <c r="G497" s="207"/>
      <c r="H497" s="207"/>
      <c r="I497" s="207"/>
      <c r="J497" s="207" t="s">
        <v>2957</v>
      </c>
      <c r="K497" s="206" t="s">
        <v>82</v>
      </c>
      <c r="L497" s="261" t="s">
        <v>2970</v>
      </c>
      <c r="M497" s="280"/>
      <c r="N497" s="256" t="str">
        <f>N$15</f>
        <v>Valore netto al 31/12/2019</v>
      </c>
      <c r="O497" s="256" t="str">
        <f>O$15</f>
        <v>Valore netto al 31/12/2020</v>
      </c>
      <c r="P497" s="256" t="str">
        <f>P$15</f>
        <v>Variazione</v>
      </c>
      <c r="Q497" s="262" t="s">
        <v>2971</v>
      </c>
      <c r="R497" s="346" t="str">
        <f>"Costo storico al 31/12/"&amp;Info!$B$3-1</f>
        <v>Costo storico al 31/12/2019</v>
      </c>
      <c r="S497" s="346" t="s">
        <v>2972</v>
      </c>
      <c r="T497" s="346" t="s">
        <v>2973</v>
      </c>
      <c r="U497" s="346" t="s">
        <v>2974</v>
      </c>
      <c r="V497" s="346" t="s">
        <v>3517</v>
      </c>
      <c r="W497" s="262" t="s">
        <v>4391</v>
      </c>
      <c r="X497" s="346" t="s">
        <v>2976</v>
      </c>
      <c r="Y497" s="346" t="s">
        <v>3518</v>
      </c>
      <c r="Z497" s="346" t="s">
        <v>2979</v>
      </c>
      <c r="AA497" s="346" t="s">
        <v>3519</v>
      </c>
      <c r="AB497" s="346" t="s">
        <v>2983</v>
      </c>
      <c r="AC497" s="346" t="s">
        <v>3520</v>
      </c>
      <c r="AE497" s="528" t="s">
        <v>4176</v>
      </c>
    </row>
    <row r="498" spans="2:31" s="204" customFormat="1" ht="15" customHeight="1" x14ac:dyDescent="0.25">
      <c r="B498" s="287" t="s">
        <v>1097</v>
      </c>
      <c r="C498" s="287" t="s">
        <v>1098</v>
      </c>
      <c r="D498" s="274" t="s">
        <v>3521</v>
      </c>
      <c r="E498" s="274"/>
      <c r="F498" s="274"/>
      <c r="G498" s="283"/>
      <c r="H498" s="266"/>
      <c r="I498" s="274"/>
      <c r="J498" s="281"/>
      <c r="K498" s="281"/>
      <c r="L498" s="282" t="s">
        <v>3522</v>
      </c>
      <c r="M498" s="263" t="s">
        <v>2962</v>
      </c>
      <c r="N498" s="270">
        <f>+V498</f>
        <v>0</v>
      </c>
      <c r="O498" s="270">
        <f>+AC498</f>
        <v>0</v>
      </c>
      <c r="P498" s="271">
        <f>+O498-N498</f>
        <v>0</v>
      </c>
      <c r="Q498" s="520"/>
      <c r="R498" s="354">
        <f>IF(ISERROR(VLOOKUP("SOC"&amp;$C498,ESTR_PREC_SP!$A$2:$G$2000,4,FALSE))=TRUE,0,VLOOKUP("SOC"&amp;$C498,ESTR_PREC_SP!$A$2:$G$2000,4,FALSE))</f>
        <v>0</v>
      </c>
      <c r="S498" s="521"/>
      <c r="T498" s="521"/>
      <c r="U498" s="521"/>
      <c r="V498" s="526">
        <f>+R498+S498-T498</f>
        <v>0</v>
      </c>
      <c r="W498" s="520"/>
      <c r="X498" s="529">
        <f>+Dettaglio_SP_Soc!I184</f>
        <v>0</v>
      </c>
      <c r="Y498" s="529">
        <f>+Dettaglio_SP_Soc!J184</f>
        <v>0</v>
      </c>
      <c r="Z498" s="529">
        <f>+Dettaglio_SP_Soc!K184</f>
        <v>0</v>
      </c>
      <c r="AA498" s="529">
        <f>+Dettaglio_SP_Soc!L184</f>
        <v>0</v>
      </c>
      <c r="AB498" s="529">
        <f>+Dettaglio_SP_Soc!M184</f>
        <v>0</v>
      </c>
      <c r="AC498" s="526">
        <f>+V498+X498+Y498-Z498+AA498-AB498+W498+Q498</f>
        <v>0</v>
      </c>
      <c r="AE498" s="530" t="str">
        <f>IF(R498&lt;&gt;Dettaglio_SP_Soc!E184,R498-Dettaglio_SP_Soc!E184,"OK")</f>
        <v>OK</v>
      </c>
    </row>
    <row r="499" spans="2:31" s="204" customFormat="1" x14ac:dyDescent="0.25">
      <c r="B499" s="287" t="s">
        <v>1100</v>
      </c>
      <c r="C499" s="287" t="s">
        <v>1101</v>
      </c>
      <c r="D499" s="274" t="s">
        <v>3523</v>
      </c>
      <c r="E499" s="274"/>
      <c r="F499" s="274"/>
      <c r="G499" s="283"/>
      <c r="H499" s="266"/>
      <c r="I499" s="274"/>
      <c r="J499" s="281"/>
      <c r="K499" s="281"/>
      <c r="L499" s="282" t="s">
        <v>3524</v>
      </c>
      <c r="M499" s="263" t="s">
        <v>2962</v>
      </c>
      <c r="N499" s="270">
        <f>+V499</f>
        <v>0</v>
      </c>
      <c r="O499" s="270">
        <f>+AC499</f>
        <v>0</v>
      </c>
      <c r="P499" s="271">
        <f>+O499-N499</f>
        <v>0</v>
      </c>
      <c r="Q499" s="520"/>
      <c r="R499" s="354">
        <f>IF(ISERROR(VLOOKUP("SOC"&amp;$C499,ESTR_PREC_SP!$A$2:$G$2000,4,FALSE))=TRUE,0,VLOOKUP("SOC"&amp;$C499,ESTR_PREC_SP!$A$2:$G$2000,4,FALSE))</f>
        <v>0</v>
      </c>
      <c r="S499" s="521"/>
      <c r="T499" s="521"/>
      <c r="U499" s="521"/>
      <c r="V499" s="526">
        <f>+R499+S499-T499</f>
        <v>0</v>
      </c>
      <c r="W499" s="520"/>
      <c r="X499" s="529">
        <f>+Dettaglio_SP_Soc!I197</f>
        <v>0</v>
      </c>
      <c r="Y499" s="529">
        <f>+Dettaglio_SP_Soc!J197</f>
        <v>0</v>
      </c>
      <c r="Z499" s="529">
        <f>+Dettaglio_SP_Soc!K197</f>
        <v>0</v>
      </c>
      <c r="AA499" s="529">
        <f>+Dettaglio_SP_Soc!L197</f>
        <v>0</v>
      </c>
      <c r="AB499" s="529">
        <f>+Dettaglio_SP_Soc!M197</f>
        <v>0</v>
      </c>
      <c r="AC499" s="526">
        <f>+V499+X499+Y499-Z499+AA499-AB499+W499+Q499</f>
        <v>0</v>
      </c>
      <c r="AE499" s="530" t="str">
        <f>IF(R499&lt;&gt;Dettaglio_SP_Soc!E197,R499-Dettaglio_SP_Soc!E197,"OK")</f>
        <v>OK</v>
      </c>
    </row>
    <row r="500" spans="2:31" s="204" customFormat="1" x14ac:dyDescent="0.25">
      <c r="B500" s="287" t="s">
        <v>1103</v>
      </c>
      <c r="C500" s="287" t="s">
        <v>1104</v>
      </c>
      <c r="D500" s="274" t="s">
        <v>3525</v>
      </c>
      <c r="E500" s="274"/>
      <c r="F500" s="274"/>
      <c r="G500" s="283"/>
      <c r="H500" s="266"/>
      <c r="I500" s="274"/>
      <c r="J500" s="281"/>
      <c r="K500" s="281"/>
      <c r="L500" s="282" t="s">
        <v>3526</v>
      </c>
      <c r="M500" s="284" t="s">
        <v>2962</v>
      </c>
      <c r="N500" s="270">
        <f>+V500</f>
        <v>0</v>
      </c>
      <c r="O500" s="270">
        <f>+AC500</f>
        <v>0</v>
      </c>
      <c r="P500" s="271">
        <f>+O500-N500</f>
        <v>0</v>
      </c>
      <c r="Q500" s="520"/>
      <c r="R500" s="354">
        <f>IF(ISERROR(VLOOKUP("SOC"&amp;$C500,ESTR_PREC_SP!$A$2:$G$2000,4,FALSE))=TRUE,0,VLOOKUP("SOC"&amp;$C500,ESTR_PREC_SP!$A$2:$G$2000,4,FALSE))</f>
        <v>0</v>
      </c>
      <c r="S500" s="521"/>
      <c r="T500" s="521"/>
      <c r="U500" s="521"/>
      <c r="V500" s="526">
        <f>+R500+S500-T500</f>
        <v>0</v>
      </c>
      <c r="W500" s="520"/>
      <c r="X500" s="529">
        <f>+Dettaglio_SP_Soc!I210</f>
        <v>0</v>
      </c>
      <c r="Y500" s="529">
        <f>+Dettaglio_SP_Soc!J210</f>
        <v>0</v>
      </c>
      <c r="Z500" s="529">
        <f>+Dettaglio_SP_Soc!K210</f>
        <v>0</v>
      </c>
      <c r="AA500" s="529">
        <f>+Dettaglio_SP_Soc!L210</f>
        <v>0</v>
      </c>
      <c r="AB500" s="529">
        <f>+Dettaglio_SP_Soc!M210</f>
        <v>0</v>
      </c>
      <c r="AC500" s="526">
        <f>+V500+X500+Y500-Z500+AA500-AB500+W500+Q500</f>
        <v>0</v>
      </c>
      <c r="AE500" s="531" t="str">
        <f>IF(R500&lt;&gt;Dettaglio_SP_Soc!E210,R500-Dettaglio_SP_Soc!E210,"OK")</f>
        <v>OK</v>
      </c>
    </row>
    <row r="501" spans="2:31" s="204" customFormat="1" x14ac:dyDescent="0.25">
      <c r="B501" s="298"/>
      <c r="C501" s="298"/>
      <c r="D501" s="226"/>
      <c r="E501" s="226"/>
      <c r="F501" s="226"/>
      <c r="G501" s="226"/>
      <c r="H501" s="227"/>
      <c r="I501" s="226"/>
      <c r="J501" s="226"/>
      <c r="K501" s="226"/>
      <c r="L501" s="344" t="s">
        <v>3527</v>
      </c>
      <c r="M501" s="278"/>
      <c r="N501" s="279"/>
      <c r="O501" s="279"/>
      <c r="P501" s="297"/>
      <c r="Q501" s="211"/>
      <c r="R501" s="279"/>
      <c r="S501" s="279"/>
      <c r="T501" s="279"/>
      <c r="U501" s="279"/>
      <c r="V501" s="279"/>
      <c r="W501" s="211"/>
      <c r="X501" s="211"/>
      <c r="Y501" s="211"/>
      <c r="Z501" s="211"/>
      <c r="AA501" s="211"/>
    </row>
    <row r="502" spans="2:31" s="204" customFormat="1" x14ac:dyDescent="0.25">
      <c r="B502" s="298"/>
      <c r="C502" s="298"/>
      <c r="D502" s="226"/>
      <c r="E502" s="226"/>
      <c r="F502" s="226"/>
      <c r="G502" s="226"/>
      <c r="H502" s="227"/>
      <c r="I502" s="226"/>
      <c r="J502" s="226"/>
      <c r="K502" s="226"/>
      <c r="L502" s="241"/>
      <c r="M502" s="278"/>
      <c r="N502" s="279"/>
      <c r="O502" s="279"/>
      <c r="P502" s="297"/>
      <c r="Q502" s="211"/>
      <c r="R502" s="279"/>
      <c r="S502" s="279"/>
      <c r="T502" s="279"/>
      <c r="U502" s="279"/>
      <c r="V502" s="279"/>
      <c r="W502" s="211"/>
      <c r="X502" s="211"/>
      <c r="Y502" s="211"/>
      <c r="Z502" s="211"/>
      <c r="AA502" s="211"/>
    </row>
    <row r="503" spans="2:31" s="204" customFormat="1" x14ac:dyDescent="0.25">
      <c r="B503" s="298"/>
      <c r="C503" s="298"/>
      <c r="D503" s="226"/>
      <c r="E503" s="226"/>
      <c r="F503" s="226"/>
      <c r="G503" s="226"/>
      <c r="H503" s="227"/>
      <c r="I503" s="226"/>
      <c r="J503" s="226"/>
      <c r="K503" s="226"/>
      <c r="L503" s="241"/>
      <c r="M503" s="278"/>
      <c r="N503" s="279"/>
      <c r="O503" s="279"/>
      <c r="P503" s="297"/>
      <c r="Q503" s="211"/>
      <c r="R503" s="279"/>
      <c r="S503" s="279"/>
      <c r="T503" s="279"/>
      <c r="U503" s="279"/>
      <c r="V503" s="279"/>
      <c r="W503" s="211"/>
      <c r="X503" s="211"/>
      <c r="Y503" s="211"/>
      <c r="Z503" s="211"/>
      <c r="AA503" s="211"/>
    </row>
    <row r="504" spans="2:31" s="204" customFormat="1" x14ac:dyDescent="0.25">
      <c r="B504" s="292" t="s">
        <v>1106</v>
      </c>
      <c r="C504" s="292" t="s">
        <v>1107</v>
      </c>
      <c r="D504" s="247" t="s">
        <v>3528</v>
      </c>
      <c r="E504" s="247"/>
      <c r="F504" s="247"/>
      <c r="G504" s="247"/>
      <c r="H504" s="248"/>
      <c r="I504" s="247"/>
      <c r="J504" s="247"/>
      <c r="K504" s="249"/>
      <c r="L504" s="276" t="s">
        <v>1109</v>
      </c>
      <c r="M504" s="251" t="s">
        <v>2962</v>
      </c>
      <c r="N504" s="252">
        <f>SUM(N507:N510)</f>
        <v>0</v>
      </c>
      <c r="O504" s="252">
        <f>SUM(O507:O510)</f>
        <v>0</v>
      </c>
      <c r="P504" s="259">
        <f>+O504-N504</f>
        <v>0</v>
      </c>
      <c r="Q504" s="252">
        <f t="shared" ref="Q504:AC504" si="67">SUM(Q507:Q510)</f>
        <v>0</v>
      </c>
      <c r="R504" s="252">
        <f t="shared" si="67"/>
        <v>0</v>
      </c>
      <c r="S504" s="252">
        <f t="shared" si="67"/>
        <v>0</v>
      </c>
      <c r="T504" s="252">
        <f t="shared" si="67"/>
        <v>0</v>
      </c>
      <c r="U504" s="252">
        <f t="shared" si="67"/>
        <v>0</v>
      </c>
      <c r="V504" s="252">
        <f t="shared" si="67"/>
        <v>0</v>
      </c>
      <c r="W504" s="252">
        <f t="shared" si="67"/>
        <v>0</v>
      </c>
      <c r="X504" s="252">
        <f t="shared" si="67"/>
        <v>0</v>
      </c>
      <c r="Y504" s="252">
        <f t="shared" si="67"/>
        <v>0</v>
      </c>
      <c r="Z504" s="252">
        <f t="shared" si="67"/>
        <v>0</v>
      </c>
      <c r="AA504" s="252">
        <f t="shared" si="67"/>
        <v>0</v>
      </c>
      <c r="AB504" s="252">
        <f t="shared" si="67"/>
        <v>0</v>
      </c>
      <c r="AC504" s="252">
        <f t="shared" si="67"/>
        <v>0</v>
      </c>
    </row>
    <row r="505" spans="2:31" s="204" customFormat="1" x14ac:dyDescent="0.25">
      <c r="B505" s="298"/>
      <c r="C505" s="298"/>
      <c r="D505" s="226"/>
      <c r="E505" s="226"/>
      <c r="F505" s="226"/>
      <c r="G505" s="226"/>
      <c r="H505" s="227"/>
      <c r="I505" s="226"/>
      <c r="J505" s="226"/>
      <c r="K505" s="226"/>
      <c r="L505" s="241"/>
      <c r="M505" s="278"/>
      <c r="N505" s="279"/>
      <c r="O505" s="279"/>
      <c r="P505" s="297"/>
      <c r="Q505" s="211"/>
      <c r="R505" s="279"/>
      <c r="S505" s="279"/>
      <c r="T505" s="279"/>
      <c r="U505" s="279"/>
      <c r="V505" s="279"/>
      <c r="W505" s="211"/>
      <c r="X505" s="211"/>
      <c r="Y505" s="211"/>
      <c r="Z505" s="211"/>
      <c r="AA505" s="211"/>
    </row>
    <row r="506" spans="2:31" s="204" customFormat="1" ht="89.25" x14ac:dyDescent="0.25">
      <c r="B506" s="294" t="s">
        <v>2968</v>
      </c>
      <c r="C506" s="294" t="s">
        <v>2969</v>
      </c>
      <c r="D506" s="206" t="s">
        <v>72</v>
      </c>
      <c r="E506" s="206"/>
      <c r="F506" s="206"/>
      <c r="G506" s="207"/>
      <c r="H506" s="207"/>
      <c r="I506" s="207"/>
      <c r="J506" s="207" t="s">
        <v>2957</v>
      </c>
      <c r="K506" s="206" t="s">
        <v>82</v>
      </c>
      <c r="L506" s="261" t="s">
        <v>2970</v>
      </c>
      <c r="M506" s="280"/>
      <c r="N506" s="256" t="str">
        <f>N$15</f>
        <v>Valore netto al 31/12/2019</v>
      </c>
      <c r="O506" s="256" t="str">
        <f>O$15</f>
        <v>Valore netto al 31/12/2020</v>
      </c>
      <c r="P506" s="256" t="str">
        <f>P$15</f>
        <v>Variazione</v>
      </c>
      <c r="Q506" s="262" t="s">
        <v>2971</v>
      </c>
      <c r="R506" s="346" t="str">
        <f>"Costo storico al 31/12/"&amp;Info!$B$3-1</f>
        <v>Costo storico al 31/12/2019</v>
      </c>
      <c r="S506" s="346" t="s">
        <v>2972</v>
      </c>
      <c r="T506" s="346" t="s">
        <v>2973</v>
      </c>
      <c r="U506" s="346" t="s">
        <v>2974</v>
      </c>
      <c r="V506" s="346" t="s">
        <v>3517</v>
      </c>
      <c r="W506" s="262" t="s">
        <v>4391</v>
      </c>
      <c r="X506" s="346" t="s">
        <v>2976</v>
      </c>
      <c r="Y506" s="346" t="s">
        <v>3518</v>
      </c>
      <c r="Z506" s="346" t="s">
        <v>2979</v>
      </c>
      <c r="AA506" s="346" t="s">
        <v>3519</v>
      </c>
      <c r="AB506" s="346" t="s">
        <v>2983</v>
      </c>
      <c r="AC506" s="346" t="s">
        <v>3520</v>
      </c>
    </row>
    <row r="507" spans="2:31" s="204" customFormat="1" x14ac:dyDescent="0.25">
      <c r="B507" s="287" t="s">
        <v>1110</v>
      </c>
      <c r="C507" s="287" t="s">
        <v>1111</v>
      </c>
      <c r="D507" s="274" t="s">
        <v>3529</v>
      </c>
      <c r="E507" s="274"/>
      <c r="F507" s="274"/>
      <c r="G507" s="283"/>
      <c r="H507" s="266"/>
      <c r="I507" s="274"/>
      <c r="J507" s="281"/>
      <c r="K507" s="281"/>
      <c r="L507" s="282" t="s">
        <v>1113</v>
      </c>
      <c r="M507" s="284" t="s">
        <v>2962</v>
      </c>
      <c r="N507" s="270">
        <f>+V507</f>
        <v>0</v>
      </c>
      <c r="O507" s="270">
        <f>+AC507</f>
        <v>0</v>
      </c>
      <c r="P507" s="271">
        <f>+O507-N507</f>
        <v>0</v>
      </c>
      <c r="Q507" s="527"/>
      <c r="R507" s="354">
        <f>IF(ISERROR(VLOOKUP("SOC"&amp;$C507,ESTR_PREC_SP!$A$2:$G$2000,4,FALSE))=TRUE,0,VLOOKUP("SOC"&amp;$C507,ESTR_PREC_SP!$A$2:$G$2000,4,FALSE))</f>
        <v>0</v>
      </c>
      <c r="S507" s="521"/>
      <c r="T507" s="527"/>
      <c r="U507" s="527"/>
      <c r="V507" s="526">
        <f>+R507+S507-T507</f>
        <v>0</v>
      </c>
      <c r="W507" s="527"/>
      <c r="X507" s="527"/>
      <c r="Y507" s="527"/>
      <c r="Z507" s="527"/>
      <c r="AA507" s="527"/>
      <c r="AB507" s="527"/>
      <c r="AC507" s="526">
        <f>+V507+X507+Y507-Z507+AA507-AB507+W507+Q507</f>
        <v>0</v>
      </c>
    </row>
    <row r="508" spans="2:31" s="204" customFormat="1" x14ac:dyDescent="0.25">
      <c r="B508" s="287" t="s">
        <v>1114</v>
      </c>
      <c r="C508" s="287" t="s">
        <v>1115</v>
      </c>
      <c r="D508" s="274" t="s">
        <v>3530</v>
      </c>
      <c r="E508" s="274"/>
      <c r="F508" s="274"/>
      <c r="G508" s="283"/>
      <c r="H508" s="266"/>
      <c r="I508" s="274"/>
      <c r="J508" s="281"/>
      <c r="K508" s="281"/>
      <c r="L508" s="295" t="s">
        <v>1117</v>
      </c>
      <c r="M508" s="284" t="s">
        <v>2962</v>
      </c>
      <c r="N508" s="270">
        <f>+V508</f>
        <v>0</v>
      </c>
      <c r="O508" s="270">
        <f>+AC508</f>
        <v>0</v>
      </c>
      <c r="P508" s="271">
        <f>+O508-N508</f>
        <v>0</v>
      </c>
      <c r="Q508" s="527"/>
      <c r="R508" s="354">
        <f>IF(ISERROR(VLOOKUP("SOC"&amp;$C508,ESTR_PREC_SP!$A$2:$G$2000,4,FALSE))=TRUE,0,VLOOKUP("SOC"&amp;$C508,ESTR_PREC_SP!$A$2:$G$2000,4,FALSE))</f>
        <v>0</v>
      </c>
      <c r="S508" s="521"/>
      <c r="T508" s="527"/>
      <c r="U508" s="527"/>
      <c r="V508" s="526">
        <f>+R508+S508-T508</f>
        <v>0</v>
      </c>
      <c r="W508" s="527"/>
      <c r="X508" s="527"/>
      <c r="Y508" s="527"/>
      <c r="Z508" s="527"/>
      <c r="AA508" s="527"/>
      <c r="AB508" s="527"/>
      <c r="AC508" s="526">
        <f>+V508+X508+Y508-Z508+AA508-AB508+W508+Q508</f>
        <v>0</v>
      </c>
    </row>
    <row r="509" spans="2:31" s="204" customFormat="1" x14ac:dyDescent="0.25">
      <c r="B509" s="287" t="s">
        <v>1118</v>
      </c>
      <c r="C509" s="287" t="s">
        <v>1119</v>
      </c>
      <c r="D509" s="274" t="s">
        <v>3531</v>
      </c>
      <c r="E509" s="274"/>
      <c r="F509" s="274"/>
      <c r="G509" s="283"/>
      <c r="H509" s="266"/>
      <c r="I509" s="274"/>
      <c r="J509" s="281"/>
      <c r="K509" s="281"/>
      <c r="L509" s="295" t="s">
        <v>1121</v>
      </c>
      <c r="M509" s="284" t="s">
        <v>2962</v>
      </c>
      <c r="N509" s="270">
        <f>+V509</f>
        <v>0</v>
      </c>
      <c r="O509" s="270">
        <f>+AC509</f>
        <v>0</v>
      </c>
      <c r="P509" s="271">
        <f>+O509-N509</f>
        <v>0</v>
      </c>
      <c r="Q509" s="527"/>
      <c r="R509" s="354">
        <f>IF(ISERROR(VLOOKUP("SOC"&amp;$C509,ESTR_PREC_SP!$A$2:$G$2000,4,FALSE))=TRUE,0,VLOOKUP("SOC"&amp;$C509,ESTR_PREC_SP!$A$2:$G$2000,4,FALSE))</f>
        <v>0</v>
      </c>
      <c r="S509" s="521"/>
      <c r="T509" s="527"/>
      <c r="U509" s="527"/>
      <c r="V509" s="526">
        <f>+R509+S509-T509</f>
        <v>0</v>
      </c>
      <c r="W509" s="527"/>
      <c r="X509" s="527"/>
      <c r="Y509" s="527"/>
      <c r="Z509" s="527"/>
      <c r="AA509" s="527"/>
      <c r="AB509" s="527"/>
      <c r="AC509" s="526">
        <f>+V509+X509+Y509-Z509+AA509-AB509+W509+Q509</f>
        <v>0</v>
      </c>
    </row>
    <row r="510" spans="2:31" s="204" customFormat="1" x14ac:dyDescent="0.25">
      <c r="B510" s="287" t="s">
        <v>1122</v>
      </c>
      <c r="C510" s="287" t="s">
        <v>1123</v>
      </c>
      <c r="D510" s="274" t="s">
        <v>3532</v>
      </c>
      <c r="E510" s="274"/>
      <c r="F510" s="274"/>
      <c r="G510" s="283"/>
      <c r="H510" s="266"/>
      <c r="I510" s="274"/>
      <c r="J510" s="281"/>
      <c r="K510" s="281"/>
      <c r="L510" s="295" t="s">
        <v>1125</v>
      </c>
      <c r="M510" s="284" t="s">
        <v>2962</v>
      </c>
      <c r="N510" s="270">
        <f>+V510</f>
        <v>0</v>
      </c>
      <c r="O510" s="270">
        <f>+AC510</f>
        <v>0</v>
      </c>
      <c r="P510" s="271">
        <f>+O510-N510</f>
        <v>0</v>
      </c>
      <c r="Q510" s="527"/>
      <c r="R510" s="354">
        <f>IF(ISERROR(VLOOKUP("SOC"&amp;$C510,ESTR_PREC_SP!$A$2:$G$2000,4,FALSE))=TRUE,0,VLOOKUP("SOC"&amp;$C510,ESTR_PREC_SP!$A$2:$G$2000,4,FALSE))</f>
        <v>0</v>
      </c>
      <c r="S510" s="521"/>
      <c r="T510" s="527"/>
      <c r="U510" s="527"/>
      <c r="V510" s="526">
        <f>+R510+S510-T510</f>
        <v>0</v>
      </c>
      <c r="W510" s="527"/>
      <c r="X510" s="527"/>
      <c r="Y510" s="527"/>
      <c r="Z510" s="527"/>
      <c r="AA510" s="527"/>
      <c r="AB510" s="527"/>
      <c r="AC510" s="526">
        <f>+V510+X510+Y510-Z510+AA510-AB510+W510+Q510</f>
        <v>0</v>
      </c>
    </row>
    <row r="511" spans="2:31" s="204" customFormat="1" x14ac:dyDescent="0.25">
      <c r="B511" s="230"/>
      <c r="C511" s="230"/>
      <c r="D511" s="230"/>
      <c r="E511" s="230"/>
      <c r="F511" s="230"/>
      <c r="G511" s="230"/>
      <c r="H511" s="231"/>
      <c r="I511" s="230"/>
      <c r="J511" s="230"/>
      <c r="K511" s="230"/>
      <c r="L511" s="232"/>
      <c r="M511" s="211"/>
      <c r="N511" s="254"/>
      <c r="O511" s="211"/>
      <c r="P511" s="211"/>
      <c r="Q511" s="211"/>
      <c r="R511" s="211"/>
      <c r="S511" s="211"/>
      <c r="T511" s="285"/>
      <c r="U511" s="285"/>
      <c r="V511" s="211"/>
      <c r="W511" s="211"/>
      <c r="X511" s="211"/>
      <c r="Y511" s="211"/>
      <c r="Z511" s="211"/>
      <c r="AA511" s="211"/>
    </row>
    <row r="512" spans="2:31" s="204" customFormat="1" x14ac:dyDescent="0.25">
      <c r="B512" s="233" t="s">
        <v>1126</v>
      </c>
      <c r="C512" s="233" t="s">
        <v>1127</v>
      </c>
      <c r="D512" s="234" t="s">
        <v>3533</v>
      </c>
      <c r="E512" s="234"/>
      <c r="F512" s="234"/>
      <c r="G512" s="234"/>
      <c r="H512" s="235"/>
      <c r="I512" s="234"/>
      <c r="J512" s="234"/>
      <c r="K512" s="234"/>
      <c r="L512" s="236" t="s">
        <v>1128</v>
      </c>
      <c r="M512" s="237" t="s">
        <v>2962</v>
      </c>
      <c r="N512" s="238">
        <f>+N515+N590+N727+N736</f>
        <v>0</v>
      </c>
      <c r="O512" s="238">
        <f>+O515+O590+O727+O736</f>
        <v>0</v>
      </c>
      <c r="P512" s="239">
        <f>+O512-N512</f>
        <v>0</v>
      </c>
      <c r="Q512" s="211"/>
      <c r="R512" s="211"/>
      <c r="S512" s="224">
        <f>S515+S590</f>
        <v>0</v>
      </c>
      <c r="T512" s="285"/>
      <c r="U512" s="285"/>
      <c r="V512" s="211"/>
      <c r="W512" s="211"/>
      <c r="X512" s="211"/>
      <c r="Y512" s="211"/>
      <c r="Z512" s="211"/>
      <c r="AA512" s="211"/>
    </row>
    <row r="513" spans="2:28" s="204" customFormat="1" x14ac:dyDescent="0.25">
      <c r="B513" s="230"/>
      <c r="C513" s="230"/>
      <c r="D513" s="230"/>
      <c r="E513" s="230"/>
      <c r="F513" s="230"/>
      <c r="G513" s="230"/>
      <c r="H513" s="231"/>
      <c r="I513" s="230"/>
      <c r="J513" s="230"/>
      <c r="K513" s="230"/>
      <c r="L513" s="232"/>
      <c r="M513" s="211"/>
      <c r="N513" s="254"/>
      <c r="O513" s="211"/>
      <c r="P513" s="211"/>
      <c r="Q513" s="211"/>
      <c r="R513" s="211"/>
      <c r="S513" s="211"/>
      <c r="T513" s="285"/>
      <c r="U513" s="285"/>
      <c r="V513" s="211"/>
      <c r="W513" s="211"/>
      <c r="X513" s="211"/>
      <c r="Y513" s="211"/>
      <c r="Z513" s="211"/>
      <c r="AA513" s="211"/>
    </row>
    <row r="514" spans="2:28" s="204" customFormat="1" ht="26.25" x14ac:dyDescent="0.25">
      <c r="B514" s="230"/>
      <c r="C514" s="230"/>
      <c r="D514" s="230"/>
      <c r="E514" s="230"/>
      <c r="F514" s="230"/>
      <c r="G514" s="230"/>
      <c r="H514" s="231"/>
      <c r="I514" s="230"/>
      <c r="J514" s="230"/>
      <c r="K514" s="230"/>
      <c r="L514" s="243"/>
      <c r="M514" s="244"/>
      <c r="N514" s="245" t="str">
        <f>N$15</f>
        <v>Valore netto al 31/12/2019</v>
      </c>
      <c r="O514" s="331" t="str">
        <f>O$15</f>
        <v>Valore netto al 31/12/2020</v>
      </c>
      <c r="P514" s="245" t="str">
        <f>P$15</f>
        <v>Variazione</v>
      </c>
      <c r="Q514" s="211"/>
      <c r="R514" s="211"/>
      <c r="S514" s="211"/>
      <c r="T514" s="285"/>
      <c r="U514" s="285"/>
      <c r="V514" s="211"/>
      <c r="W514" s="211"/>
      <c r="X514" s="211"/>
      <c r="Y514" s="211"/>
      <c r="Z514" s="211"/>
      <c r="AA514" s="211"/>
    </row>
    <row r="515" spans="2:28" s="204" customFormat="1" x14ac:dyDescent="0.25">
      <c r="B515" s="246" t="s">
        <v>1129</v>
      </c>
      <c r="C515" s="246" t="s">
        <v>1130</v>
      </c>
      <c r="D515" s="247" t="s">
        <v>3534</v>
      </c>
      <c r="E515" s="247"/>
      <c r="F515" s="247"/>
      <c r="G515" s="247"/>
      <c r="H515" s="248"/>
      <c r="I515" s="247"/>
      <c r="J515" s="247"/>
      <c r="K515" s="249"/>
      <c r="L515" s="250" t="s">
        <v>1131</v>
      </c>
      <c r="M515" s="251" t="s">
        <v>2962</v>
      </c>
      <c r="N515" s="252">
        <f>+N517+N569</f>
        <v>0</v>
      </c>
      <c r="O515" s="252">
        <f>+O517+O569</f>
        <v>0</v>
      </c>
      <c r="P515" s="253">
        <f>+O515-N515</f>
        <v>0</v>
      </c>
      <c r="Q515" s="211"/>
      <c r="R515" s="211"/>
      <c r="S515" s="224">
        <f>S517+S569</f>
        <v>0</v>
      </c>
      <c r="T515" s="285"/>
      <c r="U515" s="285"/>
      <c r="V515" s="211"/>
      <c r="W515" s="211"/>
      <c r="X515" s="211"/>
      <c r="Y515" s="211"/>
      <c r="Z515" s="211"/>
      <c r="AA515" s="211"/>
    </row>
    <row r="516" spans="2:28" s="204" customFormat="1" x14ac:dyDescent="0.25">
      <c r="B516" s="230"/>
      <c r="C516" s="230"/>
      <c r="D516" s="230"/>
      <c r="E516" s="230"/>
      <c r="F516" s="230"/>
      <c r="G516" s="230"/>
      <c r="H516" s="231"/>
      <c r="I516" s="230"/>
      <c r="J516" s="230"/>
      <c r="K516" s="230"/>
      <c r="L516" s="299"/>
      <c r="M516" s="211"/>
      <c r="N516" s="254"/>
      <c r="O516" s="211"/>
      <c r="P516" s="211"/>
      <c r="Q516" s="211"/>
      <c r="R516" s="211"/>
      <c r="S516" s="211"/>
      <c r="T516" s="285"/>
      <c r="U516" s="285"/>
      <c r="V516" s="211"/>
      <c r="W516" s="211"/>
      <c r="X516" s="211"/>
      <c r="Y516" s="211"/>
      <c r="Z516" s="211"/>
      <c r="AA516" s="211"/>
    </row>
    <row r="517" spans="2:28" s="204" customFormat="1" x14ac:dyDescent="0.25">
      <c r="B517" s="246" t="s">
        <v>1132</v>
      </c>
      <c r="C517" s="246" t="s">
        <v>1133</v>
      </c>
      <c r="D517" s="247" t="s">
        <v>3535</v>
      </c>
      <c r="E517" s="247"/>
      <c r="F517" s="247"/>
      <c r="G517" s="247"/>
      <c r="H517" s="248"/>
      <c r="I517" s="247"/>
      <c r="J517" s="247"/>
      <c r="K517" s="249"/>
      <c r="L517" s="276" t="s">
        <v>1135</v>
      </c>
      <c r="M517" s="251" t="s">
        <v>2962</v>
      </c>
      <c r="N517" s="252">
        <f>SUM(N520:N566)</f>
        <v>0</v>
      </c>
      <c r="O517" s="252">
        <f>SUM(O520:O566)</f>
        <v>0</v>
      </c>
      <c r="P517" s="259">
        <f>+O517-N517</f>
        <v>0</v>
      </c>
      <c r="Q517" s="252">
        <f>SUM(Q520:Q566)</f>
        <v>0</v>
      </c>
      <c r="R517" s="252">
        <f>SUM(R522:R566)</f>
        <v>0</v>
      </c>
      <c r="S517" s="252">
        <f t="shared" ref="S517:AB517" si="68">SUM(S520:S566)</f>
        <v>0</v>
      </c>
      <c r="T517" s="252">
        <f t="shared" si="68"/>
        <v>0</v>
      </c>
      <c r="U517" s="252">
        <f t="shared" si="68"/>
        <v>0</v>
      </c>
      <c r="V517" s="252">
        <f t="shared" si="68"/>
        <v>0</v>
      </c>
      <c r="W517" s="252">
        <f t="shared" si="68"/>
        <v>0</v>
      </c>
      <c r="X517" s="252">
        <f t="shared" si="68"/>
        <v>0</v>
      </c>
      <c r="Y517" s="252">
        <f t="shared" si="68"/>
        <v>0</v>
      </c>
      <c r="Z517" s="252">
        <f t="shared" si="68"/>
        <v>0</v>
      </c>
      <c r="AA517" s="252">
        <f t="shared" si="68"/>
        <v>0</v>
      </c>
      <c r="AB517" s="252">
        <f t="shared" si="68"/>
        <v>0</v>
      </c>
    </row>
    <row r="518" spans="2:28" s="204" customFormat="1" x14ac:dyDescent="0.25">
      <c r="B518" s="230"/>
      <c r="C518" s="230"/>
      <c r="D518" s="230"/>
      <c r="E518" s="230"/>
      <c r="F518" s="230"/>
      <c r="G518" s="230"/>
      <c r="H518" s="231"/>
      <c r="I518" s="230"/>
      <c r="J518" s="230"/>
      <c r="K518" s="230"/>
      <c r="L518" s="232"/>
      <c r="M518" s="211"/>
      <c r="N518" s="254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2:28" s="204" customFormat="1" ht="89.25" x14ac:dyDescent="0.25">
      <c r="B519" s="294" t="s">
        <v>2968</v>
      </c>
      <c r="C519" s="294" t="s">
        <v>2969</v>
      </c>
      <c r="D519" s="206" t="s">
        <v>72</v>
      </c>
      <c r="E519" s="206"/>
      <c r="F519" s="206"/>
      <c r="G519" s="207"/>
      <c r="H519" s="207"/>
      <c r="I519" s="207"/>
      <c r="J519" s="207" t="s">
        <v>2957</v>
      </c>
      <c r="K519" s="206" t="s">
        <v>82</v>
      </c>
      <c r="L519" s="261" t="s">
        <v>2970</v>
      </c>
      <c r="M519" s="345"/>
      <c r="N519" s="256" t="str">
        <f>N$15</f>
        <v>Valore netto al 31/12/2019</v>
      </c>
      <c r="O519" s="256" t="str">
        <f>O$15</f>
        <v>Valore netto al 31/12/2020</v>
      </c>
      <c r="P519" s="256" t="str">
        <f>P$15</f>
        <v>Variazione</v>
      </c>
      <c r="Q519" s="262" t="s">
        <v>2971</v>
      </c>
      <c r="R519" s="262" t="s">
        <v>3536</v>
      </c>
      <c r="S519" s="346" t="s">
        <v>2972</v>
      </c>
      <c r="T519" s="262" t="s">
        <v>3537</v>
      </c>
      <c r="U519" s="262" t="s">
        <v>3538</v>
      </c>
      <c r="V519" s="262" t="s">
        <v>3539</v>
      </c>
      <c r="W519" s="262" t="s">
        <v>4391</v>
      </c>
      <c r="X519" s="262" t="s">
        <v>3540</v>
      </c>
      <c r="Y519" s="262" t="s">
        <v>3541</v>
      </c>
      <c r="Z519" s="346" t="s">
        <v>3542</v>
      </c>
      <c r="AA519" s="262" t="s">
        <v>3543</v>
      </c>
      <c r="AB519" s="262" t="s">
        <v>3544</v>
      </c>
    </row>
    <row r="520" spans="2:28" s="204" customFormat="1" ht="15" hidden="1" customHeight="1" x14ac:dyDescent="0.25">
      <c r="B520" s="347" t="s">
        <v>1137</v>
      </c>
      <c r="C520" s="347" t="s">
        <v>1137</v>
      </c>
      <c r="D520" s="348" t="s">
        <v>3545</v>
      </c>
      <c r="E520" s="348"/>
      <c r="F520" s="348"/>
      <c r="G520" s="348"/>
      <c r="H520" s="349"/>
      <c r="I520" s="349"/>
      <c r="J520" s="349"/>
      <c r="K520" s="349"/>
      <c r="L520" s="350" t="s">
        <v>1138</v>
      </c>
      <c r="M520" s="284" t="s">
        <v>2962</v>
      </c>
      <c r="N520" s="351"/>
      <c r="O520" s="351"/>
      <c r="P520" s="352"/>
      <c r="Q520" s="353"/>
      <c r="R520" s="354"/>
      <c r="S520" s="355"/>
      <c r="T520" s="356"/>
      <c r="U520" s="356"/>
      <c r="V520" s="355"/>
      <c r="W520" s="355"/>
      <c r="X520" s="355"/>
      <c r="Y520" s="355"/>
      <c r="Z520" s="357"/>
      <c r="AA520" s="355"/>
      <c r="AB520" s="355"/>
    </row>
    <row r="521" spans="2:28" s="204" customFormat="1" x14ac:dyDescent="0.25">
      <c r="B521" s="347" t="s">
        <v>1139</v>
      </c>
      <c r="C521" s="347" t="s">
        <v>1140</v>
      </c>
      <c r="D521" s="348" t="s">
        <v>3546</v>
      </c>
      <c r="E521" s="348"/>
      <c r="F521" s="348"/>
      <c r="G521" s="348"/>
      <c r="H521" s="349"/>
      <c r="I521" s="349"/>
      <c r="J521" s="349"/>
      <c r="K521" s="349"/>
      <c r="L521" s="350" t="s">
        <v>3547</v>
      </c>
      <c r="M521" s="284" t="s">
        <v>2962</v>
      </c>
      <c r="N521" s="351"/>
      <c r="O521" s="351"/>
      <c r="P521" s="352"/>
      <c r="Q521" s="351"/>
      <c r="R521" s="354">
        <f>IF(ISERROR(VLOOKUP("SOC"&amp;$C521,ESTR_PREC_SP!$A$2:$G$2000,4,FALSE))=TRUE,0,VLOOKUP("SOC"&amp;$C521,ESTR_PREC_SP!$A$2:$G$2000,4,FALSE))</f>
        <v>0</v>
      </c>
      <c r="S521" s="351"/>
      <c r="T521" s="351"/>
      <c r="U521" s="351"/>
      <c r="V521" s="351"/>
      <c r="W521" s="351"/>
      <c r="X521" s="351"/>
      <c r="Y521" s="351"/>
      <c r="Z521" s="351"/>
      <c r="AA521" s="351"/>
      <c r="AB521" s="351"/>
    </row>
    <row r="522" spans="2:28" s="204" customFormat="1" x14ac:dyDescent="0.25">
      <c r="B522" s="347" t="s">
        <v>1142</v>
      </c>
      <c r="C522" s="347" t="s">
        <v>1143</v>
      </c>
      <c r="D522" s="348" t="s">
        <v>3548</v>
      </c>
      <c r="E522" s="348"/>
      <c r="F522" s="348"/>
      <c r="G522" s="348"/>
      <c r="H522" s="349"/>
      <c r="I522" s="349"/>
      <c r="J522" s="349"/>
      <c r="K522" s="349"/>
      <c r="L522" s="350" t="s">
        <v>3549</v>
      </c>
      <c r="M522" s="284" t="s">
        <v>2962</v>
      </c>
      <c r="N522" s="270">
        <f t="shared" ref="N522:N566" si="69">+R522</f>
        <v>0</v>
      </c>
      <c r="O522" s="270">
        <f t="shared" ref="O522:O565" si="70">+Z522</f>
        <v>0</v>
      </c>
      <c r="P522" s="271">
        <f t="shared" ref="P522:P566" si="71">+O522-N522</f>
        <v>0</v>
      </c>
      <c r="Q522" s="532"/>
      <c r="R522" s="354">
        <f>IF(ISERROR(VLOOKUP("SOC"&amp;$C522,ESTR_PREC_SP!$A$2:$G$2000,4,FALSE))=TRUE,0,VLOOKUP("SOC"&amp;$C522,ESTR_PREC_SP!$A$2:$G$2000,4,FALSE))</f>
        <v>0</v>
      </c>
      <c r="S522" s="521"/>
      <c r="T522" s="532"/>
      <c r="U522" s="532"/>
      <c r="V522" s="527"/>
      <c r="W522" s="527"/>
      <c r="X522" s="527"/>
      <c r="Y522" s="527"/>
      <c r="Z522" s="526">
        <f t="shared" ref="Z522:Z565" si="72">+R522+S522+U522+T522+V522-X522-Y522+W522+Q522</f>
        <v>0</v>
      </c>
      <c r="AA522" s="527"/>
      <c r="AB522" s="527"/>
    </row>
    <row r="523" spans="2:28" s="204" customFormat="1" x14ac:dyDescent="0.25">
      <c r="B523" s="347" t="s">
        <v>1147</v>
      </c>
      <c r="C523" s="347" t="s">
        <v>1148</v>
      </c>
      <c r="D523" s="348" t="s">
        <v>3550</v>
      </c>
      <c r="E523" s="348"/>
      <c r="F523" s="348"/>
      <c r="G523" s="348"/>
      <c r="H523" s="349"/>
      <c r="I523" s="349"/>
      <c r="J523" s="349"/>
      <c r="K523" s="349"/>
      <c r="L523" s="350" t="s">
        <v>3551</v>
      </c>
      <c r="M523" s="284" t="s">
        <v>2962</v>
      </c>
      <c r="N523" s="270">
        <f t="shared" si="69"/>
        <v>0</v>
      </c>
      <c r="O523" s="270">
        <f t="shared" si="70"/>
        <v>0</v>
      </c>
      <c r="P523" s="271">
        <f t="shared" si="71"/>
        <v>0</v>
      </c>
      <c r="Q523" s="532"/>
      <c r="R523" s="354">
        <f>IF(ISERROR(VLOOKUP("SOC"&amp;$C523,ESTR_PREC_SP!$A$2:$G$2000,4,FALSE))=TRUE,0,VLOOKUP("SOC"&amp;$C523,ESTR_PREC_SP!$A$2:$G$2000,4,FALSE))</f>
        <v>0</v>
      </c>
      <c r="S523" s="521"/>
      <c r="T523" s="532"/>
      <c r="U523" s="532"/>
      <c r="V523" s="527"/>
      <c r="W523" s="527"/>
      <c r="X523" s="527"/>
      <c r="Y523" s="527"/>
      <c r="Z523" s="526">
        <f t="shared" si="72"/>
        <v>0</v>
      </c>
      <c r="AA523" s="527"/>
      <c r="AB523" s="527"/>
    </row>
    <row r="524" spans="2:28" s="204" customFormat="1" x14ac:dyDescent="0.25">
      <c r="B524" s="347" t="s">
        <v>1150</v>
      </c>
      <c r="C524" s="347" t="s">
        <v>1151</v>
      </c>
      <c r="D524" s="348" t="s">
        <v>3552</v>
      </c>
      <c r="E524" s="348"/>
      <c r="F524" s="348"/>
      <c r="G524" s="348"/>
      <c r="H524" s="349"/>
      <c r="I524" s="349"/>
      <c r="J524" s="349"/>
      <c r="K524" s="349"/>
      <c r="L524" s="350" t="s">
        <v>3553</v>
      </c>
      <c r="M524" s="284" t="s">
        <v>2962</v>
      </c>
      <c r="N524" s="270">
        <f t="shared" si="69"/>
        <v>0</v>
      </c>
      <c r="O524" s="270">
        <f t="shared" si="70"/>
        <v>0</v>
      </c>
      <c r="P524" s="271">
        <f t="shared" si="71"/>
        <v>0</v>
      </c>
      <c r="Q524" s="532"/>
      <c r="R524" s="354">
        <f>IF(ISERROR(VLOOKUP("SOC"&amp;$C524,ESTR_PREC_SP!$A$2:$G$2000,4,FALSE))=TRUE,0,VLOOKUP("SOC"&amp;$C524,ESTR_PREC_SP!$A$2:$G$2000,4,FALSE))</f>
        <v>0</v>
      </c>
      <c r="S524" s="521"/>
      <c r="T524" s="532"/>
      <c r="U524" s="532"/>
      <c r="V524" s="527"/>
      <c r="W524" s="527"/>
      <c r="X524" s="527"/>
      <c r="Y524" s="527"/>
      <c r="Z524" s="526">
        <f t="shared" si="72"/>
        <v>0</v>
      </c>
      <c r="AA524" s="527"/>
      <c r="AB524" s="527"/>
    </row>
    <row r="525" spans="2:28" s="204" customFormat="1" x14ac:dyDescent="0.25">
      <c r="B525" s="347" t="s">
        <v>1153</v>
      </c>
      <c r="C525" s="347" t="s">
        <v>1154</v>
      </c>
      <c r="D525" s="348" t="s">
        <v>3554</v>
      </c>
      <c r="E525" s="348"/>
      <c r="F525" s="348"/>
      <c r="G525" s="348"/>
      <c r="H525" s="349"/>
      <c r="I525" s="349"/>
      <c r="J525" s="348"/>
      <c r="K525" s="349"/>
      <c r="L525" s="350" t="s">
        <v>3555</v>
      </c>
      <c r="M525" s="284" t="s">
        <v>2962</v>
      </c>
      <c r="N525" s="270">
        <f t="shared" si="69"/>
        <v>0</v>
      </c>
      <c r="O525" s="270">
        <f t="shared" si="70"/>
        <v>0</v>
      </c>
      <c r="P525" s="271">
        <f t="shared" si="71"/>
        <v>0</v>
      </c>
      <c r="Q525" s="532"/>
      <c r="R525" s="354">
        <f>IF(ISERROR(VLOOKUP("SOC"&amp;$C525,ESTR_PREC_SP!$A$2:$G$2000,4,FALSE))=TRUE,0,VLOOKUP("SOC"&amp;$C525,ESTR_PREC_SP!$A$2:$G$2000,4,FALSE))</f>
        <v>0</v>
      </c>
      <c r="S525" s="521"/>
      <c r="T525" s="532"/>
      <c r="U525" s="532"/>
      <c r="V525" s="527"/>
      <c r="W525" s="527"/>
      <c r="X525" s="527"/>
      <c r="Y525" s="527"/>
      <c r="Z525" s="526">
        <f t="shared" si="72"/>
        <v>0</v>
      </c>
      <c r="AA525" s="527"/>
      <c r="AB525" s="527"/>
    </row>
    <row r="526" spans="2:28" s="204" customFormat="1" ht="25.5" x14ac:dyDescent="0.25">
      <c r="B526" s="347" t="s">
        <v>1156</v>
      </c>
      <c r="C526" s="347" t="s">
        <v>1157</v>
      </c>
      <c r="D526" s="348" t="s">
        <v>3556</v>
      </c>
      <c r="E526" s="348"/>
      <c r="F526" s="348"/>
      <c r="G526" s="348"/>
      <c r="H526" s="349"/>
      <c r="I526" s="349"/>
      <c r="J526" s="348"/>
      <c r="K526" s="349"/>
      <c r="L526" s="350" t="s">
        <v>3557</v>
      </c>
      <c r="M526" s="284" t="s">
        <v>2962</v>
      </c>
      <c r="N526" s="270">
        <f t="shared" si="69"/>
        <v>0</v>
      </c>
      <c r="O526" s="270">
        <f t="shared" si="70"/>
        <v>0</v>
      </c>
      <c r="P526" s="271">
        <f t="shared" si="71"/>
        <v>0</v>
      </c>
      <c r="Q526" s="532"/>
      <c r="R526" s="354">
        <f>IF(ISERROR(VLOOKUP("SOC"&amp;$C526,ESTR_PREC_SP!$A$2:$G$2000,4,FALSE))=TRUE,0,VLOOKUP("SOC"&amp;$C526,ESTR_PREC_SP!$A$2:$G$2000,4,FALSE))</f>
        <v>0</v>
      </c>
      <c r="S526" s="521"/>
      <c r="T526" s="532"/>
      <c r="U526" s="532"/>
      <c r="V526" s="527"/>
      <c r="W526" s="527"/>
      <c r="X526" s="527"/>
      <c r="Y526" s="527"/>
      <c r="Z526" s="526">
        <f t="shared" si="72"/>
        <v>0</v>
      </c>
      <c r="AA526" s="527"/>
      <c r="AB526" s="527"/>
    </row>
    <row r="527" spans="2:28" s="204" customFormat="1" x14ac:dyDescent="0.25">
      <c r="B527" s="347" t="s">
        <v>1159</v>
      </c>
      <c r="C527" s="347" t="s">
        <v>1160</v>
      </c>
      <c r="D527" s="348" t="s">
        <v>3558</v>
      </c>
      <c r="E527" s="348"/>
      <c r="F527" s="348"/>
      <c r="G527" s="348"/>
      <c r="H527" s="349"/>
      <c r="I527" s="349"/>
      <c r="J527" s="349"/>
      <c r="K527" s="349"/>
      <c r="L527" s="350" t="s">
        <v>3559</v>
      </c>
      <c r="M527" s="284" t="s">
        <v>2962</v>
      </c>
      <c r="N527" s="270">
        <f t="shared" si="69"/>
        <v>0</v>
      </c>
      <c r="O527" s="270">
        <f t="shared" si="70"/>
        <v>0</v>
      </c>
      <c r="P527" s="271">
        <f t="shared" si="71"/>
        <v>0</v>
      </c>
      <c r="Q527" s="532"/>
      <c r="R527" s="354">
        <f>IF(ISERROR(VLOOKUP("SOC"&amp;$C527,ESTR_PREC_SP!$A$2:$G$2000,4,FALSE))=TRUE,0,VLOOKUP("SOC"&amp;$C527,ESTR_PREC_SP!$A$2:$G$2000,4,FALSE))</f>
        <v>0</v>
      </c>
      <c r="S527" s="521"/>
      <c r="T527" s="532"/>
      <c r="U527" s="532"/>
      <c r="V527" s="527"/>
      <c r="W527" s="527"/>
      <c r="X527" s="527"/>
      <c r="Y527" s="527"/>
      <c r="Z527" s="526">
        <f t="shared" si="72"/>
        <v>0</v>
      </c>
      <c r="AA527" s="527"/>
      <c r="AB527" s="527"/>
    </row>
    <row r="528" spans="2:28" s="204" customFormat="1" ht="25.5" x14ac:dyDescent="0.25">
      <c r="B528" s="347" t="s">
        <v>1162</v>
      </c>
      <c r="C528" s="347" t="s">
        <v>1163</v>
      </c>
      <c r="D528" s="348" t="s">
        <v>3560</v>
      </c>
      <c r="E528" s="348"/>
      <c r="F528" s="348"/>
      <c r="G528" s="348"/>
      <c r="H528" s="349"/>
      <c r="I528" s="349"/>
      <c r="J528" s="348"/>
      <c r="K528" s="349"/>
      <c r="L528" s="350" t="s">
        <v>3561</v>
      </c>
      <c r="M528" s="284" t="s">
        <v>2962</v>
      </c>
      <c r="N528" s="270">
        <f t="shared" si="69"/>
        <v>0</v>
      </c>
      <c r="O528" s="270">
        <f t="shared" si="70"/>
        <v>0</v>
      </c>
      <c r="P528" s="271">
        <f t="shared" si="71"/>
        <v>0</v>
      </c>
      <c r="Q528" s="532"/>
      <c r="R528" s="354">
        <f>IF(ISERROR(VLOOKUP("SOC"&amp;$C528,ESTR_PREC_SP!$A$2:$G$2000,4,FALSE))=TRUE,0,VLOOKUP("SOC"&amp;$C528,ESTR_PREC_SP!$A$2:$G$2000,4,FALSE))</f>
        <v>0</v>
      </c>
      <c r="S528" s="521"/>
      <c r="T528" s="532"/>
      <c r="U528" s="532"/>
      <c r="V528" s="527"/>
      <c r="W528" s="527"/>
      <c r="X528" s="527"/>
      <c r="Y528" s="527"/>
      <c r="Z528" s="526">
        <f t="shared" si="72"/>
        <v>0</v>
      </c>
      <c r="AA528" s="527"/>
      <c r="AB528" s="527"/>
    </row>
    <row r="529" spans="2:28" s="204" customFormat="1" x14ac:dyDescent="0.25">
      <c r="B529" s="347" t="s">
        <v>1165</v>
      </c>
      <c r="C529" s="347" t="s">
        <v>1166</v>
      </c>
      <c r="D529" s="348" t="s">
        <v>3562</v>
      </c>
      <c r="E529" s="348"/>
      <c r="F529" s="348"/>
      <c r="G529" s="348"/>
      <c r="H529" s="349"/>
      <c r="I529" s="349"/>
      <c r="J529" s="349"/>
      <c r="K529" s="349"/>
      <c r="L529" s="350" t="s">
        <v>3563</v>
      </c>
      <c r="M529" s="284" t="s">
        <v>2962</v>
      </c>
      <c r="N529" s="270">
        <f t="shared" si="69"/>
        <v>0</v>
      </c>
      <c r="O529" s="270">
        <f t="shared" si="70"/>
        <v>0</v>
      </c>
      <c r="P529" s="271">
        <f t="shared" si="71"/>
        <v>0</v>
      </c>
      <c r="Q529" s="532"/>
      <c r="R529" s="354">
        <f>IF(ISERROR(VLOOKUP("SOC"&amp;$C529,ESTR_PREC_SP!$A$2:$G$2000,4,FALSE))=TRUE,0,VLOOKUP("SOC"&amp;$C529,ESTR_PREC_SP!$A$2:$G$2000,4,FALSE))</f>
        <v>0</v>
      </c>
      <c r="S529" s="521"/>
      <c r="T529" s="532"/>
      <c r="U529" s="532"/>
      <c r="V529" s="527"/>
      <c r="W529" s="527"/>
      <c r="X529" s="527"/>
      <c r="Y529" s="527"/>
      <c r="Z529" s="526">
        <f t="shared" si="72"/>
        <v>0</v>
      </c>
      <c r="AA529" s="527"/>
      <c r="AB529" s="527"/>
    </row>
    <row r="530" spans="2:28" s="204" customFormat="1" x14ac:dyDescent="0.25">
      <c r="B530" s="347" t="s">
        <v>1168</v>
      </c>
      <c r="C530" s="347" t="s">
        <v>1169</v>
      </c>
      <c r="D530" s="348" t="s">
        <v>3564</v>
      </c>
      <c r="E530" s="348"/>
      <c r="F530" s="348"/>
      <c r="G530" s="348"/>
      <c r="H530" s="349"/>
      <c r="I530" s="349"/>
      <c r="J530" s="348"/>
      <c r="K530" s="349"/>
      <c r="L530" s="350" t="s">
        <v>3565</v>
      </c>
      <c r="M530" s="284" t="s">
        <v>2962</v>
      </c>
      <c r="N530" s="270">
        <f t="shared" si="69"/>
        <v>0</v>
      </c>
      <c r="O530" s="270">
        <f t="shared" si="70"/>
        <v>0</v>
      </c>
      <c r="P530" s="271">
        <f t="shared" si="71"/>
        <v>0</v>
      </c>
      <c r="Q530" s="532"/>
      <c r="R530" s="354">
        <f>IF(ISERROR(VLOOKUP("SOC"&amp;$C530,ESTR_PREC_SP!$A$2:$G$2000,4,FALSE))=TRUE,0,VLOOKUP("SOC"&amp;$C530,ESTR_PREC_SP!$A$2:$G$2000,4,FALSE))</f>
        <v>0</v>
      </c>
      <c r="S530" s="521"/>
      <c r="T530" s="532"/>
      <c r="U530" s="532"/>
      <c r="V530" s="527"/>
      <c r="W530" s="527"/>
      <c r="X530" s="527"/>
      <c r="Y530" s="527"/>
      <c r="Z530" s="526">
        <f t="shared" si="72"/>
        <v>0</v>
      </c>
      <c r="AA530" s="527"/>
      <c r="AB530" s="527"/>
    </row>
    <row r="531" spans="2:28" s="204" customFormat="1" x14ac:dyDescent="0.25">
      <c r="B531" s="347" t="s">
        <v>1171</v>
      </c>
      <c r="C531" s="347" t="s">
        <v>1172</v>
      </c>
      <c r="D531" s="348" t="s">
        <v>3566</v>
      </c>
      <c r="E531" s="348"/>
      <c r="F531" s="348"/>
      <c r="G531" s="348"/>
      <c r="H531" s="349"/>
      <c r="I531" s="349"/>
      <c r="J531" s="349"/>
      <c r="K531" s="349"/>
      <c r="L531" s="350" t="s">
        <v>3567</v>
      </c>
      <c r="M531" s="284" t="s">
        <v>2962</v>
      </c>
      <c r="N531" s="270">
        <f t="shared" si="69"/>
        <v>0</v>
      </c>
      <c r="O531" s="270">
        <f t="shared" si="70"/>
        <v>0</v>
      </c>
      <c r="P531" s="271">
        <f t="shared" si="71"/>
        <v>0</v>
      </c>
      <c r="Q531" s="532"/>
      <c r="R531" s="354">
        <f>IF(ISERROR(VLOOKUP("SOC"&amp;$C531,ESTR_PREC_SP!$A$2:$G$2000,4,FALSE))=TRUE,0,VLOOKUP("SOC"&amp;$C531,ESTR_PREC_SP!$A$2:$G$2000,4,FALSE))</f>
        <v>0</v>
      </c>
      <c r="S531" s="521"/>
      <c r="T531" s="532"/>
      <c r="U531" s="532"/>
      <c r="V531" s="527"/>
      <c r="W531" s="527"/>
      <c r="X531" s="527"/>
      <c r="Y531" s="527"/>
      <c r="Z531" s="526">
        <f t="shared" si="72"/>
        <v>0</v>
      </c>
      <c r="AA531" s="527"/>
      <c r="AB531" s="527"/>
    </row>
    <row r="532" spans="2:28" s="204" customFormat="1" ht="25.5" x14ac:dyDescent="0.25">
      <c r="B532" s="347" t="s">
        <v>1174</v>
      </c>
      <c r="C532" s="347" t="s">
        <v>1175</v>
      </c>
      <c r="D532" s="348" t="s">
        <v>3568</v>
      </c>
      <c r="E532" s="348"/>
      <c r="F532" s="348"/>
      <c r="G532" s="348"/>
      <c r="H532" s="349"/>
      <c r="I532" s="349"/>
      <c r="J532" s="348"/>
      <c r="K532" s="349"/>
      <c r="L532" s="350" t="s">
        <v>3569</v>
      </c>
      <c r="M532" s="284" t="s">
        <v>2962</v>
      </c>
      <c r="N532" s="270">
        <f t="shared" si="69"/>
        <v>0</v>
      </c>
      <c r="O532" s="270">
        <f t="shared" si="70"/>
        <v>0</v>
      </c>
      <c r="P532" s="271">
        <f t="shared" si="71"/>
        <v>0</v>
      </c>
      <c r="Q532" s="532"/>
      <c r="R532" s="354">
        <f>IF(ISERROR(VLOOKUP("SOC"&amp;$C532,ESTR_PREC_SP!$A$2:$G$2000,4,FALSE))=TRUE,0,VLOOKUP("SOC"&amp;$C532,ESTR_PREC_SP!$A$2:$G$2000,4,FALSE))</f>
        <v>0</v>
      </c>
      <c r="S532" s="521"/>
      <c r="T532" s="532"/>
      <c r="U532" s="532"/>
      <c r="V532" s="527"/>
      <c r="W532" s="527"/>
      <c r="X532" s="527"/>
      <c r="Y532" s="527"/>
      <c r="Z532" s="526">
        <f t="shared" si="72"/>
        <v>0</v>
      </c>
      <c r="AA532" s="527"/>
      <c r="AB532" s="527"/>
    </row>
    <row r="533" spans="2:28" s="204" customFormat="1" x14ac:dyDescent="0.25">
      <c r="B533" s="347" t="s">
        <v>1177</v>
      </c>
      <c r="C533" s="347" t="s">
        <v>1178</v>
      </c>
      <c r="D533" s="348" t="s">
        <v>3570</v>
      </c>
      <c r="E533" s="348"/>
      <c r="F533" s="348"/>
      <c r="G533" s="348"/>
      <c r="H533" s="349"/>
      <c r="I533" s="349"/>
      <c r="J533" s="348"/>
      <c r="K533" s="348"/>
      <c r="L533" s="358" t="s">
        <v>3571</v>
      </c>
      <c r="M533" s="284" t="s">
        <v>2962</v>
      </c>
      <c r="N533" s="270">
        <f t="shared" si="69"/>
        <v>0</v>
      </c>
      <c r="O533" s="270">
        <f t="shared" si="70"/>
        <v>0</v>
      </c>
      <c r="P533" s="271">
        <f t="shared" si="71"/>
        <v>0</v>
      </c>
      <c r="Q533" s="532"/>
      <c r="R533" s="354">
        <f>IF(ISERROR(VLOOKUP("SOC"&amp;$C533,ESTR_PREC_SP!$A$2:$G$2000,4,FALSE))=TRUE,0,VLOOKUP("SOC"&amp;$C533,ESTR_PREC_SP!$A$2:$G$2000,4,FALSE))</f>
        <v>0</v>
      </c>
      <c r="S533" s="521"/>
      <c r="T533" s="532"/>
      <c r="U533" s="532"/>
      <c r="V533" s="527"/>
      <c r="W533" s="527"/>
      <c r="X533" s="527"/>
      <c r="Y533" s="527"/>
      <c r="Z533" s="526">
        <f t="shared" si="72"/>
        <v>0</v>
      </c>
      <c r="AA533" s="527"/>
      <c r="AB533" s="527"/>
    </row>
    <row r="534" spans="2:28" s="204" customFormat="1" x14ac:dyDescent="0.25">
      <c r="B534" s="347" t="s">
        <v>1180</v>
      </c>
      <c r="C534" s="347" t="s">
        <v>1181</v>
      </c>
      <c r="D534" s="348" t="s">
        <v>3572</v>
      </c>
      <c r="E534" s="348"/>
      <c r="F534" s="348"/>
      <c r="G534" s="348"/>
      <c r="H534" s="349"/>
      <c r="I534" s="349"/>
      <c r="J534" s="348"/>
      <c r="K534" s="348"/>
      <c r="L534" s="358" t="s">
        <v>3573</v>
      </c>
      <c r="M534" s="284" t="s">
        <v>2962</v>
      </c>
      <c r="N534" s="270">
        <f t="shared" si="69"/>
        <v>0</v>
      </c>
      <c r="O534" s="270">
        <f t="shared" si="70"/>
        <v>0</v>
      </c>
      <c r="P534" s="271">
        <f t="shared" si="71"/>
        <v>0</v>
      </c>
      <c r="Q534" s="532"/>
      <c r="R534" s="354">
        <f>IF(ISERROR(VLOOKUP("SOC"&amp;$C534,ESTR_PREC_SP!$A$2:$G$2000,4,FALSE))=TRUE,0,VLOOKUP("SOC"&amp;$C534,ESTR_PREC_SP!$A$2:$G$2000,4,FALSE))</f>
        <v>0</v>
      </c>
      <c r="S534" s="521"/>
      <c r="T534" s="532"/>
      <c r="U534" s="532"/>
      <c r="V534" s="527"/>
      <c r="W534" s="527"/>
      <c r="X534" s="527"/>
      <c r="Y534" s="527"/>
      <c r="Z534" s="526">
        <f t="shared" si="72"/>
        <v>0</v>
      </c>
      <c r="AA534" s="527"/>
      <c r="AB534" s="527"/>
    </row>
    <row r="535" spans="2:28" s="204" customFormat="1" x14ac:dyDescent="0.25">
      <c r="B535" s="347" t="s">
        <v>1183</v>
      </c>
      <c r="C535" s="347" t="s">
        <v>1184</v>
      </c>
      <c r="D535" s="348" t="s">
        <v>3574</v>
      </c>
      <c r="E535" s="348"/>
      <c r="F535" s="348"/>
      <c r="G535" s="348"/>
      <c r="H535" s="349"/>
      <c r="I535" s="349"/>
      <c r="J535" s="348"/>
      <c r="K535" s="348"/>
      <c r="L535" s="358" t="s">
        <v>3575</v>
      </c>
      <c r="M535" s="284" t="s">
        <v>2962</v>
      </c>
      <c r="N535" s="270">
        <f t="shared" si="69"/>
        <v>0</v>
      </c>
      <c r="O535" s="270">
        <f t="shared" si="70"/>
        <v>0</v>
      </c>
      <c r="P535" s="271">
        <f t="shared" si="71"/>
        <v>0</v>
      </c>
      <c r="Q535" s="532"/>
      <c r="R535" s="354">
        <f>IF(ISERROR(VLOOKUP("SOC"&amp;$C535,ESTR_PREC_SP!$A$2:$G$2000,4,FALSE))=TRUE,0,VLOOKUP("SOC"&amp;$C535,ESTR_PREC_SP!$A$2:$G$2000,4,FALSE))</f>
        <v>0</v>
      </c>
      <c r="S535" s="521"/>
      <c r="T535" s="532"/>
      <c r="U535" s="532"/>
      <c r="V535" s="527"/>
      <c r="W535" s="527"/>
      <c r="X535" s="527"/>
      <c r="Y535" s="527"/>
      <c r="Z535" s="526">
        <f t="shared" si="72"/>
        <v>0</v>
      </c>
      <c r="AA535" s="527"/>
      <c r="AB535" s="527"/>
    </row>
    <row r="536" spans="2:28" s="204" customFormat="1" x14ac:dyDescent="0.25">
      <c r="B536" s="347" t="s">
        <v>1186</v>
      </c>
      <c r="C536" s="347" t="s">
        <v>1187</v>
      </c>
      <c r="D536" s="348" t="s">
        <v>3576</v>
      </c>
      <c r="E536" s="348"/>
      <c r="F536" s="348"/>
      <c r="G536" s="348"/>
      <c r="H536" s="349"/>
      <c r="I536" s="349"/>
      <c r="J536" s="349"/>
      <c r="K536" s="349"/>
      <c r="L536" s="350" t="s">
        <v>3577</v>
      </c>
      <c r="M536" s="284" t="s">
        <v>2962</v>
      </c>
      <c r="N536" s="270">
        <f t="shared" si="69"/>
        <v>0</v>
      </c>
      <c r="O536" s="270">
        <f t="shared" si="70"/>
        <v>0</v>
      </c>
      <c r="P536" s="271">
        <f t="shared" si="71"/>
        <v>0</v>
      </c>
      <c r="Q536" s="532"/>
      <c r="R536" s="354">
        <f>IF(ISERROR(VLOOKUP("SOC"&amp;$C536,ESTR_PREC_SP!$A$2:$G$2000,4,FALSE))=TRUE,0,VLOOKUP("SOC"&amp;$C536,ESTR_PREC_SP!$A$2:$G$2000,4,FALSE))</f>
        <v>0</v>
      </c>
      <c r="S536" s="521"/>
      <c r="T536" s="532"/>
      <c r="U536" s="532"/>
      <c r="V536" s="527"/>
      <c r="W536" s="527"/>
      <c r="X536" s="527"/>
      <c r="Y536" s="527"/>
      <c r="Z536" s="526">
        <f t="shared" si="72"/>
        <v>0</v>
      </c>
      <c r="AA536" s="527"/>
      <c r="AB536" s="527"/>
    </row>
    <row r="537" spans="2:28" s="204" customFormat="1" ht="25.5" x14ac:dyDescent="0.25">
      <c r="B537" s="347" t="s">
        <v>1189</v>
      </c>
      <c r="C537" s="347" t="s">
        <v>1190</v>
      </c>
      <c r="D537" s="348" t="s">
        <v>3578</v>
      </c>
      <c r="E537" s="348"/>
      <c r="F537" s="359"/>
      <c r="G537" s="359"/>
      <c r="H537" s="360"/>
      <c r="I537" s="360"/>
      <c r="J537" s="360"/>
      <c r="K537" s="360"/>
      <c r="L537" s="361" t="s">
        <v>3579</v>
      </c>
      <c r="M537" s="284" t="s">
        <v>2962</v>
      </c>
      <c r="N537" s="270">
        <f t="shared" si="69"/>
        <v>0</v>
      </c>
      <c r="O537" s="270">
        <f t="shared" si="70"/>
        <v>0</v>
      </c>
      <c r="P537" s="271">
        <f t="shared" si="71"/>
        <v>0</v>
      </c>
      <c r="Q537" s="532"/>
      <c r="R537" s="354">
        <f>IF(ISERROR(VLOOKUP("SOC"&amp;$C537,ESTR_PREC_SP!$A$2:$G$2000,4,FALSE))=TRUE,0,VLOOKUP("SOC"&amp;$C537,ESTR_PREC_SP!$A$2:$G$2000,4,FALSE))</f>
        <v>0</v>
      </c>
      <c r="S537" s="521"/>
      <c r="T537" s="532"/>
      <c r="U537" s="532"/>
      <c r="V537" s="527"/>
      <c r="W537" s="527"/>
      <c r="X537" s="527"/>
      <c r="Y537" s="527"/>
      <c r="Z537" s="526">
        <f t="shared" si="72"/>
        <v>0</v>
      </c>
      <c r="AA537" s="527"/>
      <c r="AB537" s="527"/>
    </row>
    <row r="538" spans="2:28" s="204" customFormat="1" x14ac:dyDescent="0.25">
      <c r="B538" s="347" t="s">
        <v>1192</v>
      </c>
      <c r="C538" s="347" t="s">
        <v>1193</v>
      </c>
      <c r="D538" s="348" t="s">
        <v>3580</v>
      </c>
      <c r="E538" s="348"/>
      <c r="F538" s="348"/>
      <c r="G538" s="348"/>
      <c r="H538" s="349"/>
      <c r="I538" s="349"/>
      <c r="J538" s="348"/>
      <c r="K538" s="349"/>
      <c r="L538" s="361" t="s">
        <v>3581</v>
      </c>
      <c r="M538" s="284" t="s">
        <v>2962</v>
      </c>
      <c r="N538" s="270">
        <f t="shared" si="69"/>
        <v>0</v>
      </c>
      <c r="O538" s="270">
        <f t="shared" si="70"/>
        <v>0</v>
      </c>
      <c r="P538" s="271">
        <f t="shared" si="71"/>
        <v>0</v>
      </c>
      <c r="Q538" s="532"/>
      <c r="R538" s="354">
        <f>IF(ISERROR(VLOOKUP("SOC"&amp;$C538,ESTR_PREC_SP!$A$2:$G$2000,4,FALSE))=TRUE,0,VLOOKUP("SOC"&amp;$C538,ESTR_PREC_SP!$A$2:$G$2000,4,FALSE))</f>
        <v>0</v>
      </c>
      <c r="S538" s="521"/>
      <c r="T538" s="532"/>
      <c r="U538" s="532"/>
      <c r="V538" s="527"/>
      <c r="W538" s="527"/>
      <c r="X538" s="527"/>
      <c r="Y538" s="527"/>
      <c r="Z538" s="526">
        <f t="shared" si="72"/>
        <v>0</v>
      </c>
      <c r="AA538" s="527"/>
      <c r="AB538" s="527"/>
    </row>
    <row r="539" spans="2:28" s="204" customFormat="1" ht="25.5" x14ac:dyDescent="0.25">
      <c r="B539" s="347" t="s">
        <v>1195</v>
      </c>
      <c r="C539" s="347" t="s">
        <v>1196</v>
      </c>
      <c r="D539" s="348" t="s">
        <v>3582</v>
      </c>
      <c r="E539" s="348"/>
      <c r="F539" s="348"/>
      <c r="G539" s="348"/>
      <c r="H539" s="349"/>
      <c r="I539" s="349"/>
      <c r="J539" s="349"/>
      <c r="K539" s="349"/>
      <c r="L539" s="361" t="s">
        <v>3583</v>
      </c>
      <c r="M539" s="284" t="s">
        <v>2962</v>
      </c>
      <c r="N539" s="270">
        <f t="shared" si="69"/>
        <v>0</v>
      </c>
      <c r="O539" s="270">
        <f t="shared" si="70"/>
        <v>0</v>
      </c>
      <c r="P539" s="271">
        <f t="shared" si="71"/>
        <v>0</v>
      </c>
      <c r="Q539" s="532"/>
      <c r="R539" s="354">
        <f>IF(ISERROR(VLOOKUP("SOC"&amp;$C539,ESTR_PREC_SP!$A$2:$G$2000,4,FALSE))=TRUE,0,VLOOKUP("SOC"&amp;$C539,ESTR_PREC_SP!$A$2:$G$2000,4,FALSE))</f>
        <v>0</v>
      </c>
      <c r="S539" s="521"/>
      <c r="T539" s="532"/>
      <c r="U539" s="532"/>
      <c r="V539" s="527"/>
      <c r="W539" s="527"/>
      <c r="X539" s="527"/>
      <c r="Y539" s="527"/>
      <c r="Z539" s="526">
        <f t="shared" si="72"/>
        <v>0</v>
      </c>
      <c r="AA539" s="527"/>
      <c r="AB539" s="527"/>
    </row>
    <row r="540" spans="2:28" s="204" customFormat="1" ht="25.5" x14ac:dyDescent="0.25">
      <c r="B540" s="347" t="s">
        <v>1198</v>
      </c>
      <c r="C540" s="347" t="s">
        <v>1199</v>
      </c>
      <c r="D540" s="348" t="s">
        <v>3584</v>
      </c>
      <c r="E540" s="348"/>
      <c r="F540" s="359"/>
      <c r="G540" s="359"/>
      <c r="H540" s="360"/>
      <c r="I540" s="360"/>
      <c r="J540" s="360"/>
      <c r="K540" s="360"/>
      <c r="L540" s="361" t="s">
        <v>3585</v>
      </c>
      <c r="M540" s="284" t="s">
        <v>2962</v>
      </c>
      <c r="N540" s="270">
        <f t="shared" si="69"/>
        <v>0</v>
      </c>
      <c r="O540" s="270">
        <f t="shared" si="70"/>
        <v>0</v>
      </c>
      <c r="P540" s="271">
        <f t="shared" si="71"/>
        <v>0</v>
      </c>
      <c r="Q540" s="532"/>
      <c r="R540" s="354">
        <f>IF(ISERROR(VLOOKUP("SOC"&amp;$C540,ESTR_PREC_SP!$A$2:$G$2000,4,FALSE))=TRUE,0,VLOOKUP("SOC"&amp;$C540,ESTR_PREC_SP!$A$2:$G$2000,4,FALSE))</f>
        <v>0</v>
      </c>
      <c r="S540" s="521"/>
      <c r="T540" s="532"/>
      <c r="U540" s="532"/>
      <c r="V540" s="527"/>
      <c r="W540" s="527"/>
      <c r="X540" s="527"/>
      <c r="Y540" s="527"/>
      <c r="Z540" s="526">
        <f t="shared" si="72"/>
        <v>0</v>
      </c>
      <c r="AA540" s="527"/>
      <c r="AB540" s="527"/>
    </row>
    <row r="541" spans="2:28" s="204" customFormat="1" ht="25.5" x14ac:dyDescent="0.25">
      <c r="B541" s="347" t="s">
        <v>1201</v>
      </c>
      <c r="C541" s="347" t="s">
        <v>1202</v>
      </c>
      <c r="D541" s="348" t="s">
        <v>3586</v>
      </c>
      <c r="E541" s="348"/>
      <c r="F541" s="359"/>
      <c r="G541" s="359"/>
      <c r="H541" s="360"/>
      <c r="I541" s="360"/>
      <c r="J541" s="360"/>
      <c r="K541" s="360"/>
      <c r="L541" s="361" t="s">
        <v>3587</v>
      </c>
      <c r="M541" s="284" t="s">
        <v>2962</v>
      </c>
      <c r="N541" s="270">
        <f t="shared" si="69"/>
        <v>0</v>
      </c>
      <c r="O541" s="270">
        <f t="shared" si="70"/>
        <v>0</v>
      </c>
      <c r="P541" s="271">
        <f t="shared" si="71"/>
        <v>0</v>
      </c>
      <c r="Q541" s="532"/>
      <c r="R541" s="354">
        <f>IF(ISERROR(VLOOKUP("SOC"&amp;$C541,ESTR_PREC_SP!$A$2:$G$2000,4,FALSE))=TRUE,0,VLOOKUP("SOC"&amp;$C541,ESTR_PREC_SP!$A$2:$G$2000,4,FALSE))</f>
        <v>0</v>
      </c>
      <c r="S541" s="521"/>
      <c r="T541" s="532"/>
      <c r="U541" s="532"/>
      <c r="V541" s="527"/>
      <c r="W541" s="527"/>
      <c r="X541" s="527"/>
      <c r="Y541" s="527"/>
      <c r="Z541" s="526">
        <f t="shared" si="72"/>
        <v>0</v>
      </c>
      <c r="AA541" s="527"/>
      <c r="AB541" s="527"/>
    </row>
    <row r="542" spans="2:28" s="204" customFormat="1" ht="25.5" x14ac:dyDescent="0.25">
      <c r="B542" s="347" t="s">
        <v>1204</v>
      </c>
      <c r="C542" s="347" t="s">
        <v>1205</v>
      </c>
      <c r="D542" s="348" t="s">
        <v>3588</v>
      </c>
      <c r="E542" s="348"/>
      <c r="F542" s="348"/>
      <c r="G542" s="348"/>
      <c r="H542" s="349"/>
      <c r="I542" s="349"/>
      <c r="J542" s="348"/>
      <c r="K542" s="349"/>
      <c r="L542" s="362" t="s">
        <v>3589</v>
      </c>
      <c r="M542" s="284" t="s">
        <v>2962</v>
      </c>
      <c r="N542" s="270">
        <f t="shared" si="69"/>
        <v>0</v>
      </c>
      <c r="O542" s="270">
        <f t="shared" si="70"/>
        <v>0</v>
      </c>
      <c r="P542" s="271">
        <f t="shared" si="71"/>
        <v>0</v>
      </c>
      <c r="Q542" s="532"/>
      <c r="R542" s="354">
        <f>IF(ISERROR(VLOOKUP("SOC"&amp;$C542,ESTR_PREC_SP!$A$2:$G$2000,4,FALSE))=TRUE,0,VLOOKUP("SOC"&amp;$C542,ESTR_PREC_SP!$A$2:$G$2000,4,FALSE))</f>
        <v>0</v>
      </c>
      <c r="S542" s="521"/>
      <c r="T542" s="532"/>
      <c r="U542" s="532"/>
      <c r="V542" s="527"/>
      <c r="W542" s="527"/>
      <c r="X542" s="527"/>
      <c r="Y542" s="527"/>
      <c r="Z542" s="526">
        <f t="shared" si="72"/>
        <v>0</v>
      </c>
      <c r="AA542" s="527"/>
      <c r="AB542" s="527"/>
    </row>
    <row r="543" spans="2:28" s="204" customFormat="1" x14ac:dyDescent="0.25">
      <c r="B543" s="347" t="s">
        <v>1207</v>
      </c>
      <c r="C543" s="347" t="s">
        <v>1208</v>
      </c>
      <c r="D543" s="348" t="s">
        <v>3590</v>
      </c>
      <c r="E543" s="348"/>
      <c r="F543" s="348"/>
      <c r="G543" s="348"/>
      <c r="H543" s="349"/>
      <c r="I543" s="349"/>
      <c r="J543" s="348"/>
      <c r="K543" s="348"/>
      <c r="L543" s="363" t="s">
        <v>3591</v>
      </c>
      <c r="M543" s="284" t="s">
        <v>2962</v>
      </c>
      <c r="N543" s="270">
        <f t="shared" si="69"/>
        <v>0</v>
      </c>
      <c r="O543" s="270">
        <f t="shared" si="70"/>
        <v>0</v>
      </c>
      <c r="P543" s="271">
        <f t="shared" si="71"/>
        <v>0</v>
      </c>
      <c r="Q543" s="521"/>
      <c r="R543" s="354">
        <f>IF(ISERROR(VLOOKUP("SOC"&amp;$C543,ESTR_PREC_SP!$A$2:$G$2000,4,FALSE))=TRUE,0,VLOOKUP("SOC"&amp;$C543,ESTR_PREC_SP!$A$2:$G$2000,4,FALSE))</f>
        <v>0</v>
      </c>
      <c r="S543" s="521"/>
      <c r="T543" s="521"/>
      <c r="U543" s="521"/>
      <c r="V543" s="521"/>
      <c r="W543" s="521"/>
      <c r="X543" s="521"/>
      <c r="Y543" s="521"/>
      <c r="Z543" s="526">
        <f t="shared" si="72"/>
        <v>0</v>
      </c>
      <c r="AA543" s="527"/>
      <c r="AB543" s="527"/>
    </row>
    <row r="544" spans="2:28" s="204" customFormat="1" x14ac:dyDescent="0.25">
      <c r="B544" s="347" t="s">
        <v>1210</v>
      </c>
      <c r="C544" s="347" t="s">
        <v>1211</v>
      </c>
      <c r="D544" s="348" t="s">
        <v>3592</v>
      </c>
      <c r="E544" s="348"/>
      <c r="F544" s="348"/>
      <c r="G544" s="348"/>
      <c r="H544" s="349"/>
      <c r="I544" s="349"/>
      <c r="J544" s="349"/>
      <c r="K544" s="349"/>
      <c r="L544" s="350" t="s">
        <v>3593</v>
      </c>
      <c r="M544" s="284" t="s">
        <v>2962</v>
      </c>
      <c r="N544" s="270">
        <f t="shared" si="69"/>
        <v>0</v>
      </c>
      <c r="O544" s="270">
        <f t="shared" si="70"/>
        <v>0</v>
      </c>
      <c r="P544" s="271">
        <f t="shared" si="71"/>
        <v>0</v>
      </c>
      <c r="Q544" s="532"/>
      <c r="R544" s="354">
        <f>IF(ISERROR(VLOOKUP("SOC"&amp;$C544,ESTR_PREC_SP!$A$2:$G$2000,4,FALSE))=TRUE,0,VLOOKUP("SOC"&amp;$C544,ESTR_PREC_SP!$A$2:$G$2000,4,FALSE))</f>
        <v>0</v>
      </c>
      <c r="S544" s="521"/>
      <c r="T544" s="532"/>
      <c r="U544" s="532"/>
      <c r="V544" s="527"/>
      <c r="W544" s="527"/>
      <c r="X544" s="527"/>
      <c r="Y544" s="527"/>
      <c r="Z544" s="526">
        <f t="shared" si="72"/>
        <v>0</v>
      </c>
      <c r="AA544" s="527"/>
      <c r="AB544" s="527"/>
    </row>
    <row r="545" spans="2:28" s="204" customFormat="1" x14ac:dyDescent="0.25">
      <c r="B545" s="347" t="s">
        <v>1214</v>
      </c>
      <c r="C545" s="347" t="s">
        <v>1215</v>
      </c>
      <c r="D545" s="348" t="s">
        <v>3594</v>
      </c>
      <c r="E545" s="348"/>
      <c r="F545" s="348"/>
      <c r="G545" s="348"/>
      <c r="H545" s="349"/>
      <c r="I545" s="349"/>
      <c r="J545" s="349"/>
      <c r="K545" s="349"/>
      <c r="L545" s="364" t="s">
        <v>3595</v>
      </c>
      <c r="M545" s="284" t="s">
        <v>2962</v>
      </c>
      <c r="N545" s="270">
        <f t="shared" si="69"/>
        <v>0</v>
      </c>
      <c r="O545" s="270">
        <f t="shared" si="70"/>
        <v>0</v>
      </c>
      <c r="P545" s="271">
        <f t="shared" si="71"/>
        <v>0</v>
      </c>
      <c r="Q545" s="532"/>
      <c r="R545" s="354">
        <f>IF(ISERROR(VLOOKUP("SOC"&amp;$C545,ESTR_PREC_SP!$A$2:$G$2000,4,FALSE))=TRUE,0,VLOOKUP("SOC"&amp;$C545,ESTR_PREC_SP!$A$2:$G$2000,4,FALSE))</f>
        <v>0</v>
      </c>
      <c r="S545" s="521"/>
      <c r="T545" s="532"/>
      <c r="U545" s="532"/>
      <c r="V545" s="527"/>
      <c r="W545" s="527"/>
      <c r="X545" s="527"/>
      <c r="Y545" s="527"/>
      <c r="Z545" s="526">
        <f t="shared" si="72"/>
        <v>0</v>
      </c>
      <c r="AA545" s="527"/>
      <c r="AB545" s="527"/>
    </row>
    <row r="546" spans="2:28" s="204" customFormat="1" ht="25.5" x14ac:dyDescent="0.25">
      <c r="B546" s="347" t="s">
        <v>1218</v>
      </c>
      <c r="C546" s="347" t="s">
        <v>1219</v>
      </c>
      <c r="D546" s="348" t="s">
        <v>3596</v>
      </c>
      <c r="E546" s="348"/>
      <c r="F546" s="348"/>
      <c r="G546" s="348"/>
      <c r="H546" s="349"/>
      <c r="I546" s="349"/>
      <c r="J546" s="349"/>
      <c r="K546" s="349"/>
      <c r="L546" s="365" t="s">
        <v>3597</v>
      </c>
      <c r="M546" s="284" t="s">
        <v>2962</v>
      </c>
      <c r="N546" s="270">
        <f t="shared" si="69"/>
        <v>0</v>
      </c>
      <c r="O546" s="270">
        <f t="shared" si="70"/>
        <v>0</v>
      </c>
      <c r="P546" s="271">
        <f t="shared" si="71"/>
        <v>0</v>
      </c>
      <c r="Q546" s="532"/>
      <c r="R546" s="354">
        <f>IF(ISERROR(VLOOKUP("SOC"&amp;$C546,ESTR_PREC_SP!$A$2:$G$2000,4,FALSE))=TRUE,0,VLOOKUP("SOC"&amp;$C546,ESTR_PREC_SP!$A$2:$G$2000,4,FALSE))</f>
        <v>0</v>
      </c>
      <c r="S546" s="521"/>
      <c r="T546" s="532"/>
      <c r="U546" s="532"/>
      <c r="V546" s="527"/>
      <c r="W546" s="527"/>
      <c r="X546" s="527"/>
      <c r="Y546" s="527"/>
      <c r="Z546" s="526">
        <f t="shared" si="72"/>
        <v>0</v>
      </c>
      <c r="AA546" s="527"/>
      <c r="AB546" s="527"/>
    </row>
    <row r="547" spans="2:28" s="204" customFormat="1" x14ac:dyDescent="0.25">
      <c r="B547" s="347" t="s">
        <v>1221</v>
      </c>
      <c r="C547" s="347" t="s">
        <v>1222</v>
      </c>
      <c r="D547" s="348" t="s">
        <v>3598</v>
      </c>
      <c r="E547" s="348"/>
      <c r="F547" s="348"/>
      <c r="G547" s="348"/>
      <c r="H547" s="349"/>
      <c r="I547" s="349"/>
      <c r="J547" s="348"/>
      <c r="K547" s="348"/>
      <c r="L547" s="358" t="s">
        <v>3599</v>
      </c>
      <c r="M547" s="284" t="s">
        <v>2962</v>
      </c>
      <c r="N547" s="270">
        <f t="shared" si="69"/>
        <v>0</v>
      </c>
      <c r="O547" s="270">
        <f t="shared" si="70"/>
        <v>0</v>
      </c>
      <c r="P547" s="271">
        <f t="shared" si="71"/>
        <v>0</v>
      </c>
      <c r="Q547" s="532"/>
      <c r="R547" s="354">
        <f>IF(ISERROR(VLOOKUP("SOC"&amp;$C547,ESTR_PREC_SP!$A$2:$G$2000,4,FALSE))=TRUE,0,VLOOKUP("SOC"&amp;$C547,ESTR_PREC_SP!$A$2:$G$2000,4,FALSE))</f>
        <v>0</v>
      </c>
      <c r="S547" s="521"/>
      <c r="T547" s="532"/>
      <c r="U547" s="532"/>
      <c r="V547" s="527"/>
      <c r="W547" s="527"/>
      <c r="X547" s="527"/>
      <c r="Y547" s="527"/>
      <c r="Z547" s="526">
        <f t="shared" si="72"/>
        <v>0</v>
      </c>
      <c r="AA547" s="527"/>
      <c r="AB547" s="527"/>
    </row>
    <row r="548" spans="2:28" s="204" customFormat="1" ht="25.5" x14ac:dyDescent="0.25">
      <c r="B548" s="347" t="s">
        <v>1225</v>
      </c>
      <c r="C548" s="347" t="s">
        <v>1226</v>
      </c>
      <c r="D548" s="348" t="s">
        <v>3600</v>
      </c>
      <c r="E548" s="348"/>
      <c r="F548" s="348"/>
      <c r="G548" s="348"/>
      <c r="H548" s="349"/>
      <c r="I548" s="349"/>
      <c r="J548" s="349"/>
      <c r="K548" s="349"/>
      <c r="L548" s="364" t="s">
        <v>3601</v>
      </c>
      <c r="M548" s="284" t="s">
        <v>2962</v>
      </c>
      <c r="N548" s="270">
        <f t="shared" si="69"/>
        <v>0</v>
      </c>
      <c r="O548" s="270">
        <f t="shared" si="70"/>
        <v>0</v>
      </c>
      <c r="P548" s="271">
        <f t="shared" si="71"/>
        <v>0</v>
      </c>
      <c r="Q548" s="532"/>
      <c r="R548" s="354">
        <f>IF(ISERROR(VLOOKUP("SOC"&amp;$C548,ESTR_PREC_SP!$A$2:$G$2000,4,FALSE))=TRUE,0,VLOOKUP("SOC"&amp;$C548,ESTR_PREC_SP!$A$2:$G$2000,4,FALSE))</f>
        <v>0</v>
      </c>
      <c r="S548" s="521"/>
      <c r="T548" s="532"/>
      <c r="U548" s="532"/>
      <c r="V548" s="527"/>
      <c r="W548" s="527"/>
      <c r="X548" s="527"/>
      <c r="Y548" s="527"/>
      <c r="Z548" s="526">
        <f t="shared" si="72"/>
        <v>0</v>
      </c>
      <c r="AA548" s="527"/>
      <c r="AB548" s="527"/>
    </row>
    <row r="549" spans="2:28" s="204" customFormat="1" x14ac:dyDescent="0.25">
      <c r="B549" s="347" t="s">
        <v>1228</v>
      </c>
      <c r="C549" s="347" t="s">
        <v>1229</v>
      </c>
      <c r="D549" s="348" t="s">
        <v>3602</v>
      </c>
      <c r="E549" s="348"/>
      <c r="F549" s="348"/>
      <c r="G549" s="348"/>
      <c r="H549" s="349"/>
      <c r="I549" s="349"/>
      <c r="J549" s="348"/>
      <c r="K549" s="348"/>
      <c r="L549" s="358" t="s">
        <v>3603</v>
      </c>
      <c r="M549" s="284" t="s">
        <v>2962</v>
      </c>
      <c r="N549" s="270">
        <f t="shared" si="69"/>
        <v>0</v>
      </c>
      <c r="O549" s="270">
        <f t="shared" si="70"/>
        <v>0</v>
      </c>
      <c r="P549" s="271">
        <f t="shared" si="71"/>
        <v>0</v>
      </c>
      <c r="Q549" s="532"/>
      <c r="R549" s="354">
        <f>IF(ISERROR(VLOOKUP("SOC"&amp;$C549,ESTR_PREC_SP!$A$2:$G$2000,4,FALSE))=TRUE,0,VLOOKUP("SOC"&amp;$C549,ESTR_PREC_SP!$A$2:$G$2000,4,FALSE))</f>
        <v>0</v>
      </c>
      <c r="S549" s="521"/>
      <c r="T549" s="532"/>
      <c r="U549" s="532"/>
      <c r="V549" s="527"/>
      <c r="W549" s="527"/>
      <c r="X549" s="527"/>
      <c r="Y549" s="527"/>
      <c r="Z549" s="526">
        <f t="shared" si="72"/>
        <v>0</v>
      </c>
      <c r="AA549" s="527"/>
      <c r="AB549" s="527"/>
    </row>
    <row r="550" spans="2:28" s="204" customFormat="1" x14ac:dyDescent="0.25">
      <c r="B550" s="347" t="s">
        <v>1231</v>
      </c>
      <c r="C550" s="347" t="s">
        <v>1232</v>
      </c>
      <c r="D550" s="348" t="s">
        <v>3604</v>
      </c>
      <c r="E550" s="348"/>
      <c r="F550" s="348"/>
      <c r="G550" s="348"/>
      <c r="H550" s="349"/>
      <c r="I550" s="349"/>
      <c r="J550" s="348"/>
      <c r="K550" s="348"/>
      <c r="L550" s="358" t="s">
        <v>3605</v>
      </c>
      <c r="M550" s="284" t="s">
        <v>2962</v>
      </c>
      <c r="N550" s="270">
        <f t="shared" si="69"/>
        <v>0</v>
      </c>
      <c r="O550" s="270">
        <f t="shared" si="70"/>
        <v>0</v>
      </c>
      <c r="P550" s="271">
        <f t="shared" si="71"/>
        <v>0</v>
      </c>
      <c r="Q550" s="532"/>
      <c r="R550" s="354">
        <f>IF(ISERROR(VLOOKUP("SOC"&amp;$C550,ESTR_PREC_SP!$A$2:$G$2000,4,FALSE))=TRUE,0,VLOOKUP("SOC"&amp;$C550,ESTR_PREC_SP!$A$2:$G$2000,4,FALSE))</f>
        <v>0</v>
      </c>
      <c r="S550" s="521"/>
      <c r="T550" s="532"/>
      <c r="U550" s="532"/>
      <c r="V550" s="527"/>
      <c r="W550" s="527"/>
      <c r="X550" s="527"/>
      <c r="Y550" s="527"/>
      <c r="Z550" s="526">
        <f t="shared" si="72"/>
        <v>0</v>
      </c>
      <c r="AA550" s="527"/>
      <c r="AB550" s="527"/>
    </row>
    <row r="551" spans="2:28" s="204" customFormat="1" ht="26.25" x14ac:dyDescent="0.25">
      <c r="B551" s="347" t="s">
        <v>1234</v>
      </c>
      <c r="C551" s="347" t="s">
        <v>1235</v>
      </c>
      <c r="D551" s="348" t="s">
        <v>3606</v>
      </c>
      <c r="E551" s="348"/>
      <c r="F551" s="348"/>
      <c r="G551" s="348"/>
      <c r="H551" s="349"/>
      <c r="I551" s="349"/>
      <c r="J551" s="348"/>
      <c r="K551" s="348"/>
      <c r="L551" s="358" t="s">
        <v>3607</v>
      </c>
      <c r="M551" s="284" t="s">
        <v>2962</v>
      </c>
      <c r="N551" s="270">
        <f t="shared" si="69"/>
        <v>0</v>
      </c>
      <c r="O551" s="270">
        <f t="shared" si="70"/>
        <v>0</v>
      </c>
      <c r="P551" s="271">
        <f t="shared" si="71"/>
        <v>0</v>
      </c>
      <c r="Q551" s="532"/>
      <c r="R551" s="354">
        <f>IF(ISERROR(VLOOKUP("SOC"&amp;$C551,ESTR_PREC_SP!$A$2:$G$2000,4,FALSE))=TRUE,0,VLOOKUP("SOC"&amp;$C551,ESTR_PREC_SP!$A$2:$G$2000,4,FALSE))</f>
        <v>0</v>
      </c>
      <c r="S551" s="521"/>
      <c r="T551" s="532"/>
      <c r="U551" s="532"/>
      <c r="V551" s="527"/>
      <c r="W551" s="527"/>
      <c r="X551" s="527"/>
      <c r="Y551" s="527"/>
      <c r="Z551" s="526">
        <f t="shared" si="72"/>
        <v>0</v>
      </c>
      <c r="AA551" s="527"/>
      <c r="AB551" s="527"/>
    </row>
    <row r="552" spans="2:28" s="204" customFormat="1" x14ac:dyDescent="0.25">
      <c r="B552" s="347" t="s">
        <v>1237</v>
      </c>
      <c r="C552" s="347" t="s">
        <v>1238</v>
      </c>
      <c r="D552" s="348" t="s">
        <v>3608</v>
      </c>
      <c r="E552" s="348"/>
      <c r="F552" s="348"/>
      <c r="G552" s="348"/>
      <c r="H552" s="349"/>
      <c r="I552" s="349"/>
      <c r="J552" s="349"/>
      <c r="K552" s="349"/>
      <c r="L552" s="364" t="s">
        <v>3609</v>
      </c>
      <c r="M552" s="284" t="s">
        <v>2962</v>
      </c>
      <c r="N552" s="270">
        <f t="shared" si="69"/>
        <v>0</v>
      </c>
      <c r="O552" s="270">
        <f t="shared" si="70"/>
        <v>0</v>
      </c>
      <c r="P552" s="271">
        <f t="shared" si="71"/>
        <v>0</v>
      </c>
      <c r="Q552" s="532"/>
      <c r="R552" s="354">
        <f>IF(ISERROR(VLOOKUP("SOC"&amp;$C552,ESTR_PREC_SP!$A$2:$G$2000,4,FALSE))=TRUE,0,VLOOKUP("SOC"&amp;$C552,ESTR_PREC_SP!$A$2:$G$2000,4,FALSE))</f>
        <v>0</v>
      </c>
      <c r="S552" s="521"/>
      <c r="T552" s="532"/>
      <c r="U552" s="532"/>
      <c r="V552" s="527"/>
      <c r="W552" s="527"/>
      <c r="X552" s="527"/>
      <c r="Y552" s="527"/>
      <c r="Z552" s="526">
        <f t="shared" si="72"/>
        <v>0</v>
      </c>
      <c r="AA552" s="527"/>
      <c r="AB552" s="527"/>
    </row>
    <row r="553" spans="2:28" s="204" customFormat="1" ht="25.5" x14ac:dyDescent="0.25">
      <c r="B553" s="347" t="s">
        <v>1241</v>
      </c>
      <c r="C553" s="347" t="s">
        <v>1242</v>
      </c>
      <c r="D553" s="348" t="s">
        <v>3610</v>
      </c>
      <c r="E553" s="348"/>
      <c r="F553" s="348"/>
      <c r="G553" s="348"/>
      <c r="H553" s="349"/>
      <c r="I553" s="349"/>
      <c r="J553" s="348"/>
      <c r="K553" s="349"/>
      <c r="L553" s="364" t="s">
        <v>3611</v>
      </c>
      <c r="M553" s="284" t="s">
        <v>2962</v>
      </c>
      <c r="N553" s="270">
        <f t="shared" si="69"/>
        <v>0</v>
      </c>
      <c r="O553" s="270">
        <f t="shared" si="70"/>
        <v>0</v>
      </c>
      <c r="P553" s="271">
        <f t="shared" si="71"/>
        <v>0</v>
      </c>
      <c r="Q553" s="532"/>
      <c r="R553" s="354">
        <f>IF(ISERROR(VLOOKUP("SOC"&amp;$C553,ESTR_PREC_SP!$A$2:$G$2000,4,FALSE))=TRUE,0,VLOOKUP("SOC"&amp;$C553,ESTR_PREC_SP!$A$2:$G$2000,4,FALSE))</f>
        <v>0</v>
      </c>
      <c r="S553" s="521"/>
      <c r="T553" s="532"/>
      <c r="U553" s="532"/>
      <c r="V553" s="527"/>
      <c r="W553" s="527"/>
      <c r="X553" s="527"/>
      <c r="Y553" s="527"/>
      <c r="Z553" s="526">
        <f t="shared" si="72"/>
        <v>0</v>
      </c>
      <c r="AA553" s="527"/>
      <c r="AB553" s="527"/>
    </row>
    <row r="554" spans="2:28" s="204" customFormat="1" ht="25.5" x14ac:dyDescent="0.25">
      <c r="B554" s="347" t="s">
        <v>1244</v>
      </c>
      <c r="C554" s="347" t="s">
        <v>1245</v>
      </c>
      <c r="D554" s="348" t="s">
        <v>3612</v>
      </c>
      <c r="E554" s="348"/>
      <c r="F554" s="348"/>
      <c r="G554" s="348"/>
      <c r="H554" s="349"/>
      <c r="I554" s="349"/>
      <c r="J554" s="348"/>
      <c r="K554" s="349"/>
      <c r="L554" s="364" t="s">
        <v>3613</v>
      </c>
      <c r="M554" s="284" t="s">
        <v>2962</v>
      </c>
      <c r="N554" s="270">
        <f t="shared" si="69"/>
        <v>0</v>
      </c>
      <c r="O554" s="270">
        <f t="shared" si="70"/>
        <v>0</v>
      </c>
      <c r="P554" s="271">
        <f t="shared" si="71"/>
        <v>0</v>
      </c>
      <c r="Q554" s="532"/>
      <c r="R554" s="354">
        <f>IF(ISERROR(VLOOKUP("SOC"&amp;$C554,ESTR_PREC_SP!$A$2:$G$2000,4,FALSE))=TRUE,0,VLOOKUP("SOC"&amp;$C554,ESTR_PREC_SP!$A$2:$G$2000,4,FALSE))</f>
        <v>0</v>
      </c>
      <c r="S554" s="521"/>
      <c r="T554" s="532"/>
      <c r="U554" s="532"/>
      <c r="V554" s="527"/>
      <c r="W554" s="527"/>
      <c r="X554" s="527"/>
      <c r="Y554" s="527"/>
      <c r="Z554" s="526">
        <f t="shared" si="72"/>
        <v>0</v>
      </c>
      <c r="AA554" s="527"/>
      <c r="AB554" s="527"/>
    </row>
    <row r="555" spans="2:28" s="204" customFormat="1" ht="25.5" x14ac:dyDescent="0.25">
      <c r="B555" s="347" t="s">
        <v>1247</v>
      </c>
      <c r="C555" s="347" t="s">
        <v>1248</v>
      </c>
      <c r="D555" s="348" t="s">
        <v>3614</v>
      </c>
      <c r="E555" s="348"/>
      <c r="F555" s="348"/>
      <c r="G555" s="348"/>
      <c r="H555" s="349"/>
      <c r="I555" s="349"/>
      <c r="J555" s="348"/>
      <c r="K555" s="349"/>
      <c r="L555" s="364" t="s">
        <v>3615</v>
      </c>
      <c r="M555" s="284" t="s">
        <v>2962</v>
      </c>
      <c r="N555" s="270">
        <f t="shared" si="69"/>
        <v>0</v>
      </c>
      <c r="O555" s="270">
        <f t="shared" si="70"/>
        <v>0</v>
      </c>
      <c r="P555" s="271">
        <f t="shared" si="71"/>
        <v>0</v>
      </c>
      <c r="Q555" s="532"/>
      <c r="R555" s="354">
        <f>IF(ISERROR(VLOOKUP("SOC"&amp;$C555,ESTR_PREC_SP!$A$2:$G$2000,4,FALSE))=TRUE,0,VLOOKUP("SOC"&amp;$C555,ESTR_PREC_SP!$A$2:$G$2000,4,FALSE))</f>
        <v>0</v>
      </c>
      <c r="S555" s="521"/>
      <c r="T555" s="532"/>
      <c r="U555" s="532"/>
      <c r="V555" s="527"/>
      <c r="W555" s="527"/>
      <c r="X555" s="527"/>
      <c r="Y555" s="527"/>
      <c r="Z555" s="526">
        <f t="shared" si="72"/>
        <v>0</v>
      </c>
      <c r="AA555" s="527"/>
      <c r="AB555" s="527"/>
    </row>
    <row r="556" spans="2:28" s="204" customFormat="1" ht="26.25" x14ac:dyDescent="0.25">
      <c r="B556" s="347" t="s">
        <v>1250</v>
      </c>
      <c r="C556" s="347" t="s">
        <v>1251</v>
      </c>
      <c r="D556" s="348" t="s">
        <v>3616</v>
      </c>
      <c r="E556" s="348"/>
      <c r="F556" s="348"/>
      <c r="G556" s="348"/>
      <c r="H556" s="349"/>
      <c r="I556" s="349"/>
      <c r="J556" s="348"/>
      <c r="K556" s="348"/>
      <c r="L556" s="358" t="s">
        <v>3617</v>
      </c>
      <c r="M556" s="284" t="s">
        <v>2962</v>
      </c>
      <c r="N556" s="270">
        <f t="shared" si="69"/>
        <v>0</v>
      </c>
      <c r="O556" s="270">
        <f t="shared" si="70"/>
        <v>0</v>
      </c>
      <c r="P556" s="271">
        <f t="shared" si="71"/>
        <v>0</v>
      </c>
      <c r="Q556" s="532"/>
      <c r="R556" s="354">
        <f>IF(ISERROR(VLOOKUP("SOC"&amp;$C556,ESTR_PREC_SP!$A$2:$G$2000,4,FALSE))=TRUE,0,VLOOKUP("SOC"&amp;$C556,ESTR_PREC_SP!$A$2:$G$2000,4,FALSE))</f>
        <v>0</v>
      </c>
      <c r="S556" s="521"/>
      <c r="T556" s="532"/>
      <c r="U556" s="532"/>
      <c r="V556" s="527"/>
      <c r="W556" s="527"/>
      <c r="X556" s="527"/>
      <c r="Y556" s="527"/>
      <c r="Z556" s="526">
        <f t="shared" si="72"/>
        <v>0</v>
      </c>
      <c r="AA556" s="527"/>
      <c r="AB556" s="527"/>
    </row>
    <row r="557" spans="2:28" s="204" customFormat="1" x14ac:dyDescent="0.25">
      <c r="B557" s="347" t="s">
        <v>1253</v>
      </c>
      <c r="C557" s="347" t="s">
        <v>1254</v>
      </c>
      <c r="D557" s="348" t="s">
        <v>3618</v>
      </c>
      <c r="E557" s="348"/>
      <c r="F557" s="348"/>
      <c r="G557" s="348"/>
      <c r="H557" s="349"/>
      <c r="I557" s="349"/>
      <c r="J557" s="349"/>
      <c r="K557" s="349"/>
      <c r="L557" s="364" t="s">
        <v>3619</v>
      </c>
      <c r="M557" s="284" t="s">
        <v>2962</v>
      </c>
      <c r="N557" s="270">
        <f t="shared" si="69"/>
        <v>0</v>
      </c>
      <c r="O557" s="270">
        <f t="shared" si="70"/>
        <v>0</v>
      </c>
      <c r="P557" s="271">
        <f t="shared" si="71"/>
        <v>0</v>
      </c>
      <c r="Q557" s="532"/>
      <c r="R557" s="354">
        <f>IF(ISERROR(VLOOKUP("SOC"&amp;$C557,ESTR_PREC_SP!$A$2:$G$2000,4,FALSE))=TRUE,0,VLOOKUP("SOC"&amp;$C557,ESTR_PREC_SP!$A$2:$G$2000,4,FALSE))</f>
        <v>0</v>
      </c>
      <c r="S557" s="521"/>
      <c r="T557" s="532"/>
      <c r="U557" s="532"/>
      <c r="V557" s="527"/>
      <c r="W557" s="527"/>
      <c r="X557" s="527"/>
      <c r="Y557" s="527"/>
      <c r="Z557" s="526">
        <f t="shared" si="72"/>
        <v>0</v>
      </c>
      <c r="AA557" s="527"/>
      <c r="AB557" s="527"/>
    </row>
    <row r="558" spans="2:28" s="204" customFormat="1" x14ac:dyDescent="0.25">
      <c r="B558" s="347" t="s">
        <v>1256</v>
      </c>
      <c r="C558" s="347" t="s">
        <v>1257</v>
      </c>
      <c r="D558" s="348" t="s">
        <v>3620</v>
      </c>
      <c r="E558" s="348"/>
      <c r="F558" s="348"/>
      <c r="G558" s="348"/>
      <c r="H558" s="349"/>
      <c r="I558" s="349"/>
      <c r="J558" s="349"/>
      <c r="K558" s="349"/>
      <c r="L558" s="366" t="s">
        <v>3621</v>
      </c>
      <c r="M558" s="284" t="s">
        <v>2962</v>
      </c>
      <c r="N558" s="270">
        <f t="shared" si="69"/>
        <v>0</v>
      </c>
      <c r="O558" s="270">
        <f t="shared" si="70"/>
        <v>0</v>
      </c>
      <c r="P558" s="271">
        <f t="shared" si="71"/>
        <v>0</v>
      </c>
      <c r="Q558" s="532"/>
      <c r="R558" s="354">
        <f>IF(ISERROR(VLOOKUP("SOC"&amp;$C558,ESTR_PREC_SP!$A$2:$G$2000,4,FALSE))=TRUE,0,VLOOKUP("SOC"&amp;$C558,ESTR_PREC_SP!$A$2:$G$2000,4,FALSE))</f>
        <v>0</v>
      </c>
      <c r="S558" s="521"/>
      <c r="T558" s="532"/>
      <c r="U558" s="532"/>
      <c r="V558" s="527"/>
      <c r="W558" s="527"/>
      <c r="X558" s="527"/>
      <c r="Y558" s="527"/>
      <c r="Z558" s="526">
        <f t="shared" si="72"/>
        <v>0</v>
      </c>
      <c r="AA558" s="527"/>
      <c r="AB558" s="527"/>
    </row>
    <row r="559" spans="2:28" s="204" customFormat="1" x14ac:dyDescent="0.25">
      <c r="B559" s="347" t="s">
        <v>1260</v>
      </c>
      <c r="C559" s="347" t="s">
        <v>1261</v>
      </c>
      <c r="D559" s="348" t="s">
        <v>3622</v>
      </c>
      <c r="E559" s="348"/>
      <c r="F559" s="348"/>
      <c r="G559" s="348"/>
      <c r="H559" s="349"/>
      <c r="I559" s="349"/>
      <c r="J559" s="349"/>
      <c r="K559" s="349"/>
      <c r="L559" s="366" t="s">
        <v>3623</v>
      </c>
      <c r="M559" s="284" t="s">
        <v>2962</v>
      </c>
      <c r="N559" s="270">
        <f t="shared" si="69"/>
        <v>0</v>
      </c>
      <c r="O559" s="270">
        <f t="shared" si="70"/>
        <v>0</v>
      </c>
      <c r="P559" s="271">
        <f t="shared" si="71"/>
        <v>0</v>
      </c>
      <c r="Q559" s="532"/>
      <c r="R559" s="354">
        <f>IF(ISERROR(VLOOKUP("SOC"&amp;$C559,ESTR_PREC_SP!$A$2:$G$2000,4,FALSE))=TRUE,0,VLOOKUP("SOC"&amp;$C559,ESTR_PREC_SP!$A$2:$G$2000,4,FALSE))</f>
        <v>0</v>
      </c>
      <c r="S559" s="521"/>
      <c r="T559" s="532"/>
      <c r="U559" s="532"/>
      <c r="V559" s="527"/>
      <c r="W559" s="527"/>
      <c r="X559" s="527"/>
      <c r="Y559" s="527"/>
      <c r="Z559" s="526">
        <f t="shared" si="72"/>
        <v>0</v>
      </c>
      <c r="AA559" s="527"/>
      <c r="AB559" s="527"/>
    </row>
    <row r="560" spans="2:28" s="204" customFormat="1" x14ac:dyDescent="0.25">
      <c r="B560" s="347" t="s">
        <v>1263</v>
      </c>
      <c r="C560" s="347" t="s">
        <v>1264</v>
      </c>
      <c r="D560" s="348" t="s">
        <v>3624</v>
      </c>
      <c r="E560" s="348"/>
      <c r="F560" s="348"/>
      <c r="G560" s="348"/>
      <c r="H560" s="349"/>
      <c r="I560" s="349"/>
      <c r="J560" s="349"/>
      <c r="K560" s="349"/>
      <c r="L560" s="367" t="s">
        <v>3625</v>
      </c>
      <c r="M560" s="284" t="s">
        <v>2962</v>
      </c>
      <c r="N560" s="270">
        <f t="shared" si="69"/>
        <v>0</v>
      </c>
      <c r="O560" s="270">
        <f t="shared" si="70"/>
        <v>0</v>
      </c>
      <c r="P560" s="271">
        <f t="shared" si="71"/>
        <v>0</v>
      </c>
      <c r="Q560" s="532"/>
      <c r="R560" s="354">
        <f>IF(ISERROR(VLOOKUP("SOC"&amp;$C560,ESTR_PREC_SP!$A$2:$G$2000,4,FALSE))=TRUE,0,VLOOKUP("SOC"&amp;$C560,ESTR_PREC_SP!$A$2:$G$2000,4,FALSE))</f>
        <v>0</v>
      </c>
      <c r="S560" s="521"/>
      <c r="T560" s="532"/>
      <c r="U560" s="532"/>
      <c r="V560" s="527"/>
      <c r="W560" s="527"/>
      <c r="X560" s="527"/>
      <c r="Y560" s="527"/>
      <c r="Z560" s="526">
        <f t="shared" si="72"/>
        <v>0</v>
      </c>
      <c r="AA560" s="527"/>
      <c r="AB560" s="527"/>
    </row>
    <row r="561" spans="2:28" s="204" customFormat="1" x14ac:dyDescent="0.25">
      <c r="B561" s="347" t="s">
        <v>1266</v>
      </c>
      <c r="C561" s="347" t="s">
        <v>1267</v>
      </c>
      <c r="D561" s="348" t="s">
        <v>3626</v>
      </c>
      <c r="E561" s="348"/>
      <c r="F561" s="348"/>
      <c r="G561" s="348"/>
      <c r="H561" s="349"/>
      <c r="I561" s="349"/>
      <c r="J561" s="349"/>
      <c r="K561" s="349"/>
      <c r="L561" s="368" t="s">
        <v>3627</v>
      </c>
      <c r="M561" s="284" t="s">
        <v>2962</v>
      </c>
      <c r="N561" s="270">
        <f t="shared" si="69"/>
        <v>0</v>
      </c>
      <c r="O561" s="270">
        <f t="shared" si="70"/>
        <v>0</v>
      </c>
      <c r="P561" s="271">
        <f t="shared" si="71"/>
        <v>0</v>
      </c>
      <c r="Q561" s="532"/>
      <c r="R561" s="354">
        <f>IF(ISERROR(VLOOKUP("SOC"&amp;$C561,ESTR_PREC_SP!$A$2:$G$2000,4,FALSE))=TRUE,0,VLOOKUP("SOC"&amp;$C561,ESTR_PREC_SP!$A$2:$G$2000,4,FALSE))</f>
        <v>0</v>
      </c>
      <c r="S561" s="521"/>
      <c r="T561" s="532"/>
      <c r="U561" s="532"/>
      <c r="V561" s="527"/>
      <c r="W561" s="527"/>
      <c r="X561" s="527"/>
      <c r="Y561" s="527"/>
      <c r="Z561" s="526">
        <f t="shared" si="72"/>
        <v>0</v>
      </c>
      <c r="AA561" s="527"/>
      <c r="AB561" s="527"/>
    </row>
    <row r="562" spans="2:28" s="204" customFormat="1" x14ac:dyDescent="0.25">
      <c r="B562" s="347" t="s">
        <v>1270</v>
      </c>
      <c r="C562" s="347" t="s">
        <v>1271</v>
      </c>
      <c r="D562" s="348" t="s">
        <v>3628</v>
      </c>
      <c r="E562" s="348"/>
      <c r="F562" s="348"/>
      <c r="G562" s="348"/>
      <c r="H562" s="349"/>
      <c r="I562" s="349"/>
      <c r="J562" s="348"/>
      <c r="K562" s="348"/>
      <c r="L562" s="358" t="s">
        <v>3629</v>
      </c>
      <c r="M562" s="284" t="s">
        <v>2962</v>
      </c>
      <c r="N562" s="270">
        <f t="shared" si="69"/>
        <v>0</v>
      </c>
      <c r="O562" s="270">
        <f t="shared" si="70"/>
        <v>0</v>
      </c>
      <c r="P562" s="271">
        <f t="shared" si="71"/>
        <v>0</v>
      </c>
      <c r="Q562" s="532"/>
      <c r="R562" s="354">
        <f>IF(ISERROR(VLOOKUP("SOC"&amp;$C562,ESTR_PREC_SP!$A$2:$G$2000,4,FALSE))=TRUE,0,VLOOKUP("SOC"&amp;$C562,ESTR_PREC_SP!$A$2:$G$2000,4,FALSE))</f>
        <v>0</v>
      </c>
      <c r="S562" s="521"/>
      <c r="T562" s="532"/>
      <c r="U562" s="532"/>
      <c r="V562" s="527"/>
      <c r="W562" s="527"/>
      <c r="X562" s="527"/>
      <c r="Y562" s="527"/>
      <c r="Z562" s="526">
        <f t="shared" si="72"/>
        <v>0</v>
      </c>
      <c r="AA562" s="527"/>
      <c r="AB562" s="527"/>
    </row>
    <row r="563" spans="2:28" s="204" customFormat="1" x14ac:dyDescent="0.25">
      <c r="B563" s="347" t="s">
        <v>1273</v>
      </c>
      <c r="C563" s="347" t="s">
        <v>1274</v>
      </c>
      <c r="D563" s="348" t="s">
        <v>3630</v>
      </c>
      <c r="E563" s="348"/>
      <c r="F563" s="348"/>
      <c r="G563" s="348"/>
      <c r="H563" s="349"/>
      <c r="I563" s="349"/>
      <c r="J563" s="349"/>
      <c r="K563" s="349"/>
      <c r="L563" s="368" t="s">
        <v>3631</v>
      </c>
      <c r="M563" s="284" t="s">
        <v>2962</v>
      </c>
      <c r="N563" s="270">
        <f t="shared" si="69"/>
        <v>0</v>
      </c>
      <c r="O563" s="270">
        <f t="shared" si="70"/>
        <v>0</v>
      </c>
      <c r="P563" s="271">
        <f t="shared" si="71"/>
        <v>0</v>
      </c>
      <c r="Q563" s="532"/>
      <c r="R563" s="354">
        <f>IF(ISERROR(VLOOKUP("SOC"&amp;$C563,ESTR_PREC_SP!$A$2:$G$2000,4,FALSE))=TRUE,0,VLOOKUP("SOC"&amp;$C563,ESTR_PREC_SP!$A$2:$G$2000,4,FALSE))</f>
        <v>0</v>
      </c>
      <c r="S563" s="521"/>
      <c r="T563" s="532"/>
      <c r="U563" s="532"/>
      <c r="V563" s="527"/>
      <c r="W563" s="527"/>
      <c r="X563" s="527"/>
      <c r="Y563" s="527"/>
      <c r="Z563" s="526">
        <f t="shared" si="72"/>
        <v>0</v>
      </c>
      <c r="AA563" s="527"/>
      <c r="AB563" s="527"/>
    </row>
    <row r="564" spans="2:28" s="204" customFormat="1" ht="24.75" customHeight="1" x14ac:dyDescent="0.25">
      <c r="B564" s="347" t="s">
        <v>1276</v>
      </c>
      <c r="C564" s="347" t="s">
        <v>1277</v>
      </c>
      <c r="D564" s="348" t="s">
        <v>3632</v>
      </c>
      <c r="E564" s="348"/>
      <c r="F564" s="348"/>
      <c r="G564" s="348"/>
      <c r="H564" s="349"/>
      <c r="I564" s="349"/>
      <c r="J564" s="349"/>
      <c r="K564" s="349"/>
      <c r="L564" s="364" t="s">
        <v>3633</v>
      </c>
      <c r="M564" s="284" t="s">
        <v>2962</v>
      </c>
      <c r="N564" s="270">
        <f t="shared" si="69"/>
        <v>0</v>
      </c>
      <c r="O564" s="270">
        <f t="shared" si="70"/>
        <v>0</v>
      </c>
      <c r="P564" s="271">
        <f t="shared" si="71"/>
        <v>0</v>
      </c>
      <c r="Q564" s="532"/>
      <c r="R564" s="354">
        <f>IF(ISERROR(VLOOKUP("SOC"&amp;$C564,ESTR_PREC_SP!$A$2:$G$2000,4,FALSE))=TRUE,0,VLOOKUP("SOC"&amp;$C564,ESTR_PREC_SP!$A$2:$G$2000,4,FALSE))</f>
        <v>0</v>
      </c>
      <c r="S564" s="521"/>
      <c r="T564" s="532"/>
      <c r="U564" s="532"/>
      <c r="V564" s="527"/>
      <c r="W564" s="527"/>
      <c r="X564" s="527"/>
      <c r="Y564" s="527"/>
      <c r="Z564" s="526">
        <f t="shared" si="72"/>
        <v>0</v>
      </c>
      <c r="AA564" s="527"/>
      <c r="AB564" s="527"/>
    </row>
    <row r="565" spans="2:28" s="204" customFormat="1" ht="25.5" x14ac:dyDescent="0.25">
      <c r="B565" s="369" t="s">
        <v>1280</v>
      </c>
      <c r="C565" s="369" t="s">
        <v>1281</v>
      </c>
      <c r="D565" s="370" t="s">
        <v>3634</v>
      </c>
      <c r="E565" s="348"/>
      <c r="F565" s="370"/>
      <c r="G565" s="370"/>
      <c r="H565" s="370"/>
      <c r="I565" s="370"/>
      <c r="J565" s="370"/>
      <c r="K565" s="370"/>
      <c r="L565" s="371" t="s">
        <v>3635</v>
      </c>
      <c r="M565" s="284" t="s">
        <v>2962</v>
      </c>
      <c r="N565" s="270">
        <f t="shared" si="69"/>
        <v>0</v>
      </c>
      <c r="O565" s="270">
        <f t="shared" si="70"/>
        <v>0</v>
      </c>
      <c r="P565" s="271">
        <f t="shared" si="71"/>
        <v>0</v>
      </c>
      <c r="Q565" s="533"/>
      <c r="R565" s="354">
        <f>IF(ISERROR(VLOOKUP("SOC"&amp;$C565,ESTR_PREC_SP!$A$2:$G$2000,4,FALSE))=TRUE,0,VLOOKUP("SOC"&amp;$C565,ESTR_PREC_SP!$A$2:$G$2000,4,FALSE))</f>
        <v>0</v>
      </c>
      <c r="S565" s="521"/>
      <c r="T565" s="533"/>
      <c r="U565" s="652"/>
      <c r="V565" s="527"/>
      <c r="W565" s="527"/>
      <c r="X565" s="527"/>
      <c r="Y565" s="527"/>
      <c r="Z565" s="526">
        <f t="shared" si="72"/>
        <v>0</v>
      </c>
      <c r="AA565" s="527"/>
      <c r="AB565" s="527"/>
    </row>
    <row r="566" spans="2:28" s="204" customFormat="1" x14ac:dyDescent="0.25">
      <c r="B566" s="287" t="s">
        <v>1283</v>
      </c>
      <c r="C566" s="287" t="s">
        <v>1284</v>
      </c>
      <c r="D566" s="274" t="s">
        <v>3636</v>
      </c>
      <c r="E566" s="274"/>
      <c r="F566" s="274"/>
      <c r="G566" s="283"/>
      <c r="H566" s="326"/>
      <c r="I566" s="274"/>
      <c r="J566" s="281"/>
      <c r="K566" s="281"/>
      <c r="L566" s="372" t="s">
        <v>1288</v>
      </c>
      <c r="M566" s="373" t="s">
        <v>2962</v>
      </c>
      <c r="N566" s="270">
        <f t="shared" si="69"/>
        <v>0</v>
      </c>
      <c r="O566" s="270">
        <f>+Z566+Q566</f>
        <v>0</v>
      </c>
      <c r="P566" s="374">
        <f t="shared" si="71"/>
        <v>0</v>
      </c>
      <c r="Q566" s="285"/>
      <c r="R566" s="354">
        <f>IF(ISERROR(VLOOKUP("SOC"&amp;$C566,ESTR_PREC_SP!$A$2:$G$2000,4,FALSE))=TRUE,0,VLOOKUP("SOC"&amp;$C566,ESTR_PREC_SP!$A$2:$G$2000,4,FALSE))</f>
        <v>0</v>
      </c>
      <c r="S566" s="285"/>
      <c r="T566" s="211"/>
      <c r="U566" s="211"/>
      <c r="V566" s="211"/>
      <c r="W566" s="211"/>
      <c r="X566" s="211"/>
      <c r="Y566" s="211"/>
      <c r="Z566" s="527"/>
      <c r="AA566" s="211"/>
    </row>
    <row r="567" spans="2:28" s="204" customFormat="1" x14ac:dyDescent="0.25">
      <c r="B567" s="293"/>
      <c r="C567" s="293"/>
      <c r="D567" s="230"/>
      <c r="E567" s="230"/>
      <c r="F567" s="230"/>
      <c r="G567" s="230"/>
      <c r="H567" s="231"/>
      <c r="I567" s="230"/>
      <c r="J567" s="230"/>
      <c r="K567" s="230"/>
      <c r="L567" s="296"/>
      <c r="M567" s="216"/>
      <c r="N567" s="285"/>
      <c r="O567" s="285"/>
      <c r="P567" s="285"/>
      <c r="Q567" s="285"/>
      <c r="R567" s="285"/>
      <c r="S567" s="285"/>
      <c r="T567" s="211"/>
      <c r="U567" s="211"/>
      <c r="V567" s="211"/>
      <c r="W567" s="211"/>
      <c r="X567" s="211"/>
      <c r="Y567" s="211"/>
      <c r="Z567" s="211"/>
      <c r="AA567" s="211"/>
    </row>
    <row r="568" spans="2:28" s="204" customFormat="1" x14ac:dyDescent="0.25">
      <c r="B568" s="293"/>
      <c r="C568" s="293"/>
      <c r="D568" s="230"/>
      <c r="E568" s="230"/>
      <c r="F568" s="230"/>
      <c r="G568" s="230"/>
      <c r="H568" s="231"/>
      <c r="I568" s="230"/>
      <c r="J568" s="230"/>
      <c r="K568" s="230"/>
      <c r="L568" s="275"/>
      <c r="M568" s="216"/>
      <c r="N568" s="285"/>
      <c r="O568" s="285"/>
      <c r="P568" s="285"/>
      <c r="Q568" s="285"/>
      <c r="R568" s="285"/>
      <c r="S568" s="285"/>
      <c r="T568" s="211"/>
      <c r="U568" s="211"/>
      <c r="V568" s="211"/>
      <c r="W568" s="211"/>
      <c r="X568" s="211"/>
      <c r="Y568" s="211"/>
      <c r="Z568" s="211"/>
      <c r="AA568" s="211"/>
    </row>
    <row r="569" spans="2:28" s="204" customFormat="1" x14ac:dyDescent="0.25">
      <c r="B569" s="292" t="s">
        <v>1289</v>
      </c>
      <c r="C569" s="292" t="s">
        <v>1290</v>
      </c>
      <c r="D569" s="247" t="s">
        <v>3637</v>
      </c>
      <c r="E569" s="247"/>
      <c r="F569" s="247"/>
      <c r="G569" s="247"/>
      <c r="H569" s="248"/>
      <c r="I569" s="247"/>
      <c r="J569" s="247"/>
      <c r="K569" s="249"/>
      <c r="L569" s="276" t="s">
        <v>1292</v>
      </c>
      <c r="M569" s="251" t="s">
        <v>2962</v>
      </c>
      <c r="N569" s="252">
        <f>SUM(N572:N586)</f>
        <v>0</v>
      </c>
      <c r="O569" s="252">
        <f>SUM(O572:O586)</f>
        <v>0</v>
      </c>
      <c r="P569" s="259">
        <f>+O569-N569</f>
        <v>0</v>
      </c>
      <c r="Q569" s="252">
        <f t="shared" ref="Q569:AB569" si="73">SUM(Q572:Q586)</f>
        <v>0</v>
      </c>
      <c r="R569" s="252">
        <f t="shared" si="73"/>
        <v>0</v>
      </c>
      <c r="S569" s="252">
        <f t="shared" si="73"/>
        <v>0</v>
      </c>
      <c r="T569" s="252">
        <f t="shared" si="73"/>
        <v>0</v>
      </c>
      <c r="U569" s="252">
        <f t="shared" si="73"/>
        <v>0</v>
      </c>
      <c r="V569" s="252">
        <f t="shared" si="73"/>
        <v>0</v>
      </c>
      <c r="W569" s="252">
        <f t="shared" si="73"/>
        <v>0</v>
      </c>
      <c r="X569" s="252">
        <f t="shared" si="73"/>
        <v>0</v>
      </c>
      <c r="Y569" s="252">
        <f t="shared" si="73"/>
        <v>0</v>
      </c>
      <c r="Z569" s="252">
        <f t="shared" si="73"/>
        <v>0</v>
      </c>
      <c r="AA569" s="252">
        <f t="shared" si="73"/>
        <v>0</v>
      </c>
      <c r="AB569" s="252">
        <f t="shared" si="73"/>
        <v>0</v>
      </c>
    </row>
    <row r="570" spans="2:28" s="204" customFormat="1" x14ac:dyDescent="0.25">
      <c r="B570" s="293"/>
      <c r="C570" s="293"/>
      <c r="D570" s="230"/>
      <c r="E570" s="230"/>
      <c r="F570" s="230"/>
      <c r="G570" s="230"/>
      <c r="H570" s="231"/>
      <c r="I570" s="230"/>
      <c r="J570" s="230"/>
      <c r="K570" s="230"/>
      <c r="L570" s="277"/>
      <c r="M570" s="216"/>
      <c r="N570" s="285"/>
      <c r="O570" s="285"/>
      <c r="P570" s="285"/>
      <c r="Q570" s="285"/>
      <c r="R570" s="285"/>
      <c r="S570" s="285"/>
      <c r="T570" s="211"/>
      <c r="U570" s="211"/>
      <c r="V570" s="211"/>
      <c r="W570" s="211"/>
      <c r="X570" s="211"/>
      <c r="Y570" s="211"/>
      <c r="Z570" s="211"/>
      <c r="AA570" s="211"/>
    </row>
    <row r="571" spans="2:28" s="204" customFormat="1" ht="89.25" x14ac:dyDescent="0.25">
      <c r="B571" s="294" t="s">
        <v>2968</v>
      </c>
      <c r="C571" s="294" t="s">
        <v>2969</v>
      </c>
      <c r="D571" s="206" t="s">
        <v>72</v>
      </c>
      <c r="E571" s="206"/>
      <c r="F571" s="206"/>
      <c r="G571" s="207"/>
      <c r="H571" s="207"/>
      <c r="I571" s="207"/>
      <c r="J571" s="207" t="s">
        <v>2957</v>
      </c>
      <c r="K571" s="206" t="s">
        <v>82</v>
      </c>
      <c r="L571" s="261" t="s">
        <v>2970</v>
      </c>
      <c r="M571" s="345"/>
      <c r="N571" s="256" t="str">
        <f>N$15</f>
        <v>Valore netto al 31/12/2019</v>
      </c>
      <c r="O571" s="256" t="str">
        <f>O$15</f>
        <v>Valore netto al 31/12/2020</v>
      </c>
      <c r="P571" s="256" t="str">
        <f>P$15</f>
        <v>Variazione</v>
      </c>
      <c r="Q571" s="262" t="s">
        <v>2971</v>
      </c>
      <c r="R571" s="262" t="s">
        <v>3536</v>
      </c>
      <c r="S571" s="346" t="s">
        <v>2972</v>
      </c>
      <c r="T571" s="262" t="s">
        <v>3537</v>
      </c>
      <c r="U571" s="262" t="s">
        <v>3538</v>
      </c>
      <c r="V571" s="262" t="s">
        <v>3539</v>
      </c>
      <c r="W571" s="262" t="s">
        <v>4391</v>
      </c>
      <c r="X571" s="262" t="s">
        <v>3540</v>
      </c>
      <c r="Y571" s="262" t="s">
        <v>3541</v>
      </c>
      <c r="Z571" s="346" t="s">
        <v>3542</v>
      </c>
      <c r="AA571" s="262" t="s">
        <v>3543</v>
      </c>
      <c r="AB571" s="262" t="s">
        <v>3544</v>
      </c>
    </row>
    <row r="572" spans="2:28" s="204" customFormat="1" x14ac:dyDescent="0.25">
      <c r="B572" s="287" t="s">
        <v>1293</v>
      </c>
      <c r="C572" s="287" t="s">
        <v>1294</v>
      </c>
      <c r="D572" s="274" t="s">
        <v>3638</v>
      </c>
      <c r="E572" s="274"/>
      <c r="F572" s="274"/>
      <c r="G572" s="283"/>
      <c r="H572" s="266"/>
      <c r="I572" s="274"/>
      <c r="J572" s="281"/>
      <c r="K572" s="281"/>
      <c r="L572" s="282" t="s">
        <v>3639</v>
      </c>
      <c r="M572" s="263" t="s">
        <v>2962</v>
      </c>
      <c r="N572" s="270">
        <f t="shared" ref="N572:N586" si="74">+R572</f>
        <v>0</v>
      </c>
      <c r="O572" s="270">
        <f t="shared" ref="O572:O586" si="75">+Z572</f>
        <v>0</v>
      </c>
      <c r="P572" s="271">
        <f t="shared" ref="P572:P586" si="76">+O572-N572</f>
        <v>0</v>
      </c>
      <c r="Q572" s="532"/>
      <c r="R572" s="354">
        <f>IF(ISERROR(VLOOKUP("SOC"&amp;$C572,ESTR_PREC_SP!$A$2:$G$2000,4,FALSE))=TRUE,0,VLOOKUP("SOC"&amp;$C572,ESTR_PREC_SP!$A$2:$G$2000,4,FALSE))</f>
        <v>0</v>
      </c>
      <c r="S572" s="521"/>
      <c r="T572" s="532"/>
      <c r="U572" s="532"/>
      <c r="V572" s="527"/>
      <c r="W572" s="527"/>
      <c r="X572" s="527"/>
      <c r="Y572" s="527"/>
      <c r="Z572" s="526">
        <f t="shared" ref="Z572:Z586" si="77">+R572+S572+U572+T572+V572-X572-Y572+W572+Q572</f>
        <v>0</v>
      </c>
      <c r="AA572" s="527"/>
      <c r="AB572" s="527"/>
    </row>
    <row r="573" spans="2:28" s="204" customFormat="1" x14ac:dyDescent="0.25">
      <c r="B573" s="287" t="s">
        <v>1298</v>
      </c>
      <c r="C573" s="287" t="s">
        <v>1299</v>
      </c>
      <c r="D573" s="274" t="s">
        <v>3640</v>
      </c>
      <c r="E573" s="274"/>
      <c r="F573" s="274"/>
      <c r="G573" s="283"/>
      <c r="H573" s="266"/>
      <c r="I573" s="274"/>
      <c r="J573" s="281"/>
      <c r="K573" s="281"/>
      <c r="L573" s="288" t="s">
        <v>3641</v>
      </c>
      <c r="M573" s="284" t="s">
        <v>2962</v>
      </c>
      <c r="N573" s="270">
        <f t="shared" si="74"/>
        <v>0</v>
      </c>
      <c r="O573" s="270">
        <f t="shared" si="75"/>
        <v>0</v>
      </c>
      <c r="P573" s="271">
        <f t="shared" si="76"/>
        <v>0</v>
      </c>
      <c r="Q573" s="532"/>
      <c r="R573" s="354">
        <f>IF(ISERROR(VLOOKUP("SOC"&amp;$C573,ESTR_PREC_SP!$A$2:$G$2000,4,FALSE))=TRUE,0,VLOOKUP("SOC"&amp;$C573,ESTR_PREC_SP!$A$2:$G$2000,4,FALSE))</f>
        <v>0</v>
      </c>
      <c r="S573" s="521"/>
      <c r="T573" s="532"/>
      <c r="U573" s="532"/>
      <c r="V573" s="527"/>
      <c r="W573" s="527"/>
      <c r="X573" s="527"/>
      <c r="Y573" s="527"/>
      <c r="Z573" s="526">
        <f t="shared" si="77"/>
        <v>0</v>
      </c>
      <c r="AA573" s="527"/>
      <c r="AB573" s="527"/>
    </row>
    <row r="574" spans="2:28" s="204" customFormat="1" x14ac:dyDescent="0.25">
      <c r="B574" s="287" t="s">
        <v>1302</v>
      </c>
      <c r="C574" s="287" t="s">
        <v>1303</v>
      </c>
      <c r="D574" s="274" t="s">
        <v>3642</v>
      </c>
      <c r="E574" s="274"/>
      <c r="F574" s="274"/>
      <c r="G574" s="283"/>
      <c r="H574" s="266"/>
      <c r="I574" s="274"/>
      <c r="J574" s="281"/>
      <c r="K574" s="281"/>
      <c r="L574" s="288" t="s">
        <v>3643</v>
      </c>
      <c r="M574" s="284" t="s">
        <v>2962</v>
      </c>
      <c r="N574" s="270">
        <f t="shared" si="74"/>
        <v>0</v>
      </c>
      <c r="O574" s="270">
        <f t="shared" si="75"/>
        <v>0</v>
      </c>
      <c r="P574" s="271">
        <f t="shared" si="76"/>
        <v>0</v>
      </c>
      <c r="Q574" s="532"/>
      <c r="R574" s="354">
        <f>IF(ISERROR(VLOOKUP("SOC"&amp;$C574,ESTR_PREC_SP!$A$2:$G$2000,4,FALSE))=TRUE,0,VLOOKUP("SOC"&amp;$C574,ESTR_PREC_SP!$A$2:$G$2000,4,FALSE))</f>
        <v>0</v>
      </c>
      <c r="S574" s="521"/>
      <c r="T574" s="532"/>
      <c r="U574" s="532"/>
      <c r="V574" s="527"/>
      <c r="W574" s="527"/>
      <c r="X574" s="527"/>
      <c r="Y574" s="527"/>
      <c r="Z574" s="526">
        <f t="shared" si="77"/>
        <v>0</v>
      </c>
      <c r="AA574" s="527"/>
      <c r="AB574" s="527"/>
    </row>
    <row r="575" spans="2:28" s="204" customFormat="1" x14ac:dyDescent="0.25">
      <c r="B575" s="287" t="s">
        <v>1306</v>
      </c>
      <c r="C575" s="287" t="s">
        <v>1307</v>
      </c>
      <c r="D575" s="274" t="s">
        <v>3644</v>
      </c>
      <c r="E575" s="274"/>
      <c r="F575" s="274"/>
      <c r="G575" s="283"/>
      <c r="H575" s="266"/>
      <c r="I575" s="274"/>
      <c r="J575" s="281"/>
      <c r="K575" s="281"/>
      <c r="L575" s="288" t="s">
        <v>3645</v>
      </c>
      <c r="M575" s="284" t="s">
        <v>2962</v>
      </c>
      <c r="N575" s="270">
        <f t="shared" si="74"/>
        <v>0</v>
      </c>
      <c r="O575" s="270">
        <f t="shared" si="75"/>
        <v>0</v>
      </c>
      <c r="P575" s="271">
        <f t="shared" si="76"/>
        <v>0</v>
      </c>
      <c r="Q575" s="532"/>
      <c r="R575" s="354">
        <f>IF(ISERROR(VLOOKUP("SOC"&amp;$C575,ESTR_PREC_SP!$A$2:$G$2000,4,FALSE))=TRUE,0,VLOOKUP("SOC"&amp;$C575,ESTR_PREC_SP!$A$2:$G$2000,4,FALSE))</f>
        <v>0</v>
      </c>
      <c r="S575" s="521"/>
      <c r="T575" s="532"/>
      <c r="U575" s="532"/>
      <c r="V575" s="527"/>
      <c r="W575" s="527"/>
      <c r="X575" s="527"/>
      <c r="Y575" s="527"/>
      <c r="Z575" s="526">
        <f t="shared" si="77"/>
        <v>0</v>
      </c>
      <c r="AA575" s="527"/>
      <c r="AB575" s="527"/>
    </row>
    <row r="576" spans="2:28" s="204" customFormat="1" x14ac:dyDescent="0.25">
      <c r="B576" s="287" t="s">
        <v>1309</v>
      </c>
      <c r="C576" s="287" t="s">
        <v>1310</v>
      </c>
      <c r="D576" s="274" t="s">
        <v>3646</v>
      </c>
      <c r="E576" s="274"/>
      <c r="F576" s="274"/>
      <c r="G576" s="283"/>
      <c r="H576" s="266"/>
      <c r="I576" s="274"/>
      <c r="J576" s="281"/>
      <c r="K576" s="281"/>
      <c r="L576" s="288" t="s">
        <v>3647</v>
      </c>
      <c r="M576" s="284" t="s">
        <v>2962</v>
      </c>
      <c r="N576" s="270">
        <f t="shared" si="74"/>
        <v>0</v>
      </c>
      <c r="O576" s="270">
        <f t="shared" si="75"/>
        <v>0</v>
      </c>
      <c r="P576" s="271">
        <f t="shared" si="76"/>
        <v>0</v>
      </c>
      <c r="Q576" s="532"/>
      <c r="R576" s="354">
        <f>IF(ISERROR(VLOOKUP("SOC"&amp;$C576,ESTR_PREC_SP!$A$2:$G$2000,4,FALSE))=TRUE,0,VLOOKUP("SOC"&amp;$C576,ESTR_PREC_SP!$A$2:$G$2000,4,FALSE))</f>
        <v>0</v>
      </c>
      <c r="S576" s="521"/>
      <c r="T576" s="532"/>
      <c r="U576" s="532"/>
      <c r="V576" s="527"/>
      <c r="W576" s="527"/>
      <c r="X576" s="527"/>
      <c r="Y576" s="527"/>
      <c r="Z576" s="526">
        <f t="shared" si="77"/>
        <v>0</v>
      </c>
      <c r="AA576" s="527"/>
      <c r="AB576" s="527"/>
    </row>
    <row r="577" spans="2:38" s="204" customFormat="1" x14ac:dyDescent="0.25">
      <c r="B577" s="287" t="s">
        <v>1313</v>
      </c>
      <c r="C577" s="287" t="s">
        <v>1314</v>
      </c>
      <c r="D577" s="274" t="s">
        <v>3648</v>
      </c>
      <c r="E577" s="274"/>
      <c r="F577" s="274"/>
      <c r="G577" s="283"/>
      <c r="H577" s="266"/>
      <c r="I577" s="274"/>
      <c r="J577" s="281"/>
      <c r="K577" s="281"/>
      <c r="L577" s="288" t="s">
        <v>3649</v>
      </c>
      <c r="M577" s="284" t="s">
        <v>2962</v>
      </c>
      <c r="N577" s="270">
        <f t="shared" si="74"/>
        <v>0</v>
      </c>
      <c r="O577" s="270">
        <f t="shared" si="75"/>
        <v>0</v>
      </c>
      <c r="P577" s="271">
        <f t="shared" si="76"/>
        <v>0</v>
      </c>
      <c r="Q577" s="532"/>
      <c r="R577" s="354">
        <f>IF(ISERROR(VLOOKUP("SOC"&amp;$C577,ESTR_PREC_SP!$A$2:$G$2000,4,FALSE))=TRUE,0,VLOOKUP("SOC"&amp;$C577,ESTR_PREC_SP!$A$2:$G$2000,4,FALSE))</f>
        <v>0</v>
      </c>
      <c r="S577" s="521"/>
      <c r="T577" s="532"/>
      <c r="U577" s="532"/>
      <c r="V577" s="527"/>
      <c r="W577" s="527"/>
      <c r="X577" s="527"/>
      <c r="Y577" s="527"/>
      <c r="Z577" s="526">
        <f t="shared" si="77"/>
        <v>0</v>
      </c>
      <c r="AA577" s="527"/>
      <c r="AB577" s="527"/>
    </row>
    <row r="578" spans="2:38" s="204" customFormat="1" x14ac:dyDescent="0.25">
      <c r="B578" s="287" t="s">
        <v>1316</v>
      </c>
      <c r="C578" s="287" t="s">
        <v>1317</v>
      </c>
      <c r="D578" s="274" t="s">
        <v>3650</v>
      </c>
      <c r="E578" s="274"/>
      <c r="F578" s="274"/>
      <c r="G578" s="283"/>
      <c r="H578" s="266"/>
      <c r="I578" s="274"/>
      <c r="J578" s="281"/>
      <c r="K578" s="281"/>
      <c r="L578" s="295" t="s">
        <v>3651</v>
      </c>
      <c r="M578" s="284" t="s">
        <v>2962</v>
      </c>
      <c r="N578" s="270">
        <f t="shared" si="74"/>
        <v>0</v>
      </c>
      <c r="O578" s="270">
        <f t="shared" si="75"/>
        <v>0</v>
      </c>
      <c r="P578" s="271">
        <f t="shared" si="76"/>
        <v>0</v>
      </c>
      <c r="Q578" s="532"/>
      <c r="R578" s="354">
        <f>IF(ISERROR(VLOOKUP("SOC"&amp;$C578,ESTR_PREC_SP!$A$2:$G$2000,4,FALSE))=TRUE,0,VLOOKUP("SOC"&amp;$C578,ESTR_PREC_SP!$A$2:$G$2000,4,FALSE))</f>
        <v>0</v>
      </c>
      <c r="S578" s="521"/>
      <c r="T578" s="532"/>
      <c r="U578" s="532"/>
      <c r="V578" s="527"/>
      <c r="W578" s="527"/>
      <c r="X578" s="527"/>
      <c r="Y578" s="527"/>
      <c r="Z578" s="526">
        <f t="shared" si="77"/>
        <v>0</v>
      </c>
      <c r="AA578" s="527"/>
      <c r="AB578" s="527"/>
    </row>
    <row r="579" spans="2:38" s="204" customFormat="1" x14ac:dyDescent="0.25">
      <c r="B579" s="287" t="s">
        <v>1320</v>
      </c>
      <c r="C579" s="287" t="s">
        <v>1321</v>
      </c>
      <c r="D579" s="274" t="s">
        <v>3652</v>
      </c>
      <c r="E579" s="274"/>
      <c r="F579" s="274"/>
      <c r="G579" s="283"/>
      <c r="H579" s="266"/>
      <c r="I579" s="274"/>
      <c r="J579" s="281"/>
      <c r="K579" s="281"/>
      <c r="L579" s="295" t="s">
        <v>3653</v>
      </c>
      <c r="M579" s="284" t="s">
        <v>2962</v>
      </c>
      <c r="N579" s="270">
        <f t="shared" si="74"/>
        <v>0</v>
      </c>
      <c r="O579" s="270">
        <f t="shared" si="75"/>
        <v>0</v>
      </c>
      <c r="P579" s="271">
        <f t="shared" si="76"/>
        <v>0</v>
      </c>
      <c r="Q579" s="532"/>
      <c r="R579" s="354">
        <f>IF(ISERROR(VLOOKUP("SOC"&amp;$C579,ESTR_PREC_SP!$A$2:$G$2000,4,FALSE))=TRUE,0,VLOOKUP("SOC"&amp;$C579,ESTR_PREC_SP!$A$2:$G$2000,4,FALSE))</f>
        <v>0</v>
      </c>
      <c r="S579" s="521"/>
      <c r="T579" s="532"/>
      <c r="U579" s="532"/>
      <c r="V579" s="527"/>
      <c r="W579" s="527"/>
      <c r="X579" s="527"/>
      <c r="Y579" s="527"/>
      <c r="Z579" s="526">
        <f t="shared" si="77"/>
        <v>0</v>
      </c>
      <c r="AA579" s="527"/>
      <c r="AB579" s="527"/>
    </row>
    <row r="580" spans="2:38" s="204" customFormat="1" ht="25.5" x14ac:dyDescent="0.25">
      <c r="B580" s="287" t="s">
        <v>1323</v>
      </c>
      <c r="C580" s="287" t="s">
        <v>1324</v>
      </c>
      <c r="D580" s="274" t="s">
        <v>3654</v>
      </c>
      <c r="E580" s="274"/>
      <c r="F580" s="274"/>
      <c r="G580" s="283"/>
      <c r="H580" s="266"/>
      <c r="I580" s="274"/>
      <c r="J580" s="281"/>
      <c r="K580" s="281"/>
      <c r="L580" s="295" t="s">
        <v>3655</v>
      </c>
      <c r="M580" s="284" t="s">
        <v>2962</v>
      </c>
      <c r="N580" s="270">
        <f t="shared" si="74"/>
        <v>0</v>
      </c>
      <c r="O580" s="270">
        <f t="shared" si="75"/>
        <v>0</v>
      </c>
      <c r="P580" s="271">
        <f t="shared" si="76"/>
        <v>0</v>
      </c>
      <c r="Q580" s="532"/>
      <c r="R580" s="354">
        <f>IF(ISERROR(VLOOKUP("SOC"&amp;$C580,ESTR_PREC_SP!$A$2:$G$2000,4,FALSE))=TRUE,0,VLOOKUP("SOC"&amp;$C580,ESTR_PREC_SP!$A$2:$G$2000,4,FALSE))</f>
        <v>0</v>
      </c>
      <c r="S580" s="521"/>
      <c r="T580" s="532"/>
      <c r="U580" s="532"/>
      <c r="V580" s="527"/>
      <c r="W580" s="527"/>
      <c r="X580" s="527"/>
      <c r="Y580" s="527"/>
      <c r="Z580" s="526">
        <f t="shared" si="77"/>
        <v>0</v>
      </c>
      <c r="AA580" s="527"/>
      <c r="AB580" s="527"/>
    </row>
    <row r="581" spans="2:38" s="204" customFormat="1" x14ac:dyDescent="0.25">
      <c r="B581" s="287" t="s">
        <v>1326</v>
      </c>
      <c r="C581" s="287" t="s">
        <v>1327</v>
      </c>
      <c r="D581" s="274" t="s">
        <v>3656</v>
      </c>
      <c r="E581" s="274"/>
      <c r="F581" s="274"/>
      <c r="G581" s="283"/>
      <c r="H581" s="266"/>
      <c r="I581" s="274"/>
      <c r="J581" s="281"/>
      <c r="K581" s="281"/>
      <c r="L581" s="295" t="s">
        <v>3657</v>
      </c>
      <c r="M581" s="284" t="s">
        <v>2962</v>
      </c>
      <c r="N581" s="270">
        <f t="shared" si="74"/>
        <v>0</v>
      </c>
      <c r="O581" s="270">
        <f t="shared" si="75"/>
        <v>0</v>
      </c>
      <c r="P581" s="271">
        <f t="shared" si="76"/>
        <v>0</v>
      </c>
      <c r="Q581" s="532"/>
      <c r="R581" s="354">
        <f>IF(ISERROR(VLOOKUP("SOC"&amp;$C581,ESTR_PREC_SP!$A$2:$G$2000,4,FALSE))=TRUE,0,VLOOKUP("SOC"&amp;$C581,ESTR_PREC_SP!$A$2:$G$2000,4,FALSE))</f>
        <v>0</v>
      </c>
      <c r="S581" s="521"/>
      <c r="T581" s="532"/>
      <c r="U581" s="532"/>
      <c r="V581" s="527"/>
      <c r="W581" s="527"/>
      <c r="X581" s="527"/>
      <c r="Y581" s="527"/>
      <c r="Z581" s="526">
        <f t="shared" si="77"/>
        <v>0</v>
      </c>
      <c r="AA581" s="527"/>
      <c r="AB581" s="527"/>
    </row>
    <row r="582" spans="2:38" s="204" customFormat="1" x14ac:dyDescent="0.25">
      <c r="B582" s="287" t="s">
        <v>1329</v>
      </c>
      <c r="C582" s="287" t="s">
        <v>1330</v>
      </c>
      <c r="D582" s="274" t="s">
        <v>3658</v>
      </c>
      <c r="E582" s="274"/>
      <c r="F582" s="274"/>
      <c r="G582" s="283"/>
      <c r="H582" s="266"/>
      <c r="I582" s="274"/>
      <c r="J582" s="281"/>
      <c r="K582" s="281"/>
      <c r="L582" s="295" t="s">
        <v>3659</v>
      </c>
      <c r="M582" s="284" t="s">
        <v>2962</v>
      </c>
      <c r="N582" s="270">
        <f t="shared" si="74"/>
        <v>0</v>
      </c>
      <c r="O582" s="270">
        <f t="shared" si="75"/>
        <v>0</v>
      </c>
      <c r="P582" s="271">
        <f t="shared" si="76"/>
        <v>0</v>
      </c>
      <c r="Q582" s="532"/>
      <c r="R582" s="354">
        <f>IF(ISERROR(VLOOKUP("SOC"&amp;$C582,ESTR_PREC_SP!$A$2:$G$2000,4,FALSE))=TRUE,0,VLOOKUP("SOC"&amp;$C582,ESTR_PREC_SP!$A$2:$G$2000,4,FALSE))</f>
        <v>0</v>
      </c>
      <c r="S582" s="521"/>
      <c r="T582" s="532"/>
      <c r="U582" s="532"/>
      <c r="V582" s="527"/>
      <c r="W582" s="527"/>
      <c r="X582" s="527"/>
      <c r="Y582" s="527"/>
      <c r="Z582" s="526">
        <f t="shared" si="77"/>
        <v>0</v>
      </c>
      <c r="AA582" s="527"/>
      <c r="AB582" s="527"/>
    </row>
    <row r="583" spans="2:38" s="204" customFormat="1" x14ac:dyDescent="0.25">
      <c r="B583" s="287" t="s">
        <v>1332</v>
      </c>
      <c r="C583" s="287" t="s">
        <v>1333</v>
      </c>
      <c r="D583" s="274" t="s">
        <v>3660</v>
      </c>
      <c r="E583" s="274"/>
      <c r="F583" s="274"/>
      <c r="G583" s="283"/>
      <c r="H583" s="266"/>
      <c r="I583" s="274"/>
      <c r="J583" s="281"/>
      <c r="K583" s="281"/>
      <c r="L583" s="295" t="s">
        <v>3661</v>
      </c>
      <c r="M583" s="284" t="s">
        <v>2962</v>
      </c>
      <c r="N583" s="270">
        <f t="shared" si="74"/>
        <v>0</v>
      </c>
      <c r="O583" s="270">
        <f t="shared" si="75"/>
        <v>0</v>
      </c>
      <c r="P583" s="271">
        <f t="shared" si="76"/>
        <v>0</v>
      </c>
      <c r="Q583" s="532"/>
      <c r="R583" s="354">
        <f>IF(ISERROR(VLOOKUP("SOC"&amp;$C583,ESTR_PREC_SP!$A$2:$G$2000,4,FALSE))=TRUE,0,VLOOKUP("SOC"&amp;$C583,ESTR_PREC_SP!$A$2:$G$2000,4,FALSE))</f>
        <v>0</v>
      </c>
      <c r="S583" s="521"/>
      <c r="T583" s="532"/>
      <c r="U583" s="532"/>
      <c r="V583" s="527"/>
      <c r="W583" s="527"/>
      <c r="X583" s="527"/>
      <c r="Y583" s="527"/>
      <c r="Z583" s="526">
        <f t="shared" si="77"/>
        <v>0</v>
      </c>
      <c r="AA583" s="527"/>
      <c r="AB583" s="527"/>
    </row>
    <row r="584" spans="2:38" s="204" customFormat="1" x14ac:dyDescent="0.25">
      <c r="B584" s="287" t="s">
        <v>1335</v>
      </c>
      <c r="C584" s="287" t="s">
        <v>1336</v>
      </c>
      <c r="D584" s="274" t="s">
        <v>3662</v>
      </c>
      <c r="E584" s="274"/>
      <c r="F584" s="274"/>
      <c r="G584" s="283"/>
      <c r="H584" s="266"/>
      <c r="I584" s="274"/>
      <c r="J584" s="281"/>
      <c r="K584" s="281"/>
      <c r="L584" s="295" t="s">
        <v>3663</v>
      </c>
      <c r="M584" s="284" t="s">
        <v>2962</v>
      </c>
      <c r="N584" s="270">
        <f t="shared" si="74"/>
        <v>0</v>
      </c>
      <c r="O584" s="270">
        <f t="shared" si="75"/>
        <v>0</v>
      </c>
      <c r="P584" s="271">
        <f t="shared" si="76"/>
        <v>0</v>
      </c>
      <c r="Q584" s="532"/>
      <c r="R584" s="354">
        <f>IF(ISERROR(VLOOKUP("SOC"&amp;$C584,ESTR_PREC_SP!$A$2:$G$2000,4,FALSE))=TRUE,0,VLOOKUP("SOC"&amp;$C584,ESTR_PREC_SP!$A$2:$G$2000,4,FALSE))</f>
        <v>0</v>
      </c>
      <c r="S584" s="521"/>
      <c r="T584" s="532"/>
      <c r="U584" s="532"/>
      <c r="V584" s="527"/>
      <c r="W584" s="527"/>
      <c r="X584" s="527"/>
      <c r="Y584" s="527"/>
      <c r="Z584" s="526">
        <f t="shared" si="77"/>
        <v>0</v>
      </c>
      <c r="AA584" s="527"/>
      <c r="AB584" s="527"/>
    </row>
    <row r="585" spans="2:38" s="204" customFormat="1" x14ac:dyDescent="0.25">
      <c r="B585" s="287" t="s">
        <v>1339</v>
      </c>
      <c r="C585" s="287" t="s">
        <v>1340</v>
      </c>
      <c r="D585" s="274" t="s">
        <v>3664</v>
      </c>
      <c r="E585" s="274"/>
      <c r="F585" s="274"/>
      <c r="G585" s="283"/>
      <c r="H585" s="266"/>
      <c r="I585" s="274"/>
      <c r="J585" s="281"/>
      <c r="K585" s="281"/>
      <c r="L585" s="295" t="s">
        <v>3665</v>
      </c>
      <c r="M585" s="284" t="s">
        <v>2962</v>
      </c>
      <c r="N585" s="270">
        <f t="shared" si="74"/>
        <v>0</v>
      </c>
      <c r="O585" s="270">
        <f t="shared" si="75"/>
        <v>0</v>
      </c>
      <c r="P585" s="271">
        <f t="shared" si="76"/>
        <v>0</v>
      </c>
      <c r="Q585" s="532"/>
      <c r="R585" s="354">
        <f>IF(ISERROR(VLOOKUP("SOC"&amp;$C585,ESTR_PREC_SP!$A$2:$G$2000,4,FALSE))=TRUE,0,VLOOKUP("SOC"&amp;$C585,ESTR_PREC_SP!$A$2:$G$2000,4,FALSE))</f>
        <v>0</v>
      </c>
      <c r="S585" s="521"/>
      <c r="T585" s="532"/>
      <c r="U585" s="532"/>
      <c r="V585" s="527"/>
      <c r="W585" s="527"/>
      <c r="X585" s="527"/>
      <c r="Y585" s="527"/>
      <c r="Z585" s="526">
        <f t="shared" si="77"/>
        <v>0</v>
      </c>
      <c r="AA585" s="527"/>
      <c r="AB585" s="527"/>
    </row>
    <row r="586" spans="2:38" s="204" customFormat="1" x14ac:dyDescent="0.25">
      <c r="B586" s="287" t="s">
        <v>1342</v>
      </c>
      <c r="C586" s="287" t="s">
        <v>1343</v>
      </c>
      <c r="D586" s="274" t="s">
        <v>3666</v>
      </c>
      <c r="E586" s="274"/>
      <c r="F586" s="274"/>
      <c r="G586" s="283"/>
      <c r="H586" s="266"/>
      <c r="I586" s="274"/>
      <c r="J586" s="281"/>
      <c r="K586" s="281"/>
      <c r="L586" s="372" t="s">
        <v>3667</v>
      </c>
      <c r="M586" s="373" t="s">
        <v>2962</v>
      </c>
      <c r="N586" s="270">
        <f t="shared" si="74"/>
        <v>0</v>
      </c>
      <c r="O586" s="270">
        <f t="shared" si="75"/>
        <v>0</v>
      </c>
      <c r="P586" s="374">
        <f t="shared" si="76"/>
        <v>0</v>
      </c>
      <c r="Q586" s="285"/>
      <c r="R586" s="354">
        <f>IF(ISERROR(VLOOKUP("SOC"&amp;$C586,ESTR_PREC_SP!$A$2:$G$2000,4,FALSE))=TRUE,0,VLOOKUP("SOC"&amp;$C586,ESTR_PREC_SP!$A$2:$G$2000,4,FALSE))</f>
        <v>0</v>
      </c>
      <c r="S586" s="211"/>
      <c r="T586" s="211"/>
      <c r="U586" s="211"/>
      <c r="V586" s="211"/>
      <c r="W586" s="211"/>
      <c r="X586" s="211"/>
      <c r="Y586" s="211"/>
      <c r="Z586" s="527">
        <f t="shared" si="77"/>
        <v>0</v>
      </c>
      <c r="AA586" s="211"/>
    </row>
    <row r="587" spans="2:38" s="204" customFormat="1" x14ac:dyDescent="0.25">
      <c r="B587" s="278"/>
      <c r="C587" s="278"/>
      <c r="D587" s="278"/>
      <c r="E587" s="278"/>
      <c r="F587" s="278"/>
      <c r="G587" s="278"/>
      <c r="H587" s="375"/>
      <c r="I587" s="278"/>
      <c r="J587" s="278"/>
      <c r="K587" s="278"/>
      <c r="L587" s="241"/>
      <c r="M587" s="278"/>
      <c r="N587" s="279"/>
      <c r="O587" s="211"/>
      <c r="P587" s="211"/>
      <c r="Q587" s="285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2:38" s="204" customFormat="1" x14ac:dyDescent="0.25">
      <c r="B588" s="278"/>
      <c r="C588" s="278"/>
      <c r="D588" s="278"/>
      <c r="E588" s="278"/>
      <c r="F588" s="278"/>
      <c r="G588" s="278"/>
      <c r="H588" s="375"/>
      <c r="I588" s="278"/>
      <c r="J588" s="278"/>
      <c r="K588" s="278"/>
      <c r="L588" s="241"/>
      <c r="M588" s="278"/>
      <c r="N588" s="279"/>
      <c r="O588" s="211"/>
      <c r="P588" s="211"/>
      <c r="Q588" s="285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2:38" s="204" customFormat="1" ht="26.25" x14ac:dyDescent="0.25">
      <c r="B589" s="333"/>
      <c r="C589" s="333"/>
      <c r="D589" s="333"/>
      <c r="E589" s="333"/>
      <c r="F589" s="333"/>
      <c r="G589" s="333"/>
      <c r="H589" s="376"/>
      <c r="I589" s="333"/>
      <c r="J589" s="333"/>
      <c r="K589" s="333"/>
      <c r="L589" s="243"/>
      <c r="M589" s="244"/>
      <c r="N589" s="245" t="str">
        <f>N$15</f>
        <v>Valore netto al 31/12/2019</v>
      </c>
      <c r="O589" s="331" t="str">
        <f>O$15</f>
        <v>Valore netto al 31/12/2020</v>
      </c>
      <c r="P589" s="245" t="str">
        <f>P$15</f>
        <v>Variazione</v>
      </c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2:38" s="204" customFormat="1" x14ac:dyDescent="0.25">
      <c r="B590" s="246" t="s">
        <v>1348</v>
      </c>
      <c r="C590" s="246" t="s">
        <v>1349</v>
      </c>
      <c r="D590" s="247" t="s">
        <v>3668</v>
      </c>
      <c r="E590" s="247"/>
      <c r="F590" s="247"/>
      <c r="G590" s="247"/>
      <c r="H590" s="248"/>
      <c r="I590" s="247"/>
      <c r="J590" s="247"/>
      <c r="K590" s="249"/>
      <c r="L590" s="250" t="s">
        <v>1350</v>
      </c>
      <c r="M590" s="251" t="s">
        <v>2962</v>
      </c>
      <c r="N590" s="252">
        <f>+N592+N614+N653+N656+N685+N697+N702</f>
        <v>0</v>
      </c>
      <c r="O590" s="252">
        <f>+O592+O614+O653+O656+O685+O697+O702</f>
        <v>0</v>
      </c>
      <c r="P590" s="253">
        <f>+O590-N590</f>
        <v>0</v>
      </c>
      <c r="Q590" s="285"/>
      <c r="R590" s="211"/>
      <c r="S590" s="224">
        <f>S592+S614+S653+S656+S685+S697+S702</f>
        <v>0</v>
      </c>
      <c r="T590" s="211"/>
      <c r="U590" s="211"/>
      <c r="V590" s="211"/>
      <c r="W590" s="211"/>
      <c r="X590" s="211"/>
      <c r="Y590" s="211"/>
      <c r="Z590" s="211"/>
      <c r="AA590" s="211"/>
    </row>
    <row r="591" spans="2:38" s="204" customFormat="1" x14ac:dyDescent="0.25">
      <c r="B591" s="230"/>
      <c r="C591" s="230"/>
      <c r="D591" s="230"/>
      <c r="E591" s="230"/>
      <c r="F591" s="230"/>
      <c r="G591" s="230"/>
      <c r="H591" s="231"/>
      <c r="I591" s="230"/>
      <c r="J591" s="230"/>
      <c r="K591" s="230"/>
      <c r="L591" s="232"/>
      <c r="M591" s="211"/>
      <c r="N591" s="254"/>
      <c r="O591" s="211"/>
      <c r="P591" s="211"/>
      <c r="Q591" s="211"/>
      <c r="R591" s="211"/>
      <c r="S591" s="211"/>
      <c r="T591" s="216"/>
      <c r="U591" s="216"/>
      <c r="V591" s="216"/>
      <c r="W591" s="216"/>
      <c r="X591" s="216"/>
      <c r="Y591" s="216"/>
      <c r="Z591" s="211"/>
      <c r="AA591" s="211"/>
    </row>
    <row r="592" spans="2:38" s="204" customFormat="1" x14ac:dyDescent="0.25">
      <c r="B592" s="246" t="s">
        <v>1351</v>
      </c>
      <c r="C592" s="246" t="s">
        <v>1352</v>
      </c>
      <c r="D592" s="247" t="s">
        <v>3669</v>
      </c>
      <c r="E592" s="247"/>
      <c r="F592" s="247"/>
      <c r="G592" s="247"/>
      <c r="H592" s="248"/>
      <c r="I592" s="247"/>
      <c r="J592" s="247"/>
      <c r="K592" s="249"/>
      <c r="L592" s="276" t="s">
        <v>1353</v>
      </c>
      <c r="M592" s="251" t="s">
        <v>2962</v>
      </c>
      <c r="N592" s="252">
        <f>+SUM(N596:N598)+SUM(N601:N607)+N612</f>
        <v>0</v>
      </c>
      <c r="O592" s="252">
        <f>+SUM(O596:O598)+SUM(O601:O607)+O612</f>
        <v>0</v>
      </c>
      <c r="P592" s="253">
        <f>+O592-N592</f>
        <v>0</v>
      </c>
      <c r="Q592" s="252">
        <f t="shared" ref="Q592:AA592" si="78">+SUM(Q596:Q598)+SUM(Q601:Q607)+Q612</f>
        <v>0</v>
      </c>
      <c r="R592" s="252">
        <f t="shared" si="78"/>
        <v>0</v>
      </c>
      <c r="S592" s="252">
        <f t="shared" si="78"/>
        <v>0</v>
      </c>
      <c r="T592" s="252">
        <f t="shared" si="78"/>
        <v>0</v>
      </c>
      <c r="U592" s="252">
        <f t="shared" si="78"/>
        <v>0</v>
      </c>
      <c r="V592" s="252">
        <f t="shared" si="78"/>
        <v>0</v>
      </c>
      <c r="W592" s="252">
        <f t="shared" si="78"/>
        <v>0</v>
      </c>
      <c r="X592" s="252">
        <f t="shared" si="78"/>
        <v>0</v>
      </c>
      <c r="Y592" s="252">
        <f t="shared" si="78"/>
        <v>0</v>
      </c>
      <c r="Z592" s="252">
        <f t="shared" si="78"/>
        <v>0</v>
      </c>
      <c r="AA592" s="252">
        <f t="shared" si="78"/>
        <v>0</v>
      </c>
      <c r="AB592" s="252">
        <f t="shared" ref="AB592:AL592" si="79">+SUM(AC596:AC598)+SUM(AC601:AC607)+AC612</f>
        <v>0</v>
      </c>
      <c r="AC592" s="252">
        <f t="shared" si="79"/>
        <v>0</v>
      </c>
      <c r="AD592" s="252">
        <f t="shared" si="79"/>
        <v>0</v>
      </c>
      <c r="AE592" s="252">
        <f t="shared" si="79"/>
        <v>0</v>
      </c>
      <c r="AF592" s="252">
        <f t="shared" si="79"/>
        <v>0</v>
      </c>
      <c r="AG592" s="252">
        <f t="shared" si="79"/>
        <v>0</v>
      </c>
      <c r="AH592" s="252">
        <f t="shared" si="79"/>
        <v>0</v>
      </c>
      <c r="AI592" s="252">
        <f t="shared" si="79"/>
        <v>0</v>
      </c>
      <c r="AJ592" s="252">
        <f t="shared" si="79"/>
        <v>0</v>
      </c>
      <c r="AK592" s="252">
        <f t="shared" si="79"/>
        <v>0</v>
      </c>
      <c r="AL592" s="252">
        <f t="shared" si="79"/>
        <v>0</v>
      </c>
    </row>
    <row r="593" spans="1:39" s="204" customFormat="1" x14ac:dyDescent="0.25">
      <c r="B593" s="216"/>
      <c r="C593" s="216"/>
      <c r="D593" s="226"/>
      <c r="E593" s="226"/>
      <c r="F593" s="226"/>
      <c r="G593" s="226"/>
      <c r="H593" s="227"/>
      <c r="I593" s="226"/>
      <c r="J593" s="226"/>
      <c r="K593" s="226"/>
      <c r="L593" s="241"/>
      <c r="M593" s="278"/>
      <c r="N593" s="279"/>
      <c r="O593" s="279"/>
      <c r="P593" s="279"/>
      <c r="Q593" s="211"/>
      <c r="R593" s="279"/>
      <c r="S593" s="279"/>
      <c r="T593" s="279"/>
      <c r="U593" s="279"/>
      <c r="V593" s="279"/>
      <c r="Y593" s="279"/>
      <c r="AA593" s="275"/>
      <c r="AB593" s="279"/>
      <c r="AC593" s="211"/>
      <c r="AD593" s="211"/>
    </row>
    <row r="594" spans="1:39" s="204" customFormat="1" ht="30" customHeight="1" x14ac:dyDescent="0.25">
      <c r="B594" s="211"/>
      <c r="C594" s="211"/>
      <c r="D594" s="211"/>
      <c r="E594" s="211"/>
      <c r="F594" s="211"/>
      <c r="G594" s="211"/>
      <c r="H594" s="353"/>
      <c r="I594" s="211"/>
      <c r="J594" s="211"/>
      <c r="K594" s="211"/>
      <c r="L594" s="232"/>
      <c r="M594" s="211"/>
      <c r="N594" s="334"/>
      <c r="O594" s="211"/>
      <c r="P594" s="211"/>
      <c r="Q594" s="211"/>
      <c r="R594" s="211"/>
      <c r="S594" s="902" t="s">
        <v>3495</v>
      </c>
      <c r="T594" s="902"/>
      <c r="U594" s="902"/>
      <c r="V594" s="335" t="s">
        <v>3496</v>
      </c>
      <c r="W594" s="336"/>
      <c r="X594" s="335" t="s">
        <v>3496</v>
      </c>
      <c r="AA594" s="211"/>
      <c r="AB594" s="211"/>
      <c r="AC594" s="285"/>
      <c r="AD594" s="211"/>
      <c r="AE594" s="211"/>
      <c r="AF594" s="904" t="str">
        <f>+AE486</f>
        <v>VALORE NOMINALE DEI CREDITI AL 31/12/2020 PER ANNO DI FORMAZIONE</v>
      </c>
      <c r="AG594" s="904"/>
      <c r="AH594" s="904"/>
      <c r="AI594" s="904"/>
      <c r="AJ594" s="904"/>
      <c r="AK594" s="905" t="str">
        <f>+AJ486</f>
        <v>VALORE NETTO DEI CREDITI AL 31/12/2020 PER SCADENZA</v>
      </c>
      <c r="AL594" s="905"/>
      <c r="AM594" s="905"/>
    </row>
    <row r="595" spans="1:39" s="204" customFormat="1" ht="89.25" x14ac:dyDescent="0.25">
      <c r="B595" s="294" t="s">
        <v>2968</v>
      </c>
      <c r="C595" s="294" t="s">
        <v>2969</v>
      </c>
      <c r="D595" s="206" t="s">
        <v>72</v>
      </c>
      <c r="E595" s="206"/>
      <c r="F595" s="206"/>
      <c r="G595" s="207"/>
      <c r="H595" s="207"/>
      <c r="I595" s="207"/>
      <c r="J595" s="207" t="s">
        <v>2957</v>
      </c>
      <c r="K595" s="206" t="s">
        <v>82</v>
      </c>
      <c r="L595" s="261" t="s">
        <v>3670</v>
      </c>
      <c r="M595" s="256"/>
      <c r="N595" s="256" t="str">
        <f>N$15</f>
        <v>Valore netto al 31/12/2019</v>
      </c>
      <c r="O595" s="256" t="str">
        <f>O$15</f>
        <v>Valore netto al 31/12/2020</v>
      </c>
      <c r="P595" s="256" t="str">
        <f>P$15</f>
        <v>Variazione</v>
      </c>
      <c r="Q595" s="262" t="s">
        <v>2971</v>
      </c>
      <c r="R595" s="262" t="str">
        <f>+R487</f>
        <v>Valore iniziale LORDO al 31/12/2019</v>
      </c>
      <c r="S595" s="337" t="s">
        <v>2972</v>
      </c>
      <c r="T595" s="337" t="s">
        <v>3497</v>
      </c>
      <c r="U595" s="337" t="s">
        <v>3495</v>
      </c>
      <c r="V595" s="338" t="s">
        <v>3498</v>
      </c>
      <c r="W595" s="262" t="s">
        <v>4391</v>
      </c>
      <c r="X595" s="338" t="s">
        <v>3499</v>
      </c>
      <c r="Y595" s="262" t="str">
        <f>+Y487</f>
        <v>Valore finale LORDO al 31/12/2020</v>
      </c>
      <c r="Z595" s="377" t="s">
        <v>3671</v>
      </c>
      <c r="AA595" s="262" t="str">
        <f>+Z487</f>
        <v>Fondo svalutazione crediti al 31/12/2019</v>
      </c>
      <c r="AB595" s="262" t="s">
        <v>3500</v>
      </c>
      <c r="AC595" s="262" t="s">
        <v>3501</v>
      </c>
      <c r="AD595" s="262" t="s">
        <v>3502</v>
      </c>
      <c r="AE595" s="262" t="str">
        <f>+AD487</f>
        <v>Fondo svalutazione crediti al 31/12/2020</v>
      </c>
      <c r="AF595" s="339" t="s">
        <v>3503</v>
      </c>
      <c r="AG595" s="339" t="s">
        <v>3504</v>
      </c>
      <c r="AH595" s="339" t="s">
        <v>3505</v>
      </c>
      <c r="AI595" s="339" t="s">
        <v>3506</v>
      </c>
      <c r="AJ595" s="339" t="s">
        <v>3507</v>
      </c>
      <c r="AK595" s="340" t="s">
        <v>3508</v>
      </c>
      <c r="AL595" s="340" t="s">
        <v>3509</v>
      </c>
      <c r="AM595" s="340" t="s">
        <v>3510</v>
      </c>
    </row>
    <row r="596" spans="1:39" s="204" customFormat="1" x14ac:dyDescent="0.25">
      <c r="B596" s="287" t="s">
        <v>1354</v>
      </c>
      <c r="C596" s="287" t="s">
        <v>1355</v>
      </c>
      <c r="D596" s="274" t="s">
        <v>3672</v>
      </c>
      <c r="E596" s="274"/>
      <c r="F596" s="274"/>
      <c r="G596" s="283"/>
      <c r="H596" s="266"/>
      <c r="I596" s="274"/>
      <c r="J596" s="281"/>
      <c r="K596" s="281"/>
      <c r="L596" s="295" t="s">
        <v>1361</v>
      </c>
      <c r="M596" s="284" t="s">
        <v>2962</v>
      </c>
      <c r="N596" s="269">
        <f>+R596-AA596</f>
        <v>0</v>
      </c>
      <c r="O596" s="270">
        <f>+Y596-AE596</f>
        <v>0</v>
      </c>
      <c r="P596" s="271">
        <f t="shared" ref="P596:P612" si="80">+O596-N596</f>
        <v>0</v>
      </c>
      <c r="Q596" s="520"/>
      <c r="R596" s="354">
        <f>IF(ISERROR(VLOOKUP("SOC"&amp;$C596,ESTR_PREC_SP!$A$2:$G$2000,4,FALSE))=TRUE,0,VLOOKUP("SOC"&amp;$C596,ESTR_PREC_SP!$A$2:$G$2000,4,FALSE))</f>
        <v>0</v>
      </c>
      <c r="S596" s="520"/>
      <c r="T596" s="520"/>
      <c r="U596" s="520"/>
      <c r="V596" s="520"/>
      <c r="W596" s="520"/>
      <c r="X596" s="520"/>
      <c r="Y596" s="269">
        <f>+R596+S596+T596+U596-V596-X596+W596+Q596</f>
        <v>0</v>
      </c>
      <c r="Z596" s="534"/>
      <c r="AA596" s="354">
        <f>IF(ISERROR(VLOOKUP("SOC"&amp;$C596,ESTR_PREC_SP!$A$2:$G$2000,5,FALSE))=TRUE,0,VLOOKUP("SOC"&amp;$C596,ESTR_PREC_SP!$A$2:$G$2000,5,FALSE))</f>
        <v>0</v>
      </c>
      <c r="AB596" s="520"/>
      <c r="AC596" s="520"/>
      <c r="AD596" s="520"/>
      <c r="AE596" s="269">
        <f>+AA596+AD596-AC596+AB596</f>
        <v>0</v>
      </c>
      <c r="AF596" s="520"/>
      <c r="AG596" s="520"/>
      <c r="AH596" s="520"/>
      <c r="AI596" s="520"/>
      <c r="AJ596" s="526">
        <f>+Y596-SUM(AF596:AI596)</f>
        <v>0</v>
      </c>
      <c r="AK596" s="526">
        <f>+Y596-AE596-AL596-AM596</f>
        <v>0</v>
      </c>
      <c r="AL596" s="520"/>
      <c r="AM596" s="520"/>
    </row>
    <row r="597" spans="1:39" s="204" customFormat="1" x14ac:dyDescent="0.25">
      <c r="B597" s="287" t="s">
        <v>1362</v>
      </c>
      <c r="C597" s="287" t="s">
        <v>1363</v>
      </c>
      <c r="D597" s="274" t="s">
        <v>3673</v>
      </c>
      <c r="E597" s="274"/>
      <c r="F597" s="274"/>
      <c r="G597" s="283"/>
      <c r="H597" s="266"/>
      <c r="I597" s="274"/>
      <c r="J597" s="281"/>
      <c r="K597" s="281"/>
      <c r="L597" s="295" t="s">
        <v>1366</v>
      </c>
      <c r="M597" s="284" t="s">
        <v>2962</v>
      </c>
      <c r="N597" s="269">
        <f>+R597-AA597</f>
        <v>0</v>
      </c>
      <c r="O597" s="270">
        <f>+Y597-AE597</f>
        <v>0</v>
      </c>
      <c r="P597" s="271">
        <f t="shared" si="80"/>
        <v>0</v>
      </c>
      <c r="Q597" s="520"/>
      <c r="R597" s="354">
        <f>IF(ISERROR(VLOOKUP("SOC"&amp;$C597,ESTR_PREC_SP!$A$2:$G$2000,4,FALSE))=TRUE,0,VLOOKUP("SOC"&amp;$C597,ESTR_PREC_SP!$A$2:$G$2000,4,FALSE))</f>
        <v>0</v>
      </c>
      <c r="S597" s="520"/>
      <c r="T597" s="520"/>
      <c r="U597" s="520"/>
      <c r="V597" s="520"/>
      <c r="W597" s="520"/>
      <c r="X597" s="520"/>
      <c r="Y597" s="269">
        <f>+R597+S597+T597+U597-V597-X597+W597+Q597</f>
        <v>0</v>
      </c>
      <c r="Z597" s="534"/>
      <c r="AA597" s="354">
        <f>IF(ISERROR(VLOOKUP("SOC"&amp;$C597,ESTR_PREC_SP!$A$2:$G$2000,5,FALSE))=TRUE,0,VLOOKUP("SOC"&amp;$C597,ESTR_PREC_SP!$A$2:$G$2000,5,FALSE))</f>
        <v>0</v>
      </c>
      <c r="AB597" s="520"/>
      <c r="AC597" s="520"/>
      <c r="AD597" s="520"/>
      <c r="AE597" s="269">
        <f>+AA597+AD597-AC597+AB597</f>
        <v>0</v>
      </c>
      <c r="AF597" s="520"/>
      <c r="AG597" s="520"/>
      <c r="AH597" s="520"/>
      <c r="AI597" s="520"/>
      <c r="AJ597" s="526">
        <f>+Y597-SUM(AF597:AI597)</f>
        <v>0</v>
      </c>
      <c r="AK597" s="526">
        <f>+Y597-AE597-AL597-AM597</f>
        <v>0</v>
      </c>
      <c r="AL597" s="520"/>
      <c r="AM597" s="520"/>
    </row>
    <row r="598" spans="1:39" s="204" customFormat="1" ht="15" customHeight="1" x14ac:dyDescent="0.25">
      <c r="B598" s="287" t="s">
        <v>1367</v>
      </c>
      <c r="C598" s="287" t="s">
        <v>1368</v>
      </c>
      <c r="D598" s="274" t="s">
        <v>3674</v>
      </c>
      <c r="E598" s="274"/>
      <c r="F598" s="274"/>
      <c r="G598" s="283"/>
      <c r="H598" s="266"/>
      <c r="I598" s="274"/>
      <c r="J598" s="281"/>
      <c r="K598" s="281"/>
      <c r="L598" s="295" t="s">
        <v>1369</v>
      </c>
      <c r="M598" s="284" t="s">
        <v>2962</v>
      </c>
      <c r="N598" s="272">
        <f>SUM(N599:N600)</f>
        <v>0</v>
      </c>
      <c r="O598" s="272">
        <f>SUM(O599:O600)</f>
        <v>0</v>
      </c>
      <c r="P598" s="378">
        <f t="shared" si="80"/>
        <v>0</v>
      </c>
      <c r="Q598" s="272">
        <f t="shared" ref="Q598:X598" si="81">SUM(Q599:Q600)</f>
        <v>0</v>
      </c>
      <c r="R598" s="272">
        <f t="shared" si="81"/>
        <v>0</v>
      </c>
      <c r="S598" s="272">
        <f t="shared" si="81"/>
        <v>0</v>
      </c>
      <c r="T598" s="272">
        <f t="shared" si="81"/>
        <v>0</v>
      </c>
      <c r="U598" s="272">
        <f t="shared" si="81"/>
        <v>0</v>
      </c>
      <c r="V598" s="272">
        <f t="shared" si="81"/>
        <v>0</v>
      </c>
      <c r="W598" s="272">
        <f t="shared" si="81"/>
        <v>0</v>
      </c>
      <c r="X598" s="272">
        <f t="shared" si="81"/>
        <v>0</v>
      </c>
      <c r="Y598" s="272">
        <f>+R598+S598+T598+U598-V598-X598+W598</f>
        <v>0</v>
      </c>
      <c r="Z598" s="272">
        <f t="shared" ref="Z598:AM598" si="82">SUM(Z599:Z600)</f>
        <v>0</v>
      </c>
      <c r="AA598" s="272">
        <f t="shared" si="82"/>
        <v>0</v>
      </c>
      <c r="AB598" s="272">
        <f t="shared" si="82"/>
        <v>0</v>
      </c>
      <c r="AC598" s="272">
        <f t="shared" si="82"/>
        <v>0</v>
      </c>
      <c r="AD598" s="272">
        <f t="shared" si="82"/>
        <v>0</v>
      </c>
      <c r="AE598" s="272">
        <f t="shared" si="82"/>
        <v>0</v>
      </c>
      <c r="AF598" s="272">
        <f t="shared" si="82"/>
        <v>0</v>
      </c>
      <c r="AG598" s="272">
        <f t="shared" si="82"/>
        <v>0</v>
      </c>
      <c r="AH598" s="272">
        <f t="shared" si="82"/>
        <v>0</v>
      </c>
      <c r="AI598" s="272">
        <f t="shared" si="82"/>
        <v>0</v>
      </c>
      <c r="AJ598" s="272">
        <f t="shared" si="82"/>
        <v>0</v>
      </c>
      <c r="AK598" s="272">
        <f t="shared" si="82"/>
        <v>0</v>
      </c>
      <c r="AL598" s="272">
        <f t="shared" si="82"/>
        <v>0</v>
      </c>
      <c r="AM598" s="272">
        <f t="shared" si="82"/>
        <v>0</v>
      </c>
    </row>
    <row r="599" spans="1:39" s="204" customFormat="1" ht="15" customHeight="1" x14ac:dyDescent="0.25">
      <c r="B599" s="287" t="s">
        <v>1370</v>
      </c>
      <c r="C599" s="287" t="s">
        <v>1371</v>
      </c>
      <c r="D599" s="274" t="s">
        <v>3675</v>
      </c>
      <c r="E599" s="274"/>
      <c r="F599" s="274"/>
      <c r="G599" s="283"/>
      <c r="H599" s="266"/>
      <c r="I599" s="274"/>
      <c r="J599" s="281"/>
      <c r="K599" s="281"/>
      <c r="L599" s="379" t="s">
        <v>1374</v>
      </c>
      <c r="M599" s="284" t="s">
        <v>2962</v>
      </c>
      <c r="N599" s="269">
        <f t="shared" ref="N599:N612" si="83">+R599-AA599</f>
        <v>0</v>
      </c>
      <c r="O599" s="270">
        <f t="shared" ref="O599:O612" si="84">+Y599-AE599</f>
        <v>0</v>
      </c>
      <c r="P599" s="271">
        <f t="shared" si="80"/>
        <v>0</v>
      </c>
      <c r="Q599" s="520"/>
      <c r="R599" s="354">
        <f>IF(ISERROR(VLOOKUP("SOC"&amp;$C599,ESTR_PREC_SP!$A$2:$G$2000,4,FALSE))=TRUE,0,VLOOKUP("SOC"&amp;$C599,ESTR_PREC_SP!$A$2:$G$2000,4,FALSE))</f>
        <v>0</v>
      </c>
      <c r="S599" s="520"/>
      <c r="T599" s="520"/>
      <c r="U599" s="520"/>
      <c r="V599" s="520"/>
      <c r="W599" s="520"/>
      <c r="X599" s="520"/>
      <c r="Y599" s="269">
        <f t="shared" ref="Y599:Y606" si="85">+R599+S599+T599+U599-V599-X599+W599+Q599</f>
        <v>0</v>
      </c>
      <c r="Z599" s="534"/>
      <c r="AA599" s="354">
        <f>IF(ISERROR(VLOOKUP("SOC"&amp;$C599,ESTR_PREC_SP!$A$2:$G$2000,5,FALSE))=TRUE,0,VLOOKUP("SOC"&amp;$C599,ESTR_PREC_SP!$A$2:$G$2000,5,FALSE))</f>
        <v>0</v>
      </c>
      <c r="AB599" s="520"/>
      <c r="AC599" s="520"/>
      <c r="AD599" s="520"/>
      <c r="AE599" s="269">
        <f t="shared" ref="AE599:AE606" si="86">+AA599+AD599-AC599+AB599</f>
        <v>0</v>
      </c>
      <c r="AF599" s="520"/>
      <c r="AG599" s="520"/>
      <c r="AH599" s="520"/>
      <c r="AI599" s="520"/>
      <c r="AJ599" s="526">
        <f t="shared" ref="AJ599:AJ606" si="87">+Y599-SUM(AF599:AI599)</f>
        <v>0</v>
      </c>
      <c r="AK599" s="526">
        <f t="shared" ref="AK599:AK606" si="88">+Y599-AE599-AL599-AM599</f>
        <v>0</v>
      </c>
      <c r="AL599" s="520"/>
      <c r="AM599" s="520"/>
    </row>
    <row r="600" spans="1:39" s="204" customFormat="1" ht="15" customHeight="1" x14ac:dyDescent="0.25">
      <c r="B600" s="287" t="s">
        <v>1375</v>
      </c>
      <c r="C600" s="287" t="s">
        <v>1376</v>
      </c>
      <c r="D600" s="274" t="s">
        <v>3676</v>
      </c>
      <c r="E600" s="274"/>
      <c r="F600" s="274"/>
      <c r="G600" s="283"/>
      <c r="H600" s="266"/>
      <c r="I600" s="274"/>
      <c r="J600" s="281"/>
      <c r="K600" s="281"/>
      <c r="L600" s="379" t="s">
        <v>1377</v>
      </c>
      <c r="M600" s="284" t="s">
        <v>2962</v>
      </c>
      <c r="N600" s="269">
        <f t="shared" si="83"/>
        <v>0</v>
      </c>
      <c r="O600" s="270">
        <f t="shared" si="84"/>
        <v>0</v>
      </c>
      <c r="P600" s="271">
        <f t="shared" si="80"/>
        <v>0</v>
      </c>
      <c r="Q600" s="520"/>
      <c r="R600" s="354">
        <f>IF(ISERROR(VLOOKUP("SOC"&amp;$C600,ESTR_PREC_SP!$A$2:$G$2000,4,FALSE))=TRUE,0,VLOOKUP("SOC"&amp;$C600,ESTR_PREC_SP!$A$2:$G$2000,4,FALSE))</f>
        <v>0</v>
      </c>
      <c r="S600" s="520"/>
      <c r="T600" s="520"/>
      <c r="U600" s="520"/>
      <c r="V600" s="520"/>
      <c r="W600" s="520"/>
      <c r="X600" s="520"/>
      <c r="Y600" s="269">
        <f t="shared" si="85"/>
        <v>0</v>
      </c>
      <c r="Z600" s="534"/>
      <c r="AA600" s="354">
        <f>IF(ISERROR(VLOOKUP("SOC"&amp;$C600,ESTR_PREC_SP!$A$2:$G$2000,5,FALSE))=TRUE,0,VLOOKUP("SOC"&amp;$C600,ESTR_PREC_SP!$A$2:$G$2000,5,FALSE))</f>
        <v>0</v>
      </c>
      <c r="AB600" s="520"/>
      <c r="AC600" s="520"/>
      <c r="AD600" s="520"/>
      <c r="AE600" s="269">
        <f t="shared" si="86"/>
        <v>0</v>
      </c>
      <c r="AF600" s="520"/>
      <c r="AG600" s="520"/>
      <c r="AH600" s="520"/>
      <c r="AI600" s="520"/>
      <c r="AJ600" s="526">
        <f t="shared" si="87"/>
        <v>0</v>
      </c>
      <c r="AK600" s="526">
        <f t="shared" si="88"/>
        <v>0</v>
      </c>
      <c r="AL600" s="520"/>
      <c r="AM600" s="520"/>
    </row>
    <row r="601" spans="1:39" s="204" customFormat="1" ht="15" customHeight="1" x14ac:dyDescent="0.25">
      <c r="B601" s="287" t="s">
        <v>1378</v>
      </c>
      <c r="C601" s="287" t="s">
        <v>1379</v>
      </c>
      <c r="D601" s="274" t="s">
        <v>3677</v>
      </c>
      <c r="E601" s="274"/>
      <c r="F601" s="274"/>
      <c r="G601" s="283"/>
      <c r="H601" s="266"/>
      <c r="I601" s="274"/>
      <c r="J601" s="281"/>
      <c r="K601" s="281"/>
      <c r="L601" s="295" t="s">
        <v>1381</v>
      </c>
      <c r="M601" s="284" t="s">
        <v>2962</v>
      </c>
      <c r="N601" s="269">
        <f t="shared" si="83"/>
        <v>0</v>
      </c>
      <c r="O601" s="270">
        <f t="shared" si="84"/>
        <v>0</v>
      </c>
      <c r="P601" s="271">
        <f t="shared" si="80"/>
        <v>0</v>
      </c>
      <c r="Q601" s="520"/>
      <c r="R601" s="354">
        <f>IF(ISERROR(VLOOKUP("SOC"&amp;$C601,ESTR_PREC_SP!$A$2:$G$2000,4,FALSE))=TRUE,0,VLOOKUP("SOC"&amp;$C601,ESTR_PREC_SP!$A$2:$G$2000,4,FALSE))</f>
        <v>0</v>
      </c>
      <c r="S601" s="520"/>
      <c r="T601" s="520"/>
      <c r="U601" s="520"/>
      <c r="V601" s="520"/>
      <c r="W601" s="520"/>
      <c r="X601" s="520"/>
      <c r="Y601" s="269">
        <f t="shared" si="85"/>
        <v>0</v>
      </c>
      <c r="Z601" s="534"/>
      <c r="AA601" s="354">
        <f>IF(ISERROR(VLOOKUP("SOC"&amp;$C601,ESTR_PREC_SP!$A$2:$G$2000,5,FALSE))=TRUE,0,VLOOKUP("SOC"&amp;$C601,ESTR_PREC_SP!$A$2:$G$2000,5,FALSE))</f>
        <v>0</v>
      </c>
      <c r="AB601" s="520"/>
      <c r="AC601" s="520"/>
      <c r="AD601" s="520"/>
      <c r="AE601" s="269">
        <f t="shared" si="86"/>
        <v>0</v>
      </c>
      <c r="AF601" s="520"/>
      <c r="AG601" s="520"/>
      <c r="AH601" s="520"/>
      <c r="AI601" s="520"/>
      <c r="AJ601" s="526">
        <f t="shared" si="87"/>
        <v>0</v>
      </c>
      <c r="AK601" s="526">
        <f t="shared" si="88"/>
        <v>0</v>
      </c>
      <c r="AL601" s="520"/>
      <c r="AM601" s="520"/>
    </row>
    <row r="602" spans="1:39" s="204" customFormat="1" ht="30.75" customHeight="1" x14ac:dyDescent="0.25">
      <c r="B602" s="287" t="s">
        <v>1382</v>
      </c>
      <c r="C602" s="287" t="s">
        <v>1383</v>
      </c>
      <c r="D602" s="274" t="s">
        <v>3678</v>
      </c>
      <c r="E602" s="274"/>
      <c r="F602" s="274"/>
      <c r="G602" s="283"/>
      <c r="H602" s="266"/>
      <c r="I602" s="274"/>
      <c r="J602" s="281"/>
      <c r="K602" s="281"/>
      <c r="L602" s="295" t="s">
        <v>1385</v>
      </c>
      <c r="M602" s="284" t="s">
        <v>2962</v>
      </c>
      <c r="N602" s="269">
        <f t="shared" si="83"/>
        <v>0</v>
      </c>
      <c r="O602" s="270">
        <f t="shared" si="84"/>
        <v>0</v>
      </c>
      <c r="P602" s="271">
        <f t="shared" si="80"/>
        <v>0</v>
      </c>
      <c r="Q602" s="520"/>
      <c r="R602" s="354">
        <f>IF(ISERROR(VLOOKUP("SOC"&amp;$C602,ESTR_PREC_SP!$A$2:$G$2000,4,FALSE))=TRUE,0,VLOOKUP("SOC"&amp;$C602,ESTR_PREC_SP!$A$2:$G$2000,4,FALSE))</f>
        <v>0</v>
      </c>
      <c r="S602" s="520"/>
      <c r="T602" s="520"/>
      <c r="U602" s="520"/>
      <c r="V602" s="520"/>
      <c r="W602" s="520"/>
      <c r="X602" s="520"/>
      <c r="Y602" s="269">
        <f t="shared" si="85"/>
        <v>0</v>
      </c>
      <c r="Z602" s="534"/>
      <c r="AA602" s="354">
        <f>IF(ISERROR(VLOOKUP("SOC"&amp;$C602,ESTR_PREC_SP!$A$2:$G$2000,5,FALSE))=TRUE,0,VLOOKUP("SOC"&amp;$C602,ESTR_PREC_SP!$A$2:$G$2000,5,FALSE))</f>
        <v>0</v>
      </c>
      <c r="AB602" s="520"/>
      <c r="AC602" s="520"/>
      <c r="AD602" s="520"/>
      <c r="AE602" s="269">
        <f t="shared" si="86"/>
        <v>0</v>
      </c>
      <c r="AF602" s="520"/>
      <c r="AG602" s="520"/>
      <c r="AH602" s="520"/>
      <c r="AI602" s="520"/>
      <c r="AJ602" s="526">
        <f t="shared" si="87"/>
        <v>0</v>
      </c>
      <c r="AK602" s="526">
        <f t="shared" si="88"/>
        <v>0</v>
      </c>
      <c r="AL602" s="520"/>
      <c r="AM602" s="520"/>
    </row>
    <row r="603" spans="1:39" s="204" customFormat="1" ht="15" customHeight="1" x14ac:dyDescent="0.25">
      <c r="B603" s="287" t="s">
        <v>1386</v>
      </c>
      <c r="C603" s="287" t="s">
        <v>1387</v>
      </c>
      <c r="D603" s="274" t="s">
        <v>3679</v>
      </c>
      <c r="E603" s="274"/>
      <c r="F603" s="274"/>
      <c r="G603" s="283"/>
      <c r="H603" s="266"/>
      <c r="I603" s="274"/>
      <c r="J603" s="281"/>
      <c r="K603" s="281"/>
      <c r="L603" s="295" t="s">
        <v>1389</v>
      </c>
      <c r="M603" s="284" t="s">
        <v>2962</v>
      </c>
      <c r="N603" s="269">
        <f t="shared" si="83"/>
        <v>0</v>
      </c>
      <c r="O603" s="270">
        <f t="shared" si="84"/>
        <v>0</v>
      </c>
      <c r="P603" s="271">
        <f t="shared" si="80"/>
        <v>0</v>
      </c>
      <c r="Q603" s="520"/>
      <c r="R603" s="354">
        <f>IF(ISERROR(VLOOKUP("SOC"&amp;$C603,ESTR_PREC_SP!$A$2:$G$2000,4,FALSE))=TRUE,0,VLOOKUP("SOC"&amp;$C603,ESTR_PREC_SP!$A$2:$G$2000,4,FALSE))</f>
        <v>0</v>
      </c>
      <c r="S603" s="520"/>
      <c r="T603" s="520"/>
      <c r="U603" s="520"/>
      <c r="V603" s="520"/>
      <c r="W603" s="520"/>
      <c r="X603" s="520"/>
      <c r="Y603" s="269">
        <f t="shared" si="85"/>
        <v>0</v>
      </c>
      <c r="Z603" s="534"/>
      <c r="AA603" s="354">
        <f>IF(ISERROR(VLOOKUP("SOC"&amp;$C603,ESTR_PREC_SP!$A$2:$G$2000,5,FALSE))=TRUE,0,VLOOKUP("SOC"&amp;$C603,ESTR_PREC_SP!$A$2:$G$2000,5,FALSE))</f>
        <v>0</v>
      </c>
      <c r="AB603" s="520"/>
      <c r="AC603" s="520"/>
      <c r="AD603" s="520"/>
      <c r="AE603" s="269">
        <f t="shared" si="86"/>
        <v>0</v>
      </c>
      <c r="AF603" s="520"/>
      <c r="AG603" s="520"/>
      <c r="AH603" s="520"/>
      <c r="AI603" s="520"/>
      <c r="AJ603" s="526">
        <f t="shared" si="87"/>
        <v>0</v>
      </c>
      <c r="AK603" s="526">
        <f t="shared" si="88"/>
        <v>0</v>
      </c>
      <c r="AL603" s="520"/>
      <c r="AM603" s="520"/>
    </row>
    <row r="604" spans="1:39" s="204" customFormat="1" x14ac:dyDescent="0.25">
      <c r="B604" s="287" t="s">
        <v>1390</v>
      </c>
      <c r="C604" s="287" t="s">
        <v>1391</v>
      </c>
      <c r="D604" s="274" t="s">
        <v>3680</v>
      </c>
      <c r="E604" s="274"/>
      <c r="F604" s="274"/>
      <c r="G604" s="283"/>
      <c r="H604" s="266"/>
      <c r="I604" s="274"/>
      <c r="J604" s="281"/>
      <c r="K604" s="281"/>
      <c r="L604" s="295" t="s">
        <v>1393</v>
      </c>
      <c r="M604" s="284" t="s">
        <v>2962</v>
      </c>
      <c r="N604" s="269">
        <f t="shared" si="83"/>
        <v>0</v>
      </c>
      <c r="O604" s="270">
        <f t="shared" si="84"/>
        <v>0</v>
      </c>
      <c r="P604" s="271">
        <f t="shared" si="80"/>
        <v>0</v>
      </c>
      <c r="Q604" s="520"/>
      <c r="R604" s="354">
        <f>IF(ISERROR(VLOOKUP("SOC"&amp;$C604,ESTR_PREC_SP!$A$2:$G$2000,4,FALSE))=TRUE,0,VLOOKUP("SOC"&amp;$C604,ESTR_PREC_SP!$A$2:$G$2000,4,FALSE))</f>
        <v>0</v>
      </c>
      <c r="S604" s="520"/>
      <c r="T604" s="520"/>
      <c r="U604" s="520"/>
      <c r="V604" s="520"/>
      <c r="W604" s="520"/>
      <c r="X604" s="520"/>
      <c r="Y604" s="269">
        <f t="shared" si="85"/>
        <v>0</v>
      </c>
      <c r="Z604" s="534"/>
      <c r="AA604" s="354">
        <f>IF(ISERROR(VLOOKUP("SOC"&amp;$C604,ESTR_PREC_SP!$A$2:$G$2000,5,FALSE))=TRUE,0,VLOOKUP("SOC"&amp;$C604,ESTR_PREC_SP!$A$2:$G$2000,5,FALSE))</f>
        <v>0</v>
      </c>
      <c r="AB604" s="520"/>
      <c r="AC604" s="520"/>
      <c r="AD604" s="520"/>
      <c r="AE604" s="269">
        <f t="shared" si="86"/>
        <v>0</v>
      </c>
      <c r="AF604" s="520"/>
      <c r="AG604" s="520"/>
      <c r="AH604" s="520"/>
      <c r="AI604" s="520"/>
      <c r="AJ604" s="526">
        <f t="shared" si="87"/>
        <v>0</v>
      </c>
      <c r="AK604" s="526">
        <f t="shared" si="88"/>
        <v>0</v>
      </c>
      <c r="AL604" s="520"/>
      <c r="AM604" s="520"/>
    </row>
    <row r="605" spans="1:39" s="204" customFormat="1" x14ac:dyDescent="0.25">
      <c r="A605" s="535" t="s">
        <v>3681</v>
      </c>
      <c r="B605" s="536" t="s">
        <v>1395</v>
      </c>
      <c r="C605" s="536" t="s">
        <v>1396</v>
      </c>
      <c r="D605" s="536"/>
      <c r="E605" s="536"/>
      <c r="F605" s="536"/>
      <c r="G605" s="536"/>
      <c r="H605" s="536"/>
      <c r="I605" s="536"/>
      <c r="J605" s="536"/>
      <c r="K605" s="536"/>
      <c r="L605" s="536" t="s">
        <v>1398</v>
      </c>
      <c r="M605" s="284" t="s">
        <v>2962</v>
      </c>
      <c r="N605" s="269">
        <f t="shared" si="83"/>
        <v>0</v>
      </c>
      <c r="O605" s="270">
        <f t="shared" si="84"/>
        <v>0</v>
      </c>
      <c r="P605" s="271">
        <f t="shared" si="80"/>
        <v>0</v>
      </c>
      <c r="Q605" s="520"/>
      <c r="R605" s="354">
        <f>IF(ISERROR(VLOOKUP("SOC"&amp;$C605,ESTR_PREC_SP!$A$2:$G$2000,4,FALSE))=TRUE,0,VLOOKUP("SOC"&amp;$C605,ESTR_PREC_SP!$A$2:$G$2000,4,FALSE))</f>
        <v>0</v>
      </c>
      <c r="S605" s="520"/>
      <c r="T605" s="520"/>
      <c r="U605" s="520"/>
      <c r="V605" s="520"/>
      <c r="W605" s="520"/>
      <c r="X605" s="520"/>
      <c r="Y605" s="269">
        <f t="shared" si="85"/>
        <v>0</v>
      </c>
      <c r="Z605" s="534"/>
      <c r="AA605" s="354">
        <f>IF(ISERROR(VLOOKUP("SOC"&amp;$C605,ESTR_PREC_SP!$A$2:$G$2000,5,FALSE))=TRUE,0,VLOOKUP("SOC"&amp;$C605,ESTR_PREC_SP!$A$2:$G$2000,5,FALSE))</f>
        <v>0</v>
      </c>
      <c r="AB605" s="520"/>
      <c r="AC605" s="520"/>
      <c r="AD605" s="520"/>
      <c r="AE605" s="269">
        <f t="shared" si="86"/>
        <v>0</v>
      </c>
      <c r="AF605" s="520"/>
      <c r="AG605" s="520"/>
      <c r="AH605" s="520"/>
      <c r="AI605" s="520"/>
      <c r="AJ605" s="526">
        <f t="shared" si="87"/>
        <v>0</v>
      </c>
      <c r="AK605" s="526">
        <f t="shared" si="88"/>
        <v>0</v>
      </c>
      <c r="AL605" s="520"/>
      <c r="AM605" s="520"/>
    </row>
    <row r="606" spans="1:39" s="204" customFormat="1" ht="15" customHeight="1" x14ac:dyDescent="0.25">
      <c r="B606" s="287" t="s">
        <v>1399</v>
      </c>
      <c r="C606" s="287" t="s">
        <v>1400</v>
      </c>
      <c r="D606" s="274" t="s">
        <v>3682</v>
      </c>
      <c r="E606" s="274"/>
      <c r="F606" s="274"/>
      <c r="G606" s="283"/>
      <c r="H606" s="266"/>
      <c r="I606" s="274"/>
      <c r="J606" s="281"/>
      <c r="K606" s="281"/>
      <c r="L606" s="295" t="s">
        <v>3683</v>
      </c>
      <c r="M606" s="284" t="s">
        <v>2962</v>
      </c>
      <c r="N606" s="269">
        <f t="shared" si="83"/>
        <v>0</v>
      </c>
      <c r="O606" s="270">
        <f t="shared" si="84"/>
        <v>0</v>
      </c>
      <c r="P606" s="271">
        <f t="shared" si="80"/>
        <v>0</v>
      </c>
      <c r="Q606" s="520"/>
      <c r="R606" s="354">
        <f>IF(ISERROR(VLOOKUP("SOC"&amp;$C606,ESTR_PREC_SP!$A$2:$G$2000,4,FALSE))=TRUE,0,VLOOKUP("SOC"&amp;$C606,ESTR_PREC_SP!$A$2:$G$2000,4,FALSE))</f>
        <v>0</v>
      </c>
      <c r="S606" s="520"/>
      <c r="T606" s="520"/>
      <c r="U606" s="520"/>
      <c r="V606" s="520"/>
      <c r="W606" s="520"/>
      <c r="X606" s="520"/>
      <c r="Y606" s="269">
        <f t="shared" si="85"/>
        <v>0</v>
      </c>
      <c r="Z606" s="534"/>
      <c r="AA606" s="354">
        <f>IF(ISERROR(VLOOKUP("SOC"&amp;$C606,ESTR_PREC_SP!$A$2:$G$2000,5,FALSE))=TRUE,0,VLOOKUP("SOC"&amp;$C606,ESTR_PREC_SP!$A$2:$G$2000,5,FALSE))</f>
        <v>0</v>
      </c>
      <c r="AB606" s="520"/>
      <c r="AC606" s="520"/>
      <c r="AD606" s="520"/>
      <c r="AE606" s="269">
        <f t="shared" si="86"/>
        <v>0</v>
      </c>
      <c r="AF606" s="520"/>
      <c r="AG606" s="520"/>
      <c r="AH606" s="520"/>
      <c r="AI606" s="520"/>
      <c r="AJ606" s="526">
        <f t="shared" si="87"/>
        <v>0</v>
      </c>
      <c r="AK606" s="526">
        <f t="shared" si="88"/>
        <v>0</v>
      </c>
      <c r="AL606" s="520"/>
      <c r="AM606" s="520"/>
    </row>
    <row r="607" spans="1:39" s="204" customFormat="1" x14ac:dyDescent="0.25">
      <c r="B607" s="287" t="s">
        <v>1405</v>
      </c>
      <c r="C607" s="287" t="s">
        <v>1406</v>
      </c>
      <c r="D607" s="274" t="s">
        <v>3684</v>
      </c>
      <c r="E607" s="274"/>
      <c r="F607" s="274"/>
      <c r="G607" s="283"/>
      <c r="H607" s="266"/>
      <c r="I607" s="274"/>
      <c r="J607" s="281"/>
      <c r="K607" s="281"/>
      <c r="L607" s="295" t="s">
        <v>3685</v>
      </c>
      <c r="M607" s="284" t="s">
        <v>2962</v>
      </c>
      <c r="N607" s="272">
        <f t="shared" si="83"/>
        <v>0</v>
      </c>
      <c r="O607" s="272">
        <f t="shared" si="84"/>
        <v>0</v>
      </c>
      <c r="P607" s="378">
        <f t="shared" si="80"/>
        <v>0</v>
      </c>
      <c r="Q607" s="272">
        <f t="shared" ref="Q607:X607" si="89">SUM(Q608:Q611)</f>
        <v>0</v>
      </c>
      <c r="R607" s="272">
        <f t="shared" si="89"/>
        <v>0</v>
      </c>
      <c r="S607" s="272">
        <f t="shared" si="89"/>
        <v>0</v>
      </c>
      <c r="T607" s="272">
        <f t="shared" si="89"/>
        <v>0</v>
      </c>
      <c r="U607" s="272">
        <f t="shared" si="89"/>
        <v>0</v>
      </c>
      <c r="V607" s="272">
        <f t="shared" si="89"/>
        <v>0</v>
      </c>
      <c r="W607" s="272">
        <f t="shared" si="89"/>
        <v>0</v>
      </c>
      <c r="X607" s="272">
        <f t="shared" si="89"/>
        <v>0</v>
      </c>
      <c r="Y607" s="272">
        <f>+R607+S607+T607+U607-V607-X607+W607</f>
        <v>0</v>
      </c>
      <c r="Z607" s="272">
        <f t="shared" ref="Z607:AM607" si="90">SUM(Z608:Z611)</f>
        <v>0</v>
      </c>
      <c r="AA607" s="272">
        <f t="shared" si="90"/>
        <v>0</v>
      </c>
      <c r="AB607" s="272">
        <f t="shared" si="90"/>
        <v>0</v>
      </c>
      <c r="AC607" s="272">
        <f t="shared" si="90"/>
        <v>0</v>
      </c>
      <c r="AD607" s="272">
        <f t="shared" si="90"/>
        <v>0</v>
      </c>
      <c r="AE607" s="272">
        <f t="shared" si="90"/>
        <v>0</v>
      </c>
      <c r="AF607" s="272">
        <f t="shared" si="90"/>
        <v>0</v>
      </c>
      <c r="AG607" s="272">
        <f t="shared" si="90"/>
        <v>0</v>
      </c>
      <c r="AH607" s="272">
        <f t="shared" si="90"/>
        <v>0</v>
      </c>
      <c r="AI607" s="272">
        <f t="shared" si="90"/>
        <v>0</v>
      </c>
      <c r="AJ607" s="272">
        <f t="shared" si="90"/>
        <v>0</v>
      </c>
      <c r="AK607" s="272">
        <f t="shared" si="90"/>
        <v>0</v>
      </c>
      <c r="AL607" s="272">
        <f t="shared" si="90"/>
        <v>0</v>
      </c>
      <c r="AM607" s="272">
        <f t="shared" si="90"/>
        <v>0</v>
      </c>
    </row>
    <row r="608" spans="1:39" s="204" customFormat="1" ht="15" customHeight="1" x14ac:dyDescent="0.25">
      <c r="B608" s="287" t="s">
        <v>1408</v>
      </c>
      <c r="C608" s="287" t="s">
        <v>1409</v>
      </c>
      <c r="D608" s="274" t="s">
        <v>3686</v>
      </c>
      <c r="E608" s="274"/>
      <c r="F608" s="274"/>
      <c r="G608" s="283"/>
      <c r="H608" s="266"/>
      <c r="I608" s="274"/>
      <c r="J608" s="281"/>
      <c r="K608" s="281"/>
      <c r="L608" s="379" t="s">
        <v>3687</v>
      </c>
      <c r="M608" s="284" t="s">
        <v>2962</v>
      </c>
      <c r="N608" s="269">
        <f t="shared" si="83"/>
        <v>0</v>
      </c>
      <c r="O608" s="270">
        <f t="shared" si="84"/>
        <v>0</v>
      </c>
      <c r="P608" s="271">
        <f t="shared" si="80"/>
        <v>0</v>
      </c>
      <c r="Q608" s="520"/>
      <c r="R608" s="354">
        <f>IF(ISERROR(VLOOKUP("SOC"&amp;$C608,ESTR_PREC_SP!$A$2:$G$2000,4,FALSE))=TRUE,0,VLOOKUP("SOC"&amp;$C608,ESTR_PREC_SP!$A$2:$G$2000,4,FALSE))</f>
        <v>0</v>
      </c>
      <c r="S608" s="520"/>
      <c r="T608" s="520"/>
      <c r="U608" s="520"/>
      <c r="V608" s="520"/>
      <c r="W608" s="520"/>
      <c r="X608" s="520"/>
      <c r="Y608" s="269">
        <f>+R608+S608+T608+U608-V608-X608+W608+Q608</f>
        <v>0</v>
      </c>
      <c r="Z608" s="534"/>
      <c r="AA608" s="354">
        <f>IF(ISERROR(VLOOKUP("SOC"&amp;$C608,ESTR_PREC_SP!$A$2:$G$2000,5,FALSE))=TRUE,0,VLOOKUP("SOC"&amp;$C608,ESTR_PREC_SP!$A$2:$G$2000,5,FALSE))</f>
        <v>0</v>
      </c>
      <c r="AB608" s="520"/>
      <c r="AC608" s="520"/>
      <c r="AD608" s="520"/>
      <c r="AE608" s="269">
        <f>+AA608+AD608-AC608+AB608</f>
        <v>0</v>
      </c>
      <c r="AF608" s="520"/>
      <c r="AG608" s="520"/>
      <c r="AH608" s="520"/>
      <c r="AI608" s="520"/>
      <c r="AJ608" s="526">
        <f>+Y608-SUM(AF608:AI608)</f>
        <v>0</v>
      </c>
      <c r="AK608" s="526">
        <f>+Y608-AE608-AL608-AM608</f>
        <v>0</v>
      </c>
      <c r="AL608" s="520"/>
      <c r="AM608" s="520"/>
    </row>
    <row r="609" spans="1:39" s="204" customFormat="1" ht="15" customHeight="1" x14ac:dyDescent="0.25">
      <c r="B609" s="287" t="s">
        <v>1413</v>
      </c>
      <c r="C609" s="287" t="s">
        <v>1414</v>
      </c>
      <c r="D609" s="274" t="s">
        <v>3688</v>
      </c>
      <c r="E609" s="274"/>
      <c r="F609" s="274"/>
      <c r="G609" s="283"/>
      <c r="H609" s="266"/>
      <c r="I609" s="274"/>
      <c r="J609" s="281"/>
      <c r="K609" s="281"/>
      <c r="L609" s="379" t="s">
        <v>3689</v>
      </c>
      <c r="M609" s="284" t="s">
        <v>2962</v>
      </c>
      <c r="N609" s="269">
        <f t="shared" si="83"/>
        <v>0</v>
      </c>
      <c r="O609" s="270">
        <f t="shared" si="84"/>
        <v>0</v>
      </c>
      <c r="P609" s="271">
        <f t="shared" si="80"/>
        <v>0</v>
      </c>
      <c r="Q609" s="520"/>
      <c r="R609" s="354">
        <f>IF(ISERROR(VLOOKUP("SOC"&amp;$C609,ESTR_PREC_SP!$A$2:$G$2000,4,FALSE))=TRUE,0,VLOOKUP("SOC"&amp;$C609,ESTR_PREC_SP!$A$2:$G$2000,4,FALSE))</f>
        <v>0</v>
      </c>
      <c r="S609" s="520"/>
      <c r="T609" s="520"/>
      <c r="U609" s="520"/>
      <c r="V609" s="520"/>
      <c r="W609" s="520"/>
      <c r="X609" s="520"/>
      <c r="Y609" s="269">
        <f>+R609+S609+T609+U609-V609-X609+W609+Q609</f>
        <v>0</v>
      </c>
      <c r="Z609" s="534"/>
      <c r="AA609" s="354">
        <f>IF(ISERROR(VLOOKUP("SOC"&amp;$C609,ESTR_PREC_SP!$A$2:$G$2000,5,FALSE))=TRUE,0,VLOOKUP("SOC"&amp;$C609,ESTR_PREC_SP!$A$2:$G$2000,5,FALSE))</f>
        <v>0</v>
      </c>
      <c r="AB609" s="520"/>
      <c r="AC609" s="520"/>
      <c r="AD609" s="520"/>
      <c r="AE609" s="269">
        <f>+AA609+AD609-AC609+AB609</f>
        <v>0</v>
      </c>
      <c r="AF609" s="520"/>
      <c r="AG609" s="520"/>
      <c r="AH609" s="520"/>
      <c r="AI609" s="520"/>
      <c r="AJ609" s="526">
        <f>+Y609-SUM(AF609:AI609)</f>
        <v>0</v>
      </c>
      <c r="AK609" s="526">
        <f>+Y609-AE609-AL609-AM609</f>
        <v>0</v>
      </c>
      <c r="AL609" s="520"/>
      <c r="AM609" s="520"/>
    </row>
    <row r="610" spans="1:39" s="204" customFormat="1" ht="15" customHeight="1" x14ac:dyDescent="0.25">
      <c r="B610" s="287" t="s">
        <v>1419</v>
      </c>
      <c r="C610" s="287" t="s">
        <v>1420</v>
      </c>
      <c r="D610" s="274" t="s">
        <v>3690</v>
      </c>
      <c r="E610" s="274"/>
      <c r="F610" s="274"/>
      <c r="G610" s="283"/>
      <c r="H610" s="266"/>
      <c r="I610" s="274"/>
      <c r="J610" s="281"/>
      <c r="K610" s="281"/>
      <c r="L610" s="379" t="s">
        <v>3691</v>
      </c>
      <c r="M610" s="284" t="s">
        <v>2962</v>
      </c>
      <c r="N610" s="269">
        <f t="shared" si="83"/>
        <v>0</v>
      </c>
      <c r="O610" s="270">
        <f t="shared" si="84"/>
        <v>0</v>
      </c>
      <c r="P610" s="271">
        <f t="shared" si="80"/>
        <v>0</v>
      </c>
      <c r="Q610" s="520"/>
      <c r="R610" s="354">
        <f>IF(ISERROR(VLOOKUP("SOC"&amp;$C610,ESTR_PREC_SP!$A$2:$G$2000,4,FALSE))=TRUE,0,VLOOKUP("SOC"&amp;$C610,ESTR_PREC_SP!$A$2:$G$2000,4,FALSE))</f>
        <v>0</v>
      </c>
      <c r="S610" s="520"/>
      <c r="T610" s="520"/>
      <c r="U610" s="520"/>
      <c r="V610" s="520"/>
      <c r="W610" s="520"/>
      <c r="X610" s="520"/>
      <c r="Y610" s="269">
        <f>+R610+S610+T610+U610-V610-X610+W610+Q610</f>
        <v>0</v>
      </c>
      <c r="Z610" s="534"/>
      <c r="AA610" s="354">
        <f>IF(ISERROR(VLOOKUP("SOC"&amp;$C610,ESTR_PREC_SP!$A$2:$G$2000,5,FALSE))=TRUE,0,VLOOKUP("SOC"&amp;$C610,ESTR_PREC_SP!$A$2:$G$2000,5,FALSE))</f>
        <v>0</v>
      </c>
      <c r="AB610" s="520"/>
      <c r="AC610" s="520"/>
      <c r="AD610" s="520"/>
      <c r="AE610" s="269">
        <f>+AA610+AD610-AC610+AB610</f>
        <v>0</v>
      </c>
      <c r="AF610" s="520"/>
      <c r="AG610" s="520"/>
      <c r="AH610" s="520"/>
      <c r="AI610" s="520"/>
      <c r="AJ610" s="526">
        <f>+Y610-SUM(AF610:AI610)</f>
        <v>0</v>
      </c>
      <c r="AK610" s="526">
        <f>+Y610-AE610-AL610-AM610</f>
        <v>0</v>
      </c>
      <c r="AL610" s="520"/>
      <c r="AM610" s="520"/>
    </row>
    <row r="611" spans="1:39" s="204" customFormat="1" ht="15" customHeight="1" x14ac:dyDescent="0.25">
      <c r="B611" s="287" t="s">
        <v>1424</v>
      </c>
      <c r="C611" s="287" t="s">
        <v>1425</v>
      </c>
      <c r="D611" s="274" t="s">
        <v>3692</v>
      </c>
      <c r="E611" s="274"/>
      <c r="F611" s="274"/>
      <c r="G611" s="283"/>
      <c r="H611" s="266"/>
      <c r="I611" s="274"/>
      <c r="J611" s="281"/>
      <c r="K611" s="281"/>
      <c r="L611" s="379" t="s">
        <v>3693</v>
      </c>
      <c r="M611" s="284" t="s">
        <v>2962</v>
      </c>
      <c r="N611" s="269">
        <f t="shared" si="83"/>
        <v>0</v>
      </c>
      <c r="O611" s="270">
        <f t="shared" si="84"/>
        <v>0</v>
      </c>
      <c r="P611" s="271">
        <f t="shared" si="80"/>
        <v>0</v>
      </c>
      <c r="Q611" s="520"/>
      <c r="R611" s="354">
        <f>IF(ISERROR(VLOOKUP("SOC"&amp;$C611,ESTR_PREC_SP!$A$2:$G$2000,4,FALSE))=TRUE,0,VLOOKUP("SOC"&amp;$C611,ESTR_PREC_SP!$A$2:$G$2000,4,FALSE))</f>
        <v>0</v>
      </c>
      <c r="S611" s="520"/>
      <c r="T611" s="520"/>
      <c r="U611" s="520"/>
      <c r="V611" s="520"/>
      <c r="W611" s="520"/>
      <c r="X611" s="520"/>
      <c r="Y611" s="269">
        <f>+R611+S611+T611+U611-V611-X611+W611+Q611</f>
        <v>0</v>
      </c>
      <c r="Z611" s="534"/>
      <c r="AA611" s="354">
        <f>IF(ISERROR(VLOOKUP("SOC"&amp;$C611,ESTR_PREC_SP!$A$2:$G$2000,5,FALSE))=TRUE,0,VLOOKUP("SOC"&amp;$C611,ESTR_PREC_SP!$A$2:$G$2000,5,FALSE))</f>
        <v>0</v>
      </c>
      <c r="AB611" s="520"/>
      <c r="AC611" s="520"/>
      <c r="AD611" s="520"/>
      <c r="AE611" s="269">
        <f>+AA611+AD611-AC611+AB611</f>
        <v>0</v>
      </c>
      <c r="AF611" s="520"/>
      <c r="AG611" s="520"/>
      <c r="AH611" s="520"/>
      <c r="AI611" s="520"/>
      <c r="AJ611" s="526">
        <f>+Y611-SUM(AF611:AI611)</f>
        <v>0</v>
      </c>
      <c r="AK611" s="526">
        <f>+Y611-AE611-AL611-AM611</f>
        <v>0</v>
      </c>
      <c r="AL611" s="520"/>
      <c r="AM611" s="520"/>
    </row>
    <row r="612" spans="1:39" s="204" customFormat="1" x14ac:dyDescent="0.25">
      <c r="B612" s="287" t="s">
        <v>1429</v>
      </c>
      <c r="C612" s="287" t="s">
        <v>1430</v>
      </c>
      <c r="D612" s="274" t="s">
        <v>3694</v>
      </c>
      <c r="E612" s="274"/>
      <c r="F612" s="274"/>
      <c r="G612" s="283"/>
      <c r="H612" s="266"/>
      <c r="I612" s="274"/>
      <c r="J612" s="281"/>
      <c r="K612" s="281"/>
      <c r="L612" s="295" t="s">
        <v>3695</v>
      </c>
      <c r="M612" s="284" t="s">
        <v>2962</v>
      </c>
      <c r="N612" s="269">
        <f t="shared" si="83"/>
        <v>0</v>
      </c>
      <c r="O612" s="270">
        <f t="shared" si="84"/>
        <v>0</v>
      </c>
      <c r="P612" s="271">
        <f t="shared" si="80"/>
        <v>0</v>
      </c>
      <c r="Q612" s="520"/>
      <c r="R612" s="354">
        <f>IF(ISERROR(VLOOKUP("SOC"&amp;$C612,ESTR_PREC_SP!$A$2:$G$2000,4,FALSE))=TRUE,0,VLOOKUP("SOC"&amp;$C612,ESTR_PREC_SP!$A$2:$G$2000,4,FALSE))</f>
        <v>0</v>
      </c>
      <c r="S612" s="520"/>
      <c r="T612" s="520"/>
      <c r="U612" s="520"/>
      <c r="V612" s="520"/>
      <c r="W612" s="520"/>
      <c r="X612" s="520"/>
      <c r="Y612" s="269">
        <f>+R612+S612+T612+U612-V612-X612+W612+Q612</f>
        <v>0</v>
      </c>
      <c r="Z612" s="534"/>
      <c r="AA612" s="354">
        <f>IF(ISERROR(VLOOKUP("SOC"&amp;$C612,ESTR_PREC_SP!$A$2:$G$2000,5,FALSE))=TRUE,0,VLOOKUP("SOC"&amp;$C612,ESTR_PREC_SP!$A$2:$G$2000,5,FALSE))</f>
        <v>0</v>
      </c>
      <c r="AB612" s="520"/>
      <c r="AC612" s="520"/>
      <c r="AD612" s="520"/>
      <c r="AE612" s="269">
        <f>+AA612+AD612-AC612+AB612</f>
        <v>0</v>
      </c>
      <c r="AF612" s="520"/>
      <c r="AG612" s="520"/>
      <c r="AH612" s="520"/>
      <c r="AI612" s="520"/>
      <c r="AJ612" s="526">
        <f>+Y612-SUM(AF612:AI612)</f>
        <v>0</v>
      </c>
      <c r="AK612" s="526">
        <f>+Y612-AE612-AL612-AM612</f>
        <v>0</v>
      </c>
      <c r="AL612" s="520"/>
      <c r="AM612" s="520"/>
    </row>
    <row r="613" spans="1:39" s="204" customFormat="1" x14ac:dyDescent="0.25">
      <c r="B613" s="381"/>
      <c r="C613" s="381"/>
      <c r="D613" s="382"/>
      <c r="E613" s="382"/>
      <c r="F613" s="382"/>
      <c r="G613" s="382"/>
      <c r="H613" s="382"/>
      <c r="I613" s="382"/>
      <c r="J613" s="382"/>
      <c r="K613" s="382"/>
      <c r="L613" s="275"/>
      <c r="M613" s="275"/>
      <c r="N613" s="383"/>
      <c r="O613" s="383"/>
      <c r="P613" s="384"/>
      <c r="Q613" s="211"/>
      <c r="R613" s="275"/>
      <c r="S613" s="275"/>
      <c r="T613" s="275"/>
      <c r="U613" s="275"/>
      <c r="V613" s="275"/>
      <c r="W613" s="275"/>
      <c r="X613" s="275"/>
      <c r="Y613" s="275"/>
      <c r="Z613" s="385"/>
      <c r="AA613" s="385"/>
      <c r="AB613" s="275"/>
      <c r="AC613" s="213"/>
      <c r="AD613" s="213"/>
    </row>
    <row r="614" spans="1:39" s="204" customFormat="1" x14ac:dyDescent="0.25">
      <c r="B614" s="292" t="s">
        <v>1434</v>
      </c>
      <c r="C614" s="292" t="s">
        <v>1435</v>
      </c>
      <c r="D614" s="247" t="s">
        <v>3696</v>
      </c>
      <c r="E614" s="247"/>
      <c r="F614" s="247"/>
      <c r="G614" s="247"/>
      <c r="H614" s="248"/>
      <c r="I614" s="247"/>
      <c r="J614" s="247"/>
      <c r="K614" s="249"/>
      <c r="L614" s="276" t="s">
        <v>1436</v>
      </c>
      <c r="M614" s="251" t="s">
        <v>2962</v>
      </c>
      <c r="N614" s="252">
        <f>+N618+N641+N648+N649</f>
        <v>0</v>
      </c>
      <c r="O614" s="252">
        <f>+O618+O641+O648+O649</f>
        <v>0</v>
      </c>
      <c r="P614" s="253">
        <f>+O614-N614</f>
        <v>0</v>
      </c>
      <c r="Q614" s="252">
        <f t="shared" ref="Q614:AA614" si="91">+Q618+Q641+Q648+Q649</f>
        <v>0</v>
      </c>
      <c r="R614" s="252">
        <f t="shared" si="91"/>
        <v>0</v>
      </c>
      <c r="S614" s="252">
        <f t="shared" si="91"/>
        <v>0</v>
      </c>
      <c r="T614" s="252">
        <f t="shared" si="91"/>
        <v>0</v>
      </c>
      <c r="U614" s="252">
        <f t="shared" si="91"/>
        <v>0</v>
      </c>
      <c r="V614" s="252">
        <f t="shared" si="91"/>
        <v>0</v>
      </c>
      <c r="W614" s="252">
        <f t="shared" si="91"/>
        <v>0</v>
      </c>
      <c r="X614" s="252">
        <f t="shared" si="91"/>
        <v>0</v>
      </c>
      <c r="Y614" s="252">
        <f t="shared" si="91"/>
        <v>0</v>
      </c>
      <c r="Z614" s="252">
        <f t="shared" si="91"/>
        <v>0</v>
      </c>
      <c r="AA614" s="252">
        <f t="shared" si="91"/>
        <v>0</v>
      </c>
      <c r="AB614" s="252">
        <f t="shared" ref="AB614:AL614" si="92">+AC618+AC641+AC648+AC649</f>
        <v>0</v>
      </c>
      <c r="AC614" s="252">
        <f t="shared" si="92"/>
        <v>0</v>
      </c>
      <c r="AD614" s="252">
        <f t="shared" si="92"/>
        <v>0</v>
      </c>
      <c r="AE614" s="252">
        <f t="shared" si="92"/>
        <v>0</v>
      </c>
      <c r="AF614" s="252">
        <f t="shared" si="92"/>
        <v>0</v>
      </c>
      <c r="AG614" s="252">
        <f t="shared" si="92"/>
        <v>0</v>
      </c>
      <c r="AH614" s="252">
        <f t="shared" si="92"/>
        <v>0</v>
      </c>
      <c r="AI614" s="252">
        <f t="shared" si="92"/>
        <v>0</v>
      </c>
      <c r="AJ614" s="252">
        <f t="shared" si="92"/>
        <v>0</v>
      </c>
      <c r="AK614" s="252">
        <f t="shared" si="92"/>
        <v>0</v>
      </c>
      <c r="AL614" s="252">
        <f t="shared" si="92"/>
        <v>0</v>
      </c>
    </row>
    <row r="615" spans="1:39" s="204" customFormat="1" x14ac:dyDescent="0.25">
      <c r="B615" s="298"/>
      <c r="C615" s="298"/>
      <c r="D615" s="226"/>
      <c r="E615" s="226"/>
      <c r="F615" s="226"/>
      <c r="G615" s="226"/>
      <c r="H615" s="227"/>
      <c r="I615" s="226"/>
      <c r="J615" s="226"/>
      <c r="K615" s="226"/>
      <c r="L615" s="241"/>
      <c r="M615" s="278"/>
      <c r="N615" s="279"/>
      <c r="O615" s="279"/>
      <c r="P615" s="279"/>
      <c r="Q615" s="211"/>
      <c r="R615" s="279"/>
      <c r="S615" s="279"/>
      <c r="T615" s="279"/>
      <c r="U615" s="279"/>
      <c r="V615" s="279"/>
      <c r="Y615" s="279"/>
      <c r="Z615" s="275"/>
      <c r="AA615" s="275"/>
      <c r="AB615" s="279"/>
      <c r="AC615" s="211"/>
      <c r="AD615" s="211"/>
    </row>
    <row r="616" spans="1:39" s="204" customFormat="1" ht="27" customHeight="1" x14ac:dyDescent="0.25">
      <c r="B616" s="289"/>
      <c r="C616" s="289"/>
      <c r="D616" s="211"/>
      <c r="E616" s="211"/>
      <c r="F616" s="211"/>
      <c r="G616" s="211"/>
      <c r="H616" s="353"/>
      <c r="I616" s="211"/>
      <c r="J616" s="211"/>
      <c r="K616" s="211"/>
      <c r="L616" s="232"/>
      <c r="M616" s="211"/>
      <c r="N616" s="334"/>
      <c r="O616" s="211"/>
      <c r="P616" s="211"/>
      <c r="Q616" s="211"/>
      <c r="R616" s="211"/>
      <c r="S616" s="902" t="s">
        <v>3495</v>
      </c>
      <c r="T616" s="902"/>
      <c r="U616" s="902"/>
      <c r="V616" s="335" t="s">
        <v>3496</v>
      </c>
      <c r="W616" s="336"/>
      <c r="X616" s="335" t="s">
        <v>3496</v>
      </c>
      <c r="Z616" s="211"/>
      <c r="AA616" s="211"/>
      <c r="AB616" s="211"/>
      <c r="AC616" s="285"/>
      <c r="AD616" s="211"/>
      <c r="AE616" s="211"/>
      <c r="AF616" s="904" t="str">
        <f>+AF594</f>
        <v>VALORE NOMINALE DEI CREDITI AL 31/12/2020 PER ANNO DI FORMAZIONE</v>
      </c>
      <c r="AG616" s="904"/>
      <c r="AH616" s="904"/>
      <c r="AI616" s="904"/>
      <c r="AJ616" s="904"/>
      <c r="AK616" s="905" t="str">
        <f>+AK594</f>
        <v>VALORE NETTO DEI CREDITI AL 31/12/2020 PER SCADENZA</v>
      </c>
      <c r="AL616" s="905"/>
      <c r="AM616" s="905"/>
    </row>
    <row r="617" spans="1:39" s="204" customFormat="1" ht="89.25" x14ac:dyDescent="0.25">
      <c r="A617" s="204" t="s">
        <v>4392</v>
      </c>
      <c r="B617" s="294" t="s">
        <v>2968</v>
      </c>
      <c r="C617" s="294" t="s">
        <v>2969</v>
      </c>
      <c r="D617" s="206" t="s">
        <v>72</v>
      </c>
      <c r="E617" s="206"/>
      <c r="F617" s="206"/>
      <c r="G617" s="207"/>
      <c r="H617" s="207"/>
      <c r="I617" s="207"/>
      <c r="J617" s="207" t="s">
        <v>2957</v>
      </c>
      <c r="K617" s="206" t="s">
        <v>82</v>
      </c>
      <c r="L617" s="261" t="s">
        <v>3670</v>
      </c>
      <c r="M617" s="256"/>
      <c r="N617" s="256" t="str">
        <f>N$15</f>
        <v>Valore netto al 31/12/2019</v>
      </c>
      <c r="O617" s="256" t="str">
        <f>O$15</f>
        <v>Valore netto al 31/12/2020</v>
      </c>
      <c r="P617" s="256" t="str">
        <f>P$15</f>
        <v>Variazione</v>
      </c>
      <c r="Q617" s="262" t="s">
        <v>2971</v>
      </c>
      <c r="R617" s="262" t="str">
        <f>+R595</f>
        <v>Valore iniziale LORDO al 31/12/2019</v>
      </c>
      <c r="S617" s="337" t="s">
        <v>2972</v>
      </c>
      <c r="T617" s="337" t="s">
        <v>3497</v>
      </c>
      <c r="U617" s="337" t="s">
        <v>3495</v>
      </c>
      <c r="V617" s="338" t="s">
        <v>3498</v>
      </c>
      <c r="W617" s="262" t="s">
        <v>4391</v>
      </c>
      <c r="X617" s="338" t="s">
        <v>3499</v>
      </c>
      <c r="Y617" s="262" t="str">
        <f>+Y595</f>
        <v>Valore finale LORDO al 31/12/2020</v>
      </c>
      <c r="Z617" s="337" t="str">
        <f>+Z595</f>
        <v>Di cui Fatture da emettere</v>
      </c>
      <c r="AA617" s="262" t="str">
        <f>+AA595</f>
        <v>Fondo svalutazione crediti al 31/12/2019</v>
      </c>
      <c r="AB617" s="262" t="s">
        <v>3500</v>
      </c>
      <c r="AC617" s="262" t="s">
        <v>3501</v>
      </c>
      <c r="AD617" s="262" t="s">
        <v>3502</v>
      </c>
      <c r="AE617" s="262" t="str">
        <f>+AE595</f>
        <v>Fondo svalutazione crediti al 31/12/2020</v>
      </c>
      <c r="AF617" s="339" t="s">
        <v>3503</v>
      </c>
      <c r="AG617" s="339" t="s">
        <v>3504</v>
      </c>
      <c r="AH617" s="339" t="s">
        <v>3505</v>
      </c>
      <c r="AI617" s="339" t="s">
        <v>3506</v>
      </c>
      <c r="AJ617" s="339" t="s">
        <v>3507</v>
      </c>
      <c r="AK617" s="340" t="s">
        <v>3508</v>
      </c>
      <c r="AL617" s="340" t="s">
        <v>3509</v>
      </c>
      <c r="AM617" s="340" t="s">
        <v>3510</v>
      </c>
    </row>
    <row r="618" spans="1:39" s="204" customFormat="1" ht="15" customHeight="1" x14ac:dyDescent="0.25">
      <c r="B618" s="287"/>
      <c r="C618" s="287" t="s">
        <v>1438</v>
      </c>
      <c r="D618" s="274" t="s">
        <v>3697</v>
      </c>
      <c r="E618" s="274"/>
      <c r="F618" s="274"/>
      <c r="G618" s="283"/>
      <c r="H618" s="266"/>
      <c r="I618" s="274"/>
      <c r="J618" s="281"/>
      <c r="K618" s="281"/>
      <c r="L618" s="295" t="s">
        <v>1440</v>
      </c>
      <c r="M618" s="284" t="s">
        <v>2962</v>
      </c>
      <c r="N618" s="272">
        <f>+N619+N620+N621+N629+N630+N634+N635+N636+N637+N639+N638+N640</f>
        <v>0</v>
      </c>
      <c r="O618" s="272">
        <f>+O619+O620+O621+O629+O630+O634+O635+O636+O637+O639+O638+O640</f>
        <v>0</v>
      </c>
      <c r="P618" s="378">
        <f t="shared" ref="P618:P627" si="93">+O618-N618</f>
        <v>0</v>
      </c>
      <c r="Q618" s="272">
        <f>+Q619+Q620+Q621+Q629+Q630+Q634+Q635+Q636+Q637+Q639+Q638+Q640</f>
        <v>0</v>
      </c>
      <c r="R618" s="272">
        <f>+R619+R620+R621+R629+R630+R634+R635+R636+R637+R639</f>
        <v>0</v>
      </c>
      <c r="S618" s="272">
        <f>+S619+S620+S621+S629+S630+S634+S635+S636+S637+S639+S638+S640</f>
        <v>0</v>
      </c>
      <c r="T618" s="272">
        <f>+T619+T620+T621+T629+T630+T634+T635+T636+T637+T639+T638+T640</f>
        <v>0</v>
      </c>
      <c r="U618" s="272"/>
      <c r="V618" s="272">
        <f t="shared" ref="V618:AM618" si="94">+V619+V620+V621+V629+V630+V634+V635+V636+V637+V639+V638+V640</f>
        <v>0</v>
      </c>
      <c r="W618" s="272">
        <f t="shared" si="94"/>
        <v>0</v>
      </c>
      <c r="X618" s="272">
        <f t="shared" si="94"/>
        <v>0</v>
      </c>
      <c r="Y618" s="272">
        <f t="shared" si="94"/>
        <v>0</v>
      </c>
      <c r="Z618" s="272">
        <f t="shared" si="94"/>
        <v>0</v>
      </c>
      <c r="AA618" s="272">
        <f t="shared" si="94"/>
        <v>0</v>
      </c>
      <c r="AB618" s="272">
        <f t="shared" si="94"/>
        <v>0</v>
      </c>
      <c r="AC618" s="272">
        <f t="shared" si="94"/>
        <v>0</v>
      </c>
      <c r="AD618" s="272">
        <f t="shared" si="94"/>
        <v>0</v>
      </c>
      <c r="AE618" s="272">
        <f t="shared" si="94"/>
        <v>0</v>
      </c>
      <c r="AF618" s="272">
        <f t="shared" si="94"/>
        <v>0</v>
      </c>
      <c r="AG618" s="272">
        <f t="shared" si="94"/>
        <v>0</v>
      </c>
      <c r="AH618" s="272">
        <f t="shared" si="94"/>
        <v>0</v>
      </c>
      <c r="AI618" s="272">
        <f t="shared" si="94"/>
        <v>0</v>
      </c>
      <c r="AJ618" s="272">
        <f t="shared" si="94"/>
        <v>0</v>
      </c>
      <c r="AK618" s="272">
        <f t="shared" si="94"/>
        <v>0</v>
      </c>
      <c r="AL618" s="272">
        <f t="shared" si="94"/>
        <v>0</v>
      </c>
      <c r="AM618" s="272">
        <f t="shared" si="94"/>
        <v>0</v>
      </c>
    </row>
    <row r="619" spans="1:39" s="204" customFormat="1" ht="15" customHeight="1" x14ac:dyDescent="0.25">
      <c r="B619" s="287"/>
      <c r="C619" s="287" t="s">
        <v>1441</v>
      </c>
      <c r="D619" s="274" t="s">
        <v>3698</v>
      </c>
      <c r="E619" s="274"/>
      <c r="F619" s="274"/>
      <c r="G619" s="283"/>
      <c r="H619" s="266"/>
      <c r="I619" s="274"/>
      <c r="J619" s="281"/>
      <c r="K619" s="281"/>
      <c r="L619" s="379" t="s">
        <v>3699</v>
      </c>
      <c r="M619" s="284" t="s">
        <v>2962</v>
      </c>
      <c r="N619" s="269">
        <f>+R619-AA619</f>
        <v>0</v>
      </c>
      <c r="O619" s="270">
        <f>+Y619-AE619</f>
        <v>0</v>
      </c>
      <c r="P619" s="271">
        <f t="shared" si="93"/>
        <v>0</v>
      </c>
      <c r="Q619" s="520"/>
      <c r="R619" s="354">
        <f>IF(ISERROR(VLOOKUP("SOC"&amp;$C619,ESTR_PREC_SP!$A$2:$G$2000,4,FALSE))=TRUE,0,VLOOKUP("SOC"&amp;$C619,ESTR_PREC_SP!$A$2:$G$2000,4,FALSE))</f>
        <v>0</v>
      </c>
      <c r="S619" s="520"/>
      <c r="T619" s="520"/>
      <c r="U619" s="520"/>
      <c r="V619" s="520"/>
      <c r="W619" s="520"/>
      <c r="X619" s="520"/>
      <c r="Y619" s="269">
        <f>+R619+S619+T619+U619-V619-X619+W619+Q619</f>
        <v>0</v>
      </c>
      <c r="Z619" s="534"/>
      <c r="AA619" s="354">
        <f>IF(ISERROR(VLOOKUP("SOC"&amp;$C619,ESTR_PREC_SP!$A$2:$G$2000,5,FALSE))=TRUE,0,VLOOKUP("SOC"&amp;$C619,ESTR_PREC_SP!$A$2:$G$2000,5,FALSE))</f>
        <v>0</v>
      </c>
      <c r="AB619" s="520"/>
      <c r="AC619" s="520"/>
      <c r="AD619" s="520"/>
      <c r="AE619" s="269">
        <f t="shared" ref="AE619:AE627" si="95">+AA619+AD619-AC619+AB619</f>
        <v>0</v>
      </c>
      <c r="AF619" s="520"/>
      <c r="AG619" s="520"/>
      <c r="AH619" s="520"/>
      <c r="AI619" s="520"/>
      <c r="AJ619" s="526">
        <f t="shared" ref="AJ619:AJ627" si="96">+Y619-SUM(AF619:AI619)</f>
        <v>0</v>
      </c>
      <c r="AK619" s="526">
        <f t="shared" ref="AK619:AK627" si="97">+Y619-AE619-AL619-AM619</f>
        <v>0</v>
      </c>
      <c r="AL619" s="520"/>
      <c r="AM619" s="520"/>
    </row>
    <row r="620" spans="1:39" s="204" customFormat="1" x14ac:dyDescent="0.25">
      <c r="B620" s="287" t="s">
        <v>1437</v>
      </c>
      <c r="C620" s="287" t="s">
        <v>1446</v>
      </c>
      <c r="D620" s="274" t="s">
        <v>3700</v>
      </c>
      <c r="E620" s="274"/>
      <c r="F620" s="274"/>
      <c r="G620" s="283"/>
      <c r="H620" s="266"/>
      <c r="I620" s="274"/>
      <c r="J620" s="281"/>
      <c r="K620" s="281"/>
      <c r="L620" s="379" t="s">
        <v>3701</v>
      </c>
      <c r="M620" s="284" t="s">
        <v>2962</v>
      </c>
      <c r="N620" s="269">
        <f>+R620-AA620</f>
        <v>0</v>
      </c>
      <c r="O620" s="270">
        <f>+Y620-AE620</f>
        <v>0</v>
      </c>
      <c r="P620" s="271">
        <f t="shared" si="93"/>
        <v>0</v>
      </c>
      <c r="Q620" s="520"/>
      <c r="R620" s="354">
        <f>IF(ISERROR(VLOOKUP("SOC"&amp;$C620,ESTR_PREC_SP!$A$2:$G$2000,4,FALSE))=TRUE,0,VLOOKUP("SOC"&amp;$C620,ESTR_PREC_SP!$A$2:$G$2000,4,FALSE))</f>
        <v>0</v>
      </c>
      <c r="S620" s="520"/>
      <c r="T620" s="520"/>
      <c r="U620" s="520"/>
      <c r="V620" s="520"/>
      <c r="W620" s="520"/>
      <c r="X620" s="520"/>
      <c r="Y620" s="269">
        <f>+R620+S620+T620+U620-V620-X620+W620+Q620</f>
        <v>0</v>
      </c>
      <c r="Z620" s="534"/>
      <c r="AA620" s="354">
        <f>IF(ISERROR(VLOOKUP("SOC"&amp;$C620,ESTR_PREC_SP!$A$2:$G$2000,5,FALSE))=TRUE,0,VLOOKUP("SOC"&amp;$C620,ESTR_PREC_SP!$A$2:$G$2000,5,FALSE))</f>
        <v>0</v>
      </c>
      <c r="AB620" s="520"/>
      <c r="AC620" s="520"/>
      <c r="AD620" s="520"/>
      <c r="AE620" s="269">
        <f t="shared" si="95"/>
        <v>0</v>
      </c>
      <c r="AF620" s="520"/>
      <c r="AG620" s="520"/>
      <c r="AH620" s="520"/>
      <c r="AI620" s="520"/>
      <c r="AJ620" s="526">
        <f t="shared" si="96"/>
        <v>0</v>
      </c>
      <c r="AK620" s="526">
        <f t="shared" si="97"/>
        <v>0</v>
      </c>
      <c r="AL620" s="520"/>
      <c r="AM620" s="520"/>
    </row>
    <row r="621" spans="1:39" s="204" customFormat="1" x14ac:dyDescent="0.25">
      <c r="B621" s="287" t="s">
        <v>1450</v>
      </c>
      <c r="C621" s="287" t="s">
        <v>1451</v>
      </c>
      <c r="D621" s="274" t="s">
        <v>3702</v>
      </c>
      <c r="E621" s="274"/>
      <c r="F621" s="274"/>
      <c r="G621" s="283"/>
      <c r="H621" s="266"/>
      <c r="I621" s="274"/>
      <c r="J621" s="281"/>
      <c r="K621" s="281"/>
      <c r="L621" s="379" t="s">
        <v>3703</v>
      </c>
      <c r="M621" s="284" t="s">
        <v>2962</v>
      </c>
      <c r="N621" s="272">
        <f>SUM(N622:N627)</f>
        <v>0</v>
      </c>
      <c r="O621" s="272">
        <f>SUM(O622:O627)</f>
        <v>0</v>
      </c>
      <c r="P621" s="378">
        <f t="shared" si="93"/>
        <v>0</v>
      </c>
      <c r="Q621" s="272">
        <f>SUM(Q622:Q627)</f>
        <v>0</v>
      </c>
      <c r="R621" s="272">
        <f>SUM(R622:R627)</f>
        <v>0</v>
      </c>
      <c r="S621" s="272">
        <f>SUM(S622:S627)</f>
        <v>0</v>
      </c>
      <c r="T621" s="272">
        <f>SUM(T622:T627)</f>
        <v>0</v>
      </c>
      <c r="U621" s="272"/>
      <c r="V621" s="272">
        <f>SUM(V622:V627)</f>
        <v>0</v>
      </c>
      <c r="W621" s="272">
        <f>SUM(W622:W627)</f>
        <v>0</v>
      </c>
      <c r="X621" s="272">
        <f>SUM(X622:X627)</f>
        <v>0</v>
      </c>
      <c r="Y621" s="272">
        <f>+R621+S621+T621+U621-V621-X621+W621</f>
        <v>0</v>
      </c>
      <c r="Z621" s="272">
        <f>SUM(Z622:Z627)</f>
        <v>0</v>
      </c>
      <c r="AA621" s="272">
        <f>SUM(AA622:AA627)</f>
        <v>0</v>
      </c>
      <c r="AB621" s="272">
        <f>SUM(AB622:AB627)</f>
        <v>0</v>
      </c>
      <c r="AC621" s="272">
        <f>SUM(AC622:AC627)</f>
        <v>0</v>
      </c>
      <c r="AD621" s="272">
        <f>SUM(AD622:AD627)</f>
        <v>0</v>
      </c>
      <c r="AE621" s="272">
        <f t="shared" si="95"/>
        <v>0</v>
      </c>
      <c r="AF621" s="272">
        <f>SUM(AF622:AF627)</f>
        <v>0</v>
      </c>
      <c r="AG621" s="272">
        <f>SUM(AG622:AG627)</f>
        <v>0</v>
      </c>
      <c r="AH621" s="272">
        <f>SUM(AH622:AH627)</f>
        <v>0</v>
      </c>
      <c r="AI621" s="272">
        <f>SUM(AI622:AI627)</f>
        <v>0</v>
      </c>
      <c r="AJ621" s="537">
        <f t="shared" si="96"/>
        <v>0</v>
      </c>
      <c r="AK621" s="537">
        <f t="shared" si="97"/>
        <v>0</v>
      </c>
      <c r="AL621" s="272">
        <f>SUM(AL622:AL627)</f>
        <v>0</v>
      </c>
      <c r="AM621" s="272">
        <f>SUM(AM622:AM627)</f>
        <v>0</v>
      </c>
    </row>
    <row r="622" spans="1:39" s="204" customFormat="1" x14ac:dyDescent="0.25">
      <c r="B622" s="287" t="s">
        <v>1453</v>
      </c>
      <c r="C622" s="287" t="s">
        <v>1454</v>
      </c>
      <c r="D622" s="274" t="s">
        <v>3704</v>
      </c>
      <c r="E622" s="274"/>
      <c r="F622" s="274"/>
      <c r="G622" s="283"/>
      <c r="H622" s="266"/>
      <c r="I622" s="274"/>
      <c r="J622" s="281"/>
      <c r="K622" s="281"/>
      <c r="L622" s="97" t="s">
        <v>3705</v>
      </c>
      <c r="M622" s="284" t="s">
        <v>2962</v>
      </c>
      <c r="N622" s="269">
        <f t="shared" ref="N622:N627" si="98">+R622-AA622</f>
        <v>0</v>
      </c>
      <c r="O622" s="270">
        <f t="shared" ref="O622:O627" si="99">+Y622-AE622</f>
        <v>0</v>
      </c>
      <c r="P622" s="271">
        <f t="shared" si="93"/>
        <v>0</v>
      </c>
      <c r="Q622" s="520"/>
      <c r="R622" s="354">
        <f>IF(ISERROR(VLOOKUP("SOC"&amp;$C622,ESTR_PREC_SP!$A$2:$G$2000,4,FALSE))=TRUE,0,VLOOKUP("SOC"&amp;$C622,ESTR_PREC_SP!$A$2:$G$2000,4,FALSE))</f>
        <v>0</v>
      </c>
      <c r="S622" s="520"/>
      <c r="T622" s="520"/>
      <c r="U622" s="520"/>
      <c r="V622" s="520"/>
      <c r="W622" s="520"/>
      <c r="X622" s="520"/>
      <c r="Y622" s="269">
        <f t="shared" ref="Y622:Y627" si="100">+R622+S622+T622+U622-V622-X622+W622+Q622</f>
        <v>0</v>
      </c>
      <c r="Z622" s="534"/>
      <c r="AA622" s="354">
        <f>IF(ISERROR(VLOOKUP("SOC"&amp;$C622,ESTR_PREC_SP!$A$2:$G$2000,5,FALSE))=TRUE,0,VLOOKUP("SOC"&amp;$C622,ESTR_PREC_SP!$A$2:$G$2000,5,FALSE))</f>
        <v>0</v>
      </c>
      <c r="AB622" s="520"/>
      <c r="AC622" s="520"/>
      <c r="AD622" s="520"/>
      <c r="AE622" s="269">
        <f t="shared" si="95"/>
        <v>0</v>
      </c>
      <c r="AF622" s="520"/>
      <c r="AG622" s="520"/>
      <c r="AH622" s="520"/>
      <c r="AI622" s="520"/>
      <c r="AJ622" s="526">
        <f t="shared" si="96"/>
        <v>0</v>
      </c>
      <c r="AK622" s="526">
        <f t="shared" si="97"/>
        <v>0</v>
      </c>
      <c r="AL622" s="520"/>
      <c r="AM622" s="520"/>
    </row>
    <row r="623" spans="1:39" s="204" customFormat="1" x14ac:dyDescent="0.25">
      <c r="B623" s="287" t="s">
        <v>1457</v>
      </c>
      <c r="C623" s="287" t="s">
        <v>1458</v>
      </c>
      <c r="D623" s="274" t="s">
        <v>3706</v>
      </c>
      <c r="E623" s="274"/>
      <c r="F623" s="274"/>
      <c r="G623" s="283"/>
      <c r="H623" s="266"/>
      <c r="I623" s="274"/>
      <c r="J623" s="281"/>
      <c r="K623" s="281"/>
      <c r="L623" s="97" t="s">
        <v>3707</v>
      </c>
      <c r="M623" s="284" t="s">
        <v>2962</v>
      </c>
      <c r="N623" s="269">
        <f t="shared" si="98"/>
        <v>0</v>
      </c>
      <c r="O623" s="270">
        <f t="shared" si="99"/>
        <v>0</v>
      </c>
      <c r="P623" s="271">
        <f t="shared" si="93"/>
        <v>0</v>
      </c>
      <c r="Q623" s="520"/>
      <c r="R623" s="354">
        <f>IF(ISERROR(VLOOKUP("SOC"&amp;$C623,ESTR_PREC_SP!$A$2:$G$2000,4,FALSE))=TRUE,0,VLOOKUP("SOC"&amp;$C623,ESTR_PREC_SP!$A$2:$G$2000,4,FALSE))</f>
        <v>0</v>
      </c>
      <c r="S623" s="520"/>
      <c r="T623" s="520"/>
      <c r="U623" s="520"/>
      <c r="V623" s="520"/>
      <c r="W623" s="520"/>
      <c r="X623" s="520"/>
      <c r="Y623" s="269">
        <f t="shared" si="100"/>
        <v>0</v>
      </c>
      <c r="Z623" s="534"/>
      <c r="AA623" s="354">
        <f>IF(ISERROR(VLOOKUP("SOC"&amp;$C623,ESTR_PREC_SP!$A$2:$G$2000,5,FALSE))=TRUE,0,VLOOKUP("SOC"&amp;$C623,ESTR_PREC_SP!$A$2:$G$2000,5,FALSE))</f>
        <v>0</v>
      </c>
      <c r="AB623" s="520"/>
      <c r="AC623" s="520"/>
      <c r="AD623" s="520"/>
      <c r="AE623" s="269">
        <f t="shared" si="95"/>
        <v>0</v>
      </c>
      <c r="AF623" s="520"/>
      <c r="AG623" s="520"/>
      <c r="AH623" s="520"/>
      <c r="AI623" s="520"/>
      <c r="AJ623" s="526">
        <f t="shared" si="96"/>
        <v>0</v>
      </c>
      <c r="AK623" s="526">
        <f t="shared" si="97"/>
        <v>0</v>
      </c>
      <c r="AL623" s="520"/>
      <c r="AM623" s="520"/>
    </row>
    <row r="624" spans="1:39" s="204" customFormat="1" x14ac:dyDescent="0.25">
      <c r="B624" s="287" t="s">
        <v>1460</v>
      </c>
      <c r="C624" s="287" t="s">
        <v>1461</v>
      </c>
      <c r="D624" s="274" t="s">
        <v>3708</v>
      </c>
      <c r="E624" s="274"/>
      <c r="F624" s="274"/>
      <c r="G624" s="283"/>
      <c r="H624" s="266"/>
      <c r="I624" s="274"/>
      <c r="J624" s="281"/>
      <c r="K624" s="281"/>
      <c r="L624" s="97" t="s">
        <v>3709</v>
      </c>
      <c r="M624" s="284" t="s">
        <v>2962</v>
      </c>
      <c r="N624" s="269">
        <f t="shared" si="98"/>
        <v>0</v>
      </c>
      <c r="O624" s="270">
        <f t="shared" si="99"/>
        <v>0</v>
      </c>
      <c r="P624" s="271">
        <f t="shared" si="93"/>
        <v>0</v>
      </c>
      <c r="Q624" s="520"/>
      <c r="R624" s="354">
        <f>IF(ISERROR(VLOOKUP("SOC"&amp;$C624,ESTR_PREC_SP!$A$2:$G$2000,4,FALSE))=TRUE,0,VLOOKUP("SOC"&amp;$C624,ESTR_PREC_SP!$A$2:$G$2000,4,FALSE))</f>
        <v>0</v>
      </c>
      <c r="S624" s="520"/>
      <c r="T624" s="520"/>
      <c r="U624" s="520"/>
      <c r="V624" s="520"/>
      <c r="W624" s="520"/>
      <c r="X624" s="520"/>
      <c r="Y624" s="269">
        <f t="shared" si="100"/>
        <v>0</v>
      </c>
      <c r="Z624" s="534"/>
      <c r="AA624" s="354">
        <f>IF(ISERROR(VLOOKUP("SOC"&amp;$C624,ESTR_PREC_SP!$A$2:$G$2000,5,FALSE))=TRUE,0,VLOOKUP("SOC"&amp;$C624,ESTR_PREC_SP!$A$2:$G$2000,5,FALSE))</f>
        <v>0</v>
      </c>
      <c r="AB624" s="520"/>
      <c r="AC624" s="520"/>
      <c r="AD624" s="520"/>
      <c r="AE624" s="269">
        <f t="shared" si="95"/>
        <v>0</v>
      </c>
      <c r="AF624" s="520"/>
      <c r="AG624" s="520"/>
      <c r="AH624" s="520"/>
      <c r="AI624" s="520"/>
      <c r="AJ624" s="526">
        <f t="shared" si="96"/>
        <v>0</v>
      </c>
      <c r="AK624" s="526">
        <f t="shared" si="97"/>
        <v>0</v>
      </c>
      <c r="AL624" s="520"/>
      <c r="AM624" s="520"/>
    </row>
    <row r="625" spans="1:39" s="204" customFormat="1" x14ac:dyDescent="0.25">
      <c r="B625" s="287" t="s">
        <v>1463</v>
      </c>
      <c r="C625" s="287" t="s">
        <v>1464</v>
      </c>
      <c r="D625" s="274" t="s">
        <v>3710</v>
      </c>
      <c r="E625" s="274"/>
      <c r="F625" s="274"/>
      <c r="G625" s="283"/>
      <c r="H625" s="266"/>
      <c r="I625" s="274"/>
      <c r="J625" s="281"/>
      <c r="K625" s="281"/>
      <c r="L625" s="386" t="s">
        <v>3711</v>
      </c>
      <c r="M625" s="284" t="s">
        <v>2962</v>
      </c>
      <c r="N625" s="269">
        <f t="shared" si="98"/>
        <v>0</v>
      </c>
      <c r="O625" s="270">
        <f t="shared" si="99"/>
        <v>0</v>
      </c>
      <c r="P625" s="271">
        <f t="shared" si="93"/>
        <v>0</v>
      </c>
      <c r="Q625" s="520"/>
      <c r="R625" s="354">
        <f>IF(ISERROR(VLOOKUP("SOC"&amp;$C625,ESTR_PREC_SP!$A$2:$G$2000,4,FALSE))=TRUE,0,VLOOKUP("SOC"&amp;$C625,ESTR_PREC_SP!$A$2:$G$2000,4,FALSE))</f>
        <v>0</v>
      </c>
      <c r="S625" s="520"/>
      <c r="T625" s="520"/>
      <c r="U625" s="520"/>
      <c r="V625" s="520"/>
      <c r="W625" s="520"/>
      <c r="X625" s="520"/>
      <c r="Y625" s="269">
        <f t="shared" si="100"/>
        <v>0</v>
      </c>
      <c r="Z625" s="534"/>
      <c r="AA625" s="354">
        <f>IF(ISERROR(VLOOKUP("SOC"&amp;$C625,ESTR_PREC_SP!$A$2:$G$2000,5,FALSE))=TRUE,0,VLOOKUP("SOC"&amp;$C625,ESTR_PREC_SP!$A$2:$G$2000,5,FALSE))</f>
        <v>0</v>
      </c>
      <c r="AB625" s="520"/>
      <c r="AC625" s="520"/>
      <c r="AD625" s="520"/>
      <c r="AE625" s="269">
        <f t="shared" si="95"/>
        <v>0</v>
      </c>
      <c r="AF625" s="520"/>
      <c r="AG625" s="520"/>
      <c r="AH625" s="520"/>
      <c r="AI625" s="520"/>
      <c r="AJ625" s="526">
        <f t="shared" si="96"/>
        <v>0</v>
      </c>
      <c r="AK625" s="526">
        <f t="shared" si="97"/>
        <v>0</v>
      </c>
      <c r="AL625" s="520"/>
      <c r="AM625" s="520"/>
    </row>
    <row r="626" spans="1:39" s="204" customFormat="1" x14ac:dyDescent="0.25">
      <c r="B626" s="287" t="s">
        <v>1466</v>
      </c>
      <c r="C626" s="287" t="s">
        <v>1467</v>
      </c>
      <c r="D626" s="274" t="s">
        <v>3712</v>
      </c>
      <c r="E626" s="274"/>
      <c r="F626" s="274"/>
      <c r="G626" s="283"/>
      <c r="H626" s="266"/>
      <c r="I626" s="274"/>
      <c r="J626" s="281"/>
      <c r="K626" s="281"/>
      <c r="L626" s="97" t="s">
        <v>3713</v>
      </c>
      <c r="M626" s="284" t="s">
        <v>2962</v>
      </c>
      <c r="N626" s="269">
        <f t="shared" si="98"/>
        <v>0</v>
      </c>
      <c r="O626" s="270">
        <f t="shared" si="99"/>
        <v>0</v>
      </c>
      <c r="P626" s="271">
        <f t="shared" si="93"/>
        <v>0</v>
      </c>
      <c r="Q626" s="520"/>
      <c r="R626" s="354">
        <f>IF(ISERROR(VLOOKUP("SOC"&amp;$C626,ESTR_PREC_SP!$A$2:$G$2000,4,FALSE))=TRUE,0,VLOOKUP("SOC"&amp;$C626,ESTR_PREC_SP!$A$2:$G$2000,4,FALSE))</f>
        <v>0</v>
      </c>
      <c r="S626" s="520"/>
      <c r="T626" s="520"/>
      <c r="U626" s="520"/>
      <c r="V626" s="520"/>
      <c r="W626" s="520"/>
      <c r="X626" s="520"/>
      <c r="Y626" s="269">
        <f t="shared" si="100"/>
        <v>0</v>
      </c>
      <c r="Z626" s="534"/>
      <c r="AA626" s="354">
        <f>IF(ISERROR(VLOOKUP("SOC"&amp;$C626,ESTR_PREC_SP!$A$2:$G$2000,5,FALSE))=TRUE,0,VLOOKUP("SOC"&amp;$C626,ESTR_PREC_SP!$A$2:$G$2000,5,FALSE))</f>
        <v>0</v>
      </c>
      <c r="AB626" s="520"/>
      <c r="AC626" s="520"/>
      <c r="AD626" s="520"/>
      <c r="AE626" s="269">
        <f t="shared" si="95"/>
        <v>0</v>
      </c>
      <c r="AF626" s="520"/>
      <c r="AG626" s="520"/>
      <c r="AH626" s="520"/>
      <c r="AI626" s="520"/>
      <c r="AJ626" s="526">
        <f t="shared" si="96"/>
        <v>0</v>
      </c>
      <c r="AK626" s="526">
        <f t="shared" si="97"/>
        <v>0</v>
      </c>
      <c r="AL626" s="520"/>
      <c r="AM626" s="520"/>
    </row>
    <row r="627" spans="1:39" s="204" customFormat="1" x14ac:dyDescent="0.25">
      <c r="B627" s="287" t="s">
        <v>1469</v>
      </c>
      <c r="C627" s="287" t="s">
        <v>1470</v>
      </c>
      <c r="D627" s="274" t="s">
        <v>3714</v>
      </c>
      <c r="E627" s="274"/>
      <c r="F627" s="274"/>
      <c r="G627" s="283"/>
      <c r="H627" s="266"/>
      <c r="I627" s="274"/>
      <c r="J627" s="281"/>
      <c r="K627" s="281"/>
      <c r="L627" s="97" t="s">
        <v>3715</v>
      </c>
      <c r="M627" s="284" t="s">
        <v>2962</v>
      </c>
      <c r="N627" s="269">
        <f t="shared" si="98"/>
        <v>0</v>
      </c>
      <c r="O627" s="270">
        <f t="shared" si="99"/>
        <v>0</v>
      </c>
      <c r="P627" s="271">
        <f t="shared" si="93"/>
        <v>0</v>
      </c>
      <c r="Q627" s="520"/>
      <c r="R627" s="354">
        <f>IF(ISERROR(VLOOKUP("SOC"&amp;$C627,ESTR_PREC_SP!$A$2:$G$2000,4,FALSE))=TRUE,0,VLOOKUP("SOC"&amp;$C627,ESTR_PREC_SP!$A$2:$G$2000,4,FALSE))</f>
        <v>0</v>
      </c>
      <c r="S627" s="520"/>
      <c r="T627" s="520"/>
      <c r="U627" s="520"/>
      <c r="V627" s="520"/>
      <c r="W627" s="520"/>
      <c r="X627" s="520"/>
      <c r="Y627" s="269">
        <f t="shared" si="100"/>
        <v>0</v>
      </c>
      <c r="Z627" s="534"/>
      <c r="AA627" s="354">
        <f>IF(ISERROR(VLOOKUP("SOC"&amp;$C627,ESTR_PREC_SP!$A$2:$G$2000,5,FALSE))=TRUE,0,VLOOKUP("SOC"&amp;$C627,ESTR_PREC_SP!$A$2:$G$2000,5,FALSE))</f>
        <v>0</v>
      </c>
      <c r="AB627" s="520"/>
      <c r="AC627" s="520"/>
      <c r="AD627" s="520"/>
      <c r="AE627" s="269">
        <f t="shared" si="95"/>
        <v>0</v>
      </c>
      <c r="AF627" s="520"/>
      <c r="AG627" s="520"/>
      <c r="AH627" s="520"/>
      <c r="AI627" s="520"/>
      <c r="AJ627" s="526">
        <f t="shared" si="96"/>
        <v>0</v>
      </c>
      <c r="AK627" s="526">
        <f t="shared" si="97"/>
        <v>0</v>
      </c>
      <c r="AL627" s="520"/>
      <c r="AM627" s="520"/>
    </row>
    <row r="628" spans="1:39" s="204" customFormat="1" x14ac:dyDescent="0.25">
      <c r="B628" s="287"/>
      <c r="C628" s="287"/>
      <c r="D628" s="274"/>
      <c r="E628" s="274"/>
      <c r="F628" s="274"/>
      <c r="G628" s="283"/>
      <c r="H628" s="266"/>
      <c r="I628" s="274"/>
      <c r="J628" s="281"/>
      <c r="K628" s="281"/>
      <c r="L628" s="97"/>
      <c r="M628" s="284"/>
      <c r="N628" s="269"/>
      <c r="O628" s="270"/>
      <c r="P628" s="271"/>
      <c r="Q628" s="520"/>
      <c r="R628" s="354"/>
      <c r="S628" s="520"/>
      <c r="T628" s="520"/>
      <c r="U628" s="520"/>
      <c r="V628" s="520"/>
      <c r="W628" s="520"/>
      <c r="X628" s="520"/>
      <c r="Y628" s="269"/>
      <c r="Z628" s="534"/>
      <c r="AA628" s="354"/>
      <c r="AB628" s="520"/>
      <c r="AC628" s="520"/>
      <c r="AD628" s="520"/>
      <c r="AE628" s="269"/>
      <c r="AF628" s="520"/>
      <c r="AG628" s="520"/>
      <c r="AH628" s="520"/>
      <c r="AI628" s="520"/>
      <c r="AJ628" s="526"/>
      <c r="AK628" s="526"/>
      <c r="AL628" s="520"/>
      <c r="AM628" s="520"/>
    </row>
    <row r="629" spans="1:39" s="204" customFormat="1" ht="25.5" x14ac:dyDescent="0.25">
      <c r="B629" s="287" t="s">
        <v>1476</v>
      </c>
      <c r="C629" s="287" t="s">
        <v>1477</v>
      </c>
      <c r="D629" s="274" t="s">
        <v>3716</v>
      </c>
      <c r="E629" s="274"/>
      <c r="F629" s="274"/>
      <c r="G629" s="283"/>
      <c r="H629" s="266"/>
      <c r="I629" s="274"/>
      <c r="J629" s="281"/>
      <c r="K629" s="281"/>
      <c r="L629" s="379" t="s">
        <v>3717</v>
      </c>
      <c r="M629" s="284" t="s">
        <v>2962</v>
      </c>
      <c r="N629" s="269">
        <f>+R629-AA629</f>
        <v>0</v>
      </c>
      <c r="O629" s="270">
        <f>+Y629-AE629</f>
        <v>0</v>
      </c>
      <c r="P629" s="271">
        <f t="shared" ref="P629:P649" si="101">+O629-N629</f>
        <v>0</v>
      </c>
      <c r="Q629" s="520"/>
      <c r="R629" s="354">
        <f>IF(ISERROR(VLOOKUP("SOC"&amp;$C629,ESTR_PREC_SP!$A$2:$G$2000,4,FALSE))=TRUE,0,VLOOKUP("SOC"&amp;$C629,ESTR_PREC_SP!$A$2:$G$2000,4,FALSE))</f>
        <v>0</v>
      </c>
      <c r="S629" s="520"/>
      <c r="T629" s="520"/>
      <c r="U629" s="520"/>
      <c r="V629" s="520"/>
      <c r="W629" s="520"/>
      <c r="X629" s="520"/>
      <c r="Y629" s="269">
        <f>+R629+S629+T629+U629-V629-X629+W629+Q629</f>
        <v>0</v>
      </c>
      <c r="Z629" s="534"/>
      <c r="AA629" s="354">
        <f>IF(ISERROR(VLOOKUP("SOC"&amp;$C629,ESTR_PREC_SP!$A$2:$G$2000,5,FALSE))=TRUE,0,VLOOKUP("SOC"&amp;$C629,ESTR_PREC_SP!$A$2:$G$2000,5,FALSE))</f>
        <v>0</v>
      </c>
      <c r="AB629" s="520"/>
      <c r="AC629" s="520"/>
      <c r="AD629" s="520"/>
      <c r="AE629" s="269">
        <f t="shared" ref="AE629:AE649" si="102">+AA629+AD629-AC629+AB629</f>
        <v>0</v>
      </c>
      <c r="AF629" s="520"/>
      <c r="AG629" s="520"/>
      <c r="AH629" s="520"/>
      <c r="AI629" s="520"/>
      <c r="AJ629" s="526">
        <f t="shared" ref="AJ629:AJ649" si="103">+Y629-SUM(AF629:AI629)</f>
        <v>0</v>
      </c>
      <c r="AK629" s="526">
        <f t="shared" ref="AK629:AK649" si="104">+Y629-AE629-AL629-AM629</f>
        <v>0</v>
      </c>
      <c r="AL629" s="520"/>
      <c r="AM629" s="520"/>
    </row>
    <row r="630" spans="1:39" s="204" customFormat="1" ht="25.5" x14ac:dyDescent="0.25">
      <c r="B630" s="287" t="s">
        <v>1481</v>
      </c>
      <c r="C630" s="287" t="s">
        <v>1482</v>
      </c>
      <c r="D630" s="274" t="s">
        <v>3718</v>
      </c>
      <c r="E630" s="274"/>
      <c r="F630" s="274"/>
      <c r="G630" s="283"/>
      <c r="H630" s="266"/>
      <c r="I630" s="274"/>
      <c r="J630" s="281"/>
      <c r="K630" s="281"/>
      <c r="L630" s="379" t="s">
        <v>3719</v>
      </c>
      <c r="M630" s="284" t="s">
        <v>2962</v>
      </c>
      <c r="N630" s="272">
        <f>SUM(N631:N633)</f>
        <v>0</v>
      </c>
      <c r="O630" s="272">
        <f>SUM(O631:O633)</f>
        <v>0</v>
      </c>
      <c r="P630" s="378">
        <f t="shared" si="101"/>
        <v>0</v>
      </c>
      <c r="Q630" s="272">
        <f>SUM(Q631:Q633)</f>
        <v>0</v>
      </c>
      <c r="R630" s="272">
        <f>SUM(R631:R633)</f>
        <v>0</v>
      </c>
      <c r="S630" s="272">
        <f>SUM(S631:S633)</f>
        <v>0</v>
      </c>
      <c r="T630" s="272">
        <f>SUM(T631:T633)</f>
        <v>0</v>
      </c>
      <c r="U630" s="272"/>
      <c r="V630" s="272">
        <f>SUM(V631:V633)</f>
        <v>0</v>
      </c>
      <c r="W630" s="272">
        <f>SUM(W631:W633)</f>
        <v>0</v>
      </c>
      <c r="X630" s="272">
        <f>SUM(X631:X633)</f>
        <v>0</v>
      </c>
      <c r="Y630" s="272">
        <f>+R630+S630+T630+U630-V630-X630+W630</f>
        <v>0</v>
      </c>
      <c r="Z630" s="272">
        <f>SUM(Z631:Z633)</f>
        <v>0</v>
      </c>
      <c r="AA630" s="272">
        <f>SUM(AA631:AA633)</f>
        <v>0</v>
      </c>
      <c r="AB630" s="272">
        <f>SUM(AB631:AB633)</f>
        <v>0</v>
      </c>
      <c r="AC630" s="272">
        <f>SUM(AC631:AC633)</f>
        <v>0</v>
      </c>
      <c r="AD630" s="272">
        <f>SUM(AD631:AD633)</f>
        <v>0</v>
      </c>
      <c r="AE630" s="272">
        <f t="shared" si="102"/>
        <v>0</v>
      </c>
      <c r="AF630" s="272">
        <f>SUM(AF631:AF633)</f>
        <v>0</v>
      </c>
      <c r="AG630" s="272">
        <f>SUM(AG631:AG633)</f>
        <v>0</v>
      </c>
      <c r="AH630" s="272">
        <f>SUM(AH631:AH633)</f>
        <v>0</v>
      </c>
      <c r="AI630" s="272">
        <f>SUM(AI631:AI633)</f>
        <v>0</v>
      </c>
      <c r="AJ630" s="537">
        <f t="shared" si="103"/>
        <v>0</v>
      </c>
      <c r="AK630" s="537">
        <f t="shared" si="104"/>
        <v>0</v>
      </c>
      <c r="AL630" s="272">
        <f>SUM(AL631:AL633)</f>
        <v>0</v>
      </c>
      <c r="AM630" s="272">
        <f>SUM(AM631:AM633)</f>
        <v>0</v>
      </c>
    </row>
    <row r="631" spans="1:39" s="204" customFormat="1" ht="25.5" x14ac:dyDescent="0.25">
      <c r="B631" s="287" t="s">
        <v>1485</v>
      </c>
      <c r="C631" s="287" t="s">
        <v>1486</v>
      </c>
      <c r="D631" s="274" t="s">
        <v>3720</v>
      </c>
      <c r="E631" s="274"/>
      <c r="F631" s="274"/>
      <c r="G631" s="283"/>
      <c r="H631" s="266"/>
      <c r="I631" s="274"/>
      <c r="J631" s="281"/>
      <c r="K631" s="281"/>
      <c r="L631" s="97" t="s">
        <v>3721</v>
      </c>
      <c r="M631" s="284" t="s">
        <v>2962</v>
      </c>
      <c r="N631" s="269">
        <f t="shared" ref="N631:N640" si="105">+R631-AA631</f>
        <v>0</v>
      </c>
      <c r="O631" s="270">
        <f t="shared" ref="O631:O640" si="106">+Y631-AE631</f>
        <v>0</v>
      </c>
      <c r="P631" s="271">
        <f t="shared" si="101"/>
        <v>0</v>
      </c>
      <c r="Q631" s="520"/>
      <c r="R631" s="354">
        <f>IF(ISERROR(VLOOKUP("SOC"&amp;$C631,ESTR_PREC_SP!$A$2:$G$2000,4,FALSE))=TRUE,0,VLOOKUP("SOC"&amp;$C631,ESTR_PREC_SP!$A$2:$G$2000,4,FALSE))</f>
        <v>0</v>
      </c>
      <c r="S631" s="520"/>
      <c r="T631" s="520"/>
      <c r="U631" s="520"/>
      <c r="V631" s="520"/>
      <c r="W631" s="520"/>
      <c r="X631" s="520"/>
      <c r="Y631" s="269">
        <f t="shared" ref="Y631:Y640" si="107">+R631+S631+T631+U631-V631-X631+W631+Q631</f>
        <v>0</v>
      </c>
      <c r="Z631" s="534"/>
      <c r="AA631" s="354">
        <f>IF(ISERROR(VLOOKUP("SOC"&amp;$C631,ESTR_PREC_SP!$A$2:$G$2000,5,FALSE))=TRUE,0,VLOOKUP("SOC"&amp;$C631,ESTR_PREC_SP!$A$2:$G$2000,5,FALSE))</f>
        <v>0</v>
      </c>
      <c r="AB631" s="520"/>
      <c r="AC631" s="520"/>
      <c r="AD631" s="520"/>
      <c r="AE631" s="269">
        <f t="shared" si="102"/>
        <v>0</v>
      </c>
      <c r="AF631" s="520"/>
      <c r="AG631" s="520"/>
      <c r="AH631" s="520"/>
      <c r="AI631" s="520"/>
      <c r="AJ631" s="526">
        <f t="shared" si="103"/>
        <v>0</v>
      </c>
      <c r="AK631" s="526">
        <f t="shared" si="104"/>
        <v>0</v>
      </c>
      <c r="AL631" s="520"/>
      <c r="AM631" s="520"/>
    </row>
    <row r="632" spans="1:39" s="204" customFormat="1" ht="25.5" x14ac:dyDescent="0.25">
      <c r="B632" s="287" t="s">
        <v>1488</v>
      </c>
      <c r="C632" s="287" t="s">
        <v>1489</v>
      </c>
      <c r="D632" s="274" t="s">
        <v>3722</v>
      </c>
      <c r="E632" s="274"/>
      <c r="F632" s="274"/>
      <c r="G632" s="283"/>
      <c r="H632" s="266"/>
      <c r="I632" s="274"/>
      <c r="J632" s="281"/>
      <c r="K632" s="281"/>
      <c r="L632" s="97" t="s">
        <v>3723</v>
      </c>
      <c r="M632" s="284" t="s">
        <v>2962</v>
      </c>
      <c r="N632" s="269">
        <f t="shared" si="105"/>
        <v>0</v>
      </c>
      <c r="O632" s="270">
        <f t="shared" si="106"/>
        <v>0</v>
      </c>
      <c r="P632" s="271">
        <f t="shared" si="101"/>
        <v>0</v>
      </c>
      <c r="Q632" s="520"/>
      <c r="R632" s="354">
        <f>IF(ISERROR(VLOOKUP("SOC"&amp;$C632,ESTR_PREC_SP!$A$2:$G$2000,4,FALSE))=TRUE,0,VLOOKUP("SOC"&amp;$C632,ESTR_PREC_SP!$A$2:$G$2000,4,FALSE))</f>
        <v>0</v>
      </c>
      <c r="S632" s="520"/>
      <c r="T632" s="520"/>
      <c r="U632" s="520"/>
      <c r="V632" s="520"/>
      <c r="W632" s="520"/>
      <c r="X632" s="520"/>
      <c r="Y632" s="269">
        <f t="shared" si="107"/>
        <v>0</v>
      </c>
      <c r="Z632" s="534"/>
      <c r="AA632" s="354">
        <f>IF(ISERROR(VLOOKUP("SOC"&amp;$C632,ESTR_PREC_SP!$A$2:$G$2000,5,FALSE))=TRUE,0,VLOOKUP("SOC"&amp;$C632,ESTR_PREC_SP!$A$2:$G$2000,5,FALSE))</f>
        <v>0</v>
      </c>
      <c r="AB632" s="520"/>
      <c r="AC632" s="520"/>
      <c r="AD632" s="520"/>
      <c r="AE632" s="269">
        <f t="shared" si="102"/>
        <v>0</v>
      </c>
      <c r="AF632" s="520"/>
      <c r="AG632" s="520"/>
      <c r="AH632" s="520"/>
      <c r="AI632" s="520"/>
      <c r="AJ632" s="526">
        <f t="shared" si="103"/>
        <v>0</v>
      </c>
      <c r="AK632" s="526">
        <f t="shared" si="104"/>
        <v>0</v>
      </c>
      <c r="AL632" s="520"/>
      <c r="AM632" s="520"/>
    </row>
    <row r="633" spans="1:39" s="204" customFormat="1" ht="25.5" x14ac:dyDescent="0.25">
      <c r="B633" s="287" t="s">
        <v>1491</v>
      </c>
      <c r="C633" s="287" t="s">
        <v>1492</v>
      </c>
      <c r="D633" s="274" t="s">
        <v>3724</v>
      </c>
      <c r="E633" s="274"/>
      <c r="F633" s="274"/>
      <c r="G633" s="283"/>
      <c r="H633" s="266"/>
      <c r="I633" s="274"/>
      <c r="J633" s="281"/>
      <c r="K633" s="281"/>
      <c r="L633" s="97" t="s">
        <v>3725</v>
      </c>
      <c r="M633" s="284" t="s">
        <v>2962</v>
      </c>
      <c r="N633" s="269">
        <f t="shared" si="105"/>
        <v>0</v>
      </c>
      <c r="O633" s="270">
        <f t="shared" si="106"/>
        <v>0</v>
      </c>
      <c r="P633" s="271">
        <f t="shared" si="101"/>
        <v>0</v>
      </c>
      <c r="Q633" s="520"/>
      <c r="R633" s="354">
        <f>IF(ISERROR(VLOOKUP("SOC"&amp;$C633,ESTR_PREC_SP!$A$2:$G$2000,4,FALSE))=TRUE,0,VLOOKUP("SOC"&amp;$C633,ESTR_PREC_SP!$A$2:$G$2000,4,FALSE))</f>
        <v>0</v>
      </c>
      <c r="S633" s="520"/>
      <c r="T633" s="520"/>
      <c r="U633" s="520"/>
      <c r="V633" s="520"/>
      <c r="W633" s="520"/>
      <c r="X633" s="520"/>
      <c r="Y633" s="269">
        <f t="shared" si="107"/>
        <v>0</v>
      </c>
      <c r="Z633" s="534"/>
      <c r="AA633" s="354">
        <f>IF(ISERROR(VLOOKUP("SOC"&amp;$C633,ESTR_PREC_SP!$A$2:$G$2000,5,FALSE))=TRUE,0,VLOOKUP("SOC"&amp;$C633,ESTR_PREC_SP!$A$2:$G$2000,5,FALSE))</f>
        <v>0</v>
      </c>
      <c r="AB633" s="520"/>
      <c r="AC633" s="520"/>
      <c r="AD633" s="520"/>
      <c r="AE633" s="269">
        <f t="shared" si="102"/>
        <v>0</v>
      </c>
      <c r="AF633" s="520"/>
      <c r="AG633" s="520"/>
      <c r="AH633" s="520"/>
      <c r="AI633" s="520"/>
      <c r="AJ633" s="526">
        <f t="shared" si="103"/>
        <v>0</v>
      </c>
      <c r="AK633" s="526">
        <f t="shared" si="104"/>
        <v>0</v>
      </c>
      <c r="AL633" s="520"/>
      <c r="AM633" s="520"/>
    </row>
    <row r="634" spans="1:39" s="204" customFormat="1" x14ac:dyDescent="0.25">
      <c r="B634" s="287" t="s">
        <v>1494</v>
      </c>
      <c r="C634" s="287" t="s">
        <v>1495</v>
      </c>
      <c r="D634" s="274" t="s">
        <v>3726</v>
      </c>
      <c r="E634" s="274"/>
      <c r="F634" s="274"/>
      <c r="G634" s="283"/>
      <c r="H634" s="266"/>
      <c r="I634" s="274"/>
      <c r="J634" s="281"/>
      <c r="K634" s="281"/>
      <c r="L634" s="379" t="s">
        <v>3727</v>
      </c>
      <c r="M634" s="284" t="s">
        <v>2962</v>
      </c>
      <c r="N634" s="269">
        <f t="shared" si="105"/>
        <v>0</v>
      </c>
      <c r="O634" s="270">
        <f t="shared" si="106"/>
        <v>0</v>
      </c>
      <c r="P634" s="271">
        <f t="shared" si="101"/>
        <v>0</v>
      </c>
      <c r="Q634" s="520"/>
      <c r="R634" s="354">
        <f>IF(ISERROR(VLOOKUP("SOC"&amp;$C634,ESTR_PREC_SP!$A$2:$G$2000,4,FALSE))=TRUE,0,VLOOKUP("SOC"&amp;$C634,ESTR_PREC_SP!$A$2:$G$2000,4,FALSE))</f>
        <v>0</v>
      </c>
      <c r="S634" s="520"/>
      <c r="T634" s="520"/>
      <c r="U634" s="520"/>
      <c r="V634" s="520"/>
      <c r="W634" s="520"/>
      <c r="X634" s="520"/>
      <c r="Y634" s="269">
        <f t="shared" si="107"/>
        <v>0</v>
      </c>
      <c r="Z634" s="534"/>
      <c r="AA634" s="354">
        <f>IF(ISERROR(VLOOKUP("SOC"&amp;$C634,ESTR_PREC_SP!$A$2:$G$2000,5,FALSE))=TRUE,0,VLOOKUP("SOC"&amp;$C634,ESTR_PREC_SP!$A$2:$G$2000,5,FALSE))</f>
        <v>0</v>
      </c>
      <c r="AB634" s="520"/>
      <c r="AC634" s="520"/>
      <c r="AD634" s="520"/>
      <c r="AE634" s="269">
        <f t="shared" si="102"/>
        <v>0</v>
      </c>
      <c r="AF634" s="520"/>
      <c r="AG634" s="520"/>
      <c r="AH634" s="520"/>
      <c r="AI634" s="520"/>
      <c r="AJ634" s="526">
        <f t="shared" si="103"/>
        <v>0</v>
      </c>
      <c r="AK634" s="526">
        <f t="shared" si="104"/>
        <v>0</v>
      </c>
      <c r="AL634" s="520"/>
      <c r="AM634" s="520"/>
    </row>
    <row r="635" spans="1:39" s="204" customFormat="1" ht="25.5" x14ac:dyDescent="0.25">
      <c r="B635" s="287" t="s">
        <v>1498</v>
      </c>
      <c r="C635" s="287" t="s">
        <v>1499</v>
      </c>
      <c r="D635" s="274" t="s">
        <v>3728</v>
      </c>
      <c r="E635" s="274"/>
      <c r="F635" s="274"/>
      <c r="G635" s="283"/>
      <c r="H635" s="266"/>
      <c r="I635" s="274"/>
      <c r="J635" s="281"/>
      <c r="K635" s="281"/>
      <c r="L635" s="379" t="s">
        <v>3729</v>
      </c>
      <c r="M635" s="284" t="s">
        <v>2962</v>
      </c>
      <c r="N635" s="269">
        <f t="shared" si="105"/>
        <v>0</v>
      </c>
      <c r="O635" s="270">
        <f t="shared" si="106"/>
        <v>0</v>
      </c>
      <c r="P635" s="271">
        <f t="shared" si="101"/>
        <v>0</v>
      </c>
      <c r="Q635" s="520"/>
      <c r="R635" s="354">
        <f>IF(ISERROR(VLOOKUP("SOC"&amp;$C635,ESTR_PREC_SP!$A$2:$G$2000,4,FALSE))=TRUE,0,VLOOKUP("SOC"&amp;$C635,ESTR_PREC_SP!$A$2:$G$2000,4,FALSE))</f>
        <v>0</v>
      </c>
      <c r="S635" s="520"/>
      <c r="T635" s="520"/>
      <c r="U635" s="520"/>
      <c r="V635" s="520"/>
      <c r="W635" s="520"/>
      <c r="X635" s="520"/>
      <c r="Y635" s="269">
        <f t="shared" si="107"/>
        <v>0</v>
      </c>
      <c r="Z635" s="534"/>
      <c r="AA635" s="354">
        <f>IF(ISERROR(VLOOKUP("SOC"&amp;$C635,ESTR_PREC_SP!$A$2:$G$2000,5,FALSE))=TRUE,0,VLOOKUP("SOC"&amp;$C635,ESTR_PREC_SP!$A$2:$G$2000,5,FALSE))</f>
        <v>0</v>
      </c>
      <c r="AB635" s="520"/>
      <c r="AC635" s="520"/>
      <c r="AD635" s="520"/>
      <c r="AE635" s="269">
        <f t="shared" si="102"/>
        <v>0</v>
      </c>
      <c r="AF635" s="520"/>
      <c r="AG635" s="520"/>
      <c r="AH635" s="520"/>
      <c r="AI635" s="520"/>
      <c r="AJ635" s="526">
        <f t="shared" si="103"/>
        <v>0</v>
      </c>
      <c r="AK635" s="526">
        <f t="shared" si="104"/>
        <v>0</v>
      </c>
      <c r="AL635" s="520"/>
      <c r="AM635" s="520"/>
    </row>
    <row r="636" spans="1:39" s="204" customFormat="1" ht="25.5" x14ac:dyDescent="0.25">
      <c r="B636" s="287" t="s">
        <v>1503</v>
      </c>
      <c r="C636" s="287" t="s">
        <v>1504</v>
      </c>
      <c r="D636" s="274" t="s">
        <v>3730</v>
      </c>
      <c r="E636" s="274"/>
      <c r="F636" s="274"/>
      <c r="G636" s="283"/>
      <c r="H636" s="266"/>
      <c r="I636" s="274"/>
      <c r="J636" s="281"/>
      <c r="K636" s="281"/>
      <c r="L636" s="379" t="s">
        <v>3731</v>
      </c>
      <c r="M636" s="284" t="s">
        <v>2962</v>
      </c>
      <c r="N636" s="269">
        <f t="shared" si="105"/>
        <v>0</v>
      </c>
      <c r="O636" s="270">
        <f t="shared" si="106"/>
        <v>0</v>
      </c>
      <c r="P636" s="271">
        <f t="shared" si="101"/>
        <v>0</v>
      </c>
      <c r="Q636" s="520"/>
      <c r="R636" s="354">
        <f>IF(ISERROR(VLOOKUP("SOC"&amp;$C636,ESTR_PREC_SP!$A$2:$G$2000,4,FALSE))=TRUE,0,VLOOKUP("SOC"&amp;$C636,ESTR_PREC_SP!$A$2:$G$2000,4,FALSE))</f>
        <v>0</v>
      </c>
      <c r="S636" s="520"/>
      <c r="T636" s="520"/>
      <c r="U636" s="520"/>
      <c r="V636" s="520"/>
      <c r="W636" s="520"/>
      <c r="X636" s="520"/>
      <c r="Y636" s="269">
        <f t="shared" si="107"/>
        <v>0</v>
      </c>
      <c r="Z636" s="534"/>
      <c r="AA636" s="354">
        <f>IF(ISERROR(VLOOKUP("SOC"&amp;$C636,ESTR_PREC_SP!$A$2:$G$2000,5,FALSE))=TRUE,0,VLOOKUP("SOC"&amp;$C636,ESTR_PREC_SP!$A$2:$G$2000,5,FALSE))</f>
        <v>0</v>
      </c>
      <c r="AB636" s="520"/>
      <c r="AC636" s="520"/>
      <c r="AD636" s="520"/>
      <c r="AE636" s="269">
        <f t="shared" si="102"/>
        <v>0</v>
      </c>
      <c r="AF636" s="520"/>
      <c r="AG636" s="520"/>
      <c r="AH636" s="520"/>
      <c r="AI636" s="520"/>
      <c r="AJ636" s="526">
        <f t="shared" si="103"/>
        <v>0</v>
      </c>
      <c r="AK636" s="526">
        <f t="shared" si="104"/>
        <v>0</v>
      </c>
      <c r="AL636" s="520"/>
      <c r="AM636" s="520"/>
    </row>
    <row r="637" spans="1:39" s="204" customFormat="1" x14ac:dyDescent="0.25">
      <c r="B637" s="287" t="s">
        <v>1508</v>
      </c>
      <c r="C637" s="287" t="s">
        <v>1509</v>
      </c>
      <c r="D637" s="274" t="s">
        <v>3732</v>
      </c>
      <c r="E637" s="274"/>
      <c r="F637" s="274"/>
      <c r="G637" s="283"/>
      <c r="H637" s="266"/>
      <c r="I637" s="274"/>
      <c r="J637" s="281"/>
      <c r="K637" s="281"/>
      <c r="L637" s="379" t="s">
        <v>3733</v>
      </c>
      <c r="M637" s="284" t="s">
        <v>2962</v>
      </c>
      <c r="N637" s="269">
        <f t="shared" si="105"/>
        <v>0</v>
      </c>
      <c r="O637" s="270">
        <f t="shared" si="106"/>
        <v>0</v>
      </c>
      <c r="P637" s="271">
        <f t="shared" si="101"/>
        <v>0</v>
      </c>
      <c r="Q637" s="520"/>
      <c r="R637" s="354">
        <f>IF(ISERROR(VLOOKUP("SOC"&amp;$C637,ESTR_PREC_SP!$A$2:$G$2000,4,FALSE))=TRUE,0,VLOOKUP("SOC"&amp;$C637,ESTR_PREC_SP!$A$2:$G$2000,4,FALSE))</f>
        <v>0</v>
      </c>
      <c r="S637" s="520"/>
      <c r="T637" s="520"/>
      <c r="U637" s="520"/>
      <c r="V637" s="520"/>
      <c r="W637" s="520"/>
      <c r="X637" s="520"/>
      <c r="Y637" s="269">
        <f t="shared" si="107"/>
        <v>0</v>
      </c>
      <c r="Z637" s="534"/>
      <c r="AA637" s="354">
        <f>IF(ISERROR(VLOOKUP("SOC"&amp;$C637,ESTR_PREC_SP!$A$2:$G$2000,5,FALSE))=TRUE,0,VLOOKUP("SOC"&amp;$C637,ESTR_PREC_SP!$A$2:$G$2000,5,FALSE))</f>
        <v>0</v>
      </c>
      <c r="AB637" s="520"/>
      <c r="AC637" s="520"/>
      <c r="AD637" s="520"/>
      <c r="AE637" s="269">
        <f t="shared" si="102"/>
        <v>0</v>
      </c>
      <c r="AF637" s="520"/>
      <c r="AG637" s="520"/>
      <c r="AH637" s="520"/>
      <c r="AI637" s="520"/>
      <c r="AJ637" s="526">
        <f t="shared" si="103"/>
        <v>0</v>
      </c>
      <c r="AK637" s="526">
        <f t="shared" si="104"/>
        <v>0</v>
      </c>
      <c r="AL637" s="520"/>
      <c r="AM637" s="520"/>
    </row>
    <row r="638" spans="1:39" s="204" customFormat="1" ht="26.25" x14ac:dyDescent="0.25">
      <c r="A638" s="535" t="s">
        <v>3681</v>
      </c>
      <c r="B638" s="536" t="s">
        <v>1513</v>
      </c>
      <c r="C638" s="536" t="s">
        <v>1514</v>
      </c>
      <c r="D638" s="536"/>
      <c r="E638" s="536"/>
      <c r="F638" s="536"/>
      <c r="G638" s="536"/>
      <c r="H638" s="536"/>
      <c r="I638" s="536"/>
      <c r="J638" s="536"/>
      <c r="K638" s="536"/>
      <c r="L638" s="536" t="s">
        <v>3734</v>
      </c>
      <c r="M638" s="284" t="s">
        <v>2962</v>
      </c>
      <c r="N638" s="269">
        <f t="shared" si="105"/>
        <v>0</v>
      </c>
      <c r="O638" s="270">
        <f t="shared" si="106"/>
        <v>0</v>
      </c>
      <c r="P638" s="271">
        <f t="shared" si="101"/>
        <v>0</v>
      </c>
      <c r="Q638" s="520"/>
      <c r="R638" s="354">
        <f>IF(ISERROR(VLOOKUP("SOC"&amp;$C638,ESTR_PREC_SP!$A$2:$G$2000,4,FALSE))=TRUE,0,VLOOKUP("SOC"&amp;$C638,ESTR_PREC_SP!$A$2:$G$2000,4,FALSE))</f>
        <v>0</v>
      </c>
      <c r="S638" s="520"/>
      <c r="T638" s="520"/>
      <c r="U638" s="520"/>
      <c r="V638" s="520"/>
      <c r="W638" s="520"/>
      <c r="X638" s="520"/>
      <c r="Y638" s="269">
        <f t="shared" si="107"/>
        <v>0</v>
      </c>
      <c r="Z638" s="534"/>
      <c r="AA638" s="354">
        <f>IF(ISERROR(VLOOKUP("SOC"&amp;$C638,ESTR_PREC_SP!$A$2:$G$2000,5,FALSE))=TRUE,0,VLOOKUP("SOC"&amp;$C638,ESTR_PREC_SP!$A$2:$G$2000,5,FALSE))</f>
        <v>0</v>
      </c>
      <c r="AB638" s="520"/>
      <c r="AC638" s="520"/>
      <c r="AD638" s="520"/>
      <c r="AE638" s="269">
        <f t="shared" si="102"/>
        <v>0</v>
      </c>
      <c r="AF638" s="520"/>
      <c r="AG638" s="520"/>
      <c r="AH638" s="520"/>
      <c r="AI638" s="520"/>
      <c r="AJ638" s="526">
        <f t="shared" si="103"/>
        <v>0</v>
      </c>
      <c r="AK638" s="526">
        <f t="shared" si="104"/>
        <v>0</v>
      </c>
      <c r="AL638" s="520"/>
      <c r="AM638" s="520"/>
    </row>
    <row r="639" spans="1:39" s="204" customFormat="1" x14ac:dyDescent="0.25">
      <c r="B639" s="287" t="s">
        <v>1518</v>
      </c>
      <c r="C639" s="287" t="s">
        <v>1519</v>
      </c>
      <c r="D639" s="274" t="s">
        <v>3735</v>
      </c>
      <c r="E639" s="274"/>
      <c r="F639" s="274"/>
      <c r="G639" s="283"/>
      <c r="H639" s="266"/>
      <c r="I639" s="274"/>
      <c r="J639" s="281"/>
      <c r="K639" s="281"/>
      <c r="L639" s="284" t="s">
        <v>4393</v>
      </c>
      <c r="M639" s="284" t="s">
        <v>2962</v>
      </c>
      <c r="N639" s="269">
        <f t="shared" si="105"/>
        <v>0</v>
      </c>
      <c r="O639" s="270">
        <f t="shared" si="106"/>
        <v>0</v>
      </c>
      <c r="P639" s="271">
        <f t="shared" si="101"/>
        <v>0</v>
      </c>
      <c r="Q639" s="520"/>
      <c r="R639" s="354">
        <f>IF(ISERROR(VLOOKUP("SOC"&amp;$C639,ESTR_PREC_SP!$A$2:$G$2000,4,FALSE))=TRUE,0,VLOOKUP("SOC"&amp;$C639,ESTR_PREC_SP!$A$2:$G$2000,4,FALSE))</f>
        <v>0</v>
      </c>
      <c r="S639" s="520"/>
      <c r="T639" s="520"/>
      <c r="U639" s="520"/>
      <c r="V639" s="520"/>
      <c r="W639" s="520"/>
      <c r="X639" s="520"/>
      <c r="Y639" s="269">
        <f t="shared" si="107"/>
        <v>0</v>
      </c>
      <c r="Z639" s="534"/>
      <c r="AA639" s="354">
        <f>IF(ISERROR(VLOOKUP("SOC"&amp;$C639,ESTR_PREC_SP!$A$2:$G$2000,5,FALSE))=TRUE,0,VLOOKUP("SOC"&amp;$C639,ESTR_PREC_SP!$A$2:$G$2000,5,FALSE))</f>
        <v>0</v>
      </c>
      <c r="AB639" s="520"/>
      <c r="AC639" s="520"/>
      <c r="AD639" s="520"/>
      <c r="AE639" s="269">
        <f t="shared" si="102"/>
        <v>0</v>
      </c>
      <c r="AF639" s="520"/>
      <c r="AG639" s="520"/>
      <c r="AH639" s="520"/>
      <c r="AI639" s="520"/>
      <c r="AJ639" s="526">
        <f t="shared" si="103"/>
        <v>0</v>
      </c>
      <c r="AK639" s="526">
        <f t="shared" si="104"/>
        <v>0</v>
      </c>
      <c r="AL639" s="520"/>
      <c r="AM639" s="520"/>
    </row>
    <row r="640" spans="1:39" s="204" customFormat="1" ht="26.25" x14ac:dyDescent="0.25">
      <c r="A640" s="535" t="s">
        <v>3681</v>
      </c>
      <c r="B640" s="536" t="s">
        <v>1523</v>
      </c>
      <c r="C640" s="536" t="s">
        <v>1524</v>
      </c>
      <c r="D640" s="536"/>
      <c r="E640" s="536"/>
      <c r="F640" s="536"/>
      <c r="G640" s="536"/>
      <c r="H640" s="536"/>
      <c r="I640" s="536"/>
      <c r="J640" s="536"/>
      <c r="K640" s="536"/>
      <c r="L640" s="536" t="s">
        <v>3737</v>
      </c>
      <c r="M640" s="284" t="s">
        <v>2962</v>
      </c>
      <c r="N640" s="269">
        <f t="shared" si="105"/>
        <v>0</v>
      </c>
      <c r="O640" s="270">
        <f t="shared" si="106"/>
        <v>0</v>
      </c>
      <c r="P640" s="271">
        <f t="shared" si="101"/>
        <v>0</v>
      </c>
      <c r="Q640" s="520"/>
      <c r="R640" s="354">
        <f>IF(ISERROR(VLOOKUP("SOC"&amp;$C640,ESTR_PREC_SP!$A$2:$G$2000,4,FALSE))=TRUE,0,VLOOKUP("SOC"&amp;$C640,ESTR_PREC_SP!$A$2:$G$2000,4,FALSE))</f>
        <v>0</v>
      </c>
      <c r="S640" s="520"/>
      <c r="T640" s="520"/>
      <c r="U640" s="520"/>
      <c r="V640" s="520"/>
      <c r="W640" s="520"/>
      <c r="X640" s="520"/>
      <c r="Y640" s="269">
        <f t="shared" si="107"/>
        <v>0</v>
      </c>
      <c r="Z640" s="534"/>
      <c r="AA640" s="354">
        <f>IF(ISERROR(VLOOKUP("SOC"&amp;$C640,ESTR_PREC_SP!$A$2:$G$2000,5,FALSE))=TRUE,0,VLOOKUP("SOC"&amp;$C640,ESTR_PREC_SP!$A$2:$G$2000,5,FALSE))</f>
        <v>0</v>
      </c>
      <c r="AB640" s="520"/>
      <c r="AC640" s="520"/>
      <c r="AD640" s="520"/>
      <c r="AE640" s="269">
        <f t="shared" si="102"/>
        <v>0</v>
      </c>
      <c r="AF640" s="520"/>
      <c r="AG640" s="520"/>
      <c r="AH640" s="520"/>
      <c r="AI640" s="520"/>
      <c r="AJ640" s="526">
        <f t="shared" si="103"/>
        <v>0</v>
      </c>
      <c r="AK640" s="526">
        <f t="shared" si="104"/>
        <v>0</v>
      </c>
      <c r="AL640" s="520"/>
      <c r="AM640" s="520"/>
    </row>
    <row r="641" spans="1:39" s="204" customFormat="1" ht="24.75" customHeight="1" x14ac:dyDescent="0.25">
      <c r="B641" s="287" t="s">
        <v>1528</v>
      </c>
      <c r="C641" s="287" t="s">
        <v>1529</v>
      </c>
      <c r="D641" s="274" t="s">
        <v>3738</v>
      </c>
      <c r="E641" s="274"/>
      <c r="F641" s="274"/>
      <c r="G641" s="283"/>
      <c r="H641" s="266"/>
      <c r="I641" s="274"/>
      <c r="J641" s="281"/>
      <c r="K641" s="281"/>
      <c r="L641" s="295" t="s">
        <v>1530</v>
      </c>
      <c r="M641" s="284" t="s">
        <v>2962</v>
      </c>
      <c r="N641" s="272">
        <f>SUM(N642:N647)</f>
        <v>0</v>
      </c>
      <c r="O641" s="272">
        <f>SUM(O642:O647)</f>
        <v>0</v>
      </c>
      <c r="P641" s="378">
        <f t="shared" si="101"/>
        <v>0</v>
      </c>
      <c r="Q641" s="272">
        <f>SUM(Q642:Q647)</f>
        <v>0</v>
      </c>
      <c r="R641" s="272">
        <f>SUM(R642:R647)</f>
        <v>0</v>
      </c>
      <c r="S641" s="272">
        <f>SUM(S642:S647)</f>
        <v>0</v>
      </c>
      <c r="T641" s="272">
        <f>SUM(T642:T647)</f>
        <v>0</v>
      </c>
      <c r="U641" s="272"/>
      <c r="V641" s="272">
        <f>SUM(V642:V647)</f>
        <v>0</v>
      </c>
      <c r="W641" s="272">
        <f>SUM(W642:W647)</f>
        <v>0</v>
      </c>
      <c r="X641" s="272">
        <f>SUM(X642:X647)</f>
        <v>0</v>
      </c>
      <c r="Y641" s="272">
        <f>+R641+S641+T641+U641-V641-X641+W641</f>
        <v>0</v>
      </c>
      <c r="Z641" s="272">
        <f>SUM(Z642:Z647)</f>
        <v>0</v>
      </c>
      <c r="AA641" s="272">
        <f>SUM(AA642:AA647)</f>
        <v>0</v>
      </c>
      <c r="AB641" s="272">
        <f>SUM(AB642:AB647)</f>
        <v>0</v>
      </c>
      <c r="AC641" s="272">
        <f>SUM(AC642:AC647)</f>
        <v>0</v>
      </c>
      <c r="AD641" s="272">
        <f>SUM(AD642:AD647)</f>
        <v>0</v>
      </c>
      <c r="AE641" s="272">
        <f t="shared" si="102"/>
        <v>0</v>
      </c>
      <c r="AF641" s="272">
        <f>SUM(AF642:AF647)</f>
        <v>0</v>
      </c>
      <c r="AG641" s="272">
        <f>SUM(AG642:AG647)</f>
        <v>0</v>
      </c>
      <c r="AH641" s="272">
        <f>SUM(AH642:AH647)</f>
        <v>0</v>
      </c>
      <c r="AI641" s="272">
        <f>SUM(AI642:AI647)</f>
        <v>0</v>
      </c>
      <c r="AJ641" s="537">
        <f t="shared" si="103"/>
        <v>0</v>
      </c>
      <c r="AK641" s="537">
        <f t="shared" si="104"/>
        <v>0</v>
      </c>
      <c r="AL641" s="272">
        <f>SUM(AL642:AL647)</f>
        <v>0</v>
      </c>
      <c r="AM641" s="272">
        <f>SUM(AM642:AM647)</f>
        <v>0</v>
      </c>
    </row>
    <row r="642" spans="1:39" s="204" customFormat="1" ht="25.5" x14ac:dyDescent="0.25">
      <c r="B642" s="287" t="s">
        <v>1531</v>
      </c>
      <c r="C642" s="287" t="s">
        <v>1532</v>
      </c>
      <c r="D642" s="274" t="s">
        <v>3739</v>
      </c>
      <c r="E642" s="274"/>
      <c r="F642" s="274"/>
      <c r="G642" s="283"/>
      <c r="H642" s="266"/>
      <c r="I642" s="274"/>
      <c r="J642" s="281"/>
      <c r="K642" s="281"/>
      <c r="L642" s="379" t="s">
        <v>1536</v>
      </c>
      <c r="M642" s="284" t="s">
        <v>2962</v>
      </c>
      <c r="N642" s="269">
        <f t="shared" ref="N642:N649" si="108">+R642-AA642</f>
        <v>0</v>
      </c>
      <c r="O642" s="270">
        <f t="shared" ref="O642:O649" si="109">+Y642-AE642</f>
        <v>0</v>
      </c>
      <c r="P642" s="271">
        <f t="shared" si="101"/>
        <v>0</v>
      </c>
      <c r="Q642" s="520"/>
      <c r="R642" s="354">
        <f>IF(ISERROR(VLOOKUP("SOC"&amp;$C642,ESTR_PREC_SP!$A$2:$G$2000,4,FALSE))=TRUE,0,VLOOKUP("SOC"&amp;$C642,ESTR_PREC_SP!$A$2:$G$2000,4,FALSE))</f>
        <v>0</v>
      </c>
      <c r="S642" s="520"/>
      <c r="T642" s="520"/>
      <c r="U642" s="520"/>
      <c r="V642" s="520"/>
      <c r="W642" s="520"/>
      <c r="X642" s="520"/>
      <c r="Y642" s="269">
        <f t="shared" ref="Y642:Y649" si="110">+R642+S642+T642+U642-V642-X642+W642+Q642</f>
        <v>0</v>
      </c>
      <c r="Z642" s="534"/>
      <c r="AA642" s="354">
        <f>IF(ISERROR(VLOOKUP("SOC"&amp;$C642,ESTR_PREC_SP!$A$2:$G$2000,5,FALSE))=TRUE,0,VLOOKUP("SOC"&amp;$C642,ESTR_PREC_SP!$A$2:$G$2000,5,FALSE))</f>
        <v>0</v>
      </c>
      <c r="AB642" s="520"/>
      <c r="AC642" s="520"/>
      <c r="AD642" s="520"/>
      <c r="AE642" s="269">
        <f t="shared" si="102"/>
        <v>0</v>
      </c>
      <c r="AF642" s="520"/>
      <c r="AG642" s="520"/>
      <c r="AH642" s="520"/>
      <c r="AI642" s="520"/>
      <c r="AJ642" s="526">
        <f t="shared" si="103"/>
        <v>0</v>
      </c>
      <c r="AK642" s="526">
        <f t="shared" si="104"/>
        <v>0</v>
      </c>
      <c r="AL642" s="520"/>
      <c r="AM642" s="520"/>
    </row>
    <row r="643" spans="1:39" s="204" customFormat="1" ht="26.25" customHeight="1" x14ac:dyDescent="0.25">
      <c r="B643" s="287" t="s">
        <v>1537</v>
      </c>
      <c r="C643" s="287" t="s">
        <v>1538</v>
      </c>
      <c r="D643" s="274" t="s">
        <v>3740</v>
      </c>
      <c r="E643" s="274"/>
      <c r="F643" s="274"/>
      <c r="G643" s="283"/>
      <c r="H643" s="266"/>
      <c r="I643" s="274"/>
      <c r="J643" s="281"/>
      <c r="K643" s="281"/>
      <c r="L643" s="379" t="s">
        <v>3741</v>
      </c>
      <c r="M643" s="284" t="s">
        <v>2962</v>
      </c>
      <c r="N643" s="269">
        <f t="shared" si="108"/>
        <v>0</v>
      </c>
      <c r="O643" s="270">
        <f t="shared" si="109"/>
        <v>0</v>
      </c>
      <c r="P643" s="271">
        <f t="shared" si="101"/>
        <v>0</v>
      </c>
      <c r="Q643" s="520"/>
      <c r="R643" s="354">
        <f>IF(ISERROR(VLOOKUP("SOC"&amp;$C643,ESTR_PREC_SP!$A$2:$G$2000,4,FALSE))=TRUE,0,VLOOKUP("SOC"&amp;$C643,ESTR_PREC_SP!$A$2:$G$2000,4,FALSE))</f>
        <v>0</v>
      </c>
      <c r="S643" s="520"/>
      <c r="T643" s="520"/>
      <c r="U643" s="520"/>
      <c r="V643" s="520"/>
      <c r="W643" s="520"/>
      <c r="X643" s="520"/>
      <c r="Y643" s="269">
        <f t="shared" si="110"/>
        <v>0</v>
      </c>
      <c r="Z643" s="534"/>
      <c r="AA643" s="354">
        <f>IF(ISERROR(VLOOKUP("SOC"&amp;$C643,ESTR_PREC_SP!$A$2:$G$2000,5,FALSE))=TRUE,0,VLOOKUP("SOC"&amp;$C643,ESTR_PREC_SP!$A$2:$G$2000,5,FALSE))</f>
        <v>0</v>
      </c>
      <c r="AB643" s="520"/>
      <c r="AC643" s="520"/>
      <c r="AD643" s="520"/>
      <c r="AE643" s="269">
        <f t="shared" si="102"/>
        <v>0</v>
      </c>
      <c r="AF643" s="520"/>
      <c r="AG643" s="520"/>
      <c r="AH643" s="520"/>
      <c r="AI643" s="520"/>
      <c r="AJ643" s="526">
        <f t="shared" si="103"/>
        <v>0</v>
      </c>
      <c r="AK643" s="526">
        <f t="shared" si="104"/>
        <v>0</v>
      </c>
      <c r="AL643" s="520"/>
      <c r="AM643" s="520"/>
    </row>
    <row r="644" spans="1:39" s="204" customFormat="1" x14ac:dyDescent="0.25">
      <c r="B644" s="287" t="s">
        <v>1543</v>
      </c>
      <c r="C644" s="287" t="s">
        <v>1544</v>
      </c>
      <c r="D644" s="274" t="s">
        <v>3742</v>
      </c>
      <c r="E644" s="274"/>
      <c r="F644" s="274"/>
      <c r="G644" s="283"/>
      <c r="H644" s="266"/>
      <c r="I644" s="274"/>
      <c r="J644" s="281"/>
      <c r="K644" s="281"/>
      <c r="L644" s="379" t="s">
        <v>1548</v>
      </c>
      <c r="M644" s="284" t="s">
        <v>2962</v>
      </c>
      <c r="N644" s="269">
        <f t="shared" si="108"/>
        <v>0</v>
      </c>
      <c r="O644" s="270">
        <f t="shared" si="109"/>
        <v>0</v>
      </c>
      <c r="P644" s="271">
        <f t="shared" si="101"/>
        <v>0</v>
      </c>
      <c r="Q644" s="520"/>
      <c r="R644" s="354">
        <f>IF(ISERROR(VLOOKUP("SOC"&amp;$C644,ESTR_PREC_SP!$A$2:$G$2000,4,FALSE))=TRUE,0,VLOOKUP("SOC"&amp;$C644,ESTR_PREC_SP!$A$2:$G$2000,4,FALSE))</f>
        <v>0</v>
      </c>
      <c r="S644" s="520"/>
      <c r="T644" s="520"/>
      <c r="U644" s="520"/>
      <c r="V644" s="520"/>
      <c r="W644" s="520"/>
      <c r="X644" s="520"/>
      <c r="Y644" s="269">
        <f t="shared" si="110"/>
        <v>0</v>
      </c>
      <c r="Z644" s="534"/>
      <c r="AA644" s="354">
        <f>IF(ISERROR(VLOOKUP("SOC"&amp;$C644,ESTR_PREC_SP!$A$2:$G$2000,5,FALSE))=TRUE,0,VLOOKUP("SOC"&amp;$C644,ESTR_PREC_SP!$A$2:$G$2000,5,FALSE))</f>
        <v>0</v>
      </c>
      <c r="AB644" s="520"/>
      <c r="AC644" s="520"/>
      <c r="AD644" s="520"/>
      <c r="AE644" s="269">
        <f t="shared" si="102"/>
        <v>0</v>
      </c>
      <c r="AF644" s="520"/>
      <c r="AG644" s="520"/>
      <c r="AH644" s="520"/>
      <c r="AI644" s="520"/>
      <c r="AJ644" s="526">
        <f t="shared" si="103"/>
        <v>0</v>
      </c>
      <c r="AK644" s="526">
        <f t="shared" si="104"/>
        <v>0</v>
      </c>
      <c r="AL644" s="520"/>
      <c r="AM644" s="520"/>
    </row>
    <row r="645" spans="1:39" s="204" customFormat="1" ht="39" x14ac:dyDescent="0.25">
      <c r="A645" s="535" t="s">
        <v>3681</v>
      </c>
      <c r="B645" s="536" t="s">
        <v>1549</v>
      </c>
      <c r="C645" s="536" t="s">
        <v>1550</v>
      </c>
      <c r="D645" s="536"/>
      <c r="E645" s="536"/>
      <c r="F645" s="536"/>
      <c r="G645" s="536"/>
      <c r="H645" s="536"/>
      <c r="I645" s="536"/>
      <c r="J645" s="536"/>
      <c r="K645" s="536"/>
      <c r="L645" s="536" t="s">
        <v>3743</v>
      </c>
      <c r="M645" s="284" t="s">
        <v>2962</v>
      </c>
      <c r="N645" s="269">
        <f t="shared" si="108"/>
        <v>0</v>
      </c>
      <c r="O645" s="270">
        <f t="shared" si="109"/>
        <v>0</v>
      </c>
      <c r="P645" s="271">
        <f t="shared" si="101"/>
        <v>0</v>
      </c>
      <c r="Q645" s="520"/>
      <c r="R645" s="354">
        <f>IF(ISERROR(VLOOKUP("SOC"&amp;$C645,ESTR_PREC_SP!$A$2:$G$2000,4,FALSE))=TRUE,0,VLOOKUP("SOC"&amp;$C645,ESTR_PREC_SP!$A$2:$G$2000,4,FALSE))</f>
        <v>0</v>
      </c>
      <c r="S645" s="520"/>
      <c r="T645" s="520"/>
      <c r="U645" s="520"/>
      <c r="V645" s="520"/>
      <c r="W645" s="520"/>
      <c r="X645" s="520"/>
      <c r="Y645" s="269">
        <f t="shared" si="110"/>
        <v>0</v>
      </c>
      <c r="Z645" s="534"/>
      <c r="AA645" s="354">
        <f>IF(ISERROR(VLOOKUP("SOC"&amp;$C645,ESTR_PREC_SP!$A$2:$G$2000,5,FALSE))=TRUE,0,VLOOKUP("SOC"&amp;$C645,ESTR_PREC_SP!$A$2:$G$2000,5,FALSE))</f>
        <v>0</v>
      </c>
      <c r="AB645" s="520"/>
      <c r="AC645" s="520"/>
      <c r="AD645" s="520"/>
      <c r="AE645" s="269">
        <f t="shared" si="102"/>
        <v>0</v>
      </c>
      <c r="AF645" s="520"/>
      <c r="AG645" s="520"/>
      <c r="AH645" s="520"/>
      <c r="AI645" s="520"/>
      <c r="AJ645" s="526">
        <f t="shared" si="103"/>
        <v>0</v>
      </c>
      <c r="AK645" s="526">
        <f t="shared" si="104"/>
        <v>0</v>
      </c>
      <c r="AL645" s="520"/>
      <c r="AM645" s="520"/>
    </row>
    <row r="646" spans="1:39" s="204" customFormat="1" x14ac:dyDescent="0.25">
      <c r="B646" s="287" t="s">
        <v>1554</v>
      </c>
      <c r="C646" s="287" t="s">
        <v>1555</v>
      </c>
      <c r="D646" s="389" t="s">
        <v>3744</v>
      </c>
      <c r="E646" s="389"/>
      <c r="F646" s="389"/>
      <c r="G646" s="390"/>
      <c r="H646" s="391"/>
      <c r="I646" s="389"/>
      <c r="J646" s="389"/>
      <c r="K646" s="389"/>
      <c r="L646" s="392" t="s">
        <v>1558</v>
      </c>
      <c r="M646" s="287" t="s">
        <v>2962</v>
      </c>
      <c r="N646" s="269">
        <f t="shared" si="108"/>
        <v>0</v>
      </c>
      <c r="O646" s="270">
        <f t="shared" si="109"/>
        <v>0</v>
      </c>
      <c r="P646" s="271">
        <f t="shared" si="101"/>
        <v>0</v>
      </c>
      <c r="Q646" s="520"/>
      <c r="R646" s="354">
        <f>IF(ISERROR(VLOOKUP("SOC"&amp;$C646,ESTR_PREC_SP!$A$2:$G$2000,4,FALSE))=TRUE,0,VLOOKUP("SOC"&amp;$C646,ESTR_PREC_SP!$A$2:$G$2000,4,FALSE))</f>
        <v>0</v>
      </c>
      <c r="S646" s="520"/>
      <c r="T646" s="520"/>
      <c r="U646" s="520"/>
      <c r="V646" s="520"/>
      <c r="W646" s="520"/>
      <c r="X646" s="520"/>
      <c r="Y646" s="269">
        <f t="shared" si="110"/>
        <v>0</v>
      </c>
      <c r="Z646" s="534"/>
      <c r="AA646" s="354">
        <f>IF(ISERROR(VLOOKUP("SOC"&amp;$C646,ESTR_PREC_SP!$A$2:$G$2000,5,FALSE))=TRUE,0,VLOOKUP("SOC"&amp;$C646,ESTR_PREC_SP!$A$2:$G$2000,5,FALSE))</f>
        <v>0</v>
      </c>
      <c r="AB646" s="520"/>
      <c r="AC646" s="520"/>
      <c r="AD646" s="520"/>
      <c r="AE646" s="269">
        <f t="shared" si="102"/>
        <v>0</v>
      </c>
      <c r="AF646" s="520"/>
      <c r="AG646" s="520"/>
      <c r="AH646" s="520"/>
      <c r="AI646" s="520"/>
      <c r="AJ646" s="526">
        <f t="shared" si="103"/>
        <v>0</v>
      </c>
      <c r="AK646" s="526">
        <f t="shared" si="104"/>
        <v>0</v>
      </c>
      <c r="AL646" s="520"/>
      <c r="AM646" s="520"/>
    </row>
    <row r="647" spans="1:39" s="204" customFormat="1" ht="25.5" x14ac:dyDescent="0.25">
      <c r="B647" s="287" t="s">
        <v>1559</v>
      </c>
      <c r="C647" s="287" t="s">
        <v>1560</v>
      </c>
      <c r="D647" s="389" t="s">
        <v>3745</v>
      </c>
      <c r="E647" s="389"/>
      <c r="F647" s="389"/>
      <c r="G647" s="390"/>
      <c r="H647" s="391"/>
      <c r="I647" s="389"/>
      <c r="J647" s="389"/>
      <c r="K647" s="389"/>
      <c r="L647" s="392" t="s">
        <v>1562</v>
      </c>
      <c r="M647" s="287" t="s">
        <v>2962</v>
      </c>
      <c r="N647" s="269">
        <f t="shared" si="108"/>
        <v>0</v>
      </c>
      <c r="O647" s="270">
        <f t="shared" si="109"/>
        <v>0</v>
      </c>
      <c r="P647" s="271">
        <f t="shared" si="101"/>
        <v>0</v>
      </c>
      <c r="Q647" s="520"/>
      <c r="R647" s="354">
        <f>IF(ISERROR(VLOOKUP("SOC"&amp;$C647,ESTR_PREC_SP!$A$2:$G$2000,4,FALSE))=TRUE,0,VLOOKUP("SOC"&amp;$C647,ESTR_PREC_SP!$A$2:$G$2000,4,FALSE))</f>
        <v>0</v>
      </c>
      <c r="S647" s="520"/>
      <c r="T647" s="520"/>
      <c r="U647" s="520"/>
      <c r="V647" s="520"/>
      <c r="W647" s="520"/>
      <c r="X647" s="520"/>
      <c r="Y647" s="269">
        <f t="shared" si="110"/>
        <v>0</v>
      </c>
      <c r="Z647" s="534"/>
      <c r="AA647" s="354">
        <f>IF(ISERROR(VLOOKUP("SOC"&amp;$C647,ESTR_PREC_SP!$A$2:$G$2000,5,FALSE))=TRUE,0,VLOOKUP("SOC"&amp;$C647,ESTR_PREC_SP!$A$2:$G$2000,5,FALSE))</f>
        <v>0</v>
      </c>
      <c r="AB647" s="520"/>
      <c r="AC647" s="520"/>
      <c r="AD647" s="520"/>
      <c r="AE647" s="269">
        <f t="shared" si="102"/>
        <v>0</v>
      </c>
      <c r="AF647" s="520"/>
      <c r="AG647" s="520"/>
      <c r="AH647" s="520"/>
      <c r="AI647" s="520"/>
      <c r="AJ647" s="526">
        <f t="shared" si="103"/>
        <v>0</v>
      </c>
      <c r="AK647" s="526">
        <f t="shared" si="104"/>
        <v>0</v>
      </c>
      <c r="AL647" s="520"/>
      <c r="AM647" s="520"/>
    </row>
    <row r="648" spans="1:39" s="204" customFormat="1" x14ac:dyDescent="0.25">
      <c r="A648" s="535" t="s">
        <v>3681</v>
      </c>
      <c r="B648" s="536" t="s">
        <v>1563</v>
      </c>
      <c r="C648" s="536" t="s">
        <v>1564</v>
      </c>
      <c r="D648" s="536"/>
      <c r="E648" s="536"/>
      <c r="F648" s="536"/>
      <c r="G648" s="536"/>
      <c r="H648" s="536"/>
      <c r="I648" s="536"/>
      <c r="J648" s="536"/>
      <c r="K648" s="536"/>
      <c r="L648" s="536" t="s">
        <v>1567</v>
      </c>
      <c r="M648" s="287" t="s">
        <v>2962</v>
      </c>
      <c r="N648" s="269">
        <f t="shared" si="108"/>
        <v>0</v>
      </c>
      <c r="O648" s="270">
        <f t="shared" si="109"/>
        <v>0</v>
      </c>
      <c r="P648" s="271">
        <f t="shared" si="101"/>
        <v>0</v>
      </c>
      <c r="Q648" s="520"/>
      <c r="R648" s="354">
        <f>IF(ISERROR(VLOOKUP("SOC"&amp;$C648,ESTR_PREC_SP!$A$2:$G$2000,4,FALSE))=TRUE,0,VLOOKUP("SOC"&amp;$C648,ESTR_PREC_SP!$A$2:$G$2000,4,FALSE))</f>
        <v>0</v>
      </c>
      <c r="S648" s="520"/>
      <c r="T648" s="520"/>
      <c r="U648" s="520"/>
      <c r="V648" s="520"/>
      <c r="W648" s="520"/>
      <c r="X648" s="520"/>
      <c r="Y648" s="269">
        <f t="shared" si="110"/>
        <v>0</v>
      </c>
      <c r="Z648" s="534"/>
      <c r="AA648" s="354">
        <f>IF(ISERROR(VLOOKUP("SOC"&amp;$C648,ESTR_PREC_SP!$A$2:$G$2000,5,FALSE))=TRUE,0,VLOOKUP("SOC"&amp;$C648,ESTR_PREC_SP!$A$2:$G$2000,5,FALSE))</f>
        <v>0</v>
      </c>
      <c r="AB648" s="520"/>
      <c r="AC648" s="520"/>
      <c r="AD648" s="520"/>
      <c r="AE648" s="269">
        <f t="shared" si="102"/>
        <v>0</v>
      </c>
      <c r="AF648" s="520"/>
      <c r="AG648" s="520"/>
      <c r="AH648" s="520"/>
      <c r="AI648" s="520"/>
      <c r="AJ648" s="526">
        <f t="shared" si="103"/>
        <v>0</v>
      </c>
      <c r="AK648" s="526">
        <f t="shared" si="104"/>
        <v>0</v>
      </c>
      <c r="AL648" s="520"/>
      <c r="AM648" s="520"/>
    </row>
    <row r="649" spans="1:39" s="204" customFormat="1" ht="26.25" x14ac:dyDescent="0.25">
      <c r="A649" s="535" t="s">
        <v>3681</v>
      </c>
      <c r="B649" s="536" t="s">
        <v>1568</v>
      </c>
      <c r="C649" s="536" t="s">
        <v>1569</v>
      </c>
      <c r="D649" s="536"/>
      <c r="E649" s="536"/>
      <c r="F649" s="536"/>
      <c r="G649" s="536"/>
      <c r="H649" s="536"/>
      <c r="I649" s="536"/>
      <c r="J649" s="536"/>
      <c r="K649" s="536"/>
      <c r="L649" s="536" t="s">
        <v>1571</v>
      </c>
      <c r="M649" s="287" t="s">
        <v>2962</v>
      </c>
      <c r="N649" s="269">
        <f t="shared" si="108"/>
        <v>0</v>
      </c>
      <c r="O649" s="270">
        <f t="shared" si="109"/>
        <v>0</v>
      </c>
      <c r="P649" s="271">
        <f t="shared" si="101"/>
        <v>0</v>
      </c>
      <c r="Q649" s="520"/>
      <c r="R649" s="354">
        <f>IF(ISERROR(VLOOKUP("SOC"&amp;$C649,ESTR_PREC_SP!$A$2:$G$2000,4,FALSE))=TRUE,0,VLOOKUP("SOC"&amp;$C649,ESTR_PREC_SP!$A$2:$G$2000,4,FALSE))</f>
        <v>0</v>
      </c>
      <c r="S649" s="520"/>
      <c r="T649" s="520"/>
      <c r="U649" s="520"/>
      <c r="V649" s="520"/>
      <c r="W649" s="520"/>
      <c r="X649" s="520"/>
      <c r="Y649" s="269">
        <f t="shared" si="110"/>
        <v>0</v>
      </c>
      <c r="Z649" s="534"/>
      <c r="AA649" s="354">
        <f>IF(ISERROR(VLOOKUP("SOC"&amp;$C649,ESTR_PREC_SP!$A$2:$G$2000,5,FALSE))=TRUE,0,VLOOKUP("SOC"&amp;$C649,ESTR_PREC_SP!$A$2:$G$2000,5,FALSE))</f>
        <v>0</v>
      </c>
      <c r="AB649" s="520"/>
      <c r="AC649" s="520"/>
      <c r="AD649" s="520"/>
      <c r="AE649" s="269">
        <f t="shared" si="102"/>
        <v>0</v>
      </c>
      <c r="AF649" s="520"/>
      <c r="AG649" s="520"/>
      <c r="AH649" s="520"/>
      <c r="AI649" s="520"/>
      <c r="AJ649" s="526">
        <f t="shared" si="103"/>
        <v>0</v>
      </c>
      <c r="AK649" s="526">
        <f t="shared" si="104"/>
        <v>0</v>
      </c>
      <c r="AL649" s="520"/>
      <c r="AM649" s="520"/>
    </row>
    <row r="650" spans="1:39" s="204" customFormat="1" x14ac:dyDescent="0.25">
      <c r="B650" s="211"/>
      <c r="C650" s="211"/>
      <c r="D650" s="211"/>
      <c r="E650" s="211"/>
      <c r="F650" s="211"/>
      <c r="G650" s="211"/>
      <c r="H650" s="353"/>
      <c r="I650" s="211"/>
      <c r="J650" s="211"/>
      <c r="K650" s="211"/>
      <c r="L650" s="232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Y650" s="211"/>
      <c r="Z650" s="211"/>
      <c r="AA650" s="211"/>
      <c r="AB650" s="213"/>
      <c r="AC650" s="213"/>
    </row>
    <row r="651" spans="1:39" s="204" customFormat="1" ht="25.5" customHeight="1" x14ac:dyDescent="0.25">
      <c r="B651" s="211"/>
      <c r="C651" s="211"/>
      <c r="D651" s="211"/>
      <c r="E651" s="211"/>
      <c r="F651" s="211"/>
      <c r="G651" s="211"/>
      <c r="H651" s="353"/>
      <c r="I651" s="211"/>
      <c r="J651" s="211"/>
      <c r="K651" s="211"/>
      <c r="L651" s="232"/>
      <c r="M651" s="211"/>
      <c r="N651" s="211"/>
      <c r="O651" s="211"/>
      <c r="P651" s="211"/>
      <c r="Q651" s="211"/>
      <c r="R651" s="211"/>
      <c r="S651" s="902" t="s">
        <v>3495</v>
      </c>
      <c r="T651" s="902"/>
      <c r="U651" s="902"/>
      <c r="V651" s="335" t="s">
        <v>3496</v>
      </c>
      <c r="W651" s="336"/>
      <c r="X651" s="335" t="s">
        <v>3496</v>
      </c>
      <c r="Z651" s="211"/>
      <c r="AA651" s="211"/>
      <c r="AB651" s="211"/>
      <c r="AC651" s="285"/>
      <c r="AD651" s="211"/>
      <c r="AE651" s="211"/>
      <c r="AF651" s="904" t="str">
        <f>+AF616</f>
        <v>VALORE NOMINALE DEI CREDITI AL 31/12/2020 PER ANNO DI FORMAZIONE</v>
      </c>
      <c r="AG651" s="904"/>
      <c r="AH651" s="904"/>
      <c r="AI651" s="904"/>
      <c r="AJ651" s="904"/>
      <c r="AK651" s="905" t="str">
        <f>+AK616</f>
        <v>VALORE NETTO DEI CREDITI AL 31/12/2020 PER SCADENZA</v>
      </c>
      <c r="AL651" s="905"/>
      <c r="AM651" s="905"/>
    </row>
    <row r="652" spans="1:39" s="204" customFormat="1" ht="89.25" x14ac:dyDescent="0.25">
      <c r="B652" s="211"/>
      <c r="C652" s="211"/>
      <c r="D652" s="211"/>
      <c r="E652" s="211"/>
      <c r="F652" s="211"/>
      <c r="G652" s="211"/>
      <c r="H652" s="353"/>
      <c r="I652" s="211"/>
      <c r="J652" s="211"/>
      <c r="K652" s="211"/>
      <c r="L652" s="255"/>
      <c r="M652" s="244"/>
      <c r="N652" s="256" t="str">
        <f>N$15</f>
        <v>Valore netto al 31/12/2019</v>
      </c>
      <c r="O652" s="256" t="str">
        <f>O$15</f>
        <v>Valore netto al 31/12/2020</v>
      </c>
      <c r="P652" s="256" t="str">
        <f>P$15</f>
        <v>Variazione</v>
      </c>
      <c r="Q652" s="262" t="s">
        <v>2971</v>
      </c>
      <c r="R652" s="262" t="str">
        <f>+R617</f>
        <v>Valore iniziale LORDO al 31/12/2019</v>
      </c>
      <c r="S652" s="337" t="s">
        <v>2972</v>
      </c>
      <c r="T652" s="337" t="s">
        <v>3497</v>
      </c>
      <c r="U652" s="337" t="s">
        <v>3495</v>
      </c>
      <c r="V652" s="338" t="s">
        <v>3498</v>
      </c>
      <c r="W652" s="262" t="s">
        <v>4391</v>
      </c>
      <c r="X652" s="338" t="s">
        <v>3499</v>
      </c>
      <c r="Y652" s="262" t="str">
        <f>+Y617</f>
        <v>Valore finale LORDO al 31/12/2020</v>
      </c>
      <c r="Z652" s="337" t="str">
        <f>+Z617</f>
        <v>Di cui Fatture da emettere</v>
      </c>
      <c r="AA652" s="262" t="str">
        <f>+AA617</f>
        <v>Fondo svalutazione crediti al 31/12/2019</v>
      </c>
      <c r="AB652" s="262" t="s">
        <v>3500</v>
      </c>
      <c r="AC652" s="262" t="s">
        <v>3501</v>
      </c>
      <c r="AD652" s="262" t="s">
        <v>3502</v>
      </c>
      <c r="AE652" s="262" t="str">
        <f>+AE617</f>
        <v>Fondo svalutazione crediti al 31/12/2020</v>
      </c>
      <c r="AF652" s="339" t="s">
        <v>3503</v>
      </c>
      <c r="AG652" s="339" t="s">
        <v>3504</v>
      </c>
      <c r="AH652" s="339" t="s">
        <v>3505</v>
      </c>
      <c r="AI652" s="339" t="s">
        <v>3506</v>
      </c>
      <c r="AJ652" s="339" t="s">
        <v>3507</v>
      </c>
      <c r="AK652" s="340" t="s">
        <v>3508</v>
      </c>
      <c r="AL652" s="340" t="s">
        <v>3509</v>
      </c>
      <c r="AM652" s="340" t="s">
        <v>3510</v>
      </c>
    </row>
    <row r="653" spans="1:39" s="204" customFormat="1" x14ac:dyDescent="0.25">
      <c r="B653" s="292" t="s">
        <v>1572</v>
      </c>
      <c r="C653" s="292" t="s">
        <v>1573</v>
      </c>
      <c r="D653" s="247" t="s">
        <v>3746</v>
      </c>
      <c r="E653" s="247"/>
      <c r="F653" s="247"/>
      <c r="G653" s="247"/>
      <c r="H653" s="248"/>
      <c r="I653" s="247"/>
      <c r="J653" s="398"/>
      <c r="K653" s="399"/>
      <c r="L653" s="400" t="s">
        <v>3747</v>
      </c>
      <c r="M653" s="251" t="s">
        <v>2962</v>
      </c>
      <c r="N653" s="401">
        <f>+R653-AA653</f>
        <v>0</v>
      </c>
      <c r="O653" s="402">
        <f>+Y653-AE653</f>
        <v>0</v>
      </c>
      <c r="P653" s="253">
        <f>+O653-N653</f>
        <v>0</v>
      </c>
      <c r="Q653" s="520"/>
      <c r="R653" s="354">
        <f>IF(ISERROR(VLOOKUP("SOC"&amp;$C653,ESTR_PREC_SP!$A$2:$G$2000,4,FALSE))=TRUE,0,VLOOKUP("SOC"&amp;$C653,ESTR_PREC_SP!$A$2:$G$2000,4,FALSE))</f>
        <v>0</v>
      </c>
      <c r="S653" s="520"/>
      <c r="T653" s="520"/>
      <c r="U653" s="520"/>
      <c r="V653" s="520"/>
      <c r="W653" s="520"/>
      <c r="X653" s="520"/>
      <c r="Y653" s="269">
        <f>+R653+S653+T653+U653-V653-X653+W653+Q653</f>
        <v>0</v>
      </c>
      <c r="Z653" s="534"/>
      <c r="AA653" s="354">
        <f>IF(ISERROR(VLOOKUP("SOC"&amp;$C653,ESTR_PREC_SP!$A$2:$G$2000,5,FALSE))=TRUE,0,VLOOKUP("SOC"&amp;$C653,ESTR_PREC_SP!$A$2:$G$2000,5,FALSE))</f>
        <v>0</v>
      </c>
      <c r="AB653" s="520"/>
      <c r="AC653" s="520"/>
      <c r="AD653" s="520"/>
      <c r="AE653" s="269">
        <f>+AA653+AD653-AC653+AB653</f>
        <v>0</v>
      </c>
      <c r="AF653" s="520"/>
      <c r="AG653" s="520"/>
      <c r="AH653" s="520"/>
      <c r="AI653" s="520"/>
      <c r="AJ653" s="526">
        <f>+Y653-SUM(AF653:AI653)</f>
        <v>0</v>
      </c>
      <c r="AK653" s="526">
        <f>+Y653-AE653-AL653-AM653</f>
        <v>0</v>
      </c>
      <c r="AL653" s="520"/>
      <c r="AM653" s="520"/>
    </row>
    <row r="654" spans="1:39" s="204" customFormat="1" x14ac:dyDescent="0.25">
      <c r="B654" s="298"/>
      <c r="C654" s="298"/>
      <c r="D654" s="226"/>
      <c r="E654" s="226"/>
      <c r="F654" s="226"/>
      <c r="G654" s="226"/>
      <c r="H654" s="227"/>
      <c r="I654" s="226"/>
      <c r="J654" s="226"/>
      <c r="K654" s="226"/>
      <c r="L654" s="403"/>
      <c r="M654" s="278"/>
      <c r="N654" s="279"/>
      <c r="O654" s="279"/>
      <c r="P654" s="404"/>
      <c r="Q654" s="211"/>
      <c r="R654" s="211"/>
      <c r="S654" s="211"/>
      <c r="T654" s="211"/>
      <c r="U654" s="211"/>
      <c r="V654" s="211"/>
      <c r="Y654" s="211"/>
      <c r="Z654" s="211"/>
      <c r="AA654" s="211"/>
      <c r="AB654" s="211"/>
      <c r="AC654" s="211"/>
    </row>
    <row r="655" spans="1:39" s="204" customFormat="1" x14ac:dyDescent="0.25">
      <c r="B655" s="289"/>
      <c r="C655" s="289"/>
      <c r="D655" s="211"/>
      <c r="E655" s="211"/>
      <c r="F655" s="211"/>
      <c r="G655" s="211"/>
      <c r="H655" s="353"/>
      <c r="I655" s="211"/>
      <c r="J655" s="211"/>
      <c r="K655" s="211"/>
      <c r="L655" s="255"/>
      <c r="M655" s="405"/>
      <c r="N655" s="279"/>
      <c r="O655" s="279"/>
      <c r="P655" s="404"/>
      <c r="Q655" s="211"/>
      <c r="R655" s="211"/>
      <c r="S655" s="211"/>
      <c r="T655" s="211"/>
      <c r="U655" s="211"/>
      <c r="V655" s="211"/>
      <c r="Y655" s="211"/>
      <c r="Z655" s="211"/>
      <c r="AA655" s="211"/>
      <c r="AB655" s="211"/>
      <c r="AC655" s="211"/>
    </row>
    <row r="656" spans="1:39" s="204" customFormat="1" x14ac:dyDescent="0.25">
      <c r="B656" s="292" t="s">
        <v>1578</v>
      </c>
      <c r="C656" s="292" t="s">
        <v>1579</v>
      </c>
      <c r="D656" s="247" t="s">
        <v>3748</v>
      </c>
      <c r="E656" s="247"/>
      <c r="F656" s="247"/>
      <c r="G656" s="247"/>
      <c r="H656" s="248"/>
      <c r="I656" s="247"/>
      <c r="J656" s="247"/>
      <c r="K656" s="249"/>
      <c r="L656" s="400" t="s">
        <v>1581</v>
      </c>
      <c r="M656" s="251" t="s">
        <v>2962</v>
      </c>
      <c r="N656" s="252">
        <f>+N660+N675+N677+N676+N678+N679+N680</f>
        <v>0</v>
      </c>
      <c r="O656" s="252">
        <f>+O660+O675+O677+O676+O678+O679+O680</f>
        <v>0</v>
      </c>
      <c r="P656" s="253">
        <f>+O656-N656</f>
        <v>0</v>
      </c>
      <c r="Q656" s="252">
        <f t="shared" ref="Q656:AA656" si="111">+Q660+Q675+Q677+Q676+Q678+Q679+Q680</f>
        <v>0</v>
      </c>
      <c r="R656" s="252">
        <f t="shared" si="111"/>
        <v>0</v>
      </c>
      <c r="S656" s="252">
        <f t="shared" si="111"/>
        <v>0</v>
      </c>
      <c r="T656" s="252">
        <f t="shared" si="111"/>
        <v>0</v>
      </c>
      <c r="U656" s="252">
        <f t="shared" si="111"/>
        <v>0</v>
      </c>
      <c r="V656" s="252">
        <f t="shared" si="111"/>
        <v>0</v>
      </c>
      <c r="W656" s="252">
        <f t="shared" si="111"/>
        <v>0</v>
      </c>
      <c r="X656" s="252">
        <f t="shared" si="111"/>
        <v>0</v>
      </c>
      <c r="Y656" s="252">
        <f t="shared" si="111"/>
        <v>0</v>
      </c>
      <c r="Z656" s="252">
        <f t="shared" si="111"/>
        <v>0</v>
      </c>
      <c r="AA656" s="252">
        <f t="shared" si="111"/>
        <v>0</v>
      </c>
      <c r="AB656" s="252">
        <f t="shared" ref="AB656:AL656" si="112">+AC660+AC675+AC677+AC676+AC678+AC679+AC680</f>
        <v>0</v>
      </c>
      <c r="AC656" s="252">
        <f t="shared" si="112"/>
        <v>0</v>
      </c>
      <c r="AD656" s="252">
        <f t="shared" si="112"/>
        <v>0</v>
      </c>
      <c r="AE656" s="252">
        <f t="shared" si="112"/>
        <v>0</v>
      </c>
      <c r="AF656" s="252">
        <f t="shared" si="112"/>
        <v>0</v>
      </c>
      <c r="AG656" s="252">
        <f t="shared" si="112"/>
        <v>0</v>
      </c>
      <c r="AH656" s="252">
        <f t="shared" si="112"/>
        <v>0</v>
      </c>
      <c r="AI656" s="252">
        <f t="shared" si="112"/>
        <v>0</v>
      </c>
      <c r="AJ656" s="252">
        <f t="shared" si="112"/>
        <v>0</v>
      </c>
      <c r="AK656" s="252">
        <f t="shared" si="112"/>
        <v>0</v>
      </c>
      <c r="AL656" s="252">
        <f t="shared" si="112"/>
        <v>0</v>
      </c>
    </row>
    <row r="657" spans="2:39" s="204" customFormat="1" x14ac:dyDescent="0.25">
      <c r="B657" s="298"/>
      <c r="C657" s="298"/>
      <c r="D657" s="226"/>
      <c r="E657" s="226"/>
      <c r="F657" s="226"/>
      <c r="G657" s="226"/>
      <c r="H657" s="227"/>
      <c r="I657" s="226"/>
      <c r="J657" s="226"/>
      <c r="K657" s="226"/>
      <c r="L657" s="403"/>
      <c r="M657" s="278"/>
      <c r="N657" s="279"/>
      <c r="O657" s="279"/>
      <c r="P657" s="404"/>
      <c r="Q657" s="211"/>
      <c r="R657" s="279"/>
      <c r="S657" s="279"/>
      <c r="T657" s="279"/>
      <c r="U657" s="279"/>
      <c r="V657" s="279"/>
      <c r="Y657" s="279"/>
      <c r="Z657" s="279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</row>
    <row r="658" spans="2:39" s="204" customFormat="1" ht="25.5" customHeight="1" x14ac:dyDescent="0.25">
      <c r="B658" s="289"/>
      <c r="C658" s="289"/>
      <c r="D658" s="211"/>
      <c r="E658" s="211"/>
      <c r="F658" s="211"/>
      <c r="G658" s="211"/>
      <c r="H658" s="353"/>
      <c r="I658" s="211"/>
      <c r="J658" s="211"/>
      <c r="K658" s="211"/>
      <c r="L658" s="232"/>
      <c r="M658" s="211"/>
      <c r="N658" s="211"/>
      <c r="O658" s="211"/>
      <c r="P658" s="211"/>
      <c r="Q658" s="211"/>
      <c r="R658" s="211"/>
      <c r="S658" s="910" t="s">
        <v>3495</v>
      </c>
      <c r="T658" s="910"/>
      <c r="U658" s="910"/>
      <c r="V658" s="335" t="s">
        <v>3496</v>
      </c>
      <c r="W658" s="336"/>
      <c r="X658" s="335" t="s">
        <v>3496</v>
      </c>
      <c r="Z658" s="211"/>
      <c r="AA658" s="211"/>
      <c r="AB658" s="211"/>
      <c r="AC658" s="285"/>
      <c r="AD658" s="211"/>
      <c r="AE658" s="211"/>
      <c r="AF658" s="904" t="str">
        <f>+AF651</f>
        <v>VALORE NOMINALE DEI CREDITI AL 31/12/2020 PER ANNO DI FORMAZIONE</v>
      </c>
      <c r="AG658" s="904"/>
      <c r="AH658" s="904"/>
      <c r="AI658" s="904"/>
      <c r="AJ658" s="904"/>
      <c r="AK658" s="905" t="str">
        <f>+AK651</f>
        <v>VALORE NETTO DEI CREDITI AL 31/12/2020 PER SCADENZA</v>
      </c>
      <c r="AL658" s="905"/>
      <c r="AM658" s="905"/>
    </row>
    <row r="659" spans="2:39" s="204" customFormat="1" ht="51.75" customHeight="1" x14ac:dyDescent="0.25">
      <c r="B659" s="294" t="s">
        <v>2968</v>
      </c>
      <c r="C659" s="294" t="s">
        <v>2969</v>
      </c>
      <c r="D659" s="206" t="s">
        <v>72</v>
      </c>
      <c r="E659" s="206"/>
      <c r="F659" s="206"/>
      <c r="G659" s="207"/>
      <c r="H659" s="207"/>
      <c r="I659" s="207"/>
      <c r="J659" s="207" t="s">
        <v>2957</v>
      </c>
      <c r="K659" s="206" t="s">
        <v>82</v>
      </c>
      <c r="L659" s="261" t="s">
        <v>3670</v>
      </c>
      <c r="M659" s="256"/>
      <c r="N659" s="256" t="str">
        <f>N$15</f>
        <v>Valore netto al 31/12/2019</v>
      </c>
      <c r="O659" s="256" t="str">
        <f>O$15</f>
        <v>Valore netto al 31/12/2020</v>
      </c>
      <c r="P659" s="256" t="str">
        <f>P$15</f>
        <v>Variazione</v>
      </c>
      <c r="Q659" s="262" t="s">
        <v>2971</v>
      </c>
      <c r="R659" s="262" t="str">
        <f>+R652</f>
        <v>Valore iniziale LORDO al 31/12/2019</v>
      </c>
      <c r="S659" s="337" t="s">
        <v>2972</v>
      </c>
      <c r="T659" s="337" t="s">
        <v>3497</v>
      </c>
      <c r="U659" s="337" t="s">
        <v>3495</v>
      </c>
      <c r="V659" s="338" t="s">
        <v>3498</v>
      </c>
      <c r="W659" s="262" t="s">
        <v>4391</v>
      </c>
      <c r="X659" s="338" t="s">
        <v>3499</v>
      </c>
      <c r="Y659" s="262" t="str">
        <f>+Y652</f>
        <v>Valore finale LORDO al 31/12/2020</v>
      </c>
      <c r="Z659" s="337" t="str">
        <f>+Z652</f>
        <v>Di cui Fatture da emettere</v>
      </c>
      <c r="AA659" s="262" t="str">
        <f>+AA652</f>
        <v>Fondo svalutazione crediti al 31/12/2019</v>
      </c>
      <c r="AB659" s="262" t="s">
        <v>3500</v>
      </c>
      <c r="AC659" s="262" t="s">
        <v>3501</v>
      </c>
      <c r="AD659" s="262" t="s">
        <v>3502</v>
      </c>
      <c r="AE659" s="262" t="str">
        <f>+AE652</f>
        <v>Fondo svalutazione crediti al 31/12/2020</v>
      </c>
      <c r="AF659" s="339" t="s">
        <v>3503</v>
      </c>
      <c r="AG659" s="339" t="s">
        <v>3504</v>
      </c>
      <c r="AH659" s="339" t="s">
        <v>3505</v>
      </c>
      <c r="AI659" s="339" t="s">
        <v>3506</v>
      </c>
      <c r="AJ659" s="339" t="s">
        <v>3507</v>
      </c>
      <c r="AK659" s="340" t="s">
        <v>3508</v>
      </c>
      <c r="AL659" s="340" t="s">
        <v>3509</v>
      </c>
      <c r="AM659" s="340" t="s">
        <v>3510</v>
      </c>
    </row>
    <row r="660" spans="2:39" s="204" customFormat="1" x14ac:dyDescent="0.25">
      <c r="B660" s="287" t="s">
        <v>1582</v>
      </c>
      <c r="C660" s="287" t="s">
        <v>1583</v>
      </c>
      <c r="D660" s="274" t="s">
        <v>3749</v>
      </c>
      <c r="E660" s="274"/>
      <c r="F660" s="274"/>
      <c r="G660" s="283"/>
      <c r="H660" s="266"/>
      <c r="I660" s="274"/>
      <c r="J660" s="281"/>
      <c r="K660" s="281"/>
      <c r="L660" s="295" t="s">
        <v>1584</v>
      </c>
      <c r="M660" s="284" t="s">
        <v>2962</v>
      </c>
      <c r="N660" s="272">
        <f>+N661+N664+N667+N673+N674</f>
        <v>0</v>
      </c>
      <c r="O660" s="272">
        <f>+O661+O664+O667+O673+O674</f>
        <v>0</v>
      </c>
      <c r="P660" s="378">
        <f t="shared" ref="P660:P680" si="113">+O660-N660</f>
        <v>0</v>
      </c>
      <c r="Q660" s="272">
        <f>+Q661+Q664+Q667+Q673+Q674</f>
        <v>0</v>
      </c>
      <c r="R660" s="272">
        <f>+R661+R664+R667+R673+R674</f>
        <v>0</v>
      </c>
      <c r="S660" s="272">
        <f>+S661+S664+S667+S673+S674</f>
        <v>0</v>
      </c>
      <c r="T660" s="272">
        <f>+T661+T664+T667+T673+T674</f>
        <v>0</v>
      </c>
      <c r="U660" s="272"/>
      <c r="V660" s="272">
        <f>+V661+V664+V667+V673+V674</f>
        <v>0</v>
      </c>
      <c r="W660" s="272">
        <f>+W661+W664+W667+W673+W674</f>
        <v>0</v>
      </c>
      <c r="X660" s="272">
        <f>+X661+X664+X667+X673+X674</f>
        <v>0</v>
      </c>
      <c r="Y660" s="272">
        <f>+R660+S660+T660+U660-V660-X660+W660+Q660</f>
        <v>0</v>
      </c>
      <c r="Z660" s="272">
        <f>+Z661+Z664+Z667+Z673+Z674</f>
        <v>0</v>
      </c>
      <c r="AA660" s="272">
        <f>+AA661+AA664+AA667+AA673+AA674</f>
        <v>0</v>
      </c>
      <c r="AB660" s="272">
        <f>+AB661+AB664+AB667+AB673+AB674</f>
        <v>0</v>
      </c>
      <c r="AC660" s="272">
        <f>+AC661+AC664+AC667+AC673+AC674</f>
        <v>0</v>
      </c>
      <c r="AD660" s="272">
        <f>+AD661+AD664+AD667+AD673+AD674</f>
        <v>0</v>
      </c>
      <c r="AE660" s="272">
        <f>+AA660+AD660-AC660+AB660</f>
        <v>0</v>
      </c>
      <c r="AF660" s="272">
        <f>+AF661+AF664+AF667+AF673+AF674</f>
        <v>0</v>
      </c>
      <c r="AG660" s="272">
        <f>+AG661+AG664+AG667+AG673+AG674</f>
        <v>0</v>
      </c>
      <c r="AH660" s="272">
        <f>+AH661+AH664+AH667+AH673+AH674</f>
        <v>0</v>
      </c>
      <c r="AI660" s="272">
        <f>+AI661+AI664+AI667+AI673+AI674</f>
        <v>0</v>
      </c>
      <c r="AJ660" s="537">
        <f t="shared" ref="AJ660:AJ680" si="114">+Y660-SUM(AF660:AI660)</f>
        <v>0</v>
      </c>
      <c r="AK660" s="537">
        <f t="shared" ref="AK660:AK680" si="115">+Y660-AE660-AL660-AM660</f>
        <v>0</v>
      </c>
      <c r="AL660" s="272">
        <f>+AL661+AL664+AL667+AL673+AL674</f>
        <v>0</v>
      </c>
      <c r="AM660" s="272">
        <f>+AM661+AM664+AM667+AM673+AM674</f>
        <v>0</v>
      </c>
    </row>
    <row r="661" spans="2:39" s="204" customFormat="1" ht="25.5" x14ac:dyDescent="0.25">
      <c r="B661" s="287" t="s">
        <v>1585</v>
      </c>
      <c r="C661" s="287" t="s">
        <v>1586</v>
      </c>
      <c r="D661" s="274" t="s">
        <v>3750</v>
      </c>
      <c r="E661" s="274"/>
      <c r="F661" s="274"/>
      <c r="G661" s="283"/>
      <c r="H661" s="266"/>
      <c r="I661" s="274"/>
      <c r="J661" s="281"/>
      <c r="K661" s="281"/>
      <c r="L661" s="379" t="s">
        <v>1588</v>
      </c>
      <c r="M661" s="284" t="s">
        <v>2962</v>
      </c>
      <c r="N661" s="272">
        <f>N662+N663</f>
        <v>0</v>
      </c>
      <c r="O661" s="272">
        <f>O662+O663</f>
        <v>0</v>
      </c>
      <c r="P661" s="378">
        <f t="shared" si="113"/>
        <v>0</v>
      </c>
      <c r="Q661" s="272">
        <f>Q662+Q663</f>
        <v>0</v>
      </c>
      <c r="R661" s="272">
        <f>R662+R663</f>
        <v>0</v>
      </c>
      <c r="S661" s="272">
        <f>S662+S663</f>
        <v>0</v>
      </c>
      <c r="T661" s="272">
        <f>T662+T663</f>
        <v>0</v>
      </c>
      <c r="U661" s="272"/>
      <c r="V661" s="272">
        <f>V662+V663</f>
        <v>0</v>
      </c>
      <c r="W661" s="272">
        <f>W662+W663</f>
        <v>0</v>
      </c>
      <c r="X661" s="272">
        <f>X662+X663</f>
        <v>0</v>
      </c>
      <c r="Y661" s="272">
        <f>+R661+S661+T661+U661-V661-X661+W661+Q661</f>
        <v>0</v>
      </c>
      <c r="Z661" s="272">
        <f>Z662+Z663</f>
        <v>0</v>
      </c>
      <c r="AA661" s="272">
        <f>AA662+AA663</f>
        <v>0</v>
      </c>
      <c r="AB661" s="272">
        <f>AB662+AB663</f>
        <v>0</v>
      </c>
      <c r="AC661" s="272">
        <f>AC662+AC663</f>
        <v>0</v>
      </c>
      <c r="AD661" s="272">
        <f>AD662+AD663</f>
        <v>0</v>
      </c>
      <c r="AE661" s="272">
        <f>+AA661+AD661-AC661+AB661</f>
        <v>0</v>
      </c>
      <c r="AF661" s="272">
        <f>AF662+AF663</f>
        <v>0</v>
      </c>
      <c r="AG661" s="272">
        <f>AG662+AG663</f>
        <v>0</v>
      </c>
      <c r="AH661" s="272">
        <f>AH662+AH663</f>
        <v>0</v>
      </c>
      <c r="AI661" s="272">
        <f>AI662+AI663</f>
        <v>0</v>
      </c>
      <c r="AJ661" s="537">
        <f t="shared" si="114"/>
        <v>0</v>
      </c>
      <c r="AK661" s="537">
        <f t="shared" si="115"/>
        <v>0</v>
      </c>
      <c r="AL661" s="272">
        <f>AL662+AL663</f>
        <v>0</v>
      </c>
      <c r="AM661" s="272">
        <f>AM662+AM663</f>
        <v>0</v>
      </c>
    </row>
    <row r="662" spans="2:39" s="204" customFormat="1" ht="25.5" hidden="1" x14ac:dyDescent="0.25">
      <c r="B662" s="287" t="s">
        <v>1589</v>
      </c>
      <c r="C662" s="287" t="s">
        <v>1590</v>
      </c>
      <c r="D662" s="274" t="s">
        <v>3751</v>
      </c>
      <c r="E662" s="274"/>
      <c r="F662" s="274"/>
      <c r="G662" s="283"/>
      <c r="H662" s="266"/>
      <c r="I662" s="274"/>
      <c r="J662" s="281"/>
      <c r="K662" s="281"/>
      <c r="L662" s="406" t="s">
        <v>1592</v>
      </c>
      <c r="M662" s="284" t="s">
        <v>2962</v>
      </c>
      <c r="N662" s="269">
        <f>+R662-AA662</f>
        <v>0</v>
      </c>
      <c r="O662" s="270">
        <f>+Y662-AE662</f>
        <v>0</v>
      </c>
      <c r="P662" s="271">
        <f t="shared" si="113"/>
        <v>0</v>
      </c>
      <c r="Q662" s="520"/>
      <c r="R662" s="354">
        <f>IF(ISERROR(VLOOKUP("SOC"&amp;$C662,ESTR_PREC_SP!$A$2:$G$2000,4,FALSE))=TRUE,0,VLOOKUP("SOC"&amp;$C662,ESTR_PREC_SP!$A$2:$G$2000,4,FALSE))+AA662</f>
        <v>0</v>
      </c>
      <c r="S662" s="520"/>
      <c r="T662" s="520"/>
      <c r="U662" s="520"/>
      <c r="V662" s="520"/>
      <c r="W662" s="520"/>
      <c r="X662" s="520"/>
      <c r="Y662" s="269">
        <f>+R662+S662+T662-V662-X662+W662</f>
        <v>0</v>
      </c>
      <c r="Z662" s="534"/>
      <c r="AA662" s="520"/>
      <c r="AB662" s="520"/>
      <c r="AC662" s="520"/>
      <c r="AD662" s="520"/>
      <c r="AE662" s="269">
        <f>+AA662+AD662-AC662</f>
        <v>0</v>
      </c>
      <c r="AF662" s="520"/>
      <c r="AG662" s="520"/>
      <c r="AH662" s="520"/>
      <c r="AI662" s="520"/>
      <c r="AJ662" s="526">
        <f t="shared" si="114"/>
        <v>0</v>
      </c>
      <c r="AK662" s="526">
        <f t="shared" si="115"/>
        <v>0</v>
      </c>
      <c r="AL662" s="520"/>
      <c r="AM662" s="520"/>
    </row>
    <row r="663" spans="2:39" s="204" customFormat="1" ht="25.5" x14ac:dyDescent="0.25">
      <c r="B663" s="287" t="s">
        <v>1593</v>
      </c>
      <c r="C663" s="287" t="s">
        <v>1594</v>
      </c>
      <c r="D663" s="274" t="s">
        <v>3752</v>
      </c>
      <c r="E663" s="274"/>
      <c r="F663" s="274"/>
      <c r="G663" s="283"/>
      <c r="H663" s="266"/>
      <c r="I663" s="274"/>
      <c r="J663" s="281"/>
      <c r="K663" s="281"/>
      <c r="L663" s="406" t="s">
        <v>3753</v>
      </c>
      <c r="M663" s="284" t="s">
        <v>2962</v>
      </c>
      <c r="N663" s="269">
        <f>+R663-AA663</f>
        <v>0</v>
      </c>
      <c r="O663" s="270">
        <f>+Y663-AE663</f>
        <v>0</v>
      </c>
      <c r="P663" s="271">
        <f t="shared" si="113"/>
        <v>0</v>
      </c>
      <c r="Q663" s="520"/>
      <c r="R663" s="354">
        <f>IF(ISERROR(VLOOKUP("SOC"&amp;$C663,ESTR_PREC_SP!$A$2:$G$2000,4,FALSE))=TRUE,0,VLOOKUP("SOC"&amp;$C663,ESTR_PREC_SP!$A$2:$G$2000,4,FALSE))</f>
        <v>0</v>
      </c>
      <c r="S663" s="520"/>
      <c r="T663" s="520"/>
      <c r="U663" s="520"/>
      <c r="V663" s="520"/>
      <c r="W663" s="520"/>
      <c r="X663" s="520"/>
      <c r="Y663" s="269">
        <f>+R663+S663+T663+U663-V663-X663+W663+Q663</f>
        <v>0</v>
      </c>
      <c r="Z663" s="534"/>
      <c r="AA663" s="354">
        <f>IF(ISERROR(VLOOKUP("SOC"&amp;$C663,ESTR_PREC_SP!$A$2:$G$2000,5,FALSE))=TRUE,0,VLOOKUP("SOC"&amp;$C663,ESTR_PREC_SP!$A$2:$G$2000,5,FALSE))</f>
        <v>0</v>
      </c>
      <c r="AB663" s="520"/>
      <c r="AC663" s="520"/>
      <c r="AD663" s="520"/>
      <c r="AE663" s="269">
        <f>+AA663+AD663-AC663+AB663</f>
        <v>0</v>
      </c>
      <c r="AF663" s="520"/>
      <c r="AG663" s="520"/>
      <c r="AH663" s="520"/>
      <c r="AI663" s="520"/>
      <c r="AJ663" s="526">
        <f t="shared" si="114"/>
        <v>0</v>
      </c>
      <c r="AK663" s="526">
        <f t="shared" si="115"/>
        <v>0</v>
      </c>
      <c r="AL663" s="520"/>
      <c r="AM663" s="520"/>
    </row>
    <row r="664" spans="2:39" s="204" customFormat="1" ht="25.5" x14ac:dyDescent="0.25">
      <c r="B664" s="287" t="s">
        <v>1596</v>
      </c>
      <c r="C664" s="287" t="s">
        <v>1597</v>
      </c>
      <c r="D664" s="274" t="s">
        <v>3754</v>
      </c>
      <c r="E664" s="274"/>
      <c r="F664" s="274"/>
      <c r="G664" s="283"/>
      <c r="H664" s="266"/>
      <c r="I664" s="274"/>
      <c r="J664" s="281"/>
      <c r="K664" s="281"/>
      <c r="L664" s="379" t="s">
        <v>1599</v>
      </c>
      <c r="M664" s="284" t="s">
        <v>2962</v>
      </c>
      <c r="N664" s="272">
        <f>+N665+N666</f>
        <v>0</v>
      </c>
      <c r="O664" s="272">
        <f>+O665+O666</f>
        <v>0</v>
      </c>
      <c r="P664" s="378">
        <f t="shared" si="113"/>
        <v>0</v>
      </c>
      <c r="Q664" s="272">
        <f>Q665+Q666</f>
        <v>0</v>
      </c>
      <c r="R664" s="272">
        <f>R665+R666</f>
        <v>0</v>
      </c>
      <c r="S664" s="272">
        <f>S665+S666</f>
        <v>0</v>
      </c>
      <c r="T664" s="272">
        <f>T665+T666</f>
        <v>0</v>
      </c>
      <c r="U664" s="272"/>
      <c r="V664" s="272">
        <f>V665+V666</f>
        <v>0</v>
      </c>
      <c r="W664" s="272">
        <f>W665+W666</f>
        <v>0</v>
      </c>
      <c r="X664" s="272">
        <f>X665+X666</f>
        <v>0</v>
      </c>
      <c r="Y664" s="272">
        <f>+R664+S664+T664+U664-V664-X664+W664+Q664</f>
        <v>0</v>
      </c>
      <c r="Z664" s="272">
        <f>Z665+Z666</f>
        <v>0</v>
      </c>
      <c r="AA664" s="272">
        <f>AA665+AA666</f>
        <v>0</v>
      </c>
      <c r="AB664" s="272">
        <f>AB665+AB666</f>
        <v>0</v>
      </c>
      <c r="AC664" s="272">
        <f>AC665+AC666</f>
        <v>0</v>
      </c>
      <c r="AD664" s="272">
        <f>AD665+AD666</f>
        <v>0</v>
      </c>
      <c r="AE664" s="272">
        <f>+AA664+AD664-AC664+AB664</f>
        <v>0</v>
      </c>
      <c r="AF664" s="272">
        <f>AF665+AF666</f>
        <v>0</v>
      </c>
      <c r="AG664" s="272">
        <f>AG665+AG666</f>
        <v>0</v>
      </c>
      <c r="AH664" s="272">
        <f>AH665+AH666</f>
        <v>0</v>
      </c>
      <c r="AI664" s="272">
        <f>AI665+AI666</f>
        <v>0</v>
      </c>
      <c r="AJ664" s="537">
        <f t="shared" si="114"/>
        <v>0</v>
      </c>
      <c r="AK664" s="537">
        <f t="shared" si="115"/>
        <v>0</v>
      </c>
      <c r="AL664" s="272">
        <f>AL665+AL666</f>
        <v>0</v>
      </c>
      <c r="AM664" s="272">
        <f>AM665+AM666</f>
        <v>0</v>
      </c>
    </row>
    <row r="665" spans="2:39" s="204" customFormat="1" ht="25.5" hidden="1" x14ac:dyDescent="0.25">
      <c r="B665" s="287" t="s">
        <v>1600</v>
      </c>
      <c r="C665" s="287" t="s">
        <v>1601</v>
      </c>
      <c r="D665" s="274" t="s">
        <v>3755</v>
      </c>
      <c r="E665" s="274"/>
      <c r="F665" s="274"/>
      <c r="G665" s="283"/>
      <c r="H665" s="266"/>
      <c r="I665" s="274"/>
      <c r="J665" s="281"/>
      <c r="K665" s="281"/>
      <c r="L665" s="406" t="s">
        <v>1602</v>
      </c>
      <c r="M665" s="284" t="s">
        <v>2962</v>
      </c>
      <c r="N665" s="269">
        <f>+R665-AA665</f>
        <v>0</v>
      </c>
      <c r="O665" s="270">
        <f>+Y665-AE665</f>
        <v>0</v>
      </c>
      <c r="P665" s="271">
        <f t="shared" si="113"/>
        <v>0</v>
      </c>
      <c r="Q665" s="520"/>
      <c r="R665" s="354">
        <f>IF(ISERROR(VLOOKUP("SOC"&amp;$C665,ESTR_PREC_SP!$A$2:$G$2000,4,FALSE))=TRUE,0,VLOOKUP("SOC"&amp;$C665,ESTR_PREC_SP!$A$2:$G$2000,4,FALSE))+AA665</f>
        <v>0</v>
      </c>
      <c r="S665" s="520"/>
      <c r="T665" s="520"/>
      <c r="U665" s="520"/>
      <c r="V665" s="520"/>
      <c r="W665" s="520"/>
      <c r="X665" s="520"/>
      <c r="Y665" s="269">
        <f>+R665+S665+T665-V665-X665+W665</f>
        <v>0</v>
      </c>
      <c r="Z665" s="534"/>
      <c r="AA665" s="520"/>
      <c r="AB665" s="520"/>
      <c r="AC665" s="520"/>
      <c r="AD665" s="520"/>
      <c r="AE665" s="269">
        <f>+AA665+AD665-AC665</f>
        <v>0</v>
      </c>
      <c r="AF665" s="520"/>
      <c r="AG665" s="520"/>
      <c r="AH665" s="520"/>
      <c r="AI665" s="520"/>
      <c r="AJ665" s="526">
        <f t="shared" si="114"/>
        <v>0</v>
      </c>
      <c r="AK665" s="526">
        <f t="shared" si="115"/>
        <v>0</v>
      </c>
      <c r="AL665" s="520"/>
      <c r="AM665" s="520"/>
    </row>
    <row r="666" spans="2:39" s="204" customFormat="1" ht="25.5" x14ac:dyDescent="0.25">
      <c r="B666" s="287" t="s">
        <v>1603</v>
      </c>
      <c r="C666" s="287" t="s">
        <v>1604</v>
      </c>
      <c r="D666" s="274" t="s">
        <v>3756</v>
      </c>
      <c r="E666" s="274"/>
      <c r="F666" s="274"/>
      <c r="G666" s="283"/>
      <c r="H666" s="266"/>
      <c r="I666" s="274"/>
      <c r="J666" s="281"/>
      <c r="K666" s="281"/>
      <c r="L666" s="406" t="s">
        <v>3757</v>
      </c>
      <c r="M666" s="284" t="s">
        <v>2962</v>
      </c>
      <c r="N666" s="269">
        <f>+R666-AA666</f>
        <v>0</v>
      </c>
      <c r="O666" s="270">
        <f>+Y666-AE666</f>
        <v>0</v>
      </c>
      <c r="P666" s="271">
        <f t="shared" si="113"/>
        <v>0</v>
      </c>
      <c r="Q666" s="520"/>
      <c r="R666" s="354">
        <f>IF(ISERROR(VLOOKUP("SOC"&amp;$C666,ESTR_PREC_SP!$A$2:$G$2000,4,FALSE))=TRUE,0,VLOOKUP("SOC"&amp;$C666,ESTR_PREC_SP!$A$2:$G$2000,4,FALSE))</f>
        <v>0</v>
      </c>
      <c r="S666" s="520"/>
      <c r="T666" s="520"/>
      <c r="U666" s="520"/>
      <c r="V666" s="520"/>
      <c r="W666" s="520"/>
      <c r="X666" s="520"/>
      <c r="Y666" s="269">
        <f>+R666+S666+T666+U666-V666-X666+W666+Q666</f>
        <v>0</v>
      </c>
      <c r="Z666" s="534"/>
      <c r="AA666" s="354">
        <f>IF(ISERROR(VLOOKUP("SOC"&amp;$C666,ESTR_PREC_SP!$A$2:$G$2000,5,FALSE))=TRUE,0,VLOOKUP("SOC"&amp;$C666,ESTR_PREC_SP!$A$2:$G$2000,5,FALSE))</f>
        <v>0</v>
      </c>
      <c r="AB666" s="520"/>
      <c r="AC666" s="520"/>
      <c r="AD666" s="520"/>
      <c r="AE666" s="269">
        <f>+AA666+AD666-AC666+AB666</f>
        <v>0</v>
      </c>
      <c r="AF666" s="520"/>
      <c r="AG666" s="520"/>
      <c r="AH666" s="520"/>
      <c r="AI666" s="520"/>
      <c r="AJ666" s="526">
        <f t="shared" si="114"/>
        <v>0</v>
      </c>
      <c r="AK666" s="526">
        <f t="shared" si="115"/>
        <v>0</v>
      </c>
      <c r="AL666" s="520"/>
      <c r="AM666" s="520"/>
    </row>
    <row r="667" spans="2:39" s="204" customFormat="1" ht="25.5" x14ac:dyDescent="0.25">
      <c r="B667" s="287" t="s">
        <v>1606</v>
      </c>
      <c r="C667" s="287" t="s">
        <v>1607</v>
      </c>
      <c r="D667" s="274" t="s">
        <v>3758</v>
      </c>
      <c r="E667" s="274"/>
      <c r="F667" s="274"/>
      <c r="G667" s="283"/>
      <c r="H667" s="266"/>
      <c r="I667" s="274"/>
      <c r="J667" s="281"/>
      <c r="K667" s="281"/>
      <c r="L667" s="379" t="s">
        <v>1610</v>
      </c>
      <c r="M667" s="284" t="s">
        <v>2962</v>
      </c>
      <c r="N667" s="272">
        <f>SUM(N668:N672)</f>
        <v>0</v>
      </c>
      <c r="O667" s="272">
        <f>SUM(O668:O672)</f>
        <v>0</v>
      </c>
      <c r="P667" s="378">
        <f t="shared" si="113"/>
        <v>0</v>
      </c>
      <c r="Q667" s="272">
        <f>SUM(Q668:Q672)</f>
        <v>0</v>
      </c>
      <c r="R667" s="272">
        <f>SUM(R668:R672)</f>
        <v>0</v>
      </c>
      <c r="S667" s="272">
        <f>SUM(S668:S672)</f>
        <v>0</v>
      </c>
      <c r="T667" s="272">
        <f>SUM(T668:T672)</f>
        <v>0</v>
      </c>
      <c r="U667" s="272"/>
      <c r="V667" s="272">
        <f>SUM(V668:V672)</f>
        <v>0</v>
      </c>
      <c r="W667" s="272">
        <f>SUM(W668:W672)</f>
        <v>0</v>
      </c>
      <c r="X667" s="272">
        <f>SUM(X668:X672)</f>
        <v>0</v>
      </c>
      <c r="Y667" s="272">
        <f>+R667+S667+T667+U667-V667-X667+W667+Q667</f>
        <v>0</v>
      </c>
      <c r="Z667" s="272">
        <f>SUM(Z668:Z672)</f>
        <v>0</v>
      </c>
      <c r="AA667" s="272">
        <f>SUM(AA668:AA672)</f>
        <v>0</v>
      </c>
      <c r="AB667" s="272">
        <f>SUM(AB668:AB672)</f>
        <v>0</v>
      </c>
      <c r="AC667" s="272">
        <f>SUM(AC668:AC672)</f>
        <v>0</v>
      </c>
      <c r="AD667" s="272">
        <f>SUM(AD668:AD672)</f>
        <v>0</v>
      </c>
      <c r="AE667" s="272">
        <f>+AA667+AD667-AC667+AB667</f>
        <v>0</v>
      </c>
      <c r="AF667" s="272">
        <f>SUM(AF668:AF672)</f>
        <v>0</v>
      </c>
      <c r="AG667" s="272">
        <f>SUM(AG668:AG672)</f>
        <v>0</v>
      </c>
      <c r="AH667" s="272">
        <f>SUM(AH668:AH672)</f>
        <v>0</v>
      </c>
      <c r="AI667" s="272">
        <f>SUM(AI668:AI672)</f>
        <v>0</v>
      </c>
      <c r="AJ667" s="537">
        <f t="shared" si="114"/>
        <v>0</v>
      </c>
      <c r="AK667" s="537">
        <f t="shared" si="115"/>
        <v>0</v>
      </c>
      <c r="AL667" s="272">
        <f>SUM(AL668:AL672)</f>
        <v>0</v>
      </c>
      <c r="AM667" s="272">
        <f>SUM(AM668:AM672)</f>
        <v>0</v>
      </c>
    </row>
    <row r="668" spans="2:39" s="204" customFormat="1" hidden="1" x14ac:dyDescent="0.25">
      <c r="B668" s="287" t="s">
        <v>1611</v>
      </c>
      <c r="C668" s="287" t="s">
        <v>1612</v>
      </c>
      <c r="D668" s="274" t="s">
        <v>3759</v>
      </c>
      <c r="E668" s="274"/>
      <c r="F668" s="274"/>
      <c r="G668" s="283"/>
      <c r="H668" s="266"/>
      <c r="I668" s="274"/>
      <c r="J668" s="281"/>
      <c r="K668" s="281"/>
      <c r="L668" s="406" t="s">
        <v>1613</v>
      </c>
      <c r="M668" s="284" t="s">
        <v>2962</v>
      </c>
      <c r="N668" s="269">
        <f t="shared" ref="N668:N680" si="116">+R668-AA668</f>
        <v>0</v>
      </c>
      <c r="O668" s="270">
        <f t="shared" ref="O668:O680" si="117">+Y668-AE668</f>
        <v>0</v>
      </c>
      <c r="P668" s="271">
        <f t="shared" si="113"/>
        <v>0</v>
      </c>
      <c r="Q668" s="520"/>
      <c r="R668" s="354">
        <f>IF(ISERROR(VLOOKUP("SOC"&amp;$C668,ESTR_PREC_SP!$A$2:$G$2000,4,FALSE))=TRUE,0,VLOOKUP("SOC"&amp;$C668,ESTR_PREC_SP!$A$2:$G$2000,4,FALSE))+AA668</f>
        <v>0</v>
      </c>
      <c r="S668" s="520"/>
      <c r="T668" s="520"/>
      <c r="U668" s="520"/>
      <c r="V668" s="520"/>
      <c r="W668" s="520"/>
      <c r="X668" s="520"/>
      <c r="Y668" s="269">
        <f>+R668+S668+T668-V668-X668+W668</f>
        <v>0</v>
      </c>
      <c r="Z668" s="534"/>
      <c r="AA668" s="520"/>
      <c r="AB668" s="520"/>
      <c r="AC668" s="520"/>
      <c r="AD668" s="520"/>
      <c r="AE668" s="269">
        <f>+AA668+AD668-AC668</f>
        <v>0</v>
      </c>
      <c r="AF668" s="520"/>
      <c r="AG668" s="520"/>
      <c r="AH668" s="520"/>
      <c r="AI668" s="520"/>
      <c r="AJ668" s="526">
        <f t="shared" si="114"/>
        <v>0</v>
      </c>
      <c r="AK668" s="526">
        <f t="shared" si="115"/>
        <v>0</v>
      </c>
      <c r="AL668" s="520"/>
      <c r="AM668" s="520"/>
    </row>
    <row r="669" spans="2:39" s="204" customFormat="1" x14ac:dyDescent="0.25">
      <c r="B669" s="287" t="s">
        <v>1614</v>
      </c>
      <c r="C669" s="287" t="s">
        <v>1615</v>
      </c>
      <c r="D669" s="274" t="s">
        <v>3760</v>
      </c>
      <c r="E669" s="274"/>
      <c r="F669" s="274"/>
      <c r="G669" s="283"/>
      <c r="H669" s="266"/>
      <c r="I669" s="274"/>
      <c r="J669" s="281"/>
      <c r="K669" s="281"/>
      <c r="L669" s="406" t="s">
        <v>3761</v>
      </c>
      <c r="M669" s="284" t="s">
        <v>2962</v>
      </c>
      <c r="N669" s="269">
        <f t="shared" si="116"/>
        <v>0</v>
      </c>
      <c r="O669" s="270">
        <f t="shared" si="117"/>
        <v>0</v>
      </c>
      <c r="P669" s="271">
        <f t="shared" si="113"/>
        <v>0</v>
      </c>
      <c r="Q669" s="520"/>
      <c r="R669" s="354">
        <f>IF(ISERROR(VLOOKUP("SOC"&amp;$C669,ESTR_PREC_SP!$A$2:$G$2000,4,FALSE))=TRUE,0,VLOOKUP("SOC"&amp;$C669,ESTR_PREC_SP!$A$2:$G$2000,4,FALSE))</f>
        <v>0</v>
      </c>
      <c r="S669" s="520"/>
      <c r="T669" s="520"/>
      <c r="U669" s="520"/>
      <c r="V669" s="520"/>
      <c r="W669" s="520"/>
      <c r="X669" s="520"/>
      <c r="Y669" s="269">
        <f t="shared" ref="Y669:Y680" si="118">+R669+S669+T669+U669-V669-X669+W669+Q669</f>
        <v>0</v>
      </c>
      <c r="Z669" s="534"/>
      <c r="AA669" s="354">
        <f>IF(ISERROR(VLOOKUP("SOC"&amp;$C669,ESTR_PREC_SP!$A$2:$G$2000,5,FALSE))=TRUE,0,VLOOKUP("SOC"&amp;$C669,ESTR_PREC_SP!$A$2:$G$2000,5,FALSE))</f>
        <v>0</v>
      </c>
      <c r="AB669" s="520"/>
      <c r="AC669" s="520"/>
      <c r="AD669" s="520"/>
      <c r="AE669" s="269">
        <f t="shared" ref="AE669:AE680" si="119">+AA669+AD669-AC669+AB669</f>
        <v>0</v>
      </c>
      <c r="AF669" s="520"/>
      <c r="AG669" s="520"/>
      <c r="AH669" s="520"/>
      <c r="AI669" s="520"/>
      <c r="AJ669" s="526">
        <f t="shared" si="114"/>
        <v>0</v>
      </c>
      <c r="AK669" s="526">
        <f t="shared" si="115"/>
        <v>0</v>
      </c>
      <c r="AL669" s="520"/>
      <c r="AM669" s="520"/>
    </row>
    <row r="670" spans="2:39" s="204" customFormat="1" hidden="1" x14ac:dyDescent="0.25">
      <c r="B670" s="287" t="s">
        <v>1617</v>
      </c>
      <c r="C670" s="287" t="s">
        <v>1618</v>
      </c>
      <c r="D670" s="274" t="s">
        <v>3762</v>
      </c>
      <c r="E670" s="274"/>
      <c r="F670" s="274"/>
      <c r="G670" s="283"/>
      <c r="H670" s="266"/>
      <c r="I670" s="274"/>
      <c r="J670" s="281"/>
      <c r="K670" s="281"/>
      <c r="L670" s="406" t="s">
        <v>1619</v>
      </c>
      <c r="M670" s="284" t="s">
        <v>2962</v>
      </c>
      <c r="N670" s="269">
        <f t="shared" si="116"/>
        <v>0</v>
      </c>
      <c r="O670" s="270">
        <f t="shared" si="117"/>
        <v>0</v>
      </c>
      <c r="P670" s="271">
        <f t="shared" si="113"/>
        <v>0</v>
      </c>
      <c r="Q670" s="520"/>
      <c r="R670" s="354">
        <f>IF(ISERROR(VLOOKUP("SOC"&amp;$C670,ESTR_PREC_SP!$A$2:$G$2000,4,FALSE))=TRUE,0,VLOOKUP("SOC"&amp;$C670,ESTR_PREC_SP!$A$2:$G$2000,4,FALSE))+AA670</f>
        <v>0</v>
      </c>
      <c r="S670" s="520"/>
      <c r="T670" s="520"/>
      <c r="U670" s="520"/>
      <c r="V670" s="520"/>
      <c r="W670" s="520"/>
      <c r="X670" s="520"/>
      <c r="Y670" s="269">
        <f t="shared" si="118"/>
        <v>0</v>
      </c>
      <c r="Z670" s="534"/>
      <c r="AA670" s="354">
        <f>IF(ISERROR(VLOOKUP("SOC"&amp;$C670,ESTR_PREC_SP!$A$2:$G$2000,5,FALSE))=TRUE,0,VLOOKUP("SOC"&amp;$C670,ESTR_PREC_SP!$A$2:$G$2000,5,FALSE))</f>
        <v>0</v>
      </c>
      <c r="AB670" s="520"/>
      <c r="AC670" s="520"/>
      <c r="AD670" s="520"/>
      <c r="AE670" s="269">
        <f t="shared" si="119"/>
        <v>0</v>
      </c>
      <c r="AF670" s="520"/>
      <c r="AG670" s="520"/>
      <c r="AH670" s="520"/>
      <c r="AI670" s="520"/>
      <c r="AJ670" s="526">
        <f t="shared" si="114"/>
        <v>0</v>
      </c>
      <c r="AK670" s="526">
        <f t="shared" si="115"/>
        <v>0</v>
      </c>
      <c r="AL670" s="520"/>
      <c r="AM670" s="520"/>
    </row>
    <row r="671" spans="2:39" s="204" customFormat="1" x14ac:dyDescent="0.25">
      <c r="B671" s="287" t="s">
        <v>1620</v>
      </c>
      <c r="C671" s="287" t="s">
        <v>1621</v>
      </c>
      <c r="D671" s="274" t="s">
        <v>3763</v>
      </c>
      <c r="E671" s="274"/>
      <c r="F671" s="274"/>
      <c r="G671" s="283"/>
      <c r="H671" s="266"/>
      <c r="I671" s="274"/>
      <c r="J671" s="281"/>
      <c r="K671" s="281"/>
      <c r="L671" s="406" t="s">
        <v>3764</v>
      </c>
      <c r="M671" s="284" t="s">
        <v>2962</v>
      </c>
      <c r="N671" s="269">
        <f t="shared" si="116"/>
        <v>0</v>
      </c>
      <c r="O671" s="270">
        <f t="shared" si="117"/>
        <v>0</v>
      </c>
      <c r="P671" s="271">
        <f t="shared" si="113"/>
        <v>0</v>
      </c>
      <c r="Q671" s="520"/>
      <c r="R671" s="354">
        <f>IF(ISERROR(VLOOKUP("SOC"&amp;$C671,ESTR_PREC_SP!$A$2:$G$2000,4,FALSE))=TRUE,0,VLOOKUP("SOC"&amp;$C671,ESTR_PREC_SP!$A$2:$G$2000,4,FALSE))</f>
        <v>0</v>
      </c>
      <c r="S671" s="520"/>
      <c r="T671" s="520"/>
      <c r="U671" s="520"/>
      <c r="V671" s="520"/>
      <c r="W671" s="520"/>
      <c r="X671" s="520"/>
      <c r="Y671" s="269">
        <f t="shared" si="118"/>
        <v>0</v>
      </c>
      <c r="Z671" s="534"/>
      <c r="AA671" s="354">
        <f>IF(ISERROR(VLOOKUP("SOC"&amp;$C671,ESTR_PREC_SP!$A$2:$G$2000,5,FALSE))=TRUE,0,VLOOKUP("SOC"&amp;$C671,ESTR_PREC_SP!$A$2:$G$2000,5,FALSE))</f>
        <v>0</v>
      </c>
      <c r="AB671" s="520"/>
      <c r="AC671" s="520"/>
      <c r="AD671" s="520"/>
      <c r="AE671" s="269">
        <f t="shared" si="119"/>
        <v>0</v>
      </c>
      <c r="AF671" s="520"/>
      <c r="AG671" s="520"/>
      <c r="AH671" s="520"/>
      <c r="AI671" s="520"/>
      <c r="AJ671" s="526">
        <f t="shared" si="114"/>
        <v>0</v>
      </c>
      <c r="AK671" s="526">
        <f t="shared" si="115"/>
        <v>0</v>
      </c>
      <c r="AL671" s="520"/>
      <c r="AM671" s="520"/>
    </row>
    <row r="672" spans="2:39" s="204" customFormat="1" x14ac:dyDescent="0.25">
      <c r="B672" s="287" t="s">
        <v>1623</v>
      </c>
      <c r="C672" s="287" t="s">
        <v>1624</v>
      </c>
      <c r="D672" s="274" t="s">
        <v>3765</v>
      </c>
      <c r="E672" s="274"/>
      <c r="F672" s="274"/>
      <c r="G672" s="283"/>
      <c r="H672" s="266"/>
      <c r="I672" s="274"/>
      <c r="J672" s="281"/>
      <c r="K672" s="281"/>
      <c r="L672" s="406" t="s">
        <v>3766</v>
      </c>
      <c r="M672" s="284" t="s">
        <v>2962</v>
      </c>
      <c r="N672" s="269">
        <f t="shared" si="116"/>
        <v>0</v>
      </c>
      <c r="O672" s="270">
        <f t="shared" si="117"/>
        <v>0</v>
      </c>
      <c r="P672" s="271">
        <f t="shared" si="113"/>
        <v>0</v>
      </c>
      <c r="Q672" s="520"/>
      <c r="R672" s="354">
        <f>IF(ISERROR(VLOOKUP("SOC"&amp;$C672,ESTR_PREC_SP!$A$2:$G$2000,4,FALSE))=TRUE,0,VLOOKUP("SOC"&amp;$C672,ESTR_PREC_SP!$A$2:$G$2000,4,FALSE))</f>
        <v>0</v>
      </c>
      <c r="S672" s="520"/>
      <c r="T672" s="520"/>
      <c r="U672" s="520"/>
      <c r="V672" s="520"/>
      <c r="W672" s="520"/>
      <c r="X672" s="520"/>
      <c r="Y672" s="269">
        <f t="shared" si="118"/>
        <v>0</v>
      </c>
      <c r="Z672" s="534"/>
      <c r="AA672" s="354">
        <f>IF(ISERROR(VLOOKUP("SOC"&amp;$C672,ESTR_PREC_SP!$A$2:$G$2000,5,FALSE))=TRUE,0,VLOOKUP("SOC"&amp;$C672,ESTR_PREC_SP!$A$2:$G$2000,5,FALSE))</f>
        <v>0</v>
      </c>
      <c r="AB672" s="520"/>
      <c r="AC672" s="520"/>
      <c r="AD672" s="520"/>
      <c r="AE672" s="269">
        <f t="shared" si="119"/>
        <v>0</v>
      </c>
      <c r="AF672" s="520"/>
      <c r="AG672" s="520"/>
      <c r="AH672" s="520"/>
      <c r="AI672" s="520"/>
      <c r="AJ672" s="526">
        <f t="shared" si="114"/>
        <v>0</v>
      </c>
      <c r="AK672" s="526">
        <f t="shared" si="115"/>
        <v>0</v>
      </c>
      <c r="AL672" s="520"/>
      <c r="AM672" s="520"/>
    </row>
    <row r="673" spans="1:39" s="204" customFormat="1" x14ac:dyDescent="0.25">
      <c r="B673" s="287" t="s">
        <v>1626</v>
      </c>
      <c r="C673" s="287" t="s">
        <v>1627</v>
      </c>
      <c r="D673" s="274" t="s">
        <v>3767</v>
      </c>
      <c r="E673" s="274"/>
      <c r="F673" s="274"/>
      <c r="G673" s="283"/>
      <c r="H673" s="266"/>
      <c r="I673" s="274"/>
      <c r="J673" s="281"/>
      <c r="K673" s="281"/>
      <c r="L673" s="379" t="s">
        <v>1629</v>
      </c>
      <c r="M673" s="284" t="s">
        <v>2962</v>
      </c>
      <c r="N673" s="269">
        <f t="shared" si="116"/>
        <v>0</v>
      </c>
      <c r="O673" s="270">
        <f t="shared" si="117"/>
        <v>0</v>
      </c>
      <c r="P673" s="271">
        <f t="shared" si="113"/>
        <v>0</v>
      </c>
      <c r="Q673" s="520"/>
      <c r="R673" s="354">
        <f>IF(ISERROR(VLOOKUP("SOC"&amp;$C673,ESTR_PREC_SP!$A$2:$G$2000,4,FALSE))=TRUE,0,VLOOKUP("SOC"&amp;$C673,ESTR_PREC_SP!$A$2:$G$2000,4,FALSE))</f>
        <v>0</v>
      </c>
      <c r="S673" s="520"/>
      <c r="T673" s="520"/>
      <c r="U673" s="520"/>
      <c r="V673" s="520"/>
      <c r="W673" s="520"/>
      <c r="X673" s="520"/>
      <c r="Y673" s="269">
        <f t="shared" si="118"/>
        <v>0</v>
      </c>
      <c r="Z673" s="534"/>
      <c r="AA673" s="354">
        <f>IF(ISERROR(VLOOKUP("SOC"&amp;$C673,ESTR_PREC_SP!$A$2:$G$2000,5,FALSE))=TRUE,0,VLOOKUP("SOC"&amp;$C673,ESTR_PREC_SP!$A$2:$G$2000,5,FALSE))</f>
        <v>0</v>
      </c>
      <c r="AB673" s="520"/>
      <c r="AC673" s="520"/>
      <c r="AD673" s="520"/>
      <c r="AE673" s="269">
        <f t="shared" si="119"/>
        <v>0</v>
      </c>
      <c r="AF673" s="520"/>
      <c r="AG673" s="520"/>
      <c r="AH673" s="520"/>
      <c r="AI673" s="520"/>
      <c r="AJ673" s="526">
        <f t="shared" si="114"/>
        <v>0</v>
      </c>
      <c r="AK673" s="526">
        <f t="shared" si="115"/>
        <v>0</v>
      </c>
      <c r="AL673" s="520"/>
      <c r="AM673" s="520"/>
    </row>
    <row r="674" spans="1:39" s="204" customFormat="1" x14ac:dyDescent="0.25">
      <c r="B674" s="287" t="s">
        <v>1630</v>
      </c>
      <c r="C674" s="287" t="s">
        <v>1631</v>
      </c>
      <c r="D674" s="274" t="s">
        <v>3768</v>
      </c>
      <c r="E674" s="274"/>
      <c r="F674" s="274"/>
      <c r="G674" s="283"/>
      <c r="H674" s="266"/>
      <c r="I674" s="274"/>
      <c r="J674" s="281"/>
      <c r="K674" s="281"/>
      <c r="L674" s="379" t="s">
        <v>1633</v>
      </c>
      <c r="M674" s="284" t="s">
        <v>2962</v>
      </c>
      <c r="N674" s="269">
        <f t="shared" si="116"/>
        <v>0</v>
      </c>
      <c r="O674" s="270">
        <f t="shared" si="117"/>
        <v>0</v>
      </c>
      <c r="P674" s="271">
        <f t="shared" si="113"/>
        <v>0</v>
      </c>
      <c r="Q674" s="520"/>
      <c r="R674" s="354">
        <f>IF(ISERROR(VLOOKUP("SOC"&amp;$C674,ESTR_PREC_SP!$A$2:$G$2000,4,FALSE))=TRUE,0,VLOOKUP("SOC"&amp;$C674,ESTR_PREC_SP!$A$2:$G$2000,4,FALSE))</f>
        <v>0</v>
      </c>
      <c r="S674" s="520"/>
      <c r="T674" s="520"/>
      <c r="U674" s="520"/>
      <c r="V674" s="520"/>
      <c r="W674" s="520"/>
      <c r="X674" s="520"/>
      <c r="Y674" s="269">
        <f t="shared" si="118"/>
        <v>0</v>
      </c>
      <c r="Z674" s="534"/>
      <c r="AA674" s="354">
        <f>IF(ISERROR(VLOOKUP("SOC"&amp;$C674,ESTR_PREC_SP!$A$2:$G$2000,5,FALSE))=TRUE,0,VLOOKUP("SOC"&amp;$C674,ESTR_PREC_SP!$A$2:$G$2000,5,FALSE))</f>
        <v>0</v>
      </c>
      <c r="AB674" s="520"/>
      <c r="AC674" s="520"/>
      <c r="AD674" s="520"/>
      <c r="AE674" s="269">
        <f t="shared" si="119"/>
        <v>0</v>
      </c>
      <c r="AF674" s="520"/>
      <c r="AG674" s="520"/>
      <c r="AH674" s="520"/>
      <c r="AI674" s="520"/>
      <c r="AJ674" s="526">
        <f t="shared" si="114"/>
        <v>0</v>
      </c>
      <c r="AK674" s="526">
        <f t="shared" si="115"/>
        <v>0</v>
      </c>
      <c r="AL674" s="520"/>
      <c r="AM674" s="520"/>
    </row>
    <row r="675" spans="1:39" x14ac:dyDescent="0.25">
      <c r="A675" s="204"/>
      <c r="B675" s="287" t="s">
        <v>1634</v>
      </c>
      <c r="C675" s="287" t="s">
        <v>1635</v>
      </c>
      <c r="D675" s="274" t="s">
        <v>3769</v>
      </c>
      <c r="E675" s="274"/>
      <c r="F675" s="274"/>
      <c r="G675" s="283"/>
      <c r="H675" s="266"/>
      <c r="I675" s="274"/>
      <c r="J675" s="281"/>
      <c r="K675" s="281"/>
      <c r="L675" s="407" t="s">
        <v>1637</v>
      </c>
      <c r="M675" s="284" t="s">
        <v>2962</v>
      </c>
      <c r="N675" s="269">
        <f t="shared" si="116"/>
        <v>0</v>
      </c>
      <c r="O675" s="269">
        <f t="shared" si="117"/>
        <v>0</v>
      </c>
      <c r="P675" s="408">
        <f t="shared" si="113"/>
        <v>0</v>
      </c>
      <c r="Q675" s="520"/>
      <c r="R675" s="354">
        <f>IF(ISERROR(VLOOKUP("SOC"&amp;$C675,ESTR_PREC_SP!$A$2:$G$2000,4,FALSE))=TRUE,0,VLOOKUP("SOC"&amp;$C675,ESTR_PREC_SP!$A$2:$G$2000,4,FALSE))</f>
        <v>0</v>
      </c>
      <c r="S675" s="520"/>
      <c r="T675" s="520"/>
      <c r="U675" s="520"/>
      <c r="V675" s="520"/>
      <c r="W675" s="520"/>
      <c r="X675" s="520"/>
      <c r="Y675" s="269">
        <f t="shared" si="118"/>
        <v>0</v>
      </c>
      <c r="Z675" s="534"/>
      <c r="AA675" s="354">
        <f>IF(ISERROR(VLOOKUP("SOC"&amp;$C675,ESTR_PREC_SP!$A$2:$G$2000,5,FALSE))=TRUE,0,VLOOKUP("SOC"&amp;$C675,ESTR_PREC_SP!$A$2:$G$2000,5,FALSE))</f>
        <v>0</v>
      </c>
      <c r="AB675" s="520"/>
      <c r="AC675" s="520"/>
      <c r="AD675" s="520"/>
      <c r="AE675" s="269">
        <f t="shared" si="119"/>
        <v>0</v>
      </c>
      <c r="AF675" s="520"/>
      <c r="AG675" s="520"/>
      <c r="AH675" s="520"/>
      <c r="AI675" s="520"/>
      <c r="AJ675" s="526">
        <f t="shared" si="114"/>
        <v>0</v>
      </c>
      <c r="AK675" s="526">
        <f t="shared" si="115"/>
        <v>0</v>
      </c>
      <c r="AL675" s="520"/>
      <c r="AM675" s="520"/>
    </row>
    <row r="676" spans="1:39" ht="39" x14ac:dyDescent="0.25">
      <c r="A676" s="535" t="s">
        <v>1394</v>
      </c>
      <c r="B676" s="536" t="s">
        <v>1638</v>
      </c>
      <c r="C676" s="536" t="s">
        <v>1639</v>
      </c>
      <c r="D676" s="536"/>
      <c r="E676" s="536"/>
      <c r="F676" s="536"/>
      <c r="G676" s="536"/>
      <c r="H676" s="536"/>
      <c r="I676" s="536"/>
      <c r="J676" s="536"/>
      <c r="K676" s="536"/>
      <c r="L676" s="536" t="s">
        <v>1642</v>
      </c>
      <c r="M676" s="284" t="s">
        <v>2962</v>
      </c>
      <c r="N676" s="269">
        <f t="shared" si="116"/>
        <v>0</v>
      </c>
      <c r="O676" s="269">
        <f t="shared" si="117"/>
        <v>0</v>
      </c>
      <c r="P676" s="408">
        <f t="shared" si="113"/>
        <v>0</v>
      </c>
      <c r="Q676" s="520"/>
      <c r="R676" s="354">
        <f>IF(ISERROR(VLOOKUP("SOC"&amp;$C676,ESTR_PREC_SP!$A$2:$G$2000,4,FALSE))=TRUE,0,VLOOKUP("SOC"&amp;$C676,ESTR_PREC_SP!$A$2:$G$2000,4,FALSE))</f>
        <v>0</v>
      </c>
      <c r="S676" s="520"/>
      <c r="T676" s="520"/>
      <c r="U676" s="520"/>
      <c r="V676" s="520"/>
      <c r="W676" s="520"/>
      <c r="X676" s="520"/>
      <c r="Y676" s="269">
        <f t="shared" si="118"/>
        <v>0</v>
      </c>
      <c r="Z676" s="534"/>
      <c r="AA676" s="354">
        <f>IF(ISERROR(VLOOKUP("SOC"&amp;$C676,ESTR_PREC_SP!$A$2:$G$2000,5,FALSE))=TRUE,0,VLOOKUP("SOC"&amp;$C676,ESTR_PREC_SP!$A$2:$G$2000,5,FALSE))</f>
        <v>0</v>
      </c>
      <c r="AB676" s="520"/>
      <c r="AC676" s="520"/>
      <c r="AD676" s="520"/>
      <c r="AE676" s="269">
        <f t="shared" si="119"/>
        <v>0</v>
      </c>
      <c r="AF676" s="520"/>
      <c r="AG676" s="520"/>
      <c r="AH676" s="520"/>
      <c r="AI676" s="520"/>
      <c r="AJ676" s="526">
        <f t="shared" si="114"/>
        <v>0</v>
      </c>
      <c r="AK676" s="526">
        <f t="shared" si="115"/>
        <v>0</v>
      </c>
      <c r="AL676" s="520"/>
      <c r="AM676" s="520"/>
    </row>
    <row r="677" spans="1:39" s="204" customFormat="1" x14ac:dyDescent="0.25">
      <c r="B677" s="287" t="s">
        <v>1643</v>
      </c>
      <c r="C677" s="287" t="s">
        <v>1644</v>
      </c>
      <c r="D677" s="274" t="s">
        <v>3770</v>
      </c>
      <c r="E677" s="274"/>
      <c r="F677" s="274"/>
      <c r="G677" s="283"/>
      <c r="H677" s="266"/>
      <c r="I677" s="274"/>
      <c r="J677" s="281"/>
      <c r="K677" s="281"/>
      <c r="L677" s="295" t="s">
        <v>1647</v>
      </c>
      <c r="M677" s="284" t="s">
        <v>2962</v>
      </c>
      <c r="N677" s="269">
        <f t="shared" si="116"/>
        <v>0</v>
      </c>
      <c r="O677" s="270">
        <f t="shared" si="117"/>
        <v>0</v>
      </c>
      <c r="P677" s="271">
        <f t="shared" si="113"/>
        <v>0</v>
      </c>
      <c r="Q677" s="520"/>
      <c r="R677" s="354">
        <f>IF(ISERROR(VLOOKUP("SOC"&amp;$C677,ESTR_PREC_SP!$A$2:$G$2000,4,FALSE))=TRUE,0,VLOOKUP("SOC"&amp;$C677,ESTR_PREC_SP!$A$2:$G$2000,4,FALSE))</f>
        <v>0</v>
      </c>
      <c r="S677" s="520"/>
      <c r="T677" s="520"/>
      <c r="U677" s="520"/>
      <c r="V677" s="520"/>
      <c r="W677" s="520"/>
      <c r="X677" s="520"/>
      <c r="Y677" s="269">
        <f t="shared" si="118"/>
        <v>0</v>
      </c>
      <c r="Z677" s="534"/>
      <c r="AA677" s="354">
        <f>IF(ISERROR(VLOOKUP("SOC"&amp;$C677,ESTR_PREC_SP!$A$2:$G$2000,5,FALSE))=TRUE,0,VLOOKUP("SOC"&amp;$C677,ESTR_PREC_SP!$A$2:$G$2000,5,FALSE))</f>
        <v>0</v>
      </c>
      <c r="AB677" s="520"/>
      <c r="AC677" s="520"/>
      <c r="AD677" s="520"/>
      <c r="AE677" s="269">
        <f t="shared" si="119"/>
        <v>0</v>
      </c>
      <c r="AF677" s="520"/>
      <c r="AG677" s="520"/>
      <c r="AH677" s="520"/>
      <c r="AI677" s="520"/>
      <c r="AJ677" s="526">
        <f t="shared" si="114"/>
        <v>0</v>
      </c>
      <c r="AK677" s="526">
        <f t="shared" si="115"/>
        <v>0</v>
      </c>
      <c r="AL677" s="520"/>
      <c r="AM677" s="520"/>
    </row>
    <row r="678" spans="1:39" s="204" customFormat="1" ht="26.25" x14ac:dyDescent="0.25">
      <c r="A678" s="535" t="s">
        <v>1394</v>
      </c>
      <c r="B678" s="536" t="s">
        <v>1648</v>
      </c>
      <c r="C678" s="536" t="s">
        <v>1649</v>
      </c>
      <c r="D678" s="536"/>
      <c r="E678" s="536"/>
      <c r="F678" s="536"/>
      <c r="G678" s="536"/>
      <c r="H678" s="536"/>
      <c r="I678" s="536"/>
      <c r="J678" s="536"/>
      <c r="K678" s="536"/>
      <c r="L678" s="536" t="s">
        <v>1651</v>
      </c>
      <c r="M678" s="284" t="s">
        <v>2962</v>
      </c>
      <c r="N678" s="269">
        <f t="shared" si="116"/>
        <v>0</v>
      </c>
      <c r="O678" s="270">
        <f t="shared" si="117"/>
        <v>0</v>
      </c>
      <c r="P678" s="271">
        <f t="shared" si="113"/>
        <v>0</v>
      </c>
      <c r="Q678" s="520"/>
      <c r="R678" s="354">
        <f>IF(ISERROR(VLOOKUP("SOC"&amp;$C678,ESTR_PREC_SP!$A$2:$G$2000,4,FALSE))=TRUE,0,VLOOKUP("SOC"&amp;$C678,ESTR_PREC_SP!$A$2:$G$2000,4,FALSE))</f>
        <v>0</v>
      </c>
      <c r="S678" s="520"/>
      <c r="T678" s="520"/>
      <c r="U678" s="520"/>
      <c r="V678" s="520"/>
      <c r="W678" s="520"/>
      <c r="X678" s="520"/>
      <c r="Y678" s="269">
        <f t="shared" si="118"/>
        <v>0</v>
      </c>
      <c r="Z678" s="534"/>
      <c r="AA678" s="354">
        <f>IF(ISERROR(VLOOKUP("SOC"&amp;$C678,ESTR_PREC_SP!$A$2:$G$2000,5,FALSE))=TRUE,0,VLOOKUP("SOC"&amp;$C678,ESTR_PREC_SP!$A$2:$G$2000,5,FALSE))</f>
        <v>0</v>
      </c>
      <c r="AB678" s="520"/>
      <c r="AC678" s="520"/>
      <c r="AD678" s="520"/>
      <c r="AE678" s="269">
        <f t="shared" si="119"/>
        <v>0</v>
      </c>
      <c r="AF678" s="520"/>
      <c r="AG678" s="520"/>
      <c r="AH678" s="520"/>
      <c r="AI678" s="520"/>
      <c r="AJ678" s="526">
        <f t="shared" si="114"/>
        <v>0</v>
      </c>
      <c r="AK678" s="526">
        <f t="shared" si="115"/>
        <v>0</v>
      </c>
      <c r="AL678" s="520"/>
      <c r="AM678" s="520"/>
    </row>
    <row r="679" spans="1:39" s="204" customFormat="1" ht="26.25" x14ac:dyDescent="0.25">
      <c r="A679" s="535" t="s">
        <v>1394</v>
      </c>
      <c r="B679" s="536" t="s">
        <v>1652</v>
      </c>
      <c r="C679" s="536" t="s">
        <v>1653</v>
      </c>
      <c r="D679" s="536"/>
      <c r="E679" s="536"/>
      <c r="F679" s="536"/>
      <c r="G679" s="536"/>
      <c r="H679" s="536"/>
      <c r="I679" s="536"/>
      <c r="J679" s="536"/>
      <c r="K679" s="536"/>
      <c r="L679" s="536" t="s">
        <v>1654</v>
      </c>
      <c r="M679" s="284" t="s">
        <v>2962</v>
      </c>
      <c r="N679" s="269">
        <f t="shared" si="116"/>
        <v>0</v>
      </c>
      <c r="O679" s="270">
        <f t="shared" si="117"/>
        <v>0</v>
      </c>
      <c r="P679" s="271">
        <f t="shared" si="113"/>
        <v>0</v>
      </c>
      <c r="Q679" s="520"/>
      <c r="R679" s="354">
        <f>IF(ISERROR(VLOOKUP("SOC"&amp;$C679,ESTR_PREC_SP!$A$2:$G$2000,4,FALSE))=TRUE,0,VLOOKUP("SOC"&amp;$C679,ESTR_PREC_SP!$A$2:$G$2000,4,FALSE))</f>
        <v>0</v>
      </c>
      <c r="S679" s="520"/>
      <c r="T679" s="520"/>
      <c r="U679" s="520"/>
      <c r="V679" s="520"/>
      <c r="W679" s="520"/>
      <c r="X679" s="520"/>
      <c r="Y679" s="269">
        <f t="shared" si="118"/>
        <v>0</v>
      </c>
      <c r="Z679" s="534"/>
      <c r="AA679" s="354">
        <f>IF(ISERROR(VLOOKUP("SOC"&amp;$C679,ESTR_PREC_SP!$A$2:$G$2000,5,FALSE))=TRUE,0,VLOOKUP("SOC"&amp;$C679,ESTR_PREC_SP!$A$2:$G$2000,5,FALSE))</f>
        <v>0</v>
      </c>
      <c r="AB679" s="520"/>
      <c r="AC679" s="520"/>
      <c r="AD679" s="520"/>
      <c r="AE679" s="269">
        <f t="shared" si="119"/>
        <v>0</v>
      </c>
      <c r="AF679" s="520"/>
      <c r="AG679" s="520"/>
      <c r="AH679" s="520"/>
      <c r="AI679" s="520"/>
      <c r="AJ679" s="526">
        <f t="shared" si="114"/>
        <v>0</v>
      </c>
      <c r="AK679" s="526">
        <f t="shared" si="115"/>
        <v>0</v>
      </c>
      <c r="AL679" s="520"/>
      <c r="AM679" s="520"/>
    </row>
    <row r="680" spans="1:39" s="204" customFormat="1" ht="26.25" x14ac:dyDescent="0.25">
      <c r="A680" s="535" t="s">
        <v>1394</v>
      </c>
      <c r="B680" s="536" t="s">
        <v>1655</v>
      </c>
      <c r="C680" s="536" t="s">
        <v>1656</v>
      </c>
      <c r="D680" s="536"/>
      <c r="E680" s="536"/>
      <c r="F680" s="536"/>
      <c r="G680" s="536"/>
      <c r="H680" s="536"/>
      <c r="I680" s="536"/>
      <c r="J680" s="536"/>
      <c r="K680" s="536"/>
      <c r="L680" s="536" t="s">
        <v>1657</v>
      </c>
      <c r="M680" s="284" t="s">
        <v>2962</v>
      </c>
      <c r="N680" s="269">
        <f t="shared" si="116"/>
        <v>0</v>
      </c>
      <c r="O680" s="270">
        <f t="shared" si="117"/>
        <v>0</v>
      </c>
      <c r="P680" s="271">
        <f t="shared" si="113"/>
        <v>0</v>
      </c>
      <c r="Q680" s="520"/>
      <c r="R680" s="354">
        <f>IF(ISERROR(VLOOKUP("SOC"&amp;$C680,ESTR_PREC_SP!$A$2:$G$2000,4,FALSE))=TRUE,0,VLOOKUP("SOC"&amp;$C680,ESTR_PREC_SP!$A$2:$G$2000,4,FALSE))</f>
        <v>0</v>
      </c>
      <c r="S680" s="520"/>
      <c r="T680" s="520"/>
      <c r="U680" s="520"/>
      <c r="V680" s="520"/>
      <c r="W680" s="520"/>
      <c r="X680" s="520"/>
      <c r="Y680" s="269">
        <f t="shared" si="118"/>
        <v>0</v>
      </c>
      <c r="Z680" s="534"/>
      <c r="AA680" s="354">
        <f>IF(ISERROR(VLOOKUP("SOC"&amp;$C680,ESTR_PREC_SP!$A$2:$G$2000,5,FALSE))=TRUE,0,VLOOKUP("SOC"&amp;$C680,ESTR_PREC_SP!$A$2:$G$2000,5,FALSE))</f>
        <v>0</v>
      </c>
      <c r="AB680" s="520"/>
      <c r="AC680" s="520"/>
      <c r="AD680" s="520"/>
      <c r="AE680" s="269">
        <f t="shared" si="119"/>
        <v>0</v>
      </c>
      <c r="AF680" s="520"/>
      <c r="AG680" s="520"/>
      <c r="AH680" s="520"/>
      <c r="AI680" s="520"/>
      <c r="AJ680" s="526">
        <f t="shared" si="114"/>
        <v>0</v>
      </c>
      <c r="AK680" s="526">
        <f t="shared" si="115"/>
        <v>0</v>
      </c>
      <c r="AL680" s="520"/>
      <c r="AM680" s="520"/>
    </row>
    <row r="681" spans="1:39" s="204" customFormat="1" x14ac:dyDescent="0.25">
      <c r="B681" s="211"/>
      <c r="C681" s="211"/>
      <c r="D681" s="211"/>
      <c r="E681" s="211"/>
      <c r="F681" s="211"/>
      <c r="G681" s="211"/>
      <c r="H681" s="353"/>
      <c r="I681" s="211"/>
      <c r="J681" s="211"/>
      <c r="K681" s="211"/>
      <c r="L681" s="232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Y681" s="211"/>
      <c r="Z681" s="211"/>
      <c r="AA681" s="211"/>
      <c r="AB681" s="211"/>
      <c r="AC681" s="211"/>
    </row>
    <row r="682" spans="1:39" s="204" customFormat="1" x14ac:dyDescent="0.25">
      <c r="B682" s="211"/>
      <c r="C682" s="211"/>
      <c r="D682" s="211"/>
      <c r="E682" s="211"/>
      <c r="F682" s="211"/>
      <c r="G682" s="211"/>
      <c r="H682" s="353"/>
      <c r="I682" s="211"/>
      <c r="J682" s="211"/>
      <c r="K682" s="211"/>
      <c r="L682" s="232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Y682" s="211"/>
      <c r="Z682" s="211"/>
      <c r="AA682" s="211"/>
      <c r="AB682" s="211"/>
      <c r="AC682" s="211"/>
    </row>
    <row r="683" spans="1:39" s="204" customFormat="1" x14ac:dyDescent="0.25">
      <c r="B683" s="211"/>
      <c r="C683" s="211"/>
      <c r="D683" s="211"/>
      <c r="E683" s="211"/>
      <c r="F683" s="211"/>
      <c r="G683" s="211"/>
      <c r="H683" s="353"/>
      <c r="I683" s="211"/>
      <c r="J683" s="211"/>
      <c r="K683" s="211"/>
      <c r="L683" s="232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Y683" s="211"/>
      <c r="Z683" s="211"/>
      <c r="AA683" s="211"/>
      <c r="AB683" s="211"/>
      <c r="AC683" s="211"/>
    </row>
    <row r="684" spans="1:39" s="204" customFormat="1" ht="38.25" x14ac:dyDescent="0.25">
      <c r="B684" s="211"/>
      <c r="C684" s="211"/>
      <c r="D684" s="211"/>
      <c r="E684" s="211"/>
      <c r="F684" s="211"/>
      <c r="G684" s="211"/>
      <c r="H684" s="353"/>
      <c r="I684" s="211"/>
      <c r="J684" s="211"/>
      <c r="K684" s="211"/>
      <c r="L684" s="255"/>
      <c r="M684" s="244"/>
      <c r="N684" s="256" t="str">
        <f>N$15</f>
        <v>Valore netto al 31/12/2019</v>
      </c>
      <c r="O684" s="256" t="str">
        <f>O$15</f>
        <v>Valore netto al 31/12/2020</v>
      </c>
      <c r="P684" s="256" t="str">
        <f>P$15</f>
        <v>Variazione</v>
      </c>
      <c r="Q684" s="262" t="s">
        <v>2971</v>
      </c>
      <c r="R684" s="211"/>
      <c r="S684" s="211"/>
      <c r="T684" s="211"/>
      <c r="U684" s="211"/>
      <c r="V684" s="211"/>
      <c r="Y684" s="211"/>
      <c r="Z684" s="211"/>
      <c r="AA684" s="211"/>
      <c r="AB684" s="211"/>
      <c r="AC684" s="211"/>
    </row>
    <row r="685" spans="1:39" s="204" customFormat="1" ht="27" customHeight="1" x14ac:dyDescent="0.25">
      <c r="B685" s="292" t="s">
        <v>1658</v>
      </c>
      <c r="C685" s="292" t="s">
        <v>1659</v>
      </c>
      <c r="D685" s="247" t="s">
        <v>3771</v>
      </c>
      <c r="E685" s="247"/>
      <c r="F685" s="247"/>
      <c r="G685" s="247"/>
      <c r="H685" s="248"/>
      <c r="I685" s="247"/>
      <c r="J685" s="398"/>
      <c r="K685" s="399"/>
      <c r="L685" s="400" t="s">
        <v>1662</v>
      </c>
      <c r="M685" s="251" t="s">
        <v>2962</v>
      </c>
      <c r="N685" s="410">
        <f>+N689+N692+N693</f>
        <v>0</v>
      </c>
      <c r="O685" s="410">
        <f>+O689+O692+O693</f>
        <v>0</v>
      </c>
      <c r="P685" s="253">
        <f>+O685-N685</f>
        <v>0</v>
      </c>
      <c r="Q685" s="410">
        <f t="shared" ref="Q685:AA685" si="120">+Q689+Q692+Q693</f>
        <v>0</v>
      </c>
      <c r="R685" s="410">
        <f t="shared" si="120"/>
        <v>0</v>
      </c>
      <c r="S685" s="410">
        <f t="shared" si="120"/>
        <v>0</v>
      </c>
      <c r="T685" s="410">
        <f t="shared" si="120"/>
        <v>0</v>
      </c>
      <c r="U685" s="410">
        <f t="shared" si="120"/>
        <v>0</v>
      </c>
      <c r="V685" s="410">
        <f t="shared" si="120"/>
        <v>0</v>
      </c>
      <c r="W685" s="410">
        <f t="shared" si="120"/>
        <v>0</v>
      </c>
      <c r="X685" s="410">
        <f t="shared" si="120"/>
        <v>0</v>
      </c>
      <c r="Y685" s="410">
        <f t="shared" si="120"/>
        <v>0</v>
      </c>
      <c r="Z685" s="410">
        <f t="shared" si="120"/>
        <v>0</v>
      </c>
      <c r="AA685" s="410">
        <f t="shared" si="120"/>
        <v>0</v>
      </c>
      <c r="AB685" s="410">
        <f t="shared" ref="AB685:AL685" si="121">+AC689+AC692+AC693</f>
        <v>0</v>
      </c>
      <c r="AC685" s="410">
        <f t="shared" si="121"/>
        <v>0</v>
      </c>
      <c r="AD685" s="410">
        <f t="shared" si="121"/>
        <v>0</v>
      </c>
      <c r="AE685" s="410">
        <f t="shared" si="121"/>
        <v>0</v>
      </c>
      <c r="AF685" s="410">
        <f t="shared" si="121"/>
        <v>0</v>
      </c>
      <c r="AG685" s="410">
        <f t="shared" si="121"/>
        <v>0</v>
      </c>
      <c r="AH685" s="410">
        <f t="shared" si="121"/>
        <v>0</v>
      </c>
      <c r="AI685" s="410">
        <f t="shared" si="121"/>
        <v>0</v>
      </c>
      <c r="AJ685" s="410">
        <f t="shared" si="121"/>
        <v>0</v>
      </c>
      <c r="AK685" s="410">
        <f t="shared" si="121"/>
        <v>0</v>
      </c>
      <c r="AL685" s="410">
        <f t="shared" si="121"/>
        <v>0</v>
      </c>
    </row>
    <row r="686" spans="1:39" s="204" customFormat="1" x14ac:dyDescent="0.25">
      <c r="B686" s="216"/>
      <c r="C686" s="216"/>
      <c r="D686" s="226"/>
      <c r="E686" s="226"/>
      <c r="F686" s="226"/>
      <c r="G686" s="226"/>
      <c r="H686" s="227"/>
      <c r="I686" s="226"/>
      <c r="J686" s="226"/>
      <c r="K686" s="226"/>
      <c r="L686" s="403"/>
      <c r="M686" s="278"/>
      <c r="N686" s="279"/>
      <c r="O686" s="279"/>
      <c r="P686" s="404"/>
      <c r="Q686" s="211"/>
      <c r="R686" s="279"/>
      <c r="S686" s="279"/>
      <c r="T686" s="279"/>
      <c r="U686" s="279"/>
      <c r="V686" s="279"/>
      <c r="Y686" s="279"/>
      <c r="Z686" s="211"/>
      <c r="AA686" s="211"/>
      <c r="AB686" s="211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1:39" s="204" customFormat="1" ht="25.5" customHeight="1" x14ac:dyDescent="0.25">
      <c r="B687" s="211"/>
      <c r="C687" s="211"/>
      <c r="D687" s="211"/>
      <c r="E687" s="211"/>
      <c r="F687" s="211"/>
      <c r="G687" s="211"/>
      <c r="H687" s="353"/>
      <c r="I687" s="211"/>
      <c r="J687" s="211"/>
      <c r="K687" s="211"/>
      <c r="L687" s="232"/>
      <c r="M687" s="211"/>
      <c r="N687" s="211"/>
      <c r="O687" s="211"/>
      <c r="P687" s="211"/>
      <c r="Q687" s="211"/>
      <c r="R687" s="211"/>
      <c r="S687" s="902" t="s">
        <v>3495</v>
      </c>
      <c r="T687" s="902"/>
      <c r="U687" s="902"/>
      <c r="V687" s="335" t="s">
        <v>3496</v>
      </c>
      <c r="W687" s="336"/>
      <c r="X687" s="335" t="s">
        <v>3496</v>
      </c>
      <c r="Z687" s="211"/>
      <c r="AA687" s="211"/>
      <c r="AB687" s="211"/>
      <c r="AC687" s="285"/>
      <c r="AD687" s="211"/>
      <c r="AE687" s="211"/>
      <c r="AF687" s="904" t="str">
        <f>+AF658</f>
        <v>VALORE NOMINALE DEI CREDITI AL 31/12/2020 PER ANNO DI FORMAZIONE</v>
      </c>
      <c r="AG687" s="904"/>
      <c r="AH687" s="904"/>
      <c r="AI687" s="904"/>
      <c r="AJ687" s="904"/>
      <c r="AK687" s="905" t="str">
        <f>+AK658</f>
        <v>VALORE NETTO DEI CREDITI AL 31/12/2020 PER SCADENZA</v>
      </c>
      <c r="AL687" s="905"/>
      <c r="AM687" s="905"/>
    </row>
    <row r="688" spans="1:39" s="204" customFormat="1" ht="51.75" customHeight="1" x14ac:dyDescent="0.25">
      <c r="B688" s="260" t="s">
        <v>2968</v>
      </c>
      <c r="C688" s="260" t="s">
        <v>2969</v>
      </c>
      <c r="D688" s="206" t="s">
        <v>72</v>
      </c>
      <c r="E688" s="206"/>
      <c r="F688" s="206"/>
      <c r="G688" s="207"/>
      <c r="H688" s="207"/>
      <c r="I688" s="207"/>
      <c r="J688" s="207" t="s">
        <v>2957</v>
      </c>
      <c r="K688" s="206" t="s">
        <v>82</v>
      </c>
      <c r="L688" s="261" t="s">
        <v>3670</v>
      </c>
      <c r="M688" s="256"/>
      <c r="N688" s="256" t="str">
        <f>N$15</f>
        <v>Valore netto al 31/12/2019</v>
      </c>
      <c r="O688" s="256" t="str">
        <f>O$15</f>
        <v>Valore netto al 31/12/2020</v>
      </c>
      <c r="P688" s="256" t="str">
        <f>P$15</f>
        <v>Variazione</v>
      </c>
      <c r="Q688" s="262" t="s">
        <v>2971</v>
      </c>
      <c r="R688" s="262" t="str">
        <f>+R659</f>
        <v>Valore iniziale LORDO al 31/12/2019</v>
      </c>
      <c r="S688" s="337" t="s">
        <v>2972</v>
      </c>
      <c r="T688" s="337" t="s">
        <v>3497</v>
      </c>
      <c r="U688" s="337" t="s">
        <v>3495</v>
      </c>
      <c r="V688" s="338" t="s">
        <v>3498</v>
      </c>
      <c r="W688" s="262" t="s">
        <v>4391</v>
      </c>
      <c r="X688" s="338" t="s">
        <v>3499</v>
      </c>
      <c r="Y688" s="262" t="str">
        <f>+Y659</f>
        <v>Valore finale LORDO al 31/12/2020</v>
      </c>
      <c r="Z688" s="337" t="str">
        <f>+Z659</f>
        <v>Di cui Fatture da emettere</v>
      </c>
      <c r="AA688" s="262" t="str">
        <f>+AA659</f>
        <v>Fondo svalutazione crediti al 31/12/2019</v>
      </c>
      <c r="AB688" s="262" t="s">
        <v>3500</v>
      </c>
      <c r="AC688" s="262" t="s">
        <v>3501</v>
      </c>
      <c r="AD688" s="262" t="s">
        <v>3502</v>
      </c>
      <c r="AE688" s="262" t="str">
        <f>+AE659</f>
        <v>Fondo svalutazione crediti al 31/12/2020</v>
      </c>
      <c r="AF688" s="339" t="s">
        <v>3503</v>
      </c>
      <c r="AG688" s="339" t="s">
        <v>3504</v>
      </c>
      <c r="AH688" s="339" t="s">
        <v>3505</v>
      </c>
      <c r="AI688" s="339" t="s">
        <v>3506</v>
      </c>
      <c r="AJ688" s="339" t="s">
        <v>3507</v>
      </c>
      <c r="AK688" s="340" t="s">
        <v>3508</v>
      </c>
      <c r="AL688" s="340" t="s">
        <v>3509</v>
      </c>
      <c r="AM688" s="340" t="s">
        <v>3510</v>
      </c>
    </row>
    <row r="689" spans="2:55" s="204" customFormat="1" x14ac:dyDescent="0.25">
      <c r="B689" s="287" t="s">
        <v>1663</v>
      </c>
      <c r="C689" s="287" t="s">
        <v>1664</v>
      </c>
      <c r="D689" s="411" t="s">
        <v>3772</v>
      </c>
      <c r="E689" s="411"/>
      <c r="F689" s="411"/>
      <c r="G689" s="412"/>
      <c r="H689" s="413"/>
      <c r="I689" s="411"/>
      <c r="J689" s="411"/>
      <c r="K689" s="411"/>
      <c r="L689" s="407" t="s">
        <v>1666</v>
      </c>
      <c r="M689" s="284" t="s">
        <v>2962</v>
      </c>
      <c r="N689" s="272">
        <f>+N690+N691</f>
        <v>0</v>
      </c>
      <c r="O689" s="272">
        <f>+O690+O691</f>
        <v>0</v>
      </c>
      <c r="P689" s="378">
        <f>+O689-N689</f>
        <v>0</v>
      </c>
      <c r="Q689" s="272">
        <f>+Q690+Q691</f>
        <v>0</v>
      </c>
      <c r="R689" s="272">
        <f>+R690+R691</f>
        <v>0</v>
      </c>
      <c r="S689" s="272">
        <f>+S690+S691</f>
        <v>0</v>
      </c>
      <c r="T689" s="272">
        <f>+T690+T691</f>
        <v>0</v>
      </c>
      <c r="U689" s="272"/>
      <c r="V689" s="272">
        <f>+V690+V691</f>
        <v>0</v>
      </c>
      <c r="W689" s="272">
        <f>+W690+W691</f>
        <v>0</v>
      </c>
      <c r="X689" s="272">
        <f>+X690+X691</f>
        <v>0</v>
      </c>
      <c r="Y689" s="272">
        <f>+R689+S689+T689+U689-V689-X689+W689</f>
        <v>0</v>
      </c>
      <c r="Z689" s="272">
        <f>+Z690+Z691</f>
        <v>0</v>
      </c>
      <c r="AA689" s="272">
        <f>+AA690+AA691</f>
        <v>0</v>
      </c>
      <c r="AB689" s="272">
        <f>+AB690+AB691</f>
        <v>0</v>
      </c>
      <c r="AC689" s="272">
        <f>+AC690+AC691</f>
        <v>0</v>
      </c>
      <c r="AD689" s="272">
        <f>+AD690+AD691</f>
        <v>0</v>
      </c>
      <c r="AE689" s="269">
        <f>+AA689+AD689-AC689+AB689</f>
        <v>0</v>
      </c>
      <c r="AF689" s="272">
        <f>+AF690+AF691</f>
        <v>0</v>
      </c>
      <c r="AG689" s="272">
        <f>+AG690+AG691</f>
        <v>0</v>
      </c>
      <c r="AH689" s="272">
        <f>+AH690+AH691</f>
        <v>0</v>
      </c>
      <c r="AI689" s="272">
        <f>+AI690+AI691</f>
        <v>0</v>
      </c>
      <c r="AJ689" s="537">
        <f>+Y689-SUM(AF689:AI689)</f>
        <v>0</v>
      </c>
      <c r="AK689" s="537">
        <f>+Y689-AE689-AL689-AM689</f>
        <v>0</v>
      </c>
      <c r="AL689" s="272">
        <f>+AL690+AL691</f>
        <v>0</v>
      </c>
      <c r="AM689" s="272">
        <f>+AM690+AM691</f>
        <v>0</v>
      </c>
    </row>
    <row r="690" spans="2:55" s="204" customFormat="1" x14ac:dyDescent="0.25">
      <c r="B690" s="287" t="s">
        <v>1667</v>
      </c>
      <c r="C690" s="287" t="s">
        <v>1668</v>
      </c>
      <c r="D690" s="411" t="s">
        <v>3773</v>
      </c>
      <c r="E690" s="411"/>
      <c r="F690" s="411"/>
      <c r="G690" s="412"/>
      <c r="H690" s="413"/>
      <c r="I690" s="411"/>
      <c r="J690" s="411"/>
      <c r="K690" s="411"/>
      <c r="L690" s="392" t="s">
        <v>3774</v>
      </c>
      <c r="M690" s="284" t="s">
        <v>2962</v>
      </c>
      <c r="N690" s="269">
        <f>+R690-AA690</f>
        <v>0</v>
      </c>
      <c r="O690" s="270">
        <f>+Y690-AE690</f>
        <v>0</v>
      </c>
      <c r="P690" s="271">
        <f>+O690-N690</f>
        <v>0</v>
      </c>
      <c r="Q690" s="520"/>
      <c r="R690" s="354">
        <f>IF(ISERROR(VLOOKUP("SOC"&amp;$C690,ESTR_PREC_SP!$A$2:$G$2000,4,FALSE))=TRUE,0,VLOOKUP("SOC"&amp;$C690,ESTR_PREC_SP!$A$2:$G$2000,4,FALSE))</f>
        <v>0</v>
      </c>
      <c r="S690" s="653"/>
      <c r="T690" s="520"/>
      <c r="U690" s="520"/>
      <c r="V690" s="520"/>
      <c r="W690" s="520"/>
      <c r="X690" s="520"/>
      <c r="Y690" s="269">
        <f>+R690+S690+T690+U690-V690-X690+W690+Q690</f>
        <v>0</v>
      </c>
      <c r="Z690" s="534"/>
      <c r="AA690" s="354">
        <f>IF(ISERROR(VLOOKUP("SOC"&amp;$C690,ESTR_PREC_SP!$A$2:$G$2000,5,FALSE))=TRUE,0,VLOOKUP("SOC"&amp;$C690,ESTR_PREC_SP!$A$2:$G$2000,5,FALSE))</f>
        <v>0</v>
      </c>
      <c r="AB690" s="520"/>
      <c r="AC690" s="520"/>
      <c r="AD690" s="520"/>
      <c r="AE690" s="269">
        <f>+AA690+AD690-AC690+AB690</f>
        <v>0</v>
      </c>
      <c r="AF690" s="520"/>
      <c r="AG690" s="520"/>
      <c r="AH690" s="520"/>
      <c r="AI690" s="520"/>
      <c r="AJ690" s="526">
        <f>+Y690-SUM(AF690:AI690)</f>
        <v>0</v>
      </c>
      <c r="AK690" s="526">
        <f>+Y690-AE690-AL690-AM690</f>
        <v>0</v>
      </c>
      <c r="AL690" s="520"/>
      <c r="AM690" s="520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</row>
    <row r="691" spans="2:55" s="204" customFormat="1" x14ac:dyDescent="0.25">
      <c r="B691" s="287" t="s">
        <v>1670</v>
      </c>
      <c r="C691" s="287" t="s">
        <v>1671</v>
      </c>
      <c r="D691" s="411" t="s">
        <v>3775</v>
      </c>
      <c r="E691" s="411"/>
      <c r="F691" s="411"/>
      <c r="G691" s="412"/>
      <c r="H691" s="413"/>
      <c r="I691" s="411"/>
      <c r="J691" s="411"/>
      <c r="K691" s="411"/>
      <c r="L691" s="414" t="s">
        <v>3776</v>
      </c>
      <c r="M691" s="284" t="s">
        <v>2962</v>
      </c>
      <c r="N691" s="269">
        <f>+R691-AA691</f>
        <v>0</v>
      </c>
      <c r="O691" s="270">
        <f>+Y691-AE691</f>
        <v>0</v>
      </c>
      <c r="P691" s="271">
        <f>+O691-N691</f>
        <v>0</v>
      </c>
      <c r="Q691" s="520"/>
      <c r="R691" s="354">
        <f>IF(ISERROR(VLOOKUP("SOC"&amp;$C691,ESTR_PREC_SP!$A$2:$G$2000,4,FALSE))=TRUE,0,VLOOKUP("SOC"&amp;$C691,ESTR_PREC_SP!$A$2:$G$2000,4,FALSE))</f>
        <v>0</v>
      </c>
      <c r="S691" s="653"/>
      <c r="T691" s="520"/>
      <c r="U691" s="520"/>
      <c r="V691" s="520"/>
      <c r="W691" s="520"/>
      <c r="X691" s="520"/>
      <c r="Y691" s="269">
        <f>+R691+S691+T691+U691-V691-X691+W691+Q691</f>
        <v>0</v>
      </c>
      <c r="Z691" s="534"/>
      <c r="AA691" s="354">
        <f>IF(ISERROR(VLOOKUP("SOC"&amp;$C691,ESTR_PREC_SP!$A$2:$G$2000,5,FALSE))=TRUE,0,VLOOKUP("SOC"&amp;$C691,ESTR_PREC_SP!$A$2:$G$2000,5,FALSE))</f>
        <v>0</v>
      </c>
      <c r="AB691" s="520"/>
      <c r="AC691" s="520"/>
      <c r="AD691" s="520"/>
      <c r="AE691" s="269">
        <f>+AA691+AD691-AC691+AB691</f>
        <v>0</v>
      </c>
      <c r="AF691" s="520"/>
      <c r="AG691" s="520"/>
      <c r="AH691" s="520"/>
      <c r="AI691" s="520"/>
      <c r="AJ691" s="526">
        <f>+Y691-SUM(AF691:AI691)</f>
        <v>0</v>
      </c>
      <c r="AK691" s="526">
        <f>+Y691-AE691-AL691-AM691</f>
        <v>0</v>
      </c>
      <c r="AL691" s="520"/>
      <c r="AM691" s="520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</row>
    <row r="692" spans="2:55" s="204" customFormat="1" x14ac:dyDescent="0.25">
      <c r="B692" s="287" t="s">
        <v>1673</v>
      </c>
      <c r="C692" s="287" t="s">
        <v>1674</v>
      </c>
      <c r="D692" s="411" t="s">
        <v>3777</v>
      </c>
      <c r="E692" s="411"/>
      <c r="F692" s="411"/>
      <c r="G692" s="412"/>
      <c r="H692" s="413"/>
      <c r="I692" s="411"/>
      <c r="J692" s="411"/>
      <c r="K692" s="411"/>
      <c r="L692" s="287" t="s">
        <v>1676</v>
      </c>
      <c r="M692" s="284" t="s">
        <v>2962</v>
      </c>
      <c r="N692" s="269">
        <f>+R692-AA692</f>
        <v>0</v>
      </c>
      <c r="O692" s="270">
        <f>+Y692-AE692</f>
        <v>0</v>
      </c>
      <c r="P692" s="271">
        <f>+O692-N692</f>
        <v>0</v>
      </c>
      <c r="Q692" s="520"/>
      <c r="R692" s="354">
        <f>IF(ISERROR(VLOOKUP("SOC"&amp;$C692,ESTR_PREC_SP!$A$2:$G$2000,4,FALSE))=TRUE,0,VLOOKUP("SOC"&amp;$C692,ESTR_PREC_SP!$A$2:$G$2000,4,FALSE))</f>
        <v>0</v>
      </c>
      <c r="S692" s="653"/>
      <c r="T692" s="520"/>
      <c r="U692" s="520"/>
      <c r="V692" s="520"/>
      <c r="W692" s="520"/>
      <c r="X692" s="520"/>
      <c r="Y692" s="269">
        <f>+R692+S692+T692+U692-V692-X692+W692+Q692</f>
        <v>0</v>
      </c>
      <c r="Z692" s="534"/>
      <c r="AA692" s="354">
        <f>IF(ISERROR(VLOOKUP("SOC"&amp;$C692,ESTR_PREC_SP!$A$2:$G$2000,5,FALSE))=TRUE,0,VLOOKUP("SOC"&amp;$C692,ESTR_PREC_SP!$A$2:$G$2000,5,FALSE))</f>
        <v>0</v>
      </c>
      <c r="AB692" s="520"/>
      <c r="AC692" s="520"/>
      <c r="AD692" s="520"/>
      <c r="AE692" s="269">
        <f>+AA692+AD692-AC692+AB692</f>
        <v>0</v>
      </c>
      <c r="AF692" s="520"/>
      <c r="AG692" s="520"/>
      <c r="AH692" s="520"/>
      <c r="AI692" s="520"/>
      <c r="AJ692" s="526">
        <f>+Y692-SUM(AF692:AI692)</f>
        <v>0</v>
      </c>
      <c r="AK692" s="526">
        <f>+Y692-AE692-AL692-AM692</f>
        <v>0</v>
      </c>
      <c r="AL692" s="520"/>
      <c r="AM692" s="520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</row>
    <row r="693" spans="2:55" s="204" customFormat="1" x14ac:dyDescent="0.25">
      <c r="B693" s="287" t="s">
        <v>1677</v>
      </c>
      <c r="C693" s="287" t="s">
        <v>1678</v>
      </c>
      <c r="D693" s="411" t="s">
        <v>3778</v>
      </c>
      <c r="E693" s="411"/>
      <c r="F693" s="411"/>
      <c r="G693" s="412"/>
      <c r="H693" s="413"/>
      <c r="I693" s="411"/>
      <c r="J693" s="411"/>
      <c r="K693" s="411"/>
      <c r="L693" s="287" t="s">
        <v>1680</v>
      </c>
      <c r="M693" s="284" t="s">
        <v>2962</v>
      </c>
      <c r="N693" s="269">
        <f>+R693-AA693</f>
        <v>0</v>
      </c>
      <c r="O693" s="270">
        <f>+Y693-AE693</f>
        <v>0</v>
      </c>
      <c r="P693" s="271">
        <f>+O693-N693</f>
        <v>0</v>
      </c>
      <c r="Q693" s="520"/>
      <c r="R693" s="354">
        <f>IF(ISERROR(VLOOKUP("SOC"&amp;$C693,ESTR_PREC_SP!$A$2:$G$2000,4,FALSE))=TRUE,0,VLOOKUP("SOC"&amp;$C693,ESTR_PREC_SP!$A$2:$G$2000,4,FALSE))</f>
        <v>0</v>
      </c>
      <c r="S693" s="653"/>
      <c r="T693" s="520"/>
      <c r="U693" s="520"/>
      <c r="V693" s="520"/>
      <c r="W693" s="520"/>
      <c r="X693" s="520"/>
      <c r="Y693" s="269">
        <f>+R693+S693+T693+U693-V693-X693+W693+Q693</f>
        <v>0</v>
      </c>
      <c r="Z693" s="534"/>
      <c r="AA693" s="354">
        <f>IF(ISERROR(VLOOKUP("SOC"&amp;$C693,ESTR_PREC_SP!$A$2:$G$2000,5,FALSE))=TRUE,0,VLOOKUP("SOC"&amp;$C693,ESTR_PREC_SP!$A$2:$G$2000,5,FALSE))</f>
        <v>0</v>
      </c>
      <c r="AB693" s="520"/>
      <c r="AC693" s="520"/>
      <c r="AD693" s="520"/>
      <c r="AE693" s="269">
        <f>+AA693+AD693-AC693+AB693</f>
        <v>0</v>
      </c>
      <c r="AF693" s="520"/>
      <c r="AG693" s="520"/>
      <c r="AH693" s="520"/>
      <c r="AI693" s="520"/>
      <c r="AJ693" s="526">
        <f>+Y693-SUM(AF693:AI693)</f>
        <v>0</v>
      </c>
      <c r="AK693" s="526">
        <f>+Y693-AE693-AL693-AM693</f>
        <v>0</v>
      </c>
      <c r="AL693" s="520"/>
      <c r="AM693" s="520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</row>
    <row r="694" spans="2:55" s="204" customFormat="1" x14ac:dyDescent="0.25"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</row>
    <row r="695" spans="2:55" s="204" customFormat="1" ht="25.5" customHeight="1" x14ac:dyDescent="0.25">
      <c r="B695" s="211"/>
      <c r="C695" s="211"/>
      <c r="D695" s="211"/>
      <c r="E695" s="211"/>
      <c r="F695" s="211"/>
      <c r="G695" s="211"/>
      <c r="H695" s="353"/>
      <c r="I695" s="211"/>
      <c r="J695" s="211"/>
      <c r="K695" s="211"/>
      <c r="L695" s="232"/>
      <c r="M695" s="211"/>
      <c r="N695" s="211"/>
      <c r="O695" s="211"/>
      <c r="P695" s="211"/>
      <c r="Q695" s="211"/>
      <c r="R695" s="211"/>
      <c r="S695" s="902" t="s">
        <v>3495</v>
      </c>
      <c r="T695" s="902"/>
      <c r="U695" s="902"/>
      <c r="V695" s="335" t="s">
        <v>3496</v>
      </c>
      <c r="W695" s="336"/>
      <c r="X695" s="335" t="s">
        <v>3496</v>
      </c>
      <c r="Z695" s="211"/>
      <c r="AA695" s="211"/>
      <c r="AB695" s="211"/>
      <c r="AC695" s="285"/>
      <c r="AD695" s="211"/>
      <c r="AE695" s="211"/>
      <c r="AF695" s="904" t="str">
        <f>+AF687</f>
        <v>VALORE NOMINALE DEI CREDITI AL 31/12/2020 PER ANNO DI FORMAZIONE</v>
      </c>
      <c r="AG695" s="904"/>
      <c r="AH695" s="904"/>
      <c r="AI695" s="904"/>
      <c r="AJ695" s="904"/>
      <c r="AK695" s="905" t="str">
        <f>+AK687</f>
        <v>VALORE NETTO DEI CREDITI AL 31/12/2020 PER SCADENZA</v>
      </c>
      <c r="AL695" s="905"/>
      <c r="AM695" s="905"/>
    </row>
    <row r="696" spans="2:55" s="204" customFormat="1" ht="89.25" x14ac:dyDescent="0.25">
      <c r="B696" s="211"/>
      <c r="C696" s="211"/>
      <c r="D696" s="211"/>
      <c r="E696" s="211"/>
      <c r="F696" s="211"/>
      <c r="G696" s="211"/>
      <c r="H696" s="353"/>
      <c r="I696" s="211"/>
      <c r="J696" s="211"/>
      <c r="K696" s="211"/>
      <c r="L696" s="255"/>
      <c r="M696" s="244"/>
      <c r="N696" s="256" t="str">
        <f>N$15</f>
        <v>Valore netto al 31/12/2019</v>
      </c>
      <c r="O696" s="256" t="str">
        <f>O$15</f>
        <v>Valore netto al 31/12/2020</v>
      </c>
      <c r="P696" s="256" t="str">
        <f>P$15</f>
        <v>Variazione</v>
      </c>
      <c r="Q696" s="262" t="s">
        <v>2971</v>
      </c>
      <c r="R696" s="262" t="str">
        <f>+R688</f>
        <v>Valore iniziale LORDO al 31/12/2019</v>
      </c>
      <c r="S696" s="337" t="s">
        <v>2972</v>
      </c>
      <c r="T696" s="337" t="s">
        <v>3497</v>
      </c>
      <c r="U696" s="337" t="s">
        <v>3495</v>
      </c>
      <c r="V696" s="338" t="s">
        <v>3498</v>
      </c>
      <c r="W696" s="262" t="s">
        <v>4391</v>
      </c>
      <c r="X696" s="338" t="s">
        <v>3499</v>
      </c>
      <c r="Y696" s="262" t="str">
        <f>+Y688</f>
        <v>Valore finale LORDO al 31/12/2020</v>
      </c>
      <c r="Z696" s="337" t="str">
        <f>+Z688</f>
        <v>Di cui Fatture da emettere</v>
      </c>
      <c r="AA696" s="262" t="str">
        <f>+AA688</f>
        <v>Fondo svalutazione crediti al 31/12/2019</v>
      </c>
      <c r="AB696" s="262" t="s">
        <v>3500</v>
      </c>
      <c r="AC696" s="262" t="s">
        <v>3501</v>
      </c>
      <c r="AD696" s="262" t="s">
        <v>3502</v>
      </c>
      <c r="AE696" s="262" t="str">
        <f>+AE688</f>
        <v>Fondo svalutazione crediti al 31/12/2020</v>
      </c>
      <c r="AF696" s="339" t="s">
        <v>3503</v>
      </c>
      <c r="AG696" s="339" t="s">
        <v>3504</v>
      </c>
      <c r="AH696" s="339" t="s">
        <v>3505</v>
      </c>
      <c r="AI696" s="339" t="s">
        <v>3506</v>
      </c>
      <c r="AJ696" s="339" t="s">
        <v>3507</v>
      </c>
      <c r="AK696" s="340" t="s">
        <v>3508</v>
      </c>
      <c r="AL696" s="340" t="s">
        <v>3509</v>
      </c>
      <c r="AM696" s="340" t="s">
        <v>3510</v>
      </c>
    </row>
    <row r="697" spans="2:55" s="204" customFormat="1" x14ac:dyDescent="0.25">
      <c r="B697" s="292" t="s">
        <v>1681</v>
      </c>
      <c r="C697" s="292" t="s">
        <v>1682</v>
      </c>
      <c r="D697" s="247" t="s">
        <v>3779</v>
      </c>
      <c r="E697" s="247"/>
      <c r="F697" s="247"/>
      <c r="G697" s="247"/>
      <c r="H697" s="248"/>
      <c r="I697" s="247"/>
      <c r="J697" s="398"/>
      <c r="K697" s="399"/>
      <c r="L697" s="400" t="s">
        <v>2856</v>
      </c>
      <c r="M697" s="251" t="s">
        <v>2962</v>
      </c>
      <c r="N697" s="401">
        <f>+R697-AA697</f>
        <v>0</v>
      </c>
      <c r="O697" s="402">
        <f>+Y697-AE697</f>
        <v>0</v>
      </c>
      <c r="P697" s="253">
        <f>+O697-N697</f>
        <v>0</v>
      </c>
      <c r="Q697" s="520"/>
      <c r="R697" s="354">
        <f>IF(ISERROR(VLOOKUP("SOC"&amp;$C697,ESTR_PREC_SP!$A$2:$G$2000,4,FALSE))=TRUE,0,VLOOKUP("SOC"&amp;$C697,ESTR_PREC_SP!$A$2:$G$2000,4,FALSE))</f>
        <v>0</v>
      </c>
      <c r="S697" s="520"/>
      <c r="T697" s="520"/>
      <c r="U697" s="520"/>
      <c r="V697" s="520"/>
      <c r="W697" s="520"/>
      <c r="X697" s="520"/>
      <c r="Y697" s="269">
        <f>+R697+S697+T697+U697-V697-X697+W697+Q697</f>
        <v>0</v>
      </c>
      <c r="Z697" s="351"/>
      <c r="AA697" s="354">
        <f>IF(ISERROR(VLOOKUP("SOC"&amp;$C697,ESTR_PREC_SP!$A$2:$G$2000,5,FALSE))=TRUE,0,VLOOKUP("SOC"&amp;$C697,ESTR_PREC_SP!$A$2:$G$2000,5,FALSE))</f>
        <v>0</v>
      </c>
      <c r="AB697" s="520"/>
      <c r="AC697" s="520"/>
      <c r="AD697" s="520"/>
      <c r="AE697" s="269">
        <f>+AA697+AD697-AC697+AB697</f>
        <v>0</v>
      </c>
      <c r="AF697" s="520"/>
      <c r="AG697" s="520"/>
      <c r="AH697" s="520"/>
      <c r="AI697" s="520"/>
      <c r="AJ697" s="526">
        <f>+Y697-SUM(AF697:AI697)</f>
        <v>0</v>
      </c>
      <c r="AK697" s="526">
        <f>+Y697-AE697-AL697-AM697</f>
        <v>0</v>
      </c>
      <c r="AL697" s="520"/>
      <c r="AM697" s="520"/>
    </row>
    <row r="698" spans="2:55" s="204" customFormat="1" x14ac:dyDescent="0.25"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</row>
    <row r="699" spans="2:55" s="204" customFormat="1" x14ac:dyDescent="0.25"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</row>
    <row r="700" spans="2:55" s="204" customFormat="1" x14ac:dyDescent="0.25">
      <c r="B700" s="211"/>
      <c r="C700" s="211"/>
      <c r="D700" s="211"/>
      <c r="E700" s="211"/>
      <c r="F700" s="211"/>
      <c r="G700" s="211"/>
      <c r="H700" s="353"/>
      <c r="I700" s="211"/>
      <c r="J700" s="211"/>
      <c r="K700" s="211"/>
      <c r="L700" s="232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Y700" s="211"/>
      <c r="Z700" s="211"/>
      <c r="AA700" s="211"/>
      <c r="AB700" s="211"/>
      <c r="AC700" s="211"/>
    </row>
    <row r="701" spans="2:55" s="204" customFormat="1" ht="38.25" x14ac:dyDescent="0.25">
      <c r="B701" s="211"/>
      <c r="C701" s="211"/>
      <c r="D701" s="211"/>
      <c r="E701" s="211"/>
      <c r="F701" s="211"/>
      <c r="G701" s="211"/>
      <c r="H701" s="353"/>
      <c r="I701" s="211"/>
      <c r="J701" s="211"/>
      <c r="K701" s="211"/>
      <c r="L701" s="255"/>
      <c r="M701" s="244"/>
      <c r="N701" s="256" t="str">
        <f>N$15</f>
        <v>Valore netto al 31/12/2019</v>
      </c>
      <c r="O701" s="256" t="str">
        <f>O$15</f>
        <v>Valore netto al 31/12/2020</v>
      </c>
      <c r="P701" s="256" t="str">
        <f>P$15</f>
        <v>Variazione</v>
      </c>
      <c r="Q701" s="262" t="s">
        <v>2971</v>
      </c>
      <c r="R701" s="211"/>
      <c r="S701" s="211"/>
      <c r="T701" s="211"/>
      <c r="U701" s="211"/>
      <c r="V701" s="211"/>
      <c r="Y701" s="211"/>
      <c r="Z701" s="211"/>
      <c r="AA701" s="211"/>
      <c r="AB701" s="211"/>
      <c r="AC701" s="211"/>
    </row>
    <row r="702" spans="2:55" s="204" customFormat="1" x14ac:dyDescent="0.25">
      <c r="B702" s="292" t="s">
        <v>1687</v>
      </c>
      <c r="C702" s="292" t="s">
        <v>1688</v>
      </c>
      <c r="D702" s="247" t="s">
        <v>3780</v>
      </c>
      <c r="E702" s="247"/>
      <c r="F702" s="247"/>
      <c r="G702" s="247"/>
      <c r="H702" s="248"/>
      <c r="I702" s="247"/>
      <c r="J702" s="398"/>
      <c r="K702" s="399"/>
      <c r="L702" s="400" t="s">
        <v>1690</v>
      </c>
      <c r="M702" s="251" t="s">
        <v>2962</v>
      </c>
      <c r="N702" s="410">
        <f>+N707+N708+N709+N710+N711+N712+N722</f>
        <v>0</v>
      </c>
      <c r="O702" s="410">
        <f>+O707+O708+O709+O710+O711+O712+O722</f>
        <v>0</v>
      </c>
      <c r="P702" s="253">
        <f>+O702-N702</f>
        <v>0</v>
      </c>
      <c r="Q702" s="410">
        <f t="shared" ref="Q702:AA702" si="122">+Q707+Q708+Q709+Q710+Q711+Q712+Q722</f>
        <v>0</v>
      </c>
      <c r="R702" s="410">
        <f t="shared" si="122"/>
        <v>0</v>
      </c>
      <c r="S702" s="410">
        <f t="shared" si="122"/>
        <v>0</v>
      </c>
      <c r="T702" s="410">
        <f t="shared" si="122"/>
        <v>0</v>
      </c>
      <c r="U702" s="410">
        <f t="shared" si="122"/>
        <v>0</v>
      </c>
      <c r="V702" s="410">
        <f t="shared" si="122"/>
        <v>0</v>
      </c>
      <c r="W702" s="410">
        <f t="shared" si="122"/>
        <v>0</v>
      </c>
      <c r="X702" s="410">
        <f t="shared" si="122"/>
        <v>0</v>
      </c>
      <c r="Y702" s="410">
        <f t="shared" si="122"/>
        <v>0</v>
      </c>
      <c r="Z702" s="410">
        <f t="shared" si="122"/>
        <v>0</v>
      </c>
      <c r="AA702" s="410">
        <f t="shared" si="122"/>
        <v>0</v>
      </c>
      <c r="AB702" s="410">
        <f t="shared" ref="AB702:AM702" si="123">+AC707+AC708+AC709+AC710+AC711+AC712+AC722</f>
        <v>0</v>
      </c>
      <c r="AC702" s="410">
        <f t="shared" si="123"/>
        <v>0</v>
      </c>
      <c r="AD702" s="410">
        <f t="shared" si="123"/>
        <v>0</v>
      </c>
      <c r="AE702" s="410">
        <f t="shared" si="123"/>
        <v>0</v>
      </c>
      <c r="AF702" s="410">
        <f t="shared" si="123"/>
        <v>0</v>
      </c>
      <c r="AG702" s="410">
        <f t="shared" si="123"/>
        <v>0</v>
      </c>
      <c r="AH702" s="410">
        <f t="shared" si="123"/>
        <v>0</v>
      </c>
      <c r="AI702" s="410">
        <f t="shared" si="123"/>
        <v>0</v>
      </c>
      <c r="AJ702" s="410">
        <f t="shared" si="123"/>
        <v>0</v>
      </c>
      <c r="AK702" s="410">
        <f t="shared" si="123"/>
        <v>0</v>
      </c>
      <c r="AL702" s="410">
        <f t="shared" si="123"/>
        <v>0</v>
      </c>
      <c r="AM702" s="410">
        <f t="shared" si="123"/>
        <v>0</v>
      </c>
    </row>
    <row r="703" spans="2:55" s="204" customFormat="1" x14ac:dyDescent="0.25">
      <c r="B703" s="216"/>
      <c r="C703" s="216"/>
      <c r="D703" s="226"/>
      <c r="E703" s="226"/>
      <c r="F703" s="226"/>
      <c r="G703" s="226"/>
      <c r="H703" s="227"/>
      <c r="I703" s="226"/>
      <c r="J703" s="226"/>
      <c r="K703" s="226"/>
      <c r="L703" s="403"/>
      <c r="M703" s="278"/>
      <c r="N703" s="279"/>
      <c r="O703" s="279"/>
      <c r="P703" s="404"/>
      <c r="Q703" s="211"/>
      <c r="R703" s="279"/>
      <c r="S703" s="279"/>
      <c r="T703" s="279"/>
      <c r="U703" s="279"/>
      <c r="V703" s="279"/>
      <c r="Y703" s="279"/>
      <c r="Z703" s="211"/>
      <c r="AA703" s="211"/>
      <c r="AB703" s="211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55" s="204" customFormat="1" ht="25.5" customHeight="1" x14ac:dyDescent="0.25">
      <c r="B704" s="211"/>
      <c r="C704" s="211"/>
      <c r="D704" s="211"/>
      <c r="E704" s="211"/>
      <c r="F704" s="211"/>
      <c r="G704" s="211"/>
      <c r="H704" s="353"/>
      <c r="I704" s="211"/>
      <c r="J704" s="211"/>
      <c r="K704" s="211"/>
      <c r="L704" s="232"/>
      <c r="M704" s="211"/>
      <c r="N704" s="211"/>
      <c r="O704" s="211"/>
      <c r="P704" s="211"/>
      <c r="Q704" s="211"/>
      <c r="R704" s="211"/>
      <c r="S704" s="935" t="s">
        <v>3495</v>
      </c>
      <c r="T704" s="935"/>
      <c r="U704" s="935"/>
      <c r="V704" s="654" t="s">
        <v>3496</v>
      </c>
      <c r="W704" s="336"/>
      <c r="X704" s="335" t="s">
        <v>3496</v>
      </c>
      <c r="Z704" s="211"/>
      <c r="AA704" s="211"/>
      <c r="AB704" s="211"/>
      <c r="AC704" s="285"/>
      <c r="AD704" s="211"/>
      <c r="AE704" s="211"/>
      <c r="AF704" s="904" t="str">
        <f>+AF695</f>
        <v>VALORE NOMINALE DEI CREDITI AL 31/12/2020 PER ANNO DI FORMAZIONE</v>
      </c>
      <c r="AG704" s="904"/>
      <c r="AH704" s="904"/>
      <c r="AI704" s="904"/>
      <c r="AJ704" s="904"/>
      <c r="AK704" s="905" t="str">
        <f>+AK695</f>
        <v>VALORE NETTO DEI CREDITI AL 31/12/2020 PER SCADENZA</v>
      </c>
      <c r="AL704" s="905"/>
      <c r="AM704" s="905"/>
    </row>
    <row r="705" spans="2:55" s="204" customFormat="1" ht="51.75" customHeight="1" x14ac:dyDescent="0.25">
      <c r="B705" s="260" t="s">
        <v>2968</v>
      </c>
      <c r="C705" s="260" t="s">
        <v>2969</v>
      </c>
      <c r="D705" s="206" t="s">
        <v>72</v>
      </c>
      <c r="E705" s="206"/>
      <c r="F705" s="206"/>
      <c r="G705" s="207"/>
      <c r="H705" s="207"/>
      <c r="I705" s="207"/>
      <c r="J705" s="207" t="s">
        <v>2957</v>
      </c>
      <c r="K705" s="206" t="s">
        <v>82</v>
      </c>
      <c r="L705" s="261" t="s">
        <v>3670</v>
      </c>
      <c r="M705" s="256"/>
      <c r="N705" s="256" t="str">
        <f>N$15</f>
        <v>Valore netto al 31/12/2019</v>
      </c>
      <c r="O705" s="256" t="str">
        <f>O$15</f>
        <v>Valore netto al 31/12/2020</v>
      </c>
      <c r="P705" s="256" t="str">
        <f>P$15</f>
        <v>Variazione</v>
      </c>
      <c r="Q705" s="262" t="s">
        <v>2971</v>
      </c>
      <c r="R705" s="262" t="str">
        <f>+R696</f>
        <v>Valore iniziale LORDO al 31/12/2019</v>
      </c>
      <c r="S705" s="337" t="s">
        <v>2972</v>
      </c>
      <c r="T705" s="655" t="s">
        <v>3497</v>
      </c>
      <c r="U705" s="655" t="s">
        <v>3495</v>
      </c>
      <c r="V705" s="338" t="s">
        <v>3498</v>
      </c>
      <c r="W705" s="262" t="s">
        <v>4391</v>
      </c>
      <c r="X705" s="338" t="s">
        <v>3499</v>
      </c>
      <c r="Y705" s="262" t="str">
        <f>+Y696</f>
        <v>Valore finale LORDO al 31/12/2020</v>
      </c>
      <c r="Z705" s="337" t="str">
        <f>+Z696</f>
        <v>Di cui Fatture da emettere</v>
      </c>
      <c r="AA705" s="262" t="str">
        <f>+AA696</f>
        <v>Fondo svalutazione crediti al 31/12/2019</v>
      </c>
      <c r="AB705" s="262" t="s">
        <v>3500</v>
      </c>
      <c r="AC705" s="262" t="s">
        <v>3501</v>
      </c>
      <c r="AD705" s="262" t="s">
        <v>3502</v>
      </c>
      <c r="AE705" s="262" t="str">
        <f>+AE696</f>
        <v>Fondo svalutazione crediti al 31/12/2020</v>
      </c>
      <c r="AF705" s="339" t="s">
        <v>3503</v>
      </c>
      <c r="AG705" s="339" t="s">
        <v>3504</v>
      </c>
      <c r="AH705" s="339" t="s">
        <v>3505</v>
      </c>
      <c r="AI705" s="339" t="s">
        <v>3506</v>
      </c>
      <c r="AJ705" s="339" t="s">
        <v>3507</v>
      </c>
      <c r="AK705" s="340" t="s">
        <v>3508</v>
      </c>
      <c r="AL705" s="340" t="s">
        <v>3509</v>
      </c>
      <c r="AM705" s="340" t="s">
        <v>3510</v>
      </c>
    </row>
    <row r="706" spans="2:55" s="204" customFormat="1" x14ac:dyDescent="0.25">
      <c r="B706" s="287" t="s">
        <v>1691</v>
      </c>
      <c r="C706" s="287" t="s">
        <v>1692</v>
      </c>
      <c r="D706" s="274" t="s">
        <v>3781</v>
      </c>
      <c r="E706" s="274"/>
      <c r="F706" s="274"/>
      <c r="G706" s="283"/>
      <c r="H706" s="266"/>
      <c r="I706" s="274"/>
      <c r="J706" s="281"/>
      <c r="K706" s="281"/>
      <c r="L706" s="295" t="s">
        <v>1693</v>
      </c>
      <c r="M706" s="284" t="s">
        <v>2962</v>
      </c>
      <c r="N706" s="354"/>
      <c r="O706" s="354">
        <f>O707+O708</f>
        <v>0</v>
      </c>
      <c r="P706" s="354"/>
      <c r="Q706" s="354"/>
      <c r="R706" s="354">
        <f>IF(ISERROR(VLOOKUP("SOC"&amp;$C706,ESTR_PREC_SP!$A$2:$G$2000,4,FALSE))=TRUE,0,VLOOKUP("SOC"&amp;$C706,ESTR_PREC_SP!$A$2:$G$2000,4,FALSE))</f>
        <v>0</v>
      </c>
      <c r="S706" s="354"/>
      <c r="T706" s="354"/>
      <c r="U706" s="354"/>
      <c r="V706" s="354"/>
      <c r="W706" s="354"/>
      <c r="X706" s="354"/>
      <c r="Y706" s="354"/>
      <c r="Z706" s="354"/>
      <c r="AA706" s="354">
        <f>IF(ISERROR(VLOOKUP("SOC"&amp;$C706,ESTR_PREC_SP!$A$2:$G$2000,5,FALSE))=TRUE,0,VLOOKUP("SOC"&amp;$C706,ESTR_PREC_SP!$A$2:$G$2000,5,FALSE))</f>
        <v>0</v>
      </c>
      <c r="AB706" s="354"/>
      <c r="AC706" s="354"/>
      <c r="AD706" s="354"/>
      <c r="AE706" s="354"/>
      <c r="AF706" s="354"/>
      <c r="AG706" s="354"/>
      <c r="AH706" s="354"/>
      <c r="AI706" s="354"/>
      <c r="AJ706" s="354"/>
      <c r="AK706" s="354"/>
      <c r="AL706" s="354"/>
      <c r="AM706" s="354"/>
    </row>
    <row r="707" spans="2:55" s="204" customFormat="1" x14ac:dyDescent="0.25">
      <c r="B707" s="287" t="s">
        <v>1694</v>
      </c>
      <c r="C707" s="287" t="s">
        <v>1695</v>
      </c>
      <c r="D707" s="274" t="s">
        <v>3781</v>
      </c>
      <c r="E707" s="274"/>
      <c r="F707" s="274"/>
      <c r="G707" s="283"/>
      <c r="H707" s="266"/>
      <c r="I707" s="274"/>
      <c r="J707" s="281"/>
      <c r="K707" s="281"/>
      <c r="L707" s="392" t="s">
        <v>3782</v>
      </c>
      <c r="M707" s="284" t="s">
        <v>2962</v>
      </c>
      <c r="N707" s="269">
        <f>+R707-AA707</f>
        <v>0</v>
      </c>
      <c r="O707" s="270">
        <f>+Y707-AE707</f>
        <v>0</v>
      </c>
      <c r="P707" s="271">
        <f t="shared" ref="P707:P724" si="124">+O707-N707</f>
        <v>0</v>
      </c>
      <c r="Q707" s="520"/>
      <c r="R707" s="354">
        <f>IF(ISERROR(VLOOKUP("SOC"&amp;$C707,ESTR_PREC_SP!$A$2:$G$2000,4,FALSE))=TRUE,0,VLOOKUP("SOC"&amp;$C707,ESTR_PREC_SP!$A$2:$G$2000,4,FALSE))</f>
        <v>0</v>
      </c>
      <c r="S707" s="520"/>
      <c r="T707" s="520"/>
      <c r="U707" s="520"/>
      <c r="V707" s="520"/>
      <c r="W707" s="520"/>
      <c r="X707" s="520"/>
      <c r="Y707" s="269">
        <f>+R707+S707+T707+U707-V707-X707+W707+Q707</f>
        <v>0</v>
      </c>
      <c r="Z707" s="534"/>
      <c r="AA707" s="354">
        <f>IF(ISERROR(VLOOKUP("SOC"&amp;$C707,ESTR_PREC_SP!$A$2:$G$2000,5,FALSE))=TRUE,0,VLOOKUP("SOC"&amp;$C707,ESTR_PREC_SP!$A$2:$G$2000,5,FALSE))</f>
        <v>0</v>
      </c>
      <c r="AB707" s="520"/>
      <c r="AC707" s="520"/>
      <c r="AD707" s="520"/>
      <c r="AE707" s="269">
        <f t="shared" ref="AE707:AE724" si="125">+AA707+AD707-AC707+AB707</f>
        <v>0</v>
      </c>
      <c r="AF707" s="520"/>
      <c r="AG707" s="520"/>
      <c r="AH707" s="520"/>
      <c r="AI707" s="520"/>
      <c r="AJ707" s="526">
        <f t="shared" ref="AJ707:AJ721" si="126">+Y707-SUM(AF707:AI707)</f>
        <v>0</v>
      </c>
      <c r="AK707" s="526">
        <f t="shared" ref="AK707:AK721" si="127">+Y707-AE707-AL707-AM707</f>
        <v>0</v>
      </c>
      <c r="AL707" s="520"/>
      <c r="AM707" s="520"/>
    </row>
    <row r="708" spans="2:55" s="204" customFormat="1" x14ac:dyDescent="0.25">
      <c r="B708" s="287" t="s">
        <v>3783</v>
      </c>
      <c r="C708" s="287" t="s">
        <v>1699</v>
      </c>
      <c r="D708" s="274" t="s">
        <v>3781</v>
      </c>
      <c r="E708" s="274"/>
      <c r="F708" s="274"/>
      <c r="G708" s="283"/>
      <c r="H708" s="266"/>
      <c r="I708" s="274"/>
      <c r="J708" s="281"/>
      <c r="K708" s="281"/>
      <c r="L708" s="392" t="s">
        <v>3784</v>
      </c>
      <c r="M708" s="284" t="s">
        <v>2962</v>
      </c>
      <c r="N708" s="269">
        <f>+R708-AA708</f>
        <v>0</v>
      </c>
      <c r="O708" s="270">
        <f>+Y708-AE708</f>
        <v>0</v>
      </c>
      <c r="P708" s="271">
        <f t="shared" si="124"/>
        <v>0</v>
      </c>
      <c r="Q708" s="520"/>
      <c r="R708" s="354">
        <f>IF(ISERROR(VLOOKUP("SOC"&amp;$C708,ESTR_PREC_SP!$A$2:$G$2000,4,FALSE))=TRUE,0,VLOOKUP("SOC"&amp;$C708,ESTR_PREC_SP!$A$2:$G$2000,4,FALSE))</f>
        <v>0</v>
      </c>
      <c r="S708" s="520"/>
      <c r="T708" s="520"/>
      <c r="U708" s="520"/>
      <c r="V708" s="520"/>
      <c r="W708" s="520"/>
      <c r="X708" s="520"/>
      <c r="Y708" s="269">
        <f>+R708+S708+T708+U708-V708-X708+W708+Q708</f>
        <v>0</v>
      </c>
      <c r="Z708" s="534"/>
      <c r="AA708" s="354">
        <f>IF(ISERROR(VLOOKUP("SOC"&amp;$C708,ESTR_PREC_SP!$A$2:$G$2000,5,FALSE))=TRUE,0,VLOOKUP("SOC"&amp;$C708,ESTR_PREC_SP!$A$2:$G$2000,5,FALSE))</f>
        <v>0</v>
      </c>
      <c r="AB708" s="520"/>
      <c r="AC708" s="520"/>
      <c r="AD708" s="520"/>
      <c r="AE708" s="269">
        <f t="shared" si="125"/>
        <v>0</v>
      </c>
      <c r="AF708" s="520"/>
      <c r="AG708" s="520"/>
      <c r="AH708" s="520"/>
      <c r="AI708" s="520"/>
      <c r="AJ708" s="526">
        <f t="shared" si="126"/>
        <v>0</v>
      </c>
      <c r="AK708" s="526">
        <f t="shared" si="127"/>
        <v>0</v>
      </c>
      <c r="AL708" s="520"/>
      <c r="AM708" s="520"/>
    </row>
    <row r="709" spans="2:55" s="204" customFormat="1" x14ac:dyDescent="0.25">
      <c r="B709" s="287" t="s">
        <v>1701</v>
      </c>
      <c r="C709" s="287" t="s">
        <v>1702</v>
      </c>
      <c r="D709" s="274" t="s">
        <v>3785</v>
      </c>
      <c r="E709" s="274"/>
      <c r="F709" s="274"/>
      <c r="G709" s="283"/>
      <c r="H709" s="266"/>
      <c r="I709" s="274"/>
      <c r="J709" s="281"/>
      <c r="K709" s="281"/>
      <c r="L709" s="295" t="s">
        <v>3786</v>
      </c>
      <c r="M709" s="284" t="s">
        <v>2962</v>
      </c>
      <c r="N709" s="269">
        <f>+R709-AA709</f>
        <v>0</v>
      </c>
      <c r="O709" s="270">
        <f>+Y709-AE709</f>
        <v>0</v>
      </c>
      <c r="P709" s="271">
        <f t="shared" si="124"/>
        <v>0</v>
      </c>
      <c r="Q709" s="520"/>
      <c r="R709" s="354">
        <f>IF(ISERROR(VLOOKUP("SOC"&amp;$C709,ESTR_PREC_SP!$A$2:$G$2000,4,FALSE))=TRUE,0,VLOOKUP("SOC"&amp;$C709,ESTR_PREC_SP!$A$2:$G$2000,4,FALSE))</f>
        <v>0</v>
      </c>
      <c r="S709" s="520"/>
      <c r="T709" s="520"/>
      <c r="U709" s="520"/>
      <c r="V709" s="520"/>
      <c r="W709" s="520"/>
      <c r="X709" s="520"/>
      <c r="Y709" s="269">
        <f>+R709+S709+T709+U709-V709-X709+W709+Q709</f>
        <v>0</v>
      </c>
      <c r="Z709" s="534"/>
      <c r="AA709" s="354">
        <f>IF(ISERROR(VLOOKUP("SOC"&amp;$C709,ESTR_PREC_SP!$A$2:$G$2000,5,FALSE))=TRUE,0,VLOOKUP("SOC"&amp;$C709,ESTR_PREC_SP!$A$2:$G$2000,5,FALSE))</f>
        <v>0</v>
      </c>
      <c r="AB709" s="520"/>
      <c r="AC709" s="520"/>
      <c r="AD709" s="520"/>
      <c r="AE709" s="269">
        <f t="shared" si="125"/>
        <v>0</v>
      </c>
      <c r="AF709" s="520"/>
      <c r="AG709" s="520"/>
      <c r="AH709" s="520"/>
      <c r="AI709" s="520"/>
      <c r="AJ709" s="526">
        <f t="shared" si="126"/>
        <v>0</v>
      </c>
      <c r="AK709" s="526">
        <f t="shared" si="127"/>
        <v>0</v>
      </c>
      <c r="AL709" s="520"/>
      <c r="AM709" s="520"/>
    </row>
    <row r="710" spans="2:55" s="204" customFormat="1" x14ac:dyDescent="0.25">
      <c r="B710" s="287" t="s">
        <v>1705</v>
      </c>
      <c r="C710" s="287" t="s">
        <v>1706</v>
      </c>
      <c r="D710" s="274" t="s">
        <v>3787</v>
      </c>
      <c r="E710" s="274"/>
      <c r="F710" s="274"/>
      <c r="G710" s="283"/>
      <c r="H710" s="266"/>
      <c r="I710" s="274"/>
      <c r="J710" s="281"/>
      <c r="K710" s="281"/>
      <c r="L710" s="295" t="s">
        <v>1708</v>
      </c>
      <c r="M710" s="284" t="s">
        <v>2962</v>
      </c>
      <c r="N710" s="269">
        <f>+R710-AA710</f>
        <v>0</v>
      </c>
      <c r="O710" s="270">
        <f>+Y710-AE710</f>
        <v>0</v>
      </c>
      <c r="P710" s="271">
        <f t="shared" si="124"/>
        <v>0</v>
      </c>
      <c r="Q710" s="520"/>
      <c r="R710" s="354">
        <f>IF(ISERROR(VLOOKUP("SOC"&amp;$C710,ESTR_PREC_SP!$A$2:$G$2000,4,FALSE))=TRUE,0,VLOOKUP("SOC"&amp;$C710,ESTR_PREC_SP!$A$2:$G$2000,4,FALSE))</f>
        <v>0</v>
      </c>
      <c r="S710" s="520"/>
      <c r="T710" s="520"/>
      <c r="U710" s="520"/>
      <c r="V710" s="520"/>
      <c r="W710" s="520"/>
      <c r="X710" s="520"/>
      <c r="Y710" s="269">
        <f>+R710+S710+T710+U710-V710-X710+W710+Q710</f>
        <v>0</v>
      </c>
      <c r="Z710" s="534"/>
      <c r="AA710" s="354">
        <f>IF(ISERROR(VLOOKUP("SOC"&amp;$C710,ESTR_PREC_SP!$A$2:$G$2000,5,FALSE))=TRUE,0,VLOOKUP("SOC"&amp;$C710,ESTR_PREC_SP!$A$2:$G$2000,5,FALSE))</f>
        <v>0</v>
      </c>
      <c r="AB710" s="520"/>
      <c r="AC710" s="520"/>
      <c r="AD710" s="520"/>
      <c r="AE710" s="269">
        <f t="shared" si="125"/>
        <v>0</v>
      </c>
      <c r="AF710" s="520"/>
      <c r="AG710" s="520"/>
      <c r="AH710" s="520"/>
      <c r="AI710" s="520"/>
      <c r="AJ710" s="526">
        <f t="shared" si="126"/>
        <v>0</v>
      </c>
      <c r="AK710" s="526">
        <f t="shared" si="127"/>
        <v>0</v>
      </c>
      <c r="AL710" s="520"/>
      <c r="AM710" s="520"/>
    </row>
    <row r="711" spans="2:55" s="204" customFormat="1" x14ac:dyDescent="0.25">
      <c r="B711" s="287" t="s">
        <v>1709</v>
      </c>
      <c r="C711" s="287" t="s">
        <v>1710</v>
      </c>
      <c r="D711" s="274" t="s">
        <v>3788</v>
      </c>
      <c r="E711" s="274"/>
      <c r="F711" s="274"/>
      <c r="G711" s="283"/>
      <c r="H711" s="266"/>
      <c r="I711" s="274"/>
      <c r="J711" s="281"/>
      <c r="K711" s="281"/>
      <c r="L711" s="295" t="s">
        <v>1712</v>
      </c>
      <c r="M711" s="284" t="s">
        <v>2962</v>
      </c>
      <c r="N711" s="269">
        <f>+R711-AA711</f>
        <v>0</v>
      </c>
      <c r="O711" s="270">
        <f>+Y711-AE711</f>
        <v>0</v>
      </c>
      <c r="P711" s="271">
        <f t="shared" si="124"/>
        <v>0</v>
      </c>
      <c r="Q711" s="520"/>
      <c r="R711" s="354">
        <f>IF(ISERROR(VLOOKUP("SOC"&amp;$C711,ESTR_PREC_SP!$A$2:$G$2000,4,FALSE))=TRUE,0,VLOOKUP("SOC"&amp;$C711,ESTR_PREC_SP!$A$2:$G$2000,4,FALSE))</f>
        <v>0</v>
      </c>
      <c r="S711" s="520"/>
      <c r="T711" s="520"/>
      <c r="U711" s="520"/>
      <c r="V711" s="520"/>
      <c r="W711" s="520"/>
      <c r="X711" s="520"/>
      <c r="Y711" s="269">
        <f>+R711+S711+T711+U711-V711-X711+W711+Q711</f>
        <v>0</v>
      </c>
      <c r="Z711" s="534"/>
      <c r="AA711" s="354">
        <f>IF(ISERROR(VLOOKUP("SOC"&amp;$C711,ESTR_PREC_SP!$A$2:$G$2000,5,FALSE))=TRUE,0,VLOOKUP("SOC"&amp;$C711,ESTR_PREC_SP!$A$2:$G$2000,5,FALSE))</f>
        <v>0</v>
      </c>
      <c r="AB711" s="520"/>
      <c r="AC711" s="520"/>
      <c r="AD711" s="520"/>
      <c r="AE711" s="269">
        <f t="shared" si="125"/>
        <v>0</v>
      </c>
      <c r="AF711" s="520"/>
      <c r="AG711" s="520"/>
      <c r="AH711" s="520"/>
      <c r="AI711" s="520"/>
      <c r="AJ711" s="526">
        <f t="shared" si="126"/>
        <v>0</v>
      </c>
      <c r="AK711" s="526">
        <f t="shared" si="127"/>
        <v>0</v>
      </c>
      <c r="AL711" s="520"/>
      <c r="AM711" s="520"/>
    </row>
    <row r="712" spans="2:55" s="204" customFormat="1" x14ac:dyDescent="0.25">
      <c r="B712" s="287" t="s">
        <v>1713</v>
      </c>
      <c r="C712" s="287" t="s">
        <v>1714</v>
      </c>
      <c r="D712" s="274" t="s">
        <v>3789</v>
      </c>
      <c r="E712" s="274"/>
      <c r="F712" s="274"/>
      <c r="G712" s="283"/>
      <c r="H712" s="266"/>
      <c r="I712" s="274"/>
      <c r="J712" s="281"/>
      <c r="K712" s="281"/>
      <c r="L712" s="295" t="s">
        <v>1715</v>
      </c>
      <c r="M712" s="284" t="s">
        <v>2962</v>
      </c>
      <c r="N712" s="272">
        <f>+N713+N716+N721</f>
        <v>0</v>
      </c>
      <c r="O712" s="272">
        <f>+O713+O716+O721</f>
        <v>0</v>
      </c>
      <c r="P712" s="378">
        <f t="shared" si="124"/>
        <v>0</v>
      </c>
      <c r="Q712" s="272">
        <f>+Q713+Q716+Q721</f>
        <v>0</v>
      </c>
      <c r="R712" s="272">
        <f>+R713+R716+R721</f>
        <v>0</v>
      </c>
      <c r="S712" s="272">
        <f>+S713+S716+S721</f>
        <v>0</v>
      </c>
      <c r="T712" s="272">
        <f>+T713+T716+T721</f>
        <v>0</v>
      </c>
      <c r="U712" s="272"/>
      <c r="V712" s="272">
        <f t="shared" ref="V712:AD712" si="128">+V713+V716+V721</f>
        <v>0</v>
      </c>
      <c r="W712" s="272">
        <f t="shared" si="128"/>
        <v>0</v>
      </c>
      <c r="X712" s="272">
        <f t="shared" si="128"/>
        <v>0</v>
      </c>
      <c r="Y712" s="272">
        <f t="shared" si="128"/>
        <v>0</v>
      </c>
      <c r="Z712" s="272">
        <f t="shared" si="128"/>
        <v>0</v>
      </c>
      <c r="AA712" s="272">
        <f t="shared" si="128"/>
        <v>0</v>
      </c>
      <c r="AB712" s="272">
        <f t="shared" si="128"/>
        <v>0</v>
      </c>
      <c r="AC712" s="272">
        <f t="shared" si="128"/>
        <v>0</v>
      </c>
      <c r="AD712" s="272">
        <f t="shared" si="128"/>
        <v>0</v>
      </c>
      <c r="AE712" s="272">
        <f t="shared" si="125"/>
        <v>0</v>
      </c>
      <c r="AF712" s="272">
        <f>+AF713+AF716+AF721</f>
        <v>0</v>
      </c>
      <c r="AG712" s="272">
        <f>+AG713+AG716+AG721</f>
        <v>0</v>
      </c>
      <c r="AH712" s="272">
        <f>+AH713+AH716+AH721</f>
        <v>0</v>
      </c>
      <c r="AI712" s="272">
        <f>+AI713+AI716+AI721</f>
        <v>0</v>
      </c>
      <c r="AJ712" s="537">
        <f t="shared" si="126"/>
        <v>0</v>
      </c>
      <c r="AK712" s="537">
        <f t="shared" si="127"/>
        <v>0</v>
      </c>
      <c r="AL712" s="272">
        <f>+AL713+AL716+AL721</f>
        <v>0</v>
      </c>
      <c r="AM712" s="272">
        <f>+AM713+AM716+AM721</f>
        <v>0</v>
      </c>
    </row>
    <row r="713" spans="2:55" s="204" customFormat="1" x14ac:dyDescent="0.25">
      <c r="B713" s="287" t="s">
        <v>1716</v>
      </c>
      <c r="C713" s="287" t="s">
        <v>1717</v>
      </c>
      <c r="D713" s="274" t="s">
        <v>3790</v>
      </c>
      <c r="E713" s="274"/>
      <c r="F713" s="274"/>
      <c r="G713" s="283"/>
      <c r="H713" s="266"/>
      <c r="I713" s="274"/>
      <c r="J713" s="281"/>
      <c r="K713" s="281"/>
      <c r="L713" s="379" t="s">
        <v>1719</v>
      </c>
      <c r="M713" s="284" t="s">
        <v>2962</v>
      </c>
      <c r="N713" s="272">
        <f>+N714+N715</f>
        <v>0</v>
      </c>
      <c r="O713" s="272">
        <f>+O714+O715</f>
        <v>0</v>
      </c>
      <c r="P713" s="378">
        <f t="shared" si="124"/>
        <v>0</v>
      </c>
      <c r="Q713" s="272">
        <f>+Q714+Q715</f>
        <v>0</v>
      </c>
      <c r="R713" s="272">
        <f>+R714+R715</f>
        <v>0</v>
      </c>
      <c r="S713" s="272">
        <f>+S714+S715</f>
        <v>0</v>
      </c>
      <c r="T713" s="272">
        <f>+T714+T715</f>
        <v>0</v>
      </c>
      <c r="U713" s="272"/>
      <c r="V713" s="272">
        <f t="shared" ref="V713:AD713" si="129">+V714+V715</f>
        <v>0</v>
      </c>
      <c r="W713" s="272">
        <f t="shared" si="129"/>
        <v>0</v>
      </c>
      <c r="X713" s="272">
        <f t="shared" si="129"/>
        <v>0</v>
      </c>
      <c r="Y713" s="272">
        <f t="shared" si="129"/>
        <v>0</v>
      </c>
      <c r="Z713" s="272">
        <f t="shared" si="129"/>
        <v>0</v>
      </c>
      <c r="AA713" s="272">
        <f t="shared" si="129"/>
        <v>0</v>
      </c>
      <c r="AB713" s="272">
        <f t="shared" si="129"/>
        <v>0</v>
      </c>
      <c r="AC713" s="272">
        <f t="shared" si="129"/>
        <v>0</v>
      </c>
      <c r="AD713" s="272">
        <f t="shared" si="129"/>
        <v>0</v>
      </c>
      <c r="AE713" s="272">
        <f t="shared" si="125"/>
        <v>0</v>
      </c>
      <c r="AF713" s="272">
        <f>+AF714+AF715</f>
        <v>0</v>
      </c>
      <c r="AG713" s="272">
        <f>+AG714+AG715</f>
        <v>0</v>
      </c>
      <c r="AH713" s="272">
        <f>+AH714+AH715</f>
        <v>0</v>
      </c>
      <c r="AI713" s="272">
        <f>+AI714+AI715</f>
        <v>0</v>
      </c>
      <c r="AJ713" s="537">
        <f t="shared" si="126"/>
        <v>0</v>
      </c>
      <c r="AK713" s="537">
        <f t="shared" si="127"/>
        <v>0</v>
      </c>
      <c r="AL713" s="272">
        <f>+AL714+AL715</f>
        <v>0</v>
      </c>
      <c r="AM713" s="272">
        <f>+AM714+AM715</f>
        <v>0</v>
      </c>
    </row>
    <row r="714" spans="2:55" s="204" customFormat="1" x14ac:dyDescent="0.25">
      <c r="B714" s="287" t="s">
        <v>1720</v>
      </c>
      <c r="C714" s="287" t="s">
        <v>1721</v>
      </c>
      <c r="D714" s="274" t="s">
        <v>3791</v>
      </c>
      <c r="E714" s="274"/>
      <c r="F714" s="274"/>
      <c r="G714" s="283"/>
      <c r="H714" s="266"/>
      <c r="I714" s="274"/>
      <c r="J714" s="281"/>
      <c r="K714" s="281"/>
      <c r="L714" s="97" t="s">
        <v>3792</v>
      </c>
      <c r="M714" s="284" t="s">
        <v>2962</v>
      </c>
      <c r="N714" s="269">
        <f>+R714-AA714</f>
        <v>0</v>
      </c>
      <c r="O714" s="270">
        <f>+Y714-AE714</f>
        <v>0</v>
      </c>
      <c r="P714" s="271">
        <f t="shared" si="124"/>
        <v>0</v>
      </c>
      <c r="Q714" s="520"/>
      <c r="R714" s="354">
        <f>IF(ISERROR(VLOOKUP("SOC"&amp;$C714,ESTR_PREC_SP!$A$2:$G$2000,4,FALSE))=TRUE,0,VLOOKUP("SOC"&amp;$C714,ESTR_PREC_SP!$A$2:$G$2000,4,FALSE))</f>
        <v>0</v>
      </c>
      <c r="S714" s="520"/>
      <c r="T714" s="520"/>
      <c r="U714" s="520"/>
      <c r="V714" s="520"/>
      <c r="W714" s="520"/>
      <c r="X714" s="520"/>
      <c r="Y714" s="269">
        <f>+R714+S714+T714+U714-V714-X714+W714+Q714</f>
        <v>0</v>
      </c>
      <c r="Z714" s="534"/>
      <c r="AA714" s="354">
        <f>IF(ISERROR(VLOOKUP("SOC"&amp;$C714,ESTR_PREC_SP!$A$2:$G$2000,5,FALSE))=TRUE,0,VLOOKUP("SOC"&amp;$C714,ESTR_PREC_SP!$A$2:$G$2000,5,FALSE))</f>
        <v>0</v>
      </c>
      <c r="AB714" s="520"/>
      <c r="AC714" s="520"/>
      <c r="AD714" s="520"/>
      <c r="AE714" s="269">
        <f t="shared" si="125"/>
        <v>0</v>
      </c>
      <c r="AF714" s="520"/>
      <c r="AG714" s="520"/>
      <c r="AH714" s="520"/>
      <c r="AI714" s="520"/>
      <c r="AJ714" s="526">
        <f t="shared" si="126"/>
        <v>0</v>
      </c>
      <c r="AK714" s="526">
        <f t="shared" si="127"/>
        <v>0</v>
      </c>
      <c r="AL714" s="520"/>
      <c r="AM714" s="520"/>
      <c r="AX714" s="211"/>
      <c r="AY714" s="211"/>
      <c r="AZ714" s="211"/>
      <c r="BA714" s="211"/>
      <c r="BB714" s="211"/>
      <c r="BC714" s="211"/>
    </row>
    <row r="715" spans="2:55" s="204" customFormat="1" x14ac:dyDescent="0.25">
      <c r="B715" s="287" t="s">
        <v>1724</v>
      </c>
      <c r="C715" s="287" t="s">
        <v>1725</v>
      </c>
      <c r="D715" s="274" t="s">
        <v>3793</v>
      </c>
      <c r="E715" s="274"/>
      <c r="F715" s="274"/>
      <c r="G715" s="283"/>
      <c r="H715" s="266"/>
      <c r="I715" s="274"/>
      <c r="J715" s="281"/>
      <c r="K715" s="281"/>
      <c r="L715" s="97" t="s">
        <v>3794</v>
      </c>
      <c r="M715" s="284" t="s">
        <v>2962</v>
      </c>
      <c r="N715" s="269">
        <f>+R715-AA715</f>
        <v>0</v>
      </c>
      <c r="O715" s="270">
        <f>+Y715-AE715</f>
        <v>0</v>
      </c>
      <c r="P715" s="271">
        <f t="shared" si="124"/>
        <v>0</v>
      </c>
      <c r="Q715" s="520"/>
      <c r="R715" s="354">
        <f>IF(ISERROR(VLOOKUP("SOC"&amp;$C715,ESTR_PREC_SP!$A$2:$G$2000,4,FALSE))=TRUE,0,VLOOKUP("SOC"&amp;$C715,ESTR_PREC_SP!$A$2:$G$2000,4,FALSE))</f>
        <v>0</v>
      </c>
      <c r="S715" s="520"/>
      <c r="T715" s="520"/>
      <c r="U715" s="520"/>
      <c r="V715" s="520"/>
      <c r="W715" s="520"/>
      <c r="X715" s="520"/>
      <c r="Y715" s="269">
        <f>+R715+S715+T715+U715-V715-X715+W715+Q715</f>
        <v>0</v>
      </c>
      <c r="Z715" s="534"/>
      <c r="AA715" s="354">
        <f>IF(ISERROR(VLOOKUP("SOC"&amp;$C715,ESTR_PREC_SP!$A$2:$G$2000,5,FALSE))=TRUE,0,VLOOKUP("SOC"&amp;$C715,ESTR_PREC_SP!$A$2:$G$2000,5,FALSE))</f>
        <v>0</v>
      </c>
      <c r="AB715" s="520"/>
      <c r="AC715" s="520"/>
      <c r="AD715" s="520"/>
      <c r="AE715" s="269">
        <f t="shared" si="125"/>
        <v>0</v>
      </c>
      <c r="AF715" s="520"/>
      <c r="AG715" s="520"/>
      <c r="AH715" s="520"/>
      <c r="AI715" s="520"/>
      <c r="AJ715" s="526">
        <f t="shared" si="126"/>
        <v>0</v>
      </c>
      <c r="AK715" s="526">
        <f t="shared" si="127"/>
        <v>0</v>
      </c>
      <c r="AL715" s="520"/>
      <c r="AM715" s="520"/>
      <c r="AX715" s="211"/>
      <c r="AY715" s="211"/>
      <c r="AZ715" s="211"/>
      <c r="BA715" s="211"/>
      <c r="BB715" s="211"/>
      <c r="BC715" s="211"/>
    </row>
    <row r="716" spans="2:55" s="204" customFormat="1" x14ac:dyDescent="0.25">
      <c r="B716" s="287"/>
      <c r="C716" s="287" t="s">
        <v>1727</v>
      </c>
      <c r="D716" s="274" t="s">
        <v>3795</v>
      </c>
      <c r="E716" s="274"/>
      <c r="F716" s="274"/>
      <c r="G716" s="283"/>
      <c r="H716" s="266"/>
      <c r="I716" s="274"/>
      <c r="J716" s="281"/>
      <c r="K716" s="281"/>
      <c r="L716" s="379" t="s">
        <v>1728</v>
      </c>
      <c r="M716" s="284" t="s">
        <v>2962</v>
      </c>
      <c r="N716" s="272">
        <f>SUM(N717:N720)</f>
        <v>0</v>
      </c>
      <c r="O716" s="272">
        <f>SUM(O717:O720)</f>
        <v>0</v>
      </c>
      <c r="P716" s="378">
        <f t="shared" si="124"/>
        <v>0</v>
      </c>
      <c r="Q716" s="272">
        <f>SUM(Q717:Q720)</f>
        <v>0</v>
      </c>
      <c r="R716" s="272">
        <f>SUM(R717:R720)</f>
        <v>0</v>
      </c>
      <c r="S716" s="272">
        <f>SUM(S717:S720)</f>
        <v>0</v>
      </c>
      <c r="T716" s="272">
        <f>SUM(T717:T720)</f>
        <v>0</v>
      </c>
      <c r="U716" s="272"/>
      <c r="V716" s="272">
        <f t="shared" ref="V716:AD716" si="130">SUM(V717:V720)</f>
        <v>0</v>
      </c>
      <c r="W716" s="272">
        <f t="shared" si="130"/>
        <v>0</v>
      </c>
      <c r="X716" s="272">
        <f t="shared" si="130"/>
        <v>0</v>
      </c>
      <c r="Y716" s="272">
        <f t="shared" si="130"/>
        <v>0</v>
      </c>
      <c r="Z716" s="272">
        <f t="shared" si="130"/>
        <v>0</v>
      </c>
      <c r="AA716" s="272">
        <f t="shared" si="130"/>
        <v>0</v>
      </c>
      <c r="AB716" s="272">
        <f t="shared" si="130"/>
        <v>0</v>
      </c>
      <c r="AC716" s="272">
        <f t="shared" si="130"/>
        <v>0</v>
      </c>
      <c r="AD716" s="272">
        <f t="shared" si="130"/>
        <v>0</v>
      </c>
      <c r="AE716" s="272">
        <f t="shared" si="125"/>
        <v>0</v>
      </c>
      <c r="AF716" s="272">
        <f>SUM(AF717:AF720)</f>
        <v>0</v>
      </c>
      <c r="AG716" s="272">
        <f>SUM(AG717:AG720)</f>
        <v>0</v>
      </c>
      <c r="AH716" s="272">
        <f>SUM(AH717:AH720)</f>
        <v>0</v>
      </c>
      <c r="AI716" s="272">
        <f>SUM(AI717:AI720)</f>
        <v>0</v>
      </c>
      <c r="AJ716" s="537">
        <f t="shared" si="126"/>
        <v>0</v>
      </c>
      <c r="AK716" s="537">
        <f t="shared" si="127"/>
        <v>0</v>
      </c>
      <c r="AL716" s="272">
        <f>SUM(AL717:AL720)</f>
        <v>0</v>
      </c>
      <c r="AM716" s="272">
        <f>SUM(AM717:AM720)</f>
        <v>0</v>
      </c>
      <c r="AX716" s="211"/>
      <c r="AY716" s="211"/>
      <c r="AZ716" s="211"/>
      <c r="BA716" s="211"/>
      <c r="BB716" s="211"/>
      <c r="BC716" s="211"/>
    </row>
    <row r="717" spans="2:55" s="204" customFormat="1" x14ac:dyDescent="0.25">
      <c r="B717" s="287" t="s">
        <v>1729</v>
      </c>
      <c r="C717" s="287" t="s">
        <v>1730</v>
      </c>
      <c r="D717" s="274" t="s">
        <v>3796</v>
      </c>
      <c r="E717" s="274"/>
      <c r="F717" s="274"/>
      <c r="G717" s="283"/>
      <c r="H717" s="266"/>
      <c r="I717" s="274"/>
      <c r="J717" s="281"/>
      <c r="K717" s="281"/>
      <c r="L717" s="97" t="s">
        <v>3797</v>
      </c>
      <c r="M717" s="284" t="s">
        <v>2962</v>
      </c>
      <c r="N717" s="269">
        <f>+R717-AA717</f>
        <v>0</v>
      </c>
      <c r="O717" s="270">
        <f>+Y717-AE717</f>
        <v>0</v>
      </c>
      <c r="P717" s="271">
        <f t="shared" si="124"/>
        <v>0</v>
      </c>
      <c r="Q717" s="520"/>
      <c r="R717" s="354">
        <f>IF(ISERROR(VLOOKUP("SOC"&amp;$C717,ESTR_PREC_SP!$A$2:$G$2000,4,FALSE))=TRUE,0,VLOOKUP("SOC"&amp;$C717,ESTR_PREC_SP!$A$2:$G$2000,4,FALSE))</f>
        <v>0</v>
      </c>
      <c r="S717" s="520"/>
      <c r="T717" s="520"/>
      <c r="U717" s="520"/>
      <c r="V717" s="520"/>
      <c r="W717" s="520"/>
      <c r="X717" s="520"/>
      <c r="Y717" s="269">
        <f>+R717+S717+T717+U717-V717-X717+W717+Q717</f>
        <v>0</v>
      </c>
      <c r="Z717" s="534"/>
      <c r="AA717" s="354">
        <f>IF(ISERROR(VLOOKUP("SOC"&amp;$C717,ESTR_PREC_SP!$A$2:$G$2000,5,FALSE))=TRUE,0,VLOOKUP("SOC"&amp;$C717,ESTR_PREC_SP!$A$2:$G$2000,5,FALSE))</f>
        <v>0</v>
      </c>
      <c r="AB717" s="520"/>
      <c r="AC717" s="520"/>
      <c r="AD717" s="520"/>
      <c r="AE717" s="269">
        <f t="shared" si="125"/>
        <v>0</v>
      </c>
      <c r="AF717" s="520"/>
      <c r="AG717" s="520"/>
      <c r="AH717" s="520"/>
      <c r="AI717" s="520"/>
      <c r="AJ717" s="526">
        <f t="shared" si="126"/>
        <v>0</v>
      </c>
      <c r="AK717" s="526">
        <f t="shared" si="127"/>
        <v>0</v>
      </c>
      <c r="AL717" s="520"/>
      <c r="AM717" s="520"/>
      <c r="AX717" s="211"/>
      <c r="AY717" s="211"/>
      <c r="AZ717" s="211"/>
      <c r="BA717" s="211"/>
      <c r="BB717" s="211"/>
      <c r="BC717" s="211"/>
    </row>
    <row r="718" spans="2:55" s="204" customFormat="1" hidden="1" x14ac:dyDescent="0.25">
      <c r="B718" s="287" t="s">
        <v>1732</v>
      </c>
      <c r="C718" s="287" t="s">
        <v>1733</v>
      </c>
      <c r="D718" s="274" t="s">
        <v>3798</v>
      </c>
      <c r="E718" s="274"/>
      <c r="F718" s="274"/>
      <c r="G718" s="283"/>
      <c r="H718" s="266"/>
      <c r="I718" s="274"/>
      <c r="J718" s="281"/>
      <c r="K718" s="281"/>
      <c r="L718" s="97" t="s">
        <v>1734</v>
      </c>
      <c r="M718" s="284" t="s">
        <v>2962</v>
      </c>
      <c r="N718" s="269">
        <f>+R718-AA718</f>
        <v>0</v>
      </c>
      <c r="O718" s="270">
        <f>+Y718-AE718</f>
        <v>0</v>
      </c>
      <c r="P718" s="271">
        <f t="shared" si="124"/>
        <v>0</v>
      </c>
      <c r="Q718" s="520"/>
      <c r="R718" s="354">
        <f>IF(ISERROR(VLOOKUP("SOC"&amp;$C718,ESTR_PREC_SP!$A$2:$G$2000,4,FALSE))=TRUE,0,VLOOKUP("SOC"&amp;$C718,ESTR_PREC_SP!$A$2:$G$2000,4,FALSE))+AA718</f>
        <v>0</v>
      </c>
      <c r="S718" s="520"/>
      <c r="T718" s="520"/>
      <c r="U718" s="520"/>
      <c r="V718" s="520"/>
      <c r="W718" s="520"/>
      <c r="X718" s="520"/>
      <c r="Y718" s="269">
        <f>+R718+S718+T718+U718-V718-X718+W718+Q718</f>
        <v>0</v>
      </c>
      <c r="Z718" s="534"/>
      <c r="AA718" s="354">
        <f>IF(ISERROR(VLOOKUP("SOC"&amp;$C718,ESTR_PREC_SP!$A$2:$G$2000,5,FALSE))=TRUE,0,VLOOKUP("SOC"&amp;$C718,ESTR_PREC_SP!$A$2:$G$2000,5,FALSE))</f>
        <v>0</v>
      </c>
      <c r="AB718" s="520"/>
      <c r="AC718" s="520"/>
      <c r="AD718" s="520"/>
      <c r="AE718" s="269">
        <f t="shared" si="125"/>
        <v>0</v>
      </c>
      <c r="AF718" s="520"/>
      <c r="AG718" s="520"/>
      <c r="AH718" s="520"/>
      <c r="AI718" s="520"/>
      <c r="AJ718" s="526">
        <f t="shared" si="126"/>
        <v>0</v>
      </c>
      <c r="AK718" s="526">
        <f t="shared" si="127"/>
        <v>0</v>
      </c>
      <c r="AL718" s="520"/>
      <c r="AM718" s="520"/>
      <c r="AX718" s="211"/>
      <c r="AY718" s="211"/>
      <c r="AZ718" s="211"/>
      <c r="BA718" s="211"/>
      <c r="BB718" s="211"/>
      <c r="BC718" s="211"/>
    </row>
    <row r="719" spans="2:55" s="204" customFormat="1" x14ac:dyDescent="0.25">
      <c r="B719" s="287" t="s">
        <v>1735</v>
      </c>
      <c r="C719" s="287" t="s">
        <v>1736</v>
      </c>
      <c r="D719" s="274" t="s">
        <v>3799</v>
      </c>
      <c r="E719" s="274"/>
      <c r="F719" s="274"/>
      <c r="G719" s="283"/>
      <c r="H719" s="266"/>
      <c r="I719" s="274"/>
      <c r="J719" s="281"/>
      <c r="K719" s="281"/>
      <c r="L719" s="97" t="s">
        <v>3800</v>
      </c>
      <c r="M719" s="284" t="s">
        <v>2962</v>
      </c>
      <c r="N719" s="269">
        <f>+R719-AA719</f>
        <v>0</v>
      </c>
      <c r="O719" s="270">
        <f>+Y719-AE719</f>
        <v>0</v>
      </c>
      <c r="P719" s="271">
        <f t="shared" si="124"/>
        <v>0</v>
      </c>
      <c r="Q719" s="520"/>
      <c r="R719" s="354">
        <f>IF(ISERROR(VLOOKUP("SOC"&amp;$C719,ESTR_PREC_SP!$A$2:$G$2000,4,FALSE))=TRUE,0,VLOOKUP("SOC"&amp;$C719,ESTR_PREC_SP!$A$2:$G$2000,4,FALSE))</f>
        <v>0</v>
      </c>
      <c r="S719" s="520"/>
      <c r="T719" s="520"/>
      <c r="U719" s="520"/>
      <c r="V719" s="520"/>
      <c r="W719" s="520"/>
      <c r="X719" s="520"/>
      <c r="Y719" s="269">
        <f>+R719+S719+T719+U719-V719-X719+W719+Q719</f>
        <v>0</v>
      </c>
      <c r="Z719" s="534"/>
      <c r="AA719" s="354">
        <f>IF(ISERROR(VLOOKUP("SOC"&amp;$C719,ESTR_PREC_SP!$A$2:$G$2000,5,FALSE))=TRUE,0,VLOOKUP("SOC"&amp;$C719,ESTR_PREC_SP!$A$2:$G$2000,5,FALSE))</f>
        <v>0</v>
      </c>
      <c r="AB719" s="520"/>
      <c r="AC719" s="520"/>
      <c r="AD719" s="520"/>
      <c r="AE719" s="269">
        <f t="shared" si="125"/>
        <v>0</v>
      </c>
      <c r="AF719" s="520"/>
      <c r="AG719" s="520"/>
      <c r="AH719" s="520"/>
      <c r="AI719" s="520"/>
      <c r="AJ719" s="526">
        <f t="shared" si="126"/>
        <v>0</v>
      </c>
      <c r="AK719" s="526">
        <f t="shared" si="127"/>
        <v>0</v>
      </c>
      <c r="AL719" s="520"/>
      <c r="AM719" s="520"/>
      <c r="AX719" s="211"/>
      <c r="AY719" s="211"/>
      <c r="AZ719" s="211"/>
      <c r="BA719" s="211"/>
      <c r="BB719" s="211"/>
      <c r="BC719" s="211"/>
    </row>
    <row r="720" spans="2:55" s="204" customFormat="1" x14ac:dyDescent="0.25">
      <c r="B720" s="287" t="s">
        <v>1738</v>
      </c>
      <c r="C720" s="287" t="s">
        <v>1739</v>
      </c>
      <c r="D720" s="274" t="s">
        <v>3801</v>
      </c>
      <c r="E720" s="274"/>
      <c r="F720" s="274"/>
      <c r="G720" s="283"/>
      <c r="H720" s="266"/>
      <c r="I720" s="274"/>
      <c r="J720" s="281"/>
      <c r="K720" s="281"/>
      <c r="L720" s="97" t="s">
        <v>3802</v>
      </c>
      <c r="M720" s="284" t="s">
        <v>2962</v>
      </c>
      <c r="N720" s="269">
        <f>+R720-AA720</f>
        <v>0</v>
      </c>
      <c r="O720" s="270">
        <f>+Y720-AE720</f>
        <v>0</v>
      </c>
      <c r="P720" s="271">
        <f t="shared" si="124"/>
        <v>0</v>
      </c>
      <c r="Q720" s="520"/>
      <c r="R720" s="354">
        <f>IF(ISERROR(VLOOKUP("SOC"&amp;$C720,ESTR_PREC_SP!$A$2:$G$2000,4,FALSE))=TRUE,0,VLOOKUP("SOC"&amp;$C720,ESTR_PREC_SP!$A$2:$G$2000,4,FALSE))</f>
        <v>0</v>
      </c>
      <c r="S720" s="520"/>
      <c r="T720" s="520"/>
      <c r="U720" s="520"/>
      <c r="V720" s="520"/>
      <c r="W720" s="520"/>
      <c r="X720" s="520"/>
      <c r="Y720" s="269">
        <f>+R720+S720+T720+U720-V720-X720+W720+Q720</f>
        <v>0</v>
      </c>
      <c r="Z720" s="534"/>
      <c r="AA720" s="354">
        <f>IF(ISERROR(VLOOKUP("SOC"&amp;$C720,ESTR_PREC_SP!$A$2:$G$2000,5,FALSE))=TRUE,0,VLOOKUP("SOC"&amp;$C720,ESTR_PREC_SP!$A$2:$G$2000,5,FALSE))</f>
        <v>0</v>
      </c>
      <c r="AB720" s="520"/>
      <c r="AC720" s="520"/>
      <c r="AD720" s="520"/>
      <c r="AE720" s="269">
        <f t="shared" si="125"/>
        <v>0</v>
      </c>
      <c r="AF720" s="520"/>
      <c r="AG720" s="520"/>
      <c r="AH720" s="520"/>
      <c r="AI720" s="520"/>
      <c r="AJ720" s="526">
        <f t="shared" si="126"/>
        <v>0</v>
      </c>
      <c r="AK720" s="526">
        <f t="shared" si="127"/>
        <v>0</v>
      </c>
      <c r="AL720" s="520"/>
      <c r="AM720" s="520"/>
      <c r="AX720" s="211"/>
      <c r="AY720" s="211"/>
      <c r="AZ720" s="211"/>
      <c r="BA720" s="211"/>
      <c r="BB720" s="211"/>
      <c r="BC720" s="211"/>
    </row>
    <row r="721" spans="1:55" s="204" customFormat="1" ht="25.5" customHeight="1" x14ac:dyDescent="0.25">
      <c r="A721" s="535" t="s">
        <v>3681</v>
      </c>
      <c r="B721" s="536" t="s">
        <v>1741</v>
      </c>
      <c r="C721" s="536" t="s">
        <v>1742</v>
      </c>
      <c r="D721" s="536"/>
      <c r="E721" s="536"/>
      <c r="F721" s="536"/>
      <c r="G721" s="536"/>
      <c r="H721" s="536"/>
      <c r="I721" s="536"/>
      <c r="J721" s="536"/>
      <c r="K721" s="536"/>
      <c r="L721" s="536" t="s">
        <v>3803</v>
      </c>
      <c r="M721" s="284" t="s">
        <v>2962</v>
      </c>
      <c r="N721" s="269">
        <f>+R721-AA721</f>
        <v>0</v>
      </c>
      <c r="O721" s="270">
        <f>+Y721-AE721</f>
        <v>0</v>
      </c>
      <c r="P721" s="271">
        <f t="shared" si="124"/>
        <v>0</v>
      </c>
      <c r="Q721" s="520"/>
      <c r="R721" s="354">
        <f>IF(ISERROR(VLOOKUP("SOC"&amp;$C721,ESTR_PREC_SP!$A$2:$G$2000,4,FALSE))=TRUE,0,VLOOKUP("SOC"&amp;$C721,ESTR_PREC_SP!$A$2:$G$2000,4,FALSE))</f>
        <v>0</v>
      </c>
      <c r="S721" s="520"/>
      <c r="T721" s="520"/>
      <c r="U721" s="520"/>
      <c r="V721" s="520"/>
      <c r="W721" s="520"/>
      <c r="X721" s="520"/>
      <c r="Y721" s="269">
        <f>+R721+S721+T721+U721-V721-X721+W721+Q721</f>
        <v>0</v>
      </c>
      <c r="Z721" s="534"/>
      <c r="AA721" s="354">
        <f>IF(ISERROR(VLOOKUP("SOC"&amp;$C721,ESTR_PREC_SP!$A$2:$G$2000,5,FALSE))=TRUE,0,VLOOKUP("SOC"&amp;$C721,ESTR_PREC_SP!$A$2:$G$2000,5,FALSE))</f>
        <v>0</v>
      </c>
      <c r="AB721" s="520"/>
      <c r="AC721" s="520"/>
      <c r="AD721" s="520"/>
      <c r="AE721" s="269">
        <f t="shared" si="125"/>
        <v>0</v>
      </c>
      <c r="AF721" s="520"/>
      <c r="AG721" s="520"/>
      <c r="AH721" s="520"/>
      <c r="AI721" s="520"/>
      <c r="AJ721" s="526">
        <f t="shared" si="126"/>
        <v>0</v>
      </c>
      <c r="AK721" s="526">
        <f t="shared" si="127"/>
        <v>0</v>
      </c>
      <c r="AL721" s="520"/>
      <c r="AM721" s="520"/>
      <c r="AX721" s="211"/>
      <c r="AY721" s="211"/>
      <c r="AZ721" s="211"/>
      <c r="BA721" s="211"/>
      <c r="BB721" s="211"/>
      <c r="BC721" s="211"/>
    </row>
    <row r="722" spans="1:55" s="204" customFormat="1" ht="26.25" x14ac:dyDescent="0.25">
      <c r="A722" s="535" t="s">
        <v>1745</v>
      </c>
      <c r="B722" s="536" t="s">
        <v>1746</v>
      </c>
      <c r="C722" s="536" t="s">
        <v>1747</v>
      </c>
      <c r="D722" s="536"/>
      <c r="E722" s="536"/>
      <c r="F722" s="536"/>
      <c r="G722" s="536"/>
      <c r="H722" s="536"/>
      <c r="I722" s="536"/>
      <c r="J722" s="536"/>
      <c r="K722" s="536"/>
      <c r="L722" s="536" t="s">
        <v>1748</v>
      </c>
      <c r="M722" s="284" t="s">
        <v>2962</v>
      </c>
      <c r="N722" s="272">
        <f>SUM(N723:N724)</f>
        <v>0</v>
      </c>
      <c r="O722" s="272">
        <f>SUM(O723:O724)</f>
        <v>0</v>
      </c>
      <c r="P722" s="378">
        <f t="shared" si="124"/>
        <v>0</v>
      </c>
      <c r="Q722" s="272"/>
      <c r="R722" s="272">
        <f>SUM(R723:R724)</f>
        <v>0</v>
      </c>
      <c r="S722" s="272"/>
      <c r="T722" s="272">
        <f>SUM(T723:T724)</f>
        <v>0</v>
      </c>
      <c r="U722" s="272"/>
      <c r="V722" s="272">
        <f t="shared" ref="V722:AD722" si="131">SUM(V723:V724)</f>
        <v>0</v>
      </c>
      <c r="W722" s="272">
        <f t="shared" si="131"/>
        <v>0</v>
      </c>
      <c r="X722" s="272">
        <f t="shared" si="131"/>
        <v>0</v>
      </c>
      <c r="Y722" s="272">
        <f t="shared" si="131"/>
        <v>0</v>
      </c>
      <c r="Z722" s="272">
        <f t="shared" si="131"/>
        <v>0</v>
      </c>
      <c r="AA722" s="272">
        <f t="shared" si="131"/>
        <v>0</v>
      </c>
      <c r="AB722" s="272">
        <f t="shared" si="131"/>
        <v>0</v>
      </c>
      <c r="AC722" s="272">
        <f t="shared" si="131"/>
        <v>0</v>
      </c>
      <c r="AD722" s="272">
        <f t="shared" si="131"/>
        <v>0</v>
      </c>
      <c r="AE722" s="272">
        <f t="shared" si="125"/>
        <v>0</v>
      </c>
      <c r="AF722" s="272">
        <f t="shared" ref="AF722:AM722" si="132">SUM(AF723:AF724)</f>
        <v>0</v>
      </c>
      <c r="AG722" s="272">
        <f t="shared" si="132"/>
        <v>0</v>
      </c>
      <c r="AH722" s="272">
        <f t="shared" si="132"/>
        <v>0</v>
      </c>
      <c r="AI722" s="272">
        <f t="shared" si="132"/>
        <v>0</v>
      </c>
      <c r="AJ722" s="272">
        <f t="shared" si="132"/>
        <v>0</v>
      </c>
      <c r="AK722" s="272">
        <f t="shared" si="132"/>
        <v>0</v>
      </c>
      <c r="AL722" s="272">
        <f t="shared" si="132"/>
        <v>0</v>
      </c>
      <c r="AM722" s="272">
        <f t="shared" si="132"/>
        <v>0</v>
      </c>
      <c r="AX722" s="211"/>
      <c r="AY722" s="211"/>
      <c r="AZ722" s="211"/>
      <c r="BA722" s="211"/>
      <c r="BB722" s="211"/>
      <c r="BC722" s="211"/>
    </row>
    <row r="723" spans="1:55" s="204" customFormat="1" ht="26.25" x14ac:dyDescent="0.25">
      <c r="A723" s="535" t="s">
        <v>3681</v>
      </c>
      <c r="B723" s="536" t="s">
        <v>1749</v>
      </c>
      <c r="C723" s="536" t="s">
        <v>1750</v>
      </c>
      <c r="D723" s="536"/>
      <c r="E723" s="536"/>
      <c r="F723" s="536"/>
      <c r="G723" s="536"/>
      <c r="H723" s="536"/>
      <c r="I723" s="536"/>
      <c r="J723" s="536"/>
      <c r="K723" s="536"/>
      <c r="L723" s="536" t="s">
        <v>1752</v>
      </c>
      <c r="M723" s="284" t="s">
        <v>2962</v>
      </c>
      <c r="N723" s="269">
        <f>+R723-AA723</f>
        <v>0</v>
      </c>
      <c r="O723" s="270">
        <f>+Y723-AE723</f>
        <v>0</v>
      </c>
      <c r="P723" s="271">
        <f t="shared" si="124"/>
        <v>0</v>
      </c>
      <c r="Q723" s="520"/>
      <c r="R723" s="354">
        <f>IF(ISERROR(VLOOKUP("SOC"&amp;$C723,ESTR_PREC_SP!$A$2:$G$2000,4,FALSE))=TRUE,0,VLOOKUP("SOC"&amp;$C723,ESTR_PREC_SP!$A$2:$G$2000,4,FALSE))</f>
        <v>0</v>
      </c>
      <c r="S723" s="520"/>
      <c r="T723" s="520"/>
      <c r="U723" s="520"/>
      <c r="V723" s="520"/>
      <c r="W723" s="520"/>
      <c r="X723" s="520"/>
      <c r="Y723" s="269">
        <f>+R723+S723+T723+U723-V723-X723+W723+Q723</f>
        <v>0</v>
      </c>
      <c r="Z723" s="534"/>
      <c r="AA723" s="354">
        <f>IF(ISERROR(VLOOKUP("SOC"&amp;$C723,ESTR_PREC_SP!$A$2:$G$2000,5,FALSE))=TRUE,0,VLOOKUP("SOC"&amp;$C723,ESTR_PREC_SP!$A$2:$G$2000,5,FALSE))</f>
        <v>0</v>
      </c>
      <c r="AB723" s="520"/>
      <c r="AC723" s="520"/>
      <c r="AD723" s="520"/>
      <c r="AE723" s="269">
        <f t="shared" si="125"/>
        <v>0</v>
      </c>
      <c r="AF723" s="520"/>
      <c r="AG723" s="520"/>
      <c r="AH723" s="520"/>
      <c r="AI723" s="520"/>
      <c r="AJ723" s="526">
        <f>+Y723-SUM(AF723:AI723)</f>
        <v>0</v>
      </c>
      <c r="AK723" s="526">
        <f>+Y723-AE723-AL723-AM723</f>
        <v>0</v>
      </c>
      <c r="AL723" s="520"/>
      <c r="AM723" s="520"/>
      <c r="AX723" s="211"/>
      <c r="AY723" s="211"/>
      <c r="AZ723" s="211"/>
      <c r="BA723" s="211"/>
      <c r="BB723" s="211"/>
      <c r="BC723" s="211"/>
    </row>
    <row r="724" spans="1:55" s="204" customFormat="1" x14ac:dyDescent="0.25">
      <c r="A724" s="535" t="s">
        <v>3681</v>
      </c>
      <c r="B724" s="536" t="s">
        <v>1753</v>
      </c>
      <c r="C724" s="536" t="s">
        <v>1754</v>
      </c>
      <c r="D724" s="536"/>
      <c r="E724" s="536"/>
      <c r="F724" s="536"/>
      <c r="G724" s="536"/>
      <c r="H724" s="536"/>
      <c r="I724" s="536"/>
      <c r="J724" s="536"/>
      <c r="K724" s="536"/>
      <c r="L724" s="536" t="s">
        <v>1756</v>
      </c>
      <c r="M724" s="284" t="s">
        <v>2962</v>
      </c>
      <c r="N724" s="269">
        <f>+R724-AA724</f>
        <v>0</v>
      </c>
      <c r="O724" s="270">
        <f>+Y724-AE724</f>
        <v>0</v>
      </c>
      <c r="P724" s="271">
        <f t="shared" si="124"/>
        <v>0</v>
      </c>
      <c r="Q724" s="520"/>
      <c r="R724" s="354">
        <f>IF(ISERROR(VLOOKUP("SOC"&amp;$C724,ESTR_PREC_SP!$A$2:$G$2000,4,FALSE))=TRUE,0,VLOOKUP("SOC"&amp;$C724,ESTR_PREC_SP!$A$2:$G$2000,4,FALSE))</f>
        <v>0</v>
      </c>
      <c r="S724" s="520"/>
      <c r="T724" s="520"/>
      <c r="U724" s="520"/>
      <c r="V724" s="520"/>
      <c r="W724" s="520"/>
      <c r="X724" s="520"/>
      <c r="Y724" s="269">
        <f>+R724+S724+T724+U724-V724-X724+W724+Q724</f>
        <v>0</v>
      </c>
      <c r="Z724" s="534"/>
      <c r="AA724" s="354">
        <f>IF(ISERROR(VLOOKUP("SOC"&amp;$C724,ESTR_PREC_SP!$A$2:$G$2000,5,FALSE))=TRUE,0,VLOOKUP("SOC"&amp;$C724,ESTR_PREC_SP!$A$2:$G$2000,5,FALSE))</f>
        <v>0</v>
      </c>
      <c r="AB724" s="520"/>
      <c r="AC724" s="520"/>
      <c r="AD724" s="520"/>
      <c r="AE724" s="269">
        <f t="shared" si="125"/>
        <v>0</v>
      </c>
      <c r="AF724" s="520"/>
      <c r="AG724" s="520"/>
      <c r="AH724" s="520"/>
      <c r="AI724" s="520"/>
      <c r="AJ724" s="526">
        <f>+Y724-SUM(AF724:AI724)</f>
        <v>0</v>
      </c>
      <c r="AK724" s="526">
        <f>+Y724-AE724-AL724-AM724</f>
        <v>0</v>
      </c>
      <c r="AL724" s="520"/>
      <c r="AM724" s="520"/>
      <c r="AX724" s="211"/>
      <c r="AY724" s="211"/>
      <c r="AZ724" s="211"/>
      <c r="BA724" s="211"/>
      <c r="BB724" s="211"/>
      <c r="BC724" s="211"/>
    </row>
    <row r="725" spans="1:55" s="204" customFormat="1" x14ac:dyDescent="0.25"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</row>
    <row r="726" spans="1:55" s="204" customFormat="1" x14ac:dyDescent="0.25">
      <c r="B726" s="230"/>
      <c r="C726" s="230"/>
      <c r="D726" s="230"/>
      <c r="E726" s="230"/>
      <c r="F726" s="230"/>
      <c r="G726" s="230"/>
      <c r="H726" s="231"/>
      <c r="I726" s="230"/>
      <c r="J726" s="230"/>
      <c r="K726" s="230"/>
      <c r="L726" s="232"/>
      <c r="M726" s="211"/>
      <c r="N726" s="254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</row>
    <row r="727" spans="1:55" s="204" customFormat="1" x14ac:dyDescent="0.25">
      <c r="B727" s="246" t="s">
        <v>1757</v>
      </c>
      <c r="C727" s="246" t="s">
        <v>1758</v>
      </c>
      <c r="D727" s="247" t="s">
        <v>3804</v>
      </c>
      <c r="E727" s="247"/>
      <c r="F727" s="247"/>
      <c r="G727" s="247"/>
      <c r="H727" s="248"/>
      <c r="I727" s="247"/>
      <c r="J727" s="247"/>
      <c r="K727" s="249"/>
      <c r="L727" s="250" t="s">
        <v>1759</v>
      </c>
      <c r="M727" s="251" t="s">
        <v>2962</v>
      </c>
      <c r="N727" s="252">
        <f>SUM(N730:N733)</f>
        <v>0</v>
      </c>
      <c r="O727" s="252">
        <f>SUM(O730:O733)</f>
        <v>0</v>
      </c>
      <c r="P727" s="253">
        <f>+O727-N727</f>
        <v>0</v>
      </c>
      <c r="Q727" s="252">
        <f>SUM(Q730:Q733)</f>
        <v>0</v>
      </c>
      <c r="R727" s="252">
        <f>SUM(R730:R733)</f>
        <v>0</v>
      </c>
      <c r="S727" s="252">
        <f>SUM(S730:S733)</f>
        <v>0</v>
      </c>
      <c r="T727" s="252">
        <f>SUM(T730:T733)</f>
        <v>0</v>
      </c>
      <c r="U727" s="252"/>
      <c r="V727" s="252">
        <f t="shared" ref="V727:AC727" si="133">SUM(V730:V733)</f>
        <v>0</v>
      </c>
      <c r="W727" s="252">
        <f t="shared" si="133"/>
        <v>0</v>
      </c>
      <c r="X727" s="252">
        <f t="shared" si="133"/>
        <v>0</v>
      </c>
      <c r="Y727" s="252">
        <f t="shared" si="133"/>
        <v>0</v>
      </c>
      <c r="Z727" s="252">
        <f t="shared" si="133"/>
        <v>0</v>
      </c>
      <c r="AA727" s="252">
        <f t="shared" si="133"/>
        <v>0</v>
      </c>
      <c r="AB727" s="252">
        <f t="shared" si="133"/>
        <v>0</v>
      </c>
      <c r="AC727" s="252">
        <f t="shared" si="133"/>
        <v>0</v>
      </c>
    </row>
    <row r="728" spans="1:55" s="204" customFormat="1" x14ac:dyDescent="0.25">
      <c r="B728" s="230"/>
      <c r="C728" s="230"/>
      <c r="D728" s="230"/>
      <c r="E728" s="230"/>
      <c r="F728" s="230"/>
      <c r="G728" s="230"/>
      <c r="H728" s="231"/>
      <c r="I728" s="230"/>
      <c r="J728" s="230"/>
      <c r="K728" s="230"/>
      <c r="L728" s="420"/>
      <c r="M728" s="211"/>
      <c r="N728" s="254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</row>
    <row r="729" spans="1:55" s="204" customFormat="1" ht="89.25" x14ac:dyDescent="0.25">
      <c r="B729" s="260" t="s">
        <v>2968</v>
      </c>
      <c r="C729" s="260" t="s">
        <v>2969</v>
      </c>
      <c r="D729" s="206" t="s">
        <v>72</v>
      </c>
      <c r="E729" s="206"/>
      <c r="F729" s="206"/>
      <c r="G729" s="207"/>
      <c r="H729" s="207"/>
      <c r="I729" s="207"/>
      <c r="J729" s="207" t="s">
        <v>2957</v>
      </c>
      <c r="K729" s="206" t="s">
        <v>82</v>
      </c>
      <c r="L729" s="261" t="s">
        <v>3670</v>
      </c>
      <c r="M729" s="256"/>
      <c r="N729" s="256" t="str">
        <f>N$15</f>
        <v>Valore netto al 31/12/2019</v>
      </c>
      <c r="O729" s="256" t="str">
        <f>O$15</f>
        <v>Valore netto al 31/12/2020</v>
      </c>
      <c r="P729" s="256" t="str">
        <f>P$15</f>
        <v>Variazione</v>
      </c>
      <c r="Q729" s="262" t="s">
        <v>2971</v>
      </c>
      <c r="R729" s="346" t="str">
        <f>"Costo storico al 31/12/"&amp;Info!$B$3-1</f>
        <v>Costo storico al 31/12/2019</v>
      </c>
      <c r="S729" s="346" t="s">
        <v>2972</v>
      </c>
      <c r="T729" s="346" t="s">
        <v>2973</v>
      </c>
      <c r="U729" s="346" t="s">
        <v>2974</v>
      </c>
      <c r="V729" s="346" t="s">
        <v>3517</v>
      </c>
      <c r="W729" s="262" t="s">
        <v>4391</v>
      </c>
      <c r="X729" s="346" t="s">
        <v>2976</v>
      </c>
      <c r="Y729" s="346" t="s">
        <v>3518</v>
      </c>
      <c r="Z729" s="346" t="s">
        <v>2979</v>
      </c>
      <c r="AA729" s="346" t="s">
        <v>3519</v>
      </c>
      <c r="AB729" s="346" t="s">
        <v>2983</v>
      </c>
      <c r="AC729" s="346" t="s">
        <v>3520</v>
      </c>
    </row>
    <row r="730" spans="1:55" s="204" customFormat="1" x14ac:dyDescent="0.25">
      <c r="B730" s="284" t="s">
        <v>1760</v>
      </c>
      <c r="C730" s="284" t="s">
        <v>1761</v>
      </c>
      <c r="D730" s="274" t="s">
        <v>3805</v>
      </c>
      <c r="E730" s="274"/>
      <c r="F730" s="274"/>
      <c r="G730" s="283"/>
      <c r="H730" s="266"/>
      <c r="I730" s="274"/>
      <c r="J730" s="281"/>
      <c r="K730" s="281"/>
      <c r="L730" s="295" t="s">
        <v>3806</v>
      </c>
      <c r="M730" s="284" t="s">
        <v>2962</v>
      </c>
      <c r="N730" s="270">
        <f>+V730</f>
        <v>0</v>
      </c>
      <c r="O730" s="270">
        <f>+AC730</f>
        <v>0</v>
      </c>
      <c r="P730" s="271">
        <f>+O730-N730</f>
        <v>0</v>
      </c>
      <c r="Q730" s="520"/>
      <c r="R730" s="354">
        <f>IF(ISERROR(VLOOKUP("SOC"&amp;$C730,ESTR_PREC_SP!$A$2:$G$2000,4,FALSE))=TRUE,0,VLOOKUP("SOC"&amp;$C730,ESTR_PREC_SP!$A$2:$G$2000,4,FALSE))</f>
        <v>0</v>
      </c>
      <c r="S730" s="538"/>
      <c r="T730" s="538"/>
      <c r="U730" s="538"/>
      <c r="V730" s="526">
        <f>+R730+S730+T730-U730</f>
        <v>0</v>
      </c>
      <c r="W730" s="520"/>
      <c r="X730" s="529">
        <f>+Dettaglio_SP_Soc!I276</f>
        <v>0</v>
      </c>
      <c r="Y730" s="529">
        <f>+Dettaglio_SP_Soc!J276</f>
        <v>0</v>
      </c>
      <c r="Z730" s="529">
        <f>+Dettaglio_SP_Soc!K276</f>
        <v>0</v>
      </c>
      <c r="AA730" s="529">
        <f>+Dettaglio_SP_Soc!L276</f>
        <v>0</v>
      </c>
      <c r="AB730" s="529">
        <f>+Dettaglio_SP_Soc!M276</f>
        <v>0</v>
      </c>
      <c r="AC730" s="526">
        <f>+V730+X730+Y730-Z730+AA730-AB730+W730+Q730</f>
        <v>0</v>
      </c>
    </row>
    <row r="731" spans="1:55" s="204" customFormat="1" x14ac:dyDescent="0.25">
      <c r="B731" s="287" t="s">
        <v>1765</v>
      </c>
      <c r="C731" s="287" t="s">
        <v>1766</v>
      </c>
      <c r="D731" s="274" t="s">
        <v>3807</v>
      </c>
      <c r="E731" s="274"/>
      <c r="F731" s="274"/>
      <c r="G731" s="283"/>
      <c r="H731" s="266"/>
      <c r="I731" s="274"/>
      <c r="J731" s="281"/>
      <c r="K731" s="281"/>
      <c r="L731" s="295" t="s">
        <v>3808</v>
      </c>
      <c r="M731" s="284" t="s">
        <v>2962</v>
      </c>
      <c r="N731" s="270">
        <f>+V731</f>
        <v>0</v>
      </c>
      <c r="O731" s="270">
        <f>+AC731</f>
        <v>0</v>
      </c>
      <c r="P731" s="271">
        <f>+O731-N731</f>
        <v>0</v>
      </c>
      <c r="Q731" s="520"/>
      <c r="R731" s="354">
        <f>IF(ISERROR(VLOOKUP("SOC"&amp;$C731,ESTR_PREC_SP!$A$2:$G$2000,4,FALSE))=TRUE,0,VLOOKUP("SOC"&amp;$C731,ESTR_PREC_SP!$A$2:$G$2000,4,FALSE))</f>
        <v>0</v>
      </c>
      <c r="S731" s="538"/>
      <c r="T731" s="538"/>
      <c r="U731" s="538"/>
      <c r="V731" s="526">
        <f>+R731+S731+T731-U731</f>
        <v>0</v>
      </c>
      <c r="W731" s="520"/>
      <c r="X731" s="529">
        <f>+Dettaglio_SP_Soc!I289</f>
        <v>0</v>
      </c>
      <c r="Y731" s="529">
        <f>+Dettaglio_SP_Soc!J289</f>
        <v>0</v>
      </c>
      <c r="Z731" s="529">
        <f>+Dettaglio_SP_Soc!K289</f>
        <v>0</v>
      </c>
      <c r="AA731" s="529">
        <f>+Dettaglio_SP_Soc!L289</f>
        <v>0</v>
      </c>
      <c r="AB731" s="529">
        <f>+Dettaglio_SP_Soc!M289</f>
        <v>0</v>
      </c>
      <c r="AC731" s="526">
        <f>+V731+X731+Y731-Z731+AA731-AB731+W731+Q731</f>
        <v>0</v>
      </c>
    </row>
    <row r="732" spans="1:55" s="204" customFormat="1" x14ac:dyDescent="0.25">
      <c r="B732" s="284" t="s">
        <v>1767</v>
      </c>
      <c r="C732" s="284" t="s">
        <v>1768</v>
      </c>
      <c r="D732" s="274" t="s">
        <v>3809</v>
      </c>
      <c r="E732" s="274"/>
      <c r="F732" s="274"/>
      <c r="G732" s="283"/>
      <c r="H732" s="266"/>
      <c r="I732" s="274"/>
      <c r="J732" s="281"/>
      <c r="K732" s="281"/>
      <c r="L732" s="295" t="s">
        <v>3810</v>
      </c>
      <c r="M732" s="284" t="s">
        <v>2962</v>
      </c>
      <c r="N732" s="270">
        <f>+V732</f>
        <v>0</v>
      </c>
      <c r="O732" s="270">
        <f>+AC732</f>
        <v>0</v>
      </c>
      <c r="P732" s="271">
        <f>+O732-N732</f>
        <v>0</v>
      </c>
      <c r="Q732" s="520"/>
      <c r="R732" s="354">
        <f>IF(ISERROR(VLOOKUP("SOC"&amp;$C732,ESTR_PREC_SP!$A$2:$G$2000,4,FALSE))=TRUE,0,VLOOKUP("SOC"&amp;$C732,ESTR_PREC_SP!$A$2:$G$2000,4,FALSE))</f>
        <v>0</v>
      </c>
      <c r="S732" s="538"/>
      <c r="T732" s="538"/>
      <c r="U732" s="538"/>
      <c r="V732" s="526">
        <f>+R732+S732+T732-U732</f>
        <v>0</v>
      </c>
      <c r="W732" s="520"/>
      <c r="X732" s="529">
        <f>+Dettaglio_SP_Soc!I302</f>
        <v>0</v>
      </c>
      <c r="Y732" s="529">
        <f>+Dettaglio_SP_Soc!J302</f>
        <v>0</v>
      </c>
      <c r="Z732" s="529">
        <f>+Dettaglio_SP_Soc!K302</f>
        <v>0</v>
      </c>
      <c r="AA732" s="529">
        <f>+Dettaglio_SP_Soc!L302</f>
        <v>0</v>
      </c>
      <c r="AB732" s="529">
        <f>+Dettaglio_SP_Soc!M302</f>
        <v>0</v>
      </c>
      <c r="AC732" s="526">
        <f>+V732+X732+Y732-Z732+AA732-AB732+W732+Q732</f>
        <v>0</v>
      </c>
    </row>
    <row r="733" spans="1:55" s="204" customFormat="1" x14ac:dyDescent="0.25">
      <c r="B733" s="284" t="s">
        <v>1769</v>
      </c>
      <c r="C733" s="284" t="s">
        <v>1770</v>
      </c>
      <c r="D733" s="274" t="s">
        <v>3811</v>
      </c>
      <c r="E733" s="274"/>
      <c r="F733" s="274"/>
      <c r="G733" s="283"/>
      <c r="H733" s="266"/>
      <c r="I733" s="274"/>
      <c r="J733" s="281"/>
      <c r="K733" s="281"/>
      <c r="L733" s="295" t="s">
        <v>3812</v>
      </c>
      <c r="M733" s="284" t="s">
        <v>2962</v>
      </c>
      <c r="N733" s="270">
        <f>+V733</f>
        <v>0</v>
      </c>
      <c r="O733" s="270">
        <f>+AC733</f>
        <v>0</v>
      </c>
      <c r="P733" s="271">
        <f>+O733-N733</f>
        <v>0</v>
      </c>
      <c r="Q733" s="520"/>
      <c r="R733" s="354">
        <f>IF(ISERROR(VLOOKUP("SOC"&amp;$C733,ESTR_PREC_SP!$A$2:$G$2000,4,FALSE))=TRUE,0,VLOOKUP("SOC"&amp;$C733,ESTR_PREC_SP!$A$2:$G$2000,4,FALSE))</f>
        <v>0</v>
      </c>
      <c r="S733" s="538"/>
      <c r="T733" s="538"/>
      <c r="U733" s="538"/>
      <c r="V733" s="526">
        <f>+R733+S733+T733-U733</f>
        <v>0</v>
      </c>
      <c r="W733" s="520"/>
      <c r="X733" s="527"/>
      <c r="Y733" s="527"/>
      <c r="Z733" s="527"/>
      <c r="AA733" s="527"/>
      <c r="AB733" s="527"/>
      <c r="AC733" s="526">
        <f>+V733+X733+Y733-Z733+AA733-AB733+W733+Q733</f>
        <v>0</v>
      </c>
    </row>
    <row r="734" spans="1:55" s="204" customFormat="1" x14ac:dyDescent="0.25"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344" t="s">
        <v>3813</v>
      </c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</row>
    <row r="735" spans="1:55" s="204" customFormat="1" x14ac:dyDescent="0.25"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32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</row>
    <row r="736" spans="1:55" s="204" customFormat="1" x14ac:dyDescent="0.25">
      <c r="B736" s="246" t="s">
        <v>1775</v>
      </c>
      <c r="C736" s="246" t="s">
        <v>1776</v>
      </c>
      <c r="D736" s="247" t="s">
        <v>3814</v>
      </c>
      <c r="E736" s="247"/>
      <c r="F736" s="247"/>
      <c r="G736" s="247"/>
      <c r="H736" s="248"/>
      <c r="I736" s="247"/>
      <c r="J736" s="247"/>
      <c r="K736" s="249"/>
      <c r="L736" s="250" t="s">
        <v>1777</v>
      </c>
      <c r="M736" s="251" t="s">
        <v>2962</v>
      </c>
      <c r="N736" s="252">
        <f>SUM(N739:N742)</f>
        <v>0</v>
      </c>
      <c r="O736" s="252">
        <f>SUM(O739:O742)</f>
        <v>0</v>
      </c>
      <c r="P736" s="253">
        <f>+O736-N736</f>
        <v>0</v>
      </c>
      <c r="Q736" s="252">
        <f t="shared" ref="Q736:V736" si="134">SUM(Q739:Q742)</f>
        <v>0</v>
      </c>
      <c r="R736" s="252">
        <f t="shared" si="134"/>
        <v>0</v>
      </c>
      <c r="S736" s="252">
        <f t="shared" si="134"/>
        <v>0</v>
      </c>
      <c r="T736" s="252">
        <f t="shared" si="134"/>
        <v>0</v>
      </c>
      <c r="U736" s="252">
        <f t="shared" si="134"/>
        <v>0</v>
      </c>
      <c r="V736" s="252">
        <f t="shared" si="134"/>
        <v>0</v>
      </c>
      <c r="W736" s="211"/>
      <c r="X736" s="211"/>
      <c r="Y736" s="211"/>
      <c r="Z736" s="211"/>
      <c r="AA736" s="211"/>
    </row>
    <row r="737" spans="2:27" s="204" customFormat="1" x14ac:dyDescent="0.25"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32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</row>
    <row r="738" spans="2:27" s="204" customFormat="1" ht="39" customHeight="1" x14ac:dyDescent="0.25">
      <c r="B738" s="260" t="s">
        <v>2968</v>
      </c>
      <c r="C738" s="260" t="s">
        <v>2969</v>
      </c>
      <c r="D738" s="206" t="s">
        <v>72</v>
      </c>
      <c r="E738" s="206"/>
      <c r="F738" s="206"/>
      <c r="G738" s="207"/>
      <c r="H738" s="207"/>
      <c r="I738" s="207"/>
      <c r="J738" s="207" t="s">
        <v>2957</v>
      </c>
      <c r="K738" s="206" t="s">
        <v>82</v>
      </c>
      <c r="L738" s="261" t="s">
        <v>3670</v>
      </c>
      <c r="M738" s="256"/>
      <c r="N738" s="256" t="str">
        <f>N$15</f>
        <v>Valore netto al 31/12/2019</v>
      </c>
      <c r="O738" s="256" t="str">
        <f>O$15</f>
        <v>Valore netto al 31/12/2020</v>
      </c>
      <c r="P738" s="256" t="str">
        <f>P$15</f>
        <v>Variazione</v>
      </c>
      <c r="Q738" s="262" t="s">
        <v>2971</v>
      </c>
      <c r="R738" s="346" t="s">
        <v>3517</v>
      </c>
      <c r="S738" s="346" t="s">
        <v>2972</v>
      </c>
      <c r="T738" s="346" t="s">
        <v>3495</v>
      </c>
      <c r="U738" s="346" t="s">
        <v>3496</v>
      </c>
      <c r="V738" s="346" t="s">
        <v>3815</v>
      </c>
      <c r="W738" s="211"/>
      <c r="X738" s="211"/>
      <c r="Y738" s="211"/>
      <c r="Z738" s="211"/>
      <c r="AA738" s="211"/>
    </row>
    <row r="739" spans="2:27" s="204" customFormat="1" x14ac:dyDescent="0.25">
      <c r="B739" s="284" t="s">
        <v>1778</v>
      </c>
      <c r="C739" s="284" t="s">
        <v>1779</v>
      </c>
      <c r="D739" s="274" t="s">
        <v>3816</v>
      </c>
      <c r="E739" s="274"/>
      <c r="F739" s="274"/>
      <c r="G739" s="283"/>
      <c r="H739" s="266"/>
      <c r="I739" s="274"/>
      <c r="J739" s="281"/>
      <c r="K739" s="281"/>
      <c r="L739" s="421" t="s">
        <v>3817</v>
      </c>
      <c r="M739" s="263" t="s">
        <v>2962</v>
      </c>
      <c r="N739" s="408">
        <f>+R739</f>
        <v>0</v>
      </c>
      <c r="O739" s="408">
        <f>+V739</f>
        <v>0</v>
      </c>
      <c r="P739" s="271">
        <f>+O739-N739</f>
        <v>0</v>
      </c>
      <c r="Q739" s="520"/>
      <c r="R739" s="354">
        <f>IF(ISERROR(VLOOKUP("SOC"&amp;$C739,ESTR_PREC_SP!$A$2:$G$2000,4,FALSE))=TRUE,0,VLOOKUP("SOC"&amp;$C739,ESTR_PREC_SP!$A$2:$G$2000,4,FALSE))</f>
        <v>0</v>
      </c>
      <c r="S739" s="538"/>
      <c r="T739" s="527"/>
      <c r="U739" s="527"/>
      <c r="V739" s="526">
        <f>+R739+S739+T739-U739+Q739</f>
        <v>0</v>
      </c>
      <c r="W739" s="211"/>
      <c r="X739" s="211"/>
      <c r="Y739" s="211"/>
      <c r="Z739" s="211"/>
      <c r="AA739" s="211"/>
    </row>
    <row r="740" spans="2:27" s="204" customFormat="1" x14ac:dyDescent="0.25">
      <c r="B740" s="284" t="s">
        <v>1784</v>
      </c>
      <c r="C740" s="284" t="s">
        <v>1785</v>
      </c>
      <c r="D740" s="274" t="s">
        <v>3818</v>
      </c>
      <c r="E740" s="274"/>
      <c r="F740" s="274"/>
      <c r="G740" s="283"/>
      <c r="H740" s="266"/>
      <c r="I740" s="274"/>
      <c r="J740" s="281"/>
      <c r="K740" s="281"/>
      <c r="L740" s="422" t="s">
        <v>3819</v>
      </c>
      <c r="M740" s="284" t="s">
        <v>2962</v>
      </c>
      <c r="N740" s="408">
        <f>+R740</f>
        <v>0</v>
      </c>
      <c r="O740" s="408">
        <f>+V740</f>
        <v>0</v>
      </c>
      <c r="P740" s="271">
        <f>+O740-N740</f>
        <v>0</v>
      </c>
      <c r="Q740" s="520"/>
      <c r="R740" s="354">
        <f>IF(ISERROR(VLOOKUP("SOC"&amp;$C740,ESTR_PREC_SP!$A$2:$G$2000,4,FALSE))=TRUE,0,VLOOKUP("SOC"&amp;$C740,ESTR_PREC_SP!$A$2:$G$2000,4,FALSE))</f>
        <v>0</v>
      </c>
      <c r="S740" s="538"/>
      <c r="T740" s="527"/>
      <c r="U740" s="527"/>
      <c r="V740" s="526">
        <f>+R740+S740+T740-U740+Q740</f>
        <v>0</v>
      </c>
      <c r="W740" s="211"/>
      <c r="X740" s="211"/>
      <c r="Y740" s="211"/>
      <c r="Z740" s="211"/>
      <c r="AA740" s="211"/>
    </row>
    <row r="741" spans="2:27" s="204" customFormat="1" x14ac:dyDescent="0.25">
      <c r="B741" s="287" t="s">
        <v>1790</v>
      </c>
      <c r="C741" s="287" t="s">
        <v>1791</v>
      </c>
      <c r="D741" s="274" t="s">
        <v>3820</v>
      </c>
      <c r="E741" s="274"/>
      <c r="F741" s="274"/>
      <c r="G741" s="283"/>
      <c r="H741" s="266"/>
      <c r="I741" s="274"/>
      <c r="J741" s="281"/>
      <c r="K741" s="281"/>
      <c r="L741" s="422" t="s">
        <v>3821</v>
      </c>
      <c r="M741" s="284" t="s">
        <v>2962</v>
      </c>
      <c r="N741" s="408">
        <f>+R741</f>
        <v>0</v>
      </c>
      <c r="O741" s="408">
        <f>+V741</f>
        <v>0</v>
      </c>
      <c r="P741" s="271">
        <f>+O741-N741</f>
        <v>0</v>
      </c>
      <c r="Q741" s="520"/>
      <c r="R741" s="354">
        <f>IF(ISERROR(VLOOKUP("SOC"&amp;$C741,ESTR_PREC_SP!$A$2:$G$2000,4,FALSE))=TRUE,0,VLOOKUP("SOC"&amp;$C741,ESTR_PREC_SP!$A$2:$G$2000,4,FALSE))</f>
        <v>0</v>
      </c>
      <c r="S741" s="538"/>
      <c r="T741" s="527"/>
      <c r="U741" s="527"/>
      <c r="V741" s="526">
        <f>+R741+S741+T741-U741+Q741</f>
        <v>0</v>
      </c>
      <c r="W741" s="211"/>
      <c r="X741" s="211"/>
      <c r="Y741" s="211"/>
      <c r="Z741" s="211"/>
      <c r="AA741" s="211"/>
    </row>
    <row r="742" spans="2:27" s="204" customFormat="1" x14ac:dyDescent="0.25">
      <c r="B742" s="284" t="s">
        <v>1796</v>
      </c>
      <c r="C742" s="284" t="s">
        <v>1797</v>
      </c>
      <c r="D742" s="274" t="s">
        <v>3822</v>
      </c>
      <c r="E742" s="274"/>
      <c r="F742" s="274"/>
      <c r="G742" s="283"/>
      <c r="H742" s="266"/>
      <c r="I742" s="274"/>
      <c r="J742" s="281"/>
      <c r="K742" s="281"/>
      <c r="L742" s="422" t="s">
        <v>3823</v>
      </c>
      <c r="M742" s="284" t="s">
        <v>2962</v>
      </c>
      <c r="N742" s="408">
        <f>+R742</f>
        <v>0</v>
      </c>
      <c r="O742" s="408">
        <f>+V742</f>
        <v>0</v>
      </c>
      <c r="P742" s="271">
        <f>+O742-N742</f>
        <v>0</v>
      </c>
      <c r="Q742" s="520"/>
      <c r="R742" s="354">
        <f>IF(ISERROR(VLOOKUP("SOC"&amp;$C742,ESTR_PREC_SP!$A$2:$G$2000,4,FALSE))=TRUE,0,VLOOKUP("SOC"&amp;$C742,ESTR_PREC_SP!$A$2:$G$2000,4,FALSE))</f>
        <v>0</v>
      </c>
      <c r="S742" s="538"/>
      <c r="T742" s="527"/>
      <c r="U742" s="527"/>
      <c r="V742" s="526">
        <f>+R742+S742+T742-U742+Q742</f>
        <v>0</v>
      </c>
      <c r="W742" s="211"/>
      <c r="X742" s="211"/>
      <c r="Y742" s="211"/>
      <c r="Z742" s="211"/>
      <c r="AA742" s="211"/>
    </row>
    <row r="743" spans="2:27" s="204" customFormat="1" ht="26.25" x14ac:dyDescent="0.25">
      <c r="B743" s="230"/>
      <c r="C743" s="230"/>
      <c r="D743" s="230"/>
      <c r="E743" s="230"/>
      <c r="F743" s="230"/>
      <c r="G743" s="230"/>
      <c r="H743" s="231"/>
      <c r="I743" s="230"/>
      <c r="J743" s="230"/>
      <c r="K743" s="230"/>
      <c r="L743" s="232" t="s">
        <v>3824</v>
      </c>
      <c r="M743" s="230"/>
      <c r="N743" s="230"/>
      <c r="O743" s="230"/>
      <c r="P743" s="423"/>
      <c r="Q743" s="213"/>
      <c r="R743" s="213"/>
      <c r="S743" s="211"/>
      <c r="T743" s="211"/>
      <c r="U743" s="211"/>
      <c r="V743" s="211"/>
      <c r="W743" s="211"/>
      <c r="X743" s="211"/>
      <c r="Y743" s="211"/>
      <c r="Z743" s="211"/>
      <c r="AA743" s="211"/>
    </row>
    <row r="744" spans="2:27" s="204" customFormat="1" ht="26.25" x14ac:dyDescent="0.25">
      <c r="B744" s="230"/>
      <c r="C744" s="230"/>
      <c r="D744" s="230"/>
      <c r="E744" s="230"/>
      <c r="F744" s="230"/>
      <c r="G744" s="230"/>
      <c r="H744" s="231"/>
      <c r="I744" s="230"/>
      <c r="J744" s="230"/>
      <c r="K744" s="230"/>
      <c r="L744" s="232" t="s">
        <v>3825</v>
      </c>
      <c r="M744" s="230"/>
      <c r="N744" s="230"/>
      <c r="O744" s="230"/>
      <c r="P744" s="423"/>
      <c r="Q744" s="213"/>
      <c r="R744" s="213"/>
      <c r="S744" s="211"/>
      <c r="T744" s="211"/>
      <c r="U744" s="211"/>
      <c r="V744" s="211"/>
      <c r="W744" s="211"/>
      <c r="X744" s="211"/>
      <c r="Y744" s="211"/>
      <c r="Z744" s="211"/>
      <c r="AA744" s="211"/>
    </row>
    <row r="745" spans="2:27" s="204" customFormat="1" x14ac:dyDescent="0.25">
      <c r="B745" s="230"/>
      <c r="C745" s="230"/>
      <c r="D745" s="230"/>
      <c r="E745" s="230"/>
      <c r="F745" s="230"/>
      <c r="G745" s="230"/>
      <c r="H745" s="231"/>
      <c r="I745" s="230"/>
      <c r="J745" s="230"/>
      <c r="K745" s="230"/>
      <c r="L745" s="299"/>
      <c r="M745" s="384"/>
      <c r="N745" s="384"/>
      <c r="O745" s="384"/>
      <c r="P745" s="384"/>
      <c r="Q745" s="384"/>
      <c r="R745" s="384"/>
      <c r="S745" s="384"/>
      <c r="T745" s="384"/>
      <c r="U745" s="384"/>
      <c r="V745" s="384"/>
      <c r="W745" s="211"/>
      <c r="X745" s="211"/>
      <c r="Y745" s="211"/>
      <c r="Z745" s="211"/>
      <c r="AA745" s="211"/>
    </row>
    <row r="746" spans="2:27" s="204" customFormat="1" x14ac:dyDescent="0.25">
      <c r="B746" s="233" t="s">
        <v>1802</v>
      </c>
      <c r="C746" s="233" t="s">
        <v>1803</v>
      </c>
      <c r="D746" s="234" t="s">
        <v>3826</v>
      </c>
      <c r="E746" s="234"/>
      <c r="F746" s="234"/>
      <c r="G746" s="234"/>
      <c r="H746" s="235"/>
      <c r="I746" s="234"/>
      <c r="J746" s="234"/>
      <c r="K746" s="234"/>
      <c r="L746" s="236" t="s">
        <v>1805</v>
      </c>
      <c r="M746" s="237" t="s">
        <v>2962</v>
      </c>
      <c r="N746" s="238">
        <f>+N748+N758</f>
        <v>0</v>
      </c>
      <c r="O746" s="238">
        <f>+O748+O758</f>
        <v>0</v>
      </c>
      <c r="P746" s="239">
        <f>+O746-N746</f>
        <v>0</v>
      </c>
      <c r="Q746" s="254"/>
      <c r="R746" s="254"/>
      <c r="S746" s="254"/>
      <c r="T746" s="254"/>
      <c r="U746" s="254"/>
      <c r="V746" s="254"/>
      <c r="W746" s="211"/>
      <c r="X746" s="211"/>
      <c r="Y746" s="211"/>
      <c r="Z746" s="211"/>
      <c r="AA746" s="211"/>
    </row>
    <row r="747" spans="2:27" s="204" customFormat="1" x14ac:dyDescent="0.25">
      <c r="B747" s="216"/>
      <c r="C747" s="216"/>
      <c r="D747" s="226"/>
      <c r="E747" s="226"/>
      <c r="F747" s="226"/>
      <c r="G747" s="226"/>
      <c r="H747" s="227"/>
      <c r="I747" s="226"/>
      <c r="J747" s="226"/>
      <c r="K747" s="226"/>
      <c r="L747" s="241"/>
      <c r="M747" s="216"/>
      <c r="N747" s="254"/>
      <c r="O747" s="254"/>
      <c r="P747" s="254"/>
      <c r="Q747" s="254"/>
      <c r="R747" s="254"/>
      <c r="S747" s="254"/>
      <c r="T747" s="254"/>
      <c r="U747" s="254"/>
      <c r="V747" s="254"/>
      <c r="W747" s="211"/>
      <c r="X747" s="211"/>
      <c r="Y747" s="211"/>
      <c r="Z747" s="211"/>
      <c r="AA747" s="211"/>
    </row>
    <row r="748" spans="2:27" s="204" customFormat="1" x14ac:dyDescent="0.25">
      <c r="B748" s="246" t="s">
        <v>1806</v>
      </c>
      <c r="C748" s="246" t="s">
        <v>1807</v>
      </c>
      <c r="D748" s="247" t="s">
        <v>3827</v>
      </c>
      <c r="E748" s="247"/>
      <c r="F748" s="247"/>
      <c r="G748" s="247"/>
      <c r="H748" s="248"/>
      <c r="I748" s="247"/>
      <c r="J748" s="247"/>
      <c r="K748" s="249"/>
      <c r="L748" s="250" t="s">
        <v>1809</v>
      </c>
      <c r="M748" s="251" t="s">
        <v>2962</v>
      </c>
      <c r="N748" s="252">
        <f>+N751+N752</f>
        <v>0</v>
      </c>
      <c r="O748" s="252">
        <f>+O751+O752</f>
        <v>0</v>
      </c>
      <c r="P748" s="253">
        <f>+O748-N748</f>
        <v>0</v>
      </c>
      <c r="Q748" s="252">
        <f>+Q751+Q752</f>
        <v>0</v>
      </c>
      <c r="R748" s="252">
        <f>+R751+R752</f>
        <v>0</v>
      </c>
      <c r="S748" s="252">
        <f>+S751+S752</f>
        <v>0</v>
      </c>
      <c r="T748" s="252">
        <f>+T751+T752</f>
        <v>0</v>
      </c>
      <c r="U748" s="252">
        <f>+U751+U752</f>
        <v>0</v>
      </c>
      <c r="V748" s="211"/>
      <c r="W748" s="211"/>
      <c r="X748" s="211"/>
      <c r="Y748" s="211"/>
      <c r="Z748" s="211"/>
      <c r="AA748" s="211"/>
    </row>
    <row r="749" spans="2:27" s="204" customFormat="1" x14ac:dyDescent="0.25">
      <c r="B749" s="230"/>
      <c r="C749" s="230"/>
      <c r="D749" s="230"/>
      <c r="E749" s="230"/>
      <c r="F749" s="230"/>
      <c r="G749" s="230"/>
      <c r="H749" s="231"/>
      <c r="I749" s="230"/>
      <c r="J749" s="230"/>
      <c r="K749" s="230"/>
      <c r="L749" s="299"/>
      <c r="M749" s="254"/>
      <c r="N749" s="254"/>
      <c r="O749" s="254"/>
      <c r="P749" s="254"/>
      <c r="Q749" s="254"/>
      <c r="R749" s="254"/>
      <c r="T749" s="254"/>
      <c r="U749" s="254"/>
      <c r="V749" s="254"/>
      <c r="W749" s="211"/>
      <c r="X749" s="211"/>
      <c r="Y749" s="211"/>
      <c r="Z749" s="211"/>
      <c r="AA749" s="211"/>
    </row>
    <row r="750" spans="2:27" s="204" customFormat="1" ht="39" customHeight="1" x14ac:dyDescent="0.25">
      <c r="B750" s="260" t="s">
        <v>2968</v>
      </c>
      <c r="C750" s="260" t="s">
        <v>2969</v>
      </c>
      <c r="D750" s="206" t="s">
        <v>72</v>
      </c>
      <c r="E750" s="206"/>
      <c r="F750" s="206"/>
      <c r="G750" s="207"/>
      <c r="H750" s="207"/>
      <c r="I750" s="207"/>
      <c r="J750" s="207" t="s">
        <v>2957</v>
      </c>
      <c r="K750" s="206" t="s">
        <v>82</v>
      </c>
      <c r="L750" s="261" t="s">
        <v>3670</v>
      </c>
      <c r="M750" s="256"/>
      <c r="N750" s="256" t="str">
        <f>N$15</f>
        <v>Valore netto al 31/12/2019</v>
      </c>
      <c r="O750" s="256" t="str">
        <f>O$15</f>
        <v>Valore netto al 31/12/2020</v>
      </c>
      <c r="P750" s="256" t="str">
        <f>P$15</f>
        <v>Variazione</v>
      </c>
      <c r="Q750" s="262" t="s">
        <v>2971</v>
      </c>
      <c r="R750" s="346" t="str">
        <f>+N750</f>
        <v>Valore netto al 31/12/2019</v>
      </c>
      <c r="S750" s="346" t="s">
        <v>2972</v>
      </c>
      <c r="T750" s="346" t="str">
        <f>"Entro 12 mesi ("&amp;Info!B3&amp;")"</f>
        <v>Entro 12 mesi (2020)</v>
      </c>
      <c r="U750" s="346" t="str">
        <f>"Oltre 12 mesi ("&amp;Info!B3&amp;")"</f>
        <v>Oltre 12 mesi (2020)</v>
      </c>
      <c r="V750" s="211"/>
      <c r="W750" s="211"/>
      <c r="X750" s="211"/>
      <c r="Y750" s="211"/>
      <c r="Z750" s="211"/>
      <c r="AA750" s="211"/>
    </row>
    <row r="751" spans="2:27" s="204" customFormat="1" x14ac:dyDescent="0.25">
      <c r="B751" s="287" t="s">
        <v>1810</v>
      </c>
      <c r="C751" s="287" t="s">
        <v>1811</v>
      </c>
      <c r="D751" s="274" t="s">
        <v>3828</v>
      </c>
      <c r="E751" s="274"/>
      <c r="F751" s="274"/>
      <c r="G751" s="283"/>
      <c r="H751" s="266"/>
      <c r="I751" s="274"/>
      <c r="J751" s="281"/>
      <c r="K751" s="281"/>
      <c r="L751" s="424" t="s">
        <v>1813</v>
      </c>
      <c r="M751" s="263" t="s">
        <v>2962</v>
      </c>
      <c r="N751" s="408">
        <f>+R751</f>
        <v>0</v>
      </c>
      <c r="O751" s="408">
        <f>+T751+U751+Q751</f>
        <v>0</v>
      </c>
      <c r="P751" s="271">
        <f>+O751-N751</f>
        <v>0</v>
      </c>
      <c r="Q751" s="527"/>
      <c r="R751" s="354">
        <f>IF(ISERROR(VLOOKUP("SOC"&amp;$C751,ESTR_PREC_SP!$A$2:$G$2000,4,FALSE))=TRUE,0,VLOOKUP("SOC"&amp;$C751,ESTR_PREC_SP!$A$2:$G$2000,4,FALSE))</f>
        <v>0</v>
      </c>
      <c r="S751" s="538"/>
      <c r="T751" s="529">
        <f>+Dettaglio_SP_Soc!H468</f>
        <v>0</v>
      </c>
      <c r="U751" s="529">
        <f>+Dettaglio_SP_Soc!I468</f>
        <v>0</v>
      </c>
      <c r="V751" s="254"/>
      <c r="W751" s="211"/>
      <c r="X751" s="211"/>
      <c r="Y751" s="211"/>
      <c r="Z751" s="211"/>
      <c r="AA751" s="211"/>
    </row>
    <row r="752" spans="2:27" s="204" customFormat="1" x14ac:dyDescent="0.25">
      <c r="B752" s="287" t="s">
        <v>1814</v>
      </c>
      <c r="C752" s="287" t="s">
        <v>1815</v>
      </c>
      <c r="D752" s="274" t="s">
        <v>3829</v>
      </c>
      <c r="E752" s="274"/>
      <c r="F752" s="274"/>
      <c r="G752" s="283"/>
      <c r="H752" s="266"/>
      <c r="I752" s="274"/>
      <c r="J752" s="281"/>
      <c r="K752" s="281"/>
      <c r="L752" s="424" t="s">
        <v>1817</v>
      </c>
      <c r="M752" s="284" t="s">
        <v>2962</v>
      </c>
      <c r="N752" s="378">
        <f>SUM(N753:N755)</f>
        <v>0</v>
      </c>
      <c r="O752" s="378">
        <f>SUM(O753:O755)</f>
        <v>0</v>
      </c>
      <c r="P752" s="378">
        <f>+O752-N752</f>
        <v>0</v>
      </c>
      <c r="Q752" s="378">
        <f>SUM(Q753:Q755)</f>
        <v>0</v>
      </c>
      <c r="R752" s="378">
        <f>SUM(R753:R755)</f>
        <v>0</v>
      </c>
      <c r="S752" s="538"/>
      <c r="T752" s="378">
        <f>SUM(T753:T755)</f>
        <v>0</v>
      </c>
      <c r="U752" s="378">
        <f>SUM(U753:U755)</f>
        <v>0</v>
      </c>
      <c r="V752" s="254"/>
      <c r="W752" s="211"/>
      <c r="X752" s="211"/>
      <c r="Y752" s="211"/>
      <c r="Z752" s="211"/>
      <c r="AA752" s="211"/>
    </row>
    <row r="753" spans="1:27" s="204" customFormat="1" x14ac:dyDescent="0.25">
      <c r="B753" s="287" t="s">
        <v>1818</v>
      </c>
      <c r="C753" s="287" t="s">
        <v>1819</v>
      </c>
      <c r="D753" s="274" t="s">
        <v>3830</v>
      </c>
      <c r="E753" s="274"/>
      <c r="F753" s="274"/>
      <c r="G753" s="283"/>
      <c r="H753" s="266"/>
      <c r="I753" s="274"/>
      <c r="J753" s="281"/>
      <c r="K753" s="281"/>
      <c r="L753" s="425" t="s">
        <v>3831</v>
      </c>
      <c r="M753" s="263" t="s">
        <v>2962</v>
      </c>
      <c r="N753" s="408">
        <f>+R753</f>
        <v>0</v>
      </c>
      <c r="O753" s="408">
        <f>+T753+U753+Q753</f>
        <v>0</v>
      </c>
      <c r="P753" s="271">
        <f>+O753-N753</f>
        <v>0</v>
      </c>
      <c r="Q753" s="527"/>
      <c r="R753" s="354">
        <f>IF(ISERROR(VLOOKUP("SOC"&amp;$C753,ESTR_PREC_SP!$A$2:$G$2000,4,FALSE))=TRUE,0,VLOOKUP("SOC"&amp;$C753,ESTR_PREC_SP!$A$2:$G$2000,4,FALSE))</f>
        <v>0</v>
      </c>
      <c r="S753" s="538"/>
      <c r="T753" s="527"/>
      <c r="U753" s="527"/>
      <c r="V753" s="254"/>
      <c r="W753" s="211"/>
      <c r="X753" s="211"/>
      <c r="Y753" s="211"/>
      <c r="Z753" s="211"/>
      <c r="AA753" s="211"/>
    </row>
    <row r="754" spans="1:27" s="204" customFormat="1" hidden="1" x14ac:dyDescent="0.25">
      <c r="B754" s="287" t="s">
        <v>1821</v>
      </c>
      <c r="C754" s="287" t="s">
        <v>1822</v>
      </c>
      <c r="D754" s="274" t="s">
        <v>3832</v>
      </c>
      <c r="E754" s="274"/>
      <c r="F754" s="274"/>
      <c r="G754" s="283"/>
      <c r="H754" s="266"/>
      <c r="I754" s="274"/>
      <c r="J754" s="281"/>
      <c r="K754" s="281"/>
      <c r="L754" s="426" t="s">
        <v>1823</v>
      </c>
      <c r="M754" s="284" t="s">
        <v>2962</v>
      </c>
      <c r="N754" s="408">
        <f>+R754</f>
        <v>0</v>
      </c>
      <c r="O754" s="408">
        <f>+T754+U754+Q754</f>
        <v>0</v>
      </c>
      <c r="P754" s="271">
        <f>+O754-N754</f>
        <v>0</v>
      </c>
      <c r="Q754" s="527"/>
      <c r="R754" s="354">
        <f>IF(ISERROR(VLOOKUP("SOC"&amp;$C754,ESTR_PREC_SP!$A$2:$G$2000,4,FALSE))=TRUE,0,VLOOKUP("SOC"&amp;$C754,ESTR_PREC_SP!$A$2:$G$2000,4,FALSE))</f>
        <v>0</v>
      </c>
      <c r="S754" s="538"/>
      <c r="T754" s="527"/>
      <c r="U754" s="527"/>
      <c r="V754" s="254"/>
      <c r="W754" s="211"/>
      <c r="X754" s="211"/>
      <c r="Y754" s="211"/>
      <c r="Z754" s="211"/>
      <c r="AA754" s="211"/>
    </row>
    <row r="755" spans="1:27" s="204" customFormat="1" x14ac:dyDescent="0.25">
      <c r="B755" s="287" t="s">
        <v>1824</v>
      </c>
      <c r="C755" s="287" t="s">
        <v>1825</v>
      </c>
      <c r="D755" s="274" t="s">
        <v>3833</v>
      </c>
      <c r="E755" s="274"/>
      <c r="F755" s="274"/>
      <c r="G755" s="283"/>
      <c r="H755" s="266"/>
      <c r="I755" s="274"/>
      <c r="J755" s="281"/>
      <c r="K755" s="281"/>
      <c r="L755" s="426" t="s">
        <v>3834</v>
      </c>
      <c r="M755" s="284" t="s">
        <v>2962</v>
      </c>
      <c r="N755" s="408">
        <f>+R755</f>
        <v>0</v>
      </c>
      <c r="O755" s="408">
        <f>+T755+U755+Q755</f>
        <v>0</v>
      </c>
      <c r="P755" s="271">
        <f>+O755-N755</f>
        <v>0</v>
      </c>
      <c r="Q755" s="527"/>
      <c r="R755" s="354">
        <f>IF(ISERROR(VLOOKUP("SOC"&amp;$C755,ESTR_PREC_SP!$A$2:$G$2000,4,FALSE))=TRUE,0,VLOOKUP("SOC"&amp;$C755,ESTR_PREC_SP!$A$2:$G$2000,4,FALSE))</f>
        <v>0</v>
      </c>
      <c r="S755" s="538"/>
      <c r="T755" s="527"/>
      <c r="U755" s="527"/>
      <c r="V755" s="254"/>
      <c r="W755" s="211"/>
      <c r="X755" s="211"/>
      <c r="Y755" s="211"/>
      <c r="Z755" s="211"/>
      <c r="AA755" s="211"/>
    </row>
    <row r="756" spans="1:27" ht="27.75" customHeight="1" x14ac:dyDescent="0.25">
      <c r="A756" s="204"/>
      <c r="L756" s="344" t="s">
        <v>3835</v>
      </c>
    </row>
    <row r="757" spans="1:27" s="204" customFormat="1" x14ac:dyDescent="0.25">
      <c r="B757" s="230"/>
      <c r="C757" s="230"/>
      <c r="D757" s="230"/>
      <c r="E757" s="230"/>
      <c r="F757" s="230"/>
      <c r="G757" s="230"/>
      <c r="H757" s="231"/>
      <c r="I757" s="230"/>
      <c r="J757" s="230"/>
      <c r="K757" s="230"/>
      <c r="L757" s="315"/>
      <c r="M757" s="216"/>
      <c r="N757" s="278"/>
      <c r="O757" s="278"/>
      <c r="P757" s="278"/>
      <c r="Q757" s="216"/>
      <c r="R757" s="278"/>
      <c r="S757" s="278"/>
      <c r="T757" s="278"/>
      <c r="U757" s="278"/>
      <c r="V757" s="278"/>
      <c r="W757" s="216"/>
      <c r="X757" s="216"/>
      <c r="Y757" s="216"/>
      <c r="Z757" s="216"/>
      <c r="AA757" s="216"/>
    </row>
    <row r="758" spans="1:27" s="204" customFormat="1" x14ac:dyDescent="0.25">
      <c r="B758" s="246" t="s">
        <v>1827</v>
      </c>
      <c r="C758" s="246" t="s">
        <v>1828</v>
      </c>
      <c r="D758" s="247" t="s">
        <v>3836</v>
      </c>
      <c r="E758" s="247"/>
      <c r="F758" s="247"/>
      <c r="G758" s="247"/>
      <c r="H758" s="248"/>
      <c r="I758" s="247"/>
      <c r="J758" s="247"/>
      <c r="K758" s="249"/>
      <c r="L758" s="250" t="s">
        <v>1830</v>
      </c>
      <c r="M758" s="251" t="s">
        <v>2962</v>
      </c>
      <c r="N758" s="252">
        <f>+N761+N762</f>
        <v>0</v>
      </c>
      <c r="O758" s="252">
        <f>+O761+O762</f>
        <v>0</v>
      </c>
      <c r="P758" s="253">
        <f>+O758-N758</f>
        <v>0</v>
      </c>
      <c r="Q758" s="252">
        <f>+Q761+Q762</f>
        <v>0</v>
      </c>
      <c r="R758" s="252">
        <f>+R761+R762</f>
        <v>0</v>
      </c>
      <c r="S758" s="252">
        <f>+S761+S762</f>
        <v>0</v>
      </c>
      <c r="T758" s="252">
        <f>+T761+T762</f>
        <v>0</v>
      </c>
      <c r="U758" s="252">
        <f>+U761+U762</f>
        <v>0</v>
      </c>
      <c r="V758" s="211"/>
      <c r="W758" s="211"/>
      <c r="X758" s="211"/>
      <c r="Y758" s="211"/>
      <c r="Z758" s="211"/>
      <c r="AA758" s="211"/>
    </row>
    <row r="759" spans="1:27" s="204" customFormat="1" x14ac:dyDescent="0.25">
      <c r="B759" s="230"/>
      <c r="C759" s="230"/>
      <c r="D759" s="230"/>
      <c r="E759" s="230"/>
      <c r="F759" s="230"/>
      <c r="G759" s="230"/>
      <c r="H759" s="231"/>
      <c r="I759" s="230"/>
      <c r="J759" s="230"/>
      <c r="K759" s="230"/>
      <c r="L759" s="315"/>
      <c r="M759" s="216"/>
      <c r="N759" s="278"/>
      <c r="O759" s="278"/>
      <c r="P759" s="278"/>
      <c r="Q759" s="216"/>
      <c r="R759" s="278"/>
      <c r="T759" s="278"/>
      <c r="U759" s="278"/>
      <c r="V759" s="278"/>
      <c r="W759" s="216"/>
      <c r="X759" s="216"/>
      <c r="Y759" s="216"/>
      <c r="Z759" s="216"/>
      <c r="AA759" s="216"/>
    </row>
    <row r="760" spans="1:27" s="204" customFormat="1" ht="39" customHeight="1" x14ac:dyDescent="0.25">
      <c r="B760" s="260" t="s">
        <v>2968</v>
      </c>
      <c r="C760" s="260" t="s">
        <v>2969</v>
      </c>
      <c r="D760" s="206" t="s">
        <v>72</v>
      </c>
      <c r="E760" s="206"/>
      <c r="F760" s="206"/>
      <c r="G760" s="207"/>
      <c r="H760" s="207"/>
      <c r="I760" s="207"/>
      <c r="J760" s="207" t="s">
        <v>2957</v>
      </c>
      <c r="K760" s="206" t="s">
        <v>82</v>
      </c>
      <c r="L760" s="261" t="s">
        <v>3670</v>
      </c>
      <c r="M760" s="256"/>
      <c r="N760" s="256" t="str">
        <f>N$15</f>
        <v>Valore netto al 31/12/2019</v>
      </c>
      <c r="O760" s="256" t="str">
        <f>O$15</f>
        <v>Valore netto al 31/12/2020</v>
      </c>
      <c r="P760" s="256" t="str">
        <f>P$15</f>
        <v>Variazione</v>
      </c>
      <c r="Q760" s="262" t="s">
        <v>2971</v>
      </c>
      <c r="R760" s="346" t="str">
        <f>+N760</f>
        <v>Valore netto al 31/12/2019</v>
      </c>
      <c r="S760" s="346" t="s">
        <v>2972</v>
      </c>
      <c r="T760" s="346" t="str">
        <f>"Entro 12 mesi ("&amp;Info!B3&amp;")"</f>
        <v>Entro 12 mesi (2020)</v>
      </c>
      <c r="U760" s="346" t="str">
        <f>"Oltre 12 mesi ("&amp;Info!B3&amp;")"</f>
        <v>Oltre 12 mesi (2020)</v>
      </c>
      <c r="V760" s="211"/>
      <c r="W760" s="211"/>
      <c r="X760" s="211"/>
      <c r="Y760" s="211"/>
      <c r="Z760" s="211"/>
      <c r="AA760" s="211"/>
    </row>
    <row r="761" spans="1:27" s="204" customFormat="1" x14ac:dyDescent="0.25">
      <c r="B761" s="287" t="s">
        <v>1831</v>
      </c>
      <c r="C761" s="287" t="s">
        <v>1832</v>
      </c>
      <c r="D761" s="274" t="s">
        <v>3837</v>
      </c>
      <c r="E761" s="274"/>
      <c r="F761" s="274"/>
      <c r="G761" s="283"/>
      <c r="H761" s="266"/>
      <c r="I761" s="274"/>
      <c r="J761" s="281"/>
      <c r="K761" s="281"/>
      <c r="L761" s="421" t="s">
        <v>1834</v>
      </c>
      <c r="M761" s="263" t="s">
        <v>2962</v>
      </c>
      <c r="N761" s="408">
        <f>+R761</f>
        <v>0</v>
      </c>
      <c r="O761" s="408">
        <f>+T761+U761+Q761</f>
        <v>0</v>
      </c>
      <c r="P761" s="271">
        <f>+O761-N761</f>
        <v>0</v>
      </c>
      <c r="Q761" s="527"/>
      <c r="R761" s="354">
        <f>IF(ISERROR(VLOOKUP("SOC"&amp;$C761,ESTR_PREC_SP!$A$2:$G$2000,4,FALSE))=TRUE,0,VLOOKUP("SOC"&amp;$C761,ESTR_PREC_SP!$A$2:$G$2000,4,FALSE))</f>
        <v>0</v>
      </c>
      <c r="S761" s="538"/>
      <c r="T761" s="529">
        <f>+Dettaglio_SP_Soc!H498</f>
        <v>0</v>
      </c>
      <c r="U761" s="529">
        <f>+Dettaglio_SP_Soc!I498</f>
        <v>0</v>
      </c>
      <c r="V761" s="254"/>
      <c r="W761" s="211"/>
      <c r="X761" s="211"/>
      <c r="Y761" s="211"/>
      <c r="Z761" s="211"/>
      <c r="AA761" s="211"/>
    </row>
    <row r="762" spans="1:27" s="204" customFormat="1" x14ac:dyDescent="0.25">
      <c r="B762" s="287" t="s">
        <v>1835</v>
      </c>
      <c r="C762" s="287" t="s">
        <v>1836</v>
      </c>
      <c r="D762" s="274" t="s">
        <v>3838</v>
      </c>
      <c r="E762" s="274"/>
      <c r="F762" s="274"/>
      <c r="G762" s="283"/>
      <c r="H762" s="266"/>
      <c r="I762" s="274"/>
      <c r="J762" s="281"/>
      <c r="K762" s="281"/>
      <c r="L762" s="421" t="s">
        <v>1838</v>
      </c>
      <c r="M762" s="284" t="s">
        <v>2962</v>
      </c>
      <c r="N762" s="408">
        <f>+R762</f>
        <v>0</v>
      </c>
      <c r="O762" s="408">
        <f>+T762+U762+Q762</f>
        <v>0</v>
      </c>
      <c r="P762" s="271">
        <f>+O762-N762</f>
        <v>0</v>
      </c>
      <c r="Q762" s="527"/>
      <c r="R762" s="354">
        <f>IF(ISERROR(VLOOKUP("SOC"&amp;$C762,ESTR_PREC_SP!$A$2:$G$2000,4,FALSE))=TRUE,0,VLOOKUP("SOC"&amp;$C762,ESTR_PREC_SP!$A$2:$G$2000,4,FALSE))</f>
        <v>0</v>
      </c>
      <c r="S762" s="538"/>
      <c r="T762" s="527"/>
      <c r="U762" s="527"/>
      <c r="V762" s="254"/>
      <c r="W762" s="211"/>
      <c r="X762" s="211"/>
      <c r="Y762" s="211"/>
      <c r="Z762" s="211"/>
      <c r="AA762" s="211"/>
    </row>
    <row r="763" spans="1:27" ht="26.25" x14ac:dyDescent="0.25">
      <c r="A763" s="204"/>
      <c r="L763" s="344" t="s">
        <v>3839</v>
      </c>
    </row>
    <row r="764" spans="1:27" s="204" customFormat="1" x14ac:dyDescent="0.25"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32"/>
      <c r="M764" s="211"/>
      <c r="N764" s="211"/>
      <c r="O764" s="211"/>
      <c r="P764" s="211"/>
      <c r="Q764" s="211"/>
      <c r="R764" s="254"/>
      <c r="S764" s="254"/>
      <c r="T764" s="254"/>
      <c r="U764" s="254"/>
      <c r="V764" s="254"/>
      <c r="W764" s="211"/>
      <c r="X764" s="211"/>
      <c r="Y764" s="211"/>
      <c r="Z764" s="211"/>
      <c r="AA764" s="211"/>
    </row>
    <row r="765" spans="1:27" s="204" customFormat="1" x14ac:dyDescent="0.25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315"/>
      <c r="M765" s="216"/>
      <c r="N765" s="216"/>
      <c r="O765" s="216"/>
      <c r="P765" s="216"/>
      <c r="Q765" s="216"/>
      <c r="R765" s="278"/>
      <c r="S765" s="278"/>
      <c r="T765" s="278"/>
      <c r="U765" s="278"/>
      <c r="V765" s="278"/>
      <c r="W765" s="216"/>
      <c r="X765" s="216"/>
      <c r="Y765" s="216"/>
      <c r="Z765" s="216"/>
      <c r="AA765" s="216"/>
    </row>
    <row r="766" spans="1:27" s="204" customFormat="1" x14ac:dyDescent="0.25">
      <c r="B766" s="236" t="s">
        <v>1839</v>
      </c>
      <c r="C766" s="236" t="s">
        <v>1840</v>
      </c>
      <c r="D766" s="234" t="s">
        <v>3840</v>
      </c>
      <c r="E766" s="234"/>
      <c r="F766" s="234"/>
      <c r="G766" s="234"/>
      <c r="H766" s="235"/>
      <c r="I766" s="234"/>
      <c r="J766" s="234"/>
      <c r="K766" s="234"/>
      <c r="L766" s="236" t="s">
        <v>1841</v>
      </c>
      <c r="M766" s="237" t="s">
        <v>2962</v>
      </c>
      <c r="N766" s="238">
        <f>+N769+N770+N771+N773+N772</f>
        <v>0</v>
      </c>
      <c r="O766" s="238">
        <f>+O769+O770+O771+O773+O772</f>
        <v>0</v>
      </c>
      <c r="P766" s="239">
        <f>+O766-N766</f>
        <v>0</v>
      </c>
      <c r="Q766" s="216"/>
      <c r="R766" s="278"/>
      <c r="S766" s="224">
        <f>SUM(S769:S787)</f>
        <v>0</v>
      </c>
      <c r="T766" s="225" t="str">
        <f>IF(S766&lt;&gt;0,"SQUADRATURA CONTI D'ORDINE ATTIVO  PER GIROCONTI SU NUOVI CONTI SP","")</f>
        <v/>
      </c>
      <c r="U766" s="278"/>
      <c r="V766" s="278"/>
      <c r="W766" s="216"/>
      <c r="X766" s="216"/>
      <c r="Y766" s="216"/>
      <c r="Z766" s="216"/>
      <c r="AA766" s="216"/>
    </row>
    <row r="767" spans="1:27" s="204" customFormat="1" x14ac:dyDescent="0.25">
      <c r="B767" s="230"/>
      <c r="C767" s="230"/>
      <c r="D767" s="230"/>
      <c r="E767" s="230"/>
      <c r="F767" s="230"/>
      <c r="G767" s="230"/>
      <c r="H767" s="231"/>
      <c r="I767" s="230"/>
      <c r="J767" s="230"/>
      <c r="K767" s="230"/>
      <c r="L767" s="315"/>
      <c r="M767" s="216"/>
      <c r="N767" s="278"/>
      <c r="O767" s="278"/>
      <c r="P767" s="278"/>
      <c r="Q767" s="216"/>
      <c r="R767" s="278"/>
      <c r="S767" s="278"/>
      <c r="T767" s="278"/>
      <c r="U767" s="278"/>
      <c r="V767" s="278"/>
      <c r="W767" s="216"/>
      <c r="X767" s="216"/>
      <c r="Y767" s="216"/>
      <c r="Z767" s="216"/>
      <c r="AA767" s="216"/>
    </row>
    <row r="768" spans="1:27" s="204" customFormat="1" ht="39" customHeight="1" x14ac:dyDescent="0.25">
      <c r="B768" s="260" t="s">
        <v>2968</v>
      </c>
      <c r="C768" s="260" t="s">
        <v>2969</v>
      </c>
      <c r="D768" s="206" t="s">
        <v>72</v>
      </c>
      <c r="E768" s="206"/>
      <c r="F768" s="206"/>
      <c r="G768" s="207"/>
      <c r="H768" s="207"/>
      <c r="I768" s="207"/>
      <c r="J768" s="207" t="s">
        <v>2957</v>
      </c>
      <c r="K768" s="206" t="s">
        <v>82</v>
      </c>
      <c r="L768" s="261" t="s">
        <v>3670</v>
      </c>
      <c r="M768" s="256"/>
      <c r="N768" s="256" t="str">
        <f>N$15</f>
        <v>Valore netto al 31/12/2019</v>
      </c>
      <c r="O768" s="256" t="str">
        <f>O$15</f>
        <v>Valore netto al 31/12/2020</v>
      </c>
      <c r="P768" s="256" t="str">
        <f>P$15</f>
        <v>Variazione</v>
      </c>
      <c r="Q768" s="262" t="s">
        <v>2971</v>
      </c>
      <c r="R768" s="262" t="s">
        <v>3517</v>
      </c>
      <c r="S768" s="262" t="s">
        <v>2972</v>
      </c>
      <c r="T768" s="262" t="s">
        <v>3495</v>
      </c>
      <c r="U768" s="262" t="s">
        <v>3496</v>
      </c>
      <c r="V768" s="262" t="s">
        <v>3815</v>
      </c>
      <c r="W768" s="211"/>
      <c r="X768" s="211"/>
      <c r="Y768" s="211"/>
      <c r="Z768" s="211"/>
      <c r="AA768" s="211"/>
    </row>
    <row r="769" spans="1:27" s="204" customFormat="1" x14ac:dyDescent="0.25">
      <c r="B769" s="284" t="s">
        <v>1842</v>
      </c>
      <c r="C769" s="284" t="s">
        <v>1843</v>
      </c>
      <c r="D769" s="274" t="s">
        <v>3841</v>
      </c>
      <c r="E769" s="274"/>
      <c r="F769" s="274"/>
      <c r="G769" s="283"/>
      <c r="H769" s="266"/>
      <c r="I769" s="427"/>
      <c r="J769" s="281"/>
      <c r="K769" s="281"/>
      <c r="L769" s="422" t="s">
        <v>1846</v>
      </c>
      <c r="M769" s="284" t="s">
        <v>2962</v>
      </c>
      <c r="N769" s="408">
        <f>+R769</f>
        <v>0</v>
      </c>
      <c r="O769" s="408">
        <f>+V769</f>
        <v>0</v>
      </c>
      <c r="P769" s="271">
        <f>+O769-N769</f>
        <v>0</v>
      </c>
      <c r="Q769" s="520"/>
      <c r="R769" s="354">
        <f>IF(ISERROR(VLOOKUP("SOC"&amp;$C769,ESTR_PREC_SP!$A$2:$G$2000,4,FALSE))=TRUE,0,VLOOKUP("SOC"&amp;$C769,ESTR_PREC_SP!$A$2:$G$2000,4,FALSE))</f>
        <v>0</v>
      </c>
      <c r="S769" s="520"/>
      <c r="T769" s="520"/>
      <c r="U769" s="520"/>
      <c r="V769" s="526">
        <f>+R769+S769+T769-U769+Q769</f>
        <v>0</v>
      </c>
      <c r="W769" s="211"/>
      <c r="X769" s="211"/>
      <c r="Y769" s="211"/>
      <c r="Z769" s="211"/>
      <c r="AA769" s="211"/>
    </row>
    <row r="770" spans="1:27" s="204" customFormat="1" x14ac:dyDescent="0.25">
      <c r="B770" s="284" t="s">
        <v>1847</v>
      </c>
      <c r="C770" s="284" t="s">
        <v>1848</v>
      </c>
      <c r="D770" s="274" t="s">
        <v>3842</v>
      </c>
      <c r="E770" s="274"/>
      <c r="F770" s="274"/>
      <c r="G770" s="283"/>
      <c r="H770" s="266"/>
      <c r="I770" s="427"/>
      <c r="J770" s="281"/>
      <c r="K770" s="281"/>
      <c r="L770" s="422" t="s">
        <v>1851</v>
      </c>
      <c r="M770" s="284" t="s">
        <v>2962</v>
      </c>
      <c r="N770" s="408">
        <f>+R770</f>
        <v>0</v>
      </c>
      <c r="O770" s="408">
        <f>+V770</f>
        <v>0</v>
      </c>
      <c r="P770" s="271">
        <f>+O770-N770</f>
        <v>0</v>
      </c>
      <c r="Q770" s="527"/>
      <c r="R770" s="354">
        <f>IF(ISERROR(VLOOKUP("SOC"&amp;$C770,ESTR_PREC_SP!$A$2:$G$2000,4,FALSE))=TRUE,0,VLOOKUP("SOC"&amp;$C770,ESTR_PREC_SP!$A$2:$G$2000,4,FALSE))</f>
        <v>0</v>
      </c>
      <c r="S770" s="527"/>
      <c r="T770" s="527"/>
      <c r="U770" s="527"/>
      <c r="V770" s="526">
        <f>+R770+S770+T770-U770+Q770</f>
        <v>0</v>
      </c>
      <c r="W770" s="211"/>
      <c r="X770" s="211"/>
      <c r="Y770" s="211"/>
      <c r="Z770" s="211"/>
      <c r="AA770" s="211"/>
    </row>
    <row r="771" spans="1:27" s="204" customFormat="1" x14ac:dyDescent="0.25">
      <c r="B771" s="284" t="s">
        <v>1852</v>
      </c>
      <c r="C771" s="284" t="s">
        <v>1853</v>
      </c>
      <c r="D771" s="274" t="s">
        <v>3843</v>
      </c>
      <c r="E771" s="274"/>
      <c r="F771" s="274"/>
      <c r="G771" s="283"/>
      <c r="H771" s="266"/>
      <c r="I771" s="427"/>
      <c r="J771" s="281"/>
      <c r="K771" s="281"/>
      <c r="L771" s="422" t="s">
        <v>1856</v>
      </c>
      <c r="M771" s="284" t="s">
        <v>2962</v>
      </c>
      <c r="N771" s="408">
        <f>+R771</f>
        <v>0</v>
      </c>
      <c r="O771" s="408">
        <f>+V771</f>
        <v>0</v>
      </c>
      <c r="P771" s="271">
        <f>+O771-N771</f>
        <v>0</v>
      </c>
      <c r="Q771" s="527"/>
      <c r="R771" s="354">
        <f>IF(ISERROR(VLOOKUP("SOC"&amp;$C771,ESTR_PREC_SP!$A$2:$G$2000,4,FALSE))=TRUE,0,VLOOKUP("SOC"&amp;$C771,ESTR_PREC_SP!$A$2:$G$2000,4,FALSE))</f>
        <v>0</v>
      </c>
      <c r="S771" s="527"/>
      <c r="T771" s="527"/>
      <c r="U771" s="527"/>
      <c r="V771" s="526">
        <f>+R771+S771+T771-U771+Q771</f>
        <v>0</v>
      </c>
      <c r="W771" s="211"/>
      <c r="X771" s="211"/>
      <c r="Y771" s="211"/>
      <c r="Z771" s="211"/>
      <c r="AA771" s="211"/>
    </row>
    <row r="772" spans="1:27" s="204" customFormat="1" x14ac:dyDescent="0.25">
      <c r="A772" s="535" t="s">
        <v>3681</v>
      </c>
      <c r="B772" s="536" t="s">
        <v>1857</v>
      </c>
      <c r="C772" s="536" t="s">
        <v>1858</v>
      </c>
      <c r="D772" s="536"/>
      <c r="E772" s="536"/>
      <c r="F772" s="536"/>
      <c r="G772" s="536"/>
      <c r="H772" s="536"/>
      <c r="I772" s="536"/>
      <c r="J772" s="536"/>
      <c r="K772" s="536"/>
      <c r="L772" s="536" t="s">
        <v>1861</v>
      </c>
      <c r="M772" s="284" t="s">
        <v>2962</v>
      </c>
      <c r="N772" s="408">
        <f>+R772</f>
        <v>0</v>
      </c>
      <c r="O772" s="408">
        <f>+V772</f>
        <v>0</v>
      </c>
      <c r="P772" s="271">
        <f>+O772-N772</f>
        <v>0</v>
      </c>
      <c r="Q772" s="527"/>
      <c r="R772" s="354">
        <f>IF(ISERROR(VLOOKUP("SOC"&amp;$C772,ESTR_PREC_SP!$A$2:$G$2000,4,FALSE))=TRUE,0,VLOOKUP("SOC"&amp;$C772,ESTR_PREC_SP!$A$2:$G$2000,4,FALSE))</f>
        <v>0</v>
      </c>
      <c r="S772" s="527"/>
      <c r="T772" s="527"/>
      <c r="U772" s="527"/>
      <c r="V772" s="526">
        <f>+R772+S772+T772-U772+Q772</f>
        <v>0</v>
      </c>
      <c r="W772" s="211"/>
      <c r="X772" s="211"/>
      <c r="Y772" s="211"/>
      <c r="Z772" s="211"/>
      <c r="AA772" s="211"/>
    </row>
    <row r="773" spans="1:27" x14ac:dyDescent="0.25">
      <c r="A773" s="204"/>
      <c r="B773" s="284" t="s">
        <v>1862</v>
      </c>
      <c r="C773" s="284" t="s">
        <v>1863</v>
      </c>
      <c r="D773" s="274" t="s">
        <v>3844</v>
      </c>
      <c r="E773" s="274"/>
      <c r="F773" s="274"/>
      <c r="G773" s="283"/>
      <c r="H773" s="266"/>
      <c r="I773" s="427"/>
      <c r="J773" s="281"/>
      <c r="K773" s="281"/>
      <c r="L773" s="422" t="s">
        <v>3845</v>
      </c>
      <c r="M773" s="284" t="s">
        <v>2962</v>
      </c>
      <c r="N773" s="378">
        <f>SUM(N774:N787)</f>
        <v>0</v>
      </c>
      <c r="O773" s="378">
        <f>SUM(O774:O787)</f>
        <v>0</v>
      </c>
      <c r="P773" s="378">
        <f>+O773-N773</f>
        <v>0</v>
      </c>
      <c r="Q773" s="378">
        <f>SUM(Q774:Q787)</f>
        <v>0</v>
      </c>
      <c r="R773" s="378">
        <f>SUM(R775:R777)+SUM(R779:R782)+SUM(R784:R787)</f>
        <v>0</v>
      </c>
      <c r="S773" s="378">
        <f>SUM(S774:S787)</f>
        <v>0</v>
      </c>
      <c r="T773" s="378">
        <f>SUM(T774:T787)</f>
        <v>0</v>
      </c>
      <c r="U773" s="378">
        <f>SUM(U774:U787)</f>
        <v>0</v>
      </c>
      <c r="V773" s="378">
        <f>+R773+S773+T773-U773</f>
        <v>0</v>
      </c>
    </row>
    <row r="774" spans="1:27" s="204" customFormat="1" x14ac:dyDescent="0.25">
      <c r="B774" s="284" t="s">
        <v>1866</v>
      </c>
      <c r="C774" s="284" t="s">
        <v>1867</v>
      </c>
      <c r="D774" s="274" t="s">
        <v>3846</v>
      </c>
      <c r="E774" s="274"/>
      <c r="F774" s="274"/>
      <c r="G774" s="283"/>
      <c r="H774" s="266"/>
      <c r="I774" s="427"/>
      <c r="J774" s="281"/>
      <c r="K774" s="281"/>
      <c r="L774" s="422" t="s">
        <v>3847</v>
      </c>
      <c r="M774" s="284" t="s">
        <v>2962</v>
      </c>
      <c r="N774" s="352"/>
      <c r="O774" s="352"/>
      <c r="P774" s="352"/>
      <c r="Q774" s="352"/>
      <c r="R774" s="352"/>
      <c r="S774" s="352"/>
      <c r="T774" s="352"/>
      <c r="U774" s="352"/>
      <c r="V774" s="352"/>
      <c r="W774" s="211"/>
      <c r="X774" s="211"/>
      <c r="Y774" s="211"/>
      <c r="Z774" s="211"/>
      <c r="AA774" s="211"/>
    </row>
    <row r="775" spans="1:27" s="204" customFormat="1" x14ac:dyDescent="0.25">
      <c r="B775" s="284" t="s">
        <v>1869</v>
      </c>
      <c r="C775" s="284" t="s">
        <v>1870</v>
      </c>
      <c r="D775" s="274" t="s">
        <v>3848</v>
      </c>
      <c r="E775" s="274"/>
      <c r="F775" s="274"/>
      <c r="G775" s="283"/>
      <c r="H775" s="266"/>
      <c r="I775" s="427"/>
      <c r="J775" s="281"/>
      <c r="K775" s="281"/>
      <c r="L775" s="430" t="s">
        <v>3849</v>
      </c>
      <c r="M775" s="284" t="s">
        <v>2962</v>
      </c>
      <c r="N775" s="408">
        <f>+R775</f>
        <v>0</v>
      </c>
      <c r="O775" s="408">
        <f>+V775</f>
        <v>0</v>
      </c>
      <c r="P775" s="271">
        <f>+O775-N775</f>
        <v>0</v>
      </c>
      <c r="Q775" s="527"/>
      <c r="R775" s="527"/>
      <c r="S775" s="527"/>
      <c r="T775" s="527"/>
      <c r="U775" s="527"/>
      <c r="V775" s="526">
        <f>+R775+S775+T775-U775+Q775</f>
        <v>0</v>
      </c>
      <c r="W775" s="211"/>
      <c r="X775" s="211"/>
      <c r="Y775" s="211"/>
      <c r="Z775" s="211"/>
      <c r="AA775" s="211"/>
    </row>
    <row r="776" spans="1:27" s="204" customFormat="1" x14ac:dyDescent="0.25">
      <c r="B776" s="284" t="s">
        <v>1872</v>
      </c>
      <c r="C776" s="284" t="s">
        <v>1873</v>
      </c>
      <c r="D776" s="274" t="s">
        <v>3850</v>
      </c>
      <c r="E776" s="274"/>
      <c r="F776" s="274"/>
      <c r="G776" s="283"/>
      <c r="H776" s="266"/>
      <c r="I776" s="427"/>
      <c r="J776" s="281"/>
      <c r="K776" s="281"/>
      <c r="L776" s="430" t="s">
        <v>3851</v>
      </c>
      <c r="M776" s="284" t="s">
        <v>2962</v>
      </c>
      <c r="N776" s="408">
        <f>+R776</f>
        <v>0</v>
      </c>
      <c r="O776" s="408">
        <f>+V776</f>
        <v>0</v>
      </c>
      <c r="P776" s="271">
        <f>+O776-N776</f>
        <v>0</v>
      </c>
      <c r="Q776" s="527"/>
      <c r="R776" s="527"/>
      <c r="S776" s="527"/>
      <c r="T776" s="527"/>
      <c r="U776" s="527"/>
      <c r="V776" s="526">
        <f>+R776+S776+T776-U776+Q776</f>
        <v>0</v>
      </c>
      <c r="W776" s="211"/>
      <c r="X776" s="211"/>
      <c r="Y776" s="211"/>
      <c r="Z776" s="211"/>
      <c r="AA776" s="211"/>
    </row>
    <row r="777" spans="1:27" s="204" customFormat="1" x14ac:dyDescent="0.25">
      <c r="B777" s="284" t="s">
        <v>1875</v>
      </c>
      <c r="C777" s="284" t="s">
        <v>1876</v>
      </c>
      <c r="D777" s="274" t="s">
        <v>3852</v>
      </c>
      <c r="E777" s="274"/>
      <c r="F777" s="274"/>
      <c r="G777" s="283"/>
      <c r="H777" s="266"/>
      <c r="I777" s="427"/>
      <c r="J777" s="281"/>
      <c r="K777" s="281"/>
      <c r="L777" s="430" t="s">
        <v>3853</v>
      </c>
      <c r="M777" s="284" t="s">
        <v>2962</v>
      </c>
      <c r="N777" s="408">
        <f>+R777</f>
        <v>0</v>
      </c>
      <c r="O777" s="408">
        <f>+V777</f>
        <v>0</v>
      </c>
      <c r="P777" s="271">
        <f>+O777-N777</f>
        <v>0</v>
      </c>
      <c r="Q777" s="527"/>
      <c r="R777" s="527">
        <f>IF(ISERROR(VLOOKUP("SOC"&amp;$C777,ESTR_PREC_SP!$A$2:$G$2000,4,FALSE))=TRUE,0,VLOOKUP("SOC"&amp;$C777,ESTR_PREC_SP!$A$2:$G$2000,4,FALSE))</f>
        <v>0</v>
      </c>
      <c r="S777" s="527"/>
      <c r="T777" s="527"/>
      <c r="U777" s="527"/>
      <c r="V777" s="526">
        <f>+R777+S777+T777-U777+Q777</f>
        <v>0</v>
      </c>
      <c r="W777" s="211"/>
      <c r="X777" s="211"/>
      <c r="Y777" s="211"/>
      <c r="Z777" s="211"/>
      <c r="AA777" s="211"/>
    </row>
    <row r="778" spans="1:27" s="204" customFormat="1" x14ac:dyDescent="0.25">
      <c r="B778" s="284" t="s">
        <v>1878</v>
      </c>
      <c r="C778" s="284" t="s">
        <v>1879</v>
      </c>
      <c r="D778" s="274" t="s">
        <v>3854</v>
      </c>
      <c r="E778" s="274"/>
      <c r="F778" s="274"/>
      <c r="G778" s="283"/>
      <c r="H778" s="266"/>
      <c r="I778" s="427"/>
      <c r="J778" s="281"/>
      <c r="K778" s="281"/>
      <c r="L778" s="422" t="s">
        <v>3855</v>
      </c>
      <c r="M778" s="284" t="s">
        <v>2962</v>
      </c>
      <c r="N778" s="352"/>
      <c r="O778" s="352"/>
      <c r="P778" s="352"/>
      <c r="Q778" s="352"/>
      <c r="R778" s="352"/>
      <c r="S778" s="352"/>
      <c r="T778" s="352"/>
      <c r="U778" s="352"/>
      <c r="V778" s="352"/>
      <c r="W778" s="211"/>
      <c r="X778" s="211"/>
      <c r="Y778" s="211"/>
      <c r="Z778" s="211"/>
      <c r="AA778" s="211"/>
    </row>
    <row r="779" spans="1:27" s="204" customFormat="1" x14ac:dyDescent="0.25">
      <c r="B779" s="284" t="s">
        <v>1881</v>
      </c>
      <c r="C779" s="284" t="s">
        <v>1882</v>
      </c>
      <c r="D779" s="274" t="s">
        <v>3856</v>
      </c>
      <c r="E779" s="274"/>
      <c r="F779" s="274"/>
      <c r="G779" s="283"/>
      <c r="H779" s="266"/>
      <c r="I779" s="427"/>
      <c r="J779" s="281"/>
      <c r="K779" s="281"/>
      <c r="L779" s="430" t="s">
        <v>3857</v>
      </c>
      <c r="M779" s="284"/>
      <c r="N779" s="408">
        <f>+R779</f>
        <v>0</v>
      </c>
      <c r="O779" s="408">
        <f>+V779</f>
        <v>0</v>
      </c>
      <c r="P779" s="271">
        <f>+O779-N779</f>
        <v>0</v>
      </c>
      <c r="Q779" s="527"/>
      <c r="R779" s="527"/>
      <c r="S779" s="527"/>
      <c r="T779" s="527"/>
      <c r="U779" s="527"/>
      <c r="V779" s="526">
        <f>+R779+S779+T779-U779+Q779</f>
        <v>0</v>
      </c>
      <c r="W779" s="211"/>
      <c r="X779" s="211"/>
      <c r="Y779" s="211"/>
      <c r="Z779" s="211"/>
      <c r="AA779" s="211"/>
    </row>
    <row r="780" spans="1:27" s="204" customFormat="1" x14ac:dyDescent="0.25">
      <c r="B780" s="284" t="s">
        <v>1884</v>
      </c>
      <c r="C780" s="284" t="s">
        <v>1885</v>
      </c>
      <c r="D780" s="274" t="s">
        <v>3858</v>
      </c>
      <c r="E780" s="274"/>
      <c r="F780" s="274"/>
      <c r="G780" s="283"/>
      <c r="H780" s="266"/>
      <c r="I780" s="427"/>
      <c r="J780" s="281"/>
      <c r="K780" s="281"/>
      <c r="L780" s="430" t="s">
        <v>3859</v>
      </c>
      <c r="M780" s="284"/>
      <c r="N780" s="408">
        <f>+R780</f>
        <v>0</v>
      </c>
      <c r="O780" s="408">
        <f>+V780</f>
        <v>0</v>
      </c>
      <c r="P780" s="271">
        <f>+O780-N780</f>
        <v>0</v>
      </c>
      <c r="Q780" s="527"/>
      <c r="R780" s="527"/>
      <c r="S780" s="527"/>
      <c r="T780" s="527"/>
      <c r="U780" s="527"/>
      <c r="V780" s="526">
        <f>+R780+S780+T780-U780+Q780</f>
        <v>0</v>
      </c>
      <c r="W780" s="211"/>
      <c r="X780" s="211"/>
      <c r="Y780" s="211"/>
      <c r="Z780" s="211"/>
      <c r="AA780" s="211"/>
    </row>
    <row r="781" spans="1:27" s="204" customFormat="1" x14ac:dyDescent="0.25">
      <c r="B781" s="284" t="s">
        <v>1887</v>
      </c>
      <c r="C781" s="284" t="s">
        <v>1888</v>
      </c>
      <c r="D781" s="274" t="s">
        <v>3860</v>
      </c>
      <c r="E781" s="274"/>
      <c r="F781" s="274"/>
      <c r="G781" s="283"/>
      <c r="H781" s="266"/>
      <c r="I781" s="427"/>
      <c r="J781" s="281"/>
      <c r="K781" s="281"/>
      <c r="L781" s="430" t="s">
        <v>3861</v>
      </c>
      <c r="M781" s="284"/>
      <c r="N781" s="408">
        <f>+R781</f>
        <v>0</v>
      </c>
      <c r="O781" s="408">
        <f>+V781</f>
        <v>0</v>
      </c>
      <c r="P781" s="271">
        <f>+O781-N781</f>
        <v>0</v>
      </c>
      <c r="Q781" s="527"/>
      <c r="R781" s="527">
        <f>IF(ISERROR(VLOOKUP("SOC"&amp;$C781,ESTR_PREC_SP!$A$2:$G$2000,4,FALSE))=TRUE,0,VLOOKUP("SOC"&amp;$C781,ESTR_PREC_SP!$A$2:$G$2000,4,FALSE))</f>
        <v>0</v>
      </c>
      <c r="S781" s="527"/>
      <c r="T781" s="527"/>
      <c r="U781" s="527"/>
      <c r="V781" s="526">
        <f>+R781+S781+T781-U781+Q781</f>
        <v>0</v>
      </c>
      <c r="W781" s="211"/>
      <c r="X781" s="211"/>
      <c r="Y781" s="211"/>
      <c r="Z781" s="211"/>
      <c r="AA781" s="211"/>
    </row>
    <row r="782" spans="1:27" s="204" customFormat="1" x14ac:dyDescent="0.25">
      <c r="B782" s="284" t="s">
        <v>1890</v>
      </c>
      <c r="C782" s="284" t="s">
        <v>1891</v>
      </c>
      <c r="D782" s="274" t="s">
        <v>3862</v>
      </c>
      <c r="E782" s="274"/>
      <c r="F782" s="274"/>
      <c r="G782" s="283"/>
      <c r="H782" s="266"/>
      <c r="I782" s="427"/>
      <c r="J782" s="281"/>
      <c r="K782" s="281"/>
      <c r="L782" s="422" t="s">
        <v>3863</v>
      </c>
      <c r="M782" s="284" t="s">
        <v>2962</v>
      </c>
      <c r="N782" s="408">
        <f>+R782</f>
        <v>0</v>
      </c>
      <c r="O782" s="408">
        <f>+V782</f>
        <v>0</v>
      </c>
      <c r="P782" s="271">
        <f>+O782-N782</f>
        <v>0</v>
      </c>
      <c r="Q782" s="527"/>
      <c r="R782" s="354">
        <f>IF(ISERROR(VLOOKUP("SOC"&amp;$C782,ESTR_PREC_SP!$A$2:$G$2000,4,FALSE))=TRUE,0,VLOOKUP("SOC"&amp;$C782,ESTR_PREC_SP!$A$2:$G$2000,4,FALSE))</f>
        <v>0</v>
      </c>
      <c r="S782" s="527"/>
      <c r="T782" s="527"/>
      <c r="U782" s="527"/>
      <c r="V782" s="526">
        <f>+R782+S782+T782-U782+Q782</f>
        <v>0</v>
      </c>
      <c r="W782" s="211"/>
      <c r="X782" s="211"/>
      <c r="Y782" s="211"/>
      <c r="Z782" s="211"/>
      <c r="AA782" s="211"/>
    </row>
    <row r="783" spans="1:27" s="204" customFormat="1" x14ac:dyDescent="0.25">
      <c r="B783" s="284" t="s">
        <v>1893</v>
      </c>
      <c r="C783" s="284" t="s">
        <v>1894</v>
      </c>
      <c r="D783" s="274" t="s">
        <v>3864</v>
      </c>
      <c r="E783" s="274"/>
      <c r="F783" s="274"/>
      <c r="G783" s="283"/>
      <c r="H783" s="266"/>
      <c r="I783" s="427"/>
      <c r="J783" s="281"/>
      <c r="K783" s="281"/>
      <c r="L783" s="422" t="s">
        <v>3865</v>
      </c>
      <c r="M783" s="284" t="s">
        <v>2962</v>
      </c>
      <c r="N783" s="352"/>
      <c r="O783" s="352"/>
      <c r="P783" s="352"/>
      <c r="Q783" s="352"/>
      <c r="R783" s="352"/>
      <c r="S783" s="352"/>
      <c r="T783" s="352"/>
      <c r="U783" s="352"/>
      <c r="V783" s="352"/>
      <c r="W783" s="211"/>
      <c r="X783" s="211"/>
      <c r="Y783" s="211"/>
      <c r="Z783" s="211"/>
      <c r="AA783" s="211"/>
    </row>
    <row r="784" spans="1:27" s="204" customFormat="1" x14ac:dyDescent="0.25">
      <c r="B784" s="284" t="s">
        <v>1896</v>
      </c>
      <c r="C784" s="284" t="s">
        <v>1897</v>
      </c>
      <c r="D784" s="274" t="s">
        <v>3866</v>
      </c>
      <c r="E784" s="274"/>
      <c r="F784" s="274"/>
      <c r="G784" s="283"/>
      <c r="H784" s="266"/>
      <c r="I784" s="427"/>
      <c r="J784" s="281"/>
      <c r="K784" s="281"/>
      <c r="L784" s="430" t="s">
        <v>3867</v>
      </c>
      <c r="M784" s="284" t="s">
        <v>2962</v>
      </c>
      <c r="N784" s="408">
        <f>+R784</f>
        <v>0</v>
      </c>
      <c r="O784" s="408">
        <f>+V784</f>
        <v>0</v>
      </c>
      <c r="P784" s="271">
        <f>+O784-N784</f>
        <v>0</v>
      </c>
      <c r="Q784" s="527"/>
      <c r="R784" s="527"/>
      <c r="S784" s="527"/>
      <c r="T784" s="527"/>
      <c r="U784" s="527"/>
      <c r="V784" s="526">
        <f>+R784+S784+T784-U784+Q784</f>
        <v>0</v>
      </c>
      <c r="W784" s="211"/>
      <c r="X784" s="211"/>
      <c r="Y784" s="211"/>
      <c r="Z784" s="211"/>
      <c r="AA784" s="211"/>
    </row>
    <row r="785" spans="2:29" s="204" customFormat="1" x14ac:dyDescent="0.25">
      <c r="B785" s="284" t="s">
        <v>1899</v>
      </c>
      <c r="C785" s="284" t="s">
        <v>1900</v>
      </c>
      <c r="D785" s="274" t="s">
        <v>3868</v>
      </c>
      <c r="E785" s="274"/>
      <c r="F785" s="274"/>
      <c r="G785" s="283"/>
      <c r="H785" s="266"/>
      <c r="I785" s="427"/>
      <c r="J785" s="281"/>
      <c r="K785" s="281"/>
      <c r="L785" s="430" t="s">
        <v>3869</v>
      </c>
      <c r="M785" s="284" t="s">
        <v>2962</v>
      </c>
      <c r="N785" s="408">
        <f>+R785</f>
        <v>0</v>
      </c>
      <c r="O785" s="408">
        <f>+V785</f>
        <v>0</v>
      </c>
      <c r="P785" s="271">
        <f>+O785-N785</f>
        <v>0</v>
      </c>
      <c r="Q785" s="527"/>
      <c r="R785" s="527"/>
      <c r="S785" s="527"/>
      <c r="T785" s="527"/>
      <c r="U785" s="527"/>
      <c r="V785" s="526">
        <f>+R785+S785+T785-U785+Q785</f>
        <v>0</v>
      </c>
      <c r="W785" s="211"/>
      <c r="X785" s="211"/>
      <c r="Y785" s="211"/>
      <c r="Z785" s="211"/>
      <c r="AA785" s="211"/>
    </row>
    <row r="786" spans="2:29" s="204" customFormat="1" x14ac:dyDescent="0.25">
      <c r="B786" s="284" t="s">
        <v>1902</v>
      </c>
      <c r="C786" s="284" t="s">
        <v>1903</v>
      </c>
      <c r="D786" s="274" t="s">
        <v>3870</v>
      </c>
      <c r="E786" s="274"/>
      <c r="F786" s="274"/>
      <c r="G786" s="283"/>
      <c r="H786" s="266"/>
      <c r="I786" s="427"/>
      <c r="J786" s="281"/>
      <c r="K786" s="281"/>
      <c r="L786" s="430" t="s">
        <v>3871</v>
      </c>
      <c r="M786" s="284" t="s">
        <v>2962</v>
      </c>
      <c r="N786" s="408">
        <f>+R786</f>
        <v>0</v>
      </c>
      <c r="O786" s="408">
        <f>+V786</f>
        <v>0</v>
      </c>
      <c r="P786" s="271">
        <f>+O786-N786</f>
        <v>0</v>
      </c>
      <c r="Q786" s="527"/>
      <c r="R786" s="527"/>
      <c r="S786" s="527"/>
      <c r="T786" s="527"/>
      <c r="U786" s="527"/>
      <c r="V786" s="526">
        <f>+R786+S786+T786-U786+Q786</f>
        <v>0</v>
      </c>
      <c r="W786" s="211"/>
      <c r="X786" s="211"/>
      <c r="Y786" s="211"/>
      <c r="Z786" s="211"/>
      <c r="AA786" s="211"/>
    </row>
    <row r="787" spans="2:29" s="204" customFormat="1" x14ac:dyDescent="0.25">
      <c r="B787" s="284" t="s">
        <v>1905</v>
      </c>
      <c r="C787" s="284" t="s">
        <v>1906</v>
      </c>
      <c r="D787" s="274" t="s">
        <v>3872</v>
      </c>
      <c r="E787" s="274"/>
      <c r="F787" s="274"/>
      <c r="G787" s="283"/>
      <c r="H787" s="266"/>
      <c r="I787" s="427"/>
      <c r="J787" s="281"/>
      <c r="K787" s="281"/>
      <c r="L787" s="430" t="s">
        <v>3873</v>
      </c>
      <c r="M787" s="284" t="s">
        <v>2962</v>
      </c>
      <c r="N787" s="408">
        <f>+R787</f>
        <v>0</v>
      </c>
      <c r="O787" s="408">
        <f>+V787</f>
        <v>0</v>
      </c>
      <c r="P787" s="271">
        <f>+O787-N787</f>
        <v>0</v>
      </c>
      <c r="Q787" s="527"/>
      <c r="R787" s="527">
        <f>IF(ISERROR(VLOOKUP("SOC"&amp;$C787,ESTR_PREC_SP!$A$2:$G$2000,4,FALSE))=TRUE,0,VLOOKUP("SOC"&amp;$C787,ESTR_PREC_SP!$A$2:$G$2000,4,FALSE))</f>
        <v>0</v>
      </c>
      <c r="S787" s="527"/>
      <c r="T787" s="527"/>
      <c r="U787" s="527"/>
      <c r="V787" s="526">
        <f>+R787+S787+T787-U787+Q787</f>
        <v>0</v>
      </c>
      <c r="W787" s="211"/>
      <c r="X787" s="211"/>
      <c r="Y787" s="211"/>
      <c r="Z787" s="211"/>
      <c r="AA787" s="211"/>
    </row>
    <row r="788" spans="2:29" s="204" customFormat="1" x14ac:dyDescent="0.25">
      <c r="B788" s="230"/>
      <c r="C788" s="230"/>
      <c r="D788" s="230"/>
      <c r="E788" s="230"/>
      <c r="F788" s="230"/>
      <c r="G788" s="230"/>
      <c r="H788" s="231"/>
      <c r="I788" s="230"/>
      <c r="J788" s="230"/>
      <c r="K788" s="230"/>
      <c r="L788" s="232"/>
      <c r="M788" s="211"/>
      <c r="N788" s="254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</row>
    <row r="789" spans="2:29" s="204" customFormat="1" x14ac:dyDescent="0.25">
      <c r="B789" s="230"/>
      <c r="C789" s="230"/>
      <c r="D789" s="230"/>
      <c r="E789" s="230"/>
      <c r="F789" s="230"/>
      <c r="G789" s="211"/>
      <c r="H789" s="353"/>
      <c r="I789" s="211"/>
      <c r="J789" s="211"/>
      <c r="K789" s="211"/>
      <c r="L789" s="232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</row>
    <row r="790" spans="2:29" s="204" customFormat="1" x14ac:dyDescent="0.25">
      <c r="B790" s="218">
        <v>0</v>
      </c>
      <c r="C790" s="218" t="s">
        <v>1908</v>
      </c>
      <c r="D790" s="219" t="s">
        <v>3874</v>
      </c>
      <c r="E790" s="219"/>
      <c r="F790" s="219"/>
      <c r="G790" s="219"/>
      <c r="H790" s="220"/>
      <c r="I790" s="219"/>
      <c r="J790" s="219"/>
      <c r="K790" s="219"/>
      <c r="L790" s="221" t="s">
        <v>1909</v>
      </c>
      <c r="M790" s="222" t="s">
        <v>2962</v>
      </c>
      <c r="N790" s="223">
        <f>+N792+N821+N889+N906+N1053</f>
        <v>0</v>
      </c>
      <c r="O790" s="223">
        <f>+O792+O821+O889+O906+O1053</f>
        <v>0</v>
      </c>
      <c r="P790" s="223">
        <f>+O790-N790</f>
        <v>0</v>
      </c>
      <c r="Q790" s="211"/>
      <c r="R790" s="211"/>
      <c r="S790" s="224">
        <f>S792+S821+S889+S906+S1053+S1072</f>
        <v>0</v>
      </c>
      <c r="T790" s="225" t="str">
        <f>IF(S790&lt;&gt;0,"SQUADRATURA PASSIVO  PER GIROCONTI SU NUOVI CONTI SP","")</f>
        <v/>
      </c>
      <c r="U790" s="211"/>
      <c r="V790" s="211"/>
      <c r="W790" s="211"/>
      <c r="X790" s="211"/>
      <c r="Y790" s="211"/>
      <c r="Z790" s="211"/>
      <c r="AA790" s="211"/>
    </row>
    <row r="791" spans="2:29" s="204" customFormat="1" x14ac:dyDescent="0.25">
      <c r="B791" s="230"/>
      <c r="C791" s="230"/>
      <c r="D791" s="230"/>
      <c r="E791" s="230"/>
      <c r="F791" s="230"/>
      <c r="G791" s="230"/>
      <c r="H791" s="231"/>
      <c r="I791" s="230"/>
      <c r="J791" s="230"/>
      <c r="K791" s="230"/>
      <c r="L791" s="232"/>
      <c r="M791" s="211"/>
      <c r="N791" s="254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</row>
    <row r="792" spans="2:29" s="204" customFormat="1" x14ac:dyDescent="0.25">
      <c r="B792" s="233" t="s">
        <v>1910</v>
      </c>
      <c r="C792" s="233" t="s">
        <v>1911</v>
      </c>
      <c r="D792" s="234" t="s">
        <v>3875</v>
      </c>
      <c r="E792" s="234"/>
      <c r="F792" s="234"/>
      <c r="G792" s="234"/>
      <c r="H792" s="235"/>
      <c r="I792" s="234"/>
      <c r="J792" s="234"/>
      <c r="K792" s="234"/>
      <c r="L792" s="236" t="s">
        <v>1912</v>
      </c>
      <c r="M792" s="237" t="s">
        <v>2962</v>
      </c>
      <c r="N792" s="238">
        <f>+N795+N796+N805+N806+N812+N816+N817</f>
        <v>0</v>
      </c>
      <c r="O792" s="238">
        <f>+O795+O796+O805+O806+O812+O816+O817</f>
        <v>0</v>
      </c>
      <c r="P792" s="239">
        <f>+O792-N792</f>
        <v>0</v>
      </c>
      <c r="Q792" s="238">
        <f t="shared" ref="Q792:Z792" si="135">+Q795+Q796+Q805+Q806+Q812+Q816+Q817</f>
        <v>0</v>
      </c>
      <c r="R792" s="238">
        <f t="shared" si="135"/>
        <v>0</v>
      </c>
      <c r="S792" s="238">
        <f t="shared" si="135"/>
        <v>0</v>
      </c>
      <c r="T792" s="238">
        <f t="shared" si="135"/>
        <v>0</v>
      </c>
      <c r="U792" s="238">
        <f t="shared" si="135"/>
        <v>0</v>
      </c>
      <c r="V792" s="238">
        <f t="shared" si="135"/>
        <v>0</v>
      </c>
      <c r="W792" s="238">
        <f t="shared" si="135"/>
        <v>0</v>
      </c>
      <c r="X792" s="238">
        <f t="shared" si="135"/>
        <v>0</v>
      </c>
      <c r="Y792" s="238">
        <f t="shared" si="135"/>
        <v>0</v>
      </c>
      <c r="Z792" s="238">
        <f t="shared" si="135"/>
        <v>0</v>
      </c>
      <c r="AA792" s="211"/>
    </row>
    <row r="793" spans="2:29" s="204" customFormat="1" x14ac:dyDescent="0.25">
      <c r="B793" s="230"/>
      <c r="C793" s="230"/>
      <c r="D793" s="230"/>
      <c r="E793" s="230"/>
      <c r="F793" s="230"/>
      <c r="G793" s="230"/>
      <c r="H793" s="231"/>
      <c r="I793" s="230"/>
      <c r="J793" s="230"/>
      <c r="K793" s="230"/>
      <c r="L793" s="232"/>
      <c r="M793" s="211"/>
      <c r="N793" s="254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909" t="s">
        <v>3876</v>
      </c>
      <c r="AB793" s="909"/>
      <c r="AC793" s="909"/>
    </row>
    <row r="794" spans="2:29" s="204" customFormat="1" ht="89.25" x14ac:dyDescent="0.25">
      <c r="B794" s="260" t="s">
        <v>2968</v>
      </c>
      <c r="C794" s="260" t="s">
        <v>2969</v>
      </c>
      <c r="D794" s="206" t="s">
        <v>72</v>
      </c>
      <c r="E794" s="206"/>
      <c r="F794" s="206"/>
      <c r="G794" s="207"/>
      <c r="H794" s="207"/>
      <c r="I794" s="207"/>
      <c r="J794" s="207" t="s">
        <v>2957</v>
      </c>
      <c r="K794" s="206" t="s">
        <v>82</v>
      </c>
      <c r="L794" s="431" t="s">
        <v>3670</v>
      </c>
      <c r="M794" s="432"/>
      <c r="N794" s="256" t="str">
        <f>N$15</f>
        <v>Valore netto al 31/12/2019</v>
      </c>
      <c r="O794" s="256" t="str">
        <f>O$15</f>
        <v>Valore netto al 31/12/2020</v>
      </c>
      <c r="P794" s="256" t="str">
        <f>P$15</f>
        <v>Variazione</v>
      </c>
      <c r="Q794" s="262" t="s">
        <v>2971</v>
      </c>
      <c r="R794" s="256" t="s">
        <v>3877</v>
      </c>
      <c r="S794" s="262" t="s">
        <v>2972</v>
      </c>
      <c r="T794" s="256" t="s">
        <v>3878</v>
      </c>
      <c r="U794" s="262" t="s">
        <v>3879</v>
      </c>
      <c r="V794" s="262" t="s">
        <v>3880</v>
      </c>
      <c r="W794" s="262" t="s">
        <v>4391</v>
      </c>
      <c r="X794" s="262" t="s">
        <v>3881</v>
      </c>
      <c r="Y794" s="262" t="s">
        <v>3882</v>
      </c>
      <c r="Z794" s="256" t="s">
        <v>3883</v>
      </c>
      <c r="AA794" s="433" t="s">
        <v>3884</v>
      </c>
      <c r="AB794" s="433" t="s">
        <v>3885</v>
      </c>
      <c r="AC794" s="433" t="s">
        <v>3886</v>
      </c>
    </row>
    <row r="795" spans="2:29" s="204" customFormat="1" x14ac:dyDescent="0.25">
      <c r="B795" s="287" t="s">
        <v>1913</v>
      </c>
      <c r="C795" s="287" t="s">
        <v>1914</v>
      </c>
      <c r="D795" s="274" t="s">
        <v>3887</v>
      </c>
      <c r="E795" s="274"/>
      <c r="F795" s="274"/>
      <c r="G795" s="283"/>
      <c r="H795" s="266"/>
      <c r="I795" s="274"/>
      <c r="J795" s="281"/>
      <c r="K795" s="434"/>
      <c r="L795" s="295" t="s">
        <v>1918</v>
      </c>
      <c r="M795" s="284" t="s">
        <v>2962</v>
      </c>
      <c r="N795" s="435">
        <f>+R795</f>
        <v>0</v>
      </c>
      <c r="O795" s="435">
        <f>+Z795</f>
        <v>0</v>
      </c>
      <c r="P795" s="271">
        <f t="shared" ref="P795:P817" si="136">+O795-N795</f>
        <v>0</v>
      </c>
      <c r="Q795" s="527"/>
      <c r="R795" s="354">
        <f>IF(ISERROR(VLOOKUP("SOC"&amp;$C795,ESTR_PREC_SP!$A$2:$G$2000,4,FALSE))=TRUE,0,VLOOKUP("SOC"&amp;$C795,ESTR_PREC_SP!$A$2:$G$2000,4,FALSE))</f>
        <v>0</v>
      </c>
      <c r="S795" s="538"/>
      <c r="T795" s="527"/>
      <c r="U795" s="527"/>
      <c r="V795" s="355"/>
      <c r="W795" s="527"/>
      <c r="X795" s="527"/>
      <c r="Y795" s="529">
        <f t="shared" ref="Y795:Y817" si="137">+S795+T795+U795-V795+X795+W795</f>
        <v>0</v>
      </c>
      <c r="Z795" s="529">
        <f>+R795+Y795+Q795</f>
        <v>0</v>
      </c>
      <c r="AA795" s="527"/>
      <c r="AB795" s="527"/>
      <c r="AC795" s="527"/>
    </row>
    <row r="796" spans="2:29" s="204" customFormat="1" x14ac:dyDescent="0.25">
      <c r="B796" s="287" t="s">
        <v>1919</v>
      </c>
      <c r="C796" s="287" t="s">
        <v>1920</v>
      </c>
      <c r="D796" s="274" t="s">
        <v>3888</v>
      </c>
      <c r="E796" s="274"/>
      <c r="F796" s="274"/>
      <c r="G796" s="283"/>
      <c r="H796" s="266"/>
      <c r="I796" s="274"/>
      <c r="J796" s="281"/>
      <c r="K796" s="281"/>
      <c r="L796" s="295" t="s">
        <v>1921</v>
      </c>
      <c r="M796" s="284" t="s">
        <v>2962</v>
      </c>
      <c r="N796" s="436">
        <f>+N797+N798+N802+N803+N804</f>
        <v>0</v>
      </c>
      <c r="O796" s="436">
        <f>+O797+O798+O802+O803+O804</f>
        <v>0</v>
      </c>
      <c r="P796" s="378">
        <f t="shared" si="136"/>
        <v>0</v>
      </c>
      <c r="Q796" s="436">
        <f>+Q797+Q798+Q802+Q803+Q804</f>
        <v>0</v>
      </c>
      <c r="R796" s="436">
        <f>+R797+R798+R802+R803+R804</f>
        <v>0</v>
      </c>
      <c r="S796" s="538">
        <f>+S797+S798+S802+S803+S804</f>
        <v>0</v>
      </c>
      <c r="T796" s="436">
        <f>+T797+T798+T802+T803+T804</f>
        <v>0</v>
      </c>
      <c r="U796" s="436"/>
      <c r="V796" s="436">
        <f>+V797+V798+V802+V803+V804</f>
        <v>0</v>
      </c>
      <c r="W796" s="436">
        <f>+W797+W798+W802+W803+W804</f>
        <v>0</v>
      </c>
      <c r="X796" s="436">
        <f>+X797+X798+X802+X803+X804</f>
        <v>0</v>
      </c>
      <c r="Y796" s="529">
        <f t="shared" si="137"/>
        <v>0</v>
      </c>
      <c r="Z796" s="540">
        <f>+R796+Y796</f>
        <v>0</v>
      </c>
      <c r="AA796" s="436">
        <f>+AA797+AA798+AA802+AA803+AA804</f>
        <v>0</v>
      </c>
      <c r="AB796" s="436">
        <f>+AB797+AB798+AB802+AB803+AB804</f>
        <v>0</v>
      </c>
      <c r="AC796" s="436">
        <f>+AC797+AC798+AC802+AC803+AC804</f>
        <v>0</v>
      </c>
    </row>
    <row r="797" spans="2:29" s="204" customFormat="1" x14ac:dyDescent="0.25">
      <c r="B797" s="287" t="s">
        <v>1922</v>
      </c>
      <c r="C797" s="287" t="s">
        <v>1923</v>
      </c>
      <c r="D797" s="274" t="s">
        <v>3889</v>
      </c>
      <c r="E797" s="274"/>
      <c r="F797" s="274"/>
      <c r="G797" s="283"/>
      <c r="H797" s="266"/>
      <c r="I797" s="427"/>
      <c r="J797" s="281"/>
      <c r="K797" s="281"/>
      <c r="L797" s="379" t="s">
        <v>1927</v>
      </c>
      <c r="M797" s="284" t="s">
        <v>2962</v>
      </c>
      <c r="N797" s="435">
        <f>+R797</f>
        <v>0</v>
      </c>
      <c r="O797" s="435">
        <f>+Z797</f>
        <v>0</v>
      </c>
      <c r="P797" s="271">
        <f t="shared" si="136"/>
        <v>0</v>
      </c>
      <c r="Q797" s="527"/>
      <c r="R797" s="354">
        <f>IF(ISERROR(VLOOKUP("SOC"&amp;$C797,ESTR_PREC_SP!$A$2:$G$2000,4,FALSE))=TRUE,0,VLOOKUP("SOC"&amp;$C797,ESTR_PREC_SP!$A$2:$G$2000,4,FALSE))</f>
        <v>0</v>
      </c>
      <c r="S797" s="538"/>
      <c r="T797" s="527"/>
      <c r="U797" s="527"/>
      <c r="V797" s="527"/>
      <c r="W797" s="527"/>
      <c r="X797" s="527"/>
      <c r="Y797" s="529">
        <f t="shared" si="137"/>
        <v>0</v>
      </c>
      <c r="Z797" s="529">
        <f>+R797+Y797+Q797</f>
        <v>0</v>
      </c>
      <c r="AA797" s="527"/>
      <c r="AB797" s="527"/>
      <c r="AC797" s="527"/>
    </row>
    <row r="798" spans="2:29" s="204" customFormat="1" x14ac:dyDescent="0.25">
      <c r="B798" s="287" t="s">
        <v>1928</v>
      </c>
      <c r="C798" s="287" t="s">
        <v>1929</v>
      </c>
      <c r="D798" s="274" t="s">
        <v>3890</v>
      </c>
      <c r="E798" s="274"/>
      <c r="F798" s="274"/>
      <c r="G798" s="437"/>
      <c r="H798" s="266"/>
      <c r="I798" s="437"/>
      <c r="J798" s="281"/>
      <c r="K798" s="281"/>
      <c r="L798" s="379" t="s">
        <v>1931</v>
      </c>
      <c r="M798" s="284" t="s">
        <v>2962</v>
      </c>
      <c r="N798" s="436">
        <f>SUM(N799:N801)</f>
        <v>0</v>
      </c>
      <c r="O798" s="436">
        <f>SUM(O799:O801)</f>
        <v>0</v>
      </c>
      <c r="P798" s="378">
        <f t="shared" si="136"/>
        <v>0</v>
      </c>
      <c r="Q798" s="436">
        <f>SUM(Q799:Q801)</f>
        <v>0</v>
      </c>
      <c r="R798" s="436">
        <f>SUM(R799:R801)</f>
        <v>0</v>
      </c>
      <c r="S798" s="538">
        <f>SUM(S799:S801)</f>
        <v>0</v>
      </c>
      <c r="T798" s="436">
        <f>SUM(T799:T801)</f>
        <v>0</v>
      </c>
      <c r="U798" s="436"/>
      <c r="V798" s="436">
        <f>SUM(V799:V801)</f>
        <v>0</v>
      </c>
      <c r="W798" s="436">
        <f>SUM(W799:W801)</f>
        <v>0</v>
      </c>
      <c r="X798" s="436">
        <f>SUM(X799:X801)</f>
        <v>0</v>
      </c>
      <c r="Y798" s="529">
        <f t="shared" si="137"/>
        <v>0</v>
      </c>
      <c r="Z798" s="540">
        <f>+R798+Y798</f>
        <v>0</v>
      </c>
      <c r="AA798" s="436">
        <f>SUM(AA799:AA801)</f>
        <v>0</v>
      </c>
      <c r="AB798" s="436">
        <f>SUM(AB799:AB801)</f>
        <v>0</v>
      </c>
      <c r="AC798" s="436">
        <f>SUM(AC799:AC801)</f>
        <v>0</v>
      </c>
    </row>
    <row r="799" spans="2:29" s="204" customFormat="1" x14ac:dyDescent="0.25">
      <c r="B799" s="287" t="s">
        <v>1932</v>
      </c>
      <c r="C799" s="287" t="s">
        <v>1933</v>
      </c>
      <c r="D799" s="274" t="s">
        <v>3891</v>
      </c>
      <c r="E799" s="274"/>
      <c r="F799" s="274"/>
      <c r="G799" s="437"/>
      <c r="H799" s="266"/>
      <c r="I799" s="437"/>
      <c r="J799" s="281"/>
      <c r="K799" s="281"/>
      <c r="L799" s="97" t="s">
        <v>1936</v>
      </c>
      <c r="M799" s="284" t="s">
        <v>2962</v>
      </c>
      <c r="N799" s="435">
        <f t="shared" ref="N799:N805" si="138">+R799</f>
        <v>0</v>
      </c>
      <c r="O799" s="435">
        <f t="shared" ref="O799:O805" si="139">+Z799</f>
        <v>0</v>
      </c>
      <c r="P799" s="271">
        <f t="shared" si="136"/>
        <v>0</v>
      </c>
      <c r="Q799" s="527"/>
      <c r="R799" s="354">
        <f>IF(ISERROR(VLOOKUP("SOC"&amp;$C799,ESTR_PREC_SP!$A$2:$G$2000,4,FALSE))=TRUE,0,VLOOKUP("SOC"&amp;$C799,ESTR_PREC_SP!$A$2:$G$2000,4,FALSE))</f>
        <v>0</v>
      </c>
      <c r="S799" s="538"/>
      <c r="T799" s="527"/>
      <c r="U799" s="527"/>
      <c r="V799" s="527"/>
      <c r="W799" s="527"/>
      <c r="X799" s="527"/>
      <c r="Y799" s="529">
        <f t="shared" si="137"/>
        <v>0</v>
      </c>
      <c r="Z799" s="529">
        <f t="shared" ref="Z799:Z805" si="140">+R799+Y799+Q799</f>
        <v>0</v>
      </c>
      <c r="AA799" s="527"/>
      <c r="AB799" s="527"/>
      <c r="AC799" s="527"/>
    </row>
    <row r="800" spans="2:29" s="204" customFormat="1" x14ac:dyDescent="0.25">
      <c r="B800" s="287" t="s">
        <v>1937</v>
      </c>
      <c r="C800" s="287" t="s">
        <v>1938</v>
      </c>
      <c r="D800" s="274" t="s">
        <v>3892</v>
      </c>
      <c r="E800" s="274"/>
      <c r="F800" s="274"/>
      <c r="G800" s="437"/>
      <c r="H800" s="266"/>
      <c r="I800" s="437"/>
      <c r="J800" s="281"/>
      <c r="K800" s="281"/>
      <c r="L800" s="97" t="s">
        <v>1941</v>
      </c>
      <c r="M800" s="284" t="s">
        <v>2962</v>
      </c>
      <c r="N800" s="435">
        <f t="shared" si="138"/>
        <v>0</v>
      </c>
      <c r="O800" s="435">
        <f t="shared" si="139"/>
        <v>0</v>
      </c>
      <c r="P800" s="271">
        <f t="shared" si="136"/>
        <v>0</v>
      </c>
      <c r="Q800" s="527"/>
      <c r="R800" s="354">
        <f>IF(ISERROR(VLOOKUP("SOC"&amp;$C800,ESTR_PREC_SP!$A$2:$G$2000,4,FALSE))=TRUE,0,VLOOKUP("SOC"&amp;$C800,ESTR_PREC_SP!$A$2:$G$2000,4,FALSE))</f>
        <v>0</v>
      </c>
      <c r="S800" s="538"/>
      <c r="T800" s="527"/>
      <c r="U800" s="527"/>
      <c r="V800" s="527"/>
      <c r="W800" s="527"/>
      <c r="X800" s="527"/>
      <c r="Y800" s="529">
        <f t="shared" si="137"/>
        <v>0</v>
      </c>
      <c r="Z800" s="529">
        <f t="shared" si="140"/>
        <v>0</v>
      </c>
      <c r="AA800" s="527"/>
      <c r="AB800" s="527"/>
      <c r="AC800" s="527"/>
    </row>
    <row r="801" spans="2:29" s="204" customFormat="1" x14ac:dyDescent="0.25">
      <c r="B801" s="287" t="s">
        <v>1942</v>
      </c>
      <c r="C801" s="287" t="s">
        <v>1943</v>
      </c>
      <c r="D801" s="274" t="s">
        <v>3893</v>
      </c>
      <c r="E801" s="274"/>
      <c r="F801" s="274"/>
      <c r="G801" s="437"/>
      <c r="H801" s="266"/>
      <c r="I801" s="437"/>
      <c r="J801" s="281"/>
      <c r="K801" s="281"/>
      <c r="L801" s="97" t="s">
        <v>1946</v>
      </c>
      <c r="M801" s="284" t="s">
        <v>2962</v>
      </c>
      <c r="N801" s="435">
        <f t="shared" si="138"/>
        <v>0</v>
      </c>
      <c r="O801" s="435">
        <f t="shared" si="139"/>
        <v>0</v>
      </c>
      <c r="P801" s="271">
        <f t="shared" si="136"/>
        <v>0</v>
      </c>
      <c r="Q801" s="527"/>
      <c r="R801" s="354">
        <f>IF(ISERROR(VLOOKUP("SOC"&amp;$C801,ESTR_PREC_SP!$A$2:$G$2000,4,FALSE))=TRUE,0,VLOOKUP("SOC"&amp;$C801,ESTR_PREC_SP!$A$2:$G$2000,4,FALSE))</f>
        <v>0</v>
      </c>
      <c r="S801" s="538"/>
      <c r="T801" s="527"/>
      <c r="U801" s="527"/>
      <c r="V801" s="527"/>
      <c r="W801" s="527"/>
      <c r="X801" s="527"/>
      <c r="Y801" s="529">
        <f t="shared" si="137"/>
        <v>0</v>
      </c>
      <c r="Z801" s="529">
        <f t="shared" si="140"/>
        <v>0</v>
      </c>
      <c r="AA801" s="527"/>
      <c r="AB801" s="527"/>
      <c r="AC801" s="527"/>
    </row>
    <row r="802" spans="2:29" s="204" customFormat="1" x14ac:dyDescent="0.25">
      <c r="B802" s="287" t="s">
        <v>1947</v>
      </c>
      <c r="C802" s="287" t="s">
        <v>1948</v>
      </c>
      <c r="D802" s="274" t="s">
        <v>3894</v>
      </c>
      <c r="E802" s="274"/>
      <c r="F802" s="274"/>
      <c r="G802" s="437"/>
      <c r="H802" s="266"/>
      <c r="I802" s="437"/>
      <c r="J802" s="281"/>
      <c r="K802" s="281"/>
      <c r="L802" s="379" t="s">
        <v>1952</v>
      </c>
      <c r="M802" s="284" t="s">
        <v>2962</v>
      </c>
      <c r="N802" s="435">
        <f t="shared" si="138"/>
        <v>0</v>
      </c>
      <c r="O802" s="435">
        <f t="shared" si="139"/>
        <v>0</v>
      </c>
      <c r="P802" s="271">
        <f t="shared" si="136"/>
        <v>0</v>
      </c>
      <c r="Q802" s="527"/>
      <c r="R802" s="354">
        <f>IF(ISERROR(VLOOKUP("SOC"&amp;$C802,ESTR_PREC_SP!$A$2:$G$2000,4,FALSE))=TRUE,0,VLOOKUP("SOC"&amp;$C802,ESTR_PREC_SP!$A$2:$G$2000,4,FALSE))</f>
        <v>0</v>
      </c>
      <c r="S802" s="538"/>
      <c r="T802" s="527"/>
      <c r="U802" s="527"/>
      <c r="V802" s="527"/>
      <c r="W802" s="527"/>
      <c r="X802" s="527"/>
      <c r="Y802" s="529">
        <f t="shared" si="137"/>
        <v>0</v>
      </c>
      <c r="Z802" s="529">
        <f t="shared" si="140"/>
        <v>0</v>
      </c>
      <c r="AA802" s="527"/>
      <c r="AB802" s="527"/>
      <c r="AC802" s="527"/>
    </row>
    <row r="803" spans="2:29" s="204" customFormat="1" x14ac:dyDescent="0.25">
      <c r="B803" s="287" t="s">
        <v>1953</v>
      </c>
      <c r="C803" s="287" t="s">
        <v>1954</v>
      </c>
      <c r="D803" s="274" t="s">
        <v>3895</v>
      </c>
      <c r="E803" s="274"/>
      <c r="F803" s="274"/>
      <c r="G803" s="437"/>
      <c r="H803" s="266"/>
      <c r="I803" s="437"/>
      <c r="J803" s="281"/>
      <c r="K803" s="281"/>
      <c r="L803" s="379" t="s">
        <v>1958</v>
      </c>
      <c r="M803" s="284" t="s">
        <v>2962</v>
      </c>
      <c r="N803" s="435">
        <f t="shared" si="138"/>
        <v>0</v>
      </c>
      <c r="O803" s="435">
        <f t="shared" si="139"/>
        <v>0</v>
      </c>
      <c r="P803" s="271">
        <f t="shared" si="136"/>
        <v>0</v>
      </c>
      <c r="Q803" s="527"/>
      <c r="R803" s="354">
        <f>IF(ISERROR(VLOOKUP("SOC"&amp;$C803,ESTR_PREC_SP!$A$2:$G$2000,4,FALSE))=TRUE,0,VLOOKUP("SOC"&amp;$C803,ESTR_PREC_SP!$A$2:$G$2000,4,FALSE))</f>
        <v>0</v>
      </c>
      <c r="S803" s="538"/>
      <c r="T803" s="527"/>
      <c r="U803" s="527"/>
      <c r="V803" s="527"/>
      <c r="W803" s="527"/>
      <c r="X803" s="527"/>
      <c r="Y803" s="529">
        <f t="shared" si="137"/>
        <v>0</v>
      </c>
      <c r="Z803" s="529">
        <f t="shared" si="140"/>
        <v>0</v>
      </c>
      <c r="AA803" s="527"/>
      <c r="AB803" s="527"/>
      <c r="AC803" s="527"/>
    </row>
    <row r="804" spans="2:29" s="204" customFormat="1" x14ac:dyDescent="0.25">
      <c r="B804" s="287" t="s">
        <v>1959</v>
      </c>
      <c r="C804" s="287" t="s">
        <v>1960</v>
      </c>
      <c r="D804" s="274" t="s">
        <v>3896</v>
      </c>
      <c r="E804" s="274"/>
      <c r="F804" s="274"/>
      <c r="G804" s="437"/>
      <c r="H804" s="266"/>
      <c r="I804" s="437"/>
      <c r="J804" s="281"/>
      <c r="K804" s="281"/>
      <c r="L804" s="379" t="s">
        <v>1964</v>
      </c>
      <c r="M804" s="284" t="s">
        <v>2962</v>
      </c>
      <c r="N804" s="435">
        <f t="shared" si="138"/>
        <v>0</v>
      </c>
      <c r="O804" s="435">
        <f t="shared" si="139"/>
        <v>0</v>
      </c>
      <c r="P804" s="271">
        <f t="shared" si="136"/>
        <v>0</v>
      </c>
      <c r="Q804" s="527"/>
      <c r="R804" s="354">
        <f>IF(ISERROR(VLOOKUP("SOC"&amp;$C804,ESTR_PREC_SP!$A$2:$G$2000,4,FALSE))=TRUE,0,VLOOKUP("SOC"&amp;$C804,ESTR_PREC_SP!$A$2:$G$2000,4,FALSE))</f>
        <v>0</v>
      </c>
      <c r="S804" s="538"/>
      <c r="T804" s="527"/>
      <c r="U804" s="527"/>
      <c r="V804" s="527"/>
      <c r="W804" s="527"/>
      <c r="X804" s="527"/>
      <c r="Y804" s="529">
        <f t="shared" si="137"/>
        <v>0</v>
      </c>
      <c r="Z804" s="529">
        <f t="shared" si="140"/>
        <v>0</v>
      </c>
      <c r="AA804" s="527"/>
      <c r="AB804" s="527"/>
      <c r="AC804" s="527"/>
    </row>
    <row r="805" spans="2:29" s="204" customFormat="1" x14ac:dyDescent="0.25">
      <c r="B805" s="287" t="s">
        <v>1965</v>
      </c>
      <c r="C805" s="287" t="s">
        <v>1966</v>
      </c>
      <c r="D805" s="274" t="s">
        <v>3897</v>
      </c>
      <c r="E805" s="274"/>
      <c r="F805" s="274"/>
      <c r="G805" s="283"/>
      <c r="H805" s="266"/>
      <c r="I805" s="274"/>
      <c r="J805" s="281"/>
      <c r="K805" s="281"/>
      <c r="L805" s="295" t="s">
        <v>1970</v>
      </c>
      <c r="M805" s="284" t="s">
        <v>2962</v>
      </c>
      <c r="N805" s="435">
        <f t="shared" si="138"/>
        <v>0</v>
      </c>
      <c r="O805" s="435">
        <f t="shared" si="139"/>
        <v>0</v>
      </c>
      <c r="P805" s="271">
        <f t="shared" si="136"/>
        <v>0</v>
      </c>
      <c r="Q805" s="527"/>
      <c r="R805" s="354">
        <f>IF(ISERROR(VLOOKUP("SOC"&amp;$C805,ESTR_PREC_SP!$A$2:$G$2000,4,FALSE))=TRUE,0,VLOOKUP("SOC"&amp;$C805,ESTR_PREC_SP!$A$2:$G$2000,4,FALSE))</f>
        <v>0</v>
      </c>
      <c r="S805" s="538"/>
      <c r="T805" s="527"/>
      <c r="U805" s="527"/>
      <c r="V805" s="527"/>
      <c r="W805" s="527"/>
      <c r="X805" s="527"/>
      <c r="Y805" s="529">
        <f t="shared" si="137"/>
        <v>0</v>
      </c>
      <c r="Z805" s="529">
        <f t="shared" si="140"/>
        <v>0</v>
      </c>
      <c r="AA805" s="527"/>
      <c r="AB805" s="527"/>
      <c r="AC805" s="527"/>
    </row>
    <row r="806" spans="2:29" s="204" customFormat="1" x14ac:dyDescent="0.25">
      <c r="B806" s="287" t="s">
        <v>1971</v>
      </c>
      <c r="C806" s="287" t="s">
        <v>1972</v>
      </c>
      <c r="D806" s="274" t="s">
        <v>3898</v>
      </c>
      <c r="E806" s="274"/>
      <c r="F806" s="274"/>
      <c r="G806" s="437"/>
      <c r="H806" s="266"/>
      <c r="I806" s="437"/>
      <c r="J806" s="281"/>
      <c r="K806" s="281"/>
      <c r="L806" s="295" t="s">
        <v>1975</v>
      </c>
      <c r="M806" s="284" t="s">
        <v>2962</v>
      </c>
      <c r="N806" s="436">
        <f>SUM(N807:N811)</f>
        <v>0</v>
      </c>
      <c r="O806" s="436">
        <f>SUM(O807:O811)</f>
        <v>0</v>
      </c>
      <c r="P806" s="378">
        <f t="shared" si="136"/>
        <v>0</v>
      </c>
      <c r="Q806" s="436">
        <f>SUM(Q807:Q811)</f>
        <v>0</v>
      </c>
      <c r="R806" s="436">
        <f>SUM(R807:R811)</f>
        <v>0</v>
      </c>
      <c r="S806" s="538">
        <f>SUM(S807:S811)</f>
        <v>0</v>
      </c>
      <c r="T806" s="436">
        <f>SUM(T807:T811)</f>
        <v>0</v>
      </c>
      <c r="U806" s="436"/>
      <c r="V806" s="436">
        <f>SUM(V807:V811)</f>
        <v>0</v>
      </c>
      <c r="W806" s="436">
        <f>SUM(W807:W811)</f>
        <v>0</v>
      </c>
      <c r="X806" s="436">
        <f>SUM(X807:X811)</f>
        <v>0</v>
      </c>
      <c r="Y806" s="529">
        <f t="shared" si="137"/>
        <v>0</v>
      </c>
      <c r="Z806" s="540">
        <f>+R806+Y806</f>
        <v>0</v>
      </c>
      <c r="AA806" s="436">
        <f>SUM(AA807:AA811)</f>
        <v>0</v>
      </c>
      <c r="AB806" s="436">
        <f>SUM(AB807:AB811)</f>
        <v>0</v>
      </c>
      <c r="AC806" s="436">
        <f>SUM(AC807:AC811)</f>
        <v>0</v>
      </c>
    </row>
    <row r="807" spans="2:29" s="204" customFormat="1" x14ac:dyDescent="0.25">
      <c r="B807" s="287" t="s">
        <v>1976</v>
      </c>
      <c r="C807" s="287" t="s">
        <v>1977</v>
      </c>
      <c r="D807" s="274" t="s">
        <v>3899</v>
      </c>
      <c r="E807" s="274"/>
      <c r="F807" s="274"/>
      <c r="G807" s="437"/>
      <c r="H807" s="266"/>
      <c r="I807" s="437"/>
      <c r="J807" s="281"/>
      <c r="K807" s="281"/>
      <c r="L807" s="379" t="s">
        <v>1979</v>
      </c>
      <c r="M807" s="284" t="s">
        <v>2962</v>
      </c>
      <c r="N807" s="435">
        <f>+R807</f>
        <v>0</v>
      </c>
      <c r="O807" s="435">
        <f>+Z807</f>
        <v>0</v>
      </c>
      <c r="P807" s="271">
        <f t="shared" si="136"/>
        <v>0</v>
      </c>
      <c r="Q807" s="527"/>
      <c r="R807" s="354">
        <f>IF(ISERROR(VLOOKUP("SOC"&amp;$C807,ESTR_PREC_SP!$A$2:$G$2000,4,FALSE))=TRUE,0,VLOOKUP("SOC"&amp;$C807,ESTR_PREC_SP!$A$2:$G$2000,4,FALSE))</f>
        <v>0</v>
      </c>
      <c r="S807" s="538"/>
      <c r="T807" s="527"/>
      <c r="U807" s="527"/>
      <c r="V807" s="527"/>
      <c r="W807" s="527"/>
      <c r="X807" s="527"/>
      <c r="Y807" s="529">
        <f t="shared" si="137"/>
        <v>0</v>
      </c>
      <c r="Z807" s="529">
        <f>+R807+Y807+Q807</f>
        <v>0</v>
      </c>
      <c r="AA807" s="527"/>
      <c r="AB807" s="527"/>
      <c r="AC807" s="527"/>
    </row>
    <row r="808" spans="2:29" s="204" customFormat="1" x14ac:dyDescent="0.25">
      <c r="B808" s="287" t="s">
        <v>1980</v>
      </c>
      <c r="C808" s="287" t="s">
        <v>1981</v>
      </c>
      <c r="D808" s="274" t="s">
        <v>3900</v>
      </c>
      <c r="E808" s="274"/>
      <c r="F808" s="274"/>
      <c r="G808" s="283"/>
      <c r="H808" s="266"/>
      <c r="I808" s="427"/>
      <c r="J808" s="281"/>
      <c r="K808" s="281"/>
      <c r="L808" s="379" t="s">
        <v>1983</v>
      </c>
      <c r="M808" s="284" t="s">
        <v>2962</v>
      </c>
      <c r="N808" s="435">
        <f>+R808</f>
        <v>0</v>
      </c>
      <c r="O808" s="435">
        <f>+Z808</f>
        <v>0</v>
      </c>
      <c r="P808" s="271">
        <f t="shared" si="136"/>
        <v>0</v>
      </c>
      <c r="Q808" s="527"/>
      <c r="R808" s="354">
        <f>IF(ISERROR(VLOOKUP("SOC"&amp;$C808,ESTR_PREC_SP!$A$2:$G$2000,4,FALSE))=TRUE,0,VLOOKUP("SOC"&amp;$C808,ESTR_PREC_SP!$A$2:$G$2000,4,FALSE))</f>
        <v>0</v>
      </c>
      <c r="S808" s="538"/>
      <c r="T808" s="527"/>
      <c r="U808" s="527"/>
      <c r="V808" s="527"/>
      <c r="W808" s="527"/>
      <c r="X808" s="527"/>
      <c r="Y808" s="529">
        <f t="shared" si="137"/>
        <v>0</v>
      </c>
      <c r="Z808" s="529">
        <f>+R808+Y808+Q808</f>
        <v>0</v>
      </c>
      <c r="AA808" s="527"/>
      <c r="AB808" s="527"/>
      <c r="AC808" s="527"/>
    </row>
    <row r="809" spans="2:29" s="204" customFormat="1" x14ac:dyDescent="0.25">
      <c r="B809" s="287" t="s">
        <v>1984</v>
      </c>
      <c r="C809" s="287" t="s">
        <v>1985</v>
      </c>
      <c r="D809" s="274" t="s">
        <v>3901</v>
      </c>
      <c r="E809" s="274"/>
      <c r="F809" s="274"/>
      <c r="G809" s="437"/>
      <c r="H809" s="266"/>
      <c r="I809" s="437"/>
      <c r="J809" s="281"/>
      <c r="K809" s="281"/>
      <c r="L809" s="379" t="s">
        <v>1987</v>
      </c>
      <c r="M809" s="284" t="s">
        <v>2962</v>
      </c>
      <c r="N809" s="435">
        <f>+R809</f>
        <v>0</v>
      </c>
      <c r="O809" s="435">
        <f>+Z809</f>
        <v>0</v>
      </c>
      <c r="P809" s="271">
        <f t="shared" si="136"/>
        <v>0</v>
      </c>
      <c r="Q809" s="527"/>
      <c r="R809" s="354">
        <f>IF(ISERROR(VLOOKUP("SOC"&amp;$C809,ESTR_PREC_SP!$A$2:$G$2000,4,FALSE))=TRUE,0,VLOOKUP("SOC"&amp;$C809,ESTR_PREC_SP!$A$2:$G$2000,4,FALSE))</f>
        <v>0</v>
      </c>
      <c r="S809" s="538"/>
      <c r="T809" s="527"/>
      <c r="U809" s="527"/>
      <c r="V809" s="355"/>
      <c r="W809" s="527"/>
      <c r="X809" s="527"/>
      <c r="Y809" s="529">
        <f t="shared" si="137"/>
        <v>0</v>
      </c>
      <c r="Z809" s="529">
        <f>+R809+Y809+Q809</f>
        <v>0</v>
      </c>
      <c r="AA809" s="527"/>
      <c r="AB809" s="527"/>
      <c r="AC809" s="527"/>
    </row>
    <row r="810" spans="2:29" s="204" customFormat="1" x14ac:dyDescent="0.25">
      <c r="B810" s="287" t="s">
        <v>1988</v>
      </c>
      <c r="C810" s="287" t="s">
        <v>1989</v>
      </c>
      <c r="D810" s="274" t="s">
        <v>3902</v>
      </c>
      <c r="E810" s="274"/>
      <c r="F810" s="274"/>
      <c r="G810" s="283"/>
      <c r="H810" s="266"/>
      <c r="I810" s="427"/>
      <c r="J810" s="281"/>
      <c r="K810" s="281"/>
      <c r="L810" s="379" t="s">
        <v>1991</v>
      </c>
      <c r="M810" s="284" t="s">
        <v>2962</v>
      </c>
      <c r="N810" s="435">
        <f>+R810</f>
        <v>0</v>
      </c>
      <c r="O810" s="435">
        <f>+Z810</f>
        <v>0</v>
      </c>
      <c r="P810" s="271">
        <f t="shared" si="136"/>
        <v>0</v>
      </c>
      <c r="Q810" s="527"/>
      <c r="R810" s="354">
        <f>IF(ISERROR(VLOOKUP("SOC"&amp;$C810,ESTR_PREC_SP!$A$2:$G$2000,4,FALSE))=TRUE,0,VLOOKUP("SOC"&amp;$C810,ESTR_PREC_SP!$A$2:$G$2000,4,FALSE))</f>
        <v>0</v>
      </c>
      <c r="S810" s="538"/>
      <c r="T810" s="527"/>
      <c r="U810" s="527"/>
      <c r="V810" s="527"/>
      <c r="W810" s="527"/>
      <c r="X810" s="527"/>
      <c r="Y810" s="529">
        <f t="shared" si="137"/>
        <v>0</v>
      </c>
      <c r="Z810" s="529">
        <f>+R810+Y810+Q810</f>
        <v>0</v>
      </c>
      <c r="AA810" s="527"/>
      <c r="AB810" s="527"/>
      <c r="AC810" s="527"/>
    </row>
    <row r="811" spans="2:29" s="204" customFormat="1" x14ac:dyDescent="0.25">
      <c r="B811" s="287" t="s">
        <v>1992</v>
      </c>
      <c r="C811" s="287" t="s">
        <v>1993</v>
      </c>
      <c r="D811" s="274" t="s">
        <v>3903</v>
      </c>
      <c r="E811" s="274"/>
      <c r="F811" s="274"/>
      <c r="G811" s="283"/>
      <c r="H811" s="266"/>
      <c r="I811" s="427"/>
      <c r="J811" s="281"/>
      <c r="K811" s="281"/>
      <c r="L811" s="379" t="s">
        <v>1995</v>
      </c>
      <c r="M811" s="284" t="s">
        <v>2962</v>
      </c>
      <c r="N811" s="435">
        <f>+R811</f>
        <v>0</v>
      </c>
      <c r="O811" s="435">
        <f>+Z811</f>
        <v>0</v>
      </c>
      <c r="P811" s="271">
        <f t="shared" si="136"/>
        <v>0</v>
      </c>
      <c r="Q811" s="527"/>
      <c r="R811" s="354">
        <f>IF(ISERROR(VLOOKUP("SOC"&amp;$C811,ESTR_PREC_SP!$A$2:$G$2000,4,FALSE))=TRUE,0,VLOOKUP("SOC"&amp;$C811,ESTR_PREC_SP!$A$2:$G$2000,4,FALSE))</f>
        <v>0</v>
      </c>
      <c r="S811" s="538"/>
      <c r="T811" s="527"/>
      <c r="U811" s="527"/>
      <c r="V811" s="527"/>
      <c r="W811" s="527"/>
      <c r="X811" s="527"/>
      <c r="Y811" s="529">
        <f t="shared" si="137"/>
        <v>0</v>
      </c>
      <c r="Z811" s="529">
        <f>+R811+Y811+Q811</f>
        <v>0</v>
      </c>
      <c r="AA811" s="527"/>
      <c r="AB811" s="527"/>
      <c r="AC811" s="527"/>
    </row>
    <row r="812" spans="2:29" s="204" customFormat="1" x14ac:dyDescent="0.25">
      <c r="B812" s="287" t="s">
        <v>1996</v>
      </c>
      <c r="C812" s="287" t="s">
        <v>1997</v>
      </c>
      <c r="D812" s="274" t="s">
        <v>3904</v>
      </c>
      <c r="E812" s="274"/>
      <c r="F812" s="274"/>
      <c r="G812" s="283"/>
      <c r="H812" s="266"/>
      <c r="I812" s="274"/>
      <c r="J812" s="281"/>
      <c r="K812" s="281"/>
      <c r="L812" s="295" t="s">
        <v>2000</v>
      </c>
      <c r="M812" s="284" t="s">
        <v>2962</v>
      </c>
      <c r="N812" s="436">
        <f>SUM(N813:N815)</f>
        <v>0</v>
      </c>
      <c r="O812" s="436">
        <f>SUM(O813:O815)</f>
        <v>0</v>
      </c>
      <c r="P812" s="378">
        <f t="shared" si="136"/>
        <v>0</v>
      </c>
      <c r="Q812" s="436">
        <f>SUM(Q813:Q815)</f>
        <v>0</v>
      </c>
      <c r="R812" s="436">
        <f>SUM(R813:R815)</f>
        <v>0</v>
      </c>
      <c r="S812" s="538">
        <f>SUM(S813:S815)</f>
        <v>0</v>
      </c>
      <c r="T812" s="436">
        <f>SUM(T813:T815)</f>
        <v>0</v>
      </c>
      <c r="U812" s="436"/>
      <c r="V812" s="436">
        <f>SUM(V813:V815)</f>
        <v>0</v>
      </c>
      <c r="W812" s="436">
        <f>SUM(W813:W815)</f>
        <v>0</v>
      </c>
      <c r="X812" s="436">
        <f>SUM(X813:X815)</f>
        <v>0</v>
      </c>
      <c r="Y812" s="529">
        <f t="shared" si="137"/>
        <v>0</v>
      </c>
      <c r="Z812" s="540">
        <f>+R812+Y812</f>
        <v>0</v>
      </c>
      <c r="AA812" s="436">
        <f>SUM(AA813:AA815)</f>
        <v>0</v>
      </c>
      <c r="AB812" s="436">
        <f>SUM(AB813:AB815)</f>
        <v>0</v>
      </c>
      <c r="AC812" s="436">
        <f>SUM(AC813:AC815)</f>
        <v>0</v>
      </c>
    </row>
    <row r="813" spans="2:29" s="204" customFormat="1" x14ac:dyDescent="0.25">
      <c r="B813" s="287" t="s">
        <v>2001</v>
      </c>
      <c r="C813" s="287" t="s">
        <v>2002</v>
      </c>
      <c r="D813" s="274" t="s">
        <v>3905</v>
      </c>
      <c r="E813" s="274"/>
      <c r="F813" s="274"/>
      <c r="G813" s="390"/>
      <c r="H813" s="391"/>
      <c r="I813" s="389"/>
      <c r="J813" s="281"/>
      <c r="K813" s="281"/>
      <c r="L813" s="379" t="s">
        <v>2004</v>
      </c>
      <c r="M813" s="284" t="s">
        <v>2962</v>
      </c>
      <c r="N813" s="435">
        <f>+R813</f>
        <v>0</v>
      </c>
      <c r="O813" s="435">
        <f>+Z813</f>
        <v>0</v>
      </c>
      <c r="P813" s="271">
        <f t="shared" si="136"/>
        <v>0</v>
      </c>
      <c r="Q813" s="527"/>
      <c r="R813" s="354">
        <f>IF(ISERROR(VLOOKUP("SOC"&amp;$C813,ESTR_PREC_SP!$A$2:$G$2000,4,FALSE))=TRUE,0,VLOOKUP("SOC"&amp;$C813,ESTR_PREC_SP!$A$2:$G$2000,4,FALSE))</f>
        <v>0</v>
      </c>
      <c r="S813" s="538"/>
      <c r="T813" s="527"/>
      <c r="U813" s="527"/>
      <c r="V813" s="355"/>
      <c r="W813" s="527"/>
      <c r="X813" s="527"/>
      <c r="Y813" s="529">
        <f t="shared" si="137"/>
        <v>0</v>
      </c>
      <c r="Z813" s="529">
        <f>+R813+Y813+Q813</f>
        <v>0</v>
      </c>
      <c r="AA813" s="527"/>
      <c r="AB813" s="527"/>
      <c r="AC813" s="527"/>
    </row>
    <row r="814" spans="2:29" s="204" customFormat="1" x14ac:dyDescent="0.25">
      <c r="B814" s="287" t="s">
        <v>2005</v>
      </c>
      <c r="C814" s="287" t="s">
        <v>2006</v>
      </c>
      <c r="D814" s="274" t="s">
        <v>3906</v>
      </c>
      <c r="E814" s="274"/>
      <c r="F814" s="274"/>
      <c r="G814" s="437"/>
      <c r="H814" s="266"/>
      <c r="I814" s="437"/>
      <c r="J814" s="281"/>
      <c r="K814" s="281"/>
      <c r="L814" s="379" t="s">
        <v>2008</v>
      </c>
      <c r="M814" s="284" t="s">
        <v>2962</v>
      </c>
      <c r="N814" s="435">
        <f>+R814</f>
        <v>0</v>
      </c>
      <c r="O814" s="435">
        <f>+Z814</f>
        <v>0</v>
      </c>
      <c r="P814" s="271">
        <f t="shared" si="136"/>
        <v>0</v>
      </c>
      <c r="Q814" s="527"/>
      <c r="R814" s="354">
        <f>IF(ISERROR(VLOOKUP("SOC"&amp;$C814,ESTR_PREC_SP!$A$2:$G$2000,4,FALSE))=TRUE,0,VLOOKUP("SOC"&amp;$C814,ESTR_PREC_SP!$A$2:$G$2000,4,FALSE))</f>
        <v>0</v>
      </c>
      <c r="S814" s="538"/>
      <c r="T814" s="527"/>
      <c r="U814" s="527"/>
      <c r="V814" s="355"/>
      <c r="W814" s="527"/>
      <c r="X814" s="527"/>
      <c r="Y814" s="529">
        <f t="shared" si="137"/>
        <v>0</v>
      </c>
      <c r="Z814" s="529">
        <f>+R814+Y814+Q814</f>
        <v>0</v>
      </c>
      <c r="AA814" s="527"/>
      <c r="AB814" s="527"/>
      <c r="AC814" s="527"/>
    </row>
    <row r="815" spans="2:29" s="204" customFormat="1" x14ac:dyDescent="0.25">
      <c r="B815" s="287" t="s">
        <v>2009</v>
      </c>
      <c r="C815" s="287" t="s">
        <v>2010</v>
      </c>
      <c r="D815" s="274" t="s">
        <v>3907</v>
      </c>
      <c r="E815" s="274"/>
      <c r="F815" s="274"/>
      <c r="G815" s="437"/>
      <c r="H815" s="266"/>
      <c r="I815" s="437"/>
      <c r="J815" s="281"/>
      <c r="K815" s="281"/>
      <c r="L815" s="379" t="s">
        <v>2012</v>
      </c>
      <c r="M815" s="284" t="s">
        <v>2962</v>
      </c>
      <c r="N815" s="435">
        <f>+R815</f>
        <v>0</v>
      </c>
      <c r="O815" s="435">
        <f>+Z815</f>
        <v>0</v>
      </c>
      <c r="P815" s="271">
        <f t="shared" si="136"/>
        <v>0</v>
      </c>
      <c r="Q815" s="527"/>
      <c r="R815" s="354">
        <f>IF(ISERROR(VLOOKUP("SOC"&amp;$C815,ESTR_PREC_SP!$A$2:$G$2000,4,FALSE))=TRUE,0,VLOOKUP("SOC"&amp;$C815,ESTR_PREC_SP!$A$2:$G$2000,4,FALSE))</f>
        <v>0</v>
      </c>
      <c r="S815" s="538"/>
      <c r="T815" s="527"/>
      <c r="U815" s="527"/>
      <c r="V815" s="355"/>
      <c r="W815" s="527"/>
      <c r="X815" s="527"/>
      <c r="Y815" s="529">
        <f t="shared" si="137"/>
        <v>0</v>
      </c>
      <c r="Z815" s="529">
        <f>+R815+Y815+Q815</f>
        <v>0</v>
      </c>
      <c r="AA815" s="527"/>
      <c r="AB815" s="527"/>
      <c r="AC815" s="527"/>
    </row>
    <row r="816" spans="2:29" s="204" customFormat="1" x14ac:dyDescent="0.25">
      <c r="B816" s="287" t="s">
        <v>2013</v>
      </c>
      <c r="C816" s="287" t="s">
        <v>2014</v>
      </c>
      <c r="D816" s="274" t="s">
        <v>3908</v>
      </c>
      <c r="E816" s="274"/>
      <c r="F816" s="274"/>
      <c r="G816" s="283"/>
      <c r="H816" s="266"/>
      <c r="I816" s="427"/>
      <c r="J816" s="281"/>
      <c r="K816" s="281"/>
      <c r="L816" s="295" t="s">
        <v>2018</v>
      </c>
      <c r="M816" s="284" t="s">
        <v>2962</v>
      </c>
      <c r="N816" s="435">
        <f>+R816</f>
        <v>0</v>
      </c>
      <c r="O816" s="435">
        <f>+Z816</f>
        <v>0</v>
      </c>
      <c r="P816" s="271">
        <f t="shared" si="136"/>
        <v>0</v>
      </c>
      <c r="Q816" s="527"/>
      <c r="R816" s="354">
        <f>IF(ISERROR(VLOOKUP("SOC"&amp;$C816,ESTR_PREC_SP!$A$2:$G$2000,4,FALSE))=TRUE,0,VLOOKUP("SOC"&amp;$C816,ESTR_PREC_SP!$A$2:$G$2000,4,FALSE))</f>
        <v>0</v>
      </c>
      <c r="S816" s="538"/>
      <c r="T816" s="527"/>
      <c r="U816" s="527"/>
      <c r="V816" s="355"/>
      <c r="W816" s="527"/>
      <c r="X816" s="527"/>
      <c r="Y816" s="529">
        <f t="shared" si="137"/>
        <v>0</v>
      </c>
      <c r="Z816" s="529">
        <f>+R816+Y816+Q816</f>
        <v>0</v>
      </c>
      <c r="AA816" s="527"/>
      <c r="AB816" s="527"/>
      <c r="AC816" s="527"/>
    </row>
    <row r="817" spans="2:29" s="204" customFormat="1" x14ac:dyDescent="0.25">
      <c r="B817" s="287" t="s">
        <v>2019</v>
      </c>
      <c r="C817" s="287" t="s">
        <v>2020</v>
      </c>
      <c r="D817" s="274" t="s">
        <v>3909</v>
      </c>
      <c r="E817" s="274"/>
      <c r="F817" s="274"/>
      <c r="G817" s="283"/>
      <c r="H817" s="266"/>
      <c r="I817" s="274"/>
      <c r="J817" s="281"/>
      <c r="K817" s="281"/>
      <c r="L817" s="295" t="s">
        <v>2024</v>
      </c>
      <c r="M817" s="284" t="s">
        <v>2962</v>
      </c>
      <c r="N817" s="438">
        <f>+R817</f>
        <v>0</v>
      </c>
      <c r="O817" s="438">
        <f>+Z817+Q817</f>
        <v>0</v>
      </c>
      <c r="P817" s="271">
        <f t="shared" si="136"/>
        <v>0</v>
      </c>
      <c r="Q817" s="527"/>
      <c r="R817" s="354">
        <f>IF(ISERROR(VLOOKUP("SOC"&amp;$C817,ESTR_PREC_SP!$A$2:$G$2000,4,FALSE))=TRUE,0,VLOOKUP("SOC"&amp;$C817,ESTR_PREC_SP!$A$2:$G$2000,4,FALSE))</f>
        <v>0</v>
      </c>
      <c r="S817" s="538"/>
      <c r="T817" s="355"/>
      <c r="U817" s="355"/>
      <c r="V817" s="355"/>
      <c r="W817" s="355"/>
      <c r="X817" s="355"/>
      <c r="Y817" s="355">
        <f t="shared" si="137"/>
        <v>0</v>
      </c>
      <c r="Z817" s="527"/>
      <c r="AA817" s="355"/>
      <c r="AB817" s="355"/>
      <c r="AC817" s="355"/>
    </row>
    <row r="818" spans="2:29" s="204" customFormat="1" ht="39.75" customHeight="1" x14ac:dyDescent="0.25">
      <c r="B818" s="384"/>
      <c r="C818" s="384"/>
      <c r="D818" s="382"/>
      <c r="E818" s="382"/>
      <c r="F818" s="382"/>
      <c r="G818" s="382"/>
      <c r="H818" s="382"/>
      <c r="I818" s="382"/>
      <c r="J818" s="382"/>
      <c r="K818" s="382"/>
      <c r="L818" s="344" t="s">
        <v>3910</v>
      </c>
      <c r="M818" s="439"/>
      <c r="N818" s="383"/>
      <c r="O818" s="383"/>
      <c r="P818" s="383"/>
      <c r="Q818" s="383"/>
      <c r="R818" s="275"/>
      <c r="S818" s="275"/>
      <c r="T818" s="383"/>
      <c r="U818" s="383"/>
      <c r="V818" s="211"/>
      <c r="W818" s="211"/>
      <c r="X818" s="211"/>
      <c r="Y818" s="440"/>
      <c r="Z818" s="440"/>
      <c r="AA818" s="440"/>
    </row>
    <row r="819" spans="2:29" s="204" customFormat="1" x14ac:dyDescent="0.25">
      <c r="B819" s="384"/>
      <c r="C819" s="384"/>
      <c r="D819" s="382"/>
      <c r="E819" s="382"/>
      <c r="F819" s="382"/>
      <c r="G819" s="382"/>
      <c r="H819" s="382"/>
      <c r="I819" s="382"/>
      <c r="J819" s="382"/>
      <c r="K819" s="382"/>
      <c r="L819" s="275"/>
      <c r="M819" s="439"/>
      <c r="N819" s="383"/>
      <c r="O819" s="383"/>
      <c r="P819" s="383"/>
      <c r="Q819" s="383"/>
      <c r="R819" s="275"/>
      <c r="S819" s="275"/>
      <c r="T819" s="383"/>
      <c r="U819" s="383"/>
      <c r="V819" s="211"/>
      <c r="W819" s="211"/>
      <c r="X819" s="211"/>
      <c r="Y819" s="440"/>
      <c r="Z819" s="440"/>
      <c r="AA819" s="440"/>
    </row>
    <row r="820" spans="2:29" s="204" customFormat="1" x14ac:dyDescent="0.25">
      <c r="B820" s="230"/>
      <c r="C820" s="230"/>
      <c r="D820" s="230"/>
      <c r="E820" s="230"/>
      <c r="F820" s="230"/>
      <c r="G820" s="230"/>
      <c r="H820" s="231"/>
      <c r="I820" s="230"/>
      <c r="J820" s="230"/>
      <c r="K820" s="230"/>
      <c r="L820" s="232"/>
      <c r="M820" s="211"/>
      <c r="N820" s="254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</row>
    <row r="821" spans="2:29" s="204" customFormat="1" x14ac:dyDescent="0.25">
      <c r="B821" s="233" t="s">
        <v>2025</v>
      </c>
      <c r="C821" s="233" t="s">
        <v>2026</v>
      </c>
      <c r="D821" s="234" t="s">
        <v>3911</v>
      </c>
      <c r="E821" s="234"/>
      <c r="F821" s="234"/>
      <c r="G821" s="234"/>
      <c r="H821" s="235"/>
      <c r="I821" s="234"/>
      <c r="J821" s="234"/>
      <c r="K821" s="234"/>
      <c r="L821" s="236" t="s">
        <v>2027</v>
      </c>
      <c r="M821" s="237" t="s">
        <v>2962</v>
      </c>
      <c r="N821" s="238">
        <f>+N823+N829+N840+N852+N871</f>
        <v>0</v>
      </c>
      <c r="O821" s="238">
        <f>+O823+O829+O840+O852+O871</f>
        <v>0</v>
      </c>
      <c r="P821" s="239">
        <f>+O821-N821</f>
        <v>0</v>
      </c>
      <c r="Q821" s="238">
        <f t="shared" ref="Q821:X821" si="141">+Q823+Q829+Q840+Q852+Q871</f>
        <v>0</v>
      </c>
      <c r="R821" s="238">
        <f t="shared" si="141"/>
        <v>0</v>
      </c>
      <c r="S821" s="238">
        <f t="shared" si="141"/>
        <v>0</v>
      </c>
      <c r="T821" s="238">
        <f t="shared" si="141"/>
        <v>0</v>
      </c>
      <c r="U821" s="238">
        <f t="shared" si="141"/>
        <v>0</v>
      </c>
      <c r="V821" s="238">
        <f t="shared" si="141"/>
        <v>0</v>
      </c>
      <c r="W821" s="238">
        <f t="shared" si="141"/>
        <v>0</v>
      </c>
      <c r="X821" s="238">
        <f t="shared" si="141"/>
        <v>0</v>
      </c>
      <c r="Y821" s="211"/>
      <c r="Z821" s="211"/>
      <c r="AA821" s="211"/>
    </row>
    <row r="822" spans="2:29" s="204" customFormat="1" x14ac:dyDescent="0.25">
      <c r="B822" s="230"/>
      <c r="C822" s="230"/>
      <c r="D822" s="230"/>
      <c r="E822" s="230"/>
      <c r="F822" s="230"/>
      <c r="G822" s="230"/>
      <c r="H822" s="231"/>
      <c r="I822" s="230"/>
      <c r="J822" s="211"/>
      <c r="K822" s="211"/>
      <c r="L822" s="232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</row>
    <row r="823" spans="2:29" s="204" customFormat="1" x14ac:dyDescent="0.25">
      <c r="B823" s="246" t="s">
        <v>2028</v>
      </c>
      <c r="C823" s="246" t="s">
        <v>2029</v>
      </c>
      <c r="D823" s="247" t="s">
        <v>3912</v>
      </c>
      <c r="E823" s="247"/>
      <c r="F823" s="247"/>
      <c r="G823" s="247"/>
      <c r="H823" s="248"/>
      <c r="I823" s="247"/>
      <c r="J823" s="247"/>
      <c r="K823" s="249"/>
      <c r="L823" s="441" t="s">
        <v>2033</v>
      </c>
      <c r="M823" s="251" t="s">
        <v>2962</v>
      </c>
      <c r="N823" s="252">
        <f>SUM(N826:N827)</f>
        <v>0</v>
      </c>
      <c r="O823" s="252">
        <f>SUM(O826:O827)</f>
        <v>0</v>
      </c>
      <c r="P823" s="253">
        <f>+O823-N823</f>
        <v>0</v>
      </c>
      <c r="Q823" s="252">
        <f t="shared" ref="Q823:X823" si="142">SUM(Q826:Q827)</f>
        <v>0</v>
      </c>
      <c r="R823" s="252">
        <f t="shared" si="142"/>
        <v>0</v>
      </c>
      <c r="S823" s="252">
        <f t="shared" si="142"/>
        <v>0</v>
      </c>
      <c r="T823" s="252">
        <f t="shared" si="142"/>
        <v>0</v>
      </c>
      <c r="U823" s="252">
        <f t="shared" si="142"/>
        <v>0</v>
      </c>
      <c r="V823" s="252">
        <f t="shared" si="142"/>
        <v>0</v>
      </c>
      <c r="W823" s="252">
        <f t="shared" si="142"/>
        <v>0</v>
      </c>
      <c r="X823" s="252">
        <f t="shared" si="142"/>
        <v>0</v>
      </c>
      <c r="Y823" s="211"/>
      <c r="Z823" s="211"/>
      <c r="AA823" s="211"/>
    </row>
    <row r="824" spans="2:29" s="204" customFormat="1" x14ac:dyDescent="0.25">
      <c r="B824" s="211"/>
      <c r="C824" s="211"/>
      <c r="D824" s="211"/>
      <c r="E824" s="211"/>
      <c r="F824" s="211"/>
      <c r="G824" s="211"/>
      <c r="H824" s="353"/>
      <c r="I824" s="211"/>
      <c r="J824" s="211"/>
      <c r="K824" s="211"/>
      <c r="L824" s="243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</row>
    <row r="825" spans="2:29" s="204" customFormat="1" ht="39" customHeight="1" x14ac:dyDescent="0.25">
      <c r="B825" s="260" t="s">
        <v>2968</v>
      </c>
      <c r="C825" s="260" t="s">
        <v>2969</v>
      </c>
      <c r="D825" s="206" t="s">
        <v>72</v>
      </c>
      <c r="E825" s="206"/>
      <c r="F825" s="206"/>
      <c r="G825" s="207"/>
      <c r="H825" s="207"/>
      <c r="I825" s="207"/>
      <c r="J825" s="207" t="s">
        <v>2957</v>
      </c>
      <c r="K825" s="206" t="s">
        <v>82</v>
      </c>
      <c r="L825" s="261" t="s">
        <v>3670</v>
      </c>
      <c r="M825" s="256"/>
      <c r="N825" s="256" t="str">
        <f>N$15</f>
        <v>Valore netto al 31/12/2019</v>
      </c>
      <c r="O825" s="256" t="str">
        <f>O$15</f>
        <v>Valore netto al 31/12/2020</v>
      </c>
      <c r="P825" s="256" t="str">
        <f>P$15</f>
        <v>Variazione</v>
      </c>
      <c r="Q825" s="262" t="s">
        <v>2971</v>
      </c>
      <c r="R825" s="442" t="s">
        <v>3877</v>
      </c>
      <c r="S825" s="262" t="s">
        <v>2972</v>
      </c>
      <c r="T825" s="442" t="s">
        <v>3913</v>
      </c>
      <c r="U825" s="442" t="s">
        <v>3914</v>
      </c>
      <c r="V825" s="442" t="s">
        <v>3915</v>
      </c>
      <c r="W825" s="262" t="s">
        <v>4391</v>
      </c>
      <c r="X825" s="442" t="s">
        <v>3883</v>
      </c>
      <c r="Y825" s="211"/>
      <c r="Z825" s="211"/>
      <c r="AA825" s="211"/>
    </row>
    <row r="826" spans="2:29" s="204" customFormat="1" x14ac:dyDescent="0.25">
      <c r="B826" s="284" t="s">
        <v>2034</v>
      </c>
      <c r="C826" s="284" t="s">
        <v>2035</v>
      </c>
      <c r="D826" s="274" t="s">
        <v>3916</v>
      </c>
      <c r="E826" s="274"/>
      <c r="F826" s="274"/>
      <c r="G826" s="283"/>
      <c r="H826" s="266"/>
      <c r="I826" s="274"/>
      <c r="J826" s="281"/>
      <c r="K826" s="281"/>
      <c r="L826" s="295" t="s">
        <v>3917</v>
      </c>
      <c r="M826" s="284" t="s">
        <v>2962</v>
      </c>
      <c r="N826" s="443">
        <f>+R826</f>
        <v>0</v>
      </c>
      <c r="O826" s="443">
        <f>+X826</f>
        <v>0</v>
      </c>
      <c r="P826" s="271">
        <f>+O826-N826</f>
        <v>0</v>
      </c>
      <c r="Q826" s="541"/>
      <c r="R826" s="354">
        <f>IF(ISERROR(VLOOKUP("SOC"&amp;$C826,ESTR_PREC_SP!$A$2:$G$2000,4,FALSE))=TRUE,0,VLOOKUP("SOC"&amp;$C826,ESTR_PREC_SP!$A$2:$G$2000,4,FALSE))</f>
        <v>0</v>
      </c>
      <c r="S826" s="538"/>
      <c r="T826" s="541"/>
      <c r="U826" s="541"/>
      <c r="V826" s="378">
        <f>+Utilizzi_Fondi_Soc!$F$4</f>
        <v>0</v>
      </c>
      <c r="W826" s="541"/>
      <c r="X826" s="408">
        <f>+R826+S826+T826+U826-V826+W826+Q826</f>
        <v>0</v>
      </c>
      <c r="Y826" s="211"/>
      <c r="Z826" s="211"/>
      <c r="AA826" s="211"/>
    </row>
    <row r="827" spans="2:29" s="204" customFormat="1" x14ac:dyDescent="0.25">
      <c r="B827" s="284" t="s">
        <v>2037</v>
      </c>
      <c r="C827" s="284" t="s">
        <v>2038</v>
      </c>
      <c r="D827" s="274" t="s">
        <v>3918</v>
      </c>
      <c r="E827" s="274"/>
      <c r="F827" s="274"/>
      <c r="G827" s="283"/>
      <c r="H827" s="266"/>
      <c r="I827" s="274"/>
      <c r="J827" s="281"/>
      <c r="K827" s="281"/>
      <c r="L827" s="295" t="s">
        <v>3919</v>
      </c>
      <c r="M827" s="284" t="s">
        <v>2962</v>
      </c>
      <c r="N827" s="443">
        <f>+R827</f>
        <v>0</v>
      </c>
      <c r="O827" s="443">
        <f>+X827</f>
        <v>0</v>
      </c>
      <c r="P827" s="271">
        <f>+O827-N827</f>
        <v>0</v>
      </c>
      <c r="Q827" s="541"/>
      <c r="R827" s="354">
        <f>IF(ISERROR(VLOOKUP("SOC"&amp;$C827,ESTR_PREC_SP!$A$2:$G$2000,4,FALSE))=TRUE,0,VLOOKUP("SOC"&amp;$C827,ESTR_PREC_SP!$A$2:$G$2000,4,FALSE))</f>
        <v>0</v>
      </c>
      <c r="S827" s="538"/>
      <c r="T827" s="541"/>
      <c r="U827" s="541"/>
      <c r="V827" s="378">
        <f>+Utilizzi_Fondi_Soc!$G$4</f>
        <v>0</v>
      </c>
      <c r="W827" s="541"/>
      <c r="X827" s="408">
        <f>+R827+S827+T827+U827-V827+W827+Q827</f>
        <v>0</v>
      </c>
      <c r="Y827" s="211"/>
      <c r="Z827" s="211"/>
      <c r="AA827" s="211"/>
    </row>
    <row r="828" spans="2:29" s="204" customFormat="1" x14ac:dyDescent="0.25"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32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</row>
    <row r="829" spans="2:29" s="204" customFormat="1" x14ac:dyDescent="0.25">
      <c r="B829" s="246" t="s">
        <v>2040</v>
      </c>
      <c r="C829" s="246" t="s">
        <v>2041</v>
      </c>
      <c r="D829" s="247" t="s">
        <v>3920</v>
      </c>
      <c r="E829" s="247"/>
      <c r="F829" s="247"/>
      <c r="G829" s="247"/>
      <c r="H829" s="248"/>
      <c r="I829" s="247"/>
      <c r="J829" s="247"/>
      <c r="K829" s="249"/>
      <c r="L829" s="441" t="s">
        <v>2043</v>
      </c>
      <c r="M829" s="251" t="s">
        <v>2962</v>
      </c>
      <c r="N829" s="252">
        <f>SUM(N832:N838)</f>
        <v>0</v>
      </c>
      <c r="O829" s="252">
        <f>SUM(O832:O838)</f>
        <v>0</v>
      </c>
      <c r="P829" s="253">
        <f>+O829-N829</f>
        <v>0</v>
      </c>
      <c r="Q829" s="252">
        <f t="shared" ref="Q829:X829" si="143">SUM(Q832:Q838)</f>
        <v>0</v>
      </c>
      <c r="R829" s="252">
        <f t="shared" si="143"/>
        <v>0</v>
      </c>
      <c r="S829" s="252">
        <f t="shared" si="143"/>
        <v>0</v>
      </c>
      <c r="T829" s="252">
        <f t="shared" si="143"/>
        <v>0</v>
      </c>
      <c r="U829" s="252">
        <f t="shared" si="143"/>
        <v>0</v>
      </c>
      <c r="V829" s="252">
        <f t="shared" si="143"/>
        <v>0</v>
      </c>
      <c r="W829" s="252">
        <f t="shared" si="143"/>
        <v>0</v>
      </c>
      <c r="X829" s="252">
        <f t="shared" si="143"/>
        <v>0</v>
      </c>
      <c r="Y829" s="211"/>
      <c r="Z829" s="211"/>
      <c r="AA829" s="211"/>
    </row>
    <row r="830" spans="2:29" s="204" customFormat="1" x14ac:dyDescent="0.25"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32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</row>
    <row r="831" spans="2:29" s="204" customFormat="1" ht="39" customHeight="1" x14ac:dyDescent="0.25">
      <c r="B831" s="260" t="s">
        <v>2968</v>
      </c>
      <c r="C831" s="260" t="s">
        <v>2969</v>
      </c>
      <c r="D831" s="206" t="s">
        <v>72</v>
      </c>
      <c r="E831" s="206"/>
      <c r="F831" s="206"/>
      <c r="G831" s="207"/>
      <c r="H831" s="207"/>
      <c r="I831" s="207"/>
      <c r="J831" s="207" t="s">
        <v>2957</v>
      </c>
      <c r="K831" s="206" t="s">
        <v>82</v>
      </c>
      <c r="L831" s="256" t="s">
        <v>3670</v>
      </c>
      <c r="M831" s="256"/>
      <c r="N831" s="256" t="str">
        <f>N$15</f>
        <v>Valore netto al 31/12/2019</v>
      </c>
      <c r="O831" s="256" t="str">
        <f>O$15</f>
        <v>Valore netto al 31/12/2020</v>
      </c>
      <c r="P831" s="256" t="str">
        <f>P$15</f>
        <v>Variazione</v>
      </c>
      <c r="Q831" s="262" t="s">
        <v>2971</v>
      </c>
      <c r="R831" s="442" t="s">
        <v>3877</v>
      </c>
      <c r="S831" s="262" t="s">
        <v>2972</v>
      </c>
      <c r="T831" s="442" t="s">
        <v>3913</v>
      </c>
      <c r="U831" s="442" t="s">
        <v>3914</v>
      </c>
      <c r="V831" s="442" t="s">
        <v>3915</v>
      </c>
      <c r="W831" s="262" t="s">
        <v>4391</v>
      </c>
      <c r="X831" s="442" t="s">
        <v>3883</v>
      </c>
      <c r="Y831" s="211"/>
      <c r="Z831" s="211"/>
      <c r="AA831" s="211"/>
    </row>
    <row r="832" spans="2:29" s="204" customFormat="1" x14ac:dyDescent="0.25">
      <c r="B832" s="284" t="s">
        <v>2044</v>
      </c>
      <c r="C832" s="284" t="s">
        <v>2045</v>
      </c>
      <c r="D832" s="274" t="s">
        <v>3921</v>
      </c>
      <c r="E832" s="274"/>
      <c r="F832" s="274"/>
      <c r="G832" s="283"/>
      <c r="H832" s="266"/>
      <c r="I832" s="274"/>
      <c r="J832" s="281"/>
      <c r="K832" s="281"/>
      <c r="L832" s="282" t="s">
        <v>2048</v>
      </c>
      <c r="M832" s="284" t="s">
        <v>2962</v>
      </c>
      <c r="N832" s="443">
        <f t="shared" ref="N832:N838" si="144">+R832</f>
        <v>0</v>
      </c>
      <c r="O832" s="443">
        <f t="shared" ref="O832:O838" si="145">+X832</f>
        <v>0</v>
      </c>
      <c r="P832" s="271">
        <f t="shared" ref="P832:P838" si="146">+O832-N832</f>
        <v>0</v>
      </c>
      <c r="Q832" s="541"/>
      <c r="R832" s="354">
        <f>IF(ISERROR(VLOOKUP("SOC"&amp;$C832,ESTR_PREC_SP!$A$2:$G$2000,4,FALSE))=TRUE,0,VLOOKUP("SOC"&amp;$C832,ESTR_PREC_SP!$A$2:$G$2000,4,FALSE))</f>
        <v>0</v>
      </c>
      <c r="S832" s="541"/>
      <c r="T832" s="541"/>
      <c r="U832" s="541"/>
      <c r="V832" s="378">
        <f>+Utilizzi_Fondi_Soc!$H$4</f>
        <v>0</v>
      </c>
      <c r="W832" s="541"/>
      <c r="X832" s="408">
        <f t="shared" ref="X832:X838" si="147">+R832+S832+T832+U832-V832+W832+Q832</f>
        <v>0</v>
      </c>
      <c r="Y832" s="211"/>
      <c r="Z832" s="211"/>
      <c r="AA832" s="211"/>
    </row>
    <row r="833" spans="1:27" s="204" customFormat="1" x14ac:dyDescent="0.25">
      <c r="B833" s="284" t="s">
        <v>2049</v>
      </c>
      <c r="C833" s="284" t="s">
        <v>2050</v>
      </c>
      <c r="D833" s="274" t="s">
        <v>3922</v>
      </c>
      <c r="E833" s="274"/>
      <c r="F833" s="274"/>
      <c r="G833" s="283"/>
      <c r="H833" s="266"/>
      <c r="I833" s="274"/>
      <c r="J833" s="281"/>
      <c r="K833" s="281"/>
      <c r="L833" s="295" t="s">
        <v>2053</v>
      </c>
      <c r="M833" s="284" t="s">
        <v>2962</v>
      </c>
      <c r="N833" s="443">
        <f t="shared" si="144"/>
        <v>0</v>
      </c>
      <c r="O833" s="443">
        <f t="shared" si="145"/>
        <v>0</v>
      </c>
      <c r="P833" s="271">
        <f t="shared" si="146"/>
        <v>0</v>
      </c>
      <c r="Q833" s="541"/>
      <c r="R833" s="354">
        <f>IF(ISERROR(VLOOKUP("SOC"&amp;$C833,ESTR_PREC_SP!$A$2:$G$2000,4,FALSE))=TRUE,0,VLOOKUP("SOC"&amp;$C833,ESTR_PREC_SP!$A$2:$G$2000,4,FALSE))</f>
        <v>0</v>
      </c>
      <c r="S833" s="541"/>
      <c r="T833" s="541"/>
      <c r="U833" s="541"/>
      <c r="V833" s="378">
        <f>+Utilizzi_Fondi_Soc!$I$4</f>
        <v>0</v>
      </c>
      <c r="W833" s="541"/>
      <c r="X833" s="408">
        <f t="shared" si="147"/>
        <v>0</v>
      </c>
      <c r="Y833" s="211"/>
      <c r="Z833" s="211"/>
      <c r="AA833" s="211"/>
    </row>
    <row r="834" spans="1:27" s="204" customFormat="1" x14ac:dyDescent="0.25">
      <c r="B834" s="284" t="s">
        <v>2054</v>
      </c>
      <c r="C834" s="284" t="s">
        <v>2055</v>
      </c>
      <c r="D834" s="274" t="s">
        <v>3923</v>
      </c>
      <c r="E834" s="274"/>
      <c r="F834" s="274"/>
      <c r="G834" s="283"/>
      <c r="H834" s="266"/>
      <c r="I834" s="274"/>
      <c r="J834" s="281"/>
      <c r="K834" s="281"/>
      <c r="L834" s="295" t="s">
        <v>2058</v>
      </c>
      <c r="M834" s="284" t="s">
        <v>2962</v>
      </c>
      <c r="N834" s="443">
        <f t="shared" si="144"/>
        <v>0</v>
      </c>
      <c r="O834" s="443">
        <f t="shared" si="145"/>
        <v>0</v>
      </c>
      <c r="P834" s="271">
        <f t="shared" si="146"/>
        <v>0</v>
      </c>
      <c r="Q834" s="541"/>
      <c r="R834" s="354">
        <f>IF(ISERROR(VLOOKUP("SOC"&amp;$C834,ESTR_PREC_SP!$A$2:$G$2000,4,FALSE))=TRUE,0,VLOOKUP("SOC"&amp;$C834,ESTR_PREC_SP!$A$2:$G$2000,4,FALSE))</f>
        <v>0</v>
      </c>
      <c r="S834" s="541"/>
      <c r="T834" s="541"/>
      <c r="U834" s="541"/>
      <c r="V834" s="378">
        <f>+Utilizzi_Fondi_Soc!$J$4</f>
        <v>0</v>
      </c>
      <c r="W834" s="541"/>
      <c r="X834" s="408">
        <f t="shared" si="147"/>
        <v>0</v>
      </c>
      <c r="Y834" s="211"/>
      <c r="Z834" s="211"/>
      <c r="AA834" s="211"/>
    </row>
    <row r="835" spans="1:27" s="204" customFormat="1" x14ac:dyDescent="0.25">
      <c r="B835" s="284" t="s">
        <v>2059</v>
      </c>
      <c r="C835" s="284" t="s">
        <v>2060</v>
      </c>
      <c r="D835" s="274" t="s">
        <v>3924</v>
      </c>
      <c r="E835" s="274"/>
      <c r="F835" s="274"/>
      <c r="G835" s="283"/>
      <c r="H835" s="266"/>
      <c r="I835" s="274"/>
      <c r="J835" s="281"/>
      <c r="K835" s="281"/>
      <c r="L835" s="295" t="s">
        <v>2063</v>
      </c>
      <c r="M835" s="284" t="s">
        <v>2962</v>
      </c>
      <c r="N835" s="443">
        <f t="shared" si="144"/>
        <v>0</v>
      </c>
      <c r="O835" s="443">
        <f t="shared" si="145"/>
        <v>0</v>
      </c>
      <c r="P835" s="271">
        <f t="shared" si="146"/>
        <v>0</v>
      </c>
      <c r="Q835" s="541"/>
      <c r="R835" s="354">
        <f>IF(ISERROR(VLOOKUP("SOC"&amp;$C835,ESTR_PREC_SP!$A$2:$G$2000,4,FALSE))=TRUE,0,VLOOKUP("SOC"&amp;$C835,ESTR_PREC_SP!$A$2:$G$2000,4,FALSE))</f>
        <v>0</v>
      </c>
      <c r="S835" s="541"/>
      <c r="T835" s="541"/>
      <c r="U835" s="541"/>
      <c r="V835" s="378">
        <f>+Utilizzi_Fondi_Soc!$K$4</f>
        <v>0</v>
      </c>
      <c r="W835" s="541"/>
      <c r="X835" s="408">
        <f t="shared" si="147"/>
        <v>0</v>
      </c>
      <c r="Y835" s="211"/>
      <c r="Z835" s="211"/>
      <c r="AA835" s="211"/>
    </row>
    <row r="836" spans="1:27" s="204" customFormat="1" x14ac:dyDescent="0.25">
      <c r="A836" s="535" t="s">
        <v>3681</v>
      </c>
      <c r="B836" s="536" t="s">
        <v>2064</v>
      </c>
      <c r="C836" s="536" t="s">
        <v>2065</v>
      </c>
      <c r="D836" s="536"/>
      <c r="E836" s="536"/>
      <c r="F836" s="536"/>
      <c r="G836" s="536"/>
      <c r="H836" s="536"/>
      <c r="I836" s="536"/>
      <c r="J836" s="536"/>
      <c r="K836" s="536"/>
      <c r="L836" s="536" t="s">
        <v>2067</v>
      </c>
      <c r="M836" s="284" t="s">
        <v>2962</v>
      </c>
      <c r="N836" s="443">
        <f t="shared" si="144"/>
        <v>0</v>
      </c>
      <c r="O836" s="443">
        <f t="shared" si="145"/>
        <v>0</v>
      </c>
      <c r="P836" s="271">
        <f t="shared" si="146"/>
        <v>0</v>
      </c>
      <c r="Q836" s="541"/>
      <c r="R836" s="354">
        <f>IF(ISERROR(VLOOKUP("SOC"&amp;$C836,ESTR_PREC_SP!$A$2:$G$2000,4,FALSE))=TRUE,0,VLOOKUP("SOC"&amp;$C836,ESTR_PREC_SP!$A$2:$G$2000,4,FALSE))</f>
        <v>0</v>
      </c>
      <c r="S836" s="541"/>
      <c r="T836" s="541"/>
      <c r="U836" s="541"/>
      <c r="V836" s="378">
        <f>+Utilizzi_Fondi_Soc!$L$4</f>
        <v>0</v>
      </c>
      <c r="W836" s="541"/>
      <c r="X836" s="408">
        <f t="shared" si="147"/>
        <v>0</v>
      </c>
      <c r="Y836" s="211"/>
      <c r="Z836" s="211"/>
      <c r="AA836" s="211"/>
    </row>
    <row r="837" spans="1:27" s="204" customFormat="1" x14ac:dyDescent="0.25">
      <c r="A837" s="535" t="s">
        <v>3681</v>
      </c>
      <c r="B837" s="536" t="s">
        <v>2068</v>
      </c>
      <c r="C837" s="536" t="s">
        <v>2069</v>
      </c>
      <c r="D837" s="536"/>
      <c r="E837" s="536"/>
      <c r="F837" s="536"/>
      <c r="G837" s="536"/>
      <c r="H837" s="536"/>
      <c r="I837" s="536"/>
      <c r="J837" s="536"/>
      <c r="K837" s="536"/>
      <c r="L837" s="536" t="s">
        <v>2071</v>
      </c>
      <c r="M837" s="284" t="s">
        <v>2962</v>
      </c>
      <c r="N837" s="443">
        <f t="shared" si="144"/>
        <v>0</v>
      </c>
      <c r="O837" s="443">
        <f t="shared" si="145"/>
        <v>0</v>
      </c>
      <c r="P837" s="271">
        <f t="shared" si="146"/>
        <v>0</v>
      </c>
      <c r="Q837" s="541"/>
      <c r="R837" s="354">
        <f>IF(ISERROR(VLOOKUP("SOC"&amp;$C837,ESTR_PREC_SP!$A$2:$G$2000,4,FALSE))=TRUE,0,VLOOKUP("SOC"&amp;$C837,ESTR_PREC_SP!$A$2:$G$2000,4,FALSE))</f>
        <v>0</v>
      </c>
      <c r="S837" s="541"/>
      <c r="T837" s="541"/>
      <c r="U837" s="541"/>
      <c r="V837" s="378">
        <f>+Utilizzi_Fondi_Soc!$M$4</f>
        <v>0</v>
      </c>
      <c r="W837" s="541"/>
      <c r="X837" s="408">
        <f t="shared" si="147"/>
        <v>0</v>
      </c>
      <c r="Y837" s="211"/>
      <c r="Z837" s="211"/>
      <c r="AA837" s="211"/>
    </row>
    <row r="838" spans="1:27" s="204" customFormat="1" x14ac:dyDescent="0.25">
      <c r="B838" s="284" t="s">
        <v>2072</v>
      </c>
      <c r="C838" s="284" t="s">
        <v>2073</v>
      </c>
      <c r="D838" s="274" t="s">
        <v>3925</v>
      </c>
      <c r="E838" s="274"/>
      <c r="F838" s="274"/>
      <c r="G838" s="283"/>
      <c r="H838" s="266"/>
      <c r="I838" s="274"/>
      <c r="J838" s="281"/>
      <c r="K838" s="281"/>
      <c r="L838" s="295" t="s">
        <v>3926</v>
      </c>
      <c r="M838" s="284" t="s">
        <v>2962</v>
      </c>
      <c r="N838" s="443">
        <f t="shared" si="144"/>
        <v>0</v>
      </c>
      <c r="O838" s="443">
        <f t="shared" si="145"/>
        <v>0</v>
      </c>
      <c r="P838" s="271">
        <f t="shared" si="146"/>
        <v>0</v>
      </c>
      <c r="Q838" s="527"/>
      <c r="R838" s="354">
        <f>IF(ISERROR(VLOOKUP("SOC"&amp;$C838,ESTR_PREC_SP!$A$2:$G$2000,4,FALSE))=TRUE,0,VLOOKUP("SOC"&amp;$C838,ESTR_PREC_SP!$A$2:$G$2000,4,FALSE))</f>
        <v>0</v>
      </c>
      <c r="S838" s="527"/>
      <c r="T838" s="541"/>
      <c r="U838" s="541"/>
      <c r="V838" s="378">
        <f>+Utilizzi_Fondi_Soc!$N$4</f>
        <v>0</v>
      </c>
      <c r="W838" s="541"/>
      <c r="X838" s="408">
        <f t="shared" si="147"/>
        <v>0</v>
      </c>
      <c r="Y838" s="211"/>
      <c r="Z838" s="211"/>
      <c r="AA838" s="211"/>
    </row>
    <row r="839" spans="1:27" s="204" customFormat="1" x14ac:dyDescent="0.25">
      <c r="B839" s="384"/>
      <c r="C839" s="384"/>
      <c r="D839" s="382"/>
      <c r="E839" s="382"/>
      <c r="F839" s="382"/>
      <c r="G839" s="382"/>
      <c r="H839" s="382"/>
      <c r="I839" s="382"/>
      <c r="J839" s="382"/>
      <c r="K839" s="382"/>
      <c r="L839" s="275"/>
      <c r="M839" s="275"/>
      <c r="N839" s="383"/>
      <c r="O839" s="383"/>
      <c r="P839" s="384"/>
      <c r="Q839" s="211"/>
      <c r="R839" s="444"/>
      <c r="S839" s="444"/>
      <c r="T839" s="211"/>
      <c r="U839" s="211"/>
      <c r="V839" s="211"/>
      <c r="W839" s="211"/>
      <c r="X839" s="211"/>
      <c r="Y839" s="211"/>
      <c r="Z839" s="211"/>
      <c r="AA839" s="211"/>
    </row>
    <row r="840" spans="1:27" s="204" customFormat="1" x14ac:dyDescent="0.25">
      <c r="B840" s="246" t="s">
        <v>2077</v>
      </c>
      <c r="C840" s="246" t="s">
        <v>2078</v>
      </c>
      <c r="D840" s="247" t="s">
        <v>3927</v>
      </c>
      <c r="E840" s="247"/>
      <c r="F840" s="247"/>
      <c r="G840" s="247"/>
      <c r="H840" s="248"/>
      <c r="I840" s="247"/>
      <c r="J840" s="247"/>
      <c r="K840" s="249"/>
      <c r="L840" s="441" t="s">
        <v>2080</v>
      </c>
      <c r="M840" s="251" t="s">
        <v>2962</v>
      </c>
      <c r="N840" s="252">
        <f>SUM(N843:N849)</f>
        <v>0</v>
      </c>
      <c r="O840" s="252">
        <f>SUM(O843:O849)</f>
        <v>0</v>
      </c>
      <c r="P840" s="253">
        <f>+O840-N840</f>
        <v>0</v>
      </c>
      <c r="Q840" s="252">
        <f t="shared" ref="Q840:X840" si="148">SUM(Q843:Q849)</f>
        <v>0</v>
      </c>
      <c r="R840" s="252">
        <f t="shared" si="148"/>
        <v>0</v>
      </c>
      <c r="S840" s="252">
        <f t="shared" si="148"/>
        <v>0</v>
      </c>
      <c r="T840" s="252">
        <f t="shared" si="148"/>
        <v>0</v>
      </c>
      <c r="U840" s="252">
        <f t="shared" si="148"/>
        <v>0</v>
      </c>
      <c r="V840" s="252">
        <f t="shared" si="148"/>
        <v>0</v>
      </c>
      <c r="W840" s="252">
        <f t="shared" si="148"/>
        <v>0</v>
      </c>
      <c r="X840" s="252">
        <f t="shared" si="148"/>
        <v>0</v>
      </c>
      <c r="Y840" s="211"/>
      <c r="Z840" s="211"/>
      <c r="AA840" s="211"/>
    </row>
    <row r="841" spans="1:27" s="447" customFormat="1" ht="15.75" hidden="1" customHeight="1" x14ac:dyDescent="0.25">
      <c r="A841" s="204"/>
      <c r="B841" s="445"/>
      <c r="C841" s="445"/>
      <c r="D841" s="445"/>
      <c r="E841" s="445"/>
      <c r="F841" s="445"/>
      <c r="G841" s="445"/>
      <c r="H841" s="445"/>
      <c r="I841" s="445"/>
      <c r="J841" s="445"/>
      <c r="K841" s="445"/>
      <c r="L841" s="446"/>
      <c r="M841" s="445"/>
      <c r="N841" s="445"/>
      <c r="O841" s="445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</row>
    <row r="842" spans="1:27" s="447" customFormat="1" ht="27" hidden="1" customHeight="1" x14ac:dyDescent="0.25">
      <c r="A842" s="204"/>
      <c r="B842" s="448" t="s">
        <v>2968</v>
      </c>
      <c r="C842" s="448" t="s">
        <v>2969</v>
      </c>
      <c r="D842" s="449" t="s">
        <v>72</v>
      </c>
      <c r="E842" s="449"/>
      <c r="F842" s="449"/>
      <c r="G842" s="450"/>
      <c r="H842" s="450"/>
      <c r="I842" s="450"/>
      <c r="J842" s="450" t="s">
        <v>2957</v>
      </c>
      <c r="K842" s="449" t="s">
        <v>82</v>
      </c>
      <c r="L842" s="451" t="s">
        <v>3670</v>
      </c>
      <c r="M842" s="451"/>
      <c r="N842" s="452" t="str">
        <f>+N831</f>
        <v>Valore netto al 31/12/2019</v>
      </c>
      <c r="O842" s="452" t="str">
        <f>+O831</f>
        <v>Valore netto al 31/12/2020</v>
      </c>
      <c r="P842" s="448" t="s">
        <v>3928</v>
      </c>
      <c r="Q842" s="445"/>
      <c r="R842" s="453" t="s">
        <v>3877</v>
      </c>
      <c r="S842" s="453" t="s">
        <v>3913</v>
      </c>
      <c r="T842" s="453" t="s">
        <v>3914</v>
      </c>
      <c r="U842" s="453"/>
      <c r="V842" s="453" t="s">
        <v>3915</v>
      </c>
      <c r="W842" s="453" t="s">
        <v>3883</v>
      </c>
      <c r="X842" s="453" t="s">
        <v>3883</v>
      </c>
      <c r="Y842" s="445"/>
      <c r="Z842" s="445"/>
      <c r="AA842" s="445"/>
    </row>
    <row r="843" spans="1:27" s="447" customFormat="1" ht="15.75" hidden="1" customHeight="1" x14ac:dyDescent="0.25">
      <c r="A843" s="204"/>
      <c r="B843" s="454" t="s">
        <v>2082</v>
      </c>
      <c r="C843" s="454" t="s">
        <v>2082</v>
      </c>
      <c r="D843" s="455" t="s">
        <v>3929</v>
      </c>
      <c r="E843" s="455"/>
      <c r="F843" s="455"/>
      <c r="G843" s="456"/>
      <c r="H843" s="457"/>
      <c r="I843" s="455"/>
      <c r="J843" s="455"/>
      <c r="K843" s="455"/>
      <c r="L843" s="458" t="s">
        <v>2085</v>
      </c>
      <c r="M843" s="454" t="s">
        <v>2962</v>
      </c>
      <c r="N843" s="459">
        <f t="shared" ref="N843:N850" si="149">+R843</f>
        <v>0</v>
      </c>
      <c r="O843" s="459">
        <f t="shared" ref="O843:O850" si="150">+X843</f>
        <v>0</v>
      </c>
      <c r="P843" s="460">
        <f t="shared" ref="P843:P850" si="151">+O843-N843</f>
        <v>0</v>
      </c>
      <c r="Q843" s="445"/>
      <c r="R843" s="460"/>
      <c r="S843" s="460"/>
      <c r="T843" s="460"/>
      <c r="U843" s="460"/>
      <c r="V843" s="460"/>
      <c r="W843" s="460">
        <f t="shared" ref="W843:W850" si="152">+Q843+R843+S843-T843</f>
        <v>0</v>
      </c>
      <c r="X843" s="460">
        <f t="shared" ref="X843:X850" si="153">+R843+S843+T843-V843</f>
        <v>0</v>
      </c>
      <c r="Y843" s="445"/>
      <c r="Z843" s="445" t="s">
        <v>3930</v>
      </c>
      <c r="AA843" s="445"/>
    </row>
    <row r="844" spans="1:27" s="447" customFormat="1" ht="15.75" hidden="1" customHeight="1" x14ac:dyDescent="0.25">
      <c r="A844" s="204"/>
      <c r="B844" s="454" t="s">
        <v>2087</v>
      </c>
      <c r="C844" s="454" t="s">
        <v>2087</v>
      </c>
      <c r="D844" s="455" t="s">
        <v>3931</v>
      </c>
      <c r="E844" s="455"/>
      <c r="F844" s="455"/>
      <c r="G844" s="456"/>
      <c r="H844" s="457"/>
      <c r="I844" s="455"/>
      <c r="J844" s="455"/>
      <c r="K844" s="455"/>
      <c r="L844" s="461" t="s">
        <v>2090</v>
      </c>
      <c r="M844" s="454" t="s">
        <v>2962</v>
      </c>
      <c r="N844" s="459">
        <f t="shared" si="149"/>
        <v>0</v>
      </c>
      <c r="O844" s="459">
        <f t="shared" si="150"/>
        <v>0</v>
      </c>
      <c r="P844" s="460">
        <f t="shared" si="151"/>
        <v>0</v>
      </c>
      <c r="Q844" s="445"/>
      <c r="R844" s="460"/>
      <c r="S844" s="460"/>
      <c r="T844" s="460"/>
      <c r="U844" s="460"/>
      <c r="V844" s="460"/>
      <c r="W844" s="460">
        <f t="shared" si="152"/>
        <v>0</v>
      </c>
      <c r="X844" s="460">
        <f t="shared" si="153"/>
        <v>0</v>
      </c>
      <c r="Y844" s="445"/>
      <c r="Z844" s="445" t="s">
        <v>3932</v>
      </c>
      <c r="AA844" s="445"/>
    </row>
    <row r="845" spans="1:27" s="447" customFormat="1" ht="15.75" hidden="1" customHeight="1" x14ac:dyDescent="0.25">
      <c r="A845" s="204"/>
      <c r="B845" s="454" t="s">
        <v>2092</v>
      </c>
      <c r="C845" s="454" t="s">
        <v>2092</v>
      </c>
      <c r="D845" s="455" t="s">
        <v>3933</v>
      </c>
      <c r="E845" s="455"/>
      <c r="F845" s="455"/>
      <c r="G845" s="456"/>
      <c r="H845" s="457"/>
      <c r="I845" s="455"/>
      <c r="J845" s="455"/>
      <c r="K845" s="455"/>
      <c r="L845" s="461" t="s">
        <v>2095</v>
      </c>
      <c r="M845" s="454" t="s">
        <v>2962</v>
      </c>
      <c r="N845" s="459">
        <f t="shared" si="149"/>
        <v>0</v>
      </c>
      <c r="O845" s="459">
        <f t="shared" si="150"/>
        <v>0</v>
      </c>
      <c r="P845" s="460">
        <f t="shared" si="151"/>
        <v>0</v>
      </c>
      <c r="Q845" s="445"/>
      <c r="R845" s="460"/>
      <c r="S845" s="460"/>
      <c r="T845" s="460"/>
      <c r="U845" s="460"/>
      <c r="V845" s="460"/>
      <c r="W845" s="460">
        <f t="shared" si="152"/>
        <v>0</v>
      </c>
      <c r="X845" s="460">
        <f t="shared" si="153"/>
        <v>0</v>
      </c>
      <c r="Y845" s="445"/>
      <c r="Z845" s="445"/>
      <c r="AA845" s="445"/>
    </row>
    <row r="846" spans="1:27" s="447" customFormat="1" ht="15.75" hidden="1" customHeight="1" x14ac:dyDescent="0.25">
      <c r="A846" s="204"/>
      <c r="B846" s="454" t="s">
        <v>2097</v>
      </c>
      <c r="C846" s="454" t="s">
        <v>2097</v>
      </c>
      <c r="D846" s="455" t="s">
        <v>3934</v>
      </c>
      <c r="E846" s="455"/>
      <c r="F846" s="455"/>
      <c r="G846" s="456"/>
      <c r="H846" s="457"/>
      <c r="I846" s="455"/>
      <c r="J846" s="455"/>
      <c r="K846" s="455"/>
      <c r="L846" s="461" t="s">
        <v>2100</v>
      </c>
      <c r="M846" s="454" t="s">
        <v>2962</v>
      </c>
      <c r="N846" s="459">
        <f t="shared" si="149"/>
        <v>0</v>
      </c>
      <c r="O846" s="459">
        <f t="shared" si="150"/>
        <v>0</v>
      </c>
      <c r="P846" s="460">
        <f t="shared" si="151"/>
        <v>0</v>
      </c>
      <c r="Q846" s="445"/>
      <c r="R846" s="460"/>
      <c r="S846" s="460"/>
      <c r="T846" s="460"/>
      <c r="U846" s="460"/>
      <c r="V846" s="460"/>
      <c r="W846" s="460">
        <f t="shared" si="152"/>
        <v>0</v>
      </c>
      <c r="X846" s="460">
        <f t="shared" si="153"/>
        <v>0</v>
      </c>
      <c r="Y846" s="445"/>
      <c r="Z846" s="445"/>
      <c r="AA846" s="445"/>
    </row>
    <row r="847" spans="1:27" s="447" customFormat="1" ht="15.75" hidden="1" customHeight="1" x14ac:dyDescent="0.25">
      <c r="A847" s="204"/>
      <c r="B847" s="454" t="s">
        <v>2102</v>
      </c>
      <c r="C847" s="454" t="s">
        <v>2102</v>
      </c>
      <c r="D847" s="455" t="s">
        <v>3935</v>
      </c>
      <c r="E847" s="455"/>
      <c r="F847" s="455"/>
      <c r="G847" s="456"/>
      <c r="H847" s="457"/>
      <c r="I847" s="455"/>
      <c r="J847" s="455"/>
      <c r="K847" s="455"/>
      <c r="L847" s="461" t="s">
        <v>2105</v>
      </c>
      <c r="M847" s="454" t="s">
        <v>2962</v>
      </c>
      <c r="N847" s="459">
        <f t="shared" si="149"/>
        <v>0</v>
      </c>
      <c r="O847" s="459">
        <f t="shared" si="150"/>
        <v>0</v>
      </c>
      <c r="P847" s="460">
        <f t="shared" si="151"/>
        <v>0</v>
      </c>
      <c r="Q847" s="445"/>
      <c r="R847" s="460"/>
      <c r="S847" s="460"/>
      <c r="T847" s="460"/>
      <c r="U847" s="460"/>
      <c r="V847" s="460"/>
      <c r="W847" s="460">
        <f t="shared" si="152"/>
        <v>0</v>
      </c>
      <c r="X847" s="460">
        <f t="shared" si="153"/>
        <v>0</v>
      </c>
      <c r="Y847" s="445"/>
      <c r="Z847" s="445"/>
      <c r="AA847" s="445"/>
    </row>
    <row r="848" spans="1:27" s="447" customFormat="1" ht="15.75" hidden="1" customHeight="1" x14ac:dyDescent="0.25">
      <c r="A848" s="204"/>
      <c r="B848" s="454" t="s">
        <v>2107</v>
      </c>
      <c r="C848" s="454" t="s">
        <v>2107</v>
      </c>
      <c r="D848" s="455" t="s">
        <v>3936</v>
      </c>
      <c r="E848" s="455"/>
      <c r="F848" s="455"/>
      <c r="G848" s="456"/>
      <c r="H848" s="457"/>
      <c r="I848" s="455"/>
      <c r="J848" s="455"/>
      <c r="K848" s="455"/>
      <c r="L848" s="461" t="s">
        <v>2110</v>
      </c>
      <c r="M848" s="454" t="s">
        <v>2962</v>
      </c>
      <c r="N848" s="459">
        <f t="shared" si="149"/>
        <v>0</v>
      </c>
      <c r="O848" s="459">
        <f t="shared" si="150"/>
        <v>0</v>
      </c>
      <c r="P848" s="460">
        <f t="shared" si="151"/>
        <v>0</v>
      </c>
      <c r="Q848" s="445"/>
      <c r="R848" s="460"/>
      <c r="S848" s="460"/>
      <c r="T848" s="460"/>
      <c r="U848" s="460"/>
      <c r="V848" s="460"/>
      <c r="W848" s="460">
        <f t="shared" si="152"/>
        <v>0</v>
      </c>
      <c r="X848" s="460">
        <f t="shared" si="153"/>
        <v>0</v>
      </c>
      <c r="Y848" s="445"/>
      <c r="Z848" s="445"/>
      <c r="AA848" s="445"/>
    </row>
    <row r="849" spans="1:27" s="447" customFormat="1" ht="15.75" hidden="1" customHeight="1" x14ac:dyDescent="0.25">
      <c r="A849" s="204"/>
      <c r="B849" s="454" t="s">
        <v>2112</v>
      </c>
      <c r="C849" s="454" t="s">
        <v>2112</v>
      </c>
      <c r="D849" s="455" t="s">
        <v>3937</v>
      </c>
      <c r="E849" s="455"/>
      <c r="F849" s="455"/>
      <c r="G849" s="456"/>
      <c r="H849" s="457"/>
      <c r="I849" s="455"/>
      <c r="J849" s="455"/>
      <c r="K849" s="455"/>
      <c r="L849" s="461" t="s">
        <v>2115</v>
      </c>
      <c r="M849" s="454" t="s">
        <v>2962</v>
      </c>
      <c r="N849" s="459">
        <f t="shared" si="149"/>
        <v>0</v>
      </c>
      <c r="O849" s="459">
        <f t="shared" si="150"/>
        <v>0</v>
      </c>
      <c r="P849" s="460">
        <f t="shared" si="151"/>
        <v>0</v>
      </c>
      <c r="Q849" s="445"/>
      <c r="R849" s="460"/>
      <c r="S849" s="460"/>
      <c r="T849" s="460"/>
      <c r="U849" s="460"/>
      <c r="V849" s="460"/>
      <c r="W849" s="460">
        <f t="shared" si="152"/>
        <v>0</v>
      </c>
      <c r="X849" s="460">
        <f t="shared" si="153"/>
        <v>0</v>
      </c>
      <c r="Y849" s="445"/>
      <c r="Z849" s="445"/>
      <c r="AA849" s="445"/>
    </row>
    <row r="850" spans="1:27" s="447" customFormat="1" ht="15.75" hidden="1" customHeight="1" x14ac:dyDescent="0.25">
      <c r="A850" s="204" t="s">
        <v>3681</v>
      </c>
      <c r="B850" s="462" t="s">
        <v>2118</v>
      </c>
      <c r="C850" s="462" t="s">
        <v>2118</v>
      </c>
      <c r="D850" s="463"/>
      <c r="E850" s="463"/>
      <c r="F850" s="463"/>
      <c r="G850" s="464"/>
      <c r="H850" s="465"/>
      <c r="I850" s="463"/>
      <c r="J850" s="463"/>
      <c r="K850" s="463"/>
      <c r="L850" s="466"/>
      <c r="M850" s="454" t="s">
        <v>2962</v>
      </c>
      <c r="N850" s="459">
        <f t="shared" si="149"/>
        <v>0</v>
      </c>
      <c r="O850" s="459">
        <f t="shared" si="150"/>
        <v>0</v>
      </c>
      <c r="P850" s="460">
        <f t="shared" si="151"/>
        <v>0</v>
      </c>
      <c r="Q850" s="445"/>
      <c r="R850" s="460"/>
      <c r="S850" s="460"/>
      <c r="T850" s="460"/>
      <c r="U850" s="460"/>
      <c r="V850" s="460"/>
      <c r="W850" s="460">
        <f t="shared" si="152"/>
        <v>0</v>
      </c>
      <c r="X850" s="460">
        <f t="shared" si="153"/>
        <v>0</v>
      </c>
      <c r="Y850" s="445"/>
      <c r="Z850" s="445"/>
      <c r="AA850" s="445"/>
    </row>
    <row r="851" spans="1:27" s="204" customFormat="1" x14ac:dyDescent="0.25">
      <c r="B851" s="381"/>
      <c r="C851" s="381"/>
      <c r="D851" s="382"/>
      <c r="E851" s="382"/>
      <c r="F851" s="382"/>
      <c r="G851" s="382"/>
      <c r="H851" s="382"/>
      <c r="I851" s="382"/>
      <c r="J851" s="382"/>
      <c r="K851" s="382"/>
      <c r="L851" s="275"/>
      <c r="M851" s="275"/>
      <c r="N851" s="383"/>
      <c r="O851" s="383"/>
      <c r="P851" s="384"/>
      <c r="Q851" s="211"/>
      <c r="R851" s="444"/>
      <c r="S851" s="444"/>
      <c r="T851" s="211"/>
      <c r="U851" s="211"/>
      <c r="V851" s="211"/>
      <c r="W851" s="211"/>
      <c r="X851" s="211"/>
      <c r="Y851" s="211"/>
      <c r="Z851" s="211"/>
      <c r="AA851" s="211"/>
    </row>
    <row r="852" spans="1:27" s="204" customFormat="1" x14ac:dyDescent="0.25">
      <c r="B852" s="292" t="s">
        <v>2122</v>
      </c>
      <c r="C852" s="292" t="s">
        <v>2123</v>
      </c>
      <c r="D852" s="247" t="s">
        <v>3938</v>
      </c>
      <c r="E852" s="247"/>
      <c r="F852" s="247"/>
      <c r="G852" s="247"/>
      <c r="H852" s="248"/>
      <c r="I852" s="247"/>
      <c r="J852" s="247"/>
      <c r="K852" s="249"/>
      <c r="L852" s="441" t="s">
        <v>2125</v>
      </c>
      <c r="M852" s="251" t="s">
        <v>2962</v>
      </c>
      <c r="N852" s="252">
        <f>+N856+N861+N862+N868+N855</f>
        <v>0</v>
      </c>
      <c r="O852" s="252">
        <f>+O856+O861+O862+O868+O855</f>
        <v>0</v>
      </c>
      <c r="P852" s="253">
        <f>+O852-N852</f>
        <v>0</v>
      </c>
      <c r="Q852" s="252">
        <f t="shared" ref="Q852:X852" si="154">+Q856+Q861+Q862+Q868+Q855</f>
        <v>0</v>
      </c>
      <c r="R852" s="252">
        <f t="shared" si="154"/>
        <v>0</v>
      </c>
      <c r="S852" s="252">
        <f t="shared" si="154"/>
        <v>0</v>
      </c>
      <c r="T852" s="252">
        <f t="shared" si="154"/>
        <v>0</v>
      </c>
      <c r="U852" s="252">
        <f t="shared" si="154"/>
        <v>0</v>
      </c>
      <c r="V852" s="252">
        <f t="shared" si="154"/>
        <v>0</v>
      </c>
      <c r="W852" s="252">
        <f t="shared" si="154"/>
        <v>0</v>
      </c>
      <c r="X852" s="252">
        <f t="shared" si="154"/>
        <v>0</v>
      </c>
      <c r="Y852" s="211"/>
      <c r="Z852" s="211"/>
      <c r="AA852" s="211"/>
    </row>
    <row r="853" spans="1:27" s="204" customFormat="1" x14ac:dyDescent="0.25"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32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</row>
    <row r="854" spans="1:27" s="204" customFormat="1" ht="39" customHeight="1" x14ac:dyDescent="0.25">
      <c r="B854" s="506" t="s">
        <v>2968</v>
      </c>
      <c r="C854" s="506" t="s">
        <v>2969</v>
      </c>
      <c r="D854" s="500" t="s">
        <v>72</v>
      </c>
      <c r="E854" s="500"/>
      <c r="F854" s="500"/>
      <c r="G854" s="501"/>
      <c r="H854" s="501"/>
      <c r="I854" s="501"/>
      <c r="J854" s="501" t="s">
        <v>2957</v>
      </c>
      <c r="K854" s="500" t="s">
        <v>82</v>
      </c>
      <c r="L854" s="256" t="s">
        <v>3670</v>
      </c>
      <c r="M854" s="256"/>
      <c r="N854" s="256" t="str">
        <f>N$15</f>
        <v>Valore netto al 31/12/2019</v>
      </c>
      <c r="O854" s="256" t="str">
        <f>O$15</f>
        <v>Valore netto al 31/12/2020</v>
      </c>
      <c r="P854" s="256" t="str">
        <f>P$15</f>
        <v>Variazione</v>
      </c>
      <c r="Q854" s="262" t="s">
        <v>2971</v>
      </c>
      <c r="R854" s="442" t="s">
        <v>3877</v>
      </c>
      <c r="S854" s="262" t="s">
        <v>2972</v>
      </c>
      <c r="T854" s="442" t="s">
        <v>3913</v>
      </c>
      <c r="U854" s="442" t="s">
        <v>3914</v>
      </c>
      <c r="V854" s="442" t="s">
        <v>3915</v>
      </c>
      <c r="W854" s="262" t="s">
        <v>4391</v>
      </c>
      <c r="X854" s="442" t="s">
        <v>3883</v>
      </c>
      <c r="Y854" s="211"/>
      <c r="Z854" s="211"/>
      <c r="AA854" s="211"/>
    </row>
    <row r="855" spans="1:27" s="204" customFormat="1" ht="39" customHeight="1" x14ac:dyDescent="0.25">
      <c r="A855" s="535" t="s">
        <v>3681</v>
      </c>
      <c r="B855" s="536" t="s">
        <v>2126</v>
      </c>
      <c r="C855" s="536" t="s">
        <v>2127</v>
      </c>
      <c r="D855" s="536"/>
      <c r="E855" s="536"/>
      <c r="F855" s="536"/>
      <c r="G855" s="536"/>
      <c r="H855" s="536"/>
      <c r="I855" s="536"/>
      <c r="J855" s="536"/>
      <c r="K855" s="536"/>
      <c r="L855" s="536" t="s">
        <v>2129</v>
      </c>
      <c r="M855" s="284" t="s">
        <v>2962</v>
      </c>
      <c r="N855" s="443">
        <f>+R855</f>
        <v>0</v>
      </c>
      <c r="O855" s="443">
        <f>+X855</f>
        <v>0</v>
      </c>
      <c r="P855" s="271">
        <f t="shared" ref="P855:P868" si="155">+O855-N855</f>
        <v>0</v>
      </c>
      <c r="Q855" s="527"/>
      <c r="R855" s="354">
        <f>IF(ISERROR(VLOOKUP("SOC"&amp;$C855,ESTR_PREC_SP!$A$2:$G$2000,4,FALSE))=TRUE,0,VLOOKUP("SOC"&amp;$C855,ESTR_PREC_SP!$A$2:$G$2000,4,FALSE))</f>
        <v>0</v>
      </c>
      <c r="S855" s="527"/>
      <c r="T855" s="541"/>
      <c r="U855" s="541"/>
      <c r="V855" s="527"/>
      <c r="W855" s="541"/>
      <c r="X855" s="408">
        <f>+R855+S855+T855+U855-V855+W855+Q855</f>
        <v>0</v>
      </c>
      <c r="Y855" s="211"/>
      <c r="Z855" s="211"/>
      <c r="AA855" s="211"/>
    </row>
    <row r="856" spans="1:27" s="204" customFormat="1" ht="27" customHeight="1" x14ac:dyDescent="0.25">
      <c r="B856" s="273" t="s">
        <v>2130</v>
      </c>
      <c r="C856" s="273" t="s">
        <v>2131</v>
      </c>
      <c r="D856" s="263" t="s">
        <v>3939</v>
      </c>
      <c r="E856" s="264"/>
      <c r="F856" s="264"/>
      <c r="G856" s="265"/>
      <c r="H856" s="266"/>
      <c r="I856" s="264"/>
      <c r="J856" s="267"/>
      <c r="K856" s="267"/>
      <c r="L856" s="469" t="s">
        <v>2134</v>
      </c>
      <c r="M856" s="284" t="s">
        <v>2962</v>
      </c>
      <c r="N856" s="470">
        <f>SUM(N857:N860)</f>
        <v>0</v>
      </c>
      <c r="O856" s="470">
        <f>SUM(O857:O860)</f>
        <v>0</v>
      </c>
      <c r="P856" s="378">
        <f t="shared" si="155"/>
        <v>0</v>
      </c>
      <c r="Q856" s="470">
        <f>SUM(Q857:Q860)</f>
        <v>0</v>
      </c>
      <c r="R856" s="470">
        <f>SUM(R857:R860)</f>
        <v>0</v>
      </c>
      <c r="S856" s="470">
        <f>SUM(S857:S860)</f>
        <v>0</v>
      </c>
      <c r="T856" s="470">
        <f>SUM(T857:T860)</f>
        <v>0</v>
      </c>
      <c r="U856" s="470"/>
      <c r="V856" s="470">
        <f>SUM(V857:V860)</f>
        <v>0</v>
      </c>
      <c r="W856" s="470">
        <f>SUM(W857:W860)</f>
        <v>0</v>
      </c>
      <c r="X856" s="470">
        <f>SUM(X857:X860)</f>
        <v>0</v>
      </c>
      <c r="Y856" s="211"/>
      <c r="Z856" s="211"/>
      <c r="AA856" s="211"/>
    </row>
    <row r="857" spans="1:27" s="204" customFormat="1" ht="28.5" customHeight="1" x14ac:dyDescent="0.25">
      <c r="B857" s="287" t="s">
        <v>2135</v>
      </c>
      <c r="C857" s="287" t="s">
        <v>2136</v>
      </c>
      <c r="D857" s="284" t="s">
        <v>3940</v>
      </c>
      <c r="E857" s="274"/>
      <c r="F857" s="274"/>
      <c r="G857" s="283"/>
      <c r="H857" s="266"/>
      <c r="I857" s="274"/>
      <c r="J857" s="281"/>
      <c r="K857" s="281"/>
      <c r="L857" s="471" t="s">
        <v>3941</v>
      </c>
      <c r="M857" s="284" t="s">
        <v>2962</v>
      </c>
      <c r="N857" s="443">
        <f>+R857</f>
        <v>0</v>
      </c>
      <c r="O857" s="443">
        <f>+X857</f>
        <v>0</v>
      </c>
      <c r="P857" s="271">
        <f t="shared" si="155"/>
        <v>0</v>
      </c>
      <c r="Q857" s="527"/>
      <c r="R857" s="354">
        <f>IF(ISERROR(VLOOKUP("SOC"&amp;$C857,ESTR_PREC_SP!$A$2:$G$2000,4,FALSE))=TRUE,0,VLOOKUP("SOC"&amp;$C857,ESTR_PREC_SP!$A$2:$G$2000,4,FALSE))</f>
        <v>0</v>
      </c>
      <c r="S857" s="527"/>
      <c r="T857" s="541"/>
      <c r="U857" s="541"/>
      <c r="V857" s="527"/>
      <c r="W857" s="541"/>
      <c r="X857" s="408">
        <f>+R857+S857+T857+U857-V857+W857+Q857</f>
        <v>0</v>
      </c>
      <c r="Y857" s="211"/>
      <c r="Z857" s="211"/>
      <c r="AA857" s="211"/>
    </row>
    <row r="858" spans="1:27" s="204" customFormat="1" ht="30" customHeight="1" x14ac:dyDescent="0.25">
      <c r="B858" s="287" t="s">
        <v>2138</v>
      </c>
      <c r="C858" s="287" t="s">
        <v>2139</v>
      </c>
      <c r="D858" s="284" t="s">
        <v>3942</v>
      </c>
      <c r="E858" s="274"/>
      <c r="F858" s="274"/>
      <c r="G858" s="283"/>
      <c r="H858" s="266"/>
      <c r="I858" s="274"/>
      <c r="J858" s="281"/>
      <c r="K858" s="281"/>
      <c r="L858" s="471" t="s">
        <v>3943</v>
      </c>
      <c r="M858" s="284" t="s">
        <v>2962</v>
      </c>
      <c r="N858" s="443">
        <f>+R858</f>
        <v>0</v>
      </c>
      <c r="O858" s="443">
        <f>+X858</f>
        <v>0</v>
      </c>
      <c r="P858" s="271">
        <f t="shared" si="155"/>
        <v>0</v>
      </c>
      <c r="Q858" s="527"/>
      <c r="R858" s="354">
        <f>IF(ISERROR(VLOOKUP("SOC"&amp;$C858,ESTR_PREC_SP!$A$2:$G$2000,4,FALSE))=TRUE,0,VLOOKUP("SOC"&amp;$C858,ESTR_PREC_SP!$A$2:$G$2000,4,FALSE))</f>
        <v>0</v>
      </c>
      <c r="S858" s="527"/>
      <c r="T858" s="541"/>
      <c r="U858" s="541"/>
      <c r="V858" s="527"/>
      <c r="W858" s="541"/>
      <c r="X858" s="408">
        <f>+R858+S858+T858+U858-V858+W858+Q858</f>
        <v>0</v>
      </c>
      <c r="Y858" s="211"/>
      <c r="Z858" s="211"/>
      <c r="AA858" s="211"/>
    </row>
    <row r="859" spans="1:27" s="204" customFormat="1" ht="40.5" customHeight="1" x14ac:dyDescent="0.25">
      <c r="B859" s="287" t="s">
        <v>2141</v>
      </c>
      <c r="C859" s="287" t="s">
        <v>2142</v>
      </c>
      <c r="D859" s="284" t="s">
        <v>3944</v>
      </c>
      <c r="E859" s="274"/>
      <c r="F859" s="274"/>
      <c r="G859" s="283"/>
      <c r="H859" s="266"/>
      <c r="I859" s="274"/>
      <c r="J859" s="281"/>
      <c r="K859" s="281"/>
      <c r="L859" s="471" t="s">
        <v>3945</v>
      </c>
      <c r="M859" s="284" t="s">
        <v>2962</v>
      </c>
      <c r="N859" s="443">
        <f>+R859</f>
        <v>0</v>
      </c>
      <c r="O859" s="443">
        <f>+X859</f>
        <v>0</v>
      </c>
      <c r="P859" s="271">
        <f t="shared" si="155"/>
        <v>0</v>
      </c>
      <c r="Q859" s="527"/>
      <c r="R859" s="354">
        <f>IF(ISERROR(VLOOKUP("SOC"&amp;$C859,ESTR_PREC_SP!$A$2:$G$2000,4,FALSE))=TRUE,0,VLOOKUP("SOC"&amp;$C859,ESTR_PREC_SP!$A$2:$G$2000,4,FALSE))</f>
        <v>0</v>
      </c>
      <c r="S859" s="527"/>
      <c r="T859" s="541"/>
      <c r="U859" s="541"/>
      <c r="V859" s="527"/>
      <c r="W859" s="541"/>
      <c r="X859" s="408">
        <f>+R859+S859+T859+U859-V859+W859+Q859</f>
        <v>0</v>
      </c>
      <c r="Y859" s="211"/>
      <c r="Z859" s="211"/>
      <c r="AA859" s="211"/>
    </row>
    <row r="860" spans="1:27" s="204" customFormat="1" ht="25.5" x14ac:dyDescent="0.25">
      <c r="B860" s="287" t="s">
        <v>2144</v>
      </c>
      <c r="C860" s="287" t="s">
        <v>2145</v>
      </c>
      <c r="D860" s="284" t="s">
        <v>3946</v>
      </c>
      <c r="E860" s="274"/>
      <c r="F860" s="274"/>
      <c r="G860" s="283"/>
      <c r="H860" s="266"/>
      <c r="I860" s="274"/>
      <c r="J860" s="281"/>
      <c r="K860" s="281"/>
      <c r="L860" s="471" t="s">
        <v>3947</v>
      </c>
      <c r="M860" s="284" t="s">
        <v>2962</v>
      </c>
      <c r="N860" s="443">
        <f>+R860</f>
        <v>0</v>
      </c>
      <c r="O860" s="443">
        <f>+X860</f>
        <v>0</v>
      </c>
      <c r="P860" s="271">
        <f t="shared" si="155"/>
        <v>0</v>
      </c>
      <c r="Q860" s="527"/>
      <c r="R860" s="354">
        <f>IF(ISERROR(VLOOKUP("SOC"&amp;$C860,ESTR_PREC_SP!$A$2:$G$2000,4,FALSE))=TRUE,0,VLOOKUP("SOC"&amp;$C860,ESTR_PREC_SP!$A$2:$G$2000,4,FALSE))</f>
        <v>0</v>
      </c>
      <c r="S860" s="527"/>
      <c r="T860" s="541"/>
      <c r="U860" s="541"/>
      <c r="V860" s="527"/>
      <c r="W860" s="541"/>
      <c r="X860" s="408">
        <f>+R860+S860+T860+U860-V860+W860+Q860</f>
        <v>0</v>
      </c>
      <c r="Y860" s="211"/>
      <c r="Z860" s="211"/>
      <c r="AA860" s="211"/>
    </row>
    <row r="861" spans="1:27" s="204" customFormat="1" x14ac:dyDescent="0.25">
      <c r="B861" s="287" t="s">
        <v>2147</v>
      </c>
      <c r="C861" s="287" t="s">
        <v>2148</v>
      </c>
      <c r="D861" s="284" t="s">
        <v>3948</v>
      </c>
      <c r="E861" s="274"/>
      <c r="F861" s="274"/>
      <c r="G861" s="283"/>
      <c r="H861" s="266"/>
      <c r="I861" s="274"/>
      <c r="J861" s="281"/>
      <c r="K861" s="281"/>
      <c r="L861" s="469" t="s">
        <v>3949</v>
      </c>
      <c r="M861" s="284" t="s">
        <v>2962</v>
      </c>
      <c r="N861" s="443">
        <f>+R861</f>
        <v>0</v>
      </c>
      <c r="O861" s="443">
        <f>+X861</f>
        <v>0</v>
      </c>
      <c r="P861" s="271">
        <f t="shared" si="155"/>
        <v>0</v>
      </c>
      <c r="Q861" s="527"/>
      <c r="R861" s="354">
        <f>IF(ISERROR(VLOOKUP("SOC"&amp;$C861,ESTR_PREC_SP!$A$2:$G$2000,4,FALSE))=TRUE,0,VLOOKUP("SOC"&amp;$C861,ESTR_PREC_SP!$A$2:$G$2000,4,FALSE))</f>
        <v>0</v>
      </c>
      <c r="S861" s="527"/>
      <c r="T861" s="541"/>
      <c r="U861" s="541"/>
      <c r="V861" s="527"/>
      <c r="W861" s="541"/>
      <c r="X861" s="408">
        <f>+R861+S861+T861+U861-V861+W861+Q861</f>
        <v>0</v>
      </c>
      <c r="Y861" s="211"/>
      <c r="Z861" s="211"/>
      <c r="AA861" s="211"/>
    </row>
    <row r="862" spans="1:27" s="204" customFormat="1" x14ac:dyDescent="0.25">
      <c r="B862" s="287" t="s">
        <v>2152</v>
      </c>
      <c r="C862" s="287" t="s">
        <v>2153</v>
      </c>
      <c r="D862" s="284" t="s">
        <v>3950</v>
      </c>
      <c r="E862" s="274"/>
      <c r="F862" s="274"/>
      <c r="G862" s="283"/>
      <c r="H862" s="266"/>
      <c r="I862" s="274"/>
      <c r="J862" s="281"/>
      <c r="K862" s="281"/>
      <c r="L862" s="469" t="s">
        <v>3951</v>
      </c>
      <c r="M862" s="284" t="s">
        <v>2962</v>
      </c>
      <c r="N862" s="470">
        <f>SUM(N863:N867)</f>
        <v>0</v>
      </c>
      <c r="O862" s="470">
        <f>SUM(O863:O867)</f>
        <v>0</v>
      </c>
      <c r="P862" s="378">
        <f t="shared" si="155"/>
        <v>0</v>
      </c>
      <c r="Q862" s="543">
        <f>SUM(Q863:Q867)</f>
        <v>0</v>
      </c>
      <c r="R862" s="470">
        <f>SUM(R863:R867)</f>
        <v>0</v>
      </c>
      <c r="S862" s="543">
        <f>SUM(S863:S867)</f>
        <v>0</v>
      </c>
      <c r="T862" s="470">
        <f>SUM(T863:T867)</f>
        <v>0</v>
      </c>
      <c r="U862" s="470"/>
      <c r="V862" s="470">
        <f>SUM(V863:V867)</f>
        <v>0</v>
      </c>
      <c r="W862" s="470">
        <f>SUM(W863:W867)</f>
        <v>0</v>
      </c>
      <c r="X862" s="470">
        <f>SUM(X863:X867)</f>
        <v>0</v>
      </c>
      <c r="Y862" s="211"/>
      <c r="Z862" s="211"/>
      <c r="AA862" s="211"/>
    </row>
    <row r="863" spans="1:27" s="204" customFormat="1" ht="25.5" x14ac:dyDescent="0.25">
      <c r="B863" s="287" t="s">
        <v>2157</v>
      </c>
      <c r="C863" s="287" t="s">
        <v>2158</v>
      </c>
      <c r="D863" s="284" t="s">
        <v>3952</v>
      </c>
      <c r="E863" s="274"/>
      <c r="F863" s="274"/>
      <c r="G863" s="283"/>
      <c r="H863" s="266"/>
      <c r="I863" s="274"/>
      <c r="J863" s="281"/>
      <c r="K863" s="281"/>
      <c r="L863" s="471" t="s">
        <v>3953</v>
      </c>
      <c r="M863" s="284" t="s">
        <v>2962</v>
      </c>
      <c r="N863" s="443">
        <f t="shared" ref="N863:N868" si="156">+R863</f>
        <v>0</v>
      </c>
      <c r="O863" s="443">
        <f t="shared" ref="O863:O868" si="157">+X863</f>
        <v>0</v>
      </c>
      <c r="P863" s="271">
        <f t="shared" si="155"/>
        <v>0</v>
      </c>
      <c r="Q863" s="527"/>
      <c r="R863" s="354">
        <f>IF(ISERROR(VLOOKUP("SOC"&amp;$C863,ESTR_PREC_SP!$A$2:$G$2000,4,FALSE))=TRUE,0,VLOOKUP("SOC"&amp;$C863,ESTR_PREC_SP!$A$2:$G$2000,4,FALSE))</f>
        <v>0</v>
      </c>
      <c r="S863" s="527"/>
      <c r="T863" s="541"/>
      <c r="U863" s="541"/>
      <c r="V863" s="527"/>
      <c r="W863" s="541"/>
      <c r="X863" s="408">
        <f t="shared" ref="X863:X868" si="158">+R863+S863+T863+U863-V863+W863+Q863</f>
        <v>0</v>
      </c>
      <c r="Y863" s="211"/>
      <c r="Z863" s="211"/>
      <c r="AA863" s="211"/>
    </row>
    <row r="864" spans="1:27" s="204" customFormat="1" ht="25.5" x14ac:dyDescent="0.25">
      <c r="B864" s="287" t="s">
        <v>2160</v>
      </c>
      <c r="C864" s="287" t="s">
        <v>2161</v>
      </c>
      <c r="D864" s="284" t="s">
        <v>3954</v>
      </c>
      <c r="E864" s="274"/>
      <c r="F864" s="274"/>
      <c r="G864" s="283"/>
      <c r="H864" s="266"/>
      <c r="I864" s="274"/>
      <c r="J864" s="281"/>
      <c r="K864" s="281"/>
      <c r="L864" s="471" t="s">
        <v>3955</v>
      </c>
      <c r="M864" s="284" t="s">
        <v>2962</v>
      </c>
      <c r="N864" s="443">
        <f t="shared" si="156"/>
        <v>0</v>
      </c>
      <c r="O864" s="443">
        <f t="shared" si="157"/>
        <v>0</v>
      </c>
      <c r="P864" s="271">
        <f t="shared" si="155"/>
        <v>0</v>
      </c>
      <c r="Q864" s="527"/>
      <c r="R864" s="354">
        <f>IF(ISERROR(VLOOKUP("SOC"&amp;$C864,ESTR_PREC_SP!$A$2:$G$2000,4,FALSE))=TRUE,0,VLOOKUP("SOC"&amp;$C864,ESTR_PREC_SP!$A$2:$G$2000,4,FALSE))</f>
        <v>0</v>
      </c>
      <c r="S864" s="527"/>
      <c r="T864" s="541"/>
      <c r="U864" s="541"/>
      <c r="V864" s="527"/>
      <c r="W864" s="541"/>
      <c r="X864" s="408">
        <f t="shared" si="158"/>
        <v>0</v>
      </c>
      <c r="Y864" s="211"/>
      <c r="Z864" s="211"/>
      <c r="AA864" s="211"/>
    </row>
    <row r="865" spans="2:27" s="204" customFormat="1" ht="25.5" x14ac:dyDescent="0.25">
      <c r="B865" s="287" t="s">
        <v>2163</v>
      </c>
      <c r="C865" s="287" t="s">
        <v>2164</v>
      </c>
      <c r="D865" s="284" t="s">
        <v>3956</v>
      </c>
      <c r="E865" s="274"/>
      <c r="F865" s="274"/>
      <c r="G865" s="283"/>
      <c r="H865" s="266"/>
      <c r="I865" s="274"/>
      <c r="J865" s="281"/>
      <c r="K865" s="281"/>
      <c r="L865" s="471" t="s">
        <v>3957</v>
      </c>
      <c r="M865" s="284" t="s">
        <v>2962</v>
      </c>
      <c r="N865" s="443">
        <f t="shared" si="156"/>
        <v>0</v>
      </c>
      <c r="O865" s="443">
        <f t="shared" si="157"/>
        <v>0</v>
      </c>
      <c r="P865" s="271">
        <f t="shared" si="155"/>
        <v>0</v>
      </c>
      <c r="Q865" s="527"/>
      <c r="R865" s="354">
        <f>IF(ISERROR(VLOOKUP("SOC"&amp;$C865,ESTR_PREC_SP!$A$2:$G$2000,4,FALSE))=TRUE,0,VLOOKUP("SOC"&amp;$C865,ESTR_PREC_SP!$A$2:$G$2000,4,FALSE))</f>
        <v>0</v>
      </c>
      <c r="S865" s="527"/>
      <c r="T865" s="541"/>
      <c r="U865" s="541"/>
      <c r="V865" s="527"/>
      <c r="W865" s="541"/>
      <c r="X865" s="408">
        <f t="shared" si="158"/>
        <v>0</v>
      </c>
      <c r="Y865" s="211"/>
      <c r="Z865" s="211"/>
      <c r="AA865" s="211"/>
    </row>
    <row r="866" spans="2:27" s="204" customFormat="1" ht="25.5" x14ac:dyDescent="0.25">
      <c r="B866" s="287" t="s">
        <v>2166</v>
      </c>
      <c r="C866" s="287" t="s">
        <v>2167</v>
      </c>
      <c r="D866" s="284" t="s">
        <v>3958</v>
      </c>
      <c r="E866" s="274"/>
      <c r="F866" s="274"/>
      <c r="G866" s="283"/>
      <c r="H866" s="266"/>
      <c r="I866" s="274"/>
      <c r="J866" s="281"/>
      <c r="K866" s="281"/>
      <c r="L866" s="471" t="s">
        <v>3959</v>
      </c>
      <c r="M866" s="284" t="s">
        <v>2962</v>
      </c>
      <c r="N866" s="443">
        <f t="shared" si="156"/>
        <v>0</v>
      </c>
      <c r="O866" s="443">
        <f t="shared" si="157"/>
        <v>0</v>
      </c>
      <c r="P866" s="271">
        <f t="shared" si="155"/>
        <v>0</v>
      </c>
      <c r="Q866" s="527"/>
      <c r="R866" s="354">
        <f>IF(ISERROR(VLOOKUP("SOC"&amp;$C866,ESTR_PREC_SP!$A$2:$G$2000,4,FALSE))=TRUE,0,VLOOKUP("SOC"&amp;$C866,ESTR_PREC_SP!$A$2:$G$2000,4,FALSE))</f>
        <v>0</v>
      </c>
      <c r="S866" s="527"/>
      <c r="T866" s="541"/>
      <c r="U866" s="541"/>
      <c r="V866" s="527"/>
      <c r="W866" s="541"/>
      <c r="X866" s="408">
        <f t="shared" si="158"/>
        <v>0</v>
      </c>
      <c r="Y866" s="211"/>
      <c r="Z866" s="211"/>
      <c r="AA866" s="211"/>
    </row>
    <row r="867" spans="2:27" s="204" customFormat="1" ht="25.5" x14ac:dyDescent="0.25">
      <c r="B867" s="287" t="s">
        <v>2169</v>
      </c>
      <c r="C867" s="287" t="s">
        <v>2170</v>
      </c>
      <c r="D867" s="284" t="s">
        <v>3960</v>
      </c>
      <c r="E867" s="274"/>
      <c r="F867" s="274"/>
      <c r="G867" s="283"/>
      <c r="H867" s="266"/>
      <c r="I867" s="274"/>
      <c r="J867" s="281"/>
      <c r="K867" s="281"/>
      <c r="L867" s="471" t="s">
        <v>3961</v>
      </c>
      <c r="M867" s="284" t="s">
        <v>2962</v>
      </c>
      <c r="N867" s="443">
        <f t="shared" si="156"/>
        <v>0</v>
      </c>
      <c r="O867" s="443">
        <f t="shared" si="157"/>
        <v>0</v>
      </c>
      <c r="P867" s="271">
        <f t="shared" si="155"/>
        <v>0</v>
      </c>
      <c r="Q867" s="527"/>
      <c r="R867" s="354">
        <f>IF(ISERROR(VLOOKUP("SOC"&amp;$C867,ESTR_PREC_SP!$A$2:$G$2000,4,FALSE))=TRUE,0,VLOOKUP("SOC"&amp;$C867,ESTR_PREC_SP!$A$2:$G$2000,4,FALSE))</f>
        <v>0</v>
      </c>
      <c r="S867" s="527"/>
      <c r="T867" s="541"/>
      <c r="U867" s="541"/>
      <c r="V867" s="527"/>
      <c r="W867" s="541"/>
      <c r="X867" s="408">
        <f t="shared" si="158"/>
        <v>0</v>
      </c>
      <c r="Y867" s="211"/>
      <c r="Z867" s="211"/>
      <c r="AA867" s="211"/>
    </row>
    <row r="868" spans="2:27" s="204" customFormat="1" x14ac:dyDescent="0.25">
      <c r="B868" s="287" t="s">
        <v>2172</v>
      </c>
      <c r="C868" s="287" t="s">
        <v>2173</v>
      </c>
      <c r="D868" s="284" t="s">
        <v>3962</v>
      </c>
      <c r="E868" s="274"/>
      <c r="F868" s="274"/>
      <c r="G868" s="283"/>
      <c r="H868" s="266"/>
      <c r="I868" s="274"/>
      <c r="J868" s="281"/>
      <c r="K868" s="281"/>
      <c r="L868" s="469" t="s">
        <v>3963</v>
      </c>
      <c r="M868" s="284" t="s">
        <v>2962</v>
      </c>
      <c r="N868" s="443">
        <f t="shared" si="156"/>
        <v>0</v>
      </c>
      <c r="O868" s="443">
        <f t="shared" si="157"/>
        <v>0</v>
      </c>
      <c r="P868" s="271">
        <f t="shared" si="155"/>
        <v>0</v>
      </c>
      <c r="Q868" s="527"/>
      <c r="R868" s="354">
        <f>IF(ISERROR(VLOOKUP("SOC"&amp;$C868,ESTR_PREC_SP!$A$2:$G$2000,4,FALSE))=TRUE,0,VLOOKUP("SOC"&amp;$C868,ESTR_PREC_SP!$A$2:$G$2000,4,FALSE))</f>
        <v>0</v>
      </c>
      <c r="S868" s="527"/>
      <c r="T868" s="541"/>
      <c r="U868" s="541"/>
      <c r="V868" s="527"/>
      <c r="W868" s="541"/>
      <c r="X868" s="408">
        <f t="shared" si="158"/>
        <v>0</v>
      </c>
      <c r="Y868" s="211"/>
      <c r="Z868" s="211"/>
      <c r="AA868" s="211"/>
    </row>
    <row r="869" spans="2:27" s="204" customFormat="1" x14ac:dyDescent="0.25">
      <c r="B869" s="384"/>
      <c r="C869" s="384"/>
      <c r="D869" s="382"/>
      <c r="E869" s="382"/>
      <c r="F869" s="382"/>
      <c r="G869" s="382"/>
      <c r="H869" s="382"/>
      <c r="I869" s="382"/>
      <c r="J869" s="382"/>
      <c r="K869" s="382"/>
      <c r="L869" s="275"/>
      <c r="M869" s="275"/>
      <c r="N869" s="383"/>
      <c r="O869" s="383"/>
      <c r="P869" s="384"/>
      <c r="Q869" s="211"/>
      <c r="R869" s="444"/>
      <c r="S869" s="444"/>
      <c r="T869" s="211"/>
      <c r="U869" s="211"/>
      <c r="V869" s="211"/>
      <c r="W869" s="211"/>
      <c r="X869" s="211"/>
      <c r="Y869" s="211"/>
      <c r="Z869" s="211"/>
      <c r="AA869" s="211"/>
    </row>
    <row r="870" spans="2:27" s="204" customFormat="1" x14ac:dyDescent="0.25"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32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</row>
    <row r="871" spans="2:27" s="204" customFormat="1" x14ac:dyDescent="0.25">
      <c r="B871" s="246" t="s">
        <v>2177</v>
      </c>
      <c r="C871" s="246" t="s">
        <v>2178</v>
      </c>
      <c r="D871" s="247" t="s">
        <v>3964</v>
      </c>
      <c r="E871" s="247"/>
      <c r="F871" s="247"/>
      <c r="G871" s="247"/>
      <c r="H871" s="248"/>
      <c r="I871" s="247"/>
      <c r="J871" s="247"/>
      <c r="K871" s="249"/>
      <c r="L871" s="441" t="s">
        <v>2180</v>
      </c>
      <c r="M871" s="251" t="s">
        <v>2962</v>
      </c>
      <c r="N871" s="252">
        <f>+N874+N877+N884+N885+N886</f>
        <v>0</v>
      </c>
      <c r="O871" s="252">
        <f>+O874+O877+O884+O885+O886</f>
        <v>0</v>
      </c>
      <c r="P871" s="253">
        <f>+O871-N871</f>
        <v>0</v>
      </c>
      <c r="Q871" s="252">
        <f t="shared" ref="Q871:X871" si="159">+Q874+Q877+Q884+Q885+Q886</f>
        <v>0</v>
      </c>
      <c r="R871" s="252">
        <f t="shared" si="159"/>
        <v>0</v>
      </c>
      <c r="S871" s="252">
        <f t="shared" si="159"/>
        <v>0</v>
      </c>
      <c r="T871" s="252">
        <f t="shared" si="159"/>
        <v>0</v>
      </c>
      <c r="U871" s="252">
        <f t="shared" si="159"/>
        <v>0</v>
      </c>
      <c r="V871" s="252">
        <f t="shared" si="159"/>
        <v>0</v>
      </c>
      <c r="W871" s="252">
        <f t="shared" si="159"/>
        <v>0</v>
      </c>
      <c r="X871" s="252">
        <f t="shared" si="159"/>
        <v>0</v>
      </c>
      <c r="Y871" s="211"/>
      <c r="Z871" s="211"/>
      <c r="AA871" s="211"/>
    </row>
    <row r="872" spans="2:27" s="204" customFormat="1" x14ac:dyDescent="0.25"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32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</row>
    <row r="873" spans="2:27" s="204" customFormat="1" ht="39" customHeight="1" x14ac:dyDescent="0.25">
      <c r="B873" s="260" t="s">
        <v>2968</v>
      </c>
      <c r="C873" s="260" t="s">
        <v>2969</v>
      </c>
      <c r="D873" s="206" t="s">
        <v>72</v>
      </c>
      <c r="E873" s="206"/>
      <c r="F873" s="206"/>
      <c r="G873" s="207"/>
      <c r="H873" s="207"/>
      <c r="I873" s="207"/>
      <c r="J873" s="207" t="s">
        <v>2957</v>
      </c>
      <c r="K873" s="206" t="s">
        <v>82</v>
      </c>
      <c r="L873" s="261" t="s">
        <v>3670</v>
      </c>
      <c r="M873" s="256"/>
      <c r="N873" s="256" t="str">
        <f>N$15</f>
        <v>Valore netto al 31/12/2019</v>
      </c>
      <c r="O873" s="256" t="str">
        <f>O$15</f>
        <v>Valore netto al 31/12/2020</v>
      </c>
      <c r="P873" s="256" t="str">
        <f>P$15</f>
        <v>Variazione</v>
      </c>
      <c r="Q873" s="262" t="s">
        <v>2971</v>
      </c>
      <c r="R873" s="442" t="s">
        <v>3877</v>
      </c>
      <c r="S873" s="262" t="s">
        <v>2972</v>
      </c>
      <c r="T873" s="442" t="s">
        <v>3913</v>
      </c>
      <c r="U873" s="442" t="s">
        <v>3914</v>
      </c>
      <c r="V873" s="442" t="s">
        <v>3915</v>
      </c>
      <c r="W873" s="262" t="s">
        <v>4391</v>
      </c>
      <c r="X873" s="442" t="s">
        <v>3883</v>
      </c>
      <c r="Y873" s="211"/>
      <c r="Z873" s="211"/>
      <c r="AA873" s="211"/>
    </row>
    <row r="874" spans="2:27" s="204" customFormat="1" x14ac:dyDescent="0.25">
      <c r="B874" s="287" t="s">
        <v>2181</v>
      </c>
      <c r="C874" s="287" t="s">
        <v>2182</v>
      </c>
      <c r="D874" s="472" t="s">
        <v>3965</v>
      </c>
      <c r="E874" s="274"/>
      <c r="F874" s="274"/>
      <c r="G874" s="283"/>
      <c r="H874" s="266"/>
      <c r="I874" s="274"/>
      <c r="J874" s="281"/>
      <c r="K874" s="281"/>
      <c r="L874" s="473" t="s">
        <v>2185</v>
      </c>
      <c r="M874" s="284" t="s">
        <v>2962</v>
      </c>
      <c r="N874" s="470">
        <f>SUM(N875:N876)</f>
        <v>0</v>
      </c>
      <c r="O874" s="470">
        <f>SUM(O875:O876)</f>
        <v>0</v>
      </c>
      <c r="P874" s="378">
        <f t="shared" ref="P874:P882" si="160">+O874-N874</f>
        <v>0</v>
      </c>
      <c r="Q874" s="470">
        <f>SUM(Q875:Q876)</f>
        <v>0</v>
      </c>
      <c r="R874" s="470">
        <f>SUM(R875:R876)</f>
        <v>0</v>
      </c>
      <c r="S874" s="470">
        <f>SUM(S875:S876)</f>
        <v>0</v>
      </c>
      <c r="T874" s="470">
        <f>SUM(T875:T876)</f>
        <v>0</v>
      </c>
      <c r="U874" s="470"/>
      <c r="V874" s="470">
        <f>SUM(V875:V876)</f>
        <v>0</v>
      </c>
      <c r="W874" s="378">
        <f>SUM(W875:W876)</f>
        <v>0</v>
      </c>
      <c r="X874" s="378">
        <f>+R874+S874+T874-V874+W874+Q874</f>
        <v>0</v>
      </c>
      <c r="Y874" s="211"/>
      <c r="Z874" s="211"/>
      <c r="AA874" s="211"/>
    </row>
    <row r="875" spans="2:27" s="204" customFormat="1" x14ac:dyDescent="0.25">
      <c r="B875" s="287" t="s">
        <v>2186</v>
      </c>
      <c r="C875" s="287" t="s">
        <v>2187</v>
      </c>
      <c r="D875" s="472" t="s">
        <v>3966</v>
      </c>
      <c r="E875" s="274"/>
      <c r="F875" s="274"/>
      <c r="G875" s="283"/>
      <c r="H875" s="266"/>
      <c r="I875" s="274"/>
      <c r="J875" s="281"/>
      <c r="K875" s="281"/>
      <c r="L875" s="474" t="s">
        <v>3967</v>
      </c>
      <c r="M875" s="284" t="s">
        <v>2962</v>
      </c>
      <c r="N875" s="443">
        <f>+R875</f>
        <v>0</v>
      </c>
      <c r="O875" s="443">
        <f>+X875</f>
        <v>0</v>
      </c>
      <c r="P875" s="271">
        <f t="shared" si="160"/>
        <v>0</v>
      </c>
      <c r="Q875" s="541"/>
      <c r="R875" s="354">
        <f>IF(ISERROR(VLOOKUP("SOC"&amp;$C875,ESTR_PREC_SP!$A$2:$G$2000,4,FALSE))=TRUE,0,VLOOKUP("SOC"&amp;$C875,ESTR_PREC_SP!$A$2:$G$2000,4,FALSE))</f>
        <v>0</v>
      </c>
      <c r="S875" s="541"/>
      <c r="T875" s="541"/>
      <c r="U875" s="541"/>
      <c r="V875" s="378">
        <f>+Utilizzi_Fondi_Soc!$O$4</f>
        <v>0</v>
      </c>
      <c r="W875" s="541"/>
      <c r="X875" s="408">
        <f>+R875+S875+T875+U875-V875+W875+Q875</f>
        <v>0</v>
      </c>
      <c r="Y875" s="211"/>
      <c r="Z875" s="211"/>
      <c r="AA875" s="211"/>
    </row>
    <row r="876" spans="2:27" s="204" customFormat="1" x14ac:dyDescent="0.25">
      <c r="B876" s="287" t="s">
        <v>2189</v>
      </c>
      <c r="C876" s="287" t="s">
        <v>2190</v>
      </c>
      <c r="D876" s="472" t="s">
        <v>3968</v>
      </c>
      <c r="E876" s="274"/>
      <c r="F876" s="274"/>
      <c r="G876" s="283"/>
      <c r="H876" s="266"/>
      <c r="I876" s="274"/>
      <c r="J876" s="281"/>
      <c r="K876" s="281"/>
      <c r="L876" s="474" t="s">
        <v>3969</v>
      </c>
      <c r="M876" s="284" t="s">
        <v>2962</v>
      </c>
      <c r="N876" s="443">
        <f>+R876</f>
        <v>0</v>
      </c>
      <c r="O876" s="443">
        <f>+X876</f>
        <v>0</v>
      </c>
      <c r="P876" s="271">
        <f t="shared" si="160"/>
        <v>0</v>
      </c>
      <c r="Q876" s="541"/>
      <c r="R876" s="354">
        <f>IF(ISERROR(VLOOKUP("SOC"&amp;$C876,ESTR_PREC_SP!$A$2:$G$2000,4,FALSE))=TRUE,0,VLOOKUP("SOC"&amp;$C876,ESTR_PREC_SP!$A$2:$G$2000,4,FALSE))</f>
        <v>0</v>
      </c>
      <c r="S876" s="541"/>
      <c r="T876" s="541"/>
      <c r="U876" s="541"/>
      <c r="V876" s="378">
        <f>+Utilizzi_Fondi_Soc!$P$4</f>
        <v>0</v>
      </c>
      <c r="W876" s="541"/>
      <c r="X876" s="408">
        <f>+R876+S876+T876+U876-V876+W876+Q876</f>
        <v>0</v>
      </c>
      <c r="Y876" s="211"/>
      <c r="Z876" s="211"/>
      <c r="AA876" s="211"/>
    </row>
    <row r="877" spans="2:27" s="204" customFormat="1" x14ac:dyDescent="0.25">
      <c r="B877" s="287" t="s">
        <v>2192</v>
      </c>
      <c r="C877" s="287" t="s">
        <v>2193</v>
      </c>
      <c r="D877" s="472" t="s">
        <v>3970</v>
      </c>
      <c r="E877" s="274"/>
      <c r="F877" s="274"/>
      <c r="G877" s="283"/>
      <c r="H877" s="266"/>
      <c r="I877" s="274"/>
      <c r="J877" s="281"/>
      <c r="K877" s="281"/>
      <c r="L877" s="473" t="s">
        <v>2195</v>
      </c>
      <c r="M877" s="284" t="s">
        <v>2962</v>
      </c>
      <c r="N877" s="470">
        <f>SUM(N878:N882)</f>
        <v>0</v>
      </c>
      <c r="O877" s="470">
        <f>SUM(O878:O882)</f>
        <v>0</v>
      </c>
      <c r="P877" s="378">
        <f t="shared" si="160"/>
        <v>0</v>
      </c>
      <c r="Q877" s="470">
        <f>SUM(Q878:Q882)</f>
        <v>0</v>
      </c>
      <c r="R877" s="470">
        <f>SUM(R878:R882)</f>
        <v>0</v>
      </c>
      <c r="S877" s="470">
        <f>SUM(S878:S882)</f>
        <v>0</v>
      </c>
      <c r="T877" s="470">
        <f>SUM(T878:T882)</f>
        <v>0</v>
      </c>
      <c r="U877" s="470"/>
      <c r="V877" s="470">
        <f>SUM(V878:V882)</f>
        <v>0</v>
      </c>
      <c r="W877" s="378">
        <f>SUM(W878:W882)</f>
        <v>0</v>
      </c>
      <c r="X877" s="378">
        <f>+R877+S877+T877-V877+W877+Q877</f>
        <v>0</v>
      </c>
      <c r="Y877" s="211"/>
      <c r="Z877" s="211"/>
      <c r="AA877" s="211"/>
    </row>
    <row r="878" spans="2:27" s="204" customFormat="1" x14ac:dyDescent="0.25">
      <c r="B878" s="287" t="s">
        <v>2196</v>
      </c>
      <c r="C878" s="287" t="s">
        <v>2197</v>
      </c>
      <c r="D878" s="284" t="s">
        <v>3971</v>
      </c>
      <c r="E878" s="274"/>
      <c r="F878" s="274"/>
      <c r="G878" s="283"/>
      <c r="H878" s="266"/>
      <c r="I878" s="274"/>
      <c r="J878" s="281"/>
      <c r="K878" s="281"/>
      <c r="L878" s="475" t="s">
        <v>3972</v>
      </c>
      <c r="M878" s="284" t="s">
        <v>2962</v>
      </c>
      <c r="N878" s="443">
        <f>+R878</f>
        <v>0</v>
      </c>
      <c r="O878" s="443">
        <f>+X878</f>
        <v>0</v>
      </c>
      <c r="P878" s="271">
        <f t="shared" si="160"/>
        <v>0</v>
      </c>
      <c r="Q878" s="541"/>
      <c r="R878" s="354">
        <f>IF(ISERROR(VLOOKUP("SOC"&amp;$C878,ESTR_PREC_SP!$A$2:$G$2000,4,FALSE))=TRUE,0,VLOOKUP("SOC"&amp;$C878,ESTR_PREC_SP!$A$2:$G$2000,4,FALSE))</f>
        <v>0</v>
      </c>
      <c r="S878" s="541"/>
      <c r="T878" s="541"/>
      <c r="U878" s="541"/>
      <c r="V878" s="378">
        <f>+Utilizzi_Fondi_Soc!$Q$4</f>
        <v>0</v>
      </c>
      <c r="W878" s="541"/>
      <c r="X878" s="408">
        <f>+R878+S878+T878+U878-V878+W878+Q878</f>
        <v>0</v>
      </c>
      <c r="Y878" s="211"/>
      <c r="Z878" s="211"/>
      <c r="AA878" s="211"/>
    </row>
    <row r="879" spans="2:27" s="204" customFormat="1" x14ac:dyDescent="0.25">
      <c r="B879" s="287" t="s">
        <v>2200</v>
      </c>
      <c r="C879" s="287" t="s">
        <v>2201</v>
      </c>
      <c r="D879" s="284" t="s">
        <v>3973</v>
      </c>
      <c r="E879" s="274"/>
      <c r="F879" s="274"/>
      <c r="G879" s="283"/>
      <c r="H879" s="266"/>
      <c r="I879" s="274"/>
      <c r="J879" s="281"/>
      <c r="K879" s="281"/>
      <c r="L879" s="475" t="s">
        <v>3974</v>
      </c>
      <c r="M879" s="284" t="s">
        <v>2962</v>
      </c>
      <c r="N879" s="443">
        <f>+R879</f>
        <v>0</v>
      </c>
      <c r="O879" s="443">
        <f>+X879</f>
        <v>0</v>
      </c>
      <c r="P879" s="271">
        <f t="shared" si="160"/>
        <v>0</v>
      </c>
      <c r="Q879" s="541"/>
      <c r="R879" s="354">
        <f>IF(ISERROR(VLOOKUP("SOC"&amp;$C879,ESTR_PREC_SP!$A$2:$G$2000,4,FALSE))=TRUE,0,VLOOKUP("SOC"&amp;$C879,ESTR_PREC_SP!$A$2:$G$2000,4,FALSE))</f>
        <v>0</v>
      </c>
      <c r="S879" s="541"/>
      <c r="T879" s="541"/>
      <c r="U879" s="541"/>
      <c r="V879" s="378">
        <f>+Utilizzi_Fondi_Soc!$R$4</f>
        <v>0</v>
      </c>
      <c r="W879" s="541"/>
      <c r="X879" s="408">
        <f>+R879+S879+T879+U879-V879+W879+Q879</f>
        <v>0</v>
      </c>
      <c r="Y879" s="211"/>
      <c r="Z879" s="211"/>
      <c r="AA879" s="211"/>
    </row>
    <row r="880" spans="2:27" s="204" customFormat="1" x14ac:dyDescent="0.25">
      <c r="B880" s="287" t="s">
        <v>2203</v>
      </c>
      <c r="C880" s="287" t="s">
        <v>2204</v>
      </c>
      <c r="D880" s="284" t="s">
        <v>3975</v>
      </c>
      <c r="E880" s="274"/>
      <c r="F880" s="274"/>
      <c r="G880" s="283"/>
      <c r="H880" s="266"/>
      <c r="I880" s="274"/>
      <c r="J880" s="281"/>
      <c r="K880" s="281"/>
      <c r="L880" s="475" t="s">
        <v>3976</v>
      </c>
      <c r="M880" s="284" t="s">
        <v>2962</v>
      </c>
      <c r="N880" s="443">
        <f>+R880</f>
        <v>0</v>
      </c>
      <c r="O880" s="443">
        <f>+X880</f>
        <v>0</v>
      </c>
      <c r="P880" s="271">
        <f t="shared" si="160"/>
        <v>0</v>
      </c>
      <c r="Q880" s="541"/>
      <c r="R880" s="354">
        <f>IF(ISERROR(VLOOKUP("SOC"&amp;$C880,ESTR_PREC_SP!$A$2:$G$2000,4,FALSE))=TRUE,0,VLOOKUP("SOC"&amp;$C880,ESTR_PREC_SP!$A$2:$G$2000,4,FALSE))</f>
        <v>0</v>
      </c>
      <c r="S880" s="541"/>
      <c r="T880" s="541"/>
      <c r="U880" s="541"/>
      <c r="V880" s="378">
        <f>+Utilizzi_Fondi_Soc!$S$4</f>
        <v>0</v>
      </c>
      <c r="W880" s="541"/>
      <c r="X880" s="408">
        <f>+R880+S880+T880+U880-V880+W880+Q880</f>
        <v>0</v>
      </c>
      <c r="Y880" s="211"/>
      <c r="Z880" s="211"/>
      <c r="AA880" s="211"/>
    </row>
    <row r="881" spans="1:27" s="204" customFormat="1" x14ac:dyDescent="0.25">
      <c r="B881" s="287" t="s">
        <v>2206</v>
      </c>
      <c r="C881" s="287" t="s">
        <v>2207</v>
      </c>
      <c r="D881" s="284" t="s">
        <v>3977</v>
      </c>
      <c r="E881" s="274"/>
      <c r="F881" s="274"/>
      <c r="G881" s="283"/>
      <c r="H881" s="266"/>
      <c r="I881" s="274"/>
      <c r="J881" s="281"/>
      <c r="K881" s="281"/>
      <c r="L881" s="475" t="s">
        <v>3978</v>
      </c>
      <c r="M881" s="284" t="s">
        <v>2962</v>
      </c>
      <c r="N881" s="443">
        <f>+R881</f>
        <v>0</v>
      </c>
      <c r="O881" s="443">
        <f>+X881</f>
        <v>0</v>
      </c>
      <c r="P881" s="271">
        <f t="shared" si="160"/>
        <v>0</v>
      </c>
      <c r="Q881" s="541"/>
      <c r="R881" s="354">
        <f>IF(ISERROR(VLOOKUP("SOC"&amp;$C881,ESTR_PREC_SP!$A$2:$G$2000,4,FALSE))=TRUE,0,VLOOKUP("SOC"&amp;$C881,ESTR_PREC_SP!$A$2:$G$2000,4,FALSE))</f>
        <v>0</v>
      </c>
      <c r="S881" s="541"/>
      <c r="T881" s="541"/>
      <c r="U881" s="541"/>
      <c r="V881" s="378">
        <f>+Utilizzi_Fondi_Soc!$T$4</f>
        <v>0</v>
      </c>
      <c r="W881" s="541"/>
      <c r="X881" s="408">
        <f>+R881+S881+T881+U881-V881+W881+Q881</f>
        <v>0</v>
      </c>
      <c r="Y881" s="211"/>
      <c r="Z881" s="211"/>
      <c r="AA881" s="211"/>
    </row>
    <row r="882" spans="1:27" s="204" customFormat="1" x14ac:dyDescent="0.25">
      <c r="B882" s="287" t="s">
        <v>2210</v>
      </c>
      <c r="C882" s="287" t="s">
        <v>2211</v>
      </c>
      <c r="D882" s="284" t="s">
        <v>3979</v>
      </c>
      <c r="E882" s="274"/>
      <c r="F882" s="274"/>
      <c r="G882" s="283"/>
      <c r="H882" s="266"/>
      <c r="I882" s="274"/>
      <c r="J882" s="281"/>
      <c r="K882" s="281"/>
      <c r="L882" s="476" t="s">
        <v>3980</v>
      </c>
      <c r="M882" s="284" t="s">
        <v>2962</v>
      </c>
      <c r="N882" s="443">
        <f>+R882</f>
        <v>0</v>
      </c>
      <c r="O882" s="443">
        <f>+X882</f>
        <v>0</v>
      </c>
      <c r="P882" s="271">
        <f t="shared" si="160"/>
        <v>0</v>
      </c>
      <c r="Q882" s="541"/>
      <c r="R882" s="354">
        <f>IF(ISERROR(VLOOKUP("SOC"&amp;$C882,ESTR_PREC_SP!$A$2:$G$2000,4,FALSE))=TRUE,0,VLOOKUP("SOC"&amp;$C882,ESTR_PREC_SP!$A$2:$G$2000,4,FALSE))</f>
        <v>0</v>
      </c>
      <c r="S882" s="541"/>
      <c r="T882" s="541"/>
      <c r="U882" s="541"/>
      <c r="V882" s="378">
        <f>+Utilizzi_Fondi_Soc!$U$4</f>
        <v>0</v>
      </c>
      <c r="W882" s="541"/>
      <c r="X882" s="408">
        <f>+R882+S882+T882+U882-V882+W882+Q882</f>
        <v>0</v>
      </c>
      <c r="Y882" s="211"/>
      <c r="Z882" s="211"/>
      <c r="AA882" s="211"/>
    </row>
    <row r="883" spans="1:27" s="204" customFormat="1" x14ac:dyDescent="0.25">
      <c r="B883" s="287" t="s">
        <v>2214</v>
      </c>
      <c r="C883" s="287" t="s">
        <v>2215</v>
      </c>
      <c r="D883" s="472" t="s">
        <v>3981</v>
      </c>
      <c r="E883" s="274"/>
      <c r="F883" s="274"/>
      <c r="G883" s="283"/>
      <c r="H883" s="266"/>
      <c r="I883" s="274"/>
      <c r="J883" s="281"/>
      <c r="K883" s="281"/>
      <c r="L883" s="295" t="s">
        <v>2216</v>
      </c>
      <c r="M883" s="284" t="s">
        <v>2962</v>
      </c>
      <c r="N883" s="352"/>
      <c r="O883" s="352"/>
      <c r="P883" s="352"/>
      <c r="Q883" s="352"/>
      <c r="R883" s="354">
        <f>IF(ISERROR(VLOOKUP("SOC"&amp;$C883,ESTR_PREC_SP!$A$2:$G$2000,4,FALSE))=TRUE,0,VLOOKUP("SOC"&amp;$C883,ESTR_PREC_SP!$A$2:$G$2000,4,FALSE))</f>
        <v>0</v>
      </c>
      <c r="S883" s="352"/>
      <c r="T883" s="352"/>
      <c r="U883" s="352"/>
      <c r="V883" s="352"/>
      <c r="W883" s="352"/>
      <c r="X883" s="352"/>
      <c r="Y883" s="211"/>
      <c r="Z883" s="211"/>
      <c r="AA883" s="211"/>
    </row>
    <row r="884" spans="1:27" s="204" customFormat="1" x14ac:dyDescent="0.25">
      <c r="B884" s="287" t="s">
        <v>2217</v>
      </c>
      <c r="C884" s="287" t="s">
        <v>2218</v>
      </c>
      <c r="D884" s="472" t="s">
        <v>3981</v>
      </c>
      <c r="E884" s="274"/>
      <c r="F884" s="274"/>
      <c r="G884" s="283"/>
      <c r="H884" s="266"/>
      <c r="I884" s="274"/>
      <c r="J884" s="281"/>
      <c r="K884" s="281"/>
      <c r="L884" s="476" t="s">
        <v>3982</v>
      </c>
      <c r="M884" s="284" t="s">
        <v>2962</v>
      </c>
      <c r="N884" s="443">
        <f>+R884</f>
        <v>0</v>
      </c>
      <c r="O884" s="443">
        <f>+X884</f>
        <v>0</v>
      </c>
      <c r="P884" s="271">
        <f>+O884-N884</f>
        <v>0</v>
      </c>
      <c r="Q884" s="527"/>
      <c r="R884" s="354">
        <f>IF(ISERROR(VLOOKUP("SOC"&amp;$C884,ESTR_PREC_SP!$A$2:$G$2000,4,FALSE))=TRUE,0,VLOOKUP("SOC"&amp;$C884,ESTR_PREC_SP!$A$2:$G$2000,4,FALSE))</f>
        <v>0</v>
      </c>
      <c r="S884" s="527"/>
      <c r="T884" s="541"/>
      <c r="U884" s="541"/>
      <c r="V884" s="378">
        <f>+Utilizzi_Fondi_Soc!$V$4</f>
        <v>0</v>
      </c>
      <c r="W884" s="541"/>
      <c r="X884" s="408">
        <f>+R884+S884+T884+U884-V884+W884+Q884</f>
        <v>0</v>
      </c>
      <c r="Y884" s="211"/>
      <c r="Z884" s="211"/>
      <c r="AA884" s="211"/>
    </row>
    <row r="885" spans="1:27" s="204" customFormat="1" x14ac:dyDescent="0.25">
      <c r="B885" s="287" t="s">
        <v>2222</v>
      </c>
      <c r="C885" s="287" t="s">
        <v>2223</v>
      </c>
      <c r="D885" s="472" t="s">
        <v>3981</v>
      </c>
      <c r="E885" s="274"/>
      <c r="F885" s="274"/>
      <c r="G885" s="283"/>
      <c r="H885" s="266"/>
      <c r="I885" s="274"/>
      <c r="J885" s="281"/>
      <c r="K885" s="281"/>
      <c r="L885" s="476" t="s">
        <v>3983</v>
      </c>
      <c r="M885" s="284" t="s">
        <v>2962</v>
      </c>
      <c r="N885" s="443">
        <f>+R885</f>
        <v>0</v>
      </c>
      <c r="O885" s="443">
        <f>+X885</f>
        <v>0</v>
      </c>
      <c r="P885" s="271">
        <f>+O885-N885</f>
        <v>0</v>
      </c>
      <c r="Q885" s="527"/>
      <c r="R885" s="354">
        <f>IF(ISERROR(VLOOKUP("SOC"&amp;$C885,ESTR_PREC_SP!$A$2:$G$2000,4,FALSE))=TRUE,0,VLOOKUP("SOC"&amp;$C885,ESTR_PREC_SP!$A$2:$G$2000,4,FALSE))</f>
        <v>0</v>
      </c>
      <c r="S885" s="527"/>
      <c r="T885" s="541"/>
      <c r="U885" s="541"/>
      <c r="V885" s="378">
        <f>+Utilizzi_Fondi_Soc!$W$4</f>
        <v>0</v>
      </c>
      <c r="W885" s="541"/>
      <c r="X885" s="408">
        <f>+R885+S885+T885+U885-V885+W885+Q885</f>
        <v>0</v>
      </c>
      <c r="Y885" s="211"/>
      <c r="Z885" s="211"/>
      <c r="AA885" s="211"/>
    </row>
    <row r="886" spans="1:27" s="204" customFormat="1" x14ac:dyDescent="0.25">
      <c r="A886" s="535" t="s">
        <v>3681</v>
      </c>
      <c r="B886" s="536" t="s">
        <v>2225</v>
      </c>
      <c r="C886" s="536" t="s">
        <v>2226</v>
      </c>
      <c r="D886" s="536"/>
      <c r="E886" s="536"/>
      <c r="F886" s="536"/>
      <c r="G886" s="536"/>
      <c r="H886" s="536"/>
      <c r="I886" s="536"/>
      <c r="J886" s="536"/>
      <c r="K886" s="536"/>
      <c r="L886" s="536" t="s">
        <v>2228</v>
      </c>
      <c r="M886" s="284" t="s">
        <v>2962</v>
      </c>
      <c r="N886" s="443">
        <f>+R886</f>
        <v>0</v>
      </c>
      <c r="O886" s="443">
        <f>+X886</f>
        <v>0</v>
      </c>
      <c r="P886" s="271">
        <f>+O886-N886</f>
        <v>0</v>
      </c>
      <c r="Q886" s="527"/>
      <c r="R886" s="354">
        <f>IF(ISERROR(VLOOKUP("SOC"&amp;$C886,ESTR_PREC_SP!$A$2:$G$2000,4,FALSE))=TRUE,0,VLOOKUP("SOC"&amp;$C886,ESTR_PREC_SP!$A$2:$G$2000,4,FALSE))</f>
        <v>0</v>
      </c>
      <c r="S886" s="527"/>
      <c r="T886" s="541"/>
      <c r="U886" s="541"/>
      <c r="V886" s="378">
        <f>+Utilizzi_Fondi_Soc!$X$4</f>
        <v>0</v>
      </c>
      <c r="W886" s="541"/>
      <c r="X886" s="408">
        <f>+R886+S886+T886+U886-V886+W886+Q886</f>
        <v>0</v>
      </c>
      <c r="Y886" s="211"/>
      <c r="Z886" s="211"/>
      <c r="AA886" s="211"/>
    </row>
    <row r="887" spans="1:27" s="204" customFormat="1" x14ac:dyDescent="0.25"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32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</row>
    <row r="888" spans="1:27" s="204" customFormat="1" x14ac:dyDescent="0.25">
      <c r="B888" s="230"/>
      <c r="C888" s="230"/>
      <c r="D888" s="230"/>
      <c r="E888" s="230"/>
      <c r="F888" s="230"/>
      <c r="G888" s="230"/>
      <c r="H888" s="231"/>
      <c r="I888" s="230"/>
      <c r="J888" s="230"/>
      <c r="K888" s="230"/>
      <c r="L888" s="478"/>
      <c r="M888" s="211"/>
      <c r="N888" s="254"/>
      <c r="O888" s="211"/>
      <c r="P888" s="211"/>
      <c r="Q888" s="211"/>
      <c r="R888" s="211"/>
      <c r="S888" s="479"/>
      <c r="T888" s="479"/>
      <c r="U888" s="479"/>
      <c r="V888" s="479"/>
      <c r="W888" s="211"/>
      <c r="X888" s="211"/>
      <c r="Y888" s="211"/>
      <c r="Z888" s="211"/>
      <c r="AA888" s="211"/>
    </row>
    <row r="889" spans="1:27" s="204" customFormat="1" x14ac:dyDescent="0.25">
      <c r="B889" s="233" t="s">
        <v>2229</v>
      </c>
      <c r="C889" s="233" t="s">
        <v>2230</v>
      </c>
      <c r="D889" s="234" t="s">
        <v>3984</v>
      </c>
      <c r="E889" s="234"/>
      <c r="F889" s="234"/>
      <c r="G889" s="234"/>
      <c r="H889" s="235"/>
      <c r="I889" s="234"/>
      <c r="J889" s="234"/>
      <c r="K889" s="234"/>
      <c r="L889" s="236" t="s">
        <v>2231</v>
      </c>
      <c r="M889" s="237" t="s">
        <v>2962</v>
      </c>
      <c r="N889" s="238">
        <f>+N891+N900+N903</f>
        <v>0</v>
      </c>
      <c r="O889" s="238">
        <f>+O891+O900+O903</f>
        <v>0</v>
      </c>
      <c r="P889" s="239">
        <f>+O889-N889</f>
        <v>0</v>
      </c>
      <c r="Q889" s="238">
        <f>+Q891+Q900+Q903</f>
        <v>0</v>
      </c>
      <c r="R889" s="238">
        <f>+R891+R900+R903</f>
        <v>0</v>
      </c>
      <c r="S889" s="238">
        <f>+S891+T900+S903</f>
        <v>0</v>
      </c>
      <c r="T889" s="238">
        <f>+T891+T900+T903</f>
        <v>0</v>
      </c>
      <c r="U889" s="238">
        <f>+U891+U900+U903</f>
        <v>0</v>
      </c>
      <c r="V889" s="238">
        <f>+V891+V900+V903</f>
        <v>0</v>
      </c>
      <c r="W889" s="238">
        <f>+W891+W900+W903</f>
        <v>0</v>
      </c>
      <c r="X889" s="238">
        <f>+X891+X900+X903</f>
        <v>0</v>
      </c>
      <c r="Y889" s="211"/>
      <c r="Z889" s="211"/>
      <c r="AA889" s="211"/>
    </row>
    <row r="890" spans="1:27" s="204" customFormat="1" x14ac:dyDescent="0.25">
      <c r="B890" s="230"/>
      <c r="C890" s="230"/>
      <c r="D890" s="230"/>
      <c r="E890" s="230"/>
      <c r="F890" s="230"/>
      <c r="G890" s="230"/>
      <c r="H890" s="231"/>
      <c r="I890" s="230"/>
      <c r="J890" s="230"/>
      <c r="K890" s="230"/>
      <c r="L890" s="232"/>
      <c r="M890" s="211"/>
      <c r="N890" s="254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</row>
    <row r="891" spans="1:27" s="204" customFormat="1" x14ac:dyDescent="0.25">
      <c r="B891" s="246" t="s">
        <v>2232</v>
      </c>
      <c r="C891" s="246" t="s">
        <v>2233</v>
      </c>
      <c r="D891" s="247" t="s">
        <v>3985</v>
      </c>
      <c r="E891" s="247"/>
      <c r="F891" s="247"/>
      <c r="G891" s="247"/>
      <c r="H891" s="248"/>
      <c r="I891" s="247"/>
      <c r="J891" s="247"/>
      <c r="K891" s="249"/>
      <c r="L891" s="441" t="s">
        <v>2237</v>
      </c>
      <c r="M891" s="251" t="s">
        <v>2962</v>
      </c>
      <c r="N891" s="252">
        <f>SUM(N894:N896)</f>
        <v>0</v>
      </c>
      <c r="O891" s="252">
        <f>SUM(O894:O896)</f>
        <v>0</v>
      </c>
      <c r="P891" s="253">
        <f>+O891-N891</f>
        <v>0</v>
      </c>
      <c r="Q891" s="252">
        <f>SUM(Q894:Q896)</f>
        <v>0</v>
      </c>
      <c r="R891" s="252">
        <f>SUM(R894:R896)</f>
        <v>0</v>
      </c>
      <c r="S891" s="252">
        <f>SUM(T894:T896)</f>
        <v>0</v>
      </c>
      <c r="T891" s="252">
        <f>SUM(T894:T896)</f>
        <v>0</v>
      </c>
      <c r="U891" s="252">
        <f>SUM(U894:U896)</f>
        <v>0</v>
      </c>
      <c r="V891" s="252">
        <f>SUM(V894:V896)</f>
        <v>0</v>
      </c>
      <c r="W891" s="252">
        <f>SUM(W894:W896)</f>
        <v>0</v>
      </c>
      <c r="X891" s="252">
        <f>SUM(X894:X896)</f>
        <v>0</v>
      </c>
      <c r="Y891" s="211"/>
      <c r="Z891" s="211"/>
      <c r="AA891" s="211"/>
    </row>
    <row r="892" spans="1:27" s="204" customFormat="1" x14ac:dyDescent="0.25">
      <c r="B892" s="230"/>
      <c r="C892" s="230"/>
      <c r="D892" s="230"/>
      <c r="E892" s="230"/>
      <c r="F892" s="230"/>
      <c r="G892" s="230"/>
      <c r="H892" s="231"/>
      <c r="I892" s="230"/>
      <c r="J892" s="230"/>
      <c r="K892" s="230"/>
      <c r="L892" s="232"/>
      <c r="M892" s="211"/>
      <c r="N892" s="254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</row>
    <row r="893" spans="1:27" s="204" customFormat="1" ht="39" customHeight="1" x14ac:dyDescent="0.25">
      <c r="B893" s="260" t="s">
        <v>2968</v>
      </c>
      <c r="C893" s="260" t="s">
        <v>2969</v>
      </c>
      <c r="D893" s="206" t="s">
        <v>72</v>
      </c>
      <c r="E893" s="206"/>
      <c r="F893" s="206"/>
      <c r="G893" s="207"/>
      <c r="H893" s="207"/>
      <c r="I893" s="207"/>
      <c r="J893" s="207" t="s">
        <v>2957</v>
      </c>
      <c r="K893" s="206" t="s">
        <v>82</v>
      </c>
      <c r="L893" s="261" t="s">
        <v>3670</v>
      </c>
      <c r="M893" s="480"/>
      <c r="N893" s="256" t="str">
        <f>N$15</f>
        <v>Valore netto al 31/12/2019</v>
      </c>
      <c r="O893" s="256" t="str">
        <f>O$15</f>
        <v>Valore netto al 31/12/2020</v>
      </c>
      <c r="P893" s="256" t="str">
        <f>P$15</f>
        <v>Variazione</v>
      </c>
      <c r="Q893" s="262" t="s">
        <v>2971</v>
      </c>
      <c r="R893" s="442" t="s">
        <v>3877</v>
      </c>
      <c r="S893" s="262" t="s">
        <v>2972</v>
      </c>
      <c r="T893" s="442" t="s">
        <v>3913</v>
      </c>
      <c r="U893" s="442" t="s">
        <v>3914</v>
      </c>
      <c r="V893" s="442" t="s">
        <v>3915</v>
      </c>
      <c r="W893" s="262" t="s">
        <v>4391</v>
      </c>
      <c r="X893" s="442" t="s">
        <v>3883</v>
      </c>
      <c r="Y893" s="211"/>
      <c r="Z893" s="211"/>
      <c r="AA893" s="211"/>
    </row>
    <row r="894" spans="1:27" s="204" customFormat="1" x14ac:dyDescent="0.25">
      <c r="B894" s="284" t="s">
        <v>2238</v>
      </c>
      <c r="C894" s="284" t="s">
        <v>2239</v>
      </c>
      <c r="D894" s="274" t="s">
        <v>3986</v>
      </c>
      <c r="E894" s="274"/>
      <c r="F894" s="274"/>
      <c r="G894" s="283"/>
      <c r="H894" s="266"/>
      <c r="I894" s="274"/>
      <c r="J894" s="281"/>
      <c r="K894" s="281"/>
      <c r="L894" s="422" t="s">
        <v>3987</v>
      </c>
      <c r="M894" s="284" t="s">
        <v>2962</v>
      </c>
      <c r="N894" s="443">
        <f>+R894</f>
        <v>0</v>
      </c>
      <c r="O894" s="443">
        <f>+X894</f>
        <v>0</v>
      </c>
      <c r="P894" s="271">
        <f>+O894-N894</f>
        <v>0</v>
      </c>
      <c r="Q894" s="527"/>
      <c r="R894" s="354">
        <f>IF(ISERROR(VLOOKUP("SOC"&amp;$C894,ESTR_PREC_SP!$A$2:$G$2000,4,FALSE))=TRUE,0,VLOOKUP("SOC"&amp;$C894,ESTR_PREC_SP!$A$2:$G$2000,4,FALSE))</f>
        <v>0</v>
      </c>
      <c r="S894" s="352"/>
      <c r="T894" s="352"/>
      <c r="U894" s="541"/>
      <c r="V894" s="378">
        <f>+Utilizzi_Fondi_Soc!$Y$4</f>
        <v>0</v>
      </c>
      <c r="W894" s="541"/>
      <c r="X894" s="408">
        <f>+R894+S894+T894+U894-V894+W894+Q894</f>
        <v>0</v>
      </c>
      <c r="Y894" s="211"/>
      <c r="Z894" s="211"/>
      <c r="AA894" s="211"/>
    </row>
    <row r="895" spans="1:27" s="204" customFormat="1" x14ac:dyDescent="0.25">
      <c r="B895" s="284" t="s">
        <v>2241</v>
      </c>
      <c r="C895" s="284" t="s">
        <v>2242</v>
      </c>
      <c r="D895" s="274" t="s">
        <v>3988</v>
      </c>
      <c r="E895" s="274"/>
      <c r="F895" s="274"/>
      <c r="G895" s="283"/>
      <c r="H895" s="266"/>
      <c r="I895" s="274"/>
      <c r="J895" s="281"/>
      <c r="K895" s="281"/>
      <c r="L895" s="422" t="s">
        <v>3989</v>
      </c>
      <c r="M895" s="284" t="s">
        <v>2962</v>
      </c>
      <c r="N895" s="443">
        <f>+R895</f>
        <v>0</v>
      </c>
      <c r="O895" s="443">
        <f>+X895</f>
        <v>0</v>
      </c>
      <c r="P895" s="271">
        <f>+O895-N895</f>
        <v>0</v>
      </c>
      <c r="Q895" s="527"/>
      <c r="R895" s="354">
        <f>IF(ISERROR(VLOOKUP("SOC"&amp;$C895,ESTR_PREC_SP!$A$2:$G$2000,4,FALSE))=TRUE,0,VLOOKUP("SOC"&amp;$C895,ESTR_PREC_SP!$A$2:$G$2000,4,FALSE))</f>
        <v>0</v>
      </c>
      <c r="S895" s="352"/>
      <c r="T895" s="352"/>
      <c r="U895" s="541"/>
      <c r="V895" s="378">
        <f>+Utilizzi_Fondi_Soc!$Z$4</f>
        <v>0</v>
      </c>
      <c r="W895" s="541"/>
      <c r="X895" s="408">
        <f>+R895+S895+T895+U895-V895+W895+Q895</f>
        <v>0</v>
      </c>
      <c r="Y895" s="211"/>
      <c r="Z895" s="211"/>
      <c r="AA895" s="211"/>
    </row>
    <row r="896" spans="1:27" s="204" customFormat="1" x14ac:dyDescent="0.25">
      <c r="B896" s="284" t="s">
        <v>2244</v>
      </c>
      <c r="C896" s="284" t="s">
        <v>2245</v>
      </c>
      <c r="D896" s="274" t="s">
        <v>3990</v>
      </c>
      <c r="E896" s="274"/>
      <c r="F896" s="274"/>
      <c r="G896" s="283"/>
      <c r="H896" s="266"/>
      <c r="I896" s="274"/>
      <c r="J896" s="281"/>
      <c r="K896" s="281"/>
      <c r="L896" s="422" t="s">
        <v>3991</v>
      </c>
      <c r="M896" s="284" t="s">
        <v>2962</v>
      </c>
      <c r="N896" s="443">
        <f>+R896</f>
        <v>0</v>
      </c>
      <c r="O896" s="443">
        <f>+X896</f>
        <v>0</v>
      </c>
      <c r="P896" s="271">
        <f>+O896-N896</f>
        <v>0</v>
      </c>
      <c r="Q896" s="527"/>
      <c r="R896" s="354">
        <f>IF(ISERROR(VLOOKUP("SOC"&amp;$C896,ESTR_PREC_SP!$A$2:$G$2000,4,FALSE))=TRUE,0,VLOOKUP("SOC"&amp;$C896,ESTR_PREC_SP!$A$2:$G$2000,4,FALSE))</f>
        <v>0</v>
      </c>
      <c r="S896" s="352"/>
      <c r="T896" s="541"/>
      <c r="U896" s="541"/>
      <c r="V896" s="378">
        <f>+Utilizzi_Fondi_Soc!$AA$4</f>
        <v>0</v>
      </c>
      <c r="W896" s="541"/>
      <c r="X896" s="408">
        <f>+R896+S896+T896+U896-V896+W896+Q896</f>
        <v>0</v>
      </c>
      <c r="Y896" s="211"/>
      <c r="Z896" s="211"/>
      <c r="AA896" s="211"/>
    </row>
    <row r="897" spans="1:36" s="204" customFormat="1" ht="26.25" x14ac:dyDescent="0.25">
      <c r="B897" s="230"/>
      <c r="C897" s="230"/>
      <c r="D897" s="230"/>
      <c r="E897" s="230"/>
      <c r="F897" s="230"/>
      <c r="G897" s="230"/>
      <c r="H897" s="231"/>
      <c r="I897" s="230"/>
      <c r="J897" s="230"/>
      <c r="K897" s="230"/>
      <c r="L897" s="232" t="s">
        <v>3992</v>
      </c>
      <c r="M897" s="211"/>
      <c r="N897" s="254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</row>
    <row r="898" spans="1:36" s="204" customFormat="1" x14ac:dyDescent="0.25">
      <c r="B898" s="230"/>
      <c r="C898" s="230"/>
      <c r="D898" s="230"/>
      <c r="E898" s="230"/>
      <c r="F898" s="230"/>
      <c r="G898" s="230"/>
      <c r="H898" s="231"/>
      <c r="I898" s="230"/>
      <c r="J898" s="230"/>
      <c r="K898" s="230"/>
      <c r="L898" s="232"/>
      <c r="M898" s="211"/>
      <c r="N898" s="481"/>
      <c r="O898" s="481"/>
      <c r="P898" s="48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</row>
    <row r="899" spans="1:36" s="204" customFormat="1" ht="39" customHeight="1" x14ac:dyDescent="0.25">
      <c r="B899" s="230"/>
      <c r="C899" s="230"/>
      <c r="D899" s="230"/>
      <c r="E899" s="230"/>
      <c r="F899" s="230"/>
      <c r="G899" s="230"/>
      <c r="H899" s="231"/>
      <c r="I899" s="230"/>
      <c r="J899" s="230"/>
      <c r="K899" s="230"/>
      <c r="L899" s="232"/>
      <c r="M899" s="211"/>
      <c r="N899" s="256" t="str">
        <f>N$15</f>
        <v>Valore netto al 31/12/2019</v>
      </c>
      <c r="O899" s="256" t="str">
        <f>O$15</f>
        <v>Valore netto al 31/12/2020</v>
      </c>
      <c r="P899" s="256" t="str">
        <f>P$15</f>
        <v>Variazione</v>
      </c>
      <c r="Q899" s="262" t="s">
        <v>2971</v>
      </c>
      <c r="R899" s="442" t="s">
        <v>3877</v>
      </c>
      <c r="S899" s="262" t="s">
        <v>2972</v>
      </c>
      <c r="T899" s="442" t="s">
        <v>3913</v>
      </c>
      <c r="U899" s="442" t="s">
        <v>3914</v>
      </c>
      <c r="V899" s="442" t="s">
        <v>3915</v>
      </c>
      <c r="W899" s="262" t="s">
        <v>4391</v>
      </c>
      <c r="X899" s="442" t="s">
        <v>3883</v>
      </c>
      <c r="Y899" s="211"/>
      <c r="Z899" s="211"/>
      <c r="AA899" s="211"/>
    </row>
    <row r="900" spans="1:36" s="204" customFormat="1" x14ac:dyDescent="0.25">
      <c r="B900" s="246" t="s">
        <v>2247</v>
      </c>
      <c r="C900" s="246" t="s">
        <v>2248</v>
      </c>
      <c r="D900" s="247" t="s">
        <v>3993</v>
      </c>
      <c r="E900" s="247"/>
      <c r="F900" s="247"/>
      <c r="G900" s="247"/>
      <c r="H900" s="248"/>
      <c r="I900" s="247"/>
      <c r="J900" s="398"/>
      <c r="K900" s="399"/>
      <c r="L900" s="441" t="s">
        <v>2252</v>
      </c>
      <c r="M900" s="251" t="s">
        <v>2962</v>
      </c>
      <c r="N900" s="482">
        <f>+R900</f>
        <v>0</v>
      </c>
      <c r="O900" s="483">
        <f>+X900</f>
        <v>0</v>
      </c>
      <c r="P900" s="484">
        <f>+O900-N900</f>
        <v>0</v>
      </c>
      <c r="Q900" s="527"/>
      <c r="R900" s="354">
        <f>IF(ISERROR(VLOOKUP("SOC"&amp;$C900,ESTR_PREC_SP!$A$2:$G$2000,4,FALSE))=TRUE,0,VLOOKUP("SOC"&amp;$C900,ESTR_PREC_SP!$A$2:$G$2000,4,FALSE))</f>
        <v>0</v>
      </c>
      <c r="S900" s="352"/>
      <c r="T900" s="541"/>
      <c r="U900" s="541"/>
      <c r="V900" s="408">
        <f>+Utilizzi_Fondi_Soc!$AB$4</f>
        <v>0</v>
      </c>
      <c r="W900" s="541"/>
      <c r="X900" s="408">
        <f>+R900+S900+T900+U900-V900+W900+Q900</f>
        <v>0</v>
      </c>
      <c r="Y900" s="211"/>
      <c r="Z900" s="211"/>
      <c r="AA900" s="211"/>
    </row>
    <row r="901" spans="1:36" s="204" customFormat="1" x14ac:dyDescent="0.25">
      <c r="B901" s="230"/>
      <c r="C901" s="230"/>
      <c r="D901" s="230"/>
      <c r="E901" s="230"/>
      <c r="F901" s="230"/>
      <c r="G901" s="230"/>
      <c r="H901" s="231"/>
      <c r="I901" s="230"/>
      <c r="J901" s="230"/>
      <c r="K901" s="230"/>
      <c r="L901" s="232"/>
      <c r="M901" s="211"/>
      <c r="N901" s="481"/>
      <c r="O901" s="481"/>
      <c r="P901" s="48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</row>
    <row r="902" spans="1:36" s="204" customFormat="1" ht="89.25" x14ac:dyDescent="0.25">
      <c r="B902" s="230"/>
      <c r="C902" s="230"/>
      <c r="D902" s="230"/>
      <c r="E902" s="230"/>
      <c r="F902" s="230"/>
      <c r="G902" s="230"/>
      <c r="H902" s="231"/>
      <c r="I902" s="230"/>
      <c r="J902" s="230"/>
      <c r="K902" s="230"/>
      <c r="L902" s="232"/>
      <c r="M902" s="211"/>
      <c r="N902" s="256" t="str">
        <f>N$15</f>
        <v>Valore netto al 31/12/2019</v>
      </c>
      <c r="O902" s="256" t="str">
        <f>O$15</f>
        <v>Valore netto al 31/12/2020</v>
      </c>
      <c r="P902" s="256" t="str">
        <f>P$15</f>
        <v>Variazione</v>
      </c>
      <c r="Q902" s="262" t="s">
        <v>2971</v>
      </c>
      <c r="R902" s="442" t="s">
        <v>3877</v>
      </c>
      <c r="S902" s="262" t="s">
        <v>2972</v>
      </c>
      <c r="T902" s="442" t="s">
        <v>3913</v>
      </c>
      <c r="U902" s="442" t="s">
        <v>3914</v>
      </c>
      <c r="V902" s="442" t="s">
        <v>3915</v>
      </c>
      <c r="W902" s="262" t="s">
        <v>4391</v>
      </c>
      <c r="X902" s="442" t="s">
        <v>3883</v>
      </c>
      <c r="Y902" s="211"/>
      <c r="Z902" s="211"/>
      <c r="AA902" s="211"/>
    </row>
    <row r="903" spans="1:36" s="204" customFormat="1" x14ac:dyDescent="0.25">
      <c r="A903" s="535" t="s">
        <v>3681</v>
      </c>
      <c r="B903" s="536" t="s">
        <v>2253</v>
      </c>
      <c r="C903" s="536" t="s">
        <v>2254</v>
      </c>
      <c r="D903" s="536" t="s">
        <v>3993</v>
      </c>
      <c r="E903" s="536"/>
      <c r="F903" s="536"/>
      <c r="G903" s="536"/>
      <c r="H903" s="536"/>
      <c r="I903" s="536"/>
      <c r="J903" s="536"/>
      <c r="K903" s="536"/>
      <c r="L903" s="536" t="s">
        <v>2256</v>
      </c>
      <c r="M903" s="251" t="s">
        <v>2962</v>
      </c>
      <c r="N903" s="482">
        <f>+R903</f>
        <v>0</v>
      </c>
      <c r="O903" s="483">
        <f>+X903</f>
        <v>0</v>
      </c>
      <c r="P903" s="484">
        <f>+O903-N903</f>
        <v>0</v>
      </c>
      <c r="Q903" s="527"/>
      <c r="R903" s="354">
        <f>IF(ISERROR(VLOOKUP("SOC"&amp;$C903,ESTR_PREC_SP!$A$2:$G$2000,4,FALSE))=TRUE,0,VLOOKUP("SOC"&amp;$C903,ESTR_PREC_SP!$A$2:$G$2000,4,FALSE))</f>
        <v>0</v>
      </c>
      <c r="S903" s="541"/>
      <c r="T903" s="541"/>
      <c r="U903" s="541"/>
      <c r="V903" s="408">
        <f>+Utilizzi_Fondi_Soc!$AC$4</f>
        <v>0</v>
      </c>
      <c r="W903" s="541"/>
      <c r="X903" s="408">
        <f>+R903+S903+T903+U903-V903+W903+Q903</f>
        <v>0</v>
      </c>
      <c r="Y903" s="211"/>
      <c r="Z903" s="211"/>
      <c r="AA903" s="211"/>
    </row>
    <row r="904" spans="1:36" s="204" customFormat="1" x14ac:dyDescent="0.25">
      <c r="B904" s="230"/>
      <c r="C904" s="230"/>
      <c r="D904" s="230"/>
      <c r="E904" s="230"/>
      <c r="F904" s="230"/>
      <c r="G904" s="230"/>
      <c r="H904" s="231"/>
      <c r="I904" s="230"/>
      <c r="J904" s="230"/>
      <c r="K904" s="230"/>
      <c r="L904" s="232"/>
      <c r="M904" s="211"/>
      <c r="N904" s="481"/>
      <c r="O904" s="481"/>
      <c r="P904" s="48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</row>
    <row r="905" spans="1:36" s="204" customFormat="1" x14ac:dyDescent="0.25">
      <c r="B905" s="230"/>
      <c r="C905" s="230"/>
      <c r="D905" s="230"/>
      <c r="E905" s="230"/>
      <c r="F905" s="230"/>
      <c r="G905" s="230"/>
      <c r="H905" s="231"/>
      <c r="I905" s="230"/>
      <c r="J905" s="230"/>
      <c r="K905" s="230"/>
      <c r="L905" s="232"/>
      <c r="M905" s="211"/>
      <c r="N905" s="481"/>
      <c r="O905" s="481"/>
      <c r="P905" s="481"/>
      <c r="Q905" s="211"/>
      <c r="R905" s="481"/>
      <c r="S905" s="481"/>
      <c r="T905" s="481"/>
      <c r="U905" s="481"/>
      <c r="V905" s="481"/>
      <c r="W905" s="211"/>
      <c r="X905" s="211"/>
      <c r="Y905" s="211"/>
      <c r="Z905" s="211"/>
      <c r="AA905" s="211"/>
    </row>
    <row r="906" spans="1:36" s="204" customFormat="1" x14ac:dyDescent="0.25">
      <c r="B906" s="233" t="s">
        <v>2257</v>
      </c>
      <c r="C906" s="233" t="s">
        <v>2258</v>
      </c>
      <c r="D906" s="234" t="s">
        <v>3994</v>
      </c>
      <c r="E906" s="234"/>
      <c r="F906" s="234"/>
      <c r="G906" s="234"/>
      <c r="H906" s="235"/>
      <c r="I906" s="234"/>
      <c r="J906" s="234"/>
      <c r="K906" s="234"/>
      <c r="L906" s="236" t="s">
        <v>2259</v>
      </c>
      <c r="M906" s="237" t="s">
        <v>2962</v>
      </c>
      <c r="N906" s="238">
        <f>+N910+N913+N923+N942+N944+N986+N999+N1018+N1022+N1026+N1030</f>
        <v>0</v>
      </c>
      <c r="O906" s="238">
        <f>+O910+O913+O923+O942+O944+O986+O999+O1018+O1022+O1026+O1030</f>
        <v>0</v>
      </c>
      <c r="P906" s="239">
        <f>+O906-N906</f>
        <v>0</v>
      </c>
      <c r="Q906" s="238">
        <f>+Q910+Q913+Q923+Q942+Q944+Q986+Q999+Q1018+Q1022+Q1026+Q1030</f>
        <v>0</v>
      </c>
      <c r="R906" s="238">
        <f>+R910+R913+R923+R942+R944+R986+R999+R1018+R1022+R1026+R1030</f>
        <v>0</v>
      </c>
      <c r="S906" s="238">
        <f>+S910+S913+S923+S942+S944+S986+S999+T1018+T1022+T1026+S1030</f>
        <v>0</v>
      </c>
      <c r="T906" s="238">
        <f t="shared" ref="T906:AJ906" si="161">+T910+T913+T923+T942+T944+T986+T999+T1018+T1022+T1026+T1030</f>
        <v>0</v>
      </c>
      <c r="U906" s="238">
        <f t="shared" si="161"/>
        <v>0</v>
      </c>
      <c r="V906" s="238">
        <f t="shared" si="161"/>
        <v>0</v>
      </c>
      <c r="W906" s="238">
        <f t="shared" si="161"/>
        <v>0</v>
      </c>
      <c r="X906" s="238">
        <f t="shared" si="161"/>
        <v>0</v>
      </c>
      <c r="Y906" s="238">
        <f t="shared" si="161"/>
        <v>0</v>
      </c>
      <c r="Z906" s="238">
        <f t="shared" si="161"/>
        <v>0</v>
      </c>
      <c r="AA906" s="238">
        <f t="shared" si="161"/>
        <v>0</v>
      </c>
      <c r="AB906" s="238">
        <f t="shared" si="161"/>
        <v>0</v>
      </c>
      <c r="AC906" s="238">
        <f t="shared" si="161"/>
        <v>1651</v>
      </c>
      <c r="AD906" s="238">
        <f t="shared" si="161"/>
        <v>0</v>
      </c>
      <c r="AE906" s="238">
        <f t="shared" si="161"/>
        <v>3925</v>
      </c>
      <c r="AF906" s="238">
        <f t="shared" si="161"/>
        <v>6122</v>
      </c>
      <c r="AG906" s="238">
        <f t="shared" si="161"/>
        <v>-11698</v>
      </c>
      <c r="AH906" s="238">
        <f t="shared" si="161"/>
        <v>0</v>
      </c>
      <c r="AI906" s="238">
        <f t="shared" si="161"/>
        <v>0</v>
      </c>
      <c r="AJ906" s="238">
        <f t="shared" si="161"/>
        <v>0</v>
      </c>
    </row>
    <row r="907" spans="1:36" s="204" customFormat="1" x14ac:dyDescent="0.25"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Z907" s="213"/>
      <c r="AA907" s="213"/>
      <c r="AB907" s="213"/>
      <c r="AC907" s="211"/>
      <c r="AD907" s="211"/>
    </row>
    <row r="908" spans="1:36" s="204" customFormat="1" ht="18" customHeight="1" x14ac:dyDescent="0.25">
      <c r="B908" s="230"/>
      <c r="C908" s="230"/>
      <c r="D908" s="230"/>
      <c r="E908" s="230"/>
      <c r="F908" s="230"/>
      <c r="G908" s="230"/>
      <c r="H908" s="231"/>
      <c r="I908" s="230"/>
      <c r="J908" s="230"/>
      <c r="K908" s="230"/>
      <c r="L908" s="232"/>
      <c r="M908" s="211"/>
      <c r="N908" s="254"/>
      <c r="O908" s="211"/>
      <c r="P908" s="211"/>
      <c r="Q908" s="211"/>
      <c r="R908" s="211"/>
      <c r="S908" s="211"/>
      <c r="U908" s="910" t="s">
        <v>3495</v>
      </c>
      <c r="V908" s="910"/>
      <c r="W908" s="485"/>
      <c r="X908" s="903" t="s">
        <v>3496</v>
      </c>
      <c r="Y908" s="903"/>
      <c r="Z908" s="211"/>
      <c r="AA908" s="211"/>
      <c r="AB908" s="211"/>
      <c r="AC908" s="904" t="str">
        <f>"VALORE DEI DEBITI AL 31/12/"&amp;Info!B3&amp;" PER ANNO DI FORMAZIONE"</f>
        <v>VALORE DEI DEBITI AL 31/12/2020 PER ANNO DI FORMAZIONE</v>
      </c>
      <c r="AD908" s="904"/>
      <c r="AE908" s="904"/>
      <c r="AF908" s="904"/>
      <c r="AG908" s="904"/>
      <c r="AH908" s="905" t="str">
        <f>"Debiti al 31/12/"&amp;Info!B3&amp;" per scadenza"</f>
        <v>Debiti al 31/12/2020 per scadenza</v>
      </c>
      <c r="AI908" s="905"/>
      <c r="AJ908" s="905"/>
    </row>
    <row r="909" spans="1:36" s="204" customFormat="1" ht="89.25" x14ac:dyDescent="0.25">
      <c r="B909" s="211"/>
      <c r="C909" s="211"/>
      <c r="D909" s="211"/>
      <c r="E909" s="211"/>
      <c r="F909" s="211"/>
      <c r="G909" s="211"/>
      <c r="H909" s="353"/>
      <c r="I909" s="211"/>
      <c r="J909" s="211"/>
      <c r="K909" s="211"/>
      <c r="L909" s="255"/>
      <c r="M909" s="244"/>
      <c r="N909" s="256" t="str">
        <f>N$15</f>
        <v>Valore netto al 31/12/2019</v>
      </c>
      <c r="O909" s="256" t="str">
        <f>O$15</f>
        <v>Valore netto al 31/12/2020</v>
      </c>
      <c r="P909" s="256" t="str">
        <f>P$15</f>
        <v>Variazione</v>
      </c>
      <c r="Q909" s="262" t="s">
        <v>2971</v>
      </c>
      <c r="R909" s="262" t="s">
        <v>3517</v>
      </c>
      <c r="S909" s="262" t="s">
        <v>2972</v>
      </c>
      <c r="T909" s="486" t="s">
        <v>3995</v>
      </c>
      <c r="U909" s="337" t="s">
        <v>3996</v>
      </c>
      <c r="V909" s="337" t="s">
        <v>3495</v>
      </c>
      <c r="W909" s="262" t="s">
        <v>4391</v>
      </c>
      <c r="X909" s="338" t="s">
        <v>3498</v>
      </c>
      <c r="Y909" s="338" t="s">
        <v>3499</v>
      </c>
      <c r="Z909" s="262" t="s">
        <v>3815</v>
      </c>
      <c r="AA909" s="377" t="s">
        <v>3997</v>
      </c>
      <c r="AB909" s="377" t="s">
        <v>3998</v>
      </c>
      <c r="AC909" s="339" t="s">
        <v>3503</v>
      </c>
      <c r="AD909" s="339" t="s">
        <v>3504</v>
      </c>
      <c r="AE909" s="339" t="s">
        <v>3505</v>
      </c>
      <c r="AF909" s="339" t="s">
        <v>3506</v>
      </c>
      <c r="AG909" s="339" t="s">
        <v>3507</v>
      </c>
      <c r="AH909" s="340" t="s">
        <v>3508</v>
      </c>
      <c r="AI909" s="340" t="s">
        <v>3509</v>
      </c>
      <c r="AJ909" s="340" t="s">
        <v>3510</v>
      </c>
    </row>
    <row r="910" spans="1:36" s="204" customFormat="1" x14ac:dyDescent="0.25">
      <c r="B910" s="246" t="s">
        <v>2260</v>
      </c>
      <c r="C910" s="246" t="s">
        <v>2261</v>
      </c>
      <c r="D910" s="247" t="s">
        <v>3999</v>
      </c>
      <c r="E910" s="247"/>
      <c r="F910" s="247"/>
      <c r="G910" s="247"/>
      <c r="H910" s="248"/>
      <c r="I910" s="247"/>
      <c r="J910" s="398"/>
      <c r="K910" s="399"/>
      <c r="L910" s="400" t="s">
        <v>2265</v>
      </c>
      <c r="M910" s="251" t="s">
        <v>2962</v>
      </c>
      <c r="N910" s="410">
        <f>+R910</f>
        <v>0</v>
      </c>
      <c r="O910" s="487">
        <f>+Z910</f>
        <v>0</v>
      </c>
      <c r="P910" s="253">
        <f>+O910-N910</f>
        <v>0</v>
      </c>
      <c r="Q910" s="520"/>
      <c r="R910" s="354">
        <f>IF(ISERROR(VLOOKUP("SOC"&amp;$C910,ESTR_PREC_SP!$A$2:$G$2000,4,FALSE))=TRUE,0,VLOOKUP("SOC"&amp;$C910,ESTR_PREC_SP!$A$2:$G$2000,4,FALSE))</f>
        <v>0</v>
      </c>
      <c r="S910" s="351"/>
      <c r="T910" s="351"/>
      <c r="U910" s="520"/>
      <c r="V910" s="520"/>
      <c r="W910" s="520"/>
      <c r="X910" s="520"/>
      <c r="Y910" s="520"/>
      <c r="Z910" s="269">
        <f>+R910+S910+U910+V910-X910-Y910+W910+Q910</f>
        <v>0</v>
      </c>
      <c r="AA910" s="351"/>
      <c r="AB910" s="351"/>
      <c r="AC910" s="520"/>
      <c r="AD910" s="520"/>
      <c r="AE910" s="520"/>
      <c r="AF910" s="520"/>
      <c r="AG910" s="526">
        <f>+Z910-SUM(AC910:AF910)</f>
        <v>0</v>
      </c>
      <c r="AH910" s="526">
        <f>+Z910-SUM(AI910:AJ910)</f>
        <v>0</v>
      </c>
      <c r="AI910" s="520"/>
      <c r="AJ910" s="520"/>
    </row>
    <row r="911" spans="1:36" s="204" customFormat="1" ht="26.25" x14ac:dyDescent="0.25">
      <c r="B911" s="230"/>
      <c r="C911" s="230"/>
      <c r="D911" s="230"/>
      <c r="E911" s="230"/>
      <c r="F911" s="230"/>
      <c r="G911" s="230"/>
      <c r="H911" s="231"/>
      <c r="I911" s="230"/>
      <c r="J911" s="230"/>
      <c r="K911" s="230"/>
      <c r="L911" s="232" t="s">
        <v>4000</v>
      </c>
      <c r="M911" s="211"/>
      <c r="N911" s="254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Z911" s="211"/>
      <c r="AA911" s="211"/>
      <c r="AB911" s="211"/>
      <c r="AC911" s="211"/>
      <c r="AD911" s="211"/>
    </row>
    <row r="912" spans="1:36" s="204" customFormat="1" x14ac:dyDescent="0.25">
      <c r="B912" s="230"/>
      <c r="C912" s="230"/>
      <c r="D912" s="230"/>
      <c r="E912" s="230"/>
      <c r="F912" s="230"/>
      <c r="G912" s="230"/>
      <c r="H912" s="231"/>
      <c r="I912" s="230"/>
      <c r="J912" s="230"/>
      <c r="K912" s="230"/>
      <c r="L912" s="232"/>
      <c r="M912" s="211"/>
      <c r="N912" s="254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Z912" s="211"/>
      <c r="AA912" s="211"/>
      <c r="AB912" s="211"/>
      <c r="AC912" s="211"/>
      <c r="AD912" s="211"/>
    </row>
    <row r="913" spans="1:36" s="204" customFormat="1" x14ac:dyDescent="0.25">
      <c r="B913" s="246" t="s">
        <v>2266</v>
      </c>
      <c r="C913" s="246" t="s">
        <v>2267</v>
      </c>
      <c r="D913" s="247" t="s">
        <v>4001</v>
      </c>
      <c r="E913" s="247"/>
      <c r="F913" s="247"/>
      <c r="G913" s="247"/>
      <c r="H913" s="248"/>
      <c r="I913" s="247"/>
      <c r="J913" s="247"/>
      <c r="K913" s="249"/>
      <c r="L913" s="441" t="s">
        <v>2271</v>
      </c>
      <c r="M913" s="251" t="s">
        <v>2962</v>
      </c>
      <c r="N913" s="252">
        <f>SUM(N917:N921)</f>
        <v>0</v>
      </c>
      <c r="O913" s="252">
        <f>SUM(O917:O921)</f>
        <v>0</v>
      </c>
      <c r="P913" s="253">
        <f>+O913-N913</f>
        <v>0</v>
      </c>
      <c r="Q913" s="252">
        <f t="shared" ref="Q913:AJ913" si="162">SUM(Q917:Q921)</f>
        <v>0</v>
      </c>
      <c r="R913" s="252">
        <f t="shared" si="162"/>
        <v>0</v>
      </c>
      <c r="S913" s="252">
        <f t="shared" si="162"/>
        <v>0</v>
      </c>
      <c r="T913" s="252">
        <f t="shared" si="162"/>
        <v>0</v>
      </c>
      <c r="U913" s="252">
        <f t="shared" si="162"/>
        <v>0</v>
      </c>
      <c r="V913" s="252">
        <f t="shared" si="162"/>
        <v>0</v>
      </c>
      <c r="W913" s="252">
        <f t="shared" si="162"/>
        <v>0</v>
      </c>
      <c r="X913" s="252">
        <f t="shared" si="162"/>
        <v>0</v>
      </c>
      <c r="Y913" s="252">
        <f t="shared" si="162"/>
        <v>0</v>
      </c>
      <c r="Z913" s="252">
        <f t="shared" si="162"/>
        <v>0</v>
      </c>
      <c r="AA913" s="252">
        <f t="shared" si="162"/>
        <v>0</v>
      </c>
      <c r="AB913" s="252">
        <f t="shared" si="162"/>
        <v>0</v>
      </c>
      <c r="AC913" s="252">
        <f t="shared" si="162"/>
        <v>0</v>
      </c>
      <c r="AD913" s="252">
        <f t="shared" si="162"/>
        <v>0</v>
      </c>
      <c r="AE913" s="252">
        <f t="shared" si="162"/>
        <v>0</v>
      </c>
      <c r="AF913" s="252">
        <f t="shared" si="162"/>
        <v>0</v>
      </c>
      <c r="AG913" s="252">
        <f t="shared" si="162"/>
        <v>0</v>
      </c>
      <c r="AH913" s="252">
        <f t="shared" si="162"/>
        <v>0</v>
      </c>
      <c r="AI913" s="252">
        <f t="shared" si="162"/>
        <v>0</v>
      </c>
      <c r="AJ913" s="252">
        <f t="shared" si="162"/>
        <v>0</v>
      </c>
    </row>
    <row r="914" spans="1:36" s="204" customFormat="1" x14ac:dyDescent="0.25">
      <c r="B914" s="216"/>
      <c r="C914" s="216"/>
      <c r="D914" s="226"/>
      <c r="E914" s="226"/>
      <c r="F914" s="226"/>
      <c r="G914" s="226"/>
      <c r="H914" s="227"/>
      <c r="I914" s="226"/>
      <c r="J914" s="226"/>
      <c r="K914" s="226"/>
      <c r="L914" s="403"/>
      <c r="M914" s="278"/>
      <c r="N914" s="279"/>
      <c r="O914" s="279"/>
      <c r="P914" s="404"/>
      <c r="Q914" s="211"/>
      <c r="R914" s="279"/>
      <c r="S914" s="211"/>
      <c r="T914" s="211"/>
      <c r="U914" s="211"/>
      <c r="V914" s="211"/>
      <c r="W914" s="211"/>
      <c r="X914" s="211"/>
      <c r="Z914" s="211"/>
      <c r="AA914" s="211"/>
      <c r="AB914" s="211"/>
      <c r="AC914" s="211"/>
      <c r="AD914" s="211"/>
    </row>
    <row r="915" spans="1:36" s="204" customFormat="1" ht="15.75" customHeight="1" x14ac:dyDescent="0.25">
      <c r="B915" s="230"/>
      <c r="C915" s="230"/>
      <c r="D915" s="230"/>
      <c r="E915" s="230"/>
      <c r="F915" s="230"/>
      <c r="G915" s="230"/>
      <c r="H915" s="231"/>
      <c r="I915" s="230"/>
      <c r="J915" s="230"/>
      <c r="K915" s="230"/>
      <c r="L915" s="232"/>
      <c r="M915" s="211"/>
      <c r="N915" s="254"/>
      <c r="O915" s="211"/>
      <c r="P915" s="211"/>
      <c r="Q915" s="211"/>
      <c r="R915" s="211"/>
      <c r="S915" s="211"/>
      <c r="U915" s="910" t="s">
        <v>3495</v>
      </c>
      <c r="V915" s="910"/>
      <c r="W915" s="485"/>
      <c r="X915" s="903" t="s">
        <v>3496</v>
      </c>
      <c r="Y915" s="903"/>
      <c r="Z915" s="211"/>
      <c r="AA915" s="211"/>
      <c r="AB915" s="211"/>
      <c r="AC915" s="904" t="str">
        <f>+AC908</f>
        <v>VALORE DEI DEBITI AL 31/12/2020 PER ANNO DI FORMAZIONE</v>
      </c>
      <c r="AD915" s="904"/>
      <c r="AE915" s="904"/>
      <c r="AF915" s="904"/>
      <c r="AG915" s="904"/>
      <c r="AH915" s="905" t="str">
        <f>+AH908</f>
        <v>Debiti al 31/12/2020 per scadenza</v>
      </c>
      <c r="AI915" s="905"/>
      <c r="AJ915" s="905"/>
    </row>
    <row r="916" spans="1:36" s="204" customFormat="1" ht="89.25" x14ac:dyDescent="0.25">
      <c r="B916" s="260" t="s">
        <v>2968</v>
      </c>
      <c r="C916" s="260" t="s">
        <v>2969</v>
      </c>
      <c r="D916" s="206" t="s">
        <v>72</v>
      </c>
      <c r="E916" s="206"/>
      <c r="F916" s="206"/>
      <c r="G916" s="207"/>
      <c r="H916" s="207"/>
      <c r="I916" s="207"/>
      <c r="J916" s="207" t="s">
        <v>2957</v>
      </c>
      <c r="K916" s="206" t="s">
        <v>82</v>
      </c>
      <c r="L916" s="261" t="s">
        <v>3670</v>
      </c>
      <c r="M916" s="480"/>
      <c r="N916" s="256" t="str">
        <f>N$15</f>
        <v>Valore netto al 31/12/2019</v>
      </c>
      <c r="O916" s="256" t="str">
        <f>O$15</f>
        <v>Valore netto al 31/12/2020</v>
      </c>
      <c r="P916" s="256" t="str">
        <f>P$15</f>
        <v>Variazione</v>
      </c>
      <c r="Q916" s="262" t="s">
        <v>2971</v>
      </c>
      <c r="R916" s="262" t="s">
        <v>3517</v>
      </c>
      <c r="S916" s="262" t="s">
        <v>2972</v>
      </c>
      <c r="T916" s="486" t="s">
        <v>3995</v>
      </c>
      <c r="U916" s="337" t="s">
        <v>3996</v>
      </c>
      <c r="V916" s="337" t="s">
        <v>3495</v>
      </c>
      <c r="W916" s="262" t="s">
        <v>4391</v>
      </c>
      <c r="X916" s="338" t="s">
        <v>3498</v>
      </c>
      <c r="Y916" s="338" t="s">
        <v>3499</v>
      </c>
      <c r="Z916" s="262" t="s">
        <v>3815</v>
      </c>
      <c r="AA916" s="377" t="s">
        <v>3997</v>
      </c>
      <c r="AB916" s="377" t="s">
        <v>3998</v>
      </c>
      <c r="AC916" s="339" t="s">
        <v>3503</v>
      </c>
      <c r="AD916" s="339" t="s">
        <v>3504</v>
      </c>
      <c r="AE916" s="339" t="s">
        <v>3505</v>
      </c>
      <c r="AF916" s="339" t="s">
        <v>3506</v>
      </c>
      <c r="AG916" s="339" t="s">
        <v>3507</v>
      </c>
      <c r="AH916" s="340" t="s">
        <v>3508</v>
      </c>
      <c r="AI916" s="340" t="s">
        <v>3509</v>
      </c>
      <c r="AJ916" s="340" t="s">
        <v>3510</v>
      </c>
    </row>
    <row r="917" spans="1:36" s="204" customFormat="1" x14ac:dyDescent="0.25">
      <c r="B917" s="287" t="s">
        <v>2272</v>
      </c>
      <c r="C917" s="287" t="s">
        <v>2273</v>
      </c>
      <c r="D917" s="284" t="s">
        <v>4002</v>
      </c>
      <c r="E917" s="274"/>
      <c r="F917" s="274"/>
      <c r="G917" s="283"/>
      <c r="H917" s="266"/>
      <c r="I917" s="274"/>
      <c r="J917" s="281"/>
      <c r="K917" s="281"/>
      <c r="L917" s="488" t="s">
        <v>2275</v>
      </c>
      <c r="M917" s="284" t="s">
        <v>2962</v>
      </c>
      <c r="N917" s="489">
        <f>+R917</f>
        <v>0</v>
      </c>
      <c r="O917" s="489">
        <f>+Z917</f>
        <v>0</v>
      </c>
      <c r="P917" s="271">
        <f>+O917-N917</f>
        <v>0</v>
      </c>
      <c r="Q917" s="520"/>
      <c r="R917" s="354">
        <f>IF(ISERROR(VLOOKUP("SOC"&amp;$C917,ESTR_PREC_SP!$A$2:$G$2000,4,FALSE))=TRUE,0,VLOOKUP("SOC"&amp;$C917,ESTR_PREC_SP!$A$2:$G$2000,4,FALSE))</f>
        <v>0</v>
      </c>
      <c r="S917" s="351"/>
      <c r="T917" s="544"/>
      <c r="U917" s="520"/>
      <c r="V917" s="520"/>
      <c r="W917" s="520"/>
      <c r="X917" s="520"/>
      <c r="Y917" s="520"/>
      <c r="Z917" s="269">
        <f>+R917+S917+U917+V917-X917-Y917+W917+Q917</f>
        <v>0</v>
      </c>
      <c r="AA917" s="534"/>
      <c r="AB917" s="544"/>
      <c r="AC917" s="520"/>
      <c r="AD917" s="520"/>
      <c r="AE917" s="520"/>
      <c r="AF917" s="520"/>
      <c r="AG917" s="526">
        <f>+Z917-SUM(AC917:AF917)</f>
        <v>0</v>
      </c>
      <c r="AH917" s="526">
        <f>+Z917-SUM(AI917:AJ917)</f>
        <v>0</v>
      </c>
      <c r="AI917" s="520"/>
      <c r="AJ917" s="520"/>
    </row>
    <row r="918" spans="1:36" s="204" customFormat="1" x14ac:dyDescent="0.25">
      <c r="B918" s="287" t="s">
        <v>2276</v>
      </c>
      <c r="C918" s="287" t="s">
        <v>2277</v>
      </c>
      <c r="D918" s="284" t="s">
        <v>4003</v>
      </c>
      <c r="E918" s="274"/>
      <c r="F918" s="274"/>
      <c r="G918" s="283"/>
      <c r="H918" s="266"/>
      <c r="I918" s="274"/>
      <c r="J918" s="281"/>
      <c r="K918" s="281"/>
      <c r="L918" s="488" t="s">
        <v>2279</v>
      </c>
      <c r="M918" s="284" t="s">
        <v>2962</v>
      </c>
      <c r="N918" s="489">
        <f>+R918</f>
        <v>0</v>
      </c>
      <c r="O918" s="489">
        <f>+Z918</f>
        <v>0</v>
      </c>
      <c r="P918" s="271">
        <f>+O918-N918</f>
        <v>0</v>
      </c>
      <c r="Q918" s="520"/>
      <c r="R918" s="354">
        <f>IF(ISERROR(VLOOKUP("SOC"&amp;$C918,ESTR_PREC_SP!$A$2:$G$2000,4,FALSE))=TRUE,0,VLOOKUP("SOC"&amp;$C918,ESTR_PREC_SP!$A$2:$G$2000,4,FALSE))</f>
        <v>0</v>
      </c>
      <c r="S918" s="351"/>
      <c r="T918" s="544"/>
      <c r="U918" s="520"/>
      <c r="V918" s="520"/>
      <c r="W918" s="520"/>
      <c r="X918" s="520"/>
      <c r="Y918" s="520"/>
      <c r="Z918" s="269">
        <f>+R918+S918+U918+V918-X918-Y918+W918+Q918</f>
        <v>0</v>
      </c>
      <c r="AA918" s="534"/>
      <c r="AB918" s="544"/>
      <c r="AC918" s="520"/>
      <c r="AD918" s="520"/>
      <c r="AE918" s="520"/>
      <c r="AF918" s="520"/>
      <c r="AG918" s="526">
        <f>+Z918-SUM(AC918:AF918)</f>
        <v>0</v>
      </c>
      <c r="AH918" s="526">
        <f>+Z918-SUM(AI918:AJ918)</f>
        <v>0</v>
      </c>
      <c r="AI918" s="520"/>
      <c r="AJ918" s="520"/>
    </row>
    <row r="919" spans="1:36" s="204" customFormat="1" x14ac:dyDescent="0.25">
      <c r="B919" s="287" t="s">
        <v>2280</v>
      </c>
      <c r="C919" s="287" t="s">
        <v>2281</v>
      </c>
      <c r="D919" s="284" t="s">
        <v>4004</v>
      </c>
      <c r="E919" s="274"/>
      <c r="F919" s="274"/>
      <c r="G919" s="283"/>
      <c r="H919" s="266"/>
      <c r="I919" s="274"/>
      <c r="J919" s="281"/>
      <c r="K919" s="281"/>
      <c r="L919" s="488" t="s">
        <v>2283</v>
      </c>
      <c r="M919" s="284" t="s">
        <v>2962</v>
      </c>
      <c r="N919" s="489">
        <f>+R919</f>
        <v>0</v>
      </c>
      <c r="O919" s="489">
        <f>+Z919</f>
        <v>0</v>
      </c>
      <c r="P919" s="271">
        <f>+O919-N919</f>
        <v>0</v>
      </c>
      <c r="Q919" s="520"/>
      <c r="R919" s="354">
        <f>IF(ISERROR(VLOOKUP("SOC"&amp;$C919,ESTR_PREC_SP!$A$2:$G$2000,4,FALSE))=TRUE,0,VLOOKUP("SOC"&amp;$C919,ESTR_PREC_SP!$A$2:$G$2000,4,FALSE))</f>
        <v>0</v>
      </c>
      <c r="S919" s="351"/>
      <c r="T919" s="544"/>
      <c r="U919" s="520"/>
      <c r="V919" s="520"/>
      <c r="W919" s="520"/>
      <c r="X919" s="520"/>
      <c r="Y919" s="520"/>
      <c r="Z919" s="269">
        <f>+R919+S919+U919+V919-X919-Y919+W919+Q919</f>
        <v>0</v>
      </c>
      <c r="AA919" s="534"/>
      <c r="AB919" s="544"/>
      <c r="AC919" s="520"/>
      <c r="AD919" s="520"/>
      <c r="AE919" s="520"/>
      <c r="AF919" s="520"/>
      <c r="AG919" s="526">
        <f>+Z919-SUM(AC919:AF919)</f>
        <v>0</v>
      </c>
      <c r="AH919" s="526">
        <f>+Z919-SUM(AI919:AJ919)</f>
        <v>0</v>
      </c>
      <c r="AI919" s="520"/>
      <c r="AJ919" s="520"/>
    </row>
    <row r="920" spans="1:36" s="204" customFormat="1" x14ac:dyDescent="0.25">
      <c r="B920" s="287" t="s">
        <v>2284</v>
      </c>
      <c r="C920" s="287" t="s">
        <v>2285</v>
      </c>
      <c r="D920" s="284" t="s">
        <v>4005</v>
      </c>
      <c r="E920" s="274"/>
      <c r="F920" s="274"/>
      <c r="G920" s="283"/>
      <c r="H920" s="266"/>
      <c r="I920" s="274"/>
      <c r="J920" s="281"/>
      <c r="K920" s="281"/>
      <c r="L920" s="488" t="s">
        <v>2287</v>
      </c>
      <c r="M920" s="284" t="s">
        <v>2962</v>
      </c>
      <c r="N920" s="489">
        <f>+R920</f>
        <v>0</v>
      </c>
      <c r="O920" s="489">
        <f>+Z920</f>
        <v>0</v>
      </c>
      <c r="P920" s="271">
        <f>+O920-N920</f>
        <v>0</v>
      </c>
      <c r="Q920" s="520"/>
      <c r="R920" s="354">
        <f>IF(ISERROR(VLOOKUP("SOC"&amp;$C920,ESTR_PREC_SP!$A$2:$G$2000,4,FALSE))=TRUE,0,VLOOKUP("SOC"&amp;$C920,ESTR_PREC_SP!$A$2:$G$2000,4,FALSE))</f>
        <v>0</v>
      </c>
      <c r="S920" s="351"/>
      <c r="T920" s="544"/>
      <c r="U920" s="520"/>
      <c r="V920" s="520"/>
      <c r="W920" s="520"/>
      <c r="X920" s="520"/>
      <c r="Y920" s="520"/>
      <c r="Z920" s="269">
        <f>+R920+S920+U920+V920-X920-Y920+W920+Q920</f>
        <v>0</v>
      </c>
      <c r="AA920" s="534"/>
      <c r="AB920" s="544"/>
      <c r="AC920" s="520"/>
      <c r="AD920" s="520"/>
      <c r="AE920" s="520"/>
      <c r="AF920" s="520"/>
      <c r="AG920" s="526">
        <f>+Z920-SUM(AC920:AF920)</f>
        <v>0</v>
      </c>
      <c r="AH920" s="526">
        <f>+Z920-SUM(AI920:AJ920)</f>
        <v>0</v>
      </c>
      <c r="AI920" s="520"/>
      <c r="AJ920" s="520"/>
    </row>
    <row r="921" spans="1:36" s="204" customFormat="1" x14ac:dyDescent="0.25">
      <c r="B921" s="287" t="s">
        <v>2288</v>
      </c>
      <c r="C921" s="287" t="s">
        <v>2289</v>
      </c>
      <c r="D921" s="284" t="s">
        <v>4006</v>
      </c>
      <c r="E921" s="274"/>
      <c r="F921" s="274"/>
      <c r="G921" s="283"/>
      <c r="H921" s="266"/>
      <c r="I921" s="274"/>
      <c r="J921" s="281"/>
      <c r="K921" s="281"/>
      <c r="L921" s="488" t="s">
        <v>2291</v>
      </c>
      <c r="M921" s="284" t="s">
        <v>2962</v>
      </c>
      <c r="N921" s="489">
        <f>+R921</f>
        <v>0</v>
      </c>
      <c r="O921" s="489">
        <f>+Z921</f>
        <v>0</v>
      </c>
      <c r="P921" s="271">
        <f>+O921-N921</f>
        <v>0</v>
      </c>
      <c r="Q921" s="520"/>
      <c r="R921" s="354">
        <f>IF(ISERROR(VLOOKUP("SOC"&amp;$C921,ESTR_PREC_SP!$A$2:$G$2000,4,FALSE))=TRUE,0,VLOOKUP("SOC"&amp;$C921,ESTR_PREC_SP!$A$2:$G$2000,4,FALSE))</f>
        <v>0</v>
      </c>
      <c r="S921" s="351"/>
      <c r="T921" s="544"/>
      <c r="U921" s="520"/>
      <c r="V921" s="520"/>
      <c r="W921" s="520"/>
      <c r="X921" s="520"/>
      <c r="Y921" s="520"/>
      <c r="Z921" s="269">
        <f>+R921+S921+U921+V921-X921-Y921+W921+Q921</f>
        <v>0</v>
      </c>
      <c r="AA921" s="534"/>
      <c r="AB921" s="544"/>
      <c r="AC921" s="520"/>
      <c r="AD921" s="520"/>
      <c r="AE921" s="520"/>
      <c r="AF921" s="520"/>
      <c r="AG921" s="526">
        <f>+Z921-SUM(AC921:AF921)</f>
        <v>0</v>
      </c>
      <c r="AH921" s="526">
        <f>+Z921-SUM(AI921:AJ921)</f>
        <v>0</v>
      </c>
      <c r="AI921" s="520"/>
      <c r="AJ921" s="520"/>
    </row>
    <row r="922" spans="1:36" s="204" customFormat="1" x14ac:dyDescent="0.25">
      <c r="B922" s="298"/>
      <c r="C922" s="298"/>
      <c r="D922" s="226"/>
      <c r="E922" s="226"/>
      <c r="F922" s="226"/>
      <c r="G922" s="290"/>
      <c r="H922" s="227"/>
      <c r="I922" s="22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</row>
    <row r="923" spans="1:36" s="204" customFormat="1" x14ac:dyDescent="0.25">
      <c r="B923" s="292" t="s">
        <v>2292</v>
      </c>
      <c r="C923" s="292" t="s">
        <v>2293</v>
      </c>
      <c r="D923" s="247" t="s">
        <v>4007</v>
      </c>
      <c r="E923" s="247"/>
      <c r="F923" s="247"/>
      <c r="G923" s="247"/>
      <c r="H923" s="248"/>
      <c r="I923" s="247"/>
      <c r="J923" s="247"/>
      <c r="K923" s="249"/>
      <c r="L923" s="441" t="s">
        <v>2296</v>
      </c>
      <c r="M923" s="251" t="s">
        <v>2962</v>
      </c>
      <c r="N923" s="252">
        <f>SUM(N927:N938)</f>
        <v>0</v>
      </c>
      <c r="O923" s="252">
        <f>SUM(O927:O938)</f>
        <v>0</v>
      </c>
      <c r="P923" s="253">
        <f>+O923-N923</f>
        <v>0</v>
      </c>
      <c r="Q923" s="252">
        <f>SUM(Q927:Q938)</f>
        <v>0</v>
      </c>
      <c r="R923" s="252">
        <f>SUM(R927:R938)</f>
        <v>0</v>
      </c>
      <c r="S923" s="252">
        <f>SUM(S927:S938)</f>
        <v>0</v>
      </c>
      <c r="T923" s="252">
        <f>SUM(T927:T938)</f>
        <v>0</v>
      </c>
      <c r="U923" s="252"/>
      <c r="V923" s="252">
        <f t="shared" ref="V923:AJ923" si="163">SUM(V927:V938)</f>
        <v>0</v>
      </c>
      <c r="W923" s="252">
        <f t="shared" si="163"/>
        <v>0</v>
      </c>
      <c r="X923" s="252">
        <f t="shared" si="163"/>
        <v>0</v>
      </c>
      <c r="Y923" s="252">
        <f t="shared" si="163"/>
        <v>0</v>
      </c>
      <c r="Z923" s="252">
        <f t="shared" si="163"/>
        <v>0</v>
      </c>
      <c r="AA923" s="252">
        <f t="shared" si="163"/>
        <v>0</v>
      </c>
      <c r="AB923" s="252">
        <f t="shared" si="163"/>
        <v>0</v>
      </c>
      <c r="AC923" s="252">
        <f t="shared" si="163"/>
        <v>0</v>
      </c>
      <c r="AD923" s="252">
        <f t="shared" si="163"/>
        <v>0</v>
      </c>
      <c r="AE923" s="252">
        <f t="shared" si="163"/>
        <v>0</v>
      </c>
      <c r="AF923" s="252">
        <f t="shared" si="163"/>
        <v>0</v>
      </c>
      <c r="AG923" s="252">
        <f t="shared" si="163"/>
        <v>0</v>
      </c>
      <c r="AH923" s="252">
        <f t="shared" si="163"/>
        <v>0</v>
      </c>
      <c r="AI923" s="252">
        <f t="shared" si="163"/>
        <v>0</v>
      </c>
      <c r="AJ923" s="252">
        <f t="shared" si="163"/>
        <v>0</v>
      </c>
    </row>
    <row r="924" spans="1:36" s="204" customFormat="1" x14ac:dyDescent="0.25">
      <c r="B924" s="298"/>
      <c r="C924" s="298"/>
      <c r="D924" s="226"/>
      <c r="E924" s="226"/>
      <c r="F924" s="226"/>
      <c r="G924" s="226"/>
      <c r="H924" s="227"/>
      <c r="I924" s="226"/>
      <c r="J924" s="226"/>
      <c r="K924" s="226"/>
      <c r="L924" s="403"/>
      <c r="M924" s="278"/>
      <c r="N924" s="279"/>
      <c r="O924" s="279"/>
      <c r="P924" s="404"/>
      <c r="Q924" s="211"/>
      <c r="R924" s="279"/>
      <c r="S924" s="211"/>
      <c r="T924" s="211"/>
      <c r="U924" s="211"/>
      <c r="V924" s="211"/>
      <c r="W924" s="211"/>
      <c r="X924" s="211"/>
      <c r="Z924" s="211"/>
      <c r="AA924" s="211"/>
      <c r="AB924" s="211"/>
      <c r="AC924" s="211"/>
      <c r="AD924" s="211"/>
    </row>
    <row r="925" spans="1:36" s="204" customFormat="1" ht="15.75" customHeight="1" x14ac:dyDescent="0.25">
      <c r="B925" s="293"/>
      <c r="C925" s="293"/>
      <c r="D925" s="230"/>
      <c r="E925" s="230"/>
      <c r="F925" s="230"/>
      <c r="G925" s="230"/>
      <c r="H925" s="231"/>
      <c r="I925" s="230"/>
      <c r="J925" s="230"/>
      <c r="K925" s="230"/>
      <c r="L925" s="232"/>
      <c r="M925" s="211"/>
      <c r="N925" s="254"/>
      <c r="O925" s="211"/>
      <c r="P925" s="211"/>
      <c r="Q925" s="211"/>
      <c r="R925" s="211"/>
      <c r="S925" s="211"/>
      <c r="U925" s="910" t="s">
        <v>3495</v>
      </c>
      <c r="V925" s="910"/>
      <c r="W925" s="485"/>
      <c r="X925" s="903" t="s">
        <v>3496</v>
      </c>
      <c r="Y925" s="903"/>
      <c r="Z925" s="211"/>
      <c r="AA925" s="211"/>
      <c r="AB925" s="211"/>
      <c r="AC925" s="904" t="str">
        <f>+AC915</f>
        <v>VALORE DEI DEBITI AL 31/12/2020 PER ANNO DI FORMAZIONE</v>
      </c>
      <c r="AD925" s="904"/>
      <c r="AE925" s="904"/>
      <c r="AF925" s="904"/>
      <c r="AG925" s="904"/>
      <c r="AH925" s="905" t="str">
        <f>+AH915</f>
        <v>Debiti al 31/12/2020 per scadenza</v>
      </c>
      <c r="AI925" s="905"/>
      <c r="AJ925" s="905"/>
    </row>
    <row r="926" spans="1:36" s="204" customFormat="1" ht="89.25" x14ac:dyDescent="0.25">
      <c r="B926" s="656" t="s">
        <v>2968</v>
      </c>
      <c r="C926" s="656" t="s">
        <v>2969</v>
      </c>
      <c r="D926" s="437" t="s">
        <v>72</v>
      </c>
      <c r="E926" s="437"/>
      <c r="F926" s="437"/>
      <c r="G926" s="437"/>
      <c r="H926" s="437"/>
      <c r="I926" s="437"/>
      <c r="J926" s="437" t="s">
        <v>2957</v>
      </c>
      <c r="K926" s="437" t="s">
        <v>82</v>
      </c>
      <c r="L926" s="657" t="s">
        <v>3670</v>
      </c>
      <c r="M926" s="658"/>
      <c r="N926" s="256" t="str">
        <f>N$15</f>
        <v>Valore netto al 31/12/2019</v>
      </c>
      <c r="O926" s="256" t="str">
        <f>O$15</f>
        <v>Valore netto al 31/12/2020</v>
      </c>
      <c r="P926" s="256" t="str">
        <f>P$15</f>
        <v>Variazione</v>
      </c>
      <c r="Q926" s="262" t="s">
        <v>2971</v>
      </c>
      <c r="R926" s="346" t="s">
        <v>3517</v>
      </c>
      <c r="S926" s="262" t="s">
        <v>2972</v>
      </c>
      <c r="T926" s="486" t="s">
        <v>3995</v>
      </c>
      <c r="U926" s="337" t="s">
        <v>3996</v>
      </c>
      <c r="V926" s="337" t="s">
        <v>3495</v>
      </c>
      <c r="W926" s="262" t="s">
        <v>4391</v>
      </c>
      <c r="X926" s="338" t="s">
        <v>3498</v>
      </c>
      <c r="Y926" s="338" t="s">
        <v>3499</v>
      </c>
      <c r="Z926" s="262" t="s">
        <v>3815</v>
      </c>
      <c r="AA926" s="497" t="s">
        <v>3997</v>
      </c>
      <c r="AB926" s="377" t="s">
        <v>3998</v>
      </c>
      <c r="AC926" s="339" t="s">
        <v>3503</v>
      </c>
      <c r="AD926" s="339" t="s">
        <v>3504</v>
      </c>
      <c r="AE926" s="339" t="s">
        <v>3505</v>
      </c>
      <c r="AF926" s="339" t="s">
        <v>3506</v>
      </c>
      <c r="AG926" s="339" t="s">
        <v>3507</v>
      </c>
      <c r="AH926" s="340" t="s">
        <v>3508</v>
      </c>
      <c r="AI926" s="340" t="s">
        <v>3509</v>
      </c>
      <c r="AJ926" s="340" t="s">
        <v>3510</v>
      </c>
    </row>
    <row r="927" spans="1:36" s="204" customFormat="1" x14ac:dyDescent="0.25">
      <c r="B927" s="287" t="s">
        <v>2297</v>
      </c>
      <c r="C927" s="287" t="s">
        <v>2298</v>
      </c>
      <c r="D927" s="284" t="s">
        <v>4008</v>
      </c>
      <c r="E927" s="274"/>
      <c r="F927" s="274"/>
      <c r="G927" s="283"/>
      <c r="H927" s="326"/>
      <c r="I927" s="274"/>
      <c r="J927" s="281"/>
      <c r="K927" s="281"/>
      <c r="L927" s="488" t="s">
        <v>4009</v>
      </c>
      <c r="M927" s="659" t="s">
        <v>2962</v>
      </c>
      <c r="N927" s="408">
        <f t="shared" ref="N927:N938" si="164">+R927</f>
        <v>0</v>
      </c>
      <c r="O927" s="408">
        <f t="shared" ref="O927:O938" si="165">+Z927</f>
        <v>0</v>
      </c>
      <c r="P927" s="271">
        <f t="shared" ref="P927:P938" si="166">+O927-N927</f>
        <v>0</v>
      </c>
      <c r="Q927" s="520"/>
      <c r="R927" s="354">
        <f>IF(ISERROR(VLOOKUP("SOC"&amp;$C927,ESTR_PREC_SP!$A$2:$G$2000,4,FALSE))=TRUE,0,VLOOKUP("SOC"&amp;$C927,ESTR_PREC_SP!$A$2:$G$2000,4,FALSE))</f>
        <v>0</v>
      </c>
      <c r="S927" s="527"/>
      <c r="T927" s="545"/>
      <c r="U927" s="527"/>
      <c r="V927" s="527"/>
      <c r="W927" s="527"/>
      <c r="X927" s="527"/>
      <c r="Y927" s="527"/>
      <c r="Z927" s="269">
        <f t="shared" ref="Z927:Z938" si="167">+R927+S927+U927+V927-X927-Y927+W927+Q927</f>
        <v>0</v>
      </c>
      <c r="AA927" s="546"/>
      <c r="AB927" s="545"/>
      <c r="AC927" s="520"/>
      <c r="AD927" s="520"/>
      <c r="AE927" s="520"/>
      <c r="AF927" s="520"/>
      <c r="AG927" s="526">
        <f t="shared" ref="AG927:AG938" si="168">+Z927-SUM(AC927:AF927)</f>
        <v>0</v>
      </c>
      <c r="AH927" s="526">
        <f t="shared" ref="AH927:AH938" si="169">+Z927-SUM(AI927:AJ927)</f>
        <v>0</v>
      </c>
      <c r="AI927" s="520"/>
      <c r="AJ927" s="520"/>
    </row>
    <row r="928" spans="1:36" s="204" customFormat="1" x14ac:dyDescent="0.25">
      <c r="A928" s="535" t="s">
        <v>3681</v>
      </c>
      <c r="B928" s="536" t="s">
        <v>2301</v>
      </c>
      <c r="C928" s="536" t="s">
        <v>2302</v>
      </c>
      <c r="D928" s="536"/>
      <c r="E928" s="536"/>
      <c r="F928" s="536"/>
      <c r="G928" s="536"/>
      <c r="H928" s="536"/>
      <c r="I928" s="536"/>
      <c r="J928" s="536"/>
      <c r="K928" s="536"/>
      <c r="L928" s="536" t="s">
        <v>2304</v>
      </c>
      <c r="M928" s="659" t="s">
        <v>2962</v>
      </c>
      <c r="N928" s="408">
        <f t="shared" si="164"/>
        <v>0</v>
      </c>
      <c r="O928" s="408">
        <f t="shared" si="165"/>
        <v>0</v>
      </c>
      <c r="P928" s="271">
        <f t="shared" si="166"/>
        <v>0</v>
      </c>
      <c r="Q928" s="520"/>
      <c r="R928" s="354">
        <f>IF(ISERROR(VLOOKUP("SOC"&amp;$C928,ESTR_PREC_SP!$A$2:$G$2000,4,FALSE))=TRUE,0,VLOOKUP("SOC"&amp;$C928,ESTR_PREC_SP!$A$2:$G$2000,4,FALSE))</f>
        <v>0</v>
      </c>
      <c r="S928" s="527"/>
      <c r="T928" s="545"/>
      <c r="U928" s="527"/>
      <c r="V928" s="527"/>
      <c r="W928" s="527"/>
      <c r="X928" s="527"/>
      <c r="Y928" s="527"/>
      <c r="Z928" s="269">
        <f t="shared" si="167"/>
        <v>0</v>
      </c>
      <c r="AA928" s="546"/>
      <c r="AB928" s="545"/>
      <c r="AC928" s="520"/>
      <c r="AD928" s="520"/>
      <c r="AE928" s="520"/>
      <c r="AF928" s="520"/>
      <c r="AG928" s="526">
        <f t="shared" si="168"/>
        <v>0</v>
      </c>
      <c r="AH928" s="526">
        <f t="shared" si="169"/>
        <v>0</v>
      </c>
      <c r="AI928" s="520"/>
      <c r="AJ928" s="520"/>
    </row>
    <row r="929" spans="1:36" s="204" customFormat="1" ht="29.25" customHeight="1" x14ac:dyDescent="0.25">
      <c r="B929" s="287" t="s">
        <v>2305</v>
      </c>
      <c r="C929" s="287" t="s">
        <v>2306</v>
      </c>
      <c r="D929" s="284" t="s">
        <v>4010</v>
      </c>
      <c r="E929" s="274"/>
      <c r="F929" s="274"/>
      <c r="G929" s="283"/>
      <c r="H929" s="326"/>
      <c r="I929" s="274"/>
      <c r="J929" s="281"/>
      <c r="K929" s="281"/>
      <c r="L929" s="488" t="s">
        <v>4011</v>
      </c>
      <c r="M929" s="659" t="s">
        <v>2962</v>
      </c>
      <c r="N929" s="408">
        <f t="shared" si="164"/>
        <v>0</v>
      </c>
      <c r="O929" s="408">
        <f t="shared" si="165"/>
        <v>0</v>
      </c>
      <c r="P929" s="271">
        <f t="shared" si="166"/>
        <v>0</v>
      </c>
      <c r="Q929" s="520"/>
      <c r="R929" s="354">
        <f>IF(ISERROR(VLOOKUP("SOC"&amp;$C929,ESTR_PREC_SP!$A$2:$G$2000,4,FALSE))=TRUE,0,VLOOKUP("SOC"&amp;$C929,ESTR_PREC_SP!$A$2:$G$2000,4,FALSE))</f>
        <v>0</v>
      </c>
      <c r="S929" s="527"/>
      <c r="T929" s="545"/>
      <c r="U929" s="527"/>
      <c r="V929" s="527"/>
      <c r="W929" s="527"/>
      <c r="X929" s="527"/>
      <c r="Y929" s="527"/>
      <c r="Z929" s="269">
        <f t="shared" si="167"/>
        <v>0</v>
      </c>
      <c r="AA929" s="546"/>
      <c r="AB929" s="545"/>
      <c r="AC929" s="520"/>
      <c r="AD929" s="520"/>
      <c r="AE929" s="520"/>
      <c r="AF929" s="520"/>
      <c r="AG929" s="526">
        <f t="shared" si="168"/>
        <v>0</v>
      </c>
      <c r="AH929" s="526">
        <f t="shared" si="169"/>
        <v>0</v>
      </c>
      <c r="AI929" s="520"/>
      <c r="AJ929" s="520"/>
    </row>
    <row r="930" spans="1:36" s="204" customFormat="1" ht="32.25" customHeight="1" x14ac:dyDescent="0.25">
      <c r="B930" s="287" t="s">
        <v>2309</v>
      </c>
      <c r="C930" s="287" t="s">
        <v>2310</v>
      </c>
      <c r="D930" s="284" t="s">
        <v>4012</v>
      </c>
      <c r="E930" s="274"/>
      <c r="F930" s="274"/>
      <c r="G930" s="283"/>
      <c r="H930" s="326"/>
      <c r="I930" s="274"/>
      <c r="J930" s="281"/>
      <c r="K930" s="281"/>
      <c r="L930" s="488" t="s">
        <v>4013</v>
      </c>
      <c r="M930" s="659" t="s">
        <v>2962</v>
      </c>
      <c r="N930" s="408">
        <f t="shared" si="164"/>
        <v>0</v>
      </c>
      <c r="O930" s="408">
        <f t="shared" si="165"/>
        <v>0</v>
      </c>
      <c r="P930" s="271">
        <f t="shared" si="166"/>
        <v>0</v>
      </c>
      <c r="Q930" s="520"/>
      <c r="R930" s="354">
        <f>IF(ISERROR(VLOOKUP("SOC"&amp;$C930,ESTR_PREC_SP!$A$2:$G$2000,4,FALSE))=TRUE,0,VLOOKUP("SOC"&amp;$C930,ESTR_PREC_SP!$A$2:$G$2000,4,FALSE))</f>
        <v>0</v>
      </c>
      <c r="S930" s="527"/>
      <c r="T930" s="545"/>
      <c r="U930" s="527"/>
      <c r="V930" s="527"/>
      <c r="W930" s="527"/>
      <c r="X930" s="527"/>
      <c r="Y930" s="527"/>
      <c r="Z930" s="269">
        <f t="shared" si="167"/>
        <v>0</v>
      </c>
      <c r="AA930" s="546"/>
      <c r="AB930" s="545"/>
      <c r="AC930" s="520"/>
      <c r="AD930" s="520"/>
      <c r="AE930" s="520"/>
      <c r="AF930" s="520"/>
      <c r="AG930" s="526">
        <f t="shared" si="168"/>
        <v>0</v>
      </c>
      <c r="AH930" s="526">
        <f t="shared" si="169"/>
        <v>0</v>
      </c>
      <c r="AI930" s="520"/>
      <c r="AJ930" s="520"/>
    </row>
    <row r="931" spans="1:36" s="204" customFormat="1" ht="34.5" customHeight="1" x14ac:dyDescent="0.25">
      <c r="A931" s="535" t="s">
        <v>3681</v>
      </c>
      <c r="B931" s="536" t="s">
        <v>2313</v>
      </c>
      <c r="C931" s="536" t="s">
        <v>2314</v>
      </c>
      <c r="D931" s="536"/>
      <c r="E931" s="536"/>
      <c r="F931" s="536"/>
      <c r="G931" s="536"/>
      <c r="H931" s="536"/>
      <c r="I931" s="536"/>
      <c r="J931" s="536"/>
      <c r="K931" s="536"/>
      <c r="L931" s="536" t="s">
        <v>2316</v>
      </c>
      <c r="M931" s="659" t="s">
        <v>2962</v>
      </c>
      <c r="N931" s="408">
        <f t="shared" si="164"/>
        <v>0</v>
      </c>
      <c r="O931" s="408">
        <f t="shared" si="165"/>
        <v>0</v>
      </c>
      <c r="P931" s="271">
        <f t="shared" si="166"/>
        <v>0</v>
      </c>
      <c r="Q931" s="520"/>
      <c r="R931" s="354">
        <f>IF(ISERROR(VLOOKUP("SOC"&amp;$C931,ESTR_PREC_SP!$A$2:$G$2000,4,FALSE))=TRUE,0,VLOOKUP("SOC"&amp;$C931,ESTR_PREC_SP!$A$2:$G$2000,4,FALSE))</f>
        <v>0</v>
      </c>
      <c r="S931" s="527"/>
      <c r="T931" s="545"/>
      <c r="U931" s="527"/>
      <c r="V931" s="527"/>
      <c r="W931" s="527"/>
      <c r="X931" s="527"/>
      <c r="Y931" s="527"/>
      <c r="Z931" s="269">
        <f t="shared" si="167"/>
        <v>0</v>
      </c>
      <c r="AA931" s="546"/>
      <c r="AB931" s="545"/>
      <c r="AC931" s="520"/>
      <c r="AD931" s="520"/>
      <c r="AE931" s="520"/>
      <c r="AF931" s="520"/>
      <c r="AG931" s="526">
        <f t="shared" si="168"/>
        <v>0</v>
      </c>
      <c r="AH931" s="526">
        <f t="shared" si="169"/>
        <v>0</v>
      </c>
      <c r="AI931" s="520"/>
      <c r="AJ931" s="520"/>
    </row>
    <row r="932" spans="1:36" s="204" customFormat="1" x14ac:dyDescent="0.25">
      <c r="B932" s="287" t="s">
        <v>2317</v>
      </c>
      <c r="C932" s="287" t="s">
        <v>2318</v>
      </c>
      <c r="D932" s="284" t="s">
        <v>4014</v>
      </c>
      <c r="E932" s="274"/>
      <c r="F932" s="274"/>
      <c r="G932" s="283"/>
      <c r="H932" s="326"/>
      <c r="I932" s="274"/>
      <c r="J932" s="281"/>
      <c r="K932" s="281"/>
      <c r="L932" s="488" t="s">
        <v>4015</v>
      </c>
      <c r="M932" s="284" t="s">
        <v>2962</v>
      </c>
      <c r="N932" s="408">
        <f t="shared" si="164"/>
        <v>0</v>
      </c>
      <c r="O932" s="408">
        <f t="shared" si="165"/>
        <v>0</v>
      </c>
      <c r="P932" s="271">
        <f t="shared" si="166"/>
        <v>0</v>
      </c>
      <c r="Q932" s="520"/>
      <c r="R932" s="354">
        <f>IF(ISERROR(VLOOKUP("SOC"&amp;$C932,ESTR_PREC_SP!$A$2:$G$2000,4,FALSE))=TRUE,0,VLOOKUP("SOC"&amp;$C932,ESTR_PREC_SP!$A$2:$G$2000,4,FALSE))</f>
        <v>0</v>
      </c>
      <c r="S932" s="527"/>
      <c r="T932" s="545"/>
      <c r="U932" s="527"/>
      <c r="V932" s="527"/>
      <c r="W932" s="527"/>
      <c r="X932" s="527"/>
      <c r="Y932" s="527"/>
      <c r="Z932" s="269">
        <f t="shared" si="167"/>
        <v>0</v>
      </c>
      <c r="AA932" s="546"/>
      <c r="AB932" s="545"/>
      <c r="AC932" s="520"/>
      <c r="AD932" s="520"/>
      <c r="AE932" s="520"/>
      <c r="AF932" s="520"/>
      <c r="AG932" s="526">
        <f t="shared" si="168"/>
        <v>0</v>
      </c>
      <c r="AH932" s="526">
        <f t="shared" si="169"/>
        <v>0</v>
      </c>
      <c r="AI932" s="520"/>
      <c r="AJ932" s="520"/>
    </row>
    <row r="933" spans="1:36" s="204" customFormat="1" ht="39" x14ac:dyDescent="0.25">
      <c r="A933" s="535" t="s">
        <v>3681</v>
      </c>
      <c r="B933" s="536" t="s">
        <v>2321</v>
      </c>
      <c r="C933" s="536" t="s">
        <v>2322</v>
      </c>
      <c r="D933" s="536"/>
      <c r="E933" s="536"/>
      <c r="F933" s="536"/>
      <c r="G933" s="536"/>
      <c r="H933" s="536"/>
      <c r="I933" s="536"/>
      <c r="J933" s="536"/>
      <c r="K933" s="536"/>
      <c r="L933" s="536" t="s">
        <v>2324</v>
      </c>
      <c r="M933" s="284" t="s">
        <v>2962</v>
      </c>
      <c r="N933" s="408">
        <f t="shared" si="164"/>
        <v>0</v>
      </c>
      <c r="O933" s="408">
        <f t="shared" si="165"/>
        <v>0</v>
      </c>
      <c r="P933" s="271">
        <f t="shared" si="166"/>
        <v>0</v>
      </c>
      <c r="Q933" s="520"/>
      <c r="R933" s="354">
        <f>IF(ISERROR(VLOOKUP("SOC"&amp;$C933,ESTR_PREC_SP!$A$2:$G$2000,4,FALSE))=TRUE,0,VLOOKUP("SOC"&amp;$C933,ESTR_PREC_SP!$A$2:$G$2000,4,FALSE))</f>
        <v>0</v>
      </c>
      <c r="S933" s="527"/>
      <c r="T933" s="545"/>
      <c r="U933" s="527"/>
      <c r="V933" s="527"/>
      <c r="W933" s="527"/>
      <c r="X933" s="527"/>
      <c r="Y933" s="527"/>
      <c r="Z933" s="269">
        <f t="shared" si="167"/>
        <v>0</v>
      </c>
      <c r="AA933" s="546"/>
      <c r="AB933" s="545"/>
      <c r="AC933" s="520"/>
      <c r="AD933" s="520"/>
      <c r="AE933" s="520"/>
      <c r="AF933" s="520"/>
      <c r="AG933" s="526">
        <f t="shared" si="168"/>
        <v>0</v>
      </c>
      <c r="AH933" s="526">
        <f t="shared" si="169"/>
        <v>0</v>
      </c>
      <c r="AI933" s="520"/>
      <c r="AJ933" s="520"/>
    </row>
    <row r="934" spans="1:36" s="204" customFormat="1" x14ac:dyDescent="0.25">
      <c r="A934" s="535" t="s">
        <v>3681</v>
      </c>
      <c r="B934" s="536" t="s">
        <v>2325</v>
      </c>
      <c r="C934" s="536" t="s">
        <v>2326</v>
      </c>
      <c r="D934" s="536"/>
      <c r="E934" s="536"/>
      <c r="F934" s="536"/>
      <c r="G934" s="536"/>
      <c r="H934" s="536"/>
      <c r="I934" s="536"/>
      <c r="J934" s="536"/>
      <c r="K934" s="536"/>
      <c r="L934" s="536" t="s">
        <v>2328</v>
      </c>
      <c r="M934" s="284" t="s">
        <v>2962</v>
      </c>
      <c r="N934" s="408">
        <f t="shared" si="164"/>
        <v>0</v>
      </c>
      <c r="O934" s="408">
        <f t="shared" si="165"/>
        <v>0</v>
      </c>
      <c r="P934" s="271">
        <f t="shared" si="166"/>
        <v>0</v>
      </c>
      <c r="Q934" s="520"/>
      <c r="R934" s="354">
        <f>IF(ISERROR(VLOOKUP("SOC"&amp;$C934,ESTR_PREC_SP!$A$2:$G$2000,4,FALSE))=TRUE,0,VLOOKUP("SOC"&amp;$C934,ESTR_PREC_SP!$A$2:$G$2000,4,FALSE))</f>
        <v>0</v>
      </c>
      <c r="S934" s="527"/>
      <c r="T934" s="545"/>
      <c r="U934" s="527"/>
      <c r="V934" s="527"/>
      <c r="W934" s="527"/>
      <c r="X934" s="527"/>
      <c r="Y934" s="527"/>
      <c r="Z934" s="269">
        <f t="shared" si="167"/>
        <v>0</v>
      </c>
      <c r="AA934" s="546"/>
      <c r="AB934" s="545"/>
      <c r="AC934" s="520"/>
      <c r="AD934" s="520"/>
      <c r="AE934" s="520"/>
      <c r="AF934" s="520"/>
      <c r="AG934" s="526">
        <f t="shared" si="168"/>
        <v>0</v>
      </c>
      <c r="AH934" s="526">
        <f t="shared" si="169"/>
        <v>0</v>
      </c>
      <c r="AI934" s="520"/>
      <c r="AJ934" s="520"/>
    </row>
    <row r="935" spans="1:36" s="204" customFormat="1" x14ac:dyDescent="0.25">
      <c r="A935" s="535" t="s">
        <v>3681</v>
      </c>
      <c r="B935" s="536" t="s">
        <v>2329</v>
      </c>
      <c r="C935" s="536" t="s">
        <v>2330</v>
      </c>
      <c r="D935" s="536"/>
      <c r="E935" s="536"/>
      <c r="F935" s="536"/>
      <c r="G935" s="536"/>
      <c r="H935" s="536"/>
      <c r="I935" s="536"/>
      <c r="J935" s="536"/>
      <c r="K935" s="536"/>
      <c r="L935" s="536" t="s">
        <v>2332</v>
      </c>
      <c r="M935" s="284" t="s">
        <v>2962</v>
      </c>
      <c r="N935" s="408">
        <f t="shared" si="164"/>
        <v>0</v>
      </c>
      <c r="O935" s="408">
        <f t="shared" si="165"/>
        <v>0</v>
      </c>
      <c r="P935" s="271">
        <f t="shared" si="166"/>
        <v>0</v>
      </c>
      <c r="Q935" s="520"/>
      <c r="R935" s="354">
        <f>IF(ISERROR(VLOOKUP("SOC"&amp;$C935,ESTR_PREC_SP!$A$2:$G$2000,4,FALSE))=TRUE,0,VLOOKUP("SOC"&amp;$C935,ESTR_PREC_SP!$A$2:$G$2000,4,FALSE))</f>
        <v>0</v>
      </c>
      <c r="S935" s="527"/>
      <c r="T935" s="545"/>
      <c r="U935" s="527"/>
      <c r="V935" s="527"/>
      <c r="W935" s="527"/>
      <c r="X935" s="527"/>
      <c r="Y935" s="527"/>
      <c r="Z935" s="269">
        <f t="shared" si="167"/>
        <v>0</v>
      </c>
      <c r="AA935" s="546"/>
      <c r="AB935" s="545"/>
      <c r="AC935" s="520"/>
      <c r="AD935" s="520"/>
      <c r="AE935" s="520"/>
      <c r="AF935" s="520"/>
      <c r="AG935" s="526">
        <f t="shared" si="168"/>
        <v>0</v>
      </c>
      <c r="AH935" s="526">
        <f t="shared" si="169"/>
        <v>0</v>
      </c>
      <c r="AI935" s="520"/>
      <c r="AJ935" s="520"/>
    </row>
    <row r="936" spans="1:36" s="204" customFormat="1" x14ac:dyDescent="0.25">
      <c r="B936" s="287" t="s">
        <v>2333</v>
      </c>
      <c r="C936" s="287" t="s">
        <v>2334</v>
      </c>
      <c r="D936" s="284" t="s">
        <v>4016</v>
      </c>
      <c r="E936" s="274"/>
      <c r="F936" s="274"/>
      <c r="G936" s="283"/>
      <c r="H936" s="326"/>
      <c r="I936" s="274"/>
      <c r="J936" s="281"/>
      <c r="K936" s="281"/>
      <c r="L936" s="488" t="s">
        <v>4017</v>
      </c>
      <c r="M936" s="284" t="s">
        <v>2962</v>
      </c>
      <c r="N936" s="408">
        <f t="shared" si="164"/>
        <v>0</v>
      </c>
      <c r="O936" s="408">
        <f t="shared" si="165"/>
        <v>0</v>
      </c>
      <c r="P936" s="271">
        <f t="shared" si="166"/>
        <v>0</v>
      </c>
      <c r="Q936" s="520"/>
      <c r="R936" s="354">
        <f>IF(ISERROR(VLOOKUP("SOC"&amp;$C936,ESTR_PREC_SP!$A$2:$G$2000,4,FALSE))=TRUE,0,VLOOKUP("SOC"&amp;$C936,ESTR_PREC_SP!$A$2:$G$2000,4,FALSE))</f>
        <v>0</v>
      </c>
      <c r="S936" s="527"/>
      <c r="T936" s="545"/>
      <c r="U936" s="527"/>
      <c r="V936" s="527"/>
      <c r="W936" s="527"/>
      <c r="X936" s="527"/>
      <c r="Y936" s="527"/>
      <c r="Z936" s="269">
        <f t="shared" si="167"/>
        <v>0</v>
      </c>
      <c r="AA936" s="546"/>
      <c r="AB936" s="545"/>
      <c r="AC936" s="520"/>
      <c r="AD936" s="520"/>
      <c r="AE936" s="520"/>
      <c r="AF936" s="520"/>
      <c r="AG936" s="526">
        <f t="shared" si="168"/>
        <v>0</v>
      </c>
      <c r="AH936" s="526">
        <f t="shared" si="169"/>
        <v>0</v>
      </c>
      <c r="AI936" s="520"/>
      <c r="AJ936" s="520"/>
    </row>
    <row r="937" spans="1:36" s="204" customFormat="1" x14ac:dyDescent="0.25">
      <c r="B937" s="287" t="s">
        <v>2337</v>
      </c>
      <c r="C937" s="287" t="s">
        <v>2338</v>
      </c>
      <c r="D937" s="284" t="s">
        <v>4018</v>
      </c>
      <c r="E937" s="274"/>
      <c r="F937" s="274"/>
      <c r="G937" s="283"/>
      <c r="H937" s="326"/>
      <c r="I937" s="274"/>
      <c r="J937" s="281"/>
      <c r="K937" s="281"/>
      <c r="L937" s="488" t="s">
        <v>4019</v>
      </c>
      <c r="M937" s="284" t="s">
        <v>2962</v>
      </c>
      <c r="N937" s="408">
        <f t="shared" si="164"/>
        <v>0</v>
      </c>
      <c r="O937" s="408">
        <f t="shared" si="165"/>
        <v>0</v>
      </c>
      <c r="P937" s="271">
        <f t="shared" si="166"/>
        <v>0</v>
      </c>
      <c r="Q937" s="520"/>
      <c r="R937" s="354">
        <f>IF(ISERROR(VLOOKUP("SOC"&amp;$C937,ESTR_PREC_SP!$A$2:$G$2000,4,FALSE))=TRUE,0,VLOOKUP("SOC"&amp;$C937,ESTR_PREC_SP!$A$2:$G$2000,4,FALSE))</f>
        <v>0</v>
      </c>
      <c r="S937" s="527"/>
      <c r="T937" s="545"/>
      <c r="U937" s="527"/>
      <c r="V937" s="527"/>
      <c r="W937" s="527"/>
      <c r="X937" s="527"/>
      <c r="Y937" s="527"/>
      <c r="Z937" s="269">
        <f t="shared" si="167"/>
        <v>0</v>
      </c>
      <c r="AA937" s="546"/>
      <c r="AB937" s="545"/>
      <c r="AC937" s="520"/>
      <c r="AD937" s="520"/>
      <c r="AE937" s="520"/>
      <c r="AF937" s="520"/>
      <c r="AG937" s="526">
        <f t="shared" si="168"/>
        <v>0</v>
      </c>
      <c r="AH937" s="526">
        <f t="shared" si="169"/>
        <v>0</v>
      </c>
      <c r="AI937" s="520"/>
      <c r="AJ937" s="520"/>
    </row>
    <row r="938" spans="1:36" s="204" customFormat="1" x14ac:dyDescent="0.25">
      <c r="B938" s="287" t="s">
        <v>2340</v>
      </c>
      <c r="C938" s="287" t="s">
        <v>2341</v>
      </c>
      <c r="D938" s="284" t="s">
        <v>4020</v>
      </c>
      <c r="E938" s="274"/>
      <c r="F938" s="274"/>
      <c r="G938" s="283"/>
      <c r="H938" s="326"/>
      <c r="I938" s="274"/>
      <c r="J938" s="281"/>
      <c r="K938" s="281"/>
      <c r="L938" s="488" t="s">
        <v>4021</v>
      </c>
      <c r="M938" s="284" t="s">
        <v>2962</v>
      </c>
      <c r="N938" s="408">
        <f t="shared" si="164"/>
        <v>0</v>
      </c>
      <c r="O938" s="408">
        <f t="shared" si="165"/>
        <v>0</v>
      </c>
      <c r="P938" s="271">
        <f t="shared" si="166"/>
        <v>0</v>
      </c>
      <c r="Q938" s="520"/>
      <c r="R938" s="354">
        <f>IF(ISERROR(VLOOKUP("SOC"&amp;$C938,ESTR_PREC_SP!$A$2:$G$2000,4,FALSE))=TRUE,0,VLOOKUP("SOC"&amp;$C938,ESTR_PREC_SP!$A$2:$G$2000,4,FALSE))</f>
        <v>0</v>
      </c>
      <c r="S938" s="527"/>
      <c r="T938" s="545"/>
      <c r="U938" s="527"/>
      <c r="V938" s="527"/>
      <c r="W938" s="527"/>
      <c r="X938" s="527"/>
      <c r="Y938" s="527"/>
      <c r="Z938" s="269">
        <f t="shared" si="167"/>
        <v>0</v>
      </c>
      <c r="AA938" s="546"/>
      <c r="AB938" s="545"/>
      <c r="AC938" s="520"/>
      <c r="AD938" s="520"/>
      <c r="AE938" s="520"/>
      <c r="AF938" s="520"/>
      <c r="AG938" s="526">
        <f t="shared" si="168"/>
        <v>0</v>
      </c>
      <c r="AH938" s="526">
        <f t="shared" si="169"/>
        <v>0</v>
      </c>
      <c r="AI938" s="520"/>
      <c r="AJ938" s="520"/>
    </row>
    <row r="939" spans="1:36" s="204" customFormat="1" x14ac:dyDescent="0.25">
      <c r="B939" s="298"/>
      <c r="C939" s="298"/>
      <c r="D939" s="226"/>
      <c r="E939" s="226"/>
      <c r="F939" s="22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Z939" s="216"/>
      <c r="AA939" s="216"/>
      <c r="AB939" s="216"/>
      <c r="AC939" s="216"/>
      <c r="AD939" s="216"/>
    </row>
    <row r="940" spans="1:36" s="204" customFormat="1" ht="15.75" customHeight="1" x14ac:dyDescent="0.25">
      <c r="B940" s="302"/>
      <c r="C940" s="302"/>
      <c r="D940" s="226"/>
      <c r="E940" s="226"/>
      <c r="F940" s="226"/>
      <c r="G940" s="226"/>
      <c r="H940" s="227"/>
      <c r="I940" s="226"/>
      <c r="J940" s="226"/>
      <c r="K940" s="226"/>
      <c r="L940" s="315"/>
      <c r="M940" s="216"/>
      <c r="N940" s="254"/>
      <c r="O940" s="216"/>
      <c r="P940" s="216"/>
      <c r="Q940" s="216"/>
      <c r="R940" s="211"/>
      <c r="S940" s="211"/>
      <c r="U940" s="910" t="s">
        <v>3495</v>
      </c>
      <c r="V940" s="910"/>
      <c r="W940" s="485"/>
      <c r="X940" s="903" t="s">
        <v>3496</v>
      </c>
      <c r="Y940" s="903"/>
      <c r="Z940" s="211"/>
      <c r="AA940" s="211"/>
      <c r="AB940" s="211"/>
      <c r="AC940" s="904" t="str">
        <f>+AC925</f>
        <v>VALORE DEI DEBITI AL 31/12/2020 PER ANNO DI FORMAZIONE</v>
      </c>
      <c r="AD940" s="904"/>
      <c r="AE940" s="904"/>
      <c r="AF940" s="904"/>
      <c r="AG940" s="904"/>
      <c r="AH940" s="905" t="str">
        <f>+AH925</f>
        <v>Debiti al 31/12/2020 per scadenza</v>
      </c>
      <c r="AI940" s="905"/>
      <c r="AJ940" s="905"/>
    </row>
    <row r="941" spans="1:36" s="204" customFormat="1" ht="89.25" x14ac:dyDescent="0.25">
      <c r="B941" s="289"/>
      <c r="C941" s="289"/>
      <c r="D941" s="211"/>
      <c r="E941" s="211"/>
      <c r="F941" s="211"/>
      <c r="G941" s="211"/>
      <c r="H941" s="353"/>
      <c r="I941" s="211"/>
      <c r="J941" s="211"/>
      <c r="K941" s="211"/>
      <c r="L941" s="255"/>
      <c r="M941" s="244"/>
      <c r="N941" s="256" t="str">
        <f>N$15</f>
        <v>Valore netto al 31/12/2019</v>
      </c>
      <c r="O941" s="256" t="str">
        <f>O$15</f>
        <v>Valore netto al 31/12/2020</v>
      </c>
      <c r="P941" s="256" t="str">
        <f>P$15</f>
        <v>Variazione</v>
      </c>
      <c r="Q941" s="262" t="s">
        <v>2971</v>
      </c>
      <c r="R941" s="346" t="s">
        <v>3517</v>
      </c>
      <c r="S941" s="262" t="s">
        <v>2972</v>
      </c>
      <c r="T941" s="486" t="s">
        <v>3995</v>
      </c>
      <c r="U941" s="337" t="s">
        <v>3996</v>
      </c>
      <c r="V941" s="337" t="s">
        <v>3495</v>
      </c>
      <c r="W941" s="262" t="s">
        <v>4391</v>
      </c>
      <c r="X941" s="338" t="s">
        <v>3498</v>
      </c>
      <c r="Y941" s="338" t="s">
        <v>3499</v>
      </c>
      <c r="Z941" s="262" t="s">
        <v>3815</v>
      </c>
      <c r="AA941" s="497" t="s">
        <v>3997</v>
      </c>
      <c r="AB941" s="377" t="s">
        <v>3998</v>
      </c>
      <c r="AC941" s="339" t="s">
        <v>3503</v>
      </c>
      <c r="AD941" s="339" t="s">
        <v>3504</v>
      </c>
      <c r="AE941" s="339" t="s">
        <v>3505</v>
      </c>
      <c r="AF941" s="339" t="s">
        <v>3506</v>
      </c>
      <c r="AG941" s="339" t="s">
        <v>3507</v>
      </c>
      <c r="AH941" s="340" t="s">
        <v>3508</v>
      </c>
      <c r="AI941" s="340" t="s">
        <v>3509</v>
      </c>
      <c r="AJ941" s="340" t="s">
        <v>3510</v>
      </c>
    </row>
    <row r="942" spans="1:36" s="204" customFormat="1" x14ac:dyDescent="0.25">
      <c r="B942" s="292" t="s">
        <v>2343</v>
      </c>
      <c r="C942" s="292" t="s">
        <v>2344</v>
      </c>
      <c r="D942" s="247" t="s">
        <v>4022</v>
      </c>
      <c r="E942" s="247"/>
      <c r="F942" s="247"/>
      <c r="G942" s="247"/>
      <c r="H942" s="248"/>
      <c r="I942" s="247"/>
      <c r="J942" s="398"/>
      <c r="K942" s="399"/>
      <c r="L942" s="400" t="s">
        <v>2348</v>
      </c>
      <c r="M942" s="251" t="s">
        <v>2962</v>
      </c>
      <c r="N942" s="410">
        <f>+R942</f>
        <v>0</v>
      </c>
      <c r="O942" s="487">
        <f>+Z942</f>
        <v>0</v>
      </c>
      <c r="P942" s="498">
        <f>+O942-N942</f>
        <v>0</v>
      </c>
      <c r="Q942" s="487">
        <f>+AB942</f>
        <v>0</v>
      </c>
      <c r="R942" s="354">
        <f>IF(ISERROR(VLOOKUP("SOC"&amp;$C942,ESTR_PREC_SP!$A$2:$G$2000,4,FALSE))=TRUE,0,VLOOKUP("SOC"&amp;$C942,ESTR_PREC_SP!$A$2:$G$2000,4,FALSE))</f>
        <v>0</v>
      </c>
      <c r="S942" s="351"/>
      <c r="T942" s="545"/>
      <c r="U942" s="527"/>
      <c r="V942" s="527"/>
      <c r="W942" s="527"/>
      <c r="X942" s="527"/>
      <c r="Y942" s="527"/>
      <c r="Z942" s="269">
        <f>+R942+S942+U942+V942-X942-Y942+W942+Q942</f>
        <v>0</v>
      </c>
      <c r="AA942" s="546"/>
      <c r="AB942" s="545"/>
      <c r="AC942" s="520">
        <v>1118</v>
      </c>
      <c r="AD942" s="520"/>
      <c r="AE942" s="520">
        <v>3925</v>
      </c>
      <c r="AF942" s="520">
        <v>6122</v>
      </c>
      <c r="AG942" s="526">
        <f>+Z942-SUM(AC942:AF942)</f>
        <v>-11165</v>
      </c>
      <c r="AH942" s="526">
        <f>+Z942-SUM(AI942:AJ942)</f>
        <v>0</v>
      </c>
      <c r="AI942" s="520"/>
      <c r="AJ942" s="520"/>
    </row>
    <row r="943" spans="1:36" s="204" customFormat="1" x14ac:dyDescent="0.25">
      <c r="B943" s="302"/>
      <c r="C943" s="302"/>
      <c r="D943" s="226"/>
      <c r="E943" s="226"/>
      <c r="F943" s="226"/>
      <c r="G943" s="226"/>
      <c r="H943" s="227"/>
      <c r="I943" s="226"/>
      <c r="J943" s="226"/>
      <c r="K943" s="226"/>
      <c r="L943" s="315"/>
      <c r="M943" s="216"/>
      <c r="N943" s="254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Z943" s="216"/>
      <c r="AA943" s="216"/>
      <c r="AB943" s="216"/>
      <c r="AC943" s="216"/>
      <c r="AD943" s="216"/>
    </row>
    <row r="944" spans="1:36" s="204" customFormat="1" x14ac:dyDescent="0.25">
      <c r="B944" s="292" t="s">
        <v>2349</v>
      </c>
      <c r="C944" s="292" t="s">
        <v>2350</v>
      </c>
      <c r="D944" s="247" t="s">
        <v>4023</v>
      </c>
      <c r="E944" s="247"/>
      <c r="F944" s="247"/>
      <c r="G944" s="247"/>
      <c r="H944" s="248"/>
      <c r="I944" s="247"/>
      <c r="J944" s="247"/>
      <c r="K944" s="249"/>
      <c r="L944" s="441" t="s">
        <v>2353</v>
      </c>
      <c r="M944" s="251" t="s">
        <v>2962</v>
      </c>
      <c r="N944" s="252">
        <f>+N948+N976+N979</f>
        <v>0</v>
      </c>
      <c r="O944" s="252">
        <f>+O948+O976+O979</f>
        <v>0</v>
      </c>
      <c r="P944" s="253">
        <f>+O944-N944</f>
        <v>0</v>
      </c>
      <c r="Q944" s="252">
        <f>+Q948+Q976+Q979</f>
        <v>0</v>
      </c>
      <c r="R944" s="252">
        <f>+R948+R976+R979</f>
        <v>0</v>
      </c>
      <c r="S944" s="252">
        <f>+S948+S976+S979</f>
        <v>0</v>
      </c>
      <c r="T944" s="252">
        <f>+T948+T976+T979</f>
        <v>0</v>
      </c>
      <c r="U944" s="252"/>
      <c r="V944" s="252">
        <f t="shared" ref="V944:AJ944" si="170">+V948+V976+V979</f>
        <v>0</v>
      </c>
      <c r="W944" s="252">
        <f t="shared" si="170"/>
        <v>0</v>
      </c>
      <c r="X944" s="252">
        <f t="shared" si="170"/>
        <v>0</v>
      </c>
      <c r="Y944" s="252">
        <f t="shared" si="170"/>
        <v>0</v>
      </c>
      <c r="Z944" s="252">
        <f t="shared" si="170"/>
        <v>0</v>
      </c>
      <c r="AA944" s="252">
        <f t="shared" si="170"/>
        <v>0</v>
      </c>
      <c r="AB944" s="252">
        <f t="shared" si="170"/>
        <v>0</v>
      </c>
      <c r="AC944" s="252">
        <f t="shared" si="170"/>
        <v>533</v>
      </c>
      <c r="AD944" s="252">
        <f t="shared" si="170"/>
        <v>0</v>
      </c>
      <c r="AE944" s="252">
        <f t="shared" si="170"/>
        <v>0</v>
      </c>
      <c r="AF944" s="252">
        <f t="shared" si="170"/>
        <v>0</v>
      </c>
      <c r="AG944" s="252">
        <f t="shared" si="170"/>
        <v>-533</v>
      </c>
      <c r="AH944" s="252">
        <f t="shared" si="170"/>
        <v>0</v>
      </c>
      <c r="AI944" s="252">
        <f t="shared" si="170"/>
        <v>0</v>
      </c>
      <c r="AJ944" s="252">
        <f t="shared" si="170"/>
        <v>0</v>
      </c>
    </row>
    <row r="945" spans="2:36" s="204" customFormat="1" x14ac:dyDescent="0.25">
      <c r="B945" s="298"/>
      <c r="C945" s="298"/>
      <c r="D945" s="226"/>
      <c r="E945" s="226"/>
      <c r="F945" s="226"/>
      <c r="G945" s="226"/>
      <c r="H945" s="227"/>
      <c r="I945" s="226"/>
      <c r="J945" s="226"/>
      <c r="K945" s="226"/>
      <c r="L945" s="403"/>
      <c r="M945" s="278"/>
      <c r="N945" s="279"/>
      <c r="O945" s="279"/>
      <c r="P945" s="404"/>
      <c r="Q945" s="216"/>
      <c r="R945" s="279"/>
      <c r="S945" s="216"/>
      <c r="T945" s="216"/>
      <c r="U945" s="216"/>
      <c r="V945" s="216"/>
      <c r="W945" s="216"/>
      <c r="X945" s="216"/>
      <c r="Z945" s="216"/>
      <c r="AA945" s="216"/>
      <c r="AB945" s="216"/>
      <c r="AC945" s="216"/>
      <c r="AD945" s="216"/>
    </row>
    <row r="946" spans="2:36" s="204" customFormat="1" ht="15.75" customHeight="1" x14ac:dyDescent="0.25">
      <c r="B946" s="293"/>
      <c r="C946" s="293"/>
      <c r="D946" s="230"/>
      <c r="E946" s="230"/>
      <c r="F946" s="230"/>
      <c r="G946" s="230"/>
      <c r="H946" s="231"/>
      <c r="I946" s="230"/>
      <c r="J946" s="230"/>
      <c r="K946" s="230"/>
      <c r="L946" s="232"/>
      <c r="M946" s="211"/>
      <c r="N946" s="254"/>
      <c r="O946" s="211"/>
      <c r="P946" s="211"/>
      <c r="Q946" s="216"/>
      <c r="R946" s="211"/>
      <c r="S946" s="211"/>
      <c r="U946" s="910" t="s">
        <v>3495</v>
      </c>
      <c r="V946" s="910"/>
      <c r="W946" s="485"/>
      <c r="X946" s="903" t="s">
        <v>3496</v>
      </c>
      <c r="Y946" s="903"/>
      <c r="Z946" s="211"/>
      <c r="AA946" s="211"/>
      <c r="AB946" s="211"/>
      <c r="AC946" s="904" t="str">
        <f>+AC940</f>
        <v>VALORE DEI DEBITI AL 31/12/2020 PER ANNO DI FORMAZIONE</v>
      </c>
      <c r="AD946" s="904"/>
      <c r="AE946" s="904"/>
      <c r="AF946" s="904"/>
      <c r="AG946" s="904"/>
      <c r="AH946" s="905" t="str">
        <f>+AH940</f>
        <v>Debiti al 31/12/2020 per scadenza</v>
      </c>
      <c r="AI946" s="905"/>
      <c r="AJ946" s="905"/>
    </row>
    <row r="947" spans="2:36" s="204" customFormat="1" ht="89.25" x14ac:dyDescent="0.25">
      <c r="B947" s="499" t="s">
        <v>2968</v>
      </c>
      <c r="C947" s="499" t="s">
        <v>2969</v>
      </c>
      <c r="D947" s="500" t="s">
        <v>72</v>
      </c>
      <c r="E947" s="500"/>
      <c r="F947" s="500"/>
      <c r="G947" s="501"/>
      <c r="H947" s="501"/>
      <c r="I947" s="501"/>
      <c r="J947" s="501" t="s">
        <v>2957</v>
      </c>
      <c r="K947" s="500" t="s">
        <v>82</v>
      </c>
      <c r="L947" s="431" t="s">
        <v>3670</v>
      </c>
      <c r="M947" s="480"/>
      <c r="N947" s="256" t="str">
        <f>N$15</f>
        <v>Valore netto al 31/12/2019</v>
      </c>
      <c r="O947" s="256" t="str">
        <f>O$15</f>
        <v>Valore netto al 31/12/2020</v>
      </c>
      <c r="P947" s="256" t="str">
        <f>P$15</f>
        <v>Variazione</v>
      </c>
      <c r="Q947" s="262" t="s">
        <v>2971</v>
      </c>
      <c r="R947" s="346" t="s">
        <v>3517</v>
      </c>
      <c r="S947" s="262" t="s">
        <v>2972</v>
      </c>
      <c r="T947" s="486" t="s">
        <v>3995</v>
      </c>
      <c r="U947" s="337" t="s">
        <v>3996</v>
      </c>
      <c r="V947" s="337" t="s">
        <v>3495</v>
      </c>
      <c r="W947" s="262" t="s">
        <v>4391</v>
      </c>
      <c r="X947" s="338" t="s">
        <v>3498</v>
      </c>
      <c r="Y947" s="338" t="s">
        <v>3499</v>
      </c>
      <c r="Z947" s="346" t="s">
        <v>3815</v>
      </c>
      <c r="AA947" s="497" t="s">
        <v>3997</v>
      </c>
      <c r="AB947" s="377" t="s">
        <v>3998</v>
      </c>
      <c r="AC947" s="339" t="s">
        <v>3503</v>
      </c>
      <c r="AD947" s="339" t="s">
        <v>3504</v>
      </c>
      <c r="AE947" s="339" t="s">
        <v>3505</v>
      </c>
      <c r="AF947" s="339" t="s">
        <v>3506</v>
      </c>
      <c r="AG947" s="339" t="s">
        <v>3507</v>
      </c>
      <c r="AH947" s="340" t="s">
        <v>3508</v>
      </c>
      <c r="AI947" s="340" t="s">
        <v>3509</v>
      </c>
      <c r="AJ947" s="340" t="s">
        <v>3510</v>
      </c>
    </row>
    <row r="948" spans="2:36" s="204" customFormat="1" x14ac:dyDescent="0.25">
      <c r="B948" s="287" t="s">
        <v>2354</v>
      </c>
      <c r="C948" s="287" t="s">
        <v>2355</v>
      </c>
      <c r="D948" s="284" t="s">
        <v>4024</v>
      </c>
      <c r="E948" s="274"/>
      <c r="F948" s="437"/>
      <c r="G948" s="437"/>
      <c r="H948" s="437"/>
      <c r="I948" s="437"/>
      <c r="J948" s="437"/>
      <c r="K948" s="437"/>
      <c r="L948" s="295" t="s">
        <v>2356</v>
      </c>
      <c r="M948" s="284" t="s">
        <v>2962</v>
      </c>
      <c r="N948" s="378">
        <f>+N949+N956+N957+N958+N962+N963+N969+N970+N971+N972+N973+N974+N975</f>
        <v>0</v>
      </c>
      <c r="O948" s="378">
        <f>+O949+O956+O957+O958+O962+O963+O969+O970+O971+O972+O973+O974+O975</f>
        <v>0</v>
      </c>
      <c r="P948" s="378">
        <f t="shared" ref="P948:P954" si="171">+O948-N948</f>
        <v>0</v>
      </c>
      <c r="Q948" s="378">
        <f t="shared" ref="Q948:AJ948" si="172">+Q949+Q956+Q957+Q958+Q962+Q963+Q969+Q970+Q971+Q972+Q973+Q974+Q975</f>
        <v>0</v>
      </c>
      <c r="R948" s="378">
        <f t="shared" si="172"/>
        <v>0</v>
      </c>
      <c r="S948" s="378">
        <f t="shared" si="172"/>
        <v>0</v>
      </c>
      <c r="T948" s="378">
        <f t="shared" si="172"/>
        <v>0</v>
      </c>
      <c r="U948" s="378">
        <f t="shared" si="172"/>
        <v>0</v>
      </c>
      <c r="V948" s="378">
        <f t="shared" si="172"/>
        <v>0</v>
      </c>
      <c r="W948" s="378">
        <f t="shared" si="172"/>
        <v>0</v>
      </c>
      <c r="X948" s="378">
        <f t="shared" si="172"/>
        <v>0</v>
      </c>
      <c r="Y948" s="378">
        <f t="shared" si="172"/>
        <v>0</v>
      </c>
      <c r="Z948" s="378">
        <f t="shared" si="172"/>
        <v>0</v>
      </c>
      <c r="AA948" s="378">
        <f t="shared" si="172"/>
        <v>0</v>
      </c>
      <c r="AB948" s="378">
        <f t="shared" si="172"/>
        <v>0</v>
      </c>
      <c r="AC948" s="378">
        <f t="shared" si="172"/>
        <v>533</v>
      </c>
      <c r="AD948" s="378">
        <f t="shared" si="172"/>
        <v>0</v>
      </c>
      <c r="AE948" s="378">
        <f t="shared" si="172"/>
        <v>0</v>
      </c>
      <c r="AF948" s="378">
        <f t="shared" si="172"/>
        <v>0</v>
      </c>
      <c r="AG948" s="378">
        <f t="shared" si="172"/>
        <v>-533</v>
      </c>
      <c r="AH948" s="378">
        <f t="shared" si="172"/>
        <v>0</v>
      </c>
      <c r="AI948" s="378">
        <f t="shared" si="172"/>
        <v>0</v>
      </c>
      <c r="AJ948" s="378">
        <f t="shared" si="172"/>
        <v>0</v>
      </c>
    </row>
    <row r="949" spans="2:36" s="204" customFormat="1" x14ac:dyDescent="0.25">
      <c r="B949" s="287" t="s">
        <v>2357</v>
      </c>
      <c r="C949" s="287" t="s">
        <v>2358</v>
      </c>
      <c r="D949" s="284" t="s">
        <v>4025</v>
      </c>
      <c r="E949" s="274"/>
      <c r="F949" s="437"/>
      <c r="G949" s="437"/>
      <c r="H949" s="437"/>
      <c r="I949" s="437"/>
      <c r="J949" s="437"/>
      <c r="K949" s="437"/>
      <c r="L949" s="379" t="s">
        <v>2360</v>
      </c>
      <c r="M949" s="284" t="s">
        <v>2962</v>
      </c>
      <c r="N949" s="378">
        <f>SUM(N950:N954)</f>
        <v>0</v>
      </c>
      <c r="O949" s="378">
        <f>SUM(O950:O954)</f>
        <v>0</v>
      </c>
      <c r="P949" s="378">
        <f t="shared" si="171"/>
        <v>0</v>
      </c>
      <c r="Q949" s="378">
        <f t="shared" ref="Q949:AF949" si="173">SUM(Q950:Q954)</f>
        <v>0</v>
      </c>
      <c r="R949" s="378">
        <f t="shared" si="173"/>
        <v>0</v>
      </c>
      <c r="S949" s="378">
        <f t="shared" si="173"/>
        <v>0</v>
      </c>
      <c r="T949" s="378">
        <f t="shared" si="173"/>
        <v>0</v>
      </c>
      <c r="U949" s="378">
        <f t="shared" si="173"/>
        <v>0</v>
      </c>
      <c r="V949" s="378">
        <f t="shared" si="173"/>
        <v>0</v>
      </c>
      <c r="W949" s="378">
        <f t="shared" si="173"/>
        <v>0</v>
      </c>
      <c r="X949" s="378">
        <f t="shared" si="173"/>
        <v>0</v>
      </c>
      <c r="Y949" s="378">
        <f t="shared" si="173"/>
        <v>0</v>
      </c>
      <c r="Z949" s="540">
        <f t="shared" si="173"/>
        <v>0</v>
      </c>
      <c r="AA949" s="378">
        <f t="shared" si="173"/>
        <v>0</v>
      </c>
      <c r="AB949" s="378">
        <f t="shared" si="173"/>
        <v>0</v>
      </c>
      <c r="AC949" s="378">
        <f t="shared" si="173"/>
        <v>0</v>
      </c>
      <c r="AD949" s="378">
        <f t="shared" si="173"/>
        <v>0</v>
      </c>
      <c r="AE949" s="378">
        <f t="shared" si="173"/>
        <v>0</v>
      </c>
      <c r="AF949" s="378">
        <f t="shared" si="173"/>
        <v>0</v>
      </c>
      <c r="AG949" s="537">
        <f t="shared" ref="AG949:AG954" si="174">+Z949-SUM(AC949:AF949)</f>
        <v>0</v>
      </c>
      <c r="AH949" s="537">
        <f t="shared" ref="AH949:AH954" si="175">+Z949-SUM(AI949:AJ949)</f>
        <v>0</v>
      </c>
      <c r="AI949" s="378">
        <f>SUM(AI950:AI954)</f>
        <v>0</v>
      </c>
      <c r="AJ949" s="378">
        <f>SUM(AJ950:AJ954)</f>
        <v>0</v>
      </c>
    </row>
    <row r="950" spans="2:36" s="204" customFormat="1" hidden="1" x14ac:dyDescent="0.25">
      <c r="B950" s="287" t="s">
        <v>2361</v>
      </c>
      <c r="C950" s="287" t="s">
        <v>2362</v>
      </c>
      <c r="D950" s="284" t="s">
        <v>4026</v>
      </c>
      <c r="E950" s="274"/>
      <c r="F950" s="437"/>
      <c r="G950" s="437"/>
      <c r="H950" s="437"/>
      <c r="I950" s="437"/>
      <c r="J950" s="437"/>
      <c r="K950" s="437"/>
      <c r="L950" s="97" t="s">
        <v>2364</v>
      </c>
      <c r="M950" s="284" t="s">
        <v>2962</v>
      </c>
      <c r="N950" s="408">
        <f>+R950</f>
        <v>0</v>
      </c>
      <c r="O950" s="408">
        <f>+Z950</f>
        <v>0</v>
      </c>
      <c r="P950" s="271">
        <f t="shared" si="171"/>
        <v>0</v>
      </c>
      <c r="Q950" s="527"/>
      <c r="R950" s="354">
        <f>IF(ISERROR(VLOOKUP("SOC"&amp;$C950,ESTR_PREC_SP!$A$2:$G$2000,4,FALSE))=TRUE,0,VLOOKUP("SOC"&amp;$C950,ESTR_PREC_SP!$A$2:$G$2000,4,FALSE))</f>
        <v>0</v>
      </c>
      <c r="S950" s="527"/>
      <c r="T950" s="545"/>
      <c r="U950" s="527"/>
      <c r="V950" s="527"/>
      <c r="W950" s="527"/>
      <c r="X950" s="527"/>
      <c r="Y950" s="527"/>
      <c r="Z950" s="529">
        <f>+R950+T950+V950-X950-Y950+W950</f>
        <v>0</v>
      </c>
      <c r="AA950" s="546"/>
      <c r="AB950" s="545"/>
      <c r="AC950" s="520"/>
      <c r="AD950" s="520"/>
      <c r="AE950" s="520"/>
      <c r="AF950" s="520"/>
      <c r="AG950" s="526">
        <f t="shared" si="174"/>
        <v>0</v>
      </c>
      <c r="AH950" s="526">
        <f t="shared" si="175"/>
        <v>0</v>
      </c>
      <c r="AI950" s="520"/>
      <c r="AJ950" s="520"/>
    </row>
    <row r="951" spans="2:36" s="204" customFormat="1" x14ac:dyDescent="0.25">
      <c r="B951" s="287" t="s">
        <v>2365</v>
      </c>
      <c r="C951" s="287" t="s">
        <v>2366</v>
      </c>
      <c r="D951" s="284" t="s">
        <v>4027</v>
      </c>
      <c r="E951" s="274"/>
      <c r="F951" s="437"/>
      <c r="G951" s="437"/>
      <c r="H951" s="437"/>
      <c r="I951" s="437"/>
      <c r="J951" s="437"/>
      <c r="K951" s="437"/>
      <c r="L951" s="97" t="s">
        <v>4028</v>
      </c>
      <c r="M951" s="284" t="s">
        <v>2962</v>
      </c>
      <c r="N951" s="408">
        <f>+R951</f>
        <v>0</v>
      </c>
      <c r="O951" s="408">
        <f>+Z951</f>
        <v>0</v>
      </c>
      <c r="P951" s="271">
        <f t="shared" si="171"/>
        <v>0</v>
      </c>
      <c r="Q951" s="527"/>
      <c r="R951" s="354">
        <f>IF(ISERROR(VLOOKUP("SOC"&amp;$C951,ESTR_PREC_SP!$A$2:$G$2000,4,FALSE))=TRUE,0,VLOOKUP("SOC"&amp;$C951,ESTR_PREC_SP!$A$2:$G$2000,4,FALSE))</f>
        <v>0</v>
      </c>
      <c r="S951" s="527"/>
      <c r="T951" s="545"/>
      <c r="U951" s="527"/>
      <c r="V951" s="527"/>
      <c r="W951" s="527"/>
      <c r="X951" s="527"/>
      <c r="Y951" s="527"/>
      <c r="Z951" s="529">
        <f>+R951+S951+U951+V951-X951-Y951+W951+Q951</f>
        <v>0</v>
      </c>
      <c r="AA951" s="546"/>
      <c r="AB951" s="545"/>
      <c r="AC951" s="520"/>
      <c r="AD951" s="520"/>
      <c r="AE951" s="520"/>
      <c r="AF951" s="520"/>
      <c r="AG951" s="526">
        <f t="shared" si="174"/>
        <v>0</v>
      </c>
      <c r="AH951" s="526">
        <f t="shared" si="175"/>
        <v>0</v>
      </c>
      <c r="AI951" s="520"/>
      <c r="AJ951" s="520"/>
    </row>
    <row r="952" spans="2:36" s="204" customFormat="1" hidden="1" x14ac:dyDescent="0.25">
      <c r="B952" s="287" t="s">
        <v>2368</v>
      </c>
      <c r="C952" s="287" t="s">
        <v>2369</v>
      </c>
      <c r="D952" s="284" t="s">
        <v>4029</v>
      </c>
      <c r="E952" s="274"/>
      <c r="F952" s="437"/>
      <c r="G952" s="437"/>
      <c r="H952" s="437"/>
      <c r="I952" s="437"/>
      <c r="J952" s="437"/>
      <c r="K952" s="437"/>
      <c r="L952" s="97" t="s">
        <v>2370</v>
      </c>
      <c r="M952" s="284" t="s">
        <v>2962</v>
      </c>
      <c r="N952" s="408">
        <f>+R952</f>
        <v>0</v>
      </c>
      <c r="O952" s="408">
        <f>+Z952</f>
        <v>0</v>
      </c>
      <c r="P952" s="271">
        <f t="shared" si="171"/>
        <v>0</v>
      </c>
      <c r="Q952" s="527"/>
      <c r="R952" s="354">
        <f>IF(ISERROR(VLOOKUP("SOC"&amp;$C952,ESTR_PREC_SP!$A$2:$G$2000,4,FALSE))=TRUE,0,VLOOKUP("SOC"&amp;$C952,ESTR_PREC_SP!$A$2:$G$2000,4,FALSE))</f>
        <v>0</v>
      </c>
      <c r="S952" s="527"/>
      <c r="T952" s="545"/>
      <c r="U952" s="527"/>
      <c r="V952" s="527"/>
      <c r="W952" s="527"/>
      <c r="X952" s="527"/>
      <c r="Y952" s="527"/>
      <c r="Z952" s="529">
        <f>+R952+T952+V952-X952-Y952+W952</f>
        <v>0</v>
      </c>
      <c r="AA952" s="546"/>
      <c r="AB952" s="545"/>
      <c r="AC952" s="520"/>
      <c r="AD952" s="520"/>
      <c r="AE952" s="520"/>
      <c r="AF952" s="520"/>
      <c r="AG952" s="526">
        <f t="shared" si="174"/>
        <v>0</v>
      </c>
      <c r="AH952" s="526">
        <f t="shared" si="175"/>
        <v>0</v>
      </c>
      <c r="AI952" s="520"/>
      <c r="AJ952" s="520"/>
    </row>
    <row r="953" spans="2:36" s="204" customFormat="1" x14ac:dyDescent="0.25">
      <c r="B953" s="287" t="s">
        <v>2371</v>
      </c>
      <c r="C953" s="287" t="s">
        <v>2372</v>
      </c>
      <c r="D953" s="284" t="s">
        <v>4030</v>
      </c>
      <c r="E953" s="274"/>
      <c r="F953" s="437"/>
      <c r="G953" s="437"/>
      <c r="H953" s="437"/>
      <c r="I953" s="437"/>
      <c r="J953" s="437"/>
      <c r="K953" s="437"/>
      <c r="L953" s="97" t="s">
        <v>4031</v>
      </c>
      <c r="M953" s="284" t="s">
        <v>2962</v>
      </c>
      <c r="N953" s="408">
        <f>+R953</f>
        <v>0</v>
      </c>
      <c r="O953" s="408">
        <f>+Z953</f>
        <v>0</v>
      </c>
      <c r="P953" s="271">
        <f t="shared" si="171"/>
        <v>0</v>
      </c>
      <c r="Q953" s="527"/>
      <c r="R953" s="354">
        <f>IF(ISERROR(VLOOKUP("SOC"&amp;$C953,ESTR_PREC_SP!$A$2:$G$2000,4,FALSE))=TRUE,0,VLOOKUP("SOC"&amp;$C953,ESTR_PREC_SP!$A$2:$G$2000,4,FALSE))</f>
        <v>0</v>
      </c>
      <c r="S953" s="527"/>
      <c r="T953" s="545"/>
      <c r="U953" s="527"/>
      <c r="V953" s="527"/>
      <c r="W953" s="527"/>
      <c r="X953" s="527"/>
      <c r="Y953" s="527"/>
      <c r="Z953" s="529">
        <f>+R953+S953+U953+V953-X953-Y953+W953+Q953</f>
        <v>0</v>
      </c>
      <c r="AA953" s="546"/>
      <c r="AB953" s="545"/>
      <c r="AC953" s="520"/>
      <c r="AD953" s="520"/>
      <c r="AE953" s="520"/>
      <c r="AF953" s="520"/>
      <c r="AG953" s="526">
        <f t="shared" si="174"/>
        <v>0</v>
      </c>
      <c r="AH953" s="526">
        <f t="shared" si="175"/>
        <v>0</v>
      </c>
      <c r="AI953" s="520"/>
      <c r="AJ953" s="520"/>
    </row>
    <row r="954" spans="2:36" s="204" customFormat="1" ht="25.5" x14ac:dyDescent="0.25">
      <c r="B954" s="287" t="s">
        <v>2374</v>
      </c>
      <c r="C954" s="287" t="s">
        <v>2375</v>
      </c>
      <c r="D954" s="284" t="s">
        <v>4032</v>
      </c>
      <c r="E954" s="274"/>
      <c r="F954" s="437"/>
      <c r="G954" s="437"/>
      <c r="H954" s="437"/>
      <c r="I954" s="437"/>
      <c r="J954" s="437"/>
      <c r="K954" s="437"/>
      <c r="L954" s="97" t="s">
        <v>4033</v>
      </c>
      <c r="M954" s="284" t="s">
        <v>2962</v>
      </c>
      <c r="N954" s="408">
        <f>+R954</f>
        <v>0</v>
      </c>
      <c r="O954" s="408">
        <f>+Z954</f>
        <v>0</v>
      </c>
      <c r="P954" s="271">
        <f t="shared" si="171"/>
        <v>0</v>
      </c>
      <c r="Q954" s="527"/>
      <c r="R954" s="354">
        <f>IF(ISERROR(VLOOKUP("SOC"&amp;$C954,ESTR_PREC_SP!$A$2:$G$2000,4,FALSE))=TRUE,0,VLOOKUP("SOC"&amp;$C954,ESTR_PREC_SP!$A$2:$G$2000,4,FALSE))</f>
        <v>0</v>
      </c>
      <c r="S954" s="527"/>
      <c r="T954" s="545"/>
      <c r="U954" s="527"/>
      <c r="V954" s="527"/>
      <c r="W954" s="527"/>
      <c r="X954" s="527"/>
      <c r="Y954" s="527"/>
      <c r="Z954" s="529">
        <f>+R954+S954+U954+V954-X954-Y954+W954+Q954</f>
        <v>0</v>
      </c>
      <c r="AA954" s="546"/>
      <c r="AB954" s="545"/>
      <c r="AC954" s="520"/>
      <c r="AD954" s="520"/>
      <c r="AE954" s="520"/>
      <c r="AF954" s="520"/>
      <c r="AG954" s="526">
        <f t="shared" si="174"/>
        <v>0</v>
      </c>
      <c r="AH954" s="526">
        <f t="shared" si="175"/>
        <v>0</v>
      </c>
      <c r="AI954" s="520"/>
      <c r="AJ954" s="520"/>
    </row>
    <row r="955" spans="2:36" s="204" customFormat="1" x14ac:dyDescent="0.25">
      <c r="B955" s="287"/>
      <c r="C955" s="287"/>
      <c r="D955" s="284"/>
      <c r="E955" s="274"/>
      <c r="F955" s="437"/>
      <c r="G955" s="437"/>
      <c r="H955" s="437"/>
      <c r="I955" s="437"/>
      <c r="J955" s="437"/>
      <c r="K955" s="437"/>
      <c r="L955" s="97"/>
      <c r="M955" s="284"/>
      <c r="N955" s="408"/>
      <c r="O955" s="408"/>
      <c r="P955" s="271"/>
      <c r="Q955" s="527"/>
      <c r="R955" s="354"/>
      <c r="S955" s="527"/>
      <c r="T955" s="545"/>
      <c r="U955" s="527"/>
      <c r="V955" s="527"/>
      <c r="W955" s="527"/>
      <c r="X955" s="527"/>
      <c r="Y955" s="527"/>
      <c r="Z955" s="529"/>
      <c r="AA955" s="546"/>
      <c r="AB955" s="545"/>
      <c r="AC955" s="520"/>
      <c r="AD955" s="520"/>
      <c r="AE955" s="520"/>
      <c r="AF955" s="520"/>
      <c r="AG955" s="526"/>
      <c r="AH955" s="526"/>
      <c r="AI955" s="520"/>
      <c r="AJ955" s="520"/>
    </row>
    <row r="956" spans="2:36" s="204" customFormat="1" ht="25.5" x14ac:dyDescent="0.25">
      <c r="B956" s="287" t="s">
        <v>2380</v>
      </c>
      <c r="C956" s="287" t="s">
        <v>2381</v>
      </c>
      <c r="D956" s="284" t="s">
        <v>4034</v>
      </c>
      <c r="E956" s="274"/>
      <c r="F956" s="437"/>
      <c r="G956" s="437"/>
      <c r="H956" s="437"/>
      <c r="I956" s="437"/>
      <c r="J956" s="437"/>
      <c r="K956" s="437"/>
      <c r="L956" s="379" t="s">
        <v>2384</v>
      </c>
      <c r="M956" s="284" t="s">
        <v>2962</v>
      </c>
      <c r="N956" s="408">
        <f>+R956</f>
        <v>0</v>
      </c>
      <c r="O956" s="408">
        <f>+Z956</f>
        <v>0</v>
      </c>
      <c r="P956" s="271">
        <f t="shared" ref="P956:P984" si="176">+O956-N956</f>
        <v>0</v>
      </c>
      <c r="Q956" s="527"/>
      <c r="R956" s="354">
        <f>IF(ISERROR(VLOOKUP("SOC"&amp;$C956,ESTR_PREC_SP!$A$2:$G$2000,4,FALSE))=TRUE,0,VLOOKUP("SOC"&amp;$C956,ESTR_PREC_SP!$A$2:$G$2000,4,FALSE))</f>
        <v>0</v>
      </c>
      <c r="S956" s="527"/>
      <c r="T956" s="545"/>
      <c r="U956" s="527"/>
      <c r="V956" s="527"/>
      <c r="W956" s="527"/>
      <c r="X956" s="527"/>
      <c r="Y956" s="527"/>
      <c r="Z956" s="529">
        <f>+R956+S956+U956+V956-X956-Y956+W956+Q956</f>
        <v>0</v>
      </c>
      <c r="AA956" s="546"/>
      <c r="AB956" s="545"/>
      <c r="AC956" s="520"/>
      <c r="AD956" s="520"/>
      <c r="AE956" s="520"/>
      <c r="AF956" s="520"/>
      <c r="AG956" s="526">
        <f t="shared" ref="AG956:AG962" si="177">+Z956-SUM(AC956:AF956)</f>
        <v>0</v>
      </c>
      <c r="AH956" s="526">
        <f t="shared" ref="AH956:AH962" si="178">+Z956-SUM(AI956:AJ956)</f>
        <v>0</v>
      </c>
      <c r="AI956" s="520"/>
      <c r="AJ956" s="520"/>
    </row>
    <row r="957" spans="2:36" s="204" customFormat="1" ht="25.5" x14ac:dyDescent="0.25">
      <c r="B957" s="287" t="s">
        <v>2385</v>
      </c>
      <c r="C957" s="287" t="s">
        <v>2386</v>
      </c>
      <c r="D957" s="284" t="s">
        <v>4035</v>
      </c>
      <c r="E957" s="274"/>
      <c r="F957" s="437"/>
      <c r="G957" s="437"/>
      <c r="H957" s="437"/>
      <c r="I957" s="437"/>
      <c r="J957" s="437"/>
      <c r="K957" s="437"/>
      <c r="L957" s="379" t="s">
        <v>2389</v>
      </c>
      <c r="M957" s="284" t="s">
        <v>2962</v>
      </c>
      <c r="N957" s="408">
        <f>+R957</f>
        <v>0</v>
      </c>
      <c r="O957" s="408">
        <f>+Z957</f>
        <v>0</v>
      </c>
      <c r="P957" s="271">
        <f t="shared" si="176"/>
        <v>0</v>
      </c>
      <c r="Q957" s="527"/>
      <c r="R957" s="354">
        <f>IF(ISERROR(VLOOKUP("SOC"&amp;$C957,ESTR_PREC_SP!$A$2:$G$2000,4,FALSE))=TRUE,0,VLOOKUP("SOC"&amp;$C957,ESTR_PREC_SP!$A$2:$G$2000,4,FALSE))</f>
        <v>0</v>
      </c>
      <c r="S957" s="527"/>
      <c r="T957" s="545"/>
      <c r="U957" s="527"/>
      <c r="V957" s="527"/>
      <c r="W957" s="527"/>
      <c r="X957" s="527"/>
      <c r="Y957" s="527"/>
      <c r="Z957" s="529">
        <f>+R957+S957+U957+V957-X957-Y957+W957+Q957</f>
        <v>0</v>
      </c>
      <c r="AA957" s="546"/>
      <c r="AB957" s="545"/>
      <c r="AC957" s="520"/>
      <c r="AD957" s="520"/>
      <c r="AE957" s="520"/>
      <c r="AF957" s="520"/>
      <c r="AG957" s="526">
        <f t="shared" si="177"/>
        <v>0</v>
      </c>
      <c r="AH957" s="526">
        <f t="shared" si="178"/>
        <v>0</v>
      </c>
      <c r="AI957" s="520"/>
      <c r="AJ957" s="520"/>
    </row>
    <row r="958" spans="2:36" s="204" customFormat="1" ht="25.5" x14ac:dyDescent="0.25">
      <c r="B958" s="287" t="s">
        <v>2390</v>
      </c>
      <c r="C958" s="287" t="s">
        <v>2391</v>
      </c>
      <c r="D958" s="284" t="s">
        <v>4036</v>
      </c>
      <c r="E958" s="274"/>
      <c r="F958" s="437"/>
      <c r="G958" s="437"/>
      <c r="H958" s="437"/>
      <c r="I958" s="437"/>
      <c r="J958" s="437"/>
      <c r="K958" s="437"/>
      <c r="L958" s="379" t="s">
        <v>2393</v>
      </c>
      <c r="M958" s="284" t="s">
        <v>2962</v>
      </c>
      <c r="N958" s="378">
        <f>SUM(N959:N961)</f>
        <v>0</v>
      </c>
      <c r="O958" s="378">
        <f>SUM(O959:O961)</f>
        <v>0</v>
      </c>
      <c r="P958" s="378">
        <f t="shared" si="176"/>
        <v>0</v>
      </c>
      <c r="Q958" s="378">
        <f t="shared" ref="Q958:Y958" si="179">SUM(Q959:Q961)</f>
        <v>0</v>
      </c>
      <c r="R958" s="378">
        <f t="shared" si="179"/>
        <v>0</v>
      </c>
      <c r="S958" s="378">
        <f t="shared" si="179"/>
        <v>0</v>
      </c>
      <c r="T958" s="378">
        <f t="shared" si="179"/>
        <v>0</v>
      </c>
      <c r="U958" s="378">
        <f t="shared" si="179"/>
        <v>0</v>
      </c>
      <c r="V958" s="378">
        <f t="shared" si="179"/>
        <v>0</v>
      </c>
      <c r="W958" s="378">
        <f t="shared" si="179"/>
        <v>0</v>
      </c>
      <c r="X958" s="378">
        <f t="shared" si="179"/>
        <v>0</v>
      </c>
      <c r="Y958" s="378">
        <f t="shared" si="179"/>
        <v>0</v>
      </c>
      <c r="Z958" s="540">
        <f>+R958+T958+V958-X958-Y958+W958</f>
        <v>0</v>
      </c>
      <c r="AA958" s="378">
        <f t="shared" ref="AA958:AF958" si="180">SUM(AA959:AA961)</f>
        <v>0</v>
      </c>
      <c r="AB958" s="378">
        <f t="shared" si="180"/>
        <v>0</v>
      </c>
      <c r="AC958" s="378">
        <f t="shared" si="180"/>
        <v>0</v>
      </c>
      <c r="AD958" s="378">
        <f t="shared" si="180"/>
        <v>0</v>
      </c>
      <c r="AE958" s="378">
        <f t="shared" si="180"/>
        <v>0</v>
      </c>
      <c r="AF958" s="378">
        <f t="shared" si="180"/>
        <v>0</v>
      </c>
      <c r="AG958" s="537">
        <f t="shared" si="177"/>
        <v>0</v>
      </c>
      <c r="AH958" s="537">
        <f t="shared" si="178"/>
        <v>0</v>
      </c>
      <c r="AI958" s="378">
        <f>SUM(AI959:AI961)</f>
        <v>0</v>
      </c>
      <c r="AJ958" s="378">
        <f>SUM(AJ959:AJ961)</f>
        <v>0</v>
      </c>
    </row>
    <row r="959" spans="2:36" s="204" customFormat="1" ht="15" hidden="1" customHeight="1" x14ac:dyDescent="0.25">
      <c r="B959" s="287" t="s">
        <v>2394</v>
      </c>
      <c r="C959" s="287" t="s">
        <v>2395</v>
      </c>
      <c r="D959" s="284" t="s">
        <v>4037</v>
      </c>
      <c r="E959" s="274"/>
      <c r="F959" s="437"/>
      <c r="G959" s="437"/>
      <c r="H959" s="437"/>
      <c r="I959" s="437"/>
      <c r="J959" s="437"/>
      <c r="K959" s="437"/>
      <c r="L959" s="503" t="s">
        <v>2397</v>
      </c>
      <c r="M959" s="284" t="s">
        <v>2962</v>
      </c>
      <c r="N959" s="408">
        <f>+R959</f>
        <v>0</v>
      </c>
      <c r="O959" s="408">
        <f>+Z959</f>
        <v>0</v>
      </c>
      <c r="P959" s="271">
        <f t="shared" si="176"/>
        <v>0</v>
      </c>
      <c r="Q959" s="527"/>
      <c r="R959" s="354">
        <f>IF(ISERROR(VLOOKUP("SOC"&amp;$C959,ESTR_PREC_SP!$A$2:$G$2000,4,FALSE))=TRUE,0,VLOOKUP("SOC"&amp;$C959,ESTR_PREC_SP!$A$2:$G$2000,4,FALSE))</f>
        <v>0</v>
      </c>
      <c r="S959" s="527"/>
      <c r="T959" s="545"/>
      <c r="U959" s="527"/>
      <c r="V959" s="527"/>
      <c r="W959" s="527"/>
      <c r="X959" s="527"/>
      <c r="Y959" s="527"/>
      <c r="Z959" s="529">
        <f>+R959+T959+V959-X959-Y959+W959</f>
        <v>0</v>
      </c>
      <c r="AA959" s="546"/>
      <c r="AB959" s="545"/>
      <c r="AC959" s="520"/>
      <c r="AD959" s="520"/>
      <c r="AE959" s="520"/>
      <c r="AF959" s="520"/>
      <c r="AG959" s="526">
        <f t="shared" si="177"/>
        <v>0</v>
      </c>
      <c r="AH959" s="526">
        <f t="shared" si="178"/>
        <v>0</v>
      </c>
      <c r="AI959" s="520"/>
      <c r="AJ959" s="520"/>
    </row>
    <row r="960" spans="2:36" s="204" customFormat="1" ht="15" customHeight="1" x14ac:dyDescent="0.25">
      <c r="B960" s="287" t="s">
        <v>2398</v>
      </c>
      <c r="C960" s="287" t="s">
        <v>2399</v>
      </c>
      <c r="D960" s="284" t="s">
        <v>4038</v>
      </c>
      <c r="E960" s="274"/>
      <c r="F960" s="437"/>
      <c r="G960" s="437"/>
      <c r="H960" s="437"/>
      <c r="I960" s="437"/>
      <c r="J960" s="437"/>
      <c r="K960" s="437"/>
      <c r="L960" s="503" t="s">
        <v>4039</v>
      </c>
      <c r="M960" s="284" t="s">
        <v>2962</v>
      </c>
      <c r="N960" s="408">
        <f>+R960</f>
        <v>0</v>
      </c>
      <c r="O960" s="408">
        <f>+Z960</f>
        <v>0</v>
      </c>
      <c r="P960" s="271">
        <f t="shared" si="176"/>
        <v>0</v>
      </c>
      <c r="Q960" s="527"/>
      <c r="R960" s="354">
        <f>IF(ISERROR(VLOOKUP("SOC"&amp;$C960,ESTR_PREC_SP!$A$2:$G$2000,4,FALSE))=TRUE,0,VLOOKUP("SOC"&amp;$C960,ESTR_PREC_SP!$A$2:$G$2000,4,FALSE))</f>
        <v>0</v>
      </c>
      <c r="S960" s="527"/>
      <c r="T960" s="545"/>
      <c r="U960" s="527"/>
      <c r="V960" s="527"/>
      <c r="W960" s="527"/>
      <c r="X960" s="527"/>
      <c r="Y960" s="527"/>
      <c r="Z960" s="529">
        <f>+R960+S960+U960+V960-X960-Y960+W960+Q960</f>
        <v>0</v>
      </c>
      <c r="AA960" s="546"/>
      <c r="AB960" s="545"/>
      <c r="AC960" s="520"/>
      <c r="AD960" s="520"/>
      <c r="AE960" s="520"/>
      <c r="AF960" s="520"/>
      <c r="AG960" s="526">
        <f t="shared" si="177"/>
        <v>0</v>
      </c>
      <c r="AH960" s="526">
        <f t="shared" si="178"/>
        <v>0</v>
      </c>
      <c r="AI960" s="520"/>
      <c r="AJ960" s="520"/>
    </row>
    <row r="961" spans="1:36" s="204" customFormat="1" ht="26.25" x14ac:dyDescent="0.25">
      <c r="B961" s="287" t="s">
        <v>2401</v>
      </c>
      <c r="C961" s="287" t="s">
        <v>2402</v>
      </c>
      <c r="D961" s="287" t="s">
        <v>4040</v>
      </c>
      <c r="E961" s="274"/>
      <c r="F961" s="437"/>
      <c r="G961" s="437"/>
      <c r="H961" s="437"/>
      <c r="I961" s="437"/>
      <c r="J961" s="437"/>
      <c r="K961" s="437"/>
      <c r="L961" s="503" t="s">
        <v>4041</v>
      </c>
      <c r="M961" s="284" t="s">
        <v>2962</v>
      </c>
      <c r="N961" s="408">
        <f>+R961</f>
        <v>0</v>
      </c>
      <c r="O961" s="408">
        <f>+Z961</f>
        <v>0</v>
      </c>
      <c r="P961" s="271">
        <f t="shared" si="176"/>
        <v>0</v>
      </c>
      <c r="Q961" s="527"/>
      <c r="R961" s="354">
        <f>IF(ISERROR(VLOOKUP("SOC"&amp;$C961,ESTR_PREC_SP!$A$2:$G$2000,4,FALSE))=TRUE,0,VLOOKUP("SOC"&amp;$C961,ESTR_PREC_SP!$A$2:$G$2000,4,FALSE))</f>
        <v>0</v>
      </c>
      <c r="S961" s="527"/>
      <c r="T961" s="545"/>
      <c r="U961" s="527"/>
      <c r="V961" s="527"/>
      <c r="W961" s="527"/>
      <c r="X961" s="527"/>
      <c r="Y961" s="527"/>
      <c r="Z961" s="529">
        <f>+R961+S961+U961+V961-X961-Y961+W961+Q961</f>
        <v>0</v>
      </c>
      <c r="AA961" s="546"/>
      <c r="AB961" s="545"/>
      <c r="AC961" s="520"/>
      <c r="AD961" s="520"/>
      <c r="AE961" s="520"/>
      <c r="AF961" s="520"/>
      <c r="AG961" s="526">
        <f t="shared" si="177"/>
        <v>0</v>
      </c>
      <c r="AH961" s="526">
        <f t="shared" si="178"/>
        <v>0</v>
      </c>
      <c r="AI961" s="520"/>
      <c r="AJ961" s="520"/>
    </row>
    <row r="962" spans="1:36" s="204" customFormat="1" ht="25.5" x14ac:dyDescent="0.25">
      <c r="B962" s="287" t="s">
        <v>2404</v>
      </c>
      <c r="C962" s="287" t="s">
        <v>2405</v>
      </c>
      <c r="D962" s="284" t="s">
        <v>4042</v>
      </c>
      <c r="E962" s="274"/>
      <c r="F962" s="437"/>
      <c r="G962" s="437"/>
      <c r="H962" s="437"/>
      <c r="I962" s="437"/>
      <c r="J962" s="437"/>
      <c r="K962" s="437"/>
      <c r="L962" s="379" t="s">
        <v>2407</v>
      </c>
      <c r="M962" s="284" t="s">
        <v>2962</v>
      </c>
      <c r="N962" s="408">
        <f>+R962</f>
        <v>0</v>
      </c>
      <c r="O962" s="408">
        <f>+Z962</f>
        <v>0</v>
      </c>
      <c r="P962" s="271">
        <f t="shared" si="176"/>
        <v>0</v>
      </c>
      <c r="Q962" s="527"/>
      <c r="R962" s="354">
        <f>IF(ISERROR(VLOOKUP("SOC"&amp;$C962,ESTR_PREC_SP!$A$2:$G$2000,4,FALSE))=TRUE,0,VLOOKUP("SOC"&amp;$C962,ESTR_PREC_SP!$A$2:$G$2000,4,FALSE))</f>
        <v>0</v>
      </c>
      <c r="S962" s="527"/>
      <c r="T962" s="545"/>
      <c r="U962" s="527"/>
      <c r="V962" s="527"/>
      <c r="W962" s="527"/>
      <c r="X962" s="527"/>
      <c r="Y962" s="527"/>
      <c r="Z962" s="529">
        <f>+R962+S962+U962+V962-X962-Y962+W962+Q962</f>
        <v>0</v>
      </c>
      <c r="AA962" s="546"/>
      <c r="AB962" s="545"/>
      <c r="AC962" s="520"/>
      <c r="AD962" s="520"/>
      <c r="AE962" s="520"/>
      <c r="AF962" s="520"/>
      <c r="AG962" s="526">
        <f t="shared" si="177"/>
        <v>0</v>
      </c>
      <c r="AH962" s="526">
        <f t="shared" si="178"/>
        <v>0</v>
      </c>
      <c r="AI962" s="520"/>
      <c r="AJ962" s="520"/>
    </row>
    <row r="963" spans="1:36" s="204" customFormat="1" ht="25.5" x14ac:dyDescent="0.25">
      <c r="B963" s="287" t="s">
        <v>2408</v>
      </c>
      <c r="C963" s="287" t="s">
        <v>2409</v>
      </c>
      <c r="D963" s="284" t="s">
        <v>4043</v>
      </c>
      <c r="E963" s="274"/>
      <c r="F963" s="437"/>
      <c r="G963" s="437"/>
      <c r="H963" s="437"/>
      <c r="I963" s="437"/>
      <c r="J963" s="437"/>
      <c r="K963" s="437"/>
      <c r="L963" s="379" t="s">
        <v>2412</v>
      </c>
      <c r="M963" s="284" t="s">
        <v>2962</v>
      </c>
      <c r="N963" s="378">
        <f>SUM(N964:N968)</f>
        <v>0</v>
      </c>
      <c r="O963" s="378">
        <f>SUM(O964:O968)</f>
        <v>0</v>
      </c>
      <c r="P963" s="378">
        <f t="shared" si="176"/>
        <v>0</v>
      </c>
      <c r="Q963" s="378">
        <f>SUM(Q964:Q975)</f>
        <v>0</v>
      </c>
      <c r="R963" s="378">
        <f>SUM(R964:R975)</f>
        <v>0</v>
      </c>
      <c r="S963" s="378">
        <f>SUM(S964:S975)</f>
        <v>0</v>
      </c>
      <c r="T963" s="378">
        <f>SUM(T964:T975)</f>
        <v>0</v>
      </c>
      <c r="U963" s="378">
        <f>SUM(U964:U975)</f>
        <v>0</v>
      </c>
      <c r="V963" s="378">
        <f>SUM(V964:V968)</f>
        <v>0</v>
      </c>
      <c r="W963" s="378">
        <f>SUM(W964:W975)</f>
        <v>0</v>
      </c>
      <c r="X963" s="378">
        <f>SUM(X964:X968)</f>
        <v>0</v>
      </c>
      <c r="Y963" s="378">
        <f>SUM(Y964:Y968)</f>
        <v>0</v>
      </c>
      <c r="Z963" s="378">
        <f>SUM(Z964:Z968)</f>
        <v>0</v>
      </c>
      <c r="AA963" s="378">
        <f t="shared" ref="AA963:AJ963" si="181">SUM(AA964:AA975)</f>
        <v>0</v>
      </c>
      <c r="AB963" s="378">
        <f t="shared" si="181"/>
        <v>0</v>
      </c>
      <c r="AC963" s="378">
        <f t="shared" si="181"/>
        <v>533</v>
      </c>
      <c r="AD963" s="378">
        <f t="shared" si="181"/>
        <v>0</v>
      </c>
      <c r="AE963" s="378">
        <f t="shared" si="181"/>
        <v>0</v>
      </c>
      <c r="AF963" s="378">
        <f t="shared" si="181"/>
        <v>0</v>
      </c>
      <c r="AG963" s="378">
        <f t="shared" si="181"/>
        <v>-533</v>
      </c>
      <c r="AH963" s="378">
        <f t="shared" si="181"/>
        <v>0</v>
      </c>
      <c r="AI963" s="378">
        <f t="shared" si="181"/>
        <v>0</v>
      </c>
      <c r="AJ963" s="378">
        <f t="shared" si="181"/>
        <v>0</v>
      </c>
    </row>
    <row r="964" spans="1:36" s="204" customFormat="1" hidden="1" x14ac:dyDescent="0.25">
      <c r="B964" s="287" t="s">
        <v>2413</v>
      </c>
      <c r="C964" s="287" t="s">
        <v>2414</v>
      </c>
      <c r="D964" s="284" t="s">
        <v>4044</v>
      </c>
      <c r="E964" s="274"/>
      <c r="F964" s="437"/>
      <c r="G964" s="437"/>
      <c r="H964" s="437"/>
      <c r="I964" s="437"/>
      <c r="J964" s="437"/>
      <c r="K964" s="437"/>
      <c r="L964" s="504" t="s">
        <v>2415</v>
      </c>
      <c r="M964" s="284" t="s">
        <v>2962</v>
      </c>
      <c r="N964" s="408">
        <f t="shared" ref="N964:N975" si="182">+R964</f>
        <v>0</v>
      </c>
      <c r="O964" s="408">
        <f t="shared" ref="O964:O975" si="183">+Z964</f>
        <v>0</v>
      </c>
      <c r="P964" s="271">
        <f t="shared" si="176"/>
        <v>0</v>
      </c>
      <c r="Q964" s="527"/>
      <c r="R964" s="354">
        <f>IF(ISERROR(VLOOKUP("SOC"&amp;$C964,ESTR_PREC_SP!$A$2:$G$2000,4,FALSE))=TRUE,0,VLOOKUP("SOC"&amp;$C964,ESTR_PREC_SP!$A$2:$G$2000,4,FALSE))</f>
        <v>0</v>
      </c>
      <c r="S964" s="527"/>
      <c r="T964" s="545"/>
      <c r="U964" s="527"/>
      <c r="V964" s="527"/>
      <c r="W964" s="527"/>
      <c r="X964" s="527"/>
      <c r="Y964" s="527"/>
      <c r="Z964" s="529">
        <f>+R964+T964+V964-X964-Y964+W964</f>
        <v>0</v>
      </c>
      <c r="AA964" s="546"/>
      <c r="AB964" s="545"/>
      <c r="AC964" s="520"/>
      <c r="AD964" s="520"/>
      <c r="AE964" s="520"/>
      <c r="AF964" s="520"/>
      <c r="AG964" s="526">
        <f t="shared" ref="AG964:AG978" si="184">+Z964-SUM(AC964:AF964)</f>
        <v>0</v>
      </c>
      <c r="AH964" s="526">
        <f t="shared" ref="AH964:AH978" si="185">+Z964-SUM(AI964:AJ964)</f>
        <v>0</v>
      </c>
      <c r="AI964" s="520"/>
      <c r="AJ964" s="520"/>
    </row>
    <row r="965" spans="1:36" s="204" customFormat="1" x14ac:dyDescent="0.25">
      <c r="B965" s="287" t="s">
        <v>2416</v>
      </c>
      <c r="C965" s="287" t="s">
        <v>2417</v>
      </c>
      <c r="D965" s="284" t="s">
        <v>4045</v>
      </c>
      <c r="E965" s="274"/>
      <c r="F965" s="437"/>
      <c r="G965" s="437"/>
      <c r="H965" s="437"/>
      <c r="I965" s="437"/>
      <c r="J965" s="437"/>
      <c r="K965" s="437"/>
      <c r="L965" s="504" t="s">
        <v>4046</v>
      </c>
      <c r="M965" s="284" t="s">
        <v>2962</v>
      </c>
      <c r="N965" s="408">
        <f t="shared" si="182"/>
        <v>0</v>
      </c>
      <c r="O965" s="408">
        <f t="shared" si="183"/>
        <v>0</v>
      </c>
      <c r="P965" s="271">
        <f t="shared" si="176"/>
        <v>0</v>
      </c>
      <c r="Q965" s="527"/>
      <c r="R965" s="354">
        <f>IF(ISERROR(VLOOKUP("SOC"&amp;$C965,ESTR_PREC_SP!$A$2:$G$2000,4,FALSE))=TRUE,0,VLOOKUP("SOC"&amp;$C965,ESTR_PREC_SP!$A$2:$G$2000,4,FALSE))</f>
        <v>0</v>
      </c>
      <c r="S965" s="527"/>
      <c r="T965" s="545"/>
      <c r="U965" s="527"/>
      <c r="V965" s="527"/>
      <c r="W965" s="527"/>
      <c r="X965" s="527"/>
      <c r="Y965" s="527"/>
      <c r="Z965" s="529">
        <f t="shared" ref="Z965:Z975" si="186">+R965+S965+U965+V965-X965-Y965+W965+Q965</f>
        <v>0</v>
      </c>
      <c r="AA965" s="546"/>
      <c r="AB965" s="545"/>
      <c r="AC965" s="520">
        <v>533</v>
      </c>
      <c r="AD965" s="520"/>
      <c r="AE965" s="520"/>
      <c r="AF965" s="520"/>
      <c r="AG965" s="526">
        <f t="shared" si="184"/>
        <v>-533</v>
      </c>
      <c r="AH965" s="526">
        <f t="shared" si="185"/>
        <v>0</v>
      </c>
      <c r="AI965" s="520"/>
      <c r="AJ965" s="520"/>
    </row>
    <row r="966" spans="1:36" s="204" customFormat="1" hidden="1" x14ac:dyDescent="0.25">
      <c r="B966" s="287" t="s">
        <v>2419</v>
      </c>
      <c r="C966" s="287" t="s">
        <v>2420</v>
      </c>
      <c r="D966" s="284" t="s">
        <v>4047</v>
      </c>
      <c r="E966" s="274"/>
      <c r="F966" s="437"/>
      <c r="G966" s="437"/>
      <c r="H966" s="437"/>
      <c r="I966" s="437"/>
      <c r="J966" s="437"/>
      <c r="K966" s="437"/>
      <c r="L966" s="504" t="s">
        <v>2421</v>
      </c>
      <c r="M966" s="284" t="s">
        <v>2962</v>
      </c>
      <c r="N966" s="408">
        <f t="shared" si="182"/>
        <v>0</v>
      </c>
      <c r="O966" s="408">
        <f t="shared" si="183"/>
        <v>0</v>
      </c>
      <c r="P966" s="271">
        <f t="shared" si="176"/>
        <v>0</v>
      </c>
      <c r="Q966" s="527"/>
      <c r="R966" s="354">
        <f>IF(ISERROR(VLOOKUP("SOC"&amp;$C966,ESTR_PREC_SP!$A$2:$G$2000,4,FALSE))=TRUE,0,VLOOKUP("SOC"&amp;$C966,ESTR_PREC_SP!$A$2:$G$2000,4,FALSE))</f>
        <v>0</v>
      </c>
      <c r="S966" s="527"/>
      <c r="T966" s="545"/>
      <c r="U966" s="527"/>
      <c r="V966" s="527"/>
      <c r="W966" s="527"/>
      <c r="X966" s="527"/>
      <c r="Y966" s="527"/>
      <c r="Z966" s="529">
        <f t="shared" si="186"/>
        <v>0</v>
      </c>
      <c r="AA966" s="546"/>
      <c r="AB966" s="545"/>
      <c r="AC966" s="520"/>
      <c r="AD966" s="520"/>
      <c r="AE966" s="520"/>
      <c r="AF966" s="520"/>
      <c r="AG966" s="526">
        <f t="shared" si="184"/>
        <v>0</v>
      </c>
      <c r="AH966" s="526">
        <f t="shared" si="185"/>
        <v>0</v>
      </c>
      <c r="AI966" s="520"/>
      <c r="AJ966" s="520"/>
    </row>
    <row r="967" spans="1:36" s="204" customFormat="1" x14ac:dyDescent="0.25">
      <c r="B967" s="287" t="s">
        <v>2422</v>
      </c>
      <c r="C967" s="287" t="s">
        <v>2423</v>
      </c>
      <c r="D967" s="284" t="s">
        <v>4048</v>
      </c>
      <c r="E967" s="274"/>
      <c r="F967" s="437"/>
      <c r="G967" s="437"/>
      <c r="H967" s="437"/>
      <c r="I967" s="437"/>
      <c r="J967" s="437"/>
      <c r="K967" s="437"/>
      <c r="L967" s="504" t="s">
        <v>4049</v>
      </c>
      <c r="M967" s="284" t="s">
        <v>2962</v>
      </c>
      <c r="N967" s="408">
        <f t="shared" si="182"/>
        <v>0</v>
      </c>
      <c r="O967" s="408">
        <f t="shared" si="183"/>
        <v>0</v>
      </c>
      <c r="P967" s="271">
        <f t="shared" si="176"/>
        <v>0</v>
      </c>
      <c r="Q967" s="527"/>
      <c r="R967" s="354">
        <f>IF(ISERROR(VLOOKUP("SOC"&amp;$C967,ESTR_PREC_SP!$A$2:$G$2000,4,FALSE))=TRUE,0,VLOOKUP("SOC"&amp;$C967,ESTR_PREC_SP!$A$2:$G$2000,4,FALSE))</f>
        <v>0</v>
      </c>
      <c r="S967" s="527"/>
      <c r="T967" s="545"/>
      <c r="U967" s="527"/>
      <c r="V967" s="527"/>
      <c r="W967" s="527"/>
      <c r="X967" s="527"/>
      <c r="Y967" s="527"/>
      <c r="Z967" s="529">
        <f t="shared" si="186"/>
        <v>0</v>
      </c>
      <c r="AA967" s="546"/>
      <c r="AB967" s="545"/>
      <c r="AC967" s="520"/>
      <c r="AD967" s="520"/>
      <c r="AE967" s="520"/>
      <c r="AF967" s="520"/>
      <c r="AG967" s="526">
        <f t="shared" si="184"/>
        <v>0</v>
      </c>
      <c r="AH967" s="526">
        <f t="shared" si="185"/>
        <v>0</v>
      </c>
      <c r="AI967" s="520"/>
      <c r="AJ967" s="520"/>
    </row>
    <row r="968" spans="1:36" s="204" customFormat="1" x14ac:dyDescent="0.25">
      <c r="B968" s="287" t="s">
        <v>2425</v>
      </c>
      <c r="C968" s="287" t="s">
        <v>2426</v>
      </c>
      <c r="D968" s="284" t="s">
        <v>4050</v>
      </c>
      <c r="E968" s="274"/>
      <c r="F968" s="437"/>
      <c r="G968" s="437"/>
      <c r="H968" s="437"/>
      <c r="I968" s="437"/>
      <c r="J968" s="437"/>
      <c r="K968" s="437"/>
      <c r="L968" s="504" t="s">
        <v>4051</v>
      </c>
      <c r="M968" s="284" t="s">
        <v>2962</v>
      </c>
      <c r="N968" s="408">
        <f t="shared" si="182"/>
        <v>0</v>
      </c>
      <c r="O968" s="408">
        <f t="shared" si="183"/>
        <v>0</v>
      </c>
      <c r="P968" s="271">
        <f t="shared" si="176"/>
        <v>0</v>
      </c>
      <c r="Q968" s="527"/>
      <c r="R968" s="354">
        <f>IF(ISERROR(VLOOKUP("SOC"&amp;$C968,ESTR_PREC_SP!$A$2:$G$2000,4,FALSE))=TRUE,0,VLOOKUP("SOC"&amp;$C968,ESTR_PREC_SP!$A$2:$G$2000,4,FALSE))</f>
        <v>0</v>
      </c>
      <c r="S968" s="527"/>
      <c r="T968" s="545"/>
      <c r="U968" s="527"/>
      <c r="V968" s="527"/>
      <c r="W968" s="527"/>
      <c r="X968" s="527"/>
      <c r="Y968" s="527"/>
      <c r="Z968" s="529">
        <f t="shared" si="186"/>
        <v>0</v>
      </c>
      <c r="AA968" s="546"/>
      <c r="AB968" s="545"/>
      <c r="AC968" s="520"/>
      <c r="AD968" s="520"/>
      <c r="AE968" s="520"/>
      <c r="AF968" s="520"/>
      <c r="AG968" s="526">
        <f t="shared" si="184"/>
        <v>0</v>
      </c>
      <c r="AH968" s="526">
        <f t="shared" si="185"/>
        <v>0</v>
      </c>
      <c r="AI968" s="520"/>
      <c r="AJ968" s="520"/>
    </row>
    <row r="969" spans="1:36" s="204" customFormat="1" x14ac:dyDescent="0.25">
      <c r="B969" s="287" t="s">
        <v>2428</v>
      </c>
      <c r="C969" s="287" t="s">
        <v>2429</v>
      </c>
      <c r="D969" s="284" t="s">
        <v>4052</v>
      </c>
      <c r="E969" s="274"/>
      <c r="F969" s="437"/>
      <c r="G969" s="437"/>
      <c r="H969" s="437"/>
      <c r="I969" s="437"/>
      <c r="J969" s="437"/>
      <c r="K969" s="437"/>
      <c r="L969" s="379" t="s">
        <v>2431</v>
      </c>
      <c r="M969" s="284" t="s">
        <v>2962</v>
      </c>
      <c r="N969" s="408">
        <f t="shared" si="182"/>
        <v>0</v>
      </c>
      <c r="O969" s="408">
        <f t="shared" si="183"/>
        <v>0</v>
      </c>
      <c r="P969" s="271">
        <f t="shared" si="176"/>
        <v>0</v>
      </c>
      <c r="Q969" s="527"/>
      <c r="R969" s="354">
        <f>IF(ISERROR(VLOOKUP("SOC"&amp;$C969,ESTR_PREC_SP!$A$2:$G$2000,4,FALSE))=TRUE,0,VLOOKUP("SOC"&amp;$C969,ESTR_PREC_SP!$A$2:$G$2000,4,FALSE))</f>
        <v>0</v>
      </c>
      <c r="S969" s="527"/>
      <c r="T969" s="545"/>
      <c r="U969" s="527"/>
      <c r="V969" s="527"/>
      <c r="W969" s="527"/>
      <c r="X969" s="527"/>
      <c r="Y969" s="527"/>
      <c r="Z969" s="529">
        <f t="shared" si="186"/>
        <v>0</v>
      </c>
      <c r="AA969" s="546"/>
      <c r="AB969" s="545"/>
      <c r="AC969" s="520"/>
      <c r="AD969" s="520"/>
      <c r="AE969" s="520"/>
      <c r="AF969" s="520"/>
      <c r="AG969" s="526">
        <f t="shared" si="184"/>
        <v>0</v>
      </c>
      <c r="AH969" s="526">
        <f t="shared" si="185"/>
        <v>0</v>
      </c>
      <c r="AI969" s="520"/>
      <c r="AJ969" s="520"/>
    </row>
    <row r="970" spans="1:36" s="204" customFormat="1" x14ac:dyDescent="0.25">
      <c r="B970" s="287" t="s">
        <v>2432</v>
      </c>
      <c r="C970" s="287" t="s">
        <v>2433</v>
      </c>
      <c r="D970" s="284" t="s">
        <v>4053</v>
      </c>
      <c r="E970" s="274"/>
      <c r="F970" s="437"/>
      <c r="G970" s="437"/>
      <c r="H970" s="437"/>
      <c r="I970" s="437"/>
      <c r="J970" s="437"/>
      <c r="K970" s="437"/>
      <c r="L970" s="379" t="s">
        <v>2435</v>
      </c>
      <c r="M970" s="284" t="s">
        <v>2962</v>
      </c>
      <c r="N970" s="408">
        <f t="shared" si="182"/>
        <v>0</v>
      </c>
      <c r="O970" s="408">
        <f t="shared" si="183"/>
        <v>0</v>
      </c>
      <c r="P970" s="271">
        <f t="shared" si="176"/>
        <v>0</v>
      </c>
      <c r="Q970" s="527"/>
      <c r="R970" s="354">
        <f>IF(ISERROR(VLOOKUP("SOC"&amp;$C970,ESTR_PREC_SP!$A$2:$G$2000,4,FALSE))=TRUE,0,VLOOKUP("SOC"&amp;$C970,ESTR_PREC_SP!$A$2:$G$2000,4,FALSE))</f>
        <v>0</v>
      </c>
      <c r="S970" s="527"/>
      <c r="T970" s="545"/>
      <c r="U970" s="527"/>
      <c r="V970" s="527"/>
      <c r="W970" s="527"/>
      <c r="X970" s="527"/>
      <c r="Y970" s="527"/>
      <c r="Z970" s="529">
        <f t="shared" si="186"/>
        <v>0</v>
      </c>
      <c r="AA970" s="546"/>
      <c r="AB970" s="545"/>
      <c r="AC970" s="520"/>
      <c r="AD970" s="520"/>
      <c r="AE970" s="520"/>
      <c r="AF970" s="520"/>
      <c r="AG970" s="526">
        <f t="shared" si="184"/>
        <v>0</v>
      </c>
      <c r="AH970" s="526">
        <f t="shared" si="185"/>
        <v>0</v>
      </c>
      <c r="AI970" s="520"/>
      <c r="AJ970" s="520"/>
    </row>
    <row r="971" spans="1:36" s="204" customFormat="1" ht="26.25" x14ac:dyDescent="0.25">
      <c r="A971" s="535" t="s">
        <v>3681</v>
      </c>
      <c r="B971" s="536" t="s">
        <v>2436</v>
      </c>
      <c r="C971" s="536" t="s">
        <v>2437</v>
      </c>
      <c r="D971" s="536"/>
      <c r="E971" s="536"/>
      <c r="F971" s="536"/>
      <c r="G971" s="536"/>
      <c r="H971" s="536"/>
      <c r="I971" s="536"/>
      <c r="J971" s="536"/>
      <c r="K971" s="536"/>
      <c r="L971" s="536" t="s">
        <v>4054</v>
      </c>
      <c r="M971" s="284" t="s">
        <v>2962</v>
      </c>
      <c r="N971" s="408">
        <f t="shared" si="182"/>
        <v>0</v>
      </c>
      <c r="O971" s="408">
        <f t="shared" si="183"/>
        <v>0</v>
      </c>
      <c r="P971" s="271">
        <f t="shared" si="176"/>
        <v>0</v>
      </c>
      <c r="Q971" s="527"/>
      <c r="R971" s="354">
        <f>IF(ISERROR(VLOOKUP("SOC"&amp;$C971,ESTR_PREC_SP!$A$2:$G$2000,4,FALSE))=TRUE,0,VLOOKUP("SOC"&amp;$C971,ESTR_PREC_SP!$A$2:$G$2000,4,FALSE))</f>
        <v>0</v>
      </c>
      <c r="S971" s="527"/>
      <c r="T971" s="545"/>
      <c r="U971" s="527"/>
      <c r="V971" s="527"/>
      <c r="W971" s="527"/>
      <c r="X971" s="527"/>
      <c r="Y971" s="527"/>
      <c r="Z971" s="529">
        <f t="shared" si="186"/>
        <v>0</v>
      </c>
      <c r="AA971" s="546"/>
      <c r="AB971" s="545"/>
      <c r="AC971" s="520"/>
      <c r="AD971" s="520"/>
      <c r="AE971" s="520"/>
      <c r="AF971" s="520"/>
      <c r="AG971" s="526">
        <f t="shared" si="184"/>
        <v>0</v>
      </c>
      <c r="AH971" s="526">
        <f t="shared" si="185"/>
        <v>0</v>
      </c>
      <c r="AI971" s="520"/>
      <c r="AJ971" s="520"/>
    </row>
    <row r="972" spans="1:36" s="204" customFormat="1" ht="26.25" x14ac:dyDescent="0.25">
      <c r="A972" s="535" t="s">
        <v>3681</v>
      </c>
      <c r="B972" s="536" t="s">
        <v>2440</v>
      </c>
      <c r="C972" s="536" t="s">
        <v>2441</v>
      </c>
      <c r="D972" s="536"/>
      <c r="E972" s="536"/>
      <c r="F972" s="536"/>
      <c r="G972" s="536"/>
      <c r="H972" s="536"/>
      <c r="I972" s="536"/>
      <c r="J972" s="536"/>
      <c r="K972" s="536"/>
      <c r="L972" s="536" t="s">
        <v>2443</v>
      </c>
      <c r="M972" s="284" t="s">
        <v>2962</v>
      </c>
      <c r="N972" s="408">
        <f t="shared" si="182"/>
        <v>0</v>
      </c>
      <c r="O972" s="408">
        <f t="shared" si="183"/>
        <v>0</v>
      </c>
      <c r="P972" s="271">
        <f t="shared" si="176"/>
        <v>0</v>
      </c>
      <c r="Q972" s="527"/>
      <c r="R972" s="354">
        <f>IF(ISERROR(VLOOKUP("SOC"&amp;$C972,ESTR_PREC_SP!$A$2:$G$2000,4,FALSE))=TRUE,0,VLOOKUP("SOC"&amp;$C972,ESTR_PREC_SP!$A$2:$G$2000,4,FALSE))</f>
        <v>0</v>
      </c>
      <c r="S972" s="527"/>
      <c r="T972" s="545"/>
      <c r="U972" s="527"/>
      <c r="V972" s="527"/>
      <c r="W972" s="527"/>
      <c r="X972" s="527"/>
      <c r="Y972" s="527"/>
      <c r="Z972" s="529">
        <f t="shared" si="186"/>
        <v>0</v>
      </c>
      <c r="AA972" s="546"/>
      <c r="AB972" s="545"/>
      <c r="AC972" s="520"/>
      <c r="AD972" s="520"/>
      <c r="AE972" s="520"/>
      <c r="AF972" s="520"/>
      <c r="AG972" s="526">
        <f t="shared" si="184"/>
        <v>0</v>
      </c>
      <c r="AH972" s="526">
        <f t="shared" si="185"/>
        <v>0</v>
      </c>
      <c r="AI972" s="520"/>
      <c r="AJ972" s="520"/>
    </row>
    <row r="973" spans="1:36" s="204" customFormat="1" ht="26.25" x14ac:dyDescent="0.25">
      <c r="A973" s="535" t="s">
        <v>3681</v>
      </c>
      <c r="B973" s="536" t="s">
        <v>2444</v>
      </c>
      <c r="C973" s="536" t="s">
        <v>2445</v>
      </c>
      <c r="D973" s="536"/>
      <c r="E973" s="536"/>
      <c r="F973" s="536"/>
      <c r="G973" s="536"/>
      <c r="H973" s="536"/>
      <c r="I973" s="536"/>
      <c r="J973" s="536"/>
      <c r="K973" s="536"/>
      <c r="L973" s="536" t="s">
        <v>2446</v>
      </c>
      <c r="M973" s="284" t="s">
        <v>2962</v>
      </c>
      <c r="N973" s="408">
        <f t="shared" si="182"/>
        <v>0</v>
      </c>
      <c r="O973" s="408">
        <f t="shared" si="183"/>
        <v>0</v>
      </c>
      <c r="P973" s="271">
        <f t="shared" si="176"/>
        <v>0</v>
      </c>
      <c r="Q973" s="527"/>
      <c r="R973" s="354">
        <f>IF(ISERROR(VLOOKUP("SOC"&amp;$C973,ESTR_PREC_SP!$A$2:$G$2000,4,FALSE))=TRUE,0,VLOOKUP("SOC"&amp;$C973,ESTR_PREC_SP!$A$2:$G$2000,4,FALSE))</f>
        <v>0</v>
      </c>
      <c r="S973" s="527"/>
      <c r="T973" s="545"/>
      <c r="U973" s="527"/>
      <c r="V973" s="527"/>
      <c r="W973" s="527"/>
      <c r="X973" s="527"/>
      <c r="Y973" s="527"/>
      <c r="Z973" s="529">
        <f t="shared" si="186"/>
        <v>0</v>
      </c>
      <c r="AA973" s="546"/>
      <c r="AB973" s="545"/>
      <c r="AC973" s="520"/>
      <c r="AD973" s="520"/>
      <c r="AE973" s="520"/>
      <c r="AF973" s="520"/>
      <c r="AG973" s="526">
        <f t="shared" si="184"/>
        <v>0</v>
      </c>
      <c r="AH973" s="526">
        <f t="shared" si="185"/>
        <v>0</v>
      </c>
      <c r="AI973" s="520"/>
      <c r="AJ973" s="520"/>
    </row>
    <row r="974" spans="1:36" s="204" customFormat="1" ht="26.25" x14ac:dyDescent="0.25">
      <c r="A974" s="535" t="s">
        <v>3681</v>
      </c>
      <c r="B974" s="536" t="s">
        <v>2447</v>
      </c>
      <c r="C974" s="536" t="s">
        <v>2448</v>
      </c>
      <c r="D974" s="536"/>
      <c r="E974" s="536"/>
      <c r="F974" s="536"/>
      <c r="G974" s="536"/>
      <c r="H974" s="536"/>
      <c r="I974" s="536"/>
      <c r="J974" s="536"/>
      <c r="K974" s="536"/>
      <c r="L974" s="536" t="s">
        <v>2449</v>
      </c>
      <c r="M974" s="284" t="s">
        <v>2962</v>
      </c>
      <c r="N974" s="408">
        <f t="shared" si="182"/>
        <v>0</v>
      </c>
      <c r="O974" s="408">
        <f t="shared" si="183"/>
        <v>0</v>
      </c>
      <c r="P974" s="271">
        <f t="shared" si="176"/>
        <v>0</v>
      </c>
      <c r="Q974" s="527"/>
      <c r="R974" s="354">
        <f>IF(ISERROR(VLOOKUP("SOC"&amp;$C974,ESTR_PREC_SP!$A$2:$G$2000,4,FALSE))=TRUE,0,VLOOKUP("SOC"&amp;$C974,ESTR_PREC_SP!$A$2:$G$2000,4,FALSE))</f>
        <v>0</v>
      </c>
      <c r="S974" s="527"/>
      <c r="T974" s="545"/>
      <c r="U974" s="527"/>
      <c r="V974" s="527"/>
      <c r="W974" s="527"/>
      <c r="X974" s="527"/>
      <c r="Y974" s="527"/>
      <c r="Z974" s="529">
        <f t="shared" si="186"/>
        <v>0</v>
      </c>
      <c r="AA974" s="546"/>
      <c r="AB974" s="545"/>
      <c r="AC974" s="520"/>
      <c r="AD974" s="520"/>
      <c r="AE974" s="520"/>
      <c r="AF974" s="520"/>
      <c r="AG974" s="526">
        <f t="shared" si="184"/>
        <v>0</v>
      </c>
      <c r="AH974" s="526">
        <f t="shared" si="185"/>
        <v>0</v>
      </c>
      <c r="AI974" s="520"/>
      <c r="AJ974" s="520"/>
    </row>
    <row r="975" spans="1:36" s="204" customFormat="1" ht="26.25" x14ac:dyDescent="0.25">
      <c r="A975" s="535" t="s">
        <v>3681</v>
      </c>
      <c r="B975" s="536" t="s">
        <v>2450</v>
      </c>
      <c r="C975" s="536" t="s">
        <v>2451</v>
      </c>
      <c r="D975" s="536"/>
      <c r="E975" s="536"/>
      <c r="F975" s="536"/>
      <c r="G975" s="536"/>
      <c r="H975" s="536"/>
      <c r="I975" s="536"/>
      <c r="J975" s="536"/>
      <c r="K975" s="536"/>
      <c r="L975" s="536" t="s">
        <v>2453</v>
      </c>
      <c r="M975" s="284" t="s">
        <v>2962</v>
      </c>
      <c r="N975" s="408">
        <f t="shared" si="182"/>
        <v>0</v>
      </c>
      <c r="O975" s="408">
        <f t="shared" si="183"/>
        <v>0</v>
      </c>
      <c r="P975" s="271">
        <f t="shared" si="176"/>
        <v>0</v>
      </c>
      <c r="Q975" s="527"/>
      <c r="R975" s="354">
        <f>IF(ISERROR(VLOOKUP("SOC"&amp;$C975,ESTR_PREC_SP!$A$2:$G$2000,4,FALSE))=TRUE,0,VLOOKUP("SOC"&amp;$C975,ESTR_PREC_SP!$A$2:$G$2000,4,FALSE))</f>
        <v>0</v>
      </c>
      <c r="S975" s="527"/>
      <c r="T975" s="545"/>
      <c r="U975" s="527"/>
      <c r="V975" s="527"/>
      <c r="W975" s="527"/>
      <c r="X975" s="527"/>
      <c r="Y975" s="527"/>
      <c r="Z975" s="529">
        <f t="shared" si="186"/>
        <v>0</v>
      </c>
      <c r="AA975" s="546"/>
      <c r="AB975" s="545"/>
      <c r="AC975" s="520"/>
      <c r="AD975" s="520"/>
      <c r="AE975" s="520"/>
      <c r="AF975" s="520"/>
      <c r="AG975" s="526">
        <f t="shared" si="184"/>
        <v>0</v>
      </c>
      <c r="AH975" s="526">
        <f t="shared" si="185"/>
        <v>0</v>
      </c>
      <c r="AI975" s="520"/>
      <c r="AJ975" s="520"/>
    </row>
    <row r="976" spans="1:36" s="204" customFormat="1" x14ac:dyDescent="0.25">
      <c r="B976" s="287" t="s">
        <v>2454</v>
      </c>
      <c r="C976" s="287" t="s">
        <v>2455</v>
      </c>
      <c r="D976" s="284" t="s">
        <v>4055</v>
      </c>
      <c r="E976" s="274"/>
      <c r="F976" s="437"/>
      <c r="G976" s="437"/>
      <c r="H976" s="437"/>
      <c r="I976" s="437"/>
      <c r="J976" s="437"/>
      <c r="K976" s="437"/>
      <c r="L976" s="295" t="s">
        <v>2458</v>
      </c>
      <c r="M976" s="284" t="s">
        <v>2962</v>
      </c>
      <c r="N976" s="378">
        <f>SUM(N977:N978)</f>
        <v>0</v>
      </c>
      <c r="O976" s="378">
        <f>SUM(O977:O978)</f>
        <v>0</v>
      </c>
      <c r="P976" s="378">
        <f t="shared" si="176"/>
        <v>0</v>
      </c>
      <c r="Q976" s="378">
        <f t="shared" ref="Q976:AF976" si="187">SUM(Q977:Q978)</f>
        <v>0</v>
      </c>
      <c r="R976" s="378">
        <f t="shared" si="187"/>
        <v>0</v>
      </c>
      <c r="S976" s="378">
        <f t="shared" si="187"/>
        <v>0</v>
      </c>
      <c r="T976" s="378">
        <f t="shared" si="187"/>
        <v>0</v>
      </c>
      <c r="U976" s="378">
        <f t="shared" si="187"/>
        <v>0</v>
      </c>
      <c r="V976" s="378">
        <f t="shared" si="187"/>
        <v>0</v>
      </c>
      <c r="W976" s="378">
        <f t="shared" si="187"/>
        <v>0</v>
      </c>
      <c r="X976" s="378">
        <f t="shared" si="187"/>
        <v>0</v>
      </c>
      <c r="Y976" s="378">
        <f t="shared" si="187"/>
        <v>0</v>
      </c>
      <c r="Z976" s="378">
        <f t="shared" si="187"/>
        <v>0</v>
      </c>
      <c r="AA976" s="378">
        <f t="shared" si="187"/>
        <v>0</v>
      </c>
      <c r="AB976" s="378">
        <f t="shared" si="187"/>
        <v>0</v>
      </c>
      <c r="AC976" s="378">
        <f t="shared" si="187"/>
        <v>0</v>
      </c>
      <c r="AD976" s="378">
        <f t="shared" si="187"/>
        <v>0</v>
      </c>
      <c r="AE976" s="378">
        <f t="shared" si="187"/>
        <v>0</v>
      </c>
      <c r="AF976" s="378">
        <f t="shared" si="187"/>
        <v>0</v>
      </c>
      <c r="AG976" s="537">
        <f t="shared" si="184"/>
        <v>0</v>
      </c>
      <c r="AH976" s="537">
        <f t="shared" si="185"/>
        <v>0</v>
      </c>
      <c r="AI976" s="378">
        <f>SUM(AI977:AI978)</f>
        <v>0</v>
      </c>
      <c r="AJ976" s="378">
        <f>SUM(AJ977:AJ978)</f>
        <v>0</v>
      </c>
    </row>
    <row r="977" spans="1:36" s="204" customFormat="1" ht="25.5" x14ac:dyDescent="0.25">
      <c r="B977" s="287" t="s">
        <v>2459</v>
      </c>
      <c r="C977" s="287" t="s">
        <v>2460</v>
      </c>
      <c r="D977" s="284" t="s">
        <v>4056</v>
      </c>
      <c r="E977" s="274"/>
      <c r="F977" s="437"/>
      <c r="G977" s="437"/>
      <c r="H977" s="437"/>
      <c r="I977" s="437"/>
      <c r="J977" s="437"/>
      <c r="K977" s="437"/>
      <c r="L977" s="379" t="s">
        <v>2461</v>
      </c>
      <c r="M977" s="284" t="s">
        <v>2962</v>
      </c>
      <c r="N977" s="408">
        <f>+R977</f>
        <v>0</v>
      </c>
      <c r="O977" s="408">
        <f>+Z977</f>
        <v>0</v>
      </c>
      <c r="P977" s="271">
        <f t="shared" si="176"/>
        <v>0</v>
      </c>
      <c r="Q977" s="527"/>
      <c r="R977" s="354">
        <f>IF(ISERROR(VLOOKUP("SOC"&amp;$C977,ESTR_PREC_SP!$A$2:$G$2000,4,FALSE))=TRUE,0,VLOOKUP("SOC"&amp;$C977,ESTR_PREC_SP!$A$2:$G$2000,4,FALSE))</f>
        <v>0</v>
      </c>
      <c r="S977" s="527"/>
      <c r="T977" s="545"/>
      <c r="U977" s="527"/>
      <c r="V977" s="527"/>
      <c r="W977" s="527"/>
      <c r="X977" s="527"/>
      <c r="Y977" s="527"/>
      <c r="Z977" s="529">
        <f>+R977+S977+U977+V977-X977-Y977+W977+Q977</f>
        <v>0</v>
      </c>
      <c r="AA977" s="546"/>
      <c r="AB977" s="545"/>
      <c r="AC977" s="520"/>
      <c r="AD977" s="520"/>
      <c r="AE977" s="520"/>
      <c r="AF977" s="520"/>
      <c r="AG977" s="526">
        <f t="shared" si="184"/>
        <v>0</v>
      </c>
      <c r="AH977" s="526">
        <f t="shared" si="185"/>
        <v>0</v>
      </c>
      <c r="AI977" s="520"/>
      <c r="AJ977" s="520"/>
    </row>
    <row r="978" spans="1:36" s="204" customFormat="1" x14ac:dyDescent="0.25">
      <c r="B978" s="287" t="s">
        <v>2462</v>
      </c>
      <c r="C978" s="287" t="s">
        <v>2463</v>
      </c>
      <c r="D978" s="284" t="s">
        <v>4057</v>
      </c>
      <c r="E978" s="274"/>
      <c r="F978" s="437"/>
      <c r="G978" s="437"/>
      <c r="H978" s="437"/>
      <c r="I978" s="437"/>
      <c r="J978" s="437"/>
      <c r="K978" s="437"/>
      <c r="L978" s="379" t="s">
        <v>2464</v>
      </c>
      <c r="M978" s="284" t="s">
        <v>2962</v>
      </c>
      <c r="N978" s="408">
        <f>+R978</f>
        <v>0</v>
      </c>
      <c r="O978" s="408">
        <f>+Z978</f>
        <v>0</v>
      </c>
      <c r="P978" s="271">
        <f t="shared" si="176"/>
        <v>0</v>
      </c>
      <c r="Q978" s="527"/>
      <c r="R978" s="354">
        <f>IF(ISERROR(VLOOKUP("SOC"&amp;$C978,ESTR_PREC_SP!$A$2:$G$2000,4,FALSE))=TRUE,0,VLOOKUP("SOC"&amp;$C978,ESTR_PREC_SP!$A$2:$G$2000,4,FALSE))</f>
        <v>0</v>
      </c>
      <c r="S978" s="527"/>
      <c r="T978" s="545"/>
      <c r="U978" s="527"/>
      <c r="V978" s="527"/>
      <c r="W978" s="527"/>
      <c r="X978" s="527"/>
      <c r="Y978" s="527"/>
      <c r="Z978" s="529">
        <f>+R978+S978+U978+V978-X978-Y978+W978+Q978</f>
        <v>0</v>
      </c>
      <c r="AA978" s="546"/>
      <c r="AB978" s="545"/>
      <c r="AC978" s="520"/>
      <c r="AD978" s="520"/>
      <c r="AE978" s="520"/>
      <c r="AF978" s="520"/>
      <c r="AG978" s="526">
        <f t="shared" si="184"/>
        <v>0</v>
      </c>
      <c r="AH978" s="526">
        <f t="shared" si="185"/>
        <v>0</v>
      </c>
      <c r="AI978" s="520"/>
      <c r="AJ978" s="520"/>
    </row>
    <row r="979" spans="1:36" s="204" customFormat="1" ht="25.5" x14ac:dyDescent="0.25">
      <c r="B979" s="287" t="s">
        <v>2465</v>
      </c>
      <c r="C979" s="287" t="s">
        <v>2466</v>
      </c>
      <c r="D979" s="284" t="s">
        <v>4058</v>
      </c>
      <c r="E979" s="274"/>
      <c r="F979" s="437"/>
      <c r="G979" s="437"/>
      <c r="H979" s="437"/>
      <c r="I979" s="437"/>
      <c r="J979" s="437"/>
      <c r="K979" s="437"/>
      <c r="L979" s="295" t="s">
        <v>2469</v>
      </c>
      <c r="M979" s="284" t="s">
        <v>2962</v>
      </c>
      <c r="N979" s="378">
        <f>SUM(N980:N985)</f>
        <v>0</v>
      </c>
      <c r="O979" s="378">
        <f>SUM(O980:O985)</f>
        <v>0</v>
      </c>
      <c r="P979" s="378">
        <f t="shared" si="176"/>
        <v>0</v>
      </c>
      <c r="Q979" s="378">
        <f>SUM(Q980:Q985)</f>
        <v>0</v>
      </c>
      <c r="R979" s="378">
        <f>SUM(R980:R985)</f>
        <v>0</v>
      </c>
      <c r="S979" s="378">
        <f>SUM(S980:S985)</f>
        <v>0</v>
      </c>
      <c r="T979" s="378">
        <f>SUM(T980:T985)</f>
        <v>0</v>
      </c>
      <c r="U979" s="378">
        <f>SUM(U980:U981)</f>
        <v>0</v>
      </c>
      <c r="V979" s="378">
        <f t="shared" ref="V979:AJ979" si="188">SUM(V980:V985)</f>
        <v>0</v>
      </c>
      <c r="W979" s="378">
        <f t="shared" si="188"/>
        <v>0</v>
      </c>
      <c r="X979" s="378">
        <f t="shared" si="188"/>
        <v>0</v>
      </c>
      <c r="Y979" s="378">
        <f t="shared" si="188"/>
        <v>0</v>
      </c>
      <c r="Z979" s="378">
        <f t="shared" si="188"/>
        <v>0</v>
      </c>
      <c r="AA979" s="378">
        <f t="shared" si="188"/>
        <v>0</v>
      </c>
      <c r="AB979" s="378">
        <f t="shared" si="188"/>
        <v>0</v>
      </c>
      <c r="AC979" s="378">
        <f t="shared" si="188"/>
        <v>0</v>
      </c>
      <c r="AD979" s="378">
        <f t="shared" si="188"/>
        <v>0</v>
      </c>
      <c r="AE979" s="378">
        <f t="shared" si="188"/>
        <v>0</v>
      </c>
      <c r="AF979" s="378">
        <f t="shared" si="188"/>
        <v>0</v>
      </c>
      <c r="AG979" s="378">
        <f t="shared" si="188"/>
        <v>0</v>
      </c>
      <c r="AH979" s="378">
        <f t="shared" si="188"/>
        <v>0</v>
      </c>
      <c r="AI979" s="378">
        <f t="shared" si="188"/>
        <v>0</v>
      </c>
      <c r="AJ979" s="378">
        <f t="shared" si="188"/>
        <v>0</v>
      </c>
    </row>
    <row r="980" spans="1:36" s="204" customFormat="1" ht="26.25" x14ac:dyDescent="0.25">
      <c r="A980" s="535" t="s">
        <v>3681</v>
      </c>
      <c r="B980" s="536" t="s">
        <v>2470</v>
      </c>
      <c r="C980" s="536" t="s">
        <v>2471</v>
      </c>
      <c r="D980" s="536"/>
      <c r="E980" s="536"/>
      <c r="F980" s="536"/>
      <c r="G980" s="536"/>
      <c r="H980" s="536"/>
      <c r="I980" s="536"/>
      <c r="J980" s="536"/>
      <c r="K980" s="536"/>
      <c r="L980" s="536" t="s">
        <v>2473</v>
      </c>
      <c r="M980" s="284" t="s">
        <v>2962</v>
      </c>
      <c r="N980" s="408">
        <f>+R980</f>
        <v>0</v>
      </c>
      <c r="O980" s="408">
        <f>+Z980</f>
        <v>0</v>
      </c>
      <c r="P980" s="271">
        <f t="shared" si="176"/>
        <v>0</v>
      </c>
      <c r="Q980" s="527"/>
      <c r="R980" s="354">
        <f>IF(ISERROR(VLOOKUP("SOC"&amp;$C980,ESTR_PREC_SP!$A$2:$G$2000,4,FALSE))=TRUE,0,VLOOKUP("SOC"&amp;$C980,ESTR_PREC_SP!$A$2:$G$2000,4,FALSE))</f>
        <v>0</v>
      </c>
      <c r="S980" s="527"/>
      <c r="T980" s="545"/>
      <c r="U980" s="527"/>
      <c r="V980" s="527"/>
      <c r="W980" s="527"/>
      <c r="X980" s="527"/>
      <c r="Y980" s="527"/>
      <c r="Z980" s="529">
        <f>+R980+S980+U980+V980-X980-Y980+W980+Q980</f>
        <v>0</v>
      </c>
      <c r="AA980" s="546"/>
      <c r="AB980" s="545"/>
      <c r="AC980" s="520"/>
      <c r="AD980" s="520"/>
      <c r="AE980" s="520"/>
      <c r="AF980" s="520"/>
      <c r="AG980" s="526">
        <f>+Z980-SUM(AC980:AF980)</f>
        <v>0</v>
      </c>
      <c r="AH980" s="526">
        <f>+Z980-SUM(AI980:AJ980)</f>
        <v>0</v>
      </c>
      <c r="AI980" s="520"/>
      <c r="AJ980" s="520"/>
    </row>
    <row r="981" spans="1:36" s="204" customFormat="1" ht="26.25" x14ac:dyDescent="0.25">
      <c r="A981" s="535" t="s">
        <v>3681</v>
      </c>
      <c r="B981" s="536" t="s">
        <v>2474</v>
      </c>
      <c r="C981" s="536" t="s">
        <v>2475</v>
      </c>
      <c r="D981" s="536"/>
      <c r="E981" s="536"/>
      <c r="F981" s="536"/>
      <c r="G981" s="536"/>
      <c r="H981" s="536"/>
      <c r="I981" s="536"/>
      <c r="J981" s="536"/>
      <c r="K981" s="536"/>
      <c r="L981" s="536" t="s">
        <v>2477</v>
      </c>
      <c r="M981" s="284" t="s">
        <v>2962</v>
      </c>
      <c r="N981" s="408">
        <f>+R981</f>
        <v>0</v>
      </c>
      <c r="O981" s="408">
        <f>+Z981</f>
        <v>0</v>
      </c>
      <c r="P981" s="271">
        <f t="shared" si="176"/>
        <v>0</v>
      </c>
      <c r="Q981" s="527"/>
      <c r="R981" s="354">
        <f>IF(ISERROR(VLOOKUP("SOC"&amp;$C981,ESTR_PREC_SP!$A$2:$G$2000,4,FALSE))=TRUE,0,VLOOKUP("SOC"&amp;$C981,ESTR_PREC_SP!$A$2:$G$2000,4,FALSE))</f>
        <v>0</v>
      </c>
      <c r="S981" s="527"/>
      <c r="T981" s="545"/>
      <c r="U981" s="527"/>
      <c r="V981" s="527"/>
      <c r="W981" s="527"/>
      <c r="X981" s="527"/>
      <c r="Y981" s="527"/>
      <c r="Z981" s="529">
        <f>+R981+S981+U981+V981-X981-Y981+W981+Q981</f>
        <v>0</v>
      </c>
      <c r="AA981" s="546"/>
      <c r="AB981" s="545"/>
      <c r="AC981" s="520"/>
      <c r="AD981" s="520"/>
      <c r="AE981" s="520"/>
      <c r="AF981" s="520"/>
      <c r="AG981" s="526">
        <f>+Z981-SUM(AC981:AF981)</f>
        <v>0</v>
      </c>
      <c r="AH981" s="526">
        <f>+Z981-SUM(AI981:AJ981)</f>
        <v>0</v>
      </c>
      <c r="AI981" s="520"/>
      <c r="AJ981" s="520"/>
    </row>
    <row r="982" spans="1:36" s="204" customFormat="1" ht="26.25" x14ac:dyDescent="0.25">
      <c r="A982" s="535" t="s">
        <v>3681</v>
      </c>
      <c r="B982" s="536" t="s">
        <v>2478</v>
      </c>
      <c r="C982" s="536" t="s">
        <v>2479</v>
      </c>
      <c r="D982" s="536"/>
      <c r="E982" s="536"/>
      <c r="F982" s="536"/>
      <c r="G982" s="536"/>
      <c r="H982" s="536"/>
      <c r="I982" s="536"/>
      <c r="J982" s="536"/>
      <c r="K982" s="536"/>
      <c r="L982" s="536" t="s">
        <v>2481</v>
      </c>
      <c r="M982" s="284" t="s">
        <v>2962</v>
      </c>
      <c r="N982" s="408">
        <f>+R982</f>
        <v>0</v>
      </c>
      <c r="O982" s="408">
        <f>+Z982</f>
        <v>0</v>
      </c>
      <c r="P982" s="271">
        <f t="shared" si="176"/>
        <v>0</v>
      </c>
      <c r="Q982" s="527"/>
      <c r="R982" s="354">
        <f>IF(ISERROR(VLOOKUP("SOC"&amp;$C982,ESTR_PREC_SP!$A$2:$G$2000,4,FALSE))=TRUE,0,VLOOKUP("SOC"&amp;$C982,ESTR_PREC_SP!$A$2:$G$2000,4,FALSE))</f>
        <v>0</v>
      </c>
      <c r="S982" s="527"/>
      <c r="T982" s="545"/>
      <c r="U982" s="527"/>
      <c r="V982" s="527"/>
      <c r="W982" s="527"/>
      <c r="X982" s="527"/>
      <c r="Y982" s="527"/>
      <c r="Z982" s="529">
        <f>+R982+S982+U982+V982-X982-Y982+W982+Q982</f>
        <v>0</v>
      </c>
      <c r="AA982" s="546"/>
      <c r="AB982" s="545"/>
      <c r="AC982" s="520"/>
      <c r="AD982" s="520"/>
      <c r="AE982" s="520"/>
      <c r="AF982" s="520"/>
      <c r="AG982" s="526">
        <f>+Z982-SUM(AC982:AF982)</f>
        <v>0</v>
      </c>
      <c r="AH982" s="526">
        <f>+Z982-SUM(AI982:AJ982)</f>
        <v>0</v>
      </c>
      <c r="AI982" s="520"/>
      <c r="AJ982" s="520"/>
    </row>
    <row r="983" spans="1:36" s="204" customFormat="1" ht="39" x14ac:dyDescent="0.25">
      <c r="A983" s="535" t="s">
        <v>3681</v>
      </c>
      <c r="B983" s="536" t="s">
        <v>2482</v>
      </c>
      <c r="C983" s="536" t="s">
        <v>2483</v>
      </c>
      <c r="D983" s="536"/>
      <c r="E983" s="536"/>
      <c r="F983" s="536"/>
      <c r="G983" s="536"/>
      <c r="H983" s="536"/>
      <c r="I983" s="536"/>
      <c r="J983" s="536"/>
      <c r="K983" s="536"/>
      <c r="L983" s="536" t="s">
        <v>2485</v>
      </c>
      <c r="M983" s="284" t="s">
        <v>2962</v>
      </c>
      <c r="N983" s="408">
        <f>+R983</f>
        <v>0</v>
      </c>
      <c r="O983" s="408">
        <f>+Z983</f>
        <v>0</v>
      </c>
      <c r="P983" s="271">
        <f t="shared" si="176"/>
        <v>0</v>
      </c>
      <c r="Q983" s="527"/>
      <c r="R983" s="354">
        <f>IF(ISERROR(VLOOKUP("SOC"&amp;$C983,ESTR_PREC_SP!$A$2:$G$2000,4,FALSE))=TRUE,0,VLOOKUP("SOC"&amp;$C983,ESTR_PREC_SP!$A$2:$G$2000,4,FALSE))</f>
        <v>0</v>
      </c>
      <c r="S983" s="527"/>
      <c r="T983" s="545"/>
      <c r="U983" s="527"/>
      <c r="V983" s="527"/>
      <c r="W983" s="527"/>
      <c r="X983" s="527"/>
      <c r="Y983" s="527"/>
      <c r="Z983" s="529">
        <f>+R983+S983+U983+V983-X983-Y983+W983+Q983</f>
        <v>0</v>
      </c>
      <c r="AA983" s="546"/>
      <c r="AB983" s="545"/>
      <c r="AC983" s="520"/>
      <c r="AD983" s="520"/>
      <c r="AE983" s="520"/>
      <c r="AF983" s="520"/>
      <c r="AG983" s="526">
        <f>+Z983-SUM(AC983:AF983)</f>
        <v>0</v>
      </c>
      <c r="AH983" s="526">
        <f>+Z983-SUM(AI983:AJ983)</f>
        <v>0</v>
      </c>
      <c r="AI983" s="520"/>
      <c r="AJ983" s="520"/>
    </row>
    <row r="984" spans="1:36" s="204" customFormat="1" ht="26.25" x14ac:dyDescent="0.25">
      <c r="A984" s="535" t="s">
        <v>3681</v>
      </c>
      <c r="B984" s="536" t="s">
        <v>2486</v>
      </c>
      <c r="C984" s="536" t="s">
        <v>2487</v>
      </c>
      <c r="D984" s="536"/>
      <c r="E984" s="536"/>
      <c r="F984" s="536"/>
      <c r="G984" s="536"/>
      <c r="H984" s="536"/>
      <c r="I984" s="536"/>
      <c r="J984" s="536"/>
      <c r="K984" s="536"/>
      <c r="L984" s="536" t="s">
        <v>2489</v>
      </c>
      <c r="M984" s="284" t="s">
        <v>2962</v>
      </c>
      <c r="N984" s="408">
        <f>+R984</f>
        <v>0</v>
      </c>
      <c r="O984" s="408">
        <f>+Z984</f>
        <v>0</v>
      </c>
      <c r="P984" s="271">
        <f t="shared" si="176"/>
        <v>0</v>
      </c>
      <c r="Q984" s="527"/>
      <c r="R984" s="354">
        <f>IF(ISERROR(VLOOKUP("SOC"&amp;$C984,ESTR_PREC_SP!$A$2:$G$2000,4,FALSE))=TRUE,0,VLOOKUP("SOC"&amp;$C984,ESTR_PREC_SP!$A$2:$G$2000,4,FALSE))</f>
        <v>0</v>
      </c>
      <c r="S984" s="527"/>
      <c r="T984" s="545"/>
      <c r="U984" s="527"/>
      <c r="V984" s="527"/>
      <c r="W984" s="527"/>
      <c r="X984" s="527"/>
      <c r="Y984" s="527"/>
      <c r="Z984" s="529">
        <f>+R984+S984+U984+V984-X984-Y984+W984+Q984</f>
        <v>0</v>
      </c>
      <c r="AA984" s="546"/>
      <c r="AB984" s="545"/>
      <c r="AC984" s="520"/>
      <c r="AD984" s="520"/>
      <c r="AE984" s="520"/>
      <c r="AF984" s="520"/>
      <c r="AG984" s="526">
        <f>+Z984-SUM(AC984:AF984)</f>
        <v>0</v>
      </c>
      <c r="AH984" s="526">
        <f>+Z984-SUM(AI984:AJ984)</f>
        <v>0</v>
      </c>
      <c r="AI984" s="520"/>
      <c r="AJ984" s="520"/>
    </row>
    <row r="985" spans="1:36" s="204" customFormat="1" x14ac:dyDescent="0.25">
      <c r="B985" s="381"/>
      <c r="C985" s="381"/>
      <c r="D985" s="382"/>
      <c r="E985" s="382"/>
      <c r="F985" s="382"/>
      <c r="G985" s="382"/>
      <c r="H985" s="382"/>
      <c r="I985" s="382"/>
      <c r="J985" s="382"/>
      <c r="K985" s="382"/>
      <c r="L985" s="505"/>
      <c r="M985" s="216"/>
      <c r="N985" s="383"/>
      <c r="O985" s="383"/>
      <c r="P985" s="384"/>
      <c r="Q985" s="216"/>
      <c r="R985" s="275"/>
      <c r="S985" s="216"/>
      <c r="T985" s="216"/>
      <c r="U985" s="216"/>
      <c r="V985" s="216"/>
      <c r="W985" s="216"/>
      <c r="X985" s="216"/>
      <c r="Z985" s="216"/>
      <c r="AA985" s="216"/>
      <c r="AB985" s="216"/>
      <c r="AC985" s="216"/>
      <c r="AD985" s="216"/>
    </row>
    <row r="986" spans="1:36" s="204" customFormat="1" ht="25.5" x14ac:dyDescent="0.25">
      <c r="B986" s="246" t="s">
        <v>2490</v>
      </c>
      <c r="C986" s="246" t="s">
        <v>2491</v>
      </c>
      <c r="D986" s="247" t="s">
        <v>4059</v>
      </c>
      <c r="E986" s="247"/>
      <c r="F986" s="247"/>
      <c r="G986" s="247"/>
      <c r="H986" s="248"/>
      <c r="I986" s="247"/>
      <c r="J986" s="247"/>
      <c r="K986" s="249"/>
      <c r="L986" s="441" t="s">
        <v>2494</v>
      </c>
      <c r="M986" s="251" t="s">
        <v>2962</v>
      </c>
      <c r="N986" s="252">
        <f>+N990+N993+N994</f>
        <v>0</v>
      </c>
      <c r="O986" s="252">
        <f>+O990+O993+O994</f>
        <v>0</v>
      </c>
      <c r="P986" s="253">
        <f>+O986-N986</f>
        <v>0</v>
      </c>
      <c r="Q986" s="216"/>
      <c r="R986" s="252">
        <f t="shared" ref="R986:AJ986" si="189">+R990+R993+R994</f>
        <v>0</v>
      </c>
      <c r="S986" s="252">
        <f t="shared" si="189"/>
        <v>0</v>
      </c>
      <c r="T986" s="252">
        <f t="shared" si="189"/>
        <v>0</v>
      </c>
      <c r="U986" s="252">
        <f t="shared" si="189"/>
        <v>0</v>
      </c>
      <c r="V986" s="252">
        <f t="shared" si="189"/>
        <v>0</v>
      </c>
      <c r="W986" s="252">
        <f t="shared" si="189"/>
        <v>0</v>
      </c>
      <c r="X986" s="252">
        <f t="shared" si="189"/>
        <v>0</v>
      </c>
      <c r="Y986" s="252">
        <f t="shared" si="189"/>
        <v>0</v>
      </c>
      <c r="Z986" s="252">
        <f t="shared" si="189"/>
        <v>0</v>
      </c>
      <c r="AA986" s="252">
        <f t="shared" si="189"/>
        <v>0</v>
      </c>
      <c r="AB986" s="252">
        <f t="shared" si="189"/>
        <v>0</v>
      </c>
      <c r="AC986" s="252">
        <f t="shared" si="189"/>
        <v>0</v>
      </c>
      <c r="AD986" s="252">
        <f t="shared" si="189"/>
        <v>0</v>
      </c>
      <c r="AE986" s="252">
        <f t="shared" si="189"/>
        <v>0</v>
      </c>
      <c r="AF986" s="252">
        <f t="shared" si="189"/>
        <v>0</v>
      </c>
      <c r="AG986" s="252">
        <f t="shared" si="189"/>
        <v>0</v>
      </c>
      <c r="AH986" s="252">
        <f t="shared" si="189"/>
        <v>0</v>
      </c>
      <c r="AI986" s="252">
        <f t="shared" si="189"/>
        <v>0</v>
      </c>
      <c r="AJ986" s="252">
        <f t="shared" si="189"/>
        <v>0</v>
      </c>
    </row>
    <row r="987" spans="1:36" s="204" customFormat="1" x14ac:dyDescent="0.25">
      <c r="B987" s="216"/>
      <c r="C987" s="216"/>
      <c r="D987" s="226"/>
      <c r="E987" s="226"/>
      <c r="F987" s="226"/>
      <c r="G987" s="226"/>
      <c r="H987" s="227"/>
      <c r="I987" s="226"/>
      <c r="J987" s="226"/>
      <c r="K987" s="226"/>
      <c r="L987" s="403"/>
      <c r="M987" s="278"/>
      <c r="N987" s="279"/>
      <c r="O987" s="279"/>
      <c r="P987" s="404"/>
      <c r="Q987" s="216"/>
      <c r="R987" s="279"/>
      <c r="S987" s="216"/>
      <c r="T987" s="216"/>
      <c r="U987" s="216"/>
      <c r="V987" s="216"/>
      <c r="W987" s="216"/>
      <c r="X987" s="216"/>
      <c r="Z987" s="216"/>
      <c r="AA987" s="216"/>
      <c r="AB987" s="216"/>
      <c r="AC987" s="216"/>
      <c r="AD987" s="216"/>
    </row>
    <row r="988" spans="1:36" s="204" customFormat="1" ht="15.75" customHeight="1" x14ac:dyDescent="0.25">
      <c r="B988" s="230"/>
      <c r="C988" s="230"/>
      <c r="D988" s="230"/>
      <c r="E988" s="230"/>
      <c r="F988" s="230"/>
      <c r="G988" s="230"/>
      <c r="H988" s="231"/>
      <c r="I988" s="230"/>
      <c r="J988" s="230"/>
      <c r="K988" s="230"/>
      <c r="L988" s="232"/>
      <c r="M988" s="211"/>
      <c r="N988" s="254"/>
      <c r="O988" s="211"/>
      <c r="P988" s="211"/>
      <c r="Q988" s="216"/>
      <c r="R988" s="211"/>
      <c r="S988" s="211"/>
      <c r="U988" s="910" t="s">
        <v>3495</v>
      </c>
      <c r="V988" s="910"/>
      <c r="W988" s="485"/>
      <c r="X988" s="903" t="s">
        <v>3496</v>
      </c>
      <c r="Y988" s="903"/>
      <c r="Z988" s="211"/>
      <c r="AA988" s="211"/>
      <c r="AB988" s="211"/>
      <c r="AC988" s="904" t="str">
        <f>+AC946</f>
        <v>VALORE DEI DEBITI AL 31/12/2020 PER ANNO DI FORMAZIONE</v>
      </c>
      <c r="AD988" s="904"/>
      <c r="AE988" s="904"/>
      <c r="AF988" s="904"/>
      <c r="AG988" s="904"/>
      <c r="AH988" s="905" t="str">
        <f>+AH946</f>
        <v>Debiti al 31/12/2020 per scadenza</v>
      </c>
      <c r="AI988" s="905"/>
      <c r="AJ988" s="905"/>
    </row>
    <row r="989" spans="1:36" s="204" customFormat="1" ht="89.25" x14ac:dyDescent="0.25">
      <c r="B989" s="506" t="s">
        <v>2968</v>
      </c>
      <c r="C989" s="506" t="s">
        <v>2969</v>
      </c>
      <c r="D989" s="500" t="s">
        <v>72</v>
      </c>
      <c r="E989" s="500"/>
      <c r="F989" s="500"/>
      <c r="G989" s="501"/>
      <c r="H989" s="501"/>
      <c r="I989" s="501"/>
      <c r="J989" s="501" t="s">
        <v>2957</v>
      </c>
      <c r="K989" s="500" t="s">
        <v>82</v>
      </c>
      <c r="L989" s="431" t="s">
        <v>3670</v>
      </c>
      <c r="M989" s="480"/>
      <c r="N989" s="256" t="str">
        <f>N$15</f>
        <v>Valore netto al 31/12/2019</v>
      </c>
      <c r="O989" s="256" t="str">
        <f>O$15</f>
        <v>Valore netto al 31/12/2020</v>
      </c>
      <c r="P989" s="256" t="str">
        <f>P$15</f>
        <v>Variazione</v>
      </c>
      <c r="Q989" s="262" t="s">
        <v>2971</v>
      </c>
      <c r="R989" s="346" t="s">
        <v>3517</v>
      </c>
      <c r="S989" s="262" t="s">
        <v>2972</v>
      </c>
      <c r="T989" s="486" t="s">
        <v>3995</v>
      </c>
      <c r="U989" s="337" t="s">
        <v>3996</v>
      </c>
      <c r="V989" s="337" t="s">
        <v>3495</v>
      </c>
      <c r="W989" s="262" t="s">
        <v>4391</v>
      </c>
      <c r="X989" s="338" t="s">
        <v>3498</v>
      </c>
      <c r="Y989" s="338" t="s">
        <v>3499</v>
      </c>
      <c r="Z989" s="346" t="s">
        <v>3815</v>
      </c>
      <c r="AA989" s="497" t="s">
        <v>3997</v>
      </c>
      <c r="AB989" s="377" t="s">
        <v>3998</v>
      </c>
      <c r="AC989" s="339" t="s">
        <v>3503</v>
      </c>
      <c r="AD989" s="339" t="s">
        <v>3504</v>
      </c>
      <c r="AE989" s="339" t="s">
        <v>3505</v>
      </c>
      <c r="AF989" s="339" t="s">
        <v>3506</v>
      </c>
      <c r="AG989" s="339" t="s">
        <v>3507</v>
      </c>
      <c r="AH989" s="340" t="s">
        <v>3508</v>
      </c>
      <c r="AI989" s="340" t="s">
        <v>3509</v>
      </c>
      <c r="AJ989" s="340" t="s">
        <v>3510</v>
      </c>
    </row>
    <row r="990" spans="1:36" s="204" customFormat="1" x14ac:dyDescent="0.25">
      <c r="B990" s="287" t="s">
        <v>2495</v>
      </c>
      <c r="C990" s="287" t="s">
        <v>2496</v>
      </c>
      <c r="D990" s="284" t="s">
        <v>4060</v>
      </c>
      <c r="E990" s="274"/>
      <c r="F990" s="437"/>
      <c r="G990" s="437"/>
      <c r="H990" s="437"/>
      <c r="I990" s="437"/>
      <c r="J990" s="437"/>
      <c r="K990" s="437"/>
      <c r="L990" s="295" t="s">
        <v>2498</v>
      </c>
      <c r="M990" s="284" t="s">
        <v>2962</v>
      </c>
      <c r="N990" s="378">
        <f>SUM(N991:N992)</f>
        <v>0</v>
      </c>
      <c r="O990" s="378">
        <f>SUM(O991:O992)</f>
        <v>0</v>
      </c>
      <c r="P990" s="378">
        <f t="shared" ref="P990:P996" si="190">+O990-N990</f>
        <v>0</v>
      </c>
      <c r="Q990" s="378">
        <f t="shared" ref="Q990:AF990" si="191">SUM(Q991:Q992)</f>
        <v>0</v>
      </c>
      <c r="R990" s="378">
        <f t="shared" si="191"/>
        <v>0</v>
      </c>
      <c r="S990" s="351">
        <f t="shared" si="191"/>
        <v>0</v>
      </c>
      <c r="T990" s="378">
        <f t="shared" si="191"/>
        <v>0</v>
      </c>
      <c r="U990" s="378">
        <f t="shared" si="191"/>
        <v>0</v>
      </c>
      <c r="V990" s="378">
        <f t="shared" si="191"/>
        <v>0</v>
      </c>
      <c r="W990" s="378">
        <f t="shared" si="191"/>
        <v>0</v>
      </c>
      <c r="X990" s="378">
        <f t="shared" si="191"/>
        <v>0</v>
      </c>
      <c r="Y990" s="378">
        <f t="shared" si="191"/>
        <v>0</v>
      </c>
      <c r="Z990" s="378">
        <f t="shared" si="191"/>
        <v>0</v>
      </c>
      <c r="AA990" s="378">
        <f t="shared" si="191"/>
        <v>0</v>
      </c>
      <c r="AB990" s="378">
        <f t="shared" si="191"/>
        <v>0</v>
      </c>
      <c r="AC990" s="378">
        <f t="shared" si="191"/>
        <v>0</v>
      </c>
      <c r="AD990" s="378">
        <f t="shared" si="191"/>
        <v>0</v>
      </c>
      <c r="AE990" s="378">
        <f t="shared" si="191"/>
        <v>0</v>
      </c>
      <c r="AF990" s="378">
        <f t="shared" si="191"/>
        <v>0</v>
      </c>
      <c r="AG990" s="537">
        <f t="shared" ref="AG990:AG996" si="192">+Z990-SUM(AC990:AF990)</f>
        <v>0</v>
      </c>
      <c r="AH990" s="537">
        <f t="shared" ref="AH990:AH996" si="193">+Z990-SUM(AI990:AJ990)</f>
        <v>0</v>
      </c>
      <c r="AI990" s="378">
        <f>SUM(AI991:AI992)</f>
        <v>0</v>
      </c>
      <c r="AJ990" s="378">
        <f>SUM(AJ991:AJ992)</f>
        <v>0</v>
      </c>
    </row>
    <row r="991" spans="1:36" s="204" customFormat="1" x14ac:dyDescent="0.25">
      <c r="B991" s="287" t="s">
        <v>2499</v>
      </c>
      <c r="C991" s="287" t="s">
        <v>2500</v>
      </c>
      <c r="D991" s="284" t="s">
        <v>4061</v>
      </c>
      <c r="E991" s="274"/>
      <c r="F991" s="437"/>
      <c r="G991" s="437"/>
      <c r="H991" s="437"/>
      <c r="I991" s="437"/>
      <c r="J991" s="437"/>
      <c r="K991" s="437"/>
      <c r="L991" s="406" t="s">
        <v>4062</v>
      </c>
      <c r="M991" s="284" t="s">
        <v>2962</v>
      </c>
      <c r="N991" s="408">
        <f>+R991</f>
        <v>0</v>
      </c>
      <c r="O991" s="408">
        <f>+Z991</f>
        <v>0</v>
      </c>
      <c r="P991" s="271">
        <f t="shared" si="190"/>
        <v>0</v>
      </c>
      <c r="Q991" s="527"/>
      <c r="R991" s="354">
        <f>IF(ISERROR(VLOOKUP("SOC"&amp;$C991,ESTR_PREC_SP!$A$2:$G$2000,4,FALSE))=TRUE,0,VLOOKUP("SOC"&amp;$C991,ESTR_PREC_SP!$A$2:$G$2000,4,FALSE))</f>
        <v>0</v>
      </c>
      <c r="S991" s="351"/>
      <c r="T991" s="545"/>
      <c r="U991" s="527"/>
      <c r="V991" s="527"/>
      <c r="W991" s="527"/>
      <c r="X991" s="527"/>
      <c r="Y991" s="527"/>
      <c r="Z991" s="529">
        <f>+R991+S991+U991+V991-X991-Y991+W991+Q991</f>
        <v>0</v>
      </c>
      <c r="AA991" s="546"/>
      <c r="AB991" s="545"/>
      <c r="AC991" s="520"/>
      <c r="AD991" s="520"/>
      <c r="AE991" s="520"/>
      <c r="AF991" s="520"/>
      <c r="AG991" s="526">
        <f t="shared" si="192"/>
        <v>0</v>
      </c>
      <c r="AH991" s="526">
        <f t="shared" si="193"/>
        <v>0</v>
      </c>
      <c r="AI991" s="520"/>
      <c r="AJ991" s="520"/>
    </row>
    <row r="992" spans="1:36" s="204" customFormat="1" x14ac:dyDescent="0.25">
      <c r="B992" s="287" t="s">
        <v>2502</v>
      </c>
      <c r="C992" s="287" t="s">
        <v>2503</v>
      </c>
      <c r="D992" s="284" t="s">
        <v>4063</v>
      </c>
      <c r="E992" s="274"/>
      <c r="F992" s="437"/>
      <c r="G992" s="437"/>
      <c r="H992" s="437"/>
      <c r="I992" s="437"/>
      <c r="J992" s="437"/>
      <c r="K992" s="437"/>
      <c r="L992" s="406" t="s">
        <v>4064</v>
      </c>
      <c r="M992" s="284" t="s">
        <v>2962</v>
      </c>
      <c r="N992" s="408">
        <f>+R992</f>
        <v>0</v>
      </c>
      <c r="O992" s="408">
        <f>+Z992</f>
        <v>0</v>
      </c>
      <c r="P992" s="271">
        <f t="shared" si="190"/>
        <v>0</v>
      </c>
      <c r="Q992" s="527"/>
      <c r="R992" s="354">
        <f>IF(ISERROR(VLOOKUP("SOC"&amp;$C992,ESTR_PREC_SP!$A$2:$G$2000,4,FALSE))=TRUE,0,VLOOKUP("SOC"&amp;$C992,ESTR_PREC_SP!$A$2:$G$2000,4,FALSE))</f>
        <v>0</v>
      </c>
      <c r="S992" s="351"/>
      <c r="T992" s="545"/>
      <c r="U992" s="527"/>
      <c r="V992" s="527"/>
      <c r="W992" s="527"/>
      <c r="X992" s="527"/>
      <c r="Y992" s="527"/>
      <c r="Z992" s="529">
        <f>+R992+S992+U992+V992-X992-Y992+W992+Q992</f>
        <v>0</v>
      </c>
      <c r="AA992" s="546"/>
      <c r="AB992" s="545"/>
      <c r="AC992" s="520"/>
      <c r="AD992" s="520"/>
      <c r="AE992" s="520"/>
      <c r="AF992" s="520"/>
      <c r="AG992" s="526">
        <f t="shared" si="192"/>
        <v>0</v>
      </c>
      <c r="AH992" s="526">
        <f t="shared" si="193"/>
        <v>0</v>
      </c>
      <c r="AI992" s="520"/>
      <c r="AJ992" s="520"/>
    </row>
    <row r="993" spans="2:36" s="204" customFormat="1" x14ac:dyDescent="0.25">
      <c r="B993" s="287" t="s">
        <v>2505</v>
      </c>
      <c r="C993" s="287" t="s">
        <v>2506</v>
      </c>
      <c r="D993" s="284" t="s">
        <v>4065</v>
      </c>
      <c r="E993" s="274"/>
      <c r="F993" s="437"/>
      <c r="G993" s="437"/>
      <c r="H993" s="437"/>
      <c r="I993" s="437"/>
      <c r="J993" s="437"/>
      <c r="K993" s="437"/>
      <c r="L993" s="295" t="s">
        <v>2508</v>
      </c>
      <c r="M993" s="284" t="s">
        <v>2962</v>
      </c>
      <c r="N993" s="408">
        <f>+R993</f>
        <v>0</v>
      </c>
      <c r="O993" s="408">
        <f>+Z993</f>
        <v>0</v>
      </c>
      <c r="P993" s="271">
        <f t="shared" si="190"/>
        <v>0</v>
      </c>
      <c r="Q993" s="527"/>
      <c r="R993" s="354">
        <f>IF(ISERROR(VLOOKUP("SOC"&amp;$C993,ESTR_PREC_SP!$A$2:$G$2000,4,FALSE))=TRUE,0,VLOOKUP("SOC"&amp;$C993,ESTR_PREC_SP!$A$2:$G$2000,4,FALSE))</f>
        <v>0</v>
      </c>
      <c r="S993" s="351"/>
      <c r="T993" s="545"/>
      <c r="U993" s="527"/>
      <c r="V993" s="527"/>
      <c r="W993" s="527"/>
      <c r="X993" s="527"/>
      <c r="Y993" s="527"/>
      <c r="Z993" s="529">
        <f>+R993+S993+U993+V993-X993-Y993+W993+Q993</f>
        <v>0</v>
      </c>
      <c r="AA993" s="546"/>
      <c r="AB993" s="545"/>
      <c r="AC993" s="520"/>
      <c r="AD993" s="520"/>
      <c r="AE993" s="520"/>
      <c r="AF993" s="520"/>
      <c r="AG993" s="526">
        <f t="shared" si="192"/>
        <v>0</v>
      </c>
      <c r="AH993" s="526">
        <f t="shared" si="193"/>
        <v>0</v>
      </c>
      <c r="AI993" s="520"/>
      <c r="AJ993" s="520"/>
    </row>
    <row r="994" spans="2:36" s="204" customFormat="1" x14ac:dyDescent="0.25">
      <c r="B994" s="287" t="s">
        <v>2509</v>
      </c>
      <c r="C994" s="287" t="s">
        <v>2510</v>
      </c>
      <c r="D994" s="284" t="s">
        <v>4066</v>
      </c>
      <c r="E994" s="274"/>
      <c r="F994" s="437"/>
      <c r="G994" s="437"/>
      <c r="H994" s="437"/>
      <c r="I994" s="437"/>
      <c r="J994" s="437"/>
      <c r="K994" s="437"/>
      <c r="L994" s="295" t="s">
        <v>2512</v>
      </c>
      <c r="M994" s="284" t="s">
        <v>2962</v>
      </c>
      <c r="N994" s="378">
        <f>SUM(N995:N996)</f>
        <v>0</v>
      </c>
      <c r="O994" s="378">
        <f>SUM(O995:O996)</f>
        <v>0</v>
      </c>
      <c r="P994" s="378">
        <f t="shared" si="190"/>
        <v>0</v>
      </c>
      <c r="Q994" s="378">
        <f t="shared" ref="Q994:AF994" si="194">SUM(Q995:Q996)</f>
        <v>0</v>
      </c>
      <c r="R994" s="378">
        <f t="shared" si="194"/>
        <v>0</v>
      </c>
      <c r="S994" s="351">
        <f t="shared" si="194"/>
        <v>0</v>
      </c>
      <c r="T994" s="378">
        <f t="shared" si="194"/>
        <v>0</v>
      </c>
      <c r="U994" s="378">
        <f t="shared" si="194"/>
        <v>0</v>
      </c>
      <c r="V994" s="378">
        <f t="shared" si="194"/>
        <v>0</v>
      </c>
      <c r="W994" s="378">
        <f t="shared" si="194"/>
        <v>0</v>
      </c>
      <c r="X994" s="378">
        <f t="shared" si="194"/>
        <v>0</v>
      </c>
      <c r="Y994" s="378">
        <f t="shared" si="194"/>
        <v>0</v>
      </c>
      <c r="Z994" s="378">
        <f t="shared" si="194"/>
        <v>0</v>
      </c>
      <c r="AA994" s="378">
        <f t="shared" si="194"/>
        <v>0</v>
      </c>
      <c r="AB994" s="378">
        <f t="shared" si="194"/>
        <v>0</v>
      </c>
      <c r="AC994" s="378">
        <f t="shared" si="194"/>
        <v>0</v>
      </c>
      <c r="AD994" s="378">
        <f t="shared" si="194"/>
        <v>0</v>
      </c>
      <c r="AE994" s="378">
        <f t="shared" si="194"/>
        <v>0</v>
      </c>
      <c r="AF994" s="378">
        <f t="shared" si="194"/>
        <v>0</v>
      </c>
      <c r="AG994" s="537">
        <f t="shared" si="192"/>
        <v>0</v>
      </c>
      <c r="AH994" s="537">
        <f t="shared" si="193"/>
        <v>0</v>
      </c>
      <c r="AI994" s="378">
        <f>SUM(AI995:AI996)</f>
        <v>0</v>
      </c>
      <c r="AJ994" s="378">
        <f>SUM(AJ995:AJ996)</f>
        <v>0</v>
      </c>
    </row>
    <row r="995" spans="2:36" s="204" customFormat="1" x14ac:dyDescent="0.25">
      <c r="B995" s="287" t="s">
        <v>2513</v>
      </c>
      <c r="C995" s="287" t="s">
        <v>2514</v>
      </c>
      <c r="D995" s="284" t="s">
        <v>4067</v>
      </c>
      <c r="E995" s="274"/>
      <c r="F995" s="437"/>
      <c r="G995" s="437"/>
      <c r="H995" s="437"/>
      <c r="I995" s="437"/>
      <c r="J995" s="437"/>
      <c r="K995" s="437"/>
      <c r="L995" s="406" t="s">
        <v>4068</v>
      </c>
      <c r="M995" s="284" t="s">
        <v>2962</v>
      </c>
      <c r="N995" s="408">
        <f>+R995</f>
        <v>0</v>
      </c>
      <c r="O995" s="408">
        <f>+Z995</f>
        <v>0</v>
      </c>
      <c r="P995" s="271">
        <f t="shared" si="190"/>
        <v>0</v>
      </c>
      <c r="Q995" s="527"/>
      <c r="R995" s="354">
        <f>IF(ISERROR(VLOOKUP("SOC"&amp;$C995,ESTR_PREC_SP!$A$2:$G$2000,4,FALSE))=TRUE,0,VLOOKUP("SOC"&amp;$C995,ESTR_PREC_SP!$A$2:$G$2000,4,FALSE))</f>
        <v>0</v>
      </c>
      <c r="S995" s="351"/>
      <c r="T995" s="545"/>
      <c r="U995" s="527"/>
      <c r="V995" s="527"/>
      <c r="W995" s="527"/>
      <c r="X995" s="527"/>
      <c r="Y995" s="527"/>
      <c r="Z995" s="529">
        <f>+R995+S995+U995+V995-X995-Y995+W995+Q995</f>
        <v>0</v>
      </c>
      <c r="AA995" s="546"/>
      <c r="AB995" s="545"/>
      <c r="AC995" s="520"/>
      <c r="AD995" s="520"/>
      <c r="AE995" s="520"/>
      <c r="AF995" s="520"/>
      <c r="AG995" s="526">
        <f t="shared" si="192"/>
        <v>0</v>
      </c>
      <c r="AH995" s="526">
        <f t="shared" si="193"/>
        <v>0</v>
      </c>
      <c r="AI995" s="520"/>
      <c r="AJ995" s="520"/>
    </row>
    <row r="996" spans="2:36" s="204" customFormat="1" x14ac:dyDescent="0.25">
      <c r="B996" s="287" t="s">
        <v>2516</v>
      </c>
      <c r="C996" s="287" t="s">
        <v>2517</v>
      </c>
      <c r="D996" s="284" t="s">
        <v>4069</v>
      </c>
      <c r="E996" s="274"/>
      <c r="F996" s="437"/>
      <c r="G996" s="437"/>
      <c r="H996" s="437"/>
      <c r="I996" s="437"/>
      <c r="J996" s="437"/>
      <c r="K996" s="437"/>
      <c r="L996" s="406" t="s">
        <v>4070</v>
      </c>
      <c r="M996" s="284" t="s">
        <v>2962</v>
      </c>
      <c r="N996" s="408">
        <f>+R996</f>
        <v>0</v>
      </c>
      <c r="O996" s="408">
        <f>+Z996</f>
        <v>0</v>
      </c>
      <c r="P996" s="271">
        <f t="shared" si="190"/>
        <v>0</v>
      </c>
      <c r="Q996" s="527"/>
      <c r="R996" s="354">
        <f>IF(ISERROR(VLOOKUP("SOC"&amp;$C996,ESTR_PREC_SP!$A$2:$G$2000,4,FALSE))=TRUE,0,VLOOKUP("SOC"&amp;$C996,ESTR_PREC_SP!$A$2:$G$2000,4,FALSE))</f>
        <v>0</v>
      </c>
      <c r="S996" s="351"/>
      <c r="T996" s="545"/>
      <c r="U996" s="527"/>
      <c r="V996" s="527"/>
      <c r="W996" s="527"/>
      <c r="X996" s="527"/>
      <c r="Y996" s="527"/>
      <c r="Z996" s="529">
        <f>+R996+S996+U996+V996-X996-Y996+W996+Q996</f>
        <v>0</v>
      </c>
      <c r="AA996" s="546"/>
      <c r="AB996" s="545"/>
      <c r="AC996" s="520"/>
      <c r="AD996" s="520"/>
      <c r="AE996" s="520"/>
      <c r="AF996" s="520"/>
      <c r="AG996" s="526">
        <f t="shared" si="192"/>
        <v>0</v>
      </c>
      <c r="AH996" s="526">
        <f t="shared" si="193"/>
        <v>0</v>
      </c>
      <c r="AI996" s="520"/>
      <c r="AJ996" s="520"/>
    </row>
    <row r="997" spans="2:36" s="204" customFormat="1" x14ac:dyDescent="0.25">
      <c r="B997" s="381"/>
      <c r="C997" s="381"/>
      <c r="D997" s="382"/>
      <c r="E997" s="382"/>
      <c r="F997" s="382"/>
      <c r="G997" s="382"/>
      <c r="H997" s="382"/>
      <c r="I997" s="382"/>
      <c r="J997" s="382"/>
      <c r="K997" s="382"/>
      <c r="L997" s="505"/>
      <c r="M997" s="216"/>
      <c r="N997" s="383"/>
      <c r="O997" s="383"/>
      <c r="P997" s="384"/>
      <c r="Q997" s="216"/>
      <c r="R997" s="275"/>
      <c r="S997" s="216"/>
      <c r="T997" s="216"/>
      <c r="U997" s="216"/>
      <c r="V997" s="216"/>
      <c r="W997" s="216"/>
      <c r="X997" s="216"/>
      <c r="Z997" s="216"/>
      <c r="AA997" s="216"/>
      <c r="AB997" s="216"/>
      <c r="AC997" s="216"/>
      <c r="AD997" s="216"/>
    </row>
    <row r="998" spans="2:36" s="204" customFormat="1" x14ac:dyDescent="0.25">
      <c r="B998" s="302"/>
      <c r="C998" s="302"/>
      <c r="D998" s="226"/>
      <c r="E998" s="226"/>
      <c r="F998" s="226"/>
      <c r="G998" s="226"/>
      <c r="H998" s="227"/>
      <c r="I998" s="226"/>
      <c r="J998" s="226"/>
      <c r="K998" s="226"/>
      <c r="L998" s="315"/>
      <c r="M998" s="216"/>
      <c r="N998" s="254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Z998" s="216"/>
      <c r="AA998" s="216"/>
      <c r="AB998" s="216"/>
      <c r="AC998" s="216"/>
      <c r="AD998" s="216"/>
    </row>
    <row r="999" spans="2:36" s="204" customFormat="1" x14ac:dyDescent="0.25">
      <c r="B999" s="292" t="s">
        <v>2519</v>
      </c>
      <c r="C999" s="292" t="s">
        <v>2520</v>
      </c>
      <c r="D999" s="247" t="s">
        <v>4071</v>
      </c>
      <c r="E999" s="247"/>
      <c r="F999" s="247"/>
      <c r="G999" s="247"/>
      <c r="H999" s="248"/>
      <c r="I999" s="247"/>
      <c r="J999" s="247"/>
      <c r="K999" s="249"/>
      <c r="L999" s="441" t="s">
        <v>2523</v>
      </c>
      <c r="M999" s="251" t="s">
        <v>2962</v>
      </c>
      <c r="N999" s="252">
        <f>+N1003+N1011</f>
        <v>0</v>
      </c>
      <c r="O999" s="252">
        <f>+O1003+O1011</f>
        <v>0</v>
      </c>
      <c r="P999" s="253">
        <f>+O999-N999</f>
        <v>0</v>
      </c>
      <c r="Q999" s="252">
        <f t="shared" ref="Q999:AJ999" si="195">+Q1003+Q1011</f>
        <v>0</v>
      </c>
      <c r="R999" s="252">
        <f t="shared" si="195"/>
        <v>0</v>
      </c>
      <c r="S999" s="252">
        <f t="shared" si="195"/>
        <v>0</v>
      </c>
      <c r="T999" s="252">
        <f t="shared" si="195"/>
        <v>0</v>
      </c>
      <c r="U999" s="252">
        <f t="shared" si="195"/>
        <v>0</v>
      </c>
      <c r="V999" s="252">
        <f t="shared" si="195"/>
        <v>0</v>
      </c>
      <c r="W999" s="252">
        <f t="shared" si="195"/>
        <v>0</v>
      </c>
      <c r="X999" s="252">
        <f t="shared" si="195"/>
        <v>0</v>
      </c>
      <c r="Y999" s="252">
        <f t="shared" si="195"/>
        <v>0</v>
      </c>
      <c r="Z999" s="252">
        <f t="shared" si="195"/>
        <v>0</v>
      </c>
      <c r="AA999" s="252">
        <f t="shared" si="195"/>
        <v>0</v>
      </c>
      <c r="AB999" s="252">
        <f t="shared" si="195"/>
        <v>0</v>
      </c>
      <c r="AC999" s="252">
        <f t="shared" si="195"/>
        <v>0</v>
      </c>
      <c r="AD999" s="252">
        <f t="shared" si="195"/>
        <v>0</v>
      </c>
      <c r="AE999" s="252">
        <f t="shared" si="195"/>
        <v>0</v>
      </c>
      <c r="AF999" s="252">
        <f t="shared" si="195"/>
        <v>0</v>
      </c>
      <c r="AG999" s="252">
        <f t="shared" si="195"/>
        <v>0</v>
      </c>
      <c r="AH999" s="252">
        <f t="shared" si="195"/>
        <v>0</v>
      </c>
      <c r="AI999" s="252">
        <f t="shared" si="195"/>
        <v>0</v>
      </c>
      <c r="AJ999" s="252">
        <f t="shared" si="195"/>
        <v>0</v>
      </c>
    </row>
    <row r="1000" spans="2:36" s="204" customFormat="1" x14ac:dyDescent="0.25">
      <c r="B1000" s="293"/>
      <c r="C1000" s="293"/>
      <c r="D1000" s="230"/>
      <c r="E1000" s="230"/>
      <c r="F1000" s="230"/>
      <c r="G1000" s="230"/>
      <c r="H1000" s="231"/>
      <c r="I1000" s="230"/>
      <c r="J1000" s="230"/>
      <c r="K1000" s="230"/>
      <c r="L1000" s="232"/>
      <c r="M1000" s="211"/>
      <c r="N1000" s="254"/>
      <c r="O1000" s="211"/>
      <c r="P1000" s="211"/>
      <c r="Q1000" s="216"/>
      <c r="R1000" s="216"/>
      <c r="S1000" s="216"/>
      <c r="T1000" s="216"/>
      <c r="U1000" s="216"/>
      <c r="V1000" s="216"/>
      <c r="W1000" s="216"/>
      <c r="X1000" s="216"/>
      <c r="Z1000" s="216"/>
      <c r="AA1000" s="216"/>
      <c r="AB1000" s="216"/>
      <c r="AC1000" s="216"/>
      <c r="AD1000" s="216"/>
    </row>
    <row r="1001" spans="2:36" s="204" customFormat="1" ht="15.75" customHeight="1" x14ac:dyDescent="0.25">
      <c r="B1001" s="293"/>
      <c r="C1001" s="293"/>
      <c r="D1001" s="230"/>
      <c r="E1001" s="230"/>
      <c r="F1001" s="230"/>
      <c r="G1001" s="230"/>
      <c r="H1001" s="231"/>
      <c r="I1001" s="230"/>
      <c r="J1001" s="230"/>
      <c r="K1001" s="230"/>
      <c r="L1001" s="232"/>
      <c r="M1001" s="211"/>
      <c r="N1001" s="254"/>
      <c r="O1001" s="211"/>
      <c r="P1001" s="211"/>
      <c r="Q1001" s="216"/>
      <c r="R1001" s="211"/>
      <c r="S1001" s="211"/>
      <c r="U1001" s="910" t="s">
        <v>3495</v>
      </c>
      <c r="V1001" s="910"/>
      <c r="W1001" s="485"/>
      <c r="X1001" s="903" t="s">
        <v>3496</v>
      </c>
      <c r="Y1001" s="903"/>
      <c r="Z1001" s="211"/>
      <c r="AA1001" s="211"/>
      <c r="AB1001" s="211"/>
      <c r="AC1001" s="904" t="str">
        <f>+AC988</f>
        <v>VALORE DEI DEBITI AL 31/12/2020 PER ANNO DI FORMAZIONE</v>
      </c>
      <c r="AD1001" s="904"/>
      <c r="AE1001" s="904"/>
      <c r="AF1001" s="904"/>
      <c r="AG1001" s="904"/>
      <c r="AH1001" s="905" t="str">
        <f>+AH988</f>
        <v>Debiti al 31/12/2020 per scadenza</v>
      </c>
      <c r="AI1001" s="905"/>
      <c r="AJ1001" s="905"/>
    </row>
    <row r="1002" spans="2:36" s="204" customFormat="1" ht="89.25" x14ac:dyDescent="0.25">
      <c r="B1002" s="294" t="s">
        <v>2968</v>
      </c>
      <c r="C1002" s="294" t="s">
        <v>2969</v>
      </c>
      <c r="D1002" s="206" t="s">
        <v>72</v>
      </c>
      <c r="E1002" s="206"/>
      <c r="F1002" s="206"/>
      <c r="G1002" s="207"/>
      <c r="H1002" s="207"/>
      <c r="I1002" s="207"/>
      <c r="J1002" s="207" t="s">
        <v>2957</v>
      </c>
      <c r="K1002" s="206" t="s">
        <v>82</v>
      </c>
      <c r="L1002" s="261" t="s">
        <v>3670</v>
      </c>
      <c r="M1002" s="480"/>
      <c r="N1002" s="256" t="str">
        <f>N$15</f>
        <v>Valore netto al 31/12/2019</v>
      </c>
      <c r="O1002" s="256" t="str">
        <f>O$15</f>
        <v>Valore netto al 31/12/2020</v>
      </c>
      <c r="P1002" s="256" t="str">
        <f>P$15</f>
        <v>Variazione</v>
      </c>
      <c r="Q1002" s="262" t="s">
        <v>2971</v>
      </c>
      <c r="R1002" s="346" t="s">
        <v>3517</v>
      </c>
      <c r="S1002" s="262" t="s">
        <v>2972</v>
      </c>
      <c r="T1002" s="486" t="s">
        <v>3995</v>
      </c>
      <c r="U1002" s="337" t="s">
        <v>3996</v>
      </c>
      <c r="V1002" s="337" t="s">
        <v>3495</v>
      </c>
      <c r="W1002" s="262" t="s">
        <v>4391</v>
      </c>
      <c r="X1002" s="338" t="s">
        <v>3498</v>
      </c>
      <c r="Y1002" s="338" t="s">
        <v>3499</v>
      </c>
      <c r="Z1002" s="346" t="s">
        <v>3815</v>
      </c>
      <c r="AA1002" s="497" t="s">
        <v>3997</v>
      </c>
      <c r="AB1002" s="377" t="s">
        <v>3998</v>
      </c>
      <c r="AC1002" s="339" t="s">
        <v>3503</v>
      </c>
      <c r="AD1002" s="339" t="s">
        <v>3504</v>
      </c>
      <c r="AE1002" s="339" t="s">
        <v>3505</v>
      </c>
      <c r="AF1002" s="339" t="s">
        <v>3506</v>
      </c>
      <c r="AG1002" s="339" t="s">
        <v>3507</v>
      </c>
      <c r="AH1002" s="340" t="s">
        <v>3508</v>
      </c>
      <c r="AI1002" s="340" t="s">
        <v>3509</v>
      </c>
      <c r="AJ1002" s="340" t="s">
        <v>3510</v>
      </c>
    </row>
    <row r="1003" spans="2:36" s="204" customFormat="1" ht="25.5" x14ac:dyDescent="0.25">
      <c r="B1003" s="287" t="s">
        <v>2524</v>
      </c>
      <c r="C1003" s="287" t="s">
        <v>2525</v>
      </c>
      <c r="D1003" s="284" t="s">
        <v>4072</v>
      </c>
      <c r="E1003" s="274"/>
      <c r="F1003" s="274"/>
      <c r="G1003" s="283"/>
      <c r="H1003" s="266"/>
      <c r="I1003" s="274"/>
      <c r="J1003" s="281"/>
      <c r="K1003" s="281"/>
      <c r="L1003" s="296" t="s">
        <v>2527</v>
      </c>
      <c r="M1003" s="284" t="s">
        <v>2962</v>
      </c>
      <c r="N1003" s="378">
        <f>SUM(N1004:N1010)</f>
        <v>0</v>
      </c>
      <c r="O1003" s="378">
        <f>SUM(O1004:O1010)</f>
        <v>0</v>
      </c>
      <c r="P1003" s="378">
        <f t="shared" ref="P1003:P1014" si="196">+O1003-N1003</f>
        <v>0</v>
      </c>
      <c r="Q1003" s="378">
        <f t="shared" ref="Q1003:AJ1003" si="197">SUM(Q1004:Q1010)</f>
        <v>0</v>
      </c>
      <c r="R1003" s="378">
        <f t="shared" si="197"/>
        <v>0</v>
      </c>
      <c r="S1003" s="378">
        <f t="shared" si="197"/>
        <v>0</v>
      </c>
      <c r="T1003" s="378">
        <f t="shared" si="197"/>
        <v>0</v>
      </c>
      <c r="U1003" s="378">
        <f t="shared" si="197"/>
        <v>0</v>
      </c>
      <c r="V1003" s="378">
        <f t="shared" si="197"/>
        <v>0</v>
      </c>
      <c r="W1003" s="378">
        <f t="shared" si="197"/>
        <v>0</v>
      </c>
      <c r="X1003" s="378">
        <f t="shared" si="197"/>
        <v>0</v>
      </c>
      <c r="Y1003" s="378">
        <f t="shared" si="197"/>
        <v>0</v>
      </c>
      <c r="Z1003" s="378">
        <f t="shared" si="197"/>
        <v>0</v>
      </c>
      <c r="AA1003" s="378">
        <f t="shared" si="197"/>
        <v>0</v>
      </c>
      <c r="AB1003" s="378">
        <f t="shared" si="197"/>
        <v>0</v>
      </c>
      <c r="AC1003" s="378">
        <f t="shared" si="197"/>
        <v>0</v>
      </c>
      <c r="AD1003" s="378">
        <f t="shared" si="197"/>
        <v>0</v>
      </c>
      <c r="AE1003" s="378">
        <f t="shared" si="197"/>
        <v>0</v>
      </c>
      <c r="AF1003" s="378">
        <f t="shared" si="197"/>
        <v>0</v>
      </c>
      <c r="AG1003" s="378">
        <f t="shared" si="197"/>
        <v>0</v>
      </c>
      <c r="AH1003" s="378">
        <f t="shared" si="197"/>
        <v>0</v>
      </c>
      <c r="AI1003" s="378">
        <f t="shared" si="197"/>
        <v>0</v>
      </c>
      <c r="AJ1003" s="378">
        <f t="shared" si="197"/>
        <v>0</v>
      </c>
    </row>
    <row r="1004" spans="2:36" s="204" customFormat="1" x14ac:dyDescent="0.25">
      <c r="B1004" s="287" t="s">
        <v>2528</v>
      </c>
      <c r="C1004" s="287" t="s">
        <v>2529</v>
      </c>
      <c r="D1004" s="284" t="s">
        <v>4073</v>
      </c>
      <c r="E1004" s="274"/>
      <c r="F1004" s="274"/>
      <c r="G1004" s="283"/>
      <c r="H1004" s="266"/>
      <c r="I1004" s="274"/>
      <c r="J1004" s="281"/>
      <c r="K1004" s="281"/>
      <c r="L1004" s="507" t="s">
        <v>4074</v>
      </c>
      <c r="M1004" s="284" t="s">
        <v>2962</v>
      </c>
      <c r="N1004" s="408">
        <f t="shared" ref="N1004:N1010" si="198">+R1004</f>
        <v>0</v>
      </c>
      <c r="O1004" s="408">
        <f t="shared" ref="O1004:O1010" si="199">+Z1004</f>
        <v>0</v>
      </c>
      <c r="P1004" s="271">
        <f t="shared" si="196"/>
        <v>0</v>
      </c>
      <c r="Q1004" s="527"/>
      <c r="R1004" s="354">
        <f>IF(ISERROR(VLOOKUP("SOC"&amp;$C1004,ESTR_PREC_SP!$A$2:$G$2000,4,FALSE))=TRUE,0,VLOOKUP("SOC"&amp;$C1004,ESTR_PREC_SP!$A$2:$G$2000,4,FALSE))</f>
        <v>0</v>
      </c>
      <c r="S1004" s="527"/>
      <c r="T1004" s="545"/>
      <c r="U1004" s="527"/>
      <c r="V1004" s="527"/>
      <c r="W1004" s="527"/>
      <c r="X1004" s="527"/>
      <c r="Y1004" s="527"/>
      <c r="Z1004" s="529">
        <f t="shared" ref="Z1004:Z1010" si="200">+R1004+S1004+U1004+V1004-X1004-Y1004+W1004+Q1004</f>
        <v>0</v>
      </c>
      <c r="AA1004" s="546"/>
      <c r="AB1004" s="545"/>
      <c r="AC1004" s="520"/>
      <c r="AD1004" s="520"/>
      <c r="AE1004" s="520"/>
      <c r="AF1004" s="520"/>
      <c r="AG1004" s="526">
        <f t="shared" ref="AG1004:AG1010" si="201">+Z1004-SUM(AC1004:AF1004)</f>
        <v>0</v>
      </c>
      <c r="AH1004" s="526">
        <f t="shared" ref="AH1004:AH1010" si="202">+Z1004-SUM(AI1004:AJ1004)</f>
        <v>0</v>
      </c>
      <c r="AI1004" s="520"/>
      <c r="AJ1004" s="520"/>
    </row>
    <row r="1005" spans="2:36" s="204" customFormat="1" x14ac:dyDescent="0.25">
      <c r="B1005" s="287" t="s">
        <v>2532</v>
      </c>
      <c r="C1005" s="287" t="s">
        <v>2533</v>
      </c>
      <c r="D1005" s="284" t="s">
        <v>4075</v>
      </c>
      <c r="E1005" s="274"/>
      <c r="F1005" s="274"/>
      <c r="G1005" s="283"/>
      <c r="H1005" s="266"/>
      <c r="I1005" s="274"/>
      <c r="J1005" s="281"/>
      <c r="K1005" s="281"/>
      <c r="L1005" s="507" t="s">
        <v>4076</v>
      </c>
      <c r="M1005" s="284" t="s">
        <v>2962</v>
      </c>
      <c r="N1005" s="408">
        <f t="shared" si="198"/>
        <v>0</v>
      </c>
      <c r="O1005" s="408">
        <f t="shared" si="199"/>
        <v>0</v>
      </c>
      <c r="P1005" s="271">
        <f t="shared" si="196"/>
        <v>0</v>
      </c>
      <c r="Q1005" s="527"/>
      <c r="R1005" s="354">
        <f>IF(ISERROR(VLOOKUP("SOC"&amp;$C1005,ESTR_PREC_SP!$A$2:$G$2000,4,FALSE))=TRUE,0,VLOOKUP("SOC"&amp;$C1005,ESTR_PREC_SP!$A$2:$G$2000,4,FALSE))</f>
        <v>0</v>
      </c>
      <c r="S1005" s="527"/>
      <c r="T1005" s="545"/>
      <c r="U1005" s="527"/>
      <c r="V1005" s="527"/>
      <c r="W1005" s="527"/>
      <c r="X1005" s="527"/>
      <c r="Y1005" s="527"/>
      <c r="Z1005" s="529">
        <f t="shared" si="200"/>
        <v>0</v>
      </c>
      <c r="AA1005" s="546"/>
      <c r="AB1005" s="545"/>
      <c r="AC1005" s="520"/>
      <c r="AD1005" s="520"/>
      <c r="AE1005" s="520"/>
      <c r="AF1005" s="520"/>
      <c r="AG1005" s="526">
        <f t="shared" si="201"/>
        <v>0</v>
      </c>
      <c r="AH1005" s="526">
        <f t="shared" si="202"/>
        <v>0</v>
      </c>
      <c r="AI1005" s="520"/>
      <c r="AJ1005" s="520"/>
    </row>
    <row r="1006" spans="2:36" s="204" customFormat="1" x14ac:dyDescent="0.25">
      <c r="B1006" s="287" t="s">
        <v>2535</v>
      </c>
      <c r="C1006" s="287" t="s">
        <v>2536</v>
      </c>
      <c r="D1006" s="284" t="s">
        <v>4077</v>
      </c>
      <c r="E1006" s="274"/>
      <c r="F1006" s="274"/>
      <c r="G1006" s="283"/>
      <c r="H1006" s="266"/>
      <c r="I1006" s="274"/>
      <c r="J1006" s="281"/>
      <c r="K1006" s="281"/>
      <c r="L1006" s="507" t="s">
        <v>4078</v>
      </c>
      <c r="M1006" s="284" t="s">
        <v>2962</v>
      </c>
      <c r="N1006" s="408">
        <f t="shared" si="198"/>
        <v>0</v>
      </c>
      <c r="O1006" s="408">
        <f t="shared" si="199"/>
        <v>0</v>
      </c>
      <c r="P1006" s="271">
        <f t="shared" si="196"/>
        <v>0</v>
      </c>
      <c r="Q1006" s="527"/>
      <c r="R1006" s="354">
        <f>IF(ISERROR(VLOOKUP("SOC"&amp;$C1006,ESTR_PREC_SP!$A$2:$G$2000,4,FALSE))=TRUE,0,VLOOKUP("SOC"&amp;$C1006,ESTR_PREC_SP!$A$2:$G$2000,4,FALSE))</f>
        <v>0</v>
      </c>
      <c r="S1006" s="527"/>
      <c r="T1006" s="545"/>
      <c r="U1006" s="527"/>
      <c r="V1006" s="527"/>
      <c r="W1006" s="527"/>
      <c r="X1006" s="527"/>
      <c r="Y1006" s="527"/>
      <c r="Z1006" s="529">
        <f t="shared" si="200"/>
        <v>0</v>
      </c>
      <c r="AA1006" s="546"/>
      <c r="AB1006" s="545"/>
      <c r="AC1006" s="520"/>
      <c r="AD1006" s="520"/>
      <c r="AE1006" s="520"/>
      <c r="AF1006" s="520"/>
      <c r="AG1006" s="526">
        <f t="shared" si="201"/>
        <v>0</v>
      </c>
      <c r="AH1006" s="526">
        <f t="shared" si="202"/>
        <v>0</v>
      </c>
      <c r="AI1006" s="520"/>
      <c r="AJ1006" s="520"/>
    </row>
    <row r="1007" spans="2:36" s="204" customFormat="1" x14ac:dyDescent="0.25">
      <c r="B1007" s="287" t="s">
        <v>2538</v>
      </c>
      <c r="C1007" s="287" t="s">
        <v>2539</v>
      </c>
      <c r="D1007" s="284" t="s">
        <v>4079</v>
      </c>
      <c r="E1007" s="274"/>
      <c r="F1007" s="274"/>
      <c r="G1007" s="283"/>
      <c r="H1007" s="266"/>
      <c r="I1007" s="274"/>
      <c r="J1007" s="281"/>
      <c r="K1007" s="281"/>
      <c r="L1007" s="507" t="s">
        <v>4080</v>
      </c>
      <c r="M1007" s="284" t="s">
        <v>2962</v>
      </c>
      <c r="N1007" s="408">
        <f t="shared" si="198"/>
        <v>0</v>
      </c>
      <c r="O1007" s="408">
        <f t="shared" si="199"/>
        <v>0</v>
      </c>
      <c r="P1007" s="271">
        <f t="shared" si="196"/>
        <v>0</v>
      </c>
      <c r="Q1007" s="527"/>
      <c r="R1007" s="354">
        <f>IF(ISERROR(VLOOKUP("SOC"&amp;$C1007,ESTR_PREC_SP!$A$2:$G$2000,4,FALSE))=TRUE,0,VLOOKUP("SOC"&amp;$C1007,ESTR_PREC_SP!$A$2:$G$2000,4,FALSE))</f>
        <v>0</v>
      </c>
      <c r="S1007" s="527"/>
      <c r="T1007" s="545"/>
      <c r="U1007" s="527"/>
      <c r="V1007" s="527"/>
      <c r="W1007" s="527"/>
      <c r="X1007" s="527"/>
      <c r="Y1007" s="527"/>
      <c r="Z1007" s="529">
        <f t="shared" si="200"/>
        <v>0</v>
      </c>
      <c r="AA1007" s="546"/>
      <c r="AB1007" s="545"/>
      <c r="AC1007" s="520"/>
      <c r="AD1007" s="520"/>
      <c r="AE1007" s="520"/>
      <c r="AF1007" s="520"/>
      <c r="AG1007" s="526">
        <f t="shared" si="201"/>
        <v>0</v>
      </c>
      <c r="AH1007" s="526">
        <f t="shared" si="202"/>
        <v>0</v>
      </c>
      <c r="AI1007" s="520"/>
      <c r="AJ1007" s="520"/>
    </row>
    <row r="1008" spans="2:36" s="204" customFormat="1" x14ac:dyDescent="0.25">
      <c r="B1008" s="287" t="s">
        <v>2541</v>
      </c>
      <c r="C1008" s="287" t="s">
        <v>2542</v>
      </c>
      <c r="D1008" s="284" t="s">
        <v>4081</v>
      </c>
      <c r="E1008" s="274"/>
      <c r="F1008" s="274"/>
      <c r="G1008" s="283"/>
      <c r="H1008" s="266"/>
      <c r="I1008" s="274"/>
      <c r="J1008" s="281"/>
      <c r="K1008" s="281"/>
      <c r="L1008" s="507" t="s">
        <v>4082</v>
      </c>
      <c r="M1008" s="284" t="s">
        <v>2962</v>
      </c>
      <c r="N1008" s="408">
        <f t="shared" si="198"/>
        <v>0</v>
      </c>
      <c r="O1008" s="408">
        <f t="shared" si="199"/>
        <v>0</v>
      </c>
      <c r="P1008" s="271">
        <f t="shared" si="196"/>
        <v>0</v>
      </c>
      <c r="Q1008" s="527"/>
      <c r="R1008" s="354">
        <f>IF(ISERROR(VLOOKUP("SOC"&amp;$C1008,ESTR_PREC_SP!$A$2:$G$2000,4,FALSE))=TRUE,0,VLOOKUP("SOC"&amp;$C1008,ESTR_PREC_SP!$A$2:$G$2000,4,FALSE))</f>
        <v>0</v>
      </c>
      <c r="S1008" s="527"/>
      <c r="T1008" s="545"/>
      <c r="U1008" s="527"/>
      <c r="V1008" s="527"/>
      <c r="W1008" s="527"/>
      <c r="X1008" s="527"/>
      <c r="Y1008" s="527"/>
      <c r="Z1008" s="529">
        <f t="shared" si="200"/>
        <v>0</v>
      </c>
      <c r="AA1008" s="546"/>
      <c r="AB1008" s="545"/>
      <c r="AC1008" s="520"/>
      <c r="AD1008" s="520"/>
      <c r="AE1008" s="520"/>
      <c r="AF1008" s="520"/>
      <c r="AG1008" s="526">
        <f t="shared" si="201"/>
        <v>0</v>
      </c>
      <c r="AH1008" s="526">
        <f t="shared" si="202"/>
        <v>0</v>
      </c>
      <c r="AI1008" s="520"/>
      <c r="AJ1008" s="520"/>
    </row>
    <row r="1009" spans="1:36" s="204" customFormat="1" ht="26.25" x14ac:dyDescent="0.25">
      <c r="B1009" s="287" t="s">
        <v>2544</v>
      </c>
      <c r="C1009" s="287" t="s">
        <v>2545</v>
      </c>
      <c r="D1009" s="284" t="s">
        <v>4083</v>
      </c>
      <c r="E1009" s="274"/>
      <c r="F1009" s="274"/>
      <c r="G1009" s="283"/>
      <c r="H1009" s="266"/>
      <c r="I1009" s="274"/>
      <c r="J1009" s="281"/>
      <c r="K1009" s="281"/>
      <c r="L1009" s="507" t="s">
        <v>4084</v>
      </c>
      <c r="M1009" s="284" t="s">
        <v>2962</v>
      </c>
      <c r="N1009" s="408">
        <f t="shared" si="198"/>
        <v>0</v>
      </c>
      <c r="O1009" s="408">
        <f t="shared" si="199"/>
        <v>0</v>
      </c>
      <c r="P1009" s="271">
        <f t="shared" si="196"/>
        <v>0</v>
      </c>
      <c r="Q1009" s="527"/>
      <c r="R1009" s="354">
        <f>IF(ISERROR(VLOOKUP("SOC"&amp;$C1009,ESTR_PREC_SP!$A$2:$G$2000,4,FALSE))=TRUE,0,VLOOKUP("SOC"&amp;$C1009,ESTR_PREC_SP!$A$2:$G$2000,4,FALSE))</f>
        <v>0</v>
      </c>
      <c r="S1009" s="527"/>
      <c r="T1009" s="545"/>
      <c r="U1009" s="527"/>
      <c r="V1009" s="527"/>
      <c r="W1009" s="527"/>
      <c r="X1009" s="527"/>
      <c r="Y1009" s="527"/>
      <c r="Z1009" s="529">
        <f t="shared" si="200"/>
        <v>0</v>
      </c>
      <c r="AA1009" s="546"/>
      <c r="AB1009" s="545"/>
      <c r="AC1009" s="520"/>
      <c r="AD1009" s="520"/>
      <c r="AE1009" s="520"/>
      <c r="AF1009" s="520"/>
      <c r="AG1009" s="526">
        <f t="shared" si="201"/>
        <v>0</v>
      </c>
      <c r="AH1009" s="526">
        <f t="shared" si="202"/>
        <v>0</v>
      </c>
      <c r="AI1009" s="520"/>
      <c r="AJ1009" s="520"/>
    </row>
    <row r="1010" spans="1:36" s="204" customFormat="1" x14ac:dyDescent="0.25">
      <c r="A1010" s="535" t="s">
        <v>3681</v>
      </c>
      <c r="B1010" s="536" t="s">
        <v>2547</v>
      </c>
      <c r="C1010" s="536" t="s">
        <v>2548</v>
      </c>
      <c r="D1010" s="536"/>
      <c r="E1010" s="536"/>
      <c r="F1010" s="536"/>
      <c r="G1010" s="536"/>
      <c r="H1010" s="536"/>
      <c r="I1010" s="536"/>
      <c r="J1010" s="536"/>
      <c r="K1010" s="536"/>
      <c r="L1010" s="536" t="s">
        <v>2550</v>
      </c>
      <c r="M1010" s="284" t="s">
        <v>2962</v>
      </c>
      <c r="N1010" s="408">
        <f t="shared" si="198"/>
        <v>0</v>
      </c>
      <c r="O1010" s="408">
        <f t="shared" si="199"/>
        <v>0</v>
      </c>
      <c r="P1010" s="271">
        <f t="shared" si="196"/>
        <v>0</v>
      </c>
      <c r="Q1010" s="527"/>
      <c r="R1010" s="354">
        <f>IF(ISERROR(VLOOKUP("SOC"&amp;$C1010,ESTR_PREC_SP!$A$2:$G$2000,4,FALSE))=TRUE,0,VLOOKUP("SOC"&amp;$C1010,ESTR_PREC_SP!$A$2:$G$2000,4,FALSE))</f>
        <v>0</v>
      </c>
      <c r="S1010" s="527"/>
      <c r="T1010" s="545"/>
      <c r="U1010" s="527"/>
      <c r="V1010" s="527"/>
      <c r="W1010" s="527"/>
      <c r="X1010" s="527"/>
      <c r="Y1010" s="527"/>
      <c r="Z1010" s="529">
        <f t="shared" si="200"/>
        <v>0</v>
      </c>
      <c r="AA1010" s="546"/>
      <c r="AB1010" s="545"/>
      <c r="AC1010" s="520"/>
      <c r="AD1010" s="520"/>
      <c r="AE1010" s="520"/>
      <c r="AF1010" s="520"/>
      <c r="AG1010" s="526">
        <f t="shared" si="201"/>
        <v>0</v>
      </c>
      <c r="AH1010" s="526">
        <f t="shared" si="202"/>
        <v>0</v>
      </c>
      <c r="AI1010" s="520"/>
      <c r="AJ1010" s="520"/>
    </row>
    <row r="1011" spans="1:36" s="204" customFormat="1" x14ac:dyDescent="0.25">
      <c r="B1011" s="273" t="s">
        <v>2551</v>
      </c>
      <c r="C1011" s="273" t="s">
        <v>2552</v>
      </c>
      <c r="D1011" s="263" t="s">
        <v>4085</v>
      </c>
      <c r="E1011" s="264"/>
      <c r="F1011" s="264"/>
      <c r="G1011" s="265"/>
      <c r="H1011" s="266"/>
      <c r="I1011" s="264"/>
      <c r="J1011" s="267"/>
      <c r="K1011" s="267"/>
      <c r="L1011" s="488" t="s">
        <v>2554</v>
      </c>
      <c r="M1011" s="284" t="s">
        <v>2962</v>
      </c>
      <c r="N1011" s="378">
        <f>SUM(N1012:N1014)</f>
        <v>0</v>
      </c>
      <c r="O1011" s="378">
        <f>SUM(O1012:O1014)</f>
        <v>0</v>
      </c>
      <c r="P1011" s="378">
        <f t="shared" si="196"/>
        <v>0</v>
      </c>
      <c r="Q1011" s="378">
        <f t="shared" ref="Q1011:AJ1011" si="203">SUM(Q1012:Q1014)</f>
        <v>0</v>
      </c>
      <c r="R1011" s="378">
        <f t="shared" si="203"/>
        <v>0</v>
      </c>
      <c r="S1011" s="378">
        <f t="shared" si="203"/>
        <v>0</v>
      </c>
      <c r="T1011" s="378">
        <f t="shared" si="203"/>
        <v>0</v>
      </c>
      <c r="U1011" s="378">
        <f t="shared" si="203"/>
        <v>0</v>
      </c>
      <c r="V1011" s="378">
        <f t="shared" si="203"/>
        <v>0</v>
      </c>
      <c r="W1011" s="378">
        <f t="shared" si="203"/>
        <v>0</v>
      </c>
      <c r="X1011" s="378">
        <f t="shared" si="203"/>
        <v>0</v>
      </c>
      <c r="Y1011" s="378">
        <f t="shared" si="203"/>
        <v>0</v>
      </c>
      <c r="Z1011" s="378">
        <f t="shared" si="203"/>
        <v>0</v>
      </c>
      <c r="AA1011" s="378">
        <f t="shared" si="203"/>
        <v>0</v>
      </c>
      <c r="AB1011" s="378">
        <f t="shared" si="203"/>
        <v>0</v>
      </c>
      <c r="AC1011" s="378">
        <f t="shared" si="203"/>
        <v>0</v>
      </c>
      <c r="AD1011" s="378">
        <f t="shared" si="203"/>
        <v>0</v>
      </c>
      <c r="AE1011" s="378">
        <f t="shared" si="203"/>
        <v>0</v>
      </c>
      <c r="AF1011" s="378">
        <f t="shared" si="203"/>
        <v>0</v>
      </c>
      <c r="AG1011" s="378">
        <f t="shared" si="203"/>
        <v>0</v>
      </c>
      <c r="AH1011" s="378">
        <f t="shared" si="203"/>
        <v>0</v>
      </c>
      <c r="AI1011" s="378">
        <f t="shared" si="203"/>
        <v>0</v>
      </c>
      <c r="AJ1011" s="378">
        <f t="shared" si="203"/>
        <v>0</v>
      </c>
    </row>
    <row r="1012" spans="1:36" s="204" customFormat="1" x14ac:dyDescent="0.25">
      <c r="B1012" s="287" t="s">
        <v>2555</v>
      </c>
      <c r="C1012" s="287" t="s">
        <v>2556</v>
      </c>
      <c r="D1012" s="284" t="s">
        <v>4086</v>
      </c>
      <c r="E1012" s="274"/>
      <c r="F1012" s="274"/>
      <c r="G1012" s="283"/>
      <c r="H1012" s="266"/>
      <c r="I1012" s="274"/>
      <c r="J1012" s="281"/>
      <c r="K1012" s="281"/>
      <c r="L1012" s="507" t="s">
        <v>4087</v>
      </c>
      <c r="M1012" s="284" t="s">
        <v>2962</v>
      </c>
      <c r="N1012" s="408">
        <f>+R1012</f>
        <v>0</v>
      </c>
      <c r="O1012" s="408">
        <f>+Z1012</f>
        <v>0</v>
      </c>
      <c r="P1012" s="271">
        <f t="shared" si="196"/>
        <v>0</v>
      </c>
      <c r="Q1012" s="527"/>
      <c r="R1012" s="354">
        <f>IF(ISERROR(VLOOKUP("SOC"&amp;$C1012,ESTR_PREC_SP!$A$2:$G$2000,4,FALSE))=TRUE,0,VLOOKUP("SOC"&amp;$C1012,ESTR_PREC_SP!$A$2:$G$2000,4,FALSE))</f>
        <v>0</v>
      </c>
      <c r="S1012" s="527"/>
      <c r="T1012" s="545"/>
      <c r="U1012" s="527"/>
      <c r="V1012" s="527"/>
      <c r="W1012" s="527"/>
      <c r="X1012" s="527"/>
      <c r="Y1012" s="527"/>
      <c r="Z1012" s="529">
        <f>+R1012+S1012+U1012+V1012-X1012-Y1012+W1012+Q1012</f>
        <v>0</v>
      </c>
      <c r="AA1012" s="546"/>
      <c r="AB1012" s="545"/>
      <c r="AC1012" s="520"/>
      <c r="AD1012" s="520"/>
      <c r="AE1012" s="520"/>
      <c r="AF1012" s="520"/>
      <c r="AG1012" s="526">
        <f>+Z1012-SUM(AC1012:AF1012)</f>
        <v>0</v>
      </c>
      <c r="AH1012" s="526">
        <f>+Z1012-SUM(AI1012:AJ1012)</f>
        <v>0</v>
      </c>
      <c r="AI1012" s="520"/>
      <c r="AJ1012" s="520"/>
    </row>
    <row r="1013" spans="1:36" s="204" customFormat="1" x14ac:dyDescent="0.25">
      <c r="B1013" s="287" t="s">
        <v>2559</v>
      </c>
      <c r="C1013" s="287" t="s">
        <v>2560</v>
      </c>
      <c r="D1013" s="284" t="s">
        <v>4088</v>
      </c>
      <c r="E1013" s="274"/>
      <c r="F1013" s="274"/>
      <c r="G1013" s="283"/>
      <c r="H1013" s="266"/>
      <c r="I1013" s="274"/>
      <c r="J1013" s="281"/>
      <c r="K1013" s="281"/>
      <c r="L1013" s="507" t="s">
        <v>4089</v>
      </c>
      <c r="M1013" s="284" t="s">
        <v>2962</v>
      </c>
      <c r="N1013" s="408">
        <f>+R1013</f>
        <v>0</v>
      </c>
      <c r="O1013" s="408">
        <f>+Z1013</f>
        <v>0</v>
      </c>
      <c r="P1013" s="271">
        <f t="shared" si="196"/>
        <v>0</v>
      </c>
      <c r="Q1013" s="527"/>
      <c r="R1013" s="354">
        <f>IF(ISERROR(VLOOKUP("SOC"&amp;$C1013,ESTR_PREC_SP!$A$2:$G$2000,4,FALSE))=TRUE,0,VLOOKUP("SOC"&amp;$C1013,ESTR_PREC_SP!$A$2:$G$2000,4,FALSE))</f>
        <v>0</v>
      </c>
      <c r="S1013" s="527"/>
      <c r="T1013" s="545"/>
      <c r="U1013" s="527"/>
      <c r="V1013" s="527"/>
      <c r="W1013" s="527"/>
      <c r="X1013" s="527"/>
      <c r="Y1013" s="527"/>
      <c r="Z1013" s="529">
        <f>+R1013+S1013+U1013+V1013-X1013-Y1013+W1013+Q1013</f>
        <v>0</v>
      </c>
      <c r="AA1013" s="546"/>
      <c r="AB1013" s="545"/>
      <c r="AC1013" s="520"/>
      <c r="AD1013" s="520"/>
      <c r="AE1013" s="520"/>
      <c r="AF1013" s="520"/>
      <c r="AG1013" s="526">
        <f>+Z1013-SUM(AC1013:AF1013)</f>
        <v>0</v>
      </c>
      <c r="AH1013" s="526">
        <f>+Z1013-SUM(AI1013:AJ1013)</f>
        <v>0</v>
      </c>
      <c r="AI1013" s="520"/>
      <c r="AJ1013" s="520"/>
    </row>
    <row r="1014" spans="1:36" s="204" customFormat="1" x14ac:dyDescent="0.25">
      <c r="A1014" s="535" t="s">
        <v>3681</v>
      </c>
      <c r="B1014" s="536" t="s">
        <v>2562</v>
      </c>
      <c r="C1014" s="536" t="s">
        <v>2563</v>
      </c>
      <c r="D1014" s="536"/>
      <c r="E1014" s="536"/>
      <c r="F1014" s="536"/>
      <c r="G1014" s="536"/>
      <c r="H1014" s="536"/>
      <c r="I1014" s="536"/>
      <c r="J1014" s="536"/>
      <c r="K1014" s="536"/>
      <c r="L1014" s="536" t="s">
        <v>2565</v>
      </c>
      <c r="M1014" s="284" t="s">
        <v>2962</v>
      </c>
      <c r="N1014" s="408">
        <f>+R1014</f>
        <v>0</v>
      </c>
      <c r="O1014" s="408">
        <f>+Z1014</f>
        <v>0</v>
      </c>
      <c r="P1014" s="271">
        <f t="shared" si="196"/>
        <v>0</v>
      </c>
      <c r="Q1014" s="527"/>
      <c r="R1014" s="354">
        <f>IF(ISERROR(VLOOKUP("SOC"&amp;$C1014,ESTR_PREC_SP!$A$2:$G$2000,4,FALSE))=TRUE,0,VLOOKUP("SOC"&amp;$C1014,ESTR_PREC_SP!$A$2:$G$2000,4,FALSE))</f>
        <v>0</v>
      </c>
      <c r="S1014" s="527"/>
      <c r="T1014" s="545"/>
      <c r="U1014" s="527"/>
      <c r="V1014" s="527"/>
      <c r="W1014" s="527"/>
      <c r="X1014" s="527"/>
      <c r="Y1014" s="527"/>
      <c r="Z1014" s="529">
        <f>+R1014+S1014+U1014+V1014-X1014-Y1014+W1014+Q1014</f>
        <v>0</v>
      </c>
      <c r="AA1014" s="546"/>
      <c r="AB1014" s="545"/>
      <c r="AC1014" s="520"/>
      <c r="AD1014" s="520"/>
      <c r="AE1014" s="520"/>
      <c r="AF1014" s="520"/>
      <c r="AG1014" s="526">
        <f>+Z1014-SUM(AC1014:AF1014)</f>
        <v>0</v>
      </c>
      <c r="AH1014" s="526">
        <f>+Z1014-SUM(AI1014:AJ1014)</f>
        <v>0</v>
      </c>
      <c r="AI1014" s="520"/>
      <c r="AJ1014" s="520"/>
    </row>
    <row r="1015" spans="1:36" s="204" customFormat="1" x14ac:dyDescent="0.25">
      <c r="B1015" s="302"/>
      <c r="C1015" s="302"/>
      <c r="D1015" s="226"/>
      <c r="E1015" s="226"/>
      <c r="F1015" s="226"/>
      <c r="G1015" s="226"/>
      <c r="H1015" s="227"/>
      <c r="I1015" s="226"/>
      <c r="J1015" s="226"/>
      <c r="K1015" s="226"/>
      <c r="L1015" s="315"/>
      <c r="M1015" s="216"/>
      <c r="N1015" s="254"/>
      <c r="O1015" s="216"/>
      <c r="P1015" s="216"/>
      <c r="Q1015" s="216"/>
      <c r="R1015" s="216"/>
      <c r="S1015" s="216"/>
      <c r="T1015" s="216"/>
      <c r="U1015" s="216"/>
      <c r="V1015" s="216"/>
      <c r="W1015" s="216"/>
      <c r="X1015" s="216"/>
      <c r="Z1015" s="216"/>
      <c r="AA1015" s="216"/>
      <c r="AB1015" s="216"/>
      <c r="AC1015" s="216"/>
      <c r="AD1015" s="216"/>
    </row>
    <row r="1016" spans="1:36" s="204" customFormat="1" ht="15.75" customHeight="1" x14ac:dyDescent="0.25">
      <c r="B1016" s="302"/>
      <c r="C1016" s="302"/>
      <c r="D1016" s="226"/>
      <c r="E1016" s="226"/>
      <c r="F1016" s="226"/>
      <c r="G1016" s="226"/>
      <c r="H1016" s="227"/>
      <c r="I1016" s="226"/>
      <c r="J1016" s="226"/>
      <c r="K1016" s="226"/>
      <c r="L1016" s="315"/>
      <c r="M1016" s="216"/>
      <c r="N1016" s="254"/>
      <c r="O1016" s="216"/>
      <c r="P1016" s="216"/>
      <c r="Q1016" s="216"/>
      <c r="R1016" s="211"/>
      <c r="S1016" s="211"/>
      <c r="U1016" s="910" t="s">
        <v>3495</v>
      </c>
      <c r="V1016" s="910"/>
      <c r="W1016" s="485"/>
      <c r="X1016" s="903" t="s">
        <v>3496</v>
      </c>
      <c r="Y1016" s="903"/>
      <c r="Z1016" s="211"/>
      <c r="AA1016" s="211"/>
      <c r="AB1016" s="211"/>
      <c r="AC1016" s="904" t="str">
        <f>+AC1001</f>
        <v>VALORE DEI DEBITI AL 31/12/2020 PER ANNO DI FORMAZIONE</v>
      </c>
      <c r="AD1016" s="904"/>
      <c r="AE1016" s="904"/>
      <c r="AF1016" s="904"/>
      <c r="AG1016" s="904"/>
      <c r="AH1016" s="905" t="str">
        <f>+AH1001</f>
        <v>Debiti al 31/12/2020 per scadenza</v>
      </c>
      <c r="AI1016" s="905"/>
      <c r="AJ1016" s="905"/>
    </row>
    <row r="1017" spans="1:36" s="204" customFormat="1" ht="89.25" x14ac:dyDescent="0.25">
      <c r="B1017" s="211"/>
      <c r="C1017" s="211"/>
      <c r="D1017" s="211"/>
      <c r="E1017" s="211"/>
      <c r="F1017" s="211"/>
      <c r="G1017" s="211"/>
      <c r="H1017" s="353"/>
      <c r="I1017" s="211"/>
      <c r="J1017" s="211"/>
      <c r="K1017" s="211"/>
      <c r="L1017" s="255"/>
      <c r="M1017" s="244"/>
      <c r="N1017" s="256" t="str">
        <f>N$15</f>
        <v>Valore netto al 31/12/2019</v>
      </c>
      <c r="O1017" s="256" t="str">
        <f>O$15</f>
        <v>Valore netto al 31/12/2020</v>
      </c>
      <c r="P1017" s="256" t="str">
        <f>P$15</f>
        <v>Variazione</v>
      </c>
      <c r="Q1017" s="262" t="s">
        <v>2971</v>
      </c>
      <c r="R1017" s="346" t="s">
        <v>3517</v>
      </c>
      <c r="S1017" s="262" t="s">
        <v>2972</v>
      </c>
      <c r="T1017" s="486" t="s">
        <v>3995</v>
      </c>
      <c r="U1017" s="337" t="s">
        <v>3996</v>
      </c>
      <c r="V1017" s="337" t="s">
        <v>3495</v>
      </c>
      <c r="W1017" s="262" t="s">
        <v>4391</v>
      </c>
      <c r="X1017" s="338" t="s">
        <v>3498</v>
      </c>
      <c r="Y1017" s="338" t="s">
        <v>3499</v>
      </c>
      <c r="Z1017" s="346" t="s">
        <v>3815</v>
      </c>
      <c r="AA1017" s="497" t="s">
        <v>3997</v>
      </c>
      <c r="AB1017" s="377" t="s">
        <v>3998</v>
      </c>
      <c r="AC1017" s="339" t="s">
        <v>3503</v>
      </c>
      <c r="AD1017" s="339" t="s">
        <v>3504</v>
      </c>
      <c r="AE1017" s="339" t="s">
        <v>3505</v>
      </c>
      <c r="AF1017" s="339" t="s">
        <v>3506</v>
      </c>
      <c r="AG1017" s="339" t="s">
        <v>3507</v>
      </c>
      <c r="AH1017" s="340" t="s">
        <v>3508</v>
      </c>
      <c r="AI1017" s="340" t="s">
        <v>3509</v>
      </c>
      <c r="AJ1017" s="340" t="s">
        <v>3510</v>
      </c>
    </row>
    <row r="1018" spans="1:36" s="204" customFormat="1" x14ac:dyDescent="0.25">
      <c r="B1018" s="292" t="s">
        <v>2566</v>
      </c>
      <c r="C1018" s="292" t="s">
        <v>2567</v>
      </c>
      <c r="D1018" s="247" t="s">
        <v>4090</v>
      </c>
      <c r="E1018" s="247"/>
      <c r="F1018" s="247"/>
      <c r="G1018" s="247"/>
      <c r="H1018" s="248"/>
      <c r="I1018" s="247"/>
      <c r="J1018" s="398"/>
      <c r="K1018" s="399"/>
      <c r="L1018" s="400" t="s">
        <v>2571</v>
      </c>
      <c r="M1018" s="251" t="s">
        <v>2962</v>
      </c>
      <c r="N1018" s="410">
        <f>+R1018</f>
        <v>0</v>
      </c>
      <c r="O1018" s="487">
        <f>+Z1018</f>
        <v>0</v>
      </c>
      <c r="P1018" s="253">
        <f>+O1018-N1018</f>
        <v>0</v>
      </c>
      <c r="Q1018" s="527"/>
      <c r="R1018" s="354">
        <f>IF(ISERROR(VLOOKUP("SOC"&amp;$C1018,ESTR_PREC_SP!$A$2:$G$2000,4,FALSE))=TRUE,0,VLOOKUP("SOC"&amp;$C1018,ESTR_PREC_SP!$A$2:$G$2000,4,FALSE))</f>
        <v>0</v>
      </c>
      <c r="S1018" s="355"/>
      <c r="T1018" s="355"/>
      <c r="U1018" s="527"/>
      <c r="V1018" s="527"/>
      <c r="W1018" s="527"/>
      <c r="X1018" s="527"/>
      <c r="Y1018" s="527"/>
      <c r="Z1018" s="529">
        <f>+R1018+S1018+U1018+V1018-X1018-Y1018+W1018+Q1018</f>
        <v>0</v>
      </c>
      <c r="AA1018" s="355"/>
      <c r="AB1018" s="355"/>
      <c r="AC1018" s="355"/>
      <c r="AD1018" s="355"/>
      <c r="AE1018" s="355"/>
      <c r="AF1018" s="355"/>
      <c r="AG1018" s="355"/>
      <c r="AH1018" s="355"/>
      <c r="AI1018" s="355"/>
      <c r="AJ1018" s="355"/>
    </row>
    <row r="1019" spans="1:36" s="204" customFormat="1" ht="26.25" x14ac:dyDescent="0.25">
      <c r="B1019" s="302"/>
      <c r="C1019" s="302"/>
      <c r="D1019" s="226"/>
      <c r="E1019" s="226"/>
      <c r="F1019" s="226"/>
      <c r="G1019" s="226"/>
      <c r="H1019" s="227"/>
      <c r="I1019" s="226"/>
      <c r="J1019" s="226"/>
      <c r="K1019" s="226"/>
      <c r="L1019" s="232" t="s">
        <v>4091</v>
      </c>
      <c r="M1019" s="216"/>
      <c r="N1019" s="254"/>
      <c r="O1019" s="216"/>
      <c r="P1019" s="216"/>
      <c r="Q1019" s="216"/>
      <c r="R1019" s="216"/>
      <c r="S1019" s="216"/>
      <c r="T1019" s="216"/>
      <c r="U1019" s="216"/>
      <c r="V1019" s="216"/>
      <c r="W1019" s="216"/>
      <c r="X1019" s="216"/>
      <c r="Z1019" s="216"/>
      <c r="AA1019" s="216"/>
      <c r="AB1019" s="216"/>
      <c r="AC1019" s="216"/>
      <c r="AD1019" s="216"/>
    </row>
    <row r="1020" spans="1:36" s="204" customFormat="1" ht="15.75" customHeight="1" x14ac:dyDescent="0.25">
      <c r="B1020" s="302"/>
      <c r="C1020" s="302"/>
      <c r="D1020" s="226"/>
      <c r="E1020" s="226"/>
      <c r="F1020" s="226"/>
      <c r="G1020" s="226"/>
      <c r="H1020" s="227"/>
      <c r="I1020" s="226"/>
      <c r="J1020" s="226"/>
      <c r="K1020" s="226"/>
      <c r="L1020" s="315"/>
      <c r="M1020" s="216"/>
      <c r="N1020" s="254"/>
      <c r="O1020" s="216"/>
      <c r="P1020" s="216"/>
      <c r="Q1020" s="216"/>
      <c r="R1020" s="211"/>
      <c r="S1020" s="211"/>
      <c r="U1020" s="910" t="s">
        <v>3495</v>
      </c>
      <c r="V1020" s="910"/>
      <c r="W1020" s="485"/>
      <c r="X1020" s="903" t="s">
        <v>3496</v>
      </c>
      <c r="Y1020" s="903"/>
      <c r="Z1020" s="211"/>
      <c r="AA1020" s="211"/>
      <c r="AB1020" s="211"/>
      <c r="AC1020" s="904" t="str">
        <f>+AC1016</f>
        <v>VALORE DEI DEBITI AL 31/12/2020 PER ANNO DI FORMAZIONE</v>
      </c>
      <c r="AD1020" s="904"/>
      <c r="AE1020" s="904"/>
      <c r="AF1020" s="904"/>
      <c r="AG1020" s="904"/>
      <c r="AH1020" s="905" t="str">
        <f>+AH1016</f>
        <v>Debiti al 31/12/2020 per scadenza</v>
      </c>
      <c r="AI1020" s="905"/>
      <c r="AJ1020" s="905"/>
    </row>
    <row r="1021" spans="1:36" s="204" customFormat="1" ht="89.25" x14ac:dyDescent="0.25">
      <c r="B1021" s="289"/>
      <c r="C1021" s="289"/>
      <c r="D1021" s="211"/>
      <c r="E1021" s="211"/>
      <c r="F1021" s="211"/>
      <c r="G1021" s="211"/>
      <c r="H1021" s="353"/>
      <c r="I1021" s="211"/>
      <c r="J1021" s="211"/>
      <c r="K1021" s="211"/>
      <c r="L1021" s="255"/>
      <c r="M1021" s="244"/>
      <c r="N1021" s="256" t="str">
        <f>N$15</f>
        <v>Valore netto al 31/12/2019</v>
      </c>
      <c r="O1021" s="256" t="str">
        <f>O$15</f>
        <v>Valore netto al 31/12/2020</v>
      </c>
      <c r="P1021" s="256" t="str">
        <f>P$15</f>
        <v>Variazione</v>
      </c>
      <c r="Q1021" s="262" t="s">
        <v>2971</v>
      </c>
      <c r="R1021" s="346" t="s">
        <v>3517</v>
      </c>
      <c r="S1021" s="262" t="s">
        <v>2972</v>
      </c>
      <c r="T1021" s="486" t="s">
        <v>3995</v>
      </c>
      <c r="U1021" s="337" t="s">
        <v>3996</v>
      </c>
      <c r="V1021" s="337" t="s">
        <v>3495</v>
      </c>
      <c r="W1021" s="262" t="s">
        <v>4391</v>
      </c>
      <c r="X1021" s="338" t="s">
        <v>3498</v>
      </c>
      <c r="Y1021" s="338" t="s">
        <v>3499</v>
      </c>
      <c r="Z1021" s="346" t="s">
        <v>3815</v>
      </c>
      <c r="AA1021" s="497" t="s">
        <v>3997</v>
      </c>
      <c r="AB1021" s="377" t="s">
        <v>3998</v>
      </c>
      <c r="AC1021" s="339" t="s">
        <v>3503</v>
      </c>
      <c r="AD1021" s="339" t="s">
        <v>3504</v>
      </c>
      <c r="AE1021" s="339" t="s">
        <v>3505</v>
      </c>
      <c r="AF1021" s="339" t="s">
        <v>3506</v>
      </c>
      <c r="AG1021" s="339" t="s">
        <v>3507</v>
      </c>
      <c r="AH1021" s="340" t="s">
        <v>3508</v>
      </c>
      <c r="AI1021" s="340" t="s">
        <v>3509</v>
      </c>
      <c r="AJ1021" s="340" t="s">
        <v>3510</v>
      </c>
    </row>
    <row r="1022" spans="1:36" s="217" customFormat="1" x14ac:dyDescent="0.25">
      <c r="A1022" s="204"/>
      <c r="B1022" s="292" t="s">
        <v>2572</v>
      </c>
      <c r="C1022" s="292" t="s">
        <v>2573</v>
      </c>
      <c r="D1022" s="247" t="s">
        <v>4092</v>
      </c>
      <c r="E1022" s="247"/>
      <c r="F1022" s="247"/>
      <c r="G1022" s="247"/>
      <c r="H1022" s="248"/>
      <c r="I1022" s="247"/>
      <c r="J1022" s="398"/>
      <c r="K1022" s="399"/>
      <c r="L1022" s="400" t="s">
        <v>2577</v>
      </c>
      <c r="M1022" s="251" t="s">
        <v>2962</v>
      </c>
      <c r="N1022" s="410">
        <f>+R1022</f>
        <v>0</v>
      </c>
      <c r="O1022" s="487">
        <f>+Z1022</f>
        <v>0</v>
      </c>
      <c r="P1022" s="253">
        <f>+O1022-N1022</f>
        <v>0</v>
      </c>
      <c r="Q1022" s="527"/>
      <c r="R1022" s="354">
        <f>IF(ISERROR(VLOOKUP("SOC"&amp;$C1022,ESTR_PREC_SP!$A$2:$G$2000,4,FALSE))=TRUE,0,VLOOKUP("SOC"&amp;$C1022,ESTR_PREC_SP!$A$2:$G$2000,4,FALSE))</f>
        <v>0</v>
      </c>
      <c r="S1022" s="355"/>
      <c r="T1022" s="355"/>
      <c r="U1022" s="527"/>
      <c r="V1022" s="527"/>
      <c r="W1022" s="527"/>
      <c r="X1022" s="527"/>
      <c r="Y1022" s="527"/>
      <c r="Z1022" s="529">
        <f>+R1022+S1022+U1022+V1022-X1022-Y1022+W1022+Q1022</f>
        <v>0</v>
      </c>
      <c r="AA1022" s="355"/>
      <c r="AB1022" s="355"/>
      <c r="AC1022" s="520"/>
      <c r="AD1022" s="520"/>
      <c r="AE1022" s="520"/>
      <c r="AF1022" s="520"/>
      <c r="AG1022" s="526">
        <f>+Z1022-SUM(AC1022:AF1022)</f>
        <v>0</v>
      </c>
      <c r="AH1022" s="526">
        <f>+Z1022-SUM(AI1022:AJ1022)</f>
        <v>0</v>
      </c>
      <c r="AI1022" s="520"/>
      <c r="AJ1022" s="520"/>
    </row>
    <row r="1023" spans="1:36" s="204" customFormat="1" x14ac:dyDescent="0.25">
      <c r="B1023" s="302"/>
      <c r="C1023" s="302"/>
      <c r="D1023" s="226"/>
      <c r="E1023" s="226"/>
      <c r="F1023" s="226"/>
      <c r="G1023" s="226"/>
      <c r="H1023" s="227"/>
      <c r="I1023" s="226"/>
      <c r="J1023" s="226"/>
      <c r="K1023" s="226"/>
      <c r="L1023" s="315"/>
      <c r="M1023" s="216"/>
      <c r="N1023" s="254"/>
      <c r="O1023" s="216"/>
      <c r="P1023" s="216"/>
      <c r="Q1023" s="216"/>
      <c r="R1023" s="216"/>
      <c r="S1023" s="216"/>
      <c r="T1023" s="216"/>
      <c r="U1023" s="216"/>
      <c r="V1023" s="216"/>
      <c r="W1023" s="216"/>
      <c r="X1023" s="216"/>
      <c r="Z1023" s="216"/>
      <c r="AA1023" s="216"/>
      <c r="AB1023" s="216"/>
      <c r="AC1023" s="216"/>
      <c r="AD1023" s="216"/>
    </row>
    <row r="1024" spans="1:36" s="204" customFormat="1" ht="15.75" customHeight="1" x14ac:dyDescent="0.25">
      <c r="B1024" s="302"/>
      <c r="C1024" s="302"/>
      <c r="D1024" s="226"/>
      <c r="E1024" s="226"/>
      <c r="F1024" s="226"/>
      <c r="G1024" s="226"/>
      <c r="H1024" s="227"/>
      <c r="I1024" s="226"/>
      <c r="J1024" s="226"/>
      <c r="K1024" s="226"/>
      <c r="L1024" s="315"/>
      <c r="M1024" s="216"/>
      <c r="N1024" s="254"/>
      <c r="O1024" s="216"/>
      <c r="P1024" s="216"/>
      <c r="Q1024" s="216"/>
      <c r="R1024" s="211"/>
      <c r="S1024" s="211"/>
      <c r="U1024" s="910" t="s">
        <v>3495</v>
      </c>
      <c r="V1024" s="910"/>
      <c r="W1024" s="485"/>
      <c r="X1024" s="903" t="s">
        <v>3496</v>
      </c>
      <c r="Y1024" s="903"/>
      <c r="Z1024" s="211"/>
      <c r="AA1024" s="211"/>
      <c r="AB1024" s="211"/>
      <c r="AC1024" s="904" t="str">
        <f>+AC1020</f>
        <v>VALORE DEI DEBITI AL 31/12/2020 PER ANNO DI FORMAZIONE</v>
      </c>
      <c r="AD1024" s="904"/>
      <c r="AE1024" s="904"/>
      <c r="AF1024" s="904"/>
      <c r="AG1024" s="904"/>
      <c r="AH1024" s="905" t="str">
        <f>+AH1020</f>
        <v>Debiti al 31/12/2020 per scadenza</v>
      </c>
      <c r="AI1024" s="905"/>
      <c r="AJ1024" s="905"/>
    </row>
    <row r="1025" spans="1:36" s="217" customFormat="1" ht="89.25" x14ac:dyDescent="0.25">
      <c r="A1025" s="204"/>
      <c r="B1025" s="289"/>
      <c r="C1025" s="289"/>
      <c r="D1025" s="211"/>
      <c r="E1025" s="211"/>
      <c r="F1025" s="211"/>
      <c r="G1025" s="211"/>
      <c r="H1025" s="353"/>
      <c r="I1025" s="211"/>
      <c r="J1025" s="211"/>
      <c r="K1025" s="211"/>
      <c r="L1025" s="255"/>
      <c r="M1025" s="244"/>
      <c r="N1025" s="256" t="str">
        <f>N$15</f>
        <v>Valore netto al 31/12/2019</v>
      </c>
      <c r="O1025" s="256" t="str">
        <f>O$15</f>
        <v>Valore netto al 31/12/2020</v>
      </c>
      <c r="P1025" s="256" t="str">
        <f>P$15</f>
        <v>Variazione</v>
      </c>
      <c r="Q1025" s="262" t="s">
        <v>2971</v>
      </c>
      <c r="R1025" s="346" t="s">
        <v>3517</v>
      </c>
      <c r="S1025" s="262" t="s">
        <v>2972</v>
      </c>
      <c r="T1025" s="486" t="s">
        <v>3995</v>
      </c>
      <c r="U1025" s="337" t="s">
        <v>3996</v>
      </c>
      <c r="V1025" s="337" t="s">
        <v>3495</v>
      </c>
      <c r="W1025" s="262" t="s">
        <v>4391</v>
      </c>
      <c r="X1025" s="338" t="s">
        <v>3498</v>
      </c>
      <c r="Y1025" s="338" t="s">
        <v>3499</v>
      </c>
      <c r="Z1025" s="346" t="s">
        <v>3815</v>
      </c>
      <c r="AA1025" s="497" t="s">
        <v>3997</v>
      </c>
      <c r="AB1025" s="377" t="s">
        <v>3998</v>
      </c>
      <c r="AC1025" s="339" t="s">
        <v>3503</v>
      </c>
      <c r="AD1025" s="339" t="s">
        <v>3504</v>
      </c>
      <c r="AE1025" s="339" t="s">
        <v>3505</v>
      </c>
      <c r="AF1025" s="339" t="s">
        <v>3506</v>
      </c>
      <c r="AG1025" s="339" t="s">
        <v>3507</v>
      </c>
      <c r="AH1025" s="340" t="s">
        <v>3508</v>
      </c>
      <c r="AI1025" s="340" t="s">
        <v>3509</v>
      </c>
      <c r="AJ1025" s="340" t="s">
        <v>3510</v>
      </c>
    </row>
    <row r="1026" spans="1:36" s="217" customFormat="1" x14ac:dyDescent="0.25">
      <c r="A1026" s="204"/>
      <c r="B1026" s="292" t="s">
        <v>2578</v>
      </c>
      <c r="C1026" s="292" t="s">
        <v>2579</v>
      </c>
      <c r="D1026" s="247" t="s">
        <v>4093</v>
      </c>
      <c r="E1026" s="247"/>
      <c r="F1026" s="247"/>
      <c r="G1026" s="247"/>
      <c r="H1026" s="248"/>
      <c r="I1026" s="247"/>
      <c r="J1026" s="398"/>
      <c r="K1026" s="399"/>
      <c r="L1026" s="400" t="s">
        <v>2583</v>
      </c>
      <c r="M1026" s="251" t="s">
        <v>2962</v>
      </c>
      <c r="N1026" s="410">
        <f>+R1026</f>
        <v>0</v>
      </c>
      <c r="O1026" s="487">
        <f>+Z1026</f>
        <v>0</v>
      </c>
      <c r="P1026" s="253">
        <f>+O1026-N1026</f>
        <v>0</v>
      </c>
      <c r="Q1026" s="527"/>
      <c r="R1026" s="354">
        <f>IF(ISERROR(VLOOKUP("SOC"&amp;$C1026,ESTR_PREC_SP!$A$2:$G$2000,4,FALSE))=TRUE,0,VLOOKUP("SOC"&amp;$C1026,ESTR_PREC_SP!$A$2:$G$2000,4,FALSE))</f>
        <v>0</v>
      </c>
      <c r="S1026" s="355"/>
      <c r="T1026" s="355"/>
      <c r="U1026" s="527"/>
      <c r="V1026" s="527"/>
      <c r="W1026" s="527"/>
      <c r="X1026" s="527"/>
      <c r="Y1026" s="527"/>
      <c r="Z1026" s="529">
        <f>+R1026+S1026+U1026+V1026-X1026-Y1026+W1026+Q1026</f>
        <v>0</v>
      </c>
      <c r="AA1026" s="355"/>
      <c r="AB1026" s="355"/>
      <c r="AC1026" s="520"/>
      <c r="AD1026" s="520"/>
      <c r="AE1026" s="520"/>
      <c r="AF1026" s="520"/>
      <c r="AG1026" s="526">
        <f>+Z1026-SUM(AC1026:AF1026)</f>
        <v>0</v>
      </c>
      <c r="AH1026" s="526">
        <f>+Z1026-SUM(AI1026:AJ1026)</f>
        <v>0</v>
      </c>
      <c r="AI1026" s="520"/>
      <c r="AJ1026" s="520"/>
    </row>
    <row r="1027" spans="1:36" s="204" customFormat="1" x14ac:dyDescent="0.25">
      <c r="B1027" s="302"/>
      <c r="C1027" s="302"/>
      <c r="D1027" s="226"/>
      <c r="E1027" s="226"/>
      <c r="F1027" s="226"/>
      <c r="G1027" s="226"/>
      <c r="H1027" s="227"/>
      <c r="I1027" s="226"/>
      <c r="J1027" s="226"/>
      <c r="K1027" s="226"/>
      <c r="L1027" s="315"/>
      <c r="M1027" s="216"/>
      <c r="N1027" s="254"/>
      <c r="O1027" s="216"/>
      <c r="P1027" s="216"/>
      <c r="Q1027" s="216"/>
      <c r="R1027" s="216"/>
      <c r="S1027" s="216"/>
      <c r="T1027" s="216"/>
      <c r="U1027" s="216"/>
      <c r="V1027" s="216"/>
      <c r="W1027" s="216"/>
      <c r="X1027" s="216"/>
      <c r="Z1027" s="216"/>
      <c r="AA1027" s="216"/>
      <c r="AB1027" s="216"/>
      <c r="AC1027" s="216"/>
      <c r="AD1027" s="216"/>
    </row>
    <row r="1028" spans="1:36" s="204" customFormat="1" x14ac:dyDescent="0.25">
      <c r="B1028" s="302"/>
      <c r="C1028" s="302"/>
      <c r="D1028" s="226"/>
      <c r="E1028" s="226"/>
      <c r="F1028" s="226"/>
      <c r="G1028" s="226"/>
      <c r="H1028" s="227"/>
      <c r="I1028" s="226"/>
      <c r="J1028" s="226"/>
      <c r="K1028" s="226"/>
      <c r="L1028" s="315"/>
      <c r="M1028" s="216"/>
      <c r="N1028" s="254"/>
      <c r="O1028" s="216"/>
      <c r="P1028" s="216"/>
      <c r="Q1028" s="216"/>
      <c r="R1028" s="216"/>
      <c r="S1028" s="216"/>
      <c r="T1028" s="216"/>
      <c r="U1028" s="216"/>
      <c r="V1028" s="216"/>
      <c r="W1028" s="216"/>
      <c r="X1028" s="216"/>
      <c r="Z1028" s="216"/>
      <c r="AA1028" s="216"/>
      <c r="AB1028" s="216"/>
      <c r="AC1028" s="216"/>
      <c r="AD1028" s="216"/>
    </row>
    <row r="1029" spans="1:36" s="204" customFormat="1" x14ac:dyDescent="0.25">
      <c r="B1029" s="302"/>
      <c r="C1029" s="302"/>
      <c r="D1029" s="226"/>
      <c r="E1029" s="226"/>
      <c r="F1029" s="226"/>
      <c r="G1029" s="226"/>
      <c r="H1029" s="227"/>
      <c r="I1029" s="226"/>
      <c r="J1029" s="226"/>
      <c r="K1029" s="226"/>
      <c r="L1029" s="315"/>
      <c r="M1029" s="216"/>
      <c r="N1029" s="254"/>
      <c r="O1029" s="216"/>
      <c r="P1029" s="216"/>
      <c r="Q1029" s="216"/>
      <c r="R1029" s="216"/>
      <c r="S1029" s="216"/>
      <c r="T1029" s="216"/>
      <c r="U1029" s="216"/>
      <c r="V1029" s="216"/>
      <c r="W1029" s="216"/>
      <c r="X1029" s="216"/>
      <c r="Z1029" s="216"/>
      <c r="AA1029" s="216"/>
      <c r="AB1029" s="216"/>
      <c r="AC1029" s="216"/>
      <c r="AD1029" s="216"/>
    </row>
    <row r="1030" spans="1:36" s="204" customFormat="1" x14ac:dyDescent="0.25">
      <c r="B1030" s="292" t="s">
        <v>2584</v>
      </c>
      <c r="C1030" s="292" t="s">
        <v>2585</v>
      </c>
      <c r="D1030" s="247" t="s">
        <v>4094</v>
      </c>
      <c r="E1030" s="247"/>
      <c r="F1030" s="247"/>
      <c r="G1030" s="247"/>
      <c r="H1030" s="248"/>
      <c r="I1030" s="247"/>
      <c r="J1030" s="247"/>
      <c r="K1030" s="249"/>
      <c r="L1030" s="441" t="s">
        <v>2587</v>
      </c>
      <c r="M1030" s="251" t="s">
        <v>2962</v>
      </c>
      <c r="N1030" s="252">
        <f>+N1034+N1035+N1042+N1043</f>
        <v>0</v>
      </c>
      <c r="O1030" s="252">
        <f>+O1034+O1035+O1042+O1043</f>
        <v>0</v>
      </c>
      <c r="P1030" s="253">
        <f>+O1030-N1030</f>
        <v>0</v>
      </c>
      <c r="Q1030" s="252">
        <f t="shared" ref="Q1030:AJ1030" si="204">+Q1034+Q1035+Q1042+Q1043</f>
        <v>0</v>
      </c>
      <c r="R1030" s="252">
        <f t="shared" si="204"/>
        <v>0</v>
      </c>
      <c r="S1030" s="252">
        <f t="shared" si="204"/>
        <v>0</v>
      </c>
      <c r="T1030" s="252">
        <f t="shared" si="204"/>
        <v>0</v>
      </c>
      <c r="U1030" s="252">
        <f t="shared" si="204"/>
        <v>0</v>
      </c>
      <c r="V1030" s="252">
        <f t="shared" si="204"/>
        <v>0</v>
      </c>
      <c r="W1030" s="252">
        <f t="shared" si="204"/>
        <v>0</v>
      </c>
      <c r="X1030" s="252">
        <f t="shared" si="204"/>
        <v>0</v>
      </c>
      <c r="Y1030" s="252">
        <f t="shared" si="204"/>
        <v>0</v>
      </c>
      <c r="Z1030" s="252">
        <f t="shared" si="204"/>
        <v>0</v>
      </c>
      <c r="AA1030" s="252">
        <f t="shared" si="204"/>
        <v>0</v>
      </c>
      <c r="AB1030" s="252">
        <f t="shared" si="204"/>
        <v>0</v>
      </c>
      <c r="AC1030" s="252">
        <f t="shared" si="204"/>
        <v>0</v>
      </c>
      <c r="AD1030" s="252">
        <f t="shared" si="204"/>
        <v>0</v>
      </c>
      <c r="AE1030" s="252">
        <f t="shared" si="204"/>
        <v>0</v>
      </c>
      <c r="AF1030" s="252">
        <f t="shared" si="204"/>
        <v>0</v>
      </c>
      <c r="AG1030" s="252">
        <f t="shared" si="204"/>
        <v>0</v>
      </c>
      <c r="AH1030" s="252">
        <f t="shared" si="204"/>
        <v>0</v>
      </c>
      <c r="AI1030" s="252">
        <f t="shared" si="204"/>
        <v>0</v>
      </c>
      <c r="AJ1030" s="252">
        <f t="shared" si="204"/>
        <v>0</v>
      </c>
    </row>
    <row r="1031" spans="1:36" s="204" customFormat="1" x14ac:dyDescent="0.25">
      <c r="B1031" s="298"/>
      <c r="C1031" s="298"/>
      <c r="D1031" s="226"/>
      <c r="E1031" s="226"/>
      <c r="F1031" s="226"/>
      <c r="G1031" s="226"/>
      <c r="H1031" s="227"/>
      <c r="I1031" s="226"/>
      <c r="J1031" s="226"/>
      <c r="K1031" s="226"/>
      <c r="L1031" s="403"/>
      <c r="M1031" s="278"/>
      <c r="N1031" s="279"/>
      <c r="O1031" s="279"/>
      <c r="P1031" s="404"/>
      <c r="Q1031" s="216"/>
      <c r="R1031" s="279"/>
      <c r="S1031" s="216"/>
      <c r="T1031" s="216"/>
      <c r="U1031" s="216"/>
      <c r="V1031" s="216"/>
      <c r="W1031" s="216"/>
      <c r="X1031" s="216"/>
      <c r="Z1031" s="216"/>
      <c r="AA1031" s="216"/>
      <c r="AB1031" s="216"/>
      <c r="AC1031" s="216"/>
      <c r="AD1031" s="216"/>
    </row>
    <row r="1032" spans="1:36" s="204" customFormat="1" ht="15.75" customHeight="1" x14ac:dyDescent="0.25">
      <c r="B1032" s="293"/>
      <c r="C1032" s="293"/>
      <c r="D1032" s="230"/>
      <c r="E1032" s="230"/>
      <c r="F1032" s="230"/>
      <c r="G1032" s="230"/>
      <c r="H1032" s="231"/>
      <c r="I1032" s="230"/>
      <c r="J1032" s="230"/>
      <c r="K1032" s="230"/>
      <c r="L1032" s="232"/>
      <c r="M1032" s="211"/>
      <c r="N1032" s="254"/>
      <c r="O1032" s="211"/>
      <c r="P1032" s="211"/>
      <c r="Q1032" s="216"/>
      <c r="R1032" s="211"/>
      <c r="S1032" s="211"/>
      <c r="U1032" s="910" t="s">
        <v>3495</v>
      </c>
      <c r="V1032" s="910"/>
      <c r="W1032" s="485"/>
      <c r="X1032" s="903" t="s">
        <v>3496</v>
      </c>
      <c r="Y1032" s="903"/>
      <c r="Z1032" s="211"/>
      <c r="AA1032" s="211"/>
      <c r="AB1032" s="211"/>
      <c r="AC1032" s="904" t="str">
        <f>+AC1024</f>
        <v>VALORE DEI DEBITI AL 31/12/2020 PER ANNO DI FORMAZIONE</v>
      </c>
      <c r="AD1032" s="904"/>
      <c r="AE1032" s="904"/>
      <c r="AF1032" s="904"/>
      <c r="AG1032" s="904"/>
      <c r="AH1032" s="905" t="str">
        <f>+AH1024</f>
        <v>Debiti al 31/12/2020 per scadenza</v>
      </c>
      <c r="AI1032" s="905"/>
      <c r="AJ1032" s="905"/>
    </row>
    <row r="1033" spans="1:36" s="217" customFormat="1" ht="89.25" x14ac:dyDescent="0.25">
      <c r="A1033" s="204"/>
      <c r="B1033" s="294" t="s">
        <v>2968</v>
      </c>
      <c r="C1033" s="294" t="s">
        <v>2969</v>
      </c>
      <c r="D1033" s="206" t="s">
        <v>72</v>
      </c>
      <c r="E1033" s="206"/>
      <c r="F1033" s="206"/>
      <c r="G1033" s="207"/>
      <c r="H1033" s="207"/>
      <c r="I1033" s="207"/>
      <c r="J1033" s="207" t="s">
        <v>2957</v>
      </c>
      <c r="K1033" s="206" t="s">
        <v>82</v>
      </c>
      <c r="L1033" s="431" t="s">
        <v>3670</v>
      </c>
      <c r="M1033" s="480"/>
      <c r="N1033" s="256" t="str">
        <f>N$15</f>
        <v>Valore netto al 31/12/2019</v>
      </c>
      <c r="O1033" s="256" t="str">
        <f>O$15</f>
        <v>Valore netto al 31/12/2020</v>
      </c>
      <c r="P1033" s="256" t="str">
        <f>P$15</f>
        <v>Variazione</v>
      </c>
      <c r="Q1033" s="262" t="s">
        <v>2971</v>
      </c>
      <c r="R1033" s="262" t="s">
        <v>3517</v>
      </c>
      <c r="S1033" s="262" t="s">
        <v>2972</v>
      </c>
      <c r="T1033" s="486" t="s">
        <v>3995</v>
      </c>
      <c r="U1033" s="337" t="s">
        <v>3996</v>
      </c>
      <c r="V1033" s="337" t="s">
        <v>3495</v>
      </c>
      <c r="W1033" s="262" t="s">
        <v>4391</v>
      </c>
      <c r="X1033" s="338" t="s">
        <v>3498</v>
      </c>
      <c r="Y1033" s="338" t="s">
        <v>3499</v>
      </c>
      <c r="Z1033" s="262" t="s">
        <v>3815</v>
      </c>
      <c r="AA1033" s="377" t="s">
        <v>3997</v>
      </c>
      <c r="AB1033" s="377" t="s">
        <v>3998</v>
      </c>
      <c r="AC1033" s="339" t="s">
        <v>3503</v>
      </c>
      <c r="AD1033" s="339" t="s">
        <v>3504</v>
      </c>
      <c r="AE1033" s="339" t="s">
        <v>3505</v>
      </c>
      <c r="AF1033" s="339" t="s">
        <v>3506</v>
      </c>
      <c r="AG1033" s="339" t="s">
        <v>3507</v>
      </c>
      <c r="AH1033" s="340" t="s">
        <v>3508</v>
      </c>
      <c r="AI1033" s="340" t="s">
        <v>3509</v>
      </c>
      <c r="AJ1033" s="340" t="s">
        <v>3510</v>
      </c>
    </row>
    <row r="1034" spans="1:36" s="217" customFormat="1" x14ac:dyDescent="0.25">
      <c r="A1034" s="204"/>
      <c r="B1034" s="287" t="s">
        <v>2588</v>
      </c>
      <c r="C1034" s="287" t="s">
        <v>2589</v>
      </c>
      <c r="D1034" s="380" t="s">
        <v>4095</v>
      </c>
      <c r="E1034" s="274"/>
      <c r="F1034" s="274"/>
      <c r="G1034" s="283"/>
      <c r="H1034" s="266"/>
      <c r="I1034" s="274"/>
      <c r="J1034" s="281"/>
      <c r="K1034" s="281"/>
      <c r="L1034" s="295" t="s">
        <v>2592</v>
      </c>
      <c r="M1034" s="284" t="s">
        <v>2962</v>
      </c>
      <c r="N1034" s="408">
        <f>+R1034</f>
        <v>0</v>
      </c>
      <c r="O1034" s="408">
        <f>+Z1034</f>
        <v>0</v>
      </c>
      <c r="P1034" s="271">
        <f>+O1034-N1034</f>
        <v>0</v>
      </c>
      <c r="Q1034" s="520"/>
      <c r="R1034" s="354">
        <f>IF(ISERROR(VLOOKUP("SOC"&amp;$C1034,ESTR_PREC_SP!$A$2:$G$2000,4,FALSE))=TRUE,0,VLOOKUP("SOC"&amp;$C1034,ESTR_PREC_SP!$A$2:$G$2000,4,FALSE))</f>
        <v>0</v>
      </c>
      <c r="S1034" s="355"/>
      <c r="T1034" s="544"/>
      <c r="U1034" s="520"/>
      <c r="V1034" s="520"/>
      <c r="W1034" s="520"/>
      <c r="X1034" s="520"/>
      <c r="Y1034" s="520"/>
      <c r="Z1034" s="269">
        <f>+R1034+S1034+U1034+V1034-X1034-Y1034+W1034+Q1034</f>
        <v>0</v>
      </c>
      <c r="AA1034" s="534"/>
      <c r="AB1034" s="544"/>
      <c r="AC1034" s="520"/>
      <c r="AD1034" s="520"/>
      <c r="AE1034" s="520"/>
      <c r="AF1034" s="520"/>
      <c r="AG1034" s="526">
        <f>+Z1034-SUM(AC1034:AF1034)</f>
        <v>0</v>
      </c>
      <c r="AH1034" s="526">
        <f>+Z1034-SUM(AI1034:AJ1034)</f>
        <v>0</v>
      </c>
      <c r="AI1034" s="520"/>
      <c r="AJ1034" s="520"/>
    </row>
    <row r="1035" spans="1:36" s="217" customFormat="1" x14ac:dyDescent="0.25">
      <c r="A1035" s="204"/>
      <c r="B1035" s="287" t="s">
        <v>2593</v>
      </c>
      <c r="C1035" s="287" t="s">
        <v>2594</v>
      </c>
      <c r="D1035" s="380" t="s">
        <v>4096</v>
      </c>
      <c r="E1035" s="274"/>
      <c r="F1035" s="274"/>
      <c r="G1035" s="283"/>
      <c r="H1035" s="266"/>
      <c r="I1035" s="274"/>
      <c r="J1035" s="281"/>
      <c r="K1035" s="281"/>
      <c r="L1035" s="295" t="s">
        <v>2597</v>
      </c>
      <c r="M1035" s="284" t="s">
        <v>2962</v>
      </c>
      <c r="N1035" s="378">
        <f>SUM(N1036:N1041)</f>
        <v>0</v>
      </c>
      <c r="O1035" s="378">
        <f>SUM(O1036:O1041)</f>
        <v>0</v>
      </c>
      <c r="P1035" s="378">
        <f>+O1035-N1035</f>
        <v>0</v>
      </c>
      <c r="Q1035" s="378">
        <f>SUM(Q1036:Q1041)</f>
        <v>0</v>
      </c>
      <c r="R1035" s="378">
        <f>SUM(R1037:R1041)</f>
        <v>0</v>
      </c>
      <c r="S1035" s="355"/>
      <c r="T1035" s="378">
        <f t="shared" ref="T1035:AF1035" si="205">SUM(T1036:T1041)</f>
        <v>0</v>
      </c>
      <c r="U1035" s="378">
        <f t="shared" si="205"/>
        <v>0</v>
      </c>
      <c r="V1035" s="378">
        <f t="shared" si="205"/>
        <v>0</v>
      </c>
      <c r="W1035" s="378">
        <f t="shared" si="205"/>
        <v>0</v>
      </c>
      <c r="X1035" s="378">
        <f t="shared" si="205"/>
        <v>0</v>
      </c>
      <c r="Y1035" s="378">
        <f t="shared" si="205"/>
        <v>0</v>
      </c>
      <c r="Z1035" s="540">
        <f t="shared" si="205"/>
        <v>0</v>
      </c>
      <c r="AA1035" s="378">
        <f t="shared" si="205"/>
        <v>0</v>
      </c>
      <c r="AB1035" s="378">
        <f t="shared" si="205"/>
        <v>0</v>
      </c>
      <c r="AC1035" s="378">
        <f t="shared" si="205"/>
        <v>0</v>
      </c>
      <c r="AD1035" s="378">
        <f t="shared" si="205"/>
        <v>0</v>
      </c>
      <c r="AE1035" s="378">
        <f t="shared" si="205"/>
        <v>0</v>
      </c>
      <c r="AF1035" s="378">
        <f t="shared" si="205"/>
        <v>0</v>
      </c>
      <c r="AG1035" s="537">
        <f>+Z1035-SUM(AC1035:AF1035)</f>
        <v>0</v>
      </c>
      <c r="AH1035" s="537">
        <f>+Z1035-SUM(AI1035:AJ1035)</f>
        <v>0</v>
      </c>
      <c r="AI1035" s="378">
        <f>SUM(AI1036:AI1041)</f>
        <v>0</v>
      </c>
      <c r="AJ1035" s="378">
        <f>SUM(AJ1036:AJ1041)</f>
        <v>0</v>
      </c>
    </row>
    <row r="1036" spans="1:36" s="217" customFormat="1" x14ac:dyDescent="0.25">
      <c r="A1036" s="204"/>
      <c r="B1036" s="287" t="s">
        <v>2598</v>
      </c>
      <c r="C1036" s="287" t="s">
        <v>2599</v>
      </c>
      <c r="D1036" s="380" t="s">
        <v>4098</v>
      </c>
      <c r="E1036" s="274"/>
      <c r="F1036" s="274"/>
      <c r="G1036" s="283"/>
      <c r="H1036" s="266"/>
      <c r="I1036" s="274"/>
      <c r="J1036" s="281"/>
      <c r="K1036" s="281"/>
      <c r="L1036" s="430" t="s">
        <v>4099</v>
      </c>
      <c r="M1036" s="284" t="s">
        <v>2962</v>
      </c>
      <c r="N1036" s="355"/>
      <c r="O1036" s="355"/>
      <c r="P1036" s="355"/>
      <c r="Q1036" s="355"/>
      <c r="R1036" s="660">
        <f>IF(ISERROR(VLOOKUP("SOC"&amp;$C1036,ESTR_PREC_SP!$A$2:$G$2000,4,FALSE))=TRUE,0,VLOOKUP("SOC"&amp;$C1036,ESTR_PREC_SP!$A$2:$G$2000,4,FALSE))</f>
        <v>0</v>
      </c>
      <c r="S1036" s="355"/>
      <c r="T1036" s="355"/>
      <c r="U1036" s="355"/>
      <c r="V1036" s="355"/>
      <c r="W1036" s="355"/>
      <c r="X1036" s="355"/>
      <c r="Y1036" s="355"/>
      <c r="Z1036" s="355"/>
      <c r="AA1036" s="355"/>
      <c r="AB1036" s="355"/>
      <c r="AC1036" s="355"/>
      <c r="AD1036" s="355"/>
      <c r="AE1036" s="355"/>
      <c r="AF1036" s="355"/>
      <c r="AG1036" s="355"/>
      <c r="AH1036" s="355"/>
      <c r="AI1036" s="355"/>
      <c r="AJ1036" s="355"/>
    </row>
    <row r="1037" spans="1:36" s="217" customFormat="1" x14ac:dyDescent="0.25">
      <c r="A1037" s="204"/>
      <c r="B1037" s="287" t="s">
        <v>2601</v>
      </c>
      <c r="C1037" s="287" t="s">
        <v>2602</v>
      </c>
      <c r="D1037" s="287"/>
      <c r="E1037" s="411"/>
      <c r="F1037" s="411"/>
      <c r="G1037" s="412"/>
      <c r="H1037" s="413"/>
      <c r="I1037" s="411"/>
      <c r="J1037" s="411"/>
      <c r="K1037" s="411"/>
      <c r="L1037" s="508" t="s">
        <v>4100</v>
      </c>
      <c r="M1037" s="284" t="s">
        <v>2962</v>
      </c>
      <c r="N1037" s="408">
        <f t="shared" ref="N1037:N1042" si="206">+R1037</f>
        <v>0</v>
      </c>
      <c r="O1037" s="408">
        <f t="shared" ref="O1037:O1045" si="207">+Z1037</f>
        <v>0</v>
      </c>
      <c r="P1037" s="271">
        <f t="shared" ref="P1037:P1050" si="208">+O1037-N1037</f>
        <v>0</v>
      </c>
      <c r="Q1037" s="527"/>
      <c r="R1037" s="527"/>
      <c r="S1037" s="355"/>
      <c r="T1037" s="355"/>
      <c r="U1037" s="527"/>
      <c r="V1037" s="527"/>
      <c r="W1037" s="527"/>
      <c r="X1037" s="527"/>
      <c r="Y1037" s="527"/>
      <c r="Z1037" s="529">
        <f t="shared" ref="Z1037:Z1042" si="209">+R1037+S1037+U1037+V1037-X1037-Y1037+W1037+Q1037</f>
        <v>0</v>
      </c>
      <c r="AA1037" s="546"/>
      <c r="AB1037" s="355"/>
      <c r="AC1037" s="520"/>
      <c r="AD1037" s="520"/>
      <c r="AE1037" s="520"/>
      <c r="AF1037" s="520"/>
      <c r="AG1037" s="526">
        <f t="shared" ref="AG1037:AG1050" si="210">+Z1037-SUM(AC1037:AF1037)</f>
        <v>0</v>
      </c>
      <c r="AH1037" s="526">
        <f t="shared" ref="AH1037:AH1050" si="211">+Z1037-SUM(AI1037:AJ1037)</f>
        <v>0</v>
      </c>
      <c r="AI1037" s="520"/>
      <c r="AJ1037" s="520"/>
    </row>
    <row r="1038" spans="1:36" s="217" customFormat="1" x14ac:dyDescent="0.25">
      <c r="A1038" s="204"/>
      <c r="B1038" s="287" t="s">
        <v>2604</v>
      </c>
      <c r="C1038" s="287" t="s">
        <v>2605</v>
      </c>
      <c r="D1038" s="287"/>
      <c r="E1038" s="411"/>
      <c r="F1038" s="411"/>
      <c r="G1038" s="412"/>
      <c r="H1038" s="413"/>
      <c r="I1038" s="411"/>
      <c r="J1038" s="411"/>
      <c r="K1038" s="411"/>
      <c r="L1038" s="508" t="s">
        <v>4101</v>
      </c>
      <c r="M1038" s="284" t="s">
        <v>2962</v>
      </c>
      <c r="N1038" s="408">
        <f t="shared" si="206"/>
        <v>0</v>
      </c>
      <c r="O1038" s="408">
        <f t="shared" si="207"/>
        <v>0</v>
      </c>
      <c r="P1038" s="271">
        <f t="shared" si="208"/>
        <v>0</v>
      </c>
      <c r="Q1038" s="527"/>
      <c r="R1038" s="527">
        <f>R1036</f>
        <v>0</v>
      </c>
      <c r="S1038" s="355"/>
      <c r="T1038" s="355"/>
      <c r="U1038" s="527"/>
      <c r="V1038" s="527"/>
      <c r="W1038" s="527"/>
      <c r="X1038" s="527"/>
      <c r="Y1038" s="527"/>
      <c r="Z1038" s="529">
        <f t="shared" si="209"/>
        <v>0</v>
      </c>
      <c r="AA1038" s="546"/>
      <c r="AB1038" s="355"/>
      <c r="AC1038" s="520"/>
      <c r="AD1038" s="520"/>
      <c r="AE1038" s="520"/>
      <c r="AF1038" s="520"/>
      <c r="AG1038" s="526">
        <f t="shared" si="210"/>
        <v>0</v>
      </c>
      <c r="AH1038" s="526">
        <f t="shared" si="211"/>
        <v>0</v>
      </c>
      <c r="AI1038" s="520"/>
      <c r="AJ1038" s="520"/>
    </row>
    <row r="1039" spans="1:36" s="217" customFormat="1" x14ac:dyDescent="0.25">
      <c r="A1039" s="204"/>
      <c r="B1039" s="287" t="s">
        <v>2607</v>
      </c>
      <c r="C1039" s="287" t="s">
        <v>2608</v>
      </c>
      <c r="D1039" s="380" t="s">
        <v>4102</v>
      </c>
      <c r="E1039" s="274"/>
      <c r="F1039" s="274"/>
      <c r="G1039" s="283"/>
      <c r="H1039" s="266"/>
      <c r="I1039" s="274"/>
      <c r="J1039" s="281"/>
      <c r="K1039" s="281"/>
      <c r="L1039" s="430" t="s">
        <v>4103</v>
      </c>
      <c r="M1039" s="284" t="s">
        <v>2962</v>
      </c>
      <c r="N1039" s="408">
        <f t="shared" si="206"/>
        <v>0</v>
      </c>
      <c r="O1039" s="408">
        <f t="shared" si="207"/>
        <v>0</v>
      </c>
      <c r="P1039" s="271">
        <f t="shared" si="208"/>
        <v>0</v>
      </c>
      <c r="Q1039" s="527"/>
      <c r="R1039" s="354">
        <f>IF(ISERROR(VLOOKUP("SOC"&amp;$C1039,ESTR_PREC_SP!$A$2:$G$2000,4,FALSE))=TRUE,0,VLOOKUP("SOC"&amp;$C1039,ESTR_PREC_SP!$A$2:$G$2000,4,FALSE))</f>
        <v>0</v>
      </c>
      <c r="S1039" s="355"/>
      <c r="T1039" s="355"/>
      <c r="U1039" s="527"/>
      <c r="V1039" s="527"/>
      <c r="W1039" s="527"/>
      <c r="X1039" s="527"/>
      <c r="Y1039" s="527"/>
      <c r="Z1039" s="529">
        <f t="shared" si="209"/>
        <v>0</v>
      </c>
      <c r="AA1039" s="546"/>
      <c r="AB1039" s="355"/>
      <c r="AC1039" s="520"/>
      <c r="AD1039" s="520"/>
      <c r="AE1039" s="520"/>
      <c r="AF1039" s="520"/>
      <c r="AG1039" s="526">
        <f t="shared" si="210"/>
        <v>0</v>
      </c>
      <c r="AH1039" s="526">
        <f t="shared" si="211"/>
        <v>0</v>
      </c>
      <c r="AI1039" s="520"/>
      <c r="AJ1039" s="520"/>
    </row>
    <row r="1040" spans="1:36" s="217" customFormat="1" x14ac:dyDescent="0.25">
      <c r="A1040" s="204"/>
      <c r="B1040" s="287" t="s">
        <v>2610</v>
      </c>
      <c r="C1040" s="287" t="s">
        <v>2611</v>
      </c>
      <c r="D1040" s="380" t="s">
        <v>4104</v>
      </c>
      <c r="E1040" s="274"/>
      <c r="F1040" s="274"/>
      <c r="G1040" s="283"/>
      <c r="H1040" s="266"/>
      <c r="I1040" s="274"/>
      <c r="J1040" s="281"/>
      <c r="K1040" s="281"/>
      <c r="L1040" s="430" t="s">
        <v>4105</v>
      </c>
      <c r="M1040" s="284" t="s">
        <v>2962</v>
      </c>
      <c r="N1040" s="408">
        <f t="shared" si="206"/>
        <v>0</v>
      </c>
      <c r="O1040" s="408">
        <f t="shared" si="207"/>
        <v>0</v>
      </c>
      <c r="P1040" s="271">
        <f t="shared" si="208"/>
        <v>0</v>
      </c>
      <c r="Q1040" s="527"/>
      <c r="R1040" s="354">
        <f>IF(ISERROR(VLOOKUP("SOC"&amp;$C1040,ESTR_PREC_SP!$A$2:$G$2000,4,FALSE))=TRUE,0,VLOOKUP("SOC"&amp;$C1040,ESTR_PREC_SP!$A$2:$G$2000,4,FALSE))</f>
        <v>0</v>
      </c>
      <c r="S1040" s="355"/>
      <c r="T1040" s="355"/>
      <c r="U1040" s="527"/>
      <c r="V1040" s="527"/>
      <c r="W1040" s="527"/>
      <c r="X1040" s="527"/>
      <c r="Y1040" s="527"/>
      <c r="Z1040" s="529">
        <f t="shared" si="209"/>
        <v>0</v>
      </c>
      <c r="AA1040" s="546"/>
      <c r="AB1040" s="355"/>
      <c r="AC1040" s="520"/>
      <c r="AD1040" s="520"/>
      <c r="AE1040" s="520"/>
      <c r="AF1040" s="520"/>
      <c r="AG1040" s="526">
        <f t="shared" si="210"/>
        <v>0</v>
      </c>
      <c r="AH1040" s="526">
        <f t="shared" si="211"/>
        <v>0</v>
      </c>
      <c r="AI1040" s="520"/>
      <c r="AJ1040" s="520"/>
    </row>
    <row r="1041" spans="1:36" s="217" customFormat="1" x14ac:dyDescent="0.25">
      <c r="A1041" s="204"/>
      <c r="B1041" s="287" t="s">
        <v>2613</v>
      </c>
      <c r="C1041" s="287" t="s">
        <v>2614</v>
      </c>
      <c r="D1041" s="380" t="s">
        <v>4106</v>
      </c>
      <c r="E1041" s="274"/>
      <c r="F1041" s="274"/>
      <c r="G1041" s="283"/>
      <c r="H1041" s="266"/>
      <c r="I1041" s="274"/>
      <c r="J1041" s="281"/>
      <c r="K1041" s="281"/>
      <c r="L1041" s="430" t="s">
        <v>4107</v>
      </c>
      <c r="M1041" s="284" t="s">
        <v>2962</v>
      </c>
      <c r="N1041" s="408">
        <f t="shared" si="206"/>
        <v>0</v>
      </c>
      <c r="O1041" s="408">
        <f t="shared" si="207"/>
        <v>0</v>
      </c>
      <c r="P1041" s="271">
        <f t="shared" si="208"/>
        <v>0</v>
      </c>
      <c r="Q1041" s="527"/>
      <c r="R1041" s="354">
        <f>IF(ISERROR(VLOOKUP("SOC"&amp;$C1041,ESTR_PREC_SP!$A$2:$G$2000,4,FALSE))=TRUE,0,VLOOKUP("SOC"&amp;$C1041,ESTR_PREC_SP!$A$2:$G$2000,4,FALSE))</f>
        <v>0</v>
      </c>
      <c r="S1041" s="355"/>
      <c r="T1041" s="355"/>
      <c r="U1041" s="527"/>
      <c r="V1041" s="527"/>
      <c r="W1041" s="527"/>
      <c r="X1041" s="527"/>
      <c r="Y1041" s="527"/>
      <c r="Z1041" s="529">
        <f t="shared" si="209"/>
        <v>0</v>
      </c>
      <c r="AA1041" s="546"/>
      <c r="AB1041" s="355"/>
      <c r="AC1041" s="520"/>
      <c r="AD1041" s="520"/>
      <c r="AE1041" s="520"/>
      <c r="AF1041" s="520"/>
      <c r="AG1041" s="526">
        <f t="shared" si="210"/>
        <v>0</v>
      </c>
      <c r="AH1041" s="526">
        <f t="shared" si="211"/>
        <v>0</v>
      </c>
      <c r="AI1041" s="520"/>
      <c r="AJ1041" s="520"/>
    </row>
    <row r="1042" spans="1:36" s="217" customFormat="1" x14ac:dyDescent="0.25">
      <c r="A1042" s="204"/>
      <c r="B1042" s="287" t="s">
        <v>2616</v>
      </c>
      <c r="C1042" s="287" t="s">
        <v>2617</v>
      </c>
      <c r="D1042" s="380" t="s">
        <v>4108</v>
      </c>
      <c r="E1042" s="274"/>
      <c r="F1042" s="274"/>
      <c r="G1042" s="283"/>
      <c r="H1042" s="266"/>
      <c r="I1042" s="274"/>
      <c r="J1042" s="281"/>
      <c r="K1042" s="281"/>
      <c r="L1042" s="295" t="s">
        <v>2619</v>
      </c>
      <c r="M1042" s="284" t="s">
        <v>2962</v>
      </c>
      <c r="N1042" s="408">
        <f t="shared" si="206"/>
        <v>0</v>
      </c>
      <c r="O1042" s="408">
        <f t="shared" si="207"/>
        <v>0</v>
      </c>
      <c r="P1042" s="271">
        <f t="shared" si="208"/>
        <v>0</v>
      </c>
      <c r="Q1042" s="527"/>
      <c r="R1042" s="354">
        <f>IF(ISERROR(VLOOKUP("SOC"&amp;$C1042,ESTR_PREC_SP!$A$2:$G$2000,4,FALSE))=TRUE,0,VLOOKUP("SOC"&amp;$C1042,ESTR_PREC_SP!$A$2:$G$2000,4,FALSE))</f>
        <v>0</v>
      </c>
      <c r="S1042" s="355"/>
      <c r="T1042" s="355"/>
      <c r="U1042" s="527"/>
      <c r="V1042" s="527"/>
      <c r="W1042" s="527"/>
      <c r="X1042" s="527"/>
      <c r="Y1042" s="527"/>
      <c r="Z1042" s="529">
        <f t="shared" si="209"/>
        <v>0</v>
      </c>
      <c r="AA1042" s="546"/>
      <c r="AB1042" s="355"/>
      <c r="AC1042" s="520"/>
      <c r="AD1042" s="520"/>
      <c r="AE1042" s="520"/>
      <c r="AF1042" s="520"/>
      <c r="AG1042" s="526">
        <f t="shared" si="210"/>
        <v>0</v>
      </c>
      <c r="AH1042" s="526">
        <f t="shared" si="211"/>
        <v>0</v>
      </c>
      <c r="AI1042" s="520"/>
      <c r="AJ1042" s="520"/>
    </row>
    <row r="1043" spans="1:36" s="217" customFormat="1" x14ac:dyDescent="0.25">
      <c r="A1043" s="204"/>
      <c r="B1043" s="287" t="s">
        <v>2620</v>
      </c>
      <c r="C1043" s="287" t="s">
        <v>2621</v>
      </c>
      <c r="D1043" s="380" t="s">
        <v>4109</v>
      </c>
      <c r="E1043" s="274"/>
      <c r="F1043" s="274"/>
      <c r="G1043" s="283"/>
      <c r="H1043" s="266"/>
      <c r="I1043" s="274"/>
      <c r="J1043" s="281"/>
      <c r="K1043" s="281"/>
      <c r="L1043" s="287" t="s">
        <v>2623</v>
      </c>
      <c r="M1043" s="287" t="s">
        <v>2962</v>
      </c>
      <c r="N1043" s="226">
        <f>+N1044+N1045+N1046</f>
        <v>0</v>
      </c>
      <c r="O1043" s="226">
        <f t="shared" si="207"/>
        <v>0</v>
      </c>
      <c r="P1043" s="226">
        <f t="shared" si="208"/>
        <v>0</v>
      </c>
      <c r="Q1043" s="409">
        <f>+Q1044+Q1045+Q1046</f>
        <v>0</v>
      </c>
      <c r="R1043" s="227">
        <f>+R1044+R1045+R1046</f>
        <v>0</v>
      </c>
      <c r="S1043" s="226"/>
      <c r="T1043" s="409">
        <f t="shared" ref="T1043:AF1043" si="212">+T1044+T1045+T1046</f>
        <v>0</v>
      </c>
      <c r="U1043" s="409">
        <f t="shared" si="212"/>
        <v>0</v>
      </c>
      <c r="V1043" s="396">
        <f t="shared" si="212"/>
        <v>0</v>
      </c>
      <c r="W1043" s="378">
        <f t="shared" si="212"/>
        <v>0</v>
      </c>
      <c r="X1043" s="378">
        <f t="shared" si="212"/>
        <v>0</v>
      </c>
      <c r="Y1043" s="378">
        <f t="shared" si="212"/>
        <v>0</v>
      </c>
      <c r="Z1043" s="378">
        <f t="shared" si="212"/>
        <v>0</v>
      </c>
      <c r="AA1043" s="378">
        <f t="shared" si="212"/>
        <v>0</v>
      </c>
      <c r="AB1043" s="378">
        <f t="shared" si="212"/>
        <v>0</v>
      </c>
      <c r="AC1043" s="378">
        <f t="shared" si="212"/>
        <v>0</v>
      </c>
      <c r="AD1043" s="378">
        <f t="shared" si="212"/>
        <v>0</v>
      </c>
      <c r="AE1043" s="378">
        <f t="shared" si="212"/>
        <v>0</v>
      </c>
      <c r="AF1043" s="378">
        <f t="shared" si="212"/>
        <v>0</v>
      </c>
      <c r="AG1043" s="537">
        <f t="shared" si="210"/>
        <v>0</v>
      </c>
      <c r="AH1043" s="537">
        <f t="shared" si="211"/>
        <v>0</v>
      </c>
      <c r="AI1043" s="378">
        <f>+AI1044+AI1045+AI1046</f>
        <v>0</v>
      </c>
      <c r="AJ1043" s="378">
        <f>+AJ1044+AJ1045+AJ1046</f>
        <v>0</v>
      </c>
    </row>
    <row r="1044" spans="1:36" s="217" customFormat="1" x14ac:dyDescent="0.25">
      <c r="A1044" s="204"/>
      <c r="B1044" s="287" t="s">
        <v>2624</v>
      </c>
      <c r="C1044" s="287" t="s">
        <v>2625</v>
      </c>
      <c r="D1044" s="380" t="s">
        <v>4110</v>
      </c>
      <c r="E1044" s="274"/>
      <c r="F1044" s="274"/>
      <c r="G1044" s="283"/>
      <c r="H1044" s="266"/>
      <c r="I1044" s="274"/>
      <c r="J1044" s="281"/>
      <c r="K1044" s="281"/>
      <c r="L1044" s="509" t="s">
        <v>2627</v>
      </c>
      <c r="M1044" s="284" t="s">
        <v>2962</v>
      </c>
      <c r="N1044" s="408">
        <f>+R1044</f>
        <v>0</v>
      </c>
      <c r="O1044" s="408">
        <f t="shared" si="207"/>
        <v>0</v>
      </c>
      <c r="P1044" s="271">
        <f t="shared" si="208"/>
        <v>0</v>
      </c>
      <c r="Q1044" s="527"/>
      <c r="R1044" s="354">
        <f>IF(ISERROR(VLOOKUP("SOC"&amp;$C1044,ESTR_PREC_SP!$A$2:$G$2000,4,FALSE))=TRUE,0,VLOOKUP("SOC"&amp;$C1044,ESTR_PREC_SP!$A$2:$G$2000,4,FALSE))</f>
        <v>0</v>
      </c>
      <c r="S1044" s="355"/>
      <c r="T1044" s="545"/>
      <c r="U1044" s="527"/>
      <c r="V1044" s="527"/>
      <c r="W1044" s="527"/>
      <c r="X1044" s="527"/>
      <c r="Y1044" s="527"/>
      <c r="Z1044" s="529">
        <f>+R1044+S1044+U1044+V1044-X1044-Y1044+W1044+Q1044</f>
        <v>0</v>
      </c>
      <c r="AA1044" s="546"/>
      <c r="AB1044" s="545"/>
      <c r="AC1044" s="520"/>
      <c r="AD1044" s="520"/>
      <c r="AE1044" s="520"/>
      <c r="AF1044" s="520"/>
      <c r="AG1044" s="526">
        <f t="shared" si="210"/>
        <v>0</v>
      </c>
      <c r="AH1044" s="526">
        <f t="shared" si="211"/>
        <v>0</v>
      </c>
      <c r="AI1044" s="520"/>
      <c r="AJ1044" s="520"/>
    </row>
    <row r="1045" spans="1:36" s="217" customFormat="1" x14ac:dyDescent="0.25">
      <c r="A1045" s="204"/>
      <c r="B1045" s="287" t="s">
        <v>2628</v>
      </c>
      <c r="C1045" s="287" t="s">
        <v>2629</v>
      </c>
      <c r="D1045" s="380" t="s">
        <v>4111</v>
      </c>
      <c r="E1045" s="274"/>
      <c r="F1045" s="274"/>
      <c r="G1045" s="283"/>
      <c r="H1045" s="266"/>
      <c r="I1045" s="274"/>
      <c r="J1045" s="281"/>
      <c r="K1045" s="281"/>
      <c r="L1045" s="509" t="s">
        <v>2630</v>
      </c>
      <c r="M1045" s="284" t="s">
        <v>2962</v>
      </c>
      <c r="N1045" s="408">
        <f>+R1045</f>
        <v>0</v>
      </c>
      <c r="O1045" s="408">
        <f t="shared" si="207"/>
        <v>0</v>
      </c>
      <c r="P1045" s="271">
        <f t="shared" si="208"/>
        <v>0</v>
      </c>
      <c r="Q1045" s="527"/>
      <c r="R1045" s="354">
        <f>IF(ISERROR(VLOOKUP("SOC"&amp;$C1045,ESTR_PREC_SP!$A$2:$G$2000,4,FALSE))=TRUE,0,VLOOKUP("SOC"&amp;$C1045,ESTR_PREC_SP!$A$2:$G$2000,4,FALSE))</f>
        <v>0</v>
      </c>
      <c r="S1045" s="355"/>
      <c r="T1045" s="545"/>
      <c r="U1045" s="527"/>
      <c r="V1045" s="527"/>
      <c r="W1045" s="527"/>
      <c r="X1045" s="527"/>
      <c r="Y1045" s="527"/>
      <c r="Z1045" s="529">
        <f>+R1045+S1045+U1045+V1045-X1045-Y1045+W1045+Q1045</f>
        <v>0</v>
      </c>
      <c r="AA1045" s="546"/>
      <c r="AB1045" s="545"/>
      <c r="AC1045" s="520"/>
      <c r="AD1045" s="520"/>
      <c r="AE1045" s="520"/>
      <c r="AF1045" s="520"/>
      <c r="AG1045" s="526">
        <f t="shared" si="210"/>
        <v>0</v>
      </c>
      <c r="AH1045" s="526">
        <f t="shared" si="211"/>
        <v>0</v>
      </c>
      <c r="AI1045" s="520"/>
      <c r="AJ1045" s="520"/>
    </row>
    <row r="1046" spans="1:36" s="217" customFormat="1" x14ac:dyDescent="0.25">
      <c r="A1046" s="204"/>
      <c r="B1046" s="287" t="s">
        <v>2631</v>
      </c>
      <c r="C1046" s="287" t="s">
        <v>2632</v>
      </c>
      <c r="D1046" s="380" t="s">
        <v>4112</v>
      </c>
      <c r="E1046" s="274"/>
      <c r="F1046" s="274"/>
      <c r="G1046" s="283"/>
      <c r="H1046" s="266"/>
      <c r="I1046" s="274"/>
      <c r="J1046" s="281"/>
      <c r="K1046" s="281"/>
      <c r="L1046" s="509" t="s">
        <v>2633</v>
      </c>
      <c r="M1046" s="284" t="s">
        <v>2962</v>
      </c>
      <c r="N1046" s="378">
        <f>SUM(N1047:N1050)</f>
        <v>0</v>
      </c>
      <c r="O1046" s="378">
        <f>SUM(O1047:O1050)</f>
        <v>0</v>
      </c>
      <c r="P1046" s="378">
        <f t="shared" si="208"/>
        <v>0</v>
      </c>
      <c r="Q1046" s="378">
        <f>SUM(Q1047:Q1050)</f>
        <v>0</v>
      </c>
      <c r="R1046" s="378">
        <f>SUM(R1047:R1050)</f>
        <v>0</v>
      </c>
      <c r="S1046" s="355"/>
      <c r="T1046" s="378">
        <f t="shared" ref="T1046:AF1046" si="213">SUM(T1047:T1050)</f>
        <v>0</v>
      </c>
      <c r="U1046" s="378">
        <f t="shared" si="213"/>
        <v>0</v>
      </c>
      <c r="V1046" s="378">
        <f t="shared" si="213"/>
        <v>0</v>
      </c>
      <c r="W1046" s="378">
        <f t="shared" si="213"/>
        <v>0</v>
      </c>
      <c r="X1046" s="378">
        <f t="shared" si="213"/>
        <v>0</v>
      </c>
      <c r="Y1046" s="378">
        <f t="shared" si="213"/>
        <v>0</v>
      </c>
      <c r="Z1046" s="378">
        <f t="shared" si="213"/>
        <v>0</v>
      </c>
      <c r="AA1046" s="378">
        <f t="shared" si="213"/>
        <v>0</v>
      </c>
      <c r="AB1046" s="378">
        <f t="shared" si="213"/>
        <v>0</v>
      </c>
      <c r="AC1046" s="378">
        <f t="shared" si="213"/>
        <v>0</v>
      </c>
      <c r="AD1046" s="378">
        <f t="shared" si="213"/>
        <v>0</v>
      </c>
      <c r="AE1046" s="378">
        <f t="shared" si="213"/>
        <v>0</v>
      </c>
      <c r="AF1046" s="378">
        <f t="shared" si="213"/>
        <v>0</v>
      </c>
      <c r="AG1046" s="537">
        <f t="shared" si="210"/>
        <v>0</v>
      </c>
      <c r="AH1046" s="537">
        <f t="shared" si="211"/>
        <v>0</v>
      </c>
      <c r="AI1046" s="378">
        <f>SUM(AI1047:AI1050)</f>
        <v>0</v>
      </c>
      <c r="AJ1046" s="378">
        <f>SUM(AJ1047:AJ1050)</f>
        <v>0</v>
      </c>
    </row>
    <row r="1047" spans="1:36" s="217" customFormat="1" x14ac:dyDescent="0.25">
      <c r="A1047" s="204"/>
      <c r="B1047" s="287" t="s">
        <v>2634</v>
      </c>
      <c r="C1047" s="287" t="s">
        <v>2635</v>
      </c>
      <c r="D1047" s="380" t="s">
        <v>4113</v>
      </c>
      <c r="E1047" s="274"/>
      <c r="F1047" s="274"/>
      <c r="G1047" s="283"/>
      <c r="H1047" s="266"/>
      <c r="I1047" s="274"/>
      <c r="J1047" s="281"/>
      <c r="K1047" s="281"/>
      <c r="L1047" s="430" t="s">
        <v>4114</v>
      </c>
      <c r="M1047" s="284" t="s">
        <v>2962</v>
      </c>
      <c r="N1047" s="408">
        <f>+R1047</f>
        <v>0</v>
      </c>
      <c r="O1047" s="408">
        <f>+Z1047</f>
        <v>0</v>
      </c>
      <c r="P1047" s="271">
        <f t="shared" si="208"/>
        <v>0</v>
      </c>
      <c r="Q1047" s="527"/>
      <c r="R1047" s="354">
        <f>IF(ISERROR(VLOOKUP("SOC"&amp;$C1047,ESTR_PREC_SP!$A$2:$G$2000,4,FALSE))=TRUE,0,VLOOKUP("SOC"&amp;$C1047,ESTR_PREC_SP!$A$2:$G$2000,4,FALSE))</f>
        <v>0</v>
      </c>
      <c r="S1047" s="355"/>
      <c r="T1047" s="355"/>
      <c r="U1047" s="527"/>
      <c r="V1047" s="527"/>
      <c r="W1047" s="527"/>
      <c r="X1047" s="527"/>
      <c r="Y1047" s="527"/>
      <c r="Z1047" s="529">
        <f>+R1047+S1047+U1047+V1047-X1047-Y1047+W1047+Q1047</f>
        <v>0</v>
      </c>
      <c r="AA1047" s="355"/>
      <c r="AB1047" s="355"/>
      <c r="AC1047" s="520"/>
      <c r="AD1047" s="520"/>
      <c r="AE1047" s="520"/>
      <c r="AF1047" s="520"/>
      <c r="AG1047" s="526">
        <f t="shared" si="210"/>
        <v>0</v>
      </c>
      <c r="AH1047" s="526">
        <f t="shared" si="211"/>
        <v>0</v>
      </c>
      <c r="AI1047" s="520"/>
      <c r="AJ1047" s="520"/>
    </row>
    <row r="1048" spans="1:36" s="217" customFormat="1" hidden="1" x14ac:dyDescent="0.25">
      <c r="A1048" s="204"/>
      <c r="B1048" s="287" t="s">
        <v>2637</v>
      </c>
      <c r="C1048" s="287" t="s">
        <v>2638</v>
      </c>
      <c r="D1048" s="380" t="s">
        <v>4115</v>
      </c>
      <c r="E1048" s="274"/>
      <c r="F1048" s="274"/>
      <c r="G1048" s="283"/>
      <c r="H1048" s="266"/>
      <c r="I1048" s="274"/>
      <c r="J1048" s="281"/>
      <c r="K1048" s="281"/>
      <c r="L1048" s="430" t="s">
        <v>2639</v>
      </c>
      <c r="M1048" s="284" t="s">
        <v>2962</v>
      </c>
      <c r="N1048" s="408">
        <f>+R1048</f>
        <v>0</v>
      </c>
      <c r="O1048" s="408">
        <f>+Z1048</f>
        <v>0</v>
      </c>
      <c r="P1048" s="271">
        <f t="shared" si="208"/>
        <v>0</v>
      </c>
      <c r="Q1048" s="527"/>
      <c r="R1048" s="354">
        <f>IF(ISERROR(VLOOKUP("SOC"&amp;$C1048,ESTR_PREC_SP!$A$2:$G$2000,4,FALSE))=TRUE,0,VLOOKUP("SOC"&amp;$C1048,ESTR_PREC_SP!$A$2:$G$2000,4,FALSE))</f>
        <v>0</v>
      </c>
      <c r="S1048" s="355"/>
      <c r="T1048" s="355"/>
      <c r="U1048" s="527"/>
      <c r="V1048" s="527"/>
      <c r="W1048" s="527"/>
      <c r="X1048" s="527"/>
      <c r="Y1048" s="527"/>
      <c r="Z1048" s="529">
        <f>+R1048+S1048+U1048+V1048-X1048-Y1048+W1048+Q1048</f>
        <v>0</v>
      </c>
      <c r="AA1048" s="355"/>
      <c r="AB1048" s="355"/>
      <c r="AC1048" s="520"/>
      <c r="AD1048" s="520"/>
      <c r="AE1048" s="520"/>
      <c r="AF1048" s="520"/>
      <c r="AG1048" s="526">
        <f t="shared" si="210"/>
        <v>0</v>
      </c>
      <c r="AH1048" s="526">
        <f t="shared" si="211"/>
        <v>0</v>
      </c>
      <c r="AI1048" s="520"/>
      <c r="AJ1048" s="520"/>
    </row>
    <row r="1049" spans="1:36" s="217" customFormat="1" x14ac:dyDescent="0.25">
      <c r="A1049" s="204"/>
      <c r="B1049" s="287" t="s">
        <v>2640</v>
      </c>
      <c r="C1049" s="287" t="s">
        <v>2641</v>
      </c>
      <c r="D1049" s="380" t="s">
        <v>4116</v>
      </c>
      <c r="E1049" s="274"/>
      <c r="F1049" s="274"/>
      <c r="G1049" s="283"/>
      <c r="H1049" s="266"/>
      <c r="I1049" s="274"/>
      <c r="J1049" s="281"/>
      <c r="K1049" s="281"/>
      <c r="L1049" s="430" t="s">
        <v>4117</v>
      </c>
      <c r="M1049" s="284" t="s">
        <v>2962</v>
      </c>
      <c r="N1049" s="408">
        <f>+R1049</f>
        <v>0</v>
      </c>
      <c r="O1049" s="408">
        <f>+Z1049</f>
        <v>0</v>
      </c>
      <c r="P1049" s="271">
        <f t="shared" si="208"/>
        <v>0</v>
      </c>
      <c r="Q1049" s="527"/>
      <c r="R1049" s="354">
        <f>IF(ISERROR(VLOOKUP("SOC"&amp;$C1049,ESTR_PREC_SP!$A$2:$G$2000,4,FALSE))=TRUE,0,VLOOKUP("SOC"&amp;$C1049,ESTR_PREC_SP!$A$2:$G$2000,4,FALSE))</f>
        <v>0</v>
      </c>
      <c r="S1049" s="355"/>
      <c r="T1049" s="355"/>
      <c r="U1049" s="527"/>
      <c r="V1049" s="527"/>
      <c r="W1049" s="527"/>
      <c r="X1049" s="527"/>
      <c r="Y1049" s="527"/>
      <c r="Z1049" s="529">
        <f>+R1049+S1049+U1049+V1049-X1049-Y1049+W1049+Q1049</f>
        <v>0</v>
      </c>
      <c r="AA1049" s="355"/>
      <c r="AB1049" s="355"/>
      <c r="AC1049" s="520"/>
      <c r="AD1049" s="520"/>
      <c r="AE1049" s="520"/>
      <c r="AF1049" s="520"/>
      <c r="AG1049" s="526">
        <f t="shared" si="210"/>
        <v>0</v>
      </c>
      <c r="AH1049" s="526">
        <f t="shared" si="211"/>
        <v>0</v>
      </c>
      <c r="AI1049" s="520"/>
      <c r="AJ1049" s="520"/>
    </row>
    <row r="1050" spans="1:36" s="217" customFormat="1" x14ac:dyDescent="0.25">
      <c r="A1050" s="204"/>
      <c r="B1050" s="287" t="s">
        <v>2643</v>
      </c>
      <c r="C1050" s="287" t="s">
        <v>2644</v>
      </c>
      <c r="D1050" s="380" t="s">
        <v>4118</v>
      </c>
      <c r="E1050" s="274"/>
      <c r="F1050" s="274"/>
      <c r="G1050" s="283"/>
      <c r="H1050" s="266"/>
      <c r="I1050" s="274"/>
      <c r="J1050" s="281"/>
      <c r="K1050" s="281"/>
      <c r="L1050" s="430" t="s">
        <v>4119</v>
      </c>
      <c r="M1050" s="284" t="s">
        <v>2962</v>
      </c>
      <c r="N1050" s="408">
        <f>+R1050</f>
        <v>0</v>
      </c>
      <c r="O1050" s="408">
        <f>+Z1050</f>
        <v>0</v>
      </c>
      <c r="P1050" s="271">
        <f t="shared" si="208"/>
        <v>0</v>
      </c>
      <c r="Q1050" s="527"/>
      <c r="R1050" s="354">
        <f>IF(ISERROR(VLOOKUP("SOC"&amp;$C1050,ESTR_PREC_SP!$A$2:$G$2000,4,FALSE))=TRUE,0,VLOOKUP("SOC"&amp;$C1050,ESTR_PREC_SP!$A$2:$G$2000,4,FALSE))</f>
        <v>0</v>
      </c>
      <c r="S1050" s="355"/>
      <c r="T1050" s="355"/>
      <c r="U1050" s="527"/>
      <c r="V1050" s="527"/>
      <c r="W1050" s="527"/>
      <c r="X1050" s="527"/>
      <c r="Y1050" s="527"/>
      <c r="Z1050" s="529">
        <f>+R1050+S1050+U1050+V1050-X1050-Y1050+W1050+Q1050</f>
        <v>0</v>
      </c>
      <c r="AA1050" s="355"/>
      <c r="AB1050" s="355"/>
      <c r="AC1050" s="520"/>
      <c r="AD1050" s="520"/>
      <c r="AE1050" s="520"/>
      <c r="AF1050" s="520"/>
      <c r="AG1050" s="526">
        <f t="shared" si="210"/>
        <v>0</v>
      </c>
      <c r="AH1050" s="526">
        <f t="shared" si="211"/>
        <v>0</v>
      </c>
      <c r="AI1050" s="520"/>
      <c r="AJ1050" s="520"/>
    </row>
    <row r="1051" spans="1:36" s="204" customFormat="1" x14ac:dyDescent="0.25">
      <c r="B1051" s="293"/>
      <c r="C1051" s="293"/>
      <c r="D1051" s="230"/>
      <c r="E1051" s="230"/>
      <c r="F1051" s="230"/>
      <c r="G1051" s="230"/>
      <c r="H1051" s="231"/>
      <c r="I1051" s="230"/>
      <c r="J1051" s="230"/>
      <c r="K1051" s="230"/>
      <c r="L1051" s="232"/>
      <c r="M1051" s="211"/>
      <c r="N1051" s="254"/>
      <c r="O1051" s="211"/>
      <c r="P1051" s="211"/>
      <c r="Q1051" s="211"/>
      <c r="R1051" s="211"/>
      <c r="S1051" s="211"/>
      <c r="T1051" s="211"/>
      <c r="U1051" s="211"/>
      <c r="V1051" s="211"/>
      <c r="W1051" s="211"/>
      <c r="X1051" s="211"/>
      <c r="Y1051" s="211"/>
      <c r="Z1051" s="211"/>
      <c r="AA1051" s="211"/>
    </row>
    <row r="1052" spans="1:36" s="204" customFormat="1" x14ac:dyDescent="0.25">
      <c r="B1052" s="293"/>
      <c r="C1052" s="293"/>
      <c r="D1052" s="230"/>
      <c r="E1052" s="230"/>
      <c r="F1052" s="230"/>
      <c r="G1052" s="230"/>
      <c r="H1052" s="231"/>
      <c r="I1052" s="230"/>
      <c r="J1052" s="230"/>
      <c r="K1052" s="230"/>
      <c r="L1052" s="232"/>
      <c r="M1052" s="211"/>
      <c r="N1052" s="254"/>
      <c r="O1052" s="211"/>
      <c r="P1052" s="211"/>
      <c r="Q1052" s="211"/>
      <c r="R1052" s="211"/>
      <c r="S1052" s="211"/>
      <c r="T1052" s="211"/>
      <c r="U1052" s="211"/>
      <c r="V1052" s="211"/>
      <c r="W1052" s="211"/>
      <c r="X1052" s="211"/>
      <c r="Y1052" s="211"/>
      <c r="Z1052" s="211"/>
      <c r="AA1052" s="211"/>
    </row>
    <row r="1053" spans="1:36" s="204" customFormat="1" x14ac:dyDescent="0.25">
      <c r="B1053" s="511" t="s">
        <v>2646</v>
      </c>
      <c r="C1053" s="511" t="s">
        <v>2647</v>
      </c>
      <c r="D1053" s="234" t="s">
        <v>4120</v>
      </c>
      <c r="E1053" s="234"/>
      <c r="F1053" s="234"/>
      <c r="G1053" s="234"/>
      <c r="H1053" s="235"/>
      <c r="I1053" s="234"/>
      <c r="J1053" s="234"/>
      <c r="K1053" s="234"/>
      <c r="L1053" s="236" t="s">
        <v>2649</v>
      </c>
      <c r="M1053" s="237" t="s">
        <v>2962</v>
      </c>
      <c r="N1053" s="238">
        <f>+N1055+N1067</f>
        <v>0</v>
      </c>
      <c r="O1053" s="238">
        <f>+O1055+O1067</f>
        <v>0</v>
      </c>
      <c r="P1053" s="239">
        <f>+O1053-N1053</f>
        <v>0</v>
      </c>
      <c r="Q1053" s="211"/>
      <c r="R1053" s="211"/>
      <c r="S1053" s="211"/>
      <c r="T1053" s="211"/>
      <c r="U1053" s="211"/>
      <c r="V1053" s="211"/>
      <c r="W1053" s="211"/>
      <c r="X1053" s="211"/>
      <c r="Y1053" s="211"/>
      <c r="Z1053" s="211"/>
      <c r="AA1053" s="211"/>
    </row>
    <row r="1054" spans="1:36" s="204" customFormat="1" x14ac:dyDescent="0.25">
      <c r="B1054" s="293"/>
      <c r="C1054" s="293"/>
      <c r="D1054" s="230"/>
      <c r="E1054" s="230"/>
      <c r="F1054" s="230"/>
      <c r="G1054" s="230"/>
      <c r="H1054" s="231"/>
      <c r="I1054" s="230"/>
      <c r="J1054" s="230"/>
      <c r="K1054" s="230"/>
      <c r="L1054" s="512"/>
      <c r="M1054" s="513"/>
      <c r="N1054" s="513"/>
      <c r="O1054" s="513"/>
      <c r="P1054" s="513"/>
      <c r="Q1054" s="513"/>
      <c r="R1054" s="513"/>
      <c r="S1054" s="513"/>
      <c r="T1054" s="513"/>
      <c r="U1054" s="513"/>
      <c r="V1054" s="211"/>
      <c r="W1054" s="211"/>
      <c r="X1054" s="211"/>
      <c r="Y1054" s="211"/>
      <c r="Z1054" s="211"/>
      <c r="AA1054" s="211"/>
    </row>
    <row r="1055" spans="1:36" s="204" customFormat="1" x14ac:dyDescent="0.25">
      <c r="B1055" s="292" t="s">
        <v>2650</v>
      </c>
      <c r="C1055" s="292" t="s">
        <v>2651</v>
      </c>
      <c r="D1055" s="247" t="s">
        <v>4121</v>
      </c>
      <c r="E1055" s="247"/>
      <c r="F1055" s="247"/>
      <c r="G1055" s="247"/>
      <c r="H1055" s="248"/>
      <c r="I1055" s="247"/>
      <c r="J1055" s="247"/>
      <c r="K1055" s="249"/>
      <c r="L1055" s="250" t="s">
        <v>2653</v>
      </c>
      <c r="M1055" s="251" t="s">
        <v>2962</v>
      </c>
      <c r="N1055" s="252">
        <f>+N1058+N1059</f>
        <v>0</v>
      </c>
      <c r="O1055" s="252">
        <f>+O1058+O1059</f>
        <v>0</v>
      </c>
      <c r="P1055" s="253">
        <f>+O1055-N1055</f>
        <v>0</v>
      </c>
      <c r="Q1055" s="252">
        <f>+Q1058+Q1059</f>
        <v>0</v>
      </c>
      <c r="R1055" s="252">
        <f>+R1058+R1059</f>
        <v>0</v>
      </c>
      <c r="S1055" s="252">
        <f>+S1058+S1059</f>
        <v>0</v>
      </c>
      <c r="T1055" s="252">
        <f>+T1058+T1059</f>
        <v>0</v>
      </c>
      <c r="U1055" s="252">
        <f>+U1058+U1059</f>
        <v>0</v>
      </c>
      <c r="V1055" s="211"/>
      <c r="W1055" s="211"/>
      <c r="X1055" s="211"/>
      <c r="Y1055" s="211"/>
      <c r="Z1055" s="211"/>
      <c r="AA1055" s="211"/>
    </row>
    <row r="1056" spans="1:36" s="204" customFormat="1" x14ac:dyDescent="0.25">
      <c r="B1056" s="293"/>
      <c r="C1056" s="293"/>
      <c r="D1056" s="230"/>
      <c r="E1056" s="230"/>
      <c r="F1056" s="230"/>
      <c r="G1056" s="230"/>
      <c r="H1056" s="231"/>
      <c r="I1056" s="230"/>
      <c r="J1056" s="230"/>
      <c r="K1056" s="230"/>
      <c r="L1056" s="299"/>
      <c r="M1056" s="254"/>
      <c r="N1056" s="254"/>
      <c r="O1056" s="254"/>
      <c r="P1056" s="254"/>
      <c r="Q1056" s="211"/>
      <c r="R1056" s="211"/>
      <c r="T1056" s="211"/>
      <c r="U1056" s="211"/>
      <c r="V1056" s="211"/>
      <c r="W1056" s="211"/>
      <c r="X1056" s="211"/>
      <c r="Y1056" s="211"/>
      <c r="Z1056" s="211"/>
      <c r="AA1056" s="211"/>
    </row>
    <row r="1057" spans="1:27" s="204" customFormat="1" ht="39" customHeight="1" x14ac:dyDescent="0.25">
      <c r="B1057" s="294" t="s">
        <v>2968</v>
      </c>
      <c r="C1057" s="294" t="s">
        <v>2969</v>
      </c>
      <c r="D1057" s="206" t="s">
        <v>72</v>
      </c>
      <c r="E1057" s="206"/>
      <c r="F1057" s="206"/>
      <c r="G1057" s="207"/>
      <c r="H1057" s="207"/>
      <c r="I1057" s="207"/>
      <c r="J1057" s="207" t="s">
        <v>2957</v>
      </c>
      <c r="K1057" s="206" t="s">
        <v>82</v>
      </c>
      <c r="L1057" s="261" t="s">
        <v>3670</v>
      </c>
      <c r="M1057" s="256"/>
      <c r="N1057" s="256" t="str">
        <f>N$15</f>
        <v>Valore netto al 31/12/2019</v>
      </c>
      <c r="O1057" s="256" t="str">
        <f>O$15</f>
        <v>Valore netto al 31/12/2020</v>
      </c>
      <c r="P1057" s="256" t="str">
        <f>P$15</f>
        <v>Variazione</v>
      </c>
      <c r="Q1057" s="262" t="s">
        <v>2971</v>
      </c>
      <c r="R1057" s="346" t="str">
        <f>+N1057</f>
        <v>Valore netto al 31/12/2019</v>
      </c>
      <c r="S1057" s="262" t="s">
        <v>2972</v>
      </c>
      <c r="T1057" s="346" t="str">
        <f>+T750</f>
        <v>Entro 12 mesi (2020)</v>
      </c>
      <c r="U1057" s="346" t="str">
        <f>+U750</f>
        <v>Oltre 12 mesi (2020)</v>
      </c>
      <c r="V1057" s="211"/>
      <c r="W1057" s="211"/>
      <c r="X1057" s="211"/>
      <c r="Y1057" s="211"/>
      <c r="Z1057" s="211"/>
      <c r="AA1057" s="211"/>
    </row>
    <row r="1058" spans="1:27" s="204" customFormat="1" x14ac:dyDescent="0.25">
      <c r="B1058" s="287" t="s">
        <v>2654</v>
      </c>
      <c r="C1058" s="287" t="s">
        <v>2655</v>
      </c>
      <c r="D1058" s="274" t="s">
        <v>4122</v>
      </c>
      <c r="E1058" s="274"/>
      <c r="F1058" s="274"/>
      <c r="G1058" s="283"/>
      <c r="H1058" s="266"/>
      <c r="I1058" s="274"/>
      <c r="J1058" s="281"/>
      <c r="K1058" s="281"/>
      <c r="L1058" s="424" t="s">
        <v>2657</v>
      </c>
      <c r="M1058" s="263" t="s">
        <v>2962</v>
      </c>
      <c r="N1058" s="408">
        <f>+R1058</f>
        <v>0</v>
      </c>
      <c r="O1058" s="408">
        <f>+T1058+S1058+U1058+Q1058</f>
        <v>0</v>
      </c>
      <c r="P1058" s="271">
        <f t="shared" ref="P1058:P1064" si="214">+O1058-N1058</f>
        <v>0</v>
      </c>
      <c r="Q1058" s="527"/>
      <c r="R1058" s="354">
        <f>IF(ISERROR(VLOOKUP("SOC"&amp;$C1058,ESTR_PREC_SP!$A$2:$G$2000,4,FALSE))=TRUE,0,VLOOKUP("SOC"&amp;$C1058,ESTR_PREC_SP!$A$2:$G$2000,4,FALSE))</f>
        <v>0</v>
      </c>
      <c r="S1058" s="355"/>
      <c r="T1058" s="550">
        <f>+Dettaglio_SP_Soc!H758</f>
        <v>0</v>
      </c>
      <c r="U1058" s="550">
        <f>+Dettaglio_SP_Soc!I758</f>
        <v>0</v>
      </c>
      <c r="V1058" s="254"/>
      <c r="W1058" s="211"/>
      <c r="X1058" s="211"/>
      <c r="Y1058" s="211"/>
      <c r="Z1058" s="211"/>
      <c r="AA1058" s="211"/>
    </row>
    <row r="1059" spans="1:27" s="204" customFormat="1" x14ac:dyDescent="0.25">
      <c r="B1059" s="287" t="s">
        <v>2658</v>
      </c>
      <c r="C1059" s="287" t="s">
        <v>2659</v>
      </c>
      <c r="D1059" s="274" t="s">
        <v>4123</v>
      </c>
      <c r="E1059" s="274"/>
      <c r="F1059" s="274"/>
      <c r="G1059" s="283"/>
      <c r="H1059" s="266"/>
      <c r="I1059" s="274"/>
      <c r="J1059" s="281"/>
      <c r="K1059" s="281"/>
      <c r="L1059" s="424" t="s">
        <v>2661</v>
      </c>
      <c r="M1059" s="284" t="s">
        <v>2962</v>
      </c>
      <c r="N1059" s="378">
        <f>SUM(N1060:N1064)</f>
        <v>0</v>
      </c>
      <c r="O1059" s="378">
        <f>SUM(O1060:O1064)</f>
        <v>0</v>
      </c>
      <c r="P1059" s="378">
        <f t="shared" si="214"/>
        <v>0</v>
      </c>
      <c r="Q1059" s="378">
        <f>SUM(Q1060:Q1064)</f>
        <v>0</v>
      </c>
      <c r="R1059" s="378">
        <f>SUM(R1060:R1064)</f>
        <v>0</v>
      </c>
      <c r="S1059" s="355"/>
      <c r="T1059" s="378">
        <f>SUM(T1060:T1064)</f>
        <v>0</v>
      </c>
      <c r="U1059" s="378">
        <f>SUM(U1060:U1064)</f>
        <v>0</v>
      </c>
      <c r="V1059" s="254"/>
      <c r="W1059" s="211"/>
      <c r="X1059" s="211"/>
      <c r="Y1059" s="211"/>
      <c r="Z1059" s="211"/>
      <c r="AA1059" s="211"/>
    </row>
    <row r="1060" spans="1:27" s="204" customFormat="1" hidden="1" x14ac:dyDescent="0.25">
      <c r="B1060" s="287" t="s">
        <v>2662</v>
      </c>
      <c r="C1060" s="287" t="s">
        <v>2663</v>
      </c>
      <c r="D1060" s="274" t="s">
        <v>4124</v>
      </c>
      <c r="E1060" s="274"/>
      <c r="F1060" s="274"/>
      <c r="G1060" s="283"/>
      <c r="H1060" s="266"/>
      <c r="I1060" s="274"/>
      <c r="J1060" s="281"/>
      <c r="K1060" s="281"/>
      <c r="L1060" s="406" t="s">
        <v>2664</v>
      </c>
      <c r="M1060" s="263" t="s">
        <v>2962</v>
      </c>
      <c r="N1060" s="408">
        <f>+R1060</f>
        <v>0</v>
      </c>
      <c r="O1060" s="408">
        <f>+T1060+U1060</f>
        <v>0</v>
      </c>
      <c r="P1060" s="271">
        <f t="shared" si="214"/>
        <v>0</v>
      </c>
      <c r="Q1060" s="527"/>
      <c r="R1060" s="354">
        <f>IF(ISERROR(VLOOKUP("SOC"&amp;$C1060,ESTR_PREC_SP!$A$2:$G$2000,4,FALSE))=TRUE,0,VLOOKUP("SOC"&amp;$C1060,ESTR_PREC_SP!$A$2:$G$2000,4,FALSE))</f>
        <v>0</v>
      </c>
      <c r="S1060" s="355"/>
      <c r="T1060" s="527"/>
      <c r="U1060" s="527"/>
      <c r="V1060" s="254"/>
      <c r="W1060" s="211"/>
      <c r="X1060" s="211"/>
      <c r="Y1060" s="211"/>
      <c r="Z1060" s="211"/>
      <c r="AA1060" s="211"/>
    </row>
    <row r="1061" spans="1:27" s="204" customFormat="1" x14ac:dyDescent="0.25">
      <c r="B1061" s="287" t="s">
        <v>2665</v>
      </c>
      <c r="C1061" s="287" t="s">
        <v>2666</v>
      </c>
      <c r="D1061" s="274" t="s">
        <v>4125</v>
      </c>
      <c r="E1061" s="274"/>
      <c r="F1061" s="274"/>
      <c r="G1061" s="283"/>
      <c r="H1061" s="266"/>
      <c r="I1061" s="274"/>
      <c r="J1061" s="281"/>
      <c r="K1061" s="281"/>
      <c r="L1061" s="406" t="s">
        <v>4126</v>
      </c>
      <c r="M1061" s="263" t="s">
        <v>2962</v>
      </c>
      <c r="N1061" s="408">
        <f>+R1061</f>
        <v>0</v>
      </c>
      <c r="O1061" s="408">
        <f>+T1061+S1061+U1061+Q1061</f>
        <v>0</v>
      </c>
      <c r="P1061" s="271">
        <f t="shared" si="214"/>
        <v>0</v>
      </c>
      <c r="Q1061" s="527"/>
      <c r="R1061" s="354">
        <f>IF(ISERROR(VLOOKUP("SOC"&amp;$C1061,ESTR_PREC_SP!$A$2:$G$2000,4,FALSE))=TRUE,0,VLOOKUP("SOC"&amp;$C1061,ESTR_PREC_SP!$A$2:$G$2000,4,FALSE))</f>
        <v>0</v>
      </c>
      <c r="S1061" s="355"/>
      <c r="T1061" s="527"/>
      <c r="U1061" s="527"/>
      <c r="V1061" s="254"/>
      <c r="W1061" s="211"/>
      <c r="X1061" s="211"/>
      <c r="Y1061" s="211"/>
      <c r="Z1061" s="211"/>
      <c r="AA1061" s="211"/>
    </row>
    <row r="1062" spans="1:27" s="204" customFormat="1" x14ac:dyDescent="0.25">
      <c r="B1062" s="287" t="s">
        <v>2668</v>
      </c>
      <c r="C1062" s="287" t="s">
        <v>2669</v>
      </c>
      <c r="D1062" s="274" t="s">
        <v>4127</v>
      </c>
      <c r="E1062" s="274"/>
      <c r="F1062" s="274"/>
      <c r="G1062" s="283"/>
      <c r="H1062" s="266"/>
      <c r="I1062" s="274"/>
      <c r="J1062" s="281"/>
      <c r="K1062" s="281"/>
      <c r="L1062" s="406" t="s">
        <v>4128</v>
      </c>
      <c r="M1062" s="263" t="s">
        <v>2962</v>
      </c>
      <c r="N1062" s="408">
        <f>+R1062</f>
        <v>0</v>
      </c>
      <c r="O1062" s="408">
        <f>+T1062+S1062+U1062+Q1062</f>
        <v>0</v>
      </c>
      <c r="P1062" s="271">
        <f t="shared" si="214"/>
        <v>0</v>
      </c>
      <c r="Q1062" s="527"/>
      <c r="R1062" s="354">
        <f>IF(ISERROR(VLOOKUP("SOC"&amp;$C1062,ESTR_PREC_SP!$A$2:$G$2000,4,FALSE))=TRUE,0,VLOOKUP("SOC"&amp;$C1062,ESTR_PREC_SP!$A$2:$G$2000,4,FALSE))</f>
        <v>0</v>
      </c>
      <c r="S1062" s="355"/>
      <c r="T1062" s="527"/>
      <c r="U1062" s="527"/>
      <c r="V1062" s="254"/>
      <c r="W1062" s="211"/>
      <c r="X1062" s="211"/>
      <c r="Y1062" s="211"/>
      <c r="Z1062" s="211"/>
      <c r="AA1062" s="211"/>
    </row>
    <row r="1063" spans="1:27" s="204" customFormat="1" hidden="1" x14ac:dyDescent="0.25">
      <c r="B1063" s="287" t="s">
        <v>2671</v>
      </c>
      <c r="C1063" s="287" t="s">
        <v>2672</v>
      </c>
      <c r="D1063" s="274" t="s">
        <v>4129</v>
      </c>
      <c r="E1063" s="274"/>
      <c r="F1063" s="274"/>
      <c r="G1063" s="283"/>
      <c r="H1063" s="266"/>
      <c r="I1063" s="274"/>
      <c r="J1063" s="281"/>
      <c r="K1063" s="281"/>
      <c r="L1063" s="406" t="s">
        <v>2673</v>
      </c>
      <c r="M1063" s="263" t="s">
        <v>2962</v>
      </c>
      <c r="N1063" s="408">
        <f>+R1063</f>
        <v>0</v>
      </c>
      <c r="O1063" s="408">
        <f>+T1063+S1063+U1063+Q1063</f>
        <v>0</v>
      </c>
      <c r="P1063" s="271">
        <f t="shared" si="214"/>
        <v>0</v>
      </c>
      <c r="Q1063" s="527"/>
      <c r="R1063" s="354">
        <f>IF(ISERROR(VLOOKUP("SOC"&amp;$C1063,ESTR_PREC_SP!$A$2:$G$2000,4,FALSE))=TRUE,0,VLOOKUP("SOC"&amp;$C1063,ESTR_PREC_SP!$A$2:$G$2000,4,FALSE))</f>
        <v>0</v>
      </c>
      <c r="S1063" s="355"/>
      <c r="T1063" s="527"/>
      <c r="U1063" s="527"/>
      <c r="V1063" s="254"/>
      <c r="W1063" s="211"/>
      <c r="X1063" s="211"/>
      <c r="Y1063" s="211"/>
      <c r="Z1063" s="211"/>
      <c r="AA1063" s="211"/>
    </row>
    <row r="1064" spans="1:27" s="204" customFormat="1" x14ac:dyDescent="0.25">
      <c r="B1064" s="287" t="s">
        <v>2674</v>
      </c>
      <c r="C1064" s="287" t="s">
        <v>2675</v>
      </c>
      <c r="D1064" s="274" t="s">
        <v>4130</v>
      </c>
      <c r="E1064" s="274"/>
      <c r="F1064" s="274"/>
      <c r="G1064" s="283"/>
      <c r="H1064" s="266"/>
      <c r="I1064" s="274"/>
      <c r="J1064" s="281"/>
      <c r="K1064" s="281"/>
      <c r="L1064" s="406" t="s">
        <v>4131</v>
      </c>
      <c r="M1064" s="263" t="s">
        <v>2962</v>
      </c>
      <c r="N1064" s="408">
        <f>+R1064</f>
        <v>0</v>
      </c>
      <c r="O1064" s="408">
        <f>+T1064+S1064+U1064+Q1064</f>
        <v>0</v>
      </c>
      <c r="P1064" s="271">
        <f t="shared" si="214"/>
        <v>0</v>
      </c>
      <c r="Q1064" s="527"/>
      <c r="R1064" s="354">
        <f>IF(ISERROR(VLOOKUP("SOC"&amp;$C1064,ESTR_PREC_SP!$A$2:$G$2000,4,FALSE))=TRUE,0,VLOOKUP("SOC"&amp;$C1064,ESTR_PREC_SP!$A$2:$G$2000,4,FALSE))</f>
        <v>0</v>
      </c>
      <c r="S1064" s="355"/>
      <c r="T1064" s="527"/>
      <c r="U1064" s="527"/>
      <c r="V1064" s="254"/>
      <c r="W1064" s="211"/>
      <c r="X1064" s="211"/>
      <c r="Y1064" s="211"/>
      <c r="Z1064" s="211"/>
      <c r="AA1064" s="211"/>
    </row>
    <row r="1065" spans="1:27" s="204" customFormat="1" ht="26.25" x14ac:dyDescent="0.25">
      <c r="B1065" s="230"/>
      <c r="C1065" s="230"/>
      <c r="D1065" s="230"/>
      <c r="E1065" s="230"/>
      <c r="F1065" s="230"/>
      <c r="G1065" s="230"/>
      <c r="H1065" s="231"/>
      <c r="I1065" s="230"/>
      <c r="J1065" s="230"/>
      <c r="K1065" s="230"/>
      <c r="L1065" s="344" t="s">
        <v>4132</v>
      </c>
      <c r="M1065" s="230"/>
      <c r="N1065" s="230"/>
      <c r="O1065" s="230"/>
      <c r="P1065" s="423"/>
      <c r="Q1065" s="213"/>
      <c r="R1065" s="213"/>
      <c r="S1065" s="213"/>
      <c r="T1065" s="213"/>
      <c r="U1065" s="213"/>
      <c r="V1065" s="213"/>
      <c r="W1065" s="211"/>
      <c r="X1065" s="211"/>
      <c r="Y1065" s="211"/>
      <c r="Z1065" s="211"/>
      <c r="AA1065" s="211"/>
    </row>
    <row r="1066" spans="1:27" s="204" customFormat="1" x14ac:dyDescent="0.25">
      <c r="B1066" s="230"/>
      <c r="C1066" s="230"/>
      <c r="D1066" s="230"/>
      <c r="E1066" s="230"/>
      <c r="F1066" s="230"/>
      <c r="G1066" s="230"/>
      <c r="H1066" s="231"/>
      <c r="I1066" s="230"/>
      <c r="J1066" s="230"/>
      <c r="K1066" s="230"/>
      <c r="L1066" s="514"/>
      <c r="M1066" s="230"/>
      <c r="N1066" s="230"/>
      <c r="O1066" s="230"/>
      <c r="P1066" s="423"/>
      <c r="Q1066" s="213"/>
      <c r="R1066" s="213"/>
      <c r="S1066" s="213"/>
      <c r="T1066" s="213"/>
      <c r="U1066" s="213"/>
      <c r="V1066" s="213"/>
      <c r="W1066" s="211"/>
      <c r="X1066" s="211"/>
      <c r="Y1066" s="211"/>
      <c r="Z1066" s="211"/>
      <c r="AA1066" s="211"/>
    </row>
    <row r="1067" spans="1:27" s="204" customFormat="1" x14ac:dyDescent="0.25">
      <c r="B1067" s="246" t="s">
        <v>2677</v>
      </c>
      <c r="C1067" s="246" t="s">
        <v>2678</v>
      </c>
      <c r="D1067" s="247" t="s">
        <v>4133</v>
      </c>
      <c r="E1067" s="247"/>
      <c r="F1067" s="247"/>
      <c r="G1067" s="247"/>
      <c r="H1067" s="248"/>
      <c r="I1067" s="247"/>
      <c r="J1067" s="247"/>
      <c r="K1067" s="249"/>
      <c r="L1067" s="250" t="s">
        <v>2680</v>
      </c>
      <c r="M1067" s="251" t="s">
        <v>2962</v>
      </c>
      <c r="N1067" s="252">
        <f>+N1070+N1071+N1072</f>
        <v>0</v>
      </c>
      <c r="O1067" s="252">
        <f>+O1070+O1071+O1072</f>
        <v>0</v>
      </c>
      <c r="P1067" s="253">
        <f>+O1067-N1067</f>
        <v>0</v>
      </c>
      <c r="Q1067" s="252">
        <f>+Q1070+Q1071+Q1072</f>
        <v>0</v>
      </c>
      <c r="R1067" s="252">
        <f>+R1070+R1071+R1072</f>
        <v>0</v>
      </c>
      <c r="S1067" s="252">
        <f>+T1070+T1071+T1072</f>
        <v>0</v>
      </c>
      <c r="T1067" s="252">
        <f>+T1070+T1071+T1072</f>
        <v>0</v>
      </c>
      <c r="U1067" s="252">
        <f>+U1070+U1071+U1072</f>
        <v>0</v>
      </c>
      <c r="V1067" s="211"/>
      <c r="W1067" s="211"/>
      <c r="X1067" s="211"/>
      <c r="Y1067" s="211"/>
      <c r="Z1067" s="211"/>
      <c r="AA1067" s="211"/>
    </row>
    <row r="1068" spans="1:27" s="204" customFormat="1" x14ac:dyDescent="0.25">
      <c r="B1068" s="230"/>
      <c r="C1068" s="230"/>
      <c r="D1068" s="230"/>
      <c r="E1068" s="230"/>
      <c r="F1068" s="230"/>
      <c r="G1068" s="230"/>
      <c r="H1068" s="231"/>
      <c r="I1068" s="230"/>
      <c r="J1068" s="230"/>
      <c r="K1068" s="230"/>
      <c r="L1068" s="299"/>
      <c r="M1068" s="254"/>
      <c r="N1068" s="254"/>
      <c r="O1068" s="254"/>
      <c r="P1068" s="254"/>
      <c r="Q1068" s="211"/>
      <c r="R1068" s="211"/>
      <c r="T1068" s="211"/>
      <c r="U1068" s="211"/>
      <c r="V1068" s="211"/>
      <c r="W1068" s="211"/>
      <c r="X1068" s="211"/>
      <c r="Y1068" s="211"/>
      <c r="Z1068" s="211"/>
      <c r="AA1068" s="211"/>
    </row>
    <row r="1069" spans="1:27" s="204" customFormat="1" ht="39" customHeight="1" x14ac:dyDescent="0.25">
      <c r="B1069" s="260" t="s">
        <v>2968</v>
      </c>
      <c r="C1069" s="260" t="s">
        <v>2969</v>
      </c>
      <c r="D1069" s="206" t="s">
        <v>72</v>
      </c>
      <c r="E1069" s="206"/>
      <c r="F1069" s="206"/>
      <c r="G1069" s="207"/>
      <c r="H1069" s="207"/>
      <c r="I1069" s="207"/>
      <c r="J1069" s="207" t="s">
        <v>2957</v>
      </c>
      <c r="K1069" s="206" t="s">
        <v>82</v>
      </c>
      <c r="L1069" s="261" t="s">
        <v>3670</v>
      </c>
      <c r="M1069" s="256"/>
      <c r="N1069" s="256" t="str">
        <f>N$15</f>
        <v>Valore netto al 31/12/2019</v>
      </c>
      <c r="O1069" s="256" t="str">
        <f>O$15</f>
        <v>Valore netto al 31/12/2020</v>
      </c>
      <c r="P1069" s="256" t="str">
        <f>P$15</f>
        <v>Variazione</v>
      </c>
      <c r="Q1069" s="262" t="s">
        <v>2971</v>
      </c>
      <c r="R1069" s="346" t="str">
        <f>+N1069</f>
        <v>Valore netto al 31/12/2019</v>
      </c>
      <c r="S1069" s="262" t="s">
        <v>2972</v>
      </c>
      <c r="T1069" s="262" t="str">
        <f>+T1057</f>
        <v>Entro 12 mesi (2020)</v>
      </c>
      <c r="U1069" s="262" t="str">
        <f>+U1057</f>
        <v>Oltre 12 mesi (2020)</v>
      </c>
      <c r="V1069" s="211"/>
      <c r="W1069" s="211"/>
      <c r="X1069" s="211"/>
      <c r="Y1069" s="211"/>
      <c r="Z1069" s="211"/>
      <c r="AA1069" s="211"/>
    </row>
    <row r="1070" spans="1:27" s="204" customFormat="1" x14ac:dyDescent="0.25">
      <c r="B1070" s="284" t="s">
        <v>2681</v>
      </c>
      <c r="C1070" s="284" t="s">
        <v>2682</v>
      </c>
      <c r="D1070" s="274" t="s">
        <v>4134</v>
      </c>
      <c r="E1070" s="274"/>
      <c r="F1070" s="274"/>
      <c r="G1070" s="283"/>
      <c r="H1070" s="266"/>
      <c r="I1070" s="274"/>
      <c r="J1070" s="281"/>
      <c r="K1070" s="281"/>
      <c r="L1070" s="421" t="s">
        <v>2684</v>
      </c>
      <c r="M1070" s="263" t="s">
        <v>2962</v>
      </c>
      <c r="N1070" s="408">
        <f>+R1070</f>
        <v>0</v>
      </c>
      <c r="O1070" s="408">
        <f>+T1070+S1070+U1070+Q1070</f>
        <v>0</v>
      </c>
      <c r="P1070" s="271">
        <f>+O1070-N1070</f>
        <v>0</v>
      </c>
      <c r="Q1070" s="527"/>
      <c r="R1070" s="354">
        <f>IF(ISERROR(VLOOKUP("SOC"&amp;$C1070,ESTR_PREC_SP!$A$2:$G$2000,4,FALSE))=TRUE,0,VLOOKUP("SOC"&amp;$C1070,ESTR_PREC_SP!$A$2:$G$2000,4,FALSE))</f>
        <v>0</v>
      </c>
      <c r="S1070" s="355"/>
      <c r="T1070" s="550">
        <f>+Dettaglio_SP_Soc!H788</f>
        <v>0</v>
      </c>
      <c r="U1070" s="550">
        <f>+Dettaglio_SP_Soc!I788</f>
        <v>0</v>
      </c>
      <c r="V1070" s="211"/>
      <c r="W1070" s="211"/>
      <c r="X1070" s="211"/>
      <c r="Y1070" s="211"/>
      <c r="Z1070" s="211"/>
      <c r="AA1070" s="211"/>
    </row>
    <row r="1071" spans="1:27" s="204" customFormat="1" x14ac:dyDescent="0.25">
      <c r="B1071" s="284" t="s">
        <v>2685</v>
      </c>
      <c r="C1071" s="284" t="s">
        <v>2686</v>
      </c>
      <c r="D1071" s="274" t="s">
        <v>4135</v>
      </c>
      <c r="E1071" s="274"/>
      <c r="F1071" s="274"/>
      <c r="G1071" s="283"/>
      <c r="H1071" s="266"/>
      <c r="I1071" s="274"/>
      <c r="J1071" s="281"/>
      <c r="K1071" s="281"/>
      <c r="L1071" s="421" t="s">
        <v>2688</v>
      </c>
      <c r="M1071" s="284" t="s">
        <v>2962</v>
      </c>
      <c r="N1071" s="408">
        <f>+R1071</f>
        <v>0</v>
      </c>
      <c r="O1071" s="408">
        <f>+T1071+S1071+U1071+Q1071</f>
        <v>0</v>
      </c>
      <c r="P1071" s="271">
        <f>+O1071-N1071</f>
        <v>0</v>
      </c>
      <c r="Q1071" s="527"/>
      <c r="R1071" s="354">
        <f>IF(ISERROR(VLOOKUP("SOC"&amp;$C1071,ESTR_PREC_SP!$A$2:$G$2000,4,FALSE))=TRUE,0,VLOOKUP("SOC"&amp;$C1071,ESTR_PREC_SP!$A$2:$G$2000,4,FALSE))</f>
        <v>0</v>
      </c>
      <c r="S1071" s="355"/>
      <c r="T1071" s="527"/>
      <c r="U1071" s="527"/>
      <c r="V1071" s="211"/>
      <c r="W1071" s="211"/>
      <c r="X1071" s="211"/>
      <c r="Y1071" s="211"/>
      <c r="Z1071" s="211"/>
      <c r="AA1071" s="211"/>
    </row>
    <row r="1072" spans="1:27" s="204" customFormat="1" ht="39" x14ac:dyDescent="0.25">
      <c r="A1072" s="535" t="s">
        <v>3681</v>
      </c>
      <c r="B1072" s="536" t="s">
        <v>2689</v>
      </c>
      <c r="C1072" s="536" t="s">
        <v>2690</v>
      </c>
      <c r="D1072" s="536"/>
      <c r="E1072" s="536"/>
      <c r="F1072" s="536"/>
      <c r="G1072" s="536"/>
      <c r="H1072" s="536"/>
      <c r="I1072" s="536"/>
      <c r="J1072" s="536"/>
      <c r="K1072" s="536"/>
      <c r="L1072" s="536" t="s">
        <v>2692</v>
      </c>
      <c r="M1072" s="284" t="s">
        <v>2962</v>
      </c>
      <c r="N1072" s="408">
        <f>+R1072</f>
        <v>0</v>
      </c>
      <c r="O1072" s="408">
        <f>+T1072+S1072+U1072+Q1072</f>
        <v>0</v>
      </c>
      <c r="P1072" s="271">
        <f>+O1072-N1072</f>
        <v>0</v>
      </c>
      <c r="Q1072" s="527"/>
      <c r="R1072" s="354">
        <f>IF(ISERROR(VLOOKUP("SOC"&amp;$C1072,ESTR_PREC_SP!$A$2:$G$2000,4,FALSE))=TRUE,0,VLOOKUP("SOC"&amp;$C1072,ESTR_PREC_SP!$A$2:$G$2000,4,FALSE))</f>
        <v>0</v>
      </c>
      <c r="S1072" s="355"/>
      <c r="T1072" s="527"/>
      <c r="U1072" s="527"/>
      <c r="V1072" s="211"/>
      <c r="W1072" s="211"/>
      <c r="X1072" s="211"/>
      <c r="Y1072" s="211"/>
      <c r="Z1072" s="211"/>
      <c r="AA1072" s="211"/>
    </row>
    <row r="1073" spans="1:27" s="204" customFormat="1" ht="26.25" x14ac:dyDescent="0.25">
      <c r="B1073" s="384"/>
      <c r="C1073" s="384"/>
      <c r="D1073" s="382"/>
      <c r="E1073" s="382"/>
      <c r="F1073" s="382"/>
      <c r="G1073" s="382"/>
      <c r="H1073" s="382"/>
      <c r="I1073" s="382"/>
      <c r="J1073" s="382"/>
      <c r="K1073" s="382"/>
      <c r="L1073" s="344" t="s">
        <v>4136</v>
      </c>
      <c r="M1073" s="275"/>
      <c r="N1073" s="383"/>
      <c r="O1073" s="383"/>
      <c r="P1073" s="384"/>
      <c r="Q1073" s="211"/>
      <c r="R1073" s="211"/>
      <c r="S1073" s="211"/>
      <c r="T1073" s="211"/>
      <c r="U1073" s="211"/>
      <c r="V1073" s="211"/>
      <c r="W1073" s="211"/>
      <c r="X1073" s="211"/>
      <c r="Y1073" s="211"/>
      <c r="Z1073" s="211"/>
      <c r="AA1073" s="211"/>
    </row>
    <row r="1074" spans="1:27" s="217" customFormat="1" x14ac:dyDescent="0.25">
      <c r="A1074" s="204"/>
      <c r="B1074" s="230"/>
      <c r="C1074" s="230"/>
      <c r="D1074" s="230"/>
      <c r="E1074" s="230"/>
      <c r="F1074" s="230"/>
      <c r="G1074" s="230"/>
      <c r="H1074" s="231"/>
      <c r="I1074" s="230"/>
      <c r="J1074" s="230"/>
      <c r="K1074" s="230"/>
      <c r="L1074" s="232"/>
      <c r="M1074" s="211"/>
      <c r="N1074" s="254"/>
      <c r="O1074" s="211"/>
      <c r="P1074" s="211"/>
      <c r="Q1074" s="211"/>
      <c r="R1074" s="216"/>
      <c r="S1074" s="216"/>
      <c r="T1074" s="216"/>
      <c r="U1074" s="216"/>
      <c r="V1074" s="216"/>
      <c r="W1074" s="211"/>
      <c r="X1074" s="211"/>
      <c r="Y1074" s="211"/>
      <c r="Z1074" s="211"/>
      <c r="AA1074" s="211"/>
    </row>
    <row r="1075" spans="1:27" s="204" customFormat="1" x14ac:dyDescent="0.25">
      <c r="B1075" s="233" t="s">
        <v>2693</v>
      </c>
      <c r="C1075" s="233" t="s">
        <v>2694</v>
      </c>
      <c r="D1075" s="234" t="s">
        <v>4137</v>
      </c>
      <c r="E1075" s="234"/>
      <c r="F1075" s="234"/>
      <c r="G1075" s="234"/>
      <c r="H1075" s="235"/>
      <c r="I1075" s="234"/>
      <c r="J1075" s="234"/>
      <c r="K1075" s="234"/>
      <c r="L1075" s="236" t="s">
        <v>4138</v>
      </c>
      <c r="M1075" s="237" t="s">
        <v>2962</v>
      </c>
      <c r="N1075" s="238">
        <f>+SUM(N1078:N1082)</f>
        <v>0</v>
      </c>
      <c r="O1075" s="238">
        <f>+SUM(O1078:O1082)</f>
        <v>0</v>
      </c>
      <c r="P1075" s="239">
        <f>SUM(P1078:P1087)</f>
        <v>0</v>
      </c>
      <c r="Q1075" s="211"/>
      <c r="R1075" s="216"/>
      <c r="S1075" s="238">
        <f>+SUM(S1078:S1082)</f>
        <v>0</v>
      </c>
      <c r="T1075" s="225" t="str">
        <f>IF(S1075&lt;&gt;0,"SQUADRATURA CONTI ORDINE PASSIVO  PER GIROCONTI SU NUOVI CONTI SP","")</f>
        <v/>
      </c>
      <c r="U1075" s="216"/>
      <c r="V1075" s="216"/>
      <c r="W1075" s="211"/>
      <c r="X1075" s="211"/>
      <c r="Y1075" s="211"/>
      <c r="Z1075" s="211"/>
      <c r="AA1075" s="211"/>
    </row>
    <row r="1076" spans="1:27" s="204" customFormat="1" x14ac:dyDescent="0.25">
      <c r="B1076" s="230"/>
      <c r="C1076" s="230"/>
      <c r="D1076" s="230"/>
      <c r="E1076" s="230"/>
      <c r="F1076" s="230"/>
      <c r="G1076" s="230"/>
      <c r="H1076" s="231"/>
      <c r="I1076" s="230"/>
      <c r="J1076" s="230"/>
      <c r="K1076" s="230"/>
      <c r="L1076" s="315"/>
      <c r="M1076" s="216"/>
      <c r="N1076" s="278"/>
      <c r="O1076" s="278"/>
      <c r="P1076" s="278"/>
      <c r="Q1076" s="211"/>
      <c r="R1076" s="216"/>
      <c r="S1076" s="216"/>
      <c r="T1076" s="216"/>
      <c r="U1076" s="216"/>
      <c r="V1076" s="216"/>
      <c r="W1076" s="211"/>
      <c r="X1076" s="211"/>
      <c r="Y1076" s="211"/>
      <c r="Z1076" s="211"/>
      <c r="AA1076" s="211"/>
    </row>
    <row r="1077" spans="1:27" s="204" customFormat="1" ht="39" customHeight="1" x14ac:dyDescent="0.25">
      <c r="B1077" s="260" t="s">
        <v>2968</v>
      </c>
      <c r="C1077" s="260" t="s">
        <v>2969</v>
      </c>
      <c r="D1077" s="206" t="s">
        <v>72</v>
      </c>
      <c r="E1077" s="206"/>
      <c r="F1077" s="206"/>
      <c r="G1077" s="207"/>
      <c r="H1077" s="207"/>
      <c r="I1077" s="207"/>
      <c r="J1077" s="207" t="s">
        <v>2957</v>
      </c>
      <c r="K1077" s="206" t="s">
        <v>82</v>
      </c>
      <c r="L1077" s="261" t="s">
        <v>3670</v>
      </c>
      <c r="M1077" s="256"/>
      <c r="N1077" s="256" t="str">
        <f>N$15</f>
        <v>Valore netto al 31/12/2019</v>
      </c>
      <c r="O1077" s="256" t="str">
        <f>O$15</f>
        <v>Valore netto al 31/12/2020</v>
      </c>
      <c r="P1077" s="256" t="str">
        <f>P$15</f>
        <v>Variazione</v>
      </c>
      <c r="Q1077" s="262" t="s">
        <v>2971</v>
      </c>
      <c r="R1077" s="346" t="s">
        <v>3517</v>
      </c>
      <c r="S1077" s="262" t="s">
        <v>2972</v>
      </c>
      <c r="T1077" s="346" t="s">
        <v>3495</v>
      </c>
      <c r="U1077" s="346" t="s">
        <v>3496</v>
      </c>
      <c r="V1077" s="346" t="s">
        <v>3815</v>
      </c>
      <c r="W1077" s="211"/>
      <c r="X1077" s="211"/>
      <c r="Y1077" s="211"/>
      <c r="Z1077" s="211"/>
      <c r="AA1077" s="211"/>
    </row>
    <row r="1078" spans="1:27" s="204" customFormat="1" x14ac:dyDescent="0.25">
      <c r="B1078" s="284" t="s">
        <v>2696</v>
      </c>
      <c r="C1078" s="284" t="s">
        <v>2697</v>
      </c>
      <c r="D1078" s="274" t="s">
        <v>4139</v>
      </c>
      <c r="E1078" s="274"/>
      <c r="F1078" s="274"/>
      <c r="G1078" s="283"/>
      <c r="H1078" s="266"/>
      <c r="I1078" s="427"/>
      <c r="J1078" s="281"/>
      <c r="K1078" s="281"/>
      <c r="L1078" s="422" t="s">
        <v>4140</v>
      </c>
      <c r="M1078" s="284" t="s">
        <v>2962</v>
      </c>
      <c r="N1078" s="408">
        <f>+R1078</f>
        <v>0</v>
      </c>
      <c r="O1078" s="408">
        <f>V1078</f>
        <v>0</v>
      </c>
      <c r="P1078" s="271">
        <f>+O1078-N1078</f>
        <v>0</v>
      </c>
      <c r="Q1078" s="527"/>
      <c r="R1078" s="354">
        <f>IF(ISERROR(VLOOKUP("SOC"&amp;$C1078,ESTR_PREC_SP!$A$2:$G$2000,4,FALSE))=TRUE,0,VLOOKUP("SOC"&amp;$C1078,ESTR_PREC_SP!$A$2:$G$2000,4,FALSE))</f>
        <v>0</v>
      </c>
      <c r="S1078" s="527"/>
      <c r="T1078" s="527"/>
      <c r="U1078" s="527"/>
      <c r="V1078" s="526">
        <f>+R1078+T1078-U1078+Q1078+S1078</f>
        <v>0</v>
      </c>
      <c r="W1078" s="211"/>
      <c r="X1078" s="211"/>
      <c r="Y1078" s="211"/>
      <c r="Z1078" s="211"/>
      <c r="AA1078" s="211"/>
    </row>
    <row r="1079" spans="1:27" s="204" customFormat="1" x14ac:dyDescent="0.25">
      <c r="B1079" s="284" t="s">
        <v>2701</v>
      </c>
      <c r="C1079" s="284" t="s">
        <v>2702</v>
      </c>
      <c r="D1079" s="274" t="s">
        <v>4141</v>
      </c>
      <c r="E1079" s="274"/>
      <c r="F1079" s="274"/>
      <c r="G1079" s="283"/>
      <c r="H1079" s="266"/>
      <c r="I1079" s="427"/>
      <c r="J1079" s="281"/>
      <c r="K1079" s="281"/>
      <c r="L1079" s="422" t="s">
        <v>4142</v>
      </c>
      <c r="M1079" s="284" t="s">
        <v>2962</v>
      </c>
      <c r="N1079" s="408">
        <f>+R1079</f>
        <v>0</v>
      </c>
      <c r="O1079" s="408">
        <f>V1079</f>
        <v>0</v>
      </c>
      <c r="P1079" s="271">
        <f>+O1079-N1079</f>
        <v>0</v>
      </c>
      <c r="Q1079" s="527"/>
      <c r="R1079" s="354">
        <f>IF(ISERROR(VLOOKUP("SOC"&amp;$C1079,ESTR_PREC_SP!$A$2:$G$2000,4,FALSE))=TRUE,0,VLOOKUP("SOC"&amp;$C1079,ESTR_PREC_SP!$A$2:$G$2000,4,FALSE))</f>
        <v>0</v>
      </c>
      <c r="S1079" s="527"/>
      <c r="T1079" s="527"/>
      <c r="U1079" s="527"/>
      <c r="V1079" s="526">
        <f>+R1079+T1079-U1079+Q1079+S1079</f>
        <v>0</v>
      </c>
      <c r="W1079" s="211"/>
      <c r="X1079" s="211"/>
      <c r="Y1079" s="211"/>
      <c r="Z1079" s="211"/>
      <c r="AA1079" s="211"/>
    </row>
    <row r="1080" spans="1:27" s="204" customFormat="1" x14ac:dyDescent="0.25">
      <c r="B1080" s="284" t="s">
        <v>2706</v>
      </c>
      <c r="C1080" s="284" t="s">
        <v>2707</v>
      </c>
      <c r="D1080" s="274" t="s">
        <v>4143</v>
      </c>
      <c r="E1080" s="274"/>
      <c r="F1080" s="274"/>
      <c r="G1080" s="283"/>
      <c r="H1080" s="266"/>
      <c r="I1080" s="427"/>
      <c r="J1080" s="281"/>
      <c r="K1080" s="281"/>
      <c r="L1080" s="422" t="s">
        <v>4144</v>
      </c>
      <c r="M1080" s="284" t="s">
        <v>2962</v>
      </c>
      <c r="N1080" s="408">
        <f>+R1080</f>
        <v>0</v>
      </c>
      <c r="O1080" s="408">
        <f>V1080</f>
        <v>0</v>
      </c>
      <c r="P1080" s="271">
        <f>+O1080-N1080</f>
        <v>0</v>
      </c>
      <c r="Q1080" s="527"/>
      <c r="R1080" s="354">
        <f>IF(ISERROR(VLOOKUP("SOC"&amp;$C1080,ESTR_PREC_SP!$A$2:$G$2000,4,FALSE))=TRUE,0,VLOOKUP("SOC"&amp;$C1080,ESTR_PREC_SP!$A$2:$G$2000,4,FALSE))</f>
        <v>0</v>
      </c>
      <c r="S1080" s="527"/>
      <c r="T1080" s="527"/>
      <c r="U1080" s="527"/>
      <c r="V1080" s="526">
        <f>+R1080+T1080-U1080+Q1080+S1080</f>
        <v>0</v>
      </c>
      <c r="W1080" s="211"/>
      <c r="X1080" s="211"/>
      <c r="Y1080" s="211"/>
      <c r="Z1080" s="211"/>
      <c r="AA1080" s="211"/>
    </row>
    <row r="1081" spans="1:27" s="204" customFormat="1" x14ac:dyDescent="0.25">
      <c r="A1081" s="535" t="s">
        <v>68</v>
      </c>
      <c r="B1081" s="536" t="s">
        <v>2711</v>
      </c>
      <c r="C1081" s="536" t="s">
        <v>2712</v>
      </c>
      <c r="D1081" s="536"/>
      <c r="E1081" s="536"/>
      <c r="F1081" s="536"/>
      <c r="G1081" s="536"/>
      <c r="H1081" s="536"/>
      <c r="I1081" s="536"/>
      <c r="J1081" s="536"/>
      <c r="K1081" s="536"/>
      <c r="L1081" s="536" t="s">
        <v>2715</v>
      </c>
      <c r="M1081" s="284" t="s">
        <v>2962</v>
      </c>
      <c r="N1081" s="408">
        <f>+R1081</f>
        <v>0</v>
      </c>
      <c r="O1081" s="408">
        <f>V1081</f>
        <v>0</v>
      </c>
      <c r="P1081" s="271">
        <f>+O1081-N1081</f>
        <v>0</v>
      </c>
      <c r="Q1081" s="527"/>
      <c r="R1081" s="354">
        <f>IF(ISERROR(VLOOKUP("SOC"&amp;$C1081,ESTR_PREC_SP!$A$2:$G$2000,4,FALSE))=TRUE,0,VLOOKUP("SOC"&amp;$C1081,ESTR_PREC_SP!$A$2:$G$2000,4,FALSE))</f>
        <v>0</v>
      </c>
      <c r="S1081" s="527"/>
      <c r="T1081" s="527"/>
      <c r="U1081" s="527"/>
      <c r="V1081" s="526">
        <f>+R1081+T1081-U1081+Q1081+S1081</f>
        <v>0</v>
      </c>
      <c r="W1081" s="211"/>
      <c r="X1081" s="211"/>
      <c r="Y1081" s="211"/>
      <c r="Z1081" s="211"/>
      <c r="AA1081" s="211"/>
    </row>
    <row r="1082" spans="1:27" s="204" customFormat="1" x14ac:dyDescent="0.25">
      <c r="B1082" s="284" t="s">
        <v>2716</v>
      </c>
      <c r="C1082" s="284" t="s">
        <v>2717</v>
      </c>
      <c r="D1082" s="274" t="s">
        <v>4145</v>
      </c>
      <c r="E1082" s="274"/>
      <c r="F1082" s="274"/>
      <c r="G1082" s="283"/>
      <c r="H1082" s="266"/>
      <c r="I1082" s="427"/>
      <c r="J1082" s="281"/>
      <c r="K1082" s="281"/>
      <c r="L1082" s="422" t="s">
        <v>4146</v>
      </c>
      <c r="M1082" s="284" t="s">
        <v>2962</v>
      </c>
      <c r="N1082" s="378">
        <f>SUM(N1083:N1096)</f>
        <v>0</v>
      </c>
      <c r="O1082" s="378">
        <f>SUM(O1083:O1096)</f>
        <v>0</v>
      </c>
      <c r="P1082" s="378">
        <f>+O1082-N1082</f>
        <v>0</v>
      </c>
      <c r="Q1082" s="378">
        <f>SUM(Q1083:Q1096)</f>
        <v>0</v>
      </c>
      <c r="R1082" s="378">
        <f>SUM(R1084:R1086)+SUM(R1088:R1091)+SUM(R1093:R1096)</f>
        <v>0</v>
      </c>
      <c r="S1082" s="378">
        <f>SUM(S1083:S1096)</f>
        <v>0</v>
      </c>
      <c r="T1082" s="378">
        <f>SUM(T1083:T1096)</f>
        <v>0</v>
      </c>
      <c r="U1082" s="378">
        <f>SUM(U1083:U1096)</f>
        <v>0</v>
      </c>
      <c r="V1082" s="537">
        <f>+R1082+T1082-U1082</f>
        <v>0</v>
      </c>
      <c r="W1082" s="211"/>
      <c r="X1082" s="211"/>
      <c r="Y1082" s="211"/>
      <c r="Z1082" s="211"/>
      <c r="AA1082" s="211"/>
    </row>
    <row r="1083" spans="1:27" s="204" customFormat="1" x14ac:dyDescent="0.25">
      <c r="B1083" s="284" t="s">
        <v>2720</v>
      </c>
      <c r="C1083" s="284" t="s">
        <v>2721</v>
      </c>
      <c r="D1083" s="274" t="s">
        <v>4147</v>
      </c>
      <c r="E1083" s="274"/>
      <c r="F1083" s="274"/>
      <c r="G1083" s="283"/>
      <c r="H1083" s="266"/>
      <c r="I1083" s="427"/>
      <c r="J1083" s="281"/>
      <c r="K1083" s="281"/>
      <c r="L1083" s="422" t="s">
        <v>4190</v>
      </c>
      <c r="M1083" s="284" t="s">
        <v>2962</v>
      </c>
      <c r="N1083" s="354"/>
      <c r="O1083" s="354"/>
      <c r="P1083" s="354"/>
      <c r="Q1083" s="354"/>
      <c r="R1083" s="354"/>
      <c r="S1083" s="354"/>
      <c r="T1083" s="354"/>
      <c r="U1083" s="354"/>
      <c r="V1083" s="354"/>
      <c r="W1083" s="211"/>
      <c r="X1083" s="211"/>
      <c r="Y1083" s="211"/>
      <c r="Z1083" s="211"/>
      <c r="AA1083" s="211"/>
    </row>
    <row r="1084" spans="1:27" s="204" customFormat="1" x14ac:dyDescent="0.25">
      <c r="B1084" s="284" t="s">
        <v>2723</v>
      </c>
      <c r="C1084" s="284" t="s">
        <v>2724</v>
      </c>
      <c r="D1084" s="274" t="s">
        <v>4149</v>
      </c>
      <c r="E1084" s="274"/>
      <c r="F1084" s="274"/>
      <c r="G1084" s="283"/>
      <c r="H1084" s="266"/>
      <c r="I1084" s="427"/>
      <c r="J1084" s="281"/>
      <c r="K1084" s="281"/>
      <c r="L1084" s="430" t="s">
        <v>4191</v>
      </c>
      <c r="M1084" s="284" t="s">
        <v>2962</v>
      </c>
      <c r="N1084" s="408">
        <f>+R1084</f>
        <v>0</v>
      </c>
      <c r="O1084" s="408">
        <f>V1084</f>
        <v>0</v>
      </c>
      <c r="P1084" s="271">
        <f>+O1084-N1084</f>
        <v>0</v>
      </c>
      <c r="Q1084" s="527"/>
      <c r="R1084" s="354">
        <f>IF(ISERROR(VLOOKUP("SOC"&amp;$C1084,ESTR_PREC_SP!$A$2:$G$2000,4,FALSE))=TRUE,0,VLOOKUP("SOC"&amp;$C1084,ESTR_PREC_SP!$A$2:$G$2000,4,FALSE))</f>
        <v>0</v>
      </c>
      <c r="S1084" s="527"/>
      <c r="T1084" s="527"/>
      <c r="U1084" s="527"/>
      <c r="V1084" s="526">
        <f>+R1084+T1084-U1084+Q1084+S1084</f>
        <v>0</v>
      </c>
      <c r="W1084" s="211"/>
      <c r="X1084" s="211"/>
      <c r="Y1084" s="211"/>
      <c r="Z1084" s="211"/>
      <c r="AA1084" s="211"/>
    </row>
    <row r="1085" spans="1:27" s="204" customFormat="1" x14ac:dyDescent="0.25">
      <c r="B1085" s="284" t="s">
        <v>2725</v>
      </c>
      <c r="C1085" s="284" t="s">
        <v>2726</v>
      </c>
      <c r="D1085" s="274" t="s">
        <v>4151</v>
      </c>
      <c r="E1085" s="274"/>
      <c r="F1085" s="274"/>
      <c r="G1085" s="283"/>
      <c r="H1085" s="266"/>
      <c r="I1085" s="427"/>
      <c r="J1085" s="281"/>
      <c r="K1085" s="281"/>
      <c r="L1085" s="430" t="s">
        <v>4192</v>
      </c>
      <c r="M1085" s="284" t="s">
        <v>2962</v>
      </c>
      <c r="N1085" s="408">
        <f>+R1085</f>
        <v>0</v>
      </c>
      <c r="O1085" s="408">
        <f>V1085</f>
        <v>0</v>
      </c>
      <c r="P1085" s="271">
        <f>+O1085-N1085</f>
        <v>0</v>
      </c>
      <c r="Q1085" s="527"/>
      <c r="R1085" s="354">
        <f>IF(ISERROR(VLOOKUP("SOC"&amp;$C1085,ESTR_PREC_SP!$A$2:$G$2000,4,FALSE))=TRUE,0,VLOOKUP("SOC"&amp;$C1085,ESTR_PREC_SP!$A$2:$G$2000,4,FALSE))</f>
        <v>0</v>
      </c>
      <c r="S1085" s="527"/>
      <c r="T1085" s="527"/>
      <c r="U1085" s="527"/>
      <c r="V1085" s="526">
        <f>+R1085+T1085-U1085+Q1085+S1085</f>
        <v>0</v>
      </c>
      <c r="W1085" s="211"/>
      <c r="X1085" s="211"/>
      <c r="Y1085" s="211"/>
      <c r="Z1085" s="211"/>
      <c r="AA1085" s="211"/>
    </row>
    <row r="1086" spans="1:27" s="204" customFormat="1" x14ac:dyDescent="0.25">
      <c r="B1086" s="284" t="s">
        <v>2727</v>
      </c>
      <c r="C1086" s="284" t="s">
        <v>2728</v>
      </c>
      <c r="D1086" s="274" t="s">
        <v>4153</v>
      </c>
      <c r="E1086" s="274"/>
      <c r="F1086" s="274"/>
      <c r="G1086" s="283"/>
      <c r="H1086" s="266"/>
      <c r="I1086" s="427"/>
      <c r="J1086" s="281"/>
      <c r="K1086" s="281"/>
      <c r="L1086" s="430" t="s">
        <v>4193</v>
      </c>
      <c r="M1086" s="284" t="s">
        <v>2962</v>
      </c>
      <c r="N1086" s="408">
        <f>+R1086</f>
        <v>0</v>
      </c>
      <c r="O1086" s="408">
        <f>V1086</f>
        <v>0</v>
      </c>
      <c r="P1086" s="271">
        <f>+O1086-N1086</f>
        <v>0</v>
      </c>
      <c r="Q1086" s="527"/>
      <c r="R1086" s="354">
        <f>IF(ISERROR(VLOOKUP("SOC"&amp;$C1086,ESTR_PREC_SP!$A$2:$G$2000,4,FALSE))=TRUE,0,VLOOKUP("SOC"&amp;$C1086,ESTR_PREC_SP!$A$2:$G$2000,4,FALSE))</f>
        <v>0</v>
      </c>
      <c r="S1086" s="527"/>
      <c r="T1086" s="527"/>
      <c r="U1086" s="527"/>
      <c r="V1086" s="526">
        <f>+R1086+T1086-U1086+Q1086+S1086</f>
        <v>0</v>
      </c>
      <c r="W1086" s="211"/>
      <c r="X1086" s="211"/>
      <c r="Y1086" s="211"/>
      <c r="Z1086" s="211"/>
      <c r="AA1086" s="211"/>
    </row>
    <row r="1087" spans="1:27" s="204" customFormat="1" x14ac:dyDescent="0.25">
      <c r="B1087" s="284" t="s">
        <v>2729</v>
      </c>
      <c r="C1087" s="284" t="s">
        <v>2730</v>
      </c>
      <c r="D1087" s="274" t="s">
        <v>4155</v>
      </c>
      <c r="E1087" s="274"/>
      <c r="F1087" s="274"/>
      <c r="G1087" s="283"/>
      <c r="H1087" s="266"/>
      <c r="I1087" s="427"/>
      <c r="J1087" s="281"/>
      <c r="K1087" s="281"/>
      <c r="L1087" s="422" t="s">
        <v>4194</v>
      </c>
      <c r="M1087" s="284" t="s">
        <v>2962</v>
      </c>
      <c r="N1087" s="354"/>
      <c r="O1087" s="354"/>
      <c r="P1087" s="354"/>
      <c r="Q1087" s="354"/>
      <c r="R1087" s="354"/>
      <c r="S1087" s="354"/>
      <c r="T1087" s="354"/>
      <c r="U1087" s="354"/>
      <c r="V1087" s="354"/>
      <c r="W1087" s="211"/>
      <c r="X1087" s="211"/>
      <c r="Y1087" s="211"/>
      <c r="Z1087" s="211"/>
      <c r="AA1087" s="211"/>
    </row>
    <row r="1088" spans="1:27" s="204" customFormat="1" x14ac:dyDescent="0.25">
      <c r="B1088" s="284" t="s">
        <v>2732</v>
      </c>
      <c r="C1088" s="284" t="s">
        <v>2733</v>
      </c>
      <c r="D1088" s="274" t="s">
        <v>4157</v>
      </c>
      <c r="E1088" s="274"/>
      <c r="F1088" s="274"/>
      <c r="G1088" s="283"/>
      <c r="H1088" s="266"/>
      <c r="I1088" s="427"/>
      <c r="J1088" s="281"/>
      <c r="K1088" s="281"/>
      <c r="L1088" s="430" t="s">
        <v>4195</v>
      </c>
      <c r="M1088" s="284" t="s">
        <v>2962</v>
      </c>
      <c r="N1088" s="408">
        <f>+R1088</f>
        <v>0</v>
      </c>
      <c r="O1088" s="408">
        <f>V1088</f>
        <v>0</v>
      </c>
      <c r="P1088" s="271">
        <f>+O1088-N1088</f>
        <v>0</v>
      </c>
      <c r="Q1088" s="527"/>
      <c r="R1088" s="354">
        <f>IF(ISERROR(VLOOKUP("SOC"&amp;$C1088,ESTR_PREC_SP!$A$2:$G$2000,4,FALSE))=TRUE,0,VLOOKUP("SOC"&amp;$C1088,ESTR_PREC_SP!$A$2:$G$2000,4,FALSE))</f>
        <v>0</v>
      </c>
      <c r="S1088" s="527"/>
      <c r="T1088" s="527"/>
      <c r="U1088" s="527"/>
      <c r="V1088" s="526">
        <f>+R1088+T1088-U1088+Q1088+S1088</f>
        <v>0</v>
      </c>
      <c r="W1088" s="211"/>
      <c r="X1088" s="211"/>
      <c r="Y1088" s="211"/>
      <c r="Z1088" s="211"/>
      <c r="AA1088" s="211"/>
    </row>
    <row r="1089" spans="1:27" s="204" customFormat="1" x14ac:dyDescent="0.25">
      <c r="B1089" s="284" t="s">
        <v>2734</v>
      </c>
      <c r="C1089" s="284" t="s">
        <v>2735</v>
      </c>
      <c r="D1089" s="274" t="s">
        <v>4159</v>
      </c>
      <c r="E1089" s="274"/>
      <c r="F1089" s="274"/>
      <c r="G1089" s="283"/>
      <c r="H1089" s="266"/>
      <c r="I1089" s="427"/>
      <c r="J1089" s="281"/>
      <c r="K1089" s="281"/>
      <c r="L1089" s="430" t="s">
        <v>4196</v>
      </c>
      <c r="M1089" s="284" t="s">
        <v>2962</v>
      </c>
      <c r="N1089" s="408">
        <f>+R1089</f>
        <v>0</v>
      </c>
      <c r="O1089" s="408">
        <f>V1089</f>
        <v>0</v>
      </c>
      <c r="P1089" s="271">
        <f>+O1089-N1089</f>
        <v>0</v>
      </c>
      <c r="Q1089" s="527"/>
      <c r="R1089" s="354">
        <f>IF(ISERROR(VLOOKUP("SOC"&amp;$C1089,ESTR_PREC_SP!$A$2:$G$2000,4,FALSE))=TRUE,0,VLOOKUP("SOC"&amp;$C1089,ESTR_PREC_SP!$A$2:$G$2000,4,FALSE))</f>
        <v>0</v>
      </c>
      <c r="S1089" s="527"/>
      <c r="T1089" s="527"/>
      <c r="U1089" s="527"/>
      <c r="V1089" s="526">
        <f>+R1089+T1089-U1089+Q1089+S1089</f>
        <v>0</v>
      </c>
      <c r="W1089" s="211"/>
      <c r="X1089" s="211"/>
      <c r="Y1089" s="211"/>
      <c r="Z1089" s="211"/>
      <c r="AA1089" s="211"/>
    </row>
    <row r="1090" spans="1:27" s="204" customFormat="1" x14ac:dyDescent="0.25">
      <c r="B1090" s="284" t="s">
        <v>2736</v>
      </c>
      <c r="C1090" s="284" t="s">
        <v>2737</v>
      </c>
      <c r="D1090" s="274" t="s">
        <v>4161</v>
      </c>
      <c r="E1090" s="274"/>
      <c r="F1090" s="274"/>
      <c r="G1090" s="283"/>
      <c r="H1090" s="266"/>
      <c r="I1090" s="427"/>
      <c r="J1090" s="281"/>
      <c r="K1090" s="281"/>
      <c r="L1090" s="430" t="s">
        <v>4197</v>
      </c>
      <c r="M1090" s="284" t="s">
        <v>2962</v>
      </c>
      <c r="N1090" s="408">
        <f>+R1090</f>
        <v>0</v>
      </c>
      <c r="O1090" s="408">
        <f>V1090</f>
        <v>0</v>
      </c>
      <c r="P1090" s="271">
        <f>+O1090-N1090</f>
        <v>0</v>
      </c>
      <c r="Q1090" s="527"/>
      <c r="R1090" s="354">
        <f>IF(ISERROR(VLOOKUP("SOC"&amp;$C1090,ESTR_PREC_SP!$A$2:$G$2000,4,FALSE))=TRUE,0,VLOOKUP("SOC"&amp;$C1090,ESTR_PREC_SP!$A$2:$G$2000,4,FALSE))</f>
        <v>0</v>
      </c>
      <c r="S1090" s="527"/>
      <c r="T1090" s="527"/>
      <c r="U1090" s="527"/>
      <c r="V1090" s="526">
        <f>+R1090+T1090-U1090+Q1090+S1090</f>
        <v>0</v>
      </c>
      <c r="W1090" s="211"/>
      <c r="X1090" s="211"/>
      <c r="Y1090" s="211"/>
      <c r="Z1090" s="211"/>
      <c r="AA1090" s="211"/>
    </row>
    <row r="1091" spans="1:27" x14ac:dyDescent="0.25">
      <c r="A1091" s="204"/>
      <c r="B1091" s="284" t="s">
        <v>2738</v>
      </c>
      <c r="C1091" s="284" t="s">
        <v>2739</v>
      </c>
      <c r="D1091" s="274" t="s">
        <v>4163</v>
      </c>
      <c r="E1091" s="274"/>
      <c r="F1091" s="274"/>
      <c r="G1091" s="283"/>
      <c r="H1091" s="266"/>
      <c r="I1091" s="427"/>
      <c r="J1091" s="281"/>
      <c r="K1091" s="281"/>
      <c r="L1091" s="422" t="s">
        <v>4198</v>
      </c>
      <c r="M1091" s="284" t="s">
        <v>2962</v>
      </c>
      <c r="N1091" s="408">
        <f>+R1091</f>
        <v>0</v>
      </c>
      <c r="O1091" s="408">
        <f>V1091</f>
        <v>0</v>
      </c>
      <c r="P1091" s="271">
        <f>+O1091-N1091</f>
        <v>0</v>
      </c>
      <c r="Q1091" s="527"/>
      <c r="R1091" s="354">
        <f>IF(ISERROR(VLOOKUP("SOC"&amp;$C1091,ESTR_PREC_SP!$A$2:$G$2000,4,FALSE))=TRUE,0,VLOOKUP("SOC"&amp;$C1091,ESTR_PREC_SP!$A$2:$G$2000,4,FALSE))</f>
        <v>0</v>
      </c>
      <c r="S1091" s="527"/>
      <c r="T1091" s="527"/>
      <c r="U1091" s="527"/>
      <c r="V1091" s="526">
        <f>+R1091+T1091-U1091+Q1091+S1091</f>
        <v>0</v>
      </c>
    </row>
    <row r="1092" spans="1:27" x14ac:dyDescent="0.25">
      <c r="A1092" s="204"/>
      <c r="B1092" s="284" t="s">
        <v>2740</v>
      </c>
      <c r="C1092" s="284" t="s">
        <v>2741</v>
      </c>
      <c r="D1092" s="274" t="s">
        <v>4165</v>
      </c>
      <c r="E1092" s="274"/>
      <c r="F1092" s="274"/>
      <c r="G1092" s="283"/>
      <c r="H1092" s="266"/>
      <c r="I1092" s="427"/>
      <c r="J1092" s="281"/>
      <c r="K1092" s="281"/>
      <c r="L1092" s="422" t="s">
        <v>4199</v>
      </c>
      <c r="M1092" s="284" t="s">
        <v>2962</v>
      </c>
      <c r="N1092" s="354"/>
      <c r="O1092" s="354"/>
      <c r="P1092" s="354"/>
      <c r="Q1092" s="354"/>
      <c r="R1092" s="354"/>
      <c r="S1092" s="354"/>
      <c r="T1092" s="354"/>
      <c r="U1092" s="354"/>
      <c r="V1092" s="354"/>
    </row>
    <row r="1093" spans="1:27" x14ac:dyDescent="0.25">
      <c r="A1093" s="204"/>
      <c r="B1093" s="284" t="s">
        <v>2742</v>
      </c>
      <c r="C1093" s="284" t="s">
        <v>2743</v>
      </c>
      <c r="D1093" s="274" t="s">
        <v>4167</v>
      </c>
      <c r="E1093" s="274"/>
      <c r="F1093" s="274"/>
      <c r="G1093" s="283"/>
      <c r="H1093" s="266"/>
      <c r="I1093" s="427"/>
      <c r="J1093" s="281"/>
      <c r="K1093" s="281"/>
      <c r="L1093" s="430" t="s">
        <v>4200</v>
      </c>
      <c r="M1093" s="284" t="s">
        <v>2962</v>
      </c>
      <c r="N1093" s="408">
        <f>+R1093</f>
        <v>0</v>
      </c>
      <c r="O1093" s="408">
        <f>V1093</f>
        <v>0</v>
      </c>
      <c r="P1093" s="271">
        <f>+O1093-N1093</f>
        <v>0</v>
      </c>
      <c r="Q1093" s="527"/>
      <c r="R1093" s="354">
        <f>IF(ISERROR(VLOOKUP("SOC"&amp;$C1093,ESTR_PREC_SP!$A$2:$G$2000,4,FALSE))=TRUE,0,VLOOKUP("SOC"&amp;$C1093,ESTR_PREC_SP!$A$2:$G$2000,4,FALSE))</f>
        <v>0</v>
      </c>
      <c r="S1093" s="527"/>
      <c r="T1093" s="527"/>
      <c r="U1093" s="527"/>
      <c r="V1093" s="526">
        <f>+R1093+T1093-U1093+Q1093+S1093</f>
        <v>0</v>
      </c>
    </row>
    <row r="1094" spans="1:27" x14ac:dyDescent="0.25">
      <c r="A1094" s="204"/>
      <c r="B1094" s="284" t="s">
        <v>2744</v>
      </c>
      <c r="C1094" s="284" t="s">
        <v>2745</v>
      </c>
      <c r="D1094" s="274" t="s">
        <v>4169</v>
      </c>
      <c r="E1094" s="274"/>
      <c r="F1094" s="274"/>
      <c r="G1094" s="283"/>
      <c r="H1094" s="266"/>
      <c r="I1094" s="427"/>
      <c r="J1094" s="281"/>
      <c r="K1094" s="281"/>
      <c r="L1094" s="430" t="s">
        <v>4201</v>
      </c>
      <c r="M1094" s="284" t="s">
        <v>2962</v>
      </c>
      <c r="N1094" s="408">
        <f>+R1094</f>
        <v>0</v>
      </c>
      <c r="O1094" s="408">
        <f>V1094</f>
        <v>0</v>
      </c>
      <c r="P1094" s="271">
        <f>+O1094-N1094</f>
        <v>0</v>
      </c>
      <c r="Q1094" s="527"/>
      <c r="R1094" s="354">
        <f>IF(ISERROR(VLOOKUP("SOC"&amp;$C1094,ESTR_PREC_SP!$A$2:$G$2000,4,FALSE))=TRUE,0,VLOOKUP("SOC"&amp;$C1094,ESTR_PREC_SP!$A$2:$G$2000,4,FALSE))</f>
        <v>0</v>
      </c>
      <c r="S1094" s="527"/>
      <c r="T1094" s="527"/>
      <c r="U1094" s="527"/>
      <c r="V1094" s="526">
        <f>+R1094+T1094-U1094+Q1094+S1094</f>
        <v>0</v>
      </c>
    </row>
    <row r="1095" spans="1:27" x14ac:dyDescent="0.25">
      <c r="A1095" s="204"/>
      <c r="B1095" s="284" t="s">
        <v>2746</v>
      </c>
      <c r="C1095" s="284" t="s">
        <v>2747</v>
      </c>
      <c r="D1095" s="274" t="s">
        <v>4171</v>
      </c>
      <c r="E1095" s="274"/>
      <c r="F1095" s="274"/>
      <c r="G1095" s="283"/>
      <c r="H1095" s="266"/>
      <c r="I1095" s="427"/>
      <c r="J1095" s="281"/>
      <c r="K1095" s="281"/>
      <c r="L1095" s="430" t="s">
        <v>4202</v>
      </c>
      <c r="M1095" s="284" t="s">
        <v>2962</v>
      </c>
      <c r="N1095" s="408">
        <f>+R1095</f>
        <v>0</v>
      </c>
      <c r="O1095" s="408">
        <f>V1095</f>
        <v>0</v>
      </c>
      <c r="P1095" s="271">
        <f>+O1095-N1095</f>
        <v>0</v>
      </c>
      <c r="Q1095" s="527"/>
      <c r="R1095" s="354">
        <f>IF(ISERROR(VLOOKUP("SOC"&amp;$C1095,ESTR_PREC_SP!$A$2:$G$2000,4,FALSE))=TRUE,0,VLOOKUP("SOC"&amp;$C1095,ESTR_PREC_SP!$A$2:$G$2000,4,FALSE))</f>
        <v>0</v>
      </c>
      <c r="S1095" s="527"/>
      <c r="T1095" s="527"/>
      <c r="U1095" s="527"/>
      <c r="V1095" s="526">
        <f>+R1095+T1095-U1095+Q1095+S1095</f>
        <v>0</v>
      </c>
    </row>
    <row r="1096" spans="1:27" x14ac:dyDescent="0.25">
      <c r="A1096" s="204"/>
      <c r="B1096" s="284" t="s">
        <v>2748</v>
      </c>
      <c r="C1096" s="284" t="s">
        <v>2749</v>
      </c>
      <c r="D1096" s="274" t="s">
        <v>4173</v>
      </c>
      <c r="E1096" s="274"/>
      <c r="F1096" s="274"/>
      <c r="G1096" s="283"/>
      <c r="H1096" s="266"/>
      <c r="I1096" s="427"/>
      <c r="J1096" s="281"/>
      <c r="K1096" s="281"/>
      <c r="L1096" s="430" t="s">
        <v>4203</v>
      </c>
      <c r="M1096" s="284" t="s">
        <v>2962</v>
      </c>
      <c r="N1096" s="408">
        <f>+R1096</f>
        <v>0</v>
      </c>
      <c r="O1096" s="408">
        <f>V1096</f>
        <v>0</v>
      </c>
      <c r="P1096" s="271">
        <f>+O1096-N1096</f>
        <v>0</v>
      </c>
      <c r="Q1096" s="527"/>
      <c r="R1096" s="354">
        <f>IF(ISERROR(VLOOKUP("SOC"&amp;$C1096,ESTR_PREC_SP!$A$2:$G$2000,4,FALSE))=TRUE,0,VLOOKUP("SOC"&amp;$C1096,ESTR_PREC_SP!$A$2:$G$2000,4,FALSE))</f>
        <v>0</v>
      </c>
      <c r="S1096" s="527"/>
      <c r="T1096" s="527"/>
      <c r="U1096" s="527"/>
      <c r="V1096" s="526">
        <f>+R1096+T1096-U1096+Q1096+S1096</f>
        <v>0</v>
      </c>
    </row>
  </sheetData>
  <sheetProtection selectLockedCells="1" selectUnlockedCells="1"/>
  <mergeCells count="70">
    <mergeCell ref="L6:N6"/>
    <mergeCell ref="S486:U486"/>
    <mergeCell ref="AE486:AI486"/>
    <mergeCell ref="AJ486:AL486"/>
    <mergeCell ref="S594:U594"/>
    <mergeCell ref="AF594:AJ594"/>
    <mergeCell ref="AK594:AM594"/>
    <mergeCell ref="S616:U616"/>
    <mergeCell ref="AF616:AJ616"/>
    <mergeCell ref="AK616:AM616"/>
    <mergeCell ref="S651:U651"/>
    <mergeCell ref="AF651:AJ651"/>
    <mergeCell ref="AK651:AM651"/>
    <mergeCell ref="S658:U658"/>
    <mergeCell ref="AF658:AJ658"/>
    <mergeCell ref="AK658:AM658"/>
    <mergeCell ref="S687:U687"/>
    <mergeCell ref="AF687:AJ687"/>
    <mergeCell ref="AK687:AM687"/>
    <mergeCell ref="S695:U695"/>
    <mergeCell ref="AF695:AJ695"/>
    <mergeCell ref="AK695:AM695"/>
    <mergeCell ref="S704:U704"/>
    <mergeCell ref="AF704:AJ704"/>
    <mergeCell ref="AK704:AM704"/>
    <mergeCell ref="AA793:AC793"/>
    <mergeCell ref="U908:V908"/>
    <mergeCell ref="X908:Y908"/>
    <mergeCell ref="AC908:AG908"/>
    <mergeCell ref="AH908:AJ908"/>
    <mergeCell ref="U915:V915"/>
    <mergeCell ref="X915:Y915"/>
    <mergeCell ref="AC915:AG915"/>
    <mergeCell ref="AH915:AJ915"/>
    <mergeCell ref="U925:V925"/>
    <mergeCell ref="X925:Y925"/>
    <mergeCell ref="AC925:AG925"/>
    <mergeCell ref="AH925:AJ925"/>
    <mergeCell ref="U940:V940"/>
    <mergeCell ref="X940:Y940"/>
    <mergeCell ref="AC940:AG940"/>
    <mergeCell ref="AH940:AJ940"/>
    <mergeCell ref="U946:V946"/>
    <mergeCell ref="X946:Y946"/>
    <mergeCell ref="AC946:AG946"/>
    <mergeCell ref="AH946:AJ946"/>
    <mergeCell ref="U988:V988"/>
    <mergeCell ref="X988:Y988"/>
    <mergeCell ref="AC988:AG988"/>
    <mergeCell ref="AH988:AJ988"/>
    <mergeCell ref="AC1024:AG1024"/>
    <mergeCell ref="AH1024:AJ1024"/>
    <mergeCell ref="U1001:V1001"/>
    <mergeCell ref="X1001:Y1001"/>
    <mergeCell ref="AC1001:AG1001"/>
    <mergeCell ref="AH1001:AJ1001"/>
    <mergeCell ref="U1016:V1016"/>
    <mergeCell ref="X1016:Y1016"/>
    <mergeCell ref="AC1016:AG1016"/>
    <mergeCell ref="AH1016:AJ1016"/>
    <mergeCell ref="U1032:V1032"/>
    <mergeCell ref="X1032:Y1032"/>
    <mergeCell ref="AC1032:AG1032"/>
    <mergeCell ref="AH1032:AJ1032"/>
    <mergeCell ref="U1020:V1020"/>
    <mergeCell ref="X1020:Y1020"/>
    <mergeCell ref="AC1020:AG1020"/>
    <mergeCell ref="AH1020:AJ1020"/>
    <mergeCell ref="U1024:V1024"/>
    <mergeCell ref="X1024:Y1024"/>
  </mergeCells>
  <conditionalFormatting sqref="S888:U888">
    <cfRule type="cellIs" dxfId="31" priority="1" stopIfTrue="1" operator="notEqual">
      <formula>""</formula>
    </cfRule>
  </conditionalFormatting>
  <conditionalFormatting sqref="N901 N898 P898 P901 P904:P905 N904:N905">
    <cfRule type="cellIs" dxfId="30" priority="2" stopIfTrue="1" operator="equal">
      <formula>"Errore!"</formula>
    </cfRule>
  </conditionalFormatting>
  <conditionalFormatting sqref="O901 O898 O904:O905">
    <cfRule type="cellIs" dxfId="29" priority="3" stopIfTrue="1" operator="equal">
      <formula>"Errore!"</formula>
    </cfRule>
  </conditionalFormatting>
  <conditionalFormatting sqref="V888">
    <cfRule type="cellIs" dxfId="28" priority="4" stopIfTrue="1" operator="notEqual">
      <formula>""</formula>
    </cfRule>
  </conditionalFormatting>
  <conditionalFormatting sqref="X905:AA905">
    <cfRule type="cellIs" dxfId="27" priority="5" stopIfTrue="1" operator="equal">
      <formula>"Errore!"</formula>
    </cfRule>
  </conditionalFormatting>
  <conditionalFormatting sqref="W905">
    <cfRule type="cellIs" dxfId="26" priority="6" stopIfTrue="1" operator="equal">
      <formula>"Errore!"</formula>
    </cfRule>
  </conditionalFormatting>
  <dataValidations count="1">
    <dataValidation type="whole" allowBlank="1" showErrorMessage="1" error="La cella accetta solo valori positivi fino a 9.999.999" sqref="P613 P839 P842 P851 P869 P985 P997 P1073">
      <formula1>0</formula1>
      <formula2>9999999</formula2>
    </dataValidation>
  </dataValidations>
  <pageMargins left="0.37013888888888891" right="0.25" top="0.30972222222222223" bottom="0.32013888888888886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88"/>
  <sheetViews>
    <sheetView showGridLines="0" topLeftCell="B769" workbookViewId="0">
      <selection activeCell="H757" sqref="H757"/>
    </sheetView>
  </sheetViews>
  <sheetFormatPr defaultColWidth="8.42578125" defaultRowHeight="15" x14ac:dyDescent="0.25"/>
  <cols>
    <col min="1" max="1" width="14.7109375" style="551" hidden="1" customWidth="1"/>
    <col min="2" max="3" width="23.42578125" style="551" customWidth="1"/>
    <col min="4" max="4" width="36.42578125" style="551" customWidth="1"/>
    <col min="5" max="5" width="15" style="551" customWidth="1"/>
    <col min="6" max="6" width="13.5703125" style="551" customWidth="1"/>
    <col min="7" max="7" width="13" style="551" customWidth="1"/>
    <col min="8" max="8" width="18.140625" style="551" customWidth="1"/>
    <col min="9" max="9" width="18.28515625" style="551" customWidth="1"/>
    <col min="10" max="10" width="20" style="551" customWidth="1"/>
    <col min="11" max="14" width="18.7109375" style="551" customWidth="1"/>
    <col min="15" max="15" width="15.28515625" style="551" customWidth="1"/>
    <col min="16" max="16" width="17.140625" style="551" customWidth="1"/>
    <col min="17" max="17" width="20.140625" style="551" customWidth="1"/>
    <col min="18" max="18" width="20.85546875" style="551" customWidth="1"/>
    <col min="19" max="28" width="8.42578125" style="551"/>
    <col min="29" max="29" width="19.28515625" style="551" hidden="1" customWidth="1"/>
    <col min="30" max="30" width="6.28515625" style="551" hidden="1" customWidth="1"/>
    <col min="31" max="31" width="7.28515625" style="551" hidden="1" customWidth="1"/>
    <col min="32" max="32" width="2" style="551" hidden="1" customWidth="1"/>
    <col min="33" max="16384" width="8.42578125" style="551"/>
  </cols>
  <sheetData>
    <row r="1" spans="1:32" ht="15.75" x14ac:dyDescent="0.25">
      <c r="A1" s="551" t="s">
        <v>0</v>
      </c>
      <c r="D1" s="912" t="s">
        <v>2959</v>
      </c>
      <c r="E1" s="912"/>
      <c r="F1" s="912"/>
    </row>
    <row r="3" spans="1:32" x14ac:dyDescent="0.25">
      <c r="A3" s="551" t="str">
        <f>+Info!$B$2</f>
        <v>724</v>
      </c>
      <c r="B3" s="552" t="s">
        <v>123</v>
      </c>
      <c r="C3" s="552" t="s">
        <v>124</v>
      </c>
      <c r="D3" s="552" t="s">
        <v>4204</v>
      </c>
      <c r="AC3" s="551" t="str">
        <f>C3</f>
        <v>1.10.10.10.010.000.00.000</v>
      </c>
      <c r="AD3" s="553">
        <f>G27</f>
        <v>0</v>
      </c>
      <c r="AE3" s="553">
        <f>H27</f>
        <v>0</v>
      </c>
      <c r="AF3" s="551">
        <f>IF($AD3=$AE3,0,1)</f>
        <v>0</v>
      </c>
    </row>
    <row r="4" spans="1:32" s="557" customFormat="1" ht="24.75" customHeight="1" x14ac:dyDescent="0.25">
      <c r="A4" s="551" t="str">
        <f>+Info!$B$2</f>
        <v>724</v>
      </c>
      <c r="B4" s="551"/>
      <c r="C4" s="551"/>
      <c r="D4" s="554" t="s">
        <v>4205</v>
      </c>
      <c r="E4" s="933" t="s">
        <v>4206</v>
      </c>
      <c r="F4" s="933"/>
      <c r="G4" s="933"/>
      <c r="H4" s="934" t="s">
        <v>4207</v>
      </c>
      <c r="I4" s="934"/>
      <c r="J4" s="934"/>
      <c r="K4" s="556"/>
      <c r="L4" s="556"/>
    </row>
    <row r="5" spans="1:32" s="557" customFormat="1" ht="24.75" customHeight="1" x14ac:dyDescent="0.25">
      <c r="A5" s="551" t="str">
        <f>+Info!$B$2</f>
        <v>724</v>
      </c>
      <c r="B5" s="551"/>
      <c r="C5" s="551"/>
      <c r="D5" s="558" t="s">
        <v>4208</v>
      </c>
      <c r="E5" s="555" t="s">
        <v>4209</v>
      </c>
      <c r="F5" s="555" t="s">
        <v>4210</v>
      </c>
      <c r="G5" s="555" t="s">
        <v>4211</v>
      </c>
      <c r="H5" s="555" t="s">
        <v>4212</v>
      </c>
      <c r="I5" s="934" t="s">
        <v>4213</v>
      </c>
      <c r="J5" s="934"/>
      <c r="K5" s="556"/>
      <c r="L5" s="556"/>
    </row>
    <row r="6" spans="1:32" s="557" customFormat="1" x14ac:dyDescent="0.25">
      <c r="A6" s="551" t="str">
        <f>+Info!$B$2</f>
        <v>724</v>
      </c>
      <c r="B6" s="559" t="s">
        <v>123</v>
      </c>
      <c r="C6" s="559" t="str">
        <f t="shared" ref="C6:C26" si="0">$C$3</f>
        <v>1.10.10.10.010.000.00.000</v>
      </c>
      <c r="D6" s="560"/>
      <c r="E6" s="561"/>
      <c r="F6" s="561"/>
      <c r="G6" s="562">
        <f t="shared" ref="G6:G26" si="1">+E6+F6</f>
        <v>0</v>
      </c>
      <c r="H6" s="563"/>
      <c r="I6" s="931"/>
      <c r="J6" s="931"/>
      <c r="K6" s="565"/>
      <c r="L6" s="565"/>
    </row>
    <row r="7" spans="1:32" s="557" customFormat="1" x14ac:dyDescent="0.25">
      <c r="A7" s="551" t="str">
        <f>+Info!$B$2</f>
        <v>724</v>
      </c>
      <c r="B7" s="559" t="s">
        <v>123</v>
      </c>
      <c r="C7" s="559" t="str">
        <f t="shared" si="0"/>
        <v>1.10.10.10.010.000.00.000</v>
      </c>
      <c r="D7" s="566"/>
      <c r="E7" s="561"/>
      <c r="F7" s="561"/>
      <c r="G7" s="562">
        <f t="shared" si="1"/>
        <v>0</v>
      </c>
      <c r="H7" s="563"/>
      <c r="I7" s="931"/>
      <c r="J7" s="931"/>
      <c r="K7" s="565"/>
      <c r="L7" s="565"/>
    </row>
    <row r="8" spans="1:32" s="557" customFormat="1" x14ac:dyDescent="0.25">
      <c r="A8" s="551" t="str">
        <f>+Info!$B$2</f>
        <v>724</v>
      </c>
      <c r="B8" s="559" t="s">
        <v>123</v>
      </c>
      <c r="C8" s="559" t="str">
        <f t="shared" si="0"/>
        <v>1.10.10.10.010.000.00.000</v>
      </c>
      <c r="D8" s="566"/>
      <c r="E8" s="561"/>
      <c r="F8" s="561"/>
      <c r="G8" s="562">
        <f t="shared" si="1"/>
        <v>0</v>
      </c>
      <c r="H8" s="563"/>
      <c r="I8" s="931"/>
      <c r="J8" s="931"/>
      <c r="K8" s="565"/>
      <c r="L8" s="565"/>
    </row>
    <row r="9" spans="1:32" s="557" customFormat="1" x14ac:dyDescent="0.25">
      <c r="A9" s="551" t="str">
        <f>+Info!$B$2</f>
        <v>724</v>
      </c>
      <c r="B9" s="559" t="s">
        <v>123</v>
      </c>
      <c r="C9" s="559" t="str">
        <f t="shared" si="0"/>
        <v>1.10.10.10.010.000.00.000</v>
      </c>
      <c r="D9" s="566"/>
      <c r="E9" s="561"/>
      <c r="F9" s="561"/>
      <c r="G9" s="562">
        <f t="shared" si="1"/>
        <v>0</v>
      </c>
      <c r="H9" s="563"/>
      <c r="I9" s="931"/>
      <c r="J9" s="931"/>
      <c r="K9" s="565"/>
      <c r="L9" s="565"/>
    </row>
    <row r="10" spans="1:32" s="557" customFormat="1" x14ac:dyDescent="0.25">
      <c r="A10" s="551" t="str">
        <f>+Info!$B$2</f>
        <v>724</v>
      </c>
      <c r="B10" s="559" t="s">
        <v>123</v>
      </c>
      <c r="C10" s="559" t="str">
        <f t="shared" si="0"/>
        <v>1.10.10.10.010.000.00.000</v>
      </c>
      <c r="D10" s="566"/>
      <c r="E10" s="561"/>
      <c r="F10" s="561"/>
      <c r="G10" s="562">
        <f t="shared" si="1"/>
        <v>0</v>
      </c>
      <c r="H10" s="563"/>
      <c r="I10" s="931"/>
      <c r="J10" s="931"/>
      <c r="K10" s="565"/>
      <c r="L10" s="565"/>
    </row>
    <row r="11" spans="1:32" s="557" customFormat="1" x14ac:dyDescent="0.25">
      <c r="A11" s="551" t="str">
        <f>+Info!$B$2</f>
        <v>724</v>
      </c>
      <c r="B11" s="559" t="s">
        <v>123</v>
      </c>
      <c r="C11" s="559" t="str">
        <f t="shared" si="0"/>
        <v>1.10.10.10.010.000.00.000</v>
      </c>
      <c r="D11" s="566"/>
      <c r="E11" s="561"/>
      <c r="F11" s="561"/>
      <c r="G11" s="562">
        <f t="shared" si="1"/>
        <v>0</v>
      </c>
      <c r="H11" s="563"/>
      <c r="I11" s="931"/>
      <c r="J11" s="931"/>
      <c r="K11" s="565"/>
      <c r="L11" s="565"/>
    </row>
    <row r="12" spans="1:32" s="557" customFormat="1" x14ac:dyDescent="0.25">
      <c r="A12" s="551" t="str">
        <f>+Info!$B$2</f>
        <v>724</v>
      </c>
      <c r="B12" s="559" t="s">
        <v>123</v>
      </c>
      <c r="C12" s="559" t="str">
        <f t="shared" si="0"/>
        <v>1.10.10.10.010.000.00.000</v>
      </c>
      <c r="D12" s="566"/>
      <c r="E12" s="561"/>
      <c r="F12" s="561"/>
      <c r="G12" s="562">
        <f t="shared" si="1"/>
        <v>0</v>
      </c>
      <c r="H12" s="563"/>
      <c r="I12" s="931"/>
      <c r="J12" s="931"/>
      <c r="K12" s="565"/>
      <c r="L12" s="565"/>
    </row>
    <row r="13" spans="1:32" s="557" customFormat="1" x14ac:dyDescent="0.25">
      <c r="A13" s="551" t="str">
        <f>+Info!$B$2</f>
        <v>724</v>
      </c>
      <c r="B13" s="559" t="s">
        <v>123</v>
      </c>
      <c r="C13" s="559" t="str">
        <f t="shared" si="0"/>
        <v>1.10.10.10.010.000.00.000</v>
      </c>
      <c r="D13" s="566"/>
      <c r="E13" s="561"/>
      <c r="F13" s="561"/>
      <c r="G13" s="562">
        <f t="shared" si="1"/>
        <v>0</v>
      </c>
      <c r="H13" s="563"/>
      <c r="I13" s="931"/>
      <c r="J13" s="931"/>
      <c r="K13" s="565"/>
      <c r="L13" s="565"/>
    </row>
    <row r="14" spans="1:32" s="557" customFormat="1" x14ac:dyDescent="0.25">
      <c r="A14" s="551" t="str">
        <f>+Info!$B$2</f>
        <v>724</v>
      </c>
      <c r="B14" s="559" t="s">
        <v>123</v>
      </c>
      <c r="C14" s="559" t="str">
        <f t="shared" si="0"/>
        <v>1.10.10.10.010.000.00.000</v>
      </c>
      <c r="D14" s="566"/>
      <c r="E14" s="561"/>
      <c r="F14" s="561"/>
      <c r="G14" s="562">
        <f t="shared" si="1"/>
        <v>0</v>
      </c>
      <c r="H14" s="563"/>
      <c r="I14" s="931"/>
      <c r="J14" s="931"/>
      <c r="K14" s="565"/>
      <c r="L14" s="565"/>
    </row>
    <row r="15" spans="1:32" s="557" customFormat="1" x14ac:dyDescent="0.25">
      <c r="A15" s="551" t="str">
        <f>+Info!$B$2</f>
        <v>724</v>
      </c>
      <c r="B15" s="559" t="s">
        <v>123</v>
      </c>
      <c r="C15" s="559" t="str">
        <f t="shared" si="0"/>
        <v>1.10.10.10.010.000.00.000</v>
      </c>
      <c r="D15" s="566"/>
      <c r="E15" s="561"/>
      <c r="F15" s="561"/>
      <c r="G15" s="562">
        <f t="shared" si="1"/>
        <v>0</v>
      </c>
      <c r="H15" s="563"/>
      <c r="I15" s="931"/>
      <c r="J15" s="931"/>
      <c r="K15" s="565"/>
      <c r="L15" s="565"/>
    </row>
    <row r="16" spans="1:32" s="557" customFormat="1" x14ac:dyDescent="0.25">
      <c r="A16" s="551" t="str">
        <f>+Info!$B$2</f>
        <v>724</v>
      </c>
      <c r="B16" s="559" t="s">
        <v>123</v>
      </c>
      <c r="C16" s="559" t="str">
        <f t="shared" si="0"/>
        <v>1.10.10.10.010.000.00.000</v>
      </c>
      <c r="D16" s="566"/>
      <c r="E16" s="561"/>
      <c r="F16" s="561"/>
      <c r="G16" s="562">
        <f t="shared" si="1"/>
        <v>0</v>
      </c>
      <c r="H16" s="563"/>
      <c r="I16" s="931"/>
      <c r="J16" s="931"/>
      <c r="K16" s="565"/>
      <c r="L16" s="565"/>
    </row>
    <row r="17" spans="1:32" s="557" customFormat="1" x14ac:dyDescent="0.25">
      <c r="A17" s="551" t="str">
        <f>+Info!$B$2</f>
        <v>724</v>
      </c>
      <c r="B17" s="559" t="s">
        <v>123</v>
      </c>
      <c r="C17" s="559" t="str">
        <f t="shared" si="0"/>
        <v>1.10.10.10.010.000.00.000</v>
      </c>
      <c r="D17" s="566"/>
      <c r="E17" s="561"/>
      <c r="F17" s="561"/>
      <c r="G17" s="562">
        <f t="shared" si="1"/>
        <v>0</v>
      </c>
      <c r="H17" s="563"/>
      <c r="I17" s="931"/>
      <c r="J17" s="931"/>
      <c r="K17" s="565"/>
      <c r="L17" s="565"/>
    </row>
    <row r="18" spans="1:32" s="557" customFormat="1" x14ac:dyDescent="0.25">
      <c r="A18" s="551" t="str">
        <f>+Info!$B$2</f>
        <v>724</v>
      </c>
      <c r="B18" s="559" t="s">
        <v>123</v>
      </c>
      <c r="C18" s="559" t="str">
        <f t="shared" si="0"/>
        <v>1.10.10.10.010.000.00.000</v>
      </c>
      <c r="D18" s="566"/>
      <c r="E18" s="561"/>
      <c r="F18" s="561"/>
      <c r="G18" s="562">
        <f t="shared" si="1"/>
        <v>0</v>
      </c>
      <c r="H18" s="563"/>
      <c r="I18" s="931"/>
      <c r="J18" s="931"/>
      <c r="K18" s="565"/>
      <c r="L18" s="565"/>
    </row>
    <row r="19" spans="1:32" s="557" customFormat="1" x14ac:dyDescent="0.25">
      <c r="A19" s="551" t="str">
        <f>+Info!$B$2</f>
        <v>724</v>
      </c>
      <c r="B19" s="559" t="s">
        <v>123</v>
      </c>
      <c r="C19" s="559" t="str">
        <f t="shared" si="0"/>
        <v>1.10.10.10.010.000.00.000</v>
      </c>
      <c r="D19" s="566"/>
      <c r="E19" s="561"/>
      <c r="F19" s="561"/>
      <c r="G19" s="562">
        <f t="shared" si="1"/>
        <v>0</v>
      </c>
      <c r="H19" s="563"/>
      <c r="I19" s="931"/>
      <c r="J19" s="931"/>
      <c r="K19" s="565"/>
      <c r="L19" s="565"/>
    </row>
    <row r="20" spans="1:32" s="557" customFormat="1" x14ac:dyDescent="0.25">
      <c r="A20" s="551" t="str">
        <f>+Info!$B$2</f>
        <v>724</v>
      </c>
      <c r="B20" s="559" t="s">
        <v>123</v>
      </c>
      <c r="C20" s="559" t="str">
        <f t="shared" si="0"/>
        <v>1.10.10.10.010.000.00.000</v>
      </c>
      <c r="D20" s="566"/>
      <c r="E20" s="561"/>
      <c r="F20" s="561"/>
      <c r="G20" s="562">
        <f t="shared" si="1"/>
        <v>0</v>
      </c>
      <c r="H20" s="563"/>
      <c r="I20" s="931"/>
      <c r="J20" s="931"/>
      <c r="K20" s="565"/>
      <c r="L20" s="565"/>
    </row>
    <row r="21" spans="1:32" s="557" customFormat="1" x14ac:dyDescent="0.25">
      <c r="A21" s="551" t="str">
        <f>+Info!$B$2</f>
        <v>724</v>
      </c>
      <c r="B21" s="559" t="s">
        <v>123</v>
      </c>
      <c r="C21" s="559" t="str">
        <f t="shared" si="0"/>
        <v>1.10.10.10.010.000.00.000</v>
      </c>
      <c r="D21" s="566"/>
      <c r="E21" s="561"/>
      <c r="F21" s="561"/>
      <c r="G21" s="562">
        <f t="shared" si="1"/>
        <v>0</v>
      </c>
      <c r="H21" s="563"/>
      <c r="I21" s="931"/>
      <c r="J21" s="931"/>
      <c r="K21" s="565"/>
      <c r="L21" s="565"/>
    </row>
    <row r="22" spans="1:32" s="557" customFormat="1" x14ac:dyDescent="0.25">
      <c r="A22" s="551" t="str">
        <f>+Info!$B$2</f>
        <v>724</v>
      </c>
      <c r="B22" s="559" t="s">
        <v>123</v>
      </c>
      <c r="C22" s="559" t="str">
        <f t="shared" si="0"/>
        <v>1.10.10.10.010.000.00.000</v>
      </c>
      <c r="D22" s="566"/>
      <c r="E22" s="561"/>
      <c r="F22" s="561"/>
      <c r="G22" s="562">
        <f t="shared" si="1"/>
        <v>0</v>
      </c>
      <c r="H22" s="563"/>
      <c r="I22" s="931"/>
      <c r="J22" s="931"/>
      <c r="K22" s="565"/>
      <c r="L22" s="565"/>
    </row>
    <row r="23" spans="1:32" s="557" customFormat="1" x14ac:dyDescent="0.25">
      <c r="A23" s="551" t="str">
        <f>+Info!$B$2</f>
        <v>724</v>
      </c>
      <c r="B23" s="559" t="s">
        <v>123</v>
      </c>
      <c r="C23" s="559" t="str">
        <f t="shared" si="0"/>
        <v>1.10.10.10.010.000.00.000</v>
      </c>
      <c r="D23" s="566"/>
      <c r="E23" s="561"/>
      <c r="F23" s="561"/>
      <c r="G23" s="562">
        <f t="shared" si="1"/>
        <v>0</v>
      </c>
      <c r="H23" s="563"/>
      <c r="I23" s="931"/>
      <c r="J23" s="931"/>
      <c r="K23" s="565"/>
      <c r="L23" s="565"/>
    </row>
    <row r="24" spans="1:32" s="557" customFormat="1" x14ac:dyDescent="0.25">
      <c r="A24" s="551" t="str">
        <f>+Info!$B$2</f>
        <v>724</v>
      </c>
      <c r="B24" s="559" t="s">
        <v>123</v>
      </c>
      <c r="C24" s="559" t="str">
        <f t="shared" si="0"/>
        <v>1.10.10.10.010.000.00.000</v>
      </c>
      <c r="D24" s="566"/>
      <c r="E24" s="561"/>
      <c r="F24" s="561"/>
      <c r="G24" s="562">
        <f t="shared" si="1"/>
        <v>0</v>
      </c>
      <c r="H24" s="563"/>
      <c r="I24" s="931"/>
      <c r="J24" s="931"/>
      <c r="K24" s="565"/>
      <c r="L24" s="565"/>
    </row>
    <row r="25" spans="1:32" s="557" customFormat="1" x14ac:dyDescent="0.25">
      <c r="A25" s="551" t="str">
        <f>+Info!$B$2</f>
        <v>724</v>
      </c>
      <c r="B25" s="559" t="s">
        <v>123</v>
      </c>
      <c r="C25" s="559" t="str">
        <f t="shared" si="0"/>
        <v>1.10.10.10.010.000.00.000</v>
      </c>
      <c r="D25" s="566"/>
      <c r="E25" s="561"/>
      <c r="F25" s="561"/>
      <c r="G25" s="562">
        <f t="shared" si="1"/>
        <v>0</v>
      </c>
      <c r="H25" s="563"/>
      <c r="I25" s="931"/>
      <c r="J25" s="931"/>
      <c r="K25" s="565"/>
      <c r="L25" s="565"/>
    </row>
    <row r="26" spans="1:32" s="557" customFormat="1" x14ac:dyDescent="0.25">
      <c r="A26" s="551" t="str">
        <f>+Info!$B$2</f>
        <v>724</v>
      </c>
      <c r="B26" s="559" t="s">
        <v>123</v>
      </c>
      <c r="C26" s="559" t="str">
        <f t="shared" si="0"/>
        <v>1.10.10.10.010.000.00.000</v>
      </c>
      <c r="D26" s="566"/>
      <c r="E26" s="561"/>
      <c r="F26" s="561"/>
      <c r="G26" s="562">
        <f t="shared" si="1"/>
        <v>0</v>
      </c>
      <c r="H26" s="563"/>
      <c r="I26" s="931"/>
      <c r="J26" s="931"/>
      <c r="K26" s="565"/>
      <c r="L26" s="565"/>
    </row>
    <row r="27" spans="1:32" s="557" customFormat="1" x14ac:dyDescent="0.25">
      <c r="A27" s="551" t="str">
        <f>+Info!$B$2</f>
        <v>724</v>
      </c>
      <c r="B27" s="551"/>
      <c r="C27" s="551"/>
      <c r="D27" s="565"/>
      <c r="E27" s="567">
        <f>SUM(E6:E26)</f>
        <v>0</v>
      </c>
      <c r="F27" s="567">
        <f>SUM(F6:F26)</f>
        <v>0</v>
      </c>
      <c r="G27" s="568">
        <f>SUM(G6:G26)</f>
        <v>0</v>
      </c>
      <c r="H27" s="569">
        <f>SUMIF('NI-Soc_SP'!$C:$C,$C$3,'NI-Soc_SP'!$O:$O)</f>
        <v>0</v>
      </c>
      <c r="I27" s="928" t="str">
        <f>IF(G27=H27,"Quadratura OK!","Squadratura con valori di Bilancio")</f>
        <v>Quadratura OK!</v>
      </c>
      <c r="J27" s="928"/>
      <c r="K27" s="565"/>
      <c r="L27" s="565"/>
    </row>
    <row r="28" spans="1:32" s="557" customFormat="1" x14ac:dyDescent="0.25">
      <c r="A28" s="551" t="str">
        <f>+Info!$B$2</f>
        <v>724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</row>
    <row r="29" spans="1:32" s="557" customFormat="1" x14ac:dyDescent="0.25">
      <c r="A29" s="551" t="str">
        <f>+Info!$B$2</f>
        <v>724</v>
      </c>
      <c r="B29" s="552" t="s">
        <v>149</v>
      </c>
      <c r="C29" s="552" t="s">
        <v>150</v>
      </c>
      <c r="D29" s="552" t="s">
        <v>4217</v>
      </c>
      <c r="E29" s="551"/>
      <c r="F29" s="551"/>
      <c r="G29" s="551"/>
      <c r="H29" s="551"/>
      <c r="I29" s="551"/>
      <c r="J29" s="551"/>
      <c r="K29" s="565"/>
      <c r="L29" s="565"/>
      <c r="AC29" s="557" t="str">
        <f>C29</f>
        <v>1.10.10.20.010.000.00.000</v>
      </c>
      <c r="AD29" s="570">
        <f>G53</f>
        <v>0</v>
      </c>
      <c r="AE29" s="570">
        <f>H53</f>
        <v>0</v>
      </c>
      <c r="AF29" s="551">
        <f>IF($AD29=$AE29,0,1)</f>
        <v>0</v>
      </c>
    </row>
    <row r="30" spans="1:32" s="557" customFormat="1" ht="15" customHeight="1" x14ac:dyDescent="0.25">
      <c r="A30" s="551" t="str">
        <f>+Info!$B$2</f>
        <v>724</v>
      </c>
      <c r="B30" s="551"/>
      <c r="C30" s="551"/>
      <c r="D30" s="571" t="s">
        <v>4218</v>
      </c>
      <c r="E30" s="933" t="s">
        <v>4206</v>
      </c>
      <c r="F30" s="933"/>
      <c r="G30" s="933"/>
      <c r="H30" s="934" t="s">
        <v>4207</v>
      </c>
      <c r="I30" s="934"/>
      <c r="J30" s="934"/>
      <c r="K30" s="565"/>
      <c r="L30" s="565"/>
    </row>
    <row r="31" spans="1:32" s="557" customFormat="1" ht="24" customHeight="1" x14ac:dyDescent="0.25">
      <c r="A31" s="551" t="str">
        <f>+Info!$B$2</f>
        <v>724</v>
      </c>
      <c r="B31" s="551"/>
      <c r="C31" s="551"/>
      <c r="D31" s="558" t="s">
        <v>4208</v>
      </c>
      <c r="E31" s="555" t="s">
        <v>4209</v>
      </c>
      <c r="F31" s="555" t="s">
        <v>4210</v>
      </c>
      <c r="G31" s="555" t="s">
        <v>4211</v>
      </c>
      <c r="H31" s="555" t="s">
        <v>4212</v>
      </c>
      <c r="I31" s="934" t="s">
        <v>4213</v>
      </c>
      <c r="J31" s="934"/>
      <c r="K31" s="565"/>
      <c r="L31" s="565"/>
    </row>
    <row r="32" spans="1:32" s="557" customFormat="1" x14ac:dyDescent="0.25">
      <c r="A32" s="551" t="str">
        <f>+Info!$B$2</f>
        <v>724</v>
      </c>
      <c r="B32" s="559" t="s">
        <v>149</v>
      </c>
      <c r="C32" s="559" t="str">
        <f t="shared" ref="C32:C52" si="2">$C$29</f>
        <v>1.10.10.20.010.000.00.000</v>
      </c>
      <c r="D32" s="560"/>
      <c r="E32" s="561"/>
      <c r="F32" s="561"/>
      <c r="G32" s="562">
        <f t="shared" ref="G32:G52" si="3">+E32+F32</f>
        <v>0</v>
      </c>
      <c r="H32" s="563"/>
      <c r="I32" s="931"/>
      <c r="J32" s="931"/>
      <c r="K32" s="565"/>
      <c r="L32" s="565"/>
    </row>
    <row r="33" spans="1:12" s="557" customFormat="1" x14ac:dyDescent="0.25">
      <c r="A33" s="551" t="str">
        <f>+Info!$B$2</f>
        <v>724</v>
      </c>
      <c r="B33" s="559" t="s">
        <v>149</v>
      </c>
      <c r="C33" s="559" t="str">
        <f t="shared" si="2"/>
        <v>1.10.10.20.010.000.00.000</v>
      </c>
      <c r="D33" s="566"/>
      <c r="E33" s="561"/>
      <c r="F33" s="561"/>
      <c r="G33" s="562">
        <f t="shared" si="3"/>
        <v>0</v>
      </c>
      <c r="H33" s="563"/>
      <c r="I33" s="931"/>
      <c r="J33" s="931"/>
      <c r="K33" s="565"/>
      <c r="L33" s="565"/>
    </row>
    <row r="34" spans="1:12" s="557" customFormat="1" x14ac:dyDescent="0.25">
      <c r="A34" s="551" t="str">
        <f>+Info!$B$2</f>
        <v>724</v>
      </c>
      <c r="B34" s="559" t="s">
        <v>149</v>
      </c>
      <c r="C34" s="559" t="str">
        <f t="shared" si="2"/>
        <v>1.10.10.20.010.000.00.000</v>
      </c>
      <c r="D34" s="566"/>
      <c r="E34" s="561"/>
      <c r="F34" s="561"/>
      <c r="G34" s="562">
        <f t="shared" si="3"/>
        <v>0</v>
      </c>
      <c r="H34" s="563"/>
      <c r="I34" s="931"/>
      <c r="J34" s="931"/>
      <c r="K34" s="565"/>
      <c r="L34" s="565"/>
    </row>
    <row r="35" spans="1:12" s="557" customFormat="1" x14ac:dyDescent="0.25">
      <c r="A35" s="551" t="str">
        <f>+Info!$B$2</f>
        <v>724</v>
      </c>
      <c r="B35" s="559" t="s">
        <v>149</v>
      </c>
      <c r="C35" s="559" t="str">
        <f t="shared" si="2"/>
        <v>1.10.10.20.010.000.00.000</v>
      </c>
      <c r="D35" s="566"/>
      <c r="E35" s="561"/>
      <c r="F35" s="561"/>
      <c r="G35" s="562">
        <f t="shared" si="3"/>
        <v>0</v>
      </c>
      <c r="H35" s="563"/>
      <c r="I35" s="931"/>
      <c r="J35" s="931"/>
      <c r="K35" s="565"/>
      <c r="L35" s="565"/>
    </row>
    <row r="36" spans="1:12" s="557" customFormat="1" x14ac:dyDescent="0.25">
      <c r="A36" s="551" t="str">
        <f>+Info!$B$2</f>
        <v>724</v>
      </c>
      <c r="B36" s="559" t="s">
        <v>149</v>
      </c>
      <c r="C36" s="559" t="str">
        <f t="shared" si="2"/>
        <v>1.10.10.20.010.000.00.000</v>
      </c>
      <c r="D36" s="566"/>
      <c r="E36" s="561"/>
      <c r="F36" s="561"/>
      <c r="G36" s="562">
        <f t="shared" si="3"/>
        <v>0</v>
      </c>
      <c r="H36" s="563"/>
      <c r="I36" s="931"/>
      <c r="J36" s="931"/>
      <c r="K36" s="565"/>
      <c r="L36" s="565"/>
    </row>
    <row r="37" spans="1:12" s="557" customFormat="1" x14ac:dyDescent="0.25">
      <c r="A37" s="551" t="str">
        <f>+Info!$B$2</f>
        <v>724</v>
      </c>
      <c r="B37" s="559" t="s">
        <v>149</v>
      </c>
      <c r="C37" s="559" t="str">
        <f t="shared" si="2"/>
        <v>1.10.10.20.010.000.00.000</v>
      </c>
      <c r="D37" s="566"/>
      <c r="E37" s="561"/>
      <c r="F37" s="561"/>
      <c r="G37" s="562">
        <f t="shared" si="3"/>
        <v>0</v>
      </c>
      <c r="H37" s="563"/>
      <c r="I37" s="931"/>
      <c r="J37" s="931"/>
      <c r="K37" s="565"/>
      <c r="L37" s="565"/>
    </row>
    <row r="38" spans="1:12" s="557" customFormat="1" x14ac:dyDescent="0.25">
      <c r="A38" s="551" t="str">
        <f>+Info!$B$2</f>
        <v>724</v>
      </c>
      <c r="B38" s="559" t="s">
        <v>149</v>
      </c>
      <c r="C38" s="559" t="str">
        <f t="shared" si="2"/>
        <v>1.10.10.20.010.000.00.000</v>
      </c>
      <c r="D38" s="566"/>
      <c r="E38" s="561"/>
      <c r="F38" s="561"/>
      <c r="G38" s="562">
        <f t="shared" si="3"/>
        <v>0</v>
      </c>
      <c r="H38" s="563"/>
      <c r="I38" s="931"/>
      <c r="J38" s="931"/>
      <c r="K38" s="565"/>
      <c r="L38" s="565"/>
    </row>
    <row r="39" spans="1:12" s="557" customFormat="1" x14ac:dyDescent="0.25">
      <c r="A39" s="551" t="str">
        <f>+Info!$B$2</f>
        <v>724</v>
      </c>
      <c r="B39" s="559" t="s">
        <v>149</v>
      </c>
      <c r="C39" s="559" t="str">
        <f t="shared" si="2"/>
        <v>1.10.10.20.010.000.00.000</v>
      </c>
      <c r="D39" s="566"/>
      <c r="E39" s="561"/>
      <c r="F39" s="561"/>
      <c r="G39" s="562">
        <f t="shared" si="3"/>
        <v>0</v>
      </c>
      <c r="H39" s="563"/>
      <c r="I39" s="931"/>
      <c r="J39" s="931"/>
      <c r="K39" s="565"/>
      <c r="L39" s="565"/>
    </row>
    <row r="40" spans="1:12" s="557" customFormat="1" x14ac:dyDescent="0.25">
      <c r="A40" s="551" t="str">
        <f>+Info!$B$2</f>
        <v>724</v>
      </c>
      <c r="B40" s="559" t="s">
        <v>149</v>
      </c>
      <c r="C40" s="559" t="str">
        <f t="shared" si="2"/>
        <v>1.10.10.20.010.000.00.000</v>
      </c>
      <c r="D40" s="566"/>
      <c r="E40" s="561"/>
      <c r="F40" s="561"/>
      <c r="G40" s="562">
        <f t="shared" si="3"/>
        <v>0</v>
      </c>
      <c r="H40" s="563"/>
      <c r="I40" s="931"/>
      <c r="J40" s="931"/>
      <c r="K40" s="565"/>
      <c r="L40" s="565"/>
    </row>
    <row r="41" spans="1:12" s="557" customFormat="1" x14ac:dyDescent="0.25">
      <c r="A41" s="551" t="str">
        <f>+Info!$B$2</f>
        <v>724</v>
      </c>
      <c r="B41" s="559" t="s">
        <v>149</v>
      </c>
      <c r="C41" s="559" t="str">
        <f t="shared" si="2"/>
        <v>1.10.10.20.010.000.00.000</v>
      </c>
      <c r="D41" s="566"/>
      <c r="E41" s="561"/>
      <c r="F41" s="561"/>
      <c r="G41" s="562">
        <f t="shared" si="3"/>
        <v>0</v>
      </c>
      <c r="H41" s="563"/>
      <c r="I41" s="931"/>
      <c r="J41" s="931"/>
      <c r="K41" s="565"/>
      <c r="L41" s="565"/>
    </row>
    <row r="42" spans="1:12" s="557" customFormat="1" x14ac:dyDescent="0.25">
      <c r="A42" s="551" t="str">
        <f>+Info!$B$2</f>
        <v>724</v>
      </c>
      <c r="B42" s="559" t="s">
        <v>149</v>
      </c>
      <c r="C42" s="559" t="str">
        <f t="shared" si="2"/>
        <v>1.10.10.20.010.000.00.000</v>
      </c>
      <c r="D42" s="566"/>
      <c r="E42" s="561"/>
      <c r="F42" s="561"/>
      <c r="G42" s="562">
        <f t="shared" si="3"/>
        <v>0</v>
      </c>
      <c r="H42" s="563"/>
      <c r="I42" s="931"/>
      <c r="J42" s="931"/>
      <c r="K42" s="565"/>
      <c r="L42" s="565"/>
    </row>
    <row r="43" spans="1:12" s="557" customFormat="1" x14ac:dyDescent="0.25">
      <c r="A43" s="551" t="str">
        <f>+Info!$B$2</f>
        <v>724</v>
      </c>
      <c r="B43" s="559" t="s">
        <v>149</v>
      </c>
      <c r="C43" s="559" t="str">
        <f t="shared" si="2"/>
        <v>1.10.10.20.010.000.00.000</v>
      </c>
      <c r="D43" s="566"/>
      <c r="E43" s="561"/>
      <c r="F43" s="561"/>
      <c r="G43" s="562">
        <f t="shared" si="3"/>
        <v>0</v>
      </c>
      <c r="H43" s="563"/>
      <c r="I43" s="931"/>
      <c r="J43" s="931"/>
      <c r="K43" s="565"/>
      <c r="L43" s="565"/>
    </row>
    <row r="44" spans="1:12" s="557" customFormat="1" x14ac:dyDescent="0.25">
      <c r="A44" s="551" t="str">
        <f>+Info!$B$2</f>
        <v>724</v>
      </c>
      <c r="B44" s="559" t="s">
        <v>149</v>
      </c>
      <c r="C44" s="559" t="str">
        <f t="shared" si="2"/>
        <v>1.10.10.20.010.000.00.000</v>
      </c>
      <c r="D44" s="566"/>
      <c r="E44" s="561"/>
      <c r="F44" s="561"/>
      <c r="G44" s="562">
        <f t="shared" si="3"/>
        <v>0</v>
      </c>
      <c r="H44" s="563"/>
      <c r="I44" s="931"/>
      <c r="J44" s="931"/>
      <c r="K44" s="565"/>
      <c r="L44" s="565"/>
    </row>
    <row r="45" spans="1:12" s="557" customFormat="1" x14ac:dyDescent="0.25">
      <c r="A45" s="551" t="str">
        <f>+Info!$B$2</f>
        <v>724</v>
      </c>
      <c r="B45" s="559" t="s">
        <v>149</v>
      </c>
      <c r="C45" s="559" t="str">
        <f t="shared" si="2"/>
        <v>1.10.10.20.010.000.00.000</v>
      </c>
      <c r="D45" s="566"/>
      <c r="E45" s="561"/>
      <c r="F45" s="561"/>
      <c r="G45" s="562">
        <f t="shared" si="3"/>
        <v>0</v>
      </c>
      <c r="H45" s="563"/>
      <c r="I45" s="931"/>
      <c r="J45" s="931"/>
      <c r="K45" s="565"/>
      <c r="L45" s="565"/>
    </row>
    <row r="46" spans="1:12" s="557" customFormat="1" x14ac:dyDescent="0.25">
      <c r="A46" s="551" t="str">
        <f>+Info!$B$2</f>
        <v>724</v>
      </c>
      <c r="B46" s="559" t="s">
        <v>149</v>
      </c>
      <c r="C46" s="559" t="str">
        <f t="shared" si="2"/>
        <v>1.10.10.20.010.000.00.000</v>
      </c>
      <c r="D46" s="566"/>
      <c r="E46" s="561"/>
      <c r="F46" s="561"/>
      <c r="G46" s="562">
        <f t="shared" si="3"/>
        <v>0</v>
      </c>
      <c r="H46" s="563"/>
      <c r="I46" s="931"/>
      <c r="J46" s="931"/>
      <c r="K46" s="565"/>
      <c r="L46" s="565"/>
    </row>
    <row r="47" spans="1:12" s="557" customFormat="1" x14ac:dyDescent="0.25">
      <c r="A47" s="551" t="str">
        <f>+Info!$B$2</f>
        <v>724</v>
      </c>
      <c r="B47" s="559" t="s">
        <v>149</v>
      </c>
      <c r="C47" s="559" t="str">
        <f t="shared" si="2"/>
        <v>1.10.10.20.010.000.00.000</v>
      </c>
      <c r="D47" s="566"/>
      <c r="E47" s="561"/>
      <c r="F47" s="561"/>
      <c r="G47" s="562">
        <f t="shared" si="3"/>
        <v>0</v>
      </c>
      <c r="H47" s="563"/>
      <c r="I47" s="931"/>
      <c r="J47" s="931"/>
      <c r="K47" s="565"/>
      <c r="L47" s="565"/>
    </row>
    <row r="48" spans="1:12" s="557" customFormat="1" x14ac:dyDescent="0.25">
      <c r="A48" s="551" t="str">
        <f>+Info!$B$2</f>
        <v>724</v>
      </c>
      <c r="B48" s="559" t="s">
        <v>149</v>
      </c>
      <c r="C48" s="559" t="str">
        <f t="shared" si="2"/>
        <v>1.10.10.20.010.000.00.000</v>
      </c>
      <c r="D48" s="566"/>
      <c r="E48" s="561"/>
      <c r="F48" s="561"/>
      <c r="G48" s="562">
        <f t="shared" si="3"/>
        <v>0</v>
      </c>
      <c r="H48" s="563"/>
      <c r="I48" s="931"/>
      <c r="J48" s="931"/>
      <c r="K48" s="565"/>
      <c r="L48" s="565"/>
    </row>
    <row r="49" spans="1:32" s="557" customFormat="1" x14ac:dyDescent="0.25">
      <c r="A49" s="551" t="str">
        <f>+Info!$B$2</f>
        <v>724</v>
      </c>
      <c r="B49" s="559" t="s">
        <v>149</v>
      </c>
      <c r="C49" s="559" t="str">
        <f t="shared" si="2"/>
        <v>1.10.10.20.010.000.00.000</v>
      </c>
      <c r="D49" s="566"/>
      <c r="E49" s="561"/>
      <c r="F49" s="561"/>
      <c r="G49" s="562">
        <f t="shared" si="3"/>
        <v>0</v>
      </c>
      <c r="H49" s="563"/>
      <c r="I49" s="931"/>
      <c r="J49" s="931"/>
      <c r="K49" s="565"/>
      <c r="L49" s="565"/>
    </row>
    <row r="50" spans="1:32" s="557" customFormat="1" x14ac:dyDescent="0.25">
      <c r="A50" s="551" t="str">
        <f>+Info!$B$2</f>
        <v>724</v>
      </c>
      <c r="B50" s="559" t="s">
        <v>149</v>
      </c>
      <c r="C50" s="559" t="str">
        <f t="shared" si="2"/>
        <v>1.10.10.20.010.000.00.000</v>
      </c>
      <c r="D50" s="566"/>
      <c r="E50" s="561"/>
      <c r="F50" s="561"/>
      <c r="G50" s="562">
        <f t="shared" si="3"/>
        <v>0</v>
      </c>
      <c r="H50" s="563"/>
      <c r="I50" s="931"/>
      <c r="J50" s="931"/>
      <c r="K50" s="565"/>
      <c r="L50" s="565"/>
    </row>
    <row r="51" spans="1:32" s="557" customFormat="1" x14ac:dyDescent="0.25">
      <c r="A51" s="551" t="str">
        <f>+Info!$B$2</f>
        <v>724</v>
      </c>
      <c r="B51" s="559" t="s">
        <v>149</v>
      </c>
      <c r="C51" s="559" t="str">
        <f t="shared" si="2"/>
        <v>1.10.10.20.010.000.00.000</v>
      </c>
      <c r="D51" s="566"/>
      <c r="E51" s="561"/>
      <c r="F51" s="561"/>
      <c r="G51" s="562">
        <f t="shared" si="3"/>
        <v>0</v>
      </c>
      <c r="H51" s="563"/>
      <c r="I51" s="931"/>
      <c r="J51" s="931"/>
      <c r="K51" s="565"/>
      <c r="L51" s="565"/>
    </row>
    <row r="52" spans="1:32" s="557" customFormat="1" x14ac:dyDescent="0.25">
      <c r="A52" s="551" t="str">
        <f>+Info!$B$2</f>
        <v>724</v>
      </c>
      <c r="B52" s="559" t="s">
        <v>149</v>
      </c>
      <c r="C52" s="559" t="str">
        <f t="shared" si="2"/>
        <v>1.10.10.20.010.000.00.000</v>
      </c>
      <c r="D52" s="566"/>
      <c r="E52" s="561"/>
      <c r="F52" s="561"/>
      <c r="G52" s="562">
        <f t="shared" si="3"/>
        <v>0</v>
      </c>
      <c r="H52" s="563"/>
      <c r="I52" s="931"/>
      <c r="J52" s="931"/>
      <c r="K52" s="565"/>
      <c r="L52" s="565"/>
    </row>
    <row r="53" spans="1:32" s="557" customFormat="1" x14ac:dyDescent="0.25">
      <c r="A53" s="551" t="str">
        <f>+Info!$B$2</f>
        <v>724</v>
      </c>
      <c r="B53" s="551"/>
      <c r="C53" s="551"/>
      <c r="D53" s="565"/>
      <c r="E53" s="567">
        <f>SUM(E32:E52)</f>
        <v>0</v>
      </c>
      <c r="F53" s="567">
        <f>SUM(F32:F52)</f>
        <v>0</v>
      </c>
      <c r="G53" s="568">
        <f>SUM(G32:G52)</f>
        <v>0</v>
      </c>
      <c r="H53" s="569">
        <f>SUMIF('NI-Soc_SP'!$C:$C,$C$29,'NI-Soc_SP'!$O:$O)</f>
        <v>0</v>
      </c>
      <c r="I53" s="928" t="str">
        <f>IF(G53=H53,"Quadratura OK!","Squadratura con valori di Bilancio")</f>
        <v>Quadratura OK!</v>
      </c>
      <c r="J53" s="928"/>
      <c r="K53" s="565"/>
      <c r="L53" s="565"/>
    </row>
    <row r="54" spans="1:32" s="557" customFormat="1" x14ac:dyDescent="0.25">
      <c r="A54" s="551" t="str">
        <f>+Info!$B$2</f>
        <v>724</v>
      </c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L54" s="565"/>
    </row>
    <row r="55" spans="1:32" s="557" customFormat="1" x14ac:dyDescent="0.25">
      <c r="A55" s="551" t="str">
        <f>+Info!$B$2</f>
        <v>724</v>
      </c>
      <c r="B55" s="552" t="s">
        <v>329</v>
      </c>
      <c r="C55" s="552" t="s">
        <v>330</v>
      </c>
      <c r="D55" s="552" t="s">
        <v>4219</v>
      </c>
      <c r="E55" s="551"/>
      <c r="F55" s="551"/>
      <c r="G55" s="551"/>
      <c r="H55" s="551"/>
      <c r="I55" s="551"/>
      <c r="J55" s="551"/>
      <c r="K55" s="565"/>
      <c r="L55" s="565"/>
      <c r="AC55" s="557" t="str">
        <f>C55</f>
        <v>1.10.10.50.050.000.00.000</v>
      </c>
      <c r="AD55" s="570">
        <f>G79</f>
        <v>0</v>
      </c>
      <c r="AE55" s="570">
        <f>H79</f>
        <v>0</v>
      </c>
      <c r="AF55" s="551">
        <f>IF($AD55=$AE55,0,1)</f>
        <v>0</v>
      </c>
    </row>
    <row r="56" spans="1:32" s="557" customFormat="1" ht="15" customHeight="1" x14ac:dyDescent="0.25">
      <c r="A56" s="551" t="str">
        <f>+Info!$B$2</f>
        <v>724</v>
      </c>
      <c r="B56" s="551"/>
      <c r="C56" s="551"/>
      <c r="D56" s="571" t="s">
        <v>4220</v>
      </c>
      <c r="E56" s="933" t="s">
        <v>4206</v>
      </c>
      <c r="F56" s="933"/>
      <c r="G56" s="933"/>
      <c r="H56" s="934" t="s">
        <v>4207</v>
      </c>
      <c r="I56" s="934"/>
      <c r="J56" s="934"/>
      <c r="K56" s="565"/>
      <c r="L56" s="565"/>
    </row>
    <row r="57" spans="1:32" s="557" customFormat="1" ht="24" customHeight="1" x14ac:dyDescent="0.25">
      <c r="A57" s="551" t="str">
        <f>+Info!$B$2</f>
        <v>724</v>
      </c>
      <c r="B57" s="551"/>
      <c r="C57" s="551"/>
      <c r="D57" s="558" t="s">
        <v>4208</v>
      </c>
      <c r="E57" s="555" t="s">
        <v>4209</v>
      </c>
      <c r="F57" s="555" t="s">
        <v>4210</v>
      </c>
      <c r="G57" s="555" t="s">
        <v>4211</v>
      </c>
      <c r="H57" s="555" t="s">
        <v>4212</v>
      </c>
      <c r="I57" s="934" t="s">
        <v>4213</v>
      </c>
      <c r="J57" s="934"/>
      <c r="K57" s="565"/>
      <c r="L57" s="565"/>
    </row>
    <row r="58" spans="1:32" s="557" customFormat="1" x14ac:dyDescent="0.25">
      <c r="A58" s="551" t="str">
        <f>+Info!$B$2</f>
        <v>724</v>
      </c>
      <c r="B58" s="559" t="s">
        <v>329</v>
      </c>
      <c r="C58" s="559" t="str">
        <f t="shared" ref="C58:C78" si="4">$C$55</f>
        <v>1.10.10.50.050.000.00.000</v>
      </c>
      <c r="D58" s="560"/>
      <c r="E58" s="561"/>
      <c r="F58" s="561"/>
      <c r="G58" s="562">
        <f t="shared" ref="G58:G78" si="5">+E58+F58</f>
        <v>0</v>
      </c>
      <c r="H58" s="563"/>
      <c r="I58" s="931"/>
      <c r="J58" s="931"/>
      <c r="K58" s="565"/>
      <c r="L58" s="565"/>
    </row>
    <row r="59" spans="1:32" s="557" customFormat="1" x14ac:dyDescent="0.25">
      <c r="A59" s="551" t="str">
        <f>+Info!$B$2</f>
        <v>724</v>
      </c>
      <c r="B59" s="559" t="s">
        <v>329</v>
      </c>
      <c r="C59" s="559" t="str">
        <f t="shared" si="4"/>
        <v>1.10.10.50.050.000.00.000</v>
      </c>
      <c r="D59" s="566"/>
      <c r="E59" s="561"/>
      <c r="F59" s="561"/>
      <c r="G59" s="562">
        <f t="shared" si="5"/>
        <v>0</v>
      </c>
      <c r="H59" s="563"/>
      <c r="I59" s="931"/>
      <c r="J59" s="931"/>
      <c r="K59" s="565"/>
      <c r="L59" s="565"/>
    </row>
    <row r="60" spans="1:32" s="557" customFormat="1" x14ac:dyDescent="0.25">
      <c r="A60" s="551" t="str">
        <f>+Info!$B$2</f>
        <v>724</v>
      </c>
      <c r="B60" s="559" t="s">
        <v>329</v>
      </c>
      <c r="C60" s="559" t="str">
        <f t="shared" si="4"/>
        <v>1.10.10.50.050.000.00.000</v>
      </c>
      <c r="D60" s="566"/>
      <c r="E60" s="561"/>
      <c r="F60" s="561"/>
      <c r="G60" s="562">
        <f t="shared" si="5"/>
        <v>0</v>
      </c>
      <c r="H60" s="563"/>
      <c r="I60" s="931"/>
      <c r="J60" s="931"/>
      <c r="K60" s="565"/>
      <c r="L60" s="565"/>
    </row>
    <row r="61" spans="1:32" s="557" customFormat="1" x14ac:dyDescent="0.25">
      <c r="A61" s="551" t="str">
        <f>+Info!$B$2</f>
        <v>724</v>
      </c>
      <c r="B61" s="559" t="s">
        <v>329</v>
      </c>
      <c r="C61" s="559" t="str">
        <f t="shared" si="4"/>
        <v>1.10.10.50.050.000.00.000</v>
      </c>
      <c r="D61" s="566"/>
      <c r="E61" s="561"/>
      <c r="F61" s="561"/>
      <c r="G61" s="562">
        <f t="shared" si="5"/>
        <v>0</v>
      </c>
      <c r="H61" s="563"/>
      <c r="I61" s="931"/>
      <c r="J61" s="931"/>
      <c r="K61" s="565"/>
      <c r="L61" s="565"/>
    </row>
    <row r="62" spans="1:32" s="557" customFormat="1" x14ac:dyDescent="0.25">
      <c r="A62" s="551" t="str">
        <f>+Info!$B$2</f>
        <v>724</v>
      </c>
      <c r="B62" s="559" t="s">
        <v>329</v>
      </c>
      <c r="C62" s="559" t="str">
        <f t="shared" si="4"/>
        <v>1.10.10.50.050.000.00.000</v>
      </c>
      <c r="D62" s="566"/>
      <c r="E62" s="561"/>
      <c r="F62" s="561"/>
      <c r="G62" s="562">
        <f t="shared" si="5"/>
        <v>0</v>
      </c>
      <c r="H62" s="563"/>
      <c r="I62" s="931"/>
      <c r="J62" s="931"/>
      <c r="K62" s="565"/>
      <c r="L62" s="565"/>
    </row>
    <row r="63" spans="1:32" s="557" customFormat="1" x14ac:dyDescent="0.25">
      <c r="A63" s="551" t="str">
        <f>+Info!$B$2</f>
        <v>724</v>
      </c>
      <c r="B63" s="559" t="s">
        <v>329</v>
      </c>
      <c r="C63" s="559" t="str">
        <f t="shared" si="4"/>
        <v>1.10.10.50.050.000.00.000</v>
      </c>
      <c r="D63" s="566"/>
      <c r="E63" s="561"/>
      <c r="F63" s="561"/>
      <c r="G63" s="562">
        <f t="shared" si="5"/>
        <v>0</v>
      </c>
      <c r="H63" s="563"/>
      <c r="I63" s="931"/>
      <c r="J63" s="931"/>
      <c r="K63" s="565"/>
      <c r="L63" s="565"/>
    </row>
    <row r="64" spans="1:32" s="557" customFormat="1" x14ac:dyDescent="0.25">
      <c r="A64" s="551" t="str">
        <f>+Info!$B$2</f>
        <v>724</v>
      </c>
      <c r="B64" s="559" t="s">
        <v>329</v>
      </c>
      <c r="C64" s="559" t="str">
        <f t="shared" si="4"/>
        <v>1.10.10.50.050.000.00.000</v>
      </c>
      <c r="D64" s="566"/>
      <c r="E64" s="561"/>
      <c r="F64" s="561"/>
      <c r="G64" s="562">
        <f t="shared" si="5"/>
        <v>0</v>
      </c>
      <c r="H64" s="563"/>
      <c r="I64" s="931"/>
      <c r="J64" s="931"/>
      <c r="K64" s="565"/>
      <c r="L64" s="565"/>
    </row>
    <row r="65" spans="1:12" s="557" customFormat="1" x14ac:dyDescent="0.25">
      <c r="A65" s="551" t="str">
        <f>+Info!$B$2</f>
        <v>724</v>
      </c>
      <c r="B65" s="559" t="s">
        <v>329</v>
      </c>
      <c r="C65" s="559" t="str">
        <f t="shared" si="4"/>
        <v>1.10.10.50.050.000.00.000</v>
      </c>
      <c r="D65" s="566"/>
      <c r="E65" s="561"/>
      <c r="F65" s="561"/>
      <c r="G65" s="562">
        <f t="shared" si="5"/>
        <v>0</v>
      </c>
      <c r="H65" s="563"/>
      <c r="I65" s="931"/>
      <c r="J65" s="931"/>
      <c r="K65" s="565"/>
      <c r="L65" s="565"/>
    </row>
    <row r="66" spans="1:12" s="557" customFormat="1" x14ac:dyDescent="0.25">
      <c r="A66" s="551" t="str">
        <f>+Info!$B$2</f>
        <v>724</v>
      </c>
      <c r="B66" s="559" t="s">
        <v>329</v>
      </c>
      <c r="C66" s="559" t="str">
        <f t="shared" si="4"/>
        <v>1.10.10.50.050.000.00.000</v>
      </c>
      <c r="D66" s="566"/>
      <c r="E66" s="561"/>
      <c r="F66" s="561"/>
      <c r="G66" s="562">
        <f t="shared" si="5"/>
        <v>0</v>
      </c>
      <c r="H66" s="563"/>
      <c r="I66" s="931"/>
      <c r="J66" s="931"/>
      <c r="K66" s="565"/>
      <c r="L66" s="565"/>
    </row>
    <row r="67" spans="1:12" s="557" customFormat="1" x14ac:dyDescent="0.25">
      <c r="A67" s="551" t="str">
        <f>+Info!$B$2</f>
        <v>724</v>
      </c>
      <c r="B67" s="559" t="s">
        <v>329</v>
      </c>
      <c r="C67" s="559" t="str">
        <f t="shared" si="4"/>
        <v>1.10.10.50.050.000.00.000</v>
      </c>
      <c r="D67" s="566"/>
      <c r="E67" s="561"/>
      <c r="F67" s="561"/>
      <c r="G67" s="562">
        <f t="shared" si="5"/>
        <v>0</v>
      </c>
      <c r="H67" s="563"/>
      <c r="I67" s="931"/>
      <c r="J67" s="931"/>
      <c r="K67" s="565"/>
      <c r="L67" s="565"/>
    </row>
    <row r="68" spans="1:12" s="557" customFormat="1" x14ac:dyDescent="0.25">
      <c r="A68" s="551" t="str">
        <f>+Info!$B$2</f>
        <v>724</v>
      </c>
      <c r="B68" s="559" t="s">
        <v>329</v>
      </c>
      <c r="C68" s="559" t="str">
        <f t="shared" si="4"/>
        <v>1.10.10.50.050.000.00.000</v>
      </c>
      <c r="D68" s="566"/>
      <c r="E68" s="561"/>
      <c r="F68" s="561"/>
      <c r="G68" s="562">
        <f t="shared" si="5"/>
        <v>0</v>
      </c>
      <c r="H68" s="563"/>
      <c r="I68" s="931"/>
      <c r="J68" s="931"/>
      <c r="K68" s="565"/>
      <c r="L68" s="565"/>
    </row>
    <row r="69" spans="1:12" s="557" customFormat="1" x14ac:dyDescent="0.25">
      <c r="A69" s="551" t="str">
        <f>+Info!$B$2</f>
        <v>724</v>
      </c>
      <c r="B69" s="559" t="s">
        <v>329</v>
      </c>
      <c r="C69" s="559" t="str">
        <f t="shared" si="4"/>
        <v>1.10.10.50.050.000.00.000</v>
      </c>
      <c r="D69" s="566"/>
      <c r="E69" s="561"/>
      <c r="F69" s="561"/>
      <c r="G69" s="562">
        <f t="shared" si="5"/>
        <v>0</v>
      </c>
      <c r="H69" s="563"/>
      <c r="I69" s="931"/>
      <c r="J69" s="931"/>
      <c r="K69" s="565"/>
      <c r="L69" s="565"/>
    </row>
    <row r="70" spans="1:12" s="557" customFormat="1" x14ac:dyDescent="0.25">
      <c r="A70" s="551" t="str">
        <f>+Info!$B$2</f>
        <v>724</v>
      </c>
      <c r="B70" s="559" t="s">
        <v>329</v>
      </c>
      <c r="C70" s="559" t="str">
        <f t="shared" si="4"/>
        <v>1.10.10.50.050.000.00.000</v>
      </c>
      <c r="D70" s="566"/>
      <c r="E70" s="561"/>
      <c r="F70" s="561"/>
      <c r="G70" s="562">
        <f t="shared" si="5"/>
        <v>0</v>
      </c>
      <c r="H70" s="563"/>
      <c r="I70" s="931"/>
      <c r="J70" s="931"/>
      <c r="K70" s="565"/>
      <c r="L70" s="565"/>
    </row>
    <row r="71" spans="1:12" s="557" customFormat="1" x14ac:dyDescent="0.25">
      <c r="A71" s="551" t="str">
        <f>+Info!$B$2</f>
        <v>724</v>
      </c>
      <c r="B71" s="559" t="s">
        <v>329</v>
      </c>
      <c r="C71" s="559" t="str">
        <f t="shared" si="4"/>
        <v>1.10.10.50.050.000.00.000</v>
      </c>
      <c r="D71" s="566"/>
      <c r="E71" s="561"/>
      <c r="F71" s="561"/>
      <c r="G71" s="562">
        <f t="shared" si="5"/>
        <v>0</v>
      </c>
      <c r="H71" s="563"/>
      <c r="I71" s="931"/>
      <c r="J71" s="931"/>
      <c r="K71" s="565"/>
      <c r="L71" s="565"/>
    </row>
    <row r="72" spans="1:12" s="557" customFormat="1" x14ac:dyDescent="0.25">
      <c r="A72" s="551" t="str">
        <f>+Info!$B$2</f>
        <v>724</v>
      </c>
      <c r="B72" s="559" t="s">
        <v>329</v>
      </c>
      <c r="C72" s="559" t="str">
        <f t="shared" si="4"/>
        <v>1.10.10.50.050.000.00.000</v>
      </c>
      <c r="D72" s="566"/>
      <c r="E72" s="561"/>
      <c r="F72" s="561"/>
      <c r="G72" s="562">
        <f t="shared" si="5"/>
        <v>0</v>
      </c>
      <c r="H72" s="563"/>
      <c r="I72" s="931"/>
      <c r="J72" s="931"/>
      <c r="K72" s="565"/>
      <c r="L72" s="565"/>
    </row>
    <row r="73" spans="1:12" s="557" customFormat="1" x14ac:dyDescent="0.25">
      <c r="A73" s="551" t="str">
        <f>+Info!$B$2</f>
        <v>724</v>
      </c>
      <c r="B73" s="559" t="s">
        <v>329</v>
      </c>
      <c r="C73" s="559" t="str">
        <f t="shared" si="4"/>
        <v>1.10.10.50.050.000.00.000</v>
      </c>
      <c r="D73" s="566"/>
      <c r="E73" s="561"/>
      <c r="F73" s="561"/>
      <c r="G73" s="562">
        <f t="shared" si="5"/>
        <v>0</v>
      </c>
      <c r="H73" s="563"/>
      <c r="I73" s="931"/>
      <c r="J73" s="931"/>
      <c r="K73" s="565"/>
      <c r="L73" s="565"/>
    </row>
    <row r="74" spans="1:12" s="557" customFormat="1" x14ac:dyDescent="0.25">
      <c r="A74" s="551" t="str">
        <f>+Info!$B$2</f>
        <v>724</v>
      </c>
      <c r="B74" s="559" t="s">
        <v>329</v>
      </c>
      <c r="C74" s="559" t="str">
        <f t="shared" si="4"/>
        <v>1.10.10.50.050.000.00.000</v>
      </c>
      <c r="D74" s="566"/>
      <c r="E74" s="561"/>
      <c r="F74" s="561"/>
      <c r="G74" s="562">
        <f t="shared" si="5"/>
        <v>0</v>
      </c>
      <c r="H74" s="563"/>
      <c r="I74" s="931"/>
      <c r="J74" s="931"/>
      <c r="K74" s="565"/>
      <c r="L74" s="565"/>
    </row>
    <row r="75" spans="1:12" s="557" customFormat="1" x14ac:dyDescent="0.25">
      <c r="A75" s="551" t="str">
        <f>+Info!$B$2</f>
        <v>724</v>
      </c>
      <c r="B75" s="559" t="s">
        <v>329</v>
      </c>
      <c r="C75" s="559" t="str">
        <f t="shared" si="4"/>
        <v>1.10.10.50.050.000.00.000</v>
      </c>
      <c r="D75" s="566"/>
      <c r="E75" s="561"/>
      <c r="F75" s="561"/>
      <c r="G75" s="562">
        <f t="shared" si="5"/>
        <v>0</v>
      </c>
      <c r="H75" s="563"/>
      <c r="I75" s="931"/>
      <c r="J75" s="931"/>
      <c r="K75" s="565"/>
      <c r="L75" s="565"/>
    </row>
    <row r="76" spans="1:12" s="557" customFormat="1" x14ac:dyDescent="0.25">
      <c r="A76" s="551" t="str">
        <f>+Info!$B$2</f>
        <v>724</v>
      </c>
      <c r="B76" s="559" t="s">
        <v>329</v>
      </c>
      <c r="C76" s="559" t="str">
        <f t="shared" si="4"/>
        <v>1.10.10.50.050.000.00.000</v>
      </c>
      <c r="D76" s="566"/>
      <c r="E76" s="561"/>
      <c r="F76" s="561"/>
      <c r="G76" s="562">
        <f t="shared" si="5"/>
        <v>0</v>
      </c>
      <c r="H76" s="563"/>
      <c r="I76" s="931"/>
      <c r="J76" s="931"/>
      <c r="K76" s="565"/>
      <c r="L76" s="565"/>
    </row>
    <row r="77" spans="1:12" s="557" customFormat="1" x14ac:dyDescent="0.25">
      <c r="A77" s="551" t="str">
        <f>+Info!$B$2</f>
        <v>724</v>
      </c>
      <c r="B77" s="559" t="s">
        <v>329</v>
      </c>
      <c r="C77" s="559" t="str">
        <f t="shared" si="4"/>
        <v>1.10.10.50.050.000.00.000</v>
      </c>
      <c r="D77" s="566"/>
      <c r="E77" s="561"/>
      <c r="F77" s="561"/>
      <c r="G77" s="562">
        <f t="shared" si="5"/>
        <v>0</v>
      </c>
      <c r="H77" s="563"/>
      <c r="I77" s="931"/>
      <c r="J77" s="931"/>
      <c r="K77" s="565"/>
      <c r="L77" s="565"/>
    </row>
    <row r="78" spans="1:12" s="557" customFormat="1" x14ac:dyDescent="0.25">
      <c r="A78" s="551" t="str">
        <f>+Info!$B$2</f>
        <v>724</v>
      </c>
      <c r="B78" s="559" t="s">
        <v>329</v>
      </c>
      <c r="C78" s="559" t="str">
        <f t="shared" si="4"/>
        <v>1.10.10.50.050.000.00.000</v>
      </c>
      <c r="D78" s="566"/>
      <c r="E78" s="561"/>
      <c r="F78" s="561"/>
      <c r="G78" s="562">
        <f t="shared" si="5"/>
        <v>0</v>
      </c>
      <c r="H78" s="563"/>
      <c r="I78" s="931"/>
      <c r="J78" s="931"/>
      <c r="K78" s="565"/>
      <c r="L78" s="565"/>
    </row>
    <row r="79" spans="1:12" s="557" customFormat="1" x14ac:dyDescent="0.25">
      <c r="A79" s="551" t="str">
        <f>+Info!$B$2</f>
        <v>724</v>
      </c>
      <c r="B79" s="551"/>
      <c r="C79" s="551"/>
      <c r="D79" s="565"/>
      <c r="E79" s="567">
        <f>SUM(E58:E78)</f>
        <v>0</v>
      </c>
      <c r="F79" s="567">
        <f>SUM(F58:F78)</f>
        <v>0</v>
      </c>
      <c r="G79" s="568">
        <f>SUM(G58:G78)</f>
        <v>0</v>
      </c>
      <c r="H79" s="569">
        <f>SUMIF('NI-Soc_SP'!$C:$C,$C$55,'NI-Soc_SP'!$O:$O)</f>
        <v>0</v>
      </c>
      <c r="I79" s="928" t="str">
        <f>IF(G79=H79,"Quadratura OK!","Squadratura con valori di Bilancio")</f>
        <v>Quadratura OK!</v>
      </c>
      <c r="J79" s="928"/>
      <c r="K79" s="565"/>
      <c r="L79" s="565"/>
    </row>
    <row r="80" spans="1:12" s="557" customFormat="1" x14ac:dyDescent="0.25">
      <c r="A80" s="551" t="str">
        <f>+Info!$B$2</f>
        <v>724</v>
      </c>
      <c r="B80" s="551"/>
      <c r="C80" s="551"/>
      <c r="D80" s="551"/>
      <c r="E80" s="551"/>
      <c r="F80" s="551"/>
      <c r="G80" s="551"/>
      <c r="H80" s="551"/>
      <c r="I80" s="551"/>
      <c r="J80" s="551"/>
      <c r="K80" s="565"/>
      <c r="L80" s="565"/>
    </row>
    <row r="81" spans="1:32" s="557" customFormat="1" x14ac:dyDescent="0.25">
      <c r="A81" s="551" t="str">
        <f>+Info!$B$2</f>
        <v>724</v>
      </c>
      <c r="B81" s="551"/>
      <c r="C81" s="551"/>
      <c r="D81" s="551"/>
      <c r="E81" s="551"/>
      <c r="F81" s="551"/>
      <c r="G81" s="551"/>
      <c r="H81" s="551"/>
      <c r="I81" s="551"/>
      <c r="J81" s="551"/>
      <c r="K81" s="565"/>
      <c r="L81" s="565"/>
    </row>
    <row r="82" spans="1:32" s="557" customFormat="1" x14ac:dyDescent="0.25">
      <c r="A82" s="551" t="str">
        <f>+Info!$B$2</f>
        <v>724</v>
      </c>
      <c r="B82" s="551"/>
      <c r="C82" s="551"/>
      <c r="D82" s="551"/>
      <c r="E82" s="551"/>
      <c r="F82" s="551"/>
      <c r="G82" s="551"/>
      <c r="H82" s="551"/>
      <c r="I82" s="551"/>
      <c r="J82" s="551"/>
      <c r="K82" s="565"/>
      <c r="L82" s="565"/>
    </row>
    <row r="83" spans="1:32" s="557" customFormat="1" ht="15" customHeight="1" x14ac:dyDescent="0.25">
      <c r="A83" s="551" t="str">
        <f>+Info!$B$2</f>
        <v>724</v>
      </c>
      <c r="B83" s="551"/>
      <c r="C83" s="551"/>
      <c r="D83" s="572" t="s">
        <v>4221</v>
      </c>
      <c r="E83" s="573" t="s">
        <v>4222</v>
      </c>
      <c r="F83" s="573" t="s">
        <v>4223</v>
      </c>
      <c r="G83" s="574" t="s">
        <v>4224</v>
      </c>
      <c r="H83" s="551"/>
      <c r="I83" s="551"/>
      <c r="J83" s="932"/>
      <c r="K83" s="565"/>
      <c r="L83" s="565"/>
    </row>
    <row r="84" spans="1:32" s="557" customFormat="1" x14ac:dyDescent="0.25">
      <c r="A84" s="551" t="str">
        <f>+Info!$B$2</f>
        <v>724</v>
      </c>
      <c r="B84" s="274" t="s">
        <v>893</v>
      </c>
      <c r="C84" s="274" t="s">
        <v>894</v>
      </c>
      <c r="D84" s="575" t="s">
        <v>4225</v>
      </c>
      <c r="E84" s="576">
        <f>SUM(E85:E97)</f>
        <v>0</v>
      </c>
      <c r="F84" s="576">
        <f>SUM(F85:F97)</f>
        <v>0</v>
      </c>
      <c r="G84" s="576">
        <f>SUM(G85:G97)</f>
        <v>0</v>
      </c>
      <c r="H84" s="928" t="str">
        <f>IF(G84=H85,"Quadratura OK!","Squadratura con valori di bilancio!")</f>
        <v>Quadratura OK!</v>
      </c>
      <c r="I84" s="928"/>
      <c r="J84" s="932"/>
      <c r="K84" s="565"/>
      <c r="L84" s="565"/>
      <c r="AC84" s="557" t="str">
        <f>C84</f>
        <v>1.10.20.80.010.060.00.000</v>
      </c>
      <c r="AD84" s="577">
        <f>G84</f>
        <v>0</v>
      </c>
      <c r="AE84" s="570">
        <f>H85</f>
        <v>0</v>
      </c>
      <c r="AF84" s="551">
        <f>IF($AD84=$AE84,0,1)</f>
        <v>0</v>
      </c>
    </row>
    <row r="85" spans="1:32" s="557" customFormat="1" x14ac:dyDescent="0.25">
      <c r="A85" s="551" t="str">
        <f>+Info!$B$2</f>
        <v>724</v>
      </c>
      <c r="B85" s="551"/>
      <c r="C85" s="551"/>
      <c r="D85" s="578"/>
      <c r="E85" s="579"/>
      <c r="F85" s="579"/>
      <c r="G85" s="580">
        <f t="shared" ref="G85:G97" si="6">+E85-F85</f>
        <v>0</v>
      </c>
      <c r="H85" s="569">
        <f>SUMIF('NI-Soc_SP'!$C:$C,$C84,'NI-Soc_SP'!$O:$O)-SUMIF('NI-Soc_SP'!$C:$C,"1.10.20.80.020.060.00.000",'NI-Soc_SP'!$O:$O)</f>
        <v>0</v>
      </c>
      <c r="I85" s="551"/>
      <c r="J85" s="581"/>
      <c r="K85" s="565"/>
      <c r="L85" s="565"/>
    </row>
    <row r="86" spans="1:32" s="557" customFormat="1" x14ac:dyDescent="0.25">
      <c r="A86" s="551" t="str">
        <f>+Info!$B$2</f>
        <v>724</v>
      </c>
      <c r="B86" s="551"/>
      <c r="C86" s="551"/>
      <c r="D86" s="578"/>
      <c r="E86" s="579"/>
      <c r="F86" s="579"/>
      <c r="G86" s="580">
        <f t="shared" si="6"/>
        <v>0</v>
      </c>
      <c r="H86" s="551"/>
      <c r="I86" s="551"/>
      <c r="J86" s="581"/>
      <c r="K86" s="565"/>
      <c r="L86" s="565"/>
    </row>
    <row r="87" spans="1:32" s="557" customFormat="1" x14ac:dyDescent="0.25">
      <c r="A87" s="551" t="str">
        <f>+Info!$B$2</f>
        <v>724</v>
      </c>
      <c r="B87" s="551"/>
      <c r="C87" s="551"/>
      <c r="D87" s="578"/>
      <c r="E87" s="579"/>
      <c r="F87" s="579"/>
      <c r="G87" s="580">
        <f t="shared" si="6"/>
        <v>0</v>
      </c>
      <c r="H87" s="551"/>
      <c r="I87" s="551"/>
      <c r="J87" s="581"/>
      <c r="K87" s="565"/>
      <c r="L87" s="565"/>
    </row>
    <row r="88" spans="1:32" s="557" customFormat="1" x14ac:dyDescent="0.25">
      <c r="A88" s="551" t="str">
        <f>+Info!$B$2</f>
        <v>724</v>
      </c>
      <c r="B88" s="551"/>
      <c r="C88" s="551"/>
      <c r="D88" s="578"/>
      <c r="E88" s="579"/>
      <c r="F88" s="579"/>
      <c r="G88" s="580">
        <f t="shared" si="6"/>
        <v>0</v>
      </c>
      <c r="H88" s="551"/>
      <c r="I88" s="551"/>
      <c r="J88" s="581"/>
      <c r="K88" s="565"/>
      <c r="L88" s="565"/>
    </row>
    <row r="89" spans="1:32" s="557" customFormat="1" x14ac:dyDescent="0.25">
      <c r="A89" s="551" t="str">
        <f>+Info!$B$2</f>
        <v>724</v>
      </c>
      <c r="B89" s="551"/>
      <c r="C89" s="551"/>
      <c r="D89" s="578"/>
      <c r="E89" s="579"/>
      <c r="F89" s="579"/>
      <c r="G89" s="580">
        <f t="shared" si="6"/>
        <v>0</v>
      </c>
      <c r="H89" s="551"/>
      <c r="I89" s="551"/>
      <c r="K89" s="565"/>
      <c r="L89" s="565"/>
    </row>
    <row r="90" spans="1:32" s="557" customFormat="1" x14ac:dyDescent="0.25">
      <c r="A90" s="551" t="str">
        <f>+Info!$B$2</f>
        <v>724</v>
      </c>
      <c r="B90" s="551"/>
      <c r="C90" s="551"/>
      <c r="D90" s="578"/>
      <c r="E90" s="579"/>
      <c r="F90" s="579"/>
      <c r="G90" s="580">
        <f t="shared" si="6"/>
        <v>0</v>
      </c>
      <c r="H90" s="551"/>
      <c r="I90" s="551"/>
      <c r="K90" s="565"/>
      <c r="L90" s="565"/>
    </row>
    <row r="91" spans="1:32" s="557" customFormat="1" x14ac:dyDescent="0.25">
      <c r="A91" s="551" t="str">
        <f>+Info!$B$2</f>
        <v>724</v>
      </c>
      <c r="B91" s="551"/>
      <c r="C91" s="551"/>
      <c r="D91" s="578"/>
      <c r="E91" s="579"/>
      <c r="F91" s="579"/>
      <c r="G91" s="580">
        <f t="shared" si="6"/>
        <v>0</v>
      </c>
      <c r="H91" s="551"/>
      <c r="I91" s="551"/>
      <c r="K91" s="565"/>
      <c r="L91" s="565"/>
    </row>
    <row r="92" spans="1:32" s="557" customFormat="1" x14ac:dyDescent="0.25">
      <c r="A92" s="551" t="str">
        <f>+Info!$B$2</f>
        <v>724</v>
      </c>
      <c r="B92" s="551"/>
      <c r="C92" s="551"/>
      <c r="D92" s="578"/>
      <c r="E92" s="579"/>
      <c r="F92" s="579"/>
      <c r="G92" s="580">
        <f t="shared" si="6"/>
        <v>0</v>
      </c>
      <c r="H92" s="551"/>
      <c r="I92" s="551"/>
      <c r="K92" s="565"/>
      <c r="L92" s="565"/>
    </row>
    <row r="93" spans="1:32" s="557" customFormat="1" x14ac:dyDescent="0.25">
      <c r="A93" s="551" t="str">
        <f>+Info!$B$2</f>
        <v>724</v>
      </c>
      <c r="B93" s="551"/>
      <c r="C93" s="551"/>
      <c r="D93" s="578"/>
      <c r="E93" s="579"/>
      <c r="F93" s="579"/>
      <c r="G93" s="580">
        <f t="shared" si="6"/>
        <v>0</v>
      </c>
      <c r="H93" s="551"/>
      <c r="I93" s="551"/>
      <c r="K93" s="565"/>
      <c r="L93" s="565"/>
    </row>
    <row r="94" spans="1:32" s="557" customFormat="1" x14ac:dyDescent="0.25">
      <c r="A94" s="551" t="str">
        <f>+Info!$B$2</f>
        <v>724</v>
      </c>
      <c r="B94" s="551"/>
      <c r="C94" s="551"/>
      <c r="D94" s="578"/>
      <c r="E94" s="579"/>
      <c r="F94" s="579"/>
      <c r="G94" s="580">
        <f t="shared" si="6"/>
        <v>0</v>
      </c>
      <c r="H94" s="551"/>
      <c r="I94" s="551"/>
      <c r="K94" s="565"/>
      <c r="L94" s="565"/>
    </row>
    <row r="95" spans="1:32" s="557" customFormat="1" x14ac:dyDescent="0.25">
      <c r="A95" s="551" t="str">
        <f>+Info!$B$2</f>
        <v>724</v>
      </c>
      <c r="B95" s="551"/>
      <c r="C95" s="551"/>
      <c r="D95" s="578"/>
      <c r="E95" s="579"/>
      <c r="F95" s="579"/>
      <c r="G95" s="580">
        <f t="shared" si="6"/>
        <v>0</v>
      </c>
      <c r="H95" s="551"/>
      <c r="I95" s="551"/>
      <c r="K95" s="565"/>
      <c r="L95" s="565"/>
    </row>
    <row r="96" spans="1:32" s="557" customFormat="1" x14ac:dyDescent="0.25">
      <c r="A96" s="551" t="str">
        <f>+Info!$B$2</f>
        <v>724</v>
      </c>
      <c r="B96" s="551"/>
      <c r="C96" s="551"/>
      <c r="D96" s="578"/>
      <c r="E96" s="579"/>
      <c r="F96" s="579"/>
      <c r="G96" s="580">
        <f t="shared" si="6"/>
        <v>0</v>
      </c>
      <c r="K96" s="565"/>
      <c r="L96" s="565"/>
    </row>
    <row r="97" spans="1:32" s="557" customFormat="1" x14ac:dyDescent="0.25">
      <c r="A97" s="551" t="str">
        <f>+Info!$B$2</f>
        <v>724</v>
      </c>
      <c r="B97" s="551"/>
      <c r="C97" s="551"/>
      <c r="D97" s="578"/>
      <c r="E97" s="579"/>
      <c r="F97" s="579"/>
      <c r="G97" s="580">
        <f t="shared" si="6"/>
        <v>0</v>
      </c>
      <c r="K97" s="565"/>
      <c r="L97" s="565"/>
    </row>
    <row r="98" spans="1:32" s="557" customFormat="1" x14ac:dyDescent="0.25">
      <c r="A98" s="551" t="str">
        <f>+Info!$B$2</f>
        <v>724</v>
      </c>
      <c r="B98" s="274" t="s">
        <v>896</v>
      </c>
      <c r="C98" s="274" t="s">
        <v>897</v>
      </c>
      <c r="D98" s="575" t="s">
        <v>4227</v>
      </c>
      <c r="E98" s="576">
        <f>SUM(E99:E111)</f>
        <v>0</v>
      </c>
      <c r="F98" s="576">
        <f>SUM(F99:F111)</f>
        <v>0</v>
      </c>
      <c r="G98" s="576">
        <f>SUM(G99:G111)</f>
        <v>0</v>
      </c>
      <c r="H98" s="928" t="str">
        <f>IF(G98=H99,"Quadratura OK!","Squadratura con valori di bilancio!")</f>
        <v>Quadratura OK!</v>
      </c>
      <c r="I98" s="928"/>
      <c r="K98" s="565"/>
      <c r="L98" s="565"/>
      <c r="AC98" s="557" t="str">
        <f>C98</f>
        <v>1.10.20.80.010.062.00.000</v>
      </c>
      <c r="AD98" s="577">
        <f>G98</f>
        <v>0</v>
      </c>
      <c r="AE98" s="570">
        <f>H99</f>
        <v>0</v>
      </c>
      <c r="AF98" s="551">
        <f>IF($AD98=$AE98,0,1)</f>
        <v>0</v>
      </c>
    </row>
    <row r="99" spans="1:32" s="557" customFormat="1" x14ac:dyDescent="0.25">
      <c r="A99" s="551" t="str">
        <f>+Info!$B$2</f>
        <v>724</v>
      </c>
      <c r="B99" s="551"/>
      <c r="C99" s="551"/>
      <c r="D99" s="578"/>
      <c r="E99" s="579"/>
      <c r="F99" s="579"/>
      <c r="G99" s="580">
        <f t="shared" ref="G99:G111" si="7">+E99-F99</f>
        <v>0</v>
      </c>
      <c r="H99" s="569">
        <f>SUMIF('NI-Soc_SP'!$C:$C,$C98,'NI-Soc_SP'!$O:$O)-SUMIF('NI-Soc_SP'!$C:$C,"1.10.20.80.020.062.00.000",'NI-Soc_SP'!$O:$O)</f>
        <v>0</v>
      </c>
      <c r="K99" s="565"/>
      <c r="L99" s="565"/>
    </row>
    <row r="100" spans="1:32" s="557" customFormat="1" x14ac:dyDescent="0.25">
      <c r="A100" s="551" t="str">
        <f>+Info!$B$2</f>
        <v>724</v>
      </c>
      <c r="B100" s="551"/>
      <c r="C100" s="551"/>
      <c r="D100" s="578"/>
      <c r="E100" s="579"/>
      <c r="F100" s="579"/>
      <c r="G100" s="580">
        <f t="shared" si="7"/>
        <v>0</v>
      </c>
      <c r="K100" s="565"/>
      <c r="L100" s="565"/>
    </row>
    <row r="101" spans="1:32" s="557" customFormat="1" x14ac:dyDescent="0.25">
      <c r="A101" s="551" t="str">
        <f>+Info!$B$2</f>
        <v>724</v>
      </c>
      <c r="B101" s="551"/>
      <c r="C101" s="551"/>
      <c r="D101" s="578"/>
      <c r="E101" s="579"/>
      <c r="F101" s="579"/>
      <c r="G101" s="580">
        <f t="shared" si="7"/>
        <v>0</v>
      </c>
      <c r="K101" s="565"/>
      <c r="L101" s="565"/>
    </row>
    <row r="102" spans="1:32" s="557" customFormat="1" x14ac:dyDescent="0.25">
      <c r="A102" s="551" t="str">
        <f>+Info!$B$2</f>
        <v>724</v>
      </c>
      <c r="B102" s="551"/>
      <c r="C102" s="551"/>
      <c r="D102" s="578"/>
      <c r="E102" s="579"/>
      <c r="F102" s="579"/>
      <c r="G102" s="580">
        <f t="shared" si="7"/>
        <v>0</v>
      </c>
      <c r="K102" s="565"/>
      <c r="L102" s="565"/>
    </row>
    <row r="103" spans="1:32" s="557" customFormat="1" x14ac:dyDescent="0.25">
      <c r="A103" s="551" t="str">
        <f>+Info!$B$2</f>
        <v>724</v>
      </c>
      <c r="B103" s="551"/>
      <c r="C103" s="551"/>
      <c r="D103" s="578"/>
      <c r="E103" s="579"/>
      <c r="F103" s="579"/>
      <c r="G103" s="580">
        <f t="shared" si="7"/>
        <v>0</v>
      </c>
      <c r="K103" s="565"/>
      <c r="L103" s="565"/>
    </row>
    <row r="104" spans="1:32" s="557" customFormat="1" x14ac:dyDescent="0.25">
      <c r="A104" s="551" t="str">
        <f>+Info!$B$2</f>
        <v>724</v>
      </c>
      <c r="B104" s="551"/>
      <c r="C104" s="551"/>
      <c r="D104" s="578"/>
      <c r="E104" s="579"/>
      <c r="F104" s="579"/>
      <c r="G104" s="580">
        <f t="shared" si="7"/>
        <v>0</v>
      </c>
      <c r="K104" s="565"/>
      <c r="L104" s="565"/>
    </row>
    <row r="105" spans="1:32" s="557" customFormat="1" x14ac:dyDescent="0.25">
      <c r="A105" s="551" t="str">
        <f>+Info!$B$2</f>
        <v>724</v>
      </c>
      <c r="B105" s="551"/>
      <c r="C105" s="551"/>
      <c r="D105" s="578"/>
      <c r="E105" s="579"/>
      <c r="F105" s="579"/>
      <c r="G105" s="580">
        <f t="shared" si="7"/>
        <v>0</v>
      </c>
      <c r="K105" s="565"/>
      <c r="L105" s="565"/>
    </row>
    <row r="106" spans="1:32" s="557" customFormat="1" x14ac:dyDescent="0.25">
      <c r="A106" s="551" t="str">
        <f>+Info!$B$2</f>
        <v>724</v>
      </c>
      <c r="B106" s="551"/>
      <c r="C106" s="551"/>
      <c r="D106" s="578"/>
      <c r="E106" s="579"/>
      <c r="F106" s="579"/>
      <c r="G106" s="580">
        <f t="shared" si="7"/>
        <v>0</v>
      </c>
      <c r="K106" s="565"/>
      <c r="L106" s="565"/>
    </row>
    <row r="107" spans="1:32" s="557" customFormat="1" x14ac:dyDescent="0.25">
      <c r="A107" s="551" t="str">
        <f>+Info!$B$2</f>
        <v>724</v>
      </c>
      <c r="B107" s="551"/>
      <c r="C107" s="551"/>
      <c r="D107" s="578"/>
      <c r="E107" s="579"/>
      <c r="F107" s="579"/>
      <c r="G107" s="580">
        <f t="shared" si="7"/>
        <v>0</v>
      </c>
      <c r="K107" s="565"/>
      <c r="L107" s="565"/>
    </row>
    <row r="108" spans="1:32" s="557" customFormat="1" x14ac:dyDescent="0.25">
      <c r="A108" s="551" t="str">
        <f>+Info!$B$2</f>
        <v>724</v>
      </c>
      <c r="B108" s="551"/>
      <c r="C108" s="551"/>
      <c r="D108" s="578"/>
      <c r="E108" s="579"/>
      <c r="F108" s="579"/>
      <c r="G108" s="580">
        <f t="shared" si="7"/>
        <v>0</v>
      </c>
      <c r="K108" s="565"/>
      <c r="L108" s="565"/>
    </row>
    <row r="109" spans="1:32" s="557" customFormat="1" x14ac:dyDescent="0.25">
      <c r="A109" s="551" t="str">
        <f>+Info!$B$2</f>
        <v>724</v>
      </c>
      <c r="B109" s="551"/>
      <c r="C109" s="551"/>
      <c r="D109" s="578"/>
      <c r="E109" s="579"/>
      <c r="F109" s="579"/>
      <c r="G109" s="580">
        <f t="shared" si="7"/>
        <v>0</v>
      </c>
      <c r="K109" s="565"/>
      <c r="L109" s="565"/>
    </row>
    <row r="110" spans="1:32" s="557" customFormat="1" x14ac:dyDescent="0.25">
      <c r="A110" s="551" t="str">
        <f>+Info!$B$2</f>
        <v>724</v>
      </c>
      <c r="B110" s="551"/>
      <c r="C110" s="551"/>
      <c r="D110" s="578"/>
      <c r="E110" s="579"/>
      <c r="F110" s="579"/>
      <c r="G110" s="580">
        <f t="shared" si="7"/>
        <v>0</v>
      </c>
      <c r="H110" s="551"/>
      <c r="I110" s="551"/>
      <c r="J110" s="551"/>
      <c r="K110" s="565"/>
      <c r="L110" s="565"/>
    </row>
    <row r="111" spans="1:32" s="557" customFormat="1" x14ac:dyDescent="0.25">
      <c r="A111" s="551" t="str">
        <f>+Info!$B$2</f>
        <v>724</v>
      </c>
      <c r="B111" s="551"/>
      <c r="C111" s="551"/>
      <c r="D111" s="578"/>
      <c r="E111" s="579"/>
      <c r="F111" s="579"/>
      <c r="G111" s="580">
        <f t="shared" si="7"/>
        <v>0</v>
      </c>
      <c r="H111" s="551"/>
      <c r="I111" s="551"/>
      <c r="J111" s="551"/>
      <c r="K111" s="565"/>
      <c r="L111" s="565"/>
    </row>
    <row r="112" spans="1:32" s="557" customFormat="1" x14ac:dyDescent="0.25">
      <c r="A112" s="551" t="str">
        <f>+Info!$B$2</f>
        <v>724</v>
      </c>
      <c r="B112" s="551"/>
      <c r="C112" s="551"/>
      <c r="D112" s="551"/>
      <c r="E112" s="551"/>
      <c r="F112" s="551"/>
      <c r="G112" s="551"/>
      <c r="H112" s="551"/>
      <c r="I112" s="551"/>
      <c r="J112" s="551"/>
      <c r="K112" s="565"/>
      <c r="L112" s="565"/>
    </row>
    <row r="113" spans="1:32" s="557" customFormat="1" x14ac:dyDescent="0.25">
      <c r="A113" s="551" t="str">
        <f>+Info!$B$2</f>
        <v>724</v>
      </c>
      <c r="B113" s="551"/>
      <c r="C113" s="551"/>
      <c r="D113" s="551"/>
      <c r="E113" s="551"/>
      <c r="F113" s="551"/>
      <c r="G113" s="551"/>
      <c r="H113" s="551"/>
      <c r="I113" s="551"/>
      <c r="J113" s="551"/>
      <c r="K113" s="565"/>
      <c r="L113" s="565"/>
    </row>
    <row r="114" spans="1:32" s="557" customFormat="1" x14ac:dyDescent="0.25">
      <c r="A114" s="551" t="str">
        <f>+Info!$B$2</f>
        <v>724</v>
      </c>
      <c r="B114" s="551"/>
      <c r="C114" s="551"/>
      <c r="D114" s="551"/>
      <c r="E114" s="551"/>
      <c r="F114" s="551"/>
      <c r="G114" s="551"/>
      <c r="H114" s="551"/>
      <c r="I114" s="551"/>
      <c r="J114" s="551"/>
      <c r="K114" s="565"/>
      <c r="L114" s="565"/>
    </row>
    <row r="115" spans="1:32" s="557" customFormat="1" ht="15" customHeight="1" x14ac:dyDescent="0.25">
      <c r="A115" s="551" t="str">
        <f>+Info!$B$2</f>
        <v>724</v>
      </c>
      <c r="B115" s="551"/>
      <c r="C115" s="551"/>
      <c r="F115" s="919" t="s">
        <v>4228</v>
      </c>
      <c r="G115" s="919" t="s">
        <v>4206</v>
      </c>
      <c r="H115" s="919"/>
      <c r="I115" s="919"/>
      <c r="J115" s="919"/>
      <c r="K115" s="565"/>
      <c r="L115" s="565"/>
    </row>
    <row r="116" spans="1:32" s="557" customFormat="1" ht="36" customHeight="1" x14ac:dyDescent="0.25">
      <c r="A116" s="551" t="str">
        <f>+Info!$B$2</f>
        <v>724</v>
      </c>
      <c r="B116" s="582" t="s">
        <v>940</v>
      </c>
      <c r="C116" s="582" t="s">
        <v>941</v>
      </c>
      <c r="D116" s="921" t="s">
        <v>4229</v>
      </c>
      <c r="E116" s="921"/>
      <c r="F116" s="919"/>
      <c r="G116" s="340" t="s">
        <v>4230</v>
      </c>
      <c r="H116" s="340" t="s">
        <v>4210</v>
      </c>
      <c r="I116" s="340" t="s">
        <v>4231</v>
      </c>
      <c r="J116" s="340" t="s">
        <v>4232</v>
      </c>
      <c r="K116" s="565"/>
      <c r="L116" s="565"/>
    </row>
    <row r="117" spans="1:32" s="557" customFormat="1" x14ac:dyDescent="0.25">
      <c r="A117" s="551" t="str">
        <f>+Info!$B$2</f>
        <v>724</v>
      </c>
      <c r="B117" s="559" t="s">
        <v>940</v>
      </c>
      <c r="C117" s="559" t="str">
        <f t="shared" ref="C117:C130" si="8">$C$116</f>
        <v>1.10.20.90.000.000.00.000</v>
      </c>
      <c r="D117" s="929" t="s">
        <v>4394</v>
      </c>
      <c r="E117" s="929"/>
      <c r="F117" s="563"/>
      <c r="G117" s="583"/>
      <c r="H117" s="583"/>
      <c r="I117" s="583"/>
      <c r="J117" s="584">
        <f t="shared" ref="J117:J130" si="9">+G117+H117+I117</f>
        <v>0</v>
      </c>
      <c r="K117" s="565"/>
      <c r="L117" s="565"/>
      <c r="AC117" s="557" t="str">
        <f>C116</f>
        <v>1.10.20.90.000.000.00.000</v>
      </c>
      <c r="AD117" s="577">
        <f>J131</f>
        <v>0</v>
      </c>
      <c r="AE117" s="570">
        <f>E131</f>
        <v>0</v>
      </c>
      <c r="AF117" s="551">
        <f>IF($AD117=$AE117,0,1)</f>
        <v>0</v>
      </c>
    </row>
    <row r="118" spans="1:32" s="557" customFormat="1" x14ac:dyDescent="0.25">
      <c r="A118" s="551" t="str">
        <f>+Info!$B$2</f>
        <v>724</v>
      </c>
      <c r="B118" s="559" t="s">
        <v>940</v>
      </c>
      <c r="C118" s="559" t="str">
        <f t="shared" si="8"/>
        <v>1.10.20.90.000.000.00.000</v>
      </c>
      <c r="D118" s="929"/>
      <c r="E118" s="929"/>
      <c r="F118" s="563"/>
      <c r="G118" s="583"/>
      <c r="H118" s="583"/>
      <c r="I118" s="583"/>
      <c r="J118" s="584">
        <f t="shared" si="9"/>
        <v>0</v>
      </c>
      <c r="K118" s="565"/>
      <c r="L118" s="565"/>
    </row>
    <row r="119" spans="1:32" s="557" customFormat="1" x14ac:dyDescent="0.25">
      <c r="A119" s="551" t="str">
        <f>+Info!$B$2</f>
        <v>724</v>
      </c>
      <c r="B119" s="559" t="s">
        <v>940</v>
      </c>
      <c r="C119" s="559" t="str">
        <f t="shared" si="8"/>
        <v>1.10.20.90.000.000.00.000</v>
      </c>
      <c r="D119" s="929"/>
      <c r="E119" s="929"/>
      <c r="F119" s="563"/>
      <c r="G119" s="583"/>
      <c r="H119" s="583"/>
      <c r="I119" s="583"/>
      <c r="J119" s="584">
        <f t="shared" si="9"/>
        <v>0</v>
      </c>
      <c r="K119" s="565"/>
      <c r="L119" s="565"/>
    </row>
    <row r="120" spans="1:32" s="557" customFormat="1" x14ac:dyDescent="0.25">
      <c r="A120" s="551" t="str">
        <f>+Info!$B$2</f>
        <v>724</v>
      </c>
      <c r="B120" s="559" t="s">
        <v>940</v>
      </c>
      <c r="C120" s="559" t="str">
        <f t="shared" si="8"/>
        <v>1.10.20.90.000.000.00.000</v>
      </c>
      <c r="D120" s="929"/>
      <c r="E120" s="929"/>
      <c r="F120" s="563"/>
      <c r="G120" s="583"/>
      <c r="H120" s="583"/>
      <c r="I120" s="583"/>
      <c r="J120" s="584">
        <f t="shared" si="9"/>
        <v>0</v>
      </c>
      <c r="K120" s="565"/>
      <c r="L120" s="565"/>
    </row>
    <row r="121" spans="1:32" s="557" customFormat="1" x14ac:dyDescent="0.25">
      <c r="A121" s="551" t="str">
        <f>+Info!$B$2</f>
        <v>724</v>
      </c>
      <c r="B121" s="559" t="s">
        <v>940</v>
      </c>
      <c r="C121" s="559" t="str">
        <f t="shared" si="8"/>
        <v>1.10.20.90.000.000.00.000</v>
      </c>
      <c r="D121" s="929"/>
      <c r="E121" s="929"/>
      <c r="F121" s="563"/>
      <c r="G121" s="583"/>
      <c r="H121" s="583"/>
      <c r="I121" s="583"/>
      <c r="J121" s="584">
        <f t="shared" si="9"/>
        <v>0</v>
      </c>
      <c r="K121" s="565"/>
      <c r="L121" s="565"/>
    </row>
    <row r="122" spans="1:32" s="557" customFormat="1" x14ac:dyDescent="0.25">
      <c r="A122" s="551" t="str">
        <f>+Info!$B$2</f>
        <v>724</v>
      </c>
      <c r="B122" s="559" t="s">
        <v>940</v>
      </c>
      <c r="C122" s="559" t="str">
        <f t="shared" si="8"/>
        <v>1.10.20.90.000.000.00.000</v>
      </c>
      <c r="D122" s="929"/>
      <c r="E122" s="929"/>
      <c r="F122" s="563"/>
      <c r="G122" s="583"/>
      <c r="H122" s="583"/>
      <c r="I122" s="583"/>
      <c r="J122" s="584">
        <f t="shared" si="9"/>
        <v>0</v>
      </c>
      <c r="K122" s="565"/>
      <c r="L122" s="565"/>
    </row>
    <row r="123" spans="1:32" s="557" customFormat="1" x14ac:dyDescent="0.25">
      <c r="A123" s="551" t="str">
        <f>+Info!$B$2</f>
        <v>724</v>
      </c>
      <c r="B123" s="559" t="s">
        <v>940</v>
      </c>
      <c r="C123" s="559" t="str">
        <f t="shared" si="8"/>
        <v>1.10.20.90.000.000.00.000</v>
      </c>
      <c r="D123" s="929"/>
      <c r="E123" s="929"/>
      <c r="F123" s="563"/>
      <c r="G123" s="583"/>
      <c r="H123" s="583"/>
      <c r="I123" s="583"/>
      <c r="J123" s="584">
        <f t="shared" si="9"/>
        <v>0</v>
      </c>
      <c r="K123" s="565"/>
      <c r="L123" s="565"/>
    </row>
    <row r="124" spans="1:32" s="557" customFormat="1" x14ac:dyDescent="0.25">
      <c r="A124" s="551" t="str">
        <f>+Info!$B$2</f>
        <v>724</v>
      </c>
      <c r="B124" s="559" t="s">
        <v>940</v>
      </c>
      <c r="C124" s="559" t="str">
        <f t="shared" si="8"/>
        <v>1.10.20.90.000.000.00.000</v>
      </c>
      <c r="D124" s="929"/>
      <c r="E124" s="929"/>
      <c r="F124" s="563"/>
      <c r="G124" s="583"/>
      <c r="H124" s="583"/>
      <c r="I124" s="583"/>
      <c r="J124" s="584">
        <f t="shared" si="9"/>
        <v>0</v>
      </c>
      <c r="K124" s="565"/>
      <c r="L124" s="565"/>
    </row>
    <row r="125" spans="1:32" s="557" customFormat="1" x14ac:dyDescent="0.25">
      <c r="A125" s="551" t="str">
        <f>+Info!$B$2</f>
        <v>724</v>
      </c>
      <c r="B125" s="559" t="s">
        <v>940</v>
      </c>
      <c r="C125" s="559" t="str">
        <f t="shared" si="8"/>
        <v>1.10.20.90.000.000.00.000</v>
      </c>
      <c r="D125" s="929"/>
      <c r="E125" s="929"/>
      <c r="F125" s="563"/>
      <c r="G125" s="583"/>
      <c r="H125" s="583"/>
      <c r="I125" s="583"/>
      <c r="J125" s="584">
        <f t="shared" si="9"/>
        <v>0</v>
      </c>
      <c r="K125" s="565"/>
      <c r="L125" s="565"/>
    </row>
    <row r="126" spans="1:32" s="557" customFormat="1" x14ac:dyDescent="0.25">
      <c r="A126" s="551" t="str">
        <f>+Info!$B$2</f>
        <v>724</v>
      </c>
      <c r="B126" s="559" t="s">
        <v>940</v>
      </c>
      <c r="C126" s="559" t="str">
        <f t="shared" si="8"/>
        <v>1.10.20.90.000.000.00.000</v>
      </c>
      <c r="D126" s="929"/>
      <c r="E126" s="929"/>
      <c r="F126" s="563"/>
      <c r="G126" s="583"/>
      <c r="H126" s="583"/>
      <c r="I126" s="583"/>
      <c r="J126" s="584">
        <f t="shared" si="9"/>
        <v>0</v>
      </c>
      <c r="K126" s="565"/>
      <c r="L126" s="565"/>
    </row>
    <row r="127" spans="1:32" s="557" customFormat="1" x14ac:dyDescent="0.25">
      <c r="A127" s="551" t="str">
        <f>+Info!$B$2</f>
        <v>724</v>
      </c>
      <c r="B127" s="559" t="s">
        <v>940</v>
      </c>
      <c r="C127" s="559" t="str">
        <f t="shared" si="8"/>
        <v>1.10.20.90.000.000.00.000</v>
      </c>
      <c r="D127" s="929"/>
      <c r="E127" s="929"/>
      <c r="F127" s="563"/>
      <c r="G127" s="583"/>
      <c r="H127" s="583"/>
      <c r="I127" s="583"/>
      <c r="J127" s="584">
        <f t="shared" si="9"/>
        <v>0</v>
      </c>
      <c r="K127" s="565"/>
      <c r="L127" s="565"/>
    </row>
    <row r="128" spans="1:32" s="557" customFormat="1" x14ac:dyDescent="0.25">
      <c r="A128" s="551" t="str">
        <f>+Info!$B$2</f>
        <v>724</v>
      </c>
      <c r="B128" s="559" t="s">
        <v>940</v>
      </c>
      <c r="C128" s="559" t="str">
        <f t="shared" si="8"/>
        <v>1.10.20.90.000.000.00.000</v>
      </c>
      <c r="D128" s="929"/>
      <c r="E128" s="929"/>
      <c r="F128" s="563"/>
      <c r="G128" s="583"/>
      <c r="H128" s="583"/>
      <c r="I128" s="583"/>
      <c r="J128" s="584">
        <f t="shared" si="9"/>
        <v>0</v>
      </c>
      <c r="K128" s="565"/>
      <c r="L128" s="565"/>
    </row>
    <row r="129" spans="1:14" s="557" customFormat="1" x14ac:dyDescent="0.25">
      <c r="A129" s="551" t="str">
        <f>+Info!$B$2</f>
        <v>724</v>
      </c>
      <c r="B129" s="559" t="s">
        <v>940</v>
      </c>
      <c r="C129" s="559" t="str">
        <f t="shared" si="8"/>
        <v>1.10.20.90.000.000.00.000</v>
      </c>
      <c r="D129" s="929"/>
      <c r="E129" s="929"/>
      <c r="F129" s="563"/>
      <c r="G129" s="583"/>
      <c r="H129" s="583"/>
      <c r="I129" s="583"/>
      <c r="J129" s="584">
        <f t="shared" si="9"/>
        <v>0</v>
      </c>
      <c r="K129" s="565"/>
      <c r="L129" s="565"/>
    </row>
    <row r="130" spans="1:14" s="557" customFormat="1" x14ac:dyDescent="0.25">
      <c r="A130" s="551" t="str">
        <f>+Info!$B$2</f>
        <v>724</v>
      </c>
      <c r="B130" s="559" t="s">
        <v>940</v>
      </c>
      <c r="C130" s="559" t="str">
        <f t="shared" si="8"/>
        <v>1.10.20.90.000.000.00.000</v>
      </c>
      <c r="D130" s="930"/>
      <c r="E130" s="930"/>
      <c r="F130" s="563"/>
      <c r="G130" s="583"/>
      <c r="H130" s="583"/>
      <c r="I130" s="583"/>
      <c r="J130" s="584">
        <f t="shared" si="9"/>
        <v>0</v>
      </c>
      <c r="K130" s="565"/>
      <c r="L130" s="565"/>
    </row>
    <row r="131" spans="1:14" s="557" customFormat="1" x14ac:dyDescent="0.25">
      <c r="A131" s="551" t="str">
        <f>+Info!$B$2</f>
        <v>724</v>
      </c>
      <c r="B131" s="551"/>
      <c r="C131" s="551"/>
      <c r="D131" s="551"/>
      <c r="E131" s="569">
        <f>SUMIF('NI-Soc_SP'!$C:$C,$C116,'NI-Soc_SP'!$O:$O)</f>
        <v>0</v>
      </c>
      <c r="F131" s="928" t="str">
        <f>IF(J131=E131,"Quadratura OK!","Squadratura con dati Bilancio!")</f>
        <v>Quadratura OK!</v>
      </c>
      <c r="G131" s="928"/>
      <c r="H131" s="928"/>
      <c r="I131" s="585" t="s">
        <v>4251</v>
      </c>
      <c r="J131" s="586">
        <f>SUM(J117:J130)</f>
        <v>0</v>
      </c>
      <c r="K131" s="565"/>
      <c r="L131" s="565"/>
    </row>
    <row r="132" spans="1:14" s="557" customFormat="1" x14ac:dyDescent="0.25">
      <c r="A132" s="551" t="str">
        <f>+Info!$B$2</f>
        <v>724</v>
      </c>
      <c r="B132" s="565"/>
      <c r="C132" s="565"/>
      <c r="D132" s="565"/>
      <c r="E132" s="565"/>
      <c r="F132" s="565"/>
      <c r="G132" s="565"/>
      <c r="H132" s="565"/>
      <c r="I132" s="565"/>
      <c r="J132" s="565"/>
      <c r="K132" s="565"/>
      <c r="L132" s="565"/>
    </row>
    <row r="133" spans="1:14" s="557" customFormat="1" ht="19.5" x14ac:dyDescent="0.3">
      <c r="A133" s="551" t="str">
        <f>+Info!$B$2</f>
        <v>724</v>
      </c>
      <c r="B133" s="565"/>
      <c r="C133" s="565"/>
      <c r="D133" s="926" t="s">
        <v>4252</v>
      </c>
      <c r="E133" s="926"/>
      <c r="F133" s="926"/>
      <c r="G133" s="926"/>
      <c r="H133" s="926"/>
      <c r="I133" s="926"/>
      <c r="J133" s="926"/>
      <c r="K133" s="926"/>
      <c r="L133" s="926"/>
      <c r="M133" s="926"/>
      <c r="N133" s="926"/>
    </row>
    <row r="134" spans="1:14" s="557" customFormat="1" ht="19.5" x14ac:dyDescent="0.3">
      <c r="A134" s="551"/>
      <c r="B134" s="565"/>
      <c r="C134" s="565"/>
      <c r="D134" s="587"/>
      <c r="E134" s="587"/>
      <c r="F134" s="587"/>
      <c r="G134" s="587"/>
      <c r="H134" s="587"/>
      <c r="I134" s="587"/>
      <c r="J134" s="587"/>
      <c r="K134" s="587"/>
      <c r="L134" s="587"/>
      <c r="M134" s="587"/>
      <c r="N134" s="587"/>
    </row>
    <row r="135" spans="1:14" s="557" customFormat="1" ht="19.5" hidden="1" x14ac:dyDescent="0.3">
      <c r="A135" s="551"/>
      <c r="B135" s="588"/>
      <c r="C135" s="588" t="s">
        <v>4253</v>
      </c>
      <c r="D135" s="588" t="s">
        <v>4254</v>
      </c>
      <c r="E135" s="581"/>
      <c r="F135" s="587"/>
      <c r="G135" s="587"/>
      <c r="H135" s="581">
        <v>0</v>
      </c>
      <c r="I135" s="581">
        <v>0</v>
      </c>
      <c r="J135" s="581">
        <v>0</v>
      </c>
      <c r="K135" s="581">
        <v>0</v>
      </c>
      <c r="L135" s="581">
        <v>0</v>
      </c>
      <c r="M135" s="581">
        <v>0</v>
      </c>
      <c r="N135" s="587"/>
    </row>
    <row r="136" spans="1:14" s="557" customFormat="1" hidden="1" x14ac:dyDescent="0.25">
      <c r="A136" s="551"/>
      <c r="B136" s="581"/>
      <c r="C136" s="581"/>
      <c r="D136" s="581"/>
      <c r="E136" s="581"/>
      <c r="F136" s="581"/>
      <c r="G136" s="581"/>
      <c r="H136" s="581">
        <v>0</v>
      </c>
      <c r="I136" s="581">
        <v>0</v>
      </c>
      <c r="J136" s="581">
        <v>0</v>
      </c>
      <c r="K136" s="581">
        <v>0</v>
      </c>
      <c r="L136" s="581">
        <v>0</v>
      </c>
      <c r="M136" s="581">
        <v>0</v>
      </c>
      <c r="N136" s="581"/>
    </row>
    <row r="137" spans="1:14" s="557" customFormat="1" ht="19.5" hidden="1" x14ac:dyDescent="0.3">
      <c r="A137" s="551"/>
      <c r="B137" s="581"/>
      <c r="C137" s="581"/>
      <c r="D137" s="587"/>
      <c r="E137" s="587"/>
      <c r="F137" s="587"/>
      <c r="G137" s="587"/>
      <c r="H137" s="581">
        <v>0</v>
      </c>
      <c r="I137" s="581">
        <v>0</v>
      </c>
      <c r="J137" s="581">
        <v>0</v>
      </c>
      <c r="K137" s="581">
        <v>0</v>
      </c>
      <c r="L137" s="581">
        <v>0</v>
      </c>
      <c r="M137" s="581">
        <v>0</v>
      </c>
      <c r="N137" s="581"/>
    </row>
    <row r="138" spans="1:14" hidden="1" x14ac:dyDescent="0.25">
      <c r="A138" s="551" t="str">
        <f>+Info!$B$2</f>
        <v>724</v>
      </c>
      <c r="B138"/>
      <c r="C138"/>
      <c r="D138"/>
      <c r="E138"/>
      <c r="F138"/>
      <c r="G138"/>
      <c r="H138" s="581">
        <v>0</v>
      </c>
      <c r="I138" s="581">
        <v>0</v>
      </c>
      <c r="J138" s="581">
        <v>0</v>
      </c>
      <c r="K138" s="581">
        <v>0</v>
      </c>
      <c r="L138" s="581">
        <v>0</v>
      </c>
      <c r="M138" s="581">
        <v>0</v>
      </c>
      <c r="N138" s="581"/>
    </row>
    <row r="139" spans="1:14" ht="36" x14ac:dyDescent="0.25">
      <c r="A139" s="551" t="str">
        <f>+Info!$B$2</f>
        <v>724</v>
      </c>
      <c r="D139" s="589" t="s">
        <v>4255</v>
      </c>
      <c r="E139" s="590" t="s">
        <v>4256</v>
      </c>
      <c r="F139" s="590" t="s">
        <v>4257</v>
      </c>
      <c r="G139" s="590" t="s">
        <v>4258</v>
      </c>
      <c r="H139" s="590" t="s">
        <v>4259</v>
      </c>
      <c r="I139" s="590" t="s">
        <v>4260</v>
      </c>
      <c r="J139" s="590" t="s">
        <v>4261</v>
      </c>
      <c r="K139" s="590" t="s">
        <v>4262</v>
      </c>
      <c r="L139" s="590" t="s">
        <v>4263</v>
      </c>
      <c r="M139" s="590" t="s">
        <v>4264</v>
      </c>
      <c r="N139" s="590" t="s">
        <v>4265</v>
      </c>
    </row>
    <row r="140" spans="1:14" x14ac:dyDescent="0.25">
      <c r="A140" s="551" t="str">
        <f>+Info!$B$2</f>
        <v>724</v>
      </c>
      <c r="B140" s="591" t="s">
        <v>1097</v>
      </c>
      <c r="C140" s="591" t="s">
        <v>1098</v>
      </c>
      <c r="D140" s="591" t="s">
        <v>4266</v>
      </c>
      <c r="E140" s="592"/>
      <c r="F140" s="592"/>
      <c r="G140" s="592"/>
      <c r="H140" s="592"/>
      <c r="I140" s="592"/>
      <c r="J140" s="592"/>
      <c r="K140" s="592"/>
      <c r="L140" s="592"/>
      <c r="M140" s="592"/>
      <c r="N140" s="592"/>
    </row>
    <row r="141" spans="1:14" x14ac:dyDescent="0.25">
      <c r="A141" s="551" t="str">
        <f>+Info!$B$2</f>
        <v>724</v>
      </c>
      <c r="B141" s="559" t="s">
        <v>1097</v>
      </c>
      <c r="C141" s="559" t="str">
        <f t="shared" ref="C141:C152" si="10">$C$140</f>
        <v>1.10.30.20.010.010.00.000</v>
      </c>
      <c r="D141" s="593"/>
      <c r="E141" s="563"/>
      <c r="F141" s="563"/>
      <c r="G141" s="563"/>
      <c r="H141" s="563"/>
      <c r="I141" s="563"/>
      <c r="J141" s="563"/>
      <c r="K141" s="563"/>
      <c r="L141" s="563"/>
      <c r="M141" s="563"/>
      <c r="N141" s="563"/>
    </row>
    <row r="142" spans="1:14" x14ac:dyDescent="0.25">
      <c r="A142" s="551" t="str">
        <f>+Info!$B$2</f>
        <v>724</v>
      </c>
      <c r="B142" s="559" t="s">
        <v>1097</v>
      </c>
      <c r="C142" s="559" t="str">
        <f t="shared" si="10"/>
        <v>1.10.30.20.010.010.00.000</v>
      </c>
      <c r="D142" s="59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/>
    </row>
    <row r="143" spans="1:14" x14ac:dyDescent="0.25">
      <c r="A143" s="551" t="str">
        <f>+Info!$B$2</f>
        <v>724</v>
      </c>
      <c r="B143" s="559" t="s">
        <v>1097</v>
      </c>
      <c r="C143" s="559" t="str">
        <f t="shared" si="10"/>
        <v>1.10.30.20.010.010.00.000</v>
      </c>
      <c r="D143" s="59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/>
    </row>
    <row r="144" spans="1:14" x14ac:dyDescent="0.25">
      <c r="A144" s="551" t="str">
        <f>+Info!$B$2</f>
        <v>724</v>
      </c>
      <c r="B144" s="559" t="s">
        <v>1097</v>
      </c>
      <c r="C144" s="559" t="str">
        <f t="shared" si="10"/>
        <v>1.10.30.20.010.010.00.000</v>
      </c>
      <c r="D144" s="59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/>
    </row>
    <row r="145" spans="1:14" x14ac:dyDescent="0.25">
      <c r="A145" s="551" t="str">
        <f>+Info!$B$2</f>
        <v>724</v>
      </c>
      <c r="B145" s="559" t="s">
        <v>1097</v>
      </c>
      <c r="C145" s="559" t="str">
        <f t="shared" si="10"/>
        <v>1.10.30.20.010.010.00.000</v>
      </c>
      <c r="D145" s="59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/>
    </row>
    <row r="146" spans="1:14" x14ac:dyDescent="0.25">
      <c r="A146" s="551" t="str">
        <f>+Info!$B$2</f>
        <v>724</v>
      </c>
      <c r="B146" s="559" t="s">
        <v>1097</v>
      </c>
      <c r="C146" s="559" t="str">
        <f t="shared" si="10"/>
        <v>1.10.30.20.010.010.00.000</v>
      </c>
      <c r="D146" s="593"/>
      <c r="E146" s="563"/>
      <c r="F146" s="563"/>
      <c r="G146" s="563"/>
      <c r="H146" s="563"/>
      <c r="I146" s="563"/>
      <c r="J146" s="563"/>
      <c r="K146" s="563"/>
      <c r="L146" s="563"/>
      <c r="M146" s="563"/>
      <c r="N146" s="563"/>
    </row>
    <row r="147" spans="1:14" x14ac:dyDescent="0.25">
      <c r="A147" s="551" t="str">
        <f>+Info!$B$2</f>
        <v>724</v>
      </c>
      <c r="B147" s="559" t="s">
        <v>1097</v>
      </c>
      <c r="C147" s="559" t="str">
        <f t="shared" si="10"/>
        <v>1.10.30.20.010.010.00.000</v>
      </c>
      <c r="D147" s="593"/>
      <c r="E147" s="563"/>
      <c r="F147" s="563"/>
      <c r="G147" s="563"/>
      <c r="H147" s="563"/>
      <c r="I147" s="563"/>
      <c r="J147" s="563"/>
      <c r="K147" s="563"/>
      <c r="L147" s="563"/>
      <c r="M147" s="563"/>
      <c r="N147" s="563"/>
    </row>
    <row r="148" spans="1:14" x14ac:dyDescent="0.25">
      <c r="A148" s="551" t="str">
        <f>+Info!$B$2</f>
        <v>724</v>
      </c>
      <c r="B148" s="559" t="s">
        <v>1097</v>
      </c>
      <c r="C148" s="559" t="str">
        <f t="shared" si="10"/>
        <v>1.10.30.20.010.010.00.000</v>
      </c>
      <c r="D148" s="593"/>
      <c r="E148" s="563"/>
      <c r="F148" s="563"/>
      <c r="G148" s="563"/>
      <c r="H148" s="563"/>
      <c r="I148" s="563"/>
      <c r="J148" s="563"/>
      <c r="K148" s="563"/>
      <c r="L148" s="563"/>
      <c r="M148" s="563"/>
      <c r="N148" s="563"/>
    </row>
    <row r="149" spans="1:14" x14ac:dyDescent="0.25">
      <c r="A149" s="551" t="str">
        <f>+Info!$B$2</f>
        <v>724</v>
      </c>
      <c r="B149" s="559" t="s">
        <v>1097</v>
      </c>
      <c r="C149" s="559" t="str">
        <f t="shared" si="10"/>
        <v>1.10.30.20.010.010.00.000</v>
      </c>
      <c r="D149" s="593"/>
      <c r="E149" s="563"/>
      <c r="F149" s="563"/>
      <c r="G149" s="563"/>
      <c r="H149" s="563"/>
      <c r="I149" s="563"/>
      <c r="J149" s="563"/>
      <c r="K149" s="563"/>
      <c r="L149" s="563"/>
      <c r="M149" s="563"/>
      <c r="N149" s="563"/>
    </row>
    <row r="150" spans="1:14" x14ac:dyDescent="0.25">
      <c r="A150" s="551" t="str">
        <f>+Info!$B$2</f>
        <v>724</v>
      </c>
      <c r="B150" s="559" t="s">
        <v>1097</v>
      </c>
      <c r="C150" s="559" t="str">
        <f t="shared" si="10"/>
        <v>1.10.30.20.010.010.00.000</v>
      </c>
      <c r="D150" s="593"/>
      <c r="E150" s="563"/>
      <c r="F150" s="563"/>
      <c r="G150" s="563"/>
      <c r="H150" s="563"/>
      <c r="I150" s="563"/>
      <c r="J150" s="563"/>
      <c r="K150" s="563"/>
      <c r="L150" s="563"/>
      <c r="M150" s="563"/>
      <c r="N150" s="563"/>
    </row>
    <row r="151" spans="1:14" x14ac:dyDescent="0.25">
      <c r="A151" s="551" t="str">
        <f>+Info!$B$2</f>
        <v>724</v>
      </c>
      <c r="B151" s="559" t="s">
        <v>1097</v>
      </c>
      <c r="C151" s="559" t="str">
        <f t="shared" si="10"/>
        <v>1.10.30.20.010.010.00.000</v>
      </c>
      <c r="D151" s="59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3"/>
    </row>
    <row r="152" spans="1:14" x14ac:dyDescent="0.25">
      <c r="A152" s="551" t="str">
        <f>+Info!$B$2</f>
        <v>724</v>
      </c>
      <c r="B152" s="559" t="s">
        <v>1097</v>
      </c>
      <c r="C152" s="559" t="str">
        <f t="shared" si="10"/>
        <v>1.10.30.20.010.010.00.000</v>
      </c>
      <c r="D152" s="593"/>
      <c r="E152" s="563"/>
      <c r="F152" s="563"/>
      <c r="G152" s="563"/>
      <c r="H152" s="563"/>
      <c r="I152" s="563"/>
      <c r="J152" s="563"/>
      <c r="K152" s="563"/>
      <c r="L152" s="563"/>
      <c r="M152" s="563"/>
      <c r="N152" s="563"/>
    </row>
    <row r="153" spans="1:14" x14ac:dyDescent="0.25">
      <c r="A153" s="551" t="str">
        <f>+Info!$B$2</f>
        <v>724</v>
      </c>
      <c r="B153" s="559" t="s">
        <v>1100</v>
      </c>
      <c r="C153" s="594" t="s">
        <v>1101</v>
      </c>
      <c r="D153" s="594" t="s">
        <v>4267</v>
      </c>
      <c r="E153" s="595"/>
      <c r="F153" s="595"/>
      <c r="G153" s="595"/>
      <c r="H153" s="595"/>
      <c r="I153" s="595"/>
      <c r="J153" s="595"/>
      <c r="K153" s="595"/>
      <c r="L153" s="595"/>
      <c r="M153" s="595"/>
      <c r="N153" s="595"/>
    </row>
    <row r="154" spans="1:14" x14ac:dyDescent="0.25">
      <c r="A154" s="551" t="str">
        <f>+Info!$B$2</f>
        <v>724</v>
      </c>
      <c r="B154" s="559" t="s">
        <v>1100</v>
      </c>
      <c r="C154" s="559" t="str">
        <f t="shared" ref="C154:C165" si="11">$C$153</f>
        <v>1.10.30.20.010.015.00.000</v>
      </c>
      <c r="D154" s="593"/>
      <c r="E154" s="563"/>
      <c r="F154" s="563"/>
      <c r="G154" s="563"/>
      <c r="H154" s="563"/>
      <c r="I154" s="563"/>
      <c r="J154" s="563"/>
      <c r="K154" s="563"/>
      <c r="L154" s="563"/>
      <c r="M154" s="563"/>
      <c r="N154" s="563"/>
    </row>
    <row r="155" spans="1:14" x14ac:dyDescent="0.25">
      <c r="A155" s="551" t="str">
        <f>+Info!$B$2</f>
        <v>724</v>
      </c>
      <c r="B155" s="559" t="s">
        <v>1100</v>
      </c>
      <c r="C155" s="559" t="str">
        <f t="shared" si="11"/>
        <v>1.10.30.20.010.015.00.000</v>
      </c>
      <c r="D155" s="593"/>
      <c r="E155" s="563"/>
      <c r="F155" s="563"/>
      <c r="G155" s="563"/>
      <c r="H155" s="563"/>
      <c r="I155" s="563"/>
      <c r="J155" s="563"/>
      <c r="K155" s="563"/>
      <c r="L155" s="563"/>
      <c r="M155" s="563"/>
      <c r="N155" s="563"/>
    </row>
    <row r="156" spans="1:14" x14ac:dyDescent="0.25">
      <c r="A156" s="551" t="str">
        <f>+Info!$B$2</f>
        <v>724</v>
      </c>
      <c r="B156" s="559" t="s">
        <v>1100</v>
      </c>
      <c r="C156" s="559" t="str">
        <f t="shared" si="11"/>
        <v>1.10.30.20.010.015.00.000</v>
      </c>
      <c r="D156" s="593"/>
      <c r="E156" s="563"/>
      <c r="F156" s="563"/>
      <c r="G156" s="563"/>
      <c r="H156" s="563"/>
      <c r="I156" s="563"/>
      <c r="J156" s="563"/>
      <c r="K156" s="563"/>
      <c r="L156" s="563"/>
      <c r="M156" s="563"/>
      <c r="N156" s="563"/>
    </row>
    <row r="157" spans="1:14" x14ac:dyDescent="0.25">
      <c r="A157" s="551" t="str">
        <f>+Info!$B$2</f>
        <v>724</v>
      </c>
      <c r="B157" s="559" t="s">
        <v>1100</v>
      </c>
      <c r="C157" s="559" t="str">
        <f t="shared" si="11"/>
        <v>1.10.30.20.010.015.00.000</v>
      </c>
      <c r="D157" s="59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</row>
    <row r="158" spans="1:14" x14ac:dyDescent="0.25">
      <c r="A158" s="551" t="str">
        <f>+Info!$B$2</f>
        <v>724</v>
      </c>
      <c r="B158" s="559" t="s">
        <v>1100</v>
      </c>
      <c r="C158" s="559" t="str">
        <f t="shared" si="11"/>
        <v>1.10.30.20.010.015.00.000</v>
      </c>
      <c r="D158" s="593"/>
      <c r="E158" s="563"/>
      <c r="F158" s="563"/>
      <c r="G158" s="563"/>
      <c r="H158" s="563"/>
      <c r="I158" s="563"/>
      <c r="J158" s="563"/>
      <c r="K158" s="563"/>
      <c r="L158" s="563"/>
      <c r="M158" s="563"/>
      <c r="N158" s="563"/>
    </row>
    <row r="159" spans="1:14" x14ac:dyDescent="0.25">
      <c r="A159" s="551" t="str">
        <f>+Info!$B$2</f>
        <v>724</v>
      </c>
      <c r="B159" s="559" t="s">
        <v>1100</v>
      </c>
      <c r="C159" s="559" t="str">
        <f t="shared" si="11"/>
        <v>1.10.30.20.010.015.00.000</v>
      </c>
      <c r="D159" s="593"/>
      <c r="E159" s="563"/>
      <c r="F159" s="563"/>
      <c r="G159" s="563"/>
      <c r="H159" s="563"/>
      <c r="I159" s="563"/>
      <c r="J159" s="563"/>
      <c r="K159" s="563"/>
      <c r="L159" s="563"/>
      <c r="M159" s="563"/>
      <c r="N159" s="563"/>
    </row>
    <row r="160" spans="1:14" x14ac:dyDescent="0.25">
      <c r="A160" s="551" t="str">
        <f>+Info!$B$2</f>
        <v>724</v>
      </c>
      <c r="B160" s="559" t="s">
        <v>1100</v>
      </c>
      <c r="C160" s="559" t="str">
        <f t="shared" si="11"/>
        <v>1.10.30.20.010.015.00.000</v>
      </c>
      <c r="D160" s="593"/>
      <c r="E160" s="563"/>
      <c r="F160" s="563"/>
      <c r="G160" s="563"/>
      <c r="H160" s="563"/>
      <c r="I160" s="563"/>
      <c r="J160" s="563"/>
      <c r="K160" s="563"/>
      <c r="L160" s="563"/>
      <c r="M160" s="563"/>
      <c r="N160" s="563"/>
    </row>
    <row r="161" spans="1:14" x14ac:dyDescent="0.25">
      <c r="A161" s="551" t="str">
        <f>+Info!$B$2</f>
        <v>724</v>
      </c>
      <c r="B161" s="559" t="s">
        <v>1100</v>
      </c>
      <c r="C161" s="559" t="str">
        <f t="shared" si="11"/>
        <v>1.10.30.20.010.015.00.000</v>
      </c>
      <c r="D161" s="593"/>
      <c r="E161" s="563"/>
      <c r="F161" s="563"/>
      <c r="G161" s="563"/>
      <c r="H161" s="563"/>
      <c r="I161" s="563"/>
      <c r="J161" s="563"/>
      <c r="K161" s="563"/>
      <c r="L161" s="563"/>
      <c r="M161" s="563"/>
      <c r="N161" s="563"/>
    </row>
    <row r="162" spans="1:14" x14ac:dyDescent="0.25">
      <c r="A162" s="551" t="str">
        <f>+Info!$B$2</f>
        <v>724</v>
      </c>
      <c r="B162" s="559" t="s">
        <v>1100</v>
      </c>
      <c r="C162" s="559" t="str">
        <f t="shared" si="11"/>
        <v>1.10.30.20.010.015.00.000</v>
      </c>
      <c r="D162" s="593"/>
      <c r="E162" s="563"/>
      <c r="F162" s="563"/>
      <c r="G162" s="563"/>
      <c r="H162" s="563"/>
      <c r="I162" s="563"/>
      <c r="J162" s="563"/>
      <c r="K162" s="563"/>
      <c r="L162" s="563"/>
      <c r="M162" s="563"/>
      <c r="N162" s="563"/>
    </row>
    <row r="163" spans="1:14" x14ac:dyDescent="0.25">
      <c r="A163" s="551" t="str">
        <f>+Info!$B$2</f>
        <v>724</v>
      </c>
      <c r="B163" s="559" t="s">
        <v>1100</v>
      </c>
      <c r="C163" s="559" t="str">
        <f t="shared" si="11"/>
        <v>1.10.30.20.010.015.00.000</v>
      </c>
      <c r="D163" s="59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3"/>
    </row>
    <row r="164" spans="1:14" x14ac:dyDescent="0.25">
      <c r="A164" s="551" t="str">
        <f>+Info!$B$2</f>
        <v>724</v>
      </c>
      <c r="B164" s="559" t="s">
        <v>1100</v>
      </c>
      <c r="C164" s="559" t="str">
        <f t="shared" si="11"/>
        <v>1.10.30.20.010.015.00.000</v>
      </c>
      <c r="D164" s="593"/>
      <c r="E164" s="563"/>
      <c r="F164" s="563"/>
      <c r="G164" s="563"/>
      <c r="H164" s="563"/>
      <c r="I164" s="563"/>
      <c r="J164" s="563"/>
      <c r="K164" s="563"/>
      <c r="L164" s="563"/>
      <c r="M164" s="563"/>
      <c r="N164" s="563"/>
    </row>
    <row r="165" spans="1:14" x14ac:dyDescent="0.25">
      <c r="A165" s="551" t="str">
        <f>+Info!$B$2</f>
        <v>724</v>
      </c>
      <c r="B165" s="559" t="s">
        <v>1100</v>
      </c>
      <c r="C165" s="559" t="str">
        <f t="shared" si="11"/>
        <v>1.10.30.20.010.015.00.000</v>
      </c>
      <c r="D165" s="59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3"/>
    </row>
    <row r="166" spans="1:14" x14ac:dyDescent="0.25">
      <c r="A166" s="551" t="str">
        <f>+Info!$B$2</f>
        <v>724</v>
      </c>
      <c r="B166" s="559" t="s">
        <v>1103</v>
      </c>
      <c r="C166" s="594" t="s">
        <v>1104</v>
      </c>
      <c r="D166" s="594" t="s">
        <v>4268</v>
      </c>
      <c r="E166" s="595"/>
      <c r="F166" s="595"/>
      <c r="G166" s="595"/>
      <c r="H166" s="595"/>
      <c r="I166" s="595"/>
      <c r="J166" s="595"/>
      <c r="K166" s="595"/>
      <c r="L166" s="595"/>
      <c r="M166" s="595"/>
      <c r="N166" s="595"/>
    </row>
    <row r="167" spans="1:14" x14ac:dyDescent="0.25">
      <c r="A167" s="551" t="str">
        <f>+Info!$B$2</f>
        <v>724</v>
      </c>
      <c r="B167" s="559" t="s">
        <v>1103</v>
      </c>
      <c r="C167" s="559" t="str">
        <f t="shared" ref="C167:C178" si="12">$C$166</f>
        <v>1.10.30.20.010.020.00.000</v>
      </c>
      <c r="D167" s="593"/>
      <c r="E167" s="563"/>
      <c r="F167" s="563"/>
      <c r="G167" s="563"/>
      <c r="H167" s="563"/>
      <c r="I167" s="563"/>
      <c r="J167" s="563"/>
      <c r="K167" s="563"/>
      <c r="L167" s="563"/>
      <c r="M167" s="563"/>
      <c r="N167" s="563"/>
    </row>
    <row r="168" spans="1:14" x14ac:dyDescent="0.25">
      <c r="A168" s="551" t="str">
        <f>+Info!$B$2</f>
        <v>724</v>
      </c>
      <c r="B168" s="559" t="s">
        <v>1103</v>
      </c>
      <c r="C168" s="559" t="str">
        <f t="shared" si="12"/>
        <v>1.10.30.20.010.020.00.000</v>
      </c>
      <c r="D168" s="593"/>
      <c r="E168" s="563"/>
      <c r="F168" s="563"/>
      <c r="G168" s="563"/>
      <c r="H168" s="563"/>
      <c r="I168" s="563"/>
      <c r="J168" s="563"/>
      <c r="K168" s="563"/>
      <c r="L168" s="563"/>
      <c r="M168" s="563"/>
      <c r="N168" s="563"/>
    </row>
    <row r="169" spans="1:14" x14ac:dyDescent="0.25">
      <c r="A169" s="551" t="str">
        <f>+Info!$B$2</f>
        <v>724</v>
      </c>
      <c r="B169" s="559" t="s">
        <v>1103</v>
      </c>
      <c r="C169" s="559" t="str">
        <f t="shared" si="12"/>
        <v>1.10.30.20.010.020.00.000</v>
      </c>
      <c r="D169" s="593"/>
      <c r="E169" s="563"/>
      <c r="F169" s="563"/>
      <c r="G169" s="563"/>
      <c r="H169" s="563"/>
      <c r="I169" s="563"/>
      <c r="J169" s="563"/>
      <c r="K169" s="563"/>
      <c r="L169" s="563"/>
      <c r="M169" s="563"/>
      <c r="N169" s="563"/>
    </row>
    <row r="170" spans="1:14" x14ac:dyDescent="0.25">
      <c r="A170" s="551" t="str">
        <f>+Info!$B$2</f>
        <v>724</v>
      </c>
      <c r="B170" s="559" t="s">
        <v>1103</v>
      </c>
      <c r="C170" s="559" t="str">
        <f t="shared" si="12"/>
        <v>1.10.30.20.010.020.00.000</v>
      </c>
      <c r="D170" s="593"/>
      <c r="E170" s="563"/>
      <c r="F170" s="563"/>
      <c r="G170" s="563"/>
      <c r="H170" s="563"/>
      <c r="I170" s="563"/>
      <c r="J170" s="563"/>
      <c r="K170" s="563"/>
      <c r="L170" s="563"/>
      <c r="M170" s="563"/>
      <c r="N170" s="563"/>
    </row>
    <row r="171" spans="1:14" x14ac:dyDescent="0.25">
      <c r="A171" s="551" t="str">
        <f>+Info!$B$2</f>
        <v>724</v>
      </c>
      <c r="B171" s="559" t="s">
        <v>1103</v>
      </c>
      <c r="C171" s="559" t="str">
        <f t="shared" si="12"/>
        <v>1.10.30.20.010.020.00.000</v>
      </c>
      <c r="D171" s="593"/>
      <c r="E171" s="563"/>
      <c r="F171" s="563"/>
      <c r="G171" s="563"/>
      <c r="H171" s="563"/>
      <c r="I171" s="563"/>
      <c r="J171" s="563"/>
      <c r="K171" s="563"/>
      <c r="L171" s="563"/>
      <c r="M171" s="563"/>
      <c r="N171" s="563"/>
    </row>
    <row r="172" spans="1:14" x14ac:dyDescent="0.25">
      <c r="A172" s="551" t="str">
        <f>+Info!$B$2</f>
        <v>724</v>
      </c>
      <c r="B172" s="559" t="s">
        <v>1103</v>
      </c>
      <c r="C172" s="559" t="str">
        <f t="shared" si="12"/>
        <v>1.10.30.20.010.020.00.000</v>
      </c>
      <c r="D172" s="593"/>
      <c r="E172" s="563"/>
      <c r="F172" s="563"/>
      <c r="G172" s="563"/>
      <c r="H172" s="563"/>
      <c r="I172" s="563"/>
      <c r="J172" s="563"/>
      <c r="K172" s="563"/>
      <c r="L172" s="563"/>
      <c r="M172" s="563"/>
      <c r="N172" s="563"/>
    </row>
    <row r="173" spans="1:14" x14ac:dyDescent="0.25">
      <c r="A173" s="551" t="str">
        <f>+Info!$B$2</f>
        <v>724</v>
      </c>
      <c r="B173" s="559" t="s">
        <v>1103</v>
      </c>
      <c r="C173" s="559" t="str">
        <f t="shared" si="12"/>
        <v>1.10.30.20.010.020.00.000</v>
      </c>
      <c r="D173" s="593"/>
      <c r="E173" s="563"/>
      <c r="F173" s="563"/>
      <c r="G173" s="563"/>
      <c r="H173" s="563"/>
      <c r="I173" s="563"/>
      <c r="J173" s="563"/>
      <c r="K173" s="563"/>
      <c r="L173" s="563"/>
      <c r="M173" s="563"/>
      <c r="N173" s="563"/>
    </row>
    <row r="174" spans="1:14" x14ac:dyDescent="0.25">
      <c r="A174" s="551" t="str">
        <f>+Info!$B$2</f>
        <v>724</v>
      </c>
      <c r="B174" s="559" t="s">
        <v>1103</v>
      </c>
      <c r="C174" s="559" t="str">
        <f t="shared" si="12"/>
        <v>1.10.30.20.010.020.00.000</v>
      </c>
      <c r="D174" s="593"/>
      <c r="E174" s="563"/>
      <c r="F174" s="563"/>
      <c r="G174" s="563"/>
      <c r="H174" s="563"/>
      <c r="I174" s="563"/>
      <c r="J174" s="563"/>
      <c r="K174" s="563"/>
      <c r="L174" s="563"/>
      <c r="M174" s="563"/>
      <c r="N174" s="563"/>
    </row>
    <row r="175" spans="1:14" x14ac:dyDescent="0.25">
      <c r="A175" s="551" t="str">
        <f>+Info!$B$2</f>
        <v>724</v>
      </c>
      <c r="B175" s="559" t="s">
        <v>1103</v>
      </c>
      <c r="C175" s="559" t="str">
        <f t="shared" si="12"/>
        <v>1.10.30.20.010.020.00.000</v>
      </c>
      <c r="D175" s="593"/>
      <c r="E175" s="563"/>
      <c r="F175" s="563"/>
      <c r="G175" s="563"/>
      <c r="H175" s="563"/>
      <c r="I175" s="563"/>
      <c r="J175" s="563"/>
      <c r="K175" s="563"/>
      <c r="L175" s="563"/>
      <c r="M175" s="563"/>
      <c r="N175" s="563"/>
    </row>
    <row r="176" spans="1:14" x14ac:dyDescent="0.25">
      <c r="A176" s="551" t="str">
        <f>+Info!$B$2</f>
        <v>724</v>
      </c>
      <c r="B176" s="559" t="s">
        <v>1103</v>
      </c>
      <c r="C176" s="559" t="str">
        <f t="shared" si="12"/>
        <v>1.10.30.20.010.020.00.000</v>
      </c>
      <c r="D176" s="593"/>
      <c r="E176" s="563"/>
      <c r="F176" s="563"/>
      <c r="G176" s="563"/>
      <c r="H176" s="563"/>
      <c r="I176" s="563"/>
      <c r="J176" s="563"/>
      <c r="K176" s="563"/>
      <c r="L176" s="563"/>
      <c r="M176" s="563"/>
      <c r="N176" s="563"/>
    </row>
    <row r="177" spans="1:14" x14ac:dyDescent="0.25">
      <c r="A177" s="551" t="str">
        <f>+Info!$B$2</f>
        <v>724</v>
      </c>
      <c r="B177" s="559" t="s">
        <v>1103</v>
      </c>
      <c r="C177" s="559" t="str">
        <f t="shared" si="12"/>
        <v>1.10.30.20.010.020.00.000</v>
      </c>
      <c r="D177" s="593"/>
      <c r="E177" s="563"/>
      <c r="F177" s="563"/>
      <c r="G177" s="563"/>
      <c r="H177" s="563"/>
      <c r="I177" s="563"/>
      <c r="J177" s="563"/>
      <c r="K177" s="563"/>
      <c r="L177" s="563"/>
      <c r="M177" s="563"/>
      <c r="N177" s="563"/>
    </row>
    <row r="178" spans="1:14" x14ac:dyDescent="0.25">
      <c r="A178" s="551" t="str">
        <f>+Info!$B$2</f>
        <v>724</v>
      </c>
      <c r="B178" s="559" t="s">
        <v>1103</v>
      </c>
      <c r="C178" s="559" t="str">
        <f t="shared" si="12"/>
        <v>1.10.30.20.010.020.00.000</v>
      </c>
      <c r="D178" s="593"/>
      <c r="E178" s="563"/>
      <c r="F178" s="563"/>
      <c r="G178" s="563"/>
      <c r="H178" s="563"/>
      <c r="I178" s="563"/>
      <c r="J178" s="563"/>
      <c r="K178" s="563"/>
      <c r="L178" s="563"/>
      <c r="M178" s="563"/>
      <c r="N178" s="563"/>
    </row>
    <row r="179" spans="1:14" x14ac:dyDescent="0.25">
      <c r="D179" s="596"/>
      <c r="E179" s="597"/>
      <c r="F179" s="597"/>
      <c r="G179" s="597"/>
      <c r="H179" s="597"/>
      <c r="I179" s="597"/>
      <c r="J179" s="597"/>
      <c r="K179" s="597"/>
      <c r="L179" s="597"/>
      <c r="M179" s="597"/>
      <c r="N179" s="597"/>
    </row>
    <row r="180" spans="1:14" hidden="1" x14ac:dyDescent="0.25">
      <c r="B180" s="581"/>
      <c r="C180" s="581" t="s">
        <v>4253</v>
      </c>
      <c r="D180" s="581" t="s">
        <v>4254</v>
      </c>
      <c r="E180" s="557">
        <v>0</v>
      </c>
      <c r="F180" s="557">
        <v>0</v>
      </c>
      <c r="G180" s="557">
        <v>0</v>
      </c>
      <c r="H180" s="557">
        <v>0</v>
      </c>
      <c r="I180" s="557">
        <v>0</v>
      </c>
      <c r="J180" s="557">
        <v>0</v>
      </c>
      <c r="K180" s="557">
        <v>0</v>
      </c>
      <c r="L180" s="557">
        <v>0</v>
      </c>
      <c r="M180" s="557">
        <v>0</v>
      </c>
      <c r="N180" s="557">
        <v>0</v>
      </c>
    </row>
    <row r="181" spans="1:14" hidden="1" x14ac:dyDescent="0.25">
      <c r="A181" s="551" t="str">
        <f>+Info!$B$2</f>
        <v>724</v>
      </c>
      <c r="B181" s="581"/>
      <c r="C181" s="581"/>
      <c r="D181" s="581"/>
      <c r="E181" s="557">
        <v>0</v>
      </c>
      <c r="F181" s="557">
        <v>0</v>
      </c>
      <c r="G181" s="557">
        <v>0</v>
      </c>
      <c r="H181" s="557">
        <v>0</v>
      </c>
      <c r="I181" s="557">
        <v>0</v>
      </c>
      <c r="J181" s="557">
        <v>0</v>
      </c>
      <c r="K181" s="557">
        <v>0</v>
      </c>
      <c r="L181" s="557">
        <v>0</v>
      </c>
      <c r="M181" s="557">
        <v>0</v>
      </c>
      <c r="N181" s="557">
        <v>0</v>
      </c>
    </row>
    <row r="182" spans="1:14" ht="15" customHeight="1" x14ac:dyDescent="0.25">
      <c r="A182" s="551" t="str">
        <f>+Info!$B$2</f>
        <v>724</v>
      </c>
      <c r="D182" s="927" t="s">
        <v>4269</v>
      </c>
      <c r="E182" s="922" t="s">
        <v>4270</v>
      </c>
      <c r="F182" s="922" t="s">
        <v>4271</v>
      </c>
      <c r="G182" s="922"/>
      <c r="H182" s="922"/>
      <c r="I182" s="922" t="s">
        <v>4206</v>
      </c>
      <c r="J182" s="922"/>
      <c r="K182" s="922"/>
      <c r="L182" s="922"/>
      <c r="M182" s="922"/>
      <c r="N182" s="922"/>
    </row>
    <row r="183" spans="1:14" ht="24" x14ac:dyDescent="0.25">
      <c r="A183" s="551" t="str">
        <f>+Info!$B$2</f>
        <v>724</v>
      </c>
      <c r="D183" s="927"/>
      <c r="E183" s="922"/>
      <c r="F183" s="590" t="s">
        <v>4272</v>
      </c>
      <c r="G183" s="590" t="s">
        <v>4273</v>
      </c>
      <c r="H183" s="590" t="s">
        <v>3517</v>
      </c>
      <c r="I183" s="590" t="s">
        <v>3537</v>
      </c>
      <c r="J183" s="590" t="s">
        <v>4272</v>
      </c>
      <c r="K183" s="590" t="s">
        <v>4273</v>
      </c>
      <c r="L183" s="590" t="s">
        <v>4274</v>
      </c>
      <c r="M183" s="590" t="s">
        <v>4275</v>
      </c>
      <c r="N183" s="590" t="s">
        <v>4211</v>
      </c>
    </row>
    <row r="184" spans="1:14" x14ac:dyDescent="0.25">
      <c r="A184" s="551" t="str">
        <f>+Info!$B$2</f>
        <v>724</v>
      </c>
      <c r="B184" s="591" t="s">
        <v>1097</v>
      </c>
      <c r="C184" s="591" t="s">
        <v>1098</v>
      </c>
      <c r="D184" s="591" t="s">
        <v>4266</v>
      </c>
      <c r="E184" s="598">
        <f t="shared" ref="E184:N184" si="13">SUM(E185:E196)</f>
        <v>0</v>
      </c>
      <c r="F184" s="598">
        <f t="shared" si="13"/>
        <v>0</v>
      </c>
      <c r="G184" s="598">
        <f t="shared" si="13"/>
        <v>0</v>
      </c>
      <c r="H184" s="598">
        <f t="shared" si="13"/>
        <v>0</v>
      </c>
      <c r="I184" s="598">
        <f t="shared" si="13"/>
        <v>0</v>
      </c>
      <c r="J184" s="598">
        <f t="shared" si="13"/>
        <v>0</v>
      </c>
      <c r="K184" s="598">
        <f t="shared" si="13"/>
        <v>0</v>
      </c>
      <c r="L184" s="598">
        <f t="shared" si="13"/>
        <v>0</v>
      </c>
      <c r="M184" s="598">
        <f t="shared" si="13"/>
        <v>0</v>
      </c>
      <c r="N184" s="598">
        <f t="shared" si="13"/>
        <v>0</v>
      </c>
    </row>
    <row r="185" spans="1:14" x14ac:dyDescent="0.25">
      <c r="A185" s="551" t="str">
        <f>+Info!$B$2</f>
        <v>724</v>
      </c>
      <c r="B185" s="559" t="s">
        <v>1097</v>
      </c>
      <c r="C185" s="559" t="str">
        <f t="shared" ref="C185:C196" si="14">$C$140</f>
        <v>1.10.30.20.010.010.00.000</v>
      </c>
      <c r="D185" s="599" t="str">
        <f t="shared" ref="D185:D196" si="15">IF(+D141="","",D141)</f>
        <v/>
      </c>
      <c r="E185" s="600"/>
      <c r="F185" s="600"/>
      <c r="G185" s="600"/>
      <c r="H185" s="601">
        <f t="shared" ref="H185:H196" si="16">+E185+F185-G185</f>
        <v>0</v>
      </c>
      <c r="I185" s="600"/>
      <c r="J185" s="600"/>
      <c r="K185" s="600"/>
      <c r="L185" s="600"/>
      <c r="M185" s="600"/>
      <c r="N185" s="601">
        <f t="shared" ref="N185:N196" si="17">+H185+I185+J185-K185+L185-M185</f>
        <v>0</v>
      </c>
    </row>
    <row r="186" spans="1:14" x14ac:dyDescent="0.25">
      <c r="A186" s="551" t="str">
        <f>+Info!$B$2</f>
        <v>724</v>
      </c>
      <c r="B186" s="559" t="s">
        <v>1097</v>
      </c>
      <c r="C186" s="559" t="str">
        <f t="shared" si="14"/>
        <v>1.10.30.20.010.010.00.000</v>
      </c>
      <c r="D186" s="599" t="str">
        <f t="shared" si="15"/>
        <v/>
      </c>
      <c r="E186" s="600"/>
      <c r="F186" s="600"/>
      <c r="G186" s="600"/>
      <c r="H186" s="601">
        <f t="shared" si="16"/>
        <v>0</v>
      </c>
      <c r="I186" s="600"/>
      <c r="J186" s="600"/>
      <c r="K186" s="600"/>
      <c r="L186" s="600"/>
      <c r="M186" s="600"/>
      <c r="N186" s="601">
        <f t="shared" si="17"/>
        <v>0</v>
      </c>
    </row>
    <row r="187" spans="1:14" x14ac:dyDescent="0.25">
      <c r="A187" s="551" t="str">
        <f>+Info!$B$2</f>
        <v>724</v>
      </c>
      <c r="B187" s="559" t="s">
        <v>1097</v>
      </c>
      <c r="C187" s="559" t="str">
        <f t="shared" si="14"/>
        <v>1.10.30.20.010.010.00.000</v>
      </c>
      <c r="D187" s="599" t="str">
        <f t="shared" si="15"/>
        <v/>
      </c>
      <c r="E187" s="600"/>
      <c r="F187" s="600"/>
      <c r="G187" s="600"/>
      <c r="H187" s="601">
        <f t="shared" si="16"/>
        <v>0</v>
      </c>
      <c r="I187" s="600"/>
      <c r="J187" s="600"/>
      <c r="K187" s="600"/>
      <c r="L187" s="600"/>
      <c r="M187" s="600"/>
      <c r="N187" s="601">
        <f t="shared" si="17"/>
        <v>0</v>
      </c>
    </row>
    <row r="188" spans="1:14" x14ac:dyDescent="0.25">
      <c r="A188" s="551" t="str">
        <f>+Info!$B$2</f>
        <v>724</v>
      </c>
      <c r="B188" s="559" t="s">
        <v>1097</v>
      </c>
      <c r="C188" s="559" t="str">
        <f t="shared" si="14"/>
        <v>1.10.30.20.010.010.00.000</v>
      </c>
      <c r="D188" s="599" t="str">
        <f t="shared" si="15"/>
        <v/>
      </c>
      <c r="E188" s="600"/>
      <c r="F188" s="600"/>
      <c r="G188" s="600"/>
      <c r="H188" s="601">
        <f t="shared" si="16"/>
        <v>0</v>
      </c>
      <c r="I188" s="600"/>
      <c r="J188" s="600"/>
      <c r="K188" s="600"/>
      <c r="L188" s="600"/>
      <c r="M188" s="600"/>
      <c r="N188" s="601">
        <f t="shared" si="17"/>
        <v>0</v>
      </c>
    </row>
    <row r="189" spans="1:14" x14ac:dyDescent="0.25">
      <c r="A189" s="551" t="str">
        <f>+Info!$B$2</f>
        <v>724</v>
      </c>
      <c r="B189" s="559" t="s">
        <v>1097</v>
      </c>
      <c r="C189" s="559" t="str">
        <f t="shared" si="14"/>
        <v>1.10.30.20.010.010.00.000</v>
      </c>
      <c r="D189" s="599" t="str">
        <f t="shared" si="15"/>
        <v/>
      </c>
      <c r="E189" s="600"/>
      <c r="F189" s="600"/>
      <c r="G189" s="600"/>
      <c r="H189" s="601">
        <f t="shared" si="16"/>
        <v>0</v>
      </c>
      <c r="I189" s="600"/>
      <c r="J189" s="600"/>
      <c r="K189" s="600"/>
      <c r="L189" s="600"/>
      <c r="M189" s="600"/>
      <c r="N189" s="601">
        <f t="shared" si="17"/>
        <v>0</v>
      </c>
    </row>
    <row r="190" spans="1:14" x14ac:dyDescent="0.25">
      <c r="A190" s="551" t="str">
        <f>+Info!$B$2</f>
        <v>724</v>
      </c>
      <c r="B190" s="559" t="s">
        <v>1097</v>
      </c>
      <c r="C190" s="559" t="str">
        <f t="shared" si="14"/>
        <v>1.10.30.20.010.010.00.000</v>
      </c>
      <c r="D190" s="599" t="str">
        <f t="shared" si="15"/>
        <v/>
      </c>
      <c r="E190" s="600"/>
      <c r="F190" s="600"/>
      <c r="G190" s="600"/>
      <c r="H190" s="601">
        <f t="shared" si="16"/>
        <v>0</v>
      </c>
      <c r="I190" s="600"/>
      <c r="J190" s="600"/>
      <c r="K190" s="600"/>
      <c r="L190" s="600"/>
      <c r="M190" s="600"/>
      <c r="N190" s="601">
        <f t="shared" si="17"/>
        <v>0</v>
      </c>
    </row>
    <row r="191" spans="1:14" x14ac:dyDescent="0.25">
      <c r="A191" s="551" t="str">
        <f>+Info!$B$2</f>
        <v>724</v>
      </c>
      <c r="B191" s="559" t="s">
        <v>1097</v>
      </c>
      <c r="C191" s="559" t="str">
        <f t="shared" si="14"/>
        <v>1.10.30.20.010.010.00.000</v>
      </c>
      <c r="D191" s="599" t="str">
        <f t="shared" si="15"/>
        <v/>
      </c>
      <c r="E191" s="600"/>
      <c r="F191" s="600"/>
      <c r="G191" s="600"/>
      <c r="H191" s="601">
        <f t="shared" si="16"/>
        <v>0</v>
      </c>
      <c r="I191" s="600"/>
      <c r="J191" s="600"/>
      <c r="K191" s="600"/>
      <c r="L191" s="600"/>
      <c r="M191" s="600"/>
      <c r="N191" s="601">
        <f t="shared" si="17"/>
        <v>0</v>
      </c>
    </row>
    <row r="192" spans="1:14" x14ac:dyDescent="0.25">
      <c r="A192" s="551" t="str">
        <f>+Info!$B$2</f>
        <v>724</v>
      </c>
      <c r="B192" s="559" t="s">
        <v>1097</v>
      </c>
      <c r="C192" s="559" t="str">
        <f t="shared" si="14"/>
        <v>1.10.30.20.010.010.00.000</v>
      </c>
      <c r="D192" s="599" t="str">
        <f t="shared" si="15"/>
        <v/>
      </c>
      <c r="E192" s="600"/>
      <c r="F192" s="600"/>
      <c r="G192" s="600"/>
      <c r="H192" s="601">
        <f t="shared" si="16"/>
        <v>0</v>
      </c>
      <c r="I192" s="600"/>
      <c r="J192" s="600"/>
      <c r="K192" s="600"/>
      <c r="L192" s="600"/>
      <c r="M192" s="600"/>
      <c r="N192" s="601">
        <f t="shared" si="17"/>
        <v>0</v>
      </c>
    </row>
    <row r="193" spans="1:14" x14ac:dyDescent="0.25">
      <c r="A193" s="551" t="str">
        <f>+Info!$B$2</f>
        <v>724</v>
      </c>
      <c r="B193" s="559" t="s">
        <v>1097</v>
      </c>
      <c r="C193" s="559" t="str">
        <f t="shared" si="14"/>
        <v>1.10.30.20.010.010.00.000</v>
      </c>
      <c r="D193" s="599" t="str">
        <f t="shared" si="15"/>
        <v/>
      </c>
      <c r="E193" s="600"/>
      <c r="F193" s="600"/>
      <c r="G193" s="600"/>
      <c r="H193" s="601">
        <f t="shared" si="16"/>
        <v>0</v>
      </c>
      <c r="I193" s="600"/>
      <c r="J193" s="600"/>
      <c r="K193" s="600"/>
      <c r="L193" s="600"/>
      <c r="M193" s="600"/>
      <c r="N193" s="601">
        <f t="shared" si="17"/>
        <v>0</v>
      </c>
    </row>
    <row r="194" spans="1:14" x14ac:dyDescent="0.25">
      <c r="A194" s="551" t="str">
        <f>+Info!$B$2</f>
        <v>724</v>
      </c>
      <c r="B194" s="559" t="s">
        <v>1097</v>
      </c>
      <c r="C194" s="559" t="str">
        <f t="shared" si="14"/>
        <v>1.10.30.20.010.010.00.000</v>
      </c>
      <c r="D194" s="599" t="str">
        <f t="shared" si="15"/>
        <v/>
      </c>
      <c r="E194" s="600"/>
      <c r="F194" s="600"/>
      <c r="G194" s="600"/>
      <c r="H194" s="601">
        <f t="shared" si="16"/>
        <v>0</v>
      </c>
      <c r="I194" s="600"/>
      <c r="J194" s="600"/>
      <c r="K194" s="600"/>
      <c r="L194" s="600"/>
      <c r="M194" s="600"/>
      <c r="N194" s="601">
        <f t="shared" si="17"/>
        <v>0</v>
      </c>
    </row>
    <row r="195" spans="1:14" x14ac:dyDescent="0.25">
      <c r="A195" s="551" t="str">
        <f>+Info!$B$2</f>
        <v>724</v>
      </c>
      <c r="B195" s="559" t="s">
        <v>1097</v>
      </c>
      <c r="C195" s="559" t="str">
        <f t="shared" si="14"/>
        <v>1.10.30.20.010.010.00.000</v>
      </c>
      <c r="D195" s="599" t="str">
        <f t="shared" si="15"/>
        <v/>
      </c>
      <c r="E195" s="600"/>
      <c r="F195" s="600"/>
      <c r="G195" s="600"/>
      <c r="H195" s="601">
        <f t="shared" si="16"/>
        <v>0</v>
      </c>
      <c r="I195" s="600"/>
      <c r="J195" s="600"/>
      <c r="K195" s="600"/>
      <c r="L195" s="600"/>
      <c r="M195" s="600"/>
      <c r="N195" s="601">
        <f t="shared" si="17"/>
        <v>0</v>
      </c>
    </row>
    <row r="196" spans="1:14" x14ac:dyDescent="0.25">
      <c r="A196" s="551" t="str">
        <f>+Info!$B$2</f>
        <v>724</v>
      </c>
      <c r="B196" s="559" t="s">
        <v>1097</v>
      </c>
      <c r="C196" s="559" t="str">
        <f t="shared" si="14"/>
        <v>1.10.30.20.010.010.00.000</v>
      </c>
      <c r="D196" s="599" t="str">
        <f t="shared" si="15"/>
        <v/>
      </c>
      <c r="E196" s="600"/>
      <c r="F196" s="600"/>
      <c r="G196" s="600"/>
      <c r="H196" s="601">
        <f t="shared" si="16"/>
        <v>0</v>
      </c>
      <c r="I196" s="600"/>
      <c r="J196" s="600"/>
      <c r="K196" s="600"/>
      <c r="L196" s="600"/>
      <c r="M196" s="600"/>
      <c r="N196" s="601">
        <f t="shared" si="17"/>
        <v>0</v>
      </c>
    </row>
    <row r="197" spans="1:14" x14ac:dyDescent="0.25">
      <c r="A197" s="551" t="str">
        <f>+Info!$B$2</f>
        <v>724</v>
      </c>
      <c r="B197" s="594" t="s">
        <v>1100</v>
      </c>
      <c r="C197" s="594" t="s">
        <v>1101</v>
      </c>
      <c r="D197" s="594" t="s">
        <v>4267</v>
      </c>
      <c r="E197" s="598">
        <f t="shared" ref="E197:N197" si="18">SUM(E198:E209)</f>
        <v>0</v>
      </c>
      <c r="F197" s="598">
        <f t="shared" si="18"/>
        <v>0</v>
      </c>
      <c r="G197" s="598">
        <f t="shared" si="18"/>
        <v>0</v>
      </c>
      <c r="H197" s="598">
        <f t="shared" si="18"/>
        <v>0</v>
      </c>
      <c r="I197" s="598">
        <f t="shared" si="18"/>
        <v>0</v>
      </c>
      <c r="J197" s="598">
        <f t="shared" si="18"/>
        <v>0</v>
      </c>
      <c r="K197" s="598">
        <f t="shared" si="18"/>
        <v>0</v>
      </c>
      <c r="L197" s="598">
        <f t="shared" si="18"/>
        <v>0</v>
      </c>
      <c r="M197" s="598">
        <f t="shared" si="18"/>
        <v>0</v>
      </c>
      <c r="N197" s="598">
        <f t="shared" si="18"/>
        <v>0</v>
      </c>
    </row>
    <row r="198" spans="1:14" x14ac:dyDescent="0.25">
      <c r="A198" s="551" t="str">
        <f>+Info!$B$2</f>
        <v>724</v>
      </c>
      <c r="B198" s="559" t="s">
        <v>1100</v>
      </c>
      <c r="C198" s="559" t="str">
        <f t="shared" ref="C198:C209" si="19">$C$153</f>
        <v>1.10.30.20.010.015.00.000</v>
      </c>
      <c r="D198" s="599" t="str">
        <f t="shared" ref="D198:D209" si="20">IF(+D154="","",D154)</f>
        <v/>
      </c>
      <c r="E198" s="593"/>
      <c r="F198" s="593"/>
      <c r="G198" s="593"/>
      <c r="H198" s="601">
        <f t="shared" ref="H198:H209" si="21">+E198+F198-G198</f>
        <v>0</v>
      </c>
      <c r="I198" s="593"/>
      <c r="J198" s="593"/>
      <c r="K198" s="593"/>
      <c r="L198" s="593"/>
      <c r="M198" s="593"/>
      <c r="N198" s="601">
        <f t="shared" ref="N198:N209" si="22">+H198+I198+J198-K198+L198-M198</f>
        <v>0</v>
      </c>
    </row>
    <row r="199" spans="1:14" x14ac:dyDescent="0.25">
      <c r="A199" s="551" t="str">
        <f>+Info!$B$2</f>
        <v>724</v>
      </c>
      <c r="B199" s="559" t="s">
        <v>1100</v>
      </c>
      <c r="C199" s="559" t="str">
        <f t="shared" si="19"/>
        <v>1.10.30.20.010.015.00.000</v>
      </c>
      <c r="D199" s="599" t="str">
        <f t="shared" si="20"/>
        <v/>
      </c>
      <c r="E199" s="593"/>
      <c r="F199" s="593"/>
      <c r="G199" s="593"/>
      <c r="H199" s="601">
        <f t="shared" si="21"/>
        <v>0</v>
      </c>
      <c r="I199" s="593"/>
      <c r="J199" s="593"/>
      <c r="K199" s="593"/>
      <c r="L199" s="593"/>
      <c r="M199" s="593"/>
      <c r="N199" s="601">
        <f t="shared" si="22"/>
        <v>0</v>
      </c>
    </row>
    <row r="200" spans="1:14" x14ac:dyDescent="0.25">
      <c r="A200" s="551" t="str">
        <f>+Info!$B$2</f>
        <v>724</v>
      </c>
      <c r="B200" s="559" t="s">
        <v>1100</v>
      </c>
      <c r="C200" s="559" t="str">
        <f t="shared" si="19"/>
        <v>1.10.30.20.010.015.00.000</v>
      </c>
      <c r="D200" s="599" t="str">
        <f t="shared" si="20"/>
        <v/>
      </c>
      <c r="E200" s="593"/>
      <c r="F200" s="593"/>
      <c r="G200" s="593"/>
      <c r="H200" s="601">
        <f t="shared" si="21"/>
        <v>0</v>
      </c>
      <c r="I200" s="593"/>
      <c r="J200" s="593"/>
      <c r="K200" s="593"/>
      <c r="L200" s="593"/>
      <c r="M200" s="593"/>
      <c r="N200" s="601">
        <f t="shared" si="22"/>
        <v>0</v>
      </c>
    </row>
    <row r="201" spans="1:14" x14ac:dyDescent="0.25">
      <c r="A201" s="551" t="str">
        <f>+Info!$B$2</f>
        <v>724</v>
      </c>
      <c r="B201" s="559" t="s">
        <v>1100</v>
      </c>
      <c r="C201" s="559" t="str">
        <f t="shared" si="19"/>
        <v>1.10.30.20.010.015.00.000</v>
      </c>
      <c r="D201" s="599" t="str">
        <f t="shared" si="20"/>
        <v/>
      </c>
      <c r="E201" s="593"/>
      <c r="F201" s="593"/>
      <c r="G201" s="593"/>
      <c r="H201" s="601">
        <f t="shared" si="21"/>
        <v>0</v>
      </c>
      <c r="I201" s="593"/>
      <c r="J201" s="593"/>
      <c r="K201" s="593"/>
      <c r="L201" s="593"/>
      <c r="M201" s="593"/>
      <c r="N201" s="601">
        <f t="shared" si="22"/>
        <v>0</v>
      </c>
    </row>
    <row r="202" spans="1:14" x14ac:dyDescent="0.25">
      <c r="A202" s="551" t="str">
        <f>+Info!$B$2</f>
        <v>724</v>
      </c>
      <c r="B202" s="559" t="s">
        <v>1100</v>
      </c>
      <c r="C202" s="559" t="str">
        <f t="shared" si="19"/>
        <v>1.10.30.20.010.015.00.000</v>
      </c>
      <c r="D202" s="599" t="str">
        <f t="shared" si="20"/>
        <v/>
      </c>
      <c r="E202" s="593"/>
      <c r="F202" s="593"/>
      <c r="G202" s="593"/>
      <c r="H202" s="601">
        <f t="shared" si="21"/>
        <v>0</v>
      </c>
      <c r="I202" s="593"/>
      <c r="J202" s="593"/>
      <c r="K202" s="593"/>
      <c r="L202" s="593"/>
      <c r="M202" s="593"/>
      <c r="N202" s="601">
        <f t="shared" si="22"/>
        <v>0</v>
      </c>
    </row>
    <row r="203" spans="1:14" x14ac:dyDescent="0.25">
      <c r="A203" s="551" t="str">
        <f>+Info!$B$2</f>
        <v>724</v>
      </c>
      <c r="B203" s="559" t="s">
        <v>1100</v>
      </c>
      <c r="C203" s="559" t="str">
        <f t="shared" si="19"/>
        <v>1.10.30.20.010.015.00.000</v>
      </c>
      <c r="D203" s="599" t="str">
        <f t="shared" si="20"/>
        <v/>
      </c>
      <c r="E203" s="593"/>
      <c r="F203" s="593"/>
      <c r="G203" s="593"/>
      <c r="H203" s="601">
        <f t="shared" si="21"/>
        <v>0</v>
      </c>
      <c r="I203" s="593"/>
      <c r="J203" s="593"/>
      <c r="K203" s="593"/>
      <c r="L203" s="593"/>
      <c r="M203" s="593"/>
      <c r="N203" s="601">
        <f t="shared" si="22"/>
        <v>0</v>
      </c>
    </row>
    <row r="204" spans="1:14" x14ac:dyDescent="0.25">
      <c r="A204" s="551" t="str">
        <f>+Info!$B$2</f>
        <v>724</v>
      </c>
      <c r="B204" s="559" t="s">
        <v>1100</v>
      </c>
      <c r="C204" s="559" t="str">
        <f t="shared" si="19"/>
        <v>1.10.30.20.010.015.00.000</v>
      </c>
      <c r="D204" s="599" t="str">
        <f t="shared" si="20"/>
        <v/>
      </c>
      <c r="E204" s="593"/>
      <c r="F204" s="593"/>
      <c r="G204" s="593"/>
      <c r="H204" s="601">
        <f t="shared" si="21"/>
        <v>0</v>
      </c>
      <c r="I204" s="593"/>
      <c r="J204" s="593"/>
      <c r="K204" s="593"/>
      <c r="L204" s="593"/>
      <c r="M204" s="593"/>
      <c r="N204" s="601">
        <f t="shared" si="22"/>
        <v>0</v>
      </c>
    </row>
    <row r="205" spans="1:14" x14ac:dyDescent="0.25">
      <c r="A205" s="551" t="str">
        <f>+Info!$B$2</f>
        <v>724</v>
      </c>
      <c r="B205" s="559" t="s">
        <v>1100</v>
      </c>
      <c r="C205" s="559" t="str">
        <f t="shared" si="19"/>
        <v>1.10.30.20.010.015.00.000</v>
      </c>
      <c r="D205" s="599" t="str">
        <f t="shared" si="20"/>
        <v/>
      </c>
      <c r="E205" s="593"/>
      <c r="F205" s="593"/>
      <c r="G205" s="593"/>
      <c r="H205" s="601">
        <f t="shared" si="21"/>
        <v>0</v>
      </c>
      <c r="I205" s="593"/>
      <c r="J205" s="593"/>
      <c r="K205" s="593"/>
      <c r="L205" s="593"/>
      <c r="M205" s="593"/>
      <c r="N205" s="601">
        <f t="shared" si="22"/>
        <v>0</v>
      </c>
    </row>
    <row r="206" spans="1:14" x14ac:dyDescent="0.25">
      <c r="A206" s="551" t="str">
        <f>+Info!$B$2</f>
        <v>724</v>
      </c>
      <c r="B206" s="559" t="s">
        <v>1100</v>
      </c>
      <c r="C206" s="559" t="str">
        <f t="shared" si="19"/>
        <v>1.10.30.20.010.015.00.000</v>
      </c>
      <c r="D206" s="599" t="str">
        <f t="shared" si="20"/>
        <v/>
      </c>
      <c r="E206" s="593"/>
      <c r="F206" s="593"/>
      <c r="G206" s="593"/>
      <c r="H206" s="601">
        <f t="shared" si="21"/>
        <v>0</v>
      </c>
      <c r="I206" s="593"/>
      <c r="J206" s="593"/>
      <c r="K206" s="593"/>
      <c r="L206" s="593"/>
      <c r="M206" s="593"/>
      <c r="N206" s="601">
        <f t="shared" si="22"/>
        <v>0</v>
      </c>
    </row>
    <row r="207" spans="1:14" x14ac:dyDescent="0.25">
      <c r="A207" s="551" t="str">
        <f>+Info!$B$2</f>
        <v>724</v>
      </c>
      <c r="B207" s="559" t="s">
        <v>1100</v>
      </c>
      <c r="C207" s="559" t="str">
        <f t="shared" si="19"/>
        <v>1.10.30.20.010.015.00.000</v>
      </c>
      <c r="D207" s="599" t="str">
        <f t="shared" si="20"/>
        <v/>
      </c>
      <c r="E207" s="593"/>
      <c r="F207" s="593"/>
      <c r="G207" s="593"/>
      <c r="H207" s="601">
        <f t="shared" si="21"/>
        <v>0</v>
      </c>
      <c r="I207" s="593"/>
      <c r="J207" s="593"/>
      <c r="K207" s="593"/>
      <c r="L207" s="593"/>
      <c r="M207" s="593"/>
      <c r="N207" s="601">
        <f t="shared" si="22"/>
        <v>0</v>
      </c>
    </row>
    <row r="208" spans="1:14" x14ac:dyDescent="0.25">
      <c r="A208" s="551" t="str">
        <f>+Info!$B$2</f>
        <v>724</v>
      </c>
      <c r="B208" s="559" t="s">
        <v>1100</v>
      </c>
      <c r="C208" s="559" t="str">
        <f t="shared" si="19"/>
        <v>1.10.30.20.010.015.00.000</v>
      </c>
      <c r="D208" s="599" t="str">
        <f t="shared" si="20"/>
        <v/>
      </c>
      <c r="E208" s="593"/>
      <c r="F208" s="593"/>
      <c r="G208" s="593"/>
      <c r="H208" s="601">
        <f t="shared" si="21"/>
        <v>0</v>
      </c>
      <c r="I208" s="593"/>
      <c r="J208" s="593"/>
      <c r="K208" s="593"/>
      <c r="L208" s="593"/>
      <c r="M208" s="593"/>
      <c r="N208" s="601">
        <f t="shared" si="22"/>
        <v>0</v>
      </c>
    </row>
    <row r="209" spans="1:14" x14ac:dyDescent="0.25">
      <c r="A209" s="551" t="str">
        <f>+Info!$B$2</f>
        <v>724</v>
      </c>
      <c r="B209" s="559" t="s">
        <v>1100</v>
      </c>
      <c r="C209" s="559" t="str">
        <f t="shared" si="19"/>
        <v>1.10.30.20.010.015.00.000</v>
      </c>
      <c r="D209" s="599" t="str">
        <f t="shared" si="20"/>
        <v/>
      </c>
      <c r="E209" s="593"/>
      <c r="F209" s="593"/>
      <c r="G209" s="593"/>
      <c r="H209" s="601">
        <f t="shared" si="21"/>
        <v>0</v>
      </c>
      <c r="I209" s="593"/>
      <c r="J209" s="593"/>
      <c r="K209" s="593"/>
      <c r="L209" s="593"/>
      <c r="M209" s="593"/>
      <c r="N209" s="601">
        <f t="shared" si="22"/>
        <v>0</v>
      </c>
    </row>
    <row r="210" spans="1:14" x14ac:dyDescent="0.25">
      <c r="A210" s="551" t="str">
        <f>+Info!$B$2</f>
        <v>724</v>
      </c>
      <c r="B210" s="594" t="s">
        <v>1103</v>
      </c>
      <c r="C210" s="594" t="s">
        <v>1104</v>
      </c>
      <c r="D210" s="594" t="s">
        <v>4268</v>
      </c>
      <c r="E210" s="598">
        <f t="shared" ref="E210:N210" si="23">SUM(E211:E222)</f>
        <v>0</v>
      </c>
      <c r="F210" s="598">
        <f t="shared" si="23"/>
        <v>0</v>
      </c>
      <c r="G210" s="598">
        <f t="shared" si="23"/>
        <v>0</v>
      </c>
      <c r="H210" s="598">
        <f t="shared" si="23"/>
        <v>0</v>
      </c>
      <c r="I210" s="598">
        <f t="shared" si="23"/>
        <v>0</v>
      </c>
      <c r="J210" s="598">
        <f t="shared" si="23"/>
        <v>0</v>
      </c>
      <c r="K210" s="598">
        <f t="shared" si="23"/>
        <v>0</v>
      </c>
      <c r="L210" s="598">
        <f t="shared" si="23"/>
        <v>0</v>
      </c>
      <c r="M210" s="598">
        <f t="shared" si="23"/>
        <v>0</v>
      </c>
      <c r="N210" s="598">
        <f t="shared" si="23"/>
        <v>0</v>
      </c>
    </row>
    <row r="211" spans="1:14" x14ac:dyDescent="0.25">
      <c r="A211" s="551" t="str">
        <f>+Info!$B$2</f>
        <v>724</v>
      </c>
      <c r="B211" s="559" t="s">
        <v>1103</v>
      </c>
      <c r="C211" s="559" t="str">
        <f t="shared" ref="C211:C222" si="24">$C$166</f>
        <v>1.10.30.20.010.020.00.000</v>
      </c>
      <c r="D211" s="599" t="str">
        <f t="shared" ref="D211:D222" si="25">IF(+D167="","",D167)</f>
        <v/>
      </c>
      <c r="E211" s="593"/>
      <c r="F211" s="593"/>
      <c r="G211" s="593"/>
      <c r="H211" s="601">
        <f t="shared" ref="H211:H222" si="26">+E211+F211-G211</f>
        <v>0</v>
      </c>
      <c r="I211" s="593"/>
      <c r="J211" s="593"/>
      <c r="K211" s="593"/>
      <c r="L211" s="593"/>
      <c r="M211" s="593"/>
      <c r="N211" s="601">
        <f t="shared" ref="N211:N222" si="27">+H211+I211+J211-K211+L211-M211</f>
        <v>0</v>
      </c>
    </row>
    <row r="212" spans="1:14" x14ac:dyDescent="0.25">
      <c r="A212" s="551" t="str">
        <f>+Info!$B$2</f>
        <v>724</v>
      </c>
      <c r="B212" s="559" t="s">
        <v>1103</v>
      </c>
      <c r="C212" s="559" t="str">
        <f t="shared" si="24"/>
        <v>1.10.30.20.010.020.00.000</v>
      </c>
      <c r="D212" s="599" t="str">
        <f t="shared" si="25"/>
        <v/>
      </c>
      <c r="E212" s="593"/>
      <c r="F212" s="593"/>
      <c r="G212" s="593"/>
      <c r="H212" s="601">
        <f t="shared" si="26"/>
        <v>0</v>
      </c>
      <c r="I212" s="593"/>
      <c r="J212" s="593"/>
      <c r="K212" s="593"/>
      <c r="L212" s="593"/>
      <c r="M212" s="593"/>
      <c r="N212" s="601">
        <f t="shared" si="27"/>
        <v>0</v>
      </c>
    </row>
    <row r="213" spans="1:14" x14ac:dyDescent="0.25">
      <c r="A213" s="551" t="str">
        <f>+Info!$B$2</f>
        <v>724</v>
      </c>
      <c r="B213" s="559" t="s">
        <v>1103</v>
      </c>
      <c r="C213" s="559" t="str">
        <f t="shared" si="24"/>
        <v>1.10.30.20.010.020.00.000</v>
      </c>
      <c r="D213" s="599" t="str">
        <f t="shared" si="25"/>
        <v/>
      </c>
      <c r="E213" s="593"/>
      <c r="F213" s="593"/>
      <c r="G213" s="593"/>
      <c r="H213" s="601">
        <f t="shared" si="26"/>
        <v>0</v>
      </c>
      <c r="I213" s="593"/>
      <c r="J213" s="593"/>
      <c r="K213" s="593"/>
      <c r="L213" s="593"/>
      <c r="M213" s="593"/>
      <c r="N213" s="601">
        <f t="shared" si="27"/>
        <v>0</v>
      </c>
    </row>
    <row r="214" spans="1:14" x14ac:dyDescent="0.25">
      <c r="A214" s="551" t="str">
        <f>+Info!$B$2</f>
        <v>724</v>
      </c>
      <c r="B214" s="559" t="s">
        <v>1103</v>
      </c>
      <c r="C214" s="559" t="str">
        <f t="shared" si="24"/>
        <v>1.10.30.20.010.020.00.000</v>
      </c>
      <c r="D214" s="599" t="str">
        <f t="shared" si="25"/>
        <v/>
      </c>
      <c r="E214" s="593"/>
      <c r="F214" s="593"/>
      <c r="G214" s="593"/>
      <c r="H214" s="601">
        <f t="shared" si="26"/>
        <v>0</v>
      </c>
      <c r="I214" s="593"/>
      <c r="J214" s="593"/>
      <c r="K214" s="593"/>
      <c r="L214" s="593"/>
      <c r="M214" s="593"/>
      <c r="N214" s="601">
        <f t="shared" si="27"/>
        <v>0</v>
      </c>
    </row>
    <row r="215" spans="1:14" x14ac:dyDescent="0.25">
      <c r="A215" s="551" t="str">
        <f>+Info!$B$2</f>
        <v>724</v>
      </c>
      <c r="B215" s="559" t="s">
        <v>1103</v>
      </c>
      <c r="C215" s="559" t="str">
        <f t="shared" si="24"/>
        <v>1.10.30.20.010.020.00.000</v>
      </c>
      <c r="D215" s="599" t="str">
        <f t="shared" si="25"/>
        <v/>
      </c>
      <c r="E215" s="593"/>
      <c r="F215" s="593"/>
      <c r="G215" s="593"/>
      <c r="H215" s="601">
        <f t="shared" si="26"/>
        <v>0</v>
      </c>
      <c r="I215" s="593"/>
      <c r="J215" s="593"/>
      <c r="K215" s="593"/>
      <c r="L215" s="593"/>
      <c r="M215" s="593"/>
      <c r="N215" s="601">
        <f t="shared" si="27"/>
        <v>0</v>
      </c>
    </row>
    <row r="216" spans="1:14" x14ac:dyDescent="0.25">
      <c r="A216" s="551" t="str">
        <f>+Info!$B$2</f>
        <v>724</v>
      </c>
      <c r="B216" s="559" t="s">
        <v>1103</v>
      </c>
      <c r="C216" s="559" t="str">
        <f t="shared" si="24"/>
        <v>1.10.30.20.010.020.00.000</v>
      </c>
      <c r="D216" s="599" t="str">
        <f t="shared" si="25"/>
        <v/>
      </c>
      <c r="E216" s="593"/>
      <c r="F216" s="593"/>
      <c r="G216" s="593"/>
      <c r="H216" s="601">
        <f t="shared" si="26"/>
        <v>0</v>
      </c>
      <c r="I216" s="593"/>
      <c r="J216" s="593"/>
      <c r="K216" s="593"/>
      <c r="L216" s="593"/>
      <c r="M216" s="593"/>
      <c r="N216" s="601">
        <f t="shared" si="27"/>
        <v>0</v>
      </c>
    </row>
    <row r="217" spans="1:14" x14ac:dyDescent="0.25">
      <c r="A217" s="551" t="str">
        <f>+Info!$B$2</f>
        <v>724</v>
      </c>
      <c r="B217" s="559" t="s">
        <v>1103</v>
      </c>
      <c r="C217" s="559" t="str">
        <f t="shared" si="24"/>
        <v>1.10.30.20.010.020.00.000</v>
      </c>
      <c r="D217" s="599" t="str">
        <f t="shared" si="25"/>
        <v/>
      </c>
      <c r="E217" s="593"/>
      <c r="F217" s="593"/>
      <c r="G217" s="593"/>
      <c r="H217" s="601">
        <f t="shared" si="26"/>
        <v>0</v>
      </c>
      <c r="I217" s="593"/>
      <c r="J217" s="593"/>
      <c r="K217" s="593"/>
      <c r="L217" s="593"/>
      <c r="M217" s="593"/>
      <c r="N217" s="601">
        <f t="shared" si="27"/>
        <v>0</v>
      </c>
    </row>
    <row r="218" spans="1:14" x14ac:dyDescent="0.25">
      <c r="A218" s="551" t="str">
        <f>+Info!$B$2</f>
        <v>724</v>
      </c>
      <c r="B218" s="559" t="s">
        <v>1103</v>
      </c>
      <c r="C218" s="559" t="str">
        <f t="shared" si="24"/>
        <v>1.10.30.20.010.020.00.000</v>
      </c>
      <c r="D218" s="599" t="str">
        <f t="shared" si="25"/>
        <v/>
      </c>
      <c r="E218" s="593"/>
      <c r="F218" s="593"/>
      <c r="G218" s="593"/>
      <c r="H218" s="601">
        <f t="shared" si="26"/>
        <v>0</v>
      </c>
      <c r="I218" s="593"/>
      <c r="J218" s="593"/>
      <c r="K218" s="593"/>
      <c r="L218" s="593"/>
      <c r="M218" s="593"/>
      <c r="N218" s="601">
        <f t="shared" si="27"/>
        <v>0</v>
      </c>
    </row>
    <row r="219" spans="1:14" x14ac:dyDescent="0.25">
      <c r="A219" s="551" t="str">
        <f>+Info!$B$2</f>
        <v>724</v>
      </c>
      <c r="B219" s="559" t="s">
        <v>1103</v>
      </c>
      <c r="C219" s="559" t="str">
        <f t="shared" si="24"/>
        <v>1.10.30.20.010.020.00.000</v>
      </c>
      <c r="D219" s="599" t="str">
        <f t="shared" si="25"/>
        <v/>
      </c>
      <c r="E219" s="593"/>
      <c r="F219" s="593"/>
      <c r="G219" s="593"/>
      <c r="H219" s="601">
        <f t="shared" si="26"/>
        <v>0</v>
      </c>
      <c r="I219" s="593"/>
      <c r="J219" s="593"/>
      <c r="K219" s="593"/>
      <c r="L219" s="593"/>
      <c r="M219" s="593"/>
      <c r="N219" s="601">
        <f t="shared" si="27"/>
        <v>0</v>
      </c>
    </row>
    <row r="220" spans="1:14" x14ac:dyDescent="0.25">
      <c r="A220" s="551" t="str">
        <f>+Info!$B$2</f>
        <v>724</v>
      </c>
      <c r="B220" s="559" t="s">
        <v>1103</v>
      </c>
      <c r="C220" s="559" t="str">
        <f t="shared" si="24"/>
        <v>1.10.30.20.010.020.00.000</v>
      </c>
      <c r="D220" s="599" t="str">
        <f t="shared" si="25"/>
        <v/>
      </c>
      <c r="E220" s="593"/>
      <c r="F220" s="593"/>
      <c r="G220" s="593"/>
      <c r="H220" s="601">
        <f t="shared" si="26"/>
        <v>0</v>
      </c>
      <c r="I220" s="593"/>
      <c r="J220" s="593"/>
      <c r="K220" s="593"/>
      <c r="L220" s="593"/>
      <c r="M220" s="593"/>
      <c r="N220" s="601">
        <f t="shared" si="27"/>
        <v>0</v>
      </c>
    </row>
    <row r="221" spans="1:14" x14ac:dyDescent="0.25">
      <c r="A221" s="551" t="str">
        <f>+Info!$B$2</f>
        <v>724</v>
      </c>
      <c r="B221" s="559" t="s">
        <v>1103</v>
      </c>
      <c r="C221" s="559" t="str">
        <f t="shared" si="24"/>
        <v>1.10.30.20.010.020.00.000</v>
      </c>
      <c r="D221" s="599" t="str">
        <f t="shared" si="25"/>
        <v/>
      </c>
      <c r="E221" s="593"/>
      <c r="F221" s="593"/>
      <c r="G221" s="593"/>
      <c r="H221" s="601">
        <f t="shared" si="26"/>
        <v>0</v>
      </c>
      <c r="I221" s="593"/>
      <c r="J221" s="593"/>
      <c r="K221" s="593"/>
      <c r="L221" s="593"/>
      <c r="M221" s="593"/>
      <c r="N221" s="601">
        <f t="shared" si="27"/>
        <v>0</v>
      </c>
    </row>
    <row r="222" spans="1:14" x14ac:dyDescent="0.25">
      <c r="A222" s="551" t="str">
        <f>+Info!$B$2</f>
        <v>724</v>
      </c>
      <c r="B222" s="559" t="s">
        <v>1103</v>
      </c>
      <c r="C222" s="559" t="str">
        <f t="shared" si="24"/>
        <v>1.10.30.20.010.020.00.000</v>
      </c>
      <c r="D222" s="599" t="str">
        <f t="shared" si="25"/>
        <v/>
      </c>
      <c r="E222" s="593"/>
      <c r="F222" s="593"/>
      <c r="G222" s="593"/>
      <c r="H222" s="601">
        <f t="shared" si="26"/>
        <v>0</v>
      </c>
      <c r="I222" s="593"/>
      <c r="J222" s="593"/>
      <c r="K222" s="593"/>
      <c r="L222" s="593"/>
      <c r="M222" s="593"/>
      <c r="N222" s="601">
        <f t="shared" si="27"/>
        <v>0</v>
      </c>
    </row>
    <row r="223" spans="1:14" x14ac:dyDescent="0.25">
      <c r="A223" s="551" t="str">
        <f>+Info!$B$2</f>
        <v>724</v>
      </c>
    </row>
    <row r="224" spans="1:14" s="557" customFormat="1" x14ac:dyDescent="0.25">
      <c r="A224" s="551" t="str">
        <f>+Info!$B$2</f>
        <v>724</v>
      </c>
      <c r="B224" s="551"/>
      <c r="C224" s="565"/>
      <c r="D224" s="565"/>
      <c r="E224" s="565"/>
      <c r="F224" s="565"/>
      <c r="G224" s="565"/>
      <c r="H224" s="565"/>
      <c r="I224" s="565"/>
      <c r="J224" s="565"/>
      <c r="K224" s="565"/>
      <c r="L224" s="565"/>
    </row>
    <row r="225" spans="1:14" s="557" customFormat="1" ht="19.5" x14ac:dyDescent="0.3">
      <c r="A225" s="551" t="str">
        <f>+Info!$B$2</f>
        <v>724</v>
      </c>
      <c r="B225" s="551"/>
      <c r="C225" s="565"/>
      <c r="D225" s="926" t="s">
        <v>4276</v>
      </c>
      <c r="E225" s="926"/>
      <c r="F225" s="926"/>
      <c r="G225" s="926"/>
      <c r="H225" s="926"/>
      <c r="I225" s="926"/>
      <c r="J225" s="926"/>
      <c r="K225" s="926"/>
      <c r="L225" s="926"/>
      <c r="M225" s="926"/>
      <c r="N225" s="926"/>
    </row>
    <row r="226" spans="1:14" s="557" customFormat="1" ht="19.5" x14ac:dyDescent="0.3">
      <c r="A226" s="551"/>
      <c r="B226" s="565"/>
      <c r="C226" s="565"/>
      <c r="D226" s="587"/>
      <c r="E226" s="587"/>
      <c r="F226" s="587"/>
      <c r="G226" s="587"/>
      <c r="H226" s="587"/>
      <c r="I226" s="587"/>
      <c r="J226" s="587"/>
      <c r="K226" s="587"/>
      <c r="L226" s="587"/>
      <c r="M226" s="587"/>
      <c r="N226" s="587"/>
    </row>
    <row r="227" spans="1:14" s="557" customFormat="1" ht="19.5" hidden="1" x14ac:dyDescent="0.3">
      <c r="A227" s="551"/>
      <c r="B227" s="588"/>
      <c r="C227" s="588" t="s">
        <v>4253</v>
      </c>
      <c r="D227" s="588" t="s">
        <v>4254</v>
      </c>
      <c r="E227" s="581"/>
      <c r="F227" s="587"/>
      <c r="G227" s="587"/>
      <c r="H227" s="581">
        <v>0</v>
      </c>
      <c r="I227" s="581">
        <v>0</v>
      </c>
      <c r="J227" s="581">
        <v>0</v>
      </c>
      <c r="K227" s="581">
        <v>0</v>
      </c>
      <c r="L227" s="581">
        <v>0</v>
      </c>
      <c r="M227" s="581">
        <v>0</v>
      </c>
      <c r="N227" s="587"/>
    </row>
    <row r="228" spans="1:14" s="557" customFormat="1" hidden="1" x14ac:dyDescent="0.25">
      <c r="A228" s="551"/>
      <c r="B228" s="581"/>
      <c r="C228" s="581"/>
      <c r="D228" s="581"/>
      <c r="E228" s="581"/>
      <c r="F228" s="581"/>
      <c r="G228" s="581"/>
      <c r="H228" s="581">
        <v>0</v>
      </c>
      <c r="I228" s="581">
        <v>0</v>
      </c>
      <c r="J228" s="581">
        <v>0</v>
      </c>
      <c r="K228" s="581">
        <v>0</v>
      </c>
      <c r="L228" s="581">
        <v>0</v>
      </c>
      <c r="M228" s="581">
        <v>0</v>
      </c>
      <c r="N228" s="581"/>
    </row>
    <row r="229" spans="1:14" s="557" customFormat="1" ht="19.5" hidden="1" x14ac:dyDescent="0.3">
      <c r="A229" s="551"/>
      <c r="B229" s="581"/>
      <c r="C229" s="581"/>
      <c r="D229" s="587"/>
      <c r="E229" s="587"/>
      <c r="F229" s="587"/>
      <c r="G229" s="587"/>
      <c r="H229" s="581">
        <v>0</v>
      </c>
      <c r="I229" s="581">
        <v>0</v>
      </c>
      <c r="J229" s="581">
        <v>0</v>
      </c>
      <c r="K229" s="581">
        <v>0</v>
      </c>
      <c r="L229" s="581">
        <v>0</v>
      </c>
      <c r="M229" s="581">
        <v>0</v>
      </c>
      <c r="N229" s="581"/>
    </row>
    <row r="230" spans="1:14" hidden="1" x14ac:dyDescent="0.25">
      <c r="A230" s="551" t="str">
        <f>+Info!$B$2</f>
        <v>724</v>
      </c>
      <c r="B230"/>
      <c r="C230"/>
      <c r="D230"/>
      <c r="E230"/>
      <c r="F230"/>
      <c r="G230"/>
      <c r="H230" s="581">
        <v>0</v>
      </c>
      <c r="I230" s="581">
        <v>0</v>
      </c>
      <c r="J230" s="581">
        <v>0</v>
      </c>
      <c r="K230" s="581">
        <v>0</v>
      </c>
      <c r="L230" s="581">
        <v>0</v>
      </c>
      <c r="M230" s="581">
        <v>0</v>
      </c>
      <c r="N230" s="581"/>
    </row>
    <row r="231" spans="1:14" ht="36" x14ac:dyDescent="0.25">
      <c r="A231" s="551" t="str">
        <f>+Info!$B$2</f>
        <v>724</v>
      </c>
      <c r="D231" s="589" t="s">
        <v>4255</v>
      </c>
      <c r="E231" s="590" t="s">
        <v>4256</v>
      </c>
      <c r="F231" s="590" t="s">
        <v>4257</v>
      </c>
      <c r="G231" s="590" t="s">
        <v>4258</v>
      </c>
      <c r="H231" s="590" t="s">
        <v>4259</v>
      </c>
      <c r="I231" s="590" t="s">
        <v>4260</v>
      </c>
      <c r="J231" s="590" t="s">
        <v>4261</v>
      </c>
      <c r="K231" s="590" t="s">
        <v>4262</v>
      </c>
      <c r="L231" s="590" t="s">
        <v>4263</v>
      </c>
      <c r="M231" s="590" t="s">
        <v>4264</v>
      </c>
      <c r="N231" s="590" t="s">
        <v>4265</v>
      </c>
    </row>
    <row r="232" spans="1:14" x14ac:dyDescent="0.25">
      <c r="A232" s="551" t="str">
        <f>+Info!$B$2</f>
        <v>724</v>
      </c>
      <c r="B232" s="591" t="s">
        <v>1760</v>
      </c>
      <c r="C232" s="591" t="s">
        <v>1761</v>
      </c>
      <c r="D232" s="591" t="s">
        <v>4266</v>
      </c>
      <c r="E232" s="592"/>
      <c r="F232" s="592"/>
      <c r="G232" s="592"/>
      <c r="H232" s="592"/>
      <c r="I232" s="592"/>
      <c r="J232" s="592"/>
      <c r="K232" s="592"/>
      <c r="L232" s="592"/>
      <c r="M232" s="592"/>
      <c r="N232" s="592"/>
    </row>
    <row r="233" spans="1:14" x14ac:dyDescent="0.25">
      <c r="A233" s="551" t="str">
        <f>+Info!$B$2</f>
        <v>724</v>
      </c>
      <c r="B233" s="559" t="s">
        <v>1760</v>
      </c>
      <c r="C233" s="559" t="str">
        <f t="shared" ref="C233:C244" si="28">$C$232</f>
        <v>1.20.30.10.010.000.00.000</v>
      </c>
      <c r="D233" s="593"/>
      <c r="E233" s="563"/>
      <c r="F233" s="563"/>
      <c r="G233" s="563"/>
      <c r="H233" s="563"/>
      <c r="I233" s="563"/>
      <c r="J233" s="563"/>
      <c r="K233" s="563"/>
      <c r="L233" s="563"/>
      <c r="M233" s="563"/>
      <c r="N233" s="563"/>
    </row>
    <row r="234" spans="1:14" x14ac:dyDescent="0.25">
      <c r="A234" s="551" t="str">
        <f>+Info!$B$2</f>
        <v>724</v>
      </c>
      <c r="B234" s="559" t="s">
        <v>1760</v>
      </c>
      <c r="C234" s="559" t="str">
        <f t="shared" si="28"/>
        <v>1.20.30.10.010.000.00.000</v>
      </c>
      <c r="D234" s="593"/>
      <c r="E234" s="563"/>
      <c r="F234" s="563"/>
      <c r="G234" s="563"/>
      <c r="H234" s="563"/>
      <c r="I234" s="563"/>
      <c r="J234" s="563"/>
      <c r="K234" s="563"/>
      <c r="L234" s="563"/>
      <c r="M234" s="563"/>
      <c r="N234" s="563"/>
    </row>
    <row r="235" spans="1:14" x14ac:dyDescent="0.25">
      <c r="A235" s="551" t="str">
        <f>+Info!$B$2</f>
        <v>724</v>
      </c>
      <c r="B235" s="559" t="s">
        <v>1760</v>
      </c>
      <c r="C235" s="559" t="str">
        <f t="shared" si="28"/>
        <v>1.20.30.10.010.000.00.000</v>
      </c>
      <c r="D235" s="593"/>
      <c r="E235" s="563"/>
      <c r="F235" s="563"/>
      <c r="G235" s="563"/>
      <c r="H235" s="563"/>
      <c r="I235" s="563"/>
      <c r="J235" s="563"/>
      <c r="K235" s="563"/>
      <c r="L235" s="563"/>
      <c r="M235" s="563"/>
      <c r="N235" s="563"/>
    </row>
    <row r="236" spans="1:14" x14ac:dyDescent="0.25">
      <c r="A236" s="551" t="str">
        <f>+Info!$B$2</f>
        <v>724</v>
      </c>
      <c r="B236" s="559" t="s">
        <v>1760</v>
      </c>
      <c r="C236" s="559" t="str">
        <f t="shared" si="28"/>
        <v>1.20.30.10.010.000.00.000</v>
      </c>
      <c r="D236" s="593"/>
      <c r="E236" s="563"/>
      <c r="F236" s="563"/>
      <c r="G236" s="563"/>
      <c r="H236" s="563"/>
      <c r="I236" s="563"/>
      <c r="J236" s="563"/>
      <c r="K236" s="563"/>
      <c r="L236" s="563"/>
      <c r="M236" s="563"/>
      <c r="N236" s="563"/>
    </row>
    <row r="237" spans="1:14" x14ac:dyDescent="0.25">
      <c r="A237" s="551" t="str">
        <f>+Info!$B$2</f>
        <v>724</v>
      </c>
      <c r="B237" s="559" t="s">
        <v>1760</v>
      </c>
      <c r="C237" s="559" t="str">
        <f t="shared" si="28"/>
        <v>1.20.30.10.010.000.00.000</v>
      </c>
      <c r="D237" s="593"/>
      <c r="E237" s="563"/>
      <c r="F237" s="563"/>
      <c r="G237" s="563"/>
      <c r="H237" s="563"/>
      <c r="I237" s="563"/>
      <c r="J237" s="563"/>
      <c r="K237" s="563"/>
      <c r="L237" s="563"/>
      <c r="M237" s="563"/>
      <c r="N237" s="563"/>
    </row>
    <row r="238" spans="1:14" x14ac:dyDescent="0.25">
      <c r="A238" s="551" t="str">
        <f>+Info!$B$2</f>
        <v>724</v>
      </c>
      <c r="B238" s="559" t="s">
        <v>1760</v>
      </c>
      <c r="C238" s="559" t="str">
        <f t="shared" si="28"/>
        <v>1.20.30.10.010.000.00.000</v>
      </c>
      <c r="D238" s="593"/>
      <c r="E238" s="563"/>
      <c r="F238" s="563"/>
      <c r="G238" s="563"/>
      <c r="H238" s="563"/>
      <c r="I238" s="563"/>
      <c r="J238" s="563"/>
      <c r="K238" s="563"/>
      <c r="L238" s="563"/>
      <c r="M238" s="563"/>
      <c r="N238" s="563"/>
    </row>
    <row r="239" spans="1:14" x14ac:dyDescent="0.25">
      <c r="A239" s="551" t="str">
        <f>+Info!$B$2</f>
        <v>724</v>
      </c>
      <c r="B239" s="559" t="s">
        <v>1760</v>
      </c>
      <c r="C239" s="559" t="str">
        <f t="shared" si="28"/>
        <v>1.20.30.10.010.000.00.000</v>
      </c>
      <c r="D239" s="593"/>
      <c r="E239" s="563"/>
      <c r="F239" s="563"/>
      <c r="G239" s="563"/>
      <c r="H239" s="563"/>
      <c r="I239" s="563"/>
      <c r="J239" s="563"/>
      <c r="K239" s="563"/>
      <c r="L239" s="563"/>
      <c r="M239" s="563"/>
      <c r="N239" s="563"/>
    </row>
    <row r="240" spans="1:14" x14ac:dyDescent="0.25">
      <c r="A240" s="551" t="str">
        <f>+Info!$B$2</f>
        <v>724</v>
      </c>
      <c r="B240" s="559" t="s">
        <v>1760</v>
      </c>
      <c r="C240" s="559" t="str">
        <f t="shared" si="28"/>
        <v>1.20.30.10.010.000.00.000</v>
      </c>
      <c r="D240" s="593"/>
      <c r="E240" s="563"/>
      <c r="F240" s="563"/>
      <c r="G240" s="563"/>
      <c r="H240" s="563"/>
      <c r="I240" s="563"/>
      <c r="J240" s="563"/>
      <c r="K240" s="563"/>
      <c r="L240" s="563"/>
      <c r="M240" s="563"/>
      <c r="N240" s="563"/>
    </row>
    <row r="241" spans="1:14" x14ac:dyDescent="0.25">
      <c r="A241" s="551" t="str">
        <f>+Info!$B$2</f>
        <v>724</v>
      </c>
      <c r="B241" s="559" t="s">
        <v>1760</v>
      </c>
      <c r="C241" s="559" t="str">
        <f t="shared" si="28"/>
        <v>1.20.30.10.010.000.00.000</v>
      </c>
      <c r="D241" s="593"/>
      <c r="E241" s="563"/>
      <c r="F241" s="563"/>
      <c r="G241" s="563"/>
      <c r="H241" s="563"/>
      <c r="I241" s="563"/>
      <c r="J241" s="563"/>
      <c r="K241" s="563"/>
      <c r="L241" s="563"/>
      <c r="M241" s="563"/>
      <c r="N241" s="563"/>
    </row>
    <row r="242" spans="1:14" x14ac:dyDescent="0.25">
      <c r="A242" s="551" t="str">
        <f>+Info!$B$2</f>
        <v>724</v>
      </c>
      <c r="B242" s="559" t="s">
        <v>1760</v>
      </c>
      <c r="C242" s="559" t="str">
        <f t="shared" si="28"/>
        <v>1.20.30.10.010.000.00.000</v>
      </c>
      <c r="D242" s="593"/>
      <c r="E242" s="563"/>
      <c r="F242" s="563"/>
      <c r="G242" s="563"/>
      <c r="H242" s="563"/>
      <c r="I242" s="563"/>
      <c r="J242" s="563"/>
      <c r="K242" s="563"/>
      <c r="L242" s="563"/>
      <c r="M242" s="563"/>
      <c r="N242" s="563"/>
    </row>
    <row r="243" spans="1:14" x14ac:dyDescent="0.25">
      <c r="A243" s="551" t="str">
        <f>+Info!$B$2</f>
        <v>724</v>
      </c>
      <c r="B243" s="559" t="s">
        <v>1760</v>
      </c>
      <c r="C243" s="559" t="str">
        <f t="shared" si="28"/>
        <v>1.20.30.10.010.000.00.000</v>
      </c>
      <c r="D243" s="593"/>
      <c r="E243" s="563"/>
      <c r="F243" s="563"/>
      <c r="G243" s="563"/>
      <c r="H243" s="563"/>
      <c r="I243" s="563"/>
      <c r="J243" s="563"/>
      <c r="K243" s="563"/>
      <c r="L243" s="563"/>
      <c r="M243" s="563"/>
      <c r="N243" s="563"/>
    </row>
    <row r="244" spans="1:14" x14ac:dyDescent="0.25">
      <c r="A244" s="551" t="str">
        <f>+Info!$B$2</f>
        <v>724</v>
      </c>
      <c r="B244" s="559" t="s">
        <v>1760</v>
      </c>
      <c r="C244" s="559" t="str">
        <f t="shared" si="28"/>
        <v>1.20.30.10.010.000.00.000</v>
      </c>
      <c r="D244" s="593"/>
      <c r="E244" s="563"/>
      <c r="F244" s="563"/>
      <c r="G244" s="563"/>
      <c r="H244" s="563"/>
      <c r="I244" s="563"/>
      <c r="J244" s="563"/>
      <c r="K244" s="563"/>
      <c r="L244" s="563"/>
      <c r="M244" s="563"/>
      <c r="N244" s="563"/>
    </row>
    <row r="245" spans="1:14" x14ac:dyDescent="0.25">
      <c r="A245" s="551" t="str">
        <f>+Info!$B$2</f>
        <v>724</v>
      </c>
      <c r="B245" s="591" t="s">
        <v>1765</v>
      </c>
      <c r="C245" s="591" t="s">
        <v>1766</v>
      </c>
      <c r="D245" s="594" t="s">
        <v>4267</v>
      </c>
      <c r="E245" s="595"/>
      <c r="F245" s="595"/>
      <c r="G245" s="595"/>
      <c r="H245" s="595"/>
      <c r="I245" s="595"/>
      <c r="J245" s="595"/>
      <c r="K245" s="595"/>
      <c r="L245" s="595"/>
      <c r="M245" s="595"/>
      <c r="N245" s="595"/>
    </row>
    <row r="246" spans="1:14" x14ac:dyDescent="0.25">
      <c r="A246" s="551" t="str">
        <f>+Info!$B$2</f>
        <v>724</v>
      </c>
      <c r="B246" s="559" t="s">
        <v>1765</v>
      </c>
      <c r="C246" s="559" t="str">
        <f t="shared" ref="C246:C257" si="29">$C$245</f>
        <v>1.20.30.10.015.000.00.000</v>
      </c>
      <c r="D246" s="593"/>
      <c r="E246" s="563"/>
      <c r="F246" s="563"/>
      <c r="G246" s="563"/>
      <c r="H246" s="563"/>
      <c r="I246" s="563"/>
      <c r="J246" s="563"/>
      <c r="K246" s="563"/>
      <c r="L246" s="563"/>
      <c r="M246" s="563"/>
      <c r="N246" s="563"/>
    </row>
    <row r="247" spans="1:14" x14ac:dyDescent="0.25">
      <c r="A247" s="551" t="str">
        <f>+Info!$B$2</f>
        <v>724</v>
      </c>
      <c r="B247" s="559" t="s">
        <v>1765</v>
      </c>
      <c r="C247" s="559" t="str">
        <f t="shared" si="29"/>
        <v>1.20.30.10.015.000.00.000</v>
      </c>
      <c r="D247" s="593"/>
      <c r="E247" s="563"/>
      <c r="F247" s="563"/>
      <c r="G247" s="563"/>
      <c r="H247" s="563"/>
      <c r="I247" s="563"/>
      <c r="J247" s="563"/>
      <c r="K247" s="563"/>
      <c r="L247" s="563"/>
      <c r="M247" s="563"/>
      <c r="N247" s="563"/>
    </row>
    <row r="248" spans="1:14" x14ac:dyDescent="0.25">
      <c r="A248" s="551" t="str">
        <f>+Info!$B$2</f>
        <v>724</v>
      </c>
      <c r="B248" s="559" t="s">
        <v>1765</v>
      </c>
      <c r="C248" s="559" t="str">
        <f t="shared" si="29"/>
        <v>1.20.30.10.015.000.00.000</v>
      </c>
      <c r="D248" s="593"/>
      <c r="E248" s="563"/>
      <c r="F248" s="563"/>
      <c r="G248" s="563"/>
      <c r="H248" s="563"/>
      <c r="I248" s="563"/>
      <c r="J248" s="563"/>
      <c r="K248" s="563"/>
      <c r="L248" s="563"/>
      <c r="M248" s="563"/>
      <c r="N248" s="563"/>
    </row>
    <row r="249" spans="1:14" x14ac:dyDescent="0.25">
      <c r="A249" s="551" t="str">
        <f>+Info!$B$2</f>
        <v>724</v>
      </c>
      <c r="B249" s="559" t="s">
        <v>1765</v>
      </c>
      <c r="C249" s="559" t="str">
        <f t="shared" si="29"/>
        <v>1.20.30.10.015.000.00.000</v>
      </c>
      <c r="D249" s="593"/>
      <c r="E249" s="563"/>
      <c r="F249" s="563"/>
      <c r="G249" s="563"/>
      <c r="H249" s="563"/>
      <c r="I249" s="563"/>
      <c r="J249" s="563"/>
      <c r="K249" s="563"/>
      <c r="L249" s="563"/>
      <c r="M249" s="563"/>
      <c r="N249" s="563"/>
    </row>
    <row r="250" spans="1:14" x14ac:dyDescent="0.25">
      <c r="A250" s="551" t="str">
        <f>+Info!$B$2</f>
        <v>724</v>
      </c>
      <c r="B250" s="559" t="s">
        <v>1765</v>
      </c>
      <c r="C250" s="559" t="str">
        <f t="shared" si="29"/>
        <v>1.20.30.10.015.000.00.000</v>
      </c>
      <c r="D250" s="593"/>
      <c r="E250" s="563"/>
      <c r="F250" s="563"/>
      <c r="G250" s="563"/>
      <c r="H250" s="563"/>
      <c r="I250" s="563"/>
      <c r="J250" s="563"/>
      <c r="K250" s="563"/>
      <c r="L250" s="563"/>
      <c r="M250" s="563"/>
      <c r="N250" s="563"/>
    </row>
    <row r="251" spans="1:14" x14ac:dyDescent="0.25">
      <c r="A251" s="551" t="str">
        <f>+Info!$B$2</f>
        <v>724</v>
      </c>
      <c r="B251" s="559" t="s">
        <v>1765</v>
      </c>
      <c r="C251" s="559" t="str">
        <f t="shared" si="29"/>
        <v>1.20.30.10.015.000.00.000</v>
      </c>
      <c r="D251" s="593"/>
      <c r="E251" s="563"/>
      <c r="F251" s="563"/>
      <c r="G251" s="563"/>
      <c r="H251" s="563"/>
      <c r="I251" s="563"/>
      <c r="J251" s="563"/>
      <c r="K251" s="563"/>
      <c r="L251" s="563"/>
      <c r="M251" s="563"/>
      <c r="N251" s="563"/>
    </row>
    <row r="252" spans="1:14" x14ac:dyDescent="0.25">
      <c r="A252" s="551" t="str">
        <f>+Info!$B$2</f>
        <v>724</v>
      </c>
      <c r="B252" s="559" t="s">
        <v>1765</v>
      </c>
      <c r="C252" s="559" t="str">
        <f t="shared" si="29"/>
        <v>1.20.30.10.015.000.00.000</v>
      </c>
      <c r="D252" s="593"/>
      <c r="E252" s="563"/>
      <c r="F252" s="563"/>
      <c r="G252" s="563"/>
      <c r="H252" s="563"/>
      <c r="I252" s="563"/>
      <c r="J252" s="563"/>
      <c r="K252" s="563"/>
      <c r="L252" s="563"/>
      <c r="M252" s="563"/>
      <c r="N252" s="563"/>
    </row>
    <row r="253" spans="1:14" x14ac:dyDescent="0.25">
      <c r="A253" s="551" t="str">
        <f>+Info!$B$2</f>
        <v>724</v>
      </c>
      <c r="B253" s="559" t="s">
        <v>1765</v>
      </c>
      <c r="C253" s="559" t="str">
        <f t="shared" si="29"/>
        <v>1.20.30.10.015.000.00.000</v>
      </c>
      <c r="D253" s="593"/>
      <c r="E253" s="563"/>
      <c r="F253" s="563"/>
      <c r="G253" s="563"/>
      <c r="H253" s="563"/>
      <c r="I253" s="563"/>
      <c r="J253" s="563"/>
      <c r="K253" s="563"/>
      <c r="L253" s="563"/>
      <c r="M253" s="563"/>
      <c r="N253" s="563"/>
    </row>
    <row r="254" spans="1:14" x14ac:dyDescent="0.25">
      <c r="A254" s="551" t="str">
        <f>+Info!$B$2</f>
        <v>724</v>
      </c>
      <c r="B254" s="559" t="s">
        <v>1765</v>
      </c>
      <c r="C254" s="559" t="str">
        <f t="shared" si="29"/>
        <v>1.20.30.10.015.000.00.000</v>
      </c>
      <c r="D254" s="593"/>
      <c r="E254" s="563"/>
      <c r="F254" s="563"/>
      <c r="G254" s="563"/>
      <c r="H254" s="563"/>
      <c r="I254" s="563"/>
      <c r="J254" s="563"/>
      <c r="K254" s="563"/>
      <c r="L254" s="563"/>
      <c r="M254" s="563"/>
      <c r="N254" s="563"/>
    </row>
    <row r="255" spans="1:14" x14ac:dyDescent="0.25">
      <c r="A255" s="551" t="str">
        <f>+Info!$B$2</f>
        <v>724</v>
      </c>
      <c r="B255" s="559" t="s">
        <v>1765</v>
      </c>
      <c r="C255" s="559" t="str">
        <f t="shared" si="29"/>
        <v>1.20.30.10.015.000.00.000</v>
      </c>
      <c r="D255" s="593"/>
      <c r="E255" s="563"/>
      <c r="F255" s="563"/>
      <c r="G255" s="563"/>
      <c r="H255" s="563"/>
      <c r="I255" s="563"/>
      <c r="J255" s="563"/>
      <c r="K255" s="563"/>
      <c r="L255" s="563"/>
      <c r="M255" s="563"/>
      <c r="N255" s="563"/>
    </row>
    <row r="256" spans="1:14" x14ac:dyDescent="0.25">
      <c r="A256" s="551" t="str">
        <f>+Info!$B$2</f>
        <v>724</v>
      </c>
      <c r="B256" s="559" t="s">
        <v>1765</v>
      </c>
      <c r="C256" s="559" t="str">
        <f t="shared" si="29"/>
        <v>1.20.30.10.015.000.00.000</v>
      </c>
      <c r="D256" s="593"/>
      <c r="E256" s="563"/>
      <c r="F256" s="563"/>
      <c r="G256" s="563"/>
      <c r="H256" s="563"/>
      <c r="I256" s="563"/>
      <c r="J256" s="563"/>
      <c r="K256" s="563"/>
      <c r="L256" s="563"/>
      <c r="M256" s="563"/>
      <c r="N256" s="563"/>
    </row>
    <row r="257" spans="1:14" x14ac:dyDescent="0.25">
      <c r="A257" s="551" t="str">
        <f>+Info!$B$2</f>
        <v>724</v>
      </c>
      <c r="B257" s="559" t="s">
        <v>1765</v>
      </c>
      <c r="C257" s="559" t="str">
        <f t="shared" si="29"/>
        <v>1.20.30.10.015.000.00.000</v>
      </c>
      <c r="D257" s="593"/>
      <c r="E257" s="563"/>
      <c r="F257" s="563"/>
      <c r="G257" s="563"/>
      <c r="H257" s="563"/>
      <c r="I257" s="563"/>
      <c r="J257" s="563"/>
      <c r="K257" s="563"/>
      <c r="L257" s="563"/>
      <c r="M257" s="563"/>
      <c r="N257" s="563"/>
    </row>
    <row r="258" spans="1:14" x14ac:dyDescent="0.25">
      <c r="A258" s="551" t="str">
        <f>+Info!$B$2</f>
        <v>724</v>
      </c>
      <c r="B258" s="591" t="s">
        <v>1767</v>
      </c>
      <c r="C258" s="591" t="s">
        <v>1768</v>
      </c>
      <c r="D258" s="594" t="s">
        <v>4268</v>
      </c>
      <c r="E258" s="595"/>
      <c r="F258" s="595"/>
      <c r="G258" s="595"/>
      <c r="H258" s="595"/>
      <c r="I258" s="595"/>
      <c r="J258" s="595"/>
      <c r="K258" s="595"/>
      <c r="L258" s="595"/>
      <c r="M258" s="595"/>
      <c r="N258" s="595"/>
    </row>
    <row r="259" spans="1:14" x14ac:dyDescent="0.25">
      <c r="A259" s="551" t="str">
        <f>+Info!$B$2</f>
        <v>724</v>
      </c>
      <c r="B259" s="559" t="s">
        <v>1767</v>
      </c>
      <c r="C259" s="559" t="str">
        <f t="shared" ref="C259:C270" si="30">$C$258</f>
        <v>1.20.30.10.020.000.00.000</v>
      </c>
      <c r="D259" s="593"/>
      <c r="E259" s="563"/>
      <c r="F259" s="563"/>
      <c r="G259" s="563"/>
      <c r="H259" s="563"/>
      <c r="I259" s="563"/>
      <c r="J259" s="563"/>
      <c r="K259" s="563"/>
      <c r="L259" s="563"/>
      <c r="M259" s="563"/>
      <c r="N259" s="563"/>
    </row>
    <row r="260" spans="1:14" x14ac:dyDescent="0.25">
      <c r="A260" s="551" t="str">
        <f>+Info!$B$2</f>
        <v>724</v>
      </c>
      <c r="B260" s="559" t="s">
        <v>1767</v>
      </c>
      <c r="C260" s="559" t="str">
        <f t="shared" si="30"/>
        <v>1.20.30.10.020.000.00.000</v>
      </c>
      <c r="D260" s="593"/>
      <c r="E260" s="563"/>
      <c r="F260" s="563"/>
      <c r="G260" s="563"/>
      <c r="H260" s="563"/>
      <c r="I260" s="563"/>
      <c r="J260" s="563"/>
      <c r="K260" s="563"/>
      <c r="L260" s="563"/>
      <c r="M260" s="563"/>
      <c r="N260" s="563"/>
    </row>
    <row r="261" spans="1:14" x14ac:dyDescent="0.25">
      <c r="A261" s="551" t="str">
        <f>+Info!$B$2</f>
        <v>724</v>
      </c>
      <c r="B261" s="559" t="s">
        <v>1767</v>
      </c>
      <c r="C261" s="559" t="str">
        <f t="shared" si="30"/>
        <v>1.20.30.10.020.000.00.000</v>
      </c>
      <c r="D261" s="593"/>
      <c r="E261" s="563"/>
      <c r="F261" s="563"/>
      <c r="G261" s="563"/>
      <c r="H261" s="563"/>
      <c r="I261" s="563"/>
      <c r="J261" s="563"/>
      <c r="K261" s="563"/>
      <c r="L261" s="563"/>
      <c r="M261" s="563"/>
      <c r="N261" s="563"/>
    </row>
    <row r="262" spans="1:14" x14ac:dyDescent="0.25">
      <c r="A262" s="551" t="str">
        <f>+Info!$B$2</f>
        <v>724</v>
      </c>
      <c r="B262" s="559" t="s">
        <v>1767</v>
      </c>
      <c r="C262" s="559" t="str">
        <f t="shared" si="30"/>
        <v>1.20.30.10.020.000.00.000</v>
      </c>
      <c r="D262" s="593"/>
      <c r="E262" s="563"/>
      <c r="F262" s="563"/>
      <c r="G262" s="563"/>
      <c r="H262" s="563"/>
      <c r="I262" s="563"/>
      <c r="J262" s="563"/>
      <c r="K262" s="563"/>
      <c r="L262" s="563"/>
      <c r="M262" s="563"/>
      <c r="N262" s="563"/>
    </row>
    <row r="263" spans="1:14" x14ac:dyDescent="0.25">
      <c r="A263" s="551" t="str">
        <f>+Info!$B$2</f>
        <v>724</v>
      </c>
      <c r="B263" s="559" t="s">
        <v>1767</v>
      </c>
      <c r="C263" s="559" t="str">
        <f t="shared" si="30"/>
        <v>1.20.30.10.020.000.00.000</v>
      </c>
      <c r="D263" s="593"/>
      <c r="E263" s="563"/>
      <c r="F263" s="563"/>
      <c r="G263" s="563"/>
      <c r="H263" s="563"/>
      <c r="I263" s="563"/>
      <c r="J263" s="563"/>
      <c r="K263" s="563"/>
      <c r="L263" s="563"/>
      <c r="M263" s="563"/>
      <c r="N263" s="563"/>
    </row>
    <row r="264" spans="1:14" x14ac:dyDescent="0.25">
      <c r="A264" s="551" t="str">
        <f>+Info!$B$2</f>
        <v>724</v>
      </c>
      <c r="B264" s="559" t="s">
        <v>1767</v>
      </c>
      <c r="C264" s="559" t="str">
        <f t="shared" si="30"/>
        <v>1.20.30.10.020.000.00.000</v>
      </c>
      <c r="D264" s="593"/>
      <c r="E264" s="563"/>
      <c r="F264" s="563"/>
      <c r="G264" s="563"/>
      <c r="H264" s="563"/>
      <c r="I264" s="563"/>
      <c r="J264" s="563"/>
      <c r="K264" s="563"/>
      <c r="L264" s="563"/>
      <c r="M264" s="563"/>
      <c r="N264" s="563"/>
    </row>
    <row r="265" spans="1:14" x14ac:dyDescent="0.25">
      <c r="A265" s="551" t="str">
        <f>+Info!$B$2</f>
        <v>724</v>
      </c>
      <c r="B265" s="559" t="s">
        <v>1767</v>
      </c>
      <c r="C265" s="559" t="str">
        <f t="shared" si="30"/>
        <v>1.20.30.10.020.000.00.000</v>
      </c>
      <c r="D265" s="593"/>
      <c r="E265" s="563"/>
      <c r="F265" s="563"/>
      <c r="G265" s="563"/>
      <c r="H265" s="563"/>
      <c r="I265" s="563"/>
      <c r="J265" s="563"/>
      <c r="K265" s="563"/>
      <c r="L265" s="563"/>
      <c r="M265" s="563"/>
      <c r="N265" s="563"/>
    </row>
    <row r="266" spans="1:14" x14ac:dyDescent="0.25">
      <c r="A266" s="551" t="str">
        <f>+Info!$B$2</f>
        <v>724</v>
      </c>
      <c r="B266" s="559" t="s">
        <v>1767</v>
      </c>
      <c r="C266" s="559" t="str">
        <f t="shared" si="30"/>
        <v>1.20.30.10.020.000.00.000</v>
      </c>
      <c r="D266" s="593"/>
      <c r="E266" s="563"/>
      <c r="F266" s="563"/>
      <c r="G266" s="563"/>
      <c r="H266" s="563"/>
      <c r="I266" s="563"/>
      <c r="J266" s="563"/>
      <c r="K266" s="563"/>
      <c r="L266" s="563"/>
      <c r="M266" s="563"/>
      <c r="N266" s="563"/>
    </row>
    <row r="267" spans="1:14" x14ac:dyDescent="0.25">
      <c r="A267" s="551" t="str">
        <f>+Info!$B$2</f>
        <v>724</v>
      </c>
      <c r="B267" s="559" t="s">
        <v>1767</v>
      </c>
      <c r="C267" s="559" t="str">
        <f t="shared" si="30"/>
        <v>1.20.30.10.020.000.00.000</v>
      </c>
      <c r="D267" s="593"/>
      <c r="E267" s="563"/>
      <c r="F267" s="563"/>
      <c r="G267" s="563"/>
      <c r="H267" s="563"/>
      <c r="I267" s="563"/>
      <c r="J267" s="563"/>
      <c r="K267" s="563"/>
      <c r="L267" s="563"/>
      <c r="M267" s="563"/>
      <c r="N267" s="563"/>
    </row>
    <row r="268" spans="1:14" x14ac:dyDescent="0.25">
      <c r="A268" s="551" t="str">
        <f>+Info!$B$2</f>
        <v>724</v>
      </c>
      <c r="B268" s="559" t="s">
        <v>1767</v>
      </c>
      <c r="C268" s="559" t="str">
        <f t="shared" si="30"/>
        <v>1.20.30.10.020.000.00.000</v>
      </c>
      <c r="D268" s="593"/>
      <c r="E268" s="563"/>
      <c r="F268" s="563"/>
      <c r="G268" s="563"/>
      <c r="H268" s="563"/>
      <c r="I268" s="563"/>
      <c r="J268" s="563"/>
      <c r="K268" s="563"/>
      <c r="L268" s="563"/>
      <c r="M268" s="563"/>
      <c r="N268" s="563"/>
    </row>
    <row r="269" spans="1:14" x14ac:dyDescent="0.25">
      <c r="A269" s="551" t="str">
        <f>+Info!$B$2</f>
        <v>724</v>
      </c>
      <c r="B269" s="559" t="s">
        <v>1767</v>
      </c>
      <c r="C269" s="559" t="str">
        <f t="shared" si="30"/>
        <v>1.20.30.10.020.000.00.000</v>
      </c>
      <c r="D269" s="593"/>
      <c r="E269" s="563"/>
      <c r="F269" s="563"/>
      <c r="G269" s="563"/>
      <c r="H269" s="563"/>
      <c r="I269" s="563"/>
      <c r="J269" s="563"/>
      <c r="K269" s="563"/>
      <c r="L269" s="563"/>
      <c r="M269" s="563"/>
      <c r="N269" s="563"/>
    </row>
    <row r="270" spans="1:14" x14ac:dyDescent="0.25">
      <c r="A270" s="551" t="str">
        <f>+Info!$B$2</f>
        <v>724</v>
      </c>
      <c r="B270" s="559" t="s">
        <v>1767</v>
      </c>
      <c r="C270" s="559" t="str">
        <f t="shared" si="30"/>
        <v>1.20.30.10.020.000.00.000</v>
      </c>
      <c r="D270" s="593"/>
      <c r="E270" s="563"/>
      <c r="F270" s="563"/>
      <c r="G270" s="563"/>
      <c r="H270" s="563"/>
      <c r="I270" s="563"/>
      <c r="J270" s="563"/>
      <c r="K270" s="563"/>
      <c r="L270" s="563"/>
      <c r="M270" s="563"/>
      <c r="N270" s="563"/>
    </row>
    <row r="271" spans="1:14" x14ac:dyDescent="0.25">
      <c r="B271" s="602"/>
      <c r="C271" s="602"/>
      <c r="D271" s="596"/>
      <c r="E271" s="597"/>
      <c r="F271" s="597"/>
      <c r="G271" s="597"/>
      <c r="H271" s="597"/>
      <c r="I271" s="597"/>
      <c r="J271" s="597"/>
      <c r="K271" s="597"/>
      <c r="L271" s="597"/>
      <c r="M271" s="597"/>
      <c r="N271" s="597"/>
    </row>
    <row r="272" spans="1:14" hidden="1" x14ac:dyDescent="0.25">
      <c r="B272" s="602"/>
      <c r="C272" s="581" t="s">
        <v>4253</v>
      </c>
      <c r="D272" s="581" t="s">
        <v>4254</v>
      </c>
      <c r="E272" s="557">
        <v>0</v>
      </c>
      <c r="F272" s="557">
        <v>0</v>
      </c>
      <c r="G272" s="557">
        <v>0</v>
      </c>
      <c r="H272" s="557">
        <v>0</v>
      </c>
      <c r="I272" s="557">
        <v>0</v>
      </c>
      <c r="J272" s="557">
        <v>0</v>
      </c>
      <c r="K272" s="557">
        <v>0</v>
      </c>
      <c r="L272" s="557">
        <v>0</v>
      </c>
      <c r="M272" s="557">
        <v>0</v>
      </c>
      <c r="N272" s="557">
        <v>0</v>
      </c>
    </row>
    <row r="273" spans="1:14" hidden="1" x14ac:dyDescent="0.25">
      <c r="A273" s="551" t="str">
        <f>+Info!$B$2</f>
        <v>724</v>
      </c>
      <c r="B273" s="602"/>
      <c r="C273" s="581"/>
      <c r="D273" s="581"/>
      <c r="E273" s="557">
        <v>0</v>
      </c>
      <c r="F273" s="557">
        <v>0</v>
      </c>
      <c r="G273" s="557">
        <v>0</v>
      </c>
      <c r="H273" s="557">
        <v>0</v>
      </c>
      <c r="I273" s="557">
        <v>0</v>
      </c>
      <c r="J273" s="557">
        <v>0</v>
      </c>
      <c r="K273" s="557">
        <v>0</v>
      </c>
      <c r="L273" s="557">
        <v>0</v>
      </c>
      <c r="M273" s="557">
        <v>0</v>
      </c>
      <c r="N273" s="557">
        <v>0</v>
      </c>
    </row>
    <row r="274" spans="1:14" ht="15" customHeight="1" x14ac:dyDescent="0.25">
      <c r="A274" s="551" t="str">
        <f>+Info!$B$2</f>
        <v>724</v>
      </c>
      <c r="B274" s="602"/>
      <c r="D274" s="927" t="s">
        <v>4269</v>
      </c>
      <c r="E274" s="922" t="s">
        <v>4270</v>
      </c>
      <c r="F274" s="922" t="s">
        <v>4271</v>
      </c>
      <c r="G274" s="922"/>
      <c r="H274" s="922"/>
      <c r="I274" s="922" t="s">
        <v>4206</v>
      </c>
      <c r="J274" s="922"/>
      <c r="K274" s="922"/>
      <c r="L274" s="922"/>
      <c r="M274" s="922"/>
      <c r="N274" s="922"/>
    </row>
    <row r="275" spans="1:14" ht="24" x14ac:dyDescent="0.25">
      <c r="A275" s="551" t="str">
        <f>+Info!$B$2</f>
        <v>724</v>
      </c>
      <c r="B275" s="602"/>
      <c r="D275" s="927"/>
      <c r="E275" s="922"/>
      <c r="F275" s="590" t="s">
        <v>4272</v>
      </c>
      <c r="G275" s="590" t="s">
        <v>4273</v>
      </c>
      <c r="H275" s="590" t="s">
        <v>3517</v>
      </c>
      <c r="I275" s="590" t="s">
        <v>3537</v>
      </c>
      <c r="J275" s="590" t="s">
        <v>4272</v>
      </c>
      <c r="K275" s="590" t="s">
        <v>4273</v>
      </c>
      <c r="L275" s="590" t="s">
        <v>4274</v>
      </c>
      <c r="M275" s="590" t="s">
        <v>4275</v>
      </c>
      <c r="N275" s="590" t="s">
        <v>4211</v>
      </c>
    </row>
    <row r="276" spans="1:14" x14ac:dyDescent="0.25">
      <c r="A276" s="551" t="str">
        <f>+Info!$B$2</f>
        <v>724</v>
      </c>
      <c r="B276" s="591" t="s">
        <v>1760</v>
      </c>
      <c r="C276" s="591" t="s">
        <v>1761</v>
      </c>
      <c r="D276" s="591" t="s">
        <v>4266</v>
      </c>
      <c r="E276" s="598">
        <f t="shared" ref="E276:N276" si="31">SUM(E277:E288)</f>
        <v>0</v>
      </c>
      <c r="F276" s="598">
        <f t="shared" si="31"/>
        <v>0</v>
      </c>
      <c r="G276" s="598">
        <f t="shared" si="31"/>
        <v>0</v>
      </c>
      <c r="H276" s="598">
        <f t="shared" si="31"/>
        <v>0</v>
      </c>
      <c r="I276" s="598">
        <f t="shared" si="31"/>
        <v>0</v>
      </c>
      <c r="J276" s="598">
        <f t="shared" si="31"/>
        <v>0</v>
      </c>
      <c r="K276" s="598">
        <f t="shared" si="31"/>
        <v>0</v>
      </c>
      <c r="L276" s="598">
        <f t="shared" si="31"/>
        <v>0</v>
      </c>
      <c r="M276" s="598">
        <f t="shared" si="31"/>
        <v>0</v>
      </c>
      <c r="N276" s="598">
        <f t="shared" si="31"/>
        <v>0</v>
      </c>
    </row>
    <row r="277" spans="1:14" x14ac:dyDescent="0.25">
      <c r="A277" s="551" t="str">
        <f>+Info!$B$2</f>
        <v>724</v>
      </c>
      <c r="B277" s="559" t="s">
        <v>1760</v>
      </c>
      <c r="C277" s="559" t="str">
        <f t="shared" ref="C277:C288" si="32">$C$232</f>
        <v>1.20.30.10.010.000.00.000</v>
      </c>
      <c r="D277" s="599" t="str">
        <f t="shared" ref="D277:D288" si="33">IF(+D233="","",D233)</f>
        <v/>
      </c>
      <c r="E277" s="600"/>
      <c r="F277" s="600"/>
      <c r="G277" s="600"/>
      <c r="H277" s="601">
        <f t="shared" ref="H277:H288" si="34">+E277+F277-G277</f>
        <v>0</v>
      </c>
      <c r="I277" s="600"/>
      <c r="J277" s="600"/>
      <c r="K277" s="600"/>
      <c r="L277" s="600"/>
      <c r="M277" s="600"/>
      <c r="N277" s="601">
        <f t="shared" ref="N277:N288" si="35">+H277+I277+J277-K277+L277-M277</f>
        <v>0</v>
      </c>
    </row>
    <row r="278" spans="1:14" x14ac:dyDescent="0.25">
      <c r="A278" s="551" t="str">
        <f>+Info!$B$2</f>
        <v>724</v>
      </c>
      <c r="B278" s="559" t="s">
        <v>1760</v>
      </c>
      <c r="C278" s="559" t="str">
        <f t="shared" si="32"/>
        <v>1.20.30.10.010.000.00.000</v>
      </c>
      <c r="D278" s="599" t="str">
        <f t="shared" si="33"/>
        <v/>
      </c>
      <c r="E278" s="600"/>
      <c r="F278" s="600"/>
      <c r="G278" s="600"/>
      <c r="H278" s="601">
        <f t="shared" si="34"/>
        <v>0</v>
      </c>
      <c r="I278" s="600"/>
      <c r="J278" s="600"/>
      <c r="K278" s="600"/>
      <c r="L278" s="600"/>
      <c r="M278" s="600"/>
      <c r="N278" s="601">
        <f t="shared" si="35"/>
        <v>0</v>
      </c>
    </row>
    <row r="279" spans="1:14" x14ac:dyDescent="0.25">
      <c r="A279" s="551" t="str">
        <f>+Info!$B$2</f>
        <v>724</v>
      </c>
      <c r="B279" s="559" t="s">
        <v>1760</v>
      </c>
      <c r="C279" s="559" t="str">
        <f t="shared" si="32"/>
        <v>1.20.30.10.010.000.00.000</v>
      </c>
      <c r="D279" s="599" t="str">
        <f t="shared" si="33"/>
        <v/>
      </c>
      <c r="E279" s="600"/>
      <c r="F279" s="600"/>
      <c r="G279" s="600"/>
      <c r="H279" s="601">
        <f t="shared" si="34"/>
        <v>0</v>
      </c>
      <c r="I279" s="600"/>
      <c r="J279" s="600"/>
      <c r="K279" s="600"/>
      <c r="L279" s="600"/>
      <c r="M279" s="600"/>
      <c r="N279" s="601">
        <f t="shared" si="35"/>
        <v>0</v>
      </c>
    </row>
    <row r="280" spans="1:14" x14ac:dyDescent="0.25">
      <c r="A280" s="551" t="str">
        <f>+Info!$B$2</f>
        <v>724</v>
      </c>
      <c r="B280" s="559" t="s">
        <v>1760</v>
      </c>
      <c r="C280" s="559" t="str">
        <f t="shared" si="32"/>
        <v>1.20.30.10.010.000.00.000</v>
      </c>
      <c r="D280" s="599" t="str">
        <f t="shared" si="33"/>
        <v/>
      </c>
      <c r="E280" s="600"/>
      <c r="F280" s="600"/>
      <c r="G280" s="600"/>
      <c r="H280" s="601">
        <f t="shared" si="34"/>
        <v>0</v>
      </c>
      <c r="I280" s="600"/>
      <c r="J280" s="600"/>
      <c r="K280" s="600"/>
      <c r="L280" s="600"/>
      <c r="M280" s="600"/>
      <c r="N280" s="601">
        <f t="shared" si="35"/>
        <v>0</v>
      </c>
    </row>
    <row r="281" spans="1:14" x14ac:dyDescent="0.25">
      <c r="A281" s="551" t="str">
        <f>+Info!$B$2</f>
        <v>724</v>
      </c>
      <c r="B281" s="559" t="s">
        <v>1760</v>
      </c>
      <c r="C281" s="559" t="str">
        <f t="shared" si="32"/>
        <v>1.20.30.10.010.000.00.000</v>
      </c>
      <c r="D281" s="599" t="str">
        <f t="shared" si="33"/>
        <v/>
      </c>
      <c r="E281" s="600"/>
      <c r="F281" s="600"/>
      <c r="G281" s="600"/>
      <c r="H281" s="601">
        <f t="shared" si="34"/>
        <v>0</v>
      </c>
      <c r="I281" s="600"/>
      <c r="J281" s="600"/>
      <c r="K281" s="600"/>
      <c r="L281" s="600"/>
      <c r="M281" s="600"/>
      <c r="N281" s="601">
        <f t="shared" si="35"/>
        <v>0</v>
      </c>
    </row>
    <row r="282" spans="1:14" x14ac:dyDescent="0.25">
      <c r="A282" s="551" t="str">
        <f>+Info!$B$2</f>
        <v>724</v>
      </c>
      <c r="B282" s="559" t="s">
        <v>1760</v>
      </c>
      <c r="C282" s="559" t="str">
        <f t="shared" si="32"/>
        <v>1.20.30.10.010.000.00.000</v>
      </c>
      <c r="D282" s="599" t="str">
        <f t="shared" si="33"/>
        <v/>
      </c>
      <c r="E282" s="600"/>
      <c r="F282" s="600"/>
      <c r="G282" s="600"/>
      <c r="H282" s="601">
        <f t="shared" si="34"/>
        <v>0</v>
      </c>
      <c r="I282" s="600"/>
      <c r="J282" s="600"/>
      <c r="K282" s="600"/>
      <c r="L282" s="600"/>
      <c r="M282" s="600"/>
      <c r="N282" s="601">
        <f t="shared" si="35"/>
        <v>0</v>
      </c>
    </row>
    <row r="283" spans="1:14" x14ac:dyDescent="0.25">
      <c r="A283" s="551" t="str">
        <f>+Info!$B$2</f>
        <v>724</v>
      </c>
      <c r="B283" s="559" t="s">
        <v>1760</v>
      </c>
      <c r="C283" s="559" t="str">
        <f t="shared" si="32"/>
        <v>1.20.30.10.010.000.00.000</v>
      </c>
      <c r="D283" s="599" t="str">
        <f t="shared" si="33"/>
        <v/>
      </c>
      <c r="E283" s="600"/>
      <c r="F283" s="600"/>
      <c r="G283" s="600"/>
      <c r="H283" s="601">
        <f t="shared" si="34"/>
        <v>0</v>
      </c>
      <c r="I283" s="600"/>
      <c r="J283" s="600"/>
      <c r="K283" s="600"/>
      <c r="L283" s="600"/>
      <c r="M283" s="600"/>
      <c r="N283" s="601">
        <f t="shared" si="35"/>
        <v>0</v>
      </c>
    </row>
    <row r="284" spans="1:14" x14ac:dyDescent="0.25">
      <c r="A284" s="551" t="str">
        <f>+Info!$B$2</f>
        <v>724</v>
      </c>
      <c r="B284" s="559" t="s">
        <v>1760</v>
      </c>
      <c r="C284" s="559" t="str">
        <f t="shared" si="32"/>
        <v>1.20.30.10.010.000.00.000</v>
      </c>
      <c r="D284" s="599" t="str">
        <f t="shared" si="33"/>
        <v/>
      </c>
      <c r="E284" s="600"/>
      <c r="F284" s="600"/>
      <c r="G284" s="600"/>
      <c r="H284" s="601">
        <f t="shared" si="34"/>
        <v>0</v>
      </c>
      <c r="I284" s="600"/>
      <c r="J284" s="600"/>
      <c r="K284" s="600"/>
      <c r="L284" s="600"/>
      <c r="M284" s="600"/>
      <c r="N284" s="601">
        <f t="shared" si="35"/>
        <v>0</v>
      </c>
    </row>
    <row r="285" spans="1:14" x14ac:dyDescent="0.25">
      <c r="A285" s="551" t="str">
        <f>+Info!$B$2</f>
        <v>724</v>
      </c>
      <c r="B285" s="559" t="s">
        <v>1760</v>
      </c>
      <c r="C285" s="559" t="str">
        <f t="shared" si="32"/>
        <v>1.20.30.10.010.000.00.000</v>
      </c>
      <c r="D285" s="599" t="str">
        <f t="shared" si="33"/>
        <v/>
      </c>
      <c r="E285" s="600"/>
      <c r="F285" s="600"/>
      <c r="G285" s="600"/>
      <c r="H285" s="601">
        <f t="shared" si="34"/>
        <v>0</v>
      </c>
      <c r="I285" s="600"/>
      <c r="J285" s="600"/>
      <c r="K285" s="600"/>
      <c r="L285" s="600"/>
      <c r="M285" s="600"/>
      <c r="N285" s="601">
        <f t="shared" si="35"/>
        <v>0</v>
      </c>
    </row>
    <row r="286" spans="1:14" x14ac:dyDescent="0.25">
      <c r="A286" s="551" t="str">
        <f>+Info!$B$2</f>
        <v>724</v>
      </c>
      <c r="B286" s="559" t="s">
        <v>1760</v>
      </c>
      <c r="C286" s="559" t="str">
        <f t="shared" si="32"/>
        <v>1.20.30.10.010.000.00.000</v>
      </c>
      <c r="D286" s="599" t="str">
        <f t="shared" si="33"/>
        <v/>
      </c>
      <c r="E286" s="600"/>
      <c r="F286" s="600"/>
      <c r="G286" s="600"/>
      <c r="H286" s="601">
        <f t="shared" si="34"/>
        <v>0</v>
      </c>
      <c r="I286" s="600"/>
      <c r="J286" s="600"/>
      <c r="K286" s="600"/>
      <c r="L286" s="600"/>
      <c r="M286" s="600"/>
      <c r="N286" s="601">
        <f t="shared" si="35"/>
        <v>0</v>
      </c>
    </row>
    <row r="287" spans="1:14" x14ac:dyDescent="0.25">
      <c r="A287" s="551" t="str">
        <f>+Info!$B$2</f>
        <v>724</v>
      </c>
      <c r="B287" s="559" t="s">
        <v>1760</v>
      </c>
      <c r="C287" s="559" t="str">
        <f t="shared" si="32"/>
        <v>1.20.30.10.010.000.00.000</v>
      </c>
      <c r="D287" s="599" t="str">
        <f t="shared" si="33"/>
        <v/>
      </c>
      <c r="E287" s="600"/>
      <c r="F287" s="600"/>
      <c r="G287" s="600"/>
      <c r="H287" s="601">
        <f t="shared" si="34"/>
        <v>0</v>
      </c>
      <c r="I287" s="600"/>
      <c r="J287" s="600"/>
      <c r="K287" s="600"/>
      <c r="L287" s="600"/>
      <c r="M287" s="600"/>
      <c r="N287" s="601">
        <f t="shared" si="35"/>
        <v>0</v>
      </c>
    </row>
    <row r="288" spans="1:14" x14ac:dyDescent="0.25">
      <c r="A288" s="551" t="str">
        <f>+Info!$B$2</f>
        <v>724</v>
      </c>
      <c r="B288" s="559" t="s">
        <v>1760</v>
      </c>
      <c r="C288" s="559" t="str">
        <f t="shared" si="32"/>
        <v>1.20.30.10.010.000.00.000</v>
      </c>
      <c r="D288" s="599" t="str">
        <f t="shared" si="33"/>
        <v/>
      </c>
      <c r="E288" s="600"/>
      <c r="F288" s="600"/>
      <c r="G288" s="600"/>
      <c r="H288" s="601">
        <f t="shared" si="34"/>
        <v>0</v>
      </c>
      <c r="I288" s="600"/>
      <c r="J288" s="600"/>
      <c r="K288" s="600"/>
      <c r="L288" s="600"/>
      <c r="M288" s="600"/>
      <c r="N288" s="601">
        <f t="shared" si="35"/>
        <v>0</v>
      </c>
    </row>
    <row r="289" spans="1:14" x14ac:dyDescent="0.25">
      <c r="A289" s="551" t="str">
        <f>+Info!$B$2</f>
        <v>724</v>
      </c>
      <c r="B289" s="591" t="s">
        <v>1765</v>
      </c>
      <c r="C289" s="591" t="s">
        <v>1766</v>
      </c>
      <c r="D289" s="594" t="s">
        <v>4267</v>
      </c>
      <c r="E289" s="598">
        <f t="shared" ref="E289:N289" si="36">SUM(E290:E301)</f>
        <v>0</v>
      </c>
      <c r="F289" s="598">
        <f t="shared" si="36"/>
        <v>0</v>
      </c>
      <c r="G289" s="598">
        <f t="shared" si="36"/>
        <v>0</v>
      </c>
      <c r="H289" s="598">
        <f t="shared" si="36"/>
        <v>0</v>
      </c>
      <c r="I289" s="598">
        <f t="shared" si="36"/>
        <v>0</v>
      </c>
      <c r="J289" s="598">
        <f t="shared" si="36"/>
        <v>0</v>
      </c>
      <c r="K289" s="598">
        <f t="shared" si="36"/>
        <v>0</v>
      </c>
      <c r="L289" s="598">
        <f t="shared" si="36"/>
        <v>0</v>
      </c>
      <c r="M289" s="598">
        <f t="shared" si="36"/>
        <v>0</v>
      </c>
      <c r="N289" s="598">
        <f t="shared" si="36"/>
        <v>0</v>
      </c>
    </row>
    <row r="290" spans="1:14" x14ac:dyDescent="0.25">
      <c r="A290" s="551" t="str">
        <f>+Info!$B$2</f>
        <v>724</v>
      </c>
      <c r="B290" s="559" t="s">
        <v>1765</v>
      </c>
      <c r="C290" s="559" t="str">
        <f t="shared" ref="C290:C301" si="37">$C$245</f>
        <v>1.20.30.10.015.000.00.000</v>
      </c>
      <c r="D290" s="599" t="str">
        <f t="shared" ref="D290:D301" si="38">IF(+D246="","",D246)</f>
        <v/>
      </c>
      <c r="E290" s="593"/>
      <c r="F290" s="593"/>
      <c r="G290" s="593"/>
      <c r="H290" s="601">
        <f t="shared" ref="H290:H301" si="39">+E290+F290-G290</f>
        <v>0</v>
      </c>
      <c r="I290" s="593"/>
      <c r="J290" s="593"/>
      <c r="K290" s="593"/>
      <c r="L290" s="593"/>
      <c r="M290" s="593"/>
      <c r="N290" s="601">
        <f t="shared" ref="N290:N301" si="40">+H290+I290+J290-K290+L290-M290</f>
        <v>0</v>
      </c>
    </row>
    <row r="291" spans="1:14" x14ac:dyDescent="0.25">
      <c r="A291" s="551" t="str">
        <f>+Info!$B$2</f>
        <v>724</v>
      </c>
      <c r="B291" s="559" t="s">
        <v>1765</v>
      </c>
      <c r="C291" s="559" t="str">
        <f t="shared" si="37"/>
        <v>1.20.30.10.015.000.00.000</v>
      </c>
      <c r="D291" s="599" t="str">
        <f t="shared" si="38"/>
        <v/>
      </c>
      <c r="E291" s="593"/>
      <c r="F291" s="593"/>
      <c r="G291" s="593"/>
      <c r="H291" s="601">
        <f t="shared" si="39"/>
        <v>0</v>
      </c>
      <c r="I291" s="593"/>
      <c r="J291" s="593"/>
      <c r="K291" s="593"/>
      <c r="L291" s="593"/>
      <c r="M291" s="593"/>
      <c r="N291" s="601">
        <f t="shared" si="40"/>
        <v>0</v>
      </c>
    </row>
    <row r="292" spans="1:14" x14ac:dyDescent="0.25">
      <c r="A292" s="551" t="str">
        <f>+Info!$B$2</f>
        <v>724</v>
      </c>
      <c r="B292" s="559" t="s">
        <v>1765</v>
      </c>
      <c r="C292" s="559" t="str">
        <f t="shared" si="37"/>
        <v>1.20.30.10.015.000.00.000</v>
      </c>
      <c r="D292" s="599" t="str">
        <f t="shared" si="38"/>
        <v/>
      </c>
      <c r="E292" s="593"/>
      <c r="F292" s="593"/>
      <c r="G292" s="593"/>
      <c r="H292" s="601">
        <f t="shared" si="39"/>
        <v>0</v>
      </c>
      <c r="I292" s="593"/>
      <c r="J292" s="593"/>
      <c r="K292" s="593"/>
      <c r="L292" s="593"/>
      <c r="M292" s="593"/>
      <c r="N292" s="601">
        <f t="shared" si="40"/>
        <v>0</v>
      </c>
    </row>
    <row r="293" spans="1:14" x14ac:dyDescent="0.25">
      <c r="A293" s="551" t="str">
        <f>+Info!$B$2</f>
        <v>724</v>
      </c>
      <c r="B293" s="559" t="s">
        <v>1765</v>
      </c>
      <c r="C293" s="559" t="str">
        <f t="shared" si="37"/>
        <v>1.20.30.10.015.000.00.000</v>
      </c>
      <c r="D293" s="599" t="str">
        <f t="shared" si="38"/>
        <v/>
      </c>
      <c r="E293" s="593"/>
      <c r="F293" s="593"/>
      <c r="G293" s="593"/>
      <c r="H293" s="601">
        <f t="shared" si="39"/>
        <v>0</v>
      </c>
      <c r="I293" s="593"/>
      <c r="J293" s="593"/>
      <c r="K293" s="593"/>
      <c r="L293" s="593"/>
      <c r="M293" s="593"/>
      <c r="N293" s="601">
        <f t="shared" si="40"/>
        <v>0</v>
      </c>
    </row>
    <row r="294" spans="1:14" x14ac:dyDescent="0.25">
      <c r="A294" s="551" t="str">
        <f>+Info!$B$2</f>
        <v>724</v>
      </c>
      <c r="B294" s="559" t="s">
        <v>1765</v>
      </c>
      <c r="C294" s="559" t="str">
        <f t="shared" si="37"/>
        <v>1.20.30.10.015.000.00.000</v>
      </c>
      <c r="D294" s="599" t="str">
        <f t="shared" si="38"/>
        <v/>
      </c>
      <c r="E294" s="593"/>
      <c r="F294" s="593"/>
      <c r="G294" s="593"/>
      <c r="H294" s="601">
        <f t="shared" si="39"/>
        <v>0</v>
      </c>
      <c r="I294" s="593"/>
      <c r="J294" s="593"/>
      <c r="K294" s="593"/>
      <c r="L294" s="593"/>
      <c r="M294" s="593"/>
      <c r="N294" s="601">
        <f t="shared" si="40"/>
        <v>0</v>
      </c>
    </row>
    <row r="295" spans="1:14" x14ac:dyDescent="0.25">
      <c r="A295" s="551" t="str">
        <f>+Info!$B$2</f>
        <v>724</v>
      </c>
      <c r="B295" s="559" t="s">
        <v>1765</v>
      </c>
      <c r="C295" s="559" t="str">
        <f t="shared" si="37"/>
        <v>1.20.30.10.015.000.00.000</v>
      </c>
      <c r="D295" s="599" t="str">
        <f t="shared" si="38"/>
        <v/>
      </c>
      <c r="E295" s="593"/>
      <c r="F295" s="593"/>
      <c r="G295" s="593"/>
      <c r="H295" s="601">
        <f t="shared" si="39"/>
        <v>0</v>
      </c>
      <c r="I295" s="593"/>
      <c r="J295" s="593"/>
      <c r="K295" s="593"/>
      <c r="L295" s="593"/>
      <c r="M295" s="593"/>
      <c r="N295" s="601">
        <f t="shared" si="40"/>
        <v>0</v>
      </c>
    </row>
    <row r="296" spans="1:14" x14ac:dyDescent="0.25">
      <c r="A296" s="551" t="str">
        <f>+Info!$B$2</f>
        <v>724</v>
      </c>
      <c r="B296" s="559" t="s">
        <v>1765</v>
      </c>
      <c r="C296" s="559" t="str">
        <f t="shared" si="37"/>
        <v>1.20.30.10.015.000.00.000</v>
      </c>
      <c r="D296" s="599" t="str">
        <f t="shared" si="38"/>
        <v/>
      </c>
      <c r="E296" s="593"/>
      <c r="F296" s="593"/>
      <c r="G296" s="593"/>
      <c r="H296" s="601">
        <f t="shared" si="39"/>
        <v>0</v>
      </c>
      <c r="I296" s="593"/>
      <c r="J296" s="593"/>
      <c r="K296" s="593"/>
      <c r="L296" s="593"/>
      <c r="M296" s="593"/>
      <c r="N296" s="601">
        <f t="shared" si="40"/>
        <v>0</v>
      </c>
    </row>
    <row r="297" spans="1:14" x14ac:dyDescent="0.25">
      <c r="A297" s="551" t="str">
        <f>+Info!$B$2</f>
        <v>724</v>
      </c>
      <c r="B297" s="559" t="s">
        <v>1765</v>
      </c>
      <c r="C297" s="559" t="str">
        <f t="shared" si="37"/>
        <v>1.20.30.10.015.000.00.000</v>
      </c>
      <c r="D297" s="599" t="str">
        <f t="shared" si="38"/>
        <v/>
      </c>
      <c r="E297" s="593"/>
      <c r="F297" s="593"/>
      <c r="G297" s="593"/>
      <c r="H297" s="601">
        <f t="shared" si="39"/>
        <v>0</v>
      </c>
      <c r="I297" s="593"/>
      <c r="J297" s="593"/>
      <c r="K297" s="593"/>
      <c r="L297" s="593"/>
      <c r="M297" s="593"/>
      <c r="N297" s="601">
        <f t="shared" si="40"/>
        <v>0</v>
      </c>
    </row>
    <row r="298" spans="1:14" x14ac:dyDescent="0.25">
      <c r="A298" s="551" t="str">
        <f>+Info!$B$2</f>
        <v>724</v>
      </c>
      <c r="B298" s="559" t="s">
        <v>1765</v>
      </c>
      <c r="C298" s="559" t="str">
        <f t="shared" si="37"/>
        <v>1.20.30.10.015.000.00.000</v>
      </c>
      <c r="D298" s="599" t="str">
        <f t="shared" si="38"/>
        <v/>
      </c>
      <c r="E298" s="593"/>
      <c r="F298" s="593"/>
      <c r="G298" s="593"/>
      <c r="H298" s="601">
        <f t="shared" si="39"/>
        <v>0</v>
      </c>
      <c r="I298" s="593"/>
      <c r="J298" s="593"/>
      <c r="K298" s="593"/>
      <c r="L298" s="593"/>
      <c r="M298" s="593"/>
      <c r="N298" s="601">
        <f t="shared" si="40"/>
        <v>0</v>
      </c>
    </row>
    <row r="299" spans="1:14" x14ac:dyDescent="0.25">
      <c r="A299" s="551" t="str">
        <f>+Info!$B$2</f>
        <v>724</v>
      </c>
      <c r="B299" s="559" t="s">
        <v>1765</v>
      </c>
      <c r="C299" s="559" t="str">
        <f t="shared" si="37"/>
        <v>1.20.30.10.015.000.00.000</v>
      </c>
      <c r="D299" s="599" t="str">
        <f t="shared" si="38"/>
        <v/>
      </c>
      <c r="E299" s="593"/>
      <c r="F299" s="593"/>
      <c r="G299" s="593"/>
      <c r="H299" s="601">
        <f t="shared" si="39"/>
        <v>0</v>
      </c>
      <c r="I299" s="593"/>
      <c r="J299" s="593"/>
      <c r="K299" s="593"/>
      <c r="L299" s="593"/>
      <c r="M299" s="593"/>
      <c r="N299" s="601">
        <f t="shared" si="40"/>
        <v>0</v>
      </c>
    </row>
    <row r="300" spans="1:14" x14ac:dyDescent="0.25">
      <c r="A300" s="551" t="str">
        <f>+Info!$B$2</f>
        <v>724</v>
      </c>
      <c r="B300" s="559" t="s">
        <v>1765</v>
      </c>
      <c r="C300" s="559" t="str">
        <f t="shared" si="37"/>
        <v>1.20.30.10.015.000.00.000</v>
      </c>
      <c r="D300" s="599" t="str">
        <f t="shared" si="38"/>
        <v/>
      </c>
      <c r="E300" s="593"/>
      <c r="F300" s="593"/>
      <c r="G300" s="593"/>
      <c r="H300" s="601">
        <f t="shared" si="39"/>
        <v>0</v>
      </c>
      <c r="I300" s="593"/>
      <c r="J300" s="593"/>
      <c r="K300" s="593"/>
      <c r="L300" s="593"/>
      <c r="M300" s="593"/>
      <c r="N300" s="601">
        <f t="shared" si="40"/>
        <v>0</v>
      </c>
    </row>
    <row r="301" spans="1:14" x14ac:dyDescent="0.25">
      <c r="A301" s="551" t="str">
        <f>+Info!$B$2</f>
        <v>724</v>
      </c>
      <c r="B301" s="559" t="s">
        <v>1765</v>
      </c>
      <c r="C301" s="559" t="str">
        <f t="shared" si="37"/>
        <v>1.20.30.10.015.000.00.000</v>
      </c>
      <c r="D301" s="599" t="str">
        <f t="shared" si="38"/>
        <v/>
      </c>
      <c r="E301" s="593"/>
      <c r="F301" s="593"/>
      <c r="G301" s="593"/>
      <c r="H301" s="601">
        <f t="shared" si="39"/>
        <v>0</v>
      </c>
      <c r="I301" s="593"/>
      <c r="J301" s="593"/>
      <c r="K301" s="593"/>
      <c r="L301" s="593"/>
      <c r="M301" s="593"/>
      <c r="N301" s="601">
        <f t="shared" si="40"/>
        <v>0</v>
      </c>
    </row>
    <row r="302" spans="1:14" x14ac:dyDescent="0.25">
      <c r="A302" s="551" t="str">
        <f>+Info!$B$2</f>
        <v>724</v>
      </c>
      <c r="B302" s="591" t="s">
        <v>1767</v>
      </c>
      <c r="C302" s="591" t="s">
        <v>1768</v>
      </c>
      <c r="D302" s="594" t="s">
        <v>4268</v>
      </c>
      <c r="E302" s="598">
        <f t="shared" ref="E302:N302" si="41">SUM(E303:E314)</f>
        <v>0</v>
      </c>
      <c r="F302" s="598">
        <f t="shared" si="41"/>
        <v>0</v>
      </c>
      <c r="G302" s="598">
        <f t="shared" si="41"/>
        <v>0</v>
      </c>
      <c r="H302" s="598">
        <f t="shared" si="41"/>
        <v>0</v>
      </c>
      <c r="I302" s="598">
        <f t="shared" si="41"/>
        <v>0</v>
      </c>
      <c r="J302" s="598">
        <f t="shared" si="41"/>
        <v>0</v>
      </c>
      <c r="K302" s="598">
        <f t="shared" si="41"/>
        <v>0</v>
      </c>
      <c r="L302" s="598">
        <f t="shared" si="41"/>
        <v>0</v>
      </c>
      <c r="M302" s="598">
        <f t="shared" si="41"/>
        <v>0</v>
      </c>
      <c r="N302" s="598">
        <f t="shared" si="41"/>
        <v>0</v>
      </c>
    </row>
    <row r="303" spans="1:14" x14ac:dyDescent="0.25">
      <c r="A303" s="551" t="str">
        <f>+Info!$B$2</f>
        <v>724</v>
      </c>
      <c r="B303" s="559" t="s">
        <v>1767</v>
      </c>
      <c r="C303" s="559" t="str">
        <f t="shared" ref="C303:C314" si="42">$C$258</f>
        <v>1.20.30.10.020.000.00.000</v>
      </c>
      <c r="D303" s="599" t="str">
        <f t="shared" ref="D303:D314" si="43">IF(+D259="","",D259)</f>
        <v/>
      </c>
      <c r="E303" s="593"/>
      <c r="F303" s="593"/>
      <c r="G303" s="593"/>
      <c r="H303" s="601">
        <f t="shared" ref="H303:H314" si="44">+E303+F303-G303</f>
        <v>0</v>
      </c>
      <c r="I303" s="593"/>
      <c r="J303" s="593"/>
      <c r="K303" s="593"/>
      <c r="L303" s="593"/>
      <c r="M303" s="593"/>
      <c r="N303" s="601">
        <f t="shared" ref="N303:N314" si="45">+H303+I303+J303-K303+L303-M303</f>
        <v>0</v>
      </c>
    </row>
    <row r="304" spans="1:14" x14ac:dyDescent="0.25">
      <c r="A304" s="551" t="str">
        <f>+Info!$B$2</f>
        <v>724</v>
      </c>
      <c r="B304" s="559" t="s">
        <v>1767</v>
      </c>
      <c r="C304" s="559" t="str">
        <f t="shared" si="42"/>
        <v>1.20.30.10.020.000.00.000</v>
      </c>
      <c r="D304" s="599" t="str">
        <f t="shared" si="43"/>
        <v/>
      </c>
      <c r="E304" s="593"/>
      <c r="F304" s="593"/>
      <c r="G304" s="593"/>
      <c r="H304" s="601">
        <f t="shared" si="44"/>
        <v>0</v>
      </c>
      <c r="I304" s="593"/>
      <c r="J304" s="593"/>
      <c r="K304" s="593"/>
      <c r="L304" s="593"/>
      <c r="M304" s="593"/>
      <c r="N304" s="601">
        <f t="shared" si="45"/>
        <v>0</v>
      </c>
    </row>
    <row r="305" spans="1:14" x14ac:dyDescent="0.25">
      <c r="A305" s="551" t="str">
        <f>+Info!$B$2</f>
        <v>724</v>
      </c>
      <c r="B305" s="559" t="s">
        <v>1767</v>
      </c>
      <c r="C305" s="559" t="str">
        <f t="shared" si="42"/>
        <v>1.20.30.10.020.000.00.000</v>
      </c>
      <c r="D305" s="599" t="str">
        <f t="shared" si="43"/>
        <v/>
      </c>
      <c r="E305" s="593"/>
      <c r="F305" s="593"/>
      <c r="G305" s="593"/>
      <c r="H305" s="601">
        <f t="shared" si="44"/>
        <v>0</v>
      </c>
      <c r="I305" s="593"/>
      <c r="J305" s="593"/>
      <c r="K305" s="593"/>
      <c r="L305" s="593"/>
      <c r="M305" s="593"/>
      <c r="N305" s="601">
        <f t="shared" si="45"/>
        <v>0</v>
      </c>
    </row>
    <row r="306" spans="1:14" x14ac:dyDescent="0.25">
      <c r="A306" s="551" t="str">
        <f>+Info!$B$2</f>
        <v>724</v>
      </c>
      <c r="B306" s="559" t="s">
        <v>1767</v>
      </c>
      <c r="C306" s="559" t="str">
        <f t="shared" si="42"/>
        <v>1.20.30.10.020.000.00.000</v>
      </c>
      <c r="D306" s="599" t="str">
        <f t="shared" si="43"/>
        <v/>
      </c>
      <c r="E306" s="593"/>
      <c r="F306" s="593"/>
      <c r="G306" s="593"/>
      <c r="H306" s="601">
        <f t="shared" si="44"/>
        <v>0</v>
      </c>
      <c r="I306" s="593"/>
      <c r="J306" s="593"/>
      <c r="K306" s="593"/>
      <c r="L306" s="593"/>
      <c r="M306" s="593"/>
      <c r="N306" s="601">
        <f t="shared" si="45"/>
        <v>0</v>
      </c>
    </row>
    <row r="307" spans="1:14" x14ac:dyDescent="0.25">
      <c r="A307" s="551" t="str">
        <f>+Info!$B$2</f>
        <v>724</v>
      </c>
      <c r="B307" s="559" t="s">
        <v>1767</v>
      </c>
      <c r="C307" s="559" t="str">
        <f t="shared" si="42"/>
        <v>1.20.30.10.020.000.00.000</v>
      </c>
      <c r="D307" s="599" t="str">
        <f t="shared" si="43"/>
        <v/>
      </c>
      <c r="E307" s="593"/>
      <c r="F307" s="593"/>
      <c r="G307" s="593"/>
      <c r="H307" s="601">
        <f t="shared" si="44"/>
        <v>0</v>
      </c>
      <c r="I307" s="593"/>
      <c r="J307" s="593"/>
      <c r="K307" s="593"/>
      <c r="L307" s="593"/>
      <c r="M307" s="593"/>
      <c r="N307" s="601">
        <f t="shared" si="45"/>
        <v>0</v>
      </c>
    </row>
    <row r="308" spans="1:14" x14ac:dyDescent="0.25">
      <c r="A308" s="551" t="str">
        <f>+Info!$B$2</f>
        <v>724</v>
      </c>
      <c r="B308" s="559" t="s">
        <v>1767</v>
      </c>
      <c r="C308" s="559" t="str">
        <f t="shared" si="42"/>
        <v>1.20.30.10.020.000.00.000</v>
      </c>
      <c r="D308" s="599" t="str">
        <f t="shared" si="43"/>
        <v/>
      </c>
      <c r="E308" s="593"/>
      <c r="F308" s="593"/>
      <c r="G308" s="593"/>
      <c r="H308" s="601">
        <f t="shared" si="44"/>
        <v>0</v>
      </c>
      <c r="I308" s="593"/>
      <c r="J308" s="593"/>
      <c r="K308" s="593"/>
      <c r="L308" s="593"/>
      <c r="M308" s="593"/>
      <c r="N308" s="601">
        <f t="shared" si="45"/>
        <v>0</v>
      </c>
    </row>
    <row r="309" spans="1:14" x14ac:dyDescent="0.25">
      <c r="A309" s="551" t="str">
        <f>+Info!$B$2</f>
        <v>724</v>
      </c>
      <c r="B309" s="559" t="s">
        <v>1767</v>
      </c>
      <c r="C309" s="559" t="str">
        <f t="shared" si="42"/>
        <v>1.20.30.10.020.000.00.000</v>
      </c>
      <c r="D309" s="599" t="str">
        <f t="shared" si="43"/>
        <v/>
      </c>
      <c r="E309" s="593"/>
      <c r="F309" s="593"/>
      <c r="G309" s="593"/>
      <c r="H309" s="601">
        <f t="shared" si="44"/>
        <v>0</v>
      </c>
      <c r="I309" s="593"/>
      <c r="J309" s="593"/>
      <c r="K309" s="593"/>
      <c r="L309" s="593"/>
      <c r="M309" s="593"/>
      <c r="N309" s="601">
        <f t="shared" si="45"/>
        <v>0</v>
      </c>
    </row>
    <row r="310" spans="1:14" x14ac:dyDescent="0.25">
      <c r="A310" s="551" t="str">
        <f>+Info!$B$2</f>
        <v>724</v>
      </c>
      <c r="B310" s="559" t="s">
        <v>1767</v>
      </c>
      <c r="C310" s="559" t="str">
        <f t="shared" si="42"/>
        <v>1.20.30.10.020.000.00.000</v>
      </c>
      <c r="D310" s="599" t="str">
        <f t="shared" si="43"/>
        <v/>
      </c>
      <c r="E310" s="593"/>
      <c r="F310" s="593"/>
      <c r="G310" s="593"/>
      <c r="H310" s="601">
        <f t="shared" si="44"/>
        <v>0</v>
      </c>
      <c r="I310" s="593"/>
      <c r="J310" s="593"/>
      <c r="K310" s="593"/>
      <c r="L310" s="593"/>
      <c r="M310" s="593"/>
      <c r="N310" s="601">
        <f t="shared" si="45"/>
        <v>0</v>
      </c>
    </row>
    <row r="311" spans="1:14" x14ac:dyDescent="0.25">
      <c r="A311" s="551" t="str">
        <f>+Info!$B$2</f>
        <v>724</v>
      </c>
      <c r="B311" s="559" t="s">
        <v>1767</v>
      </c>
      <c r="C311" s="559" t="str">
        <f t="shared" si="42"/>
        <v>1.20.30.10.020.000.00.000</v>
      </c>
      <c r="D311" s="599" t="str">
        <f t="shared" si="43"/>
        <v/>
      </c>
      <c r="E311" s="593"/>
      <c r="F311" s="593"/>
      <c r="G311" s="593"/>
      <c r="H311" s="601">
        <f t="shared" si="44"/>
        <v>0</v>
      </c>
      <c r="I311" s="593"/>
      <c r="J311" s="593"/>
      <c r="K311" s="593"/>
      <c r="L311" s="593"/>
      <c r="M311" s="593"/>
      <c r="N311" s="601">
        <f t="shared" si="45"/>
        <v>0</v>
      </c>
    </row>
    <row r="312" spans="1:14" x14ac:dyDescent="0.25">
      <c r="A312" s="551" t="str">
        <f>+Info!$B$2</f>
        <v>724</v>
      </c>
      <c r="B312" s="559" t="s">
        <v>1767</v>
      </c>
      <c r="C312" s="559" t="str">
        <f t="shared" si="42"/>
        <v>1.20.30.10.020.000.00.000</v>
      </c>
      <c r="D312" s="599" t="str">
        <f t="shared" si="43"/>
        <v/>
      </c>
      <c r="E312" s="593"/>
      <c r="F312" s="593"/>
      <c r="G312" s="593"/>
      <c r="H312" s="601">
        <f t="shared" si="44"/>
        <v>0</v>
      </c>
      <c r="I312" s="593"/>
      <c r="J312" s="593"/>
      <c r="K312" s="593"/>
      <c r="L312" s="593"/>
      <c r="M312" s="593"/>
      <c r="N312" s="601">
        <f t="shared" si="45"/>
        <v>0</v>
      </c>
    </row>
    <row r="313" spans="1:14" x14ac:dyDescent="0.25">
      <c r="A313" s="551" t="str">
        <f>+Info!$B$2</f>
        <v>724</v>
      </c>
      <c r="B313" s="559" t="s">
        <v>1767</v>
      </c>
      <c r="C313" s="559" t="str">
        <f t="shared" si="42"/>
        <v>1.20.30.10.020.000.00.000</v>
      </c>
      <c r="D313" s="599" t="str">
        <f t="shared" si="43"/>
        <v/>
      </c>
      <c r="E313" s="593"/>
      <c r="F313" s="593"/>
      <c r="G313" s="593"/>
      <c r="H313" s="601">
        <f t="shared" si="44"/>
        <v>0</v>
      </c>
      <c r="I313" s="593"/>
      <c r="J313" s="593"/>
      <c r="K313" s="593"/>
      <c r="L313" s="593"/>
      <c r="M313" s="593"/>
      <c r="N313" s="601">
        <f t="shared" si="45"/>
        <v>0</v>
      </c>
    </row>
    <row r="314" spans="1:14" x14ac:dyDescent="0.25">
      <c r="A314" s="551" t="str">
        <f>+Info!$B$2</f>
        <v>724</v>
      </c>
      <c r="B314" s="559" t="s">
        <v>1767</v>
      </c>
      <c r="C314" s="559" t="str">
        <f t="shared" si="42"/>
        <v>1.20.30.10.020.000.00.000</v>
      </c>
      <c r="D314" s="599" t="str">
        <f t="shared" si="43"/>
        <v/>
      </c>
      <c r="E314" s="593"/>
      <c r="F314" s="593"/>
      <c r="G314" s="593"/>
      <c r="H314" s="601">
        <f t="shared" si="44"/>
        <v>0</v>
      </c>
      <c r="I314" s="593"/>
      <c r="J314" s="593"/>
      <c r="K314" s="593"/>
      <c r="L314" s="593"/>
      <c r="M314" s="593"/>
      <c r="N314" s="601">
        <f t="shared" si="45"/>
        <v>0</v>
      </c>
    </row>
    <row r="315" spans="1:14" x14ac:dyDescent="0.25">
      <c r="A315" s="551" t="str">
        <f>+Info!$B$2</f>
        <v>724</v>
      </c>
      <c r="B315" s="559" t="e">
        <f t="shared" ref="B315:B325" si="46">NA()</f>
        <v>#N/A</v>
      </c>
    </row>
    <row r="316" spans="1:14" hidden="1" x14ac:dyDescent="0.25">
      <c r="A316" s="551" t="str">
        <f>+Info!$B$2</f>
        <v>724</v>
      </c>
      <c r="B316" s="559" t="e">
        <f t="shared" si="46"/>
        <v>#N/A</v>
      </c>
    </row>
    <row r="317" spans="1:14" hidden="1" x14ac:dyDescent="0.25">
      <c r="A317" s="551" t="str">
        <f>+Info!$B$2</f>
        <v>724</v>
      </c>
      <c r="B317" s="559" t="e">
        <f t="shared" si="46"/>
        <v>#N/A</v>
      </c>
    </row>
    <row r="318" spans="1:14" hidden="1" x14ac:dyDescent="0.25">
      <c r="A318" s="551" t="str">
        <f>+Info!$B$2</f>
        <v>724</v>
      </c>
      <c r="B318" s="559" t="e">
        <f t="shared" si="46"/>
        <v>#N/A</v>
      </c>
    </row>
    <row r="319" spans="1:14" hidden="1" x14ac:dyDescent="0.25">
      <c r="A319" s="551" t="str">
        <f>+Info!$B$2</f>
        <v>724</v>
      </c>
      <c r="B319" s="559" t="e">
        <f t="shared" si="46"/>
        <v>#N/A</v>
      </c>
    </row>
    <row r="320" spans="1:14" hidden="1" x14ac:dyDescent="0.25">
      <c r="A320" s="551" t="str">
        <f>+Info!$B$2</f>
        <v>724</v>
      </c>
      <c r="B320" s="559" t="e">
        <f t="shared" si="46"/>
        <v>#N/A</v>
      </c>
    </row>
    <row r="321" spans="1:14" hidden="1" x14ac:dyDescent="0.25">
      <c r="A321" s="551" t="str">
        <f>+Info!$B$2</f>
        <v>724</v>
      </c>
      <c r="B321" s="559" t="e">
        <f t="shared" si="46"/>
        <v>#N/A</v>
      </c>
    </row>
    <row r="322" spans="1:14" hidden="1" x14ac:dyDescent="0.25">
      <c r="A322" s="551" t="str">
        <f>+Info!$B$2</f>
        <v>724</v>
      </c>
      <c r="B322" s="559" t="e">
        <f t="shared" si="46"/>
        <v>#N/A</v>
      </c>
    </row>
    <row r="323" spans="1:14" hidden="1" x14ac:dyDescent="0.25">
      <c r="A323" s="551" t="str">
        <f>+Info!$B$2</f>
        <v>724</v>
      </c>
      <c r="B323" s="559" t="e">
        <f t="shared" si="46"/>
        <v>#N/A</v>
      </c>
    </row>
    <row r="324" spans="1:14" x14ac:dyDescent="0.25">
      <c r="A324" s="551" t="str">
        <f>+Info!$B$2</f>
        <v>724</v>
      </c>
      <c r="B324" s="559" t="e">
        <f t="shared" si="46"/>
        <v>#N/A</v>
      </c>
    </row>
    <row r="325" spans="1:14" ht="36" x14ac:dyDescent="0.25">
      <c r="A325" s="551" t="str">
        <f>+Info!$B$2</f>
        <v>724</v>
      </c>
      <c r="B325" s="559" t="e">
        <f t="shared" si="46"/>
        <v>#N/A</v>
      </c>
      <c r="C325" s="603" t="s">
        <v>4277</v>
      </c>
      <c r="D325" s="590" t="s">
        <v>4278</v>
      </c>
      <c r="E325" s="590" t="s">
        <v>4279</v>
      </c>
      <c r="F325" s="590" t="s">
        <v>4280</v>
      </c>
      <c r="G325" s="590" t="s">
        <v>4281</v>
      </c>
      <c r="H325" s="590" t="s">
        <v>4282</v>
      </c>
      <c r="I325" s="590" t="s">
        <v>4283</v>
      </c>
      <c r="J325" s="590" t="s">
        <v>4284</v>
      </c>
      <c r="K325" s="590" t="s">
        <v>3883</v>
      </c>
      <c r="L325" s="557"/>
      <c r="M325" s="557"/>
      <c r="N325" s="557"/>
    </row>
    <row r="326" spans="1:14" x14ac:dyDescent="0.25">
      <c r="A326" s="551" t="str">
        <f>+Info!$B$2</f>
        <v>724</v>
      </c>
      <c r="B326" s="559" t="s">
        <v>1399</v>
      </c>
      <c r="C326" s="604" t="str">
        <f t="shared" ref="C326:C347" si="47">$C$348</f>
        <v>1.20.20.10.045.000.00.000</v>
      </c>
      <c r="D326" s="605" t="s">
        <v>4285</v>
      </c>
      <c r="E326" s="606" t="str">
        <f>"Ante "&amp;Info!$B$3</f>
        <v>Ante 2020</v>
      </c>
      <c r="F326" s="607"/>
      <c r="G326" s="607"/>
      <c r="H326" s="608"/>
      <c r="I326" s="607"/>
      <c r="J326" s="608"/>
      <c r="K326" s="609">
        <f>+H326+J326</f>
        <v>0</v>
      </c>
      <c r="L326" s="557"/>
      <c r="M326" s="557"/>
      <c r="N326" s="557"/>
    </row>
    <row r="327" spans="1:14" x14ac:dyDescent="0.25">
      <c r="A327" s="551" t="str">
        <f>+Info!$B$2</f>
        <v>724</v>
      </c>
      <c r="B327" s="559" t="s">
        <v>1399</v>
      </c>
      <c r="C327" s="604" t="str">
        <f t="shared" si="47"/>
        <v>1.20.20.10.045.000.00.000</v>
      </c>
      <c r="D327" s="566"/>
      <c r="E327" s="564" t="str">
        <f>+Info!$B$3</f>
        <v>2020</v>
      </c>
      <c r="F327" s="607"/>
      <c r="G327" s="607"/>
      <c r="H327" s="607"/>
      <c r="I327" s="610"/>
      <c r="J327" s="610"/>
      <c r="K327" s="609">
        <f t="shared" ref="K327:K347" si="48">+I327+J327</f>
        <v>0</v>
      </c>
      <c r="L327" s="557"/>
      <c r="M327" s="557"/>
      <c r="N327" s="557"/>
    </row>
    <row r="328" spans="1:14" x14ac:dyDescent="0.25">
      <c r="A328" s="551" t="str">
        <f>+Info!$B$2</f>
        <v>724</v>
      </c>
      <c r="B328" s="559" t="s">
        <v>1399</v>
      </c>
      <c r="C328" s="604" t="str">
        <f t="shared" si="47"/>
        <v>1.20.20.10.045.000.00.000</v>
      </c>
      <c r="D328" s="566"/>
      <c r="E328" s="564" t="str">
        <f>+Info!$B$3</f>
        <v>2020</v>
      </c>
      <c r="F328" s="607"/>
      <c r="G328" s="607"/>
      <c r="H328" s="607"/>
      <c r="I328" s="610"/>
      <c r="J328" s="610"/>
      <c r="K328" s="609">
        <f t="shared" si="48"/>
        <v>0</v>
      </c>
      <c r="L328" s="557"/>
      <c r="M328" s="557"/>
      <c r="N328" s="557"/>
    </row>
    <row r="329" spans="1:14" x14ac:dyDescent="0.25">
      <c r="A329" s="551" t="str">
        <f>+Info!$B$2</f>
        <v>724</v>
      </c>
      <c r="B329" s="559" t="s">
        <v>1399</v>
      </c>
      <c r="C329" s="604" t="str">
        <f t="shared" si="47"/>
        <v>1.20.20.10.045.000.00.000</v>
      </c>
      <c r="D329" s="566"/>
      <c r="E329" s="564" t="str">
        <f>+Info!$B$3</f>
        <v>2020</v>
      </c>
      <c r="F329" s="607"/>
      <c r="G329" s="607"/>
      <c r="H329" s="607"/>
      <c r="I329" s="610"/>
      <c r="J329" s="610"/>
      <c r="K329" s="609">
        <f t="shared" si="48"/>
        <v>0</v>
      </c>
      <c r="L329" s="557"/>
      <c r="M329" s="557"/>
      <c r="N329" s="557"/>
    </row>
    <row r="330" spans="1:14" x14ac:dyDescent="0.25">
      <c r="A330" s="551" t="str">
        <f>+Info!$B$2</f>
        <v>724</v>
      </c>
      <c r="B330" s="559" t="s">
        <v>1399</v>
      </c>
      <c r="C330" s="604" t="str">
        <f t="shared" si="47"/>
        <v>1.20.20.10.045.000.00.000</v>
      </c>
      <c r="D330" s="566"/>
      <c r="E330" s="564" t="str">
        <f>+Info!$B$3</f>
        <v>2020</v>
      </c>
      <c r="F330" s="607"/>
      <c r="G330" s="607"/>
      <c r="H330" s="607"/>
      <c r="I330" s="610"/>
      <c r="J330" s="610"/>
      <c r="K330" s="609">
        <f t="shared" si="48"/>
        <v>0</v>
      </c>
      <c r="L330" s="557"/>
      <c r="M330" s="557"/>
      <c r="N330" s="557"/>
    </row>
    <row r="331" spans="1:14" x14ac:dyDescent="0.25">
      <c r="A331" s="551" t="str">
        <f>+Info!$B$2</f>
        <v>724</v>
      </c>
      <c r="B331" s="559" t="s">
        <v>1399</v>
      </c>
      <c r="C331" s="604" t="str">
        <f t="shared" si="47"/>
        <v>1.20.20.10.045.000.00.000</v>
      </c>
      <c r="D331" s="566"/>
      <c r="E331" s="564" t="str">
        <f>+Info!$B$3</f>
        <v>2020</v>
      </c>
      <c r="F331" s="607"/>
      <c r="G331" s="607"/>
      <c r="H331" s="607"/>
      <c r="I331" s="610"/>
      <c r="J331" s="610"/>
      <c r="K331" s="609">
        <f t="shared" si="48"/>
        <v>0</v>
      </c>
      <c r="L331" s="557"/>
      <c r="M331" s="557"/>
      <c r="N331" s="557"/>
    </row>
    <row r="332" spans="1:14" x14ac:dyDescent="0.25">
      <c r="A332" s="551" t="str">
        <f>+Info!$B$2</f>
        <v>724</v>
      </c>
      <c r="B332" s="559" t="s">
        <v>1399</v>
      </c>
      <c r="C332" s="604" t="str">
        <f t="shared" si="47"/>
        <v>1.20.20.10.045.000.00.000</v>
      </c>
      <c r="D332" s="566"/>
      <c r="E332" s="564" t="str">
        <f>+Info!$B$3</f>
        <v>2020</v>
      </c>
      <c r="F332" s="607"/>
      <c r="G332" s="607"/>
      <c r="H332" s="607"/>
      <c r="I332" s="610"/>
      <c r="J332" s="610"/>
      <c r="K332" s="609">
        <f t="shared" si="48"/>
        <v>0</v>
      </c>
      <c r="L332" s="557"/>
      <c r="M332" s="557"/>
      <c r="N332" s="557"/>
    </row>
    <row r="333" spans="1:14" x14ac:dyDescent="0.25">
      <c r="A333" s="551" t="str">
        <f>+Info!$B$2</f>
        <v>724</v>
      </c>
      <c r="B333" s="559" t="s">
        <v>1399</v>
      </c>
      <c r="C333" s="604" t="str">
        <f t="shared" si="47"/>
        <v>1.20.20.10.045.000.00.000</v>
      </c>
      <c r="D333" s="566"/>
      <c r="E333" s="564" t="str">
        <f>+Info!$B$3</f>
        <v>2020</v>
      </c>
      <c r="F333" s="607"/>
      <c r="G333" s="607"/>
      <c r="H333" s="607"/>
      <c r="I333" s="610"/>
      <c r="J333" s="610"/>
      <c r="K333" s="609">
        <f t="shared" si="48"/>
        <v>0</v>
      </c>
      <c r="L333" s="557"/>
      <c r="M333" s="557"/>
      <c r="N333" s="557"/>
    </row>
    <row r="334" spans="1:14" x14ac:dyDescent="0.25">
      <c r="A334" s="551" t="str">
        <f>+Info!$B$2</f>
        <v>724</v>
      </c>
      <c r="B334" s="559" t="s">
        <v>1399</v>
      </c>
      <c r="C334" s="604" t="str">
        <f t="shared" si="47"/>
        <v>1.20.20.10.045.000.00.000</v>
      </c>
      <c r="D334" s="566"/>
      <c r="E334" s="564" t="str">
        <f>+Info!$B$3</f>
        <v>2020</v>
      </c>
      <c r="F334" s="607"/>
      <c r="G334" s="607"/>
      <c r="H334" s="607"/>
      <c r="I334" s="610"/>
      <c r="J334" s="610"/>
      <c r="K334" s="609">
        <f t="shared" si="48"/>
        <v>0</v>
      </c>
      <c r="L334" s="557"/>
      <c r="M334" s="557"/>
      <c r="N334" s="557"/>
    </row>
    <row r="335" spans="1:14" x14ac:dyDescent="0.25">
      <c r="A335" s="551" t="str">
        <f>+Info!$B$2</f>
        <v>724</v>
      </c>
      <c r="B335" s="559" t="s">
        <v>1399</v>
      </c>
      <c r="C335" s="604" t="str">
        <f t="shared" si="47"/>
        <v>1.20.20.10.045.000.00.000</v>
      </c>
      <c r="D335" s="566"/>
      <c r="E335" s="564" t="str">
        <f>+Info!$B$3</f>
        <v>2020</v>
      </c>
      <c r="F335" s="607"/>
      <c r="G335" s="607"/>
      <c r="H335" s="607"/>
      <c r="I335" s="610"/>
      <c r="J335" s="610"/>
      <c r="K335" s="609">
        <f t="shared" si="48"/>
        <v>0</v>
      </c>
      <c r="L335" s="557"/>
      <c r="M335" s="557"/>
      <c r="N335" s="557"/>
    </row>
    <row r="336" spans="1:14" x14ac:dyDescent="0.25">
      <c r="A336" s="551" t="str">
        <f>+Info!$B$2</f>
        <v>724</v>
      </c>
      <c r="B336" s="559" t="s">
        <v>1399</v>
      </c>
      <c r="C336" s="604" t="str">
        <f t="shared" si="47"/>
        <v>1.20.20.10.045.000.00.000</v>
      </c>
      <c r="D336" s="566"/>
      <c r="E336" s="564" t="str">
        <f>+Info!$B$3</f>
        <v>2020</v>
      </c>
      <c r="F336" s="607"/>
      <c r="G336" s="607"/>
      <c r="H336" s="607"/>
      <c r="I336" s="610"/>
      <c r="J336" s="610"/>
      <c r="K336" s="609">
        <f t="shared" si="48"/>
        <v>0</v>
      </c>
      <c r="L336" s="557"/>
      <c r="M336" s="557"/>
      <c r="N336" s="557"/>
    </row>
    <row r="337" spans="1:32" x14ac:dyDescent="0.25">
      <c r="A337" s="551" t="str">
        <f>+Info!$B$2</f>
        <v>724</v>
      </c>
      <c r="B337" s="559" t="s">
        <v>1399</v>
      </c>
      <c r="C337" s="604" t="str">
        <f t="shared" si="47"/>
        <v>1.20.20.10.045.000.00.000</v>
      </c>
      <c r="D337" s="566"/>
      <c r="E337" s="564" t="str">
        <f>+Info!$B$3</f>
        <v>2020</v>
      </c>
      <c r="F337" s="607"/>
      <c r="G337" s="607"/>
      <c r="H337" s="607"/>
      <c r="I337" s="610"/>
      <c r="J337" s="610"/>
      <c r="K337" s="609">
        <f t="shared" si="48"/>
        <v>0</v>
      </c>
      <c r="L337" s="557"/>
      <c r="M337" s="557"/>
      <c r="N337" s="557"/>
    </row>
    <row r="338" spans="1:32" x14ac:dyDescent="0.25">
      <c r="A338" s="551" t="str">
        <f>+Info!$B$2</f>
        <v>724</v>
      </c>
      <c r="B338" s="559" t="s">
        <v>1399</v>
      </c>
      <c r="C338" s="604" t="str">
        <f t="shared" si="47"/>
        <v>1.20.20.10.045.000.00.000</v>
      </c>
      <c r="D338" s="566"/>
      <c r="E338" s="564" t="str">
        <f>+Info!$B$3</f>
        <v>2020</v>
      </c>
      <c r="F338" s="607"/>
      <c r="G338" s="607"/>
      <c r="H338" s="607"/>
      <c r="I338" s="610"/>
      <c r="J338" s="610"/>
      <c r="K338" s="609">
        <f t="shared" si="48"/>
        <v>0</v>
      </c>
      <c r="L338" s="557"/>
      <c r="M338" s="557"/>
      <c r="N338" s="557"/>
    </row>
    <row r="339" spans="1:32" x14ac:dyDescent="0.25">
      <c r="A339" s="551" t="str">
        <f>+Info!$B$2</f>
        <v>724</v>
      </c>
      <c r="B339" s="559" t="s">
        <v>1399</v>
      </c>
      <c r="C339" s="604" t="str">
        <f t="shared" si="47"/>
        <v>1.20.20.10.045.000.00.000</v>
      </c>
      <c r="D339" s="566"/>
      <c r="E339" s="564" t="str">
        <f>+Info!$B$3</f>
        <v>2020</v>
      </c>
      <c r="F339" s="607"/>
      <c r="G339" s="607"/>
      <c r="H339" s="607"/>
      <c r="I339" s="610"/>
      <c r="J339" s="610"/>
      <c r="K339" s="609">
        <f t="shared" si="48"/>
        <v>0</v>
      </c>
      <c r="L339" s="557"/>
      <c r="M339" s="557"/>
      <c r="N339" s="557"/>
    </row>
    <row r="340" spans="1:32" x14ac:dyDescent="0.25">
      <c r="A340" s="551" t="str">
        <f>+Info!$B$2</f>
        <v>724</v>
      </c>
      <c r="B340" s="559" t="s">
        <v>1399</v>
      </c>
      <c r="C340" s="604" t="str">
        <f t="shared" si="47"/>
        <v>1.20.20.10.045.000.00.000</v>
      </c>
      <c r="D340" s="566"/>
      <c r="E340" s="564" t="str">
        <f>+Info!$B$3</f>
        <v>2020</v>
      </c>
      <c r="F340" s="607"/>
      <c r="G340" s="607"/>
      <c r="H340" s="607"/>
      <c r="I340" s="610"/>
      <c r="J340" s="610"/>
      <c r="K340" s="609">
        <f t="shared" si="48"/>
        <v>0</v>
      </c>
      <c r="L340" s="557"/>
      <c r="M340" s="557"/>
      <c r="N340" s="557"/>
    </row>
    <row r="341" spans="1:32" x14ac:dyDescent="0.25">
      <c r="A341" s="551" t="str">
        <f>+Info!$B$2</f>
        <v>724</v>
      </c>
      <c r="B341" s="559" t="s">
        <v>1399</v>
      </c>
      <c r="C341" s="604" t="str">
        <f t="shared" si="47"/>
        <v>1.20.20.10.045.000.00.000</v>
      </c>
      <c r="D341" s="566"/>
      <c r="E341" s="564" t="str">
        <f>+Info!$B$3</f>
        <v>2020</v>
      </c>
      <c r="F341" s="607"/>
      <c r="G341" s="607"/>
      <c r="H341" s="607"/>
      <c r="I341" s="610"/>
      <c r="J341" s="610"/>
      <c r="K341" s="609">
        <f t="shared" si="48"/>
        <v>0</v>
      </c>
      <c r="L341" s="557"/>
      <c r="M341" s="557"/>
      <c r="N341" s="557"/>
    </row>
    <row r="342" spans="1:32" x14ac:dyDescent="0.25">
      <c r="A342" s="551" t="str">
        <f>+Info!$B$2</f>
        <v>724</v>
      </c>
      <c r="B342" s="559" t="s">
        <v>1399</v>
      </c>
      <c r="C342" s="604" t="str">
        <f t="shared" si="47"/>
        <v>1.20.20.10.045.000.00.000</v>
      </c>
      <c r="D342" s="566"/>
      <c r="E342" s="564" t="str">
        <f>+Info!$B$3</f>
        <v>2020</v>
      </c>
      <c r="F342" s="607"/>
      <c r="G342" s="607"/>
      <c r="H342" s="607"/>
      <c r="I342" s="610"/>
      <c r="J342" s="610"/>
      <c r="K342" s="609">
        <f t="shared" si="48"/>
        <v>0</v>
      </c>
      <c r="L342" s="557"/>
      <c r="M342" s="557"/>
      <c r="N342" s="557"/>
    </row>
    <row r="343" spans="1:32" x14ac:dyDescent="0.25">
      <c r="A343" s="551" t="str">
        <f>+Info!$B$2</f>
        <v>724</v>
      </c>
      <c r="B343" s="559" t="s">
        <v>1399</v>
      </c>
      <c r="C343" s="604" t="str">
        <f t="shared" si="47"/>
        <v>1.20.20.10.045.000.00.000</v>
      </c>
      <c r="D343" s="566"/>
      <c r="E343" s="564" t="str">
        <f>+Info!$B$3</f>
        <v>2020</v>
      </c>
      <c r="F343" s="607"/>
      <c r="G343" s="607"/>
      <c r="H343" s="607"/>
      <c r="I343" s="610"/>
      <c r="J343" s="610"/>
      <c r="K343" s="609">
        <f t="shared" si="48"/>
        <v>0</v>
      </c>
      <c r="L343" s="557"/>
      <c r="M343" s="557"/>
      <c r="N343" s="557"/>
    </row>
    <row r="344" spans="1:32" x14ac:dyDescent="0.25">
      <c r="A344" s="551" t="str">
        <f>+Info!$B$2</f>
        <v>724</v>
      </c>
      <c r="B344" s="559" t="s">
        <v>1399</v>
      </c>
      <c r="C344" s="604" t="str">
        <f t="shared" si="47"/>
        <v>1.20.20.10.045.000.00.000</v>
      </c>
      <c r="D344" s="566"/>
      <c r="E344" s="564" t="str">
        <f>+Info!$B$3</f>
        <v>2020</v>
      </c>
      <c r="F344" s="607"/>
      <c r="G344" s="607"/>
      <c r="H344" s="607"/>
      <c r="I344" s="610"/>
      <c r="J344" s="610"/>
      <c r="K344" s="609">
        <f t="shared" si="48"/>
        <v>0</v>
      </c>
      <c r="L344" s="557"/>
      <c r="M344" s="557"/>
      <c r="N344" s="557"/>
    </row>
    <row r="345" spans="1:32" x14ac:dyDescent="0.25">
      <c r="A345" s="551" t="str">
        <f>+Info!$B$2</f>
        <v>724</v>
      </c>
      <c r="B345" s="559" t="s">
        <v>1399</v>
      </c>
      <c r="C345" s="604" t="str">
        <f t="shared" si="47"/>
        <v>1.20.20.10.045.000.00.000</v>
      </c>
      <c r="D345" s="566"/>
      <c r="E345" s="564" t="str">
        <f>+Info!$B$3</f>
        <v>2020</v>
      </c>
      <c r="F345" s="607"/>
      <c r="G345" s="607"/>
      <c r="H345" s="607"/>
      <c r="I345" s="610"/>
      <c r="J345" s="610"/>
      <c r="K345" s="609">
        <f t="shared" si="48"/>
        <v>0</v>
      </c>
      <c r="L345" s="557"/>
      <c r="M345" s="557"/>
      <c r="N345" s="557"/>
    </row>
    <row r="346" spans="1:32" x14ac:dyDescent="0.25">
      <c r="A346" s="551" t="str">
        <f>+Info!$B$2</f>
        <v>724</v>
      </c>
      <c r="B346" s="559" t="s">
        <v>1399</v>
      </c>
      <c r="C346" s="604" t="str">
        <f t="shared" si="47"/>
        <v>1.20.20.10.045.000.00.000</v>
      </c>
      <c r="D346" s="566"/>
      <c r="E346" s="564" t="str">
        <f>+Info!$B$3</f>
        <v>2020</v>
      </c>
      <c r="F346" s="607"/>
      <c r="G346" s="607"/>
      <c r="H346" s="607"/>
      <c r="I346" s="610"/>
      <c r="J346" s="610"/>
      <c r="K346" s="609">
        <f t="shared" si="48"/>
        <v>0</v>
      </c>
      <c r="L346" s="557"/>
      <c r="M346" s="557"/>
      <c r="N346" s="557"/>
    </row>
    <row r="347" spans="1:32" x14ac:dyDescent="0.25">
      <c r="A347" s="551" t="str">
        <f>+Info!$B$2</f>
        <v>724</v>
      </c>
      <c r="B347" s="559" t="s">
        <v>1399</v>
      </c>
      <c r="C347" s="604" t="str">
        <f t="shared" si="47"/>
        <v>1.20.20.10.045.000.00.000</v>
      </c>
      <c r="D347" s="566"/>
      <c r="E347" s="564" t="str">
        <f>+Info!$B$3</f>
        <v>2020</v>
      </c>
      <c r="F347" s="607"/>
      <c r="G347" s="607"/>
      <c r="H347" s="607"/>
      <c r="I347" s="610"/>
      <c r="J347" s="610"/>
      <c r="K347" s="609">
        <f t="shared" si="48"/>
        <v>0</v>
      </c>
      <c r="L347" s="557"/>
      <c r="M347" s="557"/>
      <c r="N347" s="557"/>
    </row>
    <row r="348" spans="1:32" x14ac:dyDescent="0.25">
      <c r="A348" s="551" t="str">
        <f>+Info!$B$2</f>
        <v>724</v>
      </c>
      <c r="B348" s="559" t="s">
        <v>1399</v>
      </c>
      <c r="C348" s="611" t="s">
        <v>1400</v>
      </c>
      <c r="D348" s="612" t="str">
        <f>IF(K348=E348,"Quadratura OK!","Squadratura con dati di bilancio!")</f>
        <v>Quadratura OK!</v>
      </c>
      <c r="E348" s="569">
        <f>SUMIF('NI-Soc_SP'!$C:$C,$C348,'NI-Soc_SP'!$Y:$Y)</f>
        <v>0</v>
      </c>
      <c r="F348" s="925" t="s">
        <v>4289</v>
      </c>
      <c r="G348" s="925"/>
      <c r="H348" s="613">
        <f>SUM(H326:H347)</f>
        <v>0</v>
      </c>
      <c r="I348" s="613">
        <f>SUM(I326:I347)</f>
        <v>0</v>
      </c>
      <c r="J348" s="613">
        <f>SUM(J326:J347)</f>
        <v>0</v>
      </c>
      <c r="K348" s="613">
        <f>SUM(K326:K347)</f>
        <v>0</v>
      </c>
      <c r="L348" s="557"/>
      <c r="M348" s="557"/>
      <c r="N348" s="557"/>
      <c r="AC348" s="551" t="str">
        <f>C348</f>
        <v>1.20.20.10.045.000.00.000</v>
      </c>
      <c r="AD348" s="553">
        <f>K348</f>
        <v>0</v>
      </c>
      <c r="AE348" s="553">
        <f>E348</f>
        <v>0</v>
      </c>
      <c r="AF348" s="551">
        <f>IF($AD348=$AE348,0,1)</f>
        <v>0</v>
      </c>
    </row>
    <row r="349" spans="1:32" ht="23.25" x14ac:dyDescent="0.25">
      <c r="A349" s="551" t="str">
        <f>+Info!$B$2</f>
        <v>724</v>
      </c>
      <c r="B349" s="559" t="s">
        <v>1531</v>
      </c>
      <c r="C349" s="614" t="str">
        <f t="shared" ref="C349:C370" si="49">$C$371</f>
        <v>1.20.20.20.020.010.00.000</v>
      </c>
      <c r="D349" s="615" t="s">
        <v>4290</v>
      </c>
      <c r="E349" s="606" t="str">
        <f>"Ante "&amp;Info!$B$3</f>
        <v>Ante 2020</v>
      </c>
      <c r="F349" s="607"/>
      <c r="G349" s="607"/>
      <c r="H349" s="608"/>
      <c r="I349" s="607"/>
      <c r="J349" s="608"/>
      <c r="K349" s="609">
        <f>+H349+J349</f>
        <v>0</v>
      </c>
      <c r="L349" s="557"/>
      <c r="M349" s="557"/>
      <c r="N349" s="557"/>
    </row>
    <row r="350" spans="1:32" x14ac:dyDescent="0.25">
      <c r="A350" s="551" t="str">
        <f>+Info!$B$2</f>
        <v>724</v>
      </c>
      <c r="B350" s="559" t="s">
        <v>1531</v>
      </c>
      <c r="C350" s="614" t="str">
        <f t="shared" si="49"/>
        <v>1.20.20.20.020.010.00.000</v>
      </c>
      <c r="D350" s="566"/>
      <c r="E350" s="564" t="str">
        <f>+Info!$B$3</f>
        <v>2020</v>
      </c>
      <c r="F350" s="607"/>
      <c r="G350" s="607"/>
      <c r="H350" s="607"/>
      <c r="I350" s="610"/>
      <c r="J350" s="610"/>
      <c r="K350" s="609">
        <f t="shared" ref="K350:K370" si="50">+I350+J350</f>
        <v>0</v>
      </c>
      <c r="L350" s="557"/>
      <c r="M350" s="557"/>
      <c r="N350" s="557"/>
    </row>
    <row r="351" spans="1:32" x14ac:dyDescent="0.25">
      <c r="A351" s="551" t="str">
        <f>+Info!$B$2</f>
        <v>724</v>
      </c>
      <c r="B351" s="559" t="s">
        <v>1531</v>
      </c>
      <c r="C351" s="614" t="str">
        <f t="shared" si="49"/>
        <v>1.20.20.20.020.010.00.000</v>
      </c>
      <c r="D351" s="566"/>
      <c r="E351" s="564" t="str">
        <f>+Info!$B$3</f>
        <v>2020</v>
      </c>
      <c r="F351" s="607"/>
      <c r="G351" s="607"/>
      <c r="H351" s="607"/>
      <c r="I351" s="610"/>
      <c r="J351" s="610"/>
      <c r="K351" s="609">
        <f t="shared" si="50"/>
        <v>0</v>
      </c>
      <c r="L351" s="557"/>
      <c r="M351" s="557"/>
      <c r="N351" s="557"/>
    </row>
    <row r="352" spans="1:32" x14ac:dyDescent="0.25">
      <c r="A352" s="551" t="str">
        <f>+Info!$B$2</f>
        <v>724</v>
      </c>
      <c r="B352" s="559" t="s">
        <v>1531</v>
      </c>
      <c r="C352" s="614" t="str">
        <f t="shared" si="49"/>
        <v>1.20.20.20.020.010.00.000</v>
      </c>
      <c r="D352" s="566"/>
      <c r="E352" s="564" t="str">
        <f>+Info!$B$3</f>
        <v>2020</v>
      </c>
      <c r="F352" s="607"/>
      <c r="G352" s="607"/>
      <c r="H352" s="607"/>
      <c r="I352" s="610"/>
      <c r="J352" s="610"/>
      <c r="K352" s="609">
        <f t="shared" si="50"/>
        <v>0</v>
      </c>
      <c r="L352" s="557"/>
      <c r="M352" s="557"/>
      <c r="N352" s="557"/>
    </row>
    <row r="353" spans="1:14" x14ac:dyDescent="0.25">
      <c r="A353" s="551" t="str">
        <f>+Info!$B$2</f>
        <v>724</v>
      </c>
      <c r="B353" s="559" t="s">
        <v>1531</v>
      </c>
      <c r="C353" s="614" t="str">
        <f t="shared" si="49"/>
        <v>1.20.20.20.020.010.00.000</v>
      </c>
      <c r="D353" s="566"/>
      <c r="E353" s="564" t="str">
        <f>+Info!$B$3</f>
        <v>2020</v>
      </c>
      <c r="F353" s="607"/>
      <c r="G353" s="607"/>
      <c r="H353" s="607"/>
      <c r="I353" s="610"/>
      <c r="J353" s="610"/>
      <c r="K353" s="609">
        <f t="shared" si="50"/>
        <v>0</v>
      </c>
      <c r="L353" s="557"/>
      <c r="M353" s="557"/>
      <c r="N353" s="557"/>
    </row>
    <row r="354" spans="1:14" x14ac:dyDescent="0.25">
      <c r="A354" s="551" t="str">
        <f>+Info!$B$2</f>
        <v>724</v>
      </c>
      <c r="B354" s="559" t="s">
        <v>1531</v>
      </c>
      <c r="C354" s="614" t="str">
        <f t="shared" si="49"/>
        <v>1.20.20.20.020.010.00.000</v>
      </c>
      <c r="D354" s="566"/>
      <c r="E354" s="564" t="str">
        <f>+Info!$B$3</f>
        <v>2020</v>
      </c>
      <c r="F354" s="607"/>
      <c r="G354" s="607"/>
      <c r="H354" s="607"/>
      <c r="I354" s="610"/>
      <c r="J354" s="610"/>
      <c r="K354" s="609">
        <f t="shared" si="50"/>
        <v>0</v>
      </c>
      <c r="L354" s="557"/>
      <c r="M354" s="557"/>
      <c r="N354" s="557"/>
    </row>
    <row r="355" spans="1:14" x14ac:dyDescent="0.25">
      <c r="A355" s="551" t="str">
        <f>+Info!$B$2</f>
        <v>724</v>
      </c>
      <c r="B355" s="559" t="s">
        <v>1531</v>
      </c>
      <c r="C355" s="614" t="str">
        <f t="shared" si="49"/>
        <v>1.20.20.20.020.010.00.000</v>
      </c>
      <c r="D355" s="566"/>
      <c r="E355" s="564" t="str">
        <f>+Info!$B$3</f>
        <v>2020</v>
      </c>
      <c r="F355" s="607"/>
      <c r="G355" s="607"/>
      <c r="H355" s="607"/>
      <c r="I355" s="610"/>
      <c r="J355" s="610"/>
      <c r="K355" s="609">
        <f t="shared" si="50"/>
        <v>0</v>
      </c>
      <c r="L355" s="557"/>
      <c r="M355" s="557"/>
      <c r="N355" s="557"/>
    </row>
    <row r="356" spans="1:14" x14ac:dyDescent="0.25">
      <c r="A356" s="551" t="str">
        <f>+Info!$B$2</f>
        <v>724</v>
      </c>
      <c r="B356" s="559" t="s">
        <v>1531</v>
      </c>
      <c r="C356" s="614" t="str">
        <f t="shared" si="49"/>
        <v>1.20.20.20.020.010.00.000</v>
      </c>
      <c r="D356" s="566"/>
      <c r="E356" s="564" t="str">
        <f>+Info!$B$3</f>
        <v>2020</v>
      </c>
      <c r="F356" s="607"/>
      <c r="G356" s="607"/>
      <c r="H356" s="607"/>
      <c r="I356" s="610"/>
      <c r="J356" s="610"/>
      <c r="K356" s="609">
        <f t="shared" si="50"/>
        <v>0</v>
      </c>
      <c r="L356" s="557"/>
      <c r="M356" s="557"/>
      <c r="N356" s="557"/>
    </row>
    <row r="357" spans="1:14" x14ac:dyDescent="0.25">
      <c r="A357" s="551" t="str">
        <f>+Info!$B$2</f>
        <v>724</v>
      </c>
      <c r="B357" s="559" t="s">
        <v>1531</v>
      </c>
      <c r="C357" s="614" t="str">
        <f t="shared" si="49"/>
        <v>1.20.20.20.020.010.00.000</v>
      </c>
      <c r="D357" s="566"/>
      <c r="E357" s="564" t="str">
        <f>+Info!$B$3</f>
        <v>2020</v>
      </c>
      <c r="F357" s="607"/>
      <c r="G357" s="607"/>
      <c r="H357" s="607"/>
      <c r="I357" s="610"/>
      <c r="J357" s="610"/>
      <c r="K357" s="609">
        <f t="shared" si="50"/>
        <v>0</v>
      </c>
      <c r="L357" s="557"/>
      <c r="M357" s="557"/>
      <c r="N357" s="557"/>
    </row>
    <row r="358" spans="1:14" x14ac:dyDescent="0.25">
      <c r="A358" s="551" t="str">
        <f>+Info!$B$2</f>
        <v>724</v>
      </c>
      <c r="B358" s="559" t="s">
        <v>1531</v>
      </c>
      <c r="C358" s="614" t="str">
        <f t="shared" si="49"/>
        <v>1.20.20.20.020.010.00.000</v>
      </c>
      <c r="D358" s="566"/>
      <c r="E358" s="564" t="str">
        <f>+Info!$B$3</f>
        <v>2020</v>
      </c>
      <c r="F358" s="607"/>
      <c r="G358" s="607"/>
      <c r="H358" s="607"/>
      <c r="I358" s="610"/>
      <c r="J358" s="610"/>
      <c r="K358" s="609">
        <f t="shared" si="50"/>
        <v>0</v>
      </c>
      <c r="L358" s="557"/>
      <c r="M358" s="557"/>
      <c r="N358" s="557"/>
    </row>
    <row r="359" spans="1:14" x14ac:dyDescent="0.25">
      <c r="A359" s="551" t="str">
        <f>+Info!$B$2</f>
        <v>724</v>
      </c>
      <c r="B359" s="559" t="s">
        <v>1531</v>
      </c>
      <c r="C359" s="614" t="str">
        <f t="shared" si="49"/>
        <v>1.20.20.20.020.010.00.000</v>
      </c>
      <c r="D359" s="566"/>
      <c r="E359" s="564" t="str">
        <f>+Info!$B$3</f>
        <v>2020</v>
      </c>
      <c r="F359" s="607"/>
      <c r="G359" s="607"/>
      <c r="H359" s="607"/>
      <c r="I359" s="610"/>
      <c r="J359" s="610"/>
      <c r="K359" s="609">
        <f t="shared" si="50"/>
        <v>0</v>
      </c>
      <c r="L359" s="557"/>
      <c r="M359" s="557"/>
      <c r="N359" s="557"/>
    </row>
    <row r="360" spans="1:14" x14ac:dyDescent="0.25">
      <c r="A360" s="551" t="str">
        <f>+Info!$B$2</f>
        <v>724</v>
      </c>
      <c r="B360" s="559" t="s">
        <v>1531</v>
      </c>
      <c r="C360" s="614" t="str">
        <f t="shared" si="49"/>
        <v>1.20.20.20.020.010.00.000</v>
      </c>
      <c r="D360" s="566"/>
      <c r="E360" s="564" t="str">
        <f>+Info!$B$3</f>
        <v>2020</v>
      </c>
      <c r="F360" s="607"/>
      <c r="G360" s="607"/>
      <c r="H360" s="607"/>
      <c r="I360" s="610"/>
      <c r="J360" s="610"/>
      <c r="K360" s="609">
        <f t="shared" si="50"/>
        <v>0</v>
      </c>
      <c r="L360" s="557"/>
      <c r="M360" s="557"/>
      <c r="N360" s="557"/>
    </row>
    <row r="361" spans="1:14" x14ac:dyDescent="0.25">
      <c r="A361" s="551" t="str">
        <f>+Info!$B$2</f>
        <v>724</v>
      </c>
      <c r="B361" s="559" t="s">
        <v>1531</v>
      </c>
      <c r="C361" s="614" t="str">
        <f t="shared" si="49"/>
        <v>1.20.20.20.020.010.00.000</v>
      </c>
      <c r="D361" s="566"/>
      <c r="E361" s="564" t="str">
        <f>+Info!$B$3</f>
        <v>2020</v>
      </c>
      <c r="F361" s="607"/>
      <c r="G361" s="607"/>
      <c r="H361" s="607"/>
      <c r="I361" s="610"/>
      <c r="J361" s="610"/>
      <c r="K361" s="609">
        <f t="shared" si="50"/>
        <v>0</v>
      </c>
      <c r="L361" s="557"/>
      <c r="M361" s="557"/>
      <c r="N361" s="557"/>
    </row>
    <row r="362" spans="1:14" x14ac:dyDescent="0.25">
      <c r="A362" s="551" t="str">
        <f>+Info!$B$2</f>
        <v>724</v>
      </c>
      <c r="B362" s="559" t="s">
        <v>1531</v>
      </c>
      <c r="C362" s="614" t="str">
        <f t="shared" si="49"/>
        <v>1.20.20.20.020.010.00.000</v>
      </c>
      <c r="D362" s="566"/>
      <c r="E362" s="564" t="str">
        <f>+Info!$B$3</f>
        <v>2020</v>
      </c>
      <c r="F362" s="607"/>
      <c r="G362" s="607"/>
      <c r="H362" s="607"/>
      <c r="I362" s="610"/>
      <c r="J362" s="610"/>
      <c r="K362" s="609">
        <f t="shared" si="50"/>
        <v>0</v>
      </c>
      <c r="L362" s="557"/>
      <c r="M362" s="557"/>
      <c r="N362" s="557"/>
    </row>
    <row r="363" spans="1:14" x14ac:dyDescent="0.25">
      <c r="A363" s="551" t="str">
        <f>+Info!$B$2</f>
        <v>724</v>
      </c>
      <c r="B363" s="559" t="s">
        <v>1531</v>
      </c>
      <c r="C363" s="614" t="str">
        <f t="shared" si="49"/>
        <v>1.20.20.20.020.010.00.000</v>
      </c>
      <c r="D363" s="566"/>
      <c r="E363" s="564" t="str">
        <f>+Info!$B$3</f>
        <v>2020</v>
      </c>
      <c r="F363" s="607"/>
      <c r="G363" s="607"/>
      <c r="H363" s="607"/>
      <c r="I363" s="610"/>
      <c r="J363" s="610"/>
      <c r="K363" s="609">
        <f t="shared" si="50"/>
        <v>0</v>
      </c>
      <c r="L363" s="557"/>
      <c r="M363" s="557"/>
      <c r="N363" s="557"/>
    </row>
    <row r="364" spans="1:14" x14ac:dyDescent="0.25">
      <c r="A364" s="551" t="str">
        <f>+Info!$B$2</f>
        <v>724</v>
      </c>
      <c r="B364" s="559" t="s">
        <v>1531</v>
      </c>
      <c r="C364" s="614" t="str">
        <f t="shared" si="49"/>
        <v>1.20.20.20.020.010.00.000</v>
      </c>
      <c r="D364" s="566"/>
      <c r="E364" s="564" t="str">
        <f>+Info!$B$3</f>
        <v>2020</v>
      </c>
      <c r="F364" s="607"/>
      <c r="G364" s="607"/>
      <c r="H364" s="607"/>
      <c r="I364" s="610"/>
      <c r="J364" s="610"/>
      <c r="K364" s="609">
        <f t="shared" si="50"/>
        <v>0</v>
      </c>
      <c r="L364" s="557"/>
      <c r="M364" s="557"/>
      <c r="N364" s="557"/>
    </row>
    <row r="365" spans="1:14" x14ac:dyDescent="0.25">
      <c r="A365" s="551" t="str">
        <f>+Info!$B$2</f>
        <v>724</v>
      </c>
      <c r="B365" s="559" t="s">
        <v>1531</v>
      </c>
      <c r="C365" s="614" t="str">
        <f t="shared" si="49"/>
        <v>1.20.20.20.020.010.00.000</v>
      </c>
      <c r="D365" s="566"/>
      <c r="E365" s="564" t="str">
        <f>+Info!$B$3</f>
        <v>2020</v>
      </c>
      <c r="F365" s="607"/>
      <c r="G365" s="607"/>
      <c r="H365" s="607"/>
      <c r="I365" s="610"/>
      <c r="J365" s="610"/>
      <c r="K365" s="609">
        <f t="shared" si="50"/>
        <v>0</v>
      </c>
      <c r="L365" s="557"/>
      <c r="M365" s="557"/>
      <c r="N365" s="557"/>
    </row>
    <row r="366" spans="1:14" x14ac:dyDescent="0.25">
      <c r="A366" s="551" t="str">
        <f>+Info!$B$2</f>
        <v>724</v>
      </c>
      <c r="B366" s="559" t="s">
        <v>1531</v>
      </c>
      <c r="C366" s="614" t="str">
        <f t="shared" si="49"/>
        <v>1.20.20.20.020.010.00.000</v>
      </c>
      <c r="D366" s="566"/>
      <c r="E366" s="564" t="str">
        <f>+Info!$B$3</f>
        <v>2020</v>
      </c>
      <c r="F366" s="607"/>
      <c r="G366" s="607"/>
      <c r="H366" s="607"/>
      <c r="I366" s="610"/>
      <c r="J366" s="610"/>
      <c r="K366" s="609">
        <f t="shared" si="50"/>
        <v>0</v>
      </c>
      <c r="L366" s="557"/>
      <c r="M366" s="557"/>
      <c r="N366" s="557"/>
    </row>
    <row r="367" spans="1:14" x14ac:dyDescent="0.25">
      <c r="A367" s="551" t="str">
        <f>+Info!$B$2</f>
        <v>724</v>
      </c>
      <c r="B367" s="559" t="s">
        <v>1531</v>
      </c>
      <c r="C367" s="614" t="str">
        <f t="shared" si="49"/>
        <v>1.20.20.20.020.010.00.000</v>
      </c>
      <c r="D367" s="566"/>
      <c r="E367" s="564" t="str">
        <f>+Info!$B$3</f>
        <v>2020</v>
      </c>
      <c r="F367" s="607"/>
      <c r="G367" s="607"/>
      <c r="H367" s="607"/>
      <c r="I367" s="610"/>
      <c r="J367" s="610"/>
      <c r="K367" s="609">
        <f t="shared" si="50"/>
        <v>0</v>
      </c>
      <c r="L367" s="557"/>
      <c r="M367" s="557"/>
      <c r="N367" s="557"/>
    </row>
    <row r="368" spans="1:14" x14ac:dyDescent="0.25">
      <c r="A368" s="551" t="str">
        <f>+Info!$B$2</f>
        <v>724</v>
      </c>
      <c r="B368" s="559" t="s">
        <v>1531</v>
      </c>
      <c r="C368" s="614" t="str">
        <f t="shared" si="49"/>
        <v>1.20.20.20.020.010.00.000</v>
      </c>
      <c r="D368" s="566"/>
      <c r="E368" s="564" t="str">
        <f>+Info!$B$3</f>
        <v>2020</v>
      </c>
      <c r="F368" s="607"/>
      <c r="G368" s="607"/>
      <c r="H368" s="607"/>
      <c r="I368" s="610"/>
      <c r="J368" s="610"/>
      <c r="K368" s="609">
        <f t="shared" si="50"/>
        <v>0</v>
      </c>
      <c r="L368" s="557"/>
      <c r="M368" s="557"/>
      <c r="N368" s="557"/>
    </row>
    <row r="369" spans="1:32" x14ac:dyDescent="0.25">
      <c r="A369" s="551" t="str">
        <f>+Info!$B$2</f>
        <v>724</v>
      </c>
      <c r="B369" s="559" t="s">
        <v>1531</v>
      </c>
      <c r="C369" s="614" t="str">
        <f t="shared" si="49"/>
        <v>1.20.20.20.020.010.00.000</v>
      </c>
      <c r="D369" s="566"/>
      <c r="E369" s="564" t="str">
        <f>+Info!$B$3</f>
        <v>2020</v>
      </c>
      <c r="F369" s="607"/>
      <c r="G369" s="607"/>
      <c r="H369" s="607"/>
      <c r="I369" s="610"/>
      <c r="J369" s="610"/>
      <c r="K369" s="609">
        <f t="shared" si="50"/>
        <v>0</v>
      </c>
      <c r="L369" s="557"/>
      <c r="M369" s="557"/>
      <c r="N369" s="557"/>
    </row>
    <row r="370" spans="1:32" x14ac:dyDescent="0.25">
      <c r="A370" s="551" t="str">
        <f>+Info!$B$2</f>
        <v>724</v>
      </c>
      <c r="B370" s="559" t="s">
        <v>1531</v>
      </c>
      <c r="C370" s="614" t="str">
        <f t="shared" si="49"/>
        <v>1.20.20.20.020.010.00.000</v>
      </c>
      <c r="D370" s="566"/>
      <c r="E370" s="564" t="str">
        <f>+Info!$B$3</f>
        <v>2020</v>
      </c>
      <c r="F370" s="607"/>
      <c r="G370" s="607"/>
      <c r="H370" s="607"/>
      <c r="I370" s="610"/>
      <c r="J370" s="610"/>
      <c r="K370" s="609">
        <f t="shared" si="50"/>
        <v>0</v>
      </c>
      <c r="L370" s="557"/>
      <c r="M370" s="557"/>
      <c r="N370" s="557"/>
    </row>
    <row r="371" spans="1:32" x14ac:dyDescent="0.25">
      <c r="A371" s="551" t="str">
        <f>+Info!$B$2</f>
        <v>724</v>
      </c>
      <c r="B371" s="559" t="s">
        <v>1531</v>
      </c>
      <c r="C371" s="616" t="s">
        <v>1532</v>
      </c>
      <c r="D371" s="612" t="str">
        <f>IF(K371=E371,"Quadratura OK!","Squadratura con dati di bilancio!")</f>
        <v>Quadratura OK!</v>
      </c>
      <c r="E371" s="569">
        <f>SUMIF('NI-Soc_SP'!$C:$C,$C371,'NI-Soc_SP'!$Y:$Y)</f>
        <v>0</v>
      </c>
      <c r="F371" s="925" t="s">
        <v>4289</v>
      </c>
      <c r="G371" s="925"/>
      <c r="H371" s="613">
        <f>SUM(H349:H370)</f>
        <v>0</v>
      </c>
      <c r="I371" s="613">
        <f>SUM(I349:I370)</f>
        <v>0</v>
      </c>
      <c r="J371" s="613">
        <f>SUM(J349:J370)</f>
        <v>0</v>
      </c>
      <c r="K371" s="613">
        <f>SUM(K349:K370)</f>
        <v>0</v>
      </c>
      <c r="L371" s="557"/>
      <c r="M371" s="557"/>
      <c r="N371" s="557"/>
      <c r="AC371" s="551" t="str">
        <f>C371</f>
        <v>1.20.20.20.020.010.00.000</v>
      </c>
      <c r="AD371" s="553">
        <f>K371</f>
        <v>0</v>
      </c>
      <c r="AE371" s="553">
        <f>E371</f>
        <v>0</v>
      </c>
      <c r="AF371" s="551">
        <f>IF($AD371=$AE371,0,1)</f>
        <v>0</v>
      </c>
    </row>
    <row r="372" spans="1:32" ht="23.25" x14ac:dyDescent="0.25">
      <c r="A372" s="551" t="str">
        <f>+Info!$B$2</f>
        <v>724</v>
      </c>
      <c r="B372" s="559" t="s">
        <v>1537</v>
      </c>
      <c r="C372" s="614" t="str">
        <f t="shared" ref="C372:C393" si="51">$C$394</f>
        <v>1.20.20.20.020.020.00.000</v>
      </c>
      <c r="D372" s="615" t="s">
        <v>4293</v>
      </c>
      <c r="E372" s="606" t="str">
        <f>"Ante "&amp;Info!$B$3</f>
        <v>Ante 2020</v>
      </c>
      <c r="F372" s="607"/>
      <c r="G372" s="607"/>
      <c r="H372" s="608"/>
      <c r="I372" s="607"/>
      <c r="J372" s="608"/>
      <c r="K372" s="609">
        <f>+H372+J372</f>
        <v>0</v>
      </c>
      <c r="L372" s="557"/>
      <c r="M372" s="557"/>
      <c r="N372" s="557"/>
    </row>
    <row r="373" spans="1:32" x14ac:dyDescent="0.25">
      <c r="A373" s="551" t="str">
        <f>+Info!$B$2</f>
        <v>724</v>
      </c>
      <c r="B373" s="559" t="s">
        <v>1537</v>
      </c>
      <c r="C373" s="614" t="str">
        <f t="shared" si="51"/>
        <v>1.20.20.20.020.020.00.000</v>
      </c>
      <c r="D373" s="566"/>
      <c r="E373" s="564" t="str">
        <f>+Info!$B$3</f>
        <v>2020</v>
      </c>
      <c r="F373" s="607"/>
      <c r="G373" s="607"/>
      <c r="H373" s="607"/>
      <c r="I373" s="610"/>
      <c r="J373" s="610"/>
      <c r="K373" s="609">
        <f t="shared" ref="K373:K393" si="52">+I373+J373</f>
        <v>0</v>
      </c>
      <c r="L373" s="557"/>
      <c r="M373" s="557"/>
      <c r="N373" s="557"/>
    </row>
    <row r="374" spans="1:32" x14ac:dyDescent="0.25">
      <c r="A374" s="551" t="str">
        <f>+Info!$B$2</f>
        <v>724</v>
      </c>
      <c r="B374" s="559" t="s">
        <v>1537</v>
      </c>
      <c r="C374" s="614" t="str">
        <f t="shared" si="51"/>
        <v>1.20.20.20.020.020.00.000</v>
      </c>
      <c r="D374" s="566"/>
      <c r="E374" s="564" t="str">
        <f>+Info!$B$3</f>
        <v>2020</v>
      </c>
      <c r="F374" s="607"/>
      <c r="G374" s="607"/>
      <c r="H374" s="607"/>
      <c r="I374" s="610"/>
      <c r="J374" s="610"/>
      <c r="K374" s="609">
        <f t="shared" si="52"/>
        <v>0</v>
      </c>
      <c r="L374" s="557"/>
      <c r="M374" s="557"/>
      <c r="N374" s="557"/>
    </row>
    <row r="375" spans="1:32" x14ac:dyDescent="0.25">
      <c r="A375" s="551" t="str">
        <f>+Info!$B$2</f>
        <v>724</v>
      </c>
      <c r="B375" s="559" t="s">
        <v>1537</v>
      </c>
      <c r="C375" s="614" t="str">
        <f t="shared" si="51"/>
        <v>1.20.20.20.020.020.00.000</v>
      </c>
      <c r="D375" s="566"/>
      <c r="E375" s="564" t="str">
        <f>+Info!$B$3</f>
        <v>2020</v>
      </c>
      <c r="F375" s="607"/>
      <c r="G375" s="607"/>
      <c r="H375" s="607"/>
      <c r="I375" s="610"/>
      <c r="J375" s="610"/>
      <c r="K375" s="609">
        <f t="shared" si="52"/>
        <v>0</v>
      </c>
      <c r="L375" s="557"/>
      <c r="M375" s="557"/>
      <c r="N375" s="557"/>
    </row>
    <row r="376" spans="1:32" x14ac:dyDescent="0.25">
      <c r="A376" s="551" t="str">
        <f>+Info!$B$2</f>
        <v>724</v>
      </c>
      <c r="B376" s="559" t="s">
        <v>1537</v>
      </c>
      <c r="C376" s="614" t="str">
        <f t="shared" si="51"/>
        <v>1.20.20.20.020.020.00.000</v>
      </c>
      <c r="D376" s="566"/>
      <c r="E376" s="564" t="str">
        <f>+Info!$B$3</f>
        <v>2020</v>
      </c>
      <c r="F376" s="607"/>
      <c r="G376" s="607"/>
      <c r="H376" s="607"/>
      <c r="I376" s="610"/>
      <c r="J376" s="610"/>
      <c r="K376" s="609">
        <f t="shared" si="52"/>
        <v>0</v>
      </c>
      <c r="L376" s="557"/>
      <c r="M376" s="557"/>
      <c r="N376" s="557"/>
    </row>
    <row r="377" spans="1:32" x14ac:dyDescent="0.25">
      <c r="A377" s="551" t="str">
        <f>+Info!$B$2</f>
        <v>724</v>
      </c>
      <c r="B377" s="559" t="s">
        <v>1537</v>
      </c>
      <c r="C377" s="614" t="str">
        <f t="shared" si="51"/>
        <v>1.20.20.20.020.020.00.000</v>
      </c>
      <c r="D377" s="566"/>
      <c r="E377" s="564" t="str">
        <f>+Info!$B$3</f>
        <v>2020</v>
      </c>
      <c r="F377" s="607"/>
      <c r="G377" s="607"/>
      <c r="H377" s="607"/>
      <c r="I377" s="610"/>
      <c r="J377" s="610"/>
      <c r="K377" s="609">
        <f t="shared" si="52"/>
        <v>0</v>
      </c>
      <c r="L377" s="557"/>
      <c r="M377" s="557"/>
      <c r="N377" s="557"/>
    </row>
    <row r="378" spans="1:32" x14ac:dyDescent="0.25">
      <c r="A378" s="551" t="str">
        <f>+Info!$B$2</f>
        <v>724</v>
      </c>
      <c r="B378" s="559" t="s">
        <v>1537</v>
      </c>
      <c r="C378" s="614" t="str">
        <f t="shared" si="51"/>
        <v>1.20.20.20.020.020.00.000</v>
      </c>
      <c r="D378" s="566"/>
      <c r="E378" s="564" t="str">
        <f>+Info!$B$3</f>
        <v>2020</v>
      </c>
      <c r="F378" s="607"/>
      <c r="G378" s="607"/>
      <c r="H378" s="607"/>
      <c r="I378" s="610"/>
      <c r="J378" s="610"/>
      <c r="K378" s="609">
        <f t="shared" si="52"/>
        <v>0</v>
      </c>
      <c r="L378" s="557"/>
      <c r="M378" s="557"/>
      <c r="N378" s="557"/>
    </row>
    <row r="379" spans="1:32" x14ac:dyDescent="0.25">
      <c r="A379" s="551" t="str">
        <f>+Info!$B$2</f>
        <v>724</v>
      </c>
      <c r="B379" s="559" t="s">
        <v>1537</v>
      </c>
      <c r="C379" s="614" t="str">
        <f t="shared" si="51"/>
        <v>1.20.20.20.020.020.00.000</v>
      </c>
      <c r="D379" s="566"/>
      <c r="E379" s="564" t="str">
        <f>+Info!$B$3</f>
        <v>2020</v>
      </c>
      <c r="F379" s="607"/>
      <c r="G379" s="607"/>
      <c r="H379" s="607"/>
      <c r="I379" s="610"/>
      <c r="J379" s="610"/>
      <c r="K379" s="609">
        <f t="shared" si="52"/>
        <v>0</v>
      </c>
      <c r="L379" s="557"/>
      <c r="M379" s="557"/>
      <c r="N379" s="557"/>
    </row>
    <row r="380" spans="1:32" x14ac:dyDescent="0.25">
      <c r="A380" s="551" t="str">
        <f>+Info!$B$2</f>
        <v>724</v>
      </c>
      <c r="B380" s="559" t="s">
        <v>1537</v>
      </c>
      <c r="C380" s="614" t="str">
        <f t="shared" si="51"/>
        <v>1.20.20.20.020.020.00.000</v>
      </c>
      <c r="D380" s="566"/>
      <c r="E380" s="564" t="str">
        <f>+Info!$B$3</f>
        <v>2020</v>
      </c>
      <c r="F380" s="607"/>
      <c r="G380" s="607"/>
      <c r="H380" s="607"/>
      <c r="I380" s="610"/>
      <c r="J380" s="610"/>
      <c r="K380" s="609">
        <f t="shared" si="52"/>
        <v>0</v>
      </c>
      <c r="L380" s="557"/>
      <c r="M380" s="557"/>
      <c r="N380" s="557"/>
    </row>
    <row r="381" spans="1:32" x14ac:dyDescent="0.25">
      <c r="A381" s="551" t="str">
        <f>+Info!$B$2</f>
        <v>724</v>
      </c>
      <c r="B381" s="559" t="s">
        <v>1537</v>
      </c>
      <c r="C381" s="614" t="str">
        <f t="shared" si="51"/>
        <v>1.20.20.20.020.020.00.000</v>
      </c>
      <c r="D381" s="566"/>
      <c r="E381" s="564" t="str">
        <f>+Info!$B$3</f>
        <v>2020</v>
      </c>
      <c r="F381" s="607"/>
      <c r="G381" s="607"/>
      <c r="H381" s="607"/>
      <c r="I381" s="610"/>
      <c r="J381" s="610"/>
      <c r="K381" s="609">
        <f t="shared" si="52"/>
        <v>0</v>
      </c>
      <c r="L381" s="557"/>
      <c r="M381" s="557"/>
      <c r="N381" s="557"/>
    </row>
    <row r="382" spans="1:32" x14ac:dyDescent="0.25">
      <c r="A382" s="551" t="str">
        <f>+Info!$B$2</f>
        <v>724</v>
      </c>
      <c r="B382" s="559" t="s">
        <v>1537</v>
      </c>
      <c r="C382" s="614" t="str">
        <f t="shared" si="51"/>
        <v>1.20.20.20.020.020.00.000</v>
      </c>
      <c r="D382" s="566"/>
      <c r="E382" s="564" t="str">
        <f>+Info!$B$3</f>
        <v>2020</v>
      </c>
      <c r="F382" s="607"/>
      <c r="G382" s="607"/>
      <c r="H382" s="607"/>
      <c r="I382" s="610"/>
      <c r="J382" s="610"/>
      <c r="K382" s="609">
        <f t="shared" si="52"/>
        <v>0</v>
      </c>
      <c r="L382" s="557"/>
      <c r="M382" s="557"/>
      <c r="N382" s="557"/>
    </row>
    <row r="383" spans="1:32" x14ac:dyDescent="0.25">
      <c r="A383" s="551" t="str">
        <f>+Info!$B$2</f>
        <v>724</v>
      </c>
      <c r="B383" s="559" t="s">
        <v>1537</v>
      </c>
      <c r="C383" s="614" t="str">
        <f t="shared" si="51"/>
        <v>1.20.20.20.020.020.00.000</v>
      </c>
      <c r="D383" s="566"/>
      <c r="E383" s="564" t="str">
        <f>+Info!$B$3</f>
        <v>2020</v>
      </c>
      <c r="F383" s="607"/>
      <c r="G383" s="607"/>
      <c r="H383" s="607"/>
      <c r="I383" s="610"/>
      <c r="J383" s="610"/>
      <c r="K383" s="609">
        <f t="shared" si="52"/>
        <v>0</v>
      </c>
      <c r="L383" s="557"/>
      <c r="M383" s="557"/>
      <c r="N383" s="557"/>
    </row>
    <row r="384" spans="1:32" x14ac:dyDescent="0.25">
      <c r="A384" s="551" t="str">
        <f>+Info!$B$2</f>
        <v>724</v>
      </c>
      <c r="B384" s="559" t="s">
        <v>1537</v>
      </c>
      <c r="C384" s="614" t="str">
        <f t="shared" si="51"/>
        <v>1.20.20.20.020.020.00.000</v>
      </c>
      <c r="D384" s="566"/>
      <c r="E384" s="564" t="str">
        <f>+Info!$B$3</f>
        <v>2020</v>
      </c>
      <c r="F384" s="607"/>
      <c r="G384" s="607"/>
      <c r="H384" s="607"/>
      <c r="I384" s="610"/>
      <c r="J384" s="610"/>
      <c r="K384" s="609">
        <f t="shared" si="52"/>
        <v>0</v>
      </c>
      <c r="L384" s="557"/>
      <c r="M384" s="557"/>
      <c r="N384" s="557"/>
    </row>
    <row r="385" spans="1:32" x14ac:dyDescent="0.25">
      <c r="A385" s="551" t="str">
        <f>+Info!$B$2</f>
        <v>724</v>
      </c>
      <c r="B385" s="559" t="s">
        <v>1537</v>
      </c>
      <c r="C385" s="614" t="str">
        <f t="shared" si="51"/>
        <v>1.20.20.20.020.020.00.000</v>
      </c>
      <c r="D385" s="566"/>
      <c r="E385" s="564" t="str">
        <f>+Info!$B$3</f>
        <v>2020</v>
      </c>
      <c r="F385" s="607"/>
      <c r="G385" s="607"/>
      <c r="H385" s="607"/>
      <c r="I385" s="610"/>
      <c r="J385" s="610"/>
      <c r="K385" s="609">
        <f t="shared" si="52"/>
        <v>0</v>
      </c>
      <c r="L385" s="557"/>
      <c r="M385" s="557"/>
      <c r="N385" s="557"/>
    </row>
    <row r="386" spans="1:32" x14ac:dyDescent="0.25">
      <c r="A386" s="551" t="str">
        <f>+Info!$B$2</f>
        <v>724</v>
      </c>
      <c r="B386" s="559" t="s">
        <v>1537</v>
      </c>
      <c r="C386" s="614" t="str">
        <f t="shared" si="51"/>
        <v>1.20.20.20.020.020.00.000</v>
      </c>
      <c r="D386" s="566"/>
      <c r="E386" s="564" t="str">
        <f>+Info!$B$3</f>
        <v>2020</v>
      </c>
      <c r="F386" s="607"/>
      <c r="G386" s="607"/>
      <c r="H386" s="607"/>
      <c r="I386" s="610"/>
      <c r="J386" s="610"/>
      <c r="K386" s="609">
        <f t="shared" si="52"/>
        <v>0</v>
      </c>
      <c r="L386" s="557"/>
      <c r="M386" s="557"/>
      <c r="N386" s="557"/>
    </row>
    <row r="387" spans="1:32" x14ac:dyDescent="0.25">
      <c r="A387" s="551" t="str">
        <f>+Info!$B$2</f>
        <v>724</v>
      </c>
      <c r="B387" s="559" t="s">
        <v>1537</v>
      </c>
      <c r="C387" s="614" t="str">
        <f t="shared" si="51"/>
        <v>1.20.20.20.020.020.00.000</v>
      </c>
      <c r="D387" s="566"/>
      <c r="E387" s="564" t="str">
        <f>+Info!$B$3</f>
        <v>2020</v>
      </c>
      <c r="F387" s="607"/>
      <c r="G387" s="607"/>
      <c r="H387" s="607"/>
      <c r="I387" s="610"/>
      <c r="J387" s="610"/>
      <c r="K387" s="609">
        <f t="shared" si="52"/>
        <v>0</v>
      </c>
      <c r="L387" s="557"/>
      <c r="M387" s="557"/>
      <c r="N387" s="557"/>
    </row>
    <row r="388" spans="1:32" x14ac:dyDescent="0.25">
      <c r="A388" s="551" t="str">
        <f>+Info!$B$2</f>
        <v>724</v>
      </c>
      <c r="B388" s="559" t="s">
        <v>1537</v>
      </c>
      <c r="C388" s="614" t="str">
        <f t="shared" si="51"/>
        <v>1.20.20.20.020.020.00.000</v>
      </c>
      <c r="D388" s="566"/>
      <c r="E388" s="564" t="str">
        <f>+Info!$B$3</f>
        <v>2020</v>
      </c>
      <c r="F388" s="607"/>
      <c r="G388" s="607"/>
      <c r="H388" s="607"/>
      <c r="I388" s="610"/>
      <c r="J388" s="610"/>
      <c r="K388" s="609">
        <f t="shared" si="52"/>
        <v>0</v>
      </c>
      <c r="L388" s="557"/>
      <c r="M388" s="557"/>
      <c r="N388" s="557"/>
    </row>
    <row r="389" spans="1:32" x14ac:dyDescent="0.25">
      <c r="A389" s="551" t="str">
        <f>+Info!$B$2</f>
        <v>724</v>
      </c>
      <c r="B389" s="559" t="s">
        <v>1537</v>
      </c>
      <c r="C389" s="614" t="str">
        <f t="shared" si="51"/>
        <v>1.20.20.20.020.020.00.000</v>
      </c>
      <c r="D389" s="566"/>
      <c r="E389" s="564" t="str">
        <f>+Info!$B$3</f>
        <v>2020</v>
      </c>
      <c r="F389" s="607"/>
      <c r="G389" s="607"/>
      <c r="H389" s="607"/>
      <c r="I389" s="610"/>
      <c r="J389" s="610"/>
      <c r="K389" s="609">
        <f t="shared" si="52"/>
        <v>0</v>
      </c>
      <c r="L389" s="557"/>
      <c r="M389" s="557"/>
      <c r="N389" s="557"/>
    </row>
    <row r="390" spans="1:32" x14ac:dyDescent="0.25">
      <c r="A390" s="551" t="str">
        <f>+Info!$B$2</f>
        <v>724</v>
      </c>
      <c r="B390" s="559" t="s">
        <v>1537</v>
      </c>
      <c r="C390" s="614" t="str">
        <f t="shared" si="51"/>
        <v>1.20.20.20.020.020.00.000</v>
      </c>
      <c r="D390" s="566"/>
      <c r="E390" s="564" t="str">
        <f>+Info!$B$3</f>
        <v>2020</v>
      </c>
      <c r="F390" s="607"/>
      <c r="G390" s="607"/>
      <c r="H390" s="607"/>
      <c r="I390" s="610"/>
      <c r="J390" s="610"/>
      <c r="K390" s="609">
        <f t="shared" si="52"/>
        <v>0</v>
      </c>
      <c r="L390" s="557"/>
      <c r="M390" s="557"/>
      <c r="N390" s="557"/>
    </row>
    <row r="391" spans="1:32" x14ac:dyDescent="0.25">
      <c r="A391" s="551" t="str">
        <f>+Info!$B$2</f>
        <v>724</v>
      </c>
      <c r="B391" s="559" t="s">
        <v>1537</v>
      </c>
      <c r="C391" s="614" t="str">
        <f t="shared" si="51"/>
        <v>1.20.20.20.020.020.00.000</v>
      </c>
      <c r="D391" s="566"/>
      <c r="E391" s="564" t="str">
        <f>+Info!$B$3</f>
        <v>2020</v>
      </c>
      <c r="F391" s="607"/>
      <c r="G391" s="607"/>
      <c r="H391" s="607"/>
      <c r="I391" s="610"/>
      <c r="J391" s="610"/>
      <c r="K391" s="609">
        <f t="shared" si="52"/>
        <v>0</v>
      </c>
      <c r="L391" s="557"/>
      <c r="M391" s="557"/>
      <c r="N391" s="557"/>
    </row>
    <row r="392" spans="1:32" x14ac:dyDescent="0.25">
      <c r="A392" s="551" t="str">
        <f>+Info!$B$2</f>
        <v>724</v>
      </c>
      <c r="B392" s="559" t="s">
        <v>1537</v>
      </c>
      <c r="C392" s="614" t="str">
        <f t="shared" si="51"/>
        <v>1.20.20.20.020.020.00.000</v>
      </c>
      <c r="D392" s="566"/>
      <c r="E392" s="564" t="str">
        <f>+Info!$B$3</f>
        <v>2020</v>
      </c>
      <c r="F392" s="607"/>
      <c r="G392" s="607"/>
      <c r="H392" s="607"/>
      <c r="I392" s="610"/>
      <c r="J392" s="610"/>
      <c r="K392" s="609">
        <f t="shared" si="52"/>
        <v>0</v>
      </c>
      <c r="L392" s="557"/>
      <c r="M392" s="557"/>
      <c r="N392" s="557"/>
    </row>
    <row r="393" spans="1:32" x14ac:dyDescent="0.25">
      <c r="A393" s="551" t="str">
        <f>+Info!$B$2</f>
        <v>724</v>
      </c>
      <c r="B393" s="559" t="s">
        <v>1537</v>
      </c>
      <c r="C393" s="614" t="str">
        <f t="shared" si="51"/>
        <v>1.20.20.20.020.020.00.000</v>
      </c>
      <c r="D393" s="566"/>
      <c r="E393" s="564" t="str">
        <f>+Info!$B$3</f>
        <v>2020</v>
      </c>
      <c r="F393" s="607"/>
      <c r="G393" s="607"/>
      <c r="H393" s="607"/>
      <c r="I393" s="610"/>
      <c r="J393" s="610"/>
      <c r="K393" s="609">
        <f t="shared" si="52"/>
        <v>0</v>
      </c>
      <c r="L393" s="557"/>
      <c r="M393" s="557"/>
      <c r="N393" s="557"/>
    </row>
    <row r="394" spans="1:32" x14ac:dyDescent="0.25">
      <c r="A394" s="551" t="str">
        <f>+Info!$B$2</f>
        <v>724</v>
      </c>
      <c r="B394" s="559" t="s">
        <v>1537</v>
      </c>
      <c r="C394" s="616" t="s">
        <v>1538</v>
      </c>
      <c r="D394" s="612" t="str">
        <f>IF(K394=E394,"Quadratura OK!","Squadratura con dati di bilancio!")</f>
        <v>Quadratura OK!</v>
      </c>
      <c r="E394" s="569">
        <f>SUMIF('NI-Soc_SP'!$C:$C,$C394,'NI-Soc_SP'!$Y:$Y)</f>
        <v>0</v>
      </c>
      <c r="F394" s="925" t="s">
        <v>4289</v>
      </c>
      <c r="G394" s="925"/>
      <c r="H394" s="613">
        <f>SUM(H372:H393)</f>
        <v>0</v>
      </c>
      <c r="I394" s="613">
        <f>SUM(I372:I393)</f>
        <v>0</v>
      </c>
      <c r="J394" s="613">
        <f>SUM(J372:J393)</f>
        <v>0</v>
      </c>
      <c r="K394" s="613">
        <f>SUM(K372:K393)</f>
        <v>0</v>
      </c>
      <c r="L394" s="557"/>
      <c r="M394" s="557"/>
      <c r="N394" s="557"/>
      <c r="AC394" s="551" t="str">
        <f>C394</f>
        <v>1.20.20.20.020.020.00.000</v>
      </c>
      <c r="AD394" s="553">
        <f>K394</f>
        <v>0</v>
      </c>
      <c r="AE394" s="553">
        <f>E394</f>
        <v>0</v>
      </c>
      <c r="AF394" s="551">
        <f>IF($AD394=$AE394,0,1)</f>
        <v>0</v>
      </c>
    </row>
    <row r="395" spans="1:32" ht="23.25" x14ac:dyDescent="0.25">
      <c r="A395" s="551" t="str">
        <f>+Info!$B$2</f>
        <v>724</v>
      </c>
      <c r="B395" s="559" t="s">
        <v>1543</v>
      </c>
      <c r="C395" s="614" t="str">
        <f t="shared" ref="C395:C407" si="53">$C$408</f>
        <v>1.20.20.20.020.030.00.000</v>
      </c>
      <c r="D395" s="615" t="s">
        <v>4294</v>
      </c>
      <c r="E395" s="606" t="str">
        <f>"Ante "&amp;Info!$B$3</f>
        <v>Ante 2020</v>
      </c>
      <c r="F395" s="607"/>
      <c r="G395" s="607"/>
      <c r="H395" s="593"/>
      <c r="I395" s="607"/>
      <c r="J395" s="608"/>
      <c r="K395" s="609">
        <f>+H395+J395</f>
        <v>0</v>
      </c>
      <c r="L395" s="557"/>
      <c r="M395" s="557"/>
      <c r="N395" s="557"/>
    </row>
    <row r="396" spans="1:32" x14ac:dyDescent="0.25">
      <c r="A396" s="551" t="str">
        <f>+Info!$B$2</f>
        <v>724</v>
      </c>
      <c r="B396" s="559" t="s">
        <v>1543</v>
      </c>
      <c r="C396" s="614" t="str">
        <f t="shared" si="53"/>
        <v>1.20.20.20.020.030.00.000</v>
      </c>
      <c r="D396" s="566"/>
      <c r="E396" s="564" t="str">
        <f>+Info!$B$3</f>
        <v>2020</v>
      </c>
      <c r="F396" s="607"/>
      <c r="G396" s="607"/>
      <c r="H396" s="607"/>
      <c r="I396" s="610"/>
      <c r="J396" s="610"/>
      <c r="K396" s="609">
        <f t="shared" ref="K396:K407" si="54">+I396+J396</f>
        <v>0</v>
      </c>
      <c r="L396" s="557"/>
      <c r="M396" s="557"/>
      <c r="N396" s="557"/>
    </row>
    <row r="397" spans="1:32" x14ac:dyDescent="0.25">
      <c r="A397" s="551" t="str">
        <f>+Info!$B$2</f>
        <v>724</v>
      </c>
      <c r="B397" s="559" t="s">
        <v>1543</v>
      </c>
      <c r="C397" s="614" t="str">
        <f t="shared" si="53"/>
        <v>1.20.20.20.020.030.00.000</v>
      </c>
      <c r="D397" s="566"/>
      <c r="E397" s="564" t="str">
        <f>+Info!$B$3</f>
        <v>2020</v>
      </c>
      <c r="F397" s="607"/>
      <c r="G397" s="607"/>
      <c r="H397" s="607"/>
      <c r="I397" s="610"/>
      <c r="J397" s="610"/>
      <c r="K397" s="609">
        <f t="shared" si="54"/>
        <v>0</v>
      </c>
      <c r="L397" s="557"/>
      <c r="M397" s="557"/>
      <c r="N397" s="557"/>
    </row>
    <row r="398" spans="1:32" x14ac:dyDescent="0.25">
      <c r="A398" s="551" t="str">
        <f>+Info!$B$2</f>
        <v>724</v>
      </c>
      <c r="B398" s="559" t="s">
        <v>1543</v>
      </c>
      <c r="C398" s="614" t="str">
        <f t="shared" si="53"/>
        <v>1.20.20.20.020.030.00.000</v>
      </c>
      <c r="D398" s="566"/>
      <c r="E398" s="564" t="str">
        <f>+Info!$B$3</f>
        <v>2020</v>
      </c>
      <c r="F398" s="607"/>
      <c r="G398" s="607"/>
      <c r="H398" s="607"/>
      <c r="I398" s="610"/>
      <c r="J398" s="610"/>
      <c r="K398" s="609">
        <f t="shared" si="54"/>
        <v>0</v>
      </c>
      <c r="L398" s="557"/>
      <c r="M398" s="557"/>
      <c r="N398" s="557"/>
    </row>
    <row r="399" spans="1:32" x14ac:dyDescent="0.25">
      <c r="A399" s="551" t="str">
        <f>+Info!$B$2</f>
        <v>724</v>
      </c>
      <c r="B399" s="559" t="s">
        <v>1543</v>
      </c>
      <c r="C399" s="614" t="str">
        <f t="shared" si="53"/>
        <v>1.20.20.20.020.030.00.000</v>
      </c>
      <c r="D399" s="566"/>
      <c r="E399" s="564" t="str">
        <f>+Info!$B$3</f>
        <v>2020</v>
      </c>
      <c r="F399" s="607"/>
      <c r="G399" s="607"/>
      <c r="H399" s="607"/>
      <c r="I399" s="610"/>
      <c r="J399" s="610"/>
      <c r="K399" s="609">
        <f t="shared" si="54"/>
        <v>0</v>
      </c>
      <c r="L399" s="557"/>
      <c r="M399" s="557"/>
      <c r="N399" s="557"/>
    </row>
    <row r="400" spans="1:32" x14ac:dyDescent="0.25">
      <c r="A400" s="551" t="str">
        <f>+Info!$B$2</f>
        <v>724</v>
      </c>
      <c r="B400" s="559" t="s">
        <v>1543</v>
      </c>
      <c r="C400" s="614" t="str">
        <f t="shared" si="53"/>
        <v>1.20.20.20.020.030.00.000</v>
      </c>
      <c r="D400" s="566"/>
      <c r="E400" s="564" t="str">
        <f>+Info!$B$3</f>
        <v>2020</v>
      </c>
      <c r="F400" s="607"/>
      <c r="G400" s="607"/>
      <c r="H400" s="607"/>
      <c r="I400" s="610"/>
      <c r="J400" s="610"/>
      <c r="K400" s="609">
        <f t="shared" si="54"/>
        <v>0</v>
      </c>
      <c r="L400" s="557"/>
      <c r="M400" s="557"/>
      <c r="N400" s="557"/>
    </row>
    <row r="401" spans="1:32" x14ac:dyDescent="0.25">
      <c r="A401" s="551" t="str">
        <f>+Info!$B$2</f>
        <v>724</v>
      </c>
      <c r="B401" s="559" t="s">
        <v>1543</v>
      </c>
      <c r="C401" s="614" t="str">
        <f t="shared" si="53"/>
        <v>1.20.20.20.020.030.00.000</v>
      </c>
      <c r="D401" s="566"/>
      <c r="E401" s="564" t="str">
        <f>+Info!$B$3</f>
        <v>2020</v>
      </c>
      <c r="F401" s="607"/>
      <c r="G401" s="607"/>
      <c r="H401" s="607"/>
      <c r="I401" s="610"/>
      <c r="J401" s="610"/>
      <c r="K401" s="609">
        <f t="shared" si="54"/>
        <v>0</v>
      </c>
      <c r="L401" s="557"/>
      <c r="M401" s="557"/>
      <c r="N401" s="557"/>
    </row>
    <row r="402" spans="1:32" x14ac:dyDescent="0.25">
      <c r="A402" s="551" t="str">
        <f>+Info!$B$2</f>
        <v>724</v>
      </c>
      <c r="B402" s="559" t="s">
        <v>1543</v>
      </c>
      <c r="C402" s="614" t="str">
        <f t="shared" si="53"/>
        <v>1.20.20.20.020.030.00.000</v>
      </c>
      <c r="D402" s="566"/>
      <c r="E402" s="564" t="str">
        <f>+Info!$B$3</f>
        <v>2020</v>
      </c>
      <c r="F402" s="607"/>
      <c r="G402" s="607"/>
      <c r="H402" s="607"/>
      <c r="I402" s="610"/>
      <c r="J402" s="610"/>
      <c r="K402" s="609">
        <f t="shared" si="54"/>
        <v>0</v>
      </c>
      <c r="L402" s="557"/>
      <c r="M402" s="557"/>
      <c r="N402" s="557"/>
    </row>
    <row r="403" spans="1:32" x14ac:dyDescent="0.25">
      <c r="A403" s="551" t="str">
        <f>+Info!$B$2</f>
        <v>724</v>
      </c>
      <c r="B403" s="559" t="s">
        <v>1543</v>
      </c>
      <c r="C403" s="614" t="str">
        <f t="shared" si="53"/>
        <v>1.20.20.20.020.030.00.000</v>
      </c>
      <c r="D403" s="566"/>
      <c r="E403" s="564" t="str">
        <f>+Info!$B$3</f>
        <v>2020</v>
      </c>
      <c r="F403" s="607"/>
      <c r="G403" s="607"/>
      <c r="H403" s="607"/>
      <c r="I403" s="610"/>
      <c r="J403" s="610"/>
      <c r="K403" s="609">
        <f t="shared" si="54"/>
        <v>0</v>
      </c>
      <c r="L403" s="557"/>
      <c r="M403" s="557"/>
      <c r="N403" s="557"/>
    </row>
    <row r="404" spans="1:32" x14ac:dyDescent="0.25">
      <c r="A404" s="551" t="str">
        <f>+Info!$B$2</f>
        <v>724</v>
      </c>
      <c r="B404" s="559" t="s">
        <v>1543</v>
      </c>
      <c r="C404" s="614" t="str">
        <f t="shared" si="53"/>
        <v>1.20.20.20.020.030.00.000</v>
      </c>
      <c r="D404" s="566"/>
      <c r="E404" s="564" t="str">
        <f>+Info!$B$3</f>
        <v>2020</v>
      </c>
      <c r="F404" s="607"/>
      <c r="G404" s="607"/>
      <c r="H404" s="607"/>
      <c r="I404" s="610"/>
      <c r="J404" s="610"/>
      <c r="K404" s="609">
        <f t="shared" si="54"/>
        <v>0</v>
      </c>
      <c r="L404" s="557"/>
      <c r="M404" s="557"/>
      <c r="N404" s="557"/>
    </row>
    <row r="405" spans="1:32" x14ac:dyDescent="0.25">
      <c r="A405" s="551" t="str">
        <f>+Info!$B$2</f>
        <v>724</v>
      </c>
      <c r="B405" s="559" t="s">
        <v>1543</v>
      </c>
      <c r="C405" s="614" t="str">
        <f t="shared" si="53"/>
        <v>1.20.20.20.020.030.00.000</v>
      </c>
      <c r="D405" s="566"/>
      <c r="E405" s="564" t="str">
        <f>+Info!$B$3</f>
        <v>2020</v>
      </c>
      <c r="F405" s="607"/>
      <c r="G405" s="607"/>
      <c r="H405" s="607"/>
      <c r="I405" s="610"/>
      <c r="J405" s="610"/>
      <c r="K405" s="609">
        <f t="shared" si="54"/>
        <v>0</v>
      </c>
      <c r="L405" s="557"/>
      <c r="M405" s="557"/>
      <c r="N405" s="557"/>
    </row>
    <row r="406" spans="1:32" x14ac:dyDescent="0.25">
      <c r="A406" s="551" t="str">
        <f>+Info!$B$2</f>
        <v>724</v>
      </c>
      <c r="B406" s="559" t="s">
        <v>1543</v>
      </c>
      <c r="C406" s="614" t="str">
        <f t="shared" si="53"/>
        <v>1.20.20.20.020.030.00.000</v>
      </c>
      <c r="D406" s="566"/>
      <c r="E406" s="564" t="str">
        <f>+Info!$B$3</f>
        <v>2020</v>
      </c>
      <c r="F406" s="607"/>
      <c r="G406" s="607"/>
      <c r="H406" s="607"/>
      <c r="I406" s="610"/>
      <c r="J406" s="610"/>
      <c r="K406" s="609">
        <f t="shared" si="54"/>
        <v>0</v>
      </c>
      <c r="L406" s="557"/>
      <c r="M406" s="557"/>
      <c r="N406" s="557"/>
    </row>
    <row r="407" spans="1:32" x14ac:dyDescent="0.25">
      <c r="A407" s="551" t="str">
        <f>+Info!$B$2</f>
        <v>724</v>
      </c>
      <c r="B407" s="559" t="s">
        <v>1543</v>
      </c>
      <c r="C407" s="614" t="str">
        <f t="shared" si="53"/>
        <v>1.20.20.20.020.030.00.000</v>
      </c>
      <c r="D407" s="566"/>
      <c r="E407" s="564" t="str">
        <f>+Info!$B$3</f>
        <v>2020</v>
      </c>
      <c r="F407" s="607"/>
      <c r="G407" s="607"/>
      <c r="H407" s="607"/>
      <c r="I407" s="610"/>
      <c r="J407" s="610"/>
      <c r="K407" s="609">
        <f t="shared" si="54"/>
        <v>0</v>
      </c>
      <c r="L407" s="557"/>
      <c r="M407" s="557"/>
      <c r="N407" s="557"/>
    </row>
    <row r="408" spans="1:32" x14ac:dyDescent="0.25">
      <c r="A408" s="551" t="str">
        <f>+Info!$B$2</f>
        <v>724</v>
      </c>
      <c r="B408" s="559" t="s">
        <v>1543</v>
      </c>
      <c r="C408" s="616" t="s">
        <v>1544</v>
      </c>
      <c r="D408" s="612" t="str">
        <f>IF(K408=E408,"Quadratura OK!","Squadratura con dati di bilancio!")</f>
        <v>Quadratura OK!</v>
      </c>
      <c r="E408" s="569">
        <f>SUMIF('NI-Soc_SP'!$C:$C,$C408,'NI-Soc_SP'!$Y:$Y)</f>
        <v>0</v>
      </c>
      <c r="F408" s="925" t="s">
        <v>4289</v>
      </c>
      <c r="G408" s="925"/>
      <c r="H408" s="613">
        <f>SUM(H395:H407)</f>
        <v>0</v>
      </c>
      <c r="I408" s="613">
        <f>SUM(I395:I407)</f>
        <v>0</v>
      </c>
      <c r="J408" s="613">
        <f>SUM(J395:J407)</f>
        <v>0</v>
      </c>
      <c r="K408" s="613">
        <f>SUM(K395:K407)</f>
        <v>0</v>
      </c>
      <c r="L408" s="557"/>
      <c r="M408" s="557"/>
      <c r="N408" s="557"/>
      <c r="AC408" s="551" t="str">
        <f>C408</f>
        <v>1.20.20.20.020.030.00.000</v>
      </c>
      <c r="AD408" s="553">
        <f>K408</f>
        <v>0</v>
      </c>
      <c r="AE408" s="553">
        <f>E408</f>
        <v>0</v>
      </c>
      <c r="AF408" s="551">
        <f>IF($AD408=$AE408,0,1)</f>
        <v>0</v>
      </c>
    </row>
    <row r="409" spans="1:32" x14ac:dyDescent="0.25">
      <c r="A409" s="551" t="str">
        <f>+Info!$B$2</f>
        <v>724</v>
      </c>
      <c r="B409" s="559" t="s">
        <v>1554</v>
      </c>
      <c r="C409" s="614" t="str">
        <f t="shared" ref="C409:C421" si="55">$C$422</f>
        <v>1.20.20.20.020.040.00.000</v>
      </c>
      <c r="D409" s="617" t="s">
        <v>4295</v>
      </c>
      <c r="E409" s="606" t="str">
        <f>"Ante "&amp;Info!$B$3</f>
        <v>Ante 2020</v>
      </c>
      <c r="F409" s="607"/>
      <c r="G409" s="607"/>
      <c r="H409" s="608"/>
      <c r="I409" s="607"/>
      <c r="J409" s="608"/>
      <c r="K409" s="609">
        <f>+H409+J409</f>
        <v>0</v>
      </c>
      <c r="L409" s="557"/>
      <c r="M409" s="557"/>
      <c r="N409" s="557"/>
    </row>
    <row r="410" spans="1:32" x14ac:dyDescent="0.25">
      <c r="A410" s="551" t="str">
        <f>+Info!$B$2</f>
        <v>724</v>
      </c>
      <c r="B410" s="559" t="s">
        <v>1554</v>
      </c>
      <c r="C410" s="614" t="str">
        <f t="shared" si="55"/>
        <v>1.20.20.20.020.040.00.000</v>
      </c>
      <c r="D410" s="566"/>
      <c r="E410" s="564" t="str">
        <f>+Info!$B$3</f>
        <v>2020</v>
      </c>
      <c r="F410" s="607"/>
      <c r="G410" s="607"/>
      <c r="H410" s="607"/>
      <c r="I410" s="610"/>
      <c r="J410" s="610"/>
      <c r="K410" s="609">
        <f t="shared" ref="K410:K421" si="56">+I410+J410</f>
        <v>0</v>
      </c>
      <c r="L410" s="557"/>
      <c r="M410" s="557"/>
      <c r="N410" s="557"/>
    </row>
    <row r="411" spans="1:32" x14ac:dyDescent="0.25">
      <c r="A411" s="551" t="str">
        <f>+Info!$B$2</f>
        <v>724</v>
      </c>
      <c r="B411" s="559" t="s">
        <v>1554</v>
      </c>
      <c r="C411" s="614" t="str">
        <f t="shared" si="55"/>
        <v>1.20.20.20.020.040.00.000</v>
      </c>
      <c r="D411" s="566"/>
      <c r="E411" s="564" t="str">
        <f>+Info!$B$3</f>
        <v>2020</v>
      </c>
      <c r="F411" s="607"/>
      <c r="G411" s="607"/>
      <c r="H411" s="607"/>
      <c r="I411" s="610"/>
      <c r="J411" s="610"/>
      <c r="K411" s="609">
        <f t="shared" si="56"/>
        <v>0</v>
      </c>
      <c r="L411" s="557"/>
      <c r="M411" s="557"/>
      <c r="N411" s="557"/>
    </row>
    <row r="412" spans="1:32" x14ac:dyDescent="0.25">
      <c r="A412" s="551" t="str">
        <f>+Info!$B$2</f>
        <v>724</v>
      </c>
      <c r="B412" s="559" t="s">
        <v>1554</v>
      </c>
      <c r="C412" s="614" t="str">
        <f t="shared" si="55"/>
        <v>1.20.20.20.020.040.00.000</v>
      </c>
      <c r="D412" s="566"/>
      <c r="E412" s="564" t="str">
        <f>+Info!$B$3</f>
        <v>2020</v>
      </c>
      <c r="F412" s="607"/>
      <c r="G412" s="607"/>
      <c r="H412" s="607"/>
      <c r="I412" s="610"/>
      <c r="J412" s="610"/>
      <c r="K412" s="609">
        <f t="shared" si="56"/>
        <v>0</v>
      </c>
      <c r="L412" s="557"/>
      <c r="M412" s="557"/>
      <c r="N412" s="557"/>
    </row>
    <row r="413" spans="1:32" x14ac:dyDescent="0.25">
      <c r="A413" s="551" t="str">
        <f>+Info!$B$2</f>
        <v>724</v>
      </c>
      <c r="B413" s="559" t="s">
        <v>1554</v>
      </c>
      <c r="C413" s="614" t="str">
        <f t="shared" si="55"/>
        <v>1.20.20.20.020.040.00.000</v>
      </c>
      <c r="D413" s="566"/>
      <c r="E413" s="564" t="str">
        <f>+Info!$B$3</f>
        <v>2020</v>
      </c>
      <c r="F413" s="607"/>
      <c r="G413" s="607"/>
      <c r="H413" s="607"/>
      <c r="I413" s="610"/>
      <c r="J413" s="610"/>
      <c r="K413" s="609">
        <f t="shared" si="56"/>
        <v>0</v>
      </c>
      <c r="L413" s="557"/>
      <c r="M413" s="557"/>
      <c r="N413" s="557"/>
    </row>
    <row r="414" spans="1:32" x14ac:dyDescent="0.25">
      <c r="A414" s="551" t="str">
        <f>+Info!$B$2</f>
        <v>724</v>
      </c>
      <c r="B414" s="559" t="s">
        <v>1554</v>
      </c>
      <c r="C414" s="614" t="str">
        <f t="shared" si="55"/>
        <v>1.20.20.20.020.040.00.000</v>
      </c>
      <c r="D414" s="566"/>
      <c r="E414" s="564" t="str">
        <f>+Info!$B$3</f>
        <v>2020</v>
      </c>
      <c r="F414" s="607"/>
      <c r="G414" s="607"/>
      <c r="H414" s="607"/>
      <c r="I414" s="610"/>
      <c r="J414" s="610"/>
      <c r="K414" s="609">
        <f t="shared" si="56"/>
        <v>0</v>
      </c>
      <c r="L414" s="557"/>
      <c r="M414" s="557"/>
      <c r="N414" s="557"/>
    </row>
    <row r="415" spans="1:32" x14ac:dyDescent="0.25">
      <c r="A415" s="551" t="str">
        <f>+Info!$B$2</f>
        <v>724</v>
      </c>
      <c r="B415" s="559" t="s">
        <v>1554</v>
      </c>
      <c r="C415" s="614" t="str">
        <f t="shared" si="55"/>
        <v>1.20.20.20.020.040.00.000</v>
      </c>
      <c r="D415" s="566"/>
      <c r="E415" s="564" t="str">
        <f>+Info!$B$3</f>
        <v>2020</v>
      </c>
      <c r="F415" s="607"/>
      <c r="G415" s="607"/>
      <c r="H415" s="607"/>
      <c r="I415" s="610"/>
      <c r="J415" s="610"/>
      <c r="K415" s="609">
        <f t="shared" si="56"/>
        <v>0</v>
      </c>
      <c r="L415" s="557"/>
      <c r="M415" s="557"/>
      <c r="N415" s="557"/>
    </row>
    <row r="416" spans="1:32" x14ac:dyDescent="0.25">
      <c r="A416" s="551" t="str">
        <f>+Info!$B$2</f>
        <v>724</v>
      </c>
      <c r="B416" s="559" t="s">
        <v>1554</v>
      </c>
      <c r="C416" s="614" t="str">
        <f t="shared" si="55"/>
        <v>1.20.20.20.020.040.00.000</v>
      </c>
      <c r="D416" s="566"/>
      <c r="E416" s="564" t="str">
        <f>+Info!$B$3</f>
        <v>2020</v>
      </c>
      <c r="F416" s="607"/>
      <c r="G416" s="607"/>
      <c r="H416" s="607"/>
      <c r="I416" s="610"/>
      <c r="J416" s="610"/>
      <c r="K416" s="609">
        <f t="shared" si="56"/>
        <v>0</v>
      </c>
      <c r="L416" s="557"/>
      <c r="M416" s="557"/>
      <c r="N416" s="557"/>
    </row>
    <row r="417" spans="1:32" x14ac:dyDescent="0.25">
      <c r="A417" s="551" t="str">
        <f>+Info!$B$2</f>
        <v>724</v>
      </c>
      <c r="B417" s="559" t="s">
        <v>1554</v>
      </c>
      <c r="C417" s="614" t="str">
        <f t="shared" si="55"/>
        <v>1.20.20.20.020.040.00.000</v>
      </c>
      <c r="D417" s="566"/>
      <c r="E417" s="564" t="str">
        <f>+Info!$B$3</f>
        <v>2020</v>
      </c>
      <c r="F417" s="607"/>
      <c r="G417" s="607"/>
      <c r="H417" s="607"/>
      <c r="I417" s="610"/>
      <c r="J417" s="610"/>
      <c r="K417" s="609">
        <f t="shared" si="56"/>
        <v>0</v>
      </c>
      <c r="L417" s="557"/>
      <c r="M417" s="557"/>
      <c r="N417" s="557"/>
    </row>
    <row r="418" spans="1:32" x14ac:dyDescent="0.25">
      <c r="A418" s="551" t="str">
        <f>+Info!$B$2</f>
        <v>724</v>
      </c>
      <c r="B418" s="559" t="s">
        <v>1554</v>
      </c>
      <c r="C418" s="614" t="str">
        <f t="shared" si="55"/>
        <v>1.20.20.20.020.040.00.000</v>
      </c>
      <c r="D418" s="566"/>
      <c r="E418" s="564" t="str">
        <f>+Info!$B$3</f>
        <v>2020</v>
      </c>
      <c r="F418" s="607"/>
      <c r="G418" s="607"/>
      <c r="H418" s="607"/>
      <c r="I418" s="610"/>
      <c r="J418" s="610"/>
      <c r="K418" s="609">
        <f t="shared" si="56"/>
        <v>0</v>
      </c>
      <c r="L418" s="557"/>
      <c r="M418" s="557"/>
      <c r="N418" s="557"/>
    </row>
    <row r="419" spans="1:32" x14ac:dyDescent="0.25">
      <c r="A419" s="551" t="str">
        <f>+Info!$B$2</f>
        <v>724</v>
      </c>
      <c r="B419" s="559" t="s">
        <v>1554</v>
      </c>
      <c r="C419" s="614" t="str">
        <f t="shared" si="55"/>
        <v>1.20.20.20.020.040.00.000</v>
      </c>
      <c r="D419" s="566"/>
      <c r="E419" s="564" t="str">
        <f>+Info!$B$3</f>
        <v>2020</v>
      </c>
      <c r="F419" s="607"/>
      <c r="G419" s="607"/>
      <c r="H419" s="607"/>
      <c r="I419" s="610"/>
      <c r="J419" s="610"/>
      <c r="K419" s="609">
        <f t="shared" si="56"/>
        <v>0</v>
      </c>
      <c r="L419" s="557"/>
      <c r="M419" s="557"/>
      <c r="N419" s="557"/>
    </row>
    <row r="420" spans="1:32" x14ac:dyDescent="0.25">
      <c r="A420" s="551" t="str">
        <f>+Info!$B$2</f>
        <v>724</v>
      </c>
      <c r="B420" s="559" t="s">
        <v>1554</v>
      </c>
      <c r="C420" s="614" t="str">
        <f t="shared" si="55"/>
        <v>1.20.20.20.020.040.00.000</v>
      </c>
      <c r="D420" s="566"/>
      <c r="E420" s="564" t="str">
        <f>+Info!$B$3</f>
        <v>2020</v>
      </c>
      <c r="F420" s="607"/>
      <c r="G420" s="607"/>
      <c r="H420" s="607"/>
      <c r="I420" s="610"/>
      <c r="J420" s="610"/>
      <c r="K420" s="609">
        <f t="shared" si="56"/>
        <v>0</v>
      </c>
      <c r="L420" s="557"/>
      <c r="M420" s="557"/>
      <c r="N420" s="557"/>
    </row>
    <row r="421" spans="1:32" x14ac:dyDescent="0.25">
      <c r="A421" s="551" t="str">
        <f>+Info!$B$2</f>
        <v>724</v>
      </c>
      <c r="B421" s="559" t="s">
        <v>1554</v>
      </c>
      <c r="C421" s="614" t="str">
        <f t="shared" si="55"/>
        <v>1.20.20.20.020.040.00.000</v>
      </c>
      <c r="D421" s="566"/>
      <c r="E421" s="564" t="str">
        <f>+Info!$B$3</f>
        <v>2020</v>
      </c>
      <c r="F421" s="607"/>
      <c r="G421" s="607"/>
      <c r="H421" s="607"/>
      <c r="I421" s="610"/>
      <c r="J421" s="610"/>
      <c r="K421" s="609">
        <f t="shared" si="56"/>
        <v>0</v>
      </c>
      <c r="L421" s="557"/>
      <c r="M421" s="557"/>
      <c r="N421" s="557"/>
    </row>
    <row r="422" spans="1:32" x14ac:dyDescent="0.25">
      <c r="A422" s="551" t="str">
        <f>+Info!$B$2</f>
        <v>724</v>
      </c>
      <c r="B422" s="559" t="s">
        <v>1554</v>
      </c>
      <c r="C422" s="616" t="s">
        <v>1555</v>
      </c>
      <c r="D422" s="612" t="str">
        <f>IF(K422=E422,"Quadratura OK!","Squadratura con dati di bilancio!")</f>
        <v>Quadratura OK!</v>
      </c>
      <c r="E422" s="569">
        <f>SUMIF('NI-Soc_SP'!$C:$C,$C422,'NI-Soc_SP'!$Y:$Y)</f>
        <v>0</v>
      </c>
      <c r="F422" s="925" t="s">
        <v>4289</v>
      </c>
      <c r="G422" s="925"/>
      <c r="H422" s="613">
        <f>SUM(H409:H421)</f>
        <v>0</v>
      </c>
      <c r="I422" s="613">
        <f>SUM(I409:I421)</f>
        <v>0</v>
      </c>
      <c r="J422" s="613">
        <f>SUM(J409:J421)</f>
        <v>0</v>
      </c>
      <c r="K422" s="613">
        <f>SUM(K409:K421)</f>
        <v>0</v>
      </c>
      <c r="L422" s="557"/>
      <c r="M422" s="557"/>
      <c r="N422" s="557"/>
      <c r="AC422" s="551" t="str">
        <f>C422</f>
        <v>1.20.20.20.020.040.00.000</v>
      </c>
      <c r="AD422" s="553">
        <f>K422</f>
        <v>0</v>
      </c>
      <c r="AE422" s="553">
        <f>E422</f>
        <v>0</v>
      </c>
      <c r="AF422" s="551">
        <f>IF($AD422=$AE422,0,1)</f>
        <v>0</v>
      </c>
    </row>
    <row r="423" spans="1:32" ht="33.75" x14ac:dyDescent="0.25">
      <c r="A423" s="618" t="str">
        <f>+Info!$B$2</f>
        <v>724</v>
      </c>
      <c r="B423" s="559" t="s">
        <v>1559</v>
      </c>
      <c r="C423" s="614" t="str">
        <f t="shared" ref="C423:C435" si="57">$C$436</f>
        <v>1.20.20.20.020.050.00.000</v>
      </c>
      <c r="D423" s="619" t="s">
        <v>4296</v>
      </c>
      <c r="E423" s="606" t="str">
        <f>"Ante "&amp;Info!$B$3</f>
        <v>Ante 2020</v>
      </c>
      <c r="F423" s="607"/>
      <c r="G423" s="607"/>
      <c r="H423" s="608"/>
      <c r="I423" s="607"/>
      <c r="J423" s="608"/>
      <c r="K423" s="609">
        <f>+H423+J423</f>
        <v>0</v>
      </c>
      <c r="L423" s="557"/>
      <c r="M423" s="557"/>
      <c r="N423" s="557"/>
    </row>
    <row r="424" spans="1:32" x14ac:dyDescent="0.25">
      <c r="A424" s="551" t="str">
        <f>+Info!$B$2</f>
        <v>724</v>
      </c>
      <c r="B424" s="559" t="s">
        <v>1559</v>
      </c>
      <c r="C424" s="614" t="str">
        <f t="shared" si="57"/>
        <v>1.20.20.20.020.050.00.000</v>
      </c>
      <c r="D424" s="566"/>
      <c r="E424" s="564" t="str">
        <f>+Info!$B$3</f>
        <v>2020</v>
      </c>
      <c r="F424" s="607"/>
      <c r="G424" s="607"/>
      <c r="H424" s="607"/>
      <c r="I424" s="610"/>
      <c r="J424" s="610"/>
      <c r="K424" s="609">
        <f t="shared" ref="K424:K435" si="58">+I424+J424</f>
        <v>0</v>
      </c>
      <c r="L424" s="557"/>
      <c r="M424" s="557"/>
      <c r="N424" s="557"/>
    </row>
    <row r="425" spans="1:32" x14ac:dyDescent="0.25">
      <c r="A425" s="551" t="str">
        <f>+Info!$B$2</f>
        <v>724</v>
      </c>
      <c r="B425" s="559" t="s">
        <v>1559</v>
      </c>
      <c r="C425" s="614" t="str">
        <f t="shared" si="57"/>
        <v>1.20.20.20.020.050.00.000</v>
      </c>
      <c r="D425" s="566"/>
      <c r="E425" s="564" t="str">
        <f>+Info!$B$3</f>
        <v>2020</v>
      </c>
      <c r="F425" s="607"/>
      <c r="G425" s="607"/>
      <c r="H425" s="607"/>
      <c r="I425" s="610"/>
      <c r="J425" s="610"/>
      <c r="K425" s="609">
        <f t="shared" si="58"/>
        <v>0</v>
      </c>
      <c r="L425" s="557"/>
      <c r="M425" s="557"/>
      <c r="N425" s="557"/>
    </row>
    <row r="426" spans="1:32" x14ac:dyDescent="0.25">
      <c r="A426" s="551" t="str">
        <f>+Info!$B$2</f>
        <v>724</v>
      </c>
      <c r="B426" s="559" t="s">
        <v>1559</v>
      </c>
      <c r="C426" s="614" t="str">
        <f t="shared" si="57"/>
        <v>1.20.20.20.020.050.00.000</v>
      </c>
      <c r="D426" s="566"/>
      <c r="E426" s="564" t="str">
        <f>+Info!$B$3</f>
        <v>2020</v>
      </c>
      <c r="F426" s="607"/>
      <c r="G426" s="607"/>
      <c r="H426" s="607"/>
      <c r="I426" s="610"/>
      <c r="J426" s="610"/>
      <c r="K426" s="609">
        <f t="shared" si="58"/>
        <v>0</v>
      </c>
      <c r="L426" s="557"/>
      <c r="M426" s="557"/>
      <c r="N426" s="557"/>
    </row>
    <row r="427" spans="1:32" x14ac:dyDescent="0.25">
      <c r="A427" s="551" t="str">
        <f>+Info!$B$2</f>
        <v>724</v>
      </c>
      <c r="B427" s="559" t="s">
        <v>1559</v>
      </c>
      <c r="C427" s="614" t="str">
        <f t="shared" si="57"/>
        <v>1.20.20.20.020.050.00.000</v>
      </c>
      <c r="D427" s="566"/>
      <c r="E427" s="564" t="str">
        <f>+Info!$B$3</f>
        <v>2020</v>
      </c>
      <c r="F427" s="607"/>
      <c r="G427" s="607"/>
      <c r="H427" s="607"/>
      <c r="I427" s="610"/>
      <c r="J427" s="610"/>
      <c r="K427" s="609">
        <f t="shared" si="58"/>
        <v>0</v>
      </c>
      <c r="L427" s="557"/>
      <c r="M427" s="557"/>
      <c r="N427" s="557"/>
    </row>
    <row r="428" spans="1:32" x14ac:dyDescent="0.25">
      <c r="A428" s="551" t="str">
        <f>+Info!$B$2</f>
        <v>724</v>
      </c>
      <c r="B428" s="559" t="s">
        <v>1559</v>
      </c>
      <c r="C428" s="614" t="str">
        <f t="shared" si="57"/>
        <v>1.20.20.20.020.050.00.000</v>
      </c>
      <c r="D428" s="566"/>
      <c r="E428" s="564" t="str">
        <f>+Info!$B$3</f>
        <v>2020</v>
      </c>
      <c r="F428" s="607"/>
      <c r="G428" s="607"/>
      <c r="H428" s="607"/>
      <c r="I428" s="610"/>
      <c r="J428" s="610"/>
      <c r="K428" s="609">
        <f t="shared" si="58"/>
        <v>0</v>
      </c>
      <c r="L428" s="557"/>
      <c r="M428" s="557"/>
      <c r="N428" s="557"/>
    </row>
    <row r="429" spans="1:32" x14ac:dyDescent="0.25">
      <c r="A429" s="551" t="str">
        <f>+Info!$B$2</f>
        <v>724</v>
      </c>
      <c r="B429" s="559" t="s">
        <v>1559</v>
      </c>
      <c r="C429" s="614" t="str">
        <f t="shared" si="57"/>
        <v>1.20.20.20.020.050.00.000</v>
      </c>
      <c r="D429" s="566"/>
      <c r="E429" s="564" t="str">
        <f>+Info!$B$3</f>
        <v>2020</v>
      </c>
      <c r="F429" s="607"/>
      <c r="G429" s="607"/>
      <c r="H429" s="607"/>
      <c r="I429" s="610"/>
      <c r="J429" s="610"/>
      <c r="K429" s="609">
        <f t="shared" si="58"/>
        <v>0</v>
      </c>
      <c r="L429" s="557"/>
      <c r="M429" s="557"/>
      <c r="N429" s="557"/>
    </row>
    <row r="430" spans="1:32" x14ac:dyDescent="0.25">
      <c r="A430" s="551" t="str">
        <f>+Info!$B$2</f>
        <v>724</v>
      </c>
      <c r="B430" s="559" t="s">
        <v>1559</v>
      </c>
      <c r="C430" s="614" t="str">
        <f t="shared" si="57"/>
        <v>1.20.20.20.020.050.00.000</v>
      </c>
      <c r="D430" s="566"/>
      <c r="E430" s="564" t="str">
        <f>+Info!$B$3</f>
        <v>2020</v>
      </c>
      <c r="F430" s="607"/>
      <c r="G430" s="607"/>
      <c r="H430" s="607"/>
      <c r="I430" s="610"/>
      <c r="J430" s="610"/>
      <c r="K430" s="609">
        <f t="shared" si="58"/>
        <v>0</v>
      </c>
      <c r="L430" s="557"/>
      <c r="M430" s="557"/>
      <c r="N430" s="557"/>
    </row>
    <row r="431" spans="1:32" x14ac:dyDescent="0.25">
      <c r="A431" s="551" t="str">
        <f>+Info!$B$2</f>
        <v>724</v>
      </c>
      <c r="B431" s="559" t="s">
        <v>1559</v>
      </c>
      <c r="C431" s="614" t="str">
        <f t="shared" si="57"/>
        <v>1.20.20.20.020.050.00.000</v>
      </c>
      <c r="D431" s="566"/>
      <c r="E431" s="564" t="str">
        <f>+Info!$B$3</f>
        <v>2020</v>
      </c>
      <c r="F431" s="607"/>
      <c r="G431" s="607"/>
      <c r="H431" s="607"/>
      <c r="I431" s="610"/>
      <c r="J431" s="610"/>
      <c r="K431" s="609">
        <f t="shared" si="58"/>
        <v>0</v>
      </c>
      <c r="L431" s="557"/>
      <c r="M431" s="557"/>
      <c r="N431" s="557"/>
    </row>
    <row r="432" spans="1:32" x14ac:dyDescent="0.25">
      <c r="A432" s="551" t="str">
        <f>+Info!$B$2</f>
        <v>724</v>
      </c>
      <c r="B432" s="559" t="s">
        <v>1559</v>
      </c>
      <c r="C432" s="614" t="str">
        <f t="shared" si="57"/>
        <v>1.20.20.20.020.050.00.000</v>
      </c>
      <c r="D432" s="566"/>
      <c r="E432" s="564" t="str">
        <f>+Info!$B$3</f>
        <v>2020</v>
      </c>
      <c r="F432" s="607"/>
      <c r="G432" s="607"/>
      <c r="H432" s="607"/>
      <c r="I432" s="610"/>
      <c r="J432" s="610"/>
      <c r="K432" s="609">
        <f t="shared" si="58"/>
        <v>0</v>
      </c>
      <c r="L432" s="557"/>
      <c r="M432" s="557"/>
      <c r="N432" s="557"/>
    </row>
    <row r="433" spans="1:32" x14ac:dyDescent="0.25">
      <c r="A433" s="551" t="str">
        <f>+Info!$B$2</f>
        <v>724</v>
      </c>
      <c r="B433" s="559" t="s">
        <v>1559</v>
      </c>
      <c r="C433" s="614" t="str">
        <f t="shared" si="57"/>
        <v>1.20.20.20.020.050.00.000</v>
      </c>
      <c r="D433" s="566"/>
      <c r="E433" s="564" t="str">
        <f>+Info!$B$3</f>
        <v>2020</v>
      </c>
      <c r="F433" s="607"/>
      <c r="G433" s="607"/>
      <c r="H433" s="607"/>
      <c r="I433" s="610"/>
      <c r="J433" s="610"/>
      <c r="K433" s="609">
        <f t="shared" si="58"/>
        <v>0</v>
      </c>
      <c r="L433" s="557"/>
      <c r="M433" s="557"/>
      <c r="N433" s="557"/>
    </row>
    <row r="434" spans="1:32" x14ac:dyDescent="0.25">
      <c r="A434" s="551" t="str">
        <f>+Info!$B$2</f>
        <v>724</v>
      </c>
      <c r="B434" s="559" t="s">
        <v>1559</v>
      </c>
      <c r="C434" s="614" t="str">
        <f t="shared" si="57"/>
        <v>1.20.20.20.020.050.00.000</v>
      </c>
      <c r="D434" s="566"/>
      <c r="E434" s="564" t="str">
        <f>+Info!$B$3</f>
        <v>2020</v>
      </c>
      <c r="F434" s="607"/>
      <c r="G434" s="607"/>
      <c r="H434" s="607"/>
      <c r="I434" s="610"/>
      <c r="J434" s="610"/>
      <c r="K434" s="609">
        <f t="shared" si="58"/>
        <v>0</v>
      </c>
      <c r="L434" s="557"/>
      <c r="M434" s="557"/>
      <c r="N434" s="557"/>
    </row>
    <row r="435" spans="1:32" x14ac:dyDescent="0.25">
      <c r="A435" s="551" t="str">
        <f>+Info!$B$2</f>
        <v>724</v>
      </c>
      <c r="B435" s="559" t="s">
        <v>1559</v>
      </c>
      <c r="C435" s="614" t="str">
        <f t="shared" si="57"/>
        <v>1.20.20.20.020.050.00.000</v>
      </c>
      <c r="D435" s="566"/>
      <c r="E435" s="564" t="str">
        <f>+Info!$B$3</f>
        <v>2020</v>
      </c>
      <c r="F435" s="607"/>
      <c r="G435" s="607"/>
      <c r="H435" s="607"/>
      <c r="I435" s="610"/>
      <c r="J435" s="610"/>
      <c r="K435" s="609">
        <f t="shared" si="58"/>
        <v>0</v>
      </c>
      <c r="L435" s="557"/>
      <c r="M435" s="557"/>
      <c r="N435" s="557"/>
    </row>
    <row r="436" spans="1:32" x14ac:dyDescent="0.25">
      <c r="A436" s="551" t="str">
        <f>+Info!$B$2</f>
        <v>724</v>
      </c>
      <c r="B436" s="559" t="s">
        <v>1559</v>
      </c>
      <c r="C436" s="616" t="s">
        <v>1560</v>
      </c>
      <c r="D436" s="612" t="str">
        <f>IF(K436=E436,"Quadratura OK!","Squadratura con dati di bilancio!")</f>
        <v>Quadratura OK!</v>
      </c>
      <c r="E436" s="569">
        <f>SUMIF('NI-Soc_SP'!$C:$C,$C436,'NI-Soc_SP'!$Y:$Y)</f>
        <v>0</v>
      </c>
      <c r="F436" s="925" t="s">
        <v>4289</v>
      </c>
      <c r="G436" s="925"/>
      <c r="H436" s="613">
        <f>SUM(H423:H435)</f>
        <v>0</v>
      </c>
      <c r="I436" s="613">
        <f>SUM(I423:I435)</f>
        <v>0</v>
      </c>
      <c r="J436" s="613">
        <f>SUM(J423:J435)</f>
        <v>0</v>
      </c>
      <c r="K436" s="613">
        <f>SUM(K423:K435)</f>
        <v>0</v>
      </c>
      <c r="L436" s="557"/>
      <c r="M436" s="557"/>
      <c r="N436" s="557"/>
      <c r="AC436" s="551" t="str">
        <f>C436</f>
        <v>1.20.20.20.020.050.00.000</v>
      </c>
      <c r="AD436" s="553">
        <f>K436</f>
        <v>0</v>
      </c>
      <c r="AE436" s="553">
        <f>E436</f>
        <v>0</v>
      </c>
      <c r="AF436" s="551">
        <f>IF($AD436=$AE436,0,1)</f>
        <v>0</v>
      </c>
    </row>
    <row r="437" spans="1:32" x14ac:dyDescent="0.25">
      <c r="A437" s="551" t="str">
        <f>+Info!$B$2</f>
        <v>724</v>
      </c>
      <c r="B437" s="620"/>
      <c r="C437" s="620"/>
      <c r="D437" s="620"/>
      <c r="E437" s="557"/>
      <c r="F437" s="557"/>
      <c r="G437" s="557"/>
      <c r="H437" s="557"/>
      <c r="I437" s="557"/>
      <c r="J437" s="557"/>
      <c r="K437" s="557"/>
      <c r="L437" s="557"/>
      <c r="M437" s="557"/>
      <c r="N437" s="557"/>
    </row>
    <row r="438" spans="1:32" x14ac:dyDescent="0.25">
      <c r="A438" s="551" t="str">
        <f>+Info!$B$2</f>
        <v>724</v>
      </c>
      <c r="B438" s="620"/>
      <c r="C438" s="620"/>
      <c r="D438" s="620"/>
      <c r="E438" s="557"/>
      <c r="F438" s="557"/>
      <c r="G438" s="557"/>
      <c r="H438" s="557"/>
      <c r="I438" s="557"/>
      <c r="J438" s="557"/>
      <c r="K438" s="557"/>
      <c r="L438" s="557"/>
      <c r="M438" s="557"/>
      <c r="N438" s="557"/>
    </row>
    <row r="439" spans="1:32" x14ac:dyDescent="0.25">
      <c r="A439" s="551" t="str">
        <f>+Info!$B$2</f>
        <v>724</v>
      </c>
      <c r="B439" s="620"/>
      <c r="C439" s="620"/>
      <c r="D439" s="590" t="s">
        <v>4297</v>
      </c>
      <c r="E439" s="557"/>
      <c r="F439" s="557"/>
      <c r="G439" s="557"/>
      <c r="H439" s="557"/>
      <c r="I439" s="557"/>
      <c r="J439" s="557"/>
      <c r="K439" s="557"/>
      <c r="L439" s="557"/>
      <c r="M439" s="557"/>
      <c r="N439" s="557"/>
    </row>
    <row r="440" spans="1:32" x14ac:dyDescent="0.25">
      <c r="A440" s="551" t="str">
        <f>+Info!$B$2</f>
        <v>724</v>
      </c>
      <c r="B440" s="620"/>
      <c r="C440" s="620"/>
      <c r="D440" s="590" t="s">
        <v>4298</v>
      </c>
      <c r="E440" s="918" t="s">
        <v>4299</v>
      </c>
      <c r="F440" s="918"/>
      <c r="G440" s="918"/>
      <c r="H440" s="558" t="str">
        <f>+'NI-Soc_SP'!T750</f>
        <v>Entro 12 mesi (2020)</v>
      </c>
      <c r="I440" s="558" t="str">
        <f>+'NI-Soc_SP'!U750</f>
        <v>Oltre 12 mesi (2020)</v>
      </c>
      <c r="J440" s="558" t="s">
        <v>4300</v>
      </c>
      <c r="K440" s="557"/>
      <c r="L440" s="557"/>
      <c r="M440" s="557"/>
      <c r="N440" s="557"/>
    </row>
    <row r="441" spans="1:32" x14ac:dyDescent="0.25">
      <c r="A441" s="551" t="str">
        <f>+Info!$B$2</f>
        <v>724</v>
      </c>
      <c r="B441" s="274" t="s">
        <v>1810</v>
      </c>
      <c r="C441" s="274" t="str">
        <f>$C468</f>
        <v>1.30.10.10.000.000.00.000</v>
      </c>
      <c r="D441" s="563"/>
      <c r="E441" s="917"/>
      <c r="F441" s="917"/>
      <c r="G441" s="917"/>
      <c r="H441" s="621"/>
      <c r="I441" s="621"/>
      <c r="J441" s="559">
        <f t="shared" ref="J441:J467" si="59">+H441+I441</f>
        <v>0</v>
      </c>
      <c r="K441" s="557"/>
      <c r="L441" s="557"/>
      <c r="M441" s="557"/>
      <c r="N441" s="557"/>
    </row>
    <row r="442" spans="1:32" x14ac:dyDescent="0.25">
      <c r="A442" s="551" t="str">
        <f>+Info!$B$2</f>
        <v>724</v>
      </c>
      <c r="B442" s="274" t="s">
        <v>1810</v>
      </c>
      <c r="C442" s="274" t="str">
        <f t="shared" ref="C442:C467" si="60">$C$468</f>
        <v>1.30.10.10.000.000.00.000</v>
      </c>
      <c r="D442" s="563"/>
      <c r="E442" s="917"/>
      <c r="F442" s="917"/>
      <c r="G442" s="917"/>
      <c r="H442" s="621"/>
      <c r="I442" s="621"/>
      <c r="J442" s="559">
        <f t="shared" si="59"/>
        <v>0</v>
      </c>
      <c r="K442" s="557"/>
      <c r="L442" s="557"/>
      <c r="M442" s="557"/>
      <c r="N442" s="557"/>
    </row>
    <row r="443" spans="1:32" x14ac:dyDescent="0.25">
      <c r="A443" s="551" t="str">
        <f>+Info!$B$2</f>
        <v>724</v>
      </c>
      <c r="B443" s="274" t="s">
        <v>1810</v>
      </c>
      <c r="C443" s="274" t="str">
        <f t="shared" si="60"/>
        <v>1.30.10.10.000.000.00.000</v>
      </c>
      <c r="D443" s="563"/>
      <c r="E443" s="917"/>
      <c r="F443" s="917"/>
      <c r="G443" s="917"/>
      <c r="H443" s="621"/>
      <c r="I443" s="621"/>
      <c r="J443" s="559">
        <f t="shared" si="59"/>
        <v>0</v>
      </c>
      <c r="K443" s="557"/>
      <c r="L443" s="557"/>
      <c r="M443" s="557"/>
      <c r="N443" s="557"/>
    </row>
    <row r="444" spans="1:32" x14ac:dyDescent="0.25">
      <c r="A444" s="551" t="str">
        <f>+Info!$B$2</f>
        <v>724</v>
      </c>
      <c r="B444" s="274" t="s">
        <v>1810</v>
      </c>
      <c r="C444" s="274" t="str">
        <f t="shared" si="60"/>
        <v>1.30.10.10.000.000.00.000</v>
      </c>
      <c r="D444" s="563"/>
      <c r="E444" s="917"/>
      <c r="F444" s="917"/>
      <c r="G444" s="917"/>
      <c r="H444" s="621"/>
      <c r="I444" s="621"/>
      <c r="J444" s="559">
        <f t="shared" si="59"/>
        <v>0</v>
      </c>
      <c r="K444" s="557"/>
      <c r="L444" s="557"/>
      <c r="M444" s="557"/>
      <c r="N444" s="557"/>
    </row>
    <row r="445" spans="1:32" x14ac:dyDescent="0.25">
      <c r="A445" s="551" t="str">
        <f>+Info!$B$2</f>
        <v>724</v>
      </c>
      <c r="B445" s="274" t="s">
        <v>1810</v>
      </c>
      <c r="C445" s="274" t="str">
        <f t="shared" si="60"/>
        <v>1.30.10.10.000.000.00.000</v>
      </c>
      <c r="D445" s="563"/>
      <c r="E445" s="917"/>
      <c r="F445" s="917"/>
      <c r="G445" s="917"/>
      <c r="H445" s="621"/>
      <c r="I445" s="621"/>
      <c r="J445" s="559">
        <f t="shared" si="59"/>
        <v>0</v>
      </c>
      <c r="K445" s="557"/>
      <c r="L445" s="557"/>
      <c r="M445" s="557"/>
      <c r="N445" s="557"/>
    </row>
    <row r="446" spans="1:32" x14ac:dyDescent="0.25">
      <c r="A446" s="551" t="str">
        <f>+Info!$B$2</f>
        <v>724</v>
      </c>
      <c r="B446" s="274" t="s">
        <v>1810</v>
      </c>
      <c r="C446" s="274" t="str">
        <f t="shared" si="60"/>
        <v>1.30.10.10.000.000.00.000</v>
      </c>
      <c r="D446" s="563"/>
      <c r="E446" s="917"/>
      <c r="F446" s="917"/>
      <c r="G446" s="917"/>
      <c r="H446" s="621"/>
      <c r="I446" s="621"/>
      <c r="J446" s="559">
        <f t="shared" si="59"/>
        <v>0</v>
      </c>
      <c r="K446" s="557"/>
      <c r="L446" s="557"/>
      <c r="M446" s="557"/>
      <c r="N446" s="557"/>
    </row>
    <row r="447" spans="1:32" x14ac:dyDescent="0.25">
      <c r="A447" s="551" t="str">
        <f>+Info!$B$2</f>
        <v>724</v>
      </c>
      <c r="B447" s="274" t="s">
        <v>1810</v>
      </c>
      <c r="C447" s="274" t="str">
        <f t="shared" si="60"/>
        <v>1.30.10.10.000.000.00.000</v>
      </c>
      <c r="D447" s="563"/>
      <c r="E447" s="917"/>
      <c r="F447" s="917"/>
      <c r="G447" s="917"/>
      <c r="H447" s="621"/>
      <c r="I447" s="621"/>
      <c r="J447" s="559">
        <f t="shared" si="59"/>
        <v>0</v>
      </c>
      <c r="K447" s="557"/>
      <c r="L447" s="557"/>
      <c r="M447" s="557"/>
      <c r="N447" s="557"/>
    </row>
    <row r="448" spans="1:32" x14ac:dyDescent="0.25">
      <c r="A448" s="551" t="str">
        <f>+Info!$B$2</f>
        <v>724</v>
      </c>
      <c r="B448" s="274" t="s">
        <v>1810</v>
      </c>
      <c r="C448" s="274" t="str">
        <f t="shared" si="60"/>
        <v>1.30.10.10.000.000.00.000</v>
      </c>
      <c r="D448" s="563"/>
      <c r="E448" s="917"/>
      <c r="F448" s="917"/>
      <c r="G448" s="917"/>
      <c r="H448" s="621"/>
      <c r="I448" s="621"/>
      <c r="J448" s="559">
        <f t="shared" si="59"/>
        <v>0</v>
      </c>
      <c r="K448" s="557"/>
      <c r="L448" s="557"/>
      <c r="M448" s="557"/>
      <c r="N448" s="557"/>
    </row>
    <row r="449" spans="1:14" x14ac:dyDescent="0.25">
      <c r="A449" s="551" t="str">
        <f>+Info!$B$2</f>
        <v>724</v>
      </c>
      <c r="B449" s="274" t="s">
        <v>1810</v>
      </c>
      <c r="C449" s="274" t="str">
        <f t="shared" si="60"/>
        <v>1.30.10.10.000.000.00.000</v>
      </c>
      <c r="D449" s="563"/>
      <c r="E449" s="917"/>
      <c r="F449" s="917"/>
      <c r="G449" s="917"/>
      <c r="H449" s="621"/>
      <c r="I449" s="621"/>
      <c r="J449" s="559">
        <f t="shared" si="59"/>
        <v>0</v>
      </c>
      <c r="L449" s="557"/>
      <c r="M449" s="557"/>
      <c r="N449" s="557"/>
    </row>
    <row r="450" spans="1:14" x14ac:dyDescent="0.25">
      <c r="A450" s="551" t="str">
        <f>+Info!$B$2</f>
        <v>724</v>
      </c>
      <c r="B450" s="274" t="s">
        <v>1810</v>
      </c>
      <c r="C450" s="274" t="str">
        <f t="shared" si="60"/>
        <v>1.30.10.10.000.000.00.000</v>
      </c>
      <c r="D450" s="563"/>
      <c r="E450" s="917"/>
      <c r="F450" s="917"/>
      <c r="G450" s="917"/>
      <c r="H450" s="621"/>
      <c r="I450" s="621"/>
      <c r="J450" s="559">
        <f t="shared" si="59"/>
        <v>0</v>
      </c>
      <c r="L450" s="557"/>
      <c r="M450" s="557"/>
      <c r="N450" s="557"/>
    </row>
    <row r="451" spans="1:14" x14ac:dyDescent="0.25">
      <c r="A451" s="551" t="str">
        <f>+Info!$B$2</f>
        <v>724</v>
      </c>
      <c r="B451" s="274" t="s">
        <v>1810</v>
      </c>
      <c r="C451" s="274" t="str">
        <f t="shared" si="60"/>
        <v>1.30.10.10.000.000.00.000</v>
      </c>
      <c r="D451" s="563"/>
      <c r="E451" s="917"/>
      <c r="F451" s="917"/>
      <c r="G451" s="917"/>
      <c r="H451" s="621"/>
      <c r="I451" s="621"/>
      <c r="J451" s="559">
        <f t="shared" si="59"/>
        <v>0</v>
      </c>
      <c r="L451" s="557"/>
      <c r="M451" s="557"/>
      <c r="N451" s="557"/>
    </row>
    <row r="452" spans="1:14" x14ac:dyDescent="0.25">
      <c r="A452" s="551" t="str">
        <f>+Info!$B$2</f>
        <v>724</v>
      </c>
      <c r="B452" s="274" t="s">
        <v>1810</v>
      </c>
      <c r="C452" s="274" t="str">
        <f t="shared" si="60"/>
        <v>1.30.10.10.000.000.00.000</v>
      </c>
      <c r="D452" s="563"/>
      <c r="E452" s="917"/>
      <c r="F452" s="917"/>
      <c r="G452" s="917"/>
      <c r="H452" s="621"/>
      <c r="I452" s="621"/>
      <c r="J452" s="559">
        <f t="shared" si="59"/>
        <v>0</v>
      </c>
    </row>
    <row r="453" spans="1:14" x14ac:dyDescent="0.25">
      <c r="A453" s="551" t="str">
        <f>+Info!$B$2</f>
        <v>724</v>
      </c>
      <c r="B453" s="274" t="s">
        <v>1810</v>
      </c>
      <c r="C453" s="274" t="str">
        <f t="shared" si="60"/>
        <v>1.30.10.10.000.000.00.000</v>
      </c>
      <c r="D453" s="563"/>
      <c r="E453" s="917"/>
      <c r="F453" s="917"/>
      <c r="G453" s="917"/>
      <c r="H453" s="621"/>
      <c r="I453" s="621"/>
      <c r="J453" s="559">
        <f t="shared" si="59"/>
        <v>0</v>
      </c>
    </row>
    <row r="454" spans="1:14" x14ac:dyDescent="0.25">
      <c r="A454" s="551" t="str">
        <f>+Info!$B$2</f>
        <v>724</v>
      </c>
      <c r="B454" s="274" t="s">
        <v>1810</v>
      </c>
      <c r="C454" s="274" t="str">
        <f t="shared" si="60"/>
        <v>1.30.10.10.000.000.00.000</v>
      </c>
      <c r="D454" s="563"/>
      <c r="E454" s="917"/>
      <c r="F454" s="917"/>
      <c r="G454" s="917"/>
      <c r="H454" s="621"/>
      <c r="I454" s="621"/>
      <c r="J454" s="559">
        <f t="shared" si="59"/>
        <v>0</v>
      </c>
    </row>
    <row r="455" spans="1:14" x14ac:dyDescent="0.25">
      <c r="A455" s="551" t="str">
        <f>+Info!$B$2</f>
        <v>724</v>
      </c>
      <c r="B455" s="274" t="s">
        <v>1810</v>
      </c>
      <c r="C455" s="274" t="str">
        <f t="shared" si="60"/>
        <v>1.30.10.10.000.000.00.000</v>
      </c>
      <c r="D455" s="563"/>
      <c r="E455" s="917"/>
      <c r="F455" s="917"/>
      <c r="G455" s="917"/>
      <c r="H455" s="621"/>
      <c r="I455" s="621"/>
      <c r="J455" s="559">
        <f t="shared" si="59"/>
        <v>0</v>
      </c>
    </row>
    <row r="456" spans="1:14" x14ac:dyDescent="0.25">
      <c r="A456" s="551" t="str">
        <f>+Info!$B$2</f>
        <v>724</v>
      </c>
      <c r="B456" s="274" t="s">
        <v>1810</v>
      </c>
      <c r="C456" s="274" t="str">
        <f t="shared" si="60"/>
        <v>1.30.10.10.000.000.00.000</v>
      </c>
      <c r="D456" s="563"/>
      <c r="E456" s="917"/>
      <c r="F456" s="917"/>
      <c r="G456" s="917"/>
      <c r="H456" s="621"/>
      <c r="I456" s="621"/>
      <c r="J456" s="559">
        <f t="shared" si="59"/>
        <v>0</v>
      </c>
    </row>
    <row r="457" spans="1:14" x14ac:dyDescent="0.25">
      <c r="A457" s="551" t="str">
        <f>+Info!$B$2</f>
        <v>724</v>
      </c>
      <c r="B457" s="274" t="s">
        <v>1810</v>
      </c>
      <c r="C457" s="274" t="str">
        <f t="shared" si="60"/>
        <v>1.30.10.10.000.000.00.000</v>
      </c>
      <c r="D457" s="563"/>
      <c r="E457" s="917"/>
      <c r="F457" s="917"/>
      <c r="G457" s="917"/>
      <c r="H457" s="621"/>
      <c r="I457" s="621"/>
      <c r="J457" s="559">
        <f t="shared" si="59"/>
        <v>0</v>
      </c>
    </row>
    <row r="458" spans="1:14" x14ac:dyDescent="0.25">
      <c r="A458" s="551" t="str">
        <f>+Info!$B$2</f>
        <v>724</v>
      </c>
      <c r="B458" s="274" t="s">
        <v>1810</v>
      </c>
      <c r="C458" s="274" t="str">
        <f t="shared" si="60"/>
        <v>1.30.10.10.000.000.00.000</v>
      </c>
      <c r="D458" s="563"/>
      <c r="E458" s="917"/>
      <c r="F458" s="917"/>
      <c r="G458" s="917"/>
      <c r="H458" s="621"/>
      <c r="I458" s="621"/>
      <c r="J458" s="559">
        <f t="shared" si="59"/>
        <v>0</v>
      </c>
    </row>
    <row r="459" spans="1:14" x14ac:dyDescent="0.25">
      <c r="A459" s="551" t="str">
        <f>+Info!$B$2</f>
        <v>724</v>
      </c>
      <c r="B459" s="274" t="s">
        <v>1810</v>
      </c>
      <c r="C459" s="274" t="str">
        <f t="shared" si="60"/>
        <v>1.30.10.10.000.000.00.000</v>
      </c>
      <c r="D459" s="563"/>
      <c r="E459" s="917"/>
      <c r="F459" s="917"/>
      <c r="G459" s="917"/>
      <c r="H459" s="621"/>
      <c r="I459" s="621"/>
      <c r="J459" s="559">
        <f t="shared" si="59"/>
        <v>0</v>
      </c>
    </row>
    <row r="460" spans="1:14" x14ac:dyDescent="0.25">
      <c r="A460" s="551" t="str">
        <f>+Info!$B$2</f>
        <v>724</v>
      </c>
      <c r="B460" s="274" t="s">
        <v>1810</v>
      </c>
      <c r="C460" s="274" t="str">
        <f t="shared" si="60"/>
        <v>1.30.10.10.000.000.00.000</v>
      </c>
      <c r="D460" s="563"/>
      <c r="E460" s="917"/>
      <c r="F460" s="917"/>
      <c r="G460" s="917"/>
      <c r="H460" s="621"/>
      <c r="I460" s="621"/>
      <c r="J460" s="559">
        <f t="shared" si="59"/>
        <v>0</v>
      </c>
    </row>
    <row r="461" spans="1:14" x14ac:dyDescent="0.25">
      <c r="A461" s="551" t="str">
        <f>+Info!$B$2</f>
        <v>724</v>
      </c>
      <c r="B461" s="274" t="s">
        <v>1810</v>
      </c>
      <c r="C461" s="274" t="str">
        <f t="shared" si="60"/>
        <v>1.30.10.10.000.000.00.000</v>
      </c>
      <c r="D461" s="563"/>
      <c r="E461" s="917"/>
      <c r="F461" s="917"/>
      <c r="G461" s="917"/>
      <c r="H461" s="621"/>
      <c r="I461" s="621"/>
      <c r="J461" s="559">
        <f t="shared" si="59"/>
        <v>0</v>
      </c>
    </row>
    <row r="462" spans="1:14" x14ac:dyDescent="0.25">
      <c r="A462" s="551" t="str">
        <f>+Info!$B$2</f>
        <v>724</v>
      </c>
      <c r="B462" s="274" t="s">
        <v>1810</v>
      </c>
      <c r="C462" s="274" t="str">
        <f t="shared" si="60"/>
        <v>1.30.10.10.000.000.00.000</v>
      </c>
      <c r="D462" s="563"/>
      <c r="E462" s="917"/>
      <c r="F462" s="917"/>
      <c r="G462" s="917"/>
      <c r="H462" s="621"/>
      <c r="I462" s="621"/>
      <c r="J462" s="559">
        <f t="shared" si="59"/>
        <v>0</v>
      </c>
    </row>
    <row r="463" spans="1:14" x14ac:dyDescent="0.25">
      <c r="A463" s="551" t="str">
        <f>+Info!$B$2</f>
        <v>724</v>
      </c>
      <c r="B463" s="274" t="s">
        <v>1810</v>
      </c>
      <c r="C463" s="274" t="str">
        <f t="shared" si="60"/>
        <v>1.30.10.10.000.000.00.000</v>
      </c>
      <c r="D463" s="563"/>
      <c r="E463" s="917"/>
      <c r="F463" s="917"/>
      <c r="G463" s="917"/>
      <c r="H463" s="621"/>
      <c r="I463" s="621"/>
      <c r="J463" s="559">
        <f t="shared" si="59"/>
        <v>0</v>
      </c>
    </row>
    <row r="464" spans="1:14" x14ac:dyDescent="0.25">
      <c r="A464" s="551" t="str">
        <f>+Info!$B$2</f>
        <v>724</v>
      </c>
      <c r="B464" s="274" t="s">
        <v>1810</v>
      </c>
      <c r="C464" s="274" t="str">
        <f t="shared" si="60"/>
        <v>1.30.10.10.000.000.00.000</v>
      </c>
      <c r="D464" s="563"/>
      <c r="E464" s="917"/>
      <c r="F464" s="917"/>
      <c r="G464" s="917"/>
      <c r="H464" s="621"/>
      <c r="I464" s="621"/>
      <c r="J464" s="559">
        <f t="shared" si="59"/>
        <v>0</v>
      </c>
    </row>
    <row r="465" spans="1:14" x14ac:dyDescent="0.25">
      <c r="A465" s="551" t="str">
        <f>+Info!$B$2</f>
        <v>724</v>
      </c>
      <c r="B465" s="274" t="s">
        <v>1810</v>
      </c>
      <c r="C465" s="274" t="str">
        <f t="shared" si="60"/>
        <v>1.30.10.10.000.000.00.000</v>
      </c>
      <c r="D465" s="563"/>
      <c r="E465" s="917"/>
      <c r="F465" s="917"/>
      <c r="G465" s="917"/>
      <c r="H465" s="621"/>
      <c r="I465" s="621"/>
      <c r="J465" s="559">
        <f t="shared" si="59"/>
        <v>0</v>
      </c>
    </row>
    <row r="466" spans="1:14" x14ac:dyDescent="0.25">
      <c r="A466" s="551" t="str">
        <f>+Info!$B$2</f>
        <v>724</v>
      </c>
      <c r="B466" s="274" t="s">
        <v>1810</v>
      </c>
      <c r="C466" s="274" t="str">
        <f t="shared" si="60"/>
        <v>1.30.10.10.000.000.00.000</v>
      </c>
      <c r="D466" s="563"/>
      <c r="E466" s="917"/>
      <c r="F466" s="917"/>
      <c r="G466" s="917"/>
      <c r="H466" s="621"/>
      <c r="I466" s="621"/>
      <c r="J466" s="559">
        <f t="shared" si="59"/>
        <v>0</v>
      </c>
    </row>
    <row r="467" spans="1:14" x14ac:dyDescent="0.25">
      <c r="A467" s="551" t="str">
        <f>+Info!$B$2</f>
        <v>724</v>
      </c>
      <c r="B467" s="274" t="s">
        <v>1810</v>
      </c>
      <c r="C467" s="274" t="str">
        <f t="shared" si="60"/>
        <v>1.30.10.10.000.000.00.000</v>
      </c>
      <c r="D467" s="563"/>
      <c r="E467" s="917"/>
      <c r="F467" s="917"/>
      <c r="G467" s="917"/>
      <c r="H467" s="621"/>
      <c r="I467" s="621"/>
      <c r="J467" s="559">
        <f t="shared" si="59"/>
        <v>0</v>
      </c>
    </row>
    <row r="468" spans="1:14" x14ac:dyDescent="0.25">
      <c r="A468" s="551" t="str">
        <f>+Info!$B$2</f>
        <v>724</v>
      </c>
      <c r="B468" s="622" t="s">
        <v>1810</v>
      </c>
      <c r="C468" s="622" t="s">
        <v>1811</v>
      </c>
      <c r="H468" s="622">
        <f>SUM(H441:H467)</f>
        <v>0</v>
      </c>
      <c r="I468" s="622">
        <f>SUM(I441:I467)</f>
        <v>0</v>
      </c>
      <c r="J468" s="622">
        <f>SUM(J441:J467)</f>
        <v>0</v>
      </c>
    </row>
    <row r="469" spans="1:14" ht="24" x14ac:dyDescent="0.25">
      <c r="A469" s="551" t="str">
        <f>+Info!$B$2</f>
        <v>724</v>
      </c>
      <c r="D469" s="590" t="s">
        <v>4301</v>
      </c>
    </row>
    <row r="470" spans="1:14" x14ac:dyDescent="0.25">
      <c r="A470" s="551" t="str">
        <f>+Info!$B$2</f>
        <v>724</v>
      </c>
      <c r="B470" s="620"/>
      <c r="C470" s="620"/>
      <c r="D470" s="590" t="s">
        <v>4302</v>
      </c>
      <c r="E470" s="918" t="s">
        <v>4303</v>
      </c>
      <c r="F470" s="918"/>
      <c r="G470" s="918"/>
      <c r="H470" s="558" t="str">
        <f>+H440</f>
        <v>Entro 12 mesi (2020)</v>
      </c>
      <c r="I470" s="558" t="str">
        <f>+I440</f>
        <v>Oltre 12 mesi (2020)</v>
      </c>
      <c r="J470" s="558" t="s">
        <v>4300</v>
      </c>
      <c r="K470" s="557"/>
      <c r="L470" s="557"/>
      <c r="M470" s="557"/>
      <c r="N470" s="557"/>
    </row>
    <row r="471" spans="1:14" x14ac:dyDescent="0.25">
      <c r="A471" s="551" t="str">
        <f>+Info!$B$2</f>
        <v>724</v>
      </c>
      <c r="B471" s="274" t="s">
        <v>1831</v>
      </c>
      <c r="C471" s="274" t="str">
        <f t="shared" ref="C471:C497" si="61">$C$498</f>
        <v>1.30.20.10.000.000.00.000</v>
      </c>
      <c r="D471" s="563"/>
      <c r="E471" s="917"/>
      <c r="F471" s="917"/>
      <c r="G471" s="917"/>
      <c r="H471" s="621"/>
      <c r="I471" s="621"/>
      <c r="J471" s="559">
        <f t="shared" ref="J471:J497" si="62">+H471+I471</f>
        <v>0</v>
      </c>
    </row>
    <row r="472" spans="1:14" x14ac:dyDescent="0.25">
      <c r="A472" s="551" t="str">
        <f>+Info!$B$2</f>
        <v>724</v>
      </c>
      <c r="B472" s="274" t="s">
        <v>1831</v>
      </c>
      <c r="C472" s="274" t="str">
        <f t="shared" si="61"/>
        <v>1.30.20.10.000.000.00.000</v>
      </c>
      <c r="D472" s="563"/>
      <c r="E472" s="917"/>
      <c r="F472" s="917"/>
      <c r="G472" s="917"/>
      <c r="H472" s="621"/>
      <c r="I472" s="621"/>
      <c r="J472" s="559">
        <f t="shared" si="62"/>
        <v>0</v>
      </c>
    </row>
    <row r="473" spans="1:14" x14ac:dyDescent="0.25">
      <c r="A473" s="551" t="str">
        <f>+Info!$B$2</f>
        <v>724</v>
      </c>
      <c r="B473" s="274" t="s">
        <v>1831</v>
      </c>
      <c r="C473" s="274" t="str">
        <f t="shared" si="61"/>
        <v>1.30.20.10.000.000.00.000</v>
      </c>
      <c r="D473" s="563"/>
      <c r="E473" s="917"/>
      <c r="F473" s="917"/>
      <c r="G473" s="917"/>
      <c r="H473" s="621"/>
      <c r="I473" s="621"/>
      <c r="J473" s="559">
        <f t="shared" si="62"/>
        <v>0</v>
      </c>
    </row>
    <row r="474" spans="1:14" x14ac:dyDescent="0.25">
      <c r="A474" s="551" t="str">
        <f>+Info!$B$2</f>
        <v>724</v>
      </c>
      <c r="B474" s="274" t="s">
        <v>1831</v>
      </c>
      <c r="C474" s="274" t="str">
        <f t="shared" si="61"/>
        <v>1.30.20.10.000.000.00.000</v>
      </c>
      <c r="D474" s="563"/>
      <c r="E474" s="917"/>
      <c r="F474" s="917"/>
      <c r="G474" s="917"/>
      <c r="H474" s="621"/>
      <c r="I474" s="621"/>
      <c r="J474" s="559">
        <f t="shared" si="62"/>
        <v>0</v>
      </c>
    </row>
    <row r="475" spans="1:14" x14ac:dyDescent="0.25">
      <c r="A475" s="551" t="str">
        <f>+Info!$B$2</f>
        <v>724</v>
      </c>
      <c r="B475" s="274" t="s">
        <v>1831</v>
      </c>
      <c r="C475" s="274" t="str">
        <f t="shared" si="61"/>
        <v>1.30.20.10.000.000.00.000</v>
      </c>
      <c r="D475" s="563"/>
      <c r="E475" s="917"/>
      <c r="F475" s="917"/>
      <c r="G475" s="917"/>
      <c r="H475" s="621"/>
      <c r="I475" s="621"/>
      <c r="J475" s="559">
        <f t="shared" si="62"/>
        <v>0</v>
      </c>
    </row>
    <row r="476" spans="1:14" x14ac:dyDescent="0.25">
      <c r="A476" s="551" t="str">
        <f>+Info!$B$2</f>
        <v>724</v>
      </c>
      <c r="B476" s="274" t="s">
        <v>1831</v>
      </c>
      <c r="C476" s="274" t="str">
        <f t="shared" si="61"/>
        <v>1.30.20.10.000.000.00.000</v>
      </c>
      <c r="D476" s="563"/>
      <c r="E476" s="917"/>
      <c r="F476" s="917"/>
      <c r="G476" s="917"/>
      <c r="H476" s="621"/>
      <c r="I476" s="621"/>
      <c r="J476" s="559">
        <f t="shared" si="62"/>
        <v>0</v>
      </c>
    </row>
    <row r="477" spans="1:14" x14ac:dyDescent="0.25">
      <c r="A477" s="551" t="str">
        <f>+Info!$B$2</f>
        <v>724</v>
      </c>
      <c r="B477" s="274" t="s">
        <v>1831</v>
      </c>
      <c r="C477" s="274" t="str">
        <f t="shared" si="61"/>
        <v>1.30.20.10.000.000.00.000</v>
      </c>
      <c r="D477" s="563"/>
      <c r="E477" s="917"/>
      <c r="F477" s="917"/>
      <c r="G477" s="917"/>
      <c r="H477" s="621"/>
      <c r="I477" s="621"/>
      <c r="J477" s="559">
        <f t="shared" si="62"/>
        <v>0</v>
      </c>
    </row>
    <row r="478" spans="1:14" x14ac:dyDescent="0.25">
      <c r="A478" s="551" t="str">
        <f>+Info!$B$2</f>
        <v>724</v>
      </c>
      <c r="B478" s="274" t="s">
        <v>1831</v>
      </c>
      <c r="C478" s="274" t="str">
        <f t="shared" si="61"/>
        <v>1.30.20.10.000.000.00.000</v>
      </c>
      <c r="D478" s="563"/>
      <c r="E478" s="917"/>
      <c r="F478" s="917"/>
      <c r="G478" s="917"/>
      <c r="H478" s="621"/>
      <c r="I478" s="621"/>
      <c r="J478" s="559">
        <f t="shared" si="62"/>
        <v>0</v>
      </c>
    </row>
    <row r="479" spans="1:14" x14ac:dyDescent="0.25">
      <c r="A479" s="551" t="str">
        <f>+Info!$B$2</f>
        <v>724</v>
      </c>
      <c r="B479" s="274" t="s">
        <v>1831</v>
      </c>
      <c r="C479" s="274" t="str">
        <f t="shared" si="61"/>
        <v>1.30.20.10.000.000.00.000</v>
      </c>
      <c r="D479" s="563"/>
      <c r="E479" s="917"/>
      <c r="F479" s="917"/>
      <c r="G479" s="917"/>
      <c r="H479" s="621"/>
      <c r="I479" s="621"/>
      <c r="J479" s="559">
        <f t="shared" si="62"/>
        <v>0</v>
      </c>
    </row>
    <row r="480" spans="1:14" x14ac:dyDescent="0.25">
      <c r="A480" s="551" t="str">
        <f>+Info!$B$2</f>
        <v>724</v>
      </c>
      <c r="B480" s="274" t="s">
        <v>1831</v>
      </c>
      <c r="C480" s="274" t="str">
        <f t="shared" si="61"/>
        <v>1.30.20.10.000.000.00.000</v>
      </c>
      <c r="D480" s="563"/>
      <c r="E480" s="917"/>
      <c r="F480" s="917"/>
      <c r="G480" s="917"/>
      <c r="H480" s="621"/>
      <c r="I480" s="621"/>
      <c r="J480" s="559">
        <f t="shared" si="62"/>
        <v>0</v>
      </c>
    </row>
    <row r="481" spans="1:10" x14ac:dyDescent="0.25">
      <c r="A481" s="551" t="str">
        <f>+Info!$B$2</f>
        <v>724</v>
      </c>
      <c r="B481" s="274" t="s">
        <v>1831</v>
      </c>
      <c r="C481" s="274" t="str">
        <f t="shared" si="61"/>
        <v>1.30.20.10.000.000.00.000</v>
      </c>
      <c r="D481" s="563"/>
      <c r="E481" s="917"/>
      <c r="F481" s="917"/>
      <c r="G481" s="917"/>
      <c r="H481" s="621"/>
      <c r="I481" s="621"/>
      <c r="J481" s="559">
        <f t="shared" si="62"/>
        <v>0</v>
      </c>
    </row>
    <row r="482" spans="1:10" x14ac:dyDescent="0.25">
      <c r="A482" s="551" t="str">
        <f>+Info!$B$2</f>
        <v>724</v>
      </c>
      <c r="B482" s="274" t="s">
        <v>1831</v>
      </c>
      <c r="C482" s="274" t="str">
        <f t="shared" si="61"/>
        <v>1.30.20.10.000.000.00.000</v>
      </c>
      <c r="D482" s="563"/>
      <c r="E482" s="917"/>
      <c r="F482" s="917"/>
      <c r="G482" s="917"/>
      <c r="H482" s="621"/>
      <c r="I482" s="621"/>
      <c r="J482" s="559">
        <f t="shared" si="62"/>
        <v>0</v>
      </c>
    </row>
    <row r="483" spans="1:10" x14ac:dyDescent="0.25">
      <c r="A483" s="551" t="str">
        <f>+Info!$B$2</f>
        <v>724</v>
      </c>
      <c r="B483" s="274" t="s">
        <v>1831</v>
      </c>
      <c r="C483" s="274" t="str">
        <f t="shared" si="61"/>
        <v>1.30.20.10.000.000.00.000</v>
      </c>
      <c r="D483" s="563"/>
      <c r="E483" s="917"/>
      <c r="F483" s="917"/>
      <c r="G483" s="917"/>
      <c r="H483" s="621"/>
      <c r="I483" s="621"/>
      <c r="J483" s="559">
        <f t="shared" si="62"/>
        <v>0</v>
      </c>
    </row>
    <row r="484" spans="1:10" x14ac:dyDescent="0.25">
      <c r="A484" s="551" t="str">
        <f>+Info!$B$2</f>
        <v>724</v>
      </c>
      <c r="B484" s="274" t="s">
        <v>1831</v>
      </c>
      <c r="C484" s="274" t="str">
        <f t="shared" si="61"/>
        <v>1.30.20.10.000.000.00.000</v>
      </c>
      <c r="D484" s="563"/>
      <c r="E484" s="917"/>
      <c r="F484" s="917"/>
      <c r="G484" s="917"/>
      <c r="H484" s="621"/>
      <c r="I484" s="621"/>
      <c r="J484" s="559">
        <f t="shared" si="62"/>
        <v>0</v>
      </c>
    </row>
    <row r="485" spans="1:10" x14ac:dyDescent="0.25">
      <c r="A485" s="551" t="str">
        <f>+Info!$B$2</f>
        <v>724</v>
      </c>
      <c r="B485" s="274" t="s">
        <v>1831</v>
      </c>
      <c r="C485" s="274" t="str">
        <f t="shared" si="61"/>
        <v>1.30.20.10.000.000.00.000</v>
      </c>
      <c r="D485" s="563"/>
      <c r="E485" s="917"/>
      <c r="F485" s="917"/>
      <c r="G485" s="917"/>
      <c r="H485" s="621"/>
      <c r="I485" s="621"/>
      <c r="J485" s="559">
        <f t="shared" si="62"/>
        <v>0</v>
      </c>
    </row>
    <row r="486" spans="1:10" x14ac:dyDescent="0.25">
      <c r="A486" s="551" t="str">
        <f>+Info!$B$2</f>
        <v>724</v>
      </c>
      <c r="B486" s="274" t="s">
        <v>1831</v>
      </c>
      <c r="C486" s="274" t="str">
        <f t="shared" si="61"/>
        <v>1.30.20.10.000.000.00.000</v>
      </c>
      <c r="D486" s="563"/>
      <c r="E486" s="917"/>
      <c r="F486" s="917"/>
      <c r="G486" s="917"/>
      <c r="H486" s="621"/>
      <c r="I486" s="621"/>
      <c r="J486" s="559">
        <f t="shared" si="62"/>
        <v>0</v>
      </c>
    </row>
    <row r="487" spans="1:10" x14ac:dyDescent="0.25">
      <c r="A487" s="551" t="str">
        <f>+Info!$B$2</f>
        <v>724</v>
      </c>
      <c r="B487" s="274" t="s">
        <v>1831</v>
      </c>
      <c r="C487" s="274" t="str">
        <f t="shared" si="61"/>
        <v>1.30.20.10.000.000.00.000</v>
      </c>
      <c r="D487" s="563"/>
      <c r="E487" s="917"/>
      <c r="F487" s="917"/>
      <c r="G487" s="917"/>
      <c r="H487" s="621"/>
      <c r="I487" s="621"/>
      <c r="J487" s="559">
        <f t="shared" si="62"/>
        <v>0</v>
      </c>
    </row>
    <row r="488" spans="1:10" x14ac:dyDescent="0.25">
      <c r="A488" s="551" t="str">
        <f>+Info!$B$2</f>
        <v>724</v>
      </c>
      <c r="B488" s="274" t="s">
        <v>1831</v>
      </c>
      <c r="C488" s="274" t="str">
        <f t="shared" si="61"/>
        <v>1.30.20.10.000.000.00.000</v>
      </c>
      <c r="D488" s="563"/>
      <c r="E488" s="917"/>
      <c r="F488" s="917"/>
      <c r="G488" s="917"/>
      <c r="H488" s="621"/>
      <c r="I488" s="621"/>
      <c r="J488" s="559">
        <f t="shared" si="62"/>
        <v>0</v>
      </c>
    </row>
    <row r="489" spans="1:10" x14ac:dyDescent="0.25">
      <c r="A489" s="551" t="str">
        <f>+Info!$B$2</f>
        <v>724</v>
      </c>
      <c r="B489" s="274" t="s">
        <v>1831</v>
      </c>
      <c r="C489" s="274" t="str">
        <f t="shared" si="61"/>
        <v>1.30.20.10.000.000.00.000</v>
      </c>
      <c r="D489" s="563"/>
      <c r="E489" s="917"/>
      <c r="F489" s="917"/>
      <c r="G489" s="917"/>
      <c r="H489" s="621"/>
      <c r="I489" s="621"/>
      <c r="J489" s="559">
        <f t="shared" si="62"/>
        <v>0</v>
      </c>
    </row>
    <row r="490" spans="1:10" x14ac:dyDescent="0.25">
      <c r="A490" s="551" t="str">
        <f>+Info!$B$2</f>
        <v>724</v>
      </c>
      <c r="B490" s="274" t="s">
        <v>1831</v>
      </c>
      <c r="C490" s="274" t="str">
        <f t="shared" si="61"/>
        <v>1.30.20.10.000.000.00.000</v>
      </c>
      <c r="D490" s="563"/>
      <c r="E490" s="917"/>
      <c r="F490" s="917"/>
      <c r="G490" s="917"/>
      <c r="H490" s="621"/>
      <c r="I490" s="621"/>
      <c r="J490" s="559">
        <f t="shared" si="62"/>
        <v>0</v>
      </c>
    </row>
    <row r="491" spans="1:10" x14ac:dyDescent="0.25">
      <c r="A491" s="551" t="str">
        <f>+Info!$B$2</f>
        <v>724</v>
      </c>
      <c r="B491" s="274" t="s">
        <v>1831</v>
      </c>
      <c r="C491" s="274" t="str">
        <f t="shared" si="61"/>
        <v>1.30.20.10.000.000.00.000</v>
      </c>
      <c r="D491" s="563"/>
      <c r="E491" s="917"/>
      <c r="F491" s="917"/>
      <c r="G491" s="917"/>
      <c r="H491" s="621"/>
      <c r="I491" s="621"/>
      <c r="J491" s="559">
        <f t="shared" si="62"/>
        <v>0</v>
      </c>
    </row>
    <row r="492" spans="1:10" x14ac:dyDescent="0.25">
      <c r="A492" s="551" t="str">
        <f>+Info!$B$2</f>
        <v>724</v>
      </c>
      <c r="B492" s="274" t="s">
        <v>1831</v>
      </c>
      <c r="C492" s="274" t="str">
        <f t="shared" si="61"/>
        <v>1.30.20.10.000.000.00.000</v>
      </c>
      <c r="D492" s="563"/>
      <c r="E492" s="917"/>
      <c r="F492" s="917"/>
      <c r="G492" s="917"/>
      <c r="H492" s="621"/>
      <c r="I492" s="621"/>
      <c r="J492" s="559">
        <f t="shared" si="62"/>
        <v>0</v>
      </c>
    </row>
    <row r="493" spans="1:10" x14ac:dyDescent="0.25">
      <c r="A493" s="551" t="str">
        <f>+Info!$B$2</f>
        <v>724</v>
      </c>
      <c r="B493" s="274" t="s">
        <v>1831</v>
      </c>
      <c r="C493" s="274" t="str">
        <f t="shared" si="61"/>
        <v>1.30.20.10.000.000.00.000</v>
      </c>
      <c r="D493" s="563"/>
      <c r="E493" s="917"/>
      <c r="F493" s="917"/>
      <c r="G493" s="917"/>
      <c r="H493" s="621"/>
      <c r="I493" s="621"/>
      <c r="J493" s="559">
        <f t="shared" si="62"/>
        <v>0</v>
      </c>
    </row>
    <row r="494" spans="1:10" x14ac:dyDescent="0.25">
      <c r="A494" s="551" t="str">
        <f>+Info!$B$2</f>
        <v>724</v>
      </c>
      <c r="B494" s="274" t="s">
        <v>1831</v>
      </c>
      <c r="C494" s="274" t="str">
        <f t="shared" si="61"/>
        <v>1.30.20.10.000.000.00.000</v>
      </c>
      <c r="D494" s="563"/>
      <c r="E494" s="917"/>
      <c r="F494" s="917"/>
      <c r="G494" s="917"/>
      <c r="H494" s="621"/>
      <c r="I494" s="621"/>
      <c r="J494" s="559">
        <f t="shared" si="62"/>
        <v>0</v>
      </c>
    </row>
    <row r="495" spans="1:10" x14ac:dyDescent="0.25">
      <c r="A495" s="551" t="str">
        <f>+Info!$B$2</f>
        <v>724</v>
      </c>
      <c r="B495" s="274" t="s">
        <v>1831</v>
      </c>
      <c r="C495" s="274" t="str">
        <f t="shared" si="61"/>
        <v>1.30.20.10.000.000.00.000</v>
      </c>
      <c r="D495" s="563"/>
      <c r="E495" s="917"/>
      <c r="F495" s="917"/>
      <c r="G495" s="917"/>
      <c r="H495" s="621"/>
      <c r="I495" s="621"/>
      <c r="J495" s="559">
        <f t="shared" si="62"/>
        <v>0</v>
      </c>
    </row>
    <row r="496" spans="1:10" x14ac:dyDescent="0.25">
      <c r="A496" s="551" t="str">
        <f>+Info!$B$2</f>
        <v>724</v>
      </c>
      <c r="B496" s="274" t="s">
        <v>1831</v>
      </c>
      <c r="C496" s="274" t="str">
        <f t="shared" si="61"/>
        <v>1.30.20.10.000.000.00.000</v>
      </c>
      <c r="D496" s="563"/>
      <c r="E496" s="917"/>
      <c r="F496" s="917"/>
      <c r="G496" s="917"/>
      <c r="H496" s="621"/>
      <c r="I496" s="621"/>
      <c r="J496" s="559">
        <f t="shared" si="62"/>
        <v>0</v>
      </c>
    </row>
    <row r="497" spans="1:32" x14ac:dyDescent="0.25">
      <c r="A497" s="551" t="str">
        <f>+Info!$B$2</f>
        <v>724</v>
      </c>
      <c r="B497" s="274" t="s">
        <v>1831</v>
      </c>
      <c r="C497" s="274" t="str">
        <f t="shared" si="61"/>
        <v>1.30.20.10.000.000.00.000</v>
      </c>
      <c r="D497" s="563"/>
      <c r="E497" s="917"/>
      <c r="F497" s="917"/>
      <c r="G497" s="917"/>
      <c r="H497" s="621"/>
      <c r="I497" s="621"/>
      <c r="J497" s="559">
        <f t="shared" si="62"/>
        <v>0</v>
      </c>
    </row>
    <row r="498" spans="1:32" x14ac:dyDescent="0.25">
      <c r="A498" s="551" t="str">
        <f>+Info!$B$2</f>
        <v>724</v>
      </c>
      <c r="B498" s="622" t="s">
        <v>1831</v>
      </c>
      <c r="C498" s="622" t="s">
        <v>1832</v>
      </c>
      <c r="H498" s="622">
        <f>SUM(H471:H497)</f>
        <v>0</v>
      </c>
      <c r="I498" s="622">
        <f>SUM(I471:I497)</f>
        <v>0</v>
      </c>
      <c r="J498" s="622">
        <f>SUM(J471:J497)</f>
        <v>0</v>
      </c>
    </row>
    <row r="499" spans="1:32" x14ac:dyDescent="0.25">
      <c r="A499" s="551" t="str">
        <f>+Info!$B$2</f>
        <v>724</v>
      </c>
      <c r="B499" s="551" t="e">
        <f>NA()</f>
        <v>#N/A</v>
      </c>
    </row>
    <row r="500" spans="1:32" x14ac:dyDescent="0.25">
      <c r="A500" s="551" t="str">
        <f>+Info!$B$2</f>
        <v>724</v>
      </c>
      <c r="B500" s="551" t="e">
        <f>NA()</f>
        <v>#N/A</v>
      </c>
    </row>
    <row r="501" spans="1:32" x14ac:dyDescent="0.25">
      <c r="A501" s="551" t="str">
        <f>+Info!$B$2</f>
        <v>724</v>
      </c>
      <c r="B501" s="551" t="e">
        <f>NA()</f>
        <v>#N/A</v>
      </c>
    </row>
    <row r="502" spans="1:32" s="624" customFormat="1" ht="27" customHeight="1" x14ac:dyDescent="0.25">
      <c r="A502" s="551" t="str">
        <f>+Info!$B$2</f>
        <v>724</v>
      </c>
      <c r="B502" s="924" t="e">
        <f>NA()</f>
        <v>#N/A</v>
      </c>
      <c r="C502" s="924" t="s">
        <v>4310</v>
      </c>
      <c r="D502" s="921" t="s">
        <v>4311</v>
      </c>
      <c r="E502" s="623"/>
      <c r="F502" s="922" t="s">
        <v>4312</v>
      </c>
      <c r="G502" s="922"/>
      <c r="H502" s="922"/>
      <c r="I502" s="922"/>
      <c r="J502" s="922" t="s">
        <v>4313</v>
      </c>
      <c r="K502" s="922" t="s">
        <v>4206</v>
      </c>
      <c r="L502" s="922"/>
      <c r="M502" s="922"/>
      <c r="N502" s="922"/>
      <c r="O502" s="922"/>
      <c r="P502" s="922"/>
      <c r="Q502" s="922"/>
    </row>
    <row r="503" spans="1:32" s="624" customFormat="1" ht="36" x14ac:dyDescent="0.25">
      <c r="A503" s="551" t="str">
        <f>+Info!$B$2</f>
        <v>724</v>
      </c>
      <c r="B503" s="924" t="e">
        <f>NA()</f>
        <v>#N/A</v>
      </c>
      <c r="C503" s="924"/>
      <c r="D503" s="921"/>
      <c r="E503" s="623"/>
      <c r="F503" s="590" t="s">
        <v>4314</v>
      </c>
      <c r="G503" s="590" t="s">
        <v>4315</v>
      </c>
      <c r="H503" s="590" t="s">
        <v>4316</v>
      </c>
      <c r="I503" s="590" t="s">
        <v>4317</v>
      </c>
      <c r="J503" s="922"/>
      <c r="K503" s="590" t="s">
        <v>3537</v>
      </c>
      <c r="L503" s="590" t="s">
        <v>3879</v>
      </c>
      <c r="M503" s="590" t="s">
        <v>4318</v>
      </c>
      <c r="N503" s="590" t="s">
        <v>4319</v>
      </c>
      <c r="O503" s="590" t="s">
        <v>4320</v>
      </c>
      <c r="P503" s="625" t="s">
        <v>4321</v>
      </c>
      <c r="Q503" s="625" t="s">
        <v>4322</v>
      </c>
    </row>
    <row r="504" spans="1:32" s="624" customFormat="1" ht="15" customHeight="1" x14ac:dyDescent="0.25">
      <c r="A504" s="551" t="str">
        <f>+Info!$B$2</f>
        <v>724</v>
      </c>
      <c r="B504" s="626" t="s">
        <v>1922</v>
      </c>
      <c r="C504" s="626" t="s">
        <v>1923</v>
      </c>
      <c r="D504" s="627" t="s">
        <v>4323</v>
      </c>
      <c r="E504" s="569">
        <f>SUMIF('NI-Soc_SP'!$C:$C,$C504,'NI-Soc_SP'!$Z:$Z)</f>
        <v>0</v>
      </c>
      <c r="F504" s="923" t="str">
        <f>IF(E504=Dettaglio_SP_Soc!O504,"Quadratura OK!","Squadratura con saldo finale di Bilancio!")</f>
        <v>Quadratura OK!</v>
      </c>
      <c r="G504" s="923"/>
      <c r="H504" s="923"/>
      <c r="I504" s="923"/>
      <c r="J504" s="628">
        <f t="shared" ref="J504:Q504" si="63">+J505+J506</f>
        <v>0</v>
      </c>
      <c r="K504" s="628">
        <f t="shared" si="63"/>
        <v>0</v>
      </c>
      <c r="L504" s="628">
        <f t="shared" si="63"/>
        <v>0</v>
      </c>
      <c r="M504" s="628">
        <f t="shared" si="63"/>
        <v>0</v>
      </c>
      <c r="N504" s="628">
        <f t="shared" si="63"/>
        <v>0</v>
      </c>
      <c r="O504" s="628">
        <f t="shared" si="63"/>
        <v>0</v>
      </c>
      <c r="P504" s="628">
        <f t="shared" si="63"/>
        <v>0</v>
      </c>
      <c r="Q504" s="628">
        <f t="shared" si="63"/>
        <v>0</v>
      </c>
      <c r="AC504" s="624" t="str">
        <f>C504</f>
        <v>3.10.20.10.000.000.00.000</v>
      </c>
      <c r="AD504" s="629">
        <f>O504</f>
        <v>0</v>
      </c>
      <c r="AE504" s="629">
        <f>E504</f>
        <v>0</v>
      </c>
      <c r="AF504" s="551">
        <f>IF($AD504=$AE504,0,1)</f>
        <v>0</v>
      </c>
    </row>
    <row r="505" spans="1:32" s="624" customFormat="1" ht="15" customHeight="1" x14ac:dyDescent="0.25">
      <c r="A505" s="551" t="str">
        <f>+Info!$B$2</f>
        <v>724</v>
      </c>
      <c r="B505" s="226" t="s">
        <v>1922</v>
      </c>
      <c r="C505" s="226" t="str">
        <f t="shared" ref="C505:C516" si="64">$C$504</f>
        <v>3.10.20.10.000.000.00.000</v>
      </c>
      <c r="D505" s="630" t="str">
        <f>"    ... assegnati in data antecedente al 1/1/"&amp;Info!$B$3-2</f>
        <v xml:space="preserve">    ... assegnati in data antecedente al 1/1/2018</v>
      </c>
      <c r="F505" s="923"/>
      <c r="G505" s="923"/>
      <c r="H505" s="923"/>
      <c r="I505" s="923"/>
      <c r="J505" s="579"/>
      <c r="K505" s="579"/>
      <c r="L505" s="579"/>
      <c r="M505" s="579"/>
      <c r="N505" s="579"/>
      <c r="O505" s="631">
        <f>+J505+K505+L505-M505+N505</f>
        <v>0</v>
      </c>
      <c r="P505" s="579"/>
      <c r="Q505" s="579"/>
    </row>
    <row r="506" spans="1:32" s="624" customFormat="1" ht="15" customHeight="1" x14ac:dyDescent="0.25">
      <c r="A506" s="551" t="str">
        <f>+Info!$B$2</f>
        <v>724</v>
      </c>
      <c r="B506" s="226" t="s">
        <v>1922</v>
      </c>
      <c r="C506" s="226" t="str">
        <f t="shared" si="64"/>
        <v>3.10.20.10.000.000.00.000</v>
      </c>
      <c r="D506" s="632" t="str">
        <f>"    ... assegnati a partire dal 1/1/"&amp;Info!$B$3-2&amp;"..dettagliare"</f>
        <v xml:space="preserve">    ... assegnati a partire dal 1/1/2018..dettagliare</v>
      </c>
      <c r="F506" s="923"/>
      <c r="G506" s="923"/>
      <c r="H506" s="923"/>
      <c r="I506" s="923"/>
      <c r="J506" s="628">
        <f t="shared" ref="J506:Q506" si="65">SUM(J507:J516)</f>
        <v>0</v>
      </c>
      <c r="K506" s="628">
        <f t="shared" si="65"/>
        <v>0</v>
      </c>
      <c r="L506" s="628">
        <f t="shared" si="65"/>
        <v>0</v>
      </c>
      <c r="M506" s="628">
        <f t="shared" si="65"/>
        <v>0</v>
      </c>
      <c r="N506" s="628">
        <f t="shared" si="65"/>
        <v>0</v>
      </c>
      <c r="O506" s="628">
        <f t="shared" si="65"/>
        <v>0</v>
      </c>
      <c r="P506" s="628">
        <f t="shared" si="65"/>
        <v>0</v>
      </c>
      <c r="Q506" s="628">
        <f t="shared" si="65"/>
        <v>0</v>
      </c>
    </row>
    <row r="507" spans="1:32" s="624" customFormat="1" ht="15" customHeight="1" x14ac:dyDescent="0.25">
      <c r="A507" s="551" t="str">
        <f>+Info!$B$2</f>
        <v>724</v>
      </c>
      <c r="B507" s="226" t="s">
        <v>1922</v>
      </c>
      <c r="C507" s="226" t="str">
        <f t="shared" si="64"/>
        <v>3.10.20.10.000.000.00.000</v>
      </c>
      <c r="D507" s="633"/>
      <c r="F507" s="633"/>
      <c r="G507" s="633"/>
      <c r="H507" s="633"/>
      <c r="I507" s="633"/>
      <c r="J507" s="579"/>
      <c r="K507" s="579"/>
      <c r="L507" s="579"/>
      <c r="M507" s="579"/>
      <c r="N507" s="579"/>
      <c r="O507" s="631">
        <f t="shared" ref="O507:O516" si="66">+J507+K507+L507-M507+N507</f>
        <v>0</v>
      </c>
      <c r="P507" s="579"/>
      <c r="Q507" s="579"/>
    </row>
    <row r="508" spans="1:32" s="624" customFormat="1" x14ac:dyDescent="0.25">
      <c r="A508" s="551" t="str">
        <f>+Info!$B$2</f>
        <v>724</v>
      </c>
      <c r="B508" s="226" t="s">
        <v>1922</v>
      </c>
      <c r="C508" s="226" t="str">
        <f t="shared" si="64"/>
        <v>3.10.20.10.000.000.00.000</v>
      </c>
      <c r="D508" s="633"/>
      <c r="F508" s="633"/>
      <c r="G508" s="633"/>
      <c r="H508" s="633"/>
      <c r="I508" s="633"/>
      <c r="J508" s="579"/>
      <c r="K508" s="579"/>
      <c r="L508" s="579"/>
      <c r="M508" s="579"/>
      <c r="N508" s="579"/>
      <c r="O508" s="631">
        <f t="shared" si="66"/>
        <v>0</v>
      </c>
      <c r="P508" s="579"/>
      <c r="Q508" s="579"/>
    </row>
    <row r="509" spans="1:32" s="624" customFormat="1" x14ac:dyDescent="0.25">
      <c r="A509" s="551" t="str">
        <f>+Info!$B$2</f>
        <v>724</v>
      </c>
      <c r="B509" s="226" t="s">
        <v>1922</v>
      </c>
      <c r="C509" s="226" t="str">
        <f t="shared" si="64"/>
        <v>3.10.20.10.000.000.00.000</v>
      </c>
      <c r="D509" s="633"/>
      <c r="F509" s="633"/>
      <c r="G509" s="633"/>
      <c r="H509" s="633"/>
      <c r="I509" s="633"/>
      <c r="J509" s="579"/>
      <c r="K509" s="579"/>
      <c r="L509" s="579"/>
      <c r="M509" s="579"/>
      <c r="N509" s="579"/>
      <c r="O509" s="631">
        <f t="shared" si="66"/>
        <v>0</v>
      </c>
      <c r="P509" s="579"/>
      <c r="Q509" s="579"/>
    </row>
    <row r="510" spans="1:32" s="624" customFormat="1" x14ac:dyDescent="0.25">
      <c r="A510" s="551" t="str">
        <f>+Info!$B$2</f>
        <v>724</v>
      </c>
      <c r="B510" s="226" t="s">
        <v>1922</v>
      </c>
      <c r="C510" s="226" t="str">
        <f t="shared" si="64"/>
        <v>3.10.20.10.000.000.00.000</v>
      </c>
      <c r="D510" s="633"/>
      <c r="F510" s="633"/>
      <c r="G510" s="633"/>
      <c r="H510" s="633"/>
      <c r="I510" s="633"/>
      <c r="J510" s="579"/>
      <c r="K510" s="579"/>
      <c r="L510" s="579"/>
      <c r="M510" s="579"/>
      <c r="N510" s="579"/>
      <c r="O510" s="631">
        <f t="shared" si="66"/>
        <v>0</v>
      </c>
      <c r="P510" s="579"/>
      <c r="Q510" s="579"/>
    </row>
    <row r="511" spans="1:32" s="624" customFormat="1" x14ac:dyDescent="0.25">
      <c r="A511" s="551" t="str">
        <f>+Info!$B$2</f>
        <v>724</v>
      </c>
      <c r="B511" s="226" t="s">
        <v>1922</v>
      </c>
      <c r="C511" s="226" t="str">
        <f t="shared" si="64"/>
        <v>3.10.20.10.000.000.00.000</v>
      </c>
      <c r="D511" s="633"/>
      <c r="F511" s="633"/>
      <c r="G511" s="633"/>
      <c r="H511" s="633"/>
      <c r="I511" s="633"/>
      <c r="J511" s="579"/>
      <c r="K511" s="579"/>
      <c r="L511" s="579"/>
      <c r="M511" s="579"/>
      <c r="N511" s="579"/>
      <c r="O511" s="631">
        <f t="shared" si="66"/>
        <v>0</v>
      </c>
      <c r="P511" s="579"/>
      <c r="Q511" s="579"/>
    </row>
    <row r="512" spans="1:32" s="624" customFormat="1" x14ac:dyDescent="0.25">
      <c r="A512" s="551" t="str">
        <f>+Info!$B$2</f>
        <v>724</v>
      </c>
      <c r="B512" s="226" t="s">
        <v>1922</v>
      </c>
      <c r="C512" s="226" t="str">
        <f t="shared" si="64"/>
        <v>3.10.20.10.000.000.00.000</v>
      </c>
      <c r="D512" s="633"/>
      <c r="F512" s="633"/>
      <c r="G512" s="633"/>
      <c r="H512" s="633"/>
      <c r="I512" s="633"/>
      <c r="J512" s="579"/>
      <c r="K512" s="579"/>
      <c r="L512" s="579"/>
      <c r="M512" s="579"/>
      <c r="N512" s="579"/>
      <c r="O512" s="631">
        <f t="shared" si="66"/>
        <v>0</v>
      </c>
      <c r="P512" s="579"/>
      <c r="Q512" s="579"/>
    </row>
    <row r="513" spans="1:32" s="624" customFormat="1" x14ac:dyDescent="0.25">
      <c r="A513" s="551" t="str">
        <f>+Info!$B$2</f>
        <v>724</v>
      </c>
      <c r="B513" s="226" t="s">
        <v>1922</v>
      </c>
      <c r="C513" s="226" t="str">
        <f t="shared" si="64"/>
        <v>3.10.20.10.000.000.00.000</v>
      </c>
      <c r="D513" s="633"/>
      <c r="F513" s="633"/>
      <c r="G513" s="633"/>
      <c r="H513" s="633"/>
      <c r="I513" s="633"/>
      <c r="J513" s="579"/>
      <c r="K513" s="579"/>
      <c r="L513" s="579"/>
      <c r="M513" s="579"/>
      <c r="N513" s="579"/>
      <c r="O513" s="631">
        <f t="shared" si="66"/>
        <v>0</v>
      </c>
      <c r="P513" s="579"/>
      <c r="Q513" s="579"/>
    </row>
    <row r="514" spans="1:32" s="624" customFormat="1" x14ac:dyDescent="0.25">
      <c r="A514" s="551" t="str">
        <f>+Info!$B$2</f>
        <v>724</v>
      </c>
      <c r="B514" s="226" t="s">
        <v>1922</v>
      </c>
      <c r="C514" s="226" t="str">
        <f t="shared" si="64"/>
        <v>3.10.20.10.000.000.00.000</v>
      </c>
      <c r="D514" s="633"/>
      <c r="F514" s="633"/>
      <c r="G514" s="633"/>
      <c r="H514" s="633"/>
      <c r="I514" s="633"/>
      <c r="J514" s="579"/>
      <c r="K514" s="579"/>
      <c r="L514" s="579"/>
      <c r="M514" s="579"/>
      <c r="N514" s="579"/>
      <c r="O514" s="631">
        <f t="shared" si="66"/>
        <v>0</v>
      </c>
      <c r="P514" s="579"/>
      <c r="Q514" s="579"/>
    </row>
    <row r="515" spans="1:32" s="624" customFormat="1" x14ac:dyDescent="0.25">
      <c r="A515" s="551" t="str">
        <f>+Info!$B$2</f>
        <v>724</v>
      </c>
      <c r="B515" s="226" t="s">
        <v>1922</v>
      </c>
      <c r="C515" s="226" t="str">
        <f t="shared" si="64"/>
        <v>3.10.20.10.000.000.00.000</v>
      </c>
      <c r="D515" s="633"/>
      <c r="F515" s="633"/>
      <c r="G515" s="633"/>
      <c r="H515" s="633"/>
      <c r="I515" s="633"/>
      <c r="J515" s="579"/>
      <c r="K515" s="579"/>
      <c r="L515" s="579"/>
      <c r="M515" s="579"/>
      <c r="N515" s="579"/>
      <c r="O515" s="631">
        <f t="shared" si="66"/>
        <v>0</v>
      </c>
      <c r="P515" s="579"/>
      <c r="Q515" s="579"/>
    </row>
    <row r="516" spans="1:32" s="624" customFormat="1" x14ac:dyDescent="0.25">
      <c r="A516" s="551" t="str">
        <f>+Info!$B$2</f>
        <v>724</v>
      </c>
      <c r="B516" s="226" t="s">
        <v>1922</v>
      </c>
      <c r="C516" s="226" t="str">
        <f t="shared" si="64"/>
        <v>3.10.20.10.000.000.00.000</v>
      </c>
      <c r="D516" s="633"/>
      <c r="F516" s="633"/>
      <c r="G516" s="633"/>
      <c r="H516" s="633"/>
      <c r="I516" s="633"/>
      <c r="J516" s="579"/>
      <c r="K516" s="579"/>
      <c r="L516" s="579"/>
      <c r="M516" s="579"/>
      <c r="N516" s="579"/>
      <c r="O516" s="631">
        <f t="shared" si="66"/>
        <v>0</v>
      </c>
      <c r="P516" s="579"/>
      <c r="Q516" s="579"/>
    </row>
    <row r="517" spans="1:32" s="624" customFormat="1" ht="15" customHeight="1" x14ac:dyDescent="0.25">
      <c r="A517" s="551" t="str">
        <f>+Info!$B$2</f>
        <v>724</v>
      </c>
      <c r="B517" s="626" t="s">
        <v>1928</v>
      </c>
      <c r="C517" s="626" t="s">
        <v>1929</v>
      </c>
      <c r="D517" s="634" t="s">
        <v>4324</v>
      </c>
      <c r="E517" s="569">
        <f>SUMIF('NI-Soc_SP'!$C:$C,$C517,'NI-Soc_SP'!$Z:$Z)</f>
        <v>0</v>
      </c>
      <c r="F517" s="923" t="str">
        <f>IF(E517=Dettaglio_SP_Soc!O517,"Quadratura OK!","Squadratura con saldo finale di Bilancio!")</f>
        <v>Quadratura OK!</v>
      </c>
      <c r="G517" s="923"/>
      <c r="H517" s="923"/>
      <c r="I517" s="923"/>
      <c r="J517" s="628">
        <f t="shared" ref="J517:Q517" si="67">+J518+J519</f>
        <v>0</v>
      </c>
      <c r="K517" s="628">
        <f t="shared" si="67"/>
        <v>0</v>
      </c>
      <c r="L517" s="628">
        <f t="shared" si="67"/>
        <v>0</v>
      </c>
      <c r="M517" s="628">
        <f t="shared" si="67"/>
        <v>0</v>
      </c>
      <c r="N517" s="628">
        <f t="shared" si="67"/>
        <v>0</v>
      </c>
      <c r="O517" s="628">
        <f t="shared" si="67"/>
        <v>0</v>
      </c>
      <c r="P517" s="628">
        <f t="shared" si="67"/>
        <v>0</v>
      </c>
      <c r="Q517" s="628">
        <f t="shared" si="67"/>
        <v>0</v>
      </c>
      <c r="AC517" s="624" t="str">
        <f>C517</f>
        <v>3.10.20.20.000.000.00.000</v>
      </c>
      <c r="AD517" s="629">
        <f>O517</f>
        <v>0</v>
      </c>
      <c r="AE517" s="629">
        <f>E517</f>
        <v>0</v>
      </c>
      <c r="AF517" s="551">
        <f>IF($AD517=$AE517,0,1)</f>
        <v>0</v>
      </c>
    </row>
    <row r="518" spans="1:32" s="624" customFormat="1" ht="15" customHeight="1" x14ac:dyDescent="0.25">
      <c r="A518" s="551" t="str">
        <f>+Info!$B$2</f>
        <v>724</v>
      </c>
      <c r="B518" s="226" t="s">
        <v>1928</v>
      </c>
      <c r="C518" s="226" t="str">
        <f t="shared" ref="C518:C549" si="68">$C$517</f>
        <v>3.10.20.20.000.000.00.000</v>
      </c>
      <c r="D518" s="630" t="str">
        <f>"    ... assegnati in data antecedente al 1/1/"&amp;Info!$B$3-2</f>
        <v xml:space="preserve">    ... assegnati in data antecedente al 1/1/2018</v>
      </c>
      <c r="F518" s="923"/>
      <c r="G518" s="923"/>
      <c r="H518" s="923"/>
      <c r="I518" s="923"/>
      <c r="J518" s="579"/>
      <c r="K518" s="579"/>
      <c r="L518" s="579"/>
      <c r="M518" s="579"/>
      <c r="N518" s="579"/>
      <c r="O518" s="631">
        <f>+J518+K518+L518-M518+N518</f>
        <v>0</v>
      </c>
      <c r="P518" s="579"/>
      <c r="Q518" s="579"/>
    </row>
    <row r="519" spans="1:32" s="624" customFormat="1" ht="15" customHeight="1" x14ac:dyDescent="0.25">
      <c r="A519" s="551" t="str">
        <f>+Info!$B$2</f>
        <v>724</v>
      </c>
      <c r="B519" s="226" t="s">
        <v>1928</v>
      </c>
      <c r="C519" s="226" t="str">
        <f t="shared" si="68"/>
        <v>3.10.20.20.000.000.00.000</v>
      </c>
      <c r="D519" s="632" t="str">
        <f>"    ... assegnati a partire dal 1/1/"&amp;Info!$B$3-2&amp;"..dettagliare"</f>
        <v xml:space="preserve">    ... assegnati a partire dal 1/1/2018..dettagliare</v>
      </c>
      <c r="F519" s="923"/>
      <c r="G519" s="923"/>
      <c r="H519" s="923"/>
      <c r="I519" s="923"/>
      <c r="J519" s="628">
        <f t="shared" ref="J519:Q519" si="69">SUM(J520:J549)</f>
        <v>0</v>
      </c>
      <c r="K519" s="628">
        <f t="shared" si="69"/>
        <v>0</v>
      </c>
      <c r="L519" s="628">
        <f t="shared" si="69"/>
        <v>0</v>
      </c>
      <c r="M519" s="628">
        <f t="shared" si="69"/>
        <v>0</v>
      </c>
      <c r="N519" s="628">
        <f t="shared" si="69"/>
        <v>0</v>
      </c>
      <c r="O519" s="628">
        <f t="shared" si="69"/>
        <v>0</v>
      </c>
      <c r="P519" s="628">
        <f t="shared" si="69"/>
        <v>0</v>
      </c>
      <c r="Q519" s="628">
        <f t="shared" si="69"/>
        <v>0</v>
      </c>
    </row>
    <row r="520" spans="1:32" s="624" customFormat="1" x14ac:dyDescent="0.25">
      <c r="A520" s="551" t="str">
        <f>+Info!$B$2</f>
        <v>724</v>
      </c>
      <c r="B520" s="226" t="s">
        <v>1928</v>
      </c>
      <c r="C520" s="226" t="str">
        <f t="shared" si="68"/>
        <v>3.10.20.20.000.000.00.000</v>
      </c>
      <c r="D520" s="633"/>
      <c r="F520" s="633"/>
      <c r="G520" s="633"/>
      <c r="H520" s="633"/>
      <c r="I520" s="633"/>
      <c r="J520" s="579"/>
      <c r="K520" s="579"/>
      <c r="L520" s="579"/>
      <c r="M520" s="579"/>
      <c r="N520" s="579"/>
      <c r="O520" s="631">
        <f t="shared" ref="O520:O549" si="70">+J520+K520+L520-M520+N520</f>
        <v>0</v>
      </c>
      <c r="P520" s="579"/>
      <c r="Q520" s="579"/>
    </row>
    <row r="521" spans="1:32" s="624" customFormat="1" x14ac:dyDescent="0.25">
      <c r="A521" s="551" t="str">
        <f>+Info!$B$2</f>
        <v>724</v>
      </c>
      <c r="B521" s="226" t="s">
        <v>1928</v>
      </c>
      <c r="C521" s="226" t="str">
        <f t="shared" si="68"/>
        <v>3.10.20.20.000.000.00.000</v>
      </c>
      <c r="D521" s="633"/>
      <c r="F521" s="633"/>
      <c r="G521" s="633"/>
      <c r="H521" s="633"/>
      <c r="I521" s="633"/>
      <c r="J521" s="579"/>
      <c r="K521" s="579"/>
      <c r="L521" s="579"/>
      <c r="M521" s="579"/>
      <c r="N521" s="579"/>
      <c r="O521" s="631">
        <f t="shared" si="70"/>
        <v>0</v>
      </c>
      <c r="P521" s="579"/>
      <c r="Q521" s="579"/>
    </row>
    <row r="522" spans="1:32" s="624" customFormat="1" x14ac:dyDescent="0.25">
      <c r="A522" s="551" t="str">
        <f>+Info!$B$2</f>
        <v>724</v>
      </c>
      <c r="B522" s="226" t="s">
        <v>1928</v>
      </c>
      <c r="C522" s="226" t="str">
        <f t="shared" si="68"/>
        <v>3.10.20.20.000.000.00.000</v>
      </c>
      <c r="D522" s="633"/>
      <c r="F522" s="633"/>
      <c r="G522" s="633"/>
      <c r="H522" s="633"/>
      <c r="I522" s="633"/>
      <c r="J522" s="579"/>
      <c r="K522" s="579"/>
      <c r="L522" s="579"/>
      <c r="M522" s="579"/>
      <c r="N522" s="579"/>
      <c r="O522" s="631">
        <f t="shared" si="70"/>
        <v>0</v>
      </c>
      <c r="P522" s="579"/>
      <c r="Q522" s="579"/>
    </row>
    <row r="523" spans="1:32" s="624" customFormat="1" x14ac:dyDescent="0.25">
      <c r="A523" s="551" t="str">
        <f>+Info!$B$2</f>
        <v>724</v>
      </c>
      <c r="B523" s="226" t="s">
        <v>1928</v>
      </c>
      <c r="C523" s="226" t="str">
        <f t="shared" si="68"/>
        <v>3.10.20.20.000.000.00.000</v>
      </c>
      <c r="D523" s="633"/>
      <c r="F523" s="633"/>
      <c r="G523" s="633"/>
      <c r="H523" s="633"/>
      <c r="I523" s="633"/>
      <c r="J523" s="579"/>
      <c r="K523" s="579"/>
      <c r="L523" s="579"/>
      <c r="M523" s="579"/>
      <c r="N523" s="579"/>
      <c r="O523" s="631">
        <f t="shared" si="70"/>
        <v>0</v>
      </c>
      <c r="P523" s="579"/>
      <c r="Q523" s="579"/>
    </row>
    <row r="524" spans="1:32" s="624" customFormat="1" x14ac:dyDescent="0.25">
      <c r="A524" s="551" t="str">
        <f>+Info!$B$2</f>
        <v>724</v>
      </c>
      <c r="B524" s="226" t="s">
        <v>1928</v>
      </c>
      <c r="C524" s="226" t="str">
        <f t="shared" si="68"/>
        <v>3.10.20.20.000.000.00.000</v>
      </c>
      <c r="D524" s="633"/>
      <c r="F524" s="633"/>
      <c r="G524" s="633"/>
      <c r="H524" s="633"/>
      <c r="I524" s="633"/>
      <c r="J524" s="579"/>
      <c r="K524" s="579"/>
      <c r="L524" s="579"/>
      <c r="M524" s="579"/>
      <c r="N524" s="579"/>
      <c r="O524" s="631">
        <f t="shared" si="70"/>
        <v>0</v>
      </c>
      <c r="P524" s="579"/>
      <c r="Q524" s="579"/>
    </row>
    <row r="525" spans="1:32" s="624" customFormat="1" x14ac:dyDescent="0.25">
      <c r="A525" s="551" t="str">
        <f>+Info!$B$2</f>
        <v>724</v>
      </c>
      <c r="B525" s="226" t="s">
        <v>1928</v>
      </c>
      <c r="C525" s="226" t="str">
        <f t="shared" si="68"/>
        <v>3.10.20.20.000.000.00.000</v>
      </c>
      <c r="D525" s="633"/>
      <c r="F525" s="633"/>
      <c r="G525" s="633"/>
      <c r="H525" s="633"/>
      <c r="I525" s="633"/>
      <c r="J525" s="579"/>
      <c r="K525" s="579"/>
      <c r="L525" s="579"/>
      <c r="M525" s="579"/>
      <c r="N525" s="579"/>
      <c r="O525" s="631">
        <f t="shared" si="70"/>
        <v>0</v>
      </c>
      <c r="P525" s="579"/>
      <c r="Q525" s="579"/>
    </row>
    <row r="526" spans="1:32" s="624" customFormat="1" x14ac:dyDescent="0.25">
      <c r="A526" s="551" t="str">
        <f>+Info!$B$2</f>
        <v>724</v>
      </c>
      <c r="B526" s="226" t="s">
        <v>1928</v>
      </c>
      <c r="C526" s="226" t="str">
        <f t="shared" si="68"/>
        <v>3.10.20.20.000.000.00.000</v>
      </c>
      <c r="D526" s="633"/>
      <c r="F526" s="633"/>
      <c r="G526" s="633"/>
      <c r="H526" s="633"/>
      <c r="I526" s="633"/>
      <c r="J526" s="579"/>
      <c r="K526" s="579"/>
      <c r="L526" s="579"/>
      <c r="M526" s="579"/>
      <c r="N526" s="579"/>
      <c r="O526" s="631">
        <f t="shared" si="70"/>
        <v>0</v>
      </c>
      <c r="P526" s="579"/>
      <c r="Q526" s="579"/>
    </row>
    <row r="527" spans="1:32" s="624" customFormat="1" x14ac:dyDescent="0.25">
      <c r="A527" s="551" t="str">
        <f>+Info!$B$2</f>
        <v>724</v>
      </c>
      <c r="B527" s="226" t="s">
        <v>1928</v>
      </c>
      <c r="C527" s="226" t="str">
        <f t="shared" si="68"/>
        <v>3.10.20.20.000.000.00.000</v>
      </c>
      <c r="D527" s="633"/>
      <c r="F527" s="633"/>
      <c r="G527" s="633"/>
      <c r="H527" s="633"/>
      <c r="I527" s="633"/>
      <c r="J527" s="579"/>
      <c r="K527" s="579"/>
      <c r="L527" s="579"/>
      <c r="M527" s="579"/>
      <c r="N527" s="579"/>
      <c r="O527" s="631">
        <f t="shared" si="70"/>
        <v>0</v>
      </c>
      <c r="P527" s="579"/>
      <c r="Q527" s="579"/>
    </row>
    <row r="528" spans="1:32" s="624" customFormat="1" x14ac:dyDescent="0.25">
      <c r="A528" s="551" t="str">
        <f>+Info!$B$2</f>
        <v>724</v>
      </c>
      <c r="B528" s="226" t="s">
        <v>1928</v>
      </c>
      <c r="C528" s="226" t="str">
        <f t="shared" si="68"/>
        <v>3.10.20.20.000.000.00.000</v>
      </c>
      <c r="D528" s="633"/>
      <c r="F528" s="633"/>
      <c r="G528" s="633"/>
      <c r="H528" s="633"/>
      <c r="I528" s="633"/>
      <c r="J528" s="579"/>
      <c r="K528" s="579"/>
      <c r="L528" s="579"/>
      <c r="M528" s="579"/>
      <c r="N528" s="579"/>
      <c r="O528" s="631">
        <f t="shared" si="70"/>
        <v>0</v>
      </c>
      <c r="P528" s="579"/>
      <c r="Q528" s="579"/>
    </row>
    <row r="529" spans="1:17" s="624" customFormat="1" x14ac:dyDescent="0.25">
      <c r="A529" s="551" t="str">
        <f>+Info!$B$2</f>
        <v>724</v>
      </c>
      <c r="B529" s="226" t="s">
        <v>1928</v>
      </c>
      <c r="C529" s="226" t="str">
        <f t="shared" si="68"/>
        <v>3.10.20.20.000.000.00.000</v>
      </c>
      <c r="D529" s="633"/>
      <c r="F529" s="633"/>
      <c r="G529" s="633"/>
      <c r="H529" s="633"/>
      <c r="I529" s="633"/>
      <c r="J529" s="579"/>
      <c r="K529" s="579"/>
      <c r="L529" s="579"/>
      <c r="M529" s="579"/>
      <c r="N529" s="579"/>
      <c r="O529" s="631">
        <f t="shared" si="70"/>
        <v>0</v>
      </c>
      <c r="P529" s="579"/>
      <c r="Q529" s="579"/>
    </row>
    <row r="530" spans="1:17" s="624" customFormat="1" x14ac:dyDescent="0.25">
      <c r="A530" s="551" t="str">
        <f>+Info!$B$2</f>
        <v>724</v>
      </c>
      <c r="B530" s="226" t="s">
        <v>1928</v>
      </c>
      <c r="C530" s="226" t="str">
        <f t="shared" si="68"/>
        <v>3.10.20.20.000.000.00.000</v>
      </c>
      <c r="D530" s="633"/>
      <c r="F530" s="633"/>
      <c r="G530" s="633"/>
      <c r="H530" s="633"/>
      <c r="I530" s="633"/>
      <c r="J530" s="579"/>
      <c r="K530" s="579"/>
      <c r="L530" s="579"/>
      <c r="M530" s="579"/>
      <c r="N530" s="579"/>
      <c r="O530" s="631">
        <f t="shared" si="70"/>
        <v>0</v>
      </c>
      <c r="P530" s="579"/>
      <c r="Q530" s="579"/>
    </row>
    <row r="531" spans="1:17" s="624" customFormat="1" x14ac:dyDescent="0.25">
      <c r="A531" s="551" t="str">
        <f>+Info!$B$2</f>
        <v>724</v>
      </c>
      <c r="B531" s="226" t="s">
        <v>1928</v>
      </c>
      <c r="C531" s="226" t="str">
        <f t="shared" si="68"/>
        <v>3.10.20.20.000.000.00.000</v>
      </c>
      <c r="D531" s="633"/>
      <c r="F531" s="633"/>
      <c r="G531" s="633"/>
      <c r="H531" s="633"/>
      <c r="I531" s="633"/>
      <c r="J531" s="579"/>
      <c r="K531" s="579"/>
      <c r="L531" s="579"/>
      <c r="M531" s="579"/>
      <c r="N531" s="579"/>
      <c r="O531" s="631">
        <f t="shared" si="70"/>
        <v>0</v>
      </c>
      <c r="P531" s="579"/>
      <c r="Q531" s="579"/>
    </row>
    <row r="532" spans="1:17" s="624" customFormat="1" x14ac:dyDescent="0.25">
      <c r="A532" s="551" t="str">
        <f>+Info!$B$2</f>
        <v>724</v>
      </c>
      <c r="B532" s="226" t="s">
        <v>1928</v>
      </c>
      <c r="C532" s="226" t="str">
        <f t="shared" si="68"/>
        <v>3.10.20.20.000.000.00.000</v>
      </c>
      <c r="D532" s="633"/>
      <c r="F532" s="633"/>
      <c r="G532" s="633"/>
      <c r="H532" s="633"/>
      <c r="I532" s="633"/>
      <c r="J532" s="579"/>
      <c r="K532" s="579"/>
      <c r="L532" s="579"/>
      <c r="M532" s="579"/>
      <c r="N532" s="579"/>
      <c r="O532" s="631">
        <f t="shared" si="70"/>
        <v>0</v>
      </c>
      <c r="P532" s="579"/>
      <c r="Q532" s="579"/>
    </row>
    <row r="533" spans="1:17" s="624" customFormat="1" x14ac:dyDescent="0.25">
      <c r="A533" s="551" t="str">
        <f>+Info!$B$2</f>
        <v>724</v>
      </c>
      <c r="B533" s="226" t="s">
        <v>1928</v>
      </c>
      <c r="C533" s="226" t="str">
        <f t="shared" si="68"/>
        <v>3.10.20.20.000.000.00.000</v>
      </c>
      <c r="D533" s="633"/>
      <c r="F533" s="633"/>
      <c r="G533" s="633"/>
      <c r="H533" s="633"/>
      <c r="I533" s="633"/>
      <c r="J533" s="579"/>
      <c r="K533" s="579"/>
      <c r="L533" s="579"/>
      <c r="M533" s="579"/>
      <c r="N533" s="579"/>
      <c r="O533" s="631">
        <f t="shared" si="70"/>
        <v>0</v>
      </c>
      <c r="P533" s="579"/>
      <c r="Q533" s="579"/>
    </row>
    <row r="534" spans="1:17" s="624" customFormat="1" x14ac:dyDescent="0.25">
      <c r="A534" s="551" t="str">
        <f>+Info!$B$2</f>
        <v>724</v>
      </c>
      <c r="B534" s="226" t="s">
        <v>1928</v>
      </c>
      <c r="C534" s="226" t="str">
        <f t="shared" si="68"/>
        <v>3.10.20.20.000.000.00.000</v>
      </c>
      <c r="D534" s="633"/>
      <c r="F534" s="633"/>
      <c r="G534" s="633"/>
      <c r="H534" s="633"/>
      <c r="I534" s="633"/>
      <c r="J534" s="579"/>
      <c r="K534" s="579"/>
      <c r="L534" s="579"/>
      <c r="M534" s="579"/>
      <c r="N534" s="579"/>
      <c r="O534" s="631">
        <f t="shared" si="70"/>
        <v>0</v>
      </c>
      <c r="P534" s="579"/>
      <c r="Q534" s="579"/>
    </row>
    <row r="535" spans="1:17" s="624" customFormat="1" x14ac:dyDescent="0.25">
      <c r="A535" s="551" t="str">
        <f>+Info!$B$2</f>
        <v>724</v>
      </c>
      <c r="B535" s="226" t="s">
        <v>1928</v>
      </c>
      <c r="C535" s="226" t="str">
        <f t="shared" si="68"/>
        <v>3.10.20.20.000.000.00.000</v>
      </c>
      <c r="D535" s="633"/>
      <c r="F535" s="633"/>
      <c r="G535" s="633"/>
      <c r="H535" s="633"/>
      <c r="I535" s="633"/>
      <c r="J535" s="579"/>
      <c r="K535" s="579"/>
      <c r="L535" s="579"/>
      <c r="M535" s="579"/>
      <c r="N535" s="579"/>
      <c r="O535" s="631">
        <f t="shared" si="70"/>
        <v>0</v>
      </c>
      <c r="P535" s="579"/>
      <c r="Q535" s="579"/>
    </row>
    <row r="536" spans="1:17" s="624" customFormat="1" x14ac:dyDescent="0.25">
      <c r="A536" s="551" t="str">
        <f>+Info!$B$2</f>
        <v>724</v>
      </c>
      <c r="B536" s="226" t="s">
        <v>1928</v>
      </c>
      <c r="C536" s="226" t="str">
        <f t="shared" si="68"/>
        <v>3.10.20.20.000.000.00.000</v>
      </c>
      <c r="D536" s="633"/>
      <c r="F536" s="633"/>
      <c r="G536" s="633"/>
      <c r="H536" s="633"/>
      <c r="I536" s="633"/>
      <c r="J536" s="579"/>
      <c r="K536" s="579"/>
      <c r="L536" s="579"/>
      <c r="M536" s="579"/>
      <c r="N536" s="579"/>
      <c r="O536" s="631">
        <f t="shared" si="70"/>
        <v>0</v>
      </c>
      <c r="P536" s="579"/>
      <c r="Q536" s="579"/>
    </row>
    <row r="537" spans="1:17" s="624" customFormat="1" x14ac:dyDescent="0.25">
      <c r="A537" s="551" t="str">
        <f>+Info!$B$2</f>
        <v>724</v>
      </c>
      <c r="B537" s="226" t="s">
        <v>1928</v>
      </c>
      <c r="C537" s="226" t="str">
        <f t="shared" si="68"/>
        <v>3.10.20.20.000.000.00.000</v>
      </c>
      <c r="D537" s="633"/>
      <c r="F537" s="633"/>
      <c r="G537" s="633"/>
      <c r="H537" s="633"/>
      <c r="I537" s="633"/>
      <c r="J537" s="579"/>
      <c r="K537" s="579"/>
      <c r="L537" s="579"/>
      <c r="M537" s="579"/>
      <c r="N537" s="579"/>
      <c r="O537" s="631">
        <f t="shared" si="70"/>
        <v>0</v>
      </c>
      <c r="P537" s="579"/>
      <c r="Q537" s="579"/>
    </row>
    <row r="538" spans="1:17" s="624" customFormat="1" x14ac:dyDescent="0.25">
      <c r="A538" s="551" t="str">
        <f>+Info!$B$2</f>
        <v>724</v>
      </c>
      <c r="B538" s="226" t="s">
        <v>1928</v>
      </c>
      <c r="C538" s="226" t="str">
        <f t="shared" si="68"/>
        <v>3.10.20.20.000.000.00.000</v>
      </c>
      <c r="D538" s="633"/>
      <c r="F538" s="633"/>
      <c r="G538" s="633"/>
      <c r="H538" s="633"/>
      <c r="I538" s="633"/>
      <c r="J538" s="579"/>
      <c r="K538" s="579"/>
      <c r="L538" s="579"/>
      <c r="M538" s="579"/>
      <c r="N538" s="579"/>
      <c r="O538" s="631">
        <f t="shared" si="70"/>
        <v>0</v>
      </c>
      <c r="P538" s="579"/>
      <c r="Q538" s="579"/>
    </row>
    <row r="539" spans="1:17" s="624" customFormat="1" x14ac:dyDescent="0.25">
      <c r="A539" s="551" t="str">
        <f>+Info!$B$2</f>
        <v>724</v>
      </c>
      <c r="B539" s="226" t="s">
        <v>1928</v>
      </c>
      <c r="C539" s="226" t="str">
        <f t="shared" si="68"/>
        <v>3.10.20.20.000.000.00.000</v>
      </c>
      <c r="D539" s="633"/>
      <c r="F539" s="633"/>
      <c r="G539" s="633"/>
      <c r="H539" s="633"/>
      <c r="I539" s="633"/>
      <c r="J539" s="579"/>
      <c r="K539" s="579"/>
      <c r="L539" s="579"/>
      <c r="M539" s="579"/>
      <c r="N539" s="579"/>
      <c r="O539" s="631">
        <f t="shared" si="70"/>
        <v>0</v>
      </c>
      <c r="P539" s="579"/>
      <c r="Q539" s="579"/>
    </row>
    <row r="540" spans="1:17" s="624" customFormat="1" x14ac:dyDescent="0.25">
      <c r="A540" s="551" t="str">
        <f>+Info!$B$2</f>
        <v>724</v>
      </c>
      <c r="B540" s="226" t="s">
        <v>1928</v>
      </c>
      <c r="C540" s="226" t="str">
        <f t="shared" si="68"/>
        <v>3.10.20.20.000.000.00.000</v>
      </c>
      <c r="D540" s="633"/>
      <c r="F540" s="633"/>
      <c r="G540" s="633"/>
      <c r="H540" s="633"/>
      <c r="I540" s="633"/>
      <c r="J540" s="579"/>
      <c r="K540" s="579"/>
      <c r="L540" s="579"/>
      <c r="M540" s="579"/>
      <c r="N540" s="579"/>
      <c r="O540" s="631">
        <f t="shared" si="70"/>
        <v>0</v>
      </c>
      <c r="P540" s="579"/>
      <c r="Q540" s="579"/>
    </row>
    <row r="541" spans="1:17" s="624" customFormat="1" x14ac:dyDescent="0.25">
      <c r="A541" s="551" t="str">
        <f>+Info!$B$2</f>
        <v>724</v>
      </c>
      <c r="B541" s="226" t="s">
        <v>1928</v>
      </c>
      <c r="C541" s="226" t="str">
        <f t="shared" si="68"/>
        <v>3.10.20.20.000.000.00.000</v>
      </c>
      <c r="D541" s="633"/>
      <c r="F541" s="633"/>
      <c r="G541" s="633"/>
      <c r="H541" s="633"/>
      <c r="I541" s="633"/>
      <c r="J541" s="579"/>
      <c r="K541" s="579"/>
      <c r="L541" s="579"/>
      <c r="M541" s="579"/>
      <c r="N541" s="579"/>
      <c r="O541" s="631">
        <f t="shared" si="70"/>
        <v>0</v>
      </c>
      <c r="P541" s="579"/>
      <c r="Q541" s="579"/>
    </row>
    <row r="542" spans="1:17" s="624" customFormat="1" x14ac:dyDescent="0.25">
      <c r="A542" s="551" t="str">
        <f>+Info!$B$2</f>
        <v>724</v>
      </c>
      <c r="B542" s="226" t="s">
        <v>1928</v>
      </c>
      <c r="C542" s="226" t="str">
        <f t="shared" si="68"/>
        <v>3.10.20.20.000.000.00.000</v>
      </c>
      <c r="D542" s="633"/>
      <c r="F542" s="633"/>
      <c r="G542" s="633"/>
      <c r="H542" s="633"/>
      <c r="I542" s="633"/>
      <c r="J542" s="579"/>
      <c r="K542" s="579"/>
      <c r="L542" s="579"/>
      <c r="M542" s="579"/>
      <c r="N542" s="579"/>
      <c r="O542" s="631">
        <f t="shared" si="70"/>
        <v>0</v>
      </c>
      <c r="P542" s="579"/>
      <c r="Q542" s="579"/>
    </row>
    <row r="543" spans="1:17" s="624" customFormat="1" x14ac:dyDescent="0.25">
      <c r="A543" s="551" t="str">
        <f>+Info!$B$2</f>
        <v>724</v>
      </c>
      <c r="B543" s="226" t="s">
        <v>1928</v>
      </c>
      <c r="C543" s="226" t="str">
        <f t="shared" si="68"/>
        <v>3.10.20.20.000.000.00.000</v>
      </c>
      <c r="D543" s="633"/>
      <c r="F543" s="633"/>
      <c r="G543" s="633"/>
      <c r="H543" s="633"/>
      <c r="I543" s="633"/>
      <c r="J543" s="579"/>
      <c r="K543" s="579"/>
      <c r="L543" s="579"/>
      <c r="M543" s="579"/>
      <c r="N543" s="579"/>
      <c r="O543" s="631">
        <f t="shared" si="70"/>
        <v>0</v>
      </c>
      <c r="P543" s="579"/>
      <c r="Q543" s="579"/>
    </row>
    <row r="544" spans="1:17" s="624" customFormat="1" x14ac:dyDescent="0.25">
      <c r="A544" s="551" t="str">
        <f>+Info!$B$2</f>
        <v>724</v>
      </c>
      <c r="B544" s="226" t="s">
        <v>1928</v>
      </c>
      <c r="C544" s="226" t="str">
        <f t="shared" si="68"/>
        <v>3.10.20.20.000.000.00.000</v>
      </c>
      <c r="D544" s="633"/>
      <c r="F544" s="633"/>
      <c r="G544" s="633"/>
      <c r="H544" s="633"/>
      <c r="I544" s="633"/>
      <c r="J544" s="579"/>
      <c r="K544" s="579"/>
      <c r="L544" s="579"/>
      <c r="M544" s="579"/>
      <c r="N544" s="579"/>
      <c r="O544" s="631">
        <f t="shared" si="70"/>
        <v>0</v>
      </c>
      <c r="P544" s="579"/>
      <c r="Q544" s="579"/>
    </row>
    <row r="545" spans="1:32" s="624" customFormat="1" x14ac:dyDescent="0.25">
      <c r="A545" s="551" t="str">
        <f>+Info!$B$2</f>
        <v>724</v>
      </c>
      <c r="B545" s="226" t="s">
        <v>1928</v>
      </c>
      <c r="C545" s="226" t="str">
        <f t="shared" si="68"/>
        <v>3.10.20.20.000.000.00.000</v>
      </c>
      <c r="D545" s="633"/>
      <c r="F545" s="633"/>
      <c r="G545" s="633"/>
      <c r="H545" s="633"/>
      <c r="I545" s="633"/>
      <c r="J545" s="579"/>
      <c r="K545" s="579"/>
      <c r="L545" s="579"/>
      <c r="M545" s="579"/>
      <c r="N545" s="579"/>
      <c r="O545" s="631">
        <f t="shared" si="70"/>
        <v>0</v>
      </c>
      <c r="P545" s="579"/>
      <c r="Q545" s="579"/>
    </row>
    <row r="546" spans="1:32" s="624" customFormat="1" x14ac:dyDescent="0.25">
      <c r="A546" s="551" t="str">
        <f>+Info!$B$2</f>
        <v>724</v>
      </c>
      <c r="B546" s="226" t="s">
        <v>1928</v>
      </c>
      <c r="C546" s="226" t="str">
        <f t="shared" si="68"/>
        <v>3.10.20.20.000.000.00.000</v>
      </c>
      <c r="D546" s="633"/>
      <c r="F546" s="633"/>
      <c r="G546" s="633"/>
      <c r="H546" s="633"/>
      <c r="I546" s="633"/>
      <c r="J546" s="579"/>
      <c r="K546" s="579"/>
      <c r="L546" s="579"/>
      <c r="M546" s="579"/>
      <c r="N546" s="579"/>
      <c r="O546" s="631">
        <f t="shared" si="70"/>
        <v>0</v>
      </c>
      <c r="P546" s="579"/>
      <c r="Q546" s="579"/>
    </row>
    <row r="547" spans="1:32" s="624" customFormat="1" x14ac:dyDescent="0.25">
      <c r="A547" s="551" t="str">
        <f>+Info!$B$2</f>
        <v>724</v>
      </c>
      <c r="B547" s="226" t="s">
        <v>1928</v>
      </c>
      <c r="C547" s="226" t="str">
        <f t="shared" si="68"/>
        <v>3.10.20.20.000.000.00.000</v>
      </c>
      <c r="D547" s="633"/>
      <c r="F547" s="633"/>
      <c r="G547" s="633"/>
      <c r="H547" s="633"/>
      <c r="I547" s="633"/>
      <c r="J547" s="579"/>
      <c r="K547" s="579"/>
      <c r="L547" s="579"/>
      <c r="M547" s="579"/>
      <c r="N547" s="579"/>
      <c r="O547" s="631">
        <f t="shared" si="70"/>
        <v>0</v>
      </c>
      <c r="P547" s="579"/>
      <c r="Q547" s="579"/>
    </row>
    <row r="548" spans="1:32" s="624" customFormat="1" x14ac:dyDescent="0.25">
      <c r="A548" s="551" t="str">
        <f>+Info!$B$2</f>
        <v>724</v>
      </c>
      <c r="B548" s="226" t="s">
        <v>1928</v>
      </c>
      <c r="C548" s="226" t="str">
        <f t="shared" si="68"/>
        <v>3.10.20.20.000.000.00.000</v>
      </c>
      <c r="D548" s="633"/>
      <c r="F548" s="633"/>
      <c r="G548" s="633"/>
      <c r="H548" s="633"/>
      <c r="I548" s="633"/>
      <c r="J548" s="579"/>
      <c r="K548" s="579"/>
      <c r="L548" s="579"/>
      <c r="M548" s="579"/>
      <c r="N548" s="579"/>
      <c r="O548" s="631">
        <f t="shared" si="70"/>
        <v>0</v>
      </c>
      <c r="P548" s="579"/>
      <c r="Q548" s="579"/>
    </row>
    <row r="549" spans="1:32" s="624" customFormat="1" x14ac:dyDescent="0.25">
      <c r="A549" s="551" t="str">
        <f>+Info!$B$2</f>
        <v>724</v>
      </c>
      <c r="B549" s="226" t="s">
        <v>1928</v>
      </c>
      <c r="C549" s="226" t="str">
        <f t="shared" si="68"/>
        <v>3.10.20.20.000.000.00.000</v>
      </c>
      <c r="D549" s="633"/>
      <c r="F549" s="633"/>
      <c r="G549" s="633"/>
      <c r="H549" s="633"/>
      <c r="I549" s="633"/>
      <c r="J549" s="579"/>
      <c r="K549" s="579"/>
      <c r="L549" s="579"/>
      <c r="M549" s="579"/>
      <c r="N549" s="579"/>
      <c r="O549" s="631">
        <f t="shared" si="70"/>
        <v>0</v>
      </c>
      <c r="P549" s="579"/>
      <c r="Q549" s="579"/>
    </row>
    <row r="550" spans="1:32" s="624" customFormat="1" ht="15" customHeight="1" x14ac:dyDescent="0.25">
      <c r="A550" s="551" t="str">
        <f>+Info!$B$2</f>
        <v>724</v>
      </c>
      <c r="B550" s="626" t="s">
        <v>1947</v>
      </c>
      <c r="C550" s="626" t="s">
        <v>1948</v>
      </c>
      <c r="D550" s="634" t="s">
        <v>4329</v>
      </c>
      <c r="E550" s="569">
        <f>SUMIF('NI-Soc_SP'!$C:$C,$C550,'NI-Soc_SP'!$Z:$Z)</f>
        <v>0</v>
      </c>
      <c r="F550" s="923" t="str">
        <f>IF(E550=Dettaglio_SP_Soc!O550,"Quadratura OK!","Squadratura con saldo finale di Bilancio!")</f>
        <v>Quadratura OK!</v>
      </c>
      <c r="G550" s="923"/>
      <c r="H550" s="923"/>
      <c r="I550" s="923"/>
      <c r="J550" s="628">
        <f t="shared" ref="J550:Q550" si="71">+J551+J552</f>
        <v>0</v>
      </c>
      <c r="K550" s="628">
        <f t="shared" si="71"/>
        <v>0</v>
      </c>
      <c r="L550" s="628">
        <f t="shared" si="71"/>
        <v>0</v>
      </c>
      <c r="M550" s="628">
        <f t="shared" si="71"/>
        <v>0</v>
      </c>
      <c r="N550" s="628">
        <f t="shared" si="71"/>
        <v>0</v>
      </c>
      <c r="O550" s="628">
        <f t="shared" si="71"/>
        <v>0</v>
      </c>
      <c r="P550" s="628">
        <f t="shared" si="71"/>
        <v>0</v>
      </c>
      <c r="Q550" s="628">
        <f t="shared" si="71"/>
        <v>0</v>
      </c>
      <c r="AC550" s="624" t="str">
        <f>C550</f>
        <v>3.10.20.30.000.000.00.000</v>
      </c>
      <c r="AD550" s="629">
        <f>O550</f>
        <v>0</v>
      </c>
      <c r="AE550" s="629">
        <f>E550</f>
        <v>0</v>
      </c>
      <c r="AF550" s="551">
        <f>IF($AD550=$AE550,0,1)</f>
        <v>0</v>
      </c>
    </row>
    <row r="551" spans="1:32" s="624" customFormat="1" ht="15" customHeight="1" x14ac:dyDescent="0.25">
      <c r="A551" s="551" t="str">
        <f>+Info!$B$2</f>
        <v>724</v>
      </c>
      <c r="B551" s="226" t="s">
        <v>1947</v>
      </c>
      <c r="C551" s="226" t="str">
        <f t="shared" ref="C551:C602" si="72">$C$550</f>
        <v>3.10.20.30.000.000.00.000</v>
      </c>
      <c r="D551" s="630" t="str">
        <f>"    ... assegnati in data antecedente al 1/1/"&amp;Info!$B$3-2</f>
        <v xml:space="preserve">    ... assegnati in data antecedente al 1/1/2018</v>
      </c>
      <c r="F551" s="923"/>
      <c r="G551" s="923"/>
      <c r="H551" s="923"/>
      <c r="I551" s="923"/>
      <c r="J551" s="579"/>
      <c r="K551" s="579"/>
      <c r="L551" s="579"/>
      <c r="M551" s="579"/>
      <c r="N551" s="579"/>
      <c r="O551" s="631">
        <f>+J551+K551+L551-M551+N551</f>
        <v>0</v>
      </c>
      <c r="P551" s="579"/>
      <c r="Q551" s="579"/>
    </row>
    <row r="552" spans="1:32" s="624" customFormat="1" ht="15" customHeight="1" x14ac:dyDescent="0.25">
      <c r="A552" s="551" t="str">
        <f>+Info!$B$2</f>
        <v>724</v>
      </c>
      <c r="B552" s="226" t="s">
        <v>1947</v>
      </c>
      <c r="C552" s="226" t="str">
        <f t="shared" si="72"/>
        <v>3.10.20.30.000.000.00.000</v>
      </c>
      <c r="D552" s="632" t="str">
        <f>"    ... assegnati a partire dal 1/1/"&amp;Info!$B$3-2&amp;"..dettagliare"</f>
        <v xml:space="preserve">    ... assegnati a partire dal 1/1/2018..dettagliare</v>
      </c>
      <c r="F552" s="923"/>
      <c r="G552" s="923"/>
      <c r="H552" s="923"/>
      <c r="I552" s="923"/>
      <c r="J552" s="628">
        <f t="shared" ref="J552:Q552" si="73">SUM(J553:J602)</f>
        <v>0</v>
      </c>
      <c r="K552" s="628">
        <f t="shared" si="73"/>
        <v>0</v>
      </c>
      <c r="L552" s="628">
        <f t="shared" si="73"/>
        <v>0</v>
      </c>
      <c r="M552" s="628">
        <f t="shared" si="73"/>
        <v>0</v>
      </c>
      <c r="N552" s="628">
        <f t="shared" si="73"/>
        <v>0</v>
      </c>
      <c r="O552" s="628">
        <f t="shared" si="73"/>
        <v>0</v>
      </c>
      <c r="P552" s="628">
        <f t="shared" si="73"/>
        <v>0</v>
      </c>
      <c r="Q552" s="628">
        <f t="shared" si="73"/>
        <v>0</v>
      </c>
    </row>
    <row r="553" spans="1:32" s="624" customFormat="1" x14ac:dyDescent="0.25">
      <c r="A553" s="551" t="str">
        <f>+Info!$B$2</f>
        <v>724</v>
      </c>
      <c r="B553" s="226" t="s">
        <v>1947</v>
      </c>
      <c r="C553" s="226" t="str">
        <f t="shared" si="72"/>
        <v>3.10.20.30.000.000.00.000</v>
      </c>
      <c r="D553" s="633"/>
      <c r="F553" s="633"/>
      <c r="G553" s="633"/>
      <c r="H553" s="633"/>
      <c r="I553" s="633"/>
      <c r="J553" s="579"/>
      <c r="K553" s="579"/>
      <c r="L553" s="579"/>
      <c r="M553" s="579"/>
      <c r="N553" s="579"/>
      <c r="O553" s="631">
        <f t="shared" ref="O553:O602" si="74">+J553+K553+L553-M553+N553</f>
        <v>0</v>
      </c>
      <c r="P553" s="579"/>
      <c r="Q553" s="579"/>
    </row>
    <row r="554" spans="1:32" s="624" customFormat="1" x14ac:dyDescent="0.25">
      <c r="A554" s="551" t="str">
        <f>+Info!$B$2</f>
        <v>724</v>
      </c>
      <c r="B554" s="226" t="s">
        <v>1947</v>
      </c>
      <c r="C554" s="226" t="str">
        <f t="shared" si="72"/>
        <v>3.10.20.30.000.000.00.000</v>
      </c>
      <c r="D554" s="633"/>
      <c r="F554" s="633"/>
      <c r="G554" s="633"/>
      <c r="H554" s="633"/>
      <c r="I554" s="633"/>
      <c r="J554" s="579"/>
      <c r="K554" s="579"/>
      <c r="L554" s="579"/>
      <c r="M554" s="579"/>
      <c r="N554" s="579"/>
      <c r="O554" s="631">
        <f t="shared" si="74"/>
        <v>0</v>
      </c>
      <c r="P554" s="579"/>
      <c r="Q554" s="579"/>
    </row>
    <row r="555" spans="1:32" s="624" customFormat="1" x14ac:dyDescent="0.25">
      <c r="A555" s="551" t="str">
        <f>+Info!$B$2</f>
        <v>724</v>
      </c>
      <c r="B555" s="226" t="s">
        <v>1947</v>
      </c>
      <c r="C555" s="226" t="str">
        <f t="shared" si="72"/>
        <v>3.10.20.30.000.000.00.000</v>
      </c>
      <c r="D555" s="633"/>
      <c r="F555" s="633"/>
      <c r="G555" s="633"/>
      <c r="H555" s="633"/>
      <c r="I555" s="633"/>
      <c r="J555" s="579"/>
      <c r="K555" s="579"/>
      <c r="L555" s="579"/>
      <c r="M555" s="579"/>
      <c r="N555" s="579"/>
      <c r="O555" s="631">
        <f t="shared" si="74"/>
        <v>0</v>
      </c>
      <c r="P555" s="579"/>
      <c r="Q555" s="579"/>
    </row>
    <row r="556" spans="1:32" s="624" customFormat="1" x14ac:dyDescent="0.25">
      <c r="A556" s="551" t="str">
        <f>+Info!$B$2</f>
        <v>724</v>
      </c>
      <c r="B556" s="226" t="s">
        <v>1947</v>
      </c>
      <c r="C556" s="226" t="str">
        <f t="shared" si="72"/>
        <v>3.10.20.30.000.000.00.000</v>
      </c>
      <c r="D556" s="633"/>
      <c r="F556" s="633"/>
      <c r="G556" s="633"/>
      <c r="H556" s="633"/>
      <c r="I556" s="633"/>
      <c r="J556" s="579"/>
      <c r="K556" s="579"/>
      <c r="L556" s="579"/>
      <c r="M556" s="579"/>
      <c r="N556" s="579"/>
      <c r="O556" s="631">
        <f t="shared" si="74"/>
        <v>0</v>
      </c>
      <c r="P556" s="579"/>
      <c r="Q556" s="579"/>
    </row>
    <row r="557" spans="1:32" s="624" customFormat="1" x14ac:dyDescent="0.25">
      <c r="A557" s="551" t="str">
        <f>+Info!$B$2</f>
        <v>724</v>
      </c>
      <c r="B557" s="226" t="s">
        <v>1947</v>
      </c>
      <c r="C557" s="226" t="str">
        <f t="shared" si="72"/>
        <v>3.10.20.30.000.000.00.000</v>
      </c>
      <c r="D557" s="633"/>
      <c r="F557" s="633"/>
      <c r="G557" s="633"/>
      <c r="H557" s="633"/>
      <c r="I557" s="633"/>
      <c r="J557" s="579"/>
      <c r="K557" s="579"/>
      <c r="L557" s="579"/>
      <c r="M557" s="579"/>
      <c r="N557" s="579"/>
      <c r="O557" s="631">
        <f t="shared" si="74"/>
        <v>0</v>
      </c>
      <c r="P557" s="579"/>
      <c r="Q557" s="579"/>
    </row>
    <row r="558" spans="1:32" s="624" customFormat="1" x14ac:dyDescent="0.25">
      <c r="A558" s="551" t="str">
        <f>+Info!$B$2</f>
        <v>724</v>
      </c>
      <c r="B558" s="226" t="s">
        <v>1947</v>
      </c>
      <c r="C558" s="226" t="str">
        <f t="shared" si="72"/>
        <v>3.10.20.30.000.000.00.000</v>
      </c>
      <c r="D558" s="633"/>
      <c r="F558" s="633"/>
      <c r="G558" s="633"/>
      <c r="H558" s="633"/>
      <c r="I558" s="633"/>
      <c r="J558" s="579"/>
      <c r="K558" s="579"/>
      <c r="L558" s="579"/>
      <c r="M558" s="579"/>
      <c r="N558" s="579"/>
      <c r="O558" s="631">
        <f t="shared" si="74"/>
        <v>0</v>
      </c>
      <c r="P558" s="579"/>
      <c r="Q558" s="579"/>
    </row>
    <row r="559" spans="1:32" s="624" customFormat="1" x14ac:dyDescent="0.25">
      <c r="A559" s="551" t="str">
        <f>+Info!$B$2</f>
        <v>724</v>
      </c>
      <c r="B559" s="226" t="s">
        <v>1947</v>
      </c>
      <c r="C559" s="226" t="str">
        <f t="shared" si="72"/>
        <v>3.10.20.30.000.000.00.000</v>
      </c>
      <c r="D559" s="633"/>
      <c r="F559" s="633"/>
      <c r="G559" s="633"/>
      <c r="H559" s="633"/>
      <c r="I559" s="633"/>
      <c r="J559" s="579"/>
      <c r="K559" s="579"/>
      <c r="L559" s="579"/>
      <c r="M559" s="579"/>
      <c r="N559" s="579"/>
      <c r="O559" s="631">
        <f t="shared" si="74"/>
        <v>0</v>
      </c>
      <c r="P559" s="579"/>
      <c r="Q559" s="579"/>
    </row>
    <row r="560" spans="1:32" s="624" customFormat="1" x14ac:dyDescent="0.25">
      <c r="A560" s="551" t="str">
        <f>+Info!$B$2</f>
        <v>724</v>
      </c>
      <c r="B560" s="226" t="s">
        <v>1947</v>
      </c>
      <c r="C560" s="226" t="str">
        <f t="shared" si="72"/>
        <v>3.10.20.30.000.000.00.000</v>
      </c>
      <c r="D560" s="633"/>
      <c r="F560" s="633"/>
      <c r="G560" s="633"/>
      <c r="H560" s="633"/>
      <c r="I560" s="633"/>
      <c r="J560" s="579"/>
      <c r="K560" s="579"/>
      <c r="L560" s="579"/>
      <c r="M560" s="579"/>
      <c r="N560" s="579"/>
      <c r="O560" s="631">
        <f t="shared" si="74"/>
        <v>0</v>
      </c>
      <c r="P560" s="579"/>
      <c r="Q560" s="579"/>
    </row>
    <row r="561" spans="1:17" s="624" customFormat="1" x14ac:dyDescent="0.25">
      <c r="A561" s="551" t="str">
        <f>+Info!$B$2</f>
        <v>724</v>
      </c>
      <c r="B561" s="226" t="s">
        <v>1947</v>
      </c>
      <c r="C561" s="226" t="str">
        <f t="shared" si="72"/>
        <v>3.10.20.30.000.000.00.000</v>
      </c>
      <c r="D561" s="633"/>
      <c r="F561" s="633"/>
      <c r="G561" s="633"/>
      <c r="H561" s="633"/>
      <c r="I561" s="633"/>
      <c r="J561" s="579"/>
      <c r="K561" s="579"/>
      <c r="L561" s="579"/>
      <c r="M561" s="579"/>
      <c r="N561" s="579"/>
      <c r="O561" s="631">
        <f t="shared" si="74"/>
        <v>0</v>
      </c>
      <c r="P561" s="579"/>
      <c r="Q561" s="579"/>
    </row>
    <row r="562" spans="1:17" s="624" customFormat="1" x14ac:dyDescent="0.25">
      <c r="A562" s="551" t="str">
        <f>+Info!$B$2</f>
        <v>724</v>
      </c>
      <c r="B562" s="226" t="s">
        <v>1947</v>
      </c>
      <c r="C562" s="226" t="str">
        <f t="shared" si="72"/>
        <v>3.10.20.30.000.000.00.000</v>
      </c>
      <c r="D562" s="633"/>
      <c r="F562" s="633"/>
      <c r="G562" s="633"/>
      <c r="H562" s="633"/>
      <c r="I562" s="633"/>
      <c r="J562" s="579"/>
      <c r="K562" s="579"/>
      <c r="L562" s="579"/>
      <c r="M562" s="579"/>
      <c r="N562" s="579"/>
      <c r="O562" s="631">
        <f t="shared" si="74"/>
        <v>0</v>
      </c>
      <c r="P562" s="579"/>
      <c r="Q562" s="579"/>
    </row>
    <row r="563" spans="1:17" s="624" customFormat="1" x14ac:dyDescent="0.25">
      <c r="A563" s="551" t="str">
        <f>+Info!$B$2</f>
        <v>724</v>
      </c>
      <c r="B563" s="226" t="s">
        <v>1947</v>
      </c>
      <c r="C563" s="226" t="str">
        <f t="shared" si="72"/>
        <v>3.10.20.30.000.000.00.000</v>
      </c>
      <c r="D563" s="633"/>
      <c r="F563" s="633"/>
      <c r="G563" s="633"/>
      <c r="H563" s="633"/>
      <c r="I563" s="633"/>
      <c r="J563" s="579"/>
      <c r="K563" s="579"/>
      <c r="L563" s="579"/>
      <c r="M563" s="579"/>
      <c r="N563" s="579"/>
      <c r="O563" s="631">
        <f t="shared" si="74"/>
        <v>0</v>
      </c>
      <c r="P563" s="579"/>
      <c r="Q563" s="579"/>
    </row>
    <row r="564" spans="1:17" s="624" customFormat="1" x14ac:dyDescent="0.25">
      <c r="A564" s="551" t="str">
        <f>+Info!$B$2</f>
        <v>724</v>
      </c>
      <c r="B564" s="226" t="s">
        <v>1947</v>
      </c>
      <c r="C564" s="226" t="str">
        <f t="shared" si="72"/>
        <v>3.10.20.30.000.000.00.000</v>
      </c>
      <c r="D564" s="633"/>
      <c r="F564" s="633"/>
      <c r="G564" s="633"/>
      <c r="H564" s="633"/>
      <c r="I564" s="633"/>
      <c r="J564" s="579"/>
      <c r="K564" s="579"/>
      <c r="L564" s="579"/>
      <c r="M564" s="579"/>
      <c r="N564" s="579"/>
      <c r="O564" s="631">
        <f t="shared" si="74"/>
        <v>0</v>
      </c>
      <c r="P564" s="579"/>
      <c r="Q564" s="579"/>
    </row>
    <row r="565" spans="1:17" s="624" customFormat="1" x14ac:dyDescent="0.25">
      <c r="A565" s="551" t="str">
        <f>+Info!$B$2</f>
        <v>724</v>
      </c>
      <c r="B565" s="226" t="s">
        <v>1947</v>
      </c>
      <c r="C565" s="226" t="str">
        <f t="shared" si="72"/>
        <v>3.10.20.30.000.000.00.000</v>
      </c>
      <c r="D565" s="633"/>
      <c r="F565" s="633"/>
      <c r="G565" s="633"/>
      <c r="H565" s="633"/>
      <c r="I565" s="633"/>
      <c r="J565" s="579"/>
      <c r="K565" s="579"/>
      <c r="L565" s="579"/>
      <c r="M565" s="579"/>
      <c r="N565" s="579"/>
      <c r="O565" s="631">
        <f t="shared" si="74"/>
        <v>0</v>
      </c>
      <c r="P565" s="579"/>
      <c r="Q565" s="579"/>
    </row>
    <row r="566" spans="1:17" s="624" customFormat="1" x14ac:dyDescent="0.25">
      <c r="A566" s="551" t="str">
        <f>+Info!$B$2</f>
        <v>724</v>
      </c>
      <c r="B566" s="226" t="s">
        <v>1947</v>
      </c>
      <c r="C566" s="226" t="str">
        <f t="shared" si="72"/>
        <v>3.10.20.30.000.000.00.000</v>
      </c>
      <c r="D566" s="633"/>
      <c r="F566" s="633"/>
      <c r="G566" s="633"/>
      <c r="H566" s="633"/>
      <c r="I566" s="633"/>
      <c r="J566" s="579"/>
      <c r="K566" s="579"/>
      <c r="L566" s="579"/>
      <c r="M566" s="579"/>
      <c r="N566" s="579"/>
      <c r="O566" s="631">
        <f t="shared" si="74"/>
        <v>0</v>
      </c>
      <c r="P566" s="579"/>
      <c r="Q566" s="579"/>
    </row>
    <row r="567" spans="1:17" s="624" customFormat="1" x14ac:dyDescent="0.25">
      <c r="A567" s="551" t="str">
        <f>+Info!$B$2</f>
        <v>724</v>
      </c>
      <c r="B567" s="226" t="s">
        <v>1947</v>
      </c>
      <c r="C567" s="226" t="str">
        <f t="shared" si="72"/>
        <v>3.10.20.30.000.000.00.000</v>
      </c>
      <c r="D567" s="633"/>
      <c r="F567" s="633"/>
      <c r="G567" s="633"/>
      <c r="H567" s="633"/>
      <c r="I567" s="633"/>
      <c r="J567" s="579"/>
      <c r="K567" s="579"/>
      <c r="L567" s="579"/>
      <c r="M567" s="579"/>
      <c r="N567" s="579"/>
      <c r="O567" s="631">
        <f t="shared" si="74"/>
        <v>0</v>
      </c>
      <c r="P567" s="579"/>
      <c r="Q567" s="579"/>
    </row>
    <row r="568" spans="1:17" s="624" customFormat="1" x14ac:dyDescent="0.25">
      <c r="A568" s="551" t="str">
        <f>+Info!$B$2</f>
        <v>724</v>
      </c>
      <c r="B568" s="226" t="s">
        <v>1947</v>
      </c>
      <c r="C568" s="226" t="str">
        <f t="shared" si="72"/>
        <v>3.10.20.30.000.000.00.000</v>
      </c>
      <c r="D568" s="633"/>
      <c r="F568" s="633"/>
      <c r="G568" s="633"/>
      <c r="H568" s="633"/>
      <c r="I568" s="633"/>
      <c r="J568" s="579"/>
      <c r="K568" s="579"/>
      <c r="L568" s="579"/>
      <c r="M568" s="579"/>
      <c r="N568" s="579"/>
      <c r="O568" s="631">
        <f t="shared" si="74"/>
        <v>0</v>
      </c>
      <c r="P568" s="579"/>
      <c r="Q568" s="579"/>
    </row>
    <row r="569" spans="1:17" s="624" customFormat="1" x14ac:dyDescent="0.25">
      <c r="A569" s="551" t="str">
        <f>+Info!$B$2</f>
        <v>724</v>
      </c>
      <c r="B569" s="226" t="s">
        <v>1947</v>
      </c>
      <c r="C569" s="226" t="str">
        <f t="shared" si="72"/>
        <v>3.10.20.30.000.000.00.000</v>
      </c>
      <c r="D569" s="633"/>
      <c r="F569" s="633"/>
      <c r="G569" s="633"/>
      <c r="H569" s="633"/>
      <c r="I569" s="633"/>
      <c r="J569" s="579"/>
      <c r="K569" s="579"/>
      <c r="L569" s="579"/>
      <c r="M569" s="579"/>
      <c r="N569" s="579"/>
      <c r="O569" s="631">
        <f t="shared" si="74"/>
        <v>0</v>
      </c>
      <c r="P569" s="579"/>
      <c r="Q569" s="579"/>
    </row>
    <row r="570" spans="1:17" s="624" customFormat="1" x14ac:dyDescent="0.25">
      <c r="A570" s="551" t="str">
        <f>+Info!$B$2</f>
        <v>724</v>
      </c>
      <c r="B570" s="226" t="s">
        <v>1947</v>
      </c>
      <c r="C570" s="226" t="str">
        <f t="shared" si="72"/>
        <v>3.10.20.30.000.000.00.000</v>
      </c>
      <c r="D570" s="633"/>
      <c r="F570" s="633"/>
      <c r="G570" s="633"/>
      <c r="H570" s="633"/>
      <c r="I570" s="633"/>
      <c r="J570" s="579"/>
      <c r="K570" s="579"/>
      <c r="L570" s="579"/>
      <c r="M570" s="579"/>
      <c r="N570" s="579"/>
      <c r="O570" s="631">
        <f t="shared" si="74"/>
        <v>0</v>
      </c>
      <c r="P570" s="579"/>
      <c r="Q570" s="579"/>
    </row>
    <row r="571" spans="1:17" s="624" customFormat="1" x14ac:dyDescent="0.25">
      <c r="A571" s="551" t="str">
        <f>+Info!$B$2</f>
        <v>724</v>
      </c>
      <c r="B571" s="226" t="s">
        <v>1947</v>
      </c>
      <c r="C571" s="226" t="str">
        <f t="shared" si="72"/>
        <v>3.10.20.30.000.000.00.000</v>
      </c>
      <c r="D571" s="633"/>
      <c r="F571" s="633"/>
      <c r="G571" s="633"/>
      <c r="H571" s="633"/>
      <c r="I571" s="633"/>
      <c r="J571" s="579"/>
      <c r="K571" s="579"/>
      <c r="L571" s="579"/>
      <c r="M571" s="579"/>
      <c r="N571" s="579"/>
      <c r="O571" s="631">
        <f t="shared" si="74"/>
        <v>0</v>
      </c>
      <c r="P571" s="579"/>
      <c r="Q571" s="579"/>
    </row>
    <row r="572" spans="1:17" s="624" customFormat="1" x14ac:dyDescent="0.25">
      <c r="A572" s="551" t="str">
        <f>+Info!$B$2</f>
        <v>724</v>
      </c>
      <c r="B572" s="226" t="s">
        <v>1947</v>
      </c>
      <c r="C572" s="226" t="str">
        <f t="shared" si="72"/>
        <v>3.10.20.30.000.000.00.000</v>
      </c>
      <c r="D572" s="633"/>
      <c r="F572" s="633"/>
      <c r="G572" s="633"/>
      <c r="H572" s="633"/>
      <c r="I572" s="633"/>
      <c r="J572" s="579"/>
      <c r="K572" s="579"/>
      <c r="L572" s="579"/>
      <c r="M572" s="579"/>
      <c r="N572" s="579"/>
      <c r="O572" s="631">
        <f t="shared" si="74"/>
        <v>0</v>
      </c>
      <c r="P572" s="579"/>
      <c r="Q572" s="579"/>
    </row>
    <row r="573" spans="1:17" s="624" customFormat="1" x14ac:dyDescent="0.25">
      <c r="A573" s="551" t="str">
        <f>+Info!$B$2</f>
        <v>724</v>
      </c>
      <c r="B573" s="226" t="s">
        <v>1947</v>
      </c>
      <c r="C573" s="226" t="str">
        <f t="shared" si="72"/>
        <v>3.10.20.30.000.000.00.000</v>
      </c>
      <c r="D573" s="633"/>
      <c r="F573" s="633"/>
      <c r="G573" s="633"/>
      <c r="H573" s="633"/>
      <c r="I573" s="633"/>
      <c r="J573" s="579"/>
      <c r="K573" s="579"/>
      <c r="L573" s="579"/>
      <c r="M573" s="579"/>
      <c r="N573" s="579"/>
      <c r="O573" s="631">
        <f t="shared" si="74"/>
        <v>0</v>
      </c>
      <c r="P573" s="579"/>
      <c r="Q573" s="579"/>
    </row>
    <row r="574" spans="1:17" s="624" customFormat="1" x14ac:dyDescent="0.25">
      <c r="A574" s="551" t="str">
        <f>+Info!$B$2</f>
        <v>724</v>
      </c>
      <c r="B574" s="226" t="s">
        <v>1947</v>
      </c>
      <c r="C574" s="226" t="str">
        <f t="shared" si="72"/>
        <v>3.10.20.30.000.000.00.000</v>
      </c>
      <c r="D574" s="633"/>
      <c r="F574" s="633"/>
      <c r="G574" s="633"/>
      <c r="H574" s="633"/>
      <c r="I574" s="633"/>
      <c r="J574" s="579"/>
      <c r="K574" s="579"/>
      <c r="L574" s="579"/>
      <c r="M574" s="579"/>
      <c r="N574" s="579"/>
      <c r="O574" s="631">
        <f t="shared" si="74"/>
        <v>0</v>
      </c>
      <c r="P574" s="579"/>
      <c r="Q574" s="579"/>
    </row>
    <row r="575" spans="1:17" s="624" customFormat="1" x14ac:dyDescent="0.25">
      <c r="A575" s="551" t="str">
        <f>+Info!$B$2</f>
        <v>724</v>
      </c>
      <c r="B575" s="226" t="s">
        <v>1947</v>
      </c>
      <c r="C575" s="226" t="str">
        <f t="shared" si="72"/>
        <v>3.10.20.30.000.000.00.000</v>
      </c>
      <c r="D575" s="633"/>
      <c r="F575" s="633"/>
      <c r="G575" s="633"/>
      <c r="H575" s="633"/>
      <c r="I575" s="633"/>
      <c r="J575" s="579"/>
      <c r="K575" s="579"/>
      <c r="L575" s="579"/>
      <c r="M575" s="579"/>
      <c r="N575" s="579"/>
      <c r="O575" s="631">
        <f t="shared" si="74"/>
        <v>0</v>
      </c>
      <c r="P575" s="579"/>
      <c r="Q575" s="579"/>
    </row>
    <row r="576" spans="1:17" s="624" customFormat="1" x14ac:dyDescent="0.25">
      <c r="A576" s="551" t="str">
        <f>+Info!$B$2</f>
        <v>724</v>
      </c>
      <c r="B576" s="226" t="s">
        <v>1947</v>
      </c>
      <c r="C576" s="226" t="str">
        <f t="shared" si="72"/>
        <v>3.10.20.30.000.000.00.000</v>
      </c>
      <c r="D576" s="633"/>
      <c r="F576" s="633"/>
      <c r="G576" s="633"/>
      <c r="H576" s="633"/>
      <c r="I576" s="633"/>
      <c r="J576" s="579"/>
      <c r="K576" s="579"/>
      <c r="L576" s="579"/>
      <c r="M576" s="579"/>
      <c r="N576" s="579"/>
      <c r="O576" s="631">
        <f t="shared" si="74"/>
        <v>0</v>
      </c>
      <c r="P576" s="579"/>
      <c r="Q576" s="579"/>
    </row>
    <row r="577" spans="1:17" s="624" customFormat="1" x14ac:dyDescent="0.25">
      <c r="A577" s="551" t="str">
        <f>+Info!$B$2</f>
        <v>724</v>
      </c>
      <c r="B577" s="226" t="s">
        <v>1947</v>
      </c>
      <c r="C577" s="226" t="str">
        <f t="shared" si="72"/>
        <v>3.10.20.30.000.000.00.000</v>
      </c>
      <c r="D577" s="633"/>
      <c r="F577" s="633"/>
      <c r="G577" s="633"/>
      <c r="H577" s="633"/>
      <c r="I577" s="633"/>
      <c r="J577" s="579"/>
      <c r="K577" s="579"/>
      <c r="L577" s="579"/>
      <c r="M577" s="579"/>
      <c r="N577" s="579"/>
      <c r="O577" s="631">
        <f t="shared" si="74"/>
        <v>0</v>
      </c>
      <c r="P577" s="579"/>
      <c r="Q577" s="579"/>
    </row>
    <row r="578" spans="1:17" s="624" customFormat="1" x14ac:dyDescent="0.25">
      <c r="A578" s="551" t="str">
        <f>+Info!$B$2</f>
        <v>724</v>
      </c>
      <c r="B578" s="226" t="s">
        <v>1947</v>
      </c>
      <c r="C578" s="226" t="str">
        <f t="shared" si="72"/>
        <v>3.10.20.30.000.000.00.000</v>
      </c>
      <c r="D578" s="633"/>
      <c r="F578" s="633"/>
      <c r="G578" s="633"/>
      <c r="H578" s="633"/>
      <c r="I578" s="633"/>
      <c r="J578" s="579"/>
      <c r="K578" s="579"/>
      <c r="L578" s="579"/>
      <c r="M578" s="579"/>
      <c r="N578" s="579"/>
      <c r="O578" s="631">
        <f t="shared" si="74"/>
        <v>0</v>
      </c>
      <c r="P578" s="579"/>
      <c r="Q578" s="579"/>
    </row>
    <row r="579" spans="1:17" s="624" customFormat="1" x14ac:dyDescent="0.25">
      <c r="A579" s="551" t="str">
        <f>+Info!$B$2</f>
        <v>724</v>
      </c>
      <c r="B579" s="226" t="s">
        <v>1947</v>
      </c>
      <c r="C579" s="226" t="str">
        <f t="shared" si="72"/>
        <v>3.10.20.30.000.000.00.000</v>
      </c>
      <c r="D579" s="633"/>
      <c r="F579" s="633"/>
      <c r="G579" s="633"/>
      <c r="H579" s="633"/>
      <c r="I579" s="633"/>
      <c r="J579" s="579"/>
      <c r="K579" s="579"/>
      <c r="L579" s="579"/>
      <c r="M579" s="579"/>
      <c r="N579" s="579"/>
      <c r="O579" s="631">
        <f t="shared" si="74"/>
        <v>0</v>
      </c>
      <c r="P579" s="579"/>
      <c r="Q579" s="579"/>
    </row>
    <row r="580" spans="1:17" s="624" customFormat="1" x14ac:dyDescent="0.25">
      <c r="A580" s="551" t="str">
        <f>+Info!$B$2</f>
        <v>724</v>
      </c>
      <c r="B580" s="226" t="s">
        <v>1947</v>
      </c>
      <c r="C580" s="226" t="str">
        <f t="shared" si="72"/>
        <v>3.10.20.30.000.000.00.000</v>
      </c>
      <c r="D580" s="633"/>
      <c r="F580" s="633"/>
      <c r="G580" s="633"/>
      <c r="H580" s="633"/>
      <c r="I580" s="633"/>
      <c r="J580" s="579"/>
      <c r="K580" s="579"/>
      <c r="L580" s="579"/>
      <c r="M580" s="579"/>
      <c r="N580" s="579"/>
      <c r="O580" s="631">
        <f t="shared" si="74"/>
        <v>0</v>
      </c>
      <c r="P580" s="579"/>
      <c r="Q580" s="579"/>
    </row>
    <row r="581" spans="1:17" s="624" customFormat="1" x14ac:dyDescent="0.25">
      <c r="A581" s="551" t="str">
        <f>+Info!$B$2</f>
        <v>724</v>
      </c>
      <c r="B581" s="226" t="s">
        <v>1947</v>
      </c>
      <c r="C581" s="226" t="str">
        <f t="shared" si="72"/>
        <v>3.10.20.30.000.000.00.000</v>
      </c>
      <c r="D581" s="633"/>
      <c r="F581" s="633"/>
      <c r="G581" s="633"/>
      <c r="H581" s="633"/>
      <c r="I581" s="633"/>
      <c r="J581" s="579"/>
      <c r="K581" s="579"/>
      <c r="L581" s="579"/>
      <c r="M581" s="579"/>
      <c r="N581" s="579"/>
      <c r="O581" s="631">
        <f t="shared" si="74"/>
        <v>0</v>
      </c>
      <c r="P581" s="579"/>
      <c r="Q581" s="579"/>
    </row>
    <row r="582" spans="1:17" s="624" customFormat="1" x14ac:dyDescent="0.25">
      <c r="A582" s="551" t="str">
        <f>+Info!$B$2</f>
        <v>724</v>
      </c>
      <c r="B582" s="226" t="s">
        <v>1947</v>
      </c>
      <c r="C582" s="226" t="str">
        <f t="shared" si="72"/>
        <v>3.10.20.30.000.000.00.000</v>
      </c>
      <c r="D582" s="633"/>
      <c r="F582" s="633"/>
      <c r="G582" s="633"/>
      <c r="H582" s="633"/>
      <c r="I582" s="633"/>
      <c r="J582" s="579"/>
      <c r="K582" s="579"/>
      <c r="L582" s="579"/>
      <c r="M582" s="579"/>
      <c r="N582" s="579"/>
      <c r="O582" s="631">
        <f t="shared" si="74"/>
        <v>0</v>
      </c>
      <c r="P582" s="579"/>
      <c r="Q582" s="579"/>
    </row>
    <row r="583" spans="1:17" s="624" customFormat="1" x14ac:dyDescent="0.25">
      <c r="A583" s="551" t="str">
        <f>+Info!$B$2</f>
        <v>724</v>
      </c>
      <c r="B583" s="226" t="s">
        <v>1947</v>
      </c>
      <c r="C583" s="226" t="str">
        <f t="shared" si="72"/>
        <v>3.10.20.30.000.000.00.000</v>
      </c>
      <c r="D583" s="633"/>
      <c r="F583" s="633"/>
      <c r="G583" s="633"/>
      <c r="H583" s="633"/>
      <c r="I583" s="633"/>
      <c r="J583" s="579"/>
      <c r="K583" s="579"/>
      <c r="L583" s="579"/>
      <c r="M583" s="579"/>
      <c r="N583" s="579"/>
      <c r="O583" s="631">
        <f t="shared" si="74"/>
        <v>0</v>
      </c>
      <c r="P583" s="579"/>
      <c r="Q583" s="579"/>
    </row>
    <row r="584" spans="1:17" s="624" customFormat="1" x14ac:dyDescent="0.25">
      <c r="A584" s="551" t="str">
        <f>+Info!$B$2</f>
        <v>724</v>
      </c>
      <c r="B584" s="226" t="s">
        <v>1947</v>
      </c>
      <c r="C584" s="226" t="str">
        <f t="shared" si="72"/>
        <v>3.10.20.30.000.000.00.000</v>
      </c>
      <c r="D584" s="633"/>
      <c r="F584" s="633"/>
      <c r="G584" s="633"/>
      <c r="H584" s="633"/>
      <c r="I584" s="633"/>
      <c r="J584" s="579"/>
      <c r="K584" s="579"/>
      <c r="L584" s="579"/>
      <c r="M584" s="579"/>
      <c r="N584" s="579"/>
      <c r="O584" s="631">
        <f t="shared" si="74"/>
        <v>0</v>
      </c>
      <c r="P584" s="579"/>
      <c r="Q584" s="579"/>
    </row>
    <row r="585" spans="1:17" s="624" customFormat="1" x14ac:dyDescent="0.25">
      <c r="A585" s="551" t="str">
        <f>+Info!$B$2</f>
        <v>724</v>
      </c>
      <c r="B585" s="226" t="s">
        <v>1947</v>
      </c>
      <c r="C585" s="226" t="str">
        <f t="shared" si="72"/>
        <v>3.10.20.30.000.000.00.000</v>
      </c>
      <c r="D585" s="633"/>
      <c r="F585" s="633"/>
      <c r="G585" s="633"/>
      <c r="H585" s="633"/>
      <c r="I585" s="633"/>
      <c r="J585" s="579"/>
      <c r="K585" s="579"/>
      <c r="L585" s="579"/>
      <c r="M585" s="579"/>
      <c r="N585" s="579"/>
      <c r="O585" s="631">
        <f t="shared" si="74"/>
        <v>0</v>
      </c>
      <c r="P585" s="579"/>
      <c r="Q585" s="579"/>
    </row>
    <row r="586" spans="1:17" s="624" customFormat="1" x14ac:dyDescent="0.25">
      <c r="A586" s="551" t="str">
        <f>+Info!$B$2</f>
        <v>724</v>
      </c>
      <c r="B586" s="226" t="s">
        <v>1947</v>
      </c>
      <c r="C586" s="226" t="str">
        <f t="shared" si="72"/>
        <v>3.10.20.30.000.000.00.000</v>
      </c>
      <c r="D586" s="633"/>
      <c r="F586" s="633"/>
      <c r="G586" s="633"/>
      <c r="H586" s="633"/>
      <c r="I586" s="633"/>
      <c r="J586" s="579"/>
      <c r="K586" s="579"/>
      <c r="L586" s="579"/>
      <c r="M586" s="579"/>
      <c r="N586" s="579"/>
      <c r="O586" s="631">
        <f t="shared" si="74"/>
        <v>0</v>
      </c>
      <c r="P586" s="579"/>
      <c r="Q586" s="579"/>
    </row>
    <row r="587" spans="1:17" s="624" customFormat="1" x14ac:dyDescent="0.25">
      <c r="A587" s="551" t="str">
        <f>+Info!$B$2</f>
        <v>724</v>
      </c>
      <c r="B587" s="226" t="s">
        <v>1947</v>
      </c>
      <c r="C587" s="226" t="str">
        <f t="shared" si="72"/>
        <v>3.10.20.30.000.000.00.000</v>
      </c>
      <c r="D587" s="633"/>
      <c r="F587" s="633"/>
      <c r="G587" s="633"/>
      <c r="H587" s="633"/>
      <c r="I587" s="633"/>
      <c r="J587" s="579"/>
      <c r="K587" s="579"/>
      <c r="L587" s="579"/>
      <c r="M587" s="579"/>
      <c r="N587" s="579"/>
      <c r="O587" s="631">
        <f t="shared" si="74"/>
        <v>0</v>
      </c>
      <c r="P587" s="579"/>
      <c r="Q587" s="579"/>
    </row>
    <row r="588" spans="1:17" s="624" customFormat="1" x14ac:dyDescent="0.25">
      <c r="A588" s="551" t="str">
        <f>+Info!$B$2</f>
        <v>724</v>
      </c>
      <c r="B588" s="226" t="s">
        <v>1947</v>
      </c>
      <c r="C588" s="226" t="str">
        <f t="shared" si="72"/>
        <v>3.10.20.30.000.000.00.000</v>
      </c>
      <c r="D588" s="633"/>
      <c r="F588" s="633"/>
      <c r="G588" s="633"/>
      <c r="H588" s="633"/>
      <c r="I588" s="633"/>
      <c r="J588" s="579"/>
      <c r="K588" s="579"/>
      <c r="L588" s="579"/>
      <c r="M588" s="579"/>
      <c r="N588" s="579"/>
      <c r="O588" s="631">
        <f t="shared" si="74"/>
        <v>0</v>
      </c>
      <c r="P588" s="579"/>
      <c r="Q588" s="579"/>
    </row>
    <row r="589" spans="1:17" s="624" customFormat="1" x14ac:dyDescent="0.25">
      <c r="A589" s="551" t="str">
        <f>+Info!$B$2</f>
        <v>724</v>
      </c>
      <c r="B589" s="226" t="s">
        <v>1947</v>
      </c>
      <c r="C589" s="226" t="str">
        <f t="shared" si="72"/>
        <v>3.10.20.30.000.000.00.000</v>
      </c>
      <c r="D589" s="633"/>
      <c r="F589" s="633"/>
      <c r="G589" s="633"/>
      <c r="H589" s="633"/>
      <c r="I589" s="633"/>
      <c r="J589" s="579"/>
      <c r="K589" s="579"/>
      <c r="L589" s="579"/>
      <c r="M589" s="579"/>
      <c r="N589" s="579"/>
      <c r="O589" s="631">
        <f t="shared" si="74"/>
        <v>0</v>
      </c>
      <c r="P589" s="579"/>
      <c r="Q589" s="579"/>
    </row>
    <row r="590" spans="1:17" s="624" customFormat="1" x14ac:dyDescent="0.25">
      <c r="A590" s="551" t="str">
        <f>+Info!$B$2</f>
        <v>724</v>
      </c>
      <c r="B590" s="226" t="s">
        <v>1947</v>
      </c>
      <c r="C590" s="226" t="str">
        <f t="shared" si="72"/>
        <v>3.10.20.30.000.000.00.000</v>
      </c>
      <c r="D590" s="633"/>
      <c r="F590" s="633"/>
      <c r="G590" s="633"/>
      <c r="H590" s="633"/>
      <c r="I590" s="633"/>
      <c r="J590" s="579"/>
      <c r="K590" s="579"/>
      <c r="L590" s="579"/>
      <c r="M590" s="579"/>
      <c r="N590" s="579"/>
      <c r="O590" s="631">
        <f t="shared" si="74"/>
        <v>0</v>
      </c>
      <c r="P590" s="579"/>
      <c r="Q590" s="579"/>
    </row>
    <row r="591" spans="1:17" s="624" customFormat="1" x14ac:dyDescent="0.25">
      <c r="A591" s="551" t="str">
        <f>+Info!$B$2</f>
        <v>724</v>
      </c>
      <c r="B591" s="226" t="s">
        <v>1947</v>
      </c>
      <c r="C591" s="226" t="str">
        <f t="shared" si="72"/>
        <v>3.10.20.30.000.000.00.000</v>
      </c>
      <c r="D591" s="633"/>
      <c r="F591" s="633"/>
      <c r="G591" s="633"/>
      <c r="H591" s="633"/>
      <c r="I591" s="633"/>
      <c r="J591" s="579"/>
      <c r="K591" s="579"/>
      <c r="L591" s="579"/>
      <c r="M591" s="579"/>
      <c r="N591" s="579"/>
      <c r="O591" s="631">
        <f t="shared" si="74"/>
        <v>0</v>
      </c>
      <c r="P591" s="579"/>
      <c r="Q591" s="579"/>
    </row>
    <row r="592" spans="1:17" s="624" customFormat="1" x14ac:dyDescent="0.25">
      <c r="A592" s="551" t="str">
        <f>+Info!$B$2</f>
        <v>724</v>
      </c>
      <c r="B592" s="226" t="s">
        <v>1947</v>
      </c>
      <c r="C592" s="226" t="str">
        <f t="shared" si="72"/>
        <v>3.10.20.30.000.000.00.000</v>
      </c>
      <c r="D592" s="633"/>
      <c r="F592" s="633"/>
      <c r="G592" s="633"/>
      <c r="H592" s="633"/>
      <c r="I592" s="633"/>
      <c r="J592" s="579"/>
      <c r="K592" s="579"/>
      <c r="L592" s="579"/>
      <c r="M592" s="579"/>
      <c r="N592" s="579"/>
      <c r="O592" s="631">
        <f t="shared" si="74"/>
        <v>0</v>
      </c>
      <c r="P592" s="579"/>
      <c r="Q592" s="579"/>
    </row>
    <row r="593" spans="1:32" s="624" customFormat="1" x14ac:dyDescent="0.25">
      <c r="A593" s="551" t="str">
        <f>+Info!$B$2</f>
        <v>724</v>
      </c>
      <c r="B593" s="226" t="s">
        <v>1947</v>
      </c>
      <c r="C593" s="226" t="str">
        <f t="shared" si="72"/>
        <v>3.10.20.30.000.000.00.000</v>
      </c>
      <c r="D593" s="633"/>
      <c r="F593" s="633"/>
      <c r="G593" s="633"/>
      <c r="H593" s="633"/>
      <c r="I593" s="633"/>
      <c r="J593" s="579"/>
      <c r="K593" s="579"/>
      <c r="L593" s="579"/>
      <c r="M593" s="579"/>
      <c r="N593" s="579"/>
      <c r="O593" s="631">
        <f t="shared" si="74"/>
        <v>0</v>
      </c>
      <c r="P593" s="579"/>
      <c r="Q593" s="579"/>
    </row>
    <row r="594" spans="1:32" s="624" customFormat="1" x14ac:dyDescent="0.25">
      <c r="A594" s="551" t="str">
        <f>+Info!$B$2</f>
        <v>724</v>
      </c>
      <c r="B594" s="226" t="s">
        <v>1947</v>
      </c>
      <c r="C594" s="226" t="str">
        <f t="shared" si="72"/>
        <v>3.10.20.30.000.000.00.000</v>
      </c>
      <c r="D594" s="633"/>
      <c r="F594" s="633"/>
      <c r="G594" s="633"/>
      <c r="H594" s="633"/>
      <c r="I594" s="633"/>
      <c r="J594" s="579"/>
      <c r="K594" s="579"/>
      <c r="L594" s="579"/>
      <c r="M594" s="579"/>
      <c r="N594" s="579"/>
      <c r="O594" s="631">
        <f t="shared" si="74"/>
        <v>0</v>
      </c>
      <c r="P594" s="579"/>
      <c r="Q594" s="579"/>
    </row>
    <row r="595" spans="1:32" s="624" customFormat="1" x14ac:dyDescent="0.25">
      <c r="A595" s="551" t="str">
        <f>+Info!$B$2</f>
        <v>724</v>
      </c>
      <c r="B595" s="226" t="s">
        <v>1947</v>
      </c>
      <c r="C595" s="226" t="str">
        <f t="shared" si="72"/>
        <v>3.10.20.30.000.000.00.000</v>
      </c>
      <c r="D595" s="633"/>
      <c r="F595" s="633"/>
      <c r="G595" s="633"/>
      <c r="H595" s="633"/>
      <c r="I595" s="633"/>
      <c r="J595" s="579"/>
      <c r="K595" s="579"/>
      <c r="L595" s="579"/>
      <c r="M595" s="579"/>
      <c r="N595" s="579"/>
      <c r="O595" s="631">
        <f t="shared" si="74"/>
        <v>0</v>
      </c>
      <c r="P595" s="579"/>
      <c r="Q595" s="579"/>
    </row>
    <row r="596" spans="1:32" s="624" customFormat="1" x14ac:dyDescent="0.25">
      <c r="A596" s="551" t="str">
        <f>+Info!$B$2</f>
        <v>724</v>
      </c>
      <c r="B596" s="226" t="s">
        <v>1947</v>
      </c>
      <c r="C596" s="226" t="str">
        <f t="shared" si="72"/>
        <v>3.10.20.30.000.000.00.000</v>
      </c>
      <c r="D596" s="633"/>
      <c r="F596" s="633"/>
      <c r="G596" s="633"/>
      <c r="H596" s="633"/>
      <c r="I596" s="633"/>
      <c r="J596" s="579"/>
      <c r="K596" s="579"/>
      <c r="L596" s="579"/>
      <c r="M596" s="579"/>
      <c r="N596" s="579"/>
      <c r="O596" s="631">
        <f t="shared" si="74"/>
        <v>0</v>
      </c>
      <c r="P596" s="579"/>
      <c r="Q596" s="579"/>
    </row>
    <row r="597" spans="1:32" s="624" customFormat="1" x14ac:dyDescent="0.25">
      <c r="A597" s="551" t="str">
        <f>+Info!$B$2</f>
        <v>724</v>
      </c>
      <c r="B597" s="226" t="s">
        <v>1947</v>
      </c>
      <c r="C597" s="226" t="str">
        <f t="shared" si="72"/>
        <v>3.10.20.30.000.000.00.000</v>
      </c>
      <c r="D597" s="633"/>
      <c r="F597" s="633"/>
      <c r="G597" s="633"/>
      <c r="H597" s="633"/>
      <c r="I597" s="633"/>
      <c r="J597" s="579"/>
      <c r="K597" s="579"/>
      <c r="L597" s="579"/>
      <c r="M597" s="579"/>
      <c r="N597" s="579"/>
      <c r="O597" s="631">
        <f t="shared" si="74"/>
        <v>0</v>
      </c>
      <c r="P597" s="579"/>
      <c r="Q597" s="579"/>
    </row>
    <row r="598" spans="1:32" s="624" customFormat="1" x14ac:dyDescent="0.25">
      <c r="A598" s="551" t="str">
        <f>+Info!$B$2</f>
        <v>724</v>
      </c>
      <c r="B598" s="226" t="s">
        <v>1947</v>
      </c>
      <c r="C598" s="226" t="str">
        <f t="shared" si="72"/>
        <v>3.10.20.30.000.000.00.000</v>
      </c>
      <c r="D598" s="633"/>
      <c r="F598" s="633"/>
      <c r="G598" s="633"/>
      <c r="H598" s="633"/>
      <c r="I598" s="633"/>
      <c r="J598" s="579"/>
      <c r="K598" s="579"/>
      <c r="L598" s="579"/>
      <c r="M598" s="579"/>
      <c r="N598" s="579"/>
      <c r="O598" s="631">
        <f t="shared" si="74"/>
        <v>0</v>
      </c>
      <c r="P598" s="579"/>
      <c r="Q598" s="579"/>
    </row>
    <row r="599" spans="1:32" s="624" customFormat="1" x14ac:dyDescent="0.25">
      <c r="A599" s="551" t="str">
        <f>+Info!$B$2</f>
        <v>724</v>
      </c>
      <c r="B599" s="226" t="s">
        <v>1947</v>
      </c>
      <c r="C599" s="226" t="str">
        <f t="shared" si="72"/>
        <v>3.10.20.30.000.000.00.000</v>
      </c>
      <c r="D599" s="633"/>
      <c r="F599" s="633"/>
      <c r="G599" s="633"/>
      <c r="H599" s="633"/>
      <c r="I599" s="633"/>
      <c r="J599" s="579"/>
      <c r="K599" s="579"/>
      <c r="L599" s="579"/>
      <c r="M599" s="579"/>
      <c r="N599" s="579"/>
      <c r="O599" s="631">
        <f t="shared" si="74"/>
        <v>0</v>
      </c>
      <c r="P599" s="579"/>
      <c r="Q599" s="579"/>
    </row>
    <row r="600" spans="1:32" s="624" customFormat="1" x14ac:dyDescent="0.25">
      <c r="A600" s="551" t="str">
        <f>+Info!$B$2</f>
        <v>724</v>
      </c>
      <c r="B600" s="226" t="s">
        <v>1947</v>
      </c>
      <c r="C600" s="226" t="str">
        <f t="shared" si="72"/>
        <v>3.10.20.30.000.000.00.000</v>
      </c>
      <c r="D600" s="633"/>
      <c r="F600" s="633"/>
      <c r="G600" s="633"/>
      <c r="H600" s="633"/>
      <c r="I600" s="633"/>
      <c r="J600" s="579"/>
      <c r="K600" s="579"/>
      <c r="L600" s="579"/>
      <c r="M600" s="579"/>
      <c r="N600" s="579"/>
      <c r="O600" s="631">
        <f t="shared" si="74"/>
        <v>0</v>
      </c>
      <c r="P600" s="579"/>
      <c r="Q600" s="579"/>
    </row>
    <row r="601" spans="1:32" s="624" customFormat="1" x14ac:dyDescent="0.25">
      <c r="A601" s="551" t="str">
        <f>+Info!$B$2</f>
        <v>724</v>
      </c>
      <c r="B601" s="226" t="s">
        <v>1947</v>
      </c>
      <c r="C601" s="226" t="str">
        <f t="shared" si="72"/>
        <v>3.10.20.30.000.000.00.000</v>
      </c>
      <c r="D601" s="633"/>
      <c r="F601" s="633"/>
      <c r="G601" s="633"/>
      <c r="H601" s="633"/>
      <c r="I601" s="633"/>
      <c r="J601" s="579"/>
      <c r="K601" s="579"/>
      <c r="L601" s="579"/>
      <c r="M601" s="579"/>
      <c r="N601" s="579"/>
      <c r="O601" s="631">
        <f t="shared" si="74"/>
        <v>0</v>
      </c>
      <c r="P601" s="579"/>
      <c r="Q601" s="579"/>
    </row>
    <row r="602" spans="1:32" s="624" customFormat="1" x14ac:dyDescent="0.25">
      <c r="A602" s="551" t="str">
        <f>+Info!$B$2</f>
        <v>724</v>
      </c>
      <c r="B602" s="226" t="s">
        <v>1947</v>
      </c>
      <c r="C602" s="226" t="str">
        <f t="shared" si="72"/>
        <v>3.10.20.30.000.000.00.000</v>
      </c>
      <c r="D602" s="633"/>
      <c r="F602" s="633"/>
      <c r="G602" s="633"/>
      <c r="H602" s="633"/>
      <c r="I602" s="633"/>
      <c r="J602" s="579"/>
      <c r="K602" s="579"/>
      <c r="L602" s="579"/>
      <c r="M602" s="579"/>
      <c r="N602" s="579"/>
      <c r="O602" s="631">
        <f t="shared" si="74"/>
        <v>0</v>
      </c>
      <c r="P602" s="579"/>
      <c r="Q602" s="579"/>
    </row>
    <row r="603" spans="1:32" s="624" customFormat="1" ht="15" customHeight="1" x14ac:dyDescent="0.25">
      <c r="A603" s="551" t="str">
        <f>+Info!$B$2</f>
        <v>724</v>
      </c>
      <c r="B603" s="626" t="s">
        <v>1953</v>
      </c>
      <c r="C603" s="626" t="s">
        <v>1954</v>
      </c>
      <c r="D603" s="634" t="s">
        <v>4351</v>
      </c>
      <c r="E603" s="569">
        <f>SUMIF('NI-Soc_SP'!$C:$C,$C603,'NI-Soc_SP'!$Z:$Z)</f>
        <v>0</v>
      </c>
      <c r="F603" s="923" t="str">
        <f>IF(E603=Dettaglio_SP_Soc!O603,"Quadratura OK!","Squadratura con saldo finale di Bilancio!")</f>
        <v>Quadratura OK!</v>
      </c>
      <c r="G603" s="923"/>
      <c r="H603" s="923"/>
      <c r="I603" s="923"/>
      <c r="J603" s="628">
        <f t="shared" ref="J603:Q603" si="75">+J604+J605</f>
        <v>0</v>
      </c>
      <c r="K603" s="628">
        <f t="shared" si="75"/>
        <v>0</v>
      </c>
      <c r="L603" s="628">
        <f t="shared" si="75"/>
        <v>0</v>
      </c>
      <c r="M603" s="628">
        <f t="shared" si="75"/>
        <v>0</v>
      </c>
      <c r="N603" s="628">
        <f t="shared" si="75"/>
        <v>0</v>
      </c>
      <c r="O603" s="628">
        <f t="shared" si="75"/>
        <v>0</v>
      </c>
      <c r="P603" s="628">
        <f t="shared" si="75"/>
        <v>0</v>
      </c>
      <c r="Q603" s="628">
        <f t="shared" si="75"/>
        <v>0</v>
      </c>
      <c r="AC603" s="624" t="str">
        <f>C603</f>
        <v>3.10.20.40.000.000.00.000</v>
      </c>
      <c r="AD603" s="629">
        <f>O603</f>
        <v>0</v>
      </c>
      <c r="AE603" s="629">
        <f>E603</f>
        <v>0</v>
      </c>
      <c r="AF603" s="551">
        <f>IF($AD603=$AE603,0,1)</f>
        <v>0</v>
      </c>
    </row>
    <row r="604" spans="1:32" s="624" customFormat="1" ht="15" customHeight="1" x14ac:dyDescent="0.25">
      <c r="A604" s="551" t="str">
        <f>+Info!$B$2</f>
        <v>724</v>
      </c>
      <c r="B604" s="226" t="s">
        <v>1953</v>
      </c>
      <c r="C604" s="226" t="str">
        <f t="shared" ref="C604:C635" si="76">$C$603</f>
        <v>3.10.20.40.000.000.00.000</v>
      </c>
      <c r="D604" s="630" t="str">
        <f>"    ... assegnati in data antecedente al 1/1/"&amp;Info!$B$3-2</f>
        <v xml:space="preserve">    ... assegnati in data antecedente al 1/1/2018</v>
      </c>
      <c r="F604" s="923"/>
      <c r="G604" s="923"/>
      <c r="H604" s="923"/>
      <c r="I604" s="923"/>
      <c r="J604" s="579"/>
      <c r="K604" s="579"/>
      <c r="L604" s="579"/>
      <c r="M604" s="579"/>
      <c r="N604" s="579"/>
      <c r="O604" s="631">
        <f>+J604+K604+L604-M604+N604</f>
        <v>0</v>
      </c>
      <c r="P604" s="579"/>
      <c r="Q604" s="579"/>
    </row>
    <row r="605" spans="1:32" s="624" customFormat="1" ht="15" customHeight="1" x14ac:dyDescent="0.25">
      <c r="A605" s="551" t="str">
        <f>+Info!$B$2</f>
        <v>724</v>
      </c>
      <c r="B605" s="226" t="s">
        <v>1953</v>
      </c>
      <c r="C605" s="226" t="str">
        <f t="shared" si="76"/>
        <v>3.10.20.40.000.000.00.000</v>
      </c>
      <c r="D605" s="632" t="str">
        <f>"    ... assegnati a partire dal 1/1/"&amp;Info!$B$3-2&amp;"..dettagliare"</f>
        <v xml:space="preserve">    ... assegnati a partire dal 1/1/2018..dettagliare</v>
      </c>
      <c r="F605" s="923"/>
      <c r="G605" s="923"/>
      <c r="H605" s="923"/>
      <c r="I605" s="923"/>
      <c r="J605" s="628">
        <f t="shared" ref="J605:Q605" si="77">SUM(J606:J635)</f>
        <v>0</v>
      </c>
      <c r="K605" s="628">
        <f t="shared" si="77"/>
        <v>0</v>
      </c>
      <c r="L605" s="628">
        <f t="shared" si="77"/>
        <v>0</v>
      </c>
      <c r="M605" s="628">
        <f t="shared" si="77"/>
        <v>0</v>
      </c>
      <c r="N605" s="628">
        <f t="shared" si="77"/>
        <v>0</v>
      </c>
      <c r="O605" s="628">
        <f t="shared" si="77"/>
        <v>0</v>
      </c>
      <c r="P605" s="628">
        <f t="shared" si="77"/>
        <v>0</v>
      </c>
      <c r="Q605" s="628">
        <f t="shared" si="77"/>
        <v>0</v>
      </c>
    </row>
    <row r="606" spans="1:32" s="624" customFormat="1" x14ac:dyDescent="0.25">
      <c r="A606" s="551" t="str">
        <f>+Info!$B$2</f>
        <v>724</v>
      </c>
      <c r="B606" s="226" t="s">
        <v>1953</v>
      </c>
      <c r="C606" s="226" t="str">
        <f t="shared" si="76"/>
        <v>3.10.20.40.000.000.00.000</v>
      </c>
      <c r="D606" s="633"/>
      <c r="F606" s="633"/>
      <c r="G606" s="633"/>
      <c r="H606" s="633"/>
      <c r="I606" s="633"/>
      <c r="J606" s="579"/>
      <c r="K606" s="579"/>
      <c r="L606" s="579"/>
      <c r="M606" s="579"/>
      <c r="N606" s="579"/>
      <c r="O606" s="631">
        <f t="shared" ref="O606:O635" si="78">+J606+K606+L606-M606+N606</f>
        <v>0</v>
      </c>
      <c r="P606" s="579"/>
      <c r="Q606" s="579"/>
    </row>
    <row r="607" spans="1:32" s="624" customFormat="1" x14ac:dyDescent="0.25">
      <c r="A607" s="551" t="str">
        <f>+Info!$B$2</f>
        <v>724</v>
      </c>
      <c r="B607" s="226" t="s">
        <v>1953</v>
      </c>
      <c r="C607" s="226" t="str">
        <f t="shared" si="76"/>
        <v>3.10.20.40.000.000.00.000</v>
      </c>
      <c r="D607" s="633"/>
      <c r="F607" s="633"/>
      <c r="G607" s="633"/>
      <c r="H607" s="633"/>
      <c r="I607" s="633"/>
      <c r="J607" s="579"/>
      <c r="K607" s="579"/>
      <c r="L607" s="579"/>
      <c r="M607" s="579"/>
      <c r="N607" s="579"/>
      <c r="O607" s="631">
        <f t="shared" si="78"/>
        <v>0</v>
      </c>
      <c r="P607" s="579"/>
      <c r="Q607" s="579"/>
    </row>
    <row r="608" spans="1:32" s="624" customFormat="1" x14ac:dyDescent="0.25">
      <c r="A608" s="551" t="str">
        <f>+Info!$B$2</f>
        <v>724</v>
      </c>
      <c r="B608" s="226" t="s">
        <v>1953</v>
      </c>
      <c r="C608" s="226" t="str">
        <f t="shared" si="76"/>
        <v>3.10.20.40.000.000.00.000</v>
      </c>
      <c r="D608" s="633"/>
      <c r="F608" s="633"/>
      <c r="G608" s="633"/>
      <c r="H608" s="633"/>
      <c r="I608" s="633"/>
      <c r="J608" s="579"/>
      <c r="K608" s="579"/>
      <c r="L608" s="579"/>
      <c r="M608" s="579"/>
      <c r="N608" s="579"/>
      <c r="O608" s="631">
        <f t="shared" si="78"/>
        <v>0</v>
      </c>
      <c r="P608" s="579"/>
      <c r="Q608" s="579"/>
    </row>
    <row r="609" spans="1:17" s="624" customFormat="1" x14ac:dyDescent="0.25">
      <c r="A609" s="551" t="str">
        <f>+Info!$B$2</f>
        <v>724</v>
      </c>
      <c r="B609" s="226" t="s">
        <v>1953</v>
      </c>
      <c r="C609" s="226" t="str">
        <f t="shared" si="76"/>
        <v>3.10.20.40.000.000.00.000</v>
      </c>
      <c r="D609" s="633"/>
      <c r="F609" s="633"/>
      <c r="G609" s="633"/>
      <c r="H609" s="633"/>
      <c r="I609" s="633"/>
      <c r="J609" s="579"/>
      <c r="K609" s="579"/>
      <c r="L609" s="579"/>
      <c r="M609" s="579"/>
      <c r="N609" s="579"/>
      <c r="O609" s="631">
        <f t="shared" si="78"/>
        <v>0</v>
      </c>
      <c r="P609" s="579"/>
      <c r="Q609" s="579"/>
    </row>
    <row r="610" spans="1:17" s="624" customFormat="1" x14ac:dyDescent="0.25">
      <c r="A610" s="551" t="str">
        <f>+Info!$B$2</f>
        <v>724</v>
      </c>
      <c r="B610" s="226" t="s">
        <v>1953</v>
      </c>
      <c r="C610" s="226" t="str">
        <f t="shared" si="76"/>
        <v>3.10.20.40.000.000.00.000</v>
      </c>
      <c r="D610" s="633"/>
      <c r="F610" s="633"/>
      <c r="G610" s="633"/>
      <c r="H610" s="633"/>
      <c r="I610" s="633"/>
      <c r="J610" s="579"/>
      <c r="K610" s="579"/>
      <c r="L610" s="579"/>
      <c r="M610" s="579"/>
      <c r="N610" s="579"/>
      <c r="O610" s="631">
        <f t="shared" si="78"/>
        <v>0</v>
      </c>
      <c r="P610" s="579"/>
      <c r="Q610" s="579"/>
    </row>
    <row r="611" spans="1:17" s="624" customFormat="1" x14ac:dyDescent="0.25">
      <c r="A611" s="551" t="str">
        <f>+Info!$B$2</f>
        <v>724</v>
      </c>
      <c r="B611" s="226" t="s">
        <v>1953</v>
      </c>
      <c r="C611" s="226" t="str">
        <f t="shared" si="76"/>
        <v>3.10.20.40.000.000.00.000</v>
      </c>
      <c r="D611" s="633"/>
      <c r="F611" s="633"/>
      <c r="G611" s="633"/>
      <c r="H611" s="633"/>
      <c r="I611" s="633"/>
      <c r="J611" s="579"/>
      <c r="K611" s="579"/>
      <c r="L611" s="579"/>
      <c r="M611" s="579"/>
      <c r="N611" s="579"/>
      <c r="O611" s="631">
        <f t="shared" si="78"/>
        <v>0</v>
      </c>
      <c r="P611" s="579"/>
      <c r="Q611" s="579"/>
    </row>
    <row r="612" spans="1:17" s="624" customFormat="1" x14ac:dyDescent="0.25">
      <c r="A612" s="551" t="str">
        <f>+Info!$B$2</f>
        <v>724</v>
      </c>
      <c r="B612" s="226" t="s">
        <v>1953</v>
      </c>
      <c r="C612" s="226" t="str">
        <f t="shared" si="76"/>
        <v>3.10.20.40.000.000.00.000</v>
      </c>
      <c r="D612" s="633"/>
      <c r="F612" s="633"/>
      <c r="G612" s="633"/>
      <c r="H612" s="633"/>
      <c r="I612" s="633"/>
      <c r="J612" s="579"/>
      <c r="K612" s="579"/>
      <c r="L612" s="579"/>
      <c r="M612" s="579"/>
      <c r="N612" s="579"/>
      <c r="O612" s="631">
        <f t="shared" si="78"/>
        <v>0</v>
      </c>
      <c r="P612" s="579"/>
      <c r="Q612" s="579"/>
    </row>
    <row r="613" spans="1:17" s="624" customFormat="1" x14ac:dyDescent="0.25">
      <c r="A613" s="551" t="str">
        <f>+Info!$B$2</f>
        <v>724</v>
      </c>
      <c r="B613" s="226" t="s">
        <v>1953</v>
      </c>
      <c r="C613" s="226" t="str">
        <f t="shared" si="76"/>
        <v>3.10.20.40.000.000.00.000</v>
      </c>
      <c r="D613" s="633"/>
      <c r="F613" s="633"/>
      <c r="G613" s="633"/>
      <c r="H613" s="633"/>
      <c r="I613" s="633"/>
      <c r="J613" s="579"/>
      <c r="K613" s="579"/>
      <c r="L613" s="579"/>
      <c r="M613" s="579"/>
      <c r="N613" s="579"/>
      <c r="O613" s="631">
        <f t="shared" si="78"/>
        <v>0</v>
      </c>
      <c r="P613" s="579"/>
      <c r="Q613" s="579"/>
    </row>
    <row r="614" spans="1:17" s="624" customFormat="1" x14ac:dyDescent="0.25">
      <c r="A614" s="551" t="str">
        <f>+Info!$B$2</f>
        <v>724</v>
      </c>
      <c r="B614" s="226" t="s">
        <v>1953</v>
      </c>
      <c r="C614" s="226" t="str">
        <f t="shared" si="76"/>
        <v>3.10.20.40.000.000.00.000</v>
      </c>
      <c r="D614" s="633"/>
      <c r="F614" s="633"/>
      <c r="G614" s="633"/>
      <c r="H614" s="633"/>
      <c r="I614" s="633"/>
      <c r="J614" s="579"/>
      <c r="K614" s="579"/>
      <c r="L614" s="579"/>
      <c r="M614" s="579"/>
      <c r="N614" s="579"/>
      <c r="O614" s="631">
        <f t="shared" si="78"/>
        <v>0</v>
      </c>
      <c r="P614" s="579"/>
      <c r="Q614" s="579"/>
    </row>
    <row r="615" spans="1:17" s="624" customFormat="1" x14ac:dyDescent="0.25">
      <c r="A615" s="551" t="str">
        <f>+Info!$B$2</f>
        <v>724</v>
      </c>
      <c r="B615" s="226" t="s">
        <v>1953</v>
      </c>
      <c r="C615" s="226" t="str">
        <f t="shared" si="76"/>
        <v>3.10.20.40.000.000.00.000</v>
      </c>
      <c r="D615" s="633"/>
      <c r="F615" s="633"/>
      <c r="G615" s="633"/>
      <c r="H615" s="633"/>
      <c r="I615" s="633"/>
      <c r="J615" s="579"/>
      <c r="K615" s="579"/>
      <c r="L615" s="579"/>
      <c r="M615" s="579"/>
      <c r="N615" s="579"/>
      <c r="O615" s="631">
        <f t="shared" si="78"/>
        <v>0</v>
      </c>
      <c r="P615" s="579"/>
      <c r="Q615" s="579"/>
    </row>
    <row r="616" spans="1:17" s="624" customFormat="1" x14ac:dyDescent="0.25">
      <c r="A616" s="551" t="str">
        <f>+Info!$B$2</f>
        <v>724</v>
      </c>
      <c r="B616" s="226" t="s">
        <v>1953</v>
      </c>
      <c r="C616" s="226" t="str">
        <f t="shared" si="76"/>
        <v>3.10.20.40.000.000.00.000</v>
      </c>
      <c r="D616" s="633"/>
      <c r="F616" s="633"/>
      <c r="G616" s="633"/>
      <c r="H616" s="633"/>
      <c r="I616" s="633"/>
      <c r="J616" s="579"/>
      <c r="K616" s="579"/>
      <c r="L616" s="579"/>
      <c r="M616" s="579"/>
      <c r="N616" s="579"/>
      <c r="O616" s="631">
        <f t="shared" si="78"/>
        <v>0</v>
      </c>
      <c r="P616" s="579"/>
      <c r="Q616" s="579"/>
    </row>
    <row r="617" spans="1:17" s="624" customFormat="1" x14ac:dyDescent="0.25">
      <c r="A617" s="551" t="str">
        <f>+Info!$B$2</f>
        <v>724</v>
      </c>
      <c r="B617" s="226" t="s">
        <v>1953</v>
      </c>
      <c r="C617" s="226" t="str">
        <f t="shared" si="76"/>
        <v>3.10.20.40.000.000.00.000</v>
      </c>
      <c r="D617" s="633"/>
      <c r="F617" s="633"/>
      <c r="G617" s="633"/>
      <c r="H617" s="633"/>
      <c r="I617" s="633"/>
      <c r="J617" s="579"/>
      <c r="K617" s="579"/>
      <c r="L617" s="579"/>
      <c r="M617" s="579"/>
      <c r="N617" s="579"/>
      <c r="O617" s="631">
        <f t="shared" si="78"/>
        <v>0</v>
      </c>
      <c r="P617" s="579"/>
      <c r="Q617" s="579"/>
    </row>
    <row r="618" spans="1:17" s="624" customFormat="1" x14ac:dyDescent="0.25">
      <c r="A618" s="551" t="str">
        <f>+Info!$B$2</f>
        <v>724</v>
      </c>
      <c r="B618" s="226" t="s">
        <v>1953</v>
      </c>
      <c r="C618" s="226" t="str">
        <f t="shared" si="76"/>
        <v>3.10.20.40.000.000.00.000</v>
      </c>
      <c r="D618" s="633"/>
      <c r="F618" s="633"/>
      <c r="G618" s="633"/>
      <c r="H618" s="633"/>
      <c r="I618" s="633"/>
      <c r="J618" s="579"/>
      <c r="K618" s="579"/>
      <c r="L618" s="579"/>
      <c r="M618" s="579"/>
      <c r="N618" s="579"/>
      <c r="O618" s="631">
        <f t="shared" si="78"/>
        <v>0</v>
      </c>
      <c r="P618" s="579"/>
      <c r="Q618" s="579"/>
    </row>
    <row r="619" spans="1:17" s="624" customFormat="1" x14ac:dyDescent="0.25">
      <c r="A619" s="551" t="str">
        <f>+Info!$B$2</f>
        <v>724</v>
      </c>
      <c r="B619" s="226" t="s">
        <v>1953</v>
      </c>
      <c r="C619" s="226" t="str">
        <f t="shared" si="76"/>
        <v>3.10.20.40.000.000.00.000</v>
      </c>
      <c r="D619" s="633"/>
      <c r="F619" s="633"/>
      <c r="G619" s="633"/>
      <c r="H619" s="633"/>
      <c r="I619" s="633"/>
      <c r="J619" s="579"/>
      <c r="K619" s="579"/>
      <c r="L619" s="579"/>
      <c r="M619" s="579"/>
      <c r="N619" s="579"/>
      <c r="O619" s="631">
        <f t="shared" si="78"/>
        <v>0</v>
      </c>
      <c r="P619" s="579"/>
      <c r="Q619" s="579"/>
    </row>
    <row r="620" spans="1:17" s="624" customFormat="1" x14ac:dyDescent="0.25">
      <c r="A620" s="551" t="str">
        <f>+Info!$B$2</f>
        <v>724</v>
      </c>
      <c r="B620" s="226" t="s">
        <v>1953</v>
      </c>
      <c r="C620" s="226" t="str">
        <f t="shared" si="76"/>
        <v>3.10.20.40.000.000.00.000</v>
      </c>
      <c r="D620" s="633"/>
      <c r="F620" s="633"/>
      <c r="G620" s="633"/>
      <c r="H620" s="633"/>
      <c r="I620" s="633"/>
      <c r="J620" s="579"/>
      <c r="K620" s="579"/>
      <c r="L620" s="579"/>
      <c r="M620" s="579"/>
      <c r="N620" s="579"/>
      <c r="O620" s="631">
        <f t="shared" si="78"/>
        <v>0</v>
      </c>
      <c r="P620" s="579"/>
      <c r="Q620" s="579"/>
    </row>
    <row r="621" spans="1:17" s="624" customFormat="1" x14ac:dyDescent="0.25">
      <c r="A621" s="551" t="str">
        <f>+Info!$B$2</f>
        <v>724</v>
      </c>
      <c r="B621" s="226" t="s">
        <v>1953</v>
      </c>
      <c r="C621" s="226" t="str">
        <f t="shared" si="76"/>
        <v>3.10.20.40.000.000.00.000</v>
      </c>
      <c r="D621" s="633"/>
      <c r="F621" s="633"/>
      <c r="G621" s="633"/>
      <c r="H621" s="633"/>
      <c r="I621" s="633"/>
      <c r="J621" s="579"/>
      <c r="K621" s="579"/>
      <c r="L621" s="579"/>
      <c r="M621" s="579"/>
      <c r="N621" s="579"/>
      <c r="O621" s="631">
        <f t="shared" si="78"/>
        <v>0</v>
      </c>
      <c r="P621" s="579"/>
      <c r="Q621" s="579"/>
    </row>
    <row r="622" spans="1:17" s="624" customFormat="1" x14ac:dyDescent="0.25">
      <c r="A622" s="551" t="str">
        <f>+Info!$B$2</f>
        <v>724</v>
      </c>
      <c r="B622" s="226" t="s">
        <v>1953</v>
      </c>
      <c r="C622" s="226" t="str">
        <f t="shared" si="76"/>
        <v>3.10.20.40.000.000.00.000</v>
      </c>
      <c r="D622" s="633"/>
      <c r="F622" s="633"/>
      <c r="G622" s="633"/>
      <c r="H622" s="633"/>
      <c r="I622" s="633"/>
      <c r="J622" s="579"/>
      <c r="K622" s="579"/>
      <c r="L622" s="579"/>
      <c r="M622" s="579"/>
      <c r="N622" s="579"/>
      <c r="O622" s="631">
        <f t="shared" si="78"/>
        <v>0</v>
      </c>
      <c r="P622" s="579"/>
      <c r="Q622" s="579"/>
    </row>
    <row r="623" spans="1:17" s="624" customFormat="1" x14ac:dyDescent="0.25">
      <c r="A623" s="551" t="str">
        <f>+Info!$B$2</f>
        <v>724</v>
      </c>
      <c r="B623" s="226" t="s">
        <v>1953</v>
      </c>
      <c r="C623" s="226" t="str">
        <f t="shared" si="76"/>
        <v>3.10.20.40.000.000.00.000</v>
      </c>
      <c r="D623" s="633"/>
      <c r="F623" s="633"/>
      <c r="G623" s="633"/>
      <c r="H623" s="633"/>
      <c r="I623" s="633"/>
      <c r="J623" s="579"/>
      <c r="K623" s="579"/>
      <c r="L623" s="579"/>
      <c r="M623" s="579"/>
      <c r="N623" s="579"/>
      <c r="O623" s="631">
        <f t="shared" si="78"/>
        <v>0</v>
      </c>
      <c r="P623" s="579"/>
      <c r="Q623" s="579"/>
    </row>
    <row r="624" spans="1:17" s="624" customFormat="1" x14ac:dyDescent="0.25">
      <c r="A624" s="551" t="str">
        <f>+Info!$B$2</f>
        <v>724</v>
      </c>
      <c r="B624" s="226" t="s">
        <v>1953</v>
      </c>
      <c r="C624" s="226" t="str">
        <f t="shared" si="76"/>
        <v>3.10.20.40.000.000.00.000</v>
      </c>
      <c r="D624" s="633"/>
      <c r="F624" s="633"/>
      <c r="G624" s="633"/>
      <c r="H624" s="633"/>
      <c r="I624" s="633"/>
      <c r="J624" s="579"/>
      <c r="K624" s="579"/>
      <c r="L624" s="579"/>
      <c r="M624" s="579"/>
      <c r="N624" s="579"/>
      <c r="O624" s="631">
        <f t="shared" si="78"/>
        <v>0</v>
      </c>
      <c r="P624" s="579"/>
      <c r="Q624" s="579"/>
    </row>
    <row r="625" spans="1:32" s="624" customFormat="1" x14ac:dyDescent="0.25">
      <c r="A625" s="551" t="str">
        <f>+Info!$B$2</f>
        <v>724</v>
      </c>
      <c r="B625" s="226" t="s">
        <v>1953</v>
      </c>
      <c r="C625" s="226" t="str">
        <f t="shared" si="76"/>
        <v>3.10.20.40.000.000.00.000</v>
      </c>
      <c r="D625" s="633"/>
      <c r="F625" s="633"/>
      <c r="G625" s="633"/>
      <c r="H625" s="633"/>
      <c r="I625" s="633"/>
      <c r="J625" s="579"/>
      <c r="K625" s="579"/>
      <c r="L625" s="579"/>
      <c r="M625" s="579"/>
      <c r="N625" s="579"/>
      <c r="O625" s="631">
        <f t="shared" si="78"/>
        <v>0</v>
      </c>
      <c r="P625" s="579"/>
      <c r="Q625" s="579"/>
    </row>
    <row r="626" spans="1:32" s="624" customFormat="1" x14ac:dyDescent="0.25">
      <c r="A626" s="551" t="str">
        <f>+Info!$B$2</f>
        <v>724</v>
      </c>
      <c r="B626" s="226" t="s">
        <v>1953</v>
      </c>
      <c r="C626" s="226" t="str">
        <f t="shared" si="76"/>
        <v>3.10.20.40.000.000.00.000</v>
      </c>
      <c r="D626" s="633"/>
      <c r="F626" s="633"/>
      <c r="G626" s="633"/>
      <c r="H626" s="633"/>
      <c r="I626" s="633"/>
      <c r="J626" s="579"/>
      <c r="K626" s="579"/>
      <c r="L626" s="579"/>
      <c r="M626" s="579"/>
      <c r="N626" s="579"/>
      <c r="O626" s="631">
        <f t="shared" si="78"/>
        <v>0</v>
      </c>
      <c r="P626" s="579"/>
      <c r="Q626" s="579"/>
    </row>
    <row r="627" spans="1:32" s="624" customFormat="1" x14ac:dyDescent="0.25">
      <c r="A627" s="551" t="str">
        <f>+Info!$B$2</f>
        <v>724</v>
      </c>
      <c r="B627" s="226" t="s">
        <v>1953</v>
      </c>
      <c r="C627" s="226" t="str">
        <f t="shared" si="76"/>
        <v>3.10.20.40.000.000.00.000</v>
      </c>
      <c r="D627" s="633"/>
      <c r="F627" s="633"/>
      <c r="G627" s="633"/>
      <c r="H627" s="633"/>
      <c r="I627" s="633"/>
      <c r="J627" s="579"/>
      <c r="K627" s="579"/>
      <c r="L627" s="579"/>
      <c r="M627" s="579"/>
      <c r="N627" s="579"/>
      <c r="O627" s="631">
        <f t="shared" si="78"/>
        <v>0</v>
      </c>
      <c r="P627" s="579"/>
      <c r="Q627" s="579"/>
    </row>
    <row r="628" spans="1:32" s="624" customFormat="1" x14ac:dyDescent="0.25">
      <c r="A628" s="551" t="str">
        <f>+Info!$B$2</f>
        <v>724</v>
      </c>
      <c r="B628" s="226" t="s">
        <v>1953</v>
      </c>
      <c r="C628" s="226" t="str">
        <f t="shared" si="76"/>
        <v>3.10.20.40.000.000.00.000</v>
      </c>
      <c r="D628" s="633"/>
      <c r="F628" s="633"/>
      <c r="G628" s="633"/>
      <c r="H628" s="633"/>
      <c r="I628" s="633"/>
      <c r="J628" s="579"/>
      <c r="K628" s="579"/>
      <c r="L628" s="579"/>
      <c r="M628" s="579"/>
      <c r="N628" s="579"/>
      <c r="O628" s="631">
        <f t="shared" si="78"/>
        <v>0</v>
      </c>
      <c r="P628" s="579"/>
      <c r="Q628" s="579"/>
    </row>
    <row r="629" spans="1:32" s="624" customFormat="1" x14ac:dyDescent="0.25">
      <c r="A629" s="551" t="str">
        <f>+Info!$B$2</f>
        <v>724</v>
      </c>
      <c r="B629" s="226" t="s">
        <v>1953</v>
      </c>
      <c r="C629" s="226" t="str">
        <f t="shared" si="76"/>
        <v>3.10.20.40.000.000.00.000</v>
      </c>
      <c r="D629" s="633"/>
      <c r="F629" s="633"/>
      <c r="G629" s="633"/>
      <c r="H629" s="633"/>
      <c r="I629" s="633"/>
      <c r="J629" s="579"/>
      <c r="K629" s="579"/>
      <c r="L629" s="579"/>
      <c r="M629" s="579"/>
      <c r="N629" s="579"/>
      <c r="O629" s="631">
        <f t="shared" si="78"/>
        <v>0</v>
      </c>
      <c r="P629" s="579"/>
      <c r="Q629" s="579"/>
    </row>
    <row r="630" spans="1:32" s="624" customFormat="1" x14ac:dyDescent="0.25">
      <c r="A630" s="551" t="str">
        <f>+Info!$B$2</f>
        <v>724</v>
      </c>
      <c r="B630" s="226" t="s">
        <v>1953</v>
      </c>
      <c r="C630" s="226" t="str">
        <f t="shared" si="76"/>
        <v>3.10.20.40.000.000.00.000</v>
      </c>
      <c r="D630" s="633"/>
      <c r="F630" s="633"/>
      <c r="G630" s="633"/>
      <c r="H630" s="633"/>
      <c r="I630" s="633"/>
      <c r="J630" s="579"/>
      <c r="K630" s="579"/>
      <c r="L630" s="579"/>
      <c r="M630" s="579"/>
      <c r="N630" s="579"/>
      <c r="O630" s="631">
        <f t="shared" si="78"/>
        <v>0</v>
      </c>
      <c r="P630" s="579"/>
      <c r="Q630" s="579"/>
    </row>
    <row r="631" spans="1:32" s="624" customFormat="1" x14ac:dyDescent="0.25">
      <c r="A631" s="551" t="str">
        <f>+Info!$B$2</f>
        <v>724</v>
      </c>
      <c r="B631" s="226" t="s">
        <v>1953</v>
      </c>
      <c r="C631" s="226" t="str">
        <f t="shared" si="76"/>
        <v>3.10.20.40.000.000.00.000</v>
      </c>
      <c r="D631" s="633"/>
      <c r="F631" s="633"/>
      <c r="G631" s="633"/>
      <c r="H631" s="633"/>
      <c r="I631" s="633"/>
      <c r="J631" s="579"/>
      <c r="K631" s="579"/>
      <c r="L631" s="579"/>
      <c r="M631" s="579"/>
      <c r="N631" s="579"/>
      <c r="O631" s="631">
        <f t="shared" si="78"/>
        <v>0</v>
      </c>
      <c r="P631" s="579"/>
      <c r="Q631" s="579"/>
    </row>
    <row r="632" spans="1:32" s="624" customFormat="1" x14ac:dyDescent="0.25">
      <c r="A632" s="551" t="str">
        <f>+Info!$B$2</f>
        <v>724</v>
      </c>
      <c r="B632" s="226" t="s">
        <v>1953</v>
      </c>
      <c r="C632" s="226" t="str">
        <f t="shared" si="76"/>
        <v>3.10.20.40.000.000.00.000</v>
      </c>
      <c r="D632" s="633"/>
      <c r="F632" s="633"/>
      <c r="G632" s="633"/>
      <c r="H632" s="633"/>
      <c r="I632" s="633"/>
      <c r="J632" s="579"/>
      <c r="K632" s="579"/>
      <c r="L632" s="579"/>
      <c r="M632" s="579"/>
      <c r="N632" s="579"/>
      <c r="O632" s="631">
        <f t="shared" si="78"/>
        <v>0</v>
      </c>
      <c r="P632" s="579"/>
      <c r="Q632" s="579"/>
    </row>
    <row r="633" spans="1:32" s="624" customFormat="1" x14ac:dyDescent="0.25">
      <c r="A633" s="551" t="str">
        <f>+Info!$B$2</f>
        <v>724</v>
      </c>
      <c r="B633" s="226" t="s">
        <v>1953</v>
      </c>
      <c r="C633" s="226" t="str">
        <f t="shared" si="76"/>
        <v>3.10.20.40.000.000.00.000</v>
      </c>
      <c r="D633" s="633"/>
      <c r="F633" s="633"/>
      <c r="G633" s="633"/>
      <c r="H633" s="633"/>
      <c r="I633" s="633"/>
      <c r="J633" s="579"/>
      <c r="K633" s="579"/>
      <c r="L633" s="579"/>
      <c r="M633" s="579"/>
      <c r="N633" s="579"/>
      <c r="O633" s="631">
        <f t="shared" si="78"/>
        <v>0</v>
      </c>
      <c r="P633" s="579"/>
      <c r="Q633" s="579"/>
    </row>
    <row r="634" spans="1:32" s="624" customFormat="1" x14ac:dyDescent="0.25">
      <c r="A634" s="551" t="str">
        <f>+Info!$B$2</f>
        <v>724</v>
      </c>
      <c r="B634" s="226" t="s">
        <v>1953</v>
      </c>
      <c r="C634" s="226" t="str">
        <f t="shared" si="76"/>
        <v>3.10.20.40.000.000.00.000</v>
      </c>
      <c r="D634" s="633"/>
      <c r="F634" s="633"/>
      <c r="G634" s="633"/>
      <c r="H634" s="633"/>
      <c r="I634" s="633"/>
      <c r="J634" s="579"/>
      <c r="K634" s="579"/>
      <c r="L634" s="579"/>
      <c r="M634" s="579"/>
      <c r="N634" s="579"/>
      <c r="O634" s="631">
        <f t="shared" si="78"/>
        <v>0</v>
      </c>
      <c r="P634" s="579"/>
      <c r="Q634" s="579"/>
    </row>
    <row r="635" spans="1:32" s="624" customFormat="1" x14ac:dyDescent="0.25">
      <c r="A635" s="551" t="str">
        <f>+Info!$B$2</f>
        <v>724</v>
      </c>
      <c r="B635" s="226" t="s">
        <v>1953</v>
      </c>
      <c r="C635" s="226" t="str">
        <f t="shared" si="76"/>
        <v>3.10.20.40.000.000.00.000</v>
      </c>
      <c r="D635" s="633"/>
      <c r="F635" s="633"/>
      <c r="G635" s="633"/>
      <c r="H635" s="633"/>
      <c r="I635" s="633"/>
      <c r="J635" s="579"/>
      <c r="K635" s="579"/>
      <c r="L635" s="579"/>
      <c r="M635" s="579"/>
      <c r="N635" s="579"/>
      <c r="O635" s="631">
        <f t="shared" si="78"/>
        <v>0</v>
      </c>
      <c r="P635" s="579"/>
      <c r="Q635" s="579"/>
    </row>
    <row r="636" spans="1:32" s="624" customFormat="1" ht="23.25" x14ac:dyDescent="0.25">
      <c r="A636" s="551" t="str">
        <f>+Info!$B$2</f>
        <v>724</v>
      </c>
      <c r="B636" s="636" t="s">
        <v>1959</v>
      </c>
      <c r="C636" s="636" t="s">
        <v>1960</v>
      </c>
      <c r="D636" s="637" t="s">
        <v>4352</v>
      </c>
      <c r="E636" s="569">
        <f>SUMIF('NI-Soc_SP'!$C:$C,$C636,'NI-Soc_SP'!$Z:$Z)</f>
        <v>0</v>
      </c>
      <c r="F636" s="923" t="str">
        <f>IF(E636=Dettaglio_SP_Soc!O636,"Quadratura OK!","Squadratura con saldo finale di Bilancio!")</f>
        <v>Quadratura OK!</v>
      </c>
      <c r="G636" s="923"/>
      <c r="H636" s="923"/>
      <c r="I636" s="923"/>
      <c r="J636" s="628">
        <f t="shared" ref="J636:Q636" si="79">+J637+J638</f>
        <v>0</v>
      </c>
      <c r="K636" s="628">
        <f t="shared" si="79"/>
        <v>0</v>
      </c>
      <c r="L636" s="628">
        <f t="shared" si="79"/>
        <v>0</v>
      </c>
      <c r="M636" s="628">
        <f t="shared" si="79"/>
        <v>0</v>
      </c>
      <c r="N636" s="628">
        <f t="shared" si="79"/>
        <v>0</v>
      </c>
      <c r="O636" s="628">
        <f t="shared" si="79"/>
        <v>0</v>
      </c>
      <c r="P636" s="628">
        <f t="shared" si="79"/>
        <v>0</v>
      </c>
      <c r="Q636" s="628">
        <f t="shared" si="79"/>
        <v>0</v>
      </c>
      <c r="AC636" s="624" t="str">
        <f>C636</f>
        <v>3.10.20.50.000.000.00.000</v>
      </c>
      <c r="AD636" s="629">
        <f>O636</f>
        <v>0</v>
      </c>
      <c r="AE636" s="629">
        <f>E636</f>
        <v>0</v>
      </c>
      <c r="AF636" s="551">
        <f>IF($AD636=$AE636,0,1)</f>
        <v>0</v>
      </c>
    </row>
    <row r="637" spans="1:32" s="624" customFormat="1" ht="15" customHeight="1" x14ac:dyDescent="0.25">
      <c r="A637" s="551" t="str">
        <f>+Info!$B$2</f>
        <v>724</v>
      </c>
      <c r="B637" s="226" t="s">
        <v>1959</v>
      </c>
      <c r="C637" s="226" t="str">
        <f t="shared" ref="C637:C688" si="80">$C$636</f>
        <v>3.10.20.50.000.000.00.000</v>
      </c>
      <c r="D637" s="630" t="str">
        <f>"    ... assegnati in data antecedente al 1/1/"&amp;Info!$B$3-2</f>
        <v xml:space="preserve">    ... assegnati in data antecedente al 1/1/2018</v>
      </c>
      <c r="F637" s="923"/>
      <c r="G637" s="923"/>
      <c r="H637" s="923"/>
      <c r="I637" s="923"/>
      <c r="J637" s="579"/>
      <c r="K637" s="579"/>
      <c r="L637" s="579"/>
      <c r="M637" s="579"/>
      <c r="N637" s="579"/>
      <c r="O637" s="631">
        <f>+J637+K637+L637-M637+N637</f>
        <v>0</v>
      </c>
      <c r="P637" s="579"/>
      <c r="Q637" s="579"/>
    </row>
    <row r="638" spans="1:32" s="624" customFormat="1" ht="15" customHeight="1" x14ac:dyDescent="0.25">
      <c r="A638" s="551" t="str">
        <f>+Info!$B$2</f>
        <v>724</v>
      </c>
      <c r="B638" s="226" t="s">
        <v>1959</v>
      </c>
      <c r="C638" s="226" t="str">
        <f t="shared" si="80"/>
        <v>3.10.20.50.000.000.00.000</v>
      </c>
      <c r="D638" s="632" t="str">
        <f>"    ... assegnati a partire dal 1/1/"&amp;Info!$B$3-2&amp;"..dettagliare"</f>
        <v xml:space="preserve">    ... assegnati a partire dal 1/1/2018..dettagliare</v>
      </c>
      <c r="F638" s="923"/>
      <c r="G638" s="923"/>
      <c r="H638" s="923"/>
      <c r="I638" s="923"/>
      <c r="J638" s="628">
        <f t="shared" ref="J638:Q638" si="81">SUM(J639:J688)</f>
        <v>0</v>
      </c>
      <c r="K638" s="628">
        <f t="shared" si="81"/>
        <v>0</v>
      </c>
      <c r="L638" s="628">
        <f t="shared" si="81"/>
        <v>0</v>
      </c>
      <c r="M638" s="628">
        <f t="shared" si="81"/>
        <v>0</v>
      </c>
      <c r="N638" s="628">
        <f t="shared" si="81"/>
        <v>0</v>
      </c>
      <c r="O638" s="628">
        <f t="shared" si="81"/>
        <v>0</v>
      </c>
      <c r="P638" s="628">
        <f t="shared" si="81"/>
        <v>0</v>
      </c>
      <c r="Q638" s="628">
        <f t="shared" si="81"/>
        <v>0</v>
      </c>
    </row>
    <row r="639" spans="1:32" s="624" customFormat="1" x14ac:dyDescent="0.25">
      <c r="A639" s="551" t="str">
        <f>+Info!$B$2</f>
        <v>724</v>
      </c>
      <c r="B639" s="226" t="s">
        <v>1959</v>
      </c>
      <c r="C639" s="226" t="str">
        <f t="shared" si="80"/>
        <v>3.10.20.50.000.000.00.000</v>
      </c>
      <c r="D639" s="633"/>
      <c r="F639" s="633"/>
      <c r="G639" s="633"/>
      <c r="H639" s="633"/>
      <c r="I639" s="633"/>
      <c r="J639" s="579"/>
      <c r="K639" s="579"/>
      <c r="L639" s="579"/>
      <c r="M639" s="579"/>
      <c r="N639" s="579"/>
      <c r="O639" s="631">
        <f t="shared" ref="O639:O688" si="82">+J639+K639+L639-M639+N639</f>
        <v>0</v>
      </c>
      <c r="P639" s="579"/>
      <c r="Q639" s="579"/>
    </row>
    <row r="640" spans="1:32" s="624" customFormat="1" x14ac:dyDescent="0.25">
      <c r="A640" s="551" t="str">
        <f>+Info!$B$2</f>
        <v>724</v>
      </c>
      <c r="B640" s="226" t="s">
        <v>1959</v>
      </c>
      <c r="C640" s="226" t="str">
        <f t="shared" si="80"/>
        <v>3.10.20.50.000.000.00.000</v>
      </c>
      <c r="D640" s="633"/>
      <c r="F640" s="633"/>
      <c r="G640" s="633"/>
      <c r="H640" s="633"/>
      <c r="I640" s="633"/>
      <c r="J640" s="579"/>
      <c r="K640" s="579"/>
      <c r="L640" s="579"/>
      <c r="M640" s="579"/>
      <c r="N640" s="579"/>
      <c r="O640" s="631">
        <f t="shared" si="82"/>
        <v>0</v>
      </c>
      <c r="P640" s="579"/>
      <c r="Q640" s="579"/>
    </row>
    <row r="641" spans="1:17" s="624" customFormat="1" x14ac:dyDescent="0.25">
      <c r="A641" s="551" t="str">
        <f>+Info!$B$2</f>
        <v>724</v>
      </c>
      <c r="B641" s="226" t="s">
        <v>1959</v>
      </c>
      <c r="C641" s="226" t="str">
        <f t="shared" si="80"/>
        <v>3.10.20.50.000.000.00.000</v>
      </c>
      <c r="D641" s="633"/>
      <c r="F641" s="633"/>
      <c r="G641" s="633"/>
      <c r="H641" s="633"/>
      <c r="I641" s="633"/>
      <c r="J641" s="579"/>
      <c r="K641" s="579"/>
      <c r="L641" s="579"/>
      <c r="M641" s="579"/>
      <c r="N641" s="579"/>
      <c r="O641" s="631">
        <f t="shared" si="82"/>
        <v>0</v>
      </c>
      <c r="P641" s="579"/>
      <c r="Q641" s="579"/>
    </row>
    <row r="642" spans="1:17" s="624" customFormat="1" x14ac:dyDescent="0.25">
      <c r="A642" s="551" t="str">
        <f>+Info!$B$2</f>
        <v>724</v>
      </c>
      <c r="B642" s="226" t="s">
        <v>1959</v>
      </c>
      <c r="C642" s="226" t="str">
        <f t="shared" si="80"/>
        <v>3.10.20.50.000.000.00.000</v>
      </c>
      <c r="D642" s="633"/>
      <c r="F642" s="633"/>
      <c r="G642" s="633"/>
      <c r="H642" s="633"/>
      <c r="I642" s="633"/>
      <c r="J642" s="579"/>
      <c r="K642" s="579"/>
      <c r="L642" s="579"/>
      <c r="M642" s="579"/>
      <c r="N642" s="579"/>
      <c r="O642" s="631">
        <f t="shared" si="82"/>
        <v>0</v>
      </c>
      <c r="P642" s="579"/>
      <c r="Q642" s="579"/>
    </row>
    <row r="643" spans="1:17" s="624" customFormat="1" x14ac:dyDescent="0.25">
      <c r="A643" s="551" t="str">
        <f>+Info!$B$2</f>
        <v>724</v>
      </c>
      <c r="B643" s="226" t="s">
        <v>1959</v>
      </c>
      <c r="C643" s="226" t="str">
        <f t="shared" si="80"/>
        <v>3.10.20.50.000.000.00.000</v>
      </c>
      <c r="D643" s="633"/>
      <c r="F643" s="633"/>
      <c r="G643" s="633"/>
      <c r="H643" s="633"/>
      <c r="I643" s="633"/>
      <c r="J643" s="579"/>
      <c r="K643" s="579"/>
      <c r="L643" s="579"/>
      <c r="M643" s="579"/>
      <c r="N643" s="579"/>
      <c r="O643" s="631">
        <f t="shared" si="82"/>
        <v>0</v>
      </c>
      <c r="P643" s="579"/>
      <c r="Q643" s="579"/>
    </row>
    <row r="644" spans="1:17" s="624" customFormat="1" x14ac:dyDescent="0.25">
      <c r="A644" s="551" t="str">
        <f>+Info!$B$2</f>
        <v>724</v>
      </c>
      <c r="B644" s="226" t="s">
        <v>1959</v>
      </c>
      <c r="C644" s="226" t="str">
        <f t="shared" si="80"/>
        <v>3.10.20.50.000.000.00.000</v>
      </c>
      <c r="D644" s="633"/>
      <c r="F644" s="633"/>
      <c r="G644" s="633"/>
      <c r="H644" s="633"/>
      <c r="I644" s="633"/>
      <c r="J644" s="579"/>
      <c r="K644" s="579"/>
      <c r="L644" s="579"/>
      <c r="M644" s="579"/>
      <c r="N644" s="579"/>
      <c r="O644" s="631">
        <f t="shared" si="82"/>
        <v>0</v>
      </c>
      <c r="P644" s="579"/>
      <c r="Q644" s="579"/>
    </row>
    <row r="645" spans="1:17" s="624" customFormat="1" x14ac:dyDescent="0.25">
      <c r="A645" s="551" t="str">
        <f>+Info!$B$2</f>
        <v>724</v>
      </c>
      <c r="B645" s="226" t="s">
        <v>1959</v>
      </c>
      <c r="C645" s="226" t="str">
        <f t="shared" si="80"/>
        <v>3.10.20.50.000.000.00.000</v>
      </c>
      <c r="D645" s="633"/>
      <c r="F645" s="633"/>
      <c r="G645" s="633"/>
      <c r="H645" s="633"/>
      <c r="I645" s="633"/>
      <c r="J645" s="579"/>
      <c r="K645" s="579"/>
      <c r="L645" s="579"/>
      <c r="M645" s="579"/>
      <c r="N645" s="579"/>
      <c r="O645" s="631">
        <f t="shared" si="82"/>
        <v>0</v>
      </c>
      <c r="P645" s="579"/>
      <c r="Q645" s="579"/>
    </row>
    <row r="646" spans="1:17" s="624" customFormat="1" x14ac:dyDescent="0.25">
      <c r="A646" s="551" t="str">
        <f>+Info!$B$2</f>
        <v>724</v>
      </c>
      <c r="B646" s="226" t="s">
        <v>1959</v>
      </c>
      <c r="C646" s="226" t="str">
        <f t="shared" si="80"/>
        <v>3.10.20.50.000.000.00.000</v>
      </c>
      <c r="D646" s="633"/>
      <c r="F646" s="633"/>
      <c r="G646" s="633"/>
      <c r="H646" s="633"/>
      <c r="I646" s="633"/>
      <c r="J646" s="579"/>
      <c r="K646" s="579"/>
      <c r="L646" s="579"/>
      <c r="M646" s="579"/>
      <c r="N646" s="579"/>
      <c r="O646" s="631">
        <f t="shared" si="82"/>
        <v>0</v>
      </c>
      <c r="P646" s="579"/>
      <c r="Q646" s="579"/>
    </row>
    <row r="647" spans="1:17" s="624" customFormat="1" x14ac:dyDescent="0.25">
      <c r="A647" s="551" t="str">
        <f>+Info!$B$2</f>
        <v>724</v>
      </c>
      <c r="B647" s="226" t="s">
        <v>1959</v>
      </c>
      <c r="C647" s="226" t="str">
        <f t="shared" si="80"/>
        <v>3.10.20.50.000.000.00.000</v>
      </c>
      <c r="D647" s="633"/>
      <c r="F647" s="633"/>
      <c r="G647" s="633"/>
      <c r="H647" s="633"/>
      <c r="I647" s="633"/>
      <c r="J647" s="579"/>
      <c r="K647" s="579"/>
      <c r="L647" s="579"/>
      <c r="M647" s="579"/>
      <c r="N647" s="579"/>
      <c r="O647" s="631">
        <f t="shared" si="82"/>
        <v>0</v>
      </c>
      <c r="P647" s="579"/>
      <c r="Q647" s="579"/>
    </row>
    <row r="648" spans="1:17" s="624" customFormat="1" x14ac:dyDescent="0.25">
      <c r="A648" s="551" t="str">
        <f>+Info!$B$2</f>
        <v>724</v>
      </c>
      <c r="B648" s="226" t="s">
        <v>1959</v>
      </c>
      <c r="C648" s="226" t="str">
        <f t="shared" si="80"/>
        <v>3.10.20.50.000.000.00.000</v>
      </c>
      <c r="D648" s="633"/>
      <c r="F648" s="633"/>
      <c r="G648" s="633"/>
      <c r="H648" s="633"/>
      <c r="I648" s="633"/>
      <c r="J648" s="579"/>
      <c r="K648" s="579"/>
      <c r="L648" s="579"/>
      <c r="M648" s="579"/>
      <c r="N648" s="579"/>
      <c r="O648" s="631">
        <f t="shared" si="82"/>
        <v>0</v>
      </c>
      <c r="P648" s="579"/>
      <c r="Q648" s="579"/>
    </row>
    <row r="649" spans="1:17" s="624" customFormat="1" x14ac:dyDescent="0.25">
      <c r="A649" s="551" t="str">
        <f>+Info!$B$2</f>
        <v>724</v>
      </c>
      <c r="B649" s="226" t="s">
        <v>1959</v>
      </c>
      <c r="C649" s="226" t="str">
        <f t="shared" si="80"/>
        <v>3.10.20.50.000.000.00.000</v>
      </c>
      <c r="D649" s="633"/>
      <c r="F649" s="633"/>
      <c r="G649" s="633"/>
      <c r="H649" s="633"/>
      <c r="I649" s="633"/>
      <c r="J649" s="579"/>
      <c r="K649" s="579"/>
      <c r="L649" s="579"/>
      <c r="M649" s="579"/>
      <c r="N649" s="579"/>
      <c r="O649" s="631">
        <f t="shared" si="82"/>
        <v>0</v>
      </c>
      <c r="P649" s="579"/>
      <c r="Q649" s="579"/>
    </row>
    <row r="650" spans="1:17" s="624" customFormat="1" x14ac:dyDescent="0.25">
      <c r="A650" s="551" t="str">
        <f>+Info!$B$2</f>
        <v>724</v>
      </c>
      <c r="B650" s="226" t="s">
        <v>1959</v>
      </c>
      <c r="C650" s="226" t="str">
        <f t="shared" si="80"/>
        <v>3.10.20.50.000.000.00.000</v>
      </c>
      <c r="D650" s="633"/>
      <c r="F650" s="633"/>
      <c r="G650" s="633"/>
      <c r="H650" s="633"/>
      <c r="I650" s="633"/>
      <c r="J650" s="579"/>
      <c r="K650" s="579"/>
      <c r="L650" s="579"/>
      <c r="M650" s="579"/>
      <c r="N650" s="579"/>
      <c r="O650" s="631">
        <f t="shared" si="82"/>
        <v>0</v>
      </c>
      <c r="P650" s="579"/>
      <c r="Q650" s="579"/>
    </row>
    <row r="651" spans="1:17" s="624" customFormat="1" x14ac:dyDescent="0.25">
      <c r="A651" s="551" t="str">
        <f>+Info!$B$2</f>
        <v>724</v>
      </c>
      <c r="B651" s="226" t="s">
        <v>1959</v>
      </c>
      <c r="C651" s="226" t="str">
        <f t="shared" si="80"/>
        <v>3.10.20.50.000.000.00.000</v>
      </c>
      <c r="D651" s="633"/>
      <c r="F651" s="633"/>
      <c r="G651" s="633"/>
      <c r="H651" s="633"/>
      <c r="I651" s="633"/>
      <c r="J651" s="579"/>
      <c r="K651" s="579"/>
      <c r="L651" s="579"/>
      <c r="M651" s="579"/>
      <c r="N651" s="579"/>
      <c r="O651" s="631">
        <f t="shared" si="82"/>
        <v>0</v>
      </c>
      <c r="P651" s="579"/>
      <c r="Q651" s="579"/>
    </row>
    <row r="652" spans="1:17" s="624" customFormat="1" x14ac:dyDescent="0.25">
      <c r="A652" s="551" t="str">
        <f>+Info!$B$2</f>
        <v>724</v>
      </c>
      <c r="B652" s="226" t="s">
        <v>1959</v>
      </c>
      <c r="C652" s="226" t="str">
        <f t="shared" si="80"/>
        <v>3.10.20.50.000.000.00.000</v>
      </c>
      <c r="D652" s="633"/>
      <c r="F652" s="633"/>
      <c r="G652" s="633"/>
      <c r="H652" s="633"/>
      <c r="I652" s="633"/>
      <c r="J652" s="579"/>
      <c r="K652" s="579"/>
      <c r="L652" s="579"/>
      <c r="M652" s="579"/>
      <c r="N652" s="579"/>
      <c r="O652" s="631">
        <f t="shared" si="82"/>
        <v>0</v>
      </c>
      <c r="P652" s="579"/>
      <c r="Q652" s="579"/>
    </row>
    <row r="653" spans="1:17" s="624" customFormat="1" x14ac:dyDescent="0.25">
      <c r="A653" s="551" t="str">
        <f>+Info!$B$2</f>
        <v>724</v>
      </c>
      <c r="B653" s="226" t="s">
        <v>1959</v>
      </c>
      <c r="C653" s="226" t="str">
        <f t="shared" si="80"/>
        <v>3.10.20.50.000.000.00.000</v>
      </c>
      <c r="D653" s="633"/>
      <c r="F653" s="633"/>
      <c r="G653" s="633"/>
      <c r="H653" s="633"/>
      <c r="I653" s="633"/>
      <c r="J653" s="579"/>
      <c r="K653" s="579"/>
      <c r="L653" s="579"/>
      <c r="M653" s="579"/>
      <c r="N653" s="579"/>
      <c r="O653" s="631">
        <f t="shared" si="82"/>
        <v>0</v>
      </c>
      <c r="P653" s="579"/>
      <c r="Q653" s="579"/>
    </row>
    <row r="654" spans="1:17" s="624" customFormat="1" x14ac:dyDescent="0.25">
      <c r="A654" s="551" t="str">
        <f>+Info!$B$2</f>
        <v>724</v>
      </c>
      <c r="B654" s="226" t="s">
        <v>1959</v>
      </c>
      <c r="C654" s="226" t="str">
        <f t="shared" si="80"/>
        <v>3.10.20.50.000.000.00.000</v>
      </c>
      <c r="D654" s="633"/>
      <c r="F654" s="633"/>
      <c r="G654" s="633"/>
      <c r="H654" s="633"/>
      <c r="I654" s="633"/>
      <c r="J654" s="579"/>
      <c r="K654" s="579"/>
      <c r="L654" s="579"/>
      <c r="M654" s="579"/>
      <c r="N654" s="579"/>
      <c r="O654" s="631">
        <f t="shared" si="82"/>
        <v>0</v>
      </c>
      <c r="P654" s="579"/>
      <c r="Q654" s="579"/>
    </row>
    <row r="655" spans="1:17" s="624" customFormat="1" x14ac:dyDescent="0.25">
      <c r="A655" s="551" t="str">
        <f>+Info!$B$2</f>
        <v>724</v>
      </c>
      <c r="B655" s="226" t="s">
        <v>1959</v>
      </c>
      <c r="C655" s="226" t="str">
        <f t="shared" si="80"/>
        <v>3.10.20.50.000.000.00.000</v>
      </c>
      <c r="D655" s="633"/>
      <c r="F655" s="633"/>
      <c r="G655" s="633"/>
      <c r="H655" s="633"/>
      <c r="I655" s="633"/>
      <c r="J655" s="579"/>
      <c r="K655" s="579"/>
      <c r="L655" s="579"/>
      <c r="M655" s="579"/>
      <c r="N655" s="579"/>
      <c r="O655" s="631">
        <f t="shared" si="82"/>
        <v>0</v>
      </c>
      <c r="P655" s="579"/>
      <c r="Q655" s="579"/>
    </row>
    <row r="656" spans="1:17" s="624" customFormat="1" x14ac:dyDescent="0.25">
      <c r="A656" s="551" t="str">
        <f>+Info!$B$2</f>
        <v>724</v>
      </c>
      <c r="B656" s="226" t="s">
        <v>1959</v>
      </c>
      <c r="C656" s="226" t="str">
        <f t="shared" si="80"/>
        <v>3.10.20.50.000.000.00.000</v>
      </c>
      <c r="D656" s="633"/>
      <c r="F656" s="633"/>
      <c r="G656" s="633"/>
      <c r="H656" s="633"/>
      <c r="I656" s="633"/>
      <c r="J656" s="579"/>
      <c r="K656" s="579"/>
      <c r="L656" s="579"/>
      <c r="M656" s="579"/>
      <c r="N656" s="579"/>
      <c r="O656" s="631">
        <f t="shared" si="82"/>
        <v>0</v>
      </c>
      <c r="P656" s="579"/>
      <c r="Q656" s="579"/>
    </row>
    <row r="657" spans="1:17" s="624" customFormat="1" x14ac:dyDescent="0.25">
      <c r="A657" s="551" t="str">
        <f>+Info!$B$2</f>
        <v>724</v>
      </c>
      <c r="B657" s="226" t="s">
        <v>1959</v>
      </c>
      <c r="C657" s="226" t="str">
        <f t="shared" si="80"/>
        <v>3.10.20.50.000.000.00.000</v>
      </c>
      <c r="D657" s="633"/>
      <c r="F657" s="633"/>
      <c r="G657" s="633"/>
      <c r="H657" s="633"/>
      <c r="I657" s="633"/>
      <c r="J657" s="579"/>
      <c r="K657" s="579"/>
      <c r="L657" s="579"/>
      <c r="M657" s="579"/>
      <c r="N657" s="579"/>
      <c r="O657" s="631">
        <f t="shared" si="82"/>
        <v>0</v>
      </c>
      <c r="P657" s="579"/>
      <c r="Q657" s="579"/>
    </row>
    <row r="658" spans="1:17" s="624" customFormat="1" x14ac:dyDescent="0.25">
      <c r="A658" s="551" t="str">
        <f>+Info!$B$2</f>
        <v>724</v>
      </c>
      <c r="B658" s="226" t="s">
        <v>1959</v>
      </c>
      <c r="C658" s="226" t="str">
        <f t="shared" si="80"/>
        <v>3.10.20.50.000.000.00.000</v>
      </c>
      <c r="D658" s="633"/>
      <c r="F658" s="633"/>
      <c r="G658" s="633"/>
      <c r="H658" s="633"/>
      <c r="I658" s="633"/>
      <c r="J658" s="579"/>
      <c r="K658" s="579"/>
      <c r="L658" s="579"/>
      <c r="M658" s="579"/>
      <c r="N658" s="579"/>
      <c r="O658" s="631">
        <f t="shared" si="82"/>
        <v>0</v>
      </c>
      <c r="P658" s="579"/>
      <c r="Q658" s="579"/>
    </row>
    <row r="659" spans="1:17" s="624" customFormat="1" x14ac:dyDescent="0.25">
      <c r="A659" s="551" t="str">
        <f>+Info!$B$2</f>
        <v>724</v>
      </c>
      <c r="B659" s="226" t="s">
        <v>1959</v>
      </c>
      <c r="C659" s="226" t="str">
        <f t="shared" si="80"/>
        <v>3.10.20.50.000.000.00.000</v>
      </c>
      <c r="D659" s="633"/>
      <c r="F659" s="633"/>
      <c r="G659" s="633"/>
      <c r="H659" s="633"/>
      <c r="I659" s="633"/>
      <c r="J659" s="579"/>
      <c r="K659" s="579"/>
      <c r="L659" s="579"/>
      <c r="M659" s="579"/>
      <c r="N659" s="579"/>
      <c r="O659" s="631">
        <f t="shared" si="82"/>
        <v>0</v>
      </c>
      <c r="P659" s="579"/>
      <c r="Q659" s="579"/>
    </row>
    <row r="660" spans="1:17" s="624" customFormat="1" x14ac:dyDescent="0.25">
      <c r="A660" s="551" t="str">
        <f>+Info!$B$2</f>
        <v>724</v>
      </c>
      <c r="B660" s="226" t="s">
        <v>1959</v>
      </c>
      <c r="C660" s="226" t="str">
        <f t="shared" si="80"/>
        <v>3.10.20.50.000.000.00.000</v>
      </c>
      <c r="D660" s="633"/>
      <c r="F660" s="633"/>
      <c r="G660" s="633"/>
      <c r="H660" s="633"/>
      <c r="I660" s="633"/>
      <c r="J660" s="579"/>
      <c r="K660" s="579"/>
      <c r="L660" s="579"/>
      <c r="M660" s="579"/>
      <c r="N660" s="579"/>
      <c r="O660" s="631">
        <f t="shared" si="82"/>
        <v>0</v>
      </c>
      <c r="P660" s="579"/>
      <c r="Q660" s="579"/>
    </row>
    <row r="661" spans="1:17" s="624" customFormat="1" x14ac:dyDescent="0.25">
      <c r="A661" s="551" t="str">
        <f>+Info!$B$2</f>
        <v>724</v>
      </c>
      <c r="B661" s="226" t="s">
        <v>1959</v>
      </c>
      <c r="C661" s="226" t="str">
        <f t="shared" si="80"/>
        <v>3.10.20.50.000.000.00.000</v>
      </c>
      <c r="D661" s="633"/>
      <c r="F661" s="633"/>
      <c r="G661" s="633"/>
      <c r="H661" s="633"/>
      <c r="I661" s="633"/>
      <c r="J661" s="579"/>
      <c r="K661" s="579"/>
      <c r="L661" s="579"/>
      <c r="M661" s="579"/>
      <c r="N661" s="579"/>
      <c r="O661" s="631">
        <f t="shared" si="82"/>
        <v>0</v>
      </c>
      <c r="P661" s="579"/>
      <c r="Q661" s="579"/>
    </row>
    <row r="662" spans="1:17" s="624" customFormat="1" x14ac:dyDescent="0.25">
      <c r="A662" s="551" t="str">
        <f>+Info!$B$2</f>
        <v>724</v>
      </c>
      <c r="B662" s="226" t="s">
        <v>1959</v>
      </c>
      <c r="C662" s="226" t="str">
        <f t="shared" si="80"/>
        <v>3.10.20.50.000.000.00.000</v>
      </c>
      <c r="D662" s="633"/>
      <c r="F662" s="633"/>
      <c r="G662" s="633"/>
      <c r="H662" s="633"/>
      <c r="I662" s="633"/>
      <c r="J662" s="579"/>
      <c r="K662" s="579"/>
      <c r="L662" s="579"/>
      <c r="M662" s="579"/>
      <c r="N662" s="579"/>
      <c r="O662" s="631">
        <f t="shared" si="82"/>
        <v>0</v>
      </c>
      <c r="P662" s="579"/>
      <c r="Q662" s="579"/>
    </row>
    <row r="663" spans="1:17" s="624" customFormat="1" x14ac:dyDescent="0.25">
      <c r="A663" s="551" t="str">
        <f>+Info!$B$2</f>
        <v>724</v>
      </c>
      <c r="B663" s="226" t="s">
        <v>1959</v>
      </c>
      <c r="C663" s="226" t="str">
        <f t="shared" si="80"/>
        <v>3.10.20.50.000.000.00.000</v>
      </c>
      <c r="D663" s="633"/>
      <c r="F663" s="633"/>
      <c r="G663" s="633"/>
      <c r="H663" s="633"/>
      <c r="I663" s="633"/>
      <c r="J663" s="579"/>
      <c r="K663" s="579"/>
      <c r="L663" s="579"/>
      <c r="M663" s="579"/>
      <c r="N663" s="579"/>
      <c r="O663" s="631">
        <f t="shared" si="82"/>
        <v>0</v>
      </c>
      <c r="P663" s="579"/>
      <c r="Q663" s="579"/>
    </row>
    <row r="664" spans="1:17" s="624" customFormat="1" x14ac:dyDescent="0.25">
      <c r="A664" s="551" t="str">
        <f>+Info!$B$2</f>
        <v>724</v>
      </c>
      <c r="B664" s="226" t="s">
        <v>1959</v>
      </c>
      <c r="C664" s="226" t="str">
        <f t="shared" si="80"/>
        <v>3.10.20.50.000.000.00.000</v>
      </c>
      <c r="D664" s="633"/>
      <c r="F664" s="633"/>
      <c r="G664" s="633"/>
      <c r="H664" s="633"/>
      <c r="I664" s="633"/>
      <c r="J664" s="579"/>
      <c r="K664" s="579"/>
      <c r="L664" s="579"/>
      <c r="M664" s="579"/>
      <c r="N664" s="579"/>
      <c r="O664" s="631">
        <f t="shared" si="82"/>
        <v>0</v>
      </c>
      <c r="P664" s="579"/>
      <c r="Q664" s="579"/>
    </row>
    <row r="665" spans="1:17" s="624" customFormat="1" x14ac:dyDescent="0.25">
      <c r="A665" s="551" t="str">
        <f>+Info!$B$2</f>
        <v>724</v>
      </c>
      <c r="B665" s="226" t="s">
        <v>1959</v>
      </c>
      <c r="C665" s="226" t="str">
        <f t="shared" si="80"/>
        <v>3.10.20.50.000.000.00.000</v>
      </c>
      <c r="D665" s="633"/>
      <c r="F665" s="633"/>
      <c r="G665" s="633"/>
      <c r="H665" s="633"/>
      <c r="I665" s="633"/>
      <c r="J665" s="579"/>
      <c r="K665" s="579"/>
      <c r="L665" s="579"/>
      <c r="M665" s="579"/>
      <c r="N665" s="579"/>
      <c r="O665" s="631">
        <f t="shared" si="82"/>
        <v>0</v>
      </c>
      <c r="P665" s="579"/>
      <c r="Q665" s="579"/>
    </row>
    <row r="666" spans="1:17" s="624" customFormat="1" x14ac:dyDescent="0.25">
      <c r="A666" s="551" t="str">
        <f>+Info!$B$2</f>
        <v>724</v>
      </c>
      <c r="B666" s="226" t="s">
        <v>1959</v>
      </c>
      <c r="C666" s="226" t="str">
        <f t="shared" si="80"/>
        <v>3.10.20.50.000.000.00.000</v>
      </c>
      <c r="D666" s="633"/>
      <c r="F666" s="633"/>
      <c r="G666" s="633"/>
      <c r="H666" s="633"/>
      <c r="I666" s="633"/>
      <c r="J666" s="579"/>
      <c r="K666" s="579"/>
      <c r="L666" s="579"/>
      <c r="M666" s="579"/>
      <c r="N666" s="579"/>
      <c r="O666" s="631">
        <f t="shared" si="82"/>
        <v>0</v>
      </c>
      <c r="P666" s="579"/>
      <c r="Q666" s="579"/>
    </row>
    <row r="667" spans="1:17" s="624" customFormat="1" x14ac:dyDescent="0.25">
      <c r="A667" s="551" t="str">
        <f>+Info!$B$2</f>
        <v>724</v>
      </c>
      <c r="B667" s="226" t="s">
        <v>1959</v>
      </c>
      <c r="C667" s="226" t="str">
        <f t="shared" si="80"/>
        <v>3.10.20.50.000.000.00.000</v>
      </c>
      <c r="D667" s="633"/>
      <c r="F667" s="633"/>
      <c r="G667" s="633"/>
      <c r="H667" s="633"/>
      <c r="I667" s="633"/>
      <c r="J667" s="579"/>
      <c r="K667" s="579"/>
      <c r="L667" s="579"/>
      <c r="M667" s="579"/>
      <c r="N667" s="579"/>
      <c r="O667" s="631">
        <f t="shared" si="82"/>
        <v>0</v>
      </c>
      <c r="P667" s="579"/>
      <c r="Q667" s="579"/>
    </row>
    <row r="668" spans="1:17" s="624" customFormat="1" x14ac:dyDescent="0.25">
      <c r="A668" s="551" t="str">
        <f>+Info!$B$2</f>
        <v>724</v>
      </c>
      <c r="B668" s="226" t="s">
        <v>1959</v>
      </c>
      <c r="C668" s="226" t="str">
        <f t="shared" si="80"/>
        <v>3.10.20.50.000.000.00.000</v>
      </c>
      <c r="D668" s="633"/>
      <c r="F668" s="633"/>
      <c r="G668" s="633"/>
      <c r="H668" s="633"/>
      <c r="I668" s="633"/>
      <c r="J668" s="579"/>
      <c r="K668" s="579"/>
      <c r="L668" s="579"/>
      <c r="M668" s="579"/>
      <c r="N668" s="579"/>
      <c r="O668" s="631">
        <f t="shared" si="82"/>
        <v>0</v>
      </c>
      <c r="P668" s="579"/>
      <c r="Q668" s="579"/>
    </row>
    <row r="669" spans="1:17" s="624" customFormat="1" x14ac:dyDescent="0.25">
      <c r="A669" s="551" t="str">
        <f>+Info!$B$2</f>
        <v>724</v>
      </c>
      <c r="B669" s="226" t="s">
        <v>1959</v>
      </c>
      <c r="C669" s="226" t="str">
        <f t="shared" si="80"/>
        <v>3.10.20.50.000.000.00.000</v>
      </c>
      <c r="D669" s="633"/>
      <c r="F669" s="633"/>
      <c r="G669" s="633"/>
      <c r="H669" s="633"/>
      <c r="I669" s="633"/>
      <c r="J669" s="579"/>
      <c r="K669" s="579"/>
      <c r="L669" s="579"/>
      <c r="M669" s="579"/>
      <c r="N669" s="579"/>
      <c r="O669" s="631">
        <f t="shared" si="82"/>
        <v>0</v>
      </c>
      <c r="P669" s="579"/>
      <c r="Q669" s="579"/>
    </row>
    <row r="670" spans="1:17" s="624" customFormat="1" x14ac:dyDescent="0.25">
      <c r="A670" s="551" t="str">
        <f>+Info!$B$2</f>
        <v>724</v>
      </c>
      <c r="B670" s="226" t="s">
        <v>1959</v>
      </c>
      <c r="C670" s="226" t="str">
        <f t="shared" si="80"/>
        <v>3.10.20.50.000.000.00.000</v>
      </c>
      <c r="D670" s="633"/>
      <c r="F670" s="633"/>
      <c r="G670" s="633"/>
      <c r="H670" s="633"/>
      <c r="I670" s="633"/>
      <c r="J670" s="579"/>
      <c r="K670" s="579"/>
      <c r="L670" s="579"/>
      <c r="M670" s="579"/>
      <c r="N670" s="579"/>
      <c r="O670" s="631">
        <f t="shared" si="82"/>
        <v>0</v>
      </c>
      <c r="P670" s="579"/>
      <c r="Q670" s="579"/>
    </row>
    <row r="671" spans="1:17" s="624" customFormat="1" x14ac:dyDescent="0.25">
      <c r="A671" s="551" t="str">
        <f>+Info!$B$2</f>
        <v>724</v>
      </c>
      <c r="B671" s="226" t="s">
        <v>1959</v>
      </c>
      <c r="C671" s="226" t="str">
        <f t="shared" si="80"/>
        <v>3.10.20.50.000.000.00.000</v>
      </c>
      <c r="D671" s="633"/>
      <c r="F671" s="633"/>
      <c r="G671" s="633"/>
      <c r="H671" s="633"/>
      <c r="I671" s="633"/>
      <c r="J671" s="579"/>
      <c r="K671" s="579"/>
      <c r="L671" s="579"/>
      <c r="M671" s="579"/>
      <c r="N671" s="579"/>
      <c r="O671" s="631">
        <f t="shared" si="82"/>
        <v>0</v>
      </c>
      <c r="P671" s="579"/>
      <c r="Q671" s="579"/>
    </row>
    <row r="672" spans="1:17" s="624" customFormat="1" x14ac:dyDescent="0.25">
      <c r="A672" s="551" t="str">
        <f>+Info!$B$2</f>
        <v>724</v>
      </c>
      <c r="B672" s="226" t="s">
        <v>1959</v>
      </c>
      <c r="C672" s="226" t="str">
        <f t="shared" si="80"/>
        <v>3.10.20.50.000.000.00.000</v>
      </c>
      <c r="D672" s="633"/>
      <c r="F672" s="633"/>
      <c r="G672" s="633"/>
      <c r="H672" s="633"/>
      <c r="I672" s="633"/>
      <c r="J672" s="579"/>
      <c r="K672" s="579"/>
      <c r="L672" s="579"/>
      <c r="M672" s="579"/>
      <c r="N672" s="579"/>
      <c r="O672" s="631">
        <f t="shared" si="82"/>
        <v>0</v>
      </c>
      <c r="P672" s="579"/>
      <c r="Q672" s="579"/>
    </row>
    <row r="673" spans="1:17" s="624" customFormat="1" x14ac:dyDescent="0.25">
      <c r="A673" s="551" t="str">
        <f>+Info!$B$2</f>
        <v>724</v>
      </c>
      <c r="B673" s="226" t="s">
        <v>1959</v>
      </c>
      <c r="C673" s="226" t="str">
        <f t="shared" si="80"/>
        <v>3.10.20.50.000.000.00.000</v>
      </c>
      <c r="D673" s="633"/>
      <c r="F673" s="633"/>
      <c r="G673" s="633"/>
      <c r="H673" s="633"/>
      <c r="I673" s="633"/>
      <c r="J673" s="579"/>
      <c r="K673" s="579"/>
      <c r="L673" s="579"/>
      <c r="M673" s="579"/>
      <c r="N673" s="579"/>
      <c r="O673" s="631">
        <f t="shared" si="82"/>
        <v>0</v>
      </c>
      <c r="P673" s="579"/>
      <c r="Q673" s="579"/>
    </row>
    <row r="674" spans="1:17" s="624" customFormat="1" x14ac:dyDescent="0.25">
      <c r="A674" s="551" t="str">
        <f>+Info!$B$2</f>
        <v>724</v>
      </c>
      <c r="B674" s="226" t="s">
        <v>1959</v>
      </c>
      <c r="C674" s="226" t="str">
        <f t="shared" si="80"/>
        <v>3.10.20.50.000.000.00.000</v>
      </c>
      <c r="D674" s="633"/>
      <c r="F674" s="633"/>
      <c r="G674" s="633"/>
      <c r="H674" s="633"/>
      <c r="I674" s="633"/>
      <c r="J674" s="579"/>
      <c r="K674" s="579"/>
      <c r="L674" s="579"/>
      <c r="M674" s="579"/>
      <c r="N674" s="579"/>
      <c r="O674" s="631">
        <f t="shared" si="82"/>
        <v>0</v>
      </c>
      <c r="P674" s="579"/>
      <c r="Q674" s="579"/>
    </row>
    <row r="675" spans="1:17" s="624" customFormat="1" x14ac:dyDescent="0.25">
      <c r="A675" s="551" t="str">
        <f>+Info!$B$2</f>
        <v>724</v>
      </c>
      <c r="B675" s="226" t="s">
        <v>1959</v>
      </c>
      <c r="C675" s="226" t="str">
        <f t="shared" si="80"/>
        <v>3.10.20.50.000.000.00.000</v>
      </c>
      <c r="D675" s="633"/>
      <c r="F675" s="633"/>
      <c r="G675" s="633"/>
      <c r="H675" s="633"/>
      <c r="I675" s="633"/>
      <c r="J675" s="579"/>
      <c r="K675" s="579"/>
      <c r="L675" s="579"/>
      <c r="M675" s="579"/>
      <c r="N675" s="579"/>
      <c r="O675" s="631">
        <f t="shared" si="82"/>
        <v>0</v>
      </c>
      <c r="P675" s="579"/>
      <c r="Q675" s="579"/>
    </row>
    <row r="676" spans="1:17" s="624" customFormat="1" x14ac:dyDescent="0.25">
      <c r="A676" s="551" t="str">
        <f>+Info!$B$2</f>
        <v>724</v>
      </c>
      <c r="B676" s="226" t="s">
        <v>1959</v>
      </c>
      <c r="C676" s="226" t="str">
        <f t="shared" si="80"/>
        <v>3.10.20.50.000.000.00.000</v>
      </c>
      <c r="D676" s="633"/>
      <c r="F676" s="633"/>
      <c r="G676" s="633"/>
      <c r="H676" s="633"/>
      <c r="I676" s="633"/>
      <c r="J676" s="579"/>
      <c r="K676" s="579"/>
      <c r="L676" s="579"/>
      <c r="M676" s="579"/>
      <c r="N676" s="579"/>
      <c r="O676" s="631">
        <f t="shared" si="82"/>
        <v>0</v>
      </c>
      <c r="P676" s="579"/>
      <c r="Q676" s="579"/>
    </row>
    <row r="677" spans="1:17" s="624" customFormat="1" x14ac:dyDescent="0.25">
      <c r="A677" s="551" t="str">
        <f>+Info!$B$2</f>
        <v>724</v>
      </c>
      <c r="B677" s="226" t="s">
        <v>1959</v>
      </c>
      <c r="C677" s="226" t="str">
        <f t="shared" si="80"/>
        <v>3.10.20.50.000.000.00.000</v>
      </c>
      <c r="D677" s="633"/>
      <c r="F677" s="633"/>
      <c r="G677" s="633"/>
      <c r="H677" s="633"/>
      <c r="I677" s="633"/>
      <c r="J677" s="579"/>
      <c r="K677" s="579"/>
      <c r="L677" s="579"/>
      <c r="M677" s="579"/>
      <c r="N677" s="579"/>
      <c r="O677" s="631">
        <f t="shared" si="82"/>
        <v>0</v>
      </c>
      <c r="P677" s="579"/>
      <c r="Q677" s="579"/>
    </row>
    <row r="678" spans="1:17" s="624" customFormat="1" x14ac:dyDescent="0.25">
      <c r="A678" s="551" t="str">
        <f>+Info!$B$2</f>
        <v>724</v>
      </c>
      <c r="B678" s="226" t="s">
        <v>1959</v>
      </c>
      <c r="C678" s="226" t="str">
        <f t="shared" si="80"/>
        <v>3.10.20.50.000.000.00.000</v>
      </c>
      <c r="D678" s="633"/>
      <c r="F678" s="633"/>
      <c r="G678" s="633"/>
      <c r="H678" s="633"/>
      <c r="I678" s="633"/>
      <c r="J678" s="579"/>
      <c r="K678" s="579"/>
      <c r="L678" s="579"/>
      <c r="M678" s="579"/>
      <c r="N678" s="579"/>
      <c r="O678" s="631">
        <f t="shared" si="82"/>
        <v>0</v>
      </c>
      <c r="P678" s="579"/>
      <c r="Q678" s="579"/>
    </row>
    <row r="679" spans="1:17" s="624" customFormat="1" x14ac:dyDescent="0.25">
      <c r="A679" s="551" t="str">
        <f>+Info!$B$2</f>
        <v>724</v>
      </c>
      <c r="B679" s="226" t="s">
        <v>1959</v>
      </c>
      <c r="C679" s="226" t="str">
        <f t="shared" si="80"/>
        <v>3.10.20.50.000.000.00.000</v>
      </c>
      <c r="D679" s="633"/>
      <c r="F679" s="633"/>
      <c r="G679" s="633"/>
      <c r="H679" s="633"/>
      <c r="I679" s="633"/>
      <c r="J679" s="579"/>
      <c r="K679" s="579"/>
      <c r="L679" s="579"/>
      <c r="M679" s="579"/>
      <c r="N679" s="579"/>
      <c r="O679" s="631">
        <f t="shared" si="82"/>
        <v>0</v>
      </c>
      <c r="P679" s="579"/>
      <c r="Q679" s="579"/>
    </row>
    <row r="680" spans="1:17" s="624" customFormat="1" x14ac:dyDescent="0.25">
      <c r="A680" s="551" t="str">
        <f>+Info!$B$2</f>
        <v>724</v>
      </c>
      <c r="B680" s="226" t="s">
        <v>1959</v>
      </c>
      <c r="C680" s="226" t="str">
        <f t="shared" si="80"/>
        <v>3.10.20.50.000.000.00.000</v>
      </c>
      <c r="D680" s="633"/>
      <c r="F680" s="633"/>
      <c r="G680" s="633"/>
      <c r="H680" s="633"/>
      <c r="I680" s="633"/>
      <c r="J680" s="579"/>
      <c r="K680" s="579"/>
      <c r="L680" s="579"/>
      <c r="M680" s="579"/>
      <c r="N680" s="579"/>
      <c r="O680" s="631">
        <f t="shared" si="82"/>
        <v>0</v>
      </c>
      <c r="P680" s="579"/>
      <c r="Q680" s="579"/>
    </row>
    <row r="681" spans="1:17" s="624" customFormat="1" x14ac:dyDescent="0.25">
      <c r="A681" s="551" t="str">
        <f>+Info!$B$2</f>
        <v>724</v>
      </c>
      <c r="B681" s="226" t="s">
        <v>1959</v>
      </c>
      <c r="C681" s="226" t="str">
        <f t="shared" si="80"/>
        <v>3.10.20.50.000.000.00.000</v>
      </c>
      <c r="D681" s="633"/>
      <c r="F681" s="633"/>
      <c r="G681" s="633"/>
      <c r="H681" s="633"/>
      <c r="I681" s="633"/>
      <c r="J681" s="579"/>
      <c r="K681" s="579"/>
      <c r="L681" s="579"/>
      <c r="M681" s="579"/>
      <c r="N681" s="579"/>
      <c r="O681" s="631">
        <f t="shared" si="82"/>
        <v>0</v>
      </c>
      <c r="P681" s="579"/>
      <c r="Q681" s="579"/>
    </row>
    <row r="682" spans="1:17" s="624" customFormat="1" x14ac:dyDescent="0.25">
      <c r="A682" s="551" t="str">
        <f>+Info!$B$2</f>
        <v>724</v>
      </c>
      <c r="B682" s="226" t="s">
        <v>1959</v>
      </c>
      <c r="C682" s="226" t="str">
        <f t="shared" si="80"/>
        <v>3.10.20.50.000.000.00.000</v>
      </c>
      <c r="D682" s="633"/>
      <c r="F682" s="633"/>
      <c r="G682" s="633"/>
      <c r="H682" s="633"/>
      <c r="I682" s="633"/>
      <c r="J682" s="579"/>
      <c r="K682" s="579"/>
      <c r="L682" s="579"/>
      <c r="M682" s="579"/>
      <c r="N682" s="579"/>
      <c r="O682" s="631">
        <f t="shared" si="82"/>
        <v>0</v>
      </c>
      <c r="P682" s="579"/>
      <c r="Q682" s="579"/>
    </row>
    <row r="683" spans="1:17" s="624" customFormat="1" x14ac:dyDescent="0.25">
      <c r="A683" s="551" t="str">
        <f>+Info!$B$2</f>
        <v>724</v>
      </c>
      <c r="B683" s="226" t="s">
        <v>1959</v>
      </c>
      <c r="C683" s="226" t="str">
        <f t="shared" si="80"/>
        <v>3.10.20.50.000.000.00.000</v>
      </c>
      <c r="D683" s="633"/>
      <c r="F683" s="633"/>
      <c r="G683" s="633"/>
      <c r="H683" s="633"/>
      <c r="I683" s="633"/>
      <c r="J683" s="579"/>
      <c r="K683" s="579"/>
      <c r="L683" s="579"/>
      <c r="M683" s="579"/>
      <c r="N683" s="579"/>
      <c r="O683" s="631">
        <f t="shared" si="82"/>
        <v>0</v>
      </c>
      <c r="P683" s="579"/>
      <c r="Q683" s="579"/>
    </row>
    <row r="684" spans="1:17" s="624" customFormat="1" x14ac:dyDescent="0.25">
      <c r="A684" s="551" t="str">
        <f>+Info!$B$2</f>
        <v>724</v>
      </c>
      <c r="B684" s="226" t="s">
        <v>1959</v>
      </c>
      <c r="C684" s="226" t="str">
        <f t="shared" si="80"/>
        <v>3.10.20.50.000.000.00.000</v>
      </c>
      <c r="D684" s="633"/>
      <c r="F684" s="633"/>
      <c r="G684" s="633"/>
      <c r="H684" s="633"/>
      <c r="I684" s="633"/>
      <c r="J684" s="579"/>
      <c r="K684" s="579"/>
      <c r="L684" s="579"/>
      <c r="M684" s="579"/>
      <c r="N684" s="579"/>
      <c r="O684" s="631">
        <f t="shared" si="82"/>
        <v>0</v>
      </c>
      <c r="P684" s="579"/>
      <c r="Q684" s="579"/>
    </row>
    <row r="685" spans="1:17" s="624" customFormat="1" x14ac:dyDescent="0.25">
      <c r="A685" s="551" t="str">
        <f>+Info!$B$2</f>
        <v>724</v>
      </c>
      <c r="B685" s="226" t="s">
        <v>1959</v>
      </c>
      <c r="C685" s="226" t="str">
        <f t="shared" si="80"/>
        <v>3.10.20.50.000.000.00.000</v>
      </c>
      <c r="D685" s="633"/>
      <c r="F685" s="633"/>
      <c r="G685" s="633"/>
      <c r="H685" s="633"/>
      <c r="I685" s="633"/>
      <c r="J685" s="579"/>
      <c r="K685" s="579"/>
      <c r="L685" s="579"/>
      <c r="M685" s="579"/>
      <c r="N685" s="579"/>
      <c r="O685" s="631">
        <f t="shared" si="82"/>
        <v>0</v>
      </c>
      <c r="P685" s="579"/>
      <c r="Q685" s="579"/>
    </row>
    <row r="686" spans="1:17" s="624" customFormat="1" x14ac:dyDescent="0.25">
      <c r="A686" s="551" t="str">
        <f>+Info!$B$2</f>
        <v>724</v>
      </c>
      <c r="B686" s="226" t="s">
        <v>1959</v>
      </c>
      <c r="C686" s="226" t="str">
        <f t="shared" si="80"/>
        <v>3.10.20.50.000.000.00.000</v>
      </c>
      <c r="D686" s="633"/>
      <c r="F686" s="633"/>
      <c r="G686" s="633"/>
      <c r="H686" s="633"/>
      <c r="I686" s="633"/>
      <c r="J686" s="579"/>
      <c r="K686" s="579"/>
      <c r="L686" s="579"/>
      <c r="M686" s="579"/>
      <c r="N686" s="579"/>
      <c r="O686" s="631">
        <f t="shared" si="82"/>
        <v>0</v>
      </c>
      <c r="P686" s="579"/>
      <c r="Q686" s="579"/>
    </row>
    <row r="687" spans="1:17" s="624" customFormat="1" x14ac:dyDescent="0.25">
      <c r="A687" s="551" t="str">
        <f>+Info!$B$2</f>
        <v>724</v>
      </c>
      <c r="B687" s="226" t="s">
        <v>1959</v>
      </c>
      <c r="C687" s="226" t="str">
        <f t="shared" si="80"/>
        <v>3.10.20.50.000.000.00.000</v>
      </c>
      <c r="D687" s="633"/>
      <c r="F687" s="633"/>
      <c r="G687" s="633"/>
      <c r="H687" s="633"/>
      <c r="I687" s="633"/>
      <c r="J687" s="579"/>
      <c r="K687" s="579"/>
      <c r="L687" s="579"/>
      <c r="M687" s="579"/>
      <c r="N687" s="579"/>
      <c r="O687" s="631">
        <f t="shared" si="82"/>
        <v>0</v>
      </c>
      <c r="P687" s="579"/>
      <c r="Q687" s="579"/>
    </row>
    <row r="688" spans="1:17" s="624" customFormat="1" x14ac:dyDescent="0.25">
      <c r="A688" s="551" t="str">
        <f>+Info!$B$2</f>
        <v>724</v>
      </c>
      <c r="B688" s="638" t="s">
        <v>1959</v>
      </c>
      <c r="C688" s="638" t="str">
        <f t="shared" si="80"/>
        <v>3.10.20.50.000.000.00.000</v>
      </c>
      <c r="D688" s="633"/>
      <c r="E688" s="639"/>
      <c r="F688" s="633"/>
      <c r="G688" s="633"/>
      <c r="H688" s="633"/>
      <c r="I688" s="633"/>
      <c r="J688" s="579"/>
      <c r="K688" s="579"/>
      <c r="L688" s="579"/>
      <c r="M688" s="579"/>
      <c r="N688" s="579"/>
      <c r="O688" s="631">
        <f t="shared" si="82"/>
        <v>0</v>
      </c>
      <c r="P688" s="579"/>
      <c r="Q688" s="579"/>
    </row>
    <row r="689" spans="1:9" s="624" customFormat="1" x14ac:dyDescent="0.25">
      <c r="A689" s="551" t="str">
        <f>+Info!$B$2</f>
        <v>724</v>
      </c>
      <c r="B689" s="640" t="e">
        <f t="shared" ref="B689:B711" si="83">NA()</f>
        <v>#N/A</v>
      </c>
      <c r="C689" s="640"/>
    </row>
    <row r="690" spans="1:9" s="624" customFormat="1" x14ac:dyDescent="0.25">
      <c r="A690" s="551" t="str">
        <f>+Info!$B$2</f>
        <v>724</v>
      </c>
      <c r="B690" s="640" t="e">
        <f t="shared" si="83"/>
        <v>#N/A</v>
      </c>
      <c r="C690" s="640"/>
    </row>
    <row r="691" spans="1:9" s="624" customFormat="1" ht="11.25" customHeight="1" x14ac:dyDescent="0.25">
      <c r="A691" s="551" t="str">
        <f>+Info!$B$2</f>
        <v>724</v>
      </c>
      <c r="B691" s="640" t="e">
        <f t="shared" si="83"/>
        <v>#N/A</v>
      </c>
      <c r="C691" s="640"/>
      <c r="D691" s="921" t="s">
        <v>4362</v>
      </c>
      <c r="E691" s="623"/>
      <c r="F691" s="905" t="s">
        <v>4271</v>
      </c>
      <c r="G691" s="905"/>
      <c r="H691" s="905"/>
      <c r="I691" s="919" t="s">
        <v>3815</v>
      </c>
    </row>
    <row r="692" spans="1:9" s="624" customFormat="1" ht="36" x14ac:dyDescent="0.25">
      <c r="A692" s="551" t="str">
        <f>+Info!$B$2</f>
        <v>724</v>
      </c>
      <c r="B692" s="640" t="e">
        <f t="shared" si="83"/>
        <v>#N/A</v>
      </c>
      <c r="C692" s="640"/>
      <c r="D692" s="921"/>
      <c r="E692" s="623"/>
      <c r="F692" s="340" t="str">
        <f>"Valore
al 31/12/"&amp;Info!$B$3-3&amp;" e precedenti"</f>
        <v>Valore
al 31/12/2017 e precedenti</v>
      </c>
      <c r="G692" s="340" t="str">
        <f>"Valore
al 31/12/"&amp;Info!$B$3-2</f>
        <v>Valore
al 31/12/2018</v>
      </c>
      <c r="H692" s="340" t="str">
        <f>"Valore
al 31/12/"&amp;Info!$B$3-1&amp;" (valore iniziale)"</f>
        <v>Valore
al 31/12/2019 (valore iniziale)</v>
      </c>
      <c r="I692" s="919"/>
    </row>
    <row r="693" spans="1:9" s="624" customFormat="1" ht="11.25" customHeight="1" x14ac:dyDescent="0.25">
      <c r="A693" s="551" t="str">
        <f>+Info!$B$2</f>
        <v>724</v>
      </c>
      <c r="B693" s="640" t="e">
        <f t="shared" si="83"/>
        <v>#N/A</v>
      </c>
      <c r="C693" s="640"/>
      <c r="D693" s="641" t="s">
        <v>3517</v>
      </c>
      <c r="F693" s="633"/>
      <c r="G693" s="642">
        <f>+F698</f>
        <v>0</v>
      </c>
      <c r="H693" s="642">
        <f>+G698</f>
        <v>0</v>
      </c>
      <c r="I693" s="642">
        <f>+H698</f>
        <v>0</v>
      </c>
    </row>
    <row r="694" spans="1:9" s="624" customFormat="1" ht="11.25" customHeight="1" x14ac:dyDescent="0.25">
      <c r="A694" s="551" t="str">
        <f>+Info!$B$2</f>
        <v>724</v>
      </c>
      <c r="B694" s="640" t="e">
        <f t="shared" si="83"/>
        <v>#N/A</v>
      </c>
      <c r="C694" s="640"/>
      <c r="D694" s="641" t="s">
        <v>3878</v>
      </c>
      <c r="F694" s="633"/>
      <c r="G694" s="633"/>
      <c r="H694" s="633"/>
      <c r="I694" s="633"/>
    </row>
    <row r="695" spans="1:9" s="624" customFormat="1" ht="11.25" customHeight="1" x14ac:dyDescent="0.25">
      <c r="A695" s="551" t="str">
        <f>+Info!$B$2</f>
        <v>724</v>
      </c>
      <c r="B695" s="640" t="e">
        <f t="shared" si="83"/>
        <v>#N/A</v>
      </c>
      <c r="C695" s="640"/>
      <c r="D695" s="641" t="s">
        <v>4210</v>
      </c>
      <c r="F695" s="633"/>
      <c r="G695" s="633"/>
      <c r="H695" s="633"/>
      <c r="I695" s="633"/>
    </row>
    <row r="696" spans="1:9" s="624" customFormat="1" ht="11.25" customHeight="1" x14ac:dyDescent="0.25">
      <c r="A696" s="551" t="str">
        <f>+Info!$B$2</f>
        <v>724</v>
      </c>
      <c r="B696" s="640" t="e">
        <f t="shared" si="83"/>
        <v>#N/A</v>
      </c>
      <c r="C696" s="640"/>
      <c r="D696" s="641" t="s">
        <v>4363</v>
      </c>
      <c r="F696" s="633"/>
      <c r="G696" s="633"/>
      <c r="H696" s="633"/>
      <c r="I696" s="633"/>
    </row>
    <row r="697" spans="1:9" s="624" customFormat="1" ht="11.25" customHeight="1" x14ac:dyDescent="0.25">
      <c r="A697" s="551" t="str">
        <f>+Info!$B$2</f>
        <v>724</v>
      </c>
      <c r="B697" s="640" t="e">
        <f t="shared" si="83"/>
        <v>#N/A</v>
      </c>
      <c r="C697" s="640"/>
      <c r="D697" s="641" t="s">
        <v>3881</v>
      </c>
      <c r="F697" s="633"/>
      <c r="G697" s="633"/>
      <c r="H697" s="633"/>
      <c r="I697" s="633"/>
    </row>
    <row r="698" spans="1:9" s="624" customFormat="1" ht="18" customHeight="1" x14ac:dyDescent="0.25">
      <c r="A698" s="551" t="str">
        <f>+Info!$B$2</f>
        <v>724</v>
      </c>
      <c r="B698" s="640" t="e">
        <f t="shared" si="83"/>
        <v>#N/A</v>
      </c>
      <c r="C698" s="640"/>
      <c r="D698" s="643" t="s">
        <v>3815</v>
      </c>
      <c r="F698" s="644">
        <f>+F693+F694+F695-F696+F697</f>
        <v>0</v>
      </c>
      <c r="G698" s="644">
        <f>+G693+G694+G695-G696+G697</f>
        <v>0</v>
      </c>
      <c r="H698" s="644">
        <f>+H693+H694+H695-H696+H697</f>
        <v>0</v>
      </c>
      <c r="I698" s="644">
        <f>+I693+I694+I695-I696+I697</f>
        <v>0</v>
      </c>
    </row>
    <row r="699" spans="1:9" s="624" customFormat="1" x14ac:dyDescent="0.25">
      <c r="A699" s="551" t="str">
        <f>+Info!$B$2</f>
        <v>724</v>
      </c>
      <c r="B699" s="640" t="e">
        <f t="shared" si="83"/>
        <v>#N/A</v>
      </c>
      <c r="C699" s="640"/>
    </row>
    <row r="700" spans="1:9" s="624" customFormat="1" x14ac:dyDescent="0.25">
      <c r="A700" s="551" t="str">
        <f>+Info!$B$2</f>
        <v>724</v>
      </c>
      <c r="B700" s="640" t="e">
        <f t="shared" si="83"/>
        <v>#N/A</v>
      </c>
      <c r="C700" s="640"/>
    </row>
    <row r="701" spans="1:9" s="624" customFormat="1" ht="11.25" customHeight="1" x14ac:dyDescent="0.25">
      <c r="A701" s="551" t="str">
        <f>+Info!$B$2</f>
        <v>724</v>
      </c>
      <c r="B701" s="640" t="e">
        <f t="shared" si="83"/>
        <v>#N/A</v>
      </c>
      <c r="C701" s="640"/>
      <c r="D701" s="921" t="s">
        <v>4364</v>
      </c>
      <c r="E701" s="623"/>
      <c r="F701" s="905" t="s">
        <v>4271</v>
      </c>
      <c r="G701" s="905"/>
      <c r="H701" s="905"/>
      <c r="I701" s="919" t="s">
        <v>3815</v>
      </c>
    </row>
    <row r="702" spans="1:9" s="624" customFormat="1" ht="36" x14ac:dyDescent="0.25">
      <c r="A702" s="551" t="str">
        <f>+Info!$B$2</f>
        <v>724</v>
      </c>
      <c r="B702" s="640" t="e">
        <f t="shared" si="83"/>
        <v>#N/A</v>
      </c>
      <c r="C702" s="640"/>
      <c r="D702" s="921"/>
      <c r="E702" s="623"/>
      <c r="F702" s="340" t="str">
        <f>+F692</f>
        <v>Valore
al 31/12/2017 e precedenti</v>
      </c>
      <c r="G702" s="340" t="str">
        <f>+G692</f>
        <v>Valore
al 31/12/2018</v>
      </c>
      <c r="H702" s="340" t="str">
        <f>+H692</f>
        <v>Valore
al 31/12/2019 (valore iniziale)</v>
      </c>
      <c r="I702" s="919"/>
    </row>
    <row r="703" spans="1:9" s="624" customFormat="1" ht="11.25" customHeight="1" x14ac:dyDescent="0.25">
      <c r="A703" s="551" t="str">
        <f>+Info!$B$2</f>
        <v>724</v>
      </c>
      <c r="B703" s="640" t="e">
        <f t="shared" si="83"/>
        <v>#N/A</v>
      </c>
      <c r="C703" s="640"/>
      <c r="D703" s="641" t="s">
        <v>3517</v>
      </c>
      <c r="F703" s="633"/>
      <c r="G703" s="642">
        <f>+F708</f>
        <v>0</v>
      </c>
      <c r="H703" s="642">
        <f>+G708</f>
        <v>0</v>
      </c>
      <c r="I703" s="642">
        <f>+H708</f>
        <v>0</v>
      </c>
    </row>
    <row r="704" spans="1:9" s="624" customFormat="1" ht="11.25" customHeight="1" x14ac:dyDescent="0.25">
      <c r="A704" s="551" t="str">
        <f>+Info!$B$2</f>
        <v>724</v>
      </c>
      <c r="B704" s="640" t="e">
        <f t="shared" si="83"/>
        <v>#N/A</v>
      </c>
      <c r="C704" s="640"/>
      <c r="D704" s="641" t="s">
        <v>3878</v>
      </c>
      <c r="F704" s="633"/>
      <c r="G704" s="633"/>
      <c r="H704" s="633"/>
      <c r="I704" s="633"/>
    </row>
    <row r="705" spans="1:32" s="624" customFormat="1" ht="11.25" customHeight="1" x14ac:dyDescent="0.25">
      <c r="A705" s="551" t="str">
        <f>+Info!$B$2</f>
        <v>724</v>
      </c>
      <c r="B705" s="640" t="e">
        <f t="shared" si="83"/>
        <v>#N/A</v>
      </c>
      <c r="C705" s="640"/>
      <c r="D705" s="641" t="s">
        <v>4210</v>
      </c>
      <c r="F705" s="633"/>
      <c r="G705" s="633"/>
      <c r="H705" s="633"/>
      <c r="I705" s="633"/>
    </row>
    <row r="706" spans="1:32" s="624" customFormat="1" ht="11.25" customHeight="1" x14ac:dyDescent="0.25">
      <c r="A706" s="551" t="str">
        <f>+Info!$B$2</f>
        <v>724</v>
      </c>
      <c r="B706" s="640" t="e">
        <f t="shared" si="83"/>
        <v>#N/A</v>
      </c>
      <c r="C706" s="640"/>
      <c r="D706" s="641" t="s">
        <v>4363</v>
      </c>
      <c r="F706" s="633"/>
      <c r="G706" s="633"/>
      <c r="H706" s="633"/>
      <c r="I706" s="633"/>
    </row>
    <row r="707" spans="1:32" s="624" customFormat="1" ht="11.25" customHeight="1" x14ac:dyDescent="0.25">
      <c r="A707" s="551" t="str">
        <f>+Info!$B$2</f>
        <v>724</v>
      </c>
      <c r="B707" s="640" t="e">
        <f t="shared" si="83"/>
        <v>#N/A</v>
      </c>
      <c r="C707" s="640"/>
      <c r="D707" s="641" t="s">
        <v>3881</v>
      </c>
      <c r="F707" s="633"/>
      <c r="G707" s="633"/>
      <c r="H707" s="633"/>
      <c r="I707" s="633"/>
    </row>
    <row r="708" spans="1:32" s="624" customFormat="1" ht="18" customHeight="1" x14ac:dyDescent="0.25">
      <c r="A708" s="551" t="str">
        <f>+Info!$B$2</f>
        <v>724</v>
      </c>
      <c r="B708" s="640" t="e">
        <f t="shared" si="83"/>
        <v>#N/A</v>
      </c>
      <c r="C708" s="640"/>
      <c r="D708" s="643" t="s">
        <v>3815</v>
      </c>
      <c r="F708" s="644">
        <f>+F703+F704+F705-F706+F707</f>
        <v>0</v>
      </c>
      <c r="G708" s="644">
        <f>+G703+G704+G705-G706+G707</f>
        <v>0</v>
      </c>
      <c r="H708" s="644">
        <f>+H703+H704+H705-H706+H707</f>
        <v>0</v>
      </c>
      <c r="I708" s="644">
        <f>+I703+I704+I705-I706+I707</f>
        <v>0</v>
      </c>
    </row>
    <row r="709" spans="1:32" x14ac:dyDescent="0.25">
      <c r="A709" s="551" t="str">
        <f>+Info!$B$2</f>
        <v>724</v>
      </c>
      <c r="B709" s="551" t="e">
        <f t="shared" si="83"/>
        <v>#N/A</v>
      </c>
    </row>
    <row r="710" spans="1:32" s="624" customFormat="1" ht="24" customHeight="1" x14ac:dyDescent="0.25">
      <c r="A710" s="551" t="str">
        <f>+Info!$B$2</f>
        <v>724</v>
      </c>
      <c r="B710" s="640" t="e">
        <f t="shared" si="83"/>
        <v>#N/A</v>
      </c>
      <c r="C710" s="640"/>
      <c r="D710" s="919" t="s">
        <v>4365</v>
      </c>
      <c r="E710" s="623"/>
      <c r="F710" s="919" t="s">
        <v>4366</v>
      </c>
      <c r="G710" s="919" t="s">
        <v>4367</v>
      </c>
      <c r="H710" s="919" t="s">
        <v>4368</v>
      </c>
      <c r="I710" s="920" t="s">
        <v>4369</v>
      </c>
      <c r="J710" s="919" t="s">
        <v>4370</v>
      </c>
      <c r="K710" s="919" t="s">
        <v>4371</v>
      </c>
      <c r="L710" s="919" t="s">
        <v>4372</v>
      </c>
      <c r="M710" s="919" t="s">
        <v>4373</v>
      </c>
    </row>
    <row r="711" spans="1:32" s="624" customFormat="1" ht="24" customHeight="1" x14ac:dyDescent="0.25">
      <c r="A711" s="551" t="str">
        <f>+Info!$B$2</f>
        <v>724</v>
      </c>
      <c r="B711" s="640" t="e">
        <f t="shared" si="83"/>
        <v>#N/A</v>
      </c>
      <c r="C711" s="640"/>
      <c r="D711" s="919"/>
      <c r="E711" s="623"/>
      <c r="F711" s="919"/>
      <c r="G711" s="919"/>
      <c r="H711" s="919"/>
      <c r="I711" s="920"/>
      <c r="J711" s="919"/>
      <c r="K711" s="919"/>
      <c r="L711" s="919"/>
      <c r="M711" s="919"/>
    </row>
    <row r="712" spans="1:32" s="624" customFormat="1" x14ac:dyDescent="0.25">
      <c r="A712" s="551" t="str">
        <f>+Info!$B$2</f>
        <v>724</v>
      </c>
      <c r="B712" s="274" t="s">
        <v>2260</v>
      </c>
      <c r="C712" s="274" t="str">
        <f t="shared" ref="C712:C718" si="84">$C$719</f>
        <v>3.40.10.00.000.000.00.000</v>
      </c>
      <c r="D712" s="563"/>
      <c r="F712" s="563"/>
      <c r="G712" s="563"/>
      <c r="H712" s="563"/>
      <c r="I712" s="579"/>
      <c r="J712" s="563"/>
      <c r="K712" s="579"/>
      <c r="L712" s="564"/>
      <c r="M712" s="563"/>
    </row>
    <row r="713" spans="1:32" s="624" customFormat="1" x14ac:dyDescent="0.25">
      <c r="A713" s="551" t="str">
        <f>+Info!$B$2</f>
        <v>724</v>
      </c>
      <c r="B713" s="274" t="s">
        <v>2260</v>
      </c>
      <c r="C713" s="274" t="str">
        <f t="shared" si="84"/>
        <v>3.40.10.00.000.000.00.000</v>
      </c>
      <c r="D713" s="563"/>
      <c r="F713" s="563"/>
      <c r="G713" s="563"/>
      <c r="H713" s="563"/>
      <c r="I713" s="579"/>
      <c r="J713" s="563"/>
      <c r="K713" s="579"/>
      <c r="L713" s="564"/>
      <c r="M713" s="563"/>
    </row>
    <row r="714" spans="1:32" s="624" customFormat="1" x14ac:dyDescent="0.25">
      <c r="A714" s="551" t="str">
        <f>+Info!$B$2</f>
        <v>724</v>
      </c>
      <c r="B714" s="274" t="s">
        <v>2260</v>
      </c>
      <c r="C714" s="274" t="str">
        <f t="shared" si="84"/>
        <v>3.40.10.00.000.000.00.000</v>
      </c>
      <c r="D714" s="563"/>
      <c r="F714" s="563"/>
      <c r="G714" s="563"/>
      <c r="H714" s="563"/>
      <c r="I714" s="579"/>
      <c r="J714" s="563"/>
      <c r="K714" s="579"/>
      <c r="L714" s="564"/>
      <c r="M714" s="563"/>
    </row>
    <row r="715" spans="1:32" s="624" customFormat="1" x14ac:dyDescent="0.25">
      <c r="A715" s="551" t="str">
        <f>+Info!$B$2</f>
        <v>724</v>
      </c>
      <c r="B715" s="274" t="s">
        <v>2260</v>
      </c>
      <c r="C715" s="274" t="str">
        <f t="shared" si="84"/>
        <v>3.40.10.00.000.000.00.000</v>
      </c>
      <c r="D715" s="563"/>
      <c r="F715" s="563"/>
      <c r="G715" s="563"/>
      <c r="H715" s="563"/>
      <c r="I715" s="579"/>
      <c r="J715" s="563"/>
      <c r="K715" s="579"/>
      <c r="L715" s="564"/>
      <c r="M715" s="563"/>
    </row>
    <row r="716" spans="1:32" s="624" customFormat="1" x14ac:dyDescent="0.25">
      <c r="A716" s="551" t="str">
        <f>+Info!$B$2</f>
        <v>724</v>
      </c>
      <c r="B716" s="274" t="s">
        <v>2260</v>
      </c>
      <c r="C716" s="274" t="str">
        <f t="shared" si="84"/>
        <v>3.40.10.00.000.000.00.000</v>
      </c>
      <c r="D716" s="563"/>
      <c r="F716" s="563"/>
      <c r="G716" s="563"/>
      <c r="H716" s="563"/>
      <c r="I716" s="579"/>
      <c r="J716" s="563"/>
      <c r="K716" s="579"/>
      <c r="L716" s="564"/>
      <c r="M716" s="563"/>
    </row>
    <row r="717" spans="1:32" s="624" customFormat="1" x14ac:dyDescent="0.25">
      <c r="A717" s="551" t="str">
        <f>+Info!$B$2</f>
        <v>724</v>
      </c>
      <c r="B717" s="274" t="s">
        <v>2260</v>
      </c>
      <c r="C717" s="274" t="str">
        <f t="shared" si="84"/>
        <v>3.40.10.00.000.000.00.000</v>
      </c>
      <c r="D717" s="563"/>
      <c r="F717" s="563"/>
      <c r="G717" s="563"/>
      <c r="H717" s="563"/>
      <c r="I717" s="579"/>
      <c r="J717" s="563"/>
      <c r="K717" s="579"/>
      <c r="L717" s="564"/>
      <c r="M717" s="563"/>
    </row>
    <row r="718" spans="1:32" s="624" customFormat="1" ht="15" customHeight="1" x14ac:dyDescent="0.25">
      <c r="A718" s="551" t="str">
        <f>+Info!$B$2</f>
        <v>724</v>
      </c>
      <c r="B718" s="274" t="s">
        <v>2260</v>
      </c>
      <c r="C718" s="274" t="str">
        <f t="shared" si="84"/>
        <v>3.40.10.00.000.000.00.000</v>
      </c>
      <c r="D718" s="563"/>
      <c r="F718" s="563"/>
      <c r="G718" s="563"/>
      <c r="H718" s="563"/>
      <c r="I718" s="579"/>
      <c r="J718" s="563"/>
      <c r="K718" s="579"/>
      <c r="L718" s="564"/>
      <c r="M718" s="563"/>
    </row>
    <row r="719" spans="1:32" s="624" customFormat="1" x14ac:dyDescent="0.25">
      <c r="A719" s="551" t="str">
        <f>+Info!$B$2</f>
        <v>724</v>
      </c>
      <c r="B719" s="626" t="s">
        <v>2260</v>
      </c>
      <c r="C719" s="626" t="s">
        <v>2261</v>
      </c>
      <c r="D719" s="646" t="s">
        <v>4378</v>
      </c>
      <c r="F719" s="647"/>
      <c r="G719" s="647"/>
      <c r="H719" s="647"/>
      <c r="I719" s="644">
        <f>SUM(I712:I718)</f>
        <v>0</v>
      </c>
      <c r="J719" s="647"/>
      <c r="K719" s="644">
        <f>SUM(K712:K718)</f>
        <v>0</v>
      </c>
      <c r="L719" s="612" t="str">
        <f>IF(K719=N719,"Quadratura OK!","Squadratura con dati Bilancio")</f>
        <v>Quadratura OK!</v>
      </c>
      <c r="M719" s="612"/>
      <c r="N719" s="569">
        <f>SUMIF('NI-Soc_SP'!$C:$C,$C719,'NI-Soc_SP'!$Z:$Z)</f>
        <v>0</v>
      </c>
      <c r="AC719" s="624" t="str">
        <f>C719</f>
        <v>3.40.10.00.000.000.00.000</v>
      </c>
      <c r="AD719" s="629">
        <f>K719</f>
        <v>0</v>
      </c>
      <c r="AE719" s="648">
        <f>N719</f>
        <v>0</v>
      </c>
      <c r="AF719" s="551">
        <f>IF($AD719=$AE719,0,1)</f>
        <v>0</v>
      </c>
    </row>
    <row r="720" spans="1:32" s="624" customFormat="1" x14ac:dyDescent="0.25">
      <c r="A720" s="551" t="str">
        <f>+Info!$B$2</f>
        <v>724</v>
      </c>
      <c r="B720" s="640" t="e">
        <f t="shared" ref="B720:B730" si="85">NA()</f>
        <v>#N/A</v>
      </c>
      <c r="C720" s="640"/>
    </row>
    <row r="721" spans="1:14" s="624" customFormat="1" hidden="1" x14ac:dyDescent="0.25">
      <c r="A721" s="551" t="str">
        <f>+Info!$B$2</f>
        <v>724</v>
      </c>
      <c r="B721" s="640" t="e">
        <f t="shared" si="85"/>
        <v>#N/A</v>
      </c>
      <c r="C721" s="640"/>
    </row>
    <row r="722" spans="1:14" s="649" customFormat="1" hidden="1" x14ac:dyDescent="0.25">
      <c r="A722" s="551" t="str">
        <f>+Info!$B$2</f>
        <v>724</v>
      </c>
      <c r="B722" s="640" t="e">
        <f t="shared" si="85"/>
        <v>#N/A</v>
      </c>
      <c r="C722" s="640"/>
      <c r="D722" s="624"/>
      <c r="E722" s="624"/>
      <c r="F722" s="624"/>
      <c r="G722" s="624"/>
      <c r="H722" s="624"/>
    </row>
    <row r="723" spans="1:14" s="649" customFormat="1" ht="15" hidden="1" customHeight="1" x14ac:dyDescent="0.25">
      <c r="A723" s="551" t="str">
        <f>+Info!$B$2</f>
        <v>724</v>
      </c>
      <c r="B723" s="640" t="e">
        <f t="shared" si="85"/>
        <v>#N/A</v>
      </c>
      <c r="C723" s="640"/>
      <c r="D723" s="624"/>
      <c r="E723" s="624"/>
      <c r="F723" s="624"/>
      <c r="G723" s="624"/>
      <c r="H723" s="624"/>
    </row>
    <row r="724" spans="1:14" s="649" customFormat="1" ht="15" hidden="1" customHeight="1" x14ac:dyDescent="0.25">
      <c r="A724" s="551" t="str">
        <f>+Info!$B$2</f>
        <v>724</v>
      </c>
      <c r="B724" s="640" t="e">
        <f t="shared" si="85"/>
        <v>#N/A</v>
      </c>
      <c r="C724" s="640"/>
      <c r="D724" s="624"/>
      <c r="E724" s="624"/>
      <c r="F724" s="624"/>
      <c r="G724" s="624"/>
      <c r="H724" s="624"/>
    </row>
    <row r="725" spans="1:14" s="649" customFormat="1" ht="15" hidden="1" customHeight="1" x14ac:dyDescent="0.25">
      <c r="A725" s="551" t="str">
        <f>+Info!$B$2</f>
        <v>724</v>
      </c>
      <c r="B725" s="640" t="e">
        <f t="shared" si="85"/>
        <v>#N/A</v>
      </c>
      <c r="C725" s="640"/>
      <c r="D725" s="624"/>
      <c r="E725" s="624"/>
      <c r="F725" s="624"/>
      <c r="G725" s="624"/>
      <c r="H725" s="624"/>
    </row>
    <row r="726" spans="1:14" s="649" customFormat="1" ht="15" hidden="1" customHeight="1" x14ac:dyDescent="0.25">
      <c r="A726" s="551" t="str">
        <f>+Info!$B$2</f>
        <v>724</v>
      </c>
      <c r="B726" s="640" t="e">
        <f t="shared" si="85"/>
        <v>#N/A</v>
      </c>
      <c r="C726" s="640"/>
      <c r="D726" s="624"/>
      <c r="E726" s="624"/>
      <c r="F726" s="624"/>
      <c r="G726" s="624"/>
      <c r="H726" s="624"/>
    </row>
    <row r="727" spans="1:14" s="649" customFormat="1" hidden="1" x14ac:dyDescent="0.25">
      <c r="A727" s="551" t="str">
        <f>+Info!$B$2</f>
        <v>724</v>
      </c>
      <c r="B727" s="640" t="e">
        <f t="shared" si="85"/>
        <v>#N/A</v>
      </c>
      <c r="C727" s="640"/>
      <c r="D727" s="624"/>
      <c r="E727" s="624"/>
      <c r="F727" s="624"/>
      <c r="G727" s="624"/>
      <c r="H727" s="624"/>
    </row>
    <row r="728" spans="1:14" x14ac:dyDescent="0.25">
      <c r="A728" s="551" t="str">
        <f>+Info!$B$2</f>
        <v>724</v>
      </c>
      <c r="B728" s="551" t="e">
        <f t="shared" si="85"/>
        <v>#N/A</v>
      </c>
    </row>
    <row r="729" spans="1:14" x14ac:dyDescent="0.25">
      <c r="A729" s="551" t="str">
        <f>+Info!$B$2</f>
        <v>724</v>
      </c>
      <c r="B729" s="620" t="e">
        <f t="shared" si="85"/>
        <v>#N/A</v>
      </c>
      <c r="C729" s="620"/>
      <c r="D729" s="590" t="s">
        <v>4379</v>
      </c>
      <c r="E729" s="557"/>
      <c r="F729" s="557"/>
      <c r="G729" s="557"/>
      <c r="H729" s="557"/>
      <c r="I729" s="557"/>
      <c r="J729" s="557"/>
      <c r="K729" s="557"/>
      <c r="L729" s="557"/>
      <c r="M729" s="557"/>
      <c r="N729" s="557"/>
    </row>
    <row r="730" spans="1:14" x14ac:dyDescent="0.25">
      <c r="A730" s="551" t="str">
        <f>+Info!$B$2</f>
        <v>724</v>
      </c>
      <c r="B730" s="620" t="e">
        <f t="shared" si="85"/>
        <v>#N/A</v>
      </c>
      <c r="C730" s="620"/>
      <c r="D730" s="590" t="s">
        <v>4380</v>
      </c>
      <c r="E730" s="918" t="s">
        <v>4381</v>
      </c>
      <c r="F730" s="918"/>
      <c r="G730" s="918"/>
      <c r="H730" s="558" t="str">
        <f>+H470</f>
        <v>Entro 12 mesi (2020)</v>
      </c>
      <c r="I730" s="558" t="str">
        <f>+I470</f>
        <v>Oltre 12 mesi (2020)</v>
      </c>
      <c r="J730" s="558" t="s">
        <v>4300</v>
      </c>
      <c r="K730" s="557"/>
      <c r="L730" s="557"/>
      <c r="M730" s="557"/>
      <c r="N730" s="557"/>
    </row>
    <row r="731" spans="1:14" x14ac:dyDescent="0.25">
      <c r="A731" s="551" t="str">
        <f>+Info!$B$2</f>
        <v>724</v>
      </c>
      <c r="B731" s="274" t="s">
        <v>2654</v>
      </c>
      <c r="C731" s="274" t="str">
        <f t="shared" ref="C731:C757" si="86">$C$758</f>
        <v>3.50.10.10.000.000.00.000</v>
      </c>
      <c r="D731" s="563"/>
      <c r="E731" s="917"/>
      <c r="F731" s="917"/>
      <c r="G731" s="917"/>
      <c r="H731" s="621"/>
      <c r="I731" s="621"/>
      <c r="J731" s="559">
        <f t="shared" ref="J731:J757" si="87">+H731+I731</f>
        <v>0</v>
      </c>
      <c r="K731" s="557"/>
      <c r="L731" s="557"/>
      <c r="M731" s="557"/>
      <c r="N731" s="557"/>
    </row>
    <row r="732" spans="1:14" x14ac:dyDescent="0.25">
      <c r="A732" s="551" t="str">
        <f>+Info!$B$2</f>
        <v>724</v>
      </c>
      <c r="B732" s="274" t="s">
        <v>2654</v>
      </c>
      <c r="C732" s="274" t="str">
        <f t="shared" si="86"/>
        <v>3.50.10.10.000.000.00.000</v>
      </c>
      <c r="D732" s="563"/>
      <c r="E732" s="917"/>
      <c r="F732" s="917"/>
      <c r="G732" s="917"/>
      <c r="H732" s="621"/>
      <c r="I732" s="621"/>
      <c r="J732" s="559">
        <f t="shared" si="87"/>
        <v>0</v>
      </c>
      <c r="K732" s="557"/>
      <c r="L732" s="557"/>
      <c r="M732" s="557"/>
      <c r="N732" s="557"/>
    </row>
    <row r="733" spans="1:14" x14ac:dyDescent="0.25">
      <c r="A733" s="551" t="str">
        <f>+Info!$B$2</f>
        <v>724</v>
      </c>
      <c r="B733" s="274" t="s">
        <v>2654</v>
      </c>
      <c r="C733" s="274" t="str">
        <f t="shared" si="86"/>
        <v>3.50.10.10.000.000.00.000</v>
      </c>
      <c r="D733" s="563"/>
      <c r="E733" s="917"/>
      <c r="F733" s="917"/>
      <c r="G733" s="917"/>
      <c r="H733" s="621"/>
      <c r="I733" s="621"/>
      <c r="J733" s="559">
        <f t="shared" si="87"/>
        <v>0</v>
      </c>
      <c r="K733" s="557"/>
      <c r="L733" s="557"/>
      <c r="M733" s="557"/>
      <c r="N733" s="557"/>
    </row>
    <row r="734" spans="1:14" x14ac:dyDescent="0.25">
      <c r="A734" s="551" t="str">
        <f>+Info!$B$2</f>
        <v>724</v>
      </c>
      <c r="B734" s="274" t="s">
        <v>2654</v>
      </c>
      <c r="C734" s="274" t="str">
        <f t="shared" si="86"/>
        <v>3.50.10.10.000.000.00.000</v>
      </c>
      <c r="D734" s="563"/>
      <c r="E734" s="917"/>
      <c r="F734" s="917"/>
      <c r="G734" s="917"/>
      <c r="H734" s="621"/>
      <c r="I734" s="621"/>
      <c r="J734" s="559">
        <f t="shared" si="87"/>
        <v>0</v>
      </c>
      <c r="K734" s="557"/>
      <c r="L734" s="557"/>
      <c r="M734" s="557"/>
      <c r="N734" s="557"/>
    </row>
    <row r="735" spans="1:14" x14ac:dyDescent="0.25">
      <c r="A735" s="551" t="str">
        <f>+Info!$B$2</f>
        <v>724</v>
      </c>
      <c r="B735" s="274" t="s">
        <v>2654</v>
      </c>
      <c r="C735" s="274" t="str">
        <f t="shared" si="86"/>
        <v>3.50.10.10.000.000.00.000</v>
      </c>
      <c r="D735" s="563"/>
      <c r="E735" s="917"/>
      <c r="F735" s="917"/>
      <c r="G735" s="917"/>
      <c r="H735" s="621"/>
      <c r="I735" s="621"/>
      <c r="J735" s="559">
        <f t="shared" si="87"/>
        <v>0</v>
      </c>
      <c r="K735" s="557"/>
      <c r="L735" s="557"/>
      <c r="M735" s="557"/>
      <c r="N735" s="557"/>
    </row>
    <row r="736" spans="1:14" x14ac:dyDescent="0.25">
      <c r="A736" s="551" t="str">
        <f>+Info!$B$2</f>
        <v>724</v>
      </c>
      <c r="B736" s="274" t="s">
        <v>2654</v>
      </c>
      <c r="C736" s="274" t="str">
        <f t="shared" si="86"/>
        <v>3.50.10.10.000.000.00.000</v>
      </c>
      <c r="D736" s="563"/>
      <c r="E736" s="917"/>
      <c r="F736" s="917"/>
      <c r="G736" s="917"/>
      <c r="H736" s="621"/>
      <c r="I736" s="621"/>
      <c r="J736" s="559">
        <f t="shared" si="87"/>
        <v>0</v>
      </c>
      <c r="K736" s="557"/>
      <c r="L736" s="557"/>
      <c r="M736" s="557"/>
      <c r="N736" s="557"/>
    </row>
    <row r="737" spans="1:14" x14ac:dyDescent="0.25">
      <c r="A737" s="551" t="str">
        <f>+Info!$B$2</f>
        <v>724</v>
      </c>
      <c r="B737" s="274" t="s">
        <v>2654</v>
      </c>
      <c r="C737" s="274" t="str">
        <f t="shared" si="86"/>
        <v>3.50.10.10.000.000.00.000</v>
      </c>
      <c r="D737" s="563"/>
      <c r="E737" s="917"/>
      <c r="F737" s="917"/>
      <c r="G737" s="917"/>
      <c r="H737" s="621"/>
      <c r="I737" s="621"/>
      <c r="J737" s="559">
        <f t="shared" si="87"/>
        <v>0</v>
      </c>
      <c r="K737" s="557"/>
      <c r="L737" s="557"/>
      <c r="M737" s="557"/>
      <c r="N737" s="557"/>
    </row>
    <row r="738" spans="1:14" x14ac:dyDescent="0.25">
      <c r="A738" s="551" t="str">
        <f>+Info!$B$2</f>
        <v>724</v>
      </c>
      <c r="B738" s="274" t="s">
        <v>2654</v>
      </c>
      <c r="C738" s="274" t="str">
        <f t="shared" si="86"/>
        <v>3.50.10.10.000.000.00.000</v>
      </c>
      <c r="D738" s="563"/>
      <c r="E738" s="917"/>
      <c r="F738" s="917"/>
      <c r="G738" s="917"/>
      <c r="H738" s="621"/>
      <c r="I738" s="621"/>
      <c r="J738" s="559">
        <f t="shared" si="87"/>
        <v>0</v>
      </c>
      <c r="K738" s="557"/>
      <c r="L738" s="557"/>
      <c r="M738" s="557"/>
      <c r="N738" s="557"/>
    </row>
    <row r="739" spans="1:14" x14ac:dyDescent="0.25">
      <c r="A739" s="551" t="str">
        <f>+Info!$B$2</f>
        <v>724</v>
      </c>
      <c r="B739" s="274" t="s">
        <v>2654</v>
      </c>
      <c r="C739" s="274" t="str">
        <f t="shared" si="86"/>
        <v>3.50.10.10.000.000.00.000</v>
      </c>
      <c r="D739" s="563"/>
      <c r="E739" s="917"/>
      <c r="F739" s="917"/>
      <c r="G739" s="917"/>
      <c r="H739" s="621"/>
      <c r="I739" s="621"/>
      <c r="J739" s="559">
        <f t="shared" si="87"/>
        <v>0</v>
      </c>
      <c r="L739" s="557"/>
      <c r="M739" s="557"/>
      <c r="N739" s="557"/>
    </row>
    <row r="740" spans="1:14" x14ac:dyDescent="0.25">
      <c r="A740" s="551" t="str">
        <f>+Info!$B$2</f>
        <v>724</v>
      </c>
      <c r="B740" s="274" t="s">
        <v>2654</v>
      </c>
      <c r="C740" s="274" t="str">
        <f t="shared" si="86"/>
        <v>3.50.10.10.000.000.00.000</v>
      </c>
      <c r="D740" s="563"/>
      <c r="E740" s="917"/>
      <c r="F740" s="917"/>
      <c r="G740" s="917"/>
      <c r="H740" s="621"/>
      <c r="I740" s="621"/>
      <c r="J740" s="559">
        <f t="shared" si="87"/>
        <v>0</v>
      </c>
      <c r="L740" s="557"/>
      <c r="M740" s="557"/>
      <c r="N740" s="557"/>
    </row>
    <row r="741" spans="1:14" x14ac:dyDescent="0.25">
      <c r="A741" s="551" t="str">
        <f>+Info!$B$2</f>
        <v>724</v>
      </c>
      <c r="B741" s="274" t="s">
        <v>2654</v>
      </c>
      <c r="C741" s="274" t="str">
        <f t="shared" si="86"/>
        <v>3.50.10.10.000.000.00.000</v>
      </c>
      <c r="D741" s="563"/>
      <c r="E741" s="917"/>
      <c r="F741" s="917"/>
      <c r="G741" s="917"/>
      <c r="H741" s="621"/>
      <c r="I741" s="621"/>
      <c r="J741" s="559">
        <f t="shared" si="87"/>
        <v>0</v>
      </c>
      <c r="L741" s="557"/>
      <c r="M741" s="557"/>
      <c r="N741" s="557"/>
    </row>
    <row r="742" spans="1:14" x14ac:dyDescent="0.25">
      <c r="A742" s="551" t="str">
        <f>+Info!$B$2</f>
        <v>724</v>
      </c>
      <c r="B742" s="274" t="s">
        <v>2654</v>
      </c>
      <c r="C742" s="274" t="str">
        <f t="shared" si="86"/>
        <v>3.50.10.10.000.000.00.000</v>
      </c>
      <c r="D742" s="563"/>
      <c r="E742" s="917"/>
      <c r="F742" s="917"/>
      <c r="G742" s="917"/>
      <c r="H742" s="621"/>
      <c r="I742" s="621"/>
      <c r="J742" s="559">
        <f t="shared" si="87"/>
        <v>0</v>
      </c>
    </row>
    <row r="743" spans="1:14" x14ac:dyDescent="0.25">
      <c r="A743" s="551" t="str">
        <f>+Info!$B$2</f>
        <v>724</v>
      </c>
      <c r="B743" s="274" t="s">
        <v>2654</v>
      </c>
      <c r="C743" s="274" t="str">
        <f t="shared" si="86"/>
        <v>3.50.10.10.000.000.00.000</v>
      </c>
      <c r="D743" s="563"/>
      <c r="E743" s="917"/>
      <c r="F743" s="917"/>
      <c r="G743" s="917"/>
      <c r="H743" s="621"/>
      <c r="I743" s="621"/>
      <c r="J743" s="559">
        <f t="shared" si="87"/>
        <v>0</v>
      </c>
    </row>
    <row r="744" spans="1:14" x14ac:dyDescent="0.25">
      <c r="A744" s="551" t="str">
        <f>+Info!$B$2</f>
        <v>724</v>
      </c>
      <c r="B744" s="274" t="s">
        <v>2654</v>
      </c>
      <c r="C744" s="274" t="str">
        <f t="shared" si="86"/>
        <v>3.50.10.10.000.000.00.000</v>
      </c>
      <c r="D744" s="563"/>
      <c r="E744" s="917"/>
      <c r="F744" s="917"/>
      <c r="G744" s="917"/>
      <c r="H744" s="621"/>
      <c r="I744" s="621"/>
      <c r="J744" s="559">
        <f t="shared" si="87"/>
        <v>0</v>
      </c>
    </row>
    <row r="745" spans="1:14" x14ac:dyDescent="0.25">
      <c r="A745" s="551" t="str">
        <f>+Info!$B$2</f>
        <v>724</v>
      </c>
      <c r="B745" s="274" t="s">
        <v>2654</v>
      </c>
      <c r="C745" s="274" t="str">
        <f t="shared" si="86"/>
        <v>3.50.10.10.000.000.00.000</v>
      </c>
      <c r="D745" s="563"/>
      <c r="E745" s="917"/>
      <c r="F745" s="917"/>
      <c r="G745" s="917"/>
      <c r="H745" s="621"/>
      <c r="I745" s="621"/>
      <c r="J745" s="559">
        <f t="shared" si="87"/>
        <v>0</v>
      </c>
    </row>
    <row r="746" spans="1:14" x14ac:dyDescent="0.25">
      <c r="A746" s="551" t="str">
        <f>+Info!$B$2</f>
        <v>724</v>
      </c>
      <c r="B746" s="274" t="s">
        <v>2654</v>
      </c>
      <c r="C746" s="274" t="str">
        <f t="shared" si="86"/>
        <v>3.50.10.10.000.000.00.000</v>
      </c>
      <c r="D746" s="563"/>
      <c r="E746" s="917"/>
      <c r="F746" s="917"/>
      <c r="G746" s="917"/>
      <c r="H746" s="621"/>
      <c r="I746" s="621"/>
      <c r="J746" s="559">
        <f t="shared" si="87"/>
        <v>0</v>
      </c>
    </row>
    <row r="747" spans="1:14" x14ac:dyDescent="0.25">
      <c r="A747" s="551" t="str">
        <f>+Info!$B$2</f>
        <v>724</v>
      </c>
      <c r="B747" s="274" t="s">
        <v>2654</v>
      </c>
      <c r="C747" s="274" t="str">
        <f t="shared" si="86"/>
        <v>3.50.10.10.000.000.00.000</v>
      </c>
      <c r="D747" s="563"/>
      <c r="E747" s="917"/>
      <c r="F747" s="917"/>
      <c r="G747" s="917"/>
      <c r="H747" s="621"/>
      <c r="I747" s="621"/>
      <c r="J747" s="559">
        <f t="shared" si="87"/>
        <v>0</v>
      </c>
    </row>
    <row r="748" spans="1:14" x14ac:dyDescent="0.25">
      <c r="A748" s="551" t="str">
        <f>+Info!$B$2</f>
        <v>724</v>
      </c>
      <c r="B748" s="274" t="s">
        <v>2654</v>
      </c>
      <c r="C748" s="274" t="str">
        <f t="shared" si="86"/>
        <v>3.50.10.10.000.000.00.000</v>
      </c>
      <c r="D748" s="563"/>
      <c r="E748" s="917"/>
      <c r="F748" s="917"/>
      <c r="G748" s="917"/>
      <c r="H748" s="621"/>
      <c r="I748" s="621"/>
      <c r="J748" s="559">
        <f t="shared" si="87"/>
        <v>0</v>
      </c>
    </row>
    <row r="749" spans="1:14" x14ac:dyDescent="0.25">
      <c r="A749" s="551" t="str">
        <f>+Info!$B$2</f>
        <v>724</v>
      </c>
      <c r="B749" s="274" t="s">
        <v>2654</v>
      </c>
      <c r="C749" s="274" t="str">
        <f t="shared" si="86"/>
        <v>3.50.10.10.000.000.00.000</v>
      </c>
      <c r="D749" s="563"/>
      <c r="E749" s="917"/>
      <c r="F749" s="917"/>
      <c r="G749" s="917"/>
      <c r="H749" s="621"/>
      <c r="I749" s="621"/>
      <c r="J749" s="559">
        <f t="shared" si="87"/>
        <v>0</v>
      </c>
    </row>
    <row r="750" spans="1:14" x14ac:dyDescent="0.25">
      <c r="A750" s="551" t="str">
        <f>+Info!$B$2</f>
        <v>724</v>
      </c>
      <c r="B750" s="274" t="s">
        <v>2654</v>
      </c>
      <c r="C750" s="274" t="str">
        <f t="shared" si="86"/>
        <v>3.50.10.10.000.000.00.000</v>
      </c>
      <c r="D750" s="563"/>
      <c r="E750" s="917"/>
      <c r="F750" s="917"/>
      <c r="G750" s="917"/>
      <c r="H750" s="621"/>
      <c r="I750" s="621"/>
      <c r="J750" s="559">
        <f t="shared" si="87"/>
        <v>0</v>
      </c>
    </row>
    <row r="751" spans="1:14" x14ac:dyDescent="0.25">
      <c r="A751" s="551" t="str">
        <f>+Info!$B$2</f>
        <v>724</v>
      </c>
      <c r="B751" s="274" t="s">
        <v>2654</v>
      </c>
      <c r="C751" s="274" t="str">
        <f t="shared" si="86"/>
        <v>3.50.10.10.000.000.00.000</v>
      </c>
      <c r="D751" s="563"/>
      <c r="E751" s="917"/>
      <c r="F751" s="917"/>
      <c r="G751" s="917"/>
      <c r="H751" s="621"/>
      <c r="I751" s="621"/>
      <c r="J751" s="559">
        <f t="shared" si="87"/>
        <v>0</v>
      </c>
    </row>
    <row r="752" spans="1:14" x14ac:dyDescent="0.25">
      <c r="A752" s="551" t="str">
        <f>+Info!$B$2</f>
        <v>724</v>
      </c>
      <c r="B752" s="274" t="s">
        <v>2654</v>
      </c>
      <c r="C752" s="274" t="str">
        <f t="shared" si="86"/>
        <v>3.50.10.10.000.000.00.000</v>
      </c>
      <c r="D752" s="563"/>
      <c r="E752" s="917"/>
      <c r="F752" s="917"/>
      <c r="G752" s="917"/>
      <c r="H752" s="621"/>
      <c r="I752" s="621"/>
      <c r="J752" s="559">
        <f t="shared" si="87"/>
        <v>0</v>
      </c>
    </row>
    <row r="753" spans="1:14" x14ac:dyDescent="0.25">
      <c r="A753" s="551" t="str">
        <f>+Info!$B$2</f>
        <v>724</v>
      </c>
      <c r="B753" s="274" t="s">
        <v>2654</v>
      </c>
      <c r="C753" s="274" t="str">
        <f t="shared" si="86"/>
        <v>3.50.10.10.000.000.00.000</v>
      </c>
      <c r="D753" s="563"/>
      <c r="E753" s="917"/>
      <c r="F753" s="917"/>
      <c r="G753" s="917"/>
      <c r="H753" s="621"/>
      <c r="I753" s="621"/>
      <c r="J753" s="559">
        <f t="shared" si="87"/>
        <v>0</v>
      </c>
    </row>
    <row r="754" spans="1:14" x14ac:dyDescent="0.25">
      <c r="A754" s="551" t="str">
        <f>+Info!$B$2</f>
        <v>724</v>
      </c>
      <c r="B754" s="274" t="s">
        <v>2654</v>
      </c>
      <c r="C754" s="274" t="str">
        <f t="shared" si="86"/>
        <v>3.50.10.10.000.000.00.000</v>
      </c>
      <c r="D754" s="563"/>
      <c r="E754" s="917"/>
      <c r="F754" s="917"/>
      <c r="G754" s="917"/>
      <c r="H754" s="621"/>
      <c r="I754" s="621"/>
      <c r="J754" s="559">
        <f t="shared" si="87"/>
        <v>0</v>
      </c>
    </row>
    <row r="755" spans="1:14" x14ac:dyDescent="0.25">
      <c r="A755" s="551" t="str">
        <f>+Info!$B$2</f>
        <v>724</v>
      </c>
      <c r="B755" s="274" t="s">
        <v>2654</v>
      </c>
      <c r="C755" s="274" t="str">
        <f t="shared" si="86"/>
        <v>3.50.10.10.000.000.00.000</v>
      </c>
      <c r="D755" s="563"/>
      <c r="E755" s="917"/>
      <c r="F755" s="917"/>
      <c r="G755" s="917"/>
      <c r="H755" s="621"/>
      <c r="I755" s="621"/>
      <c r="J755" s="559">
        <f t="shared" si="87"/>
        <v>0</v>
      </c>
    </row>
    <row r="756" spans="1:14" x14ac:dyDescent="0.25">
      <c r="A756" s="551" t="str">
        <f>+Info!$B$2</f>
        <v>724</v>
      </c>
      <c r="B756" s="274" t="s">
        <v>2654</v>
      </c>
      <c r="C756" s="274" t="str">
        <f t="shared" si="86"/>
        <v>3.50.10.10.000.000.00.000</v>
      </c>
      <c r="D756" s="563"/>
      <c r="E756" s="917"/>
      <c r="F756" s="917"/>
      <c r="G756" s="917"/>
      <c r="H756" s="621"/>
      <c r="I756" s="621"/>
      <c r="J756" s="559">
        <f t="shared" si="87"/>
        <v>0</v>
      </c>
    </row>
    <row r="757" spans="1:14" x14ac:dyDescent="0.25">
      <c r="A757" s="551" t="str">
        <f>+Info!$B$2</f>
        <v>724</v>
      </c>
      <c r="B757" s="274" t="s">
        <v>2654</v>
      </c>
      <c r="C757" s="274" t="str">
        <f t="shared" si="86"/>
        <v>3.50.10.10.000.000.00.000</v>
      </c>
      <c r="D757" s="563"/>
      <c r="E757" s="917"/>
      <c r="F757" s="917"/>
      <c r="G757" s="917"/>
      <c r="H757" s="621"/>
      <c r="I757" s="621"/>
      <c r="J757" s="559">
        <f t="shared" si="87"/>
        <v>0</v>
      </c>
    </row>
    <row r="758" spans="1:14" x14ac:dyDescent="0.25">
      <c r="A758" s="551" t="str">
        <f>+Info!$B$2</f>
        <v>724</v>
      </c>
      <c r="B758" s="622" t="s">
        <v>2654</v>
      </c>
      <c r="C758" s="622" t="s">
        <v>2655</v>
      </c>
      <c r="H758" s="622">
        <f>SUM(H731:H757)</f>
        <v>0</v>
      </c>
      <c r="I758" s="622">
        <f>SUM(I731:I757)</f>
        <v>0</v>
      </c>
      <c r="J758" s="622">
        <f>SUM(J731:J757)</f>
        <v>0</v>
      </c>
    </row>
    <row r="759" spans="1:14" ht="24" x14ac:dyDescent="0.25">
      <c r="A759" s="551" t="str">
        <f>+Info!$B$2</f>
        <v>724</v>
      </c>
      <c r="D759" s="590" t="s">
        <v>4382</v>
      </c>
    </row>
    <row r="760" spans="1:14" x14ac:dyDescent="0.25">
      <c r="A760" s="551" t="str">
        <f>+Info!$B$2</f>
        <v>724</v>
      </c>
      <c r="D760" s="590" t="s">
        <v>4383</v>
      </c>
      <c r="E760" s="918" t="s">
        <v>4384</v>
      </c>
      <c r="F760" s="918"/>
      <c r="G760" s="918"/>
      <c r="H760" s="558" t="str">
        <f>+H730</f>
        <v>Entro 12 mesi (2020)</v>
      </c>
      <c r="I760" s="558" t="str">
        <f>+I730</f>
        <v>Oltre 12 mesi (2020)</v>
      </c>
      <c r="J760" s="558" t="s">
        <v>4300</v>
      </c>
      <c r="K760" s="557"/>
      <c r="L760" s="557"/>
      <c r="M760" s="557"/>
      <c r="N760" s="557"/>
    </row>
    <row r="761" spans="1:14" x14ac:dyDescent="0.25">
      <c r="A761" s="551" t="str">
        <f>+Info!$B$2</f>
        <v>724</v>
      </c>
      <c r="B761" s="274" t="s">
        <v>2681</v>
      </c>
      <c r="C761" s="274" t="str">
        <f t="shared" ref="C761:C787" si="88">$C$788</f>
        <v>3.50.20.10.000.000.00.000</v>
      </c>
      <c r="D761" s="563"/>
      <c r="E761" s="917"/>
      <c r="F761" s="917"/>
      <c r="G761" s="917"/>
      <c r="H761" s="621"/>
      <c r="I761" s="621"/>
      <c r="J761" s="559">
        <f t="shared" ref="J761:J787" si="89">+H761+I761</f>
        <v>0</v>
      </c>
    </row>
    <row r="762" spans="1:14" x14ac:dyDescent="0.25">
      <c r="A762" s="551" t="str">
        <f>+Info!$B$2</f>
        <v>724</v>
      </c>
      <c r="B762" s="274" t="s">
        <v>2681</v>
      </c>
      <c r="C762" s="274" t="str">
        <f t="shared" si="88"/>
        <v>3.50.20.10.000.000.00.000</v>
      </c>
      <c r="D762" s="563"/>
      <c r="E762" s="917"/>
      <c r="F762" s="917"/>
      <c r="G762" s="917"/>
      <c r="H762" s="621"/>
      <c r="I762" s="621"/>
      <c r="J762" s="559">
        <f t="shared" si="89"/>
        <v>0</v>
      </c>
    </row>
    <row r="763" spans="1:14" x14ac:dyDescent="0.25">
      <c r="A763" s="551" t="str">
        <f>+Info!$B$2</f>
        <v>724</v>
      </c>
      <c r="B763" s="274" t="s">
        <v>2681</v>
      </c>
      <c r="C763" s="274" t="str">
        <f t="shared" si="88"/>
        <v>3.50.20.10.000.000.00.000</v>
      </c>
      <c r="D763" s="563"/>
      <c r="E763" s="917"/>
      <c r="F763" s="917"/>
      <c r="G763" s="917"/>
      <c r="H763" s="621"/>
      <c r="I763" s="621"/>
      <c r="J763" s="559">
        <f t="shared" si="89"/>
        <v>0</v>
      </c>
    </row>
    <row r="764" spans="1:14" x14ac:dyDescent="0.25">
      <c r="A764" s="551" t="str">
        <f>+Info!$B$2</f>
        <v>724</v>
      </c>
      <c r="B764" s="274" t="s">
        <v>2681</v>
      </c>
      <c r="C764" s="274" t="str">
        <f t="shared" si="88"/>
        <v>3.50.20.10.000.000.00.000</v>
      </c>
      <c r="D764" s="563"/>
      <c r="E764" s="917"/>
      <c r="F764" s="917"/>
      <c r="G764" s="917"/>
      <c r="H764" s="621"/>
      <c r="I764" s="621"/>
      <c r="J764" s="559">
        <f t="shared" si="89"/>
        <v>0</v>
      </c>
    </row>
    <row r="765" spans="1:14" x14ac:dyDescent="0.25">
      <c r="A765" s="551" t="str">
        <f>+Info!$B$2</f>
        <v>724</v>
      </c>
      <c r="B765" s="274" t="s">
        <v>2681</v>
      </c>
      <c r="C765" s="274" t="str">
        <f t="shared" si="88"/>
        <v>3.50.20.10.000.000.00.000</v>
      </c>
      <c r="D765" s="563"/>
      <c r="E765" s="917"/>
      <c r="F765" s="917"/>
      <c r="G765" s="917"/>
      <c r="H765" s="621"/>
      <c r="I765" s="621"/>
      <c r="J765" s="559">
        <f t="shared" si="89"/>
        <v>0</v>
      </c>
    </row>
    <row r="766" spans="1:14" x14ac:dyDescent="0.25">
      <c r="A766" s="551" t="str">
        <f>+Info!$B$2</f>
        <v>724</v>
      </c>
      <c r="B766" s="274" t="s">
        <v>2681</v>
      </c>
      <c r="C766" s="274" t="str">
        <f t="shared" si="88"/>
        <v>3.50.20.10.000.000.00.000</v>
      </c>
      <c r="D766" s="563"/>
      <c r="E766" s="917"/>
      <c r="F766" s="917"/>
      <c r="G766" s="917"/>
      <c r="H766" s="621"/>
      <c r="I766" s="621"/>
      <c r="J766" s="559">
        <f t="shared" si="89"/>
        <v>0</v>
      </c>
    </row>
    <row r="767" spans="1:14" x14ac:dyDescent="0.25">
      <c r="A767" s="551" t="str">
        <f>+Info!$B$2</f>
        <v>724</v>
      </c>
      <c r="B767" s="274" t="s">
        <v>2681</v>
      </c>
      <c r="C767" s="274" t="str">
        <f t="shared" si="88"/>
        <v>3.50.20.10.000.000.00.000</v>
      </c>
      <c r="D767" s="563"/>
      <c r="E767" s="917"/>
      <c r="F767" s="917"/>
      <c r="G767" s="917"/>
      <c r="H767" s="621"/>
      <c r="I767" s="621"/>
      <c r="J767" s="559">
        <f t="shared" si="89"/>
        <v>0</v>
      </c>
    </row>
    <row r="768" spans="1:14" x14ac:dyDescent="0.25">
      <c r="A768" s="551" t="str">
        <f>+Info!$B$2</f>
        <v>724</v>
      </c>
      <c r="B768" s="274" t="s">
        <v>2681</v>
      </c>
      <c r="C768" s="274" t="str">
        <f t="shared" si="88"/>
        <v>3.50.20.10.000.000.00.000</v>
      </c>
      <c r="D768" s="563"/>
      <c r="E768" s="917"/>
      <c r="F768" s="917"/>
      <c r="G768" s="917"/>
      <c r="H768" s="621"/>
      <c r="I768" s="621"/>
      <c r="J768" s="559">
        <f t="shared" si="89"/>
        <v>0</v>
      </c>
    </row>
    <row r="769" spans="1:10" x14ac:dyDescent="0.25">
      <c r="A769" s="551" t="str">
        <f>+Info!$B$2</f>
        <v>724</v>
      </c>
      <c r="B769" s="274" t="s">
        <v>2681</v>
      </c>
      <c r="C769" s="274" t="str">
        <f t="shared" si="88"/>
        <v>3.50.20.10.000.000.00.000</v>
      </c>
      <c r="D769" s="563"/>
      <c r="E769" s="917"/>
      <c r="F769" s="917"/>
      <c r="G769" s="917"/>
      <c r="H769" s="621"/>
      <c r="I769" s="621"/>
      <c r="J769" s="559">
        <f t="shared" si="89"/>
        <v>0</v>
      </c>
    </row>
    <row r="770" spans="1:10" x14ac:dyDescent="0.25">
      <c r="A770" s="551" t="str">
        <f>+Info!$B$2</f>
        <v>724</v>
      </c>
      <c r="B770" s="274" t="s">
        <v>2681</v>
      </c>
      <c r="C770" s="274" t="str">
        <f t="shared" si="88"/>
        <v>3.50.20.10.000.000.00.000</v>
      </c>
      <c r="D770" s="563"/>
      <c r="E770" s="917"/>
      <c r="F770" s="917"/>
      <c r="G770" s="917"/>
      <c r="H770" s="621"/>
      <c r="I770" s="621"/>
      <c r="J770" s="559">
        <f t="shared" si="89"/>
        <v>0</v>
      </c>
    </row>
    <row r="771" spans="1:10" x14ac:dyDescent="0.25">
      <c r="A771" s="551" t="str">
        <f>+Info!$B$2</f>
        <v>724</v>
      </c>
      <c r="B771" s="274" t="s">
        <v>2681</v>
      </c>
      <c r="C771" s="274" t="str">
        <f t="shared" si="88"/>
        <v>3.50.20.10.000.000.00.000</v>
      </c>
      <c r="D771" s="563"/>
      <c r="E771" s="917"/>
      <c r="F771" s="917"/>
      <c r="G771" s="917"/>
      <c r="H771" s="621"/>
      <c r="I771" s="621"/>
      <c r="J771" s="559">
        <f t="shared" si="89"/>
        <v>0</v>
      </c>
    </row>
    <row r="772" spans="1:10" x14ac:dyDescent="0.25">
      <c r="A772" s="551" t="str">
        <f>+Info!$B$2</f>
        <v>724</v>
      </c>
      <c r="B772" s="274" t="s">
        <v>2681</v>
      </c>
      <c r="C772" s="274" t="str">
        <f t="shared" si="88"/>
        <v>3.50.20.10.000.000.00.000</v>
      </c>
      <c r="D772" s="563"/>
      <c r="E772" s="917"/>
      <c r="F772" s="917"/>
      <c r="G772" s="917"/>
      <c r="H772" s="621"/>
      <c r="I772" s="621"/>
      <c r="J772" s="559">
        <f t="shared" si="89"/>
        <v>0</v>
      </c>
    </row>
    <row r="773" spans="1:10" x14ac:dyDescent="0.25">
      <c r="A773" s="551" t="str">
        <f>+Info!$B$2</f>
        <v>724</v>
      </c>
      <c r="B773" s="274" t="s">
        <v>2681</v>
      </c>
      <c r="C773" s="274" t="str">
        <f t="shared" si="88"/>
        <v>3.50.20.10.000.000.00.000</v>
      </c>
      <c r="D773" s="563"/>
      <c r="E773" s="917"/>
      <c r="F773" s="917"/>
      <c r="G773" s="917"/>
      <c r="H773" s="621"/>
      <c r="I773" s="621"/>
      <c r="J773" s="559">
        <f t="shared" si="89"/>
        <v>0</v>
      </c>
    </row>
    <row r="774" spans="1:10" x14ac:dyDescent="0.25">
      <c r="A774" s="551" t="str">
        <f>+Info!$B$2</f>
        <v>724</v>
      </c>
      <c r="B774" s="274" t="s">
        <v>2681</v>
      </c>
      <c r="C774" s="274" t="str">
        <f t="shared" si="88"/>
        <v>3.50.20.10.000.000.00.000</v>
      </c>
      <c r="D774" s="563"/>
      <c r="E774" s="917"/>
      <c r="F774" s="917"/>
      <c r="G774" s="917"/>
      <c r="H774" s="621"/>
      <c r="I774" s="621"/>
      <c r="J774" s="559">
        <f t="shared" si="89"/>
        <v>0</v>
      </c>
    </row>
    <row r="775" spans="1:10" x14ac:dyDescent="0.25">
      <c r="A775" s="551" t="str">
        <f>+Info!$B$2</f>
        <v>724</v>
      </c>
      <c r="B775" s="274" t="s">
        <v>2681</v>
      </c>
      <c r="C775" s="274" t="str">
        <f t="shared" si="88"/>
        <v>3.50.20.10.000.000.00.000</v>
      </c>
      <c r="D775" s="563"/>
      <c r="E775" s="917"/>
      <c r="F775" s="917"/>
      <c r="G775" s="917"/>
      <c r="H775" s="621"/>
      <c r="I775" s="621"/>
      <c r="J775" s="559">
        <f t="shared" si="89"/>
        <v>0</v>
      </c>
    </row>
    <row r="776" spans="1:10" x14ac:dyDescent="0.25">
      <c r="A776" s="551" t="str">
        <f>+Info!$B$2</f>
        <v>724</v>
      </c>
      <c r="B776" s="274" t="s">
        <v>2681</v>
      </c>
      <c r="C776" s="274" t="str">
        <f t="shared" si="88"/>
        <v>3.50.20.10.000.000.00.000</v>
      </c>
      <c r="D776" s="563"/>
      <c r="E776" s="917"/>
      <c r="F776" s="917"/>
      <c r="G776" s="917"/>
      <c r="H776" s="621"/>
      <c r="I776" s="621"/>
      <c r="J776" s="559">
        <f t="shared" si="89"/>
        <v>0</v>
      </c>
    </row>
    <row r="777" spans="1:10" x14ac:dyDescent="0.25">
      <c r="A777" s="551" t="str">
        <f>+Info!$B$2</f>
        <v>724</v>
      </c>
      <c r="B777" s="274" t="s">
        <v>2681</v>
      </c>
      <c r="C777" s="274" t="str">
        <f t="shared" si="88"/>
        <v>3.50.20.10.000.000.00.000</v>
      </c>
      <c r="D777" s="563"/>
      <c r="E777" s="917"/>
      <c r="F777" s="917"/>
      <c r="G777" s="917"/>
      <c r="H777" s="621"/>
      <c r="I777" s="621"/>
      <c r="J777" s="559">
        <f t="shared" si="89"/>
        <v>0</v>
      </c>
    </row>
    <row r="778" spans="1:10" x14ac:dyDescent="0.25">
      <c r="A778" s="551" t="str">
        <f>+Info!$B$2</f>
        <v>724</v>
      </c>
      <c r="B778" s="274" t="s">
        <v>2681</v>
      </c>
      <c r="C778" s="274" t="str">
        <f t="shared" si="88"/>
        <v>3.50.20.10.000.000.00.000</v>
      </c>
      <c r="D778" s="563"/>
      <c r="E778" s="917"/>
      <c r="F778" s="917"/>
      <c r="G778" s="917"/>
      <c r="H778" s="621"/>
      <c r="I778" s="621"/>
      <c r="J778" s="559">
        <f t="shared" si="89"/>
        <v>0</v>
      </c>
    </row>
    <row r="779" spans="1:10" x14ac:dyDescent="0.25">
      <c r="A779" s="551" t="str">
        <f>+Info!$B$2</f>
        <v>724</v>
      </c>
      <c r="B779" s="274" t="s">
        <v>2681</v>
      </c>
      <c r="C779" s="274" t="str">
        <f t="shared" si="88"/>
        <v>3.50.20.10.000.000.00.000</v>
      </c>
      <c r="D779" s="563"/>
      <c r="E779" s="917"/>
      <c r="F779" s="917"/>
      <c r="G779" s="917"/>
      <c r="H779" s="621"/>
      <c r="I779" s="621"/>
      <c r="J779" s="559">
        <f t="shared" si="89"/>
        <v>0</v>
      </c>
    </row>
    <row r="780" spans="1:10" x14ac:dyDescent="0.25">
      <c r="A780" s="551" t="str">
        <f>+Info!$B$2</f>
        <v>724</v>
      </c>
      <c r="B780" s="274" t="s">
        <v>2681</v>
      </c>
      <c r="C780" s="274" t="str">
        <f t="shared" si="88"/>
        <v>3.50.20.10.000.000.00.000</v>
      </c>
      <c r="D780" s="563"/>
      <c r="E780" s="917"/>
      <c r="F780" s="917"/>
      <c r="G780" s="917"/>
      <c r="H780" s="621"/>
      <c r="I780" s="621"/>
      <c r="J780" s="559">
        <f t="shared" si="89"/>
        <v>0</v>
      </c>
    </row>
    <row r="781" spans="1:10" x14ac:dyDescent="0.25">
      <c r="A781" s="551" t="str">
        <f>+Info!$B$2</f>
        <v>724</v>
      </c>
      <c r="B781" s="274" t="s">
        <v>2681</v>
      </c>
      <c r="C781" s="274" t="str">
        <f t="shared" si="88"/>
        <v>3.50.20.10.000.000.00.000</v>
      </c>
      <c r="D781" s="563"/>
      <c r="E781" s="917"/>
      <c r="F781" s="917"/>
      <c r="G781" s="917"/>
      <c r="H781" s="621"/>
      <c r="I781" s="621"/>
      <c r="J781" s="559">
        <f t="shared" si="89"/>
        <v>0</v>
      </c>
    </row>
    <row r="782" spans="1:10" x14ac:dyDescent="0.25">
      <c r="A782" s="551" t="str">
        <f>+Info!$B$2</f>
        <v>724</v>
      </c>
      <c r="B782" s="274" t="s">
        <v>2681</v>
      </c>
      <c r="C782" s="274" t="str">
        <f t="shared" si="88"/>
        <v>3.50.20.10.000.000.00.000</v>
      </c>
      <c r="D782" s="563"/>
      <c r="E782" s="917"/>
      <c r="F782" s="917"/>
      <c r="G782" s="917"/>
      <c r="H782" s="621"/>
      <c r="I782" s="621"/>
      <c r="J782" s="559">
        <f t="shared" si="89"/>
        <v>0</v>
      </c>
    </row>
    <row r="783" spans="1:10" x14ac:dyDescent="0.25">
      <c r="A783" s="551" t="str">
        <f>+Info!$B$2</f>
        <v>724</v>
      </c>
      <c r="B783" s="274" t="s">
        <v>2681</v>
      </c>
      <c r="C783" s="274" t="str">
        <f t="shared" si="88"/>
        <v>3.50.20.10.000.000.00.000</v>
      </c>
      <c r="D783" s="563"/>
      <c r="E783" s="917"/>
      <c r="F783" s="917"/>
      <c r="G783" s="917"/>
      <c r="H783" s="621"/>
      <c r="I783" s="621"/>
      <c r="J783" s="559">
        <f t="shared" si="89"/>
        <v>0</v>
      </c>
    </row>
    <row r="784" spans="1:10" x14ac:dyDescent="0.25">
      <c r="A784" s="551" t="str">
        <f>+Info!$B$2</f>
        <v>724</v>
      </c>
      <c r="B784" s="274" t="s">
        <v>2681</v>
      </c>
      <c r="C784" s="274" t="str">
        <f t="shared" si="88"/>
        <v>3.50.20.10.000.000.00.000</v>
      </c>
      <c r="D784" s="563"/>
      <c r="E784" s="917"/>
      <c r="F784" s="917"/>
      <c r="G784" s="917"/>
      <c r="H784" s="621"/>
      <c r="I784" s="621"/>
      <c r="J784" s="559">
        <f t="shared" si="89"/>
        <v>0</v>
      </c>
    </row>
    <row r="785" spans="1:10" x14ac:dyDescent="0.25">
      <c r="A785" s="551" t="str">
        <f>+Info!$B$2</f>
        <v>724</v>
      </c>
      <c r="B785" s="274" t="s">
        <v>2681</v>
      </c>
      <c r="C785" s="274" t="str">
        <f t="shared" si="88"/>
        <v>3.50.20.10.000.000.00.000</v>
      </c>
      <c r="D785" s="563"/>
      <c r="E785" s="917"/>
      <c r="F785" s="917"/>
      <c r="G785" s="917"/>
      <c r="H785" s="621"/>
      <c r="I785" s="621"/>
      <c r="J785" s="559">
        <f t="shared" si="89"/>
        <v>0</v>
      </c>
    </row>
    <row r="786" spans="1:10" x14ac:dyDescent="0.25">
      <c r="A786" s="551" t="str">
        <f>+Info!$B$2</f>
        <v>724</v>
      </c>
      <c r="B786" s="274" t="s">
        <v>2681</v>
      </c>
      <c r="C786" s="274" t="str">
        <f t="shared" si="88"/>
        <v>3.50.20.10.000.000.00.000</v>
      </c>
      <c r="D786" s="563"/>
      <c r="E786" s="917"/>
      <c r="F786" s="917"/>
      <c r="G786" s="917"/>
      <c r="H786" s="621"/>
      <c r="I786" s="621"/>
      <c r="J786" s="559">
        <f t="shared" si="89"/>
        <v>0</v>
      </c>
    </row>
    <row r="787" spans="1:10" x14ac:dyDescent="0.25">
      <c r="A787" s="551" t="str">
        <f>+Info!$B$2</f>
        <v>724</v>
      </c>
      <c r="B787" s="274" t="s">
        <v>2681</v>
      </c>
      <c r="C787" s="274" t="str">
        <f t="shared" si="88"/>
        <v>3.50.20.10.000.000.00.000</v>
      </c>
      <c r="D787" s="563"/>
      <c r="E787" s="917"/>
      <c r="F787" s="917"/>
      <c r="G787" s="917"/>
      <c r="H787" s="621"/>
      <c r="I787" s="621"/>
      <c r="J787" s="559">
        <f t="shared" si="89"/>
        <v>0</v>
      </c>
    </row>
    <row r="788" spans="1:10" x14ac:dyDescent="0.25">
      <c r="A788" s="551" t="str">
        <f>+Info!$B$2</f>
        <v>724</v>
      </c>
      <c r="B788" s="622" t="s">
        <v>2681</v>
      </c>
      <c r="C788" s="622" t="s">
        <v>2682</v>
      </c>
      <c r="H788" s="622">
        <f>SUM(H761:H787)</f>
        <v>0</v>
      </c>
      <c r="I788" s="622">
        <f>SUM(I761:I787)</f>
        <v>0</v>
      </c>
      <c r="J788" s="622">
        <f>SUM(J761:J787)</f>
        <v>0</v>
      </c>
    </row>
  </sheetData>
  <sheetCalcPr fullCalcOnLoad="1"/>
  <sheetProtection password="A01C" sheet="1" objects="1" scenarios="1"/>
  <mergeCells count="251">
    <mergeCell ref="D1:F1"/>
    <mergeCell ref="E4:G4"/>
    <mergeCell ref="H4:J4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E30:G30"/>
    <mergeCell ref="H30:J30"/>
    <mergeCell ref="I31:J31"/>
    <mergeCell ref="I32:J32"/>
    <mergeCell ref="I33:J33"/>
    <mergeCell ref="I34:J34"/>
    <mergeCell ref="I35:J35"/>
    <mergeCell ref="I36:J36"/>
    <mergeCell ref="I37:J37"/>
    <mergeCell ref="I38:J38"/>
    <mergeCell ref="I39:J39"/>
    <mergeCell ref="I40:J40"/>
    <mergeCell ref="I41:J41"/>
    <mergeCell ref="I42:J42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  <mergeCell ref="E56:G56"/>
    <mergeCell ref="H56:J56"/>
    <mergeCell ref="I57:J57"/>
    <mergeCell ref="I58:J58"/>
    <mergeCell ref="I59:J59"/>
    <mergeCell ref="I60:J60"/>
    <mergeCell ref="I61:J61"/>
    <mergeCell ref="I62:J62"/>
    <mergeCell ref="I63:J63"/>
    <mergeCell ref="I64:J64"/>
    <mergeCell ref="I65:J65"/>
    <mergeCell ref="I66:J66"/>
    <mergeCell ref="I67:J67"/>
    <mergeCell ref="I68:J68"/>
    <mergeCell ref="I69:J69"/>
    <mergeCell ref="I70:J70"/>
    <mergeCell ref="I71:J71"/>
    <mergeCell ref="I72:J72"/>
    <mergeCell ref="I73:J73"/>
    <mergeCell ref="I74:J74"/>
    <mergeCell ref="I75:J75"/>
    <mergeCell ref="I76:J76"/>
    <mergeCell ref="I77:J77"/>
    <mergeCell ref="I78:J78"/>
    <mergeCell ref="I79:J79"/>
    <mergeCell ref="J83:J84"/>
    <mergeCell ref="H84:I84"/>
    <mergeCell ref="H98:I98"/>
    <mergeCell ref="F115:F116"/>
    <mergeCell ref="G115:J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F131:H131"/>
    <mergeCell ref="D133:N133"/>
    <mergeCell ref="D182:D183"/>
    <mergeCell ref="E182:E183"/>
    <mergeCell ref="F182:H182"/>
    <mergeCell ref="I182:N182"/>
    <mergeCell ref="D225:N225"/>
    <mergeCell ref="D274:D275"/>
    <mergeCell ref="E274:E275"/>
    <mergeCell ref="F274:H274"/>
    <mergeCell ref="I274:N274"/>
    <mergeCell ref="F348:G348"/>
    <mergeCell ref="F371:G371"/>
    <mergeCell ref="F394:G394"/>
    <mergeCell ref="F408:G408"/>
    <mergeCell ref="F422:G422"/>
    <mergeCell ref="F436:G436"/>
    <mergeCell ref="E440:G440"/>
    <mergeCell ref="E441:G441"/>
    <mergeCell ref="E442:G442"/>
    <mergeCell ref="E443:G443"/>
    <mergeCell ref="E444:G444"/>
    <mergeCell ref="E445:G445"/>
    <mergeCell ref="E446:G446"/>
    <mergeCell ref="E447:G447"/>
    <mergeCell ref="E448:G448"/>
    <mergeCell ref="E449:G449"/>
    <mergeCell ref="E450:G450"/>
    <mergeCell ref="E451:G451"/>
    <mergeCell ref="E452:G452"/>
    <mergeCell ref="E453:G453"/>
    <mergeCell ref="E454:G454"/>
    <mergeCell ref="E455:G455"/>
    <mergeCell ref="E456:G456"/>
    <mergeCell ref="E457:G457"/>
    <mergeCell ref="E458:G458"/>
    <mergeCell ref="E459:G459"/>
    <mergeCell ref="E460:G460"/>
    <mergeCell ref="E461:G461"/>
    <mergeCell ref="E462:G462"/>
    <mergeCell ref="E463:G463"/>
    <mergeCell ref="E464:G464"/>
    <mergeCell ref="E465:G465"/>
    <mergeCell ref="E466:G466"/>
    <mergeCell ref="E467:G467"/>
    <mergeCell ref="E470:G470"/>
    <mergeCell ref="E471:G471"/>
    <mergeCell ref="E472:G472"/>
    <mergeCell ref="E473:G473"/>
    <mergeCell ref="E474:G474"/>
    <mergeCell ref="E475:G475"/>
    <mergeCell ref="E476:G476"/>
    <mergeCell ref="E477:G477"/>
    <mergeCell ref="E478:G478"/>
    <mergeCell ref="E479:G479"/>
    <mergeCell ref="E480:G480"/>
    <mergeCell ref="E481:G481"/>
    <mergeCell ref="E482:G482"/>
    <mergeCell ref="E483:G483"/>
    <mergeCell ref="E484:G484"/>
    <mergeCell ref="E485:G485"/>
    <mergeCell ref="E486:G486"/>
    <mergeCell ref="E487:G487"/>
    <mergeCell ref="E488:G488"/>
    <mergeCell ref="E489:G489"/>
    <mergeCell ref="E490:G490"/>
    <mergeCell ref="E491:G491"/>
    <mergeCell ref="E492:G492"/>
    <mergeCell ref="E493:G493"/>
    <mergeCell ref="E494:G494"/>
    <mergeCell ref="E495:G495"/>
    <mergeCell ref="E496:G496"/>
    <mergeCell ref="E497:G497"/>
    <mergeCell ref="B502:B503"/>
    <mergeCell ref="C502:C503"/>
    <mergeCell ref="D502:D503"/>
    <mergeCell ref="F502:I502"/>
    <mergeCell ref="J502:J503"/>
    <mergeCell ref="K502:Q502"/>
    <mergeCell ref="F504:I506"/>
    <mergeCell ref="F517:I519"/>
    <mergeCell ref="F550:I552"/>
    <mergeCell ref="F603:I605"/>
    <mergeCell ref="F636:I638"/>
    <mergeCell ref="D691:D692"/>
    <mergeCell ref="F691:H691"/>
    <mergeCell ref="I691:I692"/>
    <mergeCell ref="D701:D702"/>
    <mergeCell ref="F701:H701"/>
    <mergeCell ref="I701:I702"/>
    <mergeCell ref="D710:D711"/>
    <mergeCell ref="F710:F711"/>
    <mergeCell ref="G710:G711"/>
    <mergeCell ref="H710:H711"/>
    <mergeCell ref="I710:I711"/>
    <mergeCell ref="J710:J711"/>
    <mergeCell ref="K710:K711"/>
    <mergeCell ref="L710:L711"/>
    <mergeCell ref="M710:M711"/>
    <mergeCell ref="E730:G730"/>
    <mergeCell ref="E731:G731"/>
    <mergeCell ref="E732:G732"/>
    <mergeCell ref="E733:G733"/>
    <mergeCell ref="E734:G734"/>
    <mergeCell ref="E735:G735"/>
    <mergeCell ref="E736:G736"/>
    <mergeCell ref="E737:G737"/>
    <mergeCell ref="E738:G738"/>
    <mergeCell ref="E739:G739"/>
    <mergeCell ref="E740:G740"/>
    <mergeCell ref="E741:G741"/>
    <mergeCell ref="E742:G742"/>
    <mergeCell ref="E743:G743"/>
    <mergeCell ref="E744:G744"/>
    <mergeCell ref="E745:G745"/>
    <mergeCell ref="E746:G746"/>
    <mergeCell ref="E747:G747"/>
    <mergeCell ref="E748:G748"/>
    <mergeCell ref="E749:G749"/>
    <mergeCell ref="E750:G750"/>
    <mergeCell ref="E751:G751"/>
    <mergeCell ref="E752:G752"/>
    <mergeCell ref="E753:G753"/>
    <mergeCell ref="E754:G754"/>
    <mergeCell ref="E755:G755"/>
    <mergeCell ref="E756:G756"/>
    <mergeCell ref="E757:G757"/>
    <mergeCell ref="E760:G760"/>
    <mergeCell ref="E761:G761"/>
    <mergeCell ref="E762:G762"/>
    <mergeCell ref="E763:G763"/>
    <mergeCell ref="E764:G764"/>
    <mergeCell ref="E765:G765"/>
    <mergeCell ref="E766:G766"/>
    <mergeCell ref="E767:G767"/>
    <mergeCell ref="E768:G768"/>
    <mergeCell ref="E769:G769"/>
    <mergeCell ref="E770:G770"/>
    <mergeCell ref="E782:G782"/>
    <mergeCell ref="E771:G771"/>
    <mergeCell ref="E772:G772"/>
    <mergeCell ref="E773:G773"/>
    <mergeCell ref="E774:G774"/>
    <mergeCell ref="E775:G775"/>
    <mergeCell ref="E776:G776"/>
    <mergeCell ref="E783:G783"/>
    <mergeCell ref="E784:G784"/>
    <mergeCell ref="E785:G785"/>
    <mergeCell ref="E786:G786"/>
    <mergeCell ref="E787:G787"/>
    <mergeCell ref="E777:G777"/>
    <mergeCell ref="E778:G778"/>
    <mergeCell ref="E779:G779"/>
    <mergeCell ref="E780:G780"/>
    <mergeCell ref="E781:G781"/>
  </mergeCells>
  <conditionalFormatting sqref="I27:J27 D348 I53:J53 I79:J79 H84:I84 H98:I98 D371 D394 D408 D422 D436">
    <cfRule type="cellIs" dxfId="25" priority="1" stopIfTrue="1" operator="notEqual">
      <formula>"Quadratura OK!"</formula>
    </cfRule>
  </conditionalFormatting>
  <conditionalFormatting sqref="F131">
    <cfRule type="cellIs" dxfId="24" priority="2" stopIfTrue="1" operator="notEqual">
      <formula>"Quadratura OK!"</formula>
    </cfRule>
  </conditionalFormatting>
  <conditionalFormatting sqref="F504:I506">
    <cfRule type="cellIs" dxfId="23" priority="3" stopIfTrue="1" operator="notEqual">
      <formula>"Quadratura OK!"</formula>
    </cfRule>
  </conditionalFormatting>
  <conditionalFormatting sqref="F517:I519">
    <cfRule type="cellIs" dxfId="22" priority="4" stopIfTrue="1" operator="notEqual">
      <formula>"Quadratura OK!"</formula>
    </cfRule>
  </conditionalFormatting>
  <conditionalFormatting sqref="F550:I552">
    <cfRule type="cellIs" dxfId="21" priority="5" stopIfTrue="1" operator="notEqual">
      <formula>"Quadratura OK!"</formula>
    </cfRule>
  </conditionalFormatting>
  <conditionalFormatting sqref="F603:I605">
    <cfRule type="cellIs" dxfId="20" priority="6" stopIfTrue="1" operator="notEqual">
      <formula>"Quadratura OK!"</formula>
    </cfRule>
  </conditionalFormatting>
  <conditionalFormatting sqref="F636:I638">
    <cfRule type="cellIs" dxfId="19" priority="7" stopIfTrue="1" operator="notEqual">
      <formula>"Quadratura OK!"</formula>
    </cfRule>
  </conditionalFormatting>
  <conditionalFormatting sqref="L719:M719">
    <cfRule type="cellIs" dxfId="18" priority="8" stopIfTrue="1" operator="notEqual">
      <formula>"Quadratura OK!"</formula>
    </cfRule>
  </conditionalFormatting>
  <dataValidations count="2">
    <dataValidation type="whole" allowBlank="1" showErrorMessage="1" sqref="J326:J436">
      <formula1>-9999999999</formula1>
      <formula2>0</formula2>
    </dataValidation>
    <dataValidation type="whole" allowBlank="1" showErrorMessage="1" sqref="E6:F26 E32:F52 E58:F78 E85:F97 E99:F111 G117:H130 F185:G196 J185:M196 F198:G209 J198:M209 F211:G222 J211:M222 E277:G288 J277:M288 E290:G301 J290:M301 E303:G314 J303:M314 H326 I327:I347 H349 I350:I370 H372 I373:I393 H395 I396:I407 H409 I410:I421 H423 I424:I435 J504:J688 P504:Q688 L505:M505 L507:M516 L518:M518 L520:M549 L551:M551 L553:M602 L604:M604 L606:M635 L637:M637 L639:M688">
      <formula1>0</formula1>
      <formula2>9999999999</formula2>
    </dataValidation>
  </dataValidations>
  <pageMargins left="0.55138888888888893" right="0.27569444444444446" top="0.39374999999999999" bottom="0.31527777777777777" header="0.51180555555555551" footer="0.51180555555555551"/>
  <pageSetup paperSize="9" firstPageNumber="0" fitToHeight="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096"/>
  <sheetViews>
    <sheetView showGridLines="0" topLeftCell="B938" zoomScale="86" zoomScaleNormal="86" zoomScaleSheetLayoutView="50" workbookViewId="0">
      <selection activeCell="L958" sqref="L958"/>
    </sheetView>
  </sheetViews>
  <sheetFormatPr defaultRowHeight="15" x14ac:dyDescent="0.25"/>
  <cols>
    <col min="1" max="1" width="11.140625" hidden="1" customWidth="1"/>
    <col min="2" max="2" width="18" customWidth="1"/>
    <col min="3" max="3" width="28.140625" customWidth="1"/>
    <col min="4" max="4" width="20" hidden="1" customWidth="1"/>
    <col min="5" max="5" width="10.28515625" hidden="1" customWidth="1"/>
    <col min="6" max="6" width="12.5703125" hidden="1" customWidth="1"/>
    <col min="7" max="7" width="9.7109375" hidden="1" customWidth="1"/>
    <col min="8" max="8" width="8.85546875" hidden="1" customWidth="1"/>
    <col min="9" max="9" width="12" hidden="1" customWidth="1"/>
    <col min="10" max="10" width="7.42578125" hidden="1" customWidth="1"/>
    <col min="11" max="11" width="12.5703125" hidden="1" customWidth="1"/>
    <col min="12" max="12" width="70.5703125" style="197" customWidth="1"/>
    <col min="13" max="13" width="2.85546875" customWidth="1"/>
    <col min="14" max="14" width="13.42578125" customWidth="1"/>
    <col min="15" max="15" width="14.42578125" customWidth="1"/>
    <col min="16" max="16" width="13.85546875" customWidth="1"/>
    <col min="17" max="17" width="17.5703125" customWidth="1"/>
    <col min="18" max="18" width="15.28515625" customWidth="1"/>
    <col min="19" max="19" width="15" customWidth="1"/>
    <col min="20" max="21" width="15.140625" customWidth="1"/>
    <col min="22" max="22" width="15" customWidth="1"/>
    <col min="23" max="23" width="24" customWidth="1"/>
    <col min="24" max="27" width="15" customWidth="1"/>
    <col min="28" max="28" width="15.140625" customWidth="1"/>
    <col min="29" max="29" width="15.28515625" customWidth="1"/>
    <col min="30" max="33" width="14.28515625" customWidth="1"/>
    <col min="34" max="36" width="13.5703125" customWidth="1"/>
    <col min="37" max="37" width="14.7109375" customWidth="1"/>
    <col min="38" max="38" width="13.28515625" customWidth="1"/>
    <col min="39" max="39" width="13.140625" customWidth="1"/>
  </cols>
  <sheetData>
    <row r="1" spans="1:40" s="199" customFormat="1" x14ac:dyDescent="0.25">
      <c r="A1" s="204"/>
      <c r="B1" s="198"/>
      <c r="D1" s="200">
        <v>1</v>
      </c>
      <c r="E1" s="201"/>
      <c r="F1" s="200"/>
      <c r="G1" s="201"/>
      <c r="H1" s="200"/>
      <c r="I1" s="201"/>
      <c r="J1" s="200">
        <v>7</v>
      </c>
      <c r="K1" s="201">
        <v>8</v>
      </c>
      <c r="L1" s="200">
        <v>9</v>
      </c>
      <c r="M1" s="201">
        <v>10</v>
      </c>
      <c r="N1" s="200">
        <v>11</v>
      </c>
      <c r="O1" s="201">
        <v>12</v>
      </c>
      <c r="P1" s="200">
        <v>13</v>
      </c>
      <c r="Q1" s="201">
        <v>14</v>
      </c>
      <c r="R1" s="211"/>
      <c r="S1" s="211"/>
      <c r="T1" s="211"/>
      <c r="U1" s="211"/>
      <c r="V1" s="211"/>
      <c r="W1" s="516"/>
      <c r="X1" s="516"/>
      <c r="Y1" s="516"/>
      <c r="Z1" s="201"/>
      <c r="AA1" s="516"/>
      <c r="AB1" s="201"/>
      <c r="AC1" s="516"/>
      <c r="AD1" s="201"/>
      <c r="AE1" s="516"/>
      <c r="AF1" s="201"/>
      <c r="AG1" s="516"/>
      <c r="AH1" s="201"/>
      <c r="AI1" s="516"/>
      <c r="AJ1" s="201"/>
      <c r="AK1" s="516"/>
      <c r="AL1" s="201"/>
      <c r="AM1" s="201">
        <v>34</v>
      </c>
      <c r="AN1" s="201">
        <v>35</v>
      </c>
    </row>
    <row r="2" spans="1:40" ht="15.75" hidden="1" customHeight="1" x14ac:dyDescent="0.25">
      <c r="A2" s="203"/>
      <c r="B2" s="203"/>
      <c r="N2">
        <v>0</v>
      </c>
      <c r="O2">
        <v>0</v>
      </c>
      <c r="P2">
        <v>0</v>
      </c>
      <c r="R2" s="211"/>
      <c r="S2" s="211"/>
      <c r="T2" s="211"/>
      <c r="U2" s="211"/>
      <c r="V2" s="211"/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</row>
    <row r="3" spans="1:40" ht="15.75" hidden="1" customHeight="1" x14ac:dyDescent="0.25">
      <c r="A3" s="203"/>
      <c r="B3" s="203"/>
      <c r="N3">
        <v>0</v>
      </c>
      <c r="O3">
        <v>0</v>
      </c>
      <c r="P3">
        <v>0</v>
      </c>
      <c r="R3" s="211"/>
      <c r="S3" s="211"/>
      <c r="T3" s="211"/>
      <c r="U3" s="211"/>
      <c r="V3" s="211"/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40" ht="15.75" hidden="1" customHeight="1" x14ac:dyDescent="0.25">
      <c r="A4" s="203"/>
      <c r="B4" s="203"/>
      <c r="N4">
        <v>0</v>
      </c>
      <c r="O4">
        <v>0</v>
      </c>
      <c r="P4">
        <v>0</v>
      </c>
      <c r="R4" s="211"/>
      <c r="S4" s="211"/>
      <c r="T4" s="211"/>
      <c r="U4" s="211"/>
      <c r="V4" s="211"/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40" s="204" customFormat="1" ht="31.5" x14ac:dyDescent="0.25">
      <c r="C5" s="205" t="s">
        <v>2956</v>
      </c>
      <c r="D5" s="206" t="s">
        <v>72</v>
      </c>
      <c r="E5" s="206"/>
      <c r="F5" s="206"/>
      <c r="G5" s="207"/>
      <c r="H5" s="207"/>
      <c r="I5" s="207"/>
      <c r="J5" s="207" t="s">
        <v>2957</v>
      </c>
      <c r="K5" s="208" t="s">
        <v>2958</v>
      </c>
      <c r="L5" s="209" t="str">
        <f>"Tabelle allegate alla nota integrativa di: "&amp;Info!C2&amp;" Stato patrimoniale al 31/12/"&amp;Info!B3</f>
        <v>Tabelle allegate alla nota integrativa di: ASST DI CREMONA Stato patrimoniale al 31/12/2020</v>
      </c>
      <c r="M5" s="210"/>
      <c r="N5" s="210"/>
      <c r="O5" s="211"/>
      <c r="P5" s="211"/>
      <c r="Q5" s="203"/>
      <c r="R5" s="211"/>
      <c r="S5" s="211"/>
      <c r="T5" s="211"/>
      <c r="U5" s="211"/>
      <c r="V5" s="211"/>
      <c r="W5" s="211"/>
      <c r="X5" s="211"/>
      <c r="Y5" s="211"/>
      <c r="Z5" s="211"/>
      <c r="AA5" s="211"/>
    </row>
    <row r="6" spans="1:40" s="204" customFormat="1" ht="15.75" x14ac:dyDescent="0.25">
      <c r="C6" s="213"/>
      <c r="D6" s="213"/>
      <c r="E6" s="213"/>
      <c r="F6" s="213"/>
      <c r="G6" s="213"/>
      <c r="H6" s="214"/>
      <c r="I6" s="213"/>
      <c r="J6" s="213"/>
      <c r="K6" s="213"/>
      <c r="L6" s="912" t="s">
        <v>4395</v>
      </c>
      <c r="M6" s="912"/>
      <c r="N6" s="912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</row>
    <row r="7" spans="1:40" s="204" customFormat="1" ht="18" x14ac:dyDescent="0.25">
      <c r="C7" s="213"/>
      <c r="D7" s="213"/>
      <c r="E7" s="213"/>
      <c r="F7" s="213"/>
      <c r="G7" s="213"/>
      <c r="H7" s="214"/>
      <c r="I7" s="213"/>
      <c r="J7" s="213"/>
      <c r="K7" s="213"/>
      <c r="L7" s="215" t="s">
        <v>2960</v>
      </c>
      <c r="M7" s="210"/>
      <c r="N7" s="216"/>
      <c r="O7" s="216"/>
      <c r="P7" s="216"/>
      <c r="Q7" s="211"/>
      <c r="R7" s="216"/>
      <c r="S7" s="216"/>
      <c r="T7" s="216"/>
      <c r="U7" s="216"/>
      <c r="V7" s="216"/>
      <c r="W7" s="211"/>
      <c r="X7" s="211"/>
      <c r="Y7" s="211"/>
      <c r="Z7" s="211"/>
      <c r="AA7" s="211"/>
    </row>
    <row r="8" spans="1:40" s="204" customFormat="1" ht="18" x14ac:dyDescent="0.25">
      <c r="C8" s="213"/>
      <c r="D8" s="213"/>
      <c r="E8" s="213"/>
      <c r="F8" s="213"/>
      <c r="G8" s="213"/>
      <c r="H8" s="214"/>
      <c r="I8" s="213"/>
      <c r="J8" s="213"/>
      <c r="K8" s="213"/>
      <c r="L8" s="215"/>
      <c r="M8" s="210"/>
      <c r="N8" s="216"/>
      <c r="O8" s="216"/>
      <c r="P8" s="216"/>
      <c r="Q8" s="211"/>
      <c r="R8" s="216"/>
      <c r="S8" s="216"/>
      <c r="T8" s="216"/>
      <c r="U8" s="216"/>
      <c r="V8" s="216"/>
      <c r="W8" s="211"/>
      <c r="X8" s="211"/>
      <c r="Y8" s="211"/>
      <c r="Z8" s="211"/>
      <c r="AA8" s="211"/>
    </row>
    <row r="9" spans="1:40" s="204" customFormat="1" ht="18" x14ac:dyDescent="0.25">
      <c r="C9" s="217"/>
      <c r="D9" s="213"/>
      <c r="E9" s="213"/>
      <c r="F9" s="213"/>
      <c r="G9" s="213"/>
      <c r="H9" s="214"/>
      <c r="I9" s="213"/>
      <c r="J9" s="213"/>
      <c r="K9" s="213"/>
      <c r="L9" s="215"/>
      <c r="M9" s="210"/>
      <c r="N9" s="216"/>
      <c r="O9" s="216"/>
      <c r="P9" s="216"/>
      <c r="Q9" s="211"/>
      <c r="R9" s="216"/>
      <c r="S9" s="216"/>
      <c r="T9" s="216"/>
      <c r="U9" s="216"/>
      <c r="V9" s="216"/>
      <c r="W9" s="211"/>
      <c r="X9" s="211"/>
      <c r="Y9" s="211"/>
      <c r="Z9" s="211"/>
      <c r="AA9" s="211"/>
    </row>
    <row r="10" spans="1:40" s="204" customFormat="1" x14ac:dyDescent="0.25">
      <c r="B10" s="218">
        <v>0</v>
      </c>
      <c r="C10" s="218" t="s">
        <v>109</v>
      </c>
      <c r="D10" s="219" t="s">
        <v>2961</v>
      </c>
      <c r="E10" s="219"/>
      <c r="F10" s="219"/>
      <c r="G10" s="219"/>
      <c r="H10" s="220"/>
      <c r="I10" s="219"/>
      <c r="J10" s="219"/>
      <c r="K10" s="219"/>
      <c r="L10" s="221" t="s">
        <v>112</v>
      </c>
      <c r="M10" s="222" t="s">
        <v>2962</v>
      </c>
      <c r="N10" s="223">
        <f>+N13+N512+N746</f>
        <v>0</v>
      </c>
      <c r="O10" s="223">
        <f>+O13+O512+O746</f>
        <v>0</v>
      </c>
      <c r="P10" s="223">
        <f>+O10-N10</f>
        <v>0</v>
      </c>
      <c r="Q10" s="211"/>
      <c r="R10" s="216"/>
      <c r="S10" s="224">
        <f>S13+S512+S746+S766</f>
        <v>0</v>
      </c>
      <c r="T10" s="225" t="str">
        <f>IF(S10&lt;&gt;0,"SQUADRATURA ATTIVO  PER GIROCONTI SU NUOVI CONTI SP","")</f>
        <v/>
      </c>
      <c r="U10" s="216"/>
      <c r="V10" s="216"/>
      <c r="W10" s="211"/>
      <c r="X10" s="211"/>
      <c r="Y10" s="211"/>
      <c r="Z10" s="211"/>
      <c r="AA10" s="211"/>
    </row>
    <row r="11" spans="1:40" s="204" customFormat="1" x14ac:dyDescent="0.25">
      <c r="B11" s="216"/>
      <c r="C11" s="216"/>
      <c r="D11" s="226"/>
      <c r="E11" s="226"/>
      <c r="F11" s="226"/>
      <c r="G11" s="226"/>
      <c r="H11" s="227"/>
      <c r="I11" s="226"/>
      <c r="J11" s="226"/>
      <c r="K11" s="226"/>
      <c r="L11" s="228"/>
      <c r="M11" s="229"/>
      <c r="N11" s="216"/>
      <c r="O11" s="216"/>
      <c r="P11" s="216"/>
      <c r="Q11" s="211"/>
      <c r="R11" s="216"/>
      <c r="S11" s="216"/>
      <c r="T11" s="216"/>
      <c r="U11" s="216"/>
      <c r="V11" s="216"/>
      <c r="W11" s="211"/>
      <c r="X11" s="211"/>
      <c r="Y11" s="211"/>
      <c r="Z11" s="211"/>
      <c r="AA11" s="211"/>
    </row>
    <row r="12" spans="1:40" s="204" customFormat="1" x14ac:dyDescent="0.25">
      <c r="B12" s="230"/>
      <c r="C12" s="230"/>
      <c r="D12" s="230"/>
      <c r="E12" s="230"/>
      <c r="F12" s="230"/>
      <c r="G12" s="230"/>
      <c r="H12" s="231"/>
      <c r="I12" s="230"/>
      <c r="J12" s="230"/>
      <c r="K12" s="230"/>
      <c r="L12" s="232"/>
      <c r="M12" s="211"/>
      <c r="N12" s="216"/>
      <c r="O12" s="216"/>
      <c r="P12" s="216"/>
      <c r="Q12" s="211"/>
      <c r="R12" s="216"/>
      <c r="S12" s="216"/>
      <c r="T12" s="216"/>
      <c r="U12" s="216"/>
      <c r="V12" s="216"/>
      <c r="W12" s="211"/>
      <c r="X12" s="211"/>
      <c r="Y12" s="211"/>
      <c r="Z12" s="211"/>
      <c r="AA12" s="211"/>
    </row>
    <row r="13" spans="1:40" s="204" customFormat="1" x14ac:dyDescent="0.25">
      <c r="B13" s="233" t="s">
        <v>113</v>
      </c>
      <c r="C13" s="233" t="s">
        <v>114</v>
      </c>
      <c r="D13" s="234" t="s">
        <v>2963</v>
      </c>
      <c r="E13" s="234"/>
      <c r="F13" s="234"/>
      <c r="G13" s="234"/>
      <c r="H13" s="235"/>
      <c r="I13" s="234"/>
      <c r="J13" s="234"/>
      <c r="K13" s="234"/>
      <c r="L13" s="236" t="s">
        <v>115</v>
      </c>
      <c r="M13" s="237" t="s">
        <v>2962</v>
      </c>
      <c r="N13" s="238">
        <f>+N16+N186+N482</f>
        <v>0</v>
      </c>
      <c r="O13" s="238">
        <f>+O16+O186+O482</f>
        <v>0</v>
      </c>
      <c r="P13" s="239">
        <f>+O13-N13</f>
        <v>0</v>
      </c>
      <c r="Q13" s="211"/>
      <c r="R13" s="240"/>
      <c r="S13" s="224">
        <f>S16+S186+S481</f>
        <v>0</v>
      </c>
      <c r="T13" s="240"/>
      <c r="U13" s="240"/>
      <c r="V13" s="240"/>
      <c r="W13" s="211"/>
      <c r="X13" s="211"/>
      <c r="Y13" s="211"/>
      <c r="Z13" s="211"/>
      <c r="AA13" s="211"/>
    </row>
    <row r="14" spans="1:40" s="204" customFormat="1" x14ac:dyDescent="0.25">
      <c r="B14" s="216"/>
      <c r="C14" s="216"/>
      <c r="D14" s="226"/>
      <c r="E14" s="226"/>
      <c r="F14" s="226"/>
      <c r="G14" s="226"/>
      <c r="H14" s="227"/>
      <c r="I14" s="226"/>
      <c r="J14" s="226"/>
      <c r="K14" s="226"/>
      <c r="L14" s="241"/>
      <c r="M14" s="242"/>
      <c r="N14" s="240"/>
      <c r="O14" s="240"/>
      <c r="P14" s="211"/>
      <c r="Q14" s="211"/>
      <c r="R14" s="240"/>
      <c r="S14" s="240"/>
      <c r="T14" s="240"/>
      <c r="U14" s="240"/>
      <c r="V14" s="240"/>
      <c r="W14" s="211"/>
      <c r="X14" s="211"/>
      <c r="Y14" s="211"/>
      <c r="Z14" s="211"/>
      <c r="AA14" s="211"/>
    </row>
    <row r="15" spans="1:40" s="204" customFormat="1" ht="26.25" x14ac:dyDescent="0.25">
      <c r="B15" s="230"/>
      <c r="C15" s="230"/>
      <c r="D15" s="230"/>
      <c r="E15" s="230"/>
      <c r="F15" s="230"/>
      <c r="G15" s="230"/>
      <c r="H15" s="231"/>
      <c r="I15" s="230"/>
      <c r="J15" s="230"/>
      <c r="K15" s="230"/>
      <c r="L15" s="243"/>
      <c r="M15" s="244"/>
      <c r="N15" s="330" t="str">
        <f>'NI-San_SP'!N$15</f>
        <v>Valore netto al 31/12/2019</v>
      </c>
      <c r="O15" s="307" t="str">
        <f>"Valore netto al 31/12/"&amp;Info!B3</f>
        <v>Valore netto al 31/12/2020</v>
      </c>
      <c r="P15" s="330" t="str">
        <f>'NI-San_SP'!P$15</f>
        <v>Variazione</v>
      </c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40" s="204" customFormat="1" x14ac:dyDescent="0.25">
      <c r="B16" s="246" t="s">
        <v>116</v>
      </c>
      <c r="C16" s="246" t="s">
        <v>117</v>
      </c>
      <c r="D16" s="247" t="s">
        <v>2964</v>
      </c>
      <c r="E16" s="247"/>
      <c r="F16" s="247"/>
      <c r="G16" s="247"/>
      <c r="H16" s="248"/>
      <c r="I16" s="247"/>
      <c r="J16" s="247"/>
      <c r="K16" s="249"/>
      <c r="L16" s="250" t="s">
        <v>118</v>
      </c>
      <c r="M16" s="251" t="s">
        <v>2962</v>
      </c>
      <c r="N16" s="252">
        <f>+N20+N36+N51+N86+N94-N159</f>
        <v>0</v>
      </c>
      <c r="O16" s="252">
        <f>+O20+O36+O51+O86+O94-O159</f>
        <v>0</v>
      </c>
      <c r="P16" s="253">
        <f>+O16-N16</f>
        <v>0</v>
      </c>
      <c r="Q16" s="211"/>
      <c r="R16" s="211"/>
      <c r="S16" s="224">
        <f>+S20+S36+S51+T86+S94-S159</f>
        <v>0</v>
      </c>
      <c r="T16" s="225" t="str">
        <f>IF(S16&lt;&gt;0,"SQUADRATURA ATTIVO A.I. PER GIROCONTI SU NUOVI CONTI SP","")</f>
        <v/>
      </c>
      <c r="U16" s="211"/>
      <c r="V16" s="211"/>
      <c r="W16" s="517"/>
      <c r="X16" s="224">
        <f>+X20+X36+X51+X86+X94-X159</f>
        <v>0</v>
      </c>
      <c r="Z16" s="211"/>
      <c r="AA16" s="211"/>
      <c r="AD16" s="224">
        <f>+AD22+AD38+AD53+AD69+AD94-AE86</f>
        <v>0</v>
      </c>
      <c r="AE16" s="211" t="s">
        <v>2965</v>
      </c>
    </row>
    <row r="17" spans="1:31" s="204" customFormat="1" x14ac:dyDescent="0.25">
      <c r="B17" s="230"/>
      <c r="C17" s="230"/>
      <c r="D17" s="230"/>
      <c r="E17" s="230"/>
      <c r="F17" s="230"/>
      <c r="G17" s="230"/>
      <c r="H17" s="231"/>
      <c r="I17" s="230"/>
      <c r="J17" s="230"/>
      <c r="K17" s="230"/>
      <c r="L17" s="232"/>
      <c r="M17" s="211"/>
      <c r="N17" s="254"/>
      <c r="O17" s="211"/>
      <c r="P17" s="211"/>
      <c r="Q17" s="211"/>
      <c r="R17" s="211"/>
      <c r="S17" s="211"/>
      <c r="T17" s="211"/>
      <c r="U17" s="211"/>
      <c r="V17" s="211"/>
      <c r="W17" s="298"/>
      <c r="X17" s="211"/>
      <c r="Y17" s="211"/>
      <c r="Z17" s="211"/>
      <c r="AA17" s="211"/>
    </row>
    <row r="18" spans="1:31" s="204" customFormat="1" x14ac:dyDescent="0.25">
      <c r="B18" s="230"/>
      <c r="C18" s="230"/>
      <c r="D18" s="230"/>
      <c r="E18" s="230"/>
      <c r="F18" s="230"/>
      <c r="G18" s="230"/>
      <c r="H18" s="231"/>
      <c r="I18" s="230"/>
      <c r="J18" s="230"/>
      <c r="K18" s="230"/>
      <c r="L18" s="232"/>
      <c r="M18" s="211"/>
      <c r="N18" s="254"/>
      <c r="O18" s="211"/>
      <c r="P18" s="211"/>
      <c r="Q18" s="211"/>
      <c r="R18" s="211"/>
      <c r="S18" s="211"/>
      <c r="T18" s="211"/>
      <c r="U18" s="211"/>
      <c r="V18" s="211"/>
      <c r="W18" s="298"/>
      <c r="X18" s="211"/>
      <c r="Y18" s="211"/>
      <c r="Z18" s="211"/>
      <c r="AA18" s="211"/>
    </row>
    <row r="19" spans="1:31" s="204" customFormat="1" ht="25.5" x14ac:dyDescent="0.25">
      <c r="B19" s="230"/>
      <c r="C19" s="230"/>
      <c r="D19" s="230"/>
      <c r="E19" s="230"/>
      <c r="F19" s="230"/>
      <c r="G19" s="230"/>
      <c r="H19" s="231"/>
      <c r="I19" s="230"/>
      <c r="J19" s="230"/>
      <c r="K19" s="230"/>
      <c r="L19" s="255"/>
      <c r="M19" s="244"/>
      <c r="N19" s="256" t="str">
        <f>N$15</f>
        <v>Valore netto al 31/12/2019</v>
      </c>
      <c r="O19" s="518" t="str">
        <f>O$15</f>
        <v>Valore netto al 31/12/2020</v>
      </c>
      <c r="P19" s="256" t="str">
        <f>P$15</f>
        <v>Variazione</v>
      </c>
      <c r="Q19" s="211"/>
      <c r="R19" s="211"/>
      <c r="S19" s="211"/>
      <c r="T19" s="211"/>
      <c r="U19" s="211"/>
      <c r="V19" s="211"/>
      <c r="W19" s="298"/>
      <c r="X19" s="211"/>
      <c r="Y19" s="211"/>
      <c r="Z19" s="211"/>
      <c r="AA19" s="211"/>
    </row>
    <row r="20" spans="1:31" s="217" customFormat="1" x14ac:dyDescent="0.25">
      <c r="A20" s="204"/>
      <c r="B20" s="246" t="s">
        <v>119</v>
      </c>
      <c r="C20" s="246" t="s">
        <v>120</v>
      </c>
      <c r="D20" s="247" t="s">
        <v>2966</v>
      </c>
      <c r="E20" s="247"/>
      <c r="F20" s="247"/>
      <c r="G20" s="247"/>
      <c r="H20" s="248"/>
      <c r="I20" s="247"/>
      <c r="J20" s="247"/>
      <c r="K20" s="249"/>
      <c r="L20" s="257" t="s">
        <v>122</v>
      </c>
      <c r="M20" s="251" t="s">
        <v>2962</v>
      </c>
      <c r="N20" s="252">
        <f>+N22-N28</f>
        <v>0</v>
      </c>
      <c r="O20" s="252">
        <f>+O22-O28</f>
        <v>0</v>
      </c>
      <c r="P20" s="253">
        <f>+O20-N20</f>
        <v>0</v>
      </c>
      <c r="Q20" s="211"/>
      <c r="R20" s="211"/>
      <c r="S20" s="252">
        <f>+S22-S28</f>
        <v>0</v>
      </c>
      <c r="T20" s="211"/>
      <c r="U20" s="211"/>
      <c r="V20" s="211"/>
      <c r="W20" s="517"/>
      <c r="X20" s="252">
        <f>+X22-X28</f>
        <v>0</v>
      </c>
      <c r="Y20" s="211"/>
      <c r="Z20" s="211"/>
      <c r="AA20" s="211"/>
    </row>
    <row r="21" spans="1:31" s="204" customFormat="1" x14ac:dyDescent="0.25">
      <c r="B21" s="230"/>
      <c r="C21" s="230"/>
      <c r="D21" s="230"/>
      <c r="E21" s="230"/>
      <c r="F21" s="230"/>
      <c r="G21" s="230"/>
      <c r="H21" s="231"/>
      <c r="I21" s="230"/>
      <c r="J21" s="230"/>
      <c r="K21" s="230"/>
      <c r="L21" s="232"/>
      <c r="M21" s="211"/>
      <c r="N21" s="254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1:31" s="204" customFormat="1" x14ac:dyDescent="0.25">
      <c r="B22" s="246" t="s">
        <v>123</v>
      </c>
      <c r="C22" s="246" t="s">
        <v>124</v>
      </c>
      <c r="D22" s="247" t="s">
        <v>2967</v>
      </c>
      <c r="E22" s="247"/>
      <c r="F22" s="247"/>
      <c r="G22" s="247"/>
      <c r="H22" s="248"/>
      <c r="I22" s="247"/>
      <c r="J22" s="247"/>
      <c r="K22" s="249"/>
      <c r="L22" s="258" t="s">
        <v>127</v>
      </c>
      <c r="M22" s="251" t="s">
        <v>2962</v>
      </c>
      <c r="N22" s="252">
        <f>SUM(N25:N26)</f>
        <v>0</v>
      </c>
      <c r="O22" s="252">
        <f>SUM(O25:O26)</f>
        <v>0</v>
      </c>
      <c r="P22" s="259">
        <f>+O22-N22</f>
        <v>0</v>
      </c>
      <c r="Q22" s="252">
        <f>SUM(Q25:Q26)</f>
        <v>0</v>
      </c>
      <c r="R22" s="252">
        <f>SUM(R25:R26)</f>
        <v>0</v>
      </c>
      <c r="S22" s="252">
        <f>SUM(S25:S26)</f>
        <v>0</v>
      </c>
      <c r="T22" s="252">
        <f>SUM(T25:T26)</f>
        <v>0</v>
      </c>
      <c r="U22" s="252">
        <f>SUM(U25:U26)</f>
        <v>0</v>
      </c>
      <c r="W22" s="252">
        <f>SUM(W25:W26)</f>
        <v>0</v>
      </c>
      <c r="X22" s="252">
        <f>SUM(X25:X26)</f>
        <v>0</v>
      </c>
      <c r="Y22" s="252">
        <f>SUM(Y25:Y26)</f>
        <v>0</v>
      </c>
      <c r="Z22" s="252">
        <f>SUM(AA25:AA26)</f>
        <v>0</v>
      </c>
      <c r="AA22" s="252">
        <f>SUM(Z25:Z26)</f>
        <v>0</v>
      </c>
      <c r="AB22" s="252">
        <f>SUM(AB25:AB26)</f>
        <v>0</v>
      </c>
      <c r="AC22" s="252">
        <f>SUM(AC25:AC26)</f>
        <v>0</v>
      </c>
      <c r="AD22" s="252">
        <f>SUM(AD25:AD26)</f>
        <v>0</v>
      </c>
      <c r="AE22" s="252">
        <f>SUM(AE25:AE26)</f>
        <v>0</v>
      </c>
    </row>
    <row r="23" spans="1:31" s="204" customFormat="1" x14ac:dyDescent="0.25">
      <c r="B23" s="230"/>
      <c r="C23" s="230"/>
      <c r="D23" s="230"/>
      <c r="E23" s="230"/>
      <c r="F23" s="230"/>
      <c r="G23" s="230"/>
      <c r="H23" s="231"/>
      <c r="I23" s="230"/>
      <c r="J23" s="230"/>
      <c r="K23" s="230"/>
      <c r="L23" s="232"/>
      <c r="M23" s="211"/>
      <c r="N23" s="254"/>
      <c r="O23" s="211"/>
      <c r="P23" s="211"/>
      <c r="Q23" s="211"/>
      <c r="W23" s="211"/>
      <c r="X23" s="211"/>
      <c r="Y23" s="211"/>
      <c r="Z23" s="211"/>
      <c r="AA23" s="211"/>
      <c r="AB23" s="211"/>
      <c r="AC23" s="211"/>
      <c r="AD23" s="211"/>
      <c r="AE23" s="211"/>
    </row>
    <row r="24" spans="1:31" s="204" customFormat="1" ht="63.75" x14ac:dyDescent="0.25">
      <c r="B24" s="260" t="s">
        <v>2968</v>
      </c>
      <c r="C24" s="260" t="s">
        <v>2969</v>
      </c>
      <c r="D24" s="206" t="s">
        <v>72</v>
      </c>
      <c r="E24" s="206"/>
      <c r="F24" s="206"/>
      <c r="G24" s="207"/>
      <c r="H24" s="207"/>
      <c r="I24" s="207"/>
      <c r="J24" s="207" t="s">
        <v>2957</v>
      </c>
      <c r="K24" s="206" t="s">
        <v>82</v>
      </c>
      <c r="L24" s="261" t="s">
        <v>2970</v>
      </c>
      <c r="M24" s="260"/>
      <c r="N24" s="256" t="str">
        <f>N$15</f>
        <v>Valore netto al 31/12/2019</v>
      </c>
      <c r="O24" s="256" t="str">
        <f>O$15</f>
        <v>Valore netto al 31/12/2020</v>
      </c>
      <c r="P24" s="256" t="str">
        <f>P$15</f>
        <v>Variazione</v>
      </c>
      <c r="Q24" s="262" t="s">
        <v>2971</v>
      </c>
      <c r="R24" s="262" t="str">
        <f>"Costo storico al 31/12/"&amp;Info!$B$3-1</f>
        <v>Costo storico al 31/12/2019</v>
      </c>
      <c r="S24" s="262" t="s">
        <v>2972</v>
      </c>
      <c r="T24" s="262" t="s">
        <v>2973</v>
      </c>
      <c r="U24" s="262" t="s">
        <v>2974</v>
      </c>
      <c r="W24" s="262" t="s">
        <v>2975</v>
      </c>
      <c r="X24" s="262" t="s">
        <v>2976</v>
      </c>
      <c r="Y24" s="262" t="s">
        <v>2977</v>
      </c>
      <c r="Z24" s="262" t="s">
        <v>2978</v>
      </c>
      <c r="AA24" s="262" t="s">
        <v>2979</v>
      </c>
      <c r="AB24" s="262" t="s">
        <v>2980</v>
      </c>
      <c r="AC24" s="262" t="s">
        <v>2981</v>
      </c>
      <c r="AD24" s="262" t="s">
        <v>2982</v>
      </c>
      <c r="AE24" s="262" t="s">
        <v>2983</v>
      </c>
    </row>
    <row r="25" spans="1:31" s="204" customFormat="1" x14ac:dyDescent="0.25">
      <c r="B25" s="246" t="s">
        <v>128</v>
      </c>
      <c r="C25" s="263" t="s">
        <v>129</v>
      </c>
      <c r="D25" s="264" t="s">
        <v>2984</v>
      </c>
      <c r="E25" s="264"/>
      <c r="F25" s="264"/>
      <c r="G25" s="265"/>
      <c r="H25" s="266"/>
      <c r="I25" s="267"/>
      <c r="J25" s="267"/>
      <c r="K25" s="267"/>
      <c r="L25" s="268" t="s">
        <v>2985</v>
      </c>
      <c r="M25" s="263" t="s">
        <v>2962</v>
      </c>
      <c r="N25" s="269">
        <f>+R25+T25-U25</f>
        <v>0</v>
      </c>
      <c r="O25" s="270">
        <f>+N25+S25+X25+ABS(Y25)-ABS(AA25)+ABS(Z25)+ABS(AB25)+ABS(AD25)-ABS(AE25)+AC25+W25+Q25</f>
        <v>0</v>
      </c>
      <c r="P25" s="271">
        <f>+O25-N25</f>
        <v>0</v>
      </c>
      <c r="Q25" s="520"/>
      <c r="R25" s="354">
        <f>IF(ISERROR(VLOOKUP("RIC"&amp;$C25,ESTR_PREC_SP!$A$2:$G$2000,4,FALSE))=TRUE,0,VLOOKUP("RIC"&amp;$C25,ESTR_PREC_SP!$A$2:$G$2000,4,FALSE))</f>
        <v>0</v>
      </c>
      <c r="S25" s="521"/>
      <c r="T25" s="521"/>
      <c r="U25" s="521"/>
      <c r="W25" s="520"/>
      <c r="X25" s="520"/>
      <c r="Y25" s="520"/>
      <c r="Z25" s="520"/>
      <c r="AA25" s="520"/>
      <c r="AB25" s="520"/>
      <c r="AC25" s="520"/>
      <c r="AD25" s="520"/>
      <c r="AE25" s="520"/>
    </row>
    <row r="26" spans="1:31" s="204" customFormat="1" x14ac:dyDescent="0.25">
      <c r="B26" s="246" t="s">
        <v>131</v>
      </c>
      <c r="C26" s="273" t="s">
        <v>132</v>
      </c>
      <c r="D26" s="274" t="s">
        <v>2986</v>
      </c>
      <c r="E26" s="264"/>
      <c r="F26" s="264"/>
      <c r="G26" s="265"/>
      <c r="H26" s="266"/>
      <c r="I26" s="267"/>
      <c r="J26" s="267"/>
      <c r="K26" s="267"/>
      <c r="L26" s="268" t="s">
        <v>2987</v>
      </c>
      <c r="M26" s="263" t="s">
        <v>2962</v>
      </c>
      <c r="N26" s="269">
        <f>+R26+T26-U26</f>
        <v>0</v>
      </c>
      <c r="O26" s="270">
        <f>+N26+S26+X26+ABS(Y26)-ABS(AA26)+ABS(Z26)+ABS(AB26)+ABS(AD26)-ABS(AE26)+AC26+W26+Q26</f>
        <v>0</v>
      </c>
      <c r="P26" s="271">
        <f>+O26-N26</f>
        <v>0</v>
      </c>
      <c r="Q26" s="520"/>
      <c r="R26" s="354">
        <f>IF(ISERROR(VLOOKUP("RIC"&amp;$C26,ESTR_PREC_SP!$A$2:$G$2000,4,FALSE))=TRUE,0,VLOOKUP("RIC"&amp;$C26,ESTR_PREC_SP!$A$2:$G$2000,4,FALSE))</f>
        <v>0</v>
      </c>
      <c r="S26" s="521"/>
      <c r="T26" s="521"/>
      <c r="U26" s="521"/>
      <c r="W26" s="520"/>
      <c r="X26" s="520"/>
      <c r="Y26" s="520"/>
      <c r="Z26" s="520"/>
      <c r="AA26" s="520"/>
      <c r="AB26" s="520"/>
      <c r="AC26" s="520"/>
      <c r="AD26" s="520"/>
      <c r="AE26" s="520"/>
    </row>
    <row r="27" spans="1:31" s="204" customFormat="1" x14ac:dyDescent="0.25">
      <c r="B27" s="230"/>
      <c r="C27" s="230"/>
      <c r="D27" s="230"/>
      <c r="E27" s="230"/>
      <c r="F27" s="230"/>
      <c r="G27" s="230"/>
      <c r="H27" s="231"/>
      <c r="I27" s="230"/>
      <c r="J27" s="230"/>
      <c r="K27" s="230"/>
      <c r="L27" s="275"/>
      <c r="M27" s="211"/>
      <c r="N27" s="254"/>
      <c r="O27" s="211"/>
      <c r="P27" s="211"/>
      <c r="Q27" s="211"/>
      <c r="R27" s="211"/>
      <c r="S27" s="216"/>
      <c r="T27" s="216"/>
      <c r="U27" s="216"/>
      <c r="V27" s="216"/>
      <c r="W27" s="211"/>
      <c r="X27" s="211"/>
      <c r="Y27" s="211"/>
      <c r="Z27" s="211"/>
      <c r="AA27" s="211"/>
    </row>
    <row r="28" spans="1:31" s="204" customFormat="1" x14ac:dyDescent="0.25">
      <c r="B28" s="246" t="s">
        <v>134</v>
      </c>
      <c r="C28" s="246" t="s">
        <v>135</v>
      </c>
      <c r="D28" s="247" t="s">
        <v>2988</v>
      </c>
      <c r="E28" s="247"/>
      <c r="F28" s="247"/>
      <c r="G28" s="247"/>
      <c r="H28" s="248"/>
      <c r="I28" s="247"/>
      <c r="J28" s="247"/>
      <c r="K28" s="249"/>
      <c r="L28" s="276" t="s">
        <v>138</v>
      </c>
      <c r="M28" s="251" t="s">
        <v>2962</v>
      </c>
      <c r="N28" s="252">
        <f>SUM(N31:N32)</f>
        <v>0</v>
      </c>
      <c r="O28" s="252">
        <f>SUM(O31:O32)</f>
        <v>0</v>
      </c>
      <c r="P28" s="259">
        <f>+O28-N28</f>
        <v>0</v>
      </c>
      <c r="Q28" s="252">
        <f>SUM(Q31:Q32)</f>
        <v>0</v>
      </c>
      <c r="R28" s="252">
        <f>SUM(R31:R32)</f>
        <v>0</v>
      </c>
      <c r="S28" s="252">
        <f>SUM(S31:S32)</f>
        <v>0</v>
      </c>
      <c r="V28" s="211"/>
      <c r="W28" s="252">
        <f>SUM(W31:W32)</f>
        <v>0</v>
      </c>
      <c r="X28" s="252">
        <f>SUM(X31:X32)</f>
        <v>0</v>
      </c>
      <c r="Y28" s="252">
        <f>SUM(Y31:Y32)</f>
        <v>0</v>
      </c>
      <c r="Z28" s="252">
        <f>SUM(Z31:Z32)</f>
        <v>0</v>
      </c>
      <c r="AA28" s="211"/>
    </row>
    <row r="29" spans="1:31" s="204" customFormat="1" x14ac:dyDescent="0.25">
      <c r="B29" s="230"/>
      <c r="C29" s="230"/>
      <c r="D29" s="230"/>
      <c r="E29" s="230"/>
      <c r="F29" s="230"/>
      <c r="G29" s="230"/>
      <c r="H29" s="231"/>
      <c r="I29" s="230"/>
      <c r="J29" s="230"/>
      <c r="K29" s="230"/>
      <c r="L29" s="232"/>
      <c r="M29" s="211"/>
      <c r="N29" s="211"/>
      <c r="O29" s="211"/>
      <c r="P29" s="211"/>
      <c r="Q29" s="211"/>
      <c r="V29" s="211"/>
      <c r="W29" s="211"/>
      <c r="X29" s="211"/>
      <c r="Y29" s="211"/>
      <c r="Z29" s="211"/>
      <c r="AA29" s="211"/>
    </row>
    <row r="30" spans="1:31" s="204" customFormat="1" ht="63.75" x14ac:dyDescent="0.25">
      <c r="B30" s="260" t="s">
        <v>2968</v>
      </c>
      <c r="C30" s="260" t="s">
        <v>2969</v>
      </c>
      <c r="D30" s="206" t="s">
        <v>72</v>
      </c>
      <c r="E30" s="206"/>
      <c r="F30" s="206"/>
      <c r="G30" s="207"/>
      <c r="H30" s="207"/>
      <c r="I30" s="207"/>
      <c r="J30" s="207" t="s">
        <v>2957</v>
      </c>
      <c r="K30" s="206" t="s">
        <v>82</v>
      </c>
      <c r="L30" s="261" t="s">
        <v>2970</v>
      </c>
      <c r="M30" s="260"/>
      <c r="N30" s="256" t="str">
        <f>N$15</f>
        <v>Valore netto al 31/12/2019</v>
      </c>
      <c r="O30" s="256" t="str">
        <f>O$15</f>
        <v>Valore netto al 31/12/2020</v>
      </c>
      <c r="P30" s="256" t="str">
        <f>P$15</f>
        <v>Variazione</v>
      </c>
      <c r="Q30" s="262" t="s">
        <v>2971</v>
      </c>
      <c r="R30" s="262" t="str">
        <f>"Fondo ammortamento 31/12/"&amp;Info!$B$3-1</f>
        <v>Fondo ammortamento 31/12/2019</v>
      </c>
      <c r="S30" s="262" t="s">
        <v>2972</v>
      </c>
      <c r="V30" s="211"/>
      <c r="W30" s="262" t="s">
        <v>2975</v>
      </c>
      <c r="X30" s="262" t="s">
        <v>2976</v>
      </c>
      <c r="Y30" s="262" t="s">
        <v>2989</v>
      </c>
      <c r="Z30" s="262" t="s">
        <v>2990</v>
      </c>
      <c r="AA30" s="211"/>
    </row>
    <row r="31" spans="1:31" s="204" customFormat="1" x14ac:dyDescent="0.25">
      <c r="B31" s="246" t="s">
        <v>139</v>
      </c>
      <c r="C31" s="263" t="s">
        <v>140</v>
      </c>
      <c r="D31" s="264" t="s">
        <v>2991</v>
      </c>
      <c r="E31" s="264"/>
      <c r="F31" s="264"/>
      <c r="G31" s="265"/>
      <c r="H31" s="266"/>
      <c r="I31" s="267"/>
      <c r="J31" s="267"/>
      <c r="K31" s="267"/>
      <c r="L31" s="282" t="s">
        <v>2998</v>
      </c>
      <c r="M31" s="263" t="s">
        <v>2962</v>
      </c>
      <c r="N31" s="269">
        <f>+R31</f>
        <v>0</v>
      </c>
      <c r="O31" s="270">
        <f>+R31+S31+X31-ABS(Y31)+ABS(Z31)+W31+Q31</f>
        <v>0</v>
      </c>
      <c r="P31" s="271">
        <f>+O31-N31</f>
        <v>0</v>
      </c>
      <c r="Q31" s="520"/>
      <c r="R31" s="354">
        <f>IF(ISERROR(VLOOKUP("RIC"&amp;$C31,ESTR_PREC_SP!$A$2:$G$2000,4,FALSE))=TRUE,0,VLOOKUP("RIC"&amp;$C31,ESTR_PREC_SP!$A$2:$G$2000,4,FALSE))</f>
        <v>0</v>
      </c>
      <c r="S31" s="521"/>
      <c r="V31" s="211"/>
      <c r="W31" s="520"/>
      <c r="X31" s="520"/>
      <c r="Y31" s="520"/>
      <c r="Z31" s="520"/>
      <c r="AA31" s="211"/>
    </row>
    <row r="32" spans="1:31" s="204" customFormat="1" x14ac:dyDescent="0.25">
      <c r="B32" s="246" t="s">
        <v>142</v>
      </c>
      <c r="C32" s="273" t="s">
        <v>143</v>
      </c>
      <c r="D32" s="274" t="s">
        <v>2993</v>
      </c>
      <c r="E32" s="264"/>
      <c r="F32" s="264"/>
      <c r="G32" s="265"/>
      <c r="H32" s="266"/>
      <c r="I32" s="267"/>
      <c r="J32" s="267"/>
      <c r="K32" s="267"/>
      <c r="L32" s="282" t="s">
        <v>3000</v>
      </c>
      <c r="M32" s="263" t="s">
        <v>2962</v>
      </c>
      <c r="N32" s="269">
        <f>+R32</f>
        <v>0</v>
      </c>
      <c r="O32" s="270">
        <f>+R32+S32+X32-ABS(Y32)+ABS(Z32)+W32+Q32</f>
        <v>0</v>
      </c>
      <c r="P32" s="271">
        <f>+O32-N32</f>
        <v>0</v>
      </c>
      <c r="Q32" s="520"/>
      <c r="R32" s="354">
        <f>IF(ISERROR(VLOOKUP("RIC"&amp;$C32,ESTR_PREC_SP!$A$2:$G$2000,4,FALSE))=TRUE,0,VLOOKUP("RIC"&amp;$C32,ESTR_PREC_SP!$A$2:$G$2000,4,FALSE))</f>
        <v>0</v>
      </c>
      <c r="S32" s="521"/>
      <c r="V32" s="211"/>
      <c r="W32" s="520"/>
      <c r="X32" s="520"/>
      <c r="Y32" s="520"/>
      <c r="Z32" s="520"/>
      <c r="AA32" s="211"/>
    </row>
    <row r="33" spans="2:31" s="204" customFormat="1" x14ac:dyDescent="0.25">
      <c r="B33" s="230"/>
      <c r="C33" s="230"/>
      <c r="D33" s="230"/>
      <c r="E33" s="230"/>
      <c r="F33" s="230"/>
      <c r="G33" s="230"/>
      <c r="H33" s="231"/>
      <c r="I33" s="230"/>
      <c r="J33" s="230"/>
      <c r="K33" s="230"/>
      <c r="L33" s="232"/>
      <c r="M33" s="211"/>
      <c r="N33" s="254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2:31" s="204" customFormat="1" x14ac:dyDescent="0.25">
      <c r="B34" s="230"/>
      <c r="C34" s="230"/>
      <c r="D34" s="230"/>
      <c r="E34" s="230"/>
      <c r="F34" s="230"/>
      <c r="G34" s="230"/>
      <c r="H34" s="231"/>
      <c r="I34" s="230"/>
      <c r="J34" s="230"/>
      <c r="K34" s="230"/>
      <c r="L34" s="232"/>
      <c r="M34" s="211"/>
      <c r="N34" s="254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2:31" s="204" customFormat="1" ht="38.25" x14ac:dyDescent="0.25">
      <c r="B35" s="230"/>
      <c r="C35" s="230"/>
      <c r="D35" s="230"/>
      <c r="E35" s="230"/>
      <c r="F35" s="230"/>
      <c r="G35" s="230"/>
      <c r="H35" s="231"/>
      <c r="I35" s="230"/>
      <c r="J35" s="230"/>
      <c r="K35" s="230"/>
      <c r="L35" s="255"/>
      <c r="M35" s="244"/>
      <c r="N35" s="256" t="str">
        <f>N$15</f>
        <v>Valore netto al 31/12/2019</v>
      </c>
      <c r="O35" s="518" t="str">
        <f>O$15</f>
        <v>Valore netto al 31/12/2020</v>
      </c>
      <c r="P35" s="256" t="str">
        <f>P$15</f>
        <v>Variazione</v>
      </c>
      <c r="Q35" s="262" t="s">
        <v>2971</v>
      </c>
      <c r="R35" s="216"/>
      <c r="S35" s="216"/>
      <c r="T35" s="216"/>
      <c r="U35" s="216"/>
      <c r="V35" s="216"/>
      <c r="W35" s="211"/>
      <c r="X35" s="211"/>
      <c r="Y35" s="211"/>
      <c r="Z35" s="211"/>
      <c r="AA35" s="211"/>
    </row>
    <row r="36" spans="2:31" s="204" customFormat="1" x14ac:dyDescent="0.25">
      <c r="B36" s="246" t="s">
        <v>145</v>
      </c>
      <c r="C36" s="246" t="s">
        <v>146</v>
      </c>
      <c r="D36" s="247" t="s">
        <v>2995</v>
      </c>
      <c r="E36" s="247"/>
      <c r="F36" s="247"/>
      <c r="G36" s="247"/>
      <c r="H36" s="248"/>
      <c r="I36" s="247"/>
      <c r="J36" s="247"/>
      <c r="K36" s="249"/>
      <c r="L36" s="257" t="s">
        <v>148</v>
      </c>
      <c r="M36" s="251" t="s">
        <v>2962</v>
      </c>
      <c r="N36" s="252">
        <f>+N38-N44</f>
        <v>0</v>
      </c>
      <c r="O36" s="252">
        <f>+O38-O44</f>
        <v>0</v>
      </c>
      <c r="P36" s="253">
        <f>+O36-N36</f>
        <v>0</v>
      </c>
      <c r="Q36" s="252">
        <f>+Q38-Q44</f>
        <v>0</v>
      </c>
      <c r="R36" s="216"/>
      <c r="S36" s="252">
        <f>+S38-S44</f>
        <v>0</v>
      </c>
      <c r="T36" s="216"/>
      <c r="U36" s="216"/>
      <c r="V36" s="216"/>
      <c r="W36" s="211"/>
      <c r="X36" s="252">
        <f>+X38-X44</f>
        <v>0</v>
      </c>
      <c r="Y36" s="211"/>
      <c r="Z36" s="211"/>
      <c r="AA36" s="211"/>
    </row>
    <row r="37" spans="2:31" s="204" customFormat="1" x14ac:dyDescent="0.25">
      <c r="B37" s="230"/>
      <c r="C37" s="230"/>
      <c r="D37" s="230"/>
      <c r="E37" s="230"/>
      <c r="F37" s="230"/>
      <c r="G37" s="230"/>
      <c r="H37" s="231"/>
      <c r="I37" s="230"/>
      <c r="J37" s="230"/>
      <c r="K37" s="230"/>
      <c r="L37" s="277"/>
      <c r="M37" s="278"/>
      <c r="N37" s="279"/>
      <c r="O37" s="211"/>
      <c r="P37" s="211"/>
      <c r="Q37" s="211"/>
      <c r="R37" s="216"/>
      <c r="S37" s="216"/>
      <c r="T37" s="216"/>
      <c r="U37" s="216"/>
      <c r="V37" s="216"/>
      <c r="W37" s="211"/>
      <c r="X37" s="211"/>
      <c r="Y37" s="211"/>
      <c r="Z37" s="211"/>
      <c r="AA37" s="211"/>
    </row>
    <row r="38" spans="2:31" s="204" customFormat="1" x14ac:dyDescent="0.25">
      <c r="B38" s="246" t="s">
        <v>149</v>
      </c>
      <c r="C38" s="246" t="s">
        <v>150</v>
      </c>
      <c r="D38" s="247" t="s">
        <v>2996</v>
      </c>
      <c r="E38" s="247"/>
      <c r="F38" s="247"/>
      <c r="G38" s="247"/>
      <c r="H38" s="248"/>
      <c r="I38" s="247"/>
      <c r="J38" s="247"/>
      <c r="K38" s="249"/>
      <c r="L38" s="276" t="s">
        <v>153</v>
      </c>
      <c r="M38" s="251" t="s">
        <v>2962</v>
      </c>
      <c r="N38" s="252">
        <f>SUM(N41:N42)</f>
        <v>0</v>
      </c>
      <c r="O38" s="252">
        <f>SUM(O41:O42)</f>
        <v>0</v>
      </c>
      <c r="P38" s="259">
        <f>+O38-N38</f>
        <v>0</v>
      </c>
      <c r="Q38" s="252">
        <f>SUM(Q41:Q42)</f>
        <v>0</v>
      </c>
      <c r="R38" s="252">
        <f>SUM(R41:R42)</f>
        <v>0</v>
      </c>
      <c r="S38" s="252">
        <f>SUM(S41:S42)</f>
        <v>0</v>
      </c>
      <c r="T38" s="252">
        <f>SUM(T41:T42)</f>
        <v>0</v>
      </c>
      <c r="U38" s="252">
        <f>SUM(U41:U42)</f>
        <v>0</v>
      </c>
      <c r="V38" s="216"/>
      <c r="W38" s="252">
        <f t="shared" ref="W38:AE38" si="0">SUM(W41:W42)</f>
        <v>0</v>
      </c>
      <c r="X38" s="252">
        <f t="shared" si="0"/>
        <v>0</v>
      </c>
      <c r="Y38" s="252">
        <f t="shared" si="0"/>
        <v>0</v>
      </c>
      <c r="Z38" s="252">
        <f t="shared" si="0"/>
        <v>0</v>
      </c>
      <c r="AA38" s="252">
        <f t="shared" si="0"/>
        <v>0</v>
      </c>
      <c r="AB38" s="252">
        <f t="shared" si="0"/>
        <v>0</v>
      </c>
      <c r="AC38" s="252">
        <f t="shared" si="0"/>
        <v>0</v>
      </c>
      <c r="AD38" s="252">
        <f t="shared" si="0"/>
        <v>0</v>
      </c>
      <c r="AE38" s="252">
        <f t="shared" si="0"/>
        <v>0</v>
      </c>
    </row>
    <row r="39" spans="2:31" s="204" customFormat="1" x14ac:dyDescent="0.25">
      <c r="B39" s="230"/>
      <c r="C39" s="230"/>
      <c r="D39" s="230"/>
      <c r="E39" s="230"/>
      <c r="F39" s="230"/>
      <c r="G39" s="230"/>
      <c r="H39" s="231"/>
      <c r="I39" s="230"/>
      <c r="J39" s="230"/>
      <c r="K39" s="230"/>
      <c r="L39" s="277"/>
      <c r="M39" s="278"/>
      <c r="N39" s="279"/>
      <c r="O39" s="211"/>
      <c r="P39" s="211"/>
      <c r="Q39" s="211"/>
      <c r="R39" s="216"/>
      <c r="T39" s="216"/>
      <c r="U39" s="216"/>
      <c r="V39" s="216"/>
      <c r="W39" s="211"/>
      <c r="X39" s="211"/>
      <c r="Y39" s="211"/>
      <c r="Z39" s="211"/>
      <c r="AA39" s="211"/>
    </row>
    <row r="40" spans="2:31" s="204" customFormat="1" ht="63.75" x14ac:dyDescent="0.25">
      <c r="B40" s="260" t="s">
        <v>2968</v>
      </c>
      <c r="C40" s="260" t="s">
        <v>2969</v>
      </c>
      <c r="D40" s="206" t="s">
        <v>72</v>
      </c>
      <c r="E40" s="206"/>
      <c r="F40" s="206"/>
      <c r="G40" s="207"/>
      <c r="H40" s="207"/>
      <c r="I40" s="207"/>
      <c r="J40" s="207" t="s">
        <v>2957</v>
      </c>
      <c r="K40" s="206" t="s">
        <v>82</v>
      </c>
      <c r="L40" s="261" t="s">
        <v>2970</v>
      </c>
      <c r="M40" s="280"/>
      <c r="N40" s="256" t="str">
        <f>N$15</f>
        <v>Valore netto al 31/12/2019</v>
      </c>
      <c r="O40" s="256" t="str">
        <f>O$15</f>
        <v>Valore netto al 31/12/2020</v>
      </c>
      <c r="P40" s="256" t="str">
        <f>P$15</f>
        <v>Variazione</v>
      </c>
      <c r="Q40" s="262" t="s">
        <v>2971</v>
      </c>
      <c r="R40" s="262" t="str">
        <f>"Costo storico al 31/12/"&amp;Info!$B$3-1</f>
        <v>Costo storico al 31/12/2019</v>
      </c>
      <c r="S40" s="262" t="s">
        <v>2972</v>
      </c>
      <c r="T40" s="262" t="s">
        <v>2973</v>
      </c>
      <c r="U40" s="262" t="s">
        <v>2974</v>
      </c>
      <c r="W40" s="262" t="s">
        <v>2975</v>
      </c>
      <c r="X40" s="262" t="s">
        <v>2976</v>
      </c>
      <c r="Y40" s="262" t="s">
        <v>2977</v>
      </c>
      <c r="Z40" s="262" t="s">
        <v>2978</v>
      </c>
      <c r="AA40" s="262" t="s">
        <v>2979</v>
      </c>
      <c r="AB40" s="262" t="s">
        <v>2980</v>
      </c>
      <c r="AC40" s="262" t="s">
        <v>2981</v>
      </c>
      <c r="AD40" s="262" t="s">
        <v>2982</v>
      </c>
      <c r="AE40" s="262" t="s">
        <v>2983</v>
      </c>
    </row>
    <row r="41" spans="2:31" s="204" customFormat="1" x14ac:dyDescent="0.25">
      <c r="B41" s="246" t="s">
        <v>154</v>
      </c>
      <c r="C41" s="263" t="s">
        <v>155</v>
      </c>
      <c r="D41" s="264" t="s">
        <v>2997</v>
      </c>
      <c r="E41" s="264"/>
      <c r="F41" s="264"/>
      <c r="G41" s="265"/>
      <c r="H41" s="266"/>
      <c r="I41" s="281"/>
      <c r="J41" s="281"/>
      <c r="K41" s="281"/>
      <c r="L41" s="282" t="s">
        <v>2998</v>
      </c>
      <c r="M41" s="263" t="s">
        <v>2962</v>
      </c>
      <c r="N41" s="269">
        <f>+R41+T41-U41</f>
        <v>0</v>
      </c>
      <c r="O41" s="270">
        <f>+N41+S41+X41+ABS(Y41)-ABS(AA41)+ABS(Z41)+ABS(AB41)+ABS(AD41)-ABS(AE41)+AC41+W41+Q41</f>
        <v>0</v>
      </c>
      <c r="P41" s="271">
        <f>+O41-N41</f>
        <v>0</v>
      </c>
      <c r="Q41" s="520"/>
      <c r="R41" s="354">
        <f>IF(ISERROR(VLOOKUP("RIC"&amp;$C41,ESTR_PREC_SP!$A$2:$G$2000,4,FALSE))=TRUE,0,VLOOKUP("RIC"&amp;$C41,ESTR_PREC_SP!$A$2:$G$2000,4,FALSE))</f>
        <v>0</v>
      </c>
      <c r="S41" s="521"/>
      <c r="T41" s="521"/>
      <c r="U41" s="521"/>
      <c r="W41" s="520"/>
      <c r="X41" s="520"/>
      <c r="Y41" s="520"/>
      <c r="Z41" s="520"/>
      <c r="AA41" s="520"/>
      <c r="AB41" s="520"/>
      <c r="AC41" s="520"/>
      <c r="AD41" s="520"/>
      <c r="AE41" s="520"/>
    </row>
    <row r="42" spans="2:31" s="204" customFormat="1" x14ac:dyDescent="0.25">
      <c r="B42" s="246" t="s">
        <v>157</v>
      </c>
      <c r="C42" s="273" t="s">
        <v>158</v>
      </c>
      <c r="D42" s="274" t="s">
        <v>2999</v>
      </c>
      <c r="E42" s="264"/>
      <c r="F42" s="274"/>
      <c r="G42" s="283"/>
      <c r="H42" s="266"/>
      <c r="I42" s="281"/>
      <c r="J42" s="281"/>
      <c r="K42" s="281"/>
      <c r="L42" s="282" t="s">
        <v>3000</v>
      </c>
      <c r="M42" s="284" t="s">
        <v>2962</v>
      </c>
      <c r="N42" s="269">
        <f>+R42+T42-U42</f>
        <v>0</v>
      </c>
      <c r="O42" s="270">
        <f>+N42+S42+X42+ABS(Y42)-ABS(AA42)+ABS(Z42)+ABS(AB42)+ABS(AD42)-ABS(AE42)+AC42+W42+Q42</f>
        <v>0</v>
      </c>
      <c r="P42" s="271">
        <f>+O42-N42</f>
        <v>0</v>
      </c>
      <c r="Q42" s="520"/>
      <c r="R42" s="354">
        <f>IF(ISERROR(VLOOKUP("RIC"&amp;$C42,ESTR_PREC_SP!$A$2:$G$2000,4,FALSE))=TRUE,0,VLOOKUP("RIC"&amp;$C42,ESTR_PREC_SP!$A$2:$G$2000,4,FALSE))</f>
        <v>0</v>
      </c>
      <c r="S42" s="521"/>
      <c r="T42" s="521"/>
      <c r="U42" s="521"/>
      <c r="W42" s="520"/>
      <c r="X42" s="520"/>
      <c r="Y42" s="520"/>
      <c r="Z42" s="520"/>
      <c r="AA42" s="520"/>
      <c r="AB42" s="520"/>
      <c r="AC42" s="520"/>
      <c r="AD42" s="520"/>
      <c r="AE42" s="520"/>
    </row>
    <row r="43" spans="2:31" s="204" customFormat="1" x14ac:dyDescent="0.25">
      <c r="B43" s="230"/>
      <c r="C43" s="230"/>
      <c r="D43" s="230"/>
      <c r="E43" s="230"/>
      <c r="F43" s="230"/>
      <c r="G43" s="230"/>
      <c r="H43" s="231"/>
      <c r="I43" s="230"/>
      <c r="J43" s="230"/>
      <c r="K43" s="230"/>
      <c r="L43" s="275"/>
      <c r="M43" s="216"/>
      <c r="N43" s="285"/>
      <c r="O43" s="211"/>
      <c r="P43" s="211"/>
      <c r="Q43" s="211"/>
      <c r="R43" s="216"/>
      <c r="S43" s="216"/>
      <c r="T43" s="285"/>
      <c r="U43" s="285"/>
      <c r="V43" s="285"/>
      <c r="W43" s="285"/>
      <c r="X43" s="285"/>
      <c r="Y43" s="285"/>
      <c r="Z43" s="285"/>
      <c r="AA43" s="285"/>
    </row>
    <row r="44" spans="2:31" s="204" customFormat="1" x14ac:dyDescent="0.25">
      <c r="B44" s="246" t="s">
        <v>160</v>
      </c>
      <c r="C44" s="246" t="s">
        <v>161</v>
      </c>
      <c r="D44" s="247" t="s">
        <v>3001</v>
      </c>
      <c r="E44" s="247"/>
      <c r="F44" s="247"/>
      <c r="G44" s="247"/>
      <c r="H44" s="248"/>
      <c r="I44" s="247"/>
      <c r="J44" s="247"/>
      <c r="K44" s="249"/>
      <c r="L44" s="276" t="s">
        <v>164</v>
      </c>
      <c r="M44" s="251" t="s">
        <v>2962</v>
      </c>
      <c r="N44" s="252">
        <f>SUM(N47:N48)</f>
        <v>0</v>
      </c>
      <c r="O44" s="252">
        <f>SUM(O47:O48)</f>
        <v>0</v>
      </c>
      <c r="P44" s="259">
        <f>+O44-N44</f>
        <v>0</v>
      </c>
      <c r="Q44" s="252">
        <f>SUM(Q47:Q48)</f>
        <v>0</v>
      </c>
      <c r="R44" s="252">
        <f>SUM(R47:R48)</f>
        <v>0</v>
      </c>
      <c r="S44" s="252">
        <f>SUM(S47:S48)</f>
        <v>0</v>
      </c>
      <c r="V44" s="211"/>
      <c r="W44" s="252">
        <f>SUM(W47:W48)</f>
        <v>0</v>
      </c>
      <c r="X44" s="252">
        <f>SUM(X47:X48)</f>
        <v>0</v>
      </c>
      <c r="Y44" s="252">
        <f>SUM(Y47:Y48)</f>
        <v>0</v>
      </c>
      <c r="Z44" s="252">
        <f>SUM(Z47:Z48)</f>
        <v>0</v>
      </c>
      <c r="AA44" s="285"/>
    </row>
    <row r="45" spans="2:31" s="204" customFormat="1" x14ac:dyDescent="0.25">
      <c r="B45" s="230"/>
      <c r="C45" s="230"/>
      <c r="D45" s="230"/>
      <c r="E45" s="230"/>
      <c r="F45" s="230"/>
      <c r="G45" s="230"/>
      <c r="H45" s="231"/>
      <c r="I45" s="230"/>
      <c r="J45" s="230"/>
      <c r="K45" s="230"/>
      <c r="L45" s="241"/>
      <c r="M45" s="278"/>
      <c r="N45" s="286"/>
      <c r="O45" s="211"/>
      <c r="P45" s="211"/>
      <c r="Q45" s="211"/>
      <c r="V45" s="211"/>
      <c r="W45" s="211"/>
      <c r="X45" s="211"/>
      <c r="Y45" s="211"/>
      <c r="Z45" s="211"/>
      <c r="AA45" s="285"/>
    </row>
    <row r="46" spans="2:31" s="204" customFormat="1" ht="63.75" x14ac:dyDescent="0.25">
      <c r="B46" s="260" t="s">
        <v>2968</v>
      </c>
      <c r="C46" s="260" t="s">
        <v>2969</v>
      </c>
      <c r="D46" s="206" t="s">
        <v>72</v>
      </c>
      <c r="E46" s="206"/>
      <c r="F46" s="206"/>
      <c r="G46" s="207"/>
      <c r="H46" s="207"/>
      <c r="I46" s="207"/>
      <c r="J46" s="207" t="s">
        <v>2957</v>
      </c>
      <c r="K46" s="206" t="s">
        <v>82</v>
      </c>
      <c r="L46" s="261" t="s">
        <v>2970</v>
      </c>
      <c r="M46" s="280"/>
      <c r="N46" s="256" t="str">
        <f>N$15</f>
        <v>Valore netto al 31/12/2019</v>
      </c>
      <c r="O46" s="256" t="str">
        <f>O$15</f>
        <v>Valore netto al 31/12/2020</v>
      </c>
      <c r="P46" s="256" t="str">
        <f>P$15</f>
        <v>Variazione</v>
      </c>
      <c r="Q46" s="262" t="s">
        <v>2971</v>
      </c>
      <c r="R46" s="262" t="str">
        <f>"Fondo ammortamento 31/12/"&amp;Info!$B$3-1</f>
        <v>Fondo ammortamento 31/12/2019</v>
      </c>
      <c r="S46" s="262" t="s">
        <v>2972</v>
      </c>
      <c r="V46" s="211"/>
      <c r="W46" s="262" t="s">
        <v>2975</v>
      </c>
      <c r="X46" s="262" t="s">
        <v>2976</v>
      </c>
      <c r="Y46" s="262" t="s">
        <v>2989</v>
      </c>
      <c r="Z46" s="262" t="s">
        <v>2990</v>
      </c>
      <c r="AA46" s="285"/>
    </row>
    <row r="47" spans="2:31" s="204" customFormat="1" x14ac:dyDescent="0.25">
      <c r="B47" s="246" t="s">
        <v>165</v>
      </c>
      <c r="C47" s="263" t="s">
        <v>166</v>
      </c>
      <c r="D47" s="264" t="s">
        <v>3002</v>
      </c>
      <c r="E47" s="264"/>
      <c r="F47" s="264"/>
      <c r="G47" s="283"/>
      <c r="H47" s="266"/>
      <c r="I47" s="281"/>
      <c r="J47" s="281"/>
      <c r="K47" s="281"/>
      <c r="L47" s="282" t="s">
        <v>3003</v>
      </c>
      <c r="M47" s="263" t="s">
        <v>2962</v>
      </c>
      <c r="N47" s="269">
        <f>+R47</f>
        <v>0</v>
      </c>
      <c r="O47" s="270">
        <f>+R47+S47+X47-ABS(Y47)+ABS(Z47)+W47+Q47</f>
        <v>0</v>
      </c>
      <c r="P47" s="271">
        <f>+O47-N47</f>
        <v>0</v>
      </c>
      <c r="Q47" s="520"/>
      <c r="R47" s="354">
        <f>IF(ISERROR(VLOOKUP("RIC"&amp;$C47,ESTR_PREC_SP!$A$2:$G$2000,4,FALSE))=TRUE,0,VLOOKUP("RIC"&amp;$C47,ESTR_PREC_SP!$A$2:$G$2000,4,FALSE))</f>
        <v>0</v>
      </c>
      <c r="S47" s="521"/>
      <c r="V47" s="211"/>
      <c r="W47" s="520"/>
      <c r="X47" s="520"/>
      <c r="Y47" s="520"/>
      <c r="Z47" s="520"/>
      <c r="AA47" s="285"/>
    </row>
    <row r="48" spans="2:31" s="204" customFormat="1" x14ac:dyDescent="0.25">
      <c r="B48" s="246" t="s">
        <v>168</v>
      </c>
      <c r="C48" s="287" t="s">
        <v>169</v>
      </c>
      <c r="D48" s="274" t="s">
        <v>3004</v>
      </c>
      <c r="E48" s="264"/>
      <c r="F48" s="274"/>
      <c r="G48" s="283"/>
      <c r="H48" s="266"/>
      <c r="I48" s="281"/>
      <c r="J48" s="281"/>
      <c r="K48" s="281"/>
      <c r="L48" s="282" t="s">
        <v>3005</v>
      </c>
      <c r="M48" s="284" t="s">
        <v>2962</v>
      </c>
      <c r="N48" s="269">
        <f>+R48</f>
        <v>0</v>
      </c>
      <c r="O48" s="270">
        <f>+R48+S48+X48-ABS(Y48)+ABS(Z48)+W48+Q48</f>
        <v>0</v>
      </c>
      <c r="P48" s="271">
        <f>+O48-N48</f>
        <v>0</v>
      </c>
      <c r="Q48" s="520"/>
      <c r="R48" s="354">
        <f>IF(ISERROR(VLOOKUP("RIC"&amp;$C48,ESTR_PREC_SP!$A$2:$G$2000,4,FALSE))=TRUE,0,VLOOKUP("RIC"&amp;$C48,ESTR_PREC_SP!$A$2:$G$2000,4,FALSE))</f>
        <v>0</v>
      </c>
      <c r="S48" s="521"/>
      <c r="V48" s="211"/>
      <c r="W48" s="520"/>
      <c r="X48" s="520"/>
      <c r="Y48" s="520"/>
      <c r="Z48" s="520"/>
      <c r="AA48" s="285"/>
    </row>
    <row r="49" spans="2:31" s="204" customFormat="1" x14ac:dyDescent="0.25">
      <c r="B49" s="230"/>
      <c r="C49" s="230"/>
      <c r="D49" s="230"/>
      <c r="E49" s="230"/>
      <c r="F49" s="230"/>
      <c r="G49" s="230"/>
      <c r="H49" s="231"/>
      <c r="I49" s="230"/>
      <c r="J49" s="230"/>
      <c r="K49" s="230"/>
      <c r="L49" s="232"/>
      <c r="M49" s="216"/>
      <c r="N49" s="285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2:31" s="204" customFormat="1" ht="38.25" x14ac:dyDescent="0.25">
      <c r="B50" s="230"/>
      <c r="C50" s="230"/>
      <c r="D50" s="230"/>
      <c r="E50" s="230"/>
      <c r="F50" s="230"/>
      <c r="G50" s="230"/>
      <c r="H50" s="231"/>
      <c r="I50" s="230"/>
      <c r="J50" s="230"/>
      <c r="K50" s="230"/>
      <c r="L50" s="255"/>
      <c r="M50" s="244"/>
      <c r="N50" s="256" t="str">
        <f>N$15</f>
        <v>Valore netto al 31/12/2019</v>
      </c>
      <c r="O50" s="518" t="str">
        <f>O$15</f>
        <v>Valore netto al 31/12/2020</v>
      </c>
      <c r="P50" s="256" t="str">
        <f>P$15</f>
        <v>Variazione</v>
      </c>
      <c r="Q50" s="262" t="s">
        <v>2971</v>
      </c>
      <c r="R50" s="211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2:31" s="204" customFormat="1" ht="27" customHeight="1" x14ac:dyDescent="0.25">
      <c r="B51" s="246" t="s">
        <v>171</v>
      </c>
      <c r="C51" s="246" t="s">
        <v>172</v>
      </c>
      <c r="D51" s="247" t="s">
        <v>3006</v>
      </c>
      <c r="E51" s="247"/>
      <c r="F51" s="247"/>
      <c r="G51" s="247"/>
      <c r="H51" s="248"/>
      <c r="I51" s="247"/>
      <c r="J51" s="247"/>
      <c r="K51" s="249"/>
      <c r="L51" s="257" t="s">
        <v>174</v>
      </c>
      <c r="M51" s="251" t="s">
        <v>2962</v>
      </c>
      <c r="N51" s="252">
        <f>+N53-N61+N69-N77</f>
        <v>0</v>
      </c>
      <c r="O51" s="252">
        <f>+O53-O61+O69-O77</f>
        <v>0</v>
      </c>
      <c r="P51" s="253">
        <f>+O51-N51</f>
        <v>0</v>
      </c>
      <c r="Q51" s="252">
        <f>+Q53-Q61+Q69-Q77</f>
        <v>0</v>
      </c>
      <c r="R51" s="211"/>
      <c r="S51" s="252">
        <f>+S53-S61+S69-S77</f>
        <v>0</v>
      </c>
      <c r="T51" s="211"/>
      <c r="U51" s="211"/>
      <c r="V51" s="211"/>
      <c r="W51" s="211"/>
      <c r="X51" s="252">
        <f>+X53-X61+X69-X77</f>
        <v>0</v>
      </c>
      <c r="Y51" s="211"/>
      <c r="Z51" s="211"/>
      <c r="AA51" s="211"/>
    </row>
    <row r="52" spans="2:31" s="204" customFormat="1" x14ac:dyDescent="0.25">
      <c r="B52" s="230"/>
      <c r="C52" s="230"/>
      <c r="D52" s="230"/>
      <c r="E52" s="230"/>
      <c r="F52" s="230"/>
      <c r="G52" s="230"/>
      <c r="H52" s="231"/>
      <c r="I52" s="230"/>
      <c r="J52" s="230"/>
      <c r="K52" s="230"/>
      <c r="L52" s="277"/>
      <c r="M52" s="216"/>
      <c r="N52" s="285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2:31" s="204" customFormat="1" ht="26.25" x14ac:dyDescent="0.25">
      <c r="B53" s="246" t="s">
        <v>175</v>
      </c>
      <c r="C53" s="246" t="s">
        <v>176</v>
      </c>
      <c r="D53" s="247" t="s">
        <v>3007</v>
      </c>
      <c r="E53" s="247"/>
      <c r="F53" s="247"/>
      <c r="G53" s="247"/>
      <c r="H53" s="248"/>
      <c r="I53" s="247"/>
      <c r="J53" s="247"/>
      <c r="K53" s="249"/>
      <c r="L53" s="276" t="s">
        <v>179</v>
      </c>
      <c r="M53" s="251" t="s">
        <v>2962</v>
      </c>
      <c r="N53" s="252">
        <f>SUM(N56:N59)</f>
        <v>0</v>
      </c>
      <c r="O53" s="252">
        <f>SUM(O56:O59)</f>
        <v>0</v>
      </c>
      <c r="P53" s="259">
        <f>+O53-N53</f>
        <v>0</v>
      </c>
      <c r="Q53" s="252">
        <f>SUM(Q56:Q59)</f>
        <v>0</v>
      </c>
      <c r="R53" s="252">
        <f>SUM(R56:R59)</f>
        <v>0</v>
      </c>
      <c r="S53" s="252">
        <f>SUM(S56:S59)</f>
        <v>0</v>
      </c>
      <c r="T53" s="252">
        <f>SUM(T56:T59)</f>
        <v>0</v>
      </c>
      <c r="U53" s="252">
        <f>SUM(U56:U59)</f>
        <v>0</v>
      </c>
      <c r="V53" s="216"/>
      <c r="W53" s="252">
        <f t="shared" ref="W53:AE53" si="1">SUM(W56:W59)</f>
        <v>0</v>
      </c>
      <c r="X53" s="252">
        <f t="shared" si="1"/>
        <v>0</v>
      </c>
      <c r="Y53" s="252">
        <f t="shared" si="1"/>
        <v>0</v>
      </c>
      <c r="Z53" s="252">
        <f t="shared" si="1"/>
        <v>0</v>
      </c>
      <c r="AA53" s="252">
        <f t="shared" si="1"/>
        <v>0</v>
      </c>
      <c r="AB53" s="252">
        <f t="shared" si="1"/>
        <v>0</v>
      </c>
      <c r="AC53" s="252">
        <f t="shared" si="1"/>
        <v>0</v>
      </c>
      <c r="AD53" s="252">
        <f t="shared" si="1"/>
        <v>0</v>
      </c>
      <c r="AE53" s="252">
        <f t="shared" si="1"/>
        <v>0</v>
      </c>
    </row>
    <row r="54" spans="2:31" s="204" customFormat="1" x14ac:dyDescent="0.25">
      <c r="B54" s="230"/>
      <c r="C54" s="230"/>
      <c r="D54" s="230"/>
      <c r="E54" s="230"/>
      <c r="F54" s="230"/>
      <c r="G54" s="230"/>
      <c r="H54" s="231"/>
      <c r="I54" s="230"/>
      <c r="J54" s="230"/>
      <c r="K54" s="230"/>
      <c r="L54" s="277"/>
      <c r="M54" s="216"/>
      <c r="N54" s="285"/>
      <c r="O54" s="211"/>
      <c r="P54" s="211"/>
      <c r="Q54" s="211"/>
      <c r="R54" s="216"/>
      <c r="T54" s="216"/>
      <c r="U54" s="216"/>
      <c r="V54" s="216"/>
      <c r="W54" s="211"/>
      <c r="X54" s="211"/>
      <c r="Y54" s="211"/>
      <c r="Z54" s="211"/>
      <c r="AA54" s="211"/>
    </row>
    <row r="55" spans="2:31" s="204" customFormat="1" ht="63.75" x14ac:dyDescent="0.25">
      <c r="B55" s="260" t="s">
        <v>2968</v>
      </c>
      <c r="C55" s="260" t="s">
        <v>2969</v>
      </c>
      <c r="D55" s="206" t="s">
        <v>72</v>
      </c>
      <c r="E55" s="206"/>
      <c r="F55" s="206"/>
      <c r="G55" s="207"/>
      <c r="H55" s="207"/>
      <c r="I55" s="207"/>
      <c r="J55" s="207" t="s">
        <v>2957</v>
      </c>
      <c r="K55" s="206" t="s">
        <v>82</v>
      </c>
      <c r="L55" s="261" t="s">
        <v>2970</v>
      </c>
      <c r="M55" s="280"/>
      <c r="N55" s="256" t="str">
        <f>N$15</f>
        <v>Valore netto al 31/12/2019</v>
      </c>
      <c r="O55" s="256" t="str">
        <f>O$15</f>
        <v>Valore netto al 31/12/2020</v>
      </c>
      <c r="P55" s="256" t="str">
        <f>P$15</f>
        <v>Variazione</v>
      </c>
      <c r="Q55" s="262" t="s">
        <v>2971</v>
      </c>
      <c r="R55" s="262" t="str">
        <f>"Costo storico al 31/12/"&amp;Info!$B$3-1</f>
        <v>Costo storico al 31/12/2019</v>
      </c>
      <c r="S55" s="262" t="s">
        <v>2972</v>
      </c>
      <c r="T55" s="262" t="s">
        <v>2973</v>
      </c>
      <c r="U55" s="262" t="s">
        <v>2974</v>
      </c>
      <c r="W55" s="262" t="s">
        <v>2975</v>
      </c>
      <c r="X55" s="262" t="s">
        <v>2976</v>
      </c>
      <c r="Y55" s="262" t="s">
        <v>2977</v>
      </c>
      <c r="Z55" s="262" t="s">
        <v>2978</v>
      </c>
      <c r="AA55" s="262" t="s">
        <v>2979</v>
      </c>
      <c r="AB55" s="262" t="s">
        <v>2980</v>
      </c>
      <c r="AC55" s="262" t="s">
        <v>2981</v>
      </c>
      <c r="AD55" s="262" t="s">
        <v>2982</v>
      </c>
      <c r="AE55" s="262" t="s">
        <v>2983</v>
      </c>
    </row>
    <row r="56" spans="2:31" s="204" customFormat="1" x14ac:dyDescent="0.25">
      <c r="B56" s="246" t="s">
        <v>180</v>
      </c>
      <c r="C56" s="263" t="s">
        <v>181</v>
      </c>
      <c r="D56" s="264" t="s">
        <v>3008</v>
      </c>
      <c r="E56" s="264"/>
      <c r="F56" s="264"/>
      <c r="G56" s="265"/>
      <c r="H56" s="266"/>
      <c r="I56" s="281"/>
      <c r="J56" s="281"/>
      <c r="K56" s="281"/>
      <c r="L56" s="282" t="s">
        <v>3009</v>
      </c>
      <c r="M56" s="263" t="s">
        <v>2962</v>
      </c>
      <c r="N56" s="269">
        <f>+R56+T56-U56</f>
        <v>0</v>
      </c>
      <c r="O56" s="270">
        <f>+N56+S56+X56+ABS(Y56)-ABS(AA56)+ABS(Z56)+ABS(AB56)+ABS(AD56)-ABS(AE56)+AC56+W56+Q56</f>
        <v>0</v>
      </c>
      <c r="P56" s="271">
        <f>+O56-N56</f>
        <v>0</v>
      </c>
      <c r="Q56" s="520"/>
      <c r="R56" s="354">
        <f>IF(ISERROR(VLOOKUP("RIC"&amp;$C56,ESTR_PREC_SP!$A$2:$G$2000,4,FALSE))=TRUE,0,VLOOKUP("RIC"&amp;$C56,ESTR_PREC_SP!$A$2:$G$2000,4,FALSE))</f>
        <v>0</v>
      </c>
      <c r="S56" s="521"/>
      <c r="T56" s="521"/>
      <c r="U56" s="521"/>
      <c r="W56" s="520"/>
      <c r="X56" s="520"/>
      <c r="Y56" s="520"/>
      <c r="Z56" s="520"/>
      <c r="AA56" s="520"/>
      <c r="AB56" s="520"/>
      <c r="AC56" s="520"/>
      <c r="AD56" s="520"/>
      <c r="AE56" s="520"/>
    </row>
    <row r="57" spans="2:31" s="204" customFormat="1" x14ac:dyDescent="0.25">
      <c r="B57" s="246" t="s">
        <v>183</v>
      </c>
      <c r="C57" s="273" t="s">
        <v>184</v>
      </c>
      <c r="D57" s="264" t="s">
        <v>3010</v>
      </c>
      <c r="E57" s="264"/>
      <c r="F57" s="264"/>
      <c r="G57" s="265"/>
      <c r="H57" s="266"/>
      <c r="I57" s="281"/>
      <c r="J57" s="281"/>
      <c r="K57" s="281"/>
      <c r="L57" s="282" t="s">
        <v>3011</v>
      </c>
      <c r="M57" s="263" t="s">
        <v>2962</v>
      </c>
      <c r="N57" s="269">
        <f>+R57+T57-U57</f>
        <v>0</v>
      </c>
      <c r="O57" s="270">
        <f>+N57+S57+X57+ABS(Y57)-ABS(AA57)+ABS(Z57)+ABS(AB57)+ABS(AD57)-ABS(AE57)+AC57+W57+Q57</f>
        <v>0</v>
      </c>
      <c r="P57" s="271">
        <f>+O57-N57</f>
        <v>0</v>
      </c>
      <c r="Q57" s="520"/>
      <c r="R57" s="354">
        <f>IF(ISERROR(VLOOKUP("RIC"&amp;$C57,ESTR_PREC_SP!$A$2:$G$2000,4,FALSE))=TRUE,0,VLOOKUP("RIC"&amp;$C57,ESTR_PREC_SP!$A$2:$G$2000,4,FALSE))</f>
        <v>0</v>
      </c>
      <c r="S57" s="521"/>
      <c r="T57" s="521"/>
      <c r="U57" s="521"/>
      <c r="W57" s="520"/>
      <c r="X57" s="520"/>
      <c r="Y57" s="520"/>
      <c r="Z57" s="520"/>
      <c r="AA57" s="520"/>
      <c r="AB57" s="520"/>
      <c r="AC57" s="520"/>
      <c r="AD57" s="520"/>
      <c r="AE57" s="520"/>
    </row>
    <row r="58" spans="2:31" s="204" customFormat="1" ht="15" customHeight="1" x14ac:dyDescent="0.25">
      <c r="B58" s="246" t="s">
        <v>186</v>
      </c>
      <c r="C58" s="273" t="s">
        <v>187</v>
      </c>
      <c r="D58" s="274" t="s">
        <v>3012</v>
      </c>
      <c r="E58" s="264"/>
      <c r="F58" s="274"/>
      <c r="G58" s="283"/>
      <c r="H58" s="266"/>
      <c r="I58" s="281"/>
      <c r="J58" s="281"/>
      <c r="K58" s="281"/>
      <c r="L58" s="288" t="s">
        <v>3013</v>
      </c>
      <c r="M58" s="284" t="s">
        <v>2962</v>
      </c>
      <c r="N58" s="269">
        <f>+R58+T58-U58</f>
        <v>0</v>
      </c>
      <c r="O58" s="270">
        <f>+N58+S58+X58+ABS(Y58)-ABS(AA58)+ABS(Z58)+ABS(AB58)+ABS(AD58)-ABS(AE58)+AC58+W58+Q58</f>
        <v>0</v>
      </c>
      <c r="P58" s="271">
        <f>+O58-N58</f>
        <v>0</v>
      </c>
      <c r="Q58" s="520"/>
      <c r="R58" s="354">
        <f>IF(ISERROR(VLOOKUP("RIC"&amp;$C58,ESTR_PREC_SP!$A$2:$G$2000,4,FALSE))=TRUE,0,VLOOKUP("RIC"&amp;$C58,ESTR_PREC_SP!$A$2:$G$2000,4,FALSE))</f>
        <v>0</v>
      </c>
      <c r="S58" s="521"/>
      <c r="T58" s="521"/>
      <c r="U58" s="521"/>
      <c r="W58" s="520"/>
      <c r="X58" s="520"/>
      <c r="Y58" s="520"/>
      <c r="Z58" s="520"/>
      <c r="AA58" s="520"/>
      <c r="AB58" s="520"/>
      <c r="AC58" s="520"/>
      <c r="AD58" s="520"/>
      <c r="AE58" s="520"/>
    </row>
    <row r="59" spans="2:31" s="204" customFormat="1" ht="25.5" x14ac:dyDescent="0.25">
      <c r="B59" s="246" t="s">
        <v>189</v>
      </c>
      <c r="C59" s="273" t="s">
        <v>190</v>
      </c>
      <c r="D59" s="274" t="s">
        <v>3014</v>
      </c>
      <c r="E59" s="264"/>
      <c r="F59" s="274"/>
      <c r="G59" s="283"/>
      <c r="H59" s="266"/>
      <c r="I59" s="281"/>
      <c r="J59" s="281"/>
      <c r="K59" s="281"/>
      <c r="L59" s="288" t="s">
        <v>3015</v>
      </c>
      <c r="M59" s="284" t="s">
        <v>2962</v>
      </c>
      <c r="N59" s="269">
        <f>+R59+T59-U59</f>
        <v>0</v>
      </c>
      <c r="O59" s="270">
        <f>+N59+S59+X59+ABS(Y59)-ABS(AA59)+ABS(Z59)+ABS(AB59)+ABS(AD59)-ABS(AE59)+AC59+W59+Q59</f>
        <v>0</v>
      </c>
      <c r="P59" s="271">
        <f>+O59-N59</f>
        <v>0</v>
      </c>
      <c r="Q59" s="520"/>
      <c r="R59" s="354">
        <f>IF(ISERROR(VLOOKUP("RIC"&amp;$C59,ESTR_PREC_SP!$A$2:$G$2000,4,FALSE))=TRUE,0,VLOOKUP("RIC"&amp;$C59,ESTR_PREC_SP!$A$2:$G$2000,4,FALSE))</f>
        <v>0</v>
      </c>
      <c r="S59" s="521"/>
      <c r="T59" s="521"/>
      <c r="U59" s="521"/>
      <c r="W59" s="520"/>
      <c r="X59" s="520"/>
      <c r="Y59" s="520"/>
      <c r="Z59" s="520"/>
      <c r="AA59" s="520"/>
      <c r="AB59" s="520"/>
      <c r="AC59" s="520"/>
      <c r="AD59" s="520"/>
      <c r="AE59" s="520"/>
    </row>
    <row r="60" spans="2:31" s="204" customFormat="1" x14ac:dyDescent="0.25">
      <c r="B60" s="230"/>
      <c r="C60" s="230"/>
      <c r="D60" s="230"/>
      <c r="E60" s="230"/>
      <c r="F60" s="230"/>
      <c r="G60" s="230"/>
      <c r="H60" s="231"/>
      <c r="I60" s="230"/>
      <c r="J60" s="230"/>
      <c r="K60" s="230"/>
      <c r="L60" s="275"/>
      <c r="M60" s="216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11"/>
    </row>
    <row r="61" spans="2:31" s="204" customFormat="1" ht="26.25" x14ac:dyDescent="0.25">
      <c r="B61" s="246" t="s">
        <v>192</v>
      </c>
      <c r="C61" s="246" t="s">
        <v>193</v>
      </c>
      <c r="D61" s="247" t="s">
        <v>3016</v>
      </c>
      <c r="E61" s="247"/>
      <c r="F61" s="247"/>
      <c r="G61" s="247"/>
      <c r="H61" s="248"/>
      <c r="I61" s="247"/>
      <c r="J61" s="247"/>
      <c r="K61" s="249"/>
      <c r="L61" s="276" t="s">
        <v>196</v>
      </c>
      <c r="M61" s="251" t="s">
        <v>2962</v>
      </c>
      <c r="N61" s="252">
        <f>SUM(N64:N67)</f>
        <v>0</v>
      </c>
      <c r="O61" s="252">
        <f>SUM(O64:O67)</f>
        <v>0</v>
      </c>
      <c r="P61" s="259">
        <f>+O61-N61</f>
        <v>0</v>
      </c>
      <c r="Q61" s="252">
        <f>SUM(Q64:Q67)</f>
        <v>0</v>
      </c>
      <c r="R61" s="252">
        <f>SUM(R64:R67)</f>
        <v>0</v>
      </c>
      <c r="S61" s="252">
        <f>SUM(S64:S67)</f>
        <v>0</v>
      </c>
      <c r="V61" s="211"/>
      <c r="W61" s="252">
        <f>SUM(W64:W67)</f>
        <v>0</v>
      </c>
      <c r="X61" s="252">
        <f>SUM(X64:X67)</f>
        <v>0</v>
      </c>
      <c r="Y61" s="252">
        <f>SUM(Y64:Y67)</f>
        <v>0</v>
      </c>
      <c r="Z61" s="252">
        <f>SUM(Z64:Z67)</f>
        <v>0</v>
      </c>
      <c r="AA61" s="211"/>
    </row>
    <row r="62" spans="2:31" s="204" customFormat="1" x14ac:dyDescent="0.25">
      <c r="B62" s="230"/>
      <c r="C62" s="230"/>
      <c r="D62" s="230"/>
      <c r="E62" s="230"/>
      <c r="F62" s="230"/>
      <c r="G62" s="230"/>
      <c r="H62" s="231"/>
      <c r="I62" s="230"/>
      <c r="J62" s="230"/>
      <c r="K62" s="230"/>
      <c r="L62" s="277"/>
      <c r="M62" s="216"/>
      <c r="N62" s="285"/>
      <c r="O62" s="211"/>
      <c r="P62" s="211"/>
      <c r="Q62" s="211"/>
      <c r="V62" s="211"/>
      <c r="W62" s="211"/>
      <c r="X62" s="211"/>
      <c r="Y62" s="211"/>
      <c r="Z62" s="211"/>
      <c r="AA62" s="285"/>
    </row>
    <row r="63" spans="2:31" s="204" customFormat="1" ht="63.75" x14ac:dyDescent="0.25">
      <c r="B63" s="260" t="s">
        <v>2968</v>
      </c>
      <c r="C63" s="260" t="s">
        <v>2969</v>
      </c>
      <c r="D63" s="206" t="s">
        <v>72</v>
      </c>
      <c r="E63" s="206"/>
      <c r="F63" s="206"/>
      <c r="G63" s="207"/>
      <c r="H63" s="207"/>
      <c r="I63" s="207"/>
      <c r="J63" s="207" t="s">
        <v>2957</v>
      </c>
      <c r="K63" s="206" t="s">
        <v>82</v>
      </c>
      <c r="L63" s="261" t="s">
        <v>2970</v>
      </c>
      <c r="M63" s="280"/>
      <c r="N63" s="256" t="str">
        <f>N$15</f>
        <v>Valore netto al 31/12/2019</v>
      </c>
      <c r="O63" s="256" t="str">
        <f>O$15</f>
        <v>Valore netto al 31/12/2020</v>
      </c>
      <c r="P63" s="256" t="str">
        <f>P$15</f>
        <v>Variazione</v>
      </c>
      <c r="Q63" s="262" t="s">
        <v>2971</v>
      </c>
      <c r="R63" s="262" t="str">
        <f>"Fondo ammortamento 31/12/"&amp;Info!$B$3-1</f>
        <v>Fondo ammortamento 31/12/2019</v>
      </c>
      <c r="S63" s="262" t="s">
        <v>2972</v>
      </c>
      <c r="V63" s="211"/>
      <c r="W63" s="262" t="s">
        <v>2975</v>
      </c>
      <c r="X63" s="262" t="s">
        <v>2976</v>
      </c>
      <c r="Y63" s="262" t="s">
        <v>2989</v>
      </c>
      <c r="Z63" s="262" t="s">
        <v>2990</v>
      </c>
      <c r="AA63" s="285"/>
    </row>
    <row r="64" spans="2:31" s="204" customFormat="1" x14ac:dyDescent="0.25">
      <c r="B64" s="246" t="s">
        <v>197</v>
      </c>
      <c r="C64" s="263" t="s">
        <v>198</v>
      </c>
      <c r="D64" s="274" t="s">
        <v>3017</v>
      </c>
      <c r="E64" s="264"/>
      <c r="F64" s="264"/>
      <c r="G64" s="265"/>
      <c r="H64" s="266"/>
      <c r="I64" s="281"/>
      <c r="J64" s="281"/>
      <c r="K64" s="281"/>
      <c r="L64" s="282" t="s">
        <v>3018</v>
      </c>
      <c r="M64" s="263" t="s">
        <v>2962</v>
      </c>
      <c r="N64" s="269">
        <f>+R64</f>
        <v>0</v>
      </c>
      <c r="O64" s="270">
        <f>+R64+S64+X64-ABS(Y64)+ABS(Z64)+W64+Q64</f>
        <v>0</v>
      </c>
      <c r="P64" s="271">
        <f>+O64-N64</f>
        <v>0</v>
      </c>
      <c r="Q64" s="520"/>
      <c r="R64" s="354">
        <f>IF(ISERROR(VLOOKUP("RIC"&amp;$C64,ESTR_PREC_SP!$A$2:$G$2000,4,FALSE))=TRUE,0,VLOOKUP("RIC"&amp;$C64,ESTR_PREC_SP!$A$2:$G$2000,4,FALSE))</f>
        <v>0</v>
      </c>
      <c r="S64" s="521"/>
      <c r="V64" s="211"/>
      <c r="W64" s="520"/>
      <c r="X64" s="520"/>
      <c r="Y64" s="520"/>
      <c r="Z64" s="520"/>
      <c r="AA64" s="285"/>
    </row>
    <row r="65" spans="2:35" s="204" customFormat="1" x14ac:dyDescent="0.25">
      <c r="B65" s="246" t="s">
        <v>200</v>
      </c>
      <c r="C65" s="273" t="s">
        <v>201</v>
      </c>
      <c r="D65" s="274" t="s">
        <v>3019</v>
      </c>
      <c r="E65" s="264"/>
      <c r="F65" s="264"/>
      <c r="G65" s="265"/>
      <c r="H65" s="266"/>
      <c r="I65" s="281"/>
      <c r="J65" s="281"/>
      <c r="K65" s="281"/>
      <c r="L65" s="282" t="s">
        <v>3020</v>
      </c>
      <c r="M65" s="263" t="s">
        <v>2962</v>
      </c>
      <c r="N65" s="269">
        <f>+R65</f>
        <v>0</v>
      </c>
      <c r="O65" s="270">
        <f>+R65+S65+X65-ABS(Y65)+ABS(Z65)+W65+Q65</f>
        <v>0</v>
      </c>
      <c r="P65" s="271">
        <f>+O65-N65</f>
        <v>0</v>
      </c>
      <c r="Q65" s="520"/>
      <c r="R65" s="354">
        <f>IF(ISERROR(VLOOKUP("RIC"&amp;$C65,ESTR_PREC_SP!$A$2:$G$2000,4,FALSE))=TRUE,0,VLOOKUP("RIC"&amp;$C65,ESTR_PREC_SP!$A$2:$G$2000,4,FALSE))</f>
        <v>0</v>
      </c>
      <c r="S65" s="521"/>
      <c r="V65" s="211"/>
      <c r="W65" s="520"/>
      <c r="X65" s="520"/>
      <c r="Y65" s="520"/>
      <c r="Z65" s="520"/>
      <c r="AA65" s="285"/>
    </row>
    <row r="66" spans="2:35" s="204" customFormat="1" ht="25.5" x14ac:dyDescent="0.25">
      <c r="B66" s="246" t="s">
        <v>203</v>
      </c>
      <c r="C66" s="273" t="s">
        <v>204</v>
      </c>
      <c r="D66" s="274" t="s">
        <v>3021</v>
      </c>
      <c r="E66" s="264"/>
      <c r="F66" s="274"/>
      <c r="G66" s="283"/>
      <c r="H66" s="266"/>
      <c r="I66" s="281"/>
      <c r="J66" s="281"/>
      <c r="K66" s="281"/>
      <c r="L66" s="288" t="s">
        <v>3022</v>
      </c>
      <c r="M66" s="284" t="s">
        <v>2962</v>
      </c>
      <c r="N66" s="269">
        <f>+R66</f>
        <v>0</v>
      </c>
      <c r="O66" s="270">
        <f>+R66+S66+X66-ABS(Y66)+ABS(Z66)+W66+Q66</f>
        <v>0</v>
      </c>
      <c r="P66" s="271">
        <f>+O66-N66</f>
        <v>0</v>
      </c>
      <c r="Q66" s="520"/>
      <c r="R66" s="354">
        <f>IF(ISERROR(VLOOKUP("RIC"&amp;$C66,ESTR_PREC_SP!$A$2:$G$2000,4,FALSE))=TRUE,0,VLOOKUP("RIC"&amp;$C66,ESTR_PREC_SP!$A$2:$G$2000,4,FALSE))</f>
        <v>0</v>
      </c>
      <c r="S66" s="521"/>
      <c r="V66" s="211"/>
      <c r="W66" s="520"/>
      <c r="X66" s="520"/>
      <c r="Y66" s="520"/>
      <c r="Z66" s="520"/>
      <c r="AA66" s="285"/>
    </row>
    <row r="67" spans="2:35" s="204" customFormat="1" ht="25.5" x14ac:dyDescent="0.25">
      <c r="B67" s="246" t="s">
        <v>206</v>
      </c>
      <c r="C67" s="273" t="s">
        <v>207</v>
      </c>
      <c r="D67" s="274" t="s">
        <v>3023</v>
      </c>
      <c r="E67" s="264"/>
      <c r="F67" s="274"/>
      <c r="G67" s="283"/>
      <c r="H67" s="266"/>
      <c r="I67" s="281"/>
      <c r="J67" s="281"/>
      <c r="K67" s="281"/>
      <c r="L67" s="288" t="s">
        <v>3024</v>
      </c>
      <c r="M67" s="284" t="s">
        <v>2962</v>
      </c>
      <c r="N67" s="269">
        <f>+R67</f>
        <v>0</v>
      </c>
      <c r="O67" s="270">
        <f>+R67+S67+X67-ABS(Y67)+ABS(Z67)+W67+Q67</f>
        <v>0</v>
      </c>
      <c r="P67" s="271">
        <f>+O67-N67</f>
        <v>0</v>
      </c>
      <c r="Q67" s="520"/>
      <c r="R67" s="354">
        <f>IF(ISERROR(VLOOKUP("RIC"&amp;$C67,ESTR_PREC_SP!$A$2:$G$2000,4,FALSE))=TRUE,0,VLOOKUP("RIC"&amp;$C67,ESTR_PREC_SP!$A$2:$G$2000,4,FALSE))</f>
        <v>0</v>
      </c>
      <c r="S67" s="521"/>
      <c r="V67" s="211"/>
      <c r="W67" s="520"/>
      <c r="X67" s="520"/>
      <c r="Y67" s="520"/>
      <c r="Z67" s="520"/>
      <c r="AA67" s="285"/>
    </row>
    <row r="68" spans="2:35" s="204" customFormat="1" x14ac:dyDescent="0.25">
      <c r="B68" s="289"/>
      <c r="C68" s="289"/>
      <c r="D68" s="226"/>
      <c r="E68" s="226"/>
      <c r="F68" s="226"/>
      <c r="G68" s="290"/>
      <c r="H68" s="290"/>
      <c r="I68" s="290"/>
      <c r="J68" s="290"/>
      <c r="K68" s="290"/>
      <c r="L68" s="291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</row>
    <row r="69" spans="2:35" s="204" customFormat="1" ht="26.25" x14ac:dyDescent="0.25">
      <c r="B69" s="246" t="s">
        <v>209</v>
      </c>
      <c r="C69" s="292" t="s">
        <v>210</v>
      </c>
      <c r="D69" s="274" t="s">
        <v>3025</v>
      </c>
      <c r="E69" s="247"/>
      <c r="F69" s="247"/>
      <c r="G69" s="247"/>
      <c r="H69" s="248"/>
      <c r="I69" s="247"/>
      <c r="J69" s="247"/>
      <c r="K69" s="249"/>
      <c r="L69" s="276" t="s">
        <v>212</v>
      </c>
      <c r="M69" s="251" t="s">
        <v>2962</v>
      </c>
      <c r="N69" s="252">
        <f>SUM(N72:N75)</f>
        <v>0</v>
      </c>
      <c r="O69" s="252">
        <f>SUM(O72:O75)</f>
        <v>0</v>
      </c>
      <c r="P69" s="259">
        <f>+O69-N69</f>
        <v>0</v>
      </c>
      <c r="Q69" s="252">
        <f>SUM(Q72:Q75)</f>
        <v>0</v>
      </c>
      <c r="R69" s="252">
        <f>SUM(R72:R75)</f>
        <v>0</v>
      </c>
      <c r="S69" s="252">
        <f>SUM(S72:S75)</f>
        <v>0</v>
      </c>
      <c r="T69" s="252">
        <f>SUM(T72:T75)</f>
        <v>0</v>
      </c>
      <c r="U69" s="252">
        <f>SUM(U72:U75)</f>
        <v>0</v>
      </c>
      <c r="V69" s="216"/>
      <c r="W69" s="252">
        <f t="shared" ref="W69:AE69" si="2">SUM(W72:W75)</f>
        <v>0</v>
      </c>
      <c r="X69" s="252">
        <f t="shared" si="2"/>
        <v>0</v>
      </c>
      <c r="Y69" s="252">
        <f t="shared" si="2"/>
        <v>0</v>
      </c>
      <c r="Z69" s="252">
        <f t="shared" si="2"/>
        <v>0</v>
      </c>
      <c r="AA69" s="252">
        <f t="shared" si="2"/>
        <v>0</v>
      </c>
      <c r="AB69" s="252">
        <f t="shared" si="2"/>
        <v>0</v>
      </c>
      <c r="AC69" s="252">
        <f t="shared" si="2"/>
        <v>0</v>
      </c>
      <c r="AD69" s="252">
        <f t="shared" si="2"/>
        <v>0</v>
      </c>
      <c r="AE69" s="252">
        <f t="shared" si="2"/>
        <v>0</v>
      </c>
    </row>
    <row r="70" spans="2:35" s="204" customFormat="1" x14ac:dyDescent="0.25">
      <c r="B70" s="293"/>
      <c r="C70" s="293"/>
      <c r="D70" s="274"/>
      <c r="E70" s="230"/>
      <c r="F70" s="230"/>
      <c r="G70" s="230"/>
      <c r="H70" s="231"/>
      <c r="I70" s="230"/>
      <c r="J70" s="230"/>
      <c r="K70" s="230"/>
      <c r="L70" s="277"/>
      <c r="M70" s="216"/>
      <c r="N70" s="285"/>
      <c r="O70" s="211"/>
      <c r="P70" s="211"/>
      <c r="Q70" s="211"/>
      <c r="R70" s="216"/>
      <c r="T70" s="216"/>
      <c r="U70" s="216"/>
      <c r="V70" s="216"/>
      <c r="W70" s="211"/>
      <c r="X70" s="211"/>
      <c r="Y70" s="211"/>
      <c r="Z70" s="211"/>
      <c r="AA70" s="211"/>
    </row>
    <row r="71" spans="2:35" s="204" customFormat="1" ht="63.75" x14ac:dyDescent="0.25">
      <c r="B71" s="294" t="s">
        <v>2968</v>
      </c>
      <c r="C71" s="294" t="s">
        <v>2969</v>
      </c>
      <c r="D71" s="274" t="s">
        <v>72</v>
      </c>
      <c r="E71" s="206"/>
      <c r="F71" s="206"/>
      <c r="G71" s="207"/>
      <c r="H71" s="207"/>
      <c r="I71" s="207"/>
      <c r="J71" s="207" t="s">
        <v>2957</v>
      </c>
      <c r="K71" s="206" t="s">
        <v>82</v>
      </c>
      <c r="L71" s="261" t="s">
        <v>2970</v>
      </c>
      <c r="M71" s="280"/>
      <c r="N71" s="256" t="str">
        <f>N$15</f>
        <v>Valore netto al 31/12/2019</v>
      </c>
      <c r="O71" s="256" t="str">
        <f>O$15</f>
        <v>Valore netto al 31/12/2020</v>
      </c>
      <c r="P71" s="256" t="str">
        <f>P$15</f>
        <v>Variazione</v>
      </c>
      <c r="Q71" s="262" t="s">
        <v>2971</v>
      </c>
      <c r="R71" s="262" t="str">
        <f>"Costo storico al 31/12/"&amp;Info!$B$3-1</f>
        <v>Costo storico al 31/12/2019</v>
      </c>
      <c r="S71" s="262" t="s">
        <v>2972</v>
      </c>
      <c r="T71" s="262" t="s">
        <v>2973</v>
      </c>
      <c r="U71" s="262" t="s">
        <v>2974</v>
      </c>
      <c r="W71" s="262" t="s">
        <v>2975</v>
      </c>
      <c r="X71" s="262" t="s">
        <v>2976</v>
      </c>
      <c r="Y71" s="262" t="s">
        <v>2977</v>
      </c>
      <c r="Z71" s="262" t="s">
        <v>2978</v>
      </c>
      <c r="AA71" s="262" t="s">
        <v>2979</v>
      </c>
      <c r="AB71" s="262" t="s">
        <v>2980</v>
      </c>
      <c r="AC71" s="262" t="s">
        <v>2981</v>
      </c>
      <c r="AD71" s="262" t="s">
        <v>2982</v>
      </c>
      <c r="AE71" s="262" t="s">
        <v>2983</v>
      </c>
    </row>
    <row r="72" spans="2:35" s="204" customFormat="1" x14ac:dyDescent="0.25">
      <c r="B72" s="246" t="s">
        <v>213</v>
      </c>
      <c r="C72" s="273" t="s">
        <v>214</v>
      </c>
      <c r="D72" s="274" t="s">
        <v>3026</v>
      </c>
      <c r="E72" s="264"/>
      <c r="F72" s="264"/>
      <c r="G72" s="265"/>
      <c r="H72" s="266"/>
      <c r="I72" s="281"/>
      <c r="J72" s="281"/>
      <c r="K72" s="281"/>
      <c r="L72" s="282" t="s">
        <v>3027</v>
      </c>
      <c r="M72" s="263" t="s">
        <v>2962</v>
      </c>
      <c r="N72" s="269">
        <f>+R72+T72-U72</f>
        <v>0</v>
      </c>
      <c r="O72" s="270">
        <f>+N72+S72+X72+ABS(Y72)-ABS(AA72)+ABS(Z72)+ABS(AB72)+ABS(AD72)-ABS(AE72)+AC72+W72+Q72</f>
        <v>0</v>
      </c>
      <c r="P72" s="271">
        <f>+O72-N72</f>
        <v>0</v>
      </c>
      <c r="Q72" s="520"/>
      <c r="R72" s="354">
        <f>IF(ISERROR(VLOOKUP("RIC"&amp;$C72,ESTR_PREC_SP!$A$2:$G$2000,4,FALSE))=TRUE,0,VLOOKUP("RIC"&amp;$C72,ESTR_PREC_SP!$A$2:$G$2000,4,FALSE))</f>
        <v>0</v>
      </c>
      <c r="S72" s="521"/>
      <c r="T72" s="521"/>
      <c r="U72" s="521"/>
      <c r="W72" s="520"/>
      <c r="X72" s="520"/>
      <c r="Y72" s="520"/>
      <c r="Z72" s="520"/>
      <c r="AA72" s="520"/>
      <c r="AB72" s="520"/>
      <c r="AC72" s="520"/>
      <c r="AD72" s="520"/>
      <c r="AE72" s="520"/>
    </row>
    <row r="73" spans="2:35" s="204" customFormat="1" x14ac:dyDescent="0.25">
      <c r="B73" s="246" t="s">
        <v>216</v>
      </c>
      <c r="C73" s="273" t="s">
        <v>217</v>
      </c>
      <c r="D73" s="274" t="s">
        <v>3028</v>
      </c>
      <c r="E73" s="264"/>
      <c r="F73" s="264"/>
      <c r="G73" s="265"/>
      <c r="H73" s="266"/>
      <c r="I73" s="281"/>
      <c r="J73" s="281"/>
      <c r="K73" s="281"/>
      <c r="L73" s="282" t="s">
        <v>3029</v>
      </c>
      <c r="M73" s="263" t="s">
        <v>2962</v>
      </c>
      <c r="N73" s="269">
        <f>+R73+T73-U73</f>
        <v>0</v>
      </c>
      <c r="O73" s="270">
        <f>+N73+S73+X73+ABS(Y73)-ABS(AA73)+ABS(Z73)+ABS(AB73)+ABS(AD73)-ABS(AE73)+AC73+W73+Q73</f>
        <v>0</v>
      </c>
      <c r="P73" s="271">
        <f>+O73-N73</f>
        <v>0</v>
      </c>
      <c r="Q73" s="520"/>
      <c r="R73" s="354">
        <f>IF(ISERROR(VLOOKUP("RIC"&amp;$C73,ESTR_PREC_SP!$A$2:$G$2000,4,FALSE))=TRUE,0,VLOOKUP("RIC"&amp;$C73,ESTR_PREC_SP!$A$2:$G$2000,4,FALSE))</f>
        <v>0</v>
      </c>
      <c r="S73" s="521"/>
      <c r="T73" s="521"/>
      <c r="U73" s="521"/>
      <c r="W73" s="520"/>
      <c r="X73" s="520"/>
      <c r="Y73" s="520"/>
      <c r="Z73" s="520"/>
      <c r="AA73" s="520"/>
      <c r="AB73" s="520"/>
      <c r="AC73" s="520"/>
      <c r="AD73" s="520"/>
      <c r="AE73" s="520"/>
    </row>
    <row r="74" spans="2:35" s="204" customFormat="1" x14ac:dyDescent="0.25">
      <c r="B74" s="246" t="s">
        <v>219</v>
      </c>
      <c r="C74" s="273" t="s">
        <v>220</v>
      </c>
      <c r="D74" s="274" t="s">
        <v>3030</v>
      </c>
      <c r="E74" s="264"/>
      <c r="F74" s="274"/>
      <c r="G74" s="283"/>
      <c r="H74" s="266"/>
      <c r="I74" s="281"/>
      <c r="J74" s="281"/>
      <c r="K74" s="281"/>
      <c r="L74" s="288" t="s">
        <v>3031</v>
      </c>
      <c r="M74" s="284" t="s">
        <v>2962</v>
      </c>
      <c r="N74" s="269">
        <f>+R74+T74-U74</f>
        <v>0</v>
      </c>
      <c r="O74" s="270">
        <f>+N74+S74+X74+ABS(Y74)-ABS(AA74)+ABS(Z74)+ABS(AB74)+ABS(AD74)-ABS(AE74)+AC74+W74+Q74</f>
        <v>0</v>
      </c>
      <c r="P74" s="271">
        <f>+O74-N74</f>
        <v>0</v>
      </c>
      <c r="Q74" s="520"/>
      <c r="R74" s="354">
        <f>IF(ISERROR(VLOOKUP("RIC"&amp;$C74,ESTR_PREC_SP!$A$2:$G$2000,4,FALSE))=TRUE,0,VLOOKUP("RIC"&amp;$C74,ESTR_PREC_SP!$A$2:$G$2000,4,FALSE))</f>
        <v>0</v>
      </c>
      <c r="S74" s="521"/>
      <c r="T74" s="521"/>
      <c r="U74" s="521"/>
      <c r="W74" s="520"/>
      <c r="X74" s="520"/>
      <c r="Y74" s="520"/>
      <c r="Z74" s="520"/>
      <c r="AA74" s="520"/>
      <c r="AB74" s="520"/>
      <c r="AC74" s="520"/>
      <c r="AD74" s="520"/>
      <c r="AE74" s="520"/>
    </row>
    <row r="75" spans="2:35" s="204" customFormat="1" x14ac:dyDescent="0.25">
      <c r="B75" s="246" t="s">
        <v>222</v>
      </c>
      <c r="C75" s="273" t="s">
        <v>223</v>
      </c>
      <c r="D75" s="274" t="s">
        <v>3032</v>
      </c>
      <c r="E75" s="264"/>
      <c r="F75" s="274"/>
      <c r="G75" s="283"/>
      <c r="H75" s="266"/>
      <c r="I75" s="281"/>
      <c r="J75" s="281"/>
      <c r="K75" s="281"/>
      <c r="L75" s="288" t="s">
        <v>3033</v>
      </c>
      <c r="M75" s="284" t="s">
        <v>2962</v>
      </c>
      <c r="N75" s="269">
        <f>+R75+T75-U75</f>
        <v>0</v>
      </c>
      <c r="O75" s="270">
        <f>+N75+S75+X75+ABS(Y75)-ABS(AA75)+ABS(Z75)+ABS(AB75)+ABS(AD75)-ABS(AE75)+AC75+W75+Q75</f>
        <v>0</v>
      </c>
      <c r="P75" s="271">
        <f>+O75-N75</f>
        <v>0</v>
      </c>
      <c r="Q75" s="520"/>
      <c r="R75" s="354">
        <f>IF(ISERROR(VLOOKUP("RIC"&amp;$C75,ESTR_PREC_SP!$A$2:$G$2000,4,FALSE))=TRUE,0,VLOOKUP("RIC"&amp;$C75,ESTR_PREC_SP!$A$2:$G$2000,4,FALSE))</f>
        <v>0</v>
      </c>
      <c r="S75" s="521"/>
      <c r="T75" s="521"/>
      <c r="U75" s="521"/>
      <c r="W75" s="520"/>
      <c r="X75" s="520"/>
      <c r="Y75" s="520"/>
      <c r="Z75" s="520"/>
      <c r="AA75" s="520"/>
      <c r="AB75" s="520"/>
      <c r="AC75" s="520"/>
      <c r="AD75" s="520"/>
      <c r="AE75" s="520"/>
    </row>
    <row r="76" spans="2:35" s="204" customFormat="1" x14ac:dyDescent="0.25">
      <c r="B76" s="293"/>
      <c r="C76" s="293"/>
      <c r="D76" s="230"/>
      <c r="E76" s="230"/>
      <c r="F76" s="230"/>
      <c r="G76" s="230"/>
      <c r="H76" s="231"/>
      <c r="I76" s="230"/>
      <c r="J76" s="230"/>
      <c r="K76" s="230"/>
      <c r="L76" s="275"/>
      <c r="M76" s="216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11"/>
    </row>
    <row r="77" spans="2:35" s="204" customFormat="1" ht="26.25" x14ac:dyDescent="0.25">
      <c r="B77" s="246" t="s">
        <v>225</v>
      </c>
      <c r="C77" s="292" t="s">
        <v>226</v>
      </c>
      <c r="D77" s="274" t="s">
        <v>3034</v>
      </c>
      <c r="E77" s="247"/>
      <c r="F77" s="247"/>
      <c r="G77" s="247"/>
      <c r="H77" s="248"/>
      <c r="I77" s="247"/>
      <c r="J77" s="247"/>
      <c r="K77" s="249"/>
      <c r="L77" s="276" t="s">
        <v>228</v>
      </c>
      <c r="M77" s="251" t="s">
        <v>2962</v>
      </c>
      <c r="N77" s="252">
        <f>SUM(N80:N83)</f>
        <v>0</v>
      </c>
      <c r="O77" s="252">
        <f>SUM(O80:O83)</f>
        <v>0</v>
      </c>
      <c r="P77" s="259">
        <f>+O77-N77</f>
        <v>0</v>
      </c>
      <c r="Q77" s="252">
        <f>SUM(Q80:Q83)</f>
        <v>0</v>
      </c>
      <c r="R77" s="252">
        <f>SUM(R80:R83)</f>
        <v>0</v>
      </c>
      <c r="S77" s="252">
        <f>SUM(S80:S83)</f>
        <v>0</v>
      </c>
      <c r="V77" s="211"/>
      <c r="W77" s="252">
        <f>SUM(W80:W83)</f>
        <v>0</v>
      </c>
      <c r="X77" s="252">
        <f>SUM(X80:X83)</f>
        <v>0</v>
      </c>
      <c r="Y77" s="252">
        <f>SUM(Y80:Y83)</f>
        <v>0</v>
      </c>
      <c r="Z77" s="252">
        <f>SUM(Z80:Z83)</f>
        <v>0</v>
      </c>
      <c r="AA77" s="211"/>
    </row>
    <row r="78" spans="2:35" s="204" customFormat="1" x14ac:dyDescent="0.25">
      <c r="B78" s="293"/>
      <c r="C78" s="293"/>
      <c r="D78" s="230"/>
      <c r="E78" s="230"/>
      <c r="F78" s="230"/>
      <c r="G78" s="230"/>
      <c r="H78" s="231"/>
      <c r="I78" s="230"/>
      <c r="J78" s="230"/>
      <c r="K78" s="230"/>
      <c r="L78" s="277"/>
      <c r="M78" s="216"/>
      <c r="N78" s="285"/>
      <c r="O78" s="211"/>
      <c r="P78" s="211"/>
      <c r="Q78" s="211"/>
      <c r="V78" s="211"/>
      <c r="W78" s="211"/>
      <c r="X78" s="211"/>
      <c r="Y78" s="211"/>
      <c r="Z78" s="211"/>
      <c r="AA78" s="285"/>
    </row>
    <row r="79" spans="2:35" s="204" customFormat="1" ht="63.75" x14ac:dyDescent="0.25">
      <c r="B79" s="294" t="s">
        <v>2968</v>
      </c>
      <c r="C79" s="294" t="s">
        <v>2969</v>
      </c>
      <c r="D79" s="206" t="s">
        <v>72</v>
      </c>
      <c r="E79" s="206"/>
      <c r="F79" s="206"/>
      <c r="G79" s="207"/>
      <c r="H79" s="207"/>
      <c r="I79" s="207"/>
      <c r="J79" s="207" t="s">
        <v>2957</v>
      </c>
      <c r="K79" s="206" t="s">
        <v>82</v>
      </c>
      <c r="L79" s="261" t="s">
        <v>2970</v>
      </c>
      <c r="M79" s="280"/>
      <c r="N79" s="256" t="str">
        <f>N$15</f>
        <v>Valore netto al 31/12/2019</v>
      </c>
      <c r="O79" s="256" t="str">
        <f>O$15</f>
        <v>Valore netto al 31/12/2020</v>
      </c>
      <c r="P79" s="256" t="str">
        <f>P$15</f>
        <v>Variazione</v>
      </c>
      <c r="Q79" s="262" t="s">
        <v>2971</v>
      </c>
      <c r="R79" s="262" t="str">
        <f>"Fondo ammortamento 31/12/"&amp;Info!$B$3-1</f>
        <v>Fondo ammortamento 31/12/2019</v>
      </c>
      <c r="S79" s="262" t="s">
        <v>2972</v>
      </c>
      <c r="V79" s="211"/>
      <c r="W79" s="262" t="s">
        <v>2975</v>
      </c>
      <c r="X79" s="262" t="s">
        <v>2976</v>
      </c>
      <c r="Y79" s="262" t="s">
        <v>2989</v>
      </c>
      <c r="Z79" s="262" t="s">
        <v>2990</v>
      </c>
      <c r="AA79" s="285"/>
    </row>
    <row r="80" spans="2:35" s="204" customFormat="1" x14ac:dyDescent="0.25">
      <c r="B80" s="246" t="s">
        <v>229</v>
      </c>
      <c r="C80" s="273" t="s">
        <v>230</v>
      </c>
      <c r="D80" s="274" t="s">
        <v>3035</v>
      </c>
      <c r="E80" s="264"/>
      <c r="F80" s="264"/>
      <c r="G80" s="265"/>
      <c r="H80" s="266"/>
      <c r="I80" s="281"/>
      <c r="J80" s="281"/>
      <c r="K80" s="281"/>
      <c r="L80" s="282" t="s">
        <v>3027</v>
      </c>
      <c r="M80" s="263" t="s">
        <v>2962</v>
      </c>
      <c r="N80" s="269">
        <f>+R80</f>
        <v>0</v>
      </c>
      <c r="O80" s="270">
        <f>+R80+S80+X80-ABS(Y80)+ABS(Z80)+W80+Q80</f>
        <v>0</v>
      </c>
      <c r="P80" s="271">
        <f>+O80-N80</f>
        <v>0</v>
      </c>
      <c r="Q80" s="520"/>
      <c r="R80" s="354">
        <f>IF(ISERROR(VLOOKUP("RIC"&amp;$C80,ESTR_PREC_SP!$A$2:$G$2000,4,FALSE))=TRUE,0,VLOOKUP("RIC"&amp;$C80,ESTR_PREC_SP!$A$2:$G$2000,4,FALSE))</f>
        <v>0</v>
      </c>
      <c r="S80" s="521"/>
      <c r="V80" s="211"/>
      <c r="W80" s="520"/>
      <c r="X80" s="520"/>
      <c r="Y80" s="520"/>
      <c r="Z80" s="520"/>
      <c r="AA80" s="285"/>
    </row>
    <row r="81" spans="2:31" s="204" customFormat="1" x14ac:dyDescent="0.25">
      <c r="B81" s="246" t="s">
        <v>232</v>
      </c>
      <c r="C81" s="273" t="s">
        <v>233</v>
      </c>
      <c r="D81" s="274" t="s">
        <v>3037</v>
      </c>
      <c r="E81" s="264"/>
      <c r="F81" s="264"/>
      <c r="G81" s="265"/>
      <c r="H81" s="266"/>
      <c r="I81" s="281"/>
      <c r="J81" s="281"/>
      <c r="K81" s="281"/>
      <c r="L81" s="282" t="s">
        <v>3029</v>
      </c>
      <c r="M81" s="263" t="s">
        <v>2962</v>
      </c>
      <c r="N81" s="269">
        <f>+R81</f>
        <v>0</v>
      </c>
      <c r="O81" s="270">
        <f>+R81+S81+X81-ABS(Y81)+ABS(Z81)+W81+Q81</f>
        <v>0</v>
      </c>
      <c r="P81" s="271">
        <f>+O81-N81</f>
        <v>0</v>
      </c>
      <c r="Q81" s="520"/>
      <c r="R81" s="354">
        <f>IF(ISERROR(VLOOKUP("RIC"&amp;$C81,ESTR_PREC_SP!$A$2:$G$2000,4,FALSE))=TRUE,0,VLOOKUP("RIC"&amp;$C81,ESTR_PREC_SP!$A$2:$G$2000,4,FALSE))</f>
        <v>0</v>
      </c>
      <c r="S81" s="521"/>
      <c r="V81" s="211"/>
      <c r="W81" s="520"/>
      <c r="X81" s="520"/>
      <c r="Y81" s="520"/>
      <c r="Z81" s="520"/>
      <c r="AA81" s="285"/>
    </row>
    <row r="82" spans="2:31" s="204" customFormat="1" x14ac:dyDescent="0.25">
      <c r="B82" s="246" t="s">
        <v>235</v>
      </c>
      <c r="C82" s="273" t="s">
        <v>236</v>
      </c>
      <c r="D82" s="274" t="s">
        <v>3039</v>
      </c>
      <c r="E82" s="264"/>
      <c r="F82" s="274"/>
      <c r="G82" s="283"/>
      <c r="H82" s="266"/>
      <c r="I82" s="281"/>
      <c r="J82" s="281"/>
      <c r="K82" s="281"/>
      <c r="L82" s="288" t="s">
        <v>3031</v>
      </c>
      <c r="M82" s="284" t="s">
        <v>2962</v>
      </c>
      <c r="N82" s="269">
        <f>+R82</f>
        <v>0</v>
      </c>
      <c r="O82" s="270">
        <f>+R82+S82+X82-ABS(Y82)+ABS(Z82)+W82+Q82</f>
        <v>0</v>
      </c>
      <c r="P82" s="271">
        <f>+O82-N82</f>
        <v>0</v>
      </c>
      <c r="Q82" s="520"/>
      <c r="R82" s="354">
        <f>IF(ISERROR(VLOOKUP("RIC"&amp;$C82,ESTR_PREC_SP!$A$2:$G$2000,4,FALSE))=TRUE,0,VLOOKUP("RIC"&amp;$C82,ESTR_PREC_SP!$A$2:$G$2000,4,FALSE))</f>
        <v>0</v>
      </c>
      <c r="S82" s="521"/>
      <c r="V82" s="211"/>
      <c r="W82" s="520"/>
      <c r="X82" s="520"/>
      <c r="Y82" s="520"/>
      <c r="Z82" s="520"/>
      <c r="AA82" s="285"/>
    </row>
    <row r="83" spans="2:31" s="204" customFormat="1" x14ac:dyDescent="0.25">
      <c r="B83" s="246" t="s">
        <v>238</v>
      </c>
      <c r="C83" s="273" t="s">
        <v>239</v>
      </c>
      <c r="D83" s="274" t="s">
        <v>3041</v>
      </c>
      <c r="E83" s="264"/>
      <c r="F83" s="274"/>
      <c r="G83" s="283"/>
      <c r="H83" s="266"/>
      <c r="I83" s="281"/>
      <c r="J83" s="281"/>
      <c r="K83" s="281"/>
      <c r="L83" s="288" t="s">
        <v>3033</v>
      </c>
      <c r="M83" s="284" t="s">
        <v>2962</v>
      </c>
      <c r="N83" s="269">
        <f>+R83</f>
        <v>0</v>
      </c>
      <c r="O83" s="270">
        <f>+R83+S83+X83-ABS(Y83)+ABS(Z83)+W83+Q83</f>
        <v>0</v>
      </c>
      <c r="P83" s="271">
        <f>+O83-N83</f>
        <v>0</v>
      </c>
      <c r="Q83" s="520"/>
      <c r="R83" s="354">
        <f>IF(ISERROR(VLOOKUP("RIC"&amp;$C83,ESTR_PREC_SP!$A$2:$G$2000,4,FALSE))=TRUE,0,VLOOKUP("RIC"&amp;$C83,ESTR_PREC_SP!$A$2:$G$2000,4,FALSE))</f>
        <v>0</v>
      </c>
      <c r="S83" s="521"/>
      <c r="V83" s="211"/>
      <c r="W83" s="520"/>
      <c r="X83" s="520"/>
      <c r="Y83" s="520"/>
      <c r="Z83" s="520"/>
      <c r="AA83" s="285"/>
    </row>
    <row r="84" spans="2:31" s="204" customFormat="1" x14ac:dyDescent="0.25">
      <c r="B84" s="293"/>
      <c r="C84" s="293"/>
      <c r="D84" s="230"/>
      <c r="E84" s="230"/>
      <c r="F84" s="230"/>
      <c r="G84" s="230"/>
      <c r="H84" s="231"/>
      <c r="I84" s="230"/>
      <c r="J84" s="230"/>
      <c r="K84" s="230"/>
      <c r="L84" s="275"/>
      <c r="M84" s="216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</row>
    <row r="85" spans="2:31" s="204" customFormat="1" ht="25.5" x14ac:dyDescent="0.25">
      <c r="B85" s="293"/>
      <c r="C85" s="293"/>
      <c r="D85" s="230"/>
      <c r="E85" s="230"/>
      <c r="F85" s="230"/>
      <c r="G85" s="230"/>
      <c r="H85" s="231"/>
      <c r="I85" s="230"/>
      <c r="J85" s="230"/>
      <c r="K85" s="230"/>
      <c r="L85" s="255"/>
      <c r="M85" s="244"/>
      <c r="N85" s="256" t="str">
        <f>N$15</f>
        <v>Valore netto al 31/12/2019</v>
      </c>
      <c r="O85" s="256" t="str">
        <f>O$15</f>
        <v>Valore netto al 31/12/2020</v>
      </c>
      <c r="P85" s="256" t="str">
        <f>P$15</f>
        <v>Variazione</v>
      </c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</row>
    <row r="86" spans="2:31" s="204" customFormat="1" x14ac:dyDescent="0.25">
      <c r="B86" s="246" t="s">
        <v>241</v>
      </c>
      <c r="C86" s="246" t="s">
        <v>242</v>
      </c>
      <c r="D86" s="247" t="s">
        <v>3043</v>
      </c>
      <c r="E86" s="247"/>
      <c r="F86" s="247"/>
      <c r="G86" s="247"/>
      <c r="H86" s="248"/>
      <c r="I86" s="247"/>
      <c r="J86" s="247"/>
      <c r="K86" s="249"/>
      <c r="L86" s="257" t="s">
        <v>246</v>
      </c>
      <c r="M86" s="251" t="s">
        <v>2962</v>
      </c>
      <c r="N86" s="252">
        <f>SUM(N89:N90)</f>
        <v>0</v>
      </c>
      <c r="O86" s="252">
        <f>SUM(O89:O90)</f>
        <v>0</v>
      </c>
      <c r="P86" s="253">
        <f>+O86-N86</f>
        <v>0</v>
      </c>
      <c r="Q86" s="252">
        <f>SUM(Q89:Q90)</f>
        <v>0</v>
      </c>
      <c r="R86" s="252">
        <f>SUM(R89:R90)</f>
        <v>0</v>
      </c>
      <c r="S86" s="252">
        <f>SUM(S89:S90)</f>
        <v>0</v>
      </c>
      <c r="T86" s="252">
        <f>SUM(T89:T90)</f>
        <v>0</v>
      </c>
      <c r="U86" s="252">
        <f>SUM(U89:U90)</f>
        <v>0</v>
      </c>
      <c r="V86" s="216"/>
      <c r="W86" s="252">
        <f t="shared" ref="W86:AE86" si="3">SUM(W89:W90)</f>
        <v>0</v>
      </c>
      <c r="X86" s="252">
        <f t="shared" si="3"/>
        <v>0</v>
      </c>
      <c r="Y86" s="252">
        <f t="shared" si="3"/>
        <v>0</v>
      </c>
      <c r="Z86" s="252">
        <f t="shared" si="3"/>
        <v>0</v>
      </c>
      <c r="AA86" s="252">
        <f t="shared" si="3"/>
        <v>0</v>
      </c>
      <c r="AB86" s="252">
        <f t="shared" si="3"/>
        <v>0</v>
      </c>
      <c r="AC86" s="252">
        <f t="shared" si="3"/>
        <v>0</v>
      </c>
      <c r="AD86" s="252">
        <f t="shared" si="3"/>
        <v>0</v>
      </c>
      <c r="AE86" s="252">
        <f t="shared" si="3"/>
        <v>0</v>
      </c>
    </row>
    <row r="87" spans="2:31" s="204" customFormat="1" x14ac:dyDescent="0.25">
      <c r="B87" s="230"/>
      <c r="C87" s="230"/>
      <c r="D87" s="230"/>
      <c r="E87" s="230"/>
      <c r="F87" s="230"/>
      <c r="G87" s="230"/>
      <c r="H87" s="231"/>
      <c r="I87" s="230"/>
      <c r="J87" s="230"/>
      <c r="K87" s="230"/>
      <c r="L87" s="277"/>
      <c r="M87" s="211"/>
      <c r="N87" s="254"/>
      <c r="O87" s="211"/>
      <c r="P87" s="211"/>
      <c r="Q87" s="211"/>
      <c r="R87" s="216"/>
      <c r="T87" s="216"/>
      <c r="U87" s="216"/>
      <c r="V87" s="216"/>
      <c r="W87" s="211"/>
      <c r="X87" s="211"/>
      <c r="Y87" s="211"/>
      <c r="Z87" s="211"/>
      <c r="AA87" s="211"/>
    </row>
    <row r="88" spans="2:31" s="204" customFormat="1" ht="63.75" x14ac:dyDescent="0.25">
      <c r="B88" s="260" t="s">
        <v>2968</v>
      </c>
      <c r="C88" s="260" t="s">
        <v>2969</v>
      </c>
      <c r="D88" s="206" t="s">
        <v>72</v>
      </c>
      <c r="E88" s="206"/>
      <c r="F88" s="206"/>
      <c r="G88" s="207"/>
      <c r="H88" s="207"/>
      <c r="I88" s="207"/>
      <c r="J88" s="207" t="s">
        <v>2957</v>
      </c>
      <c r="K88" s="206" t="s">
        <v>82</v>
      </c>
      <c r="L88" s="261" t="s">
        <v>2970</v>
      </c>
      <c r="M88" s="280"/>
      <c r="N88" s="256" t="str">
        <f>N$15</f>
        <v>Valore netto al 31/12/2019</v>
      </c>
      <c r="O88" s="256" t="str">
        <f>O$15</f>
        <v>Valore netto al 31/12/2020</v>
      </c>
      <c r="P88" s="256" t="str">
        <f>P$15</f>
        <v>Variazione</v>
      </c>
      <c r="Q88" s="262" t="s">
        <v>2971</v>
      </c>
      <c r="R88" s="262" t="str">
        <f>"Costo storico al 31/12/"&amp;Info!$B$3-1</f>
        <v>Costo storico al 31/12/2019</v>
      </c>
      <c r="S88" s="262" t="s">
        <v>2972</v>
      </c>
      <c r="T88" s="262" t="s">
        <v>3044</v>
      </c>
      <c r="U88" s="262" t="s">
        <v>2974</v>
      </c>
      <c r="W88" s="262" t="s">
        <v>2975</v>
      </c>
      <c r="X88" s="262" t="s">
        <v>2976</v>
      </c>
      <c r="Y88" s="262" t="s">
        <v>2977</v>
      </c>
      <c r="Z88" s="262" t="s">
        <v>2978</v>
      </c>
      <c r="AA88" s="262" t="s">
        <v>2979</v>
      </c>
      <c r="AB88" s="262" t="s">
        <v>3045</v>
      </c>
      <c r="AC88" s="262" t="s">
        <v>2981</v>
      </c>
      <c r="AD88" s="262" t="s">
        <v>3046</v>
      </c>
      <c r="AE88" s="262" t="s">
        <v>3047</v>
      </c>
    </row>
    <row r="89" spans="2:31" s="204" customFormat="1" x14ac:dyDescent="0.25">
      <c r="B89" s="246" t="s">
        <v>247</v>
      </c>
      <c r="C89" s="263" t="s">
        <v>248</v>
      </c>
      <c r="D89" s="264" t="s">
        <v>3048</v>
      </c>
      <c r="E89" s="264"/>
      <c r="F89" s="264"/>
      <c r="G89" s="265"/>
      <c r="H89" s="266"/>
      <c r="I89" s="281"/>
      <c r="J89" s="281"/>
      <c r="K89" s="281"/>
      <c r="L89" s="295" t="s">
        <v>3049</v>
      </c>
      <c r="M89" s="284" t="s">
        <v>2962</v>
      </c>
      <c r="N89" s="269">
        <f>+R89+T89-U89</f>
        <v>0</v>
      </c>
      <c r="O89" s="270">
        <f>+N89+S89+X89+ABS(Y89)-ABS(AA89)+ABS(Z89)+ABS(AB89)+ABS(AD89)-ABS(AE89)+AC89+W89+Q89</f>
        <v>0</v>
      </c>
      <c r="P89" s="271">
        <f>+O89-N89</f>
        <v>0</v>
      </c>
      <c r="Q89" s="520"/>
      <c r="R89" s="354">
        <f>IF(ISERROR(VLOOKUP("RIC"&amp;$C89,ESTR_PREC_SP!$A$2:$G$2000,4,FALSE))=TRUE,0,VLOOKUP("RIC"&amp;$C89,ESTR_PREC_SP!$A$2:$G$2000,4,FALSE))</f>
        <v>0</v>
      </c>
      <c r="S89" s="521"/>
      <c r="T89" s="521"/>
      <c r="U89" s="521"/>
      <c r="W89" s="520"/>
      <c r="X89" s="520"/>
      <c r="Y89" s="520"/>
      <c r="Z89" s="520"/>
      <c r="AA89" s="520"/>
      <c r="AB89" s="520"/>
      <c r="AC89" s="521"/>
      <c r="AD89" s="520"/>
      <c r="AE89" s="520"/>
    </row>
    <row r="90" spans="2:31" s="204" customFormat="1" x14ac:dyDescent="0.25">
      <c r="B90" s="246" t="s">
        <v>250</v>
      </c>
      <c r="C90" s="263" t="s">
        <v>251</v>
      </c>
      <c r="D90" s="274" t="s">
        <v>3050</v>
      </c>
      <c r="E90" s="264"/>
      <c r="F90" s="274"/>
      <c r="G90" s="283"/>
      <c r="H90" s="266"/>
      <c r="I90" s="281"/>
      <c r="J90" s="281"/>
      <c r="K90" s="281"/>
      <c r="L90" s="295" t="s">
        <v>3051</v>
      </c>
      <c r="M90" s="284" t="s">
        <v>2962</v>
      </c>
      <c r="N90" s="269">
        <f>+R90+T90-U90</f>
        <v>0</v>
      </c>
      <c r="O90" s="270">
        <f>+N90+S90+X90+ABS(Y90)-ABS(AA90)+ABS(Z90)+ABS(AB90)+ABS(AD90)-ABS(AE90)+AC90+W90+Q90</f>
        <v>0</v>
      </c>
      <c r="P90" s="271">
        <f>+O90-N90</f>
        <v>0</v>
      </c>
      <c r="Q90" s="520"/>
      <c r="R90" s="354">
        <f>IF(ISERROR(VLOOKUP("RIC"&amp;$C90,ESTR_PREC_SP!$A$2:$G$2000,4,FALSE))=TRUE,0,VLOOKUP("RIC"&amp;$C90,ESTR_PREC_SP!$A$2:$G$2000,4,FALSE))</f>
        <v>0</v>
      </c>
      <c r="S90" s="521"/>
      <c r="T90" s="521"/>
      <c r="U90" s="521"/>
      <c r="W90" s="520"/>
      <c r="X90" s="520"/>
      <c r="Y90" s="520"/>
      <c r="Z90" s="520"/>
      <c r="AA90" s="520"/>
      <c r="AB90" s="520"/>
      <c r="AC90" s="521"/>
      <c r="AD90" s="520"/>
      <c r="AE90" s="520"/>
    </row>
    <row r="91" spans="2:31" s="204" customFormat="1" ht="38.25" x14ac:dyDescent="0.25">
      <c r="B91" s="230"/>
      <c r="C91" s="230"/>
      <c r="D91" s="230"/>
      <c r="E91" s="230"/>
      <c r="F91" s="230"/>
      <c r="G91" s="230"/>
      <c r="H91" s="231"/>
      <c r="I91" s="230"/>
      <c r="J91" s="230"/>
      <c r="K91" s="230"/>
      <c r="L91" s="296" t="s">
        <v>3052</v>
      </c>
      <c r="M91" s="216"/>
      <c r="N91" s="285"/>
      <c r="O91" s="285"/>
      <c r="P91" s="285"/>
      <c r="Q91" s="211"/>
      <c r="R91" s="285"/>
      <c r="S91" s="285"/>
      <c r="T91" s="285"/>
      <c r="U91" s="285"/>
      <c r="V91" s="285"/>
      <c r="W91" s="285"/>
      <c r="X91" s="285"/>
      <c r="Y91" s="285"/>
      <c r="Z91" s="211"/>
      <c r="AA91" s="211"/>
    </row>
    <row r="92" spans="2:31" s="204" customFormat="1" x14ac:dyDescent="0.25">
      <c r="B92" s="230"/>
      <c r="C92" s="230"/>
      <c r="D92" s="230"/>
      <c r="E92" s="230"/>
      <c r="F92" s="230"/>
      <c r="G92" s="230"/>
      <c r="H92" s="231"/>
      <c r="I92" s="230"/>
      <c r="J92" s="230"/>
      <c r="K92" s="230"/>
      <c r="L92" s="296"/>
      <c r="M92" s="216"/>
      <c r="N92" s="285"/>
      <c r="O92" s="285"/>
      <c r="P92" s="285"/>
      <c r="Q92" s="211"/>
      <c r="R92" s="285"/>
      <c r="S92" s="285"/>
      <c r="T92" s="285"/>
      <c r="U92" s="285"/>
      <c r="V92" s="285"/>
      <c r="W92" s="285"/>
      <c r="X92" s="285"/>
      <c r="Y92" s="285"/>
      <c r="Z92" s="211"/>
      <c r="AA92" s="211"/>
    </row>
    <row r="93" spans="2:31" s="204" customFormat="1" ht="38.25" x14ac:dyDescent="0.25">
      <c r="B93" s="230"/>
      <c r="C93" s="230"/>
      <c r="D93" s="230"/>
      <c r="E93" s="230"/>
      <c r="F93" s="230"/>
      <c r="G93" s="230"/>
      <c r="H93" s="231"/>
      <c r="I93" s="230"/>
      <c r="J93" s="230"/>
      <c r="K93" s="230"/>
      <c r="L93" s="255"/>
      <c r="M93" s="244"/>
      <c r="N93" s="256" t="str">
        <f>N$15</f>
        <v>Valore netto al 31/12/2019</v>
      </c>
      <c r="O93" s="256" t="str">
        <f>O$15</f>
        <v>Valore netto al 31/12/2020</v>
      </c>
      <c r="P93" s="256" t="str">
        <f>P$15</f>
        <v>Variazione</v>
      </c>
      <c r="Q93" s="262" t="s">
        <v>2971</v>
      </c>
      <c r="R93" s="285"/>
      <c r="S93" s="285"/>
      <c r="T93" s="285"/>
      <c r="U93" s="285"/>
      <c r="V93" s="285"/>
      <c r="W93" s="285"/>
      <c r="X93" s="285"/>
      <c r="Y93" s="285"/>
      <c r="Z93" s="211"/>
      <c r="AA93" s="211"/>
    </row>
    <row r="94" spans="2:31" s="204" customFormat="1" x14ac:dyDescent="0.25">
      <c r="B94" s="246" t="s">
        <v>253</v>
      </c>
      <c r="C94" s="246" t="s">
        <v>254</v>
      </c>
      <c r="D94" s="247" t="s">
        <v>3053</v>
      </c>
      <c r="E94" s="247"/>
      <c r="F94" s="247"/>
      <c r="G94" s="247"/>
      <c r="H94" s="248"/>
      <c r="I94" s="247"/>
      <c r="J94" s="247"/>
      <c r="K94" s="249"/>
      <c r="L94" s="257" t="s">
        <v>256</v>
      </c>
      <c r="M94" s="251" t="s">
        <v>2962</v>
      </c>
      <c r="N94" s="252">
        <f>+N96-N108+N118-N124+N130-N136+N142-N150</f>
        <v>0</v>
      </c>
      <c r="O94" s="252">
        <f>+O96-O108+O118-O124+O130-O136+O142-O150</f>
        <v>0</v>
      </c>
      <c r="P94" s="253">
        <f>+O94-N94</f>
        <v>0</v>
      </c>
      <c r="Q94" s="252">
        <f>+Q96-Q108+Q118-Q124+Q130-Q136+Q142-Q150</f>
        <v>0</v>
      </c>
      <c r="R94" s="252">
        <f>+R96-R108+R118-R124+R130-R136+R142-R150</f>
        <v>0</v>
      </c>
      <c r="S94" s="252">
        <f>+S96-S108+S118-S124+S130-S136+S142-S150</f>
        <v>0</v>
      </c>
      <c r="T94" s="252">
        <f>+T96-S108+T118-S124+T130-S136+T142-S150</f>
        <v>0</v>
      </c>
      <c r="U94" s="252">
        <f>+U96-T108+U118-T124+U130-T136+U142-T150</f>
        <v>0</v>
      </c>
      <c r="V94" s="211"/>
      <c r="W94" s="252">
        <f t="shared" ref="W94:AE94" si="4">+W96-W108+W118-W124+W130-W136+W142-W150</f>
        <v>0</v>
      </c>
      <c r="X94" s="252">
        <f t="shared" si="4"/>
        <v>0</v>
      </c>
      <c r="Y94" s="252">
        <f t="shared" si="4"/>
        <v>0</v>
      </c>
      <c r="Z94" s="252">
        <f t="shared" si="4"/>
        <v>0</v>
      </c>
      <c r="AA94" s="252">
        <f t="shared" si="4"/>
        <v>0</v>
      </c>
      <c r="AB94" s="252">
        <f t="shared" si="4"/>
        <v>0</v>
      </c>
      <c r="AC94" s="252">
        <f t="shared" si="4"/>
        <v>0</v>
      </c>
      <c r="AD94" s="252">
        <f t="shared" si="4"/>
        <v>0</v>
      </c>
      <c r="AE94" s="252">
        <f t="shared" si="4"/>
        <v>0</v>
      </c>
    </row>
    <row r="95" spans="2:31" s="204" customFormat="1" x14ac:dyDescent="0.25">
      <c r="B95" s="230"/>
      <c r="C95" s="230"/>
      <c r="D95" s="230"/>
      <c r="E95" s="230"/>
      <c r="F95" s="230"/>
      <c r="G95" s="230"/>
      <c r="H95" s="231"/>
      <c r="I95" s="230"/>
      <c r="J95" s="230"/>
      <c r="K95" s="230"/>
      <c r="L95" s="232"/>
      <c r="M95" s="211"/>
      <c r="N95" s="254"/>
      <c r="O95" s="211"/>
      <c r="P95" s="211"/>
      <c r="Q95" s="211"/>
      <c r="R95" s="211"/>
      <c r="T95" s="211"/>
      <c r="U95" s="211"/>
      <c r="V95" s="211"/>
      <c r="W95" s="211"/>
      <c r="X95" s="211"/>
      <c r="Y95" s="211"/>
      <c r="Z95" s="211"/>
      <c r="AA95" s="211"/>
    </row>
    <row r="96" spans="2:31" s="204" customFormat="1" x14ac:dyDescent="0.25">
      <c r="B96" s="246" t="s">
        <v>257</v>
      </c>
      <c r="C96" s="246" t="s">
        <v>258</v>
      </c>
      <c r="D96" s="247" t="s">
        <v>3054</v>
      </c>
      <c r="E96" s="247"/>
      <c r="F96" s="247"/>
      <c r="G96" s="247"/>
      <c r="H96" s="248"/>
      <c r="I96" s="247"/>
      <c r="J96" s="247"/>
      <c r="K96" s="249"/>
      <c r="L96" s="276" t="s">
        <v>261</v>
      </c>
      <c r="M96" s="251" t="s">
        <v>2962</v>
      </c>
      <c r="N96" s="252">
        <f>SUM(N99:N106)</f>
        <v>0</v>
      </c>
      <c r="O96" s="252">
        <f>SUM(O99:O106)</f>
        <v>0</v>
      </c>
      <c r="P96" s="259">
        <f>+O96-N96</f>
        <v>0</v>
      </c>
      <c r="Q96" s="252">
        <f>SUM(Q99:Q106)</f>
        <v>0</v>
      </c>
      <c r="R96" s="252">
        <f>SUM(R99:R106)</f>
        <v>0</v>
      </c>
      <c r="S96" s="252">
        <f>SUM(S99:S106)</f>
        <v>0</v>
      </c>
      <c r="T96" s="252">
        <f>SUM(T99:T106)</f>
        <v>0</v>
      </c>
      <c r="U96" s="252">
        <f>SUM(U99:U106)</f>
        <v>0</v>
      </c>
      <c r="V96" s="216"/>
      <c r="W96" s="252">
        <f t="shared" ref="W96:AE96" si="5">SUM(W99:W106)</f>
        <v>0</v>
      </c>
      <c r="X96" s="252">
        <f t="shared" si="5"/>
        <v>0</v>
      </c>
      <c r="Y96" s="252">
        <f t="shared" si="5"/>
        <v>0</v>
      </c>
      <c r="Z96" s="252">
        <f t="shared" si="5"/>
        <v>0</v>
      </c>
      <c r="AA96" s="252">
        <f t="shared" si="5"/>
        <v>0</v>
      </c>
      <c r="AB96" s="252">
        <f t="shared" si="5"/>
        <v>0</v>
      </c>
      <c r="AC96" s="252">
        <f t="shared" si="5"/>
        <v>0</v>
      </c>
      <c r="AD96" s="252">
        <f t="shared" si="5"/>
        <v>0</v>
      </c>
      <c r="AE96" s="252">
        <f t="shared" si="5"/>
        <v>0</v>
      </c>
    </row>
    <row r="97" spans="2:31" s="204" customFormat="1" x14ac:dyDescent="0.25">
      <c r="B97" s="216"/>
      <c r="C97" s="216"/>
      <c r="D97" s="226"/>
      <c r="E97" s="226"/>
      <c r="F97" s="226"/>
      <c r="G97" s="226"/>
      <c r="H97" s="227"/>
      <c r="I97" s="226"/>
      <c r="J97" s="226"/>
      <c r="K97" s="226"/>
      <c r="L97" s="241"/>
      <c r="M97" s="278"/>
      <c r="N97" s="279"/>
      <c r="O97" s="279"/>
      <c r="P97" s="297"/>
      <c r="Q97" s="211"/>
      <c r="R97" s="216"/>
      <c r="T97" s="216"/>
      <c r="U97" s="216"/>
      <c r="V97" s="216"/>
      <c r="W97" s="211"/>
      <c r="X97" s="211"/>
      <c r="Y97" s="211"/>
      <c r="Z97" s="211"/>
      <c r="AA97" s="211"/>
    </row>
    <row r="98" spans="2:31" s="204" customFormat="1" ht="63.75" x14ac:dyDescent="0.25">
      <c r="B98" s="294" t="s">
        <v>2968</v>
      </c>
      <c r="C98" s="294" t="s">
        <v>2969</v>
      </c>
      <c r="D98" s="206" t="s">
        <v>72</v>
      </c>
      <c r="E98" s="206"/>
      <c r="F98" s="206"/>
      <c r="G98" s="207"/>
      <c r="H98" s="207"/>
      <c r="I98" s="207"/>
      <c r="J98" s="207" t="s">
        <v>2957</v>
      </c>
      <c r="K98" s="206" t="s">
        <v>82</v>
      </c>
      <c r="L98" s="261" t="s">
        <v>2970</v>
      </c>
      <c r="M98" s="280"/>
      <c r="N98" s="256" t="str">
        <f>N$15</f>
        <v>Valore netto al 31/12/2019</v>
      </c>
      <c r="O98" s="256" t="str">
        <f>O$15</f>
        <v>Valore netto al 31/12/2020</v>
      </c>
      <c r="P98" s="256" t="str">
        <f>P$15</f>
        <v>Variazione</v>
      </c>
      <c r="Q98" s="262" t="s">
        <v>2971</v>
      </c>
      <c r="R98" s="262" t="str">
        <f>"Costo storico al 31/12/"&amp;Info!$B$3-1</f>
        <v>Costo storico al 31/12/2019</v>
      </c>
      <c r="S98" s="262" t="s">
        <v>2972</v>
      </c>
      <c r="T98" s="262" t="s">
        <v>2973</v>
      </c>
      <c r="U98" s="262" t="s">
        <v>2974</v>
      </c>
      <c r="W98" s="262" t="s">
        <v>2975</v>
      </c>
      <c r="X98" s="262" t="s">
        <v>2976</v>
      </c>
      <c r="Y98" s="262" t="s">
        <v>2977</v>
      </c>
      <c r="Z98" s="262" t="s">
        <v>2978</v>
      </c>
      <c r="AA98" s="262" t="s">
        <v>2979</v>
      </c>
      <c r="AB98" s="262" t="s">
        <v>2980</v>
      </c>
      <c r="AC98" s="262" t="s">
        <v>2981</v>
      </c>
      <c r="AD98" s="262" t="s">
        <v>2982</v>
      </c>
      <c r="AE98" s="262" t="s">
        <v>2983</v>
      </c>
    </row>
    <row r="99" spans="2:31" s="204" customFormat="1" x14ac:dyDescent="0.25">
      <c r="B99" s="246" t="s">
        <v>262</v>
      </c>
      <c r="C99" s="273" t="s">
        <v>263</v>
      </c>
      <c r="D99" s="274" t="s">
        <v>3055</v>
      </c>
      <c r="E99" s="264"/>
      <c r="F99" s="264"/>
      <c r="G99" s="265"/>
      <c r="H99" s="266"/>
      <c r="I99" s="281"/>
      <c r="J99" s="281"/>
      <c r="K99" s="281"/>
      <c r="L99" s="282" t="s">
        <v>3056</v>
      </c>
      <c r="M99" s="263" t="s">
        <v>2962</v>
      </c>
      <c r="N99" s="269">
        <f t="shared" ref="N99:N106" si="6">+R99+T99-U99</f>
        <v>0</v>
      </c>
      <c r="O99" s="270">
        <f t="shared" ref="O99:O106" si="7">+N99+S99+X99+ABS(Y99)-ABS(AA99)+ABS(Z99)+ABS(AB99)+ABS(AD99)-ABS(AE99)+AC99+W99+Q99</f>
        <v>0</v>
      </c>
      <c r="P99" s="271">
        <f t="shared" ref="P99:P106" si="8">+O99-N99</f>
        <v>0</v>
      </c>
      <c r="Q99" s="520"/>
      <c r="R99" s="354">
        <f>IF(ISERROR(VLOOKUP("RIC"&amp;$C99,ESTR_PREC_SP!$A$2:$G$2000,4,FALSE))=TRUE,0,VLOOKUP("RIC"&amp;$C99,ESTR_PREC_SP!$A$2:$G$2000,4,FALSE))</f>
        <v>0</v>
      </c>
      <c r="S99" s="521"/>
      <c r="T99" s="521"/>
      <c r="U99" s="521"/>
      <c r="W99" s="520"/>
      <c r="X99" s="520"/>
      <c r="Y99" s="520"/>
      <c r="Z99" s="520"/>
      <c r="AA99" s="520"/>
      <c r="AB99" s="520"/>
      <c r="AC99" s="520"/>
      <c r="AD99" s="520"/>
      <c r="AE99" s="520"/>
    </row>
    <row r="100" spans="2:31" s="204" customFormat="1" x14ac:dyDescent="0.25">
      <c r="B100" s="246" t="s">
        <v>265</v>
      </c>
      <c r="C100" s="273" t="s">
        <v>266</v>
      </c>
      <c r="D100" s="274" t="s">
        <v>3057</v>
      </c>
      <c r="E100" s="264"/>
      <c r="F100" s="264"/>
      <c r="G100" s="265"/>
      <c r="H100" s="266"/>
      <c r="I100" s="281"/>
      <c r="J100" s="281"/>
      <c r="K100" s="281"/>
      <c r="L100" s="282" t="s">
        <v>3058</v>
      </c>
      <c r="M100" s="263" t="s">
        <v>2962</v>
      </c>
      <c r="N100" s="269">
        <f t="shared" si="6"/>
        <v>0</v>
      </c>
      <c r="O100" s="270">
        <f t="shared" si="7"/>
        <v>0</v>
      </c>
      <c r="P100" s="271">
        <f t="shared" si="8"/>
        <v>0</v>
      </c>
      <c r="Q100" s="520"/>
      <c r="R100" s="354">
        <f>IF(ISERROR(VLOOKUP("RIC"&amp;$C100,ESTR_PREC_SP!$A$2:$G$2000,4,FALSE))=TRUE,0,VLOOKUP("RIC"&amp;$C100,ESTR_PREC_SP!$A$2:$G$2000,4,FALSE))</f>
        <v>0</v>
      </c>
      <c r="S100" s="521"/>
      <c r="T100" s="521"/>
      <c r="U100" s="521"/>
      <c r="W100" s="520"/>
      <c r="X100" s="520"/>
      <c r="Y100" s="520"/>
      <c r="Z100" s="520"/>
      <c r="AA100" s="520"/>
      <c r="AB100" s="520"/>
      <c r="AC100" s="520"/>
      <c r="AD100" s="520"/>
      <c r="AE100" s="520"/>
    </row>
    <row r="101" spans="2:31" s="204" customFormat="1" x14ac:dyDescent="0.25">
      <c r="B101" s="246" t="s">
        <v>268</v>
      </c>
      <c r="C101" s="273" t="s">
        <v>269</v>
      </c>
      <c r="D101" s="274" t="s">
        <v>3059</v>
      </c>
      <c r="E101" s="264"/>
      <c r="F101" s="274"/>
      <c r="G101" s="283"/>
      <c r="H101" s="266"/>
      <c r="I101" s="281"/>
      <c r="J101" s="281"/>
      <c r="K101" s="281"/>
      <c r="L101" s="282" t="s">
        <v>3060</v>
      </c>
      <c r="M101" s="284" t="s">
        <v>2962</v>
      </c>
      <c r="N101" s="269">
        <f t="shared" si="6"/>
        <v>0</v>
      </c>
      <c r="O101" s="270">
        <f t="shared" si="7"/>
        <v>0</v>
      </c>
      <c r="P101" s="271">
        <f t="shared" si="8"/>
        <v>0</v>
      </c>
      <c r="Q101" s="520"/>
      <c r="R101" s="354">
        <f>IF(ISERROR(VLOOKUP("RIC"&amp;$C101,ESTR_PREC_SP!$A$2:$G$2000,4,FALSE))=TRUE,0,VLOOKUP("RIC"&amp;$C101,ESTR_PREC_SP!$A$2:$G$2000,4,FALSE))</f>
        <v>0</v>
      </c>
      <c r="S101" s="521"/>
      <c r="T101" s="521"/>
      <c r="U101" s="521"/>
      <c r="W101" s="520"/>
      <c r="X101" s="520"/>
      <c r="Y101" s="520"/>
      <c r="Z101" s="520"/>
      <c r="AA101" s="520"/>
      <c r="AB101" s="520"/>
      <c r="AC101" s="520"/>
      <c r="AD101" s="520"/>
      <c r="AE101" s="520"/>
    </row>
    <row r="102" spans="2:31" s="204" customFormat="1" x14ac:dyDescent="0.25">
      <c r="B102" s="246" t="s">
        <v>271</v>
      </c>
      <c r="C102" s="273" t="s">
        <v>272</v>
      </c>
      <c r="D102" s="274" t="s">
        <v>3061</v>
      </c>
      <c r="E102" s="264"/>
      <c r="F102" s="274"/>
      <c r="G102" s="283"/>
      <c r="H102" s="266"/>
      <c r="I102" s="281"/>
      <c r="J102" s="281"/>
      <c r="K102" s="281"/>
      <c r="L102" s="282" t="s">
        <v>3062</v>
      </c>
      <c r="M102" s="284" t="s">
        <v>2962</v>
      </c>
      <c r="N102" s="269">
        <f t="shared" si="6"/>
        <v>0</v>
      </c>
      <c r="O102" s="270">
        <f t="shared" si="7"/>
        <v>0</v>
      </c>
      <c r="P102" s="271">
        <f t="shared" si="8"/>
        <v>0</v>
      </c>
      <c r="Q102" s="520"/>
      <c r="R102" s="354">
        <f>IF(ISERROR(VLOOKUP("RIC"&amp;$C102,ESTR_PREC_SP!$A$2:$G$2000,4,FALSE))=TRUE,0,VLOOKUP("RIC"&amp;$C102,ESTR_PREC_SP!$A$2:$G$2000,4,FALSE))</f>
        <v>0</v>
      </c>
      <c r="S102" s="521"/>
      <c r="T102" s="521"/>
      <c r="U102" s="521"/>
      <c r="W102" s="520"/>
      <c r="X102" s="520"/>
      <c r="Y102" s="520"/>
      <c r="Z102" s="520"/>
      <c r="AA102" s="520"/>
      <c r="AB102" s="520"/>
      <c r="AC102" s="520"/>
      <c r="AD102" s="520"/>
      <c r="AE102" s="520"/>
    </row>
    <row r="103" spans="2:31" s="204" customFormat="1" x14ac:dyDescent="0.25">
      <c r="B103" s="246" t="s">
        <v>274</v>
      </c>
      <c r="C103" s="273" t="s">
        <v>275</v>
      </c>
      <c r="D103" s="274" t="s">
        <v>3063</v>
      </c>
      <c r="E103" s="264"/>
      <c r="F103" s="274"/>
      <c r="G103" s="283"/>
      <c r="H103" s="266"/>
      <c r="I103" s="281"/>
      <c r="J103" s="281"/>
      <c r="K103" s="281"/>
      <c r="L103" s="282" t="s">
        <v>3064</v>
      </c>
      <c r="M103" s="284" t="s">
        <v>2962</v>
      </c>
      <c r="N103" s="269">
        <f t="shared" si="6"/>
        <v>0</v>
      </c>
      <c r="O103" s="270">
        <f t="shared" si="7"/>
        <v>0</v>
      </c>
      <c r="P103" s="271">
        <f t="shared" si="8"/>
        <v>0</v>
      </c>
      <c r="Q103" s="520"/>
      <c r="R103" s="354">
        <f>IF(ISERROR(VLOOKUP("RIC"&amp;$C103,ESTR_PREC_SP!$A$2:$G$2000,4,FALSE))=TRUE,0,VLOOKUP("RIC"&amp;$C103,ESTR_PREC_SP!$A$2:$G$2000,4,FALSE))</f>
        <v>0</v>
      </c>
      <c r="S103" s="521"/>
      <c r="T103" s="521"/>
      <c r="U103" s="521"/>
      <c r="W103" s="520"/>
      <c r="X103" s="520"/>
      <c r="Y103" s="520"/>
      <c r="Z103" s="520"/>
      <c r="AA103" s="520"/>
      <c r="AB103" s="520"/>
      <c r="AC103" s="520"/>
      <c r="AD103" s="520"/>
      <c r="AE103" s="520"/>
    </row>
    <row r="104" spans="2:31" s="204" customFormat="1" x14ac:dyDescent="0.25">
      <c r="B104" s="246" t="s">
        <v>277</v>
      </c>
      <c r="C104" s="273" t="s">
        <v>278</v>
      </c>
      <c r="D104" s="274" t="s">
        <v>3065</v>
      </c>
      <c r="E104" s="264"/>
      <c r="F104" s="274"/>
      <c r="G104" s="283"/>
      <c r="H104" s="266"/>
      <c r="I104" s="281"/>
      <c r="J104" s="281"/>
      <c r="K104" s="281"/>
      <c r="L104" s="282" t="s">
        <v>3066</v>
      </c>
      <c r="M104" s="284" t="s">
        <v>2962</v>
      </c>
      <c r="N104" s="269">
        <f t="shared" si="6"/>
        <v>0</v>
      </c>
      <c r="O104" s="270">
        <f t="shared" si="7"/>
        <v>0</v>
      </c>
      <c r="P104" s="271">
        <f t="shared" si="8"/>
        <v>0</v>
      </c>
      <c r="Q104" s="520"/>
      <c r="R104" s="354">
        <f>IF(ISERROR(VLOOKUP("RIC"&amp;$C104,ESTR_PREC_SP!$A$2:$G$2000,4,FALSE))=TRUE,0,VLOOKUP("RIC"&amp;$C104,ESTR_PREC_SP!$A$2:$G$2000,4,FALSE))</f>
        <v>0</v>
      </c>
      <c r="S104" s="521"/>
      <c r="T104" s="521"/>
      <c r="U104" s="521"/>
      <c r="W104" s="520"/>
      <c r="X104" s="520"/>
      <c r="Y104" s="520"/>
      <c r="Z104" s="520"/>
      <c r="AA104" s="520"/>
      <c r="AB104" s="520"/>
      <c r="AC104" s="520"/>
      <c r="AD104" s="520"/>
      <c r="AE104" s="520"/>
    </row>
    <row r="105" spans="2:31" s="204" customFormat="1" x14ac:dyDescent="0.25">
      <c r="B105" s="246" t="s">
        <v>280</v>
      </c>
      <c r="C105" s="273" t="s">
        <v>281</v>
      </c>
      <c r="D105" s="274" t="s">
        <v>3067</v>
      </c>
      <c r="E105" s="264"/>
      <c r="F105" s="274"/>
      <c r="G105" s="283"/>
      <c r="H105" s="266"/>
      <c r="I105" s="281"/>
      <c r="J105" s="281"/>
      <c r="K105" s="281"/>
      <c r="L105" s="282" t="s">
        <v>3068</v>
      </c>
      <c r="M105" s="284" t="s">
        <v>2962</v>
      </c>
      <c r="N105" s="269">
        <f t="shared" si="6"/>
        <v>0</v>
      </c>
      <c r="O105" s="270">
        <f t="shared" si="7"/>
        <v>0</v>
      </c>
      <c r="P105" s="271">
        <f t="shared" si="8"/>
        <v>0</v>
      </c>
      <c r="Q105" s="520"/>
      <c r="R105" s="354">
        <f>IF(ISERROR(VLOOKUP("RIC"&amp;$C105,ESTR_PREC_SP!$A$2:$G$2000,4,FALSE))=TRUE,0,VLOOKUP("RIC"&amp;$C105,ESTR_PREC_SP!$A$2:$G$2000,4,FALSE))</f>
        <v>0</v>
      </c>
      <c r="S105" s="521"/>
      <c r="T105" s="521"/>
      <c r="U105" s="521"/>
      <c r="W105" s="520"/>
      <c r="X105" s="520"/>
      <c r="Y105" s="520"/>
      <c r="Z105" s="520"/>
      <c r="AA105" s="520"/>
      <c r="AB105" s="520"/>
      <c r="AC105" s="520"/>
      <c r="AD105" s="520"/>
      <c r="AE105" s="520"/>
    </row>
    <row r="106" spans="2:31" s="204" customFormat="1" x14ac:dyDescent="0.25">
      <c r="B106" s="246" t="s">
        <v>283</v>
      </c>
      <c r="C106" s="273" t="s">
        <v>284</v>
      </c>
      <c r="D106" s="274" t="s">
        <v>3069</v>
      </c>
      <c r="E106" s="264"/>
      <c r="F106" s="274"/>
      <c r="G106" s="283"/>
      <c r="H106" s="266"/>
      <c r="I106" s="281"/>
      <c r="J106" s="281"/>
      <c r="K106" s="281"/>
      <c r="L106" s="282" t="s">
        <v>3070</v>
      </c>
      <c r="M106" s="284" t="s">
        <v>2962</v>
      </c>
      <c r="N106" s="269">
        <f t="shared" si="6"/>
        <v>0</v>
      </c>
      <c r="O106" s="270">
        <f t="shared" si="7"/>
        <v>0</v>
      </c>
      <c r="P106" s="271">
        <f t="shared" si="8"/>
        <v>0</v>
      </c>
      <c r="Q106" s="520"/>
      <c r="R106" s="354">
        <f>IF(ISERROR(VLOOKUP("RIC"&amp;$C106,ESTR_PREC_SP!$A$2:$G$2000,4,FALSE))=TRUE,0,VLOOKUP("RIC"&amp;$C106,ESTR_PREC_SP!$A$2:$G$2000,4,FALSE))</f>
        <v>0</v>
      </c>
      <c r="S106" s="521"/>
      <c r="T106" s="521"/>
      <c r="U106" s="521"/>
      <c r="W106" s="520"/>
      <c r="X106" s="520"/>
      <c r="Y106" s="520"/>
      <c r="Z106" s="520"/>
      <c r="AA106" s="520"/>
      <c r="AB106" s="520"/>
      <c r="AC106" s="520"/>
      <c r="AD106" s="520"/>
      <c r="AE106" s="520"/>
    </row>
    <row r="107" spans="2:31" s="204" customFormat="1" x14ac:dyDescent="0.25">
      <c r="B107" s="298"/>
      <c r="C107" s="298"/>
      <c r="D107" s="226"/>
      <c r="E107" s="226"/>
      <c r="F107" s="226"/>
      <c r="G107" s="226"/>
      <c r="H107" s="227"/>
      <c r="I107" s="226"/>
      <c r="J107" s="226"/>
      <c r="K107" s="226"/>
      <c r="L107" s="241"/>
      <c r="M107" s="278"/>
      <c r="N107" s="279"/>
      <c r="O107" s="279"/>
      <c r="P107" s="297"/>
      <c r="Q107" s="211"/>
      <c r="R107" s="279"/>
      <c r="S107" s="279"/>
      <c r="T107" s="279"/>
      <c r="U107" s="279"/>
      <c r="V107" s="279"/>
      <c r="W107" s="279"/>
      <c r="X107" s="279"/>
      <c r="Y107" s="279"/>
      <c r="Z107" s="279"/>
      <c r="AA107" s="211"/>
    </row>
    <row r="108" spans="2:31" s="204" customFormat="1" x14ac:dyDescent="0.25">
      <c r="B108" s="246" t="s">
        <v>286</v>
      </c>
      <c r="C108" s="292" t="s">
        <v>287</v>
      </c>
      <c r="D108" s="247" t="s">
        <v>3071</v>
      </c>
      <c r="E108" s="247"/>
      <c r="F108" s="247"/>
      <c r="G108" s="247"/>
      <c r="H108" s="248"/>
      <c r="I108" s="247"/>
      <c r="J108" s="247"/>
      <c r="K108" s="249"/>
      <c r="L108" s="276" t="s">
        <v>290</v>
      </c>
      <c r="M108" s="251" t="s">
        <v>2962</v>
      </c>
      <c r="N108" s="252">
        <f>SUM(N111:N116)</f>
        <v>0</v>
      </c>
      <c r="O108" s="252">
        <f>SUM(O111:O116)</f>
        <v>0</v>
      </c>
      <c r="P108" s="259">
        <f>+O108-N108</f>
        <v>0</v>
      </c>
      <c r="Q108" s="252">
        <f>SUM(Q111:Q116)</f>
        <v>0</v>
      </c>
      <c r="R108" s="252">
        <f>SUM(R111:R116)</f>
        <v>0</v>
      </c>
      <c r="S108" s="252">
        <f>SUM(S111:S116)</f>
        <v>0</v>
      </c>
      <c r="V108" s="211"/>
      <c r="W108" s="252">
        <f>SUM(W111:W116)</f>
        <v>0</v>
      </c>
      <c r="X108" s="252">
        <f>SUM(X111:X116)</f>
        <v>0</v>
      </c>
      <c r="Y108" s="252">
        <f>SUM(Y111:Y116)</f>
        <v>0</v>
      </c>
      <c r="Z108" s="252">
        <f>SUM(Z111:Z116)</f>
        <v>0</v>
      </c>
      <c r="AA108" s="211"/>
    </row>
    <row r="109" spans="2:31" s="204" customFormat="1" x14ac:dyDescent="0.25">
      <c r="B109" s="293"/>
      <c r="C109" s="293"/>
      <c r="D109" s="230"/>
      <c r="E109" s="230"/>
      <c r="F109" s="230"/>
      <c r="G109" s="230"/>
      <c r="H109" s="231"/>
      <c r="I109" s="230"/>
      <c r="J109" s="230"/>
      <c r="K109" s="230"/>
      <c r="L109" s="299"/>
      <c r="M109" s="211"/>
      <c r="N109" s="254"/>
      <c r="O109" s="211"/>
      <c r="P109" s="211"/>
      <c r="Q109" s="211"/>
      <c r="V109" s="211"/>
      <c r="W109" s="211"/>
      <c r="X109" s="211"/>
      <c r="Y109" s="211"/>
      <c r="Z109" s="211"/>
      <c r="AA109" s="211"/>
    </row>
    <row r="110" spans="2:31" s="204" customFormat="1" ht="63.75" x14ac:dyDescent="0.25">
      <c r="B110" s="294" t="s">
        <v>2968</v>
      </c>
      <c r="C110" s="294" t="s">
        <v>2969</v>
      </c>
      <c r="D110" s="206" t="s">
        <v>72</v>
      </c>
      <c r="E110" s="206"/>
      <c r="F110" s="206"/>
      <c r="G110" s="207"/>
      <c r="H110" s="207"/>
      <c r="I110" s="207"/>
      <c r="J110" s="207" t="s">
        <v>2957</v>
      </c>
      <c r="K110" s="206" t="s">
        <v>82</v>
      </c>
      <c r="L110" s="261" t="s">
        <v>2970</v>
      </c>
      <c r="M110" s="280"/>
      <c r="N110" s="256" t="str">
        <f>N$15</f>
        <v>Valore netto al 31/12/2019</v>
      </c>
      <c r="O110" s="256" t="str">
        <f>O$15</f>
        <v>Valore netto al 31/12/2020</v>
      </c>
      <c r="P110" s="256" t="str">
        <f>P$15</f>
        <v>Variazione</v>
      </c>
      <c r="Q110" s="262" t="s">
        <v>2971</v>
      </c>
      <c r="R110" s="262" t="str">
        <f>"Fondo ammortamento 31/12/"&amp;Info!$B$3-1</f>
        <v>Fondo ammortamento 31/12/2019</v>
      </c>
      <c r="S110" s="262" t="s">
        <v>2972</v>
      </c>
      <c r="V110" s="211"/>
      <c r="W110" s="262" t="s">
        <v>2975</v>
      </c>
      <c r="X110" s="262" t="s">
        <v>2976</v>
      </c>
      <c r="Y110" s="262" t="s">
        <v>2989</v>
      </c>
      <c r="Z110" s="262" t="s">
        <v>2990</v>
      </c>
      <c r="AA110" s="211"/>
    </row>
    <row r="111" spans="2:31" s="204" customFormat="1" x14ac:dyDescent="0.25">
      <c r="B111" s="246" t="s">
        <v>291</v>
      </c>
      <c r="C111" s="273" t="s">
        <v>292</v>
      </c>
      <c r="D111" s="264" t="s">
        <v>3072</v>
      </c>
      <c r="E111" s="264"/>
      <c r="F111" s="264"/>
      <c r="G111" s="265"/>
      <c r="H111" s="266"/>
      <c r="I111" s="281"/>
      <c r="J111" s="281"/>
      <c r="K111" s="281"/>
      <c r="L111" s="282" t="s">
        <v>3073</v>
      </c>
      <c r="M111" s="263" t="s">
        <v>2962</v>
      </c>
      <c r="N111" s="269">
        <f t="shared" ref="N111:N116" si="9">+R111</f>
        <v>0</v>
      </c>
      <c r="O111" s="270">
        <f t="shared" ref="O111:O116" si="10">+R111+S111+X111-ABS(Y111)+ABS(Z111)+W111+Q111</f>
        <v>0</v>
      </c>
      <c r="P111" s="271">
        <f t="shared" ref="P111:P116" si="11">+O111-N111</f>
        <v>0</v>
      </c>
      <c r="Q111" s="520"/>
      <c r="R111" s="354">
        <f>IF(ISERROR(VLOOKUP("RIC"&amp;$C111,ESTR_PREC_SP!$A$2:$G$2000,4,FALSE))=TRUE,0,VLOOKUP("RIC"&amp;$C111,ESTR_PREC_SP!$A$2:$G$2000,4,FALSE))</f>
        <v>0</v>
      </c>
      <c r="S111" s="521"/>
      <c r="V111" s="211"/>
      <c r="W111" s="520"/>
      <c r="X111" s="520"/>
      <c r="Y111" s="520"/>
      <c r="Z111" s="520"/>
      <c r="AA111" s="211"/>
    </row>
    <row r="112" spans="2:31" s="204" customFormat="1" x14ac:dyDescent="0.25">
      <c r="B112" s="246" t="s">
        <v>294</v>
      </c>
      <c r="C112" s="273" t="s">
        <v>295</v>
      </c>
      <c r="D112" s="264" t="s">
        <v>3074</v>
      </c>
      <c r="E112" s="264"/>
      <c r="F112" s="264"/>
      <c r="G112" s="265"/>
      <c r="H112" s="266"/>
      <c r="I112" s="281"/>
      <c r="J112" s="281"/>
      <c r="K112" s="281"/>
      <c r="L112" s="282" t="s">
        <v>3075</v>
      </c>
      <c r="M112" s="263" t="s">
        <v>2962</v>
      </c>
      <c r="N112" s="269">
        <f t="shared" si="9"/>
        <v>0</v>
      </c>
      <c r="O112" s="270">
        <f t="shared" si="10"/>
        <v>0</v>
      </c>
      <c r="P112" s="271">
        <f t="shared" si="11"/>
        <v>0</v>
      </c>
      <c r="Q112" s="520"/>
      <c r="R112" s="354">
        <f>IF(ISERROR(VLOOKUP("RIC"&amp;$C112,ESTR_PREC_SP!$A$2:$G$2000,4,FALSE))=TRUE,0,VLOOKUP("RIC"&amp;$C112,ESTR_PREC_SP!$A$2:$G$2000,4,FALSE))</f>
        <v>0</v>
      </c>
      <c r="S112" s="521"/>
      <c r="V112" s="211"/>
      <c r="W112" s="520"/>
      <c r="X112" s="520"/>
      <c r="Y112" s="520"/>
      <c r="Z112" s="520"/>
      <c r="AA112" s="211"/>
    </row>
    <row r="113" spans="2:31" s="204" customFormat="1" x14ac:dyDescent="0.25">
      <c r="B113" s="246" t="s">
        <v>297</v>
      </c>
      <c r="C113" s="273" t="s">
        <v>298</v>
      </c>
      <c r="D113" s="264" t="s">
        <v>3076</v>
      </c>
      <c r="E113" s="264"/>
      <c r="F113" s="274"/>
      <c r="G113" s="283"/>
      <c r="H113" s="266"/>
      <c r="I113" s="281"/>
      <c r="J113" s="281"/>
      <c r="K113" s="281"/>
      <c r="L113" s="282" t="s">
        <v>3077</v>
      </c>
      <c r="M113" s="284" t="s">
        <v>2962</v>
      </c>
      <c r="N113" s="269">
        <f t="shared" si="9"/>
        <v>0</v>
      </c>
      <c r="O113" s="270">
        <f t="shared" si="10"/>
        <v>0</v>
      </c>
      <c r="P113" s="271">
        <f t="shared" si="11"/>
        <v>0</v>
      </c>
      <c r="Q113" s="520"/>
      <c r="R113" s="354">
        <f>IF(ISERROR(VLOOKUP("RIC"&amp;$C113,ESTR_PREC_SP!$A$2:$G$2000,4,FALSE))=TRUE,0,VLOOKUP("RIC"&amp;$C113,ESTR_PREC_SP!$A$2:$G$2000,4,FALSE))</f>
        <v>0</v>
      </c>
      <c r="S113" s="521"/>
      <c r="V113" s="211"/>
      <c r="W113" s="520"/>
      <c r="X113" s="520"/>
      <c r="Y113" s="520"/>
      <c r="Z113" s="520"/>
      <c r="AA113" s="211"/>
    </row>
    <row r="114" spans="2:31" s="204" customFormat="1" x14ac:dyDescent="0.25">
      <c r="B114" s="246" t="s">
        <v>300</v>
      </c>
      <c r="C114" s="273" t="s">
        <v>301</v>
      </c>
      <c r="D114" s="264" t="s">
        <v>3078</v>
      </c>
      <c r="E114" s="264"/>
      <c r="F114" s="274"/>
      <c r="G114" s="283"/>
      <c r="H114" s="266"/>
      <c r="I114" s="281"/>
      <c r="J114" s="281"/>
      <c r="K114" s="281"/>
      <c r="L114" s="282" t="s">
        <v>3079</v>
      </c>
      <c r="M114" s="284" t="s">
        <v>2962</v>
      </c>
      <c r="N114" s="269">
        <f t="shared" si="9"/>
        <v>0</v>
      </c>
      <c r="O114" s="270">
        <f t="shared" si="10"/>
        <v>0</v>
      </c>
      <c r="P114" s="271">
        <f t="shared" si="11"/>
        <v>0</v>
      </c>
      <c r="Q114" s="520"/>
      <c r="R114" s="354">
        <f>IF(ISERROR(VLOOKUP("RIC"&amp;$C114,ESTR_PREC_SP!$A$2:$G$2000,4,FALSE))=TRUE,0,VLOOKUP("RIC"&amp;$C114,ESTR_PREC_SP!$A$2:$G$2000,4,FALSE))</f>
        <v>0</v>
      </c>
      <c r="S114" s="521"/>
      <c r="V114" s="211"/>
      <c r="W114" s="520"/>
      <c r="X114" s="520"/>
      <c r="Y114" s="520"/>
      <c r="Z114" s="520"/>
      <c r="AA114" s="211"/>
    </row>
    <row r="115" spans="2:31" s="204" customFormat="1" x14ac:dyDescent="0.25">
      <c r="B115" s="246" t="s">
        <v>303</v>
      </c>
      <c r="C115" s="273" t="s">
        <v>304</v>
      </c>
      <c r="D115" s="264" t="s">
        <v>3080</v>
      </c>
      <c r="E115" s="264"/>
      <c r="F115" s="274"/>
      <c r="G115" s="283"/>
      <c r="H115" s="266"/>
      <c r="I115" s="281"/>
      <c r="J115" s="281"/>
      <c r="K115" s="281"/>
      <c r="L115" s="282" t="s">
        <v>3081</v>
      </c>
      <c r="M115" s="284" t="s">
        <v>2962</v>
      </c>
      <c r="N115" s="269">
        <f t="shared" si="9"/>
        <v>0</v>
      </c>
      <c r="O115" s="270">
        <f t="shared" si="10"/>
        <v>0</v>
      </c>
      <c r="P115" s="271">
        <f t="shared" si="11"/>
        <v>0</v>
      </c>
      <c r="Q115" s="520"/>
      <c r="R115" s="354">
        <f>IF(ISERROR(VLOOKUP("RIC"&amp;$C115,ESTR_PREC_SP!$A$2:$G$2000,4,FALSE))=TRUE,0,VLOOKUP("RIC"&amp;$C115,ESTR_PREC_SP!$A$2:$G$2000,4,FALSE))</f>
        <v>0</v>
      </c>
      <c r="S115" s="521"/>
      <c r="V115" s="211"/>
      <c r="W115" s="520"/>
      <c r="X115" s="520"/>
      <c r="Y115" s="520"/>
      <c r="Z115" s="520"/>
      <c r="AA115" s="211"/>
    </row>
    <row r="116" spans="2:31" s="204" customFormat="1" x14ac:dyDescent="0.25">
      <c r="B116" s="246" t="s">
        <v>306</v>
      </c>
      <c r="C116" s="273" t="s">
        <v>307</v>
      </c>
      <c r="D116" s="264" t="s">
        <v>3082</v>
      </c>
      <c r="E116" s="264"/>
      <c r="F116" s="274"/>
      <c r="G116" s="283"/>
      <c r="H116" s="266"/>
      <c r="I116" s="281"/>
      <c r="J116" s="281"/>
      <c r="K116" s="281"/>
      <c r="L116" s="282" t="s">
        <v>3083</v>
      </c>
      <c r="M116" s="284" t="s">
        <v>2962</v>
      </c>
      <c r="N116" s="269">
        <f t="shared" si="9"/>
        <v>0</v>
      </c>
      <c r="O116" s="270">
        <f t="shared" si="10"/>
        <v>0</v>
      </c>
      <c r="P116" s="271">
        <f t="shared" si="11"/>
        <v>0</v>
      </c>
      <c r="Q116" s="520"/>
      <c r="R116" s="354">
        <f>IF(ISERROR(VLOOKUP("RIC"&amp;$C116,ESTR_PREC_SP!$A$2:$G$2000,4,FALSE))=TRUE,0,VLOOKUP("RIC"&amp;$C116,ESTR_PREC_SP!$A$2:$G$2000,4,FALSE))</f>
        <v>0</v>
      </c>
      <c r="S116" s="521"/>
      <c r="V116" s="211"/>
      <c r="W116" s="520"/>
      <c r="X116" s="520"/>
      <c r="Y116" s="520"/>
      <c r="Z116" s="520"/>
      <c r="AA116" s="211"/>
    </row>
    <row r="117" spans="2:31" s="204" customFormat="1" x14ac:dyDescent="0.25">
      <c r="B117" s="298"/>
      <c r="C117" s="298"/>
      <c r="D117" s="300"/>
      <c r="E117" s="226"/>
      <c r="F117" s="226"/>
      <c r="G117" s="226"/>
      <c r="H117" s="227"/>
      <c r="I117" s="226"/>
      <c r="J117" s="226"/>
      <c r="K117" s="226"/>
      <c r="L117" s="241"/>
      <c r="M117" s="278"/>
      <c r="N117" s="279"/>
      <c r="O117" s="279"/>
      <c r="P117" s="297"/>
      <c r="Q117" s="211"/>
      <c r="R117" s="279"/>
      <c r="S117" s="279"/>
      <c r="T117" s="279"/>
      <c r="U117" s="279"/>
      <c r="V117" s="279"/>
      <c r="W117" s="279"/>
      <c r="X117" s="279"/>
      <c r="Y117" s="279"/>
      <c r="Z117" s="279"/>
      <c r="AA117" s="211"/>
    </row>
    <row r="118" spans="2:31" s="204" customFormat="1" x14ac:dyDescent="0.25">
      <c r="B118" s="246" t="s">
        <v>309</v>
      </c>
      <c r="C118" s="292" t="s">
        <v>310</v>
      </c>
      <c r="D118" s="301" t="s">
        <v>3084</v>
      </c>
      <c r="E118" s="247"/>
      <c r="F118" s="247"/>
      <c r="G118" s="247"/>
      <c r="H118" s="248"/>
      <c r="I118" s="247"/>
      <c r="J118" s="247"/>
      <c r="K118" s="249"/>
      <c r="L118" s="258" t="s">
        <v>312</v>
      </c>
      <c r="M118" s="251" t="s">
        <v>2962</v>
      </c>
      <c r="N118" s="252">
        <f>SUM(N121:N122)</f>
        <v>0</v>
      </c>
      <c r="O118" s="252">
        <f>SUM(O121:O122)</f>
        <v>0</v>
      </c>
      <c r="P118" s="259">
        <f>+O118-N118</f>
        <v>0</v>
      </c>
      <c r="Q118" s="252">
        <f>SUM(Q121:Q122)</f>
        <v>0</v>
      </c>
      <c r="R118" s="252">
        <f>SUM(R121:R122)</f>
        <v>0</v>
      </c>
      <c r="S118" s="252">
        <f>SUM(S121:S122)</f>
        <v>0</v>
      </c>
      <c r="T118" s="252">
        <f>SUM(T121:T122)</f>
        <v>0</v>
      </c>
      <c r="U118" s="252">
        <f>SUM(U121:U122)</f>
        <v>0</v>
      </c>
      <c r="V118" s="216"/>
      <c r="W118" s="252">
        <f t="shared" ref="W118:AE118" si="12">SUM(W121:W122)</f>
        <v>0</v>
      </c>
      <c r="X118" s="252">
        <f t="shared" si="12"/>
        <v>0</v>
      </c>
      <c r="Y118" s="252">
        <f t="shared" si="12"/>
        <v>0</v>
      </c>
      <c r="Z118" s="252">
        <f t="shared" si="12"/>
        <v>0</v>
      </c>
      <c r="AA118" s="252">
        <f t="shared" si="12"/>
        <v>0</v>
      </c>
      <c r="AB118" s="252">
        <f t="shared" si="12"/>
        <v>0</v>
      </c>
      <c r="AC118" s="252">
        <f t="shared" si="12"/>
        <v>0</v>
      </c>
      <c r="AD118" s="252">
        <f t="shared" si="12"/>
        <v>0</v>
      </c>
      <c r="AE118" s="252">
        <f t="shared" si="12"/>
        <v>0</v>
      </c>
    </row>
    <row r="119" spans="2:31" s="204" customFormat="1" x14ac:dyDescent="0.25">
      <c r="B119" s="293"/>
      <c r="C119" s="293"/>
      <c r="D119" s="230"/>
      <c r="E119" s="230"/>
      <c r="F119" s="230"/>
      <c r="G119" s="230"/>
      <c r="H119" s="231"/>
      <c r="I119" s="230"/>
      <c r="J119" s="230"/>
      <c r="K119" s="230"/>
      <c r="L119" s="232"/>
      <c r="M119" s="211"/>
      <c r="N119" s="254"/>
      <c r="O119" s="211"/>
      <c r="P119" s="211"/>
      <c r="Q119" s="211"/>
      <c r="R119" s="216"/>
      <c r="T119" s="216"/>
      <c r="U119" s="216"/>
      <c r="V119" s="216"/>
      <c r="W119" s="211"/>
      <c r="X119" s="211"/>
      <c r="Y119" s="211"/>
      <c r="Z119" s="211"/>
      <c r="AA119" s="211"/>
    </row>
    <row r="120" spans="2:31" s="204" customFormat="1" ht="63.75" x14ac:dyDescent="0.25">
      <c r="B120" s="294" t="s">
        <v>2968</v>
      </c>
      <c r="C120" s="294" t="s">
        <v>2969</v>
      </c>
      <c r="D120" s="206" t="s">
        <v>72</v>
      </c>
      <c r="E120" s="206"/>
      <c r="F120" s="206"/>
      <c r="G120" s="207"/>
      <c r="H120" s="207"/>
      <c r="I120" s="207"/>
      <c r="J120" s="207" t="s">
        <v>2957</v>
      </c>
      <c r="K120" s="206" t="s">
        <v>82</v>
      </c>
      <c r="L120" s="261" t="s">
        <v>2970</v>
      </c>
      <c r="M120" s="260"/>
      <c r="N120" s="256" t="str">
        <f>N$15</f>
        <v>Valore netto al 31/12/2019</v>
      </c>
      <c r="O120" s="256" t="str">
        <f>O$15</f>
        <v>Valore netto al 31/12/2020</v>
      </c>
      <c r="P120" s="256" t="str">
        <f>P$15</f>
        <v>Variazione</v>
      </c>
      <c r="Q120" s="262" t="s">
        <v>2971</v>
      </c>
      <c r="R120" s="262" t="str">
        <f>"Costo storico al 31/12/"&amp;Info!$B$3-1</f>
        <v>Costo storico al 31/12/2019</v>
      </c>
      <c r="S120" s="262" t="s">
        <v>2972</v>
      </c>
      <c r="T120" s="262" t="s">
        <v>2973</v>
      </c>
      <c r="U120" s="262" t="s">
        <v>2974</v>
      </c>
      <c r="W120" s="262" t="s">
        <v>2975</v>
      </c>
      <c r="X120" s="262" t="s">
        <v>2976</v>
      </c>
      <c r="Y120" s="262" t="s">
        <v>2977</v>
      </c>
      <c r="Z120" s="262" t="s">
        <v>2978</v>
      </c>
      <c r="AA120" s="262" t="s">
        <v>2979</v>
      </c>
      <c r="AB120" s="262" t="s">
        <v>2980</v>
      </c>
      <c r="AC120" s="262" t="s">
        <v>2981</v>
      </c>
      <c r="AD120" s="262" t="s">
        <v>2982</v>
      </c>
      <c r="AE120" s="262" t="s">
        <v>2983</v>
      </c>
    </row>
    <row r="121" spans="2:31" s="204" customFormat="1" x14ac:dyDescent="0.25">
      <c r="B121" s="246" t="s">
        <v>313</v>
      </c>
      <c r="C121" s="273" t="s">
        <v>314</v>
      </c>
      <c r="D121" s="264" t="s">
        <v>3085</v>
      </c>
      <c r="E121" s="264"/>
      <c r="F121" s="264"/>
      <c r="G121" s="265"/>
      <c r="H121" s="266"/>
      <c r="I121" s="267"/>
      <c r="J121" s="267"/>
      <c r="K121" s="267"/>
      <c r="L121" s="268" t="s">
        <v>3086</v>
      </c>
      <c r="M121" s="263" t="s">
        <v>2962</v>
      </c>
      <c r="N121" s="269">
        <f>+R121+T121-U121</f>
        <v>0</v>
      </c>
      <c r="O121" s="270">
        <f>+N121+S121+X121+ABS(Y121)-ABS(AA121)+ABS(Z121)+ABS(AB121)+ABS(AD121)-ABS(AE121)+AC121+W121+Q121</f>
        <v>0</v>
      </c>
      <c r="P121" s="271">
        <f>+O121-N121</f>
        <v>0</v>
      </c>
      <c r="Q121" s="520"/>
      <c r="R121" s="354">
        <f>IF(ISERROR(VLOOKUP("RIC"&amp;$C121,ESTR_PREC_SP!$A$2:$G$2000,4,FALSE))=TRUE,0,VLOOKUP("RIC"&amp;$C121,ESTR_PREC_SP!$A$2:$G$2000,4,FALSE))</f>
        <v>0</v>
      </c>
      <c r="S121" s="521"/>
      <c r="T121" s="521"/>
      <c r="U121" s="521"/>
      <c r="W121" s="520"/>
      <c r="X121" s="520"/>
      <c r="Y121" s="520"/>
      <c r="Z121" s="520"/>
      <c r="AA121" s="520"/>
      <c r="AB121" s="520"/>
      <c r="AC121" s="520"/>
      <c r="AD121" s="520"/>
      <c r="AE121" s="520"/>
    </row>
    <row r="122" spans="2:31" s="204" customFormat="1" x14ac:dyDescent="0.25">
      <c r="B122" s="246" t="s">
        <v>316</v>
      </c>
      <c r="C122" s="273" t="s">
        <v>317</v>
      </c>
      <c r="D122" s="264" t="s">
        <v>3087</v>
      </c>
      <c r="E122" s="264"/>
      <c r="F122" s="264"/>
      <c r="G122" s="265"/>
      <c r="H122" s="266"/>
      <c r="I122" s="267"/>
      <c r="J122" s="267"/>
      <c r="K122" s="267"/>
      <c r="L122" s="268" t="s">
        <v>3088</v>
      </c>
      <c r="M122" s="263" t="s">
        <v>2962</v>
      </c>
      <c r="N122" s="269">
        <f>+R122+T122-U122</f>
        <v>0</v>
      </c>
      <c r="O122" s="270">
        <f>+N122+S122+X122+ABS(Y122)-ABS(AA122)+ABS(Z122)+ABS(AB122)+ABS(AD122)-ABS(AE122)+AC122+W122+Q122</f>
        <v>0</v>
      </c>
      <c r="P122" s="271">
        <f>+O122-N122</f>
        <v>0</v>
      </c>
      <c r="Q122" s="520"/>
      <c r="R122" s="354">
        <f>IF(ISERROR(VLOOKUP("RIC"&amp;$C122,ESTR_PREC_SP!$A$2:$G$2000,4,FALSE))=TRUE,0,VLOOKUP("RIC"&amp;$C122,ESTR_PREC_SP!$A$2:$G$2000,4,FALSE))</f>
        <v>0</v>
      </c>
      <c r="S122" s="521"/>
      <c r="T122" s="521"/>
      <c r="U122" s="521"/>
      <c r="W122" s="520"/>
      <c r="X122" s="520"/>
      <c r="Y122" s="520"/>
      <c r="Z122" s="520"/>
      <c r="AA122" s="520"/>
      <c r="AB122" s="520"/>
      <c r="AC122" s="520"/>
      <c r="AD122" s="520"/>
      <c r="AE122" s="520"/>
    </row>
    <row r="123" spans="2:31" s="204" customFormat="1" x14ac:dyDescent="0.25">
      <c r="B123" s="293"/>
      <c r="C123" s="293"/>
      <c r="D123" s="300"/>
      <c r="E123" s="230"/>
      <c r="F123" s="230"/>
      <c r="G123" s="230"/>
      <c r="H123" s="231"/>
      <c r="I123" s="230"/>
      <c r="J123" s="230"/>
      <c r="K123" s="230"/>
      <c r="L123" s="275"/>
      <c r="M123" s="211"/>
      <c r="N123" s="254"/>
      <c r="O123" s="211"/>
      <c r="P123" s="211"/>
      <c r="Q123" s="211"/>
      <c r="R123" s="211"/>
      <c r="S123" s="216"/>
      <c r="T123" s="216"/>
      <c r="U123" s="216"/>
      <c r="V123" s="216"/>
      <c r="W123" s="211"/>
      <c r="X123" s="211"/>
      <c r="Y123" s="211"/>
      <c r="Z123" s="211"/>
      <c r="AA123" s="211"/>
    </row>
    <row r="124" spans="2:31" s="204" customFormat="1" x14ac:dyDescent="0.25">
      <c r="B124" s="246" t="s">
        <v>319</v>
      </c>
      <c r="C124" s="292" t="s">
        <v>320</v>
      </c>
      <c r="D124" s="301" t="s">
        <v>3089</v>
      </c>
      <c r="E124" s="247"/>
      <c r="F124" s="247"/>
      <c r="G124" s="247"/>
      <c r="H124" s="248"/>
      <c r="I124" s="247"/>
      <c r="J124" s="247"/>
      <c r="K124" s="249"/>
      <c r="L124" s="276" t="s">
        <v>322</v>
      </c>
      <c r="M124" s="251" t="s">
        <v>2962</v>
      </c>
      <c r="N124" s="252">
        <f>SUM(N127:N128)</f>
        <v>0</v>
      </c>
      <c r="O124" s="252">
        <f>SUM(O127:O128)</f>
        <v>0</v>
      </c>
      <c r="P124" s="259">
        <f>+O124-N124</f>
        <v>0</v>
      </c>
      <c r="Q124" s="252">
        <f>SUM(Q127:Q128)</f>
        <v>0</v>
      </c>
      <c r="R124" s="252">
        <f>SUM(R127:R128)</f>
        <v>0</v>
      </c>
      <c r="S124" s="252">
        <f>SUM(S127:S128)</f>
        <v>0</v>
      </c>
      <c r="V124" s="211"/>
      <c r="W124" s="252">
        <f>SUM(W127:W128)</f>
        <v>0</v>
      </c>
      <c r="X124" s="252">
        <f>SUM(X127:X128)</f>
        <v>0</v>
      </c>
      <c r="Y124" s="252">
        <f>SUM(Y127:Y128)</f>
        <v>0</v>
      </c>
      <c r="Z124" s="252">
        <f>SUM(Z127:Z128)</f>
        <v>0</v>
      </c>
      <c r="AA124" s="211"/>
    </row>
    <row r="125" spans="2:31" s="204" customFormat="1" x14ac:dyDescent="0.25">
      <c r="B125" s="293"/>
      <c r="C125" s="293"/>
      <c r="D125" s="230"/>
      <c r="E125" s="230"/>
      <c r="F125" s="230"/>
      <c r="G125" s="230"/>
      <c r="H125" s="231"/>
      <c r="I125" s="230"/>
      <c r="J125" s="230"/>
      <c r="K125" s="230"/>
      <c r="L125" s="232"/>
      <c r="M125" s="211"/>
      <c r="N125" s="211"/>
      <c r="O125" s="211"/>
      <c r="P125" s="211"/>
      <c r="Q125" s="211"/>
      <c r="V125" s="211"/>
      <c r="W125" s="211"/>
      <c r="X125" s="211"/>
      <c r="Y125" s="211"/>
      <c r="Z125" s="211"/>
      <c r="AA125" s="211"/>
    </row>
    <row r="126" spans="2:31" s="204" customFormat="1" ht="63.75" x14ac:dyDescent="0.25">
      <c r="B126" s="294" t="s">
        <v>2968</v>
      </c>
      <c r="C126" s="294" t="s">
        <v>2969</v>
      </c>
      <c r="D126" s="206" t="s">
        <v>72</v>
      </c>
      <c r="E126" s="206"/>
      <c r="F126" s="206"/>
      <c r="G126" s="207"/>
      <c r="H126" s="207"/>
      <c r="I126" s="207"/>
      <c r="J126" s="207" t="s">
        <v>2957</v>
      </c>
      <c r="K126" s="206" t="s">
        <v>82</v>
      </c>
      <c r="L126" s="261" t="s">
        <v>2970</v>
      </c>
      <c r="M126" s="260"/>
      <c r="N126" s="256" t="str">
        <f>N$15</f>
        <v>Valore netto al 31/12/2019</v>
      </c>
      <c r="O126" s="256" t="str">
        <f>O$15</f>
        <v>Valore netto al 31/12/2020</v>
      </c>
      <c r="P126" s="256" t="str">
        <f>P$15</f>
        <v>Variazione</v>
      </c>
      <c r="Q126" s="262" t="s">
        <v>2971</v>
      </c>
      <c r="R126" s="262" t="str">
        <f>"Fondo ammortamento 31/12/"&amp;Info!$B$3-1</f>
        <v>Fondo ammortamento 31/12/2019</v>
      </c>
      <c r="S126" s="262" t="s">
        <v>2972</v>
      </c>
      <c r="V126" s="211"/>
      <c r="W126" s="262" t="s">
        <v>2975</v>
      </c>
      <c r="X126" s="262" t="s">
        <v>2976</v>
      </c>
      <c r="Y126" s="262" t="s">
        <v>2989</v>
      </c>
      <c r="Z126" s="262" t="s">
        <v>2990</v>
      </c>
      <c r="AA126" s="211"/>
    </row>
    <row r="127" spans="2:31" s="204" customFormat="1" x14ac:dyDescent="0.25">
      <c r="B127" s="246" t="s">
        <v>323</v>
      </c>
      <c r="C127" s="273" t="s">
        <v>324</v>
      </c>
      <c r="D127" s="264" t="s">
        <v>3090</v>
      </c>
      <c r="E127" s="264"/>
      <c r="F127" s="264"/>
      <c r="G127" s="265"/>
      <c r="H127" s="266"/>
      <c r="I127" s="267"/>
      <c r="J127" s="267"/>
      <c r="K127" s="267"/>
      <c r="L127" s="268" t="s">
        <v>3091</v>
      </c>
      <c r="M127" s="263" t="s">
        <v>2962</v>
      </c>
      <c r="N127" s="269">
        <f>+R127</f>
        <v>0</v>
      </c>
      <c r="O127" s="270">
        <f>+R127+S127+X127-ABS(Y127)+ABS(Z127)+W127+Q127</f>
        <v>0</v>
      </c>
      <c r="P127" s="271">
        <f>+O127-N127</f>
        <v>0</v>
      </c>
      <c r="Q127" s="520"/>
      <c r="R127" s="354">
        <f>IF(ISERROR(VLOOKUP("RIC"&amp;$C127,ESTR_PREC_SP!$A$2:$G$2000,4,FALSE))=TRUE,0,VLOOKUP("RIC"&amp;$C127,ESTR_PREC_SP!$A$2:$G$2000,4,FALSE))</f>
        <v>0</v>
      </c>
      <c r="S127" s="521"/>
      <c r="V127" s="211"/>
      <c r="W127" s="520"/>
      <c r="X127" s="520"/>
      <c r="Y127" s="520"/>
      <c r="Z127" s="520"/>
      <c r="AA127" s="211"/>
    </row>
    <row r="128" spans="2:31" s="204" customFormat="1" x14ac:dyDescent="0.25">
      <c r="B128" s="246" t="s">
        <v>326</v>
      </c>
      <c r="C128" s="273" t="s">
        <v>327</v>
      </c>
      <c r="D128" s="264" t="s">
        <v>3092</v>
      </c>
      <c r="E128" s="264"/>
      <c r="F128" s="264"/>
      <c r="G128" s="265"/>
      <c r="H128" s="266"/>
      <c r="I128" s="267"/>
      <c r="J128" s="267"/>
      <c r="K128" s="267"/>
      <c r="L128" s="268" t="s">
        <v>3093</v>
      </c>
      <c r="M128" s="263" t="s">
        <v>2962</v>
      </c>
      <c r="N128" s="269">
        <f>+R128</f>
        <v>0</v>
      </c>
      <c r="O128" s="270">
        <f>+R128+S128+X128-ABS(Y128)+ABS(Z128)+W128+Q128</f>
        <v>0</v>
      </c>
      <c r="P128" s="271">
        <f>+O128-N128</f>
        <v>0</v>
      </c>
      <c r="Q128" s="520"/>
      <c r="R128" s="354">
        <f>IF(ISERROR(VLOOKUP("RIC"&amp;$C128,ESTR_PREC_SP!$A$2:$G$2000,4,FALSE))=TRUE,0,VLOOKUP("RIC"&amp;$C128,ESTR_PREC_SP!$A$2:$G$2000,4,FALSE))</f>
        <v>0</v>
      </c>
      <c r="S128" s="521"/>
      <c r="V128" s="211"/>
      <c r="W128" s="520"/>
      <c r="X128" s="520"/>
      <c r="Y128" s="520"/>
      <c r="Z128" s="520"/>
      <c r="AA128" s="211"/>
    </row>
    <row r="129" spans="2:31" s="204" customFormat="1" x14ac:dyDescent="0.25">
      <c r="B129" s="293"/>
      <c r="C129" s="293"/>
      <c r="D129" s="300"/>
      <c r="E129" s="230"/>
      <c r="F129" s="230"/>
      <c r="G129" s="230"/>
      <c r="H129" s="231"/>
      <c r="I129" s="230"/>
      <c r="J129" s="230"/>
      <c r="K129" s="230"/>
      <c r="L129" s="232"/>
      <c r="M129" s="211"/>
      <c r="N129" s="254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2:31" s="204" customFormat="1" x14ac:dyDescent="0.25">
      <c r="B130" s="246" t="s">
        <v>329</v>
      </c>
      <c r="C130" s="292" t="s">
        <v>330</v>
      </c>
      <c r="D130" s="301" t="s">
        <v>3094</v>
      </c>
      <c r="E130" s="247"/>
      <c r="F130" s="247"/>
      <c r="G130" s="247"/>
      <c r="H130" s="248"/>
      <c r="I130" s="247"/>
      <c r="J130" s="247"/>
      <c r="K130" s="249"/>
      <c r="L130" s="258" t="s">
        <v>332</v>
      </c>
      <c r="M130" s="251" t="s">
        <v>2962</v>
      </c>
      <c r="N130" s="252">
        <f>SUM(N133:N134)</f>
        <v>0</v>
      </c>
      <c r="O130" s="252">
        <f>SUM(O133:O134)</f>
        <v>0</v>
      </c>
      <c r="P130" s="259">
        <f>+O130-N130</f>
        <v>0</v>
      </c>
      <c r="Q130" s="252">
        <f>SUM(Q133:Q134)</f>
        <v>0</v>
      </c>
      <c r="R130" s="252">
        <f>SUM(R133:R134)</f>
        <v>0</v>
      </c>
      <c r="S130" s="252">
        <f>SUM(S133:S134)</f>
        <v>0</v>
      </c>
      <c r="T130" s="252">
        <f>SUM(T133:T134)</f>
        <v>0</v>
      </c>
      <c r="U130" s="252">
        <f>SUM(U133:U134)</f>
        <v>0</v>
      </c>
      <c r="V130" s="216"/>
      <c r="W130" s="252">
        <f t="shared" ref="W130:AE130" si="13">SUM(W133:W134)</f>
        <v>0</v>
      </c>
      <c r="X130" s="252">
        <f t="shared" si="13"/>
        <v>0</v>
      </c>
      <c r="Y130" s="252">
        <f t="shared" si="13"/>
        <v>0</v>
      </c>
      <c r="Z130" s="252">
        <f t="shared" si="13"/>
        <v>0</v>
      </c>
      <c r="AA130" s="252">
        <f t="shared" si="13"/>
        <v>0</v>
      </c>
      <c r="AB130" s="252">
        <f t="shared" si="13"/>
        <v>0</v>
      </c>
      <c r="AC130" s="252">
        <f t="shared" si="13"/>
        <v>0</v>
      </c>
      <c r="AD130" s="252">
        <f t="shared" si="13"/>
        <v>0</v>
      </c>
      <c r="AE130" s="252">
        <f t="shared" si="13"/>
        <v>0</v>
      </c>
    </row>
    <row r="131" spans="2:31" s="204" customFormat="1" x14ac:dyDescent="0.25">
      <c r="B131" s="293"/>
      <c r="C131" s="293"/>
      <c r="D131" s="230"/>
      <c r="E131" s="230"/>
      <c r="F131" s="230"/>
      <c r="G131" s="230"/>
      <c r="H131" s="231"/>
      <c r="I131" s="230"/>
      <c r="J131" s="230"/>
      <c r="K131" s="230"/>
      <c r="L131" s="232"/>
      <c r="M131" s="211"/>
      <c r="N131" s="254"/>
      <c r="O131" s="211"/>
      <c r="P131" s="211"/>
      <c r="Q131" s="211"/>
      <c r="R131" s="216"/>
      <c r="T131" s="216"/>
      <c r="U131" s="216"/>
      <c r="V131" s="216"/>
      <c r="W131" s="211"/>
      <c r="X131" s="211"/>
      <c r="Y131" s="211"/>
      <c r="Z131" s="211"/>
      <c r="AA131" s="211"/>
    </row>
    <row r="132" spans="2:31" s="204" customFormat="1" ht="63.75" x14ac:dyDescent="0.25">
      <c r="B132" s="294" t="s">
        <v>2968</v>
      </c>
      <c r="C132" s="294" t="s">
        <v>2969</v>
      </c>
      <c r="D132" s="206" t="s">
        <v>72</v>
      </c>
      <c r="E132" s="206"/>
      <c r="F132" s="206"/>
      <c r="G132" s="207"/>
      <c r="H132" s="207"/>
      <c r="I132" s="207"/>
      <c r="J132" s="207" t="s">
        <v>2957</v>
      </c>
      <c r="K132" s="206" t="s">
        <v>82</v>
      </c>
      <c r="L132" s="261" t="s">
        <v>2970</v>
      </c>
      <c r="M132" s="260"/>
      <c r="N132" s="256" t="str">
        <f>N$15</f>
        <v>Valore netto al 31/12/2019</v>
      </c>
      <c r="O132" s="256" t="str">
        <f>O$15</f>
        <v>Valore netto al 31/12/2020</v>
      </c>
      <c r="P132" s="256" t="str">
        <f>P$15</f>
        <v>Variazione</v>
      </c>
      <c r="Q132" s="262" t="s">
        <v>2971</v>
      </c>
      <c r="R132" s="262" t="str">
        <f>"Costo storico al 31/12/"&amp;Info!$B$3-1</f>
        <v>Costo storico al 31/12/2019</v>
      </c>
      <c r="S132" s="262" t="s">
        <v>2972</v>
      </c>
      <c r="T132" s="262" t="s">
        <v>2973</v>
      </c>
      <c r="U132" s="262" t="s">
        <v>2974</v>
      </c>
      <c r="W132" s="262" t="s">
        <v>2975</v>
      </c>
      <c r="X132" s="262" t="s">
        <v>2976</v>
      </c>
      <c r="Y132" s="262" t="s">
        <v>2977</v>
      </c>
      <c r="Z132" s="262" t="s">
        <v>2978</v>
      </c>
      <c r="AA132" s="262" t="s">
        <v>2979</v>
      </c>
      <c r="AB132" s="262" t="s">
        <v>2980</v>
      </c>
      <c r="AC132" s="262" t="s">
        <v>2981</v>
      </c>
      <c r="AD132" s="262" t="s">
        <v>2982</v>
      </c>
      <c r="AE132" s="262" t="s">
        <v>2983</v>
      </c>
    </row>
    <row r="133" spans="2:31" s="204" customFormat="1" x14ac:dyDescent="0.25">
      <c r="B133" s="246" t="s">
        <v>333</v>
      </c>
      <c r="C133" s="273" t="s">
        <v>334</v>
      </c>
      <c r="D133" s="264" t="s">
        <v>3095</v>
      </c>
      <c r="E133" s="264"/>
      <c r="F133" s="264"/>
      <c r="G133" s="265"/>
      <c r="H133" s="266"/>
      <c r="I133" s="267"/>
      <c r="J133" s="267"/>
      <c r="K133" s="267"/>
      <c r="L133" s="268" t="s">
        <v>335</v>
      </c>
      <c r="M133" s="263" t="s">
        <v>2962</v>
      </c>
      <c r="N133" s="269">
        <f>+R133+T133-U133</f>
        <v>0</v>
      </c>
      <c r="O133" s="270">
        <f>+N133+S133+X133+ABS(Y133)-ABS(AA133)+ABS(Z133)+ABS(AB133)+ABS(AD133)-ABS(AE133)+AC133+W133+Q133</f>
        <v>0</v>
      </c>
      <c r="P133" s="271">
        <f>+O133-N133</f>
        <v>0</v>
      </c>
      <c r="Q133" s="520"/>
      <c r="R133" s="354">
        <f>IF(ISERROR(VLOOKUP("RIC"&amp;$C133,ESTR_PREC_SP!$A$2:$G$2000,4,FALSE))=TRUE,0,VLOOKUP("RIC"&amp;$C133,ESTR_PREC_SP!$A$2:$G$2000,4,FALSE))</f>
        <v>0</v>
      </c>
      <c r="S133" s="521"/>
      <c r="T133" s="521"/>
      <c r="U133" s="521"/>
      <c r="W133" s="520"/>
      <c r="X133" s="520"/>
      <c r="Y133" s="520"/>
      <c r="Z133" s="520"/>
      <c r="AA133" s="520"/>
      <c r="AB133" s="520"/>
      <c r="AC133" s="520"/>
      <c r="AD133" s="520"/>
      <c r="AE133" s="520"/>
    </row>
    <row r="134" spans="2:31" s="204" customFormat="1" x14ac:dyDescent="0.25">
      <c r="B134" s="246" t="s">
        <v>336</v>
      </c>
      <c r="C134" s="273" t="s">
        <v>337</v>
      </c>
      <c r="D134" s="264" t="s">
        <v>3097</v>
      </c>
      <c r="E134" s="264"/>
      <c r="F134" s="264"/>
      <c r="G134" s="265"/>
      <c r="H134" s="266"/>
      <c r="I134" s="267"/>
      <c r="J134" s="267"/>
      <c r="K134" s="267"/>
      <c r="L134" s="268" t="s">
        <v>338</v>
      </c>
      <c r="M134" s="263" t="s">
        <v>2962</v>
      </c>
      <c r="N134" s="269">
        <f>+R134+T134-U134</f>
        <v>0</v>
      </c>
      <c r="O134" s="270">
        <f>+N134+S134+X134+ABS(Y134)-ABS(AA134)+ABS(Z134)+ABS(AB134)+ABS(AD134)-ABS(AE134)+AC134+W134+Q134</f>
        <v>0</v>
      </c>
      <c r="P134" s="271">
        <f>+O134-N134</f>
        <v>0</v>
      </c>
      <c r="Q134" s="520"/>
      <c r="R134" s="354">
        <f>IF(ISERROR(VLOOKUP("RIC"&amp;$C134,ESTR_PREC_SP!$A$2:$G$2000,4,FALSE))=TRUE,0,VLOOKUP("RIC"&amp;$C134,ESTR_PREC_SP!$A$2:$G$2000,4,FALSE))</f>
        <v>0</v>
      </c>
      <c r="S134" s="521"/>
      <c r="T134" s="521"/>
      <c r="U134" s="521"/>
      <c r="W134" s="520"/>
      <c r="X134" s="520"/>
      <c r="Y134" s="520"/>
      <c r="Z134" s="520"/>
      <c r="AA134" s="520"/>
      <c r="AB134" s="520"/>
      <c r="AC134" s="520"/>
      <c r="AD134" s="520"/>
      <c r="AE134" s="520"/>
    </row>
    <row r="135" spans="2:31" s="204" customFormat="1" x14ac:dyDescent="0.25">
      <c r="B135" s="293"/>
      <c r="C135" s="293"/>
      <c r="D135" s="300"/>
      <c r="E135" s="230"/>
      <c r="F135" s="230"/>
      <c r="G135" s="230"/>
      <c r="H135" s="231"/>
      <c r="I135" s="230"/>
      <c r="J135" s="230"/>
      <c r="K135" s="230"/>
      <c r="L135" s="275"/>
      <c r="M135" s="211"/>
      <c r="N135" s="254"/>
      <c r="O135" s="211"/>
      <c r="P135" s="211"/>
      <c r="Q135" s="211"/>
      <c r="R135" s="211"/>
      <c r="S135" s="216"/>
      <c r="T135" s="216"/>
      <c r="U135" s="216"/>
      <c r="V135" s="216"/>
      <c r="W135" s="211"/>
      <c r="X135" s="211"/>
      <c r="Y135" s="211"/>
      <c r="Z135" s="211"/>
      <c r="AA135" s="211"/>
    </row>
    <row r="136" spans="2:31" s="204" customFormat="1" x14ac:dyDescent="0.25">
      <c r="B136" s="246" t="s">
        <v>339</v>
      </c>
      <c r="C136" s="292" t="s">
        <v>340</v>
      </c>
      <c r="D136" s="301" t="s">
        <v>3099</v>
      </c>
      <c r="E136" s="247"/>
      <c r="F136" s="247"/>
      <c r="G136" s="247"/>
      <c r="H136" s="248"/>
      <c r="I136" s="247"/>
      <c r="J136" s="247"/>
      <c r="K136" s="249"/>
      <c r="L136" s="276" t="s">
        <v>342</v>
      </c>
      <c r="M136" s="251" t="s">
        <v>2962</v>
      </c>
      <c r="N136" s="252">
        <f>SUM(N139:N140)</f>
        <v>0</v>
      </c>
      <c r="O136" s="252">
        <f>SUM(O139:O140)</f>
        <v>0</v>
      </c>
      <c r="P136" s="259">
        <f>+O136-N136</f>
        <v>0</v>
      </c>
      <c r="Q136" s="252">
        <f>SUM(Q139:Q140)</f>
        <v>0</v>
      </c>
      <c r="R136" s="252">
        <f>SUM(R139:R140)</f>
        <v>0</v>
      </c>
      <c r="S136" s="252">
        <f>SUM(S139:S140)</f>
        <v>0</v>
      </c>
      <c r="V136" s="211"/>
      <c r="W136" s="252">
        <f>SUM(W139:W140)</f>
        <v>0</v>
      </c>
      <c r="X136" s="252">
        <f>SUM(X139:X140)</f>
        <v>0</v>
      </c>
      <c r="Y136" s="252">
        <f>SUM(Y139:Y140)</f>
        <v>0</v>
      </c>
      <c r="Z136" s="252">
        <f>SUM(Z139:Z140)</f>
        <v>0</v>
      </c>
      <c r="AA136" s="211"/>
    </row>
    <row r="137" spans="2:31" s="204" customFormat="1" x14ac:dyDescent="0.25">
      <c r="B137" s="293"/>
      <c r="C137" s="293"/>
      <c r="D137" s="230"/>
      <c r="E137" s="230"/>
      <c r="F137" s="230"/>
      <c r="G137" s="230"/>
      <c r="H137" s="231"/>
      <c r="I137" s="230"/>
      <c r="J137" s="230"/>
      <c r="K137" s="230"/>
      <c r="L137" s="232"/>
      <c r="M137" s="211"/>
      <c r="N137" s="211"/>
      <c r="O137" s="211"/>
      <c r="P137" s="211"/>
      <c r="Q137" s="211"/>
      <c r="V137" s="211"/>
      <c r="W137" s="211"/>
      <c r="X137" s="211"/>
      <c r="Y137" s="211"/>
      <c r="Z137" s="211"/>
      <c r="AA137" s="211"/>
    </row>
    <row r="138" spans="2:31" s="204" customFormat="1" ht="63.75" x14ac:dyDescent="0.25">
      <c r="B138" s="294" t="s">
        <v>2968</v>
      </c>
      <c r="C138" s="294" t="s">
        <v>2969</v>
      </c>
      <c r="D138" s="206" t="s">
        <v>72</v>
      </c>
      <c r="E138" s="206"/>
      <c r="F138" s="206"/>
      <c r="G138" s="207"/>
      <c r="H138" s="207"/>
      <c r="I138" s="207"/>
      <c r="J138" s="207" t="s">
        <v>2957</v>
      </c>
      <c r="K138" s="206" t="s">
        <v>82</v>
      </c>
      <c r="L138" s="261" t="s">
        <v>2970</v>
      </c>
      <c r="M138" s="260"/>
      <c r="N138" s="256" t="str">
        <f>N$15</f>
        <v>Valore netto al 31/12/2019</v>
      </c>
      <c r="O138" s="256" t="str">
        <f>O$15</f>
        <v>Valore netto al 31/12/2020</v>
      </c>
      <c r="P138" s="256" t="str">
        <f>P$15</f>
        <v>Variazione</v>
      </c>
      <c r="Q138" s="262" t="s">
        <v>2971</v>
      </c>
      <c r="R138" s="262" t="str">
        <f>"Fondo ammortamento 31/12/"&amp;Info!$B$3-1</f>
        <v>Fondo ammortamento 31/12/2019</v>
      </c>
      <c r="S138" s="262" t="s">
        <v>2972</v>
      </c>
      <c r="V138" s="211"/>
      <c r="W138" s="262" t="s">
        <v>2975</v>
      </c>
      <c r="X138" s="262" t="s">
        <v>2976</v>
      </c>
      <c r="Y138" s="262" t="s">
        <v>2989</v>
      </c>
      <c r="Z138" s="262" t="s">
        <v>2990</v>
      </c>
      <c r="AA138" s="211"/>
    </row>
    <row r="139" spans="2:31" s="204" customFormat="1" x14ac:dyDescent="0.25">
      <c r="B139" s="246" t="s">
        <v>343</v>
      </c>
      <c r="C139" s="273" t="s">
        <v>344</v>
      </c>
      <c r="D139" s="264" t="s">
        <v>3100</v>
      </c>
      <c r="E139" s="264"/>
      <c r="F139" s="264"/>
      <c r="G139" s="265"/>
      <c r="H139" s="266"/>
      <c r="I139" s="267"/>
      <c r="J139" s="267"/>
      <c r="K139" s="267"/>
      <c r="L139" s="268" t="s">
        <v>3096</v>
      </c>
      <c r="M139" s="263" t="s">
        <v>2962</v>
      </c>
      <c r="N139" s="269">
        <f>+R139</f>
        <v>0</v>
      </c>
      <c r="O139" s="270">
        <f>+R139+S139+X139-ABS(Y139)+ABS(Z139)+W139+Q139</f>
        <v>0</v>
      </c>
      <c r="P139" s="271">
        <f>+O139-N139</f>
        <v>0</v>
      </c>
      <c r="Q139" s="520"/>
      <c r="R139" s="354">
        <f>IF(ISERROR(VLOOKUP("RIC"&amp;$C139,ESTR_PREC_SP!$A$2:$G$2000,4,FALSE))=TRUE,0,VLOOKUP("RIC"&amp;$C139,ESTR_PREC_SP!$A$2:$G$2000,4,FALSE))</f>
        <v>0</v>
      </c>
      <c r="S139" s="521"/>
      <c r="V139" s="211"/>
      <c r="W139" s="520"/>
      <c r="X139" s="520"/>
      <c r="Y139" s="520"/>
      <c r="Z139" s="520"/>
      <c r="AA139" s="211"/>
    </row>
    <row r="140" spans="2:31" s="204" customFormat="1" x14ac:dyDescent="0.25">
      <c r="B140" s="246" t="s">
        <v>346</v>
      </c>
      <c r="C140" s="273" t="s">
        <v>347</v>
      </c>
      <c r="D140" s="264" t="s">
        <v>3102</v>
      </c>
      <c r="E140" s="264"/>
      <c r="F140" s="264"/>
      <c r="G140" s="265"/>
      <c r="H140" s="266"/>
      <c r="I140" s="267"/>
      <c r="J140" s="267"/>
      <c r="K140" s="267"/>
      <c r="L140" s="268" t="s">
        <v>3098</v>
      </c>
      <c r="M140" s="263" t="s">
        <v>2962</v>
      </c>
      <c r="N140" s="269">
        <f>+R140</f>
        <v>0</v>
      </c>
      <c r="O140" s="270">
        <f>+R140+S140+X140-ABS(Y140)+ABS(Z140)+W140+Q140</f>
        <v>0</v>
      </c>
      <c r="P140" s="271">
        <f>+O140-N140</f>
        <v>0</v>
      </c>
      <c r="Q140" s="520"/>
      <c r="R140" s="354">
        <f>IF(ISERROR(VLOOKUP("RIC"&amp;$C140,ESTR_PREC_SP!$A$2:$G$2000,4,FALSE))=TRUE,0,VLOOKUP("RIC"&amp;$C140,ESTR_PREC_SP!$A$2:$G$2000,4,FALSE))</f>
        <v>0</v>
      </c>
      <c r="S140" s="521"/>
      <c r="V140" s="211"/>
      <c r="W140" s="520"/>
      <c r="X140" s="520"/>
      <c r="Y140" s="520"/>
      <c r="Z140" s="520"/>
      <c r="AA140" s="211"/>
    </row>
    <row r="141" spans="2:31" s="204" customFormat="1" x14ac:dyDescent="0.25">
      <c r="B141" s="293"/>
      <c r="C141" s="293"/>
      <c r="D141" s="300"/>
      <c r="E141" s="230"/>
      <c r="F141" s="230"/>
      <c r="G141" s="230"/>
      <c r="H141" s="231"/>
      <c r="I141" s="230"/>
      <c r="J141" s="230"/>
      <c r="K141" s="230"/>
      <c r="L141" s="232"/>
      <c r="M141" s="211"/>
      <c r="N141" s="254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2:31" s="204" customFormat="1" x14ac:dyDescent="0.25">
      <c r="B142" s="246" t="s">
        <v>349</v>
      </c>
      <c r="C142" s="292" t="s">
        <v>350</v>
      </c>
      <c r="D142" s="301" t="s">
        <v>3104</v>
      </c>
      <c r="E142" s="247"/>
      <c r="F142" s="247"/>
      <c r="G142" s="247"/>
      <c r="H142" s="248"/>
      <c r="I142" s="247"/>
      <c r="J142" s="247"/>
      <c r="K142" s="249"/>
      <c r="L142" s="258" t="s">
        <v>352</v>
      </c>
      <c r="M142" s="251" t="s">
        <v>2962</v>
      </c>
      <c r="N142" s="252">
        <f>SUM(N145:N148)</f>
        <v>0</v>
      </c>
      <c r="O142" s="252">
        <f>SUM(O145:O148)</f>
        <v>0</v>
      </c>
      <c r="P142" s="259">
        <f>+O142-N142</f>
        <v>0</v>
      </c>
      <c r="Q142" s="252">
        <f>SUM(Q145:Q148)</f>
        <v>0</v>
      </c>
      <c r="R142" s="252">
        <f>SUM(R145:R148)</f>
        <v>0</v>
      </c>
      <c r="S142" s="252">
        <f>SUM(S145:S148)</f>
        <v>0</v>
      </c>
      <c r="T142" s="252">
        <f>SUM(T145:T148)</f>
        <v>0</v>
      </c>
      <c r="U142" s="252">
        <f>SUM(U145:U148)</f>
        <v>0</v>
      </c>
      <c r="V142" s="216"/>
      <c r="W142" s="252">
        <f t="shared" ref="W142:AE142" si="14">SUM(W145:W148)</f>
        <v>0</v>
      </c>
      <c r="X142" s="252">
        <f t="shared" si="14"/>
        <v>0</v>
      </c>
      <c r="Y142" s="252">
        <f t="shared" si="14"/>
        <v>0</v>
      </c>
      <c r="Z142" s="252">
        <f t="shared" si="14"/>
        <v>0</v>
      </c>
      <c r="AA142" s="252">
        <f t="shared" si="14"/>
        <v>0</v>
      </c>
      <c r="AB142" s="252">
        <f t="shared" si="14"/>
        <v>0</v>
      </c>
      <c r="AC142" s="252">
        <f t="shared" si="14"/>
        <v>0</v>
      </c>
      <c r="AD142" s="252">
        <f t="shared" si="14"/>
        <v>0</v>
      </c>
      <c r="AE142" s="252">
        <f t="shared" si="14"/>
        <v>0</v>
      </c>
    </row>
    <row r="143" spans="2:31" s="204" customFormat="1" x14ac:dyDescent="0.25">
      <c r="B143" s="293"/>
      <c r="C143" s="293"/>
      <c r="D143" s="230"/>
      <c r="E143" s="230"/>
      <c r="F143" s="230"/>
      <c r="G143" s="230"/>
      <c r="H143" s="231"/>
      <c r="I143" s="230"/>
      <c r="J143" s="230"/>
      <c r="K143" s="230"/>
      <c r="L143" s="232"/>
      <c r="M143" s="211"/>
      <c r="N143" s="254"/>
      <c r="O143" s="211"/>
      <c r="P143" s="211"/>
      <c r="Q143" s="211"/>
      <c r="R143" s="216"/>
      <c r="T143" s="216"/>
      <c r="U143" s="216"/>
      <c r="V143" s="216"/>
      <c r="W143" s="211"/>
      <c r="X143" s="211"/>
      <c r="Y143" s="211"/>
      <c r="Z143" s="211"/>
      <c r="AA143" s="211"/>
    </row>
    <row r="144" spans="2:31" s="204" customFormat="1" ht="63.75" x14ac:dyDescent="0.25">
      <c r="B144" s="294" t="s">
        <v>2968</v>
      </c>
      <c r="C144" s="294" t="s">
        <v>2969</v>
      </c>
      <c r="D144" s="206" t="s">
        <v>72</v>
      </c>
      <c r="E144" s="206"/>
      <c r="F144" s="206"/>
      <c r="G144" s="207"/>
      <c r="H144" s="207"/>
      <c r="I144" s="207"/>
      <c r="J144" s="207" t="s">
        <v>2957</v>
      </c>
      <c r="K144" s="206" t="s">
        <v>82</v>
      </c>
      <c r="L144" s="261" t="s">
        <v>2970</v>
      </c>
      <c r="M144" s="260"/>
      <c r="N144" s="256" t="str">
        <f>N$15</f>
        <v>Valore netto al 31/12/2019</v>
      </c>
      <c r="O144" s="256" t="str">
        <f>O$15</f>
        <v>Valore netto al 31/12/2020</v>
      </c>
      <c r="P144" s="256" t="str">
        <f>P$15</f>
        <v>Variazione</v>
      </c>
      <c r="Q144" s="262" t="s">
        <v>2971</v>
      </c>
      <c r="R144" s="262" t="str">
        <f>"Costo storico al 31/12/"&amp;Info!$B$3-1</f>
        <v>Costo storico al 31/12/2019</v>
      </c>
      <c r="S144" s="262" t="s">
        <v>2972</v>
      </c>
      <c r="T144" s="262" t="s">
        <v>2973</v>
      </c>
      <c r="U144" s="262" t="s">
        <v>2974</v>
      </c>
      <c r="W144" s="262" t="s">
        <v>2975</v>
      </c>
      <c r="X144" s="262" t="s">
        <v>2976</v>
      </c>
      <c r="Y144" s="262" t="s">
        <v>2977</v>
      </c>
      <c r="Z144" s="262" t="s">
        <v>2978</v>
      </c>
      <c r="AA144" s="262" t="s">
        <v>2979</v>
      </c>
      <c r="AB144" s="262" t="s">
        <v>2980</v>
      </c>
      <c r="AC144" s="262" t="s">
        <v>2981</v>
      </c>
      <c r="AD144" s="262" t="s">
        <v>2982</v>
      </c>
      <c r="AE144" s="262" t="s">
        <v>2983</v>
      </c>
    </row>
    <row r="145" spans="2:34" s="204" customFormat="1" x14ac:dyDescent="0.25">
      <c r="B145" s="246" t="s">
        <v>353</v>
      </c>
      <c r="C145" s="273" t="s">
        <v>354</v>
      </c>
      <c r="D145" s="264" t="s">
        <v>3105</v>
      </c>
      <c r="E145" s="264"/>
      <c r="F145" s="264"/>
      <c r="G145" s="265"/>
      <c r="H145" s="266"/>
      <c r="I145" s="267"/>
      <c r="J145" s="267"/>
      <c r="K145" s="267"/>
      <c r="L145" s="268" t="s">
        <v>3106</v>
      </c>
      <c r="M145" s="263" t="s">
        <v>2962</v>
      </c>
      <c r="N145" s="269">
        <f>+R145+T145-U145</f>
        <v>0</v>
      </c>
      <c r="O145" s="270">
        <f>+N145+S145+X145+ABS(Y145)-ABS(AA145)+ABS(Z145)+ABS(AB145)+ABS(AD145)-ABS(AE145)+AC145+W145+Q145</f>
        <v>0</v>
      </c>
      <c r="P145" s="271">
        <f>+O145-N145</f>
        <v>0</v>
      </c>
      <c r="Q145" s="520"/>
      <c r="R145" s="354">
        <f>IF(ISERROR(VLOOKUP("RIC"&amp;$C145,ESTR_PREC_SP!$A$2:$G$2000,4,FALSE))=TRUE,0,VLOOKUP("RIC"&amp;$C145,ESTR_PREC_SP!$A$2:$G$2000,4,FALSE))</f>
        <v>0</v>
      </c>
      <c r="S145" s="521"/>
      <c r="T145" s="521"/>
      <c r="U145" s="521"/>
      <c r="W145" s="520"/>
      <c r="X145" s="520"/>
      <c r="Y145" s="520"/>
      <c r="Z145" s="520"/>
      <c r="AA145" s="520"/>
      <c r="AB145" s="520"/>
      <c r="AC145" s="520"/>
      <c r="AD145" s="520"/>
      <c r="AE145" s="520"/>
    </row>
    <row r="146" spans="2:34" s="204" customFormat="1" x14ac:dyDescent="0.25">
      <c r="B146" s="246" t="s">
        <v>356</v>
      </c>
      <c r="C146" s="273" t="s">
        <v>357</v>
      </c>
      <c r="D146" s="264" t="s">
        <v>3107</v>
      </c>
      <c r="E146" s="264"/>
      <c r="F146" s="264"/>
      <c r="G146" s="265"/>
      <c r="H146" s="266"/>
      <c r="I146" s="267"/>
      <c r="J146" s="267"/>
      <c r="K146" s="267"/>
      <c r="L146" s="268" t="s">
        <v>3108</v>
      </c>
      <c r="M146" s="263" t="s">
        <v>2962</v>
      </c>
      <c r="N146" s="269">
        <f>+R146+T146-U146</f>
        <v>0</v>
      </c>
      <c r="O146" s="270">
        <f>+N146+S146+X146+ABS(Y146)-ABS(AA146)+ABS(Z146)+ABS(AB146)+ABS(AD146)-ABS(AE146)+AC146+W146+Q146</f>
        <v>0</v>
      </c>
      <c r="P146" s="271">
        <f>+O146-N146</f>
        <v>0</v>
      </c>
      <c r="Q146" s="520"/>
      <c r="R146" s="354">
        <f>IF(ISERROR(VLOOKUP("RIC"&amp;$C146,ESTR_PREC_SP!$A$2:$G$2000,4,FALSE))=TRUE,0,VLOOKUP("RIC"&amp;$C146,ESTR_PREC_SP!$A$2:$G$2000,4,FALSE))</f>
        <v>0</v>
      </c>
      <c r="S146" s="521"/>
      <c r="T146" s="521"/>
      <c r="U146" s="521"/>
      <c r="W146" s="520"/>
      <c r="X146" s="520"/>
      <c r="Y146" s="520"/>
      <c r="Z146" s="520"/>
      <c r="AA146" s="520"/>
      <c r="AB146" s="520"/>
      <c r="AC146" s="520"/>
      <c r="AD146" s="520"/>
      <c r="AE146" s="520"/>
    </row>
    <row r="147" spans="2:34" s="204" customFormat="1" x14ac:dyDescent="0.25">
      <c r="B147" s="246" t="s">
        <v>359</v>
      </c>
      <c r="C147" s="273" t="s">
        <v>360</v>
      </c>
      <c r="D147" s="264" t="s">
        <v>3109</v>
      </c>
      <c r="E147" s="264"/>
      <c r="F147" s="264"/>
      <c r="G147" s="265"/>
      <c r="H147" s="266"/>
      <c r="I147" s="267"/>
      <c r="J147" s="267"/>
      <c r="K147" s="267"/>
      <c r="L147" s="268" t="s">
        <v>3110</v>
      </c>
      <c r="M147" s="263" t="s">
        <v>2962</v>
      </c>
      <c r="N147" s="269">
        <f>+R147+T147-U147</f>
        <v>0</v>
      </c>
      <c r="O147" s="270">
        <f>+N147+S147+X147+ABS(Y147)-ABS(AA147)+ABS(Z147)+ABS(AB147)+ABS(AD147)-ABS(AE147)+AC147+W147+Q147</f>
        <v>0</v>
      </c>
      <c r="P147" s="271">
        <f>+O147-N147</f>
        <v>0</v>
      </c>
      <c r="Q147" s="520"/>
      <c r="R147" s="354">
        <f>IF(ISERROR(VLOOKUP("RIC"&amp;$C147,ESTR_PREC_SP!$A$2:$G$2000,4,FALSE))=TRUE,0,VLOOKUP("RIC"&amp;$C147,ESTR_PREC_SP!$A$2:$G$2000,4,FALSE))</f>
        <v>0</v>
      </c>
      <c r="S147" s="521"/>
      <c r="T147" s="521"/>
      <c r="U147" s="521"/>
      <c r="W147" s="520"/>
      <c r="X147" s="520"/>
      <c r="Y147" s="520"/>
      <c r="Z147" s="520"/>
      <c r="AA147" s="520"/>
      <c r="AB147" s="520"/>
      <c r="AC147" s="520"/>
      <c r="AD147" s="520"/>
      <c r="AE147" s="520"/>
    </row>
    <row r="148" spans="2:34" s="204" customFormat="1" x14ac:dyDescent="0.25">
      <c r="B148" s="246" t="s">
        <v>362</v>
      </c>
      <c r="C148" s="273" t="s">
        <v>363</v>
      </c>
      <c r="D148" s="264" t="s">
        <v>3111</v>
      </c>
      <c r="E148" s="264"/>
      <c r="F148" s="264"/>
      <c r="G148" s="265"/>
      <c r="H148" s="266"/>
      <c r="I148" s="267"/>
      <c r="J148" s="267"/>
      <c r="K148" s="267"/>
      <c r="L148" s="268" t="s">
        <v>3112</v>
      </c>
      <c r="M148" s="263" t="s">
        <v>2962</v>
      </c>
      <c r="N148" s="269">
        <f>+R148+T148-U148</f>
        <v>0</v>
      </c>
      <c r="O148" s="270">
        <f>+N148+S148+X148+ABS(Y148)-ABS(AA148)+ABS(Z148)+ABS(AB148)+ABS(AD148)-ABS(AE148)+AC148+W148+Q148</f>
        <v>0</v>
      </c>
      <c r="P148" s="271">
        <f>+O148-N148</f>
        <v>0</v>
      </c>
      <c r="Q148" s="520"/>
      <c r="R148" s="354">
        <f>IF(ISERROR(VLOOKUP("RIC"&amp;$C148,ESTR_PREC_SP!$A$2:$G$2000,4,FALSE))=TRUE,0,VLOOKUP("RIC"&amp;$C148,ESTR_PREC_SP!$A$2:$G$2000,4,FALSE))</f>
        <v>0</v>
      </c>
      <c r="S148" s="521"/>
      <c r="T148" s="521"/>
      <c r="U148" s="521"/>
      <c r="W148" s="520"/>
      <c r="X148" s="520"/>
      <c r="Y148" s="520"/>
      <c r="Z148" s="520"/>
      <c r="AA148" s="520"/>
      <c r="AB148" s="520"/>
      <c r="AC148" s="520"/>
      <c r="AD148" s="520"/>
      <c r="AE148" s="520"/>
    </row>
    <row r="149" spans="2:34" s="204" customFormat="1" x14ac:dyDescent="0.25">
      <c r="B149" s="293"/>
      <c r="C149" s="293"/>
      <c r="D149" s="300"/>
      <c r="E149" s="230"/>
      <c r="F149" s="230"/>
      <c r="G149" s="230"/>
      <c r="H149" s="231"/>
      <c r="I149" s="230"/>
      <c r="J149" s="230"/>
      <c r="K149" s="230"/>
      <c r="L149" s="275"/>
      <c r="M149" s="211"/>
      <c r="N149" s="254"/>
      <c r="O149" s="211"/>
      <c r="P149" s="211"/>
      <c r="Q149" s="211"/>
      <c r="R149" s="285"/>
      <c r="S149" s="285"/>
      <c r="T149" s="285"/>
      <c r="U149" s="285"/>
      <c r="V149" s="285"/>
      <c r="W149" s="285"/>
      <c r="X149" s="285"/>
      <c r="Y149" s="285"/>
      <c r="Z149" s="285"/>
      <c r="AA149" s="211"/>
    </row>
    <row r="150" spans="2:34" s="204" customFormat="1" x14ac:dyDescent="0.25">
      <c r="B150" s="246" t="s">
        <v>365</v>
      </c>
      <c r="C150" s="292" t="s">
        <v>366</v>
      </c>
      <c r="D150" s="301" t="s">
        <v>3113</v>
      </c>
      <c r="E150" s="247"/>
      <c r="F150" s="247"/>
      <c r="G150" s="247"/>
      <c r="H150" s="248"/>
      <c r="I150" s="247"/>
      <c r="J150" s="247"/>
      <c r="K150" s="249"/>
      <c r="L150" s="276" t="s">
        <v>368</v>
      </c>
      <c r="M150" s="251" t="s">
        <v>2962</v>
      </c>
      <c r="N150" s="252">
        <f>SUM(N153:N156)</f>
        <v>0</v>
      </c>
      <c r="O150" s="252">
        <f>SUM(O153:O156)</f>
        <v>0</v>
      </c>
      <c r="P150" s="259">
        <f>+O150-N150</f>
        <v>0</v>
      </c>
      <c r="Q150" s="252">
        <f>SUM(Q153:Q156)</f>
        <v>0</v>
      </c>
      <c r="R150" s="252">
        <f>SUM(R153:R156)</f>
        <v>0</v>
      </c>
      <c r="S150" s="252">
        <f>SUM(S153:S156)</f>
        <v>0</v>
      </c>
      <c r="V150" s="211"/>
      <c r="W150" s="252">
        <f>SUM(W153:W156)</f>
        <v>0</v>
      </c>
      <c r="X150" s="252">
        <f>SUM(X153:X156)</f>
        <v>0</v>
      </c>
      <c r="Y150" s="252">
        <f>SUM(Y153:Y156)</f>
        <v>0</v>
      </c>
      <c r="Z150" s="252">
        <f>SUM(Z153:Z156)</f>
        <v>0</v>
      </c>
      <c r="AA150" s="211"/>
    </row>
    <row r="151" spans="2:34" s="204" customFormat="1" x14ac:dyDescent="0.25">
      <c r="B151" s="293"/>
      <c r="C151" s="293"/>
      <c r="D151" s="230"/>
      <c r="E151" s="230"/>
      <c r="F151" s="230"/>
      <c r="G151" s="230"/>
      <c r="H151" s="231"/>
      <c r="I151" s="230"/>
      <c r="J151" s="230"/>
      <c r="K151" s="230"/>
      <c r="L151" s="232"/>
      <c r="M151" s="211"/>
      <c r="N151" s="211"/>
      <c r="O151" s="211"/>
      <c r="P151" s="211"/>
      <c r="Q151" s="211"/>
      <c r="V151" s="211"/>
      <c r="W151" s="211"/>
      <c r="X151" s="211"/>
      <c r="Y151" s="211"/>
      <c r="Z151" s="211"/>
      <c r="AA151" s="285"/>
    </row>
    <row r="152" spans="2:34" s="204" customFormat="1" ht="63.75" x14ac:dyDescent="0.25">
      <c r="B152" s="294" t="s">
        <v>2968</v>
      </c>
      <c r="C152" s="294" t="s">
        <v>2969</v>
      </c>
      <c r="D152" s="206" t="s">
        <v>72</v>
      </c>
      <c r="E152" s="206"/>
      <c r="F152" s="206"/>
      <c r="G152" s="207"/>
      <c r="H152" s="207"/>
      <c r="I152" s="207"/>
      <c r="J152" s="207" t="s">
        <v>2957</v>
      </c>
      <c r="K152" s="206" t="s">
        <v>82</v>
      </c>
      <c r="L152" s="261" t="s">
        <v>2970</v>
      </c>
      <c r="M152" s="260"/>
      <c r="N152" s="256" t="str">
        <f>N$15</f>
        <v>Valore netto al 31/12/2019</v>
      </c>
      <c r="O152" s="256" t="str">
        <f>O$15</f>
        <v>Valore netto al 31/12/2020</v>
      </c>
      <c r="P152" s="256" t="str">
        <f>P$15</f>
        <v>Variazione</v>
      </c>
      <c r="Q152" s="262" t="s">
        <v>2971</v>
      </c>
      <c r="R152" s="262" t="str">
        <f>"Fondo ammortamento 31/12/"&amp;Info!$B$3-1</f>
        <v>Fondo ammortamento 31/12/2019</v>
      </c>
      <c r="S152" s="262" t="s">
        <v>2972</v>
      </c>
      <c r="V152" s="211"/>
      <c r="W152" s="262" t="s">
        <v>2975</v>
      </c>
      <c r="X152" s="262" t="s">
        <v>2976</v>
      </c>
      <c r="Y152" s="262" t="s">
        <v>2989</v>
      </c>
      <c r="Z152" s="262" t="s">
        <v>2990</v>
      </c>
      <c r="AA152" s="285"/>
    </row>
    <row r="153" spans="2:34" s="204" customFormat="1" x14ac:dyDescent="0.25">
      <c r="B153" s="246" t="s">
        <v>369</v>
      </c>
      <c r="C153" s="273" t="s">
        <v>370</v>
      </c>
      <c r="D153" s="264" t="s">
        <v>3114</v>
      </c>
      <c r="E153" s="264"/>
      <c r="F153" s="264"/>
      <c r="G153" s="265"/>
      <c r="H153" s="266"/>
      <c r="I153" s="267"/>
      <c r="J153" s="267"/>
      <c r="K153" s="267"/>
      <c r="L153" s="268" t="s">
        <v>3115</v>
      </c>
      <c r="M153" s="263" t="s">
        <v>2962</v>
      </c>
      <c r="N153" s="269">
        <f>+R153</f>
        <v>0</v>
      </c>
      <c r="O153" s="270">
        <f>+R153+S153+X153-ABS(Y153)+ABS(Z153)+W153+Q153</f>
        <v>0</v>
      </c>
      <c r="P153" s="271">
        <f>+O153-N153</f>
        <v>0</v>
      </c>
      <c r="Q153" s="520"/>
      <c r="R153" s="354">
        <f>IF(ISERROR(VLOOKUP("RIC"&amp;$C153,ESTR_PREC_SP!$A$2:$G$2000,4,FALSE))=TRUE,0,VLOOKUP("RIC"&amp;$C153,ESTR_PREC_SP!$A$2:$G$2000,4,FALSE))</f>
        <v>0</v>
      </c>
      <c r="S153" s="521"/>
      <c r="V153" s="211"/>
      <c r="W153" s="520"/>
      <c r="X153" s="520"/>
      <c r="Y153" s="520"/>
      <c r="Z153" s="520"/>
      <c r="AA153" s="285"/>
    </row>
    <row r="154" spans="2:34" s="204" customFormat="1" x14ac:dyDescent="0.25">
      <c r="B154" s="246" t="s">
        <v>372</v>
      </c>
      <c r="C154" s="273" t="s">
        <v>373</v>
      </c>
      <c r="D154" s="264" t="s">
        <v>3116</v>
      </c>
      <c r="E154" s="264"/>
      <c r="F154" s="264"/>
      <c r="G154" s="265"/>
      <c r="H154" s="266"/>
      <c r="I154" s="267"/>
      <c r="J154" s="267"/>
      <c r="K154" s="267"/>
      <c r="L154" s="268" t="s">
        <v>3117</v>
      </c>
      <c r="M154" s="263" t="s">
        <v>2962</v>
      </c>
      <c r="N154" s="269">
        <f>+R154</f>
        <v>0</v>
      </c>
      <c r="O154" s="270">
        <f>+R154+S154+X154-ABS(Y154)+ABS(Z154)+W154+Q154</f>
        <v>0</v>
      </c>
      <c r="P154" s="271">
        <f>+O154-N154</f>
        <v>0</v>
      </c>
      <c r="Q154" s="520"/>
      <c r="R154" s="354">
        <f>IF(ISERROR(VLOOKUP("RIC"&amp;$C154,ESTR_PREC_SP!$A$2:$G$2000,4,FALSE))=TRUE,0,VLOOKUP("RIC"&amp;$C154,ESTR_PREC_SP!$A$2:$G$2000,4,FALSE))</f>
        <v>0</v>
      </c>
      <c r="S154" s="521"/>
      <c r="V154" s="211"/>
      <c r="W154" s="520"/>
      <c r="X154" s="520"/>
      <c r="Y154" s="520"/>
      <c r="Z154" s="520"/>
      <c r="AA154" s="285"/>
    </row>
    <row r="155" spans="2:34" s="204" customFormat="1" x14ac:dyDescent="0.25">
      <c r="B155" s="246" t="s">
        <v>375</v>
      </c>
      <c r="C155" s="273" t="s">
        <v>376</v>
      </c>
      <c r="D155" s="264" t="s">
        <v>3118</v>
      </c>
      <c r="E155" s="264"/>
      <c r="F155" s="264"/>
      <c r="G155" s="265"/>
      <c r="H155" s="266"/>
      <c r="I155" s="267"/>
      <c r="J155" s="267"/>
      <c r="K155" s="267"/>
      <c r="L155" s="268" t="s">
        <v>3119</v>
      </c>
      <c r="M155" s="263" t="s">
        <v>2962</v>
      </c>
      <c r="N155" s="269">
        <f>+R155</f>
        <v>0</v>
      </c>
      <c r="O155" s="270">
        <f>+R155+S155+X155-ABS(Y155)+ABS(Z155)+W155+Q155</f>
        <v>0</v>
      </c>
      <c r="P155" s="271">
        <f>+O155-N155</f>
        <v>0</v>
      </c>
      <c r="Q155" s="520"/>
      <c r="R155" s="354">
        <f>IF(ISERROR(VLOOKUP("RIC"&amp;$C155,ESTR_PREC_SP!$A$2:$G$2000,4,FALSE))=TRUE,0,VLOOKUP("RIC"&amp;$C155,ESTR_PREC_SP!$A$2:$G$2000,4,FALSE))</f>
        <v>0</v>
      </c>
      <c r="S155" s="521"/>
      <c r="V155" s="211"/>
      <c r="W155" s="520"/>
      <c r="X155" s="520"/>
      <c r="Y155" s="520"/>
      <c r="Z155" s="520"/>
      <c r="AA155" s="285"/>
    </row>
    <row r="156" spans="2:34" s="204" customFormat="1" x14ac:dyDescent="0.25">
      <c r="B156" s="246" t="s">
        <v>378</v>
      </c>
      <c r="C156" s="273" t="s">
        <v>379</v>
      </c>
      <c r="D156" s="264" t="s">
        <v>3120</v>
      </c>
      <c r="E156" s="264"/>
      <c r="F156" s="264"/>
      <c r="G156" s="265"/>
      <c r="H156" s="266"/>
      <c r="I156" s="267"/>
      <c r="J156" s="267"/>
      <c r="K156" s="267"/>
      <c r="L156" s="268" t="s">
        <v>3121</v>
      </c>
      <c r="M156" s="263" t="s">
        <v>2962</v>
      </c>
      <c r="N156" s="269">
        <f>+R156</f>
        <v>0</v>
      </c>
      <c r="O156" s="270">
        <f>+R156+S156+X156-ABS(Y156)+ABS(Z156)+W156+Q156</f>
        <v>0</v>
      </c>
      <c r="P156" s="271">
        <f>+O156-N156</f>
        <v>0</v>
      </c>
      <c r="Q156" s="520"/>
      <c r="R156" s="354">
        <f>IF(ISERROR(VLOOKUP("RIC"&amp;$C156,ESTR_PREC_SP!$A$2:$G$2000,4,FALSE))=TRUE,0,VLOOKUP("RIC"&amp;$C156,ESTR_PREC_SP!$A$2:$G$2000,4,FALSE))</f>
        <v>0</v>
      </c>
      <c r="S156" s="521"/>
      <c r="V156" s="211"/>
      <c r="W156" s="520"/>
      <c r="X156" s="520"/>
      <c r="Y156" s="520"/>
      <c r="Z156" s="520"/>
      <c r="AA156" s="285"/>
    </row>
    <row r="157" spans="2:34" s="204" customFormat="1" x14ac:dyDescent="0.25">
      <c r="B157" s="302"/>
      <c r="C157" s="302"/>
      <c r="D157" s="226"/>
      <c r="E157" s="226"/>
      <c r="F157" s="226"/>
      <c r="G157" s="226"/>
      <c r="H157" s="226"/>
      <c r="I157" s="226"/>
      <c r="J157" s="226"/>
      <c r="K157" s="226"/>
      <c r="L157" s="303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</row>
    <row r="158" spans="2:34" s="204" customFormat="1" ht="38.25" x14ac:dyDescent="0.25">
      <c r="B158" s="293"/>
      <c r="C158" s="293"/>
      <c r="D158" s="304"/>
      <c r="E158" s="230"/>
      <c r="F158" s="230"/>
      <c r="G158" s="230"/>
      <c r="H158" s="231"/>
      <c r="I158" s="230"/>
      <c r="J158" s="230"/>
      <c r="K158" s="230"/>
      <c r="L158" s="255"/>
      <c r="M158" s="244"/>
      <c r="N158" s="256" t="str">
        <f>N$15</f>
        <v>Valore netto al 31/12/2019</v>
      </c>
      <c r="O158" s="256" t="str">
        <f>O$15</f>
        <v>Valore netto al 31/12/2020</v>
      </c>
      <c r="P158" s="256" t="str">
        <f>P$15</f>
        <v>Variazione</v>
      </c>
      <c r="Q158" s="262" t="s">
        <v>2971</v>
      </c>
      <c r="R158" s="285"/>
      <c r="S158" s="285"/>
      <c r="T158" s="285"/>
      <c r="U158" s="285"/>
      <c r="V158" s="285"/>
      <c r="W158" s="285"/>
      <c r="X158" s="285"/>
      <c r="Y158" s="285"/>
      <c r="Z158" s="211"/>
      <c r="AA158" s="211"/>
    </row>
    <row r="159" spans="2:34" s="204" customFormat="1" x14ac:dyDescent="0.25">
      <c r="B159" s="246" t="s">
        <v>381</v>
      </c>
      <c r="C159" s="292" t="s">
        <v>382</v>
      </c>
      <c r="D159" s="301" t="s">
        <v>3122</v>
      </c>
      <c r="E159" s="247"/>
      <c r="F159" s="247"/>
      <c r="G159" s="247"/>
      <c r="H159" s="248"/>
      <c r="I159" s="247"/>
      <c r="J159" s="247"/>
      <c r="K159" s="249"/>
      <c r="L159" s="257" t="s">
        <v>383</v>
      </c>
      <c r="M159" s="251" t="s">
        <v>2962</v>
      </c>
      <c r="N159" s="252">
        <f>+N161+N167+N173+N179</f>
        <v>0</v>
      </c>
      <c r="O159" s="252">
        <f>+O161+O167+O173+O179</f>
        <v>0</v>
      </c>
      <c r="P159" s="253">
        <f>+O159-N159</f>
        <v>0</v>
      </c>
      <c r="Q159" s="252">
        <f>+Q161+Q167+Q173+Q179</f>
        <v>0</v>
      </c>
      <c r="R159" s="285"/>
      <c r="S159" s="285"/>
      <c r="T159" s="285"/>
      <c r="U159" s="285"/>
      <c r="V159" s="285"/>
      <c r="W159" s="285"/>
      <c r="X159" s="252">
        <f>+X161+X167+X173+X179</f>
        <v>0</v>
      </c>
      <c r="Y159" s="285"/>
      <c r="Z159" s="211"/>
      <c r="AA159" s="211"/>
    </row>
    <row r="160" spans="2:34" s="204" customFormat="1" x14ac:dyDescent="0.25">
      <c r="B160" s="293"/>
      <c r="C160" s="293"/>
      <c r="D160" s="305"/>
      <c r="E160" s="230"/>
      <c r="F160" s="230"/>
      <c r="G160" s="230"/>
      <c r="H160" s="231"/>
      <c r="I160" s="230"/>
      <c r="J160" s="230"/>
      <c r="K160" s="230"/>
      <c r="L160" s="306"/>
      <c r="M160" s="211"/>
      <c r="N160" s="254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2:32" s="204" customFormat="1" x14ac:dyDescent="0.25">
      <c r="B161" s="246" t="s">
        <v>384</v>
      </c>
      <c r="C161" s="292" t="s">
        <v>385</v>
      </c>
      <c r="D161" s="301" t="s">
        <v>3123</v>
      </c>
      <c r="E161" s="247"/>
      <c r="F161" s="247"/>
      <c r="G161" s="247"/>
      <c r="H161" s="248"/>
      <c r="I161" s="247"/>
      <c r="J161" s="247"/>
      <c r="K161" s="249"/>
      <c r="L161" s="257" t="s">
        <v>388</v>
      </c>
      <c r="M161" s="251" t="s">
        <v>2962</v>
      </c>
      <c r="N161" s="252">
        <f>SUM(N164:N165)</f>
        <v>0</v>
      </c>
      <c r="O161" s="252">
        <f>SUM(O164:O165)</f>
        <v>0</v>
      </c>
      <c r="P161" s="259">
        <f>+O161-N161</f>
        <v>0</v>
      </c>
      <c r="Q161" s="252">
        <f>SUM(Q164:Q165)</f>
        <v>0</v>
      </c>
      <c r="R161" s="252">
        <f>SUM(R164:R165)</f>
        <v>0</v>
      </c>
      <c r="S161" s="252">
        <f>SUM(S164:S165)</f>
        <v>0</v>
      </c>
      <c r="V161" s="211"/>
      <c r="W161" s="252">
        <f>SUM(W164:W165)</f>
        <v>0</v>
      </c>
      <c r="X161" s="252">
        <f>SUM(X164:X165)</f>
        <v>0</v>
      </c>
      <c r="Y161" s="252">
        <f>SUM(Y164:Y165)</f>
        <v>0</v>
      </c>
      <c r="Z161" s="252">
        <f>SUM(Z164:Z165)</f>
        <v>0</v>
      </c>
      <c r="AA161" s="211"/>
    </row>
    <row r="162" spans="2:32" s="204" customFormat="1" x14ac:dyDescent="0.25">
      <c r="B162" s="293"/>
      <c r="C162" s="293"/>
      <c r="D162" s="230"/>
      <c r="E162" s="230"/>
      <c r="F162" s="230"/>
      <c r="G162" s="230"/>
      <c r="H162" s="231"/>
      <c r="I162" s="230"/>
      <c r="J162" s="230"/>
      <c r="K162" s="230"/>
      <c r="L162" s="232"/>
      <c r="M162" s="211"/>
      <c r="N162" s="211"/>
      <c r="O162" s="211"/>
      <c r="P162" s="211"/>
      <c r="Q162" s="211"/>
      <c r="V162" s="211"/>
      <c r="W162" s="211"/>
      <c r="X162" s="211"/>
      <c r="Y162" s="211"/>
      <c r="Z162" s="211"/>
      <c r="AA162" s="211"/>
    </row>
    <row r="163" spans="2:32" s="204" customFormat="1" ht="63.75" x14ac:dyDescent="0.25">
      <c r="B163" s="294" t="s">
        <v>2968</v>
      </c>
      <c r="C163" s="294" t="s">
        <v>2969</v>
      </c>
      <c r="D163" s="206" t="s">
        <v>72</v>
      </c>
      <c r="E163" s="206"/>
      <c r="F163" s="206"/>
      <c r="G163" s="207"/>
      <c r="H163" s="207"/>
      <c r="I163" s="207"/>
      <c r="J163" s="207" t="s">
        <v>2957</v>
      </c>
      <c r="K163" s="206" t="s">
        <v>82</v>
      </c>
      <c r="L163" s="261" t="s">
        <v>2970</v>
      </c>
      <c r="M163" s="260"/>
      <c r="N163" s="256" t="str">
        <f>N$15</f>
        <v>Valore netto al 31/12/2019</v>
      </c>
      <c r="O163" s="256" t="str">
        <f>O$15</f>
        <v>Valore netto al 31/12/2020</v>
      </c>
      <c r="P163" s="256" t="str">
        <f>P$15</f>
        <v>Variazione</v>
      </c>
      <c r="Q163" s="262" t="s">
        <v>2971</v>
      </c>
      <c r="R163" s="262" t="str">
        <f>"Fondo svalutazione 31/12/"&amp;Info!$B$3-1</f>
        <v>Fondo svalutazione 31/12/2019</v>
      </c>
      <c r="S163" s="262" t="s">
        <v>2972</v>
      </c>
      <c r="V163" s="211"/>
      <c r="W163" s="262" t="s">
        <v>2975</v>
      </c>
      <c r="X163" s="262" t="s">
        <v>2976</v>
      </c>
      <c r="Y163" s="262" t="s">
        <v>3124</v>
      </c>
      <c r="Z163" s="262" t="s">
        <v>3125</v>
      </c>
      <c r="AA163" s="211"/>
      <c r="AB163" s="211"/>
      <c r="AC163" s="211"/>
      <c r="AD163" s="211"/>
      <c r="AE163" s="211"/>
      <c r="AF163" s="211"/>
    </row>
    <row r="164" spans="2:32" s="204" customFormat="1" x14ac:dyDescent="0.25">
      <c r="B164" s="246" t="s">
        <v>389</v>
      </c>
      <c r="C164" s="273" t="s">
        <v>390</v>
      </c>
      <c r="D164" s="264" t="s">
        <v>3126</v>
      </c>
      <c r="E164" s="264"/>
      <c r="F164" s="264"/>
      <c r="G164" s="265"/>
      <c r="H164" s="266"/>
      <c r="I164" s="267"/>
      <c r="J164" s="267"/>
      <c r="K164" s="267"/>
      <c r="L164" s="268" t="s">
        <v>3127</v>
      </c>
      <c r="M164" s="263" t="s">
        <v>2962</v>
      </c>
      <c r="N164" s="269">
        <f>+R164</f>
        <v>0</v>
      </c>
      <c r="O164" s="270">
        <f>+R164+S164+X164-ABS(Y164)+ABS(Z164)+W164+Q164</f>
        <v>0</v>
      </c>
      <c r="P164" s="271">
        <f>+O164-N164</f>
        <v>0</v>
      </c>
      <c r="Q164" s="520"/>
      <c r="R164" s="354">
        <f>IF(ISERROR(VLOOKUP("RIC"&amp;$C164,ESTR_PREC_SP!$A$2:$G$2000,4,FALSE))=TRUE,0,VLOOKUP("RIC"&amp;$C164,ESTR_PREC_SP!$A$2:$G$2000,4,FALSE))</f>
        <v>0</v>
      </c>
      <c r="S164" s="521"/>
      <c r="V164" s="211"/>
      <c r="W164" s="520"/>
      <c r="X164" s="520"/>
      <c r="Y164" s="520"/>
      <c r="Z164" s="520"/>
      <c r="AA164" s="211"/>
      <c r="AB164" s="211"/>
      <c r="AC164" s="211"/>
      <c r="AD164" s="211"/>
      <c r="AE164" s="211"/>
      <c r="AF164" s="211"/>
    </row>
    <row r="165" spans="2:32" s="204" customFormat="1" x14ac:dyDescent="0.25">
      <c r="B165" s="246" t="s">
        <v>392</v>
      </c>
      <c r="C165" s="273" t="s">
        <v>393</v>
      </c>
      <c r="D165" s="274" t="s">
        <v>3128</v>
      </c>
      <c r="E165" s="264"/>
      <c r="F165" s="264"/>
      <c r="G165" s="265"/>
      <c r="H165" s="266"/>
      <c r="I165" s="267"/>
      <c r="J165" s="267"/>
      <c r="K165" s="267"/>
      <c r="L165" s="268" t="s">
        <v>3129</v>
      </c>
      <c r="M165" s="263" t="s">
        <v>2962</v>
      </c>
      <c r="N165" s="269">
        <f>+R165</f>
        <v>0</v>
      </c>
      <c r="O165" s="270">
        <f>+R165+S165+X165-ABS(Y165)+ABS(Z165)+W165+Q165</f>
        <v>0</v>
      </c>
      <c r="P165" s="271">
        <f>+O165-N165</f>
        <v>0</v>
      </c>
      <c r="Q165" s="520"/>
      <c r="R165" s="354">
        <f>IF(ISERROR(VLOOKUP("RIC"&amp;$C165,ESTR_PREC_SP!$A$2:$G$2000,4,FALSE))=TRUE,0,VLOOKUP("RIC"&amp;$C165,ESTR_PREC_SP!$A$2:$G$2000,4,FALSE))</f>
        <v>0</v>
      </c>
      <c r="S165" s="521"/>
      <c r="V165" s="211"/>
      <c r="W165" s="520"/>
      <c r="X165" s="520"/>
      <c r="Y165" s="520"/>
      <c r="Z165" s="520"/>
      <c r="AA165" s="211"/>
      <c r="AB165" s="211"/>
      <c r="AC165" s="211"/>
      <c r="AD165" s="211"/>
      <c r="AE165" s="211"/>
      <c r="AF165" s="211"/>
    </row>
    <row r="166" spans="2:32" s="204" customFormat="1" x14ac:dyDescent="0.25">
      <c r="B166" s="293"/>
      <c r="C166" s="293"/>
      <c r="D166" s="304"/>
      <c r="E166" s="230"/>
      <c r="F166" s="230"/>
      <c r="G166" s="230"/>
      <c r="H166" s="231"/>
      <c r="I166" s="230"/>
      <c r="J166" s="230"/>
      <c r="K166" s="230"/>
      <c r="L166" s="306"/>
      <c r="M166" s="211"/>
      <c r="N166" s="254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2:32" s="204" customFormat="1" x14ac:dyDescent="0.25">
      <c r="B167" s="246" t="s">
        <v>395</v>
      </c>
      <c r="C167" s="292" t="s">
        <v>396</v>
      </c>
      <c r="D167" s="301" t="s">
        <v>3130</v>
      </c>
      <c r="E167" s="247"/>
      <c r="F167" s="247"/>
      <c r="G167" s="247"/>
      <c r="H167" s="248"/>
      <c r="I167" s="247"/>
      <c r="J167" s="247"/>
      <c r="K167" s="249"/>
      <c r="L167" s="257" t="s">
        <v>399</v>
      </c>
      <c r="M167" s="251" t="s">
        <v>2962</v>
      </c>
      <c r="N167" s="252">
        <f>SUM(N170:N171)</f>
        <v>0</v>
      </c>
      <c r="O167" s="252">
        <f>SUM(O170:O171)</f>
        <v>0</v>
      </c>
      <c r="P167" s="259">
        <f>+O167-N167</f>
        <v>0</v>
      </c>
      <c r="Q167" s="252">
        <f>SUM(Q170:Q171)</f>
        <v>0</v>
      </c>
      <c r="R167" s="252">
        <f>SUM(R170:R171)</f>
        <v>0</v>
      </c>
      <c r="S167" s="252">
        <f>SUM(S170:S171)</f>
        <v>0</v>
      </c>
      <c r="V167" s="211"/>
      <c r="W167" s="252">
        <f>SUM(W170:W171)</f>
        <v>0</v>
      </c>
      <c r="X167" s="252">
        <f>SUM(X170:X171)</f>
        <v>0</v>
      </c>
      <c r="Y167" s="252">
        <f>SUM(Y170:Y171)</f>
        <v>0</v>
      </c>
      <c r="Z167" s="252">
        <f>SUM(Z170:Z171)</f>
        <v>0</v>
      </c>
      <c r="AA167" s="211"/>
    </row>
    <row r="168" spans="2:32" s="204" customFormat="1" x14ac:dyDescent="0.25">
      <c r="B168" s="293"/>
      <c r="C168" s="293"/>
      <c r="D168" s="230"/>
      <c r="E168" s="230"/>
      <c r="F168" s="230"/>
      <c r="G168" s="230"/>
      <c r="H168" s="231"/>
      <c r="I168" s="230"/>
      <c r="J168" s="230"/>
      <c r="K168" s="230"/>
      <c r="L168" s="232"/>
      <c r="M168" s="211"/>
      <c r="N168" s="211"/>
      <c r="O168" s="211"/>
      <c r="P168" s="211"/>
      <c r="Q168" s="211"/>
      <c r="V168" s="211"/>
      <c r="W168" s="211"/>
      <c r="X168" s="211"/>
      <c r="Y168" s="211"/>
      <c r="Z168" s="211"/>
      <c r="AA168" s="211"/>
    </row>
    <row r="169" spans="2:32" s="204" customFormat="1" ht="63.75" x14ac:dyDescent="0.25">
      <c r="B169" s="294" t="s">
        <v>2968</v>
      </c>
      <c r="C169" s="294" t="s">
        <v>2969</v>
      </c>
      <c r="D169" s="206" t="s">
        <v>72</v>
      </c>
      <c r="E169" s="206"/>
      <c r="F169" s="206"/>
      <c r="G169" s="207"/>
      <c r="H169" s="207"/>
      <c r="I169" s="207"/>
      <c r="J169" s="207" t="s">
        <v>2957</v>
      </c>
      <c r="K169" s="206" t="s">
        <v>82</v>
      </c>
      <c r="L169" s="261" t="s">
        <v>2970</v>
      </c>
      <c r="M169" s="260"/>
      <c r="N169" s="256" t="str">
        <f>N$15</f>
        <v>Valore netto al 31/12/2019</v>
      </c>
      <c r="O169" s="256" t="str">
        <f>O$15</f>
        <v>Valore netto al 31/12/2020</v>
      </c>
      <c r="P169" s="256" t="str">
        <f>P$15</f>
        <v>Variazione</v>
      </c>
      <c r="Q169" s="262" t="s">
        <v>2971</v>
      </c>
      <c r="R169" s="262" t="str">
        <f>"Fondo svalutazione 31/12/"&amp;Info!$B$3-1</f>
        <v>Fondo svalutazione 31/12/2019</v>
      </c>
      <c r="S169" s="262" t="s">
        <v>2972</v>
      </c>
      <c r="V169" s="211"/>
      <c r="W169" s="262" t="s">
        <v>2975</v>
      </c>
      <c r="X169" s="262" t="s">
        <v>2976</v>
      </c>
      <c r="Y169" s="262" t="s">
        <v>3124</v>
      </c>
      <c r="Z169" s="262" t="s">
        <v>3125</v>
      </c>
      <c r="AA169" s="211"/>
      <c r="AB169" s="211"/>
      <c r="AC169" s="211"/>
      <c r="AD169" s="211"/>
      <c r="AE169" s="211"/>
    </row>
    <row r="170" spans="2:32" s="204" customFormat="1" x14ac:dyDescent="0.25">
      <c r="B170" s="246" t="s">
        <v>400</v>
      </c>
      <c r="C170" s="273" t="s">
        <v>401</v>
      </c>
      <c r="D170" s="264" t="s">
        <v>3131</v>
      </c>
      <c r="E170" s="264"/>
      <c r="F170" s="264"/>
      <c r="G170" s="265"/>
      <c r="H170" s="266"/>
      <c r="I170" s="267"/>
      <c r="J170" s="267"/>
      <c r="K170" s="267"/>
      <c r="L170" s="268" t="s">
        <v>3132</v>
      </c>
      <c r="M170" s="263" t="s">
        <v>2962</v>
      </c>
      <c r="N170" s="269">
        <f>+R170+S170-T170</f>
        <v>0</v>
      </c>
      <c r="O170" s="270">
        <f>+R170+S170+X170-ABS(Y170)+ABS(Z170)+W170+Q170</f>
        <v>0</v>
      </c>
      <c r="P170" s="271">
        <f>+O170-N170</f>
        <v>0</v>
      </c>
      <c r="Q170" s="520"/>
      <c r="R170" s="354">
        <f>IF(ISERROR(VLOOKUP("RIC"&amp;$C170,ESTR_PREC_SP!$A$2:$G$2000,4,FALSE))=TRUE,0,VLOOKUP("RIC"&amp;$C170,ESTR_PREC_SP!$A$2:$G$2000,4,FALSE))</f>
        <v>0</v>
      </c>
      <c r="S170" s="521"/>
      <c r="V170" s="211"/>
      <c r="W170" s="520"/>
      <c r="X170" s="520"/>
      <c r="Y170" s="520"/>
      <c r="Z170" s="520"/>
      <c r="AA170" s="211"/>
      <c r="AB170" s="211"/>
      <c r="AC170" s="211"/>
      <c r="AD170" s="211"/>
      <c r="AE170" s="211"/>
    </row>
    <row r="171" spans="2:32" s="204" customFormat="1" x14ac:dyDescent="0.25">
      <c r="B171" s="246" t="s">
        <v>403</v>
      </c>
      <c r="C171" s="273" t="s">
        <v>404</v>
      </c>
      <c r="D171" s="274" t="s">
        <v>3133</v>
      </c>
      <c r="E171" s="264"/>
      <c r="F171" s="264"/>
      <c r="G171" s="265"/>
      <c r="H171" s="266"/>
      <c r="I171" s="267"/>
      <c r="J171" s="267"/>
      <c r="K171" s="267"/>
      <c r="L171" s="268" t="s">
        <v>3134</v>
      </c>
      <c r="M171" s="263" t="s">
        <v>2962</v>
      </c>
      <c r="N171" s="269">
        <f>+R171+S171-T171</f>
        <v>0</v>
      </c>
      <c r="O171" s="270">
        <f>+R171+S171+X171-ABS(Y171)+ABS(Z171)+W171+Q171</f>
        <v>0</v>
      </c>
      <c r="P171" s="271">
        <f>+O171-N171</f>
        <v>0</v>
      </c>
      <c r="Q171" s="520"/>
      <c r="R171" s="354">
        <f>IF(ISERROR(VLOOKUP("RIC"&amp;$C171,ESTR_PREC_SP!$A$2:$G$2000,4,FALSE))=TRUE,0,VLOOKUP("RIC"&amp;$C171,ESTR_PREC_SP!$A$2:$G$2000,4,FALSE))</f>
        <v>0</v>
      </c>
      <c r="S171" s="521"/>
      <c r="V171" s="211"/>
      <c r="W171" s="520"/>
      <c r="X171" s="520"/>
      <c r="Y171" s="520"/>
      <c r="Z171" s="520"/>
      <c r="AA171" s="211"/>
      <c r="AB171" s="211"/>
      <c r="AC171" s="211"/>
      <c r="AD171" s="211"/>
      <c r="AE171" s="211"/>
    </row>
    <row r="172" spans="2:32" s="204" customFormat="1" x14ac:dyDescent="0.25">
      <c r="B172" s="293"/>
      <c r="C172" s="293"/>
      <c r="D172" s="304"/>
      <c r="E172" s="230"/>
      <c r="F172" s="230"/>
      <c r="G172" s="230"/>
      <c r="H172" s="231"/>
      <c r="I172" s="230"/>
      <c r="J172" s="230"/>
      <c r="K172" s="230"/>
      <c r="L172" s="306"/>
      <c r="M172" s="211"/>
      <c r="N172" s="254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</row>
    <row r="173" spans="2:32" s="204" customFormat="1" ht="26.25" customHeight="1" x14ac:dyDescent="0.25">
      <c r="B173" s="246" t="s">
        <v>406</v>
      </c>
      <c r="C173" s="292" t="s">
        <v>407</v>
      </c>
      <c r="D173" s="301" t="s">
        <v>3135</v>
      </c>
      <c r="E173" s="247"/>
      <c r="F173" s="247"/>
      <c r="G173" s="247"/>
      <c r="H173" s="248"/>
      <c r="I173" s="247"/>
      <c r="J173" s="247"/>
      <c r="K173" s="249"/>
      <c r="L173" s="257" t="s">
        <v>410</v>
      </c>
      <c r="M173" s="251" t="s">
        <v>2962</v>
      </c>
      <c r="N173" s="252">
        <f>SUM(N176:N177)</f>
        <v>0</v>
      </c>
      <c r="O173" s="252">
        <f>SUM(O176:O177)</f>
        <v>0</v>
      </c>
      <c r="P173" s="259">
        <f>+O173-N173</f>
        <v>0</v>
      </c>
      <c r="Q173" s="252">
        <f>SUM(Q176:Q177)</f>
        <v>0</v>
      </c>
      <c r="R173" s="252">
        <f>SUM(R176:R177)</f>
        <v>0</v>
      </c>
      <c r="S173" s="252">
        <f>SUM(S176:S177)</f>
        <v>0</v>
      </c>
      <c r="V173" s="211"/>
      <c r="W173" s="252">
        <f>SUM(W176:W177)</f>
        <v>0</v>
      </c>
      <c r="X173" s="252">
        <f>SUM(X176:X177)</f>
        <v>0</v>
      </c>
      <c r="Y173" s="252">
        <f>SUM(Y176:Y177)</f>
        <v>0</v>
      </c>
      <c r="Z173" s="252">
        <f>SUM(Z176:Z177)</f>
        <v>0</v>
      </c>
      <c r="AA173" s="211"/>
    </row>
    <row r="174" spans="2:32" s="204" customFormat="1" x14ac:dyDescent="0.25">
      <c r="B174" s="293"/>
      <c r="C174" s="293"/>
      <c r="D174" s="230"/>
      <c r="E174" s="230"/>
      <c r="F174" s="230"/>
      <c r="G174" s="230"/>
      <c r="H174" s="231"/>
      <c r="I174" s="230"/>
      <c r="J174" s="230"/>
      <c r="K174" s="230"/>
      <c r="L174" s="232"/>
      <c r="M174" s="211"/>
      <c r="N174" s="211"/>
      <c r="O174" s="211"/>
      <c r="P174" s="211"/>
      <c r="Q174" s="211"/>
      <c r="V174" s="211"/>
      <c r="W174" s="211"/>
      <c r="X174" s="211"/>
      <c r="Y174" s="211"/>
      <c r="Z174" s="211"/>
      <c r="AA174" s="211"/>
    </row>
    <row r="175" spans="2:32" s="204" customFormat="1" ht="63.75" x14ac:dyDescent="0.25">
      <c r="B175" s="294" t="s">
        <v>2968</v>
      </c>
      <c r="C175" s="294" t="s">
        <v>2969</v>
      </c>
      <c r="D175" s="206" t="s">
        <v>72</v>
      </c>
      <c r="E175" s="206"/>
      <c r="F175" s="206"/>
      <c r="G175" s="207"/>
      <c r="H175" s="207"/>
      <c r="I175" s="207"/>
      <c r="J175" s="207" t="s">
        <v>2957</v>
      </c>
      <c r="K175" s="206" t="s">
        <v>82</v>
      </c>
      <c r="L175" s="261" t="s">
        <v>2970</v>
      </c>
      <c r="M175" s="260"/>
      <c r="N175" s="256" t="str">
        <f>N$15</f>
        <v>Valore netto al 31/12/2019</v>
      </c>
      <c r="O175" s="256" t="str">
        <f>O$15</f>
        <v>Valore netto al 31/12/2020</v>
      </c>
      <c r="P175" s="256" t="str">
        <f>P$15</f>
        <v>Variazione</v>
      </c>
      <c r="Q175" s="262" t="s">
        <v>2971</v>
      </c>
      <c r="R175" s="262" t="str">
        <f>"Fondo svalutazione 31/12/"&amp;Info!$B$3-1</f>
        <v>Fondo svalutazione 31/12/2019</v>
      </c>
      <c r="S175" s="262" t="s">
        <v>2972</v>
      </c>
      <c r="V175" s="211"/>
      <c r="W175" s="262" t="s">
        <v>2975</v>
      </c>
      <c r="X175" s="262" t="s">
        <v>2976</v>
      </c>
      <c r="Y175" s="262" t="s">
        <v>3124</v>
      </c>
      <c r="Z175" s="262" t="s">
        <v>3125</v>
      </c>
      <c r="AA175" s="211"/>
      <c r="AB175" s="211"/>
      <c r="AC175" s="211"/>
      <c r="AD175" s="211"/>
      <c r="AE175" s="211"/>
    </row>
    <row r="176" spans="2:32" s="204" customFormat="1" x14ac:dyDescent="0.25">
      <c r="B176" s="246" t="s">
        <v>411</v>
      </c>
      <c r="C176" s="273" t="s">
        <v>412</v>
      </c>
      <c r="D176" s="264" t="s">
        <v>3136</v>
      </c>
      <c r="E176" s="264"/>
      <c r="F176" s="264"/>
      <c r="G176" s="265"/>
      <c r="H176" s="266"/>
      <c r="I176" s="267"/>
      <c r="J176" s="267"/>
      <c r="K176" s="267"/>
      <c r="L176" s="268" t="s">
        <v>3137</v>
      </c>
      <c r="M176" s="263" t="s">
        <v>2962</v>
      </c>
      <c r="N176" s="269">
        <f>+R176+S176-T176</f>
        <v>0</v>
      </c>
      <c r="O176" s="270">
        <f>+R176+S176+X176-ABS(Y176)+ABS(Z176)+W176+Q176</f>
        <v>0</v>
      </c>
      <c r="P176" s="271">
        <f>+O176-N176</f>
        <v>0</v>
      </c>
      <c r="Q176" s="520"/>
      <c r="R176" s="354">
        <f>IF(ISERROR(VLOOKUP("RIC"&amp;$C176,ESTR_PREC_SP!$A$2:$G$2000,4,FALSE))=TRUE,0,VLOOKUP("RIC"&amp;$C176,ESTR_PREC_SP!$A$2:$G$2000,4,FALSE))</f>
        <v>0</v>
      </c>
      <c r="S176" s="521"/>
      <c r="V176" s="211"/>
      <c r="W176" s="520"/>
      <c r="X176" s="520"/>
      <c r="Y176" s="520"/>
      <c r="Z176" s="520"/>
      <c r="AA176" s="211"/>
      <c r="AB176" s="211"/>
      <c r="AC176" s="211"/>
      <c r="AD176" s="211"/>
      <c r="AE176" s="211"/>
    </row>
    <row r="177" spans="2:31" s="204" customFormat="1" x14ac:dyDescent="0.25">
      <c r="B177" s="246" t="s">
        <v>414</v>
      </c>
      <c r="C177" s="273" t="s">
        <v>415</v>
      </c>
      <c r="D177" s="274" t="s">
        <v>3138</v>
      </c>
      <c r="E177" s="264"/>
      <c r="F177" s="264"/>
      <c r="G177" s="265"/>
      <c r="H177" s="266"/>
      <c r="I177" s="267"/>
      <c r="J177" s="267"/>
      <c r="K177" s="267"/>
      <c r="L177" s="268" t="s">
        <v>3139</v>
      </c>
      <c r="M177" s="263" t="s">
        <v>2962</v>
      </c>
      <c r="N177" s="269">
        <f>+R177+S177-T177</f>
        <v>0</v>
      </c>
      <c r="O177" s="270">
        <f>+R177+S177+X177-ABS(Y177)+ABS(Z177)+W177+Q177</f>
        <v>0</v>
      </c>
      <c r="P177" s="271">
        <f>+O177-N177</f>
        <v>0</v>
      </c>
      <c r="Q177" s="520"/>
      <c r="R177" s="354">
        <f>IF(ISERROR(VLOOKUP("RIC"&amp;$C177,ESTR_PREC_SP!$A$2:$G$2000,4,FALSE))=TRUE,0,VLOOKUP("RIC"&amp;$C177,ESTR_PREC_SP!$A$2:$G$2000,4,FALSE))</f>
        <v>0</v>
      </c>
      <c r="S177" s="521"/>
      <c r="V177" s="211"/>
      <c r="W177" s="520"/>
      <c r="X177" s="520"/>
      <c r="Y177" s="520"/>
      <c r="Z177" s="520"/>
      <c r="AA177" s="211"/>
      <c r="AB177" s="211"/>
      <c r="AC177" s="211"/>
      <c r="AD177" s="211"/>
      <c r="AE177" s="211"/>
    </row>
    <row r="178" spans="2:31" s="204" customFormat="1" x14ac:dyDescent="0.25">
      <c r="B178" s="293"/>
      <c r="C178" s="293"/>
      <c r="D178" s="304"/>
      <c r="E178" s="230"/>
      <c r="F178" s="230"/>
      <c r="G178" s="230"/>
      <c r="H178" s="231"/>
      <c r="I178" s="230"/>
      <c r="J178" s="230"/>
      <c r="K178" s="230"/>
      <c r="L178" s="306"/>
      <c r="M178" s="211"/>
      <c r="N178" s="254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2:31" s="204" customFormat="1" x14ac:dyDescent="0.25">
      <c r="B179" s="246" t="s">
        <v>417</v>
      </c>
      <c r="C179" s="292" t="s">
        <v>418</v>
      </c>
      <c r="D179" s="301" t="s">
        <v>3140</v>
      </c>
      <c r="E179" s="247"/>
      <c r="F179" s="247"/>
      <c r="G179" s="247"/>
      <c r="H179" s="248"/>
      <c r="I179" s="247"/>
      <c r="J179" s="247"/>
      <c r="K179" s="249"/>
      <c r="L179" s="257" t="s">
        <v>421</v>
      </c>
      <c r="M179" s="251" t="s">
        <v>2962</v>
      </c>
      <c r="N179" s="252">
        <f>SUM(N182:N183)</f>
        <v>0</v>
      </c>
      <c r="O179" s="252">
        <f>SUM(O182:O183)</f>
        <v>0</v>
      </c>
      <c r="P179" s="259">
        <f>+O179-N179</f>
        <v>0</v>
      </c>
      <c r="Q179" s="252">
        <f>SUM(Q182:Q183)</f>
        <v>0</v>
      </c>
      <c r="R179" s="252">
        <f>SUM(R182:R183)</f>
        <v>0</v>
      </c>
      <c r="S179" s="252">
        <f>SUM(S182:S183)</f>
        <v>0</v>
      </c>
      <c r="V179" s="211"/>
      <c r="W179" s="252">
        <f>SUM(W182:W183)</f>
        <v>0</v>
      </c>
      <c r="X179" s="252">
        <f>SUM(X182:X183)</f>
        <v>0</v>
      </c>
      <c r="Y179" s="252">
        <f>SUM(Y182:Y183)</f>
        <v>0</v>
      </c>
      <c r="Z179" s="252">
        <f>SUM(Z182:Z183)</f>
        <v>0</v>
      </c>
      <c r="AA179" s="211"/>
    </row>
    <row r="180" spans="2:31" s="204" customFormat="1" x14ac:dyDescent="0.25">
      <c r="B180" s="293"/>
      <c r="C180" s="293"/>
      <c r="D180" s="230"/>
      <c r="E180" s="230"/>
      <c r="F180" s="230"/>
      <c r="G180" s="230"/>
      <c r="H180" s="231"/>
      <c r="I180" s="230"/>
      <c r="J180" s="230"/>
      <c r="K180" s="230"/>
      <c r="L180" s="232"/>
      <c r="M180" s="211"/>
      <c r="N180" s="211"/>
      <c r="O180" s="211"/>
      <c r="P180" s="211"/>
      <c r="Q180" s="211"/>
      <c r="V180" s="211"/>
      <c r="W180" s="211"/>
      <c r="X180" s="211"/>
      <c r="Y180" s="211"/>
      <c r="Z180" s="211"/>
      <c r="AA180" s="211"/>
    </row>
    <row r="181" spans="2:31" s="204" customFormat="1" ht="63.75" x14ac:dyDescent="0.25">
      <c r="B181" s="294" t="s">
        <v>2968</v>
      </c>
      <c r="C181" s="294" t="s">
        <v>2969</v>
      </c>
      <c r="D181" s="206" t="s">
        <v>72</v>
      </c>
      <c r="E181" s="206"/>
      <c r="F181" s="206"/>
      <c r="G181" s="207"/>
      <c r="H181" s="207"/>
      <c r="I181" s="207"/>
      <c r="J181" s="207" t="s">
        <v>2957</v>
      </c>
      <c r="K181" s="206" t="s">
        <v>82</v>
      </c>
      <c r="L181" s="261" t="s">
        <v>2970</v>
      </c>
      <c r="M181" s="260"/>
      <c r="N181" s="256" t="str">
        <f>N$15</f>
        <v>Valore netto al 31/12/2019</v>
      </c>
      <c r="O181" s="256" t="str">
        <f>O$15</f>
        <v>Valore netto al 31/12/2020</v>
      </c>
      <c r="P181" s="256" t="str">
        <f>P$15</f>
        <v>Variazione</v>
      </c>
      <c r="Q181" s="262" t="s">
        <v>2971</v>
      </c>
      <c r="R181" s="262" t="str">
        <f>"Fondo svalutazione 31/12/"&amp;Info!$B$3-1</f>
        <v>Fondo svalutazione 31/12/2019</v>
      </c>
      <c r="S181" s="262" t="s">
        <v>2972</v>
      </c>
      <c r="V181" s="211"/>
      <c r="W181" s="262" t="s">
        <v>2975</v>
      </c>
      <c r="X181" s="262" t="s">
        <v>2976</v>
      </c>
      <c r="Y181" s="262" t="s">
        <v>3124</v>
      </c>
      <c r="Z181" s="262" t="s">
        <v>3125</v>
      </c>
      <c r="AA181" s="211"/>
      <c r="AB181" s="211"/>
      <c r="AC181" s="211"/>
      <c r="AD181" s="211"/>
      <c r="AE181" s="211"/>
    </row>
    <row r="182" spans="2:31" s="204" customFormat="1" x14ac:dyDescent="0.25">
      <c r="B182" s="246" t="s">
        <v>422</v>
      </c>
      <c r="C182" s="273" t="s">
        <v>423</v>
      </c>
      <c r="D182" s="264" t="s">
        <v>3141</v>
      </c>
      <c r="E182" s="264"/>
      <c r="F182" s="264"/>
      <c r="G182" s="265"/>
      <c r="H182" s="266"/>
      <c r="I182" s="267"/>
      <c r="J182" s="267"/>
      <c r="K182" s="267"/>
      <c r="L182" s="268" t="s">
        <v>3142</v>
      </c>
      <c r="M182" s="263" t="s">
        <v>2962</v>
      </c>
      <c r="N182" s="269">
        <f>+R182+S182-T182</f>
        <v>0</v>
      </c>
      <c r="O182" s="270">
        <f>+R182+S182+X182-ABS(Y182)+ABS(Z182)+W182+Q182</f>
        <v>0</v>
      </c>
      <c r="P182" s="271">
        <f>+O182-N182</f>
        <v>0</v>
      </c>
      <c r="Q182" s="520"/>
      <c r="R182" s="354">
        <f>IF(ISERROR(VLOOKUP("RIC"&amp;$C182,ESTR_PREC_SP!$A$2:$G$2000,4,FALSE))=TRUE,0,VLOOKUP("RIC"&amp;$C182,ESTR_PREC_SP!$A$2:$G$2000,4,FALSE))</f>
        <v>0</v>
      </c>
      <c r="S182" s="521"/>
      <c r="V182" s="211"/>
      <c r="W182" s="520"/>
      <c r="X182" s="520"/>
      <c r="Y182" s="520"/>
      <c r="Z182" s="520"/>
      <c r="AA182" s="211"/>
      <c r="AB182" s="211"/>
      <c r="AC182" s="211"/>
      <c r="AD182" s="211"/>
      <c r="AE182" s="211"/>
    </row>
    <row r="183" spans="2:31" s="204" customFormat="1" x14ac:dyDescent="0.25">
      <c r="B183" s="246" t="s">
        <v>425</v>
      </c>
      <c r="C183" s="273" t="s">
        <v>426</v>
      </c>
      <c r="D183" s="264" t="s">
        <v>3143</v>
      </c>
      <c r="E183" s="264"/>
      <c r="F183" s="264"/>
      <c r="G183" s="265"/>
      <c r="H183" s="266"/>
      <c r="I183" s="267"/>
      <c r="J183" s="267"/>
      <c r="K183" s="267"/>
      <c r="L183" s="268" t="s">
        <v>3144</v>
      </c>
      <c r="M183" s="263" t="s">
        <v>2962</v>
      </c>
      <c r="N183" s="269">
        <f>+R183+S183-T183</f>
        <v>0</v>
      </c>
      <c r="O183" s="270">
        <f>+R183+S183+X183-ABS(Y183)+ABS(Z183)+W183+Q183</f>
        <v>0</v>
      </c>
      <c r="P183" s="271">
        <f>+O183-N183</f>
        <v>0</v>
      </c>
      <c r="Q183" s="520"/>
      <c r="R183" s="354">
        <f>IF(ISERROR(VLOOKUP("RIC"&amp;$C183,ESTR_PREC_SP!$A$2:$G$2000,4,FALSE))=TRUE,0,VLOOKUP("RIC"&amp;$C183,ESTR_PREC_SP!$A$2:$G$2000,4,FALSE))</f>
        <v>0</v>
      </c>
      <c r="S183" s="521"/>
      <c r="V183" s="211"/>
      <c r="W183" s="520"/>
      <c r="X183" s="520"/>
      <c r="Y183" s="520"/>
      <c r="Z183" s="520"/>
      <c r="AA183" s="211"/>
      <c r="AB183" s="211"/>
      <c r="AC183" s="211"/>
      <c r="AD183" s="211"/>
      <c r="AE183" s="211"/>
    </row>
    <row r="184" spans="2:31" s="204" customFormat="1" x14ac:dyDescent="0.25">
      <c r="B184" s="293"/>
      <c r="C184" s="293"/>
      <c r="D184" s="230"/>
      <c r="E184" s="230"/>
      <c r="F184" s="230"/>
      <c r="G184" s="230"/>
      <c r="H184" s="231"/>
      <c r="I184" s="230"/>
      <c r="J184" s="230"/>
      <c r="K184" s="230"/>
      <c r="L184" s="232"/>
      <c r="M184" s="211"/>
      <c r="N184" s="254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2:31" s="204" customFormat="1" ht="38.25" x14ac:dyDescent="0.25">
      <c r="B185" s="293"/>
      <c r="C185" s="293"/>
      <c r="D185" s="230"/>
      <c r="E185" s="230"/>
      <c r="F185" s="230"/>
      <c r="G185" s="230"/>
      <c r="H185" s="231"/>
      <c r="I185" s="230"/>
      <c r="J185" s="230"/>
      <c r="K185" s="230"/>
      <c r="L185" s="243"/>
      <c r="M185" s="244"/>
      <c r="N185" s="330" t="str">
        <f>N$15</f>
        <v>Valore netto al 31/12/2019</v>
      </c>
      <c r="O185" s="331" t="str">
        <f>O$15</f>
        <v>Valore netto al 31/12/2020</v>
      </c>
      <c r="P185" s="330" t="str">
        <f>P$15</f>
        <v>Variazione</v>
      </c>
      <c r="Q185" s="331" t="s">
        <v>2971</v>
      </c>
      <c r="R185" s="211"/>
      <c r="S185" s="308"/>
      <c r="T185" s="308"/>
      <c r="U185" s="308"/>
      <c r="V185" s="308"/>
      <c r="W185" s="308"/>
      <c r="X185" s="308"/>
      <c r="Y185" s="211"/>
      <c r="Z185" s="211"/>
      <c r="AA185" s="211"/>
    </row>
    <row r="186" spans="2:31" s="204" customFormat="1" x14ac:dyDescent="0.25">
      <c r="B186" s="246" t="s">
        <v>428</v>
      </c>
      <c r="C186" s="292" t="s">
        <v>429</v>
      </c>
      <c r="D186" s="247" t="s">
        <v>3145</v>
      </c>
      <c r="E186" s="247"/>
      <c r="F186" s="247"/>
      <c r="G186" s="247"/>
      <c r="H186" s="248"/>
      <c r="I186" s="247"/>
      <c r="J186" s="247"/>
      <c r="K186" s="249"/>
      <c r="L186" s="309" t="s">
        <v>430</v>
      </c>
      <c r="M186" s="310" t="s">
        <v>2962</v>
      </c>
      <c r="N186" s="224">
        <f>+N189+N212+N251+N290+N313+N340+N380+N417+N372-N425</f>
        <v>0</v>
      </c>
      <c r="O186" s="224">
        <f>+O189+O212+O251+O290+O313+O340+O380+O417+O372-O425</f>
        <v>0</v>
      </c>
      <c r="P186" s="311">
        <f>+O186-N186</f>
        <v>0</v>
      </c>
      <c r="Q186" s="224">
        <f>+Q189+Q212+Q251+Q290+Q313+Q340+Q380+Q417+Q372-Q425</f>
        <v>0</v>
      </c>
      <c r="R186" s="211"/>
      <c r="S186" s="224">
        <f>+S189+S212+S251+S290+S313+S340+S380+S417+S372-S425</f>
        <v>0</v>
      </c>
      <c r="T186" s="225" t="str">
        <f>IF(S186&lt;&gt;0,"SQUADRATURA ATTIVO A.II. PER GIROCONTI SU NUOVI CONTI SP","")</f>
        <v/>
      </c>
      <c r="U186" s="308"/>
      <c r="V186" s="308"/>
      <c r="W186" s="211"/>
      <c r="X186" s="224">
        <f>+X189+X212+X251+X290+X313+X340+X380+X417+X372-X425</f>
        <v>0</v>
      </c>
      <c r="Y186" s="211"/>
      <c r="Z186" s="211"/>
      <c r="AA186" s="211"/>
      <c r="AD186" s="224">
        <f>+AD189+AD216+AD234+AD253+AD292+AD315+AD342+AD374+AD382-AE417</f>
        <v>0</v>
      </c>
      <c r="AE186" s="211" t="s">
        <v>3146</v>
      </c>
    </row>
    <row r="187" spans="2:31" s="204" customFormat="1" x14ac:dyDescent="0.25">
      <c r="B187" s="293"/>
      <c r="C187" s="293"/>
      <c r="D187" s="230"/>
      <c r="E187" s="230"/>
      <c r="F187" s="230"/>
      <c r="G187" s="230"/>
      <c r="H187" s="231"/>
      <c r="I187" s="230"/>
      <c r="J187" s="230"/>
      <c r="K187" s="230"/>
      <c r="L187" s="232"/>
      <c r="M187" s="211"/>
      <c r="N187" s="254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2:31" s="204" customFormat="1" ht="38.25" x14ac:dyDescent="0.25">
      <c r="B188" s="293"/>
      <c r="C188" s="293"/>
      <c r="D188" s="230"/>
      <c r="E188" s="230"/>
      <c r="F188" s="230"/>
      <c r="G188" s="230"/>
      <c r="H188" s="231"/>
      <c r="I188" s="230"/>
      <c r="J188" s="230"/>
      <c r="K188" s="230"/>
      <c r="L188" s="255"/>
      <c r="M188" s="244"/>
      <c r="N188" s="256" t="str">
        <f>N$15</f>
        <v>Valore netto al 31/12/2019</v>
      </c>
      <c r="O188" s="256" t="str">
        <f>O$15</f>
        <v>Valore netto al 31/12/2020</v>
      </c>
      <c r="P188" s="256" t="str">
        <f>P$15</f>
        <v>Variazione</v>
      </c>
      <c r="Q188" s="262" t="s">
        <v>2971</v>
      </c>
      <c r="R188" s="211"/>
      <c r="S188" s="211"/>
      <c r="T188" s="211"/>
      <c r="U188" s="211"/>
      <c r="W188" s="211"/>
      <c r="X188" s="211"/>
      <c r="Y188" s="211"/>
      <c r="Z188" s="211"/>
      <c r="AA188" s="211"/>
    </row>
    <row r="189" spans="2:31" s="204" customFormat="1" x14ac:dyDescent="0.25">
      <c r="B189" s="246" t="s">
        <v>431</v>
      </c>
      <c r="C189" s="292" t="s">
        <v>432</v>
      </c>
      <c r="D189" s="247" t="s">
        <v>3147</v>
      </c>
      <c r="E189" s="247"/>
      <c r="F189" s="247"/>
      <c r="G189" s="247"/>
      <c r="H189" s="248"/>
      <c r="I189" s="247"/>
      <c r="J189" s="247"/>
      <c r="K189" s="249"/>
      <c r="L189" s="257" t="s">
        <v>434</v>
      </c>
      <c r="M189" s="251" t="s">
        <v>2962</v>
      </c>
      <c r="N189" s="252">
        <f>+N191+N201</f>
        <v>0</v>
      </c>
      <c r="O189" s="252">
        <f>+O191+O201</f>
        <v>0</v>
      </c>
      <c r="P189" s="253">
        <f>+O189-N189</f>
        <v>0</v>
      </c>
      <c r="Q189" s="252">
        <f>+Q191+Q201</f>
        <v>0</v>
      </c>
      <c r="R189" s="252">
        <f>+R191+R201</f>
        <v>0</v>
      </c>
      <c r="S189" s="252">
        <f>+S191+S201</f>
        <v>0</v>
      </c>
      <c r="T189" s="252">
        <f>+T191+T201</f>
        <v>0</v>
      </c>
      <c r="U189" s="252">
        <f>+U191+U201</f>
        <v>0</v>
      </c>
      <c r="W189" s="252">
        <f t="shared" ref="W189:AE189" si="15">+W191+W201</f>
        <v>0</v>
      </c>
      <c r="X189" s="252">
        <f t="shared" si="15"/>
        <v>0</v>
      </c>
      <c r="Y189" s="252">
        <f t="shared" si="15"/>
        <v>0</v>
      </c>
      <c r="Z189" s="252">
        <f t="shared" si="15"/>
        <v>0</v>
      </c>
      <c r="AA189" s="252">
        <f t="shared" si="15"/>
        <v>0</v>
      </c>
      <c r="AB189" s="252">
        <f t="shared" si="15"/>
        <v>0</v>
      </c>
      <c r="AC189" s="252">
        <f t="shared" si="15"/>
        <v>0</v>
      </c>
      <c r="AD189" s="252">
        <f t="shared" si="15"/>
        <v>0</v>
      </c>
      <c r="AE189" s="252">
        <f t="shared" si="15"/>
        <v>0</v>
      </c>
    </row>
    <row r="190" spans="2:31" s="204" customFormat="1" x14ac:dyDescent="0.25">
      <c r="B190" s="293"/>
      <c r="C190" s="293"/>
      <c r="D190" s="230"/>
      <c r="E190" s="230"/>
      <c r="F190" s="230"/>
      <c r="G190" s="230"/>
      <c r="H190" s="231"/>
      <c r="I190" s="230"/>
      <c r="J190" s="230"/>
      <c r="K190" s="230"/>
      <c r="L190" s="306"/>
      <c r="M190" s="211"/>
      <c r="N190" s="254"/>
      <c r="O190" s="211"/>
      <c r="P190" s="211"/>
      <c r="Q190" s="211"/>
      <c r="R190" s="211"/>
      <c r="T190" s="211"/>
      <c r="U190" s="211"/>
      <c r="W190" s="211"/>
      <c r="X190" s="211"/>
      <c r="Y190" s="211"/>
      <c r="Z190" s="211"/>
      <c r="AA190" s="211"/>
    </row>
    <row r="191" spans="2:31" s="204" customFormat="1" x14ac:dyDescent="0.25">
      <c r="B191" s="246" t="s">
        <v>435</v>
      </c>
      <c r="C191" s="292" t="s">
        <v>436</v>
      </c>
      <c r="D191" s="247" t="s">
        <v>3148</v>
      </c>
      <c r="E191" s="247"/>
      <c r="F191" s="247"/>
      <c r="G191" s="247"/>
      <c r="H191" s="248"/>
      <c r="I191" s="247"/>
      <c r="J191" s="247"/>
      <c r="K191" s="249"/>
      <c r="L191" s="257" t="s">
        <v>439</v>
      </c>
      <c r="M191" s="251" t="s">
        <v>2962</v>
      </c>
      <c r="N191" s="252">
        <f>SUM(N194:N199)</f>
        <v>0</v>
      </c>
      <c r="O191" s="252">
        <f>SUM(O194:O199)</f>
        <v>0</v>
      </c>
      <c r="P191" s="259">
        <f>+O191-N191</f>
        <v>0</v>
      </c>
      <c r="Q191" s="252">
        <f>SUM(Q194:Q199)</f>
        <v>0</v>
      </c>
      <c r="R191" s="252">
        <f>SUM(R194:R199)</f>
        <v>0</v>
      </c>
      <c r="S191" s="252">
        <f>SUM(S194:S199)</f>
        <v>0</v>
      </c>
      <c r="T191" s="252">
        <f>SUM(T194:T199)</f>
        <v>0</v>
      </c>
      <c r="U191" s="252">
        <f>SUM(U194:U199)</f>
        <v>0</v>
      </c>
      <c r="W191" s="252">
        <f t="shared" ref="W191:AE191" si="16">SUM(W194:W199)</f>
        <v>0</v>
      </c>
      <c r="X191" s="252">
        <f t="shared" si="16"/>
        <v>0</v>
      </c>
      <c r="Y191" s="252">
        <f t="shared" si="16"/>
        <v>0</v>
      </c>
      <c r="Z191" s="252">
        <f t="shared" si="16"/>
        <v>0</v>
      </c>
      <c r="AA191" s="252">
        <f t="shared" si="16"/>
        <v>0</v>
      </c>
      <c r="AB191" s="252">
        <f t="shared" si="16"/>
        <v>0</v>
      </c>
      <c r="AC191" s="252">
        <f t="shared" si="16"/>
        <v>0</v>
      </c>
      <c r="AD191" s="252">
        <f t="shared" si="16"/>
        <v>0</v>
      </c>
      <c r="AE191" s="252">
        <f t="shared" si="16"/>
        <v>0</v>
      </c>
    </row>
    <row r="192" spans="2:31" s="204" customFormat="1" x14ac:dyDescent="0.25">
      <c r="B192" s="293"/>
      <c r="C192" s="293"/>
      <c r="D192" s="230"/>
      <c r="E192" s="230"/>
      <c r="F192" s="230"/>
      <c r="G192" s="230"/>
      <c r="H192" s="231"/>
      <c r="I192" s="230"/>
      <c r="J192" s="230"/>
      <c r="K192" s="230"/>
      <c r="L192" s="232"/>
      <c r="M192" s="211"/>
      <c r="N192" s="211"/>
      <c r="O192" s="211"/>
      <c r="P192" s="211"/>
      <c r="Q192" s="211"/>
      <c r="W192" s="522"/>
      <c r="X192" s="523"/>
      <c r="Y192" s="211"/>
      <c r="Z192" s="211"/>
      <c r="AA192" s="211"/>
    </row>
    <row r="193" spans="2:35" s="204" customFormat="1" ht="63.75" x14ac:dyDescent="0.25">
      <c r="B193" s="294" t="s">
        <v>2968</v>
      </c>
      <c r="C193" s="294" t="s">
        <v>2969</v>
      </c>
      <c r="D193" s="206" t="s">
        <v>72</v>
      </c>
      <c r="E193" s="206"/>
      <c r="F193" s="206"/>
      <c r="G193" s="207"/>
      <c r="H193" s="207"/>
      <c r="I193" s="207"/>
      <c r="J193" s="207" t="s">
        <v>2957</v>
      </c>
      <c r="K193" s="206" t="s">
        <v>82</v>
      </c>
      <c r="L193" s="261" t="s">
        <v>2970</v>
      </c>
      <c r="M193" s="260"/>
      <c r="N193" s="256" t="str">
        <f>N$15</f>
        <v>Valore netto al 31/12/2019</v>
      </c>
      <c r="O193" s="256" t="str">
        <f>O$15</f>
        <v>Valore netto al 31/12/2020</v>
      </c>
      <c r="P193" s="256" t="str">
        <f>P$15</f>
        <v>Variazione</v>
      </c>
      <c r="Q193" s="262" t="s">
        <v>2971</v>
      </c>
      <c r="R193" s="262" t="str">
        <f>"Costo storico al 31/12/"&amp;Info!$B$3-1</f>
        <v>Costo storico al 31/12/2019</v>
      </c>
      <c r="S193" s="262" t="s">
        <v>2972</v>
      </c>
      <c r="T193" s="262" t="s">
        <v>2973</v>
      </c>
      <c r="U193" s="262" t="s">
        <v>2974</v>
      </c>
      <c r="W193" s="262" t="s">
        <v>2975</v>
      </c>
      <c r="X193" s="262" t="s">
        <v>2976</v>
      </c>
      <c r="Y193" s="262" t="s">
        <v>2977</v>
      </c>
      <c r="Z193" s="262" t="s">
        <v>2978</v>
      </c>
      <c r="AA193" s="262" t="s">
        <v>2979</v>
      </c>
      <c r="AB193" s="262" t="s">
        <v>2980</v>
      </c>
      <c r="AC193" s="262" t="s">
        <v>2981</v>
      </c>
      <c r="AD193" s="262" t="s">
        <v>2982</v>
      </c>
      <c r="AE193" s="262" t="s">
        <v>2983</v>
      </c>
    </row>
    <row r="194" spans="2:35" s="204" customFormat="1" x14ac:dyDescent="0.25">
      <c r="B194" s="246" t="s">
        <v>440</v>
      </c>
      <c r="C194" s="273" t="s">
        <v>441</v>
      </c>
      <c r="D194" s="264" t="s">
        <v>3149</v>
      </c>
      <c r="E194" s="264"/>
      <c r="F194" s="264"/>
      <c r="G194" s="265"/>
      <c r="H194" s="266"/>
      <c r="I194" s="281"/>
      <c r="J194" s="281"/>
      <c r="K194" s="281"/>
      <c r="L194" s="282" t="s">
        <v>3150</v>
      </c>
      <c r="M194" s="263" t="s">
        <v>2962</v>
      </c>
      <c r="N194" s="269">
        <f t="shared" ref="N194:N199" si="17">+R194+T194-U194</f>
        <v>0</v>
      </c>
      <c r="O194" s="270">
        <f t="shared" ref="O194:O199" si="18">+N194+S194+X194+ABS(Y194)-ABS(AA194)+ABS(Z194)+ABS(AB194)+ABS(AD194)-ABS(AE194)+AC194+W194+Q194</f>
        <v>0</v>
      </c>
      <c r="P194" s="271">
        <f t="shared" ref="P194:P199" si="19">+O194-N194</f>
        <v>0</v>
      </c>
      <c r="Q194" s="520"/>
      <c r="R194" s="354">
        <f>IF(ISERROR(VLOOKUP("RIC"&amp;$C194,ESTR_PREC_SP!$A$2:$G$2000,4,FALSE))=TRUE,0,VLOOKUP("RIC"&amp;$C194,ESTR_PREC_SP!$A$2:$G$2000,4,FALSE))</f>
        <v>0</v>
      </c>
      <c r="S194" s="521"/>
      <c r="T194" s="521"/>
      <c r="U194" s="521"/>
      <c r="W194" s="520"/>
      <c r="X194" s="520"/>
      <c r="Y194" s="520"/>
      <c r="Z194" s="520"/>
      <c r="AA194" s="520"/>
      <c r="AB194" s="520"/>
      <c r="AC194" s="520"/>
      <c r="AD194" s="521"/>
      <c r="AE194" s="520"/>
    </row>
    <row r="195" spans="2:35" s="204" customFormat="1" x14ac:dyDescent="0.25">
      <c r="B195" s="246" t="s">
        <v>443</v>
      </c>
      <c r="C195" s="273" t="s">
        <v>444</v>
      </c>
      <c r="D195" s="264" t="s">
        <v>3151</v>
      </c>
      <c r="E195" s="264"/>
      <c r="F195" s="264"/>
      <c r="G195" s="265"/>
      <c r="H195" s="266"/>
      <c r="I195" s="281"/>
      <c r="J195" s="281"/>
      <c r="K195" s="281"/>
      <c r="L195" s="282" t="s">
        <v>3152</v>
      </c>
      <c r="M195" s="284" t="s">
        <v>2962</v>
      </c>
      <c r="N195" s="269">
        <f t="shared" si="17"/>
        <v>0</v>
      </c>
      <c r="O195" s="270">
        <f t="shared" si="18"/>
        <v>0</v>
      </c>
      <c r="P195" s="271">
        <f t="shared" si="19"/>
        <v>0</v>
      </c>
      <c r="Q195" s="520"/>
      <c r="R195" s="354">
        <f>IF(ISERROR(VLOOKUP("RIC"&amp;$C195,ESTR_PREC_SP!$A$2:$G$2000,4,FALSE))=TRUE,0,VLOOKUP("RIC"&amp;$C195,ESTR_PREC_SP!$A$2:$G$2000,4,FALSE))</f>
        <v>0</v>
      </c>
      <c r="S195" s="521"/>
      <c r="T195" s="521"/>
      <c r="U195" s="521"/>
      <c r="W195" s="520"/>
      <c r="X195" s="520"/>
      <c r="Y195" s="520"/>
      <c r="Z195" s="520"/>
      <c r="AA195" s="520"/>
      <c r="AB195" s="520"/>
      <c r="AC195" s="520"/>
      <c r="AD195" s="521"/>
      <c r="AE195" s="520"/>
    </row>
    <row r="196" spans="2:35" s="204" customFormat="1" x14ac:dyDescent="0.25">
      <c r="B196" s="246" t="s">
        <v>446</v>
      </c>
      <c r="C196" s="273" t="s">
        <v>447</v>
      </c>
      <c r="D196" s="264" t="s">
        <v>3153</v>
      </c>
      <c r="E196" s="264"/>
      <c r="F196" s="274"/>
      <c r="G196" s="283"/>
      <c r="H196" s="266"/>
      <c r="I196" s="281"/>
      <c r="J196" s="281"/>
      <c r="K196" s="281"/>
      <c r="L196" s="282" t="s">
        <v>3154</v>
      </c>
      <c r="M196" s="284" t="s">
        <v>2962</v>
      </c>
      <c r="N196" s="269">
        <f t="shared" si="17"/>
        <v>0</v>
      </c>
      <c r="O196" s="270">
        <f t="shared" si="18"/>
        <v>0</v>
      </c>
      <c r="P196" s="271">
        <f t="shared" si="19"/>
        <v>0</v>
      </c>
      <c r="Q196" s="520"/>
      <c r="R196" s="354">
        <f>IF(ISERROR(VLOOKUP("RIC"&amp;$C196,ESTR_PREC_SP!$A$2:$G$2000,4,FALSE))=TRUE,0,VLOOKUP("RIC"&amp;$C196,ESTR_PREC_SP!$A$2:$G$2000,4,FALSE))</f>
        <v>0</v>
      </c>
      <c r="S196" s="521"/>
      <c r="T196" s="521"/>
      <c r="U196" s="521"/>
      <c r="W196" s="520"/>
      <c r="X196" s="520"/>
      <c r="Y196" s="520"/>
      <c r="Z196" s="520"/>
      <c r="AA196" s="520"/>
      <c r="AB196" s="520"/>
      <c r="AC196" s="520"/>
      <c r="AD196" s="521"/>
      <c r="AE196" s="520"/>
    </row>
    <row r="197" spans="2:35" s="204" customFormat="1" x14ac:dyDescent="0.25">
      <c r="B197" s="246" t="s">
        <v>449</v>
      </c>
      <c r="C197" s="273" t="s">
        <v>450</v>
      </c>
      <c r="D197" s="264" t="s">
        <v>3155</v>
      </c>
      <c r="E197" s="264"/>
      <c r="F197" s="274"/>
      <c r="G197" s="283"/>
      <c r="H197" s="266"/>
      <c r="I197" s="281"/>
      <c r="J197" s="281"/>
      <c r="K197" s="281"/>
      <c r="L197" s="282" t="s">
        <v>3156</v>
      </c>
      <c r="M197" s="284" t="s">
        <v>2962</v>
      </c>
      <c r="N197" s="269">
        <f t="shared" si="17"/>
        <v>0</v>
      </c>
      <c r="O197" s="270">
        <f t="shared" si="18"/>
        <v>0</v>
      </c>
      <c r="P197" s="271">
        <f t="shared" si="19"/>
        <v>0</v>
      </c>
      <c r="Q197" s="520"/>
      <c r="R197" s="354">
        <f>IF(ISERROR(VLOOKUP("RIC"&amp;$C197,ESTR_PREC_SP!$A$2:$G$2000,4,FALSE))=TRUE,0,VLOOKUP("RIC"&amp;$C197,ESTR_PREC_SP!$A$2:$G$2000,4,FALSE))</f>
        <v>0</v>
      </c>
      <c r="S197" s="521"/>
      <c r="T197" s="521"/>
      <c r="U197" s="521"/>
      <c r="W197" s="520"/>
      <c r="X197" s="520"/>
      <c r="Y197" s="520"/>
      <c r="Z197" s="520"/>
      <c r="AA197" s="520"/>
      <c r="AB197" s="520"/>
      <c r="AC197" s="520"/>
      <c r="AD197" s="521"/>
      <c r="AE197" s="520"/>
    </row>
    <row r="198" spans="2:35" s="204" customFormat="1" x14ac:dyDescent="0.25">
      <c r="B198" s="246" t="s">
        <v>452</v>
      </c>
      <c r="C198" s="273" t="s">
        <v>453</v>
      </c>
      <c r="D198" s="264" t="s">
        <v>3157</v>
      </c>
      <c r="E198" s="264"/>
      <c r="F198" s="274"/>
      <c r="G198" s="283"/>
      <c r="H198" s="266"/>
      <c r="I198" s="281"/>
      <c r="J198" s="281"/>
      <c r="K198" s="281"/>
      <c r="L198" s="295" t="s">
        <v>3158</v>
      </c>
      <c r="M198" s="284" t="s">
        <v>2962</v>
      </c>
      <c r="N198" s="269">
        <f t="shared" si="17"/>
        <v>0</v>
      </c>
      <c r="O198" s="270">
        <f t="shared" si="18"/>
        <v>0</v>
      </c>
      <c r="P198" s="271">
        <f t="shared" si="19"/>
        <v>0</v>
      </c>
      <c r="Q198" s="520"/>
      <c r="R198" s="354">
        <f>IF(ISERROR(VLOOKUP("RIC"&amp;$C198,ESTR_PREC_SP!$A$2:$G$2000,4,FALSE))=TRUE,0,VLOOKUP("RIC"&amp;$C198,ESTR_PREC_SP!$A$2:$G$2000,4,FALSE))</f>
        <v>0</v>
      </c>
      <c r="S198" s="521"/>
      <c r="T198" s="521"/>
      <c r="U198" s="521"/>
      <c r="W198" s="520"/>
      <c r="X198" s="520"/>
      <c r="Y198" s="520"/>
      <c r="Z198" s="520"/>
      <c r="AA198" s="520"/>
      <c r="AB198" s="520"/>
      <c r="AC198" s="520"/>
      <c r="AD198" s="521"/>
      <c r="AE198" s="520"/>
    </row>
    <row r="199" spans="2:35" s="204" customFormat="1" x14ac:dyDescent="0.25">
      <c r="B199" s="246" t="s">
        <v>455</v>
      </c>
      <c r="C199" s="273" t="s">
        <v>456</v>
      </c>
      <c r="D199" s="264" t="s">
        <v>3159</v>
      </c>
      <c r="E199" s="264"/>
      <c r="F199" s="274"/>
      <c r="G199" s="283"/>
      <c r="H199" s="266"/>
      <c r="I199" s="281"/>
      <c r="J199" s="281"/>
      <c r="K199" s="281"/>
      <c r="L199" s="295" t="s">
        <v>3160</v>
      </c>
      <c r="M199" s="284" t="s">
        <v>2962</v>
      </c>
      <c r="N199" s="269">
        <f t="shared" si="17"/>
        <v>0</v>
      </c>
      <c r="O199" s="270">
        <f t="shared" si="18"/>
        <v>0</v>
      </c>
      <c r="P199" s="271">
        <f t="shared" si="19"/>
        <v>0</v>
      </c>
      <c r="Q199" s="520"/>
      <c r="R199" s="354">
        <f>IF(ISERROR(VLOOKUP("RIC"&amp;$C199,ESTR_PREC_SP!$A$2:$G$2000,4,FALSE))=TRUE,0,VLOOKUP("RIC"&amp;$C199,ESTR_PREC_SP!$A$2:$G$2000,4,FALSE))</f>
        <v>0</v>
      </c>
      <c r="S199" s="521"/>
      <c r="T199" s="521"/>
      <c r="U199" s="521"/>
      <c r="W199" s="520"/>
      <c r="X199" s="520"/>
      <c r="Y199" s="520"/>
      <c r="Z199" s="520"/>
      <c r="AA199" s="520"/>
      <c r="AB199" s="520"/>
      <c r="AC199" s="520"/>
      <c r="AD199" s="521"/>
      <c r="AE199" s="520"/>
    </row>
    <row r="200" spans="2:35" s="204" customFormat="1" x14ac:dyDescent="0.25">
      <c r="B200" s="289"/>
      <c r="C200" s="289"/>
      <c r="D200" s="211"/>
      <c r="E200" s="211"/>
      <c r="F200" s="211"/>
      <c r="G200" s="211"/>
      <c r="H200" s="211"/>
      <c r="I200" s="211"/>
      <c r="J200" s="211"/>
      <c r="K200" s="211"/>
      <c r="L200" s="312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</row>
    <row r="201" spans="2:35" s="204" customFormat="1" x14ac:dyDescent="0.25">
      <c r="B201" s="246" t="s">
        <v>458</v>
      </c>
      <c r="C201" s="292" t="s">
        <v>459</v>
      </c>
      <c r="D201" s="313" t="s">
        <v>3161</v>
      </c>
      <c r="E201" s="247"/>
      <c r="F201" s="247"/>
      <c r="G201" s="247"/>
      <c r="H201" s="248"/>
      <c r="I201" s="247"/>
      <c r="J201" s="247"/>
      <c r="K201" s="249"/>
      <c r="L201" s="257" t="s">
        <v>462</v>
      </c>
      <c r="M201" s="251" t="s">
        <v>2962</v>
      </c>
      <c r="N201" s="252">
        <f>SUM(N204:N209)</f>
        <v>0</v>
      </c>
      <c r="O201" s="252">
        <f>SUM(O204:O209)</f>
        <v>0</v>
      </c>
      <c r="P201" s="259">
        <f>+O201-N201</f>
        <v>0</v>
      </c>
      <c r="Q201" s="252">
        <f>SUM(Q204:Q209)</f>
        <v>0</v>
      </c>
      <c r="R201" s="252">
        <f>SUM(R204:R209)</f>
        <v>0</v>
      </c>
      <c r="S201" s="252">
        <f>SUM(S204:S209)</f>
        <v>0</v>
      </c>
      <c r="T201" s="252">
        <f>SUM(T204:T209)</f>
        <v>0</v>
      </c>
      <c r="U201" s="252">
        <f>SUM(U204:U209)</f>
        <v>0</v>
      </c>
      <c r="W201" s="252">
        <f t="shared" ref="W201:AE201" si="20">SUM(W204:W209)</f>
        <v>0</v>
      </c>
      <c r="X201" s="252">
        <f t="shared" si="20"/>
        <v>0</v>
      </c>
      <c r="Y201" s="252">
        <f t="shared" si="20"/>
        <v>0</v>
      </c>
      <c r="Z201" s="252">
        <f t="shared" si="20"/>
        <v>0</v>
      </c>
      <c r="AA201" s="252">
        <f t="shared" si="20"/>
        <v>0</v>
      </c>
      <c r="AB201" s="252">
        <f t="shared" si="20"/>
        <v>0</v>
      </c>
      <c r="AC201" s="252">
        <f t="shared" si="20"/>
        <v>0</v>
      </c>
      <c r="AD201" s="252">
        <f t="shared" si="20"/>
        <v>0</v>
      </c>
      <c r="AE201" s="252">
        <f t="shared" si="20"/>
        <v>0</v>
      </c>
    </row>
    <row r="202" spans="2:35" s="204" customFormat="1" x14ac:dyDescent="0.25">
      <c r="B202" s="293"/>
      <c r="C202" s="293"/>
      <c r="D202" s="230"/>
      <c r="E202" s="230"/>
      <c r="F202" s="230"/>
      <c r="G202" s="230"/>
      <c r="H202" s="231"/>
      <c r="I202" s="230"/>
      <c r="J202" s="230"/>
      <c r="K202" s="230"/>
      <c r="L202" s="232"/>
      <c r="M202" s="211"/>
      <c r="N202" s="211"/>
      <c r="O202" s="211"/>
      <c r="P202" s="211"/>
      <c r="Q202" s="211"/>
      <c r="V202" s="211"/>
      <c r="W202" s="211"/>
      <c r="X202" s="211"/>
      <c r="Y202" s="211"/>
      <c r="Z202" s="211"/>
      <c r="AA202" s="211"/>
    </row>
    <row r="203" spans="2:35" s="204" customFormat="1" ht="63.75" x14ac:dyDescent="0.25">
      <c r="B203" s="294" t="s">
        <v>2968</v>
      </c>
      <c r="C203" s="294" t="s">
        <v>2969</v>
      </c>
      <c r="D203" s="206" t="s">
        <v>72</v>
      </c>
      <c r="E203" s="206"/>
      <c r="F203" s="206"/>
      <c r="G203" s="207"/>
      <c r="H203" s="207"/>
      <c r="I203" s="207"/>
      <c r="J203" s="207" t="s">
        <v>2957</v>
      </c>
      <c r="K203" s="206" t="s">
        <v>82</v>
      </c>
      <c r="L203" s="261" t="s">
        <v>2970</v>
      </c>
      <c r="M203" s="260"/>
      <c r="N203" s="256" t="str">
        <f>N$15</f>
        <v>Valore netto al 31/12/2019</v>
      </c>
      <c r="O203" s="256" t="str">
        <f>O$15</f>
        <v>Valore netto al 31/12/2020</v>
      </c>
      <c r="P203" s="256" t="str">
        <f>P$15</f>
        <v>Variazione</v>
      </c>
      <c r="Q203" s="262" t="s">
        <v>2971</v>
      </c>
      <c r="R203" s="262" t="str">
        <f>"Costo storico al 31/12/"&amp;Info!$B$3-1</f>
        <v>Costo storico al 31/12/2019</v>
      </c>
      <c r="S203" s="262" t="s">
        <v>2972</v>
      </c>
      <c r="T203" s="262" t="s">
        <v>2973</v>
      </c>
      <c r="U203" s="262" t="s">
        <v>2974</v>
      </c>
      <c r="W203" s="262" t="s">
        <v>2975</v>
      </c>
      <c r="X203" s="262" t="s">
        <v>2976</v>
      </c>
      <c r="Y203" s="262" t="s">
        <v>2977</v>
      </c>
      <c r="Z203" s="262" t="s">
        <v>2978</v>
      </c>
      <c r="AA203" s="262" t="s">
        <v>2979</v>
      </c>
      <c r="AB203" s="262" t="s">
        <v>2980</v>
      </c>
      <c r="AC203" s="262" t="s">
        <v>2981</v>
      </c>
      <c r="AD203" s="262" t="s">
        <v>2982</v>
      </c>
      <c r="AE203" s="262" t="s">
        <v>2983</v>
      </c>
    </row>
    <row r="204" spans="2:35" s="204" customFormat="1" x14ac:dyDescent="0.25">
      <c r="B204" s="246" t="s">
        <v>463</v>
      </c>
      <c r="C204" s="273" t="s">
        <v>464</v>
      </c>
      <c r="D204" s="264" t="s">
        <v>3162</v>
      </c>
      <c r="E204" s="264"/>
      <c r="F204" s="264"/>
      <c r="G204" s="265"/>
      <c r="H204" s="266"/>
      <c r="I204" s="281"/>
      <c r="J204" s="281"/>
      <c r="K204" s="281"/>
      <c r="L204" s="282" t="s">
        <v>3163</v>
      </c>
      <c r="M204" s="263" t="s">
        <v>2962</v>
      </c>
      <c r="N204" s="269">
        <f t="shared" ref="N204:N209" si="21">+R204+T204-U204</f>
        <v>0</v>
      </c>
      <c r="O204" s="270">
        <f t="shared" ref="O204:O209" si="22">+N204+S204+X204+ABS(Y204)-ABS(AA204)+ABS(Z204)+ABS(AB204)+ABS(AD204)-ABS(AE204)+AC204+W204+Q204</f>
        <v>0</v>
      </c>
      <c r="P204" s="271">
        <f t="shared" ref="P204:P209" si="23">+O204-N204</f>
        <v>0</v>
      </c>
      <c r="Q204" s="520"/>
      <c r="R204" s="354">
        <f>IF(ISERROR(VLOOKUP("RIC"&amp;$C204,ESTR_PREC_SP!$A$2:$G$2000,4,FALSE))=TRUE,0,VLOOKUP("RIC"&amp;$C204,ESTR_PREC_SP!$A$2:$G$2000,4,FALSE))</f>
        <v>0</v>
      </c>
      <c r="S204" s="521"/>
      <c r="T204" s="521"/>
      <c r="U204" s="521"/>
      <c r="W204" s="520"/>
      <c r="X204" s="520"/>
      <c r="Y204" s="520"/>
      <c r="Z204" s="520"/>
      <c r="AA204" s="520"/>
      <c r="AB204" s="520"/>
      <c r="AC204" s="520"/>
      <c r="AD204" s="521"/>
      <c r="AE204" s="520"/>
    </row>
    <row r="205" spans="2:35" s="204" customFormat="1" x14ac:dyDescent="0.25">
      <c r="B205" s="246" t="s">
        <v>466</v>
      </c>
      <c r="C205" s="273" t="s">
        <v>467</v>
      </c>
      <c r="D205" s="264" t="s">
        <v>3164</v>
      </c>
      <c r="E205" s="264"/>
      <c r="F205" s="264"/>
      <c r="G205" s="265"/>
      <c r="H205" s="266"/>
      <c r="I205" s="281"/>
      <c r="J205" s="281"/>
      <c r="K205" s="281"/>
      <c r="L205" s="282" t="s">
        <v>3165</v>
      </c>
      <c r="M205" s="284" t="s">
        <v>2962</v>
      </c>
      <c r="N205" s="269">
        <f t="shared" si="21"/>
        <v>0</v>
      </c>
      <c r="O205" s="270">
        <f t="shared" si="22"/>
        <v>0</v>
      </c>
      <c r="P205" s="271">
        <f t="shared" si="23"/>
        <v>0</v>
      </c>
      <c r="Q205" s="520"/>
      <c r="R205" s="354">
        <f>IF(ISERROR(VLOOKUP("RIC"&amp;$C205,ESTR_PREC_SP!$A$2:$G$2000,4,FALSE))=TRUE,0,VLOOKUP("RIC"&amp;$C205,ESTR_PREC_SP!$A$2:$G$2000,4,FALSE))</f>
        <v>0</v>
      </c>
      <c r="S205" s="521"/>
      <c r="T205" s="521"/>
      <c r="U205" s="521"/>
      <c r="W205" s="520"/>
      <c r="X205" s="520"/>
      <c r="Y205" s="520"/>
      <c r="Z205" s="520"/>
      <c r="AA205" s="520"/>
      <c r="AB205" s="520"/>
      <c r="AC205" s="520"/>
      <c r="AD205" s="521"/>
      <c r="AE205" s="520"/>
    </row>
    <row r="206" spans="2:35" s="204" customFormat="1" x14ac:dyDescent="0.25">
      <c r="B206" s="246" t="s">
        <v>469</v>
      </c>
      <c r="C206" s="273" t="s">
        <v>470</v>
      </c>
      <c r="D206" s="264" t="s">
        <v>3166</v>
      </c>
      <c r="E206" s="264"/>
      <c r="F206" s="274"/>
      <c r="G206" s="283"/>
      <c r="H206" s="266"/>
      <c r="I206" s="281"/>
      <c r="J206" s="281"/>
      <c r="K206" s="281"/>
      <c r="L206" s="282" t="s">
        <v>3167</v>
      </c>
      <c r="M206" s="284" t="s">
        <v>2962</v>
      </c>
      <c r="N206" s="269">
        <f t="shared" si="21"/>
        <v>0</v>
      </c>
      <c r="O206" s="270">
        <f t="shared" si="22"/>
        <v>0</v>
      </c>
      <c r="P206" s="271">
        <f t="shared" si="23"/>
        <v>0</v>
      </c>
      <c r="Q206" s="520"/>
      <c r="R206" s="354">
        <f>IF(ISERROR(VLOOKUP("RIC"&amp;$C206,ESTR_PREC_SP!$A$2:$G$2000,4,FALSE))=TRUE,0,VLOOKUP("RIC"&amp;$C206,ESTR_PREC_SP!$A$2:$G$2000,4,FALSE))</f>
        <v>0</v>
      </c>
      <c r="S206" s="521"/>
      <c r="T206" s="521"/>
      <c r="U206" s="521"/>
      <c r="W206" s="520"/>
      <c r="X206" s="520"/>
      <c r="Y206" s="520"/>
      <c r="Z206" s="520"/>
      <c r="AA206" s="520"/>
      <c r="AB206" s="520"/>
      <c r="AC206" s="520"/>
      <c r="AD206" s="521"/>
      <c r="AE206" s="520"/>
    </row>
    <row r="207" spans="2:35" s="204" customFormat="1" x14ac:dyDescent="0.25">
      <c r="B207" s="246" t="s">
        <v>472</v>
      </c>
      <c r="C207" s="273" t="s">
        <v>473</v>
      </c>
      <c r="D207" s="264" t="s">
        <v>3168</v>
      </c>
      <c r="E207" s="264"/>
      <c r="F207" s="274"/>
      <c r="G207" s="283"/>
      <c r="H207" s="266"/>
      <c r="I207" s="281"/>
      <c r="J207" s="281"/>
      <c r="K207" s="281"/>
      <c r="L207" s="282" t="s">
        <v>3169</v>
      </c>
      <c r="M207" s="284" t="s">
        <v>2962</v>
      </c>
      <c r="N207" s="269">
        <f t="shared" si="21"/>
        <v>0</v>
      </c>
      <c r="O207" s="270">
        <f t="shared" si="22"/>
        <v>0</v>
      </c>
      <c r="P207" s="271">
        <f t="shared" si="23"/>
        <v>0</v>
      </c>
      <c r="Q207" s="520"/>
      <c r="R207" s="354">
        <f>IF(ISERROR(VLOOKUP("RIC"&amp;$C207,ESTR_PREC_SP!$A$2:$G$2000,4,FALSE))=TRUE,0,VLOOKUP("RIC"&amp;$C207,ESTR_PREC_SP!$A$2:$G$2000,4,FALSE))</f>
        <v>0</v>
      </c>
      <c r="S207" s="521"/>
      <c r="T207" s="521"/>
      <c r="U207" s="521"/>
      <c r="W207" s="520"/>
      <c r="X207" s="520"/>
      <c r="Y207" s="520"/>
      <c r="Z207" s="520"/>
      <c r="AA207" s="520"/>
      <c r="AB207" s="520"/>
      <c r="AC207" s="520"/>
      <c r="AD207" s="521"/>
      <c r="AE207" s="520"/>
    </row>
    <row r="208" spans="2:35" s="204" customFormat="1" x14ac:dyDescent="0.25">
      <c r="B208" s="246" t="s">
        <v>475</v>
      </c>
      <c r="C208" s="273" t="s">
        <v>476</v>
      </c>
      <c r="D208" s="264" t="s">
        <v>3170</v>
      </c>
      <c r="E208" s="264"/>
      <c r="F208" s="274"/>
      <c r="G208" s="283"/>
      <c r="H208" s="266"/>
      <c r="I208" s="281"/>
      <c r="J208" s="281"/>
      <c r="K208" s="281"/>
      <c r="L208" s="295" t="s">
        <v>3171</v>
      </c>
      <c r="M208" s="284" t="s">
        <v>2962</v>
      </c>
      <c r="N208" s="269">
        <f t="shared" si="21"/>
        <v>0</v>
      </c>
      <c r="O208" s="270">
        <f t="shared" si="22"/>
        <v>0</v>
      </c>
      <c r="P208" s="271">
        <f t="shared" si="23"/>
        <v>0</v>
      </c>
      <c r="Q208" s="520"/>
      <c r="R208" s="354">
        <f>IF(ISERROR(VLOOKUP("RIC"&amp;$C208,ESTR_PREC_SP!$A$2:$G$2000,4,FALSE))=TRUE,0,VLOOKUP("RIC"&amp;$C208,ESTR_PREC_SP!$A$2:$G$2000,4,FALSE))</f>
        <v>0</v>
      </c>
      <c r="S208" s="521"/>
      <c r="T208" s="521"/>
      <c r="U208" s="521"/>
      <c r="W208" s="520"/>
      <c r="X208" s="520"/>
      <c r="Y208" s="520"/>
      <c r="Z208" s="520"/>
      <c r="AA208" s="520"/>
      <c r="AB208" s="520"/>
      <c r="AC208" s="520"/>
      <c r="AD208" s="521"/>
      <c r="AE208" s="520"/>
    </row>
    <row r="209" spans="2:35" s="204" customFormat="1" x14ac:dyDescent="0.25">
      <c r="B209" s="246" t="s">
        <v>478</v>
      </c>
      <c r="C209" s="273" t="s">
        <v>479</v>
      </c>
      <c r="D209" s="264" t="s">
        <v>3172</v>
      </c>
      <c r="E209" s="264"/>
      <c r="F209" s="274"/>
      <c r="G209" s="283"/>
      <c r="H209" s="266"/>
      <c r="I209" s="281"/>
      <c r="J209" s="281"/>
      <c r="K209" s="281"/>
      <c r="L209" s="295" t="s">
        <v>3173</v>
      </c>
      <c r="M209" s="284" t="s">
        <v>2962</v>
      </c>
      <c r="N209" s="269">
        <f t="shared" si="21"/>
        <v>0</v>
      </c>
      <c r="O209" s="270">
        <f t="shared" si="22"/>
        <v>0</v>
      </c>
      <c r="P209" s="271">
        <f t="shared" si="23"/>
        <v>0</v>
      </c>
      <c r="Q209" s="520"/>
      <c r="R209" s="354">
        <f>IF(ISERROR(VLOOKUP("RIC"&amp;$C209,ESTR_PREC_SP!$A$2:$G$2000,4,FALSE))=TRUE,0,VLOOKUP("RIC"&amp;$C209,ESTR_PREC_SP!$A$2:$G$2000,4,FALSE))</f>
        <v>0</v>
      </c>
      <c r="S209" s="521"/>
      <c r="T209" s="521"/>
      <c r="U209" s="521"/>
      <c r="W209" s="520"/>
      <c r="X209" s="520"/>
      <c r="Y209" s="520"/>
      <c r="Z209" s="520"/>
      <c r="AA209" s="520"/>
      <c r="AB209" s="520"/>
      <c r="AC209" s="520"/>
      <c r="AD209" s="521"/>
      <c r="AE209" s="520"/>
    </row>
    <row r="210" spans="2:35" s="204" customFormat="1" x14ac:dyDescent="0.25">
      <c r="B210" s="289"/>
      <c r="C210" s="289"/>
      <c r="D210" s="211"/>
      <c r="E210" s="211"/>
      <c r="F210" s="211"/>
      <c r="G210" s="211"/>
      <c r="H210" s="211"/>
      <c r="I210" s="211"/>
      <c r="J210" s="211"/>
      <c r="K210" s="211"/>
      <c r="L210" s="232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</row>
    <row r="211" spans="2:35" s="204" customFormat="1" ht="25.5" x14ac:dyDescent="0.25">
      <c r="B211" s="293"/>
      <c r="C211" s="293"/>
      <c r="D211" s="230"/>
      <c r="E211" s="230"/>
      <c r="F211" s="230"/>
      <c r="G211" s="230"/>
      <c r="H211" s="231"/>
      <c r="I211" s="230"/>
      <c r="J211" s="230"/>
      <c r="K211" s="230"/>
      <c r="L211" s="255"/>
      <c r="M211" s="244"/>
      <c r="N211" s="256" t="str">
        <f>N$15</f>
        <v>Valore netto al 31/12/2019</v>
      </c>
      <c r="O211" s="256" t="str">
        <f>O$15</f>
        <v>Valore netto al 31/12/2020</v>
      </c>
      <c r="P211" s="256" t="str">
        <f>P$15</f>
        <v>Variazione</v>
      </c>
      <c r="Q211" s="211"/>
      <c r="R211" s="211"/>
      <c r="T211" s="211"/>
      <c r="U211" s="211"/>
      <c r="V211" s="211"/>
      <c r="W211" s="211"/>
      <c r="X211" s="211"/>
      <c r="Y211" s="211"/>
      <c r="Z211" s="211"/>
      <c r="AA211" s="211"/>
    </row>
    <row r="212" spans="2:35" s="204" customFormat="1" x14ac:dyDescent="0.25">
      <c r="B212" s="246" t="s">
        <v>481</v>
      </c>
      <c r="C212" s="292" t="s">
        <v>482</v>
      </c>
      <c r="D212" s="247" t="s">
        <v>3174</v>
      </c>
      <c r="E212" s="247"/>
      <c r="F212" s="247"/>
      <c r="G212" s="247"/>
      <c r="H212" s="248"/>
      <c r="I212" s="247"/>
      <c r="J212" s="247"/>
      <c r="K212" s="249"/>
      <c r="L212" s="257" t="s">
        <v>483</v>
      </c>
      <c r="M212" s="251" t="s">
        <v>2962</v>
      </c>
      <c r="N212" s="252">
        <f>+N214+N232</f>
        <v>0</v>
      </c>
      <c r="O212" s="252">
        <f>+O214+O232</f>
        <v>0</v>
      </c>
      <c r="P212" s="253">
        <f>+O212-N212</f>
        <v>0</v>
      </c>
      <c r="Q212" s="211"/>
      <c r="R212" s="211"/>
      <c r="S212" s="252">
        <f>+S214+S232</f>
        <v>0</v>
      </c>
      <c r="T212" s="211"/>
      <c r="U212" s="211"/>
      <c r="V212" s="211"/>
      <c r="W212" s="211"/>
      <c r="X212" s="252">
        <f>+X214+X232</f>
        <v>0</v>
      </c>
      <c r="Y212" s="211"/>
      <c r="Z212" s="211"/>
      <c r="AA212" s="211"/>
    </row>
    <row r="213" spans="2:35" s="204" customFormat="1" x14ac:dyDescent="0.25">
      <c r="B213" s="298"/>
      <c r="C213" s="298"/>
      <c r="D213" s="216"/>
      <c r="E213" s="216"/>
      <c r="F213" s="216"/>
      <c r="G213" s="216"/>
      <c r="H213" s="314"/>
      <c r="I213" s="216"/>
      <c r="J213" s="216"/>
      <c r="K213" s="216"/>
      <c r="L213" s="315"/>
      <c r="M213" s="216"/>
      <c r="N213" s="216"/>
      <c r="O213" s="216"/>
      <c r="P213" s="216"/>
      <c r="Q213" s="211"/>
      <c r="R213" s="211"/>
      <c r="S213" s="211"/>
      <c r="T213" s="211"/>
      <c r="U213" s="211"/>
      <c r="V213" s="211"/>
      <c r="W213" s="216"/>
      <c r="X213" s="216"/>
      <c r="Y213" s="211"/>
      <c r="Z213" s="211"/>
      <c r="AA213" s="211"/>
    </row>
    <row r="214" spans="2:35" s="204" customFormat="1" x14ac:dyDescent="0.25">
      <c r="B214" s="246" t="s">
        <v>484</v>
      </c>
      <c r="C214" s="292" t="s">
        <v>485</v>
      </c>
      <c r="D214" s="247" t="s">
        <v>3175</v>
      </c>
      <c r="E214" s="247"/>
      <c r="F214" s="247"/>
      <c r="G214" s="247"/>
      <c r="H214" s="248"/>
      <c r="I214" s="247"/>
      <c r="J214" s="247"/>
      <c r="K214" s="249"/>
      <c r="L214" s="276" t="s">
        <v>487</v>
      </c>
      <c r="M214" s="251" t="s">
        <v>2962</v>
      </c>
      <c r="N214" s="252">
        <f>+N216-N224</f>
        <v>0</v>
      </c>
      <c r="O214" s="252">
        <f>+O216-O224</f>
        <v>0</v>
      </c>
      <c r="P214" s="259">
        <f>+O214-N214</f>
        <v>0</v>
      </c>
      <c r="Q214" s="211"/>
      <c r="R214" s="211"/>
      <c r="S214" s="252">
        <f>+S216-S224</f>
        <v>0</v>
      </c>
      <c r="T214" s="211"/>
      <c r="U214" s="211"/>
      <c r="V214" s="211"/>
      <c r="W214" s="211"/>
      <c r="X214" s="252">
        <f>+X216-X224</f>
        <v>0</v>
      </c>
      <c r="Y214" s="211"/>
      <c r="Z214" s="211"/>
      <c r="AA214" s="211"/>
    </row>
    <row r="215" spans="2:35" s="204" customFormat="1" x14ac:dyDescent="0.25">
      <c r="B215" s="293"/>
      <c r="C215" s="293"/>
      <c r="D215" s="230"/>
      <c r="E215" s="230"/>
      <c r="F215" s="230"/>
      <c r="G215" s="230"/>
      <c r="H215" s="231"/>
      <c r="I215" s="230"/>
      <c r="J215" s="230"/>
      <c r="K215" s="230"/>
      <c r="L215" s="232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2:35" s="204" customFormat="1" x14ac:dyDescent="0.25">
      <c r="B216" s="246" t="s">
        <v>488</v>
      </c>
      <c r="C216" s="292" t="s">
        <v>489</v>
      </c>
      <c r="D216" s="247" t="s">
        <v>3176</v>
      </c>
      <c r="E216" s="247"/>
      <c r="F216" s="247"/>
      <c r="G216" s="247"/>
      <c r="H216" s="248"/>
      <c r="I216" s="247"/>
      <c r="J216" s="247"/>
      <c r="K216" s="249"/>
      <c r="L216" s="276" t="s">
        <v>492</v>
      </c>
      <c r="M216" s="251" t="s">
        <v>2962</v>
      </c>
      <c r="N216" s="252">
        <f>SUM(N219:N222)</f>
        <v>0</v>
      </c>
      <c r="O216" s="252">
        <f>SUM(O219:O222)</f>
        <v>0</v>
      </c>
      <c r="P216" s="259">
        <f>+O216-N216</f>
        <v>0</v>
      </c>
      <c r="Q216" s="252">
        <f>SUM(Q219:Q222)</f>
        <v>0</v>
      </c>
      <c r="R216" s="252">
        <f>SUM(R219:R222)</f>
        <v>0</v>
      </c>
      <c r="S216" s="252">
        <f>SUM(S219:S222)</f>
        <v>0</v>
      </c>
      <c r="T216" s="252">
        <f>SUM(T219:T222)</f>
        <v>0</v>
      </c>
      <c r="U216" s="252">
        <f>SUM(U219:U222)</f>
        <v>0</v>
      </c>
      <c r="V216" s="211"/>
      <c r="W216" s="252">
        <f t="shared" ref="W216:AE216" si="24">SUM(W219:W222)</f>
        <v>0</v>
      </c>
      <c r="X216" s="252">
        <f t="shared" si="24"/>
        <v>0</v>
      </c>
      <c r="Y216" s="252">
        <f t="shared" si="24"/>
        <v>0</v>
      </c>
      <c r="Z216" s="252">
        <f t="shared" si="24"/>
        <v>0</v>
      </c>
      <c r="AA216" s="252">
        <f t="shared" si="24"/>
        <v>0</v>
      </c>
      <c r="AB216" s="252">
        <f t="shared" si="24"/>
        <v>0</v>
      </c>
      <c r="AC216" s="252">
        <f t="shared" si="24"/>
        <v>0</v>
      </c>
      <c r="AD216" s="252">
        <f t="shared" si="24"/>
        <v>0</v>
      </c>
      <c r="AE216" s="252">
        <f t="shared" si="24"/>
        <v>0</v>
      </c>
    </row>
    <row r="217" spans="2:35" s="204" customFormat="1" x14ac:dyDescent="0.25">
      <c r="B217" s="293"/>
      <c r="C217" s="293"/>
      <c r="D217" s="230"/>
      <c r="E217" s="230"/>
      <c r="F217" s="230"/>
      <c r="G217" s="230"/>
      <c r="H217" s="231"/>
      <c r="I217" s="230"/>
      <c r="J217" s="230"/>
      <c r="K217" s="230"/>
      <c r="L217" s="277"/>
      <c r="M217" s="211"/>
      <c r="N217" s="254"/>
      <c r="O217" s="211"/>
      <c r="P217" s="211"/>
      <c r="Q217" s="211"/>
      <c r="R217" s="211"/>
      <c r="T217" s="211"/>
      <c r="U217" s="211"/>
      <c r="V217" s="211"/>
      <c r="W217" s="211"/>
      <c r="X217" s="211"/>
      <c r="Y217" s="211"/>
      <c r="Z217" s="211"/>
      <c r="AA217" s="211"/>
    </row>
    <row r="218" spans="2:35" s="204" customFormat="1" ht="63.75" x14ac:dyDescent="0.25">
      <c r="B218" s="294" t="s">
        <v>2968</v>
      </c>
      <c r="C218" s="294" t="s">
        <v>2969</v>
      </c>
      <c r="D218" s="206" t="s">
        <v>72</v>
      </c>
      <c r="E218" s="206"/>
      <c r="F218" s="206"/>
      <c r="G218" s="207"/>
      <c r="H218" s="207"/>
      <c r="I218" s="207"/>
      <c r="J218" s="207" t="s">
        <v>2957</v>
      </c>
      <c r="K218" s="206" t="s">
        <v>82</v>
      </c>
      <c r="L218" s="261" t="s">
        <v>2970</v>
      </c>
      <c r="M218" s="260"/>
      <c r="N218" s="256" t="str">
        <f>N$15</f>
        <v>Valore netto al 31/12/2019</v>
      </c>
      <c r="O218" s="256" t="str">
        <f>O$15</f>
        <v>Valore netto al 31/12/2020</v>
      </c>
      <c r="P218" s="256" t="str">
        <f>P$15</f>
        <v>Variazione</v>
      </c>
      <c r="Q218" s="262" t="s">
        <v>2971</v>
      </c>
      <c r="R218" s="262" t="str">
        <f>"Costo storico al 31/12/"&amp;Info!$B$3-1</f>
        <v>Costo storico al 31/12/2019</v>
      </c>
      <c r="S218" s="262" t="s">
        <v>2972</v>
      </c>
      <c r="T218" s="262" t="s">
        <v>2973</v>
      </c>
      <c r="U218" s="262" t="s">
        <v>2974</v>
      </c>
      <c r="W218" s="262" t="s">
        <v>2975</v>
      </c>
      <c r="X218" s="262" t="s">
        <v>2976</v>
      </c>
      <c r="Y218" s="262" t="s">
        <v>2977</v>
      </c>
      <c r="Z218" s="262" t="s">
        <v>2978</v>
      </c>
      <c r="AA218" s="262" t="s">
        <v>2979</v>
      </c>
      <c r="AB218" s="262" t="s">
        <v>2980</v>
      </c>
      <c r="AC218" s="262" t="s">
        <v>2981</v>
      </c>
      <c r="AD218" s="262" t="s">
        <v>2982</v>
      </c>
      <c r="AE218" s="262" t="s">
        <v>2983</v>
      </c>
    </row>
    <row r="219" spans="2:35" s="204" customFormat="1" x14ac:dyDescent="0.25">
      <c r="B219" s="246" t="s">
        <v>493</v>
      </c>
      <c r="C219" s="273" t="s">
        <v>494</v>
      </c>
      <c r="D219" s="274" t="s">
        <v>3177</v>
      </c>
      <c r="E219" s="264"/>
      <c r="F219" s="264"/>
      <c r="G219" s="265"/>
      <c r="H219" s="266"/>
      <c r="I219" s="281"/>
      <c r="J219" s="281"/>
      <c r="K219" s="281"/>
      <c r="L219" s="282" t="s">
        <v>3178</v>
      </c>
      <c r="M219" s="263" t="s">
        <v>2962</v>
      </c>
      <c r="N219" s="269">
        <f>+R219+T219-U219</f>
        <v>0</v>
      </c>
      <c r="O219" s="270">
        <f>+N219+S219+X219+ABS(Y219)-ABS(AA219)+ABS(Z219)+ABS(AB219)+ABS(AD219)-ABS(AE219)+AC219+W219+Q219</f>
        <v>0</v>
      </c>
      <c r="P219" s="271">
        <f>+O219-N219</f>
        <v>0</v>
      </c>
      <c r="Q219" s="520"/>
      <c r="R219" s="354">
        <f>IF(ISERROR(VLOOKUP("RIC"&amp;$C219,ESTR_PREC_SP!$A$2:$G$2000,4,FALSE))=TRUE,0,VLOOKUP("RIC"&amp;$C219,ESTR_PREC_SP!$A$2:$G$2000,4,FALSE))</f>
        <v>0</v>
      </c>
      <c r="S219" s="521"/>
      <c r="T219" s="521"/>
      <c r="U219" s="521"/>
      <c r="W219" s="520"/>
      <c r="X219" s="520"/>
      <c r="Y219" s="520"/>
      <c r="Z219" s="520"/>
      <c r="AA219" s="520"/>
      <c r="AB219" s="520"/>
      <c r="AC219" s="520"/>
      <c r="AD219" s="520"/>
      <c r="AE219" s="520"/>
    </row>
    <row r="220" spans="2:35" s="204" customFormat="1" x14ac:dyDescent="0.25">
      <c r="B220" s="246" t="s">
        <v>496</v>
      </c>
      <c r="C220" s="273" t="s">
        <v>497</v>
      </c>
      <c r="D220" s="274" t="s">
        <v>3179</v>
      </c>
      <c r="E220" s="264"/>
      <c r="F220" s="264"/>
      <c r="G220" s="265"/>
      <c r="H220" s="266"/>
      <c r="I220" s="281"/>
      <c r="J220" s="281"/>
      <c r="K220" s="281"/>
      <c r="L220" s="282" t="s">
        <v>3180</v>
      </c>
      <c r="M220" s="263" t="s">
        <v>2962</v>
      </c>
      <c r="N220" s="269">
        <f>+R220+T220-U220</f>
        <v>0</v>
      </c>
      <c r="O220" s="270">
        <f>+N220+S220+X220+ABS(Y220)-ABS(AA220)+ABS(Z220)+ABS(AB220)+ABS(AD220)-ABS(AE220)+AC220+W220+Q220</f>
        <v>0</v>
      </c>
      <c r="P220" s="271">
        <f>+O220-N220</f>
        <v>0</v>
      </c>
      <c r="Q220" s="520"/>
      <c r="R220" s="354">
        <f>IF(ISERROR(VLOOKUP("RIC"&amp;$C220,ESTR_PREC_SP!$A$2:$G$2000,4,FALSE))=TRUE,0,VLOOKUP("RIC"&amp;$C220,ESTR_PREC_SP!$A$2:$G$2000,4,FALSE))</f>
        <v>0</v>
      </c>
      <c r="S220" s="521"/>
      <c r="T220" s="521"/>
      <c r="U220" s="521"/>
      <c r="W220" s="520"/>
      <c r="X220" s="520"/>
      <c r="Y220" s="520"/>
      <c r="Z220" s="520"/>
      <c r="AA220" s="520"/>
      <c r="AB220" s="520"/>
      <c r="AC220" s="520"/>
      <c r="AD220" s="520"/>
      <c r="AE220" s="520"/>
    </row>
    <row r="221" spans="2:35" s="204" customFormat="1" x14ac:dyDescent="0.25">
      <c r="B221" s="246" t="s">
        <v>499</v>
      </c>
      <c r="C221" s="273" t="s">
        <v>500</v>
      </c>
      <c r="D221" s="274" t="s">
        <v>3181</v>
      </c>
      <c r="E221" s="264"/>
      <c r="F221" s="274"/>
      <c r="G221" s="283"/>
      <c r="H221" s="266"/>
      <c r="I221" s="281"/>
      <c r="J221" s="281"/>
      <c r="K221" s="281"/>
      <c r="L221" s="295" t="s">
        <v>3182</v>
      </c>
      <c r="M221" s="284" t="s">
        <v>2962</v>
      </c>
      <c r="N221" s="269">
        <f>+R221+T221-U221</f>
        <v>0</v>
      </c>
      <c r="O221" s="270">
        <f>+N221+S221+X221+ABS(Y221)-ABS(AA221)+ABS(Z221)+ABS(AB221)+ABS(AD221)-ABS(AE221)+AC221+W221+Q221</f>
        <v>0</v>
      </c>
      <c r="P221" s="271">
        <f>+O221-N221</f>
        <v>0</v>
      </c>
      <c r="Q221" s="520"/>
      <c r="R221" s="354">
        <f>IF(ISERROR(VLOOKUP("RIC"&amp;$C221,ESTR_PREC_SP!$A$2:$G$2000,4,FALSE))=TRUE,0,VLOOKUP("RIC"&amp;$C221,ESTR_PREC_SP!$A$2:$G$2000,4,FALSE))</f>
        <v>0</v>
      </c>
      <c r="S221" s="521"/>
      <c r="T221" s="521"/>
      <c r="U221" s="521"/>
      <c r="W221" s="520"/>
      <c r="X221" s="520"/>
      <c r="Y221" s="520"/>
      <c r="Z221" s="520"/>
      <c r="AA221" s="520"/>
      <c r="AB221" s="520"/>
      <c r="AC221" s="520"/>
      <c r="AD221" s="520"/>
      <c r="AE221" s="520"/>
    </row>
    <row r="222" spans="2:35" s="204" customFormat="1" x14ac:dyDescent="0.25">
      <c r="B222" s="246" t="s">
        <v>502</v>
      </c>
      <c r="C222" s="273" t="s">
        <v>503</v>
      </c>
      <c r="D222" s="274" t="s">
        <v>3183</v>
      </c>
      <c r="E222" s="264"/>
      <c r="F222" s="274"/>
      <c r="G222" s="283"/>
      <c r="H222" s="266"/>
      <c r="I222" s="281"/>
      <c r="J222" s="281"/>
      <c r="K222" s="281"/>
      <c r="L222" s="295" t="s">
        <v>3184</v>
      </c>
      <c r="M222" s="284" t="s">
        <v>2962</v>
      </c>
      <c r="N222" s="269">
        <f>+R222+T222-U222</f>
        <v>0</v>
      </c>
      <c r="O222" s="270">
        <f>+N222+S222+X222+ABS(Y222)-ABS(AA222)+ABS(Z222)+ABS(AB222)+ABS(AD222)-ABS(AE222)+AC222+W222+Q222</f>
        <v>0</v>
      </c>
      <c r="P222" s="271">
        <f>+O222-N222</f>
        <v>0</v>
      </c>
      <c r="Q222" s="520"/>
      <c r="R222" s="354">
        <f>IF(ISERROR(VLOOKUP("RIC"&amp;$C222,ESTR_PREC_SP!$A$2:$G$2000,4,FALSE))=TRUE,0,VLOOKUP("RIC"&amp;$C222,ESTR_PREC_SP!$A$2:$G$2000,4,FALSE))</f>
        <v>0</v>
      </c>
      <c r="S222" s="521"/>
      <c r="T222" s="521"/>
      <c r="U222" s="521"/>
      <c r="W222" s="520"/>
      <c r="X222" s="520"/>
      <c r="Y222" s="520"/>
      <c r="Z222" s="520"/>
      <c r="AA222" s="520"/>
      <c r="AB222" s="520"/>
      <c r="AC222" s="520"/>
      <c r="AD222" s="520"/>
      <c r="AE222" s="520"/>
    </row>
    <row r="223" spans="2:35" s="204" customFormat="1" x14ac:dyDescent="0.25">
      <c r="B223" s="293"/>
      <c r="C223" s="293"/>
      <c r="D223" s="230"/>
      <c r="E223" s="230"/>
      <c r="F223" s="230"/>
      <c r="G223" s="230"/>
      <c r="H223" s="231"/>
      <c r="I223" s="230"/>
      <c r="J223" s="230"/>
      <c r="K223" s="230"/>
      <c r="L223" s="296"/>
      <c r="M223" s="240"/>
      <c r="N223" s="254"/>
      <c r="O223" s="211"/>
      <c r="P223" s="211"/>
      <c r="Q223" s="211"/>
      <c r="R223" s="211"/>
      <c r="S223" s="211"/>
      <c r="T223" s="240"/>
      <c r="U223" s="240"/>
      <c r="V223" s="240"/>
      <c r="W223" s="240"/>
      <c r="X223" s="240"/>
      <c r="Y223" s="240"/>
      <c r="Z223" s="240"/>
      <c r="AA223" s="240"/>
    </row>
    <row r="224" spans="2:35" s="204" customFormat="1" x14ac:dyDescent="0.25">
      <c r="B224" s="246" t="s">
        <v>505</v>
      </c>
      <c r="C224" s="292" t="s">
        <v>506</v>
      </c>
      <c r="D224" s="247" t="s">
        <v>3185</v>
      </c>
      <c r="E224" s="247"/>
      <c r="F224" s="247"/>
      <c r="G224" s="247"/>
      <c r="H224" s="248"/>
      <c r="I224" s="247"/>
      <c r="J224" s="247"/>
      <c r="K224" s="249"/>
      <c r="L224" s="276" t="s">
        <v>509</v>
      </c>
      <c r="M224" s="251" t="s">
        <v>2962</v>
      </c>
      <c r="N224" s="252">
        <f>SUM(N227:N230)</f>
        <v>0</v>
      </c>
      <c r="O224" s="252">
        <f>SUM(O227:O230)</f>
        <v>0</v>
      </c>
      <c r="P224" s="259">
        <f>+O224-N224</f>
        <v>0</v>
      </c>
      <c r="Q224" s="252">
        <f>SUM(Q227:Q230)</f>
        <v>0</v>
      </c>
      <c r="R224" s="252">
        <f>SUM(R227:R230)</f>
        <v>0</v>
      </c>
      <c r="S224" s="252">
        <f>SUM(S227:S230)</f>
        <v>0</v>
      </c>
      <c r="W224" s="252">
        <f>SUM(W227:W230)</f>
        <v>0</v>
      </c>
      <c r="X224" s="252">
        <f>SUM(X227:X230)</f>
        <v>0</v>
      </c>
      <c r="Y224" s="252">
        <f>SUM(Y227:Y230)</f>
        <v>0</v>
      </c>
      <c r="Z224" s="252">
        <f>SUM(Z227:Z230)</f>
        <v>0</v>
      </c>
      <c r="AA224" s="240"/>
    </row>
    <row r="225" spans="2:31" s="204" customFormat="1" x14ac:dyDescent="0.25">
      <c r="B225" s="293"/>
      <c r="C225" s="293"/>
      <c r="D225" s="230"/>
      <c r="E225" s="230"/>
      <c r="F225" s="230"/>
      <c r="G225" s="230"/>
      <c r="H225" s="231"/>
      <c r="I225" s="230"/>
      <c r="J225" s="230"/>
      <c r="K225" s="230"/>
      <c r="L225" s="277"/>
      <c r="M225" s="211"/>
      <c r="N225" s="254"/>
      <c r="O225" s="211"/>
      <c r="P225" s="211"/>
      <c r="Q225" s="211"/>
      <c r="R225" s="211"/>
      <c r="W225" s="240"/>
      <c r="X225" s="240"/>
      <c r="Y225" s="240"/>
      <c r="Z225" s="240"/>
      <c r="AA225" s="240"/>
    </row>
    <row r="226" spans="2:31" s="204" customFormat="1" ht="63.75" x14ac:dyDescent="0.25">
      <c r="B226" s="294" t="s">
        <v>2968</v>
      </c>
      <c r="C226" s="294" t="s">
        <v>2969</v>
      </c>
      <c r="D226" s="206" t="s">
        <v>72</v>
      </c>
      <c r="E226" s="206"/>
      <c r="F226" s="206"/>
      <c r="G226" s="207"/>
      <c r="H226" s="207"/>
      <c r="I226" s="207"/>
      <c r="J226" s="207" t="s">
        <v>2957</v>
      </c>
      <c r="K226" s="206" t="s">
        <v>82</v>
      </c>
      <c r="L226" s="261" t="s">
        <v>2970</v>
      </c>
      <c r="M226" s="260"/>
      <c r="N226" s="256" t="str">
        <f>N$15</f>
        <v>Valore netto al 31/12/2019</v>
      </c>
      <c r="O226" s="256" t="str">
        <f>O$15</f>
        <v>Valore netto al 31/12/2020</v>
      </c>
      <c r="P226" s="256" t="str">
        <f>P$15</f>
        <v>Variazione</v>
      </c>
      <c r="Q226" s="262" t="s">
        <v>2971</v>
      </c>
      <c r="R226" s="262" t="str">
        <f>"Fondo ammortamento 31/12/"&amp;Info!$B$3-1</f>
        <v>Fondo ammortamento 31/12/2019</v>
      </c>
      <c r="S226" s="262" t="s">
        <v>2972</v>
      </c>
      <c r="W226" s="262" t="s">
        <v>2975</v>
      </c>
      <c r="X226" s="262" t="s">
        <v>2976</v>
      </c>
      <c r="Y226" s="262" t="s">
        <v>2989</v>
      </c>
      <c r="Z226" s="262" t="s">
        <v>2990</v>
      </c>
      <c r="AA226" s="240"/>
    </row>
    <row r="227" spans="2:31" s="204" customFormat="1" x14ac:dyDescent="0.25">
      <c r="B227" s="246" t="s">
        <v>510</v>
      </c>
      <c r="C227" s="273" t="s">
        <v>511</v>
      </c>
      <c r="D227" s="264" t="s">
        <v>3186</v>
      </c>
      <c r="E227" s="264"/>
      <c r="F227" s="264"/>
      <c r="G227" s="265"/>
      <c r="H227" s="266"/>
      <c r="I227" s="281"/>
      <c r="J227" s="281"/>
      <c r="K227" s="281"/>
      <c r="L227" s="282" t="s">
        <v>3187</v>
      </c>
      <c r="M227" s="263" t="s">
        <v>2962</v>
      </c>
      <c r="N227" s="269">
        <f>+R227</f>
        <v>0</v>
      </c>
      <c r="O227" s="270">
        <f>+R227+S227+X227-ABS(Y227)+ABS(Z227)+W227+Q227</f>
        <v>0</v>
      </c>
      <c r="P227" s="271">
        <f>+O227-N227</f>
        <v>0</v>
      </c>
      <c r="Q227" s="520"/>
      <c r="R227" s="354">
        <f>IF(ISERROR(VLOOKUP("RIC"&amp;$C227,ESTR_PREC_SP!$A$2:$G$2000,4,FALSE))=TRUE,0,VLOOKUP("RIC"&amp;$C227,ESTR_PREC_SP!$A$2:$G$2000,4,FALSE))</f>
        <v>0</v>
      </c>
      <c r="S227" s="521"/>
      <c r="V227" s="211"/>
      <c r="W227" s="520"/>
      <c r="X227" s="520"/>
      <c r="Y227" s="520"/>
      <c r="Z227" s="520"/>
      <c r="AA227" s="240"/>
    </row>
    <row r="228" spans="2:31" s="204" customFormat="1" x14ac:dyDescent="0.25">
      <c r="B228" s="246" t="s">
        <v>513</v>
      </c>
      <c r="C228" s="273" t="s">
        <v>514</v>
      </c>
      <c r="D228" s="264" t="s">
        <v>3188</v>
      </c>
      <c r="E228" s="264"/>
      <c r="F228" s="264"/>
      <c r="G228" s="265"/>
      <c r="H228" s="266"/>
      <c r="I228" s="281"/>
      <c r="J228" s="281"/>
      <c r="K228" s="281"/>
      <c r="L228" s="282" t="s">
        <v>3189</v>
      </c>
      <c r="M228" s="263" t="s">
        <v>2962</v>
      </c>
      <c r="N228" s="269">
        <f>+R228</f>
        <v>0</v>
      </c>
      <c r="O228" s="270">
        <f>+R228+S228+X228-ABS(Y228)+ABS(Z228)+W228+Q228</f>
        <v>0</v>
      </c>
      <c r="P228" s="271">
        <f>+O228-N228</f>
        <v>0</v>
      </c>
      <c r="Q228" s="520"/>
      <c r="R228" s="354">
        <f>IF(ISERROR(VLOOKUP("RIC"&amp;$C228,ESTR_PREC_SP!$A$2:$G$2000,4,FALSE))=TRUE,0,VLOOKUP("RIC"&amp;$C228,ESTR_PREC_SP!$A$2:$G$2000,4,FALSE))</f>
        <v>0</v>
      </c>
      <c r="S228" s="521"/>
      <c r="V228" s="211"/>
      <c r="W228" s="520"/>
      <c r="X228" s="520"/>
      <c r="Y228" s="520"/>
      <c r="Z228" s="520"/>
      <c r="AA228" s="240"/>
    </row>
    <row r="229" spans="2:31" s="204" customFormat="1" x14ac:dyDescent="0.25">
      <c r="B229" s="246" t="s">
        <v>516</v>
      </c>
      <c r="C229" s="273" t="s">
        <v>517</v>
      </c>
      <c r="D229" s="264" t="s">
        <v>3190</v>
      </c>
      <c r="E229" s="264"/>
      <c r="F229" s="274"/>
      <c r="G229" s="283"/>
      <c r="H229" s="266"/>
      <c r="I229" s="281"/>
      <c r="J229" s="281"/>
      <c r="K229" s="281"/>
      <c r="L229" s="295" t="s">
        <v>3191</v>
      </c>
      <c r="M229" s="284" t="s">
        <v>2962</v>
      </c>
      <c r="N229" s="269">
        <f>+R229</f>
        <v>0</v>
      </c>
      <c r="O229" s="270">
        <f>+R229+S229+X229-ABS(Y229)+ABS(Z229)+W229+Q229</f>
        <v>0</v>
      </c>
      <c r="P229" s="271">
        <f>+O229-N229</f>
        <v>0</v>
      </c>
      <c r="Q229" s="520"/>
      <c r="R229" s="354">
        <f>IF(ISERROR(VLOOKUP("RIC"&amp;$C229,ESTR_PREC_SP!$A$2:$G$2000,4,FALSE))=TRUE,0,VLOOKUP("RIC"&amp;$C229,ESTR_PREC_SP!$A$2:$G$2000,4,FALSE))</f>
        <v>0</v>
      </c>
      <c r="S229" s="521"/>
      <c r="V229" s="211"/>
      <c r="W229" s="520"/>
      <c r="X229" s="520"/>
      <c r="Y229" s="520"/>
      <c r="Z229" s="520"/>
      <c r="AA229" s="240"/>
    </row>
    <row r="230" spans="2:31" s="204" customFormat="1" x14ac:dyDescent="0.25">
      <c r="B230" s="246" t="s">
        <v>519</v>
      </c>
      <c r="C230" s="273" t="s">
        <v>520</v>
      </c>
      <c r="D230" s="264" t="s">
        <v>3192</v>
      </c>
      <c r="E230" s="264"/>
      <c r="F230" s="274"/>
      <c r="G230" s="283"/>
      <c r="H230" s="266"/>
      <c r="I230" s="281"/>
      <c r="J230" s="281"/>
      <c r="K230" s="281"/>
      <c r="L230" s="295" t="s">
        <v>3193</v>
      </c>
      <c r="M230" s="284" t="s">
        <v>2962</v>
      </c>
      <c r="N230" s="269">
        <f>+R230</f>
        <v>0</v>
      </c>
      <c r="O230" s="270">
        <f>+R230+S230+X230-ABS(Y230)+ABS(Z230)+W230+Q230</f>
        <v>0</v>
      </c>
      <c r="P230" s="271">
        <f>+O230-N230</f>
        <v>0</v>
      </c>
      <c r="Q230" s="520"/>
      <c r="R230" s="354">
        <f>IF(ISERROR(VLOOKUP("RIC"&amp;$C230,ESTR_PREC_SP!$A$2:$G$2000,4,FALSE))=TRUE,0,VLOOKUP("RIC"&amp;$C230,ESTR_PREC_SP!$A$2:$G$2000,4,FALSE))</f>
        <v>0</v>
      </c>
      <c r="S230" s="521"/>
      <c r="V230" s="211"/>
      <c r="W230" s="520"/>
      <c r="X230" s="520"/>
      <c r="Y230" s="520"/>
      <c r="Z230" s="520"/>
      <c r="AA230" s="240"/>
    </row>
    <row r="231" spans="2:31" s="204" customFormat="1" x14ac:dyDescent="0.25">
      <c r="B231" s="293"/>
      <c r="C231" s="293"/>
      <c r="D231" s="230"/>
      <c r="E231" s="230"/>
      <c r="F231" s="230"/>
      <c r="G231" s="230"/>
      <c r="H231" s="231"/>
      <c r="I231" s="230"/>
      <c r="J231" s="230"/>
      <c r="K231" s="230"/>
      <c r="L231" s="275"/>
      <c r="M231" s="216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</row>
    <row r="232" spans="2:31" s="204" customFormat="1" x14ac:dyDescent="0.25">
      <c r="B232" s="246" t="s">
        <v>522</v>
      </c>
      <c r="C232" s="292" t="s">
        <v>523</v>
      </c>
      <c r="D232" s="247" t="s">
        <v>3194</v>
      </c>
      <c r="E232" s="247"/>
      <c r="F232" s="247"/>
      <c r="G232" s="247"/>
      <c r="H232" s="248"/>
      <c r="I232" s="247"/>
      <c r="J232" s="247"/>
      <c r="K232" s="249"/>
      <c r="L232" s="276" t="s">
        <v>525</v>
      </c>
      <c r="M232" s="251" t="s">
        <v>2962</v>
      </c>
      <c r="N232" s="252">
        <f>+N234-N242</f>
        <v>0</v>
      </c>
      <c r="O232" s="252">
        <f>+O234-O242</f>
        <v>0</v>
      </c>
      <c r="P232" s="259">
        <f>+O232-N232</f>
        <v>0</v>
      </c>
      <c r="Q232" s="285"/>
      <c r="R232" s="285"/>
      <c r="S232" s="285"/>
      <c r="T232" s="285"/>
      <c r="U232" s="285"/>
      <c r="V232" s="285"/>
      <c r="W232" s="211"/>
      <c r="X232" s="252">
        <f>+X234-X242</f>
        <v>0</v>
      </c>
      <c r="Y232" s="285"/>
      <c r="Z232" s="285"/>
      <c r="AA232" s="285"/>
    </row>
    <row r="233" spans="2:31" s="204" customFormat="1" x14ac:dyDescent="0.25">
      <c r="B233" s="293"/>
      <c r="C233" s="293"/>
      <c r="D233" s="230"/>
      <c r="E233" s="230"/>
      <c r="F233" s="230"/>
      <c r="G233" s="230"/>
      <c r="H233" s="231"/>
      <c r="I233" s="230"/>
      <c r="J233" s="230"/>
      <c r="K233" s="230"/>
      <c r="L233" s="275"/>
      <c r="M233" s="216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</row>
    <row r="234" spans="2:31" s="204" customFormat="1" x14ac:dyDescent="0.25">
      <c r="B234" s="246" t="s">
        <v>526</v>
      </c>
      <c r="C234" s="292" t="s">
        <v>527</v>
      </c>
      <c r="D234" s="247" t="s">
        <v>3195</v>
      </c>
      <c r="E234" s="247"/>
      <c r="F234" s="247"/>
      <c r="G234" s="247"/>
      <c r="H234" s="248"/>
      <c r="I234" s="247"/>
      <c r="J234" s="247"/>
      <c r="K234" s="249"/>
      <c r="L234" s="276" t="s">
        <v>529</v>
      </c>
      <c r="M234" s="251" t="s">
        <v>2962</v>
      </c>
      <c r="N234" s="252">
        <f>SUM(N237:N240)</f>
        <v>0</v>
      </c>
      <c r="O234" s="252">
        <f>SUM(O237:O240)</f>
        <v>0</v>
      </c>
      <c r="P234" s="259">
        <f>+O234-N234</f>
        <v>0</v>
      </c>
      <c r="Q234" s="252">
        <f>SUM(Q237:Q240)</f>
        <v>0</v>
      </c>
      <c r="R234" s="252">
        <f>SUM(R237:R240)</f>
        <v>0</v>
      </c>
      <c r="S234" s="252">
        <f>SUM(S237:S240)</f>
        <v>0</v>
      </c>
      <c r="T234" s="252">
        <f>SUM(T237:T240)</f>
        <v>0</v>
      </c>
      <c r="U234" s="252">
        <f>SUM(U237:U240)</f>
        <v>0</v>
      </c>
      <c r="W234" s="252">
        <f t="shared" ref="W234:AE234" si="25">SUM(W237:W240)</f>
        <v>0</v>
      </c>
      <c r="X234" s="252">
        <f t="shared" si="25"/>
        <v>0</v>
      </c>
      <c r="Y234" s="252">
        <f t="shared" si="25"/>
        <v>0</v>
      </c>
      <c r="Z234" s="252">
        <f t="shared" si="25"/>
        <v>0</v>
      </c>
      <c r="AA234" s="252">
        <f t="shared" si="25"/>
        <v>0</v>
      </c>
      <c r="AB234" s="252">
        <f t="shared" si="25"/>
        <v>0</v>
      </c>
      <c r="AC234" s="252">
        <f t="shared" si="25"/>
        <v>0</v>
      </c>
      <c r="AD234" s="252">
        <f t="shared" si="25"/>
        <v>0</v>
      </c>
      <c r="AE234" s="252">
        <f t="shared" si="25"/>
        <v>0</v>
      </c>
    </row>
    <row r="235" spans="2:31" s="204" customFormat="1" x14ac:dyDescent="0.25">
      <c r="B235" s="293"/>
      <c r="C235" s="293"/>
      <c r="D235" s="230"/>
      <c r="E235" s="230"/>
      <c r="F235" s="230"/>
      <c r="G235" s="230"/>
      <c r="H235" s="231"/>
      <c r="I235" s="230"/>
      <c r="J235" s="230"/>
      <c r="K235" s="230"/>
      <c r="L235" s="277"/>
      <c r="M235" s="211"/>
      <c r="N235" s="254"/>
      <c r="O235" s="211"/>
      <c r="P235" s="211"/>
      <c r="Q235" s="211"/>
      <c r="R235" s="211"/>
      <c r="T235" s="211"/>
      <c r="U235" s="211"/>
      <c r="V235" s="211"/>
      <c r="W235" s="211"/>
      <c r="X235" s="211"/>
      <c r="Y235" s="211"/>
      <c r="Z235" s="211"/>
      <c r="AA235" s="211"/>
    </row>
    <row r="236" spans="2:31" s="204" customFormat="1" ht="63.75" x14ac:dyDescent="0.25">
      <c r="B236" s="294" t="s">
        <v>2968</v>
      </c>
      <c r="C236" s="294" t="s">
        <v>2969</v>
      </c>
      <c r="D236" s="206" t="s">
        <v>72</v>
      </c>
      <c r="E236" s="206"/>
      <c r="F236" s="206"/>
      <c r="G236" s="207"/>
      <c r="H236" s="207"/>
      <c r="I236" s="207"/>
      <c r="J236" s="207" t="s">
        <v>2957</v>
      </c>
      <c r="K236" s="206" t="s">
        <v>82</v>
      </c>
      <c r="L236" s="261" t="s">
        <v>2970</v>
      </c>
      <c r="M236" s="260"/>
      <c r="N236" s="256" t="str">
        <f>N$15</f>
        <v>Valore netto al 31/12/2019</v>
      </c>
      <c r="O236" s="256" t="str">
        <f>O$15</f>
        <v>Valore netto al 31/12/2020</v>
      </c>
      <c r="P236" s="256" t="str">
        <f>P$15</f>
        <v>Variazione</v>
      </c>
      <c r="Q236" s="262" t="s">
        <v>2971</v>
      </c>
      <c r="R236" s="262" t="str">
        <f>"Costo storico al 31/12/"&amp;Info!$B$3-1</f>
        <v>Costo storico al 31/12/2019</v>
      </c>
      <c r="S236" s="262" t="s">
        <v>2972</v>
      </c>
      <c r="T236" s="262" t="s">
        <v>2973</v>
      </c>
      <c r="U236" s="262" t="s">
        <v>2974</v>
      </c>
      <c r="W236" s="262" t="s">
        <v>2975</v>
      </c>
      <c r="X236" s="262" t="s">
        <v>2976</v>
      </c>
      <c r="Y236" s="262" t="s">
        <v>2977</v>
      </c>
      <c r="Z236" s="262" t="s">
        <v>2978</v>
      </c>
      <c r="AA236" s="262" t="s">
        <v>2979</v>
      </c>
      <c r="AB236" s="262" t="s">
        <v>2980</v>
      </c>
      <c r="AC236" s="262" t="s">
        <v>2981</v>
      </c>
      <c r="AD236" s="262" t="s">
        <v>2982</v>
      </c>
      <c r="AE236" s="262" t="s">
        <v>2983</v>
      </c>
    </row>
    <row r="237" spans="2:31" s="204" customFormat="1" x14ac:dyDescent="0.25">
      <c r="B237" s="246" t="s">
        <v>530</v>
      </c>
      <c r="C237" s="273" t="s">
        <v>531</v>
      </c>
      <c r="D237" s="264" t="s">
        <v>3196</v>
      </c>
      <c r="E237" s="264"/>
      <c r="F237" s="264"/>
      <c r="G237" s="265"/>
      <c r="H237" s="266"/>
      <c r="I237" s="281"/>
      <c r="J237" s="281"/>
      <c r="K237" s="281"/>
      <c r="L237" s="295" t="s">
        <v>3197</v>
      </c>
      <c r="M237" s="284" t="s">
        <v>2962</v>
      </c>
      <c r="N237" s="269">
        <f>+R237+T237-U237</f>
        <v>0</v>
      </c>
      <c r="O237" s="270">
        <f>+N237+S237+X237+ABS(Y237)-ABS(AA237)+ABS(Z237)+ABS(AB237)+ABS(AD237)-ABS(AE237)+AC237+W237+Q237</f>
        <v>0</v>
      </c>
      <c r="P237" s="271">
        <f>+O237-N237</f>
        <v>0</v>
      </c>
      <c r="Q237" s="520"/>
      <c r="R237" s="354">
        <f>IF(ISERROR(VLOOKUP("RIC"&amp;$C237,ESTR_PREC_SP!$A$2:$G$2000,4,FALSE))=TRUE,0,VLOOKUP("RIC"&amp;$C237,ESTR_PREC_SP!$A$2:$G$2000,4,FALSE))</f>
        <v>0</v>
      </c>
      <c r="S237" s="521"/>
      <c r="T237" s="521"/>
      <c r="U237" s="521"/>
      <c r="W237" s="520"/>
      <c r="X237" s="520"/>
      <c r="Y237" s="520"/>
      <c r="Z237" s="520"/>
      <c r="AA237" s="520"/>
      <c r="AB237" s="520"/>
      <c r="AC237" s="520"/>
      <c r="AD237" s="520"/>
      <c r="AE237" s="520"/>
    </row>
    <row r="238" spans="2:31" s="204" customFormat="1" x14ac:dyDescent="0.25">
      <c r="B238" s="246" t="s">
        <v>533</v>
      </c>
      <c r="C238" s="273" t="s">
        <v>534</v>
      </c>
      <c r="D238" s="264" t="s">
        <v>3198</v>
      </c>
      <c r="E238" s="264"/>
      <c r="F238" s="264"/>
      <c r="G238" s="265"/>
      <c r="H238" s="266"/>
      <c r="I238" s="281"/>
      <c r="J238" s="281"/>
      <c r="K238" s="281"/>
      <c r="L238" s="295" t="s">
        <v>3199</v>
      </c>
      <c r="M238" s="284" t="s">
        <v>2962</v>
      </c>
      <c r="N238" s="269">
        <f>+R238+T238-U238</f>
        <v>0</v>
      </c>
      <c r="O238" s="270">
        <f>+N238+S238+X238+ABS(Y238)-ABS(AA238)+ABS(Z238)+ABS(AB238)+ABS(AD238)-ABS(AE238)+AC238+W238+Q238</f>
        <v>0</v>
      </c>
      <c r="P238" s="271">
        <f>+O238-N238</f>
        <v>0</v>
      </c>
      <c r="Q238" s="520"/>
      <c r="R238" s="354">
        <f>IF(ISERROR(VLOOKUP("RIC"&amp;$C238,ESTR_PREC_SP!$A$2:$G$2000,4,FALSE))=TRUE,0,VLOOKUP("RIC"&amp;$C238,ESTR_PREC_SP!$A$2:$G$2000,4,FALSE))</f>
        <v>0</v>
      </c>
      <c r="S238" s="521"/>
      <c r="T238" s="521"/>
      <c r="U238" s="521"/>
      <c r="W238" s="520"/>
      <c r="X238" s="520"/>
      <c r="Y238" s="520"/>
      <c r="Z238" s="520"/>
      <c r="AA238" s="520"/>
      <c r="AB238" s="520"/>
      <c r="AC238" s="520"/>
      <c r="AD238" s="520"/>
      <c r="AE238" s="520"/>
    </row>
    <row r="239" spans="2:31" s="204" customFormat="1" x14ac:dyDescent="0.25">
      <c r="B239" s="246" t="s">
        <v>536</v>
      </c>
      <c r="C239" s="273" t="s">
        <v>537</v>
      </c>
      <c r="D239" s="264" t="s">
        <v>3200</v>
      </c>
      <c r="E239" s="264"/>
      <c r="F239" s="274"/>
      <c r="G239" s="283"/>
      <c r="H239" s="266"/>
      <c r="I239" s="281"/>
      <c r="J239" s="281"/>
      <c r="K239" s="281"/>
      <c r="L239" s="295" t="s">
        <v>3201</v>
      </c>
      <c r="M239" s="284" t="s">
        <v>2962</v>
      </c>
      <c r="N239" s="269">
        <f>+R239+T239-U239</f>
        <v>0</v>
      </c>
      <c r="O239" s="270">
        <f>+N239+S239+X239+ABS(Y239)-ABS(AA239)+ABS(Z239)+ABS(AB239)+ABS(AD239)-ABS(AE239)+AC239+W239+Q239</f>
        <v>0</v>
      </c>
      <c r="P239" s="271">
        <f>+O239-N239</f>
        <v>0</v>
      </c>
      <c r="Q239" s="520"/>
      <c r="R239" s="354">
        <f>IF(ISERROR(VLOOKUP("RIC"&amp;$C239,ESTR_PREC_SP!$A$2:$G$2000,4,FALSE))=TRUE,0,VLOOKUP("RIC"&amp;$C239,ESTR_PREC_SP!$A$2:$G$2000,4,FALSE))</f>
        <v>0</v>
      </c>
      <c r="S239" s="521"/>
      <c r="T239" s="521"/>
      <c r="U239" s="521"/>
      <c r="W239" s="520"/>
      <c r="X239" s="520"/>
      <c r="Y239" s="520"/>
      <c r="Z239" s="520"/>
      <c r="AA239" s="520"/>
      <c r="AB239" s="520"/>
      <c r="AC239" s="520"/>
      <c r="AD239" s="520"/>
      <c r="AE239" s="520"/>
    </row>
    <row r="240" spans="2:31" s="204" customFormat="1" x14ac:dyDescent="0.25">
      <c r="B240" s="246" t="s">
        <v>539</v>
      </c>
      <c r="C240" s="273" t="s">
        <v>540</v>
      </c>
      <c r="D240" s="264" t="s">
        <v>3202</v>
      </c>
      <c r="E240" s="264"/>
      <c r="F240" s="274"/>
      <c r="G240" s="283"/>
      <c r="H240" s="266"/>
      <c r="I240" s="281"/>
      <c r="J240" s="281"/>
      <c r="K240" s="281"/>
      <c r="L240" s="295" t="s">
        <v>3203</v>
      </c>
      <c r="M240" s="284" t="s">
        <v>2962</v>
      </c>
      <c r="N240" s="269">
        <f>+R240+T240-U240</f>
        <v>0</v>
      </c>
      <c r="O240" s="270">
        <f>+N240+S240+X240+ABS(Y240)-ABS(AA240)+ABS(Z240)+ABS(AB240)+ABS(AD240)-ABS(AE240)+AC240+W240+Q240</f>
        <v>0</v>
      </c>
      <c r="P240" s="271">
        <f>+O240-N240</f>
        <v>0</v>
      </c>
      <c r="Q240" s="520"/>
      <c r="R240" s="354">
        <f>IF(ISERROR(VLOOKUP("RIC"&amp;$C240,ESTR_PREC_SP!$A$2:$G$2000,4,FALSE))=TRUE,0,VLOOKUP("RIC"&amp;$C240,ESTR_PREC_SP!$A$2:$G$2000,4,FALSE))</f>
        <v>0</v>
      </c>
      <c r="S240" s="521"/>
      <c r="T240" s="521"/>
      <c r="U240" s="521"/>
      <c r="W240" s="520"/>
      <c r="X240" s="520"/>
      <c r="Y240" s="520"/>
      <c r="Z240" s="520"/>
      <c r="AA240" s="520"/>
      <c r="AB240" s="520"/>
      <c r="AC240" s="520"/>
      <c r="AD240" s="520"/>
      <c r="AE240" s="520"/>
    </row>
    <row r="241" spans="2:31" s="204" customFormat="1" x14ac:dyDescent="0.25">
      <c r="B241" s="293"/>
      <c r="C241" s="293"/>
      <c r="D241" s="230"/>
      <c r="E241" s="230"/>
      <c r="F241" s="230"/>
      <c r="G241" s="230"/>
      <c r="H241" s="231"/>
      <c r="I241" s="230"/>
      <c r="J241" s="230"/>
      <c r="K241" s="230"/>
      <c r="L241" s="296"/>
      <c r="M241" s="240"/>
      <c r="N241" s="254"/>
      <c r="O241" s="211"/>
      <c r="P241" s="211"/>
      <c r="Q241" s="211"/>
      <c r="R241" s="211"/>
      <c r="S241" s="211"/>
      <c r="T241" s="240"/>
      <c r="U241" s="240"/>
      <c r="V241" s="240"/>
      <c r="W241" s="240"/>
      <c r="X241" s="240"/>
      <c r="Y241" s="240"/>
      <c r="Z241" s="240"/>
      <c r="AA241" s="240"/>
    </row>
    <row r="242" spans="2:31" s="204" customFormat="1" x14ac:dyDescent="0.25">
      <c r="B242" s="246" t="s">
        <v>542</v>
      </c>
      <c r="C242" s="292" t="s">
        <v>543</v>
      </c>
      <c r="D242" s="247" t="s">
        <v>3204</v>
      </c>
      <c r="E242" s="247"/>
      <c r="F242" s="247"/>
      <c r="G242" s="247"/>
      <c r="H242" s="248"/>
      <c r="I242" s="247"/>
      <c r="J242" s="247"/>
      <c r="K242" s="249"/>
      <c r="L242" s="276" t="s">
        <v>545</v>
      </c>
      <c r="M242" s="251" t="s">
        <v>2962</v>
      </c>
      <c r="N242" s="252">
        <f>SUM(N245:N248)</f>
        <v>0</v>
      </c>
      <c r="O242" s="252">
        <f>SUM(O245:O248)</f>
        <v>0</v>
      </c>
      <c r="P242" s="259">
        <f>+O242-N242</f>
        <v>0</v>
      </c>
      <c r="Q242" s="252">
        <f>SUM(Q245:Q248)</f>
        <v>0</v>
      </c>
      <c r="R242" s="252">
        <f>SUM(R245:R248)</f>
        <v>0</v>
      </c>
      <c r="S242" s="252">
        <f>SUM(S245:S248)</f>
        <v>0</v>
      </c>
      <c r="T242" s="211"/>
      <c r="U242" s="211"/>
      <c r="V242" s="211"/>
      <c r="W242" s="252">
        <f>SUM(W245:W248)</f>
        <v>0</v>
      </c>
      <c r="X242" s="252">
        <f>SUM(X245:X248)</f>
        <v>0</v>
      </c>
      <c r="Y242" s="252">
        <f>SUM(Y245:Y248)</f>
        <v>0</v>
      </c>
      <c r="Z242" s="252">
        <f>SUM(Z245:Z248)</f>
        <v>0</v>
      </c>
      <c r="AA242" s="240"/>
    </row>
    <row r="243" spans="2:31" s="204" customFormat="1" x14ac:dyDescent="0.25">
      <c r="B243" s="293"/>
      <c r="C243" s="293"/>
      <c r="D243" s="230"/>
      <c r="E243" s="230"/>
      <c r="F243" s="230"/>
      <c r="G243" s="230"/>
      <c r="H243" s="231"/>
      <c r="I243" s="230"/>
      <c r="J243" s="230"/>
      <c r="K243" s="230"/>
      <c r="L243" s="277"/>
      <c r="M243" s="211"/>
      <c r="N243" s="254"/>
      <c r="O243" s="211"/>
      <c r="P243" s="211"/>
      <c r="Q243" s="211"/>
      <c r="R243" s="211"/>
      <c r="S243" s="211"/>
      <c r="T243" s="211"/>
      <c r="U243" s="211"/>
      <c r="V243" s="211"/>
      <c r="W243" s="240"/>
      <c r="X243" s="240"/>
      <c r="Y243" s="240"/>
      <c r="Z243" s="240"/>
      <c r="AA243" s="240"/>
    </row>
    <row r="244" spans="2:31" s="204" customFormat="1" ht="63.75" x14ac:dyDescent="0.25">
      <c r="B244" s="294" t="s">
        <v>2968</v>
      </c>
      <c r="C244" s="294" t="s">
        <v>2969</v>
      </c>
      <c r="D244" s="206" t="s">
        <v>72</v>
      </c>
      <c r="E244" s="206"/>
      <c r="F244" s="206"/>
      <c r="G244" s="207"/>
      <c r="H244" s="207"/>
      <c r="I244" s="207"/>
      <c r="J244" s="207" t="s">
        <v>2957</v>
      </c>
      <c r="K244" s="206" t="s">
        <v>82</v>
      </c>
      <c r="L244" s="261" t="s">
        <v>2970</v>
      </c>
      <c r="M244" s="260"/>
      <c r="N244" s="256" t="str">
        <f>N$15</f>
        <v>Valore netto al 31/12/2019</v>
      </c>
      <c r="O244" s="256" t="str">
        <f>O$15</f>
        <v>Valore netto al 31/12/2020</v>
      </c>
      <c r="P244" s="256" t="str">
        <f>P$15</f>
        <v>Variazione</v>
      </c>
      <c r="Q244" s="262" t="s">
        <v>2971</v>
      </c>
      <c r="R244" s="262" t="str">
        <f>"Fondo ammortamento 31/12/"&amp;Info!$B$3-1</f>
        <v>Fondo ammortamento 31/12/2019</v>
      </c>
      <c r="S244" s="262" t="s">
        <v>2972</v>
      </c>
      <c r="W244" s="262" t="s">
        <v>2975</v>
      </c>
      <c r="X244" s="262" t="s">
        <v>2976</v>
      </c>
      <c r="Y244" s="262" t="s">
        <v>2989</v>
      </c>
      <c r="Z244" s="262" t="s">
        <v>2990</v>
      </c>
      <c r="AA244" s="240"/>
    </row>
    <row r="245" spans="2:31" s="204" customFormat="1" ht="25.5" x14ac:dyDescent="0.25">
      <c r="B245" s="246" t="s">
        <v>546</v>
      </c>
      <c r="C245" s="273" t="s">
        <v>547</v>
      </c>
      <c r="D245" s="264" t="s">
        <v>3205</v>
      </c>
      <c r="E245" s="264"/>
      <c r="F245" s="264"/>
      <c r="G245" s="265"/>
      <c r="H245" s="266"/>
      <c r="I245" s="281"/>
      <c r="J245" s="281"/>
      <c r="K245" s="281"/>
      <c r="L245" s="295" t="s">
        <v>3206</v>
      </c>
      <c r="M245" s="284" t="s">
        <v>2962</v>
      </c>
      <c r="N245" s="269">
        <f>+R245</f>
        <v>0</v>
      </c>
      <c r="O245" s="270">
        <f>+R245+S245+X245-ABS(Y245)+ABS(Z245)+W245+Q245</f>
        <v>0</v>
      </c>
      <c r="P245" s="271">
        <f>+O245-N245</f>
        <v>0</v>
      </c>
      <c r="Q245" s="520"/>
      <c r="R245" s="354">
        <f>IF(ISERROR(VLOOKUP("RIC"&amp;$C245,ESTR_PREC_SP!$A$2:$G$2000,4,FALSE))=TRUE,0,VLOOKUP("RIC"&amp;$C245,ESTR_PREC_SP!$A$2:$G$2000,4,FALSE))</f>
        <v>0</v>
      </c>
      <c r="S245" s="521"/>
      <c r="V245" s="211"/>
      <c r="W245" s="520"/>
      <c r="X245" s="520"/>
      <c r="Y245" s="520"/>
      <c r="Z245" s="520"/>
      <c r="AA245" s="240"/>
    </row>
    <row r="246" spans="2:31" s="204" customFormat="1" x14ac:dyDescent="0.25">
      <c r="B246" s="246" t="s">
        <v>549</v>
      </c>
      <c r="C246" s="273" t="s">
        <v>550</v>
      </c>
      <c r="D246" s="264" t="s">
        <v>3207</v>
      </c>
      <c r="E246" s="264"/>
      <c r="F246" s="264"/>
      <c r="G246" s="265"/>
      <c r="H246" s="266"/>
      <c r="I246" s="281"/>
      <c r="J246" s="281"/>
      <c r="K246" s="281"/>
      <c r="L246" s="295" t="s">
        <v>3208</v>
      </c>
      <c r="M246" s="284" t="s">
        <v>2962</v>
      </c>
      <c r="N246" s="269">
        <f>+R246</f>
        <v>0</v>
      </c>
      <c r="O246" s="270">
        <f>+R246+S246+X246-ABS(Y246)+ABS(Z246)+W246+Q246</f>
        <v>0</v>
      </c>
      <c r="P246" s="271">
        <f>+O246-N246</f>
        <v>0</v>
      </c>
      <c r="Q246" s="520"/>
      <c r="R246" s="354">
        <f>IF(ISERROR(VLOOKUP("RIC"&amp;$C246,ESTR_PREC_SP!$A$2:$G$2000,4,FALSE))=TRUE,0,VLOOKUP("RIC"&amp;$C246,ESTR_PREC_SP!$A$2:$G$2000,4,FALSE))</f>
        <v>0</v>
      </c>
      <c r="S246" s="521"/>
      <c r="V246" s="211"/>
      <c r="W246" s="520"/>
      <c r="X246" s="520"/>
      <c r="Y246" s="520"/>
      <c r="Z246" s="520"/>
      <c r="AA246" s="240"/>
    </row>
    <row r="247" spans="2:31" s="204" customFormat="1" ht="25.5" x14ac:dyDescent="0.25">
      <c r="B247" s="246" t="s">
        <v>552</v>
      </c>
      <c r="C247" s="273" t="s">
        <v>553</v>
      </c>
      <c r="D247" s="264" t="s">
        <v>3209</v>
      </c>
      <c r="E247" s="264"/>
      <c r="F247" s="274"/>
      <c r="G247" s="283"/>
      <c r="H247" s="266"/>
      <c r="I247" s="281"/>
      <c r="J247" s="281"/>
      <c r="K247" s="281"/>
      <c r="L247" s="295" t="s">
        <v>3210</v>
      </c>
      <c r="M247" s="284" t="s">
        <v>2962</v>
      </c>
      <c r="N247" s="269">
        <f>+R247</f>
        <v>0</v>
      </c>
      <c r="O247" s="270">
        <f>+R247+S247+X247-ABS(Y247)+ABS(Z247)+W247+Q247</f>
        <v>0</v>
      </c>
      <c r="P247" s="271">
        <f>+O247-N247</f>
        <v>0</v>
      </c>
      <c r="Q247" s="520"/>
      <c r="R247" s="354">
        <f>IF(ISERROR(VLOOKUP("RIC"&amp;$C247,ESTR_PREC_SP!$A$2:$G$2000,4,FALSE))=TRUE,0,VLOOKUP("RIC"&amp;$C247,ESTR_PREC_SP!$A$2:$G$2000,4,FALSE))</f>
        <v>0</v>
      </c>
      <c r="S247" s="521"/>
      <c r="V247" s="211"/>
      <c r="W247" s="520"/>
      <c r="X247" s="520"/>
      <c r="Y247" s="520"/>
      <c r="Z247" s="520"/>
      <c r="AA247" s="240"/>
    </row>
    <row r="248" spans="2:31" s="204" customFormat="1" x14ac:dyDescent="0.25">
      <c r="B248" s="246" t="s">
        <v>555</v>
      </c>
      <c r="C248" s="273" t="s">
        <v>556</v>
      </c>
      <c r="D248" s="264" t="s">
        <v>3211</v>
      </c>
      <c r="E248" s="264"/>
      <c r="F248" s="274"/>
      <c r="G248" s="283"/>
      <c r="H248" s="266"/>
      <c r="I248" s="281"/>
      <c r="J248" s="281"/>
      <c r="K248" s="281"/>
      <c r="L248" s="295" t="s">
        <v>3212</v>
      </c>
      <c r="M248" s="284" t="s">
        <v>2962</v>
      </c>
      <c r="N248" s="269">
        <f>+R248</f>
        <v>0</v>
      </c>
      <c r="O248" s="270">
        <f>+R248+S248+X248-ABS(Y248)+ABS(Z248)+W248+Q248</f>
        <v>0</v>
      </c>
      <c r="P248" s="271">
        <f>+O248-N248</f>
        <v>0</v>
      </c>
      <c r="Q248" s="520"/>
      <c r="R248" s="354">
        <f>IF(ISERROR(VLOOKUP("RIC"&amp;$C248,ESTR_PREC_SP!$A$2:$G$2000,4,FALSE))=TRUE,0,VLOOKUP("RIC"&amp;$C248,ESTR_PREC_SP!$A$2:$G$2000,4,FALSE))</f>
        <v>0</v>
      </c>
      <c r="S248" s="521"/>
      <c r="V248" s="211"/>
      <c r="W248" s="520"/>
      <c r="X248" s="520"/>
      <c r="Y248" s="520"/>
      <c r="Z248" s="520"/>
      <c r="AA248" s="240"/>
    </row>
    <row r="249" spans="2:31" s="204" customFormat="1" x14ac:dyDescent="0.25">
      <c r="B249" s="293"/>
      <c r="C249" s="293"/>
      <c r="D249" s="230"/>
      <c r="E249" s="230"/>
      <c r="F249" s="230"/>
      <c r="G249" s="230"/>
      <c r="H249" s="231"/>
      <c r="I249" s="230"/>
      <c r="J249" s="230"/>
      <c r="K249" s="230"/>
      <c r="L249" s="275"/>
      <c r="M249" s="216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</row>
    <row r="250" spans="2:31" s="204" customFormat="1" ht="25.5" x14ac:dyDescent="0.25">
      <c r="B250" s="293"/>
      <c r="C250" s="293"/>
      <c r="D250" s="230"/>
      <c r="E250" s="230"/>
      <c r="F250" s="230"/>
      <c r="G250" s="230"/>
      <c r="H250" s="231"/>
      <c r="I250" s="230"/>
      <c r="J250" s="230"/>
      <c r="K250" s="230"/>
      <c r="L250" s="255"/>
      <c r="M250" s="244"/>
      <c r="N250" s="256" t="str">
        <f>N$15</f>
        <v>Valore netto al 31/12/2019</v>
      </c>
      <c r="O250" s="256" t="str">
        <f>O$15</f>
        <v>Valore netto al 31/12/2020</v>
      </c>
      <c r="P250" s="256" t="str">
        <f>P$15</f>
        <v>Variazione</v>
      </c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</row>
    <row r="251" spans="2:31" s="204" customFormat="1" x14ac:dyDescent="0.25">
      <c r="B251" s="246" t="s">
        <v>558</v>
      </c>
      <c r="C251" s="292" t="s">
        <v>559</v>
      </c>
      <c r="D251" s="247" t="s">
        <v>3213</v>
      </c>
      <c r="E251" s="247"/>
      <c r="F251" s="247"/>
      <c r="G251" s="247"/>
      <c r="H251" s="248"/>
      <c r="I251" s="247"/>
      <c r="J251" s="247"/>
      <c r="K251" s="249"/>
      <c r="L251" s="257" t="s">
        <v>561</v>
      </c>
      <c r="M251" s="251" t="s">
        <v>2962</v>
      </c>
      <c r="N251" s="252">
        <f>+N253-N271</f>
        <v>0</v>
      </c>
      <c r="O251" s="252">
        <f>+O253-O271</f>
        <v>0</v>
      </c>
      <c r="P251" s="253">
        <f>+O251-N251</f>
        <v>0</v>
      </c>
      <c r="Q251" s="285"/>
      <c r="R251" s="285"/>
      <c r="S251" s="252">
        <f>+S253-S271</f>
        <v>0</v>
      </c>
      <c r="T251" s="285"/>
      <c r="U251" s="285"/>
      <c r="V251" s="285"/>
      <c r="W251" s="211"/>
      <c r="X251" s="252">
        <f>+X253-X271</f>
        <v>0</v>
      </c>
      <c r="Y251" s="285"/>
      <c r="Z251" s="285"/>
      <c r="AA251" s="285"/>
    </row>
    <row r="252" spans="2:31" s="204" customFormat="1" x14ac:dyDescent="0.25">
      <c r="B252" s="293"/>
      <c r="C252" s="293"/>
      <c r="D252" s="230"/>
      <c r="E252" s="230"/>
      <c r="F252" s="230"/>
      <c r="G252" s="230"/>
      <c r="H252" s="231"/>
      <c r="I252" s="230"/>
      <c r="J252" s="230"/>
      <c r="K252" s="230"/>
      <c r="L252" s="275"/>
      <c r="M252" s="216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</row>
    <row r="253" spans="2:31" s="204" customFormat="1" x14ac:dyDescent="0.25">
      <c r="B253" s="246" t="s">
        <v>562</v>
      </c>
      <c r="C253" s="292" t="s">
        <v>563</v>
      </c>
      <c r="D253" s="247" t="s">
        <v>3214</v>
      </c>
      <c r="E253" s="247"/>
      <c r="F253" s="247"/>
      <c r="G253" s="247"/>
      <c r="H253" s="248"/>
      <c r="I253" s="247"/>
      <c r="J253" s="247"/>
      <c r="K253" s="249"/>
      <c r="L253" s="276" t="s">
        <v>566</v>
      </c>
      <c r="M253" s="251" t="s">
        <v>2962</v>
      </c>
      <c r="N253" s="252">
        <f>SUM(N256:N269)</f>
        <v>0</v>
      </c>
      <c r="O253" s="252">
        <f>SUM(O256:O269)</f>
        <v>0</v>
      </c>
      <c r="P253" s="259">
        <f>+O253-N253</f>
        <v>0</v>
      </c>
      <c r="Q253" s="252">
        <f>SUM(Q256:Q269)</f>
        <v>0</v>
      </c>
      <c r="R253" s="252">
        <f>SUM(R256:R269)</f>
        <v>0</v>
      </c>
      <c r="S253" s="252">
        <f>SUM(S256:S269)</f>
        <v>0</v>
      </c>
      <c r="T253" s="252">
        <f>SUM(T256:T269)</f>
        <v>0</v>
      </c>
      <c r="U253" s="252">
        <f>SUM(U256:U269)</f>
        <v>0</v>
      </c>
      <c r="W253" s="252">
        <f t="shared" ref="W253:AE253" si="26">SUM(W256:W269)</f>
        <v>0</v>
      </c>
      <c r="X253" s="252">
        <f t="shared" si="26"/>
        <v>0</v>
      </c>
      <c r="Y253" s="252">
        <f t="shared" si="26"/>
        <v>0</v>
      </c>
      <c r="Z253" s="252">
        <f t="shared" si="26"/>
        <v>0</v>
      </c>
      <c r="AA253" s="252">
        <f t="shared" si="26"/>
        <v>0</v>
      </c>
      <c r="AB253" s="252">
        <f t="shared" si="26"/>
        <v>0</v>
      </c>
      <c r="AC253" s="252">
        <f t="shared" si="26"/>
        <v>0</v>
      </c>
      <c r="AD253" s="252">
        <f t="shared" si="26"/>
        <v>0</v>
      </c>
      <c r="AE253" s="252">
        <f t="shared" si="26"/>
        <v>0</v>
      </c>
    </row>
    <row r="254" spans="2:31" s="204" customFormat="1" x14ac:dyDescent="0.25">
      <c r="B254" s="293"/>
      <c r="C254" s="293"/>
      <c r="D254" s="230"/>
      <c r="E254" s="230"/>
      <c r="F254" s="230"/>
      <c r="G254" s="230"/>
      <c r="H254" s="231"/>
      <c r="I254" s="230"/>
      <c r="J254" s="230"/>
      <c r="K254" s="230"/>
      <c r="L254" s="232"/>
      <c r="M254" s="211"/>
      <c r="N254" s="254"/>
      <c r="O254" s="211"/>
      <c r="P254" s="211"/>
      <c r="Q254" s="211"/>
      <c r="R254" s="211"/>
      <c r="T254" s="211"/>
      <c r="U254" s="211"/>
      <c r="V254" s="211"/>
      <c r="W254" s="211"/>
      <c r="X254" s="211"/>
      <c r="Y254" s="211"/>
      <c r="Z254" s="211"/>
      <c r="AA254" s="211"/>
    </row>
    <row r="255" spans="2:31" s="204" customFormat="1" ht="63.75" x14ac:dyDescent="0.25">
      <c r="B255" s="294" t="s">
        <v>2968</v>
      </c>
      <c r="C255" s="294" t="s">
        <v>2969</v>
      </c>
      <c r="D255" s="206" t="s">
        <v>72</v>
      </c>
      <c r="E255" s="206"/>
      <c r="F255" s="206"/>
      <c r="G255" s="207"/>
      <c r="H255" s="207"/>
      <c r="I255" s="207"/>
      <c r="J255" s="207" t="s">
        <v>2957</v>
      </c>
      <c r="K255" s="206" t="s">
        <v>82</v>
      </c>
      <c r="L255" s="261" t="s">
        <v>2970</v>
      </c>
      <c r="M255" s="260"/>
      <c r="N255" s="256" t="str">
        <f>N$15</f>
        <v>Valore netto al 31/12/2019</v>
      </c>
      <c r="O255" s="256" t="str">
        <f>O$15</f>
        <v>Valore netto al 31/12/2020</v>
      </c>
      <c r="P255" s="256" t="str">
        <f>P$15</f>
        <v>Variazione</v>
      </c>
      <c r="Q255" s="262" t="s">
        <v>2971</v>
      </c>
      <c r="R255" s="262" t="str">
        <f>"Costo storico al 31/12/"&amp;Info!$B$3-1</f>
        <v>Costo storico al 31/12/2019</v>
      </c>
      <c r="S255" s="262" t="s">
        <v>2972</v>
      </c>
      <c r="T255" s="262" t="s">
        <v>2973</v>
      </c>
      <c r="U255" s="262" t="s">
        <v>2974</v>
      </c>
      <c r="W255" s="262" t="s">
        <v>2975</v>
      </c>
      <c r="X255" s="262" t="s">
        <v>2976</v>
      </c>
      <c r="Y255" s="262" t="s">
        <v>2977</v>
      </c>
      <c r="Z255" s="262" t="s">
        <v>2978</v>
      </c>
      <c r="AA255" s="262" t="s">
        <v>2979</v>
      </c>
      <c r="AB255" s="262" t="s">
        <v>2980</v>
      </c>
      <c r="AC255" s="262" t="s">
        <v>2981</v>
      </c>
      <c r="AD255" s="262" t="s">
        <v>2982</v>
      </c>
      <c r="AE255" s="262" t="s">
        <v>2983</v>
      </c>
    </row>
    <row r="256" spans="2:31" s="204" customFormat="1" x14ac:dyDescent="0.25">
      <c r="B256" s="246" t="s">
        <v>567</v>
      </c>
      <c r="C256" s="273" t="s">
        <v>568</v>
      </c>
      <c r="D256" s="264" t="s">
        <v>3215</v>
      </c>
      <c r="E256" s="264"/>
      <c r="F256" s="264"/>
      <c r="G256" s="265"/>
      <c r="H256" s="266"/>
      <c r="I256" s="281"/>
      <c r="J256" s="281"/>
      <c r="K256" s="281"/>
      <c r="L256" s="282" t="s">
        <v>3216</v>
      </c>
      <c r="M256" s="263" t="s">
        <v>2962</v>
      </c>
      <c r="N256" s="269">
        <f t="shared" ref="N256:N269" si="27">+R256+T256-U256</f>
        <v>0</v>
      </c>
      <c r="O256" s="270">
        <f t="shared" ref="O256:O269" si="28">+N256+S256+X256+ABS(Y256)-ABS(AA256)+ABS(Z256)+ABS(AB256)+ABS(AD256)-ABS(AE256)+AC256+W256+Q256</f>
        <v>0</v>
      </c>
      <c r="P256" s="271">
        <f t="shared" ref="P256:P269" si="29">+O256-N256</f>
        <v>0</v>
      </c>
      <c r="Q256" s="520"/>
      <c r="R256" s="354">
        <f>IF(ISERROR(VLOOKUP("RIC"&amp;$C256,ESTR_PREC_SP!$A$2:$G$2000,4,FALSE))=TRUE,0,VLOOKUP("RIC"&amp;$C256,ESTR_PREC_SP!$A$2:$G$2000,4,FALSE))</f>
        <v>0</v>
      </c>
      <c r="S256" s="521"/>
      <c r="T256" s="521"/>
      <c r="U256" s="521"/>
      <c r="W256" s="520"/>
      <c r="X256" s="520"/>
      <c r="Y256" s="520"/>
      <c r="Z256" s="520"/>
      <c r="AA256" s="520"/>
      <c r="AB256" s="520"/>
      <c r="AC256" s="520"/>
      <c r="AD256" s="520"/>
      <c r="AE256" s="520"/>
    </row>
    <row r="257" spans="2:31" s="204" customFormat="1" x14ac:dyDescent="0.25">
      <c r="B257" s="246" t="s">
        <v>570</v>
      </c>
      <c r="C257" s="273" t="s">
        <v>571</v>
      </c>
      <c r="D257" s="264" t="s">
        <v>3217</v>
      </c>
      <c r="E257" s="264"/>
      <c r="F257" s="264"/>
      <c r="G257" s="265"/>
      <c r="H257" s="266"/>
      <c r="I257" s="281"/>
      <c r="J257" s="281"/>
      <c r="K257" s="281"/>
      <c r="L257" s="282" t="s">
        <v>3218</v>
      </c>
      <c r="M257" s="263" t="s">
        <v>2962</v>
      </c>
      <c r="N257" s="269">
        <f t="shared" si="27"/>
        <v>0</v>
      </c>
      <c r="O257" s="270">
        <f t="shared" si="28"/>
        <v>0</v>
      </c>
      <c r="P257" s="271">
        <f t="shared" si="29"/>
        <v>0</v>
      </c>
      <c r="Q257" s="520"/>
      <c r="R257" s="354">
        <f>IF(ISERROR(VLOOKUP("RIC"&amp;$C257,ESTR_PREC_SP!$A$2:$G$2000,4,FALSE))=TRUE,0,VLOOKUP("RIC"&amp;$C257,ESTR_PREC_SP!$A$2:$G$2000,4,FALSE))</f>
        <v>0</v>
      </c>
      <c r="S257" s="521"/>
      <c r="T257" s="521"/>
      <c r="U257" s="521"/>
      <c r="W257" s="520"/>
      <c r="X257" s="520"/>
      <c r="Y257" s="520"/>
      <c r="Z257" s="520"/>
      <c r="AA257" s="520"/>
      <c r="AB257" s="520"/>
      <c r="AC257" s="520"/>
      <c r="AD257" s="520"/>
      <c r="AE257" s="520"/>
    </row>
    <row r="258" spans="2:31" s="204" customFormat="1" x14ac:dyDescent="0.25">
      <c r="B258" s="246" t="s">
        <v>573</v>
      </c>
      <c r="C258" s="273" t="s">
        <v>574</v>
      </c>
      <c r="D258" s="264" t="s">
        <v>3219</v>
      </c>
      <c r="E258" s="264"/>
      <c r="F258" s="274"/>
      <c r="G258" s="283"/>
      <c r="H258" s="266"/>
      <c r="I258" s="281"/>
      <c r="J258" s="281"/>
      <c r="K258" s="281"/>
      <c r="L258" s="295" t="s">
        <v>3220</v>
      </c>
      <c r="M258" s="284" t="s">
        <v>2962</v>
      </c>
      <c r="N258" s="269">
        <f t="shared" si="27"/>
        <v>0</v>
      </c>
      <c r="O258" s="270">
        <f t="shared" si="28"/>
        <v>0</v>
      </c>
      <c r="P258" s="271">
        <f t="shared" si="29"/>
        <v>0</v>
      </c>
      <c r="Q258" s="520"/>
      <c r="R258" s="354">
        <f>IF(ISERROR(VLOOKUP("RIC"&amp;$C258,ESTR_PREC_SP!$A$2:$G$2000,4,FALSE))=TRUE,0,VLOOKUP("RIC"&amp;$C258,ESTR_PREC_SP!$A$2:$G$2000,4,FALSE))</f>
        <v>0</v>
      </c>
      <c r="S258" s="521"/>
      <c r="T258" s="521"/>
      <c r="U258" s="521"/>
      <c r="W258" s="520"/>
      <c r="X258" s="520"/>
      <c r="Y258" s="520"/>
      <c r="Z258" s="520"/>
      <c r="AA258" s="520"/>
      <c r="AB258" s="520"/>
      <c r="AC258" s="520"/>
      <c r="AD258" s="520"/>
      <c r="AE258" s="520"/>
    </row>
    <row r="259" spans="2:31" s="204" customFormat="1" x14ac:dyDescent="0.25">
      <c r="B259" s="246" t="s">
        <v>576</v>
      </c>
      <c r="C259" s="273" t="s">
        <v>577</v>
      </c>
      <c r="D259" s="264" t="s">
        <v>3221</v>
      </c>
      <c r="E259" s="264"/>
      <c r="F259" s="274"/>
      <c r="G259" s="283"/>
      <c r="H259" s="266"/>
      <c r="I259" s="281"/>
      <c r="J259" s="281"/>
      <c r="K259" s="281"/>
      <c r="L259" s="295" t="s">
        <v>3222</v>
      </c>
      <c r="M259" s="284" t="s">
        <v>2962</v>
      </c>
      <c r="N259" s="269">
        <f t="shared" si="27"/>
        <v>0</v>
      </c>
      <c r="O259" s="270">
        <f t="shared" si="28"/>
        <v>0</v>
      </c>
      <c r="P259" s="271">
        <f t="shared" si="29"/>
        <v>0</v>
      </c>
      <c r="Q259" s="520"/>
      <c r="R259" s="354">
        <f>IF(ISERROR(VLOOKUP("RIC"&amp;$C259,ESTR_PREC_SP!$A$2:$G$2000,4,FALSE))=TRUE,0,VLOOKUP("RIC"&amp;$C259,ESTR_PREC_SP!$A$2:$G$2000,4,FALSE))</f>
        <v>0</v>
      </c>
      <c r="S259" s="521"/>
      <c r="T259" s="521"/>
      <c r="U259" s="521"/>
      <c r="W259" s="520"/>
      <c r="X259" s="520"/>
      <c r="Y259" s="520"/>
      <c r="Z259" s="520"/>
      <c r="AA259" s="520"/>
      <c r="AB259" s="520"/>
      <c r="AC259" s="520"/>
      <c r="AD259" s="520"/>
      <c r="AE259" s="520"/>
    </row>
    <row r="260" spans="2:31" s="204" customFormat="1" x14ac:dyDescent="0.25">
      <c r="B260" s="246" t="s">
        <v>579</v>
      </c>
      <c r="C260" s="273" t="s">
        <v>580</v>
      </c>
      <c r="D260" s="264" t="s">
        <v>3223</v>
      </c>
      <c r="E260" s="264"/>
      <c r="F260" s="274"/>
      <c r="G260" s="283"/>
      <c r="H260" s="266"/>
      <c r="I260" s="281"/>
      <c r="J260" s="281"/>
      <c r="K260" s="281"/>
      <c r="L260" s="295" t="s">
        <v>3224</v>
      </c>
      <c r="M260" s="284" t="s">
        <v>2962</v>
      </c>
      <c r="N260" s="269">
        <f t="shared" si="27"/>
        <v>0</v>
      </c>
      <c r="O260" s="270">
        <f t="shared" si="28"/>
        <v>0</v>
      </c>
      <c r="P260" s="271">
        <f t="shared" si="29"/>
        <v>0</v>
      </c>
      <c r="Q260" s="520"/>
      <c r="R260" s="354">
        <f>IF(ISERROR(VLOOKUP("RIC"&amp;$C260,ESTR_PREC_SP!$A$2:$G$2000,4,FALSE))=TRUE,0,VLOOKUP("RIC"&amp;$C260,ESTR_PREC_SP!$A$2:$G$2000,4,FALSE))</f>
        <v>0</v>
      </c>
      <c r="S260" s="521"/>
      <c r="T260" s="521"/>
      <c r="U260" s="521"/>
      <c r="W260" s="520"/>
      <c r="X260" s="520"/>
      <c r="Y260" s="520"/>
      <c r="Z260" s="520"/>
      <c r="AA260" s="520"/>
      <c r="AB260" s="520"/>
      <c r="AC260" s="520"/>
      <c r="AD260" s="520"/>
      <c r="AE260" s="520"/>
    </row>
    <row r="261" spans="2:31" s="204" customFormat="1" x14ac:dyDescent="0.25">
      <c r="B261" s="246" t="s">
        <v>582</v>
      </c>
      <c r="C261" s="273" t="s">
        <v>583</v>
      </c>
      <c r="D261" s="264" t="s">
        <v>3225</v>
      </c>
      <c r="E261" s="264"/>
      <c r="F261" s="274"/>
      <c r="G261" s="283"/>
      <c r="H261" s="266"/>
      <c r="I261" s="281"/>
      <c r="J261" s="281"/>
      <c r="K261" s="281"/>
      <c r="L261" s="295" t="s">
        <v>3226</v>
      </c>
      <c r="M261" s="284" t="s">
        <v>2962</v>
      </c>
      <c r="N261" s="269">
        <f t="shared" si="27"/>
        <v>0</v>
      </c>
      <c r="O261" s="270">
        <f t="shared" si="28"/>
        <v>0</v>
      </c>
      <c r="P261" s="271">
        <f t="shared" si="29"/>
        <v>0</v>
      </c>
      <c r="Q261" s="520"/>
      <c r="R261" s="354">
        <f>IF(ISERROR(VLOOKUP("RIC"&amp;$C261,ESTR_PREC_SP!$A$2:$G$2000,4,FALSE))=TRUE,0,VLOOKUP("RIC"&amp;$C261,ESTR_PREC_SP!$A$2:$G$2000,4,FALSE))</f>
        <v>0</v>
      </c>
      <c r="S261" s="521"/>
      <c r="T261" s="521"/>
      <c r="U261" s="521"/>
      <c r="W261" s="520"/>
      <c r="X261" s="520"/>
      <c r="Y261" s="520"/>
      <c r="Z261" s="520"/>
      <c r="AA261" s="520"/>
      <c r="AB261" s="520"/>
      <c r="AC261" s="520"/>
      <c r="AD261" s="520"/>
      <c r="AE261" s="520"/>
    </row>
    <row r="262" spans="2:31" s="204" customFormat="1" x14ac:dyDescent="0.25">
      <c r="B262" s="246" t="s">
        <v>585</v>
      </c>
      <c r="C262" s="273" t="s">
        <v>586</v>
      </c>
      <c r="D262" s="264" t="s">
        <v>3227</v>
      </c>
      <c r="E262" s="264"/>
      <c r="F262" s="274"/>
      <c r="G262" s="283"/>
      <c r="H262" s="266"/>
      <c r="I262" s="281"/>
      <c r="J262" s="281"/>
      <c r="K262" s="281"/>
      <c r="L262" s="295" t="s">
        <v>3228</v>
      </c>
      <c r="M262" s="284" t="s">
        <v>2962</v>
      </c>
      <c r="N262" s="269">
        <f t="shared" si="27"/>
        <v>0</v>
      </c>
      <c r="O262" s="270">
        <f t="shared" si="28"/>
        <v>0</v>
      </c>
      <c r="P262" s="271">
        <f t="shared" si="29"/>
        <v>0</v>
      </c>
      <c r="Q262" s="520"/>
      <c r="R262" s="354">
        <f>IF(ISERROR(VLOOKUP("RIC"&amp;$C262,ESTR_PREC_SP!$A$2:$G$2000,4,FALSE))=TRUE,0,VLOOKUP("RIC"&amp;$C262,ESTR_PREC_SP!$A$2:$G$2000,4,FALSE))</f>
        <v>0</v>
      </c>
      <c r="S262" s="521"/>
      <c r="T262" s="521"/>
      <c r="U262" s="521"/>
      <c r="W262" s="520"/>
      <c r="X262" s="520"/>
      <c r="Y262" s="520"/>
      <c r="Z262" s="520"/>
      <c r="AA262" s="520"/>
      <c r="AB262" s="520"/>
      <c r="AC262" s="520"/>
      <c r="AD262" s="520"/>
      <c r="AE262" s="520"/>
    </row>
    <row r="263" spans="2:31" s="204" customFormat="1" x14ac:dyDescent="0.25">
      <c r="B263" s="246" t="s">
        <v>588</v>
      </c>
      <c r="C263" s="273" t="s">
        <v>589</v>
      </c>
      <c r="D263" s="264" t="s">
        <v>3229</v>
      </c>
      <c r="E263" s="264"/>
      <c r="F263" s="274"/>
      <c r="G263" s="283"/>
      <c r="H263" s="266"/>
      <c r="I263" s="281"/>
      <c r="J263" s="281"/>
      <c r="K263" s="281"/>
      <c r="L263" s="295" t="s">
        <v>3230</v>
      </c>
      <c r="M263" s="284" t="s">
        <v>2962</v>
      </c>
      <c r="N263" s="269">
        <f t="shared" si="27"/>
        <v>0</v>
      </c>
      <c r="O263" s="270">
        <f t="shared" si="28"/>
        <v>0</v>
      </c>
      <c r="P263" s="271">
        <f t="shared" si="29"/>
        <v>0</v>
      </c>
      <c r="Q263" s="520"/>
      <c r="R263" s="354">
        <f>IF(ISERROR(VLOOKUP("RIC"&amp;$C263,ESTR_PREC_SP!$A$2:$G$2000,4,FALSE))=TRUE,0,VLOOKUP("RIC"&amp;$C263,ESTR_PREC_SP!$A$2:$G$2000,4,FALSE))</f>
        <v>0</v>
      </c>
      <c r="S263" s="521"/>
      <c r="T263" s="521"/>
      <c r="U263" s="521"/>
      <c r="W263" s="520"/>
      <c r="X263" s="520"/>
      <c r="Y263" s="520"/>
      <c r="Z263" s="520"/>
      <c r="AA263" s="520"/>
      <c r="AB263" s="520"/>
      <c r="AC263" s="520"/>
      <c r="AD263" s="520"/>
      <c r="AE263" s="520"/>
    </row>
    <row r="264" spans="2:31" s="204" customFormat="1" x14ac:dyDescent="0.25">
      <c r="B264" s="246" t="s">
        <v>591</v>
      </c>
      <c r="C264" s="273" t="s">
        <v>592</v>
      </c>
      <c r="D264" s="264" t="s">
        <v>3231</v>
      </c>
      <c r="E264" s="264"/>
      <c r="F264" s="274"/>
      <c r="G264" s="283"/>
      <c r="H264" s="266"/>
      <c r="I264" s="281"/>
      <c r="J264" s="281"/>
      <c r="K264" s="281"/>
      <c r="L264" s="295" t="s">
        <v>3232</v>
      </c>
      <c r="M264" s="284" t="s">
        <v>2962</v>
      </c>
      <c r="N264" s="269">
        <f t="shared" si="27"/>
        <v>0</v>
      </c>
      <c r="O264" s="270">
        <f t="shared" si="28"/>
        <v>0</v>
      </c>
      <c r="P264" s="271">
        <f t="shared" si="29"/>
        <v>0</v>
      </c>
      <c r="Q264" s="520"/>
      <c r="R264" s="354">
        <f>IF(ISERROR(VLOOKUP("RIC"&amp;$C264,ESTR_PREC_SP!$A$2:$G$2000,4,FALSE))=TRUE,0,VLOOKUP("RIC"&amp;$C264,ESTR_PREC_SP!$A$2:$G$2000,4,FALSE))</f>
        <v>0</v>
      </c>
      <c r="S264" s="521"/>
      <c r="T264" s="521"/>
      <c r="U264" s="521"/>
      <c r="W264" s="520"/>
      <c r="X264" s="520"/>
      <c r="Y264" s="520"/>
      <c r="Z264" s="520"/>
      <c r="AA264" s="520"/>
      <c r="AB264" s="520"/>
      <c r="AC264" s="520"/>
      <c r="AD264" s="520"/>
      <c r="AE264" s="520"/>
    </row>
    <row r="265" spans="2:31" s="204" customFormat="1" x14ac:dyDescent="0.25">
      <c r="B265" s="246" t="s">
        <v>594</v>
      </c>
      <c r="C265" s="273" t="s">
        <v>595</v>
      </c>
      <c r="D265" s="264" t="s">
        <v>3233</v>
      </c>
      <c r="E265" s="264"/>
      <c r="F265" s="274"/>
      <c r="G265" s="283"/>
      <c r="H265" s="266"/>
      <c r="I265" s="281"/>
      <c r="J265" s="281"/>
      <c r="K265" s="281"/>
      <c r="L265" s="295" t="s">
        <v>3234</v>
      </c>
      <c r="M265" s="284" t="s">
        <v>2962</v>
      </c>
      <c r="N265" s="269">
        <f t="shared" si="27"/>
        <v>0</v>
      </c>
      <c r="O265" s="270">
        <f t="shared" si="28"/>
        <v>0</v>
      </c>
      <c r="P265" s="271">
        <f t="shared" si="29"/>
        <v>0</v>
      </c>
      <c r="Q265" s="520"/>
      <c r="R265" s="354">
        <f>IF(ISERROR(VLOOKUP("RIC"&amp;$C265,ESTR_PREC_SP!$A$2:$G$2000,4,FALSE))=TRUE,0,VLOOKUP("RIC"&amp;$C265,ESTR_PREC_SP!$A$2:$G$2000,4,FALSE))</f>
        <v>0</v>
      </c>
      <c r="S265" s="521"/>
      <c r="T265" s="521"/>
      <c r="U265" s="521"/>
      <c r="W265" s="520"/>
      <c r="X265" s="520"/>
      <c r="Y265" s="520"/>
      <c r="Z265" s="520"/>
      <c r="AA265" s="520"/>
      <c r="AB265" s="520"/>
      <c r="AC265" s="520"/>
      <c r="AD265" s="520"/>
      <c r="AE265" s="520"/>
    </row>
    <row r="266" spans="2:31" s="204" customFormat="1" x14ac:dyDescent="0.25">
      <c r="B266" s="246" t="s">
        <v>597</v>
      </c>
      <c r="C266" s="273" t="s">
        <v>598</v>
      </c>
      <c r="D266" s="264" t="s">
        <v>3235</v>
      </c>
      <c r="E266" s="264"/>
      <c r="F266" s="274"/>
      <c r="G266" s="283"/>
      <c r="H266" s="266"/>
      <c r="I266" s="281"/>
      <c r="J266" s="281"/>
      <c r="K266" s="281"/>
      <c r="L266" s="295" t="s">
        <v>3236</v>
      </c>
      <c r="M266" s="284" t="s">
        <v>2962</v>
      </c>
      <c r="N266" s="269">
        <f t="shared" si="27"/>
        <v>0</v>
      </c>
      <c r="O266" s="270">
        <f t="shared" si="28"/>
        <v>0</v>
      </c>
      <c r="P266" s="271">
        <f t="shared" si="29"/>
        <v>0</v>
      </c>
      <c r="Q266" s="520"/>
      <c r="R266" s="354">
        <f>IF(ISERROR(VLOOKUP("RIC"&amp;$C266,ESTR_PREC_SP!$A$2:$G$2000,4,FALSE))=TRUE,0,VLOOKUP("RIC"&amp;$C266,ESTR_PREC_SP!$A$2:$G$2000,4,FALSE))</f>
        <v>0</v>
      </c>
      <c r="S266" s="521"/>
      <c r="T266" s="521"/>
      <c r="U266" s="521"/>
      <c r="W266" s="520"/>
      <c r="X266" s="520"/>
      <c r="Y266" s="520"/>
      <c r="Z266" s="520"/>
      <c r="AA266" s="520"/>
      <c r="AB266" s="520"/>
      <c r="AC266" s="520"/>
      <c r="AD266" s="520"/>
      <c r="AE266" s="520"/>
    </row>
    <row r="267" spans="2:31" s="204" customFormat="1" x14ac:dyDescent="0.25">
      <c r="B267" s="246" t="s">
        <v>600</v>
      </c>
      <c r="C267" s="273" t="s">
        <v>601</v>
      </c>
      <c r="D267" s="264" t="s">
        <v>3237</v>
      </c>
      <c r="E267" s="264"/>
      <c r="F267" s="274"/>
      <c r="G267" s="283"/>
      <c r="H267" s="266"/>
      <c r="I267" s="281"/>
      <c r="J267" s="281"/>
      <c r="K267" s="281"/>
      <c r="L267" s="295" t="s">
        <v>3238</v>
      </c>
      <c r="M267" s="284" t="s">
        <v>2962</v>
      </c>
      <c r="N267" s="269">
        <f t="shared" si="27"/>
        <v>0</v>
      </c>
      <c r="O267" s="270">
        <f t="shared" si="28"/>
        <v>0</v>
      </c>
      <c r="P267" s="271">
        <f t="shared" si="29"/>
        <v>0</v>
      </c>
      <c r="Q267" s="520"/>
      <c r="R267" s="354">
        <f>IF(ISERROR(VLOOKUP("RIC"&amp;$C267,ESTR_PREC_SP!$A$2:$G$2000,4,FALSE))=TRUE,0,VLOOKUP("RIC"&amp;$C267,ESTR_PREC_SP!$A$2:$G$2000,4,FALSE))</f>
        <v>0</v>
      </c>
      <c r="S267" s="521"/>
      <c r="T267" s="521"/>
      <c r="U267" s="521"/>
      <c r="W267" s="520"/>
      <c r="X267" s="520"/>
      <c r="Y267" s="520"/>
      <c r="Z267" s="520"/>
      <c r="AA267" s="520"/>
      <c r="AB267" s="520"/>
      <c r="AC267" s="520"/>
      <c r="AD267" s="520"/>
      <c r="AE267" s="520"/>
    </row>
    <row r="268" spans="2:31" s="204" customFormat="1" x14ac:dyDescent="0.25">
      <c r="B268" s="246" t="s">
        <v>603</v>
      </c>
      <c r="C268" s="273" t="s">
        <v>604</v>
      </c>
      <c r="D268" s="264" t="s">
        <v>3239</v>
      </c>
      <c r="E268" s="264"/>
      <c r="F268" s="274"/>
      <c r="G268" s="283"/>
      <c r="H268" s="266"/>
      <c r="I268" s="281"/>
      <c r="J268" s="281"/>
      <c r="K268" s="281"/>
      <c r="L268" s="295" t="s">
        <v>3240</v>
      </c>
      <c r="M268" s="284" t="s">
        <v>2962</v>
      </c>
      <c r="N268" s="269">
        <f t="shared" si="27"/>
        <v>0</v>
      </c>
      <c r="O268" s="270">
        <f t="shared" si="28"/>
        <v>0</v>
      </c>
      <c r="P268" s="271">
        <f t="shared" si="29"/>
        <v>0</v>
      </c>
      <c r="Q268" s="520"/>
      <c r="R268" s="354">
        <f>IF(ISERROR(VLOOKUP("RIC"&amp;$C268,ESTR_PREC_SP!$A$2:$G$2000,4,FALSE))=TRUE,0,VLOOKUP("RIC"&amp;$C268,ESTR_PREC_SP!$A$2:$G$2000,4,FALSE))</f>
        <v>0</v>
      </c>
      <c r="S268" s="521"/>
      <c r="T268" s="521"/>
      <c r="U268" s="521"/>
      <c r="W268" s="520"/>
      <c r="X268" s="520"/>
      <c r="Y268" s="520"/>
      <c r="Z268" s="520"/>
      <c r="AA268" s="520"/>
      <c r="AB268" s="520"/>
      <c r="AC268" s="520"/>
      <c r="AD268" s="520"/>
      <c r="AE268" s="520"/>
    </row>
    <row r="269" spans="2:31" s="204" customFormat="1" x14ac:dyDescent="0.25">
      <c r="B269" s="246" t="s">
        <v>606</v>
      </c>
      <c r="C269" s="273" t="s">
        <v>607</v>
      </c>
      <c r="D269" s="264" t="s">
        <v>3241</v>
      </c>
      <c r="E269" s="264"/>
      <c r="F269" s="274"/>
      <c r="G269" s="283"/>
      <c r="H269" s="266"/>
      <c r="I269" s="281"/>
      <c r="J269" s="281"/>
      <c r="K269" s="281"/>
      <c r="L269" s="295" t="s">
        <v>3242</v>
      </c>
      <c r="M269" s="284" t="s">
        <v>2962</v>
      </c>
      <c r="N269" s="269">
        <f t="shared" si="27"/>
        <v>0</v>
      </c>
      <c r="O269" s="270">
        <f t="shared" si="28"/>
        <v>0</v>
      </c>
      <c r="P269" s="271">
        <f t="shared" si="29"/>
        <v>0</v>
      </c>
      <c r="Q269" s="520"/>
      <c r="R269" s="354">
        <f>IF(ISERROR(VLOOKUP("RIC"&amp;$C269,ESTR_PREC_SP!$A$2:$G$2000,4,FALSE))=TRUE,0,VLOOKUP("RIC"&amp;$C269,ESTR_PREC_SP!$A$2:$G$2000,4,FALSE))</f>
        <v>0</v>
      </c>
      <c r="S269" s="521"/>
      <c r="T269" s="521"/>
      <c r="U269" s="521"/>
      <c r="W269" s="520"/>
      <c r="X269" s="520"/>
      <c r="Y269" s="520"/>
      <c r="Z269" s="520"/>
      <c r="AA269" s="520"/>
      <c r="AB269" s="520"/>
      <c r="AC269" s="520"/>
      <c r="AD269" s="520"/>
      <c r="AE269" s="520"/>
    </row>
    <row r="270" spans="2:31" s="204" customFormat="1" x14ac:dyDescent="0.25">
      <c r="B270" s="293"/>
      <c r="C270" s="293"/>
      <c r="D270" s="230"/>
      <c r="E270" s="230"/>
      <c r="F270" s="230"/>
      <c r="G270" s="230"/>
      <c r="H270" s="231"/>
      <c r="I270" s="230"/>
      <c r="J270" s="230"/>
      <c r="K270" s="230"/>
      <c r="L270" s="275"/>
      <c r="M270" s="216"/>
      <c r="N270" s="285"/>
      <c r="O270" s="211"/>
      <c r="P270" s="211"/>
      <c r="Q270" s="211"/>
      <c r="R270" s="211"/>
      <c r="S270" s="211"/>
      <c r="T270" s="285"/>
      <c r="U270" s="285"/>
      <c r="V270" s="285"/>
      <c r="W270" s="285"/>
      <c r="X270" s="285"/>
      <c r="Y270" s="285"/>
      <c r="Z270" s="285"/>
      <c r="AA270" s="285"/>
    </row>
    <row r="271" spans="2:31" s="204" customFormat="1" x14ac:dyDescent="0.25">
      <c r="B271" s="246" t="s">
        <v>609</v>
      </c>
      <c r="C271" s="292" t="s">
        <v>610</v>
      </c>
      <c r="D271" s="247" t="s">
        <v>3243</v>
      </c>
      <c r="E271" s="247"/>
      <c r="F271" s="247"/>
      <c r="G271" s="247"/>
      <c r="H271" s="248"/>
      <c r="I271" s="247"/>
      <c r="J271" s="247"/>
      <c r="K271" s="249"/>
      <c r="L271" s="276" t="s">
        <v>613</v>
      </c>
      <c r="M271" s="251" t="s">
        <v>2962</v>
      </c>
      <c r="N271" s="252">
        <f>SUM(N274:N287)</f>
        <v>0</v>
      </c>
      <c r="O271" s="252">
        <f>SUM(O274:O287)</f>
        <v>0</v>
      </c>
      <c r="P271" s="259">
        <f>+O271-N271</f>
        <v>0</v>
      </c>
      <c r="Q271" s="252">
        <f>SUM(Q274:Q287)</f>
        <v>0</v>
      </c>
      <c r="R271" s="252">
        <f>SUM(R274:R287)</f>
        <v>0</v>
      </c>
      <c r="S271" s="252">
        <f>SUM(S274:S287)</f>
        <v>0</v>
      </c>
      <c r="T271" s="211"/>
      <c r="U271" s="211"/>
      <c r="V271" s="211"/>
      <c r="W271" s="252">
        <f>SUM(W274:W287)</f>
        <v>0</v>
      </c>
      <c r="X271" s="252">
        <f>SUM(X274:X287)</f>
        <v>0</v>
      </c>
      <c r="Y271" s="252">
        <f>SUM(Y274:Y287)</f>
        <v>0</v>
      </c>
      <c r="Z271" s="252">
        <f>SUM(Z274:Z287)</f>
        <v>0</v>
      </c>
      <c r="AA271" s="285"/>
    </row>
    <row r="272" spans="2:31" s="204" customFormat="1" x14ac:dyDescent="0.25">
      <c r="B272" s="293"/>
      <c r="C272" s="293"/>
      <c r="D272" s="230"/>
      <c r="E272" s="230"/>
      <c r="F272" s="230"/>
      <c r="G272" s="230"/>
      <c r="H272" s="231"/>
      <c r="I272" s="230"/>
      <c r="J272" s="230"/>
      <c r="K272" s="230"/>
      <c r="L272" s="232"/>
      <c r="M272" s="211"/>
      <c r="N272" s="254"/>
      <c r="O272" s="211"/>
      <c r="P272" s="211"/>
      <c r="Q272" s="211"/>
      <c r="R272" s="211"/>
      <c r="S272" s="211"/>
      <c r="T272" s="211"/>
      <c r="U272" s="211"/>
      <c r="V272" s="211"/>
      <c r="W272" s="285"/>
      <c r="X272" s="285"/>
      <c r="Y272" s="285"/>
      <c r="Z272" s="285"/>
      <c r="AA272" s="285"/>
    </row>
    <row r="273" spans="2:27" s="204" customFormat="1" ht="63.75" x14ac:dyDescent="0.25">
      <c r="B273" s="294" t="s">
        <v>2968</v>
      </c>
      <c r="C273" s="294" t="s">
        <v>2969</v>
      </c>
      <c r="D273" s="206" t="s">
        <v>72</v>
      </c>
      <c r="E273" s="206"/>
      <c r="F273" s="206"/>
      <c r="G273" s="207"/>
      <c r="H273" s="207"/>
      <c r="I273" s="207"/>
      <c r="J273" s="207" t="s">
        <v>2957</v>
      </c>
      <c r="K273" s="206" t="s">
        <v>82</v>
      </c>
      <c r="L273" s="261" t="s">
        <v>2970</v>
      </c>
      <c r="M273" s="260"/>
      <c r="N273" s="256" t="str">
        <f>N$15</f>
        <v>Valore netto al 31/12/2019</v>
      </c>
      <c r="O273" s="256" t="str">
        <f>O$15</f>
        <v>Valore netto al 31/12/2020</v>
      </c>
      <c r="P273" s="256" t="str">
        <f>P$15</f>
        <v>Variazione</v>
      </c>
      <c r="Q273" s="262" t="s">
        <v>2971</v>
      </c>
      <c r="R273" s="262" t="str">
        <f>"Fondo ammortamento 31/12/"&amp;Info!$B$3-1</f>
        <v>Fondo ammortamento 31/12/2019</v>
      </c>
      <c r="S273" s="262" t="s">
        <v>2972</v>
      </c>
      <c r="W273" s="262" t="s">
        <v>2975</v>
      </c>
      <c r="X273" s="262" t="s">
        <v>2976</v>
      </c>
      <c r="Y273" s="262" t="s">
        <v>2989</v>
      </c>
      <c r="Z273" s="262" t="s">
        <v>2990</v>
      </c>
      <c r="AA273" s="285"/>
    </row>
    <row r="274" spans="2:27" s="204" customFormat="1" x14ac:dyDescent="0.25">
      <c r="B274" s="246" t="s">
        <v>614</v>
      </c>
      <c r="C274" s="273" t="s">
        <v>615</v>
      </c>
      <c r="D274" s="264" t="s">
        <v>3244</v>
      </c>
      <c r="E274" s="264"/>
      <c r="F274" s="264"/>
      <c r="G274" s="265"/>
      <c r="H274" s="266"/>
      <c r="I274" s="281"/>
      <c r="J274" s="281"/>
      <c r="K274" s="281"/>
      <c r="L274" s="282" t="s">
        <v>3245</v>
      </c>
      <c r="M274" s="263" t="s">
        <v>2962</v>
      </c>
      <c r="N274" s="269">
        <f t="shared" ref="N274:N287" si="30">+R274</f>
        <v>0</v>
      </c>
      <c r="O274" s="270">
        <f t="shared" ref="O274:O287" si="31">+R274+S274+X274-ABS(Y274)+ABS(Z274)+W274+Q274</f>
        <v>0</v>
      </c>
      <c r="P274" s="271">
        <f t="shared" ref="P274:P287" si="32">+O274-N274</f>
        <v>0</v>
      </c>
      <c r="Q274" s="520"/>
      <c r="R274" s="354">
        <f>IF(ISERROR(VLOOKUP("RIC"&amp;$C274,ESTR_PREC_SP!$A$2:$G$2000,4,FALSE))=TRUE,0,VLOOKUP("RIC"&amp;$C274,ESTR_PREC_SP!$A$2:$G$2000,4,FALSE))</f>
        <v>0</v>
      </c>
      <c r="S274" s="521"/>
      <c r="V274" s="211"/>
      <c r="W274" s="520"/>
      <c r="X274" s="520"/>
      <c r="Y274" s="520"/>
      <c r="Z274" s="520"/>
      <c r="AA274" s="285"/>
    </row>
    <row r="275" spans="2:27" s="204" customFormat="1" x14ac:dyDescent="0.25">
      <c r="B275" s="246" t="s">
        <v>617</v>
      </c>
      <c r="C275" s="273" t="s">
        <v>618</v>
      </c>
      <c r="D275" s="264" t="s">
        <v>3246</v>
      </c>
      <c r="E275" s="264"/>
      <c r="F275" s="264"/>
      <c r="G275" s="265"/>
      <c r="H275" s="266"/>
      <c r="I275" s="281"/>
      <c r="J275" s="281"/>
      <c r="K275" s="281"/>
      <c r="L275" s="282" t="s">
        <v>3247</v>
      </c>
      <c r="M275" s="263" t="s">
        <v>2962</v>
      </c>
      <c r="N275" s="269">
        <f t="shared" si="30"/>
        <v>0</v>
      </c>
      <c r="O275" s="270">
        <f t="shared" si="31"/>
        <v>0</v>
      </c>
      <c r="P275" s="271">
        <f t="shared" si="32"/>
        <v>0</v>
      </c>
      <c r="Q275" s="520"/>
      <c r="R275" s="354">
        <f>IF(ISERROR(VLOOKUP("RIC"&amp;$C275,ESTR_PREC_SP!$A$2:$G$2000,4,FALSE))=TRUE,0,VLOOKUP("RIC"&amp;$C275,ESTR_PREC_SP!$A$2:$G$2000,4,FALSE))</f>
        <v>0</v>
      </c>
      <c r="S275" s="521"/>
      <c r="V275" s="211"/>
      <c r="W275" s="520"/>
      <c r="X275" s="520"/>
      <c r="Y275" s="520"/>
      <c r="Z275" s="520"/>
      <c r="AA275" s="285"/>
    </row>
    <row r="276" spans="2:27" s="204" customFormat="1" x14ac:dyDescent="0.25">
      <c r="B276" s="246" t="s">
        <v>620</v>
      </c>
      <c r="C276" s="273" t="s">
        <v>621</v>
      </c>
      <c r="D276" s="264" t="s">
        <v>3248</v>
      </c>
      <c r="E276" s="264"/>
      <c r="F276" s="274"/>
      <c r="G276" s="283"/>
      <c r="H276" s="266"/>
      <c r="I276" s="281"/>
      <c r="J276" s="281"/>
      <c r="K276" s="281"/>
      <c r="L276" s="295" t="s">
        <v>3249</v>
      </c>
      <c r="M276" s="284" t="s">
        <v>2962</v>
      </c>
      <c r="N276" s="269">
        <f t="shared" si="30"/>
        <v>0</v>
      </c>
      <c r="O276" s="270">
        <f t="shared" si="31"/>
        <v>0</v>
      </c>
      <c r="P276" s="271">
        <f t="shared" si="32"/>
        <v>0</v>
      </c>
      <c r="Q276" s="520"/>
      <c r="R276" s="354">
        <f>IF(ISERROR(VLOOKUP("RIC"&amp;$C276,ESTR_PREC_SP!$A$2:$G$2000,4,FALSE))=TRUE,0,VLOOKUP("RIC"&amp;$C276,ESTR_PREC_SP!$A$2:$G$2000,4,FALSE))</f>
        <v>0</v>
      </c>
      <c r="S276" s="521"/>
      <c r="V276" s="211"/>
      <c r="W276" s="520"/>
      <c r="X276" s="520"/>
      <c r="Y276" s="520"/>
      <c r="Z276" s="520"/>
      <c r="AA276" s="285"/>
    </row>
    <row r="277" spans="2:27" s="204" customFormat="1" x14ac:dyDescent="0.25">
      <c r="B277" s="246" t="s">
        <v>623</v>
      </c>
      <c r="C277" s="273" t="s">
        <v>624</v>
      </c>
      <c r="D277" s="264" t="s">
        <v>3250</v>
      </c>
      <c r="E277" s="264"/>
      <c r="F277" s="274"/>
      <c r="G277" s="283"/>
      <c r="H277" s="266"/>
      <c r="I277" s="281"/>
      <c r="J277" s="281"/>
      <c r="K277" s="281"/>
      <c r="L277" s="295" t="s">
        <v>3251</v>
      </c>
      <c r="M277" s="284" t="s">
        <v>2962</v>
      </c>
      <c r="N277" s="269">
        <f t="shared" si="30"/>
        <v>0</v>
      </c>
      <c r="O277" s="270">
        <f t="shared" si="31"/>
        <v>0</v>
      </c>
      <c r="P277" s="271">
        <f t="shared" si="32"/>
        <v>0</v>
      </c>
      <c r="Q277" s="520"/>
      <c r="R277" s="354">
        <f>IF(ISERROR(VLOOKUP("RIC"&amp;$C277,ESTR_PREC_SP!$A$2:$G$2000,4,FALSE))=TRUE,0,VLOOKUP("RIC"&amp;$C277,ESTR_PREC_SP!$A$2:$G$2000,4,FALSE))</f>
        <v>0</v>
      </c>
      <c r="S277" s="521"/>
      <c r="V277" s="211"/>
      <c r="W277" s="520"/>
      <c r="X277" s="520"/>
      <c r="Y277" s="520"/>
      <c r="Z277" s="520"/>
      <c r="AA277" s="285"/>
    </row>
    <row r="278" spans="2:27" s="204" customFormat="1" x14ac:dyDescent="0.25">
      <c r="B278" s="246" t="s">
        <v>626</v>
      </c>
      <c r="C278" s="273" t="s">
        <v>627</v>
      </c>
      <c r="D278" s="264" t="s">
        <v>3252</v>
      </c>
      <c r="E278" s="264"/>
      <c r="F278" s="274"/>
      <c r="G278" s="283"/>
      <c r="H278" s="266"/>
      <c r="I278" s="281"/>
      <c r="J278" s="281"/>
      <c r="K278" s="281"/>
      <c r="L278" s="295" t="s">
        <v>3253</v>
      </c>
      <c r="M278" s="284" t="s">
        <v>2962</v>
      </c>
      <c r="N278" s="269">
        <f t="shared" si="30"/>
        <v>0</v>
      </c>
      <c r="O278" s="270">
        <f t="shared" si="31"/>
        <v>0</v>
      </c>
      <c r="P278" s="271">
        <f t="shared" si="32"/>
        <v>0</v>
      </c>
      <c r="Q278" s="520"/>
      <c r="R278" s="354">
        <f>IF(ISERROR(VLOOKUP("RIC"&amp;$C278,ESTR_PREC_SP!$A$2:$G$2000,4,FALSE))=TRUE,0,VLOOKUP("RIC"&amp;$C278,ESTR_PREC_SP!$A$2:$G$2000,4,FALSE))</f>
        <v>0</v>
      </c>
      <c r="S278" s="521"/>
      <c r="V278" s="211"/>
      <c r="W278" s="520"/>
      <c r="X278" s="520"/>
      <c r="Y278" s="520"/>
      <c r="Z278" s="520"/>
      <c r="AA278" s="285"/>
    </row>
    <row r="279" spans="2:27" s="204" customFormat="1" x14ac:dyDescent="0.25">
      <c r="B279" s="246" t="s">
        <v>629</v>
      </c>
      <c r="C279" s="273" t="s">
        <v>630</v>
      </c>
      <c r="D279" s="264" t="s">
        <v>3254</v>
      </c>
      <c r="E279" s="264"/>
      <c r="F279" s="274"/>
      <c r="G279" s="283"/>
      <c r="H279" s="266"/>
      <c r="I279" s="281"/>
      <c r="J279" s="281"/>
      <c r="K279" s="281"/>
      <c r="L279" s="295" t="s">
        <v>3255</v>
      </c>
      <c r="M279" s="284" t="s">
        <v>2962</v>
      </c>
      <c r="N279" s="269">
        <f t="shared" si="30"/>
        <v>0</v>
      </c>
      <c r="O279" s="270">
        <f t="shared" si="31"/>
        <v>0</v>
      </c>
      <c r="P279" s="271">
        <f t="shared" si="32"/>
        <v>0</v>
      </c>
      <c r="Q279" s="520"/>
      <c r="R279" s="354">
        <f>IF(ISERROR(VLOOKUP("RIC"&amp;$C279,ESTR_PREC_SP!$A$2:$G$2000,4,FALSE))=TRUE,0,VLOOKUP("RIC"&amp;$C279,ESTR_PREC_SP!$A$2:$G$2000,4,FALSE))</f>
        <v>0</v>
      </c>
      <c r="S279" s="521"/>
      <c r="V279" s="211"/>
      <c r="W279" s="520"/>
      <c r="X279" s="520"/>
      <c r="Y279" s="520"/>
      <c r="Z279" s="520"/>
      <c r="AA279" s="285"/>
    </row>
    <row r="280" spans="2:27" s="204" customFormat="1" x14ac:dyDescent="0.25">
      <c r="B280" s="246" t="s">
        <v>632</v>
      </c>
      <c r="C280" s="273" t="s">
        <v>633</v>
      </c>
      <c r="D280" s="264" t="s">
        <v>3256</v>
      </c>
      <c r="E280" s="264"/>
      <c r="F280" s="274"/>
      <c r="G280" s="283"/>
      <c r="H280" s="266"/>
      <c r="I280" s="281"/>
      <c r="J280" s="281"/>
      <c r="K280" s="281"/>
      <c r="L280" s="295" t="s">
        <v>3257</v>
      </c>
      <c r="M280" s="284" t="s">
        <v>2962</v>
      </c>
      <c r="N280" s="269">
        <f t="shared" si="30"/>
        <v>0</v>
      </c>
      <c r="O280" s="270">
        <f t="shared" si="31"/>
        <v>0</v>
      </c>
      <c r="P280" s="271">
        <f t="shared" si="32"/>
        <v>0</v>
      </c>
      <c r="Q280" s="520"/>
      <c r="R280" s="354">
        <f>IF(ISERROR(VLOOKUP("RIC"&amp;$C280,ESTR_PREC_SP!$A$2:$G$2000,4,FALSE))=TRUE,0,VLOOKUP("RIC"&amp;$C280,ESTR_PREC_SP!$A$2:$G$2000,4,FALSE))</f>
        <v>0</v>
      </c>
      <c r="S280" s="521"/>
      <c r="V280" s="211"/>
      <c r="W280" s="520"/>
      <c r="X280" s="520"/>
      <c r="Y280" s="520"/>
      <c r="Z280" s="520"/>
      <c r="AA280" s="285"/>
    </row>
    <row r="281" spans="2:27" s="204" customFormat="1" x14ac:dyDescent="0.25">
      <c r="B281" s="246" t="s">
        <v>635</v>
      </c>
      <c r="C281" s="273" t="s">
        <v>636</v>
      </c>
      <c r="D281" s="264" t="s">
        <v>3258</v>
      </c>
      <c r="E281" s="264"/>
      <c r="F281" s="274"/>
      <c r="G281" s="283"/>
      <c r="H281" s="266"/>
      <c r="I281" s="281"/>
      <c r="J281" s="281"/>
      <c r="K281" s="281"/>
      <c r="L281" s="295" t="s">
        <v>3259</v>
      </c>
      <c r="M281" s="284" t="s">
        <v>2962</v>
      </c>
      <c r="N281" s="269">
        <f t="shared" si="30"/>
        <v>0</v>
      </c>
      <c r="O281" s="270">
        <f t="shared" si="31"/>
        <v>0</v>
      </c>
      <c r="P281" s="271">
        <f t="shared" si="32"/>
        <v>0</v>
      </c>
      <c r="Q281" s="520"/>
      <c r="R281" s="354">
        <f>IF(ISERROR(VLOOKUP("RIC"&amp;$C281,ESTR_PREC_SP!$A$2:$G$2000,4,FALSE))=TRUE,0,VLOOKUP("RIC"&amp;$C281,ESTR_PREC_SP!$A$2:$G$2000,4,FALSE))</f>
        <v>0</v>
      </c>
      <c r="S281" s="521"/>
      <c r="V281" s="211"/>
      <c r="W281" s="520"/>
      <c r="X281" s="520"/>
      <c r="Y281" s="520"/>
      <c r="Z281" s="520"/>
      <c r="AA281" s="285"/>
    </row>
    <row r="282" spans="2:27" s="204" customFormat="1" x14ac:dyDescent="0.25">
      <c r="B282" s="246" t="s">
        <v>638</v>
      </c>
      <c r="C282" s="273" t="s">
        <v>639</v>
      </c>
      <c r="D282" s="264" t="s">
        <v>3260</v>
      </c>
      <c r="E282" s="264"/>
      <c r="F282" s="274"/>
      <c r="G282" s="283"/>
      <c r="H282" s="266"/>
      <c r="I282" s="281"/>
      <c r="J282" s="281"/>
      <c r="K282" s="281"/>
      <c r="L282" s="295" t="s">
        <v>3261</v>
      </c>
      <c r="M282" s="284" t="s">
        <v>2962</v>
      </c>
      <c r="N282" s="269">
        <f t="shared" si="30"/>
        <v>0</v>
      </c>
      <c r="O282" s="270">
        <f t="shared" si="31"/>
        <v>0</v>
      </c>
      <c r="P282" s="271">
        <f t="shared" si="32"/>
        <v>0</v>
      </c>
      <c r="Q282" s="520"/>
      <c r="R282" s="354">
        <f>IF(ISERROR(VLOOKUP("RIC"&amp;$C282,ESTR_PREC_SP!$A$2:$G$2000,4,FALSE))=TRUE,0,VLOOKUP("RIC"&amp;$C282,ESTR_PREC_SP!$A$2:$G$2000,4,FALSE))</f>
        <v>0</v>
      </c>
      <c r="S282" s="521"/>
      <c r="V282" s="211"/>
      <c r="W282" s="520"/>
      <c r="X282" s="520"/>
      <c r="Y282" s="520"/>
      <c r="Z282" s="520"/>
      <c r="AA282" s="285"/>
    </row>
    <row r="283" spans="2:27" s="204" customFormat="1" x14ac:dyDescent="0.25">
      <c r="B283" s="246" t="s">
        <v>641</v>
      </c>
      <c r="C283" s="273" t="s">
        <v>642</v>
      </c>
      <c r="D283" s="264" t="s">
        <v>3262</v>
      </c>
      <c r="E283" s="264"/>
      <c r="F283" s="274"/>
      <c r="G283" s="283"/>
      <c r="H283" s="266"/>
      <c r="I283" s="281"/>
      <c r="J283" s="281"/>
      <c r="K283" s="281"/>
      <c r="L283" s="295" t="s">
        <v>3263</v>
      </c>
      <c r="M283" s="284" t="s">
        <v>2962</v>
      </c>
      <c r="N283" s="269">
        <f t="shared" si="30"/>
        <v>0</v>
      </c>
      <c r="O283" s="270">
        <f t="shared" si="31"/>
        <v>0</v>
      </c>
      <c r="P283" s="271">
        <f t="shared" si="32"/>
        <v>0</v>
      </c>
      <c r="Q283" s="520"/>
      <c r="R283" s="354">
        <f>IF(ISERROR(VLOOKUP("RIC"&amp;$C283,ESTR_PREC_SP!$A$2:$G$2000,4,FALSE))=TRUE,0,VLOOKUP("RIC"&amp;$C283,ESTR_PREC_SP!$A$2:$G$2000,4,FALSE))</f>
        <v>0</v>
      </c>
      <c r="S283" s="521"/>
      <c r="V283" s="211"/>
      <c r="W283" s="520"/>
      <c r="X283" s="520"/>
      <c r="Y283" s="520"/>
      <c r="Z283" s="520"/>
      <c r="AA283" s="285"/>
    </row>
    <row r="284" spans="2:27" s="204" customFormat="1" x14ac:dyDescent="0.25">
      <c r="B284" s="246" t="s">
        <v>644</v>
      </c>
      <c r="C284" s="273" t="s">
        <v>645</v>
      </c>
      <c r="D284" s="264" t="s">
        <v>3264</v>
      </c>
      <c r="E284" s="264"/>
      <c r="F284" s="274"/>
      <c r="G284" s="283"/>
      <c r="H284" s="266"/>
      <c r="I284" s="281"/>
      <c r="J284" s="281"/>
      <c r="K284" s="281"/>
      <c r="L284" s="295" t="s">
        <v>3265</v>
      </c>
      <c r="M284" s="284" t="s">
        <v>2962</v>
      </c>
      <c r="N284" s="269">
        <f t="shared" si="30"/>
        <v>0</v>
      </c>
      <c r="O284" s="270">
        <f t="shared" si="31"/>
        <v>0</v>
      </c>
      <c r="P284" s="271">
        <f t="shared" si="32"/>
        <v>0</v>
      </c>
      <c r="Q284" s="520"/>
      <c r="R284" s="354">
        <f>IF(ISERROR(VLOOKUP("RIC"&amp;$C284,ESTR_PREC_SP!$A$2:$G$2000,4,FALSE))=TRUE,0,VLOOKUP("RIC"&amp;$C284,ESTR_PREC_SP!$A$2:$G$2000,4,FALSE))</f>
        <v>0</v>
      </c>
      <c r="S284" s="521"/>
      <c r="V284" s="211"/>
      <c r="W284" s="520"/>
      <c r="X284" s="520"/>
      <c r="Y284" s="520"/>
      <c r="Z284" s="520"/>
      <c r="AA284" s="285"/>
    </row>
    <row r="285" spans="2:27" s="204" customFormat="1" x14ac:dyDescent="0.25">
      <c r="B285" s="246" t="s">
        <v>647</v>
      </c>
      <c r="C285" s="273" t="s">
        <v>648</v>
      </c>
      <c r="D285" s="264" t="s">
        <v>3266</v>
      </c>
      <c r="E285" s="264"/>
      <c r="F285" s="274"/>
      <c r="G285" s="283"/>
      <c r="H285" s="266"/>
      <c r="I285" s="281"/>
      <c r="J285" s="281"/>
      <c r="K285" s="281"/>
      <c r="L285" s="295" t="s">
        <v>3267</v>
      </c>
      <c r="M285" s="284" t="s">
        <v>2962</v>
      </c>
      <c r="N285" s="269">
        <f t="shared" si="30"/>
        <v>0</v>
      </c>
      <c r="O285" s="270">
        <f t="shared" si="31"/>
        <v>0</v>
      </c>
      <c r="P285" s="271">
        <f t="shared" si="32"/>
        <v>0</v>
      </c>
      <c r="Q285" s="520"/>
      <c r="R285" s="354">
        <f>IF(ISERROR(VLOOKUP("RIC"&amp;$C285,ESTR_PREC_SP!$A$2:$G$2000,4,FALSE))=TRUE,0,VLOOKUP("RIC"&amp;$C285,ESTR_PREC_SP!$A$2:$G$2000,4,FALSE))</f>
        <v>0</v>
      </c>
      <c r="S285" s="521"/>
      <c r="V285" s="211"/>
      <c r="W285" s="520"/>
      <c r="X285" s="520"/>
      <c r="Y285" s="520"/>
      <c r="Z285" s="520"/>
      <c r="AA285" s="285"/>
    </row>
    <row r="286" spans="2:27" s="204" customFormat="1" x14ac:dyDescent="0.25">
      <c r="B286" s="246" t="s">
        <v>650</v>
      </c>
      <c r="C286" s="273" t="s">
        <v>651</v>
      </c>
      <c r="D286" s="264" t="s">
        <v>3268</v>
      </c>
      <c r="E286" s="264"/>
      <c r="F286" s="274"/>
      <c r="G286" s="283"/>
      <c r="H286" s="266"/>
      <c r="I286" s="281"/>
      <c r="J286" s="281"/>
      <c r="K286" s="281"/>
      <c r="L286" s="295" t="s">
        <v>3269</v>
      </c>
      <c r="M286" s="284" t="s">
        <v>2962</v>
      </c>
      <c r="N286" s="269">
        <f t="shared" si="30"/>
        <v>0</v>
      </c>
      <c r="O286" s="270">
        <f t="shared" si="31"/>
        <v>0</v>
      </c>
      <c r="P286" s="271">
        <f t="shared" si="32"/>
        <v>0</v>
      </c>
      <c r="Q286" s="520"/>
      <c r="R286" s="354">
        <f>IF(ISERROR(VLOOKUP("RIC"&amp;$C286,ESTR_PREC_SP!$A$2:$G$2000,4,FALSE))=TRUE,0,VLOOKUP("RIC"&amp;$C286,ESTR_PREC_SP!$A$2:$G$2000,4,FALSE))</f>
        <v>0</v>
      </c>
      <c r="S286" s="521"/>
      <c r="V286" s="211"/>
      <c r="W286" s="520"/>
      <c r="X286" s="520"/>
      <c r="Y286" s="520"/>
      <c r="Z286" s="520"/>
      <c r="AA286" s="285"/>
    </row>
    <row r="287" spans="2:27" s="204" customFormat="1" x14ac:dyDescent="0.25">
      <c r="B287" s="246" t="s">
        <v>653</v>
      </c>
      <c r="C287" s="273" t="s">
        <v>654</v>
      </c>
      <c r="D287" s="264" t="s">
        <v>3270</v>
      </c>
      <c r="E287" s="264"/>
      <c r="F287" s="274"/>
      <c r="G287" s="283"/>
      <c r="H287" s="266"/>
      <c r="I287" s="281"/>
      <c r="J287" s="281"/>
      <c r="K287" s="281"/>
      <c r="L287" s="295" t="s">
        <v>3271</v>
      </c>
      <c r="M287" s="284" t="s">
        <v>2962</v>
      </c>
      <c r="N287" s="269">
        <f t="shared" si="30"/>
        <v>0</v>
      </c>
      <c r="O287" s="270">
        <f t="shared" si="31"/>
        <v>0</v>
      </c>
      <c r="P287" s="271">
        <f t="shared" si="32"/>
        <v>0</v>
      </c>
      <c r="Q287" s="520"/>
      <c r="R287" s="354">
        <f>IF(ISERROR(VLOOKUP("RIC"&amp;$C287,ESTR_PREC_SP!$A$2:$G$2000,4,FALSE))=TRUE,0,VLOOKUP("RIC"&amp;$C287,ESTR_PREC_SP!$A$2:$G$2000,4,FALSE))</f>
        <v>0</v>
      </c>
      <c r="S287" s="521"/>
      <c r="V287" s="211"/>
      <c r="W287" s="520"/>
      <c r="X287" s="520"/>
      <c r="Y287" s="520"/>
      <c r="Z287" s="520"/>
      <c r="AA287" s="285"/>
    </row>
    <row r="288" spans="2:27" s="204" customFormat="1" x14ac:dyDescent="0.25">
      <c r="B288" s="293"/>
      <c r="C288" s="293"/>
      <c r="D288" s="230"/>
      <c r="E288" s="230"/>
      <c r="F288" s="230"/>
      <c r="G288" s="230"/>
      <c r="H288" s="231"/>
      <c r="I288" s="230"/>
      <c r="J288" s="230"/>
      <c r="K288" s="230"/>
      <c r="L288" s="275"/>
      <c r="M288" s="216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</row>
    <row r="289" spans="2:31" s="204" customFormat="1" ht="25.5" x14ac:dyDescent="0.25">
      <c r="B289" s="293"/>
      <c r="C289" s="293"/>
      <c r="D289" s="230"/>
      <c r="E289" s="230"/>
      <c r="F289" s="230"/>
      <c r="G289" s="230"/>
      <c r="H289" s="231"/>
      <c r="I289" s="230"/>
      <c r="J289" s="230"/>
      <c r="K289" s="230"/>
      <c r="L289" s="255"/>
      <c r="M289" s="244"/>
      <c r="N289" s="256" t="str">
        <f>N$15</f>
        <v>Valore netto al 31/12/2019</v>
      </c>
      <c r="O289" s="256" t="str">
        <f>O$15</f>
        <v>Valore netto al 31/12/2020</v>
      </c>
      <c r="P289" s="256" t="str">
        <f>P$15</f>
        <v>Variazione</v>
      </c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</row>
    <row r="290" spans="2:31" s="204" customFormat="1" x14ac:dyDescent="0.25">
      <c r="B290" s="246" t="s">
        <v>656</v>
      </c>
      <c r="C290" s="292" t="s">
        <v>657</v>
      </c>
      <c r="D290" s="247" t="s">
        <v>3272</v>
      </c>
      <c r="E290" s="247"/>
      <c r="F290" s="247"/>
      <c r="G290" s="247"/>
      <c r="H290" s="248"/>
      <c r="I290" s="247"/>
      <c r="J290" s="247"/>
      <c r="K290" s="249"/>
      <c r="L290" s="257" t="s">
        <v>659</v>
      </c>
      <c r="M290" s="251" t="s">
        <v>2962</v>
      </c>
      <c r="N290" s="252">
        <f>+N292-N302</f>
        <v>0</v>
      </c>
      <c r="O290" s="252">
        <f>+O292-O302</f>
        <v>0</v>
      </c>
      <c r="P290" s="253">
        <f>+O290-N290</f>
        <v>0</v>
      </c>
      <c r="Q290" s="285"/>
      <c r="R290" s="285"/>
      <c r="S290" s="252">
        <f>+S292-S302</f>
        <v>0</v>
      </c>
      <c r="T290" s="285"/>
      <c r="U290" s="285"/>
      <c r="V290" s="285"/>
      <c r="W290" s="211"/>
      <c r="X290" s="252">
        <f>+X292-X302</f>
        <v>0</v>
      </c>
      <c r="Y290" s="285"/>
      <c r="Z290" s="285"/>
      <c r="AA290" s="285"/>
    </row>
    <row r="291" spans="2:31" s="204" customFormat="1" x14ac:dyDescent="0.25">
      <c r="B291" s="293"/>
      <c r="C291" s="293"/>
      <c r="D291" s="230"/>
      <c r="E291" s="230"/>
      <c r="F291" s="230"/>
      <c r="G291" s="230"/>
      <c r="H291" s="231"/>
      <c r="I291" s="230"/>
      <c r="J291" s="230"/>
      <c r="K291" s="230"/>
      <c r="L291" s="275"/>
      <c r="M291" s="216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</row>
    <row r="292" spans="2:31" s="204" customFormat="1" x14ac:dyDescent="0.25">
      <c r="B292" s="246" t="s">
        <v>660</v>
      </c>
      <c r="C292" s="292" t="s">
        <v>661</v>
      </c>
      <c r="D292" s="247" t="s">
        <v>3273</v>
      </c>
      <c r="E292" s="247"/>
      <c r="F292" s="247"/>
      <c r="G292" s="247"/>
      <c r="H292" s="248"/>
      <c r="I292" s="247"/>
      <c r="J292" s="247"/>
      <c r="K292" s="249"/>
      <c r="L292" s="276" t="s">
        <v>664</v>
      </c>
      <c r="M292" s="251" t="s">
        <v>2962</v>
      </c>
      <c r="N292" s="252">
        <f>SUM(N295:N300)</f>
        <v>0</v>
      </c>
      <c r="O292" s="252">
        <f>SUM(O295:O300)</f>
        <v>0</v>
      </c>
      <c r="P292" s="259">
        <f>+O292-N292</f>
        <v>0</v>
      </c>
      <c r="Q292" s="252">
        <f>SUM(Q295:Q300)</f>
        <v>0</v>
      </c>
      <c r="R292" s="252">
        <f>SUM(R295:R300)</f>
        <v>0</v>
      </c>
      <c r="S292" s="252">
        <f>SUM(S295:S300)</f>
        <v>0</v>
      </c>
      <c r="T292" s="252">
        <f>SUM(T295:T300)</f>
        <v>0</v>
      </c>
      <c r="U292" s="252">
        <f>SUM(U295:U300)</f>
        <v>0</v>
      </c>
      <c r="W292" s="252">
        <f t="shared" ref="W292:AE292" si="33">SUM(W295:W300)</f>
        <v>0</v>
      </c>
      <c r="X292" s="252">
        <f t="shared" si="33"/>
        <v>0</v>
      </c>
      <c r="Y292" s="252">
        <f t="shared" si="33"/>
        <v>0</v>
      </c>
      <c r="Z292" s="252">
        <f t="shared" si="33"/>
        <v>0</v>
      </c>
      <c r="AA292" s="252">
        <f t="shared" si="33"/>
        <v>0</v>
      </c>
      <c r="AB292" s="252">
        <f t="shared" si="33"/>
        <v>0</v>
      </c>
      <c r="AC292" s="252">
        <f t="shared" si="33"/>
        <v>0</v>
      </c>
      <c r="AD292" s="252">
        <f t="shared" si="33"/>
        <v>0</v>
      </c>
      <c r="AE292" s="252">
        <f t="shared" si="33"/>
        <v>0</v>
      </c>
    </row>
    <row r="293" spans="2:31" s="204" customFormat="1" x14ac:dyDescent="0.25">
      <c r="B293" s="293"/>
      <c r="C293" s="293"/>
      <c r="D293" s="230"/>
      <c r="E293" s="230"/>
      <c r="F293" s="230"/>
      <c r="G293" s="230"/>
      <c r="H293" s="231"/>
      <c r="I293" s="230"/>
      <c r="J293" s="230"/>
      <c r="K293" s="230"/>
      <c r="L293" s="241"/>
      <c r="M293" s="278"/>
      <c r="N293" s="279"/>
      <c r="O293" s="211"/>
      <c r="P293" s="211"/>
      <c r="Q293" s="211"/>
      <c r="R293" s="211"/>
      <c r="T293" s="211"/>
      <c r="U293" s="211"/>
      <c r="V293" s="211"/>
      <c r="W293" s="211"/>
      <c r="X293" s="211"/>
      <c r="Y293" s="211"/>
      <c r="Z293" s="211"/>
      <c r="AA293" s="211"/>
    </row>
    <row r="294" spans="2:31" s="204" customFormat="1" ht="63.75" x14ac:dyDescent="0.25">
      <c r="B294" s="294" t="s">
        <v>2968</v>
      </c>
      <c r="C294" s="294" t="s">
        <v>2969</v>
      </c>
      <c r="D294" s="206" t="s">
        <v>72</v>
      </c>
      <c r="E294" s="206"/>
      <c r="F294" s="206"/>
      <c r="G294" s="207"/>
      <c r="H294" s="207"/>
      <c r="I294" s="207"/>
      <c r="J294" s="207" t="s">
        <v>2957</v>
      </c>
      <c r="K294" s="206" t="s">
        <v>82</v>
      </c>
      <c r="L294" s="261" t="s">
        <v>2970</v>
      </c>
      <c r="M294" s="260"/>
      <c r="N294" s="256" t="str">
        <f>N$15</f>
        <v>Valore netto al 31/12/2019</v>
      </c>
      <c r="O294" s="256" t="str">
        <f>O$15</f>
        <v>Valore netto al 31/12/2020</v>
      </c>
      <c r="P294" s="256" t="str">
        <f>P$15</f>
        <v>Variazione</v>
      </c>
      <c r="Q294" s="262" t="s">
        <v>2971</v>
      </c>
      <c r="R294" s="262" t="str">
        <f>"Costo storico al 31/12/"&amp;Info!$B$3-1</f>
        <v>Costo storico al 31/12/2019</v>
      </c>
      <c r="S294" s="262" t="s">
        <v>2972</v>
      </c>
      <c r="T294" s="262" t="s">
        <v>2973</v>
      </c>
      <c r="U294" s="262" t="s">
        <v>2974</v>
      </c>
      <c r="W294" s="262" t="s">
        <v>2975</v>
      </c>
      <c r="X294" s="262" t="s">
        <v>2976</v>
      </c>
      <c r="Y294" s="262" t="s">
        <v>2977</v>
      </c>
      <c r="Z294" s="262" t="s">
        <v>2978</v>
      </c>
      <c r="AA294" s="262" t="s">
        <v>2979</v>
      </c>
      <c r="AB294" s="262" t="s">
        <v>2980</v>
      </c>
      <c r="AC294" s="262" t="s">
        <v>2981</v>
      </c>
      <c r="AD294" s="262" t="s">
        <v>2982</v>
      </c>
      <c r="AE294" s="262" t="s">
        <v>2983</v>
      </c>
    </row>
    <row r="295" spans="2:31" s="204" customFormat="1" x14ac:dyDescent="0.25">
      <c r="B295" s="246" t="s">
        <v>665</v>
      </c>
      <c r="C295" s="287" t="s">
        <v>666</v>
      </c>
      <c r="D295" s="274" t="s">
        <v>3274</v>
      </c>
      <c r="E295" s="264"/>
      <c r="F295" s="274"/>
      <c r="G295" s="283"/>
      <c r="H295" s="266"/>
      <c r="I295" s="281"/>
      <c r="J295" s="281"/>
      <c r="K295" s="281"/>
      <c r="L295" s="316" t="s">
        <v>3275</v>
      </c>
      <c r="M295" s="263" t="s">
        <v>2962</v>
      </c>
      <c r="N295" s="269">
        <f t="shared" ref="N295:N300" si="34">+R295+T295-U295</f>
        <v>0</v>
      </c>
      <c r="O295" s="270">
        <f t="shared" ref="O295:O300" si="35">+N295+S295+X295+ABS(Y295)-ABS(AA295)+ABS(Z295)+ABS(AB295)+ABS(AD295)-ABS(AE295)+AC295+W295+Q295</f>
        <v>0</v>
      </c>
      <c r="P295" s="271">
        <f t="shared" ref="P295:P300" si="36">+O295-N295</f>
        <v>0</v>
      </c>
      <c r="Q295" s="520"/>
      <c r="R295" s="354">
        <f>IF(ISERROR(VLOOKUP("RIC"&amp;$C295,ESTR_PREC_SP!$A$2:$G$2000,4,FALSE))=TRUE,0,VLOOKUP("RIC"&amp;$C295,ESTR_PREC_SP!$A$2:$G$2000,4,FALSE))</f>
        <v>0</v>
      </c>
      <c r="S295" s="521"/>
      <c r="T295" s="521"/>
      <c r="U295" s="521"/>
      <c r="W295" s="520"/>
      <c r="X295" s="520"/>
      <c r="Y295" s="520"/>
      <c r="Z295" s="520"/>
      <c r="AA295" s="520"/>
      <c r="AB295" s="520"/>
      <c r="AC295" s="520"/>
      <c r="AD295" s="520"/>
      <c r="AE295" s="520"/>
    </row>
    <row r="296" spans="2:31" s="204" customFormat="1" x14ac:dyDescent="0.25">
      <c r="B296" s="246" t="s">
        <v>668</v>
      </c>
      <c r="C296" s="287" t="s">
        <v>669</v>
      </c>
      <c r="D296" s="274" t="s">
        <v>3276</v>
      </c>
      <c r="E296" s="264"/>
      <c r="F296" s="274"/>
      <c r="G296" s="283"/>
      <c r="H296" s="266"/>
      <c r="I296" s="281"/>
      <c r="J296" s="281"/>
      <c r="K296" s="281"/>
      <c r="L296" s="316" t="s">
        <v>3277</v>
      </c>
      <c r="M296" s="284" t="s">
        <v>2962</v>
      </c>
      <c r="N296" s="269">
        <f t="shared" si="34"/>
        <v>0</v>
      </c>
      <c r="O296" s="270">
        <f t="shared" si="35"/>
        <v>0</v>
      </c>
      <c r="P296" s="271">
        <f t="shared" si="36"/>
        <v>0</v>
      </c>
      <c r="Q296" s="520"/>
      <c r="R296" s="354">
        <f>IF(ISERROR(VLOOKUP("RIC"&amp;$C296,ESTR_PREC_SP!$A$2:$G$2000,4,FALSE))=TRUE,0,VLOOKUP("RIC"&amp;$C296,ESTR_PREC_SP!$A$2:$G$2000,4,FALSE))</f>
        <v>0</v>
      </c>
      <c r="S296" s="521"/>
      <c r="T296" s="521"/>
      <c r="U296" s="521"/>
      <c r="W296" s="520"/>
      <c r="X296" s="520"/>
      <c r="Y296" s="520"/>
      <c r="Z296" s="520"/>
      <c r="AA296" s="520"/>
      <c r="AB296" s="520"/>
      <c r="AC296" s="520"/>
      <c r="AD296" s="520"/>
      <c r="AE296" s="520"/>
    </row>
    <row r="297" spans="2:31" s="204" customFormat="1" x14ac:dyDescent="0.25">
      <c r="B297" s="246" t="s">
        <v>671</v>
      </c>
      <c r="C297" s="287" t="s">
        <v>672</v>
      </c>
      <c r="D297" s="274" t="s">
        <v>3278</v>
      </c>
      <c r="E297" s="264"/>
      <c r="F297" s="274"/>
      <c r="G297" s="283"/>
      <c r="H297" s="266"/>
      <c r="I297" s="281"/>
      <c r="J297" s="281"/>
      <c r="K297" s="281"/>
      <c r="L297" s="316" t="s">
        <v>3279</v>
      </c>
      <c r="M297" s="284" t="s">
        <v>2962</v>
      </c>
      <c r="N297" s="269">
        <f t="shared" si="34"/>
        <v>0</v>
      </c>
      <c r="O297" s="270">
        <f t="shared" si="35"/>
        <v>0</v>
      </c>
      <c r="P297" s="271">
        <f t="shared" si="36"/>
        <v>0</v>
      </c>
      <c r="Q297" s="520"/>
      <c r="R297" s="354">
        <f>IF(ISERROR(VLOOKUP("RIC"&amp;$C297,ESTR_PREC_SP!$A$2:$G$2000,4,FALSE))=TRUE,0,VLOOKUP("RIC"&amp;$C297,ESTR_PREC_SP!$A$2:$G$2000,4,FALSE))</f>
        <v>0</v>
      </c>
      <c r="S297" s="521"/>
      <c r="T297" s="521"/>
      <c r="U297" s="521"/>
      <c r="W297" s="520"/>
      <c r="X297" s="520"/>
      <c r="Y297" s="520"/>
      <c r="Z297" s="520"/>
      <c r="AA297" s="520"/>
      <c r="AB297" s="520"/>
      <c r="AC297" s="520"/>
      <c r="AD297" s="520"/>
      <c r="AE297" s="520"/>
    </row>
    <row r="298" spans="2:31" s="204" customFormat="1" x14ac:dyDescent="0.25">
      <c r="B298" s="246" t="s">
        <v>674</v>
      </c>
      <c r="C298" s="287" t="s">
        <v>675</v>
      </c>
      <c r="D298" s="274" t="s">
        <v>3280</v>
      </c>
      <c r="E298" s="264"/>
      <c r="F298" s="274"/>
      <c r="G298" s="283"/>
      <c r="H298" s="266"/>
      <c r="I298" s="281"/>
      <c r="J298" s="281"/>
      <c r="K298" s="281"/>
      <c r="L298" s="316" t="s">
        <v>3281</v>
      </c>
      <c r="M298" s="284" t="s">
        <v>2962</v>
      </c>
      <c r="N298" s="269">
        <f t="shared" si="34"/>
        <v>0</v>
      </c>
      <c r="O298" s="270">
        <f t="shared" si="35"/>
        <v>0</v>
      </c>
      <c r="P298" s="271">
        <f t="shared" si="36"/>
        <v>0</v>
      </c>
      <c r="Q298" s="520"/>
      <c r="R298" s="354">
        <f>IF(ISERROR(VLOOKUP("RIC"&amp;$C298,ESTR_PREC_SP!$A$2:$G$2000,4,FALSE))=TRUE,0,VLOOKUP("RIC"&amp;$C298,ESTR_PREC_SP!$A$2:$G$2000,4,FALSE))</f>
        <v>0</v>
      </c>
      <c r="S298" s="521"/>
      <c r="T298" s="521"/>
      <c r="U298" s="521"/>
      <c r="W298" s="520"/>
      <c r="X298" s="520"/>
      <c r="Y298" s="520"/>
      <c r="Z298" s="520"/>
      <c r="AA298" s="520"/>
      <c r="AB298" s="520"/>
      <c r="AC298" s="520"/>
      <c r="AD298" s="520"/>
      <c r="AE298" s="520"/>
    </row>
    <row r="299" spans="2:31" s="204" customFormat="1" x14ac:dyDescent="0.25">
      <c r="B299" s="246" t="s">
        <v>677</v>
      </c>
      <c r="C299" s="287" t="s">
        <v>678</v>
      </c>
      <c r="D299" s="274" t="s">
        <v>3282</v>
      </c>
      <c r="E299" s="264"/>
      <c r="F299" s="274"/>
      <c r="G299" s="283"/>
      <c r="H299" s="266"/>
      <c r="I299" s="281"/>
      <c r="J299" s="281"/>
      <c r="K299" s="281"/>
      <c r="L299" s="295" t="s">
        <v>3283</v>
      </c>
      <c r="M299" s="284" t="s">
        <v>2962</v>
      </c>
      <c r="N299" s="269">
        <f t="shared" si="34"/>
        <v>0</v>
      </c>
      <c r="O299" s="270">
        <f t="shared" si="35"/>
        <v>0</v>
      </c>
      <c r="P299" s="271">
        <f t="shared" si="36"/>
        <v>0</v>
      </c>
      <c r="Q299" s="520"/>
      <c r="R299" s="354">
        <f>IF(ISERROR(VLOOKUP("RIC"&amp;$C299,ESTR_PREC_SP!$A$2:$G$2000,4,FALSE))=TRUE,0,VLOOKUP("RIC"&amp;$C299,ESTR_PREC_SP!$A$2:$G$2000,4,FALSE))</f>
        <v>0</v>
      </c>
      <c r="S299" s="521"/>
      <c r="T299" s="521"/>
      <c r="U299" s="521"/>
      <c r="W299" s="520"/>
      <c r="X299" s="520"/>
      <c r="Y299" s="520"/>
      <c r="Z299" s="520"/>
      <c r="AA299" s="520"/>
      <c r="AB299" s="520"/>
      <c r="AC299" s="520"/>
      <c r="AD299" s="520"/>
      <c r="AE299" s="520"/>
    </row>
    <row r="300" spans="2:31" s="204" customFormat="1" x14ac:dyDescent="0.25">
      <c r="B300" s="246" t="s">
        <v>680</v>
      </c>
      <c r="C300" s="287" t="s">
        <v>681</v>
      </c>
      <c r="D300" s="274" t="s">
        <v>3284</v>
      </c>
      <c r="E300" s="264"/>
      <c r="F300" s="274"/>
      <c r="G300" s="283"/>
      <c r="H300" s="266"/>
      <c r="I300" s="281"/>
      <c r="J300" s="281"/>
      <c r="K300" s="281"/>
      <c r="L300" s="295" t="s">
        <v>3285</v>
      </c>
      <c r="M300" s="284" t="s">
        <v>2962</v>
      </c>
      <c r="N300" s="269">
        <f t="shared" si="34"/>
        <v>0</v>
      </c>
      <c r="O300" s="270">
        <f t="shared" si="35"/>
        <v>0</v>
      </c>
      <c r="P300" s="271">
        <f t="shared" si="36"/>
        <v>0</v>
      </c>
      <c r="Q300" s="520"/>
      <c r="R300" s="354">
        <f>IF(ISERROR(VLOOKUP("RIC"&amp;$C300,ESTR_PREC_SP!$A$2:$G$2000,4,FALSE))=TRUE,0,VLOOKUP("RIC"&amp;$C300,ESTR_PREC_SP!$A$2:$G$2000,4,FALSE))</f>
        <v>0</v>
      </c>
      <c r="S300" s="521"/>
      <c r="T300" s="521"/>
      <c r="U300" s="521"/>
      <c r="W300" s="520"/>
      <c r="X300" s="520"/>
      <c r="Y300" s="520"/>
      <c r="Z300" s="520"/>
      <c r="AA300" s="520"/>
      <c r="AB300" s="520"/>
      <c r="AC300" s="520"/>
      <c r="AD300" s="520"/>
      <c r="AE300" s="520"/>
    </row>
    <row r="301" spans="2:31" s="204" customFormat="1" x14ac:dyDescent="0.25">
      <c r="B301" s="293"/>
      <c r="C301" s="293"/>
      <c r="D301" s="230"/>
      <c r="E301" s="230"/>
      <c r="F301" s="230"/>
      <c r="G301" s="230"/>
      <c r="H301" s="231"/>
      <c r="I301" s="230"/>
      <c r="J301" s="230"/>
      <c r="K301" s="230"/>
      <c r="L301" s="275"/>
      <c r="M301" s="216"/>
      <c r="N301" s="285"/>
      <c r="O301" s="211"/>
      <c r="P301" s="211"/>
      <c r="Q301" s="211"/>
      <c r="R301" s="211"/>
      <c r="S301" s="211"/>
      <c r="T301" s="285"/>
      <c r="U301" s="285"/>
      <c r="V301" s="285"/>
      <c r="W301" s="285"/>
      <c r="X301" s="285"/>
      <c r="Y301" s="285"/>
      <c r="Z301" s="285"/>
      <c r="AA301" s="285"/>
    </row>
    <row r="302" spans="2:31" s="204" customFormat="1" x14ac:dyDescent="0.25">
      <c r="B302" s="246" t="s">
        <v>683</v>
      </c>
      <c r="C302" s="292" t="s">
        <v>684</v>
      </c>
      <c r="D302" s="247" t="s">
        <v>3286</v>
      </c>
      <c r="E302" s="247"/>
      <c r="F302" s="247"/>
      <c r="G302" s="247"/>
      <c r="H302" s="248"/>
      <c r="I302" s="247"/>
      <c r="J302" s="247"/>
      <c r="K302" s="249"/>
      <c r="L302" s="276" t="s">
        <v>687</v>
      </c>
      <c r="M302" s="251" t="s">
        <v>2962</v>
      </c>
      <c r="N302" s="252">
        <f>SUM(N305:N310)</f>
        <v>0</v>
      </c>
      <c r="O302" s="252">
        <f>SUM(O305:O310)</f>
        <v>0</v>
      </c>
      <c r="P302" s="259">
        <f>+O302-N302</f>
        <v>0</v>
      </c>
      <c r="Q302" s="252">
        <f>SUM(Q305:Q310)</f>
        <v>0</v>
      </c>
      <c r="R302" s="252">
        <f>SUM(R305:R310)</f>
        <v>0</v>
      </c>
      <c r="S302" s="252">
        <f>SUM(S305:S310)</f>
        <v>0</v>
      </c>
      <c r="W302" s="252">
        <f>SUM(W305:W310)</f>
        <v>0</v>
      </c>
      <c r="X302" s="252">
        <f>SUM(X305:X310)</f>
        <v>0</v>
      </c>
      <c r="Y302" s="252">
        <f>SUM(Y305:Y310)</f>
        <v>0</v>
      </c>
      <c r="Z302" s="252">
        <f>SUM(Z305:Z310)</f>
        <v>0</v>
      </c>
      <c r="AA302" s="285"/>
    </row>
    <row r="303" spans="2:31" s="204" customFormat="1" x14ac:dyDescent="0.25">
      <c r="B303" s="293"/>
      <c r="C303" s="293"/>
      <c r="D303" s="230"/>
      <c r="E303" s="230"/>
      <c r="F303" s="230"/>
      <c r="G303" s="230"/>
      <c r="H303" s="231"/>
      <c r="I303" s="230"/>
      <c r="J303" s="230"/>
      <c r="K303" s="230"/>
      <c r="L303" s="241"/>
      <c r="M303" s="278"/>
      <c r="N303" s="279"/>
      <c r="O303" s="211"/>
      <c r="P303" s="211"/>
      <c r="Q303" s="211"/>
      <c r="R303" s="211"/>
      <c r="W303" s="285"/>
      <c r="X303" s="285"/>
      <c r="Y303" s="285"/>
      <c r="Z303" s="285"/>
      <c r="AA303" s="285"/>
    </row>
    <row r="304" spans="2:31" s="204" customFormat="1" ht="63.75" x14ac:dyDescent="0.25">
      <c r="B304" s="294" t="s">
        <v>2968</v>
      </c>
      <c r="C304" s="294" t="s">
        <v>2969</v>
      </c>
      <c r="D304" s="206" t="s">
        <v>72</v>
      </c>
      <c r="E304" s="206"/>
      <c r="F304" s="206"/>
      <c r="G304" s="207"/>
      <c r="H304" s="207"/>
      <c r="I304" s="207"/>
      <c r="J304" s="207" t="s">
        <v>2957</v>
      </c>
      <c r="K304" s="206" t="s">
        <v>82</v>
      </c>
      <c r="L304" s="261" t="s">
        <v>2970</v>
      </c>
      <c r="M304" s="260"/>
      <c r="N304" s="256" t="str">
        <f>N$15</f>
        <v>Valore netto al 31/12/2019</v>
      </c>
      <c r="O304" s="256" t="str">
        <f>O$15</f>
        <v>Valore netto al 31/12/2020</v>
      </c>
      <c r="P304" s="256" t="str">
        <f>P$15</f>
        <v>Variazione</v>
      </c>
      <c r="Q304" s="262" t="s">
        <v>2971</v>
      </c>
      <c r="R304" s="262" t="str">
        <f>"Fondo ammortamento 31/12/"&amp;Info!$B$3-1</f>
        <v>Fondo ammortamento 31/12/2019</v>
      </c>
      <c r="S304" s="262" t="s">
        <v>2972</v>
      </c>
      <c r="W304" s="262" t="s">
        <v>2975</v>
      </c>
      <c r="X304" s="262" t="s">
        <v>2976</v>
      </c>
      <c r="Y304" s="262" t="s">
        <v>2989</v>
      </c>
      <c r="Z304" s="262" t="s">
        <v>2990</v>
      </c>
      <c r="AA304" s="285"/>
    </row>
    <row r="305" spans="2:31" s="204" customFormat="1" x14ac:dyDescent="0.25">
      <c r="B305" s="246" t="s">
        <v>688</v>
      </c>
      <c r="C305" s="287" t="s">
        <v>689</v>
      </c>
      <c r="D305" s="274" t="s">
        <v>3287</v>
      </c>
      <c r="E305" s="264"/>
      <c r="F305" s="274"/>
      <c r="G305" s="283"/>
      <c r="H305" s="266"/>
      <c r="I305" s="281"/>
      <c r="J305" s="281"/>
      <c r="K305" s="281"/>
      <c r="L305" s="316" t="s">
        <v>3288</v>
      </c>
      <c r="M305" s="263" t="s">
        <v>2962</v>
      </c>
      <c r="N305" s="269">
        <f t="shared" ref="N305:N310" si="37">+R305</f>
        <v>0</v>
      </c>
      <c r="O305" s="270">
        <f t="shared" ref="O305:O310" si="38">+R305+S305+X305-ABS(Y305)+ABS(Z305)+W305+Q305</f>
        <v>0</v>
      </c>
      <c r="P305" s="271">
        <f t="shared" ref="P305:P310" si="39">+O305-N305</f>
        <v>0</v>
      </c>
      <c r="Q305" s="520"/>
      <c r="R305" s="354">
        <f>IF(ISERROR(VLOOKUP("RIC"&amp;$C305,ESTR_PREC_SP!$A$2:$G$2000,4,FALSE))=TRUE,0,VLOOKUP("RIC"&amp;$C305,ESTR_PREC_SP!$A$2:$G$2000,4,FALSE))</f>
        <v>0</v>
      </c>
      <c r="S305" s="521"/>
      <c r="V305" s="211"/>
      <c r="W305" s="520"/>
      <c r="X305" s="520"/>
      <c r="Y305" s="520"/>
      <c r="Z305" s="520"/>
      <c r="AA305" s="285"/>
    </row>
    <row r="306" spans="2:31" s="204" customFormat="1" x14ac:dyDescent="0.25">
      <c r="B306" s="246" t="s">
        <v>691</v>
      </c>
      <c r="C306" s="287" t="s">
        <v>692</v>
      </c>
      <c r="D306" s="274" t="s">
        <v>3289</v>
      </c>
      <c r="E306" s="264"/>
      <c r="F306" s="274"/>
      <c r="G306" s="283"/>
      <c r="H306" s="266"/>
      <c r="I306" s="281"/>
      <c r="J306" s="281"/>
      <c r="K306" s="281"/>
      <c r="L306" s="316" t="s">
        <v>3290</v>
      </c>
      <c r="M306" s="263" t="s">
        <v>2962</v>
      </c>
      <c r="N306" s="269">
        <f t="shared" si="37"/>
        <v>0</v>
      </c>
      <c r="O306" s="270">
        <f t="shared" si="38"/>
        <v>0</v>
      </c>
      <c r="P306" s="271">
        <f t="shared" si="39"/>
        <v>0</v>
      </c>
      <c r="Q306" s="520"/>
      <c r="R306" s="354">
        <f>IF(ISERROR(VLOOKUP("RIC"&amp;$C306,ESTR_PREC_SP!$A$2:$G$2000,4,FALSE))=TRUE,0,VLOOKUP("RIC"&amp;$C306,ESTR_PREC_SP!$A$2:$G$2000,4,FALSE))</f>
        <v>0</v>
      </c>
      <c r="S306" s="521"/>
      <c r="V306" s="211"/>
      <c r="W306" s="520"/>
      <c r="X306" s="520"/>
      <c r="Y306" s="520"/>
      <c r="Z306" s="520"/>
      <c r="AA306" s="285"/>
    </row>
    <row r="307" spans="2:31" s="204" customFormat="1" x14ac:dyDescent="0.25">
      <c r="B307" s="246" t="s">
        <v>694</v>
      </c>
      <c r="C307" s="287" t="s">
        <v>695</v>
      </c>
      <c r="D307" s="274" t="s">
        <v>3291</v>
      </c>
      <c r="E307" s="264"/>
      <c r="F307" s="274"/>
      <c r="G307" s="283"/>
      <c r="H307" s="266"/>
      <c r="I307" s="281"/>
      <c r="J307" s="281"/>
      <c r="K307" s="281"/>
      <c r="L307" s="316" t="s">
        <v>3292</v>
      </c>
      <c r="M307" s="284" t="s">
        <v>2962</v>
      </c>
      <c r="N307" s="269">
        <f t="shared" si="37"/>
        <v>0</v>
      </c>
      <c r="O307" s="270">
        <f t="shared" si="38"/>
        <v>0</v>
      </c>
      <c r="P307" s="271">
        <f t="shared" si="39"/>
        <v>0</v>
      </c>
      <c r="Q307" s="520"/>
      <c r="R307" s="354">
        <f>IF(ISERROR(VLOOKUP("RIC"&amp;$C307,ESTR_PREC_SP!$A$2:$G$2000,4,FALSE))=TRUE,0,VLOOKUP("RIC"&amp;$C307,ESTR_PREC_SP!$A$2:$G$2000,4,FALSE))</f>
        <v>0</v>
      </c>
      <c r="S307" s="521"/>
      <c r="V307" s="211"/>
      <c r="W307" s="520"/>
      <c r="X307" s="520"/>
      <c r="Y307" s="520"/>
      <c r="Z307" s="520"/>
      <c r="AA307" s="285"/>
    </row>
    <row r="308" spans="2:31" s="204" customFormat="1" x14ac:dyDescent="0.25">
      <c r="B308" s="246" t="s">
        <v>697</v>
      </c>
      <c r="C308" s="287" t="s">
        <v>698</v>
      </c>
      <c r="D308" s="274" t="s">
        <v>3293</v>
      </c>
      <c r="E308" s="264"/>
      <c r="F308" s="274"/>
      <c r="G308" s="283"/>
      <c r="H308" s="266"/>
      <c r="I308" s="281"/>
      <c r="J308" s="281"/>
      <c r="K308" s="281"/>
      <c r="L308" s="316" t="s">
        <v>3294</v>
      </c>
      <c r="M308" s="284" t="s">
        <v>2962</v>
      </c>
      <c r="N308" s="269">
        <f t="shared" si="37"/>
        <v>0</v>
      </c>
      <c r="O308" s="270">
        <f t="shared" si="38"/>
        <v>0</v>
      </c>
      <c r="P308" s="271">
        <f t="shared" si="39"/>
        <v>0</v>
      </c>
      <c r="Q308" s="520"/>
      <c r="R308" s="354">
        <f>IF(ISERROR(VLOOKUP("RIC"&amp;$C308,ESTR_PREC_SP!$A$2:$G$2000,4,FALSE))=TRUE,0,VLOOKUP("RIC"&amp;$C308,ESTR_PREC_SP!$A$2:$G$2000,4,FALSE))</f>
        <v>0</v>
      </c>
      <c r="S308" s="521"/>
      <c r="V308" s="211"/>
      <c r="W308" s="520"/>
      <c r="X308" s="520"/>
      <c r="Y308" s="520"/>
      <c r="Z308" s="520"/>
      <c r="AA308" s="285"/>
    </row>
    <row r="309" spans="2:31" s="204" customFormat="1" x14ac:dyDescent="0.25">
      <c r="B309" s="246" t="s">
        <v>700</v>
      </c>
      <c r="C309" s="287" t="s">
        <v>701</v>
      </c>
      <c r="D309" s="274" t="s">
        <v>3295</v>
      </c>
      <c r="E309" s="264"/>
      <c r="F309" s="274"/>
      <c r="G309" s="283"/>
      <c r="H309" s="266"/>
      <c r="I309" s="281"/>
      <c r="J309" s="281"/>
      <c r="K309" s="281"/>
      <c r="L309" s="295" t="s">
        <v>3296</v>
      </c>
      <c r="M309" s="284" t="s">
        <v>2962</v>
      </c>
      <c r="N309" s="269">
        <f t="shared" si="37"/>
        <v>0</v>
      </c>
      <c r="O309" s="270">
        <f t="shared" si="38"/>
        <v>0</v>
      </c>
      <c r="P309" s="271">
        <f t="shared" si="39"/>
        <v>0</v>
      </c>
      <c r="Q309" s="520"/>
      <c r="R309" s="354">
        <f>IF(ISERROR(VLOOKUP("RIC"&amp;$C309,ESTR_PREC_SP!$A$2:$G$2000,4,FALSE))=TRUE,0,VLOOKUP("RIC"&amp;$C309,ESTR_PREC_SP!$A$2:$G$2000,4,FALSE))</f>
        <v>0</v>
      </c>
      <c r="S309" s="521"/>
      <c r="V309" s="211"/>
      <c r="W309" s="520"/>
      <c r="X309" s="520"/>
      <c r="Y309" s="520"/>
      <c r="Z309" s="520"/>
      <c r="AA309" s="285"/>
    </row>
    <row r="310" spans="2:31" s="204" customFormat="1" x14ac:dyDescent="0.25">
      <c r="B310" s="246" t="s">
        <v>703</v>
      </c>
      <c r="C310" s="287" t="s">
        <v>704</v>
      </c>
      <c r="D310" s="274" t="s">
        <v>3297</v>
      </c>
      <c r="E310" s="264"/>
      <c r="F310" s="274"/>
      <c r="G310" s="283"/>
      <c r="H310" s="266"/>
      <c r="I310" s="281"/>
      <c r="J310" s="281"/>
      <c r="K310" s="281"/>
      <c r="L310" s="295" t="s">
        <v>3298</v>
      </c>
      <c r="M310" s="284" t="s">
        <v>2962</v>
      </c>
      <c r="N310" s="269">
        <f t="shared" si="37"/>
        <v>0</v>
      </c>
      <c r="O310" s="270">
        <f t="shared" si="38"/>
        <v>0</v>
      </c>
      <c r="P310" s="271">
        <f t="shared" si="39"/>
        <v>0</v>
      </c>
      <c r="Q310" s="520"/>
      <c r="R310" s="354">
        <f>IF(ISERROR(VLOOKUP("RIC"&amp;$C310,ESTR_PREC_SP!$A$2:$G$2000,4,FALSE))=TRUE,0,VLOOKUP("RIC"&amp;$C310,ESTR_PREC_SP!$A$2:$G$2000,4,FALSE))</f>
        <v>0</v>
      </c>
      <c r="S310" s="521"/>
      <c r="V310" s="211"/>
      <c r="W310" s="520"/>
      <c r="X310" s="520"/>
      <c r="Y310" s="520"/>
      <c r="Z310" s="520"/>
      <c r="AA310" s="285"/>
    </row>
    <row r="311" spans="2:31" s="204" customFormat="1" x14ac:dyDescent="0.25">
      <c r="B311" s="293"/>
      <c r="C311" s="293"/>
      <c r="D311" s="230"/>
      <c r="E311" s="230"/>
      <c r="F311" s="230"/>
      <c r="G311" s="230"/>
      <c r="H311" s="231"/>
      <c r="I311" s="230"/>
      <c r="J311" s="230"/>
      <c r="K311" s="230"/>
      <c r="L311" s="299"/>
      <c r="M311" s="317"/>
      <c r="N311" s="317"/>
      <c r="O311" s="317"/>
      <c r="P311" s="318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</row>
    <row r="312" spans="2:31" s="204" customFormat="1" ht="25.5" x14ac:dyDescent="0.25">
      <c r="B312" s="293"/>
      <c r="C312" s="293"/>
      <c r="D312" s="293"/>
      <c r="E312" s="293"/>
      <c r="F312" s="293"/>
      <c r="G312" s="293"/>
      <c r="H312" s="319"/>
      <c r="I312" s="293"/>
      <c r="J312" s="293"/>
      <c r="K312" s="293"/>
      <c r="L312" s="320"/>
      <c r="M312" s="244"/>
      <c r="N312" s="256" t="str">
        <f>N$15</f>
        <v>Valore netto al 31/12/2019</v>
      </c>
      <c r="O312" s="256" t="str">
        <f>O$15</f>
        <v>Valore netto al 31/12/2020</v>
      </c>
      <c r="P312" s="256" t="str">
        <f>P$15</f>
        <v>Variazione</v>
      </c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</row>
    <row r="313" spans="2:31" s="204" customFormat="1" x14ac:dyDescent="0.25">
      <c r="B313" s="246" t="s">
        <v>706</v>
      </c>
      <c r="C313" s="292" t="s">
        <v>707</v>
      </c>
      <c r="D313" s="247" t="s">
        <v>3299</v>
      </c>
      <c r="E313" s="247"/>
      <c r="F313" s="247"/>
      <c r="G313" s="247"/>
      <c r="H313" s="248"/>
      <c r="I313" s="247"/>
      <c r="J313" s="247"/>
      <c r="K313" s="249"/>
      <c r="L313" s="257" t="s">
        <v>709</v>
      </c>
      <c r="M313" s="251" t="s">
        <v>2962</v>
      </c>
      <c r="N313" s="252">
        <f>+N315-N327</f>
        <v>0</v>
      </c>
      <c r="O313" s="252">
        <f>+O315-O327</f>
        <v>0</v>
      </c>
      <c r="P313" s="253">
        <f>+O313-N313</f>
        <v>0</v>
      </c>
      <c r="Q313" s="285"/>
      <c r="R313" s="285"/>
      <c r="S313" s="252">
        <f>+S315-S327</f>
        <v>0</v>
      </c>
      <c r="T313" s="285"/>
      <c r="U313" s="285"/>
      <c r="V313" s="285"/>
      <c r="W313" s="211"/>
      <c r="X313" s="252">
        <f>+X315-X327</f>
        <v>0</v>
      </c>
      <c r="Y313" s="285"/>
      <c r="Z313" s="285"/>
      <c r="AA313" s="285"/>
    </row>
    <row r="314" spans="2:31" s="204" customFormat="1" x14ac:dyDescent="0.25">
      <c r="B314" s="293"/>
      <c r="C314" s="293"/>
      <c r="D314" s="230"/>
      <c r="E314" s="230"/>
      <c r="F314" s="230"/>
      <c r="G314" s="285"/>
      <c r="H314" s="321"/>
      <c r="I314" s="285"/>
      <c r="J314" s="285"/>
      <c r="K314" s="285"/>
      <c r="L314" s="322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</row>
    <row r="315" spans="2:31" s="204" customFormat="1" x14ac:dyDescent="0.25">
      <c r="B315" s="246" t="s">
        <v>710</v>
      </c>
      <c r="C315" s="292" t="s">
        <v>711</v>
      </c>
      <c r="D315" s="247" t="s">
        <v>3300</v>
      </c>
      <c r="E315" s="247"/>
      <c r="F315" s="247"/>
      <c r="G315" s="247"/>
      <c r="H315" s="248"/>
      <c r="I315" s="247"/>
      <c r="J315" s="247"/>
      <c r="K315" s="249"/>
      <c r="L315" s="276" t="s">
        <v>714</v>
      </c>
      <c r="M315" s="251" t="s">
        <v>2962</v>
      </c>
      <c r="N315" s="252">
        <f>SUM(N318:N325)</f>
        <v>0</v>
      </c>
      <c r="O315" s="252">
        <f>SUM(O318:O325)</f>
        <v>0</v>
      </c>
      <c r="P315" s="259">
        <f>+O315-N315</f>
        <v>0</v>
      </c>
      <c r="Q315" s="252">
        <f>SUM(Q318:Q325)</f>
        <v>0</v>
      </c>
      <c r="R315" s="252">
        <f>SUM(R318:R325)</f>
        <v>0</v>
      </c>
      <c r="S315" s="252">
        <f>SUM(S318:S325)</f>
        <v>0</v>
      </c>
      <c r="T315" s="252">
        <f>SUM(T318:T325)</f>
        <v>0</v>
      </c>
      <c r="U315" s="252">
        <f>SUM(U318:U325)</f>
        <v>0</v>
      </c>
      <c r="W315" s="252">
        <f t="shared" ref="W315:AE315" si="40">SUM(W318:W325)</f>
        <v>0</v>
      </c>
      <c r="X315" s="252">
        <f t="shared" si="40"/>
        <v>0</v>
      </c>
      <c r="Y315" s="252">
        <f t="shared" si="40"/>
        <v>0</v>
      </c>
      <c r="Z315" s="252">
        <f t="shared" si="40"/>
        <v>0</v>
      </c>
      <c r="AA315" s="252">
        <f t="shared" si="40"/>
        <v>0</v>
      </c>
      <c r="AB315" s="252">
        <f t="shared" si="40"/>
        <v>0</v>
      </c>
      <c r="AC315" s="252">
        <f t="shared" si="40"/>
        <v>0</v>
      </c>
      <c r="AD315" s="252">
        <f t="shared" si="40"/>
        <v>0</v>
      </c>
      <c r="AE315" s="252">
        <f t="shared" si="40"/>
        <v>0</v>
      </c>
    </row>
    <row r="316" spans="2:31" s="204" customFormat="1" x14ac:dyDescent="0.25">
      <c r="B316" s="293"/>
      <c r="C316" s="293"/>
      <c r="D316" s="230"/>
      <c r="E316" s="230"/>
      <c r="F316" s="230"/>
      <c r="G316" s="230"/>
      <c r="H316" s="231"/>
      <c r="I316" s="230"/>
      <c r="J316" s="230"/>
      <c r="K316" s="230"/>
      <c r="L316" s="277"/>
      <c r="M316" s="211"/>
      <c r="N316" s="254"/>
      <c r="O316" s="211"/>
      <c r="P316" s="211"/>
      <c r="Q316" s="211"/>
      <c r="R316" s="211"/>
      <c r="T316" s="211"/>
      <c r="U316" s="211"/>
      <c r="V316" s="211"/>
      <c r="W316" s="211"/>
      <c r="X316" s="211"/>
      <c r="Y316" s="211"/>
      <c r="Z316" s="211"/>
      <c r="AA316" s="211"/>
    </row>
    <row r="317" spans="2:31" s="204" customFormat="1" ht="63.75" x14ac:dyDescent="0.25">
      <c r="B317" s="294" t="s">
        <v>2968</v>
      </c>
      <c r="C317" s="294" t="s">
        <v>2969</v>
      </c>
      <c r="D317" s="206" t="s">
        <v>72</v>
      </c>
      <c r="E317" s="206"/>
      <c r="F317" s="206"/>
      <c r="G317" s="207"/>
      <c r="H317" s="207"/>
      <c r="I317" s="207"/>
      <c r="J317" s="207" t="s">
        <v>2957</v>
      </c>
      <c r="K317" s="206" t="s">
        <v>82</v>
      </c>
      <c r="L317" s="261" t="s">
        <v>2970</v>
      </c>
      <c r="M317" s="260"/>
      <c r="N317" s="256" t="str">
        <f>N$15</f>
        <v>Valore netto al 31/12/2019</v>
      </c>
      <c r="O317" s="256" t="str">
        <f>O$15</f>
        <v>Valore netto al 31/12/2020</v>
      </c>
      <c r="P317" s="256" t="str">
        <f>P$15</f>
        <v>Variazione</v>
      </c>
      <c r="Q317" s="262" t="s">
        <v>2971</v>
      </c>
      <c r="R317" s="262" t="str">
        <f>"Costo storico al 31/12/"&amp;Info!$B$3-1</f>
        <v>Costo storico al 31/12/2019</v>
      </c>
      <c r="S317" s="262" t="s">
        <v>2972</v>
      </c>
      <c r="T317" s="262" t="s">
        <v>2973</v>
      </c>
      <c r="U317" s="262" t="s">
        <v>2974</v>
      </c>
      <c r="W317" s="262" t="s">
        <v>2975</v>
      </c>
      <c r="X317" s="262" t="s">
        <v>2976</v>
      </c>
      <c r="Y317" s="262" t="s">
        <v>2977</v>
      </c>
      <c r="Z317" s="262" t="s">
        <v>2978</v>
      </c>
      <c r="AA317" s="262" t="s">
        <v>2979</v>
      </c>
      <c r="AB317" s="262" t="s">
        <v>2980</v>
      </c>
      <c r="AC317" s="262" t="s">
        <v>2981</v>
      </c>
      <c r="AD317" s="262" t="s">
        <v>2982</v>
      </c>
      <c r="AE317" s="262" t="s">
        <v>2983</v>
      </c>
    </row>
    <row r="318" spans="2:31" s="204" customFormat="1" x14ac:dyDescent="0.25">
      <c r="B318" s="246" t="s">
        <v>715</v>
      </c>
      <c r="C318" s="287" t="s">
        <v>716</v>
      </c>
      <c r="D318" s="274" t="s">
        <v>3301</v>
      </c>
      <c r="E318" s="264"/>
      <c r="F318" s="274"/>
      <c r="G318" s="274"/>
      <c r="H318" s="266"/>
      <c r="I318" s="281"/>
      <c r="J318" s="281"/>
      <c r="K318" s="281"/>
      <c r="L318" s="282" t="s">
        <v>3302</v>
      </c>
      <c r="M318" s="263" t="s">
        <v>2962</v>
      </c>
      <c r="N318" s="269">
        <f t="shared" ref="N318:N325" si="41">+R318+T318-U318</f>
        <v>0</v>
      </c>
      <c r="O318" s="270">
        <f t="shared" ref="O318:O325" si="42">+N318+S318+X318+ABS(Y318)-ABS(AA318)+ABS(Z318)+ABS(AB318)+ABS(AD318)-ABS(AE318)+AC318+W318+Q318</f>
        <v>0</v>
      </c>
      <c r="P318" s="271">
        <f t="shared" ref="P318:P325" si="43">+O318-N318</f>
        <v>0</v>
      </c>
      <c r="Q318" s="520"/>
      <c r="R318" s="354">
        <f>IF(ISERROR(VLOOKUP("RIC"&amp;$C318,ESTR_PREC_SP!$A$2:$G$2000,4,FALSE))=TRUE,0,VLOOKUP("RIC"&amp;$C318,ESTR_PREC_SP!$A$2:$G$2000,4,FALSE))</f>
        <v>0</v>
      </c>
      <c r="S318" s="521"/>
      <c r="T318" s="521"/>
      <c r="U318" s="521"/>
      <c r="W318" s="520"/>
      <c r="X318" s="520"/>
      <c r="Y318" s="520"/>
      <c r="Z318" s="520"/>
      <c r="AA318" s="520"/>
      <c r="AB318" s="520"/>
      <c r="AC318" s="520"/>
      <c r="AD318" s="520"/>
      <c r="AE318" s="520"/>
    </row>
    <row r="319" spans="2:31" s="204" customFormat="1" x14ac:dyDescent="0.25">
      <c r="B319" s="246" t="s">
        <v>718</v>
      </c>
      <c r="C319" s="287" t="s">
        <v>719</v>
      </c>
      <c r="D319" s="274" t="s">
        <v>3303</v>
      </c>
      <c r="E319" s="264"/>
      <c r="F319" s="274"/>
      <c r="G319" s="274"/>
      <c r="H319" s="266"/>
      <c r="I319" s="281"/>
      <c r="J319" s="281"/>
      <c r="K319" s="281"/>
      <c r="L319" s="282" t="s">
        <v>3304</v>
      </c>
      <c r="M319" s="263" t="s">
        <v>2962</v>
      </c>
      <c r="N319" s="269">
        <f t="shared" si="41"/>
        <v>0</v>
      </c>
      <c r="O319" s="270">
        <f t="shared" si="42"/>
        <v>0</v>
      </c>
      <c r="P319" s="271">
        <f t="shared" si="43"/>
        <v>0</v>
      </c>
      <c r="Q319" s="520"/>
      <c r="R319" s="354">
        <f>IF(ISERROR(VLOOKUP("RIC"&amp;$C319,ESTR_PREC_SP!$A$2:$G$2000,4,FALSE))=TRUE,0,VLOOKUP("RIC"&amp;$C319,ESTR_PREC_SP!$A$2:$G$2000,4,FALSE))</f>
        <v>0</v>
      </c>
      <c r="S319" s="521"/>
      <c r="T319" s="521"/>
      <c r="U319" s="521"/>
      <c r="W319" s="520"/>
      <c r="X319" s="520"/>
      <c r="Y319" s="520"/>
      <c r="Z319" s="520"/>
      <c r="AA319" s="520"/>
      <c r="AB319" s="520"/>
      <c r="AC319" s="520"/>
      <c r="AD319" s="520"/>
      <c r="AE319" s="520"/>
    </row>
    <row r="320" spans="2:31" s="204" customFormat="1" x14ac:dyDescent="0.25">
      <c r="B320" s="246" t="s">
        <v>721</v>
      </c>
      <c r="C320" s="287" t="s">
        <v>722</v>
      </c>
      <c r="D320" s="274" t="s">
        <v>3305</v>
      </c>
      <c r="E320" s="264"/>
      <c r="F320" s="274"/>
      <c r="G320" s="274"/>
      <c r="H320" s="266"/>
      <c r="I320" s="281"/>
      <c r="J320" s="281"/>
      <c r="K320" s="281"/>
      <c r="L320" s="295" t="s">
        <v>3306</v>
      </c>
      <c r="M320" s="284" t="s">
        <v>2962</v>
      </c>
      <c r="N320" s="269">
        <f t="shared" si="41"/>
        <v>0</v>
      </c>
      <c r="O320" s="270">
        <f t="shared" si="42"/>
        <v>0</v>
      </c>
      <c r="P320" s="271">
        <f t="shared" si="43"/>
        <v>0</v>
      </c>
      <c r="Q320" s="520"/>
      <c r="R320" s="354">
        <f>IF(ISERROR(VLOOKUP("RIC"&amp;$C320,ESTR_PREC_SP!$A$2:$G$2000,4,FALSE))=TRUE,0,VLOOKUP("RIC"&amp;$C320,ESTR_PREC_SP!$A$2:$G$2000,4,FALSE))</f>
        <v>0</v>
      </c>
      <c r="S320" s="521"/>
      <c r="T320" s="521"/>
      <c r="U320" s="521"/>
      <c r="W320" s="520"/>
      <c r="X320" s="520"/>
      <c r="Y320" s="520"/>
      <c r="Z320" s="520"/>
      <c r="AA320" s="520"/>
      <c r="AB320" s="520"/>
      <c r="AC320" s="520"/>
      <c r="AD320" s="520"/>
      <c r="AE320" s="520"/>
    </row>
    <row r="321" spans="2:31" s="204" customFormat="1" x14ac:dyDescent="0.25">
      <c r="B321" s="246" t="s">
        <v>724</v>
      </c>
      <c r="C321" s="287" t="s">
        <v>725</v>
      </c>
      <c r="D321" s="274" t="s">
        <v>3307</v>
      </c>
      <c r="E321" s="264"/>
      <c r="F321" s="274"/>
      <c r="G321" s="274"/>
      <c r="H321" s="266"/>
      <c r="I321" s="281"/>
      <c r="J321" s="281"/>
      <c r="K321" s="281"/>
      <c r="L321" s="295" t="s">
        <v>3308</v>
      </c>
      <c r="M321" s="284" t="s">
        <v>2962</v>
      </c>
      <c r="N321" s="269">
        <f t="shared" si="41"/>
        <v>0</v>
      </c>
      <c r="O321" s="270">
        <f t="shared" si="42"/>
        <v>0</v>
      </c>
      <c r="P321" s="271">
        <f t="shared" si="43"/>
        <v>0</v>
      </c>
      <c r="Q321" s="520"/>
      <c r="R321" s="354">
        <f>IF(ISERROR(VLOOKUP("RIC"&amp;$C321,ESTR_PREC_SP!$A$2:$G$2000,4,FALSE))=TRUE,0,VLOOKUP("RIC"&amp;$C321,ESTR_PREC_SP!$A$2:$G$2000,4,FALSE))</f>
        <v>0</v>
      </c>
      <c r="S321" s="521"/>
      <c r="T321" s="521"/>
      <c r="U321" s="521"/>
      <c r="W321" s="520"/>
      <c r="X321" s="520"/>
      <c r="Y321" s="520"/>
      <c r="Z321" s="520"/>
      <c r="AA321" s="520"/>
      <c r="AB321" s="520"/>
      <c r="AC321" s="520"/>
      <c r="AD321" s="520"/>
      <c r="AE321" s="520"/>
    </row>
    <row r="322" spans="2:31" s="204" customFormat="1" x14ac:dyDescent="0.25">
      <c r="B322" s="246" t="s">
        <v>727</v>
      </c>
      <c r="C322" s="287" t="s">
        <v>728</v>
      </c>
      <c r="D322" s="274" t="s">
        <v>3309</v>
      </c>
      <c r="E322" s="264"/>
      <c r="F322" s="274"/>
      <c r="G322" s="274"/>
      <c r="H322" s="266"/>
      <c r="I322" s="281"/>
      <c r="J322" s="281"/>
      <c r="K322" s="281"/>
      <c r="L322" s="295" t="s">
        <v>3310</v>
      </c>
      <c r="M322" s="284" t="s">
        <v>2962</v>
      </c>
      <c r="N322" s="269">
        <f t="shared" si="41"/>
        <v>0</v>
      </c>
      <c r="O322" s="270">
        <f t="shared" si="42"/>
        <v>0</v>
      </c>
      <c r="P322" s="271">
        <f t="shared" si="43"/>
        <v>0</v>
      </c>
      <c r="Q322" s="520"/>
      <c r="R322" s="354">
        <f>IF(ISERROR(VLOOKUP("RIC"&amp;$C322,ESTR_PREC_SP!$A$2:$G$2000,4,FALSE))=TRUE,0,VLOOKUP("RIC"&amp;$C322,ESTR_PREC_SP!$A$2:$G$2000,4,FALSE))</f>
        <v>0</v>
      </c>
      <c r="S322" s="521"/>
      <c r="T322" s="521"/>
      <c r="U322" s="521"/>
      <c r="W322" s="520"/>
      <c r="X322" s="520"/>
      <c r="Y322" s="520"/>
      <c r="Z322" s="520"/>
      <c r="AA322" s="520"/>
      <c r="AB322" s="520"/>
      <c r="AC322" s="520"/>
      <c r="AD322" s="520"/>
      <c r="AE322" s="520"/>
    </row>
    <row r="323" spans="2:31" s="204" customFormat="1" x14ac:dyDescent="0.25">
      <c r="B323" s="246" t="s">
        <v>730</v>
      </c>
      <c r="C323" s="287" t="s">
        <v>731</v>
      </c>
      <c r="D323" s="274" t="s">
        <v>3311</v>
      </c>
      <c r="E323" s="264"/>
      <c r="F323" s="274"/>
      <c r="G323" s="274"/>
      <c r="H323" s="266"/>
      <c r="I323" s="281"/>
      <c r="J323" s="281"/>
      <c r="K323" s="281"/>
      <c r="L323" s="295" t="s">
        <v>3312</v>
      </c>
      <c r="M323" s="284" t="s">
        <v>2962</v>
      </c>
      <c r="N323" s="269">
        <f t="shared" si="41"/>
        <v>0</v>
      </c>
      <c r="O323" s="270">
        <f t="shared" si="42"/>
        <v>0</v>
      </c>
      <c r="P323" s="271">
        <f t="shared" si="43"/>
        <v>0</v>
      </c>
      <c r="Q323" s="520"/>
      <c r="R323" s="354">
        <f>IF(ISERROR(VLOOKUP("RIC"&amp;$C323,ESTR_PREC_SP!$A$2:$G$2000,4,FALSE))=TRUE,0,VLOOKUP("RIC"&amp;$C323,ESTR_PREC_SP!$A$2:$G$2000,4,FALSE))</f>
        <v>0</v>
      </c>
      <c r="S323" s="521"/>
      <c r="T323" s="521"/>
      <c r="U323" s="521"/>
      <c r="W323" s="520"/>
      <c r="X323" s="520"/>
      <c r="Y323" s="520"/>
      <c r="Z323" s="520"/>
      <c r="AA323" s="520"/>
      <c r="AB323" s="520"/>
      <c r="AC323" s="520"/>
      <c r="AD323" s="520"/>
      <c r="AE323" s="520"/>
    </row>
    <row r="324" spans="2:31" s="204" customFormat="1" x14ac:dyDescent="0.25">
      <c r="B324" s="246" t="s">
        <v>733</v>
      </c>
      <c r="C324" s="287" t="s">
        <v>734</v>
      </c>
      <c r="D324" s="274" t="s">
        <v>3313</v>
      </c>
      <c r="E324" s="264"/>
      <c r="F324" s="274"/>
      <c r="G324" s="274"/>
      <c r="H324" s="266"/>
      <c r="I324" s="281"/>
      <c r="J324" s="281"/>
      <c r="K324" s="281"/>
      <c r="L324" s="295" t="s">
        <v>3314</v>
      </c>
      <c r="M324" s="284" t="s">
        <v>2962</v>
      </c>
      <c r="N324" s="269">
        <f t="shared" si="41"/>
        <v>0</v>
      </c>
      <c r="O324" s="270">
        <f t="shared" si="42"/>
        <v>0</v>
      </c>
      <c r="P324" s="271">
        <f t="shared" si="43"/>
        <v>0</v>
      </c>
      <c r="Q324" s="520"/>
      <c r="R324" s="354">
        <f>IF(ISERROR(VLOOKUP("RIC"&amp;$C324,ESTR_PREC_SP!$A$2:$G$2000,4,FALSE))=TRUE,0,VLOOKUP("RIC"&amp;$C324,ESTR_PREC_SP!$A$2:$G$2000,4,FALSE))</f>
        <v>0</v>
      </c>
      <c r="S324" s="521"/>
      <c r="T324" s="521"/>
      <c r="U324" s="521"/>
      <c r="W324" s="520"/>
      <c r="X324" s="520"/>
      <c r="Y324" s="520"/>
      <c r="Z324" s="520"/>
      <c r="AA324" s="520"/>
      <c r="AB324" s="520"/>
      <c r="AC324" s="520"/>
      <c r="AD324" s="520"/>
      <c r="AE324" s="520"/>
    </row>
    <row r="325" spans="2:31" s="204" customFormat="1" x14ac:dyDescent="0.25">
      <c r="B325" s="246" t="s">
        <v>736</v>
      </c>
      <c r="C325" s="287" t="s">
        <v>737</v>
      </c>
      <c r="D325" s="274" t="s">
        <v>3315</v>
      </c>
      <c r="E325" s="264"/>
      <c r="F325" s="274"/>
      <c r="G325" s="274"/>
      <c r="H325" s="266"/>
      <c r="I325" s="281"/>
      <c r="J325" s="281"/>
      <c r="K325" s="281"/>
      <c r="L325" s="295" t="s">
        <v>3316</v>
      </c>
      <c r="M325" s="284" t="s">
        <v>2962</v>
      </c>
      <c r="N325" s="269">
        <f t="shared" si="41"/>
        <v>0</v>
      </c>
      <c r="O325" s="270">
        <f t="shared" si="42"/>
        <v>0</v>
      </c>
      <c r="P325" s="271">
        <f t="shared" si="43"/>
        <v>0</v>
      </c>
      <c r="Q325" s="520"/>
      <c r="R325" s="354">
        <f>IF(ISERROR(VLOOKUP("RIC"&amp;$C325,ESTR_PREC_SP!$A$2:$G$2000,4,FALSE))=TRUE,0,VLOOKUP("RIC"&amp;$C325,ESTR_PREC_SP!$A$2:$G$2000,4,FALSE))</f>
        <v>0</v>
      </c>
      <c r="S325" s="521"/>
      <c r="T325" s="521"/>
      <c r="U325" s="521"/>
      <c r="W325" s="520"/>
      <c r="X325" s="520"/>
      <c r="Y325" s="520"/>
      <c r="Z325" s="520"/>
      <c r="AA325" s="520"/>
      <c r="AB325" s="520"/>
      <c r="AC325" s="520"/>
      <c r="AD325" s="520"/>
      <c r="AE325" s="520"/>
    </row>
    <row r="326" spans="2:31" s="204" customFormat="1" x14ac:dyDescent="0.25">
      <c r="B326" s="293"/>
      <c r="C326" s="293"/>
      <c r="D326" s="293"/>
      <c r="E326" s="293"/>
      <c r="F326" s="293"/>
      <c r="G326" s="293"/>
      <c r="H326" s="319"/>
      <c r="I326" s="293"/>
      <c r="J326" s="293"/>
      <c r="K326" s="293"/>
      <c r="L326" s="323"/>
      <c r="M326" s="216"/>
      <c r="N326" s="285"/>
      <c r="O326" s="285"/>
      <c r="P326" s="285"/>
      <c r="Q326" s="211"/>
      <c r="R326" s="211"/>
      <c r="S326" s="211"/>
      <c r="T326" s="285"/>
      <c r="U326" s="285"/>
      <c r="V326" s="285"/>
      <c r="W326" s="285"/>
      <c r="X326" s="285"/>
      <c r="Y326" s="285"/>
      <c r="Z326" s="285"/>
      <c r="AA326" s="285"/>
    </row>
    <row r="327" spans="2:31" s="204" customFormat="1" x14ac:dyDescent="0.25">
      <c r="B327" s="246" t="s">
        <v>739</v>
      </c>
      <c r="C327" s="292" t="s">
        <v>740</v>
      </c>
      <c r="D327" s="247" t="s">
        <v>3317</v>
      </c>
      <c r="E327" s="247"/>
      <c r="F327" s="247"/>
      <c r="G327" s="247"/>
      <c r="H327" s="248"/>
      <c r="I327" s="247"/>
      <c r="J327" s="247"/>
      <c r="K327" s="249"/>
      <c r="L327" s="276" t="s">
        <v>743</v>
      </c>
      <c r="M327" s="251" t="s">
        <v>2962</v>
      </c>
      <c r="N327" s="252">
        <f>SUM(N330:N337)</f>
        <v>0</v>
      </c>
      <c r="O327" s="252">
        <f>SUM(O330:O337)</f>
        <v>0</v>
      </c>
      <c r="P327" s="259">
        <f>+O327-N327</f>
        <v>0</v>
      </c>
      <c r="Q327" s="252">
        <f>SUM(Q330:Q337)</f>
        <v>0</v>
      </c>
      <c r="R327" s="252">
        <f>SUM(R330:R337)</f>
        <v>0</v>
      </c>
      <c r="S327" s="252">
        <f>SUM(S330:S337)</f>
        <v>0</v>
      </c>
      <c r="W327" s="252">
        <f>SUM(W330:W337)</f>
        <v>0</v>
      </c>
      <c r="X327" s="252">
        <f>SUM(X330:X337)</f>
        <v>0</v>
      </c>
      <c r="Y327" s="252">
        <f>SUM(Y330:Y337)</f>
        <v>0</v>
      </c>
      <c r="Z327" s="252">
        <f>SUM(Z330:Z337)</f>
        <v>0</v>
      </c>
      <c r="AA327" s="285"/>
    </row>
    <row r="328" spans="2:31" s="204" customFormat="1" x14ac:dyDescent="0.25">
      <c r="B328" s="293"/>
      <c r="C328" s="293"/>
      <c r="D328" s="230"/>
      <c r="E328" s="230"/>
      <c r="F328" s="230"/>
      <c r="G328" s="230"/>
      <c r="H328" s="231"/>
      <c r="I328" s="230"/>
      <c r="J328" s="230"/>
      <c r="K328" s="230"/>
      <c r="L328" s="277"/>
      <c r="M328" s="211"/>
      <c r="N328" s="254"/>
      <c r="O328" s="211"/>
      <c r="P328" s="211"/>
      <c r="Q328" s="211"/>
      <c r="R328" s="211"/>
      <c r="W328" s="285"/>
      <c r="X328" s="285"/>
      <c r="Y328" s="285"/>
      <c r="Z328" s="285"/>
      <c r="AA328" s="285"/>
    </row>
    <row r="329" spans="2:31" s="204" customFormat="1" ht="63.75" x14ac:dyDescent="0.25">
      <c r="B329" s="294" t="s">
        <v>2968</v>
      </c>
      <c r="C329" s="294" t="s">
        <v>2969</v>
      </c>
      <c r="D329" s="206" t="s">
        <v>72</v>
      </c>
      <c r="E329" s="206"/>
      <c r="F329" s="206"/>
      <c r="G329" s="207"/>
      <c r="H329" s="207"/>
      <c r="I329" s="207"/>
      <c r="J329" s="207" t="s">
        <v>2957</v>
      </c>
      <c r="K329" s="206" t="s">
        <v>82</v>
      </c>
      <c r="L329" s="261" t="s">
        <v>2970</v>
      </c>
      <c r="M329" s="260"/>
      <c r="N329" s="256" t="str">
        <f>N$15</f>
        <v>Valore netto al 31/12/2019</v>
      </c>
      <c r="O329" s="256" t="str">
        <f>O$15</f>
        <v>Valore netto al 31/12/2020</v>
      </c>
      <c r="P329" s="256" t="str">
        <f>P$15</f>
        <v>Variazione</v>
      </c>
      <c r="Q329" s="262" t="s">
        <v>2971</v>
      </c>
      <c r="R329" s="262" t="str">
        <f>"Fondo ammortamento 31/12/"&amp;Info!$B$3-1</f>
        <v>Fondo ammortamento 31/12/2019</v>
      </c>
      <c r="S329" s="262" t="s">
        <v>2972</v>
      </c>
      <c r="W329" s="262" t="s">
        <v>2975</v>
      </c>
      <c r="X329" s="262" t="s">
        <v>2976</v>
      </c>
      <c r="Y329" s="262" t="s">
        <v>2989</v>
      </c>
      <c r="Z329" s="262" t="s">
        <v>2990</v>
      </c>
      <c r="AA329" s="285"/>
    </row>
    <row r="330" spans="2:31" s="204" customFormat="1" x14ac:dyDescent="0.25">
      <c r="B330" s="246" t="s">
        <v>744</v>
      </c>
      <c r="C330" s="287" t="s">
        <v>745</v>
      </c>
      <c r="D330" s="274" t="s">
        <v>3318</v>
      </c>
      <c r="E330" s="264"/>
      <c r="F330" s="274"/>
      <c r="G330" s="274"/>
      <c r="H330" s="266"/>
      <c r="I330" s="281"/>
      <c r="J330" s="281"/>
      <c r="K330" s="281"/>
      <c r="L330" s="282" t="s">
        <v>3319</v>
      </c>
      <c r="M330" s="263" t="s">
        <v>2962</v>
      </c>
      <c r="N330" s="269">
        <f t="shared" ref="N330:N337" si="44">+R330</f>
        <v>0</v>
      </c>
      <c r="O330" s="270">
        <f t="shared" ref="O330:O337" si="45">+R330+S330+X330-ABS(Y330)+ABS(Z330)+W330+Q330</f>
        <v>0</v>
      </c>
      <c r="P330" s="271">
        <f t="shared" ref="P330:P337" si="46">+O330-N330</f>
        <v>0</v>
      </c>
      <c r="Q330" s="520"/>
      <c r="R330" s="354">
        <f>IF(ISERROR(VLOOKUP("RIC"&amp;$C330,ESTR_PREC_SP!$A$2:$G$2000,4,FALSE))=TRUE,0,VLOOKUP("RIC"&amp;$C330,ESTR_PREC_SP!$A$2:$G$2000,4,FALSE))</f>
        <v>0</v>
      </c>
      <c r="S330" s="521"/>
      <c r="V330" s="211"/>
      <c r="W330" s="520"/>
      <c r="X330" s="520"/>
      <c r="Y330" s="520"/>
      <c r="Z330" s="520"/>
      <c r="AA330" s="285"/>
    </row>
    <row r="331" spans="2:31" s="204" customFormat="1" x14ac:dyDescent="0.25">
      <c r="B331" s="246" t="s">
        <v>747</v>
      </c>
      <c r="C331" s="287" t="s">
        <v>748</v>
      </c>
      <c r="D331" s="274" t="s">
        <v>3320</v>
      </c>
      <c r="E331" s="264"/>
      <c r="F331" s="274"/>
      <c r="G331" s="274"/>
      <c r="H331" s="266"/>
      <c r="I331" s="281"/>
      <c r="J331" s="281"/>
      <c r="K331" s="281"/>
      <c r="L331" s="282" t="s">
        <v>3321</v>
      </c>
      <c r="M331" s="263" t="s">
        <v>2962</v>
      </c>
      <c r="N331" s="269">
        <f t="shared" si="44"/>
        <v>0</v>
      </c>
      <c r="O331" s="270">
        <f t="shared" si="45"/>
        <v>0</v>
      </c>
      <c r="P331" s="271">
        <f t="shared" si="46"/>
        <v>0</v>
      </c>
      <c r="Q331" s="520"/>
      <c r="R331" s="354">
        <f>IF(ISERROR(VLOOKUP("RIC"&amp;$C331,ESTR_PREC_SP!$A$2:$G$2000,4,FALSE))=TRUE,0,VLOOKUP("RIC"&amp;$C331,ESTR_PREC_SP!$A$2:$G$2000,4,FALSE))</f>
        <v>0</v>
      </c>
      <c r="S331" s="521"/>
      <c r="V331" s="211"/>
      <c r="W331" s="520"/>
      <c r="X331" s="520"/>
      <c r="Y331" s="520"/>
      <c r="Z331" s="520"/>
      <c r="AA331" s="285"/>
    </row>
    <row r="332" spans="2:31" s="204" customFormat="1" x14ac:dyDescent="0.25">
      <c r="B332" s="246" t="s">
        <v>750</v>
      </c>
      <c r="C332" s="287" t="s">
        <v>751</v>
      </c>
      <c r="D332" s="274" t="s">
        <v>3322</v>
      </c>
      <c r="E332" s="264"/>
      <c r="F332" s="274"/>
      <c r="G332" s="274"/>
      <c r="H332" s="266"/>
      <c r="I332" s="281"/>
      <c r="J332" s="281"/>
      <c r="K332" s="281"/>
      <c r="L332" s="295" t="s">
        <v>3323</v>
      </c>
      <c r="M332" s="284" t="s">
        <v>2962</v>
      </c>
      <c r="N332" s="269">
        <f t="shared" si="44"/>
        <v>0</v>
      </c>
      <c r="O332" s="270">
        <f t="shared" si="45"/>
        <v>0</v>
      </c>
      <c r="P332" s="271">
        <f t="shared" si="46"/>
        <v>0</v>
      </c>
      <c r="Q332" s="520"/>
      <c r="R332" s="354">
        <f>IF(ISERROR(VLOOKUP("RIC"&amp;$C332,ESTR_PREC_SP!$A$2:$G$2000,4,FALSE))=TRUE,0,VLOOKUP("RIC"&amp;$C332,ESTR_PREC_SP!$A$2:$G$2000,4,FALSE))</f>
        <v>0</v>
      </c>
      <c r="S332" s="521"/>
      <c r="V332" s="211"/>
      <c r="W332" s="520"/>
      <c r="X332" s="520"/>
      <c r="Y332" s="520"/>
      <c r="Z332" s="520"/>
      <c r="AA332" s="285"/>
    </row>
    <row r="333" spans="2:31" s="204" customFormat="1" x14ac:dyDescent="0.25">
      <c r="B333" s="246" t="s">
        <v>753</v>
      </c>
      <c r="C333" s="287" t="s">
        <v>754</v>
      </c>
      <c r="D333" s="274" t="s">
        <v>3324</v>
      </c>
      <c r="E333" s="264"/>
      <c r="F333" s="274"/>
      <c r="G333" s="274"/>
      <c r="H333" s="266"/>
      <c r="I333" s="281"/>
      <c r="J333" s="281"/>
      <c r="K333" s="281"/>
      <c r="L333" s="295" t="s">
        <v>3325</v>
      </c>
      <c r="M333" s="284" t="s">
        <v>2962</v>
      </c>
      <c r="N333" s="269">
        <f t="shared" si="44"/>
        <v>0</v>
      </c>
      <c r="O333" s="270">
        <f t="shared" si="45"/>
        <v>0</v>
      </c>
      <c r="P333" s="271">
        <f t="shared" si="46"/>
        <v>0</v>
      </c>
      <c r="Q333" s="520"/>
      <c r="R333" s="354">
        <f>IF(ISERROR(VLOOKUP("RIC"&amp;$C333,ESTR_PREC_SP!$A$2:$G$2000,4,FALSE))=TRUE,0,VLOOKUP("RIC"&amp;$C333,ESTR_PREC_SP!$A$2:$G$2000,4,FALSE))</f>
        <v>0</v>
      </c>
      <c r="S333" s="521"/>
      <c r="V333" s="211"/>
      <c r="W333" s="520"/>
      <c r="X333" s="520"/>
      <c r="Y333" s="520"/>
      <c r="Z333" s="520"/>
      <c r="AA333" s="285"/>
    </row>
    <row r="334" spans="2:31" s="204" customFormat="1" x14ac:dyDescent="0.25">
      <c r="B334" s="246" t="s">
        <v>756</v>
      </c>
      <c r="C334" s="287" t="s">
        <v>757</v>
      </c>
      <c r="D334" s="274" t="s">
        <v>3326</v>
      </c>
      <c r="E334" s="264"/>
      <c r="F334" s="274"/>
      <c r="G334" s="274"/>
      <c r="H334" s="266"/>
      <c r="I334" s="281"/>
      <c r="J334" s="281"/>
      <c r="K334" s="281"/>
      <c r="L334" s="295" t="s">
        <v>3327</v>
      </c>
      <c r="M334" s="284" t="s">
        <v>2962</v>
      </c>
      <c r="N334" s="269">
        <f t="shared" si="44"/>
        <v>0</v>
      </c>
      <c r="O334" s="270">
        <f t="shared" si="45"/>
        <v>0</v>
      </c>
      <c r="P334" s="271">
        <f t="shared" si="46"/>
        <v>0</v>
      </c>
      <c r="Q334" s="520"/>
      <c r="R334" s="354">
        <f>IF(ISERROR(VLOOKUP("RIC"&amp;$C334,ESTR_PREC_SP!$A$2:$G$2000,4,FALSE))=TRUE,0,VLOOKUP("RIC"&amp;$C334,ESTR_PREC_SP!$A$2:$G$2000,4,FALSE))</f>
        <v>0</v>
      </c>
      <c r="S334" s="521"/>
      <c r="V334" s="211"/>
      <c r="W334" s="520"/>
      <c r="X334" s="520"/>
      <c r="Y334" s="520"/>
      <c r="Z334" s="520"/>
      <c r="AA334" s="285"/>
    </row>
    <row r="335" spans="2:31" s="204" customFormat="1" x14ac:dyDescent="0.25">
      <c r="B335" s="246" t="s">
        <v>759</v>
      </c>
      <c r="C335" s="287" t="s">
        <v>760</v>
      </c>
      <c r="D335" s="274" t="s">
        <v>3328</v>
      </c>
      <c r="E335" s="264"/>
      <c r="F335" s="274"/>
      <c r="G335" s="274"/>
      <c r="H335" s="266"/>
      <c r="I335" s="281"/>
      <c r="J335" s="281"/>
      <c r="K335" s="281"/>
      <c r="L335" s="295" t="s">
        <v>3329</v>
      </c>
      <c r="M335" s="284" t="s">
        <v>2962</v>
      </c>
      <c r="N335" s="269">
        <f t="shared" si="44"/>
        <v>0</v>
      </c>
      <c r="O335" s="270">
        <f t="shared" si="45"/>
        <v>0</v>
      </c>
      <c r="P335" s="271">
        <f t="shared" si="46"/>
        <v>0</v>
      </c>
      <c r="Q335" s="520"/>
      <c r="R335" s="354">
        <f>IF(ISERROR(VLOOKUP("RIC"&amp;$C335,ESTR_PREC_SP!$A$2:$G$2000,4,FALSE))=TRUE,0,VLOOKUP("RIC"&amp;$C335,ESTR_PREC_SP!$A$2:$G$2000,4,FALSE))</f>
        <v>0</v>
      </c>
      <c r="S335" s="521"/>
      <c r="V335" s="211"/>
      <c r="W335" s="520"/>
      <c r="X335" s="520"/>
      <c r="Y335" s="520"/>
      <c r="Z335" s="520"/>
      <c r="AA335" s="285"/>
    </row>
    <row r="336" spans="2:31" s="204" customFormat="1" x14ac:dyDescent="0.25">
      <c r="B336" s="246" t="s">
        <v>762</v>
      </c>
      <c r="C336" s="287" t="s">
        <v>763</v>
      </c>
      <c r="D336" s="274" t="s">
        <v>3330</v>
      </c>
      <c r="E336" s="264"/>
      <c r="F336" s="274"/>
      <c r="G336" s="274"/>
      <c r="H336" s="266"/>
      <c r="I336" s="281"/>
      <c r="J336" s="281"/>
      <c r="K336" s="281"/>
      <c r="L336" s="295" t="s">
        <v>3331</v>
      </c>
      <c r="M336" s="284" t="s">
        <v>2962</v>
      </c>
      <c r="N336" s="269">
        <f t="shared" si="44"/>
        <v>0</v>
      </c>
      <c r="O336" s="270">
        <f t="shared" si="45"/>
        <v>0</v>
      </c>
      <c r="P336" s="271">
        <f t="shared" si="46"/>
        <v>0</v>
      </c>
      <c r="Q336" s="520"/>
      <c r="R336" s="354">
        <f>IF(ISERROR(VLOOKUP("RIC"&amp;$C336,ESTR_PREC_SP!$A$2:$G$2000,4,FALSE))=TRUE,0,VLOOKUP("RIC"&amp;$C336,ESTR_PREC_SP!$A$2:$G$2000,4,FALSE))</f>
        <v>0</v>
      </c>
      <c r="S336" s="521"/>
      <c r="V336" s="211"/>
      <c r="W336" s="520"/>
      <c r="X336" s="520"/>
      <c r="Y336" s="520"/>
      <c r="Z336" s="520"/>
      <c r="AA336" s="285"/>
    </row>
    <row r="337" spans="2:31" s="204" customFormat="1" x14ac:dyDescent="0.25">
      <c r="B337" s="246" t="s">
        <v>765</v>
      </c>
      <c r="C337" s="287" t="s">
        <v>766</v>
      </c>
      <c r="D337" s="274" t="s">
        <v>3332</v>
      </c>
      <c r="E337" s="264"/>
      <c r="F337" s="274"/>
      <c r="G337" s="274"/>
      <c r="H337" s="266"/>
      <c r="I337" s="281"/>
      <c r="J337" s="281"/>
      <c r="K337" s="281"/>
      <c r="L337" s="295" t="s">
        <v>3333</v>
      </c>
      <c r="M337" s="284" t="s">
        <v>2962</v>
      </c>
      <c r="N337" s="269">
        <f t="shared" si="44"/>
        <v>0</v>
      </c>
      <c r="O337" s="270">
        <f t="shared" si="45"/>
        <v>0</v>
      </c>
      <c r="P337" s="271">
        <f t="shared" si="46"/>
        <v>0</v>
      </c>
      <c r="Q337" s="520"/>
      <c r="R337" s="354">
        <f>IF(ISERROR(VLOOKUP("RIC"&amp;$C337,ESTR_PREC_SP!$A$2:$G$2000,4,FALSE))=TRUE,0,VLOOKUP("RIC"&amp;$C337,ESTR_PREC_SP!$A$2:$G$2000,4,FALSE))</f>
        <v>0</v>
      </c>
      <c r="S337" s="521"/>
      <c r="V337" s="211"/>
      <c r="W337" s="520"/>
      <c r="X337" s="520"/>
      <c r="Y337" s="520"/>
      <c r="Z337" s="520"/>
      <c r="AA337" s="285"/>
    </row>
    <row r="338" spans="2:31" s="204" customFormat="1" x14ac:dyDescent="0.25">
      <c r="B338" s="293"/>
      <c r="C338" s="293"/>
      <c r="D338" s="230"/>
      <c r="E338" s="230"/>
      <c r="F338" s="230"/>
      <c r="G338" s="230"/>
      <c r="H338" s="231"/>
      <c r="I338" s="230"/>
      <c r="J338" s="230"/>
      <c r="K338" s="230"/>
      <c r="L338" s="275"/>
      <c r="M338" s="216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</row>
    <row r="339" spans="2:31" s="204" customFormat="1" ht="25.5" x14ac:dyDescent="0.25">
      <c r="B339" s="293"/>
      <c r="C339" s="293"/>
      <c r="D339" s="230"/>
      <c r="E339" s="230"/>
      <c r="F339" s="230"/>
      <c r="G339" s="230"/>
      <c r="H339" s="231"/>
      <c r="I339" s="230"/>
      <c r="J339" s="230"/>
      <c r="K339" s="230"/>
      <c r="L339" s="255"/>
      <c r="M339" s="244"/>
      <c r="N339" s="256" t="str">
        <f>N$15</f>
        <v>Valore netto al 31/12/2019</v>
      </c>
      <c r="O339" s="256" t="str">
        <f>O$15</f>
        <v>Valore netto al 31/12/2020</v>
      </c>
      <c r="P339" s="256" t="str">
        <f>P$15</f>
        <v>Variazione</v>
      </c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</row>
    <row r="340" spans="2:31" s="204" customFormat="1" x14ac:dyDescent="0.25">
      <c r="B340" s="246" t="s">
        <v>768</v>
      </c>
      <c r="C340" s="292" t="s">
        <v>769</v>
      </c>
      <c r="D340" s="274" t="s">
        <v>3334</v>
      </c>
      <c r="E340" s="247"/>
      <c r="F340" s="247"/>
      <c r="G340" s="247"/>
      <c r="H340" s="248"/>
      <c r="I340" s="247"/>
      <c r="J340" s="247"/>
      <c r="K340" s="249"/>
      <c r="L340" s="257" t="s">
        <v>771</v>
      </c>
      <c r="M340" s="251" t="s">
        <v>2962</v>
      </c>
      <c r="N340" s="252">
        <f>+N342-N357</f>
        <v>0</v>
      </c>
      <c r="O340" s="252">
        <f>+O342-O357</f>
        <v>0</v>
      </c>
      <c r="P340" s="253">
        <f>+O340-N340</f>
        <v>0</v>
      </c>
      <c r="Q340" s="285"/>
      <c r="R340" s="285"/>
      <c r="S340" s="252">
        <f>+S342-S357</f>
        <v>0</v>
      </c>
      <c r="T340" s="285"/>
      <c r="U340" s="285"/>
      <c r="V340" s="285"/>
      <c r="W340" s="211"/>
      <c r="X340" s="252">
        <f>+X342-X357</f>
        <v>0</v>
      </c>
      <c r="Y340" s="285"/>
      <c r="Z340" s="285"/>
      <c r="AA340" s="285"/>
    </row>
    <row r="341" spans="2:31" s="204" customFormat="1" x14ac:dyDescent="0.25">
      <c r="B341" s="293"/>
      <c r="C341" s="293"/>
      <c r="D341" s="274"/>
      <c r="E341" s="230"/>
      <c r="F341" s="230"/>
      <c r="G341" s="285"/>
      <c r="H341" s="321"/>
      <c r="I341" s="285"/>
      <c r="J341" s="285"/>
      <c r="K341" s="285"/>
      <c r="L341" s="322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</row>
    <row r="342" spans="2:31" s="204" customFormat="1" x14ac:dyDescent="0.25">
      <c r="B342" s="246" t="s">
        <v>772</v>
      </c>
      <c r="C342" s="292" t="s">
        <v>773</v>
      </c>
      <c r="D342" s="274" t="s">
        <v>3335</v>
      </c>
      <c r="E342" s="247"/>
      <c r="F342" s="247"/>
      <c r="G342" s="247"/>
      <c r="H342" s="248"/>
      <c r="I342" s="247"/>
      <c r="J342" s="247"/>
      <c r="K342" s="249"/>
      <c r="L342" s="276" t="s">
        <v>776</v>
      </c>
      <c r="M342" s="251" t="s">
        <v>2962</v>
      </c>
      <c r="N342" s="252">
        <f>SUM(N345:N354)</f>
        <v>0</v>
      </c>
      <c r="O342" s="252">
        <f>SUM(O345:O354)</f>
        <v>0</v>
      </c>
      <c r="P342" s="259">
        <f>+O342-N342</f>
        <v>0</v>
      </c>
      <c r="Q342" s="252">
        <f>SUM(Q345:Q354)</f>
        <v>0</v>
      </c>
      <c r="R342" s="252">
        <f>SUM(R345:R354)</f>
        <v>0</v>
      </c>
      <c r="S342" s="252">
        <f>SUM(S345:S354)</f>
        <v>0</v>
      </c>
      <c r="T342" s="252">
        <f>SUM(T345:T354)</f>
        <v>0</v>
      </c>
      <c r="U342" s="252">
        <f>SUM(U345:U354)</f>
        <v>0</v>
      </c>
      <c r="W342" s="252">
        <f t="shared" ref="W342:AE342" si="47">SUM(W345:W354)</f>
        <v>0</v>
      </c>
      <c r="X342" s="252">
        <f t="shared" si="47"/>
        <v>0</v>
      </c>
      <c r="Y342" s="252">
        <f t="shared" si="47"/>
        <v>0</v>
      </c>
      <c r="Z342" s="252">
        <f t="shared" si="47"/>
        <v>0</v>
      </c>
      <c r="AA342" s="252">
        <f t="shared" si="47"/>
        <v>0</v>
      </c>
      <c r="AB342" s="252">
        <f t="shared" si="47"/>
        <v>0</v>
      </c>
      <c r="AC342" s="252">
        <f t="shared" si="47"/>
        <v>0</v>
      </c>
      <c r="AD342" s="252">
        <f t="shared" si="47"/>
        <v>0</v>
      </c>
      <c r="AE342" s="252">
        <f t="shared" si="47"/>
        <v>0</v>
      </c>
    </row>
    <row r="343" spans="2:31" s="204" customFormat="1" x14ac:dyDescent="0.25">
      <c r="B343" s="293"/>
      <c r="C343" s="293"/>
      <c r="D343" s="230"/>
      <c r="E343" s="230"/>
      <c r="F343" s="230"/>
      <c r="G343" s="230"/>
      <c r="H343" s="231"/>
      <c r="I343" s="230"/>
      <c r="J343" s="230"/>
      <c r="K343" s="230"/>
      <c r="L343" s="275"/>
      <c r="M343" s="216"/>
      <c r="N343" s="285"/>
      <c r="O343" s="285"/>
      <c r="P343" s="285"/>
      <c r="Q343" s="285"/>
      <c r="R343" s="285"/>
      <c r="T343" s="285"/>
      <c r="U343" s="285"/>
      <c r="V343" s="285"/>
      <c r="W343" s="285"/>
      <c r="X343" s="285"/>
      <c r="Y343" s="285"/>
      <c r="Z343" s="285"/>
      <c r="AA343" s="285"/>
    </row>
    <row r="344" spans="2:31" s="204" customFormat="1" ht="63.75" x14ac:dyDescent="0.25">
      <c r="B344" s="294" t="s">
        <v>2968</v>
      </c>
      <c r="C344" s="294" t="s">
        <v>2969</v>
      </c>
      <c r="D344" s="206" t="s">
        <v>72</v>
      </c>
      <c r="E344" s="206"/>
      <c r="F344" s="206"/>
      <c r="G344" s="207"/>
      <c r="H344" s="207"/>
      <c r="I344" s="207"/>
      <c r="J344" s="207" t="s">
        <v>2957</v>
      </c>
      <c r="K344" s="206" t="s">
        <v>82</v>
      </c>
      <c r="L344" s="261" t="s">
        <v>2970</v>
      </c>
      <c r="M344" s="260"/>
      <c r="N344" s="256" t="str">
        <f>N$15</f>
        <v>Valore netto al 31/12/2019</v>
      </c>
      <c r="O344" s="256" t="str">
        <f>O$15</f>
        <v>Valore netto al 31/12/2020</v>
      </c>
      <c r="P344" s="256" t="str">
        <f>P$15</f>
        <v>Variazione</v>
      </c>
      <c r="Q344" s="262" t="s">
        <v>2971</v>
      </c>
      <c r="R344" s="262" t="str">
        <f>"Costo storico al 31/12/"&amp;Info!$B$3-1</f>
        <v>Costo storico al 31/12/2019</v>
      </c>
      <c r="S344" s="262" t="s">
        <v>2972</v>
      </c>
      <c r="T344" s="262" t="s">
        <v>2973</v>
      </c>
      <c r="U344" s="262" t="s">
        <v>2974</v>
      </c>
      <c r="W344" s="262" t="s">
        <v>2975</v>
      </c>
      <c r="X344" s="262" t="s">
        <v>2976</v>
      </c>
      <c r="Y344" s="262" t="s">
        <v>2977</v>
      </c>
      <c r="Z344" s="262" t="s">
        <v>2978</v>
      </c>
      <c r="AA344" s="262" t="s">
        <v>2979</v>
      </c>
      <c r="AB344" s="262" t="s">
        <v>2980</v>
      </c>
      <c r="AC344" s="262" t="s">
        <v>2981</v>
      </c>
      <c r="AD344" s="262" t="s">
        <v>2982</v>
      </c>
      <c r="AE344" s="262" t="s">
        <v>2983</v>
      </c>
    </row>
    <row r="345" spans="2:31" s="204" customFormat="1" x14ac:dyDescent="0.25">
      <c r="B345" s="246" t="s">
        <v>777</v>
      </c>
      <c r="C345" s="287" t="s">
        <v>778</v>
      </c>
      <c r="D345" s="274" t="s">
        <v>3336</v>
      </c>
      <c r="E345" s="274"/>
      <c r="F345" s="274"/>
      <c r="G345" s="274"/>
      <c r="H345" s="266"/>
      <c r="I345" s="281"/>
      <c r="J345" s="281"/>
      <c r="K345" s="281"/>
      <c r="L345" s="282" t="s">
        <v>3337</v>
      </c>
      <c r="M345" s="263" t="s">
        <v>2962</v>
      </c>
      <c r="N345" s="269">
        <f t="shared" ref="N345:N354" si="48">+R345+T345-U345</f>
        <v>0</v>
      </c>
      <c r="O345" s="270">
        <f t="shared" ref="O345:O354" si="49">+N345+S345+X345+ABS(Y345)-ABS(AA345)+ABS(Z345)+ABS(AB345)+ABS(AD345)-ABS(AE345)+AC345+W345+Q345</f>
        <v>0</v>
      </c>
      <c r="P345" s="271">
        <f t="shared" ref="P345:P354" si="50">+O345-N345</f>
        <v>0</v>
      </c>
      <c r="Q345" s="520"/>
      <c r="R345" s="354">
        <f>IF(ISERROR(VLOOKUP("RIC"&amp;$C345,ESTR_PREC_SP!$A$2:$G$2000,4,FALSE))=TRUE,0,VLOOKUP("RIC"&amp;$C345,ESTR_PREC_SP!$A$2:$G$2000,4,FALSE))</f>
        <v>0</v>
      </c>
      <c r="S345" s="521"/>
      <c r="T345" s="521"/>
      <c r="U345" s="521"/>
      <c r="W345" s="520"/>
      <c r="X345" s="520"/>
      <c r="Y345" s="520"/>
      <c r="Z345" s="520"/>
      <c r="AA345" s="520"/>
      <c r="AB345" s="520"/>
      <c r="AC345" s="520"/>
      <c r="AD345" s="520"/>
      <c r="AE345" s="520"/>
    </row>
    <row r="346" spans="2:31" s="204" customFormat="1" x14ac:dyDescent="0.25">
      <c r="B346" s="246" t="s">
        <v>780</v>
      </c>
      <c r="C346" s="287" t="s">
        <v>781</v>
      </c>
      <c r="D346" s="274" t="s">
        <v>3338</v>
      </c>
      <c r="E346" s="274"/>
      <c r="F346" s="274"/>
      <c r="G346" s="274"/>
      <c r="H346" s="266"/>
      <c r="I346" s="281"/>
      <c r="J346" s="281"/>
      <c r="K346" s="281"/>
      <c r="L346" s="282" t="s">
        <v>3339</v>
      </c>
      <c r="M346" s="263" t="s">
        <v>2962</v>
      </c>
      <c r="N346" s="269">
        <f t="shared" si="48"/>
        <v>0</v>
      </c>
      <c r="O346" s="270">
        <f t="shared" si="49"/>
        <v>0</v>
      </c>
      <c r="P346" s="271">
        <f t="shared" si="50"/>
        <v>0</v>
      </c>
      <c r="Q346" s="520"/>
      <c r="R346" s="354">
        <f>IF(ISERROR(VLOOKUP("RIC"&amp;$C346,ESTR_PREC_SP!$A$2:$G$2000,4,FALSE))=TRUE,0,VLOOKUP("RIC"&amp;$C346,ESTR_PREC_SP!$A$2:$G$2000,4,FALSE))</f>
        <v>0</v>
      </c>
      <c r="S346" s="521"/>
      <c r="T346" s="521"/>
      <c r="U346" s="521"/>
      <c r="W346" s="520"/>
      <c r="X346" s="520"/>
      <c r="Y346" s="520"/>
      <c r="Z346" s="520"/>
      <c r="AA346" s="520"/>
      <c r="AB346" s="520"/>
      <c r="AC346" s="520"/>
      <c r="AD346" s="520"/>
      <c r="AE346" s="520"/>
    </row>
    <row r="347" spans="2:31" s="204" customFormat="1" x14ac:dyDescent="0.25">
      <c r="B347" s="246" t="s">
        <v>783</v>
      </c>
      <c r="C347" s="287" t="s">
        <v>784</v>
      </c>
      <c r="D347" s="274" t="s">
        <v>3340</v>
      </c>
      <c r="E347" s="274"/>
      <c r="F347" s="274"/>
      <c r="G347" s="274"/>
      <c r="H347" s="266"/>
      <c r="I347" s="281"/>
      <c r="J347" s="281"/>
      <c r="K347" s="281"/>
      <c r="L347" s="282" t="s">
        <v>3341</v>
      </c>
      <c r="M347" s="263" t="s">
        <v>2962</v>
      </c>
      <c r="N347" s="269">
        <f t="shared" si="48"/>
        <v>0</v>
      </c>
      <c r="O347" s="270">
        <f t="shared" si="49"/>
        <v>0</v>
      </c>
      <c r="P347" s="271">
        <f t="shared" si="50"/>
        <v>0</v>
      </c>
      <c r="Q347" s="520"/>
      <c r="R347" s="354">
        <f>IF(ISERROR(VLOOKUP("RIC"&amp;$C347,ESTR_PREC_SP!$A$2:$G$2000,4,FALSE))=TRUE,0,VLOOKUP("RIC"&amp;$C347,ESTR_PREC_SP!$A$2:$G$2000,4,FALSE))</f>
        <v>0</v>
      </c>
      <c r="S347" s="521"/>
      <c r="T347" s="521"/>
      <c r="U347" s="521"/>
      <c r="W347" s="520"/>
      <c r="X347" s="520"/>
      <c r="Y347" s="520"/>
      <c r="Z347" s="520"/>
      <c r="AA347" s="520"/>
      <c r="AB347" s="520"/>
      <c r="AC347" s="520"/>
      <c r="AD347" s="520"/>
      <c r="AE347" s="520"/>
    </row>
    <row r="348" spans="2:31" s="204" customFormat="1" x14ac:dyDescent="0.25">
      <c r="B348" s="246" t="s">
        <v>786</v>
      </c>
      <c r="C348" s="287" t="s">
        <v>787</v>
      </c>
      <c r="D348" s="274" t="s">
        <v>3342</v>
      </c>
      <c r="E348" s="274"/>
      <c r="F348" s="274"/>
      <c r="G348" s="274"/>
      <c r="H348" s="266"/>
      <c r="I348" s="281"/>
      <c r="J348" s="281"/>
      <c r="K348" s="281"/>
      <c r="L348" s="282" t="s">
        <v>3343</v>
      </c>
      <c r="M348" s="263" t="s">
        <v>2962</v>
      </c>
      <c r="N348" s="269">
        <f t="shared" si="48"/>
        <v>0</v>
      </c>
      <c r="O348" s="270">
        <f t="shared" si="49"/>
        <v>0</v>
      </c>
      <c r="P348" s="271">
        <f t="shared" si="50"/>
        <v>0</v>
      </c>
      <c r="Q348" s="520"/>
      <c r="R348" s="354">
        <f>IF(ISERROR(VLOOKUP("RIC"&amp;$C348,ESTR_PREC_SP!$A$2:$G$2000,4,FALSE))=TRUE,0,VLOOKUP("RIC"&amp;$C348,ESTR_PREC_SP!$A$2:$G$2000,4,FALSE))</f>
        <v>0</v>
      </c>
      <c r="S348" s="521"/>
      <c r="T348" s="521"/>
      <c r="U348" s="521"/>
      <c r="W348" s="520"/>
      <c r="X348" s="520"/>
      <c r="Y348" s="520"/>
      <c r="Z348" s="520"/>
      <c r="AA348" s="520"/>
      <c r="AB348" s="520"/>
      <c r="AC348" s="520"/>
      <c r="AD348" s="520"/>
      <c r="AE348" s="520"/>
    </row>
    <row r="349" spans="2:31" s="204" customFormat="1" x14ac:dyDescent="0.25">
      <c r="B349" s="246" t="s">
        <v>789</v>
      </c>
      <c r="C349" s="287" t="s">
        <v>790</v>
      </c>
      <c r="D349" s="274" t="s">
        <v>3344</v>
      </c>
      <c r="E349" s="274"/>
      <c r="F349" s="274"/>
      <c r="G349" s="274"/>
      <c r="H349" s="266"/>
      <c r="I349" s="281"/>
      <c r="J349" s="281"/>
      <c r="K349" s="281"/>
      <c r="L349" s="282" t="s">
        <v>3345</v>
      </c>
      <c r="M349" s="263" t="s">
        <v>2962</v>
      </c>
      <c r="N349" s="269">
        <f t="shared" si="48"/>
        <v>0</v>
      </c>
      <c r="O349" s="270">
        <f t="shared" si="49"/>
        <v>0</v>
      </c>
      <c r="P349" s="271">
        <f t="shared" si="50"/>
        <v>0</v>
      </c>
      <c r="Q349" s="520"/>
      <c r="R349" s="354">
        <f>IF(ISERROR(VLOOKUP("RIC"&amp;$C349,ESTR_PREC_SP!$A$2:$G$2000,4,FALSE))=TRUE,0,VLOOKUP("RIC"&amp;$C349,ESTR_PREC_SP!$A$2:$G$2000,4,FALSE))</f>
        <v>0</v>
      </c>
      <c r="S349" s="521"/>
      <c r="T349" s="521"/>
      <c r="U349" s="521"/>
      <c r="W349" s="520"/>
      <c r="X349" s="520"/>
      <c r="Y349" s="520"/>
      <c r="Z349" s="520"/>
      <c r="AA349" s="520"/>
      <c r="AB349" s="520"/>
      <c r="AC349" s="520"/>
      <c r="AD349" s="520"/>
      <c r="AE349" s="520"/>
    </row>
    <row r="350" spans="2:31" s="204" customFormat="1" x14ac:dyDescent="0.25">
      <c r="B350" s="246" t="s">
        <v>792</v>
      </c>
      <c r="C350" s="287" t="s">
        <v>793</v>
      </c>
      <c r="D350" s="274" t="s">
        <v>3346</v>
      </c>
      <c r="E350" s="274"/>
      <c r="F350" s="274"/>
      <c r="G350" s="274"/>
      <c r="H350" s="266"/>
      <c r="I350" s="281"/>
      <c r="J350" s="281"/>
      <c r="K350" s="281"/>
      <c r="L350" s="282" t="s">
        <v>3347</v>
      </c>
      <c r="M350" s="263" t="s">
        <v>2962</v>
      </c>
      <c r="N350" s="269">
        <f t="shared" si="48"/>
        <v>0</v>
      </c>
      <c r="O350" s="270">
        <f t="shared" si="49"/>
        <v>0</v>
      </c>
      <c r="P350" s="271">
        <f t="shared" si="50"/>
        <v>0</v>
      </c>
      <c r="Q350" s="520"/>
      <c r="R350" s="354">
        <f>IF(ISERROR(VLOOKUP("RIC"&amp;$C350,ESTR_PREC_SP!$A$2:$G$2000,4,FALSE))=TRUE,0,VLOOKUP("RIC"&amp;$C350,ESTR_PREC_SP!$A$2:$G$2000,4,FALSE))</f>
        <v>0</v>
      </c>
      <c r="S350" s="521"/>
      <c r="T350" s="521"/>
      <c r="U350" s="521"/>
      <c r="W350" s="520"/>
      <c r="X350" s="520"/>
      <c r="Y350" s="520"/>
      <c r="Z350" s="520"/>
      <c r="AA350" s="520"/>
      <c r="AB350" s="520"/>
      <c r="AC350" s="520"/>
      <c r="AD350" s="520"/>
      <c r="AE350" s="520"/>
    </row>
    <row r="351" spans="2:31" s="204" customFormat="1" x14ac:dyDescent="0.25">
      <c r="B351" s="246" t="s">
        <v>795</v>
      </c>
      <c r="C351" s="287" t="s">
        <v>796</v>
      </c>
      <c r="D351" s="274" t="s">
        <v>3348</v>
      </c>
      <c r="E351" s="274"/>
      <c r="F351" s="274"/>
      <c r="G351" s="274"/>
      <c r="H351" s="266"/>
      <c r="I351" s="281"/>
      <c r="J351" s="281"/>
      <c r="K351" s="281"/>
      <c r="L351" s="295" t="s">
        <v>3349</v>
      </c>
      <c r="M351" s="284" t="s">
        <v>2962</v>
      </c>
      <c r="N351" s="269">
        <f t="shared" si="48"/>
        <v>0</v>
      </c>
      <c r="O351" s="270">
        <f t="shared" si="49"/>
        <v>0</v>
      </c>
      <c r="P351" s="271">
        <f t="shared" si="50"/>
        <v>0</v>
      </c>
      <c r="Q351" s="520"/>
      <c r="R351" s="354">
        <f>IF(ISERROR(VLOOKUP("RIC"&amp;$C351,ESTR_PREC_SP!$A$2:$G$2000,4,FALSE))=TRUE,0,VLOOKUP("RIC"&amp;$C351,ESTR_PREC_SP!$A$2:$G$2000,4,FALSE))</f>
        <v>0</v>
      </c>
      <c r="S351" s="521"/>
      <c r="T351" s="521"/>
      <c r="U351" s="521"/>
      <c r="W351" s="520"/>
      <c r="X351" s="520"/>
      <c r="Y351" s="520"/>
      <c r="Z351" s="520"/>
      <c r="AA351" s="520"/>
      <c r="AB351" s="520"/>
      <c r="AC351" s="520"/>
      <c r="AD351" s="520"/>
      <c r="AE351" s="520"/>
    </row>
    <row r="352" spans="2:31" s="204" customFormat="1" x14ac:dyDescent="0.25">
      <c r="B352" s="246" t="s">
        <v>798</v>
      </c>
      <c r="C352" s="287" t="s">
        <v>799</v>
      </c>
      <c r="D352" s="274" t="s">
        <v>3350</v>
      </c>
      <c r="E352" s="274"/>
      <c r="F352" s="274"/>
      <c r="G352" s="274"/>
      <c r="H352" s="266"/>
      <c r="I352" s="281"/>
      <c r="J352" s="281"/>
      <c r="K352" s="281"/>
      <c r="L352" s="295" t="s">
        <v>3351</v>
      </c>
      <c r="M352" s="284" t="s">
        <v>2962</v>
      </c>
      <c r="N352" s="269">
        <f t="shared" si="48"/>
        <v>0</v>
      </c>
      <c r="O352" s="270">
        <f t="shared" si="49"/>
        <v>0</v>
      </c>
      <c r="P352" s="271">
        <f t="shared" si="50"/>
        <v>0</v>
      </c>
      <c r="Q352" s="520"/>
      <c r="R352" s="354">
        <f>IF(ISERROR(VLOOKUP("RIC"&amp;$C352,ESTR_PREC_SP!$A$2:$G$2000,4,FALSE))=TRUE,0,VLOOKUP("RIC"&amp;$C352,ESTR_PREC_SP!$A$2:$G$2000,4,FALSE))</f>
        <v>0</v>
      </c>
      <c r="S352" s="521"/>
      <c r="T352" s="521"/>
      <c r="U352" s="521"/>
      <c r="W352" s="520"/>
      <c r="X352" s="520"/>
      <c r="Y352" s="520"/>
      <c r="Z352" s="520"/>
      <c r="AA352" s="520"/>
      <c r="AB352" s="520"/>
      <c r="AC352" s="520"/>
      <c r="AD352" s="520"/>
      <c r="AE352" s="520"/>
    </row>
    <row r="353" spans="2:31" s="204" customFormat="1" x14ac:dyDescent="0.25">
      <c r="B353" s="246" t="s">
        <v>801</v>
      </c>
      <c r="C353" s="287" t="s">
        <v>802</v>
      </c>
      <c r="D353" s="274" t="s">
        <v>3352</v>
      </c>
      <c r="E353" s="274"/>
      <c r="F353" s="274"/>
      <c r="G353" s="274"/>
      <c r="H353" s="266"/>
      <c r="I353" s="281"/>
      <c r="J353" s="281"/>
      <c r="K353" s="281"/>
      <c r="L353" s="295" t="s">
        <v>3353</v>
      </c>
      <c r="M353" s="284" t="s">
        <v>2962</v>
      </c>
      <c r="N353" s="269">
        <f t="shared" si="48"/>
        <v>0</v>
      </c>
      <c r="O353" s="270">
        <f t="shared" si="49"/>
        <v>0</v>
      </c>
      <c r="P353" s="271">
        <f t="shared" si="50"/>
        <v>0</v>
      </c>
      <c r="Q353" s="520"/>
      <c r="R353" s="354">
        <f>IF(ISERROR(VLOOKUP("RIC"&amp;$C353,ESTR_PREC_SP!$A$2:$G$2000,4,FALSE))=TRUE,0,VLOOKUP("RIC"&amp;$C353,ESTR_PREC_SP!$A$2:$G$2000,4,FALSE))</f>
        <v>0</v>
      </c>
      <c r="S353" s="521"/>
      <c r="T353" s="521"/>
      <c r="U353" s="521"/>
      <c r="W353" s="520"/>
      <c r="X353" s="520"/>
      <c r="Y353" s="520"/>
      <c r="Z353" s="520"/>
      <c r="AA353" s="520"/>
      <c r="AB353" s="520"/>
      <c r="AC353" s="520"/>
      <c r="AD353" s="520"/>
      <c r="AE353" s="520"/>
    </row>
    <row r="354" spans="2:31" s="204" customFormat="1" x14ac:dyDescent="0.25">
      <c r="B354" s="246" t="s">
        <v>804</v>
      </c>
      <c r="C354" s="287" t="s">
        <v>805</v>
      </c>
      <c r="D354" s="274" t="s">
        <v>3354</v>
      </c>
      <c r="E354" s="274"/>
      <c r="F354" s="274"/>
      <c r="G354" s="274"/>
      <c r="H354" s="266"/>
      <c r="I354" s="281"/>
      <c r="J354" s="281"/>
      <c r="K354" s="281"/>
      <c r="L354" s="295" t="s">
        <v>3355</v>
      </c>
      <c r="M354" s="284" t="s">
        <v>2962</v>
      </c>
      <c r="N354" s="269">
        <f t="shared" si="48"/>
        <v>0</v>
      </c>
      <c r="O354" s="270">
        <f t="shared" si="49"/>
        <v>0</v>
      </c>
      <c r="P354" s="271">
        <f t="shared" si="50"/>
        <v>0</v>
      </c>
      <c r="Q354" s="520"/>
      <c r="R354" s="354">
        <f>IF(ISERROR(VLOOKUP("RIC"&amp;$C354,ESTR_PREC_SP!$A$2:$G$2000,4,FALSE))=TRUE,0,VLOOKUP("RIC"&amp;$C354,ESTR_PREC_SP!$A$2:$G$2000,4,FALSE))</f>
        <v>0</v>
      </c>
      <c r="S354" s="521"/>
      <c r="T354" s="521"/>
      <c r="U354" s="521"/>
      <c r="W354" s="520"/>
      <c r="X354" s="520"/>
      <c r="Y354" s="520"/>
      <c r="Z354" s="520"/>
      <c r="AA354" s="520"/>
      <c r="AB354" s="520"/>
      <c r="AC354" s="520"/>
      <c r="AD354" s="520"/>
      <c r="AE354" s="520"/>
    </row>
    <row r="355" spans="2:31" s="204" customFormat="1" ht="25.5" x14ac:dyDescent="0.25">
      <c r="B355" s="293"/>
      <c r="C355" s="293"/>
      <c r="D355" s="230"/>
      <c r="E355" s="230"/>
      <c r="F355" s="230"/>
      <c r="G355" s="230"/>
      <c r="H355" s="231"/>
      <c r="I355" s="230"/>
      <c r="J355" s="230"/>
      <c r="K355" s="230"/>
      <c r="L355" s="296" t="s">
        <v>3356</v>
      </c>
      <c r="M355" s="216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</row>
    <row r="356" spans="2:31" s="204" customFormat="1" x14ac:dyDescent="0.25">
      <c r="B356" s="293"/>
      <c r="C356" s="293"/>
      <c r="D356" s="230"/>
      <c r="E356" s="230"/>
      <c r="F356" s="230"/>
      <c r="G356" s="230"/>
      <c r="H356" s="231"/>
      <c r="I356" s="230"/>
      <c r="J356" s="230"/>
      <c r="K356" s="230"/>
      <c r="L356" s="296"/>
      <c r="M356" s="216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</row>
    <row r="357" spans="2:31" s="204" customFormat="1" x14ac:dyDescent="0.25">
      <c r="B357" s="246" t="s">
        <v>807</v>
      </c>
      <c r="C357" s="292" t="s">
        <v>808</v>
      </c>
      <c r="D357" s="247" t="s">
        <v>3357</v>
      </c>
      <c r="E357" s="247"/>
      <c r="F357" s="247"/>
      <c r="G357" s="247"/>
      <c r="H357" s="248"/>
      <c r="I357" s="247"/>
      <c r="J357" s="247"/>
      <c r="K357" s="249"/>
      <c r="L357" s="276" t="s">
        <v>811</v>
      </c>
      <c r="M357" s="251" t="s">
        <v>2962</v>
      </c>
      <c r="N357" s="252">
        <f>SUM(N360:N369)</f>
        <v>0</v>
      </c>
      <c r="O357" s="252">
        <f>SUM(O360:O369)</f>
        <v>0</v>
      </c>
      <c r="P357" s="259">
        <f>+O357-N357</f>
        <v>0</v>
      </c>
      <c r="Q357" s="252">
        <f>SUM(Q360:Q369)</f>
        <v>0</v>
      </c>
      <c r="R357" s="252">
        <f>SUM(R360:R369)</f>
        <v>0</v>
      </c>
      <c r="S357" s="252">
        <f>SUM(S360:S369)</f>
        <v>0</v>
      </c>
      <c r="W357" s="252">
        <f>SUM(W360:W369)</f>
        <v>0</v>
      </c>
      <c r="X357" s="252">
        <f>SUM(X360:X369)</f>
        <v>0</v>
      </c>
      <c r="Y357" s="252">
        <f>SUM(Y360:Y369)</f>
        <v>0</v>
      </c>
      <c r="Z357" s="252">
        <f>SUM(Z360:Z369)</f>
        <v>0</v>
      </c>
      <c r="AA357" s="285"/>
    </row>
    <row r="358" spans="2:31" s="204" customFormat="1" x14ac:dyDescent="0.25">
      <c r="B358" s="293"/>
      <c r="C358" s="293"/>
      <c r="D358" s="230"/>
      <c r="E358" s="230"/>
      <c r="F358" s="230"/>
      <c r="G358" s="230"/>
      <c r="H358" s="231"/>
      <c r="I358" s="230"/>
      <c r="J358" s="230"/>
      <c r="K358" s="230"/>
      <c r="L358" s="275"/>
      <c r="M358" s="216"/>
      <c r="N358" s="285"/>
      <c r="O358" s="211"/>
      <c r="P358" s="211"/>
      <c r="Q358" s="211"/>
      <c r="R358" s="211"/>
      <c r="W358" s="285"/>
      <c r="X358" s="285"/>
      <c r="Y358" s="285"/>
      <c r="Z358" s="285"/>
      <c r="AA358" s="285"/>
    </row>
    <row r="359" spans="2:31" s="204" customFormat="1" ht="63.75" x14ac:dyDescent="0.25">
      <c r="B359" s="294" t="s">
        <v>2968</v>
      </c>
      <c r="C359" s="294" t="s">
        <v>2969</v>
      </c>
      <c r="D359" s="206" t="s">
        <v>72</v>
      </c>
      <c r="E359" s="206"/>
      <c r="F359" s="206"/>
      <c r="G359" s="207"/>
      <c r="H359" s="207"/>
      <c r="I359" s="207"/>
      <c r="J359" s="207" t="s">
        <v>2957</v>
      </c>
      <c r="K359" s="206" t="s">
        <v>82</v>
      </c>
      <c r="L359" s="261" t="s">
        <v>2970</v>
      </c>
      <c r="M359" s="260"/>
      <c r="N359" s="256" t="str">
        <f>N$15</f>
        <v>Valore netto al 31/12/2019</v>
      </c>
      <c r="O359" s="256" t="str">
        <f>O$15</f>
        <v>Valore netto al 31/12/2020</v>
      </c>
      <c r="P359" s="256" t="str">
        <f>P$15</f>
        <v>Variazione</v>
      </c>
      <c r="Q359" s="262" t="s">
        <v>2971</v>
      </c>
      <c r="R359" s="262" t="str">
        <f>"Fondo ammortamento 31/12/"&amp;Info!$B$3-1</f>
        <v>Fondo ammortamento 31/12/2019</v>
      </c>
      <c r="S359" s="262" t="s">
        <v>2972</v>
      </c>
      <c r="W359" s="262" t="s">
        <v>2975</v>
      </c>
      <c r="X359" s="262" t="s">
        <v>2976</v>
      </c>
      <c r="Y359" s="262" t="s">
        <v>2989</v>
      </c>
      <c r="Z359" s="262" t="s">
        <v>2990</v>
      </c>
      <c r="AA359" s="285"/>
    </row>
    <row r="360" spans="2:31" s="204" customFormat="1" x14ac:dyDescent="0.25">
      <c r="B360" s="246" t="s">
        <v>812</v>
      </c>
      <c r="C360" s="287" t="s">
        <v>813</v>
      </c>
      <c r="D360" s="274" t="s">
        <v>3358</v>
      </c>
      <c r="E360" s="274"/>
      <c r="F360" s="274"/>
      <c r="G360" s="283"/>
      <c r="H360" s="266"/>
      <c r="I360" s="281"/>
      <c r="J360" s="281"/>
      <c r="K360" s="281"/>
      <c r="L360" s="282" t="s">
        <v>3359</v>
      </c>
      <c r="M360" s="263" t="s">
        <v>2962</v>
      </c>
      <c r="N360" s="269">
        <f t="shared" ref="N360:N369" si="51">+R360</f>
        <v>0</v>
      </c>
      <c r="O360" s="270">
        <f t="shared" ref="O360:O369" si="52">+R360+S360+X360-ABS(Y360)+ABS(Z360)+W360+Q360</f>
        <v>0</v>
      </c>
      <c r="P360" s="271">
        <f t="shared" ref="P360:P369" si="53">+O360-N360</f>
        <v>0</v>
      </c>
      <c r="Q360" s="520"/>
      <c r="R360" s="354">
        <f>IF(ISERROR(VLOOKUP("RIC"&amp;$C360,ESTR_PREC_SP!$A$2:$G$2000,4,FALSE))=TRUE,0,VLOOKUP("RIC"&amp;$C360,ESTR_PREC_SP!$A$2:$G$2000,4,FALSE))</f>
        <v>0</v>
      </c>
      <c r="S360" s="521"/>
      <c r="V360" s="211"/>
      <c r="W360" s="520"/>
      <c r="X360" s="520"/>
      <c r="Y360" s="520"/>
      <c r="Z360" s="520"/>
      <c r="AA360" s="285"/>
    </row>
    <row r="361" spans="2:31" s="204" customFormat="1" x14ac:dyDescent="0.25">
      <c r="B361" s="246" t="s">
        <v>815</v>
      </c>
      <c r="C361" s="287" t="s">
        <v>816</v>
      </c>
      <c r="D361" s="274" t="s">
        <v>3360</v>
      </c>
      <c r="E361" s="274"/>
      <c r="F361" s="274"/>
      <c r="G361" s="283"/>
      <c r="H361" s="266"/>
      <c r="I361" s="281"/>
      <c r="J361" s="281"/>
      <c r="K361" s="281"/>
      <c r="L361" s="282" t="s">
        <v>3361</v>
      </c>
      <c r="M361" s="263" t="s">
        <v>2962</v>
      </c>
      <c r="N361" s="269">
        <f t="shared" si="51"/>
        <v>0</v>
      </c>
      <c r="O361" s="270">
        <f t="shared" si="52"/>
        <v>0</v>
      </c>
      <c r="P361" s="271">
        <f t="shared" si="53"/>
        <v>0</v>
      </c>
      <c r="Q361" s="520"/>
      <c r="R361" s="354">
        <f>IF(ISERROR(VLOOKUP("RIC"&amp;$C361,ESTR_PREC_SP!$A$2:$G$2000,4,FALSE))=TRUE,0,VLOOKUP("RIC"&amp;$C361,ESTR_PREC_SP!$A$2:$G$2000,4,FALSE))</f>
        <v>0</v>
      </c>
      <c r="S361" s="521"/>
      <c r="V361" s="211"/>
      <c r="W361" s="520"/>
      <c r="X361" s="520"/>
      <c r="Y361" s="520"/>
      <c r="Z361" s="520"/>
      <c r="AA361" s="285"/>
    </row>
    <row r="362" spans="2:31" s="204" customFormat="1" x14ac:dyDescent="0.25">
      <c r="B362" s="246" t="s">
        <v>818</v>
      </c>
      <c r="C362" s="287" t="s">
        <v>819</v>
      </c>
      <c r="D362" s="274" t="s">
        <v>3362</v>
      </c>
      <c r="E362" s="274"/>
      <c r="F362" s="274"/>
      <c r="G362" s="283"/>
      <c r="H362" s="266"/>
      <c r="I362" s="281"/>
      <c r="J362" s="281"/>
      <c r="K362" s="281"/>
      <c r="L362" s="282" t="s">
        <v>3363</v>
      </c>
      <c r="M362" s="263" t="s">
        <v>2962</v>
      </c>
      <c r="N362" s="269">
        <f t="shared" si="51"/>
        <v>0</v>
      </c>
      <c r="O362" s="270">
        <f t="shared" si="52"/>
        <v>0</v>
      </c>
      <c r="P362" s="271">
        <f t="shared" si="53"/>
        <v>0</v>
      </c>
      <c r="Q362" s="520"/>
      <c r="R362" s="354">
        <f>IF(ISERROR(VLOOKUP("RIC"&amp;$C362,ESTR_PREC_SP!$A$2:$G$2000,4,FALSE))=TRUE,0,VLOOKUP("RIC"&amp;$C362,ESTR_PREC_SP!$A$2:$G$2000,4,FALSE))</f>
        <v>0</v>
      </c>
      <c r="S362" s="521"/>
      <c r="V362" s="211"/>
      <c r="W362" s="520"/>
      <c r="X362" s="520"/>
      <c r="Y362" s="520"/>
      <c r="Z362" s="520"/>
      <c r="AA362" s="285"/>
    </row>
    <row r="363" spans="2:31" s="204" customFormat="1" x14ac:dyDescent="0.25">
      <c r="B363" s="246" t="s">
        <v>821</v>
      </c>
      <c r="C363" s="287" t="s">
        <v>822</v>
      </c>
      <c r="D363" s="274" t="s">
        <v>3364</v>
      </c>
      <c r="E363" s="274"/>
      <c r="F363" s="274"/>
      <c r="G363" s="283"/>
      <c r="H363" s="266"/>
      <c r="I363" s="281"/>
      <c r="J363" s="281"/>
      <c r="K363" s="281"/>
      <c r="L363" s="282" t="s">
        <v>3365</v>
      </c>
      <c r="M363" s="263" t="s">
        <v>2962</v>
      </c>
      <c r="N363" s="269">
        <f t="shared" si="51"/>
        <v>0</v>
      </c>
      <c r="O363" s="270">
        <f t="shared" si="52"/>
        <v>0</v>
      </c>
      <c r="P363" s="271">
        <f t="shared" si="53"/>
        <v>0</v>
      </c>
      <c r="Q363" s="520"/>
      <c r="R363" s="354">
        <f>IF(ISERROR(VLOOKUP("RIC"&amp;$C363,ESTR_PREC_SP!$A$2:$G$2000,4,FALSE))=TRUE,0,VLOOKUP("RIC"&amp;$C363,ESTR_PREC_SP!$A$2:$G$2000,4,FALSE))</f>
        <v>0</v>
      </c>
      <c r="S363" s="521"/>
      <c r="V363" s="211"/>
      <c r="W363" s="520"/>
      <c r="X363" s="520"/>
      <c r="Y363" s="520"/>
      <c r="Z363" s="520"/>
      <c r="AA363" s="285"/>
    </row>
    <row r="364" spans="2:31" s="204" customFormat="1" x14ac:dyDescent="0.25">
      <c r="B364" s="246" t="s">
        <v>824</v>
      </c>
      <c r="C364" s="287" t="s">
        <v>825</v>
      </c>
      <c r="D364" s="274" t="s">
        <v>3366</v>
      </c>
      <c r="E364" s="274"/>
      <c r="F364" s="274"/>
      <c r="G364" s="283"/>
      <c r="H364" s="266"/>
      <c r="I364" s="281"/>
      <c r="J364" s="281"/>
      <c r="K364" s="281"/>
      <c r="L364" s="282" t="s">
        <v>3367</v>
      </c>
      <c r="M364" s="263" t="s">
        <v>2962</v>
      </c>
      <c r="N364" s="269">
        <f t="shared" si="51"/>
        <v>0</v>
      </c>
      <c r="O364" s="270">
        <f t="shared" si="52"/>
        <v>0</v>
      </c>
      <c r="P364" s="271">
        <f t="shared" si="53"/>
        <v>0</v>
      </c>
      <c r="Q364" s="520"/>
      <c r="R364" s="354">
        <f>IF(ISERROR(VLOOKUP("RIC"&amp;$C364,ESTR_PREC_SP!$A$2:$G$2000,4,FALSE))=TRUE,0,VLOOKUP("RIC"&amp;$C364,ESTR_PREC_SP!$A$2:$G$2000,4,FALSE))</f>
        <v>0</v>
      </c>
      <c r="S364" s="521"/>
      <c r="V364" s="211"/>
      <c r="W364" s="520"/>
      <c r="X364" s="520"/>
      <c r="Y364" s="520"/>
      <c r="Z364" s="520"/>
      <c r="AA364" s="285"/>
    </row>
    <row r="365" spans="2:31" s="204" customFormat="1" x14ac:dyDescent="0.25">
      <c r="B365" s="246" t="s">
        <v>827</v>
      </c>
      <c r="C365" s="287" t="s">
        <v>828</v>
      </c>
      <c r="D365" s="274" t="s">
        <v>3368</v>
      </c>
      <c r="E365" s="274"/>
      <c r="F365" s="274"/>
      <c r="G365" s="283"/>
      <c r="H365" s="266"/>
      <c r="I365" s="281"/>
      <c r="J365" s="281"/>
      <c r="K365" s="281"/>
      <c r="L365" s="282" t="s">
        <v>3369</v>
      </c>
      <c r="M365" s="263" t="s">
        <v>2962</v>
      </c>
      <c r="N365" s="269">
        <f t="shared" si="51"/>
        <v>0</v>
      </c>
      <c r="O365" s="270">
        <f t="shared" si="52"/>
        <v>0</v>
      </c>
      <c r="P365" s="271">
        <f t="shared" si="53"/>
        <v>0</v>
      </c>
      <c r="Q365" s="520"/>
      <c r="R365" s="354">
        <f>IF(ISERROR(VLOOKUP("RIC"&amp;$C365,ESTR_PREC_SP!$A$2:$G$2000,4,FALSE))=TRUE,0,VLOOKUP("RIC"&amp;$C365,ESTR_PREC_SP!$A$2:$G$2000,4,FALSE))</f>
        <v>0</v>
      </c>
      <c r="S365" s="521"/>
      <c r="V365" s="211"/>
      <c r="W365" s="520"/>
      <c r="X365" s="520"/>
      <c r="Y365" s="520"/>
      <c r="Z365" s="520"/>
      <c r="AA365" s="285"/>
    </row>
    <row r="366" spans="2:31" s="204" customFormat="1" x14ac:dyDescent="0.25">
      <c r="B366" s="246" t="s">
        <v>830</v>
      </c>
      <c r="C366" s="287" t="s">
        <v>831</v>
      </c>
      <c r="D366" s="274" t="s">
        <v>3370</v>
      </c>
      <c r="E366" s="274"/>
      <c r="F366" s="274"/>
      <c r="G366" s="283"/>
      <c r="H366" s="266"/>
      <c r="I366" s="281"/>
      <c r="J366" s="281"/>
      <c r="K366" s="281"/>
      <c r="L366" s="295" t="s">
        <v>3371</v>
      </c>
      <c r="M366" s="284" t="s">
        <v>2962</v>
      </c>
      <c r="N366" s="269">
        <f t="shared" si="51"/>
        <v>0</v>
      </c>
      <c r="O366" s="270">
        <f t="shared" si="52"/>
        <v>0</v>
      </c>
      <c r="P366" s="271">
        <f t="shared" si="53"/>
        <v>0</v>
      </c>
      <c r="Q366" s="520"/>
      <c r="R366" s="354">
        <f>IF(ISERROR(VLOOKUP("RIC"&amp;$C366,ESTR_PREC_SP!$A$2:$G$2000,4,FALSE))=TRUE,0,VLOOKUP("RIC"&amp;$C366,ESTR_PREC_SP!$A$2:$G$2000,4,FALSE))</f>
        <v>0</v>
      </c>
      <c r="S366" s="521"/>
      <c r="V366" s="211"/>
      <c r="W366" s="520"/>
      <c r="X366" s="520"/>
      <c r="Y366" s="520"/>
      <c r="Z366" s="520"/>
      <c r="AA366" s="285"/>
    </row>
    <row r="367" spans="2:31" s="204" customFormat="1" x14ac:dyDescent="0.25">
      <c r="B367" s="246" t="s">
        <v>833</v>
      </c>
      <c r="C367" s="287" t="s">
        <v>834</v>
      </c>
      <c r="D367" s="274" t="s">
        <v>3372</v>
      </c>
      <c r="E367" s="274"/>
      <c r="F367" s="274"/>
      <c r="G367" s="283"/>
      <c r="H367" s="266"/>
      <c r="I367" s="281"/>
      <c r="J367" s="281"/>
      <c r="K367" s="281"/>
      <c r="L367" s="295" t="s">
        <v>3373</v>
      </c>
      <c r="M367" s="284" t="s">
        <v>2962</v>
      </c>
      <c r="N367" s="269">
        <f t="shared" si="51"/>
        <v>0</v>
      </c>
      <c r="O367" s="270">
        <f t="shared" si="52"/>
        <v>0</v>
      </c>
      <c r="P367" s="271">
        <f t="shared" si="53"/>
        <v>0</v>
      </c>
      <c r="Q367" s="520"/>
      <c r="R367" s="354">
        <f>IF(ISERROR(VLOOKUP("RIC"&amp;$C367,ESTR_PREC_SP!$A$2:$G$2000,4,FALSE))=TRUE,0,VLOOKUP("RIC"&amp;$C367,ESTR_PREC_SP!$A$2:$G$2000,4,FALSE))</f>
        <v>0</v>
      </c>
      <c r="S367" s="521"/>
      <c r="V367" s="211"/>
      <c r="W367" s="520"/>
      <c r="X367" s="520"/>
      <c r="Y367" s="520"/>
      <c r="Z367" s="520"/>
      <c r="AA367" s="285"/>
    </row>
    <row r="368" spans="2:31" s="204" customFormat="1" x14ac:dyDescent="0.25">
      <c r="B368" s="246" t="s">
        <v>836</v>
      </c>
      <c r="C368" s="287" t="s">
        <v>837</v>
      </c>
      <c r="D368" s="274" t="s">
        <v>3374</v>
      </c>
      <c r="E368" s="274"/>
      <c r="F368" s="274"/>
      <c r="G368" s="283"/>
      <c r="H368" s="266"/>
      <c r="I368" s="281"/>
      <c r="J368" s="281"/>
      <c r="K368" s="281"/>
      <c r="L368" s="295" t="s">
        <v>3375</v>
      </c>
      <c r="M368" s="284" t="s">
        <v>2962</v>
      </c>
      <c r="N368" s="269">
        <f t="shared" si="51"/>
        <v>0</v>
      </c>
      <c r="O368" s="270">
        <f t="shared" si="52"/>
        <v>0</v>
      </c>
      <c r="P368" s="271">
        <f t="shared" si="53"/>
        <v>0</v>
      </c>
      <c r="Q368" s="520"/>
      <c r="R368" s="354">
        <f>IF(ISERROR(VLOOKUP("RIC"&amp;$C368,ESTR_PREC_SP!$A$2:$G$2000,4,FALSE))=TRUE,0,VLOOKUP("RIC"&amp;$C368,ESTR_PREC_SP!$A$2:$G$2000,4,FALSE))</f>
        <v>0</v>
      </c>
      <c r="S368" s="521"/>
      <c r="V368" s="211"/>
      <c r="W368" s="520"/>
      <c r="X368" s="520"/>
      <c r="Y368" s="520"/>
      <c r="Z368" s="520"/>
      <c r="AA368" s="285"/>
    </row>
    <row r="369" spans="2:39" s="204" customFormat="1" x14ac:dyDescent="0.25">
      <c r="B369" s="246" t="s">
        <v>839</v>
      </c>
      <c r="C369" s="287" t="s">
        <v>840</v>
      </c>
      <c r="D369" s="274" t="s">
        <v>3376</v>
      </c>
      <c r="E369" s="274"/>
      <c r="F369" s="274"/>
      <c r="G369" s="283"/>
      <c r="H369" s="266"/>
      <c r="I369" s="281"/>
      <c r="J369" s="281"/>
      <c r="K369" s="281"/>
      <c r="L369" s="295" t="s">
        <v>3377</v>
      </c>
      <c r="M369" s="284" t="s">
        <v>2962</v>
      </c>
      <c r="N369" s="269">
        <f t="shared" si="51"/>
        <v>0</v>
      </c>
      <c r="O369" s="270">
        <f t="shared" si="52"/>
        <v>0</v>
      </c>
      <c r="P369" s="271">
        <f t="shared" si="53"/>
        <v>0</v>
      </c>
      <c r="Q369" s="520"/>
      <c r="R369" s="354">
        <f>IF(ISERROR(VLOOKUP("RIC"&amp;$C369,ESTR_PREC_SP!$A$2:$G$2000,4,FALSE))=TRUE,0,VLOOKUP("RIC"&amp;$C369,ESTR_PREC_SP!$A$2:$G$2000,4,FALSE))</f>
        <v>0</v>
      </c>
      <c r="S369" s="521"/>
      <c r="V369" s="211"/>
      <c r="W369" s="520"/>
      <c r="X369" s="520"/>
      <c r="Y369" s="520"/>
      <c r="Z369" s="520"/>
      <c r="AA369" s="285"/>
    </row>
    <row r="370" spans="2:39" s="204" customFormat="1" x14ac:dyDescent="0.25">
      <c r="B370" s="289"/>
      <c r="C370" s="289"/>
      <c r="D370" s="211"/>
      <c r="E370" s="211"/>
      <c r="F370" s="211"/>
      <c r="G370" s="211"/>
      <c r="H370" s="211"/>
      <c r="I370" s="211"/>
      <c r="J370" s="211"/>
      <c r="K370" s="211"/>
      <c r="L370" s="232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</row>
    <row r="371" spans="2:39" s="204" customFormat="1" ht="25.5" x14ac:dyDescent="0.25">
      <c r="B371" s="293"/>
      <c r="C371" s="293"/>
      <c r="D371" s="304"/>
      <c r="E371" s="230"/>
      <c r="F371" s="230"/>
      <c r="G371" s="230"/>
      <c r="H371" s="231"/>
      <c r="I371" s="230"/>
      <c r="J371" s="230"/>
      <c r="K371" s="230"/>
      <c r="L371" s="255"/>
      <c r="M371" s="244"/>
      <c r="N371" s="256" t="str">
        <f>N$15</f>
        <v>Valore netto al 31/12/2019</v>
      </c>
      <c r="O371" s="256" t="str">
        <f>O$15</f>
        <v>Valore netto al 31/12/2020</v>
      </c>
      <c r="P371" s="256" t="str">
        <f>P$15</f>
        <v>Variazione</v>
      </c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</row>
    <row r="372" spans="2:39" s="204" customFormat="1" x14ac:dyDescent="0.25">
      <c r="B372" s="246" t="s">
        <v>842</v>
      </c>
      <c r="C372" s="292" t="s">
        <v>843</v>
      </c>
      <c r="D372" s="301" t="s">
        <v>3378</v>
      </c>
      <c r="E372" s="247"/>
      <c r="F372" s="247"/>
      <c r="G372" s="247"/>
      <c r="H372" s="248"/>
      <c r="I372" s="247"/>
      <c r="J372" s="247"/>
      <c r="K372" s="249"/>
      <c r="L372" s="257" t="s">
        <v>846</v>
      </c>
      <c r="M372" s="251" t="s">
        <v>2962</v>
      </c>
      <c r="N372" s="252">
        <f>+N374</f>
        <v>0</v>
      </c>
      <c r="O372" s="252">
        <f>+O374</f>
        <v>0</v>
      </c>
      <c r="P372" s="253">
        <f>+O372-N372</f>
        <v>0</v>
      </c>
      <c r="Q372" s="285"/>
      <c r="R372" s="285"/>
      <c r="S372" s="252">
        <f>+S374</f>
        <v>0</v>
      </c>
      <c r="T372" s="285"/>
      <c r="U372" s="285"/>
      <c r="V372" s="285"/>
      <c r="W372" s="211"/>
      <c r="X372" s="252">
        <f>+X374</f>
        <v>0</v>
      </c>
      <c r="Y372" s="285"/>
      <c r="Z372" s="285"/>
      <c r="AA372" s="285"/>
    </row>
    <row r="373" spans="2:39" s="204" customFormat="1" x14ac:dyDescent="0.25">
      <c r="B373" s="293"/>
      <c r="C373" s="293"/>
      <c r="D373" s="247"/>
      <c r="E373" s="230"/>
      <c r="F373" s="230"/>
      <c r="G373" s="285"/>
      <c r="H373" s="321"/>
      <c r="I373" s="285"/>
      <c r="J373" s="285"/>
      <c r="K373" s="285"/>
      <c r="L373" s="322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</row>
    <row r="374" spans="2:39" s="204" customFormat="1" x14ac:dyDescent="0.25">
      <c r="B374" s="246" t="s">
        <v>847</v>
      </c>
      <c r="C374" s="292" t="s">
        <v>848</v>
      </c>
      <c r="D374" s="247" t="s">
        <v>3379</v>
      </c>
      <c r="E374" s="247"/>
      <c r="F374" s="247"/>
      <c r="G374" s="247"/>
      <c r="H374" s="248"/>
      <c r="I374" s="247"/>
      <c r="J374" s="247"/>
      <c r="K374" s="249"/>
      <c r="L374" s="276" t="s">
        <v>850</v>
      </c>
      <c r="M374" s="251" t="s">
        <v>2962</v>
      </c>
      <c r="N374" s="252">
        <f>+N377</f>
        <v>0</v>
      </c>
      <c r="O374" s="252">
        <f>+O377</f>
        <v>0</v>
      </c>
      <c r="P374" s="259">
        <f>+O374-N374</f>
        <v>0</v>
      </c>
      <c r="Q374" s="252">
        <f>+Q377</f>
        <v>0</v>
      </c>
      <c r="R374" s="252">
        <f>+R377</f>
        <v>0</v>
      </c>
      <c r="S374" s="252">
        <f>+S377</f>
        <v>0</v>
      </c>
      <c r="T374" s="252">
        <f>+T377</f>
        <v>0</v>
      </c>
      <c r="U374" s="252">
        <f>+U377</f>
        <v>0</v>
      </c>
      <c r="W374" s="252">
        <f t="shared" ref="W374:AE374" si="54">+W377</f>
        <v>0</v>
      </c>
      <c r="X374" s="252">
        <f t="shared" si="54"/>
        <v>0</v>
      </c>
      <c r="Y374" s="252">
        <f t="shared" si="54"/>
        <v>0</v>
      </c>
      <c r="Z374" s="252">
        <f t="shared" si="54"/>
        <v>0</v>
      </c>
      <c r="AA374" s="252">
        <f t="shared" si="54"/>
        <v>0</v>
      </c>
      <c r="AB374" s="252">
        <f t="shared" si="54"/>
        <v>0</v>
      </c>
      <c r="AC374" s="252">
        <f t="shared" si="54"/>
        <v>0</v>
      </c>
      <c r="AD374" s="252">
        <f t="shared" si="54"/>
        <v>0</v>
      </c>
      <c r="AE374" s="252">
        <f t="shared" si="54"/>
        <v>0</v>
      </c>
    </row>
    <row r="375" spans="2:39" s="204" customFormat="1" x14ac:dyDescent="0.25">
      <c r="B375" s="293"/>
      <c r="C375" s="293"/>
      <c r="D375" s="230"/>
      <c r="E375" s="230"/>
      <c r="F375" s="230"/>
      <c r="G375" s="230"/>
      <c r="H375" s="231"/>
      <c r="I375" s="230"/>
      <c r="J375" s="230"/>
      <c r="K375" s="230"/>
      <c r="L375" s="275"/>
      <c r="M375" s="216"/>
      <c r="N375" s="285"/>
      <c r="O375" s="285"/>
      <c r="P375" s="285"/>
      <c r="Q375" s="285"/>
      <c r="R375" s="285"/>
      <c r="T375" s="285"/>
      <c r="U375" s="285"/>
      <c r="V375" s="285"/>
      <c r="W375" s="285"/>
      <c r="X375" s="285"/>
      <c r="Y375" s="285"/>
      <c r="Z375" s="285"/>
      <c r="AA375" s="285"/>
    </row>
    <row r="376" spans="2:39" s="204" customFormat="1" ht="63.75" x14ac:dyDescent="0.25">
      <c r="B376" s="294" t="s">
        <v>2968</v>
      </c>
      <c r="C376" s="294" t="s">
        <v>2969</v>
      </c>
      <c r="D376" s="206" t="s">
        <v>72</v>
      </c>
      <c r="E376" s="206"/>
      <c r="F376" s="206"/>
      <c r="G376" s="207"/>
      <c r="H376" s="207"/>
      <c r="I376" s="207"/>
      <c r="J376" s="207" t="s">
        <v>2957</v>
      </c>
      <c r="K376" s="206" t="s">
        <v>82</v>
      </c>
      <c r="L376" s="261" t="s">
        <v>2970</v>
      </c>
      <c r="M376" s="260"/>
      <c r="N376" s="256" t="str">
        <f>N$15</f>
        <v>Valore netto al 31/12/2019</v>
      </c>
      <c r="O376" s="256" t="str">
        <f>O$15</f>
        <v>Valore netto al 31/12/2020</v>
      </c>
      <c r="P376" s="256" t="str">
        <f>P$15</f>
        <v>Variazione</v>
      </c>
      <c r="Q376" s="262" t="s">
        <v>2971</v>
      </c>
      <c r="R376" s="262" t="str">
        <f>"Costo storico al 31/12/"&amp;Info!$B$3-1</f>
        <v>Costo storico al 31/12/2019</v>
      </c>
      <c r="S376" s="262" t="s">
        <v>2972</v>
      </c>
      <c r="T376" s="262" t="s">
        <v>2973</v>
      </c>
      <c r="U376" s="262" t="s">
        <v>2974</v>
      </c>
      <c r="W376" s="262" t="s">
        <v>2975</v>
      </c>
      <c r="X376" s="262" t="s">
        <v>2976</v>
      </c>
      <c r="Y376" s="262" t="s">
        <v>2977</v>
      </c>
      <c r="Z376" s="262" t="s">
        <v>2978</v>
      </c>
      <c r="AA376" s="262" t="s">
        <v>2979</v>
      </c>
      <c r="AB376" s="262" t="s">
        <v>2980</v>
      </c>
      <c r="AC376" s="262" t="s">
        <v>2981</v>
      </c>
      <c r="AD376" s="262" t="s">
        <v>2982</v>
      </c>
      <c r="AE376" s="262" t="s">
        <v>2983</v>
      </c>
    </row>
    <row r="377" spans="2:39" s="204" customFormat="1" x14ac:dyDescent="0.25">
      <c r="B377" s="246" t="s">
        <v>851</v>
      </c>
      <c r="C377" s="287" t="s">
        <v>852</v>
      </c>
      <c r="D377" s="274" t="s">
        <v>3380</v>
      </c>
      <c r="E377" s="274"/>
      <c r="F377" s="274"/>
      <c r="G377" s="274"/>
      <c r="H377" s="266"/>
      <c r="I377" s="281"/>
      <c r="J377" s="281"/>
      <c r="K377" s="281"/>
      <c r="L377" s="282" t="s">
        <v>3381</v>
      </c>
      <c r="M377" s="263" t="s">
        <v>2962</v>
      </c>
      <c r="N377" s="269">
        <f>+R377+T377-U377</f>
        <v>0</v>
      </c>
      <c r="O377" s="270">
        <f>+N377+S377+X377+ABS(Y377)-ABS(AA377)+ABS(Z377)+ABS(AB377)+ABS(AD377)-ABS(AE377)+AC377+W377+Q377</f>
        <v>0</v>
      </c>
      <c r="P377" s="271">
        <f>+O377-N377</f>
        <v>0</v>
      </c>
      <c r="Q377" s="520"/>
      <c r="R377" s="354">
        <f>IF(ISERROR(VLOOKUP("RIC"&amp;$C377,ESTR_PREC_SP!$A$2:$G$2000,4,FALSE))=TRUE,0,VLOOKUP("RIC"&amp;$C377,ESTR_PREC_SP!$A$2:$G$2000,4,FALSE))</f>
        <v>0</v>
      </c>
      <c r="S377" s="521"/>
      <c r="T377" s="521"/>
      <c r="U377" s="521"/>
      <c r="W377" s="520"/>
      <c r="X377" s="520"/>
      <c r="Y377" s="520"/>
      <c r="Z377" s="520"/>
      <c r="AA377" s="520"/>
      <c r="AB377" s="520"/>
      <c r="AC377" s="520"/>
      <c r="AD377" s="520"/>
      <c r="AE377" s="520"/>
    </row>
    <row r="378" spans="2:39" s="204" customFormat="1" x14ac:dyDescent="0.25">
      <c r="B378" s="289"/>
      <c r="C378" s="289"/>
      <c r="D378" s="211"/>
      <c r="E378" s="211"/>
      <c r="F378" s="211"/>
      <c r="G378" s="211"/>
      <c r="H378" s="211"/>
      <c r="I378" s="211"/>
      <c r="J378" s="211"/>
      <c r="K378" s="211"/>
      <c r="L378" s="232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</row>
    <row r="379" spans="2:39" s="204" customFormat="1" ht="25.5" x14ac:dyDescent="0.25">
      <c r="B379" s="293"/>
      <c r="C379" s="293"/>
      <c r="D379" s="230"/>
      <c r="E379" s="230"/>
      <c r="F379" s="230"/>
      <c r="G379" s="230"/>
      <c r="H379" s="231"/>
      <c r="I379" s="230"/>
      <c r="J379" s="230"/>
      <c r="K379" s="230"/>
      <c r="L379" s="255"/>
      <c r="M379" s="244"/>
      <c r="N379" s="256" t="str">
        <f>N$15</f>
        <v>Valore netto al 31/12/2019</v>
      </c>
      <c r="O379" s="256" t="str">
        <f>O$15</f>
        <v>Valore netto al 31/12/2020</v>
      </c>
      <c r="P379" s="256" t="str">
        <f>P$15</f>
        <v>Variazione</v>
      </c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</row>
    <row r="380" spans="2:39" s="204" customFormat="1" x14ac:dyDescent="0.25">
      <c r="B380" s="246" t="s">
        <v>854</v>
      </c>
      <c r="C380" s="292" t="s">
        <v>855</v>
      </c>
      <c r="D380" s="247" t="s">
        <v>3382</v>
      </c>
      <c r="E380" s="247"/>
      <c r="F380" s="247"/>
      <c r="G380" s="247"/>
      <c r="H380" s="248"/>
      <c r="I380" s="247"/>
      <c r="J380" s="247"/>
      <c r="K380" s="249"/>
      <c r="L380" s="257" t="s">
        <v>857</v>
      </c>
      <c r="M380" s="251" t="s">
        <v>2962</v>
      </c>
      <c r="N380" s="252">
        <f>+N382-N399</f>
        <v>0</v>
      </c>
      <c r="O380" s="252">
        <f>+O382-O399</f>
        <v>0</v>
      </c>
      <c r="P380" s="253">
        <f>+O380-N380</f>
        <v>0</v>
      </c>
      <c r="Q380" s="285"/>
      <c r="R380" s="285"/>
      <c r="S380" s="252">
        <f>+S382-S399</f>
        <v>0</v>
      </c>
      <c r="T380" s="285"/>
      <c r="U380" s="285"/>
      <c r="V380" s="285"/>
      <c r="W380" s="211"/>
      <c r="X380" s="252">
        <f>+X382-X399</f>
        <v>0</v>
      </c>
      <c r="Y380" s="285"/>
      <c r="Z380" s="285"/>
      <c r="AA380" s="285"/>
    </row>
    <row r="381" spans="2:39" s="204" customFormat="1" x14ac:dyDescent="0.25">
      <c r="B381" s="293"/>
      <c r="C381" s="293"/>
      <c r="D381" s="230"/>
      <c r="E381" s="230"/>
      <c r="F381" s="230"/>
      <c r="G381" s="285"/>
      <c r="H381" s="321"/>
      <c r="I381" s="285"/>
      <c r="J381" s="285"/>
      <c r="K381" s="285"/>
      <c r="L381" s="322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</row>
    <row r="382" spans="2:39" s="204" customFormat="1" x14ac:dyDescent="0.25">
      <c r="B382" s="246" t="s">
        <v>858</v>
      </c>
      <c r="C382" s="292" t="s">
        <v>859</v>
      </c>
      <c r="D382" s="247" t="s">
        <v>3383</v>
      </c>
      <c r="E382" s="247"/>
      <c r="F382" s="247"/>
      <c r="G382" s="247"/>
      <c r="H382" s="248"/>
      <c r="I382" s="247"/>
      <c r="J382" s="247"/>
      <c r="K382" s="249"/>
      <c r="L382" s="276" t="s">
        <v>862</v>
      </c>
      <c r="M382" s="251" t="s">
        <v>2962</v>
      </c>
      <c r="N382" s="252">
        <f>SUM(N385:N396)</f>
        <v>0</v>
      </c>
      <c r="O382" s="252">
        <f>SUM(O385:O396)</f>
        <v>0</v>
      </c>
      <c r="P382" s="259">
        <f>+O382-N382</f>
        <v>0</v>
      </c>
      <c r="Q382" s="252">
        <f>SUM(Q385:Q396)</f>
        <v>0</v>
      </c>
      <c r="R382" s="252">
        <f>SUM(R385:R396)</f>
        <v>0</v>
      </c>
      <c r="S382" s="252">
        <f>SUM(S385:S396)</f>
        <v>0</v>
      </c>
      <c r="T382" s="252">
        <f>SUM(T385:T396)</f>
        <v>0</v>
      </c>
      <c r="U382" s="252">
        <f>SUM(U385:U396)</f>
        <v>0</v>
      </c>
      <c r="W382" s="252">
        <f t="shared" ref="W382:AE382" si="55">SUM(W385:W396)</f>
        <v>0</v>
      </c>
      <c r="X382" s="252">
        <f t="shared" si="55"/>
        <v>0</v>
      </c>
      <c r="Y382" s="252">
        <f t="shared" si="55"/>
        <v>0</v>
      </c>
      <c r="Z382" s="252">
        <f t="shared" si="55"/>
        <v>0</v>
      </c>
      <c r="AA382" s="252">
        <f t="shared" si="55"/>
        <v>0</v>
      </c>
      <c r="AB382" s="252">
        <f t="shared" si="55"/>
        <v>0</v>
      </c>
      <c r="AC382" s="252">
        <f t="shared" si="55"/>
        <v>0</v>
      </c>
      <c r="AD382" s="252">
        <f t="shared" si="55"/>
        <v>0</v>
      </c>
      <c r="AE382" s="252">
        <f t="shared" si="55"/>
        <v>0</v>
      </c>
    </row>
    <row r="383" spans="2:39" s="204" customFormat="1" x14ac:dyDescent="0.25">
      <c r="B383" s="293"/>
      <c r="C383" s="293"/>
      <c r="D383" s="230"/>
      <c r="E383" s="230"/>
      <c r="F383" s="230"/>
      <c r="G383" s="230"/>
      <c r="H383" s="231"/>
      <c r="I383" s="230"/>
      <c r="J383" s="230"/>
      <c r="K383" s="285"/>
      <c r="L383" s="322"/>
      <c r="M383" s="285"/>
      <c r="N383" s="285"/>
      <c r="O383" s="285"/>
      <c r="P383" s="285"/>
      <c r="Q383" s="285"/>
      <c r="R383" s="285"/>
      <c r="T383" s="285"/>
      <c r="U383" s="285"/>
      <c r="V383" s="285"/>
      <c r="W383" s="285"/>
      <c r="X383" s="285"/>
      <c r="Y383" s="285"/>
      <c r="Z383" s="285"/>
      <c r="AA383" s="285"/>
    </row>
    <row r="384" spans="2:39" s="204" customFormat="1" ht="63.75" x14ac:dyDescent="0.25">
      <c r="B384" s="294" t="s">
        <v>2968</v>
      </c>
      <c r="C384" s="294" t="s">
        <v>2969</v>
      </c>
      <c r="D384" s="206" t="s">
        <v>72</v>
      </c>
      <c r="E384" s="206"/>
      <c r="F384" s="206"/>
      <c r="G384" s="207"/>
      <c r="H384" s="207"/>
      <c r="I384" s="207"/>
      <c r="J384" s="207" t="s">
        <v>2957</v>
      </c>
      <c r="K384" s="206" t="s">
        <v>82</v>
      </c>
      <c r="L384" s="261" t="s">
        <v>2970</v>
      </c>
      <c r="M384" s="260"/>
      <c r="N384" s="256" t="str">
        <f>N$15</f>
        <v>Valore netto al 31/12/2019</v>
      </c>
      <c r="O384" s="256" t="str">
        <f>O$15</f>
        <v>Valore netto al 31/12/2020</v>
      </c>
      <c r="P384" s="256" t="str">
        <f>P$15</f>
        <v>Variazione</v>
      </c>
      <c r="Q384" s="262" t="s">
        <v>2971</v>
      </c>
      <c r="R384" s="262" t="str">
        <f>"Costo storico al 31/12/"&amp;Info!$B$3-1</f>
        <v>Costo storico al 31/12/2019</v>
      </c>
      <c r="S384" s="262" t="s">
        <v>2972</v>
      </c>
      <c r="T384" s="262" t="s">
        <v>2973</v>
      </c>
      <c r="U384" s="262" t="s">
        <v>2974</v>
      </c>
      <c r="W384" s="262" t="s">
        <v>2975</v>
      </c>
      <c r="X384" s="262" t="s">
        <v>2976</v>
      </c>
      <c r="Y384" s="262" t="s">
        <v>2977</v>
      </c>
      <c r="Z384" s="262" t="s">
        <v>2978</v>
      </c>
      <c r="AA384" s="262" t="s">
        <v>2979</v>
      </c>
      <c r="AB384" s="262" t="s">
        <v>2980</v>
      </c>
      <c r="AC384" s="262" t="s">
        <v>2981</v>
      </c>
      <c r="AD384" s="262" t="s">
        <v>2982</v>
      </c>
      <c r="AE384" s="262" t="s">
        <v>2983</v>
      </c>
    </row>
    <row r="385" spans="2:31" s="204" customFormat="1" ht="33" customHeight="1" x14ac:dyDescent="0.25">
      <c r="B385" s="246" t="s">
        <v>863</v>
      </c>
      <c r="C385" s="287" t="s">
        <v>864</v>
      </c>
      <c r="D385" s="274" t="s">
        <v>3384</v>
      </c>
      <c r="E385" s="274"/>
      <c r="F385" s="274"/>
      <c r="G385" s="283"/>
      <c r="H385" s="266"/>
      <c r="I385" s="281"/>
      <c r="J385" s="281"/>
      <c r="K385" s="281"/>
      <c r="L385" s="288" t="s">
        <v>3385</v>
      </c>
      <c r="M385" s="263" t="s">
        <v>2962</v>
      </c>
      <c r="N385" s="269">
        <f t="shared" ref="N385:N396" si="56">+R385+T385-U385</f>
        <v>0</v>
      </c>
      <c r="O385" s="270">
        <f t="shared" ref="O385:O396" si="57">+N385+S385+X385+ABS(Y385)-ABS(AA385)+ABS(Z385)+ABS(AB385)+ABS(AD385)-ABS(AE385)+AC385+W385+Q385</f>
        <v>0</v>
      </c>
      <c r="P385" s="271">
        <f t="shared" ref="P385:P396" si="58">+O385-N385</f>
        <v>0</v>
      </c>
      <c r="Q385" s="520"/>
      <c r="R385" s="354">
        <f>IF(ISERROR(VLOOKUP("RIC"&amp;$C385,ESTR_PREC_SP!$A$2:$G$2000,4,FALSE))=TRUE,0,VLOOKUP("RIC"&amp;$C385,ESTR_PREC_SP!$A$2:$G$2000,4,FALSE))</f>
        <v>0</v>
      </c>
      <c r="S385" s="521"/>
      <c r="T385" s="521"/>
      <c r="U385" s="521"/>
      <c r="W385" s="520"/>
      <c r="X385" s="520"/>
      <c r="Y385" s="520"/>
      <c r="Z385" s="520"/>
      <c r="AA385" s="520"/>
      <c r="AB385" s="520"/>
      <c r="AC385" s="520"/>
      <c r="AD385" s="520"/>
      <c r="AE385" s="520"/>
    </row>
    <row r="386" spans="2:31" s="204" customFormat="1" x14ac:dyDescent="0.25">
      <c r="B386" s="246" t="s">
        <v>866</v>
      </c>
      <c r="C386" s="287" t="s">
        <v>867</v>
      </c>
      <c r="D386" s="274" t="s">
        <v>3386</v>
      </c>
      <c r="E386" s="274"/>
      <c r="F386" s="274"/>
      <c r="G386" s="283"/>
      <c r="H386" s="266"/>
      <c r="I386" s="281"/>
      <c r="J386" s="281"/>
      <c r="K386" s="281"/>
      <c r="L386" s="288" t="s">
        <v>3387</v>
      </c>
      <c r="M386" s="263" t="s">
        <v>2962</v>
      </c>
      <c r="N386" s="269">
        <f t="shared" si="56"/>
        <v>0</v>
      </c>
      <c r="O386" s="270">
        <f t="shared" si="57"/>
        <v>0</v>
      </c>
      <c r="P386" s="271">
        <f t="shared" si="58"/>
        <v>0</v>
      </c>
      <c r="Q386" s="520"/>
      <c r="R386" s="354">
        <f>IF(ISERROR(VLOOKUP("RIC"&amp;$C386,ESTR_PREC_SP!$A$2:$G$2000,4,FALSE))=TRUE,0,VLOOKUP("RIC"&amp;$C386,ESTR_PREC_SP!$A$2:$G$2000,4,FALSE))</f>
        <v>0</v>
      </c>
      <c r="S386" s="521"/>
      <c r="T386" s="521"/>
      <c r="U386" s="521"/>
      <c r="W386" s="520"/>
      <c r="X386" s="520"/>
      <c r="Y386" s="520"/>
      <c r="Z386" s="520"/>
      <c r="AA386" s="520"/>
      <c r="AB386" s="520"/>
      <c r="AC386" s="520"/>
      <c r="AD386" s="520"/>
      <c r="AE386" s="520"/>
    </row>
    <row r="387" spans="2:31" s="204" customFormat="1" x14ac:dyDescent="0.25">
      <c r="B387" s="246" t="s">
        <v>869</v>
      </c>
      <c r="C387" s="287" t="s">
        <v>870</v>
      </c>
      <c r="D387" s="274" t="s">
        <v>3388</v>
      </c>
      <c r="E387" s="274"/>
      <c r="F387" s="274"/>
      <c r="G387" s="283"/>
      <c r="H387" s="266"/>
      <c r="I387" s="281"/>
      <c r="J387" s="281"/>
      <c r="K387" s="281"/>
      <c r="L387" s="324" t="s">
        <v>3389</v>
      </c>
      <c r="M387" s="284" t="s">
        <v>2962</v>
      </c>
      <c r="N387" s="269">
        <f t="shared" si="56"/>
        <v>0</v>
      </c>
      <c r="O387" s="270">
        <f t="shared" si="57"/>
        <v>0</v>
      </c>
      <c r="P387" s="271">
        <f t="shared" si="58"/>
        <v>0</v>
      </c>
      <c r="Q387" s="520"/>
      <c r="R387" s="354">
        <f>IF(ISERROR(VLOOKUP("RIC"&amp;$C387,ESTR_PREC_SP!$A$2:$G$2000,4,FALSE))=TRUE,0,VLOOKUP("RIC"&amp;$C387,ESTR_PREC_SP!$A$2:$G$2000,4,FALSE))</f>
        <v>0</v>
      </c>
      <c r="S387" s="521"/>
      <c r="T387" s="521"/>
      <c r="U387" s="521"/>
      <c r="W387" s="520"/>
      <c r="X387" s="520"/>
      <c r="Y387" s="520"/>
      <c r="Z387" s="520"/>
      <c r="AA387" s="520"/>
      <c r="AB387" s="520"/>
      <c r="AC387" s="520"/>
      <c r="AD387" s="520"/>
      <c r="AE387" s="520"/>
    </row>
    <row r="388" spans="2:31" s="204" customFormat="1" x14ac:dyDescent="0.25">
      <c r="B388" s="246" t="s">
        <v>872</v>
      </c>
      <c r="C388" s="287" t="s">
        <v>873</v>
      </c>
      <c r="D388" s="274" t="s">
        <v>3390</v>
      </c>
      <c r="E388" s="274"/>
      <c r="F388" s="274"/>
      <c r="G388" s="283"/>
      <c r="H388" s="266"/>
      <c r="I388" s="281"/>
      <c r="J388" s="281"/>
      <c r="K388" s="281"/>
      <c r="L388" s="324" t="s">
        <v>3391</v>
      </c>
      <c r="M388" s="284" t="s">
        <v>2962</v>
      </c>
      <c r="N388" s="269">
        <f t="shared" si="56"/>
        <v>0</v>
      </c>
      <c r="O388" s="270">
        <f t="shared" si="57"/>
        <v>0</v>
      </c>
      <c r="P388" s="271">
        <f t="shared" si="58"/>
        <v>0</v>
      </c>
      <c r="Q388" s="520"/>
      <c r="R388" s="354">
        <f>IF(ISERROR(VLOOKUP("RIC"&amp;$C388,ESTR_PREC_SP!$A$2:$G$2000,4,FALSE))=TRUE,0,VLOOKUP("RIC"&amp;$C388,ESTR_PREC_SP!$A$2:$G$2000,4,FALSE))</f>
        <v>0</v>
      </c>
      <c r="S388" s="521"/>
      <c r="T388" s="521"/>
      <c r="U388" s="521"/>
      <c r="W388" s="520"/>
      <c r="X388" s="520"/>
      <c r="Y388" s="520"/>
      <c r="Z388" s="520"/>
      <c r="AA388" s="520"/>
      <c r="AB388" s="520"/>
      <c r="AC388" s="520"/>
      <c r="AD388" s="520"/>
      <c r="AE388" s="520"/>
    </row>
    <row r="389" spans="2:31" s="204" customFormat="1" x14ac:dyDescent="0.25">
      <c r="B389" s="246" t="s">
        <v>875</v>
      </c>
      <c r="C389" s="287" t="s">
        <v>876</v>
      </c>
      <c r="D389" s="274" t="s">
        <v>3392</v>
      </c>
      <c r="E389" s="274"/>
      <c r="F389" s="274"/>
      <c r="G389" s="283"/>
      <c r="H389" s="266"/>
      <c r="I389" s="281"/>
      <c r="J389" s="281"/>
      <c r="K389" s="281"/>
      <c r="L389" s="324" t="s">
        <v>3393</v>
      </c>
      <c r="M389" s="284" t="s">
        <v>2962</v>
      </c>
      <c r="N389" s="269">
        <f t="shared" si="56"/>
        <v>0</v>
      </c>
      <c r="O389" s="270">
        <f t="shared" si="57"/>
        <v>0</v>
      </c>
      <c r="P389" s="271">
        <f t="shared" si="58"/>
        <v>0</v>
      </c>
      <c r="Q389" s="520"/>
      <c r="R389" s="354">
        <f>IF(ISERROR(VLOOKUP("RIC"&amp;$C389,ESTR_PREC_SP!$A$2:$G$2000,4,FALSE))=TRUE,0,VLOOKUP("RIC"&amp;$C389,ESTR_PREC_SP!$A$2:$G$2000,4,FALSE))</f>
        <v>0</v>
      </c>
      <c r="S389" s="521"/>
      <c r="T389" s="521"/>
      <c r="U389" s="521"/>
      <c r="W389" s="520"/>
      <c r="X389" s="520"/>
      <c r="Y389" s="520"/>
      <c r="Z389" s="520"/>
      <c r="AA389" s="520"/>
      <c r="AB389" s="520"/>
      <c r="AC389" s="520"/>
      <c r="AD389" s="520"/>
      <c r="AE389" s="520"/>
    </row>
    <row r="390" spans="2:31" s="204" customFormat="1" x14ac:dyDescent="0.25">
      <c r="B390" s="246" t="s">
        <v>878</v>
      </c>
      <c r="C390" s="287" t="s">
        <v>879</v>
      </c>
      <c r="D390" s="274" t="s">
        <v>3394</v>
      </c>
      <c r="E390" s="274"/>
      <c r="F390" s="274"/>
      <c r="G390" s="283"/>
      <c r="H390" s="266"/>
      <c r="I390" s="281"/>
      <c r="J390" s="281"/>
      <c r="K390" s="281"/>
      <c r="L390" s="324" t="s">
        <v>3395</v>
      </c>
      <c r="M390" s="284" t="s">
        <v>2962</v>
      </c>
      <c r="N390" s="269">
        <f t="shared" si="56"/>
        <v>0</v>
      </c>
      <c r="O390" s="270">
        <f t="shared" si="57"/>
        <v>0</v>
      </c>
      <c r="P390" s="271">
        <f t="shared" si="58"/>
        <v>0</v>
      </c>
      <c r="Q390" s="520"/>
      <c r="R390" s="354">
        <f>IF(ISERROR(VLOOKUP("RIC"&amp;$C390,ESTR_PREC_SP!$A$2:$G$2000,4,FALSE))=TRUE,0,VLOOKUP("RIC"&amp;$C390,ESTR_PREC_SP!$A$2:$G$2000,4,FALSE))</f>
        <v>0</v>
      </c>
      <c r="S390" s="521"/>
      <c r="T390" s="521"/>
      <c r="U390" s="521"/>
      <c r="W390" s="520"/>
      <c r="X390" s="520"/>
      <c r="Y390" s="520"/>
      <c r="Z390" s="520"/>
      <c r="AA390" s="520"/>
      <c r="AB390" s="520"/>
      <c r="AC390" s="520"/>
      <c r="AD390" s="520"/>
      <c r="AE390" s="520"/>
    </row>
    <row r="391" spans="2:31" s="204" customFormat="1" ht="15" customHeight="1" x14ac:dyDescent="0.25">
      <c r="B391" s="246" t="s">
        <v>881</v>
      </c>
      <c r="C391" s="287" t="s">
        <v>882</v>
      </c>
      <c r="D391" s="274" t="s">
        <v>3396</v>
      </c>
      <c r="E391" s="274"/>
      <c r="F391" s="274"/>
      <c r="G391" s="283"/>
      <c r="H391" s="266"/>
      <c r="I391" s="281"/>
      <c r="J391" s="281"/>
      <c r="K391" s="281"/>
      <c r="L391" s="288" t="s">
        <v>3397</v>
      </c>
      <c r="M391" s="284" t="s">
        <v>2962</v>
      </c>
      <c r="N391" s="269">
        <f t="shared" si="56"/>
        <v>0</v>
      </c>
      <c r="O391" s="270">
        <f t="shared" si="57"/>
        <v>0</v>
      </c>
      <c r="P391" s="271">
        <f t="shared" si="58"/>
        <v>0</v>
      </c>
      <c r="Q391" s="520"/>
      <c r="R391" s="354">
        <f>IF(ISERROR(VLOOKUP("RIC"&amp;$C391,ESTR_PREC_SP!$A$2:$G$2000,4,FALSE))=TRUE,0,VLOOKUP("RIC"&amp;$C391,ESTR_PREC_SP!$A$2:$G$2000,4,FALSE))</f>
        <v>0</v>
      </c>
      <c r="S391" s="521"/>
      <c r="T391" s="521"/>
      <c r="U391" s="521"/>
      <c r="W391" s="520"/>
      <c r="X391" s="520"/>
      <c r="Y391" s="520"/>
      <c r="Z391" s="520"/>
      <c r="AA391" s="520"/>
      <c r="AB391" s="520"/>
      <c r="AC391" s="520"/>
      <c r="AD391" s="520"/>
      <c r="AE391" s="520"/>
    </row>
    <row r="392" spans="2:31" s="204" customFormat="1" x14ac:dyDescent="0.25">
      <c r="B392" s="246" t="s">
        <v>884</v>
      </c>
      <c r="C392" s="287" t="s">
        <v>885</v>
      </c>
      <c r="D392" s="274" t="s">
        <v>3398</v>
      </c>
      <c r="E392" s="274"/>
      <c r="F392" s="274"/>
      <c r="G392" s="283"/>
      <c r="H392" s="266"/>
      <c r="I392" s="281"/>
      <c r="J392" s="281"/>
      <c r="K392" s="281"/>
      <c r="L392" s="288" t="s">
        <v>3399</v>
      </c>
      <c r="M392" s="284" t="s">
        <v>2962</v>
      </c>
      <c r="N392" s="269">
        <f t="shared" si="56"/>
        <v>0</v>
      </c>
      <c r="O392" s="270">
        <f t="shared" si="57"/>
        <v>0</v>
      </c>
      <c r="P392" s="271">
        <f t="shared" si="58"/>
        <v>0</v>
      </c>
      <c r="Q392" s="520"/>
      <c r="R392" s="354">
        <f>IF(ISERROR(VLOOKUP("RIC"&amp;$C392,ESTR_PREC_SP!$A$2:$G$2000,4,FALSE))=TRUE,0,VLOOKUP("RIC"&amp;$C392,ESTR_PREC_SP!$A$2:$G$2000,4,FALSE))</f>
        <v>0</v>
      </c>
      <c r="S392" s="521"/>
      <c r="T392" s="521"/>
      <c r="U392" s="521"/>
      <c r="W392" s="520"/>
      <c r="X392" s="520"/>
      <c r="Y392" s="520"/>
      <c r="Z392" s="520"/>
      <c r="AA392" s="520"/>
      <c r="AB392" s="520"/>
      <c r="AC392" s="520"/>
      <c r="AD392" s="520"/>
      <c r="AE392" s="520"/>
    </row>
    <row r="393" spans="2:31" s="204" customFormat="1" ht="25.5" x14ac:dyDescent="0.25">
      <c r="B393" s="246" t="s">
        <v>887</v>
      </c>
      <c r="C393" s="287" t="s">
        <v>888</v>
      </c>
      <c r="D393" s="274" t="s">
        <v>3400</v>
      </c>
      <c r="E393" s="274"/>
      <c r="F393" s="274"/>
      <c r="G393" s="283"/>
      <c r="H393" s="266"/>
      <c r="I393" s="281"/>
      <c r="J393" s="281"/>
      <c r="K393" s="281"/>
      <c r="L393" s="288" t="s">
        <v>3401</v>
      </c>
      <c r="M393" s="284" t="s">
        <v>2962</v>
      </c>
      <c r="N393" s="269">
        <f t="shared" si="56"/>
        <v>0</v>
      </c>
      <c r="O393" s="270">
        <f t="shared" si="57"/>
        <v>0</v>
      </c>
      <c r="P393" s="271">
        <f t="shared" si="58"/>
        <v>0</v>
      </c>
      <c r="Q393" s="520"/>
      <c r="R393" s="354">
        <f>IF(ISERROR(VLOOKUP("RIC"&amp;$C393,ESTR_PREC_SP!$A$2:$G$2000,4,FALSE))=TRUE,0,VLOOKUP("RIC"&amp;$C393,ESTR_PREC_SP!$A$2:$G$2000,4,FALSE))</f>
        <v>0</v>
      </c>
      <c r="S393" s="521"/>
      <c r="T393" s="521"/>
      <c r="U393" s="521"/>
      <c r="W393" s="520"/>
      <c r="X393" s="520"/>
      <c r="Y393" s="520"/>
      <c r="Z393" s="520"/>
      <c r="AA393" s="520"/>
      <c r="AB393" s="520"/>
      <c r="AC393" s="520"/>
      <c r="AD393" s="520"/>
      <c r="AE393" s="520"/>
    </row>
    <row r="394" spans="2:31" s="204" customFormat="1" ht="15" customHeight="1" x14ac:dyDescent="0.25">
      <c r="B394" s="246" t="s">
        <v>890</v>
      </c>
      <c r="C394" s="287" t="s">
        <v>891</v>
      </c>
      <c r="D394" s="274" t="s">
        <v>3402</v>
      </c>
      <c r="E394" s="274"/>
      <c r="F394" s="274"/>
      <c r="G394" s="283"/>
      <c r="H394" s="266"/>
      <c r="I394" s="281"/>
      <c r="J394" s="281"/>
      <c r="K394" s="281"/>
      <c r="L394" s="288" t="s">
        <v>3403</v>
      </c>
      <c r="M394" s="284" t="s">
        <v>2962</v>
      </c>
      <c r="N394" s="269">
        <f t="shared" si="56"/>
        <v>0</v>
      </c>
      <c r="O394" s="270">
        <f t="shared" si="57"/>
        <v>0</v>
      </c>
      <c r="P394" s="271">
        <f t="shared" si="58"/>
        <v>0</v>
      </c>
      <c r="Q394" s="520"/>
      <c r="R394" s="354">
        <f>IF(ISERROR(VLOOKUP("RIC"&amp;$C394,ESTR_PREC_SP!$A$2:$G$2000,4,FALSE))=TRUE,0,VLOOKUP("RIC"&amp;$C394,ESTR_PREC_SP!$A$2:$G$2000,4,FALSE))</f>
        <v>0</v>
      </c>
      <c r="S394" s="521"/>
      <c r="T394" s="521"/>
      <c r="U394" s="521"/>
      <c r="W394" s="520"/>
      <c r="X394" s="520"/>
      <c r="Y394" s="520"/>
      <c r="Z394" s="520"/>
      <c r="AA394" s="520"/>
      <c r="AB394" s="520"/>
      <c r="AC394" s="520"/>
      <c r="AD394" s="520"/>
      <c r="AE394" s="520"/>
    </row>
    <row r="395" spans="2:31" s="204" customFormat="1" x14ac:dyDescent="0.25">
      <c r="B395" s="246" t="s">
        <v>893</v>
      </c>
      <c r="C395" s="287" t="s">
        <v>894</v>
      </c>
      <c r="D395" s="274" t="s">
        <v>3404</v>
      </c>
      <c r="E395" s="274"/>
      <c r="F395" s="274"/>
      <c r="G395" s="283"/>
      <c r="H395" s="266"/>
      <c r="I395" s="281"/>
      <c r="J395" s="281"/>
      <c r="K395" s="281"/>
      <c r="L395" s="295" t="s">
        <v>3405</v>
      </c>
      <c r="M395" s="284" t="s">
        <v>2962</v>
      </c>
      <c r="N395" s="269">
        <f t="shared" si="56"/>
        <v>0</v>
      </c>
      <c r="O395" s="270">
        <f t="shared" si="57"/>
        <v>0</v>
      </c>
      <c r="P395" s="271">
        <f t="shared" si="58"/>
        <v>0</v>
      </c>
      <c r="Q395" s="520"/>
      <c r="R395" s="354">
        <f>IF(ISERROR(VLOOKUP("RIC"&amp;$C395,ESTR_PREC_SP!$A$2:$G$2000,4,FALSE))=TRUE,0,VLOOKUP("RIC"&amp;$C395,ESTR_PREC_SP!$A$2:$G$2000,4,FALSE))</f>
        <v>0</v>
      </c>
      <c r="S395" s="521"/>
      <c r="T395" s="521"/>
      <c r="U395" s="521"/>
      <c r="W395" s="520"/>
      <c r="X395" s="520"/>
      <c r="Y395" s="520"/>
      <c r="Z395" s="520"/>
      <c r="AA395" s="520"/>
      <c r="AB395" s="520"/>
      <c r="AC395" s="520"/>
      <c r="AD395" s="520"/>
      <c r="AE395" s="520"/>
    </row>
    <row r="396" spans="2:31" s="204" customFormat="1" x14ac:dyDescent="0.25">
      <c r="B396" s="246" t="s">
        <v>896</v>
      </c>
      <c r="C396" s="287" t="s">
        <v>897</v>
      </c>
      <c r="D396" s="274" t="s">
        <v>3406</v>
      </c>
      <c r="E396" s="274"/>
      <c r="F396" s="274"/>
      <c r="G396" s="283"/>
      <c r="H396" s="266"/>
      <c r="I396" s="281"/>
      <c r="J396" s="281"/>
      <c r="K396" s="281"/>
      <c r="L396" s="295" t="s">
        <v>3407</v>
      </c>
      <c r="M396" s="284" t="s">
        <v>2962</v>
      </c>
      <c r="N396" s="269">
        <f t="shared" si="56"/>
        <v>0</v>
      </c>
      <c r="O396" s="270">
        <f t="shared" si="57"/>
        <v>0</v>
      </c>
      <c r="P396" s="271">
        <f t="shared" si="58"/>
        <v>0</v>
      </c>
      <c r="Q396" s="520"/>
      <c r="R396" s="354">
        <f>IF(ISERROR(VLOOKUP("RIC"&amp;$C396,ESTR_PREC_SP!$A$2:$G$2000,4,FALSE))=TRUE,0,VLOOKUP("RIC"&amp;$C396,ESTR_PREC_SP!$A$2:$G$2000,4,FALSE))</f>
        <v>0</v>
      </c>
      <c r="S396" s="521"/>
      <c r="T396" s="521"/>
      <c r="U396" s="521"/>
      <c r="W396" s="520"/>
      <c r="X396" s="520"/>
      <c r="Y396" s="520"/>
      <c r="Z396" s="520"/>
      <c r="AA396" s="520"/>
      <c r="AB396" s="520"/>
      <c r="AC396" s="520"/>
      <c r="AD396" s="520"/>
      <c r="AE396" s="520"/>
    </row>
    <row r="397" spans="2:31" s="204" customFormat="1" x14ac:dyDescent="0.25">
      <c r="B397" s="293"/>
      <c r="C397" s="293"/>
      <c r="D397" s="230"/>
      <c r="E397" s="230"/>
      <c r="F397" s="230"/>
      <c r="G397" s="230"/>
      <c r="H397" s="231"/>
      <c r="I397" s="230"/>
      <c r="J397" s="230"/>
      <c r="K397" s="230"/>
      <c r="L397" s="296" t="s">
        <v>3408</v>
      </c>
      <c r="M397" s="216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</row>
    <row r="398" spans="2:31" s="204" customFormat="1" x14ac:dyDescent="0.25">
      <c r="B398" s="293"/>
      <c r="C398" s="293"/>
      <c r="D398" s="230"/>
      <c r="E398" s="230"/>
      <c r="F398" s="230"/>
      <c r="G398" s="230"/>
      <c r="H398" s="231"/>
      <c r="I398" s="230"/>
      <c r="J398" s="230"/>
      <c r="K398" s="230"/>
      <c r="L398" s="296"/>
      <c r="M398" s="216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</row>
    <row r="399" spans="2:31" s="204" customFormat="1" x14ac:dyDescent="0.25">
      <c r="B399" s="246" t="s">
        <v>899</v>
      </c>
      <c r="C399" s="292" t="s">
        <v>900</v>
      </c>
      <c r="D399" s="247" t="s">
        <v>3409</v>
      </c>
      <c r="E399" s="247"/>
      <c r="F399" s="247"/>
      <c r="G399" s="247"/>
      <c r="H399" s="248"/>
      <c r="I399" s="247"/>
      <c r="J399" s="247"/>
      <c r="K399" s="249"/>
      <c r="L399" s="276" t="s">
        <v>903</v>
      </c>
      <c r="M399" s="251" t="s">
        <v>2962</v>
      </c>
      <c r="N399" s="252">
        <f>SUM(N402:N413)</f>
        <v>0</v>
      </c>
      <c r="O399" s="252">
        <f>SUM(O402:O413)</f>
        <v>0</v>
      </c>
      <c r="P399" s="259">
        <f>+O399-N399</f>
        <v>0</v>
      </c>
      <c r="Q399" s="252">
        <f>SUM(Q402:Q413)</f>
        <v>0</v>
      </c>
      <c r="R399" s="252">
        <f>SUM(R402:R413)</f>
        <v>0</v>
      </c>
      <c r="S399" s="252">
        <f>SUM(S402:S413)</f>
        <v>0</v>
      </c>
      <c r="W399" s="252">
        <f>SUM(W402:W413)</f>
        <v>0</v>
      </c>
      <c r="X399" s="252">
        <f>SUM(X402:X413)</f>
        <v>0</v>
      </c>
      <c r="Y399" s="252">
        <f>SUM(Y402:Y413)</f>
        <v>0</v>
      </c>
      <c r="Z399" s="252">
        <f>SUM(Z402:Z413)</f>
        <v>0</v>
      </c>
      <c r="AA399" s="285"/>
    </row>
    <row r="400" spans="2:31" s="204" customFormat="1" x14ac:dyDescent="0.25">
      <c r="B400" s="293"/>
      <c r="C400" s="293"/>
      <c r="D400" s="230"/>
      <c r="E400" s="230"/>
      <c r="F400" s="230"/>
      <c r="G400" s="230"/>
      <c r="H400" s="231"/>
      <c r="I400" s="230"/>
      <c r="J400" s="230"/>
      <c r="K400" s="285"/>
      <c r="L400" s="322"/>
      <c r="M400" s="285"/>
      <c r="N400" s="285"/>
      <c r="O400" s="211"/>
      <c r="P400" s="211"/>
      <c r="Q400" s="211"/>
      <c r="R400" s="211"/>
      <c r="W400" s="285"/>
      <c r="X400" s="285"/>
      <c r="Y400" s="285"/>
      <c r="Z400" s="285"/>
      <c r="AA400" s="285"/>
    </row>
    <row r="401" spans="2:27" s="204" customFormat="1" ht="63.75" x14ac:dyDescent="0.25">
      <c r="B401" s="294" t="s">
        <v>2968</v>
      </c>
      <c r="C401" s="294" t="s">
        <v>2969</v>
      </c>
      <c r="D401" s="206" t="s">
        <v>72</v>
      </c>
      <c r="E401" s="206"/>
      <c r="F401" s="206"/>
      <c r="G401" s="207"/>
      <c r="H401" s="207"/>
      <c r="I401" s="207"/>
      <c r="J401" s="207" t="s">
        <v>2957</v>
      </c>
      <c r="K401" s="206" t="s">
        <v>82</v>
      </c>
      <c r="L401" s="261" t="s">
        <v>2970</v>
      </c>
      <c r="M401" s="260"/>
      <c r="N401" s="256" t="str">
        <f>N$15</f>
        <v>Valore netto al 31/12/2019</v>
      </c>
      <c r="O401" s="256" t="str">
        <f>O$15</f>
        <v>Valore netto al 31/12/2020</v>
      </c>
      <c r="P401" s="256" t="str">
        <f>P$15</f>
        <v>Variazione</v>
      </c>
      <c r="Q401" s="262" t="s">
        <v>2971</v>
      </c>
      <c r="R401" s="262" t="str">
        <f>"Fondo ammortamento 31/12/"&amp;Info!$B$3-1</f>
        <v>Fondo ammortamento 31/12/2019</v>
      </c>
      <c r="S401" s="262" t="s">
        <v>2972</v>
      </c>
      <c r="W401" s="262" t="s">
        <v>2975</v>
      </c>
      <c r="X401" s="262" t="s">
        <v>2976</v>
      </c>
      <c r="Y401" s="262" t="s">
        <v>2989</v>
      </c>
      <c r="Z401" s="262" t="s">
        <v>2990</v>
      </c>
      <c r="AA401" s="285"/>
    </row>
    <row r="402" spans="2:27" s="204" customFormat="1" ht="25.5" x14ac:dyDescent="0.25">
      <c r="B402" s="246" t="s">
        <v>904</v>
      </c>
      <c r="C402" s="287" t="s">
        <v>905</v>
      </c>
      <c r="D402" s="274" t="s">
        <v>3410</v>
      </c>
      <c r="E402" s="274"/>
      <c r="F402" s="274"/>
      <c r="G402" s="283"/>
      <c r="H402" s="266"/>
      <c r="I402" s="281"/>
      <c r="J402" s="281"/>
      <c r="K402" s="281"/>
      <c r="L402" s="288" t="s">
        <v>3411</v>
      </c>
      <c r="M402" s="263" t="s">
        <v>2962</v>
      </c>
      <c r="N402" s="269">
        <f t="shared" ref="N402:N413" si="59">+R402</f>
        <v>0</v>
      </c>
      <c r="O402" s="270">
        <f t="shared" ref="O402:O413" si="60">+R402+S402+X402-ABS(Y402)+ABS(Z402)+W402+Q402</f>
        <v>0</v>
      </c>
      <c r="P402" s="271">
        <f t="shared" ref="P402:P413" si="61">+O402-N402</f>
        <v>0</v>
      </c>
      <c r="Q402" s="520"/>
      <c r="R402" s="354">
        <f>IF(ISERROR(VLOOKUP("RIC"&amp;$C402,ESTR_PREC_SP!$A$2:$G$2000,4,FALSE))=TRUE,0,VLOOKUP("RIC"&amp;$C402,ESTR_PREC_SP!$A$2:$G$2000,4,FALSE))</f>
        <v>0</v>
      </c>
      <c r="S402" s="521"/>
      <c r="V402" s="211"/>
      <c r="W402" s="520"/>
      <c r="X402" s="520"/>
      <c r="Y402" s="520"/>
      <c r="Z402" s="520"/>
      <c r="AA402" s="285"/>
    </row>
    <row r="403" spans="2:27" s="204" customFormat="1" ht="25.5" x14ac:dyDescent="0.25">
      <c r="B403" s="246" t="s">
        <v>907</v>
      </c>
      <c r="C403" s="287" t="s">
        <v>908</v>
      </c>
      <c r="D403" s="274" t="s">
        <v>3412</v>
      </c>
      <c r="E403" s="274"/>
      <c r="F403" s="274"/>
      <c r="G403" s="283"/>
      <c r="H403" s="266"/>
      <c r="I403" s="281"/>
      <c r="J403" s="281"/>
      <c r="K403" s="281"/>
      <c r="L403" s="288" t="s">
        <v>3413</v>
      </c>
      <c r="M403" s="263" t="s">
        <v>2962</v>
      </c>
      <c r="N403" s="269">
        <f t="shared" si="59"/>
        <v>0</v>
      </c>
      <c r="O403" s="270">
        <f t="shared" si="60"/>
        <v>0</v>
      </c>
      <c r="P403" s="271">
        <f t="shared" si="61"/>
        <v>0</v>
      </c>
      <c r="Q403" s="520"/>
      <c r="R403" s="354">
        <f>IF(ISERROR(VLOOKUP("RIC"&amp;$C403,ESTR_PREC_SP!$A$2:$G$2000,4,FALSE))=TRUE,0,VLOOKUP("RIC"&amp;$C403,ESTR_PREC_SP!$A$2:$G$2000,4,FALSE))</f>
        <v>0</v>
      </c>
      <c r="S403" s="521"/>
      <c r="V403" s="211"/>
      <c r="W403" s="520"/>
      <c r="X403" s="520"/>
      <c r="Y403" s="520"/>
      <c r="Z403" s="520"/>
      <c r="AA403" s="285"/>
    </row>
    <row r="404" spans="2:27" s="204" customFormat="1" x14ac:dyDescent="0.25">
      <c r="B404" s="246" t="s">
        <v>910</v>
      </c>
      <c r="C404" s="287" t="s">
        <v>911</v>
      </c>
      <c r="D404" s="274" t="s">
        <v>3414</v>
      </c>
      <c r="E404" s="274"/>
      <c r="F404" s="274"/>
      <c r="G404" s="283"/>
      <c r="H404" s="266"/>
      <c r="I404" s="281"/>
      <c r="J404" s="281"/>
      <c r="K404" s="281"/>
      <c r="L404" s="324" t="s">
        <v>3415</v>
      </c>
      <c r="M404" s="284" t="s">
        <v>2962</v>
      </c>
      <c r="N404" s="269">
        <f t="shared" si="59"/>
        <v>0</v>
      </c>
      <c r="O404" s="270">
        <f t="shared" si="60"/>
        <v>0</v>
      </c>
      <c r="P404" s="271">
        <f t="shared" si="61"/>
        <v>0</v>
      </c>
      <c r="Q404" s="520"/>
      <c r="R404" s="354">
        <f>IF(ISERROR(VLOOKUP("RIC"&amp;$C404,ESTR_PREC_SP!$A$2:$G$2000,4,FALSE))=TRUE,0,VLOOKUP("RIC"&amp;$C404,ESTR_PREC_SP!$A$2:$G$2000,4,FALSE))</f>
        <v>0</v>
      </c>
      <c r="S404" s="521"/>
      <c r="V404" s="211"/>
      <c r="W404" s="520"/>
      <c r="X404" s="520"/>
      <c r="Y404" s="520"/>
      <c r="Z404" s="520"/>
      <c r="AA404" s="285"/>
    </row>
    <row r="405" spans="2:27" s="204" customFormat="1" x14ac:dyDescent="0.25">
      <c r="B405" s="246" t="s">
        <v>913</v>
      </c>
      <c r="C405" s="287" t="s">
        <v>914</v>
      </c>
      <c r="D405" s="274" t="s">
        <v>3416</v>
      </c>
      <c r="E405" s="274"/>
      <c r="F405" s="274"/>
      <c r="G405" s="283"/>
      <c r="H405" s="266"/>
      <c r="I405" s="281"/>
      <c r="J405" s="281"/>
      <c r="K405" s="281"/>
      <c r="L405" s="324" t="s">
        <v>3417</v>
      </c>
      <c r="M405" s="284" t="s">
        <v>2962</v>
      </c>
      <c r="N405" s="269">
        <f t="shared" si="59"/>
        <v>0</v>
      </c>
      <c r="O405" s="270">
        <f t="shared" si="60"/>
        <v>0</v>
      </c>
      <c r="P405" s="271">
        <f t="shared" si="61"/>
        <v>0</v>
      </c>
      <c r="Q405" s="520"/>
      <c r="R405" s="354">
        <f>IF(ISERROR(VLOOKUP("RIC"&amp;$C405,ESTR_PREC_SP!$A$2:$G$2000,4,FALSE))=TRUE,0,VLOOKUP("RIC"&amp;$C405,ESTR_PREC_SP!$A$2:$G$2000,4,FALSE))</f>
        <v>0</v>
      </c>
      <c r="S405" s="521"/>
      <c r="V405" s="211"/>
      <c r="W405" s="520"/>
      <c r="X405" s="520"/>
      <c r="Y405" s="520"/>
      <c r="Z405" s="520"/>
      <c r="AA405" s="285"/>
    </row>
    <row r="406" spans="2:27" s="204" customFormat="1" x14ac:dyDescent="0.25">
      <c r="B406" s="246" t="s">
        <v>916</v>
      </c>
      <c r="C406" s="287" t="s">
        <v>917</v>
      </c>
      <c r="D406" s="274" t="s">
        <v>3418</v>
      </c>
      <c r="E406" s="274"/>
      <c r="F406" s="274"/>
      <c r="G406" s="283"/>
      <c r="H406" s="266"/>
      <c r="I406" s="281"/>
      <c r="J406" s="281"/>
      <c r="K406" s="281"/>
      <c r="L406" s="324" t="s">
        <v>3419</v>
      </c>
      <c r="M406" s="284" t="s">
        <v>2962</v>
      </c>
      <c r="N406" s="269">
        <f t="shared" si="59"/>
        <v>0</v>
      </c>
      <c r="O406" s="270">
        <f t="shared" si="60"/>
        <v>0</v>
      </c>
      <c r="P406" s="271">
        <f t="shared" si="61"/>
        <v>0</v>
      </c>
      <c r="Q406" s="520"/>
      <c r="R406" s="354">
        <f>IF(ISERROR(VLOOKUP("RIC"&amp;$C406,ESTR_PREC_SP!$A$2:$G$2000,4,FALSE))=TRUE,0,VLOOKUP("RIC"&amp;$C406,ESTR_PREC_SP!$A$2:$G$2000,4,FALSE))</f>
        <v>0</v>
      </c>
      <c r="S406" s="521"/>
      <c r="V406" s="211"/>
      <c r="W406" s="520"/>
      <c r="X406" s="520"/>
      <c r="Y406" s="520"/>
      <c r="Z406" s="520"/>
      <c r="AA406" s="285"/>
    </row>
    <row r="407" spans="2:27" s="204" customFormat="1" x14ac:dyDescent="0.25">
      <c r="B407" s="246" t="s">
        <v>919</v>
      </c>
      <c r="C407" s="287" t="s">
        <v>920</v>
      </c>
      <c r="D407" s="274" t="s">
        <v>3420</v>
      </c>
      <c r="E407" s="274"/>
      <c r="F407" s="274"/>
      <c r="G407" s="283"/>
      <c r="H407" s="266"/>
      <c r="I407" s="281"/>
      <c r="J407" s="281"/>
      <c r="K407" s="281"/>
      <c r="L407" s="324" t="s">
        <v>3421</v>
      </c>
      <c r="M407" s="284" t="s">
        <v>2962</v>
      </c>
      <c r="N407" s="269">
        <f t="shared" si="59"/>
        <v>0</v>
      </c>
      <c r="O407" s="270">
        <f t="shared" si="60"/>
        <v>0</v>
      </c>
      <c r="P407" s="271">
        <f t="shared" si="61"/>
        <v>0</v>
      </c>
      <c r="Q407" s="520"/>
      <c r="R407" s="354">
        <f>IF(ISERROR(VLOOKUP("RIC"&amp;$C407,ESTR_PREC_SP!$A$2:$G$2000,4,FALSE))=TRUE,0,VLOOKUP("RIC"&amp;$C407,ESTR_PREC_SP!$A$2:$G$2000,4,FALSE))</f>
        <v>0</v>
      </c>
      <c r="S407" s="521"/>
      <c r="V407" s="211"/>
      <c r="W407" s="520"/>
      <c r="X407" s="520"/>
      <c r="Y407" s="520"/>
      <c r="Z407" s="520"/>
      <c r="AA407" s="285"/>
    </row>
    <row r="408" spans="2:27" s="204" customFormat="1" ht="25.5" x14ac:dyDescent="0.25">
      <c r="B408" s="246" t="s">
        <v>922</v>
      </c>
      <c r="C408" s="287" t="s">
        <v>923</v>
      </c>
      <c r="D408" s="274" t="s">
        <v>3422</v>
      </c>
      <c r="E408" s="274"/>
      <c r="F408" s="274"/>
      <c r="G408" s="283"/>
      <c r="H408" s="266"/>
      <c r="I408" s="281"/>
      <c r="J408" s="281"/>
      <c r="K408" s="281"/>
      <c r="L408" s="288" t="s">
        <v>3423</v>
      </c>
      <c r="M408" s="284" t="s">
        <v>2962</v>
      </c>
      <c r="N408" s="269">
        <f t="shared" si="59"/>
        <v>0</v>
      </c>
      <c r="O408" s="270">
        <f t="shared" si="60"/>
        <v>0</v>
      </c>
      <c r="P408" s="271">
        <f t="shared" si="61"/>
        <v>0</v>
      </c>
      <c r="Q408" s="520"/>
      <c r="R408" s="354">
        <f>IF(ISERROR(VLOOKUP("RIC"&amp;$C408,ESTR_PREC_SP!$A$2:$G$2000,4,FALSE))=TRUE,0,VLOOKUP("RIC"&amp;$C408,ESTR_PREC_SP!$A$2:$G$2000,4,FALSE))</f>
        <v>0</v>
      </c>
      <c r="S408" s="521"/>
      <c r="V408" s="211"/>
      <c r="W408" s="520"/>
      <c r="X408" s="520"/>
      <c r="Y408" s="520"/>
      <c r="Z408" s="520"/>
      <c r="AA408" s="285"/>
    </row>
    <row r="409" spans="2:27" s="204" customFormat="1" ht="25.5" x14ac:dyDescent="0.25">
      <c r="B409" s="246" t="s">
        <v>925</v>
      </c>
      <c r="C409" s="287" t="s">
        <v>926</v>
      </c>
      <c r="D409" s="274" t="s">
        <v>3424</v>
      </c>
      <c r="E409" s="274"/>
      <c r="F409" s="274"/>
      <c r="G409" s="283"/>
      <c r="H409" s="266"/>
      <c r="I409" s="281"/>
      <c r="J409" s="281"/>
      <c r="K409" s="281"/>
      <c r="L409" s="288" t="s">
        <v>3425</v>
      </c>
      <c r="M409" s="284" t="s">
        <v>2962</v>
      </c>
      <c r="N409" s="269">
        <f t="shared" si="59"/>
        <v>0</v>
      </c>
      <c r="O409" s="270">
        <f t="shared" si="60"/>
        <v>0</v>
      </c>
      <c r="P409" s="271">
        <f t="shared" si="61"/>
        <v>0</v>
      </c>
      <c r="Q409" s="520"/>
      <c r="R409" s="354">
        <f>IF(ISERROR(VLOOKUP("RIC"&amp;$C409,ESTR_PREC_SP!$A$2:$G$2000,4,FALSE))=TRUE,0,VLOOKUP("RIC"&amp;$C409,ESTR_PREC_SP!$A$2:$G$2000,4,FALSE))</f>
        <v>0</v>
      </c>
      <c r="S409" s="521"/>
      <c r="V409" s="211"/>
      <c r="W409" s="520"/>
      <c r="X409" s="520"/>
      <c r="Y409" s="520"/>
      <c r="Z409" s="520"/>
      <c r="AA409" s="285"/>
    </row>
    <row r="410" spans="2:27" s="204" customFormat="1" ht="25.5" x14ac:dyDescent="0.25">
      <c r="B410" s="246" t="s">
        <v>928</v>
      </c>
      <c r="C410" s="287" t="s">
        <v>929</v>
      </c>
      <c r="D410" s="274" t="s">
        <v>3426</v>
      </c>
      <c r="E410" s="274"/>
      <c r="F410" s="274"/>
      <c r="G410" s="283"/>
      <c r="H410" s="266"/>
      <c r="I410" s="281"/>
      <c r="J410" s="281"/>
      <c r="K410" s="281"/>
      <c r="L410" s="288" t="s">
        <v>3427</v>
      </c>
      <c r="M410" s="284" t="s">
        <v>2962</v>
      </c>
      <c r="N410" s="269">
        <f t="shared" si="59"/>
        <v>0</v>
      </c>
      <c r="O410" s="270">
        <f t="shared" si="60"/>
        <v>0</v>
      </c>
      <c r="P410" s="271">
        <f t="shared" si="61"/>
        <v>0</v>
      </c>
      <c r="Q410" s="520"/>
      <c r="R410" s="354">
        <f>IF(ISERROR(VLOOKUP("RIC"&amp;$C410,ESTR_PREC_SP!$A$2:$G$2000,4,FALSE))=TRUE,0,VLOOKUP("RIC"&amp;$C410,ESTR_PREC_SP!$A$2:$G$2000,4,FALSE))</f>
        <v>0</v>
      </c>
      <c r="S410" s="521"/>
      <c r="V410" s="211"/>
      <c r="W410" s="520"/>
      <c r="X410" s="520"/>
      <c r="Y410" s="520"/>
      <c r="Z410" s="520"/>
      <c r="AA410" s="285"/>
    </row>
    <row r="411" spans="2:27" s="204" customFormat="1" ht="25.5" x14ac:dyDescent="0.25">
      <c r="B411" s="246" t="s">
        <v>931</v>
      </c>
      <c r="C411" s="287" t="s">
        <v>932</v>
      </c>
      <c r="D411" s="274" t="s">
        <v>3428</v>
      </c>
      <c r="E411" s="274"/>
      <c r="F411" s="274"/>
      <c r="G411" s="283"/>
      <c r="H411" s="266"/>
      <c r="I411" s="281"/>
      <c r="J411" s="281"/>
      <c r="K411" s="281"/>
      <c r="L411" s="288" t="s">
        <v>3429</v>
      </c>
      <c r="M411" s="284" t="s">
        <v>2962</v>
      </c>
      <c r="N411" s="269">
        <f t="shared" si="59"/>
        <v>0</v>
      </c>
      <c r="O411" s="270">
        <f t="shared" si="60"/>
        <v>0</v>
      </c>
      <c r="P411" s="271">
        <f t="shared" si="61"/>
        <v>0</v>
      </c>
      <c r="Q411" s="520"/>
      <c r="R411" s="354">
        <f>IF(ISERROR(VLOOKUP("RIC"&amp;$C411,ESTR_PREC_SP!$A$2:$G$2000,4,FALSE))=TRUE,0,VLOOKUP("RIC"&amp;$C411,ESTR_PREC_SP!$A$2:$G$2000,4,FALSE))</f>
        <v>0</v>
      </c>
      <c r="S411" s="521"/>
      <c r="V411" s="211"/>
      <c r="W411" s="520"/>
      <c r="X411" s="520"/>
      <c r="Y411" s="520"/>
      <c r="Z411" s="520"/>
      <c r="AA411" s="285"/>
    </row>
    <row r="412" spans="2:27" s="204" customFormat="1" x14ac:dyDescent="0.25">
      <c r="B412" s="246" t="s">
        <v>934</v>
      </c>
      <c r="C412" s="287" t="s">
        <v>935</v>
      </c>
      <c r="D412" s="274" t="s">
        <v>3430</v>
      </c>
      <c r="E412" s="274"/>
      <c r="F412" s="274"/>
      <c r="G412" s="283"/>
      <c r="H412" s="266"/>
      <c r="I412" s="281"/>
      <c r="J412" s="281"/>
      <c r="K412" s="281"/>
      <c r="L412" s="295" t="s">
        <v>3431</v>
      </c>
      <c r="M412" s="284" t="s">
        <v>2962</v>
      </c>
      <c r="N412" s="269">
        <f t="shared" si="59"/>
        <v>0</v>
      </c>
      <c r="O412" s="270">
        <f t="shared" si="60"/>
        <v>0</v>
      </c>
      <c r="P412" s="271">
        <f t="shared" si="61"/>
        <v>0</v>
      </c>
      <c r="Q412" s="520"/>
      <c r="R412" s="354">
        <f>IF(ISERROR(VLOOKUP("RIC"&amp;$C412,ESTR_PREC_SP!$A$2:$G$2000,4,FALSE))=TRUE,0,VLOOKUP("RIC"&amp;$C412,ESTR_PREC_SP!$A$2:$G$2000,4,FALSE))</f>
        <v>0</v>
      </c>
      <c r="S412" s="521"/>
      <c r="V412" s="211"/>
      <c r="W412" s="520"/>
      <c r="X412" s="520"/>
      <c r="Y412" s="520"/>
      <c r="Z412" s="520"/>
      <c r="AA412" s="285"/>
    </row>
    <row r="413" spans="2:27" s="204" customFormat="1" x14ac:dyDescent="0.25">
      <c r="B413" s="246" t="s">
        <v>937</v>
      </c>
      <c r="C413" s="287" t="s">
        <v>938</v>
      </c>
      <c r="D413" s="274" t="s">
        <v>3432</v>
      </c>
      <c r="E413" s="274"/>
      <c r="F413" s="274"/>
      <c r="G413" s="283"/>
      <c r="H413" s="266"/>
      <c r="I413" s="281"/>
      <c r="J413" s="281"/>
      <c r="K413" s="281"/>
      <c r="L413" s="295" t="s">
        <v>3433</v>
      </c>
      <c r="M413" s="284" t="s">
        <v>2962</v>
      </c>
      <c r="N413" s="269">
        <f t="shared" si="59"/>
        <v>0</v>
      </c>
      <c r="O413" s="270">
        <f t="shared" si="60"/>
        <v>0</v>
      </c>
      <c r="P413" s="271">
        <f t="shared" si="61"/>
        <v>0</v>
      </c>
      <c r="Q413" s="520"/>
      <c r="R413" s="354">
        <f>IF(ISERROR(VLOOKUP("RIC"&amp;$C413,ESTR_PREC_SP!$A$2:$G$2000,4,FALSE))=TRUE,0,VLOOKUP("RIC"&amp;$C413,ESTR_PREC_SP!$A$2:$G$2000,4,FALSE))</f>
        <v>0</v>
      </c>
      <c r="S413" s="521"/>
      <c r="V413" s="211"/>
      <c r="W413" s="520"/>
      <c r="X413" s="520"/>
      <c r="Y413" s="520"/>
      <c r="Z413" s="520"/>
      <c r="AA413" s="285"/>
    </row>
    <row r="414" spans="2:27" s="204" customFormat="1" x14ac:dyDescent="0.25">
      <c r="B414" s="293"/>
      <c r="C414" s="293"/>
      <c r="D414" s="230"/>
      <c r="E414" s="230"/>
      <c r="F414" s="230"/>
      <c r="G414" s="230"/>
      <c r="H414" s="231"/>
      <c r="I414" s="230"/>
      <c r="J414" s="230"/>
      <c r="K414" s="230"/>
      <c r="L414" s="296" t="s">
        <v>3408</v>
      </c>
      <c r="M414" s="216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</row>
    <row r="415" spans="2:27" s="204" customFormat="1" x14ac:dyDescent="0.25">
      <c r="B415" s="293"/>
      <c r="C415" s="293"/>
      <c r="D415" s="230"/>
      <c r="E415" s="230"/>
      <c r="F415" s="230"/>
      <c r="G415" s="230"/>
      <c r="H415" s="231"/>
      <c r="I415" s="230"/>
      <c r="J415" s="230"/>
      <c r="K415" s="230"/>
      <c r="L415" s="296"/>
      <c r="M415" s="216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</row>
    <row r="416" spans="2:27" s="204" customFormat="1" ht="25.5" x14ac:dyDescent="0.25">
      <c r="B416" s="293"/>
      <c r="C416" s="293"/>
      <c r="D416" s="230"/>
      <c r="E416" s="230"/>
      <c r="F416" s="230"/>
      <c r="G416" s="230"/>
      <c r="H416" s="231"/>
      <c r="I416" s="230"/>
      <c r="J416" s="230"/>
      <c r="K416" s="230"/>
      <c r="L416" s="255"/>
      <c r="M416" s="244"/>
      <c r="N416" s="256" t="str">
        <f>N$15</f>
        <v>Valore netto al 31/12/2019</v>
      </c>
      <c r="O416" s="256" t="str">
        <f>O$15</f>
        <v>Valore netto al 31/12/2020</v>
      </c>
      <c r="P416" s="256" t="str">
        <f>P$15</f>
        <v>Variazione</v>
      </c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</row>
    <row r="417" spans="2:31" s="204" customFormat="1" x14ac:dyDescent="0.25">
      <c r="B417" s="246" t="s">
        <v>940</v>
      </c>
      <c r="C417" s="292" t="s">
        <v>941</v>
      </c>
      <c r="D417" s="247" t="s">
        <v>3434</v>
      </c>
      <c r="E417" s="247"/>
      <c r="F417" s="247"/>
      <c r="G417" s="247"/>
      <c r="H417" s="248"/>
      <c r="I417" s="247"/>
      <c r="J417" s="247"/>
      <c r="K417" s="249"/>
      <c r="L417" s="257" t="s">
        <v>945</v>
      </c>
      <c r="M417" s="251" t="s">
        <v>2962</v>
      </c>
      <c r="N417" s="252">
        <f>SUM(N420:N422)</f>
        <v>0</v>
      </c>
      <c r="O417" s="252">
        <f>SUM(O420:O422)</f>
        <v>0</v>
      </c>
      <c r="P417" s="253">
        <f>+O417-N417</f>
        <v>0</v>
      </c>
      <c r="Q417" s="252">
        <f>SUM(Q420:Q422)</f>
        <v>0</v>
      </c>
      <c r="R417" s="252">
        <f>SUM(R420:R422)</f>
        <v>0</v>
      </c>
      <c r="S417" s="252">
        <f>SUM(S420:S422)</f>
        <v>0</v>
      </c>
      <c r="T417" s="252">
        <f>SUM(T420:T422)</f>
        <v>0</v>
      </c>
      <c r="U417" s="252">
        <f>SUM(U420:U422)</f>
        <v>0</v>
      </c>
      <c r="W417" s="252">
        <f t="shared" ref="W417:AE417" si="62">SUM(W420:W422)</f>
        <v>0</v>
      </c>
      <c r="X417" s="252">
        <f t="shared" si="62"/>
        <v>0</v>
      </c>
      <c r="Y417" s="252">
        <f t="shared" si="62"/>
        <v>0</v>
      </c>
      <c r="Z417" s="252">
        <f t="shared" si="62"/>
        <v>0</v>
      </c>
      <c r="AA417" s="252">
        <f t="shared" si="62"/>
        <v>0</v>
      </c>
      <c r="AB417" s="252">
        <f t="shared" si="62"/>
        <v>0</v>
      </c>
      <c r="AC417" s="252">
        <f t="shared" si="62"/>
        <v>0</v>
      </c>
      <c r="AD417" s="252">
        <f t="shared" si="62"/>
        <v>0</v>
      </c>
      <c r="AE417" s="252">
        <f t="shared" si="62"/>
        <v>0</v>
      </c>
    </row>
    <row r="418" spans="2:31" s="204" customFormat="1" x14ac:dyDescent="0.25">
      <c r="B418" s="293"/>
      <c r="C418" s="293"/>
      <c r="D418" s="230"/>
      <c r="E418" s="230"/>
      <c r="F418" s="230"/>
      <c r="G418" s="285"/>
      <c r="H418" s="321"/>
      <c r="I418" s="285"/>
      <c r="J418" s="285"/>
      <c r="K418" s="285"/>
      <c r="L418" s="322"/>
      <c r="M418" s="285"/>
      <c r="N418" s="285"/>
      <c r="O418" s="285"/>
      <c r="P418" s="285"/>
      <c r="Q418" s="285"/>
      <c r="R418" s="285"/>
      <c r="T418" s="285"/>
      <c r="U418" s="285"/>
      <c r="V418" s="285"/>
      <c r="W418" s="285"/>
      <c r="X418" s="285"/>
      <c r="Y418" s="285"/>
      <c r="Z418" s="285"/>
      <c r="AA418" s="285"/>
    </row>
    <row r="419" spans="2:31" s="204" customFormat="1" ht="63.75" x14ac:dyDescent="0.25">
      <c r="B419" s="294" t="s">
        <v>2968</v>
      </c>
      <c r="C419" s="294" t="s">
        <v>2969</v>
      </c>
      <c r="D419" s="206" t="s">
        <v>72</v>
      </c>
      <c r="E419" s="206"/>
      <c r="F419" s="206"/>
      <c r="G419" s="207"/>
      <c r="H419" s="207"/>
      <c r="I419" s="207"/>
      <c r="J419" s="207" t="s">
        <v>2957</v>
      </c>
      <c r="K419" s="206" t="s">
        <v>82</v>
      </c>
      <c r="L419" s="261" t="s">
        <v>2970</v>
      </c>
      <c r="M419" s="260"/>
      <c r="N419" s="256" t="str">
        <f>N$15</f>
        <v>Valore netto al 31/12/2019</v>
      </c>
      <c r="O419" s="256" t="str">
        <f>O$15</f>
        <v>Valore netto al 31/12/2020</v>
      </c>
      <c r="P419" s="256" t="str">
        <f>P$15</f>
        <v>Variazione</v>
      </c>
      <c r="Q419" s="262" t="s">
        <v>2971</v>
      </c>
      <c r="R419" s="262" t="str">
        <f>"Costo storico al 31/12/"&amp;Info!$B$3-1</f>
        <v>Costo storico al 31/12/2019</v>
      </c>
      <c r="S419" s="262" t="s">
        <v>2972</v>
      </c>
      <c r="T419" s="262" t="s">
        <v>3044</v>
      </c>
      <c r="U419" s="262" t="s">
        <v>2974</v>
      </c>
      <c r="W419" s="262" t="s">
        <v>2975</v>
      </c>
      <c r="X419" s="262" t="s">
        <v>2976</v>
      </c>
      <c r="Y419" s="262" t="s">
        <v>2977</v>
      </c>
      <c r="Z419" s="262" t="s">
        <v>2978</v>
      </c>
      <c r="AA419" s="262" t="s">
        <v>2979</v>
      </c>
      <c r="AB419" s="262" t="s">
        <v>3045</v>
      </c>
      <c r="AC419" s="262" t="s">
        <v>2981</v>
      </c>
      <c r="AD419" s="262" t="s">
        <v>3046</v>
      </c>
      <c r="AE419" s="262" t="s">
        <v>3047</v>
      </c>
    </row>
    <row r="420" spans="2:31" s="204" customFormat="1" x14ac:dyDescent="0.25">
      <c r="B420" s="246" t="s">
        <v>946</v>
      </c>
      <c r="C420" s="287" t="s">
        <v>947</v>
      </c>
      <c r="D420" s="274" t="s">
        <v>3435</v>
      </c>
      <c r="E420" s="274"/>
      <c r="F420" s="274"/>
      <c r="G420" s="283"/>
      <c r="H420" s="266"/>
      <c r="I420" s="281"/>
      <c r="J420" s="281"/>
      <c r="K420" s="281"/>
      <c r="L420" s="288" t="s">
        <v>3436</v>
      </c>
      <c r="M420" s="263" t="s">
        <v>2962</v>
      </c>
      <c r="N420" s="269">
        <f>+R420+T420-U420</f>
        <v>0</v>
      </c>
      <c r="O420" s="270">
        <f>+N420+S420+X420+ABS(Y420)-ABS(AA420)+ABS(Z420)+ABS(AB420)+ABS(AD420)-ABS(AE420)+AC420+W420+Q420</f>
        <v>0</v>
      </c>
      <c r="P420" s="271">
        <f>+O420-N420</f>
        <v>0</v>
      </c>
      <c r="Q420" s="520"/>
      <c r="R420" s="354">
        <f>IF(ISERROR(VLOOKUP("RIC"&amp;$C420,ESTR_PREC_SP!$A$2:$G$2000,4,FALSE))=TRUE,0,VLOOKUP("RIC"&amp;$C420,ESTR_PREC_SP!$A$2:$G$2000,4,FALSE))</f>
        <v>0</v>
      </c>
      <c r="S420" s="521"/>
      <c r="T420" s="521"/>
      <c r="U420" s="521"/>
      <c r="W420" s="520"/>
      <c r="X420" s="520"/>
      <c r="Y420" s="520"/>
      <c r="Z420" s="520"/>
      <c r="AA420" s="520"/>
      <c r="AB420" s="520"/>
      <c r="AC420" s="521"/>
      <c r="AD420" s="520"/>
      <c r="AE420" s="520"/>
    </row>
    <row r="421" spans="2:31" s="204" customFormat="1" x14ac:dyDescent="0.25">
      <c r="B421" s="246" t="s">
        <v>949</v>
      </c>
      <c r="C421" s="287" t="s">
        <v>950</v>
      </c>
      <c r="D421" s="274" t="s">
        <v>3437</v>
      </c>
      <c r="E421" s="274"/>
      <c r="F421" s="274"/>
      <c r="G421" s="283"/>
      <c r="H421" s="266"/>
      <c r="I421" s="281"/>
      <c r="J421" s="281"/>
      <c r="K421" s="281"/>
      <c r="L421" s="288" t="s">
        <v>3438</v>
      </c>
      <c r="M421" s="284" t="s">
        <v>2962</v>
      </c>
      <c r="N421" s="269">
        <f>+R421+T421-U421</f>
        <v>0</v>
      </c>
      <c r="O421" s="270">
        <f>+N421+S421+X421+ABS(Y421)-ABS(AA421)+ABS(Z421)+ABS(AB421)+ABS(AD421)-ABS(AE421)+AC421+W421+Q421</f>
        <v>0</v>
      </c>
      <c r="P421" s="271">
        <f>+O421-N421</f>
        <v>0</v>
      </c>
      <c r="Q421" s="520"/>
      <c r="R421" s="354">
        <f>IF(ISERROR(VLOOKUP("RIC"&amp;$C421,ESTR_PREC_SP!$A$2:$G$2000,4,FALSE))=TRUE,0,VLOOKUP("RIC"&amp;$C421,ESTR_PREC_SP!$A$2:$G$2000,4,FALSE))</f>
        <v>0</v>
      </c>
      <c r="S421" s="521"/>
      <c r="T421" s="521"/>
      <c r="U421" s="521"/>
      <c r="W421" s="520"/>
      <c r="X421" s="520"/>
      <c r="Y421" s="520"/>
      <c r="Z421" s="520"/>
      <c r="AA421" s="520"/>
      <c r="AB421" s="520"/>
      <c r="AC421" s="521"/>
      <c r="AD421" s="520"/>
      <c r="AE421" s="520"/>
    </row>
    <row r="422" spans="2:31" s="204" customFormat="1" x14ac:dyDescent="0.25">
      <c r="B422" s="246" t="s">
        <v>952</v>
      </c>
      <c r="C422" s="287" t="s">
        <v>953</v>
      </c>
      <c r="D422" s="274" t="s">
        <v>3439</v>
      </c>
      <c r="E422" s="274"/>
      <c r="F422" s="274"/>
      <c r="G422" s="283"/>
      <c r="H422" s="266"/>
      <c r="I422" s="281"/>
      <c r="J422" s="281"/>
      <c r="K422" s="281"/>
      <c r="L422" s="295" t="s">
        <v>3440</v>
      </c>
      <c r="M422" s="284" t="s">
        <v>2962</v>
      </c>
      <c r="N422" s="269">
        <f>+R422+T422-U422</f>
        <v>0</v>
      </c>
      <c r="O422" s="270">
        <f>+N422+S422+X422+ABS(Y422)-ABS(AA422)+ABS(Z422)+ABS(AB422)+ABS(AD422)-ABS(AE422)+AC422+W422+Q422</f>
        <v>0</v>
      </c>
      <c r="P422" s="271">
        <f>+O422-N422</f>
        <v>0</v>
      </c>
      <c r="Q422" s="520"/>
      <c r="R422" s="354">
        <f>IF(ISERROR(VLOOKUP("RIC"&amp;$C422,ESTR_PREC_SP!$A$2:$G$2000,4,FALSE))=TRUE,0,VLOOKUP("RIC"&amp;$C422,ESTR_PREC_SP!$A$2:$G$2000,4,FALSE))</f>
        <v>0</v>
      </c>
      <c r="S422" s="521"/>
      <c r="T422" s="521"/>
      <c r="U422" s="521"/>
      <c r="W422" s="520"/>
      <c r="X422" s="520"/>
      <c r="Y422" s="520"/>
      <c r="Z422" s="520"/>
      <c r="AA422" s="520"/>
      <c r="AB422" s="520"/>
      <c r="AC422" s="521"/>
      <c r="AD422" s="520"/>
      <c r="AE422" s="520"/>
    </row>
    <row r="423" spans="2:31" s="204" customFormat="1" ht="38.25" x14ac:dyDescent="0.25">
      <c r="B423" s="293"/>
      <c r="C423" s="293"/>
      <c r="D423" s="230"/>
      <c r="E423" s="230"/>
      <c r="F423" s="230"/>
      <c r="G423" s="230"/>
      <c r="H423" s="231"/>
      <c r="I423" s="230"/>
      <c r="J423" s="230"/>
      <c r="K423" s="230"/>
      <c r="L423" s="296" t="s">
        <v>3441</v>
      </c>
      <c r="M423" s="216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</row>
    <row r="424" spans="2:31" s="204" customFormat="1" ht="25.5" x14ac:dyDescent="0.25">
      <c r="B424" s="293"/>
      <c r="C424" s="293"/>
      <c r="D424" s="304"/>
      <c r="E424" s="230"/>
      <c r="F424" s="230"/>
      <c r="G424" s="230"/>
      <c r="H424" s="231"/>
      <c r="I424" s="230"/>
      <c r="J424" s="230"/>
      <c r="K424" s="230"/>
      <c r="L424" s="255"/>
      <c r="M424" s="244"/>
      <c r="N424" s="256" t="str">
        <f>N$15</f>
        <v>Valore netto al 31/12/2019</v>
      </c>
      <c r="O424" s="256" t="str">
        <f>O$15</f>
        <v>Valore netto al 31/12/2020</v>
      </c>
      <c r="P424" s="256" t="str">
        <f>P$15</f>
        <v>Variazione</v>
      </c>
      <c r="Q424" s="285"/>
      <c r="R424" s="285"/>
      <c r="S424" s="285"/>
      <c r="T424" s="285"/>
      <c r="U424" s="285"/>
      <c r="V424" s="285"/>
      <c r="W424" s="285"/>
      <c r="X424" s="285"/>
      <c r="Y424" s="285"/>
      <c r="Z424" s="211"/>
      <c r="AA424" s="211"/>
    </row>
    <row r="425" spans="2:31" s="204" customFormat="1" x14ac:dyDescent="0.25">
      <c r="B425" s="246" t="s">
        <v>955</v>
      </c>
      <c r="C425" s="292" t="s">
        <v>956</v>
      </c>
      <c r="D425" s="247" t="s">
        <v>3442</v>
      </c>
      <c r="E425" s="247"/>
      <c r="F425" s="247"/>
      <c r="G425" s="247"/>
      <c r="H425" s="248"/>
      <c r="I425" s="247"/>
      <c r="J425" s="247"/>
      <c r="K425" s="249"/>
      <c r="L425" s="257" t="s">
        <v>957</v>
      </c>
      <c r="M425" s="251" t="s">
        <v>2962</v>
      </c>
      <c r="N425" s="252">
        <f>+N427+N435+N443+N449+N457+N463+N469+N474</f>
        <v>0</v>
      </c>
      <c r="O425" s="252">
        <f>+O427+O435+O443+O449+O457+O463+O469+O474</f>
        <v>0</v>
      </c>
      <c r="P425" s="253">
        <f>+O425-N425</f>
        <v>0</v>
      </c>
      <c r="Q425" s="211"/>
      <c r="R425" s="285"/>
      <c r="S425" s="252">
        <f>+S427+S435+S443+S449+S457+S463+S469+S474</f>
        <v>0</v>
      </c>
      <c r="T425" s="285"/>
      <c r="U425" s="285"/>
      <c r="V425" s="285"/>
      <c r="W425" s="211"/>
      <c r="X425" s="252">
        <f>+X427+X435+X443+X449+X457+X463+X469+X474</f>
        <v>0</v>
      </c>
      <c r="Y425" s="285"/>
      <c r="Z425" s="211"/>
      <c r="AA425" s="211"/>
    </row>
    <row r="426" spans="2:31" s="204" customFormat="1" x14ac:dyDescent="0.25">
      <c r="B426" s="293"/>
      <c r="C426" s="293"/>
      <c r="D426" s="305"/>
      <c r="E426" s="230"/>
      <c r="F426" s="230"/>
      <c r="G426" s="230"/>
      <c r="H426" s="231"/>
      <c r="I426" s="230"/>
      <c r="J426" s="230"/>
      <c r="K426" s="230"/>
      <c r="L426" s="306"/>
      <c r="M426" s="211"/>
      <c r="N426" s="254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2:31" s="204" customFormat="1" x14ac:dyDescent="0.25">
      <c r="B427" s="246" t="s">
        <v>958</v>
      </c>
      <c r="C427" s="292" t="s">
        <v>959</v>
      </c>
      <c r="D427" s="247" t="s">
        <v>3443</v>
      </c>
      <c r="E427" s="247"/>
      <c r="F427" s="247"/>
      <c r="G427" s="247"/>
      <c r="H427" s="248"/>
      <c r="I427" s="247"/>
      <c r="J427" s="247"/>
      <c r="K427" s="249"/>
      <c r="L427" s="257" t="s">
        <v>962</v>
      </c>
      <c r="M427" s="251" t="s">
        <v>2962</v>
      </c>
      <c r="N427" s="252">
        <f>SUM(N430:N433)</f>
        <v>0</v>
      </c>
      <c r="O427" s="252">
        <f>SUM(O430:O433)</f>
        <v>0</v>
      </c>
      <c r="P427" s="259">
        <f>+O427-N427</f>
        <v>0</v>
      </c>
      <c r="Q427" s="252">
        <f>SUM(Q430:Q433)</f>
        <v>0</v>
      </c>
      <c r="R427" s="252">
        <f>SUM(R430:R433)</f>
        <v>0</v>
      </c>
      <c r="S427" s="252">
        <f>SUM(S430:S433)</f>
        <v>0</v>
      </c>
      <c r="V427" s="211"/>
      <c r="W427" s="252">
        <f>SUM(W430:W433)</f>
        <v>0</v>
      </c>
      <c r="X427" s="252">
        <f>SUM(X430:X433)</f>
        <v>0</v>
      </c>
      <c r="Y427" s="252">
        <f>SUM(Y430:Y433)</f>
        <v>0</v>
      </c>
      <c r="Z427" s="252">
        <f>SUM(Z430:Z433)</f>
        <v>0</v>
      </c>
      <c r="AA427" s="211"/>
    </row>
    <row r="428" spans="2:31" s="204" customFormat="1" x14ac:dyDescent="0.25">
      <c r="B428" s="293"/>
      <c r="C428" s="293"/>
      <c r="D428" s="230"/>
      <c r="E428" s="230"/>
      <c r="F428" s="230"/>
      <c r="G428" s="230"/>
      <c r="H428" s="231"/>
      <c r="I428" s="230"/>
      <c r="J428" s="230"/>
      <c r="K428" s="230"/>
      <c r="L428" s="232"/>
      <c r="M428" s="211"/>
      <c r="N428" s="211"/>
      <c r="O428" s="211"/>
      <c r="P428" s="211"/>
      <c r="Q428" s="211"/>
      <c r="V428" s="211"/>
      <c r="W428" s="211"/>
      <c r="X428" s="211"/>
      <c r="Y428" s="211"/>
      <c r="Z428" s="211"/>
      <c r="AA428" s="211"/>
    </row>
    <row r="429" spans="2:31" s="204" customFormat="1" ht="63.75" x14ac:dyDescent="0.25">
      <c r="B429" s="294" t="s">
        <v>2968</v>
      </c>
      <c r="C429" s="294" t="s">
        <v>2969</v>
      </c>
      <c r="D429" s="206" t="s">
        <v>72</v>
      </c>
      <c r="E429" s="206"/>
      <c r="F429" s="206"/>
      <c r="G429" s="207"/>
      <c r="H429" s="207"/>
      <c r="I429" s="207"/>
      <c r="J429" s="207" t="s">
        <v>2957</v>
      </c>
      <c r="K429" s="206" t="s">
        <v>82</v>
      </c>
      <c r="L429" s="261" t="s">
        <v>2970</v>
      </c>
      <c r="M429" s="260"/>
      <c r="N429" s="256" t="str">
        <f>N$15</f>
        <v>Valore netto al 31/12/2019</v>
      </c>
      <c r="O429" s="256" t="str">
        <f>O$15</f>
        <v>Valore netto al 31/12/2020</v>
      </c>
      <c r="P429" s="256" t="str">
        <f>P$15</f>
        <v>Variazione</v>
      </c>
      <c r="Q429" s="262" t="s">
        <v>2971</v>
      </c>
      <c r="R429" s="262" t="str">
        <f>"Fondo svalutazione 31/12/"&amp;Info!$B$3-1</f>
        <v>Fondo svalutazione 31/12/2019</v>
      </c>
      <c r="S429" s="262" t="s">
        <v>2972</v>
      </c>
      <c r="V429" s="211"/>
      <c r="W429" s="262" t="s">
        <v>2975</v>
      </c>
      <c r="X429" s="262" t="s">
        <v>2976</v>
      </c>
      <c r="Y429" s="262" t="s">
        <v>3124</v>
      </c>
      <c r="Z429" s="262" t="s">
        <v>3125</v>
      </c>
      <c r="AA429" s="211"/>
      <c r="AB429" s="211"/>
      <c r="AC429" s="211"/>
      <c r="AD429" s="211"/>
      <c r="AE429" s="211"/>
    </row>
    <row r="430" spans="2:31" s="204" customFormat="1" x14ac:dyDescent="0.25">
      <c r="B430" s="246" t="s">
        <v>963</v>
      </c>
      <c r="C430" s="273" t="s">
        <v>964</v>
      </c>
      <c r="D430" s="274" t="s">
        <v>3444</v>
      </c>
      <c r="E430" s="264"/>
      <c r="F430" s="264"/>
      <c r="G430" s="265"/>
      <c r="H430" s="266"/>
      <c r="I430" s="267"/>
      <c r="J430" s="267"/>
      <c r="K430" s="267"/>
      <c r="L430" s="268" t="s">
        <v>3445</v>
      </c>
      <c r="M430" s="263" t="s">
        <v>2962</v>
      </c>
      <c r="N430" s="269">
        <f>+R430</f>
        <v>0</v>
      </c>
      <c r="O430" s="270">
        <f>+R430+S430+X430-ABS(Y430)+ABS(Z430)+W430+Q430</f>
        <v>0</v>
      </c>
      <c r="P430" s="271">
        <f>+O430-N430</f>
        <v>0</v>
      </c>
      <c r="Q430" s="520"/>
      <c r="R430" s="354">
        <f>IF(ISERROR(VLOOKUP("RIC"&amp;$C430,ESTR_PREC_SP!$A$2:$G$2000,4,FALSE))=TRUE,0,VLOOKUP("RIC"&amp;$C430,ESTR_PREC_SP!$A$2:$G$2000,4,FALSE))</f>
        <v>0</v>
      </c>
      <c r="S430" s="521"/>
      <c r="V430" s="211"/>
      <c r="W430" s="520"/>
      <c r="X430" s="520"/>
      <c r="Y430" s="520"/>
      <c r="Z430" s="520"/>
      <c r="AA430" s="211"/>
      <c r="AB430" s="211"/>
      <c r="AC430" s="211"/>
      <c r="AD430" s="211"/>
      <c r="AE430" s="211"/>
    </row>
    <row r="431" spans="2:31" s="204" customFormat="1" x14ac:dyDescent="0.25">
      <c r="B431" s="246" t="s">
        <v>966</v>
      </c>
      <c r="C431" s="273" t="s">
        <v>967</v>
      </c>
      <c r="D431" s="274" t="s">
        <v>3446</v>
      </c>
      <c r="E431" s="264"/>
      <c r="F431" s="264"/>
      <c r="G431" s="265"/>
      <c r="H431" s="266"/>
      <c r="I431" s="267"/>
      <c r="J431" s="267"/>
      <c r="K431" s="267"/>
      <c r="L431" s="295" t="s">
        <v>3447</v>
      </c>
      <c r="M431" s="263" t="s">
        <v>2962</v>
      </c>
      <c r="N431" s="269">
        <f>+R431</f>
        <v>0</v>
      </c>
      <c r="O431" s="270">
        <f>+R431+S431+X431-ABS(Y431)+ABS(Z431)+W431+Q431</f>
        <v>0</v>
      </c>
      <c r="P431" s="271">
        <f>+O431-N431</f>
        <v>0</v>
      </c>
      <c r="Q431" s="520"/>
      <c r="R431" s="354">
        <f>IF(ISERROR(VLOOKUP("RIC"&amp;$C431,ESTR_PREC_SP!$A$2:$G$2000,4,FALSE))=TRUE,0,VLOOKUP("RIC"&amp;$C431,ESTR_PREC_SP!$A$2:$G$2000,4,FALSE))</f>
        <v>0</v>
      </c>
      <c r="S431" s="521"/>
      <c r="V431" s="211"/>
      <c r="W431" s="520"/>
      <c r="X431" s="520"/>
      <c r="Y431" s="520"/>
      <c r="Z431" s="520"/>
      <c r="AA431" s="211"/>
      <c r="AB431" s="211"/>
      <c r="AC431" s="211"/>
      <c r="AD431" s="211"/>
      <c r="AE431" s="211"/>
    </row>
    <row r="432" spans="2:31" s="204" customFormat="1" x14ac:dyDescent="0.25">
      <c r="B432" s="246" t="s">
        <v>969</v>
      </c>
      <c r="C432" s="273" t="s">
        <v>970</v>
      </c>
      <c r="D432" s="325" t="s">
        <v>3448</v>
      </c>
      <c r="E432" s="264"/>
      <c r="F432" s="264"/>
      <c r="G432" s="265"/>
      <c r="H432" s="266"/>
      <c r="I432" s="267"/>
      <c r="J432" s="267"/>
      <c r="K432" s="267"/>
      <c r="L432" s="268" t="s">
        <v>3449</v>
      </c>
      <c r="M432" s="263" t="s">
        <v>2962</v>
      </c>
      <c r="N432" s="269">
        <f>+R432</f>
        <v>0</v>
      </c>
      <c r="O432" s="270">
        <f>+R432+S432+X432-ABS(Y432)+ABS(Z432)+W432+Q432</f>
        <v>0</v>
      </c>
      <c r="P432" s="271">
        <f>+O432-N432</f>
        <v>0</v>
      </c>
      <c r="Q432" s="520"/>
      <c r="R432" s="354">
        <f>IF(ISERROR(VLOOKUP("RIC"&amp;$C432,ESTR_PREC_SP!$A$2:$G$2000,4,FALSE))=TRUE,0,VLOOKUP("RIC"&amp;$C432,ESTR_PREC_SP!$A$2:$G$2000,4,FALSE))</f>
        <v>0</v>
      </c>
      <c r="S432" s="521"/>
      <c r="V432" s="211"/>
      <c r="W432" s="520"/>
      <c r="X432" s="520"/>
      <c r="Y432" s="520"/>
      <c r="Z432" s="520"/>
      <c r="AA432" s="211"/>
      <c r="AB432" s="211"/>
      <c r="AC432" s="211"/>
      <c r="AD432" s="211"/>
      <c r="AE432" s="211"/>
    </row>
    <row r="433" spans="2:31" s="204" customFormat="1" x14ac:dyDescent="0.25">
      <c r="B433" s="246" t="s">
        <v>972</v>
      </c>
      <c r="C433" s="273" t="s">
        <v>973</v>
      </c>
      <c r="D433" s="325" t="s">
        <v>3450</v>
      </c>
      <c r="E433" s="274"/>
      <c r="F433" s="274"/>
      <c r="G433" s="283"/>
      <c r="H433" s="326"/>
      <c r="I433" s="281"/>
      <c r="J433" s="281"/>
      <c r="K433" s="281"/>
      <c r="L433" s="295" t="s">
        <v>3451</v>
      </c>
      <c r="M433" s="263" t="s">
        <v>2962</v>
      </c>
      <c r="N433" s="269">
        <f>+R433</f>
        <v>0</v>
      </c>
      <c r="O433" s="270">
        <f>+R433+S433+X433-ABS(Y433)+ABS(Z433)+W433+Q433</f>
        <v>0</v>
      </c>
      <c r="P433" s="271">
        <f>+O433-N433</f>
        <v>0</v>
      </c>
      <c r="Q433" s="520"/>
      <c r="R433" s="354">
        <f>IF(ISERROR(VLOOKUP("RIC"&amp;$C433,ESTR_PREC_SP!$A$2:$G$2000,4,FALSE))=TRUE,0,VLOOKUP("RIC"&amp;$C433,ESTR_PREC_SP!$A$2:$G$2000,4,FALSE))</f>
        <v>0</v>
      </c>
      <c r="S433" s="521"/>
      <c r="V433" s="211"/>
      <c r="W433" s="520"/>
      <c r="X433" s="520"/>
      <c r="Y433" s="520"/>
      <c r="Z433" s="520"/>
      <c r="AA433" s="211"/>
      <c r="AB433" s="211"/>
      <c r="AC433" s="211"/>
      <c r="AD433" s="211"/>
      <c r="AE433" s="211"/>
    </row>
    <row r="434" spans="2:31" s="204" customFormat="1" x14ac:dyDescent="0.25">
      <c r="B434" s="293"/>
      <c r="C434" s="293"/>
      <c r="D434" s="300"/>
      <c r="E434" s="226"/>
      <c r="F434" s="226"/>
      <c r="G434" s="226"/>
      <c r="H434" s="227"/>
      <c r="I434" s="226"/>
      <c r="J434" s="226"/>
      <c r="K434" s="226"/>
      <c r="L434" s="312"/>
      <c r="M434" s="211"/>
      <c r="N434" s="254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</row>
    <row r="435" spans="2:31" s="204" customFormat="1" x14ac:dyDescent="0.25">
      <c r="B435" s="246" t="s">
        <v>975</v>
      </c>
      <c r="C435" s="292" t="s">
        <v>976</v>
      </c>
      <c r="D435" s="247" t="s">
        <v>3452</v>
      </c>
      <c r="E435" s="247"/>
      <c r="F435" s="247"/>
      <c r="G435" s="247"/>
      <c r="H435" s="248"/>
      <c r="I435" s="247"/>
      <c r="J435" s="247"/>
      <c r="K435" s="249"/>
      <c r="L435" s="257" t="s">
        <v>979</v>
      </c>
      <c r="M435" s="251" t="s">
        <v>2962</v>
      </c>
      <c r="N435" s="252">
        <f>SUM(N438:N441)</f>
        <v>0</v>
      </c>
      <c r="O435" s="252">
        <f>SUM(O438:O441)</f>
        <v>0</v>
      </c>
      <c r="P435" s="259">
        <f>+O435-N435</f>
        <v>0</v>
      </c>
      <c r="Q435" s="252">
        <f>SUM(Q438:Q441)</f>
        <v>0</v>
      </c>
      <c r="R435" s="252">
        <f>SUM(R438:R441)</f>
        <v>0</v>
      </c>
      <c r="S435" s="252">
        <f>SUM(S438:S441)</f>
        <v>0</v>
      </c>
      <c r="V435" s="211"/>
      <c r="W435" s="252">
        <f>SUM(W438:W441)</f>
        <v>0</v>
      </c>
      <c r="X435" s="252">
        <f>SUM(X438:X441)</f>
        <v>0</v>
      </c>
      <c r="Y435" s="252">
        <f>SUM(Y438:Y441)</f>
        <v>0</v>
      </c>
      <c r="Z435" s="252">
        <f>SUM(Z438:Z441)</f>
        <v>0</v>
      </c>
      <c r="AA435" s="211"/>
      <c r="AB435" s="211"/>
      <c r="AC435" s="211"/>
      <c r="AD435" s="211"/>
      <c r="AE435" s="211"/>
    </row>
    <row r="436" spans="2:31" s="204" customFormat="1" x14ac:dyDescent="0.25">
      <c r="B436" s="293"/>
      <c r="C436" s="293"/>
      <c r="D436" s="230"/>
      <c r="E436" s="230"/>
      <c r="F436" s="230"/>
      <c r="G436" s="230"/>
      <c r="H436" s="231"/>
      <c r="I436" s="230"/>
      <c r="J436" s="230"/>
      <c r="K436" s="230"/>
      <c r="L436" s="232"/>
      <c r="M436" s="211"/>
      <c r="N436" s="211"/>
      <c r="O436" s="211"/>
      <c r="P436" s="211"/>
      <c r="Q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</row>
    <row r="437" spans="2:31" s="204" customFormat="1" ht="63.75" x14ac:dyDescent="0.25">
      <c r="B437" s="294" t="s">
        <v>2968</v>
      </c>
      <c r="C437" s="294" t="s">
        <v>2969</v>
      </c>
      <c r="D437" s="206" t="s">
        <v>72</v>
      </c>
      <c r="E437" s="206"/>
      <c r="F437" s="206"/>
      <c r="G437" s="207"/>
      <c r="H437" s="207"/>
      <c r="I437" s="207"/>
      <c r="J437" s="207" t="s">
        <v>2957</v>
      </c>
      <c r="K437" s="206" t="s">
        <v>82</v>
      </c>
      <c r="L437" s="261" t="s">
        <v>2970</v>
      </c>
      <c r="M437" s="260"/>
      <c r="N437" s="256" t="str">
        <f>N$15</f>
        <v>Valore netto al 31/12/2019</v>
      </c>
      <c r="O437" s="256" t="str">
        <f>O$15</f>
        <v>Valore netto al 31/12/2020</v>
      </c>
      <c r="P437" s="256" t="str">
        <f>P$15</f>
        <v>Variazione</v>
      </c>
      <c r="Q437" s="262" t="s">
        <v>2971</v>
      </c>
      <c r="R437" s="262" t="str">
        <f>"Fondo svalutazione 31/12/"&amp;Info!$B$3-1</f>
        <v>Fondo svalutazione 31/12/2019</v>
      </c>
      <c r="S437" s="262" t="s">
        <v>2972</v>
      </c>
      <c r="V437" s="211"/>
      <c r="W437" s="262" t="s">
        <v>2975</v>
      </c>
      <c r="X437" s="262" t="s">
        <v>2976</v>
      </c>
      <c r="Y437" s="262" t="s">
        <v>3124</v>
      </c>
      <c r="Z437" s="262" t="s">
        <v>3125</v>
      </c>
      <c r="AA437" s="211"/>
      <c r="AB437" s="211"/>
      <c r="AC437" s="211"/>
      <c r="AD437" s="211"/>
      <c r="AE437" s="211"/>
    </row>
    <row r="438" spans="2:31" s="204" customFormat="1" x14ac:dyDescent="0.25">
      <c r="B438" s="246" t="s">
        <v>980</v>
      </c>
      <c r="C438" s="273" t="s">
        <v>981</v>
      </c>
      <c r="D438" s="274" t="s">
        <v>3453</v>
      </c>
      <c r="E438" s="264"/>
      <c r="F438" s="264"/>
      <c r="G438" s="265"/>
      <c r="H438" s="266"/>
      <c r="I438" s="267"/>
      <c r="J438" s="267"/>
      <c r="K438" s="267"/>
      <c r="L438" s="268" t="s">
        <v>3454</v>
      </c>
      <c r="M438" s="263" t="s">
        <v>2962</v>
      </c>
      <c r="N438" s="269">
        <f>+R438</f>
        <v>0</v>
      </c>
      <c r="O438" s="270">
        <f>+R438+S438+X438-ABS(Y438)+ABS(Z438)+W438+Q438</f>
        <v>0</v>
      </c>
      <c r="P438" s="271">
        <f>+O438-N438</f>
        <v>0</v>
      </c>
      <c r="Q438" s="520"/>
      <c r="R438" s="354">
        <f>IF(ISERROR(VLOOKUP("RIC"&amp;$C438,ESTR_PREC_SP!$A$2:$G$2000,4,FALSE))=TRUE,0,VLOOKUP("RIC"&amp;$C438,ESTR_PREC_SP!$A$2:$G$2000,4,FALSE))</f>
        <v>0</v>
      </c>
      <c r="S438" s="521"/>
      <c r="V438" s="211"/>
      <c r="W438" s="520"/>
      <c r="X438" s="520"/>
      <c r="Y438" s="520"/>
      <c r="Z438" s="520"/>
      <c r="AA438" s="211"/>
      <c r="AB438" s="211"/>
      <c r="AC438" s="211"/>
      <c r="AD438" s="211"/>
      <c r="AE438" s="211"/>
    </row>
    <row r="439" spans="2:31" s="204" customFormat="1" x14ac:dyDescent="0.25">
      <c r="B439" s="246" t="s">
        <v>983</v>
      </c>
      <c r="C439" s="273" t="s">
        <v>984</v>
      </c>
      <c r="D439" s="274" t="s">
        <v>3455</v>
      </c>
      <c r="E439" s="264"/>
      <c r="F439" s="264"/>
      <c r="G439" s="265"/>
      <c r="H439" s="266"/>
      <c r="I439" s="267"/>
      <c r="J439" s="267"/>
      <c r="K439" s="267"/>
      <c r="L439" s="268" t="s">
        <v>3456</v>
      </c>
      <c r="M439" s="263" t="s">
        <v>2962</v>
      </c>
      <c r="N439" s="269">
        <f>+R439</f>
        <v>0</v>
      </c>
      <c r="O439" s="270">
        <f>+R439+S439+X439-ABS(Y439)+ABS(Z439)+W439+Q439</f>
        <v>0</v>
      </c>
      <c r="P439" s="271">
        <f>+O439-N439</f>
        <v>0</v>
      </c>
      <c r="Q439" s="520"/>
      <c r="R439" s="354">
        <f>IF(ISERROR(VLOOKUP("RIC"&amp;$C439,ESTR_PREC_SP!$A$2:$G$2000,4,FALSE))=TRUE,0,VLOOKUP("RIC"&amp;$C439,ESTR_PREC_SP!$A$2:$G$2000,4,FALSE))</f>
        <v>0</v>
      </c>
      <c r="S439" s="521"/>
      <c r="V439" s="211"/>
      <c r="W439" s="520"/>
      <c r="X439" s="520"/>
      <c r="Y439" s="520"/>
      <c r="Z439" s="520"/>
      <c r="AA439" s="211"/>
      <c r="AB439" s="211"/>
      <c r="AC439" s="211"/>
      <c r="AD439" s="211"/>
      <c r="AE439" s="211"/>
    </row>
    <row r="440" spans="2:31" s="204" customFormat="1" x14ac:dyDescent="0.25">
      <c r="B440" s="246" t="s">
        <v>986</v>
      </c>
      <c r="C440" s="273" t="s">
        <v>987</v>
      </c>
      <c r="D440" s="325" t="s">
        <v>3457</v>
      </c>
      <c r="E440" s="264"/>
      <c r="F440" s="264"/>
      <c r="G440" s="265"/>
      <c r="H440" s="266"/>
      <c r="I440" s="267"/>
      <c r="J440" s="267"/>
      <c r="K440" s="267"/>
      <c r="L440" s="268" t="s">
        <v>3458</v>
      </c>
      <c r="M440" s="263" t="s">
        <v>2962</v>
      </c>
      <c r="N440" s="269">
        <f>+R440</f>
        <v>0</v>
      </c>
      <c r="O440" s="270">
        <f>+R440+S440+X440-ABS(Y440)+ABS(Z440)+W440+Q440</f>
        <v>0</v>
      </c>
      <c r="P440" s="271">
        <f>+O440-N440</f>
        <v>0</v>
      </c>
      <c r="Q440" s="520"/>
      <c r="R440" s="354">
        <f>IF(ISERROR(VLOOKUP("RIC"&amp;$C440,ESTR_PREC_SP!$A$2:$G$2000,4,FALSE))=TRUE,0,VLOOKUP("RIC"&amp;$C440,ESTR_PREC_SP!$A$2:$G$2000,4,FALSE))</f>
        <v>0</v>
      </c>
      <c r="S440" s="521"/>
      <c r="V440" s="211"/>
      <c r="W440" s="520"/>
      <c r="X440" s="520"/>
      <c r="Y440" s="520"/>
      <c r="Z440" s="520"/>
      <c r="AA440" s="211"/>
      <c r="AB440" s="211"/>
      <c r="AC440" s="211"/>
      <c r="AD440" s="211"/>
      <c r="AE440" s="211"/>
    </row>
    <row r="441" spans="2:31" s="204" customFormat="1" x14ac:dyDescent="0.25">
      <c r="B441" s="246" t="s">
        <v>989</v>
      </c>
      <c r="C441" s="273" t="s">
        <v>990</v>
      </c>
      <c r="D441" s="325" t="s">
        <v>3459</v>
      </c>
      <c r="E441" s="274"/>
      <c r="F441" s="274"/>
      <c r="G441" s="283"/>
      <c r="H441" s="326"/>
      <c r="I441" s="281"/>
      <c r="J441" s="281"/>
      <c r="K441" s="281"/>
      <c r="L441" s="295" t="s">
        <v>3460</v>
      </c>
      <c r="M441" s="263" t="s">
        <v>2962</v>
      </c>
      <c r="N441" s="269">
        <f>+R441</f>
        <v>0</v>
      </c>
      <c r="O441" s="270">
        <f>+R441+S441+X441-ABS(Y441)+ABS(Z441)+W441+Q441</f>
        <v>0</v>
      </c>
      <c r="P441" s="271">
        <f>+O441-N441</f>
        <v>0</v>
      </c>
      <c r="Q441" s="520"/>
      <c r="R441" s="354">
        <f>IF(ISERROR(VLOOKUP("RIC"&amp;$C441,ESTR_PREC_SP!$A$2:$G$2000,4,FALSE))=TRUE,0,VLOOKUP("RIC"&amp;$C441,ESTR_PREC_SP!$A$2:$G$2000,4,FALSE))</f>
        <v>0</v>
      </c>
      <c r="S441" s="521"/>
      <c r="V441" s="211"/>
      <c r="W441" s="520"/>
      <c r="X441" s="520"/>
      <c r="Y441" s="520"/>
      <c r="Z441" s="520"/>
      <c r="AA441" s="211"/>
      <c r="AB441" s="211"/>
      <c r="AC441" s="211"/>
      <c r="AD441" s="211"/>
      <c r="AE441" s="211"/>
    </row>
    <row r="442" spans="2:31" s="204" customFormat="1" x14ac:dyDescent="0.25">
      <c r="B442" s="293"/>
      <c r="C442" s="293"/>
      <c r="D442" s="300"/>
      <c r="E442" s="226"/>
      <c r="F442" s="226"/>
      <c r="G442" s="226"/>
      <c r="H442" s="227"/>
      <c r="I442" s="226"/>
      <c r="J442" s="226"/>
      <c r="K442" s="226"/>
      <c r="L442" s="312"/>
      <c r="M442" s="211"/>
      <c r="N442" s="254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</row>
    <row r="443" spans="2:31" s="204" customFormat="1" x14ac:dyDescent="0.25">
      <c r="B443" s="246" t="s">
        <v>992</v>
      </c>
      <c r="C443" s="292" t="s">
        <v>993</v>
      </c>
      <c r="D443" s="247" t="s">
        <v>3461</v>
      </c>
      <c r="E443" s="247"/>
      <c r="F443" s="247"/>
      <c r="G443" s="247"/>
      <c r="H443" s="248"/>
      <c r="I443" s="247"/>
      <c r="J443" s="247"/>
      <c r="K443" s="249"/>
      <c r="L443" s="257" t="s">
        <v>996</v>
      </c>
      <c r="M443" s="251" t="s">
        <v>2962</v>
      </c>
      <c r="N443" s="252">
        <f>SUM(N446:N447)</f>
        <v>0</v>
      </c>
      <c r="O443" s="252">
        <f>SUM(O446:O447)</f>
        <v>0</v>
      </c>
      <c r="P443" s="259">
        <f>+O443-N443</f>
        <v>0</v>
      </c>
      <c r="Q443" s="252">
        <f>SUM(Q446:Q447)</f>
        <v>0</v>
      </c>
      <c r="R443" s="252">
        <f>SUM(R446:R447)</f>
        <v>0</v>
      </c>
      <c r="S443" s="252">
        <f>SUM(S446:S447)</f>
        <v>0</v>
      </c>
      <c r="V443" s="211"/>
      <c r="W443" s="252">
        <f>SUM(W446:W447)</f>
        <v>0</v>
      </c>
      <c r="X443" s="252">
        <f>SUM(X446:X447)</f>
        <v>0</v>
      </c>
      <c r="Y443" s="252">
        <f>SUM(Y446:Y447)</f>
        <v>0</v>
      </c>
      <c r="Z443" s="252">
        <f>SUM(Z446:Z447)</f>
        <v>0</v>
      </c>
      <c r="AA443" s="211"/>
    </row>
    <row r="444" spans="2:31" s="204" customFormat="1" x14ac:dyDescent="0.25">
      <c r="B444" s="293"/>
      <c r="C444" s="293"/>
      <c r="D444" s="230"/>
      <c r="E444" s="230"/>
      <c r="F444" s="230"/>
      <c r="G444" s="230"/>
      <c r="H444" s="231"/>
      <c r="I444" s="230"/>
      <c r="J444" s="230"/>
      <c r="K444" s="230"/>
      <c r="L444" s="232"/>
      <c r="M444" s="211"/>
      <c r="N444" s="211"/>
      <c r="O444" s="211"/>
      <c r="P444" s="211"/>
      <c r="Q444" s="211"/>
      <c r="V444" s="211"/>
      <c r="W444" s="211"/>
      <c r="X444" s="211"/>
      <c r="Y444" s="211"/>
      <c r="Z444" s="211"/>
      <c r="AA444" s="211"/>
    </row>
    <row r="445" spans="2:31" s="204" customFormat="1" ht="63.75" x14ac:dyDescent="0.25">
      <c r="B445" s="294" t="s">
        <v>2968</v>
      </c>
      <c r="C445" s="294" t="s">
        <v>2969</v>
      </c>
      <c r="D445" s="206" t="s">
        <v>72</v>
      </c>
      <c r="E445" s="206"/>
      <c r="F445" s="206"/>
      <c r="G445" s="207"/>
      <c r="H445" s="207"/>
      <c r="I445" s="207"/>
      <c r="J445" s="207" t="s">
        <v>2957</v>
      </c>
      <c r="K445" s="206" t="s">
        <v>82</v>
      </c>
      <c r="L445" s="261" t="s">
        <v>2970</v>
      </c>
      <c r="M445" s="260"/>
      <c r="N445" s="256" t="str">
        <f>N$15</f>
        <v>Valore netto al 31/12/2019</v>
      </c>
      <c r="O445" s="256" t="str">
        <f>O$15</f>
        <v>Valore netto al 31/12/2020</v>
      </c>
      <c r="P445" s="256" t="str">
        <f>P$15</f>
        <v>Variazione</v>
      </c>
      <c r="Q445" s="262" t="s">
        <v>2971</v>
      </c>
      <c r="R445" s="262" t="str">
        <f>"Fondo svalutazione 31/12/"&amp;Info!$B$3-1</f>
        <v>Fondo svalutazione 31/12/2019</v>
      </c>
      <c r="S445" s="262" t="s">
        <v>2972</v>
      </c>
      <c r="V445" s="211"/>
      <c r="W445" s="262" t="s">
        <v>2975</v>
      </c>
      <c r="X445" s="262" t="s">
        <v>2976</v>
      </c>
      <c r="Y445" s="262" t="s">
        <v>3124</v>
      </c>
      <c r="Z445" s="262" t="s">
        <v>3125</v>
      </c>
      <c r="AA445" s="211"/>
      <c r="AB445" s="211"/>
      <c r="AC445" s="211"/>
      <c r="AD445" s="211"/>
      <c r="AE445" s="211"/>
    </row>
    <row r="446" spans="2:31" s="204" customFormat="1" x14ac:dyDescent="0.25">
      <c r="B446" s="246" t="s">
        <v>997</v>
      </c>
      <c r="C446" s="273" t="s">
        <v>998</v>
      </c>
      <c r="D446" s="274" t="s">
        <v>3462</v>
      </c>
      <c r="E446" s="264"/>
      <c r="F446" s="264"/>
      <c r="G446" s="265"/>
      <c r="H446" s="266"/>
      <c r="I446" s="267"/>
      <c r="J446" s="267"/>
      <c r="K446" s="267"/>
      <c r="L446" s="268" t="s">
        <v>3463</v>
      </c>
      <c r="M446" s="263" t="s">
        <v>2962</v>
      </c>
      <c r="N446" s="269">
        <f>+R446</f>
        <v>0</v>
      </c>
      <c r="O446" s="270">
        <f>+R446+S446+X446-ABS(Y446)+ABS(Z446)+W446+Q446</f>
        <v>0</v>
      </c>
      <c r="P446" s="271">
        <f>+O446-N446</f>
        <v>0</v>
      </c>
      <c r="Q446" s="520"/>
      <c r="R446" s="354">
        <f>IF(ISERROR(VLOOKUP("RIC"&amp;$C446,ESTR_PREC_SP!$A$2:$G$2000,4,FALSE))=TRUE,0,VLOOKUP("RIC"&amp;$C446,ESTR_PREC_SP!$A$2:$G$2000,4,FALSE))</f>
        <v>0</v>
      </c>
      <c r="S446" s="521"/>
      <c r="V446" s="211"/>
      <c r="W446" s="520"/>
      <c r="X446" s="520"/>
      <c r="Y446" s="520"/>
      <c r="Z446" s="520"/>
      <c r="AA446" s="211"/>
      <c r="AB446" s="211"/>
      <c r="AC446" s="211"/>
      <c r="AD446" s="211"/>
      <c r="AE446" s="211"/>
    </row>
    <row r="447" spans="2:31" s="204" customFormat="1" x14ac:dyDescent="0.25">
      <c r="B447" s="246" t="s">
        <v>1000</v>
      </c>
      <c r="C447" s="273" t="s">
        <v>1001</v>
      </c>
      <c r="D447" s="274" t="s">
        <v>3464</v>
      </c>
      <c r="E447" s="274"/>
      <c r="F447" s="274"/>
      <c r="G447" s="283"/>
      <c r="H447" s="326"/>
      <c r="I447" s="281"/>
      <c r="J447" s="281"/>
      <c r="K447" s="281"/>
      <c r="L447" s="295" t="s">
        <v>3465</v>
      </c>
      <c r="M447" s="263" t="s">
        <v>2962</v>
      </c>
      <c r="N447" s="269">
        <f>+R447</f>
        <v>0</v>
      </c>
      <c r="O447" s="270">
        <f>+R447+S447+X447-ABS(Y447)+ABS(Z447)+W447+Q447</f>
        <v>0</v>
      </c>
      <c r="P447" s="271">
        <f>+O447-N447</f>
        <v>0</v>
      </c>
      <c r="Q447" s="520"/>
      <c r="R447" s="354">
        <f>IF(ISERROR(VLOOKUP("RIC"&amp;$C447,ESTR_PREC_SP!$A$2:$G$2000,4,FALSE))=TRUE,0,VLOOKUP("RIC"&amp;$C447,ESTR_PREC_SP!$A$2:$G$2000,4,FALSE))</f>
        <v>0</v>
      </c>
      <c r="S447" s="521"/>
      <c r="V447" s="211"/>
      <c r="W447" s="520"/>
      <c r="X447" s="520"/>
      <c r="Y447" s="520"/>
      <c r="Z447" s="520"/>
      <c r="AA447" s="211"/>
      <c r="AB447" s="211"/>
      <c r="AC447" s="211"/>
      <c r="AD447" s="211"/>
      <c r="AE447" s="211"/>
    </row>
    <row r="448" spans="2:31" s="204" customFormat="1" x14ac:dyDescent="0.25">
      <c r="B448" s="293"/>
      <c r="C448" s="293"/>
      <c r="D448" s="300"/>
      <c r="E448" s="226"/>
      <c r="F448" s="226"/>
      <c r="G448" s="226"/>
      <c r="H448" s="227"/>
      <c r="I448" s="226"/>
      <c r="J448" s="226"/>
      <c r="K448" s="226"/>
      <c r="L448" s="312"/>
      <c r="M448" s="211"/>
      <c r="N448" s="254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</row>
    <row r="449" spans="2:31" s="204" customFormat="1" x14ac:dyDescent="0.25">
      <c r="B449" s="246" t="s">
        <v>1003</v>
      </c>
      <c r="C449" s="292" t="s">
        <v>1004</v>
      </c>
      <c r="D449" s="247" t="s">
        <v>3466</v>
      </c>
      <c r="E449" s="247"/>
      <c r="F449" s="247"/>
      <c r="G449" s="247"/>
      <c r="H449" s="248"/>
      <c r="I449" s="247"/>
      <c r="J449" s="247"/>
      <c r="K449" s="249"/>
      <c r="L449" s="257" t="s">
        <v>1007</v>
      </c>
      <c r="M449" s="251" t="s">
        <v>2962</v>
      </c>
      <c r="N449" s="252">
        <f>SUM(N452:N455)</f>
        <v>0</v>
      </c>
      <c r="O449" s="252">
        <f>SUM(O452:O455)</f>
        <v>0</v>
      </c>
      <c r="P449" s="259">
        <f>+O449-N449</f>
        <v>0</v>
      </c>
      <c r="Q449" s="252">
        <f>SUM(Q452:Q455)</f>
        <v>0</v>
      </c>
      <c r="R449" s="252">
        <f>SUM(R452:R455)</f>
        <v>0</v>
      </c>
      <c r="S449" s="252">
        <f>SUM(S452:S455)</f>
        <v>0</v>
      </c>
      <c r="T449" s="211"/>
      <c r="U449" s="211"/>
      <c r="V449" s="211"/>
      <c r="W449" s="252">
        <f>SUM(W452:W455)</f>
        <v>0</v>
      </c>
      <c r="X449" s="252">
        <f>SUM(X452:X455)</f>
        <v>0</v>
      </c>
      <c r="Y449" s="252">
        <f>SUM(Y452:Y455)</f>
        <v>0</v>
      </c>
      <c r="Z449" s="252">
        <f>SUM(Z452:Z455)</f>
        <v>0</v>
      </c>
      <c r="AA449" s="211"/>
      <c r="AB449" s="211"/>
      <c r="AC449" s="211"/>
      <c r="AD449" s="211"/>
      <c r="AE449" s="211"/>
    </row>
    <row r="450" spans="2:31" s="204" customFormat="1" x14ac:dyDescent="0.25">
      <c r="B450" s="293"/>
      <c r="C450" s="293"/>
      <c r="D450" s="230"/>
      <c r="E450" s="230"/>
      <c r="F450" s="230"/>
      <c r="G450" s="230"/>
      <c r="H450" s="231"/>
      <c r="I450" s="230"/>
      <c r="J450" s="230"/>
      <c r="K450" s="230"/>
      <c r="L450" s="232"/>
      <c r="M450" s="211"/>
      <c r="N450" s="211"/>
      <c r="O450" s="211"/>
      <c r="P450" s="211"/>
      <c r="Q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2:31" s="204" customFormat="1" ht="63.75" x14ac:dyDescent="0.25">
      <c r="B451" s="294" t="s">
        <v>2968</v>
      </c>
      <c r="C451" s="294" t="s">
        <v>2969</v>
      </c>
      <c r="D451" s="206" t="s">
        <v>72</v>
      </c>
      <c r="E451" s="206"/>
      <c r="F451" s="206"/>
      <c r="G451" s="207"/>
      <c r="H451" s="207"/>
      <c r="I451" s="207"/>
      <c r="J451" s="207" t="s">
        <v>2957</v>
      </c>
      <c r="K451" s="206" t="s">
        <v>82</v>
      </c>
      <c r="L451" s="261" t="s">
        <v>2970</v>
      </c>
      <c r="M451" s="260"/>
      <c r="N451" s="256" t="str">
        <f>N$15</f>
        <v>Valore netto al 31/12/2019</v>
      </c>
      <c r="O451" s="256" t="str">
        <f>O$15</f>
        <v>Valore netto al 31/12/2020</v>
      </c>
      <c r="P451" s="256" t="str">
        <f>P$15</f>
        <v>Variazione</v>
      </c>
      <c r="Q451" s="262" t="s">
        <v>2971</v>
      </c>
      <c r="R451" s="262" t="str">
        <f>"Fondo svalutazione 31/12/"&amp;Info!$B$3-1</f>
        <v>Fondo svalutazione 31/12/2019</v>
      </c>
      <c r="S451" s="262" t="s">
        <v>2972</v>
      </c>
      <c r="V451" s="211"/>
      <c r="W451" s="262" t="s">
        <v>2975</v>
      </c>
      <c r="X451" s="262" t="s">
        <v>2976</v>
      </c>
      <c r="Y451" s="262" t="s">
        <v>3124</v>
      </c>
      <c r="Z451" s="262" t="s">
        <v>3125</v>
      </c>
      <c r="AA451" s="211"/>
      <c r="AB451" s="211"/>
      <c r="AC451" s="211"/>
      <c r="AD451" s="211"/>
      <c r="AE451" s="211"/>
    </row>
    <row r="452" spans="2:31" s="204" customFormat="1" x14ac:dyDescent="0.25">
      <c r="B452" s="246" t="s">
        <v>1008</v>
      </c>
      <c r="C452" s="273" t="s">
        <v>1009</v>
      </c>
      <c r="D452" s="274" t="s">
        <v>3467</v>
      </c>
      <c r="E452" s="264"/>
      <c r="F452" s="264"/>
      <c r="G452" s="265"/>
      <c r="H452" s="266"/>
      <c r="I452" s="267"/>
      <c r="J452" s="267"/>
      <c r="K452" s="267"/>
      <c r="L452" s="268" t="s">
        <v>3468</v>
      </c>
      <c r="M452" s="263" t="s">
        <v>2962</v>
      </c>
      <c r="N452" s="269">
        <f>+R452</f>
        <v>0</v>
      </c>
      <c r="O452" s="270">
        <f>+R452+S452+X452-ABS(Y452)+ABS(Z452)+W452+Q452</f>
        <v>0</v>
      </c>
      <c r="P452" s="271">
        <f>+O452-N452</f>
        <v>0</v>
      </c>
      <c r="Q452" s="520"/>
      <c r="R452" s="354">
        <f>IF(ISERROR(VLOOKUP("RIC"&amp;$C452,ESTR_PREC_SP!$A$2:$G$2000,4,FALSE))=TRUE,0,VLOOKUP("RIC"&amp;$C452,ESTR_PREC_SP!$A$2:$G$2000,4,FALSE))</f>
        <v>0</v>
      </c>
      <c r="S452" s="521"/>
      <c r="V452" s="211"/>
      <c r="W452" s="520"/>
      <c r="X452" s="520"/>
      <c r="Y452" s="520"/>
      <c r="Z452" s="520"/>
      <c r="AA452" s="211"/>
      <c r="AB452" s="211"/>
      <c r="AC452" s="211"/>
      <c r="AD452" s="211"/>
      <c r="AE452" s="211"/>
    </row>
    <row r="453" spans="2:31" s="204" customFormat="1" x14ac:dyDescent="0.25">
      <c r="B453" s="246" t="s">
        <v>1011</v>
      </c>
      <c r="C453" s="273" t="s">
        <v>1012</v>
      </c>
      <c r="D453" s="274" t="s">
        <v>3469</v>
      </c>
      <c r="E453" s="264"/>
      <c r="F453" s="264"/>
      <c r="G453" s="265"/>
      <c r="H453" s="266"/>
      <c r="I453" s="267"/>
      <c r="J453" s="267"/>
      <c r="K453" s="267"/>
      <c r="L453" s="268" t="s">
        <v>3470</v>
      </c>
      <c r="M453" s="263" t="s">
        <v>2962</v>
      </c>
      <c r="N453" s="269">
        <f>+R453</f>
        <v>0</v>
      </c>
      <c r="O453" s="270">
        <f>+R453+S453+X453-ABS(Y453)+ABS(Z453)+W453+Q453</f>
        <v>0</v>
      </c>
      <c r="P453" s="271">
        <f>+O453-N453</f>
        <v>0</v>
      </c>
      <c r="Q453" s="520"/>
      <c r="R453" s="354">
        <f>IF(ISERROR(VLOOKUP("RIC"&amp;$C453,ESTR_PREC_SP!$A$2:$G$2000,4,FALSE))=TRUE,0,VLOOKUP("RIC"&amp;$C453,ESTR_PREC_SP!$A$2:$G$2000,4,FALSE))</f>
        <v>0</v>
      </c>
      <c r="S453" s="521"/>
      <c r="V453" s="211"/>
      <c r="W453" s="520"/>
      <c r="X453" s="520"/>
      <c r="Y453" s="520"/>
      <c r="Z453" s="520"/>
      <c r="AA453" s="211"/>
      <c r="AB453" s="211"/>
      <c r="AC453" s="211"/>
      <c r="AD453" s="211"/>
      <c r="AE453" s="211"/>
    </row>
    <row r="454" spans="2:31" s="204" customFormat="1" x14ac:dyDescent="0.25">
      <c r="B454" s="246" t="s">
        <v>1014</v>
      </c>
      <c r="C454" s="273" t="s">
        <v>1015</v>
      </c>
      <c r="D454" s="325" t="s">
        <v>3471</v>
      </c>
      <c r="E454" s="264"/>
      <c r="F454" s="264"/>
      <c r="G454" s="265"/>
      <c r="H454" s="266"/>
      <c r="I454" s="267"/>
      <c r="J454" s="267"/>
      <c r="K454" s="267"/>
      <c r="L454" s="268" t="s">
        <v>3472</v>
      </c>
      <c r="M454" s="263" t="s">
        <v>2962</v>
      </c>
      <c r="N454" s="269">
        <f>+R454</f>
        <v>0</v>
      </c>
      <c r="O454" s="270">
        <f>+R454+S454+X454-ABS(Y454)+ABS(Z454)+W454+Q454</f>
        <v>0</v>
      </c>
      <c r="P454" s="271">
        <f>+O454-N454</f>
        <v>0</v>
      </c>
      <c r="Q454" s="520"/>
      <c r="R454" s="354">
        <f>IF(ISERROR(VLOOKUP("RIC"&amp;$C454,ESTR_PREC_SP!$A$2:$G$2000,4,FALSE))=TRUE,0,VLOOKUP("RIC"&amp;$C454,ESTR_PREC_SP!$A$2:$G$2000,4,FALSE))</f>
        <v>0</v>
      </c>
      <c r="S454" s="521"/>
      <c r="V454" s="211"/>
      <c r="W454" s="520"/>
      <c r="X454" s="520"/>
      <c r="Y454" s="520"/>
      <c r="Z454" s="520"/>
      <c r="AA454" s="211"/>
      <c r="AB454" s="211"/>
      <c r="AC454" s="211"/>
      <c r="AD454" s="211"/>
      <c r="AE454" s="211"/>
    </row>
    <row r="455" spans="2:31" s="204" customFormat="1" x14ac:dyDescent="0.25">
      <c r="B455" s="246" t="s">
        <v>1017</v>
      </c>
      <c r="C455" s="273" t="s">
        <v>1018</v>
      </c>
      <c r="D455" s="325" t="s">
        <v>3473</v>
      </c>
      <c r="E455" s="274"/>
      <c r="F455" s="274"/>
      <c r="G455" s="283"/>
      <c r="H455" s="326"/>
      <c r="I455" s="281"/>
      <c r="J455" s="281"/>
      <c r="K455" s="281"/>
      <c r="L455" s="268" t="s">
        <v>3474</v>
      </c>
      <c r="M455" s="263" t="s">
        <v>2962</v>
      </c>
      <c r="N455" s="269">
        <f>+R455</f>
        <v>0</v>
      </c>
      <c r="O455" s="270">
        <f>+R455+S455+X455-ABS(Y455)+ABS(Z455)+W455+Q455</f>
        <v>0</v>
      </c>
      <c r="P455" s="271">
        <f>+O455-N455</f>
        <v>0</v>
      </c>
      <c r="Q455" s="520"/>
      <c r="R455" s="354">
        <f>IF(ISERROR(VLOOKUP("RIC"&amp;$C455,ESTR_PREC_SP!$A$2:$G$2000,4,FALSE))=TRUE,0,VLOOKUP("RIC"&amp;$C455,ESTR_PREC_SP!$A$2:$G$2000,4,FALSE))</f>
        <v>0</v>
      </c>
      <c r="S455" s="521"/>
      <c r="V455" s="211"/>
      <c r="W455" s="520"/>
      <c r="X455" s="520"/>
      <c r="Y455" s="520"/>
      <c r="Z455" s="520"/>
      <c r="AA455" s="211"/>
      <c r="AB455" s="211"/>
      <c r="AC455" s="211"/>
      <c r="AD455" s="211"/>
      <c r="AE455" s="211"/>
    </row>
    <row r="456" spans="2:31" s="204" customFormat="1" x14ac:dyDescent="0.25">
      <c r="B456" s="293"/>
      <c r="C456" s="293"/>
      <c r="D456" s="300"/>
      <c r="E456" s="226"/>
      <c r="F456" s="226"/>
      <c r="G456" s="226"/>
      <c r="H456" s="227"/>
      <c r="I456" s="226"/>
      <c r="J456" s="226"/>
      <c r="K456" s="226"/>
      <c r="L456" s="312"/>
      <c r="M456" s="211"/>
      <c r="N456" s="254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</row>
    <row r="457" spans="2:31" s="204" customFormat="1" x14ac:dyDescent="0.25">
      <c r="B457" s="246" t="s">
        <v>1020</v>
      </c>
      <c r="C457" s="292" t="s">
        <v>1021</v>
      </c>
      <c r="D457" s="247" t="s">
        <v>3475</v>
      </c>
      <c r="E457" s="247"/>
      <c r="F457" s="247"/>
      <c r="G457" s="247"/>
      <c r="H457" s="248"/>
      <c r="I457" s="247"/>
      <c r="J457" s="247"/>
      <c r="K457" s="249"/>
      <c r="L457" s="257" t="s">
        <v>1024</v>
      </c>
      <c r="M457" s="251" t="s">
        <v>2962</v>
      </c>
      <c r="N457" s="252">
        <f>SUM(N460:N461)</f>
        <v>0</v>
      </c>
      <c r="O457" s="252">
        <f>SUM(O460:O461)</f>
        <v>0</v>
      </c>
      <c r="P457" s="259">
        <f>+O457-N457</f>
        <v>0</v>
      </c>
      <c r="Q457" s="252">
        <f>SUM(Q460:Q461)</f>
        <v>0</v>
      </c>
      <c r="R457" s="252">
        <f>SUM(R460:R461)</f>
        <v>0</v>
      </c>
      <c r="S457" s="252">
        <f>SUM(S460:S461)</f>
        <v>0</v>
      </c>
      <c r="T457" s="211"/>
      <c r="U457" s="211"/>
      <c r="V457" s="211"/>
      <c r="W457" s="252">
        <f>SUM(W460:W461)</f>
        <v>0</v>
      </c>
      <c r="X457" s="252">
        <f>SUM(X460:X461)</f>
        <v>0</v>
      </c>
      <c r="Y457" s="252">
        <f>SUM(Y460:Y461)</f>
        <v>0</v>
      </c>
      <c r="Z457" s="252">
        <f>SUM(Z460:Z461)</f>
        <v>0</v>
      </c>
      <c r="AA457" s="211"/>
    </row>
    <row r="458" spans="2:31" s="204" customFormat="1" x14ac:dyDescent="0.25">
      <c r="B458" s="293"/>
      <c r="C458" s="293"/>
      <c r="D458" s="230"/>
      <c r="E458" s="230"/>
      <c r="F458" s="230"/>
      <c r="G458" s="230"/>
      <c r="H458" s="231"/>
      <c r="I458" s="230"/>
      <c r="J458" s="230"/>
      <c r="K458" s="230"/>
      <c r="L458" s="232"/>
      <c r="M458" s="211"/>
      <c r="N458" s="211"/>
      <c r="O458" s="211"/>
      <c r="P458" s="211"/>
      <c r="Q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2:31" s="204" customFormat="1" ht="63.75" x14ac:dyDescent="0.25">
      <c r="B459" s="294" t="s">
        <v>2968</v>
      </c>
      <c r="C459" s="294" t="s">
        <v>2969</v>
      </c>
      <c r="D459" s="206" t="s">
        <v>72</v>
      </c>
      <c r="E459" s="206"/>
      <c r="F459" s="206"/>
      <c r="G459" s="207"/>
      <c r="H459" s="207"/>
      <c r="I459" s="207"/>
      <c r="J459" s="207" t="s">
        <v>2957</v>
      </c>
      <c r="K459" s="206" t="s">
        <v>82</v>
      </c>
      <c r="L459" s="261" t="s">
        <v>2970</v>
      </c>
      <c r="M459" s="260"/>
      <c r="N459" s="256" t="str">
        <f>N$15</f>
        <v>Valore netto al 31/12/2019</v>
      </c>
      <c r="O459" s="256" t="str">
        <f>O$15</f>
        <v>Valore netto al 31/12/2020</v>
      </c>
      <c r="P459" s="256" t="str">
        <f>P$15</f>
        <v>Variazione</v>
      </c>
      <c r="Q459" s="262" t="s">
        <v>2971</v>
      </c>
      <c r="R459" s="262" t="str">
        <f>"Fondo svalutazione 31/12/"&amp;Info!$B$3-1</f>
        <v>Fondo svalutazione 31/12/2019</v>
      </c>
      <c r="S459" s="262" t="s">
        <v>2972</v>
      </c>
      <c r="V459" s="211"/>
      <c r="W459" s="262" t="s">
        <v>2975</v>
      </c>
      <c r="X459" s="262" t="s">
        <v>2976</v>
      </c>
      <c r="Y459" s="262" t="s">
        <v>3124</v>
      </c>
      <c r="Z459" s="262" t="s">
        <v>3125</v>
      </c>
      <c r="AA459" s="211"/>
      <c r="AB459" s="211"/>
      <c r="AC459" s="211"/>
      <c r="AD459" s="211"/>
      <c r="AE459" s="211"/>
    </row>
    <row r="460" spans="2:31" s="204" customFormat="1" x14ac:dyDescent="0.25">
      <c r="B460" s="246" t="s">
        <v>1025</v>
      </c>
      <c r="C460" s="273" t="s">
        <v>1026</v>
      </c>
      <c r="D460" s="274" t="s">
        <v>3476</v>
      </c>
      <c r="E460" s="264"/>
      <c r="F460" s="264"/>
      <c r="G460" s="265"/>
      <c r="H460" s="266"/>
      <c r="I460" s="267"/>
      <c r="J460" s="267"/>
      <c r="K460" s="267"/>
      <c r="L460" s="268" t="s">
        <v>3477</v>
      </c>
      <c r="M460" s="263" t="s">
        <v>2962</v>
      </c>
      <c r="N460" s="269">
        <f>+R460</f>
        <v>0</v>
      </c>
      <c r="O460" s="270">
        <f>+R460+S460+X460-ABS(Y460)+ABS(Z460)+W460+Q460</f>
        <v>0</v>
      </c>
      <c r="P460" s="271">
        <f>+O460-N460</f>
        <v>0</v>
      </c>
      <c r="Q460" s="520"/>
      <c r="R460" s="354">
        <f>IF(ISERROR(VLOOKUP("RIC"&amp;$C460,ESTR_PREC_SP!$A$2:$G$2000,4,FALSE))=TRUE,0,VLOOKUP("RIC"&amp;$C460,ESTR_PREC_SP!$A$2:$G$2000,4,FALSE))</f>
        <v>0</v>
      </c>
      <c r="S460" s="521"/>
      <c r="V460" s="211"/>
      <c r="W460" s="520"/>
      <c r="X460" s="520"/>
      <c r="Y460" s="520"/>
      <c r="Z460" s="520"/>
      <c r="AA460" s="211"/>
      <c r="AB460" s="211"/>
      <c r="AC460" s="211"/>
      <c r="AD460" s="211"/>
      <c r="AE460" s="211"/>
    </row>
    <row r="461" spans="2:31" s="204" customFormat="1" x14ac:dyDescent="0.25">
      <c r="B461" s="246" t="s">
        <v>1028</v>
      </c>
      <c r="C461" s="273" t="s">
        <v>1029</v>
      </c>
      <c r="D461" s="274" t="s">
        <v>3478</v>
      </c>
      <c r="E461" s="274"/>
      <c r="F461" s="274"/>
      <c r="G461" s="283"/>
      <c r="H461" s="326"/>
      <c r="I461" s="281"/>
      <c r="J461" s="281"/>
      <c r="K461" s="281"/>
      <c r="L461" s="295" t="s">
        <v>3479</v>
      </c>
      <c r="M461" s="263" t="s">
        <v>2962</v>
      </c>
      <c r="N461" s="269">
        <f>+R461</f>
        <v>0</v>
      </c>
      <c r="O461" s="270">
        <f>+R461+S461+X461-ABS(Y461)+ABS(Z461)+W461+Q461</f>
        <v>0</v>
      </c>
      <c r="P461" s="271">
        <f>+O461-N461</f>
        <v>0</v>
      </c>
      <c r="Q461" s="520"/>
      <c r="R461" s="354">
        <f>IF(ISERROR(VLOOKUP("RIC"&amp;$C461,ESTR_PREC_SP!$A$2:$G$2000,4,FALSE))=TRUE,0,VLOOKUP("RIC"&amp;$C461,ESTR_PREC_SP!$A$2:$G$2000,4,FALSE))</f>
        <v>0</v>
      </c>
      <c r="S461" s="521"/>
      <c r="V461" s="211"/>
      <c r="W461" s="520"/>
      <c r="X461" s="520"/>
      <c r="Y461" s="520"/>
      <c r="Z461" s="520"/>
      <c r="AA461" s="211"/>
      <c r="AB461" s="211"/>
      <c r="AC461" s="211"/>
      <c r="AD461" s="211"/>
      <c r="AE461" s="211"/>
    </row>
    <row r="462" spans="2:31" s="204" customFormat="1" x14ac:dyDescent="0.25">
      <c r="B462" s="293"/>
      <c r="C462" s="293"/>
      <c r="D462" s="300"/>
      <c r="E462" s="300"/>
      <c r="F462" s="300"/>
      <c r="G462" s="300"/>
      <c r="H462" s="327"/>
      <c r="I462" s="300"/>
      <c r="J462" s="300"/>
      <c r="K462" s="300"/>
      <c r="L462" s="312"/>
      <c r="M462" s="211"/>
      <c r="N462" s="254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</row>
    <row r="463" spans="2:31" s="204" customFormat="1" x14ac:dyDescent="0.25">
      <c r="B463" s="246" t="s">
        <v>1031</v>
      </c>
      <c r="C463" s="292" t="s">
        <v>1032</v>
      </c>
      <c r="D463" s="247" t="s">
        <v>3480</v>
      </c>
      <c r="E463" s="301"/>
      <c r="F463" s="301"/>
      <c r="G463" s="301"/>
      <c r="H463" s="328"/>
      <c r="I463" s="301"/>
      <c r="J463" s="301"/>
      <c r="K463" s="329"/>
      <c r="L463" s="257" t="s">
        <v>1035</v>
      </c>
      <c r="M463" s="251" t="s">
        <v>2962</v>
      </c>
      <c r="N463" s="252">
        <f>SUM(N466:N467)</f>
        <v>0</v>
      </c>
      <c r="O463" s="252">
        <f>SUM(O466:O467)</f>
        <v>0</v>
      </c>
      <c r="P463" s="259">
        <f>+O463-N463</f>
        <v>0</v>
      </c>
      <c r="Q463" s="252">
        <f>SUM(Q466:Q467)</f>
        <v>0</v>
      </c>
      <c r="R463" s="252">
        <f>SUM(R466:R467)</f>
        <v>0</v>
      </c>
      <c r="S463" s="252">
        <f>SUM(S466:S467)</f>
        <v>0</v>
      </c>
      <c r="T463" s="211"/>
      <c r="U463" s="211"/>
      <c r="V463" s="211"/>
      <c r="W463" s="252">
        <f>SUM(W466:W467)</f>
        <v>0</v>
      </c>
      <c r="X463" s="252">
        <f>SUM(X466:X467)</f>
        <v>0</v>
      </c>
      <c r="Y463" s="252">
        <f>SUM(Y466:Y467)</f>
        <v>0</v>
      </c>
      <c r="Z463" s="252">
        <f>SUM(Z466:Z467)</f>
        <v>0</v>
      </c>
      <c r="AA463" s="211"/>
    </row>
    <row r="464" spans="2:31" s="204" customFormat="1" x14ac:dyDescent="0.25">
      <c r="B464" s="293"/>
      <c r="C464" s="293"/>
      <c r="D464" s="230"/>
      <c r="E464" s="230"/>
      <c r="F464" s="230"/>
      <c r="G464" s="230"/>
      <c r="H464" s="231"/>
      <c r="I464" s="230"/>
      <c r="J464" s="230"/>
      <c r="K464" s="230"/>
      <c r="L464" s="232"/>
      <c r="M464" s="211"/>
      <c r="N464" s="211"/>
      <c r="O464" s="211"/>
      <c r="P464" s="211"/>
      <c r="Q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2:31" s="204" customFormat="1" ht="63.75" x14ac:dyDescent="0.25">
      <c r="B465" s="294" t="s">
        <v>2968</v>
      </c>
      <c r="C465" s="294" t="s">
        <v>2969</v>
      </c>
      <c r="D465" s="206" t="s">
        <v>72</v>
      </c>
      <c r="E465" s="206"/>
      <c r="F465" s="206"/>
      <c r="G465" s="207"/>
      <c r="H465" s="207"/>
      <c r="I465" s="207"/>
      <c r="J465" s="207" t="s">
        <v>2957</v>
      </c>
      <c r="K465" s="206" t="s">
        <v>82</v>
      </c>
      <c r="L465" s="261" t="s">
        <v>2970</v>
      </c>
      <c r="M465" s="260"/>
      <c r="N465" s="256" t="str">
        <f>N$15</f>
        <v>Valore netto al 31/12/2019</v>
      </c>
      <c r="O465" s="256" t="str">
        <f>O$15</f>
        <v>Valore netto al 31/12/2020</v>
      </c>
      <c r="P465" s="256" t="str">
        <f>P$15</f>
        <v>Variazione</v>
      </c>
      <c r="Q465" s="262" t="s">
        <v>2971</v>
      </c>
      <c r="R465" s="262" t="str">
        <f>"Fondo svalutazione 31/12/"&amp;Info!$B$3-1</f>
        <v>Fondo svalutazione 31/12/2019</v>
      </c>
      <c r="S465" s="262" t="s">
        <v>2972</v>
      </c>
      <c r="V465" s="211"/>
      <c r="W465" s="262" t="s">
        <v>2975</v>
      </c>
      <c r="X465" s="262" t="s">
        <v>2976</v>
      </c>
      <c r="Y465" s="262" t="s">
        <v>3124</v>
      </c>
      <c r="Z465" s="262" t="s">
        <v>3125</v>
      </c>
      <c r="AA465" s="211"/>
      <c r="AB465" s="211"/>
      <c r="AC465" s="211"/>
      <c r="AD465" s="211"/>
      <c r="AE465" s="211"/>
    </row>
    <row r="466" spans="2:31" s="204" customFormat="1" x14ac:dyDescent="0.25">
      <c r="B466" s="246" t="s">
        <v>1036</v>
      </c>
      <c r="C466" s="273" t="s">
        <v>1037</v>
      </c>
      <c r="D466" s="274" t="s">
        <v>3481</v>
      </c>
      <c r="E466" s="264"/>
      <c r="F466" s="264"/>
      <c r="G466" s="265"/>
      <c r="H466" s="266"/>
      <c r="I466" s="267"/>
      <c r="J466" s="267"/>
      <c r="K466" s="267"/>
      <c r="L466" s="268" t="s">
        <v>3482</v>
      </c>
      <c r="M466" s="263" t="s">
        <v>2962</v>
      </c>
      <c r="N466" s="269">
        <f>+R466</f>
        <v>0</v>
      </c>
      <c r="O466" s="270">
        <f>+R466+S466+X466-ABS(Y466)+ABS(Z466)+W466+Q466</f>
        <v>0</v>
      </c>
      <c r="P466" s="271">
        <f>+O466-N466</f>
        <v>0</v>
      </c>
      <c r="Q466" s="520"/>
      <c r="R466" s="354">
        <f>IF(ISERROR(VLOOKUP("RIC"&amp;$C466,ESTR_PREC_SP!$A$2:$G$2000,4,FALSE))=TRUE,0,VLOOKUP("RIC"&amp;$C466,ESTR_PREC_SP!$A$2:$G$2000,4,FALSE))</f>
        <v>0</v>
      </c>
      <c r="S466" s="521"/>
      <c r="V466" s="211"/>
      <c r="W466" s="520"/>
      <c r="X466" s="520"/>
      <c r="Y466" s="520"/>
      <c r="Z466" s="520"/>
      <c r="AA466" s="211"/>
      <c r="AB466" s="211"/>
      <c r="AC466" s="211"/>
      <c r="AD466" s="211"/>
      <c r="AE466" s="211"/>
    </row>
    <row r="467" spans="2:31" s="204" customFormat="1" x14ac:dyDescent="0.25">
      <c r="B467" s="246" t="s">
        <v>1039</v>
      </c>
      <c r="C467" s="273" t="s">
        <v>1040</v>
      </c>
      <c r="D467" s="274" t="s">
        <v>3483</v>
      </c>
      <c r="E467" s="274"/>
      <c r="F467" s="274"/>
      <c r="G467" s="283"/>
      <c r="H467" s="326"/>
      <c r="I467" s="281"/>
      <c r="J467" s="281"/>
      <c r="K467" s="281"/>
      <c r="L467" s="295" t="s">
        <v>3484</v>
      </c>
      <c r="M467" s="263" t="s">
        <v>2962</v>
      </c>
      <c r="N467" s="269">
        <f>+R467</f>
        <v>0</v>
      </c>
      <c r="O467" s="270">
        <f>+R467+S467+X467-ABS(Y467)+ABS(Z467)+W467+Q467</f>
        <v>0</v>
      </c>
      <c r="P467" s="271">
        <f>+O467-N467</f>
        <v>0</v>
      </c>
      <c r="Q467" s="520"/>
      <c r="R467" s="354">
        <f>IF(ISERROR(VLOOKUP("RIC"&amp;$C467,ESTR_PREC_SP!$A$2:$G$2000,4,FALSE))=TRUE,0,VLOOKUP("RIC"&amp;$C467,ESTR_PREC_SP!$A$2:$G$2000,4,FALSE))</f>
        <v>0</v>
      </c>
      <c r="S467" s="521"/>
      <c r="V467" s="211"/>
      <c r="W467" s="520"/>
      <c r="X467" s="520"/>
      <c r="Y467" s="520"/>
      <c r="Z467" s="520"/>
      <c r="AA467" s="211"/>
      <c r="AB467" s="211"/>
      <c r="AC467" s="211"/>
      <c r="AD467" s="211"/>
      <c r="AE467" s="211"/>
    </row>
    <row r="468" spans="2:31" s="204" customFormat="1" x14ac:dyDescent="0.25">
      <c r="B468" s="293"/>
      <c r="C468" s="293"/>
      <c r="D468" s="300"/>
      <c r="E468" s="300"/>
      <c r="F468" s="300"/>
      <c r="G468" s="300"/>
      <c r="H468" s="327"/>
      <c r="I468" s="300"/>
      <c r="J468" s="300"/>
      <c r="K468" s="300"/>
      <c r="L468" s="312"/>
      <c r="M468" s="211"/>
      <c r="N468" s="254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</row>
    <row r="469" spans="2:31" s="204" customFormat="1" x14ac:dyDescent="0.25">
      <c r="B469" s="246" t="s">
        <v>1042</v>
      </c>
      <c r="C469" s="292" t="s">
        <v>1043</v>
      </c>
      <c r="D469" s="247" t="s">
        <v>3485</v>
      </c>
      <c r="E469" s="301"/>
      <c r="F469" s="301"/>
      <c r="G469" s="301"/>
      <c r="H469" s="328"/>
      <c r="I469" s="301"/>
      <c r="J469" s="301"/>
      <c r="K469" s="329"/>
      <c r="L469" s="257" t="s">
        <v>1046</v>
      </c>
      <c r="M469" s="251" t="s">
        <v>2962</v>
      </c>
      <c r="N469" s="252">
        <f>SUM(N472:N472)</f>
        <v>0</v>
      </c>
      <c r="O469" s="252">
        <f>SUM(O472:O472)</f>
        <v>0</v>
      </c>
      <c r="P469" s="259">
        <f>+O469-N469</f>
        <v>0</v>
      </c>
      <c r="Q469" s="252">
        <f>SUM(Q472:Q472)</f>
        <v>0</v>
      </c>
      <c r="R469" s="252">
        <f>SUM(R472:R472)</f>
        <v>0</v>
      </c>
      <c r="S469" s="252">
        <f>SUM(S472:S472)</f>
        <v>0</v>
      </c>
      <c r="T469" s="211"/>
      <c r="U469" s="211"/>
      <c r="V469" s="211"/>
      <c r="W469" s="252">
        <f>SUM(W472:W472)</f>
        <v>0</v>
      </c>
      <c r="X469" s="252">
        <f>SUM(X472:X472)</f>
        <v>0</v>
      </c>
      <c r="Y469" s="252">
        <f>SUM(Y472:Y472)</f>
        <v>0</v>
      </c>
      <c r="Z469" s="252">
        <f>SUM(Z472:Z472)</f>
        <v>0</v>
      </c>
      <c r="AA469" s="211"/>
      <c r="AB469" s="211"/>
      <c r="AC469" s="211"/>
      <c r="AD469" s="211"/>
      <c r="AE469" s="211"/>
    </row>
    <row r="470" spans="2:31" s="204" customFormat="1" x14ac:dyDescent="0.25">
      <c r="B470" s="293"/>
      <c r="C470" s="293"/>
      <c r="D470" s="230"/>
      <c r="E470" s="230"/>
      <c r="F470" s="230"/>
      <c r="G470" s="230"/>
      <c r="H470" s="231"/>
      <c r="I470" s="230"/>
      <c r="J470" s="230"/>
      <c r="K470" s="230"/>
      <c r="L470" s="232"/>
      <c r="M470" s="211"/>
      <c r="N470" s="211"/>
      <c r="O470" s="211"/>
      <c r="P470" s="211"/>
      <c r="Q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</row>
    <row r="471" spans="2:31" s="204" customFormat="1" ht="63.75" x14ac:dyDescent="0.25">
      <c r="B471" s="294" t="s">
        <v>2968</v>
      </c>
      <c r="C471" s="294" t="s">
        <v>2969</v>
      </c>
      <c r="D471" s="206" t="s">
        <v>72</v>
      </c>
      <c r="E471" s="206"/>
      <c r="F471" s="206"/>
      <c r="G471" s="207"/>
      <c r="H471" s="207"/>
      <c r="I471" s="207"/>
      <c r="J471" s="207" t="s">
        <v>2957</v>
      </c>
      <c r="K471" s="206" t="s">
        <v>82</v>
      </c>
      <c r="L471" s="261" t="s">
        <v>2970</v>
      </c>
      <c r="M471" s="260"/>
      <c r="N471" s="256" t="str">
        <f>N$15</f>
        <v>Valore netto al 31/12/2019</v>
      </c>
      <c r="O471" s="256" t="str">
        <f>O$15</f>
        <v>Valore netto al 31/12/2020</v>
      </c>
      <c r="P471" s="256" t="str">
        <f>P$15</f>
        <v>Variazione</v>
      </c>
      <c r="Q471" s="262" t="s">
        <v>2971</v>
      </c>
      <c r="R471" s="262" t="str">
        <f>"Fondo svalutazione 31/12/"&amp;Info!$B$3-1</f>
        <v>Fondo svalutazione 31/12/2019</v>
      </c>
      <c r="S471" s="262" t="s">
        <v>2972</v>
      </c>
      <c r="V471" s="211"/>
      <c r="W471" s="262" t="s">
        <v>2975</v>
      </c>
      <c r="X471" s="262" t="s">
        <v>2976</v>
      </c>
      <c r="Y471" s="262" t="s">
        <v>3124</v>
      </c>
      <c r="Z471" s="262" t="s">
        <v>3125</v>
      </c>
      <c r="AA471" s="211"/>
      <c r="AB471" s="211"/>
      <c r="AC471" s="211"/>
      <c r="AD471" s="211"/>
      <c r="AE471" s="211"/>
    </row>
    <row r="472" spans="2:31" s="204" customFormat="1" x14ac:dyDescent="0.25">
      <c r="B472" s="246" t="s">
        <v>1047</v>
      </c>
      <c r="C472" s="273" t="s">
        <v>1048</v>
      </c>
      <c r="D472" s="274" t="s">
        <v>3486</v>
      </c>
      <c r="E472" s="264"/>
      <c r="F472" s="264"/>
      <c r="G472" s="265"/>
      <c r="H472" s="266"/>
      <c r="I472" s="267"/>
      <c r="J472" s="267"/>
      <c r="K472" s="267"/>
      <c r="L472" s="268" t="s">
        <v>3487</v>
      </c>
      <c r="M472" s="263" t="s">
        <v>2962</v>
      </c>
      <c r="N472" s="269">
        <f>+R472</f>
        <v>0</v>
      </c>
      <c r="O472" s="270">
        <f>+R472+S472+X472-ABS(Y472)+ABS(Z472)+W472+Q472</f>
        <v>0</v>
      </c>
      <c r="P472" s="271">
        <f>+O472-N472</f>
        <v>0</v>
      </c>
      <c r="Q472" s="520"/>
      <c r="R472" s="354">
        <f>IF(ISERROR(VLOOKUP("RIC"&amp;$C472,ESTR_PREC_SP!$A$2:$G$2000,4,FALSE))=TRUE,0,VLOOKUP("RIC"&amp;$C472,ESTR_PREC_SP!$A$2:$G$2000,4,FALSE))</f>
        <v>0</v>
      </c>
      <c r="S472" s="521"/>
      <c r="V472" s="211"/>
      <c r="W472" s="520"/>
      <c r="X472" s="520"/>
      <c r="Y472" s="520"/>
      <c r="Z472" s="520"/>
      <c r="AA472" s="211"/>
      <c r="AB472" s="211"/>
      <c r="AC472" s="211"/>
      <c r="AD472" s="211"/>
      <c r="AE472" s="211"/>
    </row>
    <row r="473" spans="2:31" s="204" customFormat="1" x14ac:dyDescent="0.25">
      <c r="B473" s="293"/>
      <c r="C473" s="293"/>
      <c r="D473" s="300"/>
      <c r="E473" s="300"/>
      <c r="F473" s="300"/>
      <c r="G473" s="300"/>
      <c r="H473" s="327"/>
      <c r="I473" s="300"/>
      <c r="J473" s="300"/>
      <c r="K473" s="300"/>
      <c r="L473" s="312"/>
      <c r="M473" s="211"/>
      <c r="N473" s="254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</row>
    <row r="474" spans="2:31" s="204" customFormat="1" x14ac:dyDescent="0.25">
      <c r="B474" s="246" t="s">
        <v>1050</v>
      </c>
      <c r="C474" s="292" t="s">
        <v>1051</v>
      </c>
      <c r="D474" s="247" t="s">
        <v>3488</v>
      </c>
      <c r="E474" s="301"/>
      <c r="F474" s="301"/>
      <c r="G474" s="301"/>
      <c r="H474" s="328"/>
      <c r="I474" s="301"/>
      <c r="J474" s="301"/>
      <c r="K474" s="329"/>
      <c r="L474" s="257" t="s">
        <v>1054</v>
      </c>
      <c r="M474" s="251" t="s">
        <v>2962</v>
      </c>
      <c r="N474" s="252">
        <f>SUM(N477:N478)</f>
        <v>0</v>
      </c>
      <c r="O474" s="252">
        <f>SUM(O477:O478)</f>
        <v>0</v>
      </c>
      <c r="P474" s="259">
        <f>+O474-N474</f>
        <v>0</v>
      </c>
      <c r="Q474" s="252">
        <f>SUM(Q477:Q478)</f>
        <v>0</v>
      </c>
      <c r="R474" s="252">
        <f>SUM(R477:R478)</f>
        <v>0</v>
      </c>
      <c r="S474" s="252">
        <f>SUM(S477:S478)</f>
        <v>0</v>
      </c>
      <c r="T474" s="211"/>
      <c r="U474" s="211"/>
      <c r="V474" s="211"/>
      <c r="W474" s="252">
        <f>SUM(W477:W478)</f>
        <v>0</v>
      </c>
      <c r="X474" s="252">
        <f>SUM(X477:X478)</f>
        <v>0</v>
      </c>
      <c r="Y474" s="252">
        <f>SUM(Y477:Y478)</f>
        <v>0</v>
      </c>
      <c r="Z474" s="252">
        <f>SUM(Z477:Z478)</f>
        <v>0</v>
      </c>
      <c r="AA474" s="211"/>
      <c r="AB474" s="211"/>
      <c r="AC474" s="211"/>
      <c r="AD474" s="211"/>
      <c r="AE474" s="211"/>
    </row>
    <row r="475" spans="2:31" s="204" customFormat="1" x14ac:dyDescent="0.25">
      <c r="B475" s="293"/>
      <c r="C475" s="293"/>
      <c r="D475" s="230"/>
      <c r="E475" s="230"/>
      <c r="F475" s="230"/>
      <c r="G475" s="230"/>
      <c r="H475" s="231"/>
      <c r="I475" s="230"/>
      <c r="J475" s="230"/>
      <c r="K475" s="230"/>
      <c r="L475" s="232"/>
      <c r="M475" s="211"/>
      <c r="N475" s="211"/>
      <c r="O475" s="211"/>
      <c r="P475" s="211"/>
      <c r="Q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</row>
    <row r="476" spans="2:31" s="204" customFormat="1" ht="63.75" x14ac:dyDescent="0.25">
      <c r="B476" s="294" t="s">
        <v>2968</v>
      </c>
      <c r="C476" s="294" t="s">
        <v>2969</v>
      </c>
      <c r="D476" s="206" t="s">
        <v>72</v>
      </c>
      <c r="E476" s="206"/>
      <c r="F476" s="206"/>
      <c r="G476" s="207"/>
      <c r="H476" s="207"/>
      <c r="I476" s="207"/>
      <c r="J476" s="207" t="s">
        <v>2957</v>
      </c>
      <c r="K476" s="206" t="s">
        <v>82</v>
      </c>
      <c r="L476" s="261" t="s">
        <v>2970</v>
      </c>
      <c r="M476" s="260"/>
      <c r="N476" s="256" t="str">
        <f>N$15</f>
        <v>Valore netto al 31/12/2019</v>
      </c>
      <c r="O476" s="256" t="str">
        <f>O$15</f>
        <v>Valore netto al 31/12/2020</v>
      </c>
      <c r="P476" s="256" t="str">
        <f>P$15</f>
        <v>Variazione</v>
      </c>
      <c r="Q476" s="262" t="s">
        <v>2971</v>
      </c>
      <c r="R476" s="262" t="str">
        <f>"Fondo svalutazione 31/12/"&amp;Info!$B$3-1</f>
        <v>Fondo svalutazione 31/12/2019</v>
      </c>
      <c r="S476" s="262" t="s">
        <v>2972</v>
      </c>
      <c r="V476" s="211"/>
      <c r="W476" s="262" t="s">
        <v>2975</v>
      </c>
      <c r="X476" s="262" t="s">
        <v>2976</v>
      </c>
      <c r="Y476" s="262" t="s">
        <v>3124</v>
      </c>
      <c r="Z476" s="262" t="s">
        <v>3125</v>
      </c>
      <c r="AA476" s="211"/>
      <c r="AB476" s="211"/>
      <c r="AC476" s="211"/>
      <c r="AD476" s="211"/>
      <c r="AE476" s="211"/>
    </row>
    <row r="477" spans="2:31" s="204" customFormat="1" x14ac:dyDescent="0.25">
      <c r="B477" s="246" t="s">
        <v>1055</v>
      </c>
      <c r="C477" s="273" t="s">
        <v>1056</v>
      </c>
      <c r="D477" s="274" t="s">
        <v>3489</v>
      </c>
      <c r="E477" s="264"/>
      <c r="F477" s="264"/>
      <c r="G477" s="265"/>
      <c r="H477" s="266"/>
      <c r="I477" s="267"/>
      <c r="J477" s="267"/>
      <c r="K477" s="267"/>
      <c r="L477" s="268" t="s">
        <v>3490</v>
      </c>
      <c r="M477" s="263" t="s">
        <v>2962</v>
      </c>
      <c r="N477" s="269">
        <f>+R477</f>
        <v>0</v>
      </c>
      <c r="O477" s="270">
        <f>+R477+S477+X477-ABS(Y477)+ABS(Z477)+W477+Q477</f>
        <v>0</v>
      </c>
      <c r="P477" s="271">
        <f>+O477-N477</f>
        <v>0</v>
      </c>
      <c r="Q477" s="520"/>
      <c r="R477" s="354">
        <f>IF(ISERROR(VLOOKUP("RIC"&amp;$C477,ESTR_PREC_SP!$A$2:$G$2000,4,FALSE))=TRUE,0,VLOOKUP("RIC"&amp;$C477,ESTR_PREC_SP!$A$2:$G$2000,4,FALSE))</f>
        <v>0</v>
      </c>
      <c r="S477" s="521"/>
      <c r="V477" s="211"/>
      <c r="W477" s="520"/>
      <c r="X477" s="520"/>
      <c r="Y477" s="520"/>
      <c r="Z477" s="520"/>
      <c r="AA477" s="211"/>
      <c r="AB477" s="211"/>
      <c r="AC477" s="211"/>
      <c r="AD477" s="211"/>
      <c r="AE477" s="211"/>
    </row>
    <row r="478" spans="2:31" s="204" customFormat="1" x14ac:dyDescent="0.25">
      <c r="B478" s="246" t="s">
        <v>1058</v>
      </c>
      <c r="C478" s="273" t="s">
        <v>1059</v>
      </c>
      <c r="D478" s="274" t="s">
        <v>3491</v>
      </c>
      <c r="E478" s="274"/>
      <c r="F478" s="274"/>
      <c r="G478" s="283"/>
      <c r="H478" s="326"/>
      <c r="I478" s="281"/>
      <c r="J478" s="281"/>
      <c r="K478" s="281"/>
      <c r="L478" s="295" t="s">
        <v>3492</v>
      </c>
      <c r="M478" s="263" t="s">
        <v>2962</v>
      </c>
      <c r="N478" s="269">
        <f>+R478</f>
        <v>0</v>
      </c>
      <c r="O478" s="270">
        <f>+R478+S478+X478-ABS(Y478)+ABS(Z478)+W478+Q478</f>
        <v>0</v>
      </c>
      <c r="P478" s="271">
        <f>+O478-N478</f>
        <v>0</v>
      </c>
      <c r="Q478" s="520"/>
      <c r="R478" s="354">
        <f>IF(ISERROR(VLOOKUP("RIC"&amp;$C478,ESTR_PREC_SP!$A$2:$G$2000,4,FALSE))=TRUE,0,VLOOKUP("RIC"&amp;$C478,ESTR_PREC_SP!$A$2:$G$2000,4,FALSE))</f>
        <v>0</v>
      </c>
      <c r="S478" s="521"/>
      <c r="V478" s="211"/>
      <c r="W478" s="520"/>
      <c r="X478" s="520"/>
      <c r="Y478" s="520"/>
      <c r="Z478" s="520"/>
      <c r="AA478" s="211"/>
      <c r="AB478" s="211"/>
      <c r="AC478" s="211"/>
      <c r="AD478" s="211"/>
      <c r="AE478" s="211"/>
    </row>
    <row r="479" spans="2:31" s="204" customFormat="1" x14ac:dyDescent="0.25">
      <c r="B479" s="293"/>
      <c r="C479" s="293"/>
      <c r="D479" s="226"/>
      <c r="E479" s="226"/>
      <c r="F479" s="226"/>
      <c r="G479" s="226"/>
      <c r="H479" s="227"/>
      <c r="I479" s="226"/>
      <c r="J479" s="226"/>
      <c r="K479" s="226"/>
      <c r="L479" s="315"/>
      <c r="M479" s="211"/>
      <c r="N479" s="254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</row>
    <row r="480" spans="2:31" s="204" customFormat="1" x14ac:dyDescent="0.25">
      <c r="B480" s="293"/>
      <c r="C480" s="293"/>
      <c r="D480" s="230"/>
      <c r="E480" s="230"/>
      <c r="F480" s="230"/>
      <c r="G480" s="230"/>
      <c r="H480" s="231"/>
      <c r="I480" s="230"/>
      <c r="J480" s="230"/>
      <c r="K480" s="230"/>
      <c r="L480" s="232"/>
      <c r="M480" s="211"/>
      <c r="N480" s="254"/>
      <c r="O480" s="211"/>
      <c r="P480" s="211"/>
      <c r="Q480" s="211"/>
      <c r="R480" s="211"/>
      <c r="S480" s="211"/>
      <c r="T480" s="211"/>
      <c r="U480" s="211"/>
      <c r="V480" s="211"/>
      <c r="W480" s="285"/>
      <c r="X480" s="285"/>
      <c r="Y480" s="211"/>
      <c r="Z480" s="211"/>
      <c r="AA480" s="211"/>
      <c r="AB480" s="211"/>
      <c r="AC480" s="211"/>
      <c r="AD480" s="211"/>
      <c r="AE480" s="211"/>
    </row>
    <row r="481" spans="1:38" s="204" customFormat="1" ht="25.5" x14ac:dyDescent="0.25">
      <c r="B481" s="293"/>
      <c r="C481" s="293"/>
      <c r="D481" s="230"/>
      <c r="E481" s="230"/>
      <c r="F481" s="230"/>
      <c r="G481" s="230"/>
      <c r="H481" s="231"/>
      <c r="I481" s="230"/>
      <c r="J481" s="230"/>
      <c r="K481" s="230"/>
      <c r="L481" s="243"/>
      <c r="M481" s="244"/>
      <c r="N481" s="330" t="str">
        <f>N$15</f>
        <v>Valore netto al 31/12/2019</v>
      </c>
      <c r="O481" s="331" t="str">
        <f>O$15</f>
        <v>Valore netto al 31/12/2020</v>
      </c>
      <c r="P481" s="330" t="str">
        <f>P$15</f>
        <v>Variazione</v>
      </c>
      <c r="Q481" s="211"/>
      <c r="R481" s="211"/>
      <c r="S481" s="211"/>
      <c r="T481" s="211"/>
      <c r="U481" s="211"/>
      <c r="V481" s="211"/>
      <c r="W481" s="285"/>
      <c r="X481" s="285"/>
      <c r="Y481" s="211"/>
      <c r="Z481" s="211"/>
      <c r="AA481" s="211"/>
    </row>
    <row r="482" spans="1:38" s="204" customFormat="1" x14ac:dyDescent="0.25">
      <c r="B482" s="246" t="s">
        <v>1061</v>
      </c>
      <c r="C482" s="292" t="s">
        <v>1062</v>
      </c>
      <c r="D482" s="247" t="s">
        <v>3493</v>
      </c>
      <c r="E482" s="247"/>
      <c r="F482" s="247"/>
      <c r="G482" s="247"/>
      <c r="H482" s="248"/>
      <c r="I482" s="247"/>
      <c r="J482" s="247"/>
      <c r="K482" s="249"/>
      <c r="L482" s="250" t="s">
        <v>1063</v>
      </c>
      <c r="M482" s="251" t="s">
        <v>2962</v>
      </c>
      <c r="N482" s="252">
        <f>+N484+N493</f>
        <v>0</v>
      </c>
      <c r="O482" s="252">
        <f>+O484+O493</f>
        <v>0</v>
      </c>
      <c r="P482" s="253">
        <f>+O482-N482</f>
        <v>0</v>
      </c>
      <c r="Q482" s="211"/>
      <c r="R482" s="211"/>
      <c r="S482" s="211"/>
      <c r="T482" s="211"/>
      <c r="U482" s="211"/>
      <c r="V482" s="211"/>
      <c r="W482" s="285"/>
      <c r="X482" s="285"/>
      <c r="Y482" s="211"/>
      <c r="Z482" s="211"/>
      <c r="AA482" s="211"/>
    </row>
    <row r="483" spans="1:38" s="204" customFormat="1" x14ac:dyDescent="0.25">
      <c r="B483" s="293"/>
      <c r="C483" s="293"/>
      <c r="D483" s="230"/>
      <c r="E483" s="230"/>
      <c r="F483" s="230"/>
      <c r="G483" s="230"/>
      <c r="H483" s="231"/>
      <c r="I483" s="230"/>
      <c r="J483" s="230"/>
      <c r="K483" s="230"/>
      <c r="L483" s="232"/>
      <c r="M483" s="211"/>
      <c r="N483" s="254"/>
      <c r="O483" s="211"/>
      <c r="P483" s="211"/>
      <c r="Q483" s="211"/>
      <c r="R483" s="211"/>
      <c r="S483" s="211"/>
      <c r="T483" s="211"/>
      <c r="U483" s="211"/>
      <c r="V483" s="211"/>
      <c r="W483" s="285"/>
      <c r="X483" s="285"/>
      <c r="Y483" s="211"/>
      <c r="Z483" s="211"/>
      <c r="AA483" s="211"/>
    </row>
    <row r="484" spans="1:38" s="204" customFormat="1" x14ac:dyDescent="0.25">
      <c r="B484" s="246" t="s">
        <v>1064</v>
      </c>
      <c r="C484" s="292" t="s">
        <v>1065</v>
      </c>
      <c r="D484" s="247" t="s">
        <v>3494</v>
      </c>
      <c r="E484" s="247"/>
      <c r="F484" s="247"/>
      <c r="G484" s="247"/>
      <c r="H484" s="248"/>
      <c r="I484" s="247"/>
      <c r="J484" s="247"/>
      <c r="K484" s="249"/>
      <c r="L484" s="276" t="s">
        <v>1067</v>
      </c>
      <c r="M484" s="251" t="s">
        <v>2962</v>
      </c>
      <c r="N484" s="252">
        <f>SUM(N488:N491)</f>
        <v>0</v>
      </c>
      <c r="O484" s="252">
        <f>SUM(O488:O491)</f>
        <v>0</v>
      </c>
      <c r="P484" s="259">
        <f>+O484-N484</f>
        <v>0</v>
      </c>
      <c r="Q484" s="252">
        <f t="shared" ref="Q484:Z484" si="63">SUM(Q488:Q491)</f>
        <v>0</v>
      </c>
      <c r="R484" s="252">
        <f t="shared" si="63"/>
        <v>0</v>
      </c>
      <c r="S484" s="252">
        <f t="shared" si="63"/>
        <v>0</v>
      </c>
      <c r="T484" s="252">
        <f t="shared" si="63"/>
        <v>0</v>
      </c>
      <c r="U484" s="252">
        <f t="shared" si="63"/>
        <v>0</v>
      </c>
      <c r="V484" s="252">
        <f t="shared" si="63"/>
        <v>0</v>
      </c>
      <c r="W484" s="252">
        <f t="shared" si="63"/>
        <v>0</v>
      </c>
      <c r="X484" s="252">
        <f t="shared" si="63"/>
        <v>0</v>
      </c>
      <c r="Y484" s="252">
        <f t="shared" si="63"/>
        <v>0</v>
      </c>
      <c r="Z484" s="252">
        <f t="shared" si="63"/>
        <v>0</v>
      </c>
      <c r="AA484" s="252">
        <f t="shared" ref="AA484:AL484" si="64">SUM(AB488:AB491)</f>
        <v>0</v>
      </c>
      <c r="AB484" s="252">
        <f t="shared" si="64"/>
        <v>0</v>
      </c>
      <c r="AC484" s="252">
        <f t="shared" si="64"/>
        <v>0</v>
      </c>
      <c r="AD484" s="252">
        <f t="shared" si="64"/>
        <v>0</v>
      </c>
      <c r="AE484" s="252">
        <f t="shared" si="64"/>
        <v>0</v>
      </c>
      <c r="AF484" s="252">
        <f t="shared" si="64"/>
        <v>0</v>
      </c>
      <c r="AG484" s="252">
        <f t="shared" si="64"/>
        <v>0</v>
      </c>
      <c r="AH484" s="252">
        <f t="shared" si="64"/>
        <v>0</v>
      </c>
      <c r="AI484" s="252">
        <f t="shared" si="64"/>
        <v>0</v>
      </c>
      <c r="AJ484" s="252">
        <f t="shared" si="64"/>
        <v>0</v>
      </c>
      <c r="AK484" s="252">
        <f t="shared" si="64"/>
        <v>0</v>
      </c>
      <c r="AL484" s="252">
        <f t="shared" si="64"/>
        <v>0</v>
      </c>
    </row>
    <row r="485" spans="1:38" s="204" customFormat="1" x14ac:dyDescent="0.25">
      <c r="B485" s="298"/>
      <c r="C485" s="298"/>
      <c r="D485" s="226"/>
      <c r="E485" s="226"/>
      <c r="F485" s="226"/>
      <c r="G485" s="226"/>
      <c r="H485" s="227"/>
      <c r="I485" s="226"/>
      <c r="J485" s="226"/>
      <c r="K485" s="226"/>
      <c r="L485" s="241"/>
      <c r="M485" s="278"/>
      <c r="N485" s="279"/>
      <c r="O485" s="279"/>
      <c r="P485" s="297"/>
      <c r="Q485" s="211"/>
      <c r="R485" s="279"/>
      <c r="S485" s="279"/>
      <c r="T485" s="279"/>
      <c r="U485" s="279"/>
      <c r="V485" s="279"/>
      <c r="W485" s="279"/>
      <c r="X485" s="279"/>
      <c r="Y485" s="279"/>
      <c r="Z485" s="279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</row>
    <row r="486" spans="1:38" s="204" customFormat="1" ht="24.75" customHeight="1" x14ac:dyDescent="0.25">
      <c r="B486" s="293"/>
      <c r="C486" s="293"/>
      <c r="D486" s="230"/>
      <c r="E486" s="230"/>
      <c r="F486" s="230"/>
      <c r="G486" s="230"/>
      <c r="H486" s="231"/>
      <c r="I486" s="230"/>
      <c r="J486" s="230"/>
      <c r="K486" s="230"/>
      <c r="L486" s="332"/>
      <c r="M486" s="333"/>
      <c r="N486" s="334"/>
      <c r="O486" s="211"/>
      <c r="P486" s="211"/>
      <c r="Q486" s="211"/>
      <c r="R486" s="211"/>
      <c r="S486" s="902" t="s">
        <v>3495</v>
      </c>
      <c r="T486" s="902"/>
      <c r="U486" s="902"/>
      <c r="V486" s="335" t="s">
        <v>3496</v>
      </c>
      <c r="W486" s="336"/>
      <c r="X486" s="335" t="s">
        <v>3496</v>
      </c>
      <c r="Z486" s="211"/>
      <c r="AA486" s="211"/>
      <c r="AB486" s="285"/>
      <c r="AC486" s="211"/>
      <c r="AD486" s="211"/>
      <c r="AE486" s="904" t="str">
        <f>"VALORE NOMINALE DEI CREDITI AL 31/12/"&amp;Info!B3&amp;" PER ANNO DI FORMAZIONE"</f>
        <v>VALORE NOMINALE DEI CREDITI AL 31/12/2020 PER ANNO DI FORMAZIONE</v>
      </c>
      <c r="AF486" s="904"/>
      <c r="AG486" s="904"/>
      <c r="AH486" s="904"/>
      <c r="AI486" s="904"/>
      <c r="AJ486" s="905" t="str">
        <f>"VALORE NETTO DEI CREDITI AL 31/12/"&amp;Info!B3&amp;" PER SCADENZA"</f>
        <v>VALORE NETTO DEI CREDITI AL 31/12/2020 PER SCADENZA</v>
      </c>
      <c r="AK486" s="905"/>
      <c r="AL486" s="905"/>
    </row>
    <row r="487" spans="1:38" s="204" customFormat="1" ht="63.75" x14ac:dyDescent="0.25">
      <c r="B487" s="294" t="s">
        <v>2968</v>
      </c>
      <c r="C487" s="294" t="s">
        <v>2969</v>
      </c>
      <c r="D487" s="206" t="s">
        <v>72</v>
      </c>
      <c r="E487" s="206"/>
      <c r="F487" s="206"/>
      <c r="G487" s="207"/>
      <c r="H487" s="207"/>
      <c r="I487" s="207"/>
      <c r="J487" s="207" t="s">
        <v>2957</v>
      </c>
      <c r="K487" s="206" t="s">
        <v>82</v>
      </c>
      <c r="L487" s="261" t="s">
        <v>2970</v>
      </c>
      <c r="M487" s="260"/>
      <c r="N487" s="256" t="str">
        <f>N$15</f>
        <v>Valore netto al 31/12/2019</v>
      </c>
      <c r="O487" s="256" t="str">
        <f>O$15</f>
        <v>Valore netto al 31/12/2020</v>
      </c>
      <c r="P487" s="256" t="str">
        <f>P$15</f>
        <v>Variazione</v>
      </c>
      <c r="Q487" s="262" t="s">
        <v>2971</v>
      </c>
      <c r="R487" s="262" t="str">
        <f>"Valore iniziale LORDO al 31/12/"&amp;Info!B3-1</f>
        <v>Valore iniziale LORDO al 31/12/2019</v>
      </c>
      <c r="S487" s="337" t="s">
        <v>2972</v>
      </c>
      <c r="T487" s="337" t="s">
        <v>3497</v>
      </c>
      <c r="U487" s="337" t="s">
        <v>3495</v>
      </c>
      <c r="V487" s="338" t="s">
        <v>3498</v>
      </c>
      <c r="W487" s="262" t="s">
        <v>2975</v>
      </c>
      <c r="X487" s="338" t="s">
        <v>3499</v>
      </c>
      <c r="Y487" s="262" t="str">
        <f>"Valore finale LORDO al 31/12/"&amp;Info!B3</f>
        <v>Valore finale LORDO al 31/12/2020</v>
      </c>
      <c r="Z487" s="262" t="str">
        <f>"Fondo svalutazione crediti al 31/12/"&amp;Info!B3-1</f>
        <v>Fondo svalutazione crediti al 31/12/2019</v>
      </c>
      <c r="AA487" s="262" t="s">
        <v>3500</v>
      </c>
      <c r="AB487" s="262" t="s">
        <v>3501</v>
      </c>
      <c r="AC487" s="262" t="s">
        <v>3502</v>
      </c>
      <c r="AD487" s="262" t="str">
        <f>"Fondo svalutazione crediti al 31/12/"&amp;Info!B3</f>
        <v>Fondo svalutazione crediti al 31/12/2020</v>
      </c>
      <c r="AE487" s="339" t="s">
        <v>3503</v>
      </c>
      <c r="AF487" s="339" t="s">
        <v>3504</v>
      </c>
      <c r="AG487" s="339" t="s">
        <v>3505</v>
      </c>
      <c r="AH487" s="339" t="s">
        <v>3506</v>
      </c>
      <c r="AI487" s="339" t="s">
        <v>3507</v>
      </c>
      <c r="AJ487" s="340" t="s">
        <v>3508</v>
      </c>
      <c r="AK487" s="340" t="s">
        <v>3509</v>
      </c>
      <c r="AL487" s="340" t="s">
        <v>3510</v>
      </c>
    </row>
    <row r="488" spans="1:38" s="204" customFormat="1" x14ac:dyDescent="0.25">
      <c r="B488" s="246" t="s">
        <v>1068</v>
      </c>
      <c r="C488" s="287" t="s">
        <v>1069</v>
      </c>
      <c r="D488" s="274" t="s">
        <v>3511</v>
      </c>
      <c r="E488" s="274"/>
      <c r="F488" s="274"/>
      <c r="G488" s="283"/>
      <c r="H488" s="266"/>
      <c r="I488" s="274"/>
      <c r="J488" s="281"/>
      <c r="K488" s="281"/>
      <c r="L488" s="341" t="s">
        <v>1072</v>
      </c>
      <c r="M488" s="263" t="s">
        <v>2962</v>
      </c>
      <c r="N488" s="269">
        <f>+R488-Z488</f>
        <v>0</v>
      </c>
      <c r="O488" s="270">
        <f>+Y488-AD488</f>
        <v>0</v>
      </c>
      <c r="P488" s="271">
        <f>+O488-N488</f>
        <v>0</v>
      </c>
      <c r="Q488" s="520"/>
      <c r="R488" s="354">
        <f>IF(ISERROR(VLOOKUP("RIC"&amp;$C488,ESTR_PREC_SP!$A$2:$G$2000,4,FALSE))=TRUE,0,VLOOKUP("RIC"&amp;$C488,ESTR_PREC_SP!$A$2:$G$2000,4,FALSE))</f>
        <v>0</v>
      </c>
      <c r="S488" s="521"/>
      <c r="T488" s="520"/>
      <c r="U488" s="520"/>
      <c r="V488" s="520"/>
      <c r="W488" s="520"/>
      <c r="X488" s="520"/>
      <c r="Y488" s="269">
        <f>+R488+S488+T488+U488-V488-X488+W488+Q488</f>
        <v>0</v>
      </c>
      <c r="Z488" s="354">
        <f>IF(ISERROR(VLOOKUP("SAN"&amp;$C488,ESTR_PREC_SP!$A$2:$G$2000,5,FALSE))=TRUE,0,VLOOKUP("SAN"&amp;$C488,ESTR_PREC_SP!$A$2:$G$2000,5,FALSE))</f>
        <v>0</v>
      </c>
      <c r="AA488" s="520"/>
      <c r="AB488" s="520"/>
      <c r="AC488" s="520"/>
      <c r="AD488" s="269">
        <f>+Z488+AC488-AB488+AA488</f>
        <v>0</v>
      </c>
      <c r="AE488" s="520"/>
      <c r="AF488" s="520"/>
      <c r="AG488" s="520"/>
      <c r="AH488" s="520"/>
      <c r="AI488" s="526">
        <f>+Y488-SUM(AE488:AH488)</f>
        <v>0</v>
      </c>
      <c r="AJ488" s="526">
        <f>+Y488-AD488-AK488-AL488</f>
        <v>0</v>
      </c>
      <c r="AK488" s="520"/>
      <c r="AL488" s="520"/>
    </row>
    <row r="489" spans="1:38" s="204" customFormat="1" x14ac:dyDescent="0.25">
      <c r="B489" s="246" t="s">
        <v>1073</v>
      </c>
      <c r="C489" s="287" t="s">
        <v>1074</v>
      </c>
      <c r="D489" s="274" t="s">
        <v>3512</v>
      </c>
      <c r="E489" s="274"/>
      <c r="F489" s="274"/>
      <c r="G489" s="283"/>
      <c r="H489" s="266"/>
      <c r="I489" s="274"/>
      <c r="J489" s="281"/>
      <c r="K489" s="281"/>
      <c r="L489" s="341" t="s">
        <v>1077</v>
      </c>
      <c r="M489" s="263" t="s">
        <v>2962</v>
      </c>
      <c r="N489" s="269">
        <f>+R489-Z489</f>
        <v>0</v>
      </c>
      <c r="O489" s="270">
        <f>+Y489-AD489</f>
        <v>0</v>
      </c>
      <c r="P489" s="271">
        <f>+O489-N489</f>
        <v>0</v>
      </c>
      <c r="Q489" s="520"/>
      <c r="R489" s="354">
        <f>IF(ISERROR(VLOOKUP("RIC"&amp;$C489,ESTR_PREC_SP!$A$2:$G$2000,4,FALSE))=TRUE,0,VLOOKUP("RIC"&amp;$C489,ESTR_PREC_SP!$A$2:$G$2000,4,FALSE))</f>
        <v>0</v>
      </c>
      <c r="S489" s="521"/>
      <c r="T489" s="520"/>
      <c r="U489" s="520"/>
      <c r="V489" s="520"/>
      <c r="W489" s="520"/>
      <c r="X489" s="520"/>
      <c r="Y489" s="269">
        <f>+R489+S489+T489+U489-V489-X489+W489+Q489</f>
        <v>0</v>
      </c>
      <c r="Z489" s="354">
        <f>IF(ISERROR(VLOOKUP("SAN"&amp;$C489,ESTR_PREC_SP!$A$2:$G$2000,5,FALSE))=TRUE,0,VLOOKUP("SAN"&amp;$C489,ESTR_PREC_SP!$A$2:$G$2000,5,FALSE))</f>
        <v>0</v>
      </c>
      <c r="AA489" s="520"/>
      <c r="AB489" s="520"/>
      <c r="AC489" s="520"/>
      <c r="AD489" s="269">
        <f>+Z489+AC489-AB489+AA489</f>
        <v>0</v>
      </c>
      <c r="AE489" s="520"/>
      <c r="AF489" s="520"/>
      <c r="AG489" s="520"/>
      <c r="AH489" s="520"/>
      <c r="AI489" s="526">
        <f>+Y489-SUM(AE489:AH489)</f>
        <v>0</v>
      </c>
      <c r="AJ489" s="526">
        <f>+Y489-AD489-AK489-AL489</f>
        <v>0</v>
      </c>
      <c r="AK489" s="520"/>
      <c r="AL489" s="520"/>
    </row>
    <row r="490" spans="1:38" s="204" customFormat="1" x14ac:dyDescent="0.25">
      <c r="B490" s="246" t="s">
        <v>1078</v>
      </c>
      <c r="C490" s="287" t="s">
        <v>1079</v>
      </c>
      <c r="D490" s="274" t="s">
        <v>3513</v>
      </c>
      <c r="E490" s="274"/>
      <c r="F490" s="274"/>
      <c r="G490" s="283"/>
      <c r="H490" s="266"/>
      <c r="I490" s="274"/>
      <c r="J490" s="281"/>
      <c r="K490" s="281"/>
      <c r="L490" s="341" t="s">
        <v>1082</v>
      </c>
      <c r="M490" s="263" t="s">
        <v>2962</v>
      </c>
      <c r="N490" s="269">
        <f>+R490-Z490</f>
        <v>0</v>
      </c>
      <c r="O490" s="270">
        <f>+Y490-AD490</f>
        <v>0</v>
      </c>
      <c r="P490" s="271">
        <f>+O490-N490</f>
        <v>0</v>
      </c>
      <c r="Q490" s="520"/>
      <c r="R490" s="354">
        <f>IF(ISERROR(VLOOKUP("RIC"&amp;$C490,ESTR_PREC_SP!$A$2:$G$2000,4,FALSE))=TRUE,0,VLOOKUP("RIC"&amp;$C490,ESTR_PREC_SP!$A$2:$G$2000,4,FALSE))</f>
        <v>0</v>
      </c>
      <c r="S490" s="521"/>
      <c r="T490" s="520"/>
      <c r="U490" s="520"/>
      <c r="V490" s="520"/>
      <c r="W490" s="520"/>
      <c r="X490" s="520"/>
      <c r="Y490" s="269">
        <f>+R490+S490+T490+U490-V490-X490+W490+Q490</f>
        <v>0</v>
      </c>
      <c r="Z490" s="354">
        <f>IF(ISERROR(VLOOKUP("SAN"&amp;$C490,ESTR_PREC_SP!$A$2:$G$2000,5,FALSE))=TRUE,0,VLOOKUP("SAN"&amp;$C490,ESTR_PREC_SP!$A$2:$G$2000,5,FALSE))</f>
        <v>0</v>
      </c>
      <c r="AA490" s="520"/>
      <c r="AB490" s="520"/>
      <c r="AC490" s="520"/>
      <c r="AD490" s="269">
        <f>+Z490+AC490-AB490+AA490</f>
        <v>0</v>
      </c>
      <c r="AE490" s="520"/>
      <c r="AF490" s="520"/>
      <c r="AG490" s="520"/>
      <c r="AH490" s="520"/>
      <c r="AI490" s="526">
        <f>+Y490-SUM(AE490:AH490)</f>
        <v>0</v>
      </c>
      <c r="AJ490" s="526">
        <f>+Y490-AD490-AK490-AL490</f>
        <v>0</v>
      </c>
      <c r="AK490" s="520"/>
      <c r="AL490" s="520"/>
    </row>
    <row r="491" spans="1:38" s="204" customFormat="1" x14ac:dyDescent="0.25">
      <c r="B491" s="246" t="s">
        <v>1083</v>
      </c>
      <c r="C491" s="287" t="s">
        <v>1084</v>
      </c>
      <c r="D491" s="274" t="s">
        <v>3514</v>
      </c>
      <c r="E491" s="274"/>
      <c r="F491" s="274"/>
      <c r="G491" s="283"/>
      <c r="H491" s="266"/>
      <c r="I491" s="274"/>
      <c r="J491" s="281"/>
      <c r="K491" s="281"/>
      <c r="L491" s="341" t="s">
        <v>1087</v>
      </c>
      <c r="M491" s="284" t="s">
        <v>2962</v>
      </c>
      <c r="N491" s="269">
        <f>+R491-Z491</f>
        <v>0</v>
      </c>
      <c r="O491" s="270">
        <f>+Y491-AD491</f>
        <v>0</v>
      </c>
      <c r="P491" s="271">
        <f>+O491-N491</f>
        <v>0</v>
      </c>
      <c r="Q491" s="520"/>
      <c r="R491" s="354">
        <f>IF(ISERROR(VLOOKUP("RIC"&amp;$C491,ESTR_PREC_SP!$A$2:$G$2000,4,FALSE))=TRUE,0,VLOOKUP("RIC"&amp;$C491,ESTR_PREC_SP!$A$2:$G$2000,4,FALSE))</f>
        <v>0</v>
      </c>
      <c r="S491" s="521"/>
      <c r="T491" s="527"/>
      <c r="U491" s="520"/>
      <c r="V491" s="520"/>
      <c r="W491" s="520"/>
      <c r="X491" s="520"/>
      <c r="Y491" s="269">
        <f>+R491+S491+T491+U491-V491-X491+W491+Q491</f>
        <v>0</v>
      </c>
      <c r="Z491" s="354">
        <f>IF(ISERROR(VLOOKUP("SAN"&amp;$C491,ESTR_PREC_SP!$A$2:$G$2000,5,FALSE))=TRUE,0,VLOOKUP("SAN"&amp;$C491,ESTR_PREC_SP!$A$2:$G$2000,5,FALSE))</f>
        <v>0</v>
      </c>
      <c r="AA491" s="520"/>
      <c r="AB491" s="520"/>
      <c r="AC491" s="520"/>
      <c r="AD491" s="269">
        <f>+Z491+AC491-AB491+AA491</f>
        <v>0</v>
      </c>
      <c r="AE491" s="520"/>
      <c r="AF491" s="520"/>
      <c r="AG491" s="520"/>
      <c r="AH491" s="520"/>
      <c r="AI491" s="526">
        <f>+Y491-SUM(AE491:AH491)</f>
        <v>0</v>
      </c>
      <c r="AJ491" s="526">
        <f>+Y491-AD491-AK491-AL491</f>
        <v>0</v>
      </c>
      <c r="AK491" s="520"/>
      <c r="AL491" s="520"/>
    </row>
    <row r="492" spans="1:38" s="343" customFormat="1" x14ac:dyDescent="0.25">
      <c r="A492" s="204"/>
      <c r="B492" s="293"/>
      <c r="C492" s="293"/>
      <c r="D492" s="293"/>
      <c r="E492" s="293"/>
      <c r="F492" s="293"/>
      <c r="G492" s="293"/>
      <c r="H492" s="319"/>
      <c r="I492" s="293"/>
      <c r="J492" s="293"/>
      <c r="K492" s="293"/>
      <c r="L492" s="323"/>
      <c r="M492" s="298"/>
      <c r="N492" s="342"/>
      <c r="O492" s="342"/>
      <c r="P492" s="342"/>
      <c r="Q492" s="289"/>
      <c r="R492" s="342"/>
      <c r="S492" s="289"/>
      <c r="T492" s="342"/>
      <c r="U492" s="342"/>
      <c r="V492" s="342"/>
      <c r="W492" s="289"/>
      <c r="X492" s="289"/>
      <c r="Y492" s="289"/>
      <c r="Z492" s="289"/>
      <c r="AA492" s="289"/>
    </row>
    <row r="493" spans="1:38" s="204" customFormat="1" x14ac:dyDescent="0.25">
      <c r="B493" s="246" t="s">
        <v>1088</v>
      </c>
      <c r="C493" s="292" t="s">
        <v>1089</v>
      </c>
      <c r="D493" s="247" t="s">
        <v>3515</v>
      </c>
      <c r="E493" s="247"/>
      <c r="F493" s="247"/>
      <c r="G493" s="247"/>
      <c r="H493" s="248"/>
      <c r="I493" s="247"/>
      <c r="J493" s="247"/>
      <c r="K493" s="249"/>
      <c r="L493" s="276" t="s">
        <v>1091</v>
      </c>
      <c r="M493" s="251" t="s">
        <v>2962</v>
      </c>
      <c r="N493" s="252">
        <f>+N495+N504</f>
        <v>0</v>
      </c>
      <c r="O493" s="252">
        <f>+O495+O504</f>
        <v>0</v>
      </c>
      <c r="P493" s="259">
        <f>+O493-N493</f>
        <v>0</v>
      </c>
      <c r="Q493" s="252">
        <f>+Q495+Q504</f>
        <v>0</v>
      </c>
      <c r="R493" s="252">
        <f>+R495+R504</f>
        <v>0</v>
      </c>
      <c r="S493" s="252">
        <f>+S495+S504</f>
        <v>0</v>
      </c>
      <c r="T493" s="252">
        <f>+T495+T504</f>
        <v>0</v>
      </c>
      <c r="U493" s="252"/>
      <c r="V493" s="252">
        <f t="shared" ref="V493:AC493" si="65">+V495+V504</f>
        <v>0</v>
      </c>
      <c r="W493" s="252">
        <f t="shared" si="65"/>
        <v>0</v>
      </c>
      <c r="X493" s="252">
        <f t="shared" si="65"/>
        <v>0</v>
      </c>
      <c r="Y493" s="252">
        <f t="shared" si="65"/>
        <v>0</v>
      </c>
      <c r="Z493" s="252">
        <f t="shared" si="65"/>
        <v>0</v>
      </c>
      <c r="AA493" s="252">
        <f t="shared" si="65"/>
        <v>0</v>
      </c>
      <c r="AB493" s="252">
        <f t="shared" si="65"/>
        <v>0</v>
      </c>
      <c r="AC493" s="252">
        <f t="shared" si="65"/>
        <v>0</v>
      </c>
    </row>
    <row r="494" spans="1:38" s="204" customFormat="1" x14ac:dyDescent="0.25">
      <c r="B494" s="298"/>
      <c r="C494" s="298"/>
      <c r="D494" s="226"/>
      <c r="E494" s="226"/>
      <c r="F494" s="226"/>
      <c r="G494" s="226"/>
      <c r="H494" s="227"/>
      <c r="I494" s="226"/>
      <c r="J494" s="226"/>
      <c r="K494" s="226"/>
      <c r="L494" s="241"/>
      <c r="M494" s="278"/>
      <c r="N494" s="279"/>
      <c r="O494" s="279"/>
      <c r="P494" s="297"/>
      <c r="Q494" s="211"/>
      <c r="R494" s="279"/>
      <c r="S494" s="279"/>
      <c r="T494" s="279"/>
      <c r="U494" s="279"/>
      <c r="V494" s="279"/>
      <c r="W494" s="211"/>
      <c r="X494" s="211"/>
      <c r="Y494" s="211"/>
      <c r="Z494" s="211"/>
      <c r="AA494" s="211"/>
    </row>
    <row r="495" spans="1:38" s="204" customFormat="1" x14ac:dyDescent="0.25">
      <c r="B495" s="246" t="s">
        <v>1092</v>
      </c>
      <c r="C495" s="292" t="s">
        <v>1093</v>
      </c>
      <c r="D495" s="247" t="s">
        <v>3516</v>
      </c>
      <c r="E495" s="247"/>
      <c r="F495" s="247"/>
      <c r="G495" s="247"/>
      <c r="H495" s="248"/>
      <c r="I495" s="247"/>
      <c r="J495" s="247"/>
      <c r="K495" s="249"/>
      <c r="L495" s="276" t="s">
        <v>1096</v>
      </c>
      <c r="M495" s="251" t="s">
        <v>2962</v>
      </c>
      <c r="N495" s="252">
        <f>SUM(N498:N500)</f>
        <v>0</v>
      </c>
      <c r="O495" s="252">
        <f>SUM(O498:O500)</f>
        <v>0</v>
      </c>
      <c r="P495" s="259">
        <f>+O495-N495</f>
        <v>0</v>
      </c>
      <c r="Q495" s="252">
        <f>SUM(Q498:Q500)</f>
        <v>0</v>
      </c>
      <c r="R495" s="252">
        <f>SUM(R498:R500)</f>
        <v>0</v>
      </c>
      <c r="S495" s="252">
        <f>SUM(S498:S500)</f>
        <v>0</v>
      </c>
      <c r="T495" s="252">
        <f>SUM(T498:T500)</f>
        <v>0</v>
      </c>
      <c r="U495" s="252"/>
      <c r="V495" s="252">
        <f t="shared" ref="V495:AC495" si="66">SUM(V498:V500)</f>
        <v>0</v>
      </c>
      <c r="W495" s="252">
        <f t="shared" si="66"/>
        <v>0</v>
      </c>
      <c r="X495" s="252">
        <f t="shared" si="66"/>
        <v>0</v>
      </c>
      <c r="Y495" s="252">
        <f t="shared" si="66"/>
        <v>0</v>
      </c>
      <c r="Z495" s="252">
        <f t="shared" si="66"/>
        <v>0</v>
      </c>
      <c r="AA495" s="252">
        <f t="shared" si="66"/>
        <v>0</v>
      </c>
      <c r="AB495" s="252">
        <f t="shared" si="66"/>
        <v>0</v>
      </c>
      <c r="AC495" s="252">
        <f t="shared" si="66"/>
        <v>0</v>
      </c>
    </row>
    <row r="496" spans="1:38" s="204" customFormat="1" x14ac:dyDescent="0.25">
      <c r="B496" s="298"/>
      <c r="C496" s="298"/>
      <c r="D496" s="226"/>
      <c r="E496" s="226"/>
      <c r="F496" s="226"/>
      <c r="G496" s="226"/>
      <c r="H496" s="227"/>
      <c r="I496" s="226"/>
      <c r="J496" s="226"/>
      <c r="K496" s="226"/>
      <c r="L496" s="241"/>
      <c r="M496" s="278"/>
      <c r="N496" s="279"/>
      <c r="O496" s="279"/>
      <c r="P496" s="297"/>
      <c r="Q496" s="211"/>
      <c r="R496" s="279"/>
      <c r="S496" s="279"/>
      <c r="T496" s="279"/>
      <c r="U496" s="279"/>
      <c r="V496" s="279"/>
      <c r="W496" s="211"/>
      <c r="X496" s="211"/>
      <c r="Y496" s="211"/>
      <c r="Z496" s="211"/>
      <c r="AA496" s="211"/>
    </row>
    <row r="497" spans="2:31" s="204" customFormat="1" ht="63.75" x14ac:dyDescent="0.25">
      <c r="B497" s="294" t="s">
        <v>2968</v>
      </c>
      <c r="C497" s="294" t="s">
        <v>2969</v>
      </c>
      <c r="D497" s="206" t="s">
        <v>72</v>
      </c>
      <c r="E497" s="206"/>
      <c r="F497" s="206"/>
      <c r="G497" s="207"/>
      <c r="H497" s="207"/>
      <c r="I497" s="207"/>
      <c r="J497" s="207" t="s">
        <v>2957</v>
      </c>
      <c r="K497" s="206" t="s">
        <v>82</v>
      </c>
      <c r="L497" s="261" t="s">
        <v>2970</v>
      </c>
      <c r="M497" s="280"/>
      <c r="N497" s="256" t="str">
        <f>N$15</f>
        <v>Valore netto al 31/12/2019</v>
      </c>
      <c r="O497" s="256" t="str">
        <f>O$15</f>
        <v>Valore netto al 31/12/2020</v>
      </c>
      <c r="P497" s="256" t="str">
        <f>P$15</f>
        <v>Variazione</v>
      </c>
      <c r="Q497" s="262" t="s">
        <v>2971</v>
      </c>
      <c r="R497" s="346" t="str">
        <f>"Costo storico al 31/12/"&amp;Info!$B$3-1</f>
        <v>Costo storico al 31/12/2019</v>
      </c>
      <c r="S497" s="346" t="s">
        <v>2972</v>
      </c>
      <c r="T497" s="346" t="s">
        <v>2973</v>
      </c>
      <c r="U497" s="346" t="s">
        <v>2974</v>
      </c>
      <c r="V497" s="346" t="s">
        <v>3517</v>
      </c>
      <c r="W497" s="262" t="s">
        <v>2975</v>
      </c>
      <c r="X497" s="346" t="s">
        <v>2976</v>
      </c>
      <c r="Y497" s="346" t="s">
        <v>3518</v>
      </c>
      <c r="Z497" s="346" t="s">
        <v>2979</v>
      </c>
      <c r="AA497" s="346" t="s">
        <v>3519</v>
      </c>
      <c r="AB497" s="346" t="s">
        <v>2983</v>
      </c>
      <c r="AC497" s="346" t="s">
        <v>3520</v>
      </c>
      <c r="AE497" s="528" t="s">
        <v>4176</v>
      </c>
    </row>
    <row r="498" spans="2:31" s="204" customFormat="1" ht="15" customHeight="1" x14ac:dyDescent="0.25">
      <c r="B498" s="246" t="s">
        <v>1097</v>
      </c>
      <c r="C498" s="287" t="s">
        <v>1098</v>
      </c>
      <c r="D498" s="274" t="s">
        <v>3521</v>
      </c>
      <c r="E498" s="274"/>
      <c r="F498" s="274"/>
      <c r="G498" s="283"/>
      <c r="H498" s="266"/>
      <c r="I498" s="274"/>
      <c r="J498" s="281"/>
      <c r="K498" s="281"/>
      <c r="L498" s="282" t="s">
        <v>3522</v>
      </c>
      <c r="M498" s="263" t="s">
        <v>2962</v>
      </c>
      <c r="N498" s="270">
        <f>+V498</f>
        <v>0</v>
      </c>
      <c r="O498" s="270">
        <f>+AC498</f>
        <v>0</v>
      </c>
      <c r="P498" s="271">
        <f>+O498-N498</f>
        <v>0</v>
      </c>
      <c r="Q498" s="520"/>
      <c r="R498" s="354">
        <f>IF(ISERROR(VLOOKUP("RIC"&amp;$C498,ESTR_PREC_SP!$A$2:$G$2000,4,FALSE))=TRUE,0,VLOOKUP("RIC"&amp;$C498,ESTR_PREC_SP!$A$2:$G$2000,4,FALSE))</f>
        <v>0</v>
      </c>
      <c r="S498" s="521"/>
      <c r="T498" s="521"/>
      <c r="U498" s="521"/>
      <c r="V498" s="526">
        <f>+R498+S498-T498</f>
        <v>0</v>
      </c>
      <c r="W498" s="520"/>
      <c r="X498" s="529">
        <f>+Dettaglio_SP_Ric!I184</f>
        <v>0</v>
      </c>
      <c r="Y498" s="529">
        <f>+Dettaglio_SP_Ric!J184</f>
        <v>0</v>
      </c>
      <c r="Z498" s="529">
        <f>+Dettaglio_SP_Ric!K184</f>
        <v>0</v>
      </c>
      <c r="AA498" s="529">
        <f>+Dettaglio_SP_Ric!L184</f>
        <v>0</v>
      </c>
      <c r="AB498" s="529">
        <f>+Dettaglio_SP_Ric!M184</f>
        <v>0</v>
      </c>
      <c r="AC498" s="526">
        <f>+V498+X498+Y498-Z498+AA498-AB498+W498+Q498</f>
        <v>0</v>
      </c>
      <c r="AE498" s="530" t="str">
        <f>IF(R498&lt;&gt;Dettaglio_SP_Ric!E184,R498-Dettaglio_SP_Ric!E184,"OK")</f>
        <v>OK</v>
      </c>
    </row>
    <row r="499" spans="2:31" s="204" customFormat="1" x14ac:dyDescent="0.25">
      <c r="B499" s="246" t="s">
        <v>1100</v>
      </c>
      <c r="C499" s="287" t="s">
        <v>1101</v>
      </c>
      <c r="D499" s="274" t="s">
        <v>3523</v>
      </c>
      <c r="E499" s="274"/>
      <c r="F499" s="274"/>
      <c r="G499" s="283"/>
      <c r="H499" s="266"/>
      <c r="I499" s="274"/>
      <c r="J499" s="281"/>
      <c r="K499" s="281"/>
      <c r="L499" s="282" t="s">
        <v>3524</v>
      </c>
      <c r="M499" s="263" t="s">
        <v>2962</v>
      </c>
      <c r="N499" s="270">
        <f>+V499</f>
        <v>0</v>
      </c>
      <c r="O499" s="270">
        <f>+AC499</f>
        <v>0</v>
      </c>
      <c r="P499" s="271">
        <f>+O499-N499</f>
        <v>0</v>
      </c>
      <c r="Q499" s="520"/>
      <c r="R499" s="354">
        <f>IF(ISERROR(VLOOKUP("RIC"&amp;$C499,ESTR_PREC_SP!$A$2:$G$2000,4,FALSE))=TRUE,0,VLOOKUP("RIC"&amp;$C499,ESTR_PREC_SP!$A$2:$G$2000,4,FALSE))</f>
        <v>0</v>
      </c>
      <c r="S499" s="521"/>
      <c r="T499" s="521"/>
      <c r="U499" s="521"/>
      <c r="V499" s="526">
        <f>+R499+S499-T499</f>
        <v>0</v>
      </c>
      <c r="W499" s="520"/>
      <c r="X499" s="529">
        <f>+Dettaglio_SP_Ric!I197</f>
        <v>0</v>
      </c>
      <c r="Y499" s="529">
        <f>+Dettaglio_SP_Ric!J197</f>
        <v>0</v>
      </c>
      <c r="Z499" s="529">
        <f>+Dettaglio_SP_Ric!K197</f>
        <v>0</v>
      </c>
      <c r="AA499" s="529">
        <f>+Dettaglio_SP_Ric!L197</f>
        <v>0</v>
      </c>
      <c r="AB499" s="529">
        <f>+Dettaglio_SP_Ric!M197</f>
        <v>0</v>
      </c>
      <c r="AC499" s="526">
        <f>+V499+X499+Y499-Z499+AA499-AB499+W499+Q499</f>
        <v>0</v>
      </c>
      <c r="AE499" s="530" t="str">
        <f>IF(R499&lt;&gt;Dettaglio_SP_Ric!E197,R499-Dettaglio_SP_Ric!E197,"OK")</f>
        <v>OK</v>
      </c>
    </row>
    <row r="500" spans="2:31" s="204" customFormat="1" x14ac:dyDescent="0.25">
      <c r="B500" s="246" t="s">
        <v>1103</v>
      </c>
      <c r="C500" s="287" t="s">
        <v>1104</v>
      </c>
      <c r="D500" s="274" t="s">
        <v>3525</v>
      </c>
      <c r="E500" s="274"/>
      <c r="F500" s="274"/>
      <c r="G500" s="283"/>
      <c r="H500" s="266"/>
      <c r="I500" s="274"/>
      <c r="J500" s="281"/>
      <c r="K500" s="281"/>
      <c r="L500" s="282" t="s">
        <v>3526</v>
      </c>
      <c r="M500" s="284" t="s">
        <v>2962</v>
      </c>
      <c r="N500" s="270">
        <f>+V500</f>
        <v>0</v>
      </c>
      <c r="O500" s="270">
        <f>+AC500</f>
        <v>0</v>
      </c>
      <c r="P500" s="271">
        <f>+O500-N500</f>
        <v>0</v>
      </c>
      <c r="Q500" s="520"/>
      <c r="R500" s="354">
        <f>IF(ISERROR(VLOOKUP("RIC"&amp;$C500,ESTR_PREC_SP!$A$2:$G$2000,4,FALSE))=TRUE,0,VLOOKUP("RIC"&amp;$C500,ESTR_PREC_SP!$A$2:$G$2000,4,FALSE))</f>
        <v>0</v>
      </c>
      <c r="S500" s="521"/>
      <c r="T500" s="521"/>
      <c r="U500" s="521"/>
      <c r="V500" s="526">
        <f>+R500+S500-T500</f>
        <v>0</v>
      </c>
      <c r="W500" s="520"/>
      <c r="X500" s="529">
        <f>+Dettaglio_SP_Ric!I210</f>
        <v>0</v>
      </c>
      <c r="Y500" s="529">
        <f>+Dettaglio_SP_Ric!J210</f>
        <v>0</v>
      </c>
      <c r="Z500" s="529">
        <f>+Dettaglio_SP_Ric!K210</f>
        <v>0</v>
      </c>
      <c r="AA500" s="529">
        <f>+Dettaglio_SP_Ric!L210</f>
        <v>0</v>
      </c>
      <c r="AB500" s="529">
        <f>+Dettaglio_SP_Ric!M210</f>
        <v>0</v>
      </c>
      <c r="AC500" s="526">
        <f>+V500+X500+Y500-Z500+AA500-AB500+W500+Q500</f>
        <v>0</v>
      </c>
      <c r="AE500" s="531" t="str">
        <f>IF(R500&lt;&gt;Dettaglio_SP_Ric!E210,R500-Dettaglio_SP_Ric!E210,"OK")</f>
        <v>OK</v>
      </c>
    </row>
    <row r="501" spans="2:31" s="204" customFormat="1" x14ac:dyDescent="0.25">
      <c r="B501" s="298"/>
      <c r="C501" s="298"/>
      <c r="D501" s="226"/>
      <c r="E501" s="226"/>
      <c r="F501" s="226"/>
      <c r="G501" s="226"/>
      <c r="H501" s="227"/>
      <c r="I501" s="226"/>
      <c r="J501" s="226"/>
      <c r="K501" s="226"/>
      <c r="L501" s="344" t="s">
        <v>3527</v>
      </c>
      <c r="M501" s="278"/>
      <c r="N501" s="279"/>
      <c r="O501" s="279"/>
      <c r="P501" s="297"/>
      <c r="Q501" s="211"/>
      <c r="R501" s="279"/>
      <c r="S501" s="279"/>
      <c r="T501" s="279"/>
      <c r="U501" s="279"/>
      <c r="V501" s="279"/>
      <c r="W501" s="211"/>
      <c r="X501" s="211"/>
      <c r="Y501" s="211"/>
      <c r="Z501" s="211"/>
      <c r="AA501" s="211"/>
    </row>
    <row r="502" spans="2:31" s="204" customFormat="1" x14ac:dyDescent="0.25">
      <c r="B502" s="298"/>
      <c r="C502" s="298"/>
      <c r="D502" s="226"/>
      <c r="E502" s="226"/>
      <c r="F502" s="226"/>
      <c r="G502" s="226"/>
      <c r="H502" s="227"/>
      <c r="I502" s="226"/>
      <c r="J502" s="226"/>
      <c r="K502" s="226"/>
      <c r="L502" s="241"/>
      <c r="M502" s="278"/>
      <c r="N502" s="279"/>
      <c r="O502" s="279"/>
      <c r="P502" s="297"/>
      <c r="Q502" s="211"/>
      <c r="R502" s="279"/>
      <c r="S502" s="279"/>
      <c r="T502" s="279"/>
      <c r="U502" s="279"/>
      <c r="V502" s="279"/>
      <c r="W502" s="211"/>
      <c r="X502" s="211"/>
      <c r="Y502" s="211"/>
      <c r="Z502" s="211"/>
      <c r="AA502" s="211"/>
    </row>
    <row r="503" spans="2:31" s="204" customFormat="1" x14ac:dyDescent="0.25">
      <c r="B503" s="298"/>
      <c r="C503" s="298"/>
      <c r="D503" s="226"/>
      <c r="E503" s="226"/>
      <c r="F503" s="226"/>
      <c r="G503" s="226"/>
      <c r="H503" s="227"/>
      <c r="I503" s="226"/>
      <c r="J503" s="226"/>
      <c r="K503" s="226"/>
      <c r="L503" s="241"/>
      <c r="M503" s="278"/>
      <c r="N503" s="279"/>
      <c r="O503" s="279"/>
      <c r="P503" s="297"/>
      <c r="Q503" s="211"/>
      <c r="R503" s="279"/>
      <c r="S503" s="279"/>
      <c r="T503" s="279"/>
      <c r="U503" s="279"/>
      <c r="V503" s="279"/>
      <c r="W503" s="211"/>
      <c r="X503" s="211"/>
      <c r="Y503" s="211"/>
      <c r="Z503" s="211"/>
      <c r="AA503" s="211"/>
    </row>
    <row r="504" spans="2:31" s="204" customFormat="1" x14ac:dyDescent="0.25">
      <c r="B504" s="246" t="s">
        <v>1106</v>
      </c>
      <c r="C504" s="292" t="s">
        <v>1107</v>
      </c>
      <c r="D504" s="247" t="s">
        <v>3528</v>
      </c>
      <c r="E504" s="247"/>
      <c r="F504" s="247"/>
      <c r="G504" s="247"/>
      <c r="H504" s="248"/>
      <c r="I504" s="247"/>
      <c r="J504" s="247"/>
      <c r="K504" s="249"/>
      <c r="L504" s="276" t="s">
        <v>1109</v>
      </c>
      <c r="M504" s="251" t="s">
        <v>2962</v>
      </c>
      <c r="N504" s="252">
        <f>SUM(N507:N510)</f>
        <v>0</v>
      </c>
      <c r="O504" s="252">
        <f>SUM(O507:O510)</f>
        <v>0</v>
      </c>
      <c r="P504" s="259">
        <f>+O504-N504</f>
        <v>0</v>
      </c>
      <c r="Q504" s="252">
        <f>SUM(Q507:Q510)</f>
        <v>0</v>
      </c>
      <c r="R504" s="252">
        <f>SUM(R507:R510)</f>
        <v>0</v>
      </c>
      <c r="S504" s="252">
        <f>SUM(S507:S510)</f>
        <v>0</v>
      </c>
      <c r="T504" s="252">
        <f>SUM(T507:T510)</f>
        <v>0</v>
      </c>
      <c r="U504" s="252"/>
      <c r="V504" s="252">
        <f t="shared" ref="V504:AC504" si="67">SUM(V507:V510)</f>
        <v>0</v>
      </c>
      <c r="W504" s="252">
        <f t="shared" si="67"/>
        <v>0</v>
      </c>
      <c r="X504" s="252">
        <f t="shared" si="67"/>
        <v>0</v>
      </c>
      <c r="Y504" s="252">
        <f t="shared" si="67"/>
        <v>0</v>
      </c>
      <c r="Z504" s="252">
        <f t="shared" si="67"/>
        <v>0</v>
      </c>
      <c r="AA504" s="252">
        <f t="shared" si="67"/>
        <v>0</v>
      </c>
      <c r="AB504" s="252">
        <f t="shared" si="67"/>
        <v>0</v>
      </c>
      <c r="AC504" s="252">
        <f t="shared" si="67"/>
        <v>0</v>
      </c>
    </row>
    <row r="505" spans="2:31" s="204" customFormat="1" x14ac:dyDescent="0.25">
      <c r="B505" s="298"/>
      <c r="C505" s="298"/>
      <c r="D505" s="226"/>
      <c r="E505" s="226"/>
      <c r="F505" s="226"/>
      <c r="G505" s="226"/>
      <c r="H505" s="227"/>
      <c r="I505" s="226"/>
      <c r="J505" s="226"/>
      <c r="K505" s="226"/>
      <c r="L505" s="241"/>
      <c r="M505" s="278"/>
      <c r="N505" s="279"/>
      <c r="O505" s="279"/>
      <c r="P505" s="297"/>
      <c r="Q505" s="211"/>
      <c r="R505" s="279"/>
      <c r="S505" s="279"/>
      <c r="T505" s="279"/>
      <c r="U505" s="279"/>
      <c r="V505" s="279"/>
      <c r="W505" s="211"/>
      <c r="X505" s="211"/>
      <c r="Y505" s="211"/>
      <c r="Z505" s="211"/>
      <c r="AA505" s="211"/>
    </row>
    <row r="506" spans="2:31" s="204" customFormat="1" ht="63.75" x14ac:dyDescent="0.25">
      <c r="B506" s="294" t="s">
        <v>2968</v>
      </c>
      <c r="C506" s="294" t="s">
        <v>2969</v>
      </c>
      <c r="D506" s="206" t="s">
        <v>72</v>
      </c>
      <c r="E506" s="206"/>
      <c r="F506" s="206"/>
      <c r="G506" s="207"/>
      <c r="H506" s="207"/>
      <c r="I506" s="207"/>
      <c r="J506" s="207" t="s">
        <v>2957</v>
      </c>
      <c r="K506" s="206" t="s">
        <v>82</v>
      </c>
      <c r="L506" s="261" t="s">
        <v>2970</v>
      </c>
      <c r="M506" s="280"/>
      <c r="N506" s="256" t="str">
        <f>N$15</f>
        <v>Valore netto al 31/12/2019</v>
      </c>
      <c r="O506" s="256" t="str">
        <f>O$15</f>
        <v>Valore netto al 31/12/2020</v>
      </c>
      <c r="P506" s="256" t="str">
        <f>P$15</f>
        <v>Variazione</v>
      </c>
      <c r="Q506" s="262" t="s">
        <v>2971</v>
      </c>
      <c r="R506" s="346" t="str">
        <f>"Costo storico al 31/12/"&amp;Info!$B$3-1</f>
        <v>Costo storico al 31/12/2019</v>
      </c>
      <c r="S506" s="346" t="s">
        <v>2972</v>
      </c>
      <c r="T506" s="346" t="s">
        <v>2973</v>
      </c>
      <c r="U506" s="346" t="s">
        <v>2974</v>
      </c>
      <c r="V506" s="346" t="s">
        <v>3517</v>
      </c>
      <c r="W506" s="262" t="s">
        <v>2975</v>
      </c>
      <c r="X506" s="346" t="s">
        <v>2976</v>
      </c>
      <c r="Y506" s="346" t="s">
        <v>3518</v>
      </c>
      <c r="Z506" s="346" t="s">
        <v>2979</v>
      </c>
      <c r="AA506" s="346" t="s">
        <v>3519</v>
      </c>
      <c r="AB506" s="346" t="s">
        <v>2983</v>
      </c>
      <c r="AC506" s="346" t="s">
        <v>3520</v>
      </c>
    </row>
    <row r="507" spans="2:31" s="204" customFormat="1" x14ac:dyDescent="0.25">
      <c r="B507" s="246" t="s">
        <v>1110</v>
      </c>
      <c r="C507" s="287" t="s">
        <v>1111</v>
      </c>
      <c r="D507" s="274" t="s">
        <v>3529</v>
      </c>
      <c r="E507" s="274"/>
      <c r="F507" s="274"/>
      <c r="G507" s="283"/>
      <c r="H507" s="266"/>
      <c r="I507" s="274"/>
      <c r="J507" s="281"/>
      <c r="K507" s="281"/>
      <c r="L507" s="282" t="s">
        <v>1113</v>
      </c>
      <c r="M507" s="284" t="s">
        <v>2962</v>
      </c>
      <c r="N507" s="270">
        <f>+V507</f>
        <v>0</v>
      </c>
      <c r="O507" s="270">
        <f>+AC507</f>
        <v>0</v>
      </c>
      <c r="P507" s="271">
        <f>+O507-N507</f>
        <v>0</v>
      </c>
      <c r="Q507" s="527"/>
      <c r="R507" s="354">
        <f>IF(ISERROR(VLOOKUP("RIC"&amp;$C507,ESTR_PREC_SP!$A$2:$G$2000,4,FALSE))=TRUE,0,VLOOKUP("RIC"&amp;$C507,ESTR_PREC_SP!$A$2:$G$2000,4,FALSE))</f>
        <v>0</v>
      </c>
      <c r="S507" s="521"/>
      <c r="T507" s="527"/>
      <c r="U507" s="527"/>
      <c r="V507" s="526">
        <f>+R507+S507-T507</f>
        <v>0</v>
      </c>
      <c r="W507" s="527"/>
      <c r="X507" s="527"/>
      <c r="Y507" s="527"/>
      <c r="Z507" s="527"/>
      <c r="AA507" s="527"/>
      <c r="AB507" s="527"/>
      <c r="AC507" s="526">
        <f>+V507+X507+Y507-Z507+AA507-AB507+W507+Q507</f>
        <v>0</v>
      </c>
    </row>
    <row r="508" spans="2:31" s="204" customFormat="1" x14ac:dyDescent="0.25">
      <c r="B508" s="246" t="s">
        <v>1114</v>
      </c>
      <c r="C508" s="287" t="s">
        <v>1115</v>
      </c>
      <c r="D508" s="274" t="s">
        <v>3530</v>
      </c>
      <c r="E508" s="274"/>
      <c r="F508" s="274"/>
      <c r="G508" s="283"/>
      <c r="H508" s="266"/>
      <c r="I508" s="274"/>
      <c r="J508" s="281"/>
      <c r="K508" s="281"/>
      <c r="L508" s="295" t="s">
        <v>1117</v>
      </c>
      <c r="M508" s="284" t="s">
        <v>2962</v>
      </c>
      <c r="N508" s="270">
        <f>+V508</f>
        <v>0</v>
      </c>
      <c r="O508" s="270">
        <f>+AC508</f>
        <v>0</v>
      </c>
      <c r="P508" s="271">
        <f>+O508-N508</f>
        <v>0</v>
      </c>
      <c r="Q508" s="527"/>
      <c r="R508" s="354">
        <f>IF(ISERROR(VLOOKUP("RIC"&amp;$C508,ESTR_PREC_SP!$A$2:$G$2000,4,FALSE))=TRUE,0,VLOOKUP("RIC"&amp;$C508,ESTR_PREC_SP!$A$2:$G$2000,4,FALSE))</f>
        <v>0</v>
      </c>
      <c r="S508" s="521"/>
      <c r="T508" s="527"/>
      <c r="U508" s="527"/>
      <c r="V508" s="526">
        <f>+R508+S508-T508</f>
        <v>0</v>
      </c>
      <c r="W508" s="527"/>
      <c r="X508" s="527"/>
      <c r="Y508" s="527"/>
      <c r="Z508" s="527"/>
      <c r="AA508" s="527"/>
      <c r="AB508" s="527"/>
      <c r="AC508" s="526">
        <f>+V508+X508+Y508-Z508+AA508-AB508+W508+Q508</f>
        <v>0</v>
      </c>
    </row>
    <row r="509" spans="2:31" s="204" customFormat="1" x14ac:dyDescent="0.25">
      <c r="B509" s="246" t="s">
        <v>1118</v>
      </c>
      <c r="C509" s="287" t="s">
        <v>1119</v>
      </c>
      <c r="D509" s="274" t="s">
        <v>3531</v>
      </c>
      <c r="E509" s="274"/>
      <c r="F509" s="274"/>
      <c r="G509" s="283"/>
      <c r="H509" s="266"/>
      <c r="I509" s="274"/>
      <c r="J509" s="281"/>
      <c r="K509" s="281"/>
      <c r="L509" s="295" t="s">
        <v>1121</v>
      </c>
      <c r="M509" s="284" t="s">
        <v>2962</v>
      </c>
      <c r="N509" s="270">
        <f>+V509</f>
        <v>0</v>
      </c>
      <c r="O509" s="270">
        <f>+AC509</f>
        <v>0</v>
      </c>
      <c r="P509" s="271">
        <f>+O509-N509</f>
        <v>0</v>
      </c>
      <c r="Q509" s="527"/>
      <c r="R509" s="354">
        <f>IF(ISERROR(VLOOKUP("RIC"&amp;$C509,ESTR_PREC_SP!$A$2:$G$2000,4,FALSE))=TRUE,0,VLOOKUP("RIC"&amp;$C509,ESTR_PREC_SP!$A$2:$G$2000,4,FALSE))</f>
        <v>0</v>
      </c>
      <c r="S509" s="521"/>
      <c r="T509" s="527"/>
      <c r="U509" s="527"/>
      <c r="V509" s="526">
        <f>+R509+S509-T509</f>
        <v>0</v>
      </c>
      <c r="W509" s="527"/>
      <c r="X509" s="527"/>
      <c r="Y509" s="527"/>
      <c r="Z509" s="527"/>
      <c r="AA509" s="527"/>
      <c r="AB509" s="527"/>
      <c r="AC509" s="526">
        <f>+V509+X509+Y509-Z509+AA509-AB509+W509+Q509</f>
        <v>0</v>
      </c>
    </row>
    <row r="510" spans="2:31" s="204" customFormat="1" x14ac:dyDescent="0.25">
      <c r="B510" s="246" t="s">
        <v>1122</v>
      </c>
      <c r="C510" s="287" t="s">
        <v>1123</v>
      </c>
      <c r="D510" s="274" t="s">
        <v>3532</v>
      </c>
      <c r="E510" s="274"/>
      <c r="F510" s="274"/>
      <c r="G510" s="283"/>
      <c r="H510" s="266"/>
      <c r="I510" s="274"/>
      <c r="J510" s="281"/>
      <c r="K510" s="281"/>
      <c r="L510" s="295" t="s">
        <v>1125</v>
      </c>
      <c r="M510" s="284" t="s">
        <v>2962</v>
      </c>
      <c r="N510" s="270">
        <f>+V510</f>
        <v>0</v>
      </c>
      <c r="O510" s="270">
        <f>+AC510</f>
        <v>0</v>
      </c>
      <c r="P510" s="271">
        <f>+O510-N510</f>
        <v>0</v>
      </c>
      <c r="Q510" s="527"/>
      <c r="R510" s="354">
        <f>IF(ISERROR(VLOOKUP("RIC"&amp;$C510,ESTR_PREC_SP!$A$2:$G$2000,4,FALSE))=TRUE,0,VLOOKUP("RIC"&amp;$C510,ESTR_PREC_SP!$A$2:$G$2000,4,FALSE))</f>
        <v>0</v>
      </c>
      <c r="S510" s="521"/>
      <c r="T510" s="527"/>
      <c r="U510" s="527"/>
      <c r="V510" s="526">
        <f>+R510+S510-T510</f>
        <v>0</v>
      </c>
      <c r="W510" s="527"/>
      <c r="X510" s="527"/>
      <c r="Y510" s="527"/>
      <c r="Z510" s="527"/>
      <c r="AA510" s="527"/>
      <c r="AB510" s="527"/>
      <c r="AC510" s="526">
        <f>+V510+X510+Y510-Z510+AA510-AB510+W510+Q510</f>
        <v>0</v>
      </c>
    </row>
    <row r="511" spans="2:31" s="204" customFormat="1" x14ac:dyDescent="0.25">
      <c r="B511" s="230"/>
      <c r="C511" s="230"/>
      <c r="D511" s="230"/>
      <c r="E511" s="230"/>
      <c r="F511" s="230"/>
      <c r="G511" s="230"/>
      <c r="H511" s="231"/>
      <c r="I511" s="230"/>
      <c r="J511" s="230"/>
      <c r="K511" s="230"/>
      <c r="L511" s="232"/>
      <c r="M511" s="211"/>
      <c r="N511" s="254"/>
      <c r="O511" s="211"/>
      <c r="P511" s="211"/>
      <c r="Q511" s="211"/>
      <c r="R511" s="211"/>
      <c r="S511" s="211"/>
      <c r="T511" s="285"/>
      <c r="U511" s="285"/>
      <c r="V511" s="211"/>
      <c r="W511" s="211"/>
      <c r="X511" s="211"/>
      <c r="Y511" s="211"/>
      <c r="Z511" s="211"/>
      <c r="AA511" s="211"/>
    </row>
    <row r="512" spans="2:31" s="204" customFormat="1" x14ac:dyDescent="0.25">
      <c r="B512" s="233" t="s">
        <v>1126</v>
      </c>
      <c r="C512" s="233" t="s">
        <v>1127</v>
      </c>
      <c r="D512" s="234" t="s">
        <v>3533</v>
      </c>
      <c r="E512" s="234"/>
      <c r="F512" s="234"/>
      <c r="G512" s="234"/>
      <c r="H512" s="235"/>
      <c r="I512" s="234"/>
      <c r="J512" s="234"/>
      <c r="K512" s="234"/>
      <c r="L512" s="236" t="s">
        <v>1128</v>
      </c>
      <c r="M512" s="237" t="s">
        <v>2962</v>
      </c>
      <c r="N512" s="238">
        <f>+N515+N590+N727+N736</f>
        <v>0</v>
      </c>
      <c r="O512" s="238">
        <f>+O515+O590+O727+O736</f>
        <v>0</v>
      </c>
      <c r="P512" s="239">
        <f>+O512-N512</f>
        <v>0</v>
      </c>
      <c r="Q512" s="211"/>
      <c r="R512" s="211"/>
      <c r="S512" s="224">
        <f>S515+S590</f>
        <v>0</v>
      </c>
      <c r="T512" s="285"/>
      <c r="U512" s="285"/>
      <c r="V512" s="211"/>
      <c r="W512" s="211"/>
      <c r="X512" s="211"/>
      <c r="Y512" s="211"/>
      <c r="Z512" s="211"/>
      <c r="AA512" s="211"/>
    </row>
    <row r="513" spans="2:28" s="204" customFormat="1" x14ac:dyDescent="0.25">
      <c r="B513" s="230"/>
      <c r="C513" s="230"/>
      <c r="D513" s="230"/>
      <c r="E513" s="230"/>
      <c r="F513" s="230"/>
      <c r="G513" s="230"/>
      <c r="H513" s="231"/>
      <c r="I513" s="230"/>
      <c r="J513" s="230"/>
      <c r="K513" s="230"/>
      <c r="L513" s="232"/>
      <c r="M513" s="211"/>
      <c r="N513" s="254"/>
      <c r="O513" s="211"/>
      <c r="P513" s="211"/>
      <c r="Q513" s="211"/>
      <c r="R513" s="211"/>
      <c r="S513" s="211"/>
      <c r="T513" s="285"/>
      <c r="U513" s="285"/>
      <c r="V513" s="211"/>
      <c r="W513" s="211"/>
      <c r="X513" s="211"/>
      <c r="Y513" s="211"/>
      <c r="Z513" s="211"/>
      <c r="AA513" s="211"/>
    </row>
    <row r="514" spans="2:28" s="204" customFormat="1" ht="26.25" x14ac:dyDescent="0.25">
      <c r="B514" s="230"/>
      <c r="C514" s="230"/>
      <c r="D514" s="230"/>
      <c r="E514" s="230"/>
      <c r="F514" s="230"/>
      <c r="G514" s="230"/>
      <c r="H514" s="231"/>
      <c r="I514" s="230"/>
      <c r="J514" s="230"/>
      <c r="K514" s="230"/>
      <c r="L514" s="243"/>
      <c r="M514" s="244"/>
      <c r="N514" s="245" t="str">
        <f>N$15</f>
        <v>Valore netto al 31/12/2019</v>
      </c>
      <c r="O514" s="331" t="str">
        <f>O$15</f>
        <v>Valore netto al 31/12/2020</v>
      </c>
      <c r="P514" s="245" t="str">
        <f>P$15</f>
        <v>Variazione</v>
      </c>
      <c r="Q514" s="211"/>
      <c r="R514" s="211"/>
      <c r="S514" s="211"/>
      <c r="T514" s="285"/>
      <c r="U514" s="285"/>
      <c r="V514" s="211"/>
      <c r="W514" s="211"/>
      <c r="X514" s="211"/>
      <c r="Y514" s="211"/>
      <c r="Z514" s="211"/>
      <c r="AA514" s="211"/>
    </row>
    <row r="515" spans="2:28" s="204" customFormat="1" x14ac:dyDescent="0.25">
      <c r="B515" s="246" t="s">
        <v>1129</v>
      </c>
      <c r="C515" s="246" t="s">
        <v>1130</v>
      </c>
      <c r="D515" s="247" t="s">
        <v>3534</v>
      </c>
      <c r="E515" s="247"/>
      <c r="F515" s="247"/>
      <c r="G515" s="247"/>
      <c r="H515" s="248"/>
      <c r="I515" s="247"/>
      <c r="J515" s="247"/>
      <c r="K515" s="249"/>
      <c r="L515" s="250" t="s">
        <v>1131</v>
      </c>
      <c r="M515" s="251" t="s">
        <v>2962</v>
      </c>
      <c r="N515" s="252">
        <f>+N517+N569</f>
        <v>0</v>
      </c>
      <c r="O515" s="252">
        <f>+O517+O569</f>
        <v>0</v>
      </c>
      <c r="P515" s="253">
        <f>+O515-N515</f>
        <v>0</v>
      </c>
      <c r="Q515" s="211"/>
      <c r="R515" s="211"/>
      <c r="S515" s="224">
        <f>S517+S569</f>
        <v>0</v>
      </c>
      <c r="T515" s="285"/>
      <c r="U515" s="285"/>
      <c r="V515" s="211"/>
      <c r="W515" s="211"/>
      <c r="X515" s="211"/>
      <c r="Y515" s="211"/>
      <c r="Z515" s="211"/>
      <c r="AA515" s="211"/>
    </row>
    <row r="516" spans="2:28" s="204" customFormat="1" x14ac:dyDescent="0.25">
      <c r="B516" s="230"/>
      <c r="C516" s="230"/>
      <c r="D516" s="230"/>
      <c r="E516" s="230"/>
      <c r="F516" s="230"/>
      <c r="G516" s="230"/>
      <c r="H516" s="231"/>
      <c r="I516" s="230"/>
      <c r="J516" s="230"/>
      <c r="K516" s="230"/>
      <c r="L516" s="299"/>
      <c r="M516" s="211"/>
      <c r="N516" s="254"/>
      <c r="O516" s="211"/>
      <c r="P516" s="211"/>
      <c r="Q516" s="211"/>
      <c r="R516" s="211"/>
      <c r="S516" s="211"/>
      <c r="T516" s="285"/>
      <c r="U516" s="285"/>
      <c r="V516" s="211"/>
      <c r="W516" s="211"/>
      <c r="X516" s="211"/>
      <c r="Y516" s="211"/>
      <c r="Z516" s="211"/>
      <c r="AA516" s="211"/>
    </row>
    <row r="517" spans="2:28" s="204" customFormat="1" x14ac:dyDescent="0.25">
      <c r="B517" s="246" t="s">
        <v>1132</v>
      </c>
      <c r="C517" s="246" t="s">
        <v>1133</v>
      </c>
      <c r="D517" s="247" t="s">
        <v>3535</v>
      </c>
      <c r="E517" s="247"/>
      <c r="F517" s="247"/>
      <c r="G517" s="247"/>
      <c r="H517" s="248"/>
      <c r="I517" s="247"/>
      <c r="J517" s="247"/>
      <c r="K517" s="249"/>
      <c r="L517" s="276" t="s">
        <v>1135</v>
      </c>
      <c r="M517" s="251" t="s">
        <v>2962</v>
      </c>
      <c r="N517" s="252">
        <f>SUM(N520:N566)</f>
        <v>0</v>
      </c>
      <c r="O517" s="252">
        <f>SUM(O520:O566)</f>
        <v>0</v>
      </c>
      <c r="P517" s="259">
        <f>+O517-N517</f>
        <v>0</v>
      </c>
      <c r="Q517" s="252">
        <f>SUM(Q520:Q566)</f>
        <v>0</v>
      </c>
      <c r="R517" s="252">
        <f>SUM(R522:R566)</f>
        <v>0</v>
      </c>
      <c r="S517" s="252">
        <f t="shared" ref="S517:AB517" si="68">SUM(S520:S566)</f>
        <v>0</v>
      </c>
      <c r="T517" s="252">
        <f t="shared" si="68"/>
        <v>0</v>
      </c>
      <c r="U517" s="252">
        <f t="shared" si="68"/>
        <v>0</v>
      </c>
      <c r="V517" s="252">
        <f t="shared" si="68"/>
        <v>0</v>
      </c>
      <c r="W517" s="252">
        <f t="shared" si="68"/>
        <v>0</v>
      </c>
      <c r="X517" s="252">
        <f t="shared" si="68"/>
        <v>0</v>
      </c>
      <c r="Y517" s="252">
        <f t="shared" si="68"/>
        <v>0</v>
      </c>
      <c r="Z517" s="252">
        <f t="shared" si="68"/>
        <v>0</v>
      </c>
      <c r="AA517" s="252">
        <f t="shared" si="68"/>
        <v>0</v>
      </c>
      <c r="AB517" s="252">
        <f t="shared" si="68"/>
        <v>0</v>
      </c>
    </row>
    <row r="518" spans="2:28" s="204" customFormat="1" x14ac:dyDescent="0.25">
      <c r="B518" s="230"/>
      <c r="C518" s="230"/>
      <c r="D518" s="230"/>
      <c r="E518" s="230"/>
      <c r="F518" s="230"/>
      <c r="G518" s="230"/>
      <c r="H518" s="231"/>
      <c r="I518" s="230"/>
      <c r="J518" s="230"/>
      <c r="K518" s="230"/>
      <c r="L518" s="232"/>
      <c r="M518" s="211"/>
      <c r="N518" s="254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2:28" s="204" customFormat="1" ht="63.75" x14ac:dyDescent="0.25">
      <c r="B519" s="294" t="s">
        <v>2968</v>
      </c>
      <c r="C519" s="294" t="s">
        <v>2969</v>
      </c>
      <c r="D519" s="206" t="s">
        <v>72</v>
      </c>
      <c r="E519" s="206"/>
      <c r="F519" s="206"/>
      <c r="G519" s="207"/>
      <c r="H519" s="207"/>
      <c r="I519" s="207"/>
      <c r="J519" s="207" t="s">
        <v>2957</v>
      </c>
      <c r="K519" s="206" t="s">
        <v>82</v>
      </c>
      <c r="L519" s="261" t="s">
        <v>2970</v>
      </c>
      <c r="M519" s="345"/>
      <c r="N519" s="256" t="str">
        <f>N$15</f>
        <v>Valore netto al 31/12/2019</v>
      </c>
      <c r="O519" s="256" t="str">
        <f>O$15</f>
        <v>Valore netto al 31/12/2020</v>
      </c>
      <c r="P519" s="256" t="str">
        <f>P$15</f>
        <v>Variazione</v>
      </c>
      <c r="Q519" s="262" t="s">
        <v>2971</v>
      </c>
      <c r="R519" s="262" t="s">
        <v>3536</v>
      </c>
      <c r="S519" s="346" t="s">
        <v>2972</v>
      </c>
      <c r="T519" s="262" t="s">
        <v>3537</v>
      </c>
      <c r="U519" s="262" t="s">
        <v>3538</v>
      </c>
      <c r="V519" s="262" t="s">
        <v>3539</v>
      </c>
      <c r="W519" s="262" t="s">
        <v>2975</v>
      </c>
      <c r="X519" s="262" t="s">
        <v>3540</v>
      </c>
      <c r="Y519" s="262" t="s">
        <v>3541</v>
      </c>
      <c r="Z519" s="346" t="s">
        <v>3542</v>
      </c>
      <c r="AA519" s="262" t="s">
        <v>3543</v>
      </c>
      <c r="AB519" s="262" t="s">
        <v>3544</v>
      </c>
    </row>
    <row r="520" spans="2:28" s="204" customFormat="1" ht="15" hidden="1" customHeight="1" x14ac:dyDescent="0.25">
      <c r="B520" s="347" t="s">
        <v>1137</v>
      </c>
      <c r="C520" s="347" t="s">
        <v>1137</v>
      </c>
      <c r="D520" s="348" t="s">
        <v>3545</v>
      </c>
      <c r="E520" s="348"/>
      <c r="F520" s="348"/>
      <c r="G520" s="348"/>
      <c r="H520" s="349"/>
      <c r="I520" s="349"/>
      <c r="J520" s="349"/>
      <c r="K520" s="349"/>
      <c r="L520" s="350" t="s">
        <v>1138</v>
      </c>
      <c r="M520" s="284" t="s">
        <v>2962</v>
      </c>
      <c r="N520" s="351"/>
      <c r="O520" s="351"/>
      <c r="P520" s="352"/>
      <c r="Q520" s="353"/>
      <c r="R520" s="354"/>
      <c r="S520" s="355"/>
      <c r="T520" s="356"/>
      <c r="U520" s="356"/>
      <c r="V520" s="355"/>
      <c r="W520" s="355"/>
      <c r="X520" s="355"/>
      <c r="Y520" s="355"/>
      <c r="Z520" s="357"/>
      <c r="AA520" s="355"/>
      <c r="AB520" s="355"/>
    </row>
    <row r="521" spans="2:28" s="204" customFormat="1" x14ac:dyDescent="0.25">
      <c r="B521" s="246" t="s">
        <v>1139</v>
      </c>
      <c r="C521" s="347" t="s">
        <v>1140</v>
      </c>
      <c r="D521" s="348" t="s">
        <v>3546</v>
      </c>
      <c r="E521" s="348"/>
      <c r="F521" s="348"/>
      <c r="G521" s="348"/>
      <c r="H521" s="349"/>
      <c r="I521" s="349"/>
      <c r="J521" s="349"/>
      <c r="K521" s="349"/>
      <c r="L521" s="350" t="s">
        <v>3547</v>
      </c>
      <c r="M521" s="284" t="s">
        <v>2962</v>
      </c>
      <c r="N521" s="351"/>
      <c r="O521" s="351"/>
      <c r="P521" s="352"/>
      <c r="Q521" s="351"/>
      <c r="R521" s="354">
        <f>IF(ISERROR(VLOOKUP("RIC"&amp;$C521,ESTR_PREC_SP!$A$2:$G$2000,4,FALSE))=TRUE,0,VLOOKUP("RIC"&amp;$C521,ESTR_PREC_SP!$A$2:$G$2000,4,FALSE))</f>
        <v>0</v>
      </c>
      <c r="S521" s="521"/>
      <c r="T521" s="351"/>
      <c r="U521" s="351"/>
      <c r="V521" s="351"/>
      <c r="W521" s="351"/>
      <c r="X521" s="351"/>
      <c r="Y521" s="351"/>
      <c r="Z521" s="351"/>
      <c r="AA521" s="351"/>
      <c r="AB521" s="351"/>
    </row>
    <row r="522" spans="2:28" s="204" customFormat="1" x14ac:dyDescent="0.25">
      <c r="B522" s="246" t="s">
        <v>1142</v>
      </c>
      <c r="C522" s="347" t="s">
        <v>1143</v>
      </c>
      <c r="D522" s="348" t="s">
        <v>3548</v>
      </c>
      <c r="E522" s="348"/>
      <c r="F522" s="348"/>
      <c r="G522" s="348"/>
      <c r="H522" s="349"/>
      <c r="I522" s="349"/>
      <c r="J522" s="349"/>
      <c r="K522" s="349"/>
      <c r="L522" s="350" t="s">
        <v>3549</v>
      </c>
      <c r="M522" s="284" t="s">
        <v>2962</v>
      </c>
      <c r="N522" s="270">
        <f t="shared" ref="N522:N566" si="69">+R522</f>
        <v>0</v>
      </c>
      <c r="O522" s="270">
        <f t="shared" ref="O522:O565" si="70">+Z522</f>
        <v>0</v>
      </c>
      <c r="P522" s="271">
        <f t="shared" ref="P522:P566" si="71">+O522-N522</f>
        <v>0</v>
      </c>
      <c r="Q522" s="532"/>
      <c r="R522" s="354">
        <f>IF(ISERROR(VLOOKUP("RIC"&amp;$C522,ESTR_PREC_SP!$A$2:$G$2000,4,FALSE))=TRUE,0,VLOOKUP("RIC"&amp;$C522,ESTR_PREC_SP!$A$2:$G$2000,4,FALSE))</f>
        <v>0</v>
      </c>
      <c r="S522" s="521"/>
      <c r="T522" s="532"/>
      <c r="U522" s="532"/>
      <c r="V522" s="527"/>
      <c r="W522" s="527"/>
      <c r="X522" s="527"/>
      <c r="Y522" s="527"/>
      <c r="Z522" s="526">
        <f t="shared" ref="Z522:Z565" si="72">+R522+S522+U522+T522+V522-X522-Y522+W522+Q522</f>
        <v>0</v>
      </c>
      <c r="AA522" s="527"/>
      <c r="AB522" s="527"/>
    </row>
    <row r="523" spans="2:28" s="204" customFormat="1" x14ac:dyDescent="0.25">
      <c r="B523" s="246" t="s">
        <v>1147</v>
      </c>
      <c r="C523" s="347" t="s">
        <v>1148</v>
      </c>
      <c r="D523" s="348" t="s">
        <v>3550</v>
      </c>
      <c r="E523" s="348"/>
      <c r="F523" s="348"/>
      <c r="G523" s="348"/>
      <c r="H523" s="349"/>
      <c r="I523" s="349"/>
      <c r="J523" s="349"/>
      <c r="K523" s="349"/>
      <c r="L523" s="350" t="s">
        <v>3551</v>
      </c>
      <c r="M523" s="284" t="s">
        <v>2962</v>
      </c>
      <c r="N523" s="270">
        <f t="shared" si="69"/>
        <v>0</v>
      </c>
      <c r="O523" s="270">
        <f t="shared" si="70"/>
        <v>0</v>
      </c>
      <c r="P523" s="271">
        <f t="shared" si="71"/>
        <v>0</v>
      </c>
      <c r="Q523" s="532"/>
      <c r="R523" s="354">
        <f>IF(ISERROR(VLOOKUP("RIC"&amp;$C523,ESTR_PREC_SP!$A$2:$G$2000,4,FALSE))=TRUE,0,VLOOKUP("RIC"&amp;$C523,ESTR_PREC_SP!$A$2:$G$2000,4,FALSE))</f>
        <v>0</v>
      </c>
      <c r="S523" s="521"/>
      <c r="T523" s="532"/>
      <c r="U523" s="532"/>
      <c r="V523" s="527"/>
      <c r="W523" s="527"/>
      <c r="X523" s="527"/>
      <c r="Y523" s="527"/>
      <c r="Z523" s="526">
        <f t="shared" si="72"/>
        <v>0</v>
      </c>
      <c r="AA523" s="527"/>
      <c r="AB523" s="527"/>
    </row>
    <row r="524" spans="2:28" s="204" customFormat="1" x14ac:dyDescent="0.25">
      <c r="B524" s="246" t="s">
        <v>1150</v>
      </c>
      <c r="C524" s="347" t="s">
        <v>1151</v>
      </c>
      <c r="D524" s="348" t="s">
        <v>3552</v>
      </c>
      <c r="E524" s="348"/>
      <c r="F524" s="348"/>
      <c r="G524" s="348"/>
      <c r="H524" s="349"/>
      <c r="I524" s="349"/>
      <c r="J524" s="349"/>
      <c r="K524" s="349"/>
      <c r="L524" s="350" t="s">
        <v>3553</v>
      </c>
      <c r="M524" s="284" t="s">
        <v>2962</v>
      </c>
      <c r="N524" s="270">
        <f t="shared" si="69"/>
        <v>0</v>
      </c>
      <c r="O524" s="270">
        <f t="shared" si="70"/>
        <v>0</v>
      </c>
      <c r="P524" s="271">
        <f t="shared" si="71"/>
        <v>0</v>
      </c>
      <c r="Q524" s="532"/>
      <c r="R524" s="354">
        <f>IF(ISERROR(VLOOKUP("RIC"&amp;$C524,ESTR_PREC_SP!$A$2:$G$2000,4,FALSE))=TRUE,0,VLOOKUP("RIC"&amp;$C524,ESTR_PREC_SP!$A$2:$G$2000,4,FALSE))</f>
        <v>0</v>
      </c>
      <c r="S524" s="521"/>
      <c r="T524" s="532"/>
      <c r="U524" s="532"/>
      <c r="V524" s="527"/>
      <c r="W524" s="527"/>
      <c r="X524" s="527"/>
      <c r="Y524" s="527"/>
      <c r="Z524" s="526">
        <f t="shared" si="72"/>
        <v>0</v>
      </c>
      <c r="AA524" s="527"/>
      <c r="AB524" s="527"/>
    </row>
    <row r="525" spans="2:28" s="204" customFormat="1" x14ac:dyDescent="0.25">
      <c r="B525" s="246" t="s">
        <v>1153</v>
      </c>
      <c r="C525" s="347" t="s">
        <v>1154</v>
      </c>
      <c r="D525" s="348" t="s">
        <v>3554</v>
      </c>
      <c r="E525" s="348"/>
      <c r="F525" s="348"/>
      <c r="G525" s="348"/>
      <c r="H525" s="349"/>
      <c r="I525" s="349"/>
      <c r="J525" s="348"/>
      <c r="K525" s="349"/>
      <c r="L525" s="350" t="s">
        <v>3555</v>
      </c>
      <c r="M525" s="284" t="s">
        <v>2962</v>
      </c>
      <c r="N525" s="270">
        <f t="shared" si="69"/>
        <v>0</v>
      </c>
      <c r="O525" s="270">
        <f t="shared" si="70"/>
        <v>0</v>
      </c>
      <c r="P525" s="271">
        <f t="shared" si="71"/>
        <v>0</v>
      </c>
      <c r="Q525" s="532"/>
      <c r="R525" s="354">
        <f>IF(ISERROR(VLOOKUP("RIC"&amp;$C525,ESTR_PREC_SP!$A$2:$G$2000,4,FALSE))=TRUE,0,VLOOKUP("RIC"&amp;$C525,ESTR_PREC_SP!$A$2:$G$2000,4,FALSE))</f>
        <v>0</v>
      </c>
      <c r="S525" s="521"/>
      <c r="T525" s="532"/>
      <c r="U525" s="532"/>
      <c r="V525" s="527"/>
      <c r="W525" s="527"/>
      <c r="X525" s="527"/>
      <c r="Y525" s="527"/>
      <c r="Z525" s="526">
        <f t="shared" si="72"/>
        <v>0</v>
      </c>
      <c r="AA525" s="527"/>
      <c r="AB525" s="527"/>
    </row>
    <row r="526" spans="2:28" s="204" customFormat="1" ht="25.5" x14ac:dyDescent="0.25">
      <c r="B526" s="246" t="s">
        <v>1156</v>
      </c>
      <c r="C526" s="347" t="s">
        <v>1157</v>
      </c>
      <c r="D526" s="348" t="s">
        <v>3556</v>
      </c>
      <c r="E526" s="348"/>
      <c r="F526" s="348"/>
      <c r="G526" s="348"/>
      <c r="H526" s="349"/>
      <c r="I526" s="349"/>
      <c r="J526" s="348"/>
      <c r="K526" s="349"/>
      <c r="L526" s="350" t="s">
        <v>3557</v>
      </c>
      <c r="M526" s="284" t="s">
        <v>2962</v>
      </c>
      <c r="N526" s="270">
        <f t="shared" si="69"/>
        <v>0</v>
      </c>
      <c r="O526" s="270">
        <f t="shared" si="70"/>
        <v>0</v>
      </c>
      <c r="P526" s="271">
        <f t="shared" si="71"/>
        <v>0</v>
      </c>
      <c r="Q526" s="532"/>
      <c r="R526" s="354">
        <f>IF(ISERROR(VLOOKUP("RIC"&amp;$C526,ESTR_PREC_SP!$A$2:$G$2000,4,FALSE))=TRUE,0,VLOOKUP("RIC"&amp;$C526,ESTR_PREC_SP!$A$2:$G$2000,4,FALSE))</f>
        <v>0</v>
      </c>
      <c r="S526" s="521"/>
      <c r="T526" s="532"/>
      <c r="U526" s="532"/>
      <c r="V526" s="527"/>
      <c r="W526" s="527"/>
      <c r="X526" s="527"/>
      <c r="Y526" s="527"/>
      <c r="Z526" s="526">
        <f t="shared" si="72"/>
        <v>0</v>
      </c>
      <c r="AA526" s="527"/>
      <c r="AB526" s="527"/>
    </row>
    <row r="527" spans="2:28" s="204" customFormat="1" x14ac:dyDescent="0.25">
      <c r="B527" s="246" t="s">
        <v>1159</v>
      </c>
      <c r="C527" s="347" t="s">
        <v>1160</v>
      </c>
      <c r="D527" s="348" t="s">
        <v>3558</v>
      </c>
      <c r="E527" s="348"/>
      <c r="F527" s="348"/>
      <c r="G527" s="348"/>
      <c r="H527" s="349"/>
      <c r="I527" s="349"/>
      <c r="J527" s="349"/>
      <c r="K527" s="349"/>
      <c r="L527" s="350" t="s">
        <v>3559</v>
      </c>
      <c r="M527" s="284" t="s">
        <v>2962</v>
      </c>
      <c r="N527" s="270">
        <f t="shared" si="69"/>
        <v>0</v>
      </c>
      <c r="O527" s="270">
        <f t="shared" si="70"/>
        <v>0</v>
      </c>
      <c r="P527" s="271">
        <f t="shared" si="71"/>
        <v>0</v>
      </c>
      <c r="Q527" s="532"/>
      <c r="R527" s="354">
        <f>IF(ISERROR(VLOOKUP("RIC"&amp;$C527,ESTR_PREC_SP!$A$2:$G$2000,4,FALSE))=TRUE,0,VLOOKUP("RIC"&amp;$C527,ESTR_PREC_SP!$A$2:$G$2000,4,FALSE))</f>
        <v>0</v>
      </c>
      <c r="S527" s="521"/>
      <c r="T527" s="532"/>
      <c r="U527" s="532"/>
      <c r="V527" s="527"/>
      <c r="W527" s="527"/>
      <c r="X527" s="527"/>
      <c r="Y527" s="527"/>
      <c r="Z527" s="526">
        <f t="shared" si="72"/>
        <v>0</v>
      </c>
      <c r="AA527" s="527"/>
      <c r="AB527" s="527"/>
    </row>
    <row r="528" spans="2:28" s="204" customFormat="1" ht="25.5" x14ac:dyDescent="0.25">
      <c r="B528" s="246" t="s">
        <v>1162</v>
      </c>
      <c r="C528" s="347" t="s">
        <v>1163</v>
      </c>
      <c r="D528" s="348" t="s">
        <v>3560</v>
      </c>
      <c r="E528" s="348"/>
      <c r="F528" s="348"/>
      <c r="G528" s="348"/>
      <c r="H528" s="349"/>
      <c r="I528" s="349"/>
      <c r="J528" s="348"/>
      <c r="K528" s="349"/>
      <c r="L528" s="350" t="s">
        <v>3561</v>
      </c>
      <c r="M528" s="284" t="s">
        <v>2962</v>
      </c>
      <c r="N528" s="270">
        <f t="shared" si="69"/>
        <v>0</v>
      </c>
      <c r="O528" s="270">
        <f t="shared" si="70"/>
        <v>0</v>
      </c>
      <c r="P528" s="271">
        <f t="shared" si="71"/>
        <v>0</v>
      </c>
      <c r="Q528" s="532"/>
      <c r="R528" s="354">
        <f>IF(ISERROR(VLOOKUP("RIC"&amp;$C528,ESTR_PREC_SP!$A$2:$G$2000,4,FALSE))=TRUE,0,VLOOKUP("RIC"&amp;$C528,ESTR_PREC_SP!$A$2:$G$2000,4,FALSE))</f>
        <v>0</v>
      </c>
      <c r="S528" s="521"/>
      <c r="T528" s="532"/>
      <c r="U528" s="532"/>
      <c r="V528" s="527"/>
      <c r="W528" s="527"/>
      <c r="X528" s="527"/>
      <c r="Y528" s="527"/>
      <c r="Z528" s="526">
        <f t="shared" si="72"/>
        <v>0</v>
      </c>
      <c r="AA528" s="527"/>
      <c r="AB528" s="527"/>
    </row>
    <row r="529" spans="2:28" s="204" customFormat="1" x14ac:dyDescent="0.25">
      <c r="B529" s="246" t="s">
        <v>1165</v>
      </c>
      <c r="C529" s="347" t="s">
        <v>1166</v>
      </c>
      <c r="D529" s="348" t="s">
        <v>3562</v>
      </c>
      <c r="E529" s="348"/>
      <c r="F529" s="348"/>
      <c r="G529" s="348"/>
      <c r="H529" s="349"/>
      <c r="I529" s="349"/>
      <c r="J529" s="349"/>
      <c r="K529" s="349"/>
      <c r="L529" s="350" t="s">
        <v>3563</v>
      </c>
      <c r="M529" s="284" t="s">
        <v>2962</v>
      </c>
      <c r="N529" s="270">
        <f t="shared" si="69"/>
        <v>0</v>
      </c>
      <c r="O529" s="270">
        <f t="shared" si="70"/>
        <v>0</v>
      </c>
      <c r="P529" s="271">
        <f t="shared" si="71"/>
        <v>0</v>
      </c>
      <c r="Q529" s="532"/>
      <c r="R529" s="354">
        <f>IF(ISERROR(VLOOKUP("RIC"&amp;$C529,ESTR_PREC_SP!$A$2:$G$2000,4,FALSE))=TRUE,0,VLOOKUP("RIC"&amp;$C529,ESTR_PREC_SP!$A$2:$G$2000,4,FALSE))</f>
        <v>0</v>
      </c>
      <c r="S529" s="521"/>
      <c r="T529" s="532"/>
      <c r="U529" s="532"/>
      <c r="V529" s="527"/>
      <c r="W529" s="527"/>
      <c r="X529" s="527"/>
      <c r="Y529" s="527"/>
      <c r="Z529" s="526">
        <f t="shared" si="72"/>
        <v>0</v>
      </c>
      <c r="AA529" s="527"/>
      <c r="AB529" s="527"/>
    </row>
    <row r="530" spans="2:28" s="204" customFormat="1" x14ac:dyDescent="0.25">
      <c r="B530" s="246" t="s">
        <v>1168</v>
      </c>
      <c r="C530" s="347" t="s">
        <v>1169</v>
      </c>
      <c r="D530" s="348" t="s">
        <v>3564</v>
      </c>
      <c r="E530" s="348"/>
      <c r="F530" s="348"/>
      <c r="G530" s="348"/>
      <c r="H530" s="349"/>
      <c r="I530" s="349"/>
      <c r="J530" s="348"/>
      <c r="K530" s="349"/>
      <c r="L530" s="350" t="s">
        <v>3565</v>
      </c>
      <c r="M530" s="284" t="s">
        <v>2962</v>
      </c>
      <c r="N530" s="270">
        <f t="shared" si="69"/>
        <v>0</v>
      </c>
      <c r="O530" s="270">
        <f t="shared" si="70"/>
        <v>0</v>
      </c>
      <c r="P530" s="271">
        <f t="shared" si="71"/>
        <v>0</v>
      </c>
      <c r="Q530" s="532"/>
      <c r="R530" s="354">
        <f>IF(ISERROR(VLOOKUP("RIC"&amp;$C530,ESTR_PREC_SP!$A$2:$G$2000,4,FALSE))=TRUE,0,VLOOKUP("RIC"&amp;$C530,ESTR_PREC_SP!$A$2:$G$2000,4,FALSE))</f>
        <v>0</v>
      </c>
      <c r="S530" s="521"/>
      <c r="T530" s="532"/>
      <c r="U530" s="532"/>
      <c r="V530" s="527"/>
      <c r="W530" s="527"/>
      <c r="X530" s="527"/>
      <c r="Y530" s="527"/>
      <c r="Z530" s="526">
        <f t="shared" si="72"/>
        <v>0</v>
      </c>
      <c r="AA530" s="527"/>
      <c r="AB530" s="527"/>
    </row>
    <row r="531" spans="2:28" s="204" customFormat="1" x14ac:dyDescent="0.25">
      <c r="B531" s="246" t="s">
        <v>1171</v>
      </c>
      <c r="C531" s="347" t="s">
        <v>1172</v>
      </c>
      <c r="D531" s="348" t="s">
        <v>3566</v>
      </c>
      <c r="E531" s="348"/>
      <c r="F531" s="348"/>
      <c r="G531" s="348"/>
      <c r="H531" s="349"/>
      <c r="I531" s="349"/>
      <c r="J531" s="349"/>
      <c r="K531" s="349"/>
      <c r="L531" s="350" t="s">
        <v>3567</v>
      </c>
      <c r="M531" s="284" t="s">
        <v>2962</v>
      </c>
      <c r="N531" s="270">
        <f t="shared" si="69"/>
        <v>0</v>
      </c>
      <c r="O531" s="270">
        <f t="shared" si="70"/>
        <v>0</v>
      </c>
      <c r="P531" s="271">
        <f t="shared" si="71"/>
        <v>0</v>
      </c>
      <c r="Q531" s="532"/>
      <c r="R531" s="354">
        <f>IF(ISERROR(VLOOKUP("RIC"&amp;$C531,ESTR_PREC_SP!$A$2:$G$2000,4,FALSE))=TRUE,0,VLOOKUP("RIC"&amp;$C531,ESTR_PREC_SP!$A$2:$G$2000,4,FALSE))</f>
        <v>0</v>
      </c>
      <c r="S531" s="521"/>
      <c r="T531" s="532"/>
      <c r="U531" s="532"/>
      <c r="V531" s="527"/>
      <c r="W531" s="527"/>
      <c r="X531" s="527"/>
      <c r="Y531" s="527"/>
      <c r="Z531" s="526">
        <f t="shared" si="72"/>
        <v>0</v>
      </c>
      <c r="AA531" s="527"/>
      <c r="AB531" s="527"/>
    </row>
    <row r="532" spans="2:28" s="204" customFormat="1" ht="25.5" x14ac:dyDescent="0.25">
      <c r="B532" s="246" t="s">
        <v>1174</v>
      </c>
      <c r="C532" s="347" t="s">
        <v>1175</v>
      </c>
      <c r="D532" s="348" t="s">
        <v>3568</v>
      </c>
      <c r="E532" s="348"/>
      <c r="F532" s="348"/>
      <c r="G532" s="348"/>
      <c r="H532" s="349"/>
      <c r="I532" s="349"/>
      <c r="J532" s="348"/>
      <c r="K532" s="349"/>
      <c r="L532" s="350" t="s">
        <v>3569</v>
      </c>
      <c r="M532" s="284" t="s">
        <v>2962</v>
      </c>
      <c r="N532" s="270">
        <f t="shared" si="69"/>
        <v>0</v>
      </c>
      <c r="O532" s="270">
        <f t="shared" si="70"/>
        <v>0</v>
      </c>
      <c r="P532" s="271">
        <f t="shared" si="71"/>
        <v>0</v>
      </c>
      <c r="Q532" s="532"/>
      <c r="R532" s="354">
        <f>IF(ISERROR(VLOOKUP("RIC"&amp;$C532,ESTR_PREC_SP!$A$2:$G$2000,4,FALSE))=TRUE,0,VLOOKUP("RIC"&amp;$C532,ESTR_PREC_SP!$A$2:$G$2000,4,FALSE))</f>
        <v>0</v>
      </c>
      <c r="S532" s="521"/>
      <c r="T532" s="532"/>
      <c r="U532" s="532"/>
      <c r="V532" s="527"/>
      <c r="W532" s="527"/>
      <c r="X532" s="527"/>
      <c r="Y532" s="527"/>
      <c r="Z532" s="526">
        <f t="shared" si="72"/>
        <v>0</v>
      </c>
      <c r="AA532" s="527"/>
      <c r="AB532" s="527"/>
    </row>
    <row r="533" spans="2:28" s="204" customFormat="1" x14ac:dyDescent="0.25">
      <c r="B533" s="246" t="s">
        <v>1177</v>
      </c>
      <c r="C533" s="347" t="s">
        <v>1178</v>
      </c>
      <c r="D533" s="348" t="s">
        <v>3570</v>
      </c>
      <c r="E533" s="348"/>
      <c r="F533" s="348"/>
      <c r="G533" s="348"/>
      <c r="H533" s="349"/>
      <c r="I533" s="349"/>
      <c r="J533" s="348"/>
      <c r="K533" s="348"/>
      <c r="L533" s="358" t="s">
        <v>3571</v>
      </c>
      <c r="M533" s="284" t="s">
        <v>2962</v>
      </c>
      <c r="N533" s="270">
        <f t="shared" si="69"/>
        <v>0</v>
      </c>
      <c r="O533" s="270">
        <f t="shared" si="70"/>
        <v>0</v>
      </c>
      <c r="P533" s="271">
        <f t="shared" si="71"/>
        <v>0</v>
      </c>
      <c r="Q533" s="532"/>
      <c r="R533" s="354">
        <f>IF(ISERROR(VLOOKUP("RIC"&amp;$C533,ESTR_PREC_SP!$A$2:$G$2000,4,FALSE))=TRUE,0,VLOOKUP("RIC"&amp;$C533,ESTR_PREC_SP!$A$2:$G$2000,4,FALSE))</f>
        <v>0</v>
      </c>
      <c r="S533" s="521"/>
      <c r="T533" s="532"/>
      <c r="U533" s="532"/>
      <c r="V533" s="527"/>
      <c r="W533" s="527"/>
      <c r="X533" s="527"/>
      <c r="Y533" s="527"/>
      <c r="Z533" s="526">
        <f t="shared" si="72"/>
        <v>0</v>
      </c>
      <c r="AA533" s="527"/>
      <c r="AB533" s="527"/>
    </row>
    <row r="534" spans="2:28" s="204" customFormat="1" x14ac:dyDescent="0.25">
      <c r="B534" s="246" t="s">
        <v>1180</v>
      </c>
      <c r="C534" s="347" t="s">
        <v>1181</v>
      </c>
      <c r="D534" s="348" t="s">
        <v>3572</v>
      </c>
      <c r="E534" s="348"/>
      <c r="F534" s="348"/>
      <c r="G534" s="348"/>
      <c r="H534" s="349"/>
      <c r="I534" s="349"/>
      <c r="J534" s="348"/>
      <c r="K534" s="348"/>
      <c r="L534" s="358" t="s">
        <v>3573</v>
      </c>
      <c r="M534" s="284" t="s">
        <v>2962</v>
      </c>
      <c r="N534" s="270">
        <f t="shared" si="69"/>
        <v>0</v>
      </c>
      <c r="O534" s="270">
        <f t="shared" si="70"/>
        <v>0</v>
      </c>
      <c r="P534" s="271">
        <f t="shared" si="71"/>
        <v>0</v>
      </c>
      <c r="Q534" s="532"/>
      <c r="R534" s="354">
        <f>IF(ISERROR(VLOOKUP("RIC"&amp;$C534,ESTR_PREC_SP!$A$2:$G$2000,4,FALSE))=TRUE,0,VLOOKUP("RIC"&amp;$C534,ESTR_PREC_SP!$A$2:$G$2000,4,FALSE))</f>
        <v>0</v>
      </c>
      <c r="S534" s="521"/>
      <c r="T534" s="532"/>
      <c r="U534" s="532"/>
      <c r="V534" s="527"/>
      <c r="W534" s="527"/>
      <c r="X534" s="527"/>
      <c r="Y534" s="527"/>
      <c r="Z534" s="526">
        <f t="shared" si="72"/>
        <v>0</v>
      </c>
      <c r="AA534" s="527"/>
      <c r="AB534" s="527"/>
    </row>
    <row r="535" spans="2:28" s="204" customFormat="1" x14ac:dyDescent="0.25">
      <c r="B535" s="246" t="s">
        <v>1183</v>
      </c>
      <c r="C535" s="347" t="s">
        <v>1184</v>
      </c>
      <c r="D535" s="348" t="s">
        <v>3574</v>
      </c>
      <c r="E535" s="348"/>
      <c r="F535" s="348"/>
      <c r="G535" s="348"/>
      <c r="H535" s="349"/>
      <c r="I535" s="349"/>
      <c r="J535" s="348"/>
      <c r="K535" s="348"/>
      <c r="L535" s="358" t="s">
        <v>3575</v>
      </c>
      <c r="M535" s="284" t="s">
        <v>2962</v>
      </c>
      <c r="N535" s="270">
        <f t="shared" si="69"/>
        <v>0</v>
      </c>
      <c r="O535" s="270">
        <f t="shared" si="70"/>
        <v>0</v>
      </c>
      <c r="P535" s="271">
        <f t="shared" si="71"/>
        <v>0</v>
      </c>
      <c r="Q535" s="532"/>
      <c r="R535" s="354">
        <f>IF(ISERROR(VLOOKUP("RIC"&amp;$C535,ESTR_PREC_SP!$A$2:$G$2000,4,FALSE))=TRUE,0,VLOOKUP("RIC"&amp;$C535,ESTR_PREC_SP!$A$2:$G$2000,4,FALSE))</f>
        <v>0</v>
      </c>
      <c r="S535" s="521"/>
      <c r="T535" s="532"/>
      <c r="U535" s="532"/>
      <c r="V535" s="527"/>
      <c r="W535" s="527"/>
      <c r="X535" s="527"/>
      <c r="Y535" s="527"/>
      <c r="Z535" s="526">
        <f t="shared" si="72"/>
        <v>0</v>
      </c>
      <c r="AA535" s="527"/>
      <c r="AB535" s="527"/>
    </row>
    <row r="536" spans="2:28" s="204" customFormat="1" x14ac:dyDescent="0.25">
      <c r="B536" s="246" t="s">
        <v>1186</v>
      </c>
      <c r="C536" s="347" t="s">
        <v>1187</v>
      </c>
      <c r="D536" s="348" t="s">
        <v>3576</v>
      </c>
      <c r="E536" s="348"/>
      <c r="F536" s="348"/>
      <c r="G536" s="348"/>
      <c r="H536" s="349"/>
      <c r="I536" s="349"/>
      <c r="J536" s="349"/>
      <c r="K536" s="349"/>
      <c r="L536" s="350" t="s">
        <v>3577</v>
      </c>
      <c r="M536" s="284" t="s">
        <v>2962</v>
      </c>
      <c r="N536" s="270">
        <f t="shared" si="69"/>
        <v>0</v>
      </c>
      <c r="O536" s="270">
        <f t="shared" si="70"/>
        <v>0</v>
      </c>
      <c r="P536" s="271">
        <f t="shared" si="71"/>
        <v>0</v>
      </c>
      <c r="Q536" s="532"/>
      <c r="R536" s="354">
        <f>IF(ISERROR(VLOOKUP("RIC"&amp;$C536,ESTR_PREC_SP!$A$2:$G$2000,4,FALSE))=TRUE,0,VLOOKUP("RIC"&amp;$C536,ESTR_PREC_SP!$A$2:$G$2000,4,FALSE))</f>
        <v>0</v>
      </c>
      <c r="S536" s="521"/>
      <c r="T536" s="532"/>
      <c r="U536" s="532"/>
      <c r="V536" s="527"/>
      <c r="W536" s="527"/>
      <c r="X536" s="527"/>
      <c r="Y536" s="527"/>
      <c r="Z536" s="526">
        <f t="shared" si="72"/>
        <v>0</v>
      </c>
      <c r="AA536" s="527"/>
      <c r="AB536" s="527"/>
    </row>
    <row r="537" spans="2:28" s="204" customFormat="1" ht="25.5" x14ac:dyDescent="0.25">
      <c r="B537" s="246" t="s">
        <v>1189</v>
      </c>
      <c r="C537" s="347" t="s">
        <v>1190</v>
      </c>
      <c r="D537" s="348" t="s">
        <v>3578</v>
      </c>
      <c r="E537" s="348"/>
      <c r="F537" s="359"/>
      <c r="G537" s="359"/>
      <c r="H537" s="360"/>
      <c r="I537" s="360"/>
      <c r="J537" s="360"/>
      <c r="K537" s="360"/>
      <c r="L537" s="361" t="s">
        <v>3579</v>
      </c>
      <c r="M537" s="284" t="s">
        <v>2962</v>
      </c>
      <c r="N537" s="270">
        <f t="shared" si="69"/>
        <v>0</v>
      </c>
      <c r="O537" s="270">
        <f t="shared" si="70"/>
        <v>0</v>
      </c>
      <c r="P537" s="271">
        <f t="shared" si="71"/>
        <v>0</v>
      </c>
      <c r="Q537" s="532"/>
      <c r="R537" s="354">
        <f>IF(ISERROR(VLOOKUP("RIC"&amp;$C537,ESTR_PREC_SP!$A$2:$G$2000,4,FALSE))=TRUE,0,VLOOKUP("RIC"&amp;$C537,ESTR_PREC_SP!$A$2:$G$2000,4,FALSE))</f>
        <v>0</v>
      </c>
      <c r="S537" s="521"/>
      <c r="T537" s="532"/>
      <c r="U537" s="532"/>
      <c r="V537" s="527"/>
      <c r="W537" s="527"/>
      <c r="X537" s="527"/>
      <c r="Y537" s="527"/>
      <c r="Z537" s="526">
        <f t="shared" si="72"/>
        <v>0</v>
      </c>
      <c r="AA537" s="527"/>
      <c r="AB537" s="527"/>
    </row>
    <row r="538" spans="2:28" s="204" customFormat="1" x14ac:dyDescent="0.25">
      <c r="B538" s="246" t="s">
        <v>1192</v>
      </c>
      <c r="C538" s="347" t="s">
        <v>1193</v>
      </c>
      <c r="D538" s="348" t="s">
        <v>3580</v>
      </c>
      <c r="E538" s="348"/>
      <c r="F538" s="348"/>
      <c r="G538" s="348"/>
      <c r="H538" s="349"/>
      <c r="I538" s="349"/>
      <c r="J538" s="348"/>
      <c r="K538" s="349"/>
      <c r="L538" s="361" t="s">
        <v>3581</v>
      </c>
      <c r="M538" s="284" t="s">
        <v>2962</v>
      </c>
      <c r="N538" s="270">
        <f t="shared" si="69"/>
        <v>0</v>
      </c>
      <c r="O538" s="270">
        <f t="shared" si="70"/>
        <v>0</v>
      </c>
      <c r="P538" s="271">
        <f t="shared" si="71"/>
        <v>0</v>
      </c>
      <c r="Q538" s="532"/>
      <c r="R538" s="354">
        <f>IF(ISERROR(VLOOKUP("RIC"&amp;$C538,ESTR_PREC_SP!$A$2:$G$2000,4,FALSE))=TRUE,0,VLOOKUP("RIC"&amp;$C538,ESTR_PREC_SP!$A$2:$G$2000,4,FALSE))</f>
        <v>0</v>
      </c>
      <c r="S538" s="521"/>
      <c r="T538" s="532"/>
      <c r="U538" s="532"/>
      <c r="V538" s="527"/>
      <c r="W538" s="527"/>
      <c r="X538" s="527"/>
      <c r="Y538" s="527"/>
      <c r="Z538" s="526">
        <f t="shared" si="72"/>
        <v>0</v>
      </c>
      <c r="AA538" s="527"/>
      <c r="AB538" s="527"/>
    </row>
    <row r="539" spans="2:28" s="204" customFormat="1" ht="25.5" x14ac:dyDescent="0.25">
      <c r="B539" s="246" t="s">
        <v>1195</v>
      </c>
      <c r="C539" s="347" t="s">
        <v>1196</v>
      </c>
      <c r="D539" s="348" t="s">
        <v>3582</v>
      </c>
      <c r="E539" s="348"/>
      <c r="F539" s="348"/>
      <c r="G539" s="348"/>
      <c r="H539" s="349"/>
      <c r="I539" s="349"/>
      <c r="J539" s="349"/>
      <c r="K539" s="349"/>
      <c r="L539" s="361" t="s">
        <v>3583</v>
      </c>
      <c r="M539" s="284" t="s">
        <v>2962</v>
      </c>
      <c r="N539" s="270">
        <f t="shared" si="69"/>
        <v>0</v>
      </c>
      <c r="O539" s="270">
        <f t="shared" si="70"/>
        <v>0</v>
      </c>
      <c r="P539" s="271">
        <f t="shared" si="71"/>
        <v>0</v>
      </c>
      <c r="Q539" s="532"/>
      <c r="R539" s="354">
        <f>IF(ISERROR(VLOOKUP("RIC"&amp;$C539,ESTR_PREC_SP!$A$2:$G$2000,4,FALSE))=TRUE,0,VLOOKUP("RIC"&amp;$C539,ESTR_PREC_SP!$A$2:$G$2000,4,FALSE))</f>
        <v>0</v>
      </c>
      <c r="S539" s="521"/>
      <c r="T539" s="532"/>
      <c r="U539" s="532"/>
      <c r="V539" s="527"/>
      <c r="W539" s="527"/>
      <c r="X539" s="527"/>
      <c r="Y539" s="527"/>
      <c r="Z539" s="526">
        <f t="shared" si="72"/>
        <v>0</v>
      </c>
      <c r="AA539" s="527"/>
      <c r="AB539" s="527"/>
    </row>
    <row r="540" spans="2:28" s="204" customFormat="1" ht="25.5" x14ac:dyDescent="0.25">
      <c r="B540" s="246" t="s">
        <v>1198</v>
      </c>
      <c r="C540" s="347" t="s">
        <v>1199</v>
      </c>
      <c r="D540" s="348" t="s">
        <v>3584</v>
      </c>
      <c r="E540" s="348"/>
      <c r="F540" s="359"/>
      <c r="G540" s="359"/>
      <c r="H540" s="360"/>
      <c r="I540" s="360"/>
      <c r="J540" s="360"/>
      <c r="K540" s="360"/>
      <c r="L540" s="361" t="s">
        <v>3585</v>
      </c>
      <c r="M540" s="284" t="s">
        <v>2962</v>
      </c>
      <c r="N540" s="270">
        <f t="shared" si="69"/>
        <v>0</v>
      </c>
      <c r="O540" s="270">
        <f t="shared" si="70"/>
        <v>0</v>
      </c>
      <c r="P540" s="271">
        <f t="shared" si="71"/>
        <v>0</v>
      </c>
      <c r="Q540" s="532"/>
      <c r="R540" s="354">
        <f>IF(ISERROR(VLOOKUP("RIC"&amp;$C540,ESTR_PREC_SP!$A$2:$G$2000,4,FALSE))=TRUE,0,VLOOKUP("RIC"&amp;$C540,ESTR_PREC_SP!$A$2:$G$2000,4,FALSE))</f>
        <v>0</v>
      </c>
      <c r="S540" s="521"/>
      <c r="T540" s="532"/>
      <c r="U540" s="532"/>
      <c r="V540" s="527"/>
      <c r="W540" s="527"/>
      <c r="X540" s="527"/>
      <c r="Y540" s="527"/>
      <c r="Z540" s="526">
        <f t="shared" si="72"/>
        <v>0</v>
      </c>
      <c r="AA540" s="527"/>
      <c r="AB540" s="527"/>
    </row>
    <row r="541" spans="2:28" s="204" customFormat="1" ht="25.5" x14ac:dyDescent="0.25">
      <c r="B541" s="246" t="s">
        <v>1201</v>
      </c>
      <c r="C541" s="347" t="s">
        <v>1202</v>
      </c>
      <c r="D541" s="348" t="s">
        <v>3586</v>
      </c>
      <c r="E541" s="348"/>
      <c r="F541" s="359"/>
      <c r="G541" s="359"/>
      <c r="H541" s="360"/>
      <c r="I541" s="360"/>
      <c r="J541" s="360"/>
      <c r="K541" s="360"/>
      <c r="L541" s="361" t="s">
        <v>3587</v>
      </c>
      <c r="M541" s="284" t="s">
        <v>2962</v>
      </c>
      <c r="N541" s="270">
        <f t="shared" si="69"/>
        <v>0</v>
      </c>
      <c r="O541" s="270">
        <f t="shared" si="70"/>
        <v>0</v>
      </c>
      <c r="P541" s="271">
        <f t="shared" si="71"/>
        <v>0</v>
      </c>
      <c r="Q541" s="532"/>
      <c r="R541" s="354">
        <f>IF(ISERROR(VLOOKUP("RIC"&amp;$C541,ESTR_PREC_SP!$A$2:$G$2000,4,FALSE))=TRUE,0,VLOOKUP("RIC"&amp;$C541,ESTR_PREC_SP!$A$2:$G$2000,4,FALSE))</f>
        <v>0</v>
      </c>
      <c r="S541" s="521"/>
      <c r="T541" s="532"/>
      <c r="U541" s="532"/>
      <c r="V541" s="527"/>
      <c r="W541" s="527"/>
      <c r="X541" s="527"/>
      <c r="Y541" s="527"/>
      <c r="Z541" s="526">
        <f t="shared" si="72"/>
        <v>0</v>
      </c>
      <c r="AA541" s="527"/>
      <c r="AB541" s="527"/>
    </row>
    <row r="542" spans="2:28" s="204" customFormat="1" ht="25.5" x14ac:dyDescent="0.25">
      <c r="B542" s="246" t="s">
        <v>1204</v>
      </c>
      <c r="C542" s="347" t="s">
        <v>1205</v>
      </c>
      <c r="D542" s="348" t="s">
        <v>3588</v>
      </c>
      <c r="E542" s="348"/>
      <c r="F542" s="348"/>
      <c r="G542" s="348"/>
      <c r="H542" s="349"/>
      <c r="I542" s="349"/>
      <c r="J542" s="348"/>
      <c r="K542" s="349"/>
      <c r="L542" s="362" t="s">
        <v>3589</v>
      </c>
      <c r="M542" s="284" t="s">
        <v>2962</v>
      </c>
      <c r="N542" s="270">
        <f t="shared" si="69"/>
        <v>0</v>
      </c>
      <c r="O542" s="270">
        <f t="shared" si="70"/>
        <v>0</v>
      </c>
      <c r="P542" s="271">
        <f t="shared" si="71"/>
        <v>0</v>
      </c>
      <c r="Q542" s="532"/>
      <c r="R542" s="354">
        <f>IF(ISERROR(VLOOKUP("RIC"&amp;$C542,ESTR_PREC_SP!$A$2:$G$2000,4,FALSE))=TRUE,0,VLOOKUP("RIC"&amp;$C542,ESTR_PREC_SP!$A$2:$G$2000,4,FALSE))</f>
        <v>0</v>
      </c>
      <c r="S542" s="521"/>
      <c r="T542" s="532"/>
      <c r="U542" s="532"/>
      <c r="V542" s="527"/>
      <c r="W542" s="527"/>
      <c r="X542" s="527"/>
      <c r="Y542" s="527"/>
      <c r="Z542" s="526">
        <f t="shared" si="72"/>
        <v>0</v>
      </c>
      <c r="AA542" s="527"/>
      <c r="AB542" s="527"/>
    </row>
    <row r="543" spans="2:28" s="204" customFormat="1" x14ac:dyDescent="0.25">
      <c r="B543" s="246" t="s">
        <v>1207</v>
      </c>
      <c r="C543" s="347" t="s">
        <v>1208</v>
      </c>
      <c r="D543" s="348" t="s">
        <v>3590</v>
      </c>
      <c r="E543" s="348"/>
      <c r="F543" s="348"/>
      <c r="G543" s="348"/>
      <c r="H543" s="349"/>
      <c r="I543" s="349"/>
      <c r="J543" s="348"/>
      <c r="K543" s="348"/>
      <c r="L543" s="363" t="s">
        <v>3591</v>
      </c>
      <c r="M543" s="284" t="s">
        <v>2962</v>
      </c>
      <c r="N543" s="270">
        <f t="shared" si="69"/>
        <v>0</v>
      </c>
      <c r="O543" s="270">
        <f t="shared" si="70"/>
        <v>0</v>
      </c>
      <c r="P543" s="271">
        <f t="shared" si="71"/>
        <v>0</v>
      </c>
      <c r="Q543" s="521"/>
      <c r="R543" s="354">
        <f>IF(ISERROR(VLOOKUP("RIC"&amp;$C543,ESTR_PREC_SP!$A$2:$G$2000,4,FALSE))=TRUE,0,VLOOKUP("RIC"&amp;$C543,ESTR_PREC_SP!$A$2:$G$2000,4,FALSE))</f>
        <v>0</v>
      </c>
      <c r="S543" s="521"/>
      <c r="T543" s="521"/>
      <c r="U543" s="521"/>
      <c r="V543" s="521"/>
      <c r="W543" s="521"/>
      <c r="X543" s="521"/>
      <c r="Y543" s="521"/>
      <c r="Z543" s="526">
        <f t="shared" si="72"/>
        <v>0</v>
      </c>
      <c r="AA543" s="527"/>
      <c r="AB543" s="527"/>
    </row>
    <row r="544" spans="2:28" s="204" customFormat="1" x14ac:dyDescent="0.25">
      <c r="B544" s="246" t="s">
        <v>1210</v>
      </c>
      <c r="C544" s="347" t="s">
        <v>1211</v>
      </c>
      <c r="D544" s="348" t="s">
        <v>3592</v>
      </c>
      <c r="E544" s="348"/>
      <c r="F544" s="348"/>
      <c r="G544" s="348"/>
      <c r="H544" s="349"/>
      <c r="I544" s="349"/>
      <c r="J544" s="349"/>
      <c r="K544" s="349"/>
      <c r="L544" s="350" t="s">
        <v>3593</v>
      </c>
      <c r="M544" s="284" t="s">
        <v>2962</v>
      </c>
      <c r="N544" s="270">
        <f t="shared" si="69"/>
        <v>0</v>
      </c>
      <c r="O544" s="270">
        <f t="shared" si="70"/>
        <v>0</v>
      </c>
      <c r="P544" s="271">
        <f t="shared" si="71"/>
        <v>0</v>
      </c>
      <c r="Q544" s="532"/>
      <c r="R544" s="354">
        <f>IF(ISERROR(VLOOKUP("RIC"&amp;$C544,ESTR_PREC_SP!$A$2:$G$2000,4,FALSE))=TRUE,0,VLOOKUP("RIC"&amp;$C544,ESTR_PREC_SP!$A$2:$G$2000,4,FALSE))</f>
        <v>0</v>
      </c>
      <c r="S544" s="521"/>
      <c r="T544" s="532"/>
      <c r="U544" s="532"/>
      <c r="V544" s="527"/>
      <c r="W544" s="527"/>
      <c r="X544" s="527"/>
      <c r="Y544" s="527"/>
      <c r="Z544" s="526">
        <f t="shared" si="72"/>
        <v>0</v>
      </c>
      <c r="AA544" s="527"/>
      <c r="AB544" s="527"/>
    </row>
    <row r="545" spans="2:28" s="204" customFormat="1" x14ac:dyDescent="0.25">
      <c r="B545" s="246" t="s">
        <v>1214</v>
      </c>
      <c r="C545" s="347" t="s">
        <v>1215</v>
      </c>
      <c r="D545" s="348" t="s">
        <v>3594</v>
      </c>
      <c r="E545" s="348"/>
      <c r="F545" s="348"/>
      <c r="G545" s="348"/>
      <c r="H545" s="349"/>
      <c r="I545" s="349"/>
      <c r="J545" s="349"/>
      <c r="K545" s="349"/>
      <c r="L545" s="364" t="s">
        <v>3595</v>
      </c>
      <c r="M545" s="284" t="s">
        <v>2962</v>
      </c>
      <c r="N545" s="270">
        <f t="shared" si="69"/>
        <v>0</v>
      </c>
      <c r="O545" s="270">
        <f t="shared" si="70"/>
        <v>0</v>
      </c>
      <c r="P545" s="271">
        <f t="shared" si="71"/>
        <v>0</v>
      </c>
      <c r="Q545" s="532"/>
      <c r="R545" s="354">
        <f>IF(ISERROR(VLOOKUP("RIC"&amp;$C545,ESTR_PREC_SP!$A$2:$G$2000,4,FALSE))=TRUE,0,VLOOKUP("RIC"&amp;$C545,ESTR_PREC_SP!$A$2:$G$2000,4,FALSE))</f>
        <v>0</v>
      </c>
      <c r="S545" s="521"/>
      <c r="T545" s="532"/>
      <c r="U545" s="532"/>
      <c r="V545" s="527"/>
      <c r="W545" s="527"/>
      <c r="X545" s="527"/>
      <c r="Y545" s="527"/>
      <c r="Z545" s="526">
        <f t="shared" si="72"/>
        <v>0</v>
      </c>
      <c r="AA545" s="527"/>
      <c r="AB545" s="527"/>
    </row>
    <row r="546" spans="2:28" s="204" customFormat="1" ht="25.5" x14ac:dyDescent="0.25">
      <c r="B546" s="246" t="s">
        <v>1218</v>
      </c>
      <c r="C546" s="347" t="s">
        <v>1219</v>
      </c>
      <c r="D546" s="348" t="s">
        <v>3596</v>
      </c>
      <c r="E546" s="348"/>
      <c r="F546" s="348"/>
      <c r="G546" s="348"/>
      <c r="H546" s="349"/>
      <c r="I546" s="349"/>
      <c r="J546" s="349"/>
      <c r="K546" s="349"/>
      <c r="L546" s="365" t="s">
        <v>3597</v>
      </c>
      <c r="M546" s="284" t="s">
        <v>2962</v>
      </c>
      <c r="N546" s="270">
        <f t="shared" si="69"/>
        <v>0</v>
      </c>
      <c r="O546" s="270">
        <f t="shared" si="70"/>
        <v>0</v>
      </c>
      <c r="P546" s="271">
        <f t="shared" si="71"/>
        <v>0</v>
      </c>
      <c r="Q546" s="532"/>
      <c r="R546" s="354">
        <f>IF(ISERROR(VLOOKUP("RIC"&amp;$C546,ESTR_PREC_SP!$A$2:$G$2000,4,FALSE))=TRUE,0,VLOOKUP("RIC"&amp;$C546,ESTR_PREC_SP!$A$2:$G$2000,4,FALSE))</f>
        <v>0</v>
      </c>
      <c r="S546" s="521"/>
      <c r="T546" s="532"/>
      <c r="U546" s="532"/>
      <c r="V546" s="527"/>
      <c r="W546" s="527"/>
      <c r="X546" s="527"/>
      <c r="Y546" s="527"/>
      <c r="Z546" s="526">
        <f t="shared" si="72"/>
        <v>0</v>
      </c>
      <c r="AA546" s="527"/>
      <c r="AB546" s="527"/>
    </row>
    <row r="547" spans="2:28" s="204" customFormat="1" x14ac:dyDescent="0.25">
      <c r="B547" s="246" t="s">
        <v>1221</v>
      </c>
      <c r="C547" s="347" t="s">
        <v>1222</v>
      </c>
      <c r="D547" s="348" t="s">
        <v>3598</v>
      </c>
      <c r="E547" s="348"/>
      <c r="F547" s="348"/>
      <c r="G547" s="348"/>
      <c r="H547" s="349"/>
      <c r="I547" s="349"/>
      <c r="J547" s="348"/>
      <c r="K547" s="348"/>
      <c r="L547" s="358" t="s">
        <v>3599</v>
      </c>
      <c r="M547" s="284" t="s">
        <v>2962</v>
      </c>
      <c r="N547" s="270">
        <f t="shared" si="69"/>
        <v>0</v>
      </c>
      <c r="O547" s="270">
        <f t="shared" si="70"/>
        <v>0</v>
      </c>
      <c r="P547" s="271">
        <f t="shared" si="71"/>
        <v>0</v>
      </c>
      <c r="Q547" s="532"/>
      <c r="R547" s="354">
        <f>IF(ISERROR(VLOOKUP("RIC"&amp;$C547,ESTR_PREC_SP!$A$2:$G$2000,4,FALSE))=TRUE,0,VLOOKUP("RIC"&amp;$C547,ESTR_PREC_SP!$A$2:$G$2000,4,FALSE))</f>
        <v>0</v>
      </c>
      <c r="S547" s="521"/>
      <c r="T547" s="532"/>
      <c r="U547" s="532"/>
      <c r="V547" s="527"/>
      <c r="W547" s="527"/>
      <c r="X547" s="527"/>
      <c r="Y547" s="527"/>
      <c r="Z547" s="526">
        <f t="shared" si="72"/>
        <v>0</v>
      </c>
      <c r="AA547" s="527"/>
      <c r="AB547" s="527"/>
    </row>
    <row r="548" spans="2:28" s="204" customFormat="1" ht="25.5" x14ac:dyDescent="0.25">
      <c r="B548" s="246" t="s">
        <v>1225</v>
      </c>
      <c r="C548" s="347" t="s">
        <v>1226</v>
      </c>
      <c r="D548" s="348" t="s">
        <v>3600</v>
      </c>
      <c r="E548" s="348"/>
      <c r="F548" s="348"/>
      <c r="G548" s="348"/>
      <c r="H548" s="349"/>
      <c r="I548" s="349"/>
      <c r="J548" s="349"/>
      <c r="K548" s="349"/>
      <c r="L548" s="364" t="s">
        <v>3601</v>
      </c>
      <c r="M548" s="284" t="s">
        <v>2962</v>
      </c>
      <c r="N548" s="270">
        <f t="shared" si="69"/>
        <v>0</v>
      </c>
      <c r="O548" s="270">
        <f t="shared" si="70"/>
        <v>0</v>
      </c>
      <c r="P548" s="271">
        <f t="shared" si="71"/>
        <v>0</v>
      </c>
      <c r="Q548" s="532"/>
      <c r="R548" s="354">
        <f>IF(ISERROR(VLOOKUP("RIC"&amp;$C548,ESTR_PREC_SP!$A$2:$G$2000,4,FALSE))=TRUE,0,VLOOKUP("RIC"&amp;$C548,ESTR_PREC_SP!$A$2:$G$2000,4,FALSE))</f>
        <v>0</v>
      </c>
      <c r="S548" s="521"/>
      <c r="T548" s="532"/>
      <c r="U548" s="532"/>
      <c r="V548" s="527"/>
      <c r="W548" s="527"/>
      <c r="X548" s="527"/>
      <c r="Y548" s="527"/>
      <c r="Z548" s="526">
        <f t="shared" si="72"/>
        <v>0</v>
      </c>
      <c r="AA548" s="527"/>
      <c r="AB548" s="527"/>
    </row>
    <row r="549" spans="2:28" s="204" customFormat="1" x14ac:dyDescent="0.25">
      <c r="B549" s="246" t="s">
        <v>1228</v>
      </c>
      <c r="C549" s="347" t="s">
        <v>1229</v>
      </c>
      <c r="D549" s="348" t="s">
        <v>3602</v>
      </c>
      <c r="E549" s="348"/>
      <c r="F549" s="348"/>
      <c r="G549" s="348"/>
      <c r="H549" s="349"/>
      <c r="I549" s="349"/>
      <c r="J549" s="348"/>
      <c r="K549" s="348"/>
      <c r="L549" s="358" t="s">
        <v>3603</v>
      </c>
      <c r="M549" s="284" t="s">
        <v>2962</v>
      </c>
      <c r="N549" s="270">
        <f t="shared" si="69"/>
        <v>0</v>
      </c>
      <c r="O549" s="270">
        <f t="shared" si="70"/>
        <v>0</v>
      </c>
      <c r="P549" s="271">
        <f t="shared" si="71"/>
        <v>0</v>
      </c>
      <c r="Q549" s="532"/>
      <c r="R549" s="354">
        <f>IF(ISERROR(VLOOKUP("RIC"&amp;$C549,ESTR_PREC_SP!$A$2:$G$2000,4,FALSE))=TRUE,0,VLOOKUP("RIC"&amp;$C549,ESTR_PREC_SP!$A$2:$G$2000,4,FALSE))</f>
        <v>0</v>
      </c>
      <c r="S549" s="521"/>
      <c r="T549" s="532"/>
      <c r="U549" s="532"/>
      <c r="V549" s="527"/>
      <c r="W549" s="527"/>
      <c r="X549" s="527"/>
      <c r="Y549" s="527"/>
      <c r="Z549" s="526">
        <f t="shared" si="72"/>
        <v>0</v>
      </c>
      <c r="AA549" s="527"/>
      <c r="AB549" s="527"/>
    </row>
    <row r="550" spans="2:28" s="204" customFormat="1" x14ac:dyDescent="0.25">
      <c r="B550" s="246" t="s">
        <v>1231</v>
      </c>
      <c r="C550" s="347" t="s">
        <v>1232</v>
      </c>
      <c r="D550" s="348" t="s">
        <v>3604</v>
      </c>
      <c r="E550" s="348"/>
      <c r="F550" s="348"/>
      <c r="G550" s="348"/>
      <c r="H550" s="349"/>
      <c r="I550" s="349"/>
      <c r="J550" s="348"/>
      <c r="K550" s="348"/>
      <c r="L550" s="358" t="s">
        <v>3605</v>
      </c>
      <c r="M550" s="284" t="s">
        <v>2962</v>
      </c>
      <c r="N550" s="270">
        <f t="shared" si="69"/>
        <v>0</v>
      </c>
      <c r="O550" s="270">
        <f t="shared" si="70"/>
        <v>0</v>
      </c>
      <c r="P550" s="271">
        <f t="shared" si="71"/>
        <v>0</v>
      </c>
      <c r="Q550" s="532"/>
      <c r="R550" s="354">
        <f>IF(ISERROR(VLOOKUP("RIC"&amp;$C550,ESTR_PREC_SP!$A$2:$G$2000,4,FALSE))=TRUE,0,VLOOKUP("RIC"&amp;$C550,ESTR_PREC_SP!$A$2:$G$2000,4,FALSE))</f>
        <v>0</v>
      </c>
      <c r="S550" s="521"/>
      <c r="T550" s="532"/>
      <c r="U550" s="532"/>
      <c r="V550" s="527"/>
      <c r="W550" s="527"/>
      <c r="X550" s="527"/>
      <c r="Y550" s="527"/>
      <c r="Z550" s="526">
        <f t="shared" si="72"/>
        <v>0</v>
      </c>
      <c r="AA550" s="527"/>
      <c r="AB550" s="527"/>
    </row>
    <row r="551" spans="2:28" s="204" customFormat="1" ht="26.25" x14ac:dyDescent="0.25">
      <c r="B551" s="246" t="s">
        <v>1234</v>
      </c>
      <c r="C551" s="347" t="s">
        <v>1235</v>
      </c>
      <c r="D551" s="348" t="s">
        <v>3606</v>
      </c>
      <c r="E551" s="348"/>
      <c r="F551" s="348"/>
      <c r="G551" s="348"/>
      <c r="H551" s="349"/>
      <c r="I551" s="349"/>
      <c r="J551" s="348"/>
      <c r="K551" s="348"/>
      <c r="L551" s="358" t="s">
        <v>3607</v>
      </c>
      <c r="M551" s="284" t="s">
        <v>2962</v>
      </c>
      <c r="N551" s="270">
        <f t="shared" si="69"/>
        <v>0</v>
      </c>
      <c r="O551" s="270">
        <f t="shared" si="70"/>
        <v>0</v>
      </c>
      <c r="P551" s="271">
        <f t="shared" si="71"/>
        <v>0</v>
      </c>
      <c r="Q551" s="532"/>
      <c r="R551" s="354">
        <f>IF(ISERROR(VLOOKUP("RIC"&amp;$C551,ESTR_PREC_SP!$A$2:$G$2000,4,FALSE))=TRUE,0,VLOOKUP("RIC"&amp;$C551,ESTR_PREC_SP!$A$2:$G$2000,4,FALSE))</f>
        <v>0</v>
      </c>
      <c r="S551" s="521"/>
      <c r="T551" s="532"/>
      <c r="U551" s="532"/>
      <c r="V551" s="527"/>
      <c r="W551" s="527"/>
      <c r="X551" s="527"/>
      <c r="Y551" s="527"/>
      <c r="Z551" s="526">
        <f t="shared" si="72"/>
        <v>0</v>
      </c>
      <c r="AA551" s="527"/>
      <c r="AB551" s="527"/>
    </row>
    <row r="552" spans="2:28" s="204" customFormat="1" x14ac:dyDescent="0.25">
      <c r="B552" s="246" t="s">
        <v>1237</v>
      </c>
      <c r="C552" s="347" t="s">
        <v>1238</v>
      </c>
      <c r="D552" s="348" t="s">
        <v>3608</v>
      </c>
      <c r="E552" s="348"/>
      <c r="F552" s="348"/>
      <c r="G552" s="348"/>
      <c r="H552" s="349"/>
      <c r="I552" s="349"/>
      <c r="J552" s="349"/>
      <c r="K552" s="349"/>
      <c r="L552" s="364" t="s">
        <v>3609</v>
      </c>
      <c r="M552" s="284" t="s">
        <v>2962</v>
      </c>
      <c r="N552" s="270">
        <f t="shared" si="69"/>
        <v>0</v>
      </c>
      <c r="O552" s="270">
        <f t="shared" si="70"/>
        <v>0</v>
      </c>
      <c r="P552" s="271">
        <f t="shared" si="71"/>
        <v>0</v>
      </c>
      <c r="Q552" s="532"/>
      <c r="R552" s="354">
        <f>IF(ISERROR(VLOOKUP("RIC"&amp;$C552,ESTR_PREC_SP!$A$2:$G$2000,4,FALSE))=TRUE,0,VLOOKUP("RIC"&amp;$C552,ESTR_PREC_SP!$A$2:$G$2000,4,FALSE))</f>
        <v>0</v>
      </c>
      <c r="S552" s="521"/>
      <c r="T552" s="532"/>
      <c r="U552" s="532"/>
      <c r="V552" s="527"/>
      <c r="W552" s="527"/>
      <c r="X552" s="527"/>
      <c r="Y552" s="527"/>
      <c r="Z552" s="526">
        <f t="shared" si="72"/>
        <v>0</v>
      </c>
      <c r="AA552" s="527"/>
      <c r="AB552" s="527"/>
    </row>
    <row r="553" spans="2:28" s="204" customFormat="1" ht="25.5" x14ac:dyDescent="0.25">
      <c r="B553" s="246" t="s">
        <v>1241</v>
      </c>
      <c r="C553" s="347" t="s">
        <v>1242</v>
      </c>
      <c r="D553" s="348" t="s">
        <v>3610</v>
      </c>
      <c r="E553" s="348"/>
      <c r="F553" s="348"/>
      <c r="G553" s="348"/>
      <c r="H553" s="349"/>
      <c r="I553" s="349"/>
      <c r="J553" s="348"/>
      <c r="K553" s="349"/>
      <c r="L553" s="364" t="s">
        <v>3611</v>
      </c>
      <c r="M553" s="284" t="s">
        <v>2962</v>
      </c>
      <c r="N553" s="270">
        <f t="shared" si="69"/>
        <v>0</v>
      </c>
      <c r="O553" s="270">
        <f t="shared" si="70"/>
        <v>0</v>
      </c>
      <c r="P553" s="271">
        <f t="shared" si="71"/>
        <v>0</v>
      </c>
      <c r="Q553" s="532"/>
      <c r="R553" s="354">
        <f>IF(ISERROR(VLOOKUP("RIC"&amp;$C553,ESTR_PREC_SP!$A$2:$G$2000,4,FALSE))=TRUE,0,VLOOKUP("RIC"&amp;$C553,ESTR_PREC_SP!$A$2:$G$2000,4,FALSE))</f>
        <v>0</v>
      </c>
      <c r="S553" s="521"/>
      <c r="T553" s="532"/>
      <c r="U553" s="532"/>
      <c r="V553" s="527"/>
      <c r="W553" s="527"/>
      <c r="X553" s="527"/>
      <c r="Y553" s="527"/>
      <c r="Z553" s="526">
        <f t="shared" si="72"/>
        <v>0</v>
      </c>
      <c r="AA553" s="527"/>
      <c r="AB553" s="527"/>
    </row>
    <row r="554" spans="2:28" s="204" customFormat="1" ht="25.5" x14ac:dyDescent="0.25">
      <c r="B554" s="246" t="s">
        <v>1244</v>
      </c>
      <c r="C554" s="347" t="s">
        <v>1245</v>
      </c>
      <c r="D554" s="348" t="s">
        <v>3612</v>
      </c>
      <c r="E554" s="348"/>
      <c r="F554" s="348"/>
      <c r="G554" s="348"/>
      <c r="H554" s="349"/>
      <c r="I554" s="349"/>
      <c r="J554" s="348"/>
      <c r="K554" s="349"/>
      <c r="L554" s="364" t="s">
        <v>3613</v>
      </c>
      <c r="M554" s="284" t="s">
        <v>2962</v>
      </c>
      <c r="N554" s="270">
        <f t="shared" si="69"/>
        <v>0</v>
      </c>
      <c r="O554" s="270">
        <f t="shared" si="70"/>
        <v>0</v>
      </c>
      <c r="P554" s="271">
        <f t="shared" si="71"/>
        <v>0</v>
      </c>
      <c r="Q554" s="532"/>
      <c r="R554" s="354">
        <f>IF(ISERROR(VLOOKUP("RIC"&amp;$C554,ESTR_PREC_SP!$A$2:$G$2000,4,FALSE))=TRUE,0,VLOOKUP("RIC"&amp;$C554,ESTR_PREC_SP!$A$2:$G$2000,4,FALSE))</f>
        <v>0</v>
      </c>
      <c r="S554" s="521"/>
      <c r="T554" s="532"/>
      <c r="U554" s="532"/>
      <c r="V554" s="527"/>
      <c r="W554" s="527"/>
      <c r="X554" s="527"/>
      <c r="Y554" s="527"/>
      <c r="Z554" s="526">
        <f t="shared" si="72"/>
        <v>0</v>
      </c>
      <c r="AA554" s="527"/>
      <c r="AB554" s="527"/>
    </row>
    <row r="555" spans="2:28" s="204" customFormat="1" ht="25.5" x14ac:dyDescent="0.25">
      <c r="B555" s="246" t="s">
        <v>1247</v>
      </c>
      <c r="C555" s="347" t="s">
        <v>1248</v>
      </c>
      <c r="D555" s="348" t="s">
        <v>3614</v>
      </c>
      <c r="E555" s="348"/>
      <c r="F555" s="348"/>
      <c r="G555" s="348"/>
      <c r="H555" s="349"/>
      <c r="I555" s="349"/>
      <c r="J555" s="348"/>
      <c r="K555" s="349"/>
      <c r="L555" s="364" t="s">
        <v>3615</v>
      </c>
      <c r="M555" s="284" t="s">
        <v>2962</v>
      </c>
      <c r="N555" s="270">
        <f t="shared" si="69"/>
        <v>0</v>
      </c>
      <c r="O555" s="270">
        <f t="shared" si="70"/>
        <v>0</v>
      </c>
      <c r="P555" s="271">
        <f t="shared" si="71"/>
        <v>0</v>
      </c>
      <c r="Q555" s="532"/>
      <c r="R555" s="354">
        <f>IF(ISERROR(VLOOKUP("RIC"&amp;$C555,ESTR_PREC_SP!$A$2:$G$2000,4,FALSE))=TRUE,0,VLOOKUP("RIC"&amp;$C555,ESTR_PREC_SP!$A$2:$G$2000,4,FALSE))</f>
        <v>0</v>
      </c>
      <c r="S555" s="521"/>
      <c r="T555" s="532"/>
      <c r="U555" s="532"/>
      <c r="V555" s="527"/>
      <c r="W555" s="527"/>
      <c r="X555" s="527"/>
      <c r="Y555" s="527"/>
      <c r="Z555" s="526">
        <f t="shared" si="72"/>
        <v>0</v>
      </c>
      <c r="AA555" s="527"/>
      <c r="AB555" s="527"/>
    </row>
    <row r="556" spans="2:28" s="204" customFormat="1" ht="26.25" x14ac:dyDescent="0.25">
      <c r="B556" s="246" t="s">
        <v>1250</v>
      </c>
      <c r="C556" s="347" t="s">
        <v>1251</v>
      </c>
      <c r="D556" s="348" t="s">
        <v>3616</v>
      </c>
      <c r="E556" s="348"/>
      <c r="F556" s="348"/>
      <c r="G556" s="348"/>
      <c r="H556" s="349"/>
      <c r="I556" s="349"/>
      <c r="J556" s="348"/>
      <c r="K556" s="348"/>
      <c r="L556" s="358" t="s">
        <v>3617</v>
      </c>
      <c r="M556" s="284" t="s">
        <v>2962</v>
      </c>
      <c r="N556" s="270">
        <f t="shared" si="69"/>
        <v>0</v>
      </c>
      <c r="O556" s="270">
        <f t="shared" si="70"/>
        <v>0</v>
      </c>
      <c r="P556" s="271">
        <f t="shared" si="71"/>
        <v>0</v>
      </c>
      <c r="Q556" s="532"/>
      <c r="R556" s="354">
        <f>IF(ISERROR(VLOOKUP("RIC"&amp;$C556,ESTR_PREC_SP!$A$2:$G$2000,4,FALSE))=TRUE,0,VLOOKUP("RIC"&amp;$C556,ESTR_PREC_SP!$A$2:$G$2000,4,FALSE))</f>
        <v>0</v>
      </c>
      <c r="S556" s="521"/>
      <c r="T556" s="532"/>
      <c r="U556" s="532"/>
      <c r="V556" s="527"/>
      <c r="W556" s="527"/>
      <c r="X556" s="527"/>
      <c r="Y556" s="527"/>
      <c r="Z556" s="526">
        <f t="shared" si="72"/>
        <v>0</v>
      </c>
      <c r="AA556" s="527"/>
      <c r="AB556" s="527"/>
    </row>
    <row r="557" spans="2:28" s="204" customFormat="1" x14ac:dyDescent="0.25">
      <c r="B557" s="246" t="s">
        <v>1253</v>
      </c>
      <c r="C557" s="347" t="s">
        <v>1254</v>
      </c>
      <c r="D557" s="348" t="s">
        <v>3618</v>
      </c>
      <c r="E557" s="348"/>
      <c r="F557" s="348"/>
      <c r="G557" s="348"/>
      <c r="H557" s="349"/>
      <c r="I557" s="349"/>
      <c r="J557" s="349"/>
      <c r="K557" s="349"/>
      <c r="L557" s="364" t="s">
        <v>3619</v>
      </c>
      <c r="M557" s="284" t="s">
        <v>2962</v>
      </c>
      <c r="N557" s="270">
        <f t="shared" si="69"/>
        <v>0</v>
      </c>
      <c r="O557" s="270">
        <f t="shared" si="70"/>
        <v>0</v>
      </c>
      <c r="P557" s="271">
        <f t="shared" si="71"/>
        <v>0</v>
      </c>
      <c r="Q557" s="532"/>
      <c r="R557" s="354">
        <f>IF(ISERROR(VLOOKUP("RIC"&amp;$C557,ESTR_PREC_SP!$A$2:$G$2000,4,FALSE))=TRUE,0,VLOOKUP("RIC"&amp;$C557,ESTR_PREC_SP!$A$2:$G$2000,4,FALSE))</f>
        <v>0</v>
      </c>
      <c r="S557" s="521"/>
      <c r="T557" s="532"/>
      <c r="U557" s="532"/>
      <c r="V557" s="527"/>
      <c r="W557" s="527"/>
      <c r="X557" s="527"/>
      <c r="Y557" s="527"/>
      <c r="Z557" s="526">
        <f t="shared" si="72"/>
        <v>0</v>
      </c>
      <c r="AA557" s="527"/>
      <c r="AB557" s="527"/>
    </row>
    <row r="558" spans="2:28" s="204" customFormat="1" x14ac:dyDescent="0.25">
      <c r="B558" s="246" t="s">
        <v>1256</v>
      </c>
      <c r="C558" s="347" t="s">
        <v>1257</v>
      </c>
      <c r="D558" s="348" t="s">
        <v>3620</v>
      </c>
      <c r="E558" s="348"/>
      <c r="F558" s="348"/>
      <c r="G558" s="348"/>
      <c r="H558" s="349"/>
      <c r="I558" s="349"/>
      <c r="J558" s="349"/>
      <c r="K558" s="349"/>
      <c r="L558" s="366" t="s">
        <v>3621</v>
      </c>
      <c r="M558" s="284" t="s">
        <v>2962</v>
      </c>
      <c r="N558" s="270">
        <f t="shared" si="69"/>
        <v>0</v>
      </c>
      <c r="O558" s="270">
        <f t="shared" si="70"/>
        <v>0</v>
      </c>
      <c r="P558" s="271">
        <f t="shared" si="71"/>
        <v>0</v>
      </c>
      <c r="Q558" s="532"/>
      <c r="R558" s="354">
        <f>IF(ISERROR(VLOOKUP("RIC"&amp;$C558,ESTR_PREC_SP!$A$2:$G$2000,4,FALSE))=TRUE,0,VLOOKUP("RIC"&amp;$C558,ESTR_PREC_SP!$A$2:$G$2000,4,FALSE))</f>
        <v>0</v>
      </c>
      <c r="S558" s="521"/>
      <c r="T558" s="532"/>
      <c r="U558" s="532"/>
      <c r="V558" s="527"/>
      <c r="W558" s="527"/>
      <c r="X558" s="527"/>
      <c r="Y558" s="527"/>
      <c r="Z558" s="526">
        <f t="shared" si="72"/>
        <v>0</v>
      </c>
      <c r="AA558" s="527"/>
      <c r="AB558" s="527"/>
    </row>
    <row r="559" spans="2:28" s="204" customFormat="1" x14ac:dyDescent="0.25">
      <c r="B559" s="246" t="s">
        <v>1260</v>
      </c>
      <c r="C559" s="347" t="s">
        <v>1261</v>
      </c>
      <c r="D559" s="348" t="s">
        <v>3622</v>
      </c>
      <c r="E559" s="348"/>
      <c r="F559" s="348"/>
      <c r="G559" s="348"/>
      <c r="H559" s="349"/>
      <c r="I559" s="349"/>
      <c r="J559" s="349"/>
      <c r="K559" s="349"/>
      <c r="L559" s="366" t="s">
        <v>3623</v>
      </c>
      <c r="M559" s="284" t="s">
        <v>2962</v>
      </c>
      <c r="N559" s="270">
        <f t="shared" si="69"/>
        <v>0</v>
      </c>
      <c r="O559" s="270">
        <f t="shared" si="70"/>
        <v>0</v>
      </c>
      <c r="P559" s="271">
        <f t="shared" si="71"/>
        <v>0</v>
      </c>
      <c r="Q559" s="532"/>
      <c r="R559" s="354">
        <f>IF(ISERROR(VLOOKUP("RIC"&amp;$C559,ESTR_PREC_SP!$A$2:$G$2000,4,FALSE))=TRUE,0,VLOOKUP("RIC"&amp;$C559,ESTR_PREC_SP!$A$2:$G$2000,4,FALSE))</f>
        <v>0</v>
      </c>
      <c r="S559" s="521"/>
      <c r="T559" s="532"/>
      <c r="U559" s="532"/>
      <c r="V559" s="527"/>
      <c r="W559" s="527"/>
      <c r="X559" s="527"/>
      <c r="Y559" s="527"/>
      <c r="Z559" s="526">
        <f t="shared" si="72"/>
        <v>0</v>
      </c>
      <c r="AA559" s="527"/>
      <c r="AB559" s="527"/>
    </row>
    <row r="560" spans="2:28" s="204" customFormat="1" x14ac:dyDescent="0.25">
      <c r="B560" s="246" t="s">
        <v>1263</v>
      </c>
      <c r="C560" s="347" t="s">
        <v>1264</v>
      </c>
      <c r="D560" s="348" t="s">
        <v>3624</v>
      </c>
      <c r="E560" s="348"/>
      <c r="F560" s="348"/>
      <c r="G560" s="348"/>
      <c r="H560" s="349"/>
      <c r="I560" s="349"/>
      <c r="J560" s="349"/>
      <c r="K560" s="349"/>
      <c r="L560" s="367" t="s">
        <v>3625</v>
      </c>
      <c r="M560" s="284" t="s">
        <v>2962</v>
      </c>
      <c r="N560" s="270">
        <f t="shared" si="69"/>
        <v>0</v>
      </c>
      <c r="O560" s="270">
        <f t="shared" si="70"/>
        <v>0</v>
      </c>
      <c r="P560" s="271">
        <f t="shared" si="71"/>
        <v>0</v>
      </c>
      <c r="Q560" s="532"/>
      <c r="R560" s="354">
        <f>IF(ISERROR(VLOOKUP("RIC"&amp;$C560,ESTR_PREC_SP!$A$2:$G$2000,4,FALSE))=TRUE,0,VLOOKUP("RIC"&amp;$C560,ESTR_PREC_SP!$A$2:$G$2000,4,FALSE))</f>
        <v>0</v>
      </c>
      <c r="S560" s="521"/>
      <c r="T560" s="532"/>
      <c r="U560" s="532"/>
      <c r="V560" s="527"/>
      <c r="W560" s="527"/>
      <c r="X560" s="527"/>
      <c r="Y560" s="527"/>
      <c r="Z560" s="526">
        <f t="shared" si="72"/>
        <v>0</v>
      </c>
      <c r="AA560" s="527"/>
      <c r="AB560" s="527"/>
    </row>
    <row r="561" spans="2:28" s="204" customFormat="1" x14ac:dyDescent="0.25">
      <c r="B561" s="246" t="s">
        <v>1266</v>
      </c>
      <c r="C561" s="347" t="s">
        <v>1267</v>
      </c>
      <c r="D561" s="348" t="s">
        <v>3626</v>
      </c>
      <c r="E561" s="348"/>
      <c r="F561" s="348"/>
      <c r="G561" s="348"/>
      <c r="H561" s="349"/>
      <c r="I561" s="349"/>
      <c r="J561" s="349"/>
      <c r="K561" s="349"/>
      <c r="L561" s="368" t="s">
        <v>3627</v>
      </c>
      <c r="M561" s="284" t="s">
        <v>2962</v>
      </c>
      <c r="N561" s="270">
        <f t="shared" si="69"/>
        <v>0</v>
      </c>
      <c r="O561" s="270">
        <f t="shared" si="70"/>
        <v>0</v>
      </c>
      <c r="P561" s="271">
        <f t="shared" si="71"/>
        <v>0</v>
      </c>
      <c r="Q561" s="532"/>
      <c r="R561" s="354">
        <f>IF(ISERROR(VLOOKUP("RIC"&amp;$C561,ESTR_PREC_SP!$A$2:$G$2000,4,FALSE))=TRUE,0,VLOOKUP("RIC"&amp;$C561,ESTR_PREC_SP!$A$2:$G$2000,4,FALSE))</f>
        <v>0</v>
      </c>
      <c r="S561" s="521"/>
      <c r="T561" s="532"/>
      <c r="U561" s="532"/>
      <c r="V561" s="527"/>
      <c r="W561" s="527"/>
      <c r="X561" s="527"/>
      <c r="Y561" s="527"/>
      <c r="Z561" s="526">
        <f t="shared" si="72"/>
        <v>0</v>
      </c>
      <c r="AA561" s="527"/>
      <c r="AB561" s="527"/>
    </row>
    <row r="562" spans="2:28" s="204" customFormat="1" x14ac:dyDescent="0.25">
      <c r="B562" s="246" t="s">
        <v>1270</v>
      </c>
      <c r="C562" s="347" t="s">
        <v>1271</v>
      </c>
      <c r="D562" s="348" t="s">
        <v>3628</v>
      </c>
      <c r="E562" s="348"/>
      <c r="F562" s="348"/>
      <c r="G562" s="348"/>
      <c r="H562" s="349"/>
      <c r="I562" s="349"/>
      <c r="J562" s="348"/>
      <c r="K562" s="348"/>
      <c r="L562" s="358" t="s">
        <v>3629</v>
      </c>
      <c r="M562" s="284" t="s">
        <v>2962</v>
      </c>
      <c r="N562" s="270">
        <f t="shared" si="69"/>
        <v>0</v>
      </c>
      <c r="O562" s="270">
        <f t="shared" si="70"/>
        <v>0</v>
      </c>
      <c r="P562" s="271">
        <f t="shared" si="71"/>
        <v>0</v>
      </c>
      <c r="Q562" s="532"/>
      <c r="R562" s="354">
        <f>IF(ISERROR(VLOOKUP("RIC"&amp;$C562,ESTR_PREC_SP!$A$2:$G$2000,4,FALSE))=TRUE,0,VLOOKUP("RIC"&amp;$C562,ESTR_PREC_SP!$A$2:$G$2000,4,FALSE))</f>
        <v>0</v>
      </c>
      <c r="S562" s="521"/>
      <c r="T562" s="532"/>
      <c r="U562" s="532"/>
      <c r="V562" s="527"/>
      <c r="W562" s="527"/>
      <c r="X562" s="527"/>
      <c r="Y562" s="527"/>
      <c r="Z562" s="526">
        <f t="shared" si="72"/>
        <v>0</v>
      </c>
      <c r="AA562" s="527"/>
      <c r="AB562" s="527"/>
    </row>
    <row r="563" spans="2:28" s="204" customFormat="1" x14ac:dyDescent="0.25">
      <c r="B563" s="246" t="s">
        <v>1273</v>
      </c>
      <c r="C563" s="347" t="s">
        <v>1274</v>
      </c>
      <c r="D563" s="348" t="s">
        <v>3630</v>
      </c>
      <c r="E563" s="348"/>
      <c r="F563" s="348"/>
      <c r="G563" s="348"/>
      <c r="H563" s="349"/>
      <c r="I563" s="349"/>
      <c r="J563" s="349"/>
      <c r="K563" s="349"/>
      <c r="L563" s="368" t="s">
        <v>3631</v>
      </c>
      <c r="M563" s="284" t="s">
        <v>2962</v>
      </c>
      <c r="N563" s="270">
        <f t="shared" si="69"/>
        <v>0</v>
      </c>
      <c r="O563" s="270">
        <f t="shared" si="70"/>
        <v>0</v>
      </c>
      <c r="P563" s="271">
        <f t="shared" si="71"/>
        <v>0</v>
      </c>
      <c r="Q563" s="532"/>
      <c r="R563" s="354">
        <f>IF(ISERROR(VLOOKUP("RIC"&amp;$C563,ESTR_PREC_SP!$A$2:$G$2000,4,FALSE))=TRUE,0,VLOOKUP("RIC"&amp;$C563,ESTR_PREC_SP!$A$2:$G$2000,4,FALSE))</f>
        <v>0</v>
      </c>
      <c r="S563" s="521"/>
      <c r="T563" s="532"/>
      <c r="U563" s="532"/>
      <c r="V563" s="527"/>
      <c r="W563" s="527"/>
      <c r="X563" s="527"/>
      <c r="Y563" s="527"/>
      <c r="Z563" s="526">
        <f t="shared" si="72"/>
        <v>0</v>
      </c>
      <c r="AA563" s="527"/>
      <c r="AB563" s="527"/>
    </row>
    <row r="564" spans="2:28" s="204" customFormat="1" ht="24.75" customHeight="1" x14ac:dyDescent="0.25">
      <c r="B564" s="246" t="s">
        <v>1276</v>
      </c>
      <c r="C564" s="347" t="s">
        <v>1277</v>
      </c>
      <c r="D564" s="348" t="s">
        <v>3632</v>
      </c>
      <c r="E564" s="348"/>
      <c r="F564" s="348"/>
      <c r="G564" s="348"/>
      <c r="H564" s="349"/>
      <c r="I564" s="349"/>
      <c r="J564" s="349"/>
      <c r="K564" s="349"/>
      <c r="L564" s="364" t="s">
        <v>3633</v>
      </c>
      <c r="M564" s="284" t="s">
        <v>2962</v>
      </c>
      <c r="N564" s="270">
        <f t="shared" si="69"/>
        <v>0</v>
      </c>
      <c r="O564" s="270">
        <f t="shared" si="70"/>
        <v>0</v>
      </c>
      <c r="P564" s="271">
        <f t="shared" si="71"/>
        <v>0</v>
      </c>
      <c r="Q564" s="532"/>
      <c r="R564" s="354">
        <f>IF(ISERROR(VLOOKUP("RIC"&amp;$C564,ESTR_PREC_SP!$A$2:$G$2000,4,FALSE))=TRUE,0,VLOOKUP("RIC"&amp;$C564,ESTR_PREC_SP!$A$2:$G$2000,4,FALSE))</f>
        <v>0</v>
      </c>
      <c r="S564" s="521"/>
      <c r="T564" s="532"/>
      <c r="U564" s="532"/>
      <c r="V564" s="527"/>
      <c r="W564" s="527"/>
      <c r="X564" s="527"/>
      <c r="Y564" s="527"/>
      <c r="Z564" s="526">
        <f t="shared" si="72"/>
        <v>0</v>
      </c>
      <c r="AA564" s="527"/>
      <c r="AB564" s="527"/>
    </row>
    <row r="565" spans="2:28" s="204" customFormat="1" ht="25.5" x14ac:dyDescent="0.25">
      <c r="B565" s="246" t="s">
        <v>1280</v>
      </c>
      <c r="C565" s="369" t="s">
        <v>1281</v>
      </c>
      <c r="D565" s="370" t="s">
        <v>3634</v>
      </c>
      <c r="E565" s="348"/>
      <c r="F565" s="370"/>
      <c r="G565" s="370"/>
      <c r="H565" s="370"/>
      <c r="I565" s="370"/>
      <c r="J565" s="370"/>
      <c r="K565" s="370"/>
      <c r="L565" s="371" t="s">
        <v>3635</v>
      </c>
      <c r="M565" s="284" t="s">
        <v>2962</v>
      </c>
      <c r="N565" s="270">
        <f t="shared" si="69"/>
        <v>0</v>
      </c>
      <c r="O565" s="270">
        <f t="shared" si="70"/>
        <v>0</v>
      </c>
      <c r="P565" s="271">
        <f t="shared" si="71"/>
        <v>0</v>
      </c>
      <c r="Q565" s="533"/>
      <c r="R565" s="354">
        <f>IF(ISERROR(VLOOKUP("RIC"&amp;$C565,ESTR_PREC_SP!$A$2:$G$2000,4,FALSE))=TRUE,0,VLOOKUP("RIC"&amp;$C565,ESTR_PREC_SP!$A$2:$G$2000,4,FALSE))</f>
        <v>0</v>
      </c>
      <c r="S565" s="521"/>
      <c r="T565" s="533"/>
      <c r="U565" s="652"/>
      <c r="V565" s="527"/>
      <c r="W565" s="527"/>
      <c r="X565" s="527"/>
      <c r="Y565" s="527"/>
      <c r="Z565" s="526">
        <f t="shared" si="72"/>
        <v>0</v>
      </c>
      <c r="AA565" s="527"/>
      <c r="AB565" s="527"/>
    </row>
    <row r="566" spans="2:28" s="204" customFormat="1" x14ac:dyDescent="0.25">
      <c r="B566" s="246" t="s">
        <v>1283</v>
      </c>
      <c r="C566" s="287" t="s">
        <v>1284</v>
      </c>
      <c r="D566" s="274" t="s">
        <v>3636</v>
      </c>
      <c r="E566" s="274"/>
      <c r="F566" s="274"/>
      <c r="G566" s="283"/>
      <c r="H566" s="326"/>
      <c r="I566" s="274"/>
      <c r="J566" s="281"/>
      <c r="K566" s="281"/>
      <c r="L566" s="372" t="s">
        <v>1288</v>
      </c>
      <c r="M566" s="373" t="s">
        <v>2962</v>
      </c>
      <c r="N566" s="270">
        <f t="shared" si="69"/>
        <v>0</v>
      </c>
      <c r="O566" s="270">
        <f>+Z566+Q566</f>
        <v>0</v>
      </c>
      <c r="P566" s="374">
        <f t="shared" si="71"/>
        <v>0</v>
      </c>
      <c r="Q566" s="211"/>
      <c r="R566" s="354">
        <f>IF(ISERROR(VLOOKUP("RIC"&amp;$C566,ESTR_PREC_SP!$A$2:$G$2000,4,FALSE))=TRUE,0,VLOOKUP("RIC"&amp;$C566,ESTR_PREC_SP!$A$2:$G$2000,4,FALSE))</f>
        <v>0</v>
      </c>
      <c r="S566" s="285"/>
      <c r="T566" s="211"/>
      <c r="U566" s="211"/>
      <c r="V566" s="211"/>
      <c r="W566" s="211"/>
      <c r="X566" s="211"/>
      <c r="Y566" s="211"/>
      <c r="Z566" s="527"/>
      <c r="AA566" s="211"/>
    </row>
    <row r="567" spans="2:28" s="204" customFormat="1" x14ac:dyDescent="0.25">
      <c r="B567" s="293"/>
      <c r="C567" s="293"/>
      <c r="D567" s="230"/>
      <c r="E567" s="230"/>
      <c r="F567" s="230"/>
      <c r="G567" s="230"/>
      <c r="H567" s="231"/>
      <c r="I567" s="230"/>
      <c r="J567" s="230"/>
      <c r="K567" s="230"/>
      <c r="L567" s="296"/>
      <c r="M567" s="216"/>
      <c r="N567" s="285"/>
      <c r="O567" s="285"/>
      <c r="P567" s="285"/>
      <c r="Q567" s="285"/>
      <c r="R567" s="285"/>
      <c r="S567" s="285"/>
      <c r="T567" s="211"/>
      <c r="U567" s="211"/>
      <c r="V567" s="211"/>
      <c r="W567" s="211"/>
      <c r="X567" s="211"/>
      <c r="Y567" s="211"/>
      <c r="Z567" s="211"/>
      <c r="AA567" s="211"/>
    </row>
    <row r="568" spans="2:28" s="204" customFormat="1" x14ac:dyDescent="0.25">
      <c r="B568" s="293"/>
      <c r="C568" s="293"/>
      <c r="D568" s="230"/>
      <c r="E568" s="230"/>
      <c r="F568" s="230"/>
      <c r="G568" s="230"/>
      <c r="H568" s="231"/>
      <c r="I568" s="230"/>
      <c r="J568" s="230"/>
      <c r="K568" s="230"/>
      <c r="L568" s="275"/>
      <c r="M568" s="216"/>
      <c r="N568" s="285"/>
      <c r="O568" s="285"/>
      <c r="P568" s="285"/>
      <c r="Q568" s="285"/>
      <c r="R568" s="285"/>
      <c r="S568" s="285"/>
      <c r="T568" s="211"/>
      <c r="U568" s="211"/>
      <c r="V568" s="211"/>
      <c r="W568" s="211"/>
      <c r="X568" s="211"/>
      <c r="Y568" s="211"/>
      <c r="Z568" s="211"/>
      <c r="AA568" s="211"/>
    </row>
    <row r="569" spans="2:28" s="204" customFormat="1" x14ac:dyDescent="0.25">
      <c r="B569" s="246" t="s">
        <v>1289</v>
      </c>
      <c r="C569" s="292" t="s">
        <v>1290</v>
      </c>
      <c r="D569" s="247" t="s">
        <v>3637</v>
      </c>
      <c r="E569" s="247"/>
      <c r="F569" s="247"/>
      <c r="G569" s="247"/>
      <c r="H569" s="248"/>
      <c r="I569" s="247"/>
      <c r="J569" s="247"/>
      <c r="K569" s="249"/>
      <c r="L569" s="276" t="s">
        <v>1292</v>
      </c>
      <c r="M569" s="251" t="s">
        <v>2962</v>
      </c>
      <c r="N569" s="252">
        <f>SUM(N572:N586)</f>
        <v>0</v>
      </c>
      <c r="O569" s="252">
        <f>SUM(O572:O586)</f>
        <v>0</v>
      </c>
      <c r="P569" s="259">
        <f>+O569-N569</f>
        <v>0</v>
      </c>
      <c r="Q569" s="252">
        <f>SUM(Q572:Q586)</f>
        <v>0</v>
      </c>
      <c r="R569" s="252">
        <f>SUM(R572:R586)</f>
        <v>0</v>
      </c>
      <c r="S569" s="252">
        <f>SUM(S572:S586)</f>
        <v>0</v>
      </c>
      <c r="T569" s="252">
        <f>SUM(T572:T586)</f>
        <v>0</v>
      </c>
      <c r="U569" s="252"/>
      <c r="V569" s="252">
        <f t="shared" ref="V569:AB569" si="73">SUM(V572:V586)</f>
        <v>0</v>
      </c>
      <c r="W569" s="252">
        <f t="shared" si="73"/>
        <v>0</v>
      </c>
      <c r="X569" s="252">
        <f t="shared" si="73"/>
        <v>0</v>
      </c>
      <c r="Y569" s="252">
        <f t="shared" si="73"/>
        <v>0</v>
      </c>
      <c r="Z569" s="252">
        <f t="shared" si="73"/>
        <v>0</v>
      </c>
      <c r="AA569" s="252">
        <f t="shared" si="73"/>
        <v>0</v>
      </c>
      <c r="AB569" s="252">
        <f t="shared" si="73"/>
        <v>0</v>
      </c>
    </row>
    <row r="570" spans="2:28" s="204" customFormat="1" x14ac:dyDescent="0.25">
      <c r="B570" s="293"/>
      <c r="C570" s="293"/>
      <c r="D570" s="230"/>
      <c r="E570" s="230"/>
      <c r="F570" s="230"/>
      <c r="G570" s="230"/>
      <c r="H570" s="231"/>
      <c r="I570" s="230"/>
      <c r="J570" s="230"/>
      <c r="K570" s="230"/>
      <c r="L570" s="277"/>
      <c r="M570" s="216"/>
      <c r="N570" s="285"/>
      <c r="O570" s="285"/>
      <c r="P570" s="285"/>
      <c r="Q570" s="285"/>
      <c r="R570" s="285"/>
      <c r="S570" s="285"/>
      <c r="T570" s="211"/>
      <c r="U570" s="211"/>
      <c r="V570" s="211"/>
      <c r="W570" s="211"/>
      <c r="X570" s="211"/>
      <c r="Y570" s="211"/>
      <c r="Z570" s="211"/>
      <c r="AA570" s="211"/>
    </row>
    <row r="571" spans="2:28" s="204" customFormat="1" ht="63.75" x14ac:dyDescent="0.25">
      <c r="B571" s="294" t="s">
        <v>2968</v>
      </c>
      <c r="C571" s="294" t="s">
        <v>2969</v>
      </c>
      <c r="D571" s="206" t="s">
        <v>72</v>
      </c>
      <c r="E571" s="206"/>
      <c r="F571" s="206"/>
      <c r="G571" s="207"/>
      <c r="H571" s="207"/>
      <c r="I571" s="207"/>
      <c r="J571" s="207" t="s">
        <v>2957</v>
      </c>
      <c r="K571" s="206" t="s">
        <v>82</v>
      </c>
      <c r="L571" s="261" t="s">
        <v>2970</v>
      </c>
      <c r="M571" s="345"/>
      <c r="N571" s="256" t="str">
        <f>N$15</f>
        <v>Valore netto al 31/12/2019</v>
      </c>
      <c r="O571" s="256" t="str">
        <f>O$15</f>
        <v>Valore netto al 31/12/2020</v>
      </c>
      <c r="P571" s="256" t="str">
        <f>P$15</f>
        <v>Variazione</v>
      </c>
      <c r="Q571" s="262" t="s">
        <v>2971</v>
      </c>
      <c r="R571" s="262" t="s">
        <v>3536</v>
      </c>
      <c r="S571" s="346" t="s">
        <v>2972</v>
      </c>
      <c r="T571" s="262" t="s">
        <v>3537</v>
      </c>
      <c r="U571" s="262" t="s">
        <v>3538</v>
      </c>
      <c r="V571" s="262" t="s">
        <v>3539</v>
      </c>
      <c r="W571" s="262" t="s">
        <v>2975</v>
      </c>
      <c r="X571" s="262" t="s">
        <v>3540</v>
      </c>
      <c r="Y571" s="262" t="s">
        <v>3541</v>
      </c>
      <c r="Z571" s="346" t="s">
        <v>3542</v>
      </c>
      <c r="AA571" s="262" t="s">
        <v>3543</v>
      </c>
      <c r="AB571" s="262" t="s">
        <v>3544</v>
      </c>
    </row>
    <row r="572" spans="2:28" s="204" customFormat="1" x14ac:dyDescent="0.25">
      <c r="B572" s="246" t="s">
        <v>1293</v>
      </c>
      <c r="C572" s="287" t="s">
        <v>1294</v>
      </c>
      <c r="D572" s="274" t="s">
        <v>3638</v>
      </c>
      <c r="E572" s="274"/>
      <c r="F572" s="274"/>
      <c r="G572" s="283"/>
      <c r="H572" s="266"/>
      <c r="I572" s="274"/>
      <c r="J572" s="281"/>
      <c r="K572" s="281"/>
      <c r="L572" s="282" t="s">
        <v>3639</v>
      </c>
      <c r="M572" s="263" t="s">
        <v>2962</v>
      </c>
      <c r="N572" s="270">
        <f t="shared" ref="N572:N586" si="74">+R572</f>
        <v>0</v>
      </c>
      <c r="O572" s="270">
        <f t="shared" ref="O572:O586" si="75">+Z572</f>
        <v>0</v>
      </c>
      <c r="P572" s="271">
        <f t="shared" ref="P572:P586" si="76">+O572-N572</f>
        <v>0</v>
      </c>
      <c r="Q572" s="532"/>
      <c r="R572" s="354">
        <f>IF(ISERROR(VLOOKUP("RIC"&amp;$C572,ESTR_PREC_SP!$A$2:$G$2000,4,FALSE))=TRUE,0,VLOOKUP("RIC"&amp;$C572,ESTR_PREC_SP!$A$2:$G$2000,4,FALSE))</f>
        <v>0</v>
      </c>
      <c r="S572" s="521"/>
      <c r="T572" s="532"/>
      <c r="U572" s="532"/>
      <c r="V572" s="527"/>
      <c r="W572" s="527"/>
      <c r="X572" s="527"/>
      <c r="Y572" s="527"/>
      <c r="Z572" s="526">
        <f t="shared" ref="Z572:Z585" si="77">+R572+S572+U572+T572+V572-X572-Y572+W572+Q572</f>
        <v>0</v>
      </c>
      <c r="AA572" s="527"/>
      <c r="AB572" s="527"/>
    </row>
    <row r="573" spans="2:28" s="204" customFormat="1" x14ac:dyDescent="0.25">
      <c r="B573" s="246" t="s">
        <v>1298</v>
      </c>
      <c r="C573" s="287" t="s">
        <v>1299</v>
      </c>
      <c r="D573" s="274" t="s">
        <v>3640</v>
      </c>
      <c r="E573" s="274"/>
      <c r="F573" s="274"/>
      <c r="G573" s="283"/>
      <c r="H573" s="266"/>
      <c r="I573" s="274"/>
      <c r="J573" s="281"/>
      <c r="K573" s="281"/>
      <c r="L573" s="288" t="s">
        <v>3641</v>
      </c>
      <c r="M573" s="284" t="s">
        <v>2962</v>
      </c>
      <c r="N573" s="270">
        <f t="shared" si="74"/>
        <v>0</v>
      </c>
      <c r="O573" s="270">
        <f t="shared" si="75"/>
        <v>0</v>
      </c>
      <c r="P573" s="271">
        <f t="shared" si="76"/>
        <v>0</v>
      </c>
      <c r="Q573" s="532"/>
      <c r="R573" s="354">
        <f>IF(ISERROR(VLOOKUP("RIC"&amp;$C573,ESTR_PREC_SP!$A$2:$G$2000,4,FALSE))=TRUE,0,VLOOKUP("RIC"&amp;$C573,ESTR_PREC_SP!$A$2:$G$2000,4,FALSE))</f>
        <v>0</v>
      </c>
      <c r="S573" s="521"/>
      <c r="T573" s="532"/>
      <c r="U573" s="532"/>
      <c r="V573" s="527"/>
      <c r="W573" s="527"/>
      <c r="X573" s="527"/>
      <c r="Y573" s="527"/>
      <c r="Z573" s="526">
        <f t="shared" si="77"/>
        <v>0</v>
      </c>
      <c r="AA573" s="527"/>
      <c r="AB573" s="527"/>
    </row>
    <row r="574" spans="2:28" s="204" customFormat="1" x14ac:dyDescent="0.25">
      <c r="B574" s="246" t="s">
        <v>1302</v>
      </c>
      <c r="C574" s="287" t="s">
        <v>1303</v>
      </c>
      <c r="D574" s="274" t="s">
        <v>3642</v>
      </c>
      <c r="E574" s="274"/>
      <c r="F574" s="274"/>
      <c r="G574" s="283"/>
      <c r="H574" s="266"/>
      <c r="I574" s="274"/>
      <c r="J574" s="281"/>
      <c r="K574" s="281"/>
      <c r="L574" s="288" t="s">
        <v>3643</v>
      </c>
      <c r="M574" s="284" t="s">
        <v>2962</v>
      </c>
      <c r="N574" s="270">
        <f t="shared" si="74"/>
        <v>0</v>
      </c>
      <c r="O574" s="270">
        <f t="shared" si="75"/>
        <v>0</v>
      </c>
      <c r="P574" s="271">
        <f t="shared" si="76"/>
        <v>0</v>
      </c>
      <c r="Q574" s="532"/>
      <c r="R574" s="354">
        <f>IF(ISERROR(VLOOKUP("RIC"&amp;$C574,ESTR_PREC_SP!$A$2:$G$2000,4,FALSE))=TRUE,0,VLOOKUP("RIC"&amp;$C574,ESTR_PREC_SP!$A$2:$G$2000,4,FALSE))</f>
        <v>0</v>
      </c>
      <c r="S574" s="521"/>
      <c r="T574" s="532"/>
      <c r="U574" s="532"/>
      <c r="V574" s="527"/>
      <c r="W574" s="527"/>
      <c r="X574" s="527"/>
      <c r="Y574" s="527"/>
      <c r="Z574" s="526">
        <f t="shared" si="77"/>
        <v>0</v>
      </c>
      <c r="AA574" s="527"/>
      <c r="AB574" s="527"/>
    </row>
    <row r="575" spans="2:28" s="204" customFormat="1" x14ac:dyDescent="0.25">
      <c r="B575" s="246" t="s">
        <v>1306</v>
      </c>
      <c r="C575" s="287" t="s">
        <v>1307</v>
      </c>
      <c r="D575" s="274" t="s">
        <v>3644</v>
      </c>
      <c r="E575" s="274"/>
      <c r="F575" s="274"/>
      <c r="G575" s="283"/>
      <c r="H575" s="266"/>
      <c r="I575" s="274"/>
      <c r="J575" s="281"/>
      <c r="K575" s="281"/>
      <c r="L575" s="288" t="s">
        <v>3645</v>
      </c>
      <c r="M575" s="284" t="s">
        <v>2962</v>
      </c>
      <c r="N575" s="270">
        <f t="shared" si="74"/>
        <v>0</v>
      </c>
      <c r="O575" s="270">
        <f t="shared" si="75"/>
        <v>0</v>
      </c>
      <c r="P575" s="271">
        <f t="shared" si="76"/>
        <v>0</v>
      </c>
      <c r="Q575" s="532"/>
      <c r="R575" s="354">
        <f>IF(ISERROR(VLOOKUP("RIC"&amp;$C575,ESTR_PREC_SP!$A$2:$G$2000,4,FALSE))=TRUE,0,VLOOKUP("RIC"&amp;$C575,ESTR_PREC_SP!$A$2:$G$2000,4,FALSE))</f>
        <v>0</v>
      </c>
      <c r="S575" s="521"/>
      <c r="T575" s="532"/>
      <c r="U575" s="532"/>
      <c r="V575" s="527"/>
      <c r="W575" s="527"/>
      <c r="X575" s="527"/>
      <c r="Y575" s="527"/>
      <c r="Z575" s="526">
        <f t="shared" si="77"/>
        <v>0</v>
      </c>
      <c r="AA575" s="527"/>
      <c r="AB575" s="527"/>
    </row>
    <row r="576" spans="2:28" s="204" customFormat="1" x14ac:dyDescent="0.25">
      <c r="B576" s="246" t="s">
        <v>1309</v>
      </c>
      <c r="C576" s="287" t="s">
        <v>1310</v>
      </c>
      <c r="D576" s="274" t="s">
        <v>3646</v>
      </c>
      <c r="E576" s="274"/>
      <c r="F576" s="274"/>
      <c r="G576" s="283"/>
      <c r="H576" s="266"/>
      <c r="I576" s="274"/>
      <c r="J576" s="281"/>
      <c r="K576" s="281"/>
      <c r="L576" s="288" t="s">
        <v>3647</v>
      </c>
      <c r="M576" s="284" t="s">
        <v>2962</v>
      </c>
      <c r="N576" s="270">
        <f t="shared" si="74"/>
        <v>0</v>
      </c>
      <c r="O576" s="270">
        <f t="shared" si="75"/>
        <v>0</v>
      </c>
      <c r="P576" s="271">
        <f t="shared" si="76"/>
        <v>0</v>
      </c>
      <c r="Q576" s="532"/>
      <c r="R576" s="354">
        <f>IF(ISERROR(VLOOKUP("RIC"&amp;$C576,ESTR_PREC_SP!$A$2:$G$2000,4,FALSE))=TRUE,0,VLOOKUP("RIC"&amp;$C576,ESTR_PREC_SP!$A$2:$G$2000,4,FALSE))</f>
        <v>0</v>
      </c>
      <c r="S576" s="521"/>
      <c r="T576" s="532"/>
      <c r="U576" s="532"/>
      <c r="V576" s="527"/>
      <c r="W576" s="527"/>
      <c r="X576" s="527"/>
      <c r="Y576" s="527"/>
      <c r="Z576" s="526">
        <f t="shared" si="77"/>
        <v>0</v>
      </c>
      <c r="AA576" s="527"/>
      <c r="AB576" s="527"/>
    </row>
    <row r="577" spans="2:39" s="204" customFormat="1" x14ac:dyDescent="0.25">
      <c r="B577" s="246" t="s">
        <v>1313</v>
      </c>
      <c r="C577" s="287" t="s">
        <v>1314</v>
      </c>
      <c r="D577" s="274" t="s">
        <v>3648</v>
      </c>
      <c r="E577" s="274"/>
      <c r="F577" s="274"/>
      <c r="G577" s="283"/>
      <c r="H577" s="266"/>
      <c r="I577" s="274"/>
      <c r="J577" s="281"/>
      <c r="K577" s="281"/>
      <c r="L577" s="288" t="s">
        <v>3649</v>
      </c>
      <c r="M577" s="284" t="s">
        <v>2962</v>
      </c>
      <c r="N577" s="270">
        <f t="shared" si="74"/>
        <v>0</v>
      </c>
      <c r="O577" s="270">
        <f t="shared" si="75"/>
        <v>0</v>
      </c>
      <c r="P577" s="271">
        <f t="shared" si="76"/>
        <v>0</v>
      </c>
      <c r="Q577" s="532"/>
      <c r="R577" s="354">
        <f>IF(ISERROR(VLOOKUP("RIC"&amp;$C577,ESTR_PREC_SP!$A$2:$G$2000,4,FALSE))=TRUE,0,VLOOKUP("RIC"&amp;$C577,ESTR_PREC_SP!$A$2:$G$2000,4,FALSE))</f>
        <v>0</v>
      </c>
      <c r="S577" s="521"/>
      <c r="T577" s="532"/>
      <c r="U577" s="532"/>
      <c r="V577" s="527"/>
      <c r="W577" s="527"/>
      <c r="X577" s="527"/>
      <c r="Y577" s="527"/>
      <c r="Z577" s="526">
        <f t="shared" si="77"/>
        <v>0</v>
      </c>
      <c r="AA577" s="527"/>
      <c r="AB577" s="527"/>
    </row>
    <row r="578" spans="2:39" s="204" customFormat="1" x14ac:dyDescent="0.25">
      <c r="B578" s="246" t="s">
        <v>1316</v>
      </c>
      <c r="C578" s="287" t="s">
        <v>1317</v>
      </c>
      <c r="D578" s="274" t="s">
        <v>3650</v>
      </c>
      <c r="E578" s="274"/>
      <c r="F578" s="274"/>
      <c r="G578" s="283"/>
      <c r="H578" s="266"/>
      <c r="I578" s="274"/>
      <c r="J578" s="281"/>
      <c r="K578" s="281"/>
      <c r="L578" s="295" t="s">
        <v>3651</v>
      </c>
      <c r="M578" s="284" t="s">
        <v>2962</v>
      </c>
      <c r="N578" s="270">
        <f t="shared" si="74"/>
        <v>0</v>
      </c>
      <c r="O578" s="270">
        <f t="shared" si="75"/>
        <v>0</v>
      </c>
      <c r="P578" s="271">
        <f t="shared" si="76"/>
        <v>0</v>
      </c>
      <c r="Q578" s="532"/>
      <c r="R578" s="354">
        <f>IF(ISERROR(VLOOKUP("RIC"&amp;$C578,ESTR_PREC_SP!$A$2:$G$2000,4,FALSE))=TRUE,0,VLOOKUP("RIC"&amp;$C578,ESTR_PREC_SP!$A$2:$G$2000,4,FALSE))</f>
        <v>0</v>
      </c>
      <c r="S578" s="521"/>
      <c r="T578" s="532"/>
      <c r="U578" s="532"/>
      <c r="V578" s="527"/>
      <c r="W578" s="527"/>
      <c r="X578" s="527"/>
      <c r="Y578" s="527"/>
      <c r="Z578" s="526">
        <f t="shared" si="77"/>
        <v>0</v>
      </c>
      <c r="AA578" s="527"/>
      <c r="AB578" s="527"/>
    </row>
    <row r="579" spans="2:39" s="204" customFormat="1" x14ac:dyDescent="0.25">
      <c r="B579" s="246" t="s">
        <v>1320</v>
      </c>
      <c r="C579" s="287" t="s">
        <v>1321</v>
      </c>
      <c r="D579" s="274" t="s">
        <v>3652</v>
      </c>
      <c r="E579" s="274"/>
      <c r="F579" s="274"/>
      <c r="G579" s="283"/>
      <c r="H579" s="266"/>
      <c r="I579" s="274"/>
      <c r="J579" s="281"/>
      <c r="K579" s="281"/>
      <c r="L579" s="295" t="s">
        <v>3653</v>
      </c>
      <c r="M579" s="284" t="s">
        <v>2962</v>
      </c>
      <c r="N579" s="270">
        <f t="shared" si="74"/>
        <v>0</v>
      </c>
      <c r="O579" s="270">
        <f t="shared" si="75"/>
        <v>0</v>
      </c>
      <c r="P579" s="271">
        <f t="shared" si="76"/>
        <v>0</v>
      </c>
      <c r="Q579" s="532"/>
      <c r="R579" s="354">
        <f>IF(ISERROR(VLOOKUP("RIC"&amp;$C579,ESTR_PREC_SP!$A$2:$G$2000,4,FALSE))=TRUE,0,VLOOKUP("RIC"&amp;$C579,ESTR_PREC_SP!$A$2:$G$2000,4,FALSE))</f>
        <v>0</v>
      </c>
      <c r="S579" s="521"/>
      <c r="T579" s="532"/>
      <c r="U579" s="532"/>
      <c r="V579" s="527"/>
      <c r="W579" s="527"/>
      <c r="X579" s="527"/>
      <c r="Y579" s="527"/>
      <c r="Z579" s="526">
        <f t="shared" si="77"/>
        <v>0</v>
      </c>
      <c r="AA579" s="527"/>
      <c r="AB579" s="527"/>
    </row>
    <row r="580" spans="2:39" s="204" customFormat="1" ht="25.5" x14ac:dyDescent="0.25">
      <c r="B580" s="246" t="s">
        <v>1323</v>
      </c>
      <c r="C580" s="287" t="s">
        <v>1324</v>
      </c>
      <c r="D580" s="274" t="s">
        <v>3654</v>
      </c>
      <c r="E580" s="274"/>
      <c r="F580" s="274"/>
      <c r="G580" s="283"/>
      <c r="H580" s="266"/>
      <c r="I580" s="274"/>
      <c r="J580" s="281"/>
      <c r="K580" s="281"/>
      <c r="L580" s="295" t="s">
        <v>3655</v>
      </c>
      <c r="M580" s="284" t="s">
        <v>2962</v>
      </c>
      <c r="N580" s="270">
        <f t="shared" si="74"/>
        <v>0</v>
      </c>
      <c r="O580" s="270">
        <f t="shared" si="75"/>
        <v>0</v>
      </c>
      <c r="P580" s="271">
        <f t="shared" si="76"/>
        <v>0</v>
      </c>
      <c r="Q580" s="532"/>
      <c r="R580" s="354">
        <f>IF(ISERROR(VLOOKUP("RIC"&amp;$C580,ESTR_PREC_SP!$A$2:$G$2000,4,FALSE))=TRUE,0,VLOOKUP("RIC"&amp;$C580,ESTR_PREC_SP!$A$2:$G$2000,4,FALSE))</f>
        <v>0</v>
      </c>
      <c r="S580" s="521"/>
      <c r="T580" s="532"/>
      <c r="U580" s="532"/>
      <c r="V580" s="527"/>
      <c r="W580" s="527"/>
      <c r="X580" s="527"/>
      <c r="Y580" s="527"/>
      <c r="Z580" s="526">
        <f t="shared" si="77"/>
        <v>0</v>
      </c>
      <c r="AA580" s="527"/>
      <c r="AB580" s="527"/>
    </row>
    <row r="581" spans="2:39" s="204" customFormat="1" x14ac:dyDescent="0.25">
      <c r="B581" s="246" t="s">
        <v>1326</v>
      </c>
      <c r="C581" s="287" t="s">
        <v>1327</v>
      </c>
      <c r="D581" s="274" t="s">
        <v>3656</v>
      </c>
      <c r="E581" s="274"/>
      <c r="F581" s="274"/>
      <c r="G581" s="283"/>
      <c r="H581" s="266"/>
      <c r="I581" s="274"/>
      <c r="J581" s="281"/>
      <c r="K581" s="281"/>
      <c r="L581" s="295" t="s">
        <v>3657</v>
      </c>
      <c r="M581" s="284" t="s">
        <v>2962</v>
      </c>
      <c r="N581" s="270">
        <f t="shared" si="74"/>
        <v>0</v>
      </c>
      <c r="O581" s="270">
        <f t="shared" si="75"/>
        <v>0</v>
      </c>
      <c r="P581" s="271">
        <f t="shared" si="76"/>
        <v>0</v>
      </c>
      <c r="Q581" s="532"/>
      <c r="R581" s="354">
        <f>IF(ISERROR(VLOOKUP("RIC"&amp;$C581,ESTR_PREC_SP!$A$2:$G$2000,4,FALSE))=TRUE,0,VLOOKUP("RIC"&amp;$C581,ESTR_PREC_SP!$A$2:$G$2000,4,FALSE))</f>
        <v>0</v>
      </c>
      <c r="S581" s="521"/>
      <c r="T581" s="532"/>
      <c r="U581" s="532"/>
      <c r="V581" s="527"/>
      <c r="W581" s="527"/>
      <c r="X581" s="527"/>
      <c r="Y581" s="527"/>
      <c r="Z581" s="526">
        <f t="shared" si="77"/>
        <v>0</v>
      </c>
      <c r="AA581" s="527"/>
      <c r="AB581" s="527"/>
    </row>
    <row r="582" spans="2:39" s="204" customFormat="1" x14ac:dyDescent="0.25">
      <c r="B582" s="246" t="s">
        <v>1329</v>
      </c>
      <c r="C582" s="287" t="s">
        <v>1330</v>
      </c>
      <c r="D582" s="274" t="s">
        <v>3658</v>
      </c>
      <c r="E582" s="274"/>
      <c r="F582" s="274"/>
      <c r="G582" s="283"/>
      <c r="H582" s="266"/>
      <c r="I582" s="274"/>
      <c r="J582" s="281"/>
      <c r="K582" s="281"/>
      <c r="L582" s="295" t="s">
        <v>3659</v>
      </c>
      <c r="M582" s="284" t="s">
        <v>2962</v>
      </c>
      <c r="N582" s="270">
        <f t="shared" si="74"/>
        <v>0</v>
      </c>
      <c r="O582" s="270">
        <f t="shared" si="75"/>
        <v>0</v>
      </c>
      <c r="P582" s="271">
        <f t="shared" si="76"/>
        <v>0</v>
      </c>
      <c r="Q582" s="532"/>
      <c r="R582" s="354">
        <f>IF(ISERROR(VLOOKUP("RIC"&amp;$C582,ESTR_PREC_SP!$A$2:$G$2000,4,FALSE))=TRUE,0,VLOOKUP("RIC"&amp;$C582,ESTR_PREC_SP!$A$2:$G$2000,4,FALSE))</f>
        <v>0</v>
      </c>
      <c r="S582" s="521"/>
      <c r="T582" s="532"/>
      <c r="U582" s="532"/>
      <c r="V582" s="527"/>
      <c r="W582" s="527"/>
      <c r="X582" s="527"/>
      <c r="Y582" s="527"/>
      <c r="Z582" s="526">
        <f t="shared" si="77"/>
        <v>0</v>
      </c>
      <c r="AA582" s="527"/>
      <c r="AB582" s="527"/>
    </row>
    <row r="583" spans="2:39" s="204" customFormat="1" x14ac:dyDescent="0.25">
      <c r="B583" s="246" t="s">
        <v>1332</v>
      </c>
      <c r="C583" s="287" t="s">
        <v>1333</v>
      </c>
      <c r="D583" s="274" t="s">
        <v>3660</v>
      </c>
      <c r="E583" s="274"/>
      <c r="F583" s="274"/>
      <c r="G583" s="283"/>
      <c r="H583" s="266"/>
      <c r="I583" s="274"/>
      <c r="J583" s="281"/>
      <c r="K583" s="281"/>
      <c r="L583" s="295" t="s">
        <v>3661</v>
      </c>
      <c r="M583" s="284" t="s">
        <v>2962</v>
      </c>
      <c r="N583" s="270">
        <f t="shared" si="74"/>
        <v>0</v>
      </c>
      <c r="O583" s="270">
        <f t="shared" si="75"/>
        <v>0</v>
      </c>
      <c r="P583" s="271">
        <f t="shared" si="76"/>
        <v>0</v>
      </c>
      <c r="Q583" s="532"/>
      <c r="R583" s="354">
        <f>IF(ISERROR(VLOOKUP("RIC"&amp;$C583,ESTR_PREC_SP!$A$2:$G$2000,4,FALSE))=TRUE,0,VLOOKUP("RIC"&amp;$C583,ESTR_PREC_SP!$A$2:$G$2000,4,FALSE))</f>
        <v>0</v>
      </c>
      <c r="S583" s="521"/>
      <c r="T583" s="532"/>
      <c r="U583" s="532"/>
      <c r="V583" s="527"/>
      <c r="W583" s="527"/>
      <c r="X583" s="527"/>
      <c r="Y583" s="527"/>
      <c r="Z583" s="526">
        <f t="shared" si="77"/>
        <v>0</v>
      </c>
      <c r="AA583" s="527"/>
      <c r="AB583" s="527"/>
    </row>
    <row r="584" spans="2:39" s="204" customFormat="1" x14ac:dyDescent="0.25">
      <c r="B584" s="246" t="s">
        <v>1335</v>
      </c>
      <c r="C584" s="287" t="s">
        <v>1336</v>
      </c>
      <c r="D584" s="274" t="s">
        <v>3662</v>
      </c>
      <c r="E584" s="274"/>
      <c r="F584" s="274"/>
      <c r="G584" s="283"/>
      <c r="H584" s="266"/>
      <c r="I584" s="274"/>
      <c r="J584" s="281"/>
      <c r="K584" s="281"/>
      <c r="L584" s="295" t="s">
        <v>3663</v>
      </c>
      <c r="M584" s="284" t="s">
        <v>2962</v>
      </c>
      <c r="N584" s="270">
        <f t="shared" si="74"/>
        <v>0</v>
      </c>
      <c r="O584" s="270">
        <f t="shared" si="75"/>
        <v>0</v>
      </c>
      <c r="P584" s="271">
        <f t="shared" si="76"/>
        <v>0</v>
      </c>
      <c r="Q584" s="532"/>
      <c r="R584" s="354">
        <f>IF(ISERROR(VLOOKUP("RIC"&amp;$C584,ESTR_PREC_SP!$A$2:$G$2000,4,FALSE))=TRUE,0,VLOOKUP("RIC"&amp;$C584,ESTR_PREC_SP!$A$2:$G$2000,4,FALSE))</f>
        <v>0</v>
      </c>
      <c r="S584" s="521"/>
      <c r="T584" s="532"/>
      <c r="U584" s="532"/>
      <c r="V584" s="527"/>
      <c r="W584" s="527"/>
      <c r="X584" s="527"/>
      <c r="Y584" s="527"/>
      <c r="Z584" s="526">
        <f t="shared" si="77"/>
        <v>0</v>
      </c>
      <c r="AA584" s="527"/>
      <c r="AB584" s="527"/>
    </row>
    <row r="585" spans="2:39" s="204" customFormat="1" x14ac:dyDescent="0.25">
      <c r="B585" s="246" t="s">
        <v>1339</v>
      </c>
      <c r="C585" s="287" t="s">
        <v>1340</v>
      </c>
      <c r="D585" s="274" t="s">
        <v>3664</v>
      </c>
      <c r="E585" s="274"/>
      <c r="F585" s="274"/>
      <c r="G585" s="283"/>
      <c r="H585" s="266"/>
      <c r="I585" s="274"/>
      <c r="J585" s="281"/>
      <c r="K585" s="281"/>
      <c r="L585" s="295" t="s">
        <v>3665</v>
      </c>
      <c r="M585" s="284" t="s">
        <v>2962</v>
      </c>
      <c r="N585" s="270">
        <f t="shared" si="74"/>
        <v>0</v>
      </c>
      <c r="O585" s="270">
        <f t="shared" si="75"/>
        <v>0</v>
      </c>
      <c r="P585" s="271">
        <f t="shared" si="76"/>
        <v>0</v>
      </c>
      <c r="Q585" s="532"/>
      <c r="R585" s="354">
        <f>IF(ISERROR(VLOOKUP("RIC"&amp;$C585,ESTR_PREC_SP!$A$2:$G$2000,4,FALSE))=TRUE,0,VLOOKUP("RIC"&amp;$C585,ESTR_PREC_SP!$A$2:$G$2000,4,FALSE))</f>
        <v>0</v>
      </c>
      <c r="S585" s="521"/>
      <c r="T585" s="532"/>
      <c r="U585" s="532"/>
      <c r="V585" s="527"/>
      <c r="W585" s="527"/>
      <c r="X585" s="527"/>
      <c r="Y585" s="527"/>
      <c r="Z585" s="526">
        <f t="shared" si="77"/>
        <v>0</v>
      </c>
      <c r="AA585" s="527"/>
      <c r="AB585" s="527"/>
    </row>
    <row r="586" spans="2:39" s="204" customFormat="1" x14ac:dyDescent="0.25">
      <c r="B586" s="246" t="s">
        <v>1342</v>
      </c>
      <c r="C586" s="287" t="s">
        <v>1343</v>
      </c>
      <c r="D586" s="274" t="s">
        <v>3666</v>
      </c>
      <c r="E586" s="274"/>
      <c r="F586" s="274"/>
      <c r="G586" s="283"/>
      <c r="H586" s="266"/>
      <c r="I586" s="274"/>
      <c r="J586" s="281"/>
      <c r="K586" s="281"/>
      <c r="L586" s="372" t="s">
        <v>3667</v>
      </c>
      <c r="M586" s="373" t="s">
        <v>2962</v>
      </c>
      <c r="N586" s="270">
        <f t="shared" si="74"/>
        <v>0</v>
      </c>
      <c r="O586" s="270">
        <f t="shared" si="75"/>
        <v>0</v>
      </c>
      <c r="P586" s="374">
        <f t="shared" si="76"/>
        <v>0</v>
      </c>
      <c r="Q586" s="285"/>
      <c r="R586" s="354">
        <f>IF(ISERROR(VLOOKUP("RIC"&amp;$C586,ESTR_PREC_SP!$A$2:$G$2000,4,FALSE))=TRUE,0,VLOOKUP("RIC"&amp;$C586,ESTR_PREC_SP!$A$2:$G$2000,4,FALSE))</f>
        <v>0</v>
      </c>
      <c r="S586" s="211"/>
      <c r="T586" s="211"/>
      <c r="U586" s="211"/>
      <c r="V586" s="211"/>
      <c r="W586" s="211"/>
      <c r="X586" s="211"/>
      <c r="Y586" s="211"/>
      <c r="Z586" s="527"/>
      <c r="AA586" s="211"/>
    </row>
    <row r="587" spans="2:39" s="204" customFormat="1" x14ac:dyDescent="0.25">
      <c r="B587" s="278"/>
      <c r="C587" s="278"/>
      <c r="D587" s="278"/>
      <c r="E587" s="278"/>
      <c r="F587" s="278"/>
      <c r="G587" s="278"/>
      <c r="H587" s="375"/>
      <c r="I587" s="278"/>
      <c r="J587" s="278"/>
      <c r="K587" s="278"/>
      <c r="L587" s="241"/>
      <c r="M587" s="278"/>
      <c r="N587" s="279"/>
      <c r="O587" s="211"/>
      <c r="P587" s="211"/>
      <c r="Q587" s="285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2:39" s="204" customFormat="1" x14ac:dyDescent="0.25">
      <c r="B588" s="278"/>
      <c r="C588" s="278"/>
      <c r="D588" s="278"/>
      <c r="E588" s="278"/>
      <c r="F588" s="278"/>
      <c r="G588" s="278"/>
      <c r="H588" s="375"/>
      <c r="I588" s="278"/>
      <c r="J588" s="278"/>
      <c r="K588" s="278"/>
      <c r="L588" s="241"/>
      <c r="M588" s="278"/>
      <c r="N588" s="279"/>
      <c r="O588" s="211"/>
      <c r="P588" s="211"/>
      <c r="Q588" s="285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2:39" s="204" customFormat="1" ht="25.5" x14ac:dyDescent="0.25">
      <c r="B589" s="333"/>
      <c r="C589" s="333"/>
      <c r="D589" s="333"/>
      <c r="E589" s="333"/>
      <c r="F589" s="333"/>
      <c r="G589" s="333"/>
      <c r="H589" s="376"/>
      <c r="I589" s="333"/>
      <c r="J589" s="333"/>
      <c r="K589" s="333"/>
      <c r="L589" s="243"/>
      <c r="M589" s="244"/>
      <c r="N589" s="330" t="str">
        <f>N$15</f>
        <v>Valore netto al 31/12/2019</v>
      </c>
      <c r="O589" s="331" t="str">
        <f>O$15</f>
        <v>Valore netto al 31/12/2020</v>
      </c>
      <c r="P589" s="330" t="str">
        <f>P$15</f>
        <v>Variazione</v>
      </c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2:39" s="204" customFormat="1" x14ac:dyDescent="0.25">
      <c r="B590" s="246" t="s">
        <v>1348</v>
      </c>
      <c r="C590" s="246" t="s">
        <v>1349</v>
      </c>
      <c r="D590" s="247" t="s">
        <v>3668</v>
      </c>
      <c r="E590" s="247"/>
      <c r="F590" s="247"/>
      <c r="G590" s="247"/>
      <c r="H590" s="248"/>
      <c r="I590" s="247"/>
      <c r="J590" s="247"/>
      <c r="K590" s="249"/>
      <c r="L590" s="250" t="s">
        <v>1350</v>
      </c>
      <c r="M590" s="251" t="s">
        <v>2962</v>
      </c>
      <c r="N590" s="252">
        <f>+N592+N614+N653+N656+N685+N697+N702</f>
        <v>0</v>
      </c>
      <c r="O590" s="252">
        <f>+O592+O614+O653+O656+O685+O697+O702</f>
        <v>0</v>
      </c>
      <c r="P590" s="253">
        <f>+O590-N590</f>
        <v>0</v>
      </c>
      <c r="Q590" s="285"/>
      <c r="R590" s="211"/>
      <c r="S590" s="224">
        <f>S592+S614+S653+S656+S685+S697+S702</f>
        <v>0</v>
      </c>
      <c r="T590" s="211"/>
      <c r="U590" s="211"/>
      <c r="V590" s="211"/>
      <c r="W590" s="211"/>
      <c r="X590" s="211"/>
      <c r="Y590" s="211"/>
      <c r="Z590" s="211"/>
      <c r="AA590" s="211"/>
    </row>
    <row r="591" spans="2:39" s="204" customFormat="1" x14ac:dyDescent="0.25">
      <c r="B591" s="230"/>
      <c r="C591" s="230"/>
      <c r="D591" s="230"/>
      <c r="E591" s="230"/>
      <c r="F591" s="230"/>
      <c r="G591" s="230"/>
      <c r="H591" s="231"/>
      <c r="I591" s="230"/>
      <c r="J591" s="230"/>
      <c r="K591" s="230"/>
      <c r="L591" s="232"/>
      <c r="M591" s="211"/>
      <c r="N591" s="254"/>
      <c r="O591" s="211"/>
      <c r="P591" s="211"/>
      <c r="Q591" s="211"/>
      <c r="R591" s="211"/>
      <c r="S591" s="211"/>
      <c r="T591" s="216"/>
      <c r="U591" s="216"/>
      <c r="V591" s="216"/>
      <c r="W591" s="216"/>
      <c r="X591" s="216"/>
      <c r="Y591" s="216"/>
      <c r="Z591" s="211"/>
      <c r="AA591" s="211"/>
    </row>
    <row r="592" spans="2:39" s="204" customFormat="1" x14ac:dyDescent="0.25">
      <c r="B592" s="246" t="s">
        <v>1351</v>
      </c>
      <c r="C592" s="246" t="s">
        <v>1352</v>
      </c>
      <c r="D592" s="247" t="s">
        <v>3669</v>
      </c>
      <c r="E592" s="247"/>
      <c r="F592" s="247"/>
      <c r="G592" s="247"/>
      <c r="H592" s="248"/>
      <c r="I592" s="247"/>
      <c r="J592" s="247"/>
      <c r="K592" s="249"/>
      <c r="L592" s="276" t="s">
        <v>1353</v>
      </c>
      <c r="M592" s="251" t="s">
        <v>2962</v>
      </c>
      <c r="N592" s="252">
        <f>+SUM(N596:N598)+SUM(N601:N607)+N612</f>
        <v>0</v>
      </c>
      <c r="O592" s="252">
        <f>+SUM(O596:O598)+SUM(O601:O607)+O612</f>
        <v>0</v>
      </c>
      <c r="P592" s="253">
        <f>+O592-N592</f>
        <v>0</v>
      </c>
      <c r="Q592" s="252">
        <f t="shared" ref="Q592:AA592" si="78">+SUM(Q596:Q598)+SUM(Q601:Q607)+Q612</f>
        <v>0</v>
      </c>
      <c r="R592" s="252">
        <f t="shared" si="78"/>
        <v>0</v>
      </c>
      <c r="S592" s="252">
        <f t="shared" si="78"/>
        <v>0</v>
      </c>
      <c r="T592" s="252">
        <f t="shared" si="78"/>
        <v>0</v>
      </c>
      <c r="U592" s="252">
        <f t="shared" si="78"/>
        <v>0</v>
      </c>
      <c r="V592" s="252">
        <f t="shared" si="78"/>
        <v>0</v>
      </c>
      <c r="W592" s="252">
        <f t="shared" si="78"/>
        <v>0</v>
      </c>
      <c r="X592" s="252">
        <f t="shared" si="78"/>
        <v>0</v>
      </c>
      <c r="Y592" s="252">
        <f t="shared" si="78"/>
        <v>0</v>
      </c>
      <c r="Z592" s="252">
        <f t="shared" si="78"/>
        <v>0</v>
      </c>
      <c r="AA592" s="252">
        <f t="shared" si="78"/>
        <v>0</v>
      </c>
      <c r="AB592" s="252">
        <f t="shared" ref="AB592:AM592" si="79">+SUM(AC596:AC598)+SUM(AC601:AC607)+AC612</f>
        <v>0</v>
      </c>
      <c r="AC592" s="252">
        <f t="shared" si="79"/>
        <v>0</v>
      </c>
      <c r="AD592" s="252">
        <f t="shared" si="79"/>
        <v>0</v>
      </c>
      <c r="AE592" s="252">
        <f t="shared" si="79"/>
        <v>0</v>
      </c>
      <c r="AF592" s="252">
        <f t="shared" si="79"/>
        <v>0</v>
      </c>
      <c r="AG592" s="252">
        <f t="shared" si="79"/>
        <v>0</v>
      </c>
      <c r="AH592" s="252">
        <f t="shared" si="79"/>
        <v>0</v>
      </c>
      <c r="AI592" s="252">
        <f t="shared" si="79"/>
        <v>0</v>
      </c>
      <c r="AJ592" s="252">
        <f t="shared" si="79"/>
        <v>0</v>
      </c>
      <c r="AK592" s="252">
        <f t="shared" si="79"/>
        <v>0</v>
      </c>
      <c r="AL592" s="252">
        <f t="shared" si="79"/>
        <v>0</v>
      </c>
      <c r="AM592" s="252">
        <f t="shared" si="79"/>
        <v>0</v>
      </c>
    </row>
    <row r="593" spans="1:39" s="204" customFormat="1" x14ac:dyDescent="0.25">
      <c r="B593" s="216"/>
      <c r="C593" s="216"/>
      <c r="D593" s="226"/>
      <c r="E593" s="226"/>
      <c r="F593" s="226"/>
      <c r="G593" s="226"/>
      <c r="H593" s="227"/>
      <c r="I593" s="226"/>
      <c r="J593" s="226"/>
      <c r="K593" s="226"/>
      <c r="L593" s="241"/>
      <c r="M593" s="278"/>
      <c r="N593" s="279"/>
      <c r="O593" s="279"/>
      <c r="P593" s="279"/>
      <c r="Q593" s="211"/>
      <c r="R593" s="279"/>
      <c r="S593" s="279"/>
      <c r="T593" s="279"/>
      <c r="U593" s="279"/>
      <c r="V593" s="279"/>
      <c r="Y593" s="279"/>
      <c r="AA593" s="275"/>
      <c r="AB593" s="279"/>
      <c r="AC593" s="211"/>
      <c r="AD593" s="211"/>
    </row>
    <row r="594" spans="1:39" s="204" customFormat="1" ht="30" customHeight="1" x14ac:dyDescent="0.25">
      <c r="B594" s="211"/>
      <c r="C594" s="211"/>
      <c r="D594" s="211"/>
      <c r="E594" s="211"/>
      <c r="F594" s="211"/>
      <c r="G594" s="211"/>
      <c r="H594" s="353"/>
      <c r="I594" s="211"/>
      <c r="J594" s="211"/>
      <c r="K594" s="211"/>
      <c r="L594" s="232"/>
      <c r="M594" s="211"/>
      <c r="N594" s="334"/>
      <c r="O594" s="211"/>
      <c r="P594" s="211"/>
      <c r="Q594" s="211"/>
      <c r="R594" s="211"/>
      <c r="S594" s="902" t="s">
        <v>3495</v>
      </c>
      <c r="T594" s="902"/>
      <c r="U594" s="902"/>
      <c r="V594" s="335" t="s">
        <v>3496</v>
      </c>
      <c r="W594" s="336"/>
      <c r="X594" s="335" t="s">
        <v>3496</v>
      </c>
      <c r="AA594" s="211"/>
      <c r="AB594" s="211"/>
      <c r="AC594" s="285"/>
      <c r="AD594" s="211"/>
      <c r="AE594" s="211"/>
      <c r="AF594" s="904" t="str">
        <f>+AE486</f>
        <v>VALORE NOMINALE DEI CREDITI AL 31/12/2020 PER ANNO DI FORMAZIONE</v>
      </c>
      <c r="AG594" s="904"/>
      <c r="AH594" s="904"/>
      <c r="AI594" s="904"/>
      <c r="AJ594" s="904"/>
      <c r="AK594" s="905" t="str">
        <f>+AJ486</f>
        <v>VALORE NETTO DEI CREDITI AL 31/12/2020 PER SCADENZA</v>
      </c>
      <c r="AL594" s="905"/>
      <c r="AM594" s="905"/>
    </row>
    <row r="595" spans="1:39" s="204" customFormat="1" ht="63.75" x14ac:dyDescent="0.25">
      <c r="B595" s="294" t="s">
        <v>2968</v>
      </c>
      <c r="C595" s="294" t="s">
        <v>2969</v>
      </c>
      <c r="D595" s="206" t="s">
        <v>72</v>
      </c>
      <c r="E595" s="206"/>
      <c r="F595" s="206"/>
      <c r="G595" s="207"/>
      <c r="H595" s="207"/>
      <c r="I595" s="207"/>
      <c r="J595" s="207" t="s">
        <v>2957</v>
      </c>
      <c r="K595" s="206" t="s">
        <v>82</v>
      </c>
      <c r="L595" s="261" t="s">
        <v>3670</v>
      </c>
      <c r="M595" s="256"/>
      <c r="N595" s="256" t="str">
        <f>N$15</f>
        <v>Valore netto al 31/12/2019</v>
      </c>
      <c r="O595" s="256" t="str">
        <f>O$15</f>
        <v>Valore netto al 31/12/2020</v>
      </c>
      <c r="P595" s="256" t="str">
        <f>P$15</f>
        <v>Variazione</v>
      </c>
      <c r="Q595" s="262" t="s">
        <v>2971</v>
      </c>
      <c r="R595" s="262" t="str">
        <f>+R487</f>
        <v>Valore iniziale LORDO al 31/12/2019</v>
      </c>
      <c r="S595" s="337" t="s">
        <v>2972</v>
      </c>
      <c r="T595" s="337" t="s">
        <v>3497</v>
      </c>
      <c r="U595" s="337" t="s">
        <v>3495</v>
      </c>
      <c r="V595" s="338" t="s">
        <v>3498</v>
      </c>
      <c r="W595" s="262" t="s">
        <v>2975</v>
      </c>
      <c r="X595" s="338" t="s">
        <v>3499</v>
      </c>
      <c r="Y595" s="262" t="str">
        <f>+Y487</f>
        <v>Valore finale LORDO al 31/12/2020</v>
      </c>
      <c r="Z595" s="377" t="s">
        <v>3671</v>
      </c>
      <c r="AA595" s="262" t="str">
        <f>+Z487</f>
        <v>Fondo svalutazione crediti al 31/12/2019</v>
      </c>
      <c r="AB595" s="262" t="s">
        <v>3500</v>
      </c>
      <c r="AC595" s="262" t="s">
        <v>3501</v>
      </c>
      <c r="AD595" s="262" t="s">
        <v>3502</v>
      </c>
      <c r="AE595" s="262" t="str">
        <f>+AD487</f>
        <v>Fondo svalutazione crediti al 31/12/2020</v>
      </c>
      <c r="AF595" s="339" t="s">
        <v>3503</v>
      </c>
      <c r="AG595" s="339" t="s">
        <v>3504</v>
      </c>
      <c r="AH595" s="339" t="s">
        <v>3505</v>
      </c>
      <c r="AI595" s="339" t="s">
        <v>3506</v>
      </c>
      <c r="AJ595" s="339" t="s">
        <v>3507</v>
      </c>
      <c r="AK595" s="340" t="s">
        <v>3508</v>
      </c>
      <c r="AL595" s="340" t="s">
        <v>3509</v>
      </c>
      <c r="AM595" s="340" t="s">
        <v>3510</v>
      </c>
    </row>
    <row r="596" spans="1:39" s="204" customFormat="1" x14ac:dyDescent="0.25">
      <c r="B596" s="246" t="s">
        <v>1354</v>
      </c>
      <c r="C596" s="287" t="s">
        <v>1355</v>
      </c>
      <c r="D596" s="274" t="s">
        <v>3672</v>
      </c>
      <c r="E596" s="274"/>
      <c r="F596" s="274"/>
      <c r="G596" s="283"/>
      <c r="H596" s="266"/>
      <c r="I596" s="274"/>
      <c r="J596" s="281"/>
      <c r="K596" s="281"/>
      <c r="L596" s="295" t="s">
        <v>1361</v>
      </c>
      <c r="M596" s="284" t="s">
        <v>2962</v>
      </c>
      <c r="N596" s="269">
        <f>+R596-AA596</f>
        <v>0</v>
      </c>
      <c r="O596" s="270">
        <f>+Y596-AE596</f>
        <v>0</v>
      </c>
      <c r="P596" s="271">
        <f t="shared" ref="P596:P612" si="80">+O596-N596</f>
        <v>0</v>
      </c>
      <c r="Q596" s="520"/>
      <c r="R596" s="354">
        <f>IF(ISERROR(VLOOKUP("RIC"&amp;$C596,ESTR_PREC_SP!$A$2:$G$2000,4,FALSE))=TRUE,0,VLOOKUP("RIC"&amp;$C596,ESTR_PREC_SP!$A$2:$G$2000,4,FALSE))</f>
        <v>0</v>
      </c>
      <c r="S596" s="520"/>
      <c r="T596" s="520"/>
      <c r="U596" s="520"/>
      <c r="V596" s="520"/>
      <c r="W596" s="520"/>
      <c r="X596" s="520"/>
      <c r="Y596" s="269">
        <f>+R596+S596+T596+U596-V596-X596+W596+Q596</f>
        <v>0</v>
      </c>
      <c r="Z596" s="534"/>
      <c r="AA596" s="354">
        <f>IF(ISERROR(VLOOKUP("RIC"&amp;$C596,ESTR_PREC_SP!$A$2:$G$2000,5,FALSE))=TRUE,0,VLOOKUP("RIC"&amp;$C596,ESTR_PREC_SP!$A$2:$G$2000,5,FALSE))</f>
        <v>0</v>
      </c>
      <c r="AB596" s="520"/>
      <c r="AC596" s="520"/>
      <c r="AD596" s="520"/>
      <c r="AE596" s="269">
        <f>+AA596+AD596-AC596+AB596</f>
        <v>0</v>
      </c>
      <c r="AF596" s="520"/>
      <c r="AG596" s="520"/>
      <c r="AH596" s="520"/>
      <c r="AI596" s="520"/>
      <c r="AJ596" s="526">
        <f>+Y596-SUM(AF596:AI596)</f>
        <v>0</v>
      </c>
      <c r="AK596" s="526">
        <f>+Y596-AE596-AL596-AM596</f>
        <v>0</v>
      </c>
      <c r="AL596" s="520"/>
      <c r="AM596" s="520"/>
    </row>
    <row r="597" spans="1:39" s="204" customFormat="1" x14ac:dyDescent="0.25">
      <c r="B597" s="246" t="s">
        <v>1362</v>
      </c>
      <c r="C597" s="287" t="s">
        <v>1363</v>
      </c>
      <c r="D597" s="274" t="s">
        <v>3673</v>
      </c>
      <c r="E597" s="274"/>
      <c r="F597" s="274"/>
      <c r="G597" s="283"/>
      <c r="H597" s="266"/>
      <c r="I597" s="274"/>
      <c r="J597" s="281"/>
      <c r="K597" s="281"/>
      <c r="L597" s="295" t="s">
        <v>1366</v>
      </c>
      <c r="M597" s="284" t="s">
        <v>2962</v>
      </c>
      <c r="N597" s="269">
        <f>+R597-AA597</f>
        <v>0</v>
      </c>
      <c r="O597" s="270">
        <f>+Y597-AE597</f>
        <v>0</v>
      </c>
      <c r="P597" s="271">
        <f t="shared" si="80"/>
        <v>0</v>
      </c>
      <c r="Q597" s="520"/>
      <c r="R597" s="354">
        <f>IF(ISERROR(VLOOKUP("RIC"&amp;$C597,ESTR_PREC_SP!$A$2:$G$2000,4,FALSE))=TRUE,0,VLOOKUP("RIC"&amp;$C597,ESTR_PREC_SP!$A$2:$G$2000,4,FALSE))</f>
        <v>0</v>
      </c>
      <c r="S597" s="520"/>
      <c r="T597" s="520"/>
      <c r="U597" s="520"/>
      <c r="V597" s="520"/>
      <c r="W597" s="520"/>
      <c r="X597" s="520"/>
      <c r="Y597" s="269">
        <f>+R597+S597+T597+U597-V597-X597+W597+Q597</f>
        <v>0</v>
      </c>
      <c r="Z597" s="534"/>
      <c r="AA597" s="354">
        <f>IF(ISERROR(VLOOKUP("RIC"&amp;$C597,ESTR_PREC_SP!$A$2:$G$2000,5,FALSE))=TRUE,0,VLOOKUP("RIC"&amp;$C597,ESTR_PREC_SP!$A$2:$G$2000,5,FALSE))</f>
        <v>0</v>
      </c>
      <c r="AB597" s="520"/>
      <c r="AC597" s="520"/>
      <c r="AD597" s="520"/>
      <c r="AE597" s="269">
        <f>+AA597+AD597-AC597+AB597</f>
        <v>0</v>
      </c>
      <c r="AF597" s="520"/>
      <c r="AG597" s="520"/>
      <c r="AH597" s="520"/>
      <c r="AI597" s="520"/>
      <c r="AJ597" s="526">
        <f>+Y597-SUM(AF597:AI597)</f>
        <v>0</v>
      </c>
      <c r="AK597" s="526">
        <f>+Y597-AE597-AL597-AM597</f>
        <v>0</v>
      </c>
      <c r="AL597" s="520"/>
      <c r="AM597" s="520"/>
    </row>
    <row r="598" spans="1:39" s="204" customFormat="1" ht="15" customHeight="1" x14ac:dyDescent="0.25">
      <c r="B598" s="246" t="s">
        <v>1367</v>
      </c>
      <c r="C598" s="287" t="s">
        <v>1368</v>
      </c>
      <c r="D598" s="274" t="s">
        <v>3674</v>
      </c>
      <c r="E598" s="274"/>
      <c r="F598" s="274"/>
      <c r="G598" s="283"/>
      <c r="H598" s="266"/>
      <c r="I598" s="274"/>
      <c r="J598" s="281"/>
      <c r="K598" s="281"/>
      <c r="L598" s="295" t="s">
        <v>1369</v>
      </c>
      <c r="M598" s="284" t="s">
        <v>2962</v>
      </c>
      <c r="N598" s="272">
        <f>SUM(N599:N600)</f>
        <v>0</v>
      </c>
      <c r="O598" s="272">
        <f>SUM(O599:O600)</f>
        <v>0</v>
      </c>
      <c r="P598" s="378">
        <f t="shared" si="80"/>
        <v>0</v>
      </c>
      <c r="Q598" s="272">
        <f t="shared" ref="Q598:X598" si="81">SUM(Q599:Q600)</f>
        <v>0</v>
      </c>
      <c r="R598" s="272">
        <f t="shared" si="81"/>
        <v>0</v>
      </c>
      <c r="S598" s="272">
        <f t="shared" si="81"/>
        <v>0</v>
      </c>
      <c r="T598" s="272">
        <f t="shared" si="81"/>
        <v>0</v>
      </c>
      <c r="U598" s="272">
        <f t="shared" si="81"/>
        <v>0</v>
      </c>
      <c r="V598" s="272">
        <f t="shared" si="81"/>
        <v>0</v>
      </c>
      <c r="W598" s="272">
        <f t="shared" si="81"/>
        <v>0</v>
      </c>
      <c r="X598" s="272">
        <f t="shared" si="81"/>
        <v>0</v>
      </c>
      <c r="Y598" s="272">
        <f>+R598+S598+T598+U598-V598-X598+W598</f>
        <v>0</v>
      </c>
      <c r="Z598" s="272">
        <f t="shared" ref="Z598:AM598" si="82">SUM(Z599:Z600)</f>
        <v>0</v>
      </c>
      <c r="AA598" s="272">
        <f t="shared" si="82"/>
        <v>0</v>
      </c>
      <c r="AB598" s="272">
        <f t="shared" si="82"/>
        <v>0</v>
      </c>
      <c r="AC598" s="272">
        <f t="shared" si="82"/>
        <v>0</v>
      </c>
      <c r="AD598" s="272">
        <f t="shared" si="82"/>
        <v>0</v>
      </c>
      <c r="AE598" s="272">
        <f t="shared" si="82"/>
        <v>0</v>
      </c>
      <c r="AF598" s="272">
        <f t="shared" si="82"/>
        <v>0</v>
      </c>
      <c r="AG598" s="272">
        <f t="shared" si="82"/>
        <v>0</v>
      </c>
      <c r="AH598" s="272">
        <f t="shared" si="82"/>
        <v>0</v>
      </c>
      <c r="AI598" s="272">
        <f t="shared" si="82"/>
        <v>0</v>
      </c>
      <c r="AJ598" s="272">
        <f t="shared" si="82"/>
        <v>0</v>
      </c>
      <c r="AK598" s="272">
        <f t="shared" si="82"/>
        <v>0</v>
      </c>
      <c r="AL598" s="272">
        <f t="shared" si="82"/>
        <v>0</v>
      </c>
      <c r="AM598" s="272">
        <f t="shared" si="82"/>
        <v>0</v>
      </c>
    </row>
    <row r="599" spans="1:39" s="204" customFormat="1" ht="15" customHeight="1" x14ac:dyDescent="0.25">
      <c r="B599" s="246" t="s">
        <v>1370</v>
      </c>
      <c r="C599" s="287" t="s">
        <v>1371</v>
      </c>
      <c r="D599" s="274" t="s">
        <v>3675</v>
      </c>
      <c r="E599" s="274"/>
      <c r="F599" s="274"/>
      <c r="G599" s="283"/>
      <c r="H599" s="266"/>
      <c r="I599" s="274"/>
      <c r="J599" s="281"/>
      <c r="K599" s="281"/>
      <c r="L599" s="379" t="s">
        <v>1374</v>
      </c>
      <c r="M599" s="284" t="s">
        <v>2962</v>
      </c>
      <c r="N599" s="269">
        <f t="shared" ref="N599:N612" si="83">+R599-AA599</f>
        <v>0</v>
      </c>
      <c r="O599" s="270">
        <f t="shared" ref="O599:O612" si="84">+Y599-AE599</f>
        <v>0</v>
      </c>
      <c r="P599" s="271">
        <f t="shared" si="80"/>
        <v>0</v>
      </c>
      <c r="Q599" s="520"/>
      <c r="R599" s="354">
        <f>IF(ISERROR(VLOOKUP("RIC"&amp;$C599,ESTR_PREC_SP!$A$2:$G$2000,4,FALSE))=TRUE,0,VLOOKUP("RIC"&amp;$C599,ESTR_PREC_SP!$A$2:$G$2000,4,FALSE))</f>
        <v>0</v>
      </c>
      <c r="S599" s="520"/>
      <c r="T599" s="520"/>
      <c r="U599" s="520"/>
      <c r="V599" s="520"/>
      <c r="W599" s="520"/>
      <c r="X599" s="520"/>
      <c r="Y599" s="269">
        <f t="shared" ref="Y599:Y606" si="85">+R599+S599+T599+U599-V599-X599+W599+Q599</f>
        <v>0</v>
      </c>
      <c r="Z599" s="534"/>
      <c r="AA599" s="354">
        <f>IF(ISERROR(VLOOKUP("RIC"&amp;$C599,ESTR_PREC_SP!$A$2:$G$2000,5,FALSE))=TRUE,0,VLOOKUP("RIC"&amp;$C599,ESTR_PREC_SP!$A$2:$G$2000,5,FALSE))</f>
        <v>0</v>
      </c>
      <c r="AB599" s="520"/>
      <c r="AC599" s="520"/>
      <c r="AD599" s="520"/>
      <c r="AE599" s="269">
        <f t="shared" ref="AE599:AE606" si="86">+AA599+AD599-AC599+AB599</f>
        <v>0</v>
      </c>
      <c r="AF599" s="520"/>
      <c r="AG599" s="520"/>
      <c r="AH599" s="520"/>
      <c r="AI599" s="520"/>
      <c r="AJ599" s="526">
        <f t="shared" ref="AJ599:AJ606" si="87">+Y599-SUM(AF599:AI599)</f>
        <v>0</v>
      </c>
      <c r="AK599" s="526">
        <f t="shared" ref="AK599:AK606" si="88">+Y599-AE599-AL599-AM599</f>
        <v>0</v>
      </c>
      <c r="AL599" s="520"/>
      <c r="AM599" s="520"/>
    </row>
    <row r="600" spans="1:39" s="204" customFormat="1" ht="15" customHeight="1" x14ac:dyDescent="0.25">
      <c r="B600" s="246" t="s">
        <v>1375</v>
      </c>
      <c r="C600" s="287" t="s">
        <v>1376</v>
      </c>
      <c r="D600" s="274" t="s">
        <v>3676</v>
      </c>
      <c r="E600" s="274"/>
      <c r="F600" s="274"/>
      <c r="G600" s="283"/>
      <c r="H600" s="266"/>
      <c r="I600" s="274"/>
      <c r="J600" s="281"/>
      <c r="K600" s="281"/>
      <c r="L600" s="379" t="s">
        <v>1377</v>
      </c>
      <c r="M600" s="284" t="s">
        <v>2962</v>
      </c>
      <c r="N600" s="269">
        <f t="shared" si="83"/>
        <v>0</v>
      </c>
      <c r="O600" s="270">
        <f t="shared" si="84"/>
        <v>0</v>
      </c>
      <c r="P600" s="271">
        <f t="shared" si="80"/>
        <v>0</v>
      </c>
      <c r="Q600" s="520"/>
      <c r="R600" s="354">
        <f>IF(ISERROR(VLOOKUP("RIC"&amp;$C600,ESTR_PREC_SP!$A$2:$G$2000,4,FALSE))=TRUE,0,VLOOKUP("RIC"&amp;$C600,ESTR_PREC_SP!$A$2:$G$2000,4,FALSE))</f>
        <v>0</v>
      </c>
      <c r="S600" s="520"/>
      <c r="T600" s="520"/>
      <c r="U600" s="520"/>
      <c r="V600" s="520"/>
      <c r="W600" s="520"/>
      <c r="X600" s="520"/>
      <c r="Y600" s="269">
        <f t="shared" si="85"/>
        <v>0</v>
      </c>
      <c r="Z600" s="534"/>
      <c r="AA600" s="354">
        <f>IF(ISERROR(VLOOKUP("RIC"&amp;$C600,ESTR_PREC_SP!$A$2:$G$2000,5,FALSE))=TRUE,0,VLOOKUP("RIC"&amp;$C600,ESTR_PREC_SP!$A$2:$G$2000,5,FALSE))</f>
        <v>0</v>
      </c>
      <c r="AB600" s="520"/>
      <c r="AC600" s="520"/>
      <c r="AD600" s="520"/>
      <c r="AE600" s="269">
        <f t="shared" si="86"/>
        <v>0</v>
      </c>
      <c r="AF600" s="520"/>
      <c r="AG600" s="520"/>
      <c r="AH600" s="520"/>
      <c r="AI600" s="520"/>
      <c r="AJ600" s="526">
        <f t="shared" si="87"/>
        <v>0</v>
      </c>
      <c r="AK600" s="526">
        <f t="shared" si="88"/>
        <v>0</v>
      </c>
      <c r="AL600" s="520"/>
      <c r="AM600" s="520"/>
    </row>
    <row r="601" spans="1:39" s="204" customFormat="1" ht="15" customHeight="1" x14ac:dyDescent="0.25">
      <c r="B601" s="246" t="s">
        <v>1378</v>
      </c>
      <c r="C601" s="287" t="s">
        <v>1379</v>
      </c>
      <c r="D601" s="274" t="s">
        <v>3677</v>
      </c>
      <c r="E601" s="274"/>
      <c r="F601" s="274"/>
      <c r="G601" s="283"/>
      <c r="H601" s="266"/>
      <c r="I601" s="274"/>
      <c r="J601" s="281"/>
      <c r="K601" s="281"/>
      <c r="L601" s="295" t="s">
        <v>1381</v>
      </c>
      <c r="M601" s="284" t="s">
        <v>2962</v>
      </c>
      <c r="N601" s="269">
        <f t="shared" si="83"/>
        <v>0</v>
      </c>
      <c r="O601" s="270">
        <f t="shared" si="84"/>
        <v>0</v>
      </c>
      <c r="P601" s="271">
        <f t="shared" si="80"/>
        <v>0</v>
      </c>
      <c r="Q601" s="520"/>
      <c r="R601" s="354">
        <f>IF(ISERROR(VLOOKUP("RIC"&amp;$C601,ESTR_PREC_SP!$A$2:$G$2000,4,FALSE))=TRUE,0,VLOOKUP("RIC"&amp;$C601,ESTR_PREC_SP!$A$2:$G$2000,4,FALSE))</f>
        <v>0</v>
      </c>
      <c r="S601" s="520"/>
      <c r="T601" s="520"/>
      <c r="U601" s="520"/>
      <c r="V601" s="520"/>
      <c r="W601" s="520"/>
      <c r="X601" s="520"/>
      <c r="Y601" s="269">
        <f t="shared" si="85"/>
        <v>0</v>
      </c>
      <c r="Z601" s="534"/>
      <c r="AA601" s="354">
        <f>IF(ISERROR(VLOOKUP("RIC"&amp;$C601,ESTR_PREC_SP!$A$2:$G$2000,5,FALSE))=TRUE,0,VLOOKUP("RIC"&amp;$C601,ESTR_PREC_SP!$A$2:$G$2000,5,FALSE))</f>
        <v>0</v>
      </c>
      <c r="AB601" s="520"/>
      <c r="AC601" s="520"/>
      <c r="AD601" s="520"/>
      <c r="AE601" s="269">
        <f t="shared" si="86"/>
        <v>0</v>
      </c>
      <c r="AF601" s="520"/>
      <c r="AG601" s="520"/>
      <c r="AH601" s="520"/>
      <c r="AI601" s="520"/>
      <c r="AJ601" s="526">
        <f t="shared" si="87"/>
        <v>0</v>
      </c>
      <c r="AK601" s="526">
        <f t="shared" si="88"/>
        <v>0</v>
      </c>
      <c r="AL601" s="520"/>
      <c r="AM601" s="520"/>
    </row>
    <row r="602" spans="1:39" s="204" customFormat="1" ht="31.5" customHeight="1" x14ac:dyDescent="0.25">
      <c r="B602" s="246" t="s">
        <v>1382</v>
      </c>
      <c r="C602" s="287" t="s">
        <v>1383</v>
      </c>
      <c r="D602" s="274" t="s">
        <v>3678</v>
      </c>
      <c r="E602" s="274"/>
      <c r="F602" s="274"/>
      <c r="G602" s="283"/>
      <c r="H602" s="266"/>
      <c r="I602" s="274"/>
      <c r="J602" s="281"/>
      <c r="K602" s="281"/>
      <c r="L602" s="295" t="s">
        <v>1385</v>
      </c>
      <c r="M602" s="284" t="s">
        <v>2962</v>
      </c>
      <c r="N602" s="269">
        <f t="shared" si="83"/>
        <v>0</v>
      </c>
      <c r="O602" s="270">
        <f t="shared" si="84"/>
        <v>0</v>
      </c>
      <c r="P602" s="271">
        <f t="shared" si="80"/>
        <v>0</v>
      </c>
      <c r="Q602" s="520"/>
      <c r="R602" s="354">
        <f>IF(ISERROR(VLOOKUP("RIC"&amp;$C602,ESTR_PREC_SP!$A$2:$G$2000,4,FALSE))=TRUE,0,VLOOKUP("RIC"&amp;$C602,ESTR_PREC_SP!$A$2:$G$2000,4,FALSE))</f>
        <v>0</v>
      </c>
      <c r="S602" s="520"/>
      <c r="T602" s="520"/>
      <c r="U602" s="520"/>
      <c r="V602" s="520"/>
      <c r="W602" s="520"/>
      <c r="X602" s="520"/>
      <c r="Y602" s="269">
        <f t="shared" si="85"/>
        <v>0</v>
      </c>
      <c r="Z602" s="534"/>
      <c r="AA602" s="354">
        <f>IF(ISERROR(VLOOKUP("RIC"&amp;$C602,ESTR_PREC_SP!$A$2:$G$2000,5,FALSE))=TRUE,0,VLOOKUP("RIC"&amp;$C602,ESTR_PREC_SP!$A$2:$G$2000,5,FALSE))</f>
        <v>0</v>
      </c>
      <c r="AB602" s="520"/>
      <c r="AC602" s="520"/>
      <c r="AD602" s="520"/>
      <c r="AE602" s="269">
        <f t="shared" si="86"/>
        <v>0</v>
      </c>
      <c r="AF602" s="520"/>
      <c r="AG602" s="520"/>
      <c r="AH602" s="520"/>
      <c r="AI602" s="520"/>
      <c r="AJ602" s="526">
        <f t="shared" si="87"/>
        <v>0</v>
      </c>
      <c r="AK602" s="526">
        <f t="shared" si="88"/>
        <v>0</v>
      </c>
      <c r="AL602" s="520"/>
      <c r="AM602" s="520"/>
    </row>
    <row r="603" spans="1:39" s="204" customFormat="1" ht="15" customHeight="1" x14ac:dyDescent="0.25">
      <c r="B603" s="246" t="s">
        <v>1386</v>
      </c>
      <c r="C603" s="287" t="s">
        <v>1387</v>
      </c>
      <c r="D603" s="274" t="s">
        <v>3679</v>
      </c>
      <c r="E603" s="274"/>
      <c r="F603" s="274"/>
      <c r="G603" s="283"/>
      <c r="H603" s="266"/>
      <c r="I603" s="274"/>
      <c r="J603" s="281"/>
      <c r="K603" s="281"/>
      <c r="L603" s="295" t="s">
        <v>1389</v>
      </c>
      <c r="M603" s="284" t="s">
        <v>2962</v>
      </c>
      <c r="N603" s="269">
        <f t="shared" si="83"/>
        <v>0</v>
      </c>
      <c r="O603" s="270">
        <f t="shared" si="84"/>
        <v>0</v>
      </c>
      <c r="P603" s="271">
        <f t="shared" si="80"/>
        <v>0</v>
      </c>
      <c r="Q603" s="520"/>
      <c r="R603" s="354">
        <f>IF(ISERROR(VLOOKUP("RIC"&amp;$C603,ESTR_PREC_SP!$A$2:$G$2000,4,FALSE))=TRUE,0,VLOOKUP("RIC"&amp;$C603,ESTR_PREC_SP!$A$2:$G$2000,4,FALSE))</f>
        <v>0</v>
      </c>
      <c r="S603" s="520"/>
      <c r="T603" s="520"/>
      <c r="U603" s="520"/>
      <c r="V603" s="520"/>
      <c r="W603" s="520"/>
      <c r="X603" s="520"/>
      <c r="Y603" s="269">
        <f t="shared" si="85"/>
        <v>0</v>
      </c>
      <c r="Z603" s="534"/>
      <c r="AA603" s="354">
        <f>IF(ISERROR(VLOOKUP("RIC"&amp;$C603,ESTR_PREC_SP!$A$2:$G$2000,5,FALSE))=TRUE,0,VLOOKUP("RIC"&amp;$C603,ESTR_PREC_SP!$A$2:$G$2000,5,FALSE))</f>
        <v>0</v>
      </c>
      <c r="AB603" s="520"/>
      <c r="AC603" s="520"/>
      <c r="AD603" s="520"/>
      <c r="AE603" s="269">
        <f t="shared" si="86"/>
        <v>0</v>
      </c>
      <c r="AF603" s="520"/>
      <c r="AG603" s="520"/>
      <c r="AH603" s="520"/>
      <c r="AI603" s="520"/>
      <c r="AJ603" s="526">
        <f t="shared" si="87"/>
        <v>0</v>
      </c>
      <c r="AK603" s="526">
        <f t="shared" si="88"/>
        <v>0</v>
      </c>
      <c r="AL603" s="520"/>
      <c r="AM603" s="520"/>
    </row>
    <row r="604" spans="1:39" s="204" customFormat="1" x14ac:dyDescent="0.25">
      <c r="B604" s="246" t="s">
        <v>1390</v>
      </c>
      <c r="C604" s="287" t="s">
        <v>1391</v>
      </c>
      <c r="D604" s="274" t="s">
        <v>3680</v>
      </c>
      <c r="E604" s="274"/>
      <c r="F604" s="274"/>
      <c r="G604" s="283"/>
      <c r="H604" s="266"/>
      <c r="I604" s="274"/>
      <c r="J604" s="281"/>
      <c r="K604" s="281"/>
      <c r="L604" s="295" t="s">
        <v>1393</v>
      </c>
      <c r="M604" s="284" t="s">
        <v>2962</v>
      </c>
      <c r="N604" s="269">
        <f t="shared" si="83"/>
        <v>0</v>
      </c>
      <c r="O604" s="270">
        <f t="shared" si="84"/>
        <v>0</v>
      </c>
      <c r="P604" s="271">
        <f t="shared" si="80"/>
        <v>0</v>
      </c>
      <c r="Q604" s="520"/>
      <c r="R604" s="354">
        <f>IF(ISERROR(VLOOKUP("RIC"&amp;$C604,ESTR_PREC_SP!$A$2:$G$2000,4,FALSE))=TRUE,0,VLOOKUP("RIC"&amp;$C604,ESTR_PREC_SP!$A$2:$G$2000,4,FALSE))</f>
        <v>0</v>
      </c>
      <c r="S604" s="520"/>
      <c r="T604" s="520"/>
      <c r="U604" s="520"/>
      <c r="V604" s="520"/>
      <c r="W604" s="520"/>
      <c r="X604" s="520"/>
      <c r="Y604" s="269">
        <f t="shared" si="85"/>
        <v>0</v>
      </c>
      <c r="Z604" s="534"/>
      <c r="AA604" s="354">
        <f>IF(ISERROR(VLOOKUP("RIC"&amp;$C604,ESTR_PREC_SP!$A$2:$G$2000,5,FALSE))=TRUE,0,VLOOKUP("RIC"&amp;$C604,ESTR_PREC_SP!$A$2:$G$2000,5,FALSE))</f>
        <v>0</v>
      </c>
      <c r="AB604" s="520"/>
      <c r="AC604" s="520"/>
      <c r="AD604" s="520"/>
      <c r="AE604" s="269">
        <f t="shared" si="86"/>
        <v>0</v>
      </c>
      <c r="AF604" s="520"/>
      <c r="AG604" s="520"/>
      <c r="AH604" s="520"/>
      <c r="AI604" s="520"/>
      <c r="AJ604" s="526">
        <f t="shared" si="87"/>
        <v>0</v>
      </c>
      <c r="AK604" s="526">
        <f t="shared" si="88"/>
        <v>0</v>
      </c>
      <c r="AL604" s="520"/>
      <c r="AM604" s="520"/>
    </row>
    <row r="605" spans="1:39" s="204" customFormat="1" x14ac:dyDescent="0.25">
      <c r="A605" s="535" t="s">
        <v>3681</v>
      </c>
      <c r="B605" s="536" t="s">
        <v>1395</v>
      </c>
      <c r="C605" s="536" t="s">
        <v>1396</v>
      </c>
      <c r="D605" s="536"/>
      <c r="E605" s="536"/>
      <c r="F605" s="536"/>
      <c r="G605" s="536"/>
      <c r="H605" s="536"/>
      <c r="I605" s="536"/>
      <c r="J605" s="536"/>
      <c r="K605" s="536"/>
      <c r="L605" s="536" t="s">
        <v>1398</v>
      </c>
      <c r="M605" s="284" t="s">
        <v>2962</v>
      </c>
      <c r="N605" s="269">
        <f t="shared" si="83"/>
        <v>0</v>
      </c>
      <c r="O605" s="270">
        <f t="shared" si="84"/>
        <v>0</v>
      </c>
      <c r="P605" s="271">
        <f t="shared" si="80"/>
        <v>0</v>
      </c>
      <c r="Q605" s="520"/>
      <c r="R605" s="354">
        <f>IF(ISERROR(VLOOKUP("RIC"&amp;$C605,ESTR_PREC_SP!$A$2:$G$2000,4,FALSE))=TRUE,0,VLOOKUP("RIC"&amp;$C605,ESTR_PREC_SP!$A$2:$G$2000,4,FALSE))</f>
        <v>0</v>
      </c>
      <c r="S605" s="520"/>
      <c r="T605" s="520"/>
      <c r="U605" s="520"/>
      <c r="V605" s="520"/>
      <c r="W605" s="520"/>
      <c r="X605" s="520"/>
      <c r="Y605" s="269">
        <f t="shared" si="85"/>
        <v>0</v>
      </c>
      <c r="Z605" s="534"/>
      <c r="AA605" s="354">
        <f>IF(ISERROR(VLOOKUP("RIC"&amp;$C605,ESTR_PREC_SP!$A$2:$G$2000,5,FALSE))=TRUE,0,VLOOKUP("RIC"&amp;$C605,ESTR_PREC_SP!$A$2:$G$2000,5,FALSE))</f>
        <v>0</v>
      </c>
      <c r="AB605" s="520"/>
      <c r="AC605" s="520"/>
      <c r="AD605" s="520"/>
      <c r="AE605" s="269">
        <f t="shared" si="86"/>
        <v>0</v>
      </c>
      <c r="AF605" s="520"/>
      <c r="AG605" s="520"/>
      <c r="AH605" s="520"/>
      <c r="AI605" s="520"/>
      <c r="AJ605" s="526">
        <f t="shared" si="87"/>
        <v>0</v>
      </c>
      <c r="AK605" s="526">
        <f t="shared" si="88"/>
        <v>0</v>
      </c>
      <c r="AL605" s="520"/>
      <c r="AM605" s="520"/>
    </row>
    <row r="606" spans="1:39" s="204" customFormat="1" ht="15" customHeight="1" x14ac:dyDescent="0.25">
      <c r="B606" s="246" t="s">
        <v>1399</v>
      </c>
      <c r="C606" s="287" t="s">
        <v>1400</v>
      </c>
      <c r="D606" s="274" t="s">
        <v>3682</v>
      </c>
      <c r="E606" s="274"/>
      <c r="F606" s="274"/>
      <c r="G606" s="283"/>
      <c r="H606" s="266"/>
      <c r="I606" s="274"/>
      <c r="J606" s="281"/>
      <c r="K606" s="281"/>
      <c r="L606" s="295" t="s">
        <v>3683</v>
      </c>
      <c r="M606" s="284" t="s">
        <v>2962</v>
      </c>
      <c r="N606" s="269">
        <f t="shared" si="83"/>
        <v>0</v>
      </c>
      <c r="O606" s="270">
        <f t="shared" si="84"/>
        <v>0</v>
      </c>
      <c r="P606" s="271">
        <f t="shared" si="80"/>
        <v>0</v>
      </c>
      <c r="Q606" s="520"/>
      <c r="R606" s="354">
        <f>IF(ISERROR(VLOOKUP("RIC"&amp;$C606,ESTR_PREC_SP!$A$2:$G$2000,4,FALSE))=TRUE,0,VLOOKUP("RIC"&amp;$C606,ESTR_PREC_SP!$A$2:$G$2000,4,FALSE))</f>
        <v>0</v>
      </c>
      <c r="S606" s="520"/>
      <c r="T606" s="520"/>
      <c r="U606" s="520"/>
      <c r="V606" s="520"/>
      <c r="W606" s="520"/>
      <c r="X606" s="520"/>
      <c r="Y606" s="269">
        <f t="shared" si="85"/>
        <v>0</v>
      </c>
      <c r="Z606" s="534"/>
      <c r="AA606" s="354">
        <f>IF(ISERROR(VLOOKUP("RIC"&amp;$C606,ESTR_PREC_SP!$A$2:$G$2000,5,FALSE))=TRUE,0,VLOOKUP("RIC"&amp;$C606,ESTR_PREC_SP!$A$2:$G$2000,5,FALSE))</f>
        <v>0</v>
      </c>
      <c r="AB606" s="520"/>
      <c r="AC606" s="520"/>
      <c r="AD606" s="520"/>
      <c r="AE606" s="269">
        <f t="shared" si="86"/>
        <v>0</v>
      </c>
      <c r="AF606" s="520"/>
      <c r="AG606" s="520"/>
      <c r="AH606" s="520"/>
      <c r="AI606" s="520"/>
      <c r="AJ606" s="526">
        <f t="shared" si="87"/>
        <v>0</v>
      </c>
      <c r="AK606" s="526">
        <f t="shared" si="88"/>
        <v>0</v>
      </c>
      <c r="AL606" s="520"/>
      <c r="AM606" s="520"/>
    </row>
    <row r="607" spans="1:39" s="204" customFormat="1" x14ac:dyDescent="0.25">
      <c r="B607" s="246" t="s">
        <v>1405</v>
      </c>
      <c r="C607" s="287" t="s">
        <v>1406</v>
      </c>
      <c r="D607" s="274" t="s">
        <v>3684</v>
      </c>
      <c r="E607" s="274"/>
      <c r="F607" s="274"/>
      <c r="G607" s="283"/>
      <c r="H607" s="266"/>
      <c r="I607" s="274"/>
      <c r="J607" s="281"/>
      <c r="K607" s="281"/>
      <c r="L607" s="295" t="s">
        <v>3685</v>
      </c>
      <c r="M607" s="284" t="s">
        <v>2962</v>
      </c>
      <c r="N607" s="272">
        <f t="shared" si="83"/>
        <v>0</v>
      </c>
      <c r="O607" s="272">
        <f t="shared" si="84"/>
        <v>0</v>
      </c>
      <c r="P607" s="378">
        <f t="shared" si="80"/>
        <v>0</v>
      </c>
      <c r="Q607" s="272">
        <f t="shared" ref="Q607:X607" si="89">SUM(Q608:Q611)</f>
        <v>0</v>
      </c>
      <c r="R607" s="272">
        <f t="shared" si="89"/>
        <v>0</v>
      </c>
      <c r="S607" s="272">
        <f t="shared" si="89"/>
        <v>0</v>
      </c>
      <c r="T607" s="272">
        <f t="shared" si="89"/>
        <v>0</v>
      </c>
      <c r="U607" s="272">
        <f t="shared" si="89"/>
        <v>0</v>
      </c>
      <c r="V607" s="272">
        <f t="shared" si="89"/>
        <v>0</v>
      </c>
      <c r="W607" s="272">
        <f t="shared" si="89"/>
        <v>0</v>
      </c>
      <c r="X607" s="272">
        <f t="shared" si="89"/>
        <v>0</v>
      </c>
      <c r="Y607" s="272">
        <f>+R607+S607+T607+U607-V607-X607+W607</f>
        <v>0</v>
      </c>
      <c r="Z607" s="272">
        <f t="shared" ref="Z607:AM607" si="90">SUM(Z608:Z611)</f>
        <v>0</v>
      </c>
      <c r="AA607" s="272">
        <f t="shared" si="90"/>
        <v>0</v>
      </c>
      <c r="AB607" s="272">
        <f t="shared" si="90"/>
        <v>0</v>
      </c>
      <c r="AC607" s="272">
        <f t="shared" si="90"/>
        <v>0</v>
      </c>
      <c r="AD607" s="272">
        <f t="shared" si="90"/>
        <v>0</v>
      </c>
      <c r="AE607" s="272">
        <f t="shared" si="90"/>
        <v>0</v>
      </c>
      <c r="AF607" s="272">
        <f t="shared" si="90"/>
        <v>0</v>
      </c>
      <c r="AG607" s="272">
        <f t="shared" si="90"/>
        <v>0</v>
      </c>
      <c r="AH607" s="272">
        <f t="shared" si="90"/>
        <v>0</v>
      </c>
      <c r="AI607" s="272">
        <f t="shared" si="90"/>
        <v>0</v>
      </c>
      <c r="AJ607" s="272">
        <f t="shared" si="90"/>
        <v>0</v>
      </c>
      <c r="AK607" s="272">
        <f t="shared" si="90"/>
        <v>0</v>
      </c>
      <c r="AL607" s="272">
        <f t="shared" si="90"/>
        <v>0</v>
      </c>
      <c r="AM607" s="272">
        <f t="shared" si="90"/>
        <v>0</v>
      </c>
    </row>
    <row r="608" spans="1:39" s="204" customFormat="1" ht="15" customHeight="1" x14ac:dyDescent="0.25">
      <c r="B608" s="246" t="s">
        <v>1408</v>
      </c>
      <c r="C608" s="287" t="s">
        <v>1409</v>
      </c>
      <c r="D608" s="274" t="s">
        <v>3686</v>
      </c>
      <c r="E608" s="274"/>
      <c r="F608" s="274"/>
      <c r="G608" s="283"/>
      <c r="H608" s="266"/>
      <c r="I608" s="274"/>
      <c r="J608" s="281"/>
      <c r="K608" s="281"/>
      <c r="L608" s="379" t="s">
        <v>3687</v>
      </c>
      <c r="M608" s="284" t="s">
        <v>2962</v>
      </c>
      <c r="N608" s="269">
        <f t="shared" si="83"/>
        <v>0</v>
      </c>
      <c r="O608" s="270">
        <f t="shared" si="84"/>
        <v>0</v>
      </c>
      <c r="P608" s="271">
        <f t="shared" si="80"/>
        <v>0</v>
      </c>
      <c r="Q608" s="520"/>
      <c r="R608" s="354">
        <f>IF(ISERROR(VLOOKUP("RIC"&amp;$C608,ESTR_PREC_SP!$A$2:$G$2000,4,FALSE))=TRUE,0,VLOOKUP("RIC"&amp;$C608,ESTR_PREC_SP!$A$2:$G$2000,4,FALSE))</f>
        <v>0</v>
      </c>
      <c r="S608" s="520"/>
      <c r="T608" s="520"/>
      <c r="U608" s="520"/>
      <c r="V608" s="520"/>
      <c r="W608" s="520"/>
      <c r="X608" s="520"/>
      <c r="Y608" s="269">
        <f>+R608+S608+T608+U608-V608-X608+W608+Q608</f>
        <v>0</v>
      </c>
      <c r="Z608" s="534"/>
      <c r="AA608" s="354">
        <f>IF(ISERROR(VLOOKUP("RIC"&amp;$C608,ESTR_PREC_SP!$A$2:$G$2000,5,FALSE))=TRUE,0,VLOOKUP("RIC"&amp;$C608,ESTR_PREC_SP!$A$2:$G$2000,5,FALSE))</f>
        <v>0</v>
      </c>
      <c r="AB608" s="520"/>
      <c r="AC608" s="520"/>
      <c r="AD608" s="520"/>
      <c r="AE608" s="269">
        <f>+AA608+AD608-AC608+AB608</f>
        <v>0</v>
      </c>
      <c r="AF608" s="520"/>
      <c r="AG608" s="520"/>
      <c r="AH608" s="520"/>
      <c r="AI608" s="520"/>
      <c r="AJ608" s="526">
        <f>+Y608-SUM(AF608:AI608)</f>
        <v>0</v>
      </c>
      <c r="AK608" s="526">
        <f>+Y608-AE608-AL608-AM608</f>
        <v>0</v>
      </c>
      <c r="AL608" s="520"/>
      <c r="AM608" s="520"/>
    </row>
    <row r="609" spans="2:39" s="204" customFormat="1" ht="15" customHeight="1" x14ac:dyDescent="0.25">
      <c r="B609" s="246" t="s">
        <v>1413</v>
      </c>
      <c r="C609" s="287" t="s">
        <v>1414</v>
      </c>
      <c r="D609" s="274" t="s">
        <v>3688</v>
      </c>
      <c r="E609" s="274"/>
      <c r="F609" s="274"/>
      <c r="G609" s="283"/>
      <c r="H609" s="266"/>
      <c r="I609" s="274"/>
      <c r="J609" s="281"/>
      <c r="K609" s="281"/>
      <c r="L609" s="379" t="s">
        <v>3689</v>
      </c>
      <c r="M609" s="284" t="s">
        <v>2962</v>
      </c>
      <c r="N609" s="269">
        <f t="shared" si="83"/>
        <v>0</v>
      </c>
      <c r="O609" s="270">
        <f t="shared" si="84"/>
        <v>0</v>
      </c>
      <c r="P609" s="271">
        <f t="shared" si="80"/>
        <v>0</v>
      </c>
      <c r="Q609" s="520"/>
      <c r="R609" s="354">
        <f>IF(ISERROR(VLOOKUP("RIC"&amp;$C609,ESTR_PREC_SP!$A$2:$G$2000,4,FALSE))=TRUE,0,VLOOKUP("RIC"&amp;$C609,ESTR_PREC_SP!$A$2:$G$2000,4,FALSE))</f>
        <v>0</v>
      </c>
      <c r="S609" s="520"/>
      <c r="T609" s="520"/>
      <c r="U609" s="520"/>
      <c r="V609" s="520"/>
      <c r="W609" s="520"/>
      <c r="X609" s="520"/>
      <c r="Y609" s="269">
        <f>+R609+S609+T609+U609-V609-X609+W609+Q609</f>
        <v>0</v>
      </c>
      <c r="Z609" s="534"/>
      <c r="AA609" s="354">
        <f>IF(ISERROR(VLOOKUP("RIC"&amp;$C609,ESTR_PREC_SP!$A$2:$G$2000,5,FALSE))=TRUE,0,VLOOKUP("RIC"&amp;$C609,ESTR_PREC_SP!$A$2:$G$2000,5,FALSE))</f>
        <v>0</v>
      </c>
      <c r="AB609" s="520"/>
      <c r="AC609" s="520"/>
      <c r="AD609" s="520"/>
      <c r="AE609" s="269">
        <f>+AA609+AD609-AC609+AB609</f>
        <v>0</v>
      </c>
      <c r="AF609" s="520"/>
      <c r="AG609" s="520"/>
      <c r="AH609" s="520"/>
      <c r="AI609" s="520"/>
      <c r="AJ609" s="526">
        <f>+Y609-SUM(AF609:AI609)</f>
        <v>0</v>
      </c>
      <c r="AK609" s="526">
        <f>+Y609-AE609-AL609-AM609</f>
        <v>0</v>
      </c>
      <c r="AL609" s="520"/>
      <c r="AM609" s="520"/>
    </row>
    <row r="610" spans="2:39" s="204" customFormat="1" ht="15" customHeight="1" x14ac:dyDescent="0.25">
      <c r="B610" s="246" t="s">
        <v>1419</v>
      </c>
      <c r="C610" s="287" t="s">
        <v>1420</v>
      </c>
      <c r="D610" s="274" t="s">
        <v>3690</v>
      </c>
      <c r="E610" s="274"/>
      <c r="F610" s="274"/>
      <c r="G610" s="283"/>
      <c r="H610" s="266"/>
      <c r="I610" s="274"/>
      <c r="J610" s="281"/>
      <c r="K610" s="281"/>
      <c r="L610" s="379" t="s">
        <v>3691</v>
      </c>
      <c r="M610" s="284" t="s">
        <v>2962</v>
      </c>
      <c r="N610" s="269">
        <f t="shared" si="83"/>
        <v>0</v>
      </c>
      <c r="O610" s="270">
        <f t="shared" si="84"/>
        <v>0</v>
      </c>
      <c r="P610" s="271">
        <f t="shared" si="80"/>
        <v>0</v>
      </c>
      <c r="Q610" s="520"/>
      <c r="R610" s="354">
        <f>IF(ISERROR(VLOOKUP("RIC"&amp;$C610,ESTR_PREC_SP!$A$2:$G$2000,4,FALSE))=TRUE,0,VLOOKUP("RIC"&amp;$C610,ESTR_PREC_SP!$A$2:$G$2000,4,FALSE))</f>
        <v>0</v>
      </c>
      <c r="S610" s="520"/>
      <c r="T610" s="520"/>
      <c r="U610" s="520"/>
      <c r="V610" s="520"/>
      <c r="W610" s="520"/>
      <c r="X610" s="520"/>
      <c r="Y610" s="269">
        <f>+R610+S610+T610+U610-V610-X610+W610+Q610</f>
        <v>0</v>
      </c>
      <c r="Z610" s="534"/>
      <c r="AA610" s="354">
        <f>IF(ISERROR(VLOOKUP("RIC"&amp;$C610,ESTR_PREC_SP!$A$2:$G$2000,5,FALSE))=TRUE,0,VLOOKUP("RIC"&amp;$C610,ESTR_PREC_SP!$A$2:$G$2000,5,FALSE))</f>
        <v>0</v>
      </c>
      <c r="AB610" s="520"/>
      <c r="AC610" s="520"/>
      <c r="AD610" s="520"/>
      <c r="AE610" s="269">
        <f>+AA610+AD610-AC610+AB610</f>
        <v>0</v>
      </c>
      <c r="AF610" s="520"/>
      <c r="AG610" s="520"/>
      <c r="AH610" s="520"/>
      <c r="AI610" s="520"/>
      <c r="AJ610" s="526">
        <f>+Y610-SUM(AF610:AI610)</f>
        <v>0</v>
      </c>
      <c r="AK610" s="526">
        <f>+Y610-AE610-AL610-AM610</f>
        <v>0</v>
      </c>
      <c r="AL610" s="520"/>
      <c r="AM610" s="520"/>
    </row>
    <row r="611" spans="2:39" s="204" customFormat="1" ht="15" customHeight="1" x14ac:dyDescent="0.25">
      <c r="B611" s="246" t="s">
        <v>1424</v>
      </c>
      <c r="C611" s="287" t="s">
        <v>1425</v>
      </c>
      <c r="D611" s="274" t="s">
        <v>3692</v>
      </c>
      <c r="E611" s="274"/>
      <c r="F611" s="274"/>
      <c r="G611" s="283"/>
      <c r="H611" s="266"/>
      <c r="I611" s="274"/>
      <c r="J611" s="281"/>
      <c r="K611" s="281"/>
      <c r="L611" s="379" t="s">
        <v>3693</v>
      </c>
      <c r="M611" s="284" t="s">
        <v>2962</v>
      </c>
      <c r="N611" s="269">
        <f t="shared" si="83"/>
        <v>0</v>
      </c>
      <c r="O611" s="270">
        <f t="shared" si="84"/>
        <v>0</v>
      </c>
      <c r="P611" s="271">
        <f t="shared" si="80"/>
        <v>0</v>
      </c>
      <c r="Q611" s="520"/>
      <c r="R611" s="354">
        <f>IF(ISERROR(VLOOKUP("RIC"&amp;$C611,ESTR_PREC_SP!$A$2:$G$2000,4,FALSE))=TRUE,0,VLOOKUP("RIC"&amp;$C611,ESTR_PREC_SP!$A$2:$G$2000,4,FALSE))</f>
        <v>0</v>
      </c>
      <c r="S611" s="520"/>
      <c r="T611" s="520"/>
      <c r="U611" s="520"/>
      <c r="V611" s="520"/>
      <c r="W611" s="520"/>
      <c r="X611" s="520"/>
      <c r="Y611" s="269">
        <f>+R611+S611+T611+U611-V611-X611+W611+Q611</f>
        <v>0</v>
      </c>
      <c r="Z611" s="534"/>
      <c r="AA611" s="354">
        <f>IF(ISERROR(VLOOKUP("RIC"&amp;$C611,ESTR_PREC_SP!$A$2:$G$2000,5,FALSE))=TRUE,0,VLOOKUP("RIC"&amp;$C611,ESTR_PREC_SP!$A$2:$G$2000,5,FALSE))</f>
        <v>0</v>
      </c>
      <c r="AB611" s="520"/>
      <c r="AC611" s="520"/>
      <c r="AD611" s="520"/>
      <c r="AE611" s="269">
        <f>+AA611+AD611-AC611+AB611</f>
        <v>0</v>
      </c>
      <c r="AF611" s="520"/>
      <c r="AG611" s="520"/>
      <c r="AH611" s="520"/>
      <c r="AI611" s="520"/>
      <c r="AJ611" s="526">
        <f>+Y611-SUM(AF611:AI611)</f>
        <v>0</v>
      </c>
      <c r="AK611" s="526">
        <f>+Y611-AE611-AL611-AM611</f>
        <v>0</v>
      </c>
      <c r="AL611" s="520"/>
      <c r="AM611" s="520"/>
    </row>
    <row r="612" spans="2:39" s="204" customFormat="1" x14ac:dyDescent="0.25">
      <c r="B612" s="246" t="s">
        <v>1429</v>
      </c>
      <c r="C612" s="287" t="s">
        <v>1430</v>
      </c>
      <c r="D612" s="274" t="s">
        <v>3694</v>
      </c>
      <c r="E612" s="274"/>
      <c r="F612" s="274"/>
      <c r="G612" s="283"/>
      <c r="H612" s="266"/>
      <c r="I612" s="274"/>
      <c r="J612" s="281"/>
      <c r="K612" s="281"/>
      <c r="L612" s="295" t="s">
        <v>3695</v>
      </c>
      <c r="M612" s="284" t="s">
        <v>2962</v>
      </c>
      <c r="N612" s="269">
        <f t="shared" si="83"/>
        <v>0</v>
      </c>
      <c r="O612" s="270">
        <f t="shared" si="84"/>
        <v>0</v>
      </c>
      <c r="P612" s="271">
        <f t="shared" si="80"/>
        <v>0</v>
      </c>
      <c r="Q612" s="520"/>
      <c r="R612" s="354">
        <f>IF(ISERROR(VLOOKUP("RIC"&amp;$C612,ESTR_PREC_SP!$A$2:$G$2000,4,FALSE))=TRUE,0,VLOOKUP("RIC"&amp;$C612,ESTR_PREC_SP!$A$2:$G$2000,4,FALSE))</f>
        <v>0</v>
      </c>
      <c r="S612" s="520"/>
      <c r="T612" s="520"/>
      <c r="U612" s="520"/>
      <c r="V612" s="520"/>
      <c r="W612" s="520"/>
      <c r="X612" s="520"/>
      <c r="Y612" s="269">
        <f>+R612+S612+T612+U612-V612-X612+W612+Q612</f>
        <v>0</v>
      </c>
      <c r="Z612" s="534"/>
      <c r="AA612" s="354">
        <f>IF(ISERROR(VLOOKUP("RIC"&amp;$C612,ESTR_PREC_SP!$A$2:$G$2000,5,FALSE))=TRUE,0,VLOOKUP("RIC"&amp;$C612,ESTR_PREC_SP!$A$2:$G$2000,5,FALSE))</f>
        <v>0</v>
      </c>
      <c r="AB612" s="520"/>
      <c r="AC612" s="520"/>
      <c r="AD612" s="520"/>
      <c r="AE612" s="269">
        <f>+AA612+AD612-AC612+AB612</f>
        <v>0</v>
      </c>
      <c r="AF612" s="520"/>
      <c r="AG612" s="520"/>
      <c r="AH612" s="520"/>
      <c r="AI612" s="520"/>
      <c r="AJ612" s="526">
        <f>+Y612-SUM(AF612:AI612)</f>
        <v>0</v>
      </c>
      <c r="AK612" s="526">
        <f>+Y612-AE612-AL612-AM612</f>
        <v>0</v>
      </c>
      <c r="AL612" s="520"/>
      <c r="AM612" s="520"/>
    </row>
    <row r="613" spans="2:39" s="204" customFormat="1" x14ac:dyDescent="0.25">
      <c r="B613" s="381"/>
      <c r="C613" s="381"/>
      <c r="D613" s="382"/>
      <c r="E613" s="382"/>
      <c r="F613" s="382"/>
      <c r="G613" s="382"/>
      <c r="H613" s="382"/>
      <c r="I613" s="382"/>
      <c r="J613" s="382"/>
      <c r="K613" s="382"/>
      <c r="L613" s="275"/>
      <c r="M613" s="275"/>
      <c r="N613" s="383"/>
      <c r="O613" s="383"/>
      <c r="P613" s="384"/>
      <c r="Q613" s="211"/>
      <c r="R613" s="275"/>
      <c r="S613" s="275"/>
      <c r="T613" s="275"/>
      <c r="U613" s="275"/>
      <c r="V613" s="275"/>
      <c r="W613" s="275"/>
      <c r="X613" s="275"/>
      <c r="Y613" s="275"/>
      <c r="Z613" s="385"/>
      <c r="AA613" s="385"/>
      <c r="AB613" s="275"/>
      <c r="AC613" s="213"/>
      <c r="AD613" s="213"/>
    </row>
    <row r="614" spans="2:39" s="204" customFormat="1" x14ac:dyDescent="0.25">
      <c r="B614" s="246" t="s">
        <v>1434</v>
      </c>
      <c r="C614" s="292" t="s">
        <v>1435</v>
      </c>
      <c r="D614" s="247" t="s">
        <v>3696</v>
      </c>
      <c r="E614" s="247"/>
      <c r="F614" s="247"/>
      <c r="G614" s="247"/>
      <c r="H614" s="248"/>
      <c r="I614" s="247"/>
      <c r="J614" s="247"/>
      <c r="K614" s="249"/>
      <c r="L614" s="276" t="s">
        <v>1436</v>
      </c>
      <c r="M614" s="251" t="s">
        <v>2962</v>
      </c>
      <c r="N614" s="252">
        <f>+N618+N641+N648+N649</f>
        <v>0</v>
      </c>
      <c r="O614" s="252">
        <f>+O618+O641+O648+O649</f>
        <v>0</v>
      </c>
      <c r="P614" s="253">
        <f>+O614-N614</f>
        <v>0</v>
      </c>
      <c r="Q614" s="252">
        <f t="shared" ref="Q614:AA614" si="91">+Q618+Q641+Q648+Q649</f>
        <v>0</v>
      </c>
      <c r="R614" s="252">
        <f t="shared" si="91"/>
        <v>0</v>
      </c>
      <c r="S614" s="252">
        <f t="shared" si="91"/>
        <v>0</v>
      </c>
      <c r="T614" s="252">
        <f t="shared" si="91"/>
        <v>0</v>
      </c>
      <c r="U614" s="252">
        <f t="shared" si="91"/>
        <v>0</v>
      </c>
      <c r="V614" s="252">
        <f t="shared" si="91"/>
        <v>0</v>
      </c>
      <c r="W614" s="252">
        <f t="shared" si="91"/>
        <v>0</v>
      </c>
      <c r="X614" s="252">
        <f t="shared" si="91"/>
        <v>0</v>
      </c>
      <c r="Y614" s="252">
        <f t="shared" si="91"/>
        <v>0</v>
      </c>
      <c r="Z614" s="252">
        <f t="shared" si="91"/>
        <v>0</v>
      </c>
      <c r="AA614" s="252">
        <f t="shared" si="91"/>
        <v>0</v>
      </c>
      <c r="AB614" s="252">
        <f t="shared" ref="AB614:AM614" si="92">+AC618+AC641+AC648+AC649</f>
        <v>0</v>
      </c>
      <c r="AC614" s="252">
        <f t="shared" si="92"/>
        <v>0</v>
      </c>
      <c r="AD614" s="252">
        <f t="shared" si="92"/>
        <v>0</v>
      </c>
      <c r="AE614" s="252">
        <f t="shared" si="92"/>
        <v>0</v>
      </c>
      <c r="AF614" s="252">
        <f t="shared" si="92"/>
        <v>0</v>
      </c>
      <c r="AG614" s="252">
        <f t="shared" si="92"/>
        <v>0</v>
      </c>
      <c r="AH614" s="252">
        <f t="shared" si="92"/>
        <v>0</v>
      </c>
      <c r="AI614" s="252">
        <f t="shared" si="92"/>
        <v>0</v>
      </c>
      <c r="AJ614" s="252">
        <f t="shared" si="92"/>
        <v>0</v>
      </c>
      <c r="AK614" s="252">
        <f t="shared" si="92"/>
        <v>0</v>
      </c>
      <c r="AL614" s="252">
        <f t="shared" si="92"/>
        <v>0</v>
      </c>
      <c r="AM614" s="252">
        <f t="shared" si="92"/>
        <v>0</v>
      </c>
    </row>
    <row r="615" spans="2:39" s="204" customFormat="1" x14ac:dyDescent="0.25">
      <c r="B615" s="298"/>
      <c r="C615" s="298"/>
      <c r="D615" s="226"/>
      <c r="E615" s="226"/>
      <c r="F615" s="226"/>
      <c r="G615" s="226"/>
      <c r="H615" s="227"/>
      <c r="I615" s="226"/>
      <c r="J615" s="226"/>
      <c r="K615" s="226"/>
      <c r="L615" s="241"/>
      <c r="M615" s="278"/>
      <c r="N615" s="279"/>
      <c r="O615" s="279"/>
      <c r="P615" s="279"/>
      <c r="Q615" s="211"/>
      <c r="R615" s="279"/>
      <c r="S615" s="279"/>
      <c r="T615" s="279"/>
      <c r="U615" s="279"/>
      <c r="V615" s="279"/>
      <c r="Y615" s="279"/>
      <c r="Z615" s="275"/>
      <c r="AA615" s="275"/>
      <c r="AB615" s="279"/>
      <c r="AC615" s="211"/>
      <c r="AD615" s="211"/>
    </row>
    <row r="616" spans="2:39" s="204" customFormat="1" ht="27" customHeight="1" x14ac:dyDescent="0.25">
      <c r="B616" s="289"/>
      <c r="C616" s="289"/>
      <c r="D616" s="211"/>
      <c r="E616" s="211"/>
      <c r="F616" s="211"/>
      <c r="G616" s="211"/>
      <c r="H616" s="353"/>
      <c r="I616" s="211"/>
      <c r="J616" s="211"/>
      <c r="K616" s="211"/>
      <c r="L616" s="232"/>
      <c r="M616" s="211"/>
      <c r="N616" s="334"/>
      <c r="O616" s="211"/>
      <c r="P616" s="211"/>
      <c r="Q616" s="211"/>
      <c r="R616" s="211"/>
      <c r="S616" s="902" t="s">
        <v>3495</v>
      </c>
      <c r="T616" s="902"/>
      <c r="U616" s="902"/>
      <c r="V616" s="335" t="s">
        <v>3496</v>
      </c>
      <c r="W616" s="336"/>
      <c r="X616" s="335" t="s">
        <v>3496</v>
      </c>
      <c r="Z616" s="211"/>
      <c r="AA616" s="211"/>
      <c r="AB616" s="211"/>
      <c r="AC616" s="285"/>
      <c r="AD616" s="211"/>
      <c r="AE616" s="211"/>
      <c r="AF616" s="904" t="str">
        <f>+AF594</f>
        <v>VALORE NOMINALE DEI CREDITI AL 31/12/2020 PER ANNO DI FORMAZIONE</v>
      </c>
      <c r="AG616" s="904"/>
      <c r="AH616" s="904"/>
      <c r="AI616" s="904"/>
      <c r="AJ616" s="904"/>
      <c r="AK616" s="905" t="str">
        <f>+AK594</f>
        <v>VALORE NETTO DEI CREDITI AL 31/12/2020 PER SCADENZA</v>
      </c>
      <c r="AL616" s="905"/>
      <c r="AM616" s="905"/>
    </row>
    <row r="617" spans="2:39" s="204" customFormat="1" ht="63.75" x14ac:dyDescent="0.25">
      <c r="B617" s="294" t="s">
        <v>2968</v>
      </c>
      <c r="C617" s="294" t="s">
        <v>2969</v>
      </c>
      <c r="D617" s="206" t="s">
        <v>72</v>
      </c>
      <c r="E617" s="206"/>
      <c r="F617" s="206"/>
      <c r="G617" s="207"/>
      <c r="H617" s="207"/>
      <c r="I617" s="207"/>
      <c r="J617" s="207" t="s">
        <v>2957</v>
      </c>
      <c r="K617" s="206" t="s">
        <v>82</v>
      </c>
      <c r="L617" s="261" t="s">
        <v>3670</v>
      </c>
      <c r="M617" s="256"/>
      <c r="N617" s="256" t="str">
        <f>N$15</f>
        <v>Valore netto al 31/12/2019</v>
      </c>
      <c r="O617" s="256" t="str">
        <f>O$15</f>
        <v>Valore netto al 31/12/2020</v>
      </c>
      <c r="P617" s="256" t="str">
        <f>P$15</f>
        <v>Variazione</v>
      </c>
      <c r="Q617" s="262" t="s">
        <v>2971</v>
      </c>
      <c r="R617" s="262" t="str">
        <f>+R595</f>
        <v>Valore iniziale LORDO al 31/12/2019</v>
      </c>
      <c r="S617" s="337" t="s">
        <v>2972</v>
      </c>
      <c r="T617" s="337" t="s">
        <v>3497</v>
      </c>
      <c r="U617" s="337" t="s">
        <v>3495</v>
      </c>
      <c r="V617" s="338" t="s">
        <v>3498</v>
      </c>
      <c r="W617" s="262" t="s">
        <v>2975</v>
      </c>
      <c r="X617" s="338" t="s">
        <v>3499</v>
      </c>
      <c r="Y617" s="262" t="str">
        <f>+Y595</f>
        <v>Valore finale LORDO al 31/12/2020</v>
      </c>
      <c r="Z617" s="337" t="str">
        <f>+Z595</f>
        <v>Di cui Fatture da emettere</v>
      </c>
      <c r="AA617" s="262" t="str">
        <f>+AA595</f>
        <v>Fondo svalutazione crediti al 31/12/2019</v>
      </c>
      <c r="AB617" s="262" t="s">
        <v>3500</v>
      </c>
      <c r="AC617" s="262" t="s">
        <v>3501</v>
      </c>
      <c r="AD617" s="262" t="s">
        <v>3502</v>
      </c>
      <c r="AE617" s="262" t="str">
        <f>+AE595</f>
        <v>Fondo svalutazione crediti al 31/12/2020</v>
      </c>
      <c r="AF617" s="339" t="s">
        <v>3503</v>
      </c>
      <c r="AG617" s="339" t="s">
        <v>3504</v>
      </c>
      <c r="AH617" s="339" t="s">
        <v>3505</v>
      </c>
      <c r="AI617" s="339" t="s">
        <v>3506</v>
      </c>
      <c r="AJ617" s="339" t="s">
        <v>3507</v>
      </c>
      <c r="AK617" s="340" t="s">
        <v>3508</v>
      </c>
      <c r="AL617" s="340" t="s">
        <v>3509</v>
      </c>
      <c r="AM617" s="340" t="s">
        <v>3510</v>
      </c>
    </row>
    <row r="618" spans="2:39" s="204" customFormat="1" ht="15" customHeight="1" x14ac:dyDescent="0.25">
      <c r="B618" s="246"/>
      <c r="C618" s="287" t="s">
        <v>1438</v>
      </c>
      <c r="D618" s="274" t="s">
        <v>3697</v>
      </c>
      <c r="E618" s="274"/>
      <c r="F618" s="274"/>
      <c r="G618" s="283"/>
      <c r="H618" s="266"/>
      <c r="I618" s="274"/>
      <c r="J618" s="281"/>
      <c r="K618" s="281"/>
      <c r="L618" s="295" t="s">
        <v>1440</v>
      </c>
      <c r="M618" s="284" t="s">
        <v>2962</v>
      </c>
      <c r="N618" s="272">
        <f>+N619+N620+N621+N629+N630+N634+N635+N636+N637+N639+N638+N640</f>
        <v>0</v>
      </c>
      <c r="O618" s="272">
        <f>+O619+O620+O621+O629+O630+O634+O635+O636+O637+O639+O638+O640</f>
        <v>0</v>
      </c>
      <c r="P618" s="378">
        <f t="shared" ref="P618:P627" si="93">+O618-N618</f>
        <v>0</v>
      </c>
      <c r="Q618" s="272">
        <f>+Q619+Q620+Q621+Q629+Q630+Q634+Q635+Q636+Q637+Q639+Q638+Q640</f>
        <v>0</v>
      </c>
      <c r="R618" s="272">
        <f>+R619+R620+R621+R629+R630+R634+R635+R636+R637+R639</f>
        <v>0</v>
      </c>
      <c r="S618" s="272">
        <f t="shared" ref="S618:AM618" si="94">+S619+S620+S621+S629+S630+S634+S635+S636+S637+S639+S638+S640</f>
        <v>0</v>
      </c>
      <c r="T618" s="272">
        <f t="shared" si="94"/>
        <v>0</v>
      </c>
      <c r="U618" s="272">
        <f t="shared" si="94"/>
        <v>0</v>
      </c>
      <c r="V618" s="272">
        <f t="shared" si="94"/>
        <v>0</v>
      </c>
      <c r="W618" s="272">
        <f t="shared" si="94"/>
        <v>0</v>
      </c>
      <c r="X618" s="272">
        <f t="shared" si="94"/>
        <v>0</v>
      </c>
      <c r="Y618" s="272">
        <f t="shared" si="94"/>
        <v>0</v>
      </c>
      <c r="Z618" s="272">
        <f t="shared" si="94"/>
        <v>0</v>
      </c>
      <c r="AA618" s="272">
        <f t="shared" si="94"/>
        <v>0</v>
      </c>
      <c r="AB618" s="272">
        <f t="shared" si="94"/>
        <v>0</v>
      </c>
      <c r="AC618" s="272">
        <f t="shared" si="94"/>
        <v>0</v>
      </c>
      <c r="AD618" s="272">
        <f t="shared" si="94"/>
        <v>0</v>
      </c>
      <c r="AE618" s="272">
        <f t="shared" si="94"/>
        <v>0</v>
      </c>
      <c r="AF618" s="272">
        <f t="shared" si="94"/>
        <v>0</v>
      </c>
      <c r="AG618" s="272">
        <f t="shared" si="94"/>
        <v>0</v>
      </c>
      <c r="AH618" s="272">
        <f t="shared" si="94"/>
        <v>0</v>
      </c>
      <c r="AI618" s="272">
        <f t="shared" si="94"/>
        <v>0</v>
      </c>
      <c r="AJ618" s="272">
        <f t="shared" si="94"/>
        <v>0</v>
      </c>
      <c r="AK618" s="272">
        <f t="shared" si="94"/>
        <v>0</v>
      </c>
      <c r="AL618" s="272">
        <f t="shared" si="94"/>
        <v>0</v>
      </c>
      <c r="AM618" s="272">
        <f t="shared" si="94"/>
        <v>0</v>
      </c>
    </row>
    <row r="619" spans="2:39" s="204" customFormat="1" ht="15" customHeight="1" x14ac:dyDescent="0.25">
      <c r="B619" s="246"/>
      <c r="C619" s="287" t="s">
        <v>1441</v>
      </c>
      <c r="D619" s="274" t="s">
        <v>3698</v>
      </c>
      <c r="E619" s="274"/>
      <c r="F619" s="274"/>
      <c r="G619" s="283"/>
      <c r="H619" s="266"/>
      <c r="I619" s="274"/>
      <c r="J619" s="281"/>
      <c r="K619" s="281"/>
      <c r="L619" s="379" t="s">
        <v>3699</v>
      </c>
      <c r="M619" s="284" t="s">
        <v>2962</v>
      </c>
      <c r="N619" s="269">
        <f>+R619-AA619</f>
        <v>0</v>
      </c>
      <c r="O619" s="270">
        <f>+Y619-AE619</f>
        <v>0</v>
      </c>
      <c r="P619" s="271">
        <f t="shared" si="93"/>
        <v>0</v>
      </c>
      <c r="Q619" s="520"/>
      <c r="R619" s="354">
        <f>IF(ISERROR(VLOOKUP("RIC"&amp;$C619,ESTR_PREC_SP!$A$2:$G$2000,4,FALSE))=TRUE,0,VLOOKUP("RIC"&amp;$C619,ESTR_PREC_SP!$A$2:$G$2000,4,FALSE))</f>
        <v>0</v>
      </c>
      <c r="S619" s="520"/>
      <c r="T619" s="520"/>
      <c r="U619" s="520"/>
      <c r="V619" s="520"/>
      <c r="W619" s="520"/>
      <c r="X619" s="520"/>
      <c r="Y619" s="269">
        <f>+R619+S619+T619+U619-V619-X619+W619+Q619</f>
        <v>0</v>
      </c>
      <c r="Z619" s="534"/>
      <c r="AA619" s="354">
        <f>IF(ISERROR(VLOOKUP("RIC"&amp;$C619,ESTR_PREC_SP!$A$2:$G$2000,5,FALSE))=TRUE,0,VLOOKUP("RIC"&amp;$C619,ESTR_PREC_SP!$A$2:$G$2000,5,FALSE))</f>
        <v>0</v>
      </c>
      <c r="AB619" s="520"/>
      <c r="AC619" s="520"/>
      <c r="AD619" s="520"/>
      <c r="AE619" s="269">
        <f t="shared" ref="AE619:AE627" si="95">+AA619+AD619-AC619+AB619</f>
        <v>0</v>
      </c>
      <c r="AF619" s="520"/>
      <c r="AG619" s="520"/>
      <c r="AH619" s="520"/>
      <c r="AI619" s="520"/>
      <c r="AJ619" s="526">
        <f t="shared" ref="AJ619:AJ627" si="96">+Y619-SUM(AF619:AI619)</f>
        <v>0</v>
      </c>
      <c r="AK619" s="526">
        <f t="shared" ref="AK619:AK627" si="97">+Y619-AE619-AL619-AM619</f>
        <v>0</v>
      </c>
      <c r="AL619" s="520"/>
      <c r="AM619" s="520"/>
    </row>
    <row r="620" spans="2:39" s="204" customFormat="1" x14ac:dyDescent="0.25">
      <c r="B620" s="246" t="s">
        <v>1437</v>
      </c>
      <c r="C620" s="287" t="s">
        <v>1446</v>
      </c>
      <c r="D620" s="274" t="s">
        <v>3700</v>
      </c>
      <c r="E620" s="274"/>
      <c r="F620" s="274"/>
      <c r="G620" s="283"/>
      <c r="H620" s="266"/>
      <c r="I620" s="274"/>
      <c r="J620" s="281"/>
      <c r="K620" s="281"/>
      <c r="L620" s="379" t="s">
        <v>3701</v>
      </c>
      <c r="M620" s="284" t="s">
        <v>2962</v>
      </c>
      <c r="N620" s="269">
        <f>+R620-AA620</f>
        <v>0</v>
      </c>
      <c r="O620" s="270">
        <f>+Y620-AE620</f>
        <v>0</v>
      </c>
      <c r="P620" s="271">
        <f t="shared" si="93"/>
        <v>0</v>
      </c>
      <c r="Q620" s="520"/>
      <c r="R620" s="354">
        <f>IF(ISERROR(VLOOKUP("RIC"&amp;$C620,ESTR_PREC_SP!$A$2:$G$2000,4,FALSE))=TRUE,0,VLOOKUP("RIC"&amp;$C620,ESTR_PREC_SP!$A$2:$G$2000,4,FALSE))</f>
        <v>0</v>
      </c>
      <c r="S620" s="520"/>
      <c r="T620" s="520"/>
      <c r="U620" s="520"/>
      <c r="V620" s="520"/>
      <c r="W620" s="520"/>
      <c r="X620" s="520"/>
      <c r="Y620" s="269">
        <f>+R620+S620+T620+U620-V620-X620+W620+Q620</f>
        <v>0</v>
      </c>
      <c r="Z620" s="534"/>
      <c r="AA620" s="354">
        <f>IF(ISERROR(VLOOKUP("RIC"&amp;$C620,ESTR_PREC_SP!$A$2:$G$2000,5,FALSE))=TRUE,0,VLOOKUP("RIC"&amp;$C620,ESTR_PREC_SP!$A$2:$G$2000,5,FALSE))</f>
        <v>0</v>
      </c>
      <c r="AB620" s="520"/>
      <c r="AC620" s="520"/>
      <c r="AD620" s="520"/>
      <c r="AE620" s="269">
        <f t="shared" si="95"/>
        <v>0</v>
      </c>
      <c r="AF620" s="520"/>
      <c r="AG620" s="520"/>
      <c r="AH620" s="520"/>
      <c r="AI620" s="520"/>
      <c r="AJ620" s="526">
        <f t="shared" si="96"/>
        <v>0</v>
      </c>
      <c r="AK620" s="526">
        <f t="shared" si="97"/>
        <v>0</v>
      </c>
      <c r="AL620" s="520"/>
      <c r="AM620" s="520"/>
    </row>
    <row r="621" spans="2:39" s="204" customFormat="1" x14ac:dyDescent="0.25">
      <c r="B621" s="246" t="s">
        <v>1450</v>
      </c>
      <c r="C621" s="287" t="s">
        <v>1451</v>
      </c>
      <c r="D621" s="274" t="s">
        <v>3702</v>
      </c>
      <c r="E621" s="274"/>
      <c r="F621" s="274"/>
      <c r="G621" s="283"/>
      <c r="H621" s="266"/>
      <c r="I621" s="274"/>
      <c r="J621" s="281"/>
      <c r="K621" s="281"/>
      <c r="L621" s="379" t="s">
        <v>3703</v>
      </c>
      <c r="M621" s="284" t="s">
        <v>2962</v>
      </c>
      <c r="N621" s="272">
        <f>SUM(N622:N627)</f>
        <v>0</v>
      </c>
      <c r="O621" s="272">
        <f>SUM(O622:O627)</f>
        <v>0</v>
      </c>
      <c r="P621" s="378">
        <f t="shared" si="93"/>
        <v>0</v>
      </c>
      <c r="Q621" s="272">
        <f>SUM(Q622:Q627)</f>
        <v>0</v>
      </c>
      <c r="R621" s="272">
        <f>SUM(R622:R627)</f>
        <v>0</v>
      </c>
      <c r="S621" s="272">
        <f>SUM(S622:S627)</f>
        <v>0</v>
      </c>
      <c r="T621" s="272">
        <f>SUM(T622:T627)</f>
        <v>0</v>
      </c>
      <c r="U621" s="272">
        <f>+U622+U623+U624+U632+U633+U637+U638+U639+U640+U642+U641+U643</f>
        <v>0</v>
      </c>
      <c r="V621" s="272">
        <f>SUM(V622:V627)</f>
        <v>0</v>
      </c>
      <c r="W621" s="272">
        <f>SUM(W622:W627)</f>
        <v>0</v>
      </c>
      <c r="X621" s="272">
        <f>SUM(X622:X627)</f>
        <v>0</v>
      </c>
      <c r="Y621" s="272">
        <f>+R621+S621+T621+U621-V621-X621+W621</f>
        <v>0</v>
      </c>
      <c r="Z621" s="272">
        <f>SUM(Z622:Z627)</f>
        <v>0</v>
      </c>
      <c r="AA621" s="272">
        <f>SUM(AA622:AA627)</f>
        <v>0</v>
      </c>
      <c r="AB621" s="272">
        <f>SUM(AB622:AB627)</f>
        <v>0</v>
      </c>
      <c r="AC621" s="272">
        <f>SUM(AC622:AC627)</f>
        <v>0</v>
      </c>
      <c r="AD621" s="272">
        <f>SUM(AD622:AD627)</f>
        <v>0</v>
      </c>
      <c r="AE621" s="272">
        <f t="shared" si="95"/>
        <v>0</v>
      </c>
      <c r="AF621" s="272">
        <f>SUM(AF622:AF627)</f>
        <v>0</v>
      </c>
      <c r="AG621" s="272">
        <f>SUM(AG622:AG627)</f>
        <v>0</v>
      </c>
      <c r="AH621" s="272">
        <f>SUM(AH622:AH627)</f>
        <v>0</v>
      </c>
      <c r="AI621" s="272">
        <f>SUM(AI622:AI627)</f>
        <v>0</v>
      </c>
      <c r="AJ621" s="537">
        <f t="shared" si="96"/>
        <v>0</v>
      </c>
      <c r="AK621" s="537">
        <f t="shared" si="97"/>
        <v>0</v>
      </c>
      <c r="AL621" s="272">
        <f>SUM(AL622:AL627)</f>
        <v>0</v>
      </c>
      <c r="AM621" s="272">
        <f>SUM(AM622:AM627)</f>
        <v>0</v>
      </c>
    </row>
    <row r="622" spans="2:39" s="204" customFormat="1" x14ac:dyDescent="0.25">
      <c r="B622" s="246" t="s">
        <v>1453</v>
      </c>
      <c r="C622" s="287" t="s">
        <v>1454</v>
      </c>
      <c r="D622" s="274" t="s">
        <v>3704</v>
      </c>
      <c r="E622" s="274"/>
      <c r="F622" s="274"/>
      <c r="G622" s="283"/>
      <c r="H622" s="266"/>
      <c r="I622" s="274"/>
      <c r="J622" s="281"/>
      <c r="K622" s="281"/>
      <c r="L622" s="97" t="s">
        <v>3705</v>
      </c>
      <c r="M622" s="284" t="s">
        <v>2962</v>
      </c>
      <c r="N622" s="269">
        <f t="shared" ref="N622:N627" si="98">+R622-AA622</f>
        <v>0</v>
      </c>
      <c r="O622" s="270">
        <f t="shared" ref="O622:O627" si="99">+Y622-AE622</f>
        <v>0</v>
      </c>
      <c r="P622" s="271">
        <f t="shared" si="93"/>
        <v>0</v>
      </c>
      <c r="Q622" s="520"/>
      <c r="R622" s="354">
        <f>IF(ISERROR(VLOOKUP("RIC"&amp;$C622,ESTR_PREC_SP!$A$2:$G$2000,4,FALSE))=TRUE,0,VLOOKUP("RIC"&amp;$C622,ESTR_PREC_SP!$A$2:$G$2000,4,FALSE))</f>
        <v>0</v>
      </c>
      <c r="S622" s="520"/>
      <c r="T622" s="520"/>
      <c r="U622" s="520"/>
      <c r="V622" s="520"/>
      <c r="W622" s="520"/>
      <c r="X622" s="520"/>
      <c r="Y622" s="269">
        <f t="shared" ref="Y622:Y627" si="100">+R622+S622+T622+U622-V622-X622+W622+Q622</f>
        <v>0</v>
      </c>
      <c r="Z622" s="534"/>
      <c r="AA622" s="354">
        <f>IF(ISERROR(VLOOKUP("RIC"&amp;$C622,ESTR_PREC_SP!$A$2:$G$2000,5,FALSE))=TRUE,0,VLOOKUP("RIC"&amp;$C622,ESTR_PREC_SP!$A$2:$G$2000,5,FALSE))</f>
        <v>0</v>
      </c>
      <c r="AB622" s="520"/>
      <c r="AC622" s="520"/>
      <c r="AD622" s="520"/>
      <c r="AE622" s="269">
        <f t="shared" si="95"/>
        <v>0</v>
      </c>
      <c r="AF622" s="520"/>
      <c r="AG622" s="520"/>
      <c r="AH622" s="520"/>
      <c r="AI622" s="520"/>
      <c r="AJ622" s="526">
        <f t="shared" si="96"/>
        <v>0</v>
      </c>
      <c r="AK622" s="526">
        <f t="shared" si="97"/>
        <v>0</v>
      </c>
      <c r="AL622" s="520"/>
      <c r="AM622" s="520"/>
    </row>
    <row r="623" spans="2:39" s="204" customFormat="1" x14ac:dyDescent="0.25">
      <c r="B623" s="246" t="s">
        <v>1457</v>
      </c>
      <c r="C623" s="287" t="s">
        <v>1458</v>
      </c>
      <c r="D623" s="274" t="s">
        <v>3706</v>
      </c>
      <c r="E623" s="274"/>
      <c r="F623" s="274"/>
      <c r="G623" s="283"/>
      <c r="H623" s="266"/>
      <c r="I623" s="274"/>
      <c r="J623" s="281"/>
      <c r="K623" s="281"/>
      <c r="L623" s="97" t="s">
        <v>3707</v>
      </c>
      <c r="M623" s="284" t="s">
        <v>2962</v>
      </c>
      <c r="N623" s="269">
        <f t="shared" si="98"/>
        <v>0</v>
      </c>
      <c r="O623" s="270">
        <f t="shared" si="99"/>
        <v>0</v>
      </c>
      <c r="P623" s="271">
        <f t="shared" si="93"/>
        <v>0</v>
      </c>
      <c r="Q623" s="520"/>
      <c r="R623" s="354">
        <f>IF(ISERROR(VLOOKUP("RIC"&amp;$C623,ESTR_PREC_SP!$A$2:$G$2000,4,FALSE))=TRUE,0,VLOOKUP("RIC"&amp;$C623,ESTR_PREC_SP!$A$2:$G$2000,4,FALSE))</f>
        <v>0</v>
      </c>
      <c r="S623" s="520"/>
      <c r="T623" s="520"/>
      <c r="U623" s="520"/>
      <c r="V623" s="520"/>
      <c r="W623" s="520"/>
      <c r="X623" s="520"/>
      <c r="Y623" s="269">
        <f t="shared" si="100"/>
        <v>0</v>
      </c>
      <c r="Z623" s="534"/>
      <c r="AA623" s="354">
        <f>IF(ISERROR(VLOOKUP("RIC"&amp;$C623,ESTR_PREC_SP!$A$2:$G$2000,5,FALSE))=TRUE,0,VLOOKUP("RIC"&amp;$C623,ESTR_PREC_SP!$A$2:$G$2000,5,FALSE))</f>
        <v>0</v>
      </c>
      <c r="AB623" s="520"/>
      <c r="AC623" s="520"/>
      <c r="AD623" s="520"/>
      <c r="AE623" s="269">
        <f t="shared" si="95"/>
        <v>0</v>
      </c>
      <c r="AF623" s="520"/>
      <c r="AG623" s="520"/>
      <c r="AH623" s="520"/>
      <c r="AI623" s="520"/>
      <c r="AJ623" s="526">
        <f t="shared" si="96"/>
        <v>0</v>
      </c>
      <c r="AK623" s="526">
        <f t="shared" si="97"/>
        <v>0</v>
      </c>
      <c r="AL623" s="520"/>
      <c r="AM623" s="520"/>
    </row>
    <row r="624" spans="2:39" s="204" customFormat="1" x14ac:dyDescent="0.25">
      <c r="B624" s="246" t="s">
        <v>1460</v>
      </c>
      <c r="C624" s="287" t="s">
        <v>1461</v>
      </c>
      <c r="D624" s="274" t="s">
        <v>3708</v>
      </c>
      <c r="E624" s="274"/>
      <c r="F624" s="274"/>
      <c r="G624" s="283"/>
      <c r="H624" s="266"/>
      <c r="I624" s="274"/>
      <c r="J624" s="281"/>
      <c r="K624" s="281"/>
      <c r="L624" s="97" t="s">
        <v>3709</v>
      </c>
      <c r="M624" s="284" t="s">
        <v>2962</v>
      </c>
      <c r="N624" s="269">
        <f t="shared" si="98"/>
        <v>0</v>
      </c>
      <c r="O624" s="270">
        <f t="shared" si="99"/>
        <v>0</v>
      </c>
      <c r="P624" s="271">
        <f t="shared" si="93"/>
        <v>0</v>
      </c>
      <c r="Q624" s="520"/>
      <c r="R624" s="354">
        <f>IF(ISERROR(VLOOKUP("RIC"&amp;$C624,ESTR_PREC_SP!$A$2:$G$2000,4,FALSE))=TRUE,0,VLOOKUP("RIC"&amp;$C624,ESTR_PREC_SP!$A$2:$G$2000,4,FALSE))</f>
        <v>0</v>
      </c>
      <c r="S624" s="520"/>
      <c r="T624" s="520"/>
      <c r="U624" s="520"/>
      <c r="V624" s="520"/>
      <c r="W624" s="520"/>
      <c r="X624" s="520"/>
      <c r="Y624" s="269">
        <f t="shared" si="100"/>
        <v>0</v>
      </c>
      <c r="Z624" s="534"/>
      <c r="AA624" s="354">
        <f>IF(ISERROR(VLOOKUP("RIC"&amp;$C624,ESTR_PREC_SP!$A$2:$G$2000,5,FALSE))=TRUE,0,VLOOKUP("RIC"&amp;$C624,ESTR_PREC_SP!$A$2:$G$2000,5,FALSE))</f>
        <v>0</v>
      </c>
      <c r="AB624" s="520"/>
      <c r="AC624" s="520"/>
      <c r="AD624" s="520"/>
      <c r="AE624" s="269">
        <f t="shared" si="95"/>
        <v>0</v>
      </c>
      <c r="AF624" s="520"/>
      <c r="AG624" s="520"/>
      <c r="AH624" s="520"/>
      <c r="AI624" s="520"/>
      <c r="AJ624" s="526">
        <f t="shared" si="96"/>
        <v>0</v>
      </c>
      <c r="AK624" s="526">
        <f t="shared" si="97"/>
        <v>0</v>
      </c>
      <c r="AL624" s="520"/>
      <c r="AM624" s="520"/>
    </row>
    <row r="625" spans="1:39" s="204" customFormat="1" x14ac:dyDescent="0.25">
      <c r="B625" s="246" t="s">
        <v>1463</v>
      </c>
      <c r="C625" s="287" t="s">
        <v>1464</v>
      </c>
      <c r="D625" s="274" t="s">
        <v>3710</v>
      </c>
      <c r="E625" s="274"/>
      <c r="F625" s="274"/>
      <c r="G625" s="283"/>
      <c r="H625" s="266"/>
      <c r="I625" s="274"/>
      <c r="J625" s="281"/>
      <c r="K625" s="281"/>
      <c r="L625" s="386" t="s">
        <v>3711</v>
      </c>
      <c r="M625" s="284" t="s">
        <v>2962</v>
      </c>
      <c r="N625" s="269">
        <f t="shared" si="98"/>
        <v>0</v>
      </c>
      <c r="O625" s="270">
        <f t="shared" si="99"/>
        <v>0</v>
      </c>
      <c r="P625" s="271">
        <f t="shared" si="93"/>
        <v>0</v>
      </c>
      <c r="Q625" s="520"/>
      <c r="R625" s="354">
        <f>IF(ISERROR(VLOOKUP("RIC"&amp;$C625,ESTR_PREC_SP!$A$2:$G$2000,4,FALSE))=TRUE,0,VLOOKUP("RIC"&amp;$C625,ESTR_PREC_SP!$A$2:$G$2000,4,FALSE))</f>
        <v>0</v>
      </c>
      <c r="S625" s="520"/>
      <c r="T625" s="520"/>
      <c r="U625" s="520"/>
      <c r="V625" s="520"/>
      <c r="W625" s="520"/>
      <c r="X625" s="520"/>
      <c r="Y625" s="269">
        <f t="shared" si="100"/>
        <v>0</v>
      </c>
      <c r="Z625" s="534"/>
      <c r="AA625" s="354">
        <f>IF(ISERROR(VLOOKUP("RIC"&amp;$C625,ESTR_PREC_SP!$A$2:$G$2000,5,FALSE))=TRUE,0,VLOOKUP("RIC"&amp;$C625,ESTR_PREC_SP!$A$2:$G$2000,5,FALSE))</f>
        <v>0</v>
      </c>
      <c r="AB625" s="520"/>
      <c r="AC625" s="520"/>
      <c r="AD625" s="520"/>
      <c r="AE625" s="269">
        <f t="shared" si="95"/>
        <v>0</v>
      </c>
      <c r="AF625" s="520"/>
      <c r="AG625" s="520"/>
      <c r="AH625" s="520"/>
      <c r="AI625" s="520"/>
      <c r="AJ625" s="526">
        <f t="shared" si="96"/>
        <v>0</v>
      </c>
      <c r="AK625" s="526">
        <f t="shared" si="97"/>
        <v>0</v>
      </c>
      <c r="AL625" s="520"/>
      <c r="AM625" s="520"/>
    </row>
    <row r="626" spans="1:39" s="204" customFormat="1" x14ac:dyDescent="0.25">
      <c r="B626" s="246" t="s">
        <v>1466</v>
      </c>
      <c r="C626" s="287" t="s">
        <v>1467</v>
      </c>
      <c r="D626" s="274" t="s">
        <v>3712</v>
      </c>
      <c r="E626" s="274"/>
      <c r="F626" s="274"/>
      <c r="G626" s="283"/>
      <c r="H626" s="266"/>
      <c r="I626" s="274"/>
      <c r="J626" s="281"/>
      <c r="K626" s="281"/>
      <c r="L626" s="97" t="s">
        <v>3713</v>
      </c>
      <c r="M626" s="284" t="s">
        <v>2962</v>
      </c>
      <c r="N626" s="269">
        <f t="shared" si="98"/>
        <v>0</v>
      </c>
      <c r="O626" s="270">
        <f t="shared" si="99"/>
        <v>0</v>
      </c>
      <c r="P626" s="271">
        <f t="shared" si="93"/>
        <v>0</v>
      </c>
      <c r="Q626" s="520"/>
      <c r="R626" s="354">
        <f>IF(ISERROR(VLOOKUP("RIC"&amp;$C626,ESTR_PREC_SP!$A$2:$G$2000,4,FALSE))=TRUE,0,VLOOKUP("RIC"&amp;$C626,ESTR_PREC_SP!$A$2:$G$2000,4,FALSE))</f>
        <v>0</v>
      </c>
      <c r="S626" s="520"/>
      <c r="T626" s="520"/>
      <c r="U626" s="520"/>
      <c r="V626" s="520"/>
      <c r="W626" s="520"/>
      <c r="X626" s="520"/>
      <c r="Y626" s="269">
        <f t="shared" si="100"/>
        <v>0</v>
      </c>
      <c r="Z626" s="534"/>
      <c r="AA626" s="354">
        <f>IF(ISERROR(VLOOKUP("RIC"&amp;$C626,ESTR_PREC_SP!$A$2:$G$2000,5,FALSE))=TRUE,0,VLOOKUP("RIC"&amp;$C626,ESTR_PREC_SP!$A$2:$G$2000,5,FALSE))</f>
        <v>0</v>
      </c>
      <c r="AB626" s="520"/>
      <c r="AC626" s="520"/>
      <c r="AD626" s="520"/>
      <c r="AE626" s="269">
        <f t="shared" si="95"/>
        <v>0</v>
      </c>
      <c r="AF626" s="520"/>
      <c r="AG626" s="520"/>
      <c r="AH626" s="520"/>
      <c r="AI626" s="520"/>
      <c r="AJ626" s="526">
        <f t="shared" si="96"/>
        <v>0</v>
      </c>
      <c r="AK626" s="526">
        <f t="shared" si="97"/>
        <v>0</v>
      </c>
      <c r="AL626" s="520"/>
      <c r="AM626" s="520"/>
    </row>
    <row r="627" spans="1:39" s="204" customFormat="1" x14ac:dyDescent="0.25">
      <c r="B627" s="246" t="s">
        <v>1469</v>
      </c>
      <c r="C627" s="287" t="s">
        <v>1470</v>
      </c>
      <c r="D627" s="274" t="s">
        <v>3714</v>
      </c>
      <c r="E627" s="274"/>
      <c r="F627" s="274"/>
      <c r="G627" s="283"/>
      <c r="H627" s="266"/>
      <c r="I627" s="274"/>
      <c r="J627" s="281"/>
      <c r="K627" s="281"/>
      <c r="L627" s="97" t="s">
        <v>3715</v>
      </c>
      <c r="M627" s="284" t="s">
        <v>2962</v>
      </c>
      <c r="N627" s="269">
        <f t="shared" si="98"/>
        <v>0</v>
      </c>
      <c r="O627" s="270">
        <f t="shared" si="99"/>
        <v>0</v>
      </c>
      <c r="P627" s="271">
        <f t="shared" si="93"/>
        <v>0</v>
      </c>
      <c r="Q627" s="520"/>
      <c r="R627" s="354">
        <f>IF(ISERROR(VLOOKUP("RIC"&amp;$C627,ESTR_PREC_SP!$A$2:$G$2000,4,FALSE))=TRUE,0,VLOOKUP("RIC"&amp;$C627,ESTR_PREC_SP!$A$2:$G$2000,4,FALSE))</f>
        <v>0</v>
      </c>
      <c r="S627" s="520"/>
      <c r="T627" s="520"/>
      <c r="U627" s="520"/>
      <c r="V627" s="520"/>
      <c r="W627" s="520"/>
      <c r="X627" s="520"/>
      <c r="Y627" s="269">
        <f t="shared" si="100"/>
        <v>0</v>
      </c>
      <c r="Z627" s="534"/>
      <c r="AA627" s="354">
        <f>IF(ISERROR(VLOOKUP("RIC"&amp;$C627,ESTR_PREC_SP!$A$2:$G$2000,5,FALSE))=TRUE,0,VLOOKUP("RIC"&amp;$C627,ESTR_PREC_SP!$A$2:$G$2000,5,FALSE))</f>
        <v>0</v>
      </c>
      <c r="AB627" s="520"/>
      <c r="AC627" s="520"/>
      <c r="AD627" s="520"/>
      <c r="AE627" s="269">
        <f t="shared" si="95"/>
        <v>0</v>
      </c>
      <c r="AF627" s="520"/>
      <c r="AG627" s="520"/>
      <c r="AH627" s="520"/>
      <c r="AI627" s="520"/>
      <c r="AJ627" s="526">
        <f t="shared" si="96"/>
        <v>0</v>
      </c>
      <c r="AK627" s="526">
        <f t="shared" si="97"/>
        <v>0</v>
      </c>
      <c r="AL627" s="520"/>
      <c r="AM627" s="520"/>
    </row>
    <row r="628" spans="1:39" s="204" customFormat="1" x14ac:dyDescent="0.25">
      <c r="B628" s="246"/>
      <c r="C628" s="287"/>
      <c r="D628" s="274"/>
      <c r="E628" s="274"/>
      <c r="F628" s="274"/>
      <c r="G628" s="283"/>
      <c r="H628" s="266"/>
      <c r="I628" s="274"/>
      <c r="J628" s="281"/>
      <c r="K628" s="281"/>
      <c r="L628" s="97"/>
      <c r="M628" s="284"/>
      <c r="N628" s="269"/>
      <c r="O628" s="270"/>
      <c r="P628" s="271"/>
      <c r="Q628" s="520"/>
      <c r="R628" s="354"/>
      <c r="S628" s="520"/>
      <c r="T628" s="520"/>
      <c r="U628" s="520"/>
      <c r="V628" s="520"/>
      <c r="W628" s="520"/>
      <c r="X628" s="520"/>
      <c r="Y628" s="269"/>
      <c r="Z628" s="534"/>
      <c r="AA628" s="354"/>
      <c r="AB628" s="520"/>
      <c r="AC628" s="520"/>
      <c r="AD628" s="520"/>
      <c r="AE628" s="269"/>
      <c r="AF628" s="520"/>
      <c r="AG628" s="520"/>
      <c r="AH628" s="520"/>
      <c r="AI628" s="520"/>
      <c r="AJ628" s="526"/>
      <c r="AK628" s="526"/>
      <c r="AL628" s="520"/>
      <c r="AM628" s="520"/>
    </row>
    <row r="629" spans="1:39" s="204" customFormat="1" ht="25.5" x14ac:dyDescent="0.25">
      <c r="B629" s="246" t="s">
        <v>1476</v>
      </c>
      <c r="C629" s="287" t="s">
        <v>1477</v>
      </c>
      <c r="D629" s="274" t="s">
        <v>3716</v>
      </c>
      <c r="E629" s="274"/>
      <c r="F629" s="274"/>
      <c r="G629" s="283"/>
      <c r="H629" s="266"/>
      <c r="I629" s="274"/>
      <c r="J629" s="281"/>
      <c r="K629" s="281"/>
      <c r="L629" s="379" t="s">
        <v>3717</v>
      </c>
      <c r="M629" s="284" t="s">
        <v>2962</v>
      </c>
      <c r="N629" s="269">
        <f>+R629-AA629</f>
        <v>0</v>
      </c>
      <c r="O629" s="270">
        <f>+Y629-AE629</f>
        <v>0</v>
      </c>
      <c r="P629" s="271">
        <f t="shared" ref="P629:P649" si="101">+O629-N629</f>
        <v>0</v>
      </c>
      <c r="Q629" s="520"/>
      <c r="R629" s="354">
        <f>IF(ISERROR(VLOOKUP("RIC"&amp;$C629,ESTR_PREC_SP!$A$2:$G$2000,4,FALSE))=TRUE,0,VLOOKUP("RIC"&amp;$C629,ESTR_PREC_SP!$A$2:$G$2000,4,FALSE))</f>
        <v>0</v>
      </c>
      <c r="S629" s="520"/>
      <c r="T629" s="520"/>
      <c r="U629" s="520"/>
      <c r="V629" s="520"/>
      <c r="W629" s="520"/>
      <c r="X629" s="520"/>
      <c r="Y629" s="269">
        <f>+R629+S629+T629+U629-V629-X629+W629+Q629</f>
        <v>0</v>
      </c>
      <c r="Z629" s="534"/>
      <c r="AA629" s="354">
        <f>IF(ISERROR(VLOOKUP("RIC"&amp;$C629,ESTR_PREC_SP!$A$2:$G$2000,5,FALSE))=TRUE,0,VLOOKUP("RIC"&amp;$C629,ESTR_PREC_SP!$A$2:$G$2000,5,FALSE))</f>
        <v>0</v>
      </c>
      <c r="AB629" s="520"/>
      <c r="AC629" s="520"/>
      <c r="AD629" s="520"/>
      <c r="AE629" s="269">
        <f t="shared" ref="AE629:AE649" si="102">+AA629+AD629-AC629+AB629</f>
        <v>0</v>
      </c>
      <c r="AF629" s="520"/>
      <c r="AG629" s="520"/>
      <c r="AH629" s="520"/>
      <c r="AI629" s="520"/>
      <c r="AJ629" s="526">
        <f t="shared" ref="AJ629:AJ649" si="103">+Y629-SUM(AF629:AI629)</f>
        <v>0</v>
      </c>
      <c r="AK629" s="526">
        <f t="shared" ref="AK629:AK649" si="104">+Y629-AE629-AL629-AM629</f>
        <v>0</v>
      </c>
      <c r="AL629" s="520"/>
      <c r="AM629" s="520"/>
    </row>
    <row r="630" spans="1:39" s="204" customFormat="1" ht="25.5" x14ac:dyDescent="0.25">
      <c r="B630" s="246" t="s">
        <v>1481</v>
      </c>
      <c r="C630" s="287" t="s">
        <v>1482</v>
      </c>
      <c r="D630" s="274" t="s">
        <v>3718</v>
      </c>
      <c r="E630" s="274"/>
      <c r="F630" s="274"/>
      <c r="G630" s="283"/>
      <c r="H630" s="266"/>
      <c r="I630" s="274"/>
      <c r="J630" s="281"/>
      <c r="K630" s="281"/>
      <c r="L630" s="379" t="s">
        <v>3719</v>
      </c>
      <c r="M630" s="284" t="s">
        <v>2962</v>
      </c>
      <c r="N630" s="272">
        <f>SUM(N631:N633)</f>
        <v>0</v>
      </c>
      <c r="O630" s="272">
        <f>SUM(O631:O633)</f>
        <v>0</v>
      </c>
      <c r="P630" s="378">
        <f t="shared" si="101"/>
        <v>0</v>
      </c>
      <c r="Q630" s="272">
        <f t="shared" ref="Q630:X630" si="105">SUM(Q631:Q633)</f>
        <v>0</v>
      </c>
      <c r="R630" s="272">
        <f t="shared" si="105"/>
        <v>0</v>
      </c>
      <c r="S630" s="272">
        <f t="shared" si="105"/>
        <v>0</v>
      </c>
      <c r="T630" s="272">
        <f t="shared" si="105"/>
        <v>0</v>
      </c>
      <c r="U630" s="272">
        <f t="shared" si="105"/>
        <v>0</v>
      </c>
      <c r="V630" s="272">
        <f t="shared" si="105"/>
        <v>0</v>
      </c>
      <c r="W630" s="272">
        <f t="shared" si="105"/>
        <v>0</v>
      </c>
      <c r="X630" s="272">
        <f t="shared" si="105"/>
        <v>0</v>
      </c>
      <c r="Y630" s="272">
        <f>+R630+S630+T630+U630-V630-X630+W630</f>
        <v>0</v>
      </c>
      <c r="Z630" s="272">
        <f>SUM(Z631:Z633)</f>
        <v>0</v>
      </c>
      <c r="AA630" s="272">
        <f>SUM(AA631:AA633)</f>
        <v>0</v>
      </c>
      <c r="AB630" s="272">
        <f>SUM(AB631:AB633)</f>
        <v>0</v>
      </c>
      <c r="AC630" s="272">
        <f>SUM(AC631:AC633)</f>
        <v>0</v>
      </c>
      <c r="AD630" s="272">
        <f>SUM(AD631:AD633)</f>
        <v>0</v>
      </c>
      <c r="AE630" s="272">
        <f t="shared" si="102"/>
        <v>0</v>
      </c>
      <c r="AF630" s="272">
        <f>SUM(AF631:AF633)</f>
        <v>0</v>
      </c>
      <c r="AG630" s="272">
        <f>SUM(AG631:AG633)</f>
        <v>0</v>
      </c>
      <c r="AH630" s="272">
        <f>SUM(AH631:AH633)</f>
        <v>0</v>
      </c>
      <c r="AI630" s="272">
        <f>SUM(AI631:AI633)</f>
        <v>0</v>
      </c>
      <c r="AJ630" s="537">
        <f t="shared" si="103"/>
        <v>0</v>
      </c>
      <c r="AK630" s="537">
        <f t="shared" si="104"/>
        <v>0</v>
      </c>
      <c r="AL630" s="272">
        <f>SUM(AL631:AL633)</f>
        <v>0</v>
      </c>
      <c r="AM630" s="272">
        <f>SUM(AM631:AM633)</f>
        <v>0</v>
      </c>
    </row>
    <row r="631" spans="1:39" s="204" customFormat="1" ht="25.5" x14ac:dyDescent="0.25">
      <c r="B631" s="246" t="s">
        <v>1485</v>
      </c>
      <c r="C631" s="287" t="s">
        <v>1486</v>
      </c>
      <c r="D631" s="274" t="s">
        <v>3720</v>
      </c>
      <c r="E631" s="274"/>
      <c r="F631" s="274"/>
      <c r="G631" s="283"/>
      <c r="H631" s="266"/>
      <c r="I631" s="274"/>
      <c r="J631" s="281"/>
      <c r="K631" s="281"/>
      <c r="L631" s="97" t="s">
        <v>3721</v>
      </c>
      <c r="M631" s="284" t="s">
        <v>2962</v>
      </c>
      <c r="N631" s="269">
        <f t="shared" ref="N631:N640" si="106">+R631-AA631</f>
        <v>0</v>
      </c>
      <c r="O631" s="270">
        <f t="shared" ref="O631:O640" si="107">+Y631-AE631</f>
        <v>0</v>
      </c>
      <c r="P631" s="271">
        <f t="shared" si="101"/>
        <v>0</v>
      </c>
      <c r="Q631" s="520"/>
      <c r="R631" s="354">
        <f>IF(ISERROR(VLOOKUP("RIC"&amp;$C631,ESTR_PREC_SP!$A$2:$G$2000,4,FALSE))=TRUE,0,VLOOKUP("RIC"&amp;$C631,ESTR_PREC_SP!$A$2:$G$2000,4,FALSE))</f>
        <v>0</v>
      </c>
      <c r="S631" s="520"/>
      <c r="T631" s="520"/>
      <c r="U631" s="520"/>
      <c r="V631" s="520"/>
      <c r="W631" s="520"/>
      <c r="X631" s="520"/>
      <c r="Y631" s="269">
        <f t="shared" ref="Y631:Y640" si="108">+R631+S631+T631+U631-V631-X631+W631+Q631</f>
        <v>0</v>
      </c>
      <c r="Z631" s="534"/>
      <c r="AA631" s="354">
        <f>IF(ISERROR(VLOOKUP("RIC"&amp;$C631,ESTR_PREC_SP!$A$2:$G$2000,5,FALSE))=TRUE,0,VLOOKUP("RIC"&amp;$C631,ESTR_PREC_SP!$A$2:$G$2000,5,FALSE))</f>
        <v>0</v>
      </c>
      <c r="AB631" s="520"/>
      <c r="AC631" s="520"/>
      <c r="AD631" s="520"/>
      <c r="AE631" s="269">
        <f t="shared" si="102"/>
        <v>0</v>
      </c>
      <c r="AF631" s="520"/>
      <c r="AG631" s="520"/>
      <c r="AH631" s="520"/>
      <c r="AI631" s="520"/>
      <c r="AJ631" s="526">
        <f t="shared" si="103"/>
        <v>0</v>
      </c>
      <c r="AK631" s="526">
        <f t="shared" si="104"/>
        <v>0</v>
      </c>
      <c r="AL631" s="520"/>
      <c r="AM631" s="520"/>
    </row>
    <row r="632" spans="1:39" s="204" customFormat="1" ht="25.5" x14ac:dyDescent="0.25">
      <c r="B632" s="246" t="s">
        <v>1488</v>
      </c>
      <c r="C632" s="287" t="s">
        <v>1489</v>
      </c>
      <c r="D632" s="274" t="s">
        <v>3722</v>
      </c>
      <c r="E632" s="274"/>
      <c r="F632" s="274"/>
      <c r="G632" s="283"/>
      <c r="H632" s="266"/>
      <c r="I632" s="274"/>
      <c r="J632" s="281"/>
      <c r="K632" s="281"/>
      <c r="L632" s="97" t="s">
        <v>3723</v>
      </c>
      <c r="M632" s="284" t="s">
        <v>2962</v>
      </c>
      <c r="N632" s="269">
        <f t="shared" si="106"/>
        <v>0</v>
      </c>
      <c r="O632" s="270">
        <f t="shared" si="107"/>
        <v>0</v>
      </c>
      <c r="P632" s="271">
        <f t="shared" si="101"/>
        <v>0</v>
      </c>
      <c r="Q632" s="520"/>
      <c r="R632" s="354">
        <f>IF(ISERROR(VLOOKUP("RIC"&amp;$C632,ESTR_PREC_SP!$A$2:$G$2000,4,FALSE))=TRUE,0,VLOOKUP("RIC"&amp;$C632,ESTR_PREC_SP!$A$2:$G$2000,4,FALSE))</f>
        <v>0</v>
      </c>
      <c r="S632" s="520"/>
      <c r="T632" s="520"/>
      <c r="U632" s="520"/>
      <c r="V632" s="520"/>
      <c r="W632" s="520"/>
      <c r="X632" s="520"/>
      <c r="Y632" s="269">
        <f t="shared" si="108"/>
        <v>0</v>
      </c>
      <c r="Z632" s="534"/>
      <c r="AA632" s="354">
        <f>IF(ISERROR(VLOOKUP("RIC"&amp;$C632,ESTR_PREC_SP!$A$2:$G$2000,5,FALSE))=TRUE,0,VLOOKUP("RIC"&amp;$C632,ESTR_PREC_SP!$A$2:$G$2000,5,FALSE))</f>
        <v>0</v>
      </c>
      <c r="AB632" s="520"/>
      <c r="AC632" s="520"/>
      <c r="AD632" s="520"/>
      <c r="AE632" s="269">
        <f t="shared" si="102"/>
        <v>0</v>
      </c>
      <c r="AF632" s="520"/>
      <c r="AG632" s="520"/>
      <c r="AH632" s="520"/>
      <c r="AI632" s="520"/>
      <c r="AJ632" s="526">
        <f t="shared" si="103"/>
        <v>0</v>
      </c>
      <c r="AK632" s="526">
        <f t="shared" si="104"/>
        <v>0</v>
      </c>
      <c r="AL632" s="520"/>
      <c r="AM632" s="520"/>
    </row>
    <row r="633" spans="1:39" s="204" customFormat="1" ht="25.5" x14ac:dyDescent="0.25">
      <c r="B633" s="246" t="s">
        <v>1491</v>
      </c>
      <c r="C633" s="287" t="s">
        <v>1492</v>
      </c>
      <c r="D633" s="274" t="s">
        <v>3724</v>
      </c>
      <c r="E633" s="274"/>
      <c r="F633" s="274"/>
      <c r="G633" s="283"/>
      <c r="H633" s="266"/>
      <c r="I633" s="274"/>
      <c r="J633" s="281"/>
      <c r="K633" s="281"/>
      <c r="L633" s="97" t="s">
        <v>3725</v>
      </c>
      <c r="M633" s="284" t="s">
        <v>2962</v>
      </c>
      <c r="N633" s="269">
        <f t="shared" si="106"/>
        <v>0</v>
      </c>
      <c r="O633" s="270">
        <f t="shared" si="107"/>
        <v>0</v>
      </c>
      <c r="P633" s="271">
        <f t="shared" si="101"/>
        <v>0</v>
      </c>
      <c r="Q633" s="520"/>
      <c r="R633" s="354">
        <f>IF(ISERROR(VLOOKUP("RIC"&amp;$C633,ESTR_PREC_SP!$A$2:$G$2000,4,FALSE))=TRUE,0,VLOOKUP("RIC"&amp;$C633,ESTR_PREC_SP!$A$2:$G$2000,4,FALSE))</f>
        <v>0</v>
      </c>
      <c r="S633" s="520"/>
      <c r="T633" s="520"/>
      <c r="U633" s="520"/>
      <c r="V633" s="520"/>
      <c r="W633" s="520"/>
      <c r="X633" s="520"/>
      <c r="Y633" s="269">
        <f t="shared" si="108"/>
        <v>0</v>
      </c>
      <c r="Z633" s="534"/>
      <c r="AA633" s="354">
        <f>IF(ISERROR(VLOOKUP("RIC"&amp;$C633,ESTR_PREC_SP!$A$2:$G$2000,5,FALSE))=TRUE,0,VLOOKUP("RIC"&amp;$C633,ESTR_PREC_SP!$A$2:$G$2000,5,FALSE))</f>
        <v>0</v>
      </c>
      <c r="AB633" s="520"/>
      <c r="AC633" s="520"/>
      <c r="AD633" s="520"/>
      <c r="AE633" s="269">
        <f t="shared" si="102"/>
        <v>0</v>
      </c>
      <c r="AF633" s="520"/>
      <c r="AG633" s="520"/>
      <c r="AH633" s="520"/>
      <c r="AI633" s="520"/>
      <c r="AJ633" s="526">
        <f t="shared" si="103"/>
        <v>0</v>
      </c>
      <c r="AK633" s="526">
        <f t="shared" si="104"/>
        <v>0</v>
      </c>
      <c r="AL633" s="520"/>
      <c r="AM633" s="520"/>
    </row>
    <row r="634" spans="1:39" s="204" customFormat="1" x14ac:dyDescent="0.25">
      <c r="B634" s="246" t="s">
        <v>1494</v>
      </c>
      <c r="C634" s="287" t="s">
        <v>1495</v>
      </c>
      <c r="D634" s="274" t="s">
        <v>3726</v>
      </c>
      <c r="E634" s="274"/>
      <c r="F634" s="274"/>
      <c r="G634" s="283"/>
      <c r="H634" s="266"/>
      <c r="I634" s="274"/>
      <c r="J634" s="281"/>
      <c r="K634" s="281"/>
      <c r="L634" s="379" t="s">
        <v>3727</v>
      </c>
      <c r="M634" s="284" t="s">
        <v>2962</v>
      </c>
      <c r="N634" s="269">
        <f t="shared" si="106"/>
        <v>0</v>
      </c>
      <c r="O634" s="270">
        <f t="shared" si="107"/>
        <v>0</v>
      </c>
      <c r="P634" s="271">
        <f t="shared" si="101"/>
        <v>0</v>
      </c>
      <c r="Q634" s="520"/>
      <c r="R634" s="354">
        <f>IF(ISERROR(VLOOKUP("RIC"&amp;$C634,ESTR_PREC_SP!$A$2:$G$2000,4,FALSE))=TRUE,0,VLOOKUP("RIC"&amp;$C634,ESTR_PREC_SP!$A$2:$G$2000,4,FALSE))</f>
        <v>0</v>
      </c>
      <c r="S634" s="520"/>
      <c r="T634" s="520"/>
      <c r="U634" s="520"/>
      <c r="V634" s="520"/>
      <c r="W634" s="520"/>
      <c r="X634" s="520"/>
      <c r="Y634" s="269">
        <f t="shared" si="108"/>
        <v>0</v>
      </c>
      <c r="Z634" s="534"/>
      <c r="AA634" s="354">
        <f>IF(ISERROR(VLOOKUP("RIC"&amp;$C634,ESTR_PREC_SP!$A$2:$G$2000,5,FALSE))=TRUE,0,VLOOKUP("RIC"&amp;$C634,ESTR_PREC_SP!$A$2:$G$2000,5,FALSE))</f>
        <v>0</v>
      </c>
      <c r="AB634" s="520"/>
      <c r="AC634" s="520"/>
      <c r="AD634" s="520"/>
      <c r="AE634" s="269">
        <f t="shared" si="102"/>
        <v>0</v>
      </c>
      <c r="AF634" s="520"/>
      <c r="AG634" s="520"/>
      <c r="AH634" s="520"/>
      <c r="AI634" s="520"/>
      <c r="AJ634" s="526">
        <f t="shared" si="103"/>
        <v>0</v>
      </c>
      <c r="AK634" s="526">
        <f t="shared" si="104"/>
        <v>0</v>
      </c>
      <c r="AL634" s="520"/>
      <c r="AM634" s="520"/>
    </row>
    <row r="635" spans="1:39" s="204" customFormat="1" ht="25.5" x14ac:dyDescent="0.25">
      <c r="B635" s="246" t="s">
        <v>1498</v>
      </c>
      <c r="C635" s="287" t="s">
        <v>1499</v>
      </c>
      <c r="D635" s="274" t="s">
        <v>3728</v>
      </c>
      <c r="E635" s="274"/>
      <c r="F635" s="274"/>
      <c r="G635" s="283"/>
      <c r="H635" s="266"/>
      <c r="I635" s="274"/>
      <c r="J635" s="281"/>
      <c r="K635" s="281"/>
      <c r="L635" s="379" t="s">
        <v>3729</v>
      </c>
      <c r="M635" s="284" t="s">
        <v>2962</v>
      </c>
      <c r="N635" s="269">
        <f t="shared" si="106"/>
        <v>0</v>
      </c>
      <c r="O635" s="270">
        <f t="shared" si="107"/>
        <v>0</v>
      </c>
      <c r="P635" s="271">
        <f t="shared" si="101"/>
        <v>0</v>
      </c>
      <c r="Q635" s="520"/>
      <c r="R635" s="354">
        <f>IF(ISERROR(VLOOKUP("RIC"&amp;$C635,ESTR_PREC_SP!$A$2:$G$2000,4,FALSE))=TRUE,0,VLOOKUP("RIC"&amp;$C635,ESTR_PREC_SP!$A$2:$G$2000,4,FALSE))</f>
        <v>0</v>
      </c>
      <c r="S635" s="520"/>
      <c r="T635" s="520"/>
      <c r="U635" s="520"/>
      <c r="V635" s="520"/>
      <c r="W635" s="520"/>
      <c r="X635" s="520"/>
      <c r="Y635" s="269">
        <f t="shared" si="108"/>
        <v>0</v>
      </c>
      <c r="Z635" s="534"/>
      <c r="AA635" s="354">
        <f>IF(ISERROR(VLOOKUP("RIC"&amp;$C635,ESTR_PREC_SP!$A$2:$G$2000,5,FALSE))=TRUE,0,VLOOKUP("RIC"&amp;$C635,ESTR_PREC_SP!$A$2:$G$2000,5,FALSE))</f>
        <v>0</v>
      </c>
      <c r="AB635" s="520"/>
      <c r="AC635" s="520"/>
      <c r="AD635" s="520"/>
      <c r="AE635" s="269">
        <f t="shared" si="102"/>
        <v>0</v>
      </c>
      <c r="AF635" s="520"/>
      <c r="AG635" s="520"/>
      <c r="AH635" s="520"/>
      <c r="AI635" s="520"/>
      <c r="AJ635" s="526">
        <f t="shared" si="103"/>
        <v>0</v>
      </c>
      <c r="AK635" s="526">
        <f t="shared" si="104"/>
        <v>0</v>
      </c>
      <c r="AL635" s="520"/>
      <c r="AM635" s="520"/>
    </row>
    <row r="636" spans="1:39" s="204" customFormat="1" ht="25.5" x14ac:dyDescent="0.25">
      <c r="B636" s="246" t="s">
        <v>1503</v>
      </c>
      <c r="C636" s="287" t="s">
        <v>1504</v>
      </c>
      <c r="D636" s="274" t="s">
        <v>3730</v>
      </c>
      <c r="E636" s="274"/>
      <c r="F636" s="274"/>
      <c r="G636" s="283"/>
      <c r="H636" s="266"/>
      <c r="I636" s="274"/>
      <c r="J636" s="281"/>
      <c r="K636" s="281"/>
      <c r="L636" s="379" t="s">
        <v>3731</v>
      </c>
      <c r="M636" s="284" t="s">
        <v>2962</v>
      </c>
      <c r="N636" s="269">
        <f t="shared" si="106"/>
        <v>0</v>
      </c>
      <c r="O636" s="270">
        <f t="shared" si="107"/>
        <v>0</v>
      </c>
      <c r="P636" s="271">
        <f t="shared" si="101"/>
        <v>0</v>
      </c>
      <c r="Q636" s="520"/>
      <c r="R636" s="354">
        <f>IF(ISERROR(VLOOKUP("RIC"&amp;$C636,ESTR_PREC_SP!$A$2:$G$2000,4,FALSE))=TRUE,0,VLOOKUP("RIC"&amp;$C636,ESTR_PREC_SP!$A$2:$G$2000,4,FALSE))</f>
        <v>0</v>
      </c>
      <c r="S636" s="520"/>
      <c r="T636" s="520"/>
      <c r="U636" s="520"/>
      <c r="V636" s="520"/>
      <c r="W636" s="520"/>
      <c r="X636" s="520"/>
      <c r="Y636" s="269">
        <f t="shared" si="108"/>
        <v>0</v>
      </c>
      <c r="Z636" s="534"/>
      <c r="AA636" s="354">
        <f>IF(ISERROR(VLOOKUP("RIC"&amp;$C636,ESTR_PREC_SP!$A$2:$G$2000,5,FALSE))=TRUE,0,VLOOKUP("RIC"&amp;$C636,ESTR_PREC_SP!$A$2:$G$2000,5,FALSE))</f>
        <v>0</v>
      </c>
      <c r="AB636" s="520"/>
      <c r="AC636" s="520"/>
      <c r="AD636" s="520"/>
      <c r="AE636" s="269">
        <f t="shared" si="102"/>
        <v>0</v>
      </c>
      <c r="AF636" s="520"/>
      <c r="AG636" s="520"/>
      <c r="AH636" s="520"/>
      <c r="AI636" s="520"/>
      <c r="AJ636" s="526">
        <f t="shared" si="103"/>
        <v>0</v>
      </c>
      <c r="AK636" s="526">
        <f t="shared" si="104"/>
        <v>0</v>
      </c>
      <c r="AL636" s="520"/>
      <c r="AM636" s="520"/>
    </row>
    <row r="637" spans="1:39" s="204" customFormat="1" x14ac:dyDescent="0.25">
      <c r="B637" s="246" t="s">
        <v>1508</v>
      </c>
      <c r="C637" s="287" t="s">
        <v>1509</v>
      </c>
      <c r="D637" s="274" t="s">
        <v>3732</v>
      </c>
      <c r="E637" s="274"/>
      <c r="F637" s="274"/>
      <c r="G637" s="283"/>
      <c r="H637" s="266"/>
      <c r="I637" s="274"/>
      <c r="J637" s="281"/>
      <c r="K637" s="281"/>
      <c r="L637" s="379" t="s">
        <v>3733</v>
      </c>
      <c r="M637" s="284" t="s">
        <v>2962</v>
      </c>
      <c r="N637" s="269">
        <f t="shared" si="106"/>
        <v>0</v>
      </c>
      <c r="O637" s="270">
        <f t="shared" si="107"/>
        <v>0</v>
      </c>
      <c r="P637" s="271">
        <f t="shared" si="101"/>
        <v>0</v>
      </c>
      <c r="Q637" s="520"/>
      <c r="R637" s="354">
        <f>IF(ISERROR(VLOOKUP("RIC"&amp;$C637,ESTR_PREC_SP!$A$2:$G$2000,4,FALSE))=TRUE,0,VLOOKUP("RIC"&amp;$C637,ESTR_PREC_SP!$A$2:$G$2000,4,FALSE))</f>
        <v>0</v>
      </c>
      <c r="S637" s="520"/>
      <c r="T637" s="520"/>
      <c r="U637" s="520"/>
      <c r="V637" s="520"/>
      <c r="W637" s="520"/>
      <c r="X637" s="520"/>
      <c r="Y637" s="269">
        <f t="shared" si="108"/>
        <v>0</v>
      </c>
      <c r="Z637" s="534"/>
      <c r="AA637" s="354">
        <f>IF(ISERROR(VLOOKUP("RIC"&amp;$C637,ESTR_PREC_SP!$A$2:$G$2000,5,FALSE))=TRUE,0,VLOOKUP("RIC"&amp;$C637,ESTR_PREC_SP!$A$2:$G$2000,5,FALSE))</f>
        <v>0</v>
      </c>
      <c r="AB637" s="520"/>
      <c r="AC637" s="520"/>
      <c r="AD637" s="520"/>
      <c r="AE637" s="269">
        <f t="shared" si="102"/>
        <v>0</v>
      </c>
      <c r="AF637" s="520"/>
      <c r="AG637" s="520"/>
      <c r="AH637" s="520"/>
      <c r="AI637" s="520"/>
      <c r="AJ637" s="526">
        <f t="shared" si="103"/>
        <v>0</v>
      </c>
      <c r="AK637" s="526">
        <f t="shared" si="104"/>
        <v>0</v>
      </c>
      <c r="AL637" s="520"/>
      <c r="AM637" s="520"/>
    </row>
    <row r="638" spans="1:39" s="204" customFormat="1" ht="26.25" x14ac:dyDescent="0.25">
      <c r="A638" s="535" t="s">
        <v>3681</v>
      </c>
      <c r="B638" s="536" t="s">
        <v>1513</v>
      </c>
      <c r="C638" s="536" t="s">
        <v>1514</v>
      </c>
      <c r="D638" s="536"/>
      <c r="E638" s="536"/>
      <c r="F638" s="536"/>
      <c r="G638" s="536"/>
      <c r="H638" s="536"/>
      <c r="I638" s="536"/>
      <c r="J638" s="536"/>
      <c r="K638" s="536"/>
      <c r="L638" s="536" t="s">
        <v>3734</v>
      </c>
      <c r="M638" s="284" t="s">
        <v>2962</v>
      </c>
      <c r="N638" s="269">
        <f t="shared" si="106"/>
        <v>0</v>
      </c>
      <c r="O638" s="270">
        <f t="shared" si="107"/>
        <v>0</v>
      </c>
      <c r="P638" s="271">
        <f t="shared" si="101"/>
        <v>0</v>
      </c>
      <c r="Q638" s="520"/>
      <c r="R638" s="354">
        <f>IF(ISERROR(VLOOKUP("RIC"&amp;$C638,ESTR_PREC_SP!$A$2:$G$2000,4,FALSE))=TRUE,0,VLOOKUP("RIC"&amp;$C638,ESTR_PREC_SP!$A$2:$G$2000,4,FALSE))</f>
        <v>0</v>
      </c>
      <c r="S638" s="520"/>
      <c r="T638" s="520"/>
      <c r="U638" s="520"/>
      <c r="V638" s="520"/>
      <c r="W638" s="520"/>
      <c r="X638" s="520"/>
      <c r="Y638" s="269">
        <f t="shared" si="108"/>
        <v>0</v>
      </c>
      <c r="Z638" s="534"/>
      <c r="AA638" s="354">
        <f>IF(ISERROR(VLOOKUP("RIC"&amp;$C638,ESTR_PREC_SP!$A$2:$G$2000,5,FALSE))=TRUE,0,VLOOKUP("RIC"&amp;$C638,ESTR_PREC_SP!$A$2:$G$2000,5,FALSE))</f>
        <v>0</v>
      </c>
      <c r="AB638" s="520"/>
      <c r="AC638" s="520"/>
      <c r="AD638" s="520"/>
      <c r="AE638" s="269">
        <f t="shared" si="102"/>
        <v>0</v>
      </c>
      <c r="AF638" s="520"/>
      <c r="AG638" s="520"/>
      <c r="AH638" s="520"/>
      <c r="AI638" s="520"/>
      <c r="AJ638" s="526">
        <f t="shared" si="103"/>
        <v>0</v>
      </c>
      <c r="AK638" s="526">
        <f t="shared" si="104"/>
        <v>0</v>
      </c>
      <c r="AL638" s="520"/>
      <c r="AM638" s="520"/>
    </row>
    <row r="639" spans="1:39" s="204" customFormat="1" x14ac:dyDescent="0.25">
      <c r="B639" s="246" t="s">
        <v>1518</v>
      </c>
      <c r="C639" s="287" t="s">
        <v>1519</v>
      </c>
      <c r="D639" s="274" t="s">
        <v>3735</v>
      </c>
      <c r="E639" s="274"/>
      <c r="F639" s="274"/>
      <c r="G639" s="283"/>
      <c r="H639" s="266"/>
      <c r="I639" s="274"/>
      <c r="J639" s="281"/>
      <c r="K639" s="281"/>
      <c r="L639" s="284" t="s">
        <v>3736</v>
      </c>
      <c r="M639" s="284" t="s">
        <v>2962</v>
      </c>
      <c r="N639" s="269">
        <f t="shared" si="106"/>
        <v>0</v>
      </c>
      <c r="O639" s="270">
        <f t="shared" si="107"/>
        <v>0</v>
      </c>
      <c r="P639" s="271">
        <f t="shared" si="101"/>
        <v>0</v>
      </c>
      <c r="Q639" s="520"/>
      <c r="R639" s="354">
        <f>IF(ISERROR(VLOOKUP("RIC"&amp;$C639,ESTR_PREC_SP!$A$2:$G$2000,4,FALSE))=TRUE,0,VLOOKUP("RIC"&amp;$C639,ESTR_PREC_SP!$A$2:$G$2000,4,FALSE))</f>
        <v>0</v>
      </c>
      <c r="S639" s="520"/>
      <c r="T639" s="520"/>
      <c r="U639" s="520"/>
      <c r="V639" s="520"/>
      <c r="W639" s="520"/>
      <c r="X639" s="520"/>
      <c r="Y639" s="269">
        <f t="shared" si="108"/>
        <v>0</v>
      </c>
      <c r="Z639" s="534"/>
      <c r="AA639" s="354">
        <f>IF(ISERROR(VLOOKUP("RIC"&amp;$C639,ESTR_PREC_SP!$A$2:$G$2000,5,FALSE))=TRUE,0,VLOOKUP("RIC"&amp;$C639,ESTR_PREC_SP!$A$2:$G$2000,5,FALSE))</f>
        <v>0</v>
      </c>
      <c r="AB639" s="520"/>
      <c r="AC639" s="520"/>
      <c r="AD639" s="520"/>
      <c r="AE639" s="269">
        <f t="shared" si="102"/>
        <v>0</v>
      </c>
      <c r="AF639" s="520"/>
      <c r="AG639" s="520"/>
      <c r="AH639" s="520"/>
      <c r="AI639" s="520"/>
      <c r="AJ639" s="526">
        <f t="shared" si="103"/>
        <v>0</v>
      </c>
      <c r="AK639" s="526">
        <f t="shared" si="104"/>
        <v>0</v>
      </c>
      <c r="AL639" s="520"/>
      <c r="AM639" s="520"/>
    </row>
    <row r="640" spans="1:39" s="204" customFormat="1" ht="26.25" x14ac:dyDescent="0.25">
      <c r="A640" s="535" t="s">
        <v>3681</v>
      </c>
      <c r="B640" s="536" t="s">
        <v>1523</v>
      </c>
      <c r="C640" s="536" t="s">
        <v>1524</v>
      </c>
      <c r="D640" s="536"/>
      <c r="E640" s="536"/>
      <c r="F640" s="536"/>
      <c r="G640" s="536"/>
      <c r="H640" s="536"/>
      <c r="I640" s="536"/>
      <c r="J640" s="536"/>
      <c r="K640" s="536"/>
      <c r="L640" s="536" t="s">
        <v>3737</v>
      </c>
      <c r="M640" s="284" t="s">
        <v>2962</v>
      </c>
      <c r="N640" s="269">
        <f t="shared" si="106"/>
        <v>0</v>
      </c>
      <c r="O640" s="270">
        <f t="shared" si="107"/>
        <v>0</v>
      </c>
      <c r="P640" s="271">
        <f t="shared" si="101"/>
        <v>0</v>
      </c>
      <c r="Q640" s="520"/>
      <c r="R640" s="354">
        <f>IF(ISERROR(VLOOKUP("RIC"&amp;$C640,ESTR_PREC_SP!$A$2:$G$2000,4,FALSE))=TRUE,0,VLOOKUP("RIC"&amp;$C640,ESTR_PREC_SP!$A$2:$G$2000,4,FALSE))</f>
        <v>0</v>
      </c>
      <c r="S640" s="520"/>
      <c r="T640" s="520"/>
      <c r="U640" s="520"/>
      <c r="V640" s="520"/>
      <c r="W640" s="520"/>
      <c r="X640" s="520"/>
      <c r="Y640" s="269">
        <f t="shared" si="108"/>
        <v>0</v>
      </c>
      <c r="Z640" s="534"/>
      <c r="AA640" s="354">
        <f>IF(ISERROR(VLOOKUP("RIC"&amp;$C640,ESTR_PREC_SP!$A$2:$G$2000,5,FALSE))=TRUE,0,VLOOKUP("RIC"&amp;$C640,ESTR_PREC_SP!$A$2:$G$2000,5,FALSE))</f>
        <v>0</v>
      </c>
      <c r="AB640" s="520"/>
      <c r="AC640" s="520"/>
      <c r="AD640" s="520"/>
      <c r="AE640" s="269">
        <f t="shared" si="102"/>
        <v>0</v>
      </c>
      <c r="AF640" s="520"/>
      <c r="AG640" s="520"/>
      <c r="AH640" s="520"/>
      <c r="AI640" s="520"/>
      <c r="AJ640" s="526">
        <f t="shared" si="103"/>
        <v>0</v>
      </c>
      <c r="AK640" s="526">
        <f t="shared" si="104"/>
        <v>0</v>
      </c>
      <c r="AL640" s="520"/>
      <c r="AM640" s="520"/>
    </row>
    <row r="641" spans="1:39" s="204" customFormat="1" ht="24.75" customHeight="1" x14ac:dyDescent="0.25">
      <c r="B641" s="246" t="s">
        <v>1528</v>
      </c>
      <c r="C641" s="287" t="s">
        <v>1529</v>
      </c>
      <c r="D641" s="274" t="s">
        <v>3738</v>
      </c>
      <c r="E641" s="274"/>
      <c r="F641" s="274"/>
      <c r="G641" s="283"/>
      <c r="H641" s="266"/>
      <c r="I641" s="274"/>
      <c r="J641" s="281"/>
      <c r="K641" s="281"/>
      <c r="L641" s="295" t="s">
        <v>1530</v>
      </c>
      <c r="M641" s="284" t="s">
        <v>2962</v>
      </c>
      <c r="N641" s="272">
        <f>SUM(N642:N647)</f>
        <v>0</v>
      </c>
      <c r="O641" s="272">
        <f>SUM(O642:O647)</f>
        <v>0</v>
      </c>
      <c r="P641" s="378">
        <f t="shared" si="101"/>
        <v>0</v>
      </c>
      <c r="Q641" s="272">
        <f t="shared" ref="Q641:X641" si="109">SUM(Q642:Q647)</f>
        <v>0</v>
      </c>
      <c r="R641" s="272">
        <f t="shared" si="109"/>
        <v>0</v>
      </c>
      <c r="S641" s="272">
        <f t="shared" si="109"/>
        <v>0</v>
      </c>
      <c r="T641" s="272">
        <f t="shared" si="109"/>
        <v>0</v>
      </c>
      <c r="U641" s="272">
        <f t="shared" si="109"/>
        <v>0</v>
      </c>
      <c r="V641" s="272">
        <f t="shared" si="109"/>
        <v>0</v>
      </c>
      <c r="W641" s="272">
        <f t="shared" si="109"/>
        <v>0</v>
      </c>
      <c r="X641" s="272">
        <f t="shared" si="109"/>
        <v>0</v>
      </c>
      <c r="Y641" s="272">
        <f>+R641+S641+T641+U641-V641-X641+W641</f>
        <v>0</v>
      </c>
      <c r="Z641" s="272">
        <f>SUM(Z642:Z647)</f>
        <v>0</v>
      </c>
      <c r="AA641" s="272">
        <f>SUM(AA642:AA647)</f>
        <v>0</v>
      </c>
      <c r="AB641" s="272">
        <f>SUM(AB642:AB647)</f>
        <v>0</v>
      </c>
      <c r="AC641" s="272">
        <f>SUM(AC642:AC647)</f>
        <v>0</v>
      </c>
      <c r="AD641" s="272">
        <f>SUM(AD642:AD647)</f>
        <v>0</v>
      </c>
      <c r="AE641" s="272">
        <f t="shared" si="102"/>
        <v>0</v>
      </c>
      <c r="AF641" s="272">
        <f>SUM(AF642:AF647)</f>
        <v>0</v>
      </c>
      <c r="AG641" s="272">
        <f>SUM(AG642:AG647)</f>
        <v>0</v>
      </c>
      <c r="AH641" s="272">
        <f>SUM(AH642:AH647)</f>
        <v>0</v>
      </c>
      <c r="AI641" s="272">
        <f>SUM(AI642:AI647)</f>
        <v>0</v>
      </c>
      <c r="AJ641" s="537">
        <f t="shared" si="103"/>
        <v>0</v>
      </c>
      <c r="AK641" s="537">
        <f t="shared" si="104"/>
        <v>0</v>
      </c>
      <c r="AL641" s="272">
        <f>SUM(AL642:AL647)</f>
        <v>0</v>
      </c>
      <c r="AM641" s="272">
        <f>SUM(AM642:AM647)</f>
        <v>0</v>
      </c>
    </row>
    <row r="642" spans="1:39" s="204" customFormat="1" ht="25.5" x14ac:dyDescent="0.25">
      <c r="B642" s="246" t="s">
        <v>1531</v>
      </c>
      <c r="C642" s="287" t="s">
        <v>1532</v>
      </c>
      <c r="D642" s="274" t="s">
        <v>3739</v>
      </c>
      <c r="E642" s="274"/>
      <c r="F642" s="274"/>
      <c r="G642" s="283"/>
      <c r="H642" s="266"/>
      <c r="I642" s="274"/>
      <c r="J642" s="281"/>
      <c r="K642" s="281"/>
      <c r="L642" s="379" t="s">
        <v>1536</v>
      </c>
      <c r="M642" s="284" t="s">
        <v>2962</v>
      </c>
      <c r="N642" s="269">
        <f t="shared" ref="N642:N649" si="110">+R642-AA642</f>
        <v>0</v>
      </c>
      <c r="O642" s="270">
        <f t="shared" ref="O642:O649" si="111">+Y642-AE642</f>
        <v>0</v>
      </c>
      <c r="P642" s="271">
        <f t="shared" si="101"/>
        <v>0</v>
      </c>
      <c r="Q642" s="520"/>
      <c r="R642" s="354">
        <f>IF(ISERROR(VLOOKUP("RIC"&amp;$C642,ESTR_PREC_SP!$A$2:$G$2000,4,FALSE))=TRUE,0,VLOOKUP("RIC"&amp;$C642,ESTR_PREC_SP!$A$2:$G$2000,4,FALSE))</f>
        <v>0</v>
      </c>
      <c r="S642" s="520"/>
      <c r="T642" s="520"/>
      <c r="U642" s="520"/>
      <c r="V642" s="520"/>
      <c r="W642" s="520"/>
      <c r="X642" s="520"/>
      <c r="Y642" s="269">
        <f t="shared" ref="Y642:Y649" si="112">+R642+S642+T642+U642-V642-X642+W642+Q642</f>
        <v>0</v>
      </c>
      <c r="Z642" s="534"/>
      <c r="AA642" s="354">
        <f>IF(ISERROR(VLOOKUP("RIC"&amp;$C642,ESTR_PREC_SP!$A$2:$G$2000,5,FALSE))=TRUE,0,VLOOKUP("RIC"&amp;$C642,ESTR_PREC_SP!$A$2:$G$2000,5,FALSE))</f>
        <v>0</v>
      </c>
      <c r="AB642" s="520"/>
      <c r="AC642" s="520"/>
      <c r="AD642" s="520"/>
      <c r="AE642" s="269">
        <f t="shared" si="102"/>
        <v>0</v>
      </c>
      <c r="AF642" s="520"/>
      <c r="AG642" s="520"/>
      <c r="AH642" s="520"/>
      <c r="AI642" s="520"/>
      <c r="AJ642" s="526">
        <f t="shared" si="103"/>
        <v>0</v>
      </c>
      <c r="AK642" s="526">
        <f t="shared" si="104"/>
        <v>0</v>
      </c>
      <c r="AL642" s="520"/>
      <c r="AM642" s="520"/>
    </row>
    <row r="643" spans="1:39" s="204" customFormat="1" ht="26.25" customHeight="1" x14ac:dyDescent="0.25">
      <c r="B643" s="246" t="s">
        <v>1537</v>
      </c>
      <c r="C643" s="287" t="s">
        <v>1538</v>
      </c>
      <c r="D643" s="274" t="s">
        <v>3740</v>
      </c>
      <c r="E643" s="274"/>
      <c r="F643" s="274"/>
      <c r="G643" s="283"/>
      <c r="H643" s="266"/>
      <c r="I643" s="274"/>
      <c r="J643" s="281"/>
      <c r="K643" s="281"/>
      <c r="L643" s="379" t="s">
        <v>3741</v>
      </c>
      <c r="M643" s="284" t="s">
        <v>2962</v>
      </c>
      <c r="N643" s="269">
        <f t="shared" si="110"/>
        <v>0</v>
      </c>
      <c r="O643" s="270">
        <f t="shared" si="111"/>
        <v>0</v>
      </c>
      <c r="P643" s="271">
        <f t="shared" si="101"/>
        <v>0</v>
      </c>
      <c r="Q643" s="520"/>
      <c r="R643" s="354">
        <f>IF(ISERROR(VLOOKUP("RIC"&amp;$C643,ESTR_PREC_SP!$A$2:$G$2000,4,FALSE))=TRUE,0,VLOOKUP("RIC"&amp;$C643,ESTR_PREC_SP!$A$2:$G$2000,4,FALSE))</f>
        <v>0</v>
      </c>
      <c r="S643" s="520"/>
      <c r="T643" s="520"/>
      <c r="U643" s="520"/>
      <c r="V643" s="520"/>
      <c r="W643" s="520"/>
      <c r="X643" s="520"/>
      <c r="Y643" s="269">
        <f t="shared" si="112"/>
        <v>0</v>
      </c>
      <c r="Z643" s="534"/>
      <c r="AA643" s="354">
        <f>IF(ISERROR(VLOOKUP("RIC"&amp;$C643,ESTR_PREC_SP!$A$2:$G$2000,5,FALSE))=TRUE,0,VLOOKUP("RIC"&amp;$C643,ESTR_PREC_SP!$A$2:$G$2000,5,FALSE))</f>
        <v>0</v>
      </c>
      <c r="AB643" s="520"/>
      <c r="AC643" s="520"/>
      <c r="AD643" s="520"/>
      <c r="AE643" s="269">
        <f t="shared" si="102"/>
        <v>0</v>
      </c>
      <c r="AF643" s="520"/>
      <c r="AG643" s="520"/>
      <c r="AH643" s="520"/>
      <c r="AI643" s="520"/>
      <c r="AJ643" s="526">
        <f t="shared" si="103"/>
        <v>0</v>
      </c>
      <c r="AK643" s="526">
        <f t="shared" si="104"/>
        <v>0</v>
      </c>
      <c r="AL643" s="520"/>
      <c r="AM643" s="520"/>
    </row>
    <row r="644" spans="1:39" s="204" customFormat="1" x14ac:dyDescent="0.25">
      <c r="B644" s="246" t="s">
        <v>1543</v>
      </c>
      <c r="C644" s="287" t="s">
        <v>1544</v>
      </c>
      <c r="D644" s="274" t="s">
        <v>3742</v>
      </c>
      <c r="E644" s="274"/>
      <c r="F644" s="274"/>
      <c r="G644" s="283"/>
      <c r="H644" s="266"/>
      <c r="I644" s="274"/>
      <c r="J644" s="281"/>
      <c r="K644" s="281"/>
      <c r="L644" s="379" t="s">
        <v>1548</v>
      </c>
      <c r="M644" s="284" t="s">
        <v>2962</v>
      </c>
      <c r="N644" s="269">
        <f t="shared" si="110"/>
        <v>0</v>
      </c>
      <c r="O644" s="270">
        <f t="shared" si="111"/>
        <v>0</v>
      </c>
      <c r="P644" s="271">
        <f t="shared" si="101"/>
        <v>0</v>
      </c>
      <c r="Q644" s="520"/>
      <c r="R644" s="354">
        <f>IF(ISERROR(VLOOKUP("RIC"&amp;$C644,ESTR_PREC_SP!$A$2:$G$2000,4,FALSE))=TRUE,0,VLOOKUP("RIC"&amp;$C644,ESTR_PREC_SP!$A$2:$G$2000,4,FALSE))</f>
        <v>0</v>
      </c>
      <c r="S644" s="520"/>
      <c r="T644" s="520"/>
      <c r="U644" s="520"/>
      <c r="V644" s="520"/>
      <c r="W644" s="520"/>
      <c r="X644" s="520"/>
      <c r="Y644" s="269">
        <f t="shared" si="112"/>
        <v>0</v>
      </c>
      <c r="Z644" s="534"/>
      <c r="AA644" s="354">
        <f>IF(ISERROR(VLOOKUP("RIC"&amp;$C644,ESTR_PREC_SP!$A$2:$G$2000,5,FALSE))=TRUE,0,VLOOKUP("RIC"&amp;$C644,ESTR_PREC_SP!$A$2:$G$2000,5,FALSE))</f>
        <v>0</v>
      </c>
      <c r="AB644" s="520"/>
      <c r="AC644" s="520"/>
      <c r="AD644" s="520"/>
      <c r="AE644" s="269">
        <f t="shared" si="102"/>
        <v>0</v>
      </c>
      <c r="AF644" s="520"/>
      <c r="AG644" s="520"/>
      <c r="AH644" s="520"/>
      <c r="AI644" s="520"/>
      <c r="AJ644" s="526">
        <f t="shared" si="103"/>
        <v>0</v>
      </c>
      <c r="AK644" s="526">
        <f t="shared" si="104"/>
        <v>0</v>
      </c>
      <c r="AL644" s="520"/>
      <c r="AM644" s="520"/>
    </row>
    <row r="645" spans="1:39" s="204" customFormat="1" ht="39" x14ac:dyDescent="0.25">
      <c r="A645" s="535" t="s">
        <v>3681</v>
      </c>
      <c r="B645" s="536" t="s">
        <v>1549</v>
      </c>
      <c r="C645" s="536" t="s">
        <v>1550</v>
      </c>
      <c r="D645" s="536"/>
      <c r="E645" s="536"/>
      <c r="F645" s="536"/>
      <c r="G645" s="536"/>
      <c r="H645" s="536"/>
      <c r="I645" s="536"/>
      <c r="J645" s="536"/>
      <c r="K645" s="536"/>
      <c r="L645" s="536" t="s">
        <v>3743</v>
      </c>
      <c r="M645" s="284" t="s">
        <v>2962</v>
      </c>
      <c r="N645" s="269">
        <f t="shared" si="110"/>
        <v>0</v>
      </c>
      <c r="O645" s="270">
        <f t="shared" si="111"/>
        <v>0</v>
      </c>
      <c r="P645" s="271">
        <f t="shared" si="101"/>
        <v>0</v>
      </c>
      <c r="Q645" s="520"/>
      <c r="R645" s="354">
        <f>IF(ISERROR(VLOOKUP("RIC"&amp;$C645,ESTR_PREC_SP!$A$2:$G$2000,4,FALSE))=TRUE,0,VLOOKUP("RIC"&amp;$C645,ESTR_PREC_SP!$A$2:$G$2000,4,FALSE))</f>
        <v>0</v>
      </c>
      <c r="S645" s="520"/>
      <c r="T645" s="520"/>
      <c r="U645" s="520"/>
      <c r="V645" s="520"/>
      <c r="W645" s="520"/>
      <c r="X645" s="520"/>
      <c r="Y645" s="269">
        <f t="shared" si="112"/>
        <v>0</v>
      </c>
      <c r="Z645" s="534"/>
      <c r="AA645" s="354">
        <f>IF(ISERROR(VLOOKUP("RIC"&amp;$C645,ESTR_PREC_SP!$A$2:$G$2000,5,FALSE))=TRUE,0,VLOOKUP("RIC"&amp;$C645,ESTR_PREC_SP!$A$2:$G$2000,5,FALSE))</f>
        <v>0</v>
      </c>
      <c r="AB645" s="520"/>
      <c r="AC645" s="520"/>
      <c r="AD645" s="520"/>
      <c r="AE645" s="269">
        <f t="shared" si="102"/>
        <v>0</v>
      </c>
      <c r="AF645" s="520"/>
      <c r="AG645" s="520"/>
      <c r="AH645" s="520"/>
      <c r="AI645" s="520"/>
      <c r="AJ645" s="526">
        <f t="shared" si="103"/>
        <v>0</v>
      </c>
      <c r="AK645" s="526">
        <f t="shared" si="104"/>
        <v>0</v>
      </c>
      <c r="AL645" s="520"/>
      <c r="AM645" s="520"/>
    </row>
    <row r="646" spans="1:39" s="204" customFormat="1" x14ac:dyDescent="0.25">
      <c r="B646" s="246" t="s">
        <v>1554</v>
      </c>
      <c r="C646" s="287" t="s">
        <v>1555</v>
      </c>
      <c r="D646" s="389" t="s">
        <v>3744</v>
      </c>
      <c r="E646" s="389"/>
      <c r="F646" s="389"/>
      <c r="G646" s="390"/>
      <c r="H646" s="391"/>
      <c r="I646" s="389"/>
      <c r="J646" s="389"/>
      <c r="K646" s="389"/>
      <c r="L646" s="392" t="s">
        <v>1558</v>
      </c>
      <c r="M646" s="287" t="s">
        <v>2962</v>
      </c>
      <c r="N646" s="269">
        <f t="shared" si="110"/>
        <v>0</v>
      </c>
      <c r="O646" s="270">
        <f t="shared" si="111"/>
        <v>0</v>
      </c>
      <c r="P646" s="271">
        <f t="shared" si="101"/>
        <v>0</v>
      </c>
      <c r="Q646" s="520"/>
      <c r="R646" s="354">
        <f>IF(ISERROR(VLOOKUP("RIC"&amp;$C646,ESTR_PREC_SP!$A$2:$G$2000,4,FALSE))=TRUE,0,VLOOKUP("RIC"&amp;$C646,ESTR_PREC_SP!$A$2:$G$2000,4,FALSE))</f>
        <v>0</v>
      </c>
      <c r="S646" s="520"/>
      <c r="T646" s="520"/>
      <c r="U646" s="520"/>
      <c r="V646" s="520"/>
      <c r="W646" s="520"/>
      <c r="X646" s="520"/>
      <c r="Y646" s="269">
        <f t="shared" si="112"/>
        <v>0</v>
      </c>
      <c r="Z646" s="534"/>
      <c r="AA646" s="354">
        <f>IF(ISERROR(VLOOKUP("RIC"&amp;$C646,ESTR_PREC_SP!$A$2:$G$2000,5,FALSE))=TRUE,0,VLOOKUP("RIC"&amp;$C646,ESTR_PREC_SP!$A$2:$G$2000,5,FALSE))</f>
        <v>0</v>
      </c>
      <c r="AB646" s="520"/>
      <c r="AC646" s="520"/>
      <c r="AD646" s="520"/>
      <c r="AE646" s="269">
        <f t="shared" si="102"/>
        <v>0</v>
      </c>
      <c r="AF646" s="520"/>
      <c r="AG646" s="520"/>
      <c r="AH646" s="520"/>
      <c r="AI646" s="520"/>
      <c r="AJ646" s="526">
        <f t="shared" si="103"/>
        <v>0</v>
      </c>
      <c r="AK646" s="526">
        <f t="shared" si="104"/>
        <v>0</v>
      </c>
      <c r="AL646" s="520"/>
      <c r="AM646" s="520"/>
    </row>
    <row r="647" spans="1:39" s="204" customFormat="1" ht="25.5" x14ac:dyDescent="0.25">
      <c r="B647" s="246" t="s">
        <v>1559</v>
      </c>
      <c r="C647" s="287" t="s">
        <v>1560</v>
      </c>
      <c r="D647" s="389" t="s">
        <v>3745</v>
      </c>
      <c r="E647" s="389"/>
      <c r="F647" s="389"/>
      <c r="G647" s="390"/>
      <c r="H647" s="391"/>
      <c r="I647" s="389"/>
      <c r="J647" s="389"/>
      <c r="K647" s="389"/>
      <c r="L647" s="392" t="s">
        <v>1562</v>
      </c>
      <c r="M647" s="287" t="s">
        <v>2962</v>
      </c>
      <c r="N647" s="269">
        <f t="shared" si="110"/>
        <v>0</v>
      </c>
      <c r="O647" s="270">
        <f t="shared" si="111"/>
        <v>0</v>
      </c>
      <c r="P647" s="271">
        <f t="shared" si="101"/>
        <v>0</v>
      </c>
      <c r="Q647" s="520"/>
      <c r="R647" s="354">
        <f>IF(ISERROR(VLOOKUP("RIC"&amp;$C647,ESTR_PREC_SP!$A$2:$G$2000,4,FALSE))=TRUE,0,VLOOKUP("RIC"&amp;$C647,ESTR_PREC_SP!$A$2:$G$2000,4,FALSE))</f>
        <v>0</v>
      </c>
      <c r="S647" s="520"/>
      <c r="T647" s="520"/>
      <c r="U647" s="520"/>
      <c r="V647" s="520"/>
      <c r="W647" s="520"/>
      <c r="X647" s="520"/>
      <c r="Y647" s="269">
        <f t="shared" si="112"/>
        <v>0</v>
      </c>
      <c r="Z647" s="534"/>
      <c r="AA647" s="354">
        <f>IF(ISERROR(VLOOKUP("RIC"&amp;$C647,ESTR_PREC_SP!$A$2:$G$2000,5,FALSE))=TRUE,0,VLOOKUP("RIC"&amp;$C647,ESTR_PREC_SP!$A$2:$G$2000,5,FALSE))</f>
        <v>0</v>
      </c>
      <c r="AB647" s="520"/>
      <c r="AC647" s="520"/>
      <c r="AD647" s="520"/>
      <c r="AE647" s="269">
        <f t="shared" si="102"/>
        <v>0</v>
      </c>
      <c r="AF647" s="520"/>
      <c r="AG647" s="520"/>
      <c r="AH647" s="520"/>
      <c r="AI647" s="520"/>
      <c r="AJ647" s="526">
        <f t="shared" si="103"/>
        <v>0</v>
      </c>
      <c r="AK647" s="526">
        <f t="shared" si="104"/>
        <v>0</v>
      </c>
      <c r="AL647" s="520"/>
      <c r="AM647" s="520"/>
    </row>
    <row r="648" spans="1:39" s="204" customFormat="1" x14ac:dyDescent="0.25">
      <c r="A648" s="535" t="s">
        <v>3681</v>
      </c>
      <c r="B648" s="536" t="s">
        <v>1563</v>
      </c>
      <c r="C648" s="536" t="s">
        <v>1564</v>
      </c>
      <c r="D648" s="536"/>
      <c r="E648" s="536"/>
      <c r="F648" s="536"/>
      <c r="G648" s="536"/>
      <c r="H648" s="536"/>
      <c r="I648" s="536"/>
      <c r="J648" s="536"/>
      <c r="K648" s="536"/>
      <c r="L648" s="536" t="s">
        <v>1567</v>
      </c>
      <c r="M648" s="287" t="s">
        <v>2962</v>
      </c>
      <c r="N648" s="269">
        <f t="shared" si="110"/>
        <v>0</v>
      </c>
      <c r="O648" s="270">
        <f t="shared" si="111"/>
        <v>0</v>
      </c>
      <c r="P648" s="271">
        <f t="shared" si="101"/>
        <v>0</v>
      </c>
      <c r="Q648" s="520"/>
      <c r="R648" s="354">
        <f>IF(ISERROR(VLOOKUP("RIC"&amp;$C648,ESTR_PREC_SP!$A$2:$G$2000,4,FALSE))=TRUE,0,VLOOKUP("RIC"&amp;$C648,ESTR_PREC_SP!$A$2:$G$2000,4,FALSE))</f>
        <v>0</v>
      </c>
      <c r="S648" s="520"/>
      <c r="T648" s="520"/>
      <c r="U648" s="520"/>
      <c r="V648" s="520"/>
      <c r="W648" s="520"/>
      <c r="X648" s="520"/>
      <c r="Y648" s="269">
        <f t="shared" si="112"/>
        <v>0</v>
      </c>
      <c r="Z648" s="534"/>
      <c r="AA648" s="354">
        <f>IF(ISERROR(VLOOKUP("RIC"&amp;$C648,ESTR_PREC_SP!$A$2:$G$2000,5,FALSE))=TRUE,0,VLOOKUP("RIC"&amp;$C648,ESTR_PREC_SP!$A$2:$G$2000,5,FALSE))</f>
        <v>0</v>
      </c>
      <c r="AB648" s="520"/>
      <c r="AC648" s="520"/>
      <c r="AD648" s="520"/>
      <c r="AE648" s="269">
        <f t="shared" si="102"/>
        <v>0</v>
      </c>
      <c r="AF648" s="520"/>
      <c r="AG648" s="520"/>
      <c r="AH648" s="520"/>
      <c r="AI648" s="520"/>
      <c r="AJ648" s="526">
        <f t="shared" si="103"/>
        <v>0</v>
      </c>
      <c r="AK648" s="526">
        <f t="shared" si="104"/>
        <v>0</v>
      </c>
      <c r="AL648" s="520"/>
      <c r="AM648" s="520"/>
    </row>
    <row r="649" spans="1:39" s="204" customFormat="1" ht="26.25" x14ac:dyDescent="0.25">
      <c r="A649" s="535" t="s">
        <v>3681</v>
      </c>
      <c r="B649" s="536" t="s">
        <v>1568</v>
      </c>
      <c r="C649" s="536" t="s">
        <v>1569</v>
      </c>
      <c r="D649" s="536"/>
      <c r="E649" s="536"/>
      <c r="F649" s="536"/>
      <c r="G649" s="536"/>
      <c r="H649" s="536"/>
      <c r="I649" s="536"/>
      <c r="J649" s="536"/>
      <c r="K649" s="536"/>
      <c r="L649" s="536" t="s">
        <v>1571</v>
      </c>
      <c r="M649" s="287" t="s">
        <v>2962</v>
      </c>
      <c r="N649" s="269">
        <f t="shared" si="110"/>
        <v>0</v>
      </c>
      <c r="O649" s="270">
        <f t="shared" si="111"/>
        <v>0</v>
      </c>
      <c r="P649" s="271">
        <f t="shared" si="101"/>
        <v>0</v>
      </c>
      <c r="Q649" s="520"/>
      <c r="R649" s="354">
        <f>IF(ISERROR(VLOOKUP("RIC"&amp;$C649,ESTR_PREC_SP!$A$2:$G$2000,4,FALSE))=TRUE,0,VLOOKUP("RIC"&amp;$C649,ESTR_PREC_SP!$A$2:$G$2000,4,FALSE))</f>
        <v>0</v>
      </c>
      <c r="S649" s="520"/>
      <c r="T649" s="520"/>
      <c r="U649" s="520"/>
      <c r="V649" s="520"/>
      <c r="W649" s="520"/>
      <c r="X649" s="520"/>
      <c r="Y649" s="269">
        <f t="shared" si="112"/>
        <v>0</v>
      </c>
      <c r="Z649" s="534"/>
      <c r="AA649" s="354">
        <f>IF(ISERROR(VLOOKUP("RIC"&amp;$C649,ESTR_PREC_SP!$A$2:$G$2000,5,FALSE))=TRUE,0,VLOOKUP("RIC"&amp;$C649,ESTR_PREC_SP!$A$2:$G$2000,5,FALSE))</f>
        <v>0</v>
      </c>
      <c r="AB649" s="520"/>
      <c r="AC649" s="520"/>
      <c r="AD649" s="520"/>
      <c r="AE649" s="269">
        <f t="shared" si="102"/>
        <v>0</v>
      </c>
      <c r="AF649" s="520"/>
      <c r="AG649" s="520"/>
      <c r="AH649" s="520"/>
      <c r="AI649" s="520"/>
      <c r="AJ649" s="526">
        <f t="shared" si="103"/>
        <v>0</v>
      </c>
      <c r="AK649" s="526">
        <f t="shared" si="104"/>
        <v>0</v>
      </c>
      <c r="AL649" s="520"/>
      <c r="AM649" s="520"/>
    </row>
    <row r="650" spans="1:39" s="204" customFormat="1" x14ac:dyDescent="0.25">
      <c r="B650" s="211"/>
      <c r="C650" s="211"/>
      <c r="D650" s="211"/>
      <c r="E650" s="211"/>
      <c r="F650" s="211"/>
      <c r="G650" s="211"/>
      <c r="H650" s="353"/>
      <c r="I650" s="211"/>
      <c r="J650" s="211"/>
      <c r="K650" s="211"/>
      <c r="L650" s="232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Y650" s="211"/>
      <c r="Z650" s="211"/>
      <c r="AA650" s="211"/>
      <c r="AB650" s="213"/>
      <c r="AC650" s="213"/>
    </row>
    <row r="651" spans="1:39" s="204" customFormat="1" ht="25.5" customHeight="1" x14ac:dyDescent="0.25">
      <c r="B651" s="211"/>
      <c r="C651" s="211"/>
      <c r="D651" s="211"/>
      <c r="E651" s="211"/>
      <c r="F651" s="211"/>
      <c r="G651" s="211"/>
      <c r="H651" s="353"/>
      <c r="I651" s="211"/>
      <c r="J651" s="211"/>
      <c r="K651" s="211"/>
      <c r="L651" s="232"/>
      <c r="M651" s="211"/>
      <c r="N651" s="211"/>
      <c r="O651" s="211"/>
      <c r="P651" s="211"/>
      <c r="Q651" s="211"/>
      <c r="R651" s="211"/>
      <c r="S651" s="902" t="s">
        <v>3495</v>
      </c>
      <c r="T651" s="902"/>
      <c r="U651" s="902"/>
      <c r="V651" s="335" t="s">
        <v>3496</v>
      </c>
      <c r="W651" s="336"/>
      <c r="X651" s="335" t="s">
        <v>3496</v>
      </c>
      <c r="Z651" s="211"/>
      <c r="AA651" s="211"/>
      <c r="AB651" s="211"/>
      <c r="AC651" s="285"/>
      <c r="AD651" s="211"/>
      <c r="AE651" s="211"/>
      <c r="AF651" s="904" t="str">
        <f>+AF616</f>
        <v>VALORE NOMINALE DEI CREDITI AL 31/12/2020 PER ANNO DI FORMAZIONE</v>
      </c>
      <c r="AG651" s="904"/>
      <c r="AH651" s="904"/>
      <c r="AI651" s="904"/>
      <c r="AJ651" s="904"/>
      <c r="AK651" s="905" t="str">
        <f>+AK616</f>
        <v>VALORE NETTO DEI CREDITI AL 31/12/2020 PER SCADENZA</v>
      </c>
      <c r="AL651" s="905"/>
      <c r="AM651" s="905"/>
    </row>
    <row r="652" spans="1:39" s="204" customFormat="1" ht="63.75" x14ac:dyDescent="0.25">
      <c r="B652" s="211"/>
      <c r="C652" s="211"/>
      <c r="D652" s="211"/>
      <c r="E652" s="211"/>
      <c r="F652" s="211"/>
      <c r="G652" s="211"/>
      <c r="H652" s="353"/>
      <c r="I652" s="211"/>
      <c r="J652" s="211"/>
      <c r="K652" s="211"/>
      <c r="L652" s="255"/>
      <c r="M652" s="244"/>
      <c r="N652" s="256" t="str">
        <f>N$15</f>
        <v>Valore netto al 31/12/2019</v>
      </c>
      <c r="O652" s="256" t="str">
        <f>O$15</f>
        <v>Valore netto al 31/12/2020</v>
      </c>
      <c r="P652" s="256" t="str">
        <f>P$15</f>
        <v>Variazione</v>
      </c>
      <c r="Q652" s="262" t="s">
        <v>2971</v>
      </c>
      <c r="R652" s="262" t="str">
        <f>+R617</f>
        <v>Valore iniziale LORDO al 31/12/2019</v>
      </c>
      <c r="S652" s="337" t="s">
        <v>2972</v>
      </c>
      <c r="T652" s="337" t="s">
        <v>3497</v>
      </c>
      <c r="U652" s="337" t="s">
        <v>3495</v>
      </c>
      <c r="V652" s="338" t="s">
        <v>3498</v>
      </c>
      <c r="W652" s="262" t="s">
        <v>2975</v>
      </c>
      <c r="X652" s="338" t="s">
        <v>3499</v>
      </c>
      <c r="Y652" s="262" t="str">
        <f>+Y617</f>
        <v>Valore finale LORDO al 31/12/2020</v>
      </c>
      <c r="Z652" s="337" t="str">
        <f>+Z617</f>
        <v>Di cui Fatture da emettere</v>
      </c>
      <c r="AA652" s="262" t="str">
        <f>+AA617</f>
        <v>Fondo svalutazione crediti al 31/12/2019</v>
      </c>
      <c r="AB652" s="262" t="s">
        <v>3500</v>
      </c>
      <c r="AC652" s="262" t="s">
        <v>3501</v>
      </c>
      <c r="AD652" s="262" t="s">
        <v>3502</v>
      </c>
      <c r="AE652" s="262" t="str">
        <f>+AE617</f>
        <v>Fondo svalutazione crediti al 31/12/2020</v>
      </c>
      <c r="AF652" s="339" t="s">
        <v>3503</v>
      </c>
      <c r="AG652" s="339" t="s">
        <v>3504</v>
      </c>
      <c r="AH652" s="339" t="s">
        <v>3505</v>
      </c>
      <c r="AI652" s="339" t="s">
        <v>3506</v>
      </c>
      <c r="AJ652" s="339" t="s">
        <v>3507</v>
      </c>
      <c r="AK652" s="340" t="s">
        <v>3508</v>
      </c>
      <c r="AL652" s="340" t="s">
        <v>3509</v>
      </c>
      <c r="AM652" s="340" t="s">
        <v>3510</v>
      </c>
    </row>
    <row r="653" spans="1:39" s="204" customFormat="1" x14ac:dyDescent="0.25">
      <c r="B653" s="246" t="s">
        <v>1572</v>
      </c>
      <c r="C653" s="292" t="s">
        <v>1573</v>
      </c>
      <c r="D653" s="247" t="s">
        <v>3746</v>
      </c>
      <c r="E653" s="247"/>
      <c r="F653" s="247"/>
      <c r="G653" s="247"/>
      <c r="H653" s="248"/>
      <c r="I653" s="247"/>
      <c r="J653" s="398"/>
      <c r="K653" s="399"/>
      <c r="L653" s="400" t="s">
        <v>3747</v>
      </c>
      <c r="M653" s="251" t="s">
        <v>2962</v>
      </c>
      <c r="N653" s="401">
        <f>+R653-AA653</f>
        <v>0</v>
      </c>
      <c r="O653" s="402">
        <f>+Y653-AE653</f>
        <v>0</v>
      </c>
      <c r="P653" s="253">
        <f>+O653-N653</f>
        <v>0</v>
      </c>
      <c r="Q653" s="520"/>
      <c r="R653" s="354">
        <f>IF(ISERROR(VLOOKUP("RIC"&amp;$C653,ESTR_PREC_SP!$A$2:$G$2000,4,FALSE))=TRUE,0,VLOOKUP("RIC"&amp;$C653,ESTR_PREC_SP!$A$2:$G$2000,4,FALSE))</f>
        <v>0</v>
      </c>
      <c r="S653" s="521"/>
      <c r="T653" s="520"/>
      <c r="U653" s="520"/>
      <c r="V653" s="520"/>
      <c r="W653" s="520"/>
      <c r="X653" s="520"/>
      <c r="Y653" s="269">
        <f>+R653+S653+T653+U653-V653-X653+W653+Q653</f>
        <v>0</v>
      </c>
      <c r="Z653" s="534"/>
      <c r="AA653" s="354">
        <f>IF(ISERROR(VLOOKUP("RIC"&amp;$C653,ESTR_PREC_SP!$A$2:$G$2000,5,FALSE))=TRUE,0,VLOOKUP("RIC"&amp;$C653,ESTR_PREC_SP!$A$2:$G$2000,5,FALSE))</f>
        <v>0</v>
      </c>
      <c r="AB653" s="520"/>
      <c r="AC653" s="520"/>
      <c r="AD653" s="520"/>
      <c r="AE653" s="269">
        <f>+AA653+AD653-AC653+AB653</f>
        <v>0</v>
      </c>
      <c r="AF653" s="520"/>
      <c r="AG653" s="520"/>
      <c r="AH653" s="520"/>
      <c r="AI653" s="520"/>
      <c r="AJ653" s="526">
        <f>+Y653-SUM(AF653:AI653)</f>
        <v>0</v>
      </c>
      <c r="AK653" s="526">
        <f>+Y653-AE653-AL653-AM653</f>
        <v>0</v>
      </c>
      <c r="AL653" s="520"/>
      <c r="AM653" s="520"/>
    </row>
    <row r="654" spans="1:39" s="204" customFormat="1" x14ac:dyDescent="0.25">
      <c r="B654" s="298"/>
      <c r="C654" s="298"/>
      <c r="D654" s="226"/>
      <c r="E654" s="226"/>
      <c r="F654" s="226"/>
      <c r="G654" s="226"/>
      <c r="H654" s="227"/>
      <c r="I654" s="226"/>
      <c r="J654" s="226"/>
      <c r="K654" s="226"/>
      <c r="L654" s="403"/>
      <c r="M654" s="278"/>
      <c r="N654" s="279"/>
      <c r="O654" s="279"/>
      <c r="P654" s="404"/>
      <c r="Q654" s="211"/>
      <c r="R654" s="211"/>
      <c r="S654" s="211"/>
      <c r="T654" s="211"/>
      <c r="U654" s="211"/>
      <c r="V654" s="211"/>
      <c r="Y654" s="211"/>
      <c r="Z654" s="211"/>
      <c r="AA654" s="211"/>
      <c r="AB654" s="211"/>
      <c r="AC654" s="211"/>
    </row>
    <row r="655" spans="1:39" s="204" customFormat="1" x14ac:dyDescent="0.25">
      <c r="B655" s="289"/>
      <c r="C655" s="289"/>
      <c r="D655" s="211"/>
      <c r="E655" s="211"/>
      <c r="F655" s="211"/>
      <c r="G655" s="211"/>
      <c r="H655" s="353"/>
      <c r="I655" s="211"/>
      <c r="J655" s="211"/>
      <c r="K655" s="211"/>
      <c r="L655" s="255"/>
      <c r="M655" s="405"/>
      <c r="N655" s="279"/>
      <c r="O655" s="279"/>
      <c r="P655" s="404"/>
      <c r="Q655" s="211"/>
      <c r="R655" s="211"/>
      <c r="S655" s="211"/>
      <c r="T655" s="211"/>
      <c r="U655" s="211"/>
      <c r="V655" s="211"/>
      <c r="Y655" s="211"/>
      <c r="Z655" s="211"/>
      <c r="AA655" s="211"/>
      <c r="AB655" s="211"/>
      <c r="AC655" s="211"/>
    </row>
    <row r="656" spans="1:39" s="204" customFormat="1" x14ac:dyDescent="0.25">
      <c r="B656" s="246" t="s">
        <v>1578</v>
      </c>
      <c r="C656" s="292" t="s">
        <v>1579</v>
      </c>
      <c r="D656" s="247" t="s">
        <v>3748</v>
      </c>
      <c r="E656" s="247"/>
      <c r="F656" s="247"/>
      <c r="G656" s="247"/>
      <c r="H656" s="248"/>
      <c r="I656" s="247"/>
      <c r="J656" s="247"/>
      <c r="K656" s="249"/>
      <c r="L656" s="400" t="s">
        <v>1581</v>
      </c>
      <c r="M656" s="251" t="s">
        <v>2962</v>
      </c>
      <c r="N656" s="252">
        <f>+N660+N675+N677+N676+N678+N679+N680</f>
        <v>0</v>
      </c>
      <c r="O656" s="252">
        <f>+O660+O675+O677+O676+O678+O679+O680</f>
        <v>0</v>
      </c>
      <c r="P656" s="253">
        <f>+O656-N656</f>
        <v>0</v>
      </c>
      <c r="Q656" s="252">
        <f t="shared" ref="Q656:AA656" si="113">+Q660+Q675+Q677+Q676+Q678+Q679+Q680</f>
        <v>0</v>
      </c>
      <c r="R656" s="252">
        <f t="shared" si="113"/>
        <v>0</v>
      </c>
      <c r="S656" s="252">
        <f t="shared" si="113"/>
        <v>0</v>
      </c>
      <c r="T656" s="252">
        <f t="shared" si="113"/>
        <v>0</v>
      </c>
      <c r="U656" s="252">
        <f t="shared" si="113"/>
        <v>0</v>
      </c>
      <c r="V656" s="252">
        <f t="shared" si="113"/>
        <v>0</v>
      </c>
      <c r="W656" s="252">
        <f t="shared" si="113"/>
        <v>0</v>
      </c>
      <c r="X656" s="252">
        <f t="shared" si="113"/>
        <v>0</v>
      </c>
      <c r="Y656" s="252">
        <f t="shared" si="113"/>
        <v>0</v>
      </c>
      <c r="Z656" s="252">
        <f t="shared" si="113"/>
        <v>0</v>
      </c>
      <c r="AA656" s="252">
        <f t="shared" si="113"/>
        <v>0</v>
      </c>
      <c r="AB656" s="252">
        <f t="shared" ref="AB656:AM656" si="114">+AC660+AC675+AC677+AC676+AC678+AC679+AC680</f>
        <v>0</v>
      </c>
      <c r="AC656" s="252">
        <f t="shared" si="114"/>
        <v>0</v>
      </c>
      <c r="AD656" s="252">
        <f t="shared" si="114"/>
        <v>0</v>
      </c>
      <c r="AE656" s="252">
        <f t="shared" si="114"/>
        <v>0</v>
      </c>
      <c r="AF656" s="252">
        <f t="shared" si="114"/>
        <v>0</v>
      </c>
      <c r="AG656" s="252">
        <f t="shared" si="114"/>
        <v>0</v>
      </c>
      <c r="AH656" s="252">
        <f t="shared" si="114"/>
        <v>0</v>
      </c>
      <c r="AI656" s="252">
        <f t="shared" si="114"/>
        <v>0</v>
      </c>
      <c r="AJ656" s="252">
        <f t="shared" si="114"/>
        <v>0</v>
      </c>
      <c r="AK656" s="252">
        <f t="shared" si="114"/>
        <v>0</v>
      </c>
      <c r="AL656" s="252">
        <f t="shared" si="114"/>
        <v>0</v>
      </c>
      <c r="AM656" s="252">
        <f t="shared" si="114"/>
        <v>0</v>
      </c>
    </row>
    <row r="657" spans="2:39" s="204" customFormat="1" x14ac:dyDescent="0.25">
      <c r="B657" s="298"/>
      <c r="C657" s="298"/>
      <c r="D657" s="226"/>
      <c r="E657" s="226"/>
      <c r="F657" s="226"/>
      <c r="G657" s="226"/>
      <c r="H657" s="227"/>
      <c r="I657" s="226"/>
      <c r="J657" s="226"/>
      <c r="K657" s="226"/>
      <c r="L657" s="403"/>
      <c r="M657" s="278"/>
      <c r="N657" s="279"/>
      <c r="O657" s="279"/>
      <c r="P657" s="404"/>
      <c r="Q657" s="211"/>
      <c r="R657" s="279"/>
      <c r="S657" s="279"/>
      <c r="T657" s="279"/>
      <c r="U657" s="279"/>
      <c r="V657" s="279"/>
      <c r="Y657" s="279"/>
      <c r="Z657" s="279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</row>
    <row r="658" spans="2:39" s="204" customFormat="1" ht="25.5" customHeight="1" x14ac:dyDescent="0.25">
      <c r="B658" s="289"/>
      <c r="C658" s="289"/>
      <c r="D658" s="211"/>
      <c r="E658" s="211"/>
      <c r="F658" s="211"/>
      <c r="G658" s="211"/>
      <c r="H658" s="353"/>
      <c r="I658" s="211"/>
      <c r="J658" s="211"/>
      <c r="K658" s="211"/>
      <c r="L658" s="232"/>
      <c r="M658" s="211"/>
      <c r="N658" s="211"/>
      <c r="O658" s="211"/>
      <c r="P658" s="211"/>
      <c r="Q658" s="211"/>
      <c r="R658" s="211"/>
      <c r="S658" s="902" t="s">
        <v>3495</v>
      </c>
      <c r="T658" s="902"/>
      <c r="U658" s="902"/>
      <c r="V658" s="335" t="s">
        <v>3496</v>
      </c>
      <c r="W658" s="336"/>
      <c r="X658" s="335" t="s">
        <v>3496</v>
      </c>
      <c r="Z658" s="211"/>
      <c r="AA658" s="211"/>
      <c r="AB658" s="211"/>
      <c r="AC658" s="285"/>
      <c r="AD658" s="211"/>
      <c r="AE658" s="211"/>
      <c r="AF658" s="904" t="str">
        <f>+AF651</f>
        <v>VALORE NOMINALE DEI CREDITI AL 31/12/2020 PER ANNO DI FORMAZIONE</v>
      </c>
      <c r="AG658" s="904"/>
      <c r="AH658" s="904"/>
      <c r="AI658" s="904"/>
      <c r="AJ658" s="904"/>
      <c r="AK658" s="905" t="str">
        <f>+AK651</f>
        <v>VALORE NETTO DEI CREDITI AL 31/12/2020 PER SCADENZA</v>
      </c>
      <c r="AL658" s="905"/>
      <c r="AM658" s="905"/>
    </row>
    <row r="659" spans="2:39" s="204" customFormat="1" ht="51.75" customHeight="1" x14ac:dyDescent="0.25">
      <c r="B659" s="294" t="s">
        <v>2968</v>
      </c>
      <c r="C659" s="294" t="s">
        <v>2969</v>
      </c>
      <c r="D659" s="206" t="s">
        <v>72</v>
      </c>
      <c r="E659" s="206"/>
      <c r="F659" s="206"/>
      <c r="G659" s="207"/>
      <c r="H659" s="207"/>
      <c r="I659" s="207"/>
      <c r="J659" s="207" t="s">
        <v>2957</v>
      </c>
      <c r="K659" s="206" t="s">
        <v>82</v>
      </c>
      <c r="L659" s="261" t="s">
        <v>3670</v>
      </c>
      <c r="M659" s="256"/>
      <c r="N659" s="256" t="str">
        <f>N$15</f>
        <v>Valore netto al 31/12/2019</v>
      </c>
      <c r="O659" s="256" t="str">
        <f>O$15</f>
        <v>Valore netto al 31/12/2020</v>
      </c>
      <c r="P659" s="256" t="str">
        <f>P$15</f>
        <v>Variazione</v>
      </c>
      <c r="Q659" s="262" t="s">
        <v>2971</v>
      </c>
      <c r="R659" s="262" t="str">
        <f>+R652</f>
        <v>Valore iniziale LORDO al 31/12/2019</v>
      </c>
      <c r="S659" s="337" t="s">
        <v>2972</v>
      </c>
      <c r="T659" s="337" t="s">
        <v>3497</v>
      </c>
      <c r="U659" s="337" t="s">
        <v>3495</v>
      </c>
      <c r="V659" s="338" t="s">
        <v>3498</v>
      </c>
      <c r="W659" s="262" t="s">
        <v>2975</v>
      </c>
      <c r="X659" s="338" t="s">
        <v>3499</v>
      </c>
      <c r="Y659" s="262" t="str">
        <f>+Y652</f>
        <v>Valore finale LORDO al 31/12/2020</v>
      </c>
      <c r="Z659" s="337" t="str">
        <f>+Z652</f>
        <v>Di cui Fatture da emettere</v>
      </c>
      <c r="AA659" s="262" t="str">
        <f>+AA652</f>
        <v>Fondo svalutazione crediti al 31/12/2019</v>
      </c>
      <c r="AB659" s="262" t="s">
        <v>3500</v>
      </c>
      <c r="AC659" s="262" t="s">
        <v>3501</v>
      </c>
      <c r="AD659" s="262" t="s">
        <v>3502</v>
      </c>
      <c r="AE659" s="262" t="str">
        <f>+AE652</f>
        <v>Fondo svalutazione crediti al 31/12/2020</v>
      </c>
      <c r="AF659" s="339" t="s">
        <v>3503</v>
      </c>
      <c r="AG659" s="339" t="s">
        <v>3504</v>
      </c>
      <c r="AH659" s="339" t="s">
        <v>3505</v>
      </c>
      <c r="AI659" s="339" t="s">
        <v>3506</v>
      </c>
      <c r="AJ659" s="339" t="s">
        <v>3507</v>
      </c>
      <c r="AK659" s="340" t="s">
        <v>3508</v>
      </c>
      <c r="AL659" s="340" t="s">
        <v>3509</v>
      </c>
      <c r="AM659" s="340" t="s">
        <v>3510</v>
      </c>
    </row>
    <row r="660" spans="2:39" s="204" customFormat="1" x14ac:dyDescent="0.25">
      <c r="B660" s="246" t="s">
        <v>1582</v>
      </c>
      <c r="C660" s="287" t="s">
        <v>1583</v>
      </c>
      <c r="D660" s="274" t="s">
        <v>3749</v>
      </c>
      <c r="E660" s="274"/>
      <c r="F660" s="274"/>
      <c r="G660" s="283"/>
      <c r="H660" s="266"/>
      <c r="I660" s="274"/>
      <c r="J660" s="281"/>
      <c r="K660" s="281"/>
      <c r="L660" s="295" t="s">
        <v>1584</v>
      </c>
      <c r="M660" s="284" t="s">
        <v>2962</v>
      </c>
      <c r="N660" s="272">
        <f>+N661+N664+N667+N673+N674</f>
        <v>0</v>
      </c>
      <c r="O660" s="272">
        <f>+O661+O664+O667+O673+O674</f>
        <v>0</v>
      </c>
      <c r="P660" s="378">
        <f t="shared" ref="P660:P680" si="115">+O660-N660</f>
        <v>0</v>
      </c>
      <c r="Q660" s="272">
        <f t="shared" ref="Q660:X660" si="116">+Q661+Q664+Q667+Q673+Q674</f>
        <v>0</v>
      </c>
      <c r="R660" s="272">
        <f t="shared" si="116"/>
        <v>0</v>
      </c>
      <c r="S660" s="272">
        <f t="shared" si="116"/>
        <v>0</v>
      </c>
      <c r="T660" s="272">
        <f t="shared" si="116"/>
        <v>0</v>
      </c>
      <c r="U660" s="272">
        <f t="shared" si="116"/>
        <v>0</v>
      </c>
      <c r="V660" s="272">
        <f t="shared" si="116"/>
        <v>0</v>
      </c>
      <c r="W660" s="272">
        <f t="shared" si="116"/>
        <v>0</v>
      </c>
      <c r="X660" s="272">
        <f t="shared" si="116"/>
        <v>0</v>
      </c>
      <c r="Y660" s="272">
        <f>+R660+S660+T660+U660-V660-X660+W660+Q660</f>
        <v>0</v>
      </c>
      <c r="Z660" s="272">
        <f>+Z661+Z664+Z667+Z673+Z674</f>
        <v>0</v>
      </c>
      <c r="AA660" s="272">
        <f>+AA661+AA664+AA667+AA673+AA674</f>
        <v>0</v>
      </c>
      <c r="AB660" s="272">
        <f>+AB661+AB664+AB667+AB673+AB674</f>
        <v>0</v>
      </c>
      <c r="AC660" s="272">
        <f>+AC661+AC664+AC667+AC673+AC674</f>
        <v>0</v>
      </c>
      <c r="AD660" s="272">
        <f>+AD661+AD664+AD667+AD673+AD674</f>
        <v>0</v>
      </c>
      <c r="AE660" s="272">
        <f>+AA660+AD660-AC660+AB660</f>
        <v>0</v>
      </c>
      <c r="AF660" s="272">
        <f>+AF661+AF664+AF667+AF673+AF674</f>
        <v>0</v>
      </c>
      <c r="AG660" s="272">
        <f>+AG661+AG664+AG667+AG673+AG674</f>
        <v>0</v>
      </c>
      <c r="AH660" s="272">
        <f>+AH661+AH664+AH667+AH673+AH674</f>
        <v>0</v>
      </c>
      <c r="AI660" s="272">
        <f>+AI661+AI664+AI667+AI673+AI674</f>
        <v>0</v>
      </c>
      <c r="AJ660" s="537">
        <f t="shared" ref="AJ660:AJ680" si="117">+Y660-SUM(AF660:AI660)</f>
        <v>0</v>
      </c>
      <c r="AK660" s="537">
        <f t="shared" ref="AK660:AK680" si="118">+Y660-AE660-AL660-AM660</f>
        <v>0</v>
      </c>
      <c r="AL660" s="272">
        <f>+AL661+AL664+AL667+AL673+AL674</f>
        <v>0</v>
      </c>
      <c r="AM660" s="272">
        <f>+AM661+AM664+AM667+AM673+AM674</f>
        <v>0</v>
      </c>
    </row>
    <row r="661" spans="2:39" s="204" customFormat="1" ht="25.5" x14ac:dyDescent="0.25">
      <c r="B661" s="246" t="s">
        <v>1585</v>
      </c>
      <c r="C661" s="287" t="s">
        <v>1586</v>
      </c>
      <c r="D661" s="274" t="s">
        <v>3750</v>
      </c>
      <c r="E661" s="274"/>
      <c r="F661" s="274"/>
      <c r="G661" s="283"/>
      <c r="H661" s="266"/>
      <c r="I661" s="274"/>
      <c r="J661" s="281"/>
      <c r="K661" s="281"/>
      <c r="L661" s="379" t="s">
        <v>1588</v>
      </c>
      <c r="M661" s="284" t="s">
        <v>2962</v>
      </c>
      <c r="N661" s="272">
        <f>N662+N663</f>
        <v>0</v>
      </c>
      <c r="O661" s="272">
        <f>O662+O663</f>
        <v>0</v>
      </c>
      <c r="P661" s="378">
        <f t="shared" si="115"/>
        <v>0</v>
      </c>
      <c r="Q661" s="272">
        <f t="shared" ref="Q661:X661" si="119">Q662+Q663</f>
        <v>0</v>
      </c>
      <c r="R661" s="272">
        <f t="shared" si="119"/>
        <v>0</v>
      </c>
      <c r="S661" s="272">
        <f t="shared" si="119"/>
        <v>0</v>
      </c>
      <c r="T661" s="272">
        <f t="shared" si="119"/>
        <v>0</v>
      </c>
      <c r="U661" s="272">
        <f t="shared" si="119"/>
        <v>0</v>
      </c>
      <c r="V661" s="272">
        <f t="shared" si="119"/>
        <v>0</v>
      </c>
      <c r="W661" s="272">
        <f t="shared" si="119"/>
        <v>0</v>
      </c>
      <c r="X661" s="272">
        <f t="shared" si="119"/>
        <v>0</v>
      </c>
      <c r="Y661" s="272">
        <f>+R661+S661+T661+U661-V661-X661+W661+Q661</f>
        <v>0</v>
      </c>
      <c r="Z661" s="272">
        <f>Z662+Z663</f>
        <v>0</v>
      </c>
      <c r="AA661" s="272">
        <f>AA662+AA663</f>
        <v>0</v>
      </c>
      <c r="AB661" s="272">
        <f>AB662+AB663</f>
        <v>0</v>
      </c>
      <c r="AC661" s="272">
        <f>AC662+AC663</f>
        <v>0</v>
      </c>
      <c r="AD661" s="272">
        <f>AD662+AD663</f>
        <v>0</v>
      </c>
      <c r="AE661" s="272">
        <f>+AA661+AD661-AC661+AB661</f>
        <v>0</v>
      </c>
      <c r="AF661" s="272">
        <f>AF662+AF663</f>
        <v>0</v>
      </c>
      <c r="AG661" s="272">
        <f>AG662+AG663</f>
        <v>0</v>
      </c>
      <c r="AH661" s="272">
        <f>AH662+AH663</f>
        <v>0</v>
      </c>
      <c r="AI661" s="272">
        <f>AI662+AI663</f>
        <v>0</v>
      </c>
      <c r="AJ661" s="537">
        <f t="shared" si="117"/>
        <v>0</v>
      </c>
      <c r="AK661" s="537">
        <f t="shared" si="118"/>
        <v>0</v>
      </c>
      <c r="AL661" s="272">
        <f>AL662+AL663</f>
        <v>0</v>
      </c>
      <c r="AM661" s="272">
        <f>AM662+AM663</f>
        <v>0</v>
      </c>
    </row>
    <row r="662" spans="2:39" s="204" customFormat="1" ht="25.5" hidden="1" x14ac:dyDescent="0.25">
      <c r="B662" s="246" t="s">
        <v>1589</v>
      </c>
      <c r="C662" s="287" t="s">
        <v>1590</v>
      </c>
      <c r="D662" s="274" t="s">
        <v>3751</v>
      </c>
      <c r="E662" s="274"/>
      <c r="F662" s="274"/>
      <c r="G662" s="283"/>
      <c r="H662" s="266"/>
      <c r="I662" s="274"/>
      <c r="J662" s="281"/>
      <c r="K662" s="281"/>
      <c r="L662" s="406" t="s">
        <v>1592</v>
      </c>
      <c r="M662" s="284" t="s">
        <v>2962</v>
      </c>
      <c r="N662" s="269">
        <f>+R662-AA662</f>
        <v>0</v>
      </c>
      <c r="O662" s="270">
        <f>+Y662-AE662</f>
        <v>0</v>
      </c>
      <c r="P662" s="271">
        <f t="shared" si="115"/>
        <v>0</v>
      </c>
      <c r="Q662" s="520"/>
      <c r="R662" s="354">
        <f>IF(ISERROR(VLOOKUP("RIC"&amp;$C662,ESTR_PREC_SP!$A$2:$G$2000,4,FALSE))=TRUE,0,VLOOKUP("RIC"&amp;$C662,ESTR_PREC_SP!$A$2:$G$2000,4,FALSE))+AA662</f>
        <v>0</v>
      </c>
      <c r="S662" s="520"/>
      <c r="T662" s="520"/>
      <c r="U662" s="520"/>
      <c r="V662" s="520"/>
      <c r="W662" s="520"/>
      <c r="X662" s="520"/>
      <c r="Y662" s="269">
        <f>+R662+S662+T662-V662-X662+W662</f>
        <v>0</v>
      </c>
      <c r="Z662" s="534"/>
      <c r="AA662" s="520"/>
      <c r="AB662" s="520"/>
      <c r="AC662" s="520"/>
      <c r="AD662" s="520"/>
      <c r="AE662" s="269">
        <f>+AA662+AD662-AC662</f>
        <v>0</v>
      </c>
      <c r="AF662" s="520"/>
      <c r="AG662" s="520"/>
      <c r="AH662" s="520"/>
      <c r="AI662" s="520"/>
      <c r="AJ662" s="526">
        <f t="shared" si="117"/>
        <v>0</v>
      </c>
      <c r="AK662" s="526">
        <f t="shared" si="118"/>
        <v>0</v>
      </c>
      <c r="AL662" s="520"/>
      <c r="AM662" s="520"/>
    </row>
    <row r="663" spans="2:39" s="204" customFormat="1" ht="25.5" x14ac:dyDescent="0.25">
      <c r="B663" s="246" t="s">
        <v>1593</v>
      </c>
      <c r="C663" s="287" t="s">
        <v>1594</v>
      </c>
      <c r="D663" s="274" t="s">
        <v>3752</v>
      </c>
      <c r="E663" s="274"/>
      <c r="F663" s="274"/>
      <c r="G663" s="283"/>
      <c r="H663" s="266"/>
      <c r="I663" s="274"/>
      <c r="J663" s="281"/>
      <c r="K663" s="281"/>
      <c r="L663" s="406" t="s">
        <v>3753</v>
      </c>
      <c r="M663" s="284" t="s">
        <v>2962</v>
      </c>
      <c r="N663" s="269">
        <f>+R663-AA663</f>
        <v>0</v>
      </c>
      <c r="O663" s="270">
        <f>+Y663-AE663</f>
        <v>0</v>
      </c>
      <c r="P663" s="271">
        <f t="shared" si="115"/>
        <v>0</v>
      </c>
      <c r="Q663" s="520"/>
      <c r="R663" s="354">
        <f>IF(ISERROR(VLOOKUP("RIC"&amp;$C663,ESTR_PREC_SP!$A$2:$G$2000,4,FALSE))=TRUE,0,VLOOKUP("RIC"&amp;$C663,ESTR_PREC_SP!$A$2:$G$2000,4,FALSE))</f>
        <v>0</v>
      </c>
      <c r="S663" s="520"/>
      <c r="T663" s="520"/>
      <c r="U663" s="520"/>
      <c r="V663" s="520"/>
      <c r="W663" s="520"/>
      <c r="X663" s="520"/>
      <c r="Y663" s="269">
        <f>+R663+S663+T663+U663-V663-X663+W663+Q663</f>
        <v>0</v>
      </c>
      <c r="Z663" s="534"/>
      <c r="AA663" s="354">
        <f>IF(ISERROR(VLOOKUP("RIC"&amp;$C663,ESTR_PREC_SP!$A$2:$G$2000,5,FALSE))=TRUE,0,VLOOKUP("RIC"&amp;$C663,ESTR_PREC_SP!$A$2:$G$2000,5,FALSE))</f>
        <v>0</v>
      </c>
      <c r="AB663" s="520"/>
      <c r="AC663" s="520"/>
      <c r="AD663" s="520"/>
      <c r="AE663" s="269">
        <f>+AA663+AD663-AC663+AB663</f>
        <v>0</v>
      </c>
      <c r="AF663" s="520"/>
      <c r="AG663" s="520"/>
      <c r="AH663" s="520"/>
      <c r="AI663" s="520"/>
      <c r="AJ663" s="526">
        <f t="shared" si="117"/>
        <v>0</v>
      </c>
      <c r="AK663" s="526">
        <f t="shared" si="118"/>
        <v>0</v>
      </c>
      <c r="AL663" s="520"/>
      <c r="AM663" s="520"/>
    </row>
    <row r="664" spans="2:39" s="204" customFormat="1" ht="25.5" x14ac:dyDescent="0.25">
      <c r="B664" s="246" t="s">
        <v>1596</v>
      </c>
      <c r="C664" s="287" t="s">
        <v>1597</v>
      </c>
      <c r="D664" s="274" t="s">
        <v>3754</v>
      </c>
      <c r="E664" s="274"/>
      <c r="F664" s="274"/>
      <c r="G664" s="283"/>
      <c r="H664" s="266"/>
      <c r="I664" s="274"/>
      <c r="J664" s="281"/>
      <c r="K664" s="281"/>
      <c r="L664" s="379" t="s">
        <v>1599</v>
      </c>
      <c r="M664" s="284" t="s">
        <v>2962</v>
      </c>
      <c r="N664" s="272">
        <f>+N665+N666</f>
        <v>0</v>
      </c>
      <c r="O664" s="272">
        <f>+O665+O666</f>
        <v>0</v>
      </c>
      <c r="P664" s="378">
        <f t="shared" si="115"/>
        <v>0</v>
      </c>
      <c r="Q664" s="272">
        <f t="shared" ref="Q664:X664" si="120">Q665+Q666</f>
        <v>0</v>
      </c>
      <c r="R664" s="272">
        <f t="shared" si="120"/>
        <v>0</v>
      </c>
      <c r="S664" s="272">
        <f t="shared" si="120"/>
        <v>0</v>
      </c>
      <c r="T664" s="272">
        <f t="shared" si="120"/>
        <v>0</v>
      </c>
      <c r="U664" s="272">
        <f t="shared" si="120"/>
        <v>0</v>
      </c>
      <c r="V664" s="272">
        <f t="shared" si="120"/>
        <v>0</v>
      </c>
      <c r="W664" s="272">
        <f t="shared" si="120"/>
        <v>0</v>
      </c>
      <c r="X664" s="272">
        <f t="shared" si="120"/>
        <v>0</v>
      </c>
      <c r="Y664" s="272">
        <f>+R664+S664+T664+U664-V664-X664+W664+Q664</f>
        <v>0</v>
      </c>
      <c r="Z664" s="272">
        <f>Z665+Z666</f>
        <v>0</v>
      </c>
      <c r="AA664" s="272">
        <f>AA665+AA666</f>
        <v>0</v>
      </c>
      <c r="AB664" s="272">
        <f>AB665+AB666</f>
        <v>0</v>
      </c>
      <c r="AC664" s="272">
        <f>AC665+AC666</f>
        <v>0</v>
      </c>
      <c r="AD664" s="272">
        <f>AD665+AD666</f>
        <v>0</v>
      </c>
      <c r="AE664" s="272">
        <f>+AA664+AD664-AC664+AB664</f>
        <v>0</v>
      </c>
      <c r="AF664" s="272">
        <f>AF665+AF666</f>
        <v>0</v>
      </c>
      <c r="AG664" s="272">
        <f>AG665+AG666</f>
        <v>0</v>
      </c>
      <c r="AH664" s="272">
        <f>AH665+AH666</f>
        <v>0</v>
      </c>
      <c r="AI664" s="272">
        <f>AI665+AI666</f>
        <v>0</v>
      </c>
      <c r="AJ664" s="537">
        <f t="shared" si="117"/>
        <v>0</v>
      </c>
      <c r="AK664" s="537">
        <f t="shared" si="118"/>
        <v>0</v>
      </c>
      <c r="AL664" s="272">
        <f>AL665+AL666</f>
        <v>0</v>
      </c>
      <c r="AM664" s="272">
        <f>AM665+AM666</f>
        <v>0</v>
      </c>
    </row>
    <row r="665" spans="2:39" s="204" customFormat="1" ht="25.5" hidden="1" x14ac:dyDescent="0.25">
      <c r="B665" s="246" t="s">
        <v>1600</v>
      </c>
      <c r="C665" s="287" t="s">
        <v>1601</v>
      </c>
      <c r="D665" s="274" t="s">
        <v>3755</v>
      </c>
      <c r="E665" s="274"/>
      <c r="F665" s="274"/>
      <c r="G665" s="283"/>
      <c r="H665" s="266"/>
      <c r="I665" s="274"/>
      <c r="J665" s="281"/>
      <c r="K665" s="281"/>
      <c r="L665" s="406" t="s">
        <v>1602</v>
      </c>
      <c r="M665" s="284" t="s">
        <v>2962</v>
      </c>
      <c r="N665" s="269">
        <f>+R665-AA665</f>
        <v>0</v>
      </c>
      <c r="O665" s="270">
        <f>+Y665-AE665</f>
        <v>0</v>
      </c>
      <c r="P665" s="271">
        <f t="shared" si="115"/>
        <v>0</v>
      </c>
      <c r="Q665" s="520"/>
      <c r="R665" s="354">
        <f>IF(ISERROR(VLOOKUP("RIC"&amp;$C665,ESTR_PREC_SP!$A$2:$G$2000,4,FALSE))=TRUE,0,VLOOKUP("RIC"&amp;$C665,ESTR_PREC_SP!$A$2:$G$2000,4,FALSE))+AA665</f>
        <v>0</v>
      </c>
      <c r="S665" s="520"/>
      <c r="T665" s="520"/>
      <c r="U665" s="520"/>
      <c r="V665" s="520"/>
      <c r="W665" s="520"/>
      <c r="X665" s="520"/>
      <c r="Y665" s="269">
        <f>+R665+S665+T665-V665-X665+W665</f>
        <v>0</v>
      </c>
      <c r="Z665" s="534"/>
      <c r="AA665" s="520"/>
      <c r="AB665" s="520"/>
      <c r="AC665" s="520"/>
      <c r="AD665" s="520"/>
      <c r="AE665" s="269">
        <f>+AA665+AD665-AC665</f>
        <v>0</v>
      </c>
      <c r="AF665" s="520"/>
      <c r="AG665" s="520"/>
      <c r="AH665" s="520"/>
      <c r="AI665" s="520"/>
      <c r="AJ665" s="526">
        <f t="shared" si="117"/>
        <v>0</v>
      </c>
      <c r="AK665" s="526">
        <f t="shared" si="118"/>
        <v>0</v>
      </c>
      <c r="AL665" s="520"/>
      <c r="AM665" s="520"/>
    </row>
    <row r="666" spans="2:39" s="204" customFormat="1" ht="25.5" x14ac:dyDescent="0.25">
      <c r="B666" s="246" t="s">
        <v>1603</v>
      </c>
      <c r="C666" s="287" t="s">
        <v>1604</v>
      </c>
      <c r="D666" s="274" t="s">
        <v>3756</v>
      </c>
      <c r="E666" s="274"/>
      <c r="F666" s="274"/>
      <c r="G666" s="283"/>
      <c r="H666" s="266"/>
      <c r="I666" s="274"/>
      <c r="J666" s="281"/>
      <c r="K666" s="281"/>
      <c r="L666" s="406" t="s">
        <v>3757</v>
      </c>
      <c r="M666" s="284" t="s">
        <v>2962</v>
      </c>
      <c r="N666" s="269">
        <f>+R666-AA666</f>
        <v>0</v>
      </c>
      <c r="O666" s="270">
        <f>+Y666-AE666</f>
        <v>0</v>
      </c>
      <c r="P666" s="271">
        <f t="shared" si="115"/>
        <v>0</v>
      </c>
      <c r="Q666" s="520"/>
      <c r="R666" s="354">
        <f>IF(ISERROR(VLOOKUP("RIC"&amp;$C666,ESTR_PREC_SP!$A$2:$G$2000,4,FALSE))=TRUE,0,VLOOKUP("RIC"&amp;$C666,ESTR_PREC_SP!$A$2:$G$2000,4,FALSE))</f>
        <v>0</v>
      </c>
      <c r="S666" s="520"/>
      <c r="T666" s="520"/>
      <c r="U666" s="520"/>
      <c r="V666" s="520"/>
      <c r="W666" s="520"/>
      <c r="X666" s="520"/>
      <c r="Y666" s="269">
        <f>+R666+S666+T666+U666-V666-X666+W666+Q666</f>
        <v>0</v>
      </c>
      <c r="Z666" s="534"/>
      <c r="AA666" s="354">
        <f>IF(ISERROR(VLOOKUP("RIC"&amp;$C666,ESTR_PREC_SP!$A$2:$G$2000,5,FALSE))=TRUE,0,VLOOKUP("RIC"&amp;$C666,ESTR_PREC_SP!$A$2:$G$2000,5,FALSE))</f>
        <v>0</v>
      </c>
      <c r="AB666" s="520"/>
      <c r="AC666" s="520"/>
      <c r="AD666" s="520"/>
      <c r="AE666" s="269">
        <f>+AA666+AD666-AC666+AB666</f>
        <v>0</v>
      </c>
      <c r="AF666" s="520"/>
      <c r="AG666" s="520"/>
      <c r="AH666" s="520"/>
      <c r="AI666" s="520"/>
      <c r="AJ666" s="526">
        <f t="shared" si="117"/>
        <v>0</v>
      </c>
      <c r="AK666" s="526">
        <f t="shared" si="118"/>
        <v>0</v>
      </c>
      <c r="AL666" s="520"/>
      <c r="AM666" s="520"/>
    </row>
    <row r="667" spans="2:39" s="204" customFormat="1" ht="25.5" x14ac:dyDescent="0.25">
      <c r="B667" s="246" t="s">
        <v>1606</v>
      </c>
      <c r="C667" s="287" t="s">
        <v>1607</v>
      </c>
      <c r="D667" s="274" t="s">
        <v>3758</v>
      </c>
      <c r="E667" s="274"/>
      <c r="F667" s="274"/>
      <c r="G667" s="283"/>
      <c r="H667" s="266"/>
      <c r="I667" s="274"/>
      <c r="J667" s="281"/>
      <c r="K667" s="281"/>
      <c r="L667" s="379" t="s">
        <v>1610</v>
      </c>
      <c r="M667" s="284" t="s">
        <v>2962</v>
      </c>
      <c r="N667" s="272">
        <f>SUM(N668:N672)</f>
        <v>0</v>
      </c>
      <c r="O667" s="272">
        <f>SUM(O668:O672)</f>
        <v>0</v>
      </c>
      <c r="P667" s="378">
        <f t="shared" si="115"/>
        <v>0</v>
      </c>
      <c r="Q667" s="272">
        <f t="shared" ref="Q667:X667" si="121">SUM(Q668:Q672)</f>
        <v>0</v>
      </c>
      <c r="R667" s="272">
        <f t="shared" si="121"/>
        <v>0</v>
      </c>
      <c r="S667" s="272">
        <f t="shared" si="121"/>
        <v>0</v>
      </c>
      <c r="T667" s="272">
        <f t="shared" si="121"/>
        <v>0</v>
      </c>
      <c r="U667" s="272">
        <f t="shared" si="121"/>
        <v>0</v>
      </c>
      <c r="V667" s="272">
        <f t="shared" si="121"/>
        <v>0</v>
      </c>
      <c r="W667" s="272">
        <f t="shared" si="121"/>
        <v>0</v>
      </c>
      <c r="X667" s="272">
        <f t="shared" si="121"/>
        <v>0</v>
      </c>
      <c r="Y667" s="272">
        <f>+R667+S667+T667+U667-V667-X667+W667+Q667</f>
        <v>0</v>
      </c>
      <c r="Z667" s="272">
        <f>SUM(Z668:Z672)</f>
        <v>0</v>
      </c>
      <c r="AA667" s="272">
        <f>SUM(AA668:AA672)</f>
        <v>0</v>
      </c>
      <c r="AB667" s="272">
        <f>SUM(AB668:AB672)</f>
        <v>0</v>
      </c>
      <c r="AC667" s="272">
        <f>SUM(AC668:AC672)</f>
        <v>0</v>
      </c>
      <c r="AD667" s="272">
        <f>SUM(AD668:AD672)</f>
        <v>0</v>
      </c>
      <c r="AE667" s="272">
        <f>+AA667+AD667-AC667+AB667</f>
        <v>0</v>
      </c>
      <c r="AF667" s="272">
        <f>SUM(AF668:AF672)</f>
        <v>0</v>
      </c>
      <c r="AG667" s="272">
        <f>SUM(AG668:AG672)</f>
        <v>0</v>
      </c>
      <c r="AH667" s="272">
        <f>SUM(AH668:AH672)</f>
        <v>0</v>
      </c>
      <c r="AI667" s="272">
        <f>SUM(AI668:AI672)</f>
        <v>0</v>
      </c>
      <c r="AJ667" s="537">
        <f t="shared" si="117"/>
        <v>0</v>
      </c>
      <c r="AK667" s="537">
        <f t="shared" si="118"/>
        <v>0</v>
      </c>
      <c r="AL667" s="272">
        <f>SUM(AL668:AL672)</f>
        <v>0</v>
      </c>
      <c r="AM667" s="272">
        <f>SUM(AM668:AM672)</f>
        <v>0</v>
      </c>
    </row>
    <row r="668" spans="2:39" s="204" customFormat="1" hidden="1" x14ac:dyDescent="0.25">
      <c r="B668" s="246" t="s">
        <v>1611</v>
      </c>
      <c r="C668" s="287" t="s">
        <v>1612</v>
      </c>
      <c r="D668" s="274" t="s">
        <v>3759</v>
      </c>
      <c r="E668" s="274"/>
      <c r="F668" s="274"/>
      <c r="G668" s="283"/>
      <c r="H668" s="266"/>
      <c r="I668" s="274"/>
      <c r="J668" s="281"/>
      <c r="K668" s="281"/>
      <c r="L668" s="406" t="s">
        <v>1613</v>
      </c>
      <c r="M668" s="284" t="s">
        <v>2962</v>
      </c>
      <c r="N668" s="269">
        <f t="shared" ref="N668:N680" si="122">+R668-AA668</f>
        <v>0</v>
      </c>
      <c r="O668" s="270">
        <f t="shared" ref="O668:O680" si="123">+Y668-AE668</f>
        <v>0</v>
      </c>
      <c r="P668" s="271">
        <f t="shared" si="115"/>
        <v>0</v>
      </c>
      <c r="Q668" s="520"/>
      <c r="R668" s="354">
        <f>IF(ISERROR(VLOOKUP("RIC"&amp;$C668,ESTR_PREC_SP!$A$2:$G$2000,4,FALSE))=TRUE,0,VLOOKUP("RIC"&amp;$C668,ESTR_PREC_SP!$A$2:$G$2000,4,FALSE))+AA668</f>
        <v>0</v>
      </c>
      <c r="S668" s="520"/>
      <c r="T668" s="520"/>
      <c r="U668" s="520"/>
      <c r="V668" s="520"/>
      <c r="W668" s="520"/>
      <c r="X668" s="520"/>
      <c r="Y668" s="269">
        <f>+R668+S668+T668-V668-X668+W668</f>
        <v>0</v>
      </c>
      <c r="Z668" s="534"/>
      <c r="AA668" s="520"/>
      <c r="AB668" s="520"/>
      <c r="AC668" s="520"/>
      <c r="AD668" s="520"/>
      <c r="AE668" s="269">
        <f>+AA668+AD668-AC668</f>
        <v>0</v>
      </c>
      <c r="AF668" s="520"/>
      <c r="AG668" s="520"/>
      <c r="AH668" s="520"/>
      <c r="AI668" s="520"/>
      <c r="AJ668" s="526">
        <f t="shared" si="117"/>
        <v>0</v>
      </c>
      <c r="AK668" s="526">
        <f t="shared" si="118"/>
        <v>0</v>
      </c>
      <c r="AL668" s="520"/>
      <c r="AM668" s="520"/>
    </row>
    <row r="669" spans="2:39" s="204" customFormat="1" x14ac:dyDescent="0.25">
      <c r="B669" s="246" t="s">
        <v>1614</v>
      </c>
      <c r="C669" s="287" t="s">
        <v>1615</v>
      </c>
      <c r="D669" s="274" t="s">
        <v>3760</v>
      </c>
      <c r="E669" s="274"/>
      <c r="F669" s="274"/>
      <c r="G669" s="283"/>
      <c r="H669" s="266"/>
      <c r="I669" s="274"/>
      <c r="J669" s="281"/>
      <c r="K669" s="281"/>
      <c r="L669" s="406" t="s">
        <v>3761</v>
      </c>
      <c r="M669" s="284" t="s">
        <v>2962</v>
      </c>
      <c r="N669" s="269">
        <f t="shared" si="122"/>
        <v>0</v>
      </c>
      <c r="O669" s="270">
        <f t="shared" si="123"/>
        <v>0</v>
      </c>
      <c r="P669" s="271">
        <f t="shared" si="115"/>
        <v>0</v>
      </c>
      <c r="Q669" s="520"/>
      <c r="R669" s="354">
        <f>IF(ISERROR(VLOOKUP("RIC"&amp;$C669,ESTR_PREC_SP!$A$2:$G$2000,4,FALSE))=TRUE,0,VLOOKUP("RIC"&amp;$C669,ESTR_PREC_SP!$A$2:$G$2000,4,FALSE))</f>
        <v>0</v>
      </c>
      <c r="S669" s="520"/>
      <c r="T669" s="520"/>
      <c r="U669" s="520"/>
      <c r="V669" s="520"/>
      <c r="W669" s="520"/>
      <c r="X669" s="520"/>
      <c r="Y669" s="269">
        <f t="shared" ref="Y669:Y680" si="124">+R669+S669+T669+U669-V669-X669+W669+Q669</f>
        <v>0</v>
      </c>
      <c r="Z669" s="534"/>
      <c r="AA669" s="354">
        <f>IF(ISERROR(VLOOKUP("RIC"&amp;$C669,ESTR_PREC_SP!$A$2:$G$2000,5,FALSE))=TRUE,0,VLOOKUP("RIC"&amp;$C669,ESTR_PREC_SP!$A$2:$G$2000,5,FALSE))</f>
        <v>0</v>
      </c>
      <c r="AB669" s="520"/>
      <c r="AC669" s="520"/>
      <c r="AD669" s="520"/>
      <c r="AE669" s="269">
        <f t="shared" ref="AE669:AE680" si="125">+AA669+AD669-AC669+AB669</f>
        <v>0</v>
      </c>
      <c r="AF669" s="520"/>
      <c r="AG669" s="520"/>
      <c r="AH669" s="520"/>
      <c r="AI669" s="520"/>
      <c r="AJ669" s="526">
        <f t="shared" si="117"/>
        <v>0</v>
      </c>
      <c r="AK669" s="526">
        <f t="shared" si="118"/>
        <v>0</v>
      </c>
      <c r="AL669" s="520"/>
      <c r="AM669" s="520"/>
    </row>
    <row r="670" spans="2:39" s="204" customFormat="1" hidden="1" x14ac:dyDescent="0.25">
      <c r="B670" s="246" t="s">
        <v>1617</v>
      </c>
      <c r="C670" s="287" t="s">
        <v>1618</v>
      </c>
      <c r="D670" s="274" t="s">
        <v>3762</v>
      </c>
      <c r="E670" s="274"/>
      <c r="F670" s="274"/>
      <c r="G670" s="283"/>
      <c r="H670" s="266"/>
      <c r="I670" s="274"/>
      <c r="J670" s="281"/>
      <c r="K670" s="281"/>
      <c r="L670" s="406" t="s">
        <v>1619</v>
      </c>
      <c r="M670" s="284" t="s">
        <v>2962</v>
      </c>
      <c r="N670" s="269">
        <f t="shared" si="122"/>
        <v>0</v>
      </c>
      <c r="O670" s="270">
        <f t="shared" si="123"/>
        <v>0</v>
      </c>
      <c r="P670" s="271">
        <f t="shared" si="115"/>
        <v>0</v>
      </c>
      <c r="Q670" s="520"/>
      <c r="R670" s="354">
        <f>IF(ISERROR(VLOOKUP("RIC"&amp;$C670,ESTR_PREC_SP!$A$2:$G$2000,4,FALSE))=TRUE,0,VLOOKUP("RIC"&amp;$C670,ESTR_PREC_SP!$A$2:$G$2000,4,FALSE))+AA670</f>
        <v>0</v>
      </c>
      <c r="S670" s="520"/>
      <c r="T670" s="520"/>
      <c r="U670" s="520"/>
      <c r="V670" s="520"/>
      <c r="W670" s="520"/>
      <c r="X670" s="520"/>
      <c r="Y670" s="269">
        <f t="shared" si="124"/>
        <v>0</v>
      </c>
      <c r="Z670" s="534"/>
      <c r="AA670" s="354">
        <f>IF(ISERROR(VLOOKUP("RIC"&amp;$C670,ESTR_PREC_SP!$A$2:$G$2000,5,FALSE))=TRUE,0,VLOOKUP("RIC"&amp;$C670,ESTR_PREC_SP!$A$2:$G$2000,5,FALSE))</f>
        <v>0</v>
      </c>
      <c r="AB670" s="520"/>
      <c r="AC670" s="520"/>
      <c r="AD670" s="520"/>
      <c r="AE670" s="269">
        <f t="shared" si="125"/>
        <v>0</v>
      </c>
      <c r="AF670" s="520"/>
      <c r="AG670" s="520"/>
      <c r="AH670" s="520"/>
      <c r="AI670" s="520"/>
      <c r="AJ670" s="526">
        <f t="shared" si="117"/>
        <v>0</v>
      </c>
      <c r="AK670" s="526">
        <f t="shared" si="118"/>
        <v>0</v>
      </c>
      <c r="AL670" s="520"/>
      <c r="AM670" s="520"/>
    </row>
    <row r="671" spans="2:39" s="204" customFormat="1" x14ac:dyDescent="0.25">
      <c r="B671" s="246" t="s">
        <v>1620</v>
      </c>
      <c r="C671" s="287" t="s">
        <v>1621</v>
      </c>
      <c r="D671" s="274" t="s">
        <v>3763</v>
      </c>
      <c r="E671" s="274"/>
      <c r="F671" s="274"/>
      <c r="G671" s="283"/>
      <c r="H671" s="266"/>
      <c r="I671" s="274"/>
      <c r="J671" s="281"/>
      <c r="K671" s="281"/>
      <c r="L671" s="406" t="s">
        <v>3764</v>
      </c>
      <c r="M671" s="284" t="s">
        <v>2962</v>
      </c>
      <c r="N671" s="269">
        <f t="shared" si="122"/>
        <v>0</v>
      </c>
      <c r="O671" s="270">
        <f t="shared" si="123"/>
        <v>0</v>
      </c>
      <c r="P671" s="271">
        <f t="shared" si="115"/>
        <v>0</v>
      </c>
      <c r="Q671" s="520"/>
      <c r="R671" s="354">
        <f>IF(ISERROR(VLOOKUP("RIC"&amp;$C671,ESTR_PREC_SP!$A$2:$G$2000,4,FALSE))=TRUE,0,VLOOKUP("RIC"&amp;$C671,ESTR_PREC_SP!$A$2:$G$2000,4,FALSE))</f>
        <v>0</v>
      </c>
      <c r="S671" s="520"/>
      <c r="T671" s="520"/>
      <c r="U671" s="520"/>
      <c r="V671" s="520"/>
      <c r="W671" s="520"/>
      <c r="X671" s="520"/>
      <c r="Y671" s="269">
        <f t="shared" si="124"/>
        <v>0</v>
      </c>
      <c r="Z671" s="534"/>
      <c r="AA671" s="354">
        <f>IF(ISERROR(VLOOKUP("RIC"&amp;$C671,ESTR_PREC_SP!$A$2:$G$2000,5,FALSE))=TRUE,0,VLOOKUP("RIC"&amp;$C671,ESTR_PREC_SP!$A$2:$G$2000,5,FALSE))</f>
        <v>0</v>
      </c>
      <c r="AB671" s="520"/>
      <c r="AC671" s="520"/>
      <c r="AD671" s="520"/>
      <c r="AE671" s="269">
        <f t="shared" si="125"/>
        <v>0</v>
      </c>
      <c r="AF671" s="520"/>
      <c r="AG671" s="520"/>
      <c r="AH671" s="520"/>
      <c r="AI671" s="520"/>
      <c r="AJ671" s="526">
        <f t="shared" si="117"/>
        <v>0</v>
      </c>
      <c r="AK671" s="526">
        <f t="shared" si="118"/>
        <v>0</v>
      </c>
      <c r="AL671" s="520"/>
      <c r="AM671" s="520"/>
    </row>
    <row r="672" spans="2:39" s="204" customFormat="1" x14ac:dyDescent="0.25">
      <c r="B672" s="246" t="s">
        <v>1623</v>
      </c>
      <c r="C672" s="287" t="s">
        <v>1624</v>
      </c>
      <c r="D672" s="274" t="s">
        <v>3765</v>
      </c>
      <c r="E672" s="274"/>
      <c r="F672" s="274"/>
      <c r="G672" s="283"/>
      <c r="H672" s="266"/>
      <c r="I672" s="274"/>
      <c r="J672" s="281"/>
      <c r="K672" s="281"/>
      <c r="L672" s="406" t="s">
        <v>3766</v>
      </c>
      <c r="M672" s="284" t="s">
        <v>2962</v>
      </c>
      <c r="N672" s="269">
        <f t="shared" si="122"/>
        <v>0</v>
      </c>
      <c r="O672" s="270">
        <f t="shared" si="123"/>
        <v>0</v>
      </c>
      <c r="P672" s="271">
        <f t="shared" si="115"/>
        <v>0</v>
      </c>
      <c r="Q672" s="520"/>
      <c r="R672" s="354">
        <f>IF(ISERROR(VLOOKUP("RIC"&amp;$C672,ESTR_PREC_SP!$A$2:$G$2000,4,FALSE))=TRUE,0,VLOOKUP("RIC"&amp;$C672,ESTR_PREC_SP!$A$2:$G$2000,4,FALSE))</f>
        <v>0</v>
      </c>
      <c r="S672" s="520"/>
      <c r="T672" s="520"/>
      <c r="U672" s="520"/>
      <c r="V672" s="520"/>
      <c r="W672" s="520"/>
      <c r="X672" s="520"/>
      <c r="Y672" s="269">
        <f t="shared" si="124"/>
        <v>0</v>
      </c>
      <c r="Z672" s="534"/>
      <c r="AA672" s="354">
        <f>IF(ISERROR(VLOOKUP("RIC"&amp;$C672,ESTR_PREC_SP!$A$2:$G$2000,5,FALSE))=TRUE,0,VLOOKUP("RIC"&amp;$C672,ESTR_PREC_SP!$A$2:$G$2000,5,FALSE))</f>
        <v>0</v>
      </c>
      <c r="AB672" s="520"/>
      <c r="AC672" s="520"/>
      <c r="AD672" s="520"/>
      <c r="AE672" s="269">
        <f t="shared" si="125"/>
        <v>0</v>
      </c>
      <c r="AF672" s="520"/>
      <c r="AG672" s="520"/>
      <c r="AH672" s="520"/>
      <c r="AI672" s="520"/>
      <c r="AJ672" s="526">
        <f t="shared" si="117"/>
        <v>0</v>
      </c>
      <c r="AK672" s="526">
        <f t="shared" si="118"/>
        <v>0</v>
      </c>
      <c r="AL672" s="520"/>
      <c r="AM672" s="520"/>
    </row>
    <row r="673" spans="1:39" s="204" customFormat="1" x14ac:dyDescent="0.25">
      <c r="B673" s="246" t="s">
        <v>1626</v>
      </c>
      <c r="C673" s="287" t="s">
        <v>1627</v>
      </c>
      <c r="D673" s="274" t="s">
        <v>3767</v>
      </c>
      <c r="E673" s="274"/>
      <c r="F673" s="274"/>
      <c r="G673" s="283"/>
      <c r="H673" s="266"/>
      <c r="I673" s="274"/>
      <c r="J673" s="281"/>
      <c r="K673" s="281"/>
      <c r="L673" s="379" t="s">
        <v>1629</v>
      </c>
      <c r="M673" s="284" t="s">
        <v>2962</v>
      </c>
      <c r="N673" s="269">
        <f t="shared" si="122"/>
        <v>0</v>
      </c>
      <c r="O673" s="270">
        <f t="shared" si="123"/>
        <v>0</v>
      </c>
      <c r="P673" s="271">
        <f t="shared" si="115"/>
        <v>0</v>
      </c>
      <c r="Q673" s="520"/>
      <c r="R673" s="354">
        <f>IF(ISERROR(VLOOKUP("RIC"&amp;$C673,ESTR_PREC_SP!$A$2:$G$2000,4,FALSE))=TRUE,0,VLOOKUP("RIC"&amp;$C673,ESTR_PREC_SP!$A$2:$G$2000,4,FALSE))</f>
        <v>0</v>
      </c>
      <c r="S673" s="520"/>
      <c r="T673" s="520"/>
      <c r="U673" s="520"/>
      <c r="V673" s="520"/>
      <c r="W673" s="520"/>
      <c r="X673" s="520"/>
      <c r="Y673" s="269">
        <f t="shared" si="124"/>
        <v>0</v>
      </c>
      <c r="Z673" s="534"/>
      <c r="AA673" s="354">
        <f>IF(ISERROR(VLOOKUP("RIC"&amp;$C673,ESTR_PREC_SP!$A$2:$G$2000,5,FALSE))=TRUE,0,VLOOKUP("RIC"&amp;$C673,ESTR_PREC_SP!$A$2:$G$2000,5,FALSE))</f>
        <v>0</v>
      </c>
      <c r="AB673" s="520"/>
      <c r="AC673" s="520"/>
      <c r="AD673" s="520"/>
      <c r="AE673" s="269">
        <f t="shared" si="125"/>
        <v>0</v>
      </c>
      <c r="AF673" s="520"/>
      <c r="AG673" s="520"/>
      <c r="AH673" s="520"/>
      <c r="AI673" s="520"/>
      <c r="AJ673" s="526">
        <f t="shared" si="117"/>
        <v>0</v>
      </c>
      <c r="AK673" s="526">
        <f t="shared" si="118"/>
        <v>0</v>
      </c>
      <c r="AL673" s="520"/>
      <c r="AM673" s="520"/>
    </row>
    <row r="674" spans="1:39" s="204" customFormat="1" x14ac:dyDescent="0.25">
      <c r="B674" s="246" t="s">
        <v>1630</v>
      </c>
      <c r="C674" s="287" t="s">
        <v>1631</v>
      </c>
      <c r="D674" s="274" t="s">
        <v>3768</v>
      </c>
      <c r="E674" s="274"/>
      <c r="F674" s="274"/>
      <c r="G674" s="283"/>
      <c r="H674" s="266"/>
      <c r="I674" s="274"/>
      <c r="J674" s="281"/>
      <c r="K674" s="281"/>
      <c r="L674" s="379" t="s">
        <v>1633</v>
      </c>
      <c r="M674" s="284" t="s">
        <v>2962</v>
      </c>
      <c r="N674" s="269">
        <f t="shared" si="122"/>
        <v>0</v>
      </c>
      <c r="O674" s="270">
        <f t="shared" si="123"/>
        <v>0</v>
      </c>
      <c r="P674" s="271">
        <f t="shared" si="115"/>
        <v>0</v>
      </c>
      <c r="Q674" s="520"/>
      <c r="R674" s="354">
        <f>IF(ISERROR(VLOOKUP("RIC"&amp;$C674,ESTR_PREC_SP!$A$2:$G$2000,4,FALSE))=TRUE,0,VLOOKUP("RIC"&amp;$C674,ESTR_PREC_SP!$A$2:$G$2000,4,FALSE))</f>
        <v>0</v>
      </c>
      <c r="S674" s="520"/>
      <c r="T674" s="520"/>
      <c r="U674" s="520"/>
      <c r="V674" s="520"/>
      <c r="W674" s="520"/>
      <c r="X674" s="520"/>
      <c r="Y674" s="269">
        <f t="shared" si="124"/>
        <v>0</v>
      </c>
      <c r="Z674" s="534"/>
      <c r="AA674" s="354">
        <f>IF(ISERROR(VLOOKUP("RIC"&amp;$C674,ESTR_PREC_SP!$A$2:$G$2000,5,FALSE))=TRUE,0,VLOOKUP("RIC"&amp;$C674,ESTR_PREC_SP!$A$2:$G$2000,5,FALSE))</f>
        <v>0</v>
      </c>
      <c r="AB674" s="520"/>
      <c r="AC674" s="520"/>
      <c r="AD674" s="520"/>
      <c r="AE674" s="269">
        <f t="shared" si="125"/>
        <v>0</v>
      </c>
      <c r="AF674" s="520"/>
      <c r="AG674" s="520"/>
      <c r="AH674" s="520"/>
      <c r="AI674" s="520"/>
      <c r="AJ674" s="526">
        <f t="shared" si="117"/>
        <v>0</v>
      </c>
      <c r="AK674" s="526">
        <f t="shared" si="118"/>
        <v>0</v>
      </c>
      <c r="AL674" s="520"/>
      <c r="AM674" s="520"/>
    </row>
    <row r="675" spans="1:39" x14ac:dyDescent="0.25">
      <c r="A675" s="204"/>
      <c r="B675" s="246" t="s">
        <v>1634</v>
      </c>
      <c r="C675" s="287" t="s">
        <v>1635</v>
      </c>
      <c r="D675" s="274" t="s">
        <v>3769</v>
      </c>
      <c r="E675" s="274"/>
      <c r="F675" s="274"/>
      <c r="G675" s="283"/>
      <c r="H675" s="266"/>
      <c r="I675" s="274"/>
      <c r="J675" s="281"/>
      <c r="K675" s="281"/>
      <c r="L675" s="407" t="s">
        <v>1637</v>
      </c>
      <c r="M675" s="284" t="s">
        <v>2962</v>
      </c>
      <c r="N675" s="269">
        <f t="shared" si="122"/>
        <v>0</v>
      </c>
      <c r="O675" s="269">
        <f t="shared" si="123"/>
        <v>0</v>
      </c>
      <c r="P675" s="408">
        <f t="shared" si="115"/>
        <v>0</v>
      </c>
      <c r="Q675" s="520"/>
      <c r="R675" s="354">
        <f>IF(ISERROR(VLOOKUP("RIC"&amp;$C675,ESTR_PREC_SP!$A$2:$G$2000,4,FALSE))=TRUE,0,VLOOKUP("RIC"&amp;$C675,ESTR_PREC_SP!$A$2:$G$2000,4,FALSE))</f>
        <v>0</v>
      </c>
      <c r="S675" s="520"/>
      <c r="T675" s="520"/>
      <c r="U675" s="520"/>
      <c r="V675" s="520"/>
      <c r="W675" s="520"/>
      <c r="X675" s="520"/>
      <c r="Y675" s="269">
        <f t="shared" si="124"/>
        <v>0</v>
      </c>
      <c r="Z675" s="534"/>
      <c r="AA675" s="354">
        <f>IF(ISERROR(VLOOKUP("RIC"&amp;$C675,ESTR_PREC_SP!$A$2:$G$2000,5,FALSE))=TRUE,0,VLOOKUP("RIC"&amp;$C675,ESTR_PREC_SP!$A$2:$G$2000,5,FALSE))</f>
        <v>0</v>
      </c>
      <c r="AB675" s="520"/>
      <c r="AC675" s="520"/>
      <c r="AD675" s="520"/>
      <c r="AE675" s="269">
        <f t="shared" si="125"/>
        <v>0</v>
      </c>
      <c r="AF675" s="520"/>
      <c r="AG675" s="520"/>
      <c r="AH675" s="520"/>
      <c r="AI675" s="520"/>
      <c r="AJ675" s="526">
        <f t="shared" si="117"/>
        <v>0</v>
      </c>
      <c r="AK675" s="526">
        <f t="shared" si="118"/>
        <v>0</v>
      </c>
      <c r="AL675" s="520"/>
      <c r="AM675" s="520"/>
    </row>
    <row r="676" spans="1:39" ht="39" x14ac:dyDescent="0.25">
      <c r="A676" s="535" t="s">
        <v>1394</v>
      </c>
      <c r="B676" s="536" t="s">
        <v>1638</v>
      </c>
      <c r="C676" s="536" t="s">
        <v>1639</v>
      </c>
      <c r="D676" s="536"/>
      <c r="E676" s="536"/>
      <c r="F676" s="536"/>
      <c r="G676" s="536"/>
      <c r="H676" s="536"/>
      <c r="I676" s="536"/>
      <c r="J676" s="536"/>
      <c r="K676" s="536"/>
      <c r="L676" s="536" t="s">
        <v>1642</v>
      </c>
      <c r="M676" s="284" t="s">
        <v>2962</v>
      </c>
      <c r="N676" s="269">
        <f t="shared" si="122"/>
        <v>0</v>
      </c>
      <c r="O676" s="269">
        <f t="shared" si="123"/>
        <v>0</v>
      </c>
      <c r="P676" s="408">
        <f t="shared" si="115"/>
        <v>0</v>
      </c>
      <c r="Q676" s="520"/>
      <c r="R676" s="354">
        <f>IF(ISERROR(VLOOKUP("RIC"&amp;$C676,ESTR_PREC_SP!$A$2:$G$2000,4,FALSE))=TRUE,0,VLOOKUP("RIC"&amp;$C676,ESTR_PREC_SP!$A$2:$G$2000,4,FALSE))</f>
        <v>0</v>
      </c>
      <c r="S676" s="520"/>
      <c r="T676" s="520"/>
      <c r="U676" s="520"/>
      <c r="V676" s="520"/>
      <c r="W676" s="520"/>
      <c r="X676" s="520"/>
      <c r="Y676" s="269">
        <f t="shared" si="124"/>
        <v>0</v>
      </c>
      <c r="Z676" s="534"/>
      <c r="AA676" s="354">
        <f>IF(ISERROR(VLOOKUP("RIC"&amp;$C676,ESTR_PREC_SP!$A$2:$G$2000,5,FALSE))=TRUE,0,VLOOKUP("RIC"&amp;$C676,ESTR_PREC_SP!$A$2:$G$2000,5,FALSE))</f>
        <v>0</v>
      </c>
      <c r="AB676" s="520"/>
      <c r="AC676" s="520"/>
      <c r="AD676" s="520"/>
      <c r="AE676" s="269">
        <f t="shared" si="125"/>
        <v>0</v>
      </c>
      <c r="AF676" s="520"/>
      <c r="AG676" s="520"/>
      <c r="AH676" s="520"/>
      <c r="AI676" s="520"/>
      <c r="AJ676" s="526">
        <f t="shared" si="117"/>
        <v>0</v>
      </c>
      <c r="AK676" s="526">
        <f t="shared" si="118"/>
        <v>0</v>
      </c>
      <c r="AL676" s="520"/>
      <c r="AM676" s="520"/>
    </row>
    <row r="677" spans="1:39" s="204" customFormat="1" x14ac:dyDescent="0.25">
      <c r="B677" s="246" t="s">
        <v>1643</v>
      </c>
      <c r="C677" s="287" t="s">
        <v>1644</v>
      </c>
      <c r="D677" s="274" t="s">
        <v>3770</v>
      </c>
      <c r="E677" s="274"/>
      <c r="F677" s="274"/>
      <c r="G677" s="283"/>
      <c r="H677" s="266"/>
      <c r="I677" s="274"/>
      <c r="J677" s="281"/>
      <c r="K677" s="281"/>
      <c r="L677" s="295" t="s">
        <v>1647</v>
      </c>
      <c r="M677" s="284" t="s">
        <v>2962</v>
      </c>
      <c r="N677" s="269">
        <f t="shared" si="122"/>
        <v>0</v>
      </c>
      <c r="O677" s="270">
        <f t="shared" si="123"/>
        <v>0</v>
      </c>
      <c r="P677" s="271">
        <f t="shared" si="115"/>
        <v>0</v>
      </c>
      <c r="Q677" s="520"/>
      <c r="R677" s="354">
        <f>IF(ISERROR(VLOOKUP("RIC"&amp;$C677,ESTR_PREC_SP!$A$2:$G$2000,4,FALSE))=TRUE,0,VLOOKUP("RIC"&amp;$C677,ESTR_PREC_SP!$A$2:$G$2000,4,FALSE))</f>
        <v>0</v>
      </c>
      <c r="S677" s="520"/>
      <c r="T677" s="520"/>
      <c r="U677" s="520"/>
      <c r="V677" s="520"/>
      <c r="W677" s="520"/>
      <c r="X677" s="520"/>
      <c r="Y677" s="269">
        <f t="shared" si="124"/>
        <v>0</v>
      </c>
      <c r="Z677" s="534"/>
      <c r="AA677" s="354">
        <f>IF(ISERROR(VLOOKUP("RIC"&amp;$C677,ESTR_PREC_SP!$A$2:$G$2000,5,FALSE))=TRUE,0,VLOOKUP("RIC"&amp;$C677,ESTR_PREC_SP!$A$2:$G$2000,5,FALSE))</f>
        <v>0</v>
      </c>
      <c r="AB677" s="520"/>
      <c r="AC677" s="520"/>
      <c r="AD677" s="520"/>
      <c r="AE677" s="269">
        <f t="shared" si="125"/>
        <v>0</v>
      </c>
      <c r="AF677" s="520"/>
      <c r="AG677" s="520"/>
      <c r="AH677" s="520"/>
      <c r="AI677" s="520"/>
      <c r="AJ677" s="526">
        <f t="shared" si="117"/>
        <v>0</v>
      </c>
      <c r="AK677" s="526">
        <f t="shared" si="118"/>
        <v>0</v>
      </c>
      <c r="AL677" s="520"/>
      <c r="AM677" s="520"/>
    </row>
    <row r="678" spans="1:39" s="204" customFormat="1" ht="26.25" x14ac:dyDescent="0.25">
      <c r="A678" s="535" t="s">
        <v>1394</v>
      </c>
      <c r="B678" s="536" t="s">
        <v>1648</v>
      </c>
      <c r="C678" s="536" t="s">
        <v>1649</v>
      </c>
      <c r="D678" s="536"/>
      <c r="E678" s="536"/>
      <c r="F678" s="536"/>
      <c r="G678" s="536"/>
      <c r="H678" s="536"/>
      <c r="I678" s="536"/>
      <c r="J678" s="536"/>
      <c r="K678" s="536"/>
      <c r="L678" s="536" t="s">
        <v>1651</v>
      </c>
      <c r="M678" s="284" t="s">
        <v>2962</v>
      </c>
      <c r="N678" s="269">
        <f t="shared" si="122"/>
        <v>0</v>
      </c>
      <c r="O678" s="270">
        <f t="shared" si="123"/>
        <v>0</v>
      </c>
      <c r="P678" s="271">
        <f t="shared" si="115"/>
        <v>0</v>
      </c>
      <c r="Q678" s="520"/>
      <c r="R678" s="354">
        <f>IF(ISERROR(VLOOKUP("RIC"&amp;$C678,ESTR_PREC_SP!$A$2:$G$2000,4,FALSE))=TRUE,0,VLOOKUP("RIC"&amp;$C678,ESTR_PREC_SP!$A$2:$G$2000,4,FALSE))</f>
        <v>0</v>
      </c>
      <c r="S678" s="520"/>
      <c r="T678" s="520"/>
      <c r="U678" s="520"/>
      <c r="V678" s="520"/>
      <c r="W678" s="520"/>
      <c r="X678" s="520"/>
      <c r="Y678" s="269">
        <f t="shared" si="124"/>
        <v>0</v>
      </c>
      <c r="Z678" s="534"/>
      <c r="AA678" s="354">
        <f>IF(ISERROR(VLOOKUP("RIC"&amp;$C678,ESTR_PREC_SP!$A$2:$G$2000,5,FALSE))=TRUE,0,VLOOKUP("RIC"&amp;$C678,ESTR_PREC_SP!$A$2:$G$2000,5,FALSE))</f>
        <v>0</v>
      </c>
      <c r="AB678" s="520"/>
      <c r="AC678" s="520"/>
      <c r="AD678" s="520"/>
      <c r="AE678" s="269">
        <f t="shared" si="125"/>
        <v>0</v>
      </c>
      <c r="AF678" s="520"/>
      <c r="AG678" s="520"/>
      <c r="AH678" s="520"/>
      <c r="AI678" s="520"/>
      <c r="AJ678" s="526">
        <f t="shared" si="117"/>
        <v>0</v>
      </c>
      <c r="AK678" s="526">
        <f t="shared" si="118"/>
        <v>0</v>
      </c>
      <c r="AL678" s="520"/>
      <c r="AM678" s="520"/>
    </row>
    <row r="679" spans="1:39" s="204" customFormat="1" ht="26.25" x14ac:dyDescent="0.25">
      <c r="A679" s="535" t="s">
        <v>1394</v>
      </c>
      <c r="B679" s="536" t="s">
        <v>1652</v>
      </c>
      <c r="C679" s="536" t="s">
        <v>1653</v>
      </c>
      <c r="D679" s="536"/>
      <c r="E679" s="536"/>
      <c r="F679" s="536"/>
      <c r="G679" s="536"/>
      <c r="H679" s="536"/>
      <c r="I679" s="536"/>
      <c r="J679" s="536"/>
      <c r="K679" s="536"/>
      <c r="L679" s="536" t="s">
        <v>1654</v>
      </c>
      <c r="M679" s="284" t="s">
        <v>2962</v>
      </c>
      <c r="N679" s="269">
        <f t="shared" si="122"/>
        <v>0</v>
      </c>
      <c r="O679" s="270">
        <f t="shared" si="123"/>
        <v>0</v>
      </c>
      <c r="P679" s="271">
        <f t="shared" si="115"/>
        <v>0</v>
      </c>
      <c r="Q679" s="520"/>
      <c r="R679" s="354">
        <f>IF(ISERROR(VLOOKUP("RIC"&amp;$C679,ESTR_PREC_SP!$A$2:$G$2000,4,FALSE))=TRUE,0,VLOOKUP("RIC"&amp;$C679,ESTR_PREC_SP!$A$2:$G$2000,4,FALSE))</f>
        <v>0</v>
      </c>
      <c r="S679" s="520"/>
      <c r="T679" s="520"/>
      <c r="U679" s="520"/>
      <c r="V679" s="520"/>
      <c r="W679" s="520"/>
      <c r="X679" s="520"/>
      <c r="Y679" s="269">
        <f t="shared" si="124"/>
        <v>0</v>
      </c>
      <c r="Z679" s="534"/>
      <c r="AA679" s="354">
        <f>IF(ISERROR(VLOOKUP("RIC"&amp;$C679,ESTR_PREC_SP!$A$2:$G$2000,5,FALSE))=TRUE,0,VLOOKUP("RIC"&amp;$C679,ESTR_PREC_SP!$A$2:$G$2000,5,FALSE))</f>
        <v>0</v>
      </c>
      <c r="AB679" s="520"/>
      <c r="AC679" s="520"/>
      <c r="AD679" s="520"/>
      <c r="AE679" s="269">
        <f t="shared" si="125"/>
        <v>0</v>
      </c>
      <c r="AF679" s="520"/>
      <c r="AG679" s="520"/>
      <c r="AH679" s="520"/>
      <c r="AI679" s="520"/>
      <c r="AJ679" s="526">
        <f t="shared" si="117"/>
        <v>0</v>
      </c>
      <c r="AK679" s="526">
        <f t="shared" si="118"/>
        <v>0</v>
      </c>
      <c r="AL679" s="520"/>
      <c r="AM679" s="520"/>
    </row>
    <row r="680" spans="1:39" s="204" customFormat="1" ht="26.25" x14ac:dyDescent="0.25">
      <c r="A680" s="535" t="s">
        <v>1394</v>
      </c>
      <c r="B680" s="536" t="s">
        <v>1655</v>
      </c>
      <c r="C680" s="536" t="s">
        <v>1656</v>
      </c>
      <c r="D680" s="536"/>
      <c r="E680" s="536"/>
      <c r="F680" s="536"/>
      <c r="G680" s="536"/>
      <c r="H680" s="536"/>
      <c r="I680" s="536"/>
      <c r="J680" s="536"/>
      <c r="K680" s="536"/>
      <c r="L680" s="536" t="s">
        <v>1657</v>
      </c>
      <c r="M680" s="284" t="s">
        <v>2962</v>
      </c>
      <c r="N680" s="269">
        <f t="shared" si="122"/>
        <v>0</v>
      </c>
      <c r="O680" s="270">
        <f t="shared" si="123"/>
        <v>0</v>
      </c>
      <c r="P680" s="271">
        <f t="shared" si="115"/>
        <v>0</v>
      </c>
      <c r="Q680" s="520"/>
      <c r="R680" s="354">
        <f>IF(ISERROR(VLOOKUP("RIC"&amp;$C680,ESTR_PREC_SP!$A$2:$G$2000,4,FALSE))=TRUE,0,VLOOKUP("RIC"&amp;$C680,ESTR_PREC_SP!$A$2:$G$2000,4,FALSE))</f>
        <v>0</v>
      </c>
      <c r="S680" s="520"/>
      <c r="T680" s="520"/>
      <c r="U680" s="520"/>
      <c r="V680" s="520"/>
      <c r="W680" s="520"/>
      <c r="X680" s="520"/>
      <c r="Y680" s="269">
        <f t="shared" si="124"/>
        <v>0</v>
      </c>
      <c r="Z680" s="534"/>
      <c r="AA680" s="354">
        <f>IF(ISERROR(VLOOKUP("RIC"&amp;$C680,ESTR_PREC_SP!$A$2:$G$2000,5,FALSE))=TRUE,0,VLOOKUP("RIC"&amp;$C680,ESTR_PREC_SP!$A$2:$G$2000,5,FALSE))</f>
        <v>0</v>
      </c>
      <c r="AB680" s="520"/>
      <c r="AC680" s="520"/>
      <c r="AD680" s="520"/>
      <c r="AE680" s="269">
        <f t="shared" si="125"/>
        <v>0</v>
      </c>
      <c r="AF680" s="520"/>
      <c r="AG680" s="520"/>
      <c r="AH680" s="520"/>
      <c r="AI680" s="520"/>
      <c r="AJ680" s="526">
        <f t="shared" si="117"/>
        <v>0</v>
      </c>
      <c r="AK680" s="526">
        <f t="shared" si="118"/>
        <v>0</v>
      </c>
      <c r="AL680" s="520"/>
      <c r="AM680" s="520"/>
    </row>
    <row r="681" spans="1:39" s="204" customFormat="1" x14ac:dyDescent="0.25">
      <c r="B681" s="211"/>
      <c r="C681" s="211"/>
      <c r="D681" s="211"/>
      <c r="E681" s="211"/>
      <c r="F681" s="211"/>
      <c r="G681" s="211"/>
      <c r="H681" s="353"/>
      <c r="I681" s="211"/>
      <c r="J681" s="211"/>
      <c r="K681" s="211"/>
      <c r="L681" s="232"/>
      <c r="M681" s="216"/>
      <c r="N681" s="342"/>
      <c r="O681" s="285"/>
      <c r="P681" s="254"/>
      <c r="Q681" s="211"/>
      <c r="R681" s="211"/>
      <c r="S681" s="211"/>
      <c r="T681" s="211"/>
      <c r="U681" s="211"/>
      <c r="V681" s="211"/>
      <c r="Y681" s="211"/>
      <c r="Z681" s="211"/>
      <c r="AA681" s="211"/>
      <c r="AB681" s="211"/>
      <c r="AC681" s="211"/>
    </row>
    <row r="682" spans="1:39" s="204" customFormat="1" x14ac:dyDescent="0.25">
      <c r="B682" s="211"/>
      <c r="C682" s="211"/>
      <c r="D682" s="211"/>
      <c r="E682" s="211"/>
      <c r="F682" s="211"/>
      <c r="G682" s="211"/>
      <c r="H682" s="353"/>
      <c r="I682" s="211"/>
      <c r="J682" s="211"/>
      <c r="K682" s="211"/>
      <c r="L682" s="232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Y682" s="211"/>
      <c r="Z682" s="211"/>
      <c r="AA682" s="211"/>
      <c r="AB682" s="211"/>
      <c r="AC682" s="211"/>
    </row>
    <row r="683" spans="1:39" s="204" customFormat="1" x14ac:dyDescent="0.25">
      <c r="B683" s="211"/>
      <c r="C683" s="211"/>
      <c r="D683" s="211"/>
      <c r="E683" s="211"/>
      <c r="F683" s="211"/>
      <c r="G683" s="211"/>
      <c r="H683" s="353"/>
      <c r="I683" s="211"/>
      <c r="J683" s="211"/>
      <c r="K683" s="211"/>
      <c r="L683" s="232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Y683" s="211"/>
      <c r="Z683" s="211"/>
      <c r="AA683" s="211"/>
      <c r="AB683" s="211"/>
      <c r="AC683" s="211"/>
    </row>
    <row r="684" spans="1:39" s="204" customFormat="1" ht="38.25" x14ac:dyDescent="0.25">
      <c r="B684" s="211"/>
      <c r="C684" s="211"/>
      <c r="D684" s="211"/>
      <c r="E684" s="211"/>
      <c r="F684" s="211"/>
      <c r="G684" s="211"/>
      <c r="H684" s="353"/>
      <c r="I684" s="211"/>
      <c r="J684" s="211"/>
      <c r="K684" s="211"/>
      <c r="L684" s="255"/>
      <c r="M684" s="244"/>
      <c r="N684" s="256" t="str">
        <f>N$15</f>
        <v>Valore netto al 31/12/2019</v>
      </c>
      <c r="O684" s="256" t="str">
        <f>O$15</f>
        <v>Valore netto al 31/12/2020</v>
      </c>
      <c r="P684" s="256" t="str">
        <f>P$15</f>
        <v>Variazione</v>
      </c>
      <c r="Q684" s="262" t="s">
        <v>2971</v>
      </c>
      <c r="R684" s="211"/>
      <c r="S684" s="211"/>
      <c r="T684" s="211"/>
      <c r="U684" s="211"/>
      <c r="V684" s="211"/>
      <c r="Y684" s="211"/>
      <c r="Z684" s="211"/>
      <c r="AA684" s="211"/>
      <c r="AB684" s="211"/>
      <c r="AC684" s="211"/>
    </row>
    <row r="685" spans="1:39" s="204" customFormat="1" ht="27" customHeight="1" x14ac:dyDescent="0.25">
      <c r="B685" s="246" t="s">
        <v>1658</v>
      </c>
      <c r="C685" s="292" t="s">
        <v>1659</v>
      </c>
      <c r="D685" s="247" t="s">
        <v>3771</v>
      </c>
      <c r="E685" s="247"/>
      <c r="F685" s="247"/>
      <c r="G685" s="247"/>
      <c r="H685" s="248"/>
      <c r="I685" s="247"/>
      <c r="J685" s="398"/>
      <c r="K685" s="399"/>
      <c r="L685" s="400" t="s">
        <v>1662</v>
      </c>
      <c r="M685" s="251" t="s">
        <v>2962</v>
      </c>
      <c r="N685" s="410">
        <f>+N689+N692+N693</f>
        <v>0</v>
      </c>
      <c r="O685" s="410">
        <f>+O689+O692+O693</f>
        <v>0</v>
      </c>
      <c r="P685" s="253">
        <f>+O685-N685</f>
        <v>0</v>
      </c>
      <c r="Q685" s="410">
        <f t="shared" ref="Q685:AA685" si="126">+Q689+Q692+Q693</f>
        <v>0</v>
      </c>
      <c r="R685" s="410">
        <f t="shared" si="126"/>
        <v>0</v>
      </c>
      <c r="S685" s="410">
        <f t="shared" si="126"/>
        <v>0</v>
      </c>
      <c r="T685" s="410">
        <f t="shared" si="126"/>
        <v>0</v>
      </c>
      <c r="U685" s="410">
        <f t="shared" si="126"/>
        <v>0</v>
      </c>
      <c r="V685" s="410">
        <f t="shared" si="126"/>
        <v>0</v>
      </c>
      <c r="W685" s="410">
        <f t="shared" si="126"/>
        <v>0</v>
      </c>
      <c r="X685" s="410">
        <f t="shared" si="126"/>
        <v>0</v>
      </c>
      <c r="Y685" s="410">
        <f t="shared" si="126"/>
        <v>0</v>
      </c>
      <c r="Z685" s="410">
        <f t="shared" si="126"/>
        <v>0</v>
      </c>
      <c r="AA685" s="410">
        <f t="shared" si="126"/>
        <v>0</v>
      </c>
      <c r="AB685" s="410">
        <f t="shared" ref="AB685:AM685" si="127">+AC689+AC692+AC693</f>
        <v>0</v>
      </c>
      <c r="AC685" s="410">
        <f t="shared" si="127"/>
        <v>0</v>
      </c>
      <c r="AD685" s="410">
        <f t="shared" si="127"/>
        <v>0</v>
      </c>
      <c r="AE685" s="410">
        <f t="shared" si="127"/>
        <v>0</v>
      </c>
      <c r="AF685" s="410">
        <f t="shared" si="127"/>
        <v>0</v>
      </c>
      <c r="AG685" s="410">
        <f t="shared" si="127"/>
        <v>0</v>
      </c>
      <c r="AH685" s="410">
        <f t="shared" si="127"/>
        <v>0</v>
      </c>
      <c r="AI685" s="410">
        <f t="shared" si="127"/>
        <v>0</v>
      </c>
      <c r="AJ685" s="410">
        <f t="shared" si="127"/>
        <v>0</v>
      </c>
      <c r="AK685" s="410">
        <f t="shared" si="127"/>
        <v>0</v>
      </c>
      <c r="AL685" s="410">
        <f t="shared" si="127"/>
        <v>0</v>
      </c>
      <c r="AM685" s="410">
        <f t="shared" si="127"/>
        <v>0</v>
      </c>
    </row>
    <row r="686" spans="1:39" s="204" customFormat="1" x14ac:dyDescent="0.25">
      <c r="B686" s="216"/>
      <c r="C686" s="216"/>
      <c r="D686" s="226"/>
      <c r="E686" s="226"/>
      <c r="F686" s="226"/>
      <c r="G686" s="226"/>
      <c r="H686" s="227"/>
      <c r="I686" s="226"/>
      <c r="J686" s="226"/>
      <c r="K686" s="226"/>
      <c r="L686" s="403"/>
      <c r="M686" s="278"/>
      <c r="N686" s="279"/>
      <c r="O686" s="279"/>
      <c r="P686" s="404"/>
      <c r="Q686" s="211"/>
      <c r="R686" s="279"/>
      <c r="S686" s="279"/>
      <c r="T686" s="279"/>
      <c r="U686" s="279"/>
      <c r="V686" s="279"/>
      <c r="Y686" s="279"/>
      <c r="Z686" s="211"/>
      <c r="AA686" s="211"/>
      <c r="AB686" s="211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1:39" s="204" customFormat="1" ht="25.5" customHeight="1" x14ac:dyDescent="0.25">
      <c r="B687" s="211"/>
      <c r="C687" s="211"/>
      <c r="D687" s="211"/>
      <c r="E687" s="211"/>
      <c r="F687" s="211"/>
      <c r="G687" s="211"/>
      <c r="H687" s="353"/>
      <c r="I687" s="211"/>
      <c r="J687" s="211"/>
      <c r="K687" s="211"/>
      <c r="L687" s="232"/>
      <c r="M687" s="211"/>
      <c r="N687" s="211"/>
      <c r="O687" s="211"/>
      <c r="P687" s="211"/>
      <c r="Q687" s="211"/>
      <c r="R687" s="211"/>
      <c r="S687" s="902" t="s">
        <v>3495</v>
      </c>
      <c r="T687" s="902"/>
      <c r="U687" s="902"/>
      <c r="V687" s="335" t="s">
        <v>3496</v>
      </c>
      <c r="W687" s="336"/>
      <c r="X687" s="335" t="s">
        <v>3496</v>
      </c>
      <c r="Z687" s="211"/>
      <c r="AA687" s="211"/>
      <c r="AB687" s="285"/>
      <c r="AC687" s="211"/>
      <c r="AD687" s="211"/>
      <c r="AE687" s="211"/>
      <c r="AF687" s="904" t="str">
        <f>+AF658</f>
        <v>VALORE NOMINALE DEI CREDITI AL 31/12/2020 PER ANNO DI FORMAZIONE</v>
      </c>
      <c r="AG687" s="904"/>
      <c r="AH687" s="904"/>
      <c r="AI687" s="904"/>
      <c r="AJ687" s="904"/>
      <c r="AK687" s="905" t="str">
        <f>+AK658</f>
        <v>VALORE NETTO DEI CREDITI AL 31/12/2020 PER SCADENZA</v>
      </c>
      <c r="AL687" s="905"/>
      <c r="AM687" s="905"/>
    </row>
    <row r="688" spans="1:39" s="204" customFormat="1" ht="51.75" customHeight="1" x14ac:dyDescent="0.25">
      <c r="B688" s="260" t="s">
        <v>2968</v>
      </c>
      <c r="C688" s="260" t="s">
        <v>2969</v>
      </c>
      <c r="D688" s="206" t="s">
        <v>72</v>
      </c>
      <c r="E688" s="206"/>
      <c r="F688" s="206"/>
      <c r="G688" s="207"/>
      <c r="H688" s="207"/>
      <c r="I688" s="207"/>
      <c r="J688" s="207" t="s">
        <v>2957</v>
      </c>
      <c r="K688" s="206" t="s">
        <v>82</v>
      </c>
      <c r="L688" s="261" t="s">
        <v>3670</v>
      </c>
      <c r="M688" s="256"/>
      <c r="N688" s="256" t="str">
        <f>N$15</f>
        <v>Valore netto al 31/12/2019</v>
      </c>
      <c r="O688" s="256" t="str">
        <f>O$15</f>
        <v>Valore netto al 31/12/2020</v>
      </c>
      <c r="P688" s="256" t="str">
        <f>P$15</f>
        <v>Variazione</v>
      </c>
      <c r="Q688" s="262" t="s">
        <v>2971</v>
      </c>
      <c r="R688" s="262" t="str">
        <f>+R659</f>
        <v>Valore iniziale LORDO al 31/12/2019</v>
      </c>
      <c r="S688" s="337" t="s">
        <v>2972</v>
      </c>
      <c r="T688" s="337" t="s">
        <v>3497</v>
      </c>
      <c r="U688" s="337" t="s">
        <v>3495</v>
      </c>
      <c r="V688" s="338" t="s">
        <v>3498</v>
      </c>
      <c r="W688" s="262" t="s">
        <v>2975</v>
      </c>
      <c r="X688" s="338" t="s">
        <v>3499</v>
      </c>
      <c r="Y688" s="262" t="str">
        <f>+Y659</f>
        <v>Valore finale LORDO al 31/12/2020</v>
      </c>
      <c r="Z688" s="337" t="str">
        <f>+Z659</f>
        <v>Di cui Fatture da emettere</v>
      </c>
      <c r="AA688" s="262" t="str">
        <f>+AA659</f>
        <v>Fondo svalutazione crediti al 31/12/2019</v>
      </c>
      <c r="AB688" s="262" t="s">
        <v>3500</v>
      </c>
      <c r="AC688" s="262" t="s">
        <v>3501</v>
      </c>
      <c r="AD688" s="262" t="s">
        <v>3502</v>
      </c>
      <c r="AE688" s="262" t="str">
        <f>+AE659</f>
        <v>Fondo svalutazione crediti al 31/12/2020</v>
      </c>
      <c r="AF688" s="339" t="s">
        <v>3503</v>
      </c>
      <c r="AG688" s="339" t="s">
        <v>3504</v>
      </c>
      <c r="AH688" s="339" t="s">
        <v>3505</v>
      </c>
      <c r="AI688" s="339" t="s">
        <v>3506</v>
      </c>
      <c r="AJ688" s="339" t="s">
        <v>3507</v>
      </c>
      <c r="AK688" s="340" t="s">
        <v>3508</v>
      </c>
      <c r="AL688" s="340" t="s">
        <v>3509</v>
      </c>
      <c r="AM688" s="340" t="s">
        <v>3510</v>
      </c>
    </row>
    <row r="689" spans="2:55" s="204" customFormat="1" x14ac:dyDescent="0.25">
      <c r="B689" s="246" t="s">
        <v>1663</v>
      </c>
      <c r="C689" s="287" t="s">
        <v>1664</v>
      </c>
      <c r="D689" s="411" t="s">
        <v>3772</v>
      </c>
      <c r="E689" s="411"/>
      <c r="F689" s="411"/>
      <c r="G689" s="412"/>
      <c r="H689" s="413"/>
      <c r="I689" s="411"/>
      <c r="J689" s="411"/>
      <c r="K689" s="411"/>
      <c r="L689" s="407" t="s">
        <v>1666</v>
      </c>
      <c r="M689" s="284" t="s">
        <v>2962</v>
      </c>
      <c r="N689" s="272">
        <f>+N690+N691</f>
        <v>0</v>
      </c>
      <c r="O689" s="272">
        <f>+O690+O691</f>
        <v>0</v>
      </c>
      <c r="P689" s="378">
        <f>+O689-N689</f>
        <v>0</v>
      </c>
      <c r="Q689" s="272">
        <f t="shared" ref="Q689:X689" si="128">+Q690+Q691</f>
        <v>0</v>
      </c>
      <c r="R689" s="272">
        <f t="shared" si="128"/>
        <v>0</v>
      </c>
      <c r="S689" s="272">
        <f t="shared" si="128"/>
        <v>0</v>
      </c>
      <c r="T689" s="272">
        <f t="shared" si="128"/>
        <v>0</v>
      </c>
      <c r="U689" s="272">
        <f t="shared" si="128"/>
        <v>0</v>
      </c>
      <c r="V689" s="272">
        <f t="shared" si="128"/>
        <v>0</v>
      </c>
      <c r="W689" s="272">
        <f t="shared" si="128"/>
        <v>0</v>
      </c>
      <c r="X689" s="272">
        <f t="shared" si="128"/>
        <v>0</v>
      </c>
      <c r="Y689" s="272">
        <f>+R689+S689+T689+U689-V689-X689+W689</f>
        <v>0</v>
      </c>
      <c r="Z689" s="272">
        <f>+Z690+Z691</f>
        <v>0</v>
      </c>
      <c r="AA689" s="272">
        <f>+AA690+AA691</f>
        <v>0</v>
      </c>
      <c r="AB689" s="272">
        <f>+AB690+AB691</f>
        <v>0</v>
      </c>
      <c r="AC689" s="272">
        <f>+AC690+AC691</f>
        <v>0</v>
      </c>
      <c r="AD689" s="272">
        <f>+AD690+AD691</f>
        <v>0</v>
      </c>
      <c r="AE689" s="269">
        <f>+AA689+AD689-AC689+AB689</f>
        <v>0</v>
      </c>
      <c r="AF689" s="272">
        <f>+AF690+AF691</f>
        <v>0</v>
      </c>
      <c r="AG689" s="272">
        <f>+AG690+AG691</f>
        <v>0</v>
      </c>
      <c r="AH689" s="272">
        <f>+AH690+AH691</f>
        <v>0</v>
      </c>
      <c r="AI689" s="272">
        <f>+AI690+AI691</f>
        <v>0</v>
      </c>
      <c r="AJ689" s="537">
        <f>+Y689-SUM(AF689:AI689)</f>
        <v>0</v>
      </c>
      <c r="AK689" s="537">
        <f>+Y689-AE689-AL689-AM689</f>
        <v>0</v>
      </c>
      <c r="AL689" s="272">
        <f>+AL690+AL691</f>
        <v>0</v>
      </c>
      <c r="AM689" s="272">
        <f>+AM690+AM691</f>
        <v>0</v>
      </c>
    </row>
    <row r="690" spans="2:55" s="204" customFormat="1" x14ac:dyDescent="0.25">
      <c r="B690" s="246" t="s">
        <v>1667</v>
      </c>
      <c r="C690" s="287" t="s">
        <v>1668</v>
      </c>
      <c r="D690" s="411" t="s">
        <v>3773</v>
      </c>
      <c r="E690" s="411"/>
      <c r="F690" s="411"/>
      <c r="G690" s="412"/>
      <c r="H690" s="413"/>
      <c r="I690" s="411"/>
      <c r="J690" s="411"/>
      <c r="K690" s="411"/>
      <c r="L690" s="392" t="s">
        <v>3774</v>
      </c>
      <c r="M690" s="284" t="s">
        <v>2962</v>
      </c>
      <c r="N690" s="269">
        <f>+R690-AA690</f>
        <v>0</v>
      </c>
      <c r="O690" s="270">
        <f>+Y690-AE690</f>
        <v>0</v>
      </c>
      <c r="P690" s="271">
        <f>+O690-N690</f>
        <v>0</v>
      </c>
      <c r="Q690" s="520"/>
      <c r="R690" s="354">
        <f>IF(ISERROR(VLOOKUP("RIC"&amp;$C690,ESTR_PREC_SP!$A$2:$G$2000,4,FALSE))=TRUE,0,VLOOKUP("RIC"&amp;$C690,ESTR_PREC_SP!$A$2:$G$2000,4,FALSE))</f>
        <v>0</v>
      </c>
      <c r="S690" s="521"/>
      <c r="T690" s="520"/>
      <c r="U690" s="520"/>
      <c r="V690" s="520"/>
      <c r="W690" s="520"/>
      <c r="X690" s="520"/>
      <c r="Y690" s="269">
        <f>+R690+S690+T690+U690-V690-X690+W690+Q690</f>
        <v>0</v>
      </c>
      <c r="Z690" s="534"/>
      <c r="AA690" s="354">
        <f>IF(ISERROR(VLOOKUP("RIC"&amp;$C690,ESTR_PREC_SP!$A$2:$G$2000,5,FALSE))=TRUE,0,VLOOKUP("RIC"&amp;$C690,ESTR_PREC_SP!$A$2:$G$2000,5,FALSE))</f>
        <v>0</v>
      </c>
      <c r="AB690" s="520"/>
      <c r="AC690" s="520"/>
      <c r="AD690" s="520"/>
      <c r="AE690" s="269">
        <f>+AA690+AD690-AC690+AB690</f>
        <v>0</v>
      </c>
      <c r="AF690" s="520"/>
      <c r="AG690" s="520"/>
      <c r="AH690" s="520"/>
      <c r="AI690" s="520"/>
      <c r="AJ690" s="526">
        <f>+Y690-SUM(AF690:AI690)</f>
        <v>0</v>
      </c>
      <c r="AK690" s="526">
        <f>+Y690-AE690-AL690-AM690</f>
        <v>0</v>
      </c>
      <c r="AL690" s="520"/>
      <c r="AM690" s="520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</row>
    <row r="691" spans="2:55" s="204" customFormat="1" x14ac:dyDescent="0.25">
      <c r="B691" s="246" t="s">
        <v>1670</v>
      </c>
      <c r="C691" s="287" t="s">
        <v>1671</v>
      </c>
      <c r="D691" s="411" t="s">
        <v>3775</v>
      </c>
      <c r="E691" s="411"/>
      <c r="F691" s="411"/>
      <c r="G691" s="412"/>
      <c r="H691" s="413"/>
      <c r="I691" s="411"/>
      <c r="J691" s="411"/>
      <c r="K691" s="411"/>
      <c r="L691" s="414" t="s">
        <v>3776</v>
      </c>
      <c r="M691" s="284" t="s">
        <v>2962</v>
      </c>
      <c r="N691" s="269">
        <f>+R691-AA691</f>
        <v>0</v>
      </c>
      <c r="O691" s="270">
        <f>+Y691-AE691</f>
        <v>0</v>
      </c>
      <c r="P691" s="271">
        <f>+O691-N691</f>
        <v>0</v>
      </c>
      <c r="Q691" s="520"/>
      <c r="R691" s="354">
        <f>IF(ISERROR(VLOOKUP("RIC"&amp;$C691,ESTR_PREC_SP!$A$2:$G$2000,4,FALSE))=TRUE,0,VLOOKUP("RIC"&amp;$C691,ESTR_PREC_SP!$A$2:$G$2000,4,FALSE))</f>
        <v>0</v>
      </c>
      <c r="S691" s="521"/>
      <c r="T691" s="520"/>
      <c r="U691" s="520"/>
      <c r="V691" s="520"/>
      <c r="W691" s="520"/>
      <c r="X691" s="520"/>
      <c r="Y691" s="269">
        <f>+R691+S691+T691+U691-V691-X691+W691+Q691</f>
        <v>0</v>
      </c>
      <c r="Z691" s="534"/>
      <c r="AA691" s="354">
        <f>IF(ISERROR(VLOOKUP("RIC"&amp;$C691,ESTR_PREC_SP!$A$2:$G$2000,5,FALSE))=TRUE,0,VLOOKUP("RIC"&amp;$C691,ESTR_PREC_SP!$A$2:$G$2000,5,FALSE))</f>
        <v>0</v>
      </c>
      <c r="AB691" s="520"/>
      <c r="AC691" s="520"/>
      <c r="AD691" s="520"/>
      <c r="AE691" s="269">
        <f>+AA691+AD691-AC691+AB691</f>
        <v>0</v>
      </c>
      <c r="AF691" s="520"/>
      <c r="AG691" s="520"/>
      <c r="AH691" s="520"/>
      <c r="AI691" s="520"/>
      <c r="AJ691" s="526">
        <f>+Y691-SUM(AF691:AI691)</f>
        <v>0</v>
      </c>
      <c r="AK691" s="526">
        <f>+Y691-AE691-AL691-AM691</f>
        <v>0</v>
      </c>
      <c r="AL691" s="520"/>
      <c r="AM691" s="520"/>
      <c r="AN691" s="211"/>
      <c r="AO691" s="211"/>
      <c r="AP691" s="211"/>
      <c r="AQ691" s="211"/>
      <c r="AR691" s="211"/>
      <c r="AS691" s="211"/>
      <c r="AT691" s="211"/>
      <c r="AU691" s="211"/>
      <c r="AV691" s="211"/>
      <c r="AW691" s="211"/>
      <c r="AX691" s="211"/>
      <c r="AY691" s="211"/>
      <c r="AZ691" s="211"/>
      <c r="BA691" s="211"/>
      <c r="BB691" s="211"/>
      <c r="BC691" s="211"/>
    </row>
    <row r="692" spans="2:55" s="204" customFormat="1" x14ac:dyDescent="0.25">
      <c r="B692" s="246" t="s">
        <v>1673</v>
      </c>
      <c r="C692" s="287" t="s">
        <v>1674</v>
      </c>
      <c r="D692" s="411" t="s">
        <v>3777</v>
      </c>
      <c r="E692" s="411"/>
      <c r="F692" s="411"/>
      <c r="G692" s="412"/>
      <c r="H692" s="413"/>
      <c r="I692" s="411"/>
      <c r="J692" s="411"/>
      <c r="K692" s="411"/>
      <c r="L692" s="287" t="s">
        <v>1676</v>
      </c>
      <c r="M692" s="284" t="s">
        <v>2962</v>
      </c>
      <c r="N692" s="269">
        <f>+R692-AA692</f>
        <v>0</v>
      </c>
      <c r="O692" s="270">
        <f>+Y692-AE692</f>
        <v>0</v>
      </c>
      <c r="P692" s="271">
        <f>+O692-N692</f>
        <v>0</v>
      </c>
      <c r="Q692" s="520"/>
      <c r="R692" s="354">
        <f>IF(ISERROR(VLOOKUP("RIC"&amp;$C692,ESTR_PREC_SP!$A$2:$G$2000,4,FALSE))=TRUE,0,VLOOKUP("RIC"&amp;$C692,ESTR_PREC_SP!$A$2:$G$2000,4,FALSE))</f>
        <v>0</v>
      </c>
      <c r="S692" s="521"/>
      <c r="T692" s="520"/>
      <c r="U692" s="520"/>
      <c r="V692" s="520"/>
      <c r="W692" s="520"/>
      <c r="X692" s="520"/>
      <c r="Y692" s="269">
        <f>+R692+S692+T692+U692-V692-X692+W692+Q692</f>
        <v>0</v>
      </c>
      <c r="Z692" s="534"/>
      <c r="AA692" s="354">
        <f>IF(ISERROR(VLOOKUP("RIC"&amp;$C692,ESTR_PREC_SP!$A$2:$G$2000,5,FALSE))=TRUE,0,VLOOKUP("RIC"&amp;$C692,ESTR_PREC_SP!$A$2:$G$2000,5,FALSE))</f>
        <v>0</v>
      </c>
      <c r="AB692" s="520"/>
      <c r="AC692" s="520"/>
      <c r="AD692" s="520"/>
      <c r="AE692" s="269">
        <f>+AA692+AD692-AC692+AB692</f>
        <v>0</v>
      </c>
      <c r="AF692" s="520"/>
      <c r="AG692" s="520"/>
      <c r="AH692" s="520"/>
      <c r="AI692" s="520"/>
      <c r="AJ692" s="526">
        <f>+Y692-SUM(AF692:AI692)</f>
        <v>0</v>
      </c>
      <c r="AK692" s="526">
        <f>+Y692-AE692-AL692-AM692</f>
        <v>0</v>
      </c>
      <c r="AL692" s="520"/>
      <c r="AM692" s="520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</row>
    <row r="693" spans="2:55" s="204" customFormat="1" x14ac:dyDescent="0.25">
      <c r="B693" s="246" t="s">
        <v>1677</v>
      </c>
      <c r="C693" s="287" t="s">
        <v>1678</v>
      </c>
      <c r="D693" s="411" t="s">
        <v>3778</v>
      </c>
      <c r="E693" s="411"/>
      <c r="F693" s="411"/>
      <c r="G693" s="412"/>
      <c r="H693" s="413"/>
      <c r="I693" s="411"/>
      <c r="J693" s="411"/>
      <c r="K693" s="411"/>
      <c r="L693" s="287" t="s">
        <v>1680</v>
      </c>
      <c r="M693" s="284" t="s">
        <v>2962</v>
      </c>
      <c r="N693" s="269">
        <f>+R693-AA693</f>
        <v>0</v>
      </c>
      <c r="O693" s="270">
        <f>+Y693-AE693</f>
        <v>0</v>
      </c>
      <c r="P693" s="271">
        <f>+O693-N693</f>
        <v>0</v>
      </c>
      <c r="Q693" s="520"/>
      <c r="R693" s="354">
        <f>IF(ISERROR(VLOOKUP("RIC"&amp;$C693,ESTR_PREC_SP!$A$2:$G$2000,4,FALSE))=TRUE,0,VLOOKUP("RIC"&amp;$C693,ESTR_PREC_SP!$A$2:$G$2000,4,FALSE))</f>
        <v>0</v>
      </c>
      <c r="S693" s="521"/>
      <c r="T693" s="520"/>
      <c r="U693" s="520"/>
      <c r="V693" s="520"/>
      <c r="W693" s="520"/>
      <c r="X693" s="520"/>
      <c r="Y693" s="269">
        <f>+R693+S693+T693+U693-V693-X693+W693+Q693</f>
        <v>0</v>
      </c>
      <c r="Z693" s="534"/>
      <c r="AA693" s="354">
        <f>IF(ISERROR(VLOOKUP("RIC"&amp;$C693,ESTR_PREC_SP!$A$2:$G$2000,5,FALSE))=TRUE,0,VLOOKUP("RIC"&amp;$C693,ESTR_PREC_SP!$A$2:$G$2000,5,FALSE))</f>
        <v>0</v>
      </c>
      <c r="AB693" s="520"/>
      <c r="AC693" s="520"/>
      <c r="AD693" s="520"/>
      <c r="AE693" s="269">
        <f>+AA693+AD693-AC693+AB693</f>
        <v>0</v>
      </c>
      <c r="AF693" s="520"/>
      <c r="AG693" s="520"/>
      <c r="AH693" s="520"/>
      <c r="AI693" s="520"/>
      <c r="AJ693" s="526">
        <f>+Y693-SUM(AF693:AI693)</f>
        <v>0</v>
      </c>
      <c r="AK693" s="526">
        <f>+Y693-AE693-AL693-AM693</f>
        <v>0</v>
      </c>
      <c r="AL693" s="520"/>
      <c r="AM693" s="520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</row>
    <row r="694" spans="2:55" s="204" customFormat="1" x14ac:dyDescent="0.25"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</row>
    <row r="695" spans="2:55" s="204" customFormat="1" ht="25.5" customHeight="1" x14ac:dyDescent="0.25">
      <c r="B695" s="211"/>
      <c r="C695" s="211"/>
      <c r="D695" s="211"/>
      <c r="E695" s="211"/>
      <c r="F695" s="211"/>
      <c r="G695" s="211"/>
      <c r="H695" s="353"/>
      <c r="I695" s="211"/>
      <c r="J695" s="211"/>
      <c r="K695" s="211"/>
      <c r="L695" s="232"/>
      <c r="M695" s="211"/>
      <c r="N695" s="211"/>
      <c r="O695" s="211"/>
      <c r="P695" s="211"/>
      <c r="Q695" s="211"/>
      <c r="R695" s="211"/>
      <c r="S695" s="902" t="s">
        <v>3495</v>
      </c>
      <c r="T695" s="902"/>
      <c r="U695" s="902"/>
      <c r="V695" s="335" t="s">
        <v>3496</v>
      </c>
      <c r="W695" s="336"/>
      <c r="X695" s="335" t="s">
        <v>3496</v>
      </c>
      <c r="Z695" s="211"/>
      <c r="AA695" s="211"/>
      <c r="AB695" s="211"/>
      <c r="AC695" s="285"/>
      <c r="AD695" s="211"/>
      <c r="AE695" s="211"/>
      <c r="AF695" s="904" t="str">
        <f>+AF687</f>
        <v>VALORE NOMINALE DEI CREDITI AL 31/12/2020 PER ANNO DI FORMAZIONE</v>
      </c>
      <c r="AG695" s="904"/>
      <c r="AH695" s="904"/>
      <c r="AI695" s="904"/>
      <c r="AJ695" s="904"/>
      <c r="AK695" s="905" t="str">
        <f>+AK687</f>
        <v>VALORE NETTO DEI CREDITI AL 31/12/2020 PER SCADENZA</v>
      </c>
      <c r="AL695" s="905"/>
      <c r="AM695" s="905"/>
    </row>
    <row r="696" spans="2:55" s="204" customFormat="1" ht="63.75" x14ac:dyDescent="0.25">
      <c r="B696" s="211"/>
      <c r="C696" s="211"/>
      <c r="D696" s="211"/>
      <c r="E696" s="211"/>
      <c r="F696" s="211"/>
      <c r="G696" s="211"/>
      <c r="H696" s="353"/>
      <c r="I696" s="211"/>
      <c r="J696" s="211"/>
      <c r="K696" s="211"/>
      <c r="L696" s="255"/>
      <c r="M696" s="244"/>
      <c r="N696" s="256" t="str">
        <f>N$15</f>
        <v>Valore netto al 31/12/2019</v>
      </c>
      <c r="O696" s="256" t="str">
        <f>O$15</f>
        <v>Valore netto al 31/12/2020</v>
      </c>
      <c r="P696" s="256" t="str">
        <f>P$15</f>
        <v>Variazione</v>
      </c>
      <c r="Q696" s="262" t="s">
        <v>2971</v>
      </c>
      <c r="R696" s="262" t="str">
        <f>+R688</f>
        <v>Valore iniziale LORDO al 31/12/2019</v>
      </c>
      <c r="S696" s="337" t="s">
        <v>2972</v>
      </c>
      <c r="T696" s="337" t="s">
        <v>3497</v>
      </c>
      <c r="U696" s="337" t="s">
        <v>3495</v>
      </c>
      <c r="V696" s="338" t="s">
        <v>3498</v>
      </c>
      <c r="W696" s="262" t="s">
        <v>2975</v>
      </c>
      <c r="X696" s="338" t="s">
        <v>3499</v>
      </c>
      <c r="Y696" s="262" t="str">
        <f>+Y688</f>
        <v>Valore finale LORDO al 31/12/2020</v>
      </c>
      <c r="Z696" s="337" t="str">
        <f>+Z688</f>
        <v>Di cui Fatture da emettere</v>
      </c>
      <c r="AA696" s="262" t="str">
        <f>+AA688</f>
        <v>Fondo svalutazione crediti al 31/12/2019</v>
      </c>
      <c r="AB696" s="262" t="s">
        <v>3500</v>
      </c>
      <c r="AC696" s="262" t="s">
        <v>3501</v>
      </c>
      <c r="AD696" s="262" t="s">
        <v>3502</v>
      </c>
      <c r="AE696" s="262" t="str">
        <f>+AE688</f>
        <v>Fondo svalutazione crediti al 31/12/2020</v>
      </c>
      <c r="AF696" s="339" t="s">
        <v>3503</v>
      </c>
      <c r="AG696" s="339" t="s">
        <v>3504</v>
      </c>
      <c r="AH696" s="339" t="s">
        <v>3505</v>
      </c>
      <c r="AI696" s="339" t="s">
        <v>3506</v>
      </c>
      <c r="AJ696" s="339" t="s">
        <v>3507</v>
      </c>
      <c r="AK696" s="340" t="s">
        <v>3508</v>
      </c>
      <c r="AL696" s="340" t="s">
        <v>3509</v>
      </c>
      <c r="AM696" s="340" t="s">
        <v>3510</v>
      </c>
    </row>
    <row r="697" spans="2:55" s="204" customFormat="1" x14ac:dyDescent="0.25">
      <c r="B697" s="246" t="s">
        <v>1681</v>
      </c>
      <c r="C697" s="292" t="s">
        <v>1682</v>
      </c>
      <c r="D697" s="247" t="s">
        <v>3779</v>
      </c>
      <c r="E697" s="247"/>
      <c r="F697" s="247"/>
      <c r="G697" s="247"/>
      <c r="H697" s="248"/>
      <c r="I697" s="247"/>
      <c r="J697" s="398"/>
      <c r="K697" s="399"/>
      <c r="L697" s="400" t="s">
        <v>2856</v>
      </c>
      <c r="M697" s="251" t="s">
        <v>2962</v>
      </c>
      <c r="N697" s="401">
        <f>+R697-AA697</f>
        <v>0</v>
      </c>
      <c r="O697" s="402">
        <f>+Y697-AE697</f>
        <v>0</v>
      </c>
      <c r="P697" s="253">
        <f>+O697-N697</f>
        <v>0</v>
      </c>
      <c r="Q697" s="521"/>
      <c r="R697" s="354">
        <f>IF(ISERROR(VLOOKUP("RIC"&amp;$C697,ESTR_PREC_SP!$A$2:$G$2000,4,FALSE))=TRUE,0,VLOOKUP("RIC"&amp;$C697,ESTR_PREC_SP!$A$2:$G$2000,4,FALSE))</f>
        <v>0</v>
      </c>
      <c r="S697" s="521"/>
      <c r="T697" s="520"/>
      <c r="U697" s="520"/>
      <c r="V697" s="520"/>
      <c r="W697" s="520"/>
      <c r="X697" s="520"/>
      <c r="Y697" s="269">
        <f>+R697+S697+T697+U697-V697-X697+W697+Q697</f>
        <v>0</v>
      </c>
      <c r="Z697" s="351"/>
      <c r="AA697" s="354">
        <f>IF(ISERROR(VLOOKUP("RIC"&amp;$C697,ESTR_PREC_SP!$A$2:$G$2000,5,FALSE))=TRUE,0,VLOOKUP("RIC"&amp;$C697,ESTR_PREC_SP!$A$2:$G$2000,5,FALSE))</f>
        <v>0</v>
      </c>
      <c r="AB697" s="520"/>
      <c r="AC697" s="520"/>
      <c r="AD697" s="520"/>
      <c r="AE697" s="269">
        <f>+AA697+AD697-AC697+AB697</f>
        <v>0</v>
      </c>
      <c r="AF697" s="520"/>
      <c r="AG697" s="520"/>
      <c r="AH697" s="520"/>
      <c r="AI697" s="520"/>
      <c r="AJ697" s="526">
        <f>+Y697-SUM(AF697:AI697)</f>
        <v>0</v>
      </c>
      <c r="AK697" s="526">
        <f>+Y697-AE697-AL697-AM697</f>
        <v>0</v>
      </c>
      <c r="AL697" s="520"/>
      <c r="AM697" s="520"/>
    </row>
    <row r="698" spans="2:55" s="204" customFormat="1" x14ac:dyDescent="0.25"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Y698" s="211"/>
      <c r="Z698" s="211"/>
      <c r="AA698" s="211"/>
      <c r="AB698" s="211"/>
      <c r="AC698" s="211"/>
      <c r="AD698" s="211"/>
      <c r="AE698" s="211"/>
      <c r="AF698" s="211"/>
      <c r="AG698" s="211"/>
      <c r="AH698" s="211"/>
      <c r="AI698" s="211"/>
      <c r="AJ698" s="211"/>
      <c r="AK698" s="211"/>
      <c r="AL698" s="211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</row>
    <row r="699" spans="2:55" s="204" customFormat="1" x14ac:dyDescent="0.25"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Y699" s="211"/>
      <c r="Z699" s="211"/>
      <c r="AA699" s="211"/>
      <c r="AB699" s="211"/>
      <c r="AC699" s="211"/>
      <c r="AD699" s="211"/>
      <c r="AE699" s="211"/>
      <c r="AF699" s="211"/>
      <c r="AG699" s="211"/>
      <c r="AH699" s="211"/>
      <c r="AI699" s="211"/>
      <c r="AJ699" s="211"/>
      <c r="AK699" s="211"/>
      <c r="AL699" s="211"/>
      <c r="AM699" s="211"/>
      <c r="AN699" s="211"/>
      <c r="AO699" s="211"/>
      <c r="AP699" s="211"/>
      <c r="AQ699" s="211"/>
      <c r="AR699" s="211"/>
      <c r="AS699" s="211"/>
      <c r="AT699" s="211"/>
      <c r="AU699" s="211"/>
      <c r="AV699" s="211"/>
      <c r="AW699" s="211"/>
      <c r="AX699" s="211"/>
      <c r="AY699" s="211"/>
      <c r="AZ699" s="211"/>
      <c r="BA699" s="211"/>
      <c r="BB699" s="211"/>
    </row>
    <row r="700" spans="2:55" s="204" customFormat="1" x14ac:dyDescent="0.25">
      <c r="B700" s="211"/>
      <c r="C700" s="211"/>
      <c r="D700" s="211"/>
      <c r="E700" s="211"/>
      <c r="F700" s="211"/>
      <c r="G700" s="211"/>
      <c r="H700" s="353"/>
      <c r="I700" s="211"/>
      <c r="J700" s="211"/>
      <c r="K700" s="211"/>
      <c r="L700" s="232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Y700" s="211"/>
      <c r="Z700" s="211"/>
      <c r="AA700" s="211"/>
      <c r="AB700" s="211"/>
      <c r="AC700" s="211"/>
    </row>
    <row r="701" spans="2:55" s="204" customFormat="1" ht="38.25" x14ac:dyDescent="0.25">
      <c r="B701" s="211"/>
      <c r="C701" s="211"/>
      <c r="D701" s="211"/>
      <c r="E701" s="211"/>
      <c r="F701" s="211"/>
      <c r="G701" s="211"/>
      <c r="H701" s="353"/>
      <c r="I701" s="211"/>
      <c r="J701" s="211"/>
      <c r="K701" s="211"/>
      <c r="L701" s="255"/>
      <c r="M701" s="244"/>
      <c r="N701" s="256" t="str">
        <f>N$15</f>
        <v>Valore netto al 31/12/2019</v>
      </c>
      <c r="O701" s="256" t="str">
        <f>O$15</f>
        <v>Valore netto al 31/12/2020</v>
      </c>
      <c r="P701" s="256" t="str">
        <f>P$15</f>
        <v>Variazione</v>
      </c>
      <c r="Q701" s="262" t="s">
        <v>2971</v>
      </c>
      <c r="R701" s="211"/>
      <c r="S701" s="211"/>
      <c r="T701" s="211"/>
      <c r="U701" s="211"/>
      <c r="V701" s="211"/>
      <c r="Y701" s="211"/>
      <c r="Z701" s="211"/>
      <c r="AA701" s="211"/>
      <c r="AB701" s="211"/>
      <c r="AC701" s="211"/>
    </row>
    <row r="702" spans="2:55" s="204" customFormat="1" x14ac:dyDescent="0.25">
      <c r="B702" s="246" t="s">
        <v>1687</v>
      </c>
      <c r="C702" s="292" t="s">
        <v>1688</v>
      </c>
      <c r="D702" s="247" t="s">
        <v>3780</v>
      </c>
      <c r="E702" s="247"/>
      <c r="F702" s="247"/>
      <c r="G702" s="247"/>
      <c r="H702" s="248"/>
      <c r="I702" s="247"/>
      <c r="J702" s="398"/>
      <c r="K702" s="399"/>
      <c r="L702" s="400" t="s">
        <v>1690</v>
      </c>
      <c r="M702" s="251" t="s">
        <v>2962</v>
      </c>
      <c r="N702" s="410">
        <f>+N707+N708+N709+N710+N711+N712+N722</f>
        <v>0</v>
      </c>
      <c r="O702" s="410">
        <f>+O707+O708+O709+O710+O711+O712+O722</f>
        <v>0</v>
      </c>
      <c r="P702" s="253">
        <f>+O702-N702</f>
        <v>0</v>
      </c>
      <c r="Q702" s="410">
        <f t="shared" ref="Q702:AA702" si="129">+Q707+Q708+Q709+Q710+Q711+Q712+Q722</f>
        <v>0</v>
      </c>
      <c r="R702" s="410">
        <f t="shared" si="129"/>
        <v>0</v>
      </c>
      <c r="S702" s="410">
        <f t="shared" si="129"/>
        <v>0</v>
      </c>
      <c r="T702" s="410">
        <f t="shared" si="129"/>
        <v>0</v>
      </c>
      <c r="U702" s="410">
        <f t="shared" si="129"/>
        <v>0</v>
      </c>
      <c r="V702" s="410">
        <f t="shared" si="129"/>
        <v>0</v>
      </c>
      <c r="W702" s="410">
        <f t="shared" si="129"/>
        <v>0</v>
      </c>
      <c r="X702" s="410">
        <f t="shared" si="129"/>
        <v>0</v>
      </c>
      <c r="Y702" s="410">
        <f t="shared" si="129"/>
        <v>0</v>
      </c>
      <c r="Z702" s="410">
        <f t="shared" si="129"/>
        <v>0</v>
      </c>
      <c r="AA702" s="410">
        <f t="shared" si="129"/>
        <v>0</v>
      </c>
      <c r="AB702" s="410">
        <f t="shared" ref="AB702:AL702" si="130">+AC707+AC708+AC709+AC710+AC711+AC712+AC722</f>
        <v>0</v>
      </c>
      <c r="AC702" s="410">
        <f t="shared" si="130"/>
        <v>0</v>
      </c>
      <c r="AD702" s="410">
        <f t="shared" si="130"/>
        <v>0</v>
      </c>
      <c r="AE702" s="410">
        <f t="shared" si="130"/>
        <v>0</v>
      </c>
      <c r="AF702" s="410">
        <f t="shared" si="130"/>
        <v>0</v>
      </c>
      <c r="AG702" s="410">
        <f t="shared" si="130"/>
        <v>0</v>
      </c>
      <c r="AH702" s="410">
        <f t="shared" si="130"/>
        <v>0</v>
      </c>
      <c r="AI702" s="410">
        <f t="shared" si="130"/>
        <v>0</v>
      </c>
      <c r="AJ702" s="410">
        <f t="shared" si="130"/>
        <v>0</v>
      </c>
      <c r="AK702" s="410">
        <f t="shared" si="130"/>
        <v>0</v>
      </c>
      <c r="AL702" s="410">
        <f t="shared" si="130"/>
        <v>0</v>
      </c>
    </row>
    <row r="703" spans="2:55" s="204" customFormat="1" x14ac:dyDescent="0.25">
      <c r="B703" s="216"/>
      <c r="C703" s="216"/>
      <c r="D703" s="226"/>
      <c r="E703" s="226"/>
      <c r="F703" s="226"/>
      <c r="G703" s="226"/>
      <c r="H703" s="227"/>
      <c r="I703" s="226"/>
      <c r="J703" s="226"/>
      <c r="K703" s="226"/>
      <c r="L703" s="403"/>
      <c r="M703" s="278"/>
      <c r="N703" s="279"/>
      <c r="O703" s="279"/>
      <c r="P703" s="404"/>
      <c r="Q703" s="211"/>
      <c r="R703" s="279"/>
      <c r="S703" s="279"/>
      <c r="T703" s="279"/>
      <c r="U703" s="279"/>
      <c r="V703" s="279"/>
      <c r="Y703" s="279"/>
      <c r="Z703" s="211"/>
      <c r="AA703" s="211"/>
      <c r="AB703" s="211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55" s="204" customFormat="1" ht="25.5" customHeight="1" x14ac:dyDescent="0.25">
      <c r="B704" s="211"/>
      <c r="C704" s="211"/>
      <c r="D704" s="211"/>
      <c r="E704" s="211"/>
      <c r="F704" s="211"/>
      <c r="G704" s="211"/>
      <c r="H704" s="353"/>
      <c r="I704" s="211"/>
      <c r="J704" s="211"/>
      <c r="K704" s="211"/>
      <c r="L704" s="232"/>
      <c r="M704" s="211"/>
      <c r="N704" s="211"/>
      <c r="O704" s="211"/>
      <c r="P704" s="211"/>
      <c r="Q704" s="211"/>
      <c r="R704" s="211"/>
      <c r="S704" s="902" t="s">
        <v>3495</v>
      </c>
      <c r="T704" s="902"/>
      <c r="U704" s="902"/>
      <c r="V704" s="335" t="s">
        <v>3496</v>
      </c>
      <c r="W704" s="336"/>
      <c r="X704" s="335" t="s">
        <v>3496</v>
      </c>
      <c r="Z704" s="211"/>
      <c r="AA704" s="211"/>
      <c r="AB704" s="211"/>
      <c r="AC704" s="285"/>
      <c r="AD704" s="211"/>
      <c r="AE704" s="211"/>
      <c r="AF704" s="904" t="str">
        <f>+AF695</f>
        <v>VALORE NOMINALE DEI CREDITI AL 31/12/2020 PER ANNO DI FORMAZIONE</v>
      </c>
      <c r="AG704" s="904"/>
      <c r="AH704" s="904"/>
      <c r="AI704" s="904"/>
      <c r="AJ704" s="904"/>
      <c r="AK704" s="905" t="str">
        <f>+AK695</f>
        <v>VALORE NETTO DEI CREDITI AL 31/12/2020 PER SCADENZA</v>
      </c>
      <c r="AL704" s="905"/>
      <c r="AM704" s="905"/>
    </row>
    <row r="705" spans="2:55" s="204" customFormat="1" ht="51.75" customHeight="1" x14ac:dyDescent="0.25">
      <c r="B705" s="260" t="s">
        <v>2968</v>
      </c>
      <c r="C705" s="260" t="s">
        <v>2969</v>
      </c>
      <c r="D705" s="206" t="s">
        <v>72</v>
      </c>
      <c r="E705" s="206"/>
      <c r="F705" s="206"/>
      <c r="G705" s="207"/>
      <c r="H705" s="207"/>
      <c r="I705" s="207"/>
      <c r="J705" s="207" t="s">
        <v>2957</v>
      </c>
      <c r="K705" s="206" t="s">
        <v>82</v>
      </c>
      <c r="L705" s="261" t="s">
        <v>3670</v>
      </c>
      <c r="M705" s="256"/>
      <c r="N705" s="256" t="str">
        <f>N$15</f>
        <v>Valore netto al 31/12/2019</v>
      </c>
      <c r="O705" s="256" t="str">
        <f>O$15</f>
        <v>Valore netto al 31/12/2020</v>
      </c>
      <c r="P705" s="256" t="str">
        <f>P$15</f>
        <v>Variazione</v>
      </c>
      <c r="Q705" s="262" t="s">
        <v>2971</v>
      </c>
      <c r="R705" s="262" t="str">
        <f>+R696</f>
        <v>Valore iniziale LORDO al 31/12/2019</v>
      </c>
      <c r="S705" s="337" t="s">
        <v>2972</v>
      </c>
      <c r="T705" s="337" t="s">
        <v>3497</v>
      </c>
      <c r="U705" s="337" t="s">
        <v>3495</v>
      </c>
      <c r="V705" s="338" t="s">
        <v>3498</v>
      </c>
      <c r="W705" s="262" t="s">
        <v>2975</v>
      </c>
      <c r="X705" s="338" t="s">
        <v>3499</v>
      </c>
      <c r="Y705" s="262" t="str">
        <f>+Y696</f>
        <v>Valore finale LORDO al 31/12/2020</v>
      </c>
      <c r="Z705" s="337" t="str">
        <f>+Z696</f>
        <v>Di cui Fatture da emettere</v>
      </c>
      <c r="AA705" s="262" t="str">
        <f>+AA696</f>
        <v>Fondo svalutazione crediti al 31/12/2019</v>
      </c>
      <c r="AB705" s="262" t="s">
        <v>3500</v>
      </c>
      <c r="AC705" s="262" t="s">
        <v>3501</v>
      </c>
      <c r="AD705" s="262" t="s">
        <v>3502</v>
      </c>
      <c r="AE705" s="262" t="str">
        <f>+AE696</f>
        <v>Fondo svalutazione crediti al 31/12/2020</v>
      </c>
      <c r="AF705" s="339" t="s">
        <v>3503</v>
      </c>
      <c r="AG705" s="339" t="s">
        <v>3504</v>
      </c>
      <c r="AH705" s="339" t="s">
        <v>3505</v>
      </c>
      <c r="AI705" s="339" t="s">
        <v>3506</v>
      </c>
      <c r="AJ705" s="339" t="s">
        <v>3507</v>
      </c>
      <c r="AK705" s="340" t="s">
        <v>3508</v>
      </c>
      <c r="AL705" s="340" t="s">
        <v>3509</v>
      </c>
      <c r="AM705" s="340" t="s">
        <v>3510</v>
      </c>
    </row>
    <row r="706" spans="2:55" s="204" customFormat="1" x14ac:dyDescent="0.25">
      <c r="B706" s="246" t="s">
        <v>1691</v>
      </c>
      <c r="C706" s="287" t="s">
        <v>1692</v>
      </c>
      <c r="D706" s="274" t="s">
        <v>3781</v>
      </c>
      <c r="E706" s="274"/>
      <c r="F706" s="274"/>
      <c r="G706" s="283"/>
      <c r="H706" s="266"/>
      <c r="I706" s="274"/>
      <c r="J706" s="281"/>
      <c r="K706" s="281"/>
      <c r="L706" s="295" t="s">
        <v>1693</v>
      </c>
      <c r="M706" s="284" t="s">
        <v>2962</v>
      </c>
      <c r="N706" s="354"/>
      <c r="O706" s="354">
        <f>O707+O708</f>
        <v>0</v>
      </c>
      <c r="P706" s="354"/>
      <c r="Q706" s="354"/>
      <c r="R706" s="354">
        <f>IF(ISERROR(VLOOKUP("RIC"&amp;$C706,ESTR_PREC_SP!$A$2:$G$2000,4,FALSE))=TRUE,0,VLOOKUP("RIC"&amp;$C706,ESTR_PREC_SP!$A$2:$G$2000,4,FALSE))</f>
        <v>0</v>
      </c>
      <c r="S706" s="354"/>
      <c r="T706" s="354"/>
      <c r="U706" s="354"/>
      <c r="V706" s="354"/>
      <c r="W706" s="354"/>
      <c r="X706" s="354"/>
      <c r="Y706" s="354"/>
      <c r="Z706" s="354"/>
      <c r="AA706" s="354"/>
      <c r="AB706" s="354"/>
      <c r="AC706" s="354"/>
      <c r="AD706" s="354"/>
      <c r="AE706" s="354"/>
      <c r="AF706" s="354"/>
      <c r="AG706" s="354"/>
      <c r="AH706" s="354"/>
      <c r="AI706" s="354"/>
      <c r="AJ706" s="354"/>
      <c r="AK706" s="354"/>
      <c r="AL706" s="354"/>
      <c r="AM706" s="354"/>
    </row>
    <row r="707" spans="2:55" s="204" customFormat="1" x14ac:dyDescent="0.25">
      <c r="B707" s="246" t="s">
        <v>1694</v>
      </c>
      <c r="C707" s="287" t="s">
        <v>1695</v>
      </c>
      <c r="D707" s="274" t="s">
        <v>3781</v>
      </c>
      <c r="E707" s="274"/>
      <c r="F707" s="274"/>
      <c r="G707" s="283"/>
      <c r="H707" s="266"/>
      <c r="I707" s="274"/>
      <c r="J707" s="281"/>
      <c r="K707" s="281"/>
      <c r="L707" s="392" t="s">
        <v>3782</v>
      </c>
      <c r="M707" s="284" t="s">
        <v>2962</v>
      </c>
      <c r="N707" s="269">
        <f>+R707-AA707</f>
        <v>0</v>
      </c>
      <c r="O707" s="270">
        <f>+Y707-AE707</f>
        <v>0</v>
      </c>
      <c r="P707" s="271">
        <f t="shared" ref="P707:P724" si="131">+O707-N707</f>
        <v>0</v>
      </c>
      <c r="Q707" s="520"/>
      <c r="R707" s="354">
        <f>IF(ISERROR(VLOOKUP("RIC"&amp;$C707,ESTR_PREC_SP!$A$2:$G$2000,4,FALSE))=TRUE,0,VLOOKUP("RIC"&amp;$C707,ESTR_PREC_SP!$A$2:$G$2000,4,FALSE))</f>
        <v>0</v>
      </c>
      <c r="S707" s="520"/>
      <c r="T707" s="520"/>
      <c r="U707" s="520"/>
      <c r="V707" s="520"/>
      <c r="W707" s="520"/>
      <c r="X707" s="520"/>
      <c r="Y707" s="269">
        <f>+R707+S707+T707+U707-V707-X707+W707+Q707</f>
        <v>0</v>
      </c>
      <c r="Z707" s="534"/>
      <c r="AA707" s="354">
        <f>IF(ISERROR(VLOOKUP("RIC"&amp;$C707,ESTR_PREC_SP!$A$2:$G$2000,5,FALSE))=TRUE,0,VLOOKUP("RIC"&amp;$C707,ESTR_PREC_SP!$A$2:$G$2000,5,FALSE))</f>
        <v>0</v>
      </c>
      <c r="AB707" s="520"/>
      <c r="AC707" s="520"/>
      <c r="AD707" s="520"/>
      <c r="AE707" s="269">
        <f t="shared" ref="AE707:AE724" si="132">+AA707+AD707-AC707+AB707</f>
        <v>0</v>
      </c>
      <c r="AF707" s="520"/>
      <c r="AG707" s="520"/>
      <c r="AH707" s="520"/>
      <c r="AI707" s="520"/>
      <c r="AJ707" s="526">
        <f t="shared" ref="AJ707:AJ721" si="133">+Y707-SUM(AF707:AI707)</f>
        <v>0</v>
      </c>
      <c r="AK707" s="526">
        <f t="shared" ref="AK707:AK721" si="134">+Y707-AE707-AL707-AM707</f>
        <v>0</v>
      </c>
      <c r="AL707" s="520"/>
      <c r="AM707" s="520"/>
    </row>
    <row r="708" spans="2:55" s="204" customFormat="1" x14ac:dyDescent="0.25">
      <c r="B708" s="246" t="s">
        <v>3783</v>
      </c>
      <c r="C708" s="287" t="s">
        <v>1699</v>
      </c>
      <c r="D708" s="274" t="s">
        <v>3781</v>
      </c>
      <c r="E708" s="274"/>
      <c r="F708" s="274"/>
      <c r="G708" s="283"/>
      <c r="H708" s="266"/>
      <c r="I708" s="274"/>
      <c r="J708" s="281"/>
      <c r="K708" s="281"/>
      <c r="L708" s="392" t="s">
        <v>3784</v>
      </c>
      <c r="M708" s="284" t="s">
        <v>2962</v>
      </c>
      <c r="N708" s="269">
        <f>+R708-AA708</f>
        <v>0</v>
      </c>
      <c r="O708" s="270">
        <f>+Y708-AE708</f>
        <v>0</v>
      </c>
      <c r="P708" s="271">
        <f t="shared" si="131"/>
        <v>0</v>
      </c>
      <c r="Q708" s="520"/>
      <c r="R708" s="354">
        <f>IF(ISERROR(VLOOKUP("RIC"&amp;$C708,ESTR_PREC_SP!$A$2:$G$2000,4,FALSE))=TRUE,0,VLOOKUP("RIC"&amp;$C708,ESTR_PREC_SP!$A$2:$G$2000,4,FALSE))</f>
        <v>0</v>
      </c>
      <c r="S708" s="520"/>
      <c r="T708" s="520"/>
      <c r="U708" s="520"/>
      <c r="V708" s="520"/>
      <c r="W708" s="520"/>
      <c r="X708" s="520"/>
      <c r="Y708" s="269">
        <f>+R708+S708+T708+U708-V708-X708+W708+Q708</f>
        <v>0</v>
      </c>
      <c r="Z708" s="534"/>
      <c r="AA708" s="354">
        <f>IF(ISERROR(VLOOKUP("RIC"&amp;$C708,ESTR_PREC_SP!$A$2:$G$2000,5,FALSE))=TRUE,0,VLOOKUP("RIC"&amp;$C708,ESTR_PREC_SP!$A$2:$G$2000,5,FALSE))</f>
        <v>0</v>
      </c>
      <c r="AB708" s="520"/>
      <c r="AC708" s="520"/>
      <c r="AD708" s="520"/>
      <c r="AE708" s="269">
        <f t="shared" si="132"/>
        <v>0</v>
      </c>
      <c r="AF708" s="520"/>
      <c r="AG708" s="520"/>
      <c r="AH708" s="520"/>
      <c r="AI708" s="520"/>
      <c r="AJ708" s="526">
        <f t="shared" si="133"/>
        <v>0</v>
      </c>
      <c r="AK708" s="526">
        <f t="shared" si="134"/>
        <v>0</v>
      </c>
      <c r="AL708" s="520"/>
      <c r="AM708" s="520"/>
    </row>
    <row r="709" spans="2:55" s="204" customFormat="1" x14ac:dyDescent="0.25">
      <c r="B709" s="246" t="s">
        <v>1701</v>
      </c>
      <c r="C709" s="287" t="s">
        <v>1702</v>
      </c>
      <c r="D709" s="274" t="s">
        <v>3785</v>
      </c>
      <c r="E709" s="274"/>
      <c r="F709" s="274"/>
      <c r="G709" s="283"/>
      <c r="H709" s="266"/>
      <c r="I709" s="274"/>
      <c r="J709" s="281"/>
      <c r="K709" s="281"/>
      <c r="L709" s="295" t="s">
        <v>3786</v>
      </c>
      <c r="M709" s="284" t="s">
        <v>2962</v>
      </c>
      <c r="N709" s="269">
        <f>+R709-AA709</f>
        <v>0</v>
      </c>
      <c r="O709" s="270">
        <f>+Y709-AE709</f>
        <v>0</v>
      </c>
      <c r="P709" s="271">
        <f t="shared" si="131"/>
        <v>0</v>
      </c>
      <c r="Q709" s="520"/>
      <c r="R709" s="354">
        <f>IF(ISERROR(VLOOKUP("RIC"&amp;$C709,ESTR_PREC_SP!$A$2:$G$2000,4,FALSE))=TRUE,0,VLOOKUP("RIC"&amp;$C709,ESTR_PREC_SP!$A$2:$G$2000,4,FALSE))</f>
        <v>0</v>
      </c>
      <c r="S709" s="520"/>
      <c r="T709" s="520"/>
      <c r="U709" s="520"/>
      <c r="V709" s="520"/>
      <c r="W709" s="520"/>
      <c r="X709" s="520"/>
      <c r="Y709" s="269">
        <f>+R709+S709+T709+U709-V709-X709+W709+Q709</f>
        <v>0</v>
      </c>
      <c r="Z709" s="534"/>
      <c r="AA709" s="354">
        <f>IF(ISERROR(VLOOKUP("RIC"&amp;$C709,ESTR_PREC_SP!$A$2:$G$2000,5,FALSE))=TRUE,0,VLOOKUP("RIC"&amp;$C709,ESTR_PREC_SP!$A$2:$G$2000,5,FALSE))</f>
        <v>0</v>
      </c>
      <c r="AB709" s="520"/>
      <c r="AC709" s="520"/>
      <c r="AD709" s="520"/>
      <c r="AE709" s="269">
        <f t="shared" si="132"/>
        <v>0</v>
      </c>
      <c r="AF709" s="520"/>
      <c r="AG709" s="520"/>
      <c r="AH709" s="520"/>
      <c r="AI709" s="520"/>
      <c r="AJ709" s="526">
        <f t="shared" si="133"/>
        <v>0</v>
      </c>
      <c r="AK709" s="526">
        <f t="shared" si="134"/>
        <v>0</v>
      </c>
      <c r="AL709" s="520"/>
      <c r="AM709" s="520"/>
    </row>
    <row r="710" spans="2:55" s="204" customFormat="1" x14ac:dyDescent="0.25">
      <c r="B710" s="246" t="s">
        <v>1705</v>
      </c>
      <c r="C710" s="287" t="s">
        <v>1706</v>
      </c>
      <c r="D710" s="274" t="s">
        <v>3787</v>
      </c>
      <c r="E710" s="274"/>
      <c r="F710" s="274"/>
      <c r="G710" s="283"/>
      <c r="H710" s="266"/>
      <c r="I710" s="274"/>
      <c r="J710" s="281"/>
      <c r="K710" s="281"/>
      <c r="L710" s="295" t="s">
        <v>1708</v>
      </c>
      <c r="M710" s="284" t="s">
        <v>2962</v>
      </c>
      <c r="N710" s="269">
        <f>+R710-AA710</f>
        <v>0</v>
      </c>
      <c r="O710" s="270">
        <f>+Y710-AE710</f>
        <v>0</v>
      </c>
      <c r="P710" s="271">
        <f t="shared" si="131"/>
        <v>0</v>
      </c>
      <c r="Q710" s="520"/>
      <c r="R710" s="354">
        <f>IF(ISERROR(VLOOKUP("RIC"&amp;$C710,ESTR_PREC_SP!$A$2:$G$2000,4,FALSE))=TRUE,0,VLOOKUP("RIC"&amp;$C710,ESTR_PREC_SP!$A$2:$G$2000,4,FALSE))</f>
        <v>0</v>
      </c>
      <c r="S710" s="520"/>
      <c r="T710" s="520"/>
      <c r="U710" s="520"/>
      <c r="V710" s="520"/>
      <c r="W710" s="520"/>
      <c r="X710" s="520"/>
      <c r="Y710" s="269">
        <f>+R710+S710+T710+U710-V710-X710+W710+Q710</f>
        <v>0</v>
      </c>
      <c r="Z710" s="534"/>
      <c r="AA710" s="354">
        <f>IF(ISERROR(VLOOKUP("RIC"&amp;$C710,ESTR_PREC_SP!$A$2:$G$2000,5,FALSE))=TRUE,0,VLOOKUP("RIC"&amp;$C710,ESTR_PREC_SP!$A$2:$G$2000,5,FALSE))</f>
        <v>0</v>
      </c>
      <c r="AB710" s="520"/>
      <c r="AC710" s="520"/>
      <c r="AD710" s="520"/>
      <c r="AE710" s="269">
        <f t="shared" si="132"/>
        <v>0</v>
      </c>
      <c r="AF710" s="520"/>
      <c r="AG710" s="520"/>
      <c r="AH710" s="520"/>
      <c r="AI710" s="520"/>
      <c r="AJ710" s="526">
        <f t="shared" si="133"/>
        <v>0</v>
      </c>
      <c r="AK710" s="526">
        <f t="shared" si="134"/>
        <v>0</v>
      </c>
      <c r="AL710" s="520"/>
      <c r="AM710" s="520"/>
    </row>
    <row r="711" spans="2:55" s="204" customFormat="1" x14ac:dyDescent="0.25">
      <c r="B711" s="246" t="s">
        <v>1709</v>
      </c>
      <c r="C711" s="287" t="s">
        <v>1710</v>
      </c>
      <c r="D711" s="274" t="s">
        <v>3788</v>
      </c>
      <c r="E711" s="274"/>
      <c r="F711" s="274"/>
      <c r="G711" s="283"/>
      <c r="H711" s="266"/>
      <c r="I711" s="274"/>
      <c r="J711" s="281"/>
      <c r="K711" s="281"/>
      <c r="L711" s="295" t="s">
        <v>1712</v>
      </c>
      <c r="M711" s="284" t="s">
        <v>2962</v>
      </c>
      <c r="N711" s="269">
        <f>+R711-AA711</f>
        <v>0</v>
      </c>
      <c r="O711" s="270">
        <f>+Y711-AE711</f>
        <v>0</v>
      </c>
      <c r="P711" s="271">
        <f t="shared" si="131"/>
        <v>0</v>
      </c>
      <c r="Q711" s="520"/>
      <c r="R711" s="354">
        <f>IF(ISERROR(VLOOKUP("RIC"&amp;$C711,ESTR_PREC_SP!$A$2:$G$2000,4,FALSE))=TRUE,0,VLOOKUP("RIC"&amp;$C711,ESTR_PREC_SP!$A$2:$G$2000,4,FALSE))</f>
        <v>0</v>
      </c>
      <c r="S711" s="520"/>
      <c r="T711" s="520"/>
      <c r="U711" s="520"/>
      <c r="V711" s="520"/>
      <c r="W711" s="520"/>
      <c r="X711" s="520"/>
      <c r="Y711" s="269">
        <f>+R711+S711+T711+U711-V711-X711+W711+Q711</f>
        <v>0</v>
      </c>
      <c r="Z711" s="534"/>
      <c r="AA711" s="354">
        <f>IF(ISERROR(VLOOKUP("RIC"&amp;$C711,ESTR_PREC_SP!$A$2:$G$2000,5,FALSE))=TRUE,0,VLOOKUP("RIC"&amp;$C711,ESTR_PREC_SP!$A$2:$G$2000,5,FALSE))</f>
        <v>0</v>
      </c>
      <c r="AB711" s="520"/>
      <c r="AC711" s="520"/>
      <c r="AD711" s="520"/>
      <c r="AE711" s="269">
        <f t="shared" si="132"/>
        <v>0</v>
      </c>
      <c r="AF711" s="520"/>
      <c r="AG711" s="520"/>
      <c r="AH711" s="520"/>
      <c r="AI711" s="520"/>
      <c r="AJ711" s="526">
        <f t="shared" si="133"/>
        <v>0</v>
      </c>
      <c r="AK711" s="526">
        <f t="shared" si="134"/>
        <v>0</v>
      </c>
      <c r="AL711" s="520"/>
      <c r="AM711" s="520"/>
    </row>
    <row r="712" spans="2:55" s="204" customFormat="1" x14ac:dyDescent="0.25">
      <c r="B712" s="246" t="s">
        <v>1713</v>
      </c>
      <c r="C712" s="287" t="s">
        <v>1714</v>
      </c>
      <c r="D712" s="274" t="s">
        <v>3789</v>
      </c>
      <c r="E712" s="274"/>
      <c r="F712" s="274"/>
      <c r="G712" s="283"/>
      <c r="H712" s="266"/>
      <c r="I712" s="274"/>
      <c r="J712" s="281"/>
      <c r="K712" s="281"/>
      <c r="L712" s="295" t="s">
        <v>1715</v>
      </c>
      <c r="M712" s="284" t="s">
        <v>2962</v>
      </c>
      <c r="N712" s="272">
        <f>+N713+N716+N721</f>
        <v>0</v>
      </c>
      <c r="O712" s="272">
        <f>+O713+O716+O721</f>
        <v>0</v>
      </c>
      <c r="P712" s="378">
        <f t="shared" si="131"/>
        <v>0</v>
      </c>
      <c r="Q712" s="272">
        <f t="shared" ref="Q712:AD712" si="135">+Q713+Q716+Q721</f>
        <v>0</v>
      </c>
      <c r="R712" s="272">
        <f t="shared" si="135"/>
        <v>0</v>
      </c>
      <c r="S712" s="272">
        <f t="shared" si="135"/>
        <v>0</v>
      </c>
      <c r="T712" s="272">
        <f t="shared" si="135"/>
        <v>0</v>
      </c>
      <c r="U712" s="272">
        <f t="shared" si="135"/>
        <v>0</v>
      </c>
      <c r="V712" s="272">
        <f t="shared" si="135"/>
        <v>0</v>
      </c>
      <c r="W712" s="272">
        <f t="shared" si="135"/>
        <v>0</v>
      </c>
      <c r="X712" s="272">
        <f t="shared" si="135"/>
        <v>0</v>
      </c>
      <c r="Y712" s="272">
        <f t="shared" si="135"/>
        <v>0</v>
      </c>
      <c r="Z712" s="272">
        <f t="shared" si="135"/>
        <v>0</v>
      </c>
      <c r="AA712" s="272">
        <f t="shared" si="135"/>
        <v>0</v>
      </c>
      <c r="AB712" s="272">
        <f t="shared" si="135"/>
        <v>0</v>
      </c>
      <c r="AC712" s="272">
        <f t="shared" si="135"/>
        <v>0</v>
      </c>
      <c r="AD712" s="272">
        <f t="shared" si="135"/>
        <v>0</v>
      </c>
      <c r="AE712" s="272">
        <f t="shared" si="132"/>
        <v>0</v>
      </c>
      <c r="AF712" s="272">
        <f>+AF713+AF716+AF721</f>
        <v>0</v>
      </c>
      <c r="AG712" s="272">
        <f>+AG713+AG716+AG721</f>
        <v>0</v>
      </c>
      <c r="AH712" s="272">
        <f>+AH713+AH716+AH721</f>
        <v>0</v>
      </c>
      <c r="AI712" s="272">
        <f>+AI713+AI716+AI721</f>
        <v>0</v>
      </c>
      <c r="AJ712" s="537">
        <f t="shared" si="133"/>
        <v>0</v>
      </c>
      <c r="AK712" s="537">
        <f t="shared" si="134"/>
        <v>0</v>
      </c>
      <c r="AL712" s="272">
        <f>+AL713+AL716+AL721</f>
        <v>0</v>
      </c>
      <c r="AM712" s="272">
        <f>+AM713+AM716+AM721</f>
        <v>0</v>
      </c>
    </row>
    <row r="713" spans="2:55" s="204" customFormat="1" x14ac:dyDescent="0.25">
      <c r="B713" s="246" t="s">
        <v>1716</v>
      </c>
      <c r="C713" s="287" t="s">
        <v>1717</v>
      </c>
      <c r="D713" s="274" t="s">
        <v>3790</v>
      </c>
      <c r="E713" s="274"/>
      <c r="F713" s="274"/>
      <c r="G713" s="283"/>
      <c r="H713" s="266"/>
      <c r="I713" s="274"/>
      <c r="J713" s="281"/>
      <c r="K713" s="281"/>
      <c r="L713" s="379" t="s">
        <v>1719</v>
      </c>
      <c r="M713" s="284" t="s">
        <v>2962</v>
      </c>
      <c r="N713" s="272">
        <f>+N714+N715</f>
        <v>0</v>
      </c>
      <c r="O713" s="272">
        <f>+O714+O715</f>
        <v>0</v>
      </c>
      <c r="P713" s="378">
        <f t="shared" si="131"/>
        <v>0</v>
      </c>
      <c r="Q713" s="272">
        <f t="shared" ref="Q713:AD713" si="136">+Q714+Q715</f>
        <v>0</v>
      </c>
      <c r="R713" s="272">
        <f t="shared" si="136"/>
        <v>0</v>
      </c>
      <c r="S713" s="272">
        <f t="shared" si="136"/>
        <v>0</v>
      </c>
      <c r="T713" s="272">
        <f t="shared" si="136"/>
        <v>0</v>
      </c>
      <c r="U713" s="272">
        <f t="shared" si="136"/>
        <v>0</v>
      </c>
      <c r="V713" s="272">
        <f t="shared" si="136"/>
        <v>0</v>
      </c>
      <c r="W713" s="272">
        <f t="shared" si="136"/>
        <v>0</v>
      </c>
      <c r="X713" s="272">
        <f t="shared" si="136"/>
        <v>0</v>
      </c>
      <c r="Y713" s="272">
        <f t="shared" si="136"/>
        <v>0</v>
      </c>
      <c r="Z713" s="272">
        <f t="shared" si="136"/>
        <v>0</v>
      </c>
      <c r="AA713" s="272">
        <f t="shared" si="136"/>
        <v>0</v>
      </c>
      <c r="AB713" s="272">
        <f t="shared" si="136"/>
        <v>0</v>
      </c>
      <c r="AC713" s="272">
        <f t="shared" si="136"/>
        <v>0</v>
      </c>
      <c r="AD713" s="272">
        <f t="shared" si="136"/>
        <v>0</v>
      </c>
      <c r="AE713" s="272">
        <f t="shared" si="132"/>
        <v>0</v>
      </c>
      <c r="AF713" s="272">
        <f>+AF714+AF715</f>
        <v>0</v>
      </c>
      <c r="AG713" s="272">
        <f>+AG714+AG715</f>
        <v>0</v>
      </c>
      <c r="AH713" s="272">
        <f>+AH714+AH715</f>
        <v>0</v>
      </c>
      <c r="AI713" s="272">
        <f>+AI714+AI715</f>
        <v>0</v>
      </c>
      <c r="AJ713" s="537">
        <f t="shared" si="133"/>
        <v>0</v>
      </c>
      <c r="AK713" s="537">
        <f t="shared" si="134"/>
        <v>0</v>
      </c>
      <c r="AL713" s="272">
        <f>+AL714+AL715</f>
        <v>0</v>
      </c>
      <c r="AM713" s="272">
        <f>+AM714+AM715</f>
        <v>0</v>
      </c>
    </row>
    <row r="714" spans="2:55" s="204" customFormat="1" x14ac:dyDescent="0.25">
      <c r="B714" s="246" t="s">
        <v>1720</v>
      </c>
      <c r="C714" s="287" t="s">
        <v>1721</v>
      </c>
      <c r="D714" s="274" t="s">
        <v>3791</v>
      </c>
      <c r="E714" s="274"/>
      <c r="F714" s="274"/>
      <c r="G714" s="283"/>
      <c r="H714" s="266"/>
      <c r="I714" s="274"/>
      <c r="J714" s="281"/>
      <c r="K714" s="281"/>
      <c r="L714" s="97" t="s">
        <v>3792</v>
      </c>
      <c r="M714" s="284" t="s">
        <v>2962</v>
      </c>
      <c r="N714" s="269">
        <f>+R714-AA714</f>
        <v>0</v>
      </c>
      <c r="O714" s="270">
        <f>+Y714-AE714</f>
        <v>0</v>
      </c>
      <c r="P714" s="271">
        <f t="shared" si="131"/>
        <v>0</v>
      </c>
      <c r="Q714" s="520"/>
      <c r="R714" s="354">
        <f>IF(ISERROR(VLOOKUP("RIC"&amp;$C714,ESTR_PREC_SP!$A$2:$G$2000,4,FALSE))=TRUE,0,VLOOKUP("RIC"&amp;$C714,ESTR_PREC_SP!$A$2:$G$2000,4,FALSE))</f>
        <v>0</v>
      </c>
      <c r="S714" s="520"/>
      <c r="T714" s="520"/>
      <c r="U714" s="520"/>
      <c r="V714" s="520"/>
      <c r="W714" s="520"/>
      <c r="X714" s="520"/>
      <c r="Y714" s="269">
        <f>+R714+S714+T714+U714-V714-X714+W714+Q714</f>
        <v>0</v>
      </c>
      <c r="Z714" s="534"/>
      <c r="AA714" s="354">
        <f>IF(ISERROR(VLOOKUP("RIC"&amp;$C714,ESTR_PREC_SP!$A$2:$G$2000,5,FALSE))=TRUE,0,VLOOKUP("RIC"&amp;$C714,ESTR_PREC_SP!$A$2:$G$2000,5,FALSE))</f>
        <v>0</v>
      </c>
      <c r="AB714" s="520"/>
      <c r="AC714" s="520"/>
      <c r="AD714" s="520"/>
      <c r="AE714" s="269">
        <f t="shared" si="132"/>
        <v>0</v>
      </c>
      <c r="AF714" s="520"/>
      <c r="AG714" s="520"/>
      <c r="AH714" s="520"/>
      <c r="AI714" s="520"/>
      <c r="AJ714" s="526">
        <f t="shared" si="133"/>
        <v>0</v>
      </c>
      <c r="AK714" s="526">
        <f t="shared" si="134"/>
        <v>0</v>
      </c>
      <c r="AL714" s="520"/>
      <c r="AM714" s="520"/>
      <c r="AX714" s="211"/>
      <c r="AY714" s="211"/>
      <c r="AZ714" s="211"/>
      <c r="BA714" s="211"/>
      <c r="BB714" s="211"/>
      <c r="BC714" s="211"/>
    </row>
    <row r="715" spans="2:55" s="204" customFormat="1" x14ac:dyDescent="0.25">
      <c r="B715" s="246" t="s">
        <v>1724</v>
      </c>
      <c r="C715" s="287" t="s">
        <v>1725</v>
      </c>
      <c r="D715" s="274" t="s">
        <v>3793</v>
      </c>
      <c r="E715" s="274"/>
      <c r="F715" s="274"/>
      <c r="G715" s="283"/>
      <c r="H715" s="266"/>
      <c r="I715" s="274"/>
      <c r="J715" s="281"/>
      <c r="K715" s="281"/>
      <c r="L715" s="97" t="s">
        <v>3794</v>
      </c>
      <c r="M715" s="284" t="s">
        <v>2962</v>
      </c>
      <c r="N715" s="269">
        <f>+R715-AA715</f>
        <v>0</v>
      </c>
      <c r="O715" s="270">
        <f>+Y715-AE715</f>
        <v>0</v>
      </c>
      <c r="P715" s="271">
        <f t="shared" si="131"/>
        <v>0</v>
      </c>
      <c r="Q715" s="520"/>
      <c r="R715" s="354">
        <f>IF(ISERROR(VLOOKUP("RIC"&amp;$C715,ESTR_PREC_SP!$A$2:$G$2000,4,FALSE))=TRUE,0,VLOOKUP("RIC"&amp;$C715,ESTR_PREC_SP!$A$2:$G$2000,4,FALSE))</f>
        <v>0</v>
      </c>
      <c r="S715" s="520"/>
      <c r="T715" s="520"/>
      <c r="U715" s="520"/>
      <c r="V715" s="520"/>
      <c r="W715" s="520"/>
      <c r="X715" s="520"/>
      <c r="Y715" s="269">
        <f>+R715+S715+T715+U715-V715-X715+W715+Q715</f>
        <v>0</v>
      </c>
      <c r="Z715" s="534"/>
      <c r="AA715" s="354">
        <f>IF(ISERROR(VLOOKUP("RIC"&amp;$C715,ESTR_PREC_SP!$A$2:$G$2000,5,FALSE))=TRUE,0,VLOOKUP("RIC"&amp;$C715,ESTR_PREC_SP!$A$2:$G$2000,5,FALSE))</f>
        <v>0</v>
      </c>
      <c r="AB715" s="520"/>
      <c r="AC715" s="520"/>
      <c r="AD715" s="520"/>
      <c r="AE715" s="269">
        <f t="shared" si="132"/>
        <v>0</v>
      </c>
      <c r="AF715" s="520"/>
      <c r="AG715" s="520"/>
      <c r="AH715" s="520"/>
      <c r="AI715" s="520"/>
      <c r="AJ715" s="526">
        <f t="shared" si="133"/>
        <v>0</v>
      </c>
      <c r="AK715" s="526">
        <f t="shared" si="134"/>
        <v>0</v>
      </c>
      <c r="AL715" s="520"/>
      <c r="AM715" s="520"/>
      <c r="AX715" s="211"/>
      <c r="AY715" s="211"/>
      <c r="AZ715" s="211"/>
      <c r="BA715" s="211"/>
      <c r="BB715" s="211"/>
      <c r="BC715" s="211"/>
    </row>
    <row r="716" spans="2:55" s="204" customFormat="1" x14ac:dyDescent="0.25">
      <c r="B716" s="246"/>
      <c r="C716" s="287" t="s">
        <v>1727</v>
      </c>
      <c r="D716" s="274" t="s">
        <v>3795</v>
      </c>
      <c r="E716" s="274"/>
      <c r="F716" s="274"/>
      <c r="G716" s="283"/>
      <c r="H716" s="266"/>
      <c r="I716" s="274"/>
      <c r="J716" s="281"/>
      <c r="K716" s="281"/>
      <c r="L716" s="379" t="s">
        <v>1728</v>
      </c>
      <c r="M716" s="284" t="s">
        <v>2962</v>
      </c>
      <c r="N716" s="272">
        <f>SUM(N717:N720)</f>
        <v>0</v>
      </c>
      <c r="O716" s="272">
        <f>SUM(O717:O720)</f>
        <v>0</v>
      </c>
      <c r="P716" s="378">
        <f t="shared" si="131"/>
        <v>0</v>
      </c>
      <c r="Q716" s="272">
        <f t="shared" ref="Q716:AD716" si="137">SUM(Q717:Q720)</f>
        <v>0</v>
      </c>
      <c r="R716" s="272">
        <f t="shared" si="137"/>
        <v>0</v>
      </c>
      <c r="S716" s="272">
        <f t="shared" si="137"/>
        <v>0</v>
      </c>
      <c r="T716" s="272">
        <f t="shared" si="137"/>
        <v>0</v>
      </c>
      <c r="U716" s="272">
        <f t="shared" si="137"/>
        <v>0</v>
      </c>
      <c r="V716" s="272">
        <f t="shared" si="137"/>
        <v>0</v>
      </c>
      <c r="W716" s="272">
        <f t="shared" si="137"/>
        <v>0</v>
      </c>
      <c r="X716" s="272">
        <f t="shared" si="137"/>
        <v>0</v>
      </c>
      <c r="Y716" s="272">
        <f t="shared" si="137"/>
        <v>0</v>
      </c>
      <c r="Z716" s="272">
        <f t="shared" si="137"/>
        <v>0</v>
      </c>
      <c r="AA716" s="272">
        <f t="shared" si="137"/>
        <v>0</v>
      </c>
      <c r="AB716" s="272">
        <f t="shared" si="137"/>
        <v>0</v>
      </c>
      <c r="AC716" s="272">
        <f t="shared" si="137"/>
        <v>0</v>
      </c>
      <c r="AD716" s="272">
        <f t="shared" si="137"/>
        <v>0</v>
      </c>
      <c r="AE716" s="272">
        <f t="shared" si="132"/>
        <v>0</v>
      </c>
      <c r="AF716" s="272">
        <f>SUM(AF717:AF720)</f>
        <v>0</v>
      </c>
      <c r="AG716" s="272">
        <f>SUM(AG717:AG720)</f>
        <v>0</v>
      </c>
      <c r="AH716" s="272">
        <f>SUM(AH717:AH720)</f>
        <v>0</v>
      </c>
      <c r="AI716" s="272">
        <f>SUM(AI717:AI720)</f>
        <v>0</v>
      </c>
      <c r="AJ716" s="537">
        <f t="shared" si="133"/>
        <v>0</v>
      </c>
      <c r="AK716" s="537">
        <f t="shared" si="134"/>
        <v>0</v>
      </c>
      <c r="AL716" s="272">
        <f>SUM(AL717:AL720)</f>
        <v>0</v>
      </c>
      <c r="AM716" s="272">
        <f>SUM(AM717:AM720)</f>
        <v>0</v>
      </c>
      <c r="AX716" s="211"/>
      <c r="AY716" s="211"/>
      <c r="AZ716" s="211"/>
      <c r="BA716" s="211"/>
      <c r="BB716" s="211"/>
      <c r="BC716" s="211"/>
    </row>
    <row r="717" spans="2:55" s="204" customFormat="1" x14ac:dyDescent="0.25">
      <c r="B717" s="246" t="s">
        <v>1729</v>
      </c>
      <c r="C717" s="287" t="s">
        <v>1730</v>
      </c>
      <c r="D717" s="274" t="s">
        <v>3796</v>
      </c>
      <c r="E717" s="274"/>
      <c r="F717" s="274"/>
      <c r="G717" s="283"/>
      <c r="H717" s="266"/>
      <c r="I717" s="274"/>
      <c r="J717" s="281"/>
      <c r="K717" s="281"/>
      <c r="L717" s="97" t="s">
        <v>3797</v>
      </c>
      <c r="M717" s="284" t="s">
        <v>2962</v>
      </c>
      <c r="N717" s="269">
        <f>+R717-AA717</f>
        <v>0</v>
      </c>
      <c r="O717" s="270">
        <f>+Y717-AE717</f>
        <v>0</v>
      </c>
      <c r="P717" s="271">
        <f t="shared" si="131"/>
        <v>0</v>
      </c>
      <c r="Q717" s="520"/>
      <c r="R717" s="354">
        <f>IF(ISERROR(VLOOKUP("RIC"&amp;$C717,ESTR_PREC_SP!$A$2:$G$2000,4,FALSE))=TRUE,0,VLOOKUP("RIC"&amp;$C717,ESTR_PREC_SP!$A$2:$G$2000,4,FALSE))</f>
        <v>0</v>
      </c>
      <c r="S717" s="520"/>
      <c r="T717" s="520"/>
      <c r="U717" s="520"/>
      <c r="V717" s="520"/>
      <c r="W717" s="520"/>
      <c r="X717" s="520"/>
      <c r="Y717" s="269">
        <f>+R717+S717+T717+U717-V717-X717+W717+Q717</f>
        <v>0</v>
      </c>
      <c r="Z717" s="534"/>
      <c r="AA717" s="354">
        <f>IF(ISERROR(VLOOKUP("RIC"&amp;$C717,ESTR_PREC_SP!$A$2:$G$2000,5,FALSE))=TRUE,0,VLOOKUP("RIC"&amp;$C717,ESTR_PREC_SP!$A$2:$G$2000,5,FALSE))</f>
        <v>0</v>
      </c>
      <c r="AB717" s="520"/>
      <c r="AC717" s="520"/>
      <c r="AD717" s="520"/>
      <c r="AE717" s="269">
        <f t="shared" si="132"/>
        <v>0</v>
      </c>
      <c r="AF717" s="520"/>
      <c r="AG717" s="520"/>
      <c r="AH717" s="520"/>
      <c r="AI717" s="520"/>
      <c r="AJ717" s="526">
        <f t="shared" si="133"/>
        <v>0</v>
      </c>
      <c r="AK717" s="526">
        <f t="shared" si="134"/>
        <v>0</v>
      </c>
      <c r="AL717" s="520"/>
      <c r="AM717" s="520"/>
      <c r="AX717" s="211"/>
      <c r="AY717" s="211"/>
      <c r="AZ717" s="211"/>
      <c r="BA717" s="211"/>
      <c r="BB717" s="211"/>
      <c r="BC717" s="211"/>
    </row>
    <row r="718" spans="2:55" s="204" customFormat="1" hidden="1" x14ac:dyDescent="0.25">
      <c r="B718" s="246" t="s">
        <v>1732</v>
      </c>
      <c r="C718" s="287" t="s">
        <v>1733</v>
      </c>
      <c r="D718" s="274" t="s">
        <v>3798</v>
      </c>
      <c r="E718" s="274"/>
      <c r="F718" s="274"/>
      <c r="G718" s="283"/>
      <c r="H718" s="266"/>
      <c r="I718" s="274"/>
      <c r="J718" s="281"/>
      <c r="K718" s="281"/>
      <c r="L718" s="97" t="s">
        <v>1734</v>
      </c>
      <c r="M718" s="284" t="s">
        <v>2962</v>
      </c>
      <c r="N718" s="269">
        <f>+R718-AA718</f>
        <v>0</v>
      </c>
      <c r="O718" s="270">
        <f>+Y718-AE718</f>
        <v>0</v>
      </c>
      <c r="P718" s="271">
        <f t="shared" si="131"/>
        <v>0</v>
      </c>
      <c r="Q718" s="520"/>
      <c r="R718" s="354">
        <f>IF(ISERROR(VLOOKUP("RIC"&amp;$C718,ESTR_PREC_SP!$A$2:$G$2000,4,FALSE))=TRUE,0,VLOOKUP("RIC"&amp;$C718,ESTR_PREC_SP!$A$2:$G$2000,4,FALSE))+AA718</f>
        <v>0</v>
      </c>
      <c r="S718" s="520"/>
      <c r="T718" s="520"/>
      <c r="U718" s="520"/>
      <c r="V718" s="520"/>
      <c r="W718" s="520"/>
      <c r="X718" s="520"/>
      <c r="Y718" s="269">
        <f>+R718+S718+T718+U718-V718-X718+W718+Q718</f>
        <v>0</v>
      </c>
      <c r="Z718" s="534"/>
      <c r="AA718" s="354">
        <f>IF(ISERROR(VLOOKUP("RIC"&amp;$C718,ESTR_PREC_SP!$A$2:$G$2000,5,FALSE))=TRUE,0,VLOOKUP("RIC"&amp;$C718,ESTR_PREC_SP!$A$2:$G$2000,5,FALSE))</f>
        <v>0</v>
      </c>
      <c r="AB718" s="520"/>
      <c r="AC718" s="520"/>
      <c r="AD718" s="520"/>
      <c r="AE718" s="269">
        <f t="shared" si="132"/>
        <v>0</v>
      </c>
      <c r="AF718" s="520"/>
      <c r="AG718" s="520"/>
      <c r="AH718" s="520"/>
      <c r="AI718" s="520"/>
      <c r="AJ718" s="526">
        <f t="shared" si="133"/>
        <v>0</v>
      </c>
      <c r="AK718" s="526">
        <f t="shared" si="134"/>
        <v>0</v>
      </c>
      <c r="AL718" s="520"/>
      <c r="AM718" s="520"/>
      <c r="AX718" s="211"/>
      <c r="AY718" s="211"/>
      <c r="AZ718" s="211"/>
      <c r="BA718" s="211"/>
      <c r="BB718" s="211"/>
      <c r="BC718" s="211"/>
    </row>
    <row r="719" spans="2:55" s="204" customFormat="1" x14ac:dyDescent="0.25">
      <c r="B719" s="246" t="s">
        <v>1735</v>
      </c>
      <c r="C719" s="287" t="s">
        <v>1736</v>
      </c>
      <c r="D719" s="274" t="s">
        <v>3799</v>
      </c>
      <c r="E719" s="274"/>
      <c r="F719" s="274"/>
      <c r="G719" s="283"/>
      <c r="H719" s="266"/>
      <c r="I719" s="274"/>
      <c r="J719" s="281"/>
      <c r="K719" s="281"/>
      <c r="L719" s="97" t="s">
        <v>3800</v>
      </c>
      <c r="M719" s="284" t="s">
        <v>2962</v>
      </c>
      <c r="N719" s="269">
        <f>+R719-AA719</f>
        <v>0</v>
      </c>
      <c r="O719" s="270">
        <f>+Y719-AE719</f>
        <v>0</v>
      </c>
      <c r="P719" s="271">
        <f t="shared" si="131"/>
        <v>0</v>
      </c>
      <c r="Q719" s="520"/>
      <c r="R719" s="354">
        <f>IF(ISERROR(VLOOKUP("RIC"&amp;$C719,ESTR_PREC_SP!$A$2:$G$2000,4,FALSE))=TRUE,0,VLOOKUP("RIC"&amp;$C719,ESTR_PREC_SP!$A$2:$G$2000,4,FALSE))</f>
        <v>0</v>
      </c>
      <c r="S719" s="520"/>
      <c r="T719" s="520"/>
      <c r="U719" s="520"/>
      <c r="V719" s="520"/>
      <c r="W719" s="520"/>
      <c r="X719" s="520"/>
      <c r="Y719" s="269">
        <f>+R719+S719+T719+U719-V719-X719+W719+Q719</f>
        <v>0</v>
      </c>
      <c r="Z719" s="534"/>
      <c r="AA719" s="354">
        <f>IF(ISERROR(VLOOKUP("RIC"&amp;$C719,ESTR_PREC_SP!$A$2:$G$2000,5,FALSE))=TRUE,0,VLOOKUP("RIC"&amp;$C719,ESTR_PREC_SP!$A$2:$G$2000,5,FALSE))</f>
        <v>0</v>
      </c>
      <c r="AB719" s="520"/>
      <c r="AC719" s="520"/>
      <c r="AD719" s="520"/>
      <c r="AE719" s="269">
        <f t="shared" si="132"/>
        <v>0</v>
      </c>
      <c r="AF719" s="520"/>
      <c r="AG719" s="520"/>
      <c r="AH719" s="520"/>
      <c r="AI719" s="520"/>
      <c r="AJ719" s="526">
        <f t="shared" si="133"/>
        <v>0</v>
      </c>
      <c r="AK719" s="526">
        <f t="shared" si="134"/>
        <v>0</v>
      </c>
      <c r="AL719" s="520"/>
      <c r="AM719" s="520"/>
      <c r="AX719" s="211"/>
      <c r="AY719" s="211"/>
      <c r="AZ719" s="211"/>
      <c r="BA719" s="211"/>
      <c r="BB719" s="211"/>
      <c r="BC719" s="211"/>
    </row>
    <row r="720" spans="2:55" s="204" customFormat="1" x14ac:dyDescent="0.25">
      <c r="B720" s="661" t="s">
        <v>1738</v>
      </c>
      <c r="C720" s="662" t="s">
        <v>1739</v>
      </c>
      <c r="D720" s="663" t="s">
        <v>3801</v>
      </c>
      <c r="E720" s="663"/>
      <c r="F720" s="663"/>
      <c r="G720" s="664"/>
      <c r="H720" s="665"/>
      <c r="I720" s="663"/>
      <c r="J720" s="666"/>
      <c r="K720" s="666"/>
      <c r="L720" s="97" t="s">
        <v>3802</v>
      </c>
      <c r="M720" s="284" t="s">
        <v>2962</v>
      </c>
      <c r="N720" s="269">
        <f>+R720-AA720</f>
        <v>0</v>
      </c>
      <c r="O720" s="270">
        <f>+Y720-AE720</f>
        <v>0</v>
      </c>
      <c r="P720" s="271">
        <f t="shared" si="131"/>
        <v>0</v>
      </c>
      <c r="Q720" s="520"/>
      <c r="R720" s="354">
        <f>IF(ISERROR(VLOOKUP("RIC"&amp;$C720,ESTR_PREC_SP!$A$2:$G$2000,4,FALSE))=TRUE,0,VLOOKUP("RIC"&amp;$C720,ESTR_PREC_SP!$A$2:$G$2000,4,FALSE))</f>
        <v>0</v>
      </c>
      <c r="S720" s="520"/>
      <c r="T720" s="520"/>
      <c r="U720" s="520"/>
      <c r="V720" s="520"/>
      <c r="W720" s="520"/>
      <c r="X720" s="520"/>
      <c r="Y720" s="269">
        <f>+R720+S720+T720+U720-V720-X720+W720+Q720</f>
        <v>0</v>
      </c>
      <c r="Z720" s="534"/>
      <c r="AA720" s="354">
        <f>IF(ISERROR(VLOOKUP("RIC"&amp;$C720,ESTR_PREC_SP!$A$2:$G$2000,5,FALSE))=TRUE,0,VLOOKUP("RIC"&amp;$C720,ESTR_PREC_SP!$A$2:$G$2000,5,FALSE))</f>
        <v>0</v>
      </c>
      <c r="AB720" s="520"/>
      <c r="AC720" s="520"/>
      <c r="AD720" s="520"/>
      <c r="AE720" s="269">
        <f t="shared" si="132"/>
        <v>0</v>
      </c>
      <c r="AF720" s="520"/>
      <c r="AG720" s="520"/>
      <c r="AH720" s="520"/>
      <c r="AI720" s="520"/>
      <c r="AJ720" s="526">
        <f t="shared" si="133"/>
        <v>0</v>
      </c>
      <c r="AK720" s="526">
        <f t="shared" si="134"/>
        <v>0</v>
      </c>
      <c r="AL720" s="520"/>
      <c r="AM720" s="520"/>
      <c r="AX720" s="211"/>
      <c r="AY720" s="211"/>
      <c r="AZ720" s="211"/>
      <c r="BA720" s="211"/>
      <c r="BB720" s="211"/>
      <c r="BC720" s="211"/>
    </row>
    <row r="721" spans="1:55" s="204" customFormat="1" ht="25.5" customHeight="1" x14ac:dyDescent="0.25">
      <c r="A721" s="535" t="s">
        <v>3681</v>
      </c>
      <c r="B721" s="536" t="s">
        <v>1741</v>
      </c>
      <c r="C721" s="536" t="s">
        <v>1742</v>
      </c>
      <c r="D721" s="536"/>
      <c r="E721" s="536"/>
      <c r="F721" s="536"/>
      <c r="G721" s="536"/>
      <c r="H721" s="536"/>
      <c r="I721" s="536"/>
      <c r="J721" s="536"/>
      <c r="K721" s="536"/>
      <c r="L721" s="536" t="s">
        <v>3803</v>
      </c>
      <c r="M721" s="284" t="s">
        <v>2962</v>
      </c>
      <c r="N721" s="269">
        <f>+R721-AA721</f>
        <v>0</v>
      </c>
      <c r="O721" s="270">
        <f>+Y721-AE721</f>
        <v>0</v>
      </c>
      <c r="P721" s="271">
        <f t="shared" si="131"/>
        <v>0</v>
      </c>
      <c r="Q721" s="520"/>
      <c r="R721" s="354">
        <f>IF(ISERROR(VLOOKUP("RIC"&amp;$C721,ESTR_PREC_SP!$A$2:$G$2000,4,FALSE))=TRUE,0,VLOOKUP("RIC"&amp;$C721,ESTR_PREC_SP!$A$2:$G$2000,4,FALSE))</f>
        <v>0</v>
      </c>
      <c r="S721" s="520"/>
      <c r="T721" s="520"/>
      <c r="U721" s="520"/>
      <c r="V721" s="520"/>
      <c r="W721" s="520"/>
      <c r="X721" s="520"/>
      <c r="Y721" s="269">
        <f>+R721+S721+T721+U721-V721-X721+W721+Q721</f>
        <v>0</v>
      </c>
      <c r="Z721" s="534"/>
      <c r="AA721" s="354">
        <f>IF(ISERROR(VLOOKUP("RIC"&amp;$C721,ESTR_PREC_SP!$A$2:$G$2000,5,FALSE))=TRUE,0,VLOOKUP("RIC"&amp;$C721,ESTR_PREC_SP!$A$2:$G$2000,5,FALSE))</f>
        <v>0</v>
      </c>
      <c r="AB721" s="520"/>
      <c r="AC721" s="520"/>
      <c r="AD721" s="520"/>
      <c r="AE721" s="269">
        <f t="shared" si="132"/>
        <v>0</v>
      </c>
      <c r="AF721" s="520"/>
      <c r="AG721" s="520"/>
      <c r="AH721" s="520"/>
      <c r="AI721" s="520"/>
      <c r="AJ721" s="526">
        <f t="shared" si="133"/>
        <v>0</v>
      </c>
      <c r="AK721" s="526">
        <f t="shared" si="134"/>
        <v>0</v>
      </c>
      <c r="AL721" s="520"/>
      <c r="AM721" s="520"/>
      <c r="AX721" s="211"/>
      <c r="AY721" s="211"/>
      <c r="AZ721" s="211"/>
      <c r="BA721" s="211"/>
      <c r="BB721" s="211"/>
      <c r="BC721" s="211"/>
    </row>
    <row r="722" spans="1:55" s="204" customFormat="1" ht="26.25" x14ac:dyDescent="0.25">
      <c r="A722" s="535" t="s">
        <v>1745</v>
      </c>
      <c r="B722" s="536" t="s">
        <v>1746</v>
      </c>
      <c r="C722" s="536" t="s">
        <v>1747</v>
      </c>
      <c r="D722" s="536"/>
      <c r="E722" s="536"/>
      <c r="F722" s="536"/>
      <c r="G722" s="536"/>
      <c r="H722" s="536"/>
      <c r="I722" s="536"/>
      <c r="J722" s="536"/>
      <c r="K722" s="536"/>
      <c r="L722" s="536" t="s">
        <v>1748</v>
      </c>
      <c r="M722" s="284" t="s">
        <v>2962</v>
      </c>
      <c r="N722" s="272">
        <f>SUM(N723:N724)</f>
        <v>0</v>
      </c>
      <c r="O722" s="272">
        <f>SUM(O723:O724)</f>
        <v>0</v>
      </c>
      <c r="P722" s="378">
        <f t="shared" si="131"/>
        <v>0</v>
      </c>
      <c r="Q722" s="272">
        <f t="shared" ref="Q722:AD722" si="138">SUM(Q723:Q724)</f>
        <v>0</v>
      </c>
      <c r="R722" s="272">
        <f t="shared" si="138"/>
        <v>0</v>
      </c>
      <c r="S722" s="272">
        <f t="shared" si="138"/>
        <v>0</v>
      </c>
      <c r="T722" s="272">
        <f t="shared" si="138"/>
        <v>0</v>
      </c>
      <c r="U722" s="272">
        <f t="shared" si="138"/>
        <v>0</v>
      </c>
      <c r="V722" s="272">
        <f t="shared" si="138"/>
        <v>0</v>
      </c>
      <c r="W722" s="272">
        <f t="shared" si="138"/>
        <v>0</v>
      </c>
      <c r="X722" s="272">
        <f t="shared" si="138"/>
        <v>0</v>
      </c>
      <c r="Y722" s="272">
        <f t="shared" si="138"/>
        <v>0</v>
      </c>
      <c r="Z722" s="272">
        <f t="shared" si="138"/>
        <v>0</v>
      </c>
      <c r="AA722" s="272">
        <f t="shared" si="138"/>
        <v>0</v>
      </c>
      <c r="AB722" s="272">
        <f t="shared" si="138"/>
        <v>0</v>
      </c>
      <c r="AC722" s="272">
        <f t="shared" si="138"/>
        <v>0</v>
      </c>
      <c r="AD722" s="272">
        <f t="shared" si="138"/>
        <v>0</v>
      </c>
      <c r="AE722" s="272">
        <f t="shared" si="132"/>
        <v>0</v>
      </c>
      <c r="AF722" s="272">
        <f t="shared" ref="AF722:AM722" si="139">SUM(AF723:AF724)</f>
        <v>0</v>
      </c>
      <c r="AG722" s="272">
        <f t="shared" si="139"/>
        <v>0</v>
      </c>
      <c r="AH722" s="272">
        <f t="shared" si="139"/>
        <v>0</v>
      </c>
      <c r="AI722" s="272">
        <f t="shared" si="139"/>
        <v>0</v>
      </c>
      <c r="AJ722" s="272">
        <f t="shared" si="139"/>
        <v>0</v>
      </c>
      <c r="AK722" s="272">
        <f t="shared" si="139"/>
        <v>0</v>
      </c>
      <c r="AL722" s="272">
        <f t="shared" si="139"/>
        <v>0</v>
      </c>
      <c r="AM722" s="272">
        <f t="shared" si="139"/>
        <v>0</v>
      </c>
      <c r="AX722" s="211"/>
      <c r="AY722" s="211"/>
      <c r="AZ722" s="211"/>
      <c r="BA722" s="211"/>
      <c r="BB722" s="211"/>
      <c r="BC722" s="211"/>
    </row>
    <row r="723" spans="1:55" s="204" customFormat="1" ht="26.25" x14ac:dyDescent="0.25">
      <c r="A723" s="535" t="s">
        <v>3681</v>
      </c>
      <c r="B723" s="536" t="s">
        <v>1749</v>
      </c>
      <c r="C723" s="536" t="s">
        <v>1750</v>
      </c>
      <c r="D723" s="536"/>
      <c r="E723" s="536"/>
      <c r="F723" s="536"/>
      <c r="G723" s="536"/>
      <c r="H723" s="536"/>
      <c r="I723" s="536"/>
      <c r="J723" s="536"/>
      <c r="K723" s="536"/>
      <c r="L723" s="536" t="s">
        <v>1752</v>
      </c>
      <c r="M723" s="284" t="s">
        <v>2962</v>
      </c>
      <c r="N723" s="269">
        <f>+R723-AA723</f>
        <v>0</v>
      </c>
      <c r="O723" s="270">
        <f>+Y723-AE723</f>
        <v>0</v>
      </c>
      <c r="P723" s="271">
        <f t="shared" si="131"/>
        <v>0</v>
      </c>
      <c r="Q723" s="520"/>
      <c r="R723" s="354">
        <f>IF(ISERROR(VLOOKUP("RIC"&amp;$C723,ESTR_PREC_SP!$A$2:$G$2000,4,FALSE))=TRUE,0,VLOOKUP("RIC"&amp;$C723,ESTR_PREC_SP!$A$2:$G$2000,4,FALSE))</f>
        <v>0</v>
      </c>
      <c r="S723" s="520"/>
      <c r="T723" s="520"/>
      <c r="U723" s="520"/>
      <c r="V723" s="520"/>
      <c r="W723" s="520"/>
      <c r="X723" s="520"/>
      <c r="Y723" s="269">
        <f>+R723+S723+T723+U723-V723-X723+W723+Q723</f>
        <v>0</v>
      </c>
      <c r="Z723" s="534"/>
      <c r="AA723" s="354">
        <f>IF(ISERROR(VLOOKUP("RIC"&amp;$C723,ESTR_PREC_SP!$A$2:$G$2000,5,FALSE))=TRUE,0,VLOOKUP("RIC"&amp;$C723,ESTR_PREC_SP!$A$2:$G$2000,5,FALSE))</f>
        <v>0</v>
      </c>
      <c r="AB723" s="520"/>
      <c r="AC723" s="520"/>
      <c r="AD723" s="520"/>
      <c r="AE723" s="269">
        <f t="shared" si="132"/>
        <v>0</v>
      </c>
      <c r="AF723" s="520"/>
      <c r="AG723" s="520"/>
      <c r="AH723" s="520"/>
      <c r="AI723" s="520"/>
      <c r="AJ723" s="526">
        <f>+Y723-SUM(AF723:AI723)</f>
        <v>0</v>
      </c>
      <c r="AK723" s="526">
        <f>+Y723-AE723-AL723-AM723</f>
        <v>0</v>
      </c>
      <c r="AL723" s="520"/>
      <c r="AM723" s="520"/>
      <c r="AX723" s="211"/>
      <c r="AY723" s="211"/>
      <c r="AZ723" s="211"/>
      <c r="BA723" s="211"/>
      <c r="BB723" s="211"/>
      <c r="BC723" s="211"/>
    </row>
    <row r="724" spans="1:55" s="204" customFormat="1" x14ac:dyDescent="0.25">
      <c r="A724" s="535" t="s">
        <v>3681</v>
      </c>
      <c r="B724" s="536" t="s">
        <v>1753</v>
      </c>
      <c r="C724" s="536" t="s">
        <v>1754</v>
      </c>
      <c r="D724" s="536"/>
      <c r="E724" s="536"/>
      <c r="F724" s="536"/>
      <c r="G724" s="536"/>
      <c r="H724" s="536"/>
      <c r="I724" s="536"/>
      <c r="J724" s="536"/>
      <c r="K724" s="536"/>
      <c r="L724" s="536" t="s">
        <v>1756</v>
      </c>
      <c r="M724" s="284" t="s">
        <v>2962</v>
      </c>
      <c r="N724" s="269">
        <f>+R724-AA724</f>
        <v>0</v>
      </c>
      <c r="O724" s="270">
        <f>+Y724-AE724</f>
        <v>0</v>
      </c>
      <c r="P724" s="271">
        <f t="shared" si="131"/>
        <v>0</v>
      </c>
      <c r="Q724" s="520"/>
      <c r="R724" s="354">
        <f>IF(ISERROR(VLOOKUP("RIC"&amp;$C724,ESTR_PREC_SP!$A$2:$G$2000,4,FALSE))=TRUE,0,VLOOKUP("RIC"&amp;$C724,ESTR_PREC_SP!$A$2:$G$2000,4,FALSE))</f>
        <v>0</v>
      </c>
      <c r="S724" s="520"/>
      <c r="T724" s="520"/>
      <c r="U724" s="520"/>
      <c r="V724" s="520"/>
      <c r="W724" s="520"/>
      <c r="X724" s="520"/>
      <c r="Y724" s="269">
        <f>+R724+S724+T724+U724-V724-X724+W724+Q724</f>
        <v>0</v>
      </c>
      <c r="Z724" s="534"/>
      <c r="AA724" s="354">
        <f>IF(ISERROR(VLOOKUP("RIC"&amp;$C724,ESTR_PREC_SP!$A$2:$G$2000,5,FALSE))=TRUE,0,VLOOKUP("RIC"&amp;$C724,ESTR_PREC_SP!$A$2:$G$2000,5,FALSE))</f>
        <v>0</v>
      </c>
      <c r="AB724" s="520"/>
      <c r="AC724" s="520"/>
      <c r="AD724" s="520"/>
      <c r="AE724" s="269">
        <f t="shared" si="132"/>
        <v>0</v>
      </c>
      <c r="AF724" s="520"/>
      <c r="AG724" s="520"/>
      <c r="AH724" s="520"/>
      <c r="AI724" s="520"/>
      <c r="AJ724" s="526">
        <f>+Y724-SUM(AF724:AI724)</f>
        <v>0</v>
      </c>
      <c r="AK724" s="526">
        <f>+Y724-AE724-AL724-AM724</f>
        <v>0</v>
      </c>
      <c r="AL724" s="520"/>
      <c r="AM724" s="520"/>
      <c r="AX724" s="211"/>
      <c r="AY724" s="211"/>
      <c r="AZ724" s="211"/>
      <c r="BA724" s="211"/>
      <c r="BB724" s="211"/>
      <c r="BC724" s="211"/>
    </row>
    <row r="725" spans="1:55" s="204" customFormat="1" x14ac:dyDescent="0.25"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</row>
    <row r="726" spans="1:55" s="204" customFormat="1" x14ac:dyDescent="0.25">
      <c r="B726" s="230"/>
      <c r="C726" s="230"/>
      <c r="D726" s="230"/>
      <c r="E726" s="230"/>
      <c r="F726" s="230"/>
      <c r="G726" s="230"/>
      <c r="H726" s="231"/>
      <c r="I726" s="230"/>
      <c r="J726" s="230"/>
      <c r="K726" s="230"/>
      <c r="L726" s="232"/>
      <c r="M726" s="211"/>
      <c r="N726" s="254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</row>
    <row r="727" spans="1:55" s="204" customFormat="1" x14ac:dyDescent="0.25">
      <c r="B727" s="246" t="s">
        <v>1757</v>
      </c>
      <c r="C727" s="246" t="s">
        <v>1758</v>
      </c>
      <c r="D727" s="247" t="s">
        <v>3804</v>
      </c>
      <c r="E727" s="247"/>
      <c r="F727" s="247"/>
      <c r="G727" s="247"/>
      <c r="H727" s="248"/>
      <c r="I727" s="247"/>
      <c r="J727" s="247"/>
      <c r="K727" s="249"/>
      <c r="L727" s="250" t="s">
        <v>1759</v>
      </c>
      <c r="M727" s="251" t="s">
        <v>2962</v>
      </c>
      <c r="N727" s="252">
        <f>SUM(N730:N733)</f>
        <v>0</v>
      </c>
      <c r="O727" s="252">
        <f>SUM(O730:O733)</f>
        <v>0</v>
      </c>
      <c r="P727" s="253">
        <f>+O727-N727</f>
        <v>0</v>
      </c>
      <c r="Q727" s="252">
        <f t="shared" ref="Q727:AC727" si="140">SUM(Q730:Q733)</f>
        <v>0</v>
      </c>
      <c r="R727" s="252">
        <f t="shared" si="140"/>
        <v>0</v>
      </c>
      <c r="S727" s="252">
        <f t="shared" si="140"/>
        <v>0</v>
      </c>
      <c r="T727" s="252">
        <f t="shared" si="140"/>
        <v>0</v>
      </c>
      <c r="U727" s="252">
        <f t="shared" si="140"/>
        <v>0</v>
      </c>
      <c r="V727" s="252">
        <f t="shared" si="140"/>
        <v>0</v>
      </c>
      <c r="W727" s="252">
        <f t="shared" si="140"/>
        <v>0</v>
      </c>
      <c r="X727" s="252">
        <f t="shared" si="140"/>
        <v>0</v>
      </c>
      <c r="Y727" s="252">
        <f t="shared" si="140"/>
        <v>0</v>
      </c>
      <c r="Z727" s="252">
        <f t="shared" si="140"/>
        <v>0</v>
      </c>
      <c r="AA727" s="252">
        <f t="shared" si="140"/>
        <v>0</v>
      </c>
      <c r="AB727" s="252">
        <f t="shared" si="140"/>
        <v>0</v>
      </c>
      <c r="AC727" s="252">
        <f t="shared" si="140"/>
        <v>0</v>
      </c>
    </row>
    <row r="728" spans="1:55" s="204" customFormat="1" x14ac:dyDescent="0.25">
      <c r="B728" s="230"/>
      <c r="C728" s="230"/>
      <c r="D728" s="230"/>
      <c r="E728" s="230"/>
      <c r="F728" s="230"/>
      <c r="G728" s="230"/>
      <c r="H728" s="231"/>
      <c r="I728" s="230"/>
      <c r="J728" s="230"/>
      <c r="K728" s="230"/>
      <c r="L728" s="420"/>
      <c r="M728" s="211"/>
      <c r="N728" s="254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</row>
    <row r="729" spans="1:55" s="204" customFormat="1" ht="63.75" x14ac:dyDescent="0.25">
      <c r="B729" s="260" t="s">
        <v>2968</v>
      </c>
      <c r="C729" s="260" t="s">
        <v>2969</v>
      </c>
      <c r="D729" s="206" t="s">
        <v>72</v>
      </c>
      <c r="E729" s="206"/>
      <c r="F729" s="206"/>
      <c r="G729" s="207"/>
      <c r="H729" s="207"/>
      <c r="I729" s="207"/>
      <c r="J729" s="207" t="s">
        <v>2957</v>
      </c>
      <c r="K729" s="206" t="s">
        <v>82</v>
      </c>
      <c r="L729" s="261" t="s">
        <v>3670</v>
      </c>
      <c r="M729" s="256"/>
      <c r="N729" s="256" t="str">
        <f>N$15</f>
        <v>Valore netto al 31/12/2019</v>
      </c>
      <c r="O729" s="256" t="str">
        <f>O$15</f>
        <v>Valore netto al 31/12/2020</v>
      </c>
      <c r="P729" s="256" t="str">
        <f>P$15</f>
        <v>Variazione</v>
      </c>
      <c r="Q729" s="262" t="s">
        <v>2971</v>
      </c>
      <c r="R729" s="346" t="str">
        <f>"Costo storico al 31/12/"&amp;Info!$B$3-1</f>
        <v>Costo storico al 31/12/2019</v>
      </c>
      <c r="S729" s="346" t="s">
        <v>2972</v>
      </c>
      <c r="T729" s="346" t="s">
        <v>2973</v>
      </c>
      <c r="U729" s="346" t="s">
        <v>2974</v>
      </c>
      <c r="V729" s="346" t="s">
        <v>3517</v>
      </c>
      <c r="W729" s="262" t="s">
        <v>2975</v>
      </c>
      <c r="X729" s="346" t="s">
        <v>2976</v>
      </c>
      <c r="Y729" s="346" t="s">
        <v>3518</v>
      </c>
      <c r="Z729" s="346" t="s">
        <v>2979</v>
      </c>
      <c r="AA729" s="346" t="s">
        <v>3519</v>
      </c>
      <c r="AB729" s="346" t="s">
        <v>2983</v>
      </c>
      <c r="AC729" s="346" t="s">
        <v>3520</v>
      </c>
    </row>
    <row r="730" spans="1:55" s="204" customFormat="1" x14ac:dyDescent="0.25">
      <c r="B730" s="246" t="s">
        <v>1760</v>
      </c>
      <c r="C730" s="284" t="s">
        <v>1761</v>
      </c>
      <c r="D730" s="274" t="s">
        <v>3805</v>
      </c>
      <c r="E730" s="274"/>
      <c r="F730" s="274"/>
      <c r="G730" s="283"/>
      <c r="H730" s="266"/>
      <c r="I730" s="274"/>
      <c r="J730" s="281"/>
      <c r="K730" s="281"/>
      <c r="L730" s="295" t="s">
        <v>3806</v>
      </c>
      <c r="M730" s="284" t="s">
        <v>2962</v>
      </c>
      <c r="N730" s="270">
        <f>+V730</f>
        <v>0</v>
      </c>
      <c r="O730" s="270">
        <f>+AC730</f>
        <v>0</v>
      </c>
      <c r="P730" s="271">
        <f>+O730-N730</f>
        <v>0</v>
      </c>
      <c r="Q730" s="520"/>
      <c r="R730" s="354">
        <f>IF(ISERROR(VLOOKUP("RIC"&amp;$C730,ESTR_PREC_SP!$A$2:$G$2000,4,FALSE))=TRUE,0,VLOOKUP("RIC"&amp;$C730,ESTR_PREC_SP!$A$2:$G$2000,4,FALSE))</f>
        <v>0</v>
      </c>
      <c r="S730" s="538"/>
      <c r="T730" s="538"/>
      <c r="U730" s="538"/>
      <c r="V730" s="526">
        <f>+R730+S730+T730-U730</f>
        <v>0</v>
      </c>
      <c r="W730" s="520"/>
      <c r="X730" s="529">
        <f>+Dettaglio_SP_Ric!I276</f>
        <v>0</v>
      </c>
      <c r="Y730" s="529">
        <f>+Dettaglio_SP_Ric!J276</f>
        <v>0</v>
      </c>
      <c r="Z730" s="529">
        <f>+Dettaglio_SP_Ric!K276</f>
        <v>0</v>
      </c>
      <c r="AA730" s="529">
        <f>+Dettaglio_SP_Ric!L276</f>
        <v>0</v>
      </c>
      <c r="AB730" s="529">
        <f>+Dettaglio_SP_Ric!M276</f>
        <v>0</v>
      </c>
      <c r="AC730" s="526">
        <f>+V730+X730+Y730-Z730+AA730-AB730+W730+Q730</f>
        <v>0</v>
      </c>
    </row>
    <row r="731" spans="1:55" s="204" customFormat="1" x14ac:dyDescent="0.25">
      <c r="B731" s="246" t="s">
        <v>1765</v>
      </c>
      <c r="C731" s="287" t="s">
        <v>1766</v>
      </c>
      <c r="D731" s="274" t="s">
        <v>3807</v>
      </c>
      <c r="E731" s="274"/>
      <c r="F731" s="274"/>
      <c r="G731" s="283"/>
      <c r="H731" s="266"/>
      <c r="I731" s="274"/>
      <c r="J731" s="281"/>
      <c r="K731" s="281"/>
      <c r="L731" s="295" t="s">
        <v>3808</v>
      </c>
      <c r="M731" s="284" t="s">
        <v>2962</v>
      </c>
      <c r="N731" s="270">
        <f>+V731</f>
        <v>0</v>
      </c>
      <c r="O731" s="270">
        <f>+AC731</f>
        <v>0</v>
      </c>
      <c r="P731" s="271">
        <f>+O731-N731</f>
        <v>0</v>
      </c>
      <c r="Q731" s="520"/>
      <c r="R731" s="354">
        <f>IF(ISERROR(VLOOKUP("RIC"&amp;$C731,ESTR_PREC_SP!$A$2:$G$2000,4,FALSE))=TRUE,0,VLOOKUP("RIC"&amp;$C731,ESTR_PREC_SP!$A$2:$G$2000,4,FALSE))</f>
        <v>0</v>
      </c>
      <c r="S731" s="538"/>
      <c r="T731" s="538"/>
      <c r="U731" s="538"/>
      <c r="V731" s="526">
        <f>+R731+S731+T731-U731</f>
        <v>0</v>
      </c>
      <c r="W731" s="520"/>
      <c r="X731" s="529">
        <f>+Dettaglio_SP_Ric!I289</f>
        <v>0</v>
      </c>
      <c r="Y731" s="529">
        <f>+Dettaglio_SP_Ric!J289</f>
        <v>0</v>
      </c>
      <c r="Z731" s="529">
        <f>+Dettaglio_SP_Ric!K289</f>
        <v>0</v>
      </c>
      <c r="AA731" s="529">
        <f>+Dettaglio_SP_Ric!L289</f>
        <v>0</v>
      </c>
      <c r="AB731" s="529">
        <f>+Dettaglio_SP_Ric!M289</f>
        <v>0</v>
      </c>
      <c r="AC731" s="526">
        <f>+V731+X731+Y731-Z731+AA731-AB731+W731+Q731</f>
        <v>0</v>
      </c>
    </row>
    <row r="732" spans="1:55" s="204" customFormat="1" x14ac:dyDescent="0.25">
      <c r="B732" s="246" t="s">
        <v>1767</v>
      </c>
      <c r="C732" s="284" t="s">
        <v>1768</v>
      </c>
      <c r="D732" s="274" t="s">
        <v>3809</v>
      </c>
      <c r="E732" s="274"/>
      <c r="F732" s="274"/>
      <c r="G732" s="283"/>
      <c r="H732" s="266"/>
      <c r="I732" s="274"/>
      <c r="J732" s="281"/>
      <c r="K732" s="281"/>
      <c r="L732" s="295" t="s">
        <v>3810</v>
      </c>
      <c r="M732" s="284" t="s">
        <v>2962</v>
      </c>
      <c r="N732" s="270">
        <f>+V732</f>
        <v>0</v>
      </c>
      <c r="O732" s="270">
        <f>+AC732</f>
        <v>0</v>
      </c>
      <c r="P732" s="271">
        <f>+O732-N732</f>
        <v>0</v>
      </c>
      <c r="Q732" s="520"/>
      <c r="R732" s="354">
        <f>IF(ISERROR(VLOOKUP("RIC"&amp;$C732,ESTR_PREC_SP!$A$2:$G$2000,4,FALSE))=TRUE,0,VLOOKUP("RIC"&amp;$C732,ESTR_PREC_SP!$A$2:$G$2000,4,FALSE))</f>
        <v>0</v>
      </c>
      <c r="S732" s="538"/>
      <c r="T732" s="538"/>
      <c r="U732" s="538"/>
      <c r="V732" s="526">
        <f>+R732+S732+T732-U732</f>
        <v>0</v>
      </c>
      <c r="W732" s="520"/>
      <c r="X732" s="529">
        <f>+Dettaglio_SP_Ric!I302</f>
        <v>0</v>
      </c>
      <c r="Y732" s="529">
        <f>+Dettaglio_SP_Ric!J302</f>
        <v>0</v>
      </c>
      <c r="Z732" s="529">
        <f>+Dettaglio_SP_Ric!K302</f>
        <v>0</v>
      </c>
      <c r="AA732" s="529">
        <f>+Dettaglio_SP_Ric!L302</f>
        <v>0</v>
      </c>
      <c r="AB732" s="529">
        <f>+Dettaglio_SP_Ric!M302</f>
        <v>0</v>
      </c>
      <c r="AC732" s="526">
        <f>+V732+X732+Y732-Z732+AA732-AB732+W732+Q732</f>
        <v>0</v>
      </c>
    </row>
    <row r="733" spans="1:55" s="204" customFormat="1" x14ac:dyDescent="0.25">
      <c r="B733" s="246" t="s">
        <v>1769</v>
      </c>
      <c r="C733" s="284" t="s">
        <v>1770</v>
      </c>
      <c r="D733" s="274" t="s">
        <v>3811</v>
      </c>
      <c r="E733" s="274"/>
      <c r="F733" s="274"/>
      <c r="G733" s="283"/>
      <c r="H733" s="266"/>
      <c r="I733" s="274"/>
      <c r="J733" s="281"/>
      <c r="K733" s="281"/>
      <c r="L733" s="295" t="s">
        <v>3812</v>
      </c>
      <c r="M733" s="284" t="s">
        <v>2962</v>
      </c>
      <c r="N733" s="270">
        <f>+V733</f>
        <v>0</v>
      </c>
      <c r="O733" s="270">
        <f>+AC733</f>
        <v>0</v>
      </c>
      <c r="P733" s="271">
        <f>+O733-N733</f>
        <v>0</v>
      </c>
      <c r="Q733" s="520"/>
      <c r="R733" s="354">
        <f>IF(ISERROR(VLOOKUP("RIC"&amp;$C733,ESTR_PREC_SP!$A$2:$G$2000,4,FALSE))=TRUE,0,VLOOKUP("RIC"&amp;$C733,ESTR_PREC_SP!$A$2:$G$2000,4,FALSE))</f>
        <v>0</v>
      </c>
      <c r="S733" s="538"/>
      <c r="T733" s="538"/>
      <c r="U733" s="538"/>
      <c r="V733" s="526">
        <f>+R733+S733+T733-U733</f>
        <v>0</v>
      </c>
      <c r="W733" s="520"/>
      <c r="X733" s="527"/>
      <c r="Y733" s="527"/>
      <c r="Z733" s="527"/>
      <c r="AA733" s="527"/>
      <c r="AB733" s="527"/>
      <c r="AC733" s="526">
        <f>+V733+X733+Y733-Z733+AA733-AB733+W733+Q733</f>
        <v>0</v>
      </c>
    </row>
    <row r="734" spans="1:55" s="204" customFormat="1" x14ac:dyDescent="0.25"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344" t="s">
        <v>3813</v>
      </c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</row>
    <row r="735" spans="1:55" s="204" customFormat="1" x14ac:dyDescent="0.25"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32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</row>
    <row r="736" spans="1:55" s="204" customFormat="1" x14ac:dyDescent="0.25">
      <c r="B736" s="246" t="s">
        <v>1775</v>
      </c>
      <c r="C736" s="246" t="s">
        <v>1776</v>
      </c>
      <c r="D736" s="247" t="s">
        <v>3814</v>
      </c>
      <c r="E736" s="247"/>
      <c r="F736" s="247"/>
      <c r="G736" s="247"/>
      <c r="H736" s="248"/>
      <c r="I736" s="247"/>
      <c r="J736" s="247"/>
      <c r="K736" s="249"/>
      <c r="L736" s="250" t="s">
        <v>1777</v>
      </c>
      <c r="M736" s="251" t="s">
        <v>2962</v>
      </c>
      <c r="N736" s="252">
        <f>SUM(N739:N742)</f>
        <v>0</v>
      </c>
      <c r="O736" s="252">
        <f>SUM(O739:O742)</f>
        <v>0</v>
      </c>
      <c r="P736" s="253">
        <f>+O736-N736</f>
        <v>0</v>
      </c>
      <c r="Q736" s="252">
        <f t="shared" ref="Q736:V736" si="141">SUM(Q739:Q742)</f>
        <v>0</v>
      </c>
      <c r="R736" s="252">
        <f t="shared" si="141"/>
        <v>0</v>
      </c>
      <c r="S736" s="252">
        <f t="shared" si="141"/>
        <v>0</v>
      </c>
      <c r="T736" s="252">
        <f t="shared" si="141"/>
        <v>0</v>
      </c>
      <c r="U736" s="252">
        <f t="shared" si="141"/>
        <v>0</v>
      </c>
      <c r="V736" s="252">
        <f t="shared" si="141"/>
        <v>0</v>
      </c>
      <c r="W736" s="211"/>
      <c r="X736" s="211"/>
      <c r="Y736" s="211"/>
      <c r="Z736" s="211"/>
      <c r="AA736" s="211"/>
    </row>
    <row r="737" spans="2:27" s="204" customFormat="1" x14ac:dyDescent="0.25"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32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</row>
    <row r="738" spans="2:27" s="204" customFormat="1" ht="39" customHeight="1" x14ac:dyDescent="0.25">
      <c r="B738" s="260" t="s">
        <v>2968</v>
      </c>
      <c r="C738" s="260" t="s">
        <v>2969</v>
      </c>
      <c r="D738" s="206" t="s">
        <v>72</v>
      </c>
      <c r="E738" s="206"/>
      <c r="F738" s="206"/>
      <c r="G738" s="207"/>
      <c r="H738" s="207"/>
      <c r="I738" s="207"/>
      <c r="J738" s="207" t="s">
        <v>2957</v>
      </c>
      <c r="K738" s="206" t="s">
        <v>82</v>
      </c>
      <c r="L738" s="261" t="s">
        <v>3670</v>
      </c>
      <c r="M738" s="256"/>
      <c r="N738" s="256" t="str">
        <f>N$15</f>
        <v>Valore netto al 31/12/2019</v>
      </c>
      <c r="O738" s="256" t="str">
        <f>O$15</f>
        <v>Valore netto al 31/12/2020</v>
      </c>
      <c r="P738" s="256" t="str">
        <f>P$15</f>
        <v>Variazione</v>
      </c>
      <c r="Q738" s="262" t="s">
        <v>2971</v>
      </c>
      <c r="R738" s="346" t="s">
        <v>3517</v>
      </c>
      <c r="S738" s="346" t="s">
        <v>2972</v>
      </c>
      <c r="T738" s="346" t="s">
        <v>3495</v>
      </c>
      <c r="U738" s="346" t="s">
        <v>3496</v>
      </c>
      <c r="V738" s="346" t="s">
        <v>3815</v>
      </c>
      <c r="W738" s="211"/>
      <c r="X738" s="211"/>
      <c r="Y738" s="211"/>
      <c r="Z738" s="211"/>
      <c r="AA738" s="211"/>
    </row>
    <row r="739" spans="2:27" s="204" customFormat="1" x14ac:dyDescent="0.25">
      <c r="B739" s="246" t="s">
        <v>1778</v>
      </c>
      <c r="C739" s="284" t="s">
        <v>1779</v>
      </c>
      <c r="D739" s="274" t="s">
        <v>3816</v>
      </c>
      <c r="E739" s="274"/>
      <c r="F739" s="274"/>
      <c r="G739" s="283"/>
      <c r="H739" s="266"/>
      <c r="I739" s="274"/>
      <c r="J739" s="281"/>
      <c r="K739" s="281"/>
      <c r="L739" s="421" t="s">
        <v>3817</v>
      </c>
      <c r="M739" s="263" t="s">
        <v>2962</v>
      </c>
      <c r="N739" s="408">
        <f>+R739</f>
        <v>0</v>
      </c>
      <c r="O739" s="408">
        <f>+V739</f>
        <v>0</v>
      </c>
      <c r="P739" s="271">
        <f>+O739-N739</f>
        <v>0</v>
      </c>
      <c r="Q739" s="520"/>
      <c r="R739" s="354">
        <f>IF(ISERROR(VLOOKUP("RIC"&amp;$C739,ESTR_PREC_SP!$A$2:$G$2000,4,FALSE))=TRUE,0,VLOOKUP("RIC"&amp;$C739,ESTR_PREC_SP!$A$2:$G$2000,4,FALSE))</f>
        <v>0</v>
      </c>
      <c r="S739" s="538"/>
      <c r="T739" s="527"/>
      <c r="U739" s="527"/>
      <c r="V739" s="526">
        <f>+R739+S739+T739-U739+Q739</f>
        <v>0</v>
      </c>
      <c r="W739" s="211"/>
      <c r="X739" s="211"/>
      <c r="Y739" s="211"/>
      <c r="Z739" s="211"/>
      <c r="AA739" s="211"/>
    </row>
    <row r="740" spans="2:27" s="204" customFormat="1" x14ac:dyDescent="0.25">
      <c r="B740" s="246" t="s">
        <v>1784</v>
      </c>
      <c r="C740" s="284" t="s">
        <v>1785</v>
      </c>
      <c r="D740" s="274" t="s">
        <v>3818</v>
      </c>
      <c r="E740" s="274"/>
      <c r="F740" s="274"/>
      <c r="G740" s="283"/>
      <c r="H740" s="266"/>
      <c r="I740" s="274"/>
      <c r="J740" s="281"/>
      <c r="K740" s="281"/>
      <c r="L740" s="422" t="s">
        <v>3819</v>
      </c>
      <c r="M740" s="284" t="s">
        <v>2962</v>
      </c>
      <c r="N740" s="408">
        <f>+R740</f>
        <v>0</v>
      </c>
      <c r="O740" s="408">
        <f>+V740</f>
        <v>0</v>
      </c>
      <c r="P740" s="271">
        <f>+O740-N740</f>
        <v>0</v>
      </c>
      <c r="Q740" s="520"/>
      <c r="R740" s="354">
        <f>IF(ISERROR(VLOOKUP("RIC"&amp;$C740,ESTR_PREC_SP!$A$2:$G$2000,4,FALSE))=TRUE,0,VLOOKUP("RIC"&amp;$C740,ESTR_PREC_SP!$A$2:$G$2000,4,FALSE))</f>
        <v>0</v>
      </c>
      <c r="S740" s="538"/>
      <c r="T740" s="527"/>
      <c r="U740" s="527"/>
      <c r="V740" s="526">
        <f>+R740+S740+T740-U740+Q740</f>
        <v>0</v>
      </c>
      <c r="W740" s="211"/>
      <c r="X740" s="211"/>
      <c r="Y740" s="211"/>
      <c r="Z740" s="211"/>
      <c r="AA740" s="211"/>
    </row>
    <row r="741" spans="2:27" s="204" customFormat="1" x14ac:dyDescent="0.25">
      <c r="B741" s="246" t="s">
        <v>1790</v>
      </c>
      <c r="C741" s="287" t="s">
        <v>1791</v>
      </c>
      <c r="D741" s="274" t="s">
        <v>3820</v>
      </c>
      <c r="E741" s="274"/>
      <c r="F741" s="274"/>
      <c r="G741" s="283"/>
      <c r="H741" s="266"/>
      <c r="I741" s="274"/>
      <c r="J741" s="281"/>
      <c r="K741" s="281"/>
      <c r="L741" s="422" t="s">
        <v>3821</v>
      </c>
      <c r="M741" s="284" t="s">
        <v>2962</v>
      </c>
      <c r="N741" s="408">
        <f>+R741</f>
        <v>0</v>
      </c>
      <c r="O741" s="408">
        <f>+V741</f>
        <v>0</v>
      </c>
      <c r="P741" s="271">
        <f>+O741-N741</f>
        <v>0</v>
      </c>
      <c r="Q741" s="520"/>
      <c r="R741" s="354">
        <f>IF(ISERROR(VLOOKUP("RIC"&amp;$C741,ESTR_PREC_SP!$A$2:$G$2000,4,FALSE))=TRUE,0,VLOOKUP("RIC"&amp;$C741,ESTR_PREC_SP!$A$2:$G$2000,4,FALSE))</f>
        <v>0</v>
      </c>
      <c r="S741" s="538"/>
      <c r="T741" s="527"/>
      <c r="U741" s="527"/>
      <c r="V741" s="526">
        <f>+R741+S741+T741-U741+Q741</f>
        <v>0</v>
      </c>
      <c r="W741" s="211"/>
      <c r="X741" s="211"/>
      <c r="Y741" s="211"/>
      <c r="Z741" s="211"/>
      <c r="AA741" s="211"/>
    </row>
    <row r="742" spans="2:27" s="204" customFormat="1" x14ac:dyDescent="0.25">
      <c r="B742" s="246" t="s">
        <v>1796</v>
      </c>
      <c r="C742" s="284" t="s">
        <v>1797</v>
      </c>
      <c r="D742" s="274" t="s">
        <v>3822</v>
      </c>
      <c r="E742" s="274"/>
      <c r="F742" s="274"/>
      <c r="G742" s="283"/>
      <c r="H742" s="266"/>
      <c r="I742" s="274"/>
      <c r="J742" s="281"/>
      <c r="K742" s="281"/>
      <c r="L742" s="422" t="s">
        <v>3823</v>
      </c>
      <c r="M742" s="284" t="s">
        <v>2962</v>
      </c>
      <c r="N742" s="408">
        <f>+R742</f>
        <v>0</v>
      </c>
      <c r="O742" s="408">
        <f>+V742</f>
        <v>0</v>
      </c>
      <c r="P742" s="271">
        <f>+O742-N742</f>
        <v>0</v>
      </c>
      <c r="Q742" s="520"/>
      <c r="R742" s="354">
        <f>IF(ISERROR(VLOOKUP("RIC"&amp;$C742,ESTR_PREC_SP!$A$2:$G$2000,4,FALSE))=TRUE,0,VLOOKUP("RIC"&amp;$C742,ESTR_PREC_SP!$A$2:$G$2000,4,FALSE))</f>
        <v>0</v>
      </c>
      <c r="S742" s="538"/>
      <c r="T742" s="527"/>
      <c r="U742" s="527"/>
      <c r="V742" s="526">
        <f>+R742+S742+T742-U742+Q742</f>
        <v>0</v>
      </c>
      <c r="W742" s="211"/>
      <c r="X742" s="211"/>
      <c r="Y742" s="211"/>
      <c r="Z742" s="211"/>
      <c r="AA742" s="211"/>
    </row>
    <row r="743" spans="2:27" s="204" customFormat="1" ht="26.25" x14ac:dyDescent="0.25">
      <c r="B743" s="230"/>
      <c r="C743" s="230"/>
      <c r="D743" s="230"/>
      <c r="E743" s="230"/>
      <c r="F743" s="230"/>
      <c r="G743" s="230"/>
      <c r="H743" s="231"/>
      <c r="I743" s="230"/>
      <c r="J743" s="230"/>
      <c r="K743" s="230"/>
      <c r="L743" s="232" t="s">
        <v>3824</v>
      </c>
      <c r="M743" s="230"/>
      <c r="N743" s="230"/>
      <c r="O743" s="230"/>
      <c r="P743" s="423"/>
      <c r="Q743" s="213"/>
      <c r="R743" s="213"/>
      <c r="S743" s="211"/>
      <c r="T743" s="211"/>
      <c r="U743" s="211"/>
      <c r="V743" s="211"/>
      <c r="W743" s="211"/>
      <c r="X743" s="211"/>
      <c r="Y743" s="211"/>
      <c r="Z743" s="211"/>
      <c r="AA743" s="211"/>
    </row>
    <row r="744" spans="2:27" s="204" customFormat="1" ht="26.25" x14ac:dyDescent="0.25">
      <c r="B744" s="230"/>
      <c r="C744" s="230"/>
      <c r="D744" s="230"/>
      <c r="E744" s="230"/>
      <c r="F744" s="230"/>
      <c r="G744" s="230"/>
      <c r="H744" s="231"/>
      <c r="I744" s="230"/>
      <c r="J744" s="230"/>
      <c r="K744" s="230"/>
      <c r="L744" s="232" t="s">
        <v>3825</v>
      </c>
      <c r="M744" s="230"/>
      <c r="N744" s="230"/>
      <c r="O744" s="230"/>
      <c r="P744" s="423"/>
      <c r="Q744" s="213"/>
      <c r="R744" s="213"/>
      <c r="S744" s="211"/>
      <c r="T744" s="211"/>
      <c r="U744" s="211"/>
      <c r="V744" s="211"/>
      <c r="W744" s="211"/>
      <c r="X744" s="211"/>
      <c r="Y744" s="211"/>
      <c r="Z744" s="211"/>
      <c r="AA744" s="211"/>
    </row>
    <row r="745" spans="2:27" s="204" customFormat="1" x14ac:dyDescent="0.25">
      <c r="B745" s="230"/>
      <c r="C745" s="230"/>
      <c r="D745" s="230"/>
      <c r="E745" s="230"/>
      <c r="F745" s="230"/>
      <c r="G745" s="230"/>
      <c r="H745" s="231"/>
      <c r="I745" s="230"/>
      <c r="J745" s="230"/>
      <c r="K745" s="230"/>
      <c r="L745" s="299"/>
      <c r="M745" s="384"/>
      <c r="N745" s="384"/>
      <c r="O745" s="384"/>
      <c r="P745" s="384"/>
      <c r="Q745" s="384"/>
      <c r="R745" s="384"/>
      <c r="S745" s="384"/>
      <c r="T745" s="384"/>
      <c r="U745" s="384"/>
      <c r="V745" s="384"/>
      <c r="W745" s="211"/>
      <c r="X745" s="211"/>
      <c r="Y745" s="211"/>
      <c r="Z745" s="211"/>
      <c r="AA745" s="211"/>
    </row>
    <row r="746" spans="2:27" s="204" customFormat="1" x14ac:dyDescent="0.25">
      <c r="B746" s="246" t="s">
        <v>1802</v>
      </c>
      <c r="C746" s="233" t="s">
        <v>1803</v>
      </c>
      <c r="D746" s="234" t="s">
        <v>3826</v>
      </c>
      <c r="E746" s="234"/>
      <c r="F746" s="234"/>
      <c r="G746" s="234"/>
      <c r="H746" s="235"/>
      <c r="I746" s="234"/>
      <c r="J746" s="234"/>
      <c r="K746" s="234"/>
      <c r="L746" s="236" t="s">
        <v>1805</v>
      </c>
      <c r="M746" s="237" t="s">
        <v>2962</v>
      </c>
      <c r="N746" s="238">
        <f>+N748+N758</f>
        <v>0</v>
      </c>
      <c r="O746" s="238">
        <f>+O748+O758</f>
        <v>0</v>
      </c>
      <c r="P746" s="239">
        <f>+O746-N746</f>
        <v>0</v>
      </c>
      <c r="Q746" s="254"/>
      <c r="R746" s="254"/>
      <c r="S746" s="254"/>
      <c r="T746" s="254"/>
      <c r="U746" s="254"/>
      <c r="V746" s="254"/>
      <c r="W746" s="211"/>
      <c r="X746" s="211"/>
      <c r="Y746" s="211"/>
      <c r="Z746" s="211"/>
      <c r="AA746" s="211"/>
    </row>
    <row r="747" spans="2:27" s="204" customFormat="1" x14ac:dyDescent="0.25">
      <c r="B747" s="216"/>
      <c r="C747" s="216"/>
      <c r="D747" s="226"/>
      <c r="E747" s="226"/>
      <c r="F747" s="226"/>
      <c r="G747" s="226"/>
      <c r="H747" s="227"/>
      <c r="I747" s="226"/>
      <c r="J747" s="226"/>
      <c r="K747" s="226"/>
      <c r="L747" s="241"/>
      <c r="M747" s="216"/>
      <c r="N747" s="254"/>
      <c r="O747" s="254"/>
      <c r="P747" s="254"/>
      <c r="Q747" s="254"/>
      <c r="R747" s="254"/>
      <c r="S747" s="254"/>
      <c r="T747" s="254"/>
      <c r="U747" s="254"/>
      <c r="V747" s="254"/>
      <c r="W747" s="211"/>
      <c r="X747" s="211"/>
      <c r="Y747" s="211"/>
      <c r="Z747" s="211"/>
      <c r="AA747" s="211"/>
    </row>
    <row r="748" spans="2:27" s="204" customFormat="1" x14ac:dyDescent="0.25">
      <c r="B748" s="246" t="s">
        <v>1806</v>
      </c>
      <c r="C748" s="246" t="s">
        <v>1807</v>
      </c>
      <c r="D748" s="247" t="s">
        <v>3827</v>
      </c>
      <c r="E748" s="247"/>
      <c r="F748" s="247"/>
      <c r="G748" s="247"/>
      <c r="H748" s="248"/>
      <c r="I748" s="247"/>
      <c r="J748" s="247"/>
      <c r="K748" s="249"/>
      <c r="L748" s="250" t="s">
        <v>1809</v>
      </c>
      <c r="M748" s="251" t="s">
        <v>2962</v>
      </c>
      <c r="N748" s="252">
        <f>+N751+N752</f>
        <v>0</v>
      </c>
      <c r="O748" s="252">
        <f>+O751+O752</f>
        <v>0</v>
      </c>
      <c r="P748" s="253">
        <f>+O748-N748</f>
        <v>0</v>
      </c>
      <c r="Q748" s="252">
        <f>+Q751+Q752</f>
        <v>0</v>
      </c>
      <c r="R748" s="252">
        <f>+R751+R752</f>
        <v>0</v>
      </c>
      <c r="S748" s="252">
        <f>+S751+S752</f>
        <v>0</v>
      </c>
      <c r="T748" s="252">
        <f>+T751+T752</f>
        <v>0</v>
      </c>
      <c r="U748" s="252">
        <f>+U751+U752</f>
        <v>0</v>
      </c>
      <c r="V748" s="211"/>
      <c r="W748" s="211"/>
      <c r="X748" s="211"/>
      <c r="Y748" s="211"/>
      <c r="Z748" s="211"/>
      <c r="AA748" s="211"/>
    </row>
    <row r="749" spans="2:27" s="204" customFormat="1" x14ac:dyDescent="0.25">
      <c r="B749" s="230"/>
      <c r="C749" s="230"/>
      <c r="D749" s="230"/>
      <c r="E749" s="230"/>
      <c r="F749" s="230"/>
      <c r="G749" s="230"/>
      <c r="H749" s="231"/>
      <c r="I749" s="230"/>
      <c r="J749" s="230"/>
      <c r="K749" s="230"/>
      <c r="L749" s="299"/>
      <c r="M749" s="254"/>
      <c r="N749" s="254"/>
      <c r="O749" s="254"/>
      <c r="P749" s="254"/>
      <c r="Q749" s="254"/>
      <c r="R749" s="254"/>
      <c r="T749" s="254"/>
      <c r="U749" s="254"/>
      <c r="V749" s="254"/>
      <c r="W749" s="211"/>
      <c r="X749" s="211"/>
      <c r="Y749" s="211"/>
      <c r="Z749" s="211"/>
      <c r="AA749" s="211"/>
    </row>
    <row r="750" spans="2:27" s="204" customFormat="1" ht="39" customHeight="1" x14ac:dyDescent="0.25">
      <c r="B750" s="260" t="s">
        <v>2968</v>
      </c>
      <c r="C750" s="260" t="s">
        <v>2969</v>
      </c>
      <c r="D750" s="206" t="s">
        <v>72</v>
      </c>
      <c r="E750" s="206"/>
      <c r="F750" s="206"/>
      <c r="G750" s="207"/>
      <c r="H750" s="207"/>
      <c r="I750" s="207"/>
      <c r="J750" s="207" t="s">
        <v>2957</v>
      </c>
      <c r="K750" s="206" t="s">
        <v>82</v>
      </c>
      <c r="L750" s="261" t="s">
        <v>3670</v>
      </c>
      <c r="M750" s="256"/>
      <c r="N750" s="256" t="str">
        <f>N$15</f>
        <v>Valore netto al 31/12/2019</v>
      </c>
      <c r="O750" s="256" t="str">
        <f>O$15</f>
        <v>Valore netto al 31/12/2020</v>
      </c>
      <c r="P750" s="256" t="str">
        <f>P$15</f>
        <v>Variazione</v>
      </c>
      <c r="Q750" s="262" t="s">
        <v>2971</v>
      </c>
      <c r="R750" s="346" t="str">
        <f>+N750</f>
        <v>Valore netto al 31/12/2019</v>
      </c>
      <c r="S750" s="346" t="s">
        <v>2972</v>
      </c>
      <c r="T750" s="346" t="str">
        <f>"Entro 12 mesi ("&amp;Info!B3&amp;")"</f>
        <v>Entro 12 mesi (2020)</v>
      </c>
      <c r="U750" s="346" t="str">
        <f>"Oltre 12 mesi ("&amp;Info!B3&amp;")"</f>
        <v>Oltre 12 mesi (2020)</v>
      </c>
      <c r="V750" s="211"/>
      <c r="W750" s="211"/>
      <c r="X750" s="211"/>
      <c r="Y750" s="211"/>
      <c r="Z750" s="211"/>
      <c r="AA750" s="211"/>
    </row>
    <row r="751" spans="2:27" s="204" customFormat="1" x14ac:dyDescent="0.25">
      <c r="B751" s="246" t="s">
        <v>1810</v>
      </c>
      <c r="C751" s="287" t="s">
        <v>1811</v>
      </c>
      <c r="D751" s="274" t="s">
        <v>3828</v>
      </c>
      <c r="E751" s="274"/>
      <c r="F751" s="274"/>
      <c r="G751" s="283"/>
      <c r="H751" s="266"/>
      <c r="I751" s="274"/>
      <c r="J751" s="281"/>
      <c r="K751" s="281"/>
      <c r="L751" s="424" t="s">
        <v>1813</v>
      </c>
      <c r="M751" s="263" t="s">
        <v>2962</v>
      </c>
      <c r="N751" s="408">
        <f>+R751</f>
        <v>0</v>
      </c>
      <c r="O751" s="408">
        <f>+T751+U751+Q751</f>
        <v>0</v>
      </c>
      <c r="P751" s="271">
        <f>+O751-N751</f>
        <v>0</v>
      </c>
      <c r="Q751" s="527"/>
      <c r="R751" s="354">
        <f>IF(ISERROR(VLOOKUP("RIC"&amp;$C751,ESTR_PREC_SP!$A$2:$G$2000,4,FALSE))=TRUE,0,VLOOKUP("RIC"&amp;$C751,ESTR_PREC_SP!$A$2:$G$2000,4,FALSE))</f>
        <v>0</v>
      </c>
      <c r="S751" s="538"/>
      <c r="T751" s="529">
        <f>+Dettaglio_SP_Ric!H468</f>
        <v>0</v>
      </c>
      <c r="U751" s="529">
        <f>+Dettaglio_SP_Ric!I468</f>
        <v>0</v>
      </c>
      <c r="V751" s="254"/>
      <c r="W751" s="211"/>
      <c r="X751" s="211"/>
      <c r="Y751" s="211"/>
      <c r="Z751" s="211"/>
      <c r="AA751" s="211"/>
    </row>
    <row r="752" spans="2:27" s="204" customFormat="1" x14ac:dyDescent="0.25">
      <c r="B752" s="246" t="s">
        <v>1814</v>
      </c>
      <c r="C752" s="287" t="s">
        <v>1815</v>
      </c>
      <c r="D752" s="274" t="s">
        <v>3829</v>
      </c>
      <c r="E752" s="274"/>
      <c r="F752" s="274"/>
      <c r="G752" s="283"/>
      <c r="H752" s="266"/>
      <c r="I752" s="274"/>
      <c r="J752" s="281"/>
      <c r="K752" s="281"/>
      <c r="L752" s="424" t="s">
        <v>1817</v>
      </c>
      <c r="M752" s="284" t="s">
        <v>2962</v>
      </c>
      <c r="N752" s="378">
        <f>SUM(N753:N755)</f>
        <v>0</v>
      </c>
      <c r="O752" s="378">
        <f>SUM(O753:O755)</f>
        <v>0</v>
      </c>
      <c r="P752" s="378">
        <f>+O752-N752</f>
        <v>0</v>
      </c>
      <c r="Q752" s="378">
        <f>SUM(Q753:Q755)</f>
        <v>0</v>
      </c>
      <c r="R752" s="378">
        <f>SUM(R753:R755)</f>
        <v>0</v>
      </c>
      <c r="S752" s="538"/>
      <c r="T752" s="378">
        <f>SUM(T753:T755)</f>
        <v>0</v>
      </c>
      <c r="U752" s="378">
        <f>SUM(U753:U755)</f>
        <v>0</v>
      </c>
      <c r="V752" s="254"/>
      <c r="W752" s="211"/>
      <c r="X752" s="211"/>
      <c r="Y752" s="211"/>
      <c r="Z752" s="211"/>
      <c r="AA752" s="211"/>
    </row>
    <row r="753" spans="1:27" s="204" customFormat="1" x14ac:dyDescent="0.25">
      <c r="B753" s="246" t="s">
        <v>1818</v>
      </c>
      <c r="C753" s="287" t="s">
        <v>1819</v>
      </c>
      <c r="D753" s="274" t="s">
        <v>3830</v>
      </c>
      <c r="E753" s="274"/>
      <c r="F753" s="274"/>
      <c r="G753" s="283"/>
      <c r="H753" s="266"/>
      <c r="I753" s="274"/>
      <c r="J753" s="281"/>
      <c r="K753" s="281"/>
      <c r="L753" s="425" t="s">
        <v>3831</v>
      </c>
      <c r="M753" s="263" t="s">
        <v>2962</v>
      </c>
      <c r="N753" s="408">
        <f>+R753</f>
        <v>0</v>
      </c>
      <c r="O753" s="408">
        <f>+T753+U753+Q753</f>
        <v>0</v>
      </c>
      <c r="P753" s="271">
        <f>+O753-N753</f>
        <v>0</v>
      </c>
      <c r="Q753" s="527"/>
      <c r="R753" s="354">
        <f>IF(ISERROR(VLOOKUP("RIC"&amp;$C753,ESTR_PREC_SP!$A$2:$G$2000,4,FALSE))=TRUE,0,VLOOKUP("RIC"&amp;$C753,ESTR_PREC_SP!$A$2:$G$2000,4,FALSE))</f>
        <v>0</v>
      </c>
      <c r="S753" s="538"/>
      <c r="T753" s="527"/>
      <c r="U753" s="527"/>
      <c r="V753" s="254"/>
      <c r="W753" s="211"/>
      <c r="X753" s="211"/>
      <c r="Y753" s="211"/>
      <c r="Z753" s="211"/>
      <c r="AA753" s="211"/>
    </row>
    <row r="754" spans="1:27" s="204" customFormat="1" hidden="1" x14ac:dyDescent="0.25">
      <c r="B754" s="246" t="s">
        <v>1821</v>
      </c>
      <c r="C754" s="287" t="s">
        <v>1822</v>
      </c>
      <c r="D754" s="274" t="s">
        <v>3832</v>
      </c>
      <c r="E754" s="274"/>
      <c r="F754" s="274"/>
      <c r="G754" s="283"/>
      <c r="H754" s="266"/>
      <c r="I754" s="274"/>
      <c r="J754" s="281"/>
      <c r="K754" s="281"/>
      <c r="L754" s="426" t="s">
        <v>1823</v>
      </c>
      <c r="M754" s="284" t="s">
        <v>2962</v>
      </c>
      <c r="N754" s="408">
        <f>+R754</f>
        <v>0</v>
      </c>
      <c r="O754" s="408">
        <f>+T754+U754+Q754</f>
        <v>0</v>
      </c>
      <c r="P754" s="271">
        <f>+O754-N754</f>
        <v>0</v>
      </c>
      <c r="Q754" s="527"/>
      <c r="R754" s="354">
        <f>IF(ISERROR(VLOOKUP("RIC"&amp;$C754,ESTR_PREC_SP!$A$2:$G$2000,4,FALSE))=TRUE,0,VLOOKUP("RIC"&amp;$C754,ESTR_PREC_SP!$A$2:$G$2000,4,FALSE))</f>
        <v>0</v>
      </c>
      <c r="S754" s="538"/>
      <c r="T754" s="527"/>
      <c r="U754" s="527"/>
      <c r="V754" s="254"/>
      <c r="W754" s="211"/>
      <c r="X754" s="211"/>
      <c r="Y754" s="211"/>
      <c r="Z754" s="211"/>
      <c r="AA754" s="211"/>
    </row>
    <row r="755" spans="1:27" s="204" customFormat="1" x14ac:dyDescent="0.25">
      <c r="B755" s="246" t="s">
        <v>1824</v>
      </c>
      <c r="C755" s="287" t="s">
        <v>1825</v>
      </c>
      <c r="D755" s="274" t="s">
        <v>3833</v>
      </c>
      <c r="E755" s="274"/>
      <c r="F755" s="274"/>
      <c r="G755" s="283"/>
      <c r="H755" s="266"/>
      <c r="I755" s="274"/>
      <c r="J755" s="281"/>
      <c r="K755" s="281"/>
      <c r="L755" s="426" t="s">
        <v>3834</v>
      </c>
      <c r="M755" s="284" t="s">
        <v>2962</v>
      </c>
      <c r="N755" s="408">
        <f>+R755</f>
        <v>0</v>
      </c>
      <c r="O755" s="408">
        <f>+T755+U755+Q755</f>
        <v>0</v>
      </c>
      <c r="P755" s="271">
        <f>+O755-N755</f>
        <v>0</v>
      </c>
      <c r="Q755" s="527"/>
      <c r="R755" s="354">
        <f>IF(ISERROR(VLOOKUP("RIC"&amp;$C755,ESTR_PREC_SP!$A$2:$G$2000,4,FALSE))=TRUE,0,VLOOKUP("RIC"&amp;$C755,ESTR_PREC_SP!$A$2:$G$2000,4,FALSE))</f>
        <v>0</v>
      </c>
      <c r="S755" s="538"/>
      <c r="T755" s="527"/>
      <c r="U755" s="527"/>
      <c r="V755" s="254"/>
      <c r="W755" s="211"/>
      <c r="X755" s="211"/>
      <c r="Y755" s="211"/>
      <c r="Z755" s="211"/>
      <c r="AA755" s="211"/>
    </row>
    <row r="756" spans="1:27" ht="27.75" customHeight="1" x14ac:dyDescent="0.25">
      <c r="A756" s="204"/>
      <c r="L756" s="344" t="s">
        <v>3835</v>
      </c>
    </row>
    <row r="757" spans="1:27" s="204" customFormat="1" x14ac:dyDescent="0.25">
      <c r="B757" s="230"/>
      <c r="C757" s="230"/>
      <c r="D757" s="230"/>
      <c r="E757" s="230"/>
      <c r="F757" s="230"/>
      <c r="G757" s="230"/>
      <c r="H757" s="231"/>
      <c r="I757" s="230"/>
      <c r="J757" s="230"/>
      <c r="K757" s="230"/>
      <c r="L757" s="315"/>
      <c r="M757" s="216"/>
      <c r="N757" s="278"/>
      <c r="O757" s="278"/>
      <c r="P757" s="278"/>
      <c r="Q757" s="216"/>
      <c r="R757" s="278"/>
      <c r="S757" s="278"/>
      <c r="T757" s="278"/>
      <c r="U757" s="278"/>
      <c r="V757" s="278"/>
      <c r="W757" s="216"/>
      <c r="X757" s="216"/>
      <c r="Y757" s="216"/>
      <c r="Z757" s="216"/>
      <c r="AA757" s="216"/>
    </row>
    <row r="758" spans="1:27" s="204" customFormat="1" x14ac:dyDescent="0.25">
      <c r="B758" s="246" t="s">
        <v>1827</v>
      </c>
      <c r="C758" s="246" t="s">
        <v>1828</v>
      </c>
      <c r="D758" s="247" t="s">
        <v>3836</v>
      </c>
      <c r="E758" s="247"/>
      <c r="F758" s="247"/>
      <c r="G758" s="247"/>
      <c r="H758" s="248"/>
      <c r="I758" s="247"/>
      <c r="J758" s="247"/>
      <c r="K758" s="249"/>
      <c r="L758" s="250" t="s">
        <v>1830</v>
      </c>
      <c r="M758" s="251" t="s">
        <v>2962</v>
      </c>
      <c r="N758" s="252">
        <f>+N761+N762</f>
        <v>0</v>
      </c>
      <c r="O758" s="252">
        <f>+O761+O762</f>
        <v>0</v>
      </c>
      <c r="P758" s="253">
        <f>+O758-N758</f>
        <v>0</v>
      </c>
      <c r="Q758" s="252">
        <f>+Q761+Q762</f>
        <v>0</v>
      </c>
      <c r="R758" s="252">
        <f>+R761+R762</f>
        <v>0</v>
      </c>
      <c r="S758" s="252">
        <f>+T761+T762</f>
        <v>0</v>
      </c>
      <c r="T758" s="252">
        <f>+U761+U762</f>
        <v>0</v>
      </c>
      <c r="U758" s="252">
        <f>+V761+V762</f>
        <v>0</v>
      </c>
      <c r="V758" s="211"/>
      <c r="W758" s="211"/>
      <c r="X758" s="211"/>
      <c r="Y758" s="211"/>
      <c r="Z758" s="211"/>
      <c r="AA758" s="211"/>
    </row>
    <row r="759" spans="1:27" s="204" customFormat="1" x14ac:dyDescent="0.25">
      <c r="B759" s="230"/>
      <c r="C759" s="230"/>
      <c r="D759" s="230"/>
      <c r="E759" s="230"/>
      <c r="F759" s="230"/>
      <c r="G759" s="230"/>
      <c r="H759" s="231"/>
      <c r="I759" s="230"/>
      <c r="J759" s="230"/>
      <c r="K759" s="230"/>
      <c r="L759" s="315"/>
      <c r="M759" s="216"/>
      <c r="N759" s="278"/>
      <c r="O759" s="278"/>
      <c r="P759" s="278"/>
      <c r="Q759" s="216"/>
      <c r="R759" s="278"/>
      <c r="S759" s="278"/>
      <c r="T759" s="278"/>
      <c r="U759" s="278"/>
      <c r="V759" s="278"/>
      <c r="W759" s="216"/>
      <c r="X759" s="216"/>
      <c r="Y759" s="216"/>
      <c r="Z759" s="216"/>
      <c r="AA759" s="216"/>
    </row>
    <row r="760" spans="1:27" s="204" customFormat="1" ht="39" customHeight="1" x14ac:dyDescent="0.25">
      <c r="B760" s="260" t="s">
        <v>2968</v>
      </c>
      <c r="C760" s="260" t="s">
        <v>2969</v>
      </c>
      <c r="D760" s="206" t="s">
        <v>72</v>
      </c>
      <c r="E760" s="206"/>
      <c r="F760" s="206"/>
      <c r="G760" s="207"/>
      <c r="H760" s="207"/>
      <c r="I760" s="207"/>
      <c r="J760" s="207" t="s">
        <v>2957</v>
      </c>
      <c r="K760" s="206" t="s">
        <v>82</v>
      </c>
      <c r="L760" s="261" t="s">
        <v>3670</v>
      </c>
      <c r="M760" s="256"/>
      <c r="N760" s="256" t="str">
        <f>N$15</f>
        <v>Valore netto al 31/12/2019</v>
      </c>
      <c r="O760" s="256" t="str">
        <f>O$15</f>
        <v>Valore netto al 31/12/2020</v>
      </c>
      <c r="P760" s="256" t="str">
        <f>P$15</f>
        <v>Variazione</v>
      </c>
      <c r="Q760" s="262" t="s">
        <v>2971</v>
      </c>
      <c r="R760" s="346" t="str">
        <f>+N760</f>
        <v>Valore netto al 31/12/2019</v>
      </c>
      <c r="S760" s="346" t="s">
        <v>2972</v>
      </c>
      <c r="T760" s="346" t="str">
        <f>"Entro 12 mesi ("&amp;Info!B3&amp;")"</f>
        <v>Entro 12 mesi (2020)</v>
      </c>
      <c r="U760" s="346" t="str">
        <f>"Oltre 12 mesi ("&amp;Info!B3&amp;")"</f>
        <v>Oltre 12 mesi (2020)</v>
      </c>
      <c r="V760" s="211"/>
      <c r="W760" s="211"/>
      <c r="X760" s="211"/>
      <c r="Y760" s="211"/>
      <c r="Z760" s="211"/>
      <c r="AA760" s="211"/>
    </row>
    <row r="761" spans="1:27" s="204" customFormat="1" x14ac:dyDescent="0.25">
      <c r="B761" s="246" t="s">
        <v>1831</v>
      </c>
      <c r="C761" s="287" t="s">
        <v>1832</v>
      </c>
      <c r="D761" s="274" t="s">
        <v>3837</v>
      </c>
      <c r="E761" s="274"/>
      <c r="F761" s="274"/>
      <c r="G761" s="283"/>
      <c r="H761" s="266"/>
      <c r="I761" s="274"/>
      <c r="J761" s="281"/>
      <c r="K761" s="281"/>
      <c r="L761" s="421" t="s">
        <v>1834</v>
      </c>
      <c r="M761" s="263" t="s">
        <v>2962</v>
      </c>
      <c r="N761" s="408">
        <f>+R761</f>
        <v>0</v>
      </c>
      <c r="O761" s="408">
        <f>+T761+U761+Q761</f>
        <v>0</v>
      </c>
      <c r="P761" s="271">
        <f>+O761-N761</f>
        <v>0</v>
      </c>
      <c r="Q761" s="527"/>
      <c r="R761" s="354">
        <f>IF(ISERROR(VLOOKUP("RIC"&amp;$C761,ESTR_PREC_SP!$A$2:$G$2000,4,FALSE))=TRUE,0,VLOOKUP("RIC"&amp;$C761,ESTR_PREC_SP!$A$2:$G$2000,4,FALSE))</f>
        <v>0</v>
      </c>
      <c r="S761" s="538"/>
      <c r="T761" s="529">
        <f>+Dettaglio_SP_Ric!H498</f>
        <v>0</v>
      </c>
      <c r="U761" s="529">
        <f>+Dettaglio_SP_Ric!I498</f>
        <v>0</v>
      </c>
      <c r="V761" s="254"/>
      <c r="W761" s="211"/>
      <c r="X761" s="211"/>
      <c r="Y761" s="211"/>
      <c r="Z761" s="211"/>
      <c r="AA761" s="211"/>
    </row>
    <row r="762" spans="1:27" s="204" customFormat="1" x14ac:dyDescent="0.25">
      <c r="B762" s="246" t="s">
        <v>1835</v>
      </c>
      <c r="C762" s="287" t="s">
        <v>1836</v>
      </c>
      <c r="D762" s="274" t="s">
        <v>3838</v>
      </c>
      <c r="E762" s="274"/>
      <c r="F762" s="274"/>
      <c r="G762" s="283"/>
      <c r="H762" s="266"/>
      <c r="I762" s="274"/>
      <c r="J762" s="281"/>
      <c r="K762" s="281"/>
      <c r="L762" s="421" t="s">
        <v>1838</v>
      </c>
      <c r="M762" s="284" t="s">
        <v>2962</v>
      </c>
      <c r="N762" s="408">
        <f>+R762</f>
        <v>0</v>
      </c>
      <c r="O762" s="408">
        <f>+T762+U762+Q762</f>
        <v>0</v>
      </c>
      <c r="P762" s="271">
        <f>+O762-N762</f>
        <v>0</v>
      </c>
      <c r="Q762" s="527"/>
      <c r="R762" s="354">
        <f>IF(ISERROR(VLOOKUP("RIC"&amp;$C762,ESTR_PREC_SP!$A$2:$G$2000,4,FALSE))=TRUE,0,VLOOKUP("RIC"&amp;$C762,ESTR_PREC_SP!$A$2:$G$2000,4,FALSE))</f>
        <v>0</v>
      </c>
      <c r="S762" s="538"/>
      <c r="T762" s="527"/>
      <c r="U762" s="527"/>
      <c r="V762" s="254"/>
      <c r="W762" s="211"/>
      <c r="X762" s="211"/>
      <c r="Y762" s="211"/>
      <c r="Z762" s="211"/>
      <c r="AA762" s="211"/>
    </row>
    <row r="763" spans="1:27" ht="26.25" x14ac:dyDescent="0.25">
      <c r="A763" s="204"/>
      <c r="L763" s="344" t="s">
        <v>3839</v>
      </c>
    </row>
    <row r="764" spans="1:27" s="204" customFormat="1" x14ac:dyDescent="0.25"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32"/>
      <c r="M764" s="211"/>
      <c r="N764" s="211"/>
      <c r="O764" s="211"/>
      <c r="P764" s="211"/>
      <c r="Q764" s="211"/>
      <c r="R764" s="254"/>
      <c r="S764" s="254"/>
      <c r="T764" s="254"/>
      <c r="U764" s="254"/>
      <c r="V764" s="254"/>
      <c r="W764" s="211"/>
      <c r="X764" s="211"/>
      <c r="Y764" s="211"/>
      <c r="Z764" s="211"/>
      <c r="AA764" s="211"/>
    </row>
    <row r="765" spans="1:27" s="204" customFormat="1" x14ac:dyDescent="0.25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315"/>
      <c r="M765" s="216"/>
      <c r="N765" s="216"/>
      <c r="O765" s="216"/>
      <c r="P765" s="216"/>
      <c r="Q765" s="216"/>
      <c r="R765" s="278"/>
      <c r="S765" s="278"/>
      <c r="T765" s="278"/>
      <c r="U765" s="278"/>
      <c r="V765" s="278"/>
      <c r="W765" s="216"/>
      <c r="X765" s="216"/>
      <c r="Y765" s="216"/>
      <c r="Z765" s="216"/>
      <c r="AA765" s="216"/>
    </row>
    <row r="766" spans="1:27" s="204" customFormat="1" x14ac:dyDescent="0.25">
      <c r="B766" s="236" t="s">
        <v>1839</v>
      </c>
      <c r="C766" s="236" t="s">
        <v>1840</v>
      </c>
      <c r="D766" s="234" t="s">
        <v>3840</v>
      </c>
      <c r="E766" s="234"/>
      <c r="F766" s="234"/>
      <c r="G766" s="234"/>
      <c r="H766" s="235"/>
      <c r="I766" s="234"/>
      <c r="J766" s="234"/>
      <c r="K766" s="234"/>
      <c r="L766" s="236" t="s">
        <v>1841</v>
      </c>
      <c r="M766" s="237" t="s">
        <v>2962</v>
      </c>
      <c r="N766" s="238">
        <f>+N769+N770+N771+N773+N772</f>
        <v>0</v>
      </c>
      <c r="O766" s="238">
        <f>+O769+O770+O771+O773+O772</f>
        <v>0</v>
      </c>
      <c r="P766" s="239">
        <f>+O766-N766</f>
        <v>0</v>
      </c>
      <c r="Q766" s="216"/>
      <c r="R766" s="278"/>
      <c r="S766" s="224">
        <f>SUM(S769:S787)</f>
        <v>0</v>
      </c>
      <c r="T766" s="225" t="str">
        <f>IF(S766&lt;&gt;0,"SQUADRATURA CONTI D'ORDINE ATTIVO  PER GIROCONTI SU NUOVI CONTI SP","")</f>
        <v/>
      </c>
      <c r="U766" s="278"/>
      <c r="V766" s="278"/>
      <c r="W766" s="216"/>
      <c r="X766" s="216"/>
      <c r="Y766" s="216"/>
      <c r="Z766" s="216"/>
      <c r="AA766" s="216"/>
    </row>
    <row r="767" spans="1:27" s="204" customFormat="1" x14ac:dyDescent="0.25">
      <c r="B767" s="230"/>
      <c r="C767" s="230"/>
      <c r="D767" s="230"/>
      <c r="E767" s="230"/>
      <c r="F767" s="230"/>
      <c r="G767" s="230"/>
      <c r="H767" s="231"/>
      <c r="I767" s="230"/>
      <c r="J767" s="230"/>
      <c r="K767" s="230"/>
      <c r="L767" s="315"/>
      <c r="M767" s="216"/>
      <c r="N767" s="278"/>
      <c r="O767" s="278"/>
      <c r="P767" s="278"/>
      <c r="Q767" s="216"/>
      <c r="R767" s="278"/>
      <c r="S767" s="278"/>
      <c r="T767" s="278"/>
      <c r="U767" s="278"/>
      <c r="V767" s="278"/>
      <c r="W767" s="216"/>
      <c r="X767" s="216"/>
      <c r="Y767" s="216"/>
      <c r="Z767" s="216"/>
      <c r="AA767" s="216"/>
    </row>
    <row r="768" spans="1:27" s="204" customFormat="1" ht="39" customHeight="1" x14ac:dyDescent="0.25">
      <c r="B768" s="260" t="s">
        <v>2968</v>
      </c>
      <c r="C768" s="260" t="s">
        <v>2969</v>
      </c>
      <c r="D768" s="206" t="s">
        <v>72</v>
      </c>
      <c r="E768" s="206"/>
      <c r="F768" s="206"/>
      <c r="G768" s="207"/>
      <c r="H768" s="207"/>
      <c r="I768" s="207"/>
      <c r="J768" s="207" t="s">
        <v>2957</v>
      </c>
      <c r="K768" s="206" t="s">
        <v>82</v>
      </c>
      <c r="L768" s="261" t="s">
        <v>3670</v>
      </c>
      <c r="M768" s="256"/>
      <c r="N768" s="256" t="str">
        <f>N$15</f>
        <v>Valore netto al 31/12/2019</v>
      </c>
      <c r="O768" s="256" t="str">
        <f>O$15</f>
        <v>Valore netto al 31/12/2020</v>
      </c>
      <c r="P768" s="256" t="str">
        <f>P$15</f>
        <v>Variazione</v>
      </c>
      <c r="Q768" s="262" t="s">
        <v>2971</v>
      </c>
      <c r="R768" s="346" t="s">
        <v>3517</v>
      </c>
      <c r="S768" s="346" t="s">
        <v>2972</v>
      </c>
      <c r="T768" s="346" t="s">
        <v>3495</v>
      </c>
      <c r="U768" s="346" t="s">
        <v>3496</v>
      </c>
      <c r="V768" s="346" t="s">
        <v>3815</v>
      </c>
      <c r="W768" s="211"/>
      <c r="X768" s="211"/>
      <c r="Y768" s="211"/>
      <c r="Z768" s="211"/>
      <c r="AA768" s="211"/>
    </row>
    <row r="769" spans="1:27" s="204" customFormat="1" x14ac:dyDescent="0.25">
      <c r="B769" s="246" t="s">
        <v>1842</v>
      </c>
      <c r="C769" s="284" t="s">
        <v>1843</v>
      </c>
      <c r="D769" s="274" t="s">
        <v>3841</v>
      </c>
      <c r="E769" s="274"/>
      <c r="F769" s="274"/>
      <c r="G769" s="283"/>
      <c r="H769" s="266"/>
      <c r="I769" s="427"/>
      <c r="J769" s="281"/>
      <c r="K769" s="281"/>
      <c r="L769" s="422" t="s">
        <v>1846</v>
      </c>
      <c r="M769" s="284" t="s">
        <v>2962</v>
      </c>
      <c r="N769" s="408">
        <f>+R769</f>
        <v>0</v>
      </c>
      <c r="O769" s="408">
        <f>+V769</f>
        <v>0</v>
      </c>
      <c r="P769" s="271">
        <f>+O769-N769</f>
        <v>0</v>
      </c>
      <c r="Q769" s="527"/>
      <c r="R769" s="354">
        <f>IF(ISERROR(VLOOKUP("RIC"&amp;$C769,ESTR_PREC_SP!$A$2:$G$2000,4,FALSE))=TRUE,0,VLOOKUP("RIC"&amp;$C769,ESTR_PREC_SP!$A$2:$G$2000,4,FALSE))</f>
        <v>0</v>
      </c>
      <c r="S769" s="527"/>
      <c r="T769" s="527"/>
      <c r="U769" s="527"/>
      <c r="V769" s="526">
        <f>+R769+S769+T769-U769+Q769</f>
        <v>0</v>
      </c>
      <c r="W769" s="211"/>
      <c r="X769" s="211"/>
      <c r="Y769" s="211"/>
      <c r="Z769" s="211"/>
      <c r="AA769" s="211"/>
    </row>
    <row r="770" spans="1:27" s="204" customFormat="1" x14ac:dyDescent="0.25">
      <c r="B770" s="246" t="s">
        <v>1847</v>
      </c>
      <c r="C770" s="284" t="s">
        <v>1848</v>
      </c>
      <c r="D770" s="274" t="s">
        <v>3842</v>
      </c>
      <c r="E770" s="274"/>
      <c r="F770" s="274"/>
      <c r="G770" s="283"/>
      <c r="H770" s="266"/>
      <c r="I770" s="427"/>
      <c r="J770" s="281"/>
      <c r="K770" s="281"/>
      <c r="L770" s="422" t="s">
        <v>1851</v>
      </c>
      <c r="M770" s="284" t="s">
        <v>2962</v>
      </c>
      <c r="N770" s="408">
        <f>+R770</f>
        <v>0</v>
      </c>
      <c r="O770" s="408">
        <f>+V770</f>
        <v>0</v>
      </c>
      <c r="P770" s="271">
        <f>+O770-N770</f>
        <v>0</v>
      </c>
      <c r="Q770" s="527"/>
      <c r="R770" s="354">
        <f>IF(ISERROR(VLOOKUP("RIC"&amp;$C770,ESTR_PREC_SP!$A$2:$G$2000,4,FALSE))=TRUE,0,VLOOKUP("RIC"&amp;$C770,ESTR_PREC_SP!$A$2:$G$2000,4,FALSE))</f>
        <v>0</v>
      </c>
      <c r="S770" s="527"/>
      <c r="T770" s="527"/>
      <c r="U770" s="527"/>
      <c r="V770" s="526">
        <f>+R770+S770+T770-U770+Q770</f>
        <v>0</v>
      </c>
      <c r="W770" s="211"/>
      <c r="X770" s="211"/>
      <c r="Y770" s="211"/>
      <c r="Z770" s="211"/>
      <c r="AA770" s="211"/>
    </row>
    <row r="771" spans="1:27" s="204" customFormat="1" x14ac:dyDescent="0.25">
      <c r="B771" s="246" t="s">
        <v>1852</v>
      </c>
      <c r="C771" s="284" t="s">
        <v>1853</v>
      </c>
      <c r="D771" s="274" t="s">
        <v>3843</v>
      </c>
      <c r="E771" s="274"/>
      <c r="F771" s="274"/>
      <c r="G771" s="283"/>
      <c r="H771" s="266"/>
      <c r="I771" s="427"/>
      <c r="J771" s="281"/>
      <c r="K771" s="281"/>
      <c r="L771" s="422" t="s">
        <v>1856</v>
      </c>
      <c r="M771" s="284" t="s">
        <v>2962</v>
      </c>
      <c r="N771" s="408">
        <f>+R771</f>
        <v>0</v>
      </c>
      <c r="O771" s="408">
        <f>+V771</f>
        <v>0</v>
      </c>
      <c r="P771" s="271">
        <f>+O771-N771</f>
        <v>0</v>
      </c>
      <c r="Q771" s="527"/>
      <c r="R771" s="354">
        <f>IF(ISERROR(VLOOKUP("RIC"&amp;$C771,ESTR_PREC_SP!$A$2:$G$2000,4,FALSE))=TRUE,0,VLOOKUP("RIC"&amp;$C771,ESTR_PREC_SP!$A$2:$G$2000,4,FALSE))</f>
        <v>0</v>
      </c>
      <c r="S771" s="527"/>
      <c r="T771" s="527"/>
      <c r="U771" s="527"/>
      <c r="V771" s="526">
        <f>+R771+S771+T771-U771+Q771</f>
        <v>0</v>
      </c>
      <c r="W771" s="211"/>
      <c r="X771" s="211"/>
      <c r="Y771" s="211"/>
      <c r="Z771" s="211"/>
      <c r="AA771" s="211"/>
    </row>
    <row r="772" spans="1:27" s="204" customFormat="1" x14ac:dyDescent="0.25">
      <c r="A772" s="535" t="s">
        <v>3681</v>
      </c>
      <c r="B772" s="536" t="s">
        <v>1857</v>
      </c>
      <c r="C772" s="536" t="s">
        <v>1858</v>
      </c>
      <c r="D772" s="536"/>
      <c r="E772" s="536"/>
      <c r="F772" s="536"/>
      <c r="G772" s="536"/>
      <c r="H772" s="536"/>
      <c r="I772" s="536"/>
      <c r="J772" s="536"/>
      <c r="K772" s="536"/>
      <c r="L772" s="536" t="s">
        <v>1861</v>
      </c>
      <c r="M772" s="284" t="s">
        <v>2962</v>
      </c>
      <c r="N772" s="408">
        <f>+R772</f>
        <v>0</v>
      </c>
      <c r="O772" s="408">
        <f>+V772</f>
        <v>0</v>
      </c>
      <c r="P772" s="271">
        <f>+O772-N772</f>
        <v>0</v>
      </c>
      <c r="Q772" s="527"/>
      <c r="R772" s="354">
        <f>IF(ISERROR(VLOOKUP("RIC"&amp;$C772,ESTR_PREC_SP!$A$2:$G$2000,4,FALSE))=TRUE,0,VLOOKUP("RIC"&amp;$C772,ESTR_PREC_SP!$A$2:$G$2000,4,FALSE))</f>
        <v>0</v>
      </c>
      <c r="S772" s="527"/>
      <c r="T772" s="527"/>
      <c r="U772" s="527"/>
      <c r="V772" s="526">
        <f>+R772+S772+T772-U772+Q772</f>
        <v>0</v>
      </c>
      <c r="W772" s="211"/>
      <c r="X772" s="211"/>
      <c r="Y772" s="211"/>
      <c r="Z772" s="211"/>
      <c r="AA772" s="211"/>
    </row>
    <row r="773" spans="1:27" x14ac:dyDescent="0.25">
      <c r="A773" s="204"/>
      <c r="B773" s="246" t="s">
        <v>1862</v>
      </c>
      <c r="C773" s="284" t="s">
        <v>1863</v>
      </c>
      <c r="D773" s="274" t="s">
        <v>3844</v>
      </c>
      <c r="E773" s="274"/>
      <c r="F773" s="274"/>
      <c r="G773" s="283"/>
      <c r="H773" s="266"/>
      <c r="I773" s="427"/>
      <c r="J773" s="281"/>
      <c r="K773" s="281"/>
      <c r="L773" s="422" t="s">
        <v>3845</v>
      </c>
      <c r="M773" s="284" t="s">
        <v>2962</v>
      </c>
      <c r="N773" s="378">
        <f>SUM(N774:N787)</f>
        <v>0</v>
      </c>
      <c r="O773" s="378">
        <f>SUM(O774:O787)</f>
        <v>0</v>
      </c>
      <c r="P773" s="378">
        <f>+O773-N773</f>
        <v>0</v>
      </c>
      <c r="Q773" s="378">
        <f>SUM(Q774:Q787)</f>
        <v>0</v>
      </c>
      <c r="R773" s="378">
        <f>SUM(R775:R777)+SUM(R779:R782)+SUM(R784:R787)</f>
        <v>0</v>
      </c>
      <c r="S773" s="378">
        <f>SUM(S774:S787)</f>
        <v>0</v>
      </c>
      <c r="T773" s="378">
        <f>SUM(T774:T787)</f>
        <v>0</v>
      </c>
      <c r="U773" s="378"/>
      <c r="V773" s="537">
        <f>+R773+S773+T773-U773</f>
        <v>0</v>
      </c>
    </row>
    <row r="774" spans="1:27" s="204" customFormat="1" x14ac:dyDescent="0.25">
      <c r="B774" s="246" t="s">
        <v>1866</v>
      </c>
      <c r="C774" s="284" t="s">
        <v>1867</v>
      </c>
      <c r="D774" s="274" t="s">
        <v>3846</v>
      </c>
      <c r="E774" s="274"/>
      <c r="F774" s="274"/>
      <c r="G774" s="283"/>
      <c r="H774" s="266"/>
      <c r="I774" s="427"/>
      <c r="J774" s="281"/>
      <c r="K774" s="281"/>
      <c r="L774" s="422" t="s">
        <v>3847</v>
      </c>
      <c r="M774" s="284" t="s">
        <v>2962</v>
      </c>
      <c r="N774" s="352"/>
      <c r="O774" s="352"/>
      <c r="P774" s="352"/>
      <c r="Q774" s="352"/>
      <c r="R774" s="352"/>
      <c r="S774" s="352"/>
      <c r="T774" s="352"/>
      <c r="U774" s="352"/>
      <c r="V774" s="352"/>
      <c r="W774" s="211"/>
      <c r="X774" s="211"/>
      <c r="Y774" s="211"/>
      <c r="Z774" s="211"/>
      <c r="AA774" s="211"/>
    </row>
    <row r="775" spans="1:27" s="204" customFormat="1" x14ac:dyDescent="0.25">
      <c r="B775" s="246" t="s">
        <v>1869</v>
      </c>
      <c r="C775" s="284" t="s">
        <v>1870</v>
      </c>
      <c r="D775" s="274" t="s">
        <v>3848</v>
      </c>
      <c r="E775" s="274"/>
      <c r="F775" s="274"/>
      <c r="G775" s="283"/>
      <c r="H775" s="266"/>
      <c r="I775" s="427"/>
      <c r="J775" s="281"/>
      <c r="K775" s="281"/>
      <c r="L775" s="430" t="s">
        <v>3849</v>
      </c>
      <c r="M775" s="284" t="s">
        <v>2962</v>
      </c>
      <c r="N775" s="408">
        <f>+R775</f>
        <v>0</v>
      </c>
      <c r="O775" s="408">
        <f>+V775</f>
        <v>0</v>
      </c>
      <c r="P775" s="271">
        <f>+O775-N775</f>
        <v>0</v>
      </c>
      <c r="Q775" s="527"/>
      <c r="R775" s="354">
        <f>IF(ISERROR(VLOOKUP("RIC"&amp;$C775,ESTR_PREC_SP!$A$2:$G$2000,4,FALSE))=TRUE,0,VLOOKUP("RIC"&amp;$C775,ESTR_PREC_SP!$A$2:$G$2000,4,FALSE))</f>
        <v>0</v>
      </c>
      <c r="S775" s="527"/>
      <c r="T775" s="527"/>
      <c r="U775" s="527"/>
      <c r="V775" s="526">
        <f>+R775+S775+T775-U775+Q775</f>
        <v>0</v>
      </c>
      <c r="W775" s="211"/>
      <c r="X775" s="211"/>
      <c r="Y775" s="211"/>
      <c r="Z775" s="211"/>
      <c r="AA775" s="211"/>
    </row>
    <row r="776" spans="1:27" s="204" customFormat="1" x14ac:dyDescent="0.25">
      <c r="B776" s="246" t="s">
        <v>1872</v>
      </c>
      <c r="C776" s="284" t="s">
        <v>1873</v>
      </c>
      <c r="D776" s="274" t="s">
        <v>3850</v>
      </c>
      <c r="E776" s="274"/>
      <c r="F776" s="274"/>
      <c r="G776" s="283"/>
      <c r="H776" s="266"/>
      <c r="I776" s="427"/>
      <c r="J776" s="281"/>
      <c r="K776" s="281"/>
      <c r="L776" s="430" t="s">
        <v>3851</v>
      </c>
      <c r="M776" s="284" t="s">
        <v>2962</v>
      </c>
      <c r="N776" s="408">
        <f>+R776</f>
        <v>0</v>
      </c>
      <c r="O776" s="408">
        <f>+V776</f>
        <v>0</v>
      </c>
      <c r="P776" s="271">
        <f>+O776-N776</f>
        <v>0</v>
      </c>
      <c r="Q776" s="527"/>
      <c r="R776" s="354">
        <f>IF(ISERROR(VLOOKUP("RIC"&amp;$C776,ESTR_PREC_SP!$A$2:$G$2000,4,FALSE))=TRUE,0,VLOOKUP("RIC"&amp;$C776,ESTR_PREC_SP!$A$2:$G$2000,4,FALSE))</f>
        <v>0</v>
      </c>
      <c r="S776" s="527"/>
      <c r="T776" s="527"/>
      <c r="U776" s="527"/>
      <c r="V776" s="526">
        <f>+R776+S776+T776-U776+Q776</f>
        <v>0</v>
      </c>
      <c r="W776" s="211"/>
      <c r="X776" s="211"/>
      <c r="Y776" s="211"/>
      <c r="Z776" s="211"/>
      <c r="AA776" s="211"/>
    </row>
    <row r="777" spans="1:27" s="204" customFormat="1" x14ac:dyDescent="0.25">
      <c r="B777" s="246" t="s">
        <v>1875</v>
      </c>
      <c r="C777" s="284" t="s">
        <v>1876</v>
      </c>
      <c r="D777" s="274" t="s">
        <v>3852</v>
      </c>
      <c r="E777" s="274"/>
      <c r="F777" s="274"/>
      <c r="G777" s="283"/>
      <c r="H777" s="266"/>
      <c r="I777" s="427"/>
      <c r="J777" s="281"/>
      <c r="K777" s="281"/>
      <c r="L777" s="430" t="s">
        <v>3853</v>
      </c>
      <c r="M777" s="284" t="s">
        <v>2962</v>
      </c>
      <c r="N777" s="408">
        <f>+R777</f>
        <v>0</v>
      </c>
      <c r="O777" s="408">
        <f>+V777</f>
        <v>0</v>
      </c>
      <c r="P777" s="271">
        <f>+O777-N777</f>
        <v>0</v>
      </c>
      <c r="Q777" s="527"/>
      <c r="R777" s="354">
        <f>IF(ISERROR(VLOOKUP("RIC"&amp;$C777,ESTR_PREC_SP!$A$2:$G$2000,4,FALSE))=TRUE,0,VLOOKUP("RIC"&amp;$C777,ESTR_PREC_SP!$A$2:$G$2000,4,FALSE))</f>
        <v>0</v>
      </c>
      <c r="S777" s="527"/>
      <c r="T777" s="527"/>
      <c r="U777" s="527"/>
      <c r="V777" s="526">
        <f>+R777+S777+T777-U777+Q777</f>
        <v>0</v>
      </c>
      <c r="W777" s="211"/>
      <c r="X777" s="211"/>
      <c r="Y777" s="211"/>
      <c r="Z777" s="211"/>
      <c r="AA777" s="211"/>
    </row>
    <row r="778" spans="1:27" s="204" customFormat="1" x14ac:dyDescent="0.25">
      <c r="B778" s="246" t="s">
        <v>1878</v>
      </c>
      <c r="C778" s="284" t="s">
        <v>1879</v>
      </c>
      <c r="D778" s="274" t="s">
        <v>3854</v>
      </c>
      <c r="E778" s="274"/>
      <c r="F778" s="274"/>
      <c r="G778" s="283"/>
      <c r="H778" s="266"/>
      <c r="I778" s="427"/>
      <c r="J778" s="281"/>
      <c r="K778" s="281"/>
      <c r="L778" s="422" t="s">
        <v>3855</v>
      </c>
      <c r="M778" s="284" t="s">
        <v>2962</v>
      </c>
      <c r="N778" s="352"/>
      <c r="O778" s="352"/>
      <c r="P778" s="352"/>
      <c r="Q778" s="352"/>
      <c r="R778" s="352"/>
      <c r="S778" s="352"/>
      <c r="T778" s="352"/>
      <c r="U778" s="352"/>
      <c r="V778" s="352"/>
      <c r="W778" s="211"/>
      <c r="X778" s="211"/>
      <c r="Y778" s="211"/>
      <c r="Z778" s="211"/>
      <c r="AA778" s="211"/>
    </row>
    <row r="779" spans="1:27" s="204" customFormat="1" x14ac:dyDescent="0.25">
      <c r="B779" s="246" t="s">
        <v>1881</v>
      </c>
      <c r="C779" s="284" t="s">
        <v>1882</v>
      </c>
      <c r="D779" s="274" t="s">
        <v>3856</v>
      </c>
      <c r="E779" s="274"/>
      <c r="F779" s="274"/>
      <c r="G779" s="283"/>
      <c r="H779" s="266"/>
      <c r="I779" s="427"/>
      <c r="J779" s="281"/>
      <c r="K779" s="281"/>
      <c r="L779" s="430" t="s">
        <v>3857</v>
      </c>
      <c r="M779" s="284"/>
      <c r="N779" s="408">
        <f>+R779</f>
        <v>0</v>
      </c>
      <c r="O779" s="408">
        <f>+V779</f>
        <v>0</v>
      </c>
      <c r="P779" s="271">
        <f>+O779-N779</f>
        <v>0</v>
      </c>
      <c r="Q779" s="527"/>
      <c r="R779" s="354">
        <f>IF(ISERROR(VLOOKUP("RIC"&amp;$C779,ESTR_PREC_SP!$A$2:$G$2000,4,FALSE))=TRUE,0,VLOOKUP("RIC"&amp;$C779,ESTR_PREC_SP!$A$2:$G$2000,4,FALSE))</f>
        <v>0</v>
      </c>
      <c r="S779" s="527"/>
      <c r="T779" s="527"/>
      <c r="U779" s="527"/>
      <c r="V779" s="526">
        <f>+R779+S779+T779-U779+Q779</f>
        <v>0</v>
      </c>
      <c r="W779" s="211"/>
      <c r="X779" s="211"/>
      <c r="Y779" s="211"/>
      <c r="Z779" s="211"/>
      <c r="AA779" s="211"/>
    </row>
    <row r="780" spans="1:27" s="204" customFormat="1" x14ac:dyDescent="0.25">
      <c r="B780" s="246" t="s">
        <v>1884</v>
      </c>
      <c r="C780" s="284" t="s">
        <v>1885</v>
      </c>
      <c r="D780" s="274" t="s">
        <v>3858</v>
      </c>
      <c r="E780" s="274"/>
      <c r="F780" s="274"/>
      <c r="G780" s="283"/>
      <c r="H780" s="266"/>
      <c r="I780" s="427"/>
      <c r="J780" s="281"/>
      <c r="K780" s="281"/>
      <c r="L780" s="430" t="s">
        <v>3859</v>
      </c>
      <c r="M780" s="284"/>
      <c r="N780" s="408">
        <f>+R780</f>
        <v>0</v>
      </c>
      <c r="O780" s="408">
        <f>+V780</f>
        <v>0</v>
      </c>
      <c r="P780" s="271">
        <f>+O780-N780</f>
        <v>0</v>
      </c>
      <c r="Q780" s="527"/>
      <c r="R780" s="354">
        <f>IF(ISERROR(VLOOKUP("RIC"&amp;$C780,ESTR_PREC_SP!$A$2:$G$2000,4,FALSE))=TRUE,0,VLOOKUP("RIC"&amp;$C780,ESTR_PREC_SP!$A$2:$G$2000,4,FALSE))</f>
        <v>0</v>
      </c>
      <c r="S780" s="527"/>
      <c r="T780" s="527"/>
      <c r="U780" s="527"/>
      <c r="V780" s="526">
        <f>+R780+S780+T780-U780+Q780</f>
        <v>0</v>
      </c>
      <c r="W780" s="211"/>
      <c r="X780" s="211"/>
      <c r="Y780" s="211"/>
      <c r="Z780" s="211"/>
      <c r="AA780" s="211"/>
    </row>
    <row r="781" spans="1:27" s="204" customFormat="1" x14ac:dyDescent="0.25">
      <c r="B781" s="246" t="s">
        <v>1887</v>
      </c>
      <c r="C781" s="284" t="s">
        <v>1888</v>
      </c>
      <c r="D781" s="274" t="s">
        <v>3860</v>
      </c>
      <c r="E781" s="274"/>
      <c r="F781" s="274"/>
      <c r="G781" s="283"/>
      <c r="H781" s="266"/>
      <c r="I781" s="427"/>
      <c r="J781" s="281"/>
      <c r="K781" s="281"/>
      <c r="L781" s="430" t="s">
        <v>3861</v>
      </c>
      <c r="M781" s="284"/>
      <c r="N781" s="408">
        <f>+R781</f>
        <v>0</v>
      </c>
      <c r="O781" s="408">
        <f>+V781</f>
        <v>0</v>
      </c>
      <c r="P781" s="271">
        <f>+O781-N781</f>
        <v>0</v>
      </c>
      <c r="Q781" s="527"/>
      <c r="R781" s="354">
        <f>IF(ISERROR(VLOOKUP("RIC"&amp;$C781,ESTR_PREC_SP!$A$2:$G$2000,4,FALSE))=TRUE,0,VLOOKUP("RIC"&amp;$C781,ESTR_PREC_SP!$A$2:$G$2000,4,FALSE))</f>
        <v>0</v>
      </c>
      <c r="S781" s="527"/>
      <c r="T781" s="527"/>
      <c r="U781" s="527"/>
      <c r="V781" s="526">
        <f>+R781+S781+T781-U781+Q781</f>
        <v>0</v>
      </c>
      <c r="W781" s="211"/>
      <c r="X781" s="211"/>
      <c r="Y781" s="211"/>
      <c r="Z781" s="211"/>
      <c r="AA781" s="211"/>
    </row>
    <row r="782" spans="1:27" s="204" customFormat="1" x14ac:dyDescent="0.25">
      <c r="B782" s="246" t="s">
        <v>1890</v>
      </c>
      <c r="C782" s="284" t="s">
        <v>1891</v>
      </c>
      <c r="D782" s="274" t="s">
        <v>3862</v>
      </c>
      <c r="E782" s="274"/>
      <c r="F782" s="274"/>
      <c r="G782" s="283"/>
      <c r="H782" s="266"/>
      <c r="I782" s="427"/>
      <c r="J782" s="281"/>
      <c r="K782" s="281"/>
      <c r="L782" s="422" t="s">
        <v>3863</v>
      </c>
      <c r="M782" s="284" t="s">
        <v>2962</v>
      </c>
      <c r="N782" s="408">
        <f>+R782</f>
        <v>0</v>
      </c>
      <c r="O782" s="408">
        <f>+V782</f>
        <v>0</v>
      </c>
      <c r="P782" s="271">
        <f>+O782-N782</f>
        <v>0</v>
      </c>
      <c r="Q782" s="527"/>
      <c r="R782" s="354">
        <f>IF(ISERROR(VLOOKUP("RIC"&amp;$C782,ESTR_PREC_SP!$A$2:$G$2000,4,FALSE))=TRUE,0,VLOOKUP("RIC"&amp;$C782,ESTR_PREC_SP!$A$2:$G$2000,4,FALSE))</f>
        <v>0</v>
      </c>
      <c r="S782" s="527"/>
      <c r="T782" s="527"/>
      <c r="U782" s="527"/>
      <c r="V782" s="526">
        <f>+R782+S782+T782-U782+Q782</f>
        <v>0</v>
      </c>
      <c r="W782" s="211"/>
      <c r="X782" s="211"/>
      <c r="Y782" s="211"/>
      <c r="Z782" s="211"/>
      <c r="AA782" s="211"/>
    </row>
    <row r="783" spans="1:27" s="204" customFormat="1" x14ac:dyDescent="0.25">
      <c r="B783" s="246" t="s">
        <v>1893</v>
      </c>
      <c r="C783" s="284" t="s">
        <v>1894</v>
      </c>
      <c r="D783" s="274" t="s">
        <v>3864</v>
      </c>
      <c r="E783" s="274"/>
      <c r="F783" s="274"/>
      <c r="G783" s="283"/>
      <c r="H783" s="266"/>
      <c r="I783" s="427"/>
      <c r="J783" s="281"/>
      <c r="K783" s="281"/>
      <c r="L783" s="422" t="s">
        <v>3865</v>
      </c>
      <c r="M783" s="284" t="s">
        <v>2962</v>
      </c>
      <c r="N783" s="352"/>
      <c r="O783" s="352"/>
      <c r="P783" s="352"/>
      <c r="Q783" s="352"/>
      <c r="R783" s="352"/>
      <c r="S783" s="352"/>
      <c r="T783" s="352"/>
      <c r="U783" s="352"/>
      <c r="V783" s="352"/>
      <c r="W783" s="211"/>
      <c r="X783" s="211"/>
      <c r="Y783" s="211"/>
      <c r="Z783" s="211"/>
      <c r="AA783" s="211"/>
    </row>
    <row r="784" spans="1:27" s="204" customFormat="1" x14ac:dyDescent="0.25">
      <c r="B784" s="246" t="s">
        <v>1896</v>
      </c>
      <c r="C784" s="284" t="s">
        <v>1897</v>
      </c>
      <c r="D784" s="274" t="s">
        <v>3866</v>
      </c>
      <c r="E784" s="274"/>
      <c r="F784" s="274"/>
      <c r="G784" s="283"/>
      <c r="H784" s="266"/>
      <c r="I784" s="427"/>
      <c r="J784" s="281"/>
      <c r="K784" s="281"/>
      <c r="L784" s="430" t="s">
        <v>3867</v>
      </c>
      <c r="M784" s="284" t="s">
        <v>2962</v>
      </c>
      <c r="N784" s="408">
        <f>+R784</f>
        <v>0</v>
      </c>
      <c r="O784" s="408">
        <f>+V784</f>
        <v>0</v>
      </c>
      <c r="P784" s="271">
        <f>+O784-N784</f>
        <v>0</v>
      </c>
      <c r="Q784" s="527"/>
      <c r="R784" s="354">
        <f>IF(ISERROR(VLOOKUP("RIC"&amp;$C784,ESTR_PREC_SP!$A$2:$G$2000,4,FALSE))=TRUE,0,VLOOKUP("RIC"&amp;$C784,ESTR_PREC_SP!$A$2:$G$2000,4,FALSE))</f>
        <v>0</v>
      </c>
      <c r="S784" s="527"/>
      <c r="T784" s="527"/>
      <c r="U784" s="527"/>
      <c r="V784" s="526">
        <f>+R784+S784+T784-U784+Q784</f>
        <v>0</v>
      </c>
      <c r="W784" s="211"/>
      <c r="X784" s="211"/>
      <c r="Y784" s="211"/>
      <c r="Z784" s="211"/>
      <c r="AA784" s="211"/>
    </row>
    <row r="785" spans="2:29" s="204" customFormat="1" x14ac:dyDescent="0.25">
      <c r="B785" s="246" t="s">
        <v>1899</v>
      </c>
      <c r="C785" s="284" t="s">
        <v>1900</v>
      </c>
      <c r="D785" s="274" t="s">
        <v>3868</v>
      </c>
      <c r="E785" s="274"/>
      <c r="F785" s="274"/>
      <c r="G785" s="283"/>
      <c r="H785" s="266"/>
      <c r="I785" s="427"/>
      <c r="J785" s="281"/>
      <c r="K785" s="281"/>
      <c r="L785" s="430" t="s">
        <v>3869</v>
      </c>
      <c r="M785" s="284" t="s">
        <v>2962</v>
      </c>
      <c r="N785" s="408">
        <f>+R785</f>
        <v>0</v>
      </c>
      <c r="O785" s="408">
        <f>+V785</f>
        <v>0</v>
      </c>
      <c r="P785" s="271">
        <f>+O785-N785</f>
        <v>0</v>
      </c>
      <c r="Q785" s="527"/>
      <c r="R785" s="354">
        <f>IF(ISERROR(VLOOKUP("RIC"&amp;$C785,ESTR_PREC_SP!$A$2:$G$2000,4,FALSE))=TRUE,0,VLOOKUP("RIC"&amp;$C785,ESTR_PREC_SP!$A$2:$G$2000,4,FALSE))</f>
        <v>0</v>
      </c>
      <c r="S785" s="527"/>
      <c r="T785" s="527"/>
      <c r="U785" s="527"/>
      <c r="V785" s="526">
        <f>+R785+S785+T785-U785+Q785</f>
        <v>0</v>
      </c>
      <c r="W785" s="211"/>
      <c r="X785" s="211"/>
      <c r="Y785" s="211"/>
      <c r="Z785" s="211"/>
      <c r="AA785" s="211"/>
    </row>
    <row r="786" spans="2:29" s="204" customFormat="1" x14ac:dyDescent="0.25">
      <c r="B786" s="246" t="s">
        <v>1902</v>
      </c>
      <c r="C786" s="284" t="s">
        <v>1903</v>
      </c>
      <c r="D786" s="274" t="s">
        <v>3870</v>
      </c>
      <c r="E786" s="274"/>
      <c r="F786" s="274"/>
      <c r="G786" s="283"/>
      <c r="H786" s="266"/>
      <c r="I786" s="427"/>
      <c r="J786" s="281"/>
      <c r="K786" s="281"/>
      <c r="L786" s="430" t="s">
        <v>3871</v>
      </c>
      <c r="M786" s="284" t="s">
        <v>2962</v>
      </c>
      <c r="N786" s="408">
        <f>+R786</f>
        <v>0</v>
      </c>
      <c r="O786" s="408">
        <f>+V786</f>
        <v>0</v>
      </c>
      <c r="P786" s="271">
        <f>+O786-N786</f>
        <v>0</v>
      </c>
      <c r="Q786" s="527"/>
      <c r="R786" s="354">
        <f>IF(ISERROR(VLOOKUP("RIC"&amp;$C786,ESTR_PREC_SP!$A$2:$G$2000,4,FALSE))=TRUE,0,VLOOKUP("RIC"&amp;$C786,ESTR_PREC_SP!$A$2:$G$2000,4,FALSE))</f>
        <v>0</v>
      </c>
      <c r="S786" s="527"/>
      <c r="T786" s="527"/>
      <c r="U786" s="527"/>
      <c r="V786" s="526">
        <f>+R786+S786+T786-U786+Q786</f>
        <v>0</v>
      </c>
      <c r="W786" s="211"/>
      <c r="X786" s="211"/>
      <c r="Y786" s="211"/>
      <c r="Z786" s="211"/>
      <c r="AA786" s="211"/>
    </row>
    <row r="787" spans="2:29" s="204" customFormat="1" x14ac:dyDescent="0.25">
      <c r="B787" s="246" t="s">
        <v>1905</v>
      </c>
      <c r="C787" s="284" t="s">
        <v>1906</v>
      </c>
      <c r="D787" s="274" t="s">
        <v>3872</v>
      </c>
      <c r="E787" s="274"/>
      <c r="F787" s="274"/>
      <c r="G787" s="283"/>
      <c r="H787" s="266"/>
      <c r="I787" s="427"/>
      <c r="J787" s="281"/>
      <c r="K787" s="281"/>
      <c r="L787" s="430" t="s">
        <v>3873</v>
      </c>
      <c r="M787" s="284" t="s">
        <v>2962</v>
      </c>
      <c r="N787" s="408">
        <f>+R787</f>
        <v>0</v>
      </c>
      <c r="O787" s="408">
        <f>+V787</f>
        <v>0</v>
      </c>
      <c r="P787" s="271">
        <f>+O787-N787</f>
        <v>0</v>
      </c>
      <c r="Q787" s="527"/>
      <c r="R787" s="354">
        <f>IF(ISERROR(VLOOKUP("RIC"&amp;$C787,ESTR_PREC_SP!$A$2:$G$2000,4,FALSE))=TRUE,0,VLOOKUP("RIC"&amp;$C787,ESTR_PREC_SP!$A$2:$G$2000,4,FALSE))</f>
        <v>0</v>
      </c>
      <c r="S787" s="527"/>
      <c r="T787" s="527"/>
      <c r="U787" s="527"/>
      <c r="V787" s="526">
        <f>+R787+S787+T787-U787+Q787</f>
        <v>0</v>
      </c>
      <c r="W787" s="211"/>
      <c r="X787" s="211"/>
      <c r="Y787" s="211"/>
      <c r="Z787" s="211"/>
      <c r="AA787" s="211"/>
    </row>
    <row r="788" spans="2:29" s="204" customFormat="1" x14ac:dyDescent="0.25">
      <c r="B788" s="230"/>
      <c r="C788" s="230"/>
      <c r="D788" s="230"/>
      <c r="E788" s="230"/>
      <c r="F788" s="230"/>
      <c r="G788" s="230"/>
      <c r="H788" s="231"/>
      <c r="I788" s="230"/>
      <c r="J788" s="230"/>
      <c r="K788" s="230"/>
      <c r="L788" s="232"/>
      <c r="M788" s="211"/>
      <c r="N788" s="254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</row>
    <row r="789" spans="2:29" s="204" customFormat="1" x14ac:dyDescent="0.25">
      <c r="B789" s="230"/>
      <c r="C789" s="230"/>
      <c r="D789" s="230"/>
      <c r="E789" s="230"/>
      <c r="F789" s="230"/>
      <c r="G789" s="211"/>
      <c r="H789" s="353"/>
      <c r="I789" s="211"/>
      <c r="J789" s="211"/>
      <c r="K789" s="211"/>
      <c r="L789" s="232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</row>
    <row r="790" spans="2:29" s="204" customFormat="1" x14ac:dyDescent="0.25">
      <c r="B790" s="246">
        <v>0</v>
      </c>
      <c r="C790" s="218" t="s">
        <v>1908</v>
      </c>
      <c r="D790" s="219" t="s">
        <v>3874</v>
      </c>
      <c r="E790" s="219"/>
      <c r="F790" s="219"/>
      <c r="G790" s="219"/>
      <c r="H790" s="220"/>
      <c r="I790" s="219"/>
      <c r="J790" s="219"/>
      <c r="K790" s="219"/>
      <c r="L790" s="221" t="s">
        <v>1909</v>
      </c>
      <c r="M790" s="222" t="s">
        <v>2962</v>
      </c>
      <c r="N790" s="223">
        <f>+N792+N821+N889+N906+N1053</f>
        <v>0</v>
      </c>
      <c r="O790" s="223">
        <f>+O792+O821+O889+O906+O1053</f>
        <v>0</v>
      </c>
      <c r="P790" s="223">
        <f>+O790-N790</f>
        <v>0</v>
      </c>
      <c r="Q790" s="211"/>
      <c r="R790" s="211"/>
      <c r="S790" s="224">
        <f>S792+S821+S889+S906+S1053+S1072</f>
        <v>0</v>
      </c>
      <c r="T790" s="225" t="str">
        <f>IF(S790&lt;&gt;0,"SQUADRATURA PASSIVO  PER GIROCONTI SU NUOVI CONTI SP","")</f>
        <v/>
      </c>
      <c r="U790" s="211"/>
      <c r="V790" s="211"/>
      <c r="W790" s="211"/>
      <c r="X790" s="211"/>
      <c r="Y790" s="211"/>
      <c r="Z790" s="211"/>
      <c r="AA790" s="211"/>
    </row>
    <row r="791" spans="2:29" s="204" customFormat="1" x14ac:dyDescent="0.25">
      <c r="B791" s="230"/>
      <c r="C791" s="230"/>
      <c r="D791" s="230"/>
      <c r="E791" s="230"/>
      <c r="F791" s="230"/>
      <c r="G791" s="230"/>
      <c r="H791" s="231"/>
      <c r="I791" s="230"/>
      <c r="J791" s="230"/>
      <c r="K791" s="230"/>
      <c r="L791" s="232"/>
      <c r="M791" s="211"/>
      <c r="N791" s="254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</row>
    <row r="792" spans="2:29" s="204" customFormat="1" x14ac:dyDescent="0.25">
      <c r="B792" s="246" t="s">
        <v>1910</v>
      </c>
      <c r="C792" s="233" t="s">
        <v>1911</v>
      </c>
      <c r="D792" s="234" t="s">
        <v>3875</v>
      </c>
      <c r="E792" s="234"/>
      <c r="F792" s="234"/>
      <c r="G792" s="234"/>
      <c r="H792" s="235"/>
      <c r="I792" s="234"/>
      <c r="J792" s="234"/>
      <c r="K792" s="234"/>
      <c r="L792" s="236" t="s">
        <v>1912</v>
      </c>
      <c r="M792" s="237" t="s">
        <v>2962</v>
      </c>
      <c r="N792" s="238">
        <f>+N795+N796+N805+N806+N812+N816+N817</f>
        <v>0</v>
      </c>
      <c r="O792" s="238">
        <f>+O795+O796+O805+O806+O812+O816+O817</f>
        <v>0</v>
      </c>
      <c r="P792" s="239">
        <f>+O792-N792</f>
        <v>0</v>
      </c>
      <c r="Q792" s="238">
        <f t="shared" ref="Q792:Z792" si="142">+Q795+Q796+Q805+Q806+Q812+Q816+Q817</f>
        <v>0</v>
      </c>
      <c r="R792" s="238">
        <f t="shared" si="142"/>
        <v>0</v>
      </c>
      <c r="S792" s="238">
        <f t="shared" si="142"/>
        <v>0</v>
      </c>
      <c r="T792" s="238">
        <f t="shared" si="142"/>
        <v>0</v>
      </c>
      <c r="U792" s="238">
        <f t="shared" si="142"/>
        <v>0</v>
      </c>
      <c r="V792" s="238">
        <f t="shared" si="142"/>
        <v>0</v>
      </c>
      <c r="W792" s="238">
        <f t="shared" si="142"/>
        <v>0</v>
      </c>
      <c r="X792" s="238">
        <f t="shared" si="142"/>
        <v>0</v>
      </c>
      <c r="Y792" s="238">
        <f t="shared" si="142"/>
        <v>0</v>
      </c>
      <c r="Z792" s="238">
        <f t="shared" si="142"/>
        <v>0</v>
      </c>
      <c r="AA792" s="211"/>
    </row>
    <row r="793" spans="2:29" s="204" customFormat="1" x14ac:dyDescent="0.25">
      <c r="B793" s="230"/>
      <c r="C793" s="230"/>
      <c r="D793" s="230"/>
      <c r="E793" s="230"/>
      <c r="F793" s="230"/>
      <c r="G793" s="230"/>
      <c r="H793" s="231"/>
      <c r="I793" s="230"/>
      <c r="J793" s="230"/>
      <c r="K793" s="230"/>
      <c r="L793" s="232"/>
      <c r="M793" s="211"/>
      <c r="N793" s="254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909" t="s">
        <v>3876</v>
      </c>
      <c r="AB793" s="909"/>
      <c r="AC793" s="909"/>
    </row>
    <row r="794" spans="2:29" s="204" customFormat="1" ht="63.75" x14ac:dyDescent="0.25">
      <c r="B794" s="260" t="s">
        <v>2968</v>
      </c>
      <c r="C794" s="260" t="s">
        <v>2969</v>
      </c>
      <c r="D794" s="206" t="s">
        <v>72</v>
      </c>
      <c r="E794" s="206"/>
      <c r="F794" s="206"/>
      <c r="G794" s="207"/>
      <c r="H794" s="207"/>
      <c r="I794" s="207"/>
      <c r="J794" s="207" t="s">
        <v>2957</v>
      </c>
      <c r="K794" s="206" t="s">
        <v>82</v>
      </c>
      <c r="L794" s="431" t="s">
        <v>3670</v>
      </c>
      <c r="M794" s="432"/>
      <c r="N794" s="256" t="str">
        <f>N$15</f>
        <v>Valore netto al 31/12/2019</v>
      </c>
      <c r="O794" s="256" t="str">
        <f>O$15</f>
        <v>Valore netto al 31/12/2020</v>
      </c>
      <c r="P794" s="256" t="str">
        <f>P$15</f>
        <v>Variazione</v>
      </c>
      <c r="Q794" s="262" t="s">
        <v>2971</v>
      </c>
      <c r="R794" s="256" t="s">
        <v>3877</v>
      </c>
      <c r="S794" s="346" t="s">
        <v>2972</v>
      </c>
      <c r="T794" s="256" t="s">
        <v>3878</v>
      </c>
      <c r="U794" s="262" t="s">
        <v>3879</v>
      </c>
      <c r="V794" s="262" t="s">
        <v>3880</v>
      </c>
      <c r="W794" s="262" t="s">
        <v>2975</v>
      </c>
      <c r="X794" s="262" t="s">
        <v>3881</v>
      </c>
      <c r="Y794" s="262" t="s">
        <v>3882</v>
      </c>
      <c r="Z794" s="256" t="s">
        <v>3883</v>
      </c>
      <c r="AA794" s="433" t="s">
        <v>3884</v>
      </c>
      <c r="AB794" s="433" t="s">
        <v>3885</v>
      </c>
      <c r="AC794" s="433" t="s">
        <v>3886</v>
      </c>
    </row>
    <row r="795" spans="2:29" s="204" customFormat="1" x14ac:dyDescent="0.25">
      <c r="B795" s="246" t="s">
        <v>1913</v>
      </c>
      <c r="C795" s="287" t="s">
        <v>1914</v>
      </c>
      <c r="D795" s="274" t="s">
        <v>3887</v>
      </c>
      <c r="E795" s="274"/>
      <c r="F795" s="274"/>
      <c r="G795" s="283"/>
      <c r="H795" s="266"/>
      <c r="I795" s="274"/>
      <c r="J795" s="281"/>
      <c r="K795" s="434"/>
      <c r="L795" s="295" t="s">
        <v>1918</v>
      </c>
      <c r="M795" s="284" t="s">
        <v>2962</v>
      </c>
      <c r="N795" s="435">
        <f>+R795</f>
        <v>0</v>
      </c>
      <c r="O795" s="435">
        <f>+Z795</f>
        <v>0</v>
      </c>
      <c r="P795" s="271">
        <f t="shared" ref="P795:P817" si="143">+O795-N795</f>
        <v>0</v>
      </c>
      <c r="Q795" s="527"/>
      <c r="R795" s="354">
        <f>IF(ISERROR(VLOOKUP("RIC"&amp;$C795,ESTR_PREC_SP!$A$2:$G$2000,4,FALSE))=TRUE,0,VLOOKUP("RIC"&amp;$C795,ESTR_PREC_SP!$A$2:$G$2000,4,FALSE))</f>
        <v>0</v>
      </c>
      <c r="S795" s="521"/>
      <c r="T795" s="527"/>
      <c r="U795" s="527"/>
      <c r="V795" s="355"/>
      <c r="W795" s="527"/>
      <c r="X795" s="527"/>
      <c r="Y795" s="529">
        <f t="shared" ref="Y795:Y817" si="144">+S795+T795+U795-V795+X795+W795</f>
        <v>0</v>
      </c>
      <c r="Z795" s="529">
        <f>+R795+Y795+Q795</f>
        <v>0</v>
      </c>
      <c r="AA795" s="527"/>
      <c r="AB795" s="527"/>
      <c r="AC795" s="527"/>
    </row>
    <row r="796" spans="2:29" s="204" customFormat="1" x14ac:dyDescent="0.25">
      <c r="B796" s="246" t="s">
        <v>1919</v>
      </c>
      <c r="C796" s="287" t="s">
        <v>1920</v>
      </c>
      <c r="D796" s="274" t="s">
        <v>3888</v>
      </c>
      <c r="E796" s="274"/>
      <c r="F796" s="274"/>
      <c r="G796" s="283"/>
      <c r="H796" s="266"/>
      <c r="I796" s="274"/>
      <c r="J796" s="281"/>
      <c r="K796" s="281"/>
      <c r="L796" s="295" t="s">
        <v>1921</v>
      </c>
      <c r="M796" s="284" t="s">
        <v>2962</v>
      </c>
      <c r="N796" s="436">
        <f>+N797+N798+N802+N803+N804</f>
        <v>0</v>
      </c>
      <c r="O796" s="436">
        <f>+O797+O798+O802+O803+O804</f>
        <v>0</v>
      </c>
      <c r="P796" s="378">
        <f t="shared" si="143"/>
        <v>0</v>
      </c>
      <c r="Q796" s="436">
        <f>+Q797+Q798+Q802+Q803+Q804</f>
        <v>0</v>
      </c>
      <c r="R796" s="436">
        <f>+R797+R798+R802+R803+R804</f>
        <v>0</v>
      </c>
      <c r="S796" s="521"/>
      <c r="T796" s="436">
        <f>+T797+T798+T802+T803+T804</f>
        <v>0</v>
      </c>
      <c r="U796" s="436">
        <f>+U797+U798+U802+U803+U804</f>
        <v>0</v>
      </c>
      <c r="V796" s="436">
        <f>+V797+V798+V802+V803+V804</f>
        <v>0</v>
      </c>
      <c r="W796" s="436">
        <f>+W797+W798+W802+W803+W804</f>
        <v>0</v>
      </c>
      <c r="X796" s="436">
        <f>+X797+X798+X802+X803+X804</f>
        <v>0</v>
      </c>
      <c r="Y796" s="540">
        <f t="shared" si="144"/>
        <v>0</v>
      </c>
      <c r="Z796" s="540">
        <f>+R796+Y796</f>
        <v>0</v>
      </c>
      <c r="AA796" s="436">
        <f>+AA797+AA798+AA802+AA803+AA804</f>
        <v>0</v>
      </c>
      <c r="AB796" s="436">
        <f>+AB797+AB798+AB802+AB803+AB804</f>
        <v>0</v>
      </c>
      <c r="AC796" s="436">
        <f>+AC797+AC798+AC802+AC803+AC804</f>
        <v>0</v>
      </c>
    </row>
    <row r="797" spans="2:29" s="204" customFormat="1" x14ac:dyDescent="0.25">
      <c r="B797" s="246" t="s">
        <v>1922</v>
      </c>
      <c r="C797" s="287" t="s">
        <v>1923</v>
      </c>
      <c r="D797" s="274" t="s">
        <v>3889</v>
      </c>
      <c r="E797" s="274"/>
      <c r="F797" s="274"/>
      <c r="G797" s="283"/>
      <c r="H797" s="266"/>
      <c r="I797" s="427"/>
      <c r="J797" s="281"/>
      <c r="K797" s="281"/>
      <c r="L797" s="379" t="s">
        <v>1927</v>
      </c>
      <c r="M797" s="284" t="s">
        <v>2962</v>
      </c>
      <c r="N797" s="435">
        <f>+R797</f>
        <v>0</v>
      </c>
      <c r="O797" s="435">
        <f>+Z797</f>
        <v>0</v>
      </c>
      <c r="P797" s="271">
        <f t="shared" si="143"/>
        <v>0</v>
      </c>
      <c r="Q797" s="527"/>
      <c r="R797" s="354">
        <f>IF(ISERROR(VLOOKUP("RIC"&amp;$C797,ESTR_PREC_SP!$A$2:$G$2000,4,FALSE))=TRUE,0,VLOOKUP("RIC"&amp;$C797,ESTR_PREC_SP!$A$2:$G$2000,4,FALSE))</f>
        <v>0</v>
      </c>
      <c r="S797" s="521"/>
      <c r="T797" s="527"/>
      <c r="U797" s="527"/>
      <c r="V797" s="527"/>
      <c r="W797" s="527"/>
      <c r="X797" s="527"/>
      <c r="Y797" s="529">
        <f t="shared" si="144"/>
        <v>0</v>
      </c>
      <c r="Z797" s="529">
        <f>+R797+Y797+Q797</f>
        <v>0</v>
      </c>
      <c r="AA797" s="527"/>
      <c r="AB797" s="527"/>
      <c r="AC797" s="527"/>
    </row>
    <row r="798" spans="2:29" s="204" customFormat="1" x14ac:dyDescent="0.25">
      <c r="B798" s="246" t="s">
        <v>1928</v>
      </c>
      <c r="C798" s="287" t="s">
        <v>1929</v>
      </c>
      <c r="D798" s="274" t="s">
        <v>3890</v>
      </c>
      <c r="E798" s="274"/>
      <c r="F798" s="274"/>
      <c r="G798" s="437"/>
      <c r="H798" s="266"/>
      <c r="I798" s="437"/>
      <c r="J798" s="281"/>
      <c r="K798" s="281"/>
      <c r="L798" s="379" t="s">
        <v>1931</v>
      </c>
      <c r="M798" s="284" t="s">
        <v>2962</v>
      </c>
      <c r="N798" s="436">
        <f>SUM(N799:N801)</f>
        <v>0</v>
      </c>
      <c r="O798" s="436">
        <f>SUM(O799:O801)</f>
        <v>0</v>
      </c>
      <c r="P798" s="378">
        <f t="shared" si="143"/>
        <v>0</v>
      </c>
      <c r="Q798" s="436">
        <f>SUM(Q799:Q801)</f>
        <v>0</v>
      </c>
      <c r="R798" s="436">
        <f>SUM(R799:R801)</f>
        <v>0</v>
      </c>
      <c r="S798" s="521"/>
      <c r="T798" s="436">
        <f>SUM(T799:T801)</f>
        <v>0</v>
      </c>
      <c r="U798" s="436">
        <f>SUM(U799:U801)</f>
        <v>0</v>
      </c>
      <c r="V798" s="436">
        <f>SUM(V799:V801)</f>
        <v>0</v>
      </c>
      <c r="W798" s="436">
        <f>SUM(W799:W801)</f>
        <v>0</v>
      </c>
      <c r="X798" s="436">
        <f>SUM(X799:X801)</f>
        <v>0</v>
      </c>
      <c r="Y798" s="540">
        <f t="shared" si="144"/>
        <v>0</v>
      </c>
      <c r="Z798" s="540">
        <f>+R798+Y798</f>
        <v>0</v>
      </c>
      <c r="AA798" s="436">
        <f>SUM(AA799:AA801)</f>
        <v>0</v>
      </c>
      <c r="AB798" s="436">
        <f>SUM(AB799:AB801)</f>
        <v>0</v>
      </c>
      <c r="AC798" s="436">
        <f>SUM(AC799:AC801)</f>
        <v>0</v>
      </c>
    </row>
    <row r="799" spans="2:29" s="204" customFormat="1" x14ac:dyDescent="0.25">
      <c r="B799" s="246" t="s">
        <v>1932</v>
      </c>
      <c r="C799" s="287" t="s">
        <v>1933</v>
      </c>
      <c r="D799" s="274" t="s">
        <v>3891</v>
      </c>
      <c r="E799" s="274"/>
      <c r="F799" s="274"/>
      <c r="G799" s="437"/>
      <c r="H799" s="266"/>
      <c r="I799" s="437"/>
      <c r="J799" s="281"/>
      <c r="K799" s="281"/>
      <c r="L799" s="97" t="s">
        <v>1936</v>
      </c>
      <c r="M799" s="284" t="s">
        <v>2962</v>
      </c>
      <c r="N799" s="435">
        <f t="shared" ref="N799:N805" si="145">+R799</f>
        <v>0</v>
      </c>
      <c r="O799" s="435">
        <f t="shared" ref="O799:O805" si="146">+Z799</f>
        <v>0</v>
      </c>
      <c r="P799" s="271">
        <f t="shared" si="143"/>
        <v>0</v>
      </c>
      <c r="Q799" s="527"/>
      <c r="R799" s="354">
        <f>IF(ISERROR(VLOOKUP("RIC"&amp;$C799,ESTR_PREC_SP!$A$2:$G$2000,4,FALSE))=TRUE,0,VLOOKUP("RIC"&amp;$C799,ESTR_PREC_SP!$A$2:$G$2000,4,FALSE))</f>
        <v>0</v>
      </c>
      <c r="S799" s="521"/>
      <c r="T799" s="527"/>
      <c r="U799" s="527"/>
      <c r="V799" s="527"/>
      <c r="W799" s="527"/>
      <c r="X799" s="527"/>
      <c r="Y799" s="529">
        <f t="shared" si="144"/>
        <v>0</v>
      </c>
      <c r="Z799" s="529">
        <f t="shared" ref="Z799:Z805" si="147">+R799+Y799+Q799</f>
        <v>0</v>
      </c>
      <c r="AA799" s="527"/>
      <c r="AB799" s="527"/>
      <c r="AC799" s="527"/>
    </row>
    <row r="800" spans="2:29" s="204" customFormat="1" x14ac:dyDescent="0.25">
      <c r="B800" s="246" t="s">
        <v>1937</v>
      </c>
      <c r="C800" s="287" t="s">
        <v>1938</v>
      </c>
      <c r="D800" s="274" t="s">
        <v>3892</v>
      </c>
      <c r="E800" s="274"/>
      <c r="F800" s="274"/>
      <c r="G800" s="437"/>
      <c r="H800" s="266"/>
      <c r="I800" s="437"/>
      <c r="J800" s="281"/>
      <c r="K800" s="281"/>
      <c r="L800" s="97" t="s">
        <v>1941</v>
      </c>
      <c r="M800" s="284" t="s">
        <v>2962</v>
      </c>
      <c r="N800" s="435">
        <f t="shared" si="145"/>
        <v>0</v>
      </c>
      <c r="O800" s="435">
        <f t="shared" si="146"/>
        <v>0</v>
      </c>
      <c r="P800" s="271">
        <f t="shared" si="143"/>
        <v>0</v>
      </c>
      <c r="Q800" s="527"/>
      <c r="R800" s="354">
        <f>IF(ISERROR(VLOOKUP("RIC"&amp;$C800,ESTR_PREC_SP!$A$2:$G$2000,4,FALSE))=TRUE,0,VLOOKUP("RIC"&amp;$C800,ESTR_PREC_SP!$A$2:$G$2000,4,FALSE))</f>
        <v>0</v>
      </c>
      <c r="S800" s="521"/>
      <c r="T800" s="527"/>
      <c r="U800" s="527"/>
      <c r="V800" s="527"/>
      <c r="W800" s="527"/>
      <c r="X800" s="527"/>
      <c r="Y800" s="529">
        <f t="shared" si="144"/>
        <v>0</v>
      </c>
      <c r="Z800" s="529">
        <f t="shared" si="147"/>
        <v>0</v>
      </c>
      <c r="AA800" s="527"/>
      <c r="AB800" s="527"/>
      <c r="AC800" s="527"/>
    </row>
    <row r="801" spans="2:29" s="204" customFormat="1" x14ac:dyDescent="0.25">
      <c r="B801" s="246" t="s">
        <v>1942</v>
      </c>
      <c r="C801" s="287" t="s">
        <v>1943</v>
      </c>
      <c r="D801" s="274" t="s">
        <v>3893</v>
      </c>
      <c r="E801" s="274"/>
      <c r="F801" s="274"/>
      <c r="G801" s="437"/>
      <c r="H801" s="266"/>
      <c r="I801" s="437"/>
      <c r="J801" s="281"/>
      <c r="K801" s="281"/>
      <c r="L801" s="97" t="s">
        <v>1946</v>
      </c>
      <c r="M801" s="284" t="s">
        <v>2962</v>
      </c>
      <c r="N801" s="435">
        <f t="shared" si="145"/>
        <v>0</v>
      </c>
      <c r="O801" s="435">
        <f t="shared" si="146"/>
        <v>0</v>
      </c>
      <c r="P801" s="271">
        <f t="shared" si="143"/>
        <v>0</v>
      </c>
      <c r="Q801" s="527"/>
      <c r="R801" s="354">
        <f>IF(ISERROR(VLOOKUP("RIC"&amp;$C801,ESTR_PREC_SP!$A$2:$G$2000,4,FALSE))=TRUE,0,VLOOKUP("RIC"&amp;$C801,ESTR_PREC_SP!$A$2:$G$2000,4,FALSE))</f>
        <v>0</v>
      </c>
      <c r="S801" s="521"/>
      <c r="T801" s="527"/>
      <c r="U801" s="527"/>
      <c r="V801" s="527"/>
      <c r="W801" s="527"/>
      <c r="X801" s="527"/>
      <c r="Y801" s="529">
        <f t="shared" si="144"/>
        <v>0</v>
      </c>
      <c r="Z801" s="529">
        <f t="shared" si="147"/>
        <v>0</v>
      </c>
      <c r="AA801" s="527"/>
      <c r="AB801" s="527"/>
      <c r="AC801" s="527"/>
    </row>
    <row r="802" spans="2:29" s="204" customFormat="1" x14ac:dyDescent="0.25">
      <c r="B802" s="246" t="s">
        <v>1947</v>
      </c>
      <c r="C802" s="287" t="s">
        <v>1948</v>
      </c>
      <c r="D802" s="274" t="s">
        <v>3894</v>
      </c>
      <c r="E802" s="274"/>
      <c r="F802" s="274"/>
      <c r="G802" s="437"/>
      <c r="H802" s="266"/>
      <c r="I802" s="437"/>
      <c r="J802" s="281"/>
      <c r="K802" s="281"/>
      <c r="L802" s="379" t="s">
        <v>1952</v>
      </c>
      <c r="M802" s="284" t="s">
        <v>2962</v>
      </c>
      <c r="N802" s="435">
        <f t="shared" si="145"/>
        <v>0</v>
      </c>
      <c r="O802" s="435">
        <f t="shared" si="146"/>
        <v>0</v>
      </c>
      <c r="P802" s="271">
        <f t="shared" si="143"/>
        <v>0</v>
      </c>
      <c r="Q802" s="527"/>
      <c r="R802" s="354">
        <f>IF(ISERROR(VLOOKUP("RIC"&amp;$C802,ESTR_PREC_SP!$A$2:$G$2000,4,FALSE))=TRUE,0,VLOOKUP("RIC"&amp;$C802,ESTR_PREC_SP!$A$2:$G$2000,4,FALSE))</f>
        <v>0</v>
      </c>
      <c r="S802" s="521"/>
      <c r="T802" s="527"/>
      <c r="U802" s="527"/>
      <c r="V802" s="527"/>
      <c r="W802" s="527"/>
      <c r="X802" s="527"/>
      <c r="Y802" s="529">
        <f t="shared" si="144"/>
        <v>0</v>
      </c>
      <c r="Z802" s="529">
        <f t="shared" si="147"/>
        <v>0</v>
      </c>
      <c r="AA802" s="527"/>
      <c r="AB802" s="527"/>
      <c r="AC802" s="527"/>
    </row>
    <row r="803" spans="2:29" s="204" customFormat="1" x14ac:dyDescent="0.25">
      <c r="B803" s="246" t="s">
        <v>1953</v>
      </c>
      <c r="C803" s="287" t="s">
        <v>1954</v>
      </c>
      <c r="D803" s="274" t="s">
        <v>3895</v>
      </c>
      <c r="E803" s="274"/>
      <c r="F803" s="274"/>
      <c r="G803" s="437"/>
      <c r="H803" s="266"/>
      <c r="I803" s="437"/>
      <c r="J803" s="281"/>
      <c r="K803" s="281"/>
      <c r="L803" s="379" t="s">
        <v>1958</v>
      </c>
      <c r="M803" s="284" t="s">
        <v>2962</v>
      </c>
      <c r="N803" s="435">
        <f t="shared" si="145"/>
        <v>0</v>
      </c>
      <c r="O803" s="435">
        <f t="shared" si="146"/>
        <v>0</v>
      </c>
      <c r="P803" s="271">
        <f t="shared" si="143"/>
        <v>0</v>
      </c>
      <c r="Q803" s="527"/>
      <c r="R803" s="354">
        <f>IF(ISERROR(VLOOKUP("RIC"&amp;$C803,ESTR_PREC_SP!$A$2:$G$2000,4,FALSE))=TRUE,0,VLOOKUP("RIC"&amp;$C803,ESTR_PREC_SP!$A$2:$G$2000,4,FALSE))</f>
        <v>0</v>
      </c>
      <c r="S803" s="521"/>
      <c r="T803" s="527"/>
      <c r="U803" s="527"/>
      <c r="V803" s="527"/>
      <c r="W803" s="527"/>
      <c r="X803" s="527"/>
      <c r="Y803" s="529">
        <f t="shared" si="144"/>
        <v>0</v>
      </c>
      <c r="Z803" s="529">
        <f t="shared" si="147"/>
        <v>0</v>
      </c>
      <c r="AA803" s="527"/>
      <c r="AB803" s="527"/>
      <c r="AC803" s="527"/>
    </row>
    <row r="804" spans="2:29" s="204" customFormat="1" x14ac:dyDescent="0.25">
      <c r="B804" s="246" t="s">
        <v>1959</v>
      </c>
      <c r="C804" s="287" t="s">
        <v>1960</v>
      </c>
      <c r="D804" s="274" t="s">
        <v>3896</v>
      </c>
      <c r="E804" s="274"/>
      <c r="F804" s="274"/>
      <c r="G804" s="437"/>
      <c r="H804" s="266"/>
      <c r="I804" s="437"/>
      <c r="J804" s="281"/>
      <c r="K804" s="281"/>
      <c r="L804" s="379" t="s">
        <v>1964</v>
      </c>
      <c r="M804" s="284" t="s">
        <v>2962</v>
      </c>
      <c r="N804" s="435">
        <f t="shared" si="145"/>
        <v>0</v>
      </c>
      <c r="O804" s="435">
        <f t="shared" si="146"/>
        <v>0</v>
      </c>
      <c r="P804" s="271">
        <f t="shared" si="143"/>
        <v>0</v>
      </c>
      <c r="Q804" s="527"/>
      <c r="R804" s="354">
        <f>IF(ISERROR(VLOOKUP("RIC"&amp;$C804,ESTR_PREC_SP!$A$2:$G$2000,4,FALSE))=TRUE,0,VLOOKUP("RIC"&amp;$C804,ESTR_PREC_SP!$A$2:$G$2000,4,FALSE))</f>
        <v>0</v>
      </c>
      <c r="S804" s="521"/>
      <c r="T804" s="527"/>
      <c r="U804" s="527"/>
      <c r="V804" s="527"/>
      <c r="W804" s="527"/>
      <c r="X804" s="527"/>
      <c r="Y804" s="529">
        <f t="shared" si="144"/>
        <v>0</v>
      </c>
      <c r="Z804" s="529">
        <f t="shared" si="147"/>
        <v>0</v>
      </c>
      <c r="AA804" s="527"/>
      <c r="AB804" s="527"/>
      <c r="AC804" s="527"/>
    </row>
    <row r="805" spans="2:29" s="204" customFormat="1" x14ac:dyDescent="0.25">
      <c r="B805" s="246" t="s">
        <v>1965</v>
      </c>
      <c r="C805" s="287" t="s">
        <v>1966</v>
      </c>
      <c r="D805" s="274" t="s">
        <v>3897</v>
      </c>
      <c r="E805" s="274"/>
      <c r="F805" s="274"/>
      <c r="G805" s="283"/>
      <c r="H805" s="266"/>
      <c r="I805" s="274"/>
      <c r="J805" s="281"/>
      <c r="K805" s="281"/>
      <c r="L805" s="295" t="s">
        <v>1970</v>
      </c>
      <c r="M805" s="284" t="s">
        <v>2962</v>
      </c>
      <c r="N805" s="435">
        <f t="shared" si="145"/>
        <v>0</v>
      </c>
      <c r="O805" s="435">
        <f t="shared" si="146"/>
        <v>0</v>
      </c>
      <c r="P805" s="271">
        <f t="shared" si="143"/>
        <v>0</v>
      </c>
      <c r="Q805" s="527"/>
      <c r="R805" s="354">
        <f>IF(ISERROR(VLOOKUP("RIC"&amp;$C805,ESTR_PREC_SP!$A$2:$G$2000,4,FALSE))=TRUE,0,VLOOKUP("RIC"&amp;$C805,ESTR_PREC_SP!$A$2:$G$2000,4,FALSE))</f>
        <v>0</v>
      </c>
      <c r="S805" s="521"/>
      <c r="T805" s="527"/>
      <c r="U805" s="527"/>
      <c r="V805" s="527"/>
      <c r="W805" s="527"/>
      <c r="X805" s="527"/>
      <c r="Y805" s="529">
        <f t="shared" si="144"/>
        <v>0</v>
      </c>
      <c r="Z805" s="529">
        <f t="shared" si="147"/>
        <v>0</v>
      </c>
      <c r="AA805" s="527"/>
      <c r="AB805" s="527"/>
      <c r="AC805" s="527"/>
    </row>
    <row r="806" spans="2:29" s="204" customFormat="1" x14ac:dyDescent="0.25">
      <c r="B806" s="246" t="s">
        <v>1971</v>
      </c>
      <c r="C806" s="287" t="s">
        <v>1972</v>
      </c>
      <c r="D806" s="274" t="s">
        <v>3898</v>
      </c>
      <c r="E806" s="274"/>
      <c r="F806" s="274"/>
      <c r="G806" s="437"/>
      <c r="H806" s="266"/>
      <c r="I806" s="437"/>
      <c r="J806" s="281"/>
      <c r="K806" s="281"/>
      <c r="L806" s="295" t="s">
        <v>1975</v>
      </c>
      <c r="M806" s="284" t="s">
        <v>2962</v>
      </c>
      <c r="N806" s="436">
        <f>SUM(N807:N811)</f>
        <v>0</v>
      </c>
      <c r="O806" s="436">
        <f>SUM(O807:O811)</f>
        <v>0</v>
      </c>
      <c r="P806" s="378">
        <f t="shared" si="143"/>
        <v>0</v>
      </c>
      <c r="Q806" s="436">
        <f>SUM(Q807:Q811)</f>
        <v>0</v>
      </c>
      <c r="R806" s="436">
        <f>SUM(R807:R811)</f>
        <v>0</v>
      </c>
      <c r="S806" s="521"/>
      <c r="T806" s="436">
        <f>SUM(T807:T811)</f>
        <v>0</v>
      </c>
      <c r="U806" s="436">
        <f>SUM(U807:U811)</f>
        <v>0</v>
      </c>
      <c r="V806" s="436">
        <f>SUM(V807:V811)</f>
        <v>0</v>
      </c>
      <c r="W806" s="436">
        <f>SUM(W807:W811)</f>
        <v>0</v>
      </c>
      <c r="X806" s="436">
        <f>SUM(X807:X811)</f>
        <v>0</v>
      </c>
      <c r="Y806" s="540">
        <f t="shared" si="144"/>
        <v>0</v>
      </c>
      <c r="Z806" s="540">
        <f>+R806+Y806</f>
        <v>0</v>
      </c>
      <c r="AA806" s="436">
        <f>SUM(AA807:AA811)</f>
        <v>0</v>
      </c>
      <c r="AB806" s="436">
        <f>SUM(AB807:AB811)</f>
        <v>0</v>
      </c>
      <c r="AC806" s="436">
        <f>SUM(AC807:AC811)</f>
        <v>0</v>
      </c>
    </row>
    <row r="807" spans="2:29" s="204" customFormat="1" x14ac:dyDescent="0.25">
      <c r="B807" s="246" t="s">
        <v>1976</v>
      </c>
      <c r="C807" s="287" t="s">
        <v>1977</v>
      </c>
      <c r="D807" s="274" t="s">
        <v>3899</v>
      </c>
      <c r="E807" s="274"/>
      <c r="F807" s="274"/>
      <c r="G807" s="437"/>
      <c r="H807" s="266"/>
      <c r="I807" s="437"/>
      <c r="J807" s="281"/>
      <c r="K807" s="281"/>
      <c r="L807" s="379" t="s">
        <v>1979</v>
      </c>
      <c r="M807" s="284" t="s">
        <v>2962</v>
      </c>
      <c r="N807" s="435">
        <f>+R807</f>
        <v>0</v>
      </c>
      <c r="O807" s="435">
        <f>+Z807</f>
        <v>0</v>
      </c>
      <c r="P807" s="271">
        <f t="shared" si="143"/>
        <v>0</v>
      </c>
      <c r="Q807" s="527"/>
      <c r="R807" s="354">
        <f>IF(ISERROR(VLOOKUP("RIC"&amp;$C807,ESTR_PREC_SP!$A$2:$G$2000,4,FALSE))=TRUE,0,VLOOKUP("RIC"&amp;$C807,ESTR_PREC_SP!$A$2:$G$2000,4,FALSE))</f>
        <v>0</v>
      </c>
      <c r="S807" s="521"/>
      <c r="T807" s="527"/>
      <c r="U807" s="527"/>
      <c r="V807" s="527"/>
      <c r="W807" s="527"/>
      <c r="X807" s="527"/>
      <c r="Y807" s="529">
        <f t="shared" si="144"/>
        <v>0</v>
      </c>
      <c r="Z807" s="529">
        <f>+R807+Y807+Q807</f>
        <v>0</v>
      </c>
      <c r="AA807" s="527"/>
      <c r="AB807" s="527"/>
      <c r="AC807" s="527"/>
    </row>
    <row r="808" spans="2:29" s="204" customFormat="1" x14ac:dyDescent="0.25">
      <c r="B808" s="246" t="s">
        <v>1980</v>
      </c>
      <c r="C808" s="287" t="s">
        <v>1981</v>
      </c>
      <c r="D808" s="274" t="s">
        <v>3900</v>
      </c>
      <c r="E808" s="274"/>
      <c r="F808" s="274"/>
      <c r="G808" s="283"/>
      <c r="H808" s="266"/>
      <c r="I808" s="427"/>
      <c r="J808" s="281"/>
      <c r="K808" s="281"/>
      <c r="L808" s="379" t="s">
        <v>1983</v>
      </c>
      <c r="M808" s="284" t="s">
        <v>2962</v>
      </c>
      <c r="N808" s="435">
        <f>+R808</f>
        <v>0</v>
      </c>
      <c r="O808" s="435">
        <f>+Z808</f>
        <v>0</v>
      </c>
      <c r="P808" s="271">
        <f t="shared" si="143"/>
        <v>0</v>
      </c>
      <c r="Q808" s="527"/>
      <c r="R808" s="354">
        <f>IF(ISERROR(VLOOKUP("RIC"&amp;$C808,ESTR_PREC_SP!$A$2:$G$2000,4,FALSE))=TRUE,0,VLOOKUP("RIC"&amp;$C808,ESTR_PREC_SP!$A$2:$G$2000,4,FALSE))</f>
        <v>0</v>
      </c>
      <c r="S808" s="521"/>
      <c r="T808" s="527"/>
      <c r="U808" s="527"/>
      <c r="V808" s="527"/>
      <c r="W808" s="527"/>
      <c r="X808" s="527"/>
      <c r="Y808" s="529">
        <f t="shared" si="144"/>
        <v>0</v>
      </c>
      <c r="Z808" s="529">
        <f>+R808+Y808+Q808</f>
        <v>0</v>
      </c>
      <c r="AA808" s="527"/>
      <c r="AB808" s="527"/>
      <c r="AC808" s="527"/>
    </row>
    <row r="809" spans="2:29" s="204" customFormat="1" x14ac:dyDescent="0.25">
      <c r="B809" s="246" t="s">
        <v>1984</v>
      </c>
      <c r="C809" s="287" t="s">
        <v>1985</v>
      </c>
      <c r="D809" s="274" t="s">
        <v>3901</v>
      </c>
      <c r="E809" s="274"/>
      <c r="F809" s="274"/>
      <c r="G809" s="437"/>
      <c r="H809" s="266"/>
      <c r="I809" s="437"/>
      <c r="J809" s="281"/>
      <c r="K809" s="281"/>
      <c r="L809" s="379" t="s">
        <v>1987</v>
      </c>
      <c r="M809" s="284" t="s">
        <v>2962</v>
      </c>
      <c r="N809" s="435">
        <f>+R809</f>
        <v>0</v>
      </c>
      <c r="O809" s="435">
        <f>+Z809</f>
        <v>0</v>
      </c>
      <c r="P809" s="271">
        <f t="shared" si="143"/>
        <v>0</v>
      </c>
      <c r="Q809" s="527"/>
      <c r="R809" s="354">
        <f>IF(ISERROR(VLOOKUP("RIC"&amp;$C809,ESTR_PREC_SP!$A$2:$G$2000,4,FALSE))=TRUE,0,VLOOKUP("RIC"&amp;$C809,ESTR_PREC_SP!$A$2:$G$2000,4,FALSE))</f>
        <v>0</v>
      </c>
      <c r="S809" s="521"/>
      <c r="T809" s="527"/>
      <c r="U809" s="527"/>
      <c r="V809" s="355"/>
      <c r="W809" s="527"/>
      <c r="X809" s="527"/>
      <c r="Y809" s="529">
        <f t="shared" si="144"/>
        <v>0</v>
      </c>
      <c r="Z809" s="529">
        <f>+R809+Y809+Q809</f>
        <v>0</v>
      </c>
      <c r="AA809" s="527"/>
      <c r="AB809" s="527"/>
      <c r="AC809" s="527"/>
    </row>
    <row r="810" spans="2:29" s="204" customFormat="1" x14ac:dyDescent="0.25">
      <c r="B810" s="246" t="s">
        <v>1988</v>
      </c>
      <c r="C810" s="287" t="s">
        <v>1989</v>
      </c>
      <c r="D810" s="274" t="s">
        <v>3902</v>
      </c>
      <c r="E810" s="274"/>
      <c r="F810" s="274"/>
      <c r="G810" s="283"/>
      <c r="H810" s="266"/>
      <c r="I810" s="427"/>
      <c r="J810" s="281"/>
      <c r="K810" s="281"/>
      <c r="L810" s="379" t="s">
        <v>1991</v>
      </c>
      <c r="M810" s="284" t="s">
        <v>2962</v>
      </c>
      <c r="N810" s="435">
        <f>+R810</f>
        <v>0</v>
      </c>
      <c r="O810" s="435">
        <f>+Z810</f>
        <v>0</v>
      </c>
      <c r="P810" s="271">
        <f t="shared" si="143"/>
        <v>0</v>
      </c>
      <c r="Q810" s="527"/>
      <c r="R810" s="354">
        <f>IF(ISERROR(VLOOKUP("RIC"&amp;$C810,ESTR_PREC_SP!$A$2:$G$2000,4,FALSE))=TRUE,0,VLOOKUP("RIC"&amp;$C810,ESTR_PREC_SP!$A$2:$G$2000,4,FALSE))</f>
        <v>0</v>
      </c>
      <c r="S810" s="521"/>
      <c r="T810" s="527"/>
      <c r="U810" s="527"/>
      <c r="V810" s="527"/>
      <c r="W810" s="527"/>
      <c r="X810" s="527"/>
      <c r="Y810" s="529">
        <f t="shared" si="144"/>
        <v>0</v>
      </c>
      <c r="Z810" s="529">
        <f>+R810+Y810+Q810</f>
        <v>0</v>
      </c>
      <c r="AA810" s="527"/>
      <c r="AB810" s="527"/>
      <c r="AC810" s="527"/>
    </row>
    <row r="811" spans="2:29" s="204" customFormat="1" x14ac:dyDescent="0.25">
      <c r="B811" s="246" t="s">
        <v>1992</v>
      </c>
      <c r="C811" s="287" t="s">
        <v>1993</v>
      </c>
      <c r="D811" s="274" t="s">
        <v>3903</v>
      </c>
      <c r="E811" s="274"/>
      <c r="F811" s="274"/>
      <c r="G811" s="283"/>
      <c r="H811" s="266"/>
      <c r="I811" s="427"/>
      <c r="J811" s="281"/>
      <c r="K811" s="281"/>
      <c r="L811" s="379" t="s">
        <v>1995</v>
      </c>
      <c r="M811" s="284" t="s">
        <v>2962</v>
      </c>
      <c r="N811" s="435">
        <f>+R811</f>
        <v>0</v>
      </c>
      <c r="O811" s="435">
        <f>+Z811</f>
        <v>0</v>
      </c>
      <c r="P811" s="271">
        <f t="shared" si="143"/>
        <v>0</v>
      </c>
      <c r="Q811" s="527"/>
      <c r="R811" s="354">
        <f>IF(ISERROR(VLOOKUP("RIC"&amp;$C811,ESTR_PREC_SP!$A$2:$G$2000,4,FALSE))=TRUE,0,VLOOKUP("RIC"&amp;$C811,ESTR_PREC_SP!$A$2:$G$2000,4,FALSE))</f>
        <v>0</v>
      </c>
      <c r="S811" s="521"/>
      <c r="T811" s="527"/>
      <c r="U811" s="527"/>
      <c r="V811" s="527"/>
      <c r="W811" s="527"/>
      <c r="X811" s="527"/>
      <c r="Y811" s="529">
        <f t="shared" si="144"/>
        <v>0</v>
      </c>
      <c r="Z811" s="529">
        <f>+R811+Y811+Q811</f>
        <v>0</v>
      </c>
      <c r="AA811" s="527"/>
      <c r="AB811" s="527"/>
      <c r="AC811" s="527"/>
    </row>
    <row r="812" spans="2:29" s="204" customFormat="1" x14ac:dyDescent="0.25">
      <c r="B812" s="246" t="s">
        <v>1996</v>
      </c>
      <c r="C812" s="287" t="s">
        <v>1997</v>
      </c>
      <c r="D812" s="274" t="s">
        <v>3904</v>
      </c>
      <c r="E812" s="274"/>
      <c r="F812" s="274"/>
      <c r="G812" s="283"/>
      <c r="H812" s="266"/>
      <c r="I812" s="274"/>
      <c r="J812" s="281"/>
      <c r="K812" s="281"/>
      <c r="L812" s="295" t="s">
        <v>2000</v>
      </c>
      <c r="M812" s="284" t="s">
        <v>2962</v>
      </c>
      <c r="N812" s="436">
        <f>SUM(N813:N815)</f>
        <v>0</v>
      </c>
      <c r="O812" s="436">
        <f>SUM(O813:O815)</f>
        <v>0</v>
      </c>
      <c r="P812" s="378">
        <f t="shared" si="143"/>
        <v>0</v>
      </c>
      <c r="Q812" s="436">
        <f>SUM(Q813:Q815)</f>
        <v>0</v>
      </c>
      <c r="R812" s="436">
        <f>SUM(R813:R815)</f>
        <v>0</v>
      </c>
      <c r="S812" s="521"/>
      <c r="T812" s="436">
        <f>SUM(T813:T815)</f>
        <v>0</v>
      </c>
      <c r="U812" s="436">
        <f>SUM(U813:U815)</f>
        <v>0</v>
      </c>
      <c r="V812" s="436">
        <f>SUM(V813:V815)</f>
        <v>0</v>
      </c>
      <c r="W812" s="436">
        <f>SUM(W813:W815)</f>
        <v>0</v>
      </c>
      <c r="X812" s="436">
        <f>SUM(X813:X815)</f>
        <v>0</v>
      </c>
      <c r="Y812" s="540">
        <f t="shared" si="144"/>
        <v>0</v>
      </c>
      <c r="Z812" s="540">
        <f>+R812+Y812</f>
        <v>0</v>
      </c>
      <c r="AA812" s="436">
        <f>SUM(AA813:AA815)</f>
        <v>0</v>
      </c>
      <c r="AB812" s="436">
        <f>SUM(AB813:AB815)</f>
        <v>0</v>
      </c>
      <c r="AC812" s="436">
        <f>SUM(AC813:AC815)</f>
        <v>0</v>
      </c>
    </row>
    <row r="813" spans="2:29" s="204" customFormat="1" x14ac:dyDescent="0.25">
      <c r="B813" s="246" t="s">
        <v>2001</v>
      </c>
      <c r="C813" s="287" t="s">
        <v>2002</v>
      </c>
      <c r="D813" s="274" t="s">
        <v>3905</v>
      </c>
      <c r="E813" s="274"/>
      <c r="F813" s="274"/>
      <c r="G813" s="390"/>
      <c r="H813" s="391"/>
      <c r="I813" s="389"/>
      <c r="J813" s="281"/>
      <c r="K813" s="281"/>
      <c r="L813" s="379" t="s">
        <v>2004</v>
      </c>
      <c r="M813" s="284" t="s">
        <v>2962</v>
      </c>
      <c r="N813" s="435">
        <f>+R813</f>
        <v>0</v>
      </c>
      <c r="O813" s="435">
        <f>+Z813</f>
        <v>0</v>
      </c>
      <c r="P813" s="271">
        <f t="shared" si="143"/>
        <v>0</v>
      </c>
      <c r="Q813" s="527"/>
      <c r="R813" s="354">
        <f>IF(ISERROR(VLOOKUP("RIC"&amp;$C813,ESTR_PREC_SP!$A$2:$G$2000,4,FALSE))=TRUE,0,VLOOKUP("RIC"&amp;$C813,ESTR_PREC_SP!$A$2:$G$2000,4,FALSE))</f>
        <v>0</v>
      </c>
      <c r="S813" s="521"/>
      <c r="T813" s="527"/>
      <c r="U813" s="527"/>
      <c r="V813" s="355"/>
      <c r="W813" s="527"/>
      <c r="X813" s="527"/>
      <c r="Y813" s="529">
        <f t="shared" si="144"/>
        <v>0</v>
      </c>
      <c r="Z813" s="529">
        <f>+R813+Y813+Q813</f>
        <v>0</v>
      </c>
      <c r="AA813" s="527"/>
      <c r="AB813" s="527"/>
      <c r="AC813" s="527"/>
    </row>
    <row r="814" spans="2:29" s="204" customFormat="1" x14ac:dyDescent="0.25">
      <c r="B814" s="246" t="s">
        <v>2005</v>
      </c>
      <c r="C814" s="287" t="s">
        <v>2006</v>
      </c>
      <c r="D814" s="274" t="s">
        <v>3906</v>
      </c>
      <c r="E814" s="274"/>
      <c r="F814" s="274"/>
      <c r="G814" s="437"/>
      <c r="H814" s="266"/>
      <c r="I814" s="437"/>
      <c r="J814" s="281"/>
      <c r="K814" s="281"/>
      <c r="L814" s="379" t="s">
        <v>2008</v>
      </c>
      <c r="M814" s="284" t="s">
        <v>2962</v>
      </c>
      <c r="N814" s="435">
        <f>+R814</f>
        <v>0</v>
      </c>
      <c r="O814" s="435">
        <f>+Z814</f>
        <v>0</v>
      </c>
      <c r="P814" s="271">
        <f t="shared" si="143"/>
        <v>0</v>
      </c>
      <c r="Q814" s="527"/>
      <c r="R814" s="354">
        <f>IF(ISERROR(VLOOKUP("RIC"&amp;$C814,ESTR_PREC_SP!$A$2:$G$2000,4,FALSE))=TRUE,0,VLOOKUP("RIC"&amp;$C814,ESTR_PREC_SP!$A$2:$G$2000,4,FALSE))</f>
        <v>0</v>
      </c>
      <c r="S814" s="521"/>
      <c r="T814" s="527"/>
      <c r="U814" s="527"/>
      <c r="V814" s="355"/>
      <c r="W814" s="527"/>
      <c r="X814" s="527"/>
      <c r="Y814" s="529">
        <f t="shared" si="144"/>
        <v>0</v>
      </c>
      <c r="Z814" s="529">
        <f>+R814+Y814+Q814</f>
        <v>0</v>
      </c>
      <c r="AA814" s="527"/>
      <c r="AB814" s="527"/>
      <c r="AC814" s="527"/>
    </row>
    <row r="815" spans="2:29" s="204" customFormat="1" x14ac:dyDescent="0.25">
      <c r="B815" s="246" t="s">
        <v>2009</v>
      </c>
      <c r="C815" s="287" t="s">
        <v>2010</v>
      </c>
      <c r="D815" s="274" t="s">
        <v>3907</v>
      </c>
      <c r="E815" s="274"/>
      <c r="F815" s="274"/>
      <c r="G815" s="437"/>
      <c r="H815" s="266"/>
      <c r="I815" s="437"/>
      <c r="J815" s="281"/>
      <c r="K815" s="281"/>
      <c r="L815" s="379" t="s">
        <v>2012</v>
      </c>
      <c r="M815" s="284" t="s">
        <v>2962</v>
      </c>
      <c r="N815" s="435">
        <f>+R815</f>
        <v>0</v>
      </c>
      <c r="O815" s="435">
        <f>+Z815</f>
        <v>0</v>
      </c>
      <c r="P815" s="271">
        <f t="shared" si="143"/>
        <v>0</v>
      </c>
      <c r="Q815" s="527"/>
      <c r="R815" s="354">
        <f>IF(ISERROR(VLOOKUP("RIC"&amp;$C815,ESTR_PREC_SP!$A$2:$G$2000,4,FALSE))=TRUE,0,VLOOKUP("RIC"&amp;$C815,ESTR_PREC_SP!$A$2:$G$2000,4,FALSE))</f>
        <v>0</v>
      </c>
      <c r="S815" s="521"/>
      <c r="T815" s="527"/>
      <c r="U815" s="527"/>
      <c r="V815" s="355"/>
      <c r="W815" s="527"/>
      <c r="X815" s="527"/>
      <c r="Y815" s="529">
        <f t="shared" si="144"/>
        <v>0</v>
      </c>
      <c r="Z815" s="529">
        <f>+R815+Y815+Q815</f>
        <v>0</v>
      </c>
      <c r="AA815" s="527"/>
      <c r="AB815" s="527"/>
      <c r="AC815" s="527"/>
    </row>
    <row r="816" spans="2:29" s="204" customFormat="1" x14ac:dyDescent="0.25">
      <c r="B816" s="246" t="s">
        <v>2013</v>
      </c>
      <c r="C816" s="287" t="s">
        <v>2014</v>
      </c>
      <c r="D816" s="274" t="s">
        <v>3908</v>
      </c>
      <c r="E816" s="274"/>
      <c r="F816" s="274"/>
      <c r="G816" s="283"/>
      <c r="H816" s="266"/>
      <c r="I816" s="427"/>
      <c r="J816" s="281"/>
      <c r="K816" s="281"/>
      <c r="L816" s="295" t="s">
        <v>2018</v>
      </c>
      <c r="M816" s="284" t="s">
        <v>2962</v>
      </c>
      <c r="N816" s="435">
        <f>+R816</f>
        <v>0</v>
      </c>
      <c r="O816" s="435">
        <f>+Z816</f>
        <v>0</v>
      </c>
      <c r="P816" s="271">
        <f t="shared" si="143"/>
        <v>0</v>
      </c>
      <c r="Q816" s="527"/>
      <c r="R816" s="354">
        <f>IF(ISERROR(VLOOKUP("RIC"&amp;$C816,ESTR_PREC_SP!$A$2:$G$2000,4,FALSE))=TRUE,0,VLOOKUP("RIC"&amp;$C816,ESTR_PREC_SP!$A$2:$G$2000,4,FALSE))</f>
        <v>0</v>
      </c>
      <c r="S816" s="521"/>
      <c r="T816" s="527"/>
      <c r="U816" s="527"/>
      <c r="V816" s="355"/>
      <c r="W816" s="527"/>
      <c r="X816" s="527"/>
      <c r="Y816" s="529">
        <f t="shared" si="144"/>
        <v>0</v>
      </c>
      <c r="Z816" s="529">
        <f>+R816+Y816+Q816</f>
        <v>0</v>
      </c>
      <c r="AA816" s="527"/>
      <c r="AB816" s="527"/>
      <c r="AC816" s="527"/>
    </row>
    <row r="817" spans="2:29" s="204" customFormat="1" x14ac:dyDescent="0.25">
      <c r="B817" s="246" t="s">
        <v>2019</v>
      </c>
      <c r="C817" s="287" t="s">
        <v>2020</v>
      </c>
      <c r="D817" s="274" t="s">
        <v>3909</v>
      </c>
      <c r="E817" s="274"/>
      <c r="F817" s="274"/>
      <c r="G817" s="283"/>
      <c r="H817" s="266"/>
      <c r="I817" s="274"/>
      <c r="J817" s="281"/>
      <c r="K817" s="281"/>
      <c r="L817" s="295" t="s">
        <v>2024</v>
      </c>
      <c r="M817" s="284" t="s">
        <v>2962</v>
      </c>
      <c r="N817" s="438">
        <f>+R817</f>
        <v>0</v>
      </c>
      <c r="O817" s="438">
        <f>+Z817+Q817</f>
        <v>0</v>
      </c>
      <c r="P817" s="271">
        <f t="shared" si="143"/>
        <v>0</v>
      </c>
      <c r="Q817" s="527"/>
      <c r="R817" s="354">
        <f>IF(ISERROR(VLOOKUP("RIC"&amp;$C817,ESTR_PREC_SP!$A$2:$G$2000,4,FALSE))=TRUE,0,VLOOKUP("RIC"&amp;$C817,ESTR_PREC_SP!$A$2:$G$2000,4,FALSE))</f>
        <v>0</v>
      </c>
      <c r="S817" s="355"/>
      <c r="T817" s="355"/>
      <c r="U817" s="355"/>
      <c r="V817" s="355"/>
      <c r="W817" s="355"/>
      <c r="X817" s="355"/>
      <c r="Y817" s="355">
        <f t="shared" si="144"/>
        <v>0</v>
      </c>
      <c r="Z817" s="527"/>
      <c r="AA817" s="355"/>
      <c r="AB817" s="355"/>
      <c r="AC817" s="355"/>
    </row>
    <row r="818" spans="2:29" s="204" customFormat="1" ht="39.75" customHeight="1" x14ac:dyDescent="0.25">
      <c r="B818" s="384"/>
      <c r="C818" s="384"/>
      <c r="D818" s="382"/>
      <c r="E818" s="382"/>
      <c r="F818" s="382"/>
      <c r="G818" s="382"/>
      <c r="H818" s="382"/>
      <c r="I818" s="382"/>
      <c r="J818" s="382"/>
      <c r="K818" s="382"/>
      <c r="L818" s="344" t="s">
        <v>3910</v>
      </c>
      <c r="M818" s="439"/>
      <c r="N818" s="383"/>
      <c r="O818" s="383"/>
      <c r="P818" s="383"/>
      <c r="Q818" s="383"/>
      <c r="R818" s="275"/>
      <c r="S818" s="275"/>
      <c r="T818" s="383"/>
      <c r="U818" s="383"/>
      <c r="V818" s="211"/>
      <c r="W818" s="211"/>
      <c r="X818" s="211"/>
      <c r="Y818" s="440"/>
      <c r="Z818" s="440"/>
      <c r="AA818" s="440"/>
    </row>
    <row r="819" spans="2:29" s="204" customFormat="1" x14ac:dyDescent="0.25">
      <c r="B819" s="384"/>
      <c r="C819" s="384"/>
      <c r="D819" s="382"/>
      <c r="E819" s="382"/>
      <c r="F819" s="382"/>
      <c r="G819" s="382"/>
      <c r="H819" s="382"/>
      <c r="I819" s="382"/>
      <c r="J819" s="382"/>
      <c r="K819" s="382"/>
      <c r="L819" s="275"/>
      <c r="M819" s="439"/>
      <c r="N819" s="383"/>
      <c r="O819" s="383"/>
      <c r="P819" s="383"/>
      <c r="Q819" s="383"/>
      <c r="R819" s="275"/>
      <c r="S819" s="275"/>
      <c r="T819" s="383"/>
      <c r="U819" s="383"/>
      <c r="V819" s="211"/>
      <c r="W819" s="211"/>
      <c r="X819" s="211"/>
      <c r="Y819" s="440"/>
      <c r="Z819" s="440"/>
      <c r="AA819" s="440"/>
    </row>
    <row r="820" spans="2:29" s="204" customFormat="1" x14ac:dyDescent="0.25">
      <c r="B820" s="230"/>
      <c r="C820" s="230"/>
      <c r="D820" s="230"/>
      <c r="E820" s="230"/>
      <c r="F820" s="230"/>
      <c r="G820" s="230"/>
      <c r="H820" s="231"/>
      <c r="I820" s="230"/>
      <c r="J820" s="230"/>
      <c r="K820" s="230"/>
      <c r="L820" s="232"/>
      <c r="M820" s="211"/>
      <c r="N820" s="254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</row>
    <row r="821" spans="2:29" s="204" customFormat="1" x14ac:dyDescent="0.25">
      <c r="B821" s="233" t="s">
        <v>2025</v>
      </c>
      <c r="C821" s="233" t="s">
        <v>2026</v>
      </c>
      <c r="D821" s="234" t="s">
        <v>3911</v>
      </c>
      <c r="E821" s="234"/>
      <c r="F821" s="234"/>
      <c r="G821" s="234"/>
      <c r="H821" s="235"/>
      <c r="I821" s="234"/>
      <c r="J821" s="234"/>
      <c r="K821" s="234"/>
      <c r="L821" s="236" t="s">
        <v>2027</v>
      </c>
      <c r="M821" s="237" t="s">
        <v>2962</v>
      </c>
      <c r="N821" s="238">
        <f>+N823+N829+N840+N852+N871</f>
        <v>0</v>
      </c>
      <c r="O821" s="238">
        <f>+O823+O829+O840+O852+O871</f>
        <v>0</v>
      </c>
      <c r="P821" s="239">
        <f>+O821-N821</f>
        <v>0</v>
      </c>
      <c r="Q821" s="238">
        <f t="shared" ref="Q821:X821" si="148">+Q823+Q829+Q840+Q852+Q871</f>
        <v>0</v>
      </c>
      <c r="R821" s="238">
        <f t="shared" si="148"/>
        <v>0</v>
      </c>
      <c r="S821" s="238">
        <f t="shared" si="148"/>
        <v>0</v>
      </c>
      <c r="T821" s="238">
        <f t="shared" si="148"/>
        <v>0</v>
      </c>
      <c r="U821" s="238">
        <f t="shared" si="148"/>
        <v>0</v>
      </c>
      <c r="V821" s="238">
        <f t="shared" si="148"/>
        <v>0</v>
      </c>
      <c r="W821" s="238">
        <f t="shared" si="148"/>
        <v>0</v>
      </c>
      <c r="X821" s="238">
        <f t="shared" si="148"/>
        <v>0</v>
      </c>
      <c r="Y821" s="211"/>
      <c r="Z821" s="211"/>
      <c r="AA821" s="211"/>
    </row>
    <row r="822" spans="2:29" s="204" customFormat="1" x14ac:dyDescent="0.25">
      <c r="B822" s="230"/>
      <c r="C822" s="230"/>
      <c r="D822" s="230"/>
      <c r="E822" s="230"/>
      <c r="F822" s="230"/>
      <c r="G822" s="230"/>
      <c r="H822" s="231"/>
      <c r="I822" s="230"/>
      <c r="J822" s="211"/>
      <c r="K822" s="211"/>
      <c r="L822" s="232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</row>
    <row r="823" spans="2:29" s="204" customFormat="1" x14ac:dyDescent="0.25">
      <c r="B823" s="246" t="s">
        <v>2028</v>
      </c>
      <c r="C823" s="246" t="s">
        <v>2029</v>
      </c>
      <c r="D823" s="247" t="s">
        <v>3912</v>
      </c>
      <c r="E823" s="247"/>
      <c r="F823" s="247"/>
      <c r="G823" s="247"/>
      <c r="H823" s="248"/>
      <c r="I823" s="247"/>
      <c r="J823" s="247"/>
      <c r="K823" s="249"/>
      <c r="L823" s="441" t="s">
        <v>2033</v>
      </c>
      <c r="M823" s="251" t="s">
        <v>2962</v>
      </c>
      <c r="N823" s="252">
        <f>SUM(N826:N827)</f>
        <v>0</v>
      </c>
      <c r="O823" s="252">
        <f>SUM(O826:O827)</f>
        <v>0</v>
      </c>
      <c r="P823" s="253">
        <f>+O823-N823</f>
        <v>0</v>
      </c>
      <c r="Q823" s="252">
        <f t="shared" ref="Q823:X823" si="149">SUM(Q826:Q827)</f>
        <v>0</v>
      </c>
      <c r="R823" s="252">
        <f t="shared" si="149"/>
        <v>0</v>
      </c>
      <c r="S823" s="252">
        <f t="shared" si="149"/>
        <v>0</v>
      </c>
      <c r="T823" s="252">
        <f t="shared" si="149"/>
        <v>0</v>
      </c>
      <c r="U823" s="252">
        <f t="shared" si="149"/>
        <v>0</v>
      </c>
      <c r="V823" s="252">
        <f t="shared" si="149"/>
        <v>0</v>
      </c>
      <c r="W823" s="252">
        <f t="shared" si="149"/>
        <v>0</v>
      </c>
      <c r="X823" s="252">
        <f t="shared" si="149"/>
        <v>0</v>
      </c>
      <c r="Y823" s="211"/>
      <c r="Z823" s="211"/>
      <c r="AA823" s="211"/>
    </row>
    <row r="824" spans="2:29" s="204" customFormat="1" x14ac:dyDescent="0.25">
      <c r="B824" s="211"/>
      <c r="C824" s="211"/>
      <c r="D824" s="211"/>
      <c r="E824" s="211"/>
      <c r="F824" s="211"/>
      <c r="G824" s="211"/>
      <c r="H824" s="353"/>
      <c r="I824" s="211"/>
      <c r="J824" s="211"/>
      <c r="K824" s="211"/>
      <c r="L824" s="243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</row>
    <row r="825" spans="2:29" s="204" customFormat="1" ht="39" customHeight="1" x14ac:dyDescent="0.25">
      <c r="B825" s="260" t="s">
        <v>2968</v>
      </c>
      <c r="C825" s="260" t="s">
        <v>2969</v>
      </c>
      <c r="D825" s="206" t="s">
        <v>72</v>
      </c>
      <c r="E825" s="206"/>
      <c r="F825" s="206"/>
      <c r="G825" s="207"/>
      <c r="H825" s="207"/>
      <c r="I825" s="207"/>
      <c r="J825" s="207" t="s">
        <v>2957</v>
      </c>
      <c r="K825" s="206" t="s">
        <v>82</v>
      </c>
      <c r="L825" s="261" t="s">
        <v>3670</v>
      </c>
      <c r="M825" s="256"/>
      <c r="N825" s="256" t="str">
        <f>N$15</f>
        <v>Valore netto al 31/12/2019</v>
      </c>
      <c r="O825" s="256" t="str">
        <f>O$15</f>
        <v>Valore netto al 31/12/2020</v>
      </c>
      <c r="P825" s="256" t="str">
        <f>P$15</f>
        <v>Variazione</v>
      </c>
      <c r="Q825" s="262" t="s">
        <v>2971</v>
      </c>
      <c r="R825" s="442" t="s">
        <v>3877</v>
      </c>
      <c r="S825" s="346" t="s">
        <v>2972</v>
      </c>
      <c r="T825" s="442" t="s">
        <v>3913</v>
      </c>
      <c r="U825" s="442" t="s">
        <v>3914</v>
      </c>
      <c r="V825" s="442" t="s">
        <v>3915</v>
      </c>
      <c r="W825" s="262" t="s">
        <v>2975</v>
      </c>
      <c r="X825" s="442" t="s">
        <v>3883</v>
      </c>
      <c r="Y825" s="211"/>
      <c r="Z825" s="211"/>
      <c r="AA825" s="211"/>
    </row>
    <row r="826" spans="2:29" s="204" customFormat="1" x14ac:dyDescent="0.25">
      <c r="B826" s="246" t="s">
        <v>2034</v>
      </c>
      <c r="C826" s="284" t="s">
        <v>2035</v>
      </c>
      <c r="D826" s="274" t="s">
        <v>3916</v>
      </c>
      <c r="E826" s="274"/>
      <c r="F826" s="274"/>
      <c r="G826" s="283"/>
      <c r="H826" s="266"/>
      <c r="I826" s="274"/>
      <c r="J826" s="281"/>
      <c r="K826" s="281"/>
      <c r="L826" s="295" t="s">
        <v>3917</v>
      </c>
      <c r="M826" s="284" t="s">
        <v>2962</v>
      </c>
      <c r="N826" s="443">
        <f>+R826</f>
        <v>0</v>
      </c>
      <c r="O826" s="443">
        <f>+X826</f>
        <v>0</v>
      </c>
      <c r="P826" s="271">
        <f>+O826-N826</f>
        <v>0</v>
      </c>
      <c r="Q826" s="541"/>
      <c r="R826" s="354">
        <f>IF(ISERROR(VLOOKUP("RIC"&amp;$C826,ESTR_PREC_SP!$A$2:$G$2000,4,FALSE))=TRUE,0,VLOOKUP("RIC"&amp;$C826,ESTR_PREC_SP!$A$2:$G$2000,4,FALSE))</f>
        <v>0</v>
      </c>
      <c r="S826" s="521"/>
      <c r="T826" s="541"/>
      <c r="U826" s="541"/>
      <c r="V826" s="378">
        <f>+Utilizzi_Fondi_Ric!$F$4</f>
        <v>0</v>
      </c>
      <c r="W826" s="541"/>
      <c r="X826" s="408">
        <f>+R826+S826+T826+U826-V826+W826+Q826</f>
        <v>0</v>
      </c>
      <c r="Y826" s="211"/>
      <c r="Z826" s="211"/>
      <c r="AA826" s="211"/>
    </row>
    <row r="827" spans="2:29" s="204" customFormat="1" x14ac:dyDescent="0.25">
      <c r="B827" s="246" t="s">
        <v>2037</v>
      </c>
      <c r="C827" s="284" t="s">
        <v>2038</v>
      </c>
      <c r="D827" s="274" t="s">
        <v>3918</v>
      </c>
      <c r="E827" s="274"/>
      <c r="F827" s="274"/>
      <c r="G827" s="283"/>
      <c r="H827" s="266"/>
      <c r="I827" s="274"/>
      <c r="J827" s="281"/>
      <c r="K827" s="281"/>
      <c r="L827" s="295" t="s">
        <v>3919</v>
      </c>
      <c r="M827" s="284" t="s">
        <v>2962</v>
      </c>
      <c r="N827" s="443">
        <f>+R827</f>
        <v>0</v>
      </c>
      <c r="O827" s="443">
        <f>+X827</f>
        <v>0</v>
      </c>
      <c r="P827" s="271">
        <f>+O827-N827</f>
        <v>0</v>
      </c>
      <c r="Q827" s="541"/>
      <c r="R827" s="354">
        <f>IF(ISERROR(VLOOKUP("RIC"&amp;$C827,ESTR_PREC_SP!$A$2:$G$2000,4,FALSE))=TRUE,0,VLOOKUP("RIC"&amp;$C827,ESTR_PREC_SP!$A$2:$G$2000,4,FALSE))</f>
        <v>0</v>
      </c>
      <c r="S827" s="521"/>
      <c r="T827" s="541"/>
      <c r="U827" s="541"/>
      <c r="V827" s="378">
        <f>+Utilizzi_Fondi_Ric!$G$4</f>
        <v>0</v>
      </c>
      <c r="W827" s="541"/>
      <c r="X827" s="408">
        <f>+R827+S827+T827+U827-V827+W827+Q827</f>
        <v>0</v>
      </c>
      <c r="Y827" s="211"/>
      <c r="Z827" s="211"/>
      <c r="AA827" s="211"/>
    </row>
    <row r="828" spans="2:29" s="204" customFormat="1" x14ac:dyDescent="0.25"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32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</row>
    <row r="829" spans="2:29" s="204" customFormat="1" x14ac:dyDescent="0.25">
      <c r="B829" s="246" t="s">
        <v>2040</v>
      </c>
      <c r="C829" s="246" t="s">
        <v>2041</v>
      </c>
      <c r="D829" s="247" t="s">
        <v>3920</v>
      </c>
      <c r="E829" s="247"/>
      <c r="F829" s="247"/>
      <c r="G829" s="247"/>
      <c r="H829" s="248"/>
      <c r="I829" s="247"/>
      <c r="J829" s="247"/>
      <c r="K829" s="249"/>
      <c r="L829" s="441" t="s">
        <v>2043</v>
      </c>
      <c r="M829" s="251" t="s">
        <v>2962</v>
      </c>
      <c r="N829" s="252">
        <f>SUM(N832:N838)</f>
        <v>0</v>
      </c>
      <c r="O829" s="252">
        <f>SUM(O832:O838)</f>
        <v>0</v>
      </c>
      <c r="P829" s="253">
        <f>+O829-N829</f>
        <v>0</v>
      </c>
      <c r="Q829" s="252">
        <f t="shared" ref="Q829:X829" si="150">SUM(Q832:Q838)</f>
        <v>0</v>
      </c>
      <c r="R829" s="252">
        <f t="shared" si="150"/>
        <v>0</v>
      </c>
      <c r="S829" s="252">
        <f t="shared" si="150"/>
        <v>0</v>
      </c>
      <c r="T829" s="252">
        <f t="shared" si="150"/>
        <v>0</v>
      </c>
      <c r="U829" s="252">
        <f t="shared" si="150"/>
        <v>0</v>
      </c>
      <c r="V829" s="252">
        <f t="shared" si="150"/>
        <v>0</v>
      </c>
      <c r="W829" s="252">
        <f t="shared" si="150"/>
        <v>0</v>
      </c>
      <c r="X829" s="252">
        <f t="shared" si="150"/>
        <v>0</v>
      </c>
      <c r="Y829" s="211"/>
      <c r="Z829" s="211"/>
      <c r="AA829" s="211"/>
    </row>
    <row r="830" spans="2:29" s="204" customFormat="1" x14ac:dyDescent="0.25"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32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</row>
    <row r="831" spans="2:29" s="204" customFormat="1" ht="39" customHeight="1" x14ac:dyDescent="0.25">
      <c r="B831" s="260" t="s">
        <v>2968</v>
      </c>
      <c r="C831" s="260" t="s">
        <v>2969</v>
      </c>
      <c r="D831" s="206" t="s">
        <v>72</v>
      </c>
      <c r="E831" s="206"/>
      <c r="F831" s="206"/>
      <c r="G831" s="207"/>
      <c r="H831" s="207"/>
      <c r="I831" s="207"/>
      <c r="J831" s="207" t="s">
        <v>2957</v>
      </c>
      <c r="K831" s="206" t="s">
        <v>82</v>
      </c>
      <c r="L831" s="256" t="s">
        <v>3670</v>
      </c>
      <c r="M831" s="256"/>
      <c r="N831" s="256" t="str">
        <f>N$15</f>
        <v>Valore netto al 31/12/2019</v>
      </c>
      <c r="O831" s="256" t="str">
        <f>O$15</f>
        <v>Valore netto al 31/12/2020</v>
      </c>
      <c r="P831" s="256" t="str">
        <f>P$15</f>
        <v>Variazione</v>
      </c>
      <c r="Q831" s="262" t="s">
        <v>2971</v>
      </c>
      <c r="R831" s="442" t="s">
        <v>3877</v>
      </c>
      <c r="S831" s="346" t="s">
        <v>2972</v>
      </c>
      <c r="T831" s="442" t="s">
        <v>3913</v>
      </c>
      <c r="U831" s="442" t="s">
        <v>3914</v>
      </c>
      <c r="V831" s="442" t="s">
        <v>3915</v>
      </c>
      <c r="W831" s="262" t="s">
        <v>2975</v>
      </c>
      <c r="X831" s="442" t="s">
        <v>3883</v>
      </c>
      <c r="Y831" s="211"/>
      <c r="Z831" s="211"/>
      <c r="AA831" s="211"/>
    </row>
    <row r="832" spans="2:29" s="204" customFormat="1" x14ac:dyDescent="0.25">
      <c r="B832" s="246" t="s">
        <v>2044</v>
      </c>
      <c r="C832" s="284" t="s">
        <v>2045</v>
      </c>
      <c r="D832" s="274" t="s">
        <v>3921</v>
      </c>
      <c r="E832" s="274"/>
      <c r="F832" s="274"/>
      <c r="G832" s="283"/>
      <c r="H832" s="266"/>
      <c r="I832" s="274"/>
      <c r="J832" s="281"/>
      <c r="K832" s="281"/>
      <c r="L832" s="282" t="s">
        <v>2048</v>
      </c>
      <c r="M832" s="284" t="s">
        <v>2962</v>
      </c>
      <c r="N832" s="443">
        <f t="shared" ref="N832:N838" si="151">+R832</f>
        <v>0</v>
      </c>
      <c r="O832" s="443">
        <f t="shared" ref="O832:O838" si="152">+X832</f>
        <v>0</v>
      </c>
      <c r="P832" s="271">
        <f t="shared" ref="P832:P838" si="153">+O832-N832</f>
        <v>0</v>
      </c>
      <c r="Q832" s="541"/>
      <c r="R832" s="354">
        <f>IF(ISERROR(VLOOKUP("RIC"&amp;$C832,ESTR_PREC_SP!$A$2:$G$2000,4,FALSE))=TRUE,0,VLOOKUP("RIC"&amp;$C832,ESTR_PREC_SP!$A$2:$G$2000,4,FALSE))</f>
        <v>0</v>
      </c>
      <c r="S832" s="541"/>
      <c r="T832" s="541"/>
      <c r="U832" s="541"/>
      <c r="V832" s="378">
        <f>+Utilizzi_Fondi_Ric!$H$4</f>
        <v>0</v>
      </c>
      <c r="W832" s="541"/>
      <c r="X832" s="408">
        <f t="shared" ref="X832:X838" si="154">+R832+S832+T832+U832-V832+W832+Q832</f>
        <v>0</v>
      </c>
      <c r="Y832" s="211"/>
      <c r="Z832" s="211"/>
      <c r="AA832" s="211"/>
    </row>
    <row r="833" spans="1:27" s="204" customFormat="1" x14ac:dyDescent="0.25">
      <c r="B833" s="246" t="s">
        <v>2049</v>
      </c>
      <c r="C833" s="284" t="s">
        <v>2050</v>
      </c>
      <c r="D833" s="274" t="s">
        <v>3922</v>
      </c>
      <c r="E833" s="274"/>
      <c r="F833" s="274"/>
      <c r="G833" s="283"/>
      <c r="H833" s="266"/>
      <c r="I833" s="274"/>
      <c r="J833" s="281"/>
      <c r="K833" s="281"/>
      <c r="L833" s="295" t="s">
        <v>2053</v>
      </c>
      <c r="M833" s="284" t="s">
        <v>2962</v>
      </c>
      <c r="N833" s="443">
        <f t="shared" si="151"/>
        <v>0</v>
      </c>
      <c r="O833" s="443">
        <f t="shared" si="152"/>
        <v>0</v>
      </c>
      <c r="P833" s="271">
        <f t="shared" si="153"/>
        <v>0</v>
      </c>
      <c r="Q833" s="541"/>
      <c r="R833" s="354">
        <f>IF(ISERROR(VLOOKUP("RIC"&amp;$C833,ESTR_PREC_SP!$A$2:$G$2000,4,FALSE))=TRUE,0,VLOOKUP("RIC"&amp;$C833,ESTR_PREC_SP!$A$2:$G$2000,4,FALSE))</f>
        <v>0</v>
      </c>
      <c r="S833" s="541"/>
      <c r="T833" s="541"/>
      <c r="U833" s="541"/>
      <c r="V833" s="378">
        <f>+Utilizzi_Fondi_Ric!$I$4</f>
        <v>0</v>
      </c>
      <c r="W833" s="541"/>
      <c r="X833" s="408">
        <f t="shared" si="154"/>
        <v>0</v>
      </c>
      <c r="Y833" s="211"/>
      <c r="Z833" s="211"/>
      <c r="AA833" s="211"/>
    </row>
    <row r="834" spans="1:27" s="204" customFormat="1" x14ac:dyDescent="0.25">
      <c r="B834" s="246" t="s">
        <v>2054</v>
      </c>
      <c r="C834" s="284" t="s">
        <v>2055</v>
      </c>
      <c r="D834" s="274" t="s">
        <v>3923</v>
      </c>
      <c r="E834" s="274"/>
      <c r="F834" s="274"/>
      <c r="G834" s="283"/>
      <c r="H834" s="266"/>
      <c r="I834" s="274"/>
      <c r="J834" s="281"/>
      <c r="K834" s="281"/>
      <c r="L834" s="295" t="s">
        <v>2058</v>
      </c>
      <c r="M834" s="284" t="s">
        <v>2962</v>
      </c>
      <c r="N834" s="443">
        <f t="shared" si="151"/>
        <v>0</v>
      </c>
      <c r="O834" s="443">
        <f t="shared" si="152"/>
        <v>0</v>
      </c>
      <c r="P834" s="271">
        <f t="shared" si="153"/>
        <v>0</v>
      </c>
      <c r="Q834" s="541"/>
      <c r="R834" s="354">
        <f>IF(ISERROR(VLOOKUP("RIC"&amp;$C834,ESTR_PREC_SP!$A$2:$G$2000,4,FALSE))=TRUE,0,VLOOKUP("RIC"&amp;$C834,ESTR_PREC_SP!$A$2:$G$2000,4,FALSE))</f>
        <v>0</v>
      </c>
      <c r="S834" s="541"/>
      <c r="T834" s="541"/>
      <c r="U834" s="541"/>
      <c r="V834" s="378">
        <f>+Utilizzi_Fondi_Ric!$J$4</f>
        <v>0</v>
      </c>
      <c r="W834" s="541"/>
      <c r="X834" s="408">
        <f t="shared" si="154"/>
        <v>0</v>
      </c>
      <c r="Y834" s="211"/>
      <c r="Z834" s="211"/>
      <c r="AA834" s="211"/>
    </row>
    <row r="835" spans="1:27" s="204" customFormat="1" x14ac:dyDescent="0.25">
      <c r="B835" s="246" t="s">
        <v>2059</v>
      </c>
      <c r="C835" s="284" t="s">
        <v>2060</v>
      </c>
      <c r="D835" s="274" t="s">
        <v>3924</v>
      </c>
      <c r="E835" s="274"/>
      <c r="F835" s="274"/>
      <c r="G835" s="283"/>
      <c r="H835" s="266"/>
      <c r="I835" s="274"/>
      <c r="J835" s="281"/>
      <c r="K835" s="281"/>
      <c r="L835" s="295" t="s">
        <v>2063</v>
      </c>
      <c r="M835" s="284" t="s">
        <v>2962</v>
      </c>
      <c r="N835" s="443">
        <f t="shared" si="151"/>
        <v>0</v>
      </c>
      <c r="O835" s="443">
        <f t="shared" si="152"/>
        <v>0</v>
      </c>
      <c r="P835" s="271">
        <f t="shared" si="153"/>
        <v>0</v>
      </c>
      <c r="Q835" s="541"/>
      <c r="R835" s="354">
        <f>IF(ISERROR(VLOOKUP("RIC"&amp;$C835,ESTR_PREC_SP!$A$2:$G$2000,4,FALSE))=TRUE,0,VLOOKUP("RIC"&amp;$C835,ESTR_PREC_SP!$A$2:$G$2000,4,FALSE))</f>
        <v>0</v>
      </c>
      <c r="S835" s="541"/>
      <c r="T835" s="541"/>
      <c r="U835" s="541"/>
      <c r="V835" s="378">
        <f>+Utilizzi_Fondi_Ric!$K$4</f>
        <v>0</v>
      </c>
      <c r="W835" s="541"/>
      <c r="X835" s="408">
        <f t="shared" si="154"/>
        <v>0</v>
      </c>
      <c r="Y835" s="211"/>
      <c r="Z835" s="211"/>
      <c r="AA835" s="211"/>
    </row>
    <row r="836" spans="1:27" s="204" customFormat="1" x14ac:dyDescent="0.25">
      <c r="A836" s="535" t="s">
        <v>3681</v>
      </c>
      <c r="B836" s="536" t="s">
        <v>2064</v>
      </c>
      <c r="C836" s="536" t="s">
        <v>2065</v>
      </c>
      <c r="D836" s="536"/>
      <c r="E836" s="536"/>
      <c r="F836" s="536"/>
      <c r="G836" s="536"/>
      <c r="H836" s="536"/>
      <c r="I836" s="536"/>
      <c r="J836" s="536"/>
      <c r="K836" s="536"/>
      <c r="L836" s="536" t="s">
        <v>2067</v>
      </c>
      <c r="M836" s="284" t="s">
        <v>2962</v>
      </c>
      <c r="N836" s="443">
        <f t="shared" si="151"/>
        <v>0</v>
      </c>
      <c r="O836" s="443">
        <f t="shared" si="152"/>
        <v>0</v>
      </c>
      <c r="P836" s="271">
        <f t="shared" si="153"/>
        <v>0</v>
      </c>
      <c r="Q836" s="541"/>
      <c r="R836" s="354">
        <f>IF(ISERROR(VLOOKUP("RIC"&amp;$C836,ESTR_PREC_SP!$A$2:$G$2000,4,FALSE))=TRUE,0,VLOOKUP("RIC"&amp;$C836,ESTR_PREC_SP!$A$2:$G$2000,4,FALSE))</f>
        <v>0</v>
      </c>
      <c r="S836" s="541"/>
      <c r="T836" s="541"/>
      <c r="U836" s="541"/>
      <c r="V836" s="378">
        <f>+Utilizzi_Fondi_Ric!$L$4</f>
        <v>0</v>
      </c>
      <c r="W836" s="541"/>
      <c r="X836" s="408">
        <f t="shared" si="154"/>
        <v>0</v>
      </c>
      <c r="Y836" s="211"/>
      <c r="Z836" s="211"/>
      <c r="AA836" s="211"/>
    </row>
    <row r="837" spans="1:27" s="204" customFormat="1" x14ac:dyDescent="0.25">
      <c r="A837" s="535" t="s">
        <v>3681</v>
      </c>
      <c r="B837" s="536" t="s">
        <v>2068</v>
      </c>
      <c r="C837" s="536" t="s">
        <v>2069</v>
      </c>
      <c r="D837" s="536"/>
      <c r="E837" s="536"/>
      <c r="F837" s="536"/>
      <c r="G837" s="536"/>
      <c r="H837" s="536"/>
      <c r="I837" s="536"/>
      <c r="J837" s="536"/>
      <c r="K837" s="536"/>
      <c r="L837" s="536" t="s">
        <v>2071</v>
      </c>
      <c r="M837" s="284" t="s">
        <v>2962</v>
      </c>
      <c r="N837" s="443">
        <f t="shared" si="151"/>
        <v>0</v>
      </c>
      <c r="O837" s="443">
        <f t="shared" si="152"/>
        <v>0</v>
      </c>
      <c r="P837" s="271">
        <f t="shared" si="153"/>
        <v>0</v>
      </c>
      <c r="Q837" s="541"/>
      <c r="R837" s="354">
        <f>IF(ISERROR(VLOOKUP("RIC"&amp;$C837,ESTR_PREC_SP!$A$2:$G$2000,4,FALSE))=TRUE,0,VLOOKUP("RIC"&amp;$C837,ESTR_PREC_SP!$A$2:$G$2000,4,FALSE))</f>
        <v>0</v>
      </c>
      <c r="S837" s="541"/>
      <c r="T837" s="541"/>
      <c r="U837" s="541"/>
      <c r="V837" s="378">
        <f>+Utilizzi_Fondi_Ric!$M$4</f>
        <v>0</v>
      </c>
      <c r="W837" s="541"/>
      <c r="X837" s="408">
        <f t="shared" si="154"/>
        <v>0</v>
      </c>
      <c r="Y837" s="211"/>
      <c r="Z837" s="211"/>
      <c r="AA837" s="211"/>
    </row>
    <row r="838" spans="1:27" s="204" customFormat="1" x14ac:dyDescent="0.25">
      <c r="B838" s="246" t="s">
        <v>2072</v>
      </c>
      <c r="C838" s="284" t="s">
        <v>2073</v>
      </c>
      <c r="D838" s="274" t="s">
        <v>3925</v>
      </c>
      <c r="E838" s="274"/>
      <c r="F838" s="274"/>
      <c r="G838" s="283"/>
      <c r="H838" s="266"/>
      <c r="I838" s="274"/>
      <c r="J838" s="281"/>
      <c r="K838" s="281"/>
      <c r="L838" s="295" t="s">
        <v>3926</v>
      </c>
      <c r="M838" s="284" t="s">
        <v>2962</v>
      </c>
      <c r="N838" s="443">
        <f t="shared" si="151"/>
        <v>0</v>
      </c>
      <c r="O838" s="443">
        <f t="shared" si="152"/>
        <v>0</v>
      </c>
      <c r="P838" s="271">
        <f t="shared" si="153"/>
        <v>0</v>
      </c>
      <c r="Q838" s="527"/>
      <c r="R838" s="354">
        <f>IF(ISERROR(VLOOKUP("RIC"&amp;$C838,ESTR_PREC_SP!$A$2:$G$2000,4,FALSE))=TRUE,0,VLOOKUP("RIC"&amp;$C838,ESTR_PREC_SP!$A$2:$G$2000,4,FALSE))</f>
        <v>0</v>
      </c>
      <c r="S838" s="527"/>
      <c r="T838" s="541"/>
      <c r="U838" s="541"/>
      <c r="V838" s="378">
        <f>+Utilizzi_Fondi_Ric!$N$4</f>
        <v>0</v>
      </c>
      <c r="W838" s="541"/>
      <c r="X838" s="408">
        <f t="shared" si="154"/>
        <v>0</v>
      </c>
      <c r="Y838" s="211"/>
      <c r="Z838" s="211"/>
      <c r="AA838" s="211"/>
    </row>
    <row r="839" spans="1:27" s="204" customFormat="1" x14ac:dyDescent="0.25">
      <c r="B839" s="384"/>
      <c r="C839" s="384"/>
      <c r="D839" s="382"/>
      <c r="E839" s="382"/>
      <c r="F839" s="382"/>
      <c r="G839" s="382"/>
      <c r="H839" s="382"/>
      <c r="I839" s="382"/>
      <c r="J839" s="382"/>
      <c r="K839" s="382"/>
      <c r="L839" s="275"/>
      <c r="M839" s="275"/>
      <c r="N839" s="383"/>
      <c r="O839" s="383"/>
      <c r="P839" s="384"/>
      <c r="Q839" s="211"/>
      <c r="R839" s="444"/>
      <c r="S839" s="444"/>
      <c r="T839" s="211"/>
      <c r="U839" s="211"/>
      <c r="V839" s="211"/>
      <c r="W839" s="211"/>
      <c r="X839" s="211"/>
      <c r="Y839" s="211"/>
      <c r="Z839" s="211"/>
      <c r="AA839" s="211"/>
    </row>
    <row r="840" spans="1:27" s="204" customFormat="1" x14ac:dyDescent="0.25">
      <c r="B840" s="246" t="s">
        <v>2077</v>
      </c>
      <c r="C840" s="246" t="s">
        <v>2078</v>
      </c>
      <c r="D840" s="247" t="s">
        <v>3927</v>
      </c>
      <c r="E840" s="247"/>
      <c r="F840" s="247"/>
      <c r="G840" s="247"/>
      <c r="H840" s="248"/>
      <c r="I840" s="247"/>
      <c r="J840" s="247"/>
      <c r="K840" s="249"/>
      <c r="L840" s="441" t="s">
        <v>2080</v>
      </c>
      <c r="M840" s="251" t="s">
        <v>2962</v>
      </c>
      <c r="N840" s="252">
        <f>SUM(N843:N849)</f>
        <v>0</v>
      </c>
      <c r="O840" s="252">
        <f>SUM(O843:O849)</f>
        <v>0</v>
      </c>
      <c r="P840" s="253">
        <f>+O840-N840</f>
        <v>0</v>
      </c>
      <c r="Q840" s="252">
        <f t="shared" ref="Q840:X840" si="155">SUM(Q843:Q849)</f>
        <v>0</v>
      </c>
      <c r="R840" s="252">
        <f t="shared" si="155"/>
        <v>0</v>
      </c>
      <c r="S840" s="252">
        <f t="shared" si="155"/>
        <v>0</v>
      </c>
      <c r="T840" s="252">
        <f t="shared" si="155"/>
        <v>0</v>
      </c>
      <c r="U840" s="252">
        <f t="shared" si="155"/>
        <v>0</v>
      </c>
      <c r="V840" s="252">
        <f t="shared" si="155"/>
        <v>0</v>
      </c>
      <c r="W840" s="252">
        <f t="shared" si="155"/>
        <v>0</v>
      </c>
      <c r="X840" s="252">
        <f t="shared" si="155"/>
        <v>0</v>
      </c>
      <c r="Y840" s="211"/>
      <c r="Z840" s="211"/>
      <c r="AA840" s="211"/>
    </row>
    <row r="841" spans="1:27" s="447" customFormat="1" ht="15.75" hidden="1" customHeight="1" x14ac:dyDescent="0.25">
      <c r="A841" s="204"/>
      <c r="B841" s="445"/>
      <c r="C841" s="445"/>
      <c r="D841" s="445"/>
      <c r="E841" s="445"/>
      <c r="F841" s="445"/>
      <c r="G841" s="445"/>
      <c r="H841" s="445"/>
      <c r="I841" s="445"/>
      <c r="J841" s="445"/>
      <c r="K841" s="445"/>
      <c r="L841" s="446"/>
      <c r="M841" s="445"/>
      <c r="N841" s="445"/>
      <c r="O841" s="445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</row>
    <row r="842" spans="1:27" s="447" customFormat="1" ht="27" hidden="1" customHeight="1" x14ac:dyDescent="0.25">
      <c r="A842" s="204"/>
      <c r="B842" s="448" t="s">
        <v>2968</v>
      </c>
      <c r="C842" s="448" t="s">
        <v>2969</v>
      </c>
      <c r="D842" s="449" t="s">
        <v>72</v>
      </c>
      <c r="E842" s="449"/>
      <c r="F842" s="449"/>
      <c r="G842" s="450"/>
      <c r="H842" s="450"/>
      <c r="I842" s="450"/>
      <c r="J842" s="450" t="s">
        <v>2957</v>
      </c>
      <c r="K842" s="449" t="s">
        <v>82</v>
      </c>
      <c r="L842" s="451" t="s">
        <v>3670</v>
      </c>
      <c r="M842" s="451"/>
      <c r="N842" s="452" t="str">
        <f>+N831</f>
        <v>Valore netto al 31/12/2019</v>
      </c>
      <c r="O842" s="452" t="str">
        <f>+O831</f>
        <v>Valore netto al 31/12/2020</v>
      </c>
      <c r="P842" s="448" t="s">
        <v>3928</v>
      </c>
      <c r="Q842" s="445"/>
      <c r="R842" s="453" t="s">
        <v>3877</v>
      </c>
      <c r="S842" s="453" t="s">
        <v>3913</v>
      </c>
      <c r="T842" s="453" t="s">
        <v>3914</v>
      </c>
      <c r="U842" s="453"/>
      <c r="V842" s="453" t="s">
        <v>3915</v>
      </c>
      <c r="W842" s="453" t="s">
        <v>3883</v>
      </c>
      <c r="X842" s="453" t="s">
        <v>3883</v>
      </c>
      <c r="Y842" s="445"/>
      <c r="Z842" s="445"/>
      <c r="AA842" s="445"/>
    </row>
    <row r="843" spans="1:27" s="447" customFormat="1" ht="15.75" hidden="1" customHeight="1" x14ac:dyDescent="0.25">
      <c r="A843" s="204"/>
      <c r="B843" s="454" t="s">
        <v>2082</v>
      </c>
      <c r="C843" s="454" t="s">
        <v>2082</v>
      </c>
      <c r="D843" s="455" t="s">
        <v>3929</v>
      </c>
      <c r="E843" s="455"/>
      <c r="F843" s="455"/>
      <c r="G843" s="456"/>
      <c r="H843" s="457"/>
      <c r="I843" s="455"/>
      <c r="J843" s="455"/>
      <c r="K843" s="455"/>
      <c r="L843" s="458" t="s">
        <v>2085</v>
      </c>
      <c r="M843" s="454" t="s">
        <v>2962</v>
      </c>
      <c r="N843" s="459">
        <f t="shared" ref="N843:N850" si="156">+R843</f>
        <v>0</v>
      </c>
      <c r="O843" s="459">
        <f t="shared" ref="O843:O850" si="157">+X843</f>
        <v>0</v>
      </c>
      <c r="P843" s="460">
        <f t="shared" ref="P843:P850" si="158">+O843-N843</f>
        <v>0</v>
      </c>
      <c r="Q843" s="445"/>
      <c r="R843" s="460"/>
      <c r="S843" s="460"/>
      <c r="T843" s="460"/>
      <c r="U843" s="460"/>
      <c r="V843" s="460"/>
      <c r="W843" s="460">
        <f t="shared" ref="W843:W850" si="159">+Q843+R843+S843-T843</f>
        <v>0</v>
      </c>
      <c r="X843" s="460">
        <f t="shared" ref="X843:X850" si="160">+R843+S843+T843-V843</f>
        <v>0</v>
      </c>
      <c r="Y843" s="445"/>
      <c r="Z843" s="445" t="s">
        <v>3930</v>
      </c>
      <c r="AA843" s="445"/>
    </row>
    <row r="844" spans="1:27" s="447" customFormat="1" ht="15.75" hidden="1" customHeight="1" x14ac:dyDescent="0.25">
      <c r="A844" s="204"/>
      <c r="B844" s="454" t="s">
        <v>2087</v>
      </c>
      <c r="C844" s="454" t="s">
        <v>2087</v>
      </c>
      <c r="D844" s="455" t="s">
        <v>3931</v>
      </c>
      <c r="E844" s="455"/>
      <c r="F844" s="455"/>
      <c r="G844" s="456"/>
      <c r="H844" s="457"/>
      <c r="I844" s="455"/>
      <c r="J844" s="455"/>
      <c r="K844" s="455"/>
      <c r="L844" s="461" t="s">
        <v>2090</v>
      </c>
      <c r="M844" s="454" t="s">
        <v>2962</v>
      </c>
      <c r="N844" s="459">
        <f t="shared" si="156"/>
        <v>0</v>
      </c>
      <c r="O844" s="459">
        <f t="shared" si="157"/>
        <v>0</v>
      </c>
      <c r="P844" s="460">
        <f t="shared" si="158"/>
        <v>0</v>
      </c>
      <c r="Q844" s="445"/>
      <c r="R844" s="460"/>
      <c r="S844" s="460"/>
      <c r="T844" s="460"/>
      <c r="U844" s="460"/>
      <c r="V844" s="460"/>
      <c r="W844" s="460">
        <f t="shared" si="159"/>
        <v>0</v>
      </c>
      <c r="X844" s="460">
        <f t="shared" si="160"/>
        <v>0</v>
      </c>
      <c r="Y844" s="445"/>
      <c r="Z844" s="445" t="s">
        <v>3932</v>
      </c>
      <c r="AA844" s="445"/>
    </row>
    <row r="845" spans="1:27" s="447" customFormat="1" ht="15.75" hidden="1" customHeight="1" x14ac:dyDescent="0.25">
      <c r="A845" s="204"/>
      <c r="B845" s="454" t="s">
        <v>2092</v>
      </c>
      <c r="C845" s="454" t="s">
        <v>2092</v>
      </c>
      <c r="D845" s="455" t="s">
        <v>3933</v>
      </c>
      <c r="E845" s="455"/>
      <c r="F845" s="455"/>
      <c r="G845" s="456"/>
      <c r="H845" s="457"/>
      <c r="I845" s="455"/>
      <c r="J845" s="455"/>
      <c r="K845" s="455"/>
      <c r="L845" s="461" t="s">
        <v>2095</v>
      </c>
      <c r="M845" s="454" t="s">
        <v>2962</v>
      </c>
      <c r="N845" s="459">
        <f t="shared" si="156"/>
        <v>0</v>
      </c>
      <c r="O845" s="459">
        <f t="shared" si="157"/>
        <v>0</v>
      </c>
      <c r="P845" s="460">
        <f t="shared" si="158"/>
        <v>0</v>
      </c>
      <c r="Q845" s="445"/>
      <c r="R845" s="460"/>
      <c r="S845" s="460"/>
      <c r="T845" s="460"/>
      <c r="U845" s="460"/>
      <c r="V845" s="460"/>
      <c r="W845" s="460">
        <f t="shared" si="159"/>
        <v>0</v>
      </c>
      <c r="X845" s="460">
        <f t="shared" si="160"/>
        <v>0</v>
      </c>
      <c r="Y845" s="445"/>
      <c r="Z845" s="445"/>
      <c r="AA845" s="445"/>
    </row>
    <row r="846" spans="1:27" s="447" customFormat="1" ht="15.75" hidden="1" customHeight="1" x14ac:dyDescent="0.25">
      <c r="A846" s="204"/>
      <c r="B846" s="454" t="s">
        <v>2097</v>
      </c>
      <c r="C846" s="454" t="s">
        <v>2097</v>
      </c>
      <c r="D846" s="455" t="s">
        <v>3934</v>
      </c>
      <c r="E846" s="455"/>
      <c r="F846" s="455"/>
      <c r="G846" s="456"/>
      <c r="H846" s="457"/>
      <c r="I846" s="455"/>
      <c r="J846" s="455"/>
      <c r="K846" s="455"/>
      <c r="L846" s="461" t="s">
        <v>2100</v>
      </c>
      <c r="M846" s="454" t="s">
        <v>2962</v>
      </c>
      <c r="N846" s="459">
        <f t="shared" si="156"/>
        <v>0</v>
      </c>
      <c r="O846" s="459">
        <f t="shared" si="157"/>
        <v>0</v>
      </c>
      <c r="P846" s="460">
        <f t="shared" si="158"/>
        <v>0</v>
      </c>
      <c r="Q846" s="445"/>
      <c r="R846" s="460"/>
      <c r="S846" s="460"/>
      <c r="T846" s="460"/>
      <c r="U846" s="460"/>
      <c r="V846" s="460"/>
      <c r="W846" s="460">
        <f t="shared" si="159"/>
        <v>0</v>
      </c>
      <c r="X846" s="460">
        <f t="shared" si="160"/>
        <v>0</v>
      </c>
      <c r="Y846" s="445"/>
      <c r="Z846" s="445"/>
      <c r="AA846" s="445"/>
    </row>
    <row r="847" spans="1:27" s="447" customFormat="1" ht="15.75" hidden="1" customHeight="1" x14ac:dyDescent="0.25">
      <c r="A847" s="204"/>
      <c r="B847" s="454" t="s">
        <v>2102</v>
      </c>
      <c r="C847" s="454" t="s">
        <v>2102</v>
      </c>
      <c r="D847" s="455" t="s">
        <v>3935</v>
      </c>
      <c r="E847" s="455"/>
      <c r="F847" s="455"/>
      <c r="G847" s="456"/>
      <c r="H847" s="457"/>
      <c r="I847" s="455"/>
      <c r="J847" s="455"/>
      <c r="K847" s="455"/>
      <c r="L847" s="461" t="s">
        <v>2105</v>
      </c>
      <c r="M847" s="454" t="s">
        <v>2962</v>
      </c>
      <c r="N847" s="459">
        <f t="shared" si="156"/>
        <v>0</v>
      </c>
      <c r="O847" s="459">
        <f t="shared" si="157"/>
        <v>0</v>
      </c>
      <c r="P847" s="460">
        <f t="shared" si="158"/>
        <v>0</v>
      </c>
      <c r="Q847" s="445"/>
      <c r="R847" s="460"/>
      <c r="S847" s="460"/>
      <c r="T847" s="460"/>
      <c r="U847" s="460"/>
      <c r="V847" s="460"/>
      <c r="W847" s="460">
        <f t="shared" si="159"/>
        <v>0</v>
      </c>
      <c r="X847" s="460">
        <f t="shared" si="160"/>
        <v>0</v>
      </c>
      <c r="Y847" s="445"/>
      <c r="Z847" s="445"/>
      <c r="AA847" s="445"/>
    </row>
    <row r="848" spans="1:27" s="447" customFormat="1" ht="15.75" hidden="1" customHeight="1" x14ac:dyDescent="0.25">
      <c r="A848" s="204"/>
      <c r="B848" s="454" t="s">
        <v>2107</v>
      </c>
      <c r="C848" s="454" t="s">
        <v>2107</v>
      </c>
      <c r="D848" s="455" t="s">
        <v>3936</v>
      </c>
      <c r="E848" s="455"/>
      <c r="F848" s="455"/>
      <c r="G848" s="456"/>
      <c r="H848" s="457"/>
      <c r="I848" s="455"/>
      <c r="J848" s="455"/>
      <c r="K848" s="455"/>
      <c r="L848" s="461" t="s">
        <v>2110</v>
      </c>
      <c r="M848" s="454" t="s">
        <v>2962</v>
      </c>
      <c r="N848" s="459">
        <f t="shared" si="156"/>
        <v>0</v>
      </c>
      <c r="O848" s="459">
        <f t="shared" si="157"/>
        <v>0</v>
      </c>
      <c r="P848" s="460">
        <f t="shared" si="158"/>
        <v>0</v>
      </c>
      <c r="Q848" s="445"/>
      <c r="R848" s="460"/>
      <c r="S848" s="460"/>
      <c r="T848" s="460"/>
      <c r="U848" s="460"/>
      <c r="V848" s="460"/>
      <c r="W848" s="460">
        <f t="shared" si="159"/>
        <v>0</v>
      </c>
      <c r="X848" s="460">
        <f t="shared" si="160"/>
        <v>0</v>
      </c>
      <c r="Y848" s="445"/>
      <c r="Z848" s="445"/>
      <c r="AA848" s="445"/>
    </row>
    <row r="849" spans="1:27" s="447" customFormat="1" ht="15.75" hidden="1" customHeight="1" x14ac:dyDescent="0.25">
      <c r="A849" s="204"/>
      <c r="B849" s="454" t="s">
        <v>2112</v>
      </c>
      <c r="C849" s="454" t="s">
        <v>2112</v>
      </c>
      <c r="D849" s="455" t="s">
        <v>3937</v>
      </c>
      <c r="E849" s="455"/>
      <c r="F849" s="455"/>
      <c r="G849" s="456"/>
      <c r="H849" s="457"/>
      <c r="I849" s="455"/>
      <c r="J849" s="455"/>
      <c r="K849" s="455"/>
      <c r="L849" s="461" t="s">
        <v>2115</v>
      </c>
      <c r="M849" s="454" t="s">
        <v>2962</v>
      </c>
      <c r="N849" s="459">
        <f t="shared" si="156"/>
        <v>0</v>
      </c>
      <c r="O849" s="459">
        <f t="shared" si="157"/>
        <v>0</v>
      </c>
      <c r="P849" s="460">
        <f t="shared" si="158"/>
        <v>0</v>
      </c>
      <c r="Q849" s="445"/>
      <c r="R849" s="460"/>
      <c r="S849" s="460"/>
      <c r="T849" s="460"/>
      <c r="U849" s="460"/>
      <c r="V849" s="460"/>
      <c r="W849" s="460">
        <f t="shared" si="159"/>
        <v>0</v>
      </c>
      <c r="X849" s="460">
        <f t="shared" si="160"/>
        <v>0</v>
      </c>
      <c r="Y849" s="445"/>
      <c r="Z849" s="445"/>
      <c r="AA849" s="445"/>
    </row>
    <row r="850" spans="1:27" s="447" customFormat="1" ht="15.75" hidden="1" customHeight="1" x14ac:dyDescent="0.25">
      <c r="A850" s="204" t="s">
        <v>3681</v>
      </c>
      <c r="B850" s="462" t="s">
        <v>2118</v>
      </c>
      <c r="C850" s="462" t="s">
        <v>2118</v>
      </c>
      <c r="D850" s="463"/>
      <c r="E850" s="463"/>
      <c r="F850" s="463"/>
      <c r="G850" s="464"/>
      <c r="H850" s="465"/>
      <c r="I850" s="463"/>
      <c r="J850" s="463"/>
      <c r="K850" s="463"/>
      <c r="L850" s="466"/>
      <c r="M850" s="454" t="s">
        <v>2962</v>
      </c>
      <c r="N850" s="459">
        <f t="shared" si="156"/>
        <v>0</v>
      </c>
      <c r="O850" s="459">
        <f t="shared" si="157"/>
        <v>0</v>
      </c>
      <c r="P850" s="460">
        <f t="shared" si="158"/>
        <v>0</v>
      </c>
      <c r="Q850" s="445"/>
      <c r="R850" s="460"/>
      <c r="S850" s="460"/>
      <c r="T850" s="460"/>
      <c r="U850" s="460"/>
      <c r="V850" s="460"/>
      <c r="W850" s="460">
        <f t="shared" si="159"/>
        <v>0</v>
      </c>
      <c r="X850" s="460">
        <f t="shared" si="160"/>
        <v>0</v>
      </c>
      <c r="Y850" s="445"/>
      <c r="Z850" s="445"/>
      <c r="AA850" s="445"/>
    </row>
    <row r="851" spans="1:27" s="204" customFormat="1" x14ac:dyDescent="0.25">
      <c r="B851" s="381"/>
      <c r="C851" s="381"/>
      <c r="D851" s="382"/>
      <c r="E851" s="382"/>
      <c r="F851" s="382"/>
      <c r="G851" s="382"/>
      <c r="H851" s="382"/>
      <c r="I851" s="382"/>
      <c r="J851" s="382"/>
      <c r="K851" s="382"/>
      <c r="L851" s="275"/>
      <c r="M851" s="275"/>
      <c r="N851" s="383"/>
      <c r="O851" s="383"/>
      <c r="P851" s="384"/>
      <c r="Q851" s="211"/>
      <c r="R851" s="444"/>
      <c r="S851" s="444"/>
      <c r="T851" s="211"/>
      <c r="U851" s="211"/>
      <c r="V851" s="211"/>
      <c r="W851" s="211"/>
      <c r="X851" s="211"/>
      <c r="Y851" s="211"/>
      <c r="Z851" s="211"/>
      <c r="AA851" s="211"/>
    </row>
    <row r="852" spans="1:27" s="204" customFormat="1" x14ac:dyDescent="0.25">
      <c r="B852" s="246" t="s">
        <v>2122</v>
      </c>
      <c r="C852" s="292" t="s">
        <v>2123</v>
      </c>
      <c r="D852" s="247" t="s">
        <v>3938</v>
      </c>
      <c r="E852" s="247"/>
      <c r="F852" s="247"/>
      <c r="G852" s="247"/>
      <c r="H852" s="248"/>
      <c r="I852" s="247"/>
      <c r="J852" s="247"/>
      <c r="K852" s="249"/>
      <c r="L852" s="441" t="s">
        <v>2125</v>
      </c>
      <c r="M852" s="251" t="s">
        <v>2962</v>
      </c>
      <c r="N852" s="252">
        <f>+N856+N861+N862+N868+N855</f>
        <v>0</v>
      </c>
      <c r="O852" s="252">
        <f>+O856+O861+O862+O868+O855</f>
        <v>0</v>
      </c>
      <c r="P852" s="253">
        <f>+O852-N852</f>
        <v>0</v>
      </c>
      <c r="Q852" s="252">
        <f>+Q856+Q861+Q862+Q868+Q855</f>
        <v>0</v>
      </c>
      <c r="R852" s="252">
        <f>+R856+R861+R862+R868</f>
        <v>0</v>
      </c>
      <c r="S852" s="252">
        <f>+S856+S861+S862+S868</f>
        <v>0</v>
      </c>
      <c r="T852" s="252">
        <f>+T856+T861+T862+T868</f>
        <v>0</v>
      </c>
      <c r="U852" s="252">
        <f>+U856+U861+U862+U868</f>
        <v>0</v>
      </c>
      <c r="V852" s="252">
        <f>+V856+V861+V862+V868+V855</f>
        <v>0</v>
      </c>
      <c r="W852" s="252">
        <f>+W856+W861+W862+W868</f>
        <v>0</v>
      </c>
      <c r="X852" s="252">
        <f>+X856+X861+X862+X868+X855</f>
        <v>0</v>
      </c>
      <c r="Y852" s="211"/>
      <c r="Z852" s="211"/>
      <c r="AA852" s="211"/>
    </row>
    <row r="853" spans="1:27" s="204" customFormat="1" x14ac:dyDescent="0.25"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32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</row>
    <row r="854" spans="1:27" s="204" customFormat="1" ht="39" customHeight="1" x14ac:dyDescent="0.25">
      <c r="B854" s="260" t="s">
        <v>2968</v>
      </c>
      <c r="C854" s="260" t="s">
        <v>2969</v>
      </c>
      <c r="D854" s="206" t="s">
        <v>72</v>
      </c>
      <c r="E854" s="206"/>
      <c r="F854" s="206"/>
      <c r="G854" s="207"/>
      <c r="H854" s="207"/>
      <c r="I854" s="207"/>
      <c r="J854" s="207" t="s">
        <v>2957</v>
      </c>
      <c r="K854" s="206" t="s">
        <v>82</v>
      </c>
      <c r="L854" s="256" t="s">
        <v>3670</v>
      </c>
      <c r="M854" s="256"/>
      <c r="N854" s="256" t="str">
        <f>N$15</f>
        <v>Valore netto al 31/12/2019</v>
      </c>
      <c r="O854" s="256" t="str">
        <f>O$15</f>
        <v>Valore netto al 31/12/2020</v>
      </c>
      <c r="P854" s="256" t="str">
        <f>P$15</f>
        <v>Variazione</v>
      </c>
      <c r="Q854" s="262" t="s">
        <v>2971</v>
      </c>
      <c r="R854" s="442" t="s">
        <v>3877</v>
      </c>
      <c r="S854" s="346" t="s">
        <v>2972</v>
      </c>
      <c r="T854" s="442" t="s">
        <v>3913</v>
      </c>
      <c r="U854" s="442" t="s">
        <v>3914</v>
      </c>
      <c r="V854" s="442" t="s">
        <v>3915</v>
      </c>
      <c r="W854" s="262" t="s">
        <v>2975</v>
      </c>
      <c r="X854" s="442" t="s">
        <v>3883</v>
      </c>
      <c r="Y854" s="211"/>
      <c r="Z854" s="211"/>
      <c r="AA854" s="211"/>
    </row>
    <row r="855" spans="1:27" s="204" customFormat="1" ht="39" customHeight="1" x14ac:dyDescent="0.25">
      <c r="A855" s="535" t="s">
        <v>3681</v>
      </c>
      <c r="B855" s="536" t="s">
        <v>2126</v>
      </c>
      <c r="C855" s="536" t="s">
        <v>2127</v>
      </c>
      <c r="D855" s="536"/>
      <c r="E855" s="536"/>
      <c r="F855" s="536"/>
      <c r="G855" s="536"/>
      <c r="H855" s="536"/>
      <c r="I855" s="536"/>
      <c r="J855" s="536"/>
      <c r="K855" s="536"/>
      <c r="L855" s="536" t="s">
        <v>2129</v>
      </c>
      <c r="M855" s="284" t="s">
        <v>2962</v>
      </c>
      <c r="N855" s="443">
        <f>+R855</f>
        <v>0</v>
      </c>
      <c r="O855" s="443">
        <f>+X855</f>
        <v>0</v>
      </c>
      <c r="P855" s="271">
        <f t="shared" ref="P855:P868" si="161">+O855-N855</f>
        <v>0</v>
      </c>
      <c r="Q855" s="527"/>
      <c r="R855" s="354">
        <f>IF(ISERROR(VLOOKUP("RIC"&amp;$C855,ESTR_PREC_SP!$A$2:$G$2000,4,FALSE))=TRUE,0,VLOOKUP("RIC"&amp;$C855,ESTR_PREC_SP!$A$2:$G$2000,4,FALSE))</f>
        <v>0</v>
      </c>
      <c r="S855" s="527"/>
      <c r="T855" s="541"/>
      <c r="U855" s="541"/>
      <c r="V855" s="527"/>
      <c r="W855" s="541"/>
      <c r="X855" s="408">
        <f>+R855+S855+T855+U855-V855+W855+Q855</f>
        <v>0</v>
      </c>
      <c r="Y855" s="211"/>
      <c r="Z855" s="211"/>
      <c r="AA855" s="211"/>
    </row>
    <row r="856" spans="1:27" s="204" customFormat="1" ht="32.25" customHeight="1" x14ac:dyDescent="0.25">
      <c r="B856" s="246" t="s">
        <v>2130</v>
      </c>
      <c r="C856" s="287" t="s">
        <v>2131</v>
      </c>
      <c r="D856" s="284" t="s">
        <v>3939</v>
      </c>
      <c r="E856" s="274"/>
      <c r="F856" s="274"/>
      <c r="G856" s="283"/>
      <c r="H856" s="266"/>
      <c r="I856" s="274"/>
      <c r="J856" s="281"/>
      <c r="K856" s="281"/>
      <c r="L856" s="469" t="s">
        <v>2134</v>
      </c>
      <c r="M856" s="284" t="s">
        <v>2962</v>
      </c>
      <c r="N856" s="470">
        <f>SUM(N857:N860)</f>
        <v>0</v>
      </c>
      <c r="O856" s="470">
        <f>SUM(O857:O860)</f>
        <v>0</v>
      </c>
      <c r="P856" s="378">
        <f t="shared" si="161"/>
        <v>0</v>
      </c>
      <c r="Q856" s="470">
        <f t="shared" ref="Q856:X856" si="162">SUM(Q857:Q860)</f>
        <v>0</v>
      </c>
      <c r="R856" s="470">
        <f t="shared" si="162"/>
        <v>0</v>
      </c>
      <c r="S856" s="470">
        <f t="shared" si="162"/>
        <v>0</v>
      </c>
      <c r="T856" s="470">
        <f t="shared" si="162"/>
        <v>0</v>
      </c>
      <c r="U856" s="470">
        <f t="shared" si="162"/>
        <v>0</v>
      </c>
      <c r="V856" s="470">
        <f t="shared" si="162"/>
        <v>0</v>
      </c>
      <c r="W856" s="470">
        <f t="shared" si="162"/>
        <v>0</v>
      </c>
      <c r="X856" s="470">
        <f t="shared" si="162"/>
        <v>0</v>
      </c>
      <c r="Y856" s="211"/>
      <c r="Z856" s="211"/>
      <c r="AA856" s="211"/>
    </row>
    <row r="857" spans="1:27" s="204" customFormat="1" ht="15" customHeight="1" x14ac:dyDescent="0.25">
      <c r="B857" s="246" t="s">
        <v>2135</v>
      </c>
      <c r="C857" s="287" t="s">
        <v>2136</v>
      </c>
      <c r="D857" s="284" t="s">
        <v>3940</v>
      </c>
      <c r="E857" s="274"/>
      <c r="F857" s="274"/>
      <c r="G857" s="283"/>
      <c r="H857" s="266"/>
      <c r="I857" s="274"/>
      <c r="J857" s="281"/>
      <c r="K857" s="281"/>
      <c r="L857" s="471" t="s">
        <v>3941</v>
      </c>
      <c r="M857" s="284" t="s">
        <v>2962</v>
      </c>
      <c r="N857" s="443">
        <f>+R857</f>
        <v>0</v>
      </c>
      <c r="O857" s="443">
        <f>+X857</f>
        <v>0</v>
      </c>
      <c r="P857" s="271">
        <f t="shared" si="161"/>
        <v>0</v>
      </c>
      <c r="Q857" s="527"/>
      <c r="R857" s="354">
        <f>IF(ISERROR(VLOOKUP("RIC"&amp;$C857,ESTR_PREC_SP!$A$2:$G$2000,4,FALSE))=TRUE,0,VLOOKUP("RIC"&amp;$C857,ESTR_PREC_SP!$A$2:$G$2000,4,FALSE))</f>
        <v>0</v>
      </c>
      <c r="S857" s="527"/>
      <c r="T857" s="541"/>
      <c r="U857" s="541"/>
      <c r="V857" s="527"/>
      <c r="W857" s="541"/>
      <c r="X857" s="408">
        <f>+R857+S857+T857+U857-V857+W857+Q857</f>
        <v>0</v>
      </c>
      <c r="Y857" s="211"/>
      <c r="Z857" s="211"/>
      <c r="AA857" s="211"/>
    </row>
    <row r="858" spans="1:27" s="204" customFormat="1" ht="15" customHeight="1" x14ac:dyDescent="0.25">
      <c r="B858" s="246" t="s">
        <v>2138</v>
      </c>
      <c r="C858" s="287" t="s">
        <v>2139</v>
      </c>
      <c r="D858" s="284" t="s">
        <v>3942</v>
      </c>
      <c r="E858" s="274"/>
      <c r="F858" s="274"/>
      <c r="G858" s="283"/>
      <c r="H858" s="266"/>
      <c r="I858" s="274"/>
      <c r="J858" s="281"/>
      <c r="K858" s="281"/>
      <c r="L858" s="471" t="s">
        <v>3943</v>
      </c>
      <c r="M858" s="284" t="s">
        <v>2962</v>
      </c>
      <c r="N858" s="443">
        <f>+R858</f>
        <v>0</v>
      </c>
      <c r="O858" s="443">
        <f>+X858</f>
        <v>0</v>
      </c>
      <c r="P858" s="271">
        <f t="shared" si="161"/>
        <v>0</v>
      </c>
      <c r="Q858" s="527"/>
      <c r="R858" s="354">
        <f>IF(ISERROR(VLOOKUP("RIC"&amp;$C858,ESTR_PREC_SP!$A$2:$G$2000,4,FALSE))=TRUE,0,VLOOKUP("RIC"&amp;$C858,ESTR_PREC_SP!$A$2:$G$2000,4,FALSE))</f>
        <v>0</v>
      </c>
      <c r="S858" s="527"/>
      <c r="T858" s="541"/>
      <c r="U858" s="541"/>
      <c r="V858" s="527"/>
      <c r="W858" s="541"/>
      <c r="X858" s="408">
        <f>+R858+S858+T858+U858-V858+W858+Q858</f>
        <v>0</v>
      </c>
      <c r="Y858" s="211"/>
      <c r="Z858" s="211"/>
      <c r="AA858" s="211"/>
    </row>
    <row r="859" spans="1:27" s="204" customFormat="1" ht="25.5" x14ac:dyDescent="0.25">
      <c r="B859" s="246" t="s">
        <v>2141</v>
      </c>
      <c r="C859" s="287" t="s">
        <v>2142</v>
      </c>
      <c r="D859" s="284" t="s">
        <v>3944</v>
      </c>
      <c r="E859" s="274"/>
      <c r="F859" s="274"/>
      <c r="G859" s="283"/>
      <c r="H859" s="266"/>
      <c r="I859" s="274"/>
      <c r="J859" s="281"/>
      <c r="K859" s="281"/>
      <c r="L859" s="471" t="s">
        <v>3945</v>
      </c>
      <c r="M859" s="284" t="s">
        <v>2962</v>
      </c>
      <c r="N859" s="443">
        <f>+R859</f>
        <v>0</v>
      </c>
      <c r="O859" s="443">
        <f>+X859</f>
        <v>0</v>
      </c>
      <c r="P859" s="271">
        <f t="shared" si="161"/>
        <v>0</v>
      </c>
      <c r="Q859" s="527"/>
      <c r="R859" s="354">
        <f>IF(ISERROR(VLOOKUP("RIC"&amp;$C859,ESTR_PREC_SP!$A$2:$G$2000,4,FALSE))=TRUE,0,VLOOKUP("RIC"&amp;$C859,ESTR_PREC_SP!$A$2:$G$2000,4,FALSE))</f>
        <v>0</v>
      </c>
      <c r="S859" s="527"/>
      <c r="T859" s="541"/>
      <c r="U859" s="541"/>
      <c r="V859" s="527"/>
      <c r="W859" s="541"/>
      <c r="X859" s="408">
        <f>+R859+S859+T859+U859-V859+W859+Q859</f>
        <v>0</v>
      </c>
      <c r="Y859" s="211"/>
      <c r="Z859" s="211"/>
      <c r="AA859" s="211"/>
    </row>
    <row r="860" spans="1:27" s="204" customFormat="1" ht="25.5" x14ac:dyDescent="0.25">
      <c r="B860" s="246" t="s">
        <v>2144</v>
      </c>
      <c r="C860" s="287" t="s">
        <v>2145</v>
      </c>
      <c r="D860" s="284" t="s">
        <v>3946</v>
      </c>
      <c r="E860" s="274"/>
      <c r="F860" s="274"/>
      <c r="G860" s="283"/>
      <c r="H860" s="266"/>
      <c r="I860" s="274"/>
      <c r="J860" s="281"/>
      <c r="K860" s="281"/>
      <c r="L860" s="471" t="s">
        <v>3947</v>
      </c>
      <c r="M860" s="284" t="s">
        <v>2962</v>
      </c>
      <c r="N860" s="443">
        <f>+R860</f>
        <v>0</v>
      </c>
      <c r="O860" s="443">
        <f>+X860</f>
        <v>0</v>
      </c>
      <c r="P860" s="271">
        <f t="shared" si="161"/>
        <v>0</v>
      </c>
      <c r="Q860" s="527"/>
      <c r="R860" s="354">
        <f>IF(ISERROR(VLOOKUP("RIC"&amp;$C860,ESTR_PREC_SP!$A$2:$G$2000,4,FALSE))=TRUE,0,VLOOKUP("RIC"&amp;$C860,ESTR_PREC_SP!$A$2:$G$2000,4,FALSE))</f>
        <v>0</v>
      </c>
      <c r="S860" s="527"/>
      <c r="T860" s="541"/>
      <c r="U860" s="541"/>
      <c r="V860" s="527"/>
      <c r="W860" s="541"/>
      <c r="X860" s="408">
        <f>+R860+S860+T860+U860-V860+W860+Q860</f>
        <v>0</v>
      </c>
      <c r="Y860" s="211"/>
      <c r="Z860" s="211"/>
      <c r="AA860" s="211"/>
    </row>
    <row r="861" spans="1:27" s="204" customFormat="1" x14ac:dyDescent="0.25">
      <c r="B861" s="246" t="s">
        <v>2147</v>
      </c>
      <c r="C861" s="287" t="s">
        <v>2148</v>
      </c>
      <c r="D861" s="284" t="s">
        <v>3948</v>
      </c>
      <c r="E861" s="274"/>
      <c r="F861" s="274"/>
      <c r="G861" s="283"/>
      <c r="H861" s="266"/>
      <c r="I861" s="274"/>
      <c r="J861" s="281"/>
      <c r="K861" s="281"/>
      <c r="L861" s="469" t="s">
        <v>3949</v>
      </c>
      <c r="M861" s="284" t="s">
        <v>2962</v>
      </c>
      <c r="N861" s="443">
        <f>+R861</f>
        <v>0</v>
      </c>
      <c r="O861" s="443">
        <f>+X861</f>
        <v>0</v>
      </c>
      <c r="P861" s="271">
        <f t="shared" si="161"/>
        <v>0</v>
      </c>
      <c r="Q861" s="527"/>
      <c r="R861" s="354">
        <f>IF(ISERROR(VLOOKUP("RIC"&amp;$C861,ESTR_PREC_SP!$A$2:$G$2000,4,FALSE))=TRUE,0,VLOOKUP("RIC"&amp;$C861,ESTR_PREC_SP!$A$2:$G$2000,4,FALSE))</f>
        <v>0</v>
      </c>
      <c r="S861" s="527"/>
      <c r="T861" s="541"/>
      <c r="U861" s="541"/>
      <c r="V861" s="527"/>
      <c r="W861" s="541"/>
      <c r="X861" s="408">
        <f>+R861+S861+T861+U861-V861+W861+Q861</f>
        <v>0</v>
      </c>
      <c r="Y861" s="211"/>
      <c r="Z861" s="211"/>
      <c r="AA861" s="211"/>
    </row>
    <row r="862" spans="1:27" s="204" customFormat="1" x14ac:dyDescent="0.25">
      <c r="B862" s="246" t="s">
        <v>2152</v>
      </c>
      <c r="C862" s="287" t="s">
        <v>2153</v>
      </c>
      <c r="D862" s="284" t="s">
        <v>3950</v>
      </c>
      <c r="E862" s="274"/>
      <c r="F862" s="274"/>
      <c r="G862" s="283"/>
      <c r="H862" s="266"/>
      <c r="I862" s="274"/>
      <c r="J862" s="281"/>
      <c r="K862" s="281"/>
      <c r="L862" s="469" t="s">
        <v>3951</v>
      </c>
      <c r="M862" s="284" t="s">
        <v>2962</v>
      </c>
      <c r="N862" s="470">
        <f>SUM(N863:N867)</f>
        <v>0</v>
      </c>
      <c r="O862" s="470">
        <f>SUM(O863:O867)</f>
        <v>0</v>
      </c>
      <c r="P862" s="378">
        <f t="shared" si="161"/>
        <v>0</v>
      </c>
      <c r="Q862" s="543">
        <f t="shared" ref="Q862:X862" si="163">SUM(Q863:Q867)</f>
        <v>0</v>
      </c>
      <c r="R862" s="470">
        <f t="shared" si="163"/>
        <v>0</v>
      </c>
      <c r="S862" s="543">
        <f t="shared" si="163"/>
        <v>0</v>
      </c>
      <c r="T862" s="470">
        <f t="shared" si="163"/>
        <v>0</v>
      </c>
      <c r="U862" s="470">
        <f t="shared" si="163"/>
        <v>0</v>
      </c>
      <c r="V862" s="470">
        <f t="shared" si="163"/>
        <v>0</v>
      </c>
      <c r="W862" s="470">
        <f t="shared" si="163"/>
        <v>0</v>
      </c>
      <c r="X862" s="470">
        <f t="shared" si="163"/>
        <v>0</v>
      </c>
      <c r="Y862" s="211"/>
      <c r="Z862" s="211"/>
      <c r="AA862" s="211"/>
    </row>
    <row r="863" spans="1:27" s="204" customFormat="1" ht="25.5" x14ac:dyDescent="0.25">
      <c r="B863" s="246" t="s">
        <v>2157</v>
      </c>
      <c r="C863" s="287" t="s">
        <v>2158</v>
      </c>
      <c r="D863" s="284" t="s">
        <v>3952</v>
      </c>
      <c r="E863" s="274"/>
      <c r="F863" s="274"/>
      <c r="G863" s="283"/>
      <c r="H863" s="266"/>
      <c r="I863" s="274"/>
      <c r="J863" s="281"/>
      <c r="K863" s="281"/>
      <c r="L863" s="471" t="s">
        <v>3953</v>
      </c>
      <c r="M863" s="284" t="s">
        <v>2962</v>
      </c>
      <c r="N863" s="443">
        <f t="shared" ref="N863:N868" si="164">+R863</f>
        <v>0</v>
      </c>
      <c r="O863" s="443">
        <f t="shared" ref="O863:O868" si="165">+X863</f>
        <v>0</v>
      </c>
      <c r="P863" s="271">
        <f t="shared" si="161"/>
        <v>0</v>
      </c>
      <c r="Q863" s="527"/>
      <c r="R863" s="354">
        <f>IF(ISERROR(VLOOKUP("RIC"&amp;$C863,ESTR_PREC_SP!$A$2:$G$2000,4,FALSE))=TRUE,0,VLOOKUP("RIC"&amp;$C863,ESTR_PREC_SP!$A$2:$G$2000,4,FALSE))</f>
        <v>0</v>
      </c>
      <c r="S863" s="527"/>
      <c r="T863" s="541"/>
      <c r="U863" s="541"/>
      <c r="V863" s="527"/>
      <c r="W863" s="541"/>
      <c r="X863" s="408">
        <f t="shared" ref="X863:X868" si="166">+R863+S863+T863+U863-V863+W863+Q863</f>
        <v>0</v>
      </c>
      <c r="Y863" s="211"/>
      <c r="Z863" s="211"/>
      <c r="AA863" s="211"/>
    </row>
    <row r="864" spans="1:27" s="204" customFormat="1" ht="25.5" x14ac:dyDescent="0.25">
      <c r="B864" s="246" t="s">
        <v>2160</v>
      </c>
      <c r="C864" s="287" t="s">
        <v>2161</v>
      </c>
      <c r="D864" s="284" t="s">
        <v>3954</v>
      </c>
      <c r="E864" s="274"/>
      <c r="F864" s="274"/>
      <c r="G864" s="283"/>
      <c r="H864" s="266"/>
      <c r="I864" s="274"/>
      <c r="J864" s="281"/>
      <c r="K864" s="281"/>
      <c r="L864" s="471" t="s">
        <v>3955</v>
      </c>
      <c r="M864" s="284" t="s">
        <v>2962</v>
      </c>
      <c r="N864" s="443">
        <f t="shared" si="164"/>
        <v>0</v>
      </c>
      <c r="O864" s="443">
        <f t="shared" si="165"/>
        <v>0</v>
      </c>
      <c r="P864" s="271">
        <f t="shared" si="161"/>
        <v>0</v>
      </c>
      <c r="Q864" s="527"/>
      <c r="R864" s="354">
        <f>IF(ISERROR(VLOOKUP("RIC"&amp;$C864,ESTR_PREC_SP!$A$2:$G$2000,4,FALSE))=TRUE,0,VLOOKUP("RIC"&amp;$C864,ESTR_PREC_SP!$A$2:$G$2000,4,FALSE))</f>
        <v>0</v>
      </c>
      <c r="S864" s="527"/>
      <c r="T864" s="541"/>
      <c r="U864" s="541"/>
      <c r="V864" s="527"/>
      <c r="W864" s="541"/>
      <c r="X864" s="408">
        <f t="shared" si="166"/>
        <v>0</v>
      </c>
      <c r="Y864" s="211"/>
      <c r="Z864" s="211"/>
      <c r="AA864" s="211"/>
    </row>
    <row r="865" spans="2:27" s="204" customFormat="1" ht="25.5" x14ac:dyDescent="0.25">
      <c r="B865" s="246" t="s">
        <v>2163</v>
      </c>
      <c r="C865" s="287" t="s">
        <v>2164</v>
      </c>
      <c r="D865" s="284" t="s">
        <v>3956</v>
      </c>
      <c r="E865" s="274"/>
      <c r="F865" s="274"/>
      <c r="G865" s="283"/>
      <c r="H865" s="266"/>
      <c r="I865" s="274"/>
      <c r="J865" s="281"/>
      <c r="K865" s="281"/>
      <c r="L865" s="471" t="s">
        <v>3957</v>
      </c>
      <c r="M865" s="284" t="s">
        <v>2962</v>
      </c>
      <c r="N865" s="443">
        <f t="shared" si="164"/>
        <v>0</v>
      </c>
      <c r="O865" s="443">
        <f t="shared" si="165"/>
        <v>0</v>
      </c>
      <c r="P865" s="271">
        <f t="shared" si="161"/>
        <v>0</v>
      </c>
      <c r="Q865" s="527"/>
      <c r="R865" s="354">
        <f>IF(ISERROR(VLOOKUP("RIC"&amp;$C865,ESTR_PREC_SP!$A$2:$G$2000,4,FALSE))=TRUE,0,VLOOKUP("RIC"&amp;$C865,ESTR_PREC_SP!$A$2:$G$2000,4,FALSE))</f>
        <v>0</v>
      </c>
      <c r="S865" s="527"/>
      <c r="T865" s="541"/>
      <c r="U865" s="541"/>
      <c r="V865" s="527"/>
      <c r="W865" s="541"/>
      <c r="X865" s="408">
        <f t="shared" si="166"/>
        <v>0</v>
      </c>
      <c r="Y865" s="211"/>
      <c r="Z865" s="211"/>
      <c r="AA865" s="211"/>
    </row>
    <row r="866" spans="2:27" s="204" customFormat="1" ht="25.5" x14ac:dyDescent="0.25">
      <c r="B866" s="246" t="s">
        <v>2166</v>
      </c>
      <c r="C866" s="287" t="s">
        <v>2167</v>
      </c>
      <c r="D866" s="284" t="s">
        <v>3958</v>
      </c>
      <c r="E866" s="274"/>
      <c r="F866" s="274"/>
      <c r="G866" s="283"/>
      <c r="H866" s="266"/>
      <c r="I866" s="274"/>
      <c r="J866" s="281"/>
      <c r="K866" s="281"/>
      <c r="L866" s="471" t="s">
        <v>3959</v>
      </c>
      <c r="M866" s="284" t="s">
        <v>2962</v>
      </c>
      <c r="N866" s="443">
        <f t="shared" si="164"/>
        <v>0</v>
      </c>
      <c r="O866" s="443">
        <f t="shared" si="165"/>
        <v>0</v>
      </c>
      <c r="P866" s="271">
        <f t="shared" si="161"/>
        <v>0</v>
      </c>
      <c r="Q866" s="527"/>
      <c r="R866" s="354">
        <f>IF(ISERROR(VLOOKUP("RIC"&amp;$C866,ESTR_PREC_SP!$A$2:$G$2000,4,FALSE))=TRUE,0,VLOOKUP("RIC"&amp;$C866,ESTR_PREC_SP!$A$2:$G$2000,4,FALSE))</f>
        <v>0</v>
      </c>
      <c r="S866" s="527"/>
      <c r="T866" s="541"/>
      <c r="U866" s="541"/>
      <c r="V866" s="527"/>
      <c r="W866" s="541"/>
      <c r="X866" s="408">
        <f t="shared" si="166"/>
        <v>0</v>
      </c>
      <c r="Y866" s="211"/>
      <c r="Z866" s="211"/>
      <c r="AA866" s="211"/>
    </row>
    <row r="867" spans="2:27" s="204" customFormat="1" ht="25.5" x14ac:dyDescent="0.25">
      <c r="B867" s="246" t="s">
        <v>2169</v>
      </c>
      <c r="C867" s="287" t="s">
        <v>2170</v>
      </c>
      <c r="D867" s="284" t="s">
        <v>3960</v>
      </c>
      <c r="E867" s="274"/>
      <c r="F867" s="274"/>
      <c r="G867" s="283"/>
      <c r="H867" s="266"/>
      <c r="I867" s="274"/>
      <c r="J867" s="281"/>
      <c r="K867" s="281"/>
      <c r="L867" s="471" t="s">
        <v>3961</v>
      </c>
      <c r="M867" s="284" t="s">
        <v>2962</v>
      </c>
      <c r="N867" s="443">
        <f t="shared" si="164"/>
        <v>0</v>
      </c>
      <c r="O867" s="443">
        <f t="shared" si="165"/>
        <v>0</v>
      </c>
      <c r="P867" s="271">
        <f t="shared" si="161"/>
        <v>0</v>
      </c>
      <c r="Q867" s="527"/>
      <c r="R867" s="354">
        <f>IF(ISERROR(VLOOKUP("RIC"&amp;$C867,ESTR_PREC_SP!$A$2:$G$2000,4,FALSE))=TRUE,0,VLOOKUP("RIC"&amp;$C867,ESTR_PREC_SP!$A$2:$G$2000,4,FALSE))</f>
        <v>0</v>
      </c>
      <c r="S867" s="527"/>
      <c r="T867" s="541"/>
      <c r="U867" s="541"/>
      <c r="V867" s="527"/>
      <c r="W867" s="541"/>
      <c r="X867" s="408">
        <f t="shared" si="166"/>
        <v>0</v>
      </c>
      <c r="Y867" s="211"/>
      <c r="Z867" s="211"/>
      <c r="AA867" s="211"/>
    </row>
    <row r="868" spans="2:27" s="204" customFormat="1" x14ac:dyDescent="0.25">
      <c r="B868" s="246" t="s">
        <v>2172</v>
      </c>
      <c r="C868" s="287" t="s">
        <v>2173</v>
      </c>
      <c r="D868" s="284" t="s">
        <v>3962</v>
      </c>
      <c r="E868" s="274"/>
      <c r="F868" s="274"/>
      <c r="G868" s="283"/>
      <c r="H868" s="266"/>
      <c r="I868" s="274"/>
      <c r="J868" s="281"/>
      <c r="K868" s="281"/>
      <c r="L868" s="469" t="s">
        <v>3963</v>
      </c>
      <c r="M868" s="284" t="s">
        <v>2962</v>
      </c>
      <c r="N868" s="443">
        <f t="shared" si="164"/>
        <v>0</v>
      </c>
      <c r="O868" s="443">
        <f t="shared" si="165"/>
        <v>0</v>
      </c>
      <c r="P868" s="271">
        <f t="shared" si="161"/>
        <v>0</v>
      </c>
      <c r="Q868" s="527"/>
      <c r="R868" s="354">
        <f>IF(ISERROR(VLOOKUP("RIC"&amp;$C868,ESTR_PREC_SP!$A$2:$G$2000,4,FALSE))=TRUE,0,VLOOKUP("RIC"&amp;$C868,ESTR_PREC_SP!$A$2:$G$2000,4,FALSE))</f>
        <v>0</v>
      </c>
      <c r="S868" s="527"/>
      <c r="T868" s="541"/>
      <c r="U868" s="541"/>
      <c r="V868" s="527"/>
      <c r="W868" s="541"/>
      <c r="X868" s="408">
        <f t="shared" si="166"/>
        <v>0</v>
      </c>
      <c r="Y868" s="211"/>
      <c r="Z868" s="211"/>
      <c r="AA868" s="211"/>
    </row>
    <row r="869" spans="2:27" s="204" customFormat="1" x14ac:dyDescent="0.25">
      <c r="B869" s="384"/>
      <c r="C869" s="384"/>
      <c r="D869" s="382"/>
      <c r="E869" s="382"/>
      <c r="F869" s="382"/>
      <c r="G869" s="382"/>
      <c r="H869" s="382"/>
      <c r="I869" s="382"/>
      <c r="J869" s="382"/>
      <c r="K869" s="382"/>
      <c r="L869" s="275"/>
      <c r="M869" s="275"/>
      <c r="N869" s="383"/>
      <c r="O869" s="383"/>
      <c r="P869" s="384"/>
      <c r="Q869" s="211"/>
      <c r="R869" s="444"/>
      <c r="S869" s="444"/>
      <c r="T869" s="211"/>
      <c r="U869" s="211"/>
      <c r="V869" s="211"/>
      <c r="W869" s="211"/>
      <c r="X869" s="211"/>
      <c r="Y869" s="211"/>
      <c r="Z869" s="211"/>
      <c r="AA869" s="211"/>
    </row>
    <row r="870" spans="2:27" s="204" customFormat="1" x14ac:dyDescent="0.25"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32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</row>
    <row r="871" spans="2:27" s="204" customFormat="1" x14ac:dyDescent="0.25">
      <c r="B871" s="246" t="s">
        <v>2177</v>
      </c>
      <c r="C871" s="246" t="s">
        <v>2178</v>
      </c>
      <c r="D871" s="247" t="s">
        <v>3964</v>
      </c>
      <c r="E871" s="247"/>
      <c r="F871" s="247"/>
      <c r="G871" s="247"/>
      <c r="H871" s="248"/>
      <c r="I871" s="247"/>
      <c r="J871" s="247"/>
      <c r="K871" s="249"/>
      <c r="L871" s="441" t="s">
        <v>2180</v>
      </c>
      <c r="M871" s="251" t="s">
        <v>2962</v>
      </c>
      <c r="N871" s="252">
        <f>+N874+N877+N884+N885+N886</f>
        <v>0</v>
      </c>
      <c r="O871" s="252">
        <f>+O874+O877+O884+O885+O886</f>
        <v>0</v>
      </c>
      <c r="P871" s="253">
        <f>+O871-N871</f>
        <v>0</v>
      </c>
      <c r="Q871" s="252">
        <f t="shared" ref="Q871:X871" si="167">+Q874+Q877+Q884+Q885+Q886</f>
        <v>0</v>
      </c>
      <c r="R871" s="252">
        <f t="shared" si="167"/>
        <v>0</v>
      </c>
      <c r="S871" s="252">
        <f t="shared" si="167"/>
        <v>0</v>
      </c>
      <c r="T871" s="252">
        <f t="shared" si="167"/>
        <v>0</v>
      </c>
      <c r="U871" s="252">
        <f t="shared" si="167"/>
        <v>0</v>
      </c>
      <c r="V871" s="252">
        <f t="shared" si="167"/>
        <v>0</v>
      </c>
      <c r="W871" s="252">
        <f t="shared" si="167"/>
        <v>0</v>
      </c>
      <c r="X871" s="252">
        <f t="shared" si="167"/>
        <v>0</v>
      </c>
      <c r="Y871" s="211"/>
      <c r="Z871" s="211"/>
      <c r="AA871" s="211"/>
    </row>
    <row r="872" spans="2:27" s="204" customFormat="1" x14ac:dyDescent="0.25"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32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</row>
    <row r="873" spans="2:27" s="204" customFormat="1" ht="39" customHeight="1" x14ac:dyDescent="0.25">
      <c r="B873" s="260" t="s">
        <v>2968</v>
      </c>
      <c r="C873" s="260" t="s">
        <v>2969</v>
      </c>
      <c r="D873" s="206" t="s">
        <v>72</v>
      </c>
      <c r="E873" s="206"/>
      <c r="F873" s="206"/>
      <c r="G873" s="207"/>
      <c r="H873" s="207"/>
      <c r="I873" s="207"/>
      <c r="J873" s="207" t="s">
        <v>2957</v>
      </c>
      <c r="K873" s="206" t="s">
        <v>82</v>
      </c>
      <c r="L873" s="261" t="s">
        <v>3670</v>
      </c>
      <c r="M873" s="256"/>
      <c r="N873" s="256" t="str">
        <f>N$15</f>
        <v>Valore netto al 31/12/2019</v>
      </c>
      <c r="O873" s="256" t="str">
        <f>O$15</f>
        <v>Valore netto al 31/12/2020</v>
      </c>
      <c r="P873" s="256" t="str">
        <f>P$15</f>
        <v>Variazione</v>
      </c>
      <c r="Q873" s="262" t="s">
        <v>2971</v>
      </c>
      <c r="R873" s="442" t="s">
        <v>3877</v>
      </c>
      <c r="S873" s="262" t="s">
        <v>2972</v>
      </c>
      <c r="T873" s="442" t="s">
        <v>3913</v>
      </c>
      <c r="U873" s="442" t="s">
        <v>3914</v>
      </c>
      <c r="V873" s="442" t="s">
        <v>3915</v>
      </c>
      <c r="W873" s="262" t="s">
        <v>2975</v>
      </c>
      <c r="X873" s="442" t="s">
        <v>3883</v>
      </c>
      <c r="Y873" s="211"/>
      <c r="Z873" s="211"/>
      <c r="AA873" s="211"/>
    </row>
    <row r="874" spans="2:27" s="204" customFormat="1" x14ac:dyDescent="0.25">
      <c r="B874" s="246" t="s">
        <v>2181</v>
      </c>
      <c r="C874" s="287" t="s">
        <v>2182</v>
      </c>
      <c r="D874" s="472" t="s">
        <v>3965</v>
      </c>
      <c r="E874" s="274"/>
      <c r="F874" s="274"/>
      <c r="G874" s="283"/>
      <c r="H874" s="266"/>
      <c r="I874" s="274"/>
      <c r="J874" s="281"/>
      <c r="K874" s="281"/>
      <c r="L874" s="473" t="s">
        <v>2185</v>
      </c>
      <c r="M874" s="284" t="s">
        <v>2962</v>
      </c>
      <c r="N874" s="470">
        <f>SUM(N875:N876)</f>
        <v>0</v>
      </c>
      <c r="O874" s="470">
        <f>SUM(O875:O876)</f>
        <v>0</v>
      </c>
      <c r="P874" s="378">
        <f t="shared" ref="P874:P882" si="168">+O874-N874</f>
        <v>0</v>
      </c>
      <c r="Q874" s="470">
        <f t="shared" ref="Q874:W874" si="169">SUM(Q875:Q876)</f>
        <v>0</v>
      </c>
      <c r="R874" s="470">
        <f t="shared" si="169"/>
        <v>0</v>
      </c>
      <c r="S874" s="470">
        <f t="shared" si="169"/>
        <v>0</v>
      </c>
      <c r="T874" s="470">
        <f t="shared" si="169"/>
        <v>0</v>
      </c>
      <c r="U874" s="470">
        <f t="shared" si="169"/>
        <v>0</v>
      </c>
      <c r="V874" s="470">
        <f t="shared" si="169"/>
        <v>0</v>
      </c>
      <c r="W874" s="470">
        <f t="shared" si="169"/>
        <v>0</v>
      </c>
      <c r="X874" s="470">
        <f>+R874+S874+T874-V874+W874+Q874</f>
        <v>0</v>
      </c>
      <c r="Y874" s="211"/>
      <c r="Z874" s="211"/>
      <c r="AA874" s="211"/>
    </row>
    <row r="875" spans="2:27" s="204" customFormat="1" x14ac:dyDescent="0.25">
      <c r="B875" s="246" t="s">
        <v>2186</v>
      </c>
      <c r="C875" s="287" t="s">
        <v>2187</v>
      </c>
      <c r="D875" s="472" t="s">
        <v>3966</v>
      </c>
      <c r="E875" s="274"/>
      <c r="F875" s="274"/>
      <c r="G875" s="283"/>
      <c r="H875" s="266"/>
      <c r="I875" s="274"/>
      <c r="J875" s="281"/>
      <c r="K875" s="281"/>
      <c r="L875" s="474" t="s">
        <v>3967</v>
      </c>
      <c r="M875" s="284" t="s">
        <v>2962</v>
      </c>
      <c r="N875" s="443">
        <f>+R875</f>
        <v>0</v>
      </c>
      <c r="O875" s="443">
        <f>+X875</f>
        <v>0</v>
      </c>
      <c r="P875" s="271">
        <f t="shared" si="168"/>
        <v>0</v>
      </c>
      <c r="Q875" s="541"/>
      <c r="R875" s="354">
        <f>IF(ISERROR(VLOOKUP("RIC"&amp;$C875,ESTR_PREC_SP!$A$2:$G$2000,4,FALSE))=TRUE,0,VLOOKUP("RIC"&amp;$C875,ESTR_PREC_SP!$A$2:$G$2000,4,FALSE))</f>
        <v>0</v>
      </c>
      <c r="S875" s="541"/>
      <c r="T875" s="541"/>
      <c r="U875" s="541"/>
      <c r="V875" s="378">
        <f>+Utilizzi_Fondi_Ric!$O$4</f>
        <v>0</v>
      </c>
      <c r="W875" s="541"/>
      <c r="X875" s="408">
        <f>+R875+S875+T875+U875-V875+W875+Q875</f>
        <v>0</v>
      </c>
      <c r="Y875" s="211"/>
      <c r="Z875" s="211"/>
      <c r="AA875" s="211"/>
    </row>
    <row r="876" spans="2:27" s="204" customFormat="1" x14ac:dyDescent="0.25">
      <c r="B876" s="246" t="s">
        <v>2189</v>
      </c>
      <c r="C876" s="287" t="s">
        <v>2190</v>
      </c>
      <c r="D876" s="472" t="s">
        <v>3968</v>
      </c>
      <c r="E876" s="274"/>
      <c r="F876" s="274"/>
      <c r="G876" s="283"/>
      <c r="H876" s="266"/>
      <c r="I876" s="274"/>
      <c r="J876" s="281"/>
      <c r="K876" s="281"/>
      <c r="L876" s="474" t="s">
        <v>3969</v>
      </c>
      <c r="M876" s="284" t="s">
        <v>2962</v>
      </c>
      <c r="N876" s="443">
        <f>+R876</f>
        <v>0</v>
      </c>
      <c r="O876" s="443">
        <f>+X876</f>
        <v>0</v>
      </c>
      <c r="P876" s="271">
        <f t="shared" si="168"/>
        <v>0</v>
      </c>
      <c r="Q876" s="541"/>
      <c r="R876" s="354">
        <f>IF(ISERROR(VLOOKUP("RIC"&amp;$C876,ESTR_PREC_SP!$A$2:$G$2000,4,FALSE))=TRUE,0,VLOOKUP("RIC"&amp;$C876,ESTR_PREC_SP!$A$2:$G$2000,4,FALSE))</f>
        <v>0</v>
      </c>
      <c r="S876" s="541"/>
      <c r="T876" s="541"/>
      <c r="U876" s="541"/>
      <c r="V876" s="378">
        <f>+Utilizzi_Fondi_Ric!$P$4</f>
        <v>0</v>
      </c>
      <c r="W876" s="541"/>
      <c r="X876" s="408">
        <f>+R876+S876+T876+U876-V876+W876+Q876</f>
        <v>0</v>
      </c>
      <c r="Y876" s="211"/>
      <c r="Z876" s="211"/>
      <c r="AA876" s="211"/>
    </row>
    <row r="877" spans="2:27" s="204" customFormat="1" x14ac:dyDescent="0.25">
      <c r="B877" s="246" t="s">
        <v>2192</v>
      </c>
      <c r="C877" s="287" t="s">
        <v>2193</v>
      </c>
      <c r="D877" s="472" t="s">
        <v>3970</v>
      </c>
      <c r="E877" s="274"/>
      <c r="F877" s="274"/>
      <c r="G877" s="283"/>
      <c r="H877" s="266"/>
      <c r="I877" s="274"/>
      <c r="J877" s="281"/>
      <c r="K877" s="281"/>
      <c r="L877" s="473" t="s">
        <v>2195</v>
      </c>
      <c r="M877" s="284" t="s">
        <v>2962</v>
      </c>
      <c r="N877" s="470">
        <f>SUM(N878:N882)</f>
        <v>0</v>
      </c>
      <c r="O877" s="470">
        <f>SUM(O878:O882)</f>
        <v>0</v>
      </c>
      <c r="P877" s="378">
        <f t="shared" si="168"/>
        <v>0</v>
      </c>
      <c r="Q877" s="470">
        <f t="shared" ref="Q877:W877" si="170">SUM(Q878:Q882)</f>
        <v>0</v>
      </c>
      <c r="R877" s="470">
        <f t="shared" si="170"/>
        <v>0</v>
      </c>
      <c r="S877" s="470">
        <f t="shared" si="170"/>
        <v>0</v>
      </c>
      <c r="T877" s="470">
        <f t="shared" si="170"/>
        <v>0</v>
      </c>
      <c r="U877" s="470">
        <f t="shared" si="170"/>
        <v>0</v>
      </c>
      <c r="V877" s="470">
        <f t="shared" si="170"/>
        <v>0</v>
      </c>
      <c r="W877" s="378">
        <f t="shared" si="170"/>
        <v>0</v>
      </c>
      <c r="X877" s="378">
        <f>+R877+S877+T877-V877+W877+Q877</f>
        <v>0</v>
      </c>
      <c r="Y877" s="211"/>
      <c r="Z877" s="211"/>
      <c r="AA877" s="211"/>
    </row>
    <row r="878" spans="2:27" s="204" customFormat="1" x14ac:dyDescent="0.25">
      <c r="B878" s="246" t="s">
        <v>2196</v>
      </c>
      <c r="C878" s="287" t="s">
        <v>2197</v>
      </c>
      <c r="D878" s="284" t="s">
        <v>3971</v>
      </c>
      <c r="E878" s="274"/>
      <c r="F878" s="274"/>
      <c r="G878" s="283"/>
      <c r="H878" s="266"/>
      <c r="I878" s="274"/>
      <c r="J878" s="281"/>
      <c r="K878" s="281"/>
      <c r="L878" s="475" t="s">
        <v>3972</v>
      </c>
      <c r="M878" s="284" t="s">
        <v>2962</v>
      </c>
      <c r="N878" s="443">
        <f>+R878</f>
        <v>0</v>
      </c>
      <c r="O878" s="443">
        <f>+X878</f>
        <v>0</v>
      </c>
      <c r="P878" s="271">
        <f t="shared" si="168"/>
        <v>0</v>
      </c>
      <c r="Q878" s="541"/>
      <c r="R878" s="354">
        <f>IF(ISERROR(VLOOKUP("RIC"&amp;$C878,ESTR_PREC_SP!$A$2:$G$2000,4,FALSE))=TRUE,0,VLOOKUP("RIC"&amp;$C878,ESTR_PREC_SP!$A$2:$G$2000,4,FALSE))</f>
        <v>0</v>
      </c>
      <c r="S878" s="541"/>
      <c r="T878" s="541"/>
      <c r="U878" s="541"/>
      <c r="V878" s="378">
        <f>+Utilizzi_Fondi_Ric!$Q$4</f>
        <v>0</v>
      </c>
      <c r="W878" s="541"/>
      <c r="X878" s="408">
        <f>+R878+S878+T878+U878-V878+W878+Q878</f>
        <v>0</v>
      </c>
      <c r="Y878" s="211"/>
      <c r="Z878" s="211"/>
      <c r="AA878" s="211"/>
    </row>
    <row r="879" spans="2:27" s="204" customFormat="1" x14ac:dyDescent="0.25">
      <c r="B879" s="246" t="s">
        <v>2200</v>
      </c>
      <c r="C879" s="287" t="s">
        <v>2201</v>
      </c>
      <c r="D879" s="284" t="s">
        <v>3973</v>
      </c>
      <c r="E879" s="274"/>
      <c r="F879" s="274"/>
      <c r="G879" s="283"/>
      <c r="H879" s="266"/>
      <c r="I879" s="274"/>
      <c r="J879" s="281"/>
      <c r="K879" s="281"/>
      <c r="L879" s="475" t="s">
        <v>3974</v>
      </c>
      <c r="M879" s="284" t="s">
        <v>2962</v>
      </c>
      <c r="N879" s="443">
        <f>+R879</f>
        <v>0</v>
      </c>
      <c r="O879" s="443">
        <f>+X879</f>
        <v>0</v>
      </c>
      <c r="P879" s="271">
        <f t="shared" si="168"/>
        <v>0</v>
      </c>
      <c r="Q879" s="541"/>
      <c r="R879" s="354">
        <f>IF(ISERROR(VLOOKUP("RIC"&amp;$C879,ESTR_PREC_SP!$A$2:$G$2000,4,FALSE))=TRUE,0,VLOOKUP("RIC"&amp;$C879,ESTR_PREC_SP!$A$2:$G$2000,4,FALSE))</f>
        <v>0</v>
      </c>
      <c r="S879" s="541"/>
      <c r="T879" s="541"/>
      <c r="U879" s="541"/>
      <c r="V879" s="378">
        <f>+Utilizzi_Fondi_Ric!$R$4</f>
        <v>0</v>
      </c>
      <c r="W879" s="541"/>
      <c r="X879" s="408">
        <f>+R879+S879+T879+U879-V879+W879+Q879</f>
        <v>0</v>
      </c>
      <c r="Y879" s="211"/>
      <c r="Z879" s="211"/>
      <c r="AA879" s="211"/>
    </row>
    <row r="880" spans="2:27" s="204" customFormat="1" x14ac:dyDescent="0.25">
      <c r="B880" s="246" t="s">
        <v>2203</v>
      </c>
      <c r="C880" s="287" t="s">
        <v>2204</v>
      </c>
      <c r="D880" s="284" t="s">
        <v>3975</v>
      </c>
      <c r="E880" s="274"/>
      <c r="F880" s="274"/>
      <c r="G880" s="283"/>
      <c r="H880" s="266"/>
      <c r="I880" s="274"/>
      <c r="J880" s="281"/>
      <c r="K880" s="281"/>
      <c r="L880" s="475" t="s">
        <v>3976</v>
      </c>
      <c r="M880" s="284" t="s">
        <v>2962</v>
      </c>
      <c r="N880" s="443">
        <f>+R880</f>
        <v>0</v>
      </c>
      <c r="O880" s="443">
        <f>+X880</f>
        <v>0</v>
      </c>
      <c r="P880" s="271">
        <f t="shared" si="168"/>
        <v>0</v>
      </c>
      <c r="Q880" s="541"/>
      <c r="R880" s="354">
        <f>IF(ISERROR(VLOOKUP("RIC"&amp;$C880,ESTR_PREC_SP!$A$2:$G$2000,4,FALSE))=TRUE,0,VLOOKUP("RIC"&amp;$C880,ESTR_PREC_SP!$A$2:$G$2000,4,FALSE))</f>
        <v>0</v>
      </c>
      <c r="S880" s="541"/>
      <c r="T880" s="541"/>
      <c r="U880" s="541"/>
      <c r="V880" s="378">
        <f>+Utilizzi_Fondi_Ric!$S$4</f>
        <v>0</v>
      </c>
      <c r="W880" s="541"/>
      <c r="X880" s="408">
        <f>+R880+S880+T880+U880-V880+W880+Q880</f>
        <v>0</v>
      </c>
      <c r="Y880" s="211"/>
      <c r="Z880" s="211"/>
      <c r="AA880" s="211"/>
    </row>
    <row r="881" spans="1:27" s="204" customFormat="1" x14ac:dyDescent="0.25">
      <c r="B881" s="246" t="s">
        <v>2206</v>
      </c>
      <c r="C881" s="287" t="s">
        <v>2207</v>
      </c>
      <c r="D881" s="284" t="s">
        <v>3977</v>
      </c>
      <c r="E881" s="274"/>
      <c r="F881" s="274"/>
      <c r="G881" s="283"/>
      <c r="H881" s="266"/>
      <c r="I881" s="274"/>
      <c r="J881" s="281"/>
      <c r="K881" s="281"/>
      <c r="L881" s="475" t="s">
        <v>3978</v>
      </c>
      <c r="M881" s="284" t="s">
        <v>2962</v>
      </c>
      <c r="N881" s="443">
        <f>+R881</f>
        <v>0</v>
      </c>
      <c r="O881" s="443">
        <f>+X881</f>
        <v>0</v>
      </c>
      <c r="P881" s="271">
        <f t="shared" si="168"/>
        <v>0</v>
      </c>
      <c r="Q881" s="541"/>
      <c r="R881" s="354">
        <f>IF(ISERROR(VLOOKUP("RIC"&amp;$C881,ESTR_PREC_SP!$A$2:$G$2000,4,FALSE))=TRUE,0,VLOOKUP("RIC"&amp;$C881,ESTR_PREC_SP!$A$2:$G$2000,4,FALSE))</f>
        <v>0</v>
      </c>
      <c r="S881" s="541"/>
      <c r="T881" s="541"/>
      <c r="U881" s="541"/>
      <c r="V881" s="378">
        <f>+Utilizzi_Fondi_Ric!$T$4</f>
        <v>0</v>
      </c>
      <c r="W881" s="541"/>
      <c r="X881" s="408">
        <f>+R881+S881+T881+U881-V881+W881+Q881</f>
        <v>0</v>
      </c>
      <c r="Y881" s="211"/>
      <c r="Z881" s="211"/>
      <c r="AA881" s="211"/>
    </row>
    <row r="882" spans="1:27" s="204" customFormat="1" x14ac:dyDescent="0.25">
      <c r="B882" s="246" t="s">
        <v>2210</v>
      </c>
      <c r="C882" s="287" t="s">
        <v>2211</v>
      </c>
      <c r="D882" s="284" t="s">
        <v>3979</v>
      </c>
      <c r="E882" s="274"/>
      <c r="F882" s="274"/>
      <c r="G882" s="283"/>
      <c r="H882" s="266"/>
      <c r="I882" s="274"/>
      <c r="J882" s="281"/>
      <c r="K882" s="281"/>
      <c r="L882" s="476" t="s">
        <v>3980</v>
      </c>
      <c r="M882" s="284" t="s">
        <v>2962</v>
      </c>
      <c r="N882" s="443">
        <f>+R882</f>
        <v>0</v>
      </c>
      <c r="O882" s="443">
        <f>+X882</f>
        <v>0</v>
      </c>
      <c r="P882" s="271">
        <f t="shared" si="168"/>
        <v>0</v>
      </c>
      <c r="Q882" s="541"/>
      <c r="R882" s="354">
        <f>IF(ISERROR(VLOOKUP("RIC"&amp;$C882,ESTR_PREC_SP!$A$2:$G$2000,4,FALSE))=TRUE,0,VLOOKUP("RIC"&amp;$C882,ESTR_PREC_SP!$A$2:$G$2000,4,FALSE))</f>
        <v>0</v>
      </c>
      <c r="S882" s="541"/>
      <c r="T882" s="541"/>
      <c r="U882" s="541"/>
      <c r="V882" s="378">
        <f>+Utilizzi_Fondi_Ric!$U$4</f>
        <v>0</v>
      </c>
      <c r="W882" s="541"/>
      <c r="X882" s="408">
        <f>+R882+S882+T882+U882-V882+W882+Q882</f>
        <v>0</v>
      </c>
      <c r="Y882" s="211"/>
      <c r="Z882" s="211"/>
      <c r="AA882" s="211"/>
    </row>
    <row r="883" spans="1:27" s="204" customFormat="1" x14ac:dyDescent="0.25">
      <c r="B883" s="246" t="s">
        <v>2214</v>
      </c>
      <c r="C883" s="287" t="s">
        <v>2215</v>
      </c>
      <c r="D883" s="472" t="s">
        <v>3981</v>
      </c>
      <c r="E883" s="274"/>
      <c r="F883" s="274"/>
      <c r="G883" s="283"/>
      <c r="H883" s="266"/>
      <c r="I883" s="274"/>
      <c r="J883" s="281"/>
      <c r="K883" s="281"/>
      <c r="L883" s="295" t="s">
        <v>2216</v>
      </c>
      <c r="M883" s="284" t="s">
        <v>2962</v>
      </c>
      <c r="N883" s="354"/>
      <c r="O883" s="354"/>
      <c r="P883" s="354"/>
      <c r="Q883" s="354"/>
      <c r="R883" s="660">
        <f>IF(ISERROR(VLOOKUP("RIC"&amp;$C883,ESTR_PREC_SP!$A$2:$G$2000,4,FALSE))=TRUE,0,VLOOKUP("RIC"&amp;$C883,ESTR_PREC_SP!$A$2:$G$2000,4,FALSE))</f>
        <v>0</v>
      </c>
      <c r="S883" s="354"/>
      <c r="T883" s="354"/>
      <c r="U883" s="354"/>
      <c r="V883" s="354"/>
      <c r="W883" s="354"/>
      <c r="X883" s="354"/>
      <c r="Y883" s="211"/>
      <c r="Z883" s="211"/>
      <c r="AA883" s="211"/>
    </row>
    <row r="884" spans="1:27" s="204" customFormat="1" x14ac:dyDescent="0.25">
      <c r="B884" s="246" t="s">
        <v>2217</v>
      </c>
      <c r="C884" s="287" t="s">
        <v>2218</v>
      </c>
      <c r="D884" s="472" t="s">
        <v>3981</v>
      </c>
      <c r="E884" s="274"/>
      <c r="F884" s="274"/>
      <c r="G884" s="283"/>
      <c r="H884" s="266"/>
      <c r="I884" s="274"/>
      <c r="J884" s="281"/>
      <c r="K884" s="281"/>
      <c r="L884" s="476" t="s">
        <v>3982</v>
      </c>
      <c r="M884" s="284" t="s">
        <v>2962</v>
      </c>
      <c r="N884" s="443">
        <f>+R884</f>
        <v>0</v>
      </c>
      <c r="O884" s="443">
        <f>+X884</f>
        <v>0</v>
      </c>
      <c r="P884" s="271">
        <f>+O884-N884</f>
        <v>0</v>
      </c>
      <c r="Q884" s="527"/>
      <c r="R884" s="354">
        <f>IF(ISERROR(VLOOKUP("RIC"&amp;$C884,ESTR_PREC_SP!$A$2:$G$2000,4,FALSE))=TRUE,0,VLOOKUP("RIC"&amp;$C884,ESTR_PREC_SP!$A$2:$G$2000,4,FALSE))</f>
        <v>0</v>
      </c>
      <c r="S884" s="527"/>
      <c r="T884" s="541"/>
      <c r="U884" s="541"/>
      <c r="V884" s="378">
        <f>+Utilizzi_Fondi_Ric!$V$4</f>
        <v>0</v>
      </c>
      <c r="W884" s="541"/>
      <c r="X884" s="408">
        <f>+R884+S884+T884+U884-V884+W884+Q884</f>
        <v>0</v>
      </c>
      <c r="Y884" s="211"/>
      <c r="Z884" s="211"/>
      <c r="AA884" s="211"/>
    </row>
    <row r="885" spans="1:27" s="204" customFormat="1" x14ac:dyDescent="0.25">
      <c r="B885" s="246" t="s">
        <v>2222</v>
      </c>
      <c r="C885" s="287" t="s">
        <v>2223</v>
      </c>
      <c r="D885" s="472" t="s">
        <v>3981</v>
      </c>
      <c r="E885" s="274"/>
      <c r="F885" s="274"/>
      <c r="G885" s="283"/>
      <c r="H885" s="266"/>
      <c r="I885" s="274"/>
      <c r="J885" s="281"/>
      <c r="K885" s="281"/>
      <c r="L885" s="476" t="s">
        <v>3983</v>
      </c>
      <c r="M885" s="284" t="s">
        <v>2962</v>
      </c>
      <c r="N885" s="443">
        <f>+R885</f>
        <v>0</v>
      </c>
      <c r="O885" s="443">
        <f>+X885</f>
        <v>0</v>
      </c>
      <c r="P885" s="271">
        <f>+O885-N885</f>
        <v>0</v>
      </c>
      <c r="Q885" s="527"/>
      <c r="R885" s="354">
        <f>IF(ISERROR(VLOOKUP("RIC"&amp;$C885,ESTR_PREC_SP!$A$2:$G$2000,4,FALSE))=TRUE,0,VLOOKUP("RIC"&amp;$C885,ESTR_PREC_SP!$A$2:$G$2000,4,FALSE))</f>
        <v>0</v>
      </c>
      <c r="S885" s="527"/>
      <c r="T885" s="541"/>
      <c r="U885" s="541"/>
      <c r="V885" s="378">
        <f>+Utilizzi_Fondi_Ric!$W$4</f>
        <v>0</v>
      </c>
      <c r="W885" s="541"/>
      <c r="X885" s="408">
        <f>+R885+S885+T885+U885-V885+W885+Q885</f>
        <v>0</v>
      </c>
      <c r="Y885" s="211"/>
      <c r="Z885" s="211"/>
      <c r="AA885" s="211"/>
    </row>
    <row r="886" spans="1:27" s="204" customFormat="1" x14ac:dyDescent="0.25">
      <c r="A886" s="535" t="s">
        <v>3681</v>
      </c>
      <c r="B886" s="536" t="s">
        <v>2225</v>
      </c>
      <c r="C886" s="536" t="s">
        <v>2226</v>
      </c>
      <c r="D886" s="536"/>
      <c r="E886" s="536"/>
      <c r="F886" s="536"/>
      <c r="G886" s="536"/>
      <c r="H886" s="536"/>
      <c r="I886" s="536"/>
      <c r="J886" s="536"/>
      <c r="K886" s="536"/>
      <c r="L886" s="536" t="s">
        <v>2228</v>
      </c>
      <c r="M886" s="284" t="s">
        <v>2962</v>
      </c>
      <c r="N886" s="443">
        <f>+R886</f>
        <v>0</v>
      </c>
      <c r="O886" s="443">
        <f>+X886</f>
        <v>0</v>
      </c>
      <c r="P886" s="271">
        <f>+O886-N886</f>
        <v>0</v>
      </c>
      <c r="Q886" s="527"/>
      <c r="R886" s="354">
        <f>IF(ISERROR(VLOOKUP("RIC"&amp;$C886,ESTR_PREC_SP!$A$2:$G$2000,4,FALSE))=TRUE,0,VLOOKUP("RIC"&amp;$C886,ESTR_PREC_SP!$A$2:$G$2000,4,FALSE))</f>
        <v>0</v>
      </c>
      <c r="S886" s="527"/>
      <c r="T886" s="541"/>
      <c r="U886" s="541"/>
      <c r="V886" s="378">
        <f>+Utilizzi_Fondi_Ric!$X$4</f>
        <v>0</v>
      </c>
      <c r="W886" s="541"/>
      <c r="X886" s="408">
        <f>+R886+S886+T886+U886-V886+W886+Q886</f>
        <v>0</v>
      </c>
      <c r="Y886" s="211"/>
      <c r="Z886" s="211"/>
      <c r="AA886" s="211"/>
    </row>
    <row r="887" spans="1:27" s="204" customFormat="1" x14ac:dyDescent="0.25"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32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</row>
    <row r="888" spans="1:27" s="204" customFormat="1" x14ac:dyDescent="0.25">
      <c r="B888" s="230"/>
      <c r="C888" s="230"/>
      <c r="D888" s="230"/>
      <c r="E888" s="230"/>
      <c r="F888" s="230"/>
      <c r="G888" s="230"/>
      <c r="H888" s="231"/>
      <c r="I888" s="230"/>
      <c r="J888" s="230"/>
      <c r="K888" s="230"/>
      <c r="L888" s="478"/>
      <c r="M888" s="211"/>
      <c r="N888" s="254"/>
      <c r="O888" s="211"/>
      <c r="P888" s="211"/>
      <c r="Q888" s="211"/>
      <c r="R888" s="211"/>
      <c r="S888" s="479"/>
      <c r="T888" s="479"/>
      <c r="U888" s="479"/>
      <c r="V888" s="479"/>
      <c r="W888" s="211"/>
      <c r="X888" s="211"/>
      <c r="Y888" s="211"/>
      <c r="Z888" s="211"/>
      <c r="AA888" s="211"/>
    </row>
    <row r="889" spans="1:27" s="204" customFormat="1" x14ac:dyDescent="0.25">
      <c r="B889" s="233" t="s">
        <v>2229</v>
      </c>
      <c r="C889" s="233" t="s">
        <v>2230</v>
      </c>
      <c r="D889" s="234" t="s">
        <v>3984</v>
      </c>
      <c r="E889" s="234"/>
      <c r="F889" s="234"/>
      <c r="G889" s="234"/>
      <c r="H889" s="235"/>
      <c r="I889" s="234"/>
      <c r="J889" s="234"/>
      <c r="K889" s="234"/>
      <c r="L889" s="236" t="s">
        <v>2231</v>
      </c>
      <c r="M889" s="237" t="s">
        <v>2962</v>
      </c>
      <c r="N889" s="238">
        <f>+N891+N900+N903</f>
        <v>0</v>
      </c>
      <c r="O889" s="238">
        <f>+O891+O900+O903</f>
        <v>0</v>
      </c>
      <c r="P889" s="239">
        <f>+O889-N889</f>
        <v>0</v>
      </c>
      <c r="Q889" s="238">
        <f t="shared" ref="Q889:X889" si="171">+Q891+Q900+Q903</f>
        <v>0</v>
      </c>
      <c r="R889" s="238">
        <f t="shared" si="171"/>
        <v>0</v>
      </c>
      <c r="S889" s="238">
        <f t="shared" si="171"/>
        <v>0</v>
      </c>
      <c r="T889" s="238">
        <f t="shared" si="171"/>
        <v>0</v>
      </c>
      <c r="U889" s="238">
        <f t="shared" si="171"/>
        <v>0</v>
      </c>
      <c r="V889" s="238">
        <f t="shared" si="171"/>
        <v>0</v>
      </c>
      <c r="W889" s="238">
        <f t="shared" si="171"/>
        <v>0</v>
      </c>
      <c r="X889" s="238">
        <f t="shared" si="171"/>
        <v>0</v>
      </c>
      <c r="Y889" s="211"/>
      <c r="Z889" s="211"/>
      <c r="AA889" s="211"/>
    </row>
    <row r="890" spans="1:27" s="204" customFormat="1" x14ac:dyDescent="0.25">
      <c r="B890" s="230"/>
      <c r="C890" s="230"/>
      <c r="D890" s="230"/>
      <c r="E890" s="230"/>
      <c r="F890" s="230"/>
      <c r="G890" s="230"/>
      <c r="H890" s="231"/>
      <c r="I890" s="230"/>
      <c r="J890" s="230"/>
      <c r="K890" s="230"/>
      <c r="L890" s="232"/>
      <c r="M890" s="211"/>
      <c r="N890" s="254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</row>
    <row r="891" spans="1:27" s="204" customFormat="1" x14ac:dyDescent="0.25">
      <c r="B891" s="246" t="s">
        <v>2232</v>
      </c>
      <c r="C891" s="246" t="s">
        <v>2233</v>
      </c>
      <c r="D891" s="247" t="s">
        <v>3985</v>
      </c>
      <c r="E891" s="247"/>
      <c r="F891" s="247"/>
      <c r="G891" s="247"/>
      <c r="H891" s="248"/>
      <c r="I891" s="247"/>
      <c r="J891" s="247"/>
      <c r="K891" s="249"/>
      <c r="L891" s="441" t="s">
        <v>2237</v>
      </c>
      <c r="M891" s="251" t="s">
        <v>2962</v>
      </c>
      <c r="N891" s="252">
        <f>SUM(N894:N896)</f>
        <v>0</v>
      </c>
      <c r="O891" s="252">
        <f>SUM(O894:O896)</f>
        <v>0</v>
      </c>
      <c r="P891" s="253">
        <f>+O891-N891</f>
        <v>0</v>
      </c>
      <c r="Q891" s="252">
        <f t="shared" ref="Q891:X891" si="172">SUM(Q894:Q896)</f>
        <v>0</v>
      </c>
      <c r="R891" s="252">
        <f t="shared" si="172"/>
        <v>0</v>
      </c>
      <c r="S891" s="252">
        <f t="shared" si="172"/>
        <v>0</v>
      </c>
      <c r="T891" s="252">
        <f t="shared" si="172"/>
        <v>0</v>
      </c>
      <c r="U891" s="252">
        <f t="shared" si="172"/>
        <v>0</v>
      </c>
      <c r="V891" s="252">
        <f t="shared" si="172"/>
        <v>0</v>
      </c>
      <c r="W891" s="252">
        <f t="shared" si="172"/>
        <v>0</v>
      </c>
      <c r="X891" s="252">
        <f t="shared" si="172"/>
        <v>0</v>
      </c>
      <c r="Y891" s="211"/>
      <c r="Z891" s="211"/>
      <c r="AA891" s="211"/>
    </row>
    <row r="892" spans="1:27" s="204" customFormat="1" x14ac:dyDescent="0.25">
      <c r="B892" s="230"/>
      <c r="C892" s="230"/>
      <c r="D892" s="230"/>
      <c r="E892" s="230"/>
      <c r="F892" s="230"/>
      <c r="G892" s="230"/>
      <c r="H892" s="231"/>
      <c r="I892" s="230"/>
      <c r="J892" s="230"/>
      <c r="K892" s="230"/>
      <c r="L892" s="232"/>
      <c r="M892" s="211"/>
      <c r="N892" s="254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</row>
    <row r="893" spans="1:27" s="204" customFormat="1" ht="39" customHeight="1" x14ac:dyDescent="0.25">
      <c r="B893" s="260" t="s">
        <v>2968</v>
      </c>
      <c r="C893" s="260" t="s">
        <v>2969</v>
      </c>
      <c r="D893" s="206" t="s">
        <v>72</v>
      </c>
      <c r="E893" s="206"/>
      <c r="F893" s="206"/>
      <c r="G893" s="207"/>
      <c r="H893" s="207"/>
      <c r="I893" s="207"/>
      <c r="J893" s="207" t="s">
        <v>2957</v>
      </c>
      <c r="K893" s="206" t="s">
        <v>82</v>
      </c>
      <c r="L893" s="261" t="s">
        <v>3670</v>
      </c>
      <c r="M893" s="480"/>
      <c r="N893" s="256" t="str">
        <f>N$15</f>
        <v>Valore netto al 31/12/2019</v>
      </c>
      <c r="O893" s="256" t="str">
        <f>O$15</f>
        <v>Valore netto al 31/12/2020</v>
      </c>
      <c r="P893" s="256" t="str">
        <f>P$15</f>
        <v>Variazione</v>
      </c>
      <c r="Q893" s="262" t="s">
        <v>2971</v>
      </c>
      <c r="R893" s="442" t="s">
        <v>3877</v>
      </c>
      <c r="S893" s="346" t="s">
        <v>2972</v>
      </c>
      <c r="T893" s="442" t="s">
        <v>3913</v>
      </c>
      <c r="U893" s="442" t="s">
        <v>3914</v>
      </c>
      <c r="V893" s="442" t="s">
        <v>3915</v>
      </c>
      <c r="W893" s="262" t="s">
        <v>2975</v>
      </c>
      <c r="X893" s="442" t="s">
        <v>3883</v>
      </c>
      <c r="Y893" s="211"/>
      <c r="Z893" s="211"/>
      <c r="AA893" s="211"/>
    </row>
    <row r="894" spans="1:27" s="204" customFormat="1" x14ac:dyDescent="0.25">
      <c r="B894" s="246" t="s">
        <v>2238</v>
      </c>
      <c r="C894" s="284" t="s">
        <v>2239</v>
      </c>
      <c r="D894" s="274" t="s">
        <v>3986</v>
      </c>
      <c r="E894" s="274"/>
      <c r="F894" s="274"/>
      <c r="G894" s="283"/>
      <c r="H894" s="266"/>
      <c r="I894" s="274"/>
      <c r="J894" s="281"/>
      <c r="K894" s="281"/>
      <c r="L894" s="422" t="s">
        <v>3987</v>
      </c>
      <c r="M894" s="284" t="s">
        <v>2962</v>
      </c>
      <c r="N894" s="443">
        <f>+R894</f>
        <v>0</v>
      </c>
      <c r="O894" s="443">
        <f>+X894</f>
        <v>0</v>
      </c>
      <c r="P894" s="271">
        <f>+O894-N894</f>
        <v>0</v>
      </c>
      <c r="Q894" s="527"/>
      <c r="R894" s="354">
        <f>IF(ISERROR(VLOOKUP("RIC"&amp;$C894,ESTR_PREC_SP!$A$2:$G$2000,4,FALSE))=TRUE,0,VLOOKUP("RIC"&amp;$C894,ESTR_PREC_SP!$A$2:$G$2000,4,FALSE))</f>
        <v>0</v>
      </c>
      <c r="S894" s="352"/>
      <c r="T894" s="352"/>
      <c r="U894" s="541"/>
      <c r="V894" s="378">
        <f>+Utilizzi_Fondi_Ric!$Y$4</f>
        <v>0</v>
      </c>
      <c r="W894" s="541"/>
      <c r="X894" s="408">
        <f>+R894+S894+T894+U894-V894+W894+Q894</f>
        <v>0</v>
      </c>
      <c r="Y894" s="211"/>
      <c r="Z894" s="211"/>
      <c r="AA894" s="211"/>
    </row>
    <row r="895" spans="1:27" s="204" customFormat="1" x14ac:dyDescent="0.25">
      <c r="B895" s="246" t="s">
        <v>2241</v>
      </c>
      <c r="C895" s="284" t="s">
        <v>2242</v>
      </c>
      <c r="D895" s="274" t="s">
        <v>3988</v>
      </c>
      <c r="E895" s="274"/>
      <c r="F895" s="274"/>
      <c r="G895" s="283"/>
      <c r="H895" s="266"/>
      <c r="I895" s="274"/>
      <c r="J895" s="281"/>
      <c r="K895" s="281"/>
      <c r="L895" s="422" t="s">
        <v>3989</v>
      </c>
      <c r="M895" s="284" t="s">
        <v>2962</v>
      </c>
      <c r="N895" s="443">
        <f>+R895</f>
        <v>0</v>
      </c>
      <c r="O895" s="443">
        <f>+X895</f>
        <v>0</v>
      </c>
      <c r="P895" s="271">
        <f>+O895-N895</f>
        <v>0</v>
      </c>
      <c r="Q895" s="527"/>
      <c r="R895" s="354">
        <f>IF(ISERROR(VLOOKUP("RIC"&amp;$C895,ESTR_PREC_SP!$A$2:$G$2000,4,FALSE))=TRUE,0,VLOOKUP("RIC"&amp;$C895,ESTR_PREC_SP!$A$2:$G$2000,4,FALSE))</f>
        <v>0</v>
      </c>
      <c r="S895" s="352"/>
      <c r="T895" s="352"/>
      <c r="U895" s="541"/>
      <c r="V895" s="378">
        <f>+Utilizzi_Fondi_Ric!$Z$4</f>
        <v>0</v>
      </c>
      <c r="W895" s="541"/>
      <c r="X895" s="408">
        <f>+R895+S895+T895+U895-V895+W895+Q895</f>
        <v>0</v>
      </c>
      <c r="Y895" s="211"/>
      <c r="Z895" s="211"/>
      <c r="AA895" s="211"/>
    </row>
    <row r="896" spans="1:27" s="204" customFormat="1" x14ac:dyDescent="0.25">
      <c r="B896" s="246" t="s">
        <v>2244</v>
      </c>
      <c r="C896" s="284" t="s">
        <v>2245</v>
      </c>
      <c r="D896" s="274" t="s">
        <v>3990</v>
      </c>
      <c r="E896" s="274"/>
      <c r="F896" s="274"/>
      <c r="G896" s="283"/>
      <c r="H896" s="266"/>
      <c r="I896" s="274"/>
      <c r="J896" s="281"/>
      <c r="K896" s="281"/>
      <c r="L896" s="422" t="s">
        <v>3991</v>
      </c>
      <c r="M896" s="284" t="s">
        <v>2962</v>
      </c>
      <c r="N896" s="443">
        <f>+R896</f>
        <v>0</v>
      </c>
      <c r="O896" s="443">
        <f>+X896</f>
        <v>0</v>
      </c>
      <c r="P896" s="271">
        <f>+O896-N896</f>
        <v>0</v>
      </c>
      <c r="Q896" s="527"/>
      <c r="R896" s="354">
        <f>IF(ISERROR(VLOOKUP("RIC"&amp;$C896,ESTR_PREC_SP!$A$2:$G$2000,4,FALSE))=TRUE,0,VLOOKUP("RIC"&amp;$C896,ESTR_PREC_SP!$A$2:$G$2000,4,FALSE))</f>
        <v>0</v>
      </c>
      <c r="S896" s="352"/>
      <c r="T896" s="541"/>
      <c r="U896" s="541"/>
      <c r="V896" s="378">
        <f>+Utilizzi_Fondi_Ric!$AA$4</f>
        <v>0</v>
      </c>
      <c r="W896" s="541"/>
      <c r="X896" s="408">
        <f>+R896+S896+T896+U896-V896+W896+Q896</f>
        <v>0</v>
      </c>
      <c r="Y896" s="211"/>
      <c r="Z896" s="211"/>
      <c r="AA896" s="211"/>
    </row>
    <row r="897" spans="1:36" s="204" customFormat="1" ht="26.25" x14ac:dyDescent="0.25">
      <c r="B897" s="230"/>
      <c r="C897" s="230"/>
      <c r="D897" s="230"/>
      <c r="E897" s="230"/>
      <c r="F897" s="230"/>
      <c r="G897" s="230"/>
      <c r="H897" s="231"/>
      <c r="I897" s="230"/>
      <c r="J897" s="230"/>
      <c r="K897" s="230"/>
      <c r="L897" s="232" t="s">
        <v>3992</v>
      </c>
      <c r="M897" s="211"/>
      <c r="N897" s="254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</row>
    <row r="898" spans="1:36" s="204" customFormat="1" x14ac:dyDescent="0.25">
      <c r="B898" s="230"/>
      <c r="C898" s="230"/>
      <c r="D898" s="230"/>
      <c r="E898" s="230"/>
      <c r="F898" s="230"/>
      <c r="G898" s="230"/>
      <c r="H898" s="231"/>
      <c r="I898" s="230"/>
      <c r="J898" s="230"/>
      <c r="K898" s="230"/>
      <c r="L898" s="232"/>
      <c r="M898" s="211"/>
      <c r="N898" s="481"/>
      <c r="O898" s="481"/>
      <c r="P898" s="48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</row>
    <row r="899" spans="1:36" s="204" customFormat="1" ht="39" customHeight="1" x14ac:dyDescent="0.25">
      <c r="B899" s="230"/>
      <c r="C899" s="230"/>
      <c r="D899" s="230"/>
      <c r="E899" s="230"/>
      <c r="F899" s="230"/>
      <c r="G899" s="230"/>
      <c r="H899" s="231"/>
      <c r="I899" s="230"/>
      <c r="J899" s="230"/>
      <c r="K899" s="230"/>
      <c r="L899" s="232"/>
      <c r="M899" s="211"/>
      <c r="N899" s="256" t="str">
        <f>N$15</f>
        <v>Valore netto al 31/12/2019</v>
      </c>
      <c r="O899" s="256" t="str">
        <f>O$15</f>
        <v>Valore netto al 31/12/2020</v>
      </c>
      <c r="P899" s="256" t="str">
        <f>P$15</f>
        <v>Variazione</v>
      </c>
      <c r="Q899" s="262" t="s">
        <v>2971</v>
      </c>
      <c r="R899" s="442" t="s">
        <v>3877</v>
      </c>
      <c r="S899" s="346" t="s">
        <v>2972</v>
      </c>
      <c r="T899" s="442" t="s">
        <v>3913</v>
      </c>
      <c r="U899" s="442" t="s">
        <v>3914</v>
      </c>
      <c r="V899" s="442" t="s">
        <v>3915</v>
      </c>
      <c r="W899" s="262" t="s">
        <v>2975</v>
      </c>
      <c r="X899" s="442" t="s">
        <v>3883</v>
      </c>
      <c r="Y899" s="211"/>
      <c r="Z899" s="211"/>
      <c r="AA899" s="211"/>
    </row>
    <row r="900" spans="1:36" s="204" customFormat="1" x14ac:dyDescent="0.25">
      <c r="B900" s="246" t="s">
        <v>2247</v>
      </c>
      <c r="C900" s="246" t="s">
        <v>2248</v>
      </c>
      <c r="D900" s="247" t="s">
        <v>3993</v>
      </c>
      <c r="E900" s="247"/>
      <c r="F900" s="247"/>
      <c r="G900" s="247"/>
      <c r="H900" s="248"/>
      <c r="I900" s="247"/>
      <c r="J900" s="398"/>
      <c r="K900" s="399"/>
      <c r="L900" s="441" t="s">
        <v>2252</v>
      </c>
      <c r="M900" s="251" t="s">
        <v>2962</v>
      </c>
      <c r="N900" s="482">
        <f>+R900</f>
        <v>0</v>
      </c>
      <c r="O900" s="483">
        <f>+X900</f>
        <v>0</v>
      </c>
      <c r="P900" s="484">
        <f>+O900-N900</f>
        <v>0</v>
      </c>
      <c r="Q900" s="527"/>
      <c r="R900" s="354">
        <f>IF(ISERROR(VLOOKUP("RIC"&amp;$C900,ESTR_PREC_SP!$A$2:$G$2000,4,FALSE))=TRUE,0,VLOOKUP("RIC"&amp;$C900,ESTR_PREC_SP!$A$2:$G$2000,4,FALSE))</f>
        <v>0</v>
      </c>
      <c r="S900" s="352"/>
      <c r="T900" s="541"/>
      <c r="U900" s="541"/>
      <c r="V900" s="408">
        <f>+Utilizzi_Fondi_Ric!$AB$4</f>
        <v>0</v>
      </c>
      <c r="W900" s="541"/>
      <c r="X900" s="408">
        <f>+R900+S900+T900+U900-V900+W900+Q900</f>
        <v>0</v>
      </c>
      <c r="Y900" s="211"/>
      <c r="Z900" s="211"/>
      <c r="AA900" s="211"/>
    </row>
    <row r="901" spans="1:36" s="204" customFormat="1" x14ac:dyDescent="0.25">
      <c r="B901" s="230"/>
      <c r="C901" s="230"/>
      <c r="D901" s="230"/>
      <c r="E901" s="230"/>
      <c r="F901" s="230"/>
      <c r="G901" s="230"/>
      <c r="H901" s="231"/>
      <c r="I901" s="230"/>
      <c r="J901" s="230"/>
      <c r="K901" s="230"/>
      <c r="L901" s="232"/>
      <c r="M901" s="211"/>
      <c r="N901" s="481"/>
      <c r="O901" s="481"/>
      <c r="P901" s="48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</row>
    <row r="902" spans="1:36" s="204" customFormat="1" ht="63.75" x14ac:dyDescent="0.25">
      <c r="B902" s="230"/>
      <c r="C902" s="230"/>
      <c r="D902" s="230"/>
      <c r="E902" s="230"/>
      <c r="F902" s="230"/>
      <c r="G902" s="230"/>
      <c r="H902" s="231"/>
      <c r="I902" s="230"/>
      <c r="J902" s="230"/>
      <c r="K902" s="230"/>
      <c r="L902" s="232"/>
      <c r="M902" s="211"/>
      <c r="N902" s="256" t="str">
        <f>N$15</f>
        <v>Valore netto al 31/12/2019</v>
      </c>
      <c r="O902" s="256" t="str">
        <f>O$15</f>
        <v>Valore netto al 31/12/2020</v>
      </c>
      <c r="P902" s="256" t="str">
        <f>P$15</f>
        <v>Variazione</v>
      </c>
      <c r="Q902" s="262" t="s">
        <v>2971</v>
      </c>
      <c r="R902" s="442" t="s">
        <v>3877</v>
      </c>
      <c r="S902" s="346" t="s">
        <v>2972</v>
      </c>
      <c r="T902" s="442" t="s">
        <v>3913</v>
      </c>
      <c r="U902" s="442" t="s">
        <v>3914</v>
      </c>
      <c r="V902" s="442" t="s">
        <v>3915</v>
      </c>
      <c r="W902" s="262" t="s">
        <v>2975</v>
      </c>
      <c r="X902" s="442" t="s">
        <v>3883</v>
      </c>
      <c r="Y902" s="211"/>
      <c r="Z902" s="211"/>
      <c r="AA902" s="211"/>
    </row>
    <row r="903" spans="1:36" s="204" customFormat="1" x14ac:dyDescent="0.25">
      <c r="A903" s="535" t="s">
        <v>3681</v>
      </c>
      <c r="B903" s="667" t="s">
        <v>2253</v>
      </c>
      <c r="C903" s="380" t="s">
        <v>2254</v>
      </c>
      <c r="D903" s="668" t="s">
        <v>3993</v>
      </c>
      <c r="E903" s="668"/>
      <c r="F903" s="668"/>
      <c r="G903" s="669"/>
      <c r="H903" s="670"/>
      <c r="I903" s="668"/>
      <c r="J903" s="668"/>
      <c r="K903" s="668"/>
      <c r="L903" s="396" t="s">
        <v>2256</v>
      </c>
      <c r="M903" s="251" t="s">
        <v>2962</v>
      </c>
      <c r="N903" s="482">
        <f>+R903</f>
        <v>0</v>
      </c>
      <c r="O903" s="483">
        <f>+X903</f>
        <v>0</v>
      </c>
      <c r="P903" s="484">
        <f>+O903-N903</f>
        <v>0</v>
      </c>
      <c r="Q903" s="527"/>
      <c r="R903" s="354">
        <f>IF(ISERROR(VLOOKUP("RIC"&amp;$C903,ESTR_PREC_SP!$A$2:$G$2000,4,FALSE))=TRUE,0,VLOOKUP("RIC"&amp;$C903,ESTR_PREC_SP!$A$2:$G$2000,4,FALSE))</f>
        <v>0</v>
      </c>
      <c r="S903" s="541"/>
      <c r="T903" s="541"/>
      <c r="U903" s="541"/>
      <c r="V903" s="408">
        <f>+Utilizzi_Fondi_Ric!$AC$4</f>
        <v>0</v>
      </c>
      <c r="W903" s="541"/>
      <c r="X903" s="408">
        <f>+R903+S903+T903+U903-V903+W903+Q903</f>
        <v>0</v>
      </c>
      <c r="Y903" s="211"/>
      <c r="Z903" s="211"/>
      <c r="AA903" s="211"/>
    </row>
    <row r="904" spans="1:36" s="204" customFormat="1" x14ac:dyDescent="0.25">
      <c r="B904" s="230"/>
      <c r="C904" s="230"/>
      <c r="D904" s="230"/>
      <c r="E904" s="230"/>
      <c r="F904" s="230"/>
      <c r="G904" s="230"/>
      <c r="H904" s="231"/>
      <c r="I904" s="230"/>
      <c r="J904" s="230"/>
      <c r="K904" s="230"/>
      <c r="L904" s="232"/>
      <c r="M904" s="211"/>
      <c r="N904" s="481"/>
      <c r="O904" s="481"/>
      <c r="P904" s="48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</row>
    <row r="905" spans="1:36" s="204" customFormat="1" x14ac:dyDescent="0.25">
      <c r="B905" s="230"/>
      <c r="C905" s="230"/>
      <c r="D905" s="230"/>
      <c r="E905" s="230"/>
      <c r="F905" s="230"/>
      <c r="G905" s="230"/>
      <c r="H905" s="231"/>
      <c r="I905" s="230"/>
      <c r="J905" s="230"/>
      <c r="K905" s="230"/>
      <c r="L905" s="232"/>
      <c r="M905" s="211"/>
      <c r="N905" s="481"/>
      <c r="O905" s="481"/>
      <c r="P905" s="481"/>
      <c r="Q905" s="211"/>
      <c r="R905" s="481"/>
      <c r="S905" s="481"/>
      <c r="T905" s="481"/>
      <c r="U905" s="481"/>
      <c r="V905" s="481"/>
      <c r="W905" s="211"/>
      <c r="X905" s="211"/>
      <c r="Y905" s="211"/>
      <c r="Z905" s="211"/>
      <c r="AA905" s="211"/>
    </row>
    <row r="906" spans="1:36" s="204" customFormat="1" x14ac:dyDescent="0.25">
      <c r="B906" s="236" t="s">
        <v>2257</v>
      </c>
      <c r="C906" s="233" t="s">
        <v>2258</v>
      </c>
      <c r="D906" s="234" t="s">
        <v>3994</v>
      </c>
      <c r="E906" s="234"/>
      <c r="F906" s="234"/>
      <c r="G906" s="234"/>
      <c r="H906" s="235"/>
      <c r="I906" s="234"/>
      <c r="J906" s="234"/>
      <c r="K906" s="234"/>
      <c r="L906" s="236" t="s">
        <v>2259</v>
      </c>
      <c r="M906" s="237" t="s">
        <v>2962</v>
      </c>
      <c r="N906" s="238">
        <f>+N910+N913+N923+N942+N944+N986+N999+N1018+N1022+N1026+N1030</f>
        <v>0</v>
      </c>
      <c r="O906" s="238">
        <f>+O910+O913+O923+O942+O944+O986+O999+O1018+O1022+O1026+O1030</f>
        <v>0</v>
      </c>
      <c r="P906" s="239">
        <f>+O906-N906</f>
        <v>0</v>
      </c>
      <c r="Q906" s="238">
        <f t="shared" ref="Q906:AJ906" si="173">+Q910+Q913+Q923+Q942+Q944+Q986+Q999+Q1018+Q1022+Q1026+Q1030</f>
        <v>0</v>
      </c>
      <c r="R906" s="238">
        <f t="shared" si="173"/>
        <v>0</v>
      </c>
      <c r="S906" s="238">
        <f t="shared" si="173"/>
        <v>0</v>
      </c>
      <c r="T906" s="238">
        <f t="shared" si="173"/>
        <v>0</v>
      </c>
      <c r="U906" s="238">
        <f t="shared" si="173"/>
        <v>0</v>
      </c>
      <c r="V906" s="238">
        <f t="shared" si="173"/>
        <v>0</v>
      </c>
      <c r="W906" s="238">
        <f t="shared" si="173"/>
        <v>0</v>
      </c>
      <c r="X906" s="238">
        <f t="shared" si="173"/>
        <v>0</v>
      </c>
      <c r="Y906" s="238">
        <f t="shared" si="173"/>
        <v>0</v>
      </c>
      <c r="Z906" s="238">
        <f t="shared" si="173"/>
        <v>0</v>
      </c>
      <c r="AA906" s="238">
        <f t="shared" si="173"/>
        <v>0</v>
      </c>
      <c r="AB906" s="238">
        <f t="shared" si="173"/>
        <v>0</v>
      </c>
      <c r="AC906" s="238">
        <f t="shared" si="173"/>
        <v>708</v>
      </c>
      <c r="AD906" s="238">
        <f t="shared" si="173"/>
        <v>0</v>
      </c>
      <c r="AE906" s="238">
        <f t="shared" si="173"/>
        <v>0</v>
      </c>
      <c r="AF906" s="238">
        <f t="shared" si="173"/>
        <v>0</v>
      </c>
      <c r="AG906" s="238">
        <f t="shared" si="173"/>
        <v>-708</v>
      </c>
      <c r="AH906" s="238">
        <f t="shared" si="173"/>
        <v>0</v>
      </c>
      <c r="AI906" s="238">
        <f t="shared" si="173"/>
        <v>0</v>
      </c>
      <c r="AJ906" s="238">
        <f t="shared" si="173"/>
        <v>0</v>
      </c>
    </row>
    <row r="907" spans="1:36" s="204" customFormat="1" x14ac:dyDescent="0.25"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Z907" s="213"/>
      <c r="AA907" s="213"/>
      <c r="AB907" s="213"/>
      <c r="AC907" s="211"/>
      <c r="AD907" s="211"/>
    </row>
    <row r="908" spans="1:36" s="204" customFormat="1" ht="18" customHeight="1" x14ac:dyDescent="0.25">
      <c r="B908" s="230"/>
      <c r="C908" s="230"/>
      <c r="D908" s="230"/>
      <c r="E908" s="230"/>
      <c r="F908" s="230"/>
      <c r="G908" s="230"/>
      <c r="H908" s="231"/>
      <c r="I908" s="230"/>
      <c r="J908" s="230"/>
      <c r="K908" s="230"/>
      <c r="L908" s="232"/>
      <c r="M908" s="211"/>
      <c r="N908" s="254"/>
      <c r="O908" s="211"/>
      <c r="P908" s="211"/>
      <c r="Q908" s="211"/>
      <c r="R908" s="211"/>
      <c r="S908" s="211"/>
      <c r="U908" s="910" t="s">
        <v>3495</v>
      </c>
      <c r="V908" s="910"/>
      <c r="W908" s="485"/>
      <c r="X908" s="903" t="s">
        <v>3496</v>
      </c>
      <c r="Y908" s="903"/>
      <c r="Z908" s="211"/>
      <c r="AA908" s="211"/>
      <c r="AB908" s="211"/>
      <c r="AC908" s="904" t="str">
        <f>"VALORE DEI DEBITI AL 31/12/"&amp;Info!B3&amp;" PER ANNO DI FORMAZIONE"</f>
        <v>VALORE DEI DEBITI AL 31/12/2020 PER ANNO DI FORMAZIONE</v>
      </c>
      <c r="AD908" s="904"/>
      <c r="AE908" s="904"/>
      <c r="AF908" s="904"/>
      <c r="AG908" s="904"/>
      <c r="AH908" s="905" t="str">
        <f>"Debiti al 31/12/"&amp;Info!B3&amp;" per scadenza"</f>
        <v>Debiti al 31/12/2020 per scadenza</v>
      </c>
      <c r="AI908" s="905"/>
      <c r="AJ908" s="905"/>
    </row>
    <row r="909" spans="1:36" s="204" customFormat="1" ht="63.75" x14ac:dyDescent="0.25">
      <c r="B909" s="211"/>
      <c r="C909" s="211"/>
      <c r="D909" s="211"/>
      <c r="E909" s="211"/>
      <c r="F909" s="211"/>
      <c r="G909" s="211"/>
      <c r="H909" s="353"/>
      <c r="I909" s="211"/>
      <c r="J909" s="211"/>
      <c r="K909" s="211"/>
      <c r="L909" s="255"/>
      <c r="M909" s="244"/>
      <c r="N909" s="256" t="str">
        <f>N$15</f>
        <v>Valore netto al 31/12/2019</v>
      </c>
      <c r="O909" s="256" t="str">
        <f>O$15</f>
        <v>Valore netto al 31/12/2020</v>
      </c>
      <c r="P909" s="256" t="str">
        <f>P$15</f>
        <v>Variazione</v>
      </c>
      <c r="Q909" s="262" t="s">
        <v>2971</v>
      </c>
      <c r="R909" s="262" t="s">
        <v>3517</v>
      </c>
      <c r="S909" s="346" t="s">
        <v>2972</v>
      </c>
      <c r="T909" s="486" t="s">
        <v>3995</v>
      </c>
      <c r="U909" s="337" t="s">
        <v>3996</v>
      </c>
      <c r="V909" s="337" t="s">
        <v>3495</v>
      </c>
      <c r="W909" s="262" t="s">
        <v>2975</v>
      </c>
      <c r="X909" s="338" t="s">
        <v>3498</v>
      </c>
      <c r="Y909" s="338" t="s">
        <v>3499</v>
      </c>
      <c r="Z909" s="262" t="s">
        <v>3815</v>
      </c>
      <c r="AA909" s="377" t="s">
        <v>3997</v>
      </c>
      <c r="AB909" s="377" t="s">
        <v>3998</v>
      </c>
      <c r="AC909" s="339" t="s">
        <v>3503</v>
      </c>
      <c r="AD909" s="339" t="s">
        <v>3504</v>
      </c>
      <c r="AE909" s="339" t="s">
        <v>3505</v>
      </c>
      <c r="AF909" s="339" t="s">
        <v>3506</v>
      </c>
      <c r="AG909" s="339" t="s">
        <v>3507</v>
      </c>
      <c r="AH909" s="340" t="s">
        <v>3508</v>
      </c>
      <c r="AI909" s="340" t="s">
        <v>3509</v>
      </c>
      <c r="AJ909" s="340" t="s">
        <v>3510</v>
      </c>
    </row>
    <row r="910" spans="1:36" s="204" customFormat="1" x14ac:dyDescent="0.25">
      <c r="B910" s="246" t="s">
        <v>2260</v>
      </c>
      <c r="C910" s="246" t="s">
        <v>2261</v>
      </c>
      <c r="D910" s="247" t="s">
        <v>3999</v>
      </c>
      <c r="E910" s="247"/>
      <c r="F910" s="247"/>
      <c r="G910" s="247"/>
      <c r="H910" s="248"/>
      <c r="I910" s="247"/>
      <c r="J910" s="398"/>
      <c r="K910" s="399"/>
      <c r="L910" s="400" t="s">
        <v>2265</v>
      </c>
      <c r="M910" s="251" t="s">
        <v>2962</v>
      </c>
      <c r="N910" s="410">
        <f>+R910</f>
        <v>0</v>
      </c>
      <c r="O910" s="487">
        <f>+Z910</f>
        <v>0</v>
      </c>
      <c r="P910" s="253">
        <f>+O910-N910</f>
        <v>0</v>
      </c>
      <c r="Q910" s="520"/>
      <c r="R910" s="354">
        <f>IF(ISERROR(VLOOKUP("RIC"&amp;$C910,ESTR_PREC_SP!$A$2:$G$2000,4,FALSE))=TRUE,0,VLOOKUP("RIC"&amp;$C910,ESTR_PREC_SP!$A$2:$G$2000,4,FALSE))</f>
        <v>0</v>
      </c>
      <c r="S910" s="351"/>
      <c r="T910" s="351"/>
      <c r="U910" s="520"/>
      <c r="V910" s="520"/>
      <c r="W910" s="520"/>
      <c r="X910" s="520"/>
      <c r="Y910" s="520"/>
      <c r="Z910" s="269">
        <f>+R910+S910+U910+V910-X910-Y910+W910+Q910</f>
        <v>0</v>
      </c>
      <c r="AA910" s="351"/>
      <c r="AB910" s="351"/>
      <c r="AC910" s="520"/>
      <c r="AD910" s="520"/>
      <c r="AE910" s="520"/>
      <c r="AF910" s="520"/>
      <c r="AG910" s="526">
        <f>+Z910-SUM(AC910:AF910)</f>
        <v>0</v>
      </c>
      <c r="AH910" s="526">
        <f>+Z910-SUM(AI910:AJ910)</f>
        <v>0</v>
      </c>
      <c r="AI910" s="520"/>
      <c r="AJ910" s="520"/>
    </row>
    <row r="911" spans="1:36" s="204" customFormat="1" ht="26.25" x14ac:dyDescent="0.25">
      <c r="B911" s="230"/>
      <c r="C911" s="230"/>
      <c r="D911" s="230"/>
      <c r="E911" s="230"/>
      <c r="F911" s="230"/>
      <c r="G911" s="230"/>
      <c r="H911" s="231"/>
      <c r="I911" s="230"/>
      <c r="J911" s="230"/>
      <c r="K911" s="230"/>
      <c r="L911" s="232" t="s">
        <v>4000</v>
      </c>
      <c r="M911" s="211"/>
      <c r="N911" s="254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Z911" s="211"/>
      <c r="AA911" s="211"/>
      <c r="AB911" s="211"/>
      <c r="AC911" s="211"/>
      <c r="AD911" s="211"/>
    </row>
    <row r="912" spans="1:36" s="204" customFormat="1" x14ac:dyDescent="0.25">
      <c r="B912" s="230"/>
      <c r="C912" s="230"/>
      <c r="D912" s="230"/>
      <c r="E912" s="230"/>
      <c r="F912" s="230"/>
      <c r="G912" s="230"/>
      <c r="H912" s="231"/>
      <c r="I912" s="230"/>
      <c r="J912" s="230"/>
      <c r="K912" s="230"/>
      <c r="L912" s="232"/>
      <c r="M912" s="211"/>
      <c r="N912" s="254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Z912" s="211"/>
      <c r="AA912" s="211"/>
      <c r="AB912" s="211"/>
      <c r="AC912" s="211"/>
      <c r="AD912" s="211"/>
    </row>
    <row r="913" spans="1:36" s="204" customFormat="1" x14ac:dyDescent="0.25">
      <c r="B913" s="246" t="s">
        <v>2266</v>
      </c>
      <c r="C913" s="246" t="s">
        <v>2267</v>
      </c>
      <c r="D913" s="247" t="s">
        <v>4001</v>
      </c>
      <c r="E913" s="247"/>
      <c r="F913" s="247"/>
      <c r="G913" s="247"/>
      <c r="H913" s="248"/>
      <c r="I913" s="247"/>
      <c r="J913" s="247"/>
      <c r="K913" s="249"/>
      <c r="L913" s="441" t="s">
        <v>2271</v>
      </c>
      <c r="M913" s="251" t="s">
        <v>2962</v>
      </c>
      <c r="N913" s="252">
        <f>SUM(N917:N921)</f>
        <v>0</v>
      </c>
      <c r="O913" s="252">
        <f>SUM(O917:O921)</f>
        <v>0</v>
      </c>
      <c r="P913" s="253">
        <f>+O913-N913</f>
        <v>0</v>
      </c>
      <c r="Q913" s="252">
        <f t="shared" ref="Q913:AJ913" si="174">SUM(Q917:Q921)</f>
        <v>0</v>
      </c>
      <c r="R913" s="252">
        <f t="shared" si="174"/>
        <v>0</v>
      </c>
      <c r="S913" s="252">
        <f t="shared" si="174"/>
        <v>0</v>
      </c>
      <c r="T913" s="252">
        <f t="shared" si="174"/>
        <v>0</v>
      </c>
      <c r="U913" s="252">
        <f t="shared" si="174"/>
        <v>0</v>
      </c>
      <c r="V913" s="252">
        <f t="shared" si="174"/>
        <v>0</v>
      </c>
      <c r="W913" s="252">
        <f t="shared" si="174"/>
        <v>0</v>
      </c>
      <c r="X913" s="252">
        <f t="shared" si="174"/>
        <v>0</v>
      </c>
      <c r="Y913" s="252">
        <f t="shared" si="174"/>
        <v>0</v>
      </c>
      <c r="Z913" s="252">
        <f t="shared" si="174"/>
        <v>0</v>
      </c>
      <c r="AA913" s="252">
        <f t="shared" si="174"/>
        <v>0</v>
      </c>
      <c r="AB913" s="252">
        <f t="shared" si="174"/>
        <v>0</v>
      </c>
      <c r="AC913" s="252">
        <f t="shared" si="174"/>
        <v>0</v>
      </c>
      <c r="AD913" s="252">
        <f t="shared" si="174"/>
        <v>0</v>
      </c>
      <c r="AE913" s="252">
        <f t="shared" si="174"/>
        <v>0</v>
      </c>
      <c r="AF913" s="252">
        <f t="shared" si="174"/>
        <v>0</v>
      </c>
      <c r="AG913" s="252">
        <f t="shared" si="174"/>
        <v>0</v>
      </c>
      <c r="AH913" s="252">
        <f t="shared" si="174"/>
        <v>0</v>
      </c>
      <c r="AI913" s="252">
        <f t="shared" si="174"/>
        <v>0</v>
      </c>
      <c r="AJ913" s="252">
        <f t="shared" si="174"/>
        <v>0</v>
      </c>
    </row>
    <row r="914" spans="1:36" s="204" customFormat="1" x14ac:dyDescent="0.25">
      <c r="B914" s="216"/>
      <c r="C914" s="216"/>
      <c r="D914" s="226"/>
      <c r="E914" s="226"/>
      <c r="F914" s="226"/>
      <c r="G914" s="226"/>
      <c r="H914" s="227"/>
      <c r="I914" s="226"/>
      <c r="J914" s="226"/>
      <c r="K914" s="226"/>
      <c r="L914" s="403"/>
      <c r="M914" s="278"/>
      <c r="N914" s="279"/>
      <c r="O914" s="279"/>
      <c r="P914" s="404"/>
      <c r="Q914" s="211"/>
      <c r="R914" s="279"/>
      <c r="S914" s="211"/>
      <c r="T914" s="211"/>
      <c r="U914" s="211"/>
      <c r="V914" s="211"/>
      <c r="W914" s="211"/>
      <c r="X914" s="211"/>
      <c r="Z914" s="211"/>
      <c r="AA914" s="211"/>
      <c r="AB914" s="211"/>
      <c r="AC914" s="211"/>
      <c r="AD914" s="211"/>
    </row>
    <row r="915" spans="1:36" s="204" customFormat="1" ht="15.75" customHeight="1" x14ac:dyDescent="0.25">
      <c r="B915" s="230"/>
      <c r="C915" s="230"/>
      <c r="D915" s="230"/>
      <c r="E915" s="230"/>
      <c r="F915" s="230"/>
      <c r="G915" s="230"/>
      <c r="H915" s="231"/>
      <c r="I915" s="230"/>
      <c r="J915" s="230"/>
      <c r="K915" s="230"/>
      <c r="L915" s="232"/>
      <c r="M915" s="211"/>
      <c r="N915" s="254"/>
      <c r="O915" s="211"/>
      <c r="P915" s="211"/>
      <c r="Q915" s="211"/>
      <c r="R915" s="211"/>
      <c r="S915" s="211"/>
      <c r="U915" s="902" t="s">
        <v>3495</v>
      </c>
      <c r="V915" s="902"/>
      <c r="W915" s="490"/>
      <c r="X915" s="906" t="s">
        <v>3496</v>
      </c>
      <c r="Y915" s="906"/>
      <c r="Z915" s="211"/>
      <c r="AA915" s="211"/>
      <c r="AB915" s="211"/>
      <c r="AC915" s="907" t="str">
        <f>+AC908</f>
        <v>VALORE DEI DEBITI AL 31/12/2020 PER ANNO DI FORMAZIONE</v>
      </c>
      <c r="AD915" s="907"/>
      <c r="AE915" s="907"/>
      <c r="AF915" s="907"/>
      <c r="AG915" s="907"/>
      <c r="AH915" s="908" t="str">
        <f>+AH908</f>
        <v>Debiti al 31/12/2020 per scadenza</v>
      </c>
      <c r="AI915" s="908"/>
      <c r="AJ915" s="908"/>
    </row>
    <row r="916" spans="1:36" s="204" customFormat="1" ht="63.75" x14ac:dyDescent="0.25">
      <c r="B916" s="260" t="s">
        <v>2968</v>
      </c>
      <c r="C916" s="260" t="s">
        <v>2969</v>
      </c>
      <c r="D916" s="206" t="s">
        <v>72</v>
      </c>
      <c r="E916" s="206"/>
      <c r="F916" s="206"/>
      <c r="G916" s="207"/>
      <c r="H916" s="207"/>
      <c r="I916" s="207"/>
      <c r="J916" s="207" t="s">
        <v>2957</v>
      </c>
      <c r="K916" s="206" t="s">
        <v>82</v>
      </c>
      <c r="L916" s="261" t="s">
        <v>3670</v>
      </c>
      <c r="M916" s="480"/>
      <c r="N916" s="256" t="str">
        <f>N$15</f>
        <v>Valore netto al 31/12/2019</v>
      </c>
      <c r="O916" s="256" t="str">
        <f>O$15</f>
        <v>Valore netto al 31/12/2020</v>
      </c>
      <c r="P916" s="256" t="str">
        <f>P$15</f>
        <v>Variazione</v>
      </c>
      <c r="Q916" s="262" t="s">
        <v>2971</v>
      </c>
      <c r="R916" s="262" t="s">
        <v>3517</v>
      </c>
      <c r="S916" s="262" t="s">
        <v>2972</v>
      </c>
      <c r="T916" s="486" t="s">
        <v>3995</v>
      </c>
      <c r="U916" s="337" t="s">
        <v>3996</v>
      </c>
      <c r="V916" s="337" t="s">
        <v>3495</v>
      </c>
      <c r="W916" s="262" t="s">
        <v>2975</v>
      </c>
      <c r="X916" s="492" t="s">
        <v>3498</v>
      </c>
      <c r="Y916" s="492" t="s">
        <v>3499</v>
      </c>
      <c r="Z916" s="262" t="s">
        <v>3815</v>
      </c>
      <c r="AA916" s="377" t="s">
        <v>3997</v>
      </c>
      <c r="AB916" s="377" t="s">
        <v>3998</v>
      </c>
      <c r="AC916" s="493" t="s">
        <v>3503</v>
      </c>
      <c r="AD916" s="493" t="s">
        <v>3504</v>
      </c>
      <c r="AE916" s="493" t="s">
        <v>3505</v>
      </c>
      <c r="AF916" s="493" t="s">
        <v>3506</v>
      </c>
      <c r="AG916" s="493" t="s">
        <v>3507</v>
      </c>
      <c r="AH916" s="494" t="s">
        <v>3508</v>
      </c>
      <c r="AI916" s="494" t="s">
        <v>3509</v>
      </c>
      <c r="AJ916" s="495" t="s">
        <v>3510</v>
      </c>
    </row>
    <row r="917" spans="1:36" s="204" customFormat="1" x14ac:dyDescent="0.25">
      <c r="B917" s="246" t="s">
        <v>2272</v>
      </c>
      <c r="C917" s="287" t="s">
        <v>2273</v>
      </c>
      <c r="D917" s="284" t="s">
        <v>4002</v>
      </c>
      <c r="E917" s="274"/>
      <c r="F917" s="274"/>
      <c r="G917" s="283"/>
      <c r="H917" s="266"/>
      <c r="I917" s="274"/>
      <c r="J917" s="281"/>
      <c r="K917" s="281"/>
      <c r="L917" s="488" t="s">
        <v>2275</v>
      </c>
      <c r="M917" s="284" t="s">
        <v>2962</v>
      </c>
      <c r="N917" s="489">
        <f>+R917</f>
        <v>0</v>
      </c>
      <c r="O917" s="489">
        <f>+Z917</f>
        <v>0</v>
      </c>
      <c r="P917" s="271">
        <f>+O917-N917</f>
        <v>0</v>
      </c>
      <c r="Q917" s="520"/>
      <c r="R917" s="354">
        <f>IF(ISERROR(VLOOKUP("RIC"&amp;$C917,ESTR_PREC_SP!$A$2:$G$2000,4,FALSE))=TRUE,0,VLOOKUP("RIC"&amp;$C917,ESTR_PREC_SP!$A$2:$G$2000,4,FALSE))</f>
        <v>0</v>
      </c>
      <c r="S917" s="351"/>
      <c r="T917" s="544"/>
      <c r="U917" s="520"/>
      <c r="V917" s="520"/>
      <c r="W917" s="520"/>
      <c r="X917" s="520"/>
      <c r="Y917" s="520"/>
      <c r="Z917" s="269">
        <f>+R917+S917+U917+V917-X917-Y917+W917+Q917</f>
        <v>0</v>
      </c>
      <c r="AA917" s="534"/>
      <c r="AB917" s="544"/>
      <c r="AC917" s="520"/>
      <c r="AD917" s="520"/>
      <c r="AE917" s="520"/>
      <c r="AF917" s="520"/>
      <c r="AG917" s="539">
        <f>+Z917-SUM(AC917:AF917)</f>
        <v>0</v>
      </c>
      <c r="AH917" s="539">
        <f>+Z917-SUM(AI917:AJ917)</f>
        <v>0</v>
      </c>
      <c r="AI917" s="520"/>
      <c r="AJ917" s="520"/>
    </row>
    <row r="918" spans="1:36" s="204" customFormat="1" x14ac:dyDescent="0.25">
      <c r="B918" s="246" t="s">
        <v>2276</v>
      </c>
      <c r="C918" s="287" t="s">
        <v>2277</v>
      </c>
      <c r="D918" s="284" t="s">
        <v>4003</v>
      </c>
      <c r="E918" s="274"/>
      <c r="F918" s="274"/>
      <c r="G918" s="283"/>
      <c r="H918" s="266"/>
      <c r="I918" s="274"/>
      <c r="J918" s="281"/>
      <c r="K918" s="281"/>
      <c r="L918" s="488" t="s">
        <v>2279</v>
      </c>
      <c r="M918" s="284" t="s">
        <v>2962</v>
      </c>
      <c r="N918" s="489">
        <f>+R918</f>
        <v>0</v>
      </c>
      <c r="O918" s="489">
        <f>+Z918</f>
        <v>0</v>
      </c>
      <c r="P918" s="271">
        <f>+O918-N918</f>
        <v>0</v>
      </c>
      <c r="Q918" s="520"/>
      <c r="R918" s="354">
        <f>IF(ISERROR(VLOOKUP("RIC"&amp;$C918,ESTR_PREC_SP!$A$2:$G$2000,4,FALSE))=TRUE,0,VLOOKUP("RIC"&amp;$C918,ESTR_PREC_SP!$A$2:$G$2000,4,FALSE))</f>
        <v>0</v>
      </c>
      <c r="S918" s="351"/>
      <c r="T918" s="544"/>
      <c r="U918" s="520"/>
      <c r="V918" s="520"/>
      <c r="W918" s="520"/>
      <c r="X918" s="520"/>
      <c r="Y918" s="520"/>
      <c r="Z918" s="269">
        <f>+R918+S918+U918+V918-X918-Y918+W918+Q918</f>
        <v>0</v>
      </c>
      <c r="AA918" s="534"/>
      <c r="AB918" s="544"/>
      <c r="AC918" s="520"/>
      <c r="AD918" s="520"/>
      <c r="AE918" s="520"/>
      <c r="AF918" s="520"/>
      <c r="AG918" s="526">
        <f>+Z918-SUM(AC918:AF918)</f>
        <v>0</v>
      </c>
      <c r="AH918" s="526">
        <f>+Z918-SUM(AI918:AJ918)</f>
        <v>0</v>
      </c>
      <c r="AI918" s="520"/>
      <c r="AJ918" s="520"/>
    </row>
    <row r="919" spans="1:36" s="204" customFormat="1" x14ac:dyDescent="0.25">
      <c r="B919" s="246" t="s">
        <v>2280</v>
      </c>
      <c r="C919" s="287" t="s">
        <v>2281</v>
      </c>
      <c r="D919" s="284" t="s">
        <v>4004</v>
      </c>
      <c r="E919" s="274"/>
      <c r="F919" s="274"/>
      <c r="G919" s="283"/>
      <c r="H919" s="266"/>
      <c r="I919" s="274"/>
      <c r="J919" s="281"/>
      <c r="K919" s="281"/>
      <c r="L919" s="488" t="s">
        <v>2283</v>
      </c>
      <c r="M919" s="284" t="s">
        <v>2962</v>
      </c>
      <c r="N919" s="489">
        <f>+R919</f>
        <v>0</v>
      </c>
      <c r="O919" s="489">
        <f>+Z919</f>
        <v>0</v>
      </c>
      <c r="P919" s="271">
        <f>+O919-N919</f>
        <v>0</v>
      </c>
      <c r="Q919" s="520"/>
      <c r="R919" s="354">
        <f>IF(ISERROR(VLOOKUP("RIC"&amp;$C919,ESTR_PREC_SP!$A$2:$G$2000,4,FALSE))=TRUE,0,VLOOKUP("RIC"&amp;$C919,ESTR_PREC_SP!$A$2:$G$2000,4,FALSE))</f>
        <v>0</v>
      </c>
      <c r="S919" s="351"/>
      <c r="T919" s="544"/>
      <c r="U919" s="520"/>
      <c r="V919" s="520"/>
      <c r="W919" s="520"/>
      <c r="X919" s="520"/>
      <c r="Y919" s="520"/>
      <c r="Z919" s="269">
        <f>+R919+S919+U919+V919-X919-Y919+W919+Q919</f>
        <v>0</v>
      </c>
      <c r="AA919" s="534"/>
      <c r="AB919" s="544"/>
      <c r="AC919" s="520"/>
      <c r="AD919" s="520"/>
      <c r="AE919" s="520"/>
      <c r="AF919" s="520"/>
      <c r="AG919" s="526">
        <f>+Z919-SUM(AC919:AF919)</f>
        <v>0</v>
      </c>
      <c r="AH919" s="526">
        <f>+Z919-SUM(AI919:AJ919)</f>
        <v>0</v>
      </c>
      <c r="AI919" s="520"/>
      <c r="AJ919" s="520"/>
    </row>
    <row r="920" spans="1:36" s="204" customFormat="1" x14ac:dyDescent="0.25">
      <c r="B920" s="246" t="s">
        <v>2284</v>
      </c>
      <c r="C920" s="287" t="s">
        <v>2285</v>
      </c>
      <c r="D920" s="284" t="s">
        <v>4005</v>
      </c>
      <c r="E920" s="274"/>
      <c r="F920" s="274"/>
      <c r="G920" s="283"/>
      <c r="H920" s="266"/>
      <c r="I920" s="274"/>
      <c r="J920" s="281"/>
      <c r="K920" s="281"/>
      <c r="L920" s="488" t="s">
        <v>2287</v>
      </c>
      <c r="M920" s="284" t="s">
        <v>2962</v>
      </c>
      <c r="N920" s="489">
        <f>+R920</f>
        <v>0</v>
      </c>
      <c r="O920" s="489">
        <f>+Z920</f>
        <v>0</v>
      </c>
      <c r="P920" s="271">
        <f>+O920-N920</f>
        <v>0</v>
      </c>
      <c r="Q920" s="520"/>
      <c r="R920" s="354">
        <f>IF(ISERROR(VLOOKUP("RIC"&amp;$C920,ESTR_PREC_SP!$A$2:$G$2000,4,FALSE))=TRUE,0,VLOOKUP("RIC"&amp;$C920,ESTR_PREC_SP!$A$2:$G$2000,4,FALSE))</f>
        <v>0</v>
      </c>
      <c r="S920" s="351"/>
      <c r="T920" s="544"/>
      <c r="U920" s="520"/>
      <c r="V920" s="520"/>
      <c r="W920" s="520"/>
      <c r="X920" s="520"/>
      <c r="Y920" s="520"/>
      <c r="Z920" s="269">
        <f>+R920+S920+U920+V920-X920-Y920+W920+Q920</f>
        <v>0</v>
      </c>
      <c r="AA920" s="534"/>
      <c r="AB920" s="544"/>
      <c r="AC920" s="520"/>
      <c r="AD920" s="520"/>
      <c r="AE920" s="520"/>
      <c r="AF920" s="520"/>
      <c r="AG920" s="526">
        <f>+Z920-SUM(AC920:AF920)</f>
        <v>0</v>
      </c>
      <c r="AH920" s="526">
        <f>+Z920-SUM(AI920:AJ920)</f>
        <v>0</v>
      </c>
      <c r="AI920" s="520"/>
      <c r="AJ920" s="520"/>
    </row>
    <row r="921" spans="1:36" s="204" customFormat="1" x14ac:dyDescent="0.25">
      <c r="B921" s="246" t="s">
        <v>2288</v>
      </c>
      <c r="C921" s="287" t="s">
        <v>2289</v>
      </c>
      <c r="D921" s="284" t="s">
        <v>4006</v>
      </c>
      <c r="E921" s="274"/>
      <c r="F921" s="274"/>
      <c r="G921" s="283"/>
      <c r="H921" s="266"/>
      <c r="I921" s="274"/>
      <c r="J921" s="281"/>
      <c r="K921" s="281"/>
      <c r="L921" s="488" t="s">
        <v>2291</v>
      </c>
      <c r="M921" s="284" t="s">
        <v>2962</v>
      </c>
      <c r="N921" s="489">
        <f>+R921</f>
        <v>0</v>
      </c>
      <c r="O921" s="489">
        <f>+Z921</f>
        <v>0</v>
      </c>
      <c r="P921" s="271">
        <f>+O921-N921</f>
        <v>0</v>
      </c>
      <c r="Q921" s="520"/>
      <c r="R921" s="354">
        <f>IF(ISERROR(VLOOKUP("RIC"&amp;$C921,ESTR_PREC_SP!$A$2:$G$2000,4,FALSE))=TRUE,0,VLOOKUP("RIC"&amp;$C921,ESTR_PREC_SP!$A$2:$G$2000,4,FALSE))</f>
        <v>0</v>
      </c>
      <c r="S921" s="351"/>
      <c r="T921" s="544"/>
      <c r="U921" s="520"/>
      <c r="V921" s="520"/>
      <c r="W921" s="520"/>
      <c r="X921" s="520"/>
      <c r="Y921" s="520"/>
      <c r="Z921" s="269">
        <f>+R921+S921+U921+V921-X921-Y921+W921+Q921</f>
        <v>0</v>
      </c>
      <c r="AA921" s="534"/>
      <c r="AB921" s="544"/>
      <c r="AC921" s="520"/>
      <c r="AD921" s="520"/>
      <c r="AE921" s="520"/>
      <c r="AF921" s="520"/>
      <c r="AG921" s="526">
        <f>+Z921-SUM(AC921:AF921)</f>
        <v>0</v>
      </c>
      <c r="AH921" s="526">
        <f>+Z921-SUM(AI921:AJ921)</f>
        <v>0</v>
      </c>
      <c r="AI921" s="520"/>
      <c r="AJ921" s="520"/>
    </row>
    <row r="922" spans="1:36" s="204" customFormat="1" x14ac:dyDescent="0.25">
      <c r="B922" s="298"/>
      <c r="C922" s="298"/>
      <c r="D922" s="226"/>
      <c r="E922" s="226"/>
      <c r="F922" s="226"/>
      <c r="G922" s="290"/>
      <c r="H922" s="227"/>
      <c r="I922" s="22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  <c r="AA922" s="216"/>
      <c r="AB922" s="216"/>
      <c r="AC922" s="216"/>
      <c r="AD922" s="216"/>
    </row>
    <row r="923" spans="1:36" s="204" customFormat="1" x14ac:dyDescent="0.25">
      <c r="B923" s="246" t="s">
        <v>2292</v>
      </c>
      <c r="C923" s="292" t="s">
        <v>2293</v>
      </c>
      <c r="D923" s="247" t="s">
        <v>4007</v>
      </c>
      <c r="E923" s="247"/>
      <c r="F923" s="247"/>
      <c r="G923" s="247"/>
      <c r="H923" s="248"/>
      <c r="I923" s="247"/>
      <c r="J923" s="247"/>
      <c r="K923" s="249"/>
      <c r="L923" s="441" t="s">
        <v>2296</v>
      </c>
      <c r="M923" s="251" t="s">
        <v>2962</v>
      </c>
      <c r="N923" s="252">
        <f>SUM(N927:N938)</f>
        <v>0</v>
      </c>
      <c r="O923" s="252">
        <f>SUM(O927:O938)</f>
        <v>0</v>
      </c>
      <c r="P923" s="253">
        <f>+O923-N923</f>
        <v>0</v>
      </c>
      <c r="Q923" s="252">
        <f t="shared" ref="Q923:AJ923" si="175">SUM(Q927:Q938)</f>
        <v>0</v>
      </c>
      <c r="R923" s="252">
        <f t="shared" si="175"/>
        <v>0</v>
      </c>
      <c r="S923" s="252">
        <f t="shared" si="175"/>
        <v>0</v>
      </c>
      <c r="T923" s="252">
        <f t="shared" si="175"/>
        <v>0</v>
      </c>
      <c r="U923" s="252">
        <f t="shared" si="175"/>
        <v>0</v>
      </c>
      <c r="V923" s="252">
        <f t="shared" si="175"/>
        <v>0</v>
      </c>
      <c r="W923" s="252">
        <f t="shared" si="175"/>
        <v>0</v>
      </c>
      <c r="X923" s="252">
        <f t="shared" si="175"/>
        <v>0</v>
      </c>
      <c r="Y923" s="252">
        <f t="shared" si="175"/>
        <v>0</v>
      </c>
      <c r="Z923" s="252">
        <f t="shared" si="175"/>
        <v>0</v>
      </c>
      <c r="AA923" s="252">
        <f t="shared" si="175"/>
        <v>0</v>
      </c>
      <c r="AB923" s="252">
        <f t="shared" si="175"/>
        <v>0</v>
      </c>
      <c r="AC923" s="252">
        <f t="shared" si="175"/>
        <v>0</v>
      </c>
      <c r="AD923" s="252">
        <f t="shared" si="175"/>
        <v>0</v>
      </c>
      <c r="AE923" s="252">
        <f t="shared" si="175"/>
        <v>0</v>
      </c>
      <c r="AF923" s="252">
        <f t="shared" si="175"/>
        <v>0</v>
      </c>
      <c r="AG923" s="252">
        <f t="shared" si="175"/>
        <v>0</v>
      </c>
      <c r="AH923" s="252">
        <f t="shared" si="175"/>
        <v>0</v>
      </c>
      <c r="AI923" s="252">
        <f t="shared" si="175"/>
        <v>0</v>
      </c>
      <c r="AJ923" s="252">
        <f t="shared" si="175"/>
        <v>0</v>
      </c>
    </row>
    <row r="924" spans="1:36" s="204" customFormat="1" x14ac:dyDescent="0.25">
      <c r="B924" s="298"/>
      <c r="C924" s="298"/>
      <c r="D924" s="226"/>
      <c r="E924" s="226"/>
      <c r="F924" s="226"/>
      <c r="G924" s="226"/>
      <c r="H924" s="227"/>
      <c r="I924" s="226"/>
      <c r="J924" s="226"/>
      <c r="K924" s="226"/>
      <c r="L924" s="403"/>
      <c r="M924" s="278"/>
      <c r="N924" s="279"/>
      <c r="O924" s="279"/>
      <c r="P924" s="404"/>
      <c r="Q924" s="211"/>
      <c r="R924" s="279"/>
      <c r="S924" s="211"/>
      <c r="T924" s="211"/>
      <c r="U924" s="211"/>
      <c r="V924" s="211"/>
      <c r="W924" s="211"/>
      <c r="X924" s="211"/>
      <c r="Z924" s="211"/>
      <c r="AA924" s="211"/>
      <c r="AB924" s="211"/>
      <c r="AC924" s="211"/>
      <c r="AD924" s="211"/>
    </row>
    <row r="925" spans="1:36" s="204" customFormat="1" ht="15.75" customHeight="1" x14ac:dyDescent="0.25">
      <c r="B925" s="293"/>
      <c r="C925" s="293"/>
      <c r="D925" s="230"/>
      <c r="E925" s="230"/>
      <c r="F925" s="230"/>
      <c r="G925" s="230"/>
      <c r="H925" s="231"/>
      <c r="I925" s="230"/>
      <c r="J925" s="230"/>
      <c r="K925" s="230"/>
      <c r="L925" s="232"/>
      <c r="M925" s="211"/>
      <c r="N925" s="254"/>
      <c r="O925" s="211"/>
      <c r="P925" s="211"/>
      <c r="Q925" s="211"/>
      <c r="R925" s="211"/>
      <c r="S925" s="211"/>
      <c r="U925" s="902" t="s">
        <v>3495</v>
      </c>
      <c r="V925" s="902"/>
      <c r="W925" s="485"/>
      <c r="X925" s="903" t="s">
        <v>3496</v>
      </c>
      <c r="Y925" s="903"/>
      <c r="Z925" s="211"/>
      <c r="AA925" s="211"/>
      <c r="AB925" s="211"/>
      <c r="AC925" s="904" t="str">
        <f>+AC915</f>
        <v>VALORE DEI DEBITI AL 31/12/2020 PER ANNO DI FORMAZIONE</v>
      </c>
      <c r="AD925" s="904"/>
      <c r="AE925" s="904"/>
      <c r="AF925" s="904"/>
      <c r="AG925" s="904"/>
      <c r="AH925" s="905" t="str">
        <f>+AH915</f>
        <v>Debiti al 31/12/2020 per scadenza</v>
      </c>
      <c r="AI925" s="905"/>
      <c r="AJ925" s="905"/>
    </row>
    <row r="926" spans="1:36" s="204" customFormat="1" ht="63.75" x14ac:dyDescent="0.25">
      <c r="B926" s="294" t="s">
        <v>2968</v>
      </c>
      <c r="C926" s="294" t="s">
        <v>2969</v>
      </c>
      <c r="D926" s="206" t="s">
        <v>72</v>
      </c>
      <c r="E926" s="206"/>
      <c r="F926" s="206"/>
      <c r="G926" s="207"/>
      <c r="H926" s="207"/>
      <c r="I926" s="207"/>
      <c r="J926" s="207" t="s">
        <v>2957</v>
      </c>
      <c r="K926" s="206" t="s">
        <v>82</v>
      </c>
      <c r="L926" s="431" t="s">
        <v>3670</v>
      </c>
      <c r="M926" s="491"/>
      <c r="N926" s="256" t="str">
        <f>N$15</f>
        <v>Valore netto al 31/12/2019</v>
      </c>
      <c r="O926" s="256" t="str">
        <f>O$15</f>
        <v>Valore netto al 31/12/2020</v>
      </c>
      <c r="P926" s="256" t="str">
        <f>P$15</f>
        <v>Variazione</v>
      </c>
      <c r="Q926" s="262" t="s">
        <v>2971</v>
      </c>
      <c r="R926" s="346" t="s">
        <v>3517</v>
      </c>
      <c r="S926" s="262" t="s">
        <v>2972</v>
      </c>
      <c r="T926" s="486" t="s">
        <v>3995</v>
      </c>
      <c r="U926" s="337" t="s">
        <v>3996</v>
      </c>
      <c r="V926" s="337" t="s">
        <v>3495</v>
      </c>
      <c r="W926" s="262" t="s">
        <v>2975</v>
      </c>
      <c r="X926" s="338" t="s">
        <v>3498</v>
      </c>
      <c r="Y926" s="338" t="s">
        <v>3499</v>
      </c>
      <c r="Z926" s="262" t="s">
        <v>3815</v>
      </c>
      <c r="AA926" s="497" t="s">
        <v>3997</v>
      </c>
      <c r="AB926" s="377" t="s">
        <v>3998</v>
      </c>
      <c r="AC926" s="339" t="s">
        <v>3503</v>
      </c>
      <c r="AD926" s="339" t="s">
        <v>3504</v>
      </c>
      <c r="AE926" s="339" t="s">
        <v>3505</v>
      </c>
      <c r="AF926" s="339" t="s">
        <v>3506</v>
      </c>
      <c r="AG926" s="339" t="s">
        <v>3507</v>
      </c>
      <c r="AH926" s="340" t="s">
        <v>3508</v>
      </c>
      <c r="AI926" s="340" t="s">
        <v>3509</v>
      </c>
      <c r="AJ926" s="340" t="s">
        <v>3510</v>
      </c>
    </row>
    <row r="927" spans="1:36" s="204" customFormat="1" x14ac:dyDescent="0.25">
      <c r="B927" s="246" t="s">
        <v>2297</v>
      </c>
      <c r="C927" s="287" t="s">
        <v>2298</v>
      </c>
      <c r="D927" s="284" t="s">
        <v>4008</v>
      </c>
      <c r="E927" s="274"/>
      <c r="F927" s="274"/>
      <c r="G927" s="283"/>
      <c r="H927" s="266"/>
      <c r="I927" s="274"/>
      <c r="J927" s="281"/>
      <c r="K927" s="281"/>
      <c r="L927" s="488" t="s">
        <v>4009</v>
      </c>
      <c r="M927" s="284" t="s">
        <v>2962</v>
      </c>
      <c r="N927" s="408">
        <f t="shared" ref="N927:N938" si="176">+R927</f>
        <v>0</v>
      </c>
      <c r="O927" s="408">
        <f t="shared" ref="O927:O938" si="177">+Z927</f>
        <v>0</v>
      </c>
      <c r="P927" s="271">
        <f t="shared" ref="P927:P938" si="178">+O927-N927</f>
        <v>0</v>
      </c>
      <c r="Q927" s="520"/>
      <c r="R927" s="354">
        <f>IF(ISERROR(VLOOKUP("RIC"&amp;$C927,ESTR_PREC_SP!$A$2:$G$2000,4,FALSE))=TRUE,0,VLOOKUP("RIC"&amp;$C927,ESTR_PREC_SP!$A$2:$G$2000,4,FALSE))</f>
        <v>0</v>
      </c>
      <c r="S927" s="520"/>
      <c r="T927" s="351"/>
      <c r="U927" s="520"/>
      <c r="V927" s="520"/>
      <c r="W927" s="527"/>
      <c r="X927" s="527"/>
      <c r="Y927" s="527"/>
      <c r="Z927" s="269">
        <f t="shared" ref="Z927:Z938" si="179">+R927+S927+U927+V927-X927-Y927+W927+Q927</f>
        <v>0</v>
      </c>
      <c r="AA927" s="546"/>
      <c r="AB927" s="545"/>
      <c r="AC927" s="520"/>
      <c r="AD927" s="520"/>
      <c r="AE927" s="520"/>
      <c r="AF927" s="520"/>
      <c r="AG927" s="526">
        <f t="shared" ref="AG927:AG938" si="180">+Z927-SUM(AC927:AF927)</f>
        <v>0</v>
      </c>
      <c r="AH927" s="526">
        <f t="shared" ref="AH927:AH938" si="181">+Z927-SUM(AI927:AJ927)</f>
        <v>0</v>
      </c>
      <c r="AI927" s="520"/>
      <c r="AJ927" s="520"/>
    </row>
    <row r="928" spans="1:36" s="204" customFormat="1" x14ac:dyDescent="0.25">
      <c r="A928" s="535" t="s">
        <v>3681</v>
      </c>
      <c r="B928" s="536" t="s">
        <v>2301</v>
      </c>
      <c r="C928" s="536" t="s">
        <v>2302</v>
      </c>
      <c r="D928" s="536"/>
      <c r="E928" s="536"/>
      <c r="F928" s="536"/>
      <c r="G928" s="536"/>
      <c r="H928" s="536"/>
      <c r="I928" s="536"/>
      <c r="J928" s="536"/>
      <c r="K928" s="536"/>
      <c r="L928" s="536" t="s">
        <v>2304</v>
      </c>
      <c r="M928" s="284" t="s">
        <v>2962</v>
      </c>
      <c r="N928" s="408">
        <f t="shared" si="176"/>
        <v>0</v>
      </c>
      <c r="O928" s="408">
        <f t="shared" si="177"/>
        <v>0</v>
      </c>
      <c r="P928" s="271">
        <f t="shared" si="178"/>
        <v>0</v>
      </c>
      <c r="Q928" s="520"/>
      <c r="R928" s="354">
        <f>IF(ISERROR(VLOOKUP("RIC"&amp;$C928,ESTR_PREC_SP!$A$2:$G$2000,4,FALSE))=TRUE,0,VLOOKUP("RIC"&amp;$C928,ESTR_PREC_SP!$A$2:$G$2000,4,FALSE))</f>
        <v>0</v>
      </c>
      <c r="S928" s="520"/>
      <c r="T928" s="351"/>
      <c r="U928" s="520"/>
      <c r="V928" s="520"/>
      <c r="W928" s="527"/>
      <c r="X928" s="527"/>
      <c r="Y928" s="527"/>
      <c r="Z928" s="269">
        <f t="shared" si="179"/>
        <v>0</v>
      </c>
      <c r="AA928" s="546"/>
      <c r="AB928" s="545"/>
      <c r="AC928" s="520"/>
      <c r="AD928" s="520"/>
      <c r="AE928" s="520"/>
      <c r="AF928" s="520"/>
      <c r="AG928" s="526">
        <f t="shared" si="180"/>
        <v>0</v>
      </c>
      <c r="AH928" s="526">
        <f t="shared" si="181"/>
        <v>0</v>
      </c>
      <c r="AI928" s="520"/>
      <c r="AJ928" s="520"/>
    </row>
    <row r="929" spans="1:36" s="204" customFormat="1" ht="33" customHeight="1" x14ac:dyDescent="0.25">
      <c r="B929" s="246" t="s">
        <v>2305</v>
      </c>
      <c r="C929" s="287" t="s">
        <v>2306</v>
      </c>
      <c r="D929" s="284" t="s">
        <v>4010</v>
      </c>
      <c r="E929" s="274"/>
      <c r="F929" s="274"/>
      <c r="G929" s="283"/>
      <c r="H929" s="326"/>
      <c r="I929" s="274"/>
      <c r="J929" s="281"/>
      <c r="K929" s="281"/>
      <c r="L929" s="488" t="s">
        <v>4011</v>
      </c>
      <c r="M929" s="284" t="s">
        <v>2962</v>
      </c>
      <c r="N929" s="408">
        <f t="shared" si="176"/>
        <v>0</v>
      </c>
      <c r="O929" s="408">
        <f t="shared" si="177"/>
        <v>0</v>
      </c>
      <c r="P929" s="271">
        <f t="shared" si="178"/>
        <v>0</v>
      </c>
      <c r="Q929" s="520"/>
      <c r="R929" s="354">
        <f>IF(ISERROR(VLOOKUP("RIC"&amp;$C929,ESTR_PREC_SP!$A$2:$G$2000,4,FALSE))=TRUE,0,VLOOKUP("RIC"&amp;$C929,ESTR_PREC_SP!$A$2:$G$2000,4,FALSE))</f>
        <v>0</v>
      </c>
      <c r="S929" s="520"/>
      <c r="T929" s="351"/>
      <c r="U929" s="520"/>
      <c r="V929" s="520"/>
      <c r="W929" s="527"/>
      <c r="X929" s="527"/>
      <c r="Y929" s="527"/>
      <c r="Z929" s="269">
        <f t="shared" si="179"/>
        <v>0</v>
      </c>
      <c r="AA929" s="546"/>
      <c r="AB929" s="545"/>
      <c r="AC929" s="520"/>
      <c r="AD929" s="520"/>
      <c r="AE929" s="520"/>
      <c r="AF929" s="520"/>
      <c r="AG929" s="526">
        <f t="shared" si="180"/>
        <v>0</v>
      </c>
      <c r="AH929" s="526">
        <f t="shared" si="181"/>
        <v>0</v>
      </c>
      <c r="AI929" s="520"/>
      <c r="AJ929" s="520"/>
    </row>
    <row r="930" spans="1:36" s="204" customFormat="1" ht="37.5" customHeight="1" x14ac:dyDescent="0.25">
      <c r="B930" s="246" t="s">
        <v>2309</v>
      </c>
      <c r="C930" s="287" t="s">
        <v>2310</v>
      </c>
      <c r="D930" s="284" t="s">
        <v>4012</v>
      </c>
      <c r="E930" s="274"/>
      <c r="F930" s="274"/>
      <c r="G930" s="283"/>
      <c r="H930" s="326"/>
      <c r="I930" s="274"/>
      <c r="J930" s="281"/>
      <c r="K930" s="281"/>
      <c r="L930" s="488" t="s">
        <v>4013</v>
      </c>
      <c r="M930" s="284" t="s">
        <v>2962</v>
      </c>
      <c r="N930" s="408">
        <f t="shared" si="176"/>
        <v>0</v>
      </c>
      <c r="O930" s="408">
        <f t="shared" si="177"/>
        <v>0</v>
      </c>
      <c r="P930" s="271">
        <f t="shared" si="178"/>
        <v>0</v>
      </c>
      <c r="Q930" s="520"/>
      <c r="R930" s="354">
        <f>IF(ISERROR(VLOOKUP("RIC"&amp;$C930,ESTR_PREC_SP!$A$2:$G$2000,4,FALSE))=TRUE,0,VLOOKUP("RIC"&amp;$C930,ESTR_PREC_SP!$A$2:$G$2000,4,FALSE))</f>
        <v>0</v>
      </c>
      <c r="S930" s="520"/>
      <c r="T930" s="351"/>
      <c r="U930" s="520"/>
      <c r="V930" s="520"/>
      <c r="W930" s="527"/>
      <c r="X930" s="527"/>
      <c r="Y930" s="527"/>
      <c r="Z930" s="269">
        <f t="shared" si="179"/>
        <v>0</v>
      </c>
      <c r="AA930" s="546"/>
      <c r="AB930" s="545"/>
      <c r="AC930" s="520"/>
      <c r="AD930" s="520"/>
      <c r="AE930" s="520"/>
      <c r="AF930" s="520"/>
      <c r="AG930" s="526">
        <f t="shared" si="180"/>
        <v>0</v>
      </c>
      <c r="AH930" s="526">
        <f t="shared" si="181"/>
        <v>0</v>
      </c>
      <c r="AI930" s="520"/>
      <c r="AJ930" s="520"/>
    </row>
    <row r="931" spans="1:36" s="204" customFormat="1" ht="30.75" customHeight="1" x14ac:dyDescent="0.25">
      <c r="A931" s="535" t="s">
        <v>3681</v>
      </c>
      <c r="B931" s="536" t="s">
        <v>2313</v>
      </c>
      <c r="C931" s="536" t="s">
        <v>2314</v>
      </c>
      <c r="D931" s="536"/>
      <c r="E931" s="536"/>
      <c r="F931" s="536"/>
      <c r="G931" s="536"/>
      <c r="H931" s="536"/>
      <c r="I931" s="536"/>
      <c r="J931" s="536"/>
      <c r="K931" s="536"/>
      <c r="L931" s="536" t="s">
        <v>2316</v>
      </c>
      <c r="M931" s="284" t="s">
        <v>2962</v>
      </c>
      <c r="N931" s="408">
        <f t="shared" si="176"/>
        <v>0</v>
      </c>
      <c r="O931" s="408">
        <f t="shared" si="177"/>
        <v>0</v>
      </c>
      <c r="P931" s="271">
        <f t="shared" si="178"/>
        <v>0</v>
      </c>
      <c r="Q931" s="520"/>
      <c r="R931" s="354">
        <f>IF(ISERROR(VLOOKUP("RIC"&amp;$C931,ESTR_PREC_SP!$A$2:$G$2000,4,FALSE))=TRUE,0,VLOOKUP("RIC"&amp;$C931,ESTR_PREC_SP!$A$2:$G$2000,4,FALSE))</f>
        <v>0</v>
      </c>
      <c r="S931" s="520"/>
      <c r="T931" s="351"/>
      <c r="U931" s="520"/>
      <c r="V931" s="520"/>
      <c r="W931" s="527"/>
      <c r="X931" s="527"/>
      <c r="Y931" s="527"/>
      <c r="Z931" s="269">
        <f t="shared" si="179"/>
        <v>0</v>
      </c>
      <c r="AA931" s="546"/>
      <c r="AB931" s="545"/>
      <c r="AC931" s="520"/>
      <c r="AD931" s="520"/>
      <c r="AE931" s="520"/>
      <c r="AF931" s="520"/>
      <c r="AG931" s="526">
        <f t="shared" si="180"/>
        <v>0</v>
      </c>
      <c r="AH931" s="526">
        <f t="shared" si="181"/>
        <v>0</v>
      </c>
      <c r="AI931" s="520"/>
      <c r="AJ931" s="520"/>
    </row>
    <row r="932" spans="1:36" s="204" customFormat="1" ht="30.75" customHeight="1" x14ac:dyDescent="0.25">
      <c r="B932" s="246" t="s">
        <v>2317</v>
      </c>
      <c r="C932" s="287" t="s">
        <v>2318</v>
      </c>
      <c r="D932" s="284" t="s">
        <v>4014</v>
      </c>
      <c r="E932" s="274"/>
      <c r="F932" s="274"/>
      <c r="G932" s="283"/>
      <c r="H932" s="326"/>
      <c r="I932" s="274"/>
      <c r="J932" s="281"/>
      <c r="K932" s="281"/>
      <c r="L932" s="488" t="s">
        <v>4015</v>
      </c>
      <c r="M932" s="284" t="s">
        <v>2962</v>
      </c>
      <c r="N932" s="408">
        <f t="shared" si="176"/>
        <v>0</v>
      </c>
      <c r="O932" s="408">
        <f t="shared" si="177"/>
        <v>0</v>
      </c>
      <c r="P932" s="271">
        <f t="shared" si="178"/>
        <v>0</v>
      </c>
      <c r="Q932" s="520"/>
      <c r="R932" s="354">
        <f>IF(ISERROR(VLOOKUP("RIC"&amp;$C932,ESTR_PREC_SP!$A$2:$G$2000,4,FALSE))=TRUE,0,VLOOKUP("RIC"&amp;$C932,ESTR_PREC_SP!$A$2:$G$2000,4,FALSE))</f>
        <v>0</v>
      </c>
      <c r="S932" s="527"/>
      <c r="T932" s="545"/>
      <c r="U932" s="527"/>
      <c r="V932" s="527"/>
      <c r="W932" s="527"/>
      <c r="X932" s="527"/>
      <c r="Y932" s="527"/>
      <c r="Z932" s="269">
        <f t="shared" si="179"/>
        <v>0</v>
      </c>
      <c r="AA932" s="546"/>
      <c r="AB932" s="545"/>
      <c r="AC932" s="520"/>
      <c r="AD932" s="520"/>
      <c r="AE932" s="520"/>
      <c r="AF932" s="520"/>
      <c r="AG932" s="526">
        <f t="shared" si="180"/>
        <v>0</v>
      </c>
      <c r="AH932" s="526">
        <f t="shared" si="181"/>
        <v>0</v>
      </c>
      <c r="AI932" s="520"/>
      <c r="AJ932" s="520"/>
    </row>
    <row r="933" spans="1:36" s="204" customFormat="1" ht="42.75" customHeight="1" x14ac:dyDescent="0.25">
      <c r="A933" s="535" t="s">
        <v>3681</v>
      </c>
      <c r="B933" s="536" t="s">
        <v>2321</v>
      </c>
      <c r="C933" s="536" t="s">
        <v>2322</v>
      </c>
      <c r="D933" s="536"/>
      <c r="E933" s="536"/>
      <c r="F933" s="536"/>
      <c r="G933" s="536"/>
      <c r="H933" s="536"/>
      <c r="I933" s="536"/>
      <c r="J933" s="536"/>
      <c r="K933" s="536"/>
      <c r="L933" s="536" t="s">
        <v>2324</v>
      </c>
      <c r="M933" s="284" t="s">
        <v>2962</v>
      </c>
      <c r="N933" s="408">
        <f t="shared" si="176"/>
        <v>0</v>
      </c>
      <c r="O933" s="408">
        <f t="shared" si="177"/>
        <v>0</v>
      </c>
      <c r="P933" s="271">
        <f t="shared" si="178"/>
        <v>0</v>
      </c>
      <c r="Q933" s="520"/>
      <c r="R933" s="354">
        <f>IF(ISERROR(VLOOKUP("RIC"&amp;$C933,ESTR_PREC_SP!$A$2:$G$2000,4,FALSE))=TRUE,0,VLOOKUP("RIC"&amp;$C933,ESTR_PREC_SP!$A$2:$G$2000,4,FALSE))</f>
        <v>0</v>
      </c>
      <c r="S933" s="527"/>
      <c r="T933" s="545"/>
      <c r="U933" s="527"/>
      <c r="V933" s="527"/>
      <c r="W933" s="527"/>
      <c r="X933" s="527"/>
      <c r="Y933" s="527"/>
      <c r="Z933" s="269">
        <f t="shared" si="179"/>
        <v>0</v>
      </c>
      <c r="AA933" s="546"/>
      <c r="AB933" s="545"/>
      <c r="AC933" s="520"/>
      <c r="AD933" s="520"/>
      <c r="AE933" s="520"/>
      <c r="AF933" s="520"/>
      <c r="AG933" s="526">
        <f t="shared" si="180"/>
        <v>0</v>
      </c>
      <c r="AH933" s="526">
        <f t="shared" si="181"/>
        <v>0</v>
      </c>
      <c r="AI933" s="520"/>
      <c r="AJ933" s="520"/>
    </row>
    <row r="934" spans="1:36" s="204" customFormat="1" x14ac:dyDescent="0.25">
      <c r="A934" s="535" t="s">
        <v>3681</v>
      </c>
      <c r="B934" s="536" t="s">
        <v>2325</v>
      </c>
      <c r="C934" s="536" t="s">
        <v>2326</v>
      </c>
      <c r="D934" s="536"/>
      <c r="E934" s="536"/>
      <c r="F934" s="536"/>
      <c r="G934" s="536"/>
      <c r="H934" s="536"/>
      <c r="I934" s="536"/>
      <c r="J934" s="536"/>
      <c r="K934" s="536"/>
      <c r="L934" s="536" t="s">
        <v>2328</v>
      </c>
      <c r="M934" s="284" t="s">
        <v>2962</v>
      </c>
      <c r="N934" s="408">
        <f t="shared" si="176"/>
        <v>0</v>
      </c>
      <c r="O934" s="408">
        <f t="shared" si="177"/>
        <v>0</v>
      </c>
      <c r="P934" s="271">
        <f t="shared" si="178"/>
        <v>0</v>
      </c>
      <c r="Q934" s="520"/>
      <c r="R934" s="354">
        <f>IF(ISERROR(VLOOKUP("RIC"&amp;$C934,ESTR_PREC_SP!$A$2:$G$2000,4,FALSE))=TRUE,0,VLOOKUP("RIC"&amp;$C934,ESTR_PREC_SP!$A$2:$G$2000,4,FALSE))</f>
        <v>0</v>
      </c>
      <c r="S934" s="527"/>
      <c r="T934" s="545"/>
      <c r="U934" s="527"/>
      <c r="V934" s="527"/>
      <c r="W934" s="527"/>
      <c r="X934" s="527"/>
      <c r="Y934" s="527"/>
      <c r="Z934" s="269">
        <f t="shared" si="179"/>
        <v>0</v>
      </c>
      <c r="AA934" s="546"/>
      <c r="AB934" s="545"/>
      <c r="AC934" s="520"/>
      <c r="AD934" s="520"/>
      <c r="AE934" s="520"/>
      <c r="AF934" s="520"/>
      <c r="AG934" s="526">
        <f t="shared" si="180"/>
        <v>0</v>
      </c>
      <c r="AH934" s="526">
        <f t="shared" si="181"/>
        <v>0</v>
      </c>
      <c r="AI934" s="520"/>
      <c r="AJ934" s="520"/>
    </row>
    <row r="935" spans="1:36" s="204" customFormat="1" x14ac:dyDescent="0.25">
      <c r="A935" s="535" t="s">
        <v>3681</v>
      </c>
      <c r="B935" s="536" t="s">
        <v>2329</v>
      </c>
      <c r="C935" s="536" t="s">
        <v>2330</v>
      </c>
      <c r="D935" s="536"/>
      <c r="E935" s="536"/>
      <c r="F935" s="536"/>
      <c r="G935" s="536"/>
      <c r="H935" s="536"/>
      <c r="I935" s="536"/>
      <c r="J935" s="536"/>
      <c r="K935" s="536"/>
      <c r="L935" s="536" t="s">
        <v>2332</v>
      </c>
      <c r="M935" s="284" t="s">
        <v>2962</v>
      </c>
      <c r="N935" s="408">
        <f t="shared" si="176"/>
        <v>0</v>
      </c>
      <c r="O935" s="408">
        <f t="shared" si="177"/>
        <v>0</v>
      </c>
      <c r="P935" s="271">
        <f t="shared" si="178"/>
        <v>0</v>
      </c>
      <c r="Q935" s="520"/>
      <c r="R935" s="354">
        <f>IF(ISERROR(VLOOKUP("RIC"&amp;$C935,ESTR_PREC_SP!$A$2:$G$2000,4,FALSE))=TRUE,0,VLOOKUP("RIC"&amp;$C935,ESTR_PREC_SP!$A$2:$G$2000,4,FALSE))</f>
        <v>0</v>
      </c>
      <c r="S935" s="527"/>
      <c r="T935" s="545"/>
      <c r="U935" s="527"/>
      <c r="V935" s="527"/>
      <c r="W935" s="527"/>
      <c r="X935" s="527"/>
      <c r="Y935" s="527"/>
      <c r="Z935" s="269">
        <f t="shared" si="179"/>
        <v>0</v>
      </c>
      <c r="AA935" s="546"/>
      <c r="AB935" s="545"/>
      <c r="AC935" s="520"/>
      <c r="AD935" s="520"/>
      <c r="AE935" s="520"/>
      <c r="AF935" s="520"/>
      <c r="AG935" s="526">
        <f t="shared" si="180"/>
        <v>0</v>
      </c>
      <c r="AH935" s="526">
        <f t="shared" si="181"/>
        <v>0</v>
      </c>
      <c r="AI935" s="520"/>
      <c r="AJ935" s="520"/>
    </row>
    <row r="936" spans="1:36" s="204" customFormat="1" x14ac:dyDescent="0.25">
      <c r="B936" s="246" t="s">
        <v>2333</v>
      </c>
      <c r="C936" s="287" t="s">
        <v>2334</v>
      </c>
      <c r="D936" s="284" t="s">
        <v>4016</v>
      </c>
      <c r="E936" s="274"/>
      <c r="F936" s="274"/>
      <c r="G936" s="283"/>
      <c r="H936" s="326"/>
      <c r="I936" s="274"/>
      <c r="J936" s="281"/>
      <c r="K936" s="281"/>
      <c r="L936" s="488" t="s">
        <v>4017</v>
      </c>
      <c r="M936" s="284" t="s">
        <v>2962</v>
      </c>
      <c r="N936" s="408">
        <f t="shared" si="176"/>
        <v>0</v>
      </c>
      <c r="O936" s="408">
        <f t="shared" si="177"/>
        <v>0</v>
      </c>
      <c r="P936" s="271">
        <f t="shared" si="178"/>
        <v>0</v>
      </c>
      <c r="Q936" s="520"/>
      <c r="R936" s="354">
        <f>IF(ISERROR(VLOOKUP("RIC"&amp;$C936,ESTR_PREC_SP!$A$2:$G$2000,4,FALSE))=TRUE,0,VLOOKUP("RIC"&amp;$C936,ESTR_PREC_SP!$A$2:$G$2000,4,FALSE))</f>
        <v>0</v>
      </c>
      <c r="S936" s="527"/>
      <c r="T936" s="545"/>
      <c r="U936" s="527"/>
      <c r="V936" s="527"/>
      <c r="W936" s="527"/>
      <c r="X936" s="527"/>
      <c r="Y936" s="527"/>
      <c r="Z936" s="269">
        <f t="shared" si="179"/>
        <v>0</v>
      </c>
      <c r="AA936" s="546"/>
      <c r="AB936" s="545"/>
      <c r="AC936" s="520"/>
      <c r="AD936" s="520"/>
      <c r="AE936" s="520"/>
      <c r="AF936" s="520"/>
      <c r="AG936" s="526">
        <f t="shared" si="180"/>
        <v>0</v>
      </c>
      <c r="AH936" s="526">
        <f t="shared" si="181"/>
        <v>0</v>
      </c>
      <c r="AI936" s="520"/>
      <c r="AJ936" s="520"/>
    </row>
    <row r="937" spans="1:36" s="204" customFormat="1" x14ac:dyDescent="0.25">
      <c r="B937" s="246" t="s">
        <v>2337</v>
      </c>
      <c r="C937" s="287" t="s">
        <v>2338</v>
      </c>
      <c r="D937" s="284" t="s">
        <v>4018</v>
      </c>
      <c r="E937" s="274"/>
      <c r="F937" s="274"/>
      <c r="G937" s="283"/>
      <c r="H937" s="326"/>
      <c r="I937" s="274"/>
      <c r="J937" s="281"/>
      <c r="K937" s="281"/>
      <c r="L937" s="488" t="s">
        <v>4019</v>
      </c>
      <c r="M937" s="284" t="s">
        <v>2962</v>
      </c>
      <c r="N937" s="408">
        <f t="shared" si="176"/>
        <v>0</v>
      </c>
      <c r="O937" s="408">
        <f t="shared" si="177"/>
        <v>0</v>
      </c>
      <c r="P937" s="271">
        <f t="shared" si="178"/>
        <v>0</v>
      </c>
      <c r="Q937" s="520"/>
      <c r="R937" s="354">
        <f>IF(ISERROR(VLOOKUP("RIC"&amp;$C937,ESTR_PREC_SP!$A$2:$G$2000,4,FALSE))=TRUE,0,VLOOKUP("RIC"&amp;$C937,ESTR_PREC_SP!$A$2:$G$2000,4,FALSE))</f>
        <v>0</v>
      </c>
      <c r="S937" s="527"/>
      <c r="T937" s="545"/>
      <c r="U937" s="527"/>
      <c r="V937" s="527"/>
      <c r="W937" s="527"/>
      <c r="X937" s="527"/>
      <c r="Y937" s="527"/>
      <c r="Z937" s="269">
        <f t="shared" si="179"/>
        <v>0</v>
      </c>
      <c r="AA937" s="546"/>
      <c r="AB937" s="545"/>
      <c r="AC937" s="520"/>
      <c r="AD937" s="520"/>
      <c r="AE937" s="520"/>
      <c r="AF937" s="520"/>
      <c r="AG937" s="526">
        <f t="shared" si="180"/>
        <v>0</v>
      </c>
      <c r="AH937" s="526">
        <f t="shared" si="181"/>
        <v>0</v>
      </c>
      <c r="AI937" s="520"/>
      <c r="AJ937" s="520"/>
    </row>
    <row r="938" spans="1:36" s="204" customFormat="1" x14ac:dyDescent="0.25">
      <c r="B938" s="246" t="s">
        <v>2340</v>
      </c>
      <c r="C938" s="287" t="s">
        <v>2341</v>
      </c>
      <c r="D938" s="284" t="s">
        <v>4020</v>
      </c>
      <c r="E938" s="274"/>
      <c r="F938" s="274"/>
      <c r="G938" s="283"/>
      <c r="H938" s="326"/>
      <c r="I938" s="274"/>
      <c r="J938" s="281"/>
      <c r="K938" s="281"/>
      <c r="L938" s="488" t="s">
        <v>4021</v>
      </c>
      <c r="M938" s="284" t="s">
        <v>2962</v>
      </c>
      <c r="N938" s="408">
        <f t="shared" si="176"/>
        <v>0</v>
      </c>
      <c r="O938" s="408">
        <f t="shared" si="177"/>
        <v>0</v>
      </c>
      <c r="P938" s="271">
        <f t="shared" si="178"/>
        <v>0</v>
      </c>
      <c r="Q938" s="520"/>
      <c r="R938" s="354">
        <f>IF(ISERROR(VLOOKUP("RIC"&amp;$C938,ESTR_PREC_SP!$A$2:$G$2000,4,FALSE))=TRUE,0,VLOOKUP("RIC"&amp;$C938,ESTR_PREC_SP!$A$2:$G$2000,4,FALSE))</f>
        <v>0</v>
      </c>
      <c r="S938" s="527"/>
      <c r="T938" s="545"/>
      <c r="U938" s="527"/>
      <c r="V938" s="527"/>
      <c r="W938" s="527"/>
      <c r="X938" s="527"/>
      <c r="Y938" s="527"/>
      <c r="Z938" s="269">
        <f t="shared" si="179"/>
        <v>0</v>
      </c>
      <c r="AA938" s="546"/>
      <c r="AB938" s="545"/>
      <c r="AC938" s="520"/>
      <c r="AD938" s="520"/>
      <c r="AE938" s="520"/>
      <c r="AF938" s="520"/>
      <c r="AG938" s="526">
        <f t="shared" si="180"/>
        <v>0</v>
      </c>
      <c r="AH938" s="526">
        <f t="shared" si="181"/>
        <v>0</v>
      </c>
      <c r="AI938" s="520"/>
      <c r="AJ938" s="520"/>
    </row>
    <row r="939" spans="1:36" s="204" customFormat="1" x14ac:dyDescent="0.25">
      <c r="B939" s="298"/>
      <c r="C939" s="298"/>
      <c r="D939" s="226"/>
      <c r="E939" s="226"/>
      <c r="F939" s="22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Z939" s="216"/>
      <c r="AA939" s="216"/>
      <c r="AB939" s="216"/>
      <c r="AC939" s="216"/>
      <c r="AD939" s="216"/>
    </row>
    <row r="940" spans="1:36" s="204" customFormat="1" ht="15.75" customHeight="1" x14ac:dyDescent="0.25">
      <c r="B940" s="302"/>
      <c r="C940" s="302"/>
      <c r="D940" s="226"/>
      <c r="E940" s="226"/>
      <c r="F940" s="226"/>
      <c r="G940" s="226"/>
      <c r="H940" s="227"/>
      <c r="I940" s="226"/>
      <c r="J940" s="226"/>
      <c r="K940" s="226"/>
      <c r="L940" s="315"/>
      <c r="M940" s="216"/>
      <c r="N940" s="254"/>
      <c r="O940" s="216"/>
      <c r="P940" s="216"/>
      <c r="Q940" s="216"/>
      <c r="R940" s="211"/>
      <c r="S940" s="211"/>
      <c r="U940" s="902" t="s">
        <v>3495</v>
      </c>
      <c r="V940" s="902"/>
      <c r="W940" s="485"/>
      <c r="X940" s="903" t="s">
        <v>3496</v>
      </c>
      <c r="Y940" s="903"/>
      <c r="Z940" s="211"/>
      <c r="AA940" s="211"/>
      <c r="AB940" s="211"/>
      <c r="AC940" s="904" t="str">
        <f>+AC925</f>
        <v>VALORE DEI DEBITI AL 31/12/2020 PER ANNO DI FORMAZIONE</v>
      </c>
      <c r="AD940" s="904"/>
      <c r="AE940" s="904"/>
      <c r="AF940" s="904"/>
      <c r="AG940" s="904"/>
      <c r="AH940" s="905" t="str">
        <f>+AH925</f>
        <v>Debiti al 31/12/2020 per scadenza</v>
      </c>
      <c r="AI940" s="905"/>
      <c r="AJ940" s="905"/>
    </row>
    <row r="941" spans="1:36" s="204" customFormat="1" ht="63.75" x14ac:dyDescent="0.25">
      <c r="B941" s="289"/>
      <c r="C941" s="289"/>
      <c r="D941" s="211"/>
      <c r="E941" s="211"/>
      <c r="F941" s="211"/>
      <c r="G941" s="211"/>
      <c r="H941" s="353"/>
      <c r="I941" s="211"/>
      <c r="J941" s="211"/>
      <c r="K941" s="211"/>
      <c r="L941" s="255"/>
      <c r="M941" s="244"/>
      <c r="N941" s="256" t="str">
        <f>N$15</f>
        <v>Valore netto al 31/12/2019</v>
      </c>
      <c r="O941" s="256" t="str">
        <f>O$15</f>
        <v>Valore netto al 31/12/2020</v>
      </c>
      <c r="P941" s="256" t="str">
        <f>P$15</f>
        <v>Variazione</v>
      </c>
      <c r="Q941" s="262" t="s">
        <v>2971</v>
      </c>
      <c r="R941" s="346" t="s">
        <v>3517</v>
      </c>
      <c r="S941" s="262" t="s">
        <v>2972</v>
      </c>
      <c r="T941" s="486" t="s">
        <v>3995</v>
      </c>
      <c r="U941" s="337" t="s">
        <v>3996</v>
      </c>
      <c r="V941" s="337" t="s">
        <v>3495</v>
      </c>
      <c r="W941" s="262" t="s">
        <v>2975</v>
      </c>
      <c r="X941" s="338" t="s">
        <v>3498</v>
      </c>
      <c r="Y941" s="338" t="s">
        <v>3499</v>
      </c>
      <c r="Z941" s="262" t="s">
        <v>3815</v>
      </c>
      <c r="AA941" s="497" t="s">
        <v>3997</v>
      </c>
      <c r="AB941" s="377" t="s">
        <v>3998</v>
      </c>
      <c r="AC941" s="339" t="s">
        <v>3503</v>
      </c>
      <c r="AD941" s="339" t="s">
        <v>3504</v>
      </c>
      <c r="AE941" s="339" t="s">
        <v>3505</v>
      </c>
      <c r="AF941" s="339" t="s">
        <v>3506</v>
      </c>
      <c r="AG941" s="339" t="s">
        <v>3507</v>
      </c>
      <c r="AH941" s="340" t="s">
        <v>3508</v>
      </c>
      <c r="AI941" s="340" t="s">
        <v>3509</v>
      </c>
      <c r="AJ941" s="340" t="s">
        <v>3510</v>
      </c>
    </row>
    <row r="942" spans="1:36" s="204" customFormat="1" x14ac:dyDescent="0.25">
      <c r="B942" s="246" t="s">
        <v>2343</v>
      </c>
      <c r="C942" s="292" t="s">
        <v>2344</v>
      </c>
      <c r="D942" s="247" t="s">
        <v>4022</v>
      </c>
      <c r="E942" s="247"/>
      <c r="F942" s="247"/>
      <c r="G942" s="247"/>
      <c r="H942" s="248"/>
      <c r="I942" s="247"/>
      <c r="J942" s="398"/>
      <c r="K942" s="399"/>
      <c r="L942" s="400" t="s">
        <v>2348</v>
      </c>
      <c r="M942" s="251" t="s">
        <v>2962</v>
      </c>
      <c r="N942" s="410">
        <f>+R942</f>
        <v>0</v>
      </c>
      <c r="O942" s="487">
        <f>+Z942</f>
        <v>0</v>
      </c>
      <c r="P942" s="498">
        <f>+O942-N942</f>
        <v>0</v>
      </c>
      <c r="Q942" s="487">
        <f>+AB942</f>
        <v>0</v>
      </c>
      <c r="R942" s="354">
        <f>IF(ISERROR(VLOOKUP("RIC"&amp;$C942,ESTR_PREC_SP!$A$2:$G$2000,4,FALSE))=TRUE,0,VLOOKUP("RIC"&amp;$C942,ESTR_PREC_SP!$A$2:$G$2000,4,FALSE))</f>
        <v>0</v>
      </c>
      <c r="S942" s="351"/>
      <c r="T942" s="545"/>
      <c r="U942" s="527"/>
      <c r="V942" s="527"/>
      <c r="W942" s="527"/>
      <c r="X942" s="527"/>
      <c r="Y942" s="527"/>
      <c r="Z942" s="269">
        <f>+R942+S942+U942+V942-X942-Y942+W942+Q942</f>
        <v>0</v>
      </c>
      <c r="AA942" s="546"/>
      <c r="AB942" s="545"/>
      <c r="AC942" s="520">
        <v>708</v>
      </c>
      <c r="AD942" s="520"/>
      <c r="AE942" s="520"/>
      <c r="AF942" s="520"/>
      <c r="AG942" s="526">
        <f>+Z942-SUM(AC942:AF942)</f>
        <v>-708</v>
      </c>
      <c r="AH942" s="526">
        <f>+Z942-SUM(AI942:AJ942)</f>
        <v>0</v>
      </c>
      <c r="AI942" s="520"/>
      <c r="AJ942" s="520"/>
    </row>
    <row r="943" spans="1:36" s="204" customFormat="1" x14ac:dyDescent="0.25">
      <c r="B943" s="302"/>
      <c r="C943" s="302"/>
      <c r="D943" s="226"/>
      <c r="E943" s="226"/>
      <c r="F943" s="226"/>
      <c r="G943" s="226"/>
      <c r="H943" s="227"/>
      <c r="I943" s="226"/>
      <c r="J943" s="226"/>
      <c r="K943" s="226"/>
      <c r="L943" s="315"/>
      <c r="M943" s="216"/>
      <c r="N943" s="254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Z943" s="216"/>
      <c r="AA943" s="216"/>
      <c r="AB943" s="216"/>
      <c r="AC943" s="216"/>
      <c r="AD943" s="216"/>
    </row>
    <row r="944" spans="1:36" s="204" customFormat="1" x14ac:dyDescent="0.25">
      <c r="B944" s="246" t="s">
        <v>2349</v>
      </c>
      <c r="C944" s="292" t="s">
        <v>2350</v>
      </c>
      <c r="D944" s="247" t="s">
        <v>4023</v>
      </c>
      <c r="E944" s="247"/>
      <c r="F944" s="247"/>
      <c r="G944" s="247"/>
      <c r="H944" s="248"/>
      <c r="I944" s="247"/>
      <c r="J944" s="247"/>
      <c r="K944" s="249"/>
      <c r="L944" s="441" t="s">
        <v>2353</v>
      </c>
      <c r="M944" s="251" t="s">
        <v>2962</v>
      </c>
      <c r="N944" s="252">
        <f>+N948+N976+N979</f>
        <v>0</v>
      </c>
      <c r="O944" s="252">
        <f>+O948+O976+O979</f>
        <v>0</v>
      </c>
      <c r="P944" s="253">
        <f>+O944-N944</f>
        <v>0</v>
      </c>
      <c r="Q944" s="252">
        <f t="shared" ref="Q944:AJ944" si="182">+Q948+Q976+Q979</f>
        <v>0</v>
      </c>
      <c r="R944" s="252">
        <f t="shared" si="182"/>
        <v>0</v>
      </c>
      <c r="S944" s="252">
        <f t="shared" si="182"/>
        <v>0</v>
      </c>
      <c r="T944" s="252">
        <f t="shared" si="182"/>
        <v>0</v>
      </c>
      <c r="U944" s="252">
        <f t="shared" si="182"/>
        <v>0</v>
      </c>
      <c r="V944" s="252">
        <f t="shared" si="182"/>
        <v>0</v>
      </c>
      <c r="W944" s="252">
        <f t="shared" si="182"/>
        <v>0</v>
      </c>
      <c r="X944" s="252">
        <f t="shared" si="182"/>
        <v>0</v>
      </c>
      <c r="Y944" s="252">
        <f t="shared" si="182"/>
        <v>0</v>
      </c>
      <c r="Z944" s="252">
        <f t="shared" si="182"/>
        <v>0</v>
      </c>
      <c r="AA944" s="252">
        <f t="shared" si="182"/>
        <v>0</v>
      </c>
      <c r="AB944" s="252">
        <f t="shared" si="182"/>
        <v>0</v>
      </c>
      <c r="AC944" s="252">
        <f t="shared" si="182"/>
        <v>0</v>
      </c>
      <c r="AD944" s="252">
        <f t="shared" si="182"/>
        <v>0</v>
      </c>
      <c r="AE944" s="252">
        <f t="shared" si="182"/>
        <v>0</v>
      </c>
      <c r="AF944" s="252">
        <f t="shared" si="182"/>
        <v>0</v>
      </c>
      <c r="AG944" s="252">
        <f t="shared" si="182"/>
        <v>0</v>
      </c>
      <c r="AH944" s="252">
        <f t="shared" si="182"/>
        <v>0</v>
      </c>
      <c r="AI944" s="252">
        <f t="shared" si="182"/>
        <v>0</v>
      </c>
      <c r="AJ944" s="252">
        <f t="shared" si="182"/>
        <v>0</v>
      </c>
    </row>
    <row r="945" spans="2:36" s="204" customFormat="1" x14ac:dyDescent="0.25">
      <c r="B945" s="298"/>
      <c r="C945" s="298"/>
      <c r="D945" s="226"/>
      <c r="E945" s="226"/>
      <c r="F945" s="226"/>
      <c r="G945" s="226"/>
      <c r="H945" s="227"/>
      <c r="I945" s="226"/>
      <c r="J945" s="226"/>
      <c r="K945" s="226"/>
      <c r="L945" s="403"/>
      <c r="M945" s="278"/>
      <c r="N945" s="279"/>
      <c r="O945" s="279"/>
      <c r="P945" s="404"/>
      <c r="Q945" s="216"/>
      <c r="R945" s="279"/>
      <c r="S945" s="216"/>
      <c r="T945" s="216"/>
      <c r="U945" s="216"/>
      <c r="V945" s="216"/>
      <c r="W945" s="216"/>
      <c r="X945" s="216"/>
      <c r="Z945" s="216"/>
      <c r="AA945" s="216"/>
      <c r="AB945" s="216"/>
      <c r="AC945" s="216"/>
      <c r="AD945" s="216"/>
    </row>
    <row r="946" spans="2:36" s="204" customFormat="1" ht="15.75" customHeight="1" x14ac:dyDescent="0.25">
      <c r="B946" s="293"/>
      <c r="C946" s="293"/>
      <c r="D946" s="230"/>
      <c r="E946" s="230"/>
      <c r="F946" s="230"/>
      <c r="G946" s="230"/>
      <c r="H946" s="231"/>
      <c r="I946" s="230"/>
      <c r="J946" s="230"/>
      <c r="K946" s="230"/>
      <c r="L946" s="232"/>
      <c r="M946" s="211"/>
      <c r="N946" s="254"/>
      <c r="O946" s="211"/>
      <c r="P946" s="211"/>
      <c r="Q946" s="216"/>
      <c r="R946" s="211"/>
      <c r="S946" s="211"/>
      <c r="U946" s="902" t="s">
        <v>3495</v>
      </c>
      <c r="V946" s="902"/>
      <c r="W946" s="485"/>
      <c r="X946" s="903" t="s">
        <v>3496</v>
      </c>
      <c r="Y946" s="903"/>
      <c r="Z946" s="211"/>
      <c r="AA946" s="211"/>
      <c r="AB946" s="211"/>
      <c r="AC946" s="904" t="str">
        <f>+AC940</f>
        <v>VALORE DEI DEBITI AL 31/12/2020 PER ANNO DI FORMAZIONE</v>
      </c>
      <c r="AD946" s="904"/>
      <c r="AE946" s="904"/>
      <c r="AF946" s="904"/>
      <c r="AG946" s="904"/>
      <c r="AH946" s="905" t="str">
        <f>+AH940</f>
        <v>Debiti al 31/12/2020 per scadenza</v>
      </c>
      <c r="AI946" s="905"/>
      <c r="AJ946" s="905"/>
    </row>
    <row r="947" spans="2:36" s="204" customFormat="1" ht="63.75" x14ac:dyDescent="0.25">
      <c r="B947" s="499" t="s">
        <v>2968</v>
      </c>
      <c r="C947" s="499" t="s">
        <v>2969</v>
      </c>
      <c r="D947" s="500" t="s">
        <v>72</v>
      </c>
      <c r="E947" s="500"/>
      <c r="F947" s="500"/>
      <c r="G947" s="501"/>
      <c r="H947" s="501"/>
      <c r="I947" s="501"/>
      <c r="J947" s="501" t="s">
        <v>2957</v>
      </c>
      <c r="K947" s="500" t="s">
        <v>82</v>
      </c>
      <c r="L947" s="431" t="s">
        <v>3670</v>
      </c>
      <c r="M947" s="480"/>
      <c r="N947" s="256" t="str">
        <f>N$15</f>
        <v>Valore netto al 31/12/2019</v>
      </c>
      <c r="O947" s="256" t="str">
        <f>O$15</f>
        <v>Valore netto al 31/12/2020</v>
      </c>
      <c r="P947" s="256" t="str">
        <f>P$15</f>
        <v>Variazione</v>
      </c>
      <c r="Q947" s="262" t="s">
        <v>2971</v>
      </c>
      <c r="R947" s="346" t="s">
        <v>3517</v>
      </c>
      <c r="S947" s="262" t="s">
        <v>2972</v>
      </c>
      <c r="T947" s="486" t="s">
        <v>3995</v>
      </c>
      <c r="U947" s="337" t="s">
        <v>3996</v>
      </c>
      <c r="V947" s="337" t="s">
        <v>3495</v>
      </c>
      <c r="W947" s="262" t="s">
        <v>2975</v>
      </c>
      <c r="X947" s="338" t="s">
        <v>3498</v>
      </c>
      <c r="Y947" s="338" t="s">
        <v>3499</v>
      </c>
      <c r="Z947" s="346" t="s">
        <v>3815</v>
      </c>
      <c r="AA947" s="497" t="s">
        <v>3997</v>
      </c>
      <c r="AB947" s="377" t="s">
        <v>3998</v>
      </c>
      <c r="AC947" s="339" t="s">
        <v>3503</v>
      </c>
      <c r="AD947" s="339" t="s">
        <v>3504</v>
      </c>
      <c r="AE947" s="339" t="s">
        <v>3505</v>
      </c>
      <c r="AF947" s="339" t="s">
        <v>3506</v>
      </c>
      <c r="AG947" s="339" t="s">
        <v>3507</v>
      </c>
      <c r="AH947" s="340" t="s">
        <v>3508</v>
      </c>
      <c r="AI947" s="340" t="s">
        <v>3509</v>
      </c>
      <c r="AJ947" s="340" t="s">
        <v>3510</v>
      </c>
    </row>
    <row r="948" spans="2:36" s="204" customFormat="1" x14ac:dyDescent="0.25">
      <c r="B948" s="246" t="s">
        <v>2354</v>
      </c>
      <c r="C948" s="287" t="s">
        <v>2355</v>
      </c>
      <c r="D948" s="284" t="s">
        <v>4024</v>
      </c>
      <c r="E948" s="274"/>
      <c r="F948" s="437"/>
      <c r="G948" s="437"/>
      <c r="H948" s="437"/>
      <c r="I948" s="437"/>
      <c r="J948" s="437"/>
      <c r="K948" s="437"/>
      <c r="L948" s="295" t="s">
        <v>2356</v>
      </c>
      <c r="M948" s="284" t="s">
        <v>2962</v>
      </c>
      <c r="N948" s="378">
        <f>+N949+N956+N957+N958+N962+N963+N969+N970+N971+N972+N973+N974+N975</f>
        <v>0</v>
      </c>
      <c r="O948" s="378">
        <f>+O949+O956+O957+O958+O962+O963+O969+O970+O971+O972+O973+O974+O975</f>
        <v>0</v>
      </c>
      <c r="P948" s="378">
        <f t="shared" ref="P948:P954" si="183">+O948-N948</f>
        <v>0</v>
      </c>
      <c r="Q948" s="378">
        <f t="shared" ref="Q948:AJ948" si="184">+Q949+Q956+Q957+Q958+Q962+Q963+Q969+Q970+Q971+Q972+Q973+Q974+Q975</f>
        <v>0</v>
      </c>
      <c r="R948" s="378">
        <f t="shared" si="184"/>
        <v>0</v>
      </c>
      <c r="S948" s="378">
        <f t="shared" si="184"/>
        <v>0</v>
      </c>
      <c r="T948" s="378">
        <f t="shared" si="184"/>
        <v>0</v>
      </c>
      <c r="U948" s="378">
        <f t="shared" si="184"/>
        <v>0</v>
      </c>
      <c r="V948" s="378">
        <f t="shared" si="184"/>
        <v>0</v>
      </c>
      <c r="W948" s="378">
        <f t="shared" si="184"/>
        <v>0</v>
      </c>
      <c r="X948" s="378">
        <f t="shared" si="184"/>
        <v>0</v>
      </c>
      <c r="Y948" s="378">
        <f t="shared" si="184"/>
        <v>0</v>
      </c>
      <c r="Z948" s="378">
        <f t="shared" si="184"/>
        <v>0</v>
      </c>
      <c r="AA948" s="378">
        <f t="shared" si="184"/>
        <v>0</v>
      </c>
      <c r="AB948" s="378">
        <f t="shared" si="184"/>
        <v>0</v>
      </c>
      <c r="AC948" s="378">
        <f t="shared" si="184"/>
        <v>0</v>
      </c>
      <c r="AD948" s="378">
        <f t="shared" si="184"/>
        <v>0</v>
      </c>
      <c r="AE948" s="378">
        <f t="shared" si="184"/>
        <v>0</v>
      </c>
      <c r="AF948" s="378">
        <f t="shared" si="184"/>
        <v>0</v>
      </c>
      <c r="AG948" s="378">
        <f t="shared" si="184"/>
        <v>0</v>
      </c>
      <c r="AH948" s="378">
        <f t="shared" si="184"/>
        <v>0</v>
      </c>
      <c r="AI948" s="378">
        <f t="shared" si="184"/>
        <v>0</v>
      </c>
      <c r="AJ948" s="378">
        <f t="shared" si="184"/>
        <v>0</v>
      </c>
    </row>
    <row r="949" spans="2:36" s="204" customFormat="1" x14ac:dyDescent="0.25">
      <c r="B949" s="246" t="s">
        <v>2357</v>
      </c>
      <c r="C949" s="287" t="s">
        <v>2358</v>
      </c>
      <c r="D949" s="284" t="s">
        <v>4025</v>
      </c>
      <c r="E949" s="274"/>
      <c r="F949" s="437"/>
      <c r="G949" s="437"/>
      <c r="H949" s="437"/>
      <c r="I949" s="437"/>
      <c r="J949" s="437"/>
      <c r="K949" s="437"/>
      <c r="L949" s="379" t="s">
        <v>2360</v>
      </c>
      <c r="M949" s="284" t="s">
        <v>2962</v>
      </c>
      <c r="N949" s="378">
        <f>SUM(N950:N954)</f>
        <v>0</v>
      </c>
      <c r="O949" s="378">
        <f>SUM(O950:O954)</f>
        <v>0</v>
      </c>
      <c r="P949" s="378">
        <f t="shared" si="183"/>
        <v>0</v>
      </c>
      <c r="Q949" s="378">
        <f t="shared" ref="Q949:AF949" si="185">SUM(Q950:Q954)</f>
        <v>0</v>
      </c>
      <c r="R949" s="378">
        <f t="shared" si="185"/>
        <v>0</v>
      </c>
      <c r="S949" s="378">
        <f t="shared" si="185"/>
        <v>0</v>
      </c>
      <c r="T949" s="378">
        <f t="shared" si="185"/>
        <v>0</v>
      </c>
      <c r="U949" s="378">
        <f t="shared" si="185"/>
        <v>0</v>
      </c>
      <c r="V949" s="378">
        <f t="shared" si="185"/>
        <v>0</v>
      </c>
      <c r="W949" s="378">
        <f t="shared" si="185"/>
        <v>0</v>
      </c>
      <c r="X949" s="378">
        <f t="shared" si="185"/>
        <v>0</v>
      </c>
      <c r="Y949" s="378">
        <f t="shared" si="185"/>
        <v>0</v>
      </c>
      <c r="Z949" s="540">
        <f t="shared" si="185"/>
        <v>0</v>
      </c>
      <c r="AA949" s="378">
        <f t="shared" si="185"/>
        <v>0</v>
      </c>
      <c r="AB949" s="378">
        <f t="shared" si="185"/>
        <v>0</v>
      </c>
      <c r="AC949" s="378">
        <f t="shared" si="185"/>
        <v>0</v>
      </c>
      <c r="AD949" s="378">
        <f t="shared" si="185"/>
        <v>0</v>
      </c>
      <c r="AE949" s="378">
        <f t="shared" si="185"/>
        <v>0</v>
      </c>
      <c r="AF949" s="378">
        <f t="shared" si="185"/>
        <v>0</v>
      </c>
      <c r="AG949" s="537">
        <f t="shared" ref="AG949:AG954" si="186">+Z949-SUM(AC949:AF949)</f>
        <v>0</v>
      </c>
      <c r="AH949" s="537">
        <f t="shared" ref="AH949:AH954" si="187">+Z949-SUM(AI949:AJ949)</f>
        <v>0</v>
      </c>
      <c r="AI949" s="378">
        <f>SUM(AI950:AI954)</f>
        <v>0</v>
      </c>
      <c r="AJ949" s="378">
        <f>SUM(AJ950:AJ954)</f>
        <v>0</v>
      </c>
    </row>
    <row r="950" spans="2:36" s="204" customFormat="1" hidden="1" x14ac:dyDescent="0.25">
      <c r="B950" s="246" t="s">
        <v>2361</v>
      </c>
      <c r="C950" s="287" t="s">
        <v>2362</v>
      </c>
      <c r="D950" s="284" t="s">
        <v>4026</v>
      </c>
      <c r="E950" s="274"/>
      <c r="F950" s="437"/>
      <c r="G950" s="437"/>
      <c r="H950" s="437"/>
      <c r="I950" s="437"/>
      <c r="J950" s="437"/>
      <c r="K950" s="437"/>
      <c r="L950" s="97" t="s">
        <v>2364</v>
      </c>
      <c r="M950" s="284" t="s">
        <v>2962</v>
      </c>
      <c r="N950" s="408">
        <f>+R950</f>
        <v>0</v>
      </c>
      <c r="O950" s="408">
        <f>+Z950</f>
        <v>0</v>
      </c>
      <c r="P950" s="271">
        <f t="shared" si="183"/>
        <v>0</v>
      </c>
      <c r="Q950" s="527"/>
      <c r="R950" s="354">
        <f>IF(ISERROR(VLOOKUP("RIC"&amp;$C950,ESTR_PREC_SP!$A$2:$G$2000,4,FALSE))=TRUE,0,VLOOKUP("RIC"&amp;$C950,ESTR_PREC_SP!$A$2:$G$2000,4,FALSE))</f>
        <v>0</v>
      </c>
      <c r="S950" s="527"/>
      <c r="T950" s="545"/>
      <c r="U950" s="527"/>
      <c r="V950" s="527"/>
      <c r="W950" s="527"/>
      <c r="X950" s="527"/>
      <c r="Y950" s="527"/>
      <c r="Z950" s="529">
        <f>+R950+T950+V950-X950-Y950+W950</f>
        <v>0</v>
      </c>
      <c r="AA950" s="546"/>
      <c r="AB950" s="545"/>
      <c r="AC950" s="520"/>
      <c r="AD950" s="520"/>
      <c r="AE950" s="520"/>
      <c r="AF950" s="520"/>
      <c r="AG950" s="526">
        <f t="shared" si="186"/>
        <v>0</v>
      </c>
      <c r="AH950" s="526">
        <f t="shared" si="187"/>
        <v>0</v>
      </c>
      <c r="AI950" s="520"/>
      <c r="AJ950" s="520"/>
    </row>
    <row r="951" spans="2:36" s="204" customFormat="1" x14ac:dyDescent="0.25">
      <c r="B951" s="246" t="s">
        <v>2365</v>
      </c>
      <c r="C951" s="287" t="s">
        <v>2366</v>
      </c>
      <c r="D951" s="284" t="s">
        <v>4027</v>
      </c>
      <c r="E951" s="274"/>
      <c r="F951" s="437"/>
      <c r="G951" s="437"/>
      <c r="H951" s="437"/>
      <c r="I951" s="437"/>
      <c r="J951" s="437"/>
      <c r="K951" s="437"/>
      <c r="L951" s="97" t="s">
        <v>4028</v>
      </c>
      <c r="M951" s="284" t="s">
        <v>2962</v>
      </c>
      <c r="N951" s="408">
        <f>+R951</f>
        <v>0</v>
      </c>
      <c r="O951" s="408">
        <f>+Z951</f>
        <v>0</v>
      </c>
      <c r="P951" s="271">
        <f t="shared" si="183"/>
        <v>0</v>
      </c>
      <c r="Q951" s="527"/>
      <c r="R951" s="354">
        <f>IF(ISERROR(VLOOKUP("RIC"&amp;$C951,ESTR_PREC_SP!$A$2:$G$2000,4,FALSE))=TRUE,0,VLOOKUP("RIC"&amp;$C951,ESTR_PREC_SP!$A$2:$G$2000,4,FALSE))</f>
        <v>0</v>
      </c>
      <c r="S951" s="527"/>
      <c r="T951" s="545"/>
      <c r="U951" s="527"/>
      <c r="V951" s="527"/>
      <c r="W951" s="527"/>
      <c r="X951" s="527"/>
      <c r="Y951" s="527"/>
      <c r="Z951" s="529">
        <f>+R951+S951+U951+V951-X951-Y951+W951+Q951</f>
        <v>0</v>
      </c>
      <c r="AA951" s="546"/>
      <c r="AB951" s="545"/>
      <c r="AC951" s="520"/>
      <c r="AD951" s="520"/>
      <c r="AE951" s="520"/>
      <c r="AF951" s="520"/>
      <c r="AG951" s="526">
        <f t="shared" si="186"/>
        <v>0</v>
      </c>
      <c r="AH951" s="526">
        <f t="shared" si="187"/>
        <v>0</v>
      </c>
      <c r="AI951" s="520"/>
      <c r="AJ951" s="520"/>
    </row>
    <row r="952" spans="2:36" s="204" customFormat="1" hidden="1" x14ac:dyDescent="0.25">
      <c r="B952" s="246" t="s">
        <v>2368</v>
      </c>
      <c r="C952" s="287" t="s">
        <v>2369</v>
      </c>
      <c r="D952" s="284" t="s">
        <v>4029</v>
      </c>
      <c r="E952" s="274"/>
      <c r="F952" s="437"/>
      <c r="G952" s="437"/>
      <c r="H952" s="437"/>
      <c r="I952" s="437"/>
      <c r="J952" s="437"/>
      <c r="K952" s="437"/>
      <c r="L952" s="97" t="s">
        <v>2370</v>
      </c>
      <c r="M952" s="284" t="s">
        <v>2962</v>
      </c>
      <c r="N952" s="408">
        <f>+R952</f>
        <v>0</v>
      </c>
      <c r="O952" s="408">
        <f>+Z952</f>
        <v>0</v>
      </c>
      <c r="P952" s="271">
        <f t="shared" si="183"/>
        <v>0</v>
      </c>
      <c r="Q952" s="527"/>
      <c r="R952" s="354">
        <f>IF(ISERROR(VLOOKUP("RIC"&amp;$C952,ESTR_PREC_SP!$A$2:$G$2000,4,FALSE))=TRUE,0,VLOOKUP("RIC"&amp;$C952,ESTR_PREC_SP!$A$2:$G$2000,4,FALSE))</f>
        <v>0</v>
      </c>
      <c r="S952" s="527"/>
      <c r="T952" s="545"/>
      <c r="U952" s="527"/>
      <c r="V952" s="527"/>
      <c r="W952" s="527"/>
      <c r="X952" s="527"/>
      <c r="Y952" s="527"/>
      <c r="Z952" s="529">
        <f>+R952+T952+V952-X952-Y952+W952</f>
        <v>0</v>
      </c>
      <c r="AA952" s="546"/>
      <c r="AB952" s="545"/>
      <c r="AC952" s="520"/>
      <c r="AD952" s="520"/>
      <c r="AE952" s="520"/>
      <c r="AF952" s="520"/>
      <c r="AG952" s="526">
        <f t="shared" si="186"/>
        <v>0</v>
      </c>
      <c r="AH952" s="526">
        <f t="shared" si="187"/>
        <v>0</v>
      </c>
      <c r="AI952" s="520"/>
      <c r="AJ952" s="520"/>
    </row>
    <row r="953" spans="2:36" s="204" customFormat="1" x14ac:dyDescent="0.25">
      <c r="B953" s="246" t="s">
        <v>2371</v>
      </c>
      <c r="C953" s="287" t="s">
        <v>2372</v>
      </c>
      <c r="D953" s="284" t="s">
        <v>4030</v>
      </c>
      <c r="E953" s="274"/>
      <c r="F953" s="437"/>
      <c r="G953" s="437"/>
      <c r="H953" s="437"/>
      <c r="I953" s="437"/>
      <c r="J953" s="437"/>
      <c r="K953" s="437"/>
      <c r="L953" s="97" t="s">
        <v>4031</v>
      </c>
      <c r="M953" s="284" t="s">
        <v>2962</v>
      </c>
      <c r="N953" s="408">
        <f>+R953</f>
        <v>0</v>
      </c>
      <c r="O953" s="408">
        <f>+Z953</f>
        <v>0</v>
      </c>
      <c r="P953" s="271">
        <f t="shared" si="183"/>
        <v>0</v>
      </c>
      <c r="Q953" s="527"/>
      <c r="R953" s="354">
        <f>IF(ISERROR(VLOOKUP("RIC"&amp;$C953,ESTR_PREC_SP!$A$2:$G$2000,4,FALSE))=TRUE,0,VLOOKUP("RIC"&amp;$C953,ESTR_PREC_SP!$A$2:$G$2000,4,FALSE))</f>
        <v>0</v>
      </c>
      <c r="S953" s="527"/>
      <c r="T953" s="545"/>
      <c r="U953" s="527"/>
      <c r="V953" s="527"/>
      <c r="W953" s="527"/>
      <c r="X953" s="527"/>
      <c r="Y953" s="527"/>
      <c r="Z953" s="529">
        <f>+R953+S953+U953+V953-X953-Y953+W953+Q953</f>
        <v>0</v>
      </c>
      <c r="AA953" s="546"/>
      <c r="AB953" s="545"/>
      <c r="AC953" s="520"/>
      <c r="AD953" s="520"/>
      <c r="AE953" s="520"/>
      <c r="AF953" s="520"/>
      <c r="AG953" s="526">
        <f t="shared" si="186"/>
        <v>0</v>
      </c>
      <c r="AH953" s="526">
        <f t="shared" si="187"/>
        <v>0</v>
      </c>
      <c r="AI953" s="520"/>
      <c r="AJ953" s="520"/>
    </row>
    <row r="954" spans="2:36" s="204" customFormat="1" ht="25.5" x14ac:dyDescent="0.25">
      <c r="B954" s="246" t="s">
        <v>2374</v>
      </c>
      <c r="C954" s="287" t="s">
        <v>2375</v>
      </c>
      <c r="D954" s="284" t="s">
        <v>4032</v>
      </c>
      <c r="E954" s="274"/>
      <c r="F954" s="437"/>
      <c r="G954" s="437"/>
      <c r="H954" s="437"/>
      <c r="I954" s="437"/>
      <c r="J954" s="437"/>
      <c r="K954" s="437"/>
      <c r="L954" s="97" t="s">
        <v>4033</v>
      </c>
      <c r="M954" s="284" t="s">
        <v>2962</v>
      </c>
      <c r="N954" s="408">
        <f>+R954</f>
        <v>0</v>
      </c>
      <c r="O954" s="408">
        <f>+Z954</f>
        <v>0</v>
      </c>
      <c r="P954" s="271">
        <f t="shared" si="183"/>
        <v>0</v>
      </c>
      <c r="Q954" s="527"/>
      <c r="R954" s="354">
        <f>IF(ISERROR(VLOOKUP("RIC"&amp;$C954,ESTR_PREC_SP!$A$2:$G$2000,4,FALSE))=TRUE,0,VLOOKUP("RIC"&amp;$C954,ESTR_PREC_SP!$A$2:$G$2000,4,FALSE))</f>
        <v>0</v>
      </c>
      <c r="S954" s="527"/>
      <c r="T954" s="545"/>
      <c r="U954" s="527"/>
      <c r="V954" s="527"/>
      <c r="W954" s="527"/>
      <c r="X954" s="527"/>
      <c r="Y954" s="527"/>
      <c r="Z954" s="529">
        <f>+R954+S954+U954+V954-X954-Y954+W954+Q954</f>
        <v>0</v>
      </c>
      <c r="AA954" s="546"/>
      <c r="AB954" s="545"/>
      <c r="AC954" s="520"/>
      <c r="AD954" s="520"/>
      <c r="AE954" s="520"/>
      <c r="AF954" s="520"/>
      <c r="AG954" s="526">
        <f t="shared" si="186"/>
        <v>0</v>
      </c>
      <c r="AH954" s="526">
        <f t="shared" si="187"/>
        <v>0</v>
      </c>
      <c r="AI954" s="520"/>
      <c r="AJ954" s="520"/>
    </row>
    <row r="955" spans="2:36" s="204" customFormat="1" x14ac:dyDescent="0.25">
      <c r="B955" s="246"/>
      <c r="C955" s="287"/>
      <c r="D955" s="284"/>
      <c r="E955" s="274"/>
      <c r="F955" s="437"/>
      <c r="G955" s="437"/>
      <c r="H955" s="437"/>
      <c r="I955" s="437"/>
      <c r="J955" s="437"/>
      <c r="K955" s="437"/>
      <c r="L955" s="97"/>
      <c r="M955" s="284"/>
      <c r="N955" s="408"/>
      <c r="O955" s="408"/>
      <c r="P955" s="271"/>
      <c r="Q955" s="527"/>
      <c r="R955" s="354"/>
      <c r="S955" s="527"/>
      <c r="T955" s="545"/>
      <c r="U955" s="527"/>
      <c r="V955" s="527"/>
      <c r="W955" s="527"/>
      <c r="X955" s="527"/>
      <c r="Y955" s="527"/>
      <c r="Z955" s="529"/>
      <c r="AA955" s="546"/>
      <c r="AB955" s="545"/>
      <c r="AC955" s="520"/>
      <c r="AD955" s="520"/>
      <c r="AE955" s="520"/>
      <c r="AF955" s="520"/>
      <c r="AG955" s="526"/>
      <c r="AH955" s="526"/>
      <c r="AI955" s="520"/>
      <c r="AJ955" s="520"/>
    </row>
    <row r="956" spans="2:36" s="204" customFormat="1" ht="25.5" x14ac:dyDescent="0.25">
      <c r="B956" s="246" t="s">
        <v>2380</v>
      </c>
      <c r="C956" s="287" t="s">
        <v>2381</v>
      </c>
      <c r="D956" s="284" t="s">
        <v>4034</v>
      </c>
      <c r="E956" s="274"/>
      <c r="F956" s="437"/>
      <c r="G956" s="437"/>
      <c r="H956" s="437"/>
      <c r="I956" s="437"/>
      <c r="J956" s="437"/>
      <c r="K956" s="437"/>
      <c r="L956" s="379" t="s">
        <v>2384</v>
      </c>
      <c r="M956" s="284" t="s">
        <v>2962</v>
      </c>
      <c r="N956" s="408">
        <f>+R956</f>
        <v>0</v>
      </c>
      <c r="O956" s="408">
        <f>+Z956</f>
        <v>0</v>
      </c>
      <c r="P956" s="271">
        <f t="shared" ref="P956:P984" si="188">+O956-N956</f>
        <v>0</v>
      </c>
      <c r="Q956" s="527"/>
      <c r="R956" s="354">
        <f>IF(ISERROR(VLOOKUP("RIC"&amp;$C956,ESTR_PREC_SP!$A$2:$G$2000,4,FALSE))=TRUE,0,VLOOKUP("RIC"&amp;$C956,ESTR_PREC_SP!$A$2:$G$2000,4,FALSE))</f>
        <v>0</v>
      </c>
      <c r="S956" s="527"/>
      <c r="T956" s="545"/>
      <c r="U956" s="527"/>
      <c r="V956" s="527"/>
      <c r="W956" s="527"/>
      <c r="X956" s="527"/>
      <c r="Y956" s="527"/>
      <c r="Z956" s="529">
        <f>+R956+S956+U956+V956-X956-Y956+W956+Q956</f>
        <v>0</v>
      </c>
      <c r="AA956" s="546"/>
      <c r="AB956" s="545"/>
      <c r="AC956" s="520"/>
      <c r="AD956" s="520"/>
      <c r="AE956" s="520"/>
      <c r="AF956" s="520"/>
      <c r="AG956" s="526">
        <f t="shared" ref="AG956:AG962" si="189">+Z956-SUM(AC956:AF956)</f>
        <v>0</v>
      </c>
      <c r="AH956" s="526">
        <f t="shared" ref="AH956:AH962" si="190">+Z956-SUM(AI956:AJ956)</f>
        <v>0</v>
      </c>
      <c r="AI956" s="520"/>
      <c r="AJ956" s="520"/>
    </row>
    <row r="957" spans="2:36" s="204" customFormat="1" ht="25.5" x14ac:dyDescent="0.25">
      <c r="B957" s="246" t="s">
        <v>2385</v>
      </c>
      <c r="C957" s="287" t="s">
        <v>2386</v>
      </c>
      <c r="D957" s="284" t="s">
        <v>4035</v>
      </c>
      <c r="E957" s="274"/>
      <c r="F957" s="437"/>
      <c r="G957" s="437"/>
      <c r="H957" s="437"/>
      <c r="I957" s="437"/>
      <c r="J957" s="437"/>
      <c r="K957" s="437"/>
      <c r="L957" s="379" t="s">
        <v>2389</v>
      </c>
      <c r="M957" s="284" t="s">
        <v>2962</v>
      </c>
      <c r="N957" s="408">
        <f>+R957</f>
        <v>0</v>
      </c>
      <c r="O957" s="408">
        <f>+Z957</f>
        <v>0</v>
      </c>
      <c r="P957" s="271">
        <f t="shared" si="188"/>
        <v>0</v>
      </c>
      <c r="Q957" s="527"/>
      <c r="R957" s="354">
        <f>IF(ISERROR(VLOOKUP("RIC"&amp;$C957,ESTR_PREC_SP!$A$2:$G$2000,4,FALSE))=TRUE,0,VLOOKUP("RIC"&amp;$C957,ESTR_PREC_SP!$A$2:$G$2000,4,FALSE))</f>
        <v>0</v>
      </c>
      <c r="S957" s="527"/>
      <c r="T957" s="545"/>
      <c r="U957" s="527"/>
      <c r="V957" s="527"/>
      <c r="W957" s="527"/>
      <c r="X957" s="527"/>
      <c r="Y957" s="527"/>
      <c r="Z957" s="529">
        <f>+R957+S957+U957+V957-X957-Y957+W957+Q957</f>
        <v>0</v>
      </c>
      <c r="AA957" s="546"/>
      <c r="AB957" s="545"/>
      <c r="AC957" s="520"/>
      <c r="AD957" s="520"/>
      <c r="AE957" s="520"/>
      <c r="AF957" s="520"/>
      <c r="AG957" s="526">
        <f t="shared" si="189"/>
        <v>0</v>
      </c>
      <c r="AH957" s="526">
        <f t="shared" si="190"/>
        <v>0</v>
      </c>
      <c r="AI957" s="520"/>
      <c r="AJ957" s="520"/>
    </row>
    <row r="958" spans="2:36" s="204" customFormat="1" ht="25.5" x14ac:dyDescent="0.25">
      <c r="B958" s="246" t="s">
        <v>2390</v>
      </c>
      <c r="C958" s="287" t="s">
        <v>2391</v>
      </c>
      <c r="D958" s="284" t="s">
        <v>4036</v>
      </c>
      <c r="E958" s="274"/>
      <c r="F958" s="437"/>
      <c r="G958" s="437"/>
      <c r="H958" s="437"/>
      <c r="I958" s="437"/>
      <c r="J958" s="437"/>
      <c r="K958" s="437"/>
      <c r="L958" s="379" t="s">
        <v>2393</v>
      </c>
      <c r="M958" s="284" t="s">
        <v>2962</v>
      </c>
      <c r="N958" s="378">
        <f>SUM(N959:N961)</f>
        <v>0</v>
      </c>
      <c r="O958" s="378">
        <f>SUM(O959:O961)</f>
        <v>0</v>
      </c>
      <c r="P958" s="378">
        <f t="shared" si="188"/>
        <v>0</v>
      </c>
      <c r="Q958" s="378">
        <f t="shared" ref="Q958:Y958" si="191">SUM(Q959:Q961)</f>
        <v>0</v>
      </c>
      <c r="R958" s="378">
        <f t="shared" si="191"/>
        <v>0</v>
      </c>
      <c r="S958" s="378">
        <f t="shared" si="191"/>
        <v>0</v>
      </c>
      <c r="T958" s="378">
        <f t="shared" si="191"/>
        <v>0</v>
      </c>
      <c r="U958" s="378">
        <f t="shared" si="191"/>
        <v>0</v>
      </c>
      <c r="V958" s="378">
        <f t="shared" si="191"/>
        <v>0</v>
      </c>
      <c r="W958" s="378">
        <f t="shared" si="191"/>
        <v>0</v>
      </c>
      <c r="X958" s="378">
        <f t="shared" si="191"/>
        <v>0</v>
      </c>
      <c r="Y958" s="378">
        <f t="shared" si="191"/>
        <v>0</v>
      </c>
      <c r="Z958" s="540">
        <f>+R958+T958+V958-X958-Y958+W958</f>
        <v>0</v>
      </c>
      <c r="AA958" s="378">
        <f t="shared" ref="AA958:AF958" si="192">SUM(AA959:AA961)</f>
        <v>0</v>
      </c>
      <c r="AB958" s="378">
        <f t="shared" si="192"/>
        <v>0</v>
      </c>
      <c r="AC958" s="378">
        <f t="shared" si="192"/>
        <v>0</v>
      </c>
      <c r="AD958" s="378">
        <f t="shared" si="192"/>
        <v>0</v>
      </c>
      <c r="AE958" s="378">
        <f t="shared" si="192"/>
        <v>0</v>
      </c>
      <c r="AF958" s="378">
        <f t="shared" si="192"/>
        <v>0</v>
      </c>
      <c r="AG958" s="537">
        <f t="shared" si="189"/>
        <v>0</v>
      </c>
      <c r="AH958" s="537">
        <f t="shared" si="190"/>
        <v>0</v>
      </c>
      <c r="AI958" s="378">
        <f>SUM(AI959:AI961)</f>
        <v>0</v>
      </c>
      <c r="AJ958" s="378">
        <f>SUM(AJ959:AJ961)</f>
        <v>0</v>
      </c>
    </row>
    <row r="959" spans="2:36" s="204" customFormat="1" ht="15" hidden="1" customHeight="1" x14ac:dyDescent="0.25">
      <c r="B959" s="246" t="s">
        <v>2394</v>
      </c>
      <c r="C959" s="287" t="s">
        <v>2395</v>
      </c>
      <c r="D959" s="284" t="s">
        <v>4037</v>
      </c>
      <c r="E959" s="274"/>
      <c r="F959" s="437"/>
      <c r="G959" s="437"/>
      <c r="H959" s="437"/>
      <c r="I959" s="437"/>
      <c r="J959" s="437"/>
      <c r="K959" s="437"/>
      <c r="L959" s="503" t="s">
        <v>2397</v>
      </c>
      <c r="M959" s="284" t="s">
        <v>2962</v>
      </c>
      <c r="N959" s="408">
        <f>+R959</f>
        <v>0</v>
      </c>
      <c r="O959" s="408">
        <f>+Z959</f>
        <v>0</v>
      </c>
      <c r="P959" s="271">
        <f t="shared" si="188"/>
        <v>0</v>
      </c>
      <c r="Q959" s="527"/>
      <c r="R959" s="354">
        <f>IF(ISERROR(VLOOKUP("RIC"&amp;$C959,ESTR_PREC_SP!$A$2:$G$2000,4,FALSE))=TRUE,0,VLOOKUP("RIC"&amp;$C959,ESTR_PREC_SP!$A$2:$G$2000,4,FALSE))</f>
        <v>0</v>
      </c>
      <c r="S959" s="527"/>
      <c r="T959" s="545"/>
      <c r="U959" s="527"/>
      <c r="V959" s="527"/>
      <c r="W959" s="527"/>
      <c r="X959" s="527"/>
      <c r="Y959" s="527"/>
      <c r="Z959" s="529">
        <f>+R959+T959+V959-X959-Y959+W959</f>
        <v>0</v>
      </c>
      <c r="AA959" s="546"/>
      <c r="AB959" s="545"/>
      <c r="AC959" s="520"/>
      <c r="AD959" s="520"/>
      <c r="AE959" s="520"/>
      <c r="AF959" s="520"/>
      <c r="AG959" s="526">
        <f t="shared" si="189"/>
        <v>0</v>
      </c>
      <c r="AH959" s="526">
        <f t="shared" si="190"/>
        <v>0</v>
      </c>
      <c r="AI959" s="520"/>
      <c r="AJ959" s="520"/>
    </row>
    <row r="960" spans="2:36" s="204" customFormat="1" ht="15" customHeight="1" x14ac:dyDescent="0.25">
      <c r="B960" s="246" t="s">
        <v>2398</v>
      </c>
      <c r="C960" s="287" t="s">
        <v>2399</v>
      </c>
      <c r="D960" s="284" t="s">
        <v>4038</v>
      </c>
      <c r="E960" s="274"/>
      <c r="F960" s="437"/>
      <c r="G960" s="437"/>
      <c r="H960" s="437"/>
      <c r="I960" s="437"/>
      <c r="J960" s="437"/>
      <c r="K960" s="437"/>
      <c r="L960" s="503" t="s">
        <v>4039</v>
      </c>
      <c r="M960" s="284" t="s">
        <v>2962</v>
      </c>
      <c r="N960" s="408">
        <f>+R960</f>
        <v>0</v>
      </c>
      <c r="O960" s="408">
        <f>+Z960</f>
        <v>0</v>
      </c>
      <c r="P960" s="271">
        <f t="shared" si="188"/>
        <v>0</v>
      </c>
      <c r="Q960" s="527"/>
      <c r="R960" s="354">
        <f>IF(ISERROR(VLOOKUP("RIC"&amp;$C960,ESTR_PREC_SP!$A$2:$G$2000,4,FALSE))=TRUE,0,VLOOKUP("RIC"&amp;$C960,ESTR_PREC_SP!$A$2:$G$2000,4,FALSE))</f>
        <v>0</v>
      </c>
      <c r="S960" s="527"/>
      <c r="T960" s="545"/>
      <c r="U960" s="527"/>
      <c r="V960" s="527"/>
      <c r="W960" s="527"/>
      <c r="X960" s="527"/>
      <c r="Y960" s="527"/>
      <c r="Z960" s="529">
        <f>+R960+S960+U960+V960-X960-Y960+W960+Q960</f>
        <v>0</v>
      </c>
      <c r="AA960" s="546"/>
      <c r="AB960" s="545"/>
      <c r="AC960" s="520"/>
      <c r="AD960" s="520"/>
      <c r="AE960" s="520"/>
      <c r="AF960" s="520"/>
      <c r="AG960" s="526">
        <f t="shared" si="189"/>
        <v>0</v>
      </c>
      <c r="AH960" s="526">
        <f t="shared" si="190"/>
        <v>0</v>
      </c>
      <c r="AI960" s="520"/>
      <c r="AJ960" s="520"/>
    </row>
    <row r="961" spans="1:36" s="204" customFormat="1" ht="26.25" x14ac:dyDescent="0.25">
      <c r="B961" s="246" t="s">
        <v>2401</v>
      </c>
      <c r="C961" s="287" t="s">
        <v>2402</v>
      </c>
      <c r="D961" s="287" t="s">
        <v>4040</v>
      </c>
      <c r="E961" s="274"/>
      <c r="F961" s="437"/>
      <c r="G961" s="437"/>
      <c r="H961" s="437"/>
      <c r="I961" s="437"/>
      <c r="J961" s="437"/>
      <c r="K961" s="437"/>
      <c r="L961" s="503" t="s">
        <v>4041</v>
      </c>
      <c r="M961" s="284" t="s">
        <v>2962</v>
      </c>
      <c r="N961" s="408">
        <f>+R961</f>
        <v>0</v>
      </c>
      <c r="O961" s="408">
        <f>+Z961</f>
        <v>0</v>
      </c>
      <c r="P961" s="271">
        <f t="shared" si="188"/>
        <v>0</v>
      </c>
      <c r="Q961" s="527"/>
      <c r="R961" s="354">
        <f>IF(ISERROR(VLOOKUP("RIC"&amp;$C961,ESTR_PREC_SP!$A$2:$G$2000,4,FALSE))=TRUE,0,VLOOKUP("RIC"&amp;$C961,ESTR_PREC_SP!$A$2:$G$2000,4,FALSE))</f>
        <v>0</v>
      </c>
      <c r="S961" s="527"/>
      <c r="T961" s="545"/>
      <c r="U961" s="527"/>
      <c r="V961" s="527"/>
      <c r="W961" s="527"/>
      <c r="X961" s="527"/>
      <c r="Y961" s="527"/>
      <c r="Z961" s="529">
        <f>+R961+S961+U961+V961-X961-Y961+W961+Q961</f>
        <v>0</v>
      </c>
      <c r="AA961" s="546"/>
      <c r="AB961" s="545"/>
      <c r="AC961" s="520"/>
      <c r="AD961" s="520"/>
      <c r="AE961" s="520"/>
      <c r="AF961" s="520"/>
      <c r="AG961" s="526">
        <f t="shared" si="189"/>
        <v>0</v>
      </c>
      <c r="AH961" s="526">
        <f t="shared" si="190"/>
        <v>0</v>
      </c>
      <c r="AI961" s="520"/>
      <c r="AJ961" s="520"/>
    </row>
    <row r="962" spans="1:36" s="204" customFormat="1" ht="25.5" x14ac:dyDescent="0.25">
      <c r="B962" s="246" t="s">
        <v>2404</v>
      </c>
      <c r="C962" s="287" t="s">
        <v>2405</v>
      </c>
      <c r="D962" s="284" t="s">
        <v>4042</v>
      </c>
      <c r="E962" s="274"/>
      <c r="F962" s="437"/>
      <c r="G962" s="437"/>
      <c r="H962" s="437"/>
      <c r="I962" s="437"/>
      <c r="J962" s="437"/>
      <c r="K962" s="437"/>
      <c r="L962" s="379" t="s">
        <v>2407</v>
      </c>
      <c r="M962" s="284" t="s">
        <v>2962</v>
      </c>
      <c r="N962" s="408">
        <f>+R962</f>
        <v>0</v>
      </c>
      <c r="O962" s="408">
        <f>+Z962</f>
        <v>0</v>
      </c>
      <c r="P962" s="271">
        <f t="shared" si="188"/>
        <v>0</v>
      </c>
      <c r="Q962" s="527"/>
      <c r="R962" s="354">
        <f>IF(ISERROR(VLOOKUP("RIC"&amp;$C962,ESTR_PREC_SP!$A$2:$G$2000,4,FALSE))=TRUE,0,VLOOKUP("RIC"&amp;$C962,ESTR_PREC_SP!$A$2:$G$2000,4,FALSE))</f>
        <v>0</v>
      </c>
      <c r="S962" s="527"/>
      <c r="T962" s="545"/>
      <c r="U962" s="527"/>
      <c r="V962" s="527"/>
      <c r="W962" s="527"/>
      <c r="X962" s="527"/>
      <c r="Y962" s="527"/>
      <c r="Z962" s="529">
        <f>+R962+S962+U962+V962-X962-Y962+W962+Q962</f>
        <v>0</v>
      </c>
      <c r="AA962" s="546"/>
      <c r="AB962" s="545"/>
      <c r="AC962" s="520"/>
      <c r="AD962" s="520"/>
      <c r="AE962" s="520"/>
      <c r="AF962" s="520"/>
      <c r="AG962" s="526">
        <f t="shared" si="189"/>
        <v>0</v>
      </c>
      <c r="AH962" s="526">
        <f t="shared" si="190"/>
        <v>0</v>
      </c>
      <c r="AI962" s="520"/>
      <c r="AJ962" s="520"/>
    </row>
    <row r="963" spans="1:36" s="204" customFormat="1" ht="25.5" x14ac:dyDescent="0.25">
      <c r="B963" s="246" t="s">
        <v>2408</v>
      </c>
      <c r="C963" s="287" t="s">
        <v>2409</v>
      </c>
      <c r="D963" s="284" t="s">
        <v>4043</v>
      </c>
      <c r="E963" s="274"/>
      <c r="F963" s="437"/>
      <c r="G963" s="437"/>
      <c r="H963" s="437"/>
      <c r="I963" s="437"/>
      <c r="J963" s="437"/>
      <c r="K963" s="437"/>
      <c r="L963" s="379" t="s">
        <v>2412</v>
      </c>
      <c r="M963" s="284" t="s">
        <v>2962</v>
      </c>
      <c r="N963" s="378">
        <f>SUM(N964:N968)</f>
        <v>0</v>
      </c>
      <c r="O963" s="378">
        <f>SUM(O964:O968)</f>
        <v>0</v>
      </c>
      <c r="P963" s="378">
        <f t="shared" si="188"/>
        <v>0</v>
      </c>
      <c r="Q963" s="378">
        <f t="shared" ref="Q963:AJ963" si="193">SUM(Q964:Q968)</f>
        <v>0</v>
      </c>
      <c r="R963" s="378">
        <f t="shared" si="193"/>
        <v>0</v>
      </c>
      <c r="S963" s="378">
        <f t="shared" si="193"/>
        <v>0</v>
      </c>
      <c r="T963" s="378">
        <f t="shared" si="193"/>
        <v>0</v>
      </c>
      <c r="U963" s="378">
        <f t="shared" si="193"/>
        <v>0</v>
      </c>
      <c r="V963" s="378">
        <f t="shared" si="193"/>
        <v>0</v>
      </c>
      <c r="W963" s="378">
        <f t="shared" si="193"/>
        <v>0</v>
      </c>
      <c r="X963" s="378">
        <f t="shared" si="193"/>
        <v>0</v>
      </c>
      <c r="Y963" s="378">
        <f t="shared" si="193"/>
        <v>0</v>
      </c>
      <c r="Z963" s="378">
        <f t="shared" si="193"/>
        <v>0</v>
      </c>
      <c r="AA963" s="378">
        <f t="shared" si="193"/>
        <v>0</v>
      </c>
      <c r="AB963" s="378">
        <f t="shared" si="193"/>
        <v>0</v>
      </c>
      <c r="AC963" s="378">
        <f t="shared" si="193"/>
        <v>0</v>
      </c>
      <c r="AD963" s="378">
        <f t="shared" si="193"/>
        <v>0</v>
      </c>
      <c r="AE963" s="378">
        <f t="shared" si="193"/>
        <v>0</v>
      </c>
      <c r="AF963" s="378">
        <f t="shared" si="193"/>
        <v>0</v>
      </c>
      <c r="AG963" s="378">
        <f t="shared" si="193"/>
        <v>0</v>
      </c>
      <c r="AH963" s="378">
        <f t="shared" si="193"/>
        <v>0</v>
      </c>
      <c r="AI963" s="378">
        <f t="shared" si="193"/>
        <v>0</v>
      </c>
      <c r="AJ963" s="378">
        <f t="shared" si="193"/>
        <v>0</v>
      </c>
    </row>
    <row r="964" spans="1:36" s="204" customFormat="1" hidden="1" x14ac:dyDescent="0.25">
      <c r="B964" s="246" t="s">
        <v>2413</v>
      </c>
      <c r="C964" s="287" t="s">
        <v>2414</v>
      </c>
      <c r="D964" s="284" t="s">
        <v>4044</v>
      </c>
      <c r="E964" s="274"/>
      <c r="F964" s="437"/>
      <c r="G964" s="437"/>
      <c r="H964" s="437"/>
      <c r="I964" s="437"/>
      <c r="J964" s="437"/>
      <c r="K964" s="437"/>
      <c r="L964" s="504" t="s">
        <v>2415</v>
      </c>
      <c r="M964" s="284" t="s">
        <v>2962</v>
      </c>
      <c r="N964" s="408">
        <f t="shared" ref="N964:N975" si="194">+R964</f>
        <v>0</v>
      </c>
      <c r="O964" s="408">
        <f t="shared" ref="O964:O975" si="195">+Z964</f>
        <v>0</v>
      </c>
      <c r="P964" s="271">
        <f t="shared" si="188"/>
        <v>0</v>
      </c>
      <c r="Q964" s="527"/>
      <c r="R964" s="354">
        <f>IF(ISERROR(VLOOKUP("RIC"&amp;$C964,ESTR_PREC_SP!$A$2:$G$2000,4,FALSE))=TRUE,0,VLOOKUP("RIC"&amp;$C964,ESTR_PREC_SP!$A$2:$G$2000,4,FALSE))</f>
        <v>0</v>
      </c>
      <c r="S964" s="527"/>
      <c r="T964" s="545"/>
      <c r="U964" s="527"/>
      <c r="V964" s="527"/>
      <c r="W964" s="527"/>
      <c r="X964" s="527"/>
      <c r="Y964" s="527"/>
      <c r="Z964" s="529">
        <f>+R964+T964+V964-X964-Y964+W964</f>
        <v>0</v>
      </c>
      <c r="AA964" s="546"/>
      <c r="AB964" s="545"/>
      <c r="AC964" s="520"/>
      <c r="AD964" s="520"/>
      <c r="AE964" s="520"/>
      <c r="AF964" s="520"/>
      <c r="AG964" s="526">
        <f t="shared" ref="AG964:AG978" si="196">+Z964-SUM(AC964:AF964)</f>
        <v>0</v>
      </c>
      <c r="AH964" s="526">
        <f t="shared" ref="AH964:AH978" si="197">+Z964-SUM(AI964:AJ964)</f>
        <v>0</v>
      </c>
      <c r="AI964" s="520"/>
      <c r="AJ964" s="520"/>
    </row>
    <row r="965" spans="1:36" s="204" customFormat="1" x14ac:dyDescent="0.25">
      <c r="B965" s="246" t="s">
        <v>2416</v>
      </c>
      <c r="C965" s="287" t="s">
        <v>2417</v>
      </c>
      <c r="D965" s="284" t="s">
        <v>4045</v>
      </c>
      <c r="E965" s="274"/>
      <c r="F965" s="437"/>
      <c r="G965" s="437"/>
      <c r="H965" s="437"/>
      <c r="I965" s="437"/>
      <c r="J965" s="437"/>
      <c r="K965" s="437"/>
      <c r="L965" s="504" t="s">
        <v>4046</v>
      </c>
      <c r="M965" s="284" t="s">
        <v>2962</v>
      </c>
      <c r="N965" s="408">
        <f t="shared" si="194"/>
        <v>0</v>
      </c>
      <c r="O965" s="408">
        <f t="shared" si="195"/>
        <v>0</v>
      </c>
      <c r="P965" s="271">
        <f t="shared" si="188"/>
        <v>0</v>
      </c>
      <c r="Q965" s="527"/>
      <c r="R965" s="354">
        <f>IF(ISERROR(VLOOKUP("RIC"&amp;$C965,ESTR_PREC_SP!$A$2:$G$2000,4,FALSE))=TRUE,0,VLOOKUP("RIC"&amp;$C965,ESTR_PREC_SP!$A$2:$G$2000,4,FALSE))</f>
        <v>0</v>
      </c>
      <c r="S965" s="527"/>
      <c r="T965" s="545"/>
      <c r="U965" s="527"/>
      <c r="V965" s="527"/>
      <c r="W965" s="527"/>
      <c r="X965" s="527"/>
      <c r="Y965" s="527"/>
      <c r="Z965" s="529">
        <f t="shared" ref="Z965:Z975" si="198">+R965+S965+U965+V965-X965-Y965+W965+Q965</f>
        <v>0</v>
      </c>
      <c r="AA965" s="546"/>
      <c r="AB965" s="545"/>
      <c r="AC965" s="520"/>
      <c r="AD965" s="520"/>
      <c r="AE965" s="520"/>
      <c r="AF965" s="520"/>
      <c r="AG965" s="526">
        <f t="shared" si="196"/>
        <v>0</v>
      </c>
      <c r="AH965" s="526">
        <f t="shared" si="197"/>
        <v>0</v>
      </c>
      <c r="AI965" s="520"/>
      <c r="AJ965" s="520"/>
    </row>
    <row r="966" spans="1:36" s="204" customFormat="1" hidden="1" x14ac:dyDescent="0.25">
      <c r="B966" s="246" t="s">
        <v>2419</v>
      </c>
      <c r="C966" s="287" t="s">
        <v>2420</v>
      </c>
      <c r="D966" s="284" t="s">
        <v>4047</v>
      </c>
      <c r="E966" s="274"/>
      <c r="F966" s="437"/>
      <c r="G966" s="437"/>
      <c r="H966" s="437"/>
      <c r="I966" s="437"/>
      <c r="J966" s="437"/>
      <c r="K966" s="437"/>
      <c r="L966" s="504" t="s">
        <v>2421</v>
      </c>
      <c r="M966" s="284" t="s">
        <v>2962</v>
      </c>
      <c r="N966" s="408">
        <f t="shared" si="194"/>
        <v>0</v>
      </c>
      <c r="O966" s="408">
        <f t="shared" si="195"/>
        <v>0</v>
      </c>
      <c r="P966" s="271">
        <f t="shared" si="188"/>
        <v>0</v>
      </c>
      <c r="Q966" s="527"/>
      <c r="R966" s="354">
        <f>IF(ISERROR(VLOOKUP("RIC"&amp;$C966,ESTR_PREC_SP!$A$2:$G$2000,4,FALSE))=TRUE,0,VLOOKUP("RIC"&amp;$C966,ESTR_PREC_SP!$A$2:$G$2000,4,FALSE))</f>
        <v>0</v>
      </c>
      <c r="S966" s="527"/>
      <c r="T966" s="545"/>
      <c r="U966" s="527"/>
      <c r="V966" s="527"/>
      <c r="W966" s="527"/>
      <c r="X966" s="527"/>
      <c r="Y966" s="527"/>
      <c r="Z966" s="529">
        <f t="shared" si="198"/>
        <v>0</v>
      </c>
      <c r="AA966" s="546"/>
      <c r="AB966" s="545"/>
      <c r="AC966" s="520"/>
      <c r="AD966" s="520"/>
      <c r="AE966" s="520"/>
      <c r="AF966" s="520"/>
      <c r="AG966" s="526">
        <f t="shared" si="196"/>
        <v>0</v>
      </c>
      <c r="AH966" s="526">
        <f t="shared" si="197"/>
        <v>0</v>
      </c>
      <c r="AI966" s="520"/>
      <c r="AJ966" s="520"/>
    </row>
    <row r="967" spans="1:36" s="204" customFormat="1" x14ac:dyDescent="0.25">
      <c r="B967" s="246" t="s">
        <v>2422</v>
      </c>
      <c r="C967" s="287" t="s">
        <v>2423</v>
      </c>
      <c r="D967" s="284" t="s">
        <v>4048</v>
      </c>
      <c r="E967" s="274"/>
      <c r="F967" s="437"/>
      <c r="G967" s="437"/>
      <c r="H967" s="437"/>
      <c r="I967" s="437"/>
      <c r="J967" s="437"/>
      <c r="K967" s="437"/>
      <c r="L967" s="504" t="s">
        <v>4049</v>
      </c>
      <c r="M967" s="284" t="s">
        <v>2962</v>
      </c>
      <c r="N967" s="408">
        <f t="shared" si="194"/>
        <v>0</v>
      </c>
      <c r="O967" s="408">
        <f t="shared" si="195"/>
        <v>0</v>
      </c>
      <c r="P967" s="271">
        <f t="shared" si="188"/>
        <v>0</v>
      </c>
      <c r="Q967" s="527"/>
      <c r="R967" s="354">
        <f>IF(ISERROR(VLOOKUP("RIC"&amp;$C967,ESTR_PREC_SP!$A$2:$G$2000,4,FALSE))=TRUE,0,VLOOKUP("RIC"&amp;$C967,ESTR_PREC_SP!$A$2:$G$2000,4,FALSE))</f>
        <v>0</v>
      </c>
      <c r="S967" s="527"/>
      <c r="T967" s="545"/>
      <c r="U967" s="527"/>
      <c r="V967" s="527"/>
      <c r="W967" s="527"/>
      <c r="X967" s="527"/>
      <c r="Y967" s="527"/>
      <c r="Z967" s="529">
        <f t="shared" si="198"/>
        <v>0</v>
      </c>
      <c r="AA967" s="546"/>
      <c r="AB967" s="545"/>
      <c r="AC967" s="520"/>
      <c r="AD967" s="520"/>
      <c r="AE967" s="520"/>
      <c r="AF967" s="520"/>
      <c r="AG967" s="526">
        <f t="shared" si="196"/>
        <v>0</v>
      </c>
      <c r="AH967" s="526">
        <f t="shared" si="197"/>
        <v>0</v>
      </c>
      <c r="AI967" s="520"/>
      <c r="AJ967" s="520"/>
    </row>
    <row r="968" spans="1:36" s="204" customFormat="1" x14ac:dyDescent="0.25">
      <c r="B968" s="246" t="s">
        <v>2425</v>
      </c>
      <c r="C968" s="287" t="s">
        <v>2426</v>
      </c>
      <c r="D968" s="284" t="s">
        <v>4050</v>
      </c>
      <c r="E968" s="274"/>
      <c r="F968" s="437"/>
      <c r="G968" s="437"/>
      <c r="H968" s="437"/>
      <c r="I968" s="437"/>
      <c r="J968" s="437"/>
      <c r="K968" s="437"/>
      <c r="L968" s="504" t="s">
        <v>4051</v>
      </c>
      <c r="M968" s="284" t="s">
        <v>2962</v>
      </c>
      <c r="N968" s="408">
        <f t="shared" si="194"/>
        <v>0</v>
      </c>
      <c r="O968" s="408">
        <f t="shared" si="195"/>
        <v>0</v>
      </c>
      <c r="P968" s="271">
        <f t="shared" si="188"/>
        <v>0</v>
      </c>
      <c r="Q968" s="527"/>
      <c r="R968" s="354">
        <f>IF(ISERROR(VLOOKUP("RIC"&amp;$C968,ESTR_PREC_SP!$A$2:$G$2000,4,FALSE))=TRUE,0,VLOOKUP("RIC"&amp;$C968,ESTR_PREC_SP!$A$2:$G$2000,4,FALSE))</f>
        <v>0</v>
      </c>
      <c r="S968" s="527"/>
      <c r="T968" s="545"/>
      <c r="U968" s="527"/>
      <c r="V968" s="527"/>
      <c r="W968" s="527"/>
      <c r="X968" s="527"/>
      <c r="Y968" s="527"/>
      <c r="Z968" s="529">
        <f t="shared" si="198"/>
        <v>0</v>
      </c>
      <c r="AA968" s="546"/>
      <c r="AB968" s="545"/>
      <c r="AC968" s="520"/>
      <c r="AD968" s="520"/>
      <c r="AE968" s="520"/>
      <c r="AF968" s="520"/>
      <c r="AG968" s="526">
        <f t="shared" si="196"/>
        <v>0</v>
      </c>
      <c r="AH968" s="526">
        <f t="shared" si="197"/>
        <v>0</v>
      </c>
      <c r="AI968" s="520"/>
      <c r="AJ968" s="520"/>
    </row>
    <row r="969" spans="1:36" s="204" customFormat="1" x14ac:dyDescent="0.25">
      <c r="B969" s="246" t="s">
        <v>2428</v>
      </c>
      <c r="C969" s="287" t="s">
        <v>2429</v>
      </c>
      <c r="D969" s="284" t="s">
        <v>4052</v>
      </c>
      <c r="E969" s="274"/>
      <c r="F969" s="437"/>
      <c r="G969" s="437"/>
      <c r="H969" s="437"/>
      <c r="I969" s="437"/>
      <c r="J969" s="437"/>
      <c r="K969" s="437"/>
      <c r="L969" s="379" t="s">
        <v>2431</v>
      </c>
      <c r="M969" s="284" t="s">
        <v>2962</v>
      </c>
      <c r="N969" s="408">
        <f t="shared" si="194"/>
        <v>0</v>
      </c>
      <c r="O969" s="408">
        <f t="shared" si="195"/>
        <v>0</v>
      </c>
      <c r="P969" s="271">
        <f t="shared" si="188"/>
        <v>0</v>
      </c>
      <c r="Q969" s="527"/>
      <c r="R969" s="354">
        <f>IF(ISERROR(VLOOKUP("RIC"&amp;$C969,ESTR_PREC_SP!$A$2:$G$2000,4,FALSE))=TRUE,0,VLOOKUP("RIC"&amp;$C969,ESTR_PREC_SP!$A$2:$G$2000,4,FALSE))</f>
        <v>0</v>
      </c>
      <c r="S969" s="527"/>
      <c r="T969" s="545"/>
      <c r="U969" s="527"/>
      <c r="V969" s="527"/>
      <c r="W969" s="527"/>
      <c r="X969" s="527"/>
      <c r="Y969" s="527"/>
      <c r="Z969" s="529">
        <f t="shared" si="198"/>
        <v>0</v>
      </c>
      <c r="AA969" s="546"/>
      <c r="AB969" s="545"/>
      <c r="AC969" s="520"/>
      <c r="AD969" s="520"/>
      <c r="AE969" s="520"/>
      <c r="AF969" s="520"/>
      <c r="AG969" s="526">
        <f t="shared" si="196"/>
        <v>0</v>
      </c>
      <c r="AH969" s="526">
        <f t="shared" si="197"/>
        <v>0</v>
      </c>
      <c r="AI969" s="520"/>
      <c r="AJ969" s="520"/>
    </row>
    <row r="970" spans="1:36" s="204" customFormat="1" x14ac:dyDescent="0.25">
      <c r="B970" s="246" t="s">
        <v>2432</v>
      </c>
      <c r="C970" s="287" t="s">
        <v>2433</v>
      </c>
      <c r="D970" s="284" t="s">
        <v>4053</v>
      </c>
      <c r="E970" s="274"/>
      <c r="F970" s="437"/>
      <c r="G970" s="437"/>
      <c r="H970" s="437"/>
      <c r="I970" s="437"/>
      <c r="J970" s="437"/>
      <c r="K970" s="437"/>
      <c r="L970" s="379" t="s">
        <v>2435</v>
      </c>
      <c r="M970" s="284" t="s">
        <v>2962</v>
      </c>
      <c r="N970" s="408">
        <f t="shared" si="194"/>
        <v>0</v>
      </c>
      <c r="O970" s="408">
        <f t="shared" si="195"/>
        <v>0</v>
      </c>
      <c r="P970" s="271">
        <f t="shared" si="188"/>
        <v>0</v>
      </c>
      <c r="Q970" s="527"/>
      <c r="R970" s="354">
        <f>IF(ISERROR(VLOOKUP("RIC"&amp;$C970,ESTR_PREC_SP!$A$2:$G$2000,4,FALSE))=TRUE,0,VLOOKUP("RIC"&amp;$C970,ESTR_PREC_SP!$A$2:$G$2000,4,FALSE))</f>
        <v>0</v>
      </c>
      <c r="S970" s="527"/>
      <c r="T970" s="545"/>
      <c r="U970" s="527"/>
      <c r="V970" s="527"/>
      <c r="W970" s="527"/>
      <c r="X970" s="527"/>
      <c r="Y970" s="527"/>
      <c r="Z970" s="529">
        <f t="shared" si="198"/>
        <v>0</v>
      </c>
      <c r="AA970" s="546"/>
      <c r="AB970" s="545"/>
      <c r="AC970" s="520"/>
      <c r="AD970" s="520"/>
      <c r="AE970" s="520"/>
      <c r="AF970" s="520"/>
      <c r="AG970" s="526">
        <f t="shared" si="196"/>
        <v>0</v>
      </c>
      <c r="AH970" s="526">
        <f t="shared" si="197"/>
        <v>0</v>
      </c>
      <c r="AI970" s="520"/>
      <c r="AJ970" s="520"/>
    </row>
    <row r="971" spans="1:36" s="204" customFormat="1" ht="26.25" x14ac:dyDescent="0.25">
      <c r="A971" s="535" t="s">
        <v>3681</v>
      </c>
      <c r="B971" s="536" t="s">
        <v>2436</v>
      </c>
      <c r="C971" s="536" t="s">
        <v>2437</v>
      </c>
      <c r="D971" s="536"/>
      <c r="E971" s="536"/>
      <c r="F971" s="536"/>
      <c r="G971" s="536"/>
      <c r="H971" s="536"/>
      <c r="I971" s="536"/>
      <c r="J971" s="536"/>
      <c r="K971" s="536"/>
      <c r="L971" s="536" t="s">
        <v>4054</v>
      </c>
      <c r="M971" s="284" t="s">
        <v>2962</v>
      </c>
      <c r="N971" s="408">
        <f t="shared" si="194"/>
        <v>0</v>
      </c>
      <c r="O971" s="408">
        <f t="shared" si="195"/>
        <v>0</v>
      </c>
      <c r="P971" s="271">
        <f t="shared" si="188"/>
        <v>0</v>
      </c>
      <c r="Q971" s="527"/>
      <c r="R971" s="354">
        <f>IF(ISERROR(VLOOKUP("RIC"&amp;$C971,ESTR_PREC_SP!$A$2:$G$2000,4,FALSE))=TRUE,0,VLOOKUP("RIC"&amp;$C971,ESTR_PREC_SP!$A$2:$G$2000,4,FALSE))</f>
        <v>0</v>
      </c>
      <c r="S971" s="527"/>
      <c r="T971" s="545"/>
      <c r="U971" s="527"/>
      <c r="V971" s="527"/>
      <c r="W971" s="527"/>
      <c r="X971" s="527"/>
      <c r="Y971" s="527"/>
      <c r="Z971" s="529">
        <f t="shared" si="198"/>
        <v>0</v>
      </c>
      <c r="AA971" s="546"/>
      <c r="AB971" s="545"/>
      <c r="AC971" s="520"/>
      <c r="AD971" s="520"/>
      <c r="AE971" s="520"/>
      <c r="AF971" s="520"/>
      <c r="AG971" s="526">
        <f t="shared" si="196"/>
        <v>0</v>
      </c>
      <c r="AH971" s="526">
        <f t="shared" si="197"/>
        <v>0</v>
      </c>
      <c r="AI971" s="520"/>
      <c r="AJ971" s="520"/>
    </row>
    <row r="972" spans="1:36" s="204" customFormat="1" ht="26.25" x14ac:dyDescent="0.25">
      <c r="A972" s="535" t="s">
        <v>3681</v>
      </c>
      <c r="B972" s="536" t="s">
        <v>2440</v>
      </c>
      <c r="C972" s="536" t="s">
        <v>2441</v>
      </c>
      <c r="D972" s="536"/>
      <c r="E972" s="536"/>
      <c r="F972" s="536"/>
      <c r="G972" s="536"/>
      <c r="H972" s="536"/>
      <c r="I972" s="536"/>
      <c r="J972" s="536"/>
      <c r="K972" s="536"/>
      <c r="L972" s="536" t="s">
        <v>2443</v>
      </c>
      <c r="M972" s="284" t="s">
        <v>2962</v>
      </c>
      <c r="N972" s="408">
        <f t="shared" si="194"/>
        <v>0</v>
      </c>
      <c r="O972" s="408">
        <f t="shared" si="195"/>
        <v>0</v>
      </c>
      <c r="P972" s="271">
        <f t="shared" si="188"/>
        <v>0</v>
      </c>
      <c r="Q972" s="527"/>
      <c r="R972" s="354">
        <f>IF(ISERROR(VLOOKUP("RIC"&amp;$C972,ESTR_PREC_SP!$A$2:$G$2000,4,FALSE))=TRUE,0,VLOOKUP("RIC"&amp;$C972,ESTR_PREC_SP!$A$2:$G$2000,4,FALSE))</f>
        <v>0</v>
      </c>
      <c r="S972" s="527"/>
      <c r="T972" s="545"/>
      <c r="U972" s="527"/>
      <c r="V972" s="527"/>
      <c r="W972" s="527"/>
      <c r="X972" s="527"/>
      <c r="Y972" s="527"/>
      <c r="Z972" s="529">
        <f t="shared" si="198"/>
        <v>0</v>
      </c>
      <c r="AA972" s="546"/>
      <c r="AB972" s="545"/>
      <c r="AC972" s="520"/>
      <c r="AD972" s="520"/>
      <c r="AE972" s="520"/>
      <c r="AF972" s="520"/>
      <c r="AG972" s="526">
        <f t="shared" si="196"/>
        <v>0</v>
      </c>
      <c r="AH972" s="526">
        <f t="shared" si="197"/>
        <v>0</v>
      </c>
      <c r="AI972" s="520"/>
      <c r="AJ972" s="520"/>
    </row>
    <row r="973" spans="1:36" s="204" customFormat="1" ht="26.25" x14ac:dyDescent="0.25">
      <c r="A973" s="535" t="s">
        <v>3681</v>
      </c>
      <c r="B973" s="536" t="s">
        <v>2444</v>
      </c>
      <c r="C973" s="536" t="s">
        <v>2445</v>
      </c>
      <c r="D973" s="536"/>
      <c r="E973" s="536"/>
      <c r="F973" s="536"/>
      <c r="G973" s="536"/>
      <c r="H973" s="536"/>
      <c r="I973" s="536"/>
      <c r="J973" s="536"/>
      <c r="K973" s="536"/>
      <c r="L973" s="536" t="s">
        <v>2446</v>
      </c>
      <c r="M973" s="284" t="s">
        <v>2962</v>
      </c>
      <c r="N973" s="408">
        <f t="shared" si="194"/>
        <v>0</v>
      </c>
      <c r="O973" s="408">
        <f t="shared" si="195"/>
        <v>0</v>
      </c>
      <c r="P973" s="271">
        <f t="shared" si="188"/>
        <v>0</v>
      </c>
      <c r="Q973" s="527"/>
      <c r="R973" s="354">
        <f>IF(ISERROR(VLOOKUP("RIC"&amp;$C973,ESTR_PREC_SP!$A$2:$G$2000,4,FALSE))=TRUE,0,VLOOKUP("RIC"&amp;$C973,ESTR_PREC_SP!$A$2:$G$2000,4,FALSE))</f>
        <v>0</v>
      </c>
      <c r="S973" s="527"/>
      <c r="T973" s="545"/>
      <c r="U973" s="527"/>
      <c r="V973" s="527"/>
      <c r="W973" s="527"/>
      <c r="X973" s="527"/>
      <c r="Y973" s="527"/>
      <c r="Z973" s="529">
        <f t="shared" si="198"/>
        <v>0</v>
      </c>
      <c r="AA973" s="546"/>
      <c r="AB973" s="545"/>
      <c r="AC973" s="520"/>
      <c r="AD973" s="520"/>
      <c r="AE973" s="520"/>
      <c r="AF973" s="520"/>
      <c r="AG973" s="526">
        <f t="shared" si="196"/>
        <v>0</v>
      </c>
      <c r="AH973" s="526">
        <f t="shared" si="197"/>
        <v>0</v>
      </c>
      <c r="AI973" s="520"/>
      <c r="AJ973" s="520"/>
    </row>
    <row r="974" spans="1:36" s="204" customFormat="1" ht="26.25" x14ac:dyDescent="0.25">
      <c r="A974" s="535" t="s">
        <v>3681</v>
      </c>
      <c r="B974" s="536" t="s">
        <v>2447</v>
      </c>
      <c r="C974" s="536" t="s">
        <v>2448</v>
      </c>
      <c r="D974" s="536"/>
      <c r="E974" s="536"/>
      <c r="F974" s="536"/>
      <c r="G974" s="536"/>
      <c r="H974" s="536"/>
      <c r="I974" s="536"/>
      <c r="J974" s="536"/>
      <c r="K974" s="536"/>
      <c r="L974" s="536" t="s">
        <v>2449</v>
      </c>
      <c r="M974" s="284" t="s">
        <v>2962</v>
      </c>
      <c r="N974" s="408">
        <f t="shared" si="194"/>
        <v>0</v>
      </c>
      <c r="O974" s="408">
        <f t="shared" si="195"/>
        <v>0</v>
      </c>
      <c r="P974" s="271">
        <f t="shared" si="188"/>
        <v>0</v>
      </c>
      <c r="Q974" s="527"/>
      <c r="R974" s="354">
        <f>IF(ISERROR(VLOOKUP("RIC"&amp;$C974,ESTR_PREC_SP!$A$2:$G$2000,4,FALSE))=TRUE,0,VLOOKUP("RIC"&amp;$C974,ESTR_PREC_SP!$A$2:$G$2000,4,FALSE))</f>
        <v>0</v>
      </c>
      <c r="S974" s="527"/>
      <c r="T974" s="545"/>
      <c r="U974" s="527"/>
      <c r="V974" s="527"/>
      <c r="W974" s="527"/>
      <c r="X974" s="527"/>
      <c r="Y974" s="527"/>
      <c r="Z974" s="529">
        <f t="shared" si="198"/>
        <v>0</v>
      </c>
      <c r="AA974" s="546"/>
      <c r="AB974" s="545"/>
      <c r="AC974" s="520"/>
      <c r="AD974" s="520"/>
      <c r="AE974" s="520"/>
      <c r="AF974" s="520"/>
      <c r="AG974" s="526">
        <f t="shared" si="196"/>
        <v>0</v>
      </c>
      <c r="AH974" s="526">
        <f t="shared" si="197"/>
        <v>0</v>
      </c>
      <c r="AI974" s="520"/>
      <c r="AJ974" s="520"/>
    </row>
    <row r="975" spans="1:36" s="204" customFormat="1" ht="26.25" x14ac:dyDescent="0.25">
      <c r="A975" s="535" t="s">
        <v>3681</v>
      </c>
      <c r="B975" s="536" t="s">
        <v>2450</v>
      </c>
      <c r="C975" s="536" t="s">
        <v>2451</v>
      </c>
      <c r="D975" s="536"/>
      <c r="E975" s="536"/>
      <c r="F975" s="536"/>
      <c r="G975" s="536"/>
      <c r="H975" s="536"/>
      <c r="I975" s="536"/>
      <c r="J975" s="536"/>
      <c r="K975" s="536"/>
      <c r="L975" s="536" t="s">
        <v>2453</v>
      </c>
      <c r="M975" s="284" t="s">
        <v>2962</v>
      </c>
      <c r="N975" s="408">
        <f t="shared" si="194"/>
        <v>0</v>
      </c>
      <c r="O975" s="408">
        <f t="shared" si="195"/>
        <v>0</v>
      </c>
      <c r="P975" s="271">
        <f t="shared" si="188"/>
        <v>0</v>
      </c>
      <c r="Q975" s="527"/>
      <c r="R975" s="354">
        <f>IF(ISERROR(VLOOKUP("RIC"&amp;$C975,ESTR_PREC_SP!$A$2:$G$2000,4,FALSE))=TRUE,0,VLOOKUP("RIC"&amp;$C975,ESTR_PREC_SP!$A$2:$G$2000,4,FALSE))</f>
        <v>0</v>
      </c>
      <c r="S975" s="527"/>
      <c r="T975" s="545"/>
      <c r="U975" s="527"/>
      <c r="V975" s="527"/>
      <c r="W975" s="527"/>
      <c r="X975" s="527"/>
      <c r="Y975" s="527"/>
      <c r="Z975" s="529">
        <f t="shared" si="198"/>
        <v>0</v>
      </c>
      <c r="AA975" s="546"/>
      <c r="AB975" s="545"/>
      <c r="AC975" s="520"/>
      <c r="AD975" s="520"/>
      <c r="AE975" s="520"/>
      <c r="AF975" s="520"/>
      <c r="AG975" s="526">
        <f t="shared" si="196"/>
        <v>0</v>
      </c>
      <c r="AH975" s="526">
        <f t="shared" si="197"/>
        <v>0</v>
      </c>
      <c r="AI975" s="520"/>
      <c r="AJ975" s="520"/>
    </row>
    <row r="976" spans="1:36" s="204" customFormat="1" x14ac:dyDescent="0.25">
      <c r="B976" s="246" t="s">
        <v>2454</v>
      </c>
      <c r="C976" s="287" t="s">
        <v>2455</v>
      </c>
      <c r="D976" s="284" t="s">
        <v>4055</v>
      </c>
      <c r="E976" s="274"/>
      <c r="F976" s="437"/>
      <c r="G976" s="437"/>
      <c r="H976" s="437"/>
      <c r="I976" s="437"/>
      <c r="J976" s="437"/>
      <c r="K976" s="437"/>
      <c r="L976" s="295" t="s">
        <v>2458</v>
      </c>
      <c r="M976" s="284" t="s">
        <v>2962</v>
      </c>
      <c r="N976" s="378">
        <f>SUM(N977:N978)</f>
        <v>0</v>
      </c>
      <c r="O976" s="378">
        <f>SUM(O977:O978)</f>
        <v>0</v>
      </c>
      <c r="P976" s="378">
        <f t="shared" si="188"/>
        <v>0</v>
      </c>
      <c r="Q976" s="378">
        <f t="shared" ref="Q976:AF976" si="199">SUM(Q977:Q978)</f>
        <v>0</v>
      </c>
      <c r="R976" s="378">
        <f t="shared" si="199"/>
        <v>0</v>
      </c>
      <c r="S976" s="378">
        <f t="shared" si="199"/>
        <v>0</v>
      </c>
      <c r="T976" s="378">
        <f t="shared" si="199"/>
        <v>0</v>
      </c>
      <c r="U976" s="378">
        <f t="shared" si="199"/>
        <v>0</v>
      </c>
      <c r="V976" s="378">
        <f t="shared" si="199"/>
        <v>0</v>
      </c>
      <c r="W976" s="378">
        <f t="shared" si="199"/>
        <v>0</v>
      </c>
      <c r="X976" s="378">
        <f t="shared" si="199"/>
        <v>0</v>
      </c>
      <c r="Y976" s="378">
        <f t="shared" si="199"/>
        <v>0</v>
      </c>
      <c r="Z976" s="378">
        <f t="shared" si="199"/>
        <v>0</v>
      </c>
      <c r="AA976" s="378">
        <f t="shared" si="199"/>
        <v>0</v>
      </c>
      <c r="AB976" s="378">
        <f t="shared" si="199"/>
        <v>0</v>
      </c>
      <c r="AC976" s="378">
        <f t="shared" si="199"/>
        <v>0</v>
      </c>
      <c r="AD976" s="378">
        <f t="shared" si="199"/>
        <v>0</v>
      </c>
      <c r="AE976" s="378">
        <f t="shared" si="199"/>
        <v>0</v>
      </c>
      <c r="AF976" s="378">
        <f t="shared" si="199"/>
        <v>0</v>
      </c>
      <c r="AG976" s="537">
        <f t="shared" si="196"/>
        <v>0</v>
      </c>
      <c r="AH976" s="537">
        <f t="shared" si="197"/>
        <v>0</v>
      </c>
      <c r="AI976" s="378">
        <f>SUM(AI977:AI978)</f>
        <v>0</v>
      </c>
      <c r="AJ976" s="378">
        <f>SUM(AJ977:AJ978)</f>
        <v>0</v>
      </c>
    </row>
    <row r="977" spans="1:36" s="204" customFormat="1" ht="25.5" x14ac:dyDescent="0.25">
      <c r="B977" s="246" t="s">
        <v>2459</v>
      </c>
      <c r="C977" s="287" t="s">
        <v>2460</v>
      </c>
      <c r="D977" s="284" t="s">
        <v>4056</v>
      </c>
      <c r="E977" s="274"/>
      <c r="F977" s="437"/>
      <c r="G977" s="437"/>
      <c r="H977" s="437"/>
      <c r="I977" s="437"/>
      <c r="J977" s="437"/>
      <c r="K977" s="437"/>
      <c r="L977" s="379" t="s">
        <v>2461</v>
      </c>
      <c r="M977" s="284" t="s">
        <v>2962</v>
      </c>
      <c r="N977" s="408">
        <f>+R977</f>
        <v>0</v>
      </c>
      <c r="O977" s="408">
        <f>+Z977</f>
        <v>0</v>
      </c>
      <c r="P977" s="271">
        <f t="shared" si="188"/>
        <v>0</v>
      </c>
      <c r="Q977" s="527"/>
      <c r="R977" s="354">
        <f>IF(ISERROR(VLOOKUP("RIC"&amp;$C977,ESTR_PREC_SP!$A$2:$G$2000,4,FALSE))=TRUE,0,VLOOKUP("RIC"&amp;$C977,ESTR_PREC_SP!$A$2:$G$2000,4,FALSE))</f>
        <v>0</v>
      </c>
      <c r="S977" s="527"/>
      <c r="T977" s="545"/>
      <c r="U977" s="527"/>
      <c r="V977" s="527"/>
      <c r="W977" s="527"/>
      <c r="X977" s="527"/>
      <c r="Y977" s="527"/>
      <c r="Z977" s="529">
        <f>+R977+S977+U977+V977-X977-Y977+W977+Q977</f>
        <v>0</v>
      </c>
      <c r="AA977" s="546"/>
      <c r="AB977" s="545"/>
      <c r="AC977" s="520"/>
      <c r="AD977" s="520"/>
      <c r="AE977" s="520"/>
      <c r="AF977" s="520"/>
      <c r="AG977" s="526">
        <f t="shared" si="196"/>
        <v>0</v>
      </c>
      <c r="AH977" s="526">
        <f t="shared" si="197"/>
        <v>0</v>
      </c>
      <c r="AI977" s="520"/>
      <c r="AJ977" s="520"/>
    </row>
    <row r="978" spans="1:36" s="204" customFormat="1" x14ac:dyDescent="0.25">
      <c r="B978" s="246" t="s">
        <v>2462</v>
      </c>
      <c r="C978" s="287" t="s">
        <v>2463</v>
      </c>
      <c r="D978" s="284" t="s">
        <v>4057</v>
      </c>
      <c r="E978" s="274"/>
      <c r="F978" s="437"/>
      <c r="G978" s="437"/>
      <c r="H978" s="437"/>
      <c r="I978" s="437"/>
      <c r="J978" s="437"/>
      <c r="K978" s="437"/>
      <c r="L978" s="379" t="s">
        <v>2464</v>
      </c>
      <c r="M978" s="284" t="s">
        <v>2962</v>
      </c>
      <c r="N978" s="408">
        <f>+R978</f>
        <v>0</v>
      </c>
      <c r="O978" s="408">
        <f>+Z978</f>
        <v>0</v>
      </c>
      <c r="P978" s="271">
        <f t="shared" si="188"/>
        <v>0</v>
      </c>
      <c r="Q978" s="527"/>
      <c r="R978" s="354">
        <f>IF(ISERROR(VLOOKUP("RIC"&amp;$C978,ESTR_PREC_SP!$A$2:$G$2000,4,FALSE))=TRUE,0,VLOOKUP("RIC"&amp;$C978,ESTR_PREC_SP!$A$2:$G$2000,4,FALSE))</f>
        <v>0</v>
      </c>
      <c r="S978" s="527"/>
      <c r="T978" s="545"/>
      <c r="U978" s="527"/>
      <c r="V978" s="527"/>
      <c r="W978" s="527"/>
      <c r="X978" s="527"/>
      <c r="Y978" s="527"/>
      <c r="Z978" s="529">
        <f>+R978+S978+U978+V978-X978-Y978+W978+Q978</f>
        <v>0</v>
      </c>
      <c r="AA978" s="546"/>
      <c r="AB978" s="545"/>
      <c r="AC978" s="520"/>
      <c r="AD978" s="520"/>
      <c r="AE978" s="520"/>
      <c r="AF978" s="520"/>
      <c r="AG978" s="526">
        <f t="shared" si="196"/>
        <v>0</v>
      </c>
      <c r="AH978" s="526">
        <f t="shared" si="197"/>
        <v>0</v>
      </c>
      <c r="AI978" s="520"/>
      <c r="AJ978" s="520"/>
    </row>
    <row r="979" spans="1:36" s="204" customFormat="1" ht="25.5" x14ac:dyDescent="0.25">
      <c r="B979" s="246" t="s">
        <v>2465</v>
      </c>
      <c r="C979" s="287" t="s">
        <v>2466</v>
      </c>
      <c r="D979" s="284" t="s">
        <v>4058</v>
      </c>
      <c r="E979" s="274"/>
      <c r="F979" s="437"/>
      <c r="G979" s="437"/>
      <c r="H979" s="437"/>
      <c r="I979" s="437"/>
      <c r="J979" s="437"/>
      <c r="K979" s="437"/>
      <c r="L979" s="295" t="s">
        <v>2469</v>
      </c>
      <c r="M979" s="284" t="s">
        <v>2962</v>
      </c>
      <c r="N979" s="378">
        <f>SUM(N980:N985)</f>
        <v>0</v>
      </c>
      <c r="O979" s="378">
        <f>SUM(O980:O985)</f>
        <v>0</v>
      </c>
      <c r="P979" s="378">
        <f t="shared" si="188"/>
        <v>0</v>
      </c>
      <c r="Q979" s="378">
        <f t="shared" ref="Q979:AJ979" si="200">SUM(Q980:Q985)</f>
        <v>0</v>
      </c>
      <c r="R979" s="378">
        <f t="shared" si="200"/>
        <v>0</v>
      </c>
      <c r="S979" s="378">
        <f t="shared" si="200"/>
        <v>0</v>
      </c>
      <c r="T979" s="378">
        <f t="shared" si="200"/>
        <v>0</v>
      </c>
      <c r="U979" s="378">
        <f t="shared" si="200"/>
        <v>0</v>
      </c>
      <c r="V979" s="378">
        <f t="shared" si="200"/>
        <v>0</v>
      </c>
      <c r="W979" s="378">
        <f t="shared" si="200"/>
        <v>0</v>
      </c>
      <c r="X979" s="378">
        <f t="shared" si="200"/>
        <v>0</v>
      </c>
      <c r="Y979" s="378">
        <f t="shared" si="200"/>
        <v>0</v>
      </c>
      <c r="Z979" s="378">
        <f t="shared" si="200"/>
        <v>0</v>
      </c>
      <c r="AA979" s="378">
        <f t="shared" si="200"/>
        <v>0</v>
      </c>
      <c r="AB979" s="378">
        <f t="shared" si="200"/>
        <v>0</v>
      </c>
      <c r="AC979" s="378">
        <f t="shared" si="200"/>
        <v>0</v>
      </c>
      <c r="AD979" s="378">
        <f t="shared" si="200"/>
        <v>0</v>
      </c>
      <c r="AE979" s="378">
        <f t="shared" si="200"/>
        <v>0</v>
      </c>
      <c r="AF979" s="378">
        <f t="shared" si="200"/>
        <v>0</v>
      </c>
      <c r="AG979" s="378">
        <f t="shared" si="200"/>
        <v>0</v>
      </c>
      <c r="AH979" s="378">
        <f t="shared" si="200"/>
        <v>0</v>
      </c>
      <c r="AI979" s="378">
        <f t="shared" si="200"/>
        <v>0</v>
      </c>
      <c r="AJ979" s="378">
        <f t="shared" si="200"/>
        <v>0</v>
      </c>
    </row>
    <row r="980" spans="1:36" s="204" customFormat="1" ht="26.25" x14ac:dyDescent="0.25">
      <c r="A980" s="535" t="s">
        <v>3681</v>
      </c>
      <c r="B980" s="536" t="s">
        <v>2470</v>
      </c>
      <c r="C980" s="536" t="s">
        <v>2471</v>
      </c>
      <c r="D980" s="536"/>
      <c r="E980" s="536"/>
      <c r="F980" s="536"/>
      <c r="G980" s="536"/>
      <c r="H980" s="536"/>
      <c r="I980" s="536"/>
      <c r="J980" s="536"/>
      <c r="K980" s="536"/>
      <c r="L980" s="536" t="s">
        <v>2473</v>
      </c>
      <c r="M980" s="284" t="s">
        <v>2962</v>
      </c>
      <c r="N980" s="408">
        <f>+R980</f>
        <v>0</v>
      </c>
      <c r="O980" s="408">
        <f>+Z980</f>
        <v>0</v>
      </c>
      <c r="P980" s="271">
        <f t="shared" si="188"/>
        <v>0</v>
      </c>
      <c r="Q980" s="527"/>
      <c r="R980" s="354">
        <f>IF(ISERROR(VLOOKUP("RIC"&amp;$C980,ESTR_PREC_SP!$A$2:$G$2000,4,FALSE))=TRUE,0,VLOOKUP("RIC"&amp;$C980,ESTR_PREC_SP!$A$2:$G$2000,4,FALSE))</f>
        <v>0</v>
      </c>
      <c r="S980" s="527"/>
      <c r="T980" s="545"/>
      <c r="U980" s="527"/>
      <c r="V980" s="527"/>
      <c r="W980" s="527"/>
      <c r="X980" s="527"/>
      <c r="Y980" s="527"/>
      <c r="Z980" s="529">
        <f>+R980+S980+U980+V980-X980-Y980+W980+Q980</f>
        <v>0</v>
      </c>
      <c r="AA980" s="546"/>
      <c r="AB980" s="545"/>
      <c r="AC980" s="520"/>
      <c r="AD980" s="520"/>
      <c r="AE980" s="520"/>
      <c r="AF980" s="520"/>
      <c r="AG980" s="526">
        <f>+Z980-SUM(AC980:AF980)</f>
        <v>0</v>
      </c>
      <c r="AH980" s="526">
        <f>+Z980-SUM(AI980:AJ980)</f>
        <v>0</v>
      </c>
      <c r="AI980" s="520"/>
      <c r="AJ980" s="520"/>
    </row>
    <row r="981" spans="1:36" s="204" customFormat="1" ht="26.25" x14ac:dyDescent="0.25">
      <c r="A981" s="535" t="s">
        <v>3681</v>
      </c>
      <c r="B981" s="536" t="s">
        <v>2474</v>
      </c>
      <c r="C981" s="536" t="s">
        <v>2475</v>
      </c>
      <c r="D981" s="536"/>
      <c r="E981" s="536"/>
      <c r="F981" s="536"/>
      <c r="G981" s="536"/>
      <c r="H981" s="536"/>
      <c r="I981" s="536"/>
      <c r="J981" s="536"/>
      <c r="K981" s="536"/>
      <c r="L981" s="536" t="s">
        <v>2477</v>
      </c>
      <c r="M981" s="284" t="s">
        <v>2962</v>
      </c>
      <c r="N981" s="408">
        <f>+R981</f>
        <v>0</v>
      </c>
      <c r="O981" s="408">
        <f>+Z981</f>
        <v>0</v>
      </c>
      <c r="P981" s="271">
        <f t="shared" si="188"/>
        <v>0</v>
      </c>
      <c r="Q981" s="527"/>
      <c r="R981" s="354">
        <f>IF(ISERROR(VLOOKUP("RIC"&amp;$C981,ESTR_PREC_SP!$A$2:$G$2000,4,FALSE))=TRUE,0,VLOOKUP("RIC"&amp;$C981,ESTR_PREC_SP!$A$2:$G$2000,4,FALSE))</f>
        <v>0</v>
      </c>
      <c r="S981" s="527"/>
      <c r="T981" s="545"/>
      <c r="U981" s="527"/>
      <c r="V981" s="527"/>
      <c r="W981" s="527"/>
      <c r="X981" s="527"/>
      <c r="Y981" s="527"/>
      <c r="Z981" s="529">
        <f>+R981+S981+U981+V981-X981-Y981+W981+Q981</f>
        <v>0</v>
      </c>
      <c r="AA981" s="546"/>
      <c r="AB981" s="545"/>
      <c r="AC981" s="520"/>
      <c r="AD981" s="520"/>
      <c r="AE981" s="520"/>
      <c r="AF981" s="520"/>
      <c r="AG981" s="526">
        <f>+Z981-SUM(AC981:AF981)</f>
        <v>0</v>
      </c>
      <c r="AH981" s="526">
        <f>+Z981-SUM(AI981:AJ981)</f>
        <v>0</v>
      </c>
      <c r="AI981" s="520"/>
      <c r="AJ981" s="520"/>
    </row>
    <row r="982" spans="1:36" s="204" customFormat="1" ht="26.25" x14ac:dyDescent="0.25">
      <c r="A982" s="535" t="s">
        <v>3681</v>
      </c>
      <c r="B982" s="536" t="s">
        <v>2478</v>
      </c>
      <c r="C982" s="536" t="s">
        <v>2479</v>
      </c>
      <c r="D982" s="536"/>
      <c r="E982" s="536"/>
      <c r="F982" s="536"/>
      <c r="G982" s="536"/>
      <c r="H982" s="536"/>
      <c r="I982" s="536"/>
      <c r="J982" s="536"/>
      <c r="K982" s="536"/>
      <c r="L982" s="536" t="s">
        <v>2481</v>
      </c>
      <c r="M982" s="284" t="s">
        <v>2962</v>
      </c>
      <c r="N982" s="408">
        <f>+R982</f>
        <v>0</v>
      </c>
      <c r="O982" s="408">
        <f>+Z982</f>
        <v>0</v>
      </c>
      <c r="P982" s="271">
        <f t="shared" si="188"/>
        <v>0</v>
      </c>
      <c r="Q982" s="527"/>
      <c r="R982" s="354">
        <f>IF(ISERROR(VLOOKUP("RIC"&amp;$C982,ESTR_PREC_SP!$A$2:$G$2000,4,FALSE))=TRUE,0,VLOOKUP("RIC"&amp;$C982,ESTR_PREC_SP!$A$2:$G$2000,4,FALSE))</f>
        <v>0</v>
      </c>
      <c r="S982" s="527"/>
      <c r="T982" s="545"/>
      <c r="U982" s="527"/>
      <c r="V982" s="527"/>
      <c r="W982" s="527"/>
      <c r="X982" s="527"/>
      <c r="Y982" s="527"/>
      <c r="Z982" s="529">
        <f>+R982+S982+U982+V982-X982-Y982+W982+Q982</f>
        <v>0</v>
      </c>
      <c r="AA982" s="546"/>
      <c r="AB982" s="545"/>
      <c r="AC982" s="520"/>
      <c r="AD982" s="520"/>
      <c r="AE982" s="520"/>
      <c r="AF982" s="520"/>
      <c r="AG982" s="526">
        <f>+Z982-SUM(AC982:AF982)</f>
        <v>0</v>
      </c>
      <c r="AH982" s="526">
        <f>+Z982-SUM(AI982:AJ982)</f>
        <v>0</v>
      </c>
      <c r="AI982" s="520"/>
      <c r="AJ982" s="520"/>
    </row>
    <row r="983" spans="1:36" s="204" customFormat="1" ht="39" x14ac:dyDescent="0.25">
      <c r="A983" s="535" t="s">
        <v>3681</v>
      </c>
      <c r="B983" s="536" t="s">
        <v>2482</v>
      </c>
      <c r="C983" s="536" t="s">
        <v>2483</v>
      </c>
      <c r="D983" s="536"/>
      <c r="E983" s="536"/>
      <c r="F983" s="536"/>
      <c r="G983" s="536"/>
      <c r="H983" s="536"/>
      <c r="I983" s="536"/>
      <c r="J983" s="536"/>
      <c r="K983" s="536"/>
      <c r="L983" s="536" t="s">
        <v>2485</v>
      </c>
      <c r="M983" s="284" t="s">
        <v>2962</v>
      </c>
      <c r="N983" s="408">
        <f>+R983</f>
        <v>0</v>
      </c>
      <c r="O983" s="408">
        <f>+Z983</f>
        <v>0</v>
      </c>
      <c r="P983" s="271">
        <f t="shared" si="188"/>
        <v>0</v>
      </c>
      <c r="Q983" s="527"/>
      <c r="R983" s="354">
        <f>IF(ISERROR(VLOOKUP("RIC"&amp;$C983,ESTR_PREC_SP!$A$2:$G$2000,4,FALSE))=TRUE,0,VLOOKUP("RIC"&amp;$C983,ESTR_PREC_SP!$A$2:$G$2000,4,FALSE))</f>
        <v>0</v>
      </c>
      <c r="S983" s="527"/>
      <c r="T983" s="545"/>
      <c r="U983" s="527"/>
      <c r="V983" s="527"/>
      <c r="W983" s="527"/>
      <c r="X983" s="527"/>
      <c r="Y983" s="527"/>
      <c r="Z983" s="529">
        <f>+R983+S983+U983+V983-X983-Y983+W983+Q983</f>
        <v>0</v>
      </c>
      <c r="AA983" s="546"/>
      <c r="AB983" s="545"/>
      <c r="AC983" s="520"/>
      <c r="AD983" s="520"/>
      <c r="AE983" s="520"/>
      <c r="AF983" s="520"/>
      <c r="AG983" s="526">
        <f>+Z983-SUM(AC983:AF983)</f>
        <v>0</v>
      </c>
      <c r="AH983" s="526">
        <f>+Z983-SUM(AI983:AJ983)</f>
        <v>0</v>
      </c>
      <c r="AI983" s="520"/>
      <c r="AJ983" s="520"/>
    </row>
    <row r="984" spans="1:36" s="204" customFormat="1" ht="26.25" x14ac:dyDescent="0.25">
      <c r="A984" s="535" t="s">
        <v>3681</v>
      </c>
      <c r="B984" s="536" t="s">
        <v>2486</v>
      </c>
      <c r="C984" s="536" t="s">
        <v>2487</v>
      </c>
      <c r="D984" s="536"/>
      <c r="E984" s="536"/>
      <c r="F984" s="536"/>
      <c r="G984" s="536"/>
      <c r="H984" s="536"/>
      <c r="I984" s="536"/>
      <c r="J984" s="536"/>
      <c r="K984" s="536"/>
      <c r="L984" s="536" t="s">
        <v>2489</v>
      </c>
      <c r="M984" s="284" t="s">
        <v>2962</v>
      </c>
      <c r="N984" s="408">
        <f>+R984</f>
        <v>0</v>
      </c>
      <c r="O984" s="408">
        <f>+Z984</f>
        <v>0</v>
      </c>
      <c r="P984" s="271">
        <f t="shared" si="188"/>
        <v>0</v>
      </c>
      <c r="Q984" s="527"/>
      <c r="R984" s="354">
        <f>IF(ISERROR(VLOOKUP("RIC"&amp;$C984,ESTR_PREC_SP!$A$2:$G$2000,4,FALSE))=TRUE,0,VLOOKUP("RIC"&amp;$C984,ESTR_PREC_SP!$A$2:$G$2000,4,FALSE))</f>
        <v>0</v>
      </c>
      <c r="S984" s="527"/>
      <c r="T984" s="545"/>
      <c r="U984" s="527"/>
      <c r="V984" s="527"/>
      <c r="W984" s="527"/>
      <c r="X984" s="527"/>
      <c r="Y984" s="527"/>
      <c r="Z984" s="529">
        <f>+R984+S984+U984+V984-X984-Y984+W984+Q984</f>
        <v>0</v>
      </c>
      <c r="AA984" s="546"/>
      <c r="AB984" s="545"/>
      <c r="AC984" s="520"/>
      <c r="AD984" s="520"/>
      <c r="AE984" s="520"/>
      <c r="AF984" s="520"/>
      <c r="AG984" s="526">
        <f>+Z984-SUM(AC984:AF984)</f>
        <v>0</v>
      </c>
      <c r="AH984" s="526">
        <f>+Z984-SUM(AI984:AJ984)</f>
        <v>0</v>
      </c>
      <c r="AI984" s="520"/>
      <c r="AJ984" s="520"/>
    </row>
    <row r="985" spans="1:36" s="204" customFormat="1" x14ac:dyDescent="0.25">
      <c r="B985" s="381"/>
      <c r="C985" s="381"/>
      <c r="D985" s="382"/>
      <c r="E985" s="382"/>
      <c r="F985" s="382"/>
      <c r="G985" s="382"/>
      <c r="H985" s="382"/>
      <c r="I985" s="382"/>
      <c r="J985" s="382"/>
      <c r="K985" s="382"/>
      <c r="L985" s="505"/>
      <c r="M985" s="216"/>
      <c r="N985" s="383"/>
      <c r="O985" s="383"/>
      <c r="P985" s="384"/>
      <c r="Q985" s="216"/>
      <c r="R985" s="275"/>
      <c r="S985" s="216"/>
      <c r="T985" s="216"/>
      <c r="U985" s="216"/>
      <c r="V985" s="216"/>
      <c r="W985" s="216"/>
      <c r="X985" s="216"/>
      <c r="Z985" s="216"/>
      <c r="AA985" s="216"/>
      <c r="AB985" s="216"/>
      <c r="AC985" s="216"/>
      <c r="AD985" s="216"/>
    </row>
    <row r="986" spans="1:36" s="204" customFormat="1" ht="25.5" x14ac:dyDescent="0.25">
      <c r="B986" s="246" t="s">
        <v>2490</v>
      </c>
      <c r="C986" s="246" t="s">
        <v>2491</v>
      </c>
      <c r="D986" s="247" t="s">
        <v>4059</v>
      </c>
      <c r="E986" s="247"/>
      <c r="F986" s="247"/>
      <c r="G986" s="247"/>
      <c r="H986" s="248"/>
      <c r="I986" s="247"/>
      <c r="J986" s="247"/>
      <c r="K986" s="249"/>
      <c r="L986" s="441" t="s">
        <v>2494</v>
      </c>
      <c r="M986" s="251" t="s">
        <v>2962</v>
      </c>
      <c r="N986" s="252">
        <f>+N990+N993+N994</f>
        <v>0</v>
      </c>
      <c r="O986" s="252">
        <f>+O990+O993+O994</f>
        <v>0</v>
      </c>
      <c r="P986" s="253">
        <f>+O986-N986</f>
        <v>0</v>
      </c>
      <c r="Q986" s="216"/>
      <c r="R986" s="252">
        <f t="shared" ref="R986:AJ986" si="201">+R990+R993+R994</f>
        <v>0</v>
      </c>
      <c r="S986" s="252">
        <f t="shared" si="201"/>
        <v>0</v>
      </c>
      <c r="T986" s="252">
        <f t="shared" si="201"/>
        <v>0</v>
      </c>
      <c r="U986" s="252">
        <f t="shared" si="201"/>
        <v>0</v>
      </c>
      <c r="V986" s="252">
        <f t="shared" si="201"/>
        <v>0</v>
      </c>
      <c r="W986" s="252">
        <f t="shared" si="201"/>
        <v>0</v>
      </c>
      <c r="X986" s="252">
        <f t="shared" si="201"/>
        <v>0</v>
      </c>
      <c r="Y986" s="252">
        <f t="shared" si="201"/>
        <v>0</v>
      </c>
      <c r="Z986" s="252">
        <f t="shared" si="201"/>
        <v>0</v>
      </c>
      <c r="AA986" s="252">
        <f t="shared" si="201"/>
        <v>0</v>
      </c>
      <c r="AB986" s="252">
        <f t="shared" si="201"/>
        <v>0</v>
      </c>
      <c r="AC986" s="252">
        <f t="shared" si="201"/>
        <v>0</v>
      </c>
      <c r="AD986" s="252">
        <f t="shared" si="201"/>
        <v>0</v>
      </c>
      <c r="AE986" s="252">
        <f t="shared" si="201"/>
        <v>0</v>
      </c>
      <c r="AF986" s="252">
        <f t="shared" si="201"/>
        <v>0</v>
      </c>
      <c r="AG986" s="252">
        <f t="shared" si="201"/>
        <v>0</v>
      </c>
      <c r="AH986" s="252">
        <f t="shared" si="201"/>
        <v>0</v>
      </c>
      <c r="AI986" s="252">
        <f t="shared" si="201"/>
        <v>0</v>
      </c>
      <c r="AJ986" s="252">
        <f t="shared" si="201"/>
        <v>0</v>
      </c>
    </row>
    <row r="987" spans="1:36" s="204" customFormat="1" x14ac:dyDescent="0.25">
      <c r="B987" s="216"/>
      <c r="C987" s="216"/>
      <c r="D987" s="226"/>
      <c r="E987" s="226"/>
      <c r="F987" s="226"/>
      <c r="G987" s="226"/>
      <c r="H987" s="227"/>
      <c r="I987" s="226"/>
      <c r="J987" s="226"/>
      <c r="K987" s="226"/>
      <c r="L987" s="403"/>
      <c r="M987" s="278"/>
      <c r="N987" s="279"/>
      <c r="O987" s="279"/>
      <c r="P987" s="404"/>
      <c r="Q987" s="216"/>
      <c r="R987" s="279"/>
      <c r="S987" s="216"/>
      <c r="T987" s="216"/>
      <c r="U987" s="216"/>
      <c r="V987" s="216"/>
      <c r="W987" s="216"/>
      <c r="X987" s="216"/>
      <c r="Z987" s="216"/>
      <c r="AA987" s="216"/>
      <c r="AB987" s="216"/>
      <c r="AC987" s="216"/>
      <c r="AD987" s="216"/>
    </row>
    <row r="988" spans="1:36" s="204" customFormat="1" ht="15.75" customHeight="1" x14ac:dyDescent="0.25">
      <c r="B988" s="230"/>
      <c r="C988" s="230"/>
      <c r="D988" s="230"/>
      <c r="E988" s="230"/>
      <c r="F988" s="230"/>
      <c r="G988" s="230"/>
      <c r="H988" s="231"/>
      <c r="I988" s="230"/>
      <c r="J988" s="230"/>
      <c r="K988" s="230"/>
      <c r="L988" s="232"/>
      <c r="M988" s="211"/>
      <c r="N988" s="254"/>
      <c r="O988" s="211"/>
      <c r="P988" s="211"/>
      <c r="Q988" s="216"/>
      <c r="R988" s="211"/>
      <c r="S988" s="211"/>
      <c r="U988" s="902" t="s">
        <v>3495</v>
      </c>
      <c r="V988" s="902"/>
      <c r="W988" s="485"/>
      <c r="X988" s="903" t="s">
        <v>3496</v>
      </c>
      <c r="Y988" s="903"/>
      <c r="Z988" s="211"/>
      <c r="AA988" s="211"/>
      <c r="AB988" s="211"/>
      <c r="AC988" s="904" t="str">
        <f>+AC946</f>
        <v>VALORE DEI DEBITI AL 31/12/2020 PER ANNO DI FORMAZIONE</v>
      </c>
      <c r="AD988" s="904"/>
      <c r="AE988" s="904"/>
      <c r="AF988" s="904"/>
      <c r="AG988" s="904"/>
      <c r="AH988" s="905" t="str">
        <f>+AH946</f>
        <v>Debiti al 31/12/2020 per scadenza</v>
      </c>
      <c r="AI988" s="905"/>
      <c r="AJ988" s="905"/>
    </row>
    <row r="989" spans="1:36" s="204" customFormat="1" ht="63.75" x14ac:dyDescent="0.25">
      <c r="B989" s="506" t="s">
        <v>2968</v>
      </c>
      <c r="C989" s="506" t="s">
        <v>2969</v>
      </c>
      <c r="D989" s="500" t="s">
        <v>72</v>
      </c>
      <c r="E989" s="500"/>
      <c r="F989" s="500"/>
      <c r="G989" s="501"/>
      <c r="H989" s="501"/>
      <c r="I989" s="501"/>
      <c r="J989" s="501" t="s">
        <v>2957</v>
      </c>
      <c r="K989" s="500" t="s">
        <v>82</v>
      </c>
      <c r="L989" s="431" t="s">
        <v>3670</v>
      </c>
      <c r="M989" s="480"/>
      <c r="N989" s="256" t="str">
        <f>N$15</f>
        <v>Valore netto al 31/12/2019</v>
      </c>
      <c r="O989" s="256" t="str">
        <f>O$15</f>
        <v>Valore netto al 31/12/2020</v>
      </c>
      <c r="P989" s="256" t="str">
        <f>P$15</f>
        <v>Variazione</v>
      </c>
      <c r="Q989" s="262" t="s">
        <v>2971</v>
      </c>
      <c r="R989" s="346" t="s">
        <v>3517</v>
      </c>
      <c r="S989" s="262" t="s">
        <v>2972</v>
      </c>
      <c r="T989" s="486" t="s">
        <v>3995</v>
      </c>
      <c r="U989" s="337" t="s">
        <v>3996</v>
      </c>
      <c r="V989" s="337" t="s">
        <v>3495</v>
      </c>
      <c r="W989" s="262" t="s">
        <v>2975</v>
      </c>
      <c r="X989" s="338" t="s">
        <v>3498</v>
      </c>
      <c r="Y989" s="338" t="s">
        <v>3499</v>
      </c>
      <c r="Z989" s="346" t="s">
        <v>3815</v>
      </c>
      <c r="AA989" s="497" t="s">
        <v>3997</v>
      </c>
      <c r="AB989" s="377" t="s">
        <v>3998</v>
      </c>
      <c r="AC989" s="339" t="s">
        <v>3503</v>
      </c>
      <c r="AD989" s="339" t="s">
        <v>3504</v>
      </c>
      <c r="AE989" s="339" t="s">
        <v>3505</v>
      </c>
      <c r="AF989" s="339" t="s">
        <v>3506</v>
      </c>
      <c r="AG989" s="339" t="s">
        <v>3507</v>
      </c>
      <c r="AH989" s="340" t="s">
        <v>3508</v>
      </c>
      <c r="AI989" s="340" t="s">
        <v>3509</v>
      </c>
      <c r="AJ989" s="340" t="s">
        <v>3510</v>
      </c>
    </row>
    <row r="990" spans="1:36" s="204" customFormat="1" x14ac:dyDescent="0.25">
      <c r="B990" s="246" t="s">
        <v>2495</v>
      </c>
      <c r="C990" s="287" t="s">
        <v>2496</v>
      </c>
      <c r="D990" s="284" t="s">
        <v>4060</v>
      </c>
      <c r="E990" s="274"/>
      <c r="F990" s="437"/>
      <c r="G990" s="437"/>
      <c r="H990" s="437"/>
      <c r="I990" s="437"/>
      <c r="J990" s="437"/>
      <c r="K990" s="437"/>
      <c r="L990" s="295" t="s">
        <v>2498</v>
      </c>
      <c r="M990" s="284" t="s">
        <v>2962</v>
      </c>
      <c r="N990" s="378">
        <f>SUM(N991:N992)</f>
        <v>0</v>
      </c>
      <c r="O990" s="378">
        <f>SUM(O991:O992)</f>
        <v>0</v>
      </c>
      <c r="P990" s="378">
        <f t="shared" ref="P990:P996" si="202">+O990-N990</f>
        <v>0</v>
      </c>
      <c r="Q990" s="378">
        <f t="shared" ref="Q990:AF990" si="203">SUM(Q991:Q992)</f>
        <v>0</v>
      </c>
      <c r="R990" s="378">
        <f t="shared" si="203"/>
        <v>0</v>
      </c>
      <c r="S990" s="378">
        <f t="shared" si="203"/>
        <v>0</v>
      </c>
      <c r="T990" s="378">
        <f t="shared" si="203"/>
        <v>0</v>
      </c>
      <c r="U990" s="378">
        <f t="shared" si="203"/>
        <v>0</v>
      </c>
      <c r="V990" s="378">
        <f t="shared" si="203"/>
        <v>0</v>
      </c>
      <c r="W990" s="378">
        <f t="shared" si="203"/>
        <v>0</v>
      </c>
      <c r="X990" s="378">
        <f t="shared" si="203"/>
        <v>0</v>
      </c>
      <c r="Y990" s="378">
        <f t="shared" si="203"/>
        <v>0</v>
      </c>
      <c r="Z990" s="378">
        <f t="shared" si="203"/>
        <v>0</v>
      </c>
      <c r="AA990" s="378">
        <f t="shared" si="203"/>
        <v>0</v>
      </c>
      <c r="AB990" s="378">
        <f t="shared" si="203"/>
        <v>0</v>
      </c>
      <c r="AC990" s="378">
        <f t="shared" si="203"/>
        <v>0</v>
      </c>
      <c r="AD990" s="378">
        <f t="shared" si="203"/>
        <v>0</v>
      </c>
      <c r="AE990" s="378">
        <f t="shared" si="203"/>
        <v>0</v>
      </c>
      <c r="AF990" s="378">
        <f t="shared" si="203"/>
        <v>0</v>
      </c>
      <c r="AG990" s="537">
        <f t="shared" ref="AG990:AG996" si="204">+Z990-SUM(AC990:AF990)</f>
        <v>0</v>
      </c>
      <c r="AH990" s="537">
        <f t="shared" ref="AH990:AH996" si="205">+Z990-SUM(AI990:AJ990)</f>
        <v>0</v>
      </c>
      <c r="AI990" s="378">
        <f>SUM(AI991:AI992)</f>
        <v>0</v>
      </c>
      <c r="AJ990" s="378">
        <f>SUM(AJ991:AJ992)</f>
        <v>0</v>
      </c>
    </row>
    <row r="991" spans="1:36" s="204" customFormat="1" x14ac:dyDescent="0.25">
      <c r="B991" s="246" t="s">
        <v>2499</v>
      </c>
      <c r="C991" s="287" t="s">
        <v>2500</v>
      </c>
      <c r="D991" s="284" t="s">
        <v>4061</v>
      </c>
      <c r="E991" s="274"/>
      <c r="F991" s="437"/>
      <c r="G991" s="437"/>
      <c r="H991" s="437"/>
      <c r="I991" s="437"/>
      <c r="J991" s="437"/>
      <c r="K991" s="437"/>
      <c r="L991" s="406" t="s">
        <v>4062</v>
      </c>
      <c r="M991" s="284" t="s">
        <v>2962</v>
      </c>
      <c r="N991" s="408">
        <f>+R991</f>
        <v>0</v>
      </c>
      <c r="O991" s="408">
        <f>+Z991</f>
        <v>0</v>
      </c>
      <c r="P991" s="271">
        <f t="shared" si="202"/>
        <v>0</v>
      </c>
      <c r="Q991" s="527"/>
      <c r="R991" s="354">
        <f>IF(ISERROR(VLOOKUP("RIC"&amp;$C991,ESTR_PREC_SP!$A$2:$G$2000,4,FALSE))=TRUE,0,VLOOKUP("RIC"&amp;$C991,ESTR_PREC_SP!$A$2:$G$2000,4,FALSE))</f>
        <v>0</v>
      </c>
      <c r="S991" s="545"/>
      <c r="T991" s="527"/>
      <c r="U991" s="527"/>
      <c r="V991" s="527"/>
      <c r="W991" s="527"/>
      <c r="X991" s="527"/>
      <c r="Y991" s="527"/>
      <c r="Z991" s="529">
        <f>+R991+S991+U991+V991-X991-Y991+W991+Q991</f>
        <v>0</v>
      </c>
      <c r="AA991" s="546"/>
      <c r="AB991" s="545"/>
      <c r="AC991" s="520"/>
      <c r="AD991" s="520"/>
      <c r="AE991" s="520"/>
      <c r="AF991" s="520"/>
      <c r="AG991" s="526">
        <f t="shared" si="204"/>
        <v>0</v>
      </c>
      <c r="AH991" s="526">
        <f t="shared" si="205"/>
        <v>0</v>
      </c>
      <c r="AI991" s="520"/>
      <c r="AJ991" s="520"/>
    </row>
    <row r="992" spans="1:36" s="204" customFormat="1" x14ac:dyDescent="0.25">
      <c r="B992" s="246" t="s">
        <v>2502</v>
      </c>
      <c r="C992" s="287" t="s">
        <v>2503</v>
      </c>
      <c r="D992" s="284" t="s">
        <v>4063</v>
      </c>
      <c r="E992" s="274"/>
      <c r="F992" s="437"/>
      <c r="G992" s="437"/>
      <c r="H992" s="437"/>
      <c r="I992" s="437"/>
      <c r="J992" s="437"/>
      <c r="K992" s="437"/>
      <c r="L992" s="406" t="s">
        <v>4064</v>
      </c>
      <c r="M992" s="284" t="s">
        <v>2962</v>
      </c>
      <c r="N992" s="408">
        <f>+R992</f>
        <v>0</v>
      </c>
      <c r="O992" s="408">
        <f>+Z992</f>
        <v>0</v>
      </c>
      <c r="P992" s="271">
        <f t="shared" si="202"/>
        <v>0</v>
      </c>
      <c r="Q992" s="527"/>
      <c r="R992" s="354">
        <f>IF(ISERROR(VLOOKUP("RIC"&amp;$C992,ESTR_PREC_SP!$A$2:$G$2000,4,FALSE))=TRUE,0,VLOOKUP("RIC"&amp;$C992,ESTR_PREC_SP!$A$2:$G$2000,4,FALSE))</f>
        <v>0</v>
      </c>
      <c r="S992" s="545"/>
      <c r="T992" s="527"/>
      <c r="U992" s="527"/>
      <c r="V992" s="527"/>
      <c r="W992" s="527"/>
      <c r="X992" s="527"/>
      <c r="Y992" s="527"/>
      <c r="Z992" s="529">
        <f>+R992+S992+U992+V992-X992-Y992+W992+Q992</f>
        <v>0</v>
      </c>
      <c r="AA992" s="546"/>
      <c r="AB992" s="545"/>
      <c r="AC992" s="520"/>
      <c r="AD992" s="520"/>
      <c r="AE992" s="520"/>
      <c r="AF992" s="520"/>
      <c r="AG992" s="526">
        <f t="shared" si="204"/>
        <v>0</v>
      </c>
      <c r="AH992" s="526">
        <f t="shared" si="205"/>
        <v>0</v>
      </c>
      <c r="AI992" s="520"/>
      <c r="AJ992" s="520"/>
    </row>
    <row r="993" spans="2:36" s="204" customFormat="1" x14ac:dyDescent="0.25">
      <c r="B993" s="246" t="s">
        <v>2505</v>
      </c>
      <c r="C993" s="287" t="s">
        <v>2506</v>
      </c>
      <c r="D993" s="284" t="s">
        <v>4065</v>
      </c>
      <c r="E993" s="274"/>
      <c r="F993" s="437"/>
      <c r="G993" s="437"/>
      <c r="H993" s="437"/>
      <c r="I993" s="437"/>
      <c r="J993" s="437"/>
      <c r="K993" s="437"/>
      <c r="L993" s="295" t="s">
        <v>2508</v>
      </c>
      <c r="M993" s="284" t="s">
        <v>2962</v>
      </c>
      <c r="N993" s="408">
        <f>+R993</f>
        <v>0</v>
      </c>
      <c r="O993" s="408">
        <f>+Z993</f>
        <v>0</v>
      </c>
      <c r="P993" s="271">
        <f t="shared" si="202"/>
        <v>0</v>
      </c>
      <c r="Q993" s="527"/>
      <c r="R993" s="354">
        <f>IF(ISERROR(VLOOKUP("RIC"&amp;$C993,ESTR_PREC_SP!$A$2:$G$2000,4,FALSE))=TRUE,0,VLOOKUP("RIC"&amp;$C993,ESTR_PREC_SP!$A$2:$G$2000,4,FALSE))</f>
        <v>0</v>
      </c>
      <c r="S993" s="545"/>
      <c r="T993" s="527"/>
      <c r="U993" s="527"/>
      <c r="V993" s="527"/>
      <c r="W993" s="527"/>
      <c r="X993" s="527"/>
      <c r="Y993" s="527"/>
      <c r="Z993" s="529">
        <f>+R993+S993+U993+V993-X993-Y993+W993+Q993</f>
        <v>0</v>
      </c>
      <c r="AA993" s="546"/>
      <c r="AB993" s="545"/>
      <c r="AC993" s="520"/>
      <c r="AD993" s="520"/>
      <c r="AE993" s="520"/>
      <c r="AF993" s="520"/>
      <c r="AG993" s="526">
        <f t="shared" si="204"/>
        <v>0</v>
      </c>
      <c r="AH993" s="526">
        <f t="shared" si="205"/>
        <v>0</v>
      </c>
      <c r="AI993" s="520"/>
      <c r="AJ993" s="520"/>
    </row>
    <row r="994" spans="2:36" s="204" customFormat="1" x14ac:dyDescent="0.25">
      <c r="B994" s="246" t="s">
        <v>2509</v>
      </c>
      <c r="C994" s="287" t="s">
        <v>2510</v>
      </c>
      <c r="D994" s="284" t="s">
        <v>4066</v>
      </c>
      <c r="E994" s="274"/>
      <c r="F994" s="437"/>
      <c r="G994" s="437"/>
      <c r="H994" s="437"/>
      <c r="I994" s="437"/>
      <c r="J994" s="437"/>
      <c r="K994" s="437"/>
      <c r="L994" s="295" t="s">
        <v>2512</v>
      </c>
      <c r="M994" s="284" t="s">
        <v>2962</v>
      </c>
      <c r="N994" s="378">
        <f>SUM(N995:N996)</f>
        <v>0</v>
      </c>
      <c r="O994" s="378">
        <f>SUM(O995:O996)</f>
        <v>0</v>
      </c>
      <c r="P994" s="378">
        <f t="shared" si="202"/>
        <v>0</v>
      </c>
      <c r="Q994" s="378">
        <f t="shared" ref="Q994:AF994" si="206">SUM(Q995:Q996)</f>
        <v>0</v>
      </c>
      <c r="R994" s="378">
        <f t="shared" si="206"/>
        <v>0</v>
      </c>
      <c r="S994" s="378">
        <f t="shared" si="206"/>
        <v>0</v>
      </c>
      <c r="T994" s="378">
        <f t="shared" si="206"/>
        <v>0</v>
      </c>
      <c r="U994" s="378">
        <f t="shared" si="206"/>
        <v>0</v>
      </c>
      <c r="V994" s="378">
        <f t="shared" si="206"/>
        <v>0</v>
      </c>
      <c r="W994" s="378">
        <f t="shared" si="206"/>
        <v>0</v>
      </c>
      <c r="X994" s="378">
        <f t="shared" si="206"/>
        <v>0</v>
      </c>
      <c r="Y994" s="378">
        <f t="shared" si="206"/>
        <v>0</v>
      </c>
      <c r="Z994" s="378">
        <f t="shared" si="206"/>
        <v>0</v>
      </c>
      <c r="AA994" s="378">
        <f t="shared" si="206"/>
        <v>0</v>
      </c>
      <c r="AB994" s="378">
        <f t="shared" si="206"/>
        <v>0</v>
      </c>
      <c r="AC994" s="378">
        <f t="shared" si="206"/>
        <v>0</v>
      </c>
      <c r="AD994" s="378">
        <f t="shared" si="206"/>
        <v>0</v>
      </c>
      <c r="AE994" s="378">
        <f t="shared" si="206"/>
        <v>0</v>
      </c>
      <c r="AF994" s="378">
        <f t="shared" si="206"/>
        <v>0</v>
      </c>
      <c r="AG994" s="537">
        <f t="shared" si="204"/>
        <v>0</v>
      </c>
      <c r="AH994" s="537">
        <f t="shared" si="205"/>
        <v>0</v>
      </c>
      <c r="AI994" s="378">
        <f>SUM(AI995:AI996)</f>
        <v>0</v>
      </c>
      <c r="AJ994" s="378">
        <f>SUM(AJ995:AJ996)</f>
        <v>0</v>
      </c>
    </row>
    <row r="995" spans="2:36" s="204" customFormat="1" x14ac:dyDescent="0.25">
      <c r="B995" s="246" t="s">
        <v>2513</v>
      </c>
      <c r="C995" s="287" t="s">
        <v>2514</v>
      </c>
      <c r="D995" s="284" t="s">
        <v>4067</v>
      </c>
      <c r="E995" s="274"/>
      <c r="F995" s="437"/>
      <c r="G995" s="437"/>
      <c r="H995" s="437"/>
      <c r="I995" s="437"/>
      <c r="J995" s="437"/>
      <c r="K995" s="437"/>
      <c r="L995" s="406" t="s">
        <v>4068</v>
      </c>
      <c r="M995" s="284" t="s">
        <v>2962</v>
      </c>
      <c r="N995" s="408">
        <f>+R995</f>
        <v>0</v>
      </c>
      <c r="O995" s="408">
        <f>+Z995</f>
        <v>0</v>
      </c>
      <c r="P995" s="271">
        <f t="shared" si="202"/>
        <v>0</v>
      </c>
      <c r="Q995" s="527"/>
      <c r="R995" s="354">
        <f>IF(ISERROR(VLOOKUP("RIC"&amp;$C995,ESTR_PREC_SP!$A$2:$G$2000,4,FALSE))=TRUE,0,VLOOKUP("RIC"&amp;$C995,ESTR_PREC_SP!$A$2:$G$2000,4,FALSE))</f>
        <v>0</v>
      </c>
      <c r="S995" s="545"/>
      <c r="T995" s="527"/>
      <c r="U995" s="527"/>
      <c r="V995" s="527"/>
      <c r="W995" s="527"/>
      <c r="X995" s="527"/>
      <c r="Y995" s="527"/>
      <c r="Z995" s="529">
        <f>+R995+S995+U995+V995-X995-Y995+W995+Q995</f>
        <v>0</v>
      </c>
      <c r="AA995" s="546"/>
      <c r="AB995" s="545"/>
      <c r="AC995" s="520"/>
      <c r="AD995" s="520"/>
      <c r="AE995" s="520"/>
      <c r="AF995" s="520"/>
      <c r="AG995" s="526">
        <f t="shared" si="204"/>
        <v>0</v>
      </c>
      <c r="AH995" s="526">
        <f t="shared" si="205"/>
        <v>0</v>
      </c>
      <c r="AI995" s="520"/>
      <c r="AJ995" s="520"/>
    </row>
    <row r="996" spans="2:36" s="204" customFormat="1" x14ac:dyDescent="0.25">
      <c r="B996" s="246" t="s">
        <v>2516</v>
      </c>
      <c r="C996" s="287" t="s">
        <v>2517</v>
      </c>
      <c r="D996" s="284" t="s">
        <v>4069</v>
      </c>
      <c r="E996" s="274"/>
      <c r="F996" s="437"/>
      <c r="G996" s="437"/>
      <c r="H996" s="437"/>
      <c r="I996" s="437"/>
      <c r="J996" s="437"/>
      <c r="K996" s="437"/>
      <c r="L996" s="406" t="s">
        <v>4070</v>
      </c>
      <c r="M996" s="284" t="s">
        <v>2962</v>
      </c>
      <c r="N996" s="408">
        <f>+R996</f>
        <v>0</v>
      </c>
      <c r="O996" s="408">
        <f>+Z996</f>
        <v>0</v>
      </c>
      <c r="P996" s="271">
        <f t="shared" si="202"/>
        <v>0</v>
      </c>
      <c r="Q996" s="527"/>
      <c r="R996" s="354">
        <f>IF(ISERROR(VLOOKUP("RIC"&amp;$C996,ESTR_PREC_SP!$A$2:$G$2000,4,FALSE))=TRUE,0,VLOOKUP("RIC"&amp;$C996,ESTR_PREC_SP!$A$2:$G$2000,4,FALSE))</f>
        <v>0</v>
      </c>
      <c r="S996" s="545"/>
      <c r="T996" s="527"/>
      <c r="U996" s="527"/>
      <c r="V996" s="527"/>
      <c r="W996" s="527"/>
      <c r="X996" s="527"/>
      <c r="Y996" s="527"/>
      <c r="Z996" s="529">
        <f>+R996+S996+U996+V996-X996-Y996+W996+Q996</f>
        <v>0</v>
      </c>
      <c r="AA996" s="546"/>
      <c r="AB996" s="545"/>
      <c r="AC996" s="520"/>
      <c r="AD996" s="520"/>
      <c r="AE996" s="520"/>
      <c r="AF996" s="520"/>
      <c r="AG996" s="526">
        <f t="shared" si="204"/>
        <v>0</v>
      </c>
      <c r="AH996" s="526">
        <f t="shared" si="205"/>
        <v>0</v>
      </c>
      <c r="AI996" s="520"/>
      <c r="AJ996" s="520"/>
    </row>
    <row r="997" spans="2:36" s="204" customFormat="1" x14ac:dyDescent="0.25">
      <c r="B997" s="381"/>
      <c r="C997" s="381"/>
      <c r="D997" s="382"/>
      <c r="E997" s="382"/>
      <c r="F997" s="382"/>
      <c r="G997" s="382"/>
      <c r="H997" s="382"/>
      <c r="I997" s="382"/>
      <c r="J997" s="382"/>
      <c r="K997" s="382"/>
      <c r="L997" s="505"/>
      <c r="M997" s="216"/>
      <c r="N997" s="383"/>
      <c r="O997" s="383"/>
      <c r="P997" s="384"/>
      <c r="Q997" s="216"/>
      <c r="R997" s="275"/>
      <c r="S997" s="216"/>
      <c r="T997" s="216"/>
      <c r="U997" s="216"/>
      <c r="V997" s="216"/>
      <c r="W997" s="216"/>
      <c r="X997" s="216"/>
      <c r="Z997" s="216"/>
      <c r="AA997" s="216"/>
      <c r="AB997" s="216"/>
      <c r="AC997" s="216"/>
      <c r="AD997" s="216"/>
    </row>
    <row r="998" spans="2:36" s="204" customFormat="1" x14ac:dyDescent="0.25">
      <c r="B998" s="302"/>
      <c r="C998" s="302"/>
      <c r="D998" s="226"/>
      <c r="E998" s="226"/>
      <c r="F998" s="226"/>
      <c r="G998" s="226"/>
      <c r="H998" s="227"/>
      <c r="I998" s="226"/>
      <c r="J998" s="226"/>
      <c r="K998" s="226"/>
      <c r="L998" s="315"/>
      <c r="M998" s="216"/>
      <c r="N998" s="254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Z998" s="216"/>
      <c r="AA998" s="216"/>
      <c r="AB998" s="216"/>
      <c r="AC998" s="216"/>
      <c r="AD998" s="216"/>
    </row>
    <row r="999" spans="2:36" s="204" customFormat="1" x14ac:dyDescent="0.25">
      <c r="B999" s="246" t="s">
        <v>2519</v>
      </c>
      <c r="C999" s="292" t="s">
        <v>2520</v>
      </c>
      <c r="D999" s="247" t="s">
        <v>4071</v>
      </c>
      <c r="E999" s="247"/>
      <c r="F999" s="247"/>
      <c r="G999" s="247"/>
      <c r="H999" s="248"/>
      <c r="I999" s="247"/>
      <c r="J999" s="247"/>
      <c r="K999" s="249"/>
      <c r="L999" s="441" t="s">
        <v>2523</v>
      </c>
      <c r="M999" s="251" t="s">
        <v>2962</v>
      </c>
      <c r="N999" s="252">
        <f>+N1003+N1011</f>
        <v>0</v>
      </c>
      <c r="O999" s="252">
        <f>+O1003+O1011</f>
        <v>0</v>
      </c>
      <c r="P999" s="253">
        <f>+O999-N999</f>
        <v>0</v>
      </c>
      <c r="Q999" s="252">
        <f t="shared" ref="Q999:AJ999" si="207">+Q1003+Q1011</f>
        <v>0</v>
      </c>
      <c r="R999" s="252">
        <f t="shared" si="207"/>
        <v>0</v>
      </c>
      <c r="S999" s="252">
        <f t="shared" si="207"/>
        <v>0</v>
      </c>
      <c r="T999" s="252">
        <f t="shared" si="207"/>
        <v>0</v>
      </c>
      <c r="U999" s="252">
        <f t="shared" si="207"/>
        <v>0</v>
      </c>
      <c r="V999" s="252">
        <f t="shared" si="207"/>
        <v>0</v>
      </c>
      <c r="W999" s="252">
        <f t="shared" si="207"/>
        <v>0</v>
      </c>
      <c r="X999" s="252">
        <f t="shared" si="207"/>
        <v>0</v>
      </c>
      <c r="Y999" s="252">
        <f t="shared" si="207"/>
        <v>0</v>
      </c>
      <c r="Z999" s="252">
        <f t="shared" si="207"/>
        <v>0</v>
      </c>
      <c r="AA999" s="252">
        <f t="shared" si="207"/>
        <v>0</v>
      </c>
      <c r="AB999" s="252">
        <f t="shared" si="207"/>
        <v>0</v>
      </c>
      <c r="AC999" s="252">
        <f t="shared" si="207"/>
        <v>0</v>
      </c>
      <c r="AD999" s="252">
        <f t="shared" si="207"/>
        <v>0</v>
      </c>
      <c r="AE999" s="252">
        <f t="shared" si="207"/>
        <v>0</v>
      </c>
      <c r="AF999" s="252">
        <f t="shared" si="207"/>
        <v>0</v>
      </c>
      <c r="AG999" s="252">
        <f t="shared" si="207"/>
        <v>0</v>
      </c>
      <c r="AH999" s="252">
        <f t="shared" si="207"/>
        <v>0</v>
      </c>
      <c r="AI999" s="252">
        <f t="shared" si="207"/>
        <v>0</v>
      </c>
      <c r="AJ999" s="252">
        <f t="shared" si="207"/>
        <v>0</v>
      </c>
    </row>
    <row r="1000" spans="2:36" s="204" customFormat="1" x14ac:dyDescent="0.25">
      <c r="B1000" s="293"/>
      <c r="C1000" s="293"/>
      <c r="D1000" s="230"/>
      <c r="E1000" s="230"/>
      <c r="F1000" s="230"/>
      <c r="G1000" s="230"/>
      <c r="H1000" s="231"/>
      <c r="I1000" s="230"/>
      <c r="J1000" s="230"/>
      <c r="K1000" s="230"/>
      <c r="L1000" s="232"/>
      <c r="M1000" s="211"/>
      <c r="N1000" s="254"/>
      <c r="O1000" s="211"/>
      <c r="P1000" s="211"/>
      <c r="Q1000" s="216"/>
      <c r="R1000" s="216"/>
      <c r="S1000" s="216"/>
      <c r="T1000" s="216"/>
      <c r="U1000" s="216"/>
      <c r="V1000" s="216"/>
      <c r="W1000" s="216"/>
      <c r="X1000" s="216"/>
      <c r="Z1000" s="216"/>
      <c r="AA1000" s="216"/>
      <c r="AB1000" s="216"/>
      <c r="AC1000" s="216"/>
      <c r="AD1000" s="216"/>
    </row>
    <row r="1001" spans="2:36" s="204" customFormat="1" ht="15.75" customHeight="1" x14ac:dyDescent="0.25">
      <c r="B1001" s="293"/>
      <c r="C1001" s="293"/>
      <c r="D1001" s="230"/>
      <c r="E1001" s="230"/>
      <c r="F1001" s="230"/>
      <c r="G1001" s="230"/>
      <c r="H1001" s="231"/>
      <c r="I1001" s="230"/>
      <c r="J1001" s="230"/>
      <c r="K1001" s="230"/>
      <c r="L1001" s="232"/>
      <c r="M1001" s="211"/>
      <c r="N1001" s="254"/>
      <c r="O1001" s="211"/>
      <c r="P1001" s="211"/>
      <c r="Q1001" s="216"/>
      <c r="R1001" s="211"/>
      <c r="S1001" s="211"/>
      <c r="U1001" s="902" t="s">
        <v>3495</v>
      </c>
      <c r="V1001" s="902"/>
      <c r="W1001" s="485"/>
      <c r="X1001" s="903" t="s">
        <v>3496</v>
      </c>
      <c r="Y1001" s="903"/>
      <c r="Z1001" s="211"/>
      <c r="AA1001" s="211"/>
      <c r="AB1001" s="211"/>
      <c r="AC1001" s="904" t="str">
        <f>+AC988</f>
        <v>VALORE DEI DEBITI AL 31/12/2020 PER ANNO DI FORMAZIONE</v>
      </c>
      <c r="AD1001" s="904"/>
      <c r="AE1001" s="904"/>
      <c r="AF1001" s="904"/>
      <c r="AG1001" s="904"/>
      <c r="AH1001" s="905" t="str">
        <f>+AH988</f>
        <v>Debiti al 31/12/2020 per scadenza</v>
      </c>
      <c r="AI1001" s="905"/>
      <c r="AJ1001" s="905"/>
    </row>
    <row r="1002" spans="2:36" s="204" customFormat="1" ht="63.75" x14ac:dyDescent="0.25">
      <c r="B1002" s="294" t="s">
        <v>2968</v>
      </c>
      <c r="C1002" s="294" t="s">
        <v>2969</v>
      </c>
      <c r="D1002" s="206" t="s">
        <v>72</v>
      </c>
      <c r="E1002" s="206"/>
      <c r="F1002" s="206"/>
      <c r="G1002" s="207"/>
      <c r="H1002" s="207"/>
      <c r="I1002" s="207"/>
      <c r="J1002" s="207" t="s">
        <v>2957</v>
      </c>
      <c r="K1002" s="206" t="s">
        <v>82</v>
      </c>
      <c r="L1002" s="261" t="s">
        <v>3670</v>
      </c>
      <c r="M1002" s="480"/>
      <c r="N1002" s="256" t="str">
        <f>N$15</f>
        <v>Valore netto al 31/12/2019</v>
      </c>
      <c r="O1002" s="256" t="str">
        <f>O$15</f>
        <v>Valore netto al 31/12/2020</v>
      </c>
      <c r="P1002" s="256" t="str">
        <f>P$15</f>
        <v>Variazione</v>
      </c>
      <c r="Q1002" s="262" t="s">
        <v>2971</v>
      </c>
      <c r="R1002" s="346" t="s">
        <v>3517</v>
      </c>
      <c r="S1002" s="262" t="s">
        <v>2972</v>
      </c>
      <c r="T1002" s="486" t="s">
        <v>3995</v>
      </c>
      <c r="U1002" s="337" t="s">
        <v>3996</v>
      </c>
      <c r="V1002" s="337" t="s">
        <v>3495</v>
      </c>
      <c r="W1002" s="262" t="s">
        <v>2975</v>
      </c>
      <c r="X1002" s="338" t="s">
        <v>3498</v>
      </c>
      <c r="Y1002" s="338" t="s">
        <v>3499</v>
      </c>
      <c r="Z1002" s="346" t="s">
        <v>3815</v>
      </c>
      <c r="AA1002" s="497" t="s">
        <v>3997</v>
      </c>
      <c r="AB1002" s="377" t="s">
        <v>3998</v>
      </c>
      <c r="AC1002" s="339" t="s">
        <v>3503</v>
      </c>
      <c r="AD1002" s="339" t="s">
        <v>3504</v>
      </c>
      <c r="AE1002" s="339" t="s">
        <v>3505</v>
      </c>
      <c r="AF1002" s="339" t="s">
        <v>3506</v>
      </c>
      <c r="AG1002" s="339" t="s">
        <v>3507</v>
      </c>
      <c r="AH1002" s="340" t="s">
        <v>3508</v>
      </c>
      <c r="AI1002" s="340" t="s">
        <v>3509</v>
      </c>
      <c r="AJ1002" s="340" t="s">
        <v>3510</v>
      </c>
    </row>
    <row r="1003" spans="2:36" s="204" customFormat="1" ht="25.5" x14ac:dyDescent="0.25">
      <c r="B1003" s="246" t="s">
        <v>2524</v>
      </c>
      <c r="C1003" s="287" t="s">
        <v>2525</v>
      </c>
      <c r="D1003" s="284" t="s">
        <v>4072</v>
      </c>
      <c r="E1003" s="274"/>
      <c r="F1003" s="274"/>
      <c r="G1003" s="283"/>
      <c r="H1003" s="266"/>
      <c r="I1003" s="274"/>
      <c r="J1003" s="281"/>
      <c r="K1003" s="281"/>
      <c r="L1003" s="296" t="s">
        <v>2527</v>
      </c>
      <c r="M1003" s="284" t="s">
        <v>2962</v>
      </c>
      <c r="N1003" s="378">
        <f>SUM(N1004:N1010)</f>
        <v>0</v>
      </c>
      <c r="O1003" s="378">
        <f>SUM(O1004:O1010)</f>
        <v>0</v>
      </c>
      <c r="P1003" s="378">
        <f t="shared" ref="P1003:P1014" si="208">+O1003-N1003</f>
        <v>0</v>
      </c>
      <c r="Q1003" s="378">
        <f t="shared" ref="Q1003:AJ1003" si="209">SUM(Q1004:Q1010)</f>
        <v>0</v>
      </c>
      <c r="R1003" s="378">
        <f t="shared" si="209"/>
        <v>0</v>
      </c>
      <c r="S1003" s="378">
        <f t="shared" si="209"/>
        <v>0</v>
      </c>
      <c r="T1003" s="378">
        <f t="shared" si="209"/>
        <v>0</v>
      </c>
      <c r="U1003" s="378">
        <f t="shared" si="209"/>
        <v>0</v>
      </c>
      <c r="V1003" s="378">
        <f t="shared" si="209"/>
        <v>0</v>
      </c>
      <c r="W1003" s="378">
        <f t="shared" si="209"/>
        <v>0</v>
      </c>
      <c r="X1003" s="378">
        <f t="shared" si="209"/>
        <v>0</v>
      </c>
      <c r="Y1003" s="378">
        <f t="shared" si="209"/>
        <v>0</v>
      </c>
      <c r="Z1003" s="378">
        <f t="shared" si="209"/>
        <v>0</v>
      </c>
      <c r="AA1003" s="378">
        <f t="shared" si="209"/>
        <v>0</v>
      </c>
      <c r="AB1003" s="378">
        <f t="shared" si="209"/>
        <v>0</v>
      </c>
      <c r="AC1003" s="378">
        <f t="shared" si="209"/>
        <v>0</v>
      </c>
      <c r="AD1003" s="378">
        <f t="shared" si="209"/>
        <v>0</v>
      </c>
      <c r="AE1003" s="378">
        <f t="shared" si="209"/>
        <v>0</v>
      </c>
      <c r="AF1003" s="378">
        <f t="shared" si="209"/>
        <v>0</v>
      </c>
      <c r="AG1003" s="378">
        <f t="shared" si="209"/>
        <v>0</v>
      </c>
      <c r="AH1003" s="378">
        <f t="shared" si="209"/>
        <v>0</v>
      </c>
      <c r="AI1003" s="378">
        <f t="shared" si="209"/>
        <v>0</v>
      </c>
      <c r="AJ1003" s="378">
        <f t="shared" si="209"/>
        <v>0</v>
      </c>
    </row>
    <row r="1004" spans="2:36" s="204" customFormat="1" x14ac:dyDescent="0.25">
      <c r="B1004" s="246" t="s">
        <v>2528</v>
      </c>
      <c r="C1004" s="287" t="s">
        <v>2529</v>
      </c>
      <c r="D1004" s="284" t="s">
        <v>4073</v>
      </c>
      <c r="E1004" s="274"/>
      <c r="F1004" s="274"/>
      <c r="G1004" s="283"/>
      <c r="H1004" s="266"/>
      <c r="I1004" s="274"/>
      <c r="J1004" s="281"/>
      <c r="K1004" s="281"/>
      <c r="L1004" s="507" t="s">
        <v>4074</v>
      </c>
      <c r="M1004" s="284" t="s">
        <v>2962</v>
      </c>
      <c r="N1004" s="408">
        <f t="shared" ref="N1004:N1010" si="210">+R1004</f>
        <v>0</v>
      </c>
      <c r="O1004" s="408">
        <f t="shared" ref="O1004:O1010" si="211">+Z1004</f>
        <v>0</v>
      </c>
      <c r="P1004" s="271">
        <f t="shared" si="208"/>
        <v>0</v>
      </c>
      <c r="Q1004" s="527"/>
      <c r="R1004" s="354">
        <f>IF(ISERROR(VLOOKUP("RIC"&amp;$C1004,ESTR_PREC_SP!$A$2:$G$2000,4,FALSE))=TRUE,0,VLOOKUP("RIC"&amp;$C1004,ESTR_PREC_SP!$A$2:$G$2000,4,FALSE))</f>
        <v>0</v>
      </c>
      <c r="S1004" s="527"/>
      <c r="T1004" s="545"/>
      <c r="U1004" s="527"/>
      <c r="V1004" s="527"/>
      <c r="W1004" s="527"/>
      <c r="X1004" s="527"/>
      <c r="Y1004" s="527"/>
      <c r="Z1004" s="529">
        <f t="shared" ref="Z1004:Z1010" si="212">+R1004+S1004+U1004+V1004-X1004-Y1004+W1004+Q1004</f>
        <v>0</v>
      </c>
      <c r="AA1004" s="546"/>
      <c r="AB1004" s="545"/>
      <c r="AC1004" s="520"/>
      <c r="AD1004" s="520"/>
      <c r="AE1004" s="520"/>
      <c r="AF1004" s="520"/>
      <c r="AG1004" s="526">
        <f t="shared" ref="AG1004:AG1014" si="213">+Z1004-SUM(AC1004:AF1004)</f>
        <v>0</v>
      </c>
      <c r="AH1004" s="526">
        <f t="shared" ref="AH1004:AH1014" si="214">+Z1004-SUM(AI1004:AJ1004)</f>
        <v>0</v>
      </c>
      <c r="AI1004" s="520"/>
      <c r="AJ1004" s="520"/>
    </row>
    <row r="1005" spans="2:36" s="204" customFormat="1" x14ac:dyDescent="0.25">
      <c r="B1005" s="246" t="s">
        <v>2532</v>
      </c>
      <c r="C1005" s="287" t="s">
        <v>2533</v>
      </c>
      <c r="D1005" s="284" t="s">
        <v>4075</v>
      </c>
      <c r="E1005" s="274"/>
      <c r="F1005" s="274"/>
      <c r="G1005" s="283"/>
      <c r="H1005" s="266"/>
      <c r="I1005" s="274"/>
      <c r="J1005" s="281"/>
      <c r="K1005" s="281"/>
      <c r="L1005" s="507" t="s">
        <v>4076</v>
      </c>
      <c r="M1005" s="284" t="s">
        <v>2962</v>
      </c>
      <c r="N1005" s="408">
        <f t="shared" si="210"/>
        <v>0</v>
      </c>
      <c r="O1005" s="408">
        <f t="shared" si="211"/>
        <v>0</v>
      </c>
      <c r="P1005" s="271">
        <f t="shared" si="208"/>
        <v>0</v>
      </c>
      <c r="Q1005" s="527"/>
      <c r="R1005" s="354">
        <f>IF(ISERROR(VLOOKUP("RIC"&amp;$C1005,ESTR_PREC_SP!$A$2:$G$2000,4,FALSE))=TRUE,0,VLOOKUP("RIC"&amp;$C1005,ESTR_PREC_SP!$A$2:$G$2000,4,FALSE))</f>
        <v>0</v>
      </c>
      <c r="S1005" s="527"/>
      <c r="T1005" s="545"/>
      <c r="U1005" s="527"/>
      <c r="V1005" s="527"/>
      <c r="W1005" s="527"/>
      <c r="X1005" s="527"/>
      <c r="Y1005" s="527"/>
      <c r="Z1005" s="529">
        <f t="shared" si="212"/>
        <v>0</v>
      </c>
      <c r="AA1005" s="546"/>
      <c r="AB1005" s="545"/>
      <c r="AC1005" s="520"/>
      <c r="AD1005" s="520"/>
      <c r="AE1005" s="520"/>
      <c r="AF1005" s="520"/>
      <c r="AG1005" s="526">
        <f t="shared" si="213"/>
        <v>0</v>
      </c>
      <c r="AH1005" s="526">
        <f t="shared" si="214"/>
        <v>0</v>
      </c>
      <c r="AI1005" s="520"/>
      <c r="AJ1005" s="520"/>
    </row>
    <row r="1006" spans="2:36" s="204" customFormat="1" x14ac:dyDescent="0.25">
      <c r="B1006" s="246" t="s">
        <v>2535</v>
      </c>
      <c r="C1006" s="287" t="s">
        <v>2536</v>
      </c>
      <c r="D1006" s="284" t="s">
        <v>4077</v>
      </c>
      <c r="E1006" s="274"/>
      <c r="F1006" s="274"/>
      <c r="G1006" s="283"/>
      <c r="H1006" s="266"/>
      <c r="I1006" s="274"/>
      <c r="J1006" s="281"/>
      <c r="K1006" s="281"/>
      <c r="L1006" s="507" t="s">
        <v>4078</v>
      </c>
      <c r="M1006" s="284" t="s">
        <v>2962</v>
      </c>
      <c r="N1006" s="408">
        <f t="shared" si="210"/>
        <v>0</v>
      </c>
      <c r="O1006" s="408">
        <f t="shared" si="211"/>
        <v>0</v>
      </c>
      <c r="P1006" s="271">
        <f t="shared" si="208"/>
        <v>0</v>
      </c>
      <c r="Q1006" s="527"/>
      <c r="R1006" s="354">
        <f>IF(ISERROR(VLOOKUP("RIC"&amp;$C1006,ESTR_PREC_SP!$A$2:$G$2000,4,FALSE))=TRUE,0,VLOOKUP("RIC"&amp;$C1006,ESTR_PREC_SP!$A$2:$G$2000,4,FALSE))</f>
        <v>0</v>
      </c>
      <c r="S1006" s="527"/>
      <c r="T1006" s="545"/>
      <c r="U1006" s="527"/>
      <c r="V1006" s="527"/>
      <c r="W1006" s="527"/>
      <c r="X1006" s="527"/>
      <c r="Y1006" s="527"/>
      <c r="Z1006" s="529">
        <f t="shared" si="212"/>
        <v>0</v>
      </c>
      <c r="AA1006" s="546"/>
      <c r="AB1006" s="545"/>
      <c r="AC1006" s="520"/>
      <c r="AD1006" s="520"/>
      <c r="AE1006" s="520"/>
      <c r="AF1006" s="520"/>
      <c r="AG1006" s="526">
        <f t="shared" si="213"/>
        <v>0</v>
      </c>
      <c r="AH1006" s="526">
        <f t="shared" si="214"/>
        <v>0</v>
      </c>
      <c r="AI1006" s="520"/>
      <c r="AJ1006" s="520"/>
    </row>
    <row r="1007" spans="2:36" s="204" customFormat="1" x14ac:dyDescent="0.25">
      <c r="B1007" s="246" t="s">
        <v>2538</v>
      </c>
      <c r="C1007" s="287" t="s">
        <v>2539</v>
      </c>
      <c r="D1007" s="284" t="s">
        <v>4079</v>
      </c>
      <c r="E1007" s="274"/>
      <c r="F1007" s="274"/>
      <c r="G1007" s="283"/>
      <c r="H1007" s="266"/>
      <c r="I1007" s="274"/>
      <c r="J1007" s="281"/>
      <c r="K1007" s="281"/>
      <c r="L1007" s="507" t="s">
        <v>4080</v>
      </c>
      <c r="M1007" s="284" t="s">
        <v>2962</v>
      </c>
      <c r="N1007" s="408">
        <f t="shared" si="210"/>
        <v>0</v>
      </c>
      <c r="O1007" s="408">
        <f t="shared" si="211"/>
        <v>0</v>
      </c>
      <c r="P1007" s="271">
        <f t="shared" si="208"/>
        <v>0</v>
      </c>
      <c r="Q1007" s="527"/>
      <c r="R1007" s="354">
        <f>IF(ISERROR(VLOOKUP("RIC"&amp;$C1007,ESTR_PREC_SP!$A$2:$G$2000,4,FALSE))=TRUE,0,VLOOKUP("RIC"&amp;$C1007,ESTR_PREC_SP!$A$2:$G$2000,4,FALSE))</f>
        <v>0</v>
      </c>
      <c r="S1007" s="527"/>
      <c r="T1007" s="545"/>
      <c r="U1007" s="527"/>
      <c r="V1007" s="527"/>
      <c r="W1007" s="527"/>
      <c r="X1007" s="527"/>
      <c r="Y1007" s="527"/>
      <c r="Z1007" s="529">
        <f t="shared" si="212"/>
        <v>0</v>
      </c>
      <c r="AA1007" s="546"/>
      <c r="AB1007" s="545"/>
      <c r="AC1007" s="520"/>
      <c r="AD1007" s="520"/>
      <c r="AE1007" s="520"/>
      <c r="AF1007" s="520"/>
      <c r="AG1007" s="526">
        <f t="shared" si="213"/>
        <v>0</v>
      </c>
      <c r="AH1007" s="526">
        <f t="shared" si="214"/>
        <v>0</v>
      </c>
      <c r="AI1007" s="520"/>
      <c r="AJ1007" s="520"/>
    </row>
    <row r="1008" spans="2:36" s="204" customFormat="1" x14ac:dyDescent="0.25">
      <c r="B1008" s="246" t="s">
        <v>2541</v>
      </c>
      <c r="C1008" s="287" t="s">
        <v>2542</v>
      </c>
      <c r="D1008" s="284" t="s">
        <v>4081</v>
      </c>
      <c r="E1008" s="274"/>
      <c r="F1008" s="274"/>
      <c r="G1008" s="283"/>
      <c r="H1008" s="266"/>
      <c r="I1008" s="274"/>
      <c r="J1008" s="281"/>
      <c r="K1008" s="281"/>
      <c r="L1008" s="507" t="s">
        <v>4082</v>
      </c>
      <c r="M1008" s="284" t="s">
        <v>2962</v>
      </c>
      <c r="N1008" s="408">
        <f t="shared" si="210"/>
        <v>0</v>
      </c>
      <c r="O1008" s="408">
        <f t="shared" si="211"/>
        <v>0</v>
      </c>
      <c r="P1008" s="271">
        <f t="shared" si="208"/>
        <v>0</v>
      </c>
      <c r="Q1008" s="527"/>
      <c r="R1008" s="354">
        <f>IF(ISERROR(VLOOKUP("RIC"&amp;$C1008,ESTR_PREC_SP!$A$2:$G$2000,4,FALSE))=TRUE,0,VLOOKUP("RIC"&amp;$C1008,ESTR_PREC_SP!$A$2:$G$2000,4,FALSE))</f>
        <v>0</v>
      </c>
      <c r="S1008" s="527"/>
      <c r="T1008" s="545"/>
      <c r="U1008" s="527"/>
      <c r="V1008" s="527"/>
      <c r="W1008" s="527"/>
      <c r="X1008" s="527"/>
      <c r="Y1008" s="527"/>
      <c r="Z1008" s="529">
        <f t="shared" si="212"/>
        <v>0</v>
      </c>
      <c r="AA1008" s="546"/>
      <c r="AB1008" s="545"/>
      <c r="AC1008" s="520"/>
      <c r="AD1008" s="520"/>
      <c r="AE1008" s="520"/>
      <c r="AF1008" s="520"/>
      <c r="AG1008" s="526">
        <f t="shared" si="213"/>
        <v>0</v>
      </c>
      <c r="AH1008" s="526">
        <f t="shared" si="214"/>
        <v>0</v>
      </c>
      <c r="AI1008" s="520"/>
      <c r="AJ1008" s="520"/>
    </row>
    <row r="1009" spans="1:36" s="204" customFormat="1" ht="26.25" x14ac:dyDescent="0.25">
      <c r="B1009" s="246" t="s">
        <v>2544</v>
      </c>
      <c r="C1009" s="287" t="s">
        <v>2545</v>
      </c>
      <c r="D1009" s="284" t="s">
        <v>4083</v>
      </c>
      <c r="E1009" s="274"/>
      <c r="F1009" s="274"/>
      <c r="G1009" s="283"/>
      <c r="H1009" s="266"/>
      <c r="I1009" s="274"/>
      <c r="J1009" s="281"/>
      <c r="K1009" s="281"/>
      <c r="L1009" s="507" t="s">
        <v>4084</v>
      </c>
      <c r="M1009" s="284" t="s">
        <v>2962</v>
      </c>
      <c r="N1009" s="408">
        <f t="shared" si="210"/>
        <v>0</v>
      </c>
      <c r="O1009" s="408">
        <f t="shared" si="211"/>
        <v>0</v>
      </c>
      <c r="P1009" s="271">
        <f t="shared" si="208"/>
        <v>0</v>
      </c>
      <c r="Q1009" s="527"/>
      <c r="R1009" s="354">
        <f>IF(ISERROR(VLOOKUP("RIC"&amp;$C1009,ESTR_PREC_SP!$A$2:$G$2000,4,FALSE))=TRUE,0,VLOOKUP("RIC"&amp;$C1009,ESTR_PREC_SP!$A$2:$G$2000,4,FALSE))</f>
        <v>0</v>
      </c>
      <c r="S1009" s="527"/>
      <c r="T1009" s="545"/>
      <c r="U1009" s="527"/>
      <c r="V1009" s="527"/>
      <c r="W1009" s="527"/>
      <c r="X1009" s="527"/>
      <c r="Y1009" s="527"/>
      <c r="Z1009" s="529">
        <f t="shared" si="212"/>
        <v>0</v>
      </c>
      <c r="AA1009" s="546"/>
      <c r="AB1009" s="545"/>
      <c r="AC1009" s="520"/>
      <c r="AD1009" s="520"/>
      <c r="AE1009" s="520"/>
      <c r="AF1009" s="520"/>
      <c r="AG1009" s="526">
        <f t="shared" si="213"/>
        <v>0</v>
      </c>
      <c r="AH1009" s="526">
        <f t="shared" si="214"/>
        <v>0</v>
      </c>
      <c r="AI1009" s="520"/>
      <c r="AJ1009" s="520"/>
    </row>
    <row r="1010" spans="1:36" s="204" customFormat="1" x14ac:dyDescent="0.25">
      <c r="A1010" s="535" t="s">
        <v>3681</v>
      </c>
      <c r="B1010" s="536" t="s">
        <v>2547</v>
      </c>
      <c r="C1010" s="536" t="s">
        <v>2548</v>
      </c>
      <c r="D1010" s="536"/>
      <c r="E1010" s="536"/>
      <c r="F1010" s="536"/>
      <c r="G1010" s="536"/>
      <c r="H1010" s="536"/>
      <c r="I1010" s="536"/>
      <c r="J1010" s="536"/>
      <c r="K1010" s="536"/>
      <c r="L1010" s="536" t="s">
        <v>2550</v>
      </c>
      <c r="M1010" s="284" t="s">
        <v>2962</v>
      </c>
      <c r="N1010" s="408">
        <f t="shared" si="210"/>
        <v>0</v>
      </c>
      <c r="O1010" s="408">
        <f t="shared" si="211"/>
        <v>0</v>
      </c>
      <c r="P1010" s="271">
        <f t="shared" si="208"/>
        <v>0</v>
      </c>
      <c r="Q1010" s="527"/>
      <c r="R1010" s="354">
        <f>IF(ISERROR(VLOOKUP("RIC"&amp;$C1010,ESTR_PREC_SP!$A$2:$G$2000,4,FALSE))=TRUE,0,VLOOKUP("RIC"&amp;$C1010,ESTR_PREC_SP!$A$2:$G$2000,4,FALSE))</f>
        <v>0</v>
      </c>
      <c r="S1010" s="527"/>
      <c r="T1010" s="545"/>
      <c r="U1010" s="527"/>
      <c r="V1010" s="527"/>
      <c r="W1010" s="527"/>
      <c r="X1010" s="527"/>
      <c r="Y1010" s="527"/>
      <c r="Z1010" s="529">
        <f t="shared" si="212"/>
        <v>0</v>
      </c>
      <c r="AA1010" s="546"/>
      <c r="AB1010" s="545"/>
      <c r="AC1010" s="520"/>
      <c r="AD1010" s="520"/>
      <c r="AE1010" s="520"/>
      <c r="AF1010" s="520"/>
      <c r="AG1010" s="526">
        <f t="shared" si="213"/>
        <v>0</v>
      </c>
      <c r="AH1010" s="526">
        <f t="shared" si="214"/>
        <v>0</v>
      </c>
      <c r="AI1010" s="520"/>
      <c r="AJ1010" s="520"/>
    </row>
    <row r="1011" spans="1:36" s="204" customFormat="1" x14ac:dyDescent="0.25">
      <c r="B1011" s="246" t="s">
        <v>2551</v>
      </c>
      <c r="C1011" s="287" t="s">
        <v>2552</v>
      </c>
      <c r="D1011" s="284" t="s">
        <v>4085</v>
      </c>
      <c r="E1011" s="274"/>
      <c r="F1011" s="274"/>
      <c r="G1011" s="283"/>
      <c r="H1011" s="266"/>
      <c r="I1011" s="274"/>
      <c r="J1011" s="281"/>
      <c r="K1011" s="281"/>
      <c r="L1011" s="488" t="s">
        <v>2554</v>
      </c>
      <c r="M1011" s="284" t="s">
        <v>2962</v>
      </c>
      <c r="N1011" s="378">
        <f>SUM(N1012:N1013)</f>
        <v>0</v>
      </c>
      <c r="O1011" s="378">
        <f>SUM(O1012:O1014)</f>
        <v>0</v>
      </c>
      <c r="P1011" s="378">
        <f t="shared" si="208"/>
        <v>0</v>
      </c>
      <c r="Q1011" s="378">
        <f>SUM(Q1012:Q1013)</f>
        <v>0</v>
      </c>
      <c r="R1011" s="378">
        <f>SUM(R1012:R1013)</f>
        <v>0</v>
      </c>
      <c r="S1011" s="378">
        <f>SUM(S1012:S1013)</f>
        <v>0</v>
      </c>
      <c r="T1011" s="378">
        <f>SUM(T1012:T1013)</f>
        <v>0</v>
      </c>
      <c r="U1011" s="378">
        <f>SUM(U1012:U1013)</f>
        <v>0</v>
      </c>
      <c r="V1011" s="378">
        <f>SUM(V1012:V1014)</f>
        <v>0</v>
      </c>
      <c r="W1011" s="378">
        <f>SUM(W1012:W1013)</f>
        <v>0</v>
      </c>
      <c r="X1011" s="378">
        <f>SUM(X1012:X1014)</f>
        <v>0</v>
      </c>
      <c r="Y1011" s="378">
        <f>SUM(Y1012:Y1014)</f>
        <v>0</v>
      </c>
      <c r="Z1011" s="540">
        <f>SUM(Z1012:Z1014)</f>
        <v>0</v>
      </c>
      <c r="AA1011" s="378">
        <f>SUM(AA1012:AA1013)</f>
        <v>0</v>
      </c>
      <c r="AB1011" s="378">
        <f>SUM(AB1012:AB1013)</f>
        <v>0</v>
      </c>
      <c r="AC1011" s="378">
        <f>SUM(AC1012:AC1014)</f>
        <v>0</v>
      </c>
      <c r="AD1011" s="378">
        <f>SUM(AD1012:AD1013)</f>
        <v>0</v>
      </c>
      <c r="AE1011" s="378">
        <f>SUM(AE1012:AE1013)</f>
        <v>0</v>
      </c>
      <c r="AF1011" s="378">
        <f>SUM(AF1012:AF1013)</f>
        <v>0</v>
      </c>
      <c r="AG1011" s="537">
        <f t="shared" si="213"/>
        <v>0</v>
      </c>
      <c r="AH1011" s="537">
        <f t="shared" si="214"/>
        <v>0</v>
      </c>
      <c r="AI1011" s="378">
        <f>SUM(AI1012:AI1013)</f>
        <v>0</v>
      </c>
      <c r="AJ1011" s="378">
        <f>SUM(AJ1012:AJ1013)</f>
        <v>0</v>
      </c>
    </row>
    <row r="1012" spans="1:36" s="204" customFormat="1" x14ac:dyDescent="0.25">
      <c r="B1012" s="246" t="s">
        <v>2555</v>
      </c>
      <c r="C1012" s="287" t="s">
        <v>2556</v>
      </c>
      <c r="D1012" s="284" t="s">
        <v>4086</v>
      </c>
      <c r="E1012" s="274"/>
      <c r="F1012" s="274"/>
      <c r="G1012" s="283"/>
      <c r="H1012" s="266"/>
      <c r="I1012" s="274"/>
      <c r="J1012" s="281"/>
      <c r="K1012" s="281"/>
      <c r="L1012" s="507" t="s">
        <v>4087</v>
      </c>
      <c r="M1012" s="284" t="s">
        <v>2962</v>
      </c>
      <c r="N1012" s="408">
        <f>+R1012</f>
        <v>0</v>
      </c>
      <c r="O1012" s="408">
        <f>+Z1012</f>
        <v>0</v>
      </c>
      <c r="P1012" s="271">
        <f t="shared" si="208"/>
        <v>0</v>
      </c>
      <c r="Q1012" s="527"/>
      <c r="R1012" s="354">
        <f>IF(ISERROR(VLOOKUP("RIC"&amp;$C1012,ESTR_PREC_SP!$A$2:$G$2000,4,FALSE))=TRUE,0,VLOOKUP("RIC"&amp;$C1012,ESTR_PREC_SP!$A$2:$G$2000,4,FALSE))</f>
        <v>0</v>
      </c>
      <c r="S1012" s="527"/>
      <c r="T1012" s="545"/>
      <c r="U1012" s="527"/>
      <c r="V1012" s="527"/>
      <c r="W1012" s="527"/>
      <c r="X1012" s="527"/>
      <c r="Y1012" s="527"/>
      <c r="Z1012" s="529">
        <f>+R1012+S1012+U1012+V1012-X1012-Y1012+W1012+Q1012</f>
        <v>0</v>
      </c>
      <c r="AA1012" s="546"/>
      <c r="AB1012" s="545"/>
      <c r="AC1012" s="520"/>
      <c r="AD1012" s="520"/>
      <c r="AE1012" s="520"/>
      <c r="AF1012" s="520"/>
      <c r="AG1012" s="526">
        <f t="shared" si="213"/>
        <v>0</v>
      </c>
      <c r="AH1012" s="526">
        <f t="shared" si="214"/>
        <v>0</v>
      </c>
      <c r="AI1012" s="520"/>
      <c r="AJ1012" s="520"/>
    </row>
    <row r="1013" spans="1:36" s="204" customFormat="1" x14ac:dyDescent="0.25">
      <c r="B1013" s="246" t="s">
        <v>2559</v>
      </c>
      <c r="C1013" s="287" t="s">
        <v>2560</v>
      </c>
      <c r="D1013" s="284" t="s">
        <v>4088</v>
      </c>
      <c r="E1013" s="274"/>
      <c r="F1013" s="274"/>
      <c r="G1013" s="283"/>
      <c r="H1013" s="266"/>
      <c r="I1013" s="274"/>
      <c r="J1013" s="281"/>
      <c r="K1013" s="281"/>
      <c r="L1013" s="507" t="s">
        <v>4089</v>
      </c>
      <c r="M1013" s="284" t="s">
        <v>2962</v>
      </c>
      <c r="N1013" s="408">
        <f>+R1013</f>
        <v>0</v>
      </c>
      <c r="O1013" s="408">
        <f>+Z1013</f>
        <v>0</v>
      </c>
      <c r="P1013" s="271">
        <f t="shared" si="208"/>
        <v>0</v>
      </c>
      <c r="Q1013" s="527"/>
      <c r="R1013" s="354">
        <f>IF(ISERROR(VLOOKUP("RIC"&amp;$C1013,ESTR_PREC_SP!$A$2:$G$2000,4,FALSE))=TRUE,0,VLOOKUP("RIC"&amp;$C1013,ESTR_PREC_SP!$A$2:$G$2000,4,FALSE))</f>
        <v>0</v>
      </c>
      <c r="S1013" s="527"/>
      <c r="T1013" s="545"/>
      <c r="U1013" s="527"/>
      <c r="V1013" s="527"/>
      <c r="W1013" s="527"/>
      <c r="X1013" s="527"/>
      <c r="Y1013" s="527"/>
      <c r="Z1013" s="529">
        <f>+R1013+S1013+U1013+V1013-X1013-Y1013+W1013+Q1013</f>
        <v>0</v>
      </c>
      <c r="AA1013" s="546"/>
      <c r="AB1013" s="545"/>
      <c r="AC1013" s="520"/>
      <c r="AD1013" s="520"/>
      <c r="AE1013" s="520"/>
      <c r="AF1013" s="520"/>
      <c r="AG1013" s="526">
        <f t="shared" si="213"/>
        <v>0</v>
      </c>
      <c r="AH1013" s="526">
        <f t="shared" si="214"/>
        <v>0</v>
      </c>
      <c r="AI1013" s="520"/>
      <c r="AJ1013" s="520"/>
    </row>
    <row r="1014" spans="1:36" s="204" customFormat="1" x14ac:dyDescent="0.25">
      <c r="A1014" s="535" t="s">
        <v>3681</v>
      </c>
      <c r="B1014" s="536" t="s">
        <v>2562</v>
      </c>
      <c r="C1014" s="536" t="s">
        <v>2563</v>
      </c>
      <c r="D1014" s="536"/>
      <c r="E1014" s="536"/>
      <c r="F1014" s="536"/>
      <c r="G1014" s="536"/>
      <c r="H1014" s="536"/>
      <c r="I1014" s="536"/>
      <c r="J1014" s="536"/>
      <c r="K1014" s="536"/>
      <c r="L1014" s="536" t="s">
        <v>2565</v>
      </c>
      <c r="M1014" s="284" t="s">
        <v>2962</v>
      </c>
      <c r="N1014" s="408">
        <f>+R1014</f>
        <v>0</v>
      </c>
      <c r="O1014" s="408">
        <f>+Z1014</f>
        <v>0</v>
      </c>
      <c r="P1014" s="271">
        <f t="shared" si="208"/>
        <v>0</v>
      </c>
      <c r="Q1014" s="527"/>
      <c r="R1014" s="354">
        <f>IF(ISERROR(VLOOKUP("RIC"&amp;$C1014,ESTR_PREC_SP!$A$2:$G$2000,4,FALSE))=TRUE,0,VLOOKUP("RIC"&amp;$C1014,ESTR_PREC_SP!$A$2:$G$2000,4,FALSE))</f>
        <v>0</v>
      </c>
      <c r="S1014" s="527"/>
      <c r="T1014" s="545"/>
      <c r="U1014" s="527"/>
      <c r="V1014" s="527"/>
      <c r="W1014" s="527"/>
      <c r="X1014" s="527"/>
      <c r="Y1014" s="527"/>
      <c r="Z1014" s="529">
        <f>+R1014+S1014+U1014+V1014-X1014-Y1014+W1014+Q1014</f>
        <v>0</v>
      </c>
      <c r="AA1014" s="546"/>
      <c r="AB1014" s="545"/>
      <c r="AC1014" s="520"/>
      <c r="AD1014" s="520"/>
      <c r="AE1014" s="520"/>
      <c r="AF1014" s="520"/>
      <c r="AG1014" s="526">
        <f t="shared" si="213"/>
        <v>0</v>
      </c>
      <c r="AH1014" s="526">
        <f t="shared" si="214"/>
        <v>0</v>
      </c>
      <c r="AI1014" s="520"/>
      <c r="AJ1014" s="520"/>
    </row>
    <row r="1015" spans="1:36" s="204" customFormat="1" x14ac:dyDescent="0.25">
      <c r="B1015" s="302"/>
      <c r="C1015" s="302"/>
      <c r="D1015" s="226"/>
      <c r="E1015" s="226"/>
      <c r="F1015" s="226"/>
      <c r="G1015" s="226"/>
      <c r="H1015" s="227"/>
      <c r="I1015" s="226"/>
      <c r="J1015" s="226"/>
      <c r="K1015" s="226"/>
      <c r="L1015" s="315"/>
      <c r="M1015" s="216"/>
      <c r="N1015" s="254"/>
      <c r="O1015" s="216"/>
      <c r="P1015" s="216"/>
      <c r="Q1015" s="216"/>
      <c r="R1015" s="216"/>
      <c r="S1015" s="216"/>
      <c r="T1015" s="216"/>
      <c r="U1015" s="216"/>
      <c r="V1015" s="216"/>
      <c r="W1015" s="216"/>
      <c r="X1015" s="216"/>
      <c r="Z1015" s="216"/>
      <c r="AA1015" s="216"/>
      <c r="AB1015" s="216"/>
      <c r="AC1015" s="216"/>
      <c r="AD1015" s="216"/>
    </row>
    <row r="1016" spans="1:36" s="204" customFormat="1" ht="15.75" customHeight="1" x14ac:dyDescent="0.25">
      <c r="B1016" s="302"/>
      <c r="C1016" s="302"/>
      <c r="D1016" s="226"/>
      <c r="E1016" s="226"/>
      <c r="F1016" s="226"/>
      <c r="G1016" s="226"/>
      <c r="H1016" s="227"/>
      <c r="I1016" s="226"/>
      <c r="J1016" s="226"/>
      <c r="K1016" s="226"/>
      <c r="L1016" s="315"/>
      <c r="M1016" s="216"/>
      <c r="N1016" s="254"/>
      <c r="O1016" s="216"/>
      <c r="P1016" s="216"/>
      <c r="Q1016" s="216"/>
      <c r="R1016" s="211"/>
      <c r="S1016" s="211"/>
      <c r="U1016" s="902" t="s">
        <v>3495</v>
      </c>
      <c r="V1016" s="902"/>
      <c r="W1016" s="485"/>
      <c r="X1016" s="903" t="s">
        <v>3496</v>
      </c>
      <c r="Y1016" s="903"/>
      <c r="Z1016" s="211"/>
      <c r="AA1016" s="211"/>
      <c r="AB1016" s="211"/>
      <c r="AC1016" s="904" t="str">
        <f>+AC1001</f>
        <v>VALORE DEI DEBITI AL 31/12/2020 PER ANNO DI FORMAZIONE</v>
      </c>
      <c r="AD1016" s="904"/>
      <c r="AE1016" s="904"/>
      <c r="AF1016" s="904"/>
      <c r="AG1016" s="904"/>
      <c r="AH1016" s="905" t="str">
        <f>+AH1001</f>
        <v>Debiti al 31/12/2020 per scadenza</v>
      </c>
      <c r="AI1016" s="905"/>
      <c r="AJ1016" s="905"/>
    </row>
    <row r="1017" spans="1:36" s="204" customFormat="1" ht="63.75" x14ac:dyDescent="0.25">
      <c r="B1017" s="211"/>
      <c r="C1017" s="211"/>
      <c r="D1017" s="211"/>
      <c r="E1017" s="211"/>
      <c r="F1017" s="211"/>
      <c r="G1017" s="211"/>
      <c r="H1017" s="353"/>
      <c r="I1017" s="211"/>
      <c r="J1017" s="211"/>
      <c r="K1017" s="211"/>
      <c r="L1017" s="255"/>
      <c r="M1017" s="244"/>
      <c r="N1017" s="256" t="str">
        <f>N$15</f>
        <v>Valore netto al 31/12/2019</v>
      </c>
      <c r="O1017" s="256" t="str">
        <f>O$15</f>
        <v>Valore netto al 31/12/2020</v>
      </c>
      <c r="P1017" s="256" t="str">
        <f>P$15</f>
        <v>Variazione</v>
      </c>
      <c r="Q1017" s="262" t="s">
        <v>2971</v>
      </c>
      <c r="R1017" s="346" t="s">
        <v>3517</v>
      </c>
      <c r="S1017" s="262" t="s">
        <v>2972</v>
      </c>
      <c r="T1017" s="486" t="s">
        <v>3995</v>
      </c>
      <c r="U1017" s="337" t="s">
        <v>3996</v>
      </c>
      <c r="V1017" s="337" t="s">
        <v>3495</v>
      </c>
      <c r="W1017" s="262" t="s">
        <v>2975</v>
      </c>
      <c r="X1017" s="338" t="s">
        <v>3498</v>
      </c>
      <c r="Y1017" s="338" t="s">
        <v>3499</v>
      </c>
      <c r="Z1017" s="346" t="s">
        <v>3815</v>
      </c>
      <c r="AA1017" s="497" t="s">
        <v>3997</v>
      </c>
      <c r="AB1017" s="377" t="s">
        <v>3998</v>
      </c>
      <c r="AC1017" s="339" t="s">
        <v>3503</v>
      </c>
      <c r="AD1017" s="339" t="s">
        <v>3504</v>
      </c>
      <c r="AE1017" s="339" t="s">
        <v>3505</v>
      </c>
      <c r="AF1017" s="339" t="s">
        <v>3506</v>
      </c>
      <c r="AG1017" s="339" t="s">
        <v>3507</v>
      </c>
      <c r="AH1017" s="340" t="s">
        <v>3508</v>
      </c>
      <c r="AI1017" s="340" t="s">
        <v>3509</v>
      </c>
      <c r="AJ1017" s="340" t="s">
        <v>3510</v>
      </c>
    </row>
    <row r="1018" spans="1:36" s="204" customFormat="1" x14ac:dyDescent="0.25">
      <c r="B1018" s="246" t="s">
        <v>2566</v>
      </c>
      <c r="C1018" s="292" t="s">
        <v>2567</v>
      </c>
      <c r="D1018" s="247" t="s">
        <v>4090</v>
      </c>
      <c r="E1018" s="247"/>
      <c r="F1018" s="247"/>
      <c r="G1018" s="247"/>
      <c r="H1018" s="248"/>
      <c r="I1018" s="247"/>
      <c r="J1018" s="398"/>
      <c r="K1018" s="399"/>
      <c r="L1018" s="400" t="s">
        <v>2571</v>
      </c>
      <c r="M1018" s="251" t="s">
        <v>2962</v>
      </c>
      <c r="N1018" s="410">
        <f>+R1018</f>
        <v>0</v>
      </c>
      <c r="O1018" s="487">
        <f>+Z1018</f>
        <v>0</v>
      </c>
      <c r="P1018" s="253">
        <f>+O1018-N1018</f>
        <v>0</v>
      </c>
      <c r="Q1018" s="527"/>
      <c r="R1018" s="354">
        <f>IF(ISERROR(VLOOKUP("RIC"&amp;$C1018,ESTR_PREC_SP!$A$2:$G$2000,4,FALSE))=TRUE,0,VLOOKUP("RIC"&amp;$C1018,ESTR_PREC_SP!$A$2:$G$2000,4,FALSE))</f>
        <v>0</v>
      </c>
      <c r="S1018" s="355"/>
      <c r="T1018" s="355"/>
      <c r="U1018" s="527"/>
      <c r="V1018" s="527"/>
      <c r="W1018" s="527"/>
      <c r="X1018" s="527"/>
      <c r="Y1018" s="527"/>
      <c r="Z1018" s="529">
        <f>+R1018+S1018+U1018+V1018-X1018-Y1018+W1018+Q1018</f>
        <v>0</v>
      </c>
      <c r="AA1018" s="355"/>
      <c r="AB1018" s="355"/>
      <c r="AC1018" s="355"/>
      <c r="AD1018" s="355"/>
      <c r="AE1018" s="355"/>
      <c r="AF1018" s="355"/>
      <c r="AG1018" s="355"/>
      <c r="AH1018" s="355"/>
      <c r="AI1018" s="355"/>
      <c r="AJ1018" s="355"/>
    </row>
    <row r="1019" spans="1:36" s="204" customFormat="1" ht="26.25" x14ac:dyDescent="0.25">
      <c r="B1019" s="302"/>
      <c r="C1019" s="302"/>
      <c r="D1019" s="226"/>
      <c r="E1019" s="226"/>
      <c r="F1019" s="226"/>
      <c r="G1019" s="226"/>
      <c r="H1019" s="227"/>
      <c r="I1019" s="226"/>
      <c r="J1019" s="226"/>
      <c r="K1019" s="226"/>
      <c r="L1019" s="232" t="s">
        <v>4091</v>
      </c>
      <c r="M1019" s="216"/>
      <c r="N1019" s="254"/>
      <c r="O1019" s="216"/>
      <c r="P1019" s="216"/>
      <c r="Q1019" s="216"/>
      <c r="R1019" s="216"/>
      <c r="S1019" s="216"/>
      <c r="T1019" s="216"/>
      <c r="U1019" s="216"/>
      <c r="V1019" s="216"/>
      <c r="W1019" s="216"/>
      <c r="X1019" s="216"/>
      <c r="Z1019" s="216"/>
      <c r="AA1019" s="216"/>
      <c r="AB1019" s="216"/>
      <c r="AC1019" s="216"/>
      <c r="AD1019" s="216"/>
    </row>
    <row r="1020" spans="1:36" s="204" customFormat="1" ht="15.75" customHeight="1" x14ac:dyDescent="0.25">
      <c r="B1020" s="302"/>
      <c r="C1020" s="302"/>
      <c r="D1020" s="226"/>
      <c r="E1020" s="226"/>
      <c r="F1020" s="226"/>
      <c r="G1020" s="226"/>
      <c r="H1020" s="227"/>
      <c r="I1020" s="226"/>
      <c r="J1020" s="226"/>
      <c r="K1020" s="226"/>
      <c r="L1020" s="315"/>
      <c r="M1020" s="216"/>
      <c r="N1020" s="254"/>
      <c r="O1020" s="216"/>
      <c r="P1020" s="216"/>
      <c r="Q1020" s="216"/>
      <c r="R1020" s="211"/>
      <c r="S1020" s="211"/>
      <c r="U1020" s="902" t="s">
        <v>3495</v>
      </c>
      <c r="V1020" s="902"/>
      <c r="W1020" s="485"/>
      <c r="X1020" s="903" t="s">
        <v>3496</v>
      </c>
      <c r="Y1020" s="903"/>
      <c r="Z1020" s="211"/>
      <c r="AA1020" s="211"/>
      <c r="AB1020" s="211"/>
      <c r="AC1020" s="904" t="str">
        <f>+AC1016</f>
        <v>VALORE DEI DEBITI AL 31/12/2020 PER ANNO DI FORMAZIONE</v>
      </c>
      <c r="AD1020" s="904"/>
      <c r="AE1020" s="904"/>
      <c r="AF1020" s="904"/>
      <c r="AG1020" s="904"/>
      <c r="AH1020" s="905" t="str">
        <f>+AH1016</f>
        <v>Debiti al 31/12/2020 per scadenza</v>
      </c>
      <c r="AI1020" s="905"/>
      <c r="AJ1020" s="905"/>
    </row>
    <row r="1021" spans="1:36" s="204" customFormat="1" ht="63.75" x14ac:dyDescent="0.25">
      <c r="B1021" s="289"/>
      <c r="C1021" s="289"/>
      <c r="D1021" s="211"/>
      <c r="E1021" s="211"/>
      <c r="F1021" s="211"/>
      <c r="G1021" s="211"/>
      <c r="H1021" s="353"/>
      <c r="I1021" s="211"/>
      <c r="J1021" s="211"/>
      <c r="K1021" s="211"/>
      <c r="L1021" s="255"/>
      <c r="M1021" s="244"/>
      <c r="N1021" s="256" t="str">
        <f>N$15</f>
        <v>Valore netto al 31/12/2019</v>
      </c>
      <c r="O1021" s="256" t="str">
        <f>O$15</f>
        <v>Valore netto al 31/12/2020</v>
      </c>
      <c r="P1021" s="256" t="str">
        <f>P$15</f>
        <v>Variazione</v>
      </c>
      <c r="Q1021" s="262" t="s">
        <v>2971</v>
      </c>
      <c r="R1021" s="346" t="s">
        <v>3517</v>
      </c>
      <c r="S1021" s="262" t="s">
        <v>2972</v>
      </c>
      <c r="T1021" s="486" t="s">
        <v>3995</v>
      </c>
      <c r="U1021" s="337" t="s">
        <v>3996</v>
      </c>
      <c r="V1021" s="337" t="s">
        <v>3495</v>
      </c>
      <c r="W1021" s="262" t="s">
        <v>2975</v>
      </c>
      <c r="X1021" s="338" t="s">
        <v>3498</v>
      </c>
      <c r="Y1021" s="338" t="s">
        <v>3499</v>
      </c>
      <c r="Z1021" s="346" t="s">
        <v>3815</v>
      </c>
      <c r="AA1021" s="497" t="s">
        <v>3997</v>
      </c>
      <c r="AB1021" s="377" t="s">
        <v>3998</v>
      </c>
      <c r="AC1021" s="339" t="s">
        <v>3503</v>
      </c>
      <c r="AD1021" s="339" t="s">
        <v>3504</v>
      </c>
      <c r="AE1021" s="339" t="s">
        <v>3505</v>
      </c>
      <c r="AF1021" s="339" t="s">
        <v>3506</v>
      </c>
      <c r="AG1021" s="339" t="s">
        <v>3507</v>
      </c>
      <c r="AH1021" s="340" t="s">
        <v>3508</v>
      </c>
      <c r="AI1021" s="340" t="s">
        <v>3509</v>
      </c>
      <c r="AJ1021" s="340" t="s">
        <v>3510</v>
      </c>
    </row>
    <row r="1022" spans="1:36" s="217" customFormat="1" x14ac:dyDescent="0.25">
      <c r="A1022" s="204"/>
      <c r="B1022" s="246" t="s">
        <v>2572</v>
      </c>
      <c r="C1022" s="292" t="s">
        <v>2573</v>
      </c>
      <c r="D1022" s="247" t="s">
        <v>4092</v>
      </c>
      <c r="E1022" s="247"/>
      <c r="F1022" s="247"/>
      <c r="G1022" s="247"/>
      <c r="H1022" s="248"/>
      <c r="I1022" s="247"/>
      <c r="J1022" s="398"/>
      <c r="K1022" s="399"/>
      <c r="L1022" s="400" t="s">
        <v>2577</v>
      </c>
      <c r="M1022" s="251" t="s">
        <v>2962</v>
      </c>
      <c r="N1022" s="410">
        <f>+R1022</f>
        <v>0</v>
      </c>
      <c r="O1022" s="487">
        <f>+Z1022</f>
        <v>0</v>
      </c>
      <c r="P1022" s="253">
        <f>+O1022-N1022</f>
        <v>0</v>
      </c>
      <c r="Q1022" s="527"/>
      <c r="R1022" s="354">
        <f>IF(ISERROR(VLOOKUP("RIC"&amp;$C1022,ESTR_PREC_SP!$A$2:$G$2000,4,FALSE))=TRUE,0,VLOOKUP("RIC"&amp;$C1022,ESTR_PREC_SP!$A$2:$G$2000,4,FALSE))</f>
        <v>0</v>
      </c>
      <c r="S1022" s="355"/>
      <c r="T1022" s="355"/>
      <c r="U1022" s="527"/>
      <c r="V1022" s="527"/>
      <c r="W1022" s="527"/>
      <c r="X1022" s="527"/>
      <c r="Y1022" s="527"/>
      <c r="Z1022" s="529">
        <f>+R1022+S1022+U1022+V1022-X1022-Y1022+W1022+Q1022</f>
        <v>0</v>
      </c>
      <c r="AA1022" s="355"/>
      <c r="AB1022" s="355"/>
      <c r="AC1022" s="520"/>
      <c r="AD1022" s="520"/>
      <c r="AE1022" s="520"/>
      <c r="AF1022" s="520"/>
      <c r="AG1022" s="526">
        <f>+Z1022-SUM(AC1022:AF1022)</f>
        <v>0</v>
      </c>
      <c r="AH1022" s="526">
        <f>+Z1022-SUM(AI1022:AJ1022)</f>
        <v>0</v>
      </c>
      <c r="AI1022" s="520"/>
      <c r="AJ1022" s="520"/>
    </row>
    <row r="1023" spans="1:36" s="204" customFormat="1" x14ac:dyDescent="0.25">
      <c r="B1023" s="302"/>
      <c r="C1023" s="302"/>
      <c r="D1023" s="226"/>
      <c r="E1023" s="226"/>
      <c r="F1023" s="226"/>
      <c r="G1023" s="226"/>
      <c r="H1023" s="227"/>
      <c r="I1023" s="226"/>
      <c r="J1023" s="226"/>
      <c r="K1023" s="226"/>
      <c r="L1023" s="315"/>
      <c r="M1023" s="216"/>
      <c r="N1023" s="254"/>
      <c r="O1023" s="216"/>
      <c r="P1023" s="216"/>
      <c r="Q1023" s="216"/>
      <c r="R1023" s="216"/>
      <c r="S1023" s="216"/>
      <c r="T1023" s="216"/>
      <c r="U1023" s="216"/>
      <c r="V1023" s="216"/>
      <c r="W1023" s="216"/>
      <c r="X1023" s="216"/>
      <c r="Z1023" s="216"/>
      <c r="AA1023" s="216"/>
      <c r="AB1023" s="216"/>
      <c r="AC1023" s="216"/>
      <c r="AD1023" s="216"/>
    </row>
    <row r="1024" spans="1:36" s="204" customFormat="1" ht="15.75" customHeight="1" x14ac:dyDescent="0.25">
      <c r="B1024" s="302"/>
      <c r="C1024" s="302"/>
      <c r="D1024" s="226"/>
      <c r="E1024" s="226"/>
      <c r="F1024" s="226"/>
      <c r="G1024" s="226"/>
      <c r="H1024" s="227"/>
      <c r="I1024" s="226"/>
      <c r="J1024" s="226"/>
      <c r="K1024" s="226"/>
      <c r="L1024" s="315"/>
      <c r="M1024" s="216"/>
      <c r="N1024" s="254"/>
      <c r="O1024" s="216"/>
      <c r="P1024" s="216"/>
      <c r="Q1024" s="216"/>
      <c r="R1024" s="211"/>
      <c r="S1024" s="211"/>
      <c r="U1024" s="902" t="s">
        <v>3495</v>
      </c>
      <c r="V1024" s="902"/>
      <c r="W1024" s="485"/>
      <c r="X1024" s="903" t="s">
        <v>3496</v>
      </c>
      <c r="Y1024" s="903"/>
      <c r="Z1024" s="211"/>
      <c r="AA1024" s="211"/>
      <c r="AB1024" s="211"/>
      <c r="AC1024" s="904" t="str">
        <f>+AC1020</f>
        <v>VALORE DEI DEBITI AL 31/12/2020 PER ANNO DI FORMAZIONE</v>
      </c>
      <c r="AD1024" s="904"/>
      <c r="AE1024" s="904"/>
      <c r="AF1024" s="904"/>
      <c r="AG1024" s="904"/>
      <c r="AH1024" s="905" t="str">
        <f>+AH1020</f>
        <v>Debiti al 31/12/2020 per scadenza</v>
      </c>
      <c r="AI1024" s="905"/>
      <c r="AJ1024" s="905"/>
    </row>
    <row r="1025" spans="1:36" s="217" customFormat="1" ht="63.75" x14ac:dyDescent="0.25">
      <c r="A1025" s="204"/>
      <c r="B1025" s="289"/>
      <c r="C1025" s="289"/>
      <c r="D1025" s="211"/>
      <c r="E1025" s="211"/>
      <c r="F1025" s="211"/>
      <c r="G1025" s="211"/>
      <c r="H1025" s="353"/>
      <c r="I1025" s="211"/>
      <c r="J1025" s="211"/>
      <c r="K1025" s="211"/>
      <c r="L1025" s="255"/>
      <c r="M1025" s="244"/>
      <c r="N1025" s="256" t="str">
        <f>N$15</f>
        <v>Valore netto al 31/12/2019</v>
      </c>
      <c r="O1025" s="256" t="str">
        <f>O$15</f>
        <v>Valore netto al 31/12/2020</v>
      </c>
      <c r="P1025" s="256" t="str">
        <f>P$15</f>
        <v>Variazione</v>
      </c>
      <c r="Q1025" s="262" t="s">
        <v>2971</v>
      </c>
      <c r="R1025" s="346" t="s">
        <v>3517</v>
      </c>
      <c r="S1025" s="262" t="s">
        <v>2972</v>
      </c>
      <c r="T1025" s="486" t="s">
        <v>3995</v>
      </c>
      <c r="U1025" s="337" t="s">
        <v>3996</v>
      </c>
      <c r="V1025" s="337" t="s">
        <v>3495</v>
      </c>
      <c r="W1025" s="262" t="s">
        <v>2975</v>
      </c>
      <c r="X1025" s="338" t="s">
        <v>3498</v>
      </c>
      <c r="Y1025" s="338" t="s">
        <v>3499</v>
      </c>
      <c r="Z1025" s="346" t="s">
        <v>3815</v>
      </c>
      <c r="AA1025" s="497" t="s">
        <v>3997</v>
      </c>
      <c r="AB1025" s="377" t="s">
        <v>3998</v>
      </c>
      <c r="AC1025" s="339" t="s">
        <v>3503</v>
      </c>
      <c r="AD1025" s="339" t="s">
        <v>3504</v>
      </c>
      <c r="AE1025" s="339" t="s">
        <v>3505</v>
      </c>
      <c r="AF1025" s="339" t="s">
        <v>3506</v>
      </c>
      <c r="AG1025" s="339" t="s">
        <v>3507</v>
      </c>
      <c r="AH1025" s="340" t="s">
        <v>3508</v>
      </c>
      <c r="AI1025" s="340" t="s">
        <v>3509</v>
      </c>
      <c r="AJ1025" s="340" t="s">
        <v>3510</v>
      </c>
    </row>
    <row r="1026" spans="1:36" s="217" customFormat="1" x14ac:dyDescent="0.25">
      <c r="A1026" s="204"/>
      <c r="B1026" s="246" t="s">
        <v>2578</v>
      </c>
      <c r="C1026" s="292" t="s">
        <v>2579</v>
      </c>
      <c r="D1026" s="247" t="s">
        <v>4093</v>
      </c>
      <c r="E1026" s="247"/>
      <c r="F1026" s="247"/>
      <c r="G1026" s="247"/>
      <c r="H1026" s="248"/>
      <c r="I1026" s="247"/>
      <c r="J1026" s="398"/>
      <c r="K1026" s="399"/>
      <c r="L1026" s="400" t="s">
        <v>2583</v>
      </c>
      <c r="M1026" s="251" t="s">
        <v>2962</v>
      </c>
      <c r="N1026" s="410">
        <f>+R1026</f>
        <v>0</v>
      </c>
      <c r="O1026" s="487">
        <f>+Z1026</f>
        <v>0</v>
      </c>
      <c r="P1026" s="253">
        <f>+O1026-N1026</f>
        <v>0</v>
      </c>
      <c r="Q1026" s="216"/>
      <c r="R1026" s="354">
        <f>IF(ISERROR(VLOOKUP("RIC"&amp;$C1026,ESTR_PREC_SP!$A$2:$G$2000,4,FALSE))=TRUE,0,VLOOKUP("RIC"&amp;$C1026,ESTR_PREC_SP!$A$2:$G$2000,4,FALSE))</f>
        <v>0</v>
      </c>
      <c r="S1026" s="355"/>
      <c r="T1026" s="355"/>
      <c r="U1026" s="527"/>
      <c r="V1026" s="527"/>
      <c r="W1026" s="527"/>
      <c r="X1026" s="527"/>
      <c r="Y1026" s="527"/>
      <c r="Z1026" s="529">
        <f>+R1026+S1026+U1026+V1026-X1026-Y1026+W1026+Q1026</f>
        <v>0</v>
      </c>
      <c r="AA1026" s="355"/>
      <c r="AB1026" s="355"/>
      <c r="AC1026" s="520"/>
      <c r="AD1026" s="520"/>
      <c r="AE1026" s="520"/>
      <c r="AF1026" s="520"/>
      <c r="AG1026" s="526">
        <f>+Z1026-SUM(AC1026:AF1026)</f>
        <v>0</v>
      </c>
      <c r="AH1026" s="526">
        <f>+Z1026-SUM(AI1026:AJ1026)</f>
        <v>0</v>
      </c>
      <c r="AI1026" s="520"/>
      <c r="AJ1026" s="520"/>
    </row>
    <row r="1027" spans="1:36" s="204" customFormat="1" x14ac:dyDescent="0.25">
      <c r="B1027" s="302"/>
      <c r="C1027" s="302"/>
      <c r="D1027" s="226"/>
      <c r="E1027" s="226"/>
      <c r="F1027" s="226"/>
      <c r="G1027" s="226"/>
      <c r="H1027" s="227"/>
      <c r="I1027" s="226"/>
      <c r="J1027" s="226"/>
      <c r="K1027" s="226"/>
      <c r="L1027" s="315"/>
      <c r="M1027" s="216"/>
      <c r="N1027" s="254"/>
      <c r="O1027" s="216"/>
      <c r="P1027" s="216"/>
      <c r="Q1027" s="216"/>
      <c r="R1027" s="216"/>
      <c r="S1027" s="216"/>
      <c r="T1027" s="216"/>
      <c r="U1027" s="216"/>
      <c r="V1027" s="216"/>
      <c r="W1027" s="216"/>
      <c r="X1027" s="216"/>
      <c r="Z1027" s="216"/>
      <c r="AA1027" s="216"/>
      <c r="AB1027" s="216"/>
      <c r="AC1027" s="216"/>
      <c r="AD1027" s="216"/>
    </row>
    <row r="1028" spans="1:36" s="204" customFormat="1" x14ac:dyDescent="0.25">
      <c r="B1028" s="302"/>
      <c r="C1028" s="302"/>
      <c r="D1028" s="226"/>
      <c r="E1028" s="226"/>
      <c r="F1028" s="226"/>
      <c r="G1028" s="226"/>
      <c r="H1028" s="227"/>
      <c r="I1028" s="226"/>
      <c r="J1028" s="226"/>
      <c r="K1028" s="226"/>
      <c r="L1028" s="315"/>
      <c r="M1028" s="216"/>
      <c r="N1028" s="254"/>
      <c r="O1028" s="216"/>
      <c r="P1028" s="216"/>
      <c r="Q1028" s="216"/>
      <c r="R1028" s="216"/>
      <c r="S1028" s="216"/>
      <c r="T1028" s="216"/>
      <c r="U1028" s="216"/>
      <c r="V1028" s="216"/>
      <c r="W1028" s="216"/>
      <c r="X1028" s="216"/>
      <c r="Z1028" s="216"/>
      <c r="AA1028" s="216"/>
      <c r="AB1028" s="216"/>
      <c r="AC1028" s="216"/>
      <c r="AD1028" s="216"/>
    </row>
    <row r="1029" spans="1:36" s="204" customFormat="1" x14ac:dyDescent="0.25">
      <c r="B1029" s="302"/>
      <c r="C1029" s="302"/>
      <c r="D1029" s="226"/>
      <c r="E1029" s="226"/>
      <c r="F1029" s="226"/>
      <c r="G1029" s="226"/>
      <c r="H1029" s="227"/>
      <c r="I1029" s="226"/>
      <c r="J1029" s="226"/>
      <c r="K1029" s="226"/>
      <c r="L1029" s="315"/>
      <c r="M1029" s="216"/>
      <c r="N1029" s="254"/>
      <c r="O1029" s="216"/>
      <c r="P1029" s="216"/>
      <c r="Q1029" s="216"/>
      <c r="R1029" s="216"/>
      <c r="S1029" s="216"/>
      <c r="T1029" s="216"/>
      <c r="U1029" s="216"/>
      <c r="V1029" s="216"/>
      <c r="W1029" s="216"/>
      <c r="X1029" s="216"/>
      <c r="Z1029" s="216"/>
      <c r="AA1029" s="216"/>
      <c r="AB1029" s="216"/>
      <c r="AC1029" s="216"/>
      <c r="AD1029" s="216"/>
    </row>
    <row r="1030" spans="1:36" s="204" customFormat="1" x14ac:dyDescent="0.25">
      <c r="B1030" s="246" t="s">
        <v>2584</v>
      </c>
      <c r="C1030" s="292" t="s">
        <v>2585</v>
      </c>
      <c r="D1030" s="247" t="s">
        <v>4094</v>
      </c>
      <c r="E1030" s="247"/>
      <c r="F1030" s="247"/>
      <c r="G1030" s="247"/>
      <c r="H1030" s="248"/>
      <c r="I1030" s="247"/>
      <c r="J1030" s="247"/>
      <c r="K1030" s="249"/>
      <c r="L1030" s="441" t="s">
        <v>2587</v>
      </c>
      <c r="M1030" s="251" t="s">
        <v>2962</v>
      </c>
      <c r="N1030" s="252">
        <f>+N1034+N1035+N1042+N1043</f>
        <v>0</v>
      </c>
      <c r="O1030" s="252">
        <f>+O1034+O1035+O1042+O1043</f>
        <v>0</v>
      </c>
      <c r="P1030" s="253">
        <f>+O1030-N1030</f>
        <v>0</v>
      </c>
      <c r="Q1030" s="252">
        <f>+Q1034+Q1035+Q1042+Q1043</f>
        <v>0</v>
      </c>
      <c r="R1030" s="252">
        <f>+R1034+R1035+R1042+R1043</f>
        <v>0</v>
      </c>
      <c r="S1030" s="252">
        <f>+S1034+S1035+S1042+S1043</f>
        <v>0</v>
      </c>
      <c r="T1030" s="252">
        <f>+T1034+T1035+T1042+T1043</f>
        <v>0</v>
      </c>
      <c r="U1030" s="252"/>
      <c r="V1030" s="252">
        <f t="shared" ref="V1030:AJ1030" si="215">+V1034+V1035+V1042+V1043</f>
        <v>0</v>
      </c>
      <c r="W1030" s="252">
        <f t="shared" si="215"/>
        <v>0</v>
      </c>
      <c r="X1030" s="252">
        <f t="shared" si="215"/>
        <v>0</v>
      </c>
      <c r="Y1030" s="252">
        <f t="shared" si="215"/>
        <v>0</v>
      </c>
      <c r="Z1030" s="252">
        <f t="shared" si="215"/>
        <v>0</v>
      </c>
      <c r="AA1030" s="252">
        <f t="shared" si="215"/>
        <v>0</v>
      </c>
      <c r="AB1030" s="252">
        <f t="shared" si="215"/>
        <v>0</v>
      </c>
      <c r="AC1030" s="252">
        <f t="shared" si="215"/>
        <v>0</v>
      </c>
      <c r="AD1030" s="252">
        <f t="shared" si="215"/>
        <v>0</v>
      </c>
      <c r="AE1030" s="252">
        <f t="shared" si="215"/>
        <v>0</v>
      </c>
      <c r="AF1030" s="252">
        <f t="shared" si="215"/>
        <v>0</v>
      </c>
      <c r="AG1030" s="252">
        <f t="shared" si="215"/>
        <v>0</v>
      </c>
      <c r="AH1030" s="252">
        <f t="shared" si="215"/>
        <v>0</v>
      </c>
      <c r="AI1030" s="252">
        <f t="shared" si="215"/>
        <v>0</v>
      </c>
      <c r="AJ1030" s="252">
        <f t="shared" si="215"/>
        <v>0</v>
      </c>
    </row>
    <row r="1031" spans="1:36" s="204" customFormat="1" x14ac:dyDescent="0.25">
      <c r="B1031" s="298"/>
      <c r="C1031" s="298"/>
      <c r="D1031" s="226"/>
      <c r="E1031" s="226"/>
      <c r="F1031" s="226"/>
      <c r="G1031" s="226"/>
      <c r="H1031" s="227"/>
      <c r="I1031" s="226"/>
      <c r="J1031" s="226"/>
      <c r="K1031" s="226"/>
      <c r="L1031" s="403"/>
      <c r="M1031" s="278"/>
      <c r="N1031" s="279"/>
      <c r="O1031" s="279"/>
      <c r="P1031" s="404"/>
      <c r="Q1031" s="216"/>
      <c r="R1031" s="279"/>
      <c r="S1031" s="216"/>
      <c r="T1031" s="216"/>
      <c r="U1031" s="216"/>
      <c r="V1031" s="216"/>
      <c r="W1031" s="216"/>
      <c r="X1031" s="216"/>
      <c r="Z1031" s="216"/>
      <c r="AA1031" s="216"/>
      <c r="AB1031" s="216"/>
      <c r="AC1031" s="216"/>
      <c r="AD1031" s="216"/>
    </row>
    <row r="1032" spans="1:36" s="204" customFormat="1" ht="15.75" customHeight="1" x14ac:dyDescent="0.25">
      <c r="B1032" s="293"/>
      <c r="C1032" s="293"/>
      <c r="D1032" s="230"/>
      <c r="E1032" s="230"/>
      <c r="F1032" s="230"/>
      <c r="G1032" s="230"/>
      <c r="H1032" s="231"/>
      <c r="I1032" s="230"/>
      <c r="J1032" s="230"/>
      <c r="K1032" s="230"/>
      <c r="L1032" s="232"/>
      <c r="M1032" s="211"/>
      <c r="N1032" s="254"/>
      <c r="O1032" s="211"/>
      <c r="P1032" s="211"/>
      <c r="Q1032" s="216"/>
      <c r="R1032" s="211"/>
      <c r="S1032" s="211"/>
      <c r="U1032" s="902" t="s">
        <v>3495</v>
      </c>
      <c r="V1032" s="902"/>
      <c r="W1032" s="485"/>
      <c r="X1032" s="903" t="s">
        <v>3496</v>
      </c>
      <c r="Y1032" s="903"/>
      <c r="Z1032" s="211"/>
      <c r="AA1032" s="211"/>
      <c r="AB1032" s="211"/>
      <c r="AC1032" s="904" t="str">
        <f>+AC1024</f>
        <v>VALORE DEI DEBITI AL 31/12/2020 PER ANNO DI FORMAZIONE</v>
      </c>
      <c r="AD1032" s="904"/>
      <c r="AE1032" s="904"/>
      <c r="AF1032" s="904"/>
      <c r="AG1032" s="904"/>
      <c r="AH1032" s="905" t="str">
        <f>+AH1024</f>
        <v>Debiti al 31/12/2020 per scadenza</v>
      </c>
      <c r="AI1032" s="905"/>
      <c r="AJ1032" s="905"/>
    </row>
    <row r="1033" spans="1:36" s="217" customFormat="1" ht="63.75" x14ac:dyDescent="0.25">
      <c r="A1033" s="204"/>
      <c r="B1033" s="294" t="s">
        <v>2968</v>
      </c>
      <c r="C1033" s="294" t="s">
        <v>2969</v>
      </c>
      <c r="D1033" s="206" t="s">
        <v>72</v>
      </c>
      <c r="E1033" s="206"/>
      <c r="F1033" s="206"/>
      <c r="G1033" s="207"/>
      <c r="H1033" s="207"/>
      <c r="I1033" s="207"/>
      <c r="J1033" s="207" t="s">
        <v>2957</v>
      </c>
      <c r="K1033" s="206" t="s">
        <v>82</v>
      </c>
      <c r="L1033" s="431" t="s">
        <v>3670</v>
      </c>
      <c r="M1033" s="480"/>
      <c r="N1033" s="256" t="str">
        <f>N$15</f>
        <v>Valore netto al 31/12/2019</v>
      </c>
      <c r="O1033" s="256" t="str">
        <f>O$15</f>
        <v>Valore netto al 31/12/2020</v>
      </c>
      <c r="P1033" s="256" t="str">
        <f>P$15</f>
        <v>Variazione</v>
      </c>
      <c r="Q1033" s="262" t="s">
        <v>2971</v>
      </c>
      <c r="R1033" s="262" t="s">
        <v>3517</v>
      </c>
      <c r="S1033" s="262" t="s">
        <v>2972</v>
      </c>
      <c r="T1033" s="486" t="s">
        <v>3995</v>
      </c>
      <c r="U1033" s="337" t="s">
        <v>3996</v>
      </c>
      <c r="V1033" s="337" t="s">
        <v>3495</v>
      </c>
      <c r="W1033" s="262" t="s">
        <v>2975</v>
      </c>
      <c r="X1033" s="338" t="s">
        <v>3498</v>
      </c>
      <c r="Y1033" s="338" t="s">
        <v>3499</v>
      </c>
      <c r="Z1033" s="262" t="s">
        <v>3815</v>
      </c>
      <c r="AA1033" s="377" t="s">
        <v>3997</v>
      </c>
      <c r="AB1033" s="377" t="s">
        <v>3998</v>
      </c>
      <c r="AC1033" s="339" t="s">
        <v>3503</v>
      </c>
      <c r="AD1033" s="339" t="s">
        <v>3504</v>
      </c>
      <c r="AE1033" s="339" t="s">
        <v>3505</v>
      </c>
      <c r="AF1033" s="339" t="s">
        <v>3506</v>
      </c>
      <c r="AG1033" s="339" t="s">
        <v>3507</v>
      </c>
      <c r="AH1033" s="340" t="s">
        <v>3508</v>
      </c>
      <c r="AI1033" s="340" t="s">
        <v>3509</v>
      </c>
      <c r="AJ1033" s="340" t="s">
        <v>3510</v>
      </c>
    </row>
    <row r="1034" spans="1:36" s="217" customFormat="1" x14ac:dyDescent="0.25">
      <c r="A1034" s="204"/>
      <c r="B1034" s="246" t="s">
        <v>2588</v>
      </c>
      <c r="C1034" s="287" t="s">
        <v>2589</v>
      </c>
      <c r="D1034" s="380" t="s">
        <v>4095</v>
      </c>
      <c r="E1034" s="274"/>
      <c r="F1034" s="274"/>
      <c r="G1034" s="283"/>
      <c r="H1034" s="266"/>
      <c r="I1034" s="274"/>
      <c r="J1034" s="281"/>
      <c r="K1034" s="281"/>
      <c r="L1034" s="295" t="s">
        <v>2592</v>
      </c>
      <c r="M1034" s="284" t="s">
        <v>2962</v>
      </c>
      <c r="N1034" s="408">
        <f>+R1034</f>
        <v>0</v>
      </c>
      <c r="O1034" s="408">
        <f>+Z1034</f>
        <v>0</v>
      </c>
      <c r="P1034" s="271">
        <f>+O1034-N1034</f>
        <v>0</v>
      </c>
      <c r="Q1034" s="520"/>
      <c r="R1034" s="354">
        <f>IF(ISERROR(VLOOKUP("RIC"&amp;$C1034,ESTR_PREC_SP!$A$2:$G$2000,4,FALSE))=TRUE,0,VLOOKUP("RIC"&amp;$C1034,ESTR_PREC_SP!$A$2:$G$2000,4,FALSE))</f>
        <v>0</v>
      </c>
      <c r="S1034" s="520"/>
      <c r="T1034" s="544"/>
      <c r="U1034" s="520"/>
      <c r="V1034" s="520"/>
      <c r="W1034" s="520"/>
      <c r="X1034" s="520"/>
      <c r="Y1034" s="520"/>
      <c r="Z1034" s="269">
        <f>+R1034+S1034+U1034+V1034-X1034-Y1034+W1034+Q1034</f>
        <v>0</v>
      </c>
      <c r="AA1034" s="534"/>
      <c r="AB1034" s="544"/>
      <c r="AC1034" s="520"/>
      <c r="AD1034" s="520"/>
      <c r="AE1034" s="520"/>
      <c r="AF1034" s="520"/>
      <c r="AG1034" s="526">
        <f>+Z1034-SUM(AC1034:AF1034)</f>
        <v>0</v>
      </c>
      <c r="AH1034" s="526">
        <f>+Z1034-SUM(AI1034:AJ1034)</f>
        <v>0</v>
      </c>
      <c r="AI1034" s="520"/>
      <c r="AJ1034" s="520"/>
    </row>
    <row r="1035" spans="1:36" s="217" customFormat="1" x14ac:dyDescent="0.25">
      <c r="A1035" s="204"/>
      <c r="B1035" s="246" t="s">
        <v>2593</v>
      </c>
      <c r="C1035" s="287" t="s">
        <v>2594</v>
      </c>
      <c r="D1035" s="380" t="s">
        <v>4096</v>
      </c>
      <c r="E1035" s="274"/>
      <c r="F1035" s="274"/>
      <c r="G1035" s="283"/>
      <c r="H1035" s="266"/>
      <c r="I1035" s="274"/>
      <c r="J1035" s="281"/>
      <c r="K1035" s="281"/>
      <c r="L1035" s="295" t="s">
        <v>2597</v>
      </c>
      <c r="M1035" s="284" t="s">
        <v>2962</v>
      </c>
      <c r="N1035" s="378">
        <f>SUM(N1036:N1041)</f>
        <v>0</v>
      </c>
      <c r="O1035" s="378">
        <f>SUM(O1036:O1041)</f>
        <v>0</v>
      </c>
      <c r="P1035" s="378">
        <f>+O1035-N1035</f>
        <v>0</v>
      </c>
      <c r="Q1035" s="378">
        <f t="shared" ref="Q1035:AF1035" si="216">SUM(Q1036:Q1041)</f>
        <v>0</v>
      </c>
      <c r="R1035" s="378">
        <f t="shared" si="216"/>
        <v>0</v>
      </c>
      <c r="S1035" s="378">
        <f t="shared" si="216"/>
        <v>0</v>
      </c>
      <c r="T1035" s="378">
        <f t="shared" si="216"/>
        <v>0</v>
      </c>
      <c r="U1035" s="378">
        <f t="shared" si="216"/>
        <v>0</v>
      </c>
      <c r="V1035" s="378">
        <f t="shared" si="216"/>
        <v>0</v>
      </c>
      <c r="W1035" s="378">
        <f t="shared" si="216"/>
        <v>0</v>
      </c>
      <c r="X1035" s="378">
        <f t="shared" si="216"/>
        <v>0</v>
      </c>
      <c r="Y1035" s="378">
        <f t="shared" si="216"/>
        <v>0</v>
      </c>
      <c r="Z1035" s="540">
        <f t="shared" si="216"/>
        <v>0</v>
      </c>
      <c r="AA1035" s="378">
        <f t="shared" si="216"/>
        <v>0</v>
      </c>
      <c r="AB1035" s="378">
        <f t="shared" si="216"/>
        <v>0</v>
      </c>
      <c r="AC1035" s="378">
        <f t="shared" si="216"/>
        <v>0</v>
      </c>
      <c r="AD1035" s="378">
        <f t="shared" si="216"/>
        <v>0</v>
      </c>
      <c r="AE1035" s="378">
        <f t="shared" si="216"/>
        <v>0</v>
      </c>
      <c r="AF1035" s="378">
        <f t="shared" si="216"/>
        <v>0</v>
      </c>
      <c r="AG1035" s="537">
        <f>+Z1035-SUM(AC1035:AF1035)</f>
        <v>0</v>
      </c>
      <c r="AH1035" s="537">
        <f>+Z1035-SUM(AI1035:AJ1035)</f>
        <v>0</v>
      </c>
      <c r="AI1035" s="378">
        <f>SUM(AI1036:AI1041)</f>
        <v>0</v>
      </c>
      <c r="AJ1035" s="378">
        <f>SUM(AJ1036:AJ1041)</f>
        <v>0</v>
      </c>
    </row>
    <row r="1036" spans="1:36" s="217" customFormat="1" x14ac:dyDescent="0.25">
      <c r="A1036" s="204"/>
      <c r="B1036" s="246" t="s">
        <v>2598</v>
      </c>
      <c r="C1036" s="287" t="s">
        <v>2599</v>
      </c>
      <c r="D1036" s="380" t="s">
        <v>4098</v>
      </c>
      <c r="E1036" s="274"/>
      <c r="F1036" s="274"/>
      <c r="G1036" s="283"/>
      <c r="H1036" s="266"/>
      <c r="I1036" s="274"/>
      <c r="J1036" s="281"/>
      <c r="K1036" s="281"/>
      <c r="L1036" s="430" t="s">
        <v>4099</v>
      </c>
      <c r="M1036" s="284" t="s">
        <v>2962</v>
      </c>
      <c r="N1036" s="354"/>
      <c r="O1036" s="354"/>
      <c r="P1036" s="354"/>
      <c r="Q1036" s="354"/>
      <c r="R1036" s="354">
        <f>IF(ISERROR(VLOOKUP("RIC"&amp;$C1036,ESTR_PREC_SP!$A$2:$G$2000,4,FALSE))=TRUE,0,VLOOKUP("RIC"&amp;$C1036,ESTR_PREC_SP!$A$2:$G$2000,4,FALSE))</f>
        <v>0</v>
      </c>
      <c r="S1036" s="354"/>
      <c r="T1036" s="354"/>
      <c r="U1036" s="354"/>
      <c r="V1036" s="354"/>
      <c r="W1036" s="354"/>
      <c r="X1036" s="354"/>
      <c r="Y1036" s="354"/>
      <c r="Z1036" s="354"/>
      <c r="AA1036" s="354"/>
      <c r="AB1036" s="354"/>
      <c r="AC1036" s="354"/>
      <c r="AD1036" s="354"/>
      <c r="AE1036" s="354"/>
      <c r="AF1036" s="354"/>
      <c r="AG1036" s="354"/>
      <c r="AH1036" s="354"/>
      <c r="AI1036" s="354"/>
      <c r="AJ1036" s="354"/>
    </row>
    <row r="1037" spans="1:36" s="217" customFormat="1" x14ac:dyDescent="0.25">
      <c r="A1037" s="204"/>
      <c r="B1037" s="246" t="s">
        <v>2601</v>
      </c>
      <c r="C1037" s="287" t="s">
        <v>2602</v>
      </c>
      <c r="D1037" s="287"/>
      <c r="E1037" s="411"/>
      <c r="F1037" s="411"/>
      <c r="G1037" s="412"/>
      <c r="H1037" s="413"/>
      <c r="I1037" s="411"/>
      <c r="J1037" s="411"/>
      <c r="K1037" s="411"/>
      <c r="L1037" s="508" t="s">
        <v>4100</v>
      </c>
      <c r="M1037" s="284" t="s">
        <v>2962</v>
      </c>
      <c r="N1037" s="408">
        <f t="shared" ref="N1037:N1042" si="217">+R1037</f>
        <v>0</v>
      </c>
      <c r="O1037" s="408">
        <f t="shared" ref="O1037:O1045" si="218">+Z1037</f>
        <v>0</v>
      </c>
      <c r="P1037" s="271">
        <f t="shared" ref="P1037:P1050" si="219">+O1037-N1037</f>
        <v>0</v>
      </c>
      <c r="Q1037" s="527"/>
      <c r="R1037" s="354">
        <f>IF(ISERROR(VLOOKUP("RIC"&amp;$C1037,ESTR_PREC_SP!$A$2:$G$2000,4,FALSE))=TRUE,0,VLOOKUP("RIC"&amp;$C1037,ESTR_PREC_SP!$A$2:$G$2000,4,FALSE))</f>
        <v>0</v>
      </c>
      <c r="S1037" s="527"/>
      <c r="T1037" s="355"/>
      <c r="U1037" s="527"/>
      <c r="V1037" s="527"/>
      <c r="W1037" s="527"/>
      <c r="X1037" s="527"/>
      <c r="Y1037" s="527"/>
      <c r="Z1037" s="529">
        <f t="shared" ref="Z1037:Z1042" si="220">+R1037+S1037+U1037+V1037-X1037-Y1037+W1037+Q1037</f>
        <v>0</v>
      </c>
      <c r="AA1037" s="546"/>
      <c r="AB1037" s="355"/>
      <c r="AC1037" s="520"/>
      <c r="AD1037" s="520"/>
      <c r="AE1037" s="520"/>
      <c r="AF1037" s="520"/>
      <c r="AG1037" s="526">
        <f t="shared" ref="AG1037:AG1050" si="221">+Z1037-SUM(AC1037:AF1037)</f>
        <v>0</v>
      </c>
      <c r="AH1037" s="526">
        <f t="shared" ref="AH1037:AH1050" si="222">+Z1037-SUM(AI1037:AJ1037)</f>
        <v>0</v>
      </c>
      <c r="AI1037" s="520"/>
      <c r="AJ1037" s="520"/>
    </row>
    <row r="1038" spans="1:36" s="217" customFormat="1" x14ac:dyDescent="0.25">
      <c r="A1038" s="204"/>
      <c r="B1038" s="246" t="s">
        <v>2604</v>
      </c>
      <c r="C1038" s="287" t="s">
        <v>2605</v>
      </c>
      <c r="D1038" s="287"/>
      <c r="E1038" s="411"/>
      <c r="F1038" s="411"/>
      <c r="G1038" s="412"/>
      <c r="H1038" s="413"/>
      <c r="I1038" s="411"/>
      <c r="J1038" s="411"/>
      <c r="K1038" s="411"/>
      <c r="L1038" s="508" t="s">
        <v>4101</v>
      </c>
      <c r="M1038" s="284" t="s">
        <v>2962</v>
      </c>
      <c r="N1038" s="408">
        <f t="shared" si="217"/>
        <v>0</v>
      </c>
      <c r="O1038" s="408">
        <f t="shared" si="218"/>
        <v>0</v>
      </c>
      <c r="P1038" s="271">
        <f t="shared" si="219"/>
        <v>0</v>
      </c>
      <c r="Q1038" s="527"/>
      <c r="R1038" s="354">
        <f>IF(ISERROR(VLOOKUP("RIC"&amp;$C1038,ESTR_PREC_SP!$A$2:$G$2000,4,FALSE))=TRUE,0,VLOOKUP("RIC"&amp;$C1038,ESTR_PREC_SP!$A$2:$G$2000,4,FALSE))</f>
        <v>0</v>
      </c>
      <c r="S1038" s="527"/>
      <c r="T1038" s="355"/>
      <c r="U1038" s="527"/>
      <c r="V1038" s="527"/>
      <c r="W1038" s="527"/>
      <c r="X1038" s="527"/>
      <c r="Y1038" s="527"/>
      <c r="Z1038" s="529">
        <f t="shared" si="220"/>
        <v>0</v>
      </c>
      <c r="AA1038" s="546"/>
      <c r="AB1038" s="355"/>
      <c r="AC1038" s="520"/>
      <c r="AD1038" s="520"/>
      <c r="AE1038" s="520"/>
      <c r="AF1038" s="520"/>
      <c r="AG1038" s="526">
        <f t="shared" si="221"/>
        <v>0</v>
      </c>
      <c r="AH1038" s="526">
        <f t="shared" si="222"/>
        <v>0</v>
      </c>
      <c r="AI1038" s="520"/>
      <c r="AJ1038" s="520"/>
    </row>
    <row r="1039" spans="1:36" s="217" customFormat="1" x14ac:dyDescent="0.25">
      <c r="A1039" s="204"/>
      <c r="B1039" s="246" t="s">
        <v>2607</v>
      </c>
      <c r="C1039" s="287" t="s">
        <v>2608</v>
      </c>
      <c r="D1039" s="380" t="s">
        <v>4102</v>
      </c>
      <c r="E1039" s="274"/>
      <c r="F1039" s="274"/>
      <c r="G1039" s="283"/>
      <c r="H1039" s="266"/>
      <c r="I1039" s="274"/>
      <c r="J1039" s="281"/>
      <c r="K1039" s="281"/>
      <c r="L1039" s="430" t="s">
        <v>4103</v>
      </c>
      <c r="M1039" s="284" t="s">
        <v>2962</v>
      </c>
      <c r="N1039" s="408">
        <f t="shared" si="217"/>
        <v>0</v>
      </c>
      <c r="O1039" s="408">
        <f t="shared" si="218"/>
        <v>0</v>
      </c>
      <c r="P1039" s="271">
        <f t="shared" si="219"/>
        <v>0</v>
      </c>
      <c r="Q1039" s="527"/>
      <c r="R1039" s="354">
        <f>IF(ISERROR(VLOOKUP("RIC"&amp;$C1039,ESTR_PREC_SP!$A$2:$G$2000,4,FALSE))=TRUE,0,VLOOKUP("RIC"&amp;$C1039,ESTR_PREC_SP!$A$2:$G$2000,4,FALSE))</f>
        <v>0</v>
      </c>
      <c r="S1039" s="527"/>
      <c r="T1039" s="355"/>
      <c r="U1039" s="527"/>
      <c r="V1039" s="527"/>
      <c r="W1039" s="527"/>
      <c r="X1039" s="527"/>
      <c r="Y1039" s="527"/>
      <c r="Z1039" s="529">
        <f t="shared" si="220"/>
        <v>0</v>
      </c>
      <c r="AA1039" s="546"/>
      <c r="AB1039" s="355"/>
      <c r="AC1039" s="520"/>
      <c r="AD1039" s="520"/>
      <c r="AE1039" s="520"/>
      <c r="AF1039" s="520"/>
      <c r="AG1039" s="526">
        <f t="shared" si="221"/>
        <v>0</v>
      </c>
      <c r="AH1039" s="526">
        <f t="shared" si="222"/>
        <v>0</v>
      </c>
      <c r="AI1039" s="520"/>
      <c r="AJ1039" s="520"/>
    </row>
    <row r="1040" spans="1:36" s="217" customFormat="1" x14ac:dyDescent="0.25">
      <c r="A1040" s="204"/>
      <c r="B1040" s="246" t="s">
        <v>2610</v>
      </c>
      <c r="C1040" s="287" t="s">
        <v>2611</v>
      </c>
      <c r="D1040" s="380" t="s">
        <v>4104</v>
      </c>
      <c r="E1040" s="274"/>
      <c r="F1040" s="274"/>
      <c r="G1040" s="283"/>
      <c r="H1040" s="266"/>
      <c r="I1040" s="274"/>
      <c r="J1040" s="281"/>
      <c r="K1040" s="281"/>
      <c r="L1040" s="430" t="s">
        <v>4105</v>
      </c>
      <c r="M1040" s="284" t="s">
        <v>2962</v>
      </c>
      <c r="N1040" s="408">
        <f t="shared" si="217"/>
        <v>0</v>
      </c>
      <c r="O1040" s="408">
        <f t="shared" si="218"/>
        <v>0</v>
      </c>
      <c r="P1040" s="271">
        <f t="shared" si="219"/>
        <v>0</v>
      </c>
      <c r="Q1040" s="527"/>
      <c r="R1040" s="354">
        <f>IF(ISERROR(VLOOKUP("RIC"&amp;$C1040,ESTR_PREC_SP!$A$2:$G$2000,4,FALSE))=TRUE,0,VLOOKUP("RIC"&amp;$C1040,ESTR_PREC_SP!$A$2:$G$2000,4,FALSE))</f>
        <v>0</v>
      </c>
      <c r="S1040" s="527"/>
      <c r="T1040" s="355"/>
      <c r="U1040" s="527"/>
      <c r="V1040" s="527"/>
      <c r="W1040" s="527"/>
      <c r="X1040" s="527"/>
      <c r="Y1040" s="527"/>
      <c r="Z1040" s="529">
        <f t="shared" si="220"/>
        <v>0</v>
      </c>
      <c r="AA1040" s="546"/>
      <c r="AB1040" s="355"/>
      <c r="AC1040" s="520"/>
      <c r="AD1040" s="520"/>
      <c r="AE1040" s="520"/>
      <c r="AF1040" s="520"/>
      <c r="AG1040" s="526">
        <f t="shared" si="221"/>
        <v>0</v>
      </c>
      <c r="AH1040" s="526">
        <f t="shared" si="222"/>
        <v>0</v>
      </c>
      <c r="AI1040" s="520"/>
      <c r="AJ1040" s="520"/>
    </row>
    <row r="1041" spans="1:36" s="217" customFormat="1" x14ac:dyDescent="0.25">
      <c r="A1041" s="204"/>
      <c r="B1041" s="246" t="s">
        <v>2613</v>
      </c>
      <c r="C1041" s="287" t="s">
        <v>2614</v>
      </c>
      <c r="D1041" s="380" t="s">
        <v>4106</v>
      </c>
      <c r="E1041" s="274"/>
      <c r="F1041" s="274"/>
      <c r="G1041" s="283"/>
      <c r="H1041" s="266"/>
      <c r="I1041" s="274"/>
      <c r="J1041" s="281"/>
      <c r="K1041" s="281"/>
      <c r="L1041" s="430" t="s">
        <v>4107</v>
      </c>
      <c r="M1041" s="284" t="s">
        <v>2962</v>
      </c>
      <c r="N1041" s="408">
        <f t="shared" si="217"/>
        <v>0</v>
      </c>
      <c r="O1041" s="408">
        <f t="shared" si="218"/>
        <v>0</v>
      </c>
      <c r="P1041" s="271">
        <f t="shared" si="219"/>
        <v>0</v>
      </c>
      <c r="Q1041" s="527"/>
      <c r="R1041" s="354">
        <f>IF(ISERROR(VLOOKUP("RIC"&amp;$C1041,ESTR_PREC_SP!$A$2:$G$2000,4,FALSE))=TRUE,0,VLOOKUP("RIC"&amp;$C1041,ESTR_PREC_SP!$A$2:$G$2000,4,FALSE))</f>
        <v>0</v>
      </c>
      <c r="S1041" s="527"/>
      <c r="T1041" s="355"/>
      <c r="U1041" s="527"/>
      <c r="V1041" s="527"/>
      <c r="W1041" s="527"/>
      <c r="X1041" s="527"/>
      <c r="Y1041" s="527"/>
      <c r="Z1041" s="529">
        <f t="shared" si="220"/>
        <v>0</v>
      </c>
      <c r="AA1041" s="546"/>
      <c r="AB1041" s="355"/>
      <c r="AC1041" s="520"/>
      <c r="AD1041" s="520"/>
      <c r="AE1041" s="520"/>
      <c r="AF1041" s="520"/>
      <c r="AG1041" s="526">
        <f t="shared" si="221"/>
        <v>0</v>
      </c>
      <c r="AH1041" s="526">
        <f t="shared" si="222"/>
        <v>0</v>
      </c>
      <c r="AI1041" s="520"/>
      <c r="AJ1041" s="520"/>
    </row>
    <row r="1042" spans="1:36" s="217" customFormat="1" x14ac:dyDescent="0.25">
      <c r="A1042" s="204"/>
      <c r="B1042" s="246" t="s">
        <v>2616</v>
      </c>
      <c r="C1042" s="287" t="s">
        <v>2617</v>
      </c>
      <c r="D1042" s="380" t="s">
        <v>4108</v>
      </c>
      <c r="E1042" s="274"/>
      <c r="F1042" s="274"/>
      <c r="G1042" s="283"/>
      <c r="H1042" s="266"/>
      <c r="I1042" s="274"/>
      <c r="J1042" s="281"/>
      <c r="K1042" s="281"/>
      <c r="L1042" s="295" t="s">
        <v>2619</v>
      </c>
      <c r="M1042" s="284" t="s">
        <v>2962</v>
      </c>
      <c r="N1042" s="408">
        <f t="shared" si="217"/>
        <v>0</v>
      </c>
      <c r="O1042" s="408">
        <f t="shared" si="218"/>
        <v>0</v>
      </c>
      <c r="P1042" s="271">
        <f t="shared" si="219"/>
        <v>0</v>
      </c>
      <c r="Q1042" s="527"/>
      <c r="R1042" s="354">
        <f>IF(ISERROR(VLOOKUP("RIC"&amp;$C1042,ESTR_PREC_SP!$A$2:$G$2000,4,FALSE))=TRUE,0,VLOOKUP("RIC"&amp;$C1042,ESTR_PREC_SP!$A$2:$G$2000,4,FALSE))</f>
        <v>0</v>
      </c>
      <c r="S1042" s="527"/>
      <c r="T1042" s="355"/>
      <c r="U1042" s="527"/>
      <c r="V1042" s="527"/>
      <c r="W1042" s="527"/>
      <c r="X1042" s="527"/>
      <c r="Y1042" s="527"/>
      <c r="Z1042" s="529">
        <f t="shared" si="220"/>
        <v>0</v>
      </c>
      <c r="AA1042" s="546"/>
      <c r="AB1042" s="355"/>
      <c r="AC1042" s="520"/>
      <c r="AD1042" s="520"/>
      <c r="AE1042" s="520"/>
      <c r="AF1042" s="520"/>
      <c r="AG1042" s="526">
        <f t="shared" si="221"/>
        <v>0</v>
      </c>
      <c r="AH1042" s="526">
        <f t="shared" si="222"/>
        <v>0</v>
      </c>
      <c r="AI1042" s="520"/>
      <c r="AJ1042" s="520"/>
    </row>
    <row r="1043" spans="1:36" s="217" customFormat="1" x14ac:dyDescent="0.25">
      <c r="A1043" s="204"/>
      <c r="B1043" s="246" t="s">
        <v>2620</v>
      </c>
      <c r="C1043" s="287" t="s">
        <v>2621</v>
      </c>
      <c r="D1043" s="380" t="s">
        <v>4109</v>
      </c>
      <c r="E1043" s="274"/>
      <c r="F1043" s="274"/>
      <c r="G1043" s="283"/>
      <c r="H1043" s="266"/>
      <c r="I1043" s="274"/>
      <c r="J1043" s="281"/>
      <c r="K1043" s="281"/>
      <c r="L1043" s="295" t="s">
        <v>2623</v>
      </c>
      <c r="M1043" s="380" t="s">
        <v>2962</v>
      </c>
      <c r="N1043" s="668">
        <f>+N1044+N1045+N1046</f>
        <v>0</v>
      </c>
      <c r="O1043" s="668">
        <f t="shared" si="218"/>
        <v>0</v>
      </c>
      <c r="P1043" s="668">
        <f t="shared" si="219"/>
        <v>0</v>
      </c>
      <c r="Q1043" s="378">
        <f t="shared" ref="Q1043:AF1043" si="223">+Q1044+Q1045+Q1046</f>
        <v>0</v>
      </c>
      <c r="R1043" s="378">
        <f t="shared" si="223"/>
        <v>0</v>
      </c>
      <c r="S1043" s="378">
        <f t="shared" si="223"/>
        <v>0</v>
      </c>
      <c r="T1043" s="378">
        <f t="shared" si="223"/>
        <v>0</v>
      </c>
      <c r="U1043" s="378">
        <f t="shared" si="223"/>
        <v>0</v>
      </c>
      <c r="V1043" s="378">
        <f t="shared" si="223"/>
        <v>0</v>
      </c>
      <c r="W1043" s="378">
        <f t="shared" si="223"/>
        <v>0</v>
      </c>
      <c r="X1043" s="378">
        <f t="shared" si="223"/>
        <v>0</v>
      </c>
      <c r="Y1043" s="378">
        <f t="shared" si="223"/>
        <v>0</v>
      </c>
      <c r="Z1043" s="378">
        <f t="shared" si="223"/>
        <v>0</v>
      </c>
      <c r="AA1043" s="378">
        <f t="shared" si="223"/>
        <v>0</v>
      </c>
      <c r="AB1043" s="378">
        <f t="shared" si="223"/>
        <v>0</v>
      </c>
      <c r="AC1043" s="378">
        <f t="shared" si="223"/>
        <v>0</v>
      </c>
      <c r="AD1043" s="378">
        <f t="shared" si="223"/>
        <v>0</v>
      </c>
      <c r="AE1043" s="378">
        <f t="shared" si="223"/>
        <v>0</v>
      </c>
      <c r="AF1043" s="378">
        <f t="shared" si="223"/>
        <v>0</v>
      </c>
      <c r="AG1043" s="537">
        <f t="shared" si="221"/>
        <v>0</v>
      </c>
      <c r="AH1043" s="537">
        <f t="shared" si="222"/>
        <v>0</v>
      </c>
      <c r="AI1043" s="378">
        <f>+AI1044+AI1045+AI1046</f>
        <v>0</v>
      </c>
      <c r="AJ1043" s="378">
        <f>+AJ1044+AJ1045+AJ1046</f>
        <v>0</v>
      </c>
    </row>
    <row r="1044" spans="1:36" s="217" customFormat="1" x14ac:dyDescent="0.25">
      <c r="A1044" s="204"/>
      <c r="B1044" s="246" t="s">
        <v>2624</v>
      </c>
      <c r="C1044" s="287" t="s">
        <v>2625</v>
      </c>
      <c r="D1044" s="380" t="s">
        <v>4110</v>
      </c>
      <c r="E1044" s="274"/>
      <c r="F1044" s="274"/>
      <c r="G1044" s="283"/>
      <c r="H1044" s="266"/>
      <c r="I1044" s="274"/>
      <c r="J1044" s="281"/>
      <c r="K1044" s="281"/>
      <c r="L1044" s="509" t="s">
        <v>2627</v>
      </c>
      <c r="M1044" s="284" t="s">
        <v>2962</v>
      </c>
      <c r="N1044" s="408">
        <f>+R1044</f>
        <v>0</v>
      </c>
      <c r="O1044" s="408">
        <f t="shared" si="218"/>
        <v>0</v>
      </c>
      <c r="P1044" s="271">
        <f t="shared" si="219"/>
        <v>0</v>
      </c>
      <c r="Q1044" s="527"/>
      <c r="R1044" s="354">
        <f>IF(ISERROR(VLOOKUP("RIC"&amp;$C1044,ESTR_PREC_SP!$A$2:$G$2000,4,FALSE))=TRUE,0,VLOOKUP("RIC"&amp;$C1044,ESTR_PREC_SP!$A$2:$G$2000,4,FALSE))</f>
        <v>0</v>
      </c>
      <c r="S1044" s="527"/>
      <c r="T1044" s="545"/>
      <c r="U1044" s="527"/>
      <c r="V1044" s="527"/>
      <c r="W1044" s="527"/>
      <c r="X1044" s="527"/>
      <c r="Y1044" s="527"/>
      <c r="Z1044" s="529">
        <f>+R1044+S1044+U1044+V1044-X1044-Y1044+W1044+Q1044</f>
        <v>0</v>
      </c>
      <c r="AA1044" s="546"/>
      <c r="AB1044" s="545"/>
      <c r="AC1044" s="520"/>
      <c r="AD1044" s="520"/>
      <c r="AE1044" s="520"/>
      <c r="AF1044" s="520"/>
      <c r="AG1044" s="526">
        <f t="shared" si="221"/>
        <v>0</v>
      </c>
      <c r="AH1044" s="526">
        <f t="shared" si="222"/>
        <v>0</v>
      </c>
      <c r="AI1044" s="520"/>
      <c r="AJ1044" s="520"/>
    </row>
    <row r="1045" spans="1:36" s="217" customFormat="1" x14ac:dyDescent="0.25">
      <c r="A1045" s="204"/>
      <c r="B1045" s="246" t="s">
        <v>2628</v>
      </c>
      <c r="C1045" s="287" t="s">
        <v>2629</v>
      </c>
      <c r="D1045" s="380" t="s">
        <v>4111</v>
      </c>
      <c r="E1045" s="274"/>
      <c r="F1045" s="274"/>
      <c r="G1045" s="283"/>
      <c r="H1045" s="266"/>
      <c r="I1045" s="274"/>
      <c r="J1045" s="281"/>
      <c r="K1045" s="281"/>
      <c r="L1045" s="509" t="s">
        <v>2630</v>
      </c>
      <c r="M1045" s="284" t="s">
        <v>2962</v>
      </c>
      <c r="N1045" s="408">
        <f>+R1045</f>
        <v>0</v>
      </c>
      <c r="O1045" s="408">
        <f t="shared" si="218"/>
        <v>0</v>
      </c>
      <c r="P1045" s="271">
        <f t="shared" si="219"/>
        <v>0</v>
      </c>
      <c r="Q1045" s="527"/>
      <c r="R1045" s="354">
        <f>IF(ISERROR(VLOOKUP("RIC"&amp;$C1045,ESTR_PREC_SP!$A$2:$G$2000,4,FALSE))=TRUE,0,VLOOKUP("RIC"&amp;$C1045,ESTR_PREC_SP!$A$2:$G$2000,4,FALSE))</f>
        <v>0</v>
      </c>
      <c r="S1045" s="527"/>
      <c r="T1045" s="545"/>
      <c r="U1045" s="527"/>
      <c r="V1045" s="527"/>
      <c r="W1045" s="527"/>
      <c r="X1045" s="527"/>
      <c r="Y1045" s="527"/>
      <c r="Z1045" s="529">
        <f>+R1045+S1045+U1045+V1045-X1045-Y1045+W1045+Q1045</f>
        <v>0</v>
      </c>
      <c r="AA1045" s="546"/>
      <c r="AB1045" s="545"/>
      <c r="AC1045" s="520"/>
      <c r="AD1045" s="520"/>
      <c r="AE1045" s="520"/>
      <c r="AF1045" s="520"/>
      <c r="AG1045" s="526">
        <f t="shared" si="221"/>
        <v>0</v>
      </c>
      <c r="AH1045" s="526">
        <f t="shared" si="222"/>
        <v>0</v>
      </c>
      <c r="AI1045" s="520"/>
      <c r="AJ1045" s="520"/>
    </row>
    <row r="1046" spans="1:36" s="217" customFormat="1" x14ac:dyDescent="0.25">
      <c r="A1046" s="204"/>
      <c r="B1046" s="246" t="s">
        <v>2631</v>
      </c>
      <c r="C1046" s="287" t="s">
        <v>2632</v>
      </c>
      <c r="D1046" s="380" t="s">
        <v>4112</v>
      </c>
      <c r="E1046" s="274"/>
      <c r="F1046" s="274"/>
      <c r="G1046" s="283"/>
      <c r="H1046" s="266"/>
      <c r="I1046" s="274"/>
      <c r="J1046" s="281"/>
      <c r="K1046" s="281"/>
      <c r="L1046" s="509" t="s">
        <v>2633</v>
      </c>
      <c r="M1046" s="284" t="s">
        <v>2962</v>
      </c>
      <c r="N1046" s="378">
        <f>SUM(N1047:N1050)</f>
        <v>0</v>
      </c>
      <c r="O1046" s="378">
        <f>SUM(O1047:O1050)</f>
        <v>0</v>
      </c>
      <c r="P1046" s="378">
        <f t="shared" si="219"/>
        <v>0</v>
      </c>
      <c r="Q1046" s="378">
        <f t="shared" ref="Q1046:AF1046" si="224">SUM(Q1047:Q1050)</f>
        <v>0</v>
      </c>
      <c r="R1046" s="378">
        <f t="shared" si="224"/>
        <v>0</v>
      </c>
      <c r="S1046" s="378">
        <f t="shared" si="224"/>
        <v>0</v>
      </c>
      <c r="T1046" s="378">
        <f t="shared" si="224"/>
        <v>0</v>
      </c>
      <c r="U1046" s="378">
        <f t="shared" si="224"/>
        <v>0</v>
      </c>
      <c r="V1046" s="378">
        <f t="shared" si="224"/>
        <v>0</v>
      </c>
      <c r="W1046" s="378">
        <f t="shared" si="224"/>
        <v>0</v>
      </c>
      <c r="X1046" s="378">
        <f t="shared" si="224"/>
        <v>0</v>
      </c>
      <c r="Y1046" s="378">
        <f t="shared" si="224"/>
        <v>0</v>
      </c>
      <c r="Z1046" s="378">
        <f t="shared" si="224"/>
        <v>0</v>
      </c>
      <c r="AA1046" s="378">
        <f t="shared" si="224"/>
        <v>0</v>
      </c>
      <c r="AB1046" s="378">
        <f t="shared" si="224"/>
        <v>0</v>
      </c>
      <c r="AC1046" s="378">
        <f t="shared" si="224"/>
        <v>0</v>
      </c>
      <c r="AD1046" s="378">
        <f t="shared" si="224"/>
        <v>0</v>
      </c>
      <c r="AE1046" s="378">
        <f t="shared" si="224"/>
        <v>0</v>
      </c>
      <c r="AF1046" s="378">
        <f t="shared" si="224"/>
        <v>0</v>
      </c>
      <c r="AG1046" s="537">
        <f t="shared" si="221"/>
        <v>0</v>
      </c>
      <c r="AH1046" s="537">
        <f t="shared" si="222"/>
        <v>0</v>
      </c>
      <c r="AI1046" s="378">
        <f>SUM(AI1047:AI1050)</f>
        <v>0</v>
      </c>
      <c r="AJ1046" s="378">
        <f>SUM(AJ1047:AJ1050)</f>
        <v>0</v>
      </c>
    </row>
    <row r="1047" spans="1:36" s="217" customFormat="1" x14ac:dyDescent="0.25">
      <c r="A1047" s="204"/>
      <c r="B1047" s="246" t="s">
        <v>2634</v>
      </c>
      <c r="C1047" s="287" t="s">
        <v>2635</v>
      </c>
      <c r="D1047" s="380" t="s">
        <v>4113</v>
      </c>
      <c r="E1047" s="274"/>
      <c r="F1047" s="274"/>
      <c r="G1047" s="283"/>
      <c r="H1047" s="266"/>
      <c r="I1047" s="274"/>
      <c r="J1047" s="281"/>
      <c r="K1047" s="281"/>
      <c r="L1047" s="430" t="s">
        <v>4114</v>
      </c>
      <c r="M1047" s="284" t="s">
        <v>2962</v>
      </c>
      <c r="N1047" s="408">
        <f>+R1047</f>
        <v>0</v>
      </c>
      <c r="O1047" s="408">
        <f>+Z1047</f>
        <v>0</v>
      </c>
      <c r="P1047" s="271">
        <f t="shared" si="219"/>
        <v>0</v>
      </c>
      <c r="Q1047" s="527"/>
      <c r="R1047" s="354">
        <f>IF(ISERROR(VLOOKUP("RIC"&amp;$C1047,ESTR_PREC_SP!$A$2:$G$2000,4,FALSE))=TRUE,0,VLOOKUP("RIC"&amp;$C1047,ESTR_PREC_SP!$A$2:$G$2000,4,FALSE))</f>
        <v>0</v>
      </c>
      <c r="S1047" s="527"/>
      <c r="T1047" s="355"/>
      <c r="U1047" s="527"/>
      <c r="V1047" s="527"/>
      <c r="W1047" s="527"/>
      <c r="X1047" s="527"/>
      <c r="Y1047" s="527"/>
      <c r="Z1047" s="529">
        <f>+R1047+S1047+U1047+V1047-X1047-Y1047+W1047+Q1047</f>
        <v>0</v>
      </c>
      <c r="AA1047" s="355"/>
      <c r="AB1047" s="355"/>
      <c r="AC1047" s="520"/>
      <c r="AD1047" s="520"/>
      <c r="AE1047" s="520"/>
      <c r="AF1047" s="520"/>
      <c r="AG1047" s="526">
        <f t="shared" si="221"/>
        <v>0</v>
      </c>
      <c r="AH1047" s="526">
        <f t="shared" si="222"/>
        <v>0</v>
      </c>
      <c r="AI1047" s="520"/>
      <c r="AJ1047" s="520"/>
    </row>
    <row r="1048" spans="1:36" s="217" customFormat="1" hidden="1" x14ac:dyDescent="0.25">
      <c r="A1048" s="204"/>
      <c r="B1048" s="246" t="s">
        <v>2637</v>
      </c>
      <c r="C1048" s="287" t="s">
        <v>2638</v>
      </c>
      <c r="D1048" s="380" t="s">
        <v>4115</v>
      </c>
      <c r="E1048" s="274"/>
      <c r="F1048" s="274"/>
      <c r="G1048" s="283"/>
      <c r="H1048" s="266"/>
      <c r="I1048" s="274"/>
      <c r="J1048" s="281"/>
      <c r="K1048" s="281"/>
      <c r="L1048" s="430" t="s">
        <v>2639</v>
      </c>
      <c r="M1048" s="284" t="s">
        <v>2962</v>
      </c>
      <c r="N1048" s="408">
        <f>+R1048</f>
        <v>0</v>
      </c>
      <c r="O1048" s="408">
        <f>+Z1048</f>
        <v>0</v>
      </c>
      <c r="P1048" s="271">
        <f t="shared" si="219"/>
        <v>0</v>
      </c>
      <c r="Q1048" s="527"/>
      <c r="R1048" s="354">
        <f>IF(ISERROR(VLOOKUP("RIC"&amp;$C1048,ESTR_PREC_SP!$A$2:$G$2000,4,FALSE))=TRUE,0,VLOOKUP("RIC"&amp;$C1048,ESTR_PREC_SP!$A$2:$G$2000,4,FALSE))</f>
        <v>0</v>
      </c>
      <c r="S1048" s="527"/>
      <c r="T1048" s="355"/>
      <c r="U1048" s="527"/>
      <c r="V1048" s="527"/>
      <c r="W1048" s="527"/>
      <c r="X1048" s="527"/>
      <c r="Y1048" s="527"/>
      <c r="Z1048" s="529">
        <f>+R1048+S1048+U1048+V1048-X1048-Y1048+W1048+Q1048</f>
        <v>0</v>
      </c>
      <c r="AA1048" s="355"/>
      <c r="AB1048" s="355"/>
      <c r="AC1048" s="520"/>
      <c r="AD1048" s="520"/>
      <c r="AE1048" s="520"/>
      <c r="AF1048" s="520"/>
      <c r="AG1048" s="526">
        <f t="shared" si="221"/>
        <v>0</v>
      </c>
      <c r="AH1048" s="526">
        <f t="shared" si="222"/>
        <v>0</v>
      </c>
      <c r="AI1048" s="520"/>
      <c r="AJ1048" s="520"/>
    </row>
    <row r="1049" spans="1:36" s="217" customFormat="1" x14ac:dyDescent="0.25">
      <c r="A1049" s="204"/>
      <c r="B1049" s="246" t="s">
        <v>2640</v>
      </c>
      <c r="C1049" s="287" t="s">
        <v>2641</v>
      </c>
      <c r="D1049" s="380" t="s">
        <v>4116</v>
      </c>
      <c r="E1049" s="274"/>
      <c r="F1049" s="274"/>
      <c r="G1049" s="283"/>
      <c r="H1049" s="266"/>
      <c r="I1049" s="274"/>
      <c r="J1049" s="281"/>
      <c r="K1049" s="281"/>
      <c r="L1049" s="430" t="s">
        <v>4117</v>
      </c>
      <c r="M1049" s="284" t="s">
        <v>2962</v>
      </c>
      <c r="N1049" s="408">
        <f>+R1049</f>
        <v>0</v>
      </c>
      <c r="O1049" s="408">
        <f>+Z1049</f>
        <v>0</v>
      </c>
      <c r="P1049" s="271">
        <f t="shared" si="219"/>
        <v>0</v>
      </c>
      <c r="Q1049" s="527"/>
      <c r="R1049" s="354">
        <f>IF(ISERROR(VLOOKUP("RIC"&amp;$C1049,ESTR_PREC_SP!$A$2:$G$2000,4,FALSE))=TRUE,0,VLOOKUP("RIC"&amp;$C1049,ESTR_PREC_SP!$A$2:$G$2000,4,FALSE))</f>
        <v>0</v>
      </c>
      <c r="S1049" s="527"/>
      <c r="T1049" s="355"/>
      <c r="U1049" s="527"/>
      <c r="V1049" s="527"/>
      <c r="W1049" s="527"/>
      <c r="X1049" s="527"/>
      <c r="Y1049" s="527"/>
      <c r="Z1049" s="529">
        <f>+R1049+S1049+U1049+V1049-X1049-Y1049+W1049+Q1049</f>
        <v>0</v>
      </c>
      <c r="AA1049" s="355"/>
      <c r="AB1049" s="355"/>
      <c r="AC1049" s="520"/>
      <c r="AD1049" s="520"/>
      <c r="AE1049" s="520"/>
      <c r="AF1049" s="520"/>
      <c r="AG1049" s="526">
        <f t="shared" si="221"/>
        <v>0</v>
      </c>
      <c r="AH1049" s="526">
        <f t="shared" si="222"/>
        <v>0</v>
      </c>
      <c r="AI1049" s="520"/>
      <c r="AJ1049" s="520"/>
    </row>
    <row r="1050" spans="1:36" s="217" customFormat="1" x14ac:dyDescent="0.25">
      <c r="A1050" s="204"/>
      <c r="B1050" s="246" t="s">
        <v>2643</v>
      </c>
      <c r="C1050" s="287" t="s">
        <v>2644</v>
      </c>
      <c r="D1050" s="380" t="s">
        <v>4118</v>
      </c>
      <c r="E1050" s="274"/>
      <c r="F1050" s="274"/>
      <c r="G1050" s="283"/>
      <c r="H1050" s="266"/>
      <c r="I1050" s="274"/>
      <c r="J1050" s="281"/>
      <c r="K1050" s="281"/>
      <c r="L1050" s="430" t="s">
        <v>4119</v>
      </c>
      <c r="M1050" s="284" t="s">
        <v>2962</v>
      </c>
      <c r="N1050" s="408">
        <f>+R1050</f>
        <v>0</v>
      </c>
      <c r="O1050" s="408">
        <f>+Z1050</f>
        <v>0</v>
      </c>
      <c r="P1050" s="271">
        <f t="shared" si="219"/>
        <v>0</v>
      </c>
      <c r="Q1050" s="527"/>
      <c r="R1050" s="354">
        <f>IF(ISERROR(VLOOKUP("RIC"&amp;$C1050,ESTR_PREC_SP!$A$2:$G$2000,4,FALSE))=TRUE,0,VLOOKUP("RIC"&amp;$C1050,ESTR_PREC_SP!$A$2:$G$2000,4,FALSE))</f>
        <v>0</v>
      </c>
      <c r="S1050" s="527"/>
      <c r="T1050" s="355"/>
      <c r="U1050" s="527"/>
      <c r="V1050" s="527"/>
      <c r="W1050" s="527"/>
      <c r="X1050" s="527"/>
      <c r="Y1050" s="527"/>
      <c r="Z1050" s="529">
        <f>+R1050+S1050+U1050+V1050-X1050-Y1050+W1050+Q1050</f>
        <v>0</v>
      </c>
      <c r="AA1050" s="355"/>
      <c r="AB1050" s="355"/>
      <c r="AC1050" s="520"/>
      <c r="AD1050" s="520"/>
      <c r="AE1050" s="520"/>
      <c r="AF1050" s="520"/>
      <c r="AG1050" s="526">
        <f t="shared" si="221"/>
        <v>0</v>
      </c>
      <c r="AH1050" s="526">
        <f t="shared" si="222"/>
        <v>0</v>
      </c>
      <c r="AI1050" s="520"/>
      <c r="AJ1050" s="520"/>
    </row>
    <row r="1051" spans="1:36" s="204" customFormat="1" x14ac:dyDescent="0.25">
      <c r="B1051" s="293"/>
      <c r="C1051" s="293"/>
      <c r="D1051" s="230"/>
      <c r="E1051" s="230"/>
      <c r="F1051" s="230"/>
      <c r="G1051" s="230"/>
      <c r="H1051" s="231"/>
      <c r="I1051" s="230"/>
      <c r="J1051" s="230"/>
      <c r="K1051" s="230"/>
      <c r="L1051" s="232"/>
      <c r="M1051" s="211"/>
      <c r="N1051" s="254"/>
      <c r="O1051" s="211"/>
      <c r="P1051" s="211"/>
      <c r="Q1051" s="211"/>
      <c r="R1051" s="211"/>
      <c r="S1051" s="211"/>
      <c r="T1051" s="211"/>
      <c r="U1051" s="211"/>
      <c r="V1051" s="211"/>
      <c r="W1051" s="211"/>
      <c r="X1051" s="211"/>
      <c r="Y1051" s="211"/>
      <c r="Z1051" s="211"/>
      <c r="AA1051" s="211"/>
    </row>
    <row r="1052" spans="1:36" s="204" customFormat="1" x14ac:dyDescent="0.25">
      <c r="B1052" s="293"/>
      <c r="C1052" s="293"/>
      <c r="D1052" s="230"/>
      <c r="E1052" s="230"/>
      <c r="F1052" s="230"/>
      <c r="G1052" s="230"/>
      <c r="H1052" s="231"/>
      <c r="I1052" s="230"/>
      <c r="J1052" s="230"/>
      <c r="K1052" s="230"/>
      <c r="L1052" s="232"/>
      <c r="M1052" s="211"/>
      <c r="N1052" s="254"/>
      <c r="O1052" s="211"/>
      <c r="P1052" s="211"/>
      <c r="Q1052" s="211"/>
      <c r="R1052" s="211"/>
      <c r="S1052" s="211"/>
      <c r="T1052" s="211"/>
      <c r="U1052" s="211"/>
      <c r="V1052" s="211"/>
      <c r="W1052" s="211"/>
      <c r="X1052" s="211"/>
      <c r="Y1052" s="211"/>
      <c r="Z1052" s="211"/>
      <c r="AA1052" s="211"/>
    </row>
    <row r="1053" spans="1:36" s="204" customFormat="1" x14ac:dyDescent="0.25">
      <c r="B1053" s="246" t="s">
        <v>2646</v>
      </c>
      <c r="C1053" s="511" t="s">
        <v>2647</v>
      </c>
      <c r="D1053" s="234" t="s">
        <v>4120</v>
      </c>
      <c r="E1053" s="234"/>
      <c r="F1053" s="234"/>
      <c r="G1053" s="234"/>
      <c r="H1053" s="235"/>
      <c r="I1053" s="234"/>
      <c r="J1053" s="234"/>
      <c r="K1053" s="234"/>
      <c r="L1053" s="236" t="s">
        <v>2649</v>
      </c>
      <c r="M1053" s="237" t="s">
        <v>2962</v>
      </c>
      <c r="N1053" s="238">
        <f>+N1055+N1067</f>
        <v>0</v>
      </c>
      <c r="O1053" s="238">
        <f>+O1055+O1067</f>
        <v>0</v>
      </c>
      <c r="P1053" s="239">
        <f>+O1053-N1053</f>
        <v>0</v>
      </c>
      <c r="Q1053" s="211"/>
      <c r="R1053" s="211"/>
      <c r="S1053" s="211"/>
      <c r="T1053" s="211"/>
      <c r="U1053" s="211"/>
      <c r="V1053" s="211"/>
      <c r="W1053" s="211"/>
      <c r="X1053" s="211"/>
      <c r="Y1053" s="211"/>
      <c r="Z1053" s="211"/>
      <c r="AA1053" s="211"/>
    </row>
    <row r="1054" spans="1:36" s="204" customFormat="1" x14ac:dyDescent="0.25">
      <c r="B1054" s="293"/>
      <c r="C1054" s="293"/>
      <c r="D1054" s="230"/>
      <c r="E1054" s="230"/>
      <c r="F1054" s="230"/>
      <c r="G1054" s="230"/>
      <c r="H1054" s="231"/>
      <c r="I1054" s="230"/>
      <c r="J1054" s="230"/>
      <c r="K1054" s="230"/>
      <c r="L1054" s="512"/>
      <c r="M1054" s="513"/>
      <c r="N1054" s="513"/>
      <c r="O1054" s="513"/>
      <c r="P1054" s="513"/>
      <c r="Q1054" s="513"/>
      <c r="R1054" s="513"/>
      <c r="S1054" s="513"/>
      <c r="T1054" s="513"/>
      <c r="U1054" s="513"/>
      <c r="V1054" s="211"/>
      <c r="W1054" s="211"/>
      <c r="X1054" s="211"/>
      <c r="Y1054" s="211"/>
      <c r="Z1054" s="211"/>
      <c r="AA1054" s="211"/>
    </row>
    <row r="1055" spans="1:36" s="204" customFormat="1" x14ac:dyDescent="0.25">
      <c r="B1055" s="246" t="s">
        <v>2650</v>
      </c>
      <c r="C1055" s="292" t="s">
        <v>2651</v>
      </c>
      <c r="D1055" s="247" t="s">
        <v>4121</v>
      </c>
      <c r="E1055" s="247"/>
      <c r="F1055" s="247"/>
      <c r="G1055" s="247"/>
      <c r="H1055" s="248"/>
      <c r="I1055" s="247"/>
      <c r="J1055" s="247"/>
      <c r="K1055" s="249"/>
      <c r="L1055" s="250" t="s">
        <v>2653</v>
      </c>
      <c r="M1055" s="251" t="s">
        <v>2962</v>
      </c>
      <c r="N1055" s="252">
        <f>+N1058+N1059</f>
        <v>0</v>
      </c>
      <c r="O1055" s="252">
        <f>+O1058+O1059</f>
        <v>0</v>
      </c>
      <c r="P1055" s="253">
        <f>+O1055-N1055</f>
        <v>0</v>
      </c>
      <c r="Q1055" s="252">
        <f>+Q1058+Q1059</f>
        <v>0</v>
      </c>
      <c r="R1055" s="252">
        <f>+R1058+R1059</f>
        <v>0</v>
      </c>
      <c r="S1055" s="252">
        <f>+S1058+S1059</f>
        <v>0</v>
      </c>
      <c r="T1055" s="252">
        <f>+T1058+T1059</f>
        <v>0</v>
      </c>
      <c r="U1055" s="252">
        <f>+U1058+U1059</f>
        <v>0</v>
      </c>
      <c r="V1055" s="211"/>
      <c r="W1055" s="211"/>
      <c r="X1055" s="211"/>
      <c r="Y1055" s="211"/>
      <c r="Z1055" s="211"/>
      <c r="AA1055" s="211"/>
    </row>
    <row r="1056" spans="1:36" s="204" customFormat="1" x14ac:dyDescent="0.25">
      <c r="B1056" s="293"/>
      <c r="C1056" s="293"/>
      <c r="D1056" s="230"/>
      <c r="E1056" s="230"/>
      <c r="F1056" s="230"/>
      <c r="G1056" s="230"/>
      <c r="H1056" s="231"/>
      <c r="I1056" s="230"/>
      <c r="J1056" s="230"/>
      <c r="K1056" s="230"/>
      <c r="L1056" s="299"/>
      <c r="M1056" s="254"/>
      <c r="N1056" s="254"/>
      <c r="O1056" s="254"/>
      <c r="P1056" s="254"/>
      <c r="Q1056" s="211"/>
      <c r="R1056" s="211"/>
      <c r="T1056" s="211"/>
      <c r="U1056" s="211"/>
      <c r="V1056" s="211"/>
      <c r="W1056" s="211"/>
      <c r="X1056" s="211"/>
      <c r="Y1056" s="211"/>
      <c r="Z1056" s="211"/>
      <c r="AA1056" s="211"/>
    </row>
    <row r="1057" spans="1:27" s="204" customFormat="1" ht="39" customHeight="1" x14ac:dyDescent="0.25">
      <c r="B1057" s="294" t="s">
        <v>2968</v>
      </c>
      <c r="C1057" s="294" t="s">
        <v>2969</v>
      </c>
      <c r="D1057" s="206" t="s">
        <v>72</v>
      </c>
      <c r="E1057" s="206"/>
      <c r="F1057" s="206"/>
      <c r="G1057" s="207"/>
      <c r="H1057" s="207"/>
      <c r="I1057" s="207"/>
      <c r="J1057" s="207" t="s">
        <v>2957</v>
      </c>
      <c r="K1057" s="206" t="s">
        <v>82</v>
      </c>
      <c r="L1057" s="261" t="s">
        <v>3670</v>
      </c>
      <c r="M1057" s="256"/>
      <c r="N1057" s="256" t="str">
        <f>N$15</f>
        <v>Valore netto al 31/12/2019</v>
      </c>
      <c r="O1057" s="256" t="str">
        <f>O$15</f>
        <v>Valore netto al 31/12/2020</v>
      </c>
      <c r="P1057" s="256" t="str">
        <f>P$15</f>
        <v>Variazione</v>
      </c>
      <c r="Q1057" s="262" t="s">
        <v>2971</v>
      </c>
      <c r="R1057" s="346" t="str">
        <f>+N1057</f>
        <v>Valore netto al 31/12/2019</v>
      </c>
      <c r="S1057" s="262" t="s">
        <v>2972</v>
      </c>
      <c r="T1057" s="346" t="str">
        <f>+T750</f>
        <v>Entro 12 mesi (2020)</v>
      </c>
      <c r="U1057" s="346" t="str">
        <f>+U750</f>
        <v>Oltre 12 mesi (2020)</v>
      </c>
      <c r="V1057" s="211"/>
      <c r="W1057" s="211"/>
      <c r="X1057" s="211"/>
      <c r="Y1057" s="211"/>
      <c r="Z1057" s="211"/>
      <c r="AA1057" s="211"/>
    </row>
    <row r="1058" spans="1:27" s="204" customFormat="1" x14ac:dyDescent="0.25">
      <c r="B1058" s="246" t="s">
        <v>2654</v>
      </c>
      <c r="C1058" s="287" t="s">
        <v>2655</v>
      </c>
      <c r="D1058" s="274" t="s">
        <v>4122</v>
      </c>
      <c r="E1058" s="274"/>
      <c r="F1058" s="274"/>
      <c r="G1058" s="283"/>
      <c r="H1058" s="266"/>
      <c r="I1058" s="274"/>
      <c r="J1058" s="281"/>
      <c r="K1058" s="281"/>
      <c r="L1058" s="424" t="s">
        <v>2657</v>
      </c>
      <c r="M1058" s="263" t="s">
        <v>2962</v>
      </c>
      <c r="N1058" s="408">
        <f>+R1058</f>
        <v>0</v>
      </c>
      <c r="O1058" s="408">
        <f>+T1058+S1058+U1058+Q1058</f>
        <v>0</v>
      </c>
      <c r="P1058" s="271">
        <f t="shared" ref="P1058:P1064" si="225">+O1058-N1058</f>
        <v>0</v>
      </c>
      <c r="Q1058" s="527"/>
      <c r="R1058" s="354">
        <f>IF(ISERROR(VLOOKUP("RIC"&amp;$C1058,ESTR_PREC_SP!$A$2:$G$2000,4,FALSE))=TRUE,0,VLOOKUP("RIC"&amp;$C1058,ESTR_PREC_SP!$A$2:$G$2000,4,FALSE))</f>
        <v>0</v>
      </c>
      <c r="S1058" s="355"/>
      <c r="T1058" s="550">
        <f>+Dettaglio_SP_Ric!H758</f>
        <v>0</v>
      </c>
      <c r="U1058" s="550">
        <f>+Dettaglio_SP_Ric!I758</f>
        <v>0</v>
      </c>
      <c r="V1058" s="254"/>
      <c r="W1058" s="211"/>
      <c r="X1058" s="211"/>
      <c r="Y1058" s="211"/>
      <c r="Z1058" s="211"/>
      <c r="AA1058" s="211"/>
    </row>
    <row r="1059" spans="1:27" s="204" customFormat="1" x14ac:dyDescent="0.25">
      <c r="B1059" s="246" t="s">
        <v>2658</v>
      </c>
      <c r="C1059" s="287" t="s">
        <v>2659</v>
      </c>
      <c r="D1059" s="274" t="s">
        <v>4123</v>
      </c>
      <c r="E1059" s="274"/>
      <c r="F1059" s="274"/>
      <c r="G1059" s="283"/>
      <c r="H1059" s="266"/>
      <c r="I1059" s="274"/>
      <c r="J1059" s="281"/>
      <c r="K1059" s="281"/>
      <c r="L1059" s="424" t="s">
        <v>2661</v>
      </c>
      <c r="M1059" s="284" t="s">
        <v>2962</v>
      </c>
      <c r="N1059" s="378">
        <f>SUM(N1060:N1064)</f>
        <v>0</v>
      </c>
      <c r="O1059" s="378">
        <f>SUM(O1060:O1064)</f>
        <v>0</v>
      </c>
      <c r="P1059" s="378">
        <f t="shared" si="225"/>
        <v>0</v>
      </c>
      <c r="Q1059" s="378">
        <f>SUM(Q1060:Q1064)</f>
        <v>0</v>
      </c>
      <c r="R1059" s="378">
        <f>SUM(R1060:R1064)</f>
        <v>0</v>
      </c>
      <c r="S1059" s="355"/>
      <c r="T1059" s="378">
        <f>SUM(T1060:T1064)</f>
        <v>0</v>
      </c>
      <c r="U1059" s="378">
        <f>SUM(U1060:U1064)</f>
        <v>0</v>
      </c>
      <c r="V1059" s="254"/>
      <c r="W1059" s="211"/>
      <c r="X1059" s="211"/>
      <c r="Y1059" s="211"/>
      <c r="Z1059" s="211"/>
      <c r="AA1059" s="211"/>
    </row>
    <row r="1060" spans="1:27" s="204" customFormat="1" hidden="1" x14ac:dyDescent="0.25">
      <c r="B1060" s="246" t="s">
        <v>2662</v>
      </c>
      <c r="C1060" s="287" t="s">
        <v>2663</v>
      </c>
      <c r="D1060" s="274" t="s">
        <v>4124</v>
      </c>
      <c r="E1060" s="274"/>
      <c r="F1060" s="274"/>
      <c r="G1060" s="283"/>
      <c r="H1060" s="266"/>
      <c r="I1060" s="274"/>
      <c r="J1060" s="281"/>
      <c r="K1060" s="281"/>
      <c r="L1060" s="406" t="s">
        <v>2664</v>
      </c>
      <c r="M1060" s="263" t="s">
        <v>2962</v>
      </c>
      <c r="N1060" s="408">
        <f>+R1060</f>
        <v>0</v>
      </c>
      <c r="O1060" s="408">
        <f>+T1060+U1060</f>
        <v>0</v>
      </c>
      <c r="P1060" s="271">
        <f t="shared" si="225"/>
        <v>0</v>
      </c>
      <c r="Q1060" s="527"/>
      <c r="R1060" s="354">
        <f>IF(ISERROR(VLOOKUP("RIC"&amp;$C1060,ESTR_PREC_SP!$A$2:$G$2000,4,FALSE))=TRUE,0,VLOOKUP("RIC"&amp;$C1060,ESTR_PREC_SP!$A$2:$G$2000,4,FALSE))</f>
        <v>0</v>
      </c>
      <c r="S1060" s="355"/>
      <c r="T1060" s="527"/>
      <c r="U1060" s="527"/>
      <c r="V1060" s="254"/>
      <c r="W1060" s="211"/>
      <c r="X1060" s="211"/>
      <c r="Y1060" s="211"/>
      <c r="Z1060" s="211"/>
      <c r="AA1060" s="211"/>
    </row>
    <row r="1061" spans="1:27" s="204" customFormat="1" x14ac:dyDescent="0.25">
      <c r="B1061" s="246" t="s">
        <v>2665</v>
      </c>
      <c r="C1061" s="287" t="s">
        <v>2666</v>
      </c>
      <c r="D1061" s="274" t="s">
        <v>4125</v>
      </c>
      <c r="E1061" s="274"/>
      <c r="F1061" s="274"/>
      <c r="G1061" s="283"/>
      <c r="H1061" s="266"/>
      <c r="I1061" s="274"/>
      <c r="J1061" s="281"/>
      <c r="K1061" s="281"/>
      <c r="L1061" s="406" t="s">
        <v>4126</v>
      </c>
      <c r="M1061" s="263" t="s">
        <v>2962</v>
      </c>
      <c r="N1061" s="408">
        <f>+R1061</f>
        <v>0</v>
      </c>
      <c r="O1061" s="408">
        <f>+T1061+S1061+U1061+Q1061</f>
        <v>0</v>
      </c>
      <c r="P1061" s="271">
        <f t="shared" si="225"/>
        <v>0</v>
      </c>
      <c r="Q1061" s="527"/>
      <c r="R1061" s="354">
        <f>IF(ISERROR(VLOOKUP("RIC"&amp;$C1061,ESTR_PREC_SP!$A$2:$G$2000,4,FALSE))=TRUE,0,VLOOKUP("RIC"&amp;$C1061,ESTR_PREC_SP!$A$2:$G$2000,4,FALSE))</f>
        <v>0</v>
      </c>
      <c r="S1061" s="355"/>
      <c r="T1061" s="527"/>
      <c r="U1061" s="527"/>
      <c r="V1061" s="254"/>
      <c r="W1061" s="211"/>
      <c r="X1061" s="211"/>
      <c r="Y1061" s="211"/>
      <c r="Z1061" s="211"/>
      <c r="AA1061" s="211"/>
    </row>
    <row r="1062" spans="1:27" s="204" customFormat="1" x14ac:dyDescent="0.25">
      <c r="B1062" s="246" t="s">
        <v>2668</v>
      </c>
      <c r="C1062" s="287" t="s">
        <v>2669</v>
      </c>
      <c r="D1062" s="274" t="s">
        <v>4127</v>
      </c>
      <c r="E1062" s="274"/>
      <c r="F1062" s="274"/>
      <c r="G1062" s="283"/>
      <c r="H1062" s="266"/>
      <c r="I1062" s="274"/>
      <c r="J1062" s="281"/>
      <c r="K1062" s="281"/>
      <c r="L1062" s="406" t="s">
        <v>4128</v>
      </c>
      <c r="M1062" s="263" t="s">
        <v>2962</v>
      </c>
      <c r="N1062" s="408">
        <f>+R1062</f>
        <v>0</v>
      </c>
      <c r="O1062" s="408">
        <f>+T1062+S1062+U1062+Q1062</f>
        <v>0</v>
      </c>
      <c r="P1062" s="271">
        <f t="shared" si="225"/>
        <v>0</v>
      </c>
      <c r="Q1062" s="527"/>
      <c r="R1062" s="354">
        <f>IF(ISERROR(VLOOKUP("RIC"&amp;$C1062,ESTR_PREC_SP!$A$2:$G$2000,4,FALSE))=TRUE,0,VLOOKUP("RIC"&amp;$C1062,ESTR_PREC_SP!$A$2:$G$2000,4,FALSE))</f>
        <v>0</v>
      </c>
      <c r="S1062" s="355"/>
      <c r="T1062" s="527"/>
      <c r="U1062" s="527"/>
      <c r="V1062" s="254"/>
      <c r="W1062" s="211"/>
      <c r="X1062" s="211"/>
      <c r="Y1062" s="211"/>
      <c r="Z1062" s="211"/>
      <c r="AA1062" s="211"/>
    </row>
    <row r="1063" spans="1:27" s="204" customFormat="1" hidden="1" x14ac:dyDescent="0.25">
      <c r="B1063" s="246" t="s">
        <v>2671</v>
      </c>
      <c r="C1063" s="287" t="s">
        <v>2672</v>
      </c>
      <c r="D1063" s="274" t="s">
        <v>4129</v>
      </c>
      <c r="E1063" s="274"/>
      <c r="F1063" s="274"/>
      <c r="G1063" s="283"/>
      <c r="H1063" s="266"/>
      <c r="I1063" s="274"/>
      <c r="J1063" s="281"/>
      <c r="K1063" s="281"/>
      <c r="L1063" s="406" t="s">
        <v>2673</v>
      </c>
      <c r="M1063" s="263" t="s">
        <v>2962</v>
      </c>
      <c r="N1063" s="408">
        <f>+R1063</f>
        <v>0</v>
      </c>
      <c r="O1063" s="408">
        <f>+T1063+S1063+U1063+Q1063</f>
        <v>0</v>
      </c>
      <c r="P1063" s="271">
        <f t="shared" si="225"/>
        <v>0</v>
      </c>
      <c r="Q1063" s="527"/>
      <c r="R1063" s="354">
        <f>IF(ISERROR(VLOOKUP("RIC"&amp;$C1063,ESTR_PREC_SP!$A$2:$G$2000,4,FALSE))=TRUE,0,VLOOKUP("RIC"&amp;$C1063,ESTR_PREC_SP!$A$2:$G$2000,4,FALSE))</f>
        <v>0</v>
      </c>
      <c r="S1063" s="355"/>
      <c r="T1063" s="527"/>
      <c r="U1063" s="527"/>
      <c r="V1063" s="254"/>
      <c r="W1063" s="211"/>
      <c r="X1063" s="211"/>
      <c r="Y1063" s="211"/>
      <c r="Z1063" s="211"/>
      <c r="AA1063" s="211"/>
    </row>
    <row r="1064" spans="1:27" s="204" customFormat="1" x14ac:dyDescent="0.25">
      <c r="B1064" s="246" t="s">
        <v>2674</v>
      </c>
      <c r="C1064" s="287" t="s">
        <v>2675</v>
      </c>
      <c r="D1064" s="274" t="s">
        <v>4130</v>
      </c>
      <c r="E1064" s="274"/>
      <c r="F1064" s="274"/>
      <c r="G1064" s="283"/>
      <c r="H1064" s="266"/>
      <c r="I1064" s="274"/>
      <c r="J1064" s="281"/>
      <c r="K1064" s="281"/>
      <c r="L1064" s="406" t="s">
        <v>4131</v>
      </c>
      <c r="M1064" s="263" t="s">
        <v>2962</v>
      </c>
      <c r="N1064" s="408">
        <f>+R1064</f>
        <v>0</v>
      </c>
      <c r="O1064" s="408">
        <f>+T1064+S1064+U1064+Q1064</f>
        <v>0</v>
      </c>
      <c r="P1064" s="271">
        <f t="shared" si="225"/>
        <v>0</v>
      </c>
      <c r="Q1064" s="527"/>
      <c r="R1064" s="354">
        <f>IF(ISERROR(VLOOKUP("RIC"&amp;$C1064,ESTR_PREC_SP!$A$2:$G$2000,4,FALSE))=TRUE,0,VLOOKUP("RIC"&amp;$C1064,ESTR_PREC_SP!$A$2:$G$2000,4,FALSE))</f>
        <v>0</v>
      </c>
      <c r="S1064" s="355"/>
      <c r="T1064" s="527"/>
      <c r="U1064" s="527"/>
      <c r="V1064" s="254"/>
      <c r="W1064" s="211"/>
      <c r="X1064" s="211"/>
      <c r="Y1064" s="211"/>
      <c r="Z1064" s="211"/>
      <c r="AA1064" s="211"/>
    </row>
    <row r="1065" spans="1:27" s="204" customFormat="1" ht="26.25" x14ac:dyDescent="0.25">
      <c r="B1065" s="230"/>
      <c r="C1065" s="230"/>
      <c r="D1065" s="230"/>
      <c r="E1065" s="230"/>
      <c r="F1065" s="230"/>
      <c r="G1065" s="230"/>
      <c r="H1065" s="231"/>
      <c r="I1065" s="230"/>
      <c r="J1065" s="230"/>
      <c r="K1065" s="230"/>
      <c r="L1065" s="344" t="s">
        <v>4132</v>
      </c>
      <c r="M1065" s="230"/>
      <c r="N1065" s="230"/>
      <c r="O1065" s="230"/>
      <c r="P1065" s="423"/>
      <c r="Q1065" s="213"/>
      <c r="R1065" s="213"/>
      <c r="S1065" s="213"/>
      <c r="T1065" s="213"/>
      <c r="U1065" s="213"/>
      <c r="V1065" s="213"/>
      <c r="W1065" s="211"/>
      <c r="X1065" s="211"/>
      <c r="Y1065" s="211"/>
      <c r="Z1065" s="211"/>
      <c r="AA1065" s="211"/>
    </row>
    <row r="1066" spans="1:27" s="204" customFormat="1" x14ac:dyDescent="0.25">
      <c r="B1066" s="230"/>
      <c r="C1066" s="230"/>
      <c r="D1066" s="230"/>
      <c r="E1066" s="230"/>
      <c r="F1066" s="230"/>
      <c r="G1066" s="230"/>
      <c r="H1066" s="231"/>
      <c r="I1066" s="230"/>
      <c r="J1066" s="230"/>
      <c r="K1066" s="230"/>
      <c r="L1066" s="514"/>
      <c r="M1066" s="230"/>
      <c r="N1066" s="230"/>
      <c r="O1066" s="230"/>
      <c r="P1066" s="423"/>
      <c r="Q1066" s="213"/>
      <c r="R1066" s="213"/>
      <c r="S1066" s="213"/>
      <c r="T1066" s="213"/>
      <c r="U1066" s="213"/>
      <c r="V1066" s="213"/>
      <c r="W1066" s="211"/>
      <c r="X1066" s="211"/>
      <c r="Y1066" s="211"/>
      <c r="Z1066" s="211"/>
      <c r="AA1066" s="211"/>
    </row>
    <row r="1067" spans="1:27" s="204" customFormat="1" x14ac:dyDescent="0.25">
      <c r="B1067" s="246" t="s">
        <v>2677</v>
      </c>
      <c r="C1067" s="246" t="s">
        <v>2678</v>
      </c>
      <c r="D1067" s="247" t="s">
        <v>4133</v>
      </c>
      <c r="E1067" s="247"/>
      <c r="F1067" s="247"/>
      <c r="G1067" s="247"/>
      <c r="H1067" s="248"/>
      <c r="I1067" s="247"/>
      <c r="J1067" s="247"/>
      <c r="K1067" s="249"/>
      <c r="L1067" s="250" t="s">
        <v>2680</v>
      </c>
      <c r="M1067" s="251" t="s">
        <v>2962</v>
      </c>
      <c r="N1067" s="252">
        <f>+N1070+N1071+N1072</f>
        <v>0</v>
      </c>
      <c r="O1067" s="252">
        <f>+O1070+O1071+O1072</f>
        <v>0</v>
      </c>
      <c r="P1067" s="253">
        <f>+O1067-N1067</f>
        <v>0</v>
      </c>
      <c r="Q1067" s="252">
        <f>+Q1070+Q1071+Q1072</f>
        <v>0</v>
      </c>
      <c r="R1067" s="252">
        <f>+R1070+R1071+R1072</f>
        <v>0</v>
      </c>
      <c r="S1067" s="252">
        <f>+S1070+S1071+S1072</f>
        <v>0</v>
      </c>
      <c r="T1067" s="252">
        <f>+T1070+T1071+T1072</f>
        <v>0</v>
      </c>
      <c r="U1067" s="252">
        <f>+U1070+U1071+U1072</f>
        <v>0</v>
      </c>
      <c r="V1067" s="211"/>
      <c r="W1067" s="211"/>
      <c r="X1067" s="211"/>
      <c r="Y1067" s="211"/>
      <c r="Z1067" s="211"/>
      <c r="AA1067" s="211"/>
    </row>
    <row r="1068" spans="1:27" s="204" customFormat="1" x14ac:dyDescent="0.25">
      <c r="B1068" s="230"/>
      <c r="C1068" s="230"/>
      <c r="D1068" s="230"/>
      <c r="E1068" s="230"/>
      <c r="F1068" s="230"/>
      <c r="G1068" s="230"/>
      <c r="H1068" s="231"/>
      <c r="I1068" s="230"/>
      <c r="J1068" s="230"/>
      <c r="K1068" s="230"/>
      <c r="L1068" s="299"/>
      <c r="M1068" s="254"/>
      <c r="N1068" s="254"/>
      <c r="O1068" s="254"/>
      <c r="P1068" s="254"/>
      <c r="Q1068" s="211"/>
      <c r="R1068" s="211"/>
      <c r="T1068" s="211"/>
      <c r="U1068" s="211"/>
      <c r="V1068" s="211"/>
      <c r="W1068" s="211"/>
      <c r="X1068" s="211"/>
      <c r="Y1068" s="211"/>
      <c r="Z1068" s="211"/>
      <c r="AA1068" s="211"/>
    </row>
    <row r="1069" spans="1:27" s="204" customFormat="1" ht="39" customHeight="1" x14ac:dyDescent="0.25">
      <c r="B1069" s="260" t="s">
        <v>2968</v>
      </c>
      <c r="C1069" s="260" t="s">
        <v>2969</v>
      </c>
      <c r="D1069" s="206" t="s">
        <v>72</v>
      </c>
      <c r="E1069" s="206"/>
      <c r="F1069" s="206"/>
      <c r="G1069" s="207"/>
      <c r="H1069" s="207"/>
      <c r="I1069" s="207"/>
      <c r="J1069" s="207" t="s">
        <v>2957</v>
      </c>
      <c r="K1069" s="206" t="s">
        <v>82</v>
      </c>
      <c r="L1069" s="261" t="s">
        <v>3670</v>
      </c>
      <c r="M1069" s="256"/>
      <c r="N1069" s="256" t="str">
        <f>N$15</f>
        <v>Valore netto al 31/12/2019</v>
      </c>
      <c r="O1069" s="256" t="str">
        <f>O$15</f>
        <v>Valore netto al 31/12/2020</v>
      </c>
      <c r="P1069" s="256" t="str">
        <f>P$15</f>
        <v>Variazione</v>
      </c>
      <c r="Q1069" s="262" t="s">
        <v>2971</v>
      </c>
      <c r="R1069" s="346" t="str">
        <f>+N1069</f>
        <v>Valore netto al 31/12/2019</v>
      </c>
      <c r="S1069" s="262" t="s">
        <v>2972</v>
      </c>
      <c r="T1069" s="262" t="str">
        <f>+T1057</f>
        <v>Entro 12 mesi (2020)</v>
      </c>
      <c r="U1069" s="262" t="str">
        <f>+U1057</f>
        <v>Oltre 12 mesi (2020)</v>
      </c>
      <c r="V1069" s="211"/>
      <c r="W1069" s="211"/>
      <c r="X1069" s="211"/>
      <c r="Y1069" s="211"/>
      <c r="Z1069" s="211"/>
      <c r="AA1069" s="211"/>
    </row>
    <row r="1070" spans="1:27" s="204" customFormat="1" x14ac:dyDescent="0.25">
      <c r="B1070" s="246" t="s">
        <v>2681</v>
      </c>
      <c r="C1070" s="284" t="s">
        <v>2682</v>
      </c>
      <c r="D1070" s="274" t="s">
        <v>4134</v>
      </c>
      <c r="E1070" s="274"/>
      <c r="F1070" s="274"/>
      <c r="G1070" s="283"/>
      <c r="H1070" s="266"/>
      <c r="I1070" s="274"/>
      <c r="J1070" s="281"/>
      <c r="K1070" s="281"/>
      <c r="L1070" s="421" t="s">
        <v>2684</v>
      </c>
      <c r="M1070" s="263" t="s">
        <v>2962</v>
      </c>
      <c r="N1070" s="408">
        <f>+R1070</f>
        <v>0</v>
      </c>
      <c r="O1070" s="408">
        <f>+T1070+S1070+U1070+Q1070</f>
        <v>0</v>
      </c>
      <c r="P1070" s="271">
        <f>+O1070-N1070</f>
        <v>0</v>
      </c>
      <c r="Q1070" s="527"/>
      <c r="R1070" s="354">
        <f>IF(ISERROR(VLOOKUP("RIC"&amp;$C1070,ESTR_PREC_SP!$A$2:$G$2000,4,FALSE))=TRUE,0,VLOOKUP("RIC"&amp;$C1070,ESTR_PREC_SP!$A$2:$G$2000,4,FALSE))</f>
        <v>0</v>
      </c>
      <c r="S1070" s="527"/>
      <c r="T1070" s="550">
        <f>+Dettaglio_SP_Ric!H788</f>
        <v>0</v>
      </c>
      <c r="U1070" s="550">
        <f>+Dettaglio_SP_Ric!I788</f>
        <v>0</v>
      </c>
      <c r="V1070" s="211"/>
      <c r="W1070" s="211"/>
      <c r="X1070" s="211"/>
      <c r="Y1070" s="211"/>
      <c r="Z1070" s="211"/>
      <c r="AA1070" s="211"/>
    </row>
    <row r="1071" spans="1:27" s="204" customFormat="1" x14ac:dyDescent="0.25">
      <c r="B1071" s="246" t="s">
        <v>2685</v>
      </c>
      <c r="C1071" s="284" t="s">
        <v>2686</v>
      </c>
      <c r="D1071" s="274" t="s">
        <v>4135</v>
      </c>
      <c r="E1071" s="274"/>
      <c r="F1071" s="274"/>
      <c r="G1071" s="283"/>
      <c r="H1071" s="266"/>
      <c r="I1071" s="274"/>
      <c r="J1071" s="281"/>
      <c r="K1071" s="281"/>
      <c r="L1071" s="421" t="s">
        <v>2688</v>
      </c>
      <c r="M1071" s="284" t="s">
        <v>2962</v>
      </c>
      <c r="N1071" s="408">
        <f>+R1071</f>
        <v>0</v>
      </c>
      <c r="O1071" s="408">
        <f>+T1071+S1071+U1071+Q1071</f>
        <v>0</v>
      </c>
      <c r="P1071" s="271">
        <f>+O1071-N1071</f>
        <v>0</v>
      </c>
      <c r="Q1071" s="527"/>
      <c r="R1071" s="354">
        <f>IF(ISERROR(VLOOKUP("RIC"&amp;$C1071,ESTR_PREC_SP!$A$2:$G$2000,4,FALSE))=TRUE,0,VLOOKUP("RIC"&amp;$C1071,ESTR_PREC_SP!$A$2:$G$2000,4,FALSE))</f>
        <v>0</v>
      </c>
      <c r="S1071" s="527"/>
      <c r="T1071" s="527"/>
      <c r="U1071" s="527"/>
      <c r="V1071" s="211"/>
      <c r="W1071" s="211"/>
      <c r="X1071" s="211"/>
      <c r="Y1071" s="211"/>
      <c r="Z1071" s="211"/>
      <c r="AA1071" s="211"/>
    </row>
    <row r="1072" spans="1:27" s="204" customFormat="1" ht="39" x14ac:dyDescent="0.25">
      <c r="A1072" s="535" t="s">
        <v>3681</v>
      </c>
      <c r="B1072" s="536" t="s">
        <v>2689</v>
      </c>
      <c r="C1072" s="536" t="s">
        <v>2690</v>
      </c>
      <c r="D1072" s="536"/>
      <c r="E1072" s="536"/>
      <c r="F1072" s="536"/>
      <c r="G1072" s="536"/>
      <c r="H1072" s="536"/>
      <c r="I1072" s="536"/>
      <c r="J1072" s="536"/>
      <c r="K1072" s="536"/>
      <c r="L1072" s="536" t="s">
        <v>2692</v>
      </c>
      <c r="M1072" s="284" t="s">
        <v>2962</v>
      </c>
      <c r="N1072" s="408">
        <f>+R1072</f>
        <v>0</v>
      </c>
      <c r="O1072" s="408">
        <f>+T1072+S1072+U1072+Q1072</f>
        <v>0</v>
      </c>
      <c r="P1072" s="271">
        <f>+O1072-N1072</f>
        <v>0</v>
      </c>
      <c r="Q1072" s="527"/>
      <c r="R1072" s="354">
        <f>IF(ISERROR(VLOOKUP("RIC"&amp;$C1072,ESTR_PREC_SP!$A$2:$G$2000,4,FALSE))=TRUE,0,VLOOKUP("RIC"&amp;$C1072,ESTR_PREC_SP!$A$2:$G$2000,4,FALSE))</f>
        <v>0</v>
      </c>
      <c r="S1072" s="527"/>
      <c r="T1072" s="527"/>
      <c r="U1072" s="527"/>
      <c r="V1072" s="211"/>
      <c r="W1072" s="211"/>
      <c r="X1072" s="211"/>
      <c r="Y1072" s="211"/>
      <c r="Z1072" s="211"/>
      <c r="AA1072" s="211"/>
    </row>
    <row r="1073" spans="1:27" s="204" customFormat="1" ht="26.25" x14ac:dyDescent="0.25">
      <c r="B1073" s="384"/>
      <c r="C1073" s="384"/>
      <c r="D1073" s="382"/>
      <c r="E1073" s="382"/>
      <c r="F1073" s="382"/>
      <c r="G1073" s="382"/>
      <c r="H1073" s="382"/>
      <c r="I1073" s="382"/>
      <c r="J1073" s="382"/>
      <c r="K1073" s="382"/>
      <c r="L1073" s="344" t="s">
        <v>4136</v>
      </c>
      <c r="M1073" s="275"/>
      <c r="N1073" s="383"/>
      <c r="O1073" s="383"/>
      <c r="P1073" s="384"/>
      <c r="Q1073" s="211"/>
      <c r="R1073" s="211"/>
      <c r="S1073" s="211"/>
      <c r="T1073" s="211"/>
      <c r="U1073" s="211"/>
      <c r="V1073" s="211"/>
      <c r="W1073" s="211"/>
      <c r="X1073" s="211"/>
      <c r="Y1073" s="211"/>
      <c r="Z1073" s="211"/>
      <c r="AA1073" s="211"/>
    </row>
    <row r="1074" spans="1:27" s="217" customFormat="1" x14ac:dyDescent="0.25">
      <c r="A1074" s="204"/>
      <c r="B1074" s="230"/>
      <c r="C1074" s="230"/>
      <c r="D1074" s="230"/>
      <c r="E1074" s="230"/>
      <c r="F1074" s="230"/>
      <c r="G1074" s="230"/>
      <c r="H1074" s="231"/>
      <c r="I1074" s="230"/>
      <c r="J1074" s="230"/>
      <c r="K1074" s="230"/>
      <c r="L1074" s="232"/>
      <c r="M1074" s="211"/>
      <c r="N1074" s="254"/>
      <c r="O1074" s="211"/>
      <c r="P1074" s="211"/>
      <c r="Q1074" s="211"/>
      <c r="R1074" s="216"/>
      <c r="S1074" s="216"/>
      <c r="T1074" s="216"/>
      <c r="U1074" s="216"/>
      <c r="V1074" s="216"/>
      <c r="W1074" s="211"/>
      <c r="X1074" s="211"/>
      <c r="Y1074" s="211"/>
      <c r="Z1074" s="211"/>
      <c r="AA1074" s="211"/>
    </row>
    <row r="1075" spans="1:27" s="204" customFormat="1" x14ac:dyDescent="0.25">
      <c r="B1075" s="233" t="s">
        <v>2693</v>
      </c>
      <c r="C1075" s="233" t="s">
        <v>2694</v>
      </c>
      <c r="D1075" s="234" t="s">
        <v>4137</v>
      </c>
      <c r="E1075" s="234"/>
      <c r="F1075" s="234"/>
      <c r="G1075" s="234"/>
      <c r="H1075" s="235"/>
      <c r="I1075" s="234"/>
      <c r="J1075" s="234"/>
      <c r="K1075" s="234"/>
      <c r="L1075" s="236" t="s">
        <v>4138</v>
      </c>
      <c r="M1075" s="237" t="s">
        <v>2962</v>
      </c>
      <c r="N1075" s="238">
        <f>+SUM(N1078:N1082)</f>
        <v>0</v>
      </c>
      <c r="O1075" s="238">
        <f>+SUM(O1078:O1082)</f>
        <v>0</v>
      </c>
      <c r="P1075" s="239">
        <f>SUM(P1078:P1087)</f>
        <v>0</v>
      </c>
      <c r="Q1075" s="211"/>
      <c r="R1075" s="216"/>
      <c r="S1075" s="238">
        <f>+SUM(S1078:S1082)</f>
        <v>0</v>
      </c>
      <c r="T1075" s="225" t="str">
        <f>IF(S1075&lt;&gt;0,"SQUADRATURA CONTI ORDINE PASSIVO  PER GIROCONTI SU NUOVI CONTI SP","")</f>
        <v/>
      </c>
      <c r="U1075" s="216"/>
      <c r="V1075" s="216"/>
      <c r="W1075" s="211"/>
      <c r="X1075" s="211"/>
      <c r="Y1075" s="211"/>
      <c r="Z1075" s="211"/>
      <c r="AA1075" s="211"/>
    </row>
    <row r="1076" spans="1:27" s="204" customFormat="1" x14ac:dyDescent="0.25">
      <c r="B1076" s="230"/>
      <c r="C1076" s="230"/>
      <c r="D1076" s="230"/>
      <c r="E1076" s="230"/>
      <c r="F1076" s="230"/>
      <c r="G1076" s="230"/>
      <c r="H1076" s="231"/>
      <c r="I1076" s="230"/>
      <c r="J1076" s="230"/>
      <c r="K1076" s="230"/>
      <c r="L1076" s="315"/>
      <c r="M1076" s="216"/>
      <c r="N1076" s="278"/>
      <c r="O1076" s="278"/>
      <c r="P1076" s="278"/>
      <c r="Q1076" s="211"/>
      <c r="R1076" s="216"/>
      <c r="S1076" s="216"/>
      <c r="T1076" s="216"/>
      <c r="U1076" s="216"/>
      <c r="V1076" s="216"/>
      <c r="W1076" s="211"/>
      <c r="X1076" s="211"/>
      <c r="Y1076" s="211"/>
      <c r="Z1076" s="211"/>
      <c r="AA1076" s="211"/>
    </row>
    <row r="1077" spans="1:27" s="204" customFormat="1" ht="51" customHeight="1" x14ac:dyDescent="0.25">
      <c r="B1077" s="260" t="s">
        <v>2968</v>
      </c>
      <c r="C1077" s="260" t="s">
        <v>2969</v>
      </c>
      <c r="D1077" s="206" t="s">
        <v>72</v>
      </c>
      <c r="E1077" s="206"/>
      <c r="F1077" s="206"/>
      <c r="G1077" s="207"/>
      <c r="H1077" s="207"/>
      <c r="I1077" s="207"/>
      <c r="J1077" s="207" t="s">
        <v>2957</v>
      </c>
      <c r="K1077" s="206" t="s">
        <v>82</v>
      </c>
      <c r="L1077" s="261" t="s">
        <v>3670</v>
      </c>
      <c r="M1077" s="256"/>
      <c r="N1077" s="256" t="str">
        <f>N$15</f>
        <v>Valore netto al 31/12/2019</v>
      </c>
      <c r="O1077" s="256" t="str">
        <f>O$15</f>
        <v>Valore netto al 31/12/2020</v>
      </c>
      <c r="P1077" s="256" t="str">
        <f>P$15</f>
        <v>Variazione</v>
      </c>
      <c r="Q1077" s="262" t="s">
        <v>2971</v>
      </c>
      <c r="R1077" s="346" t="s">
        <v>3517</v>
      </c>
      <c r="S1077" s="262" t="s">
        <v>2972</v>
      </c>
      <c r="T1077" s="346" t="s">
        <v>3495</v>
      </c>
      <c r="U1077" s="346" t="s">
        <v>3496</v>
      </c>
      <c r="V1077" s="346" t="s">
        <v>3815</v>
      </c>
      <c r="W1077" s="211"/>
      <c r="X1077" s="211"/>
      <c r="Y1077" s="211"/>
      <c r="Z1077" s="211"/>
      <c r="AA1077" s="211"/>
    </row>
    <row r="1078" spans="1:27" s="204" customFormat="1" x14ac:dyDescent="0.25">
      <c r="B1078" s="246" t="s">
        <v>2696</v>
      </c>
      <c r="C1078" s="284" t="s">
        <v>2697</v>
      </c>
      <c r="D1078" s="274" t="s">
        <v>4139</v>
      </c>
      <c r="E1078" s="274"/>
      <c r="F1078" s="274"/>
      <c r="G1078" s="283"/>
      <c r="H1078" s="266"/>
      <c r="I1078" s="427"/>
      <c r="J1078" s="281"/>
      <c r="K1078" s="281"/>
      <c r="L1078" s="422" t="s">
        <v>4140</v>
      </c>
      <c r="M1078" s="284" t="s">
        <v>2962</v>
      </c>
      <c r="N1078" s="408">
        <f>+R1078</f>
        <v>0</v>
      </c>
      <c r="O1078" s="408">
        <f>V1078</f>
        <v>0</v>
      </c>
      <c r="P1078" s="271">
        <f>+O1078-N1078</f>
        <v>0</v>
      </c>
      <c r="Q1078" s="527"/>
      <c r="R1078" s="354">
        <f>IF(ISERROR(VLOOKUP("RIC"&amp;$C1078,ESTR_PREC_SP!$A$2:$G$2000,4,FALSE))=TRUE,0,VLOOKUP("RIC"&amp;$C1078,ESTR_PREC_SP!$A$2:$G$2000,4,FALSE))</f>
        <v>0</v>
      </c>
      <c r="S1078" s="527"/>
      <c r="T1078" s="527"/>
      <c r="U1078" s="527"/>
      <c r="V1078" s="526">
        <f>+R1078+T1078-U1078+Q1078+S1078</f>
        <v>0</v>
      </c>
      <c r="W1078" s="211"/>
      <c r="X1078" s="211"/>
      <c r="Y1078" s="211"/>
      <c r="Z1078" s="211"/>
      <c r="AA1078" s="211"/>
    </row>
    <row r="1079" spans="1:27" s="204" customFormat="1" x14ac:dyDescent="0.25">
      <c r="B1079" s="246" t="s">
        <v>2701</v>
      </c>
      <c r="C1079" s="284" t="s">
        <v>2702</v>
      </c>
      <c r="D1079" s="274" t="s">
        <v>4141</v>
      </c>
      <c r="E1079" s="274"/>
      <c r="F1079" s="274"/>
      <c r="G1079" s="283"/>
      <c r="H1079" s="266"/>
      <c r="I1079" s="427"/>
      <c r="J1079" s="281"/>
      <c r="K1079" s="281"/>
      <c r="L1079" s="422" t="s">
        <v>4142</v>
      </c>
      <c r="M1079" s="284" t="s">
        <v>2962</v>
      </c>
      <c r="N1079" s="408">
        <f>+R1079</f>
        <v>0</v>
      </c>
      <c r="O1079" s="408">
        <f>V1079</f>
        <v>0</v>
      </c>
      <c r="P1079" s="271">
        <f>+O1079-N1079</f>
        <v>0</v>
      </c>
      <c r="Q1079" s="527"/>
      <c r="R1079" s="354">
        <f>IF(ISERROR(VLOOKUP("RIC"&amp;$C1079,ESTR_PREC_SP!$A$2:$G$2000,4,FALSE))=TRUE,0,VLOOKUP("RIC"&amp;$C1079,ESTR_PREC_SP!$A$2:$G$2000,4,FALSE))</f>
        <v>0</v>
      </c>
      <c r="S1079" s="527"/>
      <c r="T1079" s="527"/>
      <c r="U1079" s="527"/>
      <c r="V1079" s="526">
        <f>+R1079+T1079-U1079+Q1079+S1079</f>
        <v>0</v>
      </c>
      <c r="W1079" s="211"/>
      <c r="X1079" s="211"/>
      <c r="Y1079" s="211"/>
      <c r="Z1079" s="211"/>
      <c r="AA1079" s="211"/>
    </row>
    <row r="1080" spans="1:27" s="204" customFormat="1" x14ac:dyDescent="0.25">
      <c r="B1080" s="246" t="s">
        <v>2706</v>
      </c>
      <c r="C1080" s="284" t="s">
        <v>2707</v>
      </c>
      <c r="D1080" s="274" t="s">
        <v>4143</v>
      </c>
      <c r="E1080" s="274"/>
      <c r="F1080" s="274"/>
      <c r="G1080" s="283"/>
      <c r="H1080" s="266"/>
      <c r="I1080" s="427"/>
      <c r="J1080" s="281"/>
      <c r="K1080" s="281"/>
      <c r="L1080" s="422" t="s">
        <v>4144</v>
      </c>
      <c r="M1080" s="284" t="s">
        <v>2962</v>
      </c>
      <c r="N1080" s="408">
        <f>+R1080</f>
        <v>0</v>
      </c>
      <c r="O1080" s="408">
        <f>V1080</f>
        <v>0</v>
      </c>
      <c r="P1080" s="271">
        <f>+O1080-N1080</f>
        <v>0</v>
      </c>
      <c r="Q1080" s="527"/>
      <c r="R1080" s="354">
        <f>IF(ISERROR(VLOOKUP("RIC"&amp;$C1080,ESTR_PREC_SP!$A$2:$G$2000,4,FALSE))=TRUE,0,VLOOKUP("RIC"&amp;$C1080,ESTR_PREC_SP!$A$2:$G$2000,4,FALSE))</f>
        <v>0</v>
      </c>
      <c r="S1080" s="527"/>
      <c r="T1080" s="527"/>
      <c r="U1080" s="527"/>
      <c r="V1080" s="526">
        <f>+R1080+T1080-U1080+Q1080+S1080</f>
        <v>0</v>
      </c>
      <c r="W1080" s="211"/>
      <c r="X1080" s="211"/>
      <c r="Y1080" s="211"/>
      <c r="Z1080" s="211"/>
      <c r="AA1080" s="211"/>
    </row>
    <row r="1081" spans="1:27" s="204" customFormat="1" x14ac:dyDescent="0.25">
      <c r="A1081" s="535" t="s">
        <v>68</v>
      </c>
      <c r="B1081" s="536" t="s">
        <v>2711</v>
      </c>
      <c r="C1081" s="536" t="s">
        <v>2712</v>
      </c>
      <c r="D1081" s="536"/>
      <c r="E1081" s="536"/>
      <c r="F1081" s="536"/>
      <c r="G1081" s="536"/>
      <c r="H1081" s="536"/>
      <c r="I1081" s="536"/>
      <c r="J1081" s="536"/>
      <c r="K1081" s="536"/>
      <c r="L1081" s="536" t="s">
        <v>2715</v>
      </c>
      <c r="M1081" s="284" t="s">
        <v>2962</v>
      </c>
      <c r="N1081" s="408">
        <f>+R1081</f>
        <v>0</v>
      </c>
      <c r="O1081" s="408">
        <f>V1081</f>
        <v>0</v>
      </c>
      <c r="P1081" s="271">
        <f>+O1081-N1081</f>
        <v>0</v>
      </c>
      <c r="Q1081" s="527"/>
      <c r="R1081" s="354">
        <f>IF(ISERROR(VLOOKUP("RIC"&amp;$C1081,ESTR_PREC_SP!$A$2:$G$2000,4,FALSE))=TRUE,0,VLOOKUP("RIC"&amp;$C1081,ESTR_PREC_SP!$A$2:$G$2000,4,FALSE))</f>
        <v>0</v>
      </c>
      <c r="S1081" s="527"/>
      <c r="T1081" s="527"/>
      <c r="U1081" s="527"/>
      <c r="V1081" s="526">
        <f>+R1081+T1081-U1081+Q1081+S1081</f>
        <v>0</v>
      </c>
      <c r="W1081" s="211"/>
      <c r="X1081" s="211"/>
      <c r="Y1081" s="211"/>
      <c r="Z1081" s="211"/>
      <c r="AA1081" s="211"/>
    </row>
    <row r="1082" spans="1:27" s="204" customFormat="1" x14ac:dyDescent="0.25">
      <c r="B1082" s="246" t="s">
        <v>2716</v>
      </c>
      <c r="C1082" s="284" t="s">
        <v>2717</v>
      </c>
      <c r="D1082" s="274" t="s">
        <v>4145</v>
      </c>
      <c r="E1082" s="274"/>
      <c r="F1082" s="274"/>
      <c r="G1082" s="283"/>
      <c r="H1082" s="266"/>
      <c r="I1082" s="427"/>
      <c r="J1082" s="281"/>
      <c r="K1082" s="281"/>
      <c r="L1082" s="422" t="s">
        <v>4146</v>
      </c>
      <c r="M1082" s="284" t="s">
        <v>2962</v>
      </c>
      <c r="N1082" s="378">
        <f>SUM(N1083:N1096)</f>
        <v>0</v>
      </c>
      <c r="O1082" s="378">
        <f>SUM(O1083:O1096)</f>
        <v>0</v>
      </c>
      <c r="P1082" s="378">
        <f>+O1082-N1082</f>
        <v>0</v>
      </c>
      <c r="Q1082" s="378">
        <f>SUM(Q1083:Q1096)</f>
        <v>0</v>
      </c>
      <c r="R1082" s="378">
        <f>SUM(R1084:R1086)+SUM(R1088:R1091)+SUM(R1093:R1096)</f>
        <v>0</v>
      </c>
      <c r="S1082" s="378">
        <f>SUM(S1083:S1096)</f>
        <v>0</v>
      </c>
      <c r="T1082" s="378">
        <f>SUM(T1083:T1096)</f>
        <v>0</v>
      </c>
      <c r="U1082" s="378">
        <f>SUM(U1083:U1096)</f>
        <v>0</v>
      </c>
      <c r="V1082" s="537">
        <f>+R1082+T1082-U1082</f>
        <v>0</v>
      </c>
      <c r="W1082" s="211"/>
      <c r="X1082" s="211"/>
      <c r="Y1082" s="211"/>
      <c r="Z1082" s="211"/>
      <c r="AA1082" s="211"/>
    </row>
    <row r="1083" spans="1:27" s="204" customFormat="1" x14ac:dyDescent="0.25">
      <c r="B1083" s="246" t="s">
        <v>2720</v>
      </c>
      <c r="C1083" s="284" t="s">
        <v>2721</v>
      </c>
      <c r="D1083" s="274" t="s">
        <v>4147</v>
      </c>
      <c r="E1083" s="274"/>
      <c r="F1083" s="274"/>
      <c r="G1083" s="283"/>
      <c r="H1083" s="266"/>
      <c r="I1083" s="427"/>
      <c r="J1083" s="281"/>
      <c r="K1083" s="281"/>
      <c r="L1083" s="422" t="s">
        <v>4190</v>
      </c>
      <c r="M1083" s="284" t="s">
        <v>2962</v>
      </c>
      <c r="N1083" s="354"/>
      <c r="O1083" s="354"/>
      <c r="P1083" s="354"/>
      <c r="Q1083" s="354"/>
      <c r="R1083" s="354"/>
      <c r="S1083" s="354"/>
      <c r="T1083" s="354"/>
      <c r="U1083" s="354"/>
      <c r="V1083" s="354"/>
      <c r="W1083" s="211"/>
      <c r="X1083" s="211"/>
      <c r="Y1083" s="211"/>
      <c r="Z1083" s="211"/>
      <c r="AA1083" s="211"/>
    </row>
    <row r="1084" spans="1:27" s="204" customFormat="1" x14ac:dyDescent="0.25">
      <c r="B1084" s="246" t="s">
        <v>2723</v>
      </c>
      <c r="C1084" s="284" t="s">
        <v>2724</v>
      </c>
      <c r="D1084" s="274" t="s">
        <v>4149</v>
      </c>
      <c r="E1084" s="274"/>
      <c r="F1084" s="274"/>
      <c r="G1084" s="283"/>
      <c r="H1084" s="266"/>
      <c r="I1084" s="427"/>
      <c r="J1084" s="281"/>
      <c r="K1084" s="281"/>
      <c r="L1084" s="430" t="s">
        <v>4191</v>
      </c>
      <c r="M1084" s="284" t="s">
        <v>2962</v>
      </c>
      <c r="N1084" s="408">
        <f>+R1084</f>
        <v>0</v>
      </c>
      <c r="O1084" s="408">
        <f>V1084</f>
        <v>0</v>
      </c>
      <c r="P1084" s="271">
        <f>+O1084-N1084</f>
        <v>0</v>
      </c>
      <c r="Q1084" s="527"/>
      <c r="R1084" s="354">
        <f>IF(ISERROR(VLOOKUP("RIC"&amp;$C1084,ESTR_PREC_SP!$A$2:$G$2000,4,FALSE))=TRUE,0,VLOOKUP("RIC"&amp;$C1084,ESTR_PREC_SP!$A$2:$G$2000,4,FALSE))</f>
        <v>0</v>
      </c>
      <c r="S1084" s="527"/>
      <c r="T1084" s="527"/>
      <c r="U1084" s="527"/>
      <c r="V1084" s="526">
        <f>+R1084+T1084-U1084+Q1084+S1084</f>
        <v>0</v>
      </c>
      <c r="W1084" s="211"/>
      <c r="X1084" s="211"/>
      <c r="Y1084" s="211"/>
      <c r="Z1084" s="211"/>
      <c r="AA1084" s="211"/>
    </row>
    <row r="1085" spans="1:27" s="204" customFormat="1" x14ac:dyDescent="0.25">
      <c r="B1085" s="246" t="s">
        <v>2725</v>
      </c>
      <c r="C1085" s="284" t="s">
        <v>2726</v>
      </c>
      <c r="D1085" s="274" t="s">
        <v>4151</v>
      </c>
      <c r="E1085" s="274"/>
      <c r="F1085" s="274"/>
      <c r="G1085" s="283"/>
      <c r="H1085" s="266"/>
      <c r="I1085" s="427"/>
      <c r="J1085" s="281"/>
      <c r="K1085" s="281"/>
      <c r="L1085" s="430" t="s">
        <v>4192</v>
      </c>
      <c r="M1085" s="284" t="s">
        <v>2962</v>
      </c>
      <c r="N1085" s="408">
        <f>+R1085</f>
        <v>0</v>
      </c>
      <c r="O1085" s="408">
        <f>V1085</f>
        <v>0</v>
      </c>
      <c r="P1085" s="271">
        <f>+O1085-N1085</f>
        <v>0</v>
      </c>
      <c r="Q1085" s="527"/>
      <c r="R1085" s="354">
        <f>IF(ISERROR(VLOOKUP("RIC"&amp;$C1085,ESTR_PREC_SP!$A$2:$G$2000,4,FALSE))=TRUE,0,VLOOKUP("RIC"&amp;$C1085,ESTR_PREC_SP!$A$2:$G$2000,4,FALSE))</f>
        <v>0</v>
      </c>
      <c r="S1085" s="527"/>
      <c r="T1085" s="527"/>
      <c r="U1085" s="527"/>
      <c r="V1085" s="526">
        <f>+R1085+T1085-U1085+Q1085+S1085</f>
        <v>0</v>
      </c>
      <c r="W1085" s="211"/>
      <c r="X1085" s="211"/>
      <c r="Y1085" s="211"/>
      <c r="Z1085" s="211"/>
      <c r="AA1085" s="211"/>
    </row>
    <row r="1086" spans="1:27" s="204" customFormat="1" x14ac:dyDescent="0.25">
      <c r="B1086" s="246" t="s">
        <v>2727</v>
      </c>
      <c r="C1086" s="284" t="s">
        <v>2728</v>
      </c>
      <c r="D1086" s="274" t="s">
        <v>4153</v>
      </c>
      <c r="E1086" s="274"/>
      <c r="F1086" s="274"/>
      <c r="G1086" s="283"/>
      <c r="H1086" s="266"/>
      <c r="I1086" s="427"/>
      <c r="J1086" s="281"/>
      <c r="K1086" s="281"/>
      <c r="L1086" s="430" t="s">
        <v>4193</v>
      </c>
      <c r="M1086" s="284" t="s">
        <v>2962</v>
      </c>
      <c r="N1086" s="408">
        <f>+R1086</f>
        <v>0</v>
      </c>
      <c r="O1086" s="408">
        <f>V1086</f>
        <v>0</v>
      </c>
      <c r="P1086" s="271">
        <f>+O1086-N1086</f>
        <v>0</v>
      </c>
      <c r="Q1086" s="527"/>
      <c r="R1086" s="354">
        <f>IF(ISERROR(VLOOKUP("RIC"&amp;$C1086,ESTR_PREC_SP!$A$2:$G$2000,4,FALSE))=TRUE,0,VLOOKUP("RIC"&amp;$C1086,ESTR_PREC_SP!$A$2:$G$2000,4,FALSE))</f>
        <v>0</v>
      </c>
      <c r="S1086" s="527"/>
      <c r="T1086" s="527"/>
      <c r="U1086" s="527"/>
      <c r="V1086" s="526">
        <f>+R1086+T1086-U1086+Q1086+S1086</f>
        <v>0</v>
      </c>
      <c r="W1086" s="211"/>
      <c r="X1086" s="211"/>
      <c r="Y1086" s="211"/>
      <c r="Z1086" s="211"/>
      <c r="AA1086" s="211"/>
    </row>
    <row r="1087" spans="1:27" s="204" customFormat="1" x14ac:dyDescent="0.25">
      <c r="B1087" s="246" t="s">
        <v>2729</v>
      </c>
      <c r="C1087" s="284" t="s">
        <v>2730</v>
      </c>
      <c r="D1087" s="274" t="s">
        <v>4155</v>
      </c>
      <c r="E1087" s="274"/>
      <c r="F1087" s="274"/>
      <c r="G1087" s="283"/>
      <c r="H1087" s="266"/>
      <c r="I1087" s="427"/>
      <c r="J1087" s="281"/>
      <c r="K1087" s="281"/>
      <c r="L1087" s="422" t="s">
        <v>4194</v>
      </c>
      <c r="M1087" s="284" t="s">
        <v>2962</v>
      </c>
      <c r="N1087" s="354"/>
      <c r="O1087" s="354"/>
      <c r="P1087" s="354"/>
      <c r="Q1087" s="354"/>
      <c r="R1087" s="354"/>
      <c r="S1087" s="354"/>
      <c r="T1087" s="354"/>
      <c r="U1087" s="354"/>
      <c r="V1087" s="354"/>
      <c r="W1087" s="211"/>
      <c r="X1087" s="211"/>
      <c r="Y1087" s="211"/>
      <c r="Z1087" s="211"/>
      <c r="AA1087" s="211"/>
    </row>
    <row r="1088" spans="1:27" s="204" customFormat="1" x14ac:dyDescent="0.25">
      <c r="B1088" s="246" t="s">
        <v>2732</v>
      </c>
      <c r="C1088" s="284" t="s">
        <v>2733</v>
      </c>
      <c r="D1088" s="274" t="s">
        <v>4157</v>
      </c>
      <c r="E1088" s="274"/>
      <c r="F1088" s="274"/>
      <c r="G1088" s="283"/>
      <c r="H1088" s="266"/>
      <c r="I1088" s="427"/>
      <c r="J1088" s="281"/>
      <c r="K1088" s="281"/>
      <c r="L1088" s="430" t="s">
        <v>4195</v>
      </c>
      <c r="M1088" s="284" t="s">
        <v>2962</v>
      </c>
      <c r="N1088" s="408">
        <f>+R1088</f>
        <v>0</v>
      </c>
      <c r="O1088" s="408">
        <f>V1088</f>
        <v>0</v>
      </c>
      <c r="P1088" s="271">
        <f>+O1088-N1088</f>
        <v>0</v>
      </c>
      <c r="Q1088" s="527"/>
      <c r="R1088" s="354">
        <f>IF(ISERROR(VLOOKUP("RIC"&amp;$C1088,ESTR_PREC_SP!$A$2:$G$2000,4,FALSE))=TRUE,0,VLOOKUP("RIC"&amp;$C1088,ESTR_PREC_SP!$A$2:$G$2000,4,FALSE))</f>
        <v>0</v>
      </c>
      <c r="S1088" s="527"/>
      <c r="T1088" s="527"/>
      <c r="U1088" s="527"/>
      <c r="V1088" s="526">
        <f>+R1088+T1088-U1088+Q1088+S1088</f>
        <v>0</v>
      </c>
      <c r="W1088" s="211"/>
      <c r="X1088" s="211"/>
      <c r="Y1088" s="211"/>
      <c r="Z1088" s="211"/>
      <c r="AA1088" s="211"/>
    </row>
    <row r="1089" spans="1:27" s="204" customFormat="1" x14ac:dyDescent="0.25">
      <c r="B1089" s="246" t="s">
        <v>2734</v>
      </c>
      <c r="C1089" s="284" t="s">
        <v>2735</v>
      </c>
      <c r="D1089" s="274" t="s">
        <v>4159</v>
      </c>
      <c r="E1089" s="274"/>
      <c r="F1089" s="274"/>
      <c r="G1089" s="283"/>
      <c r="H1089" s="266"/>
      <c r="I1089" s="427"/>
      <c r="J1089" s="281"/>
      <c r="K1089" s="281"/>
      <c r="L1089" s="430" t="s">
        <v>4196</v>
      </c>
      <c r="M1089" s="284" t="s">
        <v>2962</v>
      </c>
      <c r="N1089" s="408">
        <f>+R1089</f>
        <v>0</v>
      </c>
      <c r="O1089" s="408">
        <f>V1089</f>
        <v>0</v>
      </c>
      <c r="P1089" s="271">
        <f>+O1089-N1089</f>
        <v>0</v>
      </c>
      <c r="Q1089" s="527"/>
      <c r="R1089" s="354">
        <f>IF(ISERROR(VLOOKUP("RIC"&amp;$C1089,ESTR_PREC_SP!$A$2:$G$2000,4,FALSE))=TRUE,0,VLOOKUP("RIC"&amp;$C1089,ESTR_PREC_SP!$A$2:$G$2000,4,FALSE))</f>
        <v>0</v>
      </c>
      <c r="S1089" s="527"/>
      <c r="T1089" s="527"/>
      <c r="U1089" s="527"/>
      <c r="V1089" s="526">
        <f>+R1089+T1089-U1089+Q1089+S1089</f>
        <v>0</v>
      </c>
      <c r="W1089" s="211"/>
      <c r="X1089" s="211"/>
      <c r="Y1089" s="211"/>
      <c r="Z1089" s="211"/>
      <c r="AA1089" s="211"/>
    </row>
    <row r="1090" spans="1:27" s="204" customFormat="1" x14ac:dyDescent="0.25">
      <c r="B1090" s="246" t="s">
        <v>2736</v>
      </c>
      <c r="C1090" s="284" t="s">
        <v>2737</v>
      </c>
      <c r="D1090" s="274" t="s">
        <v>4161</v>
      </c>
      <c r="E1090" s="274"/>
      <c r="F1090" s="274"/>
      <c r="G1090" s="283"/>
      <c r="H1090" s="266"/>
      <c r="I1090" s="427"/>
      <c r="J1090" s="281"/>
      <c r="K1090" s="281"/>
      <c r="L1090" s="430" t="s">
        <v>4197</v>
      </c>
      <c r="M1090" s="284" t="s">
        <v>2962</v>
      </c>
      <c r="N1090" s="408">
        <f>+R1090</f>
        <v>0</v>
      </c>
      <c r="O1090" s="408">
        <f>V1090</f>
        <v>0</v>
      </c>
      <c r="P1090" s="271">
        <f>+O1090-N1090</f>
        <v>0</v>
      </c>
      <c r="Q1090" s="527"/>
      <c r="R1090" s="354">
        <f>IF(ISERROR(VLOOKUP("RIC"&amp;$C1090,ESTR_PREC_SP!$A$2:$G$2000,4,FALSE))=TRUE,0,VLOOKUP("RIC"&amp;$C1090,ESTR_PREC_SP!$A$2:$G$2000,4,FALSE))</f>
        <v>0</v>
      </c>
      <c r="S1090" s="527"/>
      <c r="T1090" s="527"/>
      <c r="U1090" s="527"/>
      <c r="V1090" s="526">
        <f>+R1090+T1090-U1090+Q1090+S1090</f>
        <v>0</v>
      </c>
      <c r="W1090" s="211"/>
      <c r="X1090" s="211"/>
      <c r="Y1090" s="211"/>
      <c r="Z1090" s="211"/>
      <c r="AA1090" s="211"/>
    </row>
    <row r="1091" spans="1:27" x14ac:dyDescent="0.25">
      <c r="A1091" s="204"/>
      <c r="B1091" s="246" t="s">
        <v>2738</v>
      </c>
      <c r="C1091" s="284" t="s">
        <v>2739</v>
      </c>
      <c r="D1091" s="274" t="s">
        <v>4163</v>
      </c>
      <c r="E1091" s="274"/>
      <c r="F1091" s="274"/>
      <c r="G1091" s="283"/>
      <c r="H1091" s="266"/>
      <c r="I1091" s="427"/>
      <c r="J1091" s="281"/>
      <c r="K1091" s="281"/>
      <c r="L1091" s="422" t="s">
        <v>4198</v>
      </c>
      <c r="M1091" s="284" t="s">
        <v>2962</v>
      </c>
      <c r="N1091" s="408">
        <f>+R1091</f>
        <v>0</v>
      </c>
      <c r="O1091" s="408">
        <f>V1091</f>
        <v>0</v>
      </c>
      <c r="P1091" s="271">
        <f>+O1091-N1091</f>
        <v>0</v>
      </c>
      <c r="Q1091" s="527"/>
      <c r="R1091" s="354">
        <f>IF(ISERROR(VLOOKUP("RIC"&amp;$C1091,ESTR_PREC_SP!$A$2:$G$2000,4,FALSE))=TRUE,0,VLOOKUP("RIC"&amp;$C1091,ESTR_PREC_SP!$A$2:$G$2000,4,FALSE))</f>
        <v>0</v>
      </c>
      <c r="S1091" s="527"/>
      <c r="T1091" s="527"/>
      <c r="U1091" s="527"/>
      <c r="V1091" s="526">
        <f>+R1091+T1091-U1091+Q1091+S1091</f>
        <v>0</v>
      </c>
    </row>
    <row r="1092" spans="1:27" x14ac:dyDescent="0.25">
      <c r="A1092" s="204"/>
      <c r="B1092" s="246" t="s">
        <v>2740</v>
      </c>
      <c r="C1092" s="284" t="s">
        <v>2741</v>
      </c>
      <c r="D1092" s="274" t="s">
        <v>4165</v>
      </c>
      <c r="E1092" s="274"/>
      <c r="F1092" s="274"/>
      <c r="G1092" s="283"/>
      <c r="H1092" s="266"/>
      <c r="I1092" s="427"/>
      <c r="J1092" s="281"/>
      <c r="K1092" s="281"/>
      <c r="L1092" s="422" t="s">
        <v>4199</v>
      </c>
      <c r="M1092" s="284" t="s">
        <v>2962</v>
      </c>
      <c r="N1092" s="354"/>
      <c r="O1092" s="354"/>
      <c r="P1092" s="354"/>
      <c r="Q1092" s="354"/>
      <c r="R1092" s="354"/>
      <c r="S1092" s="354"/>
      <c r="T1092" s="354"/>
      <c r="U1092" s="354"/>
      <c r="V1092" s="354"/>
    </row>
    <row r="1093" spans="1:27" x14ac:dyDescent="0.25">
      <c r="A1093" s="204"/>
      <c r="B1093" s="246" t="s">
        <v>2742</v>
      </c>
      <c r="C1093" s="284" t="s">
        <v>2743</v>
      </c>
      <c r="D1093" s="274" t="s">
        <v>4167</v>
      </c>
      <c r="E1093" s="274"/>
      <c r="F1093" s="274"/>
      <c r="G1093" s="283"/>
      <c r="H1093" s="266"/>
      <c r="I1093" s="427"/>
      <c r="J1093" s="281"/>
      <c r="K1093" s="281"/>
      <c r="L1093" s="430" t="s">
        <v>4200</v>
      </c>
      <c r="M1093" s="284" t="s">
        <v>2962</v>
      </c>
      <c r="N1093" s="408">
        <f>+R1093</f>
        <v>0</v>
      </c>
      <c r="O1093" s="408">
        <f>V1093</f>
        <v>0</v>
      </c>
      <c r="P1093" s="271">
        <f>+O1093-N1093</f>
        <v>0</v>
      </c>
      <c r="Q1093" s="527"/>
      <c r="R1093" s="354">
        <f>IF(ISERROR(VLOOKUP("RIC"&amp;$C1093,ESTR_PREC_SP!$A$2:$G$2000,4,FALSE))=TRUE,0,VLOOKUP("RIC"&amp;$C1093,ESTR_PREC_SP!$A$2:$G$2000,4,FALSE))</f>
        <v>0</v>
      </c>
      <c r="S1093" s="527"/>
      <c r="T1093" s="527"/>
      <c r="U1093" s="527"/>
      <c r="V1093" s="526">
        <f>+R1093+T1093-U1093+Q1093+S1093</f>
        <v>0</v>
      </c>
    </row>
    <row r="1094" spans="1:27" x14ac:dyDescent="0.25">
      <c r="A1094" s="204"/>
      <c r="B1094" s="246" t="s">
        <v>2744</v>
      </c>
      <c r="C1094" s="284" t="s">
        <v>2745</v>
      </c>
      <c r="D1094" s="274" t="s">
        <v>4169</v>
      </c>
      <c r="E1094" s="274"/>
      <c r="F1094" s="274"/>
      <c r="G1094" s="283"/>
      <c r="H1094" s="266"/>
      <c r="I1094" s="427"/>
      <c r="J1094" s="281"/>
      <c r="K1094" s="281"/>
      <c r="L1094" s="430" t="s">
        <v>4201</v>
      </c>
      <c r="M1094" s="284" t="s">
        <v>2962</v>
      </c>
      <c r="N1094" s="408">
        <f>+R1094</f>
        <v>0</v>
      </c>
      <c r="O1094" s="408">
        <f>V1094</f>
        <v>0</v>
      </c>
      <c r="P1094" s="271">
        <f>+O1094-N1094</f>
        <v>0</v>
      </c>
      <c r="Q1094" s="527"/>
      <c r="R1094" s="354">
        <f>IF(ISERROR(VLOOKUP("RIC"&amp;$C1094,ESTR_PREC_SP!$A$2:$G$2000,4,FALSE))=TRUE,0,VLOOKUP("RIC"&amp;$C1094,ESTR_PREC_SP!$A$2:$G$2000,4,FALSE))</f>
        <v>0</v>
      </c>
      <c r="S1094" s="527"/>
      <c r="T1094" s="527"/>
      <c r="U1094" s="527"/>
      <c r="V1094" s="526">
        <f>+R1094+T1094-U1094+Q1094+S1094</f>
        <v>0</v>
      </c>
    </row>
    <row r="1095" spans="1:27" x14ac:dyDescent="0.25">
      <c r="A1095" s="204"/>
      <c r="B1095" s="246" t="s">
        <v>2746</v>
      </c>
      <c r="C1095" s="284" t="s">
        <v>2747</v>
      </c>
      <c r="D1095" s="274" t="s">
        <v>4171</v>
      </c>
      <c r="E1095" s="274"/>
      <c r="F1095" s="274"/>
      <c r="G1095" s="283"/>
      <c r="H1095" s="266"/>
      <c r="I1095" s="427"/>
      <c r="J1095" s="281"/>
      <c r="K1095" s="281"/>
      <c r="L1095" s="430" t="s">
        <v>4202</v>
      </c>
      <c r="M1095" s="284" t="s">
        <v>2962</v>
      </c>
      <c r="N1095" s="408">
        <f>+R1095</f>
        <v>0</v>
      </c>
      <c r="O1095" s="408">
        <f>V1095</f>
        <v>0</v>
      </c>
      <c r="P1095" s="271">
        <f>+O1095-N1095</f>
        <v>0</v>
      </c>
      <c r="Q1095" s="527"/>
      <c r="R1095" s="354">
        <f>IF(ISERROR(VLOOKUP("RIC"&amp;$C1095,ESTR_PREC_SP!$A$2:$G$2000,4,FALSE))=TRUE,0,VLOOKUP("RIC"&amp;$C1095,ESTR_PREC_SP!$A$2:$G$2000,4,FALSE))</f>
        <v>0</v>
      </c>
      <c r="S1095" s="527"/>
      <c r="T1095" s="527"/>
      <c r="U1095" s="527"/>
      <c r="V1095" s="526">
        <f>+R1095+T1095-U1095+Q1095+S1095</f>
        <v>0</v>
      </c>
    </row>
    <row r="1096" spans="1:27" x14ac:dyDescent="0.25">
      <c r="A1096" s="204"/>
      <c r="B1096" s="246" t="s">
        <v>2748</v>
      </c>
      <c r="C1096" s="284" t="s">
        <v>2749</v>
      </c>
      <c r="D1096" s="274" t="s">
        <v>4173</v>
      </c>
      <c r="E1096" s="274"/>
      <c r="F1096" s="274"/>
      <c r="G1096" s="283"/>
      <c r="H1096" s="266"/>
      <c r="I1096" s="427"/>
      <c r="J1096" s="281"/>
      <c r="K1096" s="281"/>
      <c r="L1096" s="430" t="s">
        <v>4203</v>
      </c>
      <c r="M1096" s="284" t="s">
        <v>2962</v>
      </c>
      <c r="N1096" s="408">
        <f>+R1096</f>
        <v>0</v>
      </c>
      <c r="O1096" s="408">
        <f>V1096</f>
        <v>0</v>
      </c>
      <c r="P1096" s="271">
        <f>+O1096-N1096</f>
        <v>0</v>
      </c>
      <c r="Q1096" s="527"/>
      <c r="R1096" s="354">
        <f>IF(ISERROR(VLOOKUP("RIC"&amp;$C1096,ESTR_PREC_SP!$A$2:$G$2000,4,FALSE))=TRUE,0,VLOOKUP("RIC"&amp;$C1096,ESTR_PREC_SP!$A$2:$G$2000,4,FALSE))</f>
        <v>0</v>
      </c>
      <c r="S1096" s="527"/>
      <c r="T1096" s="527"/>
      <c r="U1096" s="527"/>
      <c r="V1096" s="526">
        <f>+R1096+T1096-U1096+Q1096+S1096</f>
        <v>0</v>
      </c>
    </row>
  </sheetData>
  <sheetProtection selectLockedCells="1" selectUnlockedCells="1"/>
  <mergeCells count="70">
    <mergeCell ref="L6:N6"/>
    <mergeCell ref="S486:U486"/>
    <mergeCell ref="AE486:AI486"/>
    <mergeCell ref="AJ486:AL486"/>
    <mergeCell ref="S594:U594"/>
    <mergeCell ref="AF594:AJ594"/>
    <mergeCell ref="AK594:AM594"/>
    <mergeCell ref="S616:U616"/>
    <mergeCell ref="AF616:AJ616"/>
    <mergeCell ref="AK616:AM616"/>
    <mergeCell ref="S651:U651"/>
    <mergeCell ref="AF651:AJ651"/>
    <mergeCell ref="AK651:AM651"/>
    <mergeCell ref="S658:U658"/>
    <mergeCell ref="AF658:AJ658"/>
    <mergeCell ref="AK658:AM658"/>
    <mergeCell ref="S687:U687"/>
    <mergeCell ref="AF687:AJ687"/>
    <mergeCell ref="AK687:AM687"/>
    <mergeCell ref="S695:U695"/>
    <mergeCell ref="AF695:AJ695"/>
    <mergeCell ref="AK695:AM695"/>
    <mergeCell ref="S704:U704"/>
    <mergeCell ref="AF704:AJ704"/>
    <mergeCell ref="AK704:AM704"/>
    <mergeCell ref="AA793:AC793"/>
    <mergeCell ref="U908:V908"/>
    <mergeCell ref="X908:Y908"/>
    <mergeCell ref="AC908:AG908"/>
    <mergeCell ref="AH908:AJ908"/>
    <mergeCell ref="U915:V915"/>
    <mergeCell ref="X915:Y915"/>
    <mergeCell ref="AC915:AG915"/>
    <mergeCell ref="AH915:AJ915"/>
    <mergeCell ref="U925:V925"/>
    <mergeCell ref="X925:Y925"/>
    <mergeCell ref="AC925:AG925"/>
    <mergeCell ref="AH925:AJ925"/>
    <mergeCell ref="U940:V940"/>
    <mergeCell ref="X940:Y940"/>
    <mergeCell ref="AC940:AG940"/>
    <mergeCell ref="AH940:AJ940"/>
    <mergeCell ref="U946:V946"/>
    <mergeCell ref="X946:Y946"/>
    <mergeCell ref="AC946:AG946"/>
    <mergeCell ref="AH946:AJ946"/>
    <mergeCell ref="U988:V988"/>
    <mergeCell ref="X988:Y988"/>
    <mergeCell ref="AC988:AG988"/>
    <mergeCell ref="AH988:AJ988"/>
    <mergeCell ref="AC1024:AG1024"/>
    <mergeCell ref="AH1024:AJ1024"/>
    <mergeCell ref="U1001:V1001"/>
    <mergeCell ref="X1001:Y1001"/>
    <mergeCell ref="AC1001:AG1001"/>
    <mergeCell ref="AH1001:AJ1001"/>
    <mergeCell ref="U1016:V1016"/>
    <mergeCell ref="X1016:Y1016"/>
    <mergeCell ref="AC1016:AG1016"/>
    <mergeCell ref="AH1016:AJ1016"/>
    <mergeCell ref="U1032:V1032"/>
    <mergeCell ref="X1032:Y1032"/>
    <mergeCell ref="AC1032:AG1032"/>
    <mergeCell ref="AH1032:AJ1032"/>
    <mergeCell ref="U1020:V1020"/>
    <mergeCell ref="X1020:Y1020"/>
    <mergeCell ref="AC1020:AG1020"/>
    <mergeCell ref="AH1020:AJ1020"/>
    <mergeCell ref="U1024:V1024"/>
    <mergeCell ref="X1024:Y1024"/>
  </mergeCells>
  <conditionalFormatting sqref="S888:U888">
    <cfRule type="cellIs" dxfId="17" priority="1" stopIfTrue="1" operator="notEqual">
      <formula>""</formula>
    </cfRule>
  </conditionalFormatting>
  <conditionalFormatting sqref="N901 N898 P898 P901 P904:P905 N904:N905">
    <cfRule type="cellIs" dxfId="16" priority="2" stopIfTrue="1" operator="equal">
      <formula>"Errore!"</formula>
    </cfRule>
  </conditionalFormatting>
  <conditionalFormatting sqref="O901 O898 O904:O905">
    <cfRule type="cellIs" dxfId="15" priority="3" stopIfTrue="1" operator="equal">
      <formula>"Errore!"</formula>
    </cfRule>
  </conditionalFormatting>
  <conditionalFormatting sqref="V888">
    <cfRule type="cellIs" dxfId="14" priority="4" stopIfTrue="1" operator="notEqual">
      <formula>""</formula>
    </cfRule>
  </conditionalFormatting>
  <conditionalFormatting sqref="X905:AA905">
    <cfRule type="cellIs" dxfId="13" priority="5" stopIfTrue="1" operator="equal">
      <formula>"Errore!"</formula>
    </cfRule>
  </conditionalFormatting>
  <conditionalFormatting sqref="W905">
    <cfRule type="cellIs" dxfId="12" priority="6" stopIfTrue="1" operator="equal">
      <formula>"Errore!"</formula>
    </cfRule>
  </conditionalFormatting>
  <dataValidations count="1">
    <dataValidation type="whole" allowBlank="1" showErrorMessage="1" error="La cella accetta solo valori positivi fino a 9.999.999" sqref="P613 P839 P842 P851 P869 P985 P997 P1073">
      <formula1>0</formula1>
      <formula2>9999999</formula2>
    </dataValidation>
  </dataValidations>
  <pageMargins left="0.37013888888888891" right="0.25" top="0.30972222222222223" bottom="0.32013888888888886" header="0.51180555555555551" footer="0.51180555555555551"/>
  <pageSetup paperSize="9" firstPageNumber="0" fitToHeight="0" orientation="landscape" horizontalDpi="300" verticalDpi="300"/>
  <headerFooter alignWithMargins="0"/>
  <rowBreaks count="11" manualBreakCount="11">
    <brk id="76" max="16383" man="1"/>
    <brk id="148" max="16383" man="1"/>
    <brk id="223" max="16383" man="1"/>
    <brk id="300" max="16383" man="1"/>
    <brk id="370" max="16383" man="1"/>
    <brk id="448" max="16383" man="1"/>
    <brk id="613" max="16383" man="1"/>
    <brk id="700" max="16383" man="1"/>
    <brk id="789" max="16383" man="1"/>
    <brk id="896" max="16383" man="1"/>
    <brk id="99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99</vt:i4>
      </vt:variant>
    </vt:vector>
  </HeadingPairs>
  <TitlesOfParts>
    <vt:vector size="123" baseType="lpstr">
      <vt:lpstr>Info</vt:lpstr>
      <vt:lpstr>Codifica_SP</vt:lpstr>
      <vt:lpstr>SP</vt:lpstr>
      <vt:lpstr>NI-Tot_SP</vt:lpstr>
      <vt:lpstr>NI-San_SP</vt:lpstr>
      <vt:lpstr>Dettaglio_SP_San</vt:lpstr>
      <vt:lpstr>NI-Soc_SP</vt:lpstr>
      <vt:lpstr>Dettaglio_SP_Soc</vt:lpstr>
      <vt:lpstr>NI-Ric_SP</vt:lpstr>
      <vt:lpstr>Dettaglio_SP_Ric</vt:lpstr>
      <vt:lpstr>Utilizzi_Fondi_San</vt:lpstr>
      <vt:lpstr>Utilizzi_Fondi_Soc</vt:lpstr>
      <vt:lpstr>Utilizzi_Fondi_Ric</vt:lpstr>
      <vt:lpstr>Cons</vt:lpstr>
      <vt:lpstr>Rend_Finanz_Input</vt:lpstr>
      <vt:lpstr>Rend_Finanz_Output</vt:lpstr>
      <vt:lpstr>SPMin-Attivo</vt:lpstr>
      <vt:lpstr>SPMin-Passivo</vt:lpstr>
      <vt:lpstr>INFO_OUT</vt:lpstr>
      <vt:lpstr>VERSIONI</vt:lpstr>
      <vt:lpstr>ANAGR</vt:lpstr>
      <vt:lpstr>ESTR_PREC</vt:lpstr>
      <vt:lpstr>ESTR_REND_PREC</vt:lpstr>
      <vt:lpstr>ESTR_PREC_SP</vt:lpstr>
      <vt:lpstr>ANAGR</vt:lpstr>
      <vt:lpstr>Cons!Area_stampa</vt:lpstr>
      <vt:lpstr>Dettaglio_SP_Ric!Area_stampa</vt:lpstr>
      <vt:lpstr>Dettaglio_SP_San!Area_stampa</vt:lpstr>
      <vt:lpstr>Dettaglio_SP_Soc!Area_stampa</vt:lpstr>
      <vt:lpstr>'NI-Ric_SP'!Area_stampa</vt:lpstr>
      <vt:lpstr>'NI-San_SP'!Area_stampa</vt:lpstr>
      <vt:lpstr>'NI-Soc_SP'!Area_stampa</vt:lpstr>
      <vt:lpstr>'NI-Tot_SP'!Area_stampa</vt:lpstr>
      <vt:lpstr>Rend_Finanz_Input!Area_stampa</vt:lpstr>
      <vt:lpstr>Rend_Finanz_Output!Area_stampa</vt:lpstr>
      <vt:lpstr>SP!Area_stampa</vt:lpstr>
      <vt:lpstr>'SPMin-Attivo'!Area_stampa</vt:lpstr>
      <vt:lpstr>'SPMin-Passivo'!Area_stampa</vt:lpstr>
      <vt:lpstr>Utilizzi_Fondi_Ric!Area_stampa</vt:lpstr>
      <vt:lpstr>Utilizzi_Fondi_San!Area_stampa</vt:lpstr>
      <vt:lpstr>Utilizzi_Fondi_Soc!Area_stampa</vt:lpstr>
      <vt:lpstr>COD_AZ</vt:lpstr>
      <vt:lpstr>DATI_TOTALE</vt:lpstr>
      <vt:lpstr>DATI_TOTALE_ANNO_P</vt:lpstr>
      <vt:lpstr>DATI_TOTALE_DETT_1</vt:lpstr>
      <vt:lpstr>DATI_TOTALE_DETT_2</vt:lpstr>
      <vt:lpstr>DB_SP_RIC</vt:lpstr>
      <vt:lpstr>DB_SP_SAN</vt:lpstr>
      <vt:lpstr>DB_SP_SOC</vt:lpstr>
      <vt:lpstr>ESTR_PREC</vt:lpstr>
      <vt:lpstr>ESTR_PREC_SP</vt:lpstr>
      <vt:lpstr>ESTR_REND_PREC</vt:lpstr>
      <vt:lpstr>Codifica_SP!Excel_BuiltIn__FilterDatabase</vt:lpstr>
      <vt:lpstr>'NI-Ric_SP'!Excel_BuiltIn__FilterDatabase</vt:lpstr>
      <vt:lpstr>'NI-San_SP'!Excel_BuiltIn__FilterDatabase</vt:lpstr>
      <vt:lpstr>'NI-Soc_SP'!Excel_BuiltIn__FilterDatabase</vt:lpstr>
      <vt:lpstr>'NI-Tot_SP'!Excel_BuiltIn__FilterDatabase</vt:lpstr>
      <vt:lpstr>Utilizzi_Fondi_Ric!Excel_BuiltIn__FilterDatabase</vt:lpstr>
      <vt:lpstr>Utilizzi_Fondi_San!Excel_BuiltIn__FilterDatabase</vt:lpstr>
      <vt:lpstr>Utilizzi_Fondi_Soc!Excel_BuiltIn__FilterDatabase</vt:lpstr>
      <vt:lpstr>Cons!Excel_BuiltIn_Print_Area</vt:lpstr>
      <vt:lpstr>Dettaglio_SP_Ric!Excel_BuiltIn_Print_Area</vt:lpstr>
      <vt:lpstr>Dettaglio_SP_San!Excel_BuiltIn_Print_Area</vt:lpstr>
      <vt:lpstr>Dettaglio_SP_Soc!Excel_BuiltIn_Print_Area</vt:lpstr>
      <vt:lpstr>'NI-Ric_SP'!Excel_BuiltIn_Print_Area</vt:lpstr>
      <vt:lpstr>'NI-San_SP'!Excel_BuiltIn_Print_Area</vt:lpstr>
      <vt:lpstr>'NI-Soc_SP'!Excel_BuiltIn_Print_Area</vt:lpstr>
      <vt:lpstr>'NI-Tot_SP'!Excel_BuiltIn_Print_Area</vt:lpstr>
      <vt:lpstr>Rend_Finanz_Input!Excel_BuiltIn_Print_Area</vt:lpstr>
      <vt:lpstr>Rend_Finanz_Output!Excel_BuiltIn_Print_Area</vt:lpstr>
      <vt:lpstr>SP!Excel_BuiltIn_Print_Area</vt:lpstr>
      <vt:lpstr>'SPMin-Attivo'!Excel_BuiltIn_Print_Area</vt:lpstr>
      <vt:lpstr>'SPMin-Passivo'!Excel_BuiltIn_Print_Area</vt:lpstr>
      <vt:lpstr>Utilizzi_Fondi_Ric!Excel_BuiltIn_Print_Area</vt:lpstr>
      <vt:lpstr>Utilizzi_Fondi_San!Excel_BuiltIn_Print_Area</vt:lpstr>
      <vt:lpstr>Utilizzi_Fondi_Soc!Excel_BuiltIn_Print_Area</vt:lpstr>
      <vt:lpstr>Cons!Excel_BuiltIn_Print_Titles</vt:lpstr>
      <vt:lpstr>'SPMin-Attivo'!Excel_BuiltIn_Print_Titles</vt:lpstr>
      <vt:lpstr>'SPMin-Passivo'!Excel_BuiltIn_Print_Titles</vt:lpstr>
      <vt:lpstr>INFO_OUT</vt:lpstr>
      <vt:lpstr>RFTOT01</vt:lpstr>
      <vt:lpstr>RFVALAC</vt:lpstr>
      <vt:lpstr>RFVALAP</vt:lpstr>
      <vt:lpstr>RIC</vt:lpstr>
      <vt:lpstr>RIC_ANNO_C</vt:lpstr>
      <vt:lpstr>RIC_ANNO_P</vt:lpstr>
      <vt:lpstr>SAN</vt:lpstr>
      <vt:lpstr>SAN_ANNO_C</vt:lpstr>
      <vt:lpstr>SAN_ANNO_P</vt:lpstr>
      <vt:lpstr>SOC</vt:lpstr>
      <vt:lpstr>SOC_ANNO_C</vt:lpstr>
      <vt:lpstr>SOC_ANNO_P</vt:lpstr>
      <vt:lpstr>Cons!Titoli_stampa</vt:lpstr>
      <vt:lpstr>'SPMin-Attivo'!Titoli_stampa</vt:lpstr>
      <vt:lpstr>'SPMin-Passivo'!Titoli_stampa</vt:lpstr>
      <vt:lpstr>VERSIONI</vt:lpstr>
      <vt:lpstr>Cons!Z_B99F11EE_27F8_4B9F_91EE_89B41EF86889__wvu_Cols</vt:lpstr>
      <vt:lpstr>Info!Z_B99F11EE_27F8_4B9F_91EE_89B41EF86889__wvu_Cols</vt:lpstr>
      <vt:lpstr>Codifica_SP!Z_B99F11EE_27F8_4B9F_91EE_89B41EF86889__wvu_FilterData</vt:lpstr>
      <vt:lpstr>'NI-Ric_SP'!Z_B99F11EE_27F8_4B9F_91EE_89B41EF86889__wvu_FilterData</vt:lpstr>
      <vt:lpstr>'NI-San_SP'!Z_B99F11EE_27F8_4B9F_91EE_89B41EF86889__wvu_FilterData</vt:lpstr>
      <vt:lpstr>'NI-Soc_SP'!Z_B99F11EE_27F8_4B9F_91EE_89B41EF86889__wvu_FilterData</vt:lpstr>
      <vt:lpstr>'NI-Tot_SP'!Z_B99F11EE_27F8_4B9F_91EE_89B41EF86889__wvu_FilterData</vt:lpstr>
      <vt:lpstr>Cons!Z_B99F11EE_27F8_4B9F_91EE_89B41EF86889__wvu_PrintArea</vt:lpstr>
      <vt:lpstr>Dettaglio_SP_Ric!Z_B99F11EE_27F8_4B9F_91EE_89B41EF86889__wvu_PrintArea</vt:lpstr>
      <vt:lpstr>Dettaglio_SP_San!Z_B99F11EE_27F8_4B9F_91EE_89B41EF86889__wvu_PrintArea</vt:lpstr>
      <vt:lpstr>Dettaglio_SP_Soc!Z_B99F11EE_27F8_4B9F_91EE_89B41EF86889__wvu_PrintArea</vt:lpstr>
      <vt:lpstr>'NI-Ric_SP'!Z_B99F11EE_27F8_4B9F_91EE_89B41EF86889__wvu_PrintArea</vt:lpstr>
      <vt:lpstr>'NI-San_SP'!Z_B99F11EE_27F8_4B9F_91EE_89B41EF86889__wvu_PrintArea</vt:lpstr>
      <vt:lpstr>'NI-Soc_SP'!Z_B99F11EE_27F8_4B9F_91EE_89B41EF86889__wvu_PrintArea</vt:lpstr>
      <vt:lpstr>'NI-Tot_SP'!Z_B99F11EE_27F8_4B9F_91EE_89B41EF86889__wvu_PrintArea</vt:lpstr>
      <vt:lpstr>Rend_Finanz_Input!Z_B99F11EE_27F8_4B9F_91EE_89B41EF86889__wvu_PrintArea</vt:lpstr>
      <vt:lpstr>Rend_Finanz_Output!Z_B99F11EE_27F8_4B9F_91EE_89B41EF86889__wvu_PrintArea</vt:lpstr>
      <vt:lpstr>SP!Z_B99F11EE_27F8_4B9F_91EE_89B41EF86889__wvu_PrintArea</vt:lpstr>
      <vt:lpstr>'SPMin-Attivo'!Z_B99F11EE_27F8_4B9F_91EE_89B41EF86889__wvu_PrintArea</vt:lpstr>
      <vt:lpstr>'SPMin-Passivo'!Z_B99F11EE_27F8_4B9F_91EE_89B41EF86889__wvu_PrintArea</vt:lpstr>
      <vt:lpstr>Cons!Z_B99F11EE_27F8_4B9F_91EE_89B41EF86889__wvu_PrintTitles</vt:lpstr>
      <vt:lpstr>'SPMin-Attivo'!Z_B99F11EE_27F8_4B9F_91EE_89B41EF86889__wvu_PrintTitles</vt:lpstr>
      <vt:lpstr>'SPMin-Passivo'!Z_B99F11EE_27F8_4B9F_91EE_89B41EF86889__wvu_PrintTitles</vt:lpstr>
      <vt:lpstr>Dettaglio_SP_Ric!Z_B99F11EE_27F8_4B9F_91EE_89B41EF86889__wvu_Rows</vt:lpstr>
      <vt:lpstr>Dettaglio_SP_San!Z_B99F11EE_27F8_4B9F_91EE_89B41EF86889__wvu_Rows</vt:lpstr>
      <vt:lpstr>Dettaglio_SP_Soc!Z_B99F11EE_27F8_4B9F_91EE_89B41EF86889__wvu_Rows</vt:lpstr>
      <vt:lpstr>Info!Z_B99F11EE_27F8_4B9F_91EE_89B41EF86889__wvu_Rows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Roncaglio Ilaria</dc:creator>
  <cp:lastModifiedBy>Roncaglio Ilaria</cp:lastModifiedBy>
  <cp:lastPrinted>2021-07-22T13:59:49Z</cp:lastPrinted>
  <dcterms:created xsi:type="dcterms:W3CDTF">2022-05-10T07:39:41Z</dcterms:created>
  <dcterms:modified xsi:type="dcterms:W3CDTF">2022-05-10T08:37:24Z</dcterms:modified>
</cp:coreProperties>
</file>